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72c7af4dbece44/Documents/python/"/>
    </mc:Choice>
  </mc:AlternateContent>
  <xr:revisionPtr revIDLastSave="167" documentId="8_{B11DA44B-5311-4056-857A-D1C2B0ADB5FB}" xr6:coauthVersionLast="47" xr6:coauthVersionMax="47" xr10:uidLastSave="{D1D0742B-4DCB-4C24-A1B3-90586F9684D6}"/>
  <bookViews>
    <workbookView xWindow="57480" yWindow="-465" windowWidth="29040" windowHeight="16440" xr2:uid="{C6CCC5D5-205F-4791-A203-BA040F57D2EE}"/>
  </bookViews>
  <sheets>
    <sheet name="SR3" sheetId="5" r:id="rId1"/>
    <sheet name="SOFR3mo PX" sheetId="2" r:id="rId2"/>
    <sheet name="rtd" sheetId="3" r:id="rId3"/>
  </sheets>
  <externalReferences>
    <externalReference r:id="rId4"/>
  </externalReferences>
  <definedNames>
    <definedName name="ExternalData_1" localSheetId="1" hidden="1">'SOFR3mo PX'!$A$1:$JJA$37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7" i="5" l="1"/>
  <c r="P3" i="3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ND1" i="5"/>
  <c r="NE1" i="5"/>
  <c r="NF1" i="5"/>
  <c r="NG1" i="5"/>
  <c r="NH1" i="5"/>
  <c r="NI1" i="5"/>
  <c r="NJ1" i="5"/>
  <c r="NK1" i="5"/>
  <c r="NL1" i="5"/>
  <c r="NM1" i="5"/>
  <c r="NN1" i="5"/>
  <c r="NO1" i="5"/>
  <c r="NP1" i="5"/>
  <c r="NQ1" i="5"/>
  <c r="NR1" i="5"/>
  <c r="NS1" i="5"/>
  <c r="NT1" i="5"/>
  <c r="NU1" i="5"/>
  <c r="NV1" i="5"/>
  <c r="NW1" i="5"/>
  <c r="NX1" i="5"/>
  <c r="NY1" i="5"/>
  <c r="NZ1" i="5"/>
  <c r="OA1" i="5"/>
  <c r="OB1" i="5"/>
  <c r="OC1" i="5"/>
  <c r="OD1" i="5"/>
  <c r="OE1" i="5"/>
  <c r="OF1" i="5"/>
  <c r="OG1" i="5"/>
  <c r="OH1" i="5"/>
  <c r="OI1" i="5"/>
  <c r="OJ1" i="5"/>
  <c r="OK1" i="5"/>
  <c r="OL1" i="5"/>
  <c r="OM1" i="5"/>
  <c r="ON1" i="5"/>
  <c r="OO1" i="5"/>
  <c r="OP1" i="5"/>
  <c r="OQ1" i="5"/>
  <c r="OR1" i="5"/>
  <c r="OS1" i="5"/>
  <c r="OT1" i="5"/>
  <c r="OU1" i="5"/>
  <c r="OV1" i="5"/>
  <c r="OW1" i="5"/>
  <c r="OX1" i="5"/>
  <c r="OY1" i="5"/>
  <c r="OZ1" i="5"/>
  <c r="PA1" i="5"/>
  <c r="PB1" i="5"/>
  <c r="PC1" i="5"/>
  <c r="PD1" i="5"/>
  <c r="PE1" i="5"/>
  <c r="PF1" i="5"/>
  <c r="PG1" i="5"/>
  <c r="PH1" i="5"/>
  <c r="PI1" i="5"/>
  <c r="PJ1" i="5"/>
  <c r="PK1" i="5"/>
  <c r="PL1" i="5"/>
  <c r="PM1" i="5"/>
  <c r="PN1" i="5"/>
  <c r="PO1" i="5"/>
  <c r="PP1" i="5"/>
  <c r="PQ1" i="5"/>
  <c r="PR1" i="5"/>
  <c r="PS1" i="5"/>
  <c r="PT1" i="5"/>
  <c r="PU1" i="5"/>
  <c r="PV1" i="5"/>
  <c r="PW1" i="5"/>
  <c r="PX1" i="5"/>
  <c r="PY1" i="5"/>
  <c r="PZ1" i="5"/>
  <c r="QA1" i="5"/>
  <c r="QB1" i="5"/>
  <c r="QC1" i="5"/>
  <c r="QD1" i="5"/>
  <c r="QE1" i="5"/>
  <c r="QF1" i="5"/>
  <c r="QG1" i="5"/>
  <c r="QH1" i="5"/>
  <c r="QI1" i="5"/>
  <c r="QJ1" i="5"/>
  <c r="QK1" i="5"/>
  <c r="QL1" i="5"/>
  <c r="QM1" i="5"/>
  <c r="QN1" i="5"/>
  <c r="QO1" i="5"/>
  <c r="QP1" i="5"/>
  <c r="QQ1" i="5"/>
  <c r="QR1" i="5"/>
  <c r="QS1" i="5"/>
  <c r="QT1" i="5"/>
  <c r="QU1" i="5"/>
  <c r="QV1" i="5"/>
  <c r="QW1" i="5"/>
  <c r="QX1" i="5"/>
  <c r="QY1" i="5"/>
  <c r="QZ1" i="5"/>
  <c r="RA1" i="5"/>
  <c r="RB1" i="5"/>
  <c r="RC1" i="5"/>
  <c r="RD1" i="5"/>
  <c r="RE1" i="5"/>
  <c r="RF1" i="5"/>
  <c r="RG1" i="5"/>
  <c r="RH1" i="5"/>
  <c r="RI1" i="5"/>
  <c r="RJ1" i="5"/>
  <c r="RK1" i="5"/>
  <c r="RL1" i="5"/>
  <c r="RM1" i="5"/>
  <c r="RN1" i="5"/>
  <c r="RO1" i="5"/>
  <c r="RP1" i="5"/>
  <c r="RQ1" i="5"/>
  <c r="RR1" i="5"/>
  <c r="RS1" i="5"/>
  <c r="RT1" i="5"/>
  <c r="RU1" i="5"/>
  <c r="RV1" i="5"/>
  <c r="RW1" i="5"/>
  <c r="RX1" i="5"/>
  <c r="RY1" i="5"/>
  <c r="RZ1" i="5"/>
  <c r="SA1" i="5"/>
  <c r="SB1" i="5"/>
  <c r="SC1" i="5"/>
  <c r="SD1" i="5"/>
  <c r="SE1" i="5"/>
  <c r="SF1" i="5"/>
  <c r="SG1" i="5"/>
  <c r="SH1" i="5"/>
  <c r="SI1" i="5"/>
  <c r="SJ1" i="5"/>
  <c r="SK1" i="5"/>
  <c r="SL1" i="5"/>
  <c r="SM1" i="5"/>
  <c r="SN1" i="5"/>
  <c r="SO1" i="5"/>
  <c r="SP1" i="5"/>
  <c r="SQ1" i="5"/>
  <c r="SR1" i="5"/>
  <c r="SS1" i="5"/>
  <c r="ST1" i="5"/>
  <c r="SU1" i="5"/>
  <c r="SV1" i="5"/>
  <c r="SW1" i="5"/>
  <c r="SX1" i="5"/>
  <c r="SY1" i="5"/>
  <c r="SZ1" i="5"/>
  <c r="TA1" i="5"/>
  <c r="TB1" i="5"/>
  <c r="TC1" i="5"/>
  <c r="TD1" i="5"/>
  <c r="TE1" i="5"/>
  <c r="TF1" i="5"/>
  <c r="TG1" i="5"/>
  <c r="TH1" i="5"/>
  <c r="TI1" i="5"/>
  <c r="TJ1" i="5"/>
  <c r="TK1" i="5"/>
  <c r="TL1" i="5"/>
  <c r="TM1" i="5"/>
  <c r="TN1" i="5"/>
  <c r="TO1" i="5"/>
  <c r="TP1" i="5"/>
  <c r="TQ1" i="5"/>
  <c r="TR1" i="5"/>
  <c r="TS1" i="5"/>
  <c r="TT1" i="5"/>
  <c r="TU1" i="5"/>
  <c r="TV1" i="5"/>
  <c r="TW1" i="5"/>
  <c r="TX1" i="5"/>
  <c r="TY1" i="5"/>
  <c r="TZ1" i="5"/>
  <c r="UA1" i="5"/>
  <c r="UB1" i="5"/>
  <c r="UC1" i="5"/>
  <c r="UD1" i="5"/>
  <c r="UE1" i="5"/>
  <c r="UF1" i="5"/>
  <c r="UG1" i="5"/>
  <c r="UH1" i="5"/>
  <c r="UI1" i="5"/>
  <c r="UJ1" i="5"/>
  <c r="UK1" i="5"/>
  <c r="UL1" i="5"/>
  <c r="UM1" i="5"/>
  <c r="UN1" i="5"/>
  <c r="UO1" i="5"/>
  <c r="UP1" i="5"/>
  <c r="UQ1" i="5"/>
  <c r="UR1" i="5"/>
  <c r="US1" i="5"/>
  <c r="UT1" i="5"/>
  <c r="UU1" i="5"/>
  <c r="UV1" i="5"/>
  <c r="UW1" i="5"/>
  <c r="UX1" i="5"/>
  <c r="UY1" i="5"/>
  <c r="UZ1" i="5"/>
  <c r="VA1" i="5"/>
  <c r="VB1" i="5"/>
  <c r="VC1" i="5"/>
  <c r="VD1" i="5"/>
  <c r="VE1" i="5"/>
  <c r="VF1" i="5"/>
  <c r="VG1" i="5"/>
  <c r="VH1" i="5"/>
  <c r="VI1" i="5"/>
  <c r="VJ1" i="5"/>
  <c r="VK1" i="5"/>
  <c r="VL1" i="5"/>
  <c r="VM1" i="5"/>
  <c r="VN1" i="5"/>
  <c r="VO1" i="5"/>
  <c r="VP1" i="5"/>
  <c r="VQ1" i="5"/>
  <c r="VR1" i="5"/>
  <c r="VS1" i="5"/>
  <c r="VT1" i="5"/>
  <c r="VU1" i="5"/>
  <c r="VV1" i="5"/>
  <c r="VW1" i="5"/>
  <c r="VX1" i="5"/>
  <c r="VY1" i="5"/>
  <c r="VZ1" i="5"/>
  <c r="WA1" i="5"/>
  <c r="WB1" i="5"/>
  <c r="WC1" i="5"/>
  <c r="WD1" i="5"/>
  <c r="WE1" i="5"/>
  <c r="WF1" i="5"/>
  <c r="WG1" i="5"/>
  <c r="WH1" i="5"/>
  <c r="WI1" i="5"/>
  <c r="WJ1" i="5"/>
  <c r="WK1" i="5"/>
  <c r="WL1" i="5"/>
  <c r="WM1" i="5"/>
  <c r="WN1" i="5"/>
  <c r="WO1" i="5"/>
  <c r="WP1" i="5"/>
  <c r="WQ1" i="5"/>
  <c r="WR1" i="5"/>
  <c r="WS1" i="5"/>
  <c r="WT1" i="5"/>
  <c r="WU1" i="5"/>
  <c r="WV1" i="5"/>
  <c r="WW1" i="5"/>
  <c r="WX1" i="5"/>
  <c r="WY1" i="5"/>
  <c r="WZ1" i="5"/>
  <c r="XA1" i="5"/>
  <c r="XB1" i="5"/>
  <c r="XC1" i="5"/>
  <c r="XD1" i="5"/>
  <c r="XE1" i="5"/>
  <c r="XF1" i="5"/>
  <c r="XG1" i="5"/>
  <c r="XH1" i="5"/>
  <c r="XI1" i="5"/>
  <c r="XJ1" i="5"/>
  <c r="XK1" i="5"/>
  <c r="XL1" i="5"/>
  <c r="XM1" i="5"/>
  <c r="XN1" i="5"/>
  <c r="XO1" i="5"/>
  <c r="XP1" i="5"/>
  <c r="XQ1" i="5"/>
  <c r="XR1" i="5"/>
  <c r="XS1" i="5"/>
  <c r="XT1" i="5"/>
  <c r="XU1" i="5"/>
  <c r="XV1" i="5"/>
  <c r="XW1" i="5"/>
  <c r="XX1" i="5"/>
  <c r="XY1" i="5"/>
  <c r="XZ1" i="5"/>
  <c r="YA1" i="5"/>
  <c r="YB1" i="5"/>
  <c r="YC1" i="5"/>
  <c r="YD1" i="5"/>
  <c r="YE1" i="5"/>
  <c r="YF1" i="5"/>
  <c r="YG1" i="5"/>
  <c r="YH1" i="5"/>
  <c r="YI1" i="5"/>
  <c r="YJ1" i="5"/>
  <c r="YK1" i="5"/>
  <c r="YL1" i="5"/>
  <c r="YM1" i="5"/>
  <c r="YN1" i="5"/>
  <c r="YO1" i="5"/>
  <c r="YP1" i="5"/>
  <c r="YQ1" i="5"/>
  <c r="YR1" i="5"/>
  <c r="YS1" i="5"/>
  <c r="YT1" i="5"/>
  <c r="YU1" i="5"/>
  <c r="YV1" i="5"/>
  <c r="YW1" i="5"/>
  <c r="YX1" i="5"/>
  <c r="YY1" i="5"/>
  <c r="YZ1" i="5"/>
  <c r="ZA1" i="5"/>
  <c r="ZB1" i="5"/>
  <c r="ZC1" i="5"/>
  <c r="ZD1" i="5"/>
  <c r="ZE1" i="5"/>
  <c r="ZF1" i="5"/>
  <c r="ZG1" i="5"/>
  <c r="ZH1" i="5"/>
  <c r="ZI1" i="5"/>
  <c r="ZJ1" i="5"/>
  <c r="ZK1" i="5"/>
  <c r="ZL1" i="5"/>
  <c r="ZM1" i="5"/>
  <c r="ZN1" i="5"/>
  <c r="ZO1" i="5"/>
  <c r="ZP1" i="5"/>
  <c r="ZQ1" i="5"/>
  <c r="ZR1" i="5"/>
  <c r="ZS1" i="5"/>
  <c r="ZT1" i="5"/>
  <c r="ZU1" i="5"/>
  <c r="ZV1" i="5"/>
  <c r="ZW1" i="5"/>
  <c r="ZX1" i="5"/>
  <c r="ZY1" i="5"/>
  <c r="ZZ1" i="5"/>
  <c r="AAA1" i="5"/>
  <c r="AAB1" i="5"/>
  <c r="AAC1" i="5"/>
  <c r="AAD1" i="5"/>
  <c r="AAE1" i="5"/>
  <c r="AAF1" i="5"/>
  <c r="AAG1" i="5"/>
  <c r="AAH1" i="5"/>
  <c r="AAI1" i="5"/>
  <c r="AAJ1" i="5"/>
  <c r="AAK1" i="5"/>
  <c r="AAL1" i="5"/>
  <c r="AAM1" i="5"/>
  <c r="AAN1" i="5"/>
  <c r="AAO1" i="5"/>
  <c r="AAP1" i="5"/>
  <c r="AAQ1" i="5"/>
  <c r="AAR1" i="5"/>
  <c r="AAS1" i="5"/>
  <c r="AAT1" i="5"/>
  <c r="AAU1" i="5"/>
  <c r="AAV1" i="5"/>
  <c r="AAW1" i="5"/>
  <c r="AAX1" i="5"/>
  <c r="AAY1" i="5"/>
  <c r="AAZ1" i="5"/>
  <c r="ABA1" i="5"/>
  <c r="ABB1" i="5"/>
  <c r="ABC1" i="5"/>
  <c r="ABD1" i="5"/>
  <c r="ABE1" i="5"/>
  <c r="ABF1" i="5"/>
  <c r="ABG1" i="5"/>
  <c r="ABH1" i="5"/>
  <c r="ABI1" i="5"/>
  <c r="ABJ1" i="5"/>
  <c r="ABK1" i="5"/>
  <c r="ABL1" i="5"/>
  <c r="ABM1" i="5"/>
  <c r="ABN1" i="5"/>
  <c r="ABO1" i="5"/>
  <c r="ABP1" i="5"/>
  <c r="ABQ1" i="5"/>
  <c r="ABR1" i="5"/>
  <c r="ABS1" i="5"/>
  <c r="ABT1" i="5"/>
  <c r="ABU1" i="5"/>
  <c r="ABV1" i="5"/>
  <c r="ABW1" i="5"/>
  <c r="ABX1" i="5"/>
  <c r="ABY1" i="5"/>
  <c r="ABZ1" i="5"/>
  <c r="ACA1" i="5"/>
  <c r="ACB1" i="5"/>
  <c r="ACC1" i="5"/>
  <c r="ACD1" i="5"/>
  <c r="ACE1" i="5"/>
  <c r="ACF1" i="5"/>
  <c r="ACG1" i="5"/>
  <c r="ACH1" i="5"/>
  <c r="ACI1" i="5"/>
  <c r="ACJ1" i="5"/>
  <c r="ACK1" i="5"/>
  <c r="ACL1" i="5"/>
  <c r="ACM1" i="5"/>
  <c r="ACN1" i="5"/>
  <c r="ACO1" i="5"/>
  <c r="ACP1" i="5"/>
  <c r="ACQ1" i="5"/>
  <c r="ACR1" i="5"/>
  <c r="ACS1" i="5"/>
  <c r="ACT1" i="5"/>
  <c r="ACU1" i="5"/>
  <c r="ACV1" i="5"/>
  <c r="ACW1" i="5"/>
  <c r="ACX1" i="5"/>
  <c r="ACY1" i="5"/>
  <c r="ACZ1" i="5"/>
  <c r="ADA1" i="5"/>
  <c r="ADB1" i="5"/>
  <c r="ADC1" i="5"/>
  <c r="ADD1" i="5"/>
  <c r="ADE1" i="5"/>
  <c r="ADF1" i="5"/>
  <c r="ADG1" i="5"/>
  <c r="ADH1" i="5"/>
  <c r="ADI1" i="5"/>
  <c r="ADJ1" i="5"/>
  <c r="ADK1" i="5"/>
  <c r="ADL1" i="5"/>
  <c r="ADM1" i="5"/>
  <c r="ADN1" i="5"/>
  <c r="ADO1" i="5"/>
  <c r="ADP1" i="5"/>
  <c r="ADQ1" i="5"/>
  <c r="ADR1" i="5"/>
  <c r="ADS1" i="5"/>
  <c r="ADT1" i="5"/>
  <c r="ADU1" i="5"/>
  <c r="ADV1" i="5"/>
  <c r="ADW1" i="5"/>
  <c r="ADX1" i="5"/>
  <c r="ADY1" i="5"/>
  <c r="ADZ1" i="5"/>
  <c r="AEA1" i="5"/>
  <c r="AEB1" i="5"/>
  <c r="AEC1" i="5"/>
  <c r="AED1" i="5"/>
  <c r="AEE1" i="5"/>
  <c r="AEF1" i="5"/>
  <c r="AEG1" i="5"/>
  <c r="AEH1" i="5"/>
  <c r="AEI1" i="5"/>
  <c r="AEJ1" i="5"/>
  <c r="AEK1" i="5"/>
  <c r="AEL1" i="5"/>
  <c r="AEM1" i="5"/>
  <c r="AEN1" i="5"/>
  <c r="AEO1" i="5"/>
  <c r="AEP1" i="5"/>
  <c r="AEQ1" i="5"/>
  <c r="AER1" i="5"/>
  <c r="AES1" i="5"/>
  <c r="AET1" i="5"/>
  <c r="AEU1" i="5"/>
  <c r="AEV1" i="5"/>
  <c r="AEW1" i="5"/>
  <c r="AEX1" i="5"/>
  <c r="AEY1" i="5"/>
  <c r="AEZ1" i="5"/>
  <c r="AFA1" i="5"/>
  <c r="AFB1" i="5"/>
  <c r="AFC1" i="5"/>
  <c r="AFD1" i="5"/>
  <c r="AFE1" i="5"/>
  <c r="AFF1" i="5"/>
  <c r="AFG1" i="5"/>
  <c r="AFH1" i="5"/>
  <c r="AFI1" i="5"/>
  <c r="AFJ1" i="5"/>
  <c r="AFK1" i="5"/>
  <c r="AFL1" i="5"/>
  <c r="AFM1" i="5"/>
  <c r="AFN1" i="5"/>
  <c r="AFO1" i="5"/>
  <c r="AFP1" i="5"/>
  <c r="AFQ1" i="5"/>
  <c r="AFR1" i="5"/>
  <c r="AFS1" i="5"/>
  <c r="AFT1" i="5"/>
  <c r="AFU1" i="5"/>
  <c r="AFV1" i="5"/>
  <c r="AFW1" i="5"/>
  <c r="AFX1" i="5"/>
  <c r="AFY1" i="5"/>
  <c r="AFZ1" i="5"/>
  <c r="AGA1" i="5"/>
  <c r="AGB1" i="5"/>
  <c r="AGC1" i="5"/>
  <c r="AGD1" i="5"/>
  <c r="AGE1" i="5"/>
  <c r="AGF1" i="5"/>
  <c r="AGG1" i="5"/>
  <c r="AGH1" i="5"/>
  <c r="AGI1" i="5"/>
  <c r="AGJ1" i="5"/>
  <c r="AGK1" i="5"/>
  <c r="AGL1" i="5"/>
  <c r="AGM1" i="5"/>
  <c r="AGN1" i="5"/>
  <c r="AGO1" i="5"/>
  <c r="AGP1" i="5"/>
  <c r="AGQ1" i="5"/>
  <c r="AGR1" i="5"/>
  <c r="AGS1" i="5"/>
  <c r="AGT1" i="5"/>
  <c r="AGU1" i="5"/>
  <c r="AGV1" i="5"/>
  <c r="AGW1" i="5"/>
  <c r="AGX1" i="5"/>
  <c r="AGY1" i="5"/>
  <c r="AGZ1" i="5"/>
  <c r="AHA1" i="5"/>
  <c r="AHB1" i="5"/>
  <c r="AHC1" i="5"/>
  <c r="AHD1" i="5"/>
  <c r="AHE1" i="5"/>
  <c r="AHF1" i="5"/>
  <c r="AHG1" i="5"/>
  <c r="AHH1" i="5"/>
  <c r="AHI1" i="5"/>
  <c r="AHJ1" i="5"/>
  <c r="AHK1" i="5"/>
  <c r="AHL1" i="5"/>
  <c r="AHM1" i="5"/>
  <c r="AHN1" i="5"/>
  <c r="AHO1" i="5"/>
  <c r="AHP1" i="5"/>
  <c r="AHQ1" i="5"/>
  <c r="AHR1" i="5"/>
  <c r="AHS1" i="5"/>
  <c r="AHT1" i="5"/>
  <c r="AHU1" i="5"/>
  <c r="AHV1" i="5"/>
  <c r="AHW1" i="5"/>
  <c r="AHX1" i="5"/>
  <c r="AHY1" i="5"/>
  <c r="AHZ1" i="5"/>
  <c r="AIA1" i="5"/>
  <c r="AIB1" i="5"/>
  <c r="AIC1" i="5"/>
  <c r="AID1" i="5"/>
  <c r="AIE1" i="5"/>
  <c r="AIF1" i="5"/>
  <c r="AIG1" i="5"/>
  <c r="AIH1" i="5"/>
  <c r="AII1" i="5"/>
  <c r="AIJ1" i="5"/>
  <c r="AIK1" i="5"/>
  <c r="AIL1" i="5"/>
  <c r="AIM1" i="5"/>
  <c r="AIN1" i="5"/>
  <c r="AIO1" i="5"/>
  <c r="AIP1" i="5"/>
  <c r="AIQ1" i="5"/>
  <c r="AIR1" i="5"/>
  <c r="AIS1" i="5"/>
  <c r="AIT1" i="5"/>
  <c r="AIU1" i="5"/>
  <c r="AIV1" i="5"/>
  <c r="AIW1" i="5"/>
  <c r="AIX1" i="5"/>
  <c r="AIY1" i="5"/>
  <c r="AIZ1" i="5"/>
  <c r="AJA1" i="5"/>
  <c r="AJB1" i="5"/>
  <c r="AJC1" i="5"/>
  <c r="AJD1" i="5"/>
  <c r="AJE1" i="5"/>
  <c r="AJF1" i="5"/>
  <c r="AJG1" i="5"/>
  <c r="AJH1" i="5"/>
  <c r="AJI1" i="5"/>
  <c r="AJJ1" i="5"/>
  <c r="AJK1" i="5"/>
  <c r="AJL1" i="5"/>
  <c r="AJM1" i="5"/>
  <c r="AJN1" i="5"/>
  <c r="AJO1" i="5"/>
  <c r="AJP1" i="5"/>
  <c r="AJQ1" i="5"/>
  <c r="AJR1" i="5"/>
  <c r="AJS1" i="5"/>
  <c r="AJT1" i="5"/>
  <c r="AJU1" i="5"/>
  <c r="AJV1" i="5"/>
  <c r="AJW1" i="5"/>
  <c r="AJX1" i="5"/>
  <c r="AJY1" i="5"/>
  <c r="AJZ1" i="5"/>
  <c r="AKA1" i="5"/>
  <c r="AKB1" i="5"/>
  <c r="AKC1" i="5"/>
  <c r="AKD1" i="5"/>
  <c r="AKE1" i="5"/>
  <c r="AKF1" i="5"/>
  <c r="AKG1" i="5"/>
  <c r="AKH1" i="5"/>
  <c r="AKI1" i="5"/>
  <c r="AKJ1" i="5"/>
  <c r="AKK1" i="5"/>
  <c r="AKL1" i="5"/>
  <c r="AKM1" i="5"/>
  <c r="AKN1" i="5"/>
  <c r="AKO1" i="5"/>
  <c r="AKP1" i="5"/>
  <c r="AKQ1" i="5"/>
  <c r="AKR1" i="5"/>
  <c r="AKS1" i="5"/>
  <c r="AKT1" i="5"/>
  <c r="AKU1" i="5"/>
  <c r="AKV1" i="5"/>
  <c r="AKW1" i="5"/>
  <c r="AKX1" i="5"/>
  <c r="AKY1" i="5"/>
  <c r="AKZ1" i="5"/>
  <c r="ALA1" i="5"/>
  <c r="ALB1" i="5"/>
  <c r="ALC1" i="5"/>
  <c r="ALD1" i="5"/>
  <c r="ALE1" i="5"/>
  <c r="ALF1" i="5"/>
  <c r="ALG1" i="5"/>
  <c r="ALH1" i="5"/>
  <c r="ALI1" i="5"/>
  <c r="ALJ1" i="5"/>
  <c r="ALK1" i="5"/>
  <c r="ALL1" i="5"/>
  <c r="ALM1" i="5"/>
  <c r="ALN1" i="5"/>
  <c r="ALO1" i="5"/>
  <c r="ALP1" i="5"/>
  <c r="ALQ1" i="5"/>
  <c r="ALR1" i="5"/>
  <c r="ALS1" i="5"/>
  <c r="ALT1" i="5"/>
  <c r="ALU1" i="5"/>
  <c r="ALV1" i="5"/>
  <c r="ALW1" i="5"/>
  <c r="ALX1" i="5"/>
  <c r="ALY1" i="5"/>
  <c r="ALZ1" i="5"/>
  <c r="AMA1" i="5"/>
  <c r="AMB1" i="5"/>
  <c r="AMC1" i="5"/>
  <c r="AMD1" i="5"/>
  <c r="AME1" i="5"/>
  <c r="AMF1" i="5"/>
  <c r="AMG1" i="5"/>
  <c r="AMH1" i="5"/>
  <c r="AMI1" i="5"/>
  <c r="AMJ1" i="5"/>
  <c r="AMK1" i="5"/>
  <c r="AML1" i="5"/>
  <c r="AMM1" i="5"/>
  <c r="AMN1" i="5"/>
  <c r="AMO1" i="5"/>
  <c r="AMP1" i="5"/>
  <c r="AMQ1" i="5"/>
  <c r="AMR1" i="5"/>
  <c r="AMS1" i="5"/>
  <c r="AMT1" i="5"/>
  <c r="AMU1" i="5"/>
  <c r="AMV1" i="5"/>
  <c r="AMW1" i="5"/>
  <c r="AMX1" i="5"/>
  <c r="AMY1" i="5"/>
  <c r="AMZ1" i="5"/>
  <c r="ANA1" i="5"/>
  <c r="ANB1" i="5"/>
  <c r="ANC1" i="5"/>
  <c r="AND1" i="5"/>
  <c r="ANE1" i="5"/>
  <c r="ANF1" i="5"/>
  <c r="ANG1" i="5"/>
  <c r="ANH1" i="5"/>
  <c r="ANI1" i="5"/>
  <c r="ANJ1" i="5"/>
  <c r="ANK1" i="5"/>
  <c r="ANL1" i="5"/>
  <c r="ANM1" i="5"/>
  <c r="ANN1" i="5"/>
  <c r="ANO1" i="5"/>
  <c r="ANP1" i="5"/>
  <c r="ANQ1" i="5"/>
  <c r="ANR1" i="5"/>
  <c r="ANS1" i="5"/>
  <c r="ANT1" i="5"/>
  <c r="ANU1" i="5"/>
  <c r="ANV1" i="5"/>
  <c r="ANW1" i="5"/>
  <c r="ANX1" i="5"/>
  <c r="ANY1" i="5"/>
  <c r="ANZ1" i="5"/>
  <c r="AOA1" i="5"/>
  <c r="AOB1" i="5"/>
  <c r="AOC1" i="5"/>
  <c r="AOD1" i="5"/>
  <c r="AOE1" i="5"/>
  <c r="AOF1" i="5"/>
  <c r="AOG1" i="5"/>
  <c r="AOH1" i="5"/>
  <c r="AOI1" i="5"/>
  <c r="AOJ1" i="5"/>
  <c r="AOK1" i="5"/>
  <c r="AOL1" i="5"/>
  <c r="AOM1" i="5"/>
  <c r="AON1" i="5"/>
  <c r="AOO1" i="5"/>
  <c r="AOP1" i="5"/>
  <c r="AOQ1" i="5"/>
  <c r="AOR1" i="5"/>
  <c r="AOS1" i="5"/>
  <c r="AOT1" i="5"/>
  <c r="AOU1" i="5"/>
  <c r="AOV1" i="5"/>
  <c r="AOW1" i="5"/>
  <c r="AOX1" i="5"/>
  <c r="AOY1" i="5"/>
  <c r="AOZ1" i="5"/>
  <c r="APA1" i="5"/>
  <c r="APB1" i="5"/>
  <c r="APC1" i="5"/>
  <c r="APD1" i="5"/>
  <c r="APE1" i="5"/>
  <c r="APF1" i="5"/>
  <c r="APG1" i="5"/>
  <c r="APH1" i="5"/>
  <c r="API1" i="5"/>
  <c r="APJ1" i="5"/>
  <c r="APK1" i="5"/>
  <c r="APL1" i="5"/>
  <c r="APM1" i="5"/>
  <c r="APN1" i="5"/>
  <c r="APO1" i="5"/>
  <c r="APP1" i="5"/>
  <c r="APQ1" i="5"/>
  <c r="APR1" i="5"/>
  <c r="APS1" i="5"/>
  <c r="APT1" i="5"/>
  <c r="APU1" i="5"/>
  <c r="APV1" i="5"/>
  <c r="APW1" i="5"/>
  <c r="APX1" i="5"/>
  <c r="APY1" i="5"/>
  <c r="APZ1" i="5"/>
  <c r="AQA1" i="5"/>
  <c r="AQB1" i="5"/>
  <c r="AQC1" i="5"/>
  <c r="AQD1" i="5"/>
  <c r="AQE1" i="5"/>
  <c r="AQF1" i="5"/>
  <c r="AQG1" i="5"/>
  <c r="AQH1" i="5"/>
  <c r="AQI1" i="5"/>
  <c r="AQJ1" i="5"/>
  <c r="AQK1" i="5"/>
  <c r="AQL1" i="5"/>
  <c r="AQM1" i="5"/>
  <c r="AQN1" i="5"/>
  <c r="AQO1" i="5"/>
  <c r="AQP1" i="5"/>
  <c r="AQQ1" i="5"/>
  <c r="AQR1" i="5"/>
  <c r="AQS1" i="5"/>
  <c r="AQT1" i="5"/>
  <c r="AQU1" i="5"/>
  <c r="AQV1" i="5"/>
  <c r="AQW1" i="5"/>
  <c r="AQX1" i="5"/>
  <c r="AQY1" i="5"/>
  <c r="AQZ1" i="5"/>
  <c r="ARA1" i="5"/>
  <c r="ARB1" i="5"/>
  <c r="ARC1" i="5"/>
  <c r="ARD1" i="5"/>
  <c r="ARE1" i="5"/>
  <c r="ARF1" i="5"/>
  <c r="ARG1" i="5"/>
  <c r="ARH1" i="5"/>
  <c r="ARI1" i="5"/>
  <c r="ARJ1" i="5"/>
  <c r="ARK1" i="5"/>
  <c r="ARL1" i="5"/>
  <c r="ARM1" i="5"/>
  <c r="ARN1" i="5"/>
  <c r="ARO1" i="5"/>
  <c r="ARP1" i="5"/>
  <c r="ARQ1" i="5"/>
  <c r="ARR1" i="5"/>
  <c r="ARS1" i="5"/>
  <c r="ART1" i="5"/>
  <c r="ARU1" i="5"/>
  <c r="ARV1" i="5"/>
  <c r="ARW1" i="5"/>
  <c r="ARX1" i="5"/>
  <c r="ARY1" i="5"/>
  <c r="ARZ1" i="5"/>
  <c r="ASA1" i="5"/>
  <c r="ASB1" i="5"/>
  <c r="ASC1" i="5"/>
  <c r="ASD1" i="5"/>
  <c r="ASE1" i="5"/>
  <c r="ASF1" i="5"/>
  <c r="ASG1" i="5"/>
  <c r="ASH1" i="5"/>
  <c r="ASI1" i="5"/>
  <c r="ASJ1" i="5"/>
  <c r="ASK1" i="5"/>
  <c r="ASL1" i="5"/>
  <c r="ASM1" i="5"/>
  <c r="ASN1" i="5"/>
  <c r="ASO1" i="5"/>
  <c r="ASP1" i="5"/>
  <c r="ASQ1" i="5"/>
  <c r="ASR1" i="5"/>
  <c r="ASS1" i="5"/>
  <c r="AST1" i="5"/>
  <c r="ASU1" i="5"/>
  <c r="ASV1" i="5"/>
  <c r="ASW1" i="5"/>
  <c r="ASX1" i="5"/>
  <c r="ASY1" i="5"/>
  <c r="ASZ1" i="5"/>
  <c r="ATA1" i="5"/>
  <c r="ATB1" i="5"/>
  <c r="ATC1" i="5"/>
  <c r="ATD1" i="5"/>
  <c r="ATE1" i="5"/>
  <c r="ATF1" i="5"/>
  <c r="ATG1" i="5"/>
  <c r="ATH1" i="5"/>
  <c r="ATI1" i="5"/>
  <c r="ATJ1" i="5"/>
  <c r="ATK1" i="5"/>
  <c r="ATL1" i="5"/>
  <c r="ATM1" i="5"/>
  <c r="ATN1" i="5"/>
  <c r="ATO1" i="5"/>
  <c r="ATP1" i="5"/>
  <c r="ATQ1" i="5"/>
  <c r="ATR1" i="5"/>
  <c r="ATS1" i="5"/>
  <c r="ATT1" i="5"/>
  <c r="ATU1" i="5"/>
  <c r="ATV1" i="5"/>
  <c r="ATW1" i="5"/>
  <c r="ATX1" i="5"/>
  <c r="ATY1" i="5"/>
  <c r="ATZ1" i="5"/>
  <c r="AUA1" i="5"/>
  <c r="AUB1" i="5"/>
  <c r="AUC1" i="5"/>
  <c r="AUD1" i="5"/>
  <c r="AUE1" i="5"/>
  <c r="AUF1" i="5"/>
  <c r="AUG1" i="5"/>
  <c r="AUH1" i="5"/>
  <c r="AUI1" i="5"/>
  <c r="AUJ1" i="5"/>
  <c r="AUK1" i="5"/>
  <c r="AUL1" i="5"/>
  <c r="AUM1" i="5"/>
  <c r="AUN1" i="5"/>
  <c r="AUO1" i="5"/>
  <c r="AUP1" i="5"/>
  <c r="AUQ1" i="5"/>
  <c r="AUR1" i="5"/>
  <c r="AUS1" i="5"/>
  <c r="AUT1" i="5"/>
  <c r="AUU1" i="5"/>
  <c r="AUV1" i="5"/>
  <c r="AUW1" i="5"/>
  <c r="AUX1" i="5"/>
  <c r="AUY1" i="5"/>
  <c r="AUZ1" i="5"/>
  <c r="AVA1" i="5"/>
  <c r="AVB1" i="5"/>
  <c r="AVC1" i="5"/>
  <c r="AVD1" i="5"/>
  <c r="AVE1" i="5"/>
  <c r="AVF1" i="5"/>
  <c r="AVG1" i="5"/>
  <c r="AVH1" i="5"/>
  <c r="AVI1" i="5"/>
  <c r="AVJ1" i="5"/>
  <c r="AVK1" i="5"/>
  <c r="AVL1" i="5"/>
  <c r="AVM1" i="5"/>
  <c r="AVN1" i="5"/>
  <c r="AVO1" i="5"/>
  <c r="AVP1" i="5"/>
  <c r="AVQ1" i="5"/>
  <c r="AVR1" i="5"/>
  <c r="AVS1" i="5"/>
  <c r="AVT1" i="5"/>
  <c r="AVU1" i="5"/>
  <c r="AVV1" i="5"/>
  <c r="AVW1" i="5"/>
  <c r="AVX1" i="5"/>
  <c r="AVY1" i="5"/>
  <c r="AVZ1" i="5"/>
  <c r="AWA1" i="5"/>
  <c r="AWB1" i="5"/>
  <c r="AWC1" i="5"/>
  <c r="AWD1" i="5"/>
  <c r="AWE1" i="5"/>
  <c r="AWF1" i="5"/>
  <c r="AWG1" i="5"/>
  <c r="AWH1" i="5"/>
  <c r="AWI1" i="5"/>
  <c r="AWJ1" i="5"/>
  <c r="AWK1" i="5"/>
  <c r="AWL1" i="5"/>
  <c r="AWM1" i="5"/>
  <c r="AWN1" i="5"/>
  <c r="AWO1" i="5"/>
  <c r="AWP1" i="5"/>
  <c r="AWQ1" i="5"/>
  <c r="AWR1" i="5"/>
  <c r="AWS1" i="5"/>
  <c r="AWT1" i="5"/>
  <c r="AWU1" i="5"/>
  <c r="AWV1" i="5"/>
  <c r="AWW1" i="5"/>
  <c r="AWX1" i="5"/>
  <c r="AWY1" i="5"/>
  <c r="AWZ1" i="5"/>
  <c r="AXA1" i="5"/>
  <c r="AXB1" i="5"/>
  <c r="AXC1" i="5"/>
  <c r="AXD1" i="5"/>
  <c r="AXE1" i="5"/>
  <c r="AXF1" i="5"/>
  <c r="AXG1" i="5"/>
  <c r="AXH1" i="5"/>
  <c r="AXI1" i="5"/>
  <c r="AXJ1" i="5"/>
  <c r="AXK1" i="5"/>
  <c r="AXL1" i="5"/>
  <c r="AXM1" i="5"/>
  <c r="AXN1" i="5"/>
  <c r="AXO1" i="5"/>
  <c r="AXP1" i="5"/>
  <c r="AXQ1" i="5"/>
  <c r="AXR1" i="5"/>
  <c r="AXS1" i="5"/>
  <c r="AXT1" i="5"/>
  <c r="AXU1" i="5"/>
  <c r="AXV1" i="5"/>
  <c r="AXW1" i="5"/>
  <c r="AXX1" i="5"/>
  <c r="AXY1" i="5"/>
  <c r="AXZ1" i="5"/>
  <c r="AYA1" i="5"/>
  <c r="AYB1" i="5"/>
  <c r="AYC1" i="5"/>
  <c r="AYD1" i="5"/>
  <c r="AYE1" i="5"/>
  <c r="AYF1" i="5"/>
  <c r="AYG1" i="5"/>
  <c r="AYH1" i="5"/>
  <c r="AYI1" i="5"/>
  <c r="AYJ1" i="5"/>
  <c r="AYK1" i="5"/>
  <c r="AYL1" i="5"/>
  <c r="AYM1" i="5"/>
  <c r="AYN1" i="5"/>
  <c r="AYO1" i="5"/>
  <c r="AYP1" i="5"/>
  <c r="AYQ1" i="5"/>
  <c r="AYR1" i="5"/>
  <c r="AYS1" i="5"/>
  <c r="AYT1" i="5"/>
  <c r="AYU1" i="5"/>
  <c r="AYV1" i="5"/>
  <c r="AYW1" i="5"/>
  <c r="AYX1" i="5"/>
  <c r="AYY1" i="5"/>
  <c r="AYZ1" i="5"/>
  <c r="AZA1" i="5"/>
  <c r="AZB1" i="5"/>
  <c r="AZC1" i="5"/>
  <c r="AZD1" i="5"/>
  <c r="AZE1" i="5"/>
  <c r="AZF1" i="5"/>
  <c r="AZG1" i="5"/>
  <c r="AZH1" i="5"/>
  <c r="AZI1" i="5"/>
  <c r="AZJ1" i="5"/>
  <c r="AZK1" i="5"/>
  <c r="AZL1" i="5"/>
  <c r="AZM1" i="5"/>
  <c r="AZN1" i="5"/>
  <c r="AZO1" i="5"/>
  <c r="AZP1" i="5"/>
  <c r="AZQ1" i="5"/>
  <c r="AZR1" i="5"/>
  <c r="AZS1" i="5"/>
  <c r="AZT1" i="5"/>
  <c r="AZU1" i="5"/>
  <c r="AZV1" i="5"/>
  <c r="AZW1" i="5"/>
  <c r="AZX1" i="5"/>
  <c r="AZY1" i="5"/>
  <c r="AZZ1" i="5"/>
  <c r="BAA1" i="5"/>
  <c r="BAB1" i="5"/>
  <c r="BAC1" i="5"/>
  <c r="BAD1" i="5"/>
  <c r="BAE1" i="5"/>
  <c r="BAF1" i="5"/>
  <c r="BAG1" i="5"/>
  <c r="BAH1" i="5"/>
  <c r="BAI1" i="5"/>
  <c r="BAJ1" i="5"/>
  <c r="BAK1" i="5"/>
  <c r="BAL1" i="5"/>
  <c r="BAM1" i="5"/>
  <c r="BAN1" i="5"/>
  <c r="BAO1" i="5"/>
  <c r="BAP1" i="5"/>
  <c r="BAQ1" i="5"/>
  <c r="BAR1" i="5"/>
  <c r="BAS1" i="5"/>
  <c r="BAT1" i="5"/>
  <c r="BAU1" i="5"/>
  <c r="BAV1" i="5"/>
  <c r="BAW1" i="5"/>
  <c r="BAX1" i="5"/>
  <c r="BAY1" i="5"/>
  <c r="BAZ1" i="5"/>
  <c r="BBA1" i="5"/>
  <c r="BBB1" i="5"/>
  <c r="BBC1" i="5"/>
  <c r="BBD1" i="5"/>
  <c r="BBE1" i="5"/>
  <c r="BBF1" i="5"/>
  <c r="BBG1" i="5"/>
  <c r="BBH1" i="5"/>
  <c r="BBI1" i="5"/>
  <c r="BBJ1" i="5"/>
  <c r="BBK1" i="5"/>
  <c r="BBL1" i="5"/>
  <c r="BBM1" i="5"/>
  <c r="BBN1" i="5"/>
  <c r="BBO1" i="5"/>
  <c r="BBP1" i="5"/>
  <c r="BBQ1" i="5"/>
  <c r="BBR1" i="5"/>
  <c r="BBS1" i="5"/>
  <c r="BBT1" i="5"/>
  <c r="BBU1" i="5"/>
  <c r="BBV1" i="5"/>
  <c r="BBW1" i="5"/>
  <c r="BBX1" i="5"/>
  <c r="BBY1" i="5"/>
  <c r="BBZ1" i="5"/>
  <c r="BCA1" i="5"/>
  <c r="BCB1" i="5"/>
  <c r="BCC1" i="5"/>
  <c r="BCD1" i="5"/>
  <c r="BCE1" i="5"/>
  <c r="BCF1" i="5"/>
  <c r="BCG1" i="5"/>
  <c r="BCH1" i="5"/>
  <c r="BCI1" i="5"/>
  <c r="BCJ1" i="5"/>
  <c r="BCK1" i="5"/>
  <c r="BCL1" i="5"/>
  <c r="BCM1" i="5"/>
  <c r="BCN1" i="5"/>
  <c r="BCO1" i="5"/>
  <c r="BCP1" i="5"/>
  <c r="BCQ1" i="5"/>
  <c r="BCR1" i="5"/>
  <c r="BCS1" i="5"/>
  <c r="BCT1" i="5"/>
  <c r="BCU1" i="5"/>
  <c r="BCV1" i="5"/>
  <c r="BCW1" i="5"/>
  <c r="BCX1" i="5"/>
  <c r="BCY1" i="5"/>
  <c r="BCZ1" i="5"/>
  <c r="BDA1" i="5"/>
  <c r="BDB1" i="5"/>
  <c r="BDC1" i="5"/>
  <c r="BDD1" i="5"/>
  <c r="BDE1" i="5"/>
  <c r="BDF1" i="5"/>
  <c r="BDG1" i="5"/>
  <c r="BDH1" i="5"/>
  <c r="BDI1" i="5"/>
  <c r="BDJ1" i="5"/>
  <c r="BDK1" i="5"/>
  <c r="BDL1" i="5"/>
  <c r="BDM1" i="5"/>
  <c r="BDN1" i="5"/>
  <c r="BDO1" i="5"/>
  <c r="BDP1" i="5"/>
  <c r="BDQ1" i="5"/>
  <c r="BDR1" i="5"/>
  <c r="BDS1" i="5"/>
  <c r="BDT1" i="5"/>
  <c r="BDU1" i="5"/>
  <c r="BDV1" i="5"/>
  <c r="BDW1" i="5"/>
  <c r="BDX1" i="5"/>
  <c r="BDY1" i="5"/>
  <c r="BDZ1" i="5"/>
  <c r="BEA1" i="5"/>
  <c r="BEB1" i="5"/>
  <c r="BEC1" i="5"/>
  <c r="BED1" i="5"/>
  <c r="BEE1" i="5"/>
  <c r="BEF1" i="5"/>
  <c r="BEG1" i="5"/>
  <c r="BEH1" i="5"/>
  <c r="BEI1" i="5"/>
  <c r="BEJ1" i="5"/>
  <c r="BEK1" i="5"/>
  <c r="BEL1" i="5"/>
  <c r="BEM1" i="5"/>
  <c r="BEN1" i="5"/>
  <c r="BEO1" i="5"/>
  <c r="BEP1" i="5"/>
  <c r="BEQ1" i="5"/>
  <c r="BER1" i="5"/>
  <c r="BES1" i="5"/>
  <c r="BET1" i="5"/>
  <c r="BEU1" i="5"/>
  <c r="BEV1" i="5"/>
  <c r="BEW1" i="5"/>
  <c r="BEX1" i="5"/>
  <c r="BEY1" i="5"/>
  <c r="BEZ1" i="5"/>
  <c r="BFA1" i="5"/>
  <c r="BFB1" i="5"/>
  <c r="BFC1" i="5"/>
  <c r="BFD1" i="5"/>
  <c r="BFE1" i="5"/>
  <c r="BFF1" i="5"/>
  <c r="BFG1" i="5"/>
  <c r="BFH1" i="5"/>
  <c r="BFI1" i="5"/>
  <c r="BFJ1" i="5"/>
  <c r="BFK1" i="5"/>
  <c r="BFL1" i="5"/>
  <c r="BFM1" i="5"/>
  <c r="BFN1" i="5"/>
  <c r="BFO1" i="5"/>
  <c r="BFP1" i="5"/>
  <c r="BFQ1" i="5"/>
  <c r="BFR1" i="5"/>
  <c r="BFS1" i="5"/>
  <c r="BFT1" i="5"/>
  <c r="BFU1" i="5"/>
  <c r="BFV1" i="5"/>
  <c r="BFW1" i="5"/>
  <c r="BFX1" i="5"/>
  <c r="BFY1" i="5"/>
  <c r="BFZ1" i="5"/>
  <c r="BGA1" i="5"/>
  <c r="BGB1" i="5"/>
  <c r="BGC1" i="5"/>
  <c r="BGD1" i="5"/>
  <c r="BGE1" i="5"/>
  <c r="BGF1" i="5"/>
  <c r="BGG1" i="5"/>
  <c r="BGH1" i="5"/>
  <c r="BGI1" i="5"/>
  <c r="BGJ1" i="5"/>
  <c r="BGK1" i="5"/>
  <c r="BGL1" i="5"/>
  <c r="BGM1" i="5"/>
  <c r="BGN1" i="5"/>
  <c r="BGO1" i="5"/>
  <c r="BGP1" i="5"/>
  <c r="BGQ1" i="5"/>
  <c r="BGR1" i="5"/>
  <c r="BGS1" i="5"/>
  <c r="BGT1" i="5"/>
  <c r="BGU1" i="5"/>
  <c r="BGV1" i="5"/>
  <c r="BGW1" i="5"/>
  <c r="BGX1" i="5"/>
  <c r="BGY1" i="5"/>
  <c r="BGZ1" i="5"/>
  <c r="BHA1" i="5"/>
  <c r="BHB1" i="5"/>
  <c r="BHC1" i="5"/>
  <c r="BHD1" i="5"/>
  <c r="BHE1" i="5"/>
  <c r="BHF1" i="5"/>
  <c r="BHG1" i="5"/>
  <c r="BHH1" i="5"/>
  <c r="BHI1" i="5"/>
  <c r="BHJ1" i="5"/>
  <c r="BHK1" i="5"/>
  <c r="BHL1" i="5"/>
  <c r="BHM1" i="5"/>
  <c r="BHN1" i="5"/>
  <c r="BHO1" i="5"/>
  <c r="BHP1" i="5"/>
  <c r="BHQ1" i="5"/>
  <c r="BHR1" i="5"/>
  <c r="BHS1" i="5"/>
  <c r="BHT1" i="5"/>
  <c r="BHU1" i="5"/>
  <c r="BHV1" i="5"/>
  <c r="BHW1" i="5"/>
  <c r="BHX1" i="5"/>
  <c r="BHY1" i="5"/>
  <c r="BHZ1" i="5"/>
  <c r="BIA1" i="5"/>
  <c r="BIB1" i="5"/>
  <c r="BIC1" i="5"/>
  <c r="BID1" i="5"/>
  <c r="BIE1" i="5"/>
  <c r="BIF1" i="5"/>
  <c r="BIG1" i="5"/>
  <c r="BIH1" i="5"/>
  <c r="BII1" i="5"/>
  <c r="BIJ1" i="5"/>
  <c r="BIK1" i="5"/>
  <c r="BIL1" i="5"/>
  <c r="BIM1" i="5"/>
  <c r="BIN1" i="5"/>
  <c r="BIO1" i="5"/>
  <c r="BIP1" i="5"/>
  <c r="BIQ1" i="5"/>
  <c r="BIR1" i="5"/>
  <c r="BIS1" i="5"/>
  <c r="BIT1" i="5"/>
  <c r="BIU1" i="5"/>
  <c r="BIV1" i="5"/>
  <c r="BIW1" i="5"/>
  <c r="BIX1" i="5"/>
  <c r="BIY1" i="5"/>
  <c r="BIZ1" i="5"/>
  <c r="BJA1" i="5"/>
  <c r="BJB1" i="5"/>
  <c r="BJC1" i="5"/>
  <c r="BJD1" i="5"/>
  <c r="BJE1" i="5"/>
  <c r="BJF1" i="5"/>
  <c r="BJG1" i="5"/>
  <c r="BJH1" i="5"/>
  <c r="BJI1" i="5"/>
  <c r="BJJ1" i="5"/>
  <c r="BJK1" i="5"/>
  <c r="BJL1" i="5"/>
  <c r="BJM1" i="5"/>
  <c r="BJN1" i="5"/>
  <c r="BJO1" i="5"/>
  <c r="BJP1" i="5"/>
  <c r="BJQ1" i="5"/>
  <c r="BJR1" i="5"/>
  <c r="BJS1" i="5"/>
  <c r="BJT1" i="5"/>
  <c r="BJU1" i="5"/>
  <c r="BJV1" i="5"/>
  <c r="BJW1" i="5"/>
  <c r="BJX1" i="5"/>
  <c r="BJY1" i="5"/>
  <c r="BJZ1" i="5"/>
  <c r="BKA1" i="5"/>
  <c r="BKB1" i="5"/>
  <c r="BKC1" i="5"/>
  <c r="BKD1" i="5"/>
  <c r="BKE1" i="5"/>
  <c r="BKF1" i="5"/>
  <c r="BKG1" i="5"/>
  <c r="BKH1" i="5"/>
  <c r="BKI1" i="5"/>
  <c r="BKJ1" i="5"/>
  <c r="BKK1" i="5"/>
  <c r="BKL1" i="5"/>
  <c r="BKM1" i="5"/>
  <c r="BKN1" i="5"/>
  <c r="BKO1" i="5"/>
  <c r="BKP1" i="5"/>
  <c r="BKQ1" i="5"/>
  <c r="BKR1" i="5"/>
  <c r="BKS1" i="5"/>
  <c r="BKT1" i="5"/>
  <c r="BKU1" i="5"/>
  <c r="BKV1" i="5"/>
  <c r="BKW1" i="5"/>
  <c r="BKX1" i="5"/>
  <c r="BKY1" i="5"/>
  <c r="BKZ1" i="5"/>
  <c r="BLA1" i="5"/>
  <c r="BLB1" i="5"/>
  <c r="BLC1" i="5"/>
  <c r="BLD1" i="5"/>
  <c r="BLE1" i="5"/>
  <c r="BLF1" i="5"/>
  <c r="BLG1" i="5"/>
  <c r="BLH1" i="5"/>
  <c r="BLI1" i="5"/>
  <c r="BLJ1" i="5"/>
  <c r="BLK1" i="5"/>
  <c r="BLL1" i="5"/>
  <c r="BLM1" i="5"/>
  <c r="BLN1" i="5"/>
  <c r="BLO1" i="5"/>
  <c r="BLP1" i="5"/>
  <c r="BLQ1" i="5"/>
  <c r="BLR1" i="5"/>
  <c r="BLS1" i="5"/>
  <c r="BLT1" i="5"/>
  <c r="BLU1" i="5"/>
  <c r="BLV1" i="5"/>
  <c r="BLW1" i="5"/>
  <c r="BLX1" i="5"/>
  <c r="BLY1" i="5"/>
  <c r="BLZ1" i="5"/>
  <c r="BMA1" i="5"/>
  <c r="BMB1" i="5"/>
  <c r="BMC1" i="5"/>
  <c r="BMD1" i="5"/>
  <c r="BME1" i="5"/>
  <c r="BMF1" i="5"/>
  <c r="BMG1" i="5"/>
  <c r="BMH1" i="5"/>
  <c r="BMI1" i="5"/>
  <c r="BMJ1" i="5"/>
  <c r="BMK1" i="5"/>
  <c r="BML1" i="5"/>
  <c r="BMM1" i="5"/>
  <c r="BMN1" i="5"/>
  <c r="BMO1" i="5"/>
  <c r="BMP1" i="5"/>
  <c r="BMQ1" i="5"/>
  <c r="BMR1" i="5"/>
  <c r="BMS1" i="5"/>
  <c r="BMT1" i="5"/>
  <c r="BMU1" i="5"/>
  <c r="BMV1" i="5"/>
  <c r="BMW1" i="5"/>
  <c r="BMX1" i="5"/>
  <c r="BMY1" i="5"/>
  <c r="BMZ1" i="5"/>
  <c r="BNA1" i="5"/>
  <c r="BNB1" i="5"/>
  <c r="BNC1" i="5"/>
  <c r="BND1" i="5"/>
  <c r="BNE1" i="5"/>
  <c r="BNF1" i="5"/>
  <c r="BNG1" i="5"/>
  <c r="BNH1" i="5"/>
  <c r="BNI1" i="5"/>
  <c r="BNJ1" i="5"/>
  <c r="BNK1" i="5"/>
  <c r="BNL1" i="5"/>
  <c r="BNM1" i="5"/>
  <c r="BNN1" i="5"/>
  <c r="BNO1" i="5"/>
  <c r="BNP1" i="5"/>
  <c r="BNQ1" i="5"/>
  <c r="BNR1" i="5"/>
  <c r="BNS1" i="5"/>
  <c r="BNT1" i="5"/>
  <c r="BNU1" i="5"/>
  <c r="BNV1" i="5"/>
  <c r="BNW1" i="5"/>
  <c r="BNX1" i="5"/>
  <c r="BNY1" i="5"/>
  <c r="BNZ1" i="5"/>
  <c r="BOA1" i="5"/>
  <c r="BOB1" i="5"/>
  <c r="BOC1" i="5"/>
  <c r="BOD1" i="5"/>
  <c r="BOE1" i="5"/>
  <c r="BOF1" i="5"/>
  <c r="BOG1" i="5"/>
  <c r="BOH1" i="5"/>
  <c r="BOI1" i="5"/>
  <c r="BOJ1" i="5"/>
  <c r="BOK1" i="5"/>
  <c r="BOL1" i="5"/>
  <c r="BOM1" i="5"/>
  <c r="BON1" i="5"/>
  <c r="BOO1" i="5"/>
  <c r="BOP1" i="5"/>
  <c r="BOQ1" i="5"/>
  <c r="BOR1" i="5"/>
  <c r="BOS1" i="5"/>
  <c r="BOT1" i="5"/>
  <c r="BOU1" i="5"/>
  <c r="BOV1" i="5"/>
  <c r="BOW1" i="5"/>
  <c r="BOX1" i="5"/>
  <c r="BOY1" i="5"/>
  <c r="BOZ1" i="5"/>
  <c r="BPA1" i="5"/>
  <c r="BPB1" i="5"/>
  <c r="BPC1" i="5"/>
  <c r="BPD1" i="5"/>
  <c r="BPE1" i="5"/>
  <c r="BPF1" i="5"/>
  <c r="BPG1" i="5"/>
  <c r="BPH1" i="5"/>
  <c r="BPI1" i="5"/>
  <c r="BPJ1" i="5"/>
  <c r="BPK1" i="5"/>
  <c r="BPL1" i="5"/>
  <c r="BPM1" i="5"/>
  <c r="BPN1" i="5"/>
  <c r="BPO1" i="5"/>
  <c r="BPP1" i="5"/>
  <c r="BPQ1" i="5"/>
  <c r="BPR1" i="5"/>
  <c r="BPS1" i="5"/>
  <c r="BPT1" i="5"/>
  <c r="BPU1" i="5"/>
  <c r="BPV1" i="5"/>
  <c r="BPW1" i="5"/>
  <c r="BPX1" i="5"/>
  <c r="BPY1" i="5"/>
  <c r="BPZ1" i="5"/>
  <c r="BQA1" i="5"/>
  <c r="BQB1" i="5"/>
  <c r="BQC1" i="5"/>
  <c r="BQD1" i="5"/>
  <c r="BQE1" i="5"/>
  <c r="BQF1" i="5"/>
  <c r="BQG1" i="5"/>
  <c r="BQH1" i="5"/>
  <c r="BQI1" i="5"/>
  <c r="BQJ1" i="5"/>
  <c r="BQK1" i="5"/>
  <c r="BQL1" i="5"/>
  <c r="BQM1" i="5"/>
  <c r="BQN1" i="5"/>
  <c r="BQO1" i="5"/>
  <c r="BQP1" i="5"/>
  <c r="BQQ1" i="5"/>
  <c r="BQR1" i="5"/>
  <c r="BQS1" i="5"/>
  <c r="BQT1" i="5"/>
  <c r="BQU1" i="5"/>
  <c r="BQV1" i="5"/>
  <c r="BQW1" i="5"/>
  <c r="BQX1" i="5"/>
  <c r="BQY1" i="5"/>
  <c r="BQZ1" i="5"/>
  <c r="BRA1" i="5"/>
  <c r="BRB1" i="5"/>
  <c r="BRC1" i="5"/>
  <c r="BRD1" i="5"/>
  <c r="BRE1" i="5"/>
  <c r="BRF1" i="5"/>
  <c r="BRG1" i="5"/>
  <c r="BRH1" i="5"/>
  <c r="BRI1" i="5"/>
  <c r="BRJ1" i="5"/>
  <c r="BRK1" i="5"/>
  <c r="BRL1" i="5"/>
  <c r="BRM1" i="5"/>
  <c r="BRN1" i="5"/>
  <c r="BRO1" i="5"/>
  <c r="BRP1" i="5"/>
  <c r="BRQ1" i="5"/>
  <c r="BRR1" i="5"/>
  <c r="BRS1" i="5"/>
  <c r="BRT1" i="5"/>
  <c r="BRU1" i="5"/>
  <c r="BRV1" i="5"/>
  <c r="BRW1" i="5"/>
  <c r="BRX1" i="5"/>
  <c r="BRY1" i="5"/>
  <c r="BRZ1" i="5"/>
  <c r="BSA1" i="5"/>
  <c r="BSB1" i="5"/>
  <c r="BSC1" i="5"/>
  <c r="BSD1" i="5"/>
  <c r="BSE1" i="5"/>
  <c r="BSF1" i="5"/>
  <c r="BSG1" i="5"/>
  <c r="BSH1" i="5"/>
  <c r="BSI1" i="5"/>
  <c r="BSJ1" i="5"/>
  <c r="BSK1" i="5"/>
  <c r="BSL1" i="5"/>
  <c r="BSM1" i="5"/>
  <c r="BSN1" i="5"/>
  <c r="BSO1" i="5"/>
  <c r="BSP1" i="5"/>
  <c r="BSQ1" i="5"/>
  <c r="BSR1" i="5"/>
  <c r="BSS1" i="5"/>
  <c r="BST1" i="5"/>
  <c r="BSU1" i="5"/>
  <c r="BSV1" i="5"/>
  <c r="BSW1" i="5"/>
  <c r="BSX1" i="5"/>
  <c r="BSY1" i="5"/>
  <c r="BSZ1" i="5"/>
  <c r="BTA1" i="5"/>
  <c r="BTB1" i="5"/>
  <c r="BTC1" i="5"/>
  <c r="BTD1" i="5"/>
  <c r="BTE1" i="5"/>
  <c r="BTF1" i="5"/>
  <c r="BTG1" i="5"/>
  <c r="BTH1" i="5"/>
  <c r="BTI1" i="5"/>
  <c r="BTJ1" i="5"/>
  <c r="BTK1" i="5"/>
  <c r="BTL1" i="5"/>
  <c r="BTM1" i="5"/>
  <c r="BTN1" i="5"/>
  <c r="BTO1" i="5"/>
  <c r="BTP1" i="5"/>
  <c r="BTQ1" i="5"/>
  <c r="BTR1" i="5"/>
  <c r="BTS1" i="5"/>
  <c r="BTT1" i="5"/>
  <c r="BTU1" i="5"/>
  <c r="BTV1" i="5"/>
  <c r="BTW1" i="5"/>
  <c r="BTX1" i="5"/>
  <c r="BTY1" i="5"/>
  <c r="BTZ1" i="5"/>
  <c r="BUA1" i="5"/>
  <c r="BUB1" i="5"/>
  <c r="BUC1" i="5"/>
  <c r="BUD1" i="5"/>
  <c r="BUE1" i="5"/>
  <c r="BUF1" i="5"/>
  <c r="BUG1" i="5"/>
  <c r="BUH1" i="5"/>
  <c r="BUI1" i="5"/>
  <c r="BUJ1" i="5"/>
  <c r="BUK1" i="5"/>
  <c r="BUL1" i="5"/>
  <c r="BUM1" i="5"/>
  <c r="BUN1" i="5"/>
  <c r="BUO1" i="5"/>
  <c r="BUP1" i="5"/>
  <c r="BUQ1" i="5"/>
  <c r="BUR1" i="5"/>
  <c r="BUS1" i="5"/>
  <c r="BUT1" i="5"/>
  <c r="BUU1" i="5"/>
  <c r="BUV1" i="5"/>
  <c r="BUW1" i="5"/>
  <c r="BUX1" i="5"/>
  <c r="BUY1" i="5"/>
  <c r="BUZ1" i="5"/>
  <c r="BVA1" i="5"/>
  <c r="BVB1" i="5"/>
  <c r="BVC1" i="5"/>
  <c r="BVD1" i="5"/>
  <c r="BVE1" i="5"/>
  <c r="BVF1" i="5"/>
  <c r="BVG1" i="5"/>
  <c r="BVH1" i="5"/>
  <c r="BVI1" i="5"/>
  <c r="BVJ1" i="5"/>
  <c r="BVK1" i="5"/>
  <c r="BVL1" i="5"/>
  <c r="BVM1" i="5"/>
  <c r="BVN1" i="5"/>
  <c r="BVO1" i="5"/>
  <c r="BVP1" i="5"/>
  <c r="BVQ1" i="5"/>
  <c r="BVR1" i="5"/>
  <c r="BVS1" i="5"/>
  <c r="BVT1" i="5"/>
  <c r="BVU1" i="5"/>
  <c r="BVV1" i="5"/>
  <c r="BVW1" i="5"/>
  <c r="BVX1" i="5"/>
  <c r="BVY1" i="5"/>
  <c r="BVZ1" i="5"/>
  <c r="BWA1" i="5"/>
  <c r="BWB1" i="5"/>
  <c r="BWC1" i="5"/>
  <c r="BWD1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EQ2" i="5"/>
  <c r="BER2" i="5"/>
  <c r="BES2" i="5"/>
  <c r="BET2" i="5"/>
  <c r="BEU2" i="5"/>
  <c r="BEV2" i="5"/>
  <c r="BEW2" i="5"/>
  <c r="BEX2" i="5"/>
  <c r="BEY2" i="5"/>
  <c r="BEZ2" i="5"/>
  <c r="BFA2" i="5"/>
  <c r="BFB2" i="5"/>
  <c r="BFC2" i="5"/>
  <c r="BFD2" i="5"/>
  <c r="BFE2" i="5"/>
  <c r="BFF2" i="5"/>
  <c r="BFG2" i="5"/>
  <c r="BFH2" i="5"/>
  <c r="BFI2" i="5"/>
  <c r="BFJ2" i="5"/>
  <c r="BFK2" i="5"/>
  <c r="BFL2" i="5"/>
  <c r="BFM2" i="5"/>
  <c r="BFN2" i="5"/>
  <c r="BFO2" i="5"/>
  <c r="BFP2" i="5"/>
  <c r="BFQ2" i="5"/>
  <c r="BFR2" i="5"/>
  <c r="BFS2" i="5"/>
  <c r="BFT2" i="5"/>
  <c r="BFU2" i="5"/>
  <c r="BFV2" i="5"/>
  <c r="BFW2" i="5"/>
  <c r="BFX2" i="5"/>
  <c r="BFY2" i="5"/>
  <c r="BFZ2" i="5"/>
  <c r="BGA2" i="5"/>
  <c r="BGB2" i="5"/>
  <c r="BGC2" i="5"/>
  <c r="BGD2" i="5"/>
  <c r="BGE2" i="5"/>
  <c r="BGF2" i="5"/>
  <c r="BGG2" i="5"/>
  <c r="BGH2" i="5"/>
  <c r="BGI2" i="5"/>
  <c r="BGJ2" i="5"/>
  <c r="BGK2" i="5"/>
  <c r="BGL2" i="5"/>
  <c r="BGM2" i="5"/>
  <c r="BGN2" i="5"/>
  <c r="BGO2" i="5"/>
  <c r="BGP2" i="5"/>
  <c r="BGQ2" i="5"/>
  <c r="BGR2" i="5"/>
  <c r="BGS2" i="5"/>
  <c r="BGT2" i="5"/>
  <c r="BGU2" i="5"/>
  <c r="BGV2" i="5"/>
  <c r="BGW2" i="5"/>
  <c r="BGX2" i="5"/>
  <c r="BGY2" i="5"/>
  <c r="BGZ2" i="5"/>
  <c r="BHA2" i="5"/>
  <c r="BHB2" i="5"/>
  <c r="BHC2" i="5"/>
  <c r="BHD2" i="5"/>
  <c r="BHE2" i="5"/>
  <c r="BHF2" i="5"/>
  <c r="BHG2" i="5"/>
  <c r="BHH2" i="5"/>
  <c r="BHI2" i="5"/>
  <c r="BHJ2" i="5"/>
  <c r="BHK2" i="5"/>
  <c r="BHL2" i="5"/>
  <c r="BHM2" i="5"/>
  <c r="BHN2" i="5"/>
  <c r="BHO2" i="5"/>
  <c r="BHP2" i="5"/>
  <c r="BHQ2" i="5"/>
  <c r="BHR2" i="5"/>
  <c r="BHS2" i="5"/>
  <c r="BHT2" i="5"/>
  <c r="BHU2" i="5"/>
  <c r="BHV2" i="5"/>
  <c r="BHW2" i="5"/>
  <c r="BHX2" i="5"/>
  <c r="BHY2" i="5"/>
  <c r="BHZ2" i="5"/>
  <c r="BIA2" i="5"/>
  <c r="BIB2" i="5"/>
  <c r="BIC2" i="5"/>
  <c r="BID2" i="5"/>
  <c r="BIE2" i="5"/>
  <c r="BIF2" i="5"/>
  <c r="BIG2" i="5"/>
  <c r="BIH2" i="5"/>
  <c r="BII2" i="5"/>
  <c r="BIJ2" i="5"/>
  <c r="BIK2" i="5"/>
  <c r="BIL2" i="5"/>
  <c r="BIM2" i="5"/>
  <c r="BIN2" i="5"/>
  <c r="BIO2" i="5"/>
  <c r="BIP2" i="5"/>
  <c r="BIQ2" i="5"/>
  <c r="BIR2" i="5"/>
  <c r="BIS2" i="5"/>
  <c r="BIT2" i="5"/>
  <c r="BIU2" i="5"/>
  <c r="BIV2" i="5"/>
  <c r="BIW2" i="5"/>
  <c r="BIX2" i="5"/>
  <c r="BIY2" i="5"/>
  <c r="BIZ2" i="5"/>
  <c r="BJA2" i="5"/>
  <c r="BJB2" i="5"/>
  <c r="BJC2" i="5"/>
  <c r="BJD2" i="5"/>
  <c r="BJE2" i="5"/>
  <c r="BJF2" i="5"/>
  <c r="BJG2" i="5"/>
  <c r="BJH2" i="5"/>
  <c r="BJI2" i="5"/>
  <c r="BJJ2" i="5"/>
  <c r="BJK2" i="5"/>
  <c r="BJL2" i="5"/>
  <c r="BJM2" i="5"/>
  <c r="BJN2" i="5"/>
  <c r="BJO2" i="5"/>
  <c r="BJP2" i="5"/>
  <c r="BJQ2" i="5"/>
  <c r="BJR2" i="5"/>
  <c r="BJS2" i="5"/>
  <c r="BJT2" i="5"/>
  <c r="BJU2" i="5"/>
  <c r="BJV2" i="5"/>
  <c r="BJW2" i="5"/>
  <c r="BJX2" i="5"/>
  <c r="BJY2" i="5"/>
  <c r="BJZ2" i="5"/>
  <c r="BKA2" i="5"/>
  <c r="BKB2" i="5"/>
  <c r="BKC2" i="5"/>
  <c r="BKD2" i="5"/>
  <c r="BKE2" i="5"/>
  <c r="BKF2" i="5"/>
  <c r="BKG2" i="5"/>
  <c r="BKH2" i="5"/>
  <c r="BKI2" i="5"/>
  <c r="BKJ2" i="5"/>
  <c r="BKK2" i="5"/>
  <c r="BKL2" i="5"/>
  <c r="BKM2" i="5"/>
  <c r="BKN2" i="5"/>
  <c r="BKO2" i="5"/>
  <c r="BKP2" i="5"/>
  <c r="BKQ2" i="5"/>
  <c r="BKR2" i="5"/>
  <c r="BKS2" i="5"/>
  <c r="BKT2" i="5"/>
  <c r="BKU2" i="5"/>
  <c r="BKV2" i="5"/>
  <c r="BKW2" i="5"/>
  <c r="BKX2" i="5"/>
  <c r="BKY2" i="5"/>
  <c r="BKZ2" i="5"/>
  <c r="BLA2" i="5"/>
  <c r="BLB2" i="5"/>
  <c r="BLC2" i="5"/>
  <c r="BLD2" i="5"/>
  <c r="BLE2" i="5"/>
  <c r="BLF2" i="5"/>
  <c r="BLG2" i="5"/>
  <c r="BLH2" i="5"/>
  <c r="BLI2" i="5"/>
  <c r="BLJ2" i="5"/>
  <c r="BLK2" i="5"/>
  <c r="BLL2" i="5"/>
  <c r="BLM2" i="5"/>
  <c r="BLN2" i="5"/>
  <c r="BLO2" i="5"/>
  <c r="BLP2" i="5"/>
  <c r="BLQ2" i="5"/>
  <c r="BLR2" i="5"/>
  <c r="BLS2" i="5"/>
  <c r="BLT2" i="5"/>
  <c r="BLU2" i="5"/>
  <c r="BLV2" i="5"/>
  <c r="BLW2" i="5"/>
  <c r="BLX2" i="5"/>
  <c r="BLY2" i="5"/>
  <c r="BLZ2" i="5"/>
  <c r="BMA2" i="5"/>
  <c r="BMB2" i="5"/>
  <c r="BMC2" i="5"/>
  <c r="BMD2" i="5"/>
  <c r="BME2" i="5"/>
  <c r="BMF2" i="5"/>
  <c r="BMG2" i="5"/>
  <c r="BMH2" i="5"/>
  <c r="BMI2" i="5"/>
  <c r="BMJ2" i="5"/>
  <c r="BMK2" i="5"/>
  <c r="BML2" i="5"/>
  <c r="BMM2" i="5"/>
  <c r="BMN2" i="5"/>
  <c r="BMO2" i="5"/>
  <c r="BMP2" i="5"/>
  <c r="BMQ2" i="5"/>
  <c r="BMR2" i="5"/>
  <c r="BMS2" i="5"/>
  <c r="BMT2" i="5"/>
  <c r="BMU2" i="5"/>
  <c r="BMV2" i="5"/>
  <c r="BMW2" i="5"/>
  <c r="BMX2" i="5"/>
  <c r="BMY2" i="5"/>
  <c r="BMZ2" i="5"/>
  <c r="BNA2" i="5"/>
  <c r="BNB2" i="5"/>
  <c r="BNC2" i="5"/>
  <c r="BND2" i="5"/>
  <c r="BNE2" i="5"/>
  <c r="BNF2" i="5"/>
  <c r="BNG2" i="5"/>
  <c r="BNH2" i="5"/>
  <c r="BNI2" i="5"/>
  <c r="BNJ2" i="5"/>
  <c r="BNK2" i="5"/>
  <c r="BNL2" i="5"/>
  <c r="BNM2" i="5"/>
  <c r="BNN2" i="5"/>
  <c r="BNO2" i="5"/>
  <c r="BNP2" i="5"/>
  <c r="BNQ2" i="5"/>
  <c r="BNR2" i="5"/>
  <c r="BNS2" i="5"/>
  <c r="BNT2" i="5"/>
  <c r="BNU2" i="5"/>
  <c r="BNV2" i="5"/>
  <c r="BNW2" i="5"/>
  <c r="BNX2" i="5"/>
  <c r="BNY2" i="5"/>
  <c r="BNZ2" i="5"/>
  <c r="BOA2" i="5"/>
  <c r="BOB2" i="5"/>
  <c r="BOC2" i="5"/>
  <c r="BOD2" i="5"/>
  <c r="BOE2" i="5"/>
  <c r="BOF2" i="5"/>
  <c r="BOG2" i="5"/>
  <c r="BOH2" i="5"/>
  <c r="BOI2" i="5"/>
  <c r="BOJ2" i="5"/>
  <c r="BOK2" i="5"/>
  <c r="BOL2" i="5"/>
  <c r="BOM2" i="5"/>
  <c r="BON2" i="5"/>
  <c r="BOO2" i="5"/>
  <c r="BOP2" i="5"/>
  <c r="BOQ2" i="5"/>
  <c r="BOR2" i="5"/>
  <c r="BOS2" i="5"/>
  <c r="BOT2" i="5"/>
  <c r="BOU2" i="5"/>
  <c r="BOV2" i="5"/>
  <c r="BOW2" i="5"/>
  <c r="BOX2" i="5"/>
  <c r="BOY2" i="5"/>
  <c r="BOZ2" i="5"/>
  <c r="BPA2" i="5"/>
  <c r="BPB2" i="5"/>
  <c r="BPC2" i="5"/>
  <c r="BPD2" i="5"/>
  <c r="BPE2" i="5"/>
  <c r="BPF2" i="5"/>
  <c r="BPG2" i="5"/>
  <c r="BPH2" i="5"/>
  <c r="BPI2" i="5"/>
  <c r="BPJ2" i="5"/>
  <c r="BPK2" i="5"/>
  <c r="BPL2" i="5"/>
  <c r="BPM2" i="5"/>
  <c r="BPN2" i="5"/>
  <c r="BPO2" i="5"/>
  <c r="BPP2" i="5"/>
  <c r="BPQ2" i="5"/>
  <c r="BPR2" i="5"/>
  <c r="BPS2" i="5"/>
  <c r="BPT2" i="5"/>
  <c r="BPU2" i="5"/>
  <c r="BPV2" i="5"/>
  <c r="BPW2" i="5"/>
  <c r="BPX2" i="5"/>
  <c r="BPY2" i="5"/>
  <c r="BPZ2" i="5"/>
  <c r="BQA2" i="5"/>
  <c r="BQB2" i="5"/>
  <c r="BQC2" i="5"/>
  <c r="BQD2" i="5"/>
  <c r="BQE2" i="5"/>
  <c r="BQF2" i="5"/>
  <c r="BQG2" i="5"/>
  <c r="BQH2" i="5"/>
  <c r="BQI2" i="5"/>
  <c r="BQJ2" i="5"/>
  <c r="BQK2" i="5"/>
  <c r="BQL2" i="5"/>
  <c r="BQM2" i="5"/>
  <c r="BQN2" i="5"/>
  <c r="BQO2" i="5"/>
  <c r="BQP2" i="5"/>
  <c r="BQQ2" i="5"/>
  <c r="BQR2" i="5"/>
  <c r="BQS2" i="5"/>
  <c r="BQT2" i="5"/>
  <c r="BQU2" i="5"/>
  <c r="BQV2" i="5"/>
  <c r="BQW2" i="5"/>
  <c r="BQX2" i="5"/>
  <c r="BQY2" i="5"/>
  <c r="BQZ2" i="5"/>
  <c r="BRA2" i="5"/>
  <c r="BRB2" i="5"/>
  <c r="BRC2" i="5"/>
  <c r="BRD2" i="5"/>
  <c r="BRE2" i="5"/>
  <c r="BRF2" i="5"/>
  <c r="BRG2" i="5"/>
  <c r="BRH2" i="5"/>
  <c r="BRI2" i="5"/>
  <c r="BRJ2" i="5"/>
  <c r="BRK2" i="5"/>
  <c r="BRL2" i="5"/>
  <c r="BRM2" i="5"/>
  <c r="BRN2" i="5"/>
  <c r="BRO2" i="5"/>
  <c r="BRP2" i="5"/>
  <c r="BRQ2" i="5"/>
  <c r="BRR2" i="5"/>
  <c r="BRS2" i="5"/>
  <c r="BRT2" i="5"/>
  <c r="BRU2" i="5"/>
  <c r="BRV2" i="5"/>
  <c r="BRW2" i="5"/>
  <c r="BRX2" i="5"/>
  <c r="BRY2" i="5"/>
  <c r="BRZ2" i="5"/>
  <c r="BSA2" i="5"/>
  <c r="BSB2" i="5"/>
  <c r="BSC2" i="5"/>
  <c r="BSD2" i="5"/>
  <c r="BSE2" i="5"/>
  <c r="BSF2" i="5"/>
  <c r="BSG2" i="5"/>
  <c r="BSH2" i="5"/>
  <c r="BSI2" i="5"/>
  <c r="BSJ2" i="5"/>
  <c r="BSK2" i="5"/>
  <c r="BSL2" i="5"/>
  <c r="BSM2" i="5"/>
  <c r="BSN2" i="5"/>
  <c r="BSO2" i="5"/>
  <c r="BSP2" i="5"/>
  <c r="BSQ2" i="5"/>
  <c r="BSR2" i="5"/>
  <c r="BSS2" i="5"/>
  <c r="BST2" i="5"/>
  <c r="BSU2" i="5"/>
  <c r="BSV2" i="5"/>
  <c r="BSW2" i="5"/>
  <c r="BSX2" i="5"/>
  <c r="BSY2" i="5"/>
  <c r="BSZ2" i="5"/>
  <c r="BTA2" i="5"/>
  <c r="BTB2" i="5"/>
  <c r="BTC2" i="5"/>
  <c r="BTD2" i="5"/>
  <c r="BTE2" i="5"/>
  <c r="BTF2" i="5"/>
  <c r="BTG2" i="5"/>
  <c r="BTH2" i="5"/>
  <c r="BTI2" i="5"/>
  <c r="BTJ2" i="5"/>
  <c r="BTK2" i="5"/>
  <c r="BTL2" i="5"/>
  <c r="BTM2" i="5"/>
  <c r="BTN2" i="5"/>
  <c r="BTO2" i="5"/>
  <c r="BTP2" i="5"/>
  <c r="BTQ2" i="5"/>
  <c r="BTR2" i="5"/>
  <c r="BTS2" i="5"/>
  <c r="BTT2" i="5"/>
  <c r="BTU2" i="5"/>
  <c r="BTV2" i="5"/>
  <c r="BTW2" i="5"/>
  <c r="BTX2" i="5"/>
  <c r="BTY2" i="5"/>
  <c r="BTZ2" i="5"/>
  <c r="BUA2" i="5"/>
  <c r="BUB2" i="5"/>
  <c r="BUC2" i="5"/>
  <c r="BUD2" i="5"/>
  <c r="BUE2" i="5"/>
  <c r="BUF2" i="5"/>
  <c r="BUG2" i="5"/>
  <c r="BUH2" i="5"/>
  <c r="BUI2" i="5"/>
  <c r="BUJ2" i="5"/>
  <c r="BUK2" i="5"/>
  <c r="BUL2" i="5"/>
  <c r="BUM2" i="5"/>
  <c r="BUN2" i="5"/>
  <c r="BUO2" i="5"/>
  <c r="BUP2" i="5"/>
  <c r="BUQ2" i="5"/>
  <c r="BUR2" i="5"/>
  <c r="BUS2" i="5"/>
  <c r="BUT2" i="5"/>
  <c r="BUU2" i="5"/>
  <c r="BUV2" i="5"/>
  <c r="BUW2" i="5"/>
  <c r="BUX2" i="5"/>
  <c r="BUY2" i="5"/>
  <c r="BUZ2" i="5"/>
  <c r="BVA2" i="5"/>
  <c r="BVB2" i="5"/>
  <c r="BVC2" i="5"/>
  <c r="BVD2" i="5"/>
  <c r="BVE2" i="5"/>
  <c r="BVF2" i="5"/>
  <c r="BVG2" i="5"/>
  <c r="BVH2" i="5"/>
  <c r="BVI2" i="5"/>
  <c r="BVJ2" i="5"/>
  <c r="BVK2" i="5"/>
  <c r="BVL2" i="5"/>
  <c r="BVM2" i="5"/>
  <c r="BVN2" i="5"/>
  <c r="BVO2" i="5"/>
  <c r="BVP2" i="5"/>
  <c r="BVQ2" i="5"/>
  <c r="BVR2" i="5"/>
  <c r="BVS2" i="5"/>
  <c r="BVT2" i="5"/>
  <c r="BVU2" i="5"/>
  <c r="BVV2" i="5"/>
  <c r="BVW2" i="5"/>
  <c r="BVX2" i="5"/>
  <c r="BVY2" i="5"/>
  <c r="BVZ2" i="5"/>
  <c r="BWA2" i="5"/>
  <c r="BWB2" i="5"/>
  <c r="BWC2" i="5"/>
  <c r="BWD2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ND3" i="5"/>
  <c r="NE3" i="5"/>
  <c r="NF3" i="5"/>
  <c r="NG3" i="5"/>
  <c r="NH3" i="5"/>
  <c r="NI3" i="5"/>
  <c r="NJ3" i="5"/>
  <c r="NK3" i="5"/>
  <c r="NL3" i="5"/>
  <c r="NM3" i="5"/>
  <c r="NN3" i="5"/>
  <c r="NO3" i="5"/>
  <c r="NP3" i="5"/>
  <c r="NQ3" i="5"/>
  <c r="NR3" i="5"/>
  <c r="NS3" i="5"/>
  <c r="NT3" i="5"/>
  <c r="NU3" i="5"/>
  <c r="NV3" i="5"/>
  <c r="NW3" i="5"/>
  <c r="NX3" i="5"/>
  <c r="NY3" i="5"/>
  <c r="NZ3" i="5"/>
  <c r="OA3" i="5"/>
  <c r="OB3" i="5"/>
  <c r="OC3" i="5"/>
  <c r="OD3" i="5"/>
  <c r="OE3" i="5"/>
  <c r="OF3" i="5"/>
  <c r="OG3" i="5"/>
  <c r="OH3" i="5"/>
  <c r="OI3" i="5"/>
  <c r="OJ3" i="5"/>
  <c r="OK3" i="5"/>
  <c r="OL3" i="5"/>
  <c r="OM3" i="5"/>
  <c r="ON3" i="5"/>
  <c r="OO3" i="5"/>
  <c r="OP3" i="5"/>
  <c r="OQ3" i="5"/>
  <c r="OR3" i="5"/>
  <c r="OS3" i="5"/>
  <c r="OT3" i="5"/>
  <c r="OU3" i="5"/>
  <c r="OV3" i="5"/>
  <c r="OW3" i="5"/>
  <c r="OX3" i="5"/>
  <c r="OY3" i="5"/>
  <c r="OZ3" i="5"/>
  <c r="PA3" i="5"/>
  <c r="PB3" i="5"/>
  <c r="PC3" i="5"/>
  <c r="PD3" i="5"/>
  <c r="PE3" i="5"/>
  <c r="PF3" i="5"/>
  <c r="PG3" i="5"/>
  <c r="PH3" i="5"/>
  <c r="PI3" i="5"/>
  <c r="PJ3" i="5"/>
  <c r="PK3" i="5"/>
  <c r="PL3" i="5"/>
  <c r="PM3" i="5"/>
  <c r="PN3" i="5"/>
  <c r="PO3" i="5"/>
  <c r="PP3" i="5"/>
  <c r="PQ3" i="5"/>
  <c r="PR3" i="5"/>
  <c r="PS3" i="5"/>
  <c r="PT3" i="5"/>
  <c r="PU3" i="5"/>
  <c r="PV3" i="5"/>
  <c r="PW3" i="5"/>
  <c r="PX3" i="5"/>
  <c r="PY3" i="5"/>
  <c r="PZ3" i="5"/>
  <c r="QA3" i="5"/>
  <c r="QB3" i="5"/>
  <c r="QC3" i="5"/>
  <c r="QD3" i="5"/>
  <c r="QE3" i="5"/>
  <c r="QF3" i="5"/>
  <c r="QG3" i="5"/>
  <c r="QH3" i="5"/>
  <c r="QI3" i="5"/>
  <c r="QJ3" i="5"/>
  <c r="QK3" i="5"/>
  <c r="QL3" i="5"/>
  <c r="QM3" i="5"/>
  <c r="QN3" i="5"/>
  <c r="QO3" i="5"/>
  <c r="QP3" i="5"/>
  <c r="QQ3" i="5"/>
  <c r="QR3" i="5"/>
  <c r="QS3" i="5"/>
  <c r="QT3" i="5"/>
  <c r="QU3" i="5"/>
  <c r="QV3" i="5"/>
  <c r="QW3" i="5"/>
  <c r="QX3" i="5"/>
  <c r="QY3" i="5"/>
  <c r="QZ3" i="5"/>
  <c r="RA3" i="5"/>
  <c r="RB3" i="5"/>
  <c r="RC3" i="5"/>
  <c r="RD3" i="5"/>
  <c r="RE3" i="5"/>
  <c r="RF3" i="5"/>
  <c r="RG3" i="5"/>
  <c r="RH3" i="5"/>
  <c r="RI3" i="5"/>
  <c r="RJ3" i="5"/>
  <c r="RK3" i="5"/>
  <c r="RL3" i="5"/>
  <c r="RM3" i="5"/>
  <c r="RN3" i="5"/>
  <c r="RO3" i="5"/>
  <c r="RP3" i="5"/>
  <c r="RQ3" i="5"/>
  <c r="RR3" i="5"/>
  <c r="RS3" i="5"/>
  <c r="RT3" i="5"/>
  <c r="RU3" i="5"/>
  <c r="RV3" i="5"/>
  <c r="RW3" i="5"/>
  <c r="RX3" i="5"/>
  <c r="RY3" i="5"/>
  <c r="RZ3" i="5"/>
  <c r="SA3" i="5"/>
  <c r="SB3" i="5"/>
  <c r="SC3" i="5"/>
  <c r="SD3" i="5"/>
  <c r="SE3" i="5"/>
  <c r="SF3" i="5"/>
  <c r="SG3" i="5"/>
  <c r="SH3" i="5"/>
  <c r="SI3" i="5"/>
  <c r="SJ3" i="5"/>
  <c r="SK3" i="5"/>
  <c r="SL3" i="5"/>
  <c r="SM3" i="5"/>
  <c r="SN3" i="5"/>
  <c r="SO3" i="5"/>
  <c r="SP3" i="5"/>
  <c r="SQ3" i="5"/>
  <c r="SR3" i="5"/>
  <c r="SS3" i="5"/>
  <c r="ST3" i="5"/>
  <c r="SU3" i="5"/>
  <c r="SV3" i="5"/>
  <c r="SW3" i="5"/>
  <c r="SX3" i="5"/>
  <c r="SY3" i="5"/>
  <c r="SZ3" i="5"/>
  <c r="TA3" i="5"/>
  <c r="TB3" i="5"/>
  <c r="TC3" i="5"/>
  <c r="TD3" i="5"/>
  <c r="TE3" i="5"/>
  <c r="TF3" i="5"/>
  <c r="TG3" i="5"/>
  <c r="TH3" i="5"/>
  <c r="TI3" i="5"/>
  <c r="TJ3" i="5"/>
  <c r="TK3" i="5"/>
  <c r="TL3" i="5"/>
  <c r="TM3" i="5"/>
  <c r="TN3" i="5"/>
  <c r="TO3" i="5"/>
  <c r="TP3" i="5"/>
  <c r="TQ3" i="5"/>
  <c r="TR3" i="5"/>
  <c r="TS3" i="5"/>
  <c r="TT3" i="5"/>
  <c r="TU3" i="5"/>
  <c r="TV3" i="5"/>
  <c r="TW3" i="5"/>
  <c r="TX3" i="5"/>
  <c r="TY3" i="5"/>
  <c r="TZ3" i="5"/>
  <c r="UA3" i="5"/>
  <c r="UB3" i="5"/>
  <c r="UC3" i="5"/>
  <c r="UD3" i="5"/>
  <c r="UE3" i="5"/>
  <c r="UF3" i="5"/>
  <c r="UG3" i="5"/>
  <c r="UH3" i="5"/>
  <c r="UI3" i="5"/>
  <c r="UJ3" i="5"/>
  <c r="UK3" i="5"/>
  <c r="UL3" i="5"/>
  <c r="UM3" i="5"/>
  <c r="UN3" i="5"/>
  <c r="UO3" i="5"/>
  <c r="UP3" i="5"/>
  <c r="UQ3" i="5"/>
  <c r="UR3" i="5"/>
  <c r="US3" i="5"/>
  <c r="UT3" i="5"/>
  <c r="UU3" i="5"/>
  <c r="UV3" i="5"/>
  <c r="UW3" i="5"/>
  <c r="UX3" i="5"/>
  <c r="UY3" i="5"/>
  <c r="UZ3" i="5"/>
  <c r="VA3" i="5"/>
  <c r="VB3" i="5"/>
  <c r="VC3" i="5"/>
  <c r="VD3" i="5"/>
  <c r="VE3" i="5"/>
  <c r="VF3" i="5"/>
  <c r="VG3" i="5"/>
  <c r="VH3" i="5"/>
  <c r="VI3" i="5"/>
  <c r="VJ3" i="5"/>
  <c r="VK3" i="5"/>
  <c r="VL3" i="5"/>
  <c r="VM3" i="5"/>
  <c r="VN3" i="5"/>
  <c r="VO3" i="5"/>
  <c r="VP3" i="5"/>
  <c r="VQ3" i="5"/>
  <c r="VR3" i="5"/>
  <c r="VS3" i="5"/>
  <c r="VT3" i="5"/>
  <c r="VU3" i="5"/>
  <c r="VV3" i="5"/>
  <c r="VW3" i="5"/>
  <c r="VX3" i="5"/>
  <c r="VY3" i="5"/>
  <c r="VZ3" i="5"/>
  <c r="WA3" i="5"/>
  <c r="WB3" i="5"/>
  <c r="WC3" i="5"/>
  <c r="WD3" i="5"/>
  <c r="WE3" i="5"/>
  <c r="WF3" i="5"/>
  <c r="WG3" i="5"/>
  <c r="WH3" i="5"/>
  <c r="WI3" i="5"/>
  <c r="WJ3" i="5"/>
  <c r="WK3" i="5"/>
  <c r="WL3" i="5"/>
  <c r="WM3" i="5"/>
  <c r="WN3" i="5"/>
  <c r="WO3" i="5"/>
  <c r="WP3" i="5"/>
  <c r="WQ3" i="5"/>
  <c r="WR3" i="5"/>
  <c r="WS3" i="5"/>
  <c r="WT3" i="5"/>
  <c r="WU3" i="5"/>
  <c r="WV3" i="5"/>
  <c r="WW3" i="5"/>
  <c r="WX3" i="5"/>
  <c r="WY3" i="5"/>
  <c r="WZ3" i="5"/>
  <c r="XA3" i="5"/>
  <c r="XB3" i="5"/>
  <c r="XC3" i="5"/>
  <c r="XD3" i="5"/>
  <c r="XE3" i="5"/>
  <c r="XF3" i="5"/>
  <c r="XG3" i="5"/>
  <c r="XH3" i="5"/>
  <c r="XI3" i="5"/>
  <c r="XJ3" i="5"/>
  <c r="XK3" i="5"/>
  <c r="XL3" i="5"/>
  <c r="XM3" i="5"/>
  <c r="XN3" i="5"/>
  <c r="XO3" i="5"/>
  <c r="XP3" i="5"/>
  <c r="XQ3" i="5"/>
  <c r="XR3" i="5"/>
  <c r="XS3" i="5"/>
  <c r="XT3" i="5"/>
  <c r="XU3" i="5"/>
  <c r="XV3" i="5"/>
  <c r="XW3" i="5"/>
  <c r="XX3" i="5"/>
  <c r="XY3" i="5"/>
  <c r="XZ3" i="5"/>
  <c r="YA3" i="5"/>
  <c r="YB3" i="5"/>
  <c r="YC3" i="5"/>
  <c r="YD3" i="5"/>
  <c r="YE3" i="5"/>
  <c r="YF3" i="5"/>
  <c r="YG3" i="5"/>
  <c r="YH3" i="5"/>
  <c r="YI3" i="5"/>
  <c r="YJ3" i="5"/>
  <c r="YK3" i="5"/>
  <c r="YL3" i="5"/>
  <c r="YM3" i="5"/>
  <c r="YN3" i="5"/>
  <c r="YO3" i="5"/>
  <c r="YP3" i="5"/>
  <c r="YQ3" i="5"/>
  <c r="YR3" i="5"/>
  <c r="YS3" i="5"/>
  <c r="YT3" i="5"/>
  <c r="YU3" i="5"/>
  <c r="YV3" i="5"/>
  <c r="YW3" i="5"/>
  <c r="YX3" i="5"/>
  <c r="YY3" i="5"/>
  <c r="YZ3" i="5"/>
  <c r="ZA3" i="5"/>
  <c r="ZB3" i="5"/>
  <c r="ZC3" i="5"/>
  <c r="ZD3" i="5"/>
  <c r="ZE3" i="5"/>
  <c r="ZF3" i="5"/>
  <c r="ZG3" i="5"/>
  <c r="ZH3" i="5"/>
  <c r="ZI3" i="5"/>
  <c r="ZJ3" i="5"/>
  <c r="ZK3" i="5"/>
  <c r="ZL3" i="5"/>
  <c r="ZM3" i="5"/>
  <c r="ZN3" i="5"/>
  <c r="ZO3" i="5"/>
  <c r="ZP3" i="5"/>
  <c r="ZQ3" i="5"/>
  <c r="ZR3" i="5"/>
  <c r="ZS3" i="5"/>
  <c r="ZT3" i="5"/>
  <c r="ZU3" i="5"/>
  <c r="ZV3" i="5"/>
  <c r="ZW3" i="5"/>
  <c r="ZX3" i="5"/>
  <c r="ZY3" i="5"/>
  <c r="ZZ3" i="5"/>
  <c r="AAA3" i="5"/>
  <c r="AAB3" i="5"/>
  <c r="AAC3" i="5"/>
  <c r="AAD3" i="5"/>
  <c r="AAE3" i="5"/>
  <c r="AAF3" i="5"/>
  <c r="AAG3" i="5"/>
  <c r="AAH3" i="5"/>
  <c r="AAI3" i="5"/>
  <c r="AAJ3" i="5"/>
  <c r="AAK3" i="5"/>
  <c r="AAL3" i="5"/>
  <c r="AAM3" i="5"/>
  <c r="AAN3" i="5"/>
  <c r="AAO3" i="5"/>
  <c r="AAP3" i="5"/>
  <c r="AAQ3" i="5"/>
  <c r="AAR3" i="5"/>
  <c r="AAS3" i="5"/>
  <c r="AAT3" i="5"/>
  <c r="AAU3" i="5"/>
  <c r="AAV3" i="5"/>
  <c r="AAW3" i="5"/>
  <c r="AAX3" i="5"/>
  <c r="AAY3" i="5"/>
  <c r="AAZ3" i="5"/>
  <c r="ABA3" i="5"/>
  <c r="ABB3" i="5"/>
  <c r="ABC3" i="5"/>
  <c r="ABD3" i="5"/>
  <c r="ABE3" i="5"/>
  <c r="ABF3" i="5"/>
  <c r="ABG3" i="5"/>
  <c r="ABH3" i="5"/>
  <c r="ABI3" i="5"/>
  <c r="ABJ3" i="5"/>
  <c r="ABK3" i="5"/>
  <c r="ABL3" i="5"/>
  <c r="ABM3" i="5"/>
  <c r="ABN3" i="5"/>
  <c r="ABO3" i="5"/>
  <c r="ABP3" i="5"/>
  <c r="ABQ3" i="5"/>
  <c r="ABR3" i="5"/>
  <c r="ABS3" i="5"/>
  <c r="ABT3" i="5"/>
  <c r="ABU3" i="5"/>
  <c r="ABV3" i="5"/>
  <c r="ABW3" i="5"/>
  <c r="ABX3" i="5"/>
  <c r="ABY3" i="5"/>
  <c r="ABZ3" i="5"/>
  <c r="ACA3" i="5"/>
  <c r="ACB3" i="5"/>
  <c r="ACC3" i="5"/>
  <c r="ACD3" i="5"/>
  <c r="ACE3" i="5"/>
  <c r="ACF3" i="5"/>
  <c r="ACG3" i="5"/>
  <c r="ACH3" i="5"/>
  <c r="ACI3" i="5"/>
  <c r="ACJ3" i="5"/>
  <c r="ACK3" i="5"/>
  <c r="ACL3" i="5"/>
  <c r="ACM3" i="5"/>
  <c r="ACN3" i="5"/>
  <c r="ACO3" i="5"/>
  <c r="ACP3" i="5"/>
  <c r="ACQ3" i="5"/>
  <c r="ACR3" i="5"/>
  <c r="ACS3" i="5"/>
  <c r="ACT3" i="5"/>
  <c r="ACU3" i="5"/>
  <c r="ACV3" i="5"/>
  <c r="ACW3" i="5"/>
  <c r="ACX3" i="5"/>
  <c r="ACY3" i="5"/>
  <c r="ACZ3" i="5"/>
  <c r="ADA3" i="5"/>
  <c r="ADB3" i="5"/>
  <c r="ADC3" i="5"/>
  <c r="ADD3" i="5"/>
  <c r="ADE3" i="5"/>
  <c r="ADF3" i="5"/>
  <c r="ADG3" i="5"/>
  <c r="ADH3" i="5"/>
  <c r="ADI3" i="5"/>
  <c r="ADJ3" i="5"/>
  <c r="ADK3" i="5"/>
  <c r="ADL3" i="5"/>
  <c r="ADM3" i="5"/>
  <c r="ADN3" i="5"/>
  <c r="ADO3" i="5"/>
  <c r="ADP3" i="5"/>
  <c r="ADQ3" i="5"/>
  <c r="ADR3" i="5"/>
  <c r="ADS3" i="5"/>
  <c r="ADT3" i="5"/>
  <c r="ADU3" i="5"/>
  <c r="ADV3" i="5"/>
  <c r="ADW3" i="5"/>
  <c r="ADX3" i="5"/>
  <c r="ADY3" i="5"/>
  <c r="ADZ3" i="5"/>
  <c r="AEA3" i="5"/>
  <c r="AEB3" i="5"/>
  <c r="AEC3" i="5"/>
  <c r="AED3" i="5"/>
  <c r="AEE3" i="5"/>
  <c r="AEF3" i="5"/>
  <c r="AEG3" i="5"/>
  <c r="AEH3" i="5"/>
  <c r="AEI3" i="5"/>
  <c r="AEJ3" i="5"/>
  <c r="AEK3" i="5"/>
  <c r="AEL3" i="5"/>
  <c r="AEM3" i="5"/>
  <c r="AEN3" i="5"/>
  <c r="AEO3" i="5"/>
  <c r="AEP3" i="5"/>
  <c r="AEQ3" i="5"/>
  <c r="AER3" i="5"/>
  <c r="AES3" i="5"/>
  <c r="AET3" i="5"/>
  <c r="AEU3" i="5"/>
  <c r="AEV3" i="5"/>
  <c r="AEW3" i="5"/>
  <c r="AEX3" i="5"/>
  <c r="AEY3" i="5"/>
  <c r="AEZ3" i="5"/>
  <c r="AFA3" i="5"/>
  <c r="AFB3" i="5"/>
  <c r="AFC3" i="5"/>
  <c r="AFD3" i="5"/>
  <c r="AFE3" i="5"/>
  <c r="AFF3" i="5"/>
  <c r="AFG3" i="5"/>
  <c r="AFH3" i="5"/>
  <c r="AFI3" i="5"/>
  <c r="AFJ3" i="5"/>
  <c r="AFK3" i="5"/>
  <c r="AFL3" i="5"/>
  <c r="AFM3" i="5"/>
  <c r="AFN3" i="5"/>
  <c r="AFO3" i="5"/>
  <c r="AFP3" i="5"/>
  <c r="AFQ3" i="5"/>
  <c r="AFR3" i="5"/>
  <c r="AFS3" i="5"/>
  <c r="AFT3" i="5"/>
  <c r="AFU3" i="5"/>
  <c r="AFV3" i="5"/>
  <c r="AFW3" i="5"/>
  <c r="AFX3" i="5"/>
  <c r="AFY3" i="5"/>
  <c r="AFZ3" i="5"/>
  <c r="AGA3" i="5"/>
  <c r="AGB3" i="5"/>
  <c r="AGC3" i="5"/>
  <c r="AGD3" i="5"/>
  <c r="AGE3" i="5"/>
  <c r="AGF3" i="5"/>
  <c r="AGG3" i="5"/>
  <c r="AGH3" i="5"/>
  <c r="AGI3" i="5"/>
  <c r="AGJ3" i="5"/>
  <c r="AGK3" i="5"/>
  <c r="AGL3" i="5"/>
  <c r="AGM3" i="5"/>
  <c r="AGN3" i="5"/>
  <c r="AGO3" i="5"/>
  <c r="AGP3" i="5"/>
  <c r="AGQ3" i="5"/>
  <c r="AGR3" i="5"/>
  <c r="AGS3" i="5"/>
  <c r="AGT3" i="5"/>
  <c r="AGU3" i="5"/>
  <c r="AGV3" i="5"/>
  <c r="AGW3" i="5"/>
  <c r="AGX3" i="5"/>
  <c r="AGY3" i="5"/>
  <c r="AGZ3" i="5"/>
  <c r="AHA3" i="5"/>
  <c r="AHB3" i="5"/>
  <c r="AHC3" i="5"/>
  <c r="AHD3" i="5"/>
  <c r="AHE3" i="5"/>
  <c r="AHF3" i="5"/>
  <c r="AHG3" i="5"/>
  <c r="AHH3" i="5"/>
  <c r="AHI3" i="5"/>
  <c r="AHJ3" i="5"/>
  <c r="AHK3" i="5"/>
  <c r="AHL3" i="5"/>
  <c r="AHM3" i="5"/>
  <c r="AHN3" i="5"/>
  <c r="AHO3" i="5"/>
  <c r="AHP3" i="5"/>
  <c r="AHQ3" i="5"/>
  <c r="AHR3" i="5"/>
  <c r="AHS3" i="5"/>
  <c r="AHT3" i="5"/>
  <c r="AHU3" i="5"/>
  <c r="AHV3" i="5"/>
  <c r="AHW3" i="5"/>
  <c r="AHX3" i="5"/>
  <c r="AHY3" i="5"/>
  <c r="AHZ3" i="5"/>
  <c r="AIA3" i="5"/>
  <c r="AIB3" i="5"/>
  <c r="AIC3" i="5"/>
  <c r="AID3" i="5"/>
  <c r="AIE3" i="5"/>
  <c r="AIF3" i="5"/>
  <c r="AIG3" i="5"/>
  <c r="AIH3" i="5"/>
  <c r="AII3" i="5"/>
  <c r="AIJ3" i="5"/>
  <c r="AIK3" i="5"/>
  <c r="AIL3" i="5"/>
  <c r="AIM3" i="5"/>
  <c r="AIN3" i="5"/>
  <c r="AIO3" i="5"/>
  <c r="AIP3" i="5"/>
  <c r="AIQ3" i="5"/>
  <c r="AIR3" i="5"/>
  <c r="AIS3" i="5"/>
  <c r="AIT3" i="5"/>
  <c r="AIU3" i="5"/>
  <c r="AIV3" i="5"/>
  <c r="AIW3" i="5"/>
  <c r="AIX3" i="5"/>
  <c r="AIY3" i="5"/>
  <c r="AIZ3" i="5"/>
  <c r="AJA3" i="5"/>
  <c r="AJB3" i="5"/>
  <c r="AJC3" i="5"/>
  <c r="AJD3" i="5"/>
  <c r="AJE3" i="5"/>
  <c r="AJF3" i="5"/>
  <c r="AJG3" i="5"/>
  <c r="AJH3" i="5"/>
  <c r="AJI3" i="5"/>
  <c r="AJJ3" i="5"/>
  <c r="AJK3" i="5"/>
  <c r="AJL3" i="5"/>
  <c r="AJM3" i="5"/>
  <c r="AJN3" i="5"/>
  <c r="AJO3" i="5"/>
  <c r="AJP3" i="5"/>
  <c r="AJQ3" i="5"/>
  <c r="AJR3" i="5"/>
  <c r="AJS3" i="5"/>
  <c r="AJT3" i="5"/>
  <c r="AJU3" i="5"/>
  <c r="AJV3" i="5"/>
  <c r="AJW3" i="5"/>
  <c r="AJX3" i="5"/>
  <c r="AJY3" i="5"/>
  <c r="AJZ3" i="5"/>
  <c r="AKA3" i="5"/>
  <c r="AKB3" i="5"/>
  <c r="AKC3" i="5"/>
  <c r="AKD3" i="5"/>
  <c r="AKE3" i="5"/>
  <c r="AKF3" i="5"/>
  <c r="AKG3" i="5"/>
  <c r="AKH3" i="5"/>
  <c r="AKI3" i="5"/>
  <c r="AKJ3" i="5"/>
  <c r="AKK3" i="5"/>
  <c r="AKL3" i="5"/>
  <c r="AKM3" i="5"/>
  <c r="AKN3" i="5"/>
  <c r="AKO3" i="5"/>
  <c r="AKP3" i="5"/>
  <c r="AKQ3" i="5"/>
  <c r="AKR3" i="5"/>
  <c r="AKS3" i="5"/>
  <c r="AKT3" i="5"/>
  <c r="AKU3" i="5"/>
  <c r="AKV3" i="5"/>
  <c r="AKW3" i="5"/>
  <c r="AKX3" i="5"/>
  <c r="AKY3" i="5"/>
  <c r="AKZ3" i="5"/>
  <c r="ALA3" i="5"/>
  <c r="ALB3" i="5"/>
  <c r="ALC3" i="5"/>
  <c r="ALD3" i="5"/>
  <c r="ALE3" i="5"/>
  <c r="ALF3" i="5"/>
  <c r="ALG3" i="5"/>
  <c r="ALH3" i="5"/>
  <c r="ALI3" i="5"/>
  <c r="ALJ3" i="5"/>
  <c r="ALK3" i="5"/>
  <c r="ALL3" i="5"/>
  <c r="ALM3" i="5"/>
  <c r="ALN3" i="5"/>
  <c r="ALO3" i="5"/>
  <c r="ALP3" i="5"/>
  <c r="ALQ3" i="5"/>
  <c r="ALR3" i="5"/>
  <c r="ALS3" i="5"/>
  <c r="ALT3" i="5"/>
  <c r="ALU3" i="5"/>
  <c r="ALV3" i="5"/>
  <c r="ALW3" i="5"/>
  <c r="ALX3" i="5"/>
  <c r="ALY3" i="5"/>
  <c r="ALZ3" i="5"/>
  <c r="AMA3" i="5"/>
  <c r="AMB3" i="5"/>
  <c r="AMC3" i="5"/>
  <c r="AMD3" i="5"/>
  <c r="AME3" i="5"/>
  <c r="AMF3" i="5"/>
  <c r="AMG3" i="5"/>
  <c r="AMH3" i="5"/>
  <c r="AMI3" i="5"/>
  <c r="AMJ3" i="5"/>
  <c r="AMK3" i="5"/>
  <c r="AML3" i="5"/>
  <c r="AMM3" i="5"/>
  <c r="AMN3" i="5"/>
  <c r="AMO3" i="5"/>
  <c r="AMP3" i="5"/>
  <c r="AMQ3" i="5"/>
  <c r="AMR3" i="5"/>
  <c r="AMS3" i="5"/>
  <c r="AMT3" i="5"/>
  <c r="AMU3" i="5"/>
  <c r="AMV3" i="5"/>
  <c r="AMW3" i="5"/>
  <c r="AMX3" i="5"/>
  <c r="AMY3" i="5"/>
  <c r="AMZ3" i="5"/>
  <c r="ANA3" i="5"/>
  <c r="ANB3" i="5"/>
  <c r="ANC3" i="5"/>
  <c r="AND3" i="5"/>
  <c r="ANE3" i="5"/>
  <c r="ANF3" i="5"/>
  <c r="ANG3" i="5"/>
  <c r="ANH3" i="5"/>
  <c r="ANI3" i="5"/>
  <c r="ANJ3" i="5"/>
  <c r="ANK3" i="5"/>
  <c r="ANL3" i="5"/>
  <c r="ANM3" i="5"/>
  <c r="ANN3" i="5"/>
  <c r="ANO3" i="5"/>
  <c r="ANP3" i="5"/>
  <c r="ANQ3" i="5"/>
  <c r="ANR3" i="5"/>
  <c r="ANS3" i="5"/>
  <c r="ANT3" i="5"/>
  <c r="ANU3" i="5"/>
  <c r="ANV3" i="5"/>
  <c r="ANW3" i="5"/>
  <c r="ANX3" i="5"/>
  <c r="ANY3" i="5"/>
  <c r="ANZ3" i="5"/>
  <c r="AOA3" i="5"/>
  <c r="AOB3" i="5"/>
  <c r="AOC3" i="5"/>
  <c r="AOD3" i="5"/>
  <c r="AOE3" i="5"/>
  <c r="AOF3" i="5"/>
  <c r="AOG3" i="5"/>
  <c r="AOH3" i="5"/>
  <c r="AOI3" i="5"/>
  <c r="AOJ3" i="5"/>
  <c r="AOK3" i="5"/>
  <c r="AOL3" i="5"/>
  <c r="AOM3" i="5"/>
  <c r="AON3" i="5"/>
  <c r="AOO3" i="5"/>
  <c r="AOP3" i="5"/>
  <c r="AOQ3" i="5"/>
  <c r="AOR3" i="5"/>
  <c r="AOS3" i="5"/>
  <c r="AOT3" i="5"/>
  <c r="AOU3" i="5"/>
  <c r="AOV3" i="5"/>
  <c r="AOW3" i="5"/>
  <c r="AOX3" i="5"/>
  <c r="AOY3" i="5"/>
  <c r="AOZ3" i="5"/>
  <c r="APA3" i="5"/>
  <c r="APB3" i="5"/>
  <c r="APC3" i="5"/>
  <c r="APD3" i="5"/>
  <c r="APE3" i="5"/>
  <c r="APF3" i="5"/>
  <c r="APG3" i="5"/>
  <c r="APH3" i="5"/>
  <c r="API3" i="5"/>
  <c r="APJ3" i="5"/>
  <c r="APK3" i="5"/>
  <c r="APL3" i="5"/>
  <c r="APM3" i="5"/>
  <c r="APN3" i="5"/>
  <c r="APO3" i="5"/>
  <c r="APP3" i="5"/>
  <c r="APQ3" i="5"/>
  <c r="APR3" i="5"/>
  <c r="APS3" i="5"/>
  <c r="APT3" i="5"/>
  <c r="APU3" i="5"/>
  <c r="APV3" i="5"/>
  <c r="APW3" i="5"/>
  <c r="APX3" i="5"/>
  <c r="APY3" i="5"/>
  <c r="APZ3" i="5"/>
  <c r="AQA3" i="5"/>
  <c r="AQB3" i="5"/>
  <c r="AQC3" i="5"/>
  <c r="AQD3" i="5"/>
  <c r="AQE3" i="5"/>
  <c r="AQF3" i="5"/>
  <c r="AQG3" i="5"/>
  <c r="AQH3" i="5"/>
  <c r="AQI3" i="5"/>
  <c r="AQJ3" i="5"/>
  <c r="AQK3" i="5"/>
  <c r="AQL3" i="5"/>
  <c r="AQM3" i="5"/>
  <c r="AQN3" i="5"/>
  <c r="AQO3" i="5"/>
  <c r="AQP3" i="5"/>
  <c r="AQQ3" i="5"/>
  <c r="AQR3" i="5"/>
  <c r="AQS3" i="5"/>
  <c r="AQT3" i="5"/>
  <c r="AQU3" i="5"/>
  <c r="AQV3" i="5"/>
  <c r="AQW3" i="5"/>
  <c r="AQX3" i="5"/>
  <c r="AQY3" i="5"/>
  <c r="AQZ3" i="5"/>
  <c r="ARA3" i="5"/>
  <c r="ARB3" i="5"/>
  <c r="ARC3" i="5"/>
  <c r="ARD3" i="5"/>
  <c r="ARE3" i="5"/>
  <c r="ARF3" i="5"/>
  <c r="ARG3" i="5"/>
  <c r="ARH3" i="5"/>
  <c r="ARI3" i="5"/>
  <c r="ARJ3" i="5"/>
  <c r="ARK3" i="5"/>
  <c r="ARL3" i="5"/>
  <c r="ARM3" i="5"/>
  <c r="ARN3" i="5"/>
  <c r="ARO3" i="5"/>
  <c r="ARP3" i="5"/>
  <c r="ARQ3" i="5"/>
  <c r="ARR3" i="5"/>
  <c r="ARS3" i="5"/>
  <c r="ART3" i="5"/>
  <c r="ARU3" i="5"/>
  <c r="ARV3" i="5"/>
  <c r="ARW3" i="5"/>
  <c r="ARX3" i="5"/>
  <c r="ARY3" i="5"/>
  <c r="ARZ3" i="5"/>
  <c r="ASA3" i="5"/>
  <c r="ASB3" i="5"/>
  <c r="ASC3" i="5"/>
  <c r="ASD3" i="5"/>
  <c r="ASE3" i="5"/>
  <c r="ASF3" i="5"/>
  <c r="ASG3" i="5"/>
  <c r="ASH3" i="5"/>
  <c r="ASI3" i="5"/>
  <c r="ASJ3" i="5"/>
  <c r="ASK3" i="5"/>
  <c r="ASL3" i="5"/>
  <c r="ASM3" i="5"/>
  <c r="ASN3" i="5"/>
  <c r="ASO3" i="5"/>
  <c r="ASP3" i="5"/>
  <c r="ASQ3" i="5"/>
  <c r="ASR3" i="5"/>
  <c r="ASS3" i="5"/>
  <c r="AST3" i="5"/>
  <c r="ASU3" i="5"/>
  <c r="ASV3" i="5"/>
  <c r="ASW3" i="5"/>
  <c r="ASX3" i="5"/>
  <c r="ASY3" i="5"/>
  <c r="ASZ3" i="5"/>
  <c r="ATA3" i="5"/>
  <c r="ATB3" i="5"/>
  <c r="ATC3" i="5"/>
  <c r="ATD3" i="5"/>
  <c r="ATE3" i="5"/>
  <c r="ATF3" i="5"/>
  <c r="ATG3" i="5"/>
  <c r="ATH3" i="5"/>
  <c r="ATI3" i="5"/>
  <c r="ATJ3" i="5"/>
  <c r="ATK3" i="5"/>
  <c r="ATL3" i="5"/>
  <c r="ATM3" i="5"/>
  <c r="ATN3" i="5"/>
  <c r="ATO3" i="5"/>
  <c r="ATP3" i="5"/>
  <c r="ATQ3" i="5"/>
  <c r="ATR3" i="5"/>
  <c r="ATS3" i="5"/>
  <c r="ATT3" i="5"/>
  <c r="ATU3" i="5"/>
  <c r="ATV3" i="5"/>
  <c r="ATW3" i="5"/>
  <c r="ATX3" i="5"/>
  <c r="ATY3" i="5"/>
  <c r="ATZ3" i="5"/>
  <c r="AUA3" i="5"/>
  <c r="AUB3" i="5"/>
  <c r="AUC3" i="5"/>
  <c r="AUD3" i="5"/>
  <c r="AUE3" i="5"/>
  <c r="AUF3" i="5"/>
  <c r="AUG3" i="5"/>
  <c r="AUH3" i="5"/>
  <c r="AUI3" i="5"/>
  <c r="AUJ3" i="5"/>
  <c r="AUK3" i="5"/>
  <c r="AUL3" i="5"/>
  <c r="AUM3" i="5"/>
  <c r="AUN3" i="5"/>
  <c r="AUO3" i="5"/>
  <c r="AUP3" i="5"/>
  <c r="AUQ3" i="5"/>
  <c r="AUR3" i="5"/>
  <c r="AUS3" i="5"/>
  <c r="AUT3" i="5"/>
  <c r="AUU3" i="5"/>
  <c r="AUV3" i="5"/>
  <c r="AUW3" i="5"/>
  <c r="AUX3" i="5"/>
  <c r="AUY3" i="5"/>
  <c r="AUZ3" i="5"/>
  <c r="AVA3" i="5"/>
  <c r="AVB3" i="5"/>
  <c r="AVC3" i="5"/>
  <c r="AVD3" i="5"/>
  <c r="AVE3" i="5"/>
  <c r="AVF3" i="5"/>
  <c r="AVG3" i="5"/>
  <c r="AVH3" i="5"/>
  <c r="AVI3" i="5"/>
  <c r="AVJ3" i="5"/>
  <c r="AVK3" i="5"/>
  <c r="AVL3" i="5"/>
  <c r="AVM3" i="5"/>
  <c r="AVN3" i="5"/>
  <c r="AVO3" i="5"/>
  <c r="AVP3" i="5"/>
  <c r="AVQ3" i="5"/>
  <c r="AVR3" i="5"/>
  <c r="AVS3" i="5"/>
  <c r="AVT3" i="5"/>
  <c r="AVU3" i="5"/>
  <c r="AVV3" i="5"/>
  <c r="AVW3" i="5"/>
  <c r="AVX3" i="5"/>
  <c r="AVY3" i="5"/>
  <c r="AVZ3" i="5"/>
  <c r="AWA3" i="5"/>
  <c r="AWB3" i="5"/>
  <c r="AWC3" i="5"/>
  <c r="AWD3" i="5"/>
  <c r="AWE3" i="5"/>
  <c r="AWF3" i="5"/>
  <c r="AWG3" i="5"/>
  <c r="AWH3" i="5"/>
  <c r="AWI3" i="5"/>
  <c r="AWJ3" i="5"/>
  <c r="AWK3" i="5"/>
  <c r="AWL3" i="5"/>
  <c r="AWM3" i="5"/>
  <c r="AWN3" i="5"/>
  <c r="AWO3" i="5"/>
  <c r="AWP3" i="5"/>
  <c r="AWQ3" i="5"/>
  <c r="AWR3" i="5"/>
  <c r="AWS3" i="5"/>
  <c r="AWT3" i="5"/>
  <c r="AWU3" i="5"/>
  <c r="AWV3" i="5"/>
  <c r="AWW3" i="5"/>
  <c r="AWX3" i="5"/>
  <c r="AWY3" i="5"/>
  <c r="AWZ3" i="5"/>
  <c r="AXA3" i="5"/>
  <c r="AXB3" i="5"/>
  <c r="AXC3" i="5"/>
  <c r="AXD3" i="5"/>
  <c r="AXE3" i="5"/>
  <c r="AXF3" i="5"/>
  <c r="AXG3" i="5"/>
  <c r="AXH3" i="5"/>
  <c r="AXI3" i="5"/>
  <c r="AXJ3" i="5"/>
  <c r="AXK3" i="5"/>
  <c r="AXL3" i="5"/>
  <c r="AXM3" i="5"/>
  <c r="AXN3" i="5"/>
  <c r="AXO3" i="5"/>
  <c r="AXP3" i="5"/>
  <c r="AXQ3" i="5"/>
  <c r="AXR3" i="5"/>
  <c r="AXS3" i="5"/>
  <c r="AXT3" i="5"/>
  <c r="AXU3" i="5"/>
  <c r="AXV3" i="5"/>
  <c r="AXW3" i="5"/>
  <c r="AXX3" i="5"/>
  <c r="AXY3" i="5"/>
  <c r="AXZ3" i="5"/>
  <c r="AYA3" i="5"/>
  <c r="AYB3" i="5"/>
  <c r="AYC3" i="5"/>
  <c r="AYD3" i="5"/>
  <c r="AYE3" i="5"/>
  <c r="AYF3" i="5"/>
  <c r="AYG3" i="5"/>
  <c r="AYH3" i="5"/>
  <c r="AYI3" i="5"/>
  <c r="AYJ3" i="5"/>
  <c r="AYK3" i="5"/>
  <c r="AYL3" i="5"/>
  <c r="AYM3" i="5"/>
  <c r="AYN3" i="5"/>
  <c r="AYO3" i="5"/>
  <c r="AYP3" i="5"/>
  <c r="AYQ3" i="5"/>
  <c r="AYR3" i="5"/>
  <c r="AYS3" i="5"/>
  <c r="AYT3" i="5"/>
  <c r="AYU3" i="5"/>
  <c r="AYV3" i="5"/>
  <c r="AYW3" i="5"/>
  <c r="AYX3" i="5"/>
  <c r="AYY3" i="5"/>
  <c r="AYZ3" i="5"/>
  <c r="AZA3" i="5"/>
  <c r="AZB3" i="5"/>
  <c r="AZC3" i="5"/>
  <c r="AZD3" i="5"/>
  <c r="AZE3" i="5"/>
  <c r="AZF3" i="5"/>
  <c r="AZG3" i="5"/>
  <c r="AZH3" i="5"/>
  <c r="AZI3" i="5"/>
  <c r="AZJ3" i="5"/>
  <c r="AZK3" i="5"/>
  <c r="AZL3" i="5"/>
  <c r="AZM3" i="5"/>
  <c r="AZN3" i="5"/>
  <c r="AZO3" i="5"/>
  <c r="AZP3" i="5"/>
  <c r="AZQ3" i="5"/>
  <c r="AZR3" i="5"/>
  <c r="AZS3" i="5"/>
  <c r="AZT3" i="5"/>
  <c r="AZU3" i="5"/>
  <c r="AZV3" i="5"/>
  <c r="AZW3" i="5"/>
  <c r="AZX3" i="5"/>
  <c r="AZY3" i="5"/>
  <c r="AZZ3" i="5"/>
  <c r="BAA3" i="5"/>
  <c r="BAB3" i="5"/>
  <c r="BAC3" i="5"/>
  <c r="BAD3" i="5"/>
  <c r="BAE3" i="5"/>
  <c r="BAF3" i="5"/>
  <c r="BAG3" i="5"/>
  <c r="BAH3" i="5"/>
  <c r="BAI3" i="5"/>
  <c r="BAJ3" i="5"/>
  <c r="BAK3" i="5"/>
  <c r="BAL3" i="5"/>
  <c r="BAM3" i="5"/>
  <c r="BAN3" i="5"/>
  <c r="BAO3" i="5"/>
  <c r="BAP3" i="5"/>
  <c r="BAQ3" i="5"/>
  <c r="BAR3" i="5"/>
  <c r="BAS3" i="5"/>
  <c r="BAT3" i="5"/>
  <c r="BAU3" i="5"/>
  <c r="BAV3" i="5"/>
  <c r="BAW3" i="5"/>
  <c r="BAX3" i="5"/>
  <c r="BAY3" i="5"/>
  <c r="BAZ3" i="5"/>
  <c r="BBA3" i="5"/>
  <c r="BBB3" i="5"/>
  <c r="BBC3" i="5"/>
  <c r="BBD3" i="5"/>
  <c r="BBE3" i="5"/>
  <c r="BBF3" i="5"/>
  <c r="BBG3" i="5"/>
  <c r="BBH3" i="5"/>
  <c r="BBI3" i="5"/>
  <c r="BBJ3" i="5"/>
  <c r="BBK3" i="5"/>
  <c r="BBL3" i="5"/>
  <c r="BBM3" i="5"/>
  <c r="BBN3" i="5"/>
  <c r="BBO3" i="5"/>
  <c r="BBP3" i="5"/>
  <c r="BBQ3" i="5"/>
  <c r="BBR3" i="5"/>
  <c r="BBS3" i="5"/>
  <c r="BBT3" i="5"/>
  <c r="BBU3" i="5"/>
  <c r="BBV3" i="5"/>
  <c r="BBW3" i="5"/>
  <c r="BBX3" i="5"/>
  <c r="BBY3" i="5"/>
  <c r="BBZ3" i="5"/>
  <c r="BCA3" i="5"/>
  <c r="BCB3" i="5"/>
  <c r="BCC3" i="5"/>
  <c r="BCD3" i="5"/>
  <c r="BCE3" i="5"/>
  <c r="BCF3" i="5"/>
  <c r="BCG3" i="5"/>
  <c r="BCH3" i="5"/>
  <c r="BCI3" i="5"/>
  <c r="BCJ3" i="5"/>
  <c r="BCK3" i="5"/>
  <c r="BCL3" i="5"/>
  <c r="BCM3" i="5"/>
  <c r="BCN3" i="5"/>
  <c r="BCO3" i="5"/>
  <c r="BCP3" i="5"/>
  <c r="BCQ3" i="5"/>
  <c r="BCR3" i="5"/>
  <c r="BCS3" i="5"/>
  <c r="BCT3" i="5"/>
  <c r="BCU3" i="5"/>
  <c r="BCV3" i="5"/>
  <c r="BCW3" i="5"/>
  <c r="BCX3" i="5"/>
  <c r="BCY3" i="5"/>
  <c r="BCZ3" i="5"/>
  <c r="BDA3" i="5"/>
  <c r="BDB3" i="5"/>
  <c r="BDC3" i="5"/>
  <c r="BDD3" i="5"/>
  <c r="BDE3" i="5"/>
  <c r="BDF3" i="5"/>
  <c r="BDG3" i="5"/>
  <c r="BDH3" i="5"/>
  <c r="BDI3" i="5"/>
  <c r="BDJ3" i="5"/>
  <c r="BDK3" i="5"/>
  <c r="BDL3" i="5"/>
  <c r="BDM3" i="5"/>
  <c r="BDN3" i="5"/>
  <c r="BDO3" i="5"/>
  <c r="BDP3" i="5"/>
  <c r="BDQ3" i="5"/>
  <c r="BDR3" i="5"/>
  <c r="BDS3" i="5"/>
  <c r="BDT3" i="5"/>
  <c r="BDU3" i="5"/>
  <c r="BDV3" i="5"/>
  <c r="BDW3" i="5"/>
  <c r="BDX3" i="5"/>
  <c r="BDY3" i="5"/>
  <c r="BDZ3" i="5"/>
  <c r="BEA3" i="5"/>
  <c r="BEB3" i="5"/>
  <c r="BEC3" i="5"/>
  <c r="BED3" i="5"/>
  <c r="BEE3" i="5"/>
  <c r="BEF3" i="5"/>
  <c r="BEG3" i="5"/>
  <c r="BEH3" i="5"/>
  <c r="BEI3" i="5"/>
  <c r="BEJ3" i="5"/>
  <c r="BEK3" i="5"/>
  <c r="BEL3" i="5"/>
  <c r="BEM3" i="5"/>
  <c r="BEN3" i="5"/>
  <c r="BEO3" i="5"/>
  <c r="BEP3" i="5"/>
  <c r="BEQ3" i="5"/>
  <c r="BER3" i="5"/>
  <c r="BES3" i="5"/>
  <c r="BET3" i="5"/>
  <c r="BEU3" i="5"/>
  <c r="BEV3" i="5"/>
  <c r="BEW3" i="5"/>
  <c r="BEX3" i="5"/>
  <c r="BEY3" i="5"/>
  <c r="BEZ3" i="5"/>
  <c r="BFA3" i="5"/>
  <c r="BFB3" i="5"/>
  <c r="BFC3" i="5"/>
  <c r="BFD3" i="5"/>
  <c r="BFE3" i="5"/>
  <c r="BFF3" i="5"/>
  <c r="BFG3" i="5"/>
  <c r="BFH3" i="5"/>
  <c r="BFI3" i="5"/>
  <c r="BFJ3" i="5"/>
  <c r="BFK3" i="5"/>
  <c r="BFL3" i="5"/>
  <c r="BFM3" i="5"/>
  <c r="BFN3" i="5"/>
  <c r="BFO3" i="5"/>
  <c r="BFP3" i="5"/>
  <c r="BFQ3" i="5"/>
  <c r="BFR3" i="5"/>
  <c r="BFS3" i="5"/>
  <c r="BFT3" i="5"/>
  <c r="BFU3" i="5"/>
  <c r="BFV3" i="5"/>
  <c r="BFW3" i="5"/>
  <c r="BFX3" i="5"/>
  <c r="BFY3" i="5"/>
  <c r="BFZ3" i="5"/>
  <c r="BGA3" i="5"/>
  <c r="BGB3" i="5"/>
  <c r="BGC3" i="5"/>
  <c r="BGD3" i="5"/>
  <c r="BGE3" i="5"/>
  <c r="BGF3" i="5"/>
  <c r="BGG3" i="5"/>
  <c r="BGH3" i="5"/>
  <c r="BGI3" i="5"/>
  <c r="BGJ3" i="5"/>
  <c r="BGK3" i="5"/>
  <c r="BGL3" i="5"/>
  <c r="BGM3" i="5"/>
  <c r="BGN3" i="5"/>
  <c r="BGO3" i="5"/>
  <c r="BGP3" i="5"/>
  <c r="BGQ3" i="5"/>
  <c r="BGR3" i="5"/>
  <c r="BGS3" i="5"/>
  <c r="BGT3" i="5"/>
  <c r="BGU3" i="5"/>
  <c r="BGV3" i="5"/>
  <c r="BGW3" i="5"/>
  <c r="BGX3" i="5"/>
  <c r="BGY3" i="5"/>
  <c r="BGZ3" i="5"/>
  <c r="BHA3" i="5"/>
  <c r="BHB3" i="5"/>
  <c r="BHC3" i="5"/>
  <c r="BHD3" i="5"/>
  <c r="BHE3" i="5"/>
  <c r="BHF3" i="5"/>
  <c r="BHG3" i="5"/>
  <c r="BHH3" i="5"/>
  <c r="BHI3" i="5"/>
  <c r="BHJ3" i="5"/>
  <c r="BHK3" i="5"/>
  <c r="BHL3" i="5"/>
  <c r="BHM3" i="5"/>
  <c r="BHN3" i="5"/>
  <c r="BHO3" i="5"/>
  <c r="BHP3" i="5"/>
  <c r="BHQ3" i="5"/>
  <c r="BHR3" i="5"/>
  <c r="BHS3" i="5"/>
  <c r="BHT3" i="5"/>
  <c r="BHU3" i="5"/>
  <c r="BHV3" i="5"/>
  <c r="BHW3" i="5"/>
  <c r="BHX3" i="5"/>
  <c r="BHY3" i="5"/>
  <c r="BHZ3" i="5"/>
  <c r="BIA3" i="5"/>
  <c r="BIB3" i="5"/>
  <c r="BIC3" i="5"/>
  <c r="BID3" i="5"/>
  <c r="BIE3" i="5"/>
  <c r="BIF3" i="5"/>
  <c r="BIG3" i="5"/>
  <c r="BIH3" i="5"/>
  <c r="BII3" i="5"/>
  <c r="BIJ3" i="5"/>
  <c r="BIK3" i="5"/>
  <c r="BIL3" i="5"/>
  <c r="BIM3" i="5"/>
  <c r="BIN3" i="5"/>
  <c r="BIO3" i="5"/>
  <c r="BIP3" i="5"/>
  <c r="BIQ3" i="5"/>
  <c r="BIR3" i="5"/>
  <c r="BIS3" i="5"/>
  <c r="BIT3" i="5"/>
  <c r="BIU3" i="5"/>
  <c r="BIV3" i="5"/>
  <c r="BIW3" i="5"/>
  <c r="BIX3" i="5"/>
  <c r="BIY3" i="5"/>
  <c r="BIZ3" i="5"/>
  <c r="BJA3" i="5"/>
  <c r="BJB3" i="5"/>
  <c r="BJC3" i="5"/>
  <c r="BJD3" i="5"/>
  <c r="BJE3" i="5"/>
  <c r="BJF3" i="5"/>
  <c r="BJG3" i="5"/>
  <c r="BJH3" i="5"/>
  <c r="BJI3" i="5"/>
  <c r="BJJ3" i="5"/>
  <c r="BJK3" i="5"/>
  <c r="BJL3" i="5"/>
  <c r="BJM3" i="5"/>
  <c r="BJN3" i="5"/>
  <c r="BJO3" i="5"/>
  <c r="BJP3" i="5"/>
  <c r="BJQ3" i="5"/>
  <c r="BJR3" i="5"/>
  <c r="BJS3" i="5"/>
  <c r="BJT3" i="5"/>
  <c r="BJU3" i="5"/>
  <c r="BJV3" i="5"/>
  <c r="BJW3" i="5"/>
  <c r="BJX3" i="5"/>
  <c r="BJY3" i="5"/>
  <c r="BJZ3" i="5"/>
  <c r="BKA3" i="5"/>
  <c r="BKB3" i="5"/>
  <c r="BKC3" i="5"/>
  <c r="BKD3" i="5"/>
  <c r="BKE3" i="5"/>
  <c r="BKF3" i="5"/>
  <c r="BKG3" i="5"/>
  <c r="BKH3" i="5"/>
  <c r="BKI3" i="5"/>
  <c r="BKJ3" i="5"/>
  <c r="BKK3" i="5"/>
  <c r="BKL3" i="5"/>
  <c r="BKM3" i="5"/>
  <c r="BKN3" i="5"/>
  <c r="BKO3" i="5"/>
  <c r="BKP3" i="5"/>
  <c r="BKQ3" i="5"/>
  <c r="BKR3" i="5"/>
  <c r="BKS3" i="5"/>
  <c r="BKT3" i="5"/>
  <c r="BKU3" i="5"/>
  <c r="BKV3" i="5"/>
  <c r="BKW3" i="5"/>
  <c r="BKX3" i="5"/>
  <c r="BKY3" i="5"/>
  <c r="BKZ3" i="5"/>
  <c r="BLA3" i="5"/>
  <c r="BLB3" i="5"/>
  <c r="BLC3" i="5"/>
  <c r="BLD3" i="5"/>
  <c r="BLE3" i="5"/>
  <c r="BLF3" i="5"/>
  <c r="BLG3" i="5"/>
  <c r="BLH3" i="5"/>
  <c r="BLI3" i="5"/>
  <c r="BLJ3" i="5"/>
  <c r="BLK3" i="5"/>
  <c r="BLL3" i="5"/>
  <c r="BLM3" i="5"/>
  <c r="BLN3" i="5"/>
  <c r="BLO3" i="5"/>
  <c r="BLP3" i="5"/>
  <c r="BLQ3" i="5"/>
  <c r="BLR3" i="5"/>
  <c r="BLS3" i="5"/>
  <c r="BLT3" i="5"/>
  <c r="BLU3" i="5"/>
  <c r="BLV3" i="5"/>
  <c r="BLW3" i="5"/>
  <c r="BLX3" i="5"/>
  <c r="BLY3" i="5"/>
  <c r="BLZ3" i="5"/>
  <c r="BMA3" i="5"/>
  <c r="BMB3" i="5"/>
  <c r="BMC3" i="5"/>
  <c r="BMD3" i="5"/>
  <c r="BME3" i="5"/>
  <c r="BMF3" i="5"/>
  <c r="BMG3" i="5"/>
  <c r="BMH3" i="5"/>
  <c r="BMI3" i="5"/>
  <c r="BMJ3" i="5"/>
  <c r="BMK3" i="5"/>
  <c r="BML3" i="5"/>
  <c r="BMM3" i="5"/>
  <c r="BMN3" i="5"/>
  <c r="BMO3" i="5"/>
  <c r="BMP3" i="5"/>
  <c r="BMQ3" i="5"/>
  <c r="BMR3" i="5"/>
  <c r="BMS3" i="5"/>
  <c r="BMT3" i="5"/>
  <c r="BMU3" i="5"/>
  <c r="BMV3" i="5"/>
  <c r="BMW3" i="5"/>
  <c r="BMX3" i="5"/>
  <c r="BMY3" i="5"/>
  <c r="BMZ3" i="5"/>
  <c r="BNA3" i="5"/>
  <c r="BNB3" i="5"/>
  <c r="BNC3" i="5"/>
  <c r="BND3" i="5"/>
  <c r="BNE3" i="5"/>
  <c r="BNF3" i="5"/>
  <c r="BNG3" i="5"/>
  <c r="BNH3" i="5"/>
  <c r="BNI3" i="5"/>
  <c r="BNJ3" i="5"/>
  <c r="BNK3" i="5"/>
  <c r="BNL3" i="5"/>
  <c r="BNM3" i="5"/>
  <c r="BNN3" i="5"/>
  <c r="BNO3" i="5"/>
  <c r="BNP3" i="5"/>
  <c r="BNQ3" i="5"/>
  <c r="BNR3" i="5"/>
  <c r="BNS3" i="5"/>
  <c r="BNT3" i="5"/>
  <c r="BNU3" i="5"/>
  <c r="BNV3" i="5"/>
  <c r="BNW3" i="5"/>
  <c r="BNX3" i="5"/>
  <c r="BNY3" i="5"/>
  <c r="BNZ3" i="5"/>
  <c r="BOA3" i="5"/>
  <c r="BOB3" i="5"/>
  <c r="BOC3" i="5"/>
  <c r="BOD3" i="5"/>
  <c r="BOE3" i="5"/>
  <c r="BOF3" i="5"/>
  <c r="BOG3" i="5"/>
  <c r="BOH3" i="5"/>
  <c r="BOI3" i="5"/>
  <c r="BOJ3" i="5"/>
  <c r="BOK3" i="5"/>
  <c r="BOL3" i="5"/>
  <c r="BOM3" i="5"/>
  <c r="BON3" i="5"/>
  <c r="BOO3" i="5"/>
  <c r="BOP3" i="5"/>
  <c r="BOQ3" i="5"/>
  <c r="BOR3" i="5"/>
  <c r="BOS3" i="5"/>
  <c r="BOT3" i="5"/>
  <c r="BOU3" i="5"/>
  <c r="BOV3" i="5"/>
  <c r="BOW3" i="5"/>
  <c r="BOX3" i="5"/>
  <c r="BOY3" i="5"/>
  <c r="BOZ3" i="5"/>
  <c r="BPA3" i="5"/>
  <c r="BPB3" i="5"/>
  <c r="BPC3" i="5"/>
  <c r="BPD3" i="5"/>
  <c r="BPE3" i="5"/>
  <c r="BPF3" i="5"/>
  <c r="BPG3" i="5"/>
  <c r="BPH3" i="5"/>
  <c r="BPI3" i="5"/>
  <c r="BPJ3" i="5"/>
  <c r="BPK3" i="5"/>
  <c r="BPL3" i="5"/>
  <c r="BPM3" i="5"/>
  <c r="BPN3" i="5"/>
  <c r="BPO3" i="5"/>
  <c r="BPP3" i="5"/>
  <c r="BPQ3" i="5"/>
  <c r="BPR3" i="5"/>
  <c r="BPS3" i="5"/>
  <c r="BPT3" i="5"/>
  <c r="BPU3" i="5"/>
  <c r="BPV3" i="5"/>
  <c r="BPW3" i="5"/>
  <c r="BPX3" i="5"/>
  <c r="BPY3" i="5"/>
  <c r="BPZ3" i="5"/>
  <c r="BQA3" i="5"/>
  <c r="BQB3" i="5"/>
  <c r="BQC3" i="5"/>
  <c r="BQD3" i="5"/>
  <c r="BQE3" i="5"/>
  <c r="BQF3" i="5"/>
  <c r="BQG3" i="5"/>
  <c r="BQH3" i="5"/>
  <c r="BQI3" i="5"/>
  <c r="BQJ3" i="5"/>
  <c r="BQK3" i="5"/>
  <c r="BQL3" i="5"/>
  <c r="BQM3" i="5"/>
  <c r="BQN3" i="5"/>
  <c r="BQO3" i="5"/>
  <c r="BQP3" i="5"/>
  <c r="BQQ3" i="5"/>
  <c r="BQR3" i="5"/>
  <c r="BQS3" i="5"/>
  <c r="BQT3" i="5"/>
  <c r="BQU3" i="5"/>
  <c r="BQV3" i="5"/>
  <c r="BQW3" i="5"/>
  <c r="BQX3" i="5"/>
  <c r="BQY3" i="5"/>
  <c r="BQZ3" i="5"/>
  <c r="BRA3" i="5"/>
  <c r="BRB3" i="5"/>
  <c r="BRC3" i="5"/>
  <c r="BRD3" i="5"/>
  <c r="BRE3" i="5"/>
  <c r="BRF3" i="5"/>
  <c r="BRG3" i="5"/>
  <c r="BRH3" i="5"/>
  <c r="BRI3" i="5"/>
  <c r="BRJ3" i="5"/>
  <c r="BRK3" i="5"/>
  <c r="BRL3" i="5"/>
  <c r="BRM3" i="5"/>
  <c r="BRN3" i="5"/>
  <c r="BRO3" i="5"/>
  <c r="BRP3" i="5"/>
  <c r="BRQ3" i="5"/>
  <c r="BRR3" i="5"/>
  <c r="BRS3" i="5"/>
  <c r="BRT3" i="5"/>
  <c r="BRU3" i="5"/>
  <c r="BRV3" i="5"/>
  <c r="BRW3" i="5"/>
  <c r="BRX3" i="5"/>
  <c r="BRY3" i="5"/>
  <c r="BRZ3" i="5"/>
  <c r="BSA3" i="5"/>
  <c r="BSB3" i="5"/>
  <c r="BSC3" i="5"/>
  <c r="BSD3" i="5"/>
  <c r="BSE3" i="5"/>
  <c r="BSF3" i="5"/>
  <c r="BSG3" i="5"/>
  <c r="BSH3" i="5"/>
  <c r="BSI3" i="5"/>
  <c r="BSJ3" i="5"/>
  <c r="BSK3" i="5"/>
  <c r="BSL3" i="5"/>
  <c r="BSM3" i="5"/>
  <c r="BSN3" i="5"/>
  <c r="BSO3" i="5"/>
  <c r="BSP3" i="5"/>
  <c r="BSQ3" i="5"/>
  <c r="BSR3" i="5"/>
  <c r="BSS3" i="5"/>
  <c r="BST3" i="5"/>
  <c r="BSU3" i="5"/>
  <c r="BSV3" i="5"/>
  <c r="BSW3" i="5"/>
  <c r="BSX3" i="5"/>
  <c r="BSY3" i="5"/>
  <c r="BSZ3" i="5"/>
  <c r="BTA3" i="5"/>
  <c r="BTB3" i="5"/>
  <c r="BTC3" i="5"/>
  <c r="BTD3" i="5"/>
  <c r="BTE3" i="5"/>
  <c r="BTF3" i="5"/>
  <c r="BTG3" i="5"/>
  <c r="BTH3" i="5"/>
  <c r="BTI3" i="5"/>
  <c r="BTJ3" i="5"/>
  <c r="BTK3" i="5"/>
  <c r="BTL3" i="5"/>
  <c r="BTM3" i="5"/>
  <c r="BTN3" i="5"/>
  <c r="BTO3" i="5"/>
  <c r="BTP3" i="5"/>
  <c r="BTQ3" i="5"/>
  <c r="BTR3" i="5"/>
  <c r="BTS3" i="5"/>
  <c r="BTT3" i="5"/>
  <c r="BTU3" i="5"/>
  <c r="BTV3" i="5"/>
  <c r="BTW3" i="5"/>
  <c r="BTX3" i="5"/>
  <c r="BTY3" i="5"/>
  <c r="BTZ3" i="5"/>
  <c r="BUA3" i="5"/>
  <c r="BUB3" i="5"/>
  <c r="BUC3" i="5"/>
  <c r="BUD3" i="5"/>
  <c r="BUE3" i="5"/>
  <c r="BUF3" i="5"/>
  <c r="BUG3" i="5"/>
  <c r="BUH3" i="5"/>
  <c r="BUI3" i="5"/>
  <c r="BUJ3" i="5"/>
  <c r="BUK3" i="5"/>
  <c r="BUL3" i="5"/>
  <c r="BUM3" i="5"/>
  <c r="BUN3" i="5"/>
  <c r="BUO3" i="5"/>
  <c r="BUP3" i="5"/>
  <c r="BUQ3" i="5"/>
  <c r="BUR3" i="5"/>
  <c r="BUS3" i="5"/>
  <c r="BUT3" i="5"/>
  <c r="BUU3" i="5"/>
  <c r="BUV3" i="5"/>
  <c r="BUW3" i="5"/>
  <c r="BUX3" i="5"/>
  <c r="BUY3" i="5"/>
  <c r="BUZ3" i="5"/>
  <c r="BVA3" i="5"/>
  <c r="BVB3" i="5"/>
  <c r="BVC3" i="5"/>
  <c r="BVD3" i="5"/>
  <c r="BVE3" i="5"/>
  <c r="BVF3" i="5"/>
  <c r="BVG3" i="5"/>
  <c r="BVH3" i="5"/>
  <c r="BVI3" i="5"/>
  <c r="BVJ3" i="5"/>
  <c r="BVK3" i="5"/>
  <c r="BVL3" i="5"/>
  <c r="BVM3" i="5"/>
  <c r="BVN3" i="5"/>
  <c r="BVO3" i="5"/>
  <c r="BVP3" i="5"/>
  <c r="BVQ3" i="5"/>
  <c r="BVR3" i="5"/>
  <c r="BVS3" i="5"/>
  <c r="BVT3" i="5"/>
  <c r="BVU3" i="5"/>
  <c r="BVV3" i="5"/>
  <c r="BVW3" i="5"/>
  <c r="BVX3" i="5"/>
  <c r="BVY3" i="5"/>
  <c r="BVZ3" i="5"/>
  <c r="BWA3" i="5"/>
  <c r="BWB3" i="5"/>
  <c r="BWC3" i="5"/>
  <c r="BWD3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EQ4" i="5"/>
  <c r="BER4" i="5"/>
  <c r="BES4" i="5"/>
  <c r="BET4" i="5"/>
  <c r="BEU4" i="5"/>
  <c r="BEV4" i="5"/>
  <c r="BEW4" i="5"/>
  <c r="BEX4" i="5"/>
  <c r="BEY4" i="5"/>
  <c r="BEZ4" i="5"/>
  <c r="BFA4" i="5"/>
  <c r="BFB4" i="5"/>
  <c r="BFC4" i="5"/>
  <c r="BFD4" i="5"/>
  <c r="BFE4" i="5"/>
  <c r="BFF4" i="5"/>
  <c r="BFG4" i="5"/>
  <c r="BFH4" i="5"/>
  <c r="BFI4" i="5"/>
  <c r="BFJ4" i="5"/>
  <c r="BFK4" i="5"/>
  <c r="BFL4" i="5"/>
  <c r="BFM4" i="5"/>
  <c r="BFN4" i="5"/>
  <c r="BFO4" i="5"/>
  <c r="BFP4" i="5"/>
  <c r="BFQ4" i="5"/>
  <c r="BFR4" i="5"/>
  <c r="BFS4" i="5"/>
  <c r="BFT4" i="5"/>
  <c r="BFU4" i="5"/>
  <c r="BFV4" i="5"/>
  <c r="BFW4" i="5"/>
  <c r="BFX4" i="5"/>
  <c r="BFY4" i="5"/>
  <c r="BFZ4" i="5"/>
  <c r="BGA4" i="5"/>
  <c r="BGB4" i="5"/>
  <c r="BGC4" i="5"/>
  <c r="BGD4" i="5"/>
  <c r="BGE4" i="5"/>
  <c r="BGF4" i="5"/>
  <c r="BGG4" i="5"/>
  <c r="BGH4" i="5"/>
  <c r="BGI4" i="5"/>
  <c r="BGJ4" i="5"/>
  <c r="BGK4" i="5"/>
  <c r="BGL4" i="5"/>
  <c r="BGM4" i="5"/>
  <c r="BGN4" i="5"/>
  <c r="BGO4" i="5"/>
  <c r="BGP4" i="5"/>
  <c r="BGQ4" i="5"/>
  <c r="BGR4" i="5"/>
  <c r="BGS4" i="5"/>
  <c r="BGT4" i="5"/>
  <c r="BGU4" i="5"/>
  <c r="BGV4" i="5"/>
  <c r="BGW4" i="5"/>
  <c r="BGX4" i="5"/>
  <c r="BGY4" i="5"/>
  <c r="BGZ4" i="5"/>
  <c r="BHA4" i="5"/>
  <c r="BHB4" i="5"/>
  <c r="BHC4" i="5"/>
  <c r="BHD4" i="5"/>
  <c r="BHE4" i="5"/>
  <c r="BHF4" i="5"/>
  <c r="BHG4" i="5"/>
  <c r="BHH4" i="5"/>
  <c r="BHI4" i="5"/>
  <c r="BHJ4" i="5"/>
  <c r="BHK4" i="5"/>
  <c r="BHL4" i="5"/>
  <c r="BHM4" i="5"/>
  <c r="BHN4" i="5"/>
  <c r="BHO4" i="5"/>
  <c r="BHP4" i="5"/>
  <c r="BHQ4" i="5"/>
  <c r="BHR4" i="5"/>
  <c r="BHS4" i="5"/>
  <c r="BHT4" i="5"/>
  <c r="BHU4" i="5"/>
  <c r="BHV4" i="5"/>
  <c r="BHW4" i="5"/>
  <c r="BHX4" i="5"/>
  <c r="BHY4" i="5"/>
  <c r="BHZ4" i="5"/>
  <c r="BIA4" i="5"/>
  <c r="BIB4" i="5"/>
  <c r="BIC4" i="5"/>
  <c r="BID4" i="5"/>
  <c r="BIE4" i="5"/>
  <c r="BIF4" i="5"/>
  <c r="BIG4" i="5"/>
  <c r="BIH4" i="5"/>
  <c r="BII4" i="5"/>
  <c r="BIJ4" i="5"/>
  <c r="BIK4" i="5"/>
  <c r="BIL4" i="5"/>
  <c r="BIM4" i="5"/>
  <c r="BIN4" i="5"/>
  <c r="BIO4" i="5"/>
  <c r="BIP4" i="5"/>
  <c r="BIQ4" i="5"/>
  <c r="BIR4" i="5"/>
  <c r="BIS4" i="5"/>
  <c r="BIT4" i="5"/>
  <c r="BIU4" i="5"/>
  <c r="BIV4" i="5"/>
  <c r="BIW4" i="5"/>
  <c r="BIX4" i="5"/>
  <c r="BIY4" i="5"/>
  <c r="BIZ4" i="5"/>
  <c r="BJA4" i="5"/>
  <c r="BJB4" i="5"/>
  <c r="BJC4" i="5"/>
  <c r="BJD4" i="5"/>
  <c r="BJE4" i="5"/>
  <c r="BJF4" i="5"/>
  <c r="BJG4" i="5"/>
  <c r="BJH4" i="5"/>
  <c r="BJI4" i="5"/>
  <c r="BJJ4" i="5"/>
  <c r="BJK4" i="5"/>
  <c r="BJL4" i="5"/>
  <c r="BJM4" i="5"/>
  <c r="BJN4" i="5"/>
  <c r="BJO4" i="5"/>
  <c r="BJP4" i="5"/>
  <c r="BJQ4" i="5"/>
  <c r="BJR4" i="5"/>
  <c r="BJS4" i="5"/>
  <c r="BJT4" i="5"/>
  <c r="BJU4" i="5"/>
  <c r="BJV4" i="5"/>
  <c r="BJW4" i="5"/>
  <c r="BJX4" i="5"/>
  <c r="BJY4" i="5"/>
  <c r="BJZ4" i="5"/>
  <c r="BKA4" i="5"/>
  <c r="BKB4" i="5"/>
  <c r="BKC4" i="5"/>
  <c r="BKD4" i="5"/>
  <c r="BKE4" i="5"/>
  <c r="BKF4" i="5"/>
  <c r="BKG4" i="5"/>
  <c r="BKH4" i="5"/>
  <c r="BKI4" i="5"/>
  <c r="BKJ4" i="5"/>
  <c r="BKK4" i="5"/>
  <c r="BKL4" i="5"/>
  <c r="BKM4" i="5"/>
  <c r="BKN4" i="5"/>
  <c r="BKO4" i="5"/>
  <c r="BKP4" i="5"/>
  <c r="BKQ4" i="5"/>
  <c r="BKR4" i="5"/>
  <c r="BKS4" i="5"/>
  <c r="BKT4" i="5"/>
  <c r="BKU4" i="5"/>
  <c r="BKV4" i="5"/>
  <c r="BKW4" i="5"/>
  <c r="BKX4" i="5"/>
  <c r="BKY4" i="5"/>
  <c r="BKZ4" i="5"/>
  <c r="BLA4" i="5"/>
  <c r="BLB4" i="5"/>
  <c r="BLC4" i="5"/>
  <c r="BLD4" i="5"/>
  <c r="BLE4" i="5"/>
  <c r="BLF4" i="5"/>
  <c r="BLG4" i="5"/>
  <c r="BLH4" i="5"/>
  <c r="BLI4" i="5"/>
  <c r="BLJ4" i="5"/>
  <c r="BLK4" i="5"/>
  <c r="BLL4" i="5"/>
  <c r="BLM4" i="5"/>
  <c r="BLN4" i="5"/>
  <c r="BLO4" i="5"/>
  <c r="BLP4" i="5"/>
  <c r="BLQ4" i="5"/>
  <c r="BLR4" i="5"/>
  <c r="BLS4" i="5"/>
  <c r="BLT4" i="5"/>
  <c r="BLU4" i="5"/>
  <c r="BLV4" i="5"/>
  <c r="BLW4" i="5"/>
  <c r="BLX4" i="5"/>
  <c r="BLY4" i="5"/>
  <c r="BLZ4" i="5"/>
  <c r="BMA4" i="5"/>
  <c r="BMB4" i="5"/>
  <c r="BMC4" i="5"/>
  <c r="BMD4" i="5"/>
  <c r="BME4" i="5"/>
  <c r="BMF4" i="5"/>
  <c r="BMG4" i="5"/>
  <c r="BMH4" i="5"/>
  <c r="BMI4" i="5"/>
  <c r="BMJ4" i="5"/>
  <c r="BMK4" i="5"/>
  <c r="BML4" i="5"/>
  <c r="BMM4" i="5"/>
  <c r="BMN4" i="5"/>
  <c r="BMO4" i="5"/>
  <c r="BMP4" i="5"/>
  <c r="BMQ4" i="5"/>
  <c r="BMR4" i="5"/>
  <c r="BMS4" i="5"/>
  <c r="BMT4" i="5"/>
  <c r="BMU4" i="5"/>
  <c r="BMV4" i="5"/>
  <c r="BMW4" i="5"/>
  <c r="BMX4" i="5"/>
  <c r="BMY4" i="5"/>
  <c r="BMZ4" i="5"/>
  <c r="BNA4" i="5"/>
  <c r="BNB4" i="5"/>
  <c r="BNC4" i="5"/>
  <c r="BND4" i="5"/>
  <c r="BNE4" i="5"/>
  <c r="BNF4" i="5"/>
  <c r="BNG4" i="5"/>
  <c r="BNH4" i="5"/>
  <c r="BNI4" i="5"/>
  <c r="BNJ4" i="5"/>
  <c r="BNK4" i="5"/>
  <c r="BNL4" i="5"/>
  <c r="BNM4" i="5"/>
  <c r="BNN4" i="5"/>
  <c r="BNO4" i="5"/>
  <c r="BNP4" i="5"/>
  <c r="BNQ4" i="5"/>
  <c r="BNR4" i="5"/>
  <c r="BNS4" i="5"/>
  <c r="BNT4" i="5"/>
  <c r="BNU4" i="5"/>
  <c r="BNV4" i="5"/>
  <c r="BNW4" i="5"/>
  <c r="BNX4" i="5"/>
  <c r="BNY4" i="5"/>
  <c r="BNZ4" i="5"/>
  <c r="BOA4" i="5"/>
  <c r="BOB4" i="5"/>
  <c r="BOC4" i="5"/>
  <c r="BOD4" i="5"/>
  <c r="BOE4" i="5"/>
  <c r="BOF4" i="5"/>
  <c r="BOG4" i="5"/>
  <c r="BOH4" i="5"/>
  <c r="BOI4" i="5"/>
  <c r="BOJ4" i="5"/>
  <c r="BOK4" i="5"/>
  <c r="BOL4" i="5"/>
  <c r="BOM4" i="5"/>
  <c r="BON4" i="5"/>
  <c r="BOO4" i="5"/>
  <c r="BOP4" i="5"/>
  <c r="BOQ4" i="5"/>
  <c r="BOR4" i="5"/>
  <c r="BOS4" i="5"/>
  <c r="BOT4" i="5"/>
  <c r="BOU4" i="5"/>
  <c r="BOV4" i="5"/>
  <c r="BOW4" i="5"/>
  <c r="BOX4" i="5"/>
  <c r="BOY4" i="5"/>
  <c r="BOZ4" i="5"/>
  <c r="BPA4" i="5"/>
  <c r="BPB4" i="5"/>
  <c r="BPC4" i="5"/>
  <c r="BPD4" i="5"/>
  <c r="BPE4" i="5"/>
  <c r="BPF4" i="5"/>
  <c r="BPG4" i="5"/>
  <c r="BPH4" i="5"/>
  <c r="BPI4" i="5"/>
  <c r="BPJ4" i="5"/>
  <c r="BPK4" i="5"/>
  <c r="BPL4" i="5"/>
  <c r="BPM4" i="5"/>
  <c r="BPN4" i="5"/>
  <c r="BPO4" i="5"/>
  <c r="BPP4" i="5"/>
  <c r="BPQ4" i="5"/>
  <c r="BPR4" i="5"/>
  <c r="BPS4" i="5"/>
  <c r="BPT4" i="5"/>
  <c r="BPU4" i="5"/>
  <c r="BPV4" i="5"/>
  <c r="BPW4" i="5"/>
  <c r="BPX4" i="5"/>
  <c r="BPY4" i="5"/>
  <c r="BPZ4" i="5"/>
  <c r="BQA4" i="5"/>
  <c r="BQB4" i="5"/>
  <c r="BQC4" i="5"/>
  <c r="BQD4" i="5"/>
  <c r="BQE4" i="5"/>
  <c r="BQF4" i="5"/>
  <c r="BQG4" i="5"/>
  <c r="BQH4" i="5"/>
  <c r="BQI4" i="5"/>
  <c r="BQJ4" i="5"/>
  <c r="BQK4" i="5"/>
  <c r="BQL4" i="5"/>
  <c r="BQM4" i="5"/>
  <c r="BQN4" i="5"/>
  <c r="BQO4" i="5"/>
  <c r="BQP4" i="5"/>
  <c r="BQQ4" i="5"/>
  <c r="BQR4" i="5"/>
  <c r="BQS4" i="5"/>
  <c r="BQT4" i="5"/>
  <c r="BQU4" i="5"/>
  <c r="BQV4" i="5"/>
  <c r="BQW4" i="5"/>
  <c r="BQX4" i="5"/>
  <c r="BQY4" i="5"/>
  <c r="BQZ4" i="5"/>
  <c r="BRA4" i="5"/>
  <c r="BRB4" i="5"/>
  <c r="BRC4" i="5"/>
  <c r="BRD4" i="5"/>
  <c r="BRE4" i="5"/>
  <c r="BRF4" i="5"/>
  <c r="BRG4" i="5"/>
  <c r="BRH4" i="5"/>
  <c r="BRI4" i="5"/>
  <c r="BRJ4" i="5"/>
  <c r="BRK4" i="5"/>
  <c r="BRL4" i="5"/>
  <c r="BRM4" i="5"/>
  <c r="BRN4" i="5"/>
  <c r="BRO4" i="5"/>
  <c r="BRP4" i="5"/>
  <c r="BRQ4" i="5"/>
  <c r="BRR4" i="5"/>
  <c r="BRS4" i="5"/>
  <c r="BRT4" i="5"/>
  <c r="BRU4" i="5"/>
  <c r="BRV4" i="5"/>
  <c r="BRW4" i="5"/>
  <c r="BRX4" i="5"/>
  <c r="BRY4" i="5"/>
  <c r="BRZ4" i="5"/>
  <c r="BSA4" i="5"/>
  <c r="BSB4" i="5"/>
  <c r="BSC4" i="5"/>
  <c r="BSD4" i="5"/>
  <c r="BSE4" i="5"/>
  <c r="BSF4" i="5"/>
  <c r="BSG4" i="5"/>
  <c r="BSH4" i="5"/>
  <c r="BSI4" i="5"/>
  <c r="BSJ4" i="5"/>
  <c r="BSK4" i="5"/>
  <c r="BSL4" i="5"/>
  <c r="BSM4" i="5"/>
  <c r="BSN4" i="5"/>
  <c r="BSO4" i="5"/>
  <c r="BSP4" i="5"/>
  <c r="BSQ4" i="5"/>
  <c r="BSR4" i="5"/>
  <c r="BSS4" i="5"/>
  <c r="BST4" i="5"/>
  <c r="BSU4" i="5"/>
  <c r="BSV4" i="5"/>
  <c r="BSW4" i="5"/>
  <c r="BSX4" i="5"/>
  <c r="BSY4" i="5"/>
  <c r="BSZ4" i="5"/>
  <c r="BTA4" i="5"/>
  <c r="BTB4" i="5"/>
  <c r="BTC4" i="5"/>
  <c r="BTD4" i="5"/>
  <c r="BTE4" i="5"/>
  <c r="BTF4" i="5"/>
  <c r="BTG4" i="5"/>
  <c r="BTH4" i="5"/>
  <c r="BTI4" i="5"/>
  <c r="BTJ4" i="5"/>
  <c r="BTK4" i="5"/>
  <c r="BTL4" i="5"/>
  <c r="BTM4" i="5"/>
  <c r="BTN4" i="5"/>
  <c r="BTO4" i="5"/>
  <c r="BTP4" i="5"/>
  <c r="BTQ4" i="5"/>
  <c r="BTR4" i="5"/>
  <c r="BTS4" i="5"/>
  <c r="BTT4" i="5"/>
  <c r="BTU4" i="5"/>
  <c r="BTV4" i="5"/>
  <c r="BTW4" i="5"/>
  <c r="BTX4" i="5"/>
  <c r="BTY4" i="5"/>
  <c r="BTZ4" i="5"/>
  <c r="BUA4" i="5"/>
  <c r="BUB4" i="5"/>
  <c r="BUC4" i="5"/>
  <c r="BUD4" i="5"/>
  <c r="BUE4" i="5"/>
  <c r="BUF4" i="5"/>
  <c r="BUG4" i="5"/>
  <c r="BUH4" i="5"/>
  <c r="BUI4" i="5"/>
  <c r="BUJ4" i="5"/>
  <c r="BUK4" i="5"/>
  <c r="BUL4" i="5"/>
  <c r="BUM4" i="5"/>
  <c r="BUN4" i="5"/>
  <c r="BUO4" i="5"/>
  <c r="BUP4" i="5"/>
  <c r="BUQ4" i="5"/>
  <c r="BUR4" i="5"/>
  <c r="BUS4" i="5"/>
  <c r="BUT4" i="5"/>
  <c r="BUU4" i="5"/>
  <c r="BUV4" i="5"/>
  <c r="BUW4" i="5"/>
  <c r="BUX4" i="5"/>
  <c r="BUY4" i="5"/>
  <c r="BUZ4" i="5"/>
  <c r="BVA4" i="5"/>
  <c r="BVB4" i="5"/>
  <c r="BVC4" i="5"/>
  <c r="BVD4" i="5"/>
  <c r="BVE4" i="5"/>
  <c r="BVF4" i="5"/>
  <c r="BVG4" i="5"/>
  <c r="BVH4" i="5"/>
  <c r="BVI4" i="5"/>
  <c r="BVJ4" i="5"/>
  <c r="BVK4" i="5"/>
  <c r="BVL4" i="5"/>
  <c r="BVM4" i="5"/>
  <c r="BVN4" i="5"/>
  <c r="BVO4" i="5"/>
  <c r="BVP4" i="5"/>
  <c r="BVQ4" i="5"/>
  <c r="BVR4" i="5"/>
  <c r="BVS4" i="5"/>
  <c r="BVT4" i="5"/>
  <c r="BVU4" i="5"/>
  <c r="BVV4" i="5"/>
  <c r="BVW4" i="5"/>
  <c r="BVX4" i="5"/>
  <c r="BVY4" i="5"/>
  <c r="BVZ4" i="5"/>
  <c r="BWA4" i="5"/>
  <c r="BWB4" i="5"/>
  <c r="BWC4" i="5"/>
  <c r="BWD4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R5" i="5"/>
  <c r="ABS5" i="5"/>
  <c r="ABT5" i="5"/>
  <c r="ABU5" i="5"/>
  <c r="ABV5" i="5"/>
  <c r="ABW5" i="5"/>
  <c r="ABX5" i="5"/>
  <c r="ABY5" i="5"/>
  <c r="ABZ5" i="5"/>
  <c r="ACA5" i="5"/>
  <c r="ACB5" i="5"/>
  <c r="ACC5" i="5"/>
  <c r="ACD5" i="5"/>
  <c r="ACE5" i="5"/>
  <c r="ACF5" i="5"/>
  <c r="ACG5" i="5"/>
  <c r="ACH5" i="5"/>
  <c r="ACI5" i="5"/>
  <c r="ACJ5" i="5"/>
  <c r="ACK5" i="5"/>
  <c r="ACL5" i="5"/>
  <c r="ACM5" i="5"/>
  <c r="ACN5" i="5"/>
  <c r="ACO5" i="5"/>
  <c r="ACP5" i="5"/>
  <c r="ACQ5" i="5"/>
  <c r="ACR5" i="5"/>
  <c r="ACS5" i="5"/>
  <c r="ACT5" i="5"/>
  <c r="ACU5" i="5"/>
  <c r="ACV5" i="5"/>
  <c r="ACW5" i="5"/>
  <c r="ACX5" i="5"/>
  <c r="ACY5" i="5"/>
  <c r="ACZ5" i="5"/>
  <c r="ADA5" i="5"/>
  <c r="ADB5" i="5"/>
  <c r="ADC5" i="5"/>
  <c r="ADD5" i="5"/>
  <c r="ADE5" i="5"/>
  <c r="ADF5" i="5"/>
  <c r="ADG5" i="5"/>
  <c r="ADH5" i="5"/>
  <c r="ADI5" i="5"/>
  <c r="ADJ5" i="5"/>
  <c r="ADK5" i="5"/>
  <c r="ADL5" i="5"/>
  <c r="ADM5" i="5"/>
  <c r="ADN5" i="5"/>
  <c r="ADO5" i="5"/>
  <c r="ADP5" i="5"/>
  <c r="ADQ5" i="5"/>
  <c r="ADR5" i="5"/>
  <c r="ADS5" i="5"/>
  <c r="ADT5" i="5"/>
  <c r="ADU5" i="5"/>
  <c r="ADV5" i="5"/>
  <c r="ADW5" i="5"/>
  <c r="ADX5" i="5"/>
  <c r="ADY5" i="5"/>
  <c r="ADZ5" i="5"/>
  <c r="AEA5" i="5"/>
  <c r="AEB5" i="5"/>
  <c r="AEC5" i="5"/>
  <c r="AED5" i="5"/>
  <c r="AEE5" i="5"/>
  <c r="AEF5" i="5"/>
  <c r="AEG5" i="5"/>
  <c r="AEH5" i="5"/>
  <c r="AEI5" i="5"/>
  <c r="AEJ5" i="5"/>
  <c r="AEK5" i="5"/>
  <c r="AEL5" i="5"/>
  <c r="AEM5" i="5"/>
  <c r="AEN5" i="5"/>
  <c r="AEO5" i="5"/>
  <c r="AEP5" i="5"/>
  <c r="AEQ5" i="5"/>
  <c r="AER5" i="5"/>
  <c r="AES5" i="5"/>
  <c r="AET5" i="5"/>
  <c r="AEU5" i="5"/>
  <c r="AEV5" i="5"/>
  <c r="AEW5" i="5"/>
  <c r="AEX5" i="5"/>
  <c r="AEY5" i="5"/>
  <c r="AEZ5" i="5"/>
  <c r="AFA5" i="5"/>
  <c r="AFB5" i="5"/>
  <c r="AFC5" i="5"/>
  <c r="AFD5" i="5"/>
  <c r="AFE5" i="5"/>
  <c r="AFF5" i="5"/>
  <c r="AFG5" i="5"/>
  <c r="AFH5" i="5"/>
  <c r="AFI5" i="5"/>
  <c r="AFJ5" i="5"/>
  <c r="AFK5" i="5"/>
  <c r="AFL5" i="5"/>
  <c r="AFM5" i="5"/>
  <c r="AFN5" i="5"/>
  <c r="AFO5" i="5"/>
  <c r="AFP5" i="5"/>
  <c r="AFQ5" i="5"/>
  <c r="AFR5" i="5"/>
  <c r="AFS5" i="5"/>
  <c r="AFT5" i="5"/>
  <c r="AFU5" i="5"/>
  <c r="AFV5" i="5"/>
  <c r="AFW5" i="5"/>
  <c r="AFX5" i="5"/>
  <c r="AFY5" i="5"/>
  <c r="AFZ5" i="5"/>
  <c r="AGA5" i="5"/>
  <c r="AGB5" i="5"/>
  <c r="AGC5" i="5"/>
  <c r="AGD5" i="5"/>
  <c r="AGE5" i="5"/>
  <c r="AGF5" i="5"/>
  <c r="AGG5" i="5"/>
  <c r="AGH5" i="5"/>
  <c r="AGI5" i="5"/>
  <c r="AGJ5" i="5"/>
  <c r="AGK5" i="5"/>
  <c r="AGL5" i="5"/>
  <c r="AGM5" i="5"/>
  <c r="AGN5" i="5"/>
  <c r="AGO5" i="5"/>
  <c r="AGP5" i="5"/>
  <c r="AGQ5" i="5"/>
  <c r="AGR5" i="5"/>
  <c r="AGS5" i="5"/>
  <c r="AGT5" i="5"/>
  <c r="AGU5" i="5"/>
  <c r="AGV5" i="5"/>
  <c r="AGW5" i="5"/>
  <c r="AGX5" i="5"/>
  <c r="AGY5" i="5"/>
  <c r="AGZ5" i="5"/>
  <c r="AHA5" i="5"/>
  <c r="AHB5" i="5"/>
  <c r="AHC5" i="5"/>
  <c r="AHD5" i="5"/>
  <c r="AHE5" i="5"/>
  <c r="AHF5" i="5"/>
  <c r="AHG5" i="5"/>
  <c r="AHH5" i="5"/>
  <c r="AHI5" i="5"/>
  <c r="AHJ5" i="5"/>
  <c r="AHK5" i="5"/>
  <c r="AHL5" i="5"/>
  <c r="AHM5" i="5"/>
  <c r="AHN5" i="5"/>
  <c r="AHO5" i="5"/>
  <c r="AHP5" i="5"/>
  <c r="AHQ5" i="5"/>
  <c r="AHR5" i="5"/>
  <c r="AHS5" i="5"/>
  <c r="AHT5" i="5"/>
  <c r="AHU5" i="5"/>
  <c r="AHV5" i="5"/>
  <c r="AHW5" i="5"/>
  <c r="AHX5" i="5"/>
  <c r="AHY5" i="5"/>
  <c r="AHZ5" i="5"/>
  <c r="AIA5" i="5"/>
  <c r="AIB5" i="5"/>
  <c r="AIC5" i="5"/>
  <c r="AID5" i="5"/>
  <c r="AIE5" i="5"/>
  <c r="AIF5" i="5"/>
  <c r="AIG5" i="5"/>
  <c r="AIH5" i="5"/>
  <c r="AII5" i="5"/>
  <c r="AIJ5" i="5"/>
  <c r="AIK5" i="5"/>
  <c r="AIL5" i="5"/>
  <c r="AIM5" i="5"/>
  <c r="AIN5" i="5"/>
  <c r="AIO5" i="5"/>
  <c r="AIP5" i="5"/>
  <c r="AIQ5" i="5"/>
  <c r="AIR5" i="5"/>
  <c r="AIS5" i="5"/>
  <c r="AIT5" i="5"/>
  <c r="AIU5" i="5"/>
  <c r="AIV5" i="5"/>
  <c r="AIW5" i="5"/>
  <c r="AIX5" i="5"/>
  <c r="AIY5" i="5"/>
  <c r="AIZ5" i="5"/>
  <c r="AJA5" i="5"/>
  <c r="AJB5" i="5"/>
  <c r="AJC5" i="5"/>
  <c r="AJD5" i="5"/>
  <c r="AJE5" i="5"/>
  <c r="AJF5" i="5"/>
  <c r="AJG5" i="5"/>
  <c r="AJH5" i="5"/>
  <c r="AJI5" i="5"/>
  <c r="AJJ5" i="5"/>
  <c r="AJK5" i="5"/>
  <c r="AJL5" i="5"/>
  <c r="AJM5" i="5"/>
  <c r="AJN5" i="5"/>
  <c r="AJO5" i="5"/>
  <c r="AJP5" i="5"/>
  <c r="AJQ5" i="5"/>
  <c r="AJR5" i="5"/>
  <c r="AJS5" i="5"/>
  <c r="AJT5" i="5"/>
  <c r="AJU5" i="5"/>
  <c r="AJV5" i="5"/>
  <c r="AJW5" i="5"/>
  <c r="AJX5" i="5"/>
  <c r="AJY5" i="5"/>
  <c r="AJZ5" i="5"/>
  <c r="AKA5" i="5"/>
  <c r="AKB5" i="5"/>
  <c r="AKC5" i="5"/>
  <c r="AKD5" i="5"/>
  <c r="AKE5" i="5"/>
  <c r="AKF5" i="5"/>
  <c r="AKG5" i="5"/>
  <c r="AKH5" i="5"/>
  <c r="AKI5" i="5"/>
  <c r="AKJ5" i="5"/>
  <c r="AKK5" i="5"/>
  <c r="AKL5" i="5"/>
  <c r="AKM5" i="5"/>
  <c r="AKN5" i="5"/>
  <c r="AKO5" i="5"/>
  <c r="AKP5" i="5"/>
  <c r="AKQ5" i="5"/>
  <c r="AKR5" i="5"/>
  <c r="AKS5" i="5"/>
  <c r="AKT5" i="5"/>
  <c r="AKU5" i="5"/>
  <c r="AKV5" i="5"/>
  <c r="AKW5" i="5"/>
  <c r="AKX5" i="5"/>
  <c r="AKY5" i="5"/>
  <c r="AKZ5" i="5"/>
  <c r="ALA5" i="5"/>
  <c r="ALB5" i="5"/>
  <c r="ALC5" i="5"/>
  <c r="ALD5" i="5"/>
  <c r="ALE5" i="5"/>
  <c r="ALF5" i="5"/>
  <c r="ALG5" i="5"/>
  <c r="ALH5" i="5"/>
  <c r="ALI5" i="5"/>
  <c r="ALJ5" i="5"/>
  <c r="ALK5" i="5"/>
  <c r="ALL5" i="5"/>
  <c r="ALM5" i="5"/>
  <c r="ALN5" i="5"/>
  <c r="ALO5" i="5"/>
  <c r="ALP5" i="5"/>
  <c r="ALQ5" i="5"/>
  <c r="ALR5" i="5"/>
  <c r="ALS5" i="5"/>
  <c r="ALT5" i="5"/>
  <c r="ALU5" i="5"/>
  <c r="ALV5" i="5"/>
  <c r="ALW5" i="5"/>
  <c r="ALX5" i="5"/>
  <c r="ALY5" i="5"/>
  <c r="ALZ5" i="5"/>
  <c r="AMA5" i="5"/>
  <c r="AMB5" i="5"/>
  <c r="AMC5" i="5"/>
  <c r="AMD5" i="5"/>
  <c r="AME5" i="5"/>
  <c r="AMF5" i="5"/>
  <c r="AMG5" i="5"/>
  <c r="AMH5" i="5"/>
  <c r="AMI5" i="5"/>
  <c r="AMJ5" i="5"/>
  <c r="AMK5" i="5"/>
  <c r="AML5" i="5"/>
  <c r="AMM5" i="5"/>
  <c r="AMN5" i="5"/>
  <c r="AMO5" i="5"/>
  <c r="AMP5" i="5"/>
  <c r="AMQ5" i="5"/>
  <c r="AMR5" i="5"/>
  <c r="AMS5" i="5"/>
  <c r="AMT5" i="5"/>
  <c r="AMU5" i="5"/>
  <c r="AMV5" i="5"/>
  <c r="AMW5" i="5"/>
  <c r="AMX5" i="5"/>
  <c r="AMY5" i="5"/>
  <c r="AMZ5" i="5"/>
  <c r="ANA5" i="5"/>
  <c r="ANB5" i="5"/>
  <c r="ANC5" i="5"/>
  <c r="AND5" i="5"/>
  <c r="ANE5" i="5"/>
  <c r="ANF5" i="5"/>
  <c r="ANG5" i="5"/>
  <c r="ANH5" i="5"/>
  <c r="ANI5" i="5"/>
  <c r="ANJ5" i="5"/>
  <c r="ANK5" i="5"/>
  <c r="ANL5" i="5"/>
  <c r="ANM5" i="5"/>
  <c r="ANN5" i="5"/>
  <c r="ANO5" i="5"/>
  <c r="ANP5" i="5"/>
  <c r="ANQ5" i="5"/>
  <c r="ANR5" i="5"/>
  <c r="ANS5" i="5"/>
  <c r="ANT5" i="5"/>
  <c r="ANU5" i="5"/>
  <c r="ANV5" i="5"/>
  <c r="ANW5" i="5"/>
  <c r="ANX5" i="5"/>
  <c r="ANY5" i="5"/>
  <c r="ANZ5" i="5"/>
  <c r="AOA5" i="5"/>
  <c r="AOB5" i="5"/>
  <c r="AOC5" i="5"/>
  <c r="AOD5" i="5"/>
  <c r="AOE5" i="5"/>
  <c r="AOF5" i="5"/>
  <c r="AOG5" i="5"/>
  <c r="AOH5" i="5"/>
  <c r="AOI5" i="5"/>
  <c r="AOJ5" i="5"/>
  <c r="AOK5" i="5"/>
  <c r="AOL5" i="5"/>
  <c r="AOM5" i="5"/>
  <c r="AON5" i="5"/>
  <c r="AOO5" i="5"/>
  <c r="AOP5" i="5"/>
  <c r="AOQ5" i="5"/>
  <c r="AOR5" i="5"/>
  <c r="AOS5" i="5"/>
  <c r="AOT5" i="5"/>
  <c r="AOU5" i="5"/>
  <c r="AOV5" i="5"/>
  <c r="AOW5" i="5"/>
  <c r="AOX5" i="5"/>
  <c r="AOY5" i="5"/>
  <c r="AOZ5" i="5"/>
  <c r="APA5" i="5"/>
  <c r="APB5" i="5"/>
  <c r="APC5" i="5"/>
  <c r="APD5" i="5"/>
  <c r="APE5" i="5"/>
  <c r="APF5" i="5"/>
  <c r="APG5" i="5"/>
  <c r="APH5" i="5"/>
  <c r="API5" i="5"/>
  <c r="APJ5" i="5"/>
  <c r="APK5" i="5"/>
  <c r="APL5" i="5"/>
  <c r="APM5" i="5"/>
  <c r="APN5" i="5"/>
  <c r="APO5" i="5"/>
  <c r="APP5" i="5"/>
  <c r="APQ5" i="5"/>
  <c r="APR5" i="5"/>
  <c r="APS5" i="5"/>
  <c r="APT5" i="5"/>
  <c r="APU5" i="5"/>
  <c r="APV5" i="5"/>
  <c r="APW5" i="5"/>
  <c r="APX5" i="5"/>
  <c r="APY5" i="5"/>
  <c r="APZ5" i="5"/>
  <c r="AQA5" i="5"/>
  <c r="AQB5" i="5"/>
  <c r="AQC5" i="5"/>
  <c r="AQD5" i="5"/>
  <c r="AQE5" i="5"/>
  <c r="AQF5" i="5"/>
  <c r="AQG5" i="5"/>
  <c r="AQH5" i="5"/>
  <c r="AQI5" i="5"/>
  <c r="AQJ5" i="5"/>
  <c r="AQK5" i="5"/>
  <c r="AQL5" i="5"/>
  <c r="AQM5" i="5"/>
  <c r="AQN5" i="5"/>
  <c r="AQO5" i="5"/>
  <c r="AQP5" i="5"/>
  <c r="AQQ5" i="5"/>
  <c r="AQR5" i="5"/>
  <c r="AQS5" i="5"/>
  <c r="AQT5" i="5"/>
  <c r="AQU5" i="5"/>
  <c r="AQV5" i="5"/>
  <c r="AQW5" i="5"/>
  <c r="AQX5" i="5"/>
  <c r="AQY5" i="5"/>
  <c r="AQZ5" i="5"/>
  <c r="ARA5" i="5"/>
  <c r="ARB5" i="5"/>
  <c r="ARC5" i="5"/>
  <c r="ARD5" i="5"/>
  <c r="ARE5" i="5"/>
  <c r="ARF5" i="5"/>
  <c r="ARG5" i="5"/>
  <c r="ARH5" i="5"/>
  <c r="ARI5" i="5"/>
  <c r="ARJ5" i="5"/>
  <c r="ARK5" i="5"/>
  <c r="ARL5" i="5"/>
  <c r="ARM5" i="5"/>
  <c r="ARN5" i="5"/>
  <c r="ARO5" i="5"/>
  <c r="ARP5" i="5"/>
  <c r="ARQ5" i="5"/>
  <c r="ARR5" i="5"/>
  <c r="ARS5" i="5"/>
  <c r="ART5" i="5"/>
  <c r="ARU5" i="5"/>
  <c r="ARV5" i="5"/>
  <c r="ARW5" i="5"/>
  <c r="ARX5" i="5"/>
  <c r="ARY5" i="5"/>
  <c r="ARZ5" i="5"/>
  <c r="ASA5" i="5"/>
  <c r="ASB5" i="5"/>
  <c r="ASC5" i="5"/>
  <c r="ASD5" i="5"/>
  <c r="ASE5" i="5"/>
  <c r="ASF5" i="5"/>
  <c r="ASG5" i="5"/>
  <c r="ASH5" i="5"/>
  <c r="ASI5" i="5"/>
  <c r="ASJ5" i="5"/>
  <c r="ASK5" i="5"/>
  <c r="ASL5" i="5"/>
  <c r="ASM5" i="5"/>
  <c r="ASN5" i="5"/>
  <c r="ASO5" i="5"/>
  <c r="ASP5" i="5"/>
  <c r="ASQ5" i="5"/>
  <c r="ASR5" i="5"/>
  <c r="ASS5" i="5"/>
  <c r="AST5" i="5"/>
  <c r="ASU5" i="5"/>
  <c r="ASV5" i="5"/>
  <c r="ASW5" i="5"/>
  <c r="ASX5" i="5"/>
  <c r="ASY5" i="5"/>
  <c r="ASZ5" i="5"/>
  <c r="ATA5" i="5"/>
  <c r="ATB5" i="5"/>
  <c r="ATC5" i="5"/>
  <c r="ATD5" i="5"/>
  <c r="ATE5" i="5"/>
  <c r="ATF5" i="5"/>
  <c r="ATG5" i="5"/>
  <c r="ATH5" i="5"/>
  <c r="ATI5" i="5"/>
  <c r="ATJ5" i="5"/>
  <c r="ATK5" i="5"/>
  <c r="ATL5" i="5"/>
  <c r="ATM5" i="5"/>
  <c r="ATN5" i="5"/>
  <c r="ATO5" i="5"/>
  <c r="ATP5" i="5"/>
  <c r="ATQ5" i="5"/>
  <c r="ATR5" i="5"/>
  <c r="ATS5" i="5"/>
  <c r="ATT5" i="5"/>
  <c r="ATU5" i="5"/>
  <c r="ATV5" i="5"/>
  <c r="ATW5" i="5"/>
  <c r="ATX5" i="5"/>
  <c r="ATY5" i="5"/>
  <c r="ATZ5" i="5"/>
  <c r="AUA5" i="5"/>
  <c r="AUB5" i="5"/>
  <c r="AUC5" i="5"/>
  <c r="AUD5" i="5"/>
  <c r="AUE5" i="5"/>
  <c r="AUF5" i="5"/>
  <c r="AUG5" i="5"/>
  <c r="AUH5" i="5"/>
  <c r="AUI5" i="5"/>
  <c r="AUJ5" i="5"/>
  <c r="AUK5" i="5"/>
  <c r="AUL5" i="5"/>
  <c r="AUM5" i="5"/>
  <c r="AUN5" i="5"/>
  <c r="AUO5" i="5"/>
  <c r="AUP5" i="5"/>
  <c r="AUQ5" i="5"/>
  <c r="AUR5" i="5"/>
  <c r="AUS5" i="5"/>
  <c r="AUT5" i="5"/>
  <c r="AUU5" i="5"/>
  <c r="AUV5" i="5"/>
  <c r="AUW5" i="5"/>
  <c r="AUX5" i="5"/>
  <c r="AUY5" i="5"/>
  <c r="AUZ5" i="5"/>
  <c r="AVA5" i="5"/>
  <c r="AVB5" i="5"/>
  <c r="AVC5" i="5"/>
  <c r="AVD5" i="5"/>
  <c r="AVE5" i="5"/>
  <c r="AVF5" i="5"/>
  <c r="AVG5" i="5"/>
  <c r="AVH5" i="5"/>
  <c r="AVI5" i="5"/>
  <c r="AVJ5" i="5"/>
  <c r="AVK5" i="5"/>
  <c r="AVL5" i="5"/>
  <c r="AVM5" i="5"/>
  <c r="AVN5" i="5"/>
  <c r="AVO5" i="5"/>
  <c r="AVP5" i="5"/>
  <c r="AVQ5" i="5"/>
  <c r="AVR5" i="5"/>
  <c r="AVS5" i="5"/>
  <c r="AVT5" i="5"/>
  <c r="AVU5" i="5"/>
  <c r="AVV5" i="5"/>
  <c r="AVW5" i="5"/>
  <c r="AVX5" i="5"/>
  <c r="AVY5" i="5"/>
  <c r="AVZ5" i="5"/>
  <c r="AWA5" i="5"/>
  <c r="AWB5" i="5"/>
  <c r="AWC5" i="5"/>
  <c r="AWD5" i="5"/>
  <c r="AWE5" i="5"/>
  <c r="AWF5" i="5"/>
  <c r="AWG5" i="5"/>
  <c r="AWH5" i="5"/>
  <c r="AWI5" i="5"/>
  <c r="AWJ5" i="5"/>
  <c r="AWK5" i="5"/>
  <c r="AWL5" i="5"/>
  <c r="AWM5" i="5"/>
  <c r="AWN5" i="5"/>
  <c r="AWO5" i="5"/>
  <c r="AWP5" i="5"/>
  <c r="AWQ5" i="5"/>
  <c r="AWR5" i="5"/>
  <c r="AWS5" i="5"/>
  <c r="AWT5" i="5"/>
  <c r="AWU5" i="5"/>
  <c r="AWV5" i="5"/>
  <c r="AWW5" i="5"/>
  <c r="AWX5" i="5"/>
  <c r="AWY5" i="5"/>
  <c r="AWZ5" i="5"/>
  <c r="AXA5" i="5"/>
  <c r="AXB5" i="5"/>
  <c r="AXC5" i="5"/>
  <c r="AXD5" i="5"/>
  <c r="AXE5" i="5"/>
  <c r="AXF5" i="5"/>
  <c r="AXG5" i="5"/>
  <c r="AXH5" i="5"/>
  <c r="AXI5" i="5"/>
  <c r="AXJ5" i="5"/>
  <c r="AXK5" i="5"/>
  <c r="AXL5" i="5"/>
  <c r="AXM5" i="5"/>
  <c r="AXN5" i="5"/>
  <c r="AXO5" i="5"/>
  <c r="AXP5" i="5"/>
  <c r="AXQ5" i="5"/>
  <c r="AXR5" i="5"/>
  <c r="AXS5" i="5"/>
  <c r="AXT5" i="5"/>
  <c r="AXU5" i="5"/>
  <c r="AXV5" i="5"/>
  <c r="AXW5" i="5"/>
  <c r="AXX5" i="5"/>
  <c r="AXY5" i="5"/>
  <c r="AXZ5" i="5"/>
  <c r="AYA5" i="5"/>
  <c r="AYB5" i="5"/>
  <c r="AYC5" i="5"/>
  <c r="AYD5" i="5"/>
  <c r="AYE5" i="5"/>
  <c r="AYF5" i="5"/>
  <c r="AYG5" i="5"/>
  <c r="AYH5" i="5"/>
  <c r="AYI5" i="5"/>
  <c r="AYJ5" i="5"/>
  <c r="AYK5" i="5"/>
  <c r="AYL5" i="5"/>
  <c r="AYM5" i="5"/>
  <c r="AYN5" i="5"/>
  <c r="AYO5" i="5"/>
  <c r="AYP5" i="5"/>
  <c r="AYQ5" i="5"/>
  <c r="AYR5" i="5"/>
  <c r="AYS5" i="5"/>
  <c r="AYT5" i="5"/>
  <c r="AYU5" i="5"/>
  <c r="AYV5" i="5"/>
  <c r="AYW5" i="5"/>
  <c r="AYX5" i="5"/>
  <c r="AYY5" i="5"/>
  <c r="AYZ5" i="5"/>
  <c r="AZA5" i="5"/>
  <c r="AZB5" i="5"/>
  <c r="AZC5" i="5"/>
  <c r="AZD5" i="5"/>
  <c r="AZE5" i="5"/>
  <c r="AZF5" i="5"/>
  <c r="AZG5" i="5"/>
  <c r="AZH5" i="5"/>
  <c r="AZI5" i="5"/>
  <c r="AZJ5" i="5"/>
  <c r="AZK5" i="5"/>
  <c r="AZL5" i="5"/>
  <c r="AZM5" i="5"/>
  <c r="AZN5" i="5"/>
  <c r="AZO5" i="5"/>
  <c r="AZP5" i="5"/>
  <c r="AZQ5" i="5"/>
  <c r="AZR5" i="5"/>
  <c r="AZS5" i="5"/>
  <c r="AZT5" i="5"/>
  <c r="AZU5" i="5"/>
  <c r="AZV5" i="5"/>
  <c r="AZW5" i="5"/>
  <c r="AZX5" i="5"/>
  <c r="AZY5" i="5"/>
  <c r="AZZ5" i="5"/>
  <c r="BAA5" i="5"/>
  <c r="BAB5" i="5"/>
  <c r="BAC5" i="5"/>
  <c r="BAD5" i="5"/>
  <c r="BAE5" i="5"/>
  <c r="BAF5" i="5"/>
  <c r="BAG5" i="5"/>
  <c r="BAH5" i="5"/>
  <c r="BAI5" i="5"/>
  <c r="BAJ5" i="5"/>
  <c r="BAK5" i="5"/>
  <c r="BAL5" i="5"/>
  <c r="BAM5" i="5"/>
  <c r="BAN5" i="5"/>
  <c r="BAO5" i="5"/>
  <c r="BAP5" i="5"/>
  <c r="BAQ5" i="5"/>
  <c r="BAR5" i="5"/>
  <c r="BAS5" i="5"/>
  <c r="BAT5" i="5"/>
  <c r="BAU5" i="5"/>
  <c r="BAV5" i="5"/>
  <c r="BAW5" i="5"/>
  <c r="BAX5" i="5"/>
  <c r="BAY5" i="5"/>
  <c r="BAZ5" i="5"/>
  <c r="BBA5" i="5"/>
  <c r="BBB5" i="5"/>
  <c r="BBC5" i="5"/>
  <c r="BBD5" i="5"/>
  <c r="BBE5" i="5"/>
  <c r="BBF5" i="5"/>
  <c r="BBG5" i="5"/>
  <c r="BBH5" i="5"/>
  <c r="BBI5" i="5"/>
  <c r="BBJ5" i="5"/>
  <c r="BBK5" i="5"/>
  <c r="BBL5" i="5"/>
  <c r="BBM5" i="5"/>
  <c r="BBN5" i="5"/>
  <c r="BBO5" i="5"/>
  <c r="BBP5" i="5"/>
  <c r="BBQ5" i="5"/>
  <c r="BBR5" i="5"/>
  <c r="BBS5" i="5"/>
  <c r="BBT5" i="5"/>
  <c r="BBU5" i="5"/>
  <c r="BBV5" i="5"/>
  <c r="BBW5" i="5"/>
  <c r="BBX5" i="5"/>
  <c r="BBY5" i="5"/>
  <c r="BBZ5" i="5"/>
  <c r="BCA5" i="5"/>
  <c r="BCB5" i="5"/>
  <c r="BCC5" i="5"/>
  <c r="BCD5" i="5"/>
  <c r="BCE5" i="5"/>
  <c r="BCF5" i="5"/>
  <c r="BCG5" i="5"/>
  <c r="BCH5" i="5"/>
  <c r="BCI5" i="5"/>
  <c r="BCJ5" i="5"/>
  <c r="BCK5" i="5"/>
  <c r="BCL5" i="5"/>
  <c r="BCM5" i="5"/>
  <c r="BCN5" i="5"/>
  <c r="BCO5" i="5"/>
  <c r="BCP5" i="5"/>
  <c r="BCQ5" i="5"/>
  <c r="BCR5" i="5"/>
  <c r="BCS5" i="5"/>
  <c r="BCT5" i="5"/>
  <c r="BCU5" i="5"/>
  <c r="BCV5" i="5"/>
  <c r="BCW5" i="5"/>
  <c r="BCX5" i="5"/>
  <c r="BCY5" i="5"/>
  <c r="BCZ5" i="5"/>
  <c r="BDA5" i="5"/>
  <c r="BDB5" i="5"/>
  <c r="BDC5" i="5"/>
  <c r="BDD5" i="5"/>
  <c r="BDE5" i="5"/>
  <c r="BDF5" i="5"/>
  <c r="BDG5" i="5"/>
  <c r="BDH5" i="5"/>
  <c r="BDI5" i="5"/>
  <c r="BDJ5" i="5"/>
  <c r="BDK5" i="5"/>
  <c r="BDL5" i="5"/>
  <c r="BDM5" i="5"/>
  <c r="BDN5" i="5"/>
  <c r="BDO5" i="5"/>
  <c r="BDP5" i="5"/>
  <c r="BDQ5" i="5"/>
  <c r="BDR5" i="5"/>
  <c r="BDS5" i="5"/>
  <c r="BDT5" i="5"/>
  <c r="BDU5" i="5"/>
  <c r="BDV5" i="5"/>
  <c r="BDW5" i="5"/>
  <c r="BDX5" i="5"/>
  <c r="BDY5" i="5"/>
  <c r="BDZ5" i="5"/>
  <c r="BEA5" i="5"/>
  <c r="BEB5" i="5"/>
  <c r="BEC5" i="5"/>
  <c r="BED5" i="5"/>
  <c r="BEE5" i="5"/>
  <c r="BEF5" i="5"/>
  <c r="BEG5" i="5"/>
  <c r="BEH5" i="5"/>
  <c r="BEI5" i="5"/>
  <c r="BEJ5" i="5"/>
  <c r="BEK5" i="5"/>
  <c r="BEL5" i="5"/>
  <c r="BEM5" i="5"/>
  <c r="BEN5" i="5"/>
  <c r="BEO5" i="5"/>
  <c r="BEP5" i="5"/>
  <c r="BEQ5" i="5"/>
  <c r="BER5" i="5"/>
  <c r="BES5" i="5"/>
  <c r="BET5" i="5"/>
  <c r="BEU5" i="5"/>
  <c r="BEV5" i="5"/>
  <c r="BEW5" i="5"/>
  <c r="BEX5" i="5"/>
  <c r="BEY5" i="5"/>
  <c r="BEZ5" i="5"/>
  <c r="BFA5" i="5"/>
  <c r="BFB5" i="5"/>
  <c r="BFC5" i="5"/>
  <c r="BFD5" i="5"/>
  <c r="BFE5" i="5"/>
  <c r="BFF5" i="5"/>
  <c r="BFG5" i="5"/>
  <c r="BFH5" i="5"/>
  <c r="BFI5" i="5"/>
  <c r="BFJ5" i="5"/>
  <c r="BFK5" i="5"/>
  <c r="BFL5" i="5"/>
  <c r="BFM5" i="5"/>
  <c r="BFN5" i="5"/>
  <c r="BFO5" i="5"/>
  <c r="BFP5" i="5"/>
  <c r="BFQ5" i="5"/>
  <c r="BFR5" i="5"/>
  <c r="BFS5" i="5"/>
  <c r="BFT5" i="5"/>
  <c r="BFU5" i="5"/>
  <c r="BFV5" i="5"/>
  <c r="BFW5" i="5"/>
  <c r="BFX5" i="5"/>
  <c r="BFY5" i="5"/>
  <c r="BFZ5" i="5"/>
  <c r="BGA5" i="5"/>
  <c r="BGB5" i="5"/>
  <c r="BGC5" i="5"/>
  <c r="BGD5" i="5"/>
  <c r="BGE5" i="5"/>
  <c r="BGF5" i="5"/>
  <c r="BGG5" i="5"/>
  <c r="BGH5" i="5"/>
  <c r="BGI5" i="5"/>
  <c r="BGJ5" i="5"/>
  <c r="BGK5" i="5"/>
  <c r="BGL5" i="5"/>
  <c r="BGM5" i="5"/>
  <c r="BGN5" i="5"/>
  <c r="BGO5" i="5"/>
  <c r="BGP5" i="5"/>
  <c r="BGQ5" i="5"/>
  <c r="BGR5" i="5"/>
  <c r="BGS5" i="5"/>
  <c r="BGT5" i="5"/>
  <c r="BGU5" i="5"/>
  <c r="BGV5" i="5"/>
  <c r="BGW5" i="5"/>
  <c r="BGX5" i="5"/>
  <c r="BGY5" i="5"/>
  <c r="BGZ5" i="5"/>
  <c r="BHA5" i="5"/>
  <c r="BHB5" i="5"/>
  <c r="BHC5" i="5"/>
  <c r="BHD5" i="5"/>
  <c r="BHE5" i="5"/>
  <c r="BHF5" i="5"/>
  <c r="BHG5" i="5"/>
  <c r="BHH5" i="5"/>
  <c r="BHI5" i="5"/>
  <c r="BHJ5" i="5"/>
  <c r="BHK5" i="5"/>
  <c r="BHL5" i="5"/>
  <c r="BHM5" i="5"/>
  <c r="BHN5" i="5"/>
  <c r="BHO5" i="5"/>
  <c r="BHP5" i="5"/>
  <c r="BHQ5" i="5"/>
  <c r="BHR5" i="5"/>
  <c r="BHS5" i="5"/>
  <c r="BHT5" i="5"/>
  <c r="BHU5" i="5"/>
  <c r="BHV5" i="5"/>
  <c r="BHW5" i="5"/>
  <c r="BHX5" i="5"/>
  <c r="BHY5" i="5"/>
  <c r="BHZ5" i="5"/>
  <c r="BIA5" i="5"/>
  <c r="BIB5" i="5"/>
  <c r="BIC5" i="5"/>
  <c r="BID5" i="5"/>
  <c r="BIE5" i="5"/>
  <c r="BIF5" i="5"/>
  <c r="BIG5" i="5"/>
  <c r="BIH5" i="5"/>
  <c r="BII5" i="5"/>
  <c r="BIJ5" i="5"/>
  <c r="BIK5" i="5"/>
  <c r="BIL5" i="5"/>
  <c r="BIM5" i="5"/>
  <c r="BIN5" i="5"/>
  <c r="BIO5" i="5"/>
  <c r="BIP5" i="5"/>
  <c r="BIQ5" i="5"/>
  <c r="BIR5" i="5"/>
  <c r="BIS5" i="5"/>
  <c r="BIT5" i="5"/>
  <c r="BIU5" i="5"/>
  <c r="BIV5" i="5"/>
  <c r="BIW5" i="5"/>
  <c r="BIX5" i="5"/>
  <c r="BIY5" i="5"/>
  <c r="BIZ5" i="5"/>
  <c r="BJA5" i="5"/>
  <c r="BJB5" i="5"/>
  <c r="BJC5" i="5"/>
  <c r="BJD5" i="5"/>
  <c r="BJE5" i="5"/>
  <c r="BJF5" i="5"/>
  <c r="BJG5" i="5"/>
  <c r="BJH5" i="5"/>
  <c r="BJI5" i="5"/>
  <c r="BJJ5" i="5"/>
  <c r="BJK5" i="5"/>
  <c r="BJL5" i="5"/>
  <c r="BJM5" i="5"/>
  <c r="BJN5" i="5"/>
  <c r="BJO5" i="5"/>
  <c r="BJP5" i="5"/>
  <c r="BJQ5" i="5"/>
  <c r="BJR5" i="5"/>
  <c r="BJS5" i="5"/>
  <c r="BJT5" i="5"/>
  <c r="BJU5" i="5"/>
  <c r="BJV5" i="5"/>
  <c r="BJW5" i="5"/>
  <c r="BJX5" i="5"/>
  <c r="BJY5" i="5"/>
  <c r="BJZ5" i="5"/>
  <c r="BKA5" i="5"/>
  <c r="BKB5" i="5"/>
  <c r="BKC5" i="5"/>
  <c r="BKD5" i="5"/>
  <c r="BKE5" i="5"/>
  <c r="BKF5" i="5"/>
  <c r="BKG5" i="5"/>
  <c r="BKH5" i="5"/>
  <c r="BKI5" i="5"/>
  <c r="BKJ5" i="5"/>
  <c r="BKK5" i="5"/>
  <c r="BKL5" i="5"/>
  <c r="BKM5" i="5"/>
  <c r="BKN5" i="5"/>
  <c r="BKO5" i="5"/>
  <c r="BKP5" i="5"/>
  <c r="BKQ5" i="5"/>
  <c r="BKR5" i="5"/>
  <c r="BKS5" i="5"/>
  <c r="BKT5" i="5"/>
  <c r="BKU5" i="5"/>
  <c r="BKV5" i="5"/>
  <c r="BKW5" i="5"/>
  <c r="BKX5" i="5"/>
  <c r="BKY5" i="5"/>
  <c r="BKZ5" i="5"/>
  <c r="BLA5" i="5"/>
  <c r="BLB5" i="5"/>
  <c r="BLC5" i="5"/>
  <c r="BLD5" i="5"/>
  <c r="BLE5" i="5"/>
  <c r="BLF5" i="5"/>
  <c r="BLG5" i="5"/>
  <c r="BLH5" i="5"/>
  <c r="BLI5" i="5"/>
  <c r="BLJ5" i="5"/>
  <c r="BLK5" i="5"/>
  <c r="BLL5" i="5"/>
  <c r="BLM5" i="5"/>
  <c r="BLN5" i="5"/>
  <c r="BLO5" i="5"/>
  <c r="BLP5" i="5"/>
  <c r="BLQ5" i="5"/>
  <c r="BLR5" i="5"/>
  <c r="BLS5" i="5"/>
  <c r="BLT5" i="5"/>
  <c r="BLU5" i="5"/>
  <c r="BLV5" i="5"/>
  <c r="BLW5" i="5"/>
  <c r="BLX5" i="5"/>
  <c r="BLY5" i="5"/>
  <c r="BLZ5" i="5"/>
  <c r="BMA5" i="5"/>
  <c r="BMB5" i="5"/>
  <c r="BMC5" i="5"/>
  <c r="BMD5" i="5"/>
  <c r="BME5" i="5"/>
  <c r="BMF5" i="5"/>
  <c r="BMG5" i="5"/>
  <c r="BMH5" i="5"/>
  <c r="BMI5" i="5"/>
  <c r="BMJ5" i="5"/>
  <c r="BMK5" i="5"/>
  <c r="BML5" i="5"/>
  <c r="BMM5" i="5"/>
  <c r="BMN5" i="5"/>
  <c r="BMO5" i="5"/>
  <c r="BMP5" i="5"/>
  <c r="BMQ5" i="5"/>
  <c r="BMR5" i="5"/>
  <c r="BMS5" i="5"/>
  <c r="BMT5" i="5"/>
  <c r="BMU5" i="5"/>
  <c r="BMV5" i="5"/>
  <c r="BMW5" i="5"/>
  <c r="BMX5" i="5"/>
  <c r="BMY5" i="5"/>
  <c r="BMZ5" i="5"/>
  <c r="BNA5" i="5"/>
  <c r="BNB5" i="5"/>
  <c r="BNC5" i="5"/>
  <c r="BND5" i="5"/>
  <c r="BNE5" i="5"/>
  <c r="BNF5" i="5"/>
  <c r="BNG5" i="5"/>
  <c r="BNH5" i="5"/>
  <c r="BNI5" i="5"/>
  <c r="BNJ5" i="5"/>
  <c r="BNK5" i="5"/>
  <c r="BNL5" i="5"/>
  <c r="BNM5" i="5"/>
  <c r="BNN5" i="5"/>
  <c r="BNO5" i="5"/>
  <c r="BNP5" i="5"/>
  <c r="BNQ5" i="5"/>
  <c r="BNR5" i="5"/>
  <c r="BNS5" i="5"/>
  <c r="BNT5" i="5"/>
  <c r="BNU5" i="5"/>
  <c r="BNV5" i="5"/>
  <c r="BNW5" i="5"/>
  <c r="BNX5" i="5"/>
  <c r="BNY5" i="5"/>
  <c r="BNZ5" i="5"/>
  <c r="BOA5" i="5"/>
  <c r="BOB5" i="5"/>
  <c r="BOC5" i="5"/>
  <c r="BOD5" i="5"/>
  <c r="BOE5" i="5"/>
  <c r="BOF5" i="5"/>
  <c r="BOG5" i="5"/>
  <c r="BOH5" i="5"/>
  <c r="BOI5" i="5"/>
  <c r="BOJ5" i="5"/>
  <c r="BOK5" i="5"/>
  <c r="BOL5" i="5"/>
  <c r="BOM5" i="5"/>
  <c r="BON5" i="5"/>
  <c r="BOO5" i="5"/>
  <c r="BOP5" i="5"/>
  <c r="BOQ5" i="5"/>
  <c r="BOR5" i="5"/>
  <c r="BOS5" i="5"/>
  <c r="BOT5" i="5"/>
  <c r="BOU5" i="5"/>
  <c r="BOV5" i="5"/>
  <c r="BOW5" i="5"/>
  <c r="BOX5" i="5"/>
  <c r="BOY5" i="5"/>
  <c r="BOZ5" i="5"/>
  <c r="BPA5" i="5"/>
  <c r="BPB5" i="5"/>
  <c r="BPC5" i="5"/>
  <c r="BPD5" i="5"/>
  <c r="BPE5" i="5"/>
  <c r="BPF5" i="5"/>
  <c r="BPG5" i="5"/>
  <c r="BPH5" i="5"/>
  <c r="BPI5" i="5"/>
  <c r="BPJ5" i="5"/>
  <c r="BPK5" i="5"/>
  <c r="BPL5" i="5"/>
  <c r="BPM5" i="5"/>
  <c r="BPN5" i="5"/>
  <c r="BPO5" i="5"/>
  <c r="BPP5" i="5"/>
  <c r="BPQ5" i="5"/>
  <c r="BPR5" i="5"/>
  <c r="BPS5" i="5"/>
  <c r="BPT5" i="5"/>
  <c r="BPU5" i="5"/>
  <c r="BPV5" i="5"/>
  <c r="BPW5" i="5"/>
  <c r="BPX5" i="5"/>
  <c r="BPY5" i="5"/>
  <c r="BPZ5" i="5"/>
  <c r="BQA5" i="5"/>
  <c r="BQB5" i="5"/>
  <c r="BQC5" i="5"/>
  <c r="BQD5" i="5"/>
  <c r="BQE5" i="5"/>
  <c r="BQF5" i="5"/>
  <c r="BQG5" i="5"/>
  <c r="BQH5" i="5"/>
  <c r="BQI5" i="5"/>
  <c r="BQJ5" i="5"/>
  <c r="BQK5" i="5"/>
  <c r="BQL5" i="5"/>
  <c r="BQM5" i="5"/>
  <c r="BQN5" i="5"/>
  <c r="BQO5" i="5"/>
  <c r="BQP5" i="5"/>
  <c r="BQQ5" i="5"/>
  <c r="BQR5" i="5"/>
  <c r="BQS5" i="5"/>
  <c r="BQT5" i="5"/>
  <c r="BQU5" i="5"/>
  <c r="BQV5" i="5"/>
  <c r="BQW5" i="5"/>
  <c r="BQX5" i="5"/>
  <c r="BQY5" i="5"/>
  <c r="BQZ5" i="5"/>
  <c r="BRA5" i="5"/>
  <c r="BRB5" i="5"/>
  <c r="BRC5" i="5"/>
  <c r="BRD5" i="5"/>
  <c r="BRE5" i="5"/>
  <c r="BRF5" i="5"/>
  <c r="BRG5" i="5"/>
  <c r="BRH5" i="5"/>
  <c r="BRI5" i="5"/>
  <c r="BRJ5" i="5"/>
  <c r="BRK5" i="5"/>
  <c r="BRL5" i="5"/>
  <c r="BRM5" i="5"/>
  <c r="BRN5" i="5"/>
  <c r="BRO5" i="5"/>
  <c r="BRP5" i="5"/>
  <c r="BRQ5" i="5"/>
  <c r="BRR5" i="5"/>
  <c r="BRS5" i="5"/>
  <c r="BRT5" i="5"/>
  <c r="BRU5" i="5"/>
  <c r="BRV5" i="5"/>
  <c r="BRW5" i="5"/>
  <c r="BRX5" i="5"/>
  <c r="BRY5" i="5"/>
  <c r="BRZ5" i="5"/>
  <c r="BSA5" i="5"/>
  <c r="BSB5" i="5"/>
  <c r="BSC5" i="5"/>
  <c r="BSD5" i="5"/>
  <c r="BSE5" i="5"/>
  <c r="BSF5" i="5"/>
  <c r="BSG5" i="5"/>
  <c r="BSH5" i="5"/>
  <c r="BSI5" i="5"/>
  <c r="BSJ5" i="5"/>
  <c r="BSK5" i="5"/>
  <c r="BSL5" i="5"/>
  <c r="BSM5" i="5"/>
  <c r="BSN5" i="5"/>
  <c r="BSO5" i="5"/>
  <c r="BSP5" i="5"/>
  <c r="BSQ5" i="5"/>
  <c r="BSR5" i="5"/>
  <c r="BSS5" i="5"/>
  <c r="BST5" i="5"/>
  <c r="BSU5" i="5"/>
  <c r="BSV5" i="5"/>
  <c r="BSW5" i="5"/>
  <c r="BSX5" i="5"/>
  <c r="BSY5" i="5"/>
  <c r="BSZ5" i="5"/>
  <c r="BTA5" i="5"/>
  <c r="BTB5" i="5"/>
  <c r="BTC5" i="5"/>
  <c r="BTD5" i="5"/>
  <c r="BTE5" i="5"/>
  <c r="BTF5" i="5"/>
  <c r="BTG5" i="5"/>
  <c r="BTH5" i="5"/>
  <c r="BTI5" i="5"/>
  <c r="BTJ5" i="5"/>
  <c r="BTK5" i="5"/>
  <c r="BTL5" i="5"/>
  <c r="BTM5" i="5"/>
  <c r="BTN5" i="5"/>
  <c r="BTO5" i="5"/>
  <c r="BTP5" i="5"/>
  <c r="BTQ5" i="5"/>
  <c r="BTR5" i="5"/>
  <c r="BTS5" i="5"/>
  <c r="BTT5" i="5"/>
  <c r="BTU5" i="5"/>
  <c r="BTV5" i="5"/>
  <c r="BTW5" i="5"/>
  <c r="BTX5" i="5"/>
  <c r="BTY5" i="5"/>
  <c r="BTZ5" i="5"/>
  <c r="BUA5" i="5"/>
  <c r="BUB5" i="5"/>
  <c r="BUC5" i="5"/>
  <c r="BUD5" i="5"/>
  <c r="BUE5" i="5"/>
  <c r="BUF5" i="5"/>
  <c r="BUG5" i="5"/>
  <c r="BUH5" i="5"/>
  <c r="BUI5" i="5"/>
  <c r="BUJ5" i="5"/>
  <c r="BUK5" i="5"/>
  <c r="BUL5" i="5"/>
  <c r="BUM5" i="5"/>
  <c r="BUN5" i="5"/>
  <c r="BUO5" i="5"/>
  <c r="BUP5" i="5"/>
  <c r="BUQ5" i="5"/>
  <c r="BUR5" i="5"/>
  <c r="BUS5" i="5"/>
  <c r="BUT5" i="5"/>
  <c r="BUU5" i="5"/>
  <c r="BUV5" i="5"/>
  <c r="BUW5" i="5"/>
  <c r="BUX5" i="5"/>
  <c r="BUY5" i="5"/>
  <c r="BUZ5" i="5"/>
  <c r="BVA5" i="5"/>
  <c r="BVB5" i="5"/>
  <c r="BVC5" i="5"/>
  <c r="BVD5" i="5"/>
  <c r="BVE5" i="5"/>
  <c r="BVF5" i="5"/>
  <c r="BVG5" i="5"/>
  <c r="BVH5" i="5"/>
  <c r="BVI5" i="5"/>
  <c r="BVJ5" i="5"/>
  <c r="BVK5" i="5"/>
  <c r="BVL5" i="5"/>
  <c r="BVM5" i="5"/>
  <c r="BVN5" i="5"/>
  <c r="BVO5" i="5"/>
  <c r="BVP5" i="5"/>
  <c r="BVQ5" i="5"/>
  <c r="BVR5" i="5"/>
  <c r="BVS5" i="5"/>
  <c r="BVT5" i="5"/>
  <c r="BVU5" i="5"/>
  <c r="BVV5" i="5"/>
  <c r="BVW5" i="5"/>
  <c r="BVX5" i="5"/>
  <c r="BVY5" i="5"/>
  <c r="BVZ5" i="5"/>
  <c r="BWA5" i="5"/>
  <c r="BWB5" i="5"/>
  <c r="BWC5" i="5"/>
  <c r="BWD5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WN6" i="5"/>
  <c r="WO6" i="5"/>
  <c r="WP6" i="5"/>
  <c r="WQ6" i="5"/>
  <c r="WR6" i="5"/>
  <c r="WS6" i="5"/>
  <c r="WT6" i="5"/>
  <c r="WU6" i="5"/>
  <c r="WV6" i="5"/>
  <c r="WW6" i="5"/>
  <c r="WX6" i="5"/>
  <c r="WY6" i="5"/>
  <c r="WZ6" i="5"/>
  <c r="XA6" i="5"/>
  <c r="XB6" i="5"/>
  <c r="XC6" i="5"/>
  <c r="XD6" i="5"/>
  <c r="XE6" i="5"/>
  <c r="XF6" i="5"/>
  <c r="XG6" i="5"/>
  <c r="XH6" i="5"/>
  <c r="XI6" i="5"/>
  <c r="XJ6" i="5"/>
  <c r="XK6" i="5"/>
  <c r="XL6" i="5"/>
  <c r="XM6" i="5"/>
  <c r="XN6" i="5"/>
  <c r="XO6" i="5"/>
  <c r="XP6" i="5"/>
  <c r="XQ6" i="5"/>
  <c r="XR6" i="5"/>
  <c r="XS6" i="5"/>
  <c r="XT6" i="5"/>
  <c r="XU6" i="5"/>
  <c r="XV6" i="5"/>
  <c r="XW6" i="5"/>
  <c r="XX6" i="5"/>
  <c r="XY6" i="5"/>
  <c r="XZ6" i="5"/>
  <c r="YA6" i="5"/>
  <c r="YB6" i="5"/>
  <c r="YC6" i="5"/>
  <c r="YD6" i="5"/>
  <c r="YE6" i="5"/>
  <c r="YF6" i="5"/>
  <c r="YG6" i="5"/>
  <c r="YH6" i="5"/>
  <c r="YI6" i="5"/>
  <c r="YJ6" i="5"/>
  <c r="YK6" i="5"/>
  <c r="YL6" i="5"/>
  <c r="YM6" i="5"/>
  <c r="YN6" i="5"/>
  <c r="YO6" i="5"/>
  <c r="YP6" i="5"/>
  <c r="YQ6" i="5"/>
  <c r="YR6" i="5"/>
  <c r="YS6" i="5"/>
  <c r="YT6" i="5"/>
  <c r="YU6" i="5"/>
  <c r="YV6" i="5"/>
  <c r="YW6" i="5"/>
  <c r="YX6" i="5"/>
  <c r="YY6" i="5"/>
  <c r="YZ6" i="5"/>
  <c r="ZA6" i="5"/>
  <c r="ZB6" i="5"/>
  <c r="ZC6" i="5"/>
  <c r="ZD6" i="5"/>
  <c r="ZE6" i="5"/>
  <c r="ZF6" i="5"/>
  <c r="ZG6" i="5"/>
  <c r="ZH6" i="5"/>
  <c r="ZI6" i="5"/>
  <c r="ZJ6" i="5"/>
  <c r="ZK6" i="5"/>
  <c r="ZL6" i="5"/>
  <c r="ZM6" i="5"/>
  <c r="ZN6" i="5"/>
  <c r="ZO6" i="5"/>
  <c r="ZP6" i="5"/>
  <c r="ZQ6" i="5"/>
  <c r="ZR6" i="5"/>
  <c r="ZS6" i="5"/>
  <c r="ZT6" i="5"/>
  <c r="ZU6" i="5"/>
  <c r="ZV6" i="5"/>
  <c r="ZW6" i="5"/>
  <c r="ZX6" i="5"/>
  <c r="ZY6" i="5"/>
  <c r="ZZ6" i="5"/>
  <c r="AAA6" i="5"/>
  <c r="AAB6" i="5"/>
  <c r="AAC6" i="5"/>
  <c r="AAD6" i="5"/>
  <c r="AAE6" i="5"/>
  <c r="AAF6" i="5"/>
  <c r="AAG6" i="5"/>
  <c r="AAH6" i="5"/>
  <c r="AAI6" i="5"/>
  <c r="AAJ6" i="5"/>
  <c r="AAK6" i="5"/>
  <c r="AAL6" i="5"/>
  <c r="AAM6" i="5"/>
  <c r="AAN6" i="5"/>
  <c r="AAO6" i="5"/>
  <c r="AAP6" i="5"/>
  <c r="AAQ6" i="5"/>
  <c r="AAR6" i="5"/>
  <c r="AAS6" i="5"/>
  <c r="AAT6" i="5"/>
  <c r="AAU6" i="5"/>
  <c r="AAV6" i="5"/>
  <c r="AAW6" i="5"/>
  <c r="AAX6" i="5"/>
  <c r="AAY6" i="5"/>
  <c r="AAZ6" i="5"/>
  <c r="ABA6" i="5"/>
  <c r="ABB6" i="5"/>
  <c r="ABC6" i="5"/>
  <c r="ABD6" i="5"/>
  <c r="ABE6" i="5"/>
  <c r="ABF6" i="5"/>
  <c r="ABG6" i="5"/>
  <c r="ABH6" i="5"/>
  <c r="ABI6" i="5"/>
  <c r="ABJ6" i="5"/>
  <c r="ABK6" i="5"/>
  <c r="ABL6" i="5"/>
  <c r="ABM6" i="5"/>
  <c r="ABN6" i="5"/>
  <c r="ABO6" i="5"/>
  <c r="ABP6" i="5"/>
  <c r="ABQ6" i="5"/>
  <c r="ABR6" i="5"/>
  <c r="ABS6" i="5"/>
  <c r="ABT6" i="5"/>
  <c r="ABU6" i="5"/>
  <c r="ABV6" i="5"/>
  <c r="ABW6" i="5"/>
  <c r="ABX6" i="5"/>
  <c r="ABY6" i="5"/>
  <c r="ABZ6" i="5"/>
  <c r="ACA6" i="5"/>
  <c r="ACB6" i="5"/>
  <c r="ACC6" i="5"/>
  <c r="ACD6" i="5"/>
  <c r="ACE6" i="5"/>
  <c r="ACF6" i="5"/>
  <c r="ACG6" i="5"/>
  <c r="ACH6" i="5"/>
  <c r="ACI6" i="5"/>
  <c r="ACJ6" i="5"/>
  <c r="ACK6" i="5"/>
  <c r="ACL6" i="5"/>
  <c r="ACM6" i="5"/>
  <c r="ACN6" i="5"/>
  <c r="ACO6" i="5"/>
  <c r="ACP6" i="5"/>
  <c r="ACQ6" i="5"/>
  <c r="ACR6" i="5"/>
  <c r="ACS6" i="5"/>
  <c r="ACT6" i="5"/>
  <c r="ACU6" i="5"/>
  <c r="ACV6" i="5"/>
  <c r="ACW6" i="5"/>
  <c r="ACX6" i="5"/>
  <c r="ACY6" i="5"/>
  <c r="ACZ6" i="5"/>
  <c r="ADA6" i="5"/>
  <c r="ADB6" i="5"/>
  <c r="ADC6" i="5"/>
  <c r="ADD6" i="5"/>
  <c r="ADE6" i="5"/>
  <c r="ADF6" i="5"/>
  <c r="ADG6" i="5"/>
  <c r="ADH6" i="5"/>
  <c r="ADI6" i="5"/>
  <c r="ADJ6" i="5"/>
  <c r="ADK6" i="5"/>
  <c r="ADL6" i="5"/>
  <c r="ADM6" i="5"/>
  <c r="ADN6" i="5"/>
  <c r="ADO6" i="5"/>
  <c r="ADP6" i="5"/>
  <c r="ADQ6" i="5"/>
  <c r="ADR6" i="5"/>
  <c r="ADS6" i="5"/>
  <c r="ADT6" i="5"/>
  <c r="ADU6" i="5"/>
  <c r="ADV6" i="5"/>
  <c r="ADW6" i="5"/>
  <c r="ADX6" i="5"/>
  <c r="ADY6" i="5"/>
  <c r="ADZ6" i="5"/>
  <c r="AEA6" i="5"/>
  <c r="AEB6" i="5"/>
  <c r="AEC6" i="5"/>
  <c r="AED6" i="5"/>
  <c r="AEE6" i="5"/>
  <c r="AEF6" i="5"/>
  <c r="AEG6" i="5"/>
  <c r="AEH6" i="5"/>
  <c r="AEI6" i="5"/>
  <c r="AEJ6" i="5"/>
  <c r="AEK6" i="5"/>
  <c r="AEL6" i="5"/>
  <c r="AEM6" i="5"/>
  <c r="AEN6" i="5"/>
  <c r="AEO6" i="5"/>
  <c r="AEP6" i="5"/>
  <c r="AEQ6" i="5"/>
  <c r="AER6" i="5"/>
  <c r="AES6" i="5"/>
  <c r="AET6" i="5"/>
  <c r="AEU6" i="5"/>
  <c r="AEV6" i="5"/>
  <c r="AEW6" i="5"/>
  <c r="AEX6" i="5"/>
  <c r="AEY6" i="5"/>
  <c r="AEZ6" i="5"/>
  <c r="AFA6" i="5"/>
  <c r="AFB6" i="5"/>
  <c r="AFC6" i="5"/>
  <c r="AFD6" i="5"/>
  <c r="AFE6" i="5"/>
  <c r="AFF6" i="5"/>
  <c r="AFG6" i="5"/>
  <c r="AFH6" i="5"/>
  <c r="AFI6" i="5"/>
  <c r="AFJ6" i="5"/>
  <c r="AFK6" i="5"/>
  <c r="AFL6" i="5"/>
  <c r="AFM6" i="5"/>
  <c r="AFN6" i="5"/>
  <c r="AFO6" i="5"/>
  <c r="AFP6" i="5"/>
  <c r="AFQ6" i="5"/>
  <c r="AFR6" i="5"/>
  <c r="AFS6" i="5"/>
  <c r="AFT6" i="5"/>
  <c r="AFU6" i="5"/>
  <c r="AFV6" i="5"/>
  <c r="AFW6" i="5"/>
  <c r="AFX6" i="5"/>
  <c r="AFY6" i="5"/>
  <c r="AFZ6" i="5"/>
  <c r="AGA6" i="5"/>
  <c r="AGB6" i="5"/>
  <c r="AGC6" i="5"/>
  <c r="AGD6" i="5"/>
  <c r="AGE6" i="5"/>
  <c r="AGF6" i="5"/>
  <c r="AGG6" i="5"/>
  <c r="AGH6" i="5"/>
  <c r="AGI6" i="5"/>
  <c r="AGJ6" i="5"/>
  <c r="AGK6" i="5"/>
  <c r="AGL6" i="5"/>
  <c r="AGM6" i="5"/>
  <c r="AGN6" i="5"/>
  <c r="AGO6" i="5"/>
  <c r="AGP6" i="5"/>
  <c r="AGQ6" i="5"/>
  <c r="AGR6" i="5"/>
  <c r="AGS6" i="5"/>
  <c r="AGT6" i="5"/>
  <c r="AGU6" i="5"/>
  <c r="AGV6" i="5"/>
  <c r="AGW6" i="5"/>
  <c r="AGX6" i="5"/>
  <c r="AGY6" i="5"/>
  <c r="AGZ6" i="5"/>
  <c r="AHA6" i="5"/>
  <c r="AHB6" i="5"/>
  <c r="AHC6" i="5"/>
  <c r="AHD6" i="5"/>
  <c r="AHE6" i="5"/>
  <c r="AHF6" i="5"/>
  <c r="AHG6" i="5"/>
  <c r="AHH6" i="5"/>
  <c r="AHI6" i="5"/>
  <c r="AHJ6" i="5"/>
  <c r="AHK6" i="5"/>
  <c r="AHL6" i="5"/>
  <c r="AHM6" i="5"/>
  <c r="AHN6" i="5"/>
  <c r="AHO6" i="5"/>
  <c r="AHP6" i="5"/>
  <c r="AHQ6" i="5"/>
  <c r="AHR6" i="5"/>
  <c r="AHS6" i="5"/>
  <c r="AHT6" i="5"/>
  <c r="AHU6" i="5"/>
  <c r="AHV6" i="5"/>
  <c r="AHW6" i="5"/>
  <c r="AHX6" i="5"/>
  <c r="AHY6" i="5"/>
  <c r="AHZ6" i="5"/>
  <c r="AIA6" i="5"/>
  <c r="AIB6" i="5"/>
  <c r="AIC6" i="5"/>
  <c r="AID6" i="5"/>
  <c r="AIE6" i="5"/>
  <c r="AIF6" i="5"/>
  <c r="AIG6" i="5"/>
  <c r="AIH6" i="5"/>
  <c r="AII6" i="5"/>
  <c r="AIJ6" i="5"/>
  <c r="AIK6" i="5"/>
  <c r="AIL6" i="5"/>
  <c r="AIM6" i="5"/>
  <c r="AIN6" i="5"/>
  <c r="AIO6" i="5"/>
  <c r="AIP6" i="5"/>
  <c r="AIQ6" i="5"/>
  <c r="AIR6" i="5"/>
  <c r="AIS6" i="5"/>
  <c r="AIT6" i="5"/>
  <c r="AIU6" i="5"/>
  <c r="AIV6" i="5"/>
  <c r="AIW6" i="5"/>
  <c r="AIX6" i="5"/>
  <c r="AIY6" i="5"/>
  <c r="AIZ6" i="5"/>
  <c r="AJA6" i="5"/>
  <c r="AJB6" i="5"/>
  <c r="AJC6" i="5"/>
  <c r="AJD6" i="5"/>
  <c r="AJE6" i="5"/>
  <c r="AJF6" i="5"/>
  <c r="AJG6" i="5"/>
  <c r="AJH6" i="5"/>
  <c r="AJI6" i="5"/>
  <c r="AJJ6" i="5"/>
  <c r="AJK6" i="5"/>
  <c r="AJL6" i="5"/>
  <c r="AJM6" i="5"/>
  <c r="AJN6" i="5"/>
  <c r="AJO6" i="5"/>
  <c r="AJP6" i="5"/>
  <c r="AJQ6" i="5"/>
  <c r="AJR6" i="5"/>
  <c r="AJS6" i="5"/>
  <c r="AJT6" i="5"/>
  <c r="AJU6" i="5"/>
  <c r="AJV6" i="5"/>
  <c r="AJW6" i="5"/>
  <c r="AJX6" i="5"/>
  <c r="AJY6" i="5"/>
  <c r="AJZ6" i="5"/>
  <c r="AKA6" i="5"/>
  <c r="AKB6" i="5"/>
  <c r="AKC6" i="5"/>
  <c r="AKD6" i="5"/>
  <c r="AKE6" i="5"/>
  <c r="AKF6" i="5"/>
  <c r="AKG6" i="5"/>
  <c r="AKH6" i="5"/>
  <c r="AKI6" i="5"/>
  <c r="AKJ6" i="5"/>
  <c r="AKK6" i="5"/>
  <c r="AKL6" i="5"/>
  <c r="AKM6" i="5"/>
  <c r="AKN6" i="5"/>
  <c r="AKO6" i="5"/>
  <c r="AKP6" i="5"/>
  <c r="AKQ6" i="5"/>
  <c r="AKR6" i="5"/>
  <c r="AKS6" i="5"/>
  <c r="AKT6" i="5"/>
  <c r="AKU6" i="5"/>
  <c r="AKV6" i="5"/>
  <c r="AKW6" i="5"/>
  <c r="AKX6" i="5"/>
  <c r="AKY6" i="5"/>
  <c r="AKZ6" i="5"/>
  <c r="ALA6" i="5"/>
  <c r="ALB6" i="5"/>
  <c r="ALC6" i="5"/>
  <c r="ALD6" i="5"/>
  <c r="ALE6" i="5"/>
  <c r="ALF6" i="5"/>
  <c r="ALG6" i="5"/>
  <c r="ALH6" i="5"/>
  <c r="ALI6" i="5"/>
  <c r="ALJ6" i="5"/>
  <c r="ALK6" i="5"/>
  <c r="ALL6" i="5"/>
  <c r="ALM6" i="5"/>
  <c r="ALN6" i="5"/>
  <c r="ALO6" i="5"/>
  <c r="ALP6" i="5"/>
  <c r="ALQ6" i="5"/>
  <c r="ALR6" i="5"/>
  <c r="ALS6" i="5"/>
  <c r="ALT6" i="5"/>
  <c r="ALU6" i="5"/>
  <c r="ALV6" i="5"/>
  <c r="ALW6" i="5"/>
  <c r="ALX6" i="5"/>
  <c r="ALY6" i="5"/>
  <c r="ALZ6" i="5"/>
  <c r="AMA6" i="5"/>
  <c r="AMB6" i="5"/>
  <c r="AMC6" i="5"/>
  <c r="AMD6" i="5"/>
  <c r="AME6" i="5"/>
  <c r="AMF6" i="5"/>
  <c r="AMG6" i="5"/>
  <c r="AMH6" i="5"/>
  <c r="AMI6" i="5"/>
  <c r="AMJ6" i="5"/>
  <c r="AMK6" i="5"/>
  <c r="AML6" i="5"/>
  <c r="AMM6" i="5"/>
  <c r="AMN6" i="5"/>
  <c r="AMO6" i="5"/>
  <c r="AMP6" i="5"/>
  <c r="AMQ6" i="5"/>
  <c r="AMR6" i="5"/>
  <c r="AMS6" i="5"/>
  <c r="AMT6" i="5"/>
  <c r="AMU6" i="5"/>
  <c r="AMV6" i="5"/>
  <c r="AMW6" i="5"/>
  <c r="AMX6" i="5"/>
  <c r="AMY6" i="5"/>
  <c r="AMZ6" i="5"/>
  <c r="ANA6" i="5"/>
  <c r="ANB6" i="5"/>
  <c r="ANC6" i="5"/>
  <c r="AND6" i="5"/>
  <c r="ANE6" i="5"/>
  <c r="ANF6" i="5"/>
  <c r="ANG6" i="5"/>
  <c r="ANH6" i="5"/>
  <c r="ANI6" i="5"/>
  <c r="ANJ6" i="5"/>
  <c r="ANK6" i="5"/>
  <c r="ANL6" i="5"/>
  <c r="ANM6" i="5"/>
  <c r="ANN6" i="5"/>
  <c r="ANO6" i="5"/>
  <c r="ANP6" i="5"/>
  <c r="ANQ6" i="5"/>
  <c r="ANR6" i="5"/>
  <c r="ANS6" i="5"/>
  <c r="ANT6" i="5"/>
  <c r="ANU6" i="5"/>
  <c r="ANV6" i="5"/>
  <c r="ANW6" i="5"/>
  <c r="ANX6" i="5"/>
  <c r="ANY6" i="5"/>
  <c r="ANZ6" i="5"/>
  <c r="AOA6" i="5"/>
  <c r="AOB6" i="5"/>
  <c r="AOC6" i="5"/>
  <c r="AOD6" i="5"/>
  <c r="AOE6" i="5"/>
  <c r="AOF6" i="5"/>
  <c r="AOG6" i="5"/>
  <c r="AOH6" i="5"/>
  <c r="AOI6" i="5"/>
  <c r="AOJ6" i="5"/>
  <c r="AOK6" i="5"/>
  <c r="AOL6" i="5"/>
  <c r="AOM6" i="5"/>
  <c r="AON6" i="5"/>
  <c r="AOO6" i="5"/>
  <c r="AOP6" i="5"/>
  <c r="AOQ6" i="5"/>
  <c r="AOR6" i="5"/>
  <c r="AOS6" i="5"/>
  <c r="AOT6" i="5"/>
  <c r="AOU6" i="5"/>
  <c r="AOV6" i="5"/>
  <c r="AOW6" i="5"/>
  <c r="AOX6" i="5"/>
  <c r="AOY6" i="5"/>
  <c r="AOZ6" i="5"/>
  <c r="APA6" i="5"/>
  <c r="APB6" i="5"/>
  <c r="APC6" i="5"/>
  <c r="APD6" i="5"/>
  <c r="APE6" i="5"/>
  <c r="APF6" i="5"/>
  <c r="APG6" i="5"/>
  <c r="APH6" i="5"/>
  <c r="API6" i="5"/>
  <c r="APJ6" i="5"/>
  <c r="APK6" i="5"/>
  <c r="APL6" i="5"/>
  <c r="APM6" i="5"/>
  <c r="APN6" i="5"/>
  <c r="APO6" i="5"/>
  <c r="APP6" i="5"/>
  <c r="APQ6" i="5"/>
  <c r="APR6" i="5"/>
  <c r="APS6" i="5"/>
  <c r="APT6" i="5"/>
  <c r="APU6" i="5"/>
  <c r="APV6" i="5"/>
  <c r="APW6" i="5"/>
  <c r="APX6" i="5"/>
  <c r="APY6" i="5"/>
  <c r="APZ6" i="5"/>
  <c r="AQA6" i="5"/>
  <c r="AQB6" i="5"/>
  <c r="AQC6" i="5"/>
  <c r="AQD6" i="5"/>
  <c r="AQE6" i="5"/>
  <c r="AQF6" i="5"/>
  <c r="AQG6" i="5"/>
  <c r="AQH6" i="5"/>
  <c r="AQI6" i="5"/>
  <c r="AQJ6" i="5"/>
  <c r="AQK6" i="5"/>
  <c r="AQL6" i="5"/>
  <c r="AQM6" i="5"/>
  <c r="AQN6" i="5"/>
  <c r="AQO6" i="5"/>
  <c r="AQP6" i="5"/>
  <c r="AQQ6" i="5"/>
  <c r="AQR6" i="5"/>
  <c r="AQS6" i="5"/>
  <c r="AQT6" i="5"/>
  <c r="AQU6" i="5"/>
  <c r="AQV6" i="5"/>
  <c r="AQW6" i="5"/>
  <c r="AQX6" i="5"/>
  <c r="AQY6" i="5"/>
  <c r="AQZ6" i="5"/>
  <c r="ARA6" i="5"/>
  <c r="ARB6" i="5"/>
  <c r="ARC6" i="5"/>
  <c r="ARD6" i="5"/>
  <c r="ARE6" i="5"/>
  <c r="ARF6" i="5"/>
  <c r="ARG6" i="5"/>
  <c r="ARH6" i="5"/>
  <c r="ARI6" i="5"/>
  <c r="ARJ6" i="5"/>
  <c r="ARK6" i="5"/>
  <c r="ARL6" i="5"/>
  <c r="ARM6" i="5"/>
  <c r="ARN6" i="5"/>
  <c r="ARO6" i="5"/>
  <c r="ARP6" i="5"/>
  <c r="ARQ6" i="5"/>
  <c r="ARR6" i="5"/>
  <c r="ARS6" i="5"/>
  <c r="ART6" i="5"/>
  <c r="ARU6" i="5"/>
  <c r="ARV6" i="5"/>
  <c r="ARW6" i="5"/>
  <c r="ARX6" i="5"/>
  <c r="ARY6" i="5"/>
  <c r="ARZ6" i="5"/>
  <c r="ASA6" i="5"/>
  <c r="ASB6" i="5"/>
  <c r="ASC6" i="5"/>
  <c r="ASD6" i="5"/>
  <c r="ASE6" i="5"/>
  <c r="ASF6" i="5"/>
  <c r="ASG6" i="5"/>
  <c r="ASH6" i="5"/>
  <c r="ASI6" i="5"/>
  <c r="ASJ6" i="5"/>
  <c r="ASK6" i="5"/>
  <c r="ASL6" i="5"/>
  <c r="ASM6" i="5"/>
  <c r="ASN6" i="5"/>
  <c r="ASO6" i="5"/>
  <c r="ASP6" i="5"/>
  <c r="ASQ6" i="5"/>
  <c r="ASR6" i="5"/>
  <c r="ASS6" i="5"/>
  <c r="AST6" i="5"/>
  <c r="ASU6" i="5"/>
  <c r="ASV6" i="5"/>
  <c r="ASW6" i="5"/>
  <c r="ASX6" i="5"/>
  <c r="ASY6" i="5"/>
  <c r="ASZ6" i="5"/>
  <c r="ATA6" i="5"/>
  <c r="ATB6" i="5"/>
  <c r="ATC6" i="5"/>
  <c r="ATD6" i="5"/>
  <c r="ATE6" i="5"/>
  <c r="ATF6" i="5"/>
  <c r="ATG6" i="5"/>
  <c r="ATH6" i="5"/>
  <c r="ATI6" i="5"/>
  <c r="ATJ6" i="5"/>
  <c r="ATK6" i="5"/>
  <c r="ATL6" i="5"/>
  <c r="ATM6" i="5"/>
  <c r="ATN6" i="5"/>
  <c r="ATO6" i="5"/>
  <c r="ATP6" i="5"/>
  <c r="ATQ6" i="5"/>
  <c r="ATR6" i="5"/>
  <c r="ATS6" i="5"/>
  <c r="ATT6" i="5"/>
  <c r="ATU6" i="5"/>
  <c r="ATV6" i="5"/>
  <c r="ATW6" i="5"/>
  <c r="ATX6" i="5"/>
  <c r="ATY6" i="5"/>
  <c r="ATZ6" i="5"/>
  <c r="AUA6" i="5"/>
  <c r="AUB6" i="5"/>
  <c r="AUC6" i="5"/>
  <c r="AUD6" i="5"/>
  <c r="AUE6" i="5"/>
  <c r="AUF6" i="5"/>
  <c r="AUG6" i="5"/>
  <c r="AUH6" i="5"/>
  <c r="AUI6" i="5"/>
  <c r="AUJ6" i="5"/>
  <c r="AUK6" i="5"/>
  <c r="AUL6" i="5"/>
  <c r="AUM6" i="5"/>
  <c r="AUN6" i="5"/>
  <c r="AUO6" i="5"/>
  <c r="AUP6" i="5"/>
  <c r="AUQ6" i="5"/>
  <c r="AUR6" i="5"/>
  <c r="AUS6" i="5"/>
  <c r="AUT6" i="5"/>
  <c r="AUU6" i="5"/>
  <c r="AUV6" i="5"/>
  <c r="AUW6" i="5"/>
  <c r="AUX6" i="5"/>
  <c r="AUY6" i="5"/>
  <c r="AUZ6" i="5"/>
  <c r="AVA6" i="5"/>
  <c r="AVB6" i="5"/>
  <c r="AVC6" i="5"/>
  <c r="AVD6" i="5"/>
  <c r="AVE6" i="5"/>
  <c r="AVF6" i="5"/>
  <c r="AVG6" i="5"/>
  <c r="AVH6" i="5"/>
  <c r="AVI6" i="5"/>
  <c r="AVJ6" i="5"/>
  <c r="AVK6" i="5"/>
  <c r="AVL6" i="5"/>
  <c r="AVM6" i="5"/>
  <c r="AVN6" i="5"/>
  <c r="AVO6" i="5"/>
  <c r="AVP6" i="5"/>
  <c r="AVQ6" i="5"/>
  <c r="AVR6" i="5"/>
  <c r="AVS6" i="5"/>
  <c r="AVT6" i="5"/>
  <c r="AVU6" i="5"/>
  <c r="AVV6" i="5"/>
  <c r="AVW6" i="5"/>
  <c r="AVX6" i="5"/>
  <c r="AVY6" i="5"/>
  <c r="AVZ6" i="5"/>
  <c r="AWA6" i="5"/>
  <c r="AWB6" i="5"/>
  <c r="AWC6" i="5"/>
  <c r="AWD6" i="5"/>
  <c r="AWE6" i="5"/>
  <c r="AWF6" i="5"/>
  <c r="AWG6" i="5"/>
  <c r="AWH6" i="5"/>
  <c r="AWI6" i="5"/>
  <c r="AWJ6" i="5"/>
  <c r="AWK6" i="5"/>
  <c r="AWL6" i="5"/>
  <c r="AWM6" i="5"/>
  <c r="AWN6" i="5"/>
  <c r="AWO6" i="5"/>
  <c r="AWP6" i="5"/>
  <c r="AWQ6" i="5"/>
  <c r="AWR6" i="5"/>
  <c r="AWS6" i="5"/>
  <c r="AWT6" i="5"/>
  <c r="AWU6" i="5"/>
  <c r="AWV6" i="5"/>
  <c r="AWW6" i="5"/>
  <c r="AWX6" i="5"/>
  <c r="AWY6" i="5"/>
  <c r="AWZ6" i="5"/>
  <c r="AXA6" i="5"/>
  <c r="AXB6" i="5"/>
  <c r="AXC6" i="5"/>
  <c r="AXD6" i="5"/>
  <c r="AXE6" i="5"/>
  <c r="AXF6" i="5"/>
  <c r="AXG6" i="5"/>
  <c r="AXH6" i="5"/>
  <c r="AXI6" i="5"/>
  <c r="AXJ6" i="5"/>
  <c r="AXK6" i="5"/>
  <c r="AXL6" i="5"/>
  <c r="AXM6" i="5"/>
  <c r="AXN6" i="5"/>
  <c r="AXO6" i="5"/>
  <c r="AXP6" i="5"/>
  <c r="AXQ6" i="5"/>
  <c r="AXR6" i="5"/>
  <c r="AXS6" i="5"/>
  <c r="AXT6" i="5"/>
  <c r="AXU6" i="5"/>
  <c r="AXV6" i="5"/>
  <c r="AXW6" i="5"/>
  <c r="AXX6" i="5"/>
  <c r="AXY6" i="5"/>
  <c r="AXZ6" i="5"/>
  <c r="AYA6" i="5"/>
  <c r="AYB6" i="5"/>
  <c r="AYC6" i="5"/>
  <c r="AYD6" i="5"/>
  <c r="AYE6" i="5"/>
  <c r="AYF6" i="5"/>
  <c r="AYG6" i="5"/>
  <c r="AYH6" i="5"/>
  <c r="AYI6" i="5"/>
  <c r="AYJ6" i="5"/>
  <c r="AYK6" i="5"/>
  <c r="AYL6" i="5"/>
  <c r="AYM6" i="5"/>
  <c r="AYN6" i="5"/>
  <c r="AYO6" i="5"/>
  <c r="AYP6" i="5"/>
  <c r="AYQ6" i="5"/>
  <c r="AYR6" i="5"/>
  <c r="AYS6" i="5"/>
  <c r="AYT6" i="5"/>
  <c r="AYU6" i="5"/>
  <c r="AYV6" i="5"/>
  <c r="AYW6" i="5"/>
  <c r="AYX6" i="5"/>
  <c r="AYY6" i="5"/>
  <c r="AYZ6" i="5"/>
  <c r="AZA6" i="5"/>
  <c r="AZB6" i="5"/>
  <c r="AZC6" i="5"/>
  <c r="AZD6" i="5"/>
  <c r="AZE6" i="5"/>
  <c r="AZF6" i="5"/>
  <c r="AZG6" i="5"/>
  <c r="AZH6" i="5"/>
  <c r="AZI6" i="5"/>
  <c r="AZJ6" i="5"/>
  <c r="AZK6" i="5"/>
  <c r="AZL6" i="5"/>
  <c r="AZM6" i="5"/>
  <c r="AZN6" i="5"/>
  <c r="AZO6" i="5"/>
  <c r="AZP6" i="5"/>
  <c r="AZQ6" i="5"/>
  <c r="AZR6" i="5"/>
  <c r="AZS6" i="5"/>
  <c r="AZT6" i="5"/>
  <c r="AZU6" i="5"/>
  <c r="AZV6" i="5"/>
  <c r="AZW6" i="5"/>
  <c r="AZX6" i="5"/>
  <c r="AZY6" i="5"/>
  <c r="AZZ6" i="5"/>
  <c r="BAA6" i="5"/>
  <c r="BAB6" i="5"/>
  <c r="BAC6" i="5"/>
  <c r="BAD6" i="5"/>
  <c r="BAE6" i="5"/>
  <c r="BAF6" i="5"/>
  <c r="BAG6" i="5"/>
  <c r="BAH6" i="5"/>
  <c r="BAI6" i="5"/>
  <c r="BAJ6" i="5"/>
  <c r="BAK6" i="5"/>
  <c r="BAL6" i="5"/>
  <c r="BAM6" i="5"/>
  <c r="BAN6" i="5"/>
  <c r="BAO6" i="5"/>
  <c r="BAP6" i="5"/>
  <c r="BAQ6" i="5"/>
  <c r="BAR6" i="5"/>
  <c r="BAS6" i="5"/>
  <c r="BAT6" i="5"/>
  <c r="BAU6" i="5"/>
  <c r="BAV6" i="5"/>
  <c r="BAW6" i="5"/>
  <c r="BAX6" i="5"/>
  <c r="BAY6" i="5"/>
  <c r="BAZ6" i="5"/>
  <c r="BBA6" i="5"/>
  <c r="BBB6" i="5"/>
  <c r="BBC6" i="5"/>
  <c r="BBD6" i="5"/>
  <c r="BBE6" i="5"/>
  <c r="BBF6" i="5"/>
  <c r="BBG6" i="5"/>
  <c r="BBH6" i="5"/>
  <c r="BBI6" i="5"/>
  <c r="BBJ6" i="5"/>
  <c r="BBK6" i="5"/>
  <c r="BBL6" i="5"/>
  <c r="BBM6" i="5"/>
  <c r="BBN6" i="5"/>
  <c r="BBO6" i="5"/>
  <c r="BBP6" i="5"/>
  <c r="BBQ6" i="5"/>
  <c r="BBR6" i="5"/>
  <c r="BBS6" i="5"/>
  <c r="BBT6" i="5"/>
  <c r="BBU6" i="5"/>
  <c r="BBV6" i="5"/>
  <c r="BBW6" i="5"/>
  <c r="BBX6" i="5"/>
  <c r="BBY6" i="5"/>
  <c r="BBZ6" i="5"/>
  <c r="BCA6" i="5"/>
  <c r="BCB6" i="5"/>
  <c r="BCC6" i="5"/>
  <c r="BCD6" i="5"/>
  <c r="BCE6" i="5"/>
  <c r="BCF6" i="5"/>
  <c r="BCG6" i="5"/>
  <c r="BCH6" i="5"/>
  <c r="BCI6" i="5"/>
  <c r="BCJ6" i="5"/>
  <c r="BCK6" i="5"/>
  <c r="BCL6" i="5"/>
  <c r="BCM6" i="5"/>
  <c r="BCN6" i="5"/>
  <c r="BCO6" i="5"/>
  <c r="BCP6" i="5"/>
  <c r="BCQ6" i="5"/>
  <c r="BCR6" i="5"/>
  <c r="BCS6" i="5"/>
  <c r="BCT6" i="5"/>
  <c r="BCU6" i="5"/>
  <c r="BCV6" i="5"/>
  <c r="BCW6" i="5"/>
  <c r="BCX6" i="5"/>
  <c r="BCY6" i="5"/>
  <c r="BCZ6" i="5"/>
  <c r="BDA6" i="5"/>
  <c r="BDB6" i="5"/>
  <c r="BDC6" i="5"/>
  <c r="BDD6" i="5"/>
  <c r="BDE6" i="5"/>
  <c r="BDF6" i="5"/>
  <c r="BDG6" i="5"/>
  <c r="BDH6" i="5"/>
  <c r="BDI6" i="5"/>
  <c r="BDJ6" i="5"/>
  <c r="BDK6" i="5"/>
  <c r="BDL6" i="5"/>
  <c r="BDM6" i="5"/>
  <c r="BDN6" i="5"/>
  <c r="BDO6" i="5"/>
  <c r="BDP6" i="5"/>
  <c r="BDQ6" i="5"/>
  <c r="BDR6" i="5"/>
  <c r="BDS6" i="5"/>
  <c r="BDT6" i="5"/>
  <c r="BDU6" i="5"/>
  <c r="BDV6" i="5"/>
  <c r="BDW6" i="5"/>
  <c r="BDX6" i="5"/>
  <c r="BDY6" i="5"/>
  <c r="BDZ6" i="5"/>
  <c r="BEA6" i="5"/>
  <c r="BEB6" i="5"/>
  <c r="BEC6" i="5"/>
  <c r="BED6" i="5"/>
  <c r="BEE6" i="5"/>
  <c r="BEF6" i="5"/>
  <c r="BEG6" i="5"/>
  <c r="BEH6" i="5"/>
  <c r="BEI6" i="5"/>
  <c r="BEJ6" i="5"/>
  <c r="BEK6" i="5"/>
  <c r="BEL6" i="5"/>
  <c r="BEM6" i="5"/>
  <c r="BEN6" i="5"/>
  <c r="BEO6" i="5"/>
  <c r="BEP6" i="5"/>
  <c r="BEQ6" i="5"/>
  <c r="BER6" i="5"/>
  <c r="BES6" i="5"/>
  <c r="BET6" i="5"/>
  <c r="BEU6" i="5"/>
  <c r="BEV6" i="5"/>
  <c r="BEW6" i="5"/>
  <c r="BEX6" i="5"/>
  <c r="BEY6" i="5"/>
  <c r="BEZ6" i="5"/>
  <c r="BFA6" i="5"/>
  <c r="BFB6" i="5"/>
  <c r="BFC6" i="5"/>
  <c r="BFD6" i="5"/>
  <c r="BFE6" i="5"/>
  <c r="BFF6" i="5"/>
  <c r="BFG6" i="5"/>
  <c r="BFH6" i="5"/>
  <c r="BFI6" i="5"/>
  <c r="BFJ6" i="5"/>
  <c r="BFK6" i="5"/>
  <c r="BFL6" i="5"/>
  <c r="BFM6" i="5"/>
  <c r="BFN6" i="5"/>
  <c r="BFO6" i="5"/>
  <c r="BFP6" i="5"/>
  <c r="BFQ6" i="5"/>
  <c r="BFR6" i="5"/>
  <c r="BFS6" i="5"/>
  <c r="BFT6" i="5"/>
  <c r="BFU6" i="5"/>
  <c r="BFV6" i="5"/>
  <c r="BFW6" i="5"/>
  <c r="BFX6" i="5"/>
  <c r="BFY6" i="5"/>
  <c r="BFZ6" i="5"/>
  <c r="BGA6" i="5"/>
  <c r="BGB6" i="5"/>
  <c r="BGC6" i="5"/>
  <c r="BGD6" i="5"/>
  <c r="BGE6" i="5"/>
  <c r="BGF6" i="5"/>
  <c r="BGG6" i="5"/>
  <c r="BGH6" i="5"/>
  <c r="BGI6" i="5"/>
  <c r="BGJ6" i="5"/>
  <c r="BGK6" i="5"/>
  <c r="BGL6" i="5"/>
  <c r="BGM6" i="5"/>
  <c r="BGN6" i="5"/>
  <c r="BGO6" i="5"/>
  <c r="BGP6" i="5"/>
  <c r="BGQ6" i="5"/>
  <c r="BGR6" i="5"/>
  <c r="BGS6" i="5"/>
  <c r="BGT6" i="5"/>
  <c r="BGU6" i="5"/>
  <c r="BGV6" i="5"/>
  <c r="BGW6" i="5"/>
  <c r="BGX6" i="5"/>
  <c r="BGY6" i="5"/>
  <c r="BGZ6" i="5"/>
  <c r="BHA6" i="5"/>
  <c r="BHB6" i="5"/>
  <c r="BHC6" i="5"/>
  <c r="BHD6" i="5"/>
  <c r="BHE6" i="5"/>
  <c r="BHF6" i="5"/>
  <c r="BHG6" i="5"/>
  <c r="BHH6" i="5"/>
  <c r="BHI6" i="5"/>
  <c r="BHJ6" i="5"/>
  <c r="BHK6" i="5"/>
  <c r="BHL6" i="5"/>
  <c r="BHM6" i="5"/>
  <c r="BHN6" i="5"/>
  <c r="BHO6" i="5"/>
  <c r="BHP6" i="5"/>
  <c r="BHQ6" i="5"/>
  <c r="BHR6" i="5"/>
  <c r="BHS6" i="5"/>
  <c r="BHT6" i="5"/>
  <c r="BHU6" i="5"/>
  <c r="BHV6" i="5"/>
  <c r="BHW6" i="5"/>
  <c r="BHX6" i="5"/>
  <c r="BHY6" i="5"/>
  <c r="BHZ6" i="5"/>
  <c r="BIA6" i="5"/>
  <c r="BIB6" i="5"/>
  <c r="BIC6" i="5"/>
  <c r="BID6" i="5"/>
  <c r="BIE6" i="5"/>
  <c r="BIF6" i="5"/>
  <c r="BIG6" i="5"/>
  <c r="BIH6" i="5"/>
  <c r="BII6" i="5"/>
  <c r="BIJ6" i="5"/>
  <c r="BIK6" i="5"/>
  <c r="BIL6" i="5"/>
  <c r="BIM6" i="5"/>
  <c r="BIN6" i="5"/>
  <c r="BIO6" i="5"/>
  <c r="BIP6" i="5"/>
  <c r="BIQ6" i="5"/>
  <c r="BIR6" i="5"/>
  <c r="BIS6" i="5"/>
  <c r="BIT6" i="5"/>
  <c r="BIU6" i="5"/>
  <c r="BIV6" i="5"/>
  <c r="BIW6" i="5"/>
  <c r="BIX6" i="5"/>
  <c r="BIY6" i="5"/>
  <c r="BIZ6" i="5"/>
  <c r="BJA6" i="5"/>
  <c r="BJB6" i="5"/>
  <c r="BJC6" i="5"/>
  <c r="BJD6" i="5"/>
  <c r="BJE6" i="5"/>
  <c r="BJF6" i="5"/>
  <c r="BJG6" i="5"/>
  <c r="BJH6" i="5"/>
  <c r="BJI6" i="5"/>
  <c r="BJJ6" i="5"/>
  <c r="BJK6" i="5"/>
  <c r="BJL6" i="5"/>
  <c r="BJM6" i="5"/>
  <c r="BJN6" i="5"/>
  <c r="BJO6" i="5"/>
  <c r="BJP6" i="5"/>
  <c r="BJQ6" i="5"/>
  <c r="BJR6" i="5"/>
  <c r="BJS6" i="5"/>
  <c r="BJT6" i="5"/>
  <c r="BJU6" i="5"/>
  <c r="BJV6" i="5"/>
  <c r="BJW6" i="5"/>
  <c r="BJX6" i="5"/>
  <c r="BJY6" i="5"/>
  <c r="BJZ6" i="5"/>
  <c r="BKA6" i="5"/>
  <c r="BKB6" i="5"/>
  <c r="BKC6" i="5"/>
  <c r="BKD6" i="5"/>
  <c r="BKE6" i="5"/>
  <c r="BKF6" i="5"/>
  <c r="BKG6" i="5"/>
  <c r="BKH6" i="5"/>
  <c r="BKI6" i="5"/>
  <c r="BKJ6" i="5"/>
  <c r="BKK6" i="5"/>
  <c r="BKL6" i="5"/>
  <c r="BKM6" i="5"/>
  <c r="BKN6" i="5"/>
  <c r="BKO6" i="5"/>
  <c r="BKP6" i="5"/>
  <c r="BKQ6" i="5"/>
  <c r="BKR6" i="5"/>
  <c r="BKS6" i="5"/>
  <c r="BKT6" i="5"/>
  <c r="BKU6" i="5"/>
  <c r="BKV6" i="5"/>
  <c r="BKW6" i="5"/>
  <c r="BKX6" i="5"/>
  <c r="BKY6" i="5"/>
  <c r="BKZ6" i="5"/>
  <c r="BLA6" i="5"/>
  <c r="BLB6" i="5"/>
  <c r="BLC6" i="5"/>
  <c r="BLD6" i="5"/>
  <c r="BLE6" i="5"/>
  <c r="BLF6" i="5"/>
  <c r="BLG6" i="5"/>
  <c r="BLH6" i="5"/>
  <c r="BLI6" i="5"/>
  <c r="BLJ6" i="5"/>
  <c r="BLK6" i="5"/>
  <c r="BLL6" i="5"/>
  <c r="BLM6" i="5"/>
  <c r="BLN6" i="5"/>
  <c r="BLO6" i="5"/>
  <c r="BLP6" i="5"/>
  <c r="BLQ6" i="5"/>
  <c r="BLR6" i="5"/>
  <c r="BLS6" i="5"/>
  <c r="BLT6" i="5"/>
  <c r="BLU6" i="5"/>
  <c r="BLV6" i="5"/>
  <c r="BLW6" i="5"/>
  <c r="BLX6" i="5"/>
  <c r="BLY6" i="5"/>
  <c r="BLZ6" i="5"/>
  <c r="BMA6" i="5"/>
  <c r="BMB6" i="5"/>
  <c r="BMC6" i="5"/>
  <c r="BMD6" i="5"/>
  <c r="BME6" i="5"/>
  <c r="BMF6" i="5"/>
  <c r="BMG6" i="5"/>
  <c r="BMH6" i="5"/>
  <c r="BMI6" i="5"/>
  <c r="BMJ6" i="5"/>
  <c r="BMK6" i="5"/>
  <c r="BML6" i="5"/>
  <c r="BMM6" i="5"/>
  <c r="BMN6" i="5"/>
  <c r="BMO6" i="5"/>
  <c r="BMP6" i="5"/>
  <c r="BMQ6" i="5"/>
  <c r="BMR6" i="5"/>
  <c r="BMS6" i="5"/>
  <c r="BMT6" i="5"/>
  <c r="BMU6" i="5"/>
  <c r="BMV6" i="5"/>
  <c r="BMW6" i="5"/>
  <c r="BMX6" i="5"/>
  <c r="BMY6" i="5"/>
  <c r="BMZ6" i="5"/>
  <c r="BNA6" i="5"/>
  <c r="BNB6" i="5"/>
  <c r="BNC6" i="5"/>
  <c r="BND6" i="5"/>
  <c r="BNE6" i="5"/>
  <c r="BNF6" i="5"/>
  <c r="BNG6" i="5"/>
  <c r="BNH6" i="5"/>
  <c r="BNI6" i="5"/>
  <c r="BNJ6" i="5"/>
  <c r="BNK6" i="5"/>
  <c r="BNL6" i="5"/>
  <c r="BNM6" i="5"/>
  <c r="BNN6" i="5"/>
  <c r="BNO6" i="5"/>
  <c r="BNP6" i="5"/>
  <c r="BNQ6" i="5"/>
  <c r="BNR6" i="5"/>
  <c r="BNS6" i="5"/>
  <c r="BNT6" i="5"/>
  <c r="BNU6" i="5"/>
  <c r="BNV6" i="5"/>
  <c r="BNW6" i="5"/>
  <c r="BNX6" i="5"/>
  <c r="BNY6" i="5"/>
  <c r="BNZ6" i="5"/>
  <c r="BOA6" i="5"/>
  <c r="BOB6" i="5"/>
  <c r="BOC6" i="5"/>
  <c r="BOD6" i="5"/>
  <c r="BOE6" i="5"/>
  <c r="BOF6" i="5"/>
  <c r="BOG6" i="5"/>
  <c r="BOH6" i="5"/>
  <c r="BOI6" i="5"/>
  <c r="BOJ6" i="5"/>
  <c r="BOK6" i="5"/>
  <c r="BOL6" i="5"/>
  <c r="BOM6" i="5"/>
  <c r="BON6" i="5"/>
  <c r="BOO6" i="5"/>
  <c r="BOP6" i="5"/>
  <c r="BOQ6" i="5"/>
  <c r="BOR6" i="5"/>
  <c r="BOS6" i="5"/>
  <c r="BOT6" i="5"/>
  <c r="BOU6" i="5"/>
  <c r="BOV6" i="5"/>
  <c r="BOW6" i="5"/>
  <c r="BOX6" i="5"/>
  <c r="BOY6" i="5"/>
  <c r="BOZ6" i="5"/>
  <c r="BPA6" i="5"/>
  <c r="BPB6" i="5"/>
  <c r="BPC6" i="5"/>
  <c r="BPD6" i="5"/>
  <c r="BPE6" i="5"/>
  <c r="BPF6" i="5"/>
  <c r="BPG6" i="5"/>
  <c r="BPH6" i="5"/>
  <c r="BPI6" i="5"/>
  <c r="BPJ6" i="5"/>
  <c r="BPK6" i="5"/>
  <c r="BPL6" i="5"/>
  <c r="BPM6" i="5"/>
  <c r="BPN6" i="5"/>
  <c r="BPO6" i="5"/>
  <c r="BPP6" i="5"/>
  <c r="BPQ6" i="5"/>
  <c r="BPR6" i="5"/>
  <c r="BPS6" i="5"/>
  <c r="BPT6" i="5"/>
  <c r="BPU6" i="5"/>
  <c r="BPV6" i="5"/>
  <c r="BPW6" i="5"/>
  <c r="BPX6" i="5"/>
  <c r="BPY6" i="5"/>
  <c r="BPZ6" i="5"/>
  <c r="BQA6" i="5"/>
  <c r="BQB6" i="5"/>
  <c r="BQC6" i="5"/>
  <c r="BQD6" i="5"/>
  <c r="BQE6" i="5"/>
  <c r="BQF6" i="5"/>
  <c r="BQG6" i="5"/>
  <c r="BQH6" i="5"/>
  <c r="BQI6" i="5"/>
  <c r="BQJ6" i="5"/>
  <c r="BQK6" i="5"/>
  <c r="BQL6" i="5"/>
  <c r="BQM6" i="5"/>
  <c r="BQN6" i="5"/>
  <c r="BQO6" i="5"/>
  <c r="BQP6" i="5"/>
  <c r="BQQ6" i="5"/>
  <c r="BQR6" i="5"/>
  <c r="BQS6" i="5"/>
  <c r="BQT6" i="5"/>
  <c r="BQU6" i="5"/>
  <c r="BQV6" i="5"/>
  <c r="BQW6" i="5"/>
  <c r="BQX6" i="5"/>
  <c r="BQY6" i="5"/>
  <c r="BQZ6" i="5"/>
  <c r="BRA6" i="5"/>
  <c r="BRB6" i="5"/>
  <c r="BRC6" i="5"/>
  <c r="BRD6" i="5"/>
  <c r="BRE6" i="5"/>
  <c r="BRF6" i="5"/>
  <c r="BRG6" i="5"/>
  <c r="BRH6" i="5"/>
  <c r="BRI6" i="5"/>
  <c r="BRJ6" i="5"/>
  <c r="BRK6" i="5"/>
  <c r="BRL6" i="5"/>
  <c r="BRM6" i="5"/>
  <c r="BRN6" i="5"/>
  <c r="BRO6" i="5"/>
  <c r="BRP6" i="5"/>
  <c r="BRQ6" i="5"/>
  <c r="BRR6" i="5"/>
  <c r="BRS6" i="5"/>
  <c r="BRT6" i="5"/>
  <c r="BRU6" i="5"/>
  <c r="BRV6" i="5"/>
  <c r="BRW6" i="5"/>
  <c r="BRX6" i="5"/>
  <c r="BRY6" i="5"/>
  <c r="BRZ6" i="5"/>
  <c r="BSA6" i="5"/>
  <c r="BSB6" i="5"/>
  <c r="BSC6" i="5"/>
  <c r="BSD6" i="5"/>
  <c r="BSE6" i="5"/>
  <c r="BSF6" i="5"/>
  <c r="BSG6" i="5"/>
  <c r="BSH6" i="5"/>
  <c r="BSI6" i="5"/>
  <c r="BSJ6" i="5"/>
  <c r="BSK6" i="5"/>
  <c r="BSL6" i="5"/>
  <c r="BSM6" i="5"/>
  <c r="BSN6" i="5"/>
  <c r="BSO6" i="5"/>
  <c r="BSP6" i="5"/>
  <c r="BSQ6" i="5"/>
  <c r="BSR6" i="5"/>
  <c r="BSS6" i="5"/>
  <c r="BST6" i="5"/>
  <c r="BSU6" i="5"/>
  <c r="BSV6" i="5"/>
  <c r="BSW6" i="5"/>
  <c r="BSX6" i="5"/>
  <c r="BSY6" i="5"/>
  <c r="BSZ6" i="5"/>
  <c r="BTA6" i="5"/>
  <c r="BTB6" i="5"/>
  <c r="BTC6" i="5"/>
  <c r="BTD6" i="5"/>
  <c r="BTE6" i="5"/>
  <c r="BTF6" i="5"/>
  <c r="BTG6" i="5"/>
  <c r="BTH6" i="5"/>
  <c r="BTI6" i="5"/>
  <c r="BTJ6" i="5"/>
  <c r="BTK6" i="5"/>
  <c r="BTL6" i="5"/>
  <c r="BTM6" i="5"/>
  <c r="BTN6" i="5"/>
  <c r="BTO6" i="5"/>
  <c r="BTP6" i="5"/>
  <c r="BTQ6" i="5"/>
  <c r="BTR6" i="5"/>
  <c r="BTS6" i="5"/>
  <c r="BTT6" i="5"/>
  <c r="BTU6" i="5"/>
  <c r="BTV6" i="5"/>
  <c r="BTW6" i="5"/>
  <c r="BTX6" i="5"/>
  <c r="BTY6" i="5"/>
  <c r="BTZ6" i="5"/>
  <c r="BUA6" i="5"/>
  <c r="BUB6" i="5"/>
  <c r="BUC6" i="5"/>
  <c r="BUD6" i="5"/>
  <c r="BUE6" i="5"/>
  <c r="BUF6" i="5"/>
  <c r="BUG6" i="5"/>
  <c r="BUH6" i="5"/>
  <c r="BUI6" i="5"/>
  <c r="BUJ6" i="5"/>
  <c r="BUK6" i="5"/>
  <c r="BUL6" i="5"/>
  <c r="BUM6" i="5"/>
  <c r="BUN6" i="5"/>
  <c r="BUO6" i="5"/>
  <c r="BUP6" i="5"/>
  <c r="BUQ6" i="5"/>
  <c r="BUR6" i="5"/>
  <c r="BUS6" i="5"/>
  <c r="BUT6" i="5"/>
  <c r="BUU6" i="5"/>
  <c r="BUV6" i="5"/>
  <c r="BUW6" i="5"/>
  <c r="BUX6" i="5"/>
  <c r="BUY6" i="5"/>
  <c r="BUZ6" i="5"/>
  <c r="BVA6" i="5"/>
  <c r="BVB6" i="5"/>
  <c r="BVC6" i="5"/>
  <c r="BVD6" i="5"/>
  <c r="BVE6" i="5"/>
  <c r="BVF6" i="5"/>
  <c r="BVG6" i="5"/>
  <c r="BVH6" i="5"/>
  <c r="BVI6" i="5"/>
  <c r="BVJ6" i="5"/>
  <c r="BVK6" i="5"/>
  <c r="BVL6" i="5"/>
  <c r="BVM6" i="5"/>
  <c r="BVN6" i="5"/>
  <c r="BVO6" i="5"/>
  <c r="BVP6" i="5"/>
  <c r="BVQ6" i="5"/>
  <c r="BVR6" i="5"/>
  <c r="BVS6" i="5"/>
  <c r="BVT6" i="5"/>
  <c r="BVU6" i="5"/>
  <c r="BVV6" i="5"/>
  <c r="BVW6" i="5"/>
  <c r="BVX6" i="5"/>
  <c r="BVY6" i="5"/>
  <c r="BVZ6" i="5"/>
  <c r="BWA6" i="5"/>
  <c r="BWB6" i="5"/>
  <c r="BWC6" i="5"/>
  <c r="BWD6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WN7" i="5"/>
  <c r="WO7" i="5"/>
  <c r="WP7" i="5"/>
  <c r="WQ7" i="5"/>
  <c r="WR7" i="5"/>
  <c r="WS7" i="5"/>
  <c r="WT7" i="5"/>
  <c r="WU7" i="5"/>
  <c r="WV7" i="5"/>
  <c r="WW7" i="5"/>
  <c r="WX7" i="5"/>
  <c r="WY7" i="5"/>
  <c r="WZ7" i="5"/>
  <c r="XA7" i="5"/>
  <c r="XB7" i="5"/>
  <c r="XC7" i="5"/>
  <c r="XD7" i="5"/>
  <c r="XE7" i="5"/>
  <c r="XF7" i="5"/>
  <c r="XG7" i="5"/>
  <c r="XH7" i="5"/>
  <c r="XI7" i="5"/>
  <c r="XJ7" i="5"/>
  <c r="XK7" i="5"/>
  <c r="XL7" i="5"/>
  <c r="XM7" i="5"/>
  <c r="XN7" i="5"/>
  <c r="XO7" i="5"/>
  <c r="XP7" i="5"/>
  <c r="XQ7" i="5"/>
  <c r="XR7" i="5"/>
  <c r="XS7" i="5"/>
  <c r="XT7" i="5"/>
  <c r="XU7" i="5"/>
  <c r="XV7" i="5"/>
  <c r="XW7" i="5"/>
  <c r="XX7" i="5"/>
  <c r="XY7" i="5"/>
  <c r="XZ7" i="5"/>
  <c r="YA7" i="5"/>
  <c r="YB7" i="5"/>
  <c r="YC7" i="5"/>
  <c r="YD7" i="5"/>
  <c r="YE7" i="5"/>
  <c r="YF7" i="5"/>
  <c r="YG7" i="5"/>
  <c r="YH7" i="5"/>
  <c r="YI7" i="5"/>
  <c r="YJ7" i="5"/>
  <c r="YK7" i="5"/>
  <c r="YL7" i="5"/>
  <c r="YM7" i="5"/>
  <c r="YN7" i="5"/>
  <c r="YO7" i="5"/>
  <c r="YP7" i="5"/>
  <c r="YQ7" i="5"/>
  <c r="YR7" i="5"/>
  <c r="YS7" i="5"/>
  <c r="YT7" i="5"/>
  <c r="YU7" i="5"/>
  <c r="YV7" i="5"/>
  <c r="YW7" i="5"/>
  <c r="YX7" i="5"/>
  <c r="YY7" i="5"/>
  <c r="YZ7" i="5"/>
  <c r="ZA7" i="5"/>
  <c r="ZB7" i="5"/>
  <c r="ZC7" i="5"/>
  <c r="ZD7" i="5"/>
  <c r="ZE7" i="5"/>
  <c r="ZF7" i="5"/>
  <c r="ZG7" i="5"/>
  <c r="ZH7" i="5"/>
  <c r="ZI7" i="5"/>
  <c r="ZJ7" i="5"/>
  <c r="ZK7" i="5"/>
  <c r="ZL7" i="5"/>
  <c r="ZM7" i="5"/>
  <c r="ZN7" i="5"/>
  <c r="ZO7" i="5"/>
  <c r="ZP7" i="5"/>
  <c r="ZQ7" i="5"/>
  <c r="ZR7" i="5"/>
  <c r="ZS7" i="5"/>
  <c r="ZT7" i="5"/>
  <c r="ZU7" i="5"/>
  <c r="ZV7" i="5"/>
  <c r="ZW7" i="5"/>
  <c r="ZX7" i="5"/>
  <c r="ZY7" i="5"/>
  <c r="ZZ7" i="5"/>
  <c r="AAA7" i="5"/>
  <c r="AAB7" i="5"/>
  <c r="AAC7" i="5"/>
  <c r="AAD7" i="5"/>
  <c r="AAE7" i="5"/>
  <c r="AAF7" i="5"/>
  <c r="AAG7" i="5"/>
  <c r="AAH7" i="5"/>
  <c r="AAI7" i="5"/>
  <c r="AAJ7" i="5"/>
  <c r="AAK7" i="5"/>
  <c r="AAL7" i="5"/>
  <c r="AAM7" i="5"/>
  <c r="AAN7" i="5"/>
  <c r="AAO7" i="5"/>
  <c r="AAP7" i="5"/>
  <c r="AAQ7" i="5"/>
  <c r="AAR7" i="5"/>
  <c r="AAS7" i="5"/>
  <c r="AAT7" i="5"/>
  <c r="AAU7" i="5"/>
  <c r="AAV7" i="5"/>
  <c r="AAW7" i="5"/>
  <c r="AAX7" i="5"/>
  <c r="AAY7" i="5"/>
  <c r="AAZ7" i="5"/>
  <c r="ABA7" i="5"/>
  <c r="ABB7" i="5"/>
  <c r="ABC7" i="5"/>
  <c r="ABD7" i="5"/>
  <c r="ABE7" i="5"/>
  <c r="ABF7" i="5"/>
  <c r="ABG7" i="5"/>
  <c r="ABH7" i="5"/>
  <c r="ABI7" i="5"/>
  <c r="ABJ7" i="5"/>
  <c r="ABK7" i="5"/>
  <c r="ABL7" i="5"/>
  <c r="ABM7" i="5"/>
  <c r="ABN7" i="5"/>
  <c r="ABO7" i="5"/>
  <c r="ABP7" i="5"/>
  <c r="ABQ7" i="5"/>
  <c r="ABR7" i="5"/>
  <c r="ABS7" i="5"/>
  <c r="ABT7" i="5"/>
  <c r="ABU7" i="5"/>
  <c r="ABV7" i="5"/>
  <c r="ABW7" i="5"/>
  <c r="ABX7" i="5"/>
  <c r="ABY7" i="5"/>
  <c r="ABZ7" i="5"/>
  <c r="ACA7" i="5"/>
  <c r="ACB7" i="5"/>
  <c r="ACC7" i="5"/>
  <c r="ACD7" i="5"/>
  <c r="ACE7" i="5"/>
  <c r="ACF7" i="5"/>
  <c r="ACG7" i="5"/>
  <c r="ACH7" i="5"/>
  <c r="ACI7" i="5"/>
  <c r="ACJ7" i="5"/>
  <c r="ACK7" i="5"/>
  <c r="ACL7" i="5"/>
  <c r="ACM7" i="5"/>
  <c r="ACN7" i="5"/>
  <c r="ACO7" i="5"/>
  <c r="ACP7" i="5"/>
  <c r="ACQ7" i="5"/>
  <c r="ACR7" i="5"/>
  <c r="ACS7" i="5"/>
  <c r="ACT7" i="5"/>
  <c r="ACU7" i="5"/>
  <c r="ACV7" i="5"/>
  <c r="ACW7" i="5"/>
  <c r="ACX7" i="5"/>
  <c r="ACY7" i="5"/>
  <c r="ACZ7" i="5"/>
  <c r="ADA7" i="5"/>
  <c r="ADB7" i="5"/>
  <c r="ADC7" i="5"/>
  <c r="ADD7" i="5"/>
  <c r="ADE7" i="5"/>
  <c r="ADF7" i="5"/>
  <c r="ADG7" i="5"/>
  <c r="ADH7" i="5"/>
  <c r="ADI7" i="5"/>
  <c r="ADJ7" i="5"/>
  <c r="ADK7" i="5"/>
  <c r="ADL7" i="5"/>
  <c r="ADM7" i="5"/>
  <c r="ADN7" i="5"/>
  <c r="ADO7" i="5"/>
  <c r="ADP7" i="5"/>
  <c r="ADQ7" i="5"/>
  <c r="ADR7" i="5"/>
  <c r="ADS7" i="5"/>
  <c r="ADT7" i="5"/>
  <c r="ADU7" i="5"/>
  <c r="ADV7" i="5"/>
  <c r="ADW7" i="5"/>
  <c r="ADX7" i="5"/>
  <c r="ADY7" i="5"/>
  <c r="ADZ7" i="5"/>
  <c r="AEA7" i="5"/>
  <c r="AEB7" i="5"/>
  <c r="AEC7" i="5"/>
  <c r="AED7" i="5"/>
  <c r="AEE7" i="5"/>
  <c r="AEF7" i="5"/>
  <c r="AEG7" i="5"/>
  <c r="AEH7" i="5"/>
  <c r="AEI7" i="5"/>
  <c r="AEJ7" i="5"/>
  <c r="AEK7" i="5"/>
  <c r="AEL7" i="5"/>
  <c r="AEM7" i="5"/>
  <c r="AEN7" i="5"/>
  <c r="AEO7" i="5"/>
  <c r="AEP7" i="5"/>
  <c r="AEQ7" i="5"/>
  <c r="AER7" i="5"/>
  <c r="AES7" i="5"/>
  <c r="AET7" i="5"/>
  <c r="AEU7" i="5"/>
  <c r="AEV7" i="5"/>
  <c r="AEW7" i="5"/>
  <c r="AEX7" i="5"/>
  <c r="AEY7" i="5"/>
  <c r="AEZ7" i="5"/>
  <c r="AFA7" i="5"/>
  <c r="AFB7" i="5"/>
  <c r="AFC7" i="5"/>
  <c r="AFD7" i="5"/>
  <c r="AFE7" i="5"/>
  <c r="AFF7" i="5"/>
  <c r="AFG7" i="5"/>
  <c r="AFH7" i="5"/>
  <c r="AFI7" i="5"/>
  <c r="AFJ7" i="5"/>
  <c r="AFK7" i="5"/>
  <c r="AFL7" i="5"/>
  <c r="AFM7" i="5"/>
  <c r="AFN7" i="5"/>
  <c r="AFO7" i="5"/>
  <c r="AFP7" i="5"/>
  <c r="AFQ7" i="5"/>
  <c r="AFR7" i="5"/>
  <c r="AFS7" i="5"/>
  <c r="AFT7" i="5"/>
  <c r="AFU7" i="5"/>
  <c r="AFV7" i="5"/>
  <c r="AFW7" i="5"/>
  <c r="AFX7" i="5"/>
  <c r="AFY7" i="5"/>
  <c r="AFZ7" i="5"/>
  <c r="AGA7" i="5"/>
  <c r="AGB7" i="5"/>
  <c r="AGC7" i="5"/>
  <c r="AGD7" i="5"/>
  <c r="AGE7" i="5"/>
  <c r="AGF7" i="5"/>
  <c r="AGG7" i="5"/>
  <c r="AGH7" i="5"/>
  <c r="AGI7" i="5"/>
  <c r="AGJ7" i="5"/>
  <c r="AGK7" i="5"/>
  <c r="AGL7" i="5"/>
  <c r="AGM7" i="5"/>
  <c r="AGN7" i="5"/>
  <c r="AGO7" i="5"/>
  <c r="AGP7" i="5"/>
  <c r="AGQ7" i="5"/>
  <c r="AGR7" i="5"/>
  <c r="AGS7" i="5"/>
  <c r="AGT7" i="5"/>
  <c r="AGU7" i="5"/>
  <c r="AGV7" i="5"/>
  <c r="AGW7" i="5"/>
  <c r="AGX7" i="5"/>
  <c r="AGY7" i="5"/>
  <c r="AGZ7" i="5"/>
  <c r="AHA7" i="5"/>
  <c r="AHB7" i="5"/>
  <c r="AHC7" i="5"/>
  <c r="AHD7" i="5"/>
  <c r="AHE7" i="5"/>
  <c r="AHF7" i="5"/>
  <c r="AHG7" i="5"/>
  <c r="AHH7" i="5"/>
  <c r="AHI7" i="5"/>
  <c r="AHJ7" i="5"/>
  <c r="AHK7" i="5"/>
  <c r="AHL7" i="5"/>
  <c r="AHM7" i="5"/>
  <c r="AHN7" i="5"/>
  <c r="AHO7" i="5"/>
  <c r="AHP7" i="5"/>
  <c r="AHQ7" i="5"/>
  <c r="AHR7" i="5"/>
  <c r="AHS7" i="5"/>
  <c r="AHT7" i="5"/>
  <c r="AHU7" i="5"/>
  <c r="AHV7" i="5"/>
  <c r="AHW7" i="5"/>
  <c r="AHX7" i="5"/>
  <c r="AHY7" i="5"/>
  <c r="AHZ7" i="5"/>
  <c r="AIA7" i="5"/>
  <c r="AIB7" i="5"/>
  <c r="AIC7" i="5"/>
  <c r="AID7" i="5"/>
  <c r="AIE7" i="5"/>
  <c r="AIF7" i="5"/>
  <c r="AIG7" i="5"/>
  <c r="AIH7" i="5"/>
  <c r="AII7" i="5"/>
  <c r="AIJ7" i="5"/>
  <c r="AIK7" i="5"/>
  <c r="AIL7" i="5"/>
  <c r="AIM7" i="5"/>
  <c r="AIN7" i="5"/>
  <c r="AIO7" i="5"/>
  <c r="AIP7" i="5"/>
  <c r="AIQ7" i="5"/>
  <c r="AIR7" i="5"/>
  <c r="AIS7" i="5"/>
  <c r="AIT7" i="5"/>
  <c r="AIU7" i="5"/>
  <c r="AIV7" i="5"/>
  <c r="AIW7" i="5"/>
  <c r="AIX7" i="5"/>
  <c r="AIY7" i="5"/>
  <c r="AIZ7" i="5"/>
  <c r="AJA7" i="5"/>
  <c r="AJB7" i="5"/>
  <c r="AJC7" i="5"/>
  <c r="AJD7" i="5"/>
  <c r="AJE7" i="5"/>
  <c r="AJF7" i="5"/>
  <c r="AJG7" i="5"/>
  <c r="AJH7" i="5"/>
  <c r="AJI7" i="5"/>
  <c r="AJJ7" i="5"/>
  <c r="AJK7" i="5"/>
  <c r="AJL7" i="5"/>
  <c r="AJM7" i="5"/>
  <c r="AJN7" i="5"/>
  <c r="AJO7" i="5"/>
  <c r="AJP7" i="5"/>
  <c r="AJQ7" i="5"/>
  <c r="AJR7" i="5"/>
  <c r="AJS7" i="5"/>
  <c r="AJT7" i="5"/>
  <c r="AJU7" i="5"/>
  <c r="AJV7" i="5"/>
  <c r="AJW7" i="5"/>
  <c r="AJX7" i="5"/>
  <c r="AJY7" i="5"/>
  <c r="AJZ7" i="5"/>
  <c r="AKA7" i="5"/>
  <c r="AKB7" i="5"/>
  <c r="AKC7" i="5"/>
  <c r="AKD7" i="5"/>
  <c r="AKE7" i="5"/>
  <c r="AKF7" i="5"/>
  <c r="AKG7" i="5"/>
  <c r="AKH7" i="5"/>
  <c r="AKI7" i="5"/>
  <c r="AKJ7" i="5"/>
  <c r="AKK7" i="5"/>
  <c r="AKL7" i="5"/>
  <c r="AKM7" i="5"/>
  <c r="AKN7" i="5"/>
  <c r="AKO7" i="5"/>
  <c r="AKP7" i="5"/>
  <c r="AKQ7" i="5"/>
  <c r="AKR7" i="5"/>
  <c r="AKS7" i="5"/>
  <c r="AKT7" i="5"/>
  <c r="AKU7" i="5"/>
  <c r="AKV7" i="5"/>
  <c r="AKW7" i="5"/>
  <c r="AKX7" i="5"/>
  <c r="AKY7" i="5"/>
  <c r="AKZ7" i="5"/>
  <c r="ALA7" i="5"/>
  <c r="ALB7" i="5"/>
  <c r="ALC7" i="5"/>
  <c r="ALD7" i="5"/>
  <c r="ALE7" i="5"/>
  <c r="ALF7" i="5"/>
  <c r="ALG7" i="5"/>
  <c r="ALH7" i="5"/>
  <c r="ALI7" i="5"/>
  <c r="ALJ7" i="5"/>
  <c r="ALK7" i="5"/>
  <c r="ALL7" i="5"/>
  <c r="ALM7" i="5"/>
  <c r="ALN7" i="5"/>
  <c r="ALO7" i="5"/>
  <c r="ALP7" i="5"/>
  <c r="ALQ7" i="5"/>
  <c r="ALR7" i="5"/>
  <c r="ALS7" i="5"/>
  <c r="ALT7" i="5"/>
  <c r="ALU7" i="5"/>
  <c r="ALV7" i="5"/>
  <c r="ALW7" i="5"/>
  <c r="ALX7" i="5"/>
  <c r="ALY7" i="5"/>
  <c r="ALZ7" i="5"/>
  <c r="AMA7" i="5"/>
  <c r="AMB7" i="5"/>
  <c r="AMC7" i="5"/>
  <c r="AMD7" i="5"/>
  <c r="AME7" i="5"/>
  <c r="AMF7" i="5"/>
  <c r="AMG7" i="5"/>
  <c r="AMH7" i="5"/>
  <c r="AMI7" i="5"/>
  <c r="AMJ7" i="5"/>
  <c r="AMK7" i="5"/>
  <c r="AML7" i="5"/>
  <c r="AMM7" i="5"/>
  <c r="AMN7" i="5"/>
  <c r="AMO7" i="5"/>
  <c r="AMP7" i="5"/>
  <c r="AMQ7" i="5"/>
  <c r="AMR7" i="5"/>
  <c r="AMS7" i="5"/>
  <c r="AMT7" i="5"/>
  <c r="AMU7" i="5"/>
  <c r="AMV7" i="5"/>
  <c r="AMW7" i="5"/>
  <c r="AMX7" i="5"/>
  <c r="AMY7" i="5"/>
  <c r="AMZ7" i="5"/>
  <c r="ANA7" i="5"/>
  <c r="ANB7" i="5"/>
  <c r="ANC7" i="5"/>
  <c r="AND7" i="5"/>
  <c r="ANE7" i="5"/>
  <c r="ANF7" i="5"/>
  <c r="ANG7" i="5"/>
  <c r="ANH7" i="5"/>
  <c r="ANI7" i="5"/>
  <c r="ANJ7" i="5"/>
  <c r="ANK7" i="5"/>
  <c r="ANL7" i="5"/>
  <c r="ANM7" i="5"/>
  <c r="ANN7" i="5"/>
  <c r="ANO7" i="5"/>
  <c r="ANP7" i="5"/>
  <c r="ANQ7" i="5"/>
  <c r="ANR7" i="5"/>
  <c r="ANS7" i="5"/>
  <c r="ANT7" i="5"/>
  <c r="ANU7" i="5"/>
  <c r="ANV7" i="5"/>
  <c r="ANW7" i="5"/>
  <c r="ANX7" i="5"/>
  <c r="ANY7" i="5"/>
  <c r="ANZ7" i="5"/>
  <c r="AOA7" i="5"/>
  <c r="AOB7" i="5"/>
  <c r="AOC7" i="5"/>
  <c r="AOD7" i="5"/>
  <c r="AOE7" i="5"/>
  <c r="AOF7" i="5"/>
  <c r="AOG7" i="5"/>
  <c r="AOH7" i="5"/>
  <c r="AOI7" i="5"/>
  <c r="AOJ7" i="5"/>
  <c r="AOK7" i="5"/>
  <c r="AOL7" i="5"/>
  <c r="AOM7" i="5"/>
  <c r="AON7" i="5"/>
  <c r="AOO7" i="5"/>
  <c r="AOP7" i="5"/>
  <c r="AOQ7" i="5"/>
  <c r="AOR7" i="5"/>
  <c r="AOS7" i="5"/>
  <c r="AOT7" i="5"/>
  <c r="AOU7" i="5"/>
  <c r="AOV7" i="5"/>
  <c r="AOW7" i="5"/>
  <c r="AOX7" i="5"/>
  <c r="AOY7" i="5"/>
  <c r="AOZ7" i="5"/>
  <c r="APA7" i="5"/>
  <c r="APB7" i="5"/>
  <c r="APC7" i="5"/>
  <c r="APD7" i="5"/>
  <c r="APE7" i="5"/>
  <c r="APF7" i="5"/>
  <c r="APG7" i="5"/>
  <c r="APH7" i="5"/>
  <c r="API7" i="5"/>
  <c r="APJ7" i="5"/>
  <c r="APK7" i="5"/>
  <c r="APL7" i="5"/>
  <c r="APM7" i="5"/>
  <c r="APN7" i="5"/>
  <c r="APO7" i="5"/>
  <c r="APP7" i="5"/>
  <c r="APQ7" i="5"/>
  <c r="APR7" i="5"/>
  <c r="APS7" i="5"/>
  <c r="APT7" i="5"/>
  <c r="APU7" i="5"/>
  <c r="APV7" i="5"/>
  <c r="APW7" i="5"/>
  <c r="APX7" i="5"/>
  <c r="APY7" i="5"/>
  <c r="APZ7" i="5"/>
  <c r="AQA7" i="5"/>
  <c r="AQB7" i="5"/>
  <c r="AQC7" i="5"/>
  <c r="AQD7" i="5"/>
  <c r="AQE7" i="5"/>
  <c r="AQF7" i="5"/>
  <c r="AQG7" i="5"/>
  <c r="AQH7" i="5"/>
  <c r="AQI7" i="5"/>
  <c r="AQJ7" i="5"/>
  <c r="AQK7" i="5"/>
  <c r="AQL7" i="5"/>
  <c r="AQM7" i="5"/>
  <c r="AQN7" i="5"/>
  <c r="AQO7" i="5"/>
  <c r="AQP7" i="5"/>
  <c r="AQQ7" i="5"/>
  <c r="AQR7" i="5"/>
  <c r="AQS7" i="5"/>
  <c r="AQT7" i="5"/>
  <c r="AQU7" i="5"/>
  <c r="AQV7" i="5"/>
  <c r="AQW7" i="5"/>
  <c r="AQX7" i="5"/>
  <c r="AQY7" i="5"/>
  <c r="AQZ7" i="5"/>
  <c r="ARA7" i="5"/>
  <c r="ARB7" i="5"/>
  <c r="ARC7" i="5"/>
  <c r="ARD7" i="5"/>
  <c r="ARE7" i="5"/>
  <c r="ARF7" i="5"/>
  <c r="ARG7" i="5"/>
  <c r="ARH7" i="5"/>
  <c r="ARI7" i="5"/>
  <c r="ARJ7" i="5"/>
  <c r="ARK7" i="5"/>
  <c r="ARL7" i="5"/>
  <c r="ARM7" i="5"/>
  <c r="ARN7" i="5"/>
  <c r="ARO7" i="5"/>
  <c r="ARP7" i="5"/>
  <c r="ARQ7" i="5"/>
  <c r="ARR7" i="5"/>
  <c r="ARS7" i="5"/>
  <c r="ART7" i="5"/>
  <c r="ARU7" i="5"/>
  <c r="ARV7" i="5"/>
  <c r="ARW7" i="5"/>
  <c r="ARX7" i="5"/>
  <c r="ARY7" i="5"/>
  <c r="ARZ7" i="5"/>
  <c r="ASA7" i="5"/>
  <c r="ASB7" i="5"/>
  <c r="ASC7" i="5"/>
  <c r="ASD7" i="5"/>
  <c r="ASE7" i="5"/>
  <c r="ASF7" i="5"/>
  <c r="ASG7" i="5"/>
  <c r="ASH7" i="5"/>
  <c r="ASI7" i="5"/>
  <c r="ASJ7" i="5"/>
  <c r="ASK7" i="5"/>
  <c r="ASL7" i="5"/>
  <c r="ASM7" i="5"/>
  <c r="ASN7" i="5"/>
  <c r="ASO7" i="5"/>
  <c r="ASP7" i="5"/>
  <c r="ASQ7" i="5"/>
  <c r="ASR7" i="5"/>
  <c r="ASS7" i="5"/>
  <c r="AST7" i="5"/>
  <c r="ASU7" i="5"/>
  <c r="ASV7" i="5"/>
  <c r="ASW7" i="5"/>
  <c r="ASX7" i="5"/>
  <c r="ASY7" i="5"/>
  <c r="ASZ7" i="5"/>
  <c r="ATA7" i="5"/>
  <c r="ATB7" i="5"/>
  <c r="ATC7" i="5"/>
  <c r="ATD7" i="5"/>
  <c r="ATE7" i="5"/>
  <c r="ATF7" i="5"/>
  <c r="ATG7" i="5"/>
  <c r="ATH7" i="5"/>
  <c r="ATI7" i="5"/>
  <c r="ATJ7" i="5"/>
  <c r="ATK7" i="5"/>
  <c r="ATL7" i="5"/>
  <c r="ATM7" i="5"/>
  <c r="ATN7" i="5"/>
  <c r="ATO7" i="5"/>
  <c r="ATP7" i="5"/>
  <c r="ATQ7" i="5"/>
  <c r="ATR7" i="5"/>
  <c r="ATS7" i="5"/>
  <c r="ATT7" i="5"/>
  <c r="ATU7" i="5"/>
  <c r="ATV7" i="5"/>
  <c r="ATW7" i="5"/>
  <c r="ATX7" i="5"/>
  <c r="ATY7" i="5"/>
  <c r="ATZ7" i="5"/>
  <c r="AUA7" i="5"/>
  <c r="AUB7" i="5"/>
  <c r="AUC7" i="5"/>
  <c r="AUD7" i="5"/>
  <c r="AUE7" i="5"/>
  <c r="AUF7" i="5"/>
  <c r="AUG7" i="5"/>
  <c r="AUH7" i="5"/>
  <c r="AUI7" i="5"/>
  <c r="AUJ7" i="5"/>
  <c r="AUK7" i="5"/>
  <c r="AUL7" i="5"/>
  <c r="AUM7" i="5"/>
  <c r="AUN7" i="5"/>
  <c r="AUO7" i="5"/>
  <c r="AUP7" i="5"/>
  <c r="AUQ7" i="5"/>
  <c r="AUR7" i="5"/>
  <c r="AUS7" i="5"/>
  <c r="AUT7" i="5"/>
  <c r="AUU7" i="5"/>
  <c r="AUV7" i="5"/>
  <c r="AUW7" i="5"/>
  <c r="AUX7" i="5"/>
  <c r="AUY7" i="5"/>
  <c r="AUZ7" i="5"/>
  <c r="AVA7" i="5"/>
  <c r="AVB7" i="5"/>
  <c r="AVC7" i="5"/>
  <c r="AVD7" i="5"/>
  <c r="AVE7" i="5"/>
  <c r="AVF7" i="5"/>
  <c r="AVG7" i="5"/>
  <c r="AVH7" i="5"/>
  <c r="AVI7" i="5"/>
  <c r="AVJ7" i="5"/>
  <c r="AVK7" i="5"/>
  <c r="AVL7" i="5"/>
  <c r="AVM7" i="5"/>
  <c r="AVN7" i="5"/>
  <c r="AVO7" i="5"/>
  <c r="AVP7" i="5"/>
  <c r="AVQ7" i="5"/>
  <c r="AVR7" i="5"/>
  <c r="AVS7" i="5"/>
  <c r="AVT7" i="5"/>
  <c r="AVU7" i="5"/>
  <c r="AVV7" i="5"/>
  <c r="AVW7" i="5"/>
  <c r="AVX7" i="5"/>
  <c r="AVY7" i="5"/>
  <c r="AVZ7" i="5"/>
  <c r="AWA7" i="5"/>
  <c r="AWB7" i="5"/>
  <c r="AWC7" i="5"/>
  <c r="AWD7" i="5"/>
  <c r="AWE7" i="5"/>
  <c r="AWF7" i="5"/>
  <c r="AWG7" i="5"/>
  <c r="AWH7" i="5"/>
  <c r="AWI7" i="5"/>
  <c r="AWJ7" i="5"/>
  <c r="AWK7" i="5"/>
  <c r="AWL7" i="5"/>
  <c r="AWM7" i="5"/>
  <c r="AWN7" i="5"/>
  <c r="AWO7" i="5"/>
  <c r="AWP7" i="5"/>
  <c r="AWQ7" i="5"/>
  <c r="AWR7" i="5"/>
  <c r="AWS7" i="5"/>
  <c r="AWT7" i="5"/>
  <c r="AWU7" i="5"/>
  <c r="AWV7" i="5"/>
  <c r="AWW7" i="5"/>
  <c r="AWX7" i="5"/>
  <c r="AWY7" i="5"/>
  <c r="AWZ7" i="5"/>
  <c r="AXA7" i="5"/>
  <c r="AXB7" i="5"/>
  <c r="AXC7" i="5"/>
  <c r="AXD7" i="5"/>
  <c r="AXE7" i="5"/>
  <c r="AXF7" i="5"/>
  <c r="AXG7" i="5"/>
  <c r="AXH7" i="5"/>
  <c r="AXI7" i="5"/>
  <c r="AXJ7" i="5"/>
  <c r="AXK7" i="5"/>
  <c r="AXL7" i="5"/>
  <c r="AXM7" i="5"/>
  <c r="AXN7" i="5"/>
  <c r="AXO7" i="5"/>
  <c r="AXP7" i="5"/>
  <c r="AXQ7" i="5"/>
  <c r="AXR7" i="5"/>
  <c r="AXS7" i="5"/>
  <c r="AXT7" i="5"/>
  <c r="AXU7" i="5"/>
  <c r="AXV7" i="5"/>
  <c r="AXW7" i="5"/>
  <c r="AXX7" i="5"/>
  <c r="AXY7" i="5"/>
  <c r="AXZ7" i="5"/>
  <c r="AYA7" i="5"/>
  <c r="AYB7" i="5"/>
  <c r="AYC7" i="5"/>
  <c r="AYD7" i="5"/>
  <c r="AYE7" i="5"/>
  <c r="AYF7" i="5"/>
  <c r="AYG7" i="5"/>
  <c r="AYH7" i="5"/>
  <c r="AYI7" i="5"/>
  <c r="AYJ7" i="5"/>
  <c r="AYK7" i="5"/>
  <c r="AYL7" i="5"/>
  <c r="AYM7" i="5"/>
  <c r="AYN7" i="5"/>
  <c r="AYO7" i="5"/>
  <c r="AYP7" i="5"/>
  <c r="AYQ7" i="5"/>
  <c r="AYR7" i="5"/>
  <c r="AYS7" i="5"/>
  <c r="AYT7" i="5"/>
  <c r="AYU7" i="5"/>
  <c r="AYV7" i="5"/>
  <c r="AYW7" i="5"/>
  <c r="AYX7" i="5"/>
  <c r="AYY7" i="5"/>
  <c r="AYZ7" i="5"/>
  <c r="AZA7" i="5"/>
  <c r="AZB7" i="5"/>
  <c r="AZC7" i="5"/>
  <c r="AZD7" i="5"/>
  <c r="AZE7" i="5"/>
  <c r="AZF7" i="5"/>
  <c r="AZG7" i="5"/>
  <c r="AZH7" i="5"/>
  <c r="AZI7" i="5"/>
  <c r="AZJ7" i="5"/>
  <c r="AZK7" i="5"/>
  <c r="AZL7" i="5"/>
  <c r="AZM7" i="5"/>
  <c r="AZN7" i="5"/>
  <c r="AZO7" i="5"/>
  <c r="AZP7" i="5"/>
  <c r="AZQ7" i="5"/>
  <c r="AZR7" i="5"/>
  <c r="AZS7" i="5"/>
  <c r="AZT7" i="5"/>
  <c r="AZU7" i="5"/>
  <c r="AZV7" i="5"/>
  <c r="AZW7" i="5"/>
  <c r="AZX7" i="5"/>
  <c r="AZY7" i="5"/>
  <c r="AZZ7" i="5"/>
  <c r="BAA7" i="5"/>
  <c r="BAB7" i="5"/>
  <c r="BAC7" i="5"/>
  <c r="BAD7" i="5"/>
  <c r="BAE7" i="5"/>
  <c r="BAF7" i="5"/>
  <c r="BAG7" i="5"/>
  <c r="BAH7" i="5"/>
  <c r="BAI7" i="5"/>
  <c r="BAJ7" i="5"/>
  <c r="BAK7" i="5"/>
  <c r="BAL7" i="5"/>
  <c r="BAM7" i="5"/>
  <c r="BAN7" i="5"/>
  <c r="BAO7" i="5"/>
  <c r="BAP7" i="5"/>
  <c r="BAQ7" i="5"/>
  <c r="BAR7" i="5"/>
  <c r="BAS7" i="5"/>
  <c r="BAT7" i="5"/>
  <c r="BAU7" i="5"/>
  <c r="BAV7" i="5"/>
  <c r="BAW7" i="5"/>
  <c r="BAX7" i="5"/>
  <c r="BAY7" i="5"/>
  <c r="BAZ7" i="5"/>
  <c r="BBA7" i="5"/>
  <c r="BBB7" i="5"/>
  <c r="BBC7" i="5"/>
  <c r="BBD7" i="5"/>
  <c r="BBE7" i="5"/>
  <c r="BBF7" i="5"/>
  <c r="BBG7" i="5"/>
  <c r="BBH7" i="5"/>
  <c r="BBI7" i="5"/>
  <c r="BBJ7" i="5"/>
  <c r="BBK7" i="5"/>
  <c r="BBL7" i="5"/>
  <c r="BBM7" i="5"/>
  <c r="BBN7" i="5"/>
  <c r="BBO7" i="5"/>
  <c r="BBP7" i="5"/>
  <c r="BBQ7" i="5"/>
  <c r="BBR7" i="5"/>
  <c r="BBS7" i="5"/>
  <c r="BBT7" i="5"/>
  <c r="BBU7" i="5"/>
  <c r="BBV7" i="5"/>
  <c r="BBW7" i="5"/>
  <c r="BBX7" i="5"/>
  <c r="BBY7" i="5"/>
  <c r="BBZ7" i="5"/>
  <c r="BCA7" i="5"/>
  <c r="BCB7" i="5"/>
  <c r="BCC7" i="5"/>
  <c r="BCD7" i="5"/>
  <c r="BCE7" i="5"/>
  <c r="BCF7" i="5"/>
  <c r="BCG7" i="5"/>
  <c r="BCH7" i="5"/>
  <c r="BCI7" i="5"/>
  <c r="BCJ7" i="5"/>
  <c r="BCK7" i="5"/>
  <c r="BCL7" i="5"/>
  <c r="BCM7" i="5"/>
  <c r="BCN7" i="5"/>
  <c r="BCO7" i="5"/>
  <c r="BCP7" i="5"/>
  <c r="BCQ7" i="5"/>
  <c r="BCR7" i="5"/>
  <c r="BCS7" i="5"/>
  <c r="BCT7" i="5"/>
  <c r="BCU7" i="5"/>
  <c r="BCV7" i="5"/>
  <c r="BCW7" i="5"/>
  <c r="BCX7" i="5"/>
  <c r="BCY7" i="5"/>
  <c r="BCZ7" i="5"/>
  <c r="BDA7" i="5"/>
  <c r="BDB7" i="5"/>
  <c r="BDC7" i="5"/>
  <c r="BDD7" i="5"/>
  <c r="BDE7" i="5"/>
  <c r="BDF7" i="5"/>
  <c r="BDG7" i="5"/>
  <c r="BDH7" i="5"/>
  <c r="BDI7" i="5"/>
  <c r="BDJ7" i="5"/>
  <c r="BDK7" i="5"/>
  <c r="BDL7" i="5"/>
  <c r="BDM7" i="5"/>
  <c r="BDN7" i="5"/>
  <c r="BDO7" i="5"/>
  <c r="BDP7" i="5"/>
  <c r="BDQ7" i="5"/>
  <c r="BDR7" i="5"/>
  <c r="BDS7" i="5"/>
  <c r="BDT7" i="5"/>
  <c r="BDU7" i="5"/>
  <c r="BDV7" i="5"/>
  <c r="BDW7" i="5"/>
  <c r="BDX7" i="5"/>
  <c r="BDY7" i="5"/>
  <c r="BDZ7" i="5"/>
  <c r="BEA7" i="5"/>
  <c r="BEB7" i="5"/>
  <c r="BEC7" i="5"/>
  <c r="BED7" i="5"/>
  <c r="BEE7" i="5"/>
  <c r="BEF7" i="5"/>
  <c r="BEG7" i="5"/>
  <c r="BEH7" i="5"/>
  <c r="BEI7" i="5"/>
  <c r="BEJ7" i="5"/>
  <c r="BEK7" i="5"/>
  <c r="BEL7" i="5"/>
  <c r="BEM7" i="5"/>
  <c r="BEN7" i="5"/>
  <c r="BEO7" i="5"/>
  <c r="BEP7" i="5"/>
  <c r="BEQ7" i="5"/>
  <c r="BER7" i="5"/>
  <c r="BES7" i="5"/>
  <c r="BET7" i="5"/>
  <c r="BEU7" i="5"/>
  <c r="BEV7" i="5"/>
  <c r="BEW7" i="5"/>
  <c r="BEX7" i="5"/>
  <c r="BEY7" i="5"/>
  <c r="BEZ7" i="5"/>
  <c r="BFA7" i="5"/>
  <c r="BFB7" i="5"/>
  <c r="BFC7" i="5"/>
  <c r="BFD7" i="5"/>
  <c r="BFE7" i="5"/>
  <c r="BFF7" i="5"/>
  <c r="BFG7" i="5"/>
  <c r="BFH7" i="5"/>
  <c r="BFI7" i="5"/>
  <c r="BFJ7" i="5"/>
  <c r="BFK7" i="5"/>
  <c r="BFL7" i="5"/>
  <c r="BFM7" i="5"/>
  <c r="BFN7" i="5"/>
  <c r="BFO7" i="5"/>
  <c r="BFP7" i="5"/>
  <c r="BFQ7" i="5"/>
  <c r="BFR7" i="5"/>
  <c r="BFS7" i="5"/>
  <c r="BFT7" i="5"/>
  <c r="BFU7" i="5"/>
  <c r="BFV7" i="5"/>
  <c r="BFW7" i="5"/>
  <c r="BFX7" i="5"/>
  <c r="BFY7" i="5"/>
  <c r="BFZ7" i="5"/>
  <c r="BGA7" i="5"/>
  <c r="BGB7" i="5"/>
  <c r="BGC7" i="5"/>
  <c r="BGD7" i="5"/>
  <c r="BGE7" i="5"/>
  <c r="BGF7" i="5"/>
  <c r="BGG7" i="5"/>
  <c r="BGH7" i="5"/>
  <c r="BGI7" i="5"/>
  <c r="BGJ7" i="5"/>
  <c r="BGK7" i="5"/>
  <c r="BGL7" i="5"/>
  <c r="BGM7" i="5"/>
  <c r="BGN7" i="5"/>
  <c r="BGO7" i="5"/>
  <c r="BGP7" i="5"/>
  <c r="BGQ7" i="5"/>
  <c r="BGR7" i="5"/>
  <c r="BGS7" i="5"/>
  <c r="BGT7" i="5"/>
  <c r="BGU7" i="5"/>
  <c r="BGV7" i="5"/>
  <c r="BGW7" i="5"/>
  <c r="BGX7" i="5"/>
  <c r="BGY7" i="5"/>
  <c r="BGZ7" i="5"/>
  <c r="BHA7" i="5"/>
  <c r="BHB7" i="5"/>
  <c r="BHC7" i="5"/>
  <c r="BHD7" i="5"/>
  <c r="BHE7" i="5"/>
  <c r="BHF7" i="5"/>
  <c r="BHG7" i="5"/>
  <c r="BHH7" i="5"/>
  <c r="BHI7" i="5"/>
  <c r="BHJ7" i="5"/>
  <c r="BHK7" i="5"/>
  <c r="BHL7" i="5"/>
  <c r="BHM7" i="5"/>
  <c r="BHN7" i="5"/>
  <c r="BHO7" i="5"/>
  <c r="BHP7" i="5"/>
  <c r="BHQ7" i="5"/>
  <c r="BHR7" i="5"/>
  <c r="BHS7" i="5"/>
  <c r="BHT7" i="5"/>
  <c r="BHU7" i="5"/>
  <c r="BHV7" i="5"/>
  <c r="BHW7" i="5"/>
  <c r="BHX7" i="5"/>
  <c r="BHY7" i="5"/>
  <c r="BHZ7" i="5"/>
  <c r="BIA7" i="5"/>
  <c r="BIB7" i="5"/>
  <c r="BIC7" i="5"/>
  <c r="BID7" i="5"/>
  <c r="BIE7" i="5"/>
  <c r="BIF7" i="5"/>
  <c r="BIG7" i="5"/>
  <c r="BIH7" i="5"/>
  <c r="BII7" i="5"/>
  <c r="BIJ7" i="5"/>
  <c r="BIK7" i="5"/>
  <c r="BIL7" i="5"/>
  <c r="BIM7" i="5"/>
  <c r="BIN7" i="5"/>
  <c r="BIO7" i="5"/>
  <c r="BIP7" i="5"/>
  <c r="BIQ7" i="5"/>
  <c r="BIR7" i="5"/>
  <c r="BIS7" i="5"/>
  <c r="BIT7" i="5"/>
  <c r="BIU7" i="5"/>
  <c r="BIV7" i="5"/>
  <c r="BIW7" i="5"/>
  <c r="BIX7" i="5"/>
  <c r="BIY7" i="5"/>
  <c r="BIZ7" i="5"/>
  <c r="BJA7" i="5"/>
  <c r="BJB7" i="5"/>
  <c r="BJC7" i="5"/>
  <c r="BJD7" i="5"/>
  <c r="BJE7" i="5"/>
  <c r="BJF7" i="5"/>
  <c r="BJG7" i="5"/>
  <c r="BJH7" i="5"/>
  <c r="BJI7" i="5"/>
  <c r="BJJ7" i="5"/>
  <c r="BJK7" i="5"/>
  <c r="BJL7" i="5"/>
  <c r="BJM7" i="5"/>
  <c r="BJN7" i="5"/>
  <c r="BJO7" i="5"/>
  <c r="BJP7" i="5"/>
  <c r="BJQ7" i="5"/>
  <c r="BJR7" i="5"/>
  <c r="BJS7" i="5"/>
  <c r="BJT7" i="5"/>
  <c r="BJU7" i="5"/>
  <c r="BJV7" i="5"/>
  <c r="BJW7" i="5"/>
  <c r="BJX7" i="5"/>
  <c r="BJY7" i="5"/>
  <c r="BJZ7" i="5"/>
  <c r="BKA7" i="5"/>
  <c r="BKB7" i="5"/>
  <c r="BKC7" i="5"/>
  <c r="BKD7" i="5"/>
  <c r="BKE7" i="5"/>
  <c r="BKF7" i="5"/>
  <c r="BKG7" i="5"/>
  <c r="BKH7" i="5"/>
  <c r="BKI7" i="5"/>
  <c r="BKJ7" i="5"/>
  <c r="BKK7" i="5"/>
  <c r="BKL7" i="5"/>
  <c r="BKM7" i="5"/>
  <c r="BKN7" i="5"/>
  <c r="BKO7" i="5"/>
  <c r="BKP7" i="5"/>
  <c r="BKQ7" i="5"/>
  <c r="BKR7" i="5"/>
  <c r="BKS7" i="5"/>
  <c r="BKT7" i="5"/>
  <c r="BKU7" i="5"/>
  <c r="BKV7" i="5"/>
  <c r="BKW7" i="5"/>
  <c r="BKX7" i="5"/>
  <c r="BKY7" i="5"/>
  <c r="BKZ7" i="5"/>
  <c r="BLA7" i="5"/>
  <c r="BLB7" i="5"/>
  <c r="BLC7" i="5"/>
  <c r="BLD7" i="5"/>
  <c r="BLE7" i="5"/>
  <c r="BLF7" i="5"/>
  <c r="BLG7" i="5"/>
  <c r="BLH7" i="5"/>
  <c r="BLI7" i="5"/>
  <c r="BLJ7" i="5"/>
  <c r="BLK7" i="5"/>
  <c r="BLL7" i="5"/>
  <c r="BLM7" i="5"/>
  <c r="BLN7" i="5"/>
  <c r="BLO7" i="5"/>
  <c r="BLP7" i="5"/>
  <c r="BLQ7" i="5"/>
  <c r="BLR7" i="5"/>
  <c r="BLS7" i="5"/>
  <c r="BLT7" i="5"/>
  <c r="BLU7" i="5"/>
  <c r="BLV7" i="5"/>
  <c r="BLW7" i="5"/>
  <c r="BLX7" i="5"/>
  <c r="BLY7" i="5"/>
  <c r="BLZ7" i="5"/>
  <c r="BMA7" i="5"/>
  <c r="BMB7" i="5"/>
  <c r="BMC7" i="5"/>
  <c r="BMD7" i="5"/>
  <c r="BME7" i="5"/>
  <c r="BMF7" i="5"/>
  <c r="BMG7" i="5"/>
  <c r="BMH7" i="5"/>
  <c r="BMI7" i="5"/>
  <c r="BMJ7" i="5"/>
  <c r="BMK7" i="5"/>
  <c r="BML7" i="5"/>
  <c r="BMM7" i="5"/>
  <c r="BMN7" i="5"/>
  <c r="BMO7" i="5"/>
  <c r="BMP7" i="5"/>
  <c r="BMQ7" i="5"/>
  <c r="BMR7" i="5"/>
  <c r="BMS7" i="5"/>
  <c r="BMT7" i="5"/>
  <c r="BMU7" i="5"/>
  <c r="BMV7" i="5"/>
  <c r="BMW7" i="5"/>
  <c r="BMX7" i="5"/>
  <c r="BMY7" i="5"/>
  <c r="BMZ7" i="5"/>
  <c r="BNA7" i="5"/>
  <c r="BNB7" i="5"/>
  <c r="BNC7" i="5"/>
  <c r="BND7" i="5"/>
  <c r="BNE7" i="5"/>
  <c r="BNF7" i="5"/>
  <c r="BNG7" i="5"/>
  <c r="BNH7" i="5"/>
  <c r="BNI7" i="5"/>
  <c r="BNJ7" i="5"/>
  <c r="BNK7" i="5"/>
  <c r="BNL7" i="5"/>
  <c r="BNM7" i="5"/>
  <c r="BNN7" i="5"/>
  <c r="BNO7" i="5"/>
  <c r="BNP7" i="5"/>
  <c r="BNQ7" i="5"/>
  <c r="BNR7" i="5"/>
  <c r="BNS7" i="5"/>
  <c r="BNT7" i="5"/>
  <c r="BNU7" i="5"/>
  <c r="BNV7" i="5"/>
  <c r="BNW7" i="5"/>
  <c r="BNX7" i="5"/>
  <c r="BNY7" i="5"/>
  <c r="BNZ7" i="5"/>
  <c r="BOA7" i="5"/>
  <c r="BOB7" i="5"/>
  <c r="BOC7" i="5"/>
  <c r="BOD7" i="5"/>
  <c r="BOE7" i="5"/>
  <c r="BOF7" i="5"/>
  <c r="BOG7" i="5"/>
  <c r="BOH7" i="5"/>
  <c r="BOI7" i="5"/>
  <c r="BOJ7" i="5"/>
  <c r="BOK7" i="5"/>
  <c r="BOL7" i="5"/>
  <c r="BOM7" i="5"/>
  <c r="BON7" i="5"/>
  <c r="BOO7" i="5"/>
  <c r="BOP7" i="5"/>
  <c r="BOQ7" i="5"/>
  <c r="BOR7" i="5"/>
  <c r="BOS7" i="5"/>
  <c r="BOT7" i="5"/>
  <c r="BOU7" i="5"/>
  <c r="BOV7" i="5"/>
  <c r="BOW7" i="5"/>
  <c r="BOX7" i="5"/>
  <c r="BOY7" i="5"/>
  <c r="BOZ7" i="5"/>
  <c r="BPA7" i="5"/>
  <c r="BPB7" i="5"/>
  <c r="BPC7" i="5"/>
  <c r="BPD7" i="5"/>
  <c r="BPE7" i="5"/>
  <c r="BPF7" i="5"/>
  <c r="BPG7" i="5"/>
  <c r="BPH7" i="5"/>
  <c r="BPI7" i="5"/>
  <c r="BPJ7" i="5"/>
  <c r="BPK7" i="5"/>
  <c r="BPL7" i="5"/>
  <c r="BPM7" i="5"/>
  <c r="BPN7" i="5"/>
  <c r="BPO7" i="5"/>
  <c r="BPP7" i="5"/>
  <c r="BPQ7" i="5"/>
  <c r="BPR7" i="5"/>
  <c r="BPS7" i="5"/>
  <c r="BPT7" i="5"/>
  <c r="BPU7" i="5"/>
  <c r="BPV7" i="5"/>
  <c r="BPW7" i="5"/>
  <c r="BPX7" i="5"/>
  <c r="BPY7" i="5"/>
  <c r="BPZ7" i="5"/>
  <c r="BQA7" i="5"/>
  <c r="BQB7" i="5"/>
  <c r="BQC7" i="5"/>
  <c r="BQD7" i="5"/>
  <c r="BQE7" i="5"/>
  <c r="BQF7" i="5"/>
  <c r="BQG7" i="5"/>
  <c r="BQH7" i="5"/>
  <c r="BQI7" i="5"/>
  <c r="BQJ7" i="5"/>
  <c r="BQK7" i="5"/>
  <c r="BQL7" i="5"/>
  <c r="BQM7" i="5"/>
  <c r="BQN7" i="5"/>
  <c r="BQO7" i="5"/>
  <c r="BQP7" i="5"/>
  <c r="BQQ7" i="5"/>
  <c r="BQR7" i="5"/>
  <c r="BQS7" i="5"/>
  <c r="BQT7" i="5"/>
  <c r="BQU7" i="5"/>
  <c r="BQV7" i="5"/>
  <c r="BQW7" i="5"/>
  <c r="BQX7" i="5"/>
  <c r="BQY7" i="5"/>
  <c r="BQZ7" i="5"/>
  <c r="BRA7" i="5"/>
  <c r="BRB7" i="5"/>
  <c r="BRC7" i="5"/>
  <c r="BRD7" i="5"/>
  <c r="BRE7" i="5"/>
  <c r="BRF7" i="5"/>
  <c r="BRG7" i="5"/>
  <c r="BRH7" i="5"/>
  <c r="BRI7" i="5"/>
  <c r="BRJ7" i="5"/>
  <c r="BRK7" i="5"/>
  <c r="BRL7" i="5"/>
  <c r="BRM7" i="5"/>
  <c r="BRN7" i="5"/>
  <c r="BRO7" i="5"/>
  <c r="BRP7" i="5"/>
  <c r="BRQ7" i="5"/>
  <c r="BRR7" i="5"/>
  <c r="BRS7" i="5"/>
  <c r="BRT7" i="5"/>
  <c r="BRU7" i="5"/>
  <c r="BRV7" i="5"/>
  <c r="BRW7" i="5"/>
  <c r="BRX7" i="5"/>
  <c r="BRY7" i="5"/>
  <c r="BRZ7" i="5"/>
  <c r="BSA7" i="5"/>
  <c r="BSB7" i="5"/>
  <c r="BSC7" i="5"/>
  <c r="BSD7" i="5"/>
  <c r="BSE7" i="5"/>
  <c r="BSF7" i="5"/>
  <c r="BSG7" i="5"/>
  <c r="BSH7" i="5"/>
  <c r="BSI7" i="5"/>
  <c r="BSJ7" i="5"/>
  <c r="BSK7" i="5"/>
  <c r="BSL7" i="5"/>
  <c r="BSM7" i="5"/>
  <c r="BSN7" i="5"/>
  <c r="BSO7" i="5"/>
  <c r="BSP7" i="5"/>
  <c r="BSQ7" i="5"/>
  <c r="BSR7" i="5"/>
  <c r="BSS7" i="5"/>
  <c r="BST7" i="5"/>
  <c r="BSU7" i="5"/>
  <c r="BSV7" i="5"/>
  <c r="BSW7" i="5"/>
  <c r="BSX7" i="5"/>
  <c r="BSY7" i="5"/>
  <c r="BSZ7" i="5"/>
  <c r="BTA7" i="5"/>
  <c r="BTB7" i="5"/>
  <c r="BTC7" i="5"/>
  <c r="BTD7" i="5"/>
  <c r="BTE7" i="5"/>
  <c r="BTF7" i="5"/>
  <c r="BTG7" i="5"/>
  <c r="BTH7" i="5"/>
  <c r="BTI7" i="5"/>
  <c r="BTJ7" i="5"/>
  <c r="BTK7" i="5"/>
  <c r="BTL7" i="5"/>
  <c r="BTM7" i="5"/>
  <c r="BTN7" i="5"/>
  <c r="BTO7" i="5"/>
  <c r="BTP7" i="5"/>
  <c r="BTQ7" i="5"/>
  <c r="BTR7" i="5"/>
  <c r="BTS7" i="5"/>
  <c r="BTT7" i="5"/>
  <c r="BTU7" i="5"/>
  <c r="BTV7" i="5"/>
  <c r="BTW7" i="5"/>
  <c r="BTX7" i="5"/>
  <c r="BTY7" i="5"/>
  <c r="BTZ7" i="5"/>
  <c r="BUA7" i="5"/>
  <c r="BUB7" i="5"/>
  <c r="BUC7" i="5"/>
  <c r="BUD7" i="5"/>
  <c r="BUE7" i="5"/>
  <c r="BUF7" i="5"/>
  <c r="BUG7" i="5"/>
  <c r="BUH7" i="5"/>
  <c r="BUI7" i="5"/>
  <c r="BUJ7" i="5"/>
  <c r="BUK7" i="5"/>
  <c r="BUL7" i="5"/>
  <c r="BUM7" i="5"/>
  <c r="BUN7" i="5"/>
  <c r="BUO7" i="5"/>
  <c r="BUP7" i="5"/>
  <c r="BUQ7" i="5"/>
  <c r="BUR7" i="5"/>
  <c r="BUS7" i="5"/>
  <c r="BUT7" i="5"/>
  <c r="BUU7" i="5"/>
  <c r="BUV7" i="5"/>
  <c r="BUW7" i="5"/>
  <c r="BUX7" i="5"/>
  <c r="BUY7" i="5"/>
  <c r="BUZ7" i="5"/>
  <c r="BVA7" i="5"/>
  <c r="BVB7" i="5"/>
  <c r="BVC7" i="5"/>
  <c r="BVD7" i="5"/>
  <c r="BVE7" i="5"/>
  <c r="BVF7" i="5"/>
  <c r="BVG7" i="5"/>
  <c r="BVH7" i="5"/>
  <c r="BVI7" i="5"/>
  <c r="BVJ7" i="5"/>
  <c r="BVK7" i="5"/>
  <c r="BVL7" i="5"/>
  <c r="BVM7" i="5"/>
  <c r="BVN7" i="5"/>
  <c r="BVO7" i="5"/>
  <c r="BVP7" i="5"/>
  <c r="BVQ7" i="5"/>
  <c r="BVR7" i="5"/>
  <c r="BVS7" i="5"/>
  <c r="BVT7" i="5"/>
  <c r="BVU7" i="5"/>
  <c r="BVV7" i="5"/>
  <c r="BVW7" i="5"/>
  <c r="BVX7" i="5"/>
  <c r="BVY7" i="5"/>
  <c r="BVZ7" i="5"/>
  <c r="BWA7" i="5"/>
  <c r="BWB7" i="5"/>
  <c r="BWC7" i="5"/>
  <c r="BWD7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WN8" i="5"/>
  <c r="WO8" i="5"/>
  <c r="WP8" i="5"/>
  <c r="WQ8" i="5"/>
  <c r="WR8" i="5"/>
  <c r="WS8" i="5"/>
  <c r="WT8" i="5"/>
  <c r="WU8" i="5"/>
  <c r="WV8" i="5"/>
  <c r="WW8" i="5"/>
  <c r="WX8" i="5"/>
  <c r="WY8" i="5"/>
  <c r="WZ8" i="5"/>
  <c r="XA8" i="5"/>
  <c r="XB8" i="5"/>
  <c r="XC8" i="5"/>
  <c r="XD8" i="5"/>
  <c r="XE8" i="5"/>
  <c r="XF8" i="5"/>
  <c r="XG8" i="5"/>
  <c r="XH8" i="5"/>
  <c r="XI8" i="5"/>
  <c r="XJ8" i="5"/>
  <c r="XK8" i="5"/>
  <c r="XL8" i="5"/>
  <c r="XM8" i="5"/>
  <c r="XN8" i="5"/>
  <c r="XO8" i="5"/>
  <c r="XP8" i="5"/>
  <c r="XQ8" i="5"/>
  <c r="XR8" i="5"/>
  <c r="XS8" i="5"/>
  <c r="XT8" i="5"/>
  <c r="XU8" i="5"/>
  <c r="XV8" i="5"/>
  <c r="XW8" i="5"/>
  <c r="XX8" i="5"/>
  <c r="XY8" i="5"/>
  <c r="XZ8" i="5"/>
  <c r="YA8" i="5"/>
  <c r="YB8" i="5"/>
  <c r="YC8" i="5"/>
  <c r="YD8" i="5"/>
  <c r="YE8" i="5"/>
  <c r="YF8" i="5"/>
  <c r="YG8" i="5"/>
  <c r="YH8" i="5"/>
  <c r="YI8" i="5"/>
  <c r="YJ8" i="5"/>
  <c r="YK8" i="5"/>
  <c r="YL8" i="5"/>
  <c r="YM8" i="5"/>
  <c r="YN8" i="5"/>
  <c r="YO8" i="5"/>
  <c r="YP8" i="5"/>
  <c r="YQ8" i="5"/>
  <c r="YR8" i="5"/>
  <c r="YS8" i="5"/>
  <c r="YT8" i="5"/>
  <c r="YU8" i="5"/>
  <c r="YV8" i="5"/>
  <c r="YW8" i="5"/>
  <c r="YX8" i="5"/>
  <c r="YY8" i="5"/>
  <c r="YZ8" i="5"/>
  <c r="ZA8" i="5"/>
  <c r="ZB8" i="5"/>
  <c r="ZC8" i="5"/>
  <c r="ZD8" i="5"/>
  <c r="ZE8" i="5"/>
  <c r="ZF8" i="5"/>
  <c r="ZG8" i="5"/>
  <c r="ZH8" i="5"/>
  <c r="ZI8" i="5"/>
  <c r="ZJ8" i="5"/>
  <c r="ZK8" i="5"/>
  <c r="ZL8" i="5"/>
  <c r="ZM8" i="5"/>
  <c r="ZN8" i="5"/>
  <c r="ZO8" i="5"/>
  <c r="ZP8" i="5"/>
  <c r="ZQ8" i="5"/>
  <c r="ZR8" i="5"/>
  <c r="ZS8" i="5"/>
  <c r="ZT8" i="5"/>
  <c r="ZU8" i="5"/>
  <c r="ZV8" i="5"/>
  <c r="ZW8" i="5"/>
  <c r="ZX8" i="5"/>
  <c r="ZY8" i="5"/>
  <c r="ZZ8" i="5"/>
  <c r="AAA8" i="5"/>
  <c r="AAB8" i="5"/>
  <c r="AAC8" i="5"/>
  <c r="AAD8" i="5"/>
  <c r="AAE8" i="5"/>
  <c r="AAF8" i="5"/>
  <c r="AAG8" i="5"/>
  <c r="AAH8" i="5"/>
  <c r="AAI8" i="5"/>
  <c r="AAJ8" i="5"/>
  <c r="AAK8" i="5"/>
  <c r="AAL8" i="5"/>
  <c r="AAM8" i="5"/>
  <c r="AAN8" i="5"/>
  <c r="AAO8" i="5"/>
  <c r="AAP8" i="5"/>
  <c r="AAQ8" i="5"/>
  <c r="AAR8" i="5"/>
  <c r="AAS8" i="5"/>
  <c r="AAT8" i="5"/>
  <c r="AAU8" i="5"/>
  <c r="AAV8" i="5"/>
  <c r="AAW8" i="5"/>
  <c r="AAX8" i="5"/>
  <c r="AAY8" i="5"/>
  <c r="AAZ8" i="5"/>
  <c r="ABA8" i="5"/>
  <c r="ABB8" i="5"/>
  <c r="ABC8" i="5"/>
  <c r="ABD8" i="5"/>
  <c r="ABE8" i="5"/>
  <c r="ABF8" i="5"/>
  <c r="ABG8" i="5"/>
  <c r="ABH8" i="5"/>
  <c r="ABI8" i="5"/>
  <c r="ABJ8" i="5"/>
  <c r="ABK8" i="5"/>
  <c r="ABL8" i="5"/>
  <c r="ABM8" i="5"/>
  <c r="ABN8" i="5"/>
  <c r="ABO8" i="5"/>
  <c r="ABP8" i="5"/>
  <c r="ABQ8" i="5"/>
  <c r="ABR8" i="5"/>
  <c r="ABS8" i="5"/>
  <c r="ABT8" i="5"/>
  <c r="ABU8" i="5"/>
  <c r="ABV8" i="5"/>
  <c r="ABW8" i="5"/>
  <c r="ABX8" i="5"/>
  <c r="ABY8" i="5"/>
  <c r="ABZ8" i="5"/>
  <c r="ACA8" i="5"/>
  <c r="ACB8" i="5"/>
  <c r="ACC8" i="5"/>
  <c r="ACD8" i="5"/>
  <c r="ACE8" i="5"/>
  <c r="ACF8" i="5"/>
  <c r="ACG8" i="5"/>
  <c r="ACH8" i="5"/>
  <c r="ACI8" i="5"/>
  <c r="ACJ8" i="5"/>
  <c r="ACK8" i="5"/>
  <c r="ACL8" i="5"/>
  <c r="ACM8" i="5"/>
  <c r="ACN8" i="5"/>
  <c r="ACO8" i="5"/>
  <c r="ACP8" i="5"/>
  <c r="ACQ8" i="5"/>
  <c r="ACR8" i="5"/>
  <c r="ACS8" i="5"/>
  <c r="ACT8" i="5"/>
  <c r="ACU8" i="5"/>
  <c r="ACV8" i="5"/>
  <c r="ACW8" i="5"/>
  <c r="ACX8" i="5"/>
  <c r="ACY8" i="5"/>
  <c r="ACZ8" i="5"/>
  <c r="ADA8" i="5"/>
  <c r="ADB8" i="5"/>
  <c r="ADC8" i="5"/>
  <c r="ADD8" i="5"/>
  <c r="ADE8" i="5"/>
  <c r="ADF8" i="5"/>
  <c r="ADG8" i="5"/>
  <c r="ADH8" i="5"/>
  <c r="ADI8" i="5"/>
  <c r="ADJ8" i="5"/>
  <c r="ADK8" i="5"/>
  <c r="ADL8" i="5"/>
  <c r="ADM8" i="5"/>
  <c r="ADN8" i="5"/>
  <c r="ADO8" i="5"/>
  <c r="ADP8" i="5"/>
  <c r="ADQ8" i="5"/>
  <c r="ADR8" i="5"/>
  <c r="ADS8" i="5"/>
  <c r="ADT8" i="5"/>
  <c r="ADU8" i="5"/>
  <c r="ADV8" i="5"/>
  <c r="ADW8" i="5"/>
  <c r="ADX8" i="5"/>
  <c r="ADY8" i="5"/>
  <c r="ADZ8" i="5"/>
  <c r="AEA8" i="5"/>
  <c r="AEB8" i="5"/>
  <c r="AEC8" i="5"/>
  <c r="AED8" i="5"/>
  <c r="AEE8" i="5"/>
  <c r="AEF8" i="5"/>
  <c r="AEG8" i="5"/>
  <c r="AEH8" i="5"/>
  <c r="AEI8" i="5"/>
  <c r="AEJ8" i="5"/>
  <c r="AEK8" i="5"/>
  <c r="AEL8" i="5"/>
  <c r="AEM8" i="5"/>
  <c r="AEN8" i="5"/>
  <c r="AEO8" i="5"/>
  <c r="AEP8" i="5"/>
  <c r="AEQ8" i="5"/>
  <c r="AER8" i="5"/>
  <c r="AES8" i="5"/>
  <c r="AET8" i="5"/>
  <c r="AEU8" i="5"/>
  <c r="AEV8" i="5"/>
  <c r="AEW8" i="5"/>
  <c r="AEX8" i="5"/>
  <c r="AEY8" i="5"/>
  <c r="AEZ8" i="5"/>
  <c r="AFA8" i="5"/>
  <c r="AFB8" i="5"/>
  <c r="AFC8" i="5"/>
  <c r="AFD8" i="5"/>
  <c r="AFE8" i="5"/>
  <c r="AFF8" i="5"/>
  <c r="AFG8" i="5"/>
  <c r="AFH8" i="5"/>
  <c r="AFI8" i="5"/>
  <c r="AFJ8" i="5"/>
  <c r="AFK8" i="5"/>
  <c r="AFL8" i="5"/>
  <c r="AFM8" i="5"/>
  <c r="AFN8" i="5"/>
  <c r="AFO8" i="5"/>
  <c r="AFP8" i="5"/>
  <c r="AFQ8" i="5"/>
  <c r="AFR8" i="5"/>
  <c r="AFS8" i="5"/>
  <c r="AFT8" i="5"/>
  <c r="AFU8" i="5"/>
  <c r="AFV8" i="5"/>
  <c r="AFW8" i="5"/>
  <c r="AFX8" i="5"/>
  <c r="AFY8" i="5"/>
  <c r="AFZ8" i="5"/>
  <c r="AGA8" i="5"/>
  <c r="AGB8" i="5"/>
  <c r="AGC8" i="5"/>
  <c r="AGD8" i="5"/>
  <c r="AGE8" i="5"/>
  <c r="AGF8" i="5"/>
  <c r="AGG8" i="5"/>
  <c r="AGH8" i="5"/>
  <c r="AGI8" i="5"/>
  <c r="AGJ8" i="5"/>
  <c r="AGK8" i="5"/>
  <c r="AGL8" i="5"/>
  <c r="AGM8" i="5"/>
  <c r="AGN8" i="5"/>
  <c r="AGO8" i="5"/>
  <c r="AGP8" i="5"/>
  <c r="AGQ8" i="5"/>
  <c r="AGR8" i="5"/>
  <c r="AGS8" i="5"/>
  <c r="AGT8" i="5"/>
  <c r="AGU8" i="5"/>
  <c r="AGV8" i="5"/>
  <c r="AGW8" i="5"/>
  <c r="AGX8" i="5"/>
  <c r="AGY8" i="5"/>
  <c r="AGZ8" i="5"/>
  <c r="AHA8" i="5"/>
  <c r="AHB8" i="5"/>
  <c r="AHC8" i="5"/>
  <c r="AHD8" i="5"/>
  <c r="AHE8" i="5"/>
  <c r="AHF8" i="5"/>
  <c r="AHG8" i="5"/>
  <c r="AHH8" i="5"/>
  <c r="AHI8" i="5"/>
  <c r="AHJ8" i="5"/>
  <c r="AHK8" i="5"/>
  <c r="AHL8" i="5"/>
  <c r="AHM8" i="5"/>
  <c r="AHN8" i="5"/>
  <c r="AHO8" i="5"/>
  <c r="AHP8" i="5"/>
  <c r="AHQ8" i="5"/>
  <c r="AHR8" i="5"/>
  <c r="AHS8" i="5"/>
  <c r="AHT8" i="5"/>
  <c r="AHU8" i="5"/>
  <c r="AHV8" i="5"/>
  <c r="AHW8" i="5"/>
  <c r="AHX8" i="5"/>
  <c r="AHY8" i="5"/>
  <c r="AHZ8" i="5"/>
  <c r="AIA8" i="5"/>
  <c r="AIB8" i="5"/>
  <c r="AIC8" i="5"/>
  <c r="AID8" i="5"/>
  <c r="AIE8" i="5"/>
  <c r="AIF8" i="5"/>
  <c r="AIG8" i="5"/>
  <c r="AIH8" i="5"/>
  <c r="AII8" i="5"/>
  <c r="AIJ8" i="5"/>
  <c r="AIK8" i="5"/>
  <c r="AIL8" i="5"/>
  <c r="AIM8" i="5"/>
  <c r="AIN8" i="5"/>
  <c r="AIO8" i="5"/>
  <c r="AIP8" i="5"/>
  <c r="AIQ8" i="5"/>
  <c r="AIR8" i="5"/>
  <c r="AIS8" i="5"/>
  <c r="AIT8" i="5"/>
  <c r="AIU8" i="5"/>
  <c r="AIV8" i="5"/>
  <c r="AIW8" i="5"/>
  <c r="AIX8" i="5"/>
  <c r="AIY8" i="5"/>
  <c r="AIZ8" i="5"/>
  <c r="AJA8" i="5"/>
  <c r="AJB8" i="5"/>
  <c r="AJC8" i="5"/>
  <c r="AJD8" i="5"/>
  <c r="AJE8" i="5"/>
  <c r="AJF8" i="5"/>
  <c r="AJG8" i="5"/>
  <c r="AJH8" i="5"/>
  <c r="AJI8" i="5"/>
  <c r="AJJ8" i="5"/>
  <c r="AJK8" i="5"/>
  <c r="AJL8" i="5"/>
  <c r="AJM8" i="5"/>
  <c r="AJN8" i="5"/>
  <c r="AJO8" i="5"/>
  <c r="AJP8" i="5"/>
  <c r="AJQ8" i="5"/>
  <c r="AJR8" i="5"/>
  <c r="AJS8" i="5"/>
  <c r="AJT8" i="5"/>
  <c r="AJU8" i="5"/>
  <c r="AJV8" i="5"/>
  <c r="AJW8" i="5"/>
  <c r="AJX8" i="5"/>
  <c r="AJY8" i="5"/>
  <c r="AJZ8" i="5"/>
  <c r="AKA8" i="5"/>
  <c r="AKB8" i="5"/>
  <c r="AKC8" i="5"/>
  <c r="AKD8" i="5"/>
  <c r="AKE8" i="5"/>
  <c r="AKF8" i="5"/>
  <c r="AKG8" i="5"/>
  <c r="AKH8" i="5"/>
  <c r="AKI8" i="5"/>
  <c r="AKJ8" i="5"/>
  <c r="AKK8" i="5"/>
  <c r="AKL8" i="5"/>
  <c r="AKM8" i="5"/>
  <c r="AKN8" i="5"/>
  <c r="AKO8" i="5"/>
  <c r="AKP8" i="5"/>
  <c r="AKQ8" i="5"/>
  <c r="AKR8" i="5"/>
  <c r="AKS8" i="5"/>
  <c r="AKT8" i="5"/>
  <c r="AKU8" i="5"/>
  <c r="AKV8" i="5"/>
  <c r="AKW8" i="5"/>
  <c r="AKX8" i="5"/>
  <c r="AKY8" i="5"/>
  <c r="AKZ8" i="5"/>
  <c r="ALA8" i="5"/>
  <c r="ALB8" i="5"/>
  <c r="ALC8" i="5"/>
  <c r="ALD8" i="5"/>
  <c r="ALE8" i="5"/>
  <c r="ALF8" i="5"/>
  <c r="ALG8" i="5"/>
  <c r="ALH8" i="5"/>
  <c r="ALI8" i="5"/>
  <c r="ALJ8" i="5"/>
  <c r="ALK8" i="5"/>
  <c r="ALL8" i="5"/>
  <c r="ALM8" i="5"/>
  <c r="ALN8" i="5"/>
  <c r="ALO8" i="5"/>
  <c r="ALP8" i="5"/>
  <c r="ALQ8" i="5"/>
  <c r="ALR8" i="5"/>
  <c r="ALS8" i="5"/>
  <c r="ALT8" i="5"/>
  <c r="ALU8" i="5"/>
  <c r="ALV8" i="5"/>
  <c r="ALW8" i="5"/>
  <c r="ALX8" i="5"/>
  <c r="ALY8" i="5"/>
  <c r="ALZ8" i="5"/>
  <c r="AMA8" i="5"/>
  <c r="AMB8" i="5"/>
  <c r="AMC8" i="5"/>
  <c r="AMD8" i="5"/>
  <c r="AME8" i="5"/>
  <c r="AMF8" i="5"/>
  <c r="AMG8" i="5"/>
  <c r="AMH8" i="5"/>
  <c r="AMI8" i="5"/>
  <c r="AMJ8" i="5"/>
  <c r="AMK8" i="5"/>
  <c r="AML8" i="5"/>
  <c r="AMM8" i="5"/>
  <c r="AMN8" i="5"/>
  <c r="AMO8" i="5"/>
  <c r="AMP8" i="5"/>
  <c r="AMQ8" i="5"/>
  <c r="AMR8" i="5"/>
  <c r="AMS8" i="5"/>
  <c r="AMT8" i="5"/>
  <c r="AMU8" i="5"/>
  <c r="AMV8" i="5"/>
  <c r="AMW8" i="5"/>
  <c r="AMX8" i="5"/>
  <c r="AMY8" i="5"/>
  <c r="AMZ8" i="5"/>
  <c r="ANA8" i="5"/>
  <c r="ANB8" i="5"/>
  <c r="ANC8" i="5"/>
  <c r="AND8" i="5"/>
  <c r="ANE8" i="5"/>
  <c r="ANF8" i="5"/>
  <c r="ANG8" i="5"/>
  <c r="ANH8" i="5"/>
  <c r="ANI8" i="5"/>
  <c r="ANJ8" i="5"/>
  <c r="ANK8" i="5"/>
  <c r="ANL8" i="5"/>
  <c r="ANM8" i="5"/>
  <c r="ANN8" i="5"/>
  <c r="ANO8" i="5"/>
  <c r="ANP8" i="5"/>
  <c r="ANQ8" i="5"/>
  <c r="ANR8" i="5"/>
  <c r="ANS8" i="5"/>
  <c r="ANT8" i="5"/>
  <c r="ANU8" i="5"/>
  <c r="ANV8" i="5"/>
  <c r="ANW8" i="5"/>
  <c r="ANX8" i="5"/>
  <c r="ANY8" i="5"/>
  <c r="ANZ8" i="5"/>
  <c r="AOA8" i="5"/>
  <c r="AOB8" i="5"/>
  <c r="AOC8" i="5"/>
  <c r="AOD8" i="5"/>
  <c r="AOE8" i="5"/>
  <c r="AOF8" i="5"/>
  <c r="AOG8" i="5"/>
  <c r="AOH8" i="5"/>
  <c r="AOI8" i="5"/>
  <c r="AOJ8" i="5"/>
  <c r="AOK8" i="5"/>
  <c r="AOL8" i="5"/>
  <c r="AOM8" i="5"/>
  <c r="AON8" i="5"/>
  <c r="AOO8" i="5"/>
  <c r="AOP8" i="5"/>
  <c r="AOQ8" i="5"/>
  <c r="AOR8" i="5"/>
  <c r="AOS8" i="5"/>
  <c r="AOT8" i="5"/>
  <c r="AOU8" i="5"/>
  <c r="AOV8" i="5"/>
  <c r="AOW8" i="5"/>
  <c r="AOX8" i="5"/>
  <c r="AOY8" i="5"/>
  <c r="AOZ8" i="5"/>
  <c r="APA8" i="5"/>
  <c r="APB8" i="5"/>
  <c r="APC8" i="5"/>
  <c r="APD8" i="5"/>
  <c r="APE8" i="5"/>
  <c r="APF8" i="5"/>
  <c r="APG8" i="5"/>
  <c r="APH8" i="5"/>
  <c r="API8" i="5"/>
  <c r="APJ8" i="5"/>
  <c r="APK8" i="5"/>
  <c r="APL8" i="5"/>
  <c r="APM8" i="5"/>
  <c r="APN8" i="5"/>
  <c r="APO8" i="5"/>
  <c r="APP8" i="5"/>
  <c r="APQ8" i="5"/>
  <c r="APR8" i="5"/>
  <c r="APS8" i="5"/>
  <c r="APT8" i="5"/>
  <c r="APU8" i="5"/>
  <c r="APV8" i="5"/>
  <c r="APW8" i="5"/>
  <c r="APX8" i="5"/>
  <c r="APY8" i="5"/>
  <c r="APZ8" i="5"/>
  <c r="AQA8" i="5"/>
  <c r="AQB8" i="5"/>
  <c r="AQC8" i="5"/>
  <c r="AQD8" i="5"/>
  <c r="AQE8" i="5"/>
  <c r="AQF8" i="5"/>
  <c r="AQG8" i="5"/>
  <c r="AQH8" i="5"/>
  <c r="AQI8" i="5"/>
  <c r="AQJ8" i="5"/>
  <c r="AQK8" i="5"/>
  <c r="AQL8" i="5"/>
  <c r="AQM8" i="5"/>
  <c r="AQN8" i="5"/>
  <c r="AQO8" i="5"/>
  <c r="AQP8" i="5"/>
  <c r="AQQ8" i="5"/>
  <c r="AQR8" i="5"/>
  <c r="AQS8" i="5"/>
  <c r="AQT8" i="5"/>
  <c r="AQU8" i="5"/>
  <c r="AQV8" i="5"/>
  <c r="AQW8" i="5"/>
  <c r="AQX8" i="5"/>
  <c r="AQY8" i="5"/>
  <c r="AQZ8" i="5"/>
  <c r="ARA8" i="5"/>
  <c r="ARB8" i="5"/>
  <c r="ARC8" i="5"/>
  <c r="ARD8" i="5"/>
  <c r="ARE8" i="5"/>
  <c r="ARF8" i="5"/>
  <c r="ARG8" i="5"/>
  <c r="ARH8" i="5"/>
  <c r="ARI8" i="5"/>
  <c r="ARJ8" i="5"/>
  <c r="ARK8" i="5"/>
  <c r="ARL8" i="5"/>
  <c r="ARM8" i="5"/>
  <c r="ARN8" i="5"/>
  <c r="ARO8" i="5"/>
  <c r="ARP8" i="5"/>
  <c r="ARQ8" i="5"/>
  <c r="ARR8" i="5"/>
  <c r="ARS8" i="5"/>
  <c r="ART8" i="5"/>
  <c r="ARU8" i="5"/>
  <c r="ARV8" i="5"/>
  <c r="ARW8" i="5"/>
  <c r="ARX8" i="5"/>
  <c r="ARY8" i="5"/>
  <c r="ARZ8" i="5"/>
  <c r="ASA8" i="5"/>
  <c r="ASB8" i="5"/>
  <c r="ASC8" i="5"/>
  <c r="ASD8" i="5"/>
  <c r="ASE8" i="5"/>
  <c r="ASF8" i="5"/>
  <c r="ASG8" i="5"/>
  <c r="ASH8" i="5"/>
  <c r="ASI8" i="5"/>
  <c r="ASJ8" i="5"/>
  <c r="ASK8" i="5"/>
  <c r="ASL8" i="5"/>
  <c r="ASM8" i="5"/>
  <c r="ASN8" i="5"/>
  <c r="ASO8" i="5"/>
  <c r="ASP8" i="5"/>
  <c r="ASQ8" i="5"/>
  <c r="ASR8" i="5"/>
  <c r="ASS8" i="5"/>
  <c r="AST8" i="5"/>
  <c r="ASU8" i="5"/>
  <c r="ASV8" i="5"/>
  <c r="ASW8" i="5"/>
  <c r="ASX8" i="5"/>
  <c r="ASY8" i="5"/>
  <c r="ASZ8" i="5"/>
  <c r="ATA8" i="5"/>
  <c r="ATB8" i="5"/>
  <c r="ATC8" i="5"/>
  <c r="ATD8" i="5"/>
  <c r="ATE8" i="5"/>
  <c r="ATF8" i="5"/>
  <c r="ATG8" i="5"/>
  <c r="ATH8" i="5"/>
  <c r="ATI8" i="5"/>
  <c r="ATJ8" i="5"/>
  <c r="ATK8" i="5"/>
  <c r="ATL8" i="5"/>
  <c r="ATM8" i="5"/>
  <c r="ATN8" i="5"/>
  <c r="ATO8" i="5"/>
  <c r="ATP8" i="5"/>
  <c r="ATQ8" i="5"/>
  <c r="ATR8" i="5"/>
  <c r="ATS8" i="5"/>
  <c r="ATT8" i="5"/>
  <c r="ATU8" i="5"/>
  <c r="ATV8" i="5"/>
  <c r="ATW8" i="5"/>
  <c r="ATX8" i="5"/>
  <c r="ATY8" i="5"/>
  <c r="ATZ8" i="5"/>
  <c r="AUA8" i="5"/>
  <c r="AUB8" i="5"/>
  <c r="AUC8" i="5"/>
  <c r="AUD8" i="5"/>
  <c r="AUE8" i="5"/>
  <c r="AUF8" i="5"/>
  <c r="AUG8" i="5"/>
  <c r="AUH8" i="5"/>
  <c r="AUI8" i="5"/>
  <c r="AUJ8" i="5"/>
  <c r="AUK8" i="5"/>
  <c r="AUL8" i="5"/>
  <c r="AUM8" i="5"/>
  <c r="AUN8" i="5"/>
  <c r="AUO8" i="5"/>
  <c r="AUP8" i="5"/>
  <c r="AUQ8" i="5"/>
  <c r="AUR8" i="5"/>
  <c r="AUS8" i="5"/>
  <c r="AUT8" i="5"/>
  <c r="AUU8" i="5"/>
  <c r="AUV8" i="5"/>
  <c r="AUW8" i="5"/>
  <c r="AUX8" i="5"/>
  <c r="AUY8" i="5"/>
  <c r="AUZ8" i="5"/>
  <c r="AVA8" i="5"/>
  <c r="AVB8" i="5"/>
  <c r="AVC8" i="5"/>
  <c r="AVD8" i="5"/>
  <c r="AVE8" i="5"/>
  <c r="AVF8" i="5"/>
  <c r="AVG8" i="5"/>
  <c r="AVH8" i="5"/>
  <c r="AVI8" i="5"/>
  <c r="AVJ8" i="5"/>
  <c r="AVK8" i="5"/>
  <c r="AVL8" i="5"/>
  <c r="AVM8" i="5"/>
  <c r="AVN8" i="5"/>
  <c r="AVO8" i="5"/>
  <c r="AVP8" i="5"/>
  <c r="AVQ8" i="5"/>
  <c r="AVR8" i="5"/>
  <c r="AVS8" i="5"/>
  <c r="AVT8" i="5"/>
  <c r="AVU8" i="5"/>
  <c r="AVV8" i="5"/>
  <c r="AVW8" i="5"/>
  <c r="AVX8" i="5"/>
  <c r="AVY8" i="5"/>
  <c r="AVZ8" i="5"/>
  <c r="AWA8" i="5"/>
  <c r="AWB8" i="5"/>
  <c r="AWC8" i="5"/>
  <c r="AWD8" i="5"/>
  <c r="AWE8" i="5"/>
  <c r="AWF8" i="5"/>
  <c r="AWG8" i="5"/>
  <c r="AWH8" i="5"/>
  <c r="AWI8" i="5"/>
  <c r="AWJ8" i="5"/>
  <c r="AWK8" i="5"/>
  <c r="AWL8" i="5"/>
  <c r="AWM8" i="5"/>
  <c r="AWN8" i="5"/>
  <c r="AWO8" i="5"/>
  <c r="AWP8" i="5"/>
  <c r="AWQ8" i="5"/>
  <c r="AWR8" i="5"/>
  <c r="AWS8" i="5"/>
  <c r="AWT8" i="5"/>
  <c r="AWU8" i="5"/>
  <c r="AWV8" i="5"/>
  <c r="AWW8" i="5"/>
  <c r="AWX8" i="5"/>
  <c r="AWY8" i="5"/>
  <c r="AWZ8" i="5"/>
  <c r="AXA8" i="5"/>
  <c r="AXB8" i="5"/>
  <c r="AXC8" i="5"/>
  <c r="AXD8" i="5"/>
  <c r="AXE8" i="5"/>
  <c r="AXF8" i="5"/>
  <c r="AXG8" i="5"/>
  <c r="AXH8" i="5"/>
  <c r="AXI8" i="5"/>
  <c r="AXJ8" i="5"/>
  <c r="AXK8" i="5"/>
  <c r="AXL8" i="5"/>
  <c r="AXM8" i="5"/>
  <c r="AXN8" i="5"/>
  <c r="AXO8" i="5"/>
  <c r="AXP8" i="5"/>
  <c r="AXQ8" i="5"/>
  <c r="AXR8" i="5"/>
  <c r="AXS8" i="5"/>
  <c r="AXT8" i="5"/>
  <c r="AXU8" i="5"/>
  <c r="AXV8" i="5"/>
  <c r="AXW8" i="5"/>
  <c r="AXX8" i="5"/>
  <c r="AXY8" i="5"/>
  <c r="AXZ8" i="5"/>
  <c r="AYA8" i="5"/>
  <c r="AYB8" i="5"/>
  <c r="AYC8" i="5"/>
  <c r="AYD8" i="5"/>
  <c r="AYE8" i="5"/>
  <c r="AYF8" i="5"/>
  <c r="AYG8" i="5"/>
  <c r="AYH8" i="5"/>
  <c r="AYI8" i="5"/>
  <c r="AYJ8" i="5"/>
  <c r="AYK8" i="5"/>
  <c r="AYL8" i="5"/>
  <c r="AYM8" i="5"/>
  <c r="AYN8" i="5"/>
  <c r="AYO8" i="5"/>
  <c r="AYP8" i="5"/>
  <c r="AYQ8" i="5"/>
  <c r="AYR8" i="5"/>
  <c r="AYS8" i="5"/>
  <c r="AYT8" i="5"/>
  <c r="AYU8" i="5"/>
  <c r="AYV8" i="5"/>
  <c r="AYW8" i="5"/>
  <c r="AYX8" i="5"/>
  <c r="AYY8" i="5"/>
  <c r="AYZ8" i="5"/>
  <c r="AZA8" i="5"/>
  <c r="AZB8" i="5"/>
  <c r="AZC8" i="5"/>
  <c r="AZD8" i="5"/>
  <c r="AZE8" i="5"/>
  <c r="AZF8" i="5"/>
  <c r="AZG8" i="5"/>
  <c r="AZH8" i="5"/>
  <c r="AZI8" i="5"/>
  <c r="AZJ8" i="5"/>
  <c r="AZK8" i="5"/>
  <c r="AZL8" i="5"/>
  <c r="AZM8" i="5"/>
  <c r="AZN8" i="5"/>
  <c r="AZO8" i="5"/>
  <c r="AZP8" i="5"/>
  <c r="AZQ8" i="5"/>
  <c r="AZR8" i="5"/>
  <c r="AZS8" i="5"/>
  <c r="AZT8" i="5"/>
  <c r="AZU8" i="5"/>
  <c r="AZV8" i="5"/>
  <c r="AZW8" i="5"/>
  <c r="AZX8" i="5"/>
  <c r="AZY8" i="5"/>
  <c r="AZZ8" i="5"/>
  <c r="BAA8" i="5"/>
  <c r="BAB8" i="5"/>
  <c r="BAC8" i="5"/>
  <c r="BAD8" i="5"/>
  <c r="BAE8" i="5"/>
  <c r="BAF8" i="5"/>
  <c r="BAG8" i="5"/>
  <c r="BAH8" i="5"/>
  <c r="BAI8" i="5"/>
  <c r="BAJ8" i="5"/>
  <c r="BAK8" i="5"/>
  <c r="BAL8" i="5"/>
  <c r="BAM8" i="5"/>
  <c r="BAN8" i="5"/>
  <c r="BAO8" i="5"/>
  <c r="BAP8" i="5"/>
  <c r="BAQ8" i="5"/>
  <c r="BAR8" i="5"/>
  <c r="BAS8" i="5"/>
  <c r="BAT8" i="5"/>
  <c r="BAU8" i="5"/>
  <c r="BAV8" i="5"/>
  <c r="BAW8" i="5"/>
  <c r="BAX8" i="5"/>
  <c r="BAY8" i="5"/>
  <c r="BAZ8" i="5"/>
  <c r="BBA8" i="5"/>
  <c r="BBB8" i="5"/>
  <c r="BBC8" i="5"/>
  <c r="BBD8" i="5"/>
  <c r="BBE8" i="5"/>
  <c r="BBF8" i="5"/>
  <c r="BBG8" i="5"/>
  <c r="BBH8" i="5"/>
  <c r="BBI8" i="5"/>
  <c r="BBJ8" i="5"/>
  <c r="BBK8" i="5"/>
  <c r="BBL8" i="5"/>
  <c r="BBM8" i="5"/>
  <c r="BBN8" i="5"/>
  <c r="BBO8" i="5"/>
  <c r="BBP8" i="5"/>
  <c r="BBQ8" i="5"/>
  <c r="BBR8" i="5"/>
  <c r="BBS8" i="5"/>
  <c r="BBT8" i="5"/>
  <c r="BBU8" i="5"/>
  <c r="BBV8" i="5"/>
  <c r="BBW8" i="5"/>
  <c r="BBX8" i="5"/>
  <c r="BBY8" i="5"/>
  <c r="BBZ8" i="5"/>
  <c r="BCA8" i="5"/>
  <c r="BCB8" i="5"/>
  <c r="BCC8" i="5"/>
  <c r="BCD8" i="5"/>
  <c r="BCE8" i="5"/>
  <c r="BCF8" i="5"/>
  <c r="BCG8" i="5"/>
  <c r="BCH8" i="5"/>
  <c r="BCI8" i="5"/>
  <c r="BCJ8" i="5"/>
  <c r="BCK8" i="5"/>
  <c r="BCL8" i="5"/>
  <c r="BCM8" i="5"/>
  <c r="BCN8" i="5"/>
  <c r="BCO8" i="5"/>
  <c r="BCP8" i="5"/>
  <c r="BCQ8" i="5"/>
  <c r="BCR8" i="5"/>
  <c r="BCS8" i="5"/>
  <c r="BCT8" i="5"/>
  <c r="BCU8" i="5"/>
  <c r="BCV8" i="5"/>
  <c r="BCW8" i="5"/>
  <c r="BCX8" i="5"/>
  <c r="BCY8" i="5"/>
  <c r="BCZ8" i="5"/>
  <c r="BDA8" i="5"/>
  <c r="BDB8" i="5"/>
  <c r="BDC8" i="5"/>
  <c r="BDD8" i="5"/>
  <c r="BDE8" i="5"/>
  <c r="BDF8" i="5"/>
  <c r="BDG8" i="5"/>
  <c r="BDH8" i="5"/>
  <c r="BDI8" i="5"/>
  <c r="BDJ8" i="5"/>
  <c r="BDK8" i="5"/>
  <c r="BDL8" i="5"/>
  <c r="BDM8" i="5"/>
  <c r="BDN8" i="5"/>
  <c r="BDO8" i="5"/>
  <c r="BDP8" i="5"/>
  <c r="BDQ8" i="5"/>
  <c r="BDR8" i="5"/>
  <c r="BDS8" i="5"/>
  <c r="BDT8" i="5"/>
  <c r="BDU8" i="5"/>
  <c r="BDV8" i="5"/>
  <c r="BDW8" i="5"/>
  <c r="BDX8" i="5"/>
  <c r="BDY8" i="5"/>
  <c r="BDZ8" i="5"/>
  <c r="BEA8" i="5"/>
  <c r="BEB8" i="5"/>
  <c r="BEC8" i="5"/>
  <c r="BED8" i="5"/>
  <c r="BEE8" i="5"/>
  <c r="BEF8" i="5"/>
  <c r="BEG8" i="5"/>
  <c r="BEH8" i="5"/>
  <c r="BEI8" i="5"/>
  <c r="BEJ8" i="5"/>
  <c r="BEK8" i="5"/>
  <c r="BEL8" i="5"/>
  <c r="BEM8" i="5"/>
  <c r="BEN8" i="5"/>
  <c r="BEO8" i="5"/>
  <c r="BEP8" i="5"/>
  <c r="BEQ8" i="5"/>
  <c r="BER8" i="5"/>
  <c r="BES8" i="5"/>
  <c r="BET8" i="5"/>
  <c r="BEU8" i="5"/>
  <c r="BEV8" i="5"/>
  <c r="BEW8" i="5"/>
  <c r="BEX8" i="5"/>
  <c r="BEY8" i="5"/>
  <c r="BEZ8" i="5"/>
  <c r="BFA8" i="5"/>
  <c r="BFB8" i="5"/>
  <c r="BFC8" i="5"/>
  <c r="BFD8" i="5"/>
  <c r="BFE8" i="5"/>
  <c r="BFF8" i="5"/>
  <c r="BFG8" i="5"/>
  <c r="BFH8" i="5"/>
  <c r="BFI8" i="5"/>
  <c r="BFJ8" i="5"/>
  <c r="BFK8" i="5"/>
  <c r="BFL8" i="5"/>
  <c r="BFM8" i="5"/>
  <c r="BFN8" i="5"/>
  <c r="BFO8" i="5"/>
  <c r="BFP8" i="5"/>
  <c r="BFQ8" i="5"/>
  <c r="BFR8" i="5"/>
  <c r="BFS8" i="5"/>
  <c r="BFT8" i="5"/>
  <c r="BFU8" i="5"/>
  <c r="BFV8" i="5"/>
  <c r="BFW8" i="5"/>
  <c r="BFX8" i="5"/>
  <c r="BFY8" i="5"/>
  <c r="BFZ8" i="5"/>
  <c r="BGA8" i="5"/>
  <c r="BGB8" i="5"/>
  <c r="BGC8" i="5"/>
  <c r="BGD8" i="5"/>
  <c r="BGE8" i="5"/>
  <c r="BGF8" i="5"/>
  <c r="BGG8" i="5"/>
  <c r="BGH8" i="5"/>
  <c r="BGI8" i="5"/>
  <c r="BGJ8" i="5"/>
  <c r="BGK8" i="5"/>
  <c r="BGL8" i="5"/>
  <c r="BGM8" i="5"/>
  <c r="BGN8" i="5"/>
  <c r="BGO8" i="5"/>
  <c r="BGP8" i="5"/>
  <c r="BGQ8" i="5"/>
  <c r="BGR8" i="5"/>
  <c r="BGS8" i="5"/>
  <c r="BGT8" i="5"/>
  <c r="BGU8" i="5"/>
  <c r="BGV8" i="5"/>
  <c r="BGW8" i="5"/>
  <c r="BGX8" i="5"/>
  <c r="BGY8" i="5"/>
  <c r="BGZ8" i="5"/>
  <c r="BHA8" i="5"/>
  <c r="BHB8" i="5"/>
  <c r="BHC8" i="5"/>
  <c r="BHD8" i="5"/>
  <c r="BHE8" i="5"/>
  <c r="BHF8" i="5"/>
  <c r="BHG8" i="5"/>
  <c r="BHH8" i="5"/>
  <c r="BHI8" i="5"/>
  <c r="BHJ8" i="5"/>
  <c r="BHK8" i="5"/>
  <c r="BHL8" i="5"/>
  <c r="BHM8" i="5"/>
  <c r="BHN8" i="5"/>
  <c r="BHO8" i="5"/>
  <c r="BHP8" i="5"/>
  <c r="BHQ8" i="5"/>
  <c r="BHR8" i="5"/>
  <c r="BHS8" i="5"/>
  <c r="BHT8" i="5"/>
  <c r="BHU8" i="5"/>
  <c r="BHV8" i="5"/>
  <c r="BHW8" i="5"/>
  <c r="BHX8" i="5"/>
  <c r="BHY8" i="5"/>
  <c r="BHZ8" i="5"/>
  <c r="BIA8" i="5"/>
  <c r="BIB8" i="5"/>
  <c r="BIC8" i="5"/>
  <c r="BID8" i="5"/>
  <c r="BIE8" i="5"/>
  <c r="BIF8" i="5"/>
  <c r="BIG8" i="5"/>
  <c r="BIH8" i="5"/>
  <c r="BII8" i="5"/>
  <c r="BIJ8" i="5"/>
  <c r="BIK8" i="5"/>
  <c r="BIL8" i="5"/>
  <c r="BIM8" i="5"/>
  <c r="BIN8" i="5"/>
  <c r="BIO8" i="5"/>
  <c r="BIP8" i="5"/>
  <c r="BIQ8" i="5"/>
  <c r="BIR8" i="5"/>
  <c r="BIS8" i="5"/>
  <c r="BIT8" i="5"/>
  <c r="BIU8" i="5"/>
  <c r="BIV8" i="5"/>
  <c r="BIW8" i="5"/>
  <c r="BIX8" i="5"/>
  <c r="BIY8" i="5"/>
  <c r="BIZ8" i="5"/>
  <c r="BJA8" i="5"/>
  <c r="BJB8" i="5"/>
  <c r="BJC8" i="5"/>
  <c r="BJD8" i="5"/>
  <c r="BJE8" i="5"/>
  <c r="BJF8" i="5"/>
  <c r="BJG8" i="5"/>
  <c r="BJH8" i="5"/>
  <c r="BJI8" i="5"/>
  <c r="BJJ8" i="5"/>
  <c r="BJK8" i="5"/>
  <c r="BJL8" i="5"/>
  <c r="BJM8" i="5"/>
  <c r="BJN8" i="5"/>
  <c r="BJO8" i="5"/>
  <c r="BJP8" i="5"/>
  <c r="BJQ8" i="5"/>
  <c r="BJR8" i="5"/>
  <c r="BJS8" i="5"/>
  <c r="BJT8" i="5"/>
  <c r="BJU8" i="5"/>
  <c r="BJV8" i="5"/>
  <c r="BJW8" i="5"/>
  <c r="BJX8" i="5"/>
  <c r="BJY8" i="5"/>
  <c r="BJZ8" i="5"/>
  <c r="BKA8" i="5"/>
  <c r="BKB8" i="5"/>
  <c r="BKC8" i="5"/>
  <c r="BKD8" i="5"/>
  <c r="BKE8" i="5"/>
  <c r="BKF8" i="5"/>
  <c r="BKG8" i="5"/>
  <c r="BKH8" i="5"/>
  <c r="BKI8" i="5"/>
  <c r="BKJ8" i="5"/>
  <c r="BKK8" i="5"/>
  <c r="BKL8" i="5"/>
  <c r="BKM8" i="5"/>
  <c r="BKN8" i="5"/>
  <c r="BKO8" i="5"/>
  <c r="BKP8" i="5"/>
  <c r="BKQ8" i="5"/>
  <c r="BKR8" i="5"/>
  <c r="BKS8" i="5"/>
  <c r="BKT8" i="5"/>
  <c r="BKU8" i="5"/>
  <c r="BKV8" i="5"/>
  <c r="BKW8" i="5"/>
  <c r="BKX8" i="5"/>
  <c r="BKY8" i="5"/>
  <c r="BKZ8" i="5"/>
  <c r="BLA8" i="5"/>
  <c r="BLB8" i="5"/>
  <c r="BLC8" i="5"/>
  <c r="BLD8" i="5"/>
  <c r="BLE8" i="5"/>
  <c r="BLF8" i="5"/>
  <c r="BLG8" i="5"/>
  <c r="BLH8" i="5"/>
  <c r="BLI8" i="5"/>
  <c r="BLJ8" i="5"/>
  <c r="BLK8" i="5"/>
  <c r="BLL8" i="5"/>
  <c r="BLM8" i="5"/>
  <c r="BLN8" i="5"/>
  <c r="BLO8" i="5"/>
  <c r="BLP8" i="5"/>
  <c r="BLQ8" i="5"/>
  <c r="BLR8" i="5"/>
  <c r="BLS8" i="5"/>
  <c r="BLT8" i="5"/>
  <c r="BLU8" i="5"/>
  <c r="BLV8" i="5"/>
  <c r="BLW8" i="5"/>
  <c r="BLX8" i="5"/>
  <c r="BLY8" i="5"/>
  <c r="BLZ8" i="5"/>
  <c r="BMA8" i="5"/>
  <c r="BMB8" i="5"/>
  <c r="BMC8" i="5"/>
  <c r="BMD8" i="5"/>
  <c r="BME8" i="5"/>
  <c r="BMF8" i="5"/>
  <c r="BMG8" i="5"/>
  <c r="BMH8" i="5"/>
  <c r="BMI8" i="5"/>
  <c r="BMJ8" i="5"/>
  <c r="BMK8" i="5"/>
  <c r="BML8" i="5"/>
  <c r="BMM8" i="5"/>
  <c r="BMN8" i="5"/>
  <c r="BMO8" i="5"/>
  <c r="BMP8" i="5"/>
  <c r="BMQ8" i="5"/>
  <c r="BMR8" i="5"/>
  <c r="BMS8" i="5"/>
  <c r="BMT8" i="5"/>
  <c r="BMU8" i="5"/>
  <c r="BMV8" i="5"/>
  <c r="BMW8" i="5"/>
  <c r="BMX8" i="5"/>
  <c r="BMY8" i="5"/>
  <c r="BMZ8" i="5"/>
  <c r="BNA8" i="5"/>
  <c r="BNB8" i="5"/>
  <c r="BNC8" i="5"/>
  <c r="BND8" i="5"/>
  <c r="BNE8" i="5"/>
  <c r="BNF8" i="5"/>
  <c r="BNG8" i="5"/>
  <c r="BNH8" i="5"/>
  <c r="BNI8" i="5"/>
  <c r="BNJ8" i="5"/>
  <c r="BNK8" i="5"/>
  <c r="BNL8" i="5"/>
  <c r="BNM8" i="5"/>
  <c r="BNN8" i="5"/>
  <c r="BNO8" i="5"/>
  <c r="BNP8" i="5"/>
  <c r="BNQ8" i="5"/>
  <c r="BNR8" i="5"/>
  <c r="BNS8" i="5"/>
  <c r="BNT8" i="5"/>
  <c r="BNU8" i="5"/>
  <c r="BNV8" i="5"/>
  <c r="BNW8" i="5"/>
  <c r="BNX8" i="5"/>
  <c r="BNY8" i="5"/>
  <c r="BNZ8" i="5"/>
  <c r="BOA8" i="5"/>
  <c r="BOB8" i="5"/>
  <c r="BOC8" i="5"/>
  <c r="BOD8" i="5"/>
  <c r="BOE8" i="5"/>
  <c r="BOF8" i="5"/>
  <c r="BOG8" i="5"/>
  <c r="BOH8" i="5"/>
  <c r="BOI8" i="5"/>
  <c r="BOJ8" i="5"/>
  <c r="BOK8" i="5"/>
  <c r="BOL8" i="5"/>
  <c r="BOM8" i="5"/>
  <c r="BON8" i="5"/>
  <c r="BOO8" i="5"/>
  <c r="BOP8" i="5"/>
  <c r="BOQ8" i="5"/>
  <c r="BOR8" i="5"/>
  <c r="BOS8" i="5"/>
  <c r="BOT8" i="5"/>
  <c r="BOU8" i="5"/>
  <c r="BOV8" i="5"/>
  <c r="BOW8" i="5"/>
  <c r="BOX8" i="5"/>
  <c r="BOY8" i="5"/>
  <c r="BOZ8" i="5"/>
  <c r="BPA8" i="5"/>
  <c r="BPB8" i="5"/>
  <c r="BPC8" i="5"/>
  <c r="BPD8" i="5"/>
  <c r="BPE8" i="5"/>
  <c r="BPF8" i="5"/>
  <c r="BPG8" i="5"/>
  <c r="BPH8" i="5"/>
  <c r="BPI8" i="5"/>
  <c r="BPJ8" i="5"/>
  <c r="BPK8" i="5"/>
  <c r="BPL8" i="5"/>
  <c r="BPM8" i="5"/>
  <c r="BPN8" i="5"/>
  <c r="BPO8" i="5"/>
  <c r="BPP8" i="5"/>
  <c r="BPQ8" i="5"/>
  <c r="BPR8" i="5"/>
  <c r="BPS8" i="5"/>
  <c r="BPT8" i="5"/>
  <c r="BPU8" i="5"/>
  <c r="BPV8" i="5"/>
  <c r="BPW8" i="5"/>
  <c r="BPX8" i="5"/>
  <c r="BPY8" i="5"/>
  <c r="BPZ8" i="5"/>
  <c r="BQA8" i="5"/>
  <c r="BQB8" i="5"/>
  <c r="BQC8" i="5"/>
  <c r="BQD8" i="5"/>
  <c r="BQE8" i="5"/>
  <c r="BQF8" i="5"/>
  <c r="BQG8" i="5"/>
  <c r="BQH8" i="5"/>
  <c r="BQI8" i="5"/>
  <c r="BQJ8" i="5"/>
  <c r="BQK8" i="5"/>
  <c r="BQL8" i="5"/>
  <c r="BQM8" i="5"/>
  <c r="BQN8" i="5"/>
  <c r="BQO8" i="5"/>
  <c r="BQP8" i="5"/>
  <c r="BQQ8" i="5"/>
  <c r="BQR8" i="5"/>
  <c r="BQS8" i="5"/>
  <c r="BQT8" i="5"/>
  <c r="BQU8" i="5"/>
  <c r="BQV8" i="5"/>
  <c r="BQW8" i="5"/>
  <c r="BQX8" i="5"/>
  <c r="BQY8" i="5"/>
  <c r="BQZ8" i="5"/>
  <c r="BRA8" i="5"/>
  <c r="BRB8" i="5"/>
  <c r="BRC8" i="5"/>
  <c r="BRD8" i="5"/>
  <c r="BRE8" i="5"/>
  <c r="BRF8" i="5"/>
  <c r="BRG8" i="5"/>
  <c r="BRH8" i="5"/>
  <c r="BRI8" i="5"/>
  <c r="BRJ8" i="5"/>
  <c r="BRK8" i="5"/>
  <c r="BRL8" i="5"/>
  <c r="BRM8" i="5"/>
  <c r="BRN8" i="5"/>
  <c r="BRO8" i="5"/>
  <c r="BRP8" i="5"/>
  <c r="BRQ8" i="5"/>
  <c r="BRR8" i="5"/>
  <c r="BRS8" i="5"/>
  <c r="BRT8" i="5"/>
  <c r="BRU8" i="5"/>
  <c r="BRV8" i="5"/>
  <c r="BRW8" i="5"/>
  <c r="BRX8" i="5"/>
  <c r="BRY8" i="5"/>
  <c r="BRZ8" i="5"/>
  <c r="BSA8" i="5"/>
  <c r="BSB8" i="5"/>
  <c r="BSC8" i="5"/>
  <c r="BSD8" i="5"/>
  <c r="BSE8" i="5"/>
  <c r="BSF8" i="5"/>
  <c r="BSG8" i="5"/>
  <c r="BSH8" i="5"/>
  <c r="BSI8" i="5"/>
  <c r="BSJ8" i="5"/>
  <c r="BSK8" i="5"/>
  <c r="BSL8" i="5"/>
  <c r="BSM8" i="5"/>
  <c r="BSN8" i="5"/>
  <c r="BSO8" i="5"/>
  <c r="BSP8" i="5"/>
  <c r="BSQ8" i="5"/>
  <c r="BSR8" i="5"/>
  <c r="BSS8" i="5"/>
  <c r="BST8" i="5"/>
  <c r="BSU8" i="5"/>
  <c r="BSV8" i="5"/>
  <c r="BSW8" i="5"/>
  <c r="BSX8" i="5"/>
  <c r="BSY8" i="5"/>
  <c r="BSZ8" i="5"/>
  <c r="BTA8" i="5"/>
  <c r="BTB8" i="5"/>
  <c r="BTC8" i="5"/>
  <c r="BTD8" i="5"/>
  <c r="BTE8" i="5"/>
  <c r="BTF8" i="5"/>
  <c r="BTG8" i="5"/>
  <c r="BTH8" i="5"/>
  <c r="BTI8" i="5"/>
  <c r="BTJ8" i="5"/>
  <c r="BTK8" i="5"/>
  <c r="BTL8" i="5"/>
  <c r="BTM8" i="5"/>
  <c r="BTN8" i="5"/>
  <c r="BTO8" i="5"/>
  <c r="BTP8" i="5"/>
  <c r="BTQ8" i="5"/>
  <c r="BTR8" i="5"/>
  <c r="BTS8" i="5"/>
  <c r="BTT8" i="5"/>
  <c r="BTU8" i="5"/>
  <c r="BTV8" i="5"/>
  <c r="BTW8" i="5"/>
  <c r="BTX8" i="5"/>
  <c r="BTY8" i="5"/>
  <c r="BTZ8" i="5"/>
  <c r="BUA8" i="5"/>
  <c r="BUB8" i="5"/>
  <c r="BUC8" i="5"/>
  <c r="BUD8" i="5"/>
  <c r="BUE8" i="5"/>
  <c r="BUF8" i="5"/>
  <c r="BUG8" i="5"/>
  <c r="BUH8" i="5"/>
  <c r="BUI8" i="5"/>
  <c r="BUJ8" i="5"/>
  <c r="BUK8" i="5"/>
  <c r="BUL8" i="5"/>
  <c r="BUM8" i="5"/>
  <c r="BUN8" i="5"/>
  <c r="BUO8" i="5"/>
  <c r="BUP8" i="5"/>
  <c r="BUQ8" i="5"/>
  <c r="BUR8" i="5"/>
  <c r="BUS8" i="5"/>
  <c r="BUT8" i="5"/>
  <c r="BUU8" i="5"/>
  <c r="BUV8" i="5"/>
  <c r="BUW8" i="5"/>
  <c r="BUX8" i="5"/>
  <c r="BUY8" i="5"/>
  <c r="BUZ8" i="5"/>
  <c r="BVA8" i="5"/>
  <c r="BVB8" i="5"/>
  <c r="BVC8" i="5"/>
  <c r="BVD8" i="5"/>
  <c r="BVE8" i="5"/>
  <c r="BVF8" i="5"/>
  <c r="BVG8" i="5"/>
  <c r="BVH8" i="5"/>
  <c r="BVI8" i="5"/>
  <c r="BVJ8" i="5"/>
  <c r="BVK8" i="5"/>
  <c r="BVL8" i="5"/>
  <c r="BVM8" i="5"/>
  <c r="BVN8" i="5"/>
  <c r="BVO8" i="5"/>
  <c r="BVP8" i="5"/>
  <c r="BVQ8" i="5"/>
  <c r="BVR8" i="5"/>
  <c r="BVS8" i="5"/>
  <c r="BVT8" i="5"/>
  <c r="BVU8" i="5"/>
  <c r="BVV8" i="5"/>
  <c r="BVW8" i="5"/>
  <c r="BVX8" i="5"/>
  <c r="BVY8" i="5"/>
  <c r="BVZ8" i="5"/>
  <c r="BWA8" i="5"/>
  <c r="BWB8" i="5"/>
  <c r="BWC8" i="5"/>
  <c r="BWD8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WN9" i="5"/>
  <c r="WO9" i="5"/>
  <c r="WP9" i="5"/>
  <c r="WQ9" i="5"/>
  <c r="WR9" i="5"/>
  <c r="WS9" i="5"/>
  <c r="WT9" i="5"/>
  <c r="WU9" i="5"/>
  <c r="WV9" i="5"/>
  <c r="WW9" i="5"/>
  <c r="WX9" i="5"/>
  <c r="WY9" i="5"/>
  <c r="WZ9" i="5"/>
  <c r="XA9" i="5"/>
  <c r="XB9" i="5"/>
  <c r="XC9" i="5"/>
  <c r="XD9" i="5"/>
  <c r="XE9" i="5"/>
  <c r="XF9" i="5"/>
  <c r="XG9" i="5"/>
  <c r="XH9" i="5"/>
  <c r="XI9" i="5"/>
  <c r="XJ9" i="5"/>
  <c r="XK9" i="5"/>
  <c r="XL9" i="5"/>
  <c r="XM9" i="5"/>
  <c r="XN9" i="5"/>
  <c r="XO9" i="5"/>
  <c r="XP9" i="5"/>
  <c r="XQ9" i="5"/>
  <c r="XR9" i="5"/>
  <c r="XS9" i="5"/>
  <c r="XT9" i="5"/>
  <c r="XU9" i="5"/>
  <c r="XV9" i="5"/>
  <c r="XW9" i="5"/>
  <c r="XX9" i="5"/>
  <c r="XY9" i="5"/>
  <c r="XZ9" i="5"/>
  <c r="YA9" i="5"/>
  <c r="YB9" i="5"/>
  <c r="YC9" i="5"/>
  <c r="YD9" i="5"/>
  <c r="YE9" i="5"/>
  <c r="YF9" i="5"/>
  <c r="YG9" i="5"/>
  <c r="YH9" i="5"/>
  <c r="YI9" i="5"/>
  <c r="YJ9" i="5"/>
  <c r="YK9" i="5"/>
  <c r="YL9" i="5"/>
  <c r="YM9" i="5"/>
  <c r="YN9" i="5"/>
  <c r="YO9" i="5"/>
  <c r="YP9" i="5"/>
  <c r="YQ9" i="5"/>
  <c r="YR9" i="5"/>
  <c r="YS9" i="5"/>
  <c r="YT9" i="5"/>
  <c r="YU9" i="5"/>
  <c r="YV9" i="5"/>
  <c r="YW9" i="5"/>
  <c r="YX9" i="5"/>
  <c r="YY9" i="5"/>
  <c r="YZ9" i="5"/>
  <c r="ZA9" i="5"/>
  <c r="ZB9" i="5"/>
  <c r="ZC9" i="5"/>
  <c r="ZD9" i="5"/>
  <c r="ZE9" i="5"/>
  <c r="ZF9" i="5"/>
  <c r="ZG9" i="5"/>
  <c r="ZH9" i="5"/>
  <c r="ZI9" i="5"/>
  <c r="ZJ9" i="5"/>
  <c r="ZK9" i="5"/>
  <c r="ZL9" i="5"/>
  <c r="ZM9" i="5"/>
  <c r="ZN9" i="5"/>
  <c r="ZO9" i="5"/>
  <c r="ZP9" i="5"/>
  <c r="ZQ9" i="5"/>
  <c r="ZR9" i="5"/>
  <c r="ZS9" i="5"/>
  <c r="ZT9" i="5"/>
  <c r="ZU9" i="5"/>
  <c r="ZV9" i="5"/>
  <c r="ZW9" i="5"/>
  <c r="ZX9" i="5"/>
  <c r="ZY9" i="5"/>
  <c r="ZZ9" i="5"/>
  <c r="AAA9" i="5"/>
  <c r="AAB9" i="5"/>
  <c r="AAC9" i="5"/>
  <c r="AAD9" i="5"/>
  <c r="AAE9" i="5"/>
  <c r="AAF9" i="5"/>
  <c r="AAG9" i="5"/>
  <c r="AAH9" i="5"/>
  <c r="AAI9" i="5"/>
  <c r="AAJ9" i="5"/>
  <c r="AAK9" i="5"/>
  <c r="AAL9" i="5"/>
  <c r="AAM9" i="5"/>
  <c r="AAN9" i="5"/>
  <c r="AAO9" i="5"/>
  <c r="AAP9" i="5"/>
  <c r="AAQ9" i="5"/>
  <c r="AAR9" i="5"/>
  <c r="AAS9" i="5"/>
  <c r="AAT9" i="5"/>
  <c r="AAU9" i="5"/>
  <c r="AAV9" i="5"/>
  <c r="AAW9" i="5"/>
  <c r="AAX9" i="5"/>
  <c r="AAY9" i="5"/>
  <c r="AAZ9" i="5"/>
  <c r="ABA9" i="5"/>
  <c r="ABB9" i="5"/>
  <c r="ABC9" i="5"/>
  <c r="ABD9" i="5"/>
  <c r="ABE9" i="5"/>
  <c r="ABF9" i="5"/>
  <c r="ABG9" i="5"/>
  <c r="ABH9" i="5"/>
  <c r="ABI9" i="5"/>
  <c r="ABJ9" i="5"/>
  <c r="ABK9" i="5"/>
  <c r="ABL9" i="5"/>
  <c r="ABM9" i="5"/>
  <c r="ABN9" i="5"/>
  <c r="ABO9" i="5"/>
  <c r="ABP9" i="5"/>
  <c r="ABQ9" i="5"/>
  <c r="ABR9" i="5"/>
  <c r="ABS9" i="5"/>
  <c r="ABT9" i="5"/>
  <c r="ABU9" i="5"/>
  <c r="ABV9" i="5"/>
  <c r="ABW9" i="5"/>
  <c r="ABX9" i="5"/>
  <c r="ABY9" i="5"/>
  <c r="ABZ9" i="5"/>
  <c r="ACA9" i="5"/>
  <c r="ACB9" i="5"/>
  <c r="ACC9" i="5"/>
  <c r="ACD9" i="5"/>
  <c r="ACE9" i="5"/>
  <c r="ACF9" i="5"/>
  <c r="ACG9" i="5"/>
  <c r="ACH9" i="5"/>
  <c r="ACI9" i="5"/>
  <c r="ACJ9" i="5"/>
  <c r="ACK9" i="5"/>
  <c r="ACL9" i="5"/>
  <c r="ACM9" i="5"/>
  <c r="ACN9" i="5"/>
  <c r="ACO9" i="5"/>
  <c r="ACP9" i="5"/>
  <c r="ACQ9" i="5"/>
  <c r="ACR9" i="5"/>
  <c r="ACS9" i="5"/>
  <c r="ACT9" i="5"/>
  <c r="ACU9" i="5"/>
  <c r="ACV9" i="5"/>
  <c r="ACW9" i="5"/>
  <c r="ACX9" i="5"/>
  <c r="ACY9" i="5"/>
  <c r="ACZ9" i="5"/>
  <c r="ADA9" i="5"/>
  <c r="ADB9" i="5"/>
  <c r="ADC9" i="5"/>
  <c r="ADD9" i="5"/>
  <c r="ADE9" i="5"/>
  <c r="ADF9" i="5"/>
  <c r="ADG9" i="5"/>
  <c r="ADH9" i="5"/>
  <c r="ADI9" i="5"/>
  <c r="ADJ9" i="5"/>
  <c r="ADK9" i="5"/>
  <c r="ADL9" i="5"/>
  <c r="ADM9" i="5"/>
  <c r="ADN9" i="5"/>
  <c r="ADO9" i="5"/>
  <c r="ADP9" i="5"/>
  <c r="ADQ9" i="5"/>
  <c r="ADR9" i="5"/>
  <c r="ADS9" i="5"/>
  <c r="ADT9" i="5"/>
  <c r="ADU9" i="5"/>
  <c r="ADV9" i="5"/>
  <c r="ADW9" i="5"/>
  <c r="ADX9" i="5"/>
  <c r="ADY9" i="5"/>
  <c r="ADZ9" i="5"/>
  <c r="AEA9" i="5"/>
  <c r="AEB9" i="5"/>
  <c r="AEC9" i="5"/>
  <c r="AED9" i="5"/>
  <c r="AEE9" i="5"/>
  <c r="AEF9" i="5"/>
  <c r="AEG9" i="5"/>
  <c r="AEH9" i="5"/>
  <c r="AEI9" i="5"/>
  <c r="AEJ9" i="5"/>
  <c r="AEK9" i="5"/>
  <c r="AEL9" i="5"/>
  <c r="AEM9" i="5"/>
  <c r="AEN9" i="5"/>
  <c r="AEO9" i="5"/>
  <c r="AEP9" i="5"/>
  <c r="AEQ9" i="5"/>
  <c r="AER9" i="5"/>
  <c r="AES9" i="5"/>
  <c r="AET9" i="5"/>
  <c r="AEU9" i="5"/>
  <c r="AEV9" i="5"/>
  <c r="AEW9" i="5"/>
  <c r="AEX9" i="5"/>
  <c r="AEY9" i="5"/>
  <c r="AEZ9" i="5"/>
  <c r="AFA9" i="5"/>
  <c r="AFB9" i="5"/>
  <c r="AFC9" i="5"/>
  <c r="AFD9" i="5"/>
  <c r="AFE9" i="5"/>
  <c r="AFF9" i="5"/>
  <c r="AFG9" i="5"/>
  <c r="AFH9" i="5"/>
  <c r="AFI9" i="5"/>
  <c r="AFJ9" i="5"/>
  <c r="AFK9" i="5"/>
  <c r="AFL9" i="5"/>
  <c r="AFM9" i="5"/>
  <c r="AFN9" i="5"/>
  <c r="AFO9" i="5"/>
  <c r="AFP9" i="5"/>
  <c r="AFQ9" i="5"/>
  <c r="AFR9" i="5"/>
  <c r="AFS9" i="5"/>
  <c r="AFT9" i="5"/>
  <c r="AFU9" i="5"/>
  <c r="AFV9" i="5"/>
  <c r="AFW9" i="5"/>
  <c r="AFX9" i="5"/>
  <c r="AFY9" i="5"/>
  <c r="AFZ9" i="5"/>
  <c r="AGA9" i="5"/>
  <c r="AGB9" i="5"/>
  <c r="AGC9" i="5"/>
  <c r="AGD9" i="5"/>
  <c r="AGE9" i="5"/>
  <c r="AGF9" i="5"/>
  <c r="AGG9" i="5"/>
  <c r="AGH9" i="5"/>
  <c r="AGI9" i="5"/>
  <c r="AGJ9" i="5"/>
  <c r="AGK9" i="5"/>
  <c r="AGL9" i="5"/>
  <c r="AGM9" i="5"/>
  <c r="AGN9" i="5"/>
  <c r="AGO9" i="5"/>
  <c r="AGP9" i="5"/>
  <c r="AGQ9" i="5"/>
  <c r="AGR9" i="5"/>
  <c r="AGS9" i="5"/>
  <c r="AGT9" i="5"/>
  <c r="AGU9" i="5"/>
  <c r="AGV9" i="5"/>
  <c r="AGW9" i="5"/>
  <c r="AGX9" i="5"/>
  <c r="AGY9" i="5"/>
  <c r="AGZ9" i="5"/>
  <c r="AHA9" i="5"/>
  <c r="AHB9" i="5"/>
  <c r="AHC9" i="5"/>
  <c r="AHD9" i="5"/>
  <c r="AHE9" i="5"/>
  <c r="AHF9" i="5"/>
  <c r="AHG9" i="5"/>
  <c r="AHH9" i="5"/>
  <c r="AHI9" i="5"/>
  <c r="AHJ9" i="5"/>
  <c r="AHK9" i="5"/>
  <c r="AHL9" i="5"/>
  <c r="AHM9" i="5"/>
  <c r="AHN9" i="5"/>
  <c r="AHO9" i="5"/>
  <c r="AHP9" i="5"/>
  <c r="AHQ9" i="5"/>
  <c r="AHR9" i="5"/>
  <c r="AHS9" i="5"/>
  <c r="AHT9" i="5"/>
  <c r="AHU9" i="5"/>
  <c r="AHV9" i="5"/>
  <c r="AHW9" i="5"/>
  <c r="AHX9" i="5"/>
  <c r="AHY9" i="5"/>
  <c r="AHZ9" i="5"/>
  <c r="AIA9" i="5"/>
  <c r="AIB9" i="5"/>
  <c r="AIC9" i="5"/>
  <c r="AID9" i="5"/>
  <c r="AIE9" i="5"/>
  <c r="AIF9" i="5"/>
  <c r="AIG9" i="5"/>
  <c r="AIH9" i="5"/>
  <c r="AII9" i="5"/>
  <c r="AIJ9" i="5"/>
  <c r="AIK9" i="5"/>
  <c r="AIL9" i="5"/>
  <c r="AIM9" i="5"/>
  <c r="AIN9" i="5"/>
  <c r="AIO9" i="5"/>
  <c r="AIP9" i="5"/>
  <c r="AIQ9" i="5"/>
  <c r="AIR9" i="5"/>
  <c r="AIS9" i="5"/>
  <c r="AIT9" i="5"/>
  <c r="AIU9" i="5"/>
  <c r="AIV9" i="5"/>
  <c r="AIW9" i="5"/>
  <c r="AIX9" i="5"/>
  <c r="AIY9" i="5"/>
  <c r="AIZ9" i="5"/>
  <c r="AJA9" i="5"/>
  <c r="AJB9" i="5"/>
  <c r="AJC9" i="5"/>
  <c r="AJD9" i="5"/>
  <c r="AJE9" i="5"/>
  <c r="AJF9" i="5"/>
  <c r="AJG9" i="5"/>
  <c r="AJH9" i="5"/>
  <c r="AJI9" i="5"/>
  <c r="AJJ9" i="5"/>
  <c r="AJK9" i="5"/>
  <c r="AJL9" i="5"/>
  <c r="AJM9" i="5"/>
  <c r="AJN9" i="5"/>
  <c r="AJO9" i="5"/>
  <c r="AJP9" i="5"/>
  <c r="AJQ9" i="5"/>
  <c r="AJR9" i="5"/>
  <c r="AJS9" i="5"/>
  <c r="AJT9" i="5"/>
  <c r="AJU9" i="5"/>
  <c r="AJV9" i="5"/>
  <c r="AJW9" i="5"/>
  <c r="AJX9" i="5"/>
  <c r="AJY9" i="5"/>
  <c r="AJZ9" i="5"/>
  <c r="AKA9" i="5"/>
  <c r="AKB9" i="5"/>
  <c r="AKC9" i="5"/>
  <c r="AKD9" i="5"/>
  <c r="AKE9" i="5"/>
  <c r="AKF9" i="5"/>
  <c r="AKG9" i="5"/>
  <c r="AKH9" i="5"/>
  <c r="AKI9" i="5"/>
  <c r="AKJ9" i="5"/>
  <c r="AKK9" i="5"/>
  <c r="AKL9" i="5"/>
  <c r="AKM9" i="5"/>
  <c r="AKN9" i="5"/>
  <c r="AKO9" i="5"/>
  <c r="AKP9" i="5"/>
  <c r="AKQ9" i="5"/>
  <c r="AKR9" i="5"/>
  <c r="AKS9" i="5"/>
  <c r="AKT9" i="5"/>
  <c r="AKU9" i="5"/>
  <c r="AKV9" i="5"/>
  <c r="AKW9" i="5"/>
  <c r="AKX9" i="5"/>
  <c r="AKY9" i="5"/>
  <c r="AKZ9" i="5"/>
  <c r="ALA9" i="5"/>
  <c r="ALB9" i="5"/>
  <c r="ALC9" i="5"/>
  <c r="ALD9" i="5"/>
  <c r="ALE9" i="5"/>
  <c r="ALF9" i="5"/>
  <c r="ALG9" i="5"/>
  <c r="ALH9" i="5"/>
  <c r="ALI9" i="5"/>
  <c r="ALJ9" i="5"/>
  <c r="ALK9" i="5"/>
  <c r="ALL9" i="5"/>
  <c r="ALM9" i="5"/>
  <c r="ALN9" i="5"/>
  <c r="ALO9" i="5"/>
  <c r="ALP9" i="5"/>
  <c r="ALQ9" i="5"/>
  <c r="ALR9" i="5"/>
  <c r="ALS9" i="5"/>
  <c r="ALT9" i="5"/>
  <c r="ALU9" i="5"/>
  <c r="ALV9" i="5"/>
  <c r="ALW9" i="5"/>
  <c r="ALX9" i="5"/>
  <c r="ALY9" i="5"/>
  <c r="ALZ9" i="5"/>
  <c r="AMA9" i="5"/>
  <c r="AMB9" i="5"/>
  <c r="AMC9" i="5"/>
  <c r="AMD9" i="5"/>
  <c r="AME9" i="5"/>
  <c r="AMF9" i="5"/>
  <c r="AMG9" i="5"/>
  <c r="AMH9" i="5"/>
  <c r="AMI9" i="5"/>
  <c r="AMJ9" i="5"/>
  <c r="AMK9" i="5"/>
  <c r="AML9" i="5"/>
  <c r="AMM9" i="5"/>
  <c r="AMN9" i="5"/>
  <c r="AMO9" i="5"/>
  <c r="AMP9" i="5"/>
  <c r="AMQ9" i="5"/>
  <c r="AMR9" i="5"/>
  <c r="AMS9" i="5"/>
  <c r="AMT9" i="5"/>
  <c r="AMU9" i="5"/>
  <c r="AMV9" i="5"/>
  <c r="AMW9" i="5"/>
  <c r="AMX9" i="5"/>
  <c r="AMY9" i="5"/>
  <c r="AMZ9" i="5"/>
  <c r="ANA9" i="5"/>
  <c r="ANB9" i="5"/>
  <c r="ANC9" i="5"/>
  <c r="AND9" i="5"/>
  <c r="ANE9" i="5"/>
  <c r="ANF9" i="5"/>
  <c r="ANG9" i="5"/>
  <c r="ANH9" i="5"/>
  <c r="ANI9" i="5"/>
  <c r="ANJ9" i="5"/>
  <c r="ANK9" i="5"/>
  <c r="ANL9" i="5"/>
  <c r="ANM9" i="5"/>
  <c r="ANN9" i="5"/>
  <c r="ANO9" i="5"/>
  <c r="ANP9" i="5"/>
  <c r="ANQ9" i="5"/>
  <c r="ANR9" i="5"/>
  <c r="ANS9" i="5"/>
  <c r="ANT9" i="5"/>
  <c r="ANU9" i="5"/>
  <c r="ANV9" i="5"/>
  <c r="ANW9" i="5"/>
  <c r="ANX9" i="5"/>
  <c r="ANY9" i="5"/>
  <c r="ANZ9" i="5"/>
  <c r="AOA9" i="5"/>
  <c r="AOB9" i="5"/>
  <c r="AOC9" i="5"/>
  <c r="AOD9" i="5"/>
  <c r="AOE9" i="5"/>
  <c r="AOF9" i="5"/>
  <c r="AOG9" i="5"/>
  <c r="AOH9" i="5"/>
  <c r="AOI9" i="5"/>
  <c r="AOJ9" i="5"/>
  <c r="AOK9" i="5"/>
  <c r="AOL9" i="5"/>
  <c r="AOM9" i="5"/>
  <c r="AON9" i="5"/>
  <c r="AOO9" i="5"/>
  <c r="AOP9" i="5"/>
  <c r="AOQ9" i="5"/>
  <c r="AOR9" i="5"/>
  <c r="AOS9" i="5"/>
  <c r="AOT9" i="5"/>
  <c r="AOU9" i="5"/>
  <c r="AOV9" i="5"/>
  <c r="AOW9" i="5"/>
  <c r="AOX9" i="5"/>
  <c r="AOY9" i="5"/>
  <c r="AOZ9" i="5"/>
  <c r="APA9" i="5"/>
  <c r="APB9" i="5"/>
  <c r="APC9" i="5"/>
  <c r="APD9" i="5"/>
  <c r="APE9" i="5"/>
  <c r="APF9" i="5"/>
  <c r="APG9" i="5"/>
  <c r="APH9" i="5"/>
  <c r="API9" i="5"/>
  <c r="APJ9" i="5"/>
  <c r="APK9" i="5"/>
  <c r="APL9" i="5"/>
  <c r="APM9" i="5"/>
  <c r="APN9" i="5"/>
  <c r="APO9" i="5"/>
  <c r="APP9" i="5"/>
  <c r="APQ9" i="5"/>
  <c r="APR9" i="5"/>
  <c r="APS9" i="5"/>
  <c r="APT9" i="5"/>
  <c r="APU9" i="5"/>
  <c r="APV9" i="5"/>
  <c r="APW9" i="5"/>
  <c r="APX9" i="5"/>
  <c r="APY9" i="5"/>
  <c r="APZ9" i="5"/>
  <c r="AQA9" i="5"/>
  <c r="AQB9" i="5"/>
  <c r="AQC9" i="5"/>
  <c r="AQD9" i="5"/>
  <c r="AQE9" i="5"/>
  <c r="AQF9" i="5"/>
  <c r="AQG9" i="5"/>
  <c r="AQH9" i="5"/>
  <c r="AQI9" i="5"/>
  <c r="AQJ9" i="5"/>
  <c r="AQK9" i="5"/>
  <c r="AQL9" i="5"/>
  <c r="AQM9" i="5"/>
  <c r="AQN9" i="5"/>
  <c r="AQO9" i="5"/>
  <c r="AQP9" i="5"/>
  <c r="AQQ9" i="5"/>
  <c r="AQR9" i="5"/>
  <c r="AQS9" i="5"/>
  <c r="AQT9" i="5"/>
  <c r="AQU9" i="5"/>
  <c r="AQV9" i="5"/>
  <c r="AQW9" i="5"/>
  <c r="AQX9" i="5"/>
  <c r="AQY9" i="5"/>
  <c r="AQZ9" i="5"/>
  <c r="ARA9" i="5"/>
  <c r="ARB9" i="5"/>
  <c r="ARC9" i="5"/>
  <c r="ARD9" i="5"/>
  <c r="ARE9" i="5"/>
  <c r="ARF9" i="5"/>
  <c r="ARG9" i="5"/>
  <c r="ARH9" i="5"/>
  <c r="ARI9" i="5"/>
  <c r="ARJ9" i="5"/>
  <c r="ARK9" i="5"/>
  <c r="ARL9" i="5"/>
  <c r="ARM9" i="5"/>
  <c r="ARN9" i="5"/>
  <c r="ARO9" i="5"/>
  <c r="ARP9" i="5"/>
  <c r="ARQ9" i="5"/>
  <c r="ARR9" i="5"/>
  <c r="ARS9" i="5"/>
  <c r="ART9" i="5"/>
  <c r="ARU9" i="5"/>
  <c r="ARV9" i="5"/>
  <c r="ARW9" i="5"/>
  <c r="ARX9" i="5"/>
  <c r="ARY9" i="5"/>
  <c r="ARZ9" i="5"/>
  <c r="ASA9" i="5"/>
  <c r="ASB9" i="5"/>
  <c r="ASC9" i="5"/>
  <c r="ASD9" i="5"/>
  <c r="ASE9" i="5"/>
  <c r="ASF9" i="5"/>
  <c r="ASG9" i="5"/>
  <c r="ASH9" i="5"/>
  <c r="ASI9" i="5"/>
  <c r="ASJ9" i="5"/>
  <c r="ASK9" i="5"/>
  <c r="ASL9" i="5"/>
  <c r="ASM9" i="5"/>
  <c r="ASN9" i="5"/>
  <c r="ASO9" i="5"/>
  <c r="ASP9" i="5"/>
  <c r="ASQ9" i="5"/>
  <c r="ASR9" i="5"/>
  <c r="ASS9" i="5"/>
  <c r="AST9" i="5"/>
  <c r="ASU9" i="5"/>
  <c r="ASV9" i="5"/>
  <c r="ASW9" i="5"/>
  <c r="ASX9" i="5"/>
  <c r="ASY9" i="5"/>
  <c r="ASZ9" i="5"/>
  <c r="ATA9" i="5"/>
  <c r="ATB9" i="5"/>
  <c r="ATC9" i="5"/>
  <c r="ATD9" i="5"/>
  <c r="ATE9" i="5"/>
  <c r="ATF9" i="5"/>
  <c r="ATG9" i="5"/>
  <c r="ATH9" i="5"/>
  <c r="ATI9" i="5"/>
  <c r="ATJ9" i="5"/>
  <c r="ATK9" i="5"/>
  <c r="ATL9" i="5"/>
  <c r="ATM9" i="5"/>
  <c r="ATN9" i="5"/>
  <c r="ATO9" i="5"/>
  <c r="ATP9" i="5"/>
  <c r="ATQ9" i="5"/>
  <c r="ATR9" i="5"/>
  <c r="ATS9" i="5"/>
  <c r="ATT9" i="5"/>
  <c r="ATU9" i="5"/>
  <c r="ATV9" i="5"/>
  <c r="ATW9" i="5"/>
  <c r="ATX9" i="5"/>
  <c r="ATY9" i="5"/>
  <c r="ATZ9" i="5"/>
  <c r="AUA9" i="5"/>
  <c r="AUB9" i="5"/>
  <c r="AUC9" i="5"/>
  <c r="AUD9" i="5"/>
  <c r="AUE9" i="5"/>
  <c r="AUF9" i="5"/>
  <c r="AUG9" i="5"/>
  <c r="AUH9" i="5"/>
  <c r="AUI9" i="5"/>
  <c r="AUJ9" i="5"/>
  <c r="AUK9" i="5"/>
  <c r="AUL9" i="5"/>
  <c r="AUM9" i="5"/>
  <c r="AUN9" i="5"/>
  <c r="AUO9" i="5"/>
  <c r="AUP9" i="5"/>
  <c r="AUQ9" i="5"/>
  <c r="AUR9" i="5"/>
  <c r="AUS9" i="5"/>
  <c r="AUT9" i="5"/>
  <c r="AUU9" i="5"/>
  <c r="AUV9" i="5"/>
  <c r="AUW9" i="5"/>
  <c r="AUX9" i="5"/>
  <c r="AUY9" i="5"/>
  <c r="AUZ9" i="5"/>
  <c r="AVA9" i="5"/>
  <c r="AVB9" i="5"/>
  <c r="AVC9" i="5"/>
  <c r="AVD9" i="5"/>
  <c r="AVE9" i="5"/>
  <c r="AVF9" i="5"/>
  <c r="AVG9" i="5"/>
  <c r="AVH9" i="5"/>
  <c r="AVI9" i="5"/>
  <c r="AVJ9" i="5"/>
  <c r="AVK9" i="5"/>
  <c r="AVL9" i="5"/>
  <c r="AVM9" i="5"/>
  <c r="AVN9" i="5"/>
  <c r="AVO9" i="5"/>
  <c r="AVP9" i="5"/>
  <c r="AVQ9" i="5"/>
  <c r="AVR9" i="5"/>
  <c r="AVS9" i="5"/>
  <c r="AVT9" i="5"/>
  <c r="AVU9" i="5"/>
  <c r="AVV9" i="5"/>
  <c r="AVW9" i="5"/>
  <c r="AVX9" i="5"/>
  <c r="AVY9" i="5"/>
  <c r="AVZ9" i="5"/>
  <c r="AWA9" i="5"/>
  <c r="AWB9" i="5"/>
  <c r="AWC9" i="5"/>
  <c r="AWD9" i="5"/>
  <c r="AWE9" i="5"/>
  <c r="AWF9" i="5"/>
  <c r="AWG9" i="5"/>
  <c r="AWH9" i="5"/>
  <c r="AWI9" i="5"/>
  <c r="AWJ9" i="5"/>
  <c r="AWK9" i="5"/>
  <c r="AWL9" i="5"/>
  <c r="AWM9" i="5"/>
  <c r="AWN9" i="5"/>
  <c r="AWO9" i="5"/>
  <c r="AWP9" i="5"/>
  <c r="AWQ9" i="5"/>
  <c r="AWR9" i="5"/>
  <c r="AWS9" i="5"/>
  <c r="AWT9" i="5"/>
  <c r="AWU9" i="5"/>
  <c r="AWV9" i="5"/>
  <c r="AWW9" i="5"/>
  <c r="AWX9" i="5"/>
  <c r="AWY9" i="5"/>
  <c r="AWZ9" i="5"/>
  <c r="AXA9" i="5"/>
  <c r="AXB9" i="5"/>
  <c r="AXC9" i="5"/>
  <c r="AXD9" i="5"/>
  <c r="AXE9" i="5"/>
  <c r="AXF9" i="5"/>
  <c r="AXG9" i="5"/>
  <c r="AXH9" i="5"/>
  <c r="AXI9" i="5"/>
  <c r="AXJ9" i="5"/>
  <c r="AXK9" i="5"/>
  <c r="AXL9" i="5"/>
  <c r="AXM9" i="5"/>
  <c r="AXN9" i="5"/>
  <c r="AXO9" i="5"/>
  <c r="AXP9" i="5"/>
  <c r="AXQ9" i="5"/>
  <c r="AXR9" i="5"/>
  <c r="AXS9" i="5"/>
  <c r="AXT9" i="5"/>
  <c r="AXU9" i="5"/>
  <c r="AXV9" i="5"/>
  <c r="AXW9" i="5"/>
  <c r="AXX9" i="5"/>
  <c r="AXY9" i="5"/>
  <c r="AXZ9" i="5"/>
  <c r="AYA9" i="5"/>
  <c r="AYB9" i="5"/>
  <c r="AYC9" i="5"/>
  <c r="AYD9" i="5"/>
  <c r="AYE9" i="5"/>
  <c r="AYF9" i="5"/>
  <c r="AYG9" i="5"/>
  <c r="AYH9" i="5"/>
  <c r="AYI9" i="5"/>
  <c r="AYJ9" i="5"/>
  <c r="AYK9" i="5"/>
  <c r="AYL9" i="5"/>
  <c r="AYM9" i="5"/>
  <c r="AYN9" i="5"/>
  <c r="AYO9" i="5"/>
  <c r="AYP9" i="5"/>
  <c r="AYQ9" i="5"/>
  <c r="AYR9" i="5"/>
  <c r="AYS9" i="5"/>
  <c r="AYT9" i="5"/>
  <c r="AYU9" i="5"/>
  <c r="AYV9" i="5"/>
  <c r="AYW9" i="5"/>
  <c r="AYX9" i="5"/>
  <c r="AYY9" i="5"/>
  <c r="AYZ9" i="5"/>
  <c r="AZA9" i="5"/>
  <c r="AZB9" i="5"/>
  <c r="AZC9" i="5"/>
  <c r="AZD9" i="5"/>
  <c r="AZE9" i="5"/>
  <c r="AZF9" i="5"/>
  <c r="AZG9" i="5"/>
  <c r="AZH9" i="5"/>
  <c r="AZI9" i="5"/>
  <c r="AZJ9" i="5"/>
  <c r="AZK9" i="5"/>
  <c r="AZL9" i="5"/>
  <c r="AZM9" i="5"/>
  <c r="AZN9" i="5"/>
  <c r="AZO9" i="5"/>
  <c r="AZP9" i="5"/>
  <c r="AZQ9" i="5"/>
  <c r="AZR9" i="5"/>
  <c r="AZS9" i="5"/>
  <c r="AZT9" i="5"/>
  <c r="AZU9" i="5"/>
  <c r="AZV9" i="5"/>
  <c r="AZW9" i="5"/>
  <c r="AZX9" i="5"/>
  <c r="AZY9" i="5"/>
  <c r="AZZ9" i="5"/>
  <c r="BAA9" i="5"/>
  <c r="BAB9" i="5"/>
  <c r="BAC9" i="5"/>
  <c r="BAD9" i="5"/>
  <c r="BAE9" i="5"/>
  <c r="BAF9" i="5"/>
  <c r="BAG9" i="5"/>
  <c r="BAH9" i="5"/>
  <c r="BAI9" i="5"/>
  <c r="BAJ9" i="5"/>
  <c r="BAK9" i="5"/>
  <c r="BAL9" i="5"/>
  <c r="BAM9" i="5"/>
  <c r="BAN9" i="5"/>
  <c r="BAO9" i="5"/>
  <c r="BAP9" i="5"/>
  <c r="BAQ9" i="5"/>
  <c r="BAR9" i="5"/>
  <c r="BAS9" i="5"/>
  <c r="BAT9" i="5"/>
  <c r="BAU9" i="5"/>
  <c r="BAV9" i="5"/>
  <c r="BAW9" i="5"/>
  <c r="BAX9" i="5"/>
  <c r="BAY9" i="5"/>
  <c r="BAZ9" i="5"/>
  <c r="BBA9" i="5"/>
  <c r="BBB9" i="5"/>
  <c r="BBC9" i="5"/>
  <c r="BBD9" i="5"/>
  <c r="BBE9" i="5"/>
  <c r="BBF9" i="5"/>
  <c r="BBG9" i="5"/>
  <c r="BBH9" i="5"/>
  <c r="BBI9" i="5"/>
  <c r="BBJ9" i="5"/>
  <c r="BBK9" i="5"/>
  <c r="BBL9" i="5"/>
  <c r="BBM9" i="5"/>
  <c r="BBN9" i="5"/>
  <c r="BBO9" i="5"/>
  <c r="BBP9" i="5"/>
  <c r="BBQ9" i="5"/>
  <c r="BBR9" i="5"/>
  <c r="BBS9" i="5"/>
  <c r="BBT9" i="5"/>
  <c r="BBU9" i="5"/>
  <c r="BBV9" i="5"/>
  <c r="BBW9" i="5"/>
  <c r="BBX9" i="5"/>
  <c r="BBY9" i="5"/>
  <c r="BBZ9" i="5"/>
  <c r="BCA9" i="5"/>
  <c r="BCB9" i="5"/>
  <c r="BCC9" i="5"/>
  <c r="BCD9" i="5"/>
  <c r="BCE9" i="5"/>
  <c r="BCF9" i="5"/>
  <c r="BCG9" i="5"/>
  <c r="BCH9" i="5"/>
  <c r="BCI9" i="5"/>
  <c r="BCJ9" i="5"/>
  <c r="BCK9" i="5"/>
  <c r="BCL9" i="5"/>
  <c r="BCM9" i="5"/>
  <c r="BCN9" i="5"/>
  <c r="BCO9" i="5"/>
  <c r="BCP9" i="5"/>
  <c r="BCQ9" i="5"/>
  <c r="BCR9" i="5"/>
  <c r="BCS9" i="5"/>
  <c r="BCT9" i="5"/>
  <c r="BCU9" i="5"/>
  <c r="BCV9" i="5"/>
  <c r="BCW9" i="5"/>
  <c r="BCX9" i="5"/>
  <c r="BCY9" i="5"/>
  <c r="BCZ9" i="5"/>
  <c r="BDA9" i="5"/>
  <c r="BDB9" i="5"/>
  <c r="BDC9" i="5"/>
  <c r="BDD9" i="5"/>
  <c r="BDE9" i="5"/>
  <c r="BDF9" i="5"/>
  <c r="BDG9" i="5"/>
  <c r="BDH9" i="5"/>
  <c r="BDI9" i="5"/>
  <c r="BDJ9" i="5"/>
  <c r="BDK9" i="5"/>
  <c r="BDL9" i="5"/>
  <c r="BDM9" i="5"/>
  <c r="BDN9" i="5"/>
  <c r="BDO9" i="5"/>
  <c r="BDP9" i="5"/>
  <c r="BDQ9" i="5"/>
  <c r="BDR9" i="5"/>
  <c r="BDS9" i="5"/>
  <c r="BDT9" i="5"/>
  <c r="BDU9" i="5"/>
  <c r="BDV9" i="5"/>
  <c r="BDW9" i="5"/>
  <c r="BDX9" i="5"/>
  <c r="BDY9" i="5"/>
  <c r="BDZ9" i="5"/>
  <c r="BEA9" i="5"/>
  <c r="BEB9" i="5"/>
  <c r="BEC9" i="5"/>
  <c r="BED9" i="5"/>
  <c r="BEE9" i="5"/>
  <c r="BEF9" i="5"/>
  <c r="BEG9" i="5"/>
  <c r="BEH9" i="5"/>
  <c r="BEI9" i="5"/>
  <c r="BEJ9" i="5"/>
  <c r="BEK9" i="5"/>
  <c r="BEL9" i="5"/>
  <c r="BEM9" i="5"/>
  <c r="BEN9" i="5"/>
  <c r="BEO9" i="5"/>
  <c r="BEP9" i="5"/>
  <c r="BEQ9" i="5"/>
  <c r="BER9" i="5"/>
  <c r="BES9" i="5"/>
  <c r="BET9" i="5"/>
  <c r="BEU9" i="5"/>
  <c r="BEV9" i="5"/>
  <c r="BEW9" i="5"/>
  <c r="BEX9" i="5"/>
  <c r="BEY9" i="5"/>
  <c r="BEZ9" i="5"/>
  <c r="BFA9" i="5"/>
  <c r="BFB9" i="5"/>
  <c r="BFC9" i="5"/>
  <c r="BFD9" i="5"/>
  <c r="BFE9" i="5"/>
  <c r="BFF9" i="5"/>
  <c r="BFG9" i="5"/>
  <c r="BFH9" i="5"/>
  <c r="BFI9" i="5"/>
  <c r="BFJ9" i="5"/>
  <c r="BFK9" i="5"/>
  <c r="BFL9" i="5"/>
  <c r="BFM9" i="5"/>
  <c r="BFN9" i="5"/>
  <c r="BFO9" i="5"/>
  <c r="BFP9" i="5"/>
  <c r="BFQ9" i="5"/>
  <c r="BFR9" i="5"/>
  <c r="BFS9" i="5"/>
  <c r="BFT9" i="5"/>
  <c r="BFU9" i="5"/>
  <c r="BFV9" i="5"/>
  <c r="BFW9" i="5"/>
  <c r="BFX9" i="5"/>
  <c r="BFY9" i="5"/>
  <c r="BFZ9" i="5"/>
  <c r="BGA9" i="5"/>
  <c r="BGB9" i="5"/>
  <c r="BGC9" i="5"/>
  <c r="BGD9" i="5"/>
  <c r="BGE9" i="5"/>
  <c r="BGF9" i="5"/>
  <c r="BGG9" i="5"/>
  <c r="BGH9" i="5"/>
  <c r="BGI9" i="5"/>
  <c r="BGJ9" i="5"/>
  <c r="BGK9" i="5"/>
  <c r="BGL9" i="5"/>
  <c r="BGM9" i="5"/>
  <c r="BGN9" i="5"/>
  <c r="BGO9" i="5"/>
  <c r="BGP9" i="5"/>
  <c r="BGQ9" i="5"/>
  <c r="BGR9" i="5"/>
  <c r="BGS9" i="5"/>
  <c r="BGT9" i="5"/>
  <c r="BGU9" i="5"/>
  <c r="BGV9" i="5"/>
  <c r="BGW9" i="5"/>
  <c r="BGX9" i="5"/>
  <c r="BGY9" i="5"/>
  <c r="BGZ9" i="5"/>
  <c r="BHA9" i="5"/>
  <c r="BHB9" i="5"/>
  <c r="BHC9" i="5"/>
  <c r="BHD9" i="5"/>
  <c r="BHE9" i="5"/>
  <c r="BHF9" i="5"/>
  <c r="BHG9" i="5"/>
  <c r="BHH9" i="5"/>
  <c r="BHI9" i="5"/>
  <c r="BHJ9" i="5"/>
  <c r="BHK9" i="5"/>
  <c r="BHL9" i="5"/>
  <c r="BHM9" i="5"/>
  <c r="BHN9" i="5"/>
  <c r="BHO9" i="5"/>
  <c r="BHP9" i="5"/>
  <c r="BHQ9" i="5"/>
  <c r="BHR9" i="5"/>
  <c r="BHS9" i="5"/>
  <c r="BHT9" i="5"/>
  <c r="BHU9" i="5"/>
  <c r="BHV9" i="5"/>
  <c r="BHW9" i="5"/>
  <c r="BHX9" i="5"/>
  <c r="BHY9" i="5"/>
  <c r="BHZ9" i="5"/>
  <c r="BIA9" i="5"/>
  <c r="BIB9" i="5"/>
  <c r="BIC9" i="5"/>
  <c r="BID9" i="5"/>
  <c r="BIE9" i="5"/>
  <c r="BIF9" i="5"/>
  <c r="BIG9" i="5"/>
  <c r="BIH9" i="5"/>
  <c r="BII9" i="5"/>
  <c r="BIJ9" i="5"/>
  <c r="BIK9" i="5"/>
  <c r="BIL9" i="5"/>
  <c r="BIM9" i="5"/>
  <c r="BIN9" i="5"/>
  <c r="BIO9" i="5"/>
  <c r="BIP9" i="5"/>
  <c r="BIQ9" i="5"/>
  <c r="BIR9" i="5"/>
  <c r="BIS9" i="5"/>
  <c r="BIT9" i="5"/>
  <c r="BIU9" i="5"/>
  <c r="BIV9" i="5"/>
  <c r="BIW9" i="5"/>
  <c r="BIX9" i="5"/>
  <c r="BIY9" i="5"/>
  <c r="BIZ9" i="5"/>
  <c r="BJA9" i="5"/>
  <c r="BJB9" i="5"/>
  <c r="BJC9" i="5"/>
  <c r="BJD9" i="5"/>
  <c r="BJE9" i="5"/>
  <c r="BJF9" i="5"/>
  <c r="BJG9" i="5"/>
  <c r="BJH9" i="5"/>
  <c r="BJI9" i="5"/>
  <c r="BJJ9" i="5"/>
  <c r="BJK9" i="5"/>
  <c r="BJL9" i="5"/>
  <c r="BJM9" i="5"/>
  <c r="BJN9" i="5"/>
  <c r="BJO9" i="5"/>
  <c r="BJP9" i="5"/>
  <c r="BJQ9" i="5"/>
  <c r="BJR9" i="5"/>
  <c r="BJS9" i="5"/>
  <c r="BJT9" i="5"/>
  <c r="BJU9" i="5"/>
  <c r="BJV9" i="5"/>
  <c r="BJW9" i="5"/>
  <c r="BJX9" i="5"/>
  <c r="BJY9" i="5"/>
  <c r="BJZ9" i="5"/>
  <c r="BKA9" i="5"/>
  <c r="BKB9" i="5"/>
  <c r="BKC9" i="5"/>
  <c r="BKD9" i="5"/>
  <c r="BKE9" i="5"/>
  <c r="BKF9" i="5"/>
  <c r="BKG9" i="5"/>
  <c r="BKH9" i="5"/>
  <c r="BKI9" i="5"/>
  <c r="BKJ9" i="5"/>
  <c r="BKK9" i="5"/>
  <c r="BKL9" i="5"/>
  <c r="BKM9" i="5"/>
  <c r="BKN9" i="5"/>
  <c r="BKO9" i="5"/>
  <c r="BKP9" i="5"/>
  <c r="BKQ9" i="5"/>
  <c r="BKR9" i="5"/>
  <c r="BKS9" i="5"/>
  <c r="BKT9" i="5"/>
  <c r="BKU9" i="5"/>
  <c r="BKV9" i="5"/>
  <c r="BKW9" i="5"/>
  <c r="BKX9" i="5"/>
  <c r="BKY9" i="5"/>
  <c r="BKZ9" i="5"/>
  <c r="BLA9" i="5"/>
  <c r="BLB9" i="5"/>
  <c r="BLC9" i="5"/>
  <c r="BLD9" i="5"/>
  <c r="BLE9" i="5"/>
  <c r="BLF9" i="5"/>
  <c r="BLG9" i="5"/>
  <c r="BLH9" i="5"/>
  <c r="BLI9" i="5"/>
  <c r="BLJ9" i="5"/>
  <c r="BLK9" i="5"/>
  <c r="BLL9" i="5"/>
  <c r="BLM9" i="5"/>
  <c r="BLN9" i="5"/>
  <c r="BLO9" i="5"/>
  <c r="BLP9" i="5"/>
  <c r="BLQ9" i="5"/>
  <c r="BLR9" i="5"/>
  <c r="BLS9" i="5"/>
  <c r="BLT9" i="5"/>
  <c r="BLU9" i="5"/>
  <c r="BLV9" i="5"/>
  <c r="BLW9" i="5"/>
  <c r="BLX9" i="5"/>
  <c r="BLY9" i="5"/>
  <c r="BLZ9" i="5"/>
  <c r="BMA9" i="5"/>
  <c r="BMB9" i="5"/>
  <c r="BMC9" i="5"/>
  <c r="BMD9" i="5"/>
  <c r="BME9" i="5"/>
  <c r="BMF9" i="5"/>
  <c r="BMG9" i="5"/>
  <c r="BMH9" i="5"/>
  <c r="BMI9" i="5"/>
  <c r="BMJ9" i="5"/>
  <c r="BMK9" i="5"/>
  <c r="BML9" i="5"/>
  <c r="BMM9" i="5"/>
  <c r="BMN9" i="5"/>
  <c r="BMO9" i="5"/>
  <c r="BMP9" i="5"/>
  <c r="BMQ9" i="5"/>
  <c r="BMR9" i="5"/>
  <c r="BMS9" i="5"/>
  <c r="BMT9" i="5"/>
  <c r="BMU9" i="5"/>
  <c r="BMV9" i="5"/>
  <c r="BMW9" i="5"/>
  <c r="BMX9" i="5"/>
  <c r="BMY9" i="5"/>
  <c r="BMZ9" i="5"/>
  <c r="BNA9" i="5"/>
  <c r="BNB9" i="5"/>
  <c r="BNC9" i="5"/>
  <c r="BND9" i="5"/>
  <c r="BNE9" i="5"/>
  <c r="BNF9" i="5"/>
  <c r="BNG9" i="5"/>
  <c r="BNH9" i="5"/>
  <c r="BNI9" i="5"/>
  <c r="BNJ9" i="5"/>
  <c r="BNK9" i="5"/>
  <c r="BNL9" i="5"/>
  <c r="BNM9" i="5"/>
  <c r="BNN9" i="5"/>
  <c r="BNO9" i="5"/>
  <c r="BNP9" i="5"/>
  <c r="BNQ9" i="5"/>
  <c r="BNR9" i="5"/>
  <c r="BNS9" i="5"/>
  <c r="BNT9" i="5"/>
  <c r="BNU9" i="5"/>
  <c r="BNV9" i="5"/>
  <c r="BNW9" i="5"/>
  <c r="BNX9" i="5"/>
  <c r="BNY9" i="5"/>
  <c r="BNZ9" i="5"/>
  <c r="BOA9" i="5"/>
  <c r="BOB9" i="5"/>
  <c r="BOC9" i="5"/>
  <c r="BOD9" i="5"/>
  <c r="BOE9" i="5"/>
  <c r="BOF9" i="5"/>
  <c r="BOG9" i="5"/>
  <c r="BOH9" i="5"/>
  <c r="BOI9" i="5"/>
  <c r="BOJ9" i="5"/>
  <c r="BOK9" i="5"/>
  <c r="BOL9" i="5"/>
  <c r="BOM9" i="5"/>
  <c r="BON9" i="5"/>
  <c r="BOO9" i="5"/>
  <c r="BOP9" i="5"/>
  <c r="BOQ9" i="5"/>
  <c r="BOR9" i="5"/>
  <c r="BOS9" i="5"/>
  <c r="BOT9" i="5"/>
  <c r="BOU9" i="5"/>
  <c r="BOV9" i="5"/>
  <c r="BOW9" i="5"/>
  <c r="BOX9" i="5"/>
  <c r="BOY9" i="5"/>
  <c r="BOZ9" i="5"/>
  <c r="BPA9" i="5"/>
  <c r="BPB9" i="5"/>
  <c r="BPC9" i="5"/>
  <c r="BPD9" i="5"/>
  <c r="BPE9" i="5"/>
  <c r="BPF9" i="5"/>
  <c r="BPG9" i="5"/>
  <c r="BPH9" i="5"/>
  <c r="BPI9" i="5"/>
  <c r="BPJ9" i="5"/>
  <c r="BPK9" i="5"/>
  <c r="BPL9" i="5"/>
  <c r="BPM9" i="5"/>
  <c r="BPN9" i="5"/>
  <c r="BPO9" i="5"/>
  <c r="BPP9" i="5"/>
  <c r="BPQ9" i="5"/>
  <c r="BPR9" i="5"/>
  <c r="BPS9" i="5"/>
  <c r="BPT9" i="5"/>
  <c r="BPU9" i="5"/>
  <c r="BPV9" i="5"/>
  <c r="BPW9" i="5"/>
  <c r="BPX9" i="5"/>
  <c r="BPY9" i="5"/>
  <c r="BPZ9" i="5"/>
  <c r="BQA9" i="5"/>
  <c r="BQB9" i="5"/>
  <c r="BQC9" i="5"/>
  <c r="BQD9" i="5"/>
  <c r="BQE9" i="5"/>
  <c r="BQF9" i="5"/>
  <c r="BQG9" i="5"/>
  <c r="BQH9" i="5"/>
  <c r="BQI9" i="5"/>
  <c r="BQJ9" i="5"/>
  <c r="BQK9" i="5"/>
  <c r="BQL9" i="5"/>
  <c r="BQM9" i="5"/>
  <c r="BQN9" i="5"/>
  <c r="BQO9" i="5"/>
  <c r="BQP9" i="5"/>
  <c r="BQQ9" i="5"/>
  <c r="BQR9" i="5"/>
  <c r="BQS9" i="5"/>
  <c r="BQT9" i="5"/>
  <c r="BQU9" i="5"/>
  <c r="BQV9" i="5"/>
  <c r="BQW9" i="5"/>
  <c r="BQX9" i="5"/>
  <c r="BQY9" i="5"/>
  <c r="BQZ9" i="5"/>
  <c r="BRA9" i="5"/>
  <c r="BRB9" i="5"/>
  <c r="BRC9" i="5"/>
  <c r="BRD9" i="5"/>
  <c r="BRE9" i="5"/>
  <c r="BRF9" i="5"/>
  <c r="BRG9" i="5"/>
  <c r="BRH9" i="5"/>
  <c r="BRI9" i="5"/>
  <c r="BRJ9" i="5"/>
  <c r="BRK9" i="5"/>
  <c r="BRL9" i="5"/>
  <c r="BRM9" i="5"/>
  <c r="BRN9" i="5"/>
  <c r="BRO9" i="5"/>
  <c r="BRP9" i="5"/>
  <c r="BRQ9" i="5"/>
  <c r="BRR9" i="5"/>
  <c r="BRS9" i="5"/>
  <c r="BRT9" i="5"/>
  <c r="BRU9" i="5"/>
  <c r="BRV9" i="5"/>
  <c r="BRW9" i="5"/>
  <c r="BRX9" i="5"/>
  <c r="BRY9" i="5"/>
  <c r="BRZ9" i="5"/>
  <c r="BSA9" i="5"/>
  <c r="BSB9" i="5"/>
  <c r="BSC9" i="5"/>
  <c r="BSD9" i="5"/>
  <c r="BSE9" i="5"/>
  <c r="BSF9" i="5"/>
  <c r="BSG9" i="5"/>
  <c r="BSH9" i="5"/>
  <c r="BSI9" i="5"/>
  <c r="BSJ9" i="5"/>
  <c r="BSK9" i="5"/>
  <c r="BSL9" i="5"/>
  <c r="BSM9" i="5"/>
  <c r="BSN9" i="5"/>
  <c r="BSO9" i="5"/>
  <c r="BSP9" i="5"/>
  <c r="BSQ9" i="5"/>
  <c r="BSR9" i="5"/>
  <c r="BSS9" i="5"/>
  <c r="BST9" i="5"/>
  <c r="BSU9" i="5"/>
  <c r="BSV9" i="5"/>
  <c r="BSW9" i="5"/>
  <c r="BSX9" i="5"/>
  <c r="BSY9" i="5"/>
  <c r="BSZ9" i="5"/>
  <c r="BTA9" i="5"/>
  <c r="BTB9" i="5"/>
  <c r="BTC9" i="5"/>
  <c r="BTD9" i="5"/>
  <c r="BTE9" i="5"/>
  <c r="BTF9" i="5"/>
  <c r="BTG9" i="5"/>
  <c r="BTH9" i="5"/>
  <c r="BTI9" i="5"/>
  <c r="BTJ9" i="5"/>
  <c r="BTK9" i="5"/>
  <c r="BTL9" i="5"/>
  <c r="BTM9" i="5"/>
  <c r="BTN9" i="5"/>
  <c r="BTO9" i="5"/>
  <c r="BTP9" i="5"/>
  <c r="BTQ9" i="5"/>
  <c r="BTR9" i="5"/>
  <c r="BTS9" i="5"/>
  <c r="BTT9" i="5"/>
  <c r="BTU9" i="5"/>
  <c r="BTV9" i="5"/>
  <c r="BTW9" i="5"/>
  <c r="BTX9" i="5"/>
  <c r="BTY9" i="5"/>
  <c r="BTZ9" i="5"/>
  <c r="BUA9" i="5"/>
  <c r="BUB9" i="5"/>
  <c r="BUC9" i="5"/>
  <c r="BUD9" i="5"/>
  <c r="BUE9" i="5"/>
  <c r="BUF9" i="5"/>
  <c r="BUG9" i="5"/>
  <c r="BUH9" i="5"/>
  <c r="BUI9" i="5"/>
  <c r="BUJ9" i="5"/>
  <c r="BUK9" i="5"/>
  <c r="BUL9" i="5"/>
  <c r="BUM9" i="5"/>
  <c r="BUN9" i="5"/>
  <c r="BUO9" i="5"/>
  <c r="BUP9" i="5"/>
  <c r="BUQ9" i="5"/>
  <c r="BUR9" i="5"/>
  <c r="BUS9" i="5"/>
  <c r="BUT9" i="5"/>
  <c r="BUU9" i="5"/>
  <c r="BUV9" i="5"/>
  <c r="BUW9" i="5"/>
  <c r="BUX9" i="5"/>
  <c r="BUY9" i="5"/>
  <c r="BUZ9" i="5"/>
  <c r="BVA9" i="5"/>
  <c r="BVB9" i="5"/>
  <c r="BVC9" i="5"/>
  <c r="BVD9" i="5"/>
  <c r="BVE9" i="5"/>
  <c r="BVF9" i="5"/>
  <c r="BVG9" i="5"/>
  <c r="BVH9" i="5"/>
  <c r="BVI9" i="5"/>
  <c r="BVJ9" i="5"/>
  <c r="BVK9" i="5"/>
  <c r="BVL9" i="5"/>
  <c r="BVM9" i="5"/>
  <c r="BVN9" i="5"/>
  <c r="BVO9" i="5"/>
  <c r="BVP9" i="5"/>
  <c r="BVQ9" i="5"/>
  <c r="BVR9" i="5"/>
  <c r="BVS9" i="5"/>
  <c r="BVT9" i="5"/>
  <c r="BVU9" i="5"/>
  <c r="BVV9" i="5"/>
  <c r="BVW9" i="5"/>
  <c r="BVX9" i="5"/>
  <c r="BVY9" i="5"/>
  <c r="BVZ9" i="5"/>
  <c r="BWA9" i="5"/>
  <c r="BWB9" i="5"/>
  <c r="BWC9" i="5"/>
  <c r="BWD9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ND10" i="5"/>
  <c r="NE10" i="5"/>
  <c r="NF10" i="5"/>
  <c r="NG10" i="5"/>
  <c r="NH10" i="5"/>
  <c r="NI10" i="5"/>
  <c r="NJ10" i="5"/>
  <c r="NK10" i="5"/>
  <c r="NL10" i="5"/>
  <c r="NM10" i="5"/>
  <c r="NN10" i="5"/>
  <c r="NO10" i="5"/>
  <c r="NP10" i="5"/>
  <c r="NQ10" i="5"/>
  <c r="NR10" i="5"/>
  <c r="NS10" i="5"/>
  <c r="NT10" i="5"/>
  <c r="NU10" i="5"/>
  <c r="NV10" i="5"/>
  <c r="NW10" i="5"/>
  <c r="NX10" i="5"/>
  <c r="NY10" i="5"/>
  <c r="NZ10" i="5"/>
  <c r="OA10" i="5"/>
  <c r="OB10" i="5"/>
  <c r="OC10" i="5"/>
  <c r="OD10" i="5"/>
  <c r="OE10" i="5"/>
  <c r="OF10" i="5"/>
  <c r="OG10" i="5"/>
  <c r="OH10" i="5"/>
  <c r="OI10" i="5"/>
  <c r="OJ10" i="5"/>
  <c r="OK10" i="5"/>
  <c r="OL10" i="5"/>
  <c r="OM10" i="5"/>
  <c r="ON10" i="5"/>
  <c r="OO10" i="5"/>
  <c r="OP10" i="5"/>
  <c r="OQ10" i="5"/>
  <c r="OR10" i="5"/>
  <c r="OS10" i="5"/>
  <c r="OT10" i="5"/>
  <c r="OU10" i="5"/>
  <c r="OV10" i="5"/>
  <c r="OW10" i="5"/>
  <c r="OX10" i="5"/>
  <c r="OY10" i="5"/>
  <c r="OZ10" i="5"/>
  <c r="PA10" i="5"/>
  <c r="PB10" i="5"/>
  <c r="PC10" i="5"/>
  <c r="PD10" i="5"/>
  <c r="PE10" i="5"/>
  <c r="PF10" i="5"/>
  <c r="PG10" i="5"/>
  <c r="PH10" i="5"/>
  <c r="PI10" i="5"/>
  <c r="PJ10" i="5"/>
  <c r="PK10" i="5"/>
  <c r="PL10" i="5"/>
  <c r="PM10" i="5"/>
  <c r="PN10" i="5"/>
  <c r="PO10" i="5"/>
  <c r="PP10" i="5"/>
  <c r="PQ10" i="5"/>
  <c r="PR10" i="5"/>
  <c r="PS10" i="5"/>
  <c r="PT10" i="5"/>
  <c r="PU10" i="5"/>
  <c r="PV10" i="5"/>
  <c r="PW10" i="5"/>
  <c r="PX10" i="5"/>
  <c r="PY10" i="5"/>
  <c r="PZ10" i="5"/>
  <c r="QA10" i="5"/>
  <c r="QB10" i="5"/>
  <c r="QC10" i="5"/>
  <c r="QD10" i="5"/>
  <c r="QE10" i="5"/>
  <c r="QF10" i="5"/>
  <c r="QG10" i="5"/>
  <c r="QH10" i="5"/>
  <c r="QI10" i="5"/>
  <c r="QJ10" i="5"/>
  <c r="QK10" i="5"/>
  <c r="QL10" i="5"/>
  <c r="QM10" i="5"/>
  <c r="QN10" i="5"/>
  <c r="QO10" i="5"/>
  <c r="QP10" i="5"/>
  <c r="QQ10" i="5"/>
  <c r="QR10" i="5"/>
  <c r="QS10" i="5"/>
  <c r="QT10" i="5"/>
  <c r="QU10" i="5"/>
  <c r="QV10" i="5"/>
  <c r="QW10" i="5"/>
  <c r="QX10" i="5"/>
  <c r="QY10" i="5"/>
  <c r="QZ10" i="5"/>
  <c r="RA10" i="5"/>
  <c r="RB10" i="5"/>
  <c r="RC10" i="5"/>
  <c r="RD10" i="5"/>
  <c r="RE10" i="5"/>
  <c r="RF10" i="5"/>
  <c r="RG10" i="5"/>
  <c r="RH10" i="5"/>
  <c r="RI10" i="5"/>
  <c r="RJ10" i="5"/>
  <c r="RK10" i="5"/>
  <c r="RL10" i="5"/>
  <c r="RM10" i="5"/>
  <c r="RN10" i="5"/>
  <c r="RO10" i="5"/>
  <c r="RP10" i="5"/>
  <c r="RQ10" i="5"/>
  <c r="RR10" i="5"/>
  <c r="RS10" i="5"/>
  <c r="RT10" i="5"/>
  <c r="RU10" i="5"/>
  <c r="RV10" i="5"/>
  <c r="RW10" i="5"/>
  <c r="RX10" i="5"/>
  <c r="RY10" i="5"/>
  <c r="RZ10" i="5"/>
  <c r="SA10" i="5"/>
  <c r="SB10" i="5"/>
  <c r="SC10" i="5"/>
  <c r="SD10" i="5"/>
  <c r="SE10" i="5"/>
  <c r="SF10" i="5"/>
  <c r="SG10" i="5"/>
  <c r="SH10" i="5"/>
  <c r="SI10" i="5"/>
  <c r="SJ10" i="5"/>
  <c r="SK10" i="5"/>
  <c r="SL10" i="5"/>
  <c r="SM10" i="5"/>
  <c r="SN10" i="5"/>
  <c r="SO10" i="5"/>
  <c r="SP10" i="5"/>
  <c r="SQ10" i="5"/>
  <c r="SR10" i="5"/>
  <c r="SS10" i="5"/>
  <c r="ST10" i="5"/>
  <c r="SU10" i="5"/>
  <c r="SV10" i="5"/>
  <c r="SW10" i="5"/>
  <c r="SX10" i="5"/>
  <c r="SY10" i="5"/>
  <c r="SZ10" i="5"/>
  <c r="TA10" i="5"/>
  <c r="TB10" i="5"/>
  <c r="TC10" i="5"/>
  <c r="TD10" i="5"/>
  <c r="TE10" i="5"/>
  <c r="TF10" i="5"/>
  <c r="TG10" i="5"/>
  <c r="TH10" i="5"/>
  <c r="TI10" i="5"/>
  <c r="TJ10" i="5"/>
  <c r="TK10" i="5"/>
  <c r="TL10" i="5"/>
  <c r="TM10" i="5"/>
  <c r="TN10" i="5"/>
  <c r="TO10" i="5"/>
  <c r="TP10" i="5"/>
  <c r="TQ10" i="5"/>
  <c r="TR10" i="5"/>
  <c r="TS10" i="5"/>
  <c r="TT10" i="5"/>
  <c r="TU10" i="5"/>
  <c r="TV10" i="5"/>
  <c r="TW10" i="5"/>
  <c r="TX10" i="5"/>
  <c r="TY10" i="5"/>
  <c r="TZ10" i="5"/>
  <c r="UA10" i="5"/>
  <c r="UB10" i="5"/>
  <c r="UC10" i="5"/>
  <c r="UD10" i="5"/>
  <c r="UE10" i="5"/>
  <c r="UF10" i="5"/>
  <c r="UG10" i="5"/>
  <c r="UH10" i="5"/>
  <c r="UI10" i="5"/>
  <c r="UJ10" i="5"/>
  <c r="UK10" i="5"/>
  <c r="UL10" i="5"/>
  <c r="UM10" i="5"/>
  <c r="UN10" i="5"/>
  <c r="UO10" i="5"/>
  <c r="UP10" i="5"/>
  <c r="UQ10" i="5"/>
  <c r="UR10" i="5"/>
  <c r="US10" i="5"/>
  <c r="UT10" i="5"/>
  <c r="UU10" i="5"/>
  <c r="UV10" i="5"/>
  <c r="UW10" i="5"/>
  <c r="UX10" i="5"/>
  <c r="UY10" i="5"/>
  <c r="UZ10" i="5"/>
  <c r="VA10" i="5"/>
  <c r="VB10" i="5"/>
  <c r="VC10" i="5"/>
  <c r="VD10" i="5"/>
  <c r="VE10" i="5"/>
  <c r="VF10" i="5"/>
  <c r="VG10" i="5"/>
  <c r="VH10" i="5"/>
  <c r="VI10" i="5"/>
  <c r="VJ10" i="5"/>
  <c r="VK10" i="5"/>
  <c r="VL10" i="5"/>
  <c r="VM10" i="5"/>
  <c r="VN10" i="5"/>
  <c r="VO10" i="5"/>
  <c r="VP10" i="5"/>
  <c r="VQ10" i="5"/>
  <c r="VR10" i="5"/>
  <c r="VS10" i="5"/>
  <c r="VT10" i="5"/>
  <c r="VU10" i="5"/>
  <c r="VV10" i="5"/>
  <c r="VW10" i="5"/>
  <c r="VX10" i="5"/>
  <c r="VY10" i="5"/>
  <c r="VZ10" i="5"/>
  <c r="WA10" i="5"/>
  <c r="WB10" i="5"/>
  <c r="WC10" i="5"/>
  <c r="WD10" i="5"/>
  <c r="WE10" i="5"/>
  <c r="WF10" i="5"/>
  <c r="WG10" i="5"/>
  <c r="WH10" i="5"/>
  <c r="WI10" i="5"/>
  <c r="WJ10" i="5"/>
  <c r="WK10" i="5"/>
  <c r="WL10" i="5"/>
  <c r="WM10" i="5"/>
  <c r="WN10" i="5"/>
  <c r="WO10" i="5"/>
  <c r="WP10" i="5"/>
  <c r="WQ10" i="5"/>
  <c r="WR10" i="5"/>
  <c r="WS10" i="5"/>
  <c r="WT10" i="5"/>
  <c r="WU10" i="5"/>
  <c r="WV10" i="5"/>
  <c r="WW10" i="5"/>
  <c r="WX10" i="5"/>
  <c r="WY10" i="5"/>
  <c r="WZ10" i="5"/>
  <c r="XA10" i="5"/>
  <c r="XB10" i="5"/>
  <c r="XC10" i="5"/>
  <c r="XD10" i="5"/>
  <c r="XE10" i="5"/>
  <c r="XF10" i="5"/>
  <c r="XG10" i="5"/>
  <c r="XH10" i="5"/>
  <c r="XI10" i="5"/>
  <c r="XJ10" i="5"/>
  <c r="XK10" i="5"/>
  <c r="XL10" i="5"/>
  <c r="XM10" i="5"/>
  <c r="XN10" i="5"/>
  <c r="XO10" i="5"/>
  <c r="XP10" i="5"/>
  <c r="XQ10" i="5"/>
  <c r="XR10" i="5"/>
  <c r="XS10" i="5"/>
  <c r="XT10" i="5"/>
  <c r="XU10" i="5"/>
  <c r="XV10" i="5"/>
  <c r="XW10" i="5"/>
  <c r="XX10" i="5"/>
  <c r="XY10" i="5"/>
  <c r="XZ10" i="5"/>
  <c r="YA10" i="5"/>
  <c r="YB10" i="5"/>
  <c r="YC10" i="5"/>
  <c r="YD10" i="5"/>
  <c r="YE10" i="5"/>
  <c r="YF10" i="5"/>
  <c r="YG10" i="5"/>
  <c r="YH10" i="5"/>
  <c r="YI10" i="5"/>
  <c r="YJ10" i="5"/>
  <c r="YK10" i="5"/>
  <c r="YL10" i="5"/>
  <c r="YM10" i="5"/>
  <c r="YN10" i="5"/>
  <c r="YO10" i="5"/>
  <c r="YP10" i="5"/>
  <c r="YQ10" i="5"/>
  <c r="YR10" i="5"/>
  <c r="YS10" i="5"/>
  <c r="YT10" i="5"/>
  <c r="YU10" i="5"/>
  <c r="YV10" i="5"/>
  <c r="YW10" i="5"/>
  <c r="YX10" i="5"/>
  <c r="YY10" i="5"/>
  <c r="YZ10" i="5"/>
  <c r="ZA10" i="5"/>
  <c r="ZB10" i="5"/>
  <c r="ZC10" i="5"/>
  <c r="ZD10" i="5"/>
  <c r="ZE10" i="5"/>
  <c r="ZF10" i="5"/>
  <c r="ZG10" i="5"/>
  <c r="ZH10" i="5"/>
  <c r="ZI10" i="5"/>
  <c r="ZJ10" i="5"/>
  <c r="ZK10" i="5"/>
  <c r="ZL10" i="5"/>
  <c r="ZM10" i="5"/>
  <c r="ZN10" i="5"/>
  <c r="ZO10" i="5"/>
  <c r="ZP10" i="5"/>
  <c r="ZQ10" i="5"/>
  <c r="ZR10" i="5"/>
  <c r="ZS10" i="5"/>
  <c r="ZT10" i="5"/>
  <c r="ZU10" i="5"/>
  <c r="ZV10" i="5"/>
  <c r="ZW10" i="5"/>
  <c r="ZX10" i="5"/>
  <c r="ZY10" i="5"/>
  <c r="ZZ10" i="5"/>
  <c r="AAA10" i="5"/>
  <c r="AAB10" i="5"/>
  <c r="AAC10" i="5"/>
  <c r="AAD10" i="5"/>
  <c r="AAE10" i="5"/>
  <c r="AAF10" i="5"/>
  <c r="AAG10" i="5"/>
  <c r="AAH10" i="5"/>
  <c r="AAI10" i="5"/>
  <c r="AAJ10" i="5"/>
  <c r="AAK10" i="5"/>
  <c r="AAL10" i="5"/>
  <c r="AAM10" i="5"/>
  <c r="AAN10" i="5"/>
  <c r="AAO10" i="5"/>
  <c r="AAP10" i="5"/>
  <c r="AAQ10" i="5"/>
  <c r="AAR10" i="5"/>
  <c r="AAS10" i="5"/>
  <c r="AAT10" i="5"/>
  <c r="AAU10" i="5"/>
  <c r="AAV10" i="5"/>
  <c r="AAW10" i="5"/>
  <c r="AAX10" i="5"/>
  <c r="AAY10" i="5"/>
  <c r="AAZ10" i="5"/>
  <c r="ABA10" i="5"/>
  <c r="ABB10" i="5"/>
  <c r="ABC10" i="5"/>
  <c r="ABD10" i="5"/>
  <c r="ABE10" i="5"/>
  <c r="ABF10" i="5"/>
  <c r="ABG10" i="5"/>
  <c r="ABH10" i="5"/>
  <c r="ABI10" i="5"/>
  <c r="ABJ10" i="5"/>
  <c r="ABK10" i="5"/>
  <c r="ABL10" i="5"/>
  <c r="ABM10" i="5"/>
  <c r="ABN10" i="5"/>
  <c r="ABO10" i="5"/>
  <c r="ABP10" i="5"/>
  <c r="ABQ10" i="5"/>
  <c r="ABR10" i="5"/>
  <c r="ABS10" i="5"/>
  <c r="ABT10" i="5"/>
  <c r="ABU10" i="5"/>
  <c r="ABV10" i="5"/>
  <c r="ABW10" i="5"/>
  <c r="ABX10" i="5"/>
  <c r="ABY10" i="5"/>
  <c r="ABZ10" i="5"/>
  <c r="ACA10" i="5"/>
  <c r="ACB10" i="5"/>
  <c r="ACC10" i="5"/>
  <c r="ACD10" i="5"/>
  <c r="ACE10" i="5"/>
  <c r="ACF10" i="5"/>
  <c r="ACG10" i="5"/>
  <c r="ACH10" i="5"/>
  <c r="ACI10" i="5"/>
  <c r="ACJ10" i="5"/>
  <c r="ACK10" i="5"/>
  <c r="ACL10" i="5"/>
  <c r="ACM10" i="5"/>
  <c r="ACN10" i="5"/>
  <c r="ACO10" i="5"/>
  <c r="ACP10" i="5"/>
  <c r="ACQ10" i="5"/>
  <c r="ACR10" i="5"/>
  <c r="ACS10" i="5"/>
  <c r="ACT10" i="5"/>
  <c r="ACU10" i="5"/>
  <c r="ACV10" i="5"/>
  <c r="ACW10" i="5"/>
  <c r="ACX10" i="5"/>
  <c r="ACY10" i="5"/>
  <c r="ACZ10" i="5"/>
  <c r="ADA10" i="5"/>
  <c r="ADB10" i="5"/>
  <c r="ADC10" i="5"/>
  <c r="ADD10" i="5"/>
  <c r="ADE10" i="5"/>
  <c r="ADF10" i="5"/>
  <c r="ADG10" i="5"/>
  <c r="ADH10" i="5"/>
  <c r="ADI10" i="5"/>
  <c r="ADJ10" i="5"/>
  <c r="ADK10" i="5"/>
  <c r="ADL10" i="5"/>
  <c r="ADM10" i="5"/>
  <c r="ADN10" i="5"/>
  <c r="ADO10" i="5"/>
  <c r="ADP10" i="5"/>
  <c r="ADQ10" i="5"/>
  <c r="ADR10" i="5"/>
  <c r="ADS10" i="5"/>
  <c r="ADT10" i="5"/>
  <c r="ADU10" i="5"/>
  <c r="ADV10" i="5"/>
  <c r="ADW10" i="5"/>
  <c r="ADX10" i="5"/>
  <c r="ADY10" i="5"/>
  <c r="ADZ10" i="5"/>
  <c r="AEA10" i="5"/>
  <c r="AEB10" i="5"/>
  <c r="AEC10" i="5"/>
  <c r="AED10" i="5"/>
  <c r="AEE10" i="5"/>
  <c r="AEF10" i="5"/>
  <c r="AEG10" i="5"/>
  <c r="AEH10" i="5"/>
  <c r="AEI10" i="5"/>
  <c r="AEJ10" i="5"/>
  <c r="AEK10" i="5"/>
  <c r="AEL10" i="5"/>
  <c r="AEM10" i="5"/>
  <c r="AEN10" i="5"/>
  <c r="AEO10" i="5"/>
  <c r="AEP10" i="5"/>
  <c r="AEQ10" i="5"/>
  <c r="AER10" i="5"/>
  <c r="AES10" i="5"/>
  <c r="AET10" i="5"/>
  <c r="AEU10" i="5"/>
  <c r="AEV10" i="5"/>
  <c r="AEW10" i="5"/>
  <c r="AEX10" i="5"/>
  <c r="AEY10" i="5"/>
  <c r="AEZ10" i="5"/>
  <c r="AFA10" i="5"/>
  <c r="AFB10" i="5"/>
  <c r="AFC10" i="5"/>
  <c r="AFD10" i="5"/>
  <c r="AFE10" i="5"/>
  <c r="AFF10" i="5"/>
  <c r="AFG10" i="5"/>
  <c r="AFH10" i="5"/>
  <c r="AFI10" i="5"/>
  <c r="AFJ10" i="5"/>
  <c r="AFK10" i="5"/>
  <c r="AFL10" i="5"/>
  <c r="AFM10" i="5"/>
  <c r="AFN10" i="5"/>
  <c r="AFO10" i="5"/>
  <c r="AFP10" i="5"/>
  <c r="AFQ10" i="5"/>
  <c r="AFR10" i="5"/>
  <c r="AFS10" i="5"/>
  <c r="AFT10" i="5"/>
  <c r="AFU10" i="5"/>
  <c r="AFV10" i="5"/>
  <c r="AFW10" i="5"/>
  <c r="AFX10" i="5"/>
  <c r="AFY10" i="5"/>
  <c r="AFZ10" i="5"/>
  <c r="AGA10" i="5"/>
  <c r="AGB10" i="5"/>
  <c r="AGC10" i="5"/>
  <c r="AGD10" i="5"/>
  <c r="AGE10" i="5"/>
  <c r="AGF10" i="5"/>
  <c r="AGG10" i="5"/>
  <c r="AGH10" i="5"/>
  <c r="AGI10" i="5"/>
  <c r="AGJ10" i="5"/>
  <c r="AGK10" i="5"/>
  <c r="AGL10" i="5"/>
  <c r="AGM10" i="5"/>
  <c r="AGN10" i="5"/>
  <c r="AGO10" i="5"/>
  <c r="AGP10" i="5"/>
  <c r="AGQ10" i="5"/>
  <c r="AGR10" i="5"/>
  <c r="AGS10" i="5"/>
  <c r="AGT10" i="5"/>
  <c r="AGU10" i="5"/>
  <c r="AGV10" i="5"/>
  <c r="AGW10" i="5"/>
  <c r="AGX10" i="5"/>
  <c r="AGY10" i="5"/>
  <c r="AGZ10" i="5"/>
  <c r="AHA10" i="5"/>
  <c r="AHB10" i="5"/>
  <c r="AHC10" i="5"/>
  <c r="AHD10" i="5"/>
  <c r="AHE10" i="5"/>
  <c r="AHF10" i="5"/>
  <c r="AHG10" i="5"/>
  <c r="AHH10" i="5"/>
  <c r="AHI10" i="5"/>
  <c r="AHJ10" i="5"/>
  <c r="AHK10" i="5"/>
  <c r="AHL10" i="5"/>
  <c r="AHM10" i="5"/>
  <c r="AHN10" i="5"/>
  <c r="AHO10" i="5"/>
  <c r="AHP10" i="5"/>
  <c r="AHQ10" i="5"/>
  <c r="AHR10" i="5"/>
  <c r="AHS10" i="5"/>
  <c r="AHT10" i="5"/>
  <c r="AHU10" i="5"/>
  <c r="AHV10" i="5"/>
  <c r="AHW10" i="5"/>
  <c r="AHX10" i="5"/>
  <c r="AHY10" i="5"/>
  <c r="AHZ10" i="5"/>
  <c r="AIA10" i="5"/>
  <c r="AIB10" i="5"/>
  <c r="AIC10" i="5"/>
  <c r="AID10" i="5"/>
  <c r="AIE10" i="5"/>
  <c r="AIF10" i="5"/>
  <c r="AIG10" i="5"/>
  <c r="AIH10" i="5"/>
  <c r="AII10" i="5"/>
  <c r="AIJ10" i="5"/>
  <c r="AIK10" i="5"/>
  <c r="AIL10" i="5"/>
  <c r="AIM10" i="5"/>
  <c r="AIN10" i="5"/>
  <c r="AIO10" i="5"/>
  <c r="AIP10" i="5"/>
  <c r="AIQ10" i="5"/>
  <c r="AIR10" i="5"/>
  <c r="AIS10" i="5"/>
  <c r="AIT10" i="5"/>
  <c r="AIU10" i="5"/>
  <c r="AIV10" i="5"/>
  <c r="AIW10" i="5"/>
  <c r="AIX10" i="5"/>
  <c r="AIY10" i="5"/>
  <c r="AIZ10" i="5"/>
  <c r="AJA10" i="5"/>
  <c r="AJB10" i="5"/>
  <c r="AJC10" i="5"/>
  <c r="AJD10" i="5"/>
  <c r="AJE10" i="5"/>
  <c r="AJF10" i="5"/>
  <c r="AJG10" i="5"/>
  <c r="AJH10" i="5"/>
  <c r="AJI10" i="5"/>
  <c r="AJJ10" i="5"/>
  <c r="AJK10" i="5"/>
  <c r="AJL10" i="5"/>
  <c r="AJM10" i="5"/>
  <c r="AJN10" i="5"/>
  <c r="AJO10" i="5"/>
  <c r="AJP10" i="5"/>
  <c r="AJQ10" i="5"/>
  <c r="AJR10" i="5"/>
  <c r="AJS10" i="5"/>
  <c r="AJT10" i="5"/>
  <c r="AJU10" i="5"/>
  <c r="AJV10" i="5"/>
  <c r="AJW10" i="5"/>
  <c r="AJX10" i="5"/>
  <c r="AJY10" i="5"/>
  <c r="AJZ10" i="5"/>
  <c r="AKA10" i="5"/>
  <c r="AKB10" i="5"/>
  <c r="AKC10" i="5"/>
  <c r="AKD10" i="5"/>
  <c r="AKE10" i="5"/>
  <c r="AKF10" i="5"/>
  <c r="AKG10" i="5"/>
  <c r="AKH10" i="5"/>
  <c r="AKI10" i="5"/>
  <c r="AKJ10" i="5"/>
  <c r="AKK10" i="5"/>
  <c r="AKL10" i="5"/>
  <c r="AKM10" i="5"/>
  <c r="AKN10" i="5"/>
  <c r="AKO10" i="5"/>
  <c r="AKP10" i="5"/>
  <c r="AKQ10" i="5"/>
  <c r="AKR10" i="5"/>
  <c r="AKS10" i="5"/>
  <c r="AKT10" i="5"/>
  <c r="AKU10" i="5"/>
  <c r="AKV10" i="5"/>
  <c r="AKW10" i="5"/>
  <c r="AKX10" i="5"/>
  <c r="AKY10" i="5"/>
  <c r="AKZ10" i="5"/>
  <c r="ALA10" i="5"/>
  <c r="ALB10" i="5"/>
  <c r="ALC10" i="5"/>
  <c r="ALD10" i="5"/>
  <c r="ALE10" i="5"/>
  <c r="ALF10" i="5"/>
  <c r="ALG10" i="5"/>
  <c r="ALH10" i="5"/>
  <c r="ALI10" i="5"/>
  <c r="ALJ10" i="5"/>
  <c r="ALK10" i="5"/>
  <c r="ALL10" i="5"/>
  <c r="ALM10" i="5"/>
  <c r="ALN10" i="5"/>
  <c r="ALO10" i="5"/>
  <c r="ALP10" i="5"/>
  <c r="ALQ10" i="5"/>
  <c r="ALR10" i="5"/>
  <c r="ALS10" i="5"/>
  <c r="ALT10" i="5"/>
  <c r="ALU10" i="5"/>
  <c r="ALV10" i="5"/>
  <c r="ALW10" i="5"/>
  <c r="ALX10" i="5"/>
  <c r="ALY10" i="5"/>
  <c r="ALZ10" i="5"/>
  <c r="AMA10" i="5"/>
  <c r="AMB10" i="5"/>
  <c r="AMC10" i="5"/>
  <c r="AMD10" i="5"/>
  <c r="AME10" i="5"/>
  <c r="AMF10" i="5"/>
  <c r="AMG10" i="5"/>
  <c r="AMH10" i="5"/>
  <c r="AMI10" i="5"/>
  <c r="AMJ10" i="5"/>
  <c r="AMK10" i="5"/>
  <c r="AML10" i="5"/>
  <c r="AMM10" i="5"/>
  <c r="AMN10" i="5"/>
  <c r="AMO10" i="5"/>
  <c r="AMP10" i="5"/>
  <c r="AMQ10" i="5"/>
  <c r="AMR10" i="5"/>
  <c r="AMS10" i="5"/>
  <c r="AMT10" i="5"/>
  <c r="AMU10" i="5"/>
  <c r="AMV10" i="5"/>
  <c r="AMW10" i="5"/>
  <c r="AMX10" i="5"/>
  <c r="AMY10" i="5"/>
  <c r="AMZ10" i="5"/>
  <c r="ANA10" i="5"/>
  <c r="ANB10" i="5"/>
  <c r="ANC10" i="5"/>
  <c r="AND10" i="5"/>
  <c r="ANE10" i="5"/>
  <c r="ANF10" i="5"/>
  <c r="ANG10" i="5"/>
  <c r="ANH10" i="5"/>
  <c r="ANI10" i="5"/>
  <c r="ANJ10" i="5"/>
  <c r="ANK10" i="5"/>
  <c r="ANL10" i="5"/>
  <c r="ANM10" i="5"/>
  <c r="ANN10" i="5"/>
  <c r="ANO10" i="5"/>
  <c r="ANP10" i="5"/>
  <c r="ANQ10" i="5"/>
  <c r="ANR10" i="5"/>
  <c r="ANS10" i="5"/>
  <c r="ANT10" i="5"/>
  <c r="ANU10" i="5"/>
  <c r="ANV10" i="5"/>
  <c r="ANW10" i="5"/>
  <c r="ANX10" i="5"/>
  <c r="ANY10" i="5"/>
  <c r="ANZ10" i="5"/>
  <c r="AOA10" i="5"/>
  <c r="AOB10" i="5"/>
  <c r="AOC10" i="5"/>
  <c r="AOD10" i="5"/>
  <c r="AOE10" i="5"/>
  <c r="AOF10" i="5"/>
  <c r="AOG10" i="5"/>
  <c r="AOH10" i="5"/>
  <c r="AOI10" i="5"/>
  <c r="AOJ10" i="5"/>
  <c r="AOK10" i="5"/>
  <c r="AOL10" i="5"/>
  <c r="AOM10" i="5"/>
  <c r="AON10" i="5"/>
  <c r="AOO10" i="5"/>
  <c r="AOP10" i="5"/>
  <c r="AOQ10" i="5"/>
  <c r="AOR10" i="5"/>
  <c r="AOS10" i="5"/>
  <c r="AOT10" i="5"/>
  <c r="AOU10" i="5"/>
  <c r="AOV10" i="5"/>
  <c r="AOW10" i="5"/>
  <c r="AOX10" i="5"/>
  <c r="AOY10" i="5"/>
  <c r="AOZ10" i="5"/>
  <c r="APA10" i="5"/>
  <c r="APB10" i="5"/>
  <c r="APC10" i="5"/>
  <c r="APD10" i="5"/>
  <c r="APE10" i="5"/>
  <c r="APF10" i="5"/>
  <c r="APG10" i="5"/>
  <c r="APH10" i="5"/>
  <c r="API10" i="5"/>
  <c r="APJ10" i="5"/>
  <c r="APK10" i="5"/>
  <c r="APL10" i="5"/>
  <c r="APM10" i="5"/>
  <c r="APN10" i="5"/>
  <c r="APO10" i="5"/>
  <c r="APP10" i="5"/>
  <c r="APQ10" i="5"/>
  <c r="APR10" i="5"/>
  <c r="APS10" i="5"/>
  <c r="APT10" i="5"/>
  <c r="APU10" i="5"/>
  <c r="APV10" i="5"/>
  <c r="APW10" i="5"/>
  <c r="APX10" i="5"/>
  <c r="APY10" i="5"/>
  <c r="APZ10" i="5"/>
  <c r="AQA10" i="5"/>
  <c r="AQB10" i="5"/>
  <c r="AQC10" i="5"/>
  <c r="AQD10" i="5"/>
  <c r="AQE10" i="5"/>
  <c r="AQF10" i="5"/>
  <c r="AQG10" i="5"/>
  <c r="AQH10" i="5"/>
  <c r="AQI10" i="5"/>
  <c r="AQJ10" i="5"/>
  <c r="AQK10" i="5"/>
  <c r="AQL10" i="5"/>
  <c r="AQM10" i="5"/>
  <c r="AQN10" i="5"/>
  <c r="AQO10" i="5"/>
  <c r="AQP10" i="5"/>
  <c r="AQQ10" i="5"/>
  <c r="AQR10" i="5"/>
  <c r="AQS10" i="5"/>
  <c r="AQT10" i="5"/>
  <c r="AQU10" i="5"/>
  <c r="AQV10" i="5"/>
  <c r="AQW10" i="5"/>
  <c r="AQX10" i="5"/>
  <c r="AQY10" i="5"/>
  <c r="AQZ10" i="5"/>
  <c r="ARA10" i="5"/>
  <c r="ARB10" i="5"/>
  <c r="ARC10" i="5"/>
  <c r="ARD10" i="5"/>
  <c r="ARE10" i="5"/>
  <c r="ARF10" i="5"/>
  <c r="ARG10" i="5"/>
  <c r="ARH10" i="5"/>
  <c r="ARI10" i="5"/>
  <c r="ARJ10" i="5"/>
  <c r="ARK10" i="5"/>
  <c r="ARL10" i="5"/>
  <c r="ARM10" i="5"/>
  <c r="ARN10" i="5"/>
  <c r="ARO10" i="5"/>
  <c r="ARP10" i="5"/>
  <c r="ARQ10" i="5"/>
  <c r="ARR10" i="5"/>
  <c r="ARS10" i="5"/>
  <c r="ART10" i="5"/>
  <c r="ARU10" i="5"/>
  <c r="ARV10" i="5"/>
  <c r="ARW10" i="5"/>
  <c r="ARX10" i="5"/>
  <c r="ARY10" i="5"/>
  <c r="ARZ10" i="5"/>
  <c r="ASA10" i="5"/>
  <c r="ASB10" i="5"/>
  <c r="ASC10" i="5"/>
  <c r="ASD10" i="5"/>
  <c r="ASE10" i="5"/>
  <c r="ASF10" i="5"/>
  <c r="ASG10" i="5"/>
  <c r="ASH10" i="5"/>
  <c r="ASI10" i="5"/>
  <c r="ASJ10" i="5"/>
  <c r="ASK10" i="5"/>
  <c r="ASL10" i="5"/>
  <c r="ASM10" i="5"/>
  <c r="ASN10" i="5"/>
  <c r="ASO10" i="5"/>
  <c r="ASP10" i="5"/>
  <c r="ASQ10" i="5"/>
  <c r="ASR10" i="5"/>
  <c r="ASS10" i="5"/>
  <c r="AST10" i="5"/>
  <c r="ASU10" i="5"/>
  <c r="ASV10" i="5"/>
  <c r="ASW10" i="5"/>
  <c r="ASX10" i="5"/>
  <c r="ASY10" i="5"/>
  <c r="ASZ10" i="5"/>
  <c r="ATA10" i="5"/>
  <c r="ATB10" i="5"/>
  <c r="ATC10" i="5"/>
  <c r="ATD10" i="5"/>
  <c r="ATE10" i="5"/>
  <c r="ATF10" i="5"/>
  <c r="ATG10" i="5"/>
  <c r="ATH10" i="5"/>
  <c r="ATI10" i="5"/>
  <c r="ATJ10" i="5"/>
  <c r="ATK10" i="5"/>
  <c r="ATL10" i="5"/>
  <c r="ATM10" i="5"/>
  <c r="ATN10" i="5"/>
  <c r="ATO10" i="5"/>
  <c r="ATP10" i="5"/>
  <c r="ATQ10" i="5"/>
  <c r="ATR10" i="5"/>
  <c r="ATS10" i="5"/>
  <c r="ATT10" i="5"/>
  <c r="ATU10" i="5"/>
  <c r="ATV10" i="5"/>
  <c r="ATW10" i="5"/>
  <c r="ATX10" i="5"/>
  <c r="ATY10" i="5"/>
  <c r="ATZ10" i="5"/>
  <c r="AUA10" i="5"/>
  <c r="AUB10" i="5"/>
  <c r="AUC10" i="5"/>
  <c r="AUD10" i="5"/>
  <c r="AUE10" i="5"/>
  <c r="AUF10" i="5"/>
  <c r="AUG10" i="5"/>
  <c r="AUH10" i="5"/>
  <c r="AUI10" i="5"/>
  <c r="AUJ10" i="5"/>
  <c r="AUK10" i="5"/>
  <c r="AUL10" i="5"/>
  <c r="AUM10" i="5"/>
  <c r="AUN10" i="5"/>
  <c r="AUO10" i="5"/>
  <c r="AUP10" i="5"/>
  <c r="AUQ10" i="5"/>
  <c r="AUR10" i="5"/>
  <c r="AUS10" i="5"/>
  <c r="AUT10" i="5"/>
  <c r="AUU10" i="5"/>
  <c r="AUV10" i="5"/>
  <c r="AUW10" i="5"/>
  <c r="AUX10" i="5"/>
  <c r="AUY10" i="5"/>
  <c r="AUZ10" i="5"/>
  <c r="AVA10" i="5"/>
  <c r="AVB10" i="5"/>
  <c r="AVC10" i="5"/>
  <c r="AVD10" i="5"/>
  <c r="AVE10" i="5"/>
  <c r="AVF10" i="5"/>
  <c r="AVG10" i="5"/>
  <c r="AVH10" i="5"/>
  <c r="AVI10" i="5"/>
  <c r="AVJ10" i="5"/>
  <c r="AVK10" i="5"/>
  <c r="AVL10" i="5"/>
  <c r="AVM10" i="5"/>
  <c r="AVN10" i="5"/>
  <c r="AVO10" i="5"/>
  <c r="AVP10" i="5"/>
  <c r="AVQ10" i="5"/>
  <c r="AVR10" i="5"/>
  <c r="AVS10" i="5"/>
  <c r="AVT10" i="5"/>
  <c r="AVU10" i="5"/>
  <c r="AVV10" i="5"/>
  <c r="AVW10" i="5"/>
  <c r="AVX10" i="5"/>
  <c r="AVY10" i="5"/>
  <c r="AVZ10" i="5"/>
  <c r="AWA10" i="5"/>
  <c r="AWB10" i="5"/>
  <c r="AWC10" i="5"/>
  <c r="AWD10" i="5"/>
  <c r="AWE10" i="5"/>
  <c r="AWF10" i="5"/>
  <c r="AWG10" i="5"/>
  <c r="AWH10" i="5"/>
  <c r="AWI10" i="5"/>
  <c r="AWJ10" i="5"/>
  <c r="AWK10" i="5"/>
  <c r="AWL10" i="5"/>
  <c r="AWM10" i="5"/>
  <c r="AWN10" i="5"/>
  <c r="AWO10" i="5"/>
  <c r="AWP10" i="5"/>
  <c r="AWQ10" i="5"/>
  <c r="AWR10" i="5"/>
  <c r="AWS10" i="5"/>
  <c r="AWT10" i="5"/>
  <c r="AWU10" i="5"/>
  <c r="AWV10" i="5"/>
  <c r="AWW10" i="5"/>
  <c r="AWX10" i="5"/>
  <c r="AWY10" i="5"/>
  <c r="AWZ10" i="5"/>
  <c r="AXA10" i="5"/>
  <c r="AXB10" i="5"/>
  <c r="AXC10" i="5"/>
  <c r="AXD10" i="5"/>
  <c r="AXE10" i="5"/>
  <c r="AXF10" i="5"/>
  <c r="AXG10" i="5"/>
  <c r="AXH10" i="5"/>
  <c r="AXI10" i="5"/>
  <c r="AXJ10" i="5"/>
  <c r="AXK10" i="5"/>
  <c r="AXL10" i="5"/>
  <c r="AXM10" i="5"/>
  <c r="AXN10" i="5"/>
  <c r="AXO10" i="5"/>
  <c r="AXP10" i="5"/>
  <c r="AXQ10" i="5"/>
  <c r="AXR10" i="5"/>
  <c r="AXS10" i="5"/>
  <c r="AXT10" i="5"/>
  <c r="AXU10" i="5"/>
  <c r="AXV10" i="5"/>
  <c r="AXW10" i="5"/>
  <c r="AXX10" i="5"/>
  <c r="AXY10" i="5"/>
  <c r="AXZ10" i="5"/>
  <c r="AYA10" i="5"/>
  <c r="AYB10" i="5"/>
  <c r="AYC10" i="5"/>
  <c r="AYD10" i="5"/>
  <c r="AYE10" i="5"/>
  <c r="AYF10" i="5"/>
  <c r="AYG10" i="5"/>
  <c r="AYH10" i="5"/>
  <c r="AYI10" i="5"/>
  <c r="AYJ10" i="5"/>
  <c r="AYK10" i="5"/>
  <c r="AYL10" i="5"/>
  <c r="AYM10" i="5"/>
  <c r="AYN10" i="5"/>
  <c r="AYO10" i="5"/>
  <c r="AYP10" i="5"/>
  <c r="AYQ10" i="5"/>
  <c r="AYR10" i="5"/>
  <c r="AYS10" i="5"/>
  <c r="AYT10" i="5"/>
  <c r="AYU10" i="5"/>
  <c r="AYV10" i="5"/>
  <c r="AYW10" i="5"/>
  <c r="AYX10" i="5"/>
  <c r="AYY10" i="5"/>
  <c r="AYZ10" i="5"/>
  <c r="AZA10" i="5"/>
  <c r="AZB10" i="5"/>
  <c r="AZC10" i="5"/>
  <c r="AZD10" i="5"/>
  <c r="AZE10" i="5"/>
  <c r="AZF10" i="5"/>
  <c r="AZG10" i="5"/>
  <c r="AZH10" i="5"/>
  <c r="AZI10" i="5"/>
  <c r="AZJ10" i="5"/>
  <c r="AZK10" i="5"/>
  <c r="AZL10" i="5"/>
  <c r="AZM10" i="5"/>
  <c r="AZN10" i="5"/>
  <c r="AZO10" i="5"/>
  <c r="AZP10" i="5"/>
  <c r="AZQ10" i="5"/>
  <c r="AZR10" i="5"/>
  <c r="AZS10" i="5"/>
  <c r="AZT10" i="5"/>
  <c r="AZU10" i="5"/>
  <c r="AZV10" i="5"/>
  <c r="AZW10" i="5"/>
  <c r="AZX10" i="5"/>
  <c r="AZY10" i="5"/>
  <c r="AZZ10" i="5"/>
  <c r="BAA10" i="5"/>
  <c r="BAB10" i="5"/>
  <c r="BAC10" i="5"/>
  <c r="BAD10" i="5"/>
  <c r="BAE10" i="5"/>
  <c r="BAF10" i="5"/>
  <c r="BAG10" i="5"/>
  <c r="BAH10" i="5"/>
  <c r="BAI10" i="5"/>
  <c r="BAJ10" i="5"/>
  <c r="BAK10" i="5"/>
  <c r="BAL10" i="5"/>
  <c r="BAM10" i="5"/>
  <c r="BAN10" i="5"/>
  <c r="BAO10" i="5"/>
  <c r="BAP10" i="5"/>
  <c r="BAQ10" i="5"/>
  <c r="BAR10" i="5"/>
  <c r="BAS10" i="5"/>
  <c r="BAT10" i="5"/>
  <c r="BAU10" i="5"/>
  <c r="BAV10" i="5"/>
  <c r="BAW10" i="5"/>
  <c r="BAX10" i="5"/>
  <c r="BAY10" i="5"/>
  <c r="BAZ10" i="5"/>
  <c r="BBA10" i="5"/>
  <c r="BBB10" i="5"/>
  <c r="BBC10" i="5"/>
  <c r="BBD10" i="5"/>
  <c r="BBE10" i="5"/>
  <c r="BBF10" i="5"/>
  <c r="BBG10" i="5"/>
  <c r="BBH10" i="5"/>
  <c r="BBI10" i="5"/>
  <c r="BBJ10" i="5"/>
  <c r="BBK10" i="5"/>
  <c r="BBL10" i="5"/>
  <c r="BBM10" i="5"/>
  <c r="BBN10" i="5"/>
  <c r="BBO10" i="5"/>
  <c r="BBP10" i="5"/>
  <c r="BBQ10" i="5"/>
  <c r="BBR10" i="5"/>
  <c r="BBS10" i="5"/>
  <c r="BBT10" i="5"/>
  <c r="BBU10" i="5"/>
  <c r="BBV10" i="5"/>
  <c r="BBW10" i="5"/>
  <c r="BBX10" i="5"/>
  <c r="BBY10" i="5"/>
  <c r="BBZ10" i="5"/>
  <c r="BCA10" i="5"/>
  <c r="BCB10" i="5"/>
  <c r="BCC10" i="5"/>
  <c r="BCD10" i="5"/>
  <c r="BCE10" i="5"/>
  <c r="BCF10" i="5"/>
  <c r="BCG10" i="5"/>
  <c r="BCH10" i="5"/>
  <c r="BCI10" i="5"/>
  <c r="BCJ10" i="5"/>
  <c r="BCK10" i="5"/>
  <c r="BCL10" i="5"/>
  <c r="BCM10" i="5"/>
  <c r="BCN10" i="5"/>
  <c r="BCO10" i="5"/>
  <c r="BCP10" i="5"/>
  <c r="BCQ10" i="5"/>
  <c r="BCR10" i="5"/>
  <c r="BCS10" i="5"/>
  <c r="BCT10" i="5"/>
  <c r="BCU10" i="5"/>
  <c r="BCV10" i="5"/>
  <c r="BCW10" i="5"/>
  <c r="BCX10" i="5"/>
  <c r="BCY10" i="5"/>
  <c r="BCZ10" i="5"/>
  <c r="BDA10" i="5"/>
  <c r="BDB10" i="5"/>
  <c r="BDC10" i="5"/>
  <c r="BDD10" i="5"/>
  <c r="BDE10" i="5"/>
  <c r="BDF10" i="5"/>
  <c r="BDG10" i="5"/>
  <c r="BDH10" i="5"/>
  <c r="BDI10" i="5"/>
  <c r="BDJ10" i="5"/>
  <c r="BDK10" i="5"/>
  <c r="BDL10" i="5"/>
  <c r="BDM10" i="5"/>
  <c r="BDN10" i="5"/>
  <c r="BDO10" i="5"/>
  <c r="BDP10" i="5"/>
  <c r="BDQ10" i="5"/>
  <c r="BDR10" i="5"/>
  <c r="BDS10" i="5"/>
  <c r="BDT10" i="5"/>
  <c r="BDU10" i="5"/>
  <c r="BDV10" i="5"/>
  <c r="BDW10" i="5"/>
  <c r="BDX10" i="5"/>
  <c r="BDY10" i="5"/>
  <c r="BDZ10" i="5"/>
  <c r="BEA10" i="5"/>
  <c r="BEB10" i="5"/>
  <c r="BEC10" i="5"/>
  <c r="BED10" i="5"/>
  <c r="BEE10" i="5"/>
  <c r="BEF10" i="5"/>
  <c r="BEG10" i="5"/>
  <c r="BEH10" i="5"/>
  <c r="BEI10" i="5"/>
  <c r="BEJ10" i="5"/>
  <c r="BEK10" i="5"/>
  <c r="BEL10" i="5"/>
  <c r="BEM10" i="5"/>
  <c r="BEN10" i="5"/>
  <c r="BEO10" i="5"/>
  <c r="BEP10" i="5"/>
  <c r="BEQ10" i="5"/>
  <c r="BER10" i="5"/>
  <c r="BES10" i="5"/>
  <c r="BET10" i="5"/>
  <c r="BEU10" i="5"/>
  <c r="BEV10" i="5"/>
  <c r="BEW10" i="5"/>
  <c r="BEX10" i="5"/>
  <c r="BEY10" i="5"/>
  <c r="BEZ10" i="5"/>
  <c r="BFA10" i="5"/>
  <c r="BFB10" i="5"/>
  <c r="BFC10" i="5"/>
  <c r="BFD10" i="5"/>
  <c r="BFE10" i="5"/>
  <c r="BFF10" i="5"/>
  <c r="BFG10" i="5"/>
  <c r="BFH10" i="5"/>
  <c r="BFI10" i="5"/>
  <c r="BFJ10" i="5"/>
  <c r="BFK10" i="5"/>
  <c r="BFL10" i="5"/>
  <c r="BFM10" i="5"/>
  <c r="BFN10" i="5"/>
  <c r="BFO10" i="5"/>
  <c r="BFP10" i="5"/>
  <c r="BFQ10" i="5"/>
  <c r="BFR10" i="5"/>
  <c r="BFS10" i="5"/>
  <c r="BFT10" i="5"/>
  <c r="BFU10" i="5"/>
  <c r="BFV10" i="5"/>
  <c r="BFW10" i="5"/>
  <c r="BFX10" i="5"/>
  <c r="BFY10" i="5"/>
  <c r="BFZ10" i="5"/>
  <c r="BGA10" i="5"/>
  <c r="BGB10" i="5"/>
  <c r="BGC10" i="5"/>
  <c r="BGD10" i="5"/>
  <c r="BGE10" i="5"/>
  <c r="BGF10" i="5"/>
  <c r="BGG10" i="5"/>
  <c r="BGH10" i="5"/>
  <c r="BGI10" i="5"/>
  <c r="BGJ10" i="5"/>
  <c r="BGK10" i="5"/>
  <c r="BGL10" i="5"/>
  <c r="BGM10" i="5"/>
  <c r="BGN10" i="5"/>
  <c r="BGO10" i="5"/>
  <c r="BGP10" i="5"/>
  <c r="BGQ10" i="5"/>
  <c r="BGR10" i="5"/>
  <c r="BGS10" i="5"/>
  <c r="BGT10" i="5"/>
  <c r="BGU10" i="5"/>
  <c r="BGV10" i="5"/>
  <c r="BGW10" i="5"/>
  <c r="BGX10" i="5"/>
  <c r="BGY10" i="5"/>
  <c r="BGZ10" i="5"/>
  <c r="BHA10" i="5"/>
  <c r="BHB10" i="5"/>
  <c r="BHC10" i="5"/>
  <c r="BHD10" i="5"/>
  <c r="BHE10" i="5"/>
  <c r="BHF10" i="5"/>
  <c r="BHG10" i="5"/>
  <c r="BHH10" i="5"/>
  <c r="BHI10" i="5"/>
  <c r="BHJ10" i="5"/>
  <c r="BHK10" i="5"/>
  <c r="BHL10" i="5"/>
  <c r="BHM10" i="5"/>
  <c r="BHN10" i="5"/>
  <c r="BHO10" i="5"/>
  <c r="BHP10" i="5"/>
  <c r="BHQ10" i="5"/>
  <c r="BHR10" i="5"/>
  <c r="BHS10" i="5"/>
  <c r="BHT10" i="5"/>
  <c r="BHU10" i="5"/>
  <c r="BHV10" i="5"/>
  <c r="BHW10" i="5"/>
  <c r="BHX10" i="5"/>
  <c r="BHY10" i="5"/>
  <c r="BHZ10" i="5"/>
  <c r="BIA10" i="5"/>
  <c r="BIB10" i="5"/>
  <c r="BIC10" i="5"/>
  <c r="BID10" i="5"/>
  <c r="BIE10" i="5"/>
  <c r="BIF10" i="5"/>
  <c r="BIG10" i="5"/>
  <c r="BIH10" i="5"/>
  <c r="BII10" i="5"/>
  <c r="BIJ10" i="5"/>
  <c r="BIK10" i="5"/>
  <c r="BIL10" i="5"/>
  <c r="BIM10" i="5"/>
  <c r="BIN10" i="5"/>
  <c r="BIO10" i="5"/>
  <c r="BIP10" i="5"/>
  <c r="BIQ10" i="5"/>
  <c r="BIR10" i="5"/>
  <c r="BIS10" i="5"/>
  <c r="BIT10" i="5"/>
  <c r="BIU10" i="5"/>
  <c r="BIV10" i="5"/>
  <c r="BIW10" i="5"/>
  <c r="BIX10" i="5"/>
  <c r="BIY10" i="5"/>
  <c r="BIZ10" i="5"/>
  <c r="BJA10" i="5"/>
  <c r="BJB10" i="5"/>
  <c r="BJC10" i="5"/>
  <c r="BJD10" i="5"/>
  <c r="BJE10" i="5"/>
  <c r="BJF10" i="5"/>
  <c r="BJG10" i="5"/>
  <c r="BJH10" i="5"/>
  <c r="BJI10" i="5"/>
  <c r="BJJ10" i="5"/>
  <c r="BJK10" i="5"/>
  <c r="BJL10" i="5"/>
  <c r="BJM10" i="5"/>
  <c r="BJN10" i="5"/>
  <c r="BJO10" i="5"/>
  <c r="BJP10" i="5"/>
  <c r="BJQ10" i="5"/>
  <c r="BJR10" i="5"/>
  <c r="BJS10" i="5"/>
  <c r="BJT10" i="5"/>
  <c r="BJU10" i="5"/>
  <c r="BJV10" i="5"/>
  <c r="BJW10" i="5"/>
  <c r="BJX10" i="5"/>
  <c r="BJY10" i="5"/>
  <c r="BJZ10" i="5"/>
  <c r="BKA10" i="5"/>
  <c r="BKB10" i="5"/>
  <c r="BKC10" i="5"/>
  <c r="BKD10" i="5"/>
  <c r="BKE10" i="5"/>
  <c r="BKF10" i="5"/>
  <c r="BKG10" i="5"/>
  <c r="BKH10" i="5"/>
  <c r="BKI10" i="5"/>
  <c r="BKJ10" i="5"/>
  <c r="BKK10" i="5"/>
  <c r="BKL10" i="5"/>
  <c r="BKM10" i="5"/>
  <c r="BKN10" i="5"/>
  <c r="BKO10" i="5"/>
  <c r="BKP10" i="5"/>
  <c r="BKQ10" i="5"/>
  <c r="BKR10" i="5"/>
  <c r="BKS10" i="5"/>
  <c r="BKT10" i="5"/>
  <c r="BKU10" i="5"/>
  <c r="BKV10" i="5"/>
  <c r="BKW10" i="5"/>
  <c r="BKX10" i="5"/>
  <c r="BKY10" i="5"/>
  <c r="BKZ10" i="5"/>
  <c r="BLA10" i="5"/>
  <c r="BLB10" i="5"/>
  <c r="BLC10" i="5"/>
  <c r="BLD10" i="5"/>
  <c r="BLE10" i="5"/>
  <c r="BLF10" i="5"/>
  <c r="BLG10" i="5"/>
  <c r="BLH10" i="5"/>
  <c r="BLI10" i="5"/>
  <c r="BLJ10" i="5"/>
  <c r="BLK10" i="5"/>
  <c r="BLL10" i="5"/>
  <c r="BLM10" i="5"/>
  <c r="BLN10" i="5"/>
  <c r="BLO10" i="5"/>
  <c r="BLP10" i="5"/>
  <c r="BLQ10" i="5"/>
  <c r="BLR10" i="5"/>
  <c r="BLS10" i="5"/>
  <c r="BLT10" i="5"/>
  <c r="BLU10" i="5"/>
  <c r="BLV10" i="5"/>
  <c r="BLW10" i="5"/>
  <c r="BLX10" i="5"/>
  <c r="BLY10" i="5"/>
  <c r="BLZ10" i="5"/>
  <c r="BMA10" i="5"/>
  <c r="BMB10" i="5"/>
  <c r="BMC10" i="5"/>
  <c r="BMD10" i="5"/>
  <c r="BME10" i="5"/>
  <c r="BMF10" i="5"/>
  <c r="BMG10" i="5"/>
  <c r="BMH10" i="5"/>
  <c r="BMI10" i="5"/>
  <c r="BMJ10" i="5"/>
  <c r="BMK10" i="5"/>
  <c r="BML10" i="5"/>
  <c r="BMM10" i="5"/>
  <c r="BMN10" i="5"/>
  <c r="BMO10" i="5"/>
  <c r="BMP10" i="5"/>
  <c r="BMQ10" i="5"/>
  <c r="BMR10" i="5"/>
  <c r="BMS10" i="5"/>
  <c r="BMT10" i="5"/>
  <c r="BMU10" i="5"/>
  <c r="BMV10" i="5"/>
  <c r="BMW10" i="5"/>
  <c r="BMX10" i="5"/>
  <c r="BMY10" i="5"/>
  <c r="BMZ10" i="5"/>
  <c r="BNA10" i="5"/>
  <c r="BNB10" i="5"/>
  <c r="BNC10" i="5"/>
  <c r="BND10" i="5"/>
  <c r="BNE10" i="5"/>
  <c r="BNF10" i="5"/>
  <c r="BNG10" i="5"/>
  <c r="BNH10" i="5"/>
  <c r="BNI10" i="5"/>
  <c r="BNJ10" i="5"/>
  <c r="BNK10" i="5"/>
  <c r="BNL10" i="5"/>
  <c r="BNM10" i="5"/>
  <c r="BNN10" i="5"/>
  <c r="BNO10" i="5"/>
  <c r="BNP10" i="5"/>
  <c r="BNQ10" i="5"/>
  <c r="BNR10" i="5"/>
  <c r="BNS10" i="5"/>
  <c r="BNT10" i="5"/>
  <c r="BNU10" i="5"/>
  <c r="BNV10" i="5"/>
  <c r="BNW10" i="5"/>
  <c r="BNX10" i="5"/>
  <c r="BNY10" i="5"/>
  <c r="BNZ10" i="5"/>
  <c r="BOA10" i="5"/>
  <c r="BOB10" i="5"/>
  <c r="BOC10" i="5"/>
  <c r="BOD10" i="5"/>
  <c r="BOE10" i="5"/>
  <c r="BOF10" i="5"/>
  <c r="BOG10" i="5"/>
  <c r="BOH10" i="5"/>
  <c r="BOI10" i="5"/>
  <c r="BOJ10" i="5"/>
  <c r="BOK10" i="5"/>
  <c r="BOL10" i="5"/>
  <c r="BOM10" i="5"/>
  <c r="BON10" i="5"/>
  <c r="BOO10" i="5"/>
  <c r="BOP10" i="5"/>
  <c r="BOQ10" i="5"/>
  <c r="BOR10" i="5"/>
  <c r="BOS10" i="5"/>
  <c r="BOT10" i="5"/>
  <c r="BOU10" i="5"/>
  <c r="BOV10" i="5"/>
  <c r="BOW10" i="5"/>
  <c r="BOX10" i="5"/>
  <c r="BOY10" i="5"/>
  <c r="BOZ10" i="5"/>
  <c r="BPA10" i="5"/>
  <c r="BPB10" i="5"/>
  <c r="BPC10" i="5"/>
  <c r="BPD10" i="5"/>
  <c r="BPE10" i="5"/>
  <c r="BPF10" i="5"/>
  <c r="BPG10" i="5"/>
  <c r="BPH10" i="5"/>
  <c r="BPI10" i="5"/>
  <c r="BPJ10" i="5"/>
  <c r="BPK10" i="5"/>
  <c r="BPL10" i="5"/>
  <c r="BPM10" i="5"/>
  <c r="BPN10" i="5"/>
  <c r="BPO10" i="5"/>
  <c r="BPP10" i="5"/>
  <c r="BPQ10" i="5"/>
  <c r="BPR10" i="5"/>
  <c r="BPS10" i="5"/>
  <c r="BPT10" i="5"/>
  <c r="BPU10" i="5"/>
  <c r="BPV10" i="5"/>
  <c r="BPW10" i="5"/>
  <c r="BPX10" i="5"/>
  <c r="BPY10" i="5"/>
  <c r="BPZ10" i="5"/>
  <c r="BQA10" i="5"/>
  <c r="BQB10" i="5"/>
  <c r="BQC10" i="5"/>
  <c r="BQD10" i="5"/>
  <c r="BQE10" i="5"/>
  <c r="BQF10" i="5"/>
  <c r="BQG10" i="5"/>
  <c r="BQH10" i="5"/>
  <c r="BQI10" i="5"/>
  <c r="BQJ10" i="5"/>
  <c r="BQK10" i="5"/>
  <c r="BQL10" i="5"/>
  <c r="BQM10" i="5"/>
  <c r="BQN10" i="5"/>
  <c r="BQO10" i="5"/>
  <c r="BQP10" i="5"/>
  <c r="BQQ10" i="5"/>
  <c r="BQR10" i="5"/>
  <c r="BQS10" i="5"/>
  <c r="BQT10" i="5"/>
  <c r="BQU10" i="5"/>
  <c r="BQV10" i="5"/>
  <c r="BQW10" i="5"/>
  <c r="BQX10" i="5"/>
  <c r="BQY10" i="5"/>
  <c r="BQZ10" i="5"/>
  <c r="BRA10" i="5"/>
  <c r="BRB10" i="5"/>
  <c r="BRC10" i="5"/>
  <c r="BRD10" i="5"/>
  <c r="BRE10" i="5"/>
  <c r="BRF10" i="5"/>
  <c r="BRG10" i="5"/>
  <c r="BRH10" i="5"/>
  <c r="BRI10" i="5"/>
  <c r="BRJ10" i="5"/>
  <c r="BRK10" i="5"/>
  <c r="BRL10" i="5"/>
  <c r="BRM10" i="5"/>
  <c r="BRN10" i="5"/>
  <c r="BRO10" i="5"/>
  <c r="BRP10" i="5"/>
  <c r="BRQ10" i="5"/>
  <c r="BRR10" i="5"/>
  <c r="BRS10" i="5"/>
  <c r="BRT10" i="5"/>
  <c r="BRU10" i="5"/>
  <c r="BRV10" i="5"/>
  <c r="BRW10" i="5"/>
  <c r="BRX10" i="5"/>
  <c r="BRY10" i="5"/>
  <c r="BRZ10" i="5"/>
  <c r="BSA10" i="5"/>
  <c r="BSB10" i="5"/>
  <c r="BSC10" i="5"/>
  <c r="BSD10" i="5"/>
  <c r="BSE10" i="5"/>
  <c r="BSF10" i="5"/>
  <c r="BSG10" i="5"/>
  <c r="BSH10" i="5"/>
  <c r="BSI10" i="5"/>
  <c r="BSJ10" i="5"/>
  <c r="BSK10" i="5"/>
  <c r="BSL10" i="5"/>
  <c r="BSM10" i="5"/>
  <c r="BSN10" i="5"/>
  <c r="BSO10" i="5"/>
  <c r="BSP10" i="5"/>
  <c r="BSQ10" i="5"/>
  <c r="BSR10" i="5"/>
  <c r="BSS10" i="5"/>
  <c r="BST10" i="5"/>
  <c r="BSU10" i="5"/>
  <c r="BSV10" i="5"/>
  <c r="BSW10" i="5"/>
  <c r="BSX10" i="5"/>
  <c r="BSY10" i="5"/>
  <c r="BSZ10" i="5"/>
  <c r="BTA10" i="5"/>
  <c r="BTB10" i="5"/>
  <c r="BTC10" i="5"/>
  <c r="BTD10" i="5"/>
  <c r="BTE10" i="5"/>
  <c r="BTF10" i="5"/>
  <c r="BTG10" i="5"/>
  <c r="BTH10" i="5"/>
  <c r="BTI10" i="5"/>
  <c r="BTJ10" i="5"/>
  <c r="BTK10" i="5"/>
  <c r="BTL10" i="5"/>
  <c r="BTM10" i="5"/>
  <c r="BTN10" i="5"/>
  <c r="BTO10" i="5"/>
  <c r="BTP10" i="5"/>
  <c r="BTQ10" i="5"/>
  <c r="BTR10" i="5"/>
  <c r="BTS10" i="5"/>
  <c r="BTT10" i="5"/>
  <c r="BTU10" i="5"/>
  <c r="BTV10" i="5"/>
  <c r="BTW10" i="5"/>
  <c r="BTX10" i="5"/>
  <c r="BTY10" i="5"/>
  <c r="BTZ10" i="5"/>
  <c r="BUA10" i="5"/>
  <c r="BUB10" i="5"/>
  <c r="BUC10" i="5"/>
  <c r="BUD10" i="5"/>
  <c r="BUE10" i="5"/>
  <c r="BUF10" i="5"/>
  <c r="BUG10" i="5"/>
  <c r="BUH10" i="5"/>
  <c r="BUI10" i="5"/>
  <c r="BUJ10" i="5"/>
  <c r="BUK10" i="5"/>
  <c r="BUL10" i="5"/>
  <c r="BUM10" i="5"/>
  <c r="BUN10" i="5"/>
  <c r="BUO10" i="5"/>
  <c r="BUP10" i="5"/>
  <c r="BUQ10" i="5"/>
  <c r="BUR10" i="5"/>
  <c r="BUS10" i="5"/>
  <c r="BUT10" i="5"/>
  <c r="BUU10" i="5"/>
  <c r="BUV10" i="5"/>
  <c r="BUW10" i="5"/>
  <c r="BUX10" i="5"/>
  <c r="BUY10" i="5"/>
  <c r="BUZ10" i="5"/>
  <c r="BVA10" i="5"/>
  <c r="BVB10" i="5"/>
  <c r="BVC10" i="5"/>
  <c r="BVD10" i="5"/>
  <c r="BVE10" i="5"/>
  <c r="BVF10" i="5"/>
  <c r="BVG10" i="5"/>
  <c r="BVH10" i="5"/>
  <c r="BVI10" i="5"/>
  <c r="BVJ10" i="5"/>
  <c r="BVK10" i="5"/>
  <c r="BVL10" i="5"/>
  <c r="BVM10" i="5"/>
  <c r="BVN10" i="5"/>
  <c r="BVO10" i="5"/>
  <c r="BVP10" i="5"/>
  <c r="BVQ10" i="5"/>
  <c r="BVR10" i="5"/>
  <c r="BVS10" i="5"/>
  <c r="BVT10" i="5"/>
  <c r="BVU10" i="5"/>
  <c r="BVV10" i="5"/>
  <c r="BVW10" i="5"/>
  <c r="BVX10" i="5"/>
  <c r="BVY10" i="5"/>
  <c r="BVZ10" i="5"/>
  <c r="BWA10" i="5"/>
  <c r="BWB10" i="5"/>
  <c r="BWC10" i="5"/>
  <c r="BWD10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ND11" i="5"/>
  <c r="NE11" i="5"/>
  <c r="NF11" i="5"/>
  <c r="NG11" i="5"/>
  <c r="NH11" i="5"/>
  <c r="NI11" i="5"/>
  <c r="NJ11" i="5"/>
  <c r="NK11" i="5"/>
  <c r="NL11" i="5"/>
  <c r="NM11" i="5"/>
  <c r="NN11" i="5"/>
  <c r="NO11" i="5"/>
  <c r="NP11" i="5"/>
  <c r="NQ11" i="5"/>
  <c r="NR11" i="5"/>
  <c r="NS11" i="5"/>
  <c r="NT11" i="5"/>
  <c r="NU11" i="5"/>
  <c r="NV11" i="5"/>
  <c r="NW11" i="5"/>
  <c r="NX11" i="5"/>
  <c r="NY11" i="5"/>
  <c r="NZ11" i="5"/>
  <c r="OA11" i="5"/>
  <c r="OB11" i="5"/>
  <c r="OC11" i="5"/>
  <c r="OD11" i="5"/>
  <c r="OE11" i="5"/>
  <c r="OF11" i="5"/>
  <c r="OG11" i="5"/>
  <c r="OH11" i="5"/>
  <c r="OI11" i="5"/>
  <c r="OJ11" i="5"/>
  <c r="OK11" i="5"/>
  <c r="OL11" i="5"/>
  <c r="OM11" i="5"/>
  <c r="ON11" i="5"/>
  <c r="OO11" i="5"/>
  <c r="OP11" i="5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PO11" i="5"/>
  <c r="PP11" i="5"/>
  <c r="PQ11" i="5"/>
  <c r="PR11" i="5"/>
  <c r="PS11" i="5"/>
  <c r="PT11" i="5"/>
  <c r="PU11" i="5"/>
  <c r="PV11" i="5"/>
  <c r="PW11" i="5"/>
  <c r="PX11" i="5"/>
  <c r="PY11" i="5"/>
  <c r="PZ11" i="5"/>
  <c r="QA11" i="5"/>
  <c r="QB11" i="5"/>
  <c r="QC11" i="5"/>
  <c r="QD11" i="5"/>
  <c r="QE11" i="5"/>
  <c r="QF11" i="5"/>
  <c r="QG11" i="5"/>
  <c r="QH11" i="5"/>
  <c r="QI11" i="5"/>
  <c r="QJ11" i="5"/>
  <c r="QK11" i="5"/>
  <c r="QL11" i="5"/>
  <c r="QM11" i="5"/>
  <c r="QN11" i="5"/>
  <c r="QO11" i="5"/>
  <c r="QP11" i="5"/>
  <c r="QQ11" i="5"/>
  <c r="QR11" i="5"/>
  <c r="QS11" i="5"/>
  <c r="QT11" i="5"/>
  <c r="QU11" i="5"/>
  <c r="QV11" i="5"/>
  <c r="QW11" i="5"/>
  <c r="QX11" i="5"/>
  <c r="QY11" i="5"/>
  <c r="QZ11" i="5"/>
  <c r="RA11" i="5"/>
  <c r="RB11" i="5"/>
  <c r="RC11" i="5"/>
  <c r="RD11" i="5"/>
  <c r="RE11" i="5"/>
  <c r="RF11" i="5"/>
  <c r="RG11" i="5"/>
  <c r="RH11" i="5"/>
  <c r="RI11" i="5"/>
  <c r="RJ11" i="5"/>
  <c r="RK11" i="5"/>
  <c r="RL11" i="5"/>
  <c r="RM11" i="5"/>
  <c r="RN11" i="5"/>
  <c r="RO11" i="5"/>
  <c r="RP11" i="5"/>
  <c r="RQ11" i="5"/>
  <c r="RR11" i="5"/>
  <c r="RS11" i="5"/>
  <c r="RT11" i="5"/>
  <c r="RU11" i="5"/>
  <c r="RV11" i="5"/>
  <c r="RW11" i="5"/>
  <c r="RX11" i="5"/>
  <c r="RY11" i="5"/>
  <c r="RZ11" i="5"/>
  <c r="SA11" i="5"/>
  <c r="SB11" i="5"/>
  <c r="SC11" i="5"/>
  <c r="SD11" i="5"/>
  <c r="SE11" i="5"/>
  <c r="SF11" i="5"/>
  <c r="SG11" i="5"/>
  <c r="SH11" i="5"/>
  <c r="SI11" i="5"/>
  <c r="SJ11" i="5"/>
  <c r="SK11" i="5"/>
  <c r="SL11" i="5"/>
  <c r="SM11" i="5"/>
  <c r="SN11" i="5"/>
  <c r="SO11" i="5"/>
  <c r="SP11" i="5"/>
  <c r="SQ11" i="5"/>
  <c r="SR11" i="5"/>
  <c r="SS11" i="5"/>
  <c r="ST11" i="5"/>
  <c r="SU11" i="5"/>
  <c r="SV11" i="5"/>
  <c r="SW11" i="5"/>
  <c r="SX11" i="5"/>
  <c r="SY11" i="5"/>
  <c r="SZ11" i="5"/>
  <c r="TA11" i="5"/>
  <c r="TB11" i="5"/>
  <c r="TC11" i="5"/>
  <c r="TD11" i="5"/>
  <c r="TE11" i="5"/>
  <c r="TF11" i="5"/>
  <c r="TG11" i="5"/>
  <c r="TH11" i="5"/>
  <c r="TI11" i="5"/>
  <c r="TJ11" i="5"/>
  <c r="TK11" i="5"/>
  <c r="TL11" i="5"/>
  <c r="TM11" i="5"/>
  <c r="TN11" i="5"/>
  <c r="TO11" i="5"/>
  <c r="TP11" i="5"/>
  <c r="TQ11" i="5"/>
  <c r="TR11" i="5"/>
  <c r="TS11" i="5"/>
  <c r="TT11" i="5"/>
  <c r="TU11" i="5"/>
  <c r="TV11" i="5"/>
  <c r="TW11" i="5"/>
  <c r="TX11" i="5"/>
  <c r="TY11" i="5"/>
  <c r="TZ11" i="5"/>
  <c r="UA11" i="5"/>
  <c r="UB11" i="5"/>
  <c r="UC11" i="5"/>
  <c r="UD11" i="5"/>
  <c r="UE11" i="5"/>
  <c r="UF11" i="5"/>
  <c r="UG11" i="5"/>
  <c r="UH11" i="5"/>
  <c r="UI11" i="5"/>
  <c r="UJ11" i="5"/>
  <c r="UK11" i="5"/>
  <c r="UL11" i="5"/>
  <c r="UM11" i="5"/>
  <c r="UN11" i="5"/>
  <c r="UO11" i="5"/>
  <c r="UP11" i="5"/>
  <c r="UQ11" i="5"/>
  <c r="UR11" i="5"/>
  <c r="US11" i="5"/>
  <c r="UT11" i="5"/>
  <c r="UU11" i="5"/>
  <c r="UV11" i="5"/>
  <c r="UW11" i="5"/>
  <c r="UX11" i="5"/>
  <c r="UY11" i="5"/>
  <c r="UZ11" i="5"/>
  <c r="VA11" i="5"/>
  <c r="VB11" i="5"/>
  <c r="VC11" i="5"/>
  <c r="VD11" i="5"/>
  <c r="VE11" i="5"/>
  <c r="VF11" i="5"/>
  <c r="VG11" i="5"/>
  <c r="VH11" i="5"/>
  <c r="VI11" i="5"/>
  <c r="VJ11" i="5"/>
  <c r="VK11" i="5"/>
  <c r="VL11" i="5"/>
  <c r="VM11" i="5"/>
  <c r="VN11" i="5"/>
  <c r="VO11" i="5"/>
  <c r="VP11" i="5"/>
  <c r="VQ11" i="5"/>
  <c r="VR11" i="5"/>
  <c r="VS11" i="5"/>
  <c r="VT11" i="5"/>
  <c r="VU11" i="5"/>
  <c r="VV11" i="5"/>
  <c r="VW11" i="5"/>
  <c r="VX11" i="5"/>
  <c r="VY11" i="5"/>
  <c r="VZ11" i="5"/>
  <c r="WA11" i="5"/>
  <c r="WB11" i="5"/>
  <c r="WC11" i="5"/>
  <c r="WD11" i="5"/>
  <c r="WE11" i="5"/>
  <c r="WF11" i="5"/>
  <c r="WG11" i="5"/>
  <c r="WH11" i="5"/>
  <c r="WI11" i="5"/>
  <c r="WJ11" i="5"/>
  <c r="WK11" i="5"/>
  <c r="WL11" i="5"/>
  <c r="WM11" i="5"/>
  <c r="WN11" i="5"/>
  <c r="WO11" i="5"/>
  <c r="WP11" i="5"/>
  <c r="WQ11" i="5"/>
  <c r="WR11" i="5"/>
  <c r="WS11" i="5"/>
  <c r="WT11" i="5"/>
  <c r="WU11" i="5"/>
  <c r="WV11" i="5"/>
  <c r="WW11" i="5"/>
  <c r="WX11" i="5"/>
  <c r="WY11" i="5"/>
  <c r="WZ11" i="5"/>
  <c r="XA11" i="5"/>
  <c r="XB11" i="5"/>
  <c r="XC11" i="5"/>
  <c r="XD11" i="5"/>
  <c r="XE11" i="5"/>
  <c r="XF11" i="5"/>
  <c r="XG11" i="5"/>
  <c r="XH11" i="5"/>
  <c r="XI11" i="5"/>
  <c r="XJ11" i="5"/>
  <c r="XK11" i="5"/>
  <c r="XL11" i="5"/>
  <c r="XM11" i="5"/>
  <c r="XN11" i="5"/>
  <c r="XO11" i="5"/>
  <c r="XP11" i="5"/>
  <c r="XQ11" i="5"/>
  <c r="XR11" i="5"/>
  <c r="XS11" i="5"/>
  <c r="XT11" i="5"/>
  <c r="XU11" i="5"/>
  <c r="XV11" i="5"/>
  <c r="XW11" i="5"/>
  <c r="XX11" i="5"/>
  <c r="XY11" i="5"/>
  <c r="XZ11" i="5"/>
  <c r="YA11" i="5"/>
  <c r="YB11" i="5"/>
  <c r="YC11" i="5"/>
  <c r="YD11" i="5"/>
  <c r="YE11" i="5"/>
  <c r="YF11" i="5"/>
  <c r="YG11" i="5"/>
  <c r="YH11" i="5"/>
  <c r="YI11" i="5"/>
  <c r="YJ11" i="5"/>
  <c r="YK11" i="5"/>
  <c r="YL11" i="5"/>
  <c r="YM11" i="5"/>
  <c r="YN11" i="5"/>
  <c r="YO11" i="5"/>
  <c r="YP11" i="5"/>
  <c r="YQ11" i="5"/>
  <c r="YR11" i="5"/>
  <c r="YS11" i="5"/>
  <c r="YT11" i="5"/>
  <c r="YU11" i="5"/>
  <c r="YV11" i="5"/>
  <c r="YW11" i="5"/>
  <c r="YX11" i="5"/>
  <c r="YY11" i="5"/>
  <c r="YZ11" i="5"/>
  <c r="ZA11" i="5"/>
  <c r="ZB11" i="5"/>
  <c r="ZC11" i="5"/>
  <c r="ZD11" i="5"/>
  <c r="ZE11" i="5"/>
  <c r="ZF11" i="5"/>
  <c r="ZG11" i="5"/>
  <c r="ZH11" i="5"/>
  <c r="ZI11" i="5"/>
  <c r="ZJ11" i="5"/>
  <c r="ZK11" i="5"/>
  <c r="ZL11" i="5"/>
  <c r="ZM11" i="5"/>
  <c r="ZN11" i="5"/>
  <c r="ZO11" i="5"/>
  <c r="ZP11" i="5"/>
  <c r="ZQ11" i="5"/>
  <c r="ZR11" i="5"/>
  <c r="ZS11" i="5"/>
  <c r="ZT11" i="5"/>
  <c r="ZU11" i="5"/>
  <c r="ZV11" i="5"/>
  <c r="ZW11" i="5"/>
  <c r="ZX11" i="5"/>
  <c r="ZY11" i="5"/>
  <c r="ZZ11" i="5"/>
  <c r="AAA11" i="5"/>
  <c r="AAB11" i="5"/>
  <c r="AAC11" i="5"/>
  <c r="AAD11" i="5"/>
  <c r="AAE11" i="5"/>
  <c r="AAF11" i="5"/>
  <c r="AAG11" i="5"/>
  <c r="AAH11" i="5"/>
  <c r="AAI11" i="5"/>
  <c r="AAJ11" i="5"/>
  <c r="AAK11" i="5"/>
  <c r="AAL11" i="5"/>
  <c r="AAM11" i="5"/>
  <c r="AAN11" i="5"/>
  <c r="AAO11" i="5"/>
  <c r="AAP11" i="5"/>
  <c r="AAQ11" i="5"/>
  <c r="AAR11" i="5"/>
  <c r="AAS11" i="5"/>
  <c r="AAT11" i="5"/>
  <c r="AAU11" i="5"/>
  <c r="AAV11" i="5"/>
  <c r="AAW11" i="5"/>
  <c r="AAX11" i="5"/>
  <c r="AAY11" i="5"/>
  <c r="AAZ11" i="5"/>
  <c r="ABA11" i="5"/>
  <c r="ABB11" i="5"/>
  <c r="ABC11" i="5"/>
  <c r="ABD11" i="5"/>
  <c r="ABE11" i="5"/>
  <c r="ABF11" i="5"/>
  <c r="ABG11" i="5"/>
  <c r="ABH11" i="5"/>
  <c r="ABI11" i="5"/>
  <c r="ABJ11" i="5"/>
  <c r="ABK11" i="5"/>
  <c r="ABL11" i="5"/>
  <c r="ABM11" i="5"/>
  <c r="ABN11" i="5"/>
  <c r="ABO11" i="5"/>
  <c r="ABP11" i="5"/>
  <c r="ABQ11" i="5"/>
  <c r="ABR11" i="5"/>
  <c r="ABS11" i="5"/>
  <c r="ABT11" i="5"/>
  <c r="ABU11" i="5"/>
  <c r="ABV11" i="5"/>
  <c r="ABW11" i="5"/>
  <c r="ABX11" i="5"/>
  <c r="ABY11" i="5"/>
  <c r="ABZ11" i="5"/>
  <c r="ACA11" i="5"/>
  <c r="ACB11" i="5"/>
  <c r="ACC11" i="5"/>
  <c r="ACD11" i="5"/>
  <c r="ACE11" i="5"/>
  <c r="ACF11" i="5"/>
  <c r="ACG11" i="5"/>
  <c r="ACH11" i="5"/>
  <c r="ACI11" i="5"/>
  <c r="ACJ11" i="5"/>
  <c r="ACK11" i="5"/>
  <c r="ACL11" i="5"/>
  <c r="ACM11" i="5"/>
  <c r="ACN11" i="5"/>
  <c r="ACO11" i="5"/>
  <c r="ACP11" i="5"/>
  <c r="ACQ11" i="5"/>
  <c r="ACR11" i="5"/>
  <c r="ACS11" i="5"/>
  <c r="ACT11" i="5"/>
  <c r="ACU11" i="5"/>
  <c r="ACV11" i="5"/>
  <c r="ACW11" i="5"/>
  <c r="ACX11" i="5"/>
  <c r="ACY11" i="5"/>
  <c r="ACZ11" i="5"/>
  <c r="ADA11" i="5"/>
  <c r="ADB11" i="5"/>
  <c r="ADC11" i="5"/>
  <c r="ADD11" i="5"/>
  <c r="ADE11" i="5"/>
  <c r="ADF11" i="5"/>
  <c r="ADG11" i="5"/>
  <c r="ADH11" i="5"/>
  <c r="ADI11" i="5"/>
  <c r="ADJ11" i="5"/>
  <c r="ADK11" i="5"/>
  <c r="ADL11" i="5"/>
  <c r="ADM11" i="5"/>
  <c r="ADN11" i="5"/>
  <c r="ADO11" i="5"/>
  <c r="ADP11" i="5"/>
  <c r="ADQ11" i="5"/>
  <c r="ADR11" i="5"/>
  <c r="ADS11" i="5"/>
  <c r="ADT11" i="5"/>
  <c r="ADU11" i="5"/>
  <c r="ADV11" i="5"/>
  <c r="ADW11" i="5"/>
  <c r="ADX11" i="5"/>
  <c r="ADY11" i="5"/>
  <c r="ADZ11" i="5"/>
  <c r="AEA11" i="5"/>
  <c r="AEB11" i="5"/>
  <c r="AEC11" i="5"/>
  <c r="AED11" i="5"/>
  <c r="AEE11" i="5"/>
  <c r="AEF11" i="5"/>
  <c r="AEG11" i="5"/>
  <c r="AEH11" i="5"/>
  <c r="AEI11" i="5"/>
  <c r="AEJ11" i="5"/>
  <c r="AEK11" i="5"/>
  <c r="AEL11" i="5"/>
  <c r="AEM11" i="5"/>
  <c r="AEN11" i="5"/>
  <c r="AEO11" i="5"/>
  <c r="AEP11" i="5"/>
  <c r="AEQ11" i="5"/>
  <c r="AER11" i="5"/>
  <c r="AES11" i="5"/>
  <c r="AET11" i="5"/>
  <c r="AEU11" i="5"/>
  <c r="AEV11" i="5"/>
  <c r="AEW11" i="5"/>
  <c r="AEX11" i="5"/>
  <c r="AEY11" i="5"/>
  <c r="AEZ11" i="5"/>
  <c r="AFA11" i="5"/>
  <c r="AFB11" i="5"/>
  <c r="AFC11" i="5"/>
  <c r="AFD11" i="5"/>
  <c r="AFE11" i="5"/>
  <c r="AFF11" i="5"/>
  <c r="AFG11" i="5"/>
  <c r="AFH11" i="5"/>
  <c r="AFI11" i="5"/>
  <c r="AFJ11" i="5"/>
  <c r="AFK11" i="5"/>
  <c r="AFL11" i="5"/>
  <c r="AFM11" i="5"/>
  <c r="AFN11" i="5"/>
  <c r="AFO11" i="5"/>
  <c r="AFP11" i="5"/>
  <c r="AFQ11" i="5"/>
  <c r="AFR11" i="5"/>
  <c r="AFS11" i="5"/>
  <c r="AFT11" i="5"/>
  <c r="AFU11" i="5"/>
  <c r="AFV11" i="5"/>
  <c r="AFW11" i="5"/>
  <c r="AFX11" i="5"/>
  <c r="AFY11" i="5"/>
  <c r="AFZ11" i="5"/>
  <c r="AGA11" i="5"/>
  <c r="AGB11" i="5"/>
  <c r="AGC11" i="5"/>
  <c r="AGD11" i="5"/>
  <c r="AGE11" i="5"/>
  <c r="AGF11" i="5"/>
  <c r="AGG11" i="5"/>
  <c r="AGH11" i="5"/>
  <c r="AGI11" i="5"/>
  <c r="AGJ11" i="5"/>
  <c r="AGK11" i="5"/>
  <c r="AGL11" i="5"/>
  <c r="AGM11" i="5"/>
  <c r="AGN11" i="5"/>
  <c r="AGO11" i="5"/>
  <c r="AGP11" i="5"/>
  <c r="AGQ11" i="5"/>
  <c r="AGR11" i="5"/>
  <c r="AGS11" i="5"/>
  <c r="AGT11" i="5"/>
  <c r="AGU11" i="5"/>
  <c r="AGV11" i="5"/>
  <c r="AGW11" i="5"/>
  <c r="AGX11" i="5"/>
  <c r="AGY11" i="5"/>
  <c r="AGZ11" i="5"/>
  <c r="AHA11" i="5"/>
  <c r="AHB11" i="5"/>
  <c r="AHC11" i="5"/>
  <c r="AHD11" i="5"/>
  <c r="AHE11" i="5"/>
  <c r="AHF11" i="5"/>
  <c r="AHG11" i="5"/>
  <c r="AHH11" i="5"/>
  <c r="AHI11" i="5"/>
  <c r="AHJ11" i="5"/>
  <c r="AHK11" i="5"/>
  <c r="AHL11" i="5"/>
  <c r="AHM11" i="5"/>
  <c r="AHN11" i="5"/>
  <c r="AHO11" i="5"/>
  <c r="AHP11" i="5"/>
  <c r="AHQ11" i="5"/>
  <c r="AHR11" i="5"/>
  <c r="AHS11" i="5"/>
  <c r="AHT11" i="5"/>
  <c r="AHU11" i="5"/>
  <c r="AHV11" i="5"/>
  <c r="AHW11" i="5"/>
  <c r="AHX11" i="5"/>
  <c r="AHY11" i="5"/>
  <c r="AHZ11" i="5"/>
  <c r="AIA11" i="5"/>
  <c r="AIB11" i="5"/>
  <c r="AIC11" i="5"/>
  <c r="AID11" i="5"/>
  <c r="AIE11" i="5"/>
  <c r="AIF11" i="5"/>
  <c r="AIG11" i="5"/>
  <c r="AIH11" i="5"/>
  <c r="AII11" i="5"/>
  <c r="AIJ11" i="5"/>
  <c r="AIK11" i="5"/>
  <c r="AIL11" i="5"/>
  <c r="AIM11" i="5"/>
  <c r="AIN11" i="5"/>
  <c r="AIO11" i="5"/>
  <c r="AIP11" i="5"/>
  <c r="AIQ11" i="5"/>
  <c r="AIR11" i="5"/>
  <c r="AIS11" i="5"/>
  <c r="AIT11" i="5"/>
  <c r="AIU11" i="5"/>
  <c r="AIV11" i="5"/>
  <c r="AIW11" i="5"/>
  <c r="AIX11" i="5"/>
  <c r="AIY11" i="5"/>
  <c r="AIZ11" i="5"/>
  <c r="AJA11" i="5"/>
  <c r="AJB11" i="5"/>
  <c r="AJC11" i="5"/>
  <c r="AJD11" i="5"/>
  <c r="AJE11" i="5"/>
  <c r="AJF11" i="5"/>
  <c r="AJG11" i="5"/>
  <c r="AJH11" i="5"/>
  <c r="AJI11" i="5"/>
  <c r="AJJ11" i="5"/>
  <c r="AJK11" i="5"/>
  <c r="AJL11" i="5"/>
  <c r="AJM11" i="5"/>
  <c r="AJN11" i="5"/>
  <c r="AJO11" i="5"/>
  <c r="AJP11" i="5"/>
  <c r="AJQ11" i="5"/>
  <c r="AJR11" i="5"/>
  <c r="AJS11" i="5"/>
  <c r="AJT11" i="5"/>
  <c r="AJU11" i="5"/>
  <c r="AJV11" i="5"/>
  <c r="AJW11" i="5"/>
  <c r="AJX11" i="5"/>
  <c r="AJY11" i="5"/>
  <c r="AJZ11" i="5"/>
  <c r="AKA11" i="5"/>
  <c r="AKB11" i="5"/>
  <c r="AKC11" i="5"/>
  <c r="AKD11" i="5"/>
  <c r="AKE11" i="5"/>
  <c r="AKF11" i="5"/>
  <c r="AKG11" i="5"/>
  <c r="AKH11" i="5"/>
  <c r="AKI11" i="5"/>
  <c r="AKJ11" i="5"/>
  <c r="AKK11" i="5"/>
  <c r="AKL11" i="5"/>
  <c r="AKM11" i="5"/>
  <c r="AKN11" i="5"/>
  <c r="AKO11" i="5"/>
  <c r="AKP11" i="5"/>
  <c r="AKQ11" i="5"/>
  <c r="AKR11" i="5"/>
  <c r="AKS11" i="5"/>
  <c r="AKT11" i="5"/>
  <c r="AKU11" i="5"/>
  <c r="AKV11" i="5"/>
  <c r="AKW11" i="5"/>
  <c r="AKX11" i="5"/>
  <c r="AKY11" i="5"/>
  <c r="AKZ11" i="5"/>
  <c r="ALA11" i="5"/>
  <c r="ALB11" i="5"/>
  <c r="ALC11" i="5"/>
  <c r="ALD11" i="5"/>
  <c r="ALE11" i="5"/>
  <c r="ALF11" i="5"/>
  <c r="ALG11" i="5"/>
  <c r="ALH11" i="5"/>
  <c r="ALI11" i="5"/>
  <c r="ALJ11" i="5"/>
  <c r="ALK11" i="5"/>
  <c r="ALL11" i="5"/>
  <c r="ALM11" i="5"/>
  <c r="ALN11" i="5"/>
  <c r="ALO11" i="5"/>
  <c r="ALP11" i="5"/>
  <c r="ALQ11" i="5"/>
  <c r="ALR11" i="5"/>
  <c r="ALS11" i="5"/>
  <c r="ALT11" i="5"/>
  <c r="ALU11" i="5"/>
  <c r="ALV11" i="5"/>
  <c r="ALW11" i="5"/>
  <c r="ALX11" i="5"/>
  <c r="ALY11" i="5"/>
  <c r="ALZ11" i="5"/>
  <c r="AMA11" i="5"/>
  <c r="AMB11" i="5"/>
  <c r="AMC11" i="5"/>
  <c r="AMD11" i="5"/>
  <c r="AME11" i="5"/>
  <c r="AMF11" i="5"/>
  <c r="AMG11" i="5"/>
  <c r="AMH11" i="5"/>
  <c r="AMI11" i="5"/>
  <c r="AMJ11" i="5"/>
  <c r="AMK11" i="5"/>
  <c r="AML11" i="5"/>
  <c r="AMM11" i="5"/>
  <c r="AMN11" i="5"/>
  <c r="AMO11" i="5"/>
  <c r="AMP11" i="5"/>
  <c r="AMQ11" i="5"/>
  <c r="AMR11" i="5"/>
  <c r="AMS11" i="5"/>
  <c r="AMT11" i="5"/>
  <c r="AMU11" i="5"/>
  <c r="AMV11" i="5"/>
  <c r="AMW11" i="5"/>
  <c r="AMX11" i="5"/>
  <c r="AMY11" i="5"/>
  <c r="AMZ11" i="5"/>
  <c r="ANA11" i="5"/>
  <c r="ANB11" i="5"/>
  <c r="ANC11" i="5"/>
  <c r="AND11" i="5"/>
  <c r="ANE11" i="5"/>
  <c r="ANF11" i="5"/>
  <c r="ANG11" i="5"/>
  <c r="ANH11" i="5"/>
  <c r="ANI11" i="5"/>
  <c r="ANJ11" i="5"/>
  <c r="ANK11" i="5"/>
  <c r="ANL11" i="5"/>
  <c r="ANM11" i="5"/>
  <c r="ANN11" i="5"/>
  <c r="ANO11" i="5"/>
  <c r="ANP11" i="5"/>
  <c r="ANQ11" i="5"/>
  <c r="ANR11" i="5"/>
  <c r="ANS11" i="5"/>
  <c r="ANT11" i="5"/>
  <c r="ANU11" i="5"/>
  <c r="ANV11" i="5"/>
  <c r="ANW11" i="5"/>
  <c r="ANX11" i="5"/>
  <c r="ANY11" i="5"/>
  <c r="ANZ11" i="5"/>
  <c r="AOA11" i="5"/>
  <c r="AOB11" i="5"/>
  <c r="AOC11" i="5"/>
  <c r="AOD11" i="5"/>
  <c r="AOE11" i="5"/>
  <c r="AOF11" i="5"/>
  <c r="AOG11" i="5"/>
  <c r="AOH11" i="5"/>
  <c r="AOI11" i="5"/>
  <c r="AOJ11" i="5"/>
  <c r="AOK11" i="5"/>
  <c r="AOL11" i="5"/>
  <c r="AOM11" i="5"/>
  <c r="AON11" i="5"/>
  <c r="AOO11" i="5"/>
  <c r="AOP11" i="5"/>
  <c r="AOQ11" i="5"/>
  <c r="AOR11" i="5"/>
  <c r="AOS11" i="5"/>
  <c r="AOT11" i="5"/>
  <c r="AOU11" i="5"/>
  <c r="AOV11" i="5"/>
  <c r="AOW11" i="5"/>
  <c r="AOX11" i="5"/>
  <c r="AOY11" i="5"/>
  <c r="AOZ11" i="5"/>
  <c r="APA11" i="5"/>
  <c r="APB11" i="5"/>
  <c r="APC11" i="5"/>
  <c r="APD11" i="5"/>
  <c r="APE11" i="5"/>
  <c r="APF11" i="5"/>
  <c r="APG11" i="5"/>
  <c r="APH11" i="5"/>
  <c r="API11" i="5"/>
  <c r="APJ11" i="5"/>
  <c r="APK11" i="5"/>
  <c r="APL11" i="5"/>
  <c r="APM11" i="5"/>
  <c r="APN11" i="5"/>
  <c r="APO11" i="5"/>
  <c r="APP11" i="5"/>
  <c r="APQ11" i="5"/>
  <c r="APR11" i="5"/>
  <c r="APS11" i="5"/>
  <c r="APT11" i="5"/>
  <c r="APU11" i="5"/>
  <c r="APV11" i="5"/>
  <c r="APW11" i="5"/>
  <c r="APX11" i="5"/>
  <c r="APY11" i="5"/>
  <c r="APZ11" i="5"/>
  <c r="AQA11" i="5"/>
  <c r="AQB11" i="5"/>
  <c r="AQC11" i="5"/>
  <c r="AQD11" i="5"/>
  <c r="AQE11" i="5"/>
  <c r="AQF11" i="5"/>
  <c r="AQG11" i="5"/>
  <c r="AQH11" i="5"/>
  <c r="AQI11" i="5"/>
  <c r="AQJ11" i="5"/>
  <c r="AQK11" i="5"/>
  <c r="AQL11" i="5"/>
  <c r="AQM11" i="5"/>
  <c r="AQN11" i="5"/>
  <c r="AQO11" i="5"/>
  <c r="AQP11" i="5"/>
  <c r="AQQ11" i="5"/>
  <c r="AQR11" i="5"/>
  <c r="AQS11" i="5"/>
  <c r="AQT11" i="5"/>
  <c r="AQU11" i="5"/>
  <c r="AQV11" i="5"/>
  <c r="AQW11" i="5"/>
  <c r="AQX11" i="5"/>
  <c r="AQY11" i="5"/>
  <c r="AQZ11" i="5"/>
  <c r="ARA11" i="5"/>
  <c r="ARB11" i="5"/>
  <c r="ARC11" i="5"/>
  <c r="ARD11" i="5"/>
  <c r="ARE11" i="5"/>
  <c r="ARF11" i="5"/>
  <c r="ARG11" i="5"/>
  <c r="ARH11" i="5"/>
  <c r="ARI11" i="5"/>
  <c r="ARJ11" i="5"/>
  <c r="ARK11" i="5"/>
  <c r="ARL11" i="5"/>
  <c r="ARM11" i="5"/>
  <c r="ARN11" i="5"/>
  <c r="ARO11" i="5"/>
  <c r="ARP11" i="5"/>
  <c r="ARQ11" i="5"/>
  <c r="ARR11" i="5"/>
  <c r="ARS11" i="5"/>
  <c r="ART11" i="5"/>
  <c r="ARU11" i="5"/>
  <c r="ARV11" i="5"/>
  <c r="ARW11" i="5"/>
  <c r="ARX11" i="5"/>
  <c r="ARY11" i="5"/>
  <c r="ARZ11" i="5"/>
  <c r="ASA11" i="5"/>
  <c r="ASB11" i="5"/>
  <c r="ASC11" i="5"/>
  <c r="ASD11" i="5"/>
  <c r="ASE11" i="5"/>
  <c r="ASF11" i="5"/>
  <c r="ASG11" i="5"/>
  <c r="ASH11" i="5"/>
  <c r="ASI11" i="5"/>
  <c r="ASJ11" i="5"/>
  <c r="ASK11" i="5"/>
  <c r="ASL11" i="5"/>
  <c r="ASM11" i="5"/>
  <c r="ASN11" i="5"/>
  <c r="ASO11" i="5"/>
  <c r="ASP11" i="5"/>
  <c r="ASQ11" i="5"/>
  <c r="ASR11" i="5"/>
  <c r="ASS11" i="5"/>
  <c r="AST11" i="5"/>
  <c r="ASU11" i="5"/>
  <c r="ASV11" i="5"/>
  <c r="ASW11" i="5"/>
  <c r="ASX11" i="5"/>
  <c r="ASY11" i="5"/>
  <c r="ASZ11" i="5"/>
  <c r="ATA11" i="5"/>
  <c r="ATB11" i="5"/>
  <c r="ATC11" i="5"/>
  <c r="ATD11" i="5"/>
  <c r="ATE11" i="5"/>
  <c r="ATF11" i="5"/>
  <c r="ATG11" i="5"/>
  <c r="ATH11" i="5"/>
  <c r="ATI11" i="5"/>
  <c r="ATJ11" i="5"/>
  <c r="ATK11" i="5"/>
  <c r="ATL11" i="5"/>
  <c r="ATM11" i="5"/>
  <c r="ATN11" i="5"/>
  <c r="ATO11" i="5"/>
  <c r="ATP11" i="5"/>
  <c r="ATQ11" i="5"/>
  <c r="ATR11" i="5"/>
  <c r="ATS11" i="5"/>
  <c r="ATT11" i="5"/>
  <c r="ATU11" i="5"/>
  <c r="ATV11" i="5"/>
  <c r="ATW11" i="5"/>
  <c r="ATX11" i="5"/>
  <c r="ATY11" i="5"/>
  <c r="ATZ11" i="5"/>
  <c r="AUA11" i="5"/>
  <c r="AUB11" i="5"/>
  <c r="AUC11" i="5"/>
  <c r="AUD11" i="5"/>
  <c r="AUE11" i="5"/>
  <c r="AUF11" i="5"/>
  <c r="AUG11" i="5"/>
  <c r="AUH11" i="5"/>
  <c r="AUI11" i="5"/>
  <c r="AUJ11" i="5"/>
  <c r="AUK11" i="5"/>
  <c r="AUL11" i="5"/>
  <c r="AUM11" i="5"/>
  <c r="AUN11" i="5"/>
  <c r="AUO11" i="5"/>
  <c r="AUP11" i="5"/>
  <c r="AUQ11" i="5"/>
  <c r="AUR11" i="5"/>
  <c r="AUS11" i="5"/>
  <c r="AUT11" i="5"/>
  <c r="AUU11" i="5"/>
  <c r="AUV11" i="5"/>
  <c r="AUW11" i="5"/>
  <c r="AUX11" i="5"/>
  <c r="AUY11" i="5"/>
  <c r="AUZ11" i="5"/>
  <c r="AVA11" i="5"/>
  <c r="AVB11" i="5"/>
  <c r="AVC11" i="5"/>
  <c r="AVD11" i="5"/>
  <c r="AVE11" i="5"/>
  <c r="AVF11" i="5"/>
  <c r="AVG11" i="5"/>
  <c r="AVH11" i="5"/>
  <c r="AVI11" i="5"/>
  <c r="AVJ11" i="5"/>
  <c r="AVK11" i="5"/>
  <c r="AVL11" i="5"/>
  <c r="AVM11" i="5"/>
  <c r="AVN11" i="5"/>
  <c r="AVO11" i="5"/>
  <c r="AVP11" i="5"/>
  <c r="AVQ11" i="5"/>
  <c r="AVR11" i="5"/>
  <c r="AVS11" i="5"/>
  <c r="AVT11" i="5"/>
  <c r="AVU11" i="5"/>
  <c r="AVV11" i="5"/>
  <c r="AVW11" i="5"/>
  <c r="AVX11" i="5"/>
  <c r="AVY11" i="5"/>
  <c r="AVZ11" i="5"/>
  <c r="AWA11" i="5"/>
  <c r="AWB11" i="5"/>
  <c r="AWC11" i="5"/>
  <c r="AWD11" i="5"/>
  <c r="AWE11" i="5"/>
  <c r="AWF11" i="5"/>
  <c r="AWG11" i="5"/>
  <c r="AWH11" i="5"/>
  <c r="AWI11" i="5"/>
  <c r="AWJ11" i="5"/>
  <c r="AWK11" i="5"/>
  <c r="AWL11" i="5"/>
  <c r="AWM11" i="5"/>
  <c r="AWN11" i="5"/>
  <c r="AWO11" i="5"/>
  <c r="AWP11" i="5"/>
  <c r="AWQ11" i="5"/>
  <c r="AWR11" i="5"/>
  <c r="AWS11" i="5"/>
  <c r="AWT11" i="5"/>
  <c r="AWU11" i="5"/>
  <c r="AWV11" i="5"/>
  <c r="AWW11" i="5"/>
  <c r="AWX11" i="5"/>
  <c r="AWY11" i="5"/>
  <c r="AWZ11" i="5"/>
  <c r="AXA11" i="5"/>
  <c r="AXB11" i="5"/>
  <c r="AXC11" i="5"/>
  <c r="AXD11" i="5"/>
  <c r="AXE11" i="5"/>
  <c r="AXF11" i="5"/>
  <c r="AXG11" i="5"/>
  <c r="AXH11" i="5"/>
  <c r="AXI11" i="5"/>
  <c r="AXJ11" i="5"/>
  <c r="AXK11" i="5"/>
  <c r="AXL11" i="5"/>
  <c r="AXM11" i="5"/>
  <c r="AXN11" i="5"/>
  <c r="AXO11" i="5"/>
  <c r="AXP11" i="5"/>
  <c r="AXQ11" i="5"/>
  <c r="AXR11" i="5"/>
  <c r="AXS11" i="5"/>
  <c r="AXT11" i="5"/>
  <c r="AXU11" i="5"/>
  <c r="AXV11" i="5"/>
  <c r="AXW11" i="5"/>
  <c r="AXX11" i="5"/>
  <c r="AXY11" i="5"/>
  <c r="AXZ11" i="5"/>
  <c r="AYA11" i="5"/>
  <c r="AYB11" i="5"/>
  <c r="AYC11" i="5"/>
  <c r="AYD11" i="5"/>
  <c r="AYE11" i="5"/>
  <c r="AYF11" i="5"/>
  <c r="AYG11" i="5"/>
  <c r="AYH11" i="5"/>
  <c r="AYI11" i="5"/>
  <c r="AYJ11" i="5"/>
  <c r="AYK11" i="5"/>
  <c r="AYL11" i="5"/>
  <c r="AYM11" i="5"/>
  <c r="AYN11" i="5"/>
  <c r="AYO11" i="5"/>
  <c r="AYP11" i="5"/>
  <c r="AYQ11" i="5"/>
  <c r="AYR11" i="5"/>
  <c r="AYS11" i="5"/>
  <c r="AYT11" i="5"/>
  <c r="AYU11" i="5"/>
  <c r="AYV11" i="5"/>
  <c r="AYW11" i="5"/>
  <c r="AYX11" i="5"/>
  <c r="AYY11" i="5"/>
  <c r="AYZ11" i="5"/>
  <c r="AZA11" i="5"/>
  <c r="AZB11" i="5"/>
  <c r="AZC11" i="5"/>
  <c r="AZD11" i="5"/>
  <c r="AZE11" i="5"/>
  <c r="AZF11" i="5"/>
  <c r="AZG11" i="5"/>
  <c r="AZH11" i="5"/>
  <c r="AZI11" i="5"/>
  <c r="AZJ11" i="5"/>
  <c r="AZK11" i="5"/>
  <c r="AZL11" i="5"/>
  <c r="AZM11" i="5"/>
  <c r="AZN11" i="5"/>
  <c r="AZO11" i="5"/>
  <c r="AZP11" i="5"/>
  <c r="AZQ11" i="5"/>
  <c r="AZR11" i="5"/>
  <c r="AZS11" i="5"/>
  <c r="AZT11" i="5"/>
  <c r="AZU11" i="5"/>
  <c r="AZV11" i="5"/>
  <c r="AZW11" i="5"/>
  <c r="AZX11" i="5"/>
  <c r="AZY11" i="5"/>
  <c r="AZZ11" i="5"/>
  <c r="BAA11" i="5"/>
  <c r="BAB11" i="5"/>
  <c r="BAC11" i="5"/>
  <c r="BAD11" i="5"/>
  <c r="BAE11" i="5"/>
  <c r="BAF11" i="5"/>
  <c r="BAG11" i="5"/>
  <c r="BAH11" i="5"/>
  <c r="BAI11" i="5"/>
  <c r="BAJ11" i="5"/>
  <c r="BAK11" i="5"/>
  <c r="BAL11" i="5"/>
  <c r="BAM11" i="5"/>
  <c r="BAN11" i="5"/>
  <c r="BAO11" i="5"/>
  <c r="BAP11" i="5"/>
  <c r="BAQ11" i="5"/>
  <c r="BAR11" i="5"/>
  <c r="BAS11" i="5"/>
  <c r="BAT11" i="5"/>
  <c r="BAU11" i="5"/>
  <c r="BAV11" i="5"/>
  <c r="BAW11" i="5"/>
  <c r="BAX11" i="5"/>
  <c r="BAY11" i="5"/>
  <c r="BAZ11" i="5"/>
  <c r="BBA11" i="5"/>
  <c r="BBB11" i="5"/>
  <c r="BBC11" i="5"/>
  <c r="BBD11" i="5"/>
  <c r="BBE11" i="5"/>
  <c r="BBF11" i="5"/>
  <c r="BBG11" i="5"/>
  <c r="BBH11" i="5"/>
  <c r="BBI11" i="5"/>
  <c r="BBJ11" i="5"/>
  <c r="BBK11" i="5"/>
  <c r="BBL11" i="5"/>
  <c r="BBM11" i="5"/>
  <c r="BBN11" i="5"/>
  <c r="BBO11" i="5"/>
  <c r="BBP11" i="5"/>
  <c r="BBQ11" i="5"/>
  <c r="BBR11" i="5"/>
  <c r="BBS11" i="5"/>
  <c r="BBT11" i="5"/>
  <c r="BBU11" i="5"/>
  <c r="BBV11" i="5"/>
  <c r="BBW11" i="5"/>
  <c r="BBX11" i="5"/>
  <c r="BBY11" i="5"/>
  <c r="BBZ11" i="5"/>
  <c r="BCA11" i="5"/>
  <c r="BCB11" i="5"/>
  <c r="BCC11" i="5"/>
  <c r="BCD11" i="5"/>
  <c r="BCE11" i="5"/>
  <c r="BCF11" i="5"/>
  <c r="BCG11" i="5"/>
  <c r="BCH11" i="5"/>
  <c r="BCI11" i="5"/>
  <c r="BCJ11" i="5"/>
  <c r="BCK11" i="5"/>
  <c r="BCL11" i="5"/>
  <c r="BCM11" i="5"/>
  <c r="BCN11" i="5"/>
  <c r="BCO11" i="5"/>
  <c r="BCP11" i="5"/>
  <c r="BCQ11" i="5"/>
  <c r="BCR11" i="5"/>
  <c r="BCS11" i="5"/>
  <c r="BCT11" i="5"/>
  <c r="BCU11" i="5"/>
  <c r="BCV11" i="5"/>
  <c r="BCW11" i="5"/>
  <c r="BCX11" i="5"/>
  <c r="BCY11" i="5"/>
  <c r="BCZ11" i="5"/>
  <c r="BDA11" i="5"/>
  <c r="BDB11" i="5"/>
  <c r="BDC11" i="5"/>
  <c r="BDD11" i="5"/>
  <c r="BDE11" i="5"/>
  <c r="BDF11" i="5"/>
  <c r="BDG11" i="5"/>
  <c r="BDH11" i="5"/>
  <c r="BDI11" i="5"/>
  <c r="BDJ11" i="5"/>
  <c r="BDK11" i="5"/>
  <c r="BDL11" i="5"/>
  <c r="BDM11" i="5"/>
  <c r="BDN11" i="5"/>
  <c r="BDO11" i="5"/>
  <c r="BDP11" i="5"/>
  <c r="BDQ11" i="5"/>
  <c r="BDR11" i="5"/>
  <c r="BDS11" i="5"/>
  <c r="BDT11" i="5"/>
  <c r="BDU11" i="5"/>
  <c r="BDV11" i="5"/>
  <c r="BDW11" i="5"/>
  <c r="BDX11" i="5"/>
  <c r="BDY11" i="5"/>
  <c r="BDZ11" i="5"/>
  <c r="BEA11" i="5"/>
  <c r="BEB11" i="5"/>
  <c r="BEC11" i="5"/>
  <c r="BED11" i="5"/>
  <c r="BEE11" i="5"/>
  <c r="BEF11" i="5"/>
  <c r="BEG11" i="5"/>
  <c r="BEH11" i="5"/>
  <c r="BEI11" i="5"/>
  <c r="BEJ11" i="5"/>
  <c r="BEK11" i="5"/>
  <c r="BEL11" i="5"/>
  <c r="BEM11" i="5"/>
  <c r="BEN11" i="5"/>
  <c r="BEO11" i="5"/>
  <c r="BEP11" i="5"/>
  <c r="BEQ11" i="5"/>
  <c r="BER11" i="5"/>
  <c r="BES11" i="5"/>
  <c r="BET11" i="5"/>
  <c r="BEU11" i="5"/>
  <c r="BEV11" i="5"/>
  <c r="BEW11" i="5"/>
  <c r="BEX11" i="5"/>
  <c r="BEY11" i="5"/>
  <c r="BEZ11" i="5"/>
  <c r="BFA11" i="5"/>
  <c r="BFB11" i="5"/>
  <c r="BFC11" i="5"/>
  <c r="BFD11" i="5"/>
  <c r="BFE11" i="5"/>
  <c r="BFF11" i="5"/>
  <c r="BFG11" i="5"/>
  <c r="BFH11" i="5"/>
  <c r="BFI11" i="5"/>
  <c r="BFJ11" i="5"/>
  <c r="BFK11" i="5"/>
  <c r="BFL11" i="5"/>
  <c r="BFM11" i="5"/>
  <c r="BFN11" i="5"/>
  <c r="BFO11" i="5"/>
  <c r="BFP11" i="5"/>
  <c r="BFQ11" i="5"/>
  <c r="BFR11" i="5"/>
  <c r="BFS11" i="5"/>
  <c r="BFT11" i="5"/>
  <c r="BFU11" i="5"/>
  <c r="BFV11" i="5"/>
  <c r="BFW11" i="5"/>
  <c r="BFX11" i="5"/>
  <c r="BFY11" i="5"/>
  <c r="BFZ11" i="5"/>
  <c r="BGA11" i="5"/>
  <c r="BGB11" i="5"/>
  <c r="BGC11" i="5"/>
  <c r="BGD11" i="5"/>
  <c r="BGE11" i="5"/>
  <c r="BGF11" i="5"/>
  <c r="BGG11" i="5"/>
  <c r="BGH11" i="5"/>
  <c r="BGI11" i="5"/>
  <c r="BGJ11" i="5"/>
  <c r="BGK11" i="5"/>
  <c r="BGL11" i="5"/>
  <c r="BGM11" i="5"/>
  <c r="BGN11" i="5"/>
  <c r="BGO11" i="5"/>
  <c r="BGP11" i="5"/>
  <c r="BGQ11" i="5"/>
  <c r="BGR11" i="5"/>
  <c r="BGS11" i="5"/>
  <c r="BGT11" i="5"/>
  <c r="BGU11" i="5"/>
  <c r="BGV11" i="5"/>
  <c r="BGW11" i="5"/>
  <c r="BGX11" i="5"/>
  <c r="BGY11" i="5"/>
  <c r="BGZ11" i="5"/>
  <c r="BHA11" i="5"/>
  <c r="BHB11" i="5"/>
  <c r="BHC11" i="5"/>
  <c r="BHD11" i="5"/>
  <c r="BHE11" i="5"/>
  <c r="BHF11" i="5"/>
  <c r="BHG11" i="5"/>
  <c r="BHH11" i="5"/>
  <c r="BHI11" i="5"/>
  <c r="BHJ11" i="5"/>
  <c r="BHK11" i="5"/>
  <c r="BHL11" i="5"/>
  <c r="BHM11" i="5"/>
  <c r="BHN11" i="5"/>
  <c r="BHO11" i="5"/>
  <c r="BHP11" i="5"/>
  <c r="BHQ11" i="5"/>
  <c r="BHR11" i="5"/>
  <c r="BHS11" i="5"/>
  <c r="BHT11" i="5"/>
  <c r="BHU11" i="5"/>
  <c r="BHV11" i="5"/>
  <c r="BHW11" i="5"/>
  <c r="BHX11" i="5"/>
  <c r="BHY11" i="5"/>
  <c r="BHZ11" i="5"/>
  <c r="BIA11" i="5"/>
  <c r="BIB11" i="5"/>
  <c r="BIC11" i="5"/>
  <c r="BID11" i="5"/>
  <c r="BIE11" i="5"/>
  <c r="BIF11" i="5"/>
  <c r="BIG11" i="5"/>
  <c r="BIH11" i="5"/>
  <c r="BII11" i="5"/>
  <c r="BIJ11" i="5"/>
  <c r="BIK11" i="5"/>
  <c r="BIL11" i="5"/>
  <c r="BIM11" i="5"/>
  <c r="BIN11" i="5"/>
  <c r="BIO11" i="5"/>
  <c r="BIP11" i="5"/>
  <c r="BIQ11" i="5"/>
  <c r="BIR11" i="5"/>
  <c r="BIS11" i="5"/>
  <c r="BIT11" i="5"/>
  <c r="BIU11" i="5"/>
  <c r="BIV11" i="5"/>
  <c r="BIW11" i="5"/>
  <c r="BIX11" i="5"/>
  <c r="BIY11" i="5"/>
  <c r="BIZ11" i="5"/>
  <c r="BJA11" i="5"/>
  <c r="BJB11" i="5"/>
  <c r="BJC11" i="5"/>
  <c r="BJD11" i="5"/>
  <c r="BJE11" i="5"/>
  <c r="BJF11" i="5"/>
  <c r="BJG11" i="5"/>
  <c r="BJH11" i="5"/>
  <c r="BJI11" i="5"/>
  <c r="BJJ11" i="5"/>
  <c r="BJK11" i="5"/>
  <c r="BJL11" i="5"/>
  <c r="BJM11" i="5"/>
  <c r="BJN11" i="5"/>
  <c r="BJO11" i="5"/>
  <c r="BJP11" i="5"/>
  <c r="BJQ11" i="5"/>
  <c r="BJR11" i="5"/>
  <c r="BJS11" i="5"/>
  <c r="BJT11" i="5"/>
  <c r="BJU11" i="5"/>
  <c r="BJV11" i="5"/>
  <c r="BJW11" i="5"/>
  <c r="BJX11" i="5"/>
  <c r="BJY11" i="5"/>
  <c r="BJZ11" i="5"/>
  <c r="BKA11" i="5"/>
  <c r="BKB11" i="5"/>
  <c r="BKC11" i="5"/>
  <c r="BKD11" i="5"/>
  <c r="BKE11" i="5"/>
  <c r="BKF11" i="5"/>
  <c r="BKG11" i="5"/>
  <c r="BKH11" i="5"/>
  <c r="BKI11" i="5"/>
  <c r="BKJ11" i="5"/>
  <c r="BKK11" i="5"/>
  <c r="BKL11" i="5"/>
  <c r="BKM11" i="5"/>
  <c r="BKN11" i="5"/>
  <c r="BKO11" i="5"/>
  <c r="BKP11" i="5"/>
  <c r="BKQ11" i="5"/>
  <c r="BKR11" i="5"/>
  <c r="BKS11" i="5"/>
  <c r="BKT11" i="5"/>
  <c r="BKU11" i="5"/>
  <c r="BKV11" i="5"/>
  <c r="BKW11" i="5"/>
  <c r="BKX11" i="5"/>
  <c r="BKY11" i="5"/>
  <c r="BKZ11" i="5"/>
  <c r="BLA11" i="5"/>
  <c r="BLB11" i="5"/>
  <c r="BLC11" i="5"/>
  <c r="BLD11" i="5"/>
  <c r="BLE11" i="5"/>
  <c r="BLF11" i="5"/>
  <c r="BLG11" i="5"/>
  <c r="BLH11" i="5"/>
  <c r="BLI11" i="5"/>
  <c r="BLJ11" i="5"/>
  <c r="BLK11" i="5"/>
  <c r="BLL11" i="5"/>
  <c r="BLM11" i="5"/>
  <c r="BLN11" i="5"/>
  <c r="BLO11" i="5"/>
  <c r="BLP11" i="5"/>
  <c r="BLQ11" i="5"/>
  <c r="BLR11" i="5"/>
  <c r="BLS11" i="5"/>
  <c r="BLT11" i="5"/>
  <c r="BLU11" i="5"/>
  <c r="BLV11" i="5"/>
  <c r="BLW11" i="5"/>
  <c r="BLX11" i="5"/>
  <c r="BLY11" i="5"/>
  <c r="BLZ11" i="5"/>
  <c r="BMA11" i="5"/>
  <c r="BMB11" i="5"/>
  <c r="BMC11" i="5"/>
  <c r="BMD11" i="5"/>
  <c r="BME11" i="5"/>
  <c r="BMF11" i="5"/>
  <c r="BMG11" i="5"/>
  <c r="BMH11" i="5"/>
  <c r="BMI11" i="5"/>
  <c r="BMJ11" i="5"/>
  <c r="BMK11" i="5"/>
  <c r="BML11" i="5"/>
  <c r="BMM11" i="5"/>
  <c r="BMN11" i="5"/>
  <c r="BMO11" i="5"/>
  <c r="BMP11" i="5"/>
  <c r="BMQ11" i="5"/>
  <c r="BMR11" i="5"/>
  <c r="BMS11" i="5"/>
  <c r="BMT11" i="5"/>
  <c r="BMU11" i="5"/>
  <c r="BMV11" i="5"/>
  <c r="BMW11" i="5"/>
  <c r="BMX11" i="5"/>
  <c r="BMY11" i="5"/>
  <c r="BMZ11" i="5"/>
  <c r="BNA11" i="5"/>
  <c r="BNB11" i="5"/>
  <c r="BNC11" i="5"/>
  <c r="BND11" i="5"/>
  <c r="BNE11" i="5"/>
  <c r="BNF11" i="5"/>
  <c r="BNG11" i="5"/>
  <c r="BNH11" i="5"/>
  <c r="BNI11" i="5"/>
  <c r="BNJ11" i="5"/>
  <c r="BNK11" i="5"/>
  <c r="BNL11" i="5"/>
  <c r="BNM11" i="5"/>
  <c r="BNN11" i="5"/>
  <c r="BNO11" i="5"/>
  <c r="BNP11" i="5"/>
  <c r="BNQ11" i="5"/>
  <c r="BNR11" i="5"/>
  <c r="BNS11" i="5"/>
  <c r="BNT11" i="5"/>
  <c r="BNU11" i="5"/>
  <c r="BNV11" i="5"/>
  <c r="BNW11" i="5"/>
  <c r="BNX11" i="5"/>
  <c r="BNY11" i="5"/>
  <c r="BNZ11" i="5"/>
  <c r="BOA11" i="5"/>
  <c r="BOB11" i="5"/>
  <c r="BOC11" i="5"/>
  <c r="BOD11" i="5"/>
  <c r="BOE11" i="5"/>
  <c r="BOF11" i="5"/>
  <c r="BOG11" i="5"/>
  <c r="BOH11" i="5"/>
  <c r="BOI11" i="5"/>
  <c r="BOJ11" i="5"/>
  <c r="BOK11" i="5"/>
  <c r="BOL11" i="5"/>
  <c r="BOM11" i="5"/>
  <c r="BON11" i="5"/>
  <c r="BOO11" i="5"/>
  <c r="BOP11" i="5"/>
  <c r="BOQ11" i="5"/>
  <c r="BOR11" i="5"/>
  <c r="BOS11" i="5"/>
  <c r="BOT11" i="5"/>
  <c r="BOU11" i="5"/>
  <c r="BOV11" i="5"/>
  <c r="BOW11" i="5"/>
  <c r="BOX11" i="5"/>
  <c r="BOY11" i="5"/>
  <c r="BOZ11" i="5"/>
  <c r="BPA11" i="5"/>
  <c r="BPB11" i="5"/>
  <c r="BPC11" i="5"/>
  <c r="BPD11" i="5"/>
  <c r="BPE11" i="5"/>
  <c r="BPF11" i="5"/>
  <c r="BPG11" i="5"/>
  <c r="BPH11" i="5"/>
  <c r="BPI11" i="5"/>
  <c r="BPJ11" i="5"/>
  <c r="BPK11" i="5"/>
  <c r="BPL11" i="5"/>
  <c r="BPM11" i="5"/>
  <c r="BPN11" i="5"/>
  <c r="BPO11" i="5"/>
  <c r="BPP11" i="5"/>
  <c r="BPQ11" i="5"/>
  <c r="BPR11" i="5"/>
  <c r="BPS11" i="5"/>
  <c r="BPT11" i="5"/>
  <c r="BPU11" i="5"/>
  <c r="BPV11" i="5"/>
  <c r="BPW11" i="5"/>
  <c r="BPX11" i="5"/>
  <c r="BPY11" i="5"/>
  <c r="BPZ11" i="5"/>
  <c r="BQA11" i="5"/>
  <c r="BQB11" i="5"/>
  <c r="BQC11" i="5"/>
  <c r="BQD11" i="5"/>
  <c r="BQE11" i="5"/>
  <c r="BQF11" i="5"/>
  <c r="BQG11" i="5"/>
  <c r="BQH11" i="5"/>
  <c r="BQI11" i="5"/>
  <c r="BQJ11" i="5"/>
  <c r="BQK11" i="5"/>
  <c r="BQL11" i="5"/>
  <c r="BQM11" i="5"/>
  <c r="BQN11" i="5"/>
  <c r="BQO11" i="5"/>
  <c r="BQP11" i="5"/>
  <c r="BQQ11" i="5"/>
  <c r="BQR11" i="5"/>
  <c r="BQS11" i="5"/>
  <c r="BQT11" i="5"/>
  <c r="BQU11" i="5"/>
  <c r="BQV11" i="5"/>
  <c r="BQW11" i="5"/>
  <c r="BQX11" i="5"/>
  <c r="BQY11" i="5"/>
  <c r="BQZ11" i="5"/>
  <c r="BRA11" i="5"/>
  <c r="BRB11" i="5"/>
  <c r="BRC11" i="5"/>
  <c r="BRD11" i="5"/>
  <c r="BRE11" i="5"/>
  <c r="BRF11" i="5"/>
  <c r="BRG11" i="5"/>
  <c r="BRH11" i="5"/>
  <c r="BRI11" i="5"/>
  <c r="BRJ11" i="5"/>
  <c r="BRK11" i="5"/>
  <c r="BRL11" i="5"/>
  <c r="BRM11" i="5"/>
  <c r="BRN11" i="5"/>
  <c r="BRO11" i="5"/>
  <c r="BRP11" i="5"/>
  <c r="BRQ11" i="5"/>
  <c r="BRR11" i="5"/>
  <c r="BRS11" i="5"/>
  <c r="BRT11" i="5"/>
  <c r="BRU11" i="5"/>
  <c r="BRV11" i="5"/>
  <c r="BRW11" i="5"/>
  <c r="BRX11" i="5"/>
  <c r="BRY11" i="5"/>
  <c r="BRZ11" i="5"/>
  <c r="BSA11" i="5"/>
  <c r="BSB11" i="5"/>
  <c r="BSC11" i="5"/>
  <c r="BSD11" i="5"/>
  <c r="BSE11" i="5"/>
  <c r="BSF11" i="5"/>
  <c r="BSG11" i="5"/>
  <c r="BSH11" i="5"/>
  <c r="BSI11" i="5"/>
  <c r="BSJ11" i="5"/>
  <c r="BSK11" i="5"/>
  <c r="BSL11" i="5"/>
  <c r="BSM11" i="5"/>
  <c r="BSN11" i="5"/>
  <c r="BSO11" i="5"/>
  <c r="BSP11" i="5"/>
  <c r="BSQ11" i="5"/>
  <c r="BSR11" i="5"/>
  <c r="BSS11" i="5"/>
  <c r="BST11" i="5"/>
  <c r="BSU11" i="5"/>
  <c r="BSV11" i="5"/>
  <c r="BSW11" i="5"/>
  <c r="BSX11" i="5"/>
  <c r="BSY11" i="5"/>
  <c r="BSZ11" i="5"/>
  <c r="BTA11" i="5"/>
  <c r="BTB11" i="5"/>
  <c r="BTC11" i="5"/>
  <c r="BTD11" i="5"/>
  <c r="BTE11" i="5"/>
  <c r="BTF11" i="5"/>
  <c r="BTG11" i="5"/>
  <c r="BTH11" i="5"/>
  <c r="BTI11" i="5"/>
  <c r="BTJ11" i="5"/>
  <c r="BTK11" i="5"/>
  <c r="BTL11" i="5"/>
  <c r="BTM11" i="5"/>
  <c r="BTN11" i="5"/>
  <c r="BTO11" i="5"/>
  <c r="BTP11" i="5"/>
  <c r="BTQ11" i="5"/>
  <c r="BTR11" i="5"/>
  <c r="BTS11" i="5"/>
  <c r="BTT11" i="5"/>
  <c r="BTU11" i="5"/>
  <c r="BTV11" i="5"/>
  <c r="BTW11" i="5"/>
  <c r="BTX11" i="5"/>
  <c r="BTY11" i="5"/>
  <c r="BTZ11" i="5"/>
  <c r="BUA11" i="5"/>
  <c r="BUB11" i="5"/>
  <c r="BUC11" i="5"/>
  <c r="BUD11" i="5"/>
  <c r="BUE11" i="5"/>
  <c r="BUF11" i="5"/>
  <c r="BUG11" i="5"/>
  <c r="BUH11" i="5"/>
  <c r="BUI11" i="5"/>
  <c r="BUJ11" i="5"/>
  <c r="BUK11" i="5"/>
  <c r="BUL11" i="5"/>
  <c r="BUM11" i="5"/>
  <c r="BUN11" i="5"/>
  <c r="BUO11" i="5"/>
  <c r="BUP11" i="5"/>
  <c r="BUQ11" i="5"/>
  <c r="BUR11" i="5"/>
  <c r="BUS11" i="5"/>
  <c r="BUT11" i="5"/>
  <c r="BUU11" i="5"/>
  <c r="BUV11" i="5"/>
  <c r="BUW11" i="5"/>
  <c r="BUX11" i="5"/>
  <c r="BUY11" i="5"/>
  <c r="BUZ11" i="5"/>
  <c r="BVA11" i="5"/>
  <c r="BVB11" i="5"/>
  <c r="BVC11" i="5"/>
  <c r="BVD11" i="5"/>
  <c r="BVE11" i="5"/>
  <c r="BVF11" i="5"/>
  <c r="BVG11" i="5"/>
  <c r="BVH11" i="5"/>
  <c r="BVI11" i="5"/>
  <c r="BVJ11" i="5"/>
  <c r="BVK11" i="5"/>
  <c r="BVL11" i="5"/>
  <c r="BVM11" i="5"/>
  <c r="BVN11" i="5"/>
  <c r="BVO11" i="5"/>
  <c r="BVP11" i="5"/>
  <c r="BVQ11" i="5"/>
  <c r="BVR11" i="5"/>
  <c r="BVS11" i="5"/>
  <c r="BVT11" i="5"/>
  <c r="BVU11" i="5"/>
  <c r="BVV11" i="5"/>
  <c r="BVW11" i="5"/>
  <c r="BVX11" i="5"/>
  <c r="BVY11" i="5"/>
  <c r="BVZ11" i="5"/>
  <c r="BWA11" i="5"/>
  <c r="BWB11" i="5"/>
  <c r="BWC11" i="5"/>
  <c r="BWD11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ND12" i="5"/>
  <c r="NE12" i="5"/>
  <c r="NF12" i="5"/>
  <c r="NG12" i="5"/>
  <c r="NH12" i="5"/>
  <c r="NI12" i="5"/>
  <c r="NJ12" i="5"/>
  <c r="NK12" i="5"/>
  <c r="NL12" i="5"/>
  <c r="NM12" i="5"/>
  <c r="NN12" i="5"/>
  <c r="NO12" i="5"/>
  <c r="NP12" i="5"/>
  <c r="NQ12" i="5"/>
  <c r="NR12" i="5"/>
  <c r="NS12" i="5"/>
  <c r="NT12" i="5"/>
  <c r="NU12" i="5"/>
  <c r="NV12" i="5"/>
  <c r="NW12" i="5"/>
  <c r="NX12" i="5"/>
  <c r="NY12" i="5"/>
  <c r="NZ12" i="5"/>
  <c r="OA12" i="5"/>
  <c r="OB12" i="5"/>
  <c r="OC12" i="5"/>
  <c r="OD12" i="5"/>
  <c r="OE12" i="5"/>
  <c r="OF12" i="5"/>
  <c r="OG12" i="5"/>
  <c r="OH12" i="5"/>
  <c r="OI12" i="5"/>
  <c r="OJ12" i="5"/>
  <c r="OK12" i="5"/>
  <c r="OL12" i="5"/>
  <c r="OM12" i="5"/>
  <c r="ON12" i="5"/>
  <c r="OO12" i="5"/>
  <c r="OP12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PO12" i="5"/>
  <c r="PP12" i="5"/>
  <c r="PQ12" i="5"/>
  <c r="PR12" i="5"/>
  <c r="PS12" i="5"/>
  <c r="PT12" i="5"/>
  <c r="PU12" i="5"/>
  <c r="PV12" i="5"/>
  <c r="PW12" i="5"/>
  <c r="PX12" i="5"/>
  <c r="PY12" i="5"/>
  <c r="PZ12" i="5"/>
  <c r="QA12" i="5"/>
  <c r="QB12" i="5"/>
  <c r="QC12" i="5"/>
  <c r="QD12" i="5"/>
  <c r="QE12" i="5"/>
  <c r="QF12" i="5"/>
  <c r="QG12" i="5"/>
  <c r="QH12" i="5"/>
  <c r="QI12" i="5"/>
  <c r="QJ12" i="5"/>
  <c r="QK12" i="5"/>
  <c r="QL12" i="5"/>
  <c r="QM12" i="5"/>
  <c r="QN12" i="5"/>
  <c r="QO12" i="5"/>
  <c r="QP12" i="5"/>
  <c r="QQ12" i="5"/>
  <c r="QR12" i="5"/>
  <c r="QS12" i="5"/>
  <c r="QT12" i="5"/>
  <c r="QU12" i="5"/>
  <c r="QV12" i="5"/>
  <c r="QW12" i="5"/>
  <c r="QX12" i="5"/>
  <c r="QY12" i="5"/>
  <c r="QZ12" i="5"/>
  <c r="RA12" i="5"/>
  <c r="RB12" i="5"/>
  <c r="RC12" i="5"/>
  <c r="RD12" i="5"/>
  <c r="RE12" i="5"/>
  <c r="RF12" i="5"/>
  <c r="RG12" i="5"/>
  <c r="RH12" i="5"/>
  <c r="RI12" i="5"/>
  <c r="RJ12" i="5"/>
  <c r="RK12" i="5"/>
  <c r="RL12" i="5"/>
  <c r="RM12" i="5"/>
  <c r="RN12" i="5"/>
  <c r="RO12" i="5"/>
  <c r="RP12" i="5"/>
  <c r="RQ12" i="5"/>
  <c r="RR12" i="5"/>
  <c r="RS12" i="5"/>
  <c r="RT12" i="5"/>
  <c r="RU12" i="5"/>
  <c r="RV12" i="5"/>
  <c r="RW12" i="5"/>
  <c r="RX12" i="5"/>
  <c r="RY12" i="5"/>
  <c r="RZ12" i="5"/>
  <c r="SA12" i="5"/>
  <c r="SB12" i="5"/>
  <c r="SC12" i="5"/>
  <c r="SD12" i="5"/>
  <c r="SE12" i="5"/>
  <c r="SF12" i="5"/>
  <c r="SG12" i="5"/>
  <c r="SH12" i="5"/>
  <c r="SI12" i="5"/>
  <c r="SJ12" i="5"/>
  <c r="SK12" i="5"/>
  <c r="SL12" i="5"/>
  <c r="SM12" i="5"/>
  <c r="SN12" i="5"/>
  <c r="SO12" i="5"/>
  <c r="SP12" i="5"/>
  <c r="SQ12" i="5"/>
  <c r="SR12" i="5"/>
  <c r="SS12" i="5"/>
  <c r="ST12" i="5"/>
  <c r="SU12" i="5"/>
  <c r="SV12" i="5"/>
  <c r="SW12" i="5"/>
  <c r="SX12" i="5"/>
  <c r="SY12" i="5"/>
  <c r="SZ12" i="5"/>
  <c r="TA12" i="5"/>
  <c r="TB12" i="5"/>
  <c r="TC12" i="5"/>
  <c r="TD12" i="5"/>
  <c r="TE12" i="5"/>
  <c r="TF12" i="5"/>
  <c r="TG12" i="5"/>
  <c r="TH12" i="5"/>
  <c r="TI12" i="5"/>
  <c r="TJ12" i="5"/>
  <c r="TK12" i="5"/>
  <c r="TL12" i="5"/>
  <c r="TM12" i="5"/>
  <c r="TN12" i="5"/>
  <c r="TO12" i="5"/>
  <c r="TP12" i="5"/>
  <c r="TQ12" i="5"/>
  <c r="TR12" i="5"/>
  <c r="TS12" i="5"/>
  <c r="TT12" i="5"/>
  <c r="TU12" i="5"/>
  <c r="TV12" i="5"/>
  <c r="TW12" i="5"/>
  <c r="TX12" i="5"/>
  <c r="TY12" i="5"/>
  <c r="TZ12" i="5"/>
  <c r="UA12" i="5"/>
  <c r="UB12" i="5"/>
  <c r="UC12" i="5"/>
  <c r="UD12" i="5"/>
  <c r="UE12" i="5"/>
  <c r="UF12" i="5"/>
  <c r="UG12" i="5"/>
  <c r="UH12" i="5"/>
  <c r="UI12" i="5"/>
  <c r="UJ12" i="5"/>
  <c r="UK12" i="5"/>
  <c r="UL12" i="5"/>
  <c r="UM12" i="5"/>
  <c r="UN12" i="5"/>
  <c r="UO12" i="5"/>
  <c r="UP12" i="5"/>
  <c r="UQ12" i="5"/>
  <c r="UR12" i="5"/>
  <c r="US12" i="5"/>
  <c r="UT12" i="5"/>
  <c r="UU12" i="5"/>
  <c r="UV12" i="5"/>
  <c r="UW12" i="5"/>
  <c r="UX12" i="5"/>
  <c r="UY12" i="5"/>
  <c r="UZ12" i="5"/>
  <c r="VA12" i="5"/>
  <c r="VB12" i="5"/>
  <c r="VC12" i="5"/>
  <c r="VD12" i="5"/>
  <c r="VE12" i="5"/>
  <c r="VF12" i="5"/>
  <c r="VG12" i="5"/>
  <c r="VH12" i="5"/>
  <c r="VI12" i="5"/>
  <c r="VJ12" i="5"/>
  <c r="VK12" i="5"/>
  <c r="VL12" i="5"/>
  <c r="VM12" i="5"/>
  <c r="VN12" i="5"/>
  <c r="VO12" i="5"/>
  <c r="VP12" i="5"/>
  <c r="VQ12" i="5"/>
  <c r="VR12" i="5"/>
  <c r="VS12" i="5"/>
  <c r="VT12" i="5"/>
  <c r="VU12" i="5"/>
  <c r="VV12" i="5"/>
  <c r="VW12" i="5"/>
  <c r="VX12" i="5"/>
  <c r="VY12" i="5"/>
  <c r="VZ12" i="5"/>
  <c r="WA12" i="5"/>
  <c r="WB12" i="5"/>
  <c r="WC12" i="5"/>
  <c r="WD12" i="5"/>
  <c r="WE12" i="5"/>
  <c r="WF12" i="5"/>
  <c r="WG12" i="5"/>
  <c r="WH12" i="5"/>
  <c r="WI12" i="5"/>
  <c r="WJ12" i="5"/>
  <c r="WK12" i="5"/>
  <c r="WL12" i="5"/>
  <c r="WM12" i="5"/>
  <c r="WN12" i="5"/>
  <c r="WO12" i="5"/>
  <c r="WP12" i="5"/>
  <c r="WQ12" i="5"/>
  <c r="WR12" i="5"/>
  <c r="WS12" i="5"/>
  <c r="WT12" i="5"/>
  <c r="WU12" i="5"/>
  <c r="WV12" i="5"/>
  <c r="WW12" i="5"/>
  <c r="WX12" i="5"/>
  <c r="WY12" i="5"/>
  <c r="WZ12" i="5"/>
  <c r="XA12" i="5"/>
  <c r="XB12" i="5"/>
  <c r="XC12" i="5"/>
  <c r="XD12" i="5"/>
  <c r="XE12" i="5"/>
  <c r="XF12" i="5"/>
  <c r="XG12" i="5"/>
  <c r="XH12" i="5"/>
  <c r="XI12" i="5"/>
  <c r="XJ12" i="5"/>
  <c r="XK12" i="5"/>
  <c r="XL12" i="5"/>
  <c r="XM12" i="5"/>
  <c r="XN12" i="5"/>
  <c r="XO12" i="5"/>
  <c r="XP12" i="5"/>
  <c r="XQ12" i="5"/>
  <c r="XR12" i="5"/>
  <c r="XS12" i="5"/>
  <c r="XT12" i="5"/>
  <c r="XU12" i="5"/>
  <c r="XV12" i="5"/>
  <c r="XW12" i="5"/>
  <c r="XX12" i="5"/>
  <c r="XY12" i="5"/>
  <c r="XZ12" i="5"/>
  <c r="YA12" i="5"/>
  <c r="YB12" i="5"/>
  <c r="YC12" i="5"/>
  <c r="YD12" i="5"/>
  <c r="YE12" i="5"/>
  <c r="YF12" i="5"/>
  <c r="YG12" i="5"/>
  <c r="YH12" i="5"/>
  <c r="YI12" i="5"/>
  <c r="YJ12" i="5"/>
  <c r="YK12" i="5"/>
  <c r="YL12" i="5"/>
  <c r="YM12" i="5"/>
  <c r="YN12" i="5"/>
  <c r="YO12" i="5"/>
  <c r="YP12" i="5"/>
  <c r="YQ12" i="5"/>
  <c r="YR12" i="5"/>
  <c r="YS12" i="5"/>
  <c r="YT12" i="5"/>
  <c r="YU12" i="5"/>
  <c r="YV12" i="5"/>
  <c r="YW12" i="5"/>
  <c r="YX12" i="5"/>
  <c r="YY12" i="5"/>
  <c r="YZ12" i="5"/>
  <c r="ZA12" i="5"/>
  <c r="ZB12" i="5"/>
  <c r="ZC12" i="5"/>
  <c r="ZD12" i="5"/>
  <c r="ZE12" i="5"/>
  <c r="ZF12" i="5"/>
  <c r="ZG12" i="5"/>
  <c r="ZH12" i="5"/>
  <c r="ZI12" i="5"/>
  <c r="ZJ12" i="5"/>
  <c r="ZK12" i="5"/>
  <c r="ZL12" i="5"/>
  <c r="ZM12" i="5"/>
  <c r="ZN12" i="5"/>
  <c r="ZO12" i="5"/>
  <c r="ZP12" i="5"/>
  <c r="ZQ12" i="5"/>
  <c r="ZR12" i="5"/>
  <c r="ZS12" i="5"/>
  <c r="ZT12" i="5"/>
  <c r="ZU12" i="5"/>
  <c r="ZV12" i="5"/>
  <c r="ZW12" i="5"/>
  <c r="ZX12" i="5"/>
  <c r="ZY12" i="5"/>
  <c r="ZZ12" i="5"/>
  <c r="AAA12" i="5"/>
  <c r="AAB12" i="5"/>
  <c r="AAC12" i="5"/>
  <c r="AAD12" i="5"/>
  <c r="AAE12" i="5"/>
  <c r="AAF12" i="5"/>
  <c r="AAG12" i="5"/>
  <c r="AAH12" i="5"/>
  <c r="AAI12" i="5"/>
  <c r="AAJ12" i="5"/>
  <c r="AAK12" i="5"/>
  <c r="AAL12" i="5"/>
  <c r="AAM12" i="5"/>
  <c r="AAN12" i="5"/>
  <c r="AAO12" i="5"/>
  <c r="AAP12" i="5"/>
  <c r="AAQ12" i="5"/>
  <c r="AAR12" i="5"/>
  <c r="AAS12" i="5"/>
  <c r="AAT12" i="5"/>
  <c r="AAU12" i="5"/>
  <c r="AAV12" i="5"/>
  <c r="AAW12" i="5"/>
  <c r="AAX12" i="5"/>
  <c r="AAY12" i="5"/>
  <c r="AAZ12" i="5"/>
  <c r="ABA12" i="5"/>
  <c r="ABB12" i="5"/>
  <c r="ABC12" i="5"/>
  <c r="ABD12" i="5"/>
  <c r="ABE12" i="5"/>
  <c r="ABF12" i="5"/>
  <c r="ABG12" i="5"/>
  <c r="ABH12" i="5"/>
  <c r="ABI12" i="5"/>
  <c r="ABJ12" i="5"/>
  <c r="ABK12" i="5"/>
  <c r="ABL12" i="5"/>
  <c r="ABM12" i="5"/>
  <c r="ABN12" i="5"/>
  <c r="ABO12" i="5"/>
  <c r="ABP12" i="5"/>
  <c r="ABQ12" i="5"/>
  <c r="ABR12" i="5"/>
  <c r="ABS12" i="5"/>
  <c r="ABT12" i="5"/>
  <c r="ABU12" i="5"/>
  <c r="ABV12" i="5"/>
  <c r="ABW12" i="5"/>
  <c r="ABX12" i="5"/>
  <c r="ABY12" i="5"/>
  <c r="ABZ12" i="5"/>
  <c r="ACA12" i="5"/>
  <c r="ACB12" i="5"/>
  <c r="ACC12" i="5"/>
  <c r="ACD12" i="5"/>
  <c r="ACE12" i="5"/>
  <c r="ACF12" i="5"/>
  <c r="ACG12" i="5"/>
  <c r="ACH12" i="5"/>
  <c r="ACI12" i="5"/>
  <c r="ACJ12" i="5"/>
  <c r="ACK12" i="5"/>
  <c r="ACL12" i="5"/>
  <c r="ACM12" i="5"/>
  <c r="ACN12" i="5"/>
  <c r="ACO12" i="5"/>
  <c r="ACP12" i="5"/>
  <c r="ACQ12" i="5"/>
  <c r="ACR12" i="5"/>
  <c r="ACS12" i="5"/>
  <c r="ACT12" i="5"/>
  <c r="ACU12" i="5"/>
  <c r="ACV12" i="5"/>
  <c r="ACW12" i="5"/>
  <c r="ACX12" i="5"/>
  <c r="ACY12" i="5"/>
  <c r="ACZ12" i="5"/>
  <c r="ADA12" i="5"/>
  <c r="ADB12" i="5"/>
  <c r="ADC12" i="5"/>
  <c r="ADD12" i="5"/>
  <c r="ADE12" i="5"/>
  <c r="ADF12" i="5"/>
  <c r="ADG12" i="5"/>
  <c r="ADH12" i="5"/>
  <c r="ADI12" i="5"/>
  <c r="ADJ12" i="5"/>
  <c r="ADK12" i="5"/>
  <c r="ADL12" i="5"/>
  <c r="ADM12" i="5"/>
  <c r="ADN12" i="5"/>
  <c r="ADO12" i="5"/>
  <c r="ADP12" i="5"/>
  <c r="ADQ12" i="5"/>
  <c r="ADR12" i="5"/>
  <c r="ADS12" i="5"/>
  <c r="ADT12" i="5"/>
  <c r="ADU12" i="5"/>
  <c r="ADV12" i="5"/>
  <c r="ADW12" i="5"/>
  <c r="ADX12" i="5"/>
  <c r="ADY12" i="5"/>
  <c r="ADZ12" i="5"/>
  <c r="AEA12" i="5"/>
  <c r="AEB12" i="5"/>
  <c r="AEC12" i="5"/>
  <c r="AED12" i="5"/>
  <c r="AEE12" i="5"/>
  <c r="AEF12" i="5"/>
  <c r="AEG12" i="5"/>
  <c r="AEH12" i="5"/>
  <c r="AEI12" i="5"/>
  <c r="AEJ12" i="5"/>
  <c r="AEK12" i="5"/>
  <c r="AEL12" i="5"/>
  <c r="AEM12" i="5"/>
  <c r="AEN12" i="5"/>
  <c r="AEO12" i="5"/>
  <c r="AEP12" i="5"/>
  <c r="AEQ12" i="5"/>
  <c r="AER12" i="5"/>
  <c r="AES12" i="5"/>
  <c r="AET12" i="5"/>
  <c r="AEU12" i="5"/>
  <c r="AEV12" i="5"/>
  <c r="AEW12" i="5"/>
  <c r="AEX12" i="5"/>
  <c r="AEY12" i="5"/>
  <c r="AEZ12" i="5"/>
  <c r="AFA12" i="5"/>
  <c r="AFB12" i="5"/>
  <c r="AFC12" i="5"/>
  <c r="AFD12" i="5"/>
  <c r="AFE12" i="5"/>
  <c r="AFF12" i="5"/>
  <c r="AFG12" i="5"/>
  <c r="AFH12" i="5"/>
  <c r="AFI12" i="5"/>
  <c r="AFJ12" i="5"/>
  <c r="AFK12" i="5"/>
  <c r="AFL12" i="5"/>
  <c r="AFM12" i="5"/>
  <c r="AFN12" i="5"/>
  <c r="AFO12" i="5"/>
  <c r="AFP12" i="5"/>
  <c r="AFQ12" i="5"/>
  <c r="AFR12" i="5"/>
  <c r="AFS12" i="5"/>
  <c r="AFT12" i="5"/>
  <c r="AFU12" i="5"/>
  <c r="AFV12" i="5"/>
  <c r="AFW12" i="5"/>
  <c r="AFX12" i="5"/>
  <c r="AFY12" i="5"/>
  <c r="AFZ12" i="5"/>
  <c r="AGA12" i="5"/>
  <c r="AGB12" i="5"/>
  <c r="AGC12" i="5"/>
  <c r="AGD12" i="5"/>
  <c r="AGE12" i="5"/>
  <c r="AGF12" i="5"/>
  <c r="AGG12" i="5"/>
  <c r="AGH12" i="5"/>
  <c r="AGI12" i="5"/>
  <c r="AGJ12" i="5"/>
  <c r="AGK12" i="5"/>
  <c r="AGL12" i="5"/>
  <c r="AGM12" i="5"/>
  <c r="AGN12" i="5"/>
  <c r="AGO12" i="5"/>
  <c r="AGP12" i="5"/>
  <c r="AGQ12" i="5"/>
  <c r="AGR12" i="5"/>
  <c r="AGS12" i="5"/>
  <c r="AGT12" i="5"/>
  <c r="AGU12" i="5"/>
  <c r="AGV12" i="5"/>
  <c r="AGW12" i="5"/>
  <c r="AGX12" i="5"/>
  <c r="AGY12" i="5"/>
  <c r="AGZ12" i="5"/>
  <c r="AHA12" i="5"/>
  <c r="AHB12" i="5"/>
  <c r="AHC12" i="5"/>
  <c r="AHD12" i="5"/>
  <c r="AHE12" i="5"/>
  <c r="AHF12" i="5"/>
  <c r="AHG12" i="5"/>
  <c r="AHH12" i="5"/>
  <c r="AHI12" i="5"/>
  <c r="AHJ12" i="5"/>
  <c r="AHK12" i="5"/>
  <c r="AHL12" i="5"/>
  <c r="AHM12" i="5"/>
  <c r="AHN12" i="5"/>
  <c r="AHO12" i="5"/>
  <c r="AHP12" i="5"/>
  <c r="AHQ12" i="5"/>
  <c r="AHR12" i="5"/>
  <c r="AHS12" i="5"/>
  <c r="AHT12" i="5"/>
  <c r="AHU12" i="5"/>
  <c r="AHV12" i="5"/>
  <c r="AHW12" i="5"/>
  <c r="AHX12" i="5"/>
  <c r="AHY12" i="5"/>
  <c r="AHZ12" i="5"/>
  <c r="AIA12" i="5"/>
  <c r="AIB12" i="5"/>
  <c r="AIC12" i="5"/>
  <c r="AID12" i="5"/>
  <c r="AIE12" i="5"/>
  <c r="AIF12" i="5"/>
  <c r="AIG12" i="5"/>
  <c r="AIH12" i="5"/>
  <c r="AII12" i="5"/>
  <c r="AIJ12" i="5"/>
  <c r="AIK12" i="5"/>
  <c r="AIL12" i="5"/>
  <c r="AIM12" i="5"/>
  <c r="AIN12" i="5"/>
  <c r="AIO12" i="5"/>
  <c r="AIP12" i="5"/>
  <c r="AIQ12" i="5"/>
  <c r="AIR12" i="5"/>
  <c r="AIS12" i="5"/>
  <c r="AIT12" i="5"/>
  <c r="AIU12" i="5"/>
  <c r="AIV12" i="5"/>
  <c r="AIW12" i="5"/>
  <c r="AIX12" i="5"/>
  <c r="AIY12" i="5"/>
  <c r="AIZ12" i="5"/>
  <c r="AJA12" i="5"/>
  <c r="AJB12" i="5"/>
  <c r="AJC12" i="5"/>
  <c r="AJD12" i="5"/>
  <c r="AJE12" i="5"/>
  <c r="AJF12" i="5"/>
  <c r="AJG12" i="5"/>
  <c r="AJH12" i="5"/>
  <c r="AJI12" i="5"/>
  <c r="AJJ12" i="5"/>
  <c r="AJK12" i="5"/>
  <c r="AJL12" i="5"/>
  <c r="AJM12" i="5"/>
  <c r="AJN12" i="5"/>
  <c r="AJO12" i="5"/>
  <c r="AJP12" i="5"/>
  <c r="AJQ12" i="5"/>
  <c r="AJR12" i="5"/>
  <c r="AJS12" i="5"/>
  <c r="AJT12" i="5"/>
  <c r="AJU12" i="5"/>
  <c r="AJV12" i="5"/>
  <c r="AJW12" i="5"/>
  <c r="AJX12" i="5"/>
  <c r="AJY12" i="5"/>
  <c r="AJZ12" i="5"/>
  <c r="AKA12" i="5"/>
  <c r="AKB12" i="5"/>
  <c r="AKC12" i="5"/>
  <c r="AKD12" i="5"/>
  <c r="AKE12" i="5"/>
  <c r="AKF12" i="5"/>
  <c r="AKG12" i="5"/>
  <c r="AKH12" i="5"/>
  <c r="AKI12" i="5"/>
  <c r="AKJ12" i="5"/>
  <c r="AKK12" i="5"/>
  <c r="AKL12" i="5"/>
  <c r="AKM12" i="5"/>
  <c r="AKN12" i="5"/>
  <c r="AKO12" i="5"/>
  <c r="AKP12" i="5"/>
  <c r="AKQ12" i="5"/>
  <c r="AKR12" i="5"/>
  <c r="AKS12" i="5"/>
  <c r="AKT12" i="5"/>
  <c r="AKU12" i="5"/>
  <c r="AKV12" i="5"/>
  <c r="AKW12" i="5"/>
  <c r="AKX12" i="5"/>
  <c r="AKY12" i="5"/>
  <c r="AKZ12" i="5"/>
  <c r="ALA12" i="5"/>
  <c r="ALB12" i="5"/>
  <c r="ALC12" i="5"/>
  <c r="ALD12" i="5"/>
  <c r="ALE12" i="5"/>
  <c r="ALF12" i="5"/>
  <c r="ALG12" i="5"/>
  <c r="ALH12" i="5"/>
  <c r="ALI12" i="5"/>
  <c r="ALJ12" i="5"/>
  <c r="ALK12" i="5"/>
  <c r="ALL12" i="5"/>
  <c r="ALM12" i="5"/>
  <c r="ALN12" i="5"/>
  <c r="ALO12" i="5"/>
  <c r="ALP12" i="5"/>
  <c r="ALQ12" i="5"/>
  <c r="ALR12" i="5"/>
  <c r="ALS12" i="5"/>
  <c r="ALT12" i="5"/>
  <c r="ALU12" i="5"/>
  <c r="ALV12" i="5"/>
  <c r="ALW12" i="5"/>
  <c r="ALX12" i="5"/>
  <c r="ALY12" i="5"/>
  <c r="ALZ12" i="5"/>
  <c r="AMA12" i="5"/>
  <c r="AMB12" i="5"/>
  <c r="AMC12" i="5"/>
  <c r="AMD12" i="5"/>
  <c r="AME12" i="5"/>
  <c r="AMF12" i="5"/>
  <c r="AMG12" i="5"/>
  <c r="AMH12" i="5"/>
  <c r="AMI12" i="5"/>
  <c r="AMJ12" i="5"/>
  <c r="AMK12" i="5"/>
  <c r="AML12" i="5"/>
  <c r="AMM12" i="5"/>
  <c r="AMN12" i="5"/>
  <c r="AMO12" i="5"/>
  <c r="AMP12" i="5"/>
  <c r="AMQ12" i="5"/>
  <c r="AMR12" i="5"/>
  <c r="AMS12" i="5"/>
  <c r="AMT12" i="5"/>
  <c r="AMU12" i="5"/>
  <c r="AMV12" i="5"/>
  <c r="AMW12" i="5"/>
  <c r="AMX12" i="5"/>
  <c r="AMY12" i="5"/>
  <c r="AMZ12" i="5"/>
  <c r="ANA12" i="5"/>
  <c r="ANB12" i="5"/>
  <c r="ANC12" i="5"/>
  <c r="AND12" i="5"/>
  <c r="ANE12" i="5"/>
  <c r="ANF12" i="5"/>
  <c r="ANG12" i="5"/>
  <c r="ANH12" i="5"/>
  <c r="ANI12" i="5"/>
  <c r="ANJ12" i="5"/>
  <c r="ANK12" i="5"/>
  <c r="ANL12" i="5"/>
  <c r="ANM12" i="5"/>
  <c r="ANN12" i="5"/>
  <c r="ANO12" i="5"/>
  <c r="ANP12" i="5"/>
  <c r="ANQ12" i="5"/>
  <c r="ANR12" i="5"/>
  <c r="ANS12" i="5"/>
  <c r="ANT12" i="5"/>
  <c r="ANU12" i="5"/>
  <c r="ANV12" i="5"/>
  <c r="ANW12" i="5"/>
  <c r="ANX12" i="5"/>
  <c r="ANY12" i="5"/>
  <c r="ANZ12" i="5"/>
  <c r="AOA12" i="5"/>
  <c r="AOB12" i="5"/>
  <c r="AOC12" i="5"/>
  <c r="AOD12" i="5"/>
  <c r="AOE12" i="5"/>
  <c r="AOF12" i="5"/>
  <c r="AOG12" i="5"/>
  <c r="AOH12" i="5"/>
  <c r="AOI12" i="5"/>
  <c r="AOJ12" i="5"/>
  <c r="AOK12" i="5"/>
  <c r="AOL12" i="5"/>
  <c r="AOM12" i="5"/>
  <c r="AON12" i="5"/>
  <c r="AOO12" i="5"/>
  <c r="AOP12" i="5"/>
  <c r="AOQ12" i="5"/>
  <c r="AOR12" i="5"/>
  <c r="AOS12" i="5"/>
  <c r="AOT12" i="5"/>
  <c r="AOU12" i="5"/>
  <c r="AOV12" i="5"/>
  <c r="AOW12" i="5"/>
  <c r="AOX12" i="5"/>
  <c r="AOY12" i="5"/>
  <c r="AOZ12" i="5"/>
  <c r="APA12" i="5"/>
  <c r="APB12" i="5"/>
  <c r="APC12" i="5"/>
  <c r="APD12" i="5"/>
  <c r="APE12" i="5"/>
  <c r="APF12" i="5"/>
  <c r="APG12" i="5"/>
  <c r="APH12" i="5"/>
  <c r="API12" i="5"/>
  <c r="APJ12" i="5"/>
  <c r="APK12" i="5"/>
  <c r="APL12" i="5"/>
  <c r="APM12" i="5"/>
  <c r="APN12" i="5"/>
  <c r="APO12" i="5"/>
  <c r="APP12" i="5"/>
  <c r="APQ12" i="5"/>
  <c r="APR12" i="5"/>
  <c r="APS12" i="5"/>
  <c r="APT12" i="5"/>
  <c r="APU12" i="5"/>
  <c r="APV12" i="5"/>
  <c r="APW12" i="5"/>
  <c r="APX12" i="5"/>
  <c r="APY12" i="5"/>
  <c r="APZ12" i="5"/>
  <c r="AQA12" i="5"/>
  <c r="AQB12" i="5"/>
  <c r="AQC12" i="5"/>
  <c r="AQD12" i="5"/>
  <c r="AQE12" i="5"/>
  <c r="AQF12" i="5"/>
  <c r="AQG12" i="5"/>
  <c r="AQH12" i="5"/>
  <c r="AQI12" i="5"/>
  <c r="AQJ12" i="5"/>
  <c r="AQK12" i="5"/>
  <c r="AQL12" i="5"/>
  <c r="AQM12" i="5"/>
  <c r="AQN12" i="5"/>
  <c r="AQO12" i="5"/>
  <c r="AQP12" i="5"/>
  <c r="AQQ12" i="5"/>
  <c r="AQR12" i="5"/>
  <c r="AQS12" i="5"/>
  <c r="AQT12" i="5"/>
  <c r="AQU12" i="5"/>
  <c r="AQV12" i="5"/>
  <c r="AQW12" i="5"/>
  <c r="AQX12" i="5"/>
  <c r="AQY12" i="5"/>
  <c r="AQZ12" i="5"/>
  <c r="ARA12" i="5"/>
  <c r="ARB12" i="5"/>
  <c r="ARC12" i="5"/>
  <c r="ARD12" i="5"/>
  <c r="ARE12" i="5"/>
  <c r="ARF12" i="5"/>
  <c r="ARG12" i="5"/>
  <c r="ARH12" i="5"/>
  <c r="ARI12" i="5"/>
  <c r="ARJ12" i="5"/>
  <c r="ARK12" i="5"/>
  <c r="ARL12" i="5"/>
  <c r="ARM12" i="5"/>
  <c r="ARN12" i="5"/>
  <c r="ARO12" i="5"/>
  <c r="ARP12" i="5"/>
  <c r="ARQ12" i="5"/>
  <c r="ARR12" i="5"/>
  <c r="ARS12" i="5"/>
  <c r="ART12" i="5"/>
  <c r="ARU12" i="5"/>
  <c r="ARV12" i="5"/>
  <c r="ARW12" i="5"/>
  <c r="ARX12" i="5"/>
  <c r="ARY12" i="5"/>
  <c r="ARZ12" i="5"/>
  <c r="ASA12" i="5"/>
  <c r="ASB12" i="5"/>
  <c r="ASC12" i="5"/>
  <c r="ASD12" i="5"/>
  <c r="ASE12" i="5"/>
  <c r="ASF12" i="5"/>
  <c r="ASG12" i="5"/>
  <c r="ASH12" i="5"/>
  <c r="ASI12" i="5"/>
  <c r="ASJ12" i="5"/>
  <c r="ASK12" i="5"/>
  <c r="ASL12" i="5"/>
  <c r="ASM12" i="5"/>
  <c r="ASN12" i="5"/>
  <c r="ASO12" i="5"/>
  <c r="ASP12" i="5"/>
  <c r="ASQ12" i="5"/>
  <c r="ASR12" i="5"/>
  <c r="ASS12" i="5"/>
  <c r="AST12" i="5"/>
  <c r="ASU12" i="5"/>
  <c r="ASV12" i="5"/>
  <c r="ASW12" i="5"/>
  <c r="ASX12" i="5"/>
  <c r="ASY12" i="5"/>
  <c r="ASZ12" i="5"/>
  <c r="ATA12" i="5"/>
  <c r="ATB12" i="5"/>
  <c r="ATC12" i="5"/>
  <c r="ATD12" i="5"/>
  <c r="ATE12" i="5"/>
  <c r="ATF12" i="5"/>
  <c r="ATG12" i="5"/>
  <c r="ATH12" i="5"/>
  <c r="ATI12" i="5"/>
  <c r="ATJ12" i="5"/>
  <c r="ATK12" i="5"/>
  <c r="ATL12" i="5"/>
  <c r="ATM12" i="5"/>
  <c r="ATN12" i="5"/>
  <c r="ATO12" i="5"/>
  <c r="ATP12" i="5"/>
  <c r="ATQ12" i="5"/>
  <c r="ATR12" i="5"/>
  <c r="ATS12" i="5"/>
  <c r="ATT12" i="5"/>
  <c r="ATU12" i="5"/>
  <c r="ATV12" i="5"/>
  <c r="ATW12" i="5"/>
  <c r="ATX12" i="5"/>
  <c r="ATY12" i="5"/>
  <c r="ATZ12" i="5"/>
  <c r="AUA12" i="5"/>
  <c r="AUB12" i="5"/>
  <c r="AUC12" i="5"/>
  <c r="AUD12" i="5"/>
  <c r="AUE12" i="5"/>
  <c r="AUF12" i="5"/>
  <c r="AUG12" i="5"/>
  <c r="AUH12" i="5"/>
  <c r="AUI12" i="5"/>
  <c r="AUJ12" i="5"/>
  <c r="AUK12" i="5"/>
  <c r="AUL12" i="5"/>
  <c r="AUM12" i="5"/>
  <c r="AUN12" i="5"/>
  <c r="AUO12" i="5"/>
  <c r="AUP12" i="5"/>
  <c r="AUQ12" i="5"/>
  <c r="AUR12" i="5"/>
  <c r="AUS12" i="5"/>
  <c r="AUT12" i="5"/>
  <c r="AUU12" i="5"/>
  <c r="AUV12" i="5"/>
  <c r="AUW12" i="5"/>
  <c r="AUX12" i="5"/>
  <c r="AUY12" i="5"/>
  <c r="AUZ12" i="5"/>
  <c r="AVA12" i="5"/>
  <c r="AVB12" i="5"/>
  <c r="AVC12" i="5"/>
  <c r="AVD12" i="5"/>
  <c r="AVE12" i="5"/>
  <c r="AVF12" i="5"/>
  <c r="AVG12" i="5"/>
  <c r="AVH12" i="5"/>
  <c r="AVI12" i="5"/>
  <c r="AVJ12" i="5"/>
  <c r="AVK12" i="5"/>
  <c r="AVL12" i="5"/>
  <c r="AVM12" i="5"/>
  <c r="AVN12" i="5"/>
  <c r="AVO12" i="5"/>
  <c r="AVP12" i="5"/>
  <c r="AVQ12" i="5"/>
  <c r="AVR12" i="5"/>
  <c r="AVS12" i="5"/>
  <c r="AVT12" i="5"/>
  <c r="AVU12" i="5"/>
  <c r="AVV12" i="5"/>
  <c r="AVW12" i="5"/>
  <c r="AVX12" i="5"/>
  <c r="AVY12" i="5"/>
  <c r="AVZ12" i="5"/>
  <c r="AWA12" i="5"/>
  <c r="AWB12" i="5"/>
  <c r="AWC12" i="5"/>
  <c r="AWD12" i="5"/>
  <c r="AWE12" i="5"/>
  <c r="AWF12" i="5"/>
  <c r="AWG12" i="5"/>
  <c r="AWH12" i="5"/>
  <c r="AWI12" i="5"/>
  <c r="AWJ12" i="5"/>
  <c r="AWK12" i="5"/>
  <c r="AWL12" i="5"/>
  <c r="AWM12" i="5"/>
  <c r="AWN12" i="5"/>
  <c r="AWO12" i="5"/>
  <c r="AWP12" i="5"/>
  <c r="AWQ12" i="5"/>
  <c r="AWR12" i="5"/>
  <c r="AWS12" i="5"/>
  <c r="AWT12" i="5"/>
  <c r="AWU12" i="5"/>
  <c r="AWV12" i="5"/>
  <c r="AWW12" i="5"/>
  <c r="AWX12" i="5"/>
  <c r="AWY12" i="5"/>
  <c r="AWZ12" i="5"/>
  <c r="AXA12" i="5"/>
  <c r="AXB12" i="5"/>
  <c r="AXC12" i="5"/>
  <c r="AXD12" i="5"/>
  <c r="AXE12" i="5"/>
  <c r="AXF12" i="5"/>
  <c r="AXG12" i="5"/>
  <c r="AXH12" i="5"/>
  <c r="AXI12" i="5"/>
  <c r="AXJ12" i="5"/>
  <c r="AXK12" i="5"/>
  <c r="AXL12" i="5"/>
  <c r="AXM12" i="5"/>
  <c r="AXN12" i="5"/>
  <c r="AXO12" i="5"/>
  <c r="AXP12" i="5"/>
  <c r="AXQ12" i="5"/>
  <c r="AXR12" i="5"/>
  <c r="AXS12" i="5"/>
  <c r="AXT12" i="5"/>
  <c r="AXU12" i="5"/>
  <c r="AXV12" i="5"/>
  <c r="AXW12" i="5"/>
  <c r="AXX12" i="5"/>
  <c r="AXY12" i="5"/>
  <c r="AXZ12" i="5"/>
  <c r="AYA12" i="5"/>
  <c r="AYB12" i="5"/>
  <c r="AYC12" i="5"/>
  <c r="AYD12" i="5"/>
  <c r="AYE12" i="5"/>
  <c r="AYF12" i="5"/>
  <c r="AYG12" i="5"/>
  <c r="AYH12" i="5"/>
  <c r="AYI12" i="5"/>
  <c r="AYJ12" i="5"/>
  <c r="AYK12" i="5"/>
  <c r="AYL12" i="5"/>
  <c r="AYM12" i="5"/>
  <c r="AYN12" i="5"/>
  <c r="AYO12" i="5"/>
  <c r="AYP12" i="5"/>
  <c r="AYQ12" i="5"/>
  <c r="AYR12" i="5"/>
  <c r="AYS12" i="5"/>
  <c r="AYT12" i="5"/>
  <c r="AYU12" i="5"/>
  <c r="AYV12" i="5"/>
  <c r="AYW12" i="5"/>
  <c r="AYX12" i="5"/>
  <c r="AYY12" i="5"/>
  <c r="AYZ12" i="5"/>
  <c r="AZA12" i="5"/>
  <c r="AZB12" i="5"/>
  <c r="AZC12" i="5"/>
  <c r="AZD12" i="5"/>
  <c r="AZE12" i="5"/>
  <c r="AZF12" i="5"/>
  <c r="AZG12" i="5"/>
  <c r="AZH12" i="5"/>
  <c r="AZI12" i="5"/>
  <c r="AZJ12" i="5"/>
  <c r="AZK12" i="5"/>
  <c r="AZL12" i="5"/>
  <c r="AZM12" i="5"/>
  <c r="AZN12" i="5"/>
  <c r="AZO12" i="5"/>
  <c r="AZP12" i="5"/>
  <c r="AZQ12" i="5"/>
  <c r="AZR12" i="5"/>
  <c r="AZS12" i="5"/>
  <c r="AZT12" i="5"/>
  <c r="AZU12" i="5"/>
  <c r="AZV12" i="5"/>
  <c r="AZW12" i="5"/>
  <c r="AZX12" i="5"/>
  <c r="AZY12" i="5"/>
  <c r="AZZ12" i="5"/>
  <c r="BAA12" i="5"/>
  <c r="BAB12" i="5"/>
  <c r="BAC12" i="5"/>
  <c r="BAD12" i="5"/>
  <c r="BAE12" i="5"/>
  <c r="BAF12" i="5"/>
  <c r="BAG12" i="5"/>
  <c r="BAH12" i="5"/>
  <c r="BAI12" i="5"/>
  <c r="BAJ12" i="5"/>
  <c r="BAK12" i="5"/>
  <c r="BAL12" i="5"/>
  <c r="BAM12" i="5"/>
  <c r="BAN12" i="5"/>
  <c r="BAO12" i="5"/>
  <c r="BAP12" i="5"/>
  <c r="BAQ12" i="5"/>
  <c r="BAR12" i="5"/>
  <c r="BAS12" i="5"/>
  <c r="BAT12" i="5"/>
  <c r="BAU12" i="5"/>
  <c r="BAV12" i="5"/>
  <c r="BAW12" i="5"/>
  <c r="BAX12" i="5"/>
  <c r="BAY12" i="5"/>
  <c r="BAZ12" i="5"/>
  <c r="BBA12" i="5"/>
  <c r="BBB12" i="5"/>
  <c r="BBC12" i="5"/>
  <c r="BBD12" i="5"/>
  <c r="BBE12" i="5"/>
  <c r="BBF12" i="5"/>
  <c r="BBG12" i="5"/>
  <c r="BBH12" i="5"/>
  <c r="BBI12" i="5"/>
  <c r="BBJ12" i="5"/>
  <c r="BBK12" i="5"/>
  <c r="BBL12" i="5"/>
  <c r="BBM12" i="5"/>
  <c r="BBN12" i="5"/>
  <c r="BBO12" i="5"/>
  <c r="BBP12" i="5"/>
  <c r="BBQ12" i="5"/>
  <c r="BBR12" i="5"/>
  <c r="BBS12" i="5"/>
  <c r="BBT12" i="5"/>
  <c r="BBU12" i="5"/>
  <c r="BBV12" i="5"/>
  <c r="BBW12" i="5"/>
  <c r="BBX12" i="5"/>
  <c r="BBY12" i="5"/>
  <c r="BBZ12" i="5"/>
  <c r="BCA12" i="5"/>
  <c r="BCB12" i="5"/>
  <c r="BCC12" i="5"/>
  <c r="BCD12" i="5"/>
  <c r="BCE12" i="5"/>
  <c r="BCF12" i="5"/>
  <c r="BCG12" i="5"/>
  <c r="BCH12" i="5"/>
  <c r="BCI12" i="5"/>
  <c r="BCJ12" i="5"/>
  <c r="BCK12" i="5"/>
  <c r="BCL12" i="5"/>
  <c r="BCM12" i="5"/>
  <c r="BCN12" i="5"/>
  <c r="BCO12" i="5"/>
  <c r="BCP12" i="5"/>
  <c r="BCQ12" i="5"/>
  <c r="BCR12" i="5"/>
  <c r="BCS12" i="5"/>
  <c r="BCT12" i="5"/>
  <c r="BCU12" i="5"/>
  <c r="BCV12" i="5"/>
  <c r="BCW12" i="5"/>
  <c r="BCX12" i="5"/>
  <c r="BCY12" i="5"/>
  <c r="BCZ12" i="5"/>
  <c r="BDA12" i="5"/>
  <c r="BDB12" i="5"/>
  <c r="BDC12" i="5"/>
  <c r="BDD12" i="5"/>
  <c r="BDE12" i="5"/>
  <c r="BDF12" i="5"/>
  <c r="BDG12" i="5"/>
  <c r="BDH12" i="5"/>
  <c r="BDI12" i="5"/>
  <c r="BDJ12" i="5"/>
  <c r="BDK12" i="5"/>
  <c r="BDL12" i="5"/>
  <c r="BDM12" i="5"/>
  <c r="BDN12" i="5"/>
  <c r="BDO12" i="5"/>
  <c r="BDP12" i="5"/>
  <c r="BDQ12" i="5"/>
  <c r="BDR12" i="5"/>
  <c r="BDS12" i="5"/>
  <c r="BDT12" i="5"/>
  <c r="BDU12" i="5"/>
  <c r="BDV12" i="5"/>
  <c r="BDW12" i="5"/>
  <c r="BDX12" i="5"/>
  <c r="BDY12" i="5"/>
  <c r="BDZ12" i="5"/>
  <c r="BEA12" i="5"/>
  <c r="BEB12" i="5"/>
  <c r="BEC12" i="5"/>
  <c r="BED12" i="5"/>
  <c r="BEE12" i="5"/>
  <c r="BEF12" i="5"/>
  <c r="BEG12" i="5"/>
  <c r="BEH12" i="5"/>
  <c r="BEI12" i="5"/>
  <c r="BEJ12" i="5"/>
  <c r="BEK12" i="5"/>
  <c r="BEL12" i="5"/>
  <c r="BEM12" i="5"/>
  <c r="BEN12" i="5"/>
  <c r="BEO12" i="5"/>
  <c r="BEP12" i="5"/>
  <c r="BEQ12" i="5"/>
  <c r="BER12" i="5"/>
  <c r="BES12" i="5"/>
  <c r="BET12" i="5"/>
  <c r="BEU12" i="5"/>
  <c r="BEV12" i="5"/>
  <c r="BEW12" i="5"/>
  <c r="BEX12" i="5"/>
  <c r="BEY12" i="5"/>
  <c r="BEZ12" i="5"/>
  <c r="BFA12" i="5"/>
  <c r="BFB12" i="5"/>
  <c r="BFC12" i="5"/>
  <c r="BFD12" i="5"/>
  <c r="BFE12" i="5"/>
  <c r="BFF12" i="5"/>
  <c r="BFG12" i="5"/>
  <c r="BFH12" i="5"/>
  <c r="BFI12" i="5"/>
  <c r="BFJ12" i="5"/>
  <c r="BFK12" i="5"/>
  <c r="BFL12" i="5"/>
  <c r="BFM12" i="5"/>
  <c r="BFN12" i="5"/>
  <c r="BFO12" i="5"/>
  <c r="BFP12" i="5"/>
  <c r="BFQ12" i="5"/>
  <c r="BFR12" i="5"/>
  <c r="BFS12" i="5"/>
  <c r="BFT12" i="5"/>
  <c r="BFU12" i="5"/>
  <c r="BFV12" i="5"/>
  <c r="BFW12" i="5"/>
  <c r="BFX12" i="5"/>
  <c r="BFY12" i="5"/>
  <c r="BFZ12" i="5"/>
  <c r="BGA12" i="5"/>
  <c r="BGB12" i="5"/>
  <c r="BGC12" i="5"/>
  <c r="BGD12" i="5"/>
  <c r="BGE12" i="5"/>
  <c r="BGF12" i="5"/>
  <c r="BGG12" i="5"/>
  <c r="BGH12" i="5"/>
  <c r="BGI12" i="5"/>
  <c r="BGJ12" i="5"/>
  <c r="BGK12" i="5"/>
  <c r="BGL12" i="5"/>
  <c r="BGM12" i="5"/>
  <c r="BGN12" i="5"/>
  <c r="BGO12" i="5"/>
  <c r="BGP12" i="5"/>
  <c r="BGQ12" i="5"/>
  <c r="BGR12" i="5"/>
  <c r="BGS12" i="5"/>
  <c r="BGT12" i="5"/>
  <c r="BGU12" i="5"/>
  <c r="BGV12" i="5"/>
  <c r="BGW12" i="5"/>
  <c r="BGX12" i="5"/>
  <c r="BGY12" i="5"/>
  <c r="BGZ12" i="5"/>
  <c r="BHA12" i="5"/>
  <c r="BHB12" i="5"/>
  <c r="BHC12" i="5"/>
  <c r="BHD12" i="5"/>
  <c r="BHE12" i="5"/>
  <c r="BHF12" i="5"/>
  <c r="BHG12" i="5"/>
  <c r="BHH12" i="5"/>
  <c r="BHI12" i="5"/>
  <c r="BHJ12" i="5"/>
  <c r="BHK12" i="5"/>
  <c r="BHL12" i="5"/>
  <c r="BHM12" i="5"/>
  <c r="BHN12" i="5"/>
  <c r="BHO12" i="5"/>
  <c r="BHP12" i="5"/>
  <c r="BHQ12" i="5"/>
  <c r="BHR12" i="5"/>
  <c r="BHS12" i="5"/>
  <c r="BHT12" i="5"/>
  <c r="BHU12" i="5"/>
  <c r="BHV12" i="5"/>
  <c r="BHW12" i="5"/>
  <c r="BHX12" i="5"/>
  <c r="BHY12" i="5"/>
  <c r="BHZ12" i="5"/>
  <c r="BIA12" i="5"/>
  <c r="BIB12" i="5"/>
  <c r="BIC12" i="5"/>
  <c r="BID12" i="5"/>
  <c r="BIE12" i="5"/>
  <c r="BIF12" i="5"/>
  <c r="BIG12" i="5"/>
  <c r="BIH12" i="5"/>
  <c r="BII12" i="5"/>
  <c r="BIJ12" i="5"/>
  <c r="BIK12" i="5"/>
  <c r="BIL12" i="5"/>
  <c r="BIM12" i="5"/>
  <c r="BIN12" i="5"/>
  <c r="BIO12" i="5"/>
  <c r="BIP12" i="5"/>
  <c r="BIQ12" i="5"/>
  <c r="BIR12" i="5"/>
  <c r="BIS12" i="5"/>
  <c r="BIT12" i="5"/>
  <c r="BIU12" i="5"/>
  <c r="BIV12" i="5"/>
  <c r="BIW12" i="5"/>
  <c r="BIX12" i="5"/>
  <c r="BIY12" i="5"/>
  <c r="BIZ12" i="5"/>
  <c r="BJA12" i="5"/>
  <c r="BJB12" i="5"/>
  <c r="BJC12" i="5"/>
  <c r="BJD12" i="5"/>
  <c r="BJE12" i="5"/>
  <c r="BJF12" i="5"/>
  <c r="BJG12" i="5"/>
  <c r="BJH12" i="5"/>
  <c r="BJI12" i="5"/>
  <c r="BJJ12" i="5"/>
  <c r="BJK12" i="5"/>
  <c r="BJL12" i="5"/>
  <c r="BJM12" i="5"/>
  <c r="BJN12" i="5"/>
  <c r="BJO12" i="5"/>
  <c r="BJP12" i="5"/>
  <c r="BJQ12" i="5"/>
  <c r="BJR12" i="5"/>
  <c r="BJS12" i="5"/>
  <c r="BJT12" i="5"/>
  <c r="BJU12" i="5"/>
  <c r="BJV12" i="5"/>
  <c r="BJW12" i="5"/>
  <c r="BJX12" i="5"/>
  <c r="BJY12" i="5"/>
  <c r="BJZ12" i="5"/>
  <c r="BKA12" i="5"/>
  <c r="BKB12" i="5"/>
  <c r="BKC12" i="5"/>
  <c r="BKD12" i="5"/>
  <c r="BKE12" i="5"/>
  <c r="BKF12" i="5"/>
  <c r="BKG12" i="5"/>
  <c r="BKH12" i="5"/>
  <c r="BKI12" i="5"/>
  <c r="BKJ12" i="5"/>
  <c r="BKK12" i="5"/>
  <c r="BKL12" i="5"/>
  <c r="BKM12" i="5"/>
  <c r="BKN12" i="5"/>
  <c r="BKO12" i="5"/>
  <c r="BKP12" i="5"/>
  <c r="BKQ12" i="5"/>
  <c r="BKR12" i="5"/>
  <c r="BKS12" i="5"/>
  <c r="BKT12" i="5"/>
  <c r="BKU12" i="5"/>
  <c r="BKV12" i="5"/>
  <c r="BKW12" i="5"/>
  <c r="BKX12" i="5"/>
  <c r="BKY12" i="5"/>
  <c r="BKZ12" i="5"/>
  <c r="BLA12" i="5"/>
  <c r="BLB12" i="5"/>
  <c r="BLC12" i="5"/>
  <c r="BLD12" i="5"/>
  <c r="BLE12" i="5"/>
  <c r="BLF12" i="5"/>
  <c r="BLG12" i="5"/>
  <c r="BLH12" i="5"/>
  <c r="BLI12" i="5"/>
  <c r="BLJ12" i="5"/>
  <c r="BLK12" i="5"/>
  <c r="BLL12" i="5"/>
  <c r="BLM12" i="5"/>
  <c r="BLN12" i="5"/>
  <c r="BLO12" i="5"/>
  <c r="BLP12" i="5"/>
  <c r="BLQ12" i="5"/>
  <c r="BLR12" i="5"/>
  <c r="BLS12" i="5"/>
  <c r="BLT12" i="5"/>
  <c r="BLU12" i="5"/>
  <c r="BLV12" i="5"/>
  <c r="BLW12" i="5"/>
  <c r="BLX12" i="5"/>
  <c r="BLY12" i="5"/>
  <c r="BLZ12" i="5"/>
  <c r="BMA12" i="5"/>
  <c r="BMB12" i="5"/>
  <c r="BMC12" i="5"/>
  <c r="BMD12" i="5"/>
  <c r="BME12" i="5"/>
  <c r="BMF12" i="5"/>
  <c r="BMG12" i="5"/>
  <c r="BMH12" i="5"/>
  <c r="BMI12" i="5"/>
  <c r="BMJ12" i="5"/>
  <c r="BMK12" i="5"/>
  <c r="BML12" i="5"/>
  <c r="BMM12" i="5"/>
  <c r="BMN12" i="5"/>
  <c r="BMO12" i="5"/>
  <c r="BMP12" i="5"/>
  <c r="BMQ12" i="5"/>
  <c r="BMR12" i="5"/>
  <c r="BMS12" i="5"/>
  <c r="BMT12" i="5"/>
  <c r="BMU12" i="5"/>
  <c r="BMV12" i="5"/>
  <c r="BMW12" i="5"/>
  <c r="BMX12" i="5"/>
  <c r="BMY12" i="5"/>
  <c r="BMZ12" i="5"/>
  <c r="BNA12" i="5"/>
  <c r="BNB12" i="5"/>
  <c r="BNC12" i="5"/>
  <c r="BND12" i="5"/>
  <c r="BNE12" i="5"/>
  <c r="BNF12" i="5"/>
  <c r="BNG12" i="5"/>
  <c r="BNH12" i="5"/>
  <c r="BNI12" i="5"/>
  <c r="BNJ12" i="5"/>
  <c r="BNK12" i="5"/>
  <c r="BNL12" i="5"/>
  <c r="BNM12" i="5"/>
  <c r="BNN12" i="5"/>
  <c r="BNO12" i="5"/>
  <c r="BNP12" i="5"/>
  <c r="BNQ12" i="5"/>
  <c r="BNR12" i="5"/>
  <c r="BNS12" i="5"/>
  <c r="BNT12" i="5"/>
  <c r="BNU12" i="5"/>
  <c r="BNV12" i="5"/>
  <c r="BNW12" i="5"/>
  <c r="BNX12" i="5"/>
  <c r="BNY12" i="5"/>
  <c r="BNZ12" i="5"/>
  <c r="BOA12" i="5"/>
  <c r="BOB12" i="5"/>
  <c r="BOC12" i="5"/>
  <c r="BOD12" i="5"/>
  <c r="BOE12" i="5"/>
  <c r="BOF12" i="5"/>
  <c r="BOG12" i="5"/>
  <c r="BOH12" i="5"/>
  <c r="BOI12" i="5"/>
  <c r="BOJ12" i="5"/>
  <c r="BOK12" i="5"/>
  <c r="BOL12" i="5"/>
  <c r="BOM12" i="5"/>
  <c r="BON12" i="5"/>
  <c r="BOO12" i="5"/>
  <c r="BOP12" i="5"/>
  <c r="BOQ12" i="5"/>
  <c r="BOR12" i="5"/>
  <c r="BOS12" i="5"/>
  <c r="BOT12" i="5"/>
  <c r="BOU12" i="5"/>
  <c r="BOV12" i="5"/>
  <c r="BOW12" i="5"/>
  <c r="BOX12" i="5"/>
  <c r="BOY12" i="5"/>
  <c r="BOZ12" i="5"/>
  <c r="BPA12" i="5"/>
  <c r="BPB12" i="5"/>
  <c r="BPC12" i="5"/>
  <c r="BPD12" i="5"/>
  <c r="BPE12" i="5"/>
  <c r="BPF12" i="5"/>
  <c r="BPG12" i="5"/>
  <c r="BPH12" i="5"/>
  <c r="BPI12" i="5"/>
  <c r="BPJ12" i="5"/>
  <c r="BPK12" i="5"/>
  <c r="BPL12" i="5"/>
  <c r="BPM12" i="5"/>
  <c r="BPN12" i="5"/>
  <c r="BPO12" i="5"/>
  <c r="BPP12" i="5"/>
  <c r="BPQ12" i="5"/>
  <c r="BPR12" i="5"/>
  <c r="BPS12" i="5"/>
  <c r="BPT12" i="5"/>
  <c r="BPU12" i="5"/>
  <c r="BPV12" i="5"/>
  <c r="BPW12" i="5"/>
  <c r="BPX12" i="5"/>
  <c r="BPY12" i="5"/>
  <c r="BPZ12" i="5"/>
  <c r="BQA12" i="5"/>
  <c r="BQB12" i="5"/>
  <c r="BQC12" i="5"/>
  <c r="BQD12" i="5"/>
  <c r="BQE12" i="5"/>
  <c r="BQF12" i="5"/>
  <c r="BQG12" i="5"/>
  <c r="BQH12" i="5"/>
  <c r="BQI12" i="5"/>
  <c r="BQJ12" i="5"/>
  <c r="BQK12" i="5"/>
  <c r="BQL12" i="5"/>
  <c r="BQM12" i="5"/>
  <c r="BQN12" i="5"/>
  <c r="BQO12" i="5"/>
  <c r="BQP12" i="5"/>
  <c r="BQQ12" i="5"/>
  <c r="BQR12" i="5"/>
  <c r="BQS12" i="5"/>
  <c r="BQT12" i="5"/>
  <c r="BQU12" i="5"/>
  <c r="BQV12" i="5"/>
  <c r="BQW12" i="5"/>
  <c r="BQX12" i="5"/>
  <c r="BQY12" i="5"/>
  <c r="BQZ12" i="5"/>
  <c r="BRA12" i="5"/>
  <c r="BRB12" i="5"/>
  <c r="BRC12" i="5"/>
  <c r="BRD12" i="5"/>
  <c r="BRE12" i="5"/>
  <c r="BRF12" i="5"/>
  <c r="BRG12" i="5"/>
  <c r="BRH12" i="5"/>
  <c r="BRI12" i="5"/>
  <c r="BRJ12" i="5"/>
  <c r="BRK12" i="5"/>
  <c r="BRL12" i="5"/>
  <c r="BRM12" i="5"/>
  <c r="BRN12" i="5"/>
  <c r="BRO12" i="5"/>
  <c r="BRP12" i="5"/>
  <c r="BRQ12" i="5"/>
  <c r="BRR12" i="5"/>
  <c r="BRS12" i="5"/>
  <c r="BRT12" i="5"/>
  <c r="BRU12" i="5"/>
  <c r="BRV12" i="5"/>
  <c r="BRW12" i="5"/>
  <c r="BRX12" i="5"/>
  <c r="BRY12" i="5"/>
  <c r="BRZ12" i="5"/>
  <c r="BSA12" i="5"/>
  <c r="BSB12" i="5"/>
  <c r="BSC12" i="5"/>
  <c r="BSD12" i="5"/>
  <c r="BSE12" i="5"/>
  <c r="BSF12" i="5"/>
  <c r="BSG12" i="5"/>
  <c r="BSH12" i="5"/>
  <c r="BSI12" i="5"/>
  <c r="BSJ12" i="5"/>
  <c r="BSK12" i="5"/>
  <c r="BSL12" i="5"/>
  <c r="BSM12" i="5"/>
  <c r="BSN12" i="5"/>
  <c r="BSO12" i="5"/>
  <c r="BSP12" i="5"/>
  <c r="BSQ12" i="5"/>
  <c r="BSR12" i="5"/>
  <c r="BSS12" i="5"/>
  <c r="BST12" i="5"/>
  <c r="BSU12" i="5"/>
  <c r="BSV12" i="5"/>
  <c r="BSW12" i="5"/>
  <c r="BSX12" i="5"/>
  <c r="BSY12" i="5"/>
  <c r="BSZ12" i="5"/>
  <c r="BTA12" i="5"/>
  <c r="BTB12" i="5"/>
  <c r="BTC12" i="5"/>
  <c r="BTD12" i="5"/>
  <c r="BTE12" i="5"/>
  <c r="BTF12" i="5"/>
  <c r="BTG12" i="5"/>
  <c r="BTH12" i="5"/>
  <c r="BTI12" i="5"/>
  <c r="BTJ12" i="5"/>
  <c r="BTK12" i="5"/>
  <c r="BTL12" i="5"/>
  <c r="BTM12" i="5"/>
  <c r="BTN12" i="5"/>
  <c r="BTO12" i="5"/>
  <c r="BTP12" i="5"/>
  <c r="BTQ12" i="5"/>
  <c r="BTR12" i="5"/>
  <c r="BTS12" i="5"/>
  <c r="BTT12" i="5"/>
  <c r="BTU12" i="5"/>
  <c r="BTV12" i="5"/>
  <c r="BTW12" i="5"/>
  <c r="BTX12" i="5"/>
  <c r="BTY12" i="5"/>
  <c r="BTZ12" i="5"/>
  <c r="BUA12" i="5"/>
  <c r="BUB12" i="5"/>
  <c r="BUC12" i="5"/>
  <c r="BUD12" i="5"/>
  <c r="BUE12" i="5"/>
  <c r="BUF12" i="5"/>
  <c r="BUG12" i="5"/>
  <c r="BUH12" i="5"/>
  <c r="BUI12" i="5"/>
  <c r="BUJ12" i="5"/>
  <c r="BUK12" i="5"/>
  <c r="BUL12" i="5"/>
  <c r="BUM12" i="5"/>
  <c r="BUN12" i="5"/>
  <c r="BUO12" i="5"/>
  <c r="BUP12" i="5"/>
  <c r="BUQ12" i="5"/>
  <c r="BUR12" i="5"/>
  <c r="BUS12" i="5"/>
  <c r="BUT12" i="5"/>
  <c r="BUU12" i="5"/>
  <c r="BUV12" i="5"/>
  <c r="BUW12" i="5"/>
  <c r="BUX12" i="5"/>
  <c r="BUY12" i="5"/>
  <c r="BUZ12" i="5"/>
  <c r="BVA12" i="5"/>
  <c r="BVB12" i="5"/>
  <c r="BVC12" i="5"/>
  <c r="BVD12" i="5"/>
  <c r="BVE12" i="5"/>
  <c r="BVF12" i="5"/>
  <c r="BVG12" i="5"/>
  <c r="BVH12" i="5"/>
  <c r="BVI12" i="5"/>
  <c r="BVJ12" i="5"/>
  <c r="BVK12" i="5"/>
  <c r="BVL12" i="5"/>
  <c r="BVM12" i="5"/>
  <c r="BVN12" i="5"/>
  <c r="BVO12" i="5"/>
  <c r="BVP12" i="5"/>
  <c r="BVQ12" i="5"/>
  <c r="BVR12" i="5"/>
  <c r="BVS12" i="5"/>
  <c r="BVT12" i="5"/>
  <c r="BVU12" i="5"/>
  <c r="BVV12" i="5"/>
  <c r="BVW12" i="5"/>
  <c r="BVX12" i="5"/>
  <c r="BVY12" i="5"/>
  <c r="BVZ12" i="5"/>
  <c r="BWA12" i="5"/>
  <c r="BWB12" i="5"/>
  <c r="BWC12" i="5"/>
  <c r="BWD12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D13" i="5"/>
  <c r="NE13" i="5"/>
  <c r="NF13" i="5"/>
  <c r="NG13" i="5"/>
  <c r="NH13" i="5"/>
  <c r="NI13" i="5"/>
  <c r="NJ13" i="5"/>
  <c r="NK13" i="5"/>
  <c r="NL13" i="5"/>
  <c r="NM13" i="5"/>
  <c r="NN13" i="5"/>
  <c r="NO13" i="5"/>
  <c r="NP13" i="5"/>
  <c r="NQ13" i="5"/>
  <c r="NR13" i="5"/>
  <c r="NS13" i="5"/>
  <c r="NT13" i="5"/>
  <c r="NU13" i="5"/>
  <c r="NV13" i="5"/>
  <c r="NW13" i="5"/>
  <c r="NX13" i="5"/>
  <c r="NY13" i="5"/>
  <c r="NZ13" i="5"/>
  <c r="OA13" i="5"/>
  <c r="OB13" i="5"/>
  <c r="OC13" i="5"/>
  <c r="OD13" i="5"/>
  <c r="OE13" i="5"/>
  <c r="OF13" i="5"/>
  <c r="OG13" i="5"/>
  <c r="OH13" i="5"/>
  <c r="OI13" i="5"/>
  <c r="OJ13" i="5"/>
  <c r="OK13" i="5"/>
  <c r="OL13" i="5"/>
  <c r="OM13" i="5"/>
  <c r="ON13" i="5"/>
  <c r="OO13" i="5"/>
  <c r="OP13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PO13" i="5"/>
  <c r="PP13" i="5"/>
  <c r="PQ13" i="5"/>
  <c r="PR13" i="5"/>
  <c r="PS13" i="5"/>
  <c r="PT13" i="5"/>
  <c r="PU13" i="5"/>
  <c r="PV13" i="5"/>
  <c r="PW13" i="5"/>
  <c r="PX13" i="5"/>
  <c r="PY13" i="5"/>
  <c r="PZ13" i="5"/>
  <c r="QA13" i="5"/>
  <c r="QB13" i="5"/>
  <c r="QC13" i="5"/>
  <c r="QD13" i="5"/>
  <c r="QE13" i="5"/>
  <c r="QF13" i="5"/>
  <c r="QG13" i="5"/>
  <c r="QH13" i="5"/>
  <c r="QI13" i="5"/>
  <c r="QJ13" i="5"/>
  <c r="QK13" i="5"/>
  <c r="QL13" i="5"/>
  <c r="QM13" i="5"/>
  <c r="QN13" i="5"/>
  <c r="QO13" i="5"/>
  <c r="QP13" i="5"/>
  <c r="QQ13" i="5"/>
  <c r="QR13" i="5"/>
  <c r="QS13" i="5"/>
  <c r="QT13" i="5"/>
  <c r="QU13" i="5"/>
  <c r="QV13" i="5"/>
  <c r="QW13" i="5"/>
  <c r="QX13" i="5"/>
  <c r="QY13" i="5"/>
  <c r="QZ13" i="5"/>
  <c r="RA13" i="5"/>
  <c r="RB13" i="5"/>
  <c r="RC13" i="5"/>
  <c r="RD13" i="5"/>
  <c r="RE13" i="5"/>
  <c r="RF13" i="5"/>
  <c r="RG13" i="5"/>
  <c r="RH13" i="5"/>
  <c r="RI13" i="5"/>
  <c r="RJ13" i="5"/>
  <c r="RK13" i="5"/>
  <c r="RL13" i="5"/>
  <c r="RM13" i="5"/>
  <c r="RN13" i="5"/>
  <c r="RO13" i="5"/>
  <c r="RP13" i="5"/>
  <c r="RQ13" i="5"/>
  <c r="RR13" i="5"/>
  <c r="RS13" i="5"/>
  <c r="RT13" i="5"/>
  <c r="RU13" i="5"/>
  <c r="RV13" i="5"/>
  <c r="RW13" i="5"/>
  <c r="RX13" i="5"/>
  <c r="RY13" i="5"/>
  <c r="RZ13" i="5"/>
  <c r="SA13" i="5"/>
  <c r="SB13" i="5"/>
  <c r="SC13" i="5"/>
  <c r="SD13" i="5"/>
  <c r="SE13" i="5"/>
  <c r="SF13" i="5"/>
  <c r="SG13" i="5"/>
  <c r="SH13" i="5"/>
  <c r="SI13" i="5"/>
  <c r="SJ13" i="5"/>
  <c r="SK13" i="5"/>
  <c r="SL13" i="5"/>
  <c r="SM13" i="5"/>
  <c r="SN13" i="5"/>
  <c r="SO13" i="5"/>
  <c r="SP13" i="5"/>
  <c r="SQ13" i="5"/>
  <c r="SR13" i="5"/>
  <c r="SS13" i="5"/>
  <c r="ST13" i="5"/>
  <c r="SU13" i="5"/>
  <c r="SV13" i="5"/>
  <c r="SW13" i="5"/>
  <c r="SX13" i="5"/>
  <c r="SY13" i="5"/>
  <c r="SZ13" i="5"/>
  <c r="TA13" i="5"/>
  <c r="TB13" i="5"/>
  <c r="TC13" i="5"/>
  <c r="TD13" i="5"/>
  <c r="TE13" i="5"/>
  <c r="TF13" i="5"/>
  <c r="TG13" i="5"/>
  <c r="TH13" i="5"/>
  <c r="TI13" i="5"/>
  <c r="TJ13" i="5"/>
  <c r="TK13" i="5"/>
  <c r="TL13" i="5"/>
  <c r="TM13" i="5"/>
  <c r="TN13" i="5"/>
  <c r="TO13" i="5"/>
  <c r="TP13" i="5"/>
  <c r="TQ13" i="5"/>
  <c r="TR13" i="5"/>
  <c r="TS13" i="5"/>
  <c r="TT13" i="5"/>
  <c r="TU13" i="5"/>
  <c r="TV13" i="5"/>
  <c r="TW13" i="5"/>
  <c r="TX13" i="5"/>
  <c r="TY13" i="5"/>
  <c r="TZ13" i="5"/>
  <c r="UA13" i="5"/>
  <c r="UB13" i="5"/>
  <c r="UC13" i="5"/>
  <c r="UD13" i="5"/>
  <c r="UE13" i="5"/>
  <c r="UF13" i="5"/>
  <c r="UG13" i="5"/>
  <c r="UH13" i="5"/>
  <c r="UI13" i="5"/>
  <c r="UJ13" i="5"/>
  <c r="UK13" i="5"/>
  <c r="UL13" i="5"/>
  <c r="UM13" i="5"/>
  <c r="UN13" i="5"/>
  <c r="UO13" i="5"/>
  <c r="UP13" i="5"/>
  <c r="UQ13" i="5"/>
  <c r="UR13" i="5"/>
  <c r="US13" i="5"/>
  <c r="UT13" i="5"/>
  <c r="UU13" i="5"/>
  <c r="UV13" i="5"/>
  <c r="UW13" i="5"/>
  <c r="UX13" i="5"/>
  <c r="UY13" i="5"/>
  <c r="UZ13" i="5"/>
  <c r="VA13" i="5"/>
  <c r="VB13" i="5"/>
  <c r="VC13" i="5"/>
  <c r="VD13" i="5"/>
  <c r="VE13" i="5"/>
  <c r="VF13" i="5"/>
  <c r="VG13" i="5"/>
  <c r="VH13" i="5"/>
  <c r="VI13" i="5"/>
  <c r="VJ13" i="5"/>
  <c r="VK13" i="5"/>
  <c r="VL13" i="5"/>
  <c r="VM13" i="5"/>
  <c r="VN13" i="5"/>
  <c r="VO13" i="5"/>
  <c r="VP13" i="5"/>
  <c r="VQ13" i="5"/>
  <c r="VR13" i="5"/>
  <c r="VS13" i="5"/>
  <c r="VT13" i="5"/>
  <c r="VU13" i="5"/>
  <c r="VV13" i="5"/>
  <c r="VW13" i="5"/>
  <c r="VX13" i="5"/>
  <c r="VY13" i="5"/>
  <c r="VZ13" i="5"/>
  <c r="WA13" i="5"/>
  <c r="WB13" i="5"/>
  <c r="WC13" i="5"/>
  <c r="WD13" i="5"/>
  <c r="WE13" i="5"/>
  <c r="WF13" i="5"/>
  <c r="WG13" i="5"/>
  <c r="WH13" i="5"/>
  <c r="WI13" i="5"/>
  <c r="WJ13" i="5"/>
  <c r="WK13" i="5"/>
  <c r="WL13" i="5"/>
  <c r="WM13" i="5"/>
  <c r="WN13" i="5"/>
  <c r="WO13" i="5"/>
  <c r="WP13" i="5"/>
  <c r="WQ13" i="5"/>
  <c r="WR13" i="5"/>
  <c r="WS13" i="5"/>
  <c r="WT13" i="5"/>
  <c r="WU13" i="5"/>
  <c r="WV13" i="5"/>
  <c r="WW13" i="5"/>
  <c r="WX13" i="5"/>
  <c r="WY13" i="5"/>
  <c r="WZ13" i="5"/>
  <c r="XA13" i="5"/>
  <c r="XB13" i="5"/>
  <c r="XC13" i="5"/>
  <c r="XD13" i="5"/>
  <c r="XE13" i="5"/>
  <c r="XF13" i="5"/>
  <c r="XG13" i="5"/>
  <c r="XH13" i="5"/>
  <c r="XI13" i="5"/>
  <c r="XJ13" i="5"/>
  <c r="XK13" i="5"/>
  <c r="XL13" i="5"/>
  <c r="XM13" i="5"/>
  <c r="XN13" i="5"/>
  <c r="XO13" i="5"/>
  <c r="XP13" i="5"/>
  <c r="XQ13" i="5"/>
  <c r="XR13" i="5"/>
  <c r="XS13" i="5"/>
  <c r="XT13" i="5"/>
  <c r="XU13" i="5"/>
  <c r="XV13" i="5"/>
  <c r="XW13" i="5"/>
  <c r="XX13" i="5"/>
  <c r="XY13" i="5"/>
  <c r="XZ13" i="5"/>
  <c r="YA13" i="5"/>
  <c r="YB13" i="5"/>
  <c r="YC13" i="5"/>
  <c r="YD13" i="5"/>
  <c r="YE13" i="5"/>
  <c r="YF13" i="5"/>
  <c r="YG13" i="5"/>
  <c r="YH13" i="5"/>
  <c r="YI13" i="5"/>
  <c r="YJ13" i="5"/>
  <c r="YK13" i="5"/>
  <c r="YL13" i="5"/>
  <c r="YM13" i="5"/>
  <c r="YN13" i="5"/>
  <c r="YO13" i="5"/>
  <c r="YP13" i="5"/>
  <c r="YQ13" i="5"/>
  <c r="YR13" i="5"/>
  <c r="YS13" i="5"/>
  <c r="YT13" i="5"/>
  <c r="YU13" i="5"/>
  <c r="YV13" i="5"/>
  <c r="YW13" i="5"/>
  <c r="YX13" i="5"/>
  <c r="YY13" i="5"/>
  <c r="YZ13" i="5"/>
  <c r="ZA13" i="5"/>
  <c r="ZB13" i="5"/>
  <c r="ZC13" i="5"/>
  <c r="ZD13" i="5"/>
  <c r="ZE13" i="5"/>
  <c r="ZF13" i="5"/>
  <c r="ZG13" i="5"/>
  <c r="ZH13" i="5"/>
  <c r="ZI13" i="5"/>
  <c r="ZJ13" i="5"/>
  <c r="ZK13" i="5"/>
  <c r="ZL13" i="5"/>
  <c r="ZM13" i="5"/>
  <c r="ZN13" i="5"/>
  <c r="ZO13" i="5"/>
  <c r="ZP13" i="5"/>
  <c r="ZQ13" i="5"/>
  <c r="ZR13" i="5"/>
  <c r="ZS13" i="5"/>
  <c r="ZT13" i="5"/>
  <c r="ZU13" i="5"/>
  <c r="ZV13" i="5"/>
  <c r="ZW13" i="5"/>
  <c r="ZX13" i="5"/>
  <c r="ZY13" i="5"/>
  <c r="ZZ13" i="5"/>
  <c r="AAA13" i="5"/>
  <c r="AAB13" i="5"/>
  <c r="AAC13" i="5"/>
  <c r="AAD13" i="5"/>
  <c r="AAE13" i="5"/>
  <c r="AAF13" i="5"/>
  <c r="AAG13" i="5"/>
  <c r="AAH13" i="5"/>
  <c r="AAI13" i="5"/>
  <c r="AAJ13" i="5"/>
  <c r="AAK13" i="5"/>
  <c r="AAL13" i="5"/>
  <c r="AAM13" i="5"/>
  <c r="AAN13" i="5"/>
  <c r="AAO13" i="5"/>
  <c r="AAP13" i="5"/>
  <c r="AAQ13" i="5"/>
  <c r="AAR13" i="5"/>
  <c r="AAS13" i="5"/>
  <c r="AAT13" i="5"/>
  <c r="AAU13" i="5"/>
  <c r="AAV13" i="5"/>
  <c r="AAW13" i="5"/>
  <c r="AAX13" i="5"/>
  <c r="AAY13" i="5"/>
  <c r="AAZ13" i="5"/>
  <c r="ABA13" i="5"/>
  <c r="ABB13" i="5"/>
  <c r="ABC13" i="5"/>
  <c r="ABD13" i="5"/>
  <c r="ABE13" i="5"/>
  <c r="ABF13" i="5"/>
  <c r="ABG13" i="5"/>
  <c r="ABH13" i="5"/>
  <c r="ABI13" i="5"/>
  <c r="ABJ13" i="5"/>
  <c r="ABK13" i="5"/>
  <c r="ABL13" i="5"/>
  <c r="ABM13" i="5"/>
  <c r="ABN13" i="5"/>
  <c r="ABO13" i="5"/>
  <c r="ABP13" i="5"/>
  <c r="ABQ13" i="5"/>
  <c r="ABR13" i="5"/>
  <c r="ABS13" i="5"/>
  <c r="ABT13" i="5"/>
  <c r="ABU13" i="5"/>
  <c r="ABV13" i="5"/>
  <c r="ABW13" i="5"/>
  <c r="ABX13" i="5"/>
  <c r="ABY13" i="5"/>
  <c r="ABZ13" i="5"/>
  <c r="ACA13" i="5"/>
  <c r="ACB13" i="5"/>
  <c r="ACC13" i="5"/>
  <c r="ACD13" i="5"/>
  <c r="ACE13" i="5"/>
  <c r="ACF13" i="5"/>
  <c r="ACG13" i="5"/>
  <c r="ACH13" i="5"/>
  <c r="ACI13" i="5"/>
  <c r="ACJ13" i="5"/>
  <c r="ACK13" i="5"/>
  <c r="ACL13" i="5"/>
  <c r="ACM13" i="5"/>
  <c r="ACN13" i="5"/>
  <c r="ACO13" i="5"/>
  <c r="ACP13" i="5"/>
  <c r="ACQ13" i="5"/>
  <c r="ACR13" i="5"/>
  <c r="ACS13" i="5"/>
  <c r="ACT13" i="5"/>
  <c r="ACU13" i="5"/>
  <c r="ACV13" i="5"/>
  <c r="ACW13" i="5"/>
  <c r="ACX13" i="5"/>
  <c r="ACY13" i="5"/>
  <c r="ACZ13" i="5"/>
  <c r="ADA13" i="5"/>
  <c r="ADB13" i="5"/>
  <c r="ADC13" i="5"/>
  <c r="ADD13" i="5"/>
  <c r="ADE13" i="5"/>
  <c r="ADF13" i="5"/>
  <c r="ADG13" i="5"/>
  <c r="ADH13" i="5"/>
  <c r="ADI13" i="5"/>
  <c r="ADJ13" i="5"/>
  <c r="ADK13" i="5"/>
  <c r="ADL13" i="5"/>
  <c r="ADM13" i="5"/>
  <c r="ADN13" i="5"/>
  <c r="ADO13" i="5"/>
  <c r="ADP13" i="5"/>
  <c r="ADQ13" i="5"/>
  <c r="ADR13" i="5"/>
  <c r="ADS13" i="5"/>
  <c r="ADT13" i="5"/>
  <c r="ADU13" i="5"/>
  <c r="ADV13" i="5"/>
  <c r="ADW13" i="5"/>
  <c r="ADX13" i="5"/>
  <c r="ADY13" i="5"/>
  <c r="ADZ13" i="5"/>
  <c r="AEA13" i="5"/>
  <c r="AEB13" i="5"/>
  <c r="AEC13" i="5"/>
  <c r="AED13" i="5"/>
  <c r="AEE13" i="5"/>
  <c r="AEF13" i="5"/>
  <c r="AEG13" i="5"/>
  <c r="AEH13" i="5"/>
  <c r="AEI13" i="5"/>
  <c r="AEJ13" i="5"/>
  <c r="AEK13" i="5"/>
  <c r="AEL13" i="5"/>
  <c r="AEM13" i="5"/>
  <c r="AEN13" i="5"/>
  <c r="AEO13" i="5"/>
  <c r="AEP13" i="5"/>
  <c r="AEQ13" i="5"/>
  <c r="AER13" i="5"/>
  <c r="AES13" i="5"/>
  <c r="AET13" i="5"/>
  <c r="AEU13" i="5"/>
  <c r="AEV13" i="5"/>
  <c r="AEW13" i="5"/>
  <c r="AEX13" i="5"/>
  <c r="AEY13" i="5"/>
  <c r="AEZ13" i="5"/>
  <c r="AFA13" i="5"/>
  <c r="AFB13" i="5"/>
  <c r="AFC13" i="5"/>
  <c r="AFD13" i="5"/>
  <c r="AFE13" i="5"/>
  <c r="AFF13" i="5"/>
  <c r="AFG13" i="5"/>
  <c r="AFH13" i="5"/>
  <c r="AFI13" i="5"/>
  <c r="AFJ13" i="5"/>
  <c r="AFK13" i="5"/>
  <c r="AFL13" i="5"/>
  <c r="AFM13" i="5"/>
  <c r="AFN13" i="5"/>
  <c r="AFO13" i="5"/>
  <c r="AFP13" i="5"/>
  <c r="AFQ13" i="5"/>
  <c r="AFR13" i="5"/>
  <c r="AFS13" i="5"/>
  <c r="AFT13" i="5"/>
  <c r="AFU13" i="5"/>
  <c r="AFV13" i="5"/>
  <c r="AFW13" i="5"/>
  <c r="AFX13" i="5"/>
  <c r="AFY13" i="5"/>
  <c r="AFZ13" i="5"/>
  <c r="AGA13" i="5"/>
  <c r="AGB13" i="5"/>
  <c r="AGC13" i="5"/>
  <c r="AGD13" i="5"/>
  <c r="AGE13" i="5"/>
  <c r="AGF13" i="5"/>
  <c r="AGG13" i="5"/>
  <c r="AGH13" i="5"/>
  <c r="AGI13" i="5"/>
  <c r="AGJ13" i="5"/>
  <c r="AGK13" i="5"/>
  <c r="AGL13" i="5"/>
  <c r="AGM13" i="5"/>
  <c r="AGN13" i="5"/>
  <c r="AGO13" i="5"/>
  <c r="AGP13" i="5"/>
  <c r="AGQ13" i="5"/>
  <c r="AGR13" i="5"/>
  <c r="AGS13" i="5"/>
  <c r="AGT13" i="5"/>
  <c r="AGU13" i="5"/>
  <c r="AGV13" i="5"/>
  <c r="AGW13" i="5"/>
  <c r="AGX13" i="5"/>
  <c r="AGY13" i="5"/>
  <c r="AGZ13" i="5"/>
  <c r="AHA13" i="5"/>
  <c r="AHB13" i="5"/>
  <c r="AHC13" i="5"/>
  <c r="AHD13" i="5"/>
  <c r="AHE13" i="5"/>
  <c r="AHF13" i="5"/>
  <c r="AHG13" i="5"/>
  <c r="AHH13" i="5"/>
  <c r="AHI13" i="5"/>
  <c r="AHJ13" i="5"/>
  <c r="AHK13" i="5"/>
  <c r="AHL13" i="5"/>
  <c r="AHM13" i="5"/>
  <c r="AHN13" i="5"/>
  <c r="AHO13" i="5"/>
  <c r="AHP13" i="5"/>
  <c r="AHQ13" i="5"/>
  <c r="AHR13" i="5"/>
  <c r="AHS13" i="5"/>
  <c r="AHT13" i="5"/>
  <c r="AHU13" i="5"/>
  <c r="AHV13" i="5"/>
  <c r="AHW13" i="5"/>
  <c r="AHX13" i="5"/>
  <c r="AHY13" i="5"/>
  <c r="AHZ13" i="5"/>
  <c r="AIA13" i="5"/>
  <c r="AIB13" i="5"/>
  <c r="AIC13" i="5"/>
  <c r="AID13" i="5"/>
  <c r="AIE13" i="5"/>
  <c r="AIF13" i="5"/>
  <c r="AIG13" i="5"/>
  <c r="AIH13" i="5"/>
  <c r="AII13" i="5"/>
  <c r="AIJ13" i="5"/>
  <c r="AIK13" i="5"/>
  <c r="AIL13" i="5"/>
  <c r="AIM13" i="5"/>
  <c r="AIN13" i="5"/>
  <c r="AIO13" i="5"/>
  <c r="AIP13" i="5"/>
  <c r="AIQ13" i="5"/>
  <c r="AIR13" i="5"/>
  <c r="AIS13" i="5"/>
  <c r="AIT13" i="5"/>
  <c r="AIU13" i="5"/>
  <c r="AIV13" i="5"/>
  <c r="AIW13" i="5"/>
  <c r="AIX13" i="5"/>
  <c r="AIY13" i="5"/>
  <c r="AIZ13" i="5"/>
  <c r="AJA13" i="5"/>
  <c r="AJB13" i="5"/>
  <c r="AJC13" i="5"/>
  <c r="AJD13" i="5"/>
  <c r="AJE13" i="5"/>
  <c r="AJF13" i="5"/>
  <c r="AJG13" i="5"/>
  <c r="AJH13" i="5"/>
  <c r="AJI13" i="5"/>
  <c r="AJJ13" i="5"/>
  <c r="AJK13" i="5"/>
  <c r="AJL13" i="5"/>
  <c r="AJM13" i="5"/>
  <c r="AJN13" i="5"/>
  <c r="AJO13" i="5"/>
  <c r="AJP13" i="5"/>
  <c r="AJQ13" i="5"/>
  <c r="AJR13" i="5"/>
  <c r="AJS13" i="5"/>
  <c r="AJT13" i="5"/>
  <c r="AJU13" i="5"/>
  <c r="AJV13" i="5"/>
  <c r="AJW13" i="5"/>
  <c r="AJX13" i="5"/>
  <c r="AJY13" i="5"/>
  <c r="AJZ13" i="5"/>
  <c r="AKA13" i="5"/>
  <c r="AKB13" i="5"/>
  <c r="AKC13" i="5"/>
  <c r="AKD13" i="5"/>
  <c r="AKE13" i="5"/>
  <c r="AKF13" i="5"/>
  <c r="AKG13" i="5"/>
  <c r="AKH13" i="5"/>
  <c r="AKI13" i="5"/>
  <c r="AKJ13" i="5"/>
  <c r="AKK13" i="5"/>
  <c r="AKL13" i="5"/>
  <c r="AKM13" i="5"/>
  <c r="AKN13" i="5"/>
  <c r="AKO13" i="5"/>
  <c r="AKP13" i="5"/>
  <c r="AKQ13" i="5"/>
  <c r="AKR13" i="5"/>
  <c r="AKS13" i="5"/>
  <c r="AKT13" i="5"/>
  <c r="AKU13" i="5"/>
  <c r="AKV13" i="5"/>
  <c r="AKW13" i="5"/>
  <c r="AKX13" i="5"/>
  <c r="AKY13" i="5"/>
  <c r="AKZ13" i="5"/>
  <c r="ALA13" i="5"/>
  <c r="ALB13" i="5"/>
  <c r="ALC13" i="5"/>
  <c r="ALD13" i="5"/>
  <c r="ALE13" i="5"/>
  <c r="ALF13" i="5"/>
  <c r="ALG13" i="5"/>
  <c r="ALH13" i="5"/>
  <c r="ALI13" i="5"/>
  <c r="ALJ13" i="5"/>
  <c r="ALK13" i="5"/>
  <c r="ALL13" i="5"/>
  <c r="ALM13" i="5"/>
  <c r="ALN13" i="5"/>
  <c r="ALO13" i="5"/>
  <c r="ALP13" i="5"/>
  <c r="ALQ13" i="5"/>
  <c r="ALR13" i="5"/>
  <c r="ALS13" i="5"/>
  <c r="ALT13" i="5"/>
  <c r="ALU13" i="5"/>
  <c r="ALV13" i="5"/>
  <c r="ALW13" i="5"/>
  <c r="ALX13" i="5"/>
  <c r="ALY13" i="5"/>
  <c r="ALZ13" i="5"/>
  <c r="AMA13" i="5"/>
  <c r="AMB13" i="5"/>
  <c r="AMC13" i="5"/>
  <c r="AMD13" i="5"/>
  <c r="AME13" i="5"/>
  <c r="AMF13" i="5"/>
  <c r="AMG13" i="5"/>
  <c r="AMH13" i="5"/>
  <c r="AMI13" i="5"/>
  <c r="AMJ13" i="5"/>
  <c r="AMK13" i="5"/>
  <c r="AML13" i="5"/>
  <c r="AMM13" i="5"/>
  <c r="AMN13" i="5"/>
  <c r="AMO13" i="5"/>
  <c r="AMP13" i="5"/>
  <c r="AMQ13" i="5"/>
  <c r="AMR13" i="5"/>
  <c r="AMS13" i="5"/>
  <c r="AMT13" i="5"/>
  <c r="AMU13" i="5"/>
  <c r="AMV13" i="5"/>
  <c r="AMW13" i="5"/>
  <c r="AMX13" i="5"/>
  <c r="AMY13" i="5"/>
  <c r="AMZ13" i="5"/>
  <c r="ANA13" i="5"/>
  <c r="ANB13" i="5"/>
  <c r="ANC13" i="5"/>
  <c r="AND13" i="5"/>
  <c r="ANE13" i="5"/>
  <c r="ANF13" i="5"/>
  <c r="ANG13" i="5"/>
  <c r="ANH13" i="5"/>
  <c r="ANI13" i="5"/>
  <c r="ANJ13" i="5"/>
  <c r="ANK13" i="5"/>
  <c r="ANL13" i="5"/>
  <c r="ANM13" i="5"/>
  <c r="ANN13" i="5"/>
  <c r="ANO13" i="5"/>
  <c r="ANP13" i="5"/>
  <c r="ANQ13" i="5"/>
  <c r="ANR13" i="5"/>
  <c r="ANS13" i="5"/>
  <c r="ANT13" i="5"/>
  <c r="ANU13" i="5"/>
  <c r="ANV13" i="5"/>
  <c r="ANW13" i="5"/>
  <c r="ANX13" i="5"/>
  <c r="ANY13" i="5"/>
  <c r="ANZ13" i="5"/>
  <c r="AOA13" i="5"/>
  <c r="AOB13" i="5"/>
  <c r="AOC13" i="5"/>
  <c r="AOD13" i="5"/>
  <c r="AOE13" i="5"/>
  <c r="AOF13" i="5"/>
  <c r="AOG13" i="5"/>
  <c r="AOH13" i="5"/>
  <c r="AOI13" i="5"/>
  <c r="AOJ13" i="5"/>
  <c r="AOK13" i="5"/>
  <c r="AOL13" i="5"/>
  <c r="AOM13" i="5"/>
  <c r="AON13" i="5"/>
  <c r="AOO13" i="5"/>
  <c r="AOP13" i="5"/>
  <c r="AOQ13" i="5"/>
  <c r="AOR13" i="5"/>
  <c r="AOS13" i="5"/>
  <c r="AOT13" i="5"/>
  <c r="AOU13" i="5"/>
  <c r="AOV13" i="5"/>
  <c r="AOW13" i="5"/>
  <c r="AOX13" i="5"/>
  <c r="AOY13" i="5"/>
  <c r="AOZ13" i="5"/>
  <c r="APA13" i="5"/>
  <c r="APB13" i="5"/>
  <c r="APC13" i="5"/>
  <c r="APD13" i="5"/>
  <c r="APE13" i="5"/>
  <c r="APF13" i="5"/>
  <c r="APG13" i="5"/>
  <c r="APH13" i="5"/>
  <c r="API13" i="5"/>
  <c r="APJ13" i="5"/>
  <c r="APK13" i="5"/>
  <c r="APL13" i="5"/>
  <c r="APM13" i="5"/>
  <c r="APN13" i="5"/>
  <c r="APO13" i="5"/>
  <c r="APP13" i="5"/>
  <c r="APQ13" i="5"/>
  <c r="APR13" i="5"/>
  <c r="APS13" i="5"/>
  <c r="APT13" i="5"/>
  <c r="APU13" i="5"/>
  <c r="APV13" i="5"/>
  <c r="APW13" i="5"/>
  <c r="APX13" i="5"/>
  <c r="APY13" i="5"/>
  <c r="APZ13" i="5"/>
  <c r="AQA13" i="5"/>
  <c r="AQB13" i="5"/>
  <c r="AQC13" i="5"/>
  <c r="AQD13" i="5"/>
  <c r="AQE13" i="5"/>
  <c r="AQF13" i="5"/>
  <c r="AQG13" i="5"/>
  <c r="AQH13" i="5"/>
  <c r="AQI13" i="5"/>
  <c r="AQJ13" i="5"/>
  <c r="AQK13" i="5"/>
  <c r="AQL13" i="5"/>
  <c r="AQM13" i="5"/>
  <c r="AQN13" i="5"/>
  <c r="AQO13" i="5"/>
  <c r="AQP13" i="5"/>
  <c r="AQQ13" i="5"/>
  <c r="AQR13" i="5"/>
  <c r="AQS13" i="5"/>
  <c r="AQT13" i="5"/>
  <c r="AQU13" i="5"/>
  <c r="AQV13" i="5"/>
  <c r="AQW13" i="5"/>
  <c r="AQX13" i="5"/>
  <c r="AQY13" i="5"/>
  <c r="AQZ13" i="5"/>
  <c r="ARA13" i="5"/>
  <c r="ARB13" i="5"/>
  <c r="ARC13" i="5"/>
  <c r="ARD13" i="5"/>
  <c r="ARE13" i="5"/>
  <c r="ARF13" i="5"/>
  <c r="ARG13" i="5"/>
  <c r="ARH13" i="5"/>
  <c r="ARI13" i="5"/>
  <c r="ARJ13" i="5"/>
  <c r="ARK13" i="5"/>
  <c r="ARL13" i="5"/>
  <c r="ARM13" i="5"/>
  <c r="ARN13" i="5"/>
  <c r="ARO13" i="5"/>
  <c r="ARP13" i="5"/>
  <c r="ARQ13" i="5"/>
  <c r="ARR13" i="5"/>
  <c r="ARS13" i="5"/>
  <c r="ART13" i="5"/>
  <c r="ARU13" i="5"/>
  <c r="ARV13" i="5"/>
  <c r="ARW13" i="5"/>
  <c r="ARX13" i="5"/>
  <c r="ARY13" i="5"/>
  <c r="ARZ13" i="5"/>
  <c r="ASA13" i="5"/>
  <c r="ASB13" i="5"/>
  <c r="ASC13" i="5"/>
  <c r="ASD13" i="5"/>
  <c r="ASE13" i="5"/>
  <c r="ASF13" i="5"/>
  <c r="ASG13" i="5"/>
  <c r="ASH13" i="5"/>
  <c r="ASI13" i="5"/>
  <c r="ASJ13" i="5"/>
  <c r="ASK13" i="5"/>
  <c r="ASL13" i="5"/>
  <c r="ASM13" i="5"/>
  <c r="ASN13" i="5"/>
  <c r="ASO13" i="5"/>
  <c r="ASP13" i="5"/>
  <c r="ASQ13" i="5"/>
  <c r="ASR13" i="5"/>
  <c r="ASS13" i="5"/>
  <c r="AST13" i="5"/>
  <c r="ASU13" i="5"/>
  <c r="ASV13" i="5"/>
  <c r="ASW13" i="5"/>
  <c r="ASX13" i="5"/>
  <c r="ASY13" i="5"/>
  <c r="ASZ13" i="5"/>
  <c r="ATA13" i="5"/>
  <c r="ATB13" i="5"/>
  <c r="ATC13" i="5"/>
  <c r="ATD13" i="5"/>
  <c r="ATE13" i="5"/>
  <c r="ATF13" i="5"/>
  <c r="ATG13" i="5"/>
  <c r="ATH13" i="5"/>
  <c r="ATI13" i="5"/>
  <c r="ATJ13" i="5"/>
  <c r="ATK13" i="5"/>
  <c r="ATL13" i="5"/>
  <c r="ATM13" i="5"/>
  <c r="ATN13" i="5"/>
  <c r="ATO13" i="5"/>
  <c r="ATP13" i="5"/>
  <c r="ATQ13" i="5"/>
  <c r="ATR13" i="5"/>
  <c r="ATS13" i="5"/>
  <c r="ATT13" i="5"/>
  <c r="ATU13" i="5"/>
  <c r="ATV13" i="5"/>
  <c r="ATW13" i="5"/>
  <c r="ATX13" i="5"/>
  <c r="ATY13" i="5"/>
  <c r="ATZ13" i="5"/>
  <c r="AUA13" i="5"/>
  <c r="AUB13" i="5"/>
  <c r="AUC13" i="5"/>
  <c r="AUD13" i="5"/>
  <c r="AUE13" i="5"/>
  <c r="AUF13" i="5"/>
  <c r="AUG13" i="5"/>
  <c r="AUH13" i="5"/>
  <c r="AUI13" i="5"/>
  <c r="AUJ13" i="5"/>
  <c r="AUK13" i="5"/>
  <c r="AUL13" i="5"/>
  <c r="AUM13" i="5"/>
  <c r="AUN13" i="5"/>
  <c r="AUO13" i="5"/>
  <c r="AUP13" i="5"/>
  <c r="AUQ13" i="5"/>
  <c r="AUR13" i="5"/>
  <c r="AUS13" i="5"/>
  <c r="AUT13" i="5"/>
  <c r="AUU13" i="5"/>
  <c r="AUV13" i="5"/>
  <c r="AUW13" i="5"/>
  <c r="AUX13" i="5"/>
  <c r="AUY13" i="5"/>
  <c r="AUZ13" i="5"/>
  <c r="AVA13" i="5"/>
  <c r="AVB13" i="5"/>
  <c r="AVC13" i="5"/>
  <c r="AVD13" i="5"/>
  <c r="AVE13" i="5"/>
  <c r="AVF13" i="5"/>
  <c r="AVG13" i="5"/>
  <c r="AVH13" i="5"/>
  <c r="AVI13" i="5"/>
  <c r="AVJ13" i="5"/>
  <c r="AVK13" i="5"/>
  <c r="AVL13" i="5"/>
  <c r="AVM13" i="5"/>
  <c r="AVN13" i="5"/>
  <c r="AVO13" i="5"/>
  <c r="AVP13" i="5"/>
  <c r="AVQ13" i="5"/>
  <c r="AVR13" i="5"/>
  <c r="AVS13" i="5"/>
  <c r="AVT13" i="5"/>
  <c r="AVU13" i="5"/>
  <c r="AVV13" i="5"/>
  <c r="AVW13" i="5"/>
  <c r="AVX13" i="5"/>
  <c r="AVY13" i="5"/>
  <c r="AVZ13" i="5"/>
  <c r="AWA13" i="5"/>
  <c r="AWB13" i="5"/>
  <c r="AWC13" i="5"/>
  <c r="AWD13" i="5"/>
  <c r="AWE13" i="5"/>
  <c r="AWF13" i="5"/>
  <c r="AWG13" i="5"/>
  <c r="AWH13" i="5"/>
  <c r="AWI13" i="5"/>
  <c r="AWJ13" i="5"/>
  <c r="AWK13" i="5"/>
  <c r="AWL13" i="5"/>
  <c r="AWM13" i="5"/>
  <c r="AWN13" i="5"/>
  <c r="AWO13" i="5"/>
  <c r="AWP13" i="5"/>
  <c r="AWQ13" i="5"/>
  <c r="AWR13" i="5"/>
  <c r="AWS13" i="5"/>
  <c r="AWT13" i="5"/>
  <c r="AWU13" i="5"/>
  <c r="AWV13" i="5"/>
  <c r="AWW13" i="5"/>
  <c r="AWX13" i="5"/>
  <c r="AWY13" i="5"/>
  <c r="AWZ13" i="5"/>
  <c r="AXA13" i="5"/>
  <c r="AXB13" i="5"/>
  <c r="AXC13" i="5"/>
  <c r="AXD13" i="5"/>
  <c r="AXE13" i="5"/>
  <c r="AXF13" i="5"/>
  <c r="AXG13" i="5"/>
  <c r="AXH13" i="5"/>
  <c r="AXI13" i="5"/>
  <c r="AXJ13" i="5"/>
  <c r="AXK13" i="5"/>
  <c r="AXL13" i="5"/>
  <c r="AXM13" i="5"/>
  <c r="AXN13" i="5"/>
  <c r="AXO13" i="5"/>
  <c r="AXP13" i="5"/>
  <c r="AXQ13" i="5"/>
  <c r="AXR13" i="5"/>
  <c r="AXS13" i="5"/>
  <c r="AXT13" i="5"/>
  <c r="AXU13" i="5"/>
  <c r="AXV13" i="5"/>
  <c r="AXW13" i="5"/>
  <c r="AXX13" i="5"/>
  <c r="AXY13" i="5"/>
  <c r="AXZ13" i="5"/>
  <c r="AYA13" i="5"/>
  <c r="AYB13" i="5"/>
  <c r="AYC13" i="5"/>
  <c r="AYD13" i="5"/>
  <c r="AYE13" i="5"/>
  <c r="AYF13" i="5"/>
  <c r="AYG13" i="5"/>
  <c r="AYH13" i="5"/>
  <c r="AYI13" i="5"/>
  <c r="AYJ13" i="5"/>
  <c r="AYK13" i="5"/>
  <c r="AYL13" i="5"/>
  <c r="AYM13" i="5"/>
  <c r="AYN13" i="5"/>
  <c r="AYO13" i="5"/>
  <c r="AYP13" i="5"/>
  <c r="AYQ13" i="5"/>
  <c r="AYR13" i="5"/>
  <c r="AYS13" i="5"/>
  <c r="AYT13" i="5"/>
  <c r="AYU13" i="5"/>
  <c r="AYV13" i="5"/>
  <c r="AYW13" i="5"/>
  <c r="AYX13" i="5"/>
  <c r="AYY13" i="5"/>
  <c r="AYZ13" i="5"/>
  <c r="AZA13" i="5"/>
  <c r="AZB13" i="5"/>
  <c r="AZC13" i="5"/>
  <c r="AZD13" i="5"/>
  <c r="AZE13" i="5"/>
  <c r="AZF13" i="5"/>
  <c r="AZG13" i="5"/>
  <c r="AZH13" i="5"/>
  <c r="AZI13" i="5"/>
  <c r="AZJ13" i="5"/>
  <c r="AZK13" i="5"/>
  <c r="AZL13" i="5"/>
  <c r="AZM13" i="5"/>
  <c r="AZN13" i="5"/>
  <c r="AZO13" i="5"/>
  <c r="AZP13" i="5"/>
  <c r="AZQ13" i="5"/>
  <c r="AZR13" i="5"/>
  <c r="AZS13" i="5"/>
  <c r="AZT13" i="5"/>
  <c r="AZU13" i="5"/>
  <c r="AZV13" i="5"/>
  <c r="AZW13" i="5"/>
  <c r="AZX13" i="5"/>
  <c r="AZY13" i="5"/>
  <c r="AZZ13" i="5"/>
  <c r="BAA13" i="5"/>
  <c r="BAB13" i="5"/>
  <c r="BAC13" i="5"/>
  <c r="BAD13" i="5"/>
  <c r="BAE13" i="5"/>
  <c r="BAF13" i="5"/>
  <c r="BAG13" i="5"/>
  <c r="BAH13" i="5"/>
  <c r="BAI13" i="5"/>
  <c r="BAJ13" i="5"/>
  <c r="BAK13" i="5"/>
  <c r="BAL13" i="5"/>
  <c r="BAM13" i="5"/>
  <c r="BAN13" i="5"/>
  <c r="BAO13" i="5"/>
  <c r="BAP13" i="5"/>
  <c r="BAQ13" i="5"/>
  <c r="BAR13" i="5"/>
  <c r="BAS13" i="5"/>
  <c r="BAT13" i="5"/>
  <c r="BAU13" i="5"/>
  <c r="BAV13" i="5"/>
  <c r="BAW13" i="5"/>
  <c r="BAX13" i="5"/>
  <c r="BAY13" i="5"/>
  <c r="BAZ13" i="5"/>
  <c r="BBA13" i="5"/>
  <c r="BBB13" i="5"/>
  <c r="BBC13" i="5"/>
  <c r="BBD13" i="5"/>
  <c r="BBE13" i="5"/>
  <c r="BBF13" i="5"/>
  <c r="BBG13" i="5"/>
  <c r="BBH13" i="5"/>
  <c r="BBI13" i="5"/>
  <c r="BBJ13" i="5"/>
  <c r="BBK13" i="5"/>
  <c r="BBL13" i="5"/>
  <c r="BBM13" i="5"/>
  <c r="BBN13" i="5"/>
  <c r="BBO13" i="5"/>
  <c r="BBP13" i="5"/>
  <c r="BBQ13" i="5"/>
  <c r="BBR13" i="5"/>
  <c r="BBS13" i="5"/>
  <c r="BBT13" i="5"/>
  <c r="BBU13" i="5"/>
  <c r="BBV13" i="5"/>
  <c r="BBW13" i="5"/>
  <c r="BBX13" i="5"/>
  <c r="BBY13" i="5"/>
  <c r="BBZ13" i="5"/>
  <c r="BCA13" i="5"/>
  <c r="BCB13" i="5"/>
  <c r="BCC13" i="5"/>
  <c r="BCD13" i="5"/>
  <c r="BCE13" i="5"/>
  <c r="BCF13" i="5"/>
  <c r="BCG13" i="5"/>
  <c r="BCH13" i="5"/>
  <c r="BCI13" i="5"/>
  <c r="BCJ13" i="5"/>
  <c r="BCK13" i="5"/>
  <c r="BCL13" i="5"/>
  <c r="BCM13" i="5"/>
  <c r="BCN13" i="5"/>
  <c r="BCO13" i="5"/>
  <c r="BCP13" i="5"/>
  <c r="BCQ13" i="5"/>
  <c r="BCR13" i="5"/>
  <c r="BCS13" i="5"/>
  <c r="BCT13" i="5"/>
  <c r="BCU13" i="5"/>
  <c r="BCV13" i="5"/>
  <c r="BCW13" i="5"/>
  <c r="BCX13" i="5"/>
  <c r="BCY13" i="5"/>
  <c r="BCZ13" i="5"/>
  <c r="BDA13" i="5"/>
  <c r="BDB13" i="5"/>
  <c r="BDC13" i="5"/>
  <c r="BDD13" i="5"/>
  <c r="BDE13" i="5"/>
  <c r="BDF13" i="5"/>
  <c r="BDG13" i="5"/>
  <c r="BDH13" i="5"/>
  <c r="BDI13" i="5"/>
  <c r="BDJ13" i="5"/>
  <c r="BDK13" i="5"/>
  <c r="BDL13" i="5"/>
  <c r="BDM13" i="5"/>
  <c r="BDN13" i="5"/>
  <c r="BDO13" i="5"/>
  <c r="BDP13" i="5"/>
  <c r="BDQ13" i="5"/>
  <c r="BDR13" i="5"/>
  <c r="BDS13" i="5"/>
  <c r="BDT13" i="5"/>
  <c r="BDU13" i="5"/>
  <c r="BDV13" i="5"/>
  <c r="BDW13" i="5"/>
  <c r="BDX13" i="5"/>
  <c r="BDY13" i="5"/>
  <c r="BDZ13" i="5"/>
  <c r="BEA13" i="5"/>
  <c r="BEB13" i="5"/>
  <c r="BEC13" i="5"/>
  <c r="BED13" i="5"/>
  <c r="BEE13" i="5"/>
  <c r="BEF13" i="5"/>
  <c r="BEG13" i="5"/>
  <c r="BEH13" i="5"/>
  <c r="BEI13" i="5"/>
  <c r="BEJ13" i="5"/>
  <c r="BEK13" i="5"/>
  <c r="BEL13" i="5"/>
  <c r="BEM13" i="5"/>
  <c r="BEN13" i="5"/>
  <c r="BEO13" i="5"/>
  <c r="BEP13" i="5"/>
  <c r="BEQ13" i="5"/>
  <c r="BER13" i="5"/>
  <c r="BES13" i="5"/>
  <c r="BET13" i="5"/>
  <c r="BEU13" i="5"/>
  <c r="BEV13" i="5"/>
  <c r="BEW13" i="5"/>
  <c r="BEX13" i="5"/>
  <c r="BEY13" i="5"/>
  <c r="BEZ13" i="5"/>
  <c r="BFA13" i="5"/>
  <c r="BFB13" i="5"/>
  <c r="BFC13" i="5"/>
  <c r="BFD13" i="5"/>
  <c r="BFE13" i="5"/>
  <c r="BFF13" i="5"/>
  <c r="BFG13" i="5"/>
  <c r="BFH13" i="5"/>
  <c r="BFI13" i="5"/>
  <c r="BFJ13" i="5"/>
  <c r="BFK13" i="5"/>
  <c r="BFL13" i="5"/>
  <c r="BFM13" i="5"/>
  <c r="BFN13" i="5"/>
  <c r="BFO13" i="5"/>
  <c r="BFP13" i="5"/>
  <c r="BFQ13" i="5"/>
  <c r="BFR13" i="5"/>
  <c r="BFS13" i="5"/>
  <c r="BFT13" i="5"/>
  <c r="BFU13" i="5"/>
  <c r="BFV13" i="5"/>
  <c r="BFW13" i="5"/>
  <c r="BFX13" i="5"/>
  <c r="BFY13" i="5"/>
  <c r="BFZ13" i="5"/>
  <c r="BGA13" i="5"/>
  <c r="BGB13" i="5"/>
  <c r="BGC13" i="5"/>
  <c r="BGD13" i="5"/>
  <c r="BGE13" i="5"/>
  <c r="BGF13" i="5"/>
  <c r="BGG13" i="5"/>
  <c r="BGH13" i="5"/>
  <c r="BGI13" i="5"/>
  <c r="BGJ13" i="5"/>
  <c r="BGK13" i="5"/>
  <c r="BGL13" i="5"/>
  <c r="BGM13" i="5"/>
  <c r="BGN13" i="5"/>
  <c r="BGO13" i="5"/>
  <c r="BGP13" i="5"/>
  <c r="BGQ13" i="5"/>
  <c r="BGR13" i="5"/>
  <c r="BGS13" i="5"/>
  <c r="BGT13" i="5"/>
  <c r="BGU13" i="5"/>
  <c r="BGV13" i="5"/>
  <c r="BGW13" i="5"/>
  <c r="BGX13" i="5"/>
  <c r="BGY13" i="5"/>
  <c r="BGZ13" i="5"/>
  <c r="BHA13" i="5"/>
  <c r="BHB13" i="5"/>
  <c r="BHC13" i="5"/>
  <c r="BHD13" i="5"/>
  <c r="BHE13" i="5"/>
  <c r="BHF13" i="5"/>
  <c r="BHG13" i="5"/>
  <c r="BHH13" i="5"/>
  <c r="BHI13" i="5"/>
  <c r="BHJ13" i="5"/>
  <c r="BHK13" i="5"/>
  <c r="BHL13" i="5"/>
  <c r="BHM13" i="5"/>
  <c r="BHN13" i="5"/>
  <c r="BHO13" i="5"/>
  <c r="BHP13" i="5"/>
  <c r="BHQ13" i="5"/>
  <c r="BHR13" i="5"/>
  <c r="BHS13" i="5"/>
  <c r="BHT13" i="5"/>
  <c r="BHU13" i="5"/>
  <c r="BHV13" i="5"/>
  <c r="BHW13" i="5"/>
  <c r="BHX13" i="5"/>
  <c r="BHY13" i="5"/>
  <c r="BHZ13" i="5"/>
  <c r="BIA13" i="5"/>
  <c r="BIB13" i="5"/>
  <c r="BIC13" i="5"/>
  <c r="BID13" i="5"/>
  <c r="BIE13" i="5"/>
  <c r="BIF13" i="5"/>
  <c r="BIG13" i="5"/>
  <c r="BIH13" i="5"/>
  <c r="BII13" i="5"/>
  <c r="BIJ13" i="5"/>
  <c r="BIK13" i="5"/>
  <c r="BIL13" i="5"/>
  <c r="BIM13" i="5"/>
  <c r="BIN13" i="5"/>
  <c r="BIO13" i="5"/>
  <c r="BIP13" i="5"/>
  <c r="BIQ13" i="5"/>
  <c r="BIR13" i="5"/>
  <c r="BIS13" i="5"/>
  <c r="BIT13" i="5"/>
  <c r="BIU13" i="5"/>
  <c r="BIV13" i="5"/>
  <c r="BIW13" i="5"/>
  <c r="BIX13" i="5"/>
  <c r="BIY13" i="5"/>
  <c r="BIZ13" i="5"/>
  <c r="BJA13" i="5"/>
  <c r="BJB13" i="5"/>
  <c r="BJC13" i="5"/>
  <c r="BJD13" i="5"/>
  <c r="BJE13" i="5"/>
  <c r="BJF13" i="5"/>
  <c r="BJG13" i="5"/>
  <c r="BJH13" i="5"/>
  <c r="BJI13" i="5"/>
  <c r="BJJ13" i="5"/>
  <c r="BJK13" i="5"/>
  <c r="BJL13" i="5"/>
  <c r="BJM13" i="5"/>
  <c r="BJN13" i="5"/>
  <c r="BJO13" i="5"/>
  <c r="BJP13" i="5"/>
  <c r="BJQ13" i="5"/>
  <c r="BJR13" i="5"/>
  <c r="BJS13" i="5"/>
  <c r="BJT13" i="5"/>
  <c r="BJU13" i="5"/>
  <c r="BJV13" i="5"/>
  <c r="BJW13" i="5"/>
  <c r="BJX13" i="5"/>
  <c r="BJY13" i="5"/>
  <c r="BJZ13" i="5"/>
  <c r="BKA13" i="5"/>
  <c r="BKB13" i="5"/>
  <c r="BKC13" i="5"/>
  <c r="BKD13" i="5"/>
  <c r="BKE13" i="5"/>
  <c r="BKF13" i="5"/>
  <c r="BKG13" i="5"/>
  <c r="BKH13" i="5"/>
  <c r="BKI13" i="5"/>
  <c r="BKJ13" i="5"/>
  <c r="BKK13" i="5"/>
  <c r="BKL13" i="5"/>
  <c r="BKM13" i="5"/>
  <c r="BKN13" i="5"/>
  <c r="BKO13" i="5"/>
  <c r="BKP13" i="5"/>
  <c r="BKQ13" i="5"/>
  <c r="BKR13" i="5"/>
  <c r="BKS13" i="5"/>
  <c r="BKT13" i="5"/>
  <c r="BKU13" i="5"/>
  <c r="BKV13" i="5"/>
  <c r="BKW13" i="5"/>
  <c r="BKX13" i="5"/>
  <c r="BKY13" i="5"/>
  <c r="BKZ13" i="5"/>
  <c r="BLA13" i="5"/>
  <c r="BLB13" i="5"/>
  <c r="BLC13" i="5"/>
  <c r="BLD13" i="5"/>
  <c r="BLE13" i="5"/>
  <c r="BLF13" i="5"/>
  <c r="BLG13" i="5"/>
  <c r="BLH13" i="5"/>
  <c r="BLI13" i="5"/>
  <c r="BLJ13" i="5"/>
  <c r="BLK13" i="5"/>
  <c r="BLL13" i="5"/>
  <c r="BLM13" i="5"/>
  <c r="BLN13" i="5"/>
  <c r="BLO13" i="5"/>
  <c r="BLP13" i="5"/>
  <c r="BLQ13" i="5"/>
  <c r="BLR13" i="5"/>
  <c r="BLS13" i="5"/>
  <c r="BLT13" i="5"/>
  <c r="BLU13" i="5"/>
  <c r="BLV13" i="5"/>
  <c r="BLW13" i="5"/>
  <c r="BLX13" i="5"/>
  <c r="BLY13" i="5"/>
  <c r="BLZ13" i="5"/>
  <c r="BMA13" i="5"/>
  <c r="BMB13" i="5"/>
  <c r="BMC13" i="5"/>
  <c r="BMD13" i="5"/>
  <c r="BME13" i="5"/>
  <c r="BMF13" i="5"/>
  <c r="BMG13" i="5"/>
  <c r="BMH13" i="5"/>
  <c r="BMI13" i="5"/>
  <c r="BMJ13" i="5"/>
  <c r="BMK13" i="5"/>
  <c r="BML13" i="5"/>
  <c r="BMM13" i="5"/>
  <c r="BMN13" i="5"/>
  <c r="BMO13" i="5"/>
  <c r="BMP13" i="5"/>
  <c r="BMQ13" i="5"/>
  <c r="BMR13" i="5"/>
  <c r="BMS13" i="5"/>
  <c r="BMT13" i="5"/>
  <c r="BMU13" i="5"/>
  <c r="BMV13" i="5"/>
  <c r="BMW13" i="5"/>
  <c r="BMX13" i="5"/>
  <c r="BMY13" i="5"/>
  <c r="BMZ13" i="5"/>
  <c r="BNA13" i="5"/>
  <c r="BNB13" i="5"/>
  <c r="BNC13" i="5"/>
  <c r="BND13" i="5"/>
  <c r="BNE13" i="5"/>
  <c r="BNF13" i="5"/>
  <c r="BNG13" i="5"/>
  <c r="BNH13" i="5"/>
  <c r="BNI13" i="5"/>
  <c r="BNJ13" i="5"/>
  <c r="BNK13" i="5"/>
  <c r="BNL13" i="5"/>
  <c r="BNM13" i="5"/>
  <c r="BNN13" i="5"/>
  <c r="BNO13" i="5"/>
  <c r="BNP13" i="5"/>
  <c r="BNQ13" i="5"/>
  <c r="BNR13" i="5"/>
  <c r="BNS13" i="5"/>
  <c r="BNT13" i="5"/>
  <c r="BNU13" i="5"/>
  <c r="BNV13" i="5"/>
  <c r="BNW13" i="5"/>
  <c r="BNX13" i="5"/>
  <c r="BNY13" i="5"/>
  <c r="BNZ13" i="5"/>
  <c r="BOA13" i="5"/>
  <c r="BOB13" i="5"/>
  <c r="BOC13" i="5"/>
  <c r="BOD13" i="5"/>
  <c r="BOE13" i="5"/>
  <c r="BOF13" i="5"/>
  <c r="BOG13" i="5"/>
  <c r="BOH13" i="5"/>
  <c r="BOI13" i="5"/>
  <c r="BOJ13" i="5"/>
  <c r="BOK13" i="5"/>
  <c r="BOL13" i="5"/>
  <c r="BOM13" i="5"/>
  <c r="BON13" i="5"/>
  <c r="BOO13" i="5"/>
  <c r="BOP13" i="5"/>
  <c r="BOQ13" i="5"/>
  <c r="BOR13" i="5"/>
  <c r="BOS13" i="5"/>
  <c r="BOT13" i="5"/>
  <c r="BOU13" i="5"/>
  <c r="BOV13" i="5"/>
  <c r="BOW13" i="5"/>
  <c r="BOX13" i="5"/>
  <c r="BOY13" i="5"/>
  <c r="BOZ13" i="5"/>
  <c r="BPA13" i="5"/>
  <c r="BPB13" i="5"/>
  <c r="BPC13" i="5"/>
  <c r="BPD13" i="5"/>
  <c r="BPE13" i="5"/>
  <c r="BPF13" i="5"/>
  <c r="BPG13" i="5"/>
  <c r="BPH13" i="5"/>
  <c r="BPI13" i="5"/>
  <c r="BPJ13" i="5"/>
  <c r="BPK13" i="5"/>
  <c r="BPL13" i="5"/>
  <c r="BPM13" i="5"/>
  <c r="BPN13" i="5"/>
  <c r="BPO13" i="5"/>
  <c r="BPP13" i="5"/>
  <c r="BPQ13" i="5"/>
  <c r="BPR13" i="5"/>
  <c r="BPS13" i="5"/>
  <c r="BPT13" i="5"/>
  <c r="BPU13" i="5"/>
  <c r="BPV13" i="5"/>
  <c r="BPW13" i="5"/>
  <c r="BPX13" i="5"/>
  <c r="BPY13" i="5"/>
  <c r="BPZ13" i="5"/>
  <c r="BQA13" i="5"/>
  <c r="BQB13" i="5"/>
  <c r="BQC13" i="5"/>
  <c r="BQD13" i="5"/>
  <c r="BQE13" i="5"/>
  <c r="BQF13" i="5"/>
  <c r="BQG13" i="5"/>
  <c r="BQH13" i="5"/>
  <c r="BQI13" i="5"/>
  <c r="BQJ13" i="5"/>
  <c r="BQK13" i="5"/>
  <c r="BQL13" i="5"/>
  <c r="BQM13" i="5"/>
  <c r="BQN13" i="5"/>
  <c r="BQO13" i="5"/>
  <c r="BQP13" i="5"/>
  <c r="BQQ13" i="5"/>
  <c r="BQR13" i="5"/>
  <c r="BQS13" i="5"/>
  <c r="BQT13" i="5"/>
  <c r="BQU13" i="5"/>
  <c r="BQV13" i="5"/>
  <c r="BQW13" i="5"/>
  <c r="BQX13" i="5"/>
  <c r="BQY13" i="5"/>
  <c r="BQZ13" i="5"/>
  <c r="BRA13" i="5"/>
  <c r="BRB13" i="5"/>
  <c r="BRC13" i="5"/>
  <c r="BRD13" i="5"/>
  <c r="BRE13" i="5"/>
  <c r="BRF13" i="5"/>
  <c r="BRG13" i="5"/>
  <c r="BRH13" i="5"/>
  <c r="BRI13" i="5"/>
  <c r="BRJ13" i="5"/>
  <c r="BRK13" i="5"/>
  <c r="BRL13" i="5"/>
  <c r="BRM13" i="5"/>
  <c r="BRN13" i="5"/>
  <c r="BRO13" i="5"/>
  <c r="BRP13" i="5"/>
  <c r="BRQ13" i="5"/>
  <c r="BRR13" i="5"/>
  <c r="BRS13" i="5"/>
  <c r="BRT13" i="5"/>
  <c r="BRU13" i="5"/>
  <c r="BRV13" i="5"/>
  <c r="BRW13" i="5"/>
  <c r="BRX13" i="5"/>
  <c r="BRY13" i="5"/>
  <c r="BRZ13" i="5"/>
  <c r="BSA13" i="5"/>
  <c r="BSB13" i="5"/>
  <c r="BSC13" i="5"/>
  <c r="BSD13" i="5"/>
  <c r="BSE13" i="5"/>
  <c r="BSF13" i="5"/>
  <c r="BSG13" i="5"/>
  <c r="BSH13" i="5"/>
  <c r="BSI13" i="5"/>
  <c r="BSJ13" i="5"/>
  <c r="BSK13" i="5"/>
  <c r="BSL13" i="5"/>
  <c r="BSM13" i="5"/>
  <c r="BSN13" i="5"/>
  <c r="BSO13" i="5"/>
  <c r="BSP13" i="5"/>
  <c r="BSQ13" i="5"/>
  <c r="BSR13" i="5"/>
  <c r="BSS13" i="5"/>
  <c r="BST13" i="5"/>
  <c r="BSU13" i="5"/>
  <c r="BSV13" i="5"/>
  <c r="BSW13" i="5"/>
  <c r="BSX13" i="5"/>
  <c r="BSY13" i="5"/>
  <c r="BSZ13" i="5"/>
  <c r="BTA13" i="5"/>
  <c r="BTB13" i="5"/>
  <c r="BTC13" i="5"/>
  <c r="BTD13" i="5"/>
  <c r="BTE13" i="5"/>
  <c r="BTF13" i="5"/>
  <c r="BTG13" i="5"/>
  <c r="BTH13" i="5"/>
  <c r="BTI13" i="5"/>
  <c r="BTJ13" i="5"/>
  <c r="BTK13" i="5"/>
  <c r="BTL13" i="5"/>
  <c r="BTM13" i="5"/>
  <c r="BTN13" i="5"/>
  <c r="BTO13" i="5"/>
  <c r="BTP13" i="5"/>
  <c r="BTQ13" i="5"/>
  <c r="BTR13" i="5"/>
  <c r="BTS13" i="5"/>
  <c r="BTT13" i="5"/>
  <c r="BTU13" i="5"/>
  <c r="BTV13" i="5"/>
  <c r="BTW13" i="5"/>
  <c r="BTX13" i="5"/>
  <c r="BTY13" i="5"/>
  <c r="BTZ13" i="5"/>
  <c r="BUA13" i="5"/>
  <c r="BUB13" i="5"/>
  <c r="BUC13" i="5"/>
  <c r="BUD13" i="5"/>
  <c r="BUE13" i="5"/>
  <c r="BUF13" i="5"/>
  <c r="BUG13" i="5"/>
  <c r="BUH13" i="5"/>
  <c r="BUI13" i="5"/>
  <c r="BUJ13" i="5"/>
  <c r="BUK13" i="5"/>
  <c r="BUL13" i="5"/>
  <c r="BUM13" i="5"/>
  <c r="BUN13" i="5"/>
  <c r="BUO13" i="5"/>
  <c r="BUP13" i="5"/>
  <c r="BUQ13" i="5"/>
  <c r="BUR13" i="5"/>
  <c r="BUS13" i="5"/>
  <c r="BUT13" i="5"/>
  <c r="BUU13" i="5"/>
  <c r="BUV13" i="5"/>
  <c r="BUW13" i="5"/>
  <c r="BUX13" i="5"/>
  <c r="BUY13" i="5"/>
  <c r="BUZ13" i="5"/>
  <c r="BVA13" i="5"/>
  <c r="BVB13" i="5"/>
  <c r="BVC13" i="5"/>
  <c r="BVD13" i="5"/>
  <c r="BVE13" i="5"/>
  <c r="BVF13" i="5"/>
  <c r="BVG13" i="5"/>
  <c r="BVH13" i="5"/>
  <c r="BVI13" i="5"/>
  <c r="BVJ13" i="5"/>
  <c r="BVK13" i="5"/>
  <c r="BVL13" i="5"/>
  <c r="BVM13" i="5"/>
  <c r="BVN13" i="5"/>
  <c r="BVO13" i="5"/>
  <c r="BVP13" i="5"/>
  <c r="BVQ13" i="5"/>
  <c r="BVR13" i="5"/>
  <c r="BVS13" i="5"/>
  <c r="BVT13" i="5"/>
  <c r="BVU13" i="5"/>
  <c r="BVV13" i="5"/>
  <c r="BVW13" i="5"/>
  <c r="BVX13" i="5"/>
  <c r="BVY13" i="5"/>
  <c r="BVZ13" i="5"/>
  <c r="BWA13" i="5"/>
  <c r="BWB13" i="5"/>
  <c r="BWC13" i="5"/>
  <c r="BWD13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D14" i="5"/>
  <c r="NE14" i="5"/>
  <c r="NF14" i="5"/>
  <c r="NG14" i="5"/>
  <c r="NH14" i="5"/>
  <c r="NI14" i="5"/>
  <c r="NJ14" i="5"/>
  <c r="NK14" i="5"/>
  <c r="NL14" i="5"/>
  <c r="NM14" i="5"/>
  <c r="NN14" i="5"/>
  <c r="NO14" i="5"/>
  <c r="NP14" i="5"/>
  <c r="NQ14" i="5"/>
  <c r="NR14" i="5"/>
  <c r="NS14" i="5"/>
  <c r="NT14" i="5"/>
  <c r="NU14" i="5"/>
  <c r="NV14" i="5"/>
  <c r="NW14" i="5"/>
  <c r="NX14" i="5"/>
  <c r="NY14" i="5"/>
  <c r="NZ14" i="5"/>
  <c r="OA14" i="5"/>
  <c r="OB14" i="5"/>
  <c r="OC14" i="5"/>
  <c r="OD14" i="5"/>
  <c r="OE14" i="5"/>
  <c r="OF14" i="5"/>
  <c r="OG14" i="5"/>
  <c r="OH14" i="5"/>
  <c r="OI14" i="5"/>
  <c r="OJ14" i="5"/>
  <c r="OK14" i="5"/>
  <c r="OL14" i="5"/>
  <c r="OM14" i="5"/>
  <c r="ON14" i="5"/>
  <c r="OO14" i="5"/>
  <c r="OP14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PO14" i="5"/>
  <c r="PP14" i="5"/>
  <c r="PQ14" i="5"/>
  <c r="PR14" i="5"/>
  <c r="PS14" i="5"/>
  <c r="PT14" i="5"/>
  <c r="PU14" i="5"/>
  <c r="PV14" i="5"/>
  <c r="PW14" i="5"/>
  <c r="PX14" i="5"/>
  <c r="PY14" i="5"/>
  <c r="PZ14" i="5"/>
  <c r="QA14" i="5"/>
  <c r="QB14" i="5"/>
  <c r="QC14" i="5"/>
  <c r="QD14" i="5"/>
  <c r="QE14" i="5"/>
  <c r="QF14" i="5"/>
  <c r="QG14" i="5"/>
  <c r="QH14" i="5"/>
  <c r="QI14" i="5"/>
  <c r="QJ14" i="5"/>
  <c r="QK14" i="5"/>
  <c r="QL14" i="5"/>
  <c r="QM14" i="5"/>
  <c r="QN14" i="5"/>
  <c r="QO14" i="5"/>
  <c r="QP14" i="5"/>
  <c r="QQ14" i="5"/>
  <c r="QR14" i="5"/>
  <c r="QS14" i="5"/>
  <c r="QT14" i="5"/>
  <c r="QU14" i="5"/>
  <c r="QV14" i="5"/>
  <c r="QW14" i="5"/>
  <c r="QX14" i="5"/>
  <c r="QY14" i="5"/>
  <c r="QZ14" i="5"/>
  <c r="RA14" i="5"/>
  <c r="RB14" i="5"/>
  <c r="RC14" i="5"/>
  <c r="RD14" i="5"/>
  <c r="RE14" i="5"/>
  <c r="RF14" i="5"/>
  <c r="RG14" i="5"/>
  <c r="RH14" i="5"/>
  <c r="RI14" i="5"/>
  <c r="RJ14" i="5"/>
  <c r="RK14" i="5"/>
  <c r="RL14" i="5"/>
  <c r="RM14" i="5"/>
  <c r="RN14" i="5"/>
  <c r="RO14" i="5"/>
  <c r="RP14" i="5"/>
  <c r="RQ14" i="5"/>
  <c r="RR14" i="5"/>
  <c r="RS14" i="5"/>
  <c r="RT14" i="5"/>
  <c r="RU14" i="5"/>
  <c r="RV14" i="5"/>
  <c r="RW14" i="5"/>
  <c r="RX14" i="5"/>
  <c r="RY14" i="5"/>
  <c r="RZ14" i="5"/>
  <c r="SA14" i="5"/>
  <c r="SB14" i="5"/>
  <c r="SC14" i="5"/>
  <c r="SD14" i="5"/>
  <c r="SE14" i="5"/>
  <c r="SF14" i="5"/>
  <c r="SG14" i="5"/>
  <c r="SH14" i="5"/>
  <c r="SI14" i="5"/>
  <c r="SJ14" i="5"/>
  <c r="SK14" i="5"/>
  <c r="SL14" i="5"/>
  <c r="SM14" i="5"/>
  <c r="SN14" i="5"/>
  <c r="SO14" i="5"/>
  <c r="SP14" i="5"/>
  <c r="SQ14" i="5"/>
  <c r="SR14" i="5"/>
  <c r="SS14" i="5"/>
  <c r="ST14" i="5"/>
  <c r="SU14" i="5"/>
  <c r="SV14" i="5"/>
  <c r="SW14" i="5"/>
  <c r="SX14" i="5"/>
  <c r="SY14" i="5"/>
  <c r="SZ14" i="5"/>
  <c r="TA14" i="5"/>
  <c r="TB14" i="5"/>
  <c r="TC14" i="5"/>
  <c r="TD14" i="5"/>
  <c r="TE14" i="5"/>
  <c r="TF14" i="5"/>
  <c r="TG14" i="5"/>
  <c r="TH14" i="5"/>
  <c r="TI14" i="5"/>
  <c r="TJ14" i="5"/>
  <c r="TK14" i="5"/>
  <c r="TL14" i="5"/>
  <c r="TM14" i="5"/>
  <c r="TN14" i="5"/>
  <c r="TO14" i="5"/>
  <c r="TP14" i="5"/>
  <c r="TQ14" i="5"/>
  <c r="TR14" i="5"/>
  <c r="TS14" i="5"/>
  <c r="TT14" i="5"/>
  <c r="TU14" i="5"/>
  <c r="TV14" i="5"/>
  <c r="TW14" i="5"/>
  <c r="TX14" i="5"/>
  <c r="TY14" i="5"/>
  <c r="TZ14" i="5"/>
  <c r="UA14" i="5"/>
  <c r="UB14" i="5"/>
  <c r="UC14" i="5"/>
  <c r="UD14" i="5"/>
  <c r="UE14" i="5"/>
  <c r="UF14" i="5"/>
  <c r="UG14" i="5"/>
  <c r="UH14" i="5"/>
  <c r="UI14" i="5"/>
  <c r="UJ14" i="5"/>
  <c r="UK14" i="5"/>
  <c r="UL14" i="5"/>
  <c r="UM14" i="5"/>
  <c r="UN14" i="5"/>
  <c r="UO14" i="5"/>
  <c r="UP14" i="5"/>
  <c r="UQ14" i="5"/>
  <c r="UR14" i="5"/>
  <c r="US14" i="5"/>
  <c r="UT14" i="5"/>
  <c r="UU14" i="5"/>
  <c r="UV14" i="5"/>
  <c r="UW14" i="5"/>
  <c r="UX14" i="5"/>
  <c r="UY14" i="5"/>
  <c r="UZ14" i="5"/>
  <c r="VA14" i="5"/>
  <c r="VB14" i="5"/>
  <c r="VC14" i="5"/>
  <c r="VD14" i="5"/>
  <c r="VE14" i="5"/>
  <c r="VF14" i="5"/>
  <c r="VG14" i="5"/>
  <c r="VH14" i="5"/>
  <c r="VI14" i="5"/>
  <c r="VJ14" i="5"/>
  <c r="VK14" i="5"/>
  <c r="VL14" i="5"/>
  <c r="VM14" i="5"/>
  <c r="VN14" i="5"/>
  <c r="VO14" i="5"/>
  <c r="VP14" i="5"/>
  <c r="VQ14" i="5"/>
  <c r="VR14" i="5"/>
  <c r="VS14" i="5"/>
  <c r="VT14" i="5"/>
  <c r="VU14" i="5"/>
  <c r="VV14" i="5"/>
  <c r="VW14" i="5"/>
  <c r="VX14" i="5"/>
  <c r="VY14" i="5"/>
  <c r="VZ14" i="5"/>
  <c r="WA14" i="5"/>
  <c r="WB14" i="5"/>
  <c r="WC14" i="5"/>
  <c r="WD14" i="5"/>
  <c r="WE14" i="5"/>
  <c r="WF14" i="5"/>
  <c r="WG14" i="5"/>
  <c r="WH14" i="5"/>
  <c r="WI14" i="5"/>
  <c r="WJ14" i="5"/>
  <c r="WK14" i="5"/>
  <c r="WL14" i="5"/>
  <c r="WM14" i="5"/>
  <c r="WN14" i="5"/>
  <c r="WO14" i="5"/>
  <c r="WP14" i="5"/>
  <c r="WQ14" i="5"/>
  <c r="WR14" i="5"/>
  <c r="WS14" i="5"/>
  <c r="WT14" i="5"/>
  <c r="WU14" i="5"/>
  <c r="WV14" i="5"/>
  <c r="WW14" i="5"/>
  <c r="WX14" i="5"/>
  <c r="WY14" i="5"/>
  <c r="WZ14" i="5"/>
  <c r="XA14" i="5"/>
  <c r="XB14" i="5"/>
  <c r="XC14" i="5"/>
  <c r="XD14" i="5"/>
  <c r="XE14" i="5"/>
  <c r="XF14" i="5"/>
  <c r="XG14" i="5"/>
  <c r="XH14" i="5"/>
  <c r="XI14" i="5"/>
  <c r="XJ14" i="5"/>
  <c r="XK14" i="5"/>
  <c r="XL14" i="5"/>
  <c r="XM14" i="5"/>
  <c r="XN14" i="5"/>
  <c r="XO14" i="5"/>
  <c r="XP14" i="5"/>
  <c r="XQ14" i="5"/>
  <c r="XR14" i="5"/>
  <c r="XS14" i="5"/>
  <c r="XT14" i="5"/>
  <c r="XU14" i="5"/>
  <c r="XV14" i="5"/>
  <c r="XW14" i="5"/>
  <c r="XX14" i="5"/>
  <c r="XY14" i="5"/>
  <c r="XZ14" i="5"/>
  <c r="YA14" i="5"/>
  <c r="YB14" i="5"/>
  <c r="YC14" i="5"/>
  <c r="YD14" i="5"/>
  <c r="YE14" i="5"/>
  <c r="YF14" i="5"/>
  <c r="YG14" i="5"/>
  <c r="YH14" i="5"/>
  <c r="YI14" i="5"/>
  <c r="YJ14" i="5"/>
  <c r="YK14" i="5"/>
  <c r="YL14" i="5"/>
  <c r="YM14" i="5"/>
  <c r="YN14" i="5"/>
  <c r="YO14" i="5"/>
  <c r="YP14" i="5"/>
  <c r="YQ14" i="5"/>
  <c r="YR14" i="5"/>
  <c r="YS14" i="5"/>
  <c r="YT14" i="5"/>
  <c r="YU14" i="5"/>
  <c r="YV14" i="5"/>
  <c r="YW14" i="5"/>
  <c r="YX14" i="5"/>
  <c r="YY14" i="5"/>
  <c r="YZ14" i="5"/>
  <c r="ZA14" i="5"/>
  <c r="ZB14" i="5"/>
  <c r="ZC14" i="5"/>
  <c r="ZD14" i="5"/>
  <c r="ZE14" i="5"/>
  <c r="ZF14" i="5"/>
  <c r="ZG14" i="5"/>
  <c r="ZH14" i="5"/>
  <c r="ZI14" i="5"/>
  <c r="ZJ14" i="5"/>
  <c r="ZK14" i="5"/>
  <c r="ZL14" i="5"/>
  <c r="ZM14" i="5"/>
  <c r="ZN14" i="5"/>
  <c r="ZO14" i="5"/>
  <c r="ZP14" i="5"/>
  <c r="ZQ14" i="5"/>
  <c r="ZR14" i="5"/>
  <c r="ZS14" i="5"/>
  <c r="ZT14" i="5"/>
  <c r="ZU14" i="5"/>
  <c r="ZV14" i="5"/>
  <c r="ZW14" i="5"/>
  <c r="ZX14" i="5"/>
  <c r="ZY14" i="5"/>
  <c r="ZZ14" i="5"/>
  <c r="AAA14" i="5"/>
  <c r="AAB14" i="5"/>
  <c r="AAC14" i="5"/>
  <c r="AAD14" i="5"/>
  <c r="AAE14" i="5"/>
  <c r="AAF14" i="5"/>
  <c r="AAG14" i="5"/>
  <c r="AAH14" i="5"/>
  <c r="AAI14" i="5"/>
  <c r="AAJ14" i="5"/>
  <c r="AAK14" i="5"/>
  <c r="AAL14" i="5"/>
  <c r="AAM14" i="5"/>
  <c r="AAN14" i="5"/>
  <c r="AAO14" i="5"/>
  <c r="AAP14" i="5"/>
  <c r="AAQ14" i="5"/>
  <c r="AAR14" i="5"/>
  <c r="AAS14" i="5"/>
  <c r="AAT14" i="5"/>
  <c r="AAU14" i="5"/>
  <c r="AAV14" i="5"/>
  <c r="AAW14" i="5"/>
  <c r="AAX14" i="5"/>
  <c r="AAY14" i="5"/>
  <c r="AAZ14" i="5"/>
  <c r="ABA14" i="5"/>
  <c r="ABB14" i="5"/>
  <c r="ABC14" i="5"/>
  <c r="ABD14" i="5"/>
  <c r="ABE14" i="5"/>
  <c r="ABF14" i="5"/>
  <c r="ABG14" i="5"/>
  <c r="ABH14" i="5"/>
  <c r="ABI14" i="5"/>
  <c r="ABJ14" i="5"/>
  <c r="ABK14" i="5"/>
  <c r="ABL14" i="5"/>
  <c r="ABM14" i="5"/>
  <c r="ABN14" i="5"/>
  <c r="ABO14" i="5"/>
  <c r="ABP14" i="5"/>
  <c r="ABQ14" i="5"/>
  <c r="ABR14" i="5"/>
  <c r="ABS14" i="5"/>
  <c r="ABT14" i="5"/>
  <c r="ABU14" i="5"/>
  <c r="ABV14" i="5"/>
  <c r="ABW14" i="5"/>
  <c r="ABX14" i="5"/>
  <c r="ABY14" i="5"/>
  <c r="ABZ14" i="5"/>
  <c r="ACA14" i="5"/>
  <c r="ACB14" i="5"/>
  <c r="ACC14" i="5"/>
  <c r="ACD14" i="5"/>
  <c r="ACE14" i="5"/>
  <c r="ACF14" i="5"/>
  <c r="ACG14" i="5"/>
  <c r="ACH14" i="5"/>
  <c r="ACI14" i="5"/>
  <c r="ACJ14" i="5"/>
  <c r="ACK14" i="5"/>
  <c r="ACL14" i="5"/>
  <c r="ACM14" i="5"/>
  <c r="ACN14" i="5"/>
  <c r="ACO14" i="5"/>
  <c r="ACP14" i="5"/>
  <c r="ACQ14" i="5"/>
  <c r="ACR14" i="5"/>
  <c r="ACS14" i="5"/>
  <c r="ACT14" i="5"/>
  <c r="ACU14" i="5"/>
  <c r="ACV14" i="5"/>
  <c r="ACW14" i="5"/>
  <c r="ACX14" i="5"/>
  <c r="ACY14" i="5"/>
  <c r="ACZ14" i="5"/>
  <c r="ADA14" i="5"/>
  <c r="ADB14" i="5"/>
  <c r="ADC14" i="5"/>
  <c r="ADD14" i="5"/>
  <c r="ADE14" i="5"/>
  <c r="ADF14" i="5"/>
  <c r="ADG14" i="5"/>
  <c r="ADH14" i="5"/>
  <c r="ADI14" i="5"/>
  <c r="ADJ14" i="5"/>
  <c r="ADK14" i="5"/>
  <c r="ADL14" i="5"/>
  <c r="ADM14" i="5"/>
  <c r="ADN14" i="5"/>
  <c r="ADO14" i="5"/>
  <c r="ADP14" i="5"/>
  <c r="ADQ14" i="5"/>
  <c r="ADR14" i="5"/>
  <c r="ADS14" i="5"/>
  <c r="ADT14" i="5"/>
  <c r="ADU14" i="5"/>
  <c r="ADV14" i="5"/>
  <c r="ADW14" i="5"/>
  <c r="ADX14" i="5"/>
  <c r="ADY14" i="5"/>
  <c r="ADZ14" i="5"/>
  <c r="AEA14" i="5"/>
  <c r="AEB14" i="5"/>
  <c r="AEC14" i="5"/>
  <c r="AED14" i="5"/>
  <c r="AEE14" i="5"/>
  <c r="AEF14" i="5"/>
  <c r="AEG14" i="5"/>
  <c r="AEH14" i="5"/>
  <c r="AEI14" i="5"/>
  <c r="AEJ14" i="5"/>
  <c r="AEK14" i="5"/>
  <c r="AEL14" i="5"/>
  <c r="AEM14" i="5"/>
  <c r="AEN14" i="5"/>
  <c r="AEO14" i="5"/>
  <c r="AEP14" i="5"/>
  <c r="AEQ14" i="5"/>
  <c r="AER14" i="5"/>
  <c r="AES14" i="5"/>
  <c r="AET14" i="5"/>
  <c r="AEU14" i="5"/>
  <c r="AEV14" i="5"/>
  <c r="AEW14" i="5"/>
  <c r="AEX14" i="5"/>
  <c r="AEY14" i="5"/>
  <c r="AEZ14" i="5"/>
  <c r="AFA14" i="5"/>
  <c r="AFB14" i="5"/>
  <c r="AFC14" i="5"/>
  <c r="AFD14" i="5"/>
  <c r="AFE14" i="5"/>
  <c r="AFF14" i="5"/>
  <c r="AFG14" i="5"/>
  <c r="AFH14" i="5"/>
  <c r="AFI14" i="5"/>
  <c r="AFJ14" i="5"/>
  <c r="AFK14" i="5"/>
  <c r="AFL14" i="5"/>
  <c r="AFM14" i="5"/>
  <c r="AFN14" i="5"/>
  <c r="AFO14" i="5"/>
  <c r="AFP14" i="5"/>
  <c r="AFQ14" i="5"/>
  <c r="AFR14" i="5"/>
  <c r="AFS14" i="5"/>
  <c r="AFT14" i="5"/>
  <c r="AFU14" i="5"/>
  <c r="AFV14" i="5"/>
  <c r="AFW14" i="5"/>
  <c r="AFX14" i="5"/>
  <c r="AFY14" i="5"/>
  <c r="AFZ14" i="5"/>
  <c r="AGA14" i="5"/>
  <c r="AGB14" i="5"/>
  <c r="AGC14" i="5"/>
  <c r="AGD14" i="5"/>
  <c r="AGE14" i="5"/>
  <c r="AGF14" i="5"/>
  <c r="AGG14" i="5"/>
  <c r="AGH14" i="5"/>
  <c r="AGI14" i="5"/>
  <c r="AGJ14" i="5"/>
  <c r="AGK14" i="5"/>
  <c r="AGL14" i="5"/>
  <c r="AGM14" i="5"/>
  <c r="AGN14" i="5"/>
  <c r="AGO14" i="5"/>
  <c r="AGP14" i="5"/>
  <c r="AGQ14" i="5"/>
  <c r="AGR14" i="5"/>
  <c r="AGS14" i="5"/>
  <c r="AGT14" i="5"/>
  <c r="AGU14" i="5"/>
  <c r="AGV14" i="5"/>
  <c r="AGW14" i="5"/>
  <c r="AGX14" i="5"/>
  <c r="AGY14" i="5"/>
  <c r="AGZ14" i="5"/>
  <c r="AHA14" i="5"/>
  <c r="AHB14" i="5"/>
  <c r="AHC14" i="5"/>
  <c r="AHD14" i="5"/>
  <c r="AHE14" i="5"/>
  <c r="AHF14" i="5"/>
  <c r="AHG14" i="5"/>
  <c r="AHH14" i="5"/>
  <c r="AHI14" i="5"/>
  <c r="AHJ14" i="5"/>
  <c r="AHK14" i="5"/>
  <c r="AHL14" i="5"/>
  <c r="AHM14" i="5"/>
  <c r="AHN14" i="5"/>
  <c r="AHO14" i="5"/>
  <c r="AHP14" i="5"/>
  <c r="AHQ14" i="5"/>
  <c r="AHR14" i="5"/>
  <c r="AHS14" i="5"/>
  <c r="AHT14" i="5"/>
  <c r="AHU14" i="5"/>
  <c r="AHV14" i="5"/>
  <c r="AHW14" i="5"/>
  <c r="AHX14" i="5"/>
  <c r="AHY14" i="5"/>
  <c r="AHZ14" i="5"/>
  <c r="AIA14" i="5"/>
  <c r="AIB14" i="5"/>
  <c r="AIC14" i="5"/>
  <c r="AID14" i="5"/>
  <c r="AIE14" i="5"/>
  <c r="AIF14" i="5"/>
  <c r="AIG14" i="5"/>
  <c r="AIH14" i="5"/>
  <c r="AII14" i="5"/>
  <c r="AIJ14" i="5"/>
  <c r="AIK14" i="5"/>
  <c r="AIL14" i="5"/>
  <c r="AIM14" i="5"/>
  <c r="AIN14" i="5"/>
  <c r="AIO14" i="5"/>
  <c r="AIP14" i="5"/>
  <c r="AIQ14" i="5"/>
  <c r="AIR14" i="5"/>
  <c r="AIS14" i="5"/>
  <c r="AIT14" i="5"/>
  <c r="AIU14" i="5"/>
  <c r="AIV14" i="5"/>
  <c r="AIW14" i="5"/>
  <c r="AIX14" i="5"/>
  <c r="AIY14" i="5"/>
  <c r="AIZ14" i="5"/>
  <c r="AJA14" i="5"/>
  <c r="AJB14" i="5"/>
  <c r="AJC14" i="5"/>
  <c r="AJD14" i="5"/>
  <c r="AJE14" i="5"/>
  <c r="AJF14" i="5"/>
  <c r="AJG14" i="5"/>
  <c r="AJH14" i="5"/>
  <c r="AJI14" i="5"/>
  <c r="AJJ14" i="5"/>
  <c r="AJK14" i="5"/>
  <c r="AJL14" i="5"/>
  <c r="AJM14" i="5"/>
  <c r="AJN14" i="5"/>
  <c r="AJO14" i="5"/>
  <c r="AJP14" i="5"/>
  <c r="AJQ14" i="5"/>
  <c r="AJR14" i="5"/>
  <c r="AJS14" i="5"/>
  <c r="AJT14" i="5"/>
  <c r="AJU14" i="5"/>
  <c r="AJV14" i="5"/>
  <c r="AJW14" i="5"/>
  <c r="AJX14" i="5"/>
  <c r="AJY14" i="5"/>
  <c r="AJZ14" i="5"/>
  <c r="AKA14" i="5"/>
  <c r="AKB14" i="5"/>
  <c r="AKC14" i="5"/>
  <c r="AKD14" i="5"/>
  <c r="AKE14" i="5"/>
  <c r="AKF14" i="5"/>
  <c r="AKG14" i="5"/>
  <c r="AKH14" i="5"/>
  <c r="AKI14" i="5"/>
  <c r="AKJ14" i="5"/>
  <c r="AKK14" i="5"/>
  <c r="AKL14" i="5"/>
  <c r="AKM14" i="5"/>
  <c r="AKN14" i="5"/>
  <c r="AKO14" i="5"/>
  <c r="AKP14" i="5"/>
  <c r="AKQ14" i="5"/>
  <c r="AKR14" i="5"/>
  <c r="AKS14" i="5"/>
  <c r="AKT14" i="5"/>
  <c r="AKU14" i="5"/>
  <c r="AKV14" i="5"/>
  <c r="AKW14" i="5"/>
  <c r="AKX14" i="5"/>
  <c r="AKY14" i="5"/>
  <c r="AKZ14" i="5"/>
  <c r="ALA14" i="5"/>
  <c r="ALB14" i="5"/>
  <c r="ALC14" i="5"/>
  <c r="ALD14" i="5"/>
  <c r="ALE14" i="5"/>
  <c r="ALF14" i="5"/>
  <c r="ALG14" i="5"/>
  <c r="ALH14" i="5"/>
  <c r="ALI14" i="5"/>
  <c r="ALJ14" i="5"/>
  <c r="ALK14" i="5"/>
  <c r="ALL14" i="5"/>
  <c r="ALM14" i="5"/>
  <c r="ALN14" i="5"/>
  <c r="ALO14" i="5"/>
  <c r="ALP14" i="5"/>
  <c r="ALQ14" i="5"/>
  <c r="ALR14" i="5"/>
  <c r="ALS14" i="5"/>
  <c r="ALT14" i="5"/>
  <c r="ALU14" i="5"/>
  <c r="ALV14" i="5"/>
  <c r="ALW14" i="5"/>
  <c r="ALX14" i="5"/>
  <c r="ALY14" i="5"/>
  <c r="ALZ14" i="5"/>
  <c r="AMA14" i="5"/>
  <c r="AMB14" i="5"/>
  <c r="AMC14" i="5"/>
  <c r="AMD14" i="5"/>
  <c r="AME14" i="5"/>
  <c r="AMF14" i="5"/>
  <c r="AMG14" i="5"/>
  <c r="AMH14" i="5"/>
  <c r="AMI14" i="5"/>
  <c r="AMJ14" i="5"/>
  <c r="AMK14" i="5"/>
  <c r="AML14" i="5"/>
  <c r="AMM14" i="5"/>
  <c r="AMN14" i="5"/>
  <c r="AMO14" i="5"/>
  <c r="AMP14" i="5"/>
  <c r="AMQ14" i="5"/>
  <c r="AMR14" i="5"/>
  <c r="AMS14" i="5"/>
  <c r="AMT14" i="5"/>
  <c r="AMU14" i="5"/>
  <c r="AMV14" i="5"/>
  <c r="AMW14" i="5"/>
  <c r="AMX14" i="5"/>
  <c r="AMY14" i="5"/>
  <c r="AMZ14" i="5"/>
  <c r="ANA14" i="5"/>
  <c r="ANB14" i="5"/>
  <c r="ANC14" i="5"/>
  <c r="AND14" i="5"/>
  <c r="ANE14" i="5"/>
  <c r="ANF14" i="5"/>
  <c r="ANG14" i="5"/>
  <c r="ANH14" i="5"/>
  <c r="ANI14" i="5"/>
  <c r="ANJ14" i="5"/>
  <c r="ANK14" i="5"/>
  <c r="ANL14" i="5"/>
  <c r="ANM14" i="5"/>
  <c r="ANN14" i="5"/>
  <c r="ANO14" i="5"/>
  <c r="ANP14" i="5"/>
  <c r="ANQ14" i="5"/>
  <c r="ANR14" i="5"/>
  <c r="ANS14" i="5"/>
  <c r="ANT14" i="5"/>
  <c r="ANU14" i="5"/>
  <c r="ANV14" i="5"/>
  <c r="ANW14" i="5"/>
  <c r="ANX14" i="5"/>
  <c r="ANY14" i="5"/>
  <c r="ANZ14" i="5"/>
  <c r="AOA14" i="5"/>
  <c r="AOB14" i="5"/>
  <c r="AOC14" i="5"/>
  <c r="AOD14" i="5"/>
  <c r="AOE14" i="5"/>
  <c r="AOF14" i="5"/>
  <c r="AOG14" i="5"/>
  <c r="AOH14" i="5"/>
  <c r="AOI14" i="5"/>
  <c r="AOJ14" i="5"/>
  <c r="AOK14" i="5"/>
  <c r="AOL14" i="5"/>
  <c r="AOM14" i="5"/>
  <c r="AON14" i="5"/>
  <c r="AOO14" i="5"/>
  <c r="AOP14" i="5"/>
  <c r="AOQ14" i="5"/>
  <c r="AOR14" i="5"/>
  <c r="AOS14" i="5"/>
  <c r="AOT14" i="5"/>
  <c r="AOU14" i="5"/>
  <c r="AOV14" i="5"/>
  <c r="AOW14" i="5"/>
  <c r="AOX14" i="5"/>
  <c r="AOY14" i="5"/>
  <c r="AOZ14" i="5"/>
  <c r="APA14" i="5"/>
  <c r="APB14" i="5"/>
  <c r="APC14" i="5"/>
  <c r="APD14" i="5"/>
  <c r="APE14" i="5"/>
  <c r="APF14" i="5"/>
  <c r="APG14" i="5"/>
  <c r="APH14" i="5"/>
  <c r="API14" i="5"/>
  <c r="APJ14" i="5"/>
  <c r="APK14" i="5"/>
  <c r="APL14" i="5"/>
  <c r="APM14" i="5"/>
  <c r="APN14" i="5"/>
  <c r="APO14" i="5"/>
  <c r="APP14" i="5"/>
  <c r="APQ14" i="5"/>
  <c r="APR14" i="5"/>
  <c r="APS14" i="5"/>
  <c r="APT14" i="5"/>
  <c r="APU14" i="5"/>
  <c r="APV14" i="5"/>
  <c r="APW14" i="5"/>
  <c r="APX14" i="5"/>
  <c r="APY14" i="5"/>
  <c r="APZ14" i="5"/>
  <c r="AQA14" i="5"/>
  <c r="AQB14" i="5"/>
  <c r="AQC14" i="5"/>
  <c r="AQD14" i="5"/>
  <c r="AQE14" i="5"/>
  <c r="AQF14" i="5"/>
  <c r="AQG14" i="5"/>
  <c r="AQH14" i="5"/>
  <c r="AQI14" i="5"/>
  <c r="AQJ14" i="5"/>
  <c r="AQK14" i="5"/>
  <c r="AQL14" i="5"/>
  <c r="AQM14" i="5"/>
  <c r="AQN14" i="5"/>
  <c r="AQO14" i="5"/>
  <c r="AQP14" i="5"/>
  <c r="AQQ14" i="5"/>
  <c r="AQR14" i="5"/>
  <c r="AQS14" i="5"/>
  <c r="AQT14" i="5"/>
  <c r="AQU14" i="5"/>
  <c r="AQV14" i="5"/>
  <c r="AQW14" i="5"/>
  <c r="AQX14" i="5"/>
  <c r="AQY14" i="5"/>
  <c r="AQZ14" i="5"/>
  <c r="ARA14" i="5"/>
  <c r="ARB14" i="5"/>
  <c r="ARC14" i="5"/>
  <c r="ARD14" i="5"/>
  <c r="ARE14" i="5"/>
  <c r="ARF14" i="5"/>
  <c r="ARG14" i="5"/>
  <c r="ARH14" i="5"/>
  <c r="ARI14" i="5"/>
  <c r="ARJ14" i="5"/>
  <c r="ARK14" i="5"/>
  <c r="ARL14" i="5"/>
  <c r="ARM14" i="5"/>
  <c r="ARN14" i="5"/>
  <c r="ARO14" i="5"/>
  <c r="ARP14" i="5"/>
  <c r="ARQ14" i="5"/>
  <c r="ARR14" i="5"/>
  <c r="ARS14" i="5"/>
  <c r="ART14" i="5"/>
  <c r="ARU14" i="5"/>
  <c r="ARV14" i="5"/>
  <c r="ARW14" i="5"/>
  <c r="ARX14" i="5"/>
  <c r="ARY14" i="5"/>
  <c r="ARZ14" i="5"/>
  <c r="ASA14" i="5"/>
  <c r="ASB14" i="5"/>
  <c r="ASC14" i="5"/>
  <c r="ASD14" i="5"/>
  <c r="ASE14" i="5"/>
  <c r="ASF14" i="5"/>
  <c r="ASG14" i="5"/>
  <c r="ASH14" i="5"/>
  <c r="ASI14" i="5"/>
  <c r="ASJ14" i="5"/>
  <c r="ASK14" i="5"/>
  <c r="ASL14" i="5"/>
  <c r="ASM14" i="5"/>
  <c r="ASN14" i="5"/>
  <c r="ASO14" i="5"/>
  <c r="ASP14" i="5"/>
  <c r="ASQ14" i="5"/>
  <c r="ASR14" i="5"/>
  <c r="ASS14" i="5"/>
  <c r="AST14" i="5"/>
  <c r="ASU14" i="5"/>
  <c r="ASV14" i="5"/>
  <c r="ASW14" i="5"/>
  <c r="ASX14" i="5"/>
  <c r="ASY14" i="5"/>
  <c r="ASZ14" i="5"/>
  <c r="ATA14" i="5"/>
  <c r="ATB14" i="5"/>
  <c r="ATC14" i="5"/>
  <c r="ATD14" i="5"/>
  <c r="ATE14" i="5"/>
  <c r="ATF14" i="5"/>
  <c r="ATG14" i="5"/>
  <c r="ATH14" i="5"/>
  <c r="ATI14" i="5"/>
  <c r="ATJ14" i="5"/>
  <c r="ATK14" i="5"/>
  <c r="ATL14" i="5"/>
  <c r="ATM14" i="5"/>
  <c r="ATN14" i="5"/>
  <c r="ATO14" i="5"/>
  <c r="ATP14" i="5"/>
  <c r="ATQ14" i="5"/>
  <c r="ATR14" i="5"/>
  <c r="ATS14" i="5"/>
  <c r="ATT14" i="5"/>
  <c r="ATU14" i="5"/>
  <c r="ATV14" i="5"/>
  <c r="ATW14" i="5"/>
  <c r="ATX14" i="5"/>
  <c r="ATY14" i="5"/>
  <c r="ATZ14" i="5"/>
  <c r="AUA14" i="5"/>
  <c r="AUB14" i="5"/>
  <c r="AUC14" i="5"/>
  <c r="AUD14" i="5"/>
  <c r="AUE14" i="5"/>
  <c r="AUF14" i="5"/>
  <c r="AUG14" i="5"/>
  <c r="AUH14" i="5"/>
  <c r="AUI14" i="5"/>
  <c r="AUJ14" i="5"/>
  <c r="AUK14" i="5"/>
  <c r="AUL14" i="5"/>
  <c r="AUM14" i="5"/>
  <c r="AUN14" i="5"/>
  <c r="AUO14" i="5"/>
  <c r="AUP14" i="5"/>
  <c r="AUQ14" i="5"/>
  <c r="AUR14" i="5"/>
  <c r="AUS14" i="5"/>
  <c r="AUT14" i="5"/>
  <c r="AUU14" i="5"/>
  <c r="AUV14" i="5"/>
  <c r="AUW14" i="5"/>
  <c r="AUX14" i="5"/>
  <c r="AUY14" i="5"/>
  <c r="AUZ14" i="5"/>
  <c r="AVA14" i="5"/>
  <c r="AVB14" i="5"/>
  <c r="AVC14" i="5"/>
  <c r="AVD14" i="5"/>
  <c r="AVE14" i="5"/>
  <c r="AVF14" i="5"/>
  <c r="AVG14" i="5"/>
  <c r="AVH14" i="5"/>
  <c r="AVI14" i="5"/>
  <c r="AVJ14" i="5"/>
  <c r="AVK14" i="5"/>
  <c r="AVL14" i="5"/>
  <c r="AVM14" i="5"/>
  <c r="AVN14" i="5"/>
  <c r="AVO14" i="5"/>
  <c r="AVP14" i="5"/>
  <c r="AVQ14" i="5"/>
  <c r="AVR14" i="5"/>
  <c r="AVS14" i="5"/>
  <c r="AVT14" i="5"/>
  <c r="AVU14" i="5"/>
  <c r="AVV14" i="5"/>
  <c r="AVW14" i="5"/>
  <c r="AVX14" i="5"/>
  <c r="AVY14" i="5"/>
  <c r="AVZ14" i="5"/>
  <c r="AWA14" i="5"/>
  <c r="AWB14" i="5"/>
  <c r="AWC14" i="5"/>
  <c r="AWD14" i="5"/>
  <c r="AWE14" i="5"/>
  <c r="AWF14" i="5"/>
  <c r="AWG14" i="5"/>
  <c r="AWH14" i="5"/>
  <c r="AWI14" i="5"/>
  <c r="AWJ14" i="5"/>
  <c r="AWK14" i="5"/>
  <c r="AWL14" i="5"/>
  <c r="AWM14" i="5"/>
  <c r="AWN14" i="5"/>
  <c r="AWO14" i="5"/>
  <c r="AWP14" i="5"/>
  <c r="AWQ14" i="5"/>
  <c r="AWR14" i="5"/>
  <c r="AWS14" i="5"/>
  <c r="AWT14" i="5"/>
  <c r="AWU14" i="5"/>
  <c r="AWV14" i="5"/>
  <c r="AWW14" i="5"/>
  <c r="AWX14" i="5"/>
  <c r="AWY14" i="5"/>
  <c r="AWZ14" i="5"/>
  <c r="AXA14" i="5"/>
  <c r="AXB14" i="5"/>
  <c r="AXC14" i="5"/>
  <c r="AXD14" i="5"/>
  <c r="AXE14" i="5"/>
  <c r="AXF14" i="5"/>
  <c r="AXG14" i="5"/>
  <c r="AXH14" i="5"/>
  <c r="AXI14" i="5"/>
  <c r="AXJ14" i="5"/>
  <c r="AXK14" i="5"/>
  <c r="AXL14" i="5"/>
  <c r="AXM14" i="5"/>
  <c r="AXN14" i="5"/>
  <c r="AXO14" i="5"/>
  <c r="AXP14" i="5"/>
  <c r="AXQ14" i="5"/>
  <c r="AXR14" i="5"/>
  <c r="AXS14" i="5"/>
  <c r="AXT14" i="5"/>
  <c r="AXU14" i="5"/>
  <c r="AXV14" i="5"/>
  <c r="AXW14" i="5"/>
  <c r="AXX14" i="5"/>
  <c r="AXY14" i="5"/>
  <c r="AXZ14" i="5"/>
  <c r="AYA14" i="5"/>
  <c r="AYB14" i="5"/>
  <c r="AYC14" i="5"/>
  <c r="AYD14" i="5"/>
  <c r="AYE14" i="5"/>
  <c r="AYF14" i="5"/>
  <c r="AYG14" i="5"/>
  <c r="AYH14" i="5"/>
  <c r="AYI14" i="5"/>
  <c r="AYJ14" i="5"/>
  <c r="AYK14" i="5"/>
  <c r="AYL14" i="5"/>
  <c r="AYM14" i="5"/>
  <c r="AYN14" i="5"/>
  <c r="AYO14" i="5"/>
  <c r="AYP14" i="5"/>
  <c r="AYQ14" i="5"/>
  <c r="AYR14" i="5"/>
  <c r="AYS14" i="5"/>
  <c r="AYT14" i="5"/>
  <c r="AYU14" i="5"/>
  <c r="AYV14" i="5"/>
  <c r="AYW14" i="5"/>
  <c r="AYX14" i="5"/>
  <c r="AYY14" i="5"/>
  <c r="AYZ14" i="5"/>
  <c r="AZA14" i="5"/>
  <c r="AZB14" i="5"/>
  <c r="AZC14" i="5"/>
  <c r="AZD14" i="5"/>
  <c r="AZE14" i="5"/>
  <c r="AZF14" i="5"/>
  <c r="AZG14" i="5"/>
  <c r="AZH14" i="5"/>
  <c r="AZI14" i="5"/>
  <c r="AZJ14" i="5"/>
  <c r="AZK14" i="5"/>
  <c r="AZL14" i="5"/>
  <c r="AZM14" i="5"/>
  <c r="AZN14" i="5"/>
  <c r="AZO14" i="5"/>
  <c r="AZP14" i="5"/>
  <c r="AZQ14" i="5"/>
  <c r="AZR14" i="5"/>
  <c r="AZS14" i="5"/>
  <c r="AZT14" i="5"/>
  <c r="AZU14" i="5"/>
  <c r="AZV14" i="5"/>
  <c r="AZW14" i="5"/>
  <c r="AZX14" i="5"/>
  <c r="AZY14" i="5"/>
  <c r="AZZ14" i="5"/>
  <c r="BAA14" i="5"/>
  <c r="BAB14" i="5"/>
  <c r="BAC14" i="5"/>
  <c r="BAD14" i="5"/>
  <c r="BAE14" i="5"/>
  <c r="BAF14" i="5"/>
  <c r="BAG14" i="5"/>
  <c r="BAH14" i="5"/>
  <c r="BAI14" i="5"/>
  <c r="BAJ14" i="5"/>
  <c r="BAK14" i="5"/>
  <c r="BAL14" i="5"/>
  <c r="BAM14" i="5"/>
  <c r="BAN14" i="5"/>
  <c r="BAO14" i="5"/>
  <c r="BAP14" i="5"/>
  <c r="BAQ14" i="5"/>
  <c r="BAR14" i="5"/>
  <c r="BAS14" i="5"/>
  <c r="BAT14" i="5"/>
  <c r="BAU14" i="5"/>
  <c r="BAV14" i="5"/>
  <c r="BAW14" i="5"/>
  <c r="BAX14" i="5"/>
  <c r="BAY14" i="5"/>
  <c r="BAZ14" i="5"/>
  <c r="BBA14" i="5"/>
  <c r="BBB14" i="5"/>
  <c r="BBC14" i="5"/>
  <c r="BBD14" i="5"/>
  <c r="BBE14" i="5"/>
  <c r="BBF14" i="5"/>
  <c r="BBG14" i="5"/>
  <c r="BBH14" i="5"/>
  <c r="BBI14" i="5"/>
  <c r="BBJ14" i="5"/>
  <c r="BBK14" i="5"/>
  <c r="BBL14" i="5"/>
  <c r="BBM14" i="5"/>
  <c r="BBN14" i="5"/>
  <c r="BBO14" i="5"/>
  <c r="BBP14" i="5"/>
  <c r="BBQ14" i="5"/>
  <c r="BBR14" i="5"/>
  <c r="BBS14" i="5"/>
  <c r="BBT14" i="5"/>
  <c r="BBU14" i="5"/>
  <c r="BBV14" i="5"/>
  <c r="BBW14" i="5"/>
  <c r="BBX14" i="5"/>
  <c r="BBY14" i="5"/>
  <c r="BBZ14" i="5"/>
  <c r="BCA14" i="5"/>
  <c r="BCB14" i="5"/>
  <c r="BCC14" i="5"/>
  <c r="BCD14" i="5"/>
  <c r="BCE14" i="5"/>
  <c r="BCF14" i="5"/>
  <c r="BCG14" i="5"/>
  <c r="BCH14" i="5"/>
  <c r="BCI14" i="5"/>
  <c r="BCJ14" i="5"/>
  <c r="BCK14" i="5"/>
  <c r="BCL14" i="5"/>
  <c r="BCM14" i="5"/>
  <c r="BCN14" i="5"/>
  <c r="BCO14" i="5"/>
  <c r="BCP14" i="5"/>
  <c r="BCQ14" i="5"/>
  <c r="BCR14" i="5"/>
  <c r="BCS14" i="5"/>
  <c r="BCT14" i="5"/>
  <c r="BCU14" i="5"/>
  <c r="BCV14" i="5"/>
  <c r="BCW14" i="5"/>
  <c r="BCX14" i="5"/>
  <c r="BCY14" i="5"/>
  <c r="BCZ14" i="5"/>
  <c r="BDA14" i="5"/>
  <c r="BDB14" i="5"/>
  <c r="BDC14" i="5"/>
  <c r="BDD14" i="5"/>
  <c r="BDE14" i="5"/>
  <c r="BDF14" i="5"/>
  <c r="BDG14" i="5"/>
  <c r="BDH14" i="5"/>
  <c r="BDI14" i="5"/>
  <c r="BDJ14" i="5"/>
  <c r="BDK14" i="5"/>
  <c r="BDL14" i="5"/>
  <c r="BDM14" i="5"/>
  <c r="BDN14" i="5"/>
  <c r="BDO14" i="5"/>
  <c r="BDP14" i="5"/>
  <c r="BDQ14" i="5"/>
  <c r="BDR14" i="5"/>
  <c r="BDS14" i="5"/>
  <c r="BDT14" i="5"/>
  <c r="BDU14" i="5"/>
  <c r="BDV14" i="5"/>
  <c r="BDW14" i="5"/>
  <c r="BDX14" i="5"/>
  <c r="BDY14" i="5"/>
  <c r="BDZ14" i="5"/>
  <c r="BEA14" i="5"/>
  <c r="BEB14" i="5"/>
  <c r="BEC14" i="5"/>
  <c r="BED14" i="5"/>
  <c r="BEE14" i="5"/>
  <c r="BEF14" i="5"/>
  <c r="BEG14" i="5"/>
  <c r="BEH14" i="5"/>
  <c r="BEI14" i="5"/>
  <c r="BEJ14" i="5"/>
  <c r="BEK14" i="5"/>
  <c r="BEL14" i="5"/>
  <c r="BEM14" i="5"/>
  <c r="BEN14" i="5"/>
  <c r="BEO14" i="5"/>
  <c r="BEP14" i="5"/>
  <c r="BEQ14" i="5"/>
  <c r="BER14" i="5"/>
  <c r="BES14" i="5"/>
  <c r="BET14" i="5"/>
  <c r="BEU14" i="5"/>
  <c r="BEV14" i="5"/>
  <c r="BEW14" i="5"/>
  <c r="BEX14" i="5"/>
  <c r="BEY14" i="5"/>
  <c r="BEZ14" i="5"/>
  <c r="BFA14" i="5"/>
  <c r="BFB14" i="5"/>
  <c r="BFC14" i="5"/>
  <c r="BFD14" i="5"/>
  <c r="BFE14" i="5"/>
  <c r="BFF14" i="5"/>
  <c r="BFG14" i="5"/>
  <c r="BFH14" i="5"/>
  <c r="BFI14" i="5"/>
  <c r="BFJ14" i="5"/>
  <c r="BFK14" i="5"/>
  <c r="BFL14" i="5"/>
  <c r="BFM14" i="5"/>
  <c r="BFN14" i="5"/>
  <c r="BFO14" i="5"/>
  <c r="BFP14" i="5"/>
  <c r="BFQ14" i="5"/>
  <c r="BFR14" i="5"/>
  <c r="BFS14" i="5"/>
  <c r="BFT14" i="5"/>
  <c r="BFU14" i="5"/>
  <c r="BFV14" i="5"/>
  <c r="BFW14" i="5"/>
  <c r="BFX14" i="5"/>
  <c r="BFY14" i="5"/>
  <c r="BFZ14" i="5"/>
  <c r="BGA14" i="5"/>
  <c r="BGB14" i="5"/>
  <c r="BGC14" i="5"/>
  <c r="BGD14" i="5"/>
  <c r="BGE14" i="5"/>
  <c r="BGF14" i="5"/>
  <c r="BGG14" i="5"/>
  <c r="BGH14" i="5"/>
  <c r="BGI14" i="5"/>
  <c r="BGJ14" i="5"/>
  <c r="BGK14" i="5"/>
  <c r="BGL14" i="5"/>
  <c r="BGM14" i="5"/>
  <c r="BGN14" i="5"/>
  <c r="BGO14" i="5"/>
  <c r="BGP14" i="5"/>
  <c r="BGQ14" i="5"/>
  <c r="BGR14" i="5"/>
  <c r="BGS14" i="5"/>
  <c r="BGT14" i="5"/>
  <c r="BGU14" i="5"/>
  <c r="BGV14" i="5"/>
  <c r="BGW14" i="5"/>
  <c r="BGX14" i="5"/>
  <c r="BGY14" i="5"/>
  <c r="BGZ14" i="5"/>
  <c r="BHA14" i="5"/>
  <c r="BHB14" i="5"/>
  <c r="BHC14" i="5"/>
  <c r="BHD14" i="5"/>
  <c r="BHE14" i="5"/>
  <c r="BHF14" i="5"/>
  <c r="BHG14" i="5"/>
  <c r="BHH14" i="5"/>
  <c r="BHI14" i="5"/>
  <c r="BHJ14" i="5"/>
  <c r="BHK14" i="5"/>
  <c r="BHL14" i="5"/>
  <c r="BHM14" i="5"/>
  <c r="BHN14" i="5"/>
  <c r="BHO14" i="5"/>
  <c r="BHP14" i="5"/>
  <c r="BHQ14" i="5"/>
  <c r="BHR14" i="5"/>
  <c r="BHS14" i="5"/>
  <c r="BHT14" i="5"/>
  <c r="BHU14" i="5"/>
  <c r="BHV14" i="5"/>
  <c r="BHW14" i="5"/>
  <c r="BHX14" i="5"/>
  <c r="BHY14" i="5"/>
  <c r="BHZ14" i="5"/>
  <c r="BIA14" i="5"/>
  <c r="BIB14" i="5"/>
  <c r="BIC14" i="5"/>
  <c r="BID14" i="5"/>
  <c r="BIE14" i="5"/>
  <c r="BIF14" i="5"/>
  <c r="BIG14" i="5"/>
  <c r="BIH14" i="5"/>
  <c r="BII14" i="5"/>
  <c r="BIJ14" i="5"/>
  <c r="BIK14" i="5"/>
  <c r="BIL14" i="5"/>
  <c r="BIM14" i="5"/>
  <c r="BIN14" i="5"/>
  <c r="BIO14" i="5"/>
  <c r="BIP14" i="5"/>
  <c r="BIQ14" i="5"/>
  <c r="BIR14" i="5"/>
  <c r="BIS14" i="5"/>
  <c r="BIT14" i="5"/>
  <c r="BIU14" i="5"/>
  <c r="BIV14" i="5"/>
  <c r="BIW14" i="5"/>
  <c r="BIX14" i="5"/>
  <c r="BIY14" i="5"/>
  <c r="BIZ14" i="5"/>
  <c r="BJA14" i="5"/>
  <c r="BJB14" i="5"/>
  <c r="BJC14" i="5"/>
  <c r="BJD14" i="5"/>
  <c r="BJE14" i="5"/>
  <c r="BJF14" i="5"/>
  <c r="BJG14" i="5"/>
  <c r="BJH14" i="5"/>
  <c r="BJI14" i="5"/>
  <c r="BJJ14" i="5"/>
  <c r="BJK14" i="5"/>
  <c r="BJL14" i="5"/>
  <c r="BJM14" i="5"/>
  <c r="BJN14" i="5"/>
  <c r="BJO14" i="5"/>
  <c r="BJP14" i="5"/>
  <c r="BJQ14" i="5"/>
  <c r="BJR14" i="5"/>
  <c r="BJS14" i="5"/>
  <c r="BJT14" i="5"/>
  <c r="BJU14" i="5"/>
  <c r="BJV14" i="5"/>
  <c r="BJW14" i="5"/>
  <c r="BJX14" i="5"/>
  <c r="BJY14" i="5"/>
  <c r="BJZ14" i="5"/>
  <c r="BKA14" i="5"/>
  <c r="BKB14" i="5"/>
  <c r="BKC14" i="5"/>
  <c r="BKD14" i="5"/>
  <c r="BKE14" i="5"/>
  <c r="BKF14" i="5"/>
  <c r="BKG14" i="5"/>
  <c r="BKH14" i="5"/>
  <c r="BKI14" i="5"/>
  <c r="BKJ14" i="5"/>
  <c r="BKK14" i="5"/>
  <c r="BKL14" i="5"/>
  <c r="BKM14" i="5"/>
  <c r="BKN14" i="5"/>
  <c r="BKO14" i="5"/>
  <c r="BKP14" i="5"/>
  <c r="BKQ14" i="5"/>
  <c r="BKR14" i="5"/>
  <c r="BKS14" i="5"/>
  <c r="BKT14" i="5"/>
  <c r="BKU14" i="5"/>
  <c r="BKV14" i="5"/>
  <c r="BKW14" i="5"/>
  <c r="BKX14" i="5"/>
  <c r="BKY14" i="5"/>
  <c r="BKZ14" i="5"/>
  <c r="BLA14" i="5"/>
  <c r="BLB14" i="5"/>
  <c r="BLC14" i="5"/>
  <c r="BLD14" i="5"/>
  <c r="BLE14" i="5"/>
  <c r="BLF14" i="5"/>
  <c r="BLG14" i="5"/>
  <c r="BLH14" i="5"/>
  <c r="BLI14" i="5"/>
  <c r="BLJ14" i="5"/>
  <c r="BLK14" i="5"/>
  <c r="BLL14" i="5"/>
  <c r="BLM14" i="5"/>
  <c r="BLN14" i="5"/>
  <c r="BLO14" i="5"/>
  <c r="BLP14" i="5"/>
  <c r="BLQ14" i="5"/>
  <c r="BLR14" i="5"/>
  <c r="BLS14" i="5"/>
  <c r="BLT14" i="5"/>
  <c r="BLU14" i="5"/>
  <c r="BLV14" i="5"/>
  <c r="BLW14" i="5"/>
  <c r="BLX14" i="5"/>
  <c r="BLY14" i="5"/>
  <c r="BLZ14" i="5"/>
  <c r="BMA14" i="5"/>
  <c r="BMB14" i="5"/>
  <c r="BMC14" i="5"/>
  <c r="BMD14" i="5"/>
  <c r="BME14" i="5"/>
  <c r="BMF14" i="5"/>
  <c r="BMG14" i="5"/>
  <c r="BMH14" i="5"/>
  <c r="BMI14" i="5"/>
  <c r="BMJ14" i="5"/>
  <c r="BMK14" i="5"/>
  <c r="BML14" i="5"/>
  <c r="BMM14" i="5"/>
  <c r="BMN14" i="5"/>
  <c r="BMO14" i="5"/>
  <c r="BMP14" i="5"/>
  <c r="BMQ14" i="5"/>
  <c r="BMR14" i="5"/>
  <c r="BMS14" i="5"/>
  <c r="BMT14" i="5"/>
  <c r="BMU14" i="5"/>
  <c r="BMV14" i="5"/>
  <c r="BMW14" i="5"/>
  <c r="BMX14" i="5"/>
  <c r="BMY14" i="5"/>
  <c r="BMZ14" i="5"/>
  <c r="BNA14" i="5"/>
  <c r="BNB14" i="5"/>
  <c r="BNC14" i="5"/>
  <c r="BND14" i="5"/>
  <c r="BNE14" i="5"/>
  <c r="BNF14" i="5"/>
  <c r="BNG14" i="5"/>
  <c r="BNH14" i="5"/>
  <c r="BNI14" i="5"/>
  <c r="BNJ14" i="5"/>
  <c r="BNK14" i="5"/>
  <c r="BNL14" i="5"/>
  <c r="BNM14" i="5"/>
  <c r="BNN14" i="5"/>
  <c r="BNO14" i="5"/>
  <c r="BNP14" i="5"/>
  <c r="BNQ14" i="5"/>
  <c r="BNR14" i="5"/>
  <c r="BNS14" i="5"/>
  <c r="BNT14" i="5"/>
  <c r="BNU14" i="5"/>
  <c r="BNV14" i="5"/>
  <c r="BNW14" i="5"/>
  <c r="BNX14" i="5"/>
  <c r="BNY14" i="5"/>
  <c r="BNZ14" i="5"/>
  <c r="BOA14" i="5"/>
  <c r="BOB14" i="5"/>
  <c r="BOC14" i="5"/>
  <c r="BOD14" i="5"/>
  <c r="BOE14" i="5"/>
  <c r="BOF14" i="5"/>
  <c r="BOG14" i="5"/>
  <c r="BOH14" i="5"/>
  <c r="BOI14" i="5"/>
  <c r="BOJ14" i="5"/>
  <c r="BOK14" i="5"/>
  <c r="BOL14" i="5"/>
  <c r="BOM14" i="5"/>
  <c r="BON14" i="5"/>
  <c r="BOO14" i="5"/>
  <c r="BOP14" i="5"/>
  <c r="BOQ14" i="5"/>
  <c r="BOR14" i="5"/>
  <c r="BOS14" i="5"/>
  <c r="BOT14" i="5"/>
  <c r="BOU14" i="5"/>
  <c r="BOV14" i="5"/>
  <c r="BOW14" i="5"/>
  <c r="BOX14" i="5"/>
  <c r="BOY14" i="5"/>
  <c r="BOZ14" i="5"/>
  <c r="BPA14" i="5"/>
  <c r="BPB14" i="5"/>
  <c r="BPC14" i="5"/>
  <c r="BPD14" i="5"/>
  <c r="BPE14" i="5"/>
  <c r="BPF14" i="5"/>
  <c r="BPG14" i="5"/>
  <c r="BPH14" i="5"/>
  <c r="BPI14" i="5"/>
  <c r="BPJ14" i="5"/>
  <c r="BPK14" i="5"/>
  <c r="BPL14" i="5"/>
  <c r="BPM14" i="5"/>
  <c r="BPN14" i="5"/>
  <c r="BPO14" i="5"/>
  <c r="BPP14" i="5"/>
  <c r="BPQ14" i="5"/>
  <c r="BPR14" i="5"/>
  <c r="BPS14" i="5"/>
  <c r="BPT14" i="5"/>
  <c r="BPU14" i="5"/>
  <c r="BPV14" i="5"/>
  <c r="BPW14" i="5"/>
  <c r="BPX14" i="5"/>
  <c r="BPY14" i="5"/>
  <c r="BPZ14" i="5"/>
  <c r="BQA14" i="5"/>
  <c r="BQB14" i="5"/>
  <c r="BQC14" i="5"/>
  <c r="BQD14" i="5"/>
  <c r="BQE14" i="5"/>
  <c r="BQF14" i="5"/>
  <c r="BQG14" i="5"/>
  <c r="BQH14" i="5"/>
  <c r="BQI14" i="5"/>
  <c r="BQJ14" i="5"/>
  <c r="BQK14" i="5"/>
  <c r="BQL14" i="5"/>
  <c r="BQM14" i="5"/>
  <c r="BQN14" i="5"/>
  <c r="BQO14" i="5"/>
  <c r="BQP14" i="5"/>
  <c r="BQQ14" i="5"/>
  <c r="BQR14" i="5"/>
  <c r="BQS14" i="5"/>
  <c r="BQT14" i="5"/>
  <c r="BQU14" i="5"/>
  <c r="BQV14" i="5"/>
  <c r="BQW14" i="5"/>
  <c r="BQX14" i="5"/>
  <c r="BQY14" i="5"/>
  <c r="BQZ14" i="5"/>
  <c r="BRA14" i="5"/>
  <c r="BRB14" i="5"/>
  <c r="BRC14" i="5"/>
  <c r="BRD14" i="5"/>
  <c r="BRE14" i="5"/>
  <c r="BRF14" i="5"/>
  <c r="BRG14" i="5"/>
  <c r="BRH14" i="5"/>
  <c r="BRI14" i="5"/>
  <c r="BRJ14" i="5"/>
  <c r="BRK14" i="5"/>
  <c r="BRL14" i="5"/>
  <c r="BRM14" i="5"/>
  <c r="BRN14" i="5"/>
  <c r="BRO14" i="5"/>
  <c r="BRP14" i="5"/>
  <c r="BRQ14" i="5"/>
  <c r="BRR14" i="5"/>
  <c r="BRS14" i="5"/>
  <c r="BRT14" i="5"/>
  <c r="BRU14" i="5"/>
  <c r="BRV14" i="5"/>
  <c r="BRW14" i="5"/>
  <c r="BRX14" i="5"/>
  <c r="BRY14" i="5"/>
  <c r="BRZ14" i="5"/>
  <c r="BSA14" i="5"/>
  <c r="BSB14" i="5"/>
  <c r="BSC14" i="5"/>
  <c r="BSD14" i="5"/>
  <c r="BSE14" i="5"/>
  <c r="BSF14" i="5"/>
  <c r="BSG14" i="5"/>
  <c r="BSH14" i="5"/>
  <c r="BSI14" i="5"/>
  <c r="BSJ14" i="5"/>
  <c r="BSK14" i="5"/>
  <c r="BSL14" i="5"/>
  <c r="BSM14" i="5"/>
  <c r="BSN14" i="5"/>
  <c r="BSO14" i="5"/>
  <c r="BSP14" i="5"/>
  <c r="BSQ14" i="5"/>
  <c r="BSR14" i="5"/>
  <c r="BSS14" i="5"/>
  <c r="BST14" i="5"/>
  <c r="BSU14" i="5"/>
  <c r="BSV14" i="5"/>
  <c r="BSW14" i="5"/>
  <c r="BSX14" i="5"/>
  <c r="BSY14" i="5"/>
  <c r="BSZ14" i="5"/>
  <c r="BTA14" i="5"/>
  <c r="BTB14" i="5"/>
  <c r="BTC14" i="5"/>
  <c r="BTD14" i="5"/>
  <c r="BTE14" i="5"/>
  <c r="BTF14" i="5"/>
  <c r="BTG14" i="5"/>
  <c r="BTH14" i="5"/>
  <c r="BTI14" i="5"/>
  <c r="BTJ14" i="5"/>
  <c r="BTK14" i="5"/>
  <c r="BTL14" i="5"/>
  <c r="BTM14" i="5"/>
  <c r="BTN14" i="5"/>
  <c r="BTO14" i="5"/>
  <c r="BTP14" i="5"/>
  <c r="BTQ14" i="5"/>
  <c r="BTR14" i="5"/>
  <c r="BTS14" i="5"/>
  <c r="BTT14" i="5"/>
  <c r="BTU14" i="5"/>
  <c r="BTV14" i="5"/>
  <c r="BTW14" i="5"/>
  <c r="BTX14" i="5"/>
  <c r="BTY14" i="5"/>
  <c r="BTZ14" i="5"/>
  <c r="BUA14" i="5"/>
  <c r="BUB14" i="5"/>
  <c r="BUC14" i="5"/>
  <c r="BUD14" i="5"/>
  <c r="BUE14" i="5"/>
  <c r="BUF14" i="5"/>
  <c r="BUG14" i="5"/>
  <c r="BUH14" i="5"/>
  <c r="BUI14" i="5"/>
  <c r="BUJ14" i="5"/>
  <c r="BUK14" i="5"/>
  <c r="BUL14" i="5"/>
  <c r="BUM14" i="5"/>
  <c r="BUN14" i="5"/>
  <c r="BUO14" i="5"/>
  <c r="BUP14" i="5"/>
  <c r="BUQ14" i="5"/>
  <c r="BUR14" i="5"/>
  <c r="BUS14" i="5"/>
  <c r="BUT14" i="5"/>
  <c r="BUU14" i="5"/>
  <c r="BUV14" i="5"/>
  <c r="BUW14" i="5"/>
  <c r="BUX14" i="5"/>
  <c r="BUY14" i="5"/>
  <c r="BUZ14" i="5"/>
  <c r="BVA14" i="5"/>
  <c r="BVB14" i="5"/>
  <c r="BVC14" i="5"/>
  <c r="BVD14" i="5"/>
  <c r="BVE14" i="5"/>
  <c r="BVF14" i="5"/>
  <c r="BVG14" i="5"/>
  <c r="BVH14" i="5"/>
  <c r="BVI14" i="5"/>
  <c r="BVJ14" i="5"/>
  <c r="BVK14" i="5"/>
  <c r="BVL14" i="5"/>
  <c r="BVM14" i="5"/>
  <c r="BVN14" i="5"/>
  <c r="BVO14" i="5"/>
  <c r="BVP14" i="5"/>
  <c r="BVQ14" i="5"/>
  <c r="BVR14" i="5"/>
  <c r="BVS14" i="5"/>
  <c r="BVT14" i="5"/>
  <c r="BVU14" i="5"/>
  <c r="BVV14" i="5"/>
  <c r="BVW14" i="5"/>
  <c r="BVX14" i="5"/>
  <c r="BVY14" i="5"/>
  <c r="BVZ14" i="5"/>
  <c r="BWA14" i="5"/>
  <c r="BWB14" i="5"/>
  <c r="BWC14" i="5"/>
  <c r="BWD14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D15" i="5"/>
  <c r="NE15" i="5"/>
  <c r="NF15" i="5"/>
  <c r="NG15" i="5"/>
  <c r="NH15" i="5"/>
  <c r="NI15" i="5"/>
  <c r="NJ15" i="5"/>
  <c r="NK15" i="5"/>
  <c r="NL15" i="5"/>
  <c r="NM15" i="5"/>
  <c r="NN15" i="5"/>
  <c r="NO15" i="5"/>
  <c r="NP15" i="5"/>
  <c r="NQ15" i="5"/>
  <c r="NR15" i="5"/>
  <c r="NS15" i="5"/>
  <c r="NT15" i="5"/>
  <c r="NU15" i="5"/>
  <c r="NV15" i="5"/>
  <c r="NW15" i="5"/>
  <c r="NX15" i="5"/>
  <c r="NY15" i="5"/>
  <c r="NZ15" i="5"/>
  <c r="OA15" i="5"/>
  <c r="OB15" i="5"/>
  <c r="OC15" i="5"/>
  <c r="OD15" i="5"/>
  <c r="OE15" i="5"/>
  <c r="OF15" i="5"/>
  <c r="OG15" i="5"/>
  <c r="OH15" i="5"/>
  <c r="OI15" i="5"/>
  <c r="OJ15" i="5"/>
  <c r="OK15" i="5"/>
  <c r="OL15" i="5"/>
  <c r="OM15" i="5"/>
  <c r="ON15" i="5"/>
  <c r="OO15" i="5"/>
  <c r="OP15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PO15" i="5"/>
  <c r="PP15" i="5"/>
  <c r="PQ15" i="5"/>
  <c r="PR15" i="5"/>
  <c r="PS15" i="5"/>
  <c r="PT15" i="5"/>
  <c r="PU15" i="5"/>
  <c r="PV15" i="5"/>
  <c r="PW15" i="5"/>
  <c r="PX15" i="5"/>
  <c r="PY15" i="5"/>
  <c r="PZ15" i="5"/>
  <c r="QA15" i="5"/>
  <c r="QB15" i="5"/>
  <c r="QC15" i="5"/>
  <c r="QD15" i="5"/>
  <c r="QE15" i="5"/>
  <c r="QF15" i="5"/>
  <c r="QG15" i="5"/>
  <c r="QH15" i="5"/>
  <c r="QI15" i="5"/>
  <c r="QJ15" i="5"/>
  <c r="QK15" i="5"/>
  <c r="QL15" i="5"/>
  <c r="QM15" i="5"/>
  <c r="QN15" i="5"/>
  <c r="QO15" i="5"/>
  <c r="QP15" i="5"/>
  <c r="QQ15" i="5"/>
  <c r="QR15" i="5"/>
  <c r="QS15" i="5"/>
  <c r="QT15" i="5"/>
  <c r="QU15" i="5"/>
  <c r="QV15" i="5"/>
  <c r="QW15" i="5"/>
  <c r="QX15" i="5"/>
  <c r="QY15" i="5"/>
  <c r="QZ15" i="5"/>
  <c r="RA15" i="5"/>
  <c r="RB15" i="5"/>
  <c r="RC15" i="5"/>
  <c r="RD15" i="5"/>
  <c r="RE15" i="5"/>
  <c r="RF15" i="5"/>
  <c r="RG15" i="5"/>
  <c r="RH15" i="5"/>
  <c r="RI15" i="5"/>
  <c r="RJ15" i="5"/>
  <c r="RK15" i="5"/>
  <c r="RL15" i="5"/>
  <c r="RM15" i="5"/>
  <c r="RN15" i="5"/>
  <c r="RO15" i="5"/>
  <c r="RP15" i="5"/>
  <c r="RQ15" i="5"/>
  <c r="RR15" i="5"/>
  <c r="RS15" i="5"/>
  <c r="RT15" i="5"/>
  <c r="RU15" i="5"/>
  <c r="RV15" i="5"/>
  <c r="RW15" i="5"/>
  <c r="RX15" i="5"/>
  <c r="RY15" i="5"/>
  <c r="RZ15" i="5"/>
  <c r="SA15" i="5"/>
  <c r="SB15" i="5"/>
  <c r="SC15" i="5"/>
  <c r="SD15" i="5"/>
  <c r="SE15" i="5"/>
  <c r="SF15" i="5"/>
  <c r="SG15" i="5"/>
  <c r="SH15" i="5"/>
  <c r="SI15" i="5"/>
  <c r="SJ15" i="5"/>
  <c r="SK15" i="5"/>
  <c r="SL15" i="5"/>
  <c r="SM15" i="5"/>
  <c r="SN15" i="5"/>
  <c r="SO15" i="5"/>
  <c r="SP15" i="5"/>
  <c r="SQ15" i="5"/>
  <c r="SR15" i="5"/>
  <c r="SS15" i="5"/>
  <c r="ST15" i="5"/>
  <c r="SU15" i="5"/>
  <c r="SV15" i="5"/>
  <c r="SW15" i="5"/>
  <c r="SX15" i="5"/>
  <c r="SY15" i="5"/>
  <c r="SZ15" i="5"/>
  <c r="TA15" i="5"/>
  <c r="TB15" i="5"/>
  <c r="TC15" i="5"/>
  <c r="TD15" i="5"/>
  <c r="TE15" i="5"/>
  <c r="TF15" i="5"/>
  <c r="TG15" i="5"/>
  <c r="TH15" i="5"/>
  <c r="TI15" i="5"/>
  <c r="TJ15" i="5"/>
  <c r="TK15" i="5"/>
  <c r="TL15" i="5"/>
  <c r="TM15" i="5"/>
  <c r="TN15" i="5"/>
  <c r="TO15" i="5"/>
  <c r="TP15" i="5"/>
  <c r="TQ15" i="5"/>
  <c r="TR15" i="5"/>
  <c r="TS15" i="5"/>
  <c r="TT15" i="5"/>
  <c r="TU15" i="5"/>
  <c r="TV15" i="5"/>
  <c r="TW15" i="5"/>
  <c r="TX15" i="5"/>
  <c r="TY15" i="5"/>
  <c r="TZ15" i="5"/>
  <c r="UA15" i="5"/>
  <c r="UB15" i="5"/>
  <c r="UC15" i="5"/>
  <c r="UD15" i="5"/>
  <c r="UE15" i="5"/>
  <c r="UF15" i="5"/>
  <c r="UG15" i="5"/>
  <c r="UH15" i="5"/>
  <c r="UI15" i="5"/>
  <c r="UJ15" i="5"/>
  <c r="UK15" i="5"/>
  <c r="UL15" i="5"/>
  <c r="UM15" i="5"/>
  <c r="UN15" i="5"/>
  <c r="UO15" i="5"/>
  <c r="UP15" i="5"/>
  <c r="UQ15" i="5"/>
  <c r="UR15" i="5"/>
  <c r="US15" i="5"/>
  <c r="UT15" i="5"/>
  <c r="UU15" i="5"/>
  <c r="UV15" i="5"/>
  <c r="UW15" i="5"/>
  <c r="UX15" i="5"/>
  <c r="UY15" i="5"/>
  <c r="UZ15" i="5"/>
  <c r="VA15" i="5"/>
  <c r="VB15" i="5"/>
  <c r="VC15" i="5"/>
  <c r="VD15" i="5"/>
  <c r="VE15" i="5"/>
  <c r="VF15" i="5"/>
  <c r="VG15" i="5"/>
  <c r="VH15" i="5"/>
  <c r="VI15" i="5"/>
  <c r="VJ15" i="5"/>
  <c r="VK15" i="5"/>
  <c r="VL15" i="5"/>
  <c r="VM15" i="5"/>
  <c r="VN15" i="5"/>
  <c r="VO15" i="5"/>
  <c r="VP15" i="5"/>
  <c r="VQ15" i="5"/>
  <c r="VR15" i="5"/>
  <c r="VS15" i="5"/>
  <c r="VT15" i="5"/>
  <c r="VU15" i="5"/>
  <c r="VV15" i="5"/>
  <c r="VW15" i="5"/>
  <c r="VX15" i="5"/>
  <c r="VY15" i="5"/>
  <c r="VZ15" i="5"/>
  <c r="WA15" i="5"/>
  <c r="WB15" i="5"/>
  <c r="WC15" i="5"/>
  <c r="WD15" i="5"/>
  <c r="WE15" i="5"/>
  <c r="WF15" i="5"/>
  <c r="WG15" i="5"/>
  <c r="WH15" i="5"/>
  <c r="WI15" i="5"/>
  <c r="WJ15" i="5"/>
  <c r="WK15" i="5"/>
  <c r="WL15" i="5"/>
  <c r="WM15" i="5"/>
  <c r="WN15" i="5"/>
  <c r="WO15" i="5"/>
  <c r="WP15" i="5"/>
  <c r="WQ15" i="5"/>
  <c r="WR15" i="5"/>
  <c r="WS15" i="5"/>
  <c r="WT15" i="5"/>
  <c r="WU15" i="5"/>
  <c r="WV15" i="5"/>
  <c r="WW15" i="5"/>
  <c r="WX15" i="5"/>
  <c r="WY15" i="5"/>
  <c r="WZ15" i="5"/>
  <c r="XA15" i="5"/>
  <c r="XB15" i="5"/>
  <c r="XC15" i="5"/>
  <c r="XD15" i="5"/>
  <c r="XE15" i="5"/>
  <c r="XF15" i="5"/>
  <c r="XG15" i="5"/>
  <c r="XH15" i="5"/>
  <c r="XI15" i="5"/>
  <c r="XJ15" i="5"/>
  <c r="XK15" i="5"/>
  <c r="XL15" i="5"/>
  <c r="XM15" i="5"/>
  <c r="XN15" i="5"/>
  <c r="XO15" i="5"/>
  <c r="XP15" i="5"/>
  <c r="XQ15" i="5"/>
  <c r="XR15" i="5"/>
  <c r="XS15" i="5"/>
  <c r="XT15" i="5"/>
  <c r="XU15" i="5"/>
  <c r="XV15" i="5"/>
  <c r="XW15" i="5"/>
  <c r="XX15" i="5"/>
  <c r="XY15" i="5"/>
  <c r="XZ15" i="5"/>
  <c r="YA15" i="5"/>
  <c r="YB15" i="5"/>
  <c r="YC15" i="5"/>
  <c r="YD15" i="5"/>
  <c r="YE15" i="5"/>
  <c r="YF15" i="5"/>
  <c r="YG15" i="5"/>
  <c r="YH15" i="5"/>
  <c r="YI15" i="5"/>
  <c r="YJ15" i="5"/>
  <c r="YK15" i="5"/>
  <c r="YL15" i="5"/>
  <c r="YM15" i="5"/>
  <c r="YN15" i="5"/>
  <c r="YO15" i="5"/>
  <c r="YP15" i="5"/>
  <c r="YQ15" i="5"/>
  <c r="YR15" i="5"/>
  <c r="YS15" i="5"/>
  <c r="YT15" i="5"/>
  <c r="YU15" i="5"/>
  <c r="YV15" i="5"/>
  <c r="YW15" i="5"/>
  <c r="YX15" i="5"/>
  <c r="YY15" i="5"/>
  <c r="YZ15" i="5"/>
  <c r="ZA15" i="5"/>
  <c r="ZB15" i="5"/>
  <c r="ZC15" i="5"/>
  <c r="ZD15" i="5"/>
  <c r="ZE15" i="5"/>
  <c r="ZF15" i="5"/>
  <c r="ZG15" i="5"/>
  <c r="ZH15" i="5"/>
  <c r="ZI15" i="5"/>
  <c r="ZJ15" i="5"/>
  <c r="ZK15" i="5"/>
  <c r="ZL15" i="5"/>
  <c r="ZM15" i="5"/>
  <c r="ZN15" i="5"/>
  <c r="ZO15" i="5"/>
  <c r="ZP15" i="5"/>
  <c r="ZQ15" i="5"/>
  <c r="ZR15" i="5"/>
  <c r="ZS15" i="5"/>
  <c r="ZT15" i="5"/>
  <c r="ZU15" i="5"/>
  <c r="ZV15" i="5"/>
  <c r="ZW15" i="5"/>
  <c r="ZX15" i="5"/>
  <c r="ZY15" i="5"/>
  <c r="ZZ15" i="5"/>
  <c r="AAA15" i="5"/>
  <c r="AAB15" i="5"/>
  <c r="AAC15" i="5"/>
  <c r="AAD15" i="5"/>
  <c r="AAE15" i="5"/>
  <c r="AAF15" i="5"/>
  <c r="AAG15" i="5"/>
  <c r="AAH15" i="5"/>
  <c r="AAI15" i="5"/>
  <c r="AAJ15" i="5"/>
  <c r="AAK15" i="5"/>
  <c r="AAL15" i="5"/>
  <c r="AAM15" i="5"/>
  <c r="AAN15" i="5"/>
  <c r="AAO15" i="5"/>
  <c r="AAP15" i="5"/>
  <c r="AAQ15" i="5"/>
  <c r="AAR15" i="5"/>
  <c r="AAS15" i="5"/>
  <c r="AAT15" i="5"/>
  <c r="AAU15" i="5"/>
  <c r="AAV15" i="5"/>
  <c r="AAW15" i="5"/>
  <c r="AAX15" i="5"/>
  <c r="AAY15" i="5"/>
  <c r="AAZ15" i="5"/>
  <c r="ABA15" i="5"/>
  <c r="ABB15" i="5"/>
  <c r="ABC15" i="5"/>
  <c r="ABD15" i="5"/>
  <c r="ABE15" i="5"/>
  <c r="ABF15" i="5"/>
  <c r="ABG15" i="5"/>
  <c r="ABH15" i="5"/>
  <c r="ABI15" i="5"/>
  <c r="ABJ15" i="5"/>
  <c r="ABK15" i="5"/>
  <c r="ABL15" i="5"/>
  <c r="ABM15" i="5"/>
  <c r="ABN15" i="5"/>
  <c r="ABO15" i="5"/>
  <c r="ABP15" i="5"/>
  <c r="ABQ15" i="5"/>
  <c r="ABR15" i="5"/>
  <c r="ABS15" i="5"/>
  <c r="ABT15" i="5"/>
  <c r="ABU15" i="5"/>
  <c r="ABV15" i="5"/>
  <c r="ABW15" i="5"/>
  <c r="ABX15" i="5"/>
  <c r="ABY15" i="5"/>
  <c r="ABZ15" i="5"/>
  <c r="ACA15" i="5"/>
  <c r="ACB15" i="5"/>
  <c r="ACC15" i="5"/>
  <c r="ACD15" i="5"/>
  <c r="ACE15" i="5"/>
  <c r="ACF15" i="5"/>
  <c r="ACG15" i="5"/>
  <c r="ACH15" i="5"/>
  <c r="ACI15" i="5"/>
  <c r="ACJ15" i="5"/>
  <c r="ACK15" i="5"/>
  <c r="ACL15" i="5"/>
  <c r="ACM15" i="5"/>
  <c r="ACN15" i="5"/>
  <c r="ACO15" i="5"/>
  <c r="ACP15" i="5"/>
  <c r="ACQ15" i="5"/>
  <c r="ACR15" i="5"/>
  <c r="ACS15" i="5"/>
  <c r="ACT15" i="5"/>
  <c r="ACU15" i="5"/>
  <c r="ACV15" i="5"/>
  <c r="ACW15" i="5"/>
  <c r="ACX15" i="5"/>
  <c r="ACY15" i="5"/>
  <c r="ACZ15" i="5"/>
  <c r="ADA15" i="5"/>
  <c r="ADB15" i="5"/>
  <c r="ADC15" i="5"/>
  <c r="ADD15" i="5"/>
  <c r="ADE15" i="5"/>
  <c r="ADF15" i="5"/>
  <c r="ADG15" i="5"/>
  <c r="ADH15" i="5"/>
  <c r="ADI15" i="5"/>
  <c r="ADJ15" i="5"/>
  <c r="ADK15" i="5"/>
  <c r="ADL15" i="5"/>
  <c r="ADM15" i="5"/>
  <c r="ADN15" i="5"/>
  <c r="ADO15" i="5"/>
  <c r="ADP15" i="5"/>
  <c r="ADQ15" i="5"/>
  <c r="ADR15" i="5"/>
  <c r="ADS15" i="5"/>
  <c r="ADT15" i="5"/>
  <c r="ADU15" i="5"/>
  <c r="ADV15" i="5"/>
  <c r="ADW15" i="5"/>
  <c r="ADX15" i="5"/>
  <c r="ADY15" i="5"/>
  <c r="ADZ15" i="5"/>
  <c r="AEA15" i="5"/>
  <c r="AEB15" i="5"/>
  <c r="AEC15" i="5"/>
  <c r="AED15" i="5"/>
  <c r="AEE15" i="5"/>
  <c r="AEF15" i="5"/>
  <c r="AEG15" i="5"/>
  <c r="AEH15" i="5"/>
  <c r="AEI15" i="5"/>
  <c r="AEJ15" i="5"/>
  <c r="AEK15" i="5"/>
  <c r="AEL15" i="5"/>
  <c r="AEM15" i="5"/>
  <c r="AEN15" i="5"/>
  <c r="AEO15" i="5"/>
  <c r="AEP15" i="5"/>
  <c r="AEQ15" i="5"/>
  <c r="AER15" i="5"/>
  <c r="AES15" i="5"/>
  <c r="AET15" i="5"/>
  <c r="AEU15" i="5"/>
  <c r="AEV15" i="5"/>
  <c r="AEW15" i="5"/>
  <c r="AEX15" i="5"/>
  <c r="AEY15" i="5"/>
  <c r="AEZ15" i="5"/>
  <c r="AFA15" i="5"/>
  <c r="AFB15" i="5"/>
  <c r="AFC15" i="5"/>
  <c r="AFD15" i="5"/>
  <c r="AFE15" i="5"/>
  <c r="AFF15" i="5"/>
  <c r="AFG15" i="5"/>
  <c r="AFH15" i="5"/>
  <c r="AFI15" i="5"/>
  <c r="AFJ15" i="5"/>
  <c r="AFK15" i="5"/>
  <c r="AFL15" i="5"/>
  <c r="AFM15" i="5"/>
  <c r="AFN15" i="5"/>
  <c r="AFO15" i="5"/>
  <c r="AFP15" i="5"/>
  <c r="AFQ15" i="5"/>
  <c r="AFR15" i="5"/>
  <c r="AFS15" i="5"/>
  <c r="AFT15" i="5"/>
  <c r="AFU15" i="5"/>
  <c r="AFV15" i="5"/>
  <c r="AFW15" i="5"/>
  <c r="AFX15" i="5"/>
  <c r="AFY15" i="5"/>
  <c r="AFZ15" i="5"/>
  <c r="AGA15" i="5"/>
  <c r="AGB15" i="5"/>
  <c r="AGC15" i="5"/>
  <c r="AGD15" i="5"/>
  <c r="AGE15" i="5"/>
  <c r="AGF15" i="5"/>
  <c r="AGG15" i="5"/>
  <c r="AGH15" i="5"/>
  <c r="AGI15" i="5"/>
  <c r="AGJ15" i="5"/>
  <c r="AGK15" i="5"/>
  <c r="AGL15" i="5"/>
  <c r="AGM15" i="5"/>
  <c r="AGN15" i="5"/>
  <c r="AGO15" i="5"/>
  <c r="AGP15" i="5"/>
  <c r="AGQ15" i="5"/>
  <c r="AGR15" i="5"/>
  <c r="AGS15" i="5"/>
  <c r="AGT15" i="5"/>
  <c r="AGU15" i="5"/>
  <c r="AGV15" i="5"/>
  <c r="AGW15" i="5"/>
  <c r="AGX15" i="5"/>
  <c r="AGY15" i="5"/>
  <c r="AGZ15" i="5"/>
  <c r="AHA15" i="5"/>
  <c r="AHB15" i="5"/>
  <c r="AHC15" i="5"/>
  <c r="AHD15" i="5"/>
  <c r="AHE15" i="5"/>
  <c r="AHF15" i="5"/>
  <c r="AHG15" i="5"/>
  <c r="AHH15" i="5"/>
  <c r="AHI15" i="5"/>
  <c r="AHJ15" i="5"/>
  <c r="AHK15" i="5"/>
  <c r="AHL15" i="5"/>
  <c r="AHM15" i="5"/>
  <c r="AHN15" i="5"/>
  <c r="AHO15" i="5"/>
  <c r="AHP15" i="5"/>
  <c r="AHQ15" i="5"/>
  <c r="AHR15" i="5"/>
  <c r="AHS15" i="5"/>
  <c r="AHT15" i="5"/>
  <c r="AHU15" i="5"/>
  <c r="AHV15" i="5"/>
  <c r="AHW15" i="5"/>
  <c r="AHX15" i="5"/>
  <c r="AHY15" i="5"/>
  <c r="AHZ15" i="5"/>
  <c r="AIA15" i="5"/>
  <c r="AIB15" i="5"/>
  <c r="AIC15" i="5"/>
  <c r="AID15" i="5"/>
  <c r="AIE15" i="5"/>
  <c r="AIF15" i="5"/>
  <c r="AIG15" i="5"/>
  <c r="AIH15" i="5"/>
  <c r="AII15" i="5"/>
  <c r="AIJ15" i="5"/>
  <c r="AIK15" i="5"/>
  <c r="AIL15" i="5"/>
  <c r="AIM15" i="5"/>
  <c r="AIN15" i="5"/>
  <c r="AIO15" i="5"/>
  <c r="AIP15" i="5"/>
  <c r="AIQ15" i="5"/>
  <c r="AIR15" i="5"/>
  <c r="AIS15" i="5"/>
  <c r="AIT15" i="5"/>
  <c r="AIU15" i="5"/>
  <c r="AIV15" i="5"/>
  <c r="AIW15" i="5"/>
  <c r="AIX15" i="5"/>
  <c r="AIY15" i="5"/>
  <c r="AIZ15" i="5"/>
  <c r="AJA15" i="5"/>
  <c r="AJB15" i="5"/>
  <c r="AJC15" i="5"/>
  <c r="AJD15" i="5"/>
  <c r="AJE15" i="5"/>
  <c r="AJF15" i="5"/>
  <c r="AJG15" i="5"/>
  <c r="AJH15" i="5"/>
  <c r="AJI15" i="5"/>
  <c r="AJJ15" i="5"/>
  <c r="AJK15" i="5"/>
  <c r="AJL15" i="5"/>
  <c r="AJM15" i="5"/>
  <c r="AJN15" i="5"/>
  <c r="AJO15" i="5"/>
  <c r="AJP15" i="5"/>
  <c r="AJQ15" i="5"/>
  <c r="AJR15" i="5"/>
  <c r="AJS15" i="5"/>
  <c r="AJT15" i="5"/>
  <c r="AJU15" i="5"/>
  <c r="AJV15" i="5"/>
  <c r="AJW15" i="5"/>
  <c r="AJX15" i="5"/>
  <c r="AJY15" i="5"/>
  <c r="AJZ15" i="5"/>
  <c r="AKA15" i="5"/>
  <c r="AKB15" i="5"/>
  <c r="AKC15" i="5"/>
  <c r="AKD15" i="5"/>
  <c r="AKE15" i="5"/>
  <c r="AKF15" i="5"/>
  <c r="AKG15" i="5"/>
  <c r="AKH15" i="5"/>
  <c r="AKI15" i="5"/>
  <c r="AKJ15" i="5"/>
  <c r="AKK15" i="5"/>
  <c r="AKL15" i="5"/>
  <c r="AKM15" i="5"/>
  <c r="AKN15" i="5"/>
  <c r="AKO15" i="5"/>
  <c r="AKP15" i="5"/>
  <c r="AKQ15" i="5"/>
  <c r="AKR15" i="5"/>
  <c r="AKS15" i="5"/>
  <c r="AKT15" i="5"/>
  <c r="AKU15" i="5"/>
  <c r="AKV15" i="5"/>
  <c r="AKW15" i="5"/>
  <c r="AKX15" i="5"/>
  <c r="AKY15" i="5"/>
  <c r="AKZ15" i="5"/>
  <c r="ALA15" i="5"/>
  <c r="ALB15" i="5"/>
  <c r="ALC15" i="5"/>
  <c r="ALD15" i="5"/>
  <c r="ALE15" i="5"/>
  <c r="ALF15" i="5"/>
  <c r="ALG15" i="5"/>
  <c r="ALH15" i="5"/>
  <c r="ALI15" i="5"/>
  <c r="ALJ15" i="5"/>
  <c r="ALK15" i="5"/>
  <c r="ALL15" i="5"/>
  <c r="ALM15" i="5"/>
  <c r="ALN15" i="5"/>
  <c r="ALO15" i="5"/>
  <c r="ALP15" i="5"/>
  <c r="ALQ15" i="5"/>
  <c r="ALR15" i="5"/>
  <c r="ALS15" i="5"/>
  <c r="ALT15" i="5"/>
  <c r="ALU15" i="5"/>
  <c r="ALV15" i="5"/>
  <c r="ALW15" i="5"/>
  <c r="ALX15" i="5"/>
  <c r="ALY15" i="5"/>
  <c r="ALZ15" i="5"/>
  <c r="AMA15" i="5"/>
  <c r="AMB15" i="5"/>
  <c r="AMC15" i="5"/>
  <c r="AMD15" i="5"/>
  <c r="AME15" i="5"/>
  <c r="AMF15" i="5"/>
  <c r="AMG15" i="5"/>
  <c r="AMH15" i="5"/>
  <c r="AMI15" i="5"/>
  <c r="AMJ15" i="5"/>
  <c r="AMK15" i="5"/>
  <c r="AML15" i="5"/>
  <c r="AMM15" i="5"/>
  <c r="AMN15" i="5"/>
  <c r="AMO15" i="5"/>
  <c r="AMP15" i="5"/>
  <c r="AMQ15" i="5"/>
  <c r="AMR15" i="5"/>
  <c r="AMS15" i="5"/>
  <c r="AMT15" i="5"/>
  <c r="AMU15" i="5"/>
  <c r="AMV15" i="5"/>
  <c r="AMW15" i="5"/>
  <c r="AMX15" i="5"/>
  <c r="AMY15" i="5"/>
  <c r="AMZ15" i="5"/>
  <c r="ANA15" i="5"/>
  <c r="ANB15" i="5"/>
  <c r="ANC15" i="5"/>
  <c r="AND15" i="5"/>
  <c r="ANE15" i="5"/>
  <c r="ANF15" i="5"/>
  <c r="ANG15" i="5"/>
  <c r="ANH15" i="5"/>
  <c r="ANI15" i="5"/>
  <c r="ANJ15" i="5"/>
  <c r="ANK15" i="5"/>
  <c r="ANL15" i="5"/>
  <c r="ANM15" i="5"/>
  <c r="ANN15" i="5"/>
  <c r="ANO15" i="5"/>
  <c r="ANP15" i="5"/>
  <c r="ANQ15" i="5"/>
  <c r="ANR15" i="5"/>
  <c r="ANS15" i="5"/>
  <c r="ANT15" i="5"/>
  <c r="ANU15" i="5"/>
  <c r="ANV15" i="5"/>
  <c r="ANW15" i="5"/>
  <c r="ANX15" i="5"/>
  <c r="ANY15" i="5"/>
  <c r="ANZ15" i="5"/>
  <c r="AOA15" i="5"/>
  <c r="AOB15" i="5"/>
  <c r="AOC15" i="5"/>
  <c r="AOD15" i="5"/>
  <c r="AOE15" i="5"/>
  <c r="AOF15" i="5"/>
  <c r="AOG15" i="5"/>
  <c r="AOH15" i="5"/>
  <c r="AOI15" i="5"/>
  <c r="AOJ15" i="5"/>
  <c r="AOK15" i="5"/>
  <c r="AOL15" i="5"/>
  <c r="AOM15" i="5"/>
  <c r="AON15" i="5"/>
  <c r="AOO15" i="5"/>
  <c r="AOP15" i="5"/>
  <c r="AOQ15" i="5"/>
  <c r="AOR15" i="5"/>
  <c r="AOS15" i="5"/>
  <c r="AOT15" i="5"/>
  <c r="AOU15" i="5"/>
  <c r="AOV15" i="5"/>
  <c r="AOW15" i="5"/>
  <c r="AOX15" i="5"/>
  <c r="AOY15" i="5"/>
  <c r="AOZ15" i="5"/>
  <c r="APA15" i="5"/>
  <c r="APB15" i="5"/>
  <c r="APC15" i="5"/>
  <c r="APD15" i="5"/>
  <c r="APE15" i="5"/>
  <c r="APF15" i="5"/>
  <c r="APG15" i="5"/>
  <c r="APH15" i="5"/>
  <c r="API15" i="5"/>
  <c r="APJ15" i="5"/>
  <c r="APK15" i="5"/>
  <c r="APL15" i="5"/>
  <c r="APM15" i="5"/>
  <c r="APN15" i="5"/>
  <c r="APO15" i="5"/>
  <c r="APP15" i="5"/>
  <c r="APQ15" i="5"/>
  <c r="APR15" i="5"/>
  <c r="APS15" i="5"/>
  <c r="APT15" i="5"/>
  <c r="APU15" i="5"/>
  <c r="APV15" i="5"/>
  <c r="APW15" i="5"/>
  <c r="APX15" i="5"/>
  <c r="APY15" i="5"/>
  <c r="APZ15" i="5"/>
  <c r="AQA15" i="5"/>
  <c r="AQB15" i="5"/>
  <c r="AQC15" i="5"/>
  <c r="AQD15" i="5"/>
  <c r="AQE15" i="5"/>
  <c r="AQF15" i="5"/>
  <c r="AQG15" i="5"/>
  <c r="AQH15" i="5"/>
  <c r="AQI15" i="5"/>
  <c r="AQJ15" i="5"/>
  <c r="AQK15" i="5"/>
  <c r="AQL15" i="5"/>
  <c r="AQM15" i="5"/>
  <c r="AQN15" i="5"/>
  <c r="AQO15" i="5"/>
  <c r="AQP15" i="5"/>
  <c r="AQQ15" i="5"/>
  <c r="AQR15" i="5"/>
  <c r="AQS15" i="5"/>
  <c r="AQT15" i="5"/>
  <c r="AQU15" i="5"/>
  <c r="AQV15" i="5"/>
  <c r="AQW15" i="5"/>
  <c r="AQX15" i="5"/>
  <c r="AQY15" i="5"/>
  <c r="AQZ15" i="5"/>
  <c r="ARA15" i="5"/>
  <c r="ARB15" i="5"/>
  <c r="ARC15" i="5"/>
  <c r="ARD15" i="5"/>
  <c r="ARE15" i="5"/>
  <c r="ARF15" i="5"/>
  <c r="ARG15" i="5"/>
  <c r="ARH15" i="5"/>
  <c r="ARI15" i="5"/>
  <c r="ARJ15" i="5"/>
  <c r="ARK15" i="5"/>
  <c r="ARL15" i="5"/>
  <c r="ARM15" i="5"/>
  <c r="ARN15" i="5"/>
  <c r="ARO15" i="5"/>
  <c r="ARP15" i="5"/>
  <c r="ARQ15" i="5"/>
  <c r="ARR15" i="5"/>
  <c r="ARS15" i="5"/>
  <c r="ART15" i="5"/>
  <c r="ARU15" i="5"/>
  <c r="ARV15" i="5"/>
  <c r="ARW15" i="5"/>
  <c r="ARX15" i="5"/>
  <c r="ARY15" i="5"/>
  <c r="ARZ15" i="5"/>
  <c r="ASA15" i="5"/>
  <c r="ASB15" i="5"/>
  <c r="ASC15" i="5"/>
  <c r="ASD15" i="5"/>
  <c r="ASE15" i="5"/>
  <c r="ASF15" i="5"/>
  <c r="ASG15" i="5"/>
  <c r="ASH15" i="5"/>
  <c r="ASI15" i="5"/>
  <c r="ASJ15" i="5"/>
  <c r="ASK15" i="5"/>
  <c r="ASL15" i="5"/>
  <c r="ASM15" i="5"/>
  <c r="ASN15" i="5"/>
  <c r="ASO15" i="5"/>
  <c r="ASP15" i="5"/>
  <c r="ASQ15" i="5"/>
  <c r="ASR15" i="5"/>
  <c r="ASS15" i="5"/>
  <c r="AST15" i="5"/>
  <c r="ASU15" i="5"/>
  <c r="ASV15" i="5"/>
  <c r="ASW15" i="5"/>
  <c r="ASX15" i="5"/>
  <c r="ASY15" i="5"/>
  <c r="ASZ15" i="5"/>
  <c r="ATA15" i="5"/>
  <c r="ATB15" i="5"/>
  <c r="ATC15" i="5"/>
  <c r="ATD15" i="5"/>
  <c r="ATE15" i="5"/>
  <c r="ATF15" i="5"/>
  <c r="ATG15" i="5"/>
  <c r="ATH15" i="5"/>
  <c r="ATI15" i="5"/>
  <c r="ATJ15" i="5"/>
  <c r="ATK15" i="5"/>
  <c r="ATL15" i="5"/>
  <c r="ATM15" i="5"/>
  <c r="ATN15" i="5"/>
  <c r="ATO15" i="5"/>
  <c r="ATP15" i="5"/>
  <c r="ATQ15" i="5"/>
  <c r="ATR15" i="5"/>
  <c r="ATS15" i="5"/>
  <c r="ATT15" i="5"/>
  <c r="ATU15" i="5"/>
  <c r="ATV15" i="5"/>
  <c r="ATW15" i="5"/>
  <c r="ATX15" i="5"/>
  <c r="ATY15" i="5"/>
  <c r="ATZ15" i="5"/>
  <c r="AUA15" i="5"/>
  <c r="AUB15" i="5"/>
  <c r="AUC15" i="5"/>
  <c r="AUD15" i="5"/>
  <c r="AUE15" i="5"/>
  <c r="AUF15" i="5"/>
  <c r="AUG15" i="5"/>
  <c r="AUH15" i="5"/>
  <c r="AUI15" i="5"/>
  <c r="AUJ15" i="5"/>
  <c r="AUK15" i="5"/>
  <c r="AUL15" i="5"/>
  <c r="AUM15" i="5"/>
  <c r="AUN15" i="5"/>
  <c r="AUO15" i="5"/>
  <c r="AUP15" i="5"/>
  <c r="AUQ15" i="5"/>
  <c r="AUR15" i="5"/>
  <c r="AUS15" i="5"/>
  <c r="AUT15" i="5"/>
  <c r="AUU15" i="5"/>
  <c r="AUV15" i="5"/>
  <c r="AUW15" i="5"/>
  <c r="AUX15" i="5"/>
  <c r="AUY15" i="5"/>
  <c r="AUZ15" i="5"/>
  <c r="AVA15" i="5"/>
  <c r="AVB15" i="5"/>
  <c r="AVC15" i="5"/>
  <c r="AVD15" i="5"/>
  <c r="AVE15" i="5"/>
  <c r="AVF15" i="5"/>
  <c r="AVG15" i="5"/>
  <c r="AVH15" i="5"/>
  <c r="AVI15" i="5"/>
  <c r="AVJ15" i="5"/>
  <c r="AVK15" i="5"/>
  <c r="AVL15" i="5"/>
  <c r="AVM15" i="5"/>
  <c r="AVN15" i="5"/>
  <c r="AVO15" i="5"/>
  <c r="AVP15" i="5"/>
  <c r="AVQ15" i="5"/>
  <c r="AVR15" i="5"/>
  <c r="AVS15" i="5"/>
  <c r="AVT15" i="5"/>
  <c r="AVU15" i="5"/>
  <c r="AVV15" i="5"/>
  <c r="AVW15" i="5"/>
  <c r="AVX15" i="5"/>
  <c r="AVY15" i="5"/>
  <c r="AVZ15" i="5"/>
  <c r="AWA15" i="5"/>
  <c r="AWB15" i="5"/>
  <c r="AWC15" i="5"/>
  <c r="AWD15" i="5"/>
  <c r="AWE15" i="5"/>
  <c r="AWF15" i="5"/>
  <c r="AWG15" i="5"/>
  <c r="AWH15" i="5"/>
  <c r="AWI15" i="5"/>
  <c r="AWJ15" i="5"/>
  <c r="AWK15" i="5"/>
  <c r="AWL15" i="5"/>
  <c r="AWM15" i="5"/>
  <c r="AWN15" i="5"/>
  <c r="AWO15" i="5"/>
  <c r="AWP15" i="5"/>
  <c r="AWQ15" i="5"/>
  <c r="AWR15" i="5"/>
  <c r="AWS15" i="5"/>
  <c r="AWT15" i="5"/>
  <c r="AWU15" i="5"/>
  <c r="AWV15" i="5"/>
  <c r="AWW15" i="5"/>
  <c r="AWX15" i="5"/>
  <c r="AWY15" i="5"/>
  <c r="AWZ15" i="5"/>
  <c r="AXA15" i="5"/>
  <c r="AXB15" i="5"/>
  <c r="AXC15" i="5"/>
  <c r="AXD15" i="5"/>
  <c r="AXE15" i="5"/>
  <c r="AXF15" i="5"/>
  <c r="AXG15" i="5"/>
  <c r="AXH15" i="5"/>
  <c r="AXI15" i="5"/>
  <c r="AXJ15" i="5"/>
  <c r="AXK15" i="5"/>
  <c r="AXL15" i="5"/>
  <c r="AXM15" i="5"/>
  <c r="AXN15" i="5"/>
  <c r="AXO15" i="5"/>
  <c r="AXP15" i="5"/>
  <c r="AXQ15" i="5"/>
  <c r="AXR15" i="5"/>
  <c r="AXS15" i="5"/>
  <c r="AXT15" i="5"/>
  <c r="AXU15" i="5"/>
  <c r="AXV15" i="5"/>
  <c r="AXW15" i="5"/>
  <c r="AXX15" i="5"/>
  <c r="AXY15" i="5"/>
  <c r="AXZ15" i="5"/>
  <c r="AYA15" i="5"/>
  <c r="AYB15" i="5"/>
  <c r="AYC15" i="5"/>
  <c r="AYD15" i="5"/>
  <c r="AYE15" i="5"/>
  <c r="AYF15" i="5"/>
  <c r="AYG15" i="5"/>
  <c r="AYH15" i="5"/>
  <c r="AYI15" i="5"/>
  <c r="AYJ15" i="5"/>
  <c r="AYK15" i="5"/>
  <c r="AYL15" i="5"/>
  <c r="AYM15" i="5"/>
  <c r="AYN15" i="5"/>
  <c r="AYO15" i="5"/>
  <c r="AYP15" i="5"/>
  <c r="AYQ15" i="5"/>
  <c r="AYR15" i="5"/>
  <c r="AYS15" i="5"/>
  <c r="AYT15" i="5"/>
  <c r="AYU15" i="5"/>
  <c r="AYV15" i="5"/>
  <c r="AYW15" i="5"/>
  <c r="AYX15" i="5"/>
  <c r="AYY15" i="5"/>
  <c r="AYZ15" i="5"/>
  <c r="AZA15" i="5"/>
  <c r="AZB15" i="5"/>
  <c r="AZC15" i="5"/>
  <c r="AZD15" i="5"/>
  <c r="AZE15" i="5"/>
  <c r="AZF15" i="5"/>
  <c r="AZG15" i="5"/>
  <c r="AZH15" i="5"/>
  <c r="AZI15" i="5"/>
  <c r="AZJ15" i="5"/>
  <c r="AZK15" i="5"/>
  <c r="AZL15" i="5"/>
  <c r="AZM15" i="5"/>
  <c r="AZN15" i="5"/>
  <c r="AZO15" i="5"/>
  <c r="AZP15" i="5"/>
  <c r="AZQ15" i="5"/>
  <c r="AZR15" i="5"/>
  <c r="AZS15" i="5"/>
  <c r="AZT15" i="5"/>
  <c r="AZU15" i="5"/>
  <c r="AZV15" i="5"/>
  <c r="AZW15" i="5"/>
  <c r="AZX15" i="5"/>
  <c r="AZY15" i="5"/>
  <c r="AZZ15" i="5"/>
  <c r="BAA15" i="5"/>
  <c r="BAB15" i="5"/>
  <c r="BAC15" i="5"/>
  <c r="BAD15" i="5"/>
  <c r="BAE15" i="5"/>
  <c r="BAF15" i="5"/>
  <c r="BAG15" i="5"/>
  <c r="BAH15" i="5"/>
  <c r="BAI15" i="5"/>
  <c r="BAJ15" i="5"/>
  <c r="BAK15" i="5"/>
  <c r="BAL15" i="5"/>
  <c r="BAM15" i="5"/>
  <c r="BAN15" i="5"/>
  <c r="BAO15" i="5"/>
  <c r="BAP15" i="5"/>
  <c r="BAQ15" i="5"/>
  <c r="BAR15" i="5"/>
  <c r="BAS15" i="5"/>
  <c r="BAT15" i="5"/>
  <c r="BAU15" i="5"/>
  <c r="BAV15" i="5"/>
  <c r="BAW15" i="5"/>
  <c r="BAX15" i="5"/>
  <c r="BAY15" i="5"/>
  <c r="BAZ15" i="5"/>
  <c r="BBA15" i="5"/>
  <c r="BBB15" i="5"/>
  <c r="BBC15" i="5"/>
  <c r="BBD15" i="5"/>
  <c r="BBE15" i="5"/>
  <c r="BBF15" i="5"/>
  <c r="BBG15" i="5"/>
  <c r="BBH15" i="5"/>
  <c r="BBI15" i="5"/>
  <c r="BBJ15" i="5"/>
  <c r="BBK15" i="5"/>
  <c r="BBL15" i="5"/>
  <c r="BBM15" i="5"/>
  <c r="BBN15" i="5"/>
  <c r="BBO15" i="5"/>
  <c r="BBP15" i="5"/>
  <c r="BBQ15" i="5"/>
  <c r="BBR15" i="5"/>
  <c r="BBS15" i="5"/>
  <c r="BBT15" i="5"/>
  <c r="BBU15" i="5"/>
  <c r="BBV15" i="5"/>
  <c r="BBW15" i="5"/>
  <c r="BBX15" i="5"/>
  <c r="BBY15" i="5"/>
  <c r="BBZ15" i="5"/>
  <c r="BCA15" i="5"/>
  <c r="BCB15" i="5"/>
  <c r="BCC15" i="5"/>
  <c r="BCD15" i="5"/>
  <c r="BCE15" i="5"/>
  <c r="BCF15" i="5"/>
  <c r="BCG15" i="5"/>
  <c r="BCH15" i="5"/>
  <c r="BCI15" i="5"/>
  <c r="BCJ15" i="5"/>
  <c r="BCK15" i="5"/>
  <c r="BCL15" i="5"/>
  <c r="BCM15" i="5"/>
  <c r="BCN15" i="5"/>
  <c r="BCO15" i="5"/>
  <c r="BCP15" i="5"/>
  <c r="BCQ15" i="5"/>
  <c r="BCR15" i="5"/>
  <c r="BCS15" i="5"/>
  <c r="BCT15" i="5"/>
  <c r="BCU15" i="5"/>
  <c r="BCV15" i="5"/>
  <c r="BCW15" i="5"/>
  <c r="BCX15" i="5"/>
  <c r="BCY15" i="5"/>
  <c r="BCZ15" i="5"/>
  <c r="BDA15" i="5"/>
  <c r="BDB15" i="5"/>
  <c r="BDC15" i="5"/>
  <c r="BDD15" i="5"/>
  <c r="BDE15" i="5"/>
  <c r="BDF15" i="5"/>
  <c r="BDG15" i="5"/>
  <c r="BDH15" i="5"/>
  <c r="BDI15" i="5"/>
  <c r="BDJ15" i="5"/>
  <c r="BDK15" i="5"/>
  <c r="BDL15" i="5"/>
  <c r="BDM15" i="5"/>
  <c r="BDN15" i="5"/>
  <c r="BDO15" i="5"/>
  <c r="BDP15" i="5"/>
  <c r="BDQ15" i="5"/>
  <c r="BDR15" i="5"/>
  <c r="BDS15" i="5"/>
  <c r="BDT15" i="5"/>
  <c r="BDU15" i="5"/>
  <c r="BDV15" i="5"/>
  <c r="BDW15" i="5"/>
  <c r="BDX15" i="5"/>
  <c r="BDY15" i="5"/>
  <c r="BDZ15" i="5"/>
  <c r="BEA15" i="5"/>
  <c r="BEB15" i="5"/>
  <c r="BEC15" i="5"/>
  <c r="BED15" i="5"/>
  <c r="BEE15" i="5"/>
  <c r="BEF15" i="5"/>
  <c r="BEG15" i="5"/>
  <c r="BEH15" i="5"/>
  <c r="BEI15" i="5"/>
  <c r="BEJ15" i="5"/>
  <c r="BEK15" i="5"/>
  <c r="BEL15" i="5"/>
  <c r="BEM15" i="5"/>
  <c r="BEN15" i="5"/>
  <c r="BEO15" i="5"/>
  <c r="BEP15" i="5"/>
  <c r="BEQ15" i="5"/>
  <c r="BER15" i="5"/>
  <c r="BES15" i="5"/>
  <c r="BET15" i="5"/>
  <c r="BEU15" i="5"/>
  <c r="BEV15" i="5"/>
  <c r="BEW15" i="5"/>
  <c r="BEX15" i="5"/>
  <c r="BEY15" i="5"/>
  <c r="BEZ15" i="5"/>
  <c r="BFA15" i="5"/>
  <c r="BFB15" i="5"/>
  <c r="BFC15" i="5"/>
  <c r="BFD15" i="5"/>
  <c r="BFE15" i="5"/>
  <c r="BFF15" i="5"/>
  <c r="BFG15" i="5"/>
  <c r="BFH15" i="5"/>
  <c r="BFI15" i="5"/>
  <c r="BFJ15" i="5"/>
  <c r="BFK15" i="5"/>
  <c r="BFL15" i="5"/>
  <c r="BFM15" i="5"/>
  <c r="BFN15" i="5"/>
  <c r="BFO15" i="5"/>
  <c r="BFP15" i="5"/>
  <c r="BFQ15" i="5"/>
  <c r="BFR15" i="5"/>
  <c r="BFS15" i="5"/>
  <c r="BFT15" i="5"/>
  <c r="BFU15" i="5"/>
  <c r="BFV15" i="5"/>
  <c r="BFW15" i="5"/>
  <c r="BFX15" i="5"/>
  <c r="BFY15" i="5"/>
  <c r="BFZ15" i="5"/>
  <c r="BGA15" i="5"/>
  <c r="BGB15" i="5"/>
  <c r="BGC15" i="5"/>
  <c r="BGD15" i="5"/>
  <c r="BGE15" i="5"/>
  <c r="BGF15" i="5"/>
  <c r="BGG15" i="5"/>
  <c r="BGH15" i="5"/>
  <c r="BGI15" i="5"/>
  <c r="BGJ15" i="5"/>
  <c r="BGK15" i="5"/>
  <c r="BGL15" i="5"/>
  <c r="BGM15" i="5"/>
  <c r="BGN15" i="5"/>
  <c r="BGO15" i="5"/>
  <c r="BGP15" i="5"/>
  <c r="BGQ15" i="5"/>
  <c r="BGR15" i="5"/>
  <c r="BGS15" i="5"/>
  <c r="BGT15" i="5"/>
  <c r="BGU15" i="5"/>
  <c r="BGV15" i="5"/>
  <c r="BGW15" i="5"/>
  <c r="BGX15" i="5"/>
  <c r="BGY15" i="5"/>
  <c r="BGZ15" i="5"/>
  <c r="BHA15" i="5"/>
  <c r="BHB15" i="5"/>
  <c r="BHC15" i="5"/>
  <c r="BHD15" i="5"/>
  <c r="BHE15" i="5"/>
  <c r="BHF15" i="5"/>
  <c r="BHG15" i="5"/>
  <c r="BHH15" i="5"/>
  <c r="BHI15" i="5"/>
  <c r="BHJ15" i="5"/>
  <c r="BHK15" i="5"/>
  <c r="BHL15" i="5"/>
  <c r="BHM15" i="5"/>
  <c r="BHN15" i="5"/>
  <c r="BHO15" i="5"/>
  <c r="BHP15" i="5"/>
  <c r="BHQ15" i="5"/>
  <c r="BHR15" i="5"/>
  <c r="BHS15" i="5"/>
  <c r="BHT15" i="5"/>
  <c r="BHU15" i="5"/>
  <c r="BHV15" i="5"/>
  <c r="BHW15" i="5"/>
  <c r="BHX15" i="5"/>
  <c r="BHY15" i="5"/>
  <c r="BHZ15" i="5"/>
  <c r="BIA15" i="5"/>
  <c r="BIB15" i="5"/>
  <c r="BIC15" i="5"/>
  <c r="BID15" i="5"/>
  <c r="BIE15" i="5"/>
  <c r="BIF15" i="5"/>
  <c r="BIG15" i="5"/>
  <c r="BIH15" i="5"/>
  <c r="BII15" i="5"/>
  <c r="BIJ15" i="5"/>
  <c r="BIK15" i="5"/>
  <c r="BIL15" i="5"/>
  <c r="BIM15" i="5"/>
  <c r="BIN15" i="5"/>
  <c r="BIO15" i="5"/>
  <c r="BIP15" i="5"/>
  <c r="BIQ15" i="5"/>
  <c r="BIR15" i="5"/>
  <c r="BIS15" i="5"/>
  <c r="BIT15" i="5"/>
  <c r="BIU15" i="5"/>
  <c r="BIV15" i="5"/>
  <c r="BIW15" i="5"/>
  <c r="BIX15" i="5"/>
  <c r="BIY15" i="5"/>
  <c r="BIZ15" i="5"/>
  <c r="BJA15" i="5"/>
  <c r="BJB15" i="5"/>
  <c r="BJC15" i="5"/>
  <c r="BJD15" i="5"/>
  <c r="BJE15" i="5"/>
  <c r="BJF15" i="5"/>
  <c r="BJG15" i="5"/>
  <c r="BJH15" i="5"/>
  <c r="BJI15" i="5"/>
  <c r="BJJ15" i="5"/>
  <c r="BJK15" i="5"/>
  <c r="BJL15" i="5"/>
  <c r="BJM15" i="5"/>
  <c r="BJN15" i="5"/>
  <c r="BJO15" i="5"/>
  <c r="BJP15" i="5"/>
  <c r="BJQ15" i="5"/>
  <c r="BJR15" i="5"/>
  <c r="BJS15" i="5"/>
  <c r="BJT15" i="5"/>
  <c r="BJU15" i="5"/>
  <c r="BJV15" i="5"/>
  <c r="BJW15" i="5"/>
  <c r="BJX15" i="5"/>
  <c r="BJY15" i="5"/>
  <c r="BJZ15" i="5"/>
  <c r="BKA15" i="5"/>
  <c r="BKB15" i="5"/>
  <c r="BKC15" i="5"/>
  <c r="BKD15" i="5"/>
  <c r="BKE15" i="5"/>
  <c r="BKF15" i="5"/>
  <c r="BKG15" i="5"/>
  <c r="BKH15" i="5"/>
  <c r="BKI15" i="5"/>
  <c r="BKJ15" i="5"/>
  <c r="BKK15" i="5"/>
  <c r="BKL15" i="5"/>
  <c r="BKM15" i="5"/>
  <c r="BKN15" i="5"/>
  <c r="BKO15" i="5"/>
  <c r="BKP15" i="5"/>
  <c r="BKQ15" i="5"/>
  <c r="BKR15" i="5"/>
  <c r="BKS15" i="5"/>
  <c r="BKT15" i="5"/>
  <c r="BKU15" i="5"/>
  <c r="BKV15" i="5"/>
  <c r="BKW15" i="5"/>
  <c r="BKX15" i="5"/>
  <c r="BKY15" i="5"/>
  <c r="BKZ15" i="5"/>
  <c r="BLA15" i="5"/>
  <c r="BLB15" i="5"/>
  <c r="BLC15" i="5"/>
  <c r="BLD15" i="5"/>
  <c r="BLE15" i="5"/>
  <c r="BLF15" i="5"/>
  <c r="BLG15" i="5"/>
  <c r="BLH15" i="5"/>
  <c r="BLI15" i="5"/>
  <c r="BLJ15" i="5"/>
  <c r="BLK15" i="5"/>
  <c r="BLL15" i="5"/>
  <c r="BLM15" i="5"/>
  <c r="BLN15" i="5"/>
  <c r="BLO15" i="5"/>
  <c r="BLP15" i="5"/>
  <c r="BLQ15" i="5"/>
  <c r="BLR15" i="5"/>
  <c r="BLS15" i="5"/>
  <c r="BLT15" i="5"/>
  <c r="BLU15" i="5"/>
  <c r="BLV15" i="5"/>
  <c r="BLW15" i="5"/>
  <c r="BLX15" i="5"/>
  <c r="BLY15" i="5"/>
  <c r="BLZ15" i="5"/>
  <c r="BMA15" i="5"/>
  <c r="BMB15" i="5"/>
  <c r="BMC15" i="5"/>
  <c r="BMD15" i="5"/>
  <c r="BME15" i="5"/>
  <c r="BMF15" i="5"/>
  <c r="BMG15" i="5"/>
  <c r="BMH15" i="5"/>
  <c r="BMI15" i="5"/>
  <c r="BMJ15" i="5"/>
  <c r="BMK15" i="5"/>
  <c r="BML15" i="5"/>
  <c r="BMM15" i="5"/>
  <c r="BMN15" i="5"/>
  <c r="BMO15" i="5"/>
  <c r="BMP15" i="5"/>
  <c r="BMQ15" i="5"/>
  <c r="BMR15" i="5"/>
  <c r="BMS15" i="5"/>
  <c r="BMT15" i="5"/>
  <c r="BMU15" i="5"/>
  <c r="BMV15" i="5"/>
  <c r="BMW15" i="5"/>
  <c r="BMX15" i="5"/>
  <c r="BMY15" i="5"/>
  <c r="BMZ15" i="5"/>
  <c r="BNA15" i="5"/>
  <c r="BNB15" i="5"/>
  <c r="BNC15" i="5"/>
  <c r="BND15" i="5"/>
  <c r="BNE15" i="5"/>
  <c r="BNF15" i="5"/>
  <c r="BNG15" i="5"/>
  <c r="BNH15" i="5"/>
  <c r="BNI15" i="5"/>
  <c r="BNJ15" i="5"/>
  <c r="BNK15" i="5"/>
  <c r="BNL15" i="5"/>
  <c r="BNM15" i="5"/>
  <c r="BNN15" i="5"/>
  <c r="BNO15" i="5"/>
  <c r="BNP15" i="5"/>
  <c r="BNQ15" i="5"/>
  <c r="BNR15" i="5"/>
  <c r="BNS15" i="5"/>
  <c r="BNT15" i="5"/>
  <c r="BNU15" i="5"/>
  <c r="BNV15" i="5"/>
  <c r="BNW15" i="5"/>
  <c r="BNX15" i="5"/>
  <c r="BNY15" i="5"/>
  <c r="BNZ15" i="5"/>
  <c r="BOA15" i="5"/>
  <c r="BOB15" i="5"/>
  <c r="BOC15" i="5"/>
  <c r="BOD15" i="5"/>
  <c r="BOE15" i="5"/>
  <c r="BOF15" i="5"/>
  <c r="BOG15" i="5"/>
  <c r="BOH15" i="5"/>
  <c r="BOI15" i="5"/>
  <c r="BOJ15" i="5"/>
  <c r="BOK15" i="5"/>
  <c r="BOL15" i="5"/>
  <c r="BOM15" i="5"/>
  <c r="BON15" i="5"/>
  <c r="BOO15" i="5"/>
  <c r="BOP15" i="5"/>
  <c r="BOQ15" i="5"/>
  <c r="BOR15" i="5"/>
  <c r="BOS15" i="5"/>
  <c r="BOT15" i="5"/>
  <c r="BOU15" i="5"/>
  <c r="BOV15" i="5"/>
  <c r="BOW15" i="5"/>
  <c r="BOX15" i="5"/>
  <c r="BOY15" i="5"/>
  <c r="BOZ15" i="5"/>
  <c r="BPA15" i="5"/>
  <c r="BPB15" i="5"/>
  <c r="BPC15" i="5"/>
  <c r="BPD15" i="5"/>
  <c r="BPE15" i="5"/>
  <c r="BPF15" i="5"/>
  <c r="BPG15" i="5"/>
  <c r="BPH15" i="5"/>
  <c r="BPI15" i="5"/>
  <c r="BPJ15" i="5"/>
  <c r="BPK15" i="5"/>
  <c r="BPL15" i="5"/>
  <c r="BPM15" i="5"/>
  <c r="BPN15" i="5"/>
  <c r="BPO15" i="5"/>
  <c r="BPP15" i="5"/>
  <c r="BPQ15" i="5"/>
  <c r="BPR15" i="5"/>
  <c r="BPS15" i="5"/>
  <c r="BPT15" i="5"/>
  <c r="BPU15" i="5"/>
  <c r="BPV15" i="5"/>
  <c r="BPW15" i="5"/>
  <c r="BPX15" i="5"/>
  <c r="BPY15" i="5"/>
  <c r="BPZ15" i="5"/>
  <c r="BQA15" i="5"/>
  <c r="BQB15" i="5"/>
  <c r="BQC15" i="5"/>
  <c r="BQD15" i="5"/>
  <c r="BQE15" i="5"/>
  <c r="BQF15" i="5"/>
  <c r="BQG15" i="5"/>
  <c r="BQH15" i="5"/>
  <c r="BQI15" i="5"/>
  <c r="BQJ15" i="5"/>
  <c r="BQK15" i="5"/>
  <c r="BQL15" i="5"/>
  <c r="BQM15" i="5"/>
  <c r="BQN15" i="5"/>
  <c r="BQO15" i="5"/>
  <c r="BQP15" i="5"/>
  <c r="BQQ15" i="5"/>
  <c r="BQR15" i="5"/>
  <c r="BQS15" i="5"/>
  <c r="BQT15" i="5"/>
  <c r="BQU15" i="5"/>
  <c r="BQV15" i="5"/>
  <c r="BQW15" i="5"/>
  <c r="BQX15" i="5"/>
  <c r="BQY15" i="5"/>
  <c r="BQZ15" i="5"/>
  <c r="BRA15" i="5"/>
  <c r="BRB15" i="5"/>
  <c r="BRC15" i="5"/>
  <c r="BRD15" i="5"/>
  <c r="BRE15" i="5"/>
  <c r="BRF15" i="5"/>
  <c r="BRG15" i="5"/>
  <c r="BRH15" i="5"/>
  <c r="BRI15" i="5"/>
  <c r="BRJ15" i="5"/>
  <c r="BRK15" i="5"/>
  <c r="BRL15" i="5"/>
  <c r="BRM15" i="5"/>
  <c r="BRN15" i="5"/>
  <c r="BRO15" i="5"/>
  <c r="BRP15" i="5"/>
  <c r="BRQ15" i="5"/>
  <c r="BRR15" i="5"/>
  <c r="BRS15" i="5"/>
  <c r="BRT15" i="5"/>
  <c r="BRU15" i="5"/>
  <c r="BRV15" i="5"/>
  <c r="BRW15" i="5"/>
  <c r="BRX15" i="5"/>
  <c r="BRY15" i="5"/>
  <c r="BRZ15" i="5"/>
  <c r="BSA15" i="5"/>
  <c r="BSB15" i="5"/>
  <c r="BSC15" i="5"/>
  <c r="BSD15" i="5"/>
  <c r="BSE15" i="5"/>
  <c r="BSF15" i="5"/>
  <c r="BSG15" i="5"/>
  <c r="BSH15" i="5"/>
  <c r="BSI15" i="5"/>
  <c r="BSJ15" i="5"/>
  <c r="BSK15" i="5"/>
  <c r="BSL15" i="5"/>
  <c r="BSM15" i="5"/>
  <c r="BSN15" i="5"/>
  <c r="BSO15" i="5"/>
  <c r="BSP15" i="5"/>
  <c r="BSQ15" i="5"/>
  <c r="BSR15" i="5"/>
  <c r="BSS15" i="5"/>
  <c r="BST15" i="5"/>
  <c r="BSU15" i="5"/>
  <c r="BSV15" i="5"/>
  <c r="BSW15" i="5"/>
  <c r="BSX15" i="5"/>
  <c r="BSY15" i="5"/>
  <c r="BSZ15" i="5"/>
  <c r="BTA15" i="5"/>
  <c r="BTB15" i="5"/>
  <c r="BTC15" i="5"/>
  <c r="BTD15" i="5"/>
  <c r="BTE15" i="5"/>
  <c r="BTF15" i="5"/>
  <c r="BTG15" i="5"/>
  <c r="BTH15" i="5"/>
  <c r="BTI15" i="5"/>
  <c r="BTJ15" i="5"/>
  <c r="BTK15" i="5"/>
  <c r="BTL15" i="5"/>
  <c r="BTM15" i="5"/>
  <c r="BTN15" i="5"/>
  <c r="BTO15" i="5"/>
  <c r="BTP15" i="5"/>
  <c r="BTQ15" i="5"/>
  <c r="BTR15" i="5"/>
  <c r="BTS15" i="5"/>
  <c r="BTT15" i="5"/>
  <c r="BTU15" i="5"/>
  <c r="BTV15" i="5"/>
  <c r="BTW15" i="5"/>
  <c r="BTX15" i="5"/>
  <c r="BTY15" i="5"/>
  <c r="BTZ15" i="5"/>
  <c r="BUA15" i="5"/>
  <c r="BUB15" i="5"/>
  <c r="BUC15" i="5"/>
  <c r="BUD15" i="5"/>
  <c r="BUE15" i="5"/>
  <c r="BUF15" i="5"/>
  <c r="BUG15" i="5"/>
  <c r="BUH15" i="5"/>
  <c r="BUI15" i="5"/>
  <c r="BUJ15" i="5"/>
  <c r="BUK15" i="5"/>
  <c r="BUL15" i="5"/>
  <c r="BUM15" i="5"/>
  <c r="BUN15" i="5"/>
  <c r="BUO15" i="5"/>
  <c r="BUP15" i="5"/>
  <c r="BUQ15" i="5"/>
  <c r="BUR15" i="5"/>
  <c r="BUS15" i="5"/>
  <c r="BUT15" i="5"/>
  <c r="BUU15" i="5"/>
  <c r="BUV15" i="5"/>
  <c r="BUW15" i="5"/>
  <c r="BUX15" i="5"/>
  <c r="BUY15" i="5"/>
  <c r="BUZ15" i="5"/>
  <c r="BVA15" i="5"/>
  <c r="BVB15" i="5"/>
  <c r="BVC15" i="5"/>
  <c r="BVD15" i="5"/>
  <c r="BVE15" i="5"/>
  <c r="BVF15" i="5"/>
  <c r="BVG15" i="5"/>
  <c r="BVH15" i="5"/>
  <c r="BVI15" i="5"/>
  <c r="BVJ15" i="5"/>
  <c r="BVK15" i="5"/>
  <c r="BVL15" i="5"/>
  <c r="BVM15" i="5"/>
  <c r="BVN15" i="5"/>
  <c r="BVO15" i="5"/>
  <c r="BVP15" i="5"/>
  <c r="BVQ15" i="5"/>
  <c r="BVR15" i="5"/>
  <c r="BVS15" i="5"/>
  <c r="BVT15" i="5"/>
  <c r="BVU15" i="5"/>
  <c r="BVV15" i="5"/>
  <c r="BVW15" i="5"/>
  <c r="BVX15" i="5"/>
  <c r="BVY15" i="5"/>
  <c r="BVZ15" i="5"/>
  <c r="BWA15" i="5"/>
  <c r="BWB15" i="5"/>
  <c r="BWC15" i="5"/>
  <c r="BWD15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D16" i="5"/>
  <c r="NE16" i="5"/>
  <c r="NF16" i="5"/>
  <c r="NG16" i="5"/>
  <c r="NH16" i="5"/>
  <c r="NI16" i="5"/>
  <c r="NJ16" i="5"/>
  <c r="NK16" i="5"/>
  <c r="NL16" i="5"/>
  <c r="NM16" i="5"/>
  <c r="NN16" i="5"/>
  <c r="NO16" i="5"/>
  <c r="NP16" i="5"/>
  <c r="NQ16" i="5"/>
  <c r="NR16" i="5"/>
  <c r="NS16" i="5"/>
  <c r="NT16" i="5"/>
  <c r="NU16" i="5"/>
  <c r="NV16" i="5"/>
  <c r="NW16" i="5"/>
  <c r="NX16" i="5"/>
  <c r="NY16" i="5"/>
  <c r="NZ16" i="5"/>
  <c r="OA16" i="5"/>
  <c r="OB16" i="5"/>
  <c r="OC16" i="5"/>
  <c r="OD16" i="5"/>
  <c r="OE16" i="5"/>
  <c r="OF16" i="5"/>
  <c r="OG16" i="5"/>
  <c r="OH16" i="5"/>
  <c r="OI16" i="5"/>
  <c r="OJ16" i="5"/>
  <c r="OK16" i="5"/>
  <c r="OL16" i="5"/>
  <c r="OM16" i="5"/>
  <c r="ON16" i="5"/>
  <c r="OO16" i="5"/>
  <c r="OP16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PO16" i="5"/>
  <c r="PP16" i="5"/>
  <c r="PQ16" i="5"/>
  <c r="PR16" i="5"/>
  <c r="PS16" i="5"/>
  <c r="PT16" i="5"/>
  <c r="PU16" i="5"/>
  <c r="PV16" i="5"/>
  <c r="PW16" i="5"/>
  <c r="PX16" i="5"/>
  <c r="PY16" i="5"/>
  <c r="PZ16" i="5"/>
  <c r="QA16" i="5"/>
  <c r="QB16" i="5"/>
  <c r="QC16" i="5"/>
  <c r="QD16" i="5"/>
  <c r="QE16" i="5"/>
  <c r="QF16" i="5"/>
  <c r="QG16" i="5"/>
  <c r="QH16" i="5"/>
  <c r="QI16" i="5"/>
  <c r="QJ16" i="5"/>
  <c r="QK16" i="5"/>
  <c r="QL16" i="5"/>
  <c r="QM16" i="5"/>
  <c r="QN16" i="5"/>
  <c r="QO16" i="5"/>
  <c r="QP16" i="5"/>
  <c r="QQ16" i="5"/>
  <c r="QR16" i="5"/>
  <c r="QS16" i="5"/>
  <c r="QT16" i="5"/>
  <c r="QU16" i="5"/>
  <c r="QV16" i="5"/>
  <c r="QW16" i="5"/>
  <c r="QX16" i="5"/>
  <c r="QY16" i="5"/>
  <c r="QZ16" i="5"/>
  <c r="RA16" i="5"/>
  <c r="RB16" i="5"/>
  <c r="RC16" i="5"/>
  <c r="RD16" i="5"/>
  <c r="RE16" i="5"/>
  <c r="RF16" i="5"/>
  <c r="RG16" i="5"/>
  <c r="RH16" i="5"/>
  <c r="RI16" i="5"/>
  <c r="RJ16" i="5"/>
  <c r="RK16" i="5"/>
  <c r="RL16" i="5"/>
  <c r="RM16" i="5"/>
  <c r="RN16" i="5"/>
  <c r="RO16" i="5"/>
  <c r="RP16" i="5"/>
  <c r="RQ16" i="5"/>
  <c r="RR16" i="5"/>
  <c r="RS16" i="5"/>
  <c r="RT16" i="5"/>
  <c r="RU16" i="5"/>
  <c r="RV16" i="5"/>
  <c r="RW16" i="5"/>
  <c r="RX16" i="5"/>
  <c r="RY16" i="5"/>
  <c r="RZ16" i="5"/>
  <c r="SA16" i="5"/>
  <c r="SB16" i="5"/>
  <c r="SC16" i="5"/>
  <c r="SD16" i="5"/>
  <c r="SE16" i="5"/>
  <c r="SF16" i="5"/>
  <c r="SG16" i="5"/>
  <c r="SH16" i="5"/>
  <c r="SI16" i="5"/>
  <c r="SJ16" i="5"/>
  <c r="SK16" i="5"/>
  <c r="SL16" i="5"/>
  <c r="SM16" i="5"/>
  <c r="SN16" i="5"/>
  <c r="SO16" i="5"/>
  <c r="SP16" i="5"/>
  <c r="SQ16" i="5"/>
  <c r="SR16" i="5"/>
  <c r="SS16" i="5"/>
  <c r="ST16" i="5"/>
  <c r="SU16" i="5"/>
  <c r="SV16" i="5"/>
  <c r="SW16" i="5"/>
  <c r="SX16" i="5"/>
  <c r="SY16" i="5"/>
  <c r="SZ16" i="5"/>
  <c r="TA16" i="5"/>
  <c r="TB16" i="5"/>
  <c r="TC16" i="5"/>
  <c r="TD16" i="5"/>
  <c r="TE16" i="5"/>
  <c r="TF16" i="5"/>
  <c r="TG16" i="5"/>
  <c r="TH16" i="5"/>
  <c r="TI16" i="5"/>
  <c r="TJ16" i="5"/>
  <c r="TK16" i="5"/>
  <c r="TL16" i="5"/>
  <c r="TM16" i="5"/>
  <c r="TN16" i="5"/>
  <c r="TO16" i="5"/>
  <c r="TP16" i="5"/>
  <c r="TQ16" i="5"/>
  <c r="TR16" i="5"/>
  <c r="TS16" i="5"/>
  <c r="TT16" i="5"/>
  <c r="TU16" i="5"/>
  <c r="TV16" i="5"/>
  <c r="TW16" i="5"/>
  <c r="TX16" i="5"/>
  <c r="TY16" i="5"/>
  <c r="TZ16" i="5"/>
  <c r="UA16" i="5"/>
  <c r="UB16" i="5"/>
  <c r="UC16" i="5"/>
  <c r="UD16" i="5"/>
  <c r="UE16" i="5"/>
  <c r="UF16" i="5"/>
  <c r="UG16" i="5"/>
  <c r="UH16" i="5"/>
  <c r="UI16" i="5"/>
  <c r="UJ16" i="5"/>
  <c r="UK16" i="5"/>
  <c r="UL16" i="5"/>
  <c r="UM16" i="5"/>
  <c r="UN16" i="5"/>
  <c r="UO16" i="5"/>
  <c r="UP16" i="5"/>
  <c r="UQ16" i="5"/>
  <c r="UR16" i="5"/>
  <c r="US16" i="5"/>
  <c r="UT16" i="5"/>
  <c r="UU16" i="5"/>
  <c r="UV16" i="5"/>
  <c r="UW16" i="5"/>
  <c r="UX16" i="5"/>
  <c r="UY16" i="5"/>
  <c r="UZ16" i="5"/>
  <c r="VA16" i="5"/>
  <c r="VB16" i="5"/>
  <c r="VC16" i="5"/>
  <c r="VD16" i="5"/>
  <c r="VE16" i="5"/>
  <c r="VF16" i="5"/>
  <c r="VG16" i="5"/>
  <c r="VH16" i="5"/>
  <c r="VI16" i="5"/>
  <c r="VJ16" i="5"/>
  <c r="VK16" i="5"/>
  <c r="VL16" i="5"/>
  <c r="VM16" i="5"/>
  <c r="VN16" i="5"/>
  <c r="VO16" i="5"/>
  <c r="VP16" i="5"/>
  <c r="VQ16" i="5"/>
  <c r="VR16" i="5"/>
  <c r="VS16" i="5"/>
  <c r="VT16" i="5"/>
  <c r="VU16" i="5"/>
  <c r="VV16" i="5"/>
  <c r="VW16" i="5"/>
  <c r="VX16" i="5"/>
  <c r="VY16" i="5"/>
  <c r="VZ16" i="5"/>
  <c r="WA16" i="5"/>
  <c r="WB16" i="5"/>
  <c r="WC16" i="5"/>
  <c r="WD16" i="5"/>
  <c r="WE16" i="5"/>
  <c r="WF16" i="5"/>
  <c r="WG16" i="5"/>
  <c r="WH16" i="5"/>
  <c r="WI16" i="5"/>
  <c r="WJ16" i="5"/>
  <c r="WK16" i="5"/>
  <c r="WL16" i="5"/>
  <c r="WM16" i="5"/>
  <c r="WN16" i="5"/>
  <c r="WO16" i="5"/>
  <c r="WP16" i="5"/>
  <c r="WQ16" i="5"/>
  <c r="WR16" i="5"/>
  <c r="WS16" i="5"/>
  <c r="WT16" i="5"/>
  <c r="WU16" i="5"/>
  <c r="WV16" i="5"/>
  <c r="WW16" i="5"/>
  <c r="WX16" i="5"/>
  <c r="WY16" i="5"/>
  <c r="WZ16" i="5"/>
  <c r="XA16" i="5"/>
  <c r="XB16" i="5"/>
  <c r="XC16" i="5"/>
  <c r="XD16" i="5"/>
  <c r="XE16" i="5"/>
  <c r="XF16" i="5"/>
  <c r="XG16" i="5"/>
  <c r="XH16" i="5"/>
  <c r="XI16" i="5"/>
  <c r="XJ16" i="5"/>
  <c r="XK16" i="5"/>
  <c r="XL16" i="5"/>
  <c r="XM16" i="5"/>
  <c r="XN16" i="5"/>
  <c r="XO16" i="5"/>
  <c r="XP16" i="5"/>
  <c r="XQ16" i="5"/>
  <c r="XR16" i="5"/>
  <c r="XS16" i="5"/>
  <c r="XT16" i="5"/>
  <c r="XU16" i="5"/>
  <c r="XV16" i="5"/>
  <c r="XW16" i="5"/>
  <c r="XX16" i="5"/>
  <c r="XY16" i="5"/>
  <c r="XZ16" i="5"/>
  <c r="YA16" i="5"/>
  <c r="YB16" i="5"/>
  <c r="YC16" i="5"/>
  <c r="YD16" i="5"/>
  <c r="YE16" i="5"/>
  <c r="YF16" i="5"/>
  <c r="YG16" i="5"/>
  <c r="YH16" i="5"/>
  <c r="YI16" i="5"/>
  <c r="YJ16" i="5"/>
  <c r="YK16" i="5"/>
  <c r="YL16" i="5"/>
  <c r="YM16" i="5"/>
  <c r="YN16" i="5"/>
  <c r="YO16" i="5"/>
  <c r="YP16" i="5"/>
  <c r="YQ16" i="5"/>
  <c r="YR16" i="5"/>
  <c r="YS16" i="5"/>
  <c r="YT16" i="5"/>
  <c r="YU16" i="5"/>
  <c r="YV16" i="5"/>
  <c r="YW16" i="5"/>
  <c r="YX16" i="5"/>
  <c r="YY16" i="5"/>
  <c r="YZ16" i="5"/>
  <c r="ZA16" i="5"/>
  <c r="ZB16" i="5"/>
  <c r="ZC16" i="5"/>
  <c r="ZD16" i="5"/>
  <c r="ZE16" i="5"/>
  <c r="ZF16" i="5"/>
  <c r="ZG16" i="5"/>
  <c r="ZH16" i="5"/>
  <c r="ZI16" i="5"/>
  <c r="ZJ16" i="5"/>
  <c r="ZK16" i="5"/>
  <c r="ZL16" i="5"/>
  <c r="ZM16" i="5"/>
  <c r="ZN16" i="5"/>
  <c r="ZO16" i="5"/>
  <c r="ZP16" i="5"/>
  <c r="ZQ16" i="5"/>
  <c r="ZR16" i="5"/>
  <c r="ZS16" i="5"/>
  <c r="ZT16" i="5"/>
  <c r="ZU16" i="5"/>
  <c r="ZV16" i="5"/>
  <c r="ZW16" i="5"/>
  <c r="ZX16" i="5"/>
  <c r="ZY16" i="5"/>
  <c r="ZZ16" i="5"/>
  <c r="AAA16" i="5"/>
  <c r="AAB16" i="5"/>
  <c r="AAC16" i="5"/>
  <c r="AAD16" i="5"/>
  <c r="AAE16" i="5"/>
  <c r="AAF16" i="5"/>
  <c r="AAG16" i="5"/>
  <c r="AAH16" i="5"/>
  <c r="AAI16" i="5"/>
  <c r="AAJ16" i="5"/>
  <c r="AAK16" i="5"/>
  <c r="AAL16" i="5"/>
  <c r="AAM16" i="5"/>
  <c r="AAN16" i="5"/>
  <c r="AAO16" i="5"/>
  <c r="AAP16" i="5"/>
  <c r="AAQ16" i="5"/>
  <c r="AAR16" i="5"/>
  <c r="AAS16" i="5"/>
  <c r="AAT16" i="5"/>
  <c r="AAU16" i="5"/>
  <c r="AAV16" i="5"/>
  <c r="AAW16" i="5"/>
  <c r="AAX16" i="5"/>
  <c r="AAY16" i="5"/>
  <c r="AAZ16" i="5"/>
  <c r="ABA16" i="5"/>
  <c r="ABB16" i="5"/>
  <c r="ABC16" i="5"/>
  <c r="ABD16" i="5"/>
  <c r="ABE16" i="5"/>
  <c r="ABF16" i="5"/>
  <c r="ABG16" i="5"/>
  <c r="ABH16" i="5"/>
  <c r="ABI16" i="5"/>
  <c r="ABJ16" i="5"/>
  <c r="ABK16" i="5"/>
  <c r="ABL16" i="5"/>
  <c r="ABM16" i="5"/>
  <c r="ABN16" i="5"/>
  <c r="ABO16" i="5"/>
  <c r="ABP16" i="5"/>
  <c r="ABQ16" i="5"/>
  <c r="ABR16" i="5"/>
  <c r="ABS16" i="5"/>
  <c r="ABT16" i="5"/>
  <c r="ABU16" i="5"/>
  <c r="ABV16" i="5"/>
  <c r="ABW16" i="5"/>
  <c r="ABX16" i="5"/>
  <c r="ABY16" i="5"/>
  <c r="ABZ16" i="5"/>
  <c r="ACA16" i="5"/>
  <c r="ACB16" i="5"/>
  <c r="ACC16" i="5"/>
  <c r="ACD16" i="5"/>
  <c r="ACE16" i="5"/>
  <c r="ACF16" i="5"/>
  <c r="ACG16" i="5"/>
  <c r="ACH16" i="5"/>
  <c r="ACI16" i="5"/>
  <c r="ACJ16" i="5"/>
  <c r="ACK16" i="5"/>
  <c r="ACL16" i="5"/>
  <c r="ACM16" i="5"/>
  <c r="ACN16" i="5"/>
  <c r="ACO16" i="5"/>
  <c r="ACP16" i="5"/>
  <c r="ACQ16" i="5"/>
  <c r="ACR16" i="5"/>
  <c r="ACS16" i="5"/>
  <c r="ACT16" i="5"/>
  <c r="ACU16" i="5"/>
  <c r="ACV16" i="5"/>
  <c r="ACW16" i="5"/>
  <c r="ACX16" i="5"/>
  <c r="ACY16" i="5"/>
  <c r="ACZ16" i="5"/>
  <c r="ADA16" i="5"/>
  <c r="ADB16" i="5"/>
  <c r="ADC16" i="5"/>
  <c r="ADD16" i="5"/>
  <c r="ADE16" i="5"/>
  <c r="ADF16" i="5"/>
  <c r="ADG16" i="5"/>
  <c r="ADH16" i="5"/>
  <c r="ADI16" i="5"/>
  <c r="ADJ16" i="5"/>
  <c r="ADK16" i="5"/>
  <c r="ADL16" i="5"/>
  <c r="ADM16" i="5"/>
  <c r="ADN16" i="5"/>
  <c r="ADO16" i="5"/>
  <c r="ADP16" i="5"/>
  <c r="ADQ16" i="5"/>
  <c r="ADR16" i="5"/>
  <c r="ADS16" i="5"/>
  <c r="ADT16" i="5"/>
  <c r="ADU16" i="5"/>
  <c r="ADV16" i="5"/>
  <c r="ADW16" i="5"/>
  <c r="ADX16" i="5"/>
  <c r="ADY16" i="5"/>
  <c r="ADZ16" i="5"/>
  <c r="AEA16" i="5"/>
  <c r="AEB16" i="5"/>
  <c r="AEC16" i="5"/>
  <c r="AED16" i="5"/>
  <c r="AEE16" i="5"/>
  <c r="AEF16" i="5"/>
  <c r="AEG16" i="5"/>
  <c r="AEH16" i="5"/>
  <c r="AEI16" i="5"/>
  <c r="AEJ16" i="5"/>
  <c r="AEK16" i="5"/>
  <c r="AEL16" i="5"/>
  <c r="AEM16" i="5"/>
  <c r="AEN16" i="5"/>
  <c r="AEO16" i="5"/>
  <c r="AEP16" i="5"/>
  <c r="AEQ16" i="5"/>
  <c r="AER16" i="5"/>
  <c r="AES16" i="5"/>
  <c r="AET16" i="5"/>
  <c r="AEU16" i="5"/>
  <c r="AEV16" i="5"/>
  <c r="AEW16" i="5"/>
  <c r="AEX16" i="5"/>
  <c r="AEY16" i="5"/>
  <c r="AEZ16" i="5"/>
  <c r="AFA16" i="5"/>
  <c r="AFB16" i="5"/>
  <c r="AFC16" i="5"/>
  <c r="AFD16" i="5"/>
  <c r="AFE16" i="5"/>
  <c r="AFF16" i="5"/>
  <c r="AFG16" i="5"/>
  <c r="AFH16" i="5"/>
  <c r="AFI16" i="5"/>
  <c r="AFJ16" i="5"/>
  <c r="AFK16" i="5"/>
  <c r="AFL16" i="5"/>
  <c r="AFM16" i="5"/>
  <c r="AFN16" i="5"/>
  <c r="AFO16" i="5"/>
  <c r="AFP16" i="5"/>
  <c r="AFQ16" i="5"/>
  <c r="AFR16" i="5"/>
  <c r="AFS16" i="5"/>
  <c r="AFT16" i="5"/>
  <c r="AFU16" i="5"/>
  <c r="AFV16" i="5"/>
  <c r="AFW16" i="5"/>
  <c r="AFX16" i="5"/>
  <c r="AFY16" i="5"/>
  <c r="AFZ16" i="5"/>
  <c r="AGA16" i="5"/>
  <c r="AGB16" i="5"/>
  <c r="AGC16" i="5"/>
  <c r="AGD16" i="5"/>
  <c r="AGE16" i="5"/>
  <c r="AGF16" i="5"/>
  <c r="AGG16" i="5"/>
  <c r="AGH16" i="5"/>
  <c r="AGI16" i="5"/>
  <c r="AGJ16" i="5"/>
  <c r="AGK16" i="5"/>
  <c r="AGL16" i="5"/>
  <c r="AGM16" i="5"/>
  <c r="AGN16" i="5"/>
  <c r="AGO16" i="5"/>
  <c r="AGP16" i="5"/>
  <c r="AGQ16" i="5"/>
  <c r="AGR16" i="5"/>
  <c r="AGS16" i="5"/>
  <c r="AGT16" i="5"/>
  <c r="AGU16" i="5"/>
  <c r="AGV16" i="5"/>
  <c r="AGW16" i="5"/>
  <c r="AGX16" i="5"/>
  <c r="AGY16" i="5"/>
  <c r="AGZ16" i="5"/>
  <c r="AHA16" i="5"/>
  <c r="AHB16" i="5"/>
  <c r="AHC16" i="5"/>
  <c r="AHD16" i="5"/>
  <c r="AHE16" i="5"/>
  <c r="AHF16" i="5"/>
  <c r="AHG16" i="5"/>
  <c r="AHH16" i="5"/>
  <c r="AHI16" i="5"/>
  <c r="AHJ16" i="5"/>
  <c r="AHK16" i="5"/>
  <c r="AHL16" i="5"/>
  <c r="AHM16" i="5"/>
  <c r="AHN16" i="5"/>
  <c r="AHO16" i="5"/>
  <c r="AHP16" i="5"/>
  <c r="AHQ16" i="5"/>
  <c r="AHR16" i="5"/>
  <c r="AHS16" i="5"/>
  <c r="AHT16" i="5"/>
  <c r="AHU16" i="5"/>
  <c r="AHV16" i="5"/>
  <c r="AHW16" i="5"/>
  <c r="AHX16" i="5"/>
  <c r="AHY16" i="5"/>
  <c r="AHZ16" i="5"/>
  <c r="AIA16" i="5"/>
  <c r="AIB16" i="5"/>
  <c r="AIC16" i="5"/>
  <c r="AID16" i="5"/>
  <c r="AIE16" i="5"/>
  <c r="AIF16" i="5"/>
  <c r="AIG16" i="5"/>
  <c r="AIH16" i="5"/>
  <c r="AII16" i="5"/>
  <c r="AIJ16" i="5"/>
  <c r="AIK16" i="5"/>
  <c r="AIL16" i="5"/>
  <c r="AIM16" i="5"/>
  <c r="AIN16" i="5"/>
  <c r="AIO16" i="5"/>
  <c r="AIP16" i="5"/>
  <c r="AIQ16" i="5"/>
  <c r="AIR16" i="5"/>
  <c r="AIS16" i="5"/>
  <c r="AIT16" i="5"/>
  <c r="AIU16" i="5"/>
  <c r="AIV16" i="5"/>
  <c r="AIW16" i="5"/>
  <c r="AIX16" i="5"/>
  <c r="AIY16" i="5"/>
  <c r="AIZ16" i="5"/>
  <c r="AJA16" i="5"/>
  <c r="AJB16" i="5"/>
  <c r="AJC16" i="5"/>
  <c r="AJD16" i="5"/>
  <c r="AJE16" i="5"/>
  <c r="AJF16" i="5"/>
  <c r="AJG16" i="5"/>
  <c r="AJH16" i="5"/>
  <c r="AJI16" i="5"/>
  <c r="AJJ16" i="5"/>
  <c r="AJK16" i="5"/>
  <c r="AJL16" i="5"/>
  <c r="AJM16" i="5"/>
  <c r="AJN16" i="5"/>
  <c r="AJO16" i="5"/>
  <c r="AJP16" i="5"/>
  <c r="AJQ16" i="5"/>
  <c r="AJR16" i="5"/>
  <c r="AJS16" i="5"/>
  <c r="AJT16" i="5"/>
  <c r="AJU16" i="5"/>
  <c r="AJV16" i="5"/>
  <c r="AJW16" i="5"/>
  <c r="AJX16" i="5"/>
  <c r="AJY16" i="5"/>
  <c r="AJZ16" i="5"/>
  <c r="AKA16" i="5"/>
  <c r="AKB16" i="5"/>
  <c r="AKC16" i="5"/>
  <c r="AKD16" i="5"/>
  <c r="AKE16" i="5"/>
  <c r="AKF16" i="5"/>
  <c r="AKG16" i="5"/>
  <c r="AKH16" i="5"/>
  <c r="AKI16" i="5"/>
  <c r="AKJ16" i="5"/>
  <c r="AKK16" i="5"/>
  <c r="AKL16" i="5"/>
  <c r="AKM16" i="5"/>
  <c r="AKN16" i="5"/>
  <c r="AKO16" i="5"/>
  <c r="AKP16" i="5"/>
  <c r="AKQ16" i="5"/>
  <c r="AKR16" i="5"/>
  <c r="AKS16" i="5"/>
  <c r="AKT16" i="5"/>
  <c r="AKU16" i="5"/>
  <c r="AKV16" i="5"/>
  <c r="AKW16" i="5"/>
  <c r="AKX16" i="5"/>
  <c r="AKY16" i="5"/>
  <c r="AKZ16" i="5"/>
  <c r="ALA16" i="5"/>
  <c r="ALB16" i="5"/>
  <c r="ALC16" i="5"/>
  <c r="ALD16" i="5"/>
  <c r="ALE16" i="5"/>
  <c r="ALF16" i="5"/>
  <c r="ALG16" i="5"/>
  <c r="ALH16" i="5"/>
  <c r="ALI16" i="5"/>
  <c r="ALJ16" i="5"/>
  <c r="ALK16" i="5"/>
  <c r="ALL16" i="5"/>
  <c r="ALM16" i="5"/>
  <c r="ALN16" i="5"/>
  <c r="ALO16" i="5"/>
  <c r="ALP16" i="5"/>
  <c r="ALQ16" i="5"/>
  <c r="ALR16" i="5"/>
  <c r="ALS16" i="5"/>
  <c r="ALT16" i="5"/>
  <c r="ALU16" i="5"/>
  <c r="ALV16" i="5"/>
  <c r="ALW16" i="5"/>
  <c r="ALX16" i="5"/>
  <c r="ALY16" i="5"/>
  <c r="ALZ16" i="5"/>
  <c r="AMA16" i="5"/>
  <c r="AMB16" i="5"/>
  <c r="AMC16" i="5"/>
  <c r="AMD16" i="5"/>
  <c r="AME16" i="5"/>
  <c r="AMF16" i="5"/>
  <c r="AMG16" i="5"/>
  <c r="AMH16" i="5"/>
  <c r="AMI16" i="5"/>
  <c r="AMJ16" i="5"/>
  <c r="AMK16" i="5"/>
  <c r="AML16" i="5"/>
  <c r="AMM16" i="5"/>
  <c r="AMN16" i="5"/>
  <c r="AMO16" i="5"/>
  <c r="AMP16" i="5"/>
  <c r="AMQ16" i="5"/>
  <c r="AMR16" i="5"/>
  <c r="AMS16" i="5"/>
  <c r="AMT16" i="5"/>
  <c r="AMU16" i="5"/>
  <c r="AMV16" i="5"/>
  <c r="AMW16" i="5"/>
  <c r="AMX16" i="5"/>
  <c r="AMY16" i="5"/>
  <c r="AMZ16" i="5"/>
  <c r="ANA16" i="5"/>
  <c r="ANB16" i="5"/>
  <c r="ANC16" i="5"/>
  <c r="AND16" i="5"/>
  <c r="ANE16" i="5"/>
  <c r="ANF16" i="5"/>
  <c r="ANG16" i="5"/>
  <c r="ANH16" i="5"/>
  <c r="ANI16" i="5"/>
  <c r="ANJ16" i="5"/>
  <c r="ANK16" i="5"/>
  <c r="ANL16" i="5"/>
  <c r="ANM16" i="5"/>
  <c r="ANN16" i="5"/>
  <c r="ANO16" i="5"/>
  <c r="ANP16" i="5"/>
  <c r="ANQ16" i="5"/>
  <c r="ANR16" i="5"/>
  <c r="ANS16" i="5"/>
  <c r="ANT16" i="5"/>
  <c r="ANU16" i="5"/>
  <c r="ANV16" i="5"/>
  <c r="ANW16" i="5"/>
  <c r="ANX16" i="5"/>
  <c r="ANY16" i="5"/>
  <c r="ANZ16" i="5"/>
  <c r="AOA16" i="5"/>
  <c r="AOB16" i="5"/>
  <c r="AOC16" i="5"/>
  <c r="AOD16" i="5"/>
  <c r="AOE16" i="5"/>
  <c r="AOF16" i="5"/>
  <c r="AOG16" i="5"/>
  <c r="AOH16" i="5"/>
  <c r="AOI16" i="5"/>
  <c r="AOJ16" i="5"/>
  <c r="AOK16" i="5"/>
  <c r="AOL16" i="5"/>
  <c r="AOM16" i="5"/>
  <c r="AON16" i="5"/>
  <c r="AOO16" i="5"/>
  <c r="AOP16" i="5"/>
  <c r="AOQ16" i="5"/>
  <c r="AOR16" i="5"/>
  <c r="AOS16" i="5"/>
  <c r="AOT16" i="5"/>
  <c r="AOU16" i="5"/>
  <c r="AOV16" i="5"/>
  <c r="AOW16" i="5"/>
  <c r="AOX16" i="5"/>
  <c r="AOY16" i="5"/>
  <c r="AOZ16" i="5"/>
  <c r="APA16" i="5"/>
  <c r="APB16" i="5"/>
  <c r="APC16" i="5"/>
  <c r="APD16" i="5"/>
  <c r="APE16" i="5"/>
  <c r="APF16" i="5"/>
  <c r="APG16" i="5"/>
  <c r="APH16" i="5"/>
  <c r="API16" i="5"/>
  <c r="APJ16" i="5"/>
  <c r="APK16" i="5"/>
  <c r="APL16" i="5"/>
  <c r="APM16" i="5"/>
  <c r="APN16" i="5"/>
  <c r="APO16" i="5"/>
  <c r="APP16" i="5"/>
  <c r="APQ16" i="5"/>
  <c r="APR16" i="5"/>
  <c r="APS16" i="5"/>
  <c r="APT16" i="5"/>
  <c r="APU16" i="5"/>
  <c r="APV16" i="5"/>
  <c r="APW16" i="5"/>
  <c r="APX16" i="5"/>
  <c r="APY16" i="5"/>
  <c r="APZ16" i="5"/>
  <c r="AQA16" i="5"/>
  <c r="AQB16" i="5"/>
  <c r="AQC16" i="5"/>
  <c r="AQD16" i="5"/>
  <c r="AQE16" i="5"/>
  <c r="AQF16" i="5"/>
  <c r="AQG16" i="5"/>
  <c r="AQH16" i="5"/>
  <c r="AQI16" i="5"/>
  <c r="AQJ16" i="5"/>
  <c r="AQK16" i="5"/>
  <c r="AQL16" i="5"/>
  <c r="AQM16" i="5"/>
  <c r="AQN16" i="5"/>
  <c r="AQO16" i="5"/>
  <c r="AQP16" i="5"/>
  <c r="AQQ16" i="5"/>
  <c r="AQR16" i="5"/>
  <c r="AQS16" i="5"/>
  <c r="AQT16" i="5"/>
  <c r="AQU16" i="5"/>
  <c r="AQV16" i="5"/>
  <c r="AQW16" i="5"/>
  <c r="AQX16" i="5"/>
  <c r="AQY16" i="5"/>
  <c r="AQZ16" i="5"/>
  <c r="ARA16" i="5"/>
  <c r="ARB16" i="5"/>
  <c r="ARC16" i="5"/>
  <c r="ARD16" i="5"/>
  <c r="ARE16" i="5"/>
  <c r="ARF16" i="5"/>
  <c r="ARG16" i="5"/>
  <c r="ARH16" i="5"/>
  <c r="ARI16" i="5"/>
  <c r="ARJ16" i="5"/>
  <c r="ARK16" i="5"/>
  <c r="ARL16" i="5"/>
  <c r="ARM16" i="5"/>
  <c r="ARN16" i="5"/>
  <c r="ARO16" i="5"/>
  <c r="ARP16" i="5"/>
  <c r="ARQ16" i="5"/>
  <c r="ARR16" i="5"/>
  <c r="ARS16" i="5"/>
  <c r="ART16" i="5"/>
  <c r="ARU16" i="5"/>
  <c r="ARV16" i="5"/>
  <c r="ARW16" i="5"/>
  <c r="ARX16" i="5"/>
  <c r="ARY16" i="5"/>
  <c r="ARZ16" i="5"/>
  <c r="ASA16" i="5"/>
  <c r="ASB16" i="5"/>
  <c r="ASC16" i="5"/>
  <c r="ASD16" i="5"/>
  <c r="ASE16" i="5"/>
  <c r="ASF16" i="5"/>
  <c r="ASG16" i="5"/>
  <c r="ASH16" i="5"/>
  <c r="ASI16" i="5"/>
  <c r="ASJ16" i="5"/>
  <c r="ASK16" i="5"/>
  <c r="ASL16" i="5"/>
  <c r="ASM16" i="5"/>
  <c r="ASN16" i="5"/>
  <c r="ASO16" i="5"/>
  <c r="ASP16" i="5"/>
  <c r="ASQ16" i="5"/>
  <c r="ASR16" i="5"/>
  <c r="ASS16" i="5"/>
  <c r="AST16" i="5"/>
  <c r="ASU16" i="5"/>
  <c r="ASV16" i="5"/>
  <c r="ASW16" i="5"/>
  <c r="ASX16" i="5"/>
  <c r="ASY16" i="5"/>
  <c r="ASZ16" i="5"/>
  <c r="ATA16" i="5"/>
  <c r="ATB16" i="5"/>
  <c r="ATC16" i="5"/>
  <c r="ATD16" i="5"/>
  <c r="ATE16" i="5"/>
  <c r="ATF16" i="5"/>
  <c r="ATG16" i="5"/>
  <c r="ATH16" i="5"/>
  <c r="ATI16" i="5"/>
  <c r="ATJ16" i="5"/>
  <c r="ATK16" i="5"/>
  <c r="ATL16" i="5"/>
  <c r="ATM16" i="5"/>
  <c r="ATN16" i="5"/>
  <c r="ATO16" i="5"/>
  <c r="ATP16" i="5"/>
  <c r="ATQ16" i="5"/>
  <c r="ATR16" i="5"/>
  <c r="ATS16" i="5"/>
  <c r="ATT16" i="5"/>
  <c r="ATU16" i="5"/>
  <c r="ATV16" i="5"/>
  <c r="ATW16" i="5"/>
  <c r="ATX16" i="5"/>
  <c r="ATY16" i="5"/>
  <c r="ATZ16" i="5"/>
  <c r="AUA16" i="5"/>
  <c r="AUB16" i="5"/>
  <c r="AUC16" i="5"/>
  <c r="AUD16" i="5"/>
  <c r="AUE16" i="5"/>
  <c r="AUF16" i="5"/>
  <c r="AUG16" i="5"/>
  <c r="AUH16" i="5"/>
  <c r="AUI16" i="5"/>
  <c r="AUJ16" i="5"/>
  <c r="AUK16" i="5"/>
  <c r="AUL16" i="5"/>
  <c r="AUM16" i="5"/>
  <c r="AUN16" i="5"/>
  <c r="AUO16" i="5"/>
  <c r="AUP16" i="5"/>
  <c r="AUQ16" i="5"/>
  <c r="AUR16" i="5"/>
  <c r="AUS16" i="5"/>
  <c r="AUT16" i="5"/>
  <c r="AUU16" i="5"/>
  <c r="AUV16" i="5"/>
  <c r="AUW16" i="5"/>
  <c r="AUX16" i="5"/>
  <c r="AUY16" i="5"/>
  <c r="AUZ16" i="5"/>
  <c r="AVA16" i="5"/>
  <c r="AVB16" i="5"/>
  <c r="AVC16" i="5"/>
  <c r="AVD16" i="5"/>
  <c r="AVE16" i="5"/>
  <c r="AVF16" i="5"/>
  <c r="AVG16" i="5"/>
  <c r="AVH16" i="5"/>
  <c r="AVI16" i="5"/>
  <c r="AVJ16" i="5"/>
  <c r="AVK16" i="5"/>
  <c r="AVL16" i="5"/>
  <c r="AVM16" i="5"/>
  <c r="AVN16" i="5"/>
  <c r="AVO16" i="5"/>
  <c r="AVP16" i="5"/>
  <c r="AVQ16" i="5"/>
  <c r="AVR16" i="5"/>
  <c r="AVS16" i="5"/>
  <c r="AVT16" i="5"/>
  <c r="AVU16" i="5"/>
  <c r="AVV16" i="5"/>
  <c r="AVW16" i="5"/>
  <c r="AVX16" i="5"/>
  <c r="AVY16" i="5"/>
  <c r="AVZ16" i="5"/>
  <c r="AWA16" i="5"/>
  <c r="AWB16" i="5"/>
  <c r="AWC16" i="5"/>
  <c r="AWD16" i="5"/>
  <c r="AWE16" i="5"/>
  <c r="AWF16" i="5"/>
  <c r="AWG16" i="5"/>
  <c r="AWH16" i="5"/>
  <c r="AWI16" i="5"/>
  <c r="AWJ16" i="5"/>
  <c r="AWK16" i="5"/>
  <c r="AWL16" i="5"/>
  <c r="AWM16" i="5"/>
  <c r="AWN16" i="5"/>
  <c r="AWO16" i="5"/>
  <c r="AWP16" i="5"/>
  <c r="AWQ16" i="5"/>
  <c r="AWR16" i="5"/>
  <c r="AWS16" i="5"/>
  <c r="AWT16" i="5"/>
  <c r="AWU16" i="5"/>
  <c r="AWV16" i="5"/>
  <c r="AWW16" i="5"/>
  <c r="AWX16" i="5"/>
  <c r="AWY16" i="5"/>
  <c r="AWZ16" i="5"/>
  <c r="AXA16" i="5"/>
  <c r="AXB16" i="5"/>
  <c r="AXC16" i="5"/>
  <c r="AXD16" i="5"/>
  <c r="AXE16" i="5"/>
  <c r="AXF16" i="5"/>
  <c r="AXG16" i="5"/>
  <c r="AXH16" i="5"/>
  <c r="AXI16" i="5"/>
  <c r="AXJ16" i="5"/>
  <c r="AXK16" i="5"/>
  <c r="AXL16" i="5"/>
  <c r="AXM16" i="5"/>
  <c r="AXN16" i="5"/>
  <c r="AXO16" i="5"/>
  <c r="AXP16" i="5"/>
  <c r="AXQ16" i="5"/>
  <c r="AXR16" i="5"/>
  <c r="AXS16" i="5"/>
  <c r="AXT16" i="5"/>
  <c r="AXU16" i="5"/>
  <c r="AXV16" i="5"/>
  <c r="AXW16" i="5"/>
  <c r="AXX16" i="5"/>
  <c r="AXY16" i="5"/>
  <c r="AXZ16" i="5"/>
  <c r="AYA16" i="5"/>
  <c r="AYB16" i="5"/>
  <c r="AYC16" i="5"/>
  <c r="AYD16" i="5"/>
  <c r="AYE16" i="5"/>
  <c r="AYF16" i="5"/>
  <c r="AYG16" i="5"/>
  <c r="AYH16" i="5"/>
  <c r="AYI16" i="5"/>
  <c r="AYJ16" i="5"/>
  <c r="AYK16" i="5"/>
  <c r="AYL16" i="5"/>
  <c r="AYM16" i="5"/>
  <c r="AYN16" i="5"/>
  <c r="AYO16" i="5"/>
  <c r="AYP16" i="5"/>
  <c r="AYQ16" i="5"/>
  <c r="AYR16" i="5"/>
  <c r="AYS16" i="5"/>
  <c r="AYT16" i="5"/>
  <c r="AYU16" i="5"/>
  <c r="AYV16" i="5"/>
  <c r="AYW16" i="5"/>
  <c r="AYX16" i="5"/>
  <c r="AYY16" i="5"/>
  <c r="AYZ16" i="5"/>
  <c r="AZA16" i="5"/>
  <c r="AZB16" i="5"/>
  <c r="AZC16" i="5"/>
  <c r="AZD16" i="5"/>
  <c r="AZE16" i="5"/>
  <c r="AZF16" i="5"/>
  <c r="AZG16" i="5"/>
  <c r="AZH16" i="5"/>
  <c r="AZI16" i="5"/>
  <c r="AZJ16" i="5"/>
  <c r="AZK16" i="5"/>
  <c r="AZL16" i="5"/>
  <c r="AZM16" i="5"/>
  <c r="AZN16" i="5"/>
  <c r="AZO16" i="5"/>
  <c r="AZP16" i="5"/>
  <c r="AZQ16" i="5"/>
  <c r="AZR16" i="5"/>
  <c r="AZS16" i="5"/>
  <c r="AZT16" i="5"/>
  <c r="AZU16" i="5"/>
  <c r="AZV16" i="5"/>
  <c r="AZW16" i="5"/>
  <c r="AZX16" i="5"/>
  <c r="AZY16" i="5"/>
  <c r="AZZ16" i="5"/>
  <c r="BAA16" i="5"/>
  <c r="BAB16" i="5"/>
  <c r="BAC16" i="5"/>
  <c r="BAD16" i="5"/>
  <c r="BAE16" i="5"/>
  <c r="BAF16" i="5"/>
  <c r="BAG16" i="5"/>
  <c r="BAH16" i="5"/>
  <c r="BAI16" i="5"/>
  <c r="BAJ16" i="5"/>
  <c r="BAK16" i="5"/>
  <c r="BAL16" i="5"/>
  <c r="BAM16" i="5"/>
  <c r="BAN16" i="5"/>
  <c r="BAO16" i="5"/>
  <c r="BAP16" i="5"/>
  <c r="BAQ16" i="5"/>
  <c r="BAR16" i="5"/>
  <c r="BAS16" i="5"/>
  <c r="BAT16" i="5"/>
  <c r="BAU16" i="5"/>
  <c r="BAV16" i="5"/>
  <c r="BAW16" i="5"/>
  <c r="BAX16" i="5"/>
  <c r="BAY16" i="5"/>
  <c r="BAZ16" i="5"/>
  <c r="BBA16" i="5"/>
  <c r="BBB16" i="5"/>
  <c r="BBC16" i="5"/>
  <c r="BBD16" i="5"/>
  <c r="BBE16" i="5"/>
  <c r="BBF16" i="5"/>
  <c r="BBG16" i="5"/>
  <c r="BBH16" i="5"/>
  <c r="BBI16" i="5"/>
  <c r="BBJ16" i="5"/>
  <c r="BBK16" i="5"/>
  <c r="BBL16" i="5"/>
  <c r="BBM16" i="5"/>
  <c r="BBN16" i="5"/>
  <c r="BBO16" i="5"/>
  <c r="BBP16" i="5"/>
  <c r="BBQ16" i="5"/>
  <c r="BBR16" i="5"/>
  <c r="BBS16" i="5"/>
  <c r="BBT16" i="5"/>
  <c r="BBU16" i="5"/>
  <c r="BBV16" i="5"/>
  <c r="BBW16" i="5"/>
  <c r="BBX16" i="5"/>
  <c r="BBY16" i="5"/>
  <c r="BBZ16" i="5"/>
  <c r="BCA16" i="5"/>
  <c r="BCB16" i="5"/>
  <c r="BCC16" i="5"/>
  <c r="BCD16" i="5"/>
  <c r="BCE16" i="5"/>
  <c r="BCF16" i="5"/>
  <c r="BCG16" i="5"/>
  <c r="BCH16" i="5"/>
  <c r="BCI16" i="5"/>
  <c r="BCJ16" i="5"/>
  <c r="BCK16" i="5"/>
  <c r="BCL16" i="5"/>
  <c r="BCM16" i="5"/>
  <c r="BCN16" i="5"/>
  <c r="BCO16" i="5"/>
  <c r="BCP16" i="5"/>
  <c r="BCQ16" i="5"/>
  <c r="BCR16" i="5"/>
  <c r="BCS16" i="5"/>
  <c r="BCT16" i="5"/>
  <c r="BCU16" i="5"/>
  <c r="BCV16" i="5"/>
  <c r="BCW16" i="5"/>
  <c r="BCX16" i="5"/>
  <c r="BCY16" i="5"/>
  <c r="BCZ16" i="5"/>
  <c r="BDA16" i="5"/>
  <c r="BDB16" i="5"/>
  <c r="BDC16" i="5"/>
  <c r="BDD16" i="5"/>
  <c r="BDE16" i="5"/>
  <c r="BDF16" i="5"/>
  <c r="BDG16" i="5"/>
  <c r="BDH16" i="5"/>
  <c r="BDI16" i="5"/>
  <c r="BDJ16" i="5"/>
  <c r="BDK16" i="5"/>
  <c r="BDL16" i="5"/>
  <c r="BDM16" i="5"/>
  <c r="BDN16" i="5"/>
  <c r="BDO16" i="5"/>
  <c r="BDP16" i="5"/>
  <c r="BDQ16" i="5"/>
  <c r="BDR16" i="5"/>
  <c r="BDS16" i="5"/>
  <c r="BDT16" i="5"/>
  <c r="BDU16" i="5"/>
  <c r="BDV16" i="5"/>
  <c r="BDW16" i="5"/>
  <c r="BDX16" i="5"/>
  <c r="BDY16" i="5"/>
  <c r="BDZ16" i="5"/>
  <c r="BEA16" i="5"/>
  <c r="BEB16" i="5"/>
  <c r="BEC16" i="5"/>
  <c r="BED16" i="5"/>
  <c r="BEE16" i="5"/>
  <c r="BEF16" i="5"/>
  <c r="BEG16" i="5"/>
  <c r="BEH16" i="5"/>
  <c r="BEI16" i="5"/>
  <c r="BEJ16" i="5"/>
  <c r="BEK16" i="5"/>
  <c r="BEL16" i="5"/>
  <c r="BEM16" i="5"/>
  <c r="BEN16" i="5"/>
  <c r="BEO16" i="5"/>
  <c r="BEP16" i="5"/>
  <c r="BEQ16" i="5"/>
  <c r="BER16" i="5"/>
  <c r="BES16" i="5"/>
  <c r="BET16" i="5"/>
  <c r="BEU16" i="5"/>
  <c r="BEV16" i="5"/>
  <c r="BEW16" i="5"/>
  <c r="BEX16" i="5"/>
  <c r="BEY16" i="5"/>
  <c r="BEZ16" i="5"/>
  <c r="BFA16" i="5"/>
  <c r="BFB16" i="5"/>
  <c r="BFC16" i="5"/>
  <c r="BFD16" i="5"/>
  <c r="BFE16" i="5"/>
  <c r="BFF16" i="5"/>
  <c r="BFG16" i="5"/>
  <c r="BFH16" i="5"/>
  <c r="BFI16" i="5"/>
  <c r="BFJ16" i="5"/>
  <c r="BFK16" i="5"/>
  <c r="BFL16" i="5"/>
  <c r="BFM16" i="5"/>
  <c r="BFN16" i="5"/>
  <c r="BFO16" i="5"/>
  <c r="BFP16" i="5"/>
  <c r="BFQ16" i="5"/>
  <c r="BFR16" i="5"/>
  <c r="BFS16" i="5"/>
  <c r="BFT16" i="5"/>
  <c r="BFU16" i="5"/>
  <c r="BFV16" i="5"/>
  <c r="BFW16" i="5"/>
  <c r="BFX16" i="5"/>
  <c r="BFY16" i="5"/>
  <c r="BFZ16" i="5"/>
  <c r="BGA16" i="5"/>
  <c r="BGB16" i="5"/>
  <c r="BGC16" i="5"/>
  <c r="BGD16" i="5"/>
  <c r="BGE16" i="5"/>
  <c r="BGF16" i="5"/>
  <c r="BGG16" i="5"/>
  <c r="BGH16" i="5"/>
  <c r="BGI16" i="5"/>
  <c r="BGJ16" i="5"/>
  <c r="BGK16" i="5"/>
  <c r="BGL16" i="5"/>
  <c r="BGM16" i="5"/>
  <c r="BGN16" i="5"/>
  <c r="BGO16" i="5"/>
  <c r="BGP16" i="5"/>
  <c r="BGQ16" i="5"/>
  <c r="BGR16" i="5"/>
  <c r="BGS16" i="5"/>
  <c r="BGT16" i="5"/>
  <c r="BGU16" i="5"/>
  <c r="BGV16" i="5"/>
  <c r="BGW16" i="5"/>
  <c r="BGX16" i="5"/>
  <c r="BGY16" i="5"/>
  <c r="BGZ16" i="5"/>
  <c r="BHA16" i="5"/>
  <c r="BHB16" i="5"/>
  <c r="BHC16" i="5"/>
  <c r="BHD16" i="5"/>
  <c r="BHE16" i="5"/>
  <c r="BHF16" i="5"/>
  <c r="BHG16" i="5"/>
  <c r="BHH16" i="5"/>
  <c r="BHI16" i="5"/>
  <c r="BHJ16" i="5"/>
  <c r="BHK16" i="5"/>
  <c r="BHL16" i="5"/>
  <c r="BHM16" i="5"/>
  <c r="BHN16" i="5"/>
  <c r="BHO16" i="5"/>
  <c r="BHP16" i="5"/>
  <c r="BHQ16" i="5"/>
  <c r="BHR16" i="5"/>
  <c r="BHS16" i="5"/>
  <c r="BHT16" i="5"/>
  <c r="BHU16" i="5"/>
  <c r="BHV16" i="5"/>
  <c r="BHW16" i="5"/>
  <c r="BHX16" i="5"/>
  <c r="BHY16" i="5"/>
  <c r="BHZ16" i="5"/>
  <c r="BIA16" i="5"/>
  <c r="BIB16" i="5"/>
  <c r="BIC16" i="5"/>
  <c r="BID16" i="5"/>
  <c r="BIE16" i="5"/>
  <c r="BIF16" i="5"/>
  <c r="BIG16" i="5"/>
  <c r="BIH16" i="5"/>
  <c r="BII16" i="5"/>
  <c r="BIJ16" i="5"/>
  <c r="BIK16" i="5"/>
  <c r="BIL16" i="5"/>
  <c r="BIM16" i="5"/>
  <c r="BIN16" i="5"/>
  <c r="BIO16" i="5"/>
  <c r="BIP16" i="5"/>
  <c r="BIQ16" i="5"/>
  <c r="BIR16" i="5"/>
  <c r="BIS16" i="5"/>
  <c r="BIT16" i="5"/>
  <c r="BIU16" i="5"/>
  <c r="BIV16" i="5"/>
  <c r="BIW16" i="5"/>
  <c r="BIX16" i="5"/>
  <c r="BIY16" i="5"/>
  <c r="BIZ16" i="5"/>
  <c r="BJA16" i="5"/>
  <c r="BJB16" i="5"/>
  <c r="BJC16" i="5"/>
  <c r="BJD16" i="5"/>
  <c r="BJE16" i="5"/>
  <c r="BJF16" i="5"/>
  <c r="BJG16" i="5"/>
  <c r="BJH16" i="5"/>
  <c r="BJI16" i="5"/>
  <c r="BJJ16" i="5"/>
  <c r="BJK16" i="5"/>
  <c r="BJL16" i="5"/>
  <c r="BJM16" i="5"/>
  <c r="BJN16" i="5"/>
  <c r="BJO16" i="5"/>
  <c r="BJP16" i="5"/>
  <c r="BJQ16" i="5"/>
  <c r="BJR16" i="5"/>
  <c r="BJS16" i="5"/>
  <c r="BJT16" i="5"/>
  <c r="BJU16" i="5"/>
  <c r="BJV16" i="5"/>
  <c r="BJW16" i="5"/>
  <c r="BJX16" i="5"/>
  <c r="BJY16" i="5"/>
  <c r="BJZ16" i="5"/>
  <c r="BKA16" i="5"/>
  <c r="BKB16" i="5"/>
  <c r="BKC16" i="5"/>
  <c r="BKD16" i="5"/>
  <c r="BKE16" i="5"/>
  <c r="BKF16" i="5"/>
  <c r="BKG16" i="5"/>
  <c r="BKH16" i="5"/>
  <c r="BKI16" i="5"/>
  <c r="BKJ16" i="5"/>
  <c r="BKK16" i="5"/>
  <c r="BKL16" i="5"/>
  <c r="BKM16" i="5"/>
  <c r="BKN16" i="5"/>
  <c r="BKO16" i="5"/>
  <c r="BKP16" i="5"/>
  <c r="BKQ16" i="5"/>
  <c r="BKR16" i="5"/>
  <c r="BKS16" i="5"/>
  <c r="BKT16" i="5"/>
  <c r="BKU16" i="5"/>
  <c r="BKV16" i="5"/>
  <c r="BKW16" i="5"/>
  <c r="BKX16" i="5"/>
  <c r="BKY16" i="5"/>
  <c r="BKZ16" i="5"/>
  <c r="BLA16" i="5"/>
  <c r="BLB16" i="5"/>
  <c r="BLC16" i="5"/>
  <c r="BLD16" i="5"/>
  <c r="BLE16" i="5"/>
  <c r="BLF16" i="5"/>
  <c r="BLG16" i="5"/>
  <c r="BLH16" i="5"/>
  <c r="BLI16" i="5"/>
  <c r="BLJ16" i="5"/>
  <c r="BLK16" i="5"/>
  <c r="BLL16" i="5"/>
  <c r="BLM16" i="5"/>
  <c r="BLN16" i="5"/>
  <c r="BLO16" i="5"/>
  <c r="BLP16" i="5"/>
  <c r="BLQ16" i="5"/>
  <c r="BLR16" i="5"/>
  <c r="BLS16" i="5"/>
  <c r="BLT16" i="5"/>
  <c r="BLU16" i="5"/>
  <c r="BLV16" i="5"/>
  <c r="BLW16" i="5"/>
  <c r="BLX16" i="5"/>
  <c r="BLY16" i="5"/>
  <c r="BLZ16" i="5"/>
  <c r="BMA16" i="5"/>
  <c r="BMB16" i="5"/>
  <c r="BMC16" i="5"/>
  <c r="BMD16" i="5"/>
  <c r="BME16" i="5"/>
  <c r="BMF16" i="5"/>
  <c r="BMG16" i="5"/>
  <c r="BMH16" i="5"/>
  <c r="BMI16" i="5"/>
  <c r="BMJ16" i="5"/>
  <c r="BMK16" i="5"/>
  <c r="BML16" i="5"/>
  <c r="BMM16" i="5"/>
  <c r="BMN16" i="5"/>
  <c r="BMO16" i="5"/>
  <c r="BMP16" i="5"/>
  <c r="BMQ16" i="5"/>
  <c r="BMR16" i="5"/>
  <c r="BMS16" i="5"/>
  <c r="BMT16" i="5"/>
  <c r="BMU16" i="5"/>
  <c r="BMV16" i="5"/>
  <c r="BMW16" i="5"/>
  <c r="BMX16" i="5"/>
  <c r="BMY16" i="5"/>
  <c r="BMZ16" i="5"/>
  <c r="BNA16" i="5"/>
  <c r="BNB16" i="5"/>
  <c r="BNC16" i="5"/>
  <c r="BND16" i="5"/>
  <c r="BNE16" i="5"/>
  <c r="BNF16" i="5"/>
  <c r="BNG16" i="5"/>
  <c r="BNH16" i="5"/>
  <c r="BNI16" i="5"/>
  <c r="BNJ16" i="5"/>
  <c r="BNK16" i="5"/>
  <c r="BNL16" i="5"/>
  <c r="BNM16" i="5"/>
  <c r="BNN16" i="5"/>
  <c r="BNO16" i="5"/>
  <c r="BNP16" i="5"/>
  <c r="BNQ16" i="5"/>
  <c r="BNR16" i="5"/>
  <c r="BNS16" i="5"/>
  <c r="BNT16" i="5"/>
  <c r="BNU16" i="5"/>
  <c r="BNV16" i="5"/>
  <c r="BNW16" i="5"/>
  <c r="BNX16" i="5"/>
  <c r="BNY16" i="5"/>
  <c r="BNZ16" i="5"/>
  <c r="BOA16" i="5"/>
  <c r="BOB16" i="5"/>
  <c r="BOC16" i="5"/>
  <c r="BOD16" i="5"/>
  <c r="BOE16" i="5"/>
  <c r="BOF16" i="5"/>
  <c r="BOG16" i="5"/>
  <c r="BOH16" i="5"/>
  <c r="BOI16" i="5"/>
  <c r="BOJ16" i="5"/>
  <c r="BOK16" i="5"/>
  <c r="BOL16" i="5"/>
  <c r="BOM16" i="5"/>
  <c r="BON16" i="5"/>
  <c r="BOO16" i="5"/>
  <c r="BOP16" i="5"/>
  <c r="BOQ16" i="5"/>
  <c r="BOR16" i="5"/>
  <c r="BOS16" i="5"/>
  <c r="BOT16" i="5"/>
  <c r="BOU16" i="5"/>
  <c r="BOV16" i="5"/>
  <c r="BOW16" i="5"/>
  <c r="BOX16" i="5"/>
  <c r="BOY16" i="5"/>
  <c r="BOZ16" i="5"/>
  <c r="BPA16" i="5"/>
  <c r="BPB16" i="5"/>
  <c r="BPC16" i="5"/>
  <c r="BPD16" i="5"/>
  <c r="BPE16" i="5"/>
  <c r="BPF16" i="5"/>
  <c r="BPG16" i="5"/>
  <c r="BPH16" i="5"/>
  <c r="BPI16" i="5"/>
  <c r="BPJ16" i="5"/>
  <c r="BPK16" i="5"/>
  <c r="BPL16" i="5"/>
  <c r="BPM16" i="5"/>
  <c r="BPN16" i="5"/>
  <c r="BPO16" i="5"/>
  <c r="BPP16" i="5"/>
  <c r="BPQ16" i="5"/>
  <c r="BPR16" i="5"/>
  <c r="BPS16" i="5"/>
  <c r="BPT16" i="5"/>
  <c r="BPU16" i="5"/>
  <c r="BPV16" i="5"/>
  <c r="BPW16" i="5"/>
  <c r="BPX16" i="5"/>
  <c r="BPY16" i="5"/>
  <c r="BPZ16" i="5"/>
  <c r="BQA16" i="5"/>
  <c r="BQB16" i="5"/>
  <c r="BQC16" i="5"/>
  <c r="BQD16" i="5"/>
  <c r="BQE16" i="5"/>
  <c r="BQF16" i="5"/>
  <c r="BQG16" i="5"/>
  <c r="BQH16" i="5"/>
  <c r="BQI16" i="5"/>
  <c r="BQJ16" i="5"/>
  <c r="BQK16" i="5"/>
  <c r="BQL16" i="5"/>
  <c r="BQM16" i="5"/>
  <c r="BQN16" i="5"/>
  <c r="BQO16" i="5"/>
  <c r="BQP16" i="5"/>
  <c r="BQQ16" i="5"/>
  <c r="BQR16" i="5"/>
  <c r="BQS16" i="5"/>
  <c r="BQT16" i="5"/>
  <c r="BQU16" i="5"/>
  <c r="BQV16" i="5"/>
  <c r="BQW16" i="5"/>
  <c r="BQX16" i="5"/>
  <c r="BQY16" i="5"/>
  <c r="BQZ16" i="5"/>
  <c r="BRA16" i="5"/>
  <c r="BRB16" i="5"/>
  <c r="BRC16" i="5"/>
  <c r="BRD16" i="5"/>
  <c r="BRE16" i="5"/>
  <c r="BRF16" i="5"/>
  <c r="BRG16" i="5"/>
  <c r="BRH16" i="5"/>
  <c r="BRI16" i="5"/>
  <c r="BRJ16" i="5"/>
  <c r="BRK16" i="5"/>
  <c r="BRL16" i="5"/>
  <c r="BRM16" i="5"/>
  <c r="BRN16" i="5"/>
  <c r="BRO16" i="5"/>
  <c r="BRP16" i="5"/>
  <c r="BRQ16" i="5"/>
  <c r="BRR16" i="5"/>
  <c r="BRS16" i="5"/>
  <c r="BRT16" i="5"/>
  <c r="BRU16" i="5"/>
  <c r="BRV16" i="5"/>
  <c r="BRW16" i="5"/>
  <c r="BRX16" i="5"/>
  <c r="BRY16" i="5"/>
  <c r="BRZ16" i="5"/>
  <c r="BSA16" i="5"/>
  <c r="BSB16" i="5"/>
  <c r="BSC16" i="5"/>
  <c r="BSD16" i="5"/>
  <c r="BSE16" i="5"/>
  <c r="BSF16" i="5"/>
  <c r="BSG16" i="5"/>
  <c r="BSH16" i="5"/>
  <c r="BSI16" i="5"/>
  <c r="BSJ16" i="5"/>
  <c r="BSK16" i="5"/>
  <c r="BSL16" i="5"/>
  <c r="BSM16" i="5"/>
  <c r="BSN16" i="5"/>
  <c r="BSO16" i="5"/>
  <c r="BSP16" i="5"/>
  <c r="BSQ16" i="5"/>
  <c r="BSR16" i="5"/>
  <c r="BSS16" i="5"/>
  <c r="BST16" i="5"/>
  <c r="BSU16" i="5"/>
  <c r="BSV16" i="5"/>
  <c r="BSW16" i="5"/>
  <c r="BSX16" i="5"/>
  <c r="BSY16" i="5"/>
  <c r="BSZ16" i="5"/>
  <c r="BTA16" i="5"/>
  <c r="BTB16" i="5"/>
  <c r="BTC16" i="5"/>
  <c r="BTD16" i="5"/>
  <c r="BTE16" i="5"/>
  <c r="BTF16" i="5"/>
  <c r="BTG16" i="5"/>
  <c r="BTH16" i="5"/>
  <c r="BTI16" i="5"/>
  <c r="BTJ16" i="5"/>
  <c r="BTK16" i="5"/>
  <c r="BTL16" i="5"/>
  <c r="BTM16" i="5"/>
  <c r="BTN16" i="5"/>
  <c r="BTO16" i="5"/>
  <c r="BTP16" i="5"/>
  <c r="BTQ16" i="5"/>
  <c r="BTR16" i="5"/>
  <c r="BTS16" i="5"/>
  <c r="BTT16" i="5"/>
  <c r="BTU16" i="5"/>
  <c r="BTV16" i="5"/>
  <c r="BTW16" i="5"/>
  <c r="BTX16" i="5"/>
  <c r="BTY16" i="5"/>
  <c r="BTZ16" i="5"/>
  <c r="BUA16" i="5"/>
  <c r="BUB16" i="5"/>
  <c r="BUC16" i="5"/>
  <c r="BUD16" i="5"/>
  <c r="BUE16" i="5"/>
  <c r="BUF16" i="5"/>
  <c r="BUG16" i="5"/>
  <c r="BUH16" i="5"/>
  <c r="BUI16" i="5"/>
  <c r="BUJ16" i="5"/>
  <c r="BUK16" i="5"/>
  <c r="BUL16" i="5"/>
  <c r="BUM16" i="5"/>
  <c r="BUN16" i="5"/>
  <c r="BUO16" i="5"/>
  <c r="BUP16" i="5"/>
  <c r="BUQ16" i="5"/>
  <c r="BUR16" i="5"/>
  <c r="BUS16" i="5"/>
  <c r="BUT16" i="5"/>
  <c r="BUU16" i="5"/>
  <c r="BUV16" i="5"/>
  <c r="BUW16" i="5"/>
  <c r="BUX16" i="5"/>
  <c r="BUY16" i="5"/>
  <c r="BUZ16" i="5"/>
  <c r="BVA16" i="5"/>
  <c r="BVB16" i="5"/>
  <c r="BVC16" i="5"/>
  <c r="BVD16" i="5"/>
  <c r="BVE16" i="5"/>
  <c r="BVF16" i="5"/>
  <c r="BVG16" i="5"/>
  <c r="BVH16" i="5"/>
  <c r="BVI16" i="5"/>
  <c r="BVJ16" i="5"/>
  <c r="BVK16" i="5"/>
  <c r="BVL16" i="5"/>
  <c r="BVM16" i="5"/>
  <c r="BVN16" i="5"/>
  <c r="BVO16" i="5"/>
  <c r="BVP16" i="5"/>
  <c r="BVQ16" i="5"/>
  <c r="BVR16" i="5"/>
  <c r="BVS16" i="5"/>
  <c r="BVT16" i="5"/>
  <c r="BVU16" i="5"/>
  <c r="BVV16" i="5"/>
  <c r="BVW16" i="5"/>
  <c r="BVX16" i="5"/>
  <c r="BVY16" i="5"/>
  <c r="BVZ16" i="5"/>
  <c r="BWA16" i="5"/>
  <c r="BWB16" i="5"/>
  <c r="BWC16" i="5"/>
  <c r="BWD16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D17" i="5"/>
  <c r="NE17" i="5"/>
  <c r="NF17" i="5"/>
  <c r="NG17" i="5"/>
  <c r="NH17" i="5"/>
  <c r="NI17" i="5"/>
  <c r="NJ17" i="5"/>
  <c r="NK17" i="5"/>
  <c r="NL17" i="5"/>
  <c r="NM17" i="5"/>
  <c r="NN17" i="5"/>
  <c r="NO17" i="5"/>
  <c r="NP17" i="5"/>
  <c r="NQ17" i="5"/>
  <c r="NR17" i="5"/>
  <c r="NS17" i="5"/>
  <c r="NT17" i="5"/>
  <c r="NU17" i="5"/>
  <c r="NV17" i="5"/>
  <c r="NW17" i="5"/>
  <c r="NX17" i="5"/>
  <c r="NY17" i="5"/>
  <c r="NZ17" i="5"/>
  <c r="OA17" i="5"/>
  <c r="OB17" i="5"/>
  <c r="OC17" i="5"/>
  <c r="OD17" i="5"/>
  <c r="OE17" i="5"/>
  <c r="OF17" i="5"/>
  <c r="OG17" i="5"/>
  <c r="OH17" i="5"/>
  <c r="OI17" i="5"/>
  <c r="OJ17" i="5"/>
  <c r="OK17" i="5"/>
  <c r="OL17" i="5"/>
  <c r="OM17" i="5"/>
  <c r="ON17" i="5"/>
  <c r="OO17" i="5"/>
  <c r="OP17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PO17" i="5"/>
  <c r="PP17" i="5"/>
  <c r="PQ17" i="5"/>
  <c r="PR17" i="5"/>
  <c r="PS17" i="5"/>
  <c r="PT17" i="5"/>
  <c r="PU17" i="5"/>
  <c r="PV17" i="5"/>
  <c r="PW17" i="5"/>
  <c r="PX17" i="5"/>
  <c r="PY17" i="5"/>
  <c r="PZ17" i="5"/>
  <c r="QA17" i="5"/>
  <c r="QB17" i="5"/>
  <c r="QC17" i="5"/>
  <c r="QD17" i="5"/>
  <c r="QE17" i="5"/>
  <c r="QF17" i="5"/>
  <c r="QG17" i="5"/>
  <c r="QH17" i="5"/>
  <c r="QI17" i="5"/>
  <c r="QJ17" i="5"/>
  <c r="QK17" i="5"/>
  <c r="QL17" i="5"/>
  <c r="QM17" i="5"/>
  <c r="QN17" i="5"/>
  <c r="QO17" i="5"/>
  <c r="QP17" i="5"/>
  <c r="QQ17" i="5"/>
  <c r="QR17" i="5"/>
  <c r="QS17" i="5"/>
  <c r="QT17" i="5"/>
  <c r="QU17" i="5"/>
  <c r="QV17" i="5"/>
  <c r="QW17" i="5"/>
  <c r="QX17" i="5"/>
  <c r="QY17" i="5"/>
  <c r="QZ17" i="5"/>
  <c r="RA17" i="5"/>
  <c r="RB17" i="5"/>
  <c r="RC17" i="5"/>
  <c r="RD17" i="5"/>
  <c r="RE17" i="5"/>
  <c r="RF17" i="5"/>
  <c r="RG17" i="5"/>
  <c r="RH17" i="5"/>
  <c r="RI17" i="5"/>
  <c r="RJ17" i="5"/>
  <c r="RK17" i="5"/>
  <c r="RL17" i="5"/>
  <c r="RM17" i="5"/>
  <c r="RN17" i="5"/>
  <c r="RO17" i="5"/>
  <c r="RP17" i="5"/>
  <c r="RQ17" i="5"/>
  <c r="RR17" i="5"/>
  <c r="RS17" i="5"/>
  <c r="RT17" i="5"/>
  <c r="RU17" i="5"/>
  <c r="RV17" i="5"/>
  <c r="RW17" i="5"/>
  <c r="RX17" i="5"/>
  <c r="RY17" i="5"/>
  <c r="RZ17" i="5"/>
  <c r="SA17" i="5"/>
  <c r="SB17" i="5"/>
  <c r="SC17" i="5"/>
  <c r="SD17" i="5"/>
  <c r="SE17" i="5"/>
  <c r="SF17" i="5"/>
  <c r="SG17" i="5"/>
  <c r="SH17" i="5"/>
  <c r="SI17" i="5"/>
  <c r="SJ17" i="5"/>
  <c r="SK17" i="5"/>
  <c r="SL17" i="5"/>
  <c r="SM17" i="5"/>
  <c r="SN17" i="5"/>
  <c r="SO17" i="5"/>
  <c r="SP17" i="5"/>
  <c r="SQ17" i="5"/>
  <c r="SR17" i="5"/>
  <c r="SS17" i="5"/>
  <c r="ST17" i="5"/>
  <c r="SU17" i="5"/>
  <c r="SV17" i="5"/>
  <c r="SW17" i="5"/>
  <c r="SX17" i="5"/>
  <c r="SY17" i="5"/>
  <c r="SZ17" i="5"/>
  <c r="TA17" i="5"/>
  <c r="TB17" i="5"/>
  <c r="TC17" i="5"/>
  <c r="TD17" i="5"/>
  <c r="TE17" i="5"/>
  <c r="TF17" i="5"/>
  <c r="TG17" i="5"/>
  <c r="TH17" i="5"/>
  <c r="TI17" i="5"/>
  <c r="TJ17" i="5"/>
  <c r="TK17" i="5"/>
  <c r="TL17" i="5"/>
  <c r="TM17" i="5"/>
  <c r="TN17" i="5"/>
  <c r="TO17" i="5"/>
  <c r="TP17" i="5"/>
  <c r="TQ17" i="5"/>
  <c r="TR17" i="5"/>
  <c r="TS17" i="5"/>
  <c r="TT17" i="5"/>
  <c r="TU17" i="5"/>
  <c r="TV17" i="5"/>
  <c r="TW17" i="5"/>
  <c r="TX17" i="5"/>
  <c r="TY17" i="5"/>
  <c r="TZ17" i="5"/>
  <c r="UA17" i="5"/>
  <c r="UB17" i="5"/>
  <c r="UC17" i="5"/>
  <c r="UD17" i="5"/>
  <c r="UE17" i="5"/>
  <c r="UF17" i="5"/>
  <c r="UG17" i="5"/>
  <c r="UH17" i="5"/>
  <c r="UI17" i="5"/>
  <c r="UJ17" i="5"/>
  <c r="UK17" i="5"/>
  <c r="UL17" i="5"/>
  <c r="UM17" i="5"/>
  <c r="UN17" i="5"/>
  <c r="UO17" i="5"/>
  <c r="UP17" i="5"/>
  <c r="UQ17" i="5"/>
  <c r="UR17" i="5"/>
  <c r="US17" i="5"/>
  <c r="UT17" i="5"/>
  <c r="UU17" i="5"/>
  <c r="UV17" i="5"/>
  <c r="UW17" i="5"/>
  <c r="UX17" i="5"/>
  <c r="UY17" i="5"/>
  <c r="UZ17" i="5"/>
  <c r="VA17" i="5"/>
  <c r="VB17" i="5"/>
  <c r="VC17" i="5"/>
  <c r="VD17" i="5"/>
  <c r="VE17" i="5"/>
  <c r="VF17" i="5"/>
  <c r="VG17" i="5"/>
  <c r="VH17" i="5"/>
  <c r="VI17" i="5"/>
  <c r="VJ17" i="5"/>
  <c r="VK17" i="5"/>
  <c r="VL17" i="5"/>
  <c r="VM17" i="5"/>
  <c r="VN17" i="5"/>
  <c r="VO17" i="5"/>
  <c r="VP17" i="5"/>
  <c r="VQ17" i="5"/>
  <c r="VR17" i="5"/>
  <c r="VS17" i="5"/>
  <c r="VT17" i="5"/>
  <c r="VU17" i="5"/>
  <c r="VV17" i="5"/>
  <c r="VW17" i="5"/>
  <c r="VX17" i="5"/>
  <c r="VY17" i="5"/>
  <c r="VZ17" i="5"/>
  <c r="WA17" i="5"/>
  <c r="WB17" i="5"/>
  <c r="WC17" i="5"/>
  <c r="WD17" i="5"/>
  <c r="WE17" i="5"/>
  <c r="WF17" i="5"/>
  <c r="WG17" i="5"/>
  <c r="WH17" i="5"/>
  <c r="WI17" i="5"/>
  <c r="WJ17" i="5"/>
  <c r="WK17" i="5"/>
  <c r="WL17" i="5"/>
  <c r="WM17" i="5"/>
  <c r="WN17" i="5"/>
  <c r="WO17" i="5"/>
  <c r="WP17" i="5"/>
  <c r="WQ17" i="5"/>
  <c r="WR17" i="5"/>
  <c r="WS17" i="5"/>
  <c r="WT17" i="5"/>
  <c r="WU17" i="5"/>
  <c r="WV17" i="5"/>
  <c r="WW17" i="5"/>
  <c r="WX17" i="5"/>
  <c r="WY17" i="5"/>
  <c r="WZ17" i="5"/>
  <c r="XA17" i="5"/>
  <c r="XB17" i="5"/>
  <c r="XC17" i="5"/>
  <c r="XD17" i="5"/>
  <c r="XE17" i="5"/>
  <c r="XF17" i="5"/>
  <c r="XG17" i="5"/>
  <c r="XH17" i="5"/>
  <c r="XI17" i="5"/>
  <c r="XJ17" i="5"/>
  <c r="XK17" i="5"/>
  <c r="XL17" i="5"/>
  <c r="XM17" i="5"/>
  <c r="XN17" i="5"/>
  <c r="XO17" i="5"/>
  <c r="XP17" i="5"/>
  <c r="XQ17" i="5"/>
  <c r="XR17" i="5"/>
  <c r="XS17" i="5"/>
  <c r="XT17" i="5"/>
  <c r="XU17" i="5"/>
  <c r="XV17" i="5"/>
  <c r="XW17" i="5"/>
  <c r="XX17" i="5"/>
  <c r="XY17" i="5"/>
  <c r="XZ17" i="5"/>
  <c r="YA17" i="5"/>
  <c r="YB17" i="5"/>
  <c r="YC17" i="5"/>
  <c r="YD17" i="5"/>
  <c r="YE17" i="5"/>
  <c r="YF17" i="5"/>
  <c r="YG17" i="5"/>
  <c r="YH17" i="5"/>
  <c r="YI17" i="5"/>
  <c r="YJ17" i="5"/>
  <c r="YK17" i="5"/>
  <c r="YL17" i="5"/>
  <c r="YM17" i="5"/>
  <c r="YN17" i="5"/>
  <c r="YO17" i="5"/>
  <c r="YP17" i="5"/>
  <c r="YQ17" i="5"/>
  <c r="YR17" i="5"/>
  <c r="YS17" i="5"/>
  <c r="YT17" i="5"/>
  <c r="YU17" i="5"/>
  <c r="YV17" i="5"/>
  <c r="YW17" i="5"/>
  <c r="YX17" i="5"/>
  <c r="YY17" i="5"/>
  <c r="YZ17" i="5"/>
  <c r="ZA17" i="5"/>
  <c r="ZB17" i="5"/>
  <c r="ZC17" i="5"/>
  <c r="ZD17" i="5"/>
  <c r="ZE17" i="5"/>
  <c r="ZF17" i="5"/>
  <c r="ZG17" i="5"/>
  <c r="ZH17" i="5"/>
  <c r="ZI17" i="5"/>
  <c r="ZJ17" i="5"/>
  <c r="ZK17" i="5"/>
  <c r="ZL17" i="5"/>
  <c r="ZM17" i="5"/>
  <c r="ZN17" i="5"/>
  <c r="ZO17" i="5"/>
  <c r="ZP17" i="5"/>
  <c r="ZQ17" i="5"/>
  <c r="ZR17" i="5"/>
  <c r="ZS17" i="5"/>
  <c r="ZT17" i="5"/>
  <c r="ZU17" i="5"/>
  <c r="ZV17" i="5"/>
  <c r="ZW17" i="5"/>
  <c r="ZX17" i="5"/>
  <c r="ZY17" i="5"/>
  <c r="ZZ17" i="5"/>
  <c r="AAA17" i="5"/>
  <c r="AAB17" i="5"/>
  <c r="AAC17" i="5"/>
  <c r="AAD17" i="5"/>
  <c r="AAE17" i="5"/>
  <c r="AAF17" i="5"/>
  <c r="AAG17" i="5"/>
  <c r="AAH17" i="5"/>
  <c r="AAI17" i="5"/>
  <c r="AAJ17" i="5"/>
  <c r="AAK17" i="5"/>
  <c r="AAL17" i="5"/>
  <c r="AAM17" i="5"/>
  <c r="AAN17" i="5"/>
  <c r="AAO17" i="5"/>
  <c r="AAP17" i="5"/>
  <c r="AAQ17" i="5"/>
  <c r="AAR17" i="5"/>
  <c r="AAS17" i="5"/>
  <c r="AAT17" i="5"/>
  <c r="AAU17" i="5"/>
  <c r="AAV17" i="5"/>
  <c r="AAW17" i="5"/>
  <c r="AAX17" i="5"/>
  <c r="AAY17" i="5"/>
  <c r="AAZ17" i="5"/>
  <c r="ABA17" i="5"/>
  <c r="ABB17" i="5"/>
  <c r="ABC17" i="5"/>
  <c r="ABD17" i="5"/>
  <c r="ABE17" i="5"/>
  <c r="ABF17" i="5"/>
  <c r="ABG17" i="5"/>
  <c r="ABH17" i="5"/>
  <c r="ABI17" i="5"/>
  <c r="ABJ17" i="5"/>
  <c r="ABK17" i="5"/>
  <c r="ABL17" i="5"/>
  <c r="ABM17" i="5"/>
  <c r="ABN17" i="5"/>
  <c r="ABO17" i="5"/>
  <c r="ABP17" i="5"/>
  <c r="ABQ17" i="5"/>
  <c r="ABR17" i="5"/>
  <c r="ABS17" i="5"/>
  <c r="ABT17" i="5"/>
  <c r="ABU17" i="5"/>
  <c r="ABV17" i="5"/>
  <c r="ABW17" i="5"/>
  <c r="ABX17" i="5"/>
  <c r="ABY17" i="5"/>
  <c r="ABZ17" i="5"/>
  <c r="ACA17" i="5"/>
  <c r="ACB17" i="5"/>
  <c r="ACC17" i="5"/>
  <c r="ACD17" i="5"/>
  <c r="ACE17" i="5"/>
  <c r="ACF17" i="5"/>
  <c r="ACG17" i="5"/>
  <c r="ACH17" i="5"/>
  <c r="ACI17" i="5"/>
  <c r="ACJ17" i="5"/>
  <c r="ACK17" i="5"/>
  <c r="ACL17" i="5"/>
  <c r="ACM17" i="5"/>
  <c r="ACN17" i="5"/>
  <c r="ACO17" i="5"/>
  <c r="ACP17" i="5"/>
  <c r="ACQ17" i="5"/>
  <c r="ACR17" i="5"/>
  <c r="ACS17" i="5"/>
  <c r="ACT17" i="5"/>
  <c r="ACU17" i="5"/>
  <c r="ACV17" i="5"/>
  <c r="ACW17" i="5"/>
  <c r="ACX17" i="5"/>
  <c r="ACY17" i="5"/>
  <c r="ACZ17" i="5"/>
  <c r="ADA17" i="5"/>
  <c r="ADB17" i="5"/>
  <c r="ADC17" i="5"/>
  <c r="ADD17" i="5"/>
  <c r="ADE17" i="5"/>
  <c r="ADF17" i="5"/>
  <c r="ADG17" i="5"/>
  <c r="ADH17" i="5"/>
  <c r="ADI17" i="5"/>
  <c r="ADJ17" i="5"/>
  <c r="ADK17" i="5"/>
  <c r="ADL17" i="5"/>
  <c r="ADM17" i="5"/>
  <c r="ADN17" i="5"/>
  <c r="ADO17" i="5"/>
  <c r="ADP17" i="5"/>
  <c r="ADQ17" i="5"/>
  <c r="ADR17" i="5"/>
  <c r="ADS17" i="5"/>
  <c r="ADT17" i="5"/>
  <c r="ADU17" i="5"/>
  <c r="ADV17" i="5"/>
  <c r="ADW17" i="5"/>
  <c r="ADX17" i="5"/>
  <c r="ADY17" i="5"/>
  <c r="ADZ17" i="5"/>
  <c r="AEA17" i="5"/>
  <c r="AEB17" i="5"/>
  <c r="AEC17" i="5"/>
  <c r="AED17" i="5"/>
  <c r="AEE17" i="5"/>
  <c r="AEF17" i="5"/>
  <c r="AEG17" i="5"/>
  <c r="AEH17" i="5"/>
  <c r="AEI17" i="5"/>
  <c r="AEJ17" i="5"/>
  <c r="AEK17" i="5"/>
  <c r="AEL17" i="5"/>
  <c r="AEM17" i="5"/>
  <c r="AEN17" i="5"/>
  <c r="AEO17" i="5"/>
  <c r="AEP17" i="5"/>
  <c r="AEQ17" i="5"/>
  <c r="AER17" i="5"/>
  <c r="AES17" i="5"/>
  <c r="AET17" i="5"/>
  <c r="AEU17" i="5"/>
  <c r="AEV17" i="5"/>
  <c r="AEW17" i="5"/>
  <c r="AEX17" i="5"/>
  <c r="AEY17" i="5"/>
  <c r="AEZ17" i="5"/>
  <c r="AFA17" i="5"/>
  <c r="AFB17" i="5"/>
  <c r="AFC17" i="5"/>
  <c r="AFD17" i="5"/>
  <c r="AFE17" i="5"/>
  <c r="AFF17" i="5"/>
  <c r="AFG17" i="5"/>
  <c r="AFH17" i="5"/>
  <c r="AFI17" i="5"/>
  <c r="AFJ17" i="5"/>
  <c r="AFK17" i="5"/>
  <c r="AFL17" i="5"/>
  <c r="AFM17" i="5"/>
  <c r="AFN17" i="5"/>
  <c r="AFO17" i="5"/>
  <c r="AFP17" i="5"/>
  <c r="AFQ17" i="5"/>
  <c r="AFR17" i="5"/>
  <c r="AFS17" i="5"/>
  <c r="AFT17" i="5"/>
  <c r="AFU17" i="5"/>
  <c r="AFV17" i="5"/>
  <c r="AFW17" i="5"/>
  <c r="AFX17" i="5"/>
  <c r="AFY17" i="5"/>
  <c r="AFZ17" i="5"/>
  <c r="AGA17" i="5"/>
  <c r="AGB17" i="5"/>
  <c r="AGC17" i="5"/>
  <c r="AGD17" i="5"/>
  <c r="AGE17" i="5"/>
  <c r="AGF17" i="5"/>
  <c r="AGG17" i="5"/>
  <c r="AGH17" i="5"/>
  <c r="AGI17" i="5"/>
  <c r="AGJ17" i="5"/>
  <c r="AGK17" i="5"/>
  <c r="AGL17" i="5"/>
  <c r="AGM17" i="5"/>
  <c r="AGN17" i="5"/>
  <c r="AGO17" i="5"/>
  <c r="AGP17" i="5"/>
  <c r="AGQ17" i="5"/>
  <c r="AGR17" i="5"/>
  <c r="AGS17" i="5"/>
  <c r="AGT17" i="5"/>
  <c r="AGU17" i="5"/>
  <c r="AGV17" i="5"/>
  <c r="AGW17" i="5"/>
  <c r="AGX17" i="5"/>
  <c r="AGY17" i="5"/>
  <c r="AGZ17" i="5"/>
  <c r="AHA17" i="5"/>
  <c r="AHB17" i="5"/>
  <c r="AHC17" i="5"/>
  <c r="AHD17" i="5"/>
  <c r="AHE17" i="5"/>
  <c r="AHF17" i="5"/>
  <c r="AHG17" i="5"/>
  <c r="AHH17" i="5"/>
  <c r="AHI17" i="5"/>
  <c r="AHJ17" i="5"/>
  <c r="AHK17" i="5"/>
  <c r="AHL17" i="5"/>
  <c r="AHM17" i="5"/>
  <c r="AHN17" i="5"/>
  <c r="AHO17" i="5"/>
  <c r="AHP17" i="5"/>
  <c r="AHQ17" i="5"/>
  <c r="AHR17" i="5"/>
  <c r="AHS17" i="5"/>
  <c r="AHT17" i="5"/>
  <c r="AHU17" i="5"/>
  <c r="AHV17" i="5"/>
  <c r="AHW17" i="5"/>
  <c r="AHX17" i="5"/>
  <c r="AHY17" i="5"/>
  <c r="AHZ17" i="5"/>
  <c r="AIA17" i="5"/>
  <c r="AIB17" i="5"/>
  <c r="AIC17" i="5"/>
  <c r="AID17" i="5"/>
  <c r="AIE17" i="5"/>
  <c r="AIF17" i="5"/>
  <c r="AIG17" i="5"/>
  <c r="AIH17" i="5"/>
  <c r="AII17" i="5"/>
  <c r="AIJ17" i="5"/>
  <c r="AIK17" i="5"/>
  <c r="AIL17" i="5"/>
  <c r="AIM17" i="5"/>
  <c r="AIN17" i="5"/>
  <c r="AIO17" i="5"/>
  <c r="AIP17" i="5"/>
  <c r="AIQ17" i="5"/>
  <c r="AIR17" i="5"/>
  <c r="AIS17" i="5"/>
  <c r="AIT17" i="5"/>
  <c r="AIU17" i="5"/>
  <c r="AIV17" i="5"/>
  <c r="AIW17" i="5"/>
  <c r="AIX17" i="5"/>
  <c r="AIY17" i="5"/>
  <c r="AIZ17" i="5"/>
  <c r="AJA17" i="5"/>
  <c r="AJB17" i="5"/>
  <c r="AJC17" i="5"/>
  <c r="AJD17" i="5"/>
  <c r="AJE17" i="5"/>
  <c r="AJF17" i="5"/>
  <c r="AJG17" i="5"/>
  <c r="AJH17" i="5"/>
  <c r="AJI17" i="5"/>
  <c r="AJJ17" i="5"/>
  <c r="AJK17" i="5"/>
  <c r="AJL17" i="5"/>
  <c r="AJM17" i="5"/>
  <c r="AJN17" i="5"/>
  <c r="AJO17" i="5"/>
  <c r="AJP17" i="5"/>
  <c r="AJQ17" i="5"/>
  <c r="AJR17" i="5"/>
  <c r="AJS17" i="5"/>
  <c r="AJT17" i="5"/>
  <c r="AJU17" i="5"/>
  <c r="AJV17" i="5"/>
  <c r="AJW17" i="5"/>
  <c r="AJX17" i="5"/>
  <c r="AJY17" i="5"/>
  <c r="AJZ17" i="5"/>
  <c r="AKA17" i="5"/>
  <c r="AKB17" i="5"/>
  <c r="AKC17" i="5"/>
  <c r="AKD17" i="5"/>
  <c r="AKE17" i="5"/>
  <c r="AKF17" i="5"/>
  <c r="AKG17" i="5"/>
  <c r="AKH17" i="5"/>
  <c r="AKI17" i="5"/>
  <c r="AKJ17" i="5"/>
  <c r="AKK17" i="5"/>
  <c r="AKL17" i="5"/>
  <c r="AKM17" i="5"/>
  <c r="AKN17" i="5"/>
  <c r="AKO17" i="5"/>
  <c r="AKP17" i="5"/>
  <c r="AKQ17" i="5"/>
  <c r="AKR17" i="5"/>
  <c r="AKS17" i="5"/>
  <c r="AKT17" i="5"/>
  <c r="AKU17" i="5"/>
  <c r="AKV17" i="5"/>
  <c r="AKW17" i="5"/>
  <c r="AKX17" i="5"/>
  <c r="AKY17" i="5"/>
  <c r="AKZ17" i="5"/>
  <c r="ALA17" i="5"/>
  <c r="ALB17" i="5"/>
  <c r="ALC17" i="5"/>
  <c r="ALD17" i="5"/>
  <c r="ALE17" i="5"/>
  <c r="ALF17" i="5"/>
  <c r="ALG17" i="5"/>
  <c r="ALH17" i="5"/>
  <c r="ALI17" i="5"/>
  <c r="ALJ17" i="5"/>
  <c r="ALK17" i="5"/>
  <c r="ALL17" i="5"/>
  <c r="ALM17" i="5"/>
  <c r="ALN17" i="5"/>
  <c r="ALO17" i="5"/>
  <c r="ALP17" i="5"/>
  <c r="ALQ17" i="5"/>
  <c r="ALR17" i="5"/>
  <c r="ALS17" i="5"/>
  <c r="ALT17" i="5"/>
  <c r="ALU17" i="5"/>
  <c r="ALV17" i="5"/>
  <c r="ALW17" i="5"/>
  <c r="ALX17" i="5"/>
  <c r="ALY17" i="5"/>
  <c r="ALZ17" i="5"/>
  <c r="AMA17" i="5"/>
  <c r="AMB17" i="5"/>
  <c r="AMC17" i="5"/>
  <c r="AMD17" i="5"/>
  <c r="AME17" i="5"/>
  <c r="AMF17" i="5"/>
  <c r="AMG17" i="5"/>
  <c r="AMH17" i="5"/>
  <c r="AMI17" i="5"/>
  <c r="AMJ17" i="5"/>
  <c r="AMK17" i="5"/>
  <c r="AML17" i="5"/>
  <c r="AMM17" i="5"/>
  <c r="AMN17" i="5"/>
  <c r="AMO17" i="5"/>
  <c r="AMP17" i="5"/>
  <c r="AMQ17" i="5"/>
  <c r="AMR17" i="5"/>
  <c r="AMS17" i="5"/>
  <c r="AMT17" i="5"/>
  <c r="AMU17" i="5"/>
  <c r="AMV17" i="5"/>
  <c r="AMW17" i="5"/>
  <c r="AMX17" i="5"/>
  <c r="AMY17" i="5"/>
  <c r="AMZ17" i="5"/>
  <c r="ANA17" i="5"/>
  <c r="ANB17" i="5"/>
  <c r="ANC17" i="5"/>
  <c r="AND17" i="5"/>
  <c r="ANE17" i="5"/>
  <c r="ANF17" i="5"/>
  <c r="ANG17" i="5"/>
  <c r="ANH17" i="5"/>
  <c r="ANI17" i="5"/>
  <c r="ANJ17" i="5"/>
  <c r="ANK17" i="5"/>
  <c r="ANL17" i="5"/>
  <c r="ANM17" i="5"/>
  <c r="ANN17" i="5"/>
  <c r="ANO17" i="5"/>
  <c r="ANP17" i="5"/>
  <c r="ANQ17" i="5"/>
  <c r="ANR17" i="5"/>
  <c r="ANS17" i="5"/>
  <c r="ANT17" i="5"/>
  <c r="ANU17" i="5"/>
  <c r="ANV17" i="5"/>
  <c r="ANW17" i="5"/>
  <c r="ANX17" i="5"/>
  <c r="ANY17" i="5"/>
  <c r="ANZ17" i="5"/>
  <c r="AOA17" i="5"/>
  <c r="AOB17" i="5"/>
  <c r="AOC17" i="5"/>
  <c r="AOD17" i="5"/>
  <c r="AOE17" i="5"/>
  <c r="AOF17" i="5"/>
  <c r="AOG17" i="5"/>
  <c r="AOH17" i="5"/>
  <c r="AOI17" i="5"/>
  <c r="AOJ17" i="5"/>
  <c r="AOK17" i="5"/>
  <c r="AOL17" i="5"/>
  <c r="AOM17" i="5"/>
  <c r="AON17" i="5"/>
  <c r="AOO17" i="5"/>
  <c r="AOP17" i="5"/>
  <c r="AOQ17" i="5"/>
  <c r="AOR17" i="5"/>
  <c r="AOS17" i="5"/>
  <c r="AOT17" i="5"/>
  <c r="AOU17" i="5"/>
  <c r="AOV17" i="5"/>
  <c r="AOW17" i="5"/>
  <c r="AOX17" i="5"/>
  <c r="AOY17" i="5"/>
  <c r="AOZ17" i="5"/>
  <c r="APA17" i="5"/>
  <c r="APB17" i="5"/>
  <c r="APC17" i="5"/>
  <c r="APD17" i="5"/>
  <c r="APE17" i="5"/>
  <c r="APF17" i="5"/>
  <c r="APG17" i="5"/>
  <c r="APH17" i="5"/>
  <c r="API17" i="5"/>
  <c r="APJ17" i="5"/>
  <c r="APK17" i="5"/>
  <c r="APL17" i="5"/>
  <c r="APM17" i="5"/>
  <c r="APN17" i="5"/>
  <c r="APO17" i="5"/>
  <c r="APP17" i="5"/>
  <c r="APQ17" i="5"/>
  <c r="APR17" i="5"/>
  <c r="APS17" i="5"/>
  <c r="APT17" i="5"/>
  <c r="APU17" i="5"/>
  <c r="APV17" i="5"/>
  <c r="APW17" i="5"/>
  <c r="APX17" i="5"/>
  <c r="APY17" i="5"/>
  <c r="APZ17" i="5"/>
  <c r="AQA17" i="5"/>
  <c r="AQB17" i="5"/>
  <c r="AQC17" i="5"/>
  <c r="AQD17" i="5"/>
  <c r="AQE17" i="5"/>
  <c r="AQF17" i="5"/>
  <c r="AQG17" i="5"/>
  <c r="AQH17" i="5"/>
  <c r="AQI17" i="5"/>
  <c r="AQJ17" i="5"/>
  <c r="AQK17" i="5"/>
  <c r="AQL17" i="5"/>
  <c r="AQM17" i="5"/>
  <c r="AQN17" i="5"/>
  <c r="AQO17" i="5"/>
  <c r="AQP17" i="5"/>
  <c r="AQQ17" i="5"/>
  <c r="AQR17" i="5"/>
  <c r="AQS17" i="5"/>
  <c r="AQT17" i="5"/>
  <c r="AQU17" i="5"/>
  <c r="AQV17" i="5"/>
  <c r="AQW17" i="5"/>
  <c r="AQX17" i="5"/>
  <c r="AQY17" i="5"/>
  <c r="AQZ17" i="5"/>
  <c r="ARA17" i="5"/>
  <c r="ARB17" i="5"/>
  <c r="ARC17" i="5"/>
  <c r="ARD17" i="5"/>
  <c r="ARE17" i="5"/>
  <c r="ARF17" i="5"/>
  <c r="ARG17" i="5"/>
  <c r="ARH17" i="5"/>
  <c r="ARI17" i="5"/>
  <c r="ARJ17" i="5"/>
  <c r="ARK17" i="5"/>
  <c r="ARL17" i="5"/>
  <c r="ARM17" i="5"/>
  <c r="ARN17" i="5"/>
  <c r="ARO17" i="5"/>
  <c r="ARP17" i="5"/>
  <c r="ARQ17" i="5"/>
  <c r="ARR17" i="5"/>
  <c r="ARS17" i="5"/>
  <c r="ART17" i="5"/>
  <c r="ARU17" i="5"/>
  <c r="ARV17" i="5"/>
  <c r="ARW17" i="5"/>
  <c r="ARX17" i="5"/>
  <c r="ARY17" i="5"/>
  <c r="ARZ17" i="5"/>
  <c r="ASA17" i="5"/>
  <c r="ASB17" i="5"/>
  <c r="ASC17" i="5"/>
  <c r="ASD17" i="5"/>
  <c r="ASE17" i="5"/>
  <c r="ASF17" i="5"/>
  <c r="ASG17" i="5"/>
  <c r="ASH17" i="5"/>
  <c r="ASI17" i="5"/>
  <c r="ASJ17" i="5"/>
  <c r="ASK17" i="5"/>
  <c r="ASL17" i="5"/>
  <c r="ASM17" i="5"/>
  <c r="ASN17" i="5"/>
  <c r="ASO17" i="5"/>
  <c r="ASP17" i="5"/>
  <c r="ASQ17" i="5"/>
  <c r="ASR17" i="5"/>
  <c r="ASS17" i="5"/>
  <c r="AST17" i="5"/>
  <c r="ASU17" i="5"/>
  <c r="ASV17" i="5"/>
  <c r="ASW17" i="5"/>
  <c r="ASX17" i="5"/>
  <c r="ASY17" i="5"/>
  <c r="ASZ17" i="5"/>
  <c r="ATA17" i="5"/>
  <c r="ATB17" i="5"/>
  <c r="ATC17" i="5"/>
  <c r="ATD17" i="5"/>
  <c r="ATE17" i="5"/>
  <c r="ATF17" i="5"/>
  <c r="ATG17" i="5"/>
  <c r="ATH17" i="5"/>
  <c r="ATI17" i="5"/>
  <c r="ATJ17" i="5"/>
  <c r="ATK17" i="5"/>
  <c r="ATL17" i="5"/>
  <c r="ATM17" i="5"/>
  <c r="ATN17" i="5"/>
  <c r="ATO17" i="5"/>
  <c r="ATP17" i="5"/>
  <c r="ATQ17" i="5"/>
  <c r="ATR17" i="5"/>
  <c r="ATS17" i="5"/>
  <c r="ATT17" i="5"/>
  <c r="ATU17" i="5"/>
  <c r="ATV17" i="5"/>
  <c r="ATW17" i="5"/>
  <c r="ATX17" i="5"/>
  <c r="ATY17" i="5"/>
  <c r="ATZ17" i="5"/>
  <c r="AUA17" i="5"/>
  <c r="AUB17" i="5"/>
  <c r="AUC17" i="5"/>
  <c r="AUD17" i="5"/>
  <c r="AUE17" i="5"/>
  <c r="AUF17" i="5"/>
  <c r="AUG17" i="5"/>
  <c r="AUH17" i="5"/>
  <c r="AUI17" i="5"/>
  <c r="AUJ17" i="5"/>
  <c r="AUK17" i="5"/>
  <c r="AUL17" i="5"/>
  <c r="AUM17" i="5"/>
  <c r="AUN17" i="5"/>
  <c r="AUO17" i="5"/>
  <c r="AUP17" i="5"/>
  <c r="AUQ17" i="5"/>
  <c r="AUR17" i="5"/>
  <c r="AUS17" i="5"/>
  <c r="AUT17" i="5"/>
  <c r="AUU17" i="5"/>
  <c r="AUV17" i="5"/>
  <c r="AUW17" i="5"/>
  <c r="AUX17" i="5"/>
  <c r="AUY17" i="5"/>
  <c r="AUZ17" i="5"/>
  <c r="AVA17" i="5"/>
  <c r="AVB17" i="5"/>
  <c r="AVC17" i="5"/>
  <c r="AVD17" i="5"/>
  <c r="AVE17" i="5"/>
  <c r="AVF17" i="5"/>
  <c r="AVG17" i="5"/>
  <c r="AVH17" i="5"/>
  <c r="AVI17" i="5"/>
  <c r="AVJ17" i="5"/>
  <c r="AVK17" i="5"/>
  <c r="AVL17" i="5"/>
  <c r="AVM17" i="5"/>
  <c r="AVN17" i="5"/>
  <c r="AVO17" i="5"/>
  <c r="AVP17" i="5"/>
  <c r="AVQ17" i="5"/>
  <c r="AVR17" i="5"/>
  <c r="AVS17" i="5"/>
  <c r="AVT17" i="5"/>
  <c r="AVU17" i="5"/>
  <c r="AVV17" i="5"/>
  <c r="AVW17" i="5"/>
  <c r="AVX17" i="5"/>
  <c r="AVY17" i="5"/>
  <c r="AVZ17" i="5"/>
  <c r="AWA17" i="5"/>
  <c r="AWB17" i="5"/>
  <c r="AWC17" i="5"/>
  <c r="AWD17" i="5"/>
  <c r="AWE17" i="5"/>
  <c r="AWF17" i="5"/>
  <c r="AWG17" i="5"/>
  <c r="AWH17" i="5"/>
  <c r="AWI17" i="5"/>
  <c r="AWJ17" i="5"/>
  <c r="AWK17" i="5"/>
  <c r="AWL17" i="5"/>
  <c r="AWM17" i="5"/>
  <c r="AWN17" i="5"/>
  <c r="AWO17" i="5"/>
  <c r="AWP17" i="5"/>
  <c r="AWQ17" i="5"/>
  <c r="AWR17" i="5"/>
  <c r="AWS17" i="5"/>
  <c r="AWT17" i="5"/>
  <c r="AWU17" i="5"/>
  <c r="AWV17" i="5"/>
  <c r="AWW17" i="5"/>
  <c r="AWX17" i="5"/>
  <c r="AWY17" i="5"/>
  <c r="AWZ17" i="5"/>
  <c r="AXA17" i="5"/>
  <c r="AXB17" i="5"/>
  <c r="AXC17" i="5"/>
  <c r="AXD17" i="5"/>
  <c r="AXE17" i="5"/>
  <c r="AXF17" i="5"/>
  <c r="AXG17" i="5"/>
  <c r="AXH17" i="5"/>
  <c r="AXI17" i="5"/>
  <c r="AXJ17" i="5"/>
  <c r="AXK17" i="5"/>
  <c r="AXL17" i="5"/>
  <c r="AXM17" i="5"/>
  <c r="AXN17" i="5"/>
  <c r="AXO17" i="5"/>
  <c r="AXP17" i="5"/>
  <c r="AXQ17" i="5"/>
  <c r="AXR17" i="5"/>
  <c r="AXS17" i="5"/>
  <c r="AXT17" i="5"/>
  <c r="AXU17" i="5"/>
  <c r="AXV17" i="5"/>
  <c r="AXW17" i="5"/>
  <c r="AXX17" i="5"/>
  <c r="AXY17" i="5"/>
  <c r="AXZ17" i="5"/>
  <c r="AYA17" i="5"/>
  <c r="AYB17" i="5"/>
  <c r="AYC17" i="5"/>
  <c r="AYD17" i="5"/>
  <c r="AYE17" i="5"/>
  <c r="AYF17" i="5"/>
  <c r="AYG17" i="5"/>
  <c r="AYH17" i="5"/>
  <c r="AYI17" i="5"/>
  <c r="AYJ17" i="5"/>
  <c r="AYK17" i="5"/>
  <c r="AYL17" i="5"/>
  <c r="AYM17" i="5"/>
  <c r="AYN17" i="5"/>
  <c r="AYO17" i="5"/>
  <c r="AYP17" i="5"/>
  <c r="AYQ17" i="5"/>
  <c r="AYR17" i="5"/>
  <c r="AYS17" i="5"/>
  <c r="AYT17" i="5"/>
  <c r="AYU17" i="5"/>
  <c r="AYV17" i="5"/>
  <c r="AYW17" i="5"/>
  <c r="AYX17" i="5"/>
  <c r="AYY17" i="5"/>
  <c r="AYZ17" i="5"/>
  <c r="AZA17" i="5"/>
  <c r="AZB17" i="5"/>
  <c r="AZC17" i="5"/>
  <c r="AZD17" i="5"/>
  <c r="AZE17" i="5"/>
  <c r="AZF17" i="5"/>
  <c r="AZG17" i="5"/>
  <c r="AZH17" i="5"/>
  <c r="AZI17" i="5"/>
  <c r="AZJ17" i="5"/>
  <c r="AZK17" i="5"/>
  <c r="AZL17" i="5"/>
  <c r="AZM17" i="5"/>
  <c r="AZN17" i="5"/>
  <c r="AZO17" i="5"/>
  <c r="AZP17" i="5"/>
  <c r="AZQ17" i="5"/>
  <c r="AZR17" i="5"/>
  <c r="AZS17" i="5"/>
  <c r="AZT17" i="5"/>
  <c r="AZU17" i="5"/>
  <c r="AZV17" i="5"/>
  <c r="AZW17" i="5"/>
  <c r="AZX17" i="5"/>
  <c r="AZY17" i="5"/>
  <c r="AZZ17" i="5"/>
  <c r="BAA17" i="5"/>
  <c r="BAB17" i="5"/>
  <c r="BAC17" i="5"/>
  <c r="BAD17" i="5"/>
  <c r="BAE17" i="5"/>
  <c r="BAF17" i="5"/>
  <c r="BAG17" i="5"/>
  <c r="BAH17" i="5"/>
  <c r="BAI17" i="5"/>
  <c r="BAJ17" i="5"/>
  <c r="BAK17" i="5"/>
  <c r="BAL17" i="5"/>
  <c r="BAM17" i="5"/>
  <c r="BAN17" i="5"/>
  <c r="BAO17" i="5"/>
  <c r="BAP17" i="5"/>
  <c r="BAQ17" i="5"/>
  <c r="BAR17" i="5"/>
  <c r="BAS17" i="5"/>
  <c r="BAT17" i="5"/>
  <c r="BAU17" i="5"/>
  <c r="BAV17" i="5"/>
  <c r="BAW17" i="5"/>
  <c r="BAX17" i="5"/>
  <c r="BAY17" i="5"/>
  <c r="BAZ17" i="5"/>
  <c r="BBA17" i="5"/>
  <c r="BBB17" i="5"/>
  <c r="BBC17" i="5"/>
  <c r="BBD17" i="5"/>
  <c r="BBE17" i="5"/>
  <c r="BBF17" i="5"/>
  <c r="BBG17" i="5"/>
  <c r="BBH17" i="5"/>
  <c r="BBI17" i="5"/>
  <c r="BBJ17" i="5"/>
  <c r="BBK17" i="5"/>
  <c r="BBL17" i="5"/>
  <c r="BBM17" i="5"/>
  <c r="BBN17" i="5"/>
  <c r="BBO17" i="5"/>
  <c r="BBP17" i="5"/>
  <c r="BBQ17" i="5"/>
  <c r="BBR17" i="5"/>
  <c r="BBS17" i="5"/>
  <c r="BBT17" i="5"/>
  <c r="BBU17" i="5"/>
  <c r="BBV17" i="5"/>
  <c r="BBW17" i="5"/>
  <c r="BBX17" i="5"/>
  <c r="BBY17" i="5"/>
  <c r="BBZ17" i="5"/>
  <c r="BCA17" i="5"/>
  <c r="BCB17" i="5"/>
  <c r="BCC17" i="5"/>
  <c r="BCD17" i="5"/>
  <c r="BCE17" i="5"/>
  <c r="BCF17" i="5"/>
  <c r="BCG17" i="5"/>
  <c r="BCH17" i="5"/>
  <c r="BCI17" i="5"/>
  <c r="BCJ17" i="5"/>
  <c r="BCK17" i="5"/>
  <c r="BCL17" i="5"/>
  <c r="BCM17" i="5"/>
  <c r="BCN17" i="5"/>
  <c r="BCO17" i="5"/>
  <c r="BCP17" i="5"/>
  <c r="BCQ17" i="5"/>
  <c r="BCR17" i="5"/>
  <c r="BCS17" i="5"/>
  <c r="BCT17" i="5"/>
  <c r="BCU17" i="5"/>
  <c r="BCV17" i="5"/>
  <c r="BCW17" i="5"/>
  <c r="BCX17" i="5"/>
  <c r="BCY17" i="5"/>
  <c r="BCZ17" i="5"/>
  <c r="BDA17" i="5"/>
  <c r="BDB17" i="5"/>
  <c r="BDC17" i="5"/>
  <c r="BDD17" i="5"/>
  <c r="BDE17" i="5"/>
  <c r="BDF17" i="5"/>
  <c r="BDG17" i="5"/>
  <c r="BDH17" i="5"/>
  <c r="BDI17" i="5"/>
  <c r="BDJ17" i="5"/>
  <c r="BDK17" i="5"/>
  <c r="BDL17" i="5"/>
  <c r="BDM17" i="5"/>
  <c r="BDN17" i="5"/>
  <c r="BDO17" i="5"/>
  <c r="BDP17" i="5"/>
  <c r="BDQ17" i="5"/>
  <c r="BDR17" i="5"/>
  <c r="BDS17" i="5"/>
  <c r="BDT17" i="5"/>
  <c r="BDU17" i="5"/>
  <c r="BDV17" i="5"/>
  <c r="BDW17" i="5"/>
  <c r="BDX17" i="5"/>
  <c r="BDY17" i="5"/>
  <c r="BDZ17" i="5"/>
  <c r="BEA17" i="5"/>
  <c r="BEB17" i="5"/>
  <c r="BEC17" i="5"/>
  <c r="BED17" i="5"/>
  <c r="BEE17" i="5"/>
  <c r="BEF17" i="5"/>
  <c r="BEG17" i="5"/>
  <c r="BEH17" i="5"/>
  <c r="BEI17" i="5"/>
  <c r="BEJ17" i="5"/>
  <c r="BEK17" i="5"/>
  <c r="BEL17" i="5"/>
  <c r="BEM17" i="5"/>
  <c r="BEN17" i="5"/>
  <c r="BEO17" i="5"/>
  <c r="BEP17" i="5"/>
  <c r="BEQ17" i="5"/>
  <c r="BER17" i="5"/>
  <c r="BES17" i="5"/>
  <c r="BET17" i="5"/>
  <c r="BEU17" i="5"/>
  <c r="BEV17" i="5"/>
  <c r="BEW17" i="5"/>
  <c r="BEX17" i="5"/>
  <c r="BEY17" i="5"/>
  <c r="BEZ17" i="5"/>
  <c r="BFA17" i="5"/>
  <c r="BFB17" i="5"/>
  <c r="BFC17" i="5"/>
  <c r="BFD17" i="5"/>
  <c r="BFE17" i="5"/>
  <c r="BFF17" i="5"/>
  <c r="BFG17" i="5"/>
  <c r="BFH17" i="5"/>
  <c r="BFI17" i="5"/>
  <c r="BFJ17" i="5"/>
  <c r="BFK17" i="5"/>
  <c r="BFL17" i="5"/>
  <c r="BFM17" i="5"/>
  <c r="BFN17" i="5"/>
  <c r="BFO17" i="5"/>
  <c r="BFP17" i="5"/>
  <c r="BFQ17" i="5"/>
  <c r="BFR17" i="5"/>
  <c r="BFS17" i="5"/>
  <c r="BFT17" i="5"/>
  <c r="BFU17" i="5"/>
  <c r="BFV17" i="5"/>
  <c r="BFW17" i="5"/>
  <c r="BFX17" i="5"/>
  <c r="BFY17" i="5"/>
  <c r="BFZ17" i="5"/>
  <c r="BGA17" i="5"/>
  <c r="BGB17" i="5"/>
  <c r="BGC17" i="5"/>
  <c r="BGD17" i="5"/>
  <c r="BGE17" i="5"/>
  <c r="BGF17" i="5"/>
  <c r="BGG17" i="5"/>
  <c r="BGH17" i="5"/>
  <c r="BGI17" i="5"/>
  <c r="BGJ17" i="5"/>
  <c r="BGK17" i="5"/>
  <c r="BGL17" i="5"/>
  <c r="BGM17" i="5"/>
  <c r="BGN17" i="5"/>
  <c r="BGO17" i="5"/>
  <c r="BGP17" i="5"/>
  <c r="BGQ17" i="5"/>
  <c r="BGR17" i="5"/>
  <c r="BGS17" i="5"/>
  <c r="BGT17" i="5"/>
  <c r="BGU17" i="5"/>
  <c r="BGV17" i="5"/>
  <c r="BGW17" i="5"/>
  <c r="BGX17" i="5"/>
  <c r="BGY17" i="5"/>
  <c r="BGZ17" i="5"/>
  <c r="BHA17" i="5"/>
  <c r="BHB17" i="5"/>
  <c r="BHC17" i="5"/>
  <c r="BHD17" i="5"/>
  <c r="BHE17" i="5"/>
  <c r="BHF17" i="5"/>
  <c r="BHG17" i="5"/>
  <c r="BHH17" i="5"/>
  <c r="BHI17" i="5"/>
  <c r="BHJ17" i="5"/>
  <c r="BHK17" i="5"/>
  <c r="BHL17" i="5"/>
  <c r="BHM17" i="5"/>
  <c r="BHN17" i="5"/>
  <c r="BHO17" i="5"/>
  <c r="BHP17" i="5"/>
  <c r="BHQ17" i="5"/>
  <c r="BHR17" i="5"/>
  <c r="BHS17" i="5"/>
  <c r="BHT17" i="5"/>
  <c r="BHU17" i="5"/>
  <c r="BHV17" i="5"/>
  <c r="BHW17" i="5"/>
  <c r="BHX17" i="5"/>
  <c r="BHY17" i="5"/>
  <c r="BHZ17" i="5"/>
  <c r="BIA17" i="5"/>
  <c r="BIB17" i="5"/>
  <c r="BIC17" i="5"/>
  <c r="BID17" i="5"/>
  <c r="BIE17" i="5"/>
  <c r="BIF17" i="5"/>
  <c r="BIG17" i="5"/>
  <c r="BIH17" i="5"/>
  <c r="BII17" i="5"/>
  <c r="BIJ17" i="5"/>
  <c r="BIK17" i="5"/>
  <c r="BIL17" i="5"/>
  <c r="BIM17" i="5"/>
  <c r="BIN17" i="5"/>
  <c r="BIO17" i="5"/>
  <c r="BIP17" i="5"/>
  <c r="BIQ17" i="5"/>
  <c r="BIR17" i="5"/>
  <c r="BIS17" i="5"/>
  <c r="BIT17" i="5"/>
  <c r="BIU17" i="5"/>
  <c r="BIV17" i="5"/>
  <c r="BIW17" i="5"/>
  <c r="BIX17" i="5"/>
  <c r="BIY17" i="5"/>
  <c r="BIZ17" i="5"/>
  <c r="BJA17" i="5"/>
  <c r="BJB17" i="5"/>
  <c r="BJC17" i="5"/>
  <c r="BJD17" i="5"/>
  <c r="BJE17" i="5"/>
  <c r="BJF17" i="5"/>
  <c r="BJG17" i="5"/>
  <c r="BJH17" i="5"/>
  <c r="BJI17" i="5"/>
  <c r="BJJ17" i="5"/>
  <c r="BJK17" i="5"/>
  <c r="BJL17" i="5"/>
  <c r="BJM17" i="5"/>
  <c r="BJN17" i="5"/>
  <c r="BJO17" i="5"/>
  <c r="BJP17" i="5"/>
  <c r="BJQ17" i="5"/>
  <c r="BJR17" i="5"/>
  <c r="BJS17" i="5"/>
  <c r="BJT17" i="5"/>
  <c r="BJU17" i="5"/>
  <c r="BJV17" i="5"/>
  <c r="BJW17" i="5"/>
  <c r="BJX17" i="5"/>
  <c r="BJY17" i="5"/>
  <c r="BJZ17" i="5"/>
  <c r="BKA17" i="5"/>
  <c r="BKB17" i="5"/>
  <c r="BKC17" i="5"/>
  <c r="BKD17" i="5"/>
  <c r="BKE17" i="5"/>
  <c r="BKF17" i="5"/>
  <c r="BKG17" i="5"/>
  <c r="BKH17" i="5"/>
  <c r="BKI17" i="5"/>
  <c r="BKJ17" i="5"/>
  <c r="BKK17" i="5"/>
  <c r="BKL17" i="5"/>
  <c r="BKM17" i="5"/>
  <c r="BKN17" i="5"/>
  <c r="BKO17" i="5"/>
  <c r="BKP17" i="5"/>
  <c r="BKQ17" i="5"/>
  <c r="BKR17" i="5"/>
  <c r="BKS17" i="5"/>
  <c r="BKT17" i="5"/>
  <c r="BKU17" i="5"/>
  <c r="BKV17" i="5"/>
  <c r="BKW17" i="5"/>
  <c r="BKX17" i="5"/>
  <c r="BKY17" i="5"/>
  <c r="BKZ17" i="5"/>
  <c r="BLA17" i="5"/>
  <c r="BLB17" i="5"/>
  <c r="BLC17" i="5"/>
  <c r="BLD17" i="5"/>
  <c r="BLE17" i="5"/>
  <c r="BLF17" i="5"/>
  <c r="BLG17" i="5"/>
  <c r="BLH17" i="5"/>
  <c r="BLI17" i="5"/>
  <c r="BLJ17" i="5"/>
  <c r="BLK17" i="5"/>
  <c r="BLL17" i="5"/>
  <c r="BLM17" i="5"/>
  <c r="BLN17" i="5"/>
  <c r="BLO17" i="5"/>
  <c r="BLP17" i="5"/>
  <c r="BLQ17" i="5"/>
  <c r="BLR17" i="5"/>
  <c r="BLS17" i="5"/>
  <c r="BLT17" i="5"/>
  <c r="BLU17" i="5"/>
  <c r="BLV17" i="5"/>
  <c r="BLW17" i="5"/>
  <c r="BLX17" i="5"/>
  <c r="BLY17" i="5"/>
  <c r="BLZ17" i="5"/>
  <c r="BMA17" i="5"/>
  <c r="BMB17" i="5"/>
  <c r="BMC17" i="5"/>
  <c r="BMD17" i="5"/>
  <c r="BME17" i="5"/>
  <c r="BMF17" i="5"/>
  <c r="BMG17" i="5"/>
  <c r="BMH17" i="5"/>
  <c r="BMI17" i="5"/>
  <c r="BMJ17" i="5"/>
  <c r="BMK17" i="5"/>
  <c r="BML17" i="5"/>
  <c r="BMM17" i="5"/>
  <c r="BMN17" i="5"/>
  <c r="BMO17" i="5"/>
  <c r="BMP17" i="5"/>
  <c r="BMQ17" i="5"/>
  <c r="BMR17" i="5"/>
  <c r="BMS17" i="5"/>
  <c r="BMT17" i="5"/>
  <c r="BMU17" i="5"/>
  <c r="BMV17" i="5"/>
  <c r="BMW17" i="5"/>
  <c r="BMX17" i="5"/>
  <c r="BMY17" i="5"/>
  <c r="BMZ17" i="5"/>
  <c r="BNA17" i="5"/>
  <c r="BNB17" i="5"/>
  <c r="BNC17" i="5"/>
  <c r="BND17" i="5"/>
  <c r="BNE17" i="5"/>
  <c r="BNF17" i="5"/>
  <c r="BNG17" i="5"/>
  <c r="BNH17" i="5"/>
  <c r="BNI17" i="5"/>
  <c r="BNJ17" i="5"/>
  <c r="BNK17" i="5"/>
  <c r="BNL17" i="5"/>
  <c r="BNM17" i="5"/>
  <c r="BNN17" i="5"/>
  <c r="BNO17" i="5"/>
  <c r="BNP17" i="5"/>
  <c r="BNQ17" i="5"/>
  <c r="BNR17" i="5"/>
  <c r="BNS17" i="5"/>
  <c r="BNT17" i="5"/>
  <c r="BNU17" i="5"/>
  <c r="BNV17" i="5"/>
  <c r="BNW17" i="5"/>
  <c r="BNX17" i="5"/>
  <c r="BNY17" i="5"/>
  <c r="BNZ17" i="5"/>
  <c r="BOA17" i="5"/>
  <c r="BOB17" i="5"/>
  <c r="BOC17" i="5"/>
  <c r="BOD17" i="5"/>
  <c r="BOE17" i="5"/>
  <c r="BOF17" i="5"/>
  <c r="BOG17" i="5"/>
  <c r="BOH17" i="5"/>
  <c r="BOI17" i="5"/>
  <c r="BOJ17" i="5"/>
  <c r="BOK17" i="5"/>
  <c r="BOL17" i="5"/>
  <c r="BOM17" i="5"/>
  <c r="BON17" i="5"/>
  <c r="BOO17" i="5"/>
  <c r="BOP17" i="5"/>
  <c r="BOQ17" i="5"/>
  <c r="BOR17" i="5"/>
  <c r="BOS17" i="5"/>
  <c r="BOT17" i="5"/>
  <c r="BOU17" i="5"/>
  <c r="BOV17" i="5"/>
  <c r="BOW17" i="5"/>
  <c r="BOX17" i="5"/>
  <c r="BOY17" i="5"/>
  <c r="BOZ17" i="5"/>
  <c r="BPA17" i="5"/>
  <c r="BPB17" i="5"/>
  <c r="BPC17" i="5"/>
  <c r="BPD17" i="5"/>
  <c r="BPE17" i="5"/>
  <c r="BPF17" i="5"/>
  <c r="BPG17" i="5"/>
  <c r="BPH17" i="5"/>
  <c r="BPI17" i="5"/>
  <c r="BPJ17" i="5"/>
  <c r="BPK17" i="5"/>
  <c r="BPL17" i="5"/>
  <c r="BPM17" i="5"/>
  <c r="BPN17" i="5"/>
  <c r="BPO17" i="5"/>
  <c r="BPP17" i="5"/>
  <c r="BPQ17" i="5"/>
  <c r="BPR17" i="5"/>
  <c r="BPS17" i="5"/>
  <c r="BPT17" i="5"/>
  <c r="BPU17" i="5"/>
  <c r="BPV17" i="5"/>
  <c r="BPW17" i="5"/>
  <c r="BPX17" i="5"/>
  <c r="BPY17" i="5"/>
  <c r="BPZ17" i="5"/>
  <c r="BQA17" i="5"/>
  <c r="BQB17" i="5"/>
  <c r="BQC17" i="5"/>
  <c r="BQD17" i="5"/>
  <c r="BQE17" i="5"/>
  <c r="BQF17" i="5"/>
  <c r="BQG17" i="5"/>
  <c r="BQH17" i="5"/>
  <c r="BQI17" i="5"/>
  <c r="BQJ17" i="5"/>
  <c r="BQK17" i="5"/>
  <c r="BQL17" i="5"/>
  <c r="BQM17" i="5"/>
  <c r="BQN17" i="5"/>
  <c r="BQO17" i="5"/>
  <c r="BQP17" i="5"/>
  <c r="BQQ17" i="5"/>
  <c r="BQR17" i="5"/>
  <c r="BQS17" i="5"/>
  <c r="BQT17" i="5"/>
  <c r="BQU17" i="5"/>
  <c r="BQV17" i="5"/>
  <c r="BQW17" i="5"/>
  <c r="BQX17" i="5"/>
  <c r="BQY17" i="5"/>
  <c r="BQZ17" i="5"/>
  <c r="BRA17" i="5"/>
  <c r="BRB17" i="5"/>
  <c r="BRC17" i="5"/>
  <c r="BRD17" i="5"/>
  <c r="BRE17" i="5"/>
  <c r="BRF17" i="5"/>
  <c r="BRG17" i="5"/>
  <c r="BRH17" i="5"/>
  <c r="BRI17" i="5"/>
  <c r="BRJ17" i="5"/>
  <c r="BRK17" i="5"/>
  <c r="BRL17" i="5"/>
  <c r="BRM17" i="5"/>
  <c r="BRN17" i="5"/>
  <c r="BRO17" i="5"/>
  <c r="BRP17" i="5"/>
  <c r="BRQ17" i="5"/>
  <c r="BRR17" i="5"/>
  <c r="BRS17" i="5"/>
  <c r="BRT17" i="5"/>
  <c r="BRU17" i="5"/>
  <c r="BRV17" i="5"/>
  <c r="BRW17" i="5"/>
  <c r="BRX17" i="5"/>
  <c r="BRY17" i="5"/>
  <c r="BRZ17" i="5"/>
  <c r="BSA17" i="5"/>
  <c r="BSB17" i="5"/>
  <c r="BSC17" i="5"/>
  <c r="BSD17" i="5"/>
  <c r="BSE17" i="5"/>
  <c r="BSF17" i="5"/>
  <c r="BSG17" i="5"/>
  <c r="BSH17" i="5"/>
  <c r="BSI17" i="5"/>
  <c r="BSJ17" i="5"/>
  <c r="BSK17" i="5"/>
  <c r="BSL17" i="5"/>
  <c r="BSM17" i="5"/>
  <c r="BSN17" i="5"/>
  <c r="BSO17" i="5"/>
  <c r="BSP17" i="5"/>
  <c r="BSQ17" i="5"/>
  <c r="BSR17" i="5"/>
  <c r="BSS17" i="5"/>
  <c r="BST17" i="5"/>
  <c r="BSU17" i="5"/>
  <c r="BSV17" i="5"/>
  <c r="BSW17" i="5"/>
  <c r="BSX17" i="5"/>
  <c r="BSY17" i="5"/>
  <c r="BSZ17" i="5"/>
  <c r="BTA17" i="5"/>
  <c r="BTB17" i="5"/>
  <c r="BTC17" i="5"/>
  <c r="BTD17" i="5"/>
  <c r="BTE17" i="5"/>
  <c r="BTF17" i="5"/>
  <c r="BTG17" i="5"/>
  <c r="BTH17" i="5"/>
  <c r="BTI17" i="5"/>
  <c r="BTJ17" i="5"/>
  <c r="BTK17" i="5"/>
  <c r="BTL17" i="5"/>
  <c r="BTM17" i="5"/>
  <c r="BTN17" i="5"/>
  <c r="BTO17" i="5"/>
  <c r="BTP17" i="5"/>
  <c r="BTQ17" i="5"/>
  <c r="BTR17" i="5"/>
  <c r="BTS17" i="5"/>
  <c r="BTT17" i="5"/>
  <c r="BTU17" i="5"/>
  <c r="BTV17" i="5"/>
  <c r="BTW17" i="5"/>
  <c r="BTX17" i="5"/>
  <c r="BTY17" i="5"/>
  <c r="BTZ17" i="5"/>
  <c r="BUA17" i="5"/>
  <c r="BUB17" i="5"/>
  <c r="BUC17" i="5"/>
  <c r="BUD17" i="5"/>
  <c r="BUE17" i="5"/>
  <c r="BUF17" i="5"/>
  <c r="BUG17" i="5"/>
  <c r="BUH17" i="5"/>
  <c r="BUI17" i="5"/>
  <c r="BUJ17" i="5"/>
  <c r="BUK17" i="5"/>
  <c r="BUL17" i="5"/>
  <c r="BUM17" i="5"/>
  <c r="BUN17" i="5"/>
  <c r="BUO17" i="5"/>
  <c r="BUP17" i="5"/>
  <c r="BUQ17" i="5"/>
  <c r="BUR17" i="5"/>
  <c r="BUS17" i="5"/>
  <c r="BUT17" i="5"/>
  <c r="BUU17" i="5"/>
  <c r="BUV17" i="5"/>
  <c r="BUW17" i="5"/>
  <c r="BUX17" i="5"/>
  <c r="BUY17" i="5"/>
  <c r="BUZ17" i="5"/>
  <c r="BVA17" i="5"/>
  <c r="BVB17" i="5"/>
  <c r="BVC17" i="5"/>
  <c r="BVD17" i="5"/>
  <c r="BVE17" i="5"/>
  <c r="BVF17" i="5"/>
  <c r="BVG17" i="5"/>
  <c r="BVH17" i="5"/>
  <c r="BVI17" i="5"/>
  <c r="BVJ17" i="5"/>
  <c r="BVK17" i="5"/>
  <c r="BVL17" i="5"/>
  <c r="BVM17" i="5"/>
  <c r="BVN17" i="5"/>
  <c r="BVO17" i="5"/>
  <c r="BVP17" i="5"/>
  <c r="BVQ17" i="5"/>
  <c r="BVR17" i="5"/>
  <c r="BVS17" i="5"/>
  <c r="BVT17" i="5"/>
  <c r="BVU17" i="5"/>
  <c r="BVV17" i="5"/>
  <c r="BVW17" i="5"/>
  <c r="BVX17" i="5"/>
  <c r="BVY17" i="5"/>
  <c r="BVZ17" i="5"/>
  <c r="BWA17" i="5"/>
  <c r="BWB17" i="5"/>
  <c r="BWC17" i="5"/>
  <c r="BWD17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D18" i="5"/>
  <c r="NE18" i="5"/>
  <c r="NF18" i="5"/>
  <c r="NG18" i="5"/>
  <c r="NH18" i="5"/>
  <c r="NI18" i="5"/>
  <c r="NJ18" i="5"/>
  <c r="NK18" i="5"/>
  <c r="NL18" i="5"/>
  <c r="NM18" i="5"/>
  <c r="NN18" i="5"/>
  <c r="NO18" i="5"/>
  <c r="NP18" i="5"/>
  <c r="NQ18" i="5"/>
  <c r="NR18" i="5"/>
  <c r="NS18" i="5"/>
  <c r="NT18" i="5"/>
  <c r="NU18" i="5"/>
  <c r="NV18" i="5"/>
  <c r="NW18" i="5"/>
  <c r="NX18" i="5"/>
  <c r="NY18" i="5"/>
  <c r="NZ18" i="5"/>
  <c r="OA18" i="5"/>
  <c r="OB18" i="5"/>
  <c r="OC18" i="5"/>
  <c r="OD18" i="5"/>
  <c r="OE18" i="5"/>
  <c r="OF18" i="5"/>
  <c r="OG18" i="5"/>
  <c r="OH18" i="5"/>
  <c r="OI18" i="5"/>
  <c r="OJ18" i="5"/>
  <c r="OK18" i="5"/>
  <c r="OL18" i="5"/>
  <c r="OM18" i="5"/>
  <c r="ON18" i="5"/>
  <c r="OO18" i="5"/>
  <c r="OP18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PO18" i="5"/>
  <c r="PP18" i="5"/>
  <c r="PQ18" i="5"/>
  <c r="PR18" i="5"/>
  <c r="PS18" i="5"/>
  <c r="PT18" i="5"/>
  <c r="PU18" i="5"/>
  <c r="PV18" i="5"/>
  <c r="PW18" i="5"/>
  <c r="PX18" i="5"/>
  <c r="PY18" i="5"/>
  <c r="PZ18" i="5"/>
  <c r="QA18" i="5"/>
  <c r="QB18" i="5"/>
  <c r="QC18" i="5"/>
  <c r="QD18" i="5"/>
  <c r="QE18" i="5"/>
  <c r="QF18" i="5"/>
  <c r="QG18" i="5"/>
  <c r="QH18" i="5"/>
  <c r="QI18" i="5"/>
  <c r="QJ18" i="5"/>
  <c r="QK18" i="5"/>
  <c r="QL18" i="5"/>
  <c r="QM18" i="5"/>
  <c r="QN18" i="5"/>
  <c r="QO18" i="5"/>
  <c r="QP18" i="5"/>
  <c r="QQ18" i="5"/>
  <c r="QR18" i="5"/>
  <c r="QS18" i="5"/>
  <c r="QT18" i="5"/>
  <c r="QU18" i="5"/>
  <c r="QV18" i="5"/>
  <c r="QW18" i="5"/>
  <c r="QX18" i="5"/>
  <c r="QY18" i="5"/>
  <c r="QZ18" i="5"/>
  <c r="RA18" i="5"/>
  <c r="RB18" i="5"/>
  <c r="RC18" i="5"/>
  <c r="RD18" i="5"/>
  <c r="RE18" i="5"/>
  <c r="RF18" i="5"/>
  <c r="RG18" i="5"/>
  <c r="RH18" i="5"/>
  <c r="RI18" i="5"/>
  <c r="RJ18" i="5"/>
  <c r="RK18" i="5"/>
  <c r="RL18" i="5"/>
  <c r="RM18" i="5"/>
  <c r="RN18" i="5"/>
  <c r="RO18" i="5"/>
  <c r="RP18" i="5"/>
  <c r="RQ18" i="5"/>
  <c r="RR18" i="5"/>
  <c r="RS18" i="5"/>
  <c r="RT18" i="5"/>
  <c r="RU18" i="5"/>
  <c r="RV18" i="5"/>
  <c r="RW18" i="5"/>
  <c r="RX18" i="5"/>
  <c r="RY18" i="5"/>
  <c r="RZ18" i="5"/>
  <c r="SA18" i="5"/>
  <c r="SB18" i="5"/>
  <c r="SC18" i="5"/>
  <c r="SD18" i="5"/>
  <c r="SE18" i="5"/>
  <c r="SF18" i="5"/>
  <c r="SG18" i="5"/>
  <c r="SH18" i="5"/>
  <c r="SI18" i="5"/>
  <c r="SJ18" i="5"/>
  <c r="SK18" i="5"/>
  <c r="SL18" i="5"/>
  <c r="SM18" i="5"/>
  <c r="SN18" i="5"/>
  <c r="SO18" i="5"/>
  <c r="SP18" i="5"/>
  <c r="SQ18" i="5"/>
  <c r="SR18" i="5"/>
  <c r="SS18" i="5"/>
  <c r="ST18" i="5"/>
  <c r="SU18" i="5"/>
  <c r="SV18" i="5"/>
  <c r="SW18" i="5"/>
  <c r="SX18" i="5"/>
  <c r="SY18" i="5"/>
  <c r="SZ18" i="5"/>
  <c r="TA18" i="5"/>
  <c r="TB18" i="5"/>
  <c r="TC18" i="5"/>
  <c r="TD18" i="5"/>
  <c r="TE18" i="5"/>
  <c r="TF18" i="5"/>
  <c r="TG18" i="5"/>
  <c r="TH18" i="5"/>
  <c r="TI18" i="5"/>
  <c r="TJ18" i="5"/>
  <c r="TK18" i="5"/>
  <c r="TL18" i="5"/>
  <c r="TM18" i="5"/>
  <c r="TN18" i="5"/>
  <c r="TO18" i="5"/>
  <c r="TP18" i="5"/>
  <c r="TQ18" i="5"/>
  <c r="TR18" i="5"/>
  <c r="TS18" i="5"/>
  <c r="TT18" i="5"/>
  <c r="TU18" i="5"/>
  <c r="TV18" i="5"/>
  <c r="TW18" i="5"/>
  <c r="TX18" i="5"/>
  <c r="TY18" i="5"/>
  <c r="TZ18" i="5"/>
  <c r="UA18" i="5"/>
  <c r="UB18" i="5"/>
  <c r="UC18" i="5"/>
  <c r="UD18" i="5"/>
  <c r="UE18" i="5"/>
  <c r="UF18" i="5"/>
  <c r="UG18" i="5"/>
  <c r="UH18" i="5"/>
  <c r="UI18" i="5"/>
  <c r="UJ18" i="5"/>
  <c r="UK18" i="5"/>
  <c r="UL18" i="5"/>
  <c r="UM18" i="5"/>
  <c r="UN18" i="5"/>
  <c r="UO18" i="5"/>
  <c r="UP18" i="5"/>
  <c r="UQ18" i="5"/>
  <c r="UR18" i="5"/>
  <c r="US18" i="5"/>
  <c r="UT18" i="5"/>
  <c r="UU18" i="5"/>
  <c r="UV18" i="5"/>
  <c r="UW18" i="5"/>
  <c r="UX18" i="5"/>
  <c r="UY18" i="5"/>
  <c r="UZ18" i="5"/>
  <c r="VA18" i="5"/>
  <c r="VB18" i="5"/>
  <c r="VC18" i="5"/>
  <c r="VD18" i="5"/>
  <c r="VE18" i="5"/>
  <c r="VF18" i="5"/>
  <c r="VG18" i="5"/>
  <c r="VH18" i="5"/>
  <c r="VI18" i="5"/>
  <c r="VJ18" i="5"/>
  <c r="VK18" i="5"/>
  <c r="VL18" i="5"/>
  <c r="VM18" i="5"/>
  <c r="VN18" i="5"/>
  <c r="VO18" i="5"/>
  <c r="VP18" i="5"/>
  <c r="VQ18" i="5"/>
  <c r="VR18" i="5"/>
  <c r="VS18" i="5"/>
  <c r="VT18" i="5"/>
  <c r="VU18" i="5"/>
  <c r="VV18" i="5"/>
  <c r="VW18" i="5"/>
  <c r="VX18" i="5"/>
  <c r="VY18" i="5"/>
  <c r="VZ18" i="5"/>
  <c r="WA18" i="5"/>
  <c r="WB18" i="5"/>
  <c r="WC18" i="5"/>
  <c r="WD18" i="5"/>
  <c r="WE18" i="5"/>
  <c r="WF18" i="5"/>
  <c r="WG18" i="5"/>
  <c r="WH18" i="5"/>
  <c r="WI18" i="5"/>
  <c r="WJ18" i="5"/>
  <c r="WK18" i="5"/>
  <c r="WL18" i="5"/>
  <c r="WM18" i="5"/>
  <c r="WN18" i="5"/>
  <c r="WO18" i="5"/>
  <c r="WP18" i="5"/>
  <c r="WQ18" i="5"/>
  <c r="WR18" i="5"/>
  <c r="WS18" i="5"/>
  <c r="WT18" i="5"/>
  <c r="WU18" i="5"/>
  <c r="WV18" i="5"/>
  <c r="WW18" i="5"/>
  <c r="WX18" i="5"/>
  <c r="WY18" i="5"/>
  <c r="WZ18" i="5"/>
  <c r="XA18" i="5"/>
  <c r="XB18" i="5"/>
  <c r="XC18" i="5"/>
  <c r="XD18" i="5"/>
  <c r="XE18" i="5"/>
  <c r="XF18" i="5"/>
  <c r="XG18" i="5"/>
  <c r="XH18" i="5"/>
  <c r="XI18" i="5"/>
  <c r="XJ18" i="5"/>
  <c r="XK18" i="5"/>
  <c r="XL18" i="5"/>
  <c r="XM18" i="5"/>
  <c r="XN18" i="5"/>
  <c r="XO18" i="5"/>
  <c r="XP18" i="5"/>
  <c r="XQ18" i="5"/>
  <c r="XR18" i="5"/>
  <c r="XS18" i="5"/>
  <c r="XT18" i="5"/>
  <c r="XU18" i="5"/>
  <c r="XV18" i="5"/>
  <c r="XW18" i="5"/>
  <c r="XX18" i="5"/>
  <c r="XY18" i="5"/>
  <c r="XZ18" i="5"/>
  <c r="YA18" i="5"/>
  <c r="YB18" i="5"/>
  <c r="YC18" i="5"/>
  <c r="YD18" i="5"/>
  <c r="YE18" i="5"/>
  <c r="YF18" i="5"/>
  <c r="YG18" i="5"/>
  <c r="YH18" i="5"/>
  <c r="YI18" i="5"/>
  <c r="YJ18" i="5"/>
  <c r="YK18" i="5"/>
  <c r="YL18" i="5"/>
  <c r="YM18" i="5"/>
  <c r="YN18" i="5"/>
  <c r="YO18" i="5"/>
  <c r="YP18" i="5"/>
  <c r="YQ18" i="5"/>
  <c r="YR18" i="5"/>
  <c r="YS18" i="5"/>
  <c r="YT18" i="5"/>
  <c r="YU18" i="5"/>
  <c r="YV18" i="5"/>
  <c r="YW18" i="5"/>
  <c r="YX18" i="5"/>
  <c r="YY18" i="5"/>
  <c r="YZ18" i="5"/>
  <c r="ZA18" i="5"/>
  <c r="ZB18" i="5"/>
  <c r="ZC18" i="5"/>
  <c r="ZD18" i="5"/>
  <c r="ZE18" i="5"/>
  <c r="ZF18" i="5"/>
  <c r="ZG18" i="5"/>
  <c r="ZH18" i="5"/>
  <c r="ZI18" i="5"/>
  <c r="ZJ18" i="5"/>
  <c r="ZK18" i="5"/>
  <c r="ZL18" i="5"/>
  <c r="ZM18" i="5"/>
  <c r="ZN18" i="5"/>
  <c r="ZO18" i="5"/>
  <c r="ZP18" i="5"/>
  <c r="ZQ18" i="5"/>
  <c r="ZR18" i="5"/>
  <c r="ZS18" i="5"/>
  <c r="ZT18" i="5"/>
  <c r="ZU18" i="5"/>
  <c r="ZV18" i="5"/>
  <c r="ZW18" i="5"/>
  <c r="ZX18" i="5"/>
  <c r="ZY18" i="5"/>
  <c r="ZZ18" i="5"/>
  <c r="AAA18" i="5"/>
  <c r="AAB18" i="5"/>
  <c r="AAC18" i="5"/>
  <c r="AAD18" i="5"/>
  <c r="AAE18" i="5"/>
  <c r="AAF18" i="5"/>
  <c r="AAG18" i="5"/>
  <c r="AAH18" i="5"/>
  <c r="AAI18" i="5"/>
  <c r="AAJ18" i="5"/>
  <c r="AAK18" i="5"/>
  <c r="AAL18" i="5"/>
  <c r="AAM18" i="5"/>
  <c r="AAN18" i="5"/>
  <c r="AAO18" i="5"/>
  <c r="AAP18" i="5"/>
  <c r="AAQ18" i="5"/>
  <c r="AAR18" i="5"/>
  <c r="AAS18" i="5"/>
  <c r="AAT18" i="5"/>
  <c r="AAU18" i="5"/>
  <c r="AAV18" i="5"/>
  <c r="AAW18" i="5"/>
  <c r="AAX18" i="5"/>
  <c r="AAY18" i="5"/>
  <c r="AAZ18" i="5"/>
  <c r="ABA18" i="5"/>
  <c r="ABB18" i="5"/>
  <c r="ABC18" i="5"/>
  <c r="ABD18" i="5"/>
  <c r="ABE18" i="5"/>
  <c r="ABF18" i="5"/>
  <c r="ABG18" i="5"/>
  <c r="ABH18" i="5"/>
  <c r="ABI18" i="5"/>
  <c r="ABJ18" i="5"/>
  <c r="ABK18" i="5"/>
  <c r="ABL18" i="5"/>
  <c r="ABM18" i="5"/>
  <c r="ABN18" i="5"/>
  <c r="ABO18" i="5"/>
  <c r="ABP18" i="5"/>
  <c r="ABQ18" i="5"/>
  <c r="ABR18" i="5"/>
  <c r="ABS18" i="5"/>
  <c r="ABT18" i="5"/>
  <c r="ABU18" i="5"/>
  <c r="ABV18" i="5"/>
  <c r="ABW18" i="5"/>
  <c r="ABX18" i="5"/>
  <c r="ABY18" i="5"/>
  <c r="ABZ18" i="5"/>
  <c r="ACA18" i="5"/>
  <c r="ACB18" i="5"/>
  <c r="ACC18" i="5"/>
  <c r="ACD18" i="5"/>
  <c r="ACE18" i="5"/>
  <c r="ACF18" i="5"/>
  <c r="ACG18" i="5"/>
  <c r="ACH18" i="5"/>
  <c r="ACI18" i="5"/>
  <c r="ACJ18" i="5"/>
  <c r="ACK18" i="5"/>
  <c r="ACL18" i="5"/>
  <c r="ACM18" i="5"/>
  <c r="ACN18" i="5"/>
  <c r="ACO18" i="5"/>
  <c r="ACP18" i="5"/>
  <c r="ACQ18" i="5"/>
  <c r="ACR18" i="5"/>
  <c r="ACS18" i="5"/>
  <c r="ACT18" i="5"/>
  <c r="ACU18" i="5"/>
  <c r="ACV18" i="5"/>
  <c r="ACW18" i="5"/>
  <c r="ACX18" i="5"/>
  <c r="ACY18" i="5"/>
  <c r="ACZ18" i="5"/>
  <c r="ADA18" i="5"/>
  <c r="ADB18" i="5"/>
  <c r="ADC18" i="5"/>
  <c r="ADD18" i="5"/>
  <c r="ADE18" i="5"/>
  <c r="ADF18" i="5"/>
  <c r="ADG18" i="5"/>
  <c r="ADH18" i="5"/>
  <c r="ADI18" i="5"/>
  <c r="ADJ18" i="5"/>
  <c r="ADK18" i="5"/>
  <c r="ADL18" i="5"/>
  <c r="ADM18" i="5"/>
  <c r="ADN18" i="5"/>
  <c r="ADO18" i="5"/>
  <c r="ADP18" i="5"/>
  <c r="ADQ18" i="5"/>
  <c r="ADR18" i="5"/>
  <c r="ADS18" i="5"/>
  <c r="ADT18" i="5"/>
  <c r="ADU18" i="5"/>
  <c r="ADV18" i="5"/>
  <c r="ADW18" i="5"/>
  <c r="ADX18" i="5"/>
  <c r="ADY18" i="5"/>
  <c r="ADZ18" i="5"/>
  <c r="AEA18" i="5"/>
  <c r="AEB18" i="5"/>
  <c r="AEC18" i="5"/>
  <c r="AED18" i="5"/>
  <c r="AEE18" i="5"/>
  <c r="AEF18" i="5"/>
  <c r="AEG18" i="5"/>
  <c r="AEH18" i="5"/>
  <c r="AEI18" i="5"/>
  <c r="AEJ18" i="5"/>
  <c r="AEK18" i="5"/>
  <c r="AEL18" i="5"/>
  <c r="AEM18" i="5"/>
  <c r="AEN18" i="5"/>
  <c r="AEO18" i="5"/>
  <c r="AEP18" i="5"/>
  <c r="AEQ18" i="5"/>
  <c r="AER18" i="5"/>
  <c r="AES18" i="5"/>
  <c r="AET18" i="5"/>
  <c r="AEU18" i="5"/>
  <c r="AEV18" i="5"/>
  <c r="AEW18" i="5"/>
  <c r="AEX18" i="5"/>
  <c r="AEY18" i="5"/>
  <c r="AEZ18" i="5"/>
  <c r="AFA18" i="5"/>
  <c r="AFB18" i="5"/>
  <c r="AFC18" i="5"/>
  <c r="AFD18" i="5"/>
  <c r="AFE18" i="5"/>
  <c r="AFF18" i="5"/>
  <c r="AFG18" i="5"/>
  <c r="AFH18" i="5"/>
  <c r="AFI18" i="5"/>
  <c r="AFJ18" i="5"/>
  <c r="AFK18" i="5"/>
  <c r="AFL18" i="5"/>
  <c r="AFM18" i="5"/>
  <c r="AFN18" i="5"/>
  <c r="AFO18" i="5"/>
  <c r="AFP18" i="5"/>
  <c r="AFQ18" i="5"/>
  <c r="AFR18" i="5"/>
  <c r="AFS18" i="5"/>
  <c r="AFT18" i="5"/>
  <c r="AFU18" i="5"/>
  <c r="AFV18" i="5"/>
  <c r="AFW18" i="5"/>
  <c r="AFX18" i="5"/>
  <c r="AFY18" i="5"/>
  <c r="AFZ18" i="5"/>
  <c r="AGA18" i="5"/>
  <c r="AGB18" i="5"/>
  <c r="AGC18" i="5"/>
  <c r="AGD18" i="5"/>
  <c r="AGE18" i="5"/>
  <c r="AGF18" i="5"/>
  <c r="AGG18" i="5"/>
  <c r="AGH18" i="5"/>
  <c r="AGI18" i="5"/>
  <c r="AGJ18" i="5"/>
  <c r="AGK18" i="5"/>
  <c r="AGL18" i="5"/>
  <c r="AGM18" i="5"/>
  <c r="AGN18" i="5"/>
  <c r="AGO18" i="5"/>
  <c r="AGP18" i="5"/>
  <c r="AGQ18" i="5"/>
  <c r="AGR18" i="5"/>
  <c r="AGS18" i="5"/>
  <c r="AGT18" i="5"/>
  <c r="AGU18" i="5"/>
  <c r="AGV18" i="5"/>
  <c r="AGW18" i="5"/>
  <c r="AGX18" i="5"/>
  <c r="AGY18" i="5"/>
  <c r="AGZ18" i="5"/>
  <c r="AHA18" i="5"/>
  <c r="AHB18" i="5"/>
  <c r="AHC18" i="5"/>
  <c r="AHD18" i="5"/>
  <c r="AHE18" i="5"/>
  <c r="AHF18" i="5"/>
  <c r="AHG18" i="5"/>
  <c r="AHH18" i="5"/>
  <c r="AHI18" i="5"/>
  <c r="AHJ18" i="5"/>
  <c r="AHK18" i="5"/>
  <c r="AHL18" i="5"/>
  <c r="AHM18" i="5"/>
  <c r="AHN18" i="5"/>
  <c r="AHO18" i="5"/>
  <c r="AHP18" i="5"/>
  <c r="AHQ18" i="5"/>
  <c r="AHR18" i="5"/>
  <c r="AHS18" i="5"/>
  <c r="AHT18" i="5"/>
  <c r="AHU18" i="5"/>
  <c r="AHV18" i="5"/>
  <c r="AHW18" i="5"/>
  <c r="AHX18" i="5"/>
  <c r="AHY18" i="5"/>
  <c r="AHZ18" i="5"/>
  <c r="AIA18" i="5"/>
  <c r="AIB18" i="5"/>
  <c r="AIC18" i="5"/>
  <c r="AID18" i="5"/>
  <c r="AIE18" i="5"/>
  <c r="AIF18" i="5"/>
  <c r="AIG18" i="5"/>
  <c r="AIH18" i="5"/>
  <c r="AII18" i="5"/>
  <c r="AIJ18" i="5"/>
  <c r="AIK18" i="5"/>
  <c r="AIL18" i="5"/>
  <c r="AIM18" i="5"/>
  <c r="AIN18" i="5"/>
  <c r="AIO18" i="5"/>
  <c r="AIP18" i="5"/>
  <c r="AIQ18" i="5"/>
  <c r="AIR18" i="5"/>
  <c r="AIS18" i="5"/>
  <c r="AIT18" i="5"/>
  <c r="AIU18" i="5"/>
  <c r="AIV18" i="5"/>
  <c r="AIW18" i="5"/>
  <c r="AIX18" i="5"/>
  <c r="AIY18" i="5"/>
  <c r="AIZ18" i="5"/>
  <c r="AJA18" i="5"/>
  <c r="AJB18" i="5"/>
  <c r="AJC18" i="5"/>
  <c r="AJD18" i="5"/>
  <c r="AJE18" i="5"/>
  <c r="AJF18" i="5"/>
  <c r="AJG18" i="5"/>
  <c r="AJH18" i="5"/>
  <c r="AJI18" i="5"/>
  <c r="AJJ18" i="5"/>
  <c r="AJK18" i="5"/>
  <c r="AJL18" i="5"/>
  <c r="AJM18" i="5"/>
  <c r="AJN18" i="5"/>
  <c r="AJO18" i="5"/>
  <c r="AJP18" i="5"/>
  <c r="AJQ18" i="5"/>
  <c r="AJR18" i="5"/>
  <c r="AJS18" i="5"/>
  <c r="AJT18" i="5"/>
  <c r="AJU18" i="5"/>
  <c r="AJV18" i="5"/>
  <c r="AJW18" i="5"/>
  <c r="AJX18" i="5"/>
  <c r="AJY18" i="5"/>
  <c r="AJZ18" i="5"/>
  <c r="AKA18" i="5"/>
  <c r="AKB18" i="5"/>
  <c r="AKC18" i="5"/>
  <c r="AKD18" i="5"/>
  <c r="AKE18" i="5"/>
  <c r="AKF18" i="5"/>
  <c r="AKG18" i="5"/>
  <c r="AKH18" i="5"/>
  <c r="AKI18" i="5"/>
  <c r="AKJ18" i="5"/>
  <c r="AKK18" i="5"/>
  <c r="AKL18" i="5"/>
  <c r="AKM18" i="5"/>
  <c r="AKN18" i="5"/>
  <c r="AKO18" i="5"/>
  <c r="AKP18" i="5"/>
  <c r="AKQ18" i="5"/>
  <c r="AKR18" i="5"/>
  <c r="AKS18" i="5"/>
  <c r="AKT18" i="5"/>
  <c r="AKU18" i="5"/>
  <c r="AKV18" i="5"/>
  <c r="AKW18" i="5"/>
  <c r="AKX18" i="5"/>
  <c r="AKY18" i="5"/>
  <c r="AKZ18" i="5"/>
  <c r="ALA18" i="5"/>
  <c r="ALB18" i="5"/>
  <c r="ALC18" i="5"/>
  <c r="ALD18" i="5"/>
  <c r="ALE18" i="5"/>
  <c r="ALF18" i="5"/>
  <c r="ALG18" i="5"/>
  <c r="ALH18" i="5"/>
  <c r="ALI18" i="5"/>
  <c r="ALJ18" i="5"/>
  <c r="ALK18" i="5"/>
  <c r="ALL18" i="5"/>
  <c r="ALM18" i="5"/>
  <c r="ALN18" i="5"/>
  <c r="ALO18" i="5"/>
  <c r="ALP18" i="5"/>
  <c r="ALQ18" i="5"/>
  <c r="ALR18" i="5"/>
  <c r="ALS18" i="5"/>
  <c r="ALT18" i="5"/>
  <c r="ALU18" i="5"/>
  <c r="ALV18" i="5"/>
  <c r="ALW18" i="5"/>
  <c r="ALX18" i="5"/>
  <c r="ALY18" i="5"/>
  <c r="ALZ18" i="5"/>
  <c r="AMA18" i="5"/>
  <c r="AMB18" i="5"/>
  <c r="AMC18" i="5"/>
  <c r="AMD18" i="5"/>
  <c r="AME18" i="5"/>
  <c r="AMF18" i="5"/>
  <c r="AMG18" i="5"/>
  <c r="AMH18" i="5"/>
  <c r="AMI18" i="5"/>
  <c r="AMJ18" i="5"/>
  <c r="AMK18" i="5"/>
  <c r="AML18" i="5"/>
  <c r="AMM18" i="5"/>
  <c r="AMN18" i="5"/>
  <c r="AMO18" i="5"/>
  <c r="AMP18" i="5"/>
  <c r="AMQ18" i="5"/>
  <c r="AMR18" i="5"/>
  <c r="AMS18" i="5"/>
  <c r="AMT18" i="5"/>
  <c r="AMU18" i="5"/>
  <c r="AMV18" i="5"/>
  <c r="AMW18" i="5"/>
  <c r="AMX18" i="5"/>
  <c r="AMY18" i="5"/>
  <c r="AMZ18" i="5"/>
  <c r="ANA18" i="5"/>
  <c r="ANB18" i="5"/>
  <c r="ANC18" i="5"/>
  <c r="AND18" i="5"/>
  <c r="ANE18" i="5"/>
  <c r="ANF18" i="5"/>
  <c r="ANG18" i="5"/>
  <c r="ANH18" i="5"/>
  <c r="ANI18" i="5"/>
  <c r="ANJ18" i="5"/>
  <c r="ANK18" i="5"/>
  <c r="ANL18" i="5"/>
  <c r="ANM18" i="5"/>
  <c r="ANN18" i="5"/>
  <c r="ANO18" i="5"/>
  <c r="ANP18" i="5"/>
  <c r="ANQ18" i="5"/>
  <c r="ANR18" i="5"/>
  <c r="ANS18" i="5"/>
  <c r="ANT18" i="5"/>
  <c r="ANU18" i="5"/>
  <c r="ANV18" i="5"/>
  <c r="ANW18" i="5"/>
  <c r="ANX18" i="5"/>
  <c r="ANY18" i="5"/>
  <c r="ANZ18" i="5"/>
  <c r="AOA18" i="5"/>
  <c r="AOB18" i="5"/>
  <c r="AOC18" i="5"/>
  <c r="AOD18" i="5"/>
  <c r="AOE18" i="5"/>
  <c r="AOF18" i="5"/>
  <c r="AOG18" i="5"/>
  <c r="AOH18" i="5"/>
  <c r="AOI18" i="5"/>
  <c r="AOJ18" i="5"/>
  <c r="AOK18" i="5"/>
  <c r="AOL18" i="5"/>
  <c r="AOM18" i="5"/>
  <c r="AON18" i="5"/>
  <c r="AOO18" i="5"/>
  <c r="AOP18" i="5"/>
  <c r="AOQ18" i="5"/>
  <c r="AOR18" i="5"/>
  <c r="AOS18" i="5"/>
  <c r="AOT18" i="5"/>
  <c r="AOU18" i="5"/>
  <c r="AOV18" i="5"/>
  <c r="AOW18" i="5"/>
  <c r="AOX18" i="5"/>
  <c r="AOY18" i="5"/>
  <c r="AOZ18" i="5"/>
  <c r="APA18" i="5"/>
  <c r="APB18" i="5"/>
  <c r="APC18" i="5"/>
  <c r="APD18" i="5"/>
  <c r="APE18" i="5"/>
  <c r="APF18" i="5"/>
  <c r="APG18" i="5"/>
  <c r="APH18" i="5"/>
  <c r="API18" i="5"/>
  <c r="APJ18" i="5"/>
  <c r="APK18" i="5"/>
  <c r="APL18" i="5"/>
  <c r="APM18" i="5"/>
  <c r="APN18" i="5"/>
  <c r="APO18" i="5"/>
  <c r="APP18" i="5"/>
  <c r="APQ18" i="5"/>
  <c r="APR18" i="5"/>
  <c r="APS18" i="5"/>
  <c r="APT18" i="5"/>
  <c r="APU18" i="5"/>
  <c r="APV18" i="5"/>
  <c r="APW18" i="5"/>
  <c r="APX18" i="5"/>
  <c r="APY18" i="5"/>
  <c r="APZ18" i="5"/>
  <c r="AQA18" i="5"/>
  <c r="AQB18" i="5"/>
  <c r="AQC18" i="5"/>
  <c r="AQD18" i="5"/>
  <c r="AQE18" i="5"/>
  <c r="AQF18" i="5"/>
  <c r="AQG18" i="5"/>
  <c r="AQH18" i="5"/>
  <c r="AQI18" i="5"/>
  <c r="AQJ18" i="5"/>
  <c r="AQK18" i="5"/>
  <c r="AQL18" i="5"/>
  <c r="AQM18" i="5"/>
  <c r="AQN18" i="5"/>
  <c r="AQO18" i="5"/>
  <c r="AQP18" i="5"/>
  <c r="AQQ18" i="5"/>
  <c r="AQR18" i="5"/>
  <c r="AQS18" i="5"/>
  <c r="AQT18" i="5"/>
  <c r="AQU18" i="5"/>
  <c r="AQV18" i="5"/>
  <c r="AQW18" i="5"/>
  <c r="AQX18" i="5"/>
  <c r="AQY18" i="5"/>
  <c r="AQZ18" i="5"/>
  <c r="ARA18" i="5"/>
  <c r="ARB18" i="5"/>
  <c r="ARC18" i="5"/>
  <c r="ARD18" i="5"/>
  <c r="ARE18" i="5"/>
  <c r="ARF18" i="5"/>
  <c r="ARG18" i="5"/>
  <c r="ARH18" i="5"/>
  <c r="ARI18" i="5"/>
  <c r="ARJ18" i="5"/>
  <c r="ARK18" i="5"/>
  <c r="ARL18" i="5"/>
  <c r="ARM18" i="5"/>
  <c r="ARN18" i="5"/>
  <c r="ARO18" i="5"/>
  <c r="ARP18" i="5"/>
  <c r="ARQ18" i="5"/>
  <c r="ARR18" i="5"/>
  <c r="ARS18" i="5"/>
  <c r="ART18" i="5"/>
  <c r="ARU18" i="5"/>
  <c r="ARV18" i="5"/>
  <c r="ARW18" i="5"/>
  <c r="ARX18" i="5"/>
  <c r="ARY18" i="5"/>
  <c r="ARZ18" i="5"/>
  <c r="ASA18" i="5"/>
  <c r="ASB18" i="5"/>
  <c r="ASC18" i="5"/>
  <c r="ASD18" i="5"/>
  <c r="ASE18" i="5"/>
  <c r="ASF18" i="5"/>
  <c r="ASG18" i="5"/>
  <c r="ASH18" i="5"/>
  <c r="ASI18" i="5"/>
  <c r="ASJ18" i="5"/>
  <c r="ASK18" i="5"/>
  <c r="ASL18" i="5"/>
  <c r="ASM18" i="5"/>
  <c r="ASN18" i="5"/>
  <c r="ASO18" i="5"/>
  <c r="ASP18" i="5"/>
  <c r="ASQ18" i="5"/>
  <c r="ASR18" i="5"/>
  <c r="ASS18" i="5"/>
  <c r="AST18" i="5"/>
  <c r="ASU18" i="5"/>
  <c r="ASV18" i="5"/>
  <c r="ASW18" i="5"/>
  <c r="ASX18" i="5"/>
  <c r="ASY18" i="5"/>
  <c r="ASZ18" i="5"/>
  <c r="ATA18" i="5"/>
  <c r="ATB18" i="5"/>
  <c r="ATC18" i="5"/>
  <c r="ATD18" i="5"/>
  <c r="ATE18" i="5"/>
  <c r="ATF18" i="5"/>
  <c r="ATG18" i="5"/>
  <c r="ATH18" i="5"/>
  <c r="ATI18" i="5"/>
  <c r="ATJ18" i="5"/>
  <c r="ATK18" i="5"/>
  <c r="ATL18" i="5"/>
  <c r="ATM18" i="5"/>
  <c r="ATN18" i="5"/>
  <c r="ATO18" i="5"/>
  <c r="ATP18" i="5"/>
  <c r="ATQ18" i="5"/>
  <c r="ATR18" i="5"/>
  <c r="ATS18" i="5"/>
  <c r="ATT18" i="5"/>
  <c r="ATU18" i="5"/>
  <c r="ATV18" i="5"/>
  <c r="ATW18" i="5"/>
  <c r="ATX18" i="5"/>
  <c r="ATY18" i="5"/>
  <c r="ATZ18" i="5"/>
  <c r="AUA18" i="5"/>
  <c r="AUB18" i="5"/>
  <c r="AUC18" i="5"/>
  <c r="AUD18" i="5"/>
  <c r="AUE18" i="5"/>
  <c r="AUF18" i="5"/>
  <c r="AUG18" i="5"/>
  <c r="AUH18" i="5"/>
  <c r="AUI18" i="5"/>
  <c r="AUJ18" i="5"/>
  <c r="AUK18" i="5"/>
  <c r="AUL18" i="5"/>
  <c r="AUM18" i="5"/>
  <c r="AUN18" i="5"/>
  <c r="AUO18" i="5"/>
  <c r="AUP18" i="5"/>
  <c r="AUQ18" i="5"/>
  <c r="AUR18" i="5"/>
  <c r="AUS18" i="5"/>
  <c r="AUT18" i="5"/>
  <c r="AUU18" i="5"/>
  <c r="AUV18" i="5"/>
  <c r="AUW18" i="5"/>
  <c r="AUX18" i="5"/>
  <c r="AUY18" i="5"/>
  <c r="AUZ18" i="5"/>
  <c r="AVA18" i="5"/>
  <c r="AVB18" i="5"/>
  <c r="AVC18" i="5"/>
  <c r="AVD18" i="5"/>
  <c r="AVE18" i="5"/>
  <c r="AVF18" i="5"/>
  <c r="AVG18" i="5"/>
  <c r="AVH18" i="5"/>
  <c r="AVI18" i="5"/>
  <c r="AVJ18" i="5"/>
  <c r="AVK18" i="5"/>
  <c r="AVL18" i="5"/>
  <c r="AVM18" i="5"/>
  <c r="AVN18" i="5"/>
  <c r="AVO18" i="5"/>
  <c r="AVP18" i="5"/>
  <c r="AVQ18" i="5"/>
  <c r="AVR18" i="5"/>
  <c r="AVS18" i="5"/>
  <c r="AVT18" i="5"/>
  <c r="AVU18" i="5"/>
  <c r="AVV18" i="5"/>
  <c r="AVW18" i="5"/>
  <c r="AVX18" i="5"/>
  <c r="AVY18" i="5"/>
  <c r="AVZ18" i="5"/>
  <c r="AWA18" i="5"/>
  <c r="AWB18" i="5"/>
  <c r="AWC18" i="5"/>
  <c r="AWD18" i="5"/>
  <c r="AWE18" i="5"/>
  <c r="AWF18" i="5"/>
  <c r="AWG18" i="5"/>
  <c r="AWH18" i="5"/>
  <c r="AWI18" i="5"/>
  <c r="AWJ18" i="5"/>
  <c r="AWK18" i="5"/>
  <c r="AWL18" i="5"/>
  <c r="AWM18" i="5"/>
  <c r="AWN18" i="5"/>
  <c r="AWO18" i="5"/>
  <c r="AWP18" i="5"/>
  <c r="AWQ18" i="5"/>
  <c r="AWR18" i="5"/>
  <c r="AWS18" i="5"/>
  <c r="AWT18" i="5"/>
  <c r="AWU18" i="5"/>
  <c r="AWV18" i="5"/>
  <c r="AWW18" i="5"/>
  <c r="AWX18" i="5"/>
  <c r="AWY18" i="5"/>
  <c r="AWZ18" i="5"/>
  <c r="AXA18" i="5"/>
  <c r="AXB18" i="5"/>
  <c r="AXC18" i="5"/>
  <c r="AXD18" i="5"/>
  <c r="AXE18" i="5"/>
  <c r="AXF18" i="5"/>
  <c r="AXG18" i="5"/>
  <c r="AXH18" i="5"/>
  <c r="AXI18" i="5"/>
  <c r="AXJ18" i="5"/>
  <c r="AXK18" i="5"/>
  <c r="AXL18" i="5"/>
  <c r="AXM18" i="5"/>
  <c r="AXN18" i="5"/>
  <c r="AXO18" i="5"/>
  <c r="AXP18" i="5"/>
  <c r="AXQ18" i="5"/>
  <c r="AXR18" i="5"/>
  <c r="AXS18" i="5"/>
  <c r="AXT18" i="5"/>
  <c r="AXU18" i="5"/>
  <c r="AXV18" i="5"/>
  <c r="AXW18" i="5"/>
  <c r="AXX18" i="5"/>
  <c r="AXY18" i="5"/>
  <c r="AXZ18" i="5"/>
  <c r="AYA18" i="5"/>
  <c r="AYB18" i="5"/>
  <c r="AYC18" i="5"/>
  <c r="AYD18" i="5"/>
  <c r="AYE18" i="5"/>
  <c r="AYF18" i="5"/>
  <c r="AYG18" i="5"/>
  <c r="AYH18" i="5"/>
  <c r="AYI18" i="5"/>
  <c r="AYJ18" i="5"/>
  <c r="AYK18" i="5"/>
  <c r="AYL18" i="5"/>
  <c r="AYM18" i="5"/>
  <c r="AYN18" i="5"/>
  <c r="AYO18" i="5"/>
  <c r="AYP18" i="5"/>
  <c r="AYQ18" i="5"/>
  <c r="AYR18" i="5"/>
  <c r="AYS18" i="5"/>
  <c r="AYT18" i="5"/>
  <c r="AYU18" i="5"/>
  <c r="AYV18" i="5"/>
  <c r="AYW18" i="5"/>
  <c r="AYX18" i="5"/>
  <c r="AYY18" i="5"/>
  <c r="AYZ18" i="5"/>
  <c r="AZA18" i="5"/>
  <c r="AZB18" i="5"/>
  <c r="AZC18" i="5"/>
  <c r="AZD18" i="5"/>
  <c r="AZE18" i="5"/>
  <c r="AZF18" i="5"/>
  <c r="AZG18" i="5"/>
  <c r="AZH18" i="5"/>
  <c r="AZI18" i="5"/>
  <c r="AZJ18" i="5"/>
  <c r="AZK18" i="5"/>
  <c r="AZL18" i="5"/>
  <c r="AZM18" i="5"/>
  <c r="AZN18" i="5"/>
  <c r="AZO18" i="5"/>
  <c r="AZP18" i="5"/>
  <c r="AZQ18" i="5"/>
  <c r="AZR18" i="5"/>
  <c r="AZS18" i="5"/>
  <c r="AZT18" i="5"/>
  <c r="AZU18" i="5"/>
  <c r="AZV18" i="5"/>
  <c r="AZW18" i="5"/>
  <c r="AZX18" i="5"/>
  <c r="AZY18" i="5"/>
  <c r="AZZ18" i="5"/>
  <c r="BAA18" i="5"/>
  <c r="BAB18" i="5"/>
  <c r="BAC18" i="5"/>
  <c r="BAD18" i="5"/>
  <c r="BAE18" i="5"/>
  <c r="BAF18" i="5"/>
  <c r="BAG18" i="5"/>
  <c r="BAH18" i="5"/>
  <c r="BAI18" i="5"/>
  <c r="BAJ18" i="5"/>
  <c r="BAK18" i="5"/>
  <c r="BAL18" i="5"/>
  <c r="BAM18" i="5"/>
  <c r="BAN18" i="5"/>
  <c r="BAO18" i="5"/>
  <c r="BAP18" i="5"/>
  <c r="BAQ18" i="5"/>
  <c r="BAR18" i="5"/>
  <c r="BAS18" i="5"/>
  <c r="BAT18" i="5"/>
  <c r="BAU18" i="5"/>
  <c r="BAV18" i="5"/>
  <c r="BAW18" i="5"/>
  <c r="BAX18" i="5"/>
  <c r="BAY18" i="5"/>
  <c r="BAZ18" i="5"/>
  <c r="BBA18" i="5"/>
  <c r="BBB18" i="5"/>
  <c r="BBC18" i="5"/>
  <c r="BBD18" i="5"/>
  <c r="BBE18" i="5"/>
  <c r="BBF18" i="5"/>
  <c r="BBG18" i="5"/>
  <c r="BBH18" i="5"/>
  <c r="BBI18" i="5"/>
  <c r="BBJ18" i="5"/>
  <c r="BBK18" i="5"/>
  <c r="BBL18" i="5"/>
  <c r="BBM18" i="5"/>
  <c r="BBN18" i="5"/>
  <c r="BBO18" i="5"/>
  <c r="BBP18" i="5"/>
  <c r="BBQ18" i="5"/>
  <c r="BBR18" i="5"/>
  <c r="BBS18" i="5"/>
  <c r="BBT18" i="5"/>
  <c r="BBU18" i="5"/>
  <c r="BBV18" i="5"/>
  <c r="BBW18" i="5"/>
  <c r="BBX18" i="5"/>
  <c r="BBY18" i="5"/>
  <c r="BBZ18" i="5"/>
  <c r="BCA18" i="5"/>
  <c r="BCB18" i="5"/>
  <c r="BCC18" i="5"/>
  <c r="BCD18" i="5"/>
  <c r="BCE18" i="5"/>
  <c r="BCF18" i="5"/>
  <c r="BCG18" i="5"/>
  <c r="BCH18" i="5"/>
  <c r="BCI18" i="5"/>
  <c r="BCJ18" i="5"/>
  <c r="BCK18" i="5"/>
  <c r="BCL18" i="5"/>
  <c r="BCM18" i="5"/>
  <c r="BCN18" i="5"/>
  <c r="BCO18" i="5"/>
  <c r="BCP18" i="5"/>
  <c r="BCQ18" i="5"/>
  <c r="BCR18" i="5"/>
  <c r="BCS18" i="5"/>
  <c r="BCT18" i="5"/>
  <c r="BCU18" i="5"/>
  <c r="BCV18" i="5"/>
  <c r="BCW18" i="5"/>
  <c r="BCX18" i="5"/>
  <c r="BCY18" i="5"/>
  <c r="BCZ18" i="5"/>
  <c r="BDA18" i="5"/>
  <c r="BDB18" i="5"/>
  <c r="BDC18" i="5"/>
  <c r="BDD18" i="5"/>
  <c r="BDE18" i="5"/>
  <c r="BDF18" i="5"/>
  <c r="BDG18" i="5"/>
  <c r="BDH18" i="5"/>
  <c r="BDI18" i="5"/>
  <c r="BDJ18" i="5"/>
  <c r="BDK18" i="5"/>
  <c r="BDL18" i="5"/>
  <c r="BDM18" i="5"/>
  <c r="BDN18" i="5"/>
  <c r="BDO18" i="5"/>
  <c r="BDP18" i="5"/>
  <c r="BDQ18" i="5"/>
  <c r="BDR18" i="5"/>
  <c r="BDS18" i="5"/>
  <c r="BDT18" i="5"/>
  <c r="BDU18" i="5"/>
  <c r="BDV18" i="5"/>
  <c r="BDW18" i="5"/>
  <c r="BDX18" i="5"/>
  <c r="BDY18" i="5"/>
  <c r="BDZ18" i="5"/>
  <c r="BEA18" i="5"/>
  <c r="BEB18" i="5"/>
  <c r="BEC18" i="5"/>
  <c r="BED18" i="5"/>
  <c r="BEE18" i="5"/>
  <c r="BEF18" i="5"/>
  <c r="BEG18" i="5"/>
  <c r="BEH18" i="5"/>
  <c r="BEI18" i="5"/>
  <c r="BEJ18" i="5"/>
  <c r="BEK18" i="5"/>
  <c r="BEL18" i="5"/>
  <c r="BEM18" i="5"/>
  <c r="BEN18" i="5"/>
  <c r="BEO18" i="5"/>
  <c r="BEP18" i="5"/>
  <c r="BEQ18" i="5"/>
  <c r="BER18" i="5"/>
  <c r="BES18" i="5"/>
  <c r="BET18" i="5"/>
  <c r="BEU18" i="5"/>
  <c r="BEV18" i="5"/>
  <c r="BEW18" i="5"/>
  <c r="BEX18" i="5"/>
  <c r="BEY18" i="5"/>
  <c r="BEZ18" i="5"/>
  <c r="BFA18" i="5"/>
  <c r="BFB18" i="5"/>
  <c r="BFC18" i="5"/>
  <c r="BFD18" i="5"/>
  <c r="BFE18" i="5"/>
  <c r="BFF18" i="5"/>
  <c r="BFG18" i="5"/>
  <c r="BFH18" i="5"/>
  <c r="BFI18" i="5"/>
  <c r="BFJ18" i="5"/>
  <c r="BFK18" i="5"/>
  <c r="BFL18" i="5"/>
  <c r="BFM18" i="5"/>
  <c r="BFN18" i="5"/>
  <c r="BFO18" i="5"/>
  <c r="BFP18" i="5"/>
  <c r="BFQ18" i="5"/>
  <c r="BFR18" i="5"/>
  <c r="BFS18" i="5"/>
  <c r="BFT18" i="5"/>
  <c r="BFU18" i="5"/>
  <c r="BFV18" i="5"/>
  <c r="BFW18" i="5"/>
  <c r="BFX18" i="5"/>
  <c r="BFY18" i="5"/>
  <c r="BFZ18" i="5"/>
  <c r="BGA18" i="5"/>
  <c r="BGB18" i="5"/>
  <c r="BGC18" i="5"/>
  <c r="BGD18" i="5"/>
  <c r="BGE18" i="5"/>
  <c r="BGF18" i="5"/>
  <c r="BGG18" i="5"/>
  <c r="BGH18" i="5"/>
  <c r="BGI18" i="5"/>
  <c r="BGJ18" i="5"/>
  <c r="BGK18" i="5"/>
  <c r="BGL18" i="5"/>
  <c r="BGM18" i="5"/>
  <c r="BGN18" i="5"/>
  <c r="BGO18" i="5"/>
  <c r="BGP18" i="5"/>
  <c r="BGQ18" i="5"/>
  <c r="BGR18" i="5"/>
  <c r="BGS18" i="5"/>
  <c r="BGT18" i="5"/>
  <c r="BGU18" i="5"/>
  <c r="BGV18" i="5"/>
  <c r="BGW18" i="5"/>
  <c r="BGX18" i="5"/>
  <c r="BGY18" i="5"/>
  <c r="BGZ18" i="5"/>
  <c r="BHA18" i="5"/>
  <c r="BHB18" i="5"/>
  <c r="BHC18" i="5"/>
  <c r="BHD18" i="5"/>
  <c r="BHE18" i="5"/>
  <c r="BHF18" i="5"/>
  <c r="BHG18" i="5"/>
  <c r="BHH18" i="5"/>
  <c r="BHI18" i="5"/>
  <c r="BHJ18" i="5"/>
  <c r="BHK18" i="5"/>
  <c r="BHL18" i="5"/>
  <c r="BHM18" i="5"/>
  <c r="BHN18" i="5"/>
  <c r="BHO18" i="5"/>
  <c r="BHP18" i="5"/>
  <c r="BHQ18" i="5"/>
  <c r="BHR18" i="5"/>
  <c r="BHS18" i="5"/>
  <c r="BHT18" i="5"/>
  <c r="BHU18" i="5"/>
  <c r="BHV18" i="5"/>
  <c r="BHW18" i="5"/>
  <c r="BHX18" i="5"/>
  <c r="BHY18" i="5"/>
  <c r="BHZ18" i="5"/>
  <c r="BIA18" i="5"/>
  <c r="BIB18" i="5"/>
  <c r="BIC18" i="5"/>
  <c r="BID18" i="5"/>
  <c r="BIE18" i="5"/>
  <c r="BIF18" i="5"/>
  <c r="BIG18" i="5"/>
  <c r="BIH18" i="5"/>
  <c r="BII18" i="5"/>
  <c r="BIJ18" i="5"/>
  <c r="BIK18" i="5"/>
  <c r="BIL18" i="5"/>
  <c r="BIM18" i="5"/>
  <c r="BIN18" i="5"/>
  <c r="BIO18" i="5"/>
  <c r="BIP18" i="5"/>
  <c r="BIQ18" i="5"/>
  <c r="BIR18" i="5"/>
  <c r="BIS18" i="5"/>
  <c r="BIT18" i="5"/>
  <c r="BIU18" i="5"/>
  <c r="BIV18" i="5"/>
  <c r="BIW18" i="5"/>
  <c r="BIX18" i="5"/>
  <c r="BIY18" i="5"/>
  <c r="BIZ18" i="5"/>
  <c r="BJA18" i="5"/>
  <c r="BJB18" i="5"/>
  <c r="BJC18" i="5"/>
  <c r="BJD18" i="5"/>
  <c r="BJE18" i="5"/>
  <c r="BJF18" i="5"/>
  <c r="BJG18" i="5"/>
  <c r="BJH18" i="5"/>
  <c r="BJI18" i="5"/>
  <c r="BJJ18" i="5"/>
  <c r="BJK18" i="5"/>
  <c r="BJL18" i="5"/>
  <c r="BJM18" i="5"/>
  <c r="BJN18" i="5"/>
  <c r="BJO18" i="5"/>
  <c r="BJP18" i="5"/>
  <c r="BJQ18" i="5"/>
  <c r="BJR18" i="5"/>
  <c r="BJS18" i="5"/>
  <c r="BJT18" i="5"/>
  <c r="BJU18" i="5"/>
  <c r="BJV18" i="5"/>
  <c r="BJW18" i="5"/>
  <c r="BJX18" i="5"/>
  <c r="BJY18" i="5"/>
  <c r="BJZ18" i="5"/>
  <c r="BKA18" i="5"/>
  <c r="BKB18" i="5"/>
  <c r="BKC18" i="5"/>
  <c r="BKD18" i="5"/>
  <c r="BKE18" i="5"/>
  <c r="BKF18" i="5"/>
  <c r="BKG18" i="5"/>
  <c r="BKH18" i="5"/>
  <c r="BKI18" i="5"/>
  <c r="BKJ18" i="5"/>
  <c r="BKK18" i="5"/>
  <c r="BKL18" i="5"/>
  <c r="BKM18" i="5"/>
  <c r="BKN18" i="5"/>
  <c r="BKO18" i="5"/>
  <c r="BKP18" i="5"/>
  <c r="BKQ18" i="5"/>
  <c r="BKR18" i="5"/>
  <c r="BKS18" i="5"/>
  <c r="BKT18" i="5"/>
  <c r="BKU18" i="5"/>
  <c r="BKV18" i="5"/>
  <c r="BKW18" i="5"/>
  <c r="BKX18" i="5"/>
  <c r="BKY18" i="5"/>
  <c r="BKZ18" i="5"/>
  <c r="BLA18" i="5"/>
  <c r="BLB18" i="5"/>
  <c r="BLC18" i="5"/>
  <c r="BLD18" i="5"/>
  <c r="BLE18" i="5"/>
  <c r="BLF18" i="5"/>
  <c r="BLG18" i="5"/>
  <c r="BLH18" i="5"/>
  <c r="BLI18" i="5"/>
  <c r="BLJ18" i="5"/>
  <c r="BLK18" i="5"/>
  <c r="BLL18" i="5"/>
  <c r="BLM18" i="5"/>
  <c r="BLN18" i="5"/>
  <c r="BLO18" i="5"/>
  <c r="BLP18" i="5"/>
  <c r="BLQ18" i="5"/>
  <c r="BLR18" i="5"/>
  <c r="BLS18" i="5"/>
  <c r="BLT18" i="5"/>
  <c r="BLU18" i="5"/>
  <c r="BLV18" i="5"/>
  <c r="BLW18" i="5"/>
  <c r="BLX18" i="5"/>
  <c r="BLY18" i="5"/>
  <c r="BLZ18" i="5"/>
  <c r="BMA18" i="5"/>
  <c r="BMB18" i="5"/>
  <c r="BMC18" i="5"/>
  <c r="BMD18" i="5"/>
  <c r="BME18" i="5"/>
  <c r="BMF18" i="5"/>
  <c r="BMG18" i="5"/>
  <c r="BMH18" i="5"/>
  <c r="BMI18" i="5"/>
  <c r="BMJ18" i="5"/>
  <c r="BMK18" i="5"/>
  <c r="BML18" i="5"/>
  <c r="BMM18" i="5"/>
  <c r="BMN18" i="5"/>
  <c r="BMO18" i="5"/>
  <c r="BMP18" i="5"/>
  <c r="BMQ18" i="5"/>
  <c r="BMR18" i="5"/>
  <c r="BMS18" i="5"/>
  <c r="BMT18" i="5"/>
  <c r="BMU18" i="5"/>
  <c r="BMV18" i="5"/>
  <c r="BMW18" i="5"/>
  <c r="BMX18" i="5"/>
  <c r="BMY18" i="5"/>
  <c r="BMZ18" i="5"/>
  <c r="BNA18" i="5"/>
  <c r="BNB18" i="5"/>
  <c r="BNC18" i="5"/>
  <c r="BND18" i="5"/>
  <c r="BNE18" i="5"/>
  <c r="BNF18" i="5"/>
  <c r="BNG18" i="5"/>
  <c r="BNH18" i="5"/>
  <c r="BNI18" i="5"/>
  <c r="BNJ18" i="5"/>
  <c r="BNK18" i="5"/>
  <c r="BNL18" i="5"/>
  <c r="BNM18" i="5"/>
  <c r="BNN18" i="5"/>
  <c r="BNO18" i="5"/>
  <c r="BNP18" i="5"/>
  <c r="BNQ18" i="5"/>
  <c r="BNR18" i="5"/>
  <c r="BNS18" i="5"/>
  <c r="BNT18" i="5"/>
  <c r="BNU18" i="5"/>
  <c r="BNV18" i="5"/>
  <c r="BNW18" i="5"/>
  <c r="BNX18" i="5"/>
  <c r="BNY18" i="5"/>
  <c r="BNZ18" i="5"/>
  <c r="BOA18" i="5"/>
  <c r="BOB18" i="5"/>
  <c r="BOC18" i="5"/>
  <c r="BOD18" i="5"/>
  <c r="BOE18" i="5"/>
  <c r="BOF18" i="5"/>
  <c r="BOG18" i="5"/>
  <c r="BOH18" i="5"/>
  <c r="BOI18" i="5"/>
  <c r="BOJ18" i="5"/>
  <c r="BOK18" i="5"/>
  <c r="BOL18" i="5"/>
  <c r="BOM18" i="5"/>
  <c r="BON18" i="5"/>
  <c r="BOO18" i="5"/>
  <c r="BOP18" i="5"/>
  <c r="BOQ18" i="5"/>
  <c r="BOR18" i="5"/>
  <c r="BOS18" i="5"/>
  <c r="BOT18" i="5"/>
  <c r="BOU18" i="5"/>
  <c r="BOV18" i="5"/>
  <c r="BOW18" i="5"/>
  <c r="BOX18" i="5"/>
  <c r="BOY18" i="5"/>
  <c r="BOZ18" i="5"/>
  <c r="BPA18" i="5"/>
  <c r="BPB18" i="5"/>
  <c r="BPC18" i="5"/>
  <c r="BPD18" i="5"/>
  <c r="BPE18" i="5"/>
  <c r="BPF18" i="5"/>
  <c r="BPG18" i="5"/>
  <c r="BPH18" i="5"/>
  <c r="BPI18" i="5"/>
  <c r="BPJ18" i="5"/>
  <c r="BPK18" i="5"/>
  <c r="BPL18" i="5"/>
  <c r="BPM18" i="5"/>
  <c r="BPN18" i="5"/>
  <c r="BPO18" i="5"/>
  <c r="BPP18" i="5"/>
  <c r="BPQ18" i="5"/>
  <c r="BPR18" i="5"/>
  <c r="BPS18" i="5"/>
  <c r="BPT18" i="5"/>
  <c r="BPU18" i="5"/>
  <c r="BPV18" i="5"/>
  <c r="BPW18" i="5"/>
  <c r="BPX18" i="5"/>
  <c r="BPY18" i="5"/>
  <c r="BPZ18" i="5"/>
  <c r="BQA18" i="5"/>
  <c r="BQB18" i="5"/>
  <c r="BQC18" i="5"/>
  <c r="BQD18" i="5"/>
  <c r="BQE18" i="5"/>
  <c r="BQF18" i="5"/>
  <c r="BQG18" i="5"/>
  <c r="BQH18" i="5"/>
  <c r="BQI18" i="5"/>
  <c r="BQJ18" i="5"/>
  <c r="BQK18" i="5"/>
  <c r="BQL18" i="5"/>
  <c r="BQM18" i="5"/>
  <c r="BQN18" i="5"/>
  <c r="BQO18" i="5"/>
  <c r="BQP18" i="5"/>
  <c r="BQQ18" i="5"/>
  <c r="BQR18" i="5"/>
  <c r="BQS18" i="5"/>
  <c r="BQT18" i="5"/>
  <c r="BQU18" i="5"/>
  <c r="BQV18" i="5"/>
  <c r="BQW18" i="5"/>
  <c r="BQX18" i="5"/>
  <c r="BQY18" i="5"/>
  <c r="BQZ18" i="5"/>
  <c r="BRA18" i="5"/>
  <c r="BRB18" i="5"/>
  <c r="BRC18" i="5"/>
  <c r="BRD18" i="5"/>
  <c r="BRE18" i="5"/>
  <c r="BRF18" i="5"/>
  <c r="BRG18" i="5"/>
  <c r="BRH18" i="5"/>
  <c r="BRI18" i="5"/>
  <c r="BRJ18" i="5"/>
  <c r="BRK18" i="5"/>
  <c r="BRL18" i="5"/>
  <c r="BRM18" i="5"/>
  <c r="BRN18" i="5"/>
  <c r="BRO18" i="5"/>
  <c r="BRP18" i="5"/>
  <c r="BRQ18" i="5"/>
  <c r="BRR18" i="5"/>
  <c r="BRS18" i="5"/>
  <c r="BRT18" i="5"/>
  <c r="BRU18" i="5"/>
  <c r="BRV18" i="5"/>
  <c r="BRW18" i="5"/>
  <c r="BRX18" i="5"/>
  <c r="BRY18" i="5"/>
  <c r="BRZ18" i="5"/>
  <c r="BSA18" i="5"/>
  <c r="BSB18" i="5"/>
  <c r="BSC18" i="5"/>
  <c r="BSD18" i="5"/>
  <c r="BSE18" i="5"/>
  <c r="BSF18" i="5"/>
  <c r="BSG18" i="5"/>
  <c r="BSH18" i="5"/>
  <c r="BSI18" i="5"/>
  <c r="BSJ18" i="5"/>
  <c r="BSK18" i="5"/>
  <c r="BSL18" i="5"/>
  <c r="BSM18" i="5"/>
  <c r="BSN18" i="5"/>
  <c r="BSO18" i="5"/>
  <c r="BSP18" i="5"/>
  <c r="BSQ18" i="5"/>
  <c r="BSR18" i="5"/>
  <c r="BSS18" i="5"/>
  <c r="BST18" i="5"/>
  <c r="BSU18" i="5"/>
  <c r="BSV18" i="5"/>
  <c r="BSW18" i="5"/>
  <c r="BSX18" i="5"/>
  <c r="BSY18" i="5"/>
  <c r="BSZ18" i="5"/>
  <c r="BTA18" i="5"/>
  <c r="BTB18" i="5"/>
  <c r="BTC18" i="5"/>
  <c r="BTD18" i="5"/>
  <c r="BTE18" i="5"/>
  <c r="BTF18" i="5"/>
  <c r="BTG18" i="5"/>
  <c r="BTH18" i="5"/>
  <c r="BTI18" i="5"/>
  <c r="BTJ18" i="5"/>
  <c r="BTK18" i="5"/>
  <c r="BTL18" i="5"/>
  <c r="BTM18" i="5"/>
  <c r="BTN18" i="5"/>
  <c r="BTO18" i="5"/>
  <c r="BTP18" i="5"/>
  <c r="BTQ18" i="5"/>
  <c r="BTR18" i="5"/>
  <c r="BTS18" i="5"/>
  <c r="BTT18" i="5"/>
  <c r="BTU18" i="5"/>
  <c r="BTV18" i="5"/>
  <c r="BTW18" i="5"/>
  <c r="BTX18" i="5"/>
  <c r="BTY18" i="5"/>
  <c r="BTZ18" i="5"/>
  <c r="BUA18" i="5"/>
  <c r="BUB18" i="5"/>
  <c r="BUC18" i="5"/>
  <c r="BUD18" i="5"/>
  <c r="BUE18" i="5"/>
  <c r="BUF18" i="5"/>
  <c r="BUG18" i="5"/>
  <c r="BUH18" i="5"/>
  <c r="BUI18" i="5"/>
  <c r="BUJ18" i="5"/>
  <c r="BUK18" i="5"/>
  <c r="BUL18" i="5"/>
  <c r="BUM18" i="5"/>
  <c r="BUN18" i="5"/>
  <c r="BUO18" i="5"/>
  <c r="BUP18" i="5"/>
  <c r="BUQ18" i="5"/>
  <c r="BUR18" i="5"/>
  <c r="BUS18" i="5"/>
  <c r="BUT18" i="5"/>
  <c r="BUU18" i="5"/>
  <c r="BUV18" i="5"/>
  <c r="BUW18" i="5"/>
  <c r="BUX18" i="5"/>
  <c r="BUY18" i="5"/>
  <c r="BUZ18" i="5"/>
  <c r="BVA18" i="5"/>
  <c r="BVB18" i="5"/>
  <c r="BVC18" i="5"/>
  <c r="BVD18" i="5"/>
  <c r="BVE18" i="5"/>
  <c r="BVF18" i="5"/>
  <c r="BVG18" i="5"/>
  <c r="BVH18" i="5"/>
  <c r="BVI18" i="5"/>
  <c r="BVJ18" i="5"/>
  <c r="BVK18" i="5"/>
  <c r="BVL18" i="5"/>
  <c r="BVM18" i="5"/>
  <c r="BVN18" i="5"/>
  <c r="BVO18" i="5"/>
  <c r="BVP18" i="5"/>
  <c r="BVQ18" i="5"/>
  <c r="BVR18" i="5"/>
  <c r="BVS18" i="5"/>
  <c r="BVT18" i="5"/>
  <c r="BVU18" i="5"/>
  <c r="BVV18" i="5"/>
  <c r="BVW18" i="5"/>
  <c r="BVX18" i="5"/>
  <c r="BVY18" i="5"/>
  <c r="BVZ18" i="5"/>
  <c r="BWA18" i="5"/>
  <c r="BWB18" i="5"/>
  <c r="BWC18" i="5"/>
  <c r="BWD18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D19" i="5"/>
  <c r="NE19" i="5"/>
  <c r="NF19" i="5"/>
  <c r="NG19" i="5"/>
  <c r="NH19" i="5"/>
  <c r="NI19" i="5"/>
  <c r="NJ19" i="5"/>
  <c r="NK19" i="5"/>
  <c r="NL19" i="5"/>
  <c r="NM19" i="5"/>
  <c r="NN19" i="5"/>
  <c r="NO19" i="5"/>
  <c r="NP19" i="5"/>
  <c r="NQ19" i="5"/>
  <c r="NR19" i="5"/>
  <c r="NS19" i="5"/>
  <c r="NT19" i="5"/>
  <c r="NU19" i="5"/>
  <c r="NV19" i="5"/>
  <c r="NW19" i="5"/>
  <c r="NX19" i="5"/>
  <c r="NY19" i="5"/>
  <c r="NZ19" i="5"/>
  <c r="OA19" i="5"/>
  <c r="OB19" i="5"/>
  <c r="OC19" i="5"/>
  <c r="OD19" i="5"/>
  <c r="OE19" i="5"/>
  <c r="OF19" i="5"/>
  <c r="OG19" i="5"/>
  <c r="OH19" i="5"/>
  <c r="OI19" i="5"/>
  <c r="OJ19" i="5"/>
  <c r="OK19" i="5"/>
  <c r="OL19" i="5"/>
  <c r="OM19" i="5"/>
  <c r="ON19" i="5"/>
  <c r="OO19" i="5"/>
  <c r="OP19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PO19" i="5"/>
  <c r="PP19" i="5"/>
  <c r="PQ19" i="5"/>
  <c r="PR19" i="5"/>
  <c r="PS19" i="5"/>
  <c r="PT19" i="5"/>
  <c r="PU19" i="5"/>
  <c r="PV19" i="5"/>
  <c r="PW19" i="5"/>
  <c r="PX19" i="5"/>
  <c r="PY19" i="5"/>
  <c r="PZ19" i="5"/>
  <c r="QA19" i="5"/>
  <c r="QB19" i="5"/>
  <c r="QC19" i="5"/>
  <c r="QD19" i="5"/>
  <c r="QE19" i="5"/>
  <c r="QF19" i="5"/>
  <c r="QG19" i="5"/>
  <c r="QH19" i="5"/>
  <c r="QI19" i="5"/>
  <c r="QJ19" i="5"/>
  <c r="QK19" i="5"/>
  <c r="QL19" i="5"/>
  <c r="QM19" i="5"/>
  <c r="QN19" i="5"/>
  <c r="QO19" i="5"/>
  <c r="QP19" i="5"/>
  <c r="QQ19" i="5"/>
  <c r="QR19" i="5"/>
  <c r="QS19" i="5"/>
  <c r="QT19" i="5"/>
  <c r="QU19" i="5"/>
  <c r="QV19" i="5"/>
  <c r="QW19" i="5"/>
  <c r="QX19" i="5"/>
  <c r="QY19" i="5"/>
  <c r="QZ19" i="5"/>
  <c r="RA19" i="5"/>
  <c r="RB19" i="5"/>
  <c r="RC19" i="5"/>
  <c r="RD19" i="5"/>
  <c r="RE19" i="5"/>
  <c r="RF19" i="5"/>
  <c r="RG19" i="5"/>
  <c r="RH19" i="5"/>
  <c r="RI19" i="5"/>
  <c r="RJ19" i="5"/>
  <c r="RK19" i="5"/>
  <c r="RL19" i="5"/>
  <c r="RM19" i="5"/>
  <c r="RN19" i="5"/>
  <c r="RO19" i="5"/>
  <c r="RP19" i="5"/>
  <c r="RQ19" i="5"/>
  <c r="RR19" i="5"/>
  <c r="RS19" i="5"/>
  <c r="RT19" i="5"/>
  <c r="RU19" i="5"/>
  <c r="RV19" i="5"/>
  <c r="RW19" i="5"/>
  <c r="RX19" i="5"/>
  <c r="RY19" i="5"/>
  <c r="RZ19" i="5"/>
  <c r="SA19" i="5"/>
  <c r="SB19" i="5"/>
  <c r="SC19" i="5"/>
  <c r="SD19" i="5"/>
  <c r="SE19" i="5"/>
  <c r="SF19" i="5"/>
  <c r="SG19" i="5"/>
  <c r="SH19" i="5"/>
  <c r="SI19" i="5"/>
  <c r="SJ19" i="5"/>
  <c r="SK19" i="5"/>
  <c r="SL19" i="5"/>
  <c r="SM19" i="5"/>
  <c r="SN19" i="5"/>
  <c r="SO19" i="5"/>
  <c r="SP19" i="5"/>
  <c r="SQ19" i="5"/>
  <c r="SR19" i="5"/>
  <c r="SS19" i="5"/>
  <c r="ST19" i="5"/>
  <c r="SU19" i="5"/>
  <c r="SV19" i="5"/>
  <c r="SW19" i="5"/>
  <c r="SX19" i="5"/>
  <c r="SY19" i="5"/>
  <c r="SZ19" i="5"/>
  <c r="TA19" i="5"/>
  <c r="TB19" i="5"/>
  <c r="TC19" i="5"/>
  <c r="TD19" i="5"/>
  <c r="TE19" i="5"/>
  <c r="TF19" i="5"/>
  <c r="TG19" i="5"/>
  <c r="TH19" i="5"/>
  <c r="TI19" i="5"/>
  <c r="TJ19" i="5"/>
  <c r="TK19" i="5"/>
  <c r="TL19" i="5"/>
  <c r="TM19" i="5"/>
  <c r="TN19" i="5"/>
  <c r="TO19" i="5"/>
  <c r="TP19" i="5"/>
  <c r="TQ19" i="5"/>
  <c r="TR19" i="5"/>
  <c r="TS19" i="5"/>
  <c r="TT19" i="5"/>
  <c r="TU19" i="5"/>
  <c r="TV19" i="5"/>
  <c r="TW19" i="5"/>
  <c r="TX19" i="5"/>
  <c r="TY19" i="5"/>
  <c r="TZ19" i="5"/>
  <c r="UA19" i="5"/>
  <c r="UB19" i="5"/>
  <c r="UC19" i="5"/>
  <c r="UD19" i="5"/>
  <c r="UE19" i="5"/>
  <c r="UF19" i="5"/>
  <c r="UG19" i="5"/>
  <c r="UH19" i="5"/>
  <c r="UI19" i="5"/>
  <c r="UJ19" i="5"/>
  <c r="UK19" i="5"/>
  <c r="UL19" i="5"/>
  <c r="UM19" i="5"/>
  <c r="UN19" i="5"/>
  <c r="UO19" i="5"/>
  <c r="UP19" i="5"/>
  <c r="UQ19" i="5"/>
  <c r="UR19" i="5"/>
  <c r="US19" i="5"/>
  <c r="UT19" i="5"/>
  <c r="UU19" i="5"/>
  <c r="UV19" i="5"/>
  <c r="UW19" i="5"/>
  <c r="UX19" i="5"/>
  <c r="UY19" i="5"/>
  <c r="UZ19" i="5"/>
  <c r="VA19" i="5"/>
  <c r="VB19" i="5"/>
  <c r="VC19" i="5"/>
  <c r="VD19" i="5"/>
  <c r="VE19" i="5"/>
  <c r="VF19" i="5"/>
  <c r="VG19" i="5"/>
  <c r="VH19" i="5"/>
  <c r="VI19" i="5"/>
  <c r="VJ19" i="5"/>
  <c r="VK19" i="5"/>
  <c r="VL19" i="5"/>
  <c r="VM19" i="5"/>
  <c r="VN19" i="5"/>
  <c r="VO19" i="5"/>
  <c r="VP19" i="5"/>
  <c r="VQ19" i="5"/>
  <c r="VR19" i="5"/>
  <c r="VS19" i="5"/>
  <c r="VT19" i="5"/>
  <c r="VU19" i="5"/>
  <c r="VV19" i="5"/>
  <c r="VW19" i="5"/>
  <c r="VX19" i="5"/>
  <c r="VY19" i="5"/>
  <c r="VZ19" i="5"/>
  <c r="WA19" i="5"/>
  <c r="WB19" i="5"/>
  <c r="WC19" i="5"/>
  <c r="WD19" i="5"/>
  <c r="WE19" i="5"/>
  <c r="WF19" i="5"/>
  <c r="WG19" i="5"/>
  <c r="WH19" i="5"/>
  <c r="WI19" i="5"/>
  <c r="WJ19" i="5"/>
  <c r="WK19" i="5"/>
  <c r="WL19" i="5"/>
  <c r="WM19" i="5"/>
  <c r="WN19" i="5"/>
  <c r="WO19" i="5"/>
  <c r="WP19" i="5"/>
  <c r="WQ19" i="5"/>
  <c r="WR19" i="5"/>
  <c r="WS19" i="5"/>
  <c r="WT19" i="5"/>
  <c r="WU19" i="5"/>
  <c r="WV19" i="5"/>
  <c r="WW19" i="5"/>
  <c r="WX19" i="5"/>
  <c r="WY19" i="5"/>
  <c r="WZ19" i="5"/>
  <c r="XA19" i="5"/>
  <c r="XB19" i="5"/>
  <c r="XC19" i="5"/>
  <c r="XD19" i="5"/>
  <c r="XE19" i="5"/>
  <c r="XF19" i="5"/>
  <c r="XG19" i="5"/>
  <c r="XH19" i="5"/>
  <c r="XI19" i="5"/>
  <c r="XJ19" i="5"/>
  <c r="XK19" i="5"/>
  <c r="XL19" i="5"/>
  <c r="XM19" i="5"/>
  <c r="XN19" i="5"/>
  <c r="XO19" i="5"/>
  <c r="XP19" i="5"/>
  <c r="XQ19" i="5"/>
  <c r="XR19" i="5"/>
  <c r="XS19" i="5"/>
  <c r="XT19" i="5"/>
  <c r="XU19" i="5"/>
  <c r="XV19" i="5"/>
  <c r="XW19" i="5"/>
  <c r="XX19" i="5"/>
  <c r="XY19" i="5"/>
  <c r="XZ19" i="5"/>
  <c r="YA19" i="5"/>
  <c r="YB19" i="5"/>
  <c r="YC19" i="5"/>
  <c r="YD19" i="5"/>
  <c r="YE19" i="5"/>
  <c r="YF19" i="5"/>
  <c r="YG19" i="5"/>
  <c r="YH19" i="5"/>
  <c r="YI19" i="5"/>
  <c r="YJ19" i="5"/>
  <c r="YK19" i="5"/>
  <c r="YL19" i="5"/>
  <c r="YM19" i="5"/>
  <c r="YN19" i="5"/>
  <c r="YO19" i="5"/>
  <c r="YP19" i="5"/>
  <c r="YQ19" i="5"/>
  <c r="YR19" i="5"/>
  <c r="YS19" i="5"/>
  <c r="YT19" i="5"/>
  <c r="YU19" i="5"/>
  <c r="YV19" i="5"/>
  <c r="YW19" i="5"/>
  <c r="YX19" i="5"/>
  <c r="YY19" i="5"/>
  <c r="YZ19" i="5"/>
  <c r="ZA19" i="5"/>
  <c r="ZB19" i="5"/>
  <c r="ZC19" i="5"/>
  <c r="ZD19" i="5"/>
  <c r="ZE19" i="5"/>
  <c r="ZF19" i="5"/>
  <c r="ZG19" i="5"/>
  <c r="ZH19" i="5"/>
  <c r="ZI19" i="5"/>
  <c r="ZJ19" i="5"/>
  <c r="ZK19" i="5"/>
  <c r="ZL19" i="5"/>
  <c r="ZM19" i="5"/>
  <c r="ZN19" i="5"/>
  <c r="ZO19" i="5"/>
  <c r="ZP19" i="5"/>
  <c r="ZQ19" i="5"/>
  <c r="ZR19" i="5"/>
  <c r="ZS19" i="5"/>
  <c r="ZT19" i="5"/>
  <c r="ZU19" i="5"/>
  <c r="ZV19" i="5"/>
  <c r="ZW19" i="5"/>
  <c r="ZX19" i="5"/>
  <c r="ZY19" i="5"/>
  <c r="ZZ19" i="5"/>
  <c r="AAA19" i="5"/>
  <c r="AAB19" i="5"/>
  <c r="AAC19" i="5"/>
  <c r="AAD19" i="5"/>
  <c r="AAE19" i="5"/>
  <c r="AAF19" i="5"/>
  <c r="AAG19" i="5"/>
  <c r="AAH19" i="5"/>
  <c r="AAI19" i="5"/>
  <c r="AAJ19" i="5"/>
  <c r="AAK19" i="5"/>
  <c r="AAL19" i="5"/>
  <c r="AAM19" i="5"/>
  <c r="AAN19" i="5"/>
  <c r="AAO19" i="5"/>
  <c r="AAP19" i="5"/>
  <c r="AAQ19" i="5"/>
  <c r="AAR19" i="5"/>
  <c r="AAS19" i="5"/>
  <c r="AAT19" i="5"/>
  <c r="AAU19" i="5"/>
  <c r="AAV19" i="5"/>
  <c r="AAW19" i="5"/>
  <c r="AAX19" i="5"/>
  <c r="AAY19" i="5"/>
  <c r="AAZ19" i="5"/>
  <c r="ABA19" i="5"/>
  <c r="ABB19" i="5"/>
  <c r="ABC19" i="5"/>
  <c r="ABD19" i="5"/>
  <c r="ABE19" i="5"/>
  <c r="ABF19" i="5"/>
  <c r="ABG19" i="5"/>
  <c r="ABH19" i="5"/>
  <c r="ABI19" i="5"/>
  <c r="ABJ19" i="5"/>
  <c r="ABK19" i="5"/>
  <c r="ABL19" i="5"/>
  <c r="ABM19" i="5"/>
  <c r="ABN19" i="5"/>
  <c r="ABO19" i="5"/>
  <c r="ABP19" i="5"/>
  <c r="ABQ19" i="5"/>
  <c r="ABR19" i="5"/>
  <c r="ABS19" i="5"/>
  <c r="ABT19" i="5"/>
  <c r="ABU19" i="5"/>
  <c r="ABV19" i="5"/>
  <c r="ABW19" i="5"/>
  <c r="ABX19" i="5"/>
  <c r="ABY19" i="5"/>
  <c r="ABZ19" i="5"/>
  <c r="ACA19" i="5"/>
  <c r="ACB19" i="5"/>
  <c r="ACC19" i="5"/>
  <c r="ACD19" i="5"/>
  <c r="ACE19" i="5"/>
  <c r="ACF19" i="5"/>
  <c r="ACG19" i="5"/>
  <c r="ACH19" i="5"/>
  <c r="ACI19" i="5"/>
  <c r="ACJ19" i="5"/>
  <c r="ACK19" i="5"/>
  <c r="ACL19" i="5"/>
  <c r="ACM19" i="5"/>
  <c r="ACN19" i="5"/>
  <c r="ACO19" i="5"/>
  <c r="ACP19" i="5"/>
  <c r="ACQ19" i="5"/>
  <c r="ACR19" i="5"/>
  <c r="ACS19" i="5"/>
  <c r="ACT19" i="5"/>
  <c r="ACU19" i="5"/>
  <c r="ACV19" i="5"/>
  <c r="ACW19" i="5"/>
  <c r="ACX19" i="5"/>
  <c r="ACY19" i="5"/>
  <c r="ACZ19" i="5"/>
  <c r="ADA19" i="5"/>
  <c r="ADB19" i="5"/>
  <c r="ADC19" i="5"/>
  <c r="ADD19" i="5"/>
  <c r="ADE19" i="5"/>
  <c r="ADF19" i="5"/>
  <c r="ADG19" i="5"/>
  <c r="ADH19" i="5"/>
  <c r="ADI19" i="5"/>
  <c r="ADJ19" i="5"/>
  <c r="ADK19" i="5"/>
  <c r="ADL19" i="5"/>
  <c r="ADM19" i="5"/>
  <c r="ADN19" i="5"/>
  <c r="ADO19" i="5"/>
  <c r="ADP19" i="5"/>
  <c r="ADQ19" i="5"/>
  <c r="ADR19" i="5"/>
  <c r="ADS19" i="5"/>
  <c r="ADT19" i="5"/>
  <c r="ADU19" i="5"/>
  <c r="ADV19" i="5"/>
  <c r="ADW19" i="5"/>
  <c r="ADX19" i="5"/>
  <c r="ADY19" i="5"/>
  <c r="ADZ19" i="5"/>
  <c r="AEA19" i="5"/>
  <c r="AEB19" i="5"/>
  <c r="AEC19" i="5"/>
  <c r="AED19" i="5"/>
  <c r="AEE19" i="5"/>
  <c r="AEF19" i="5"/>
  <c r="AEG19" i="5"/>
  <c r="AEH19" i="5"/>
  <c r="AEI19" i="5"/>
  <c r="AEJ19" i="5"/>
  <c r="AEK19" i="5"/>
  <c r="AEL19" i="5"/>
  <c r="AEM19" i="5"/>
  <c r="AEN19" i="5"/>
  <c r="AEO19" i="5"/>
  <c r="AEP19" i="5"/>
  <c r="AEQ19" i="5"/>
  <c r="AER19" i="5"/>
  <c r="AES19" i="5"/>
  <c r="AET19" i="5"/>
  <c r="AEU19" i="5"/>
  <c r="AEV19" i="5"/>
  <c r="AEW19" i="5"/>
  <c r="AEX19" i="5"/>
  <c r="AEY19" i="5"/>
  <c r="AEZ19" i="5"/>
  <c r="AFA19" i="5"/>
  <c r="AFB19" i="5"/>
  <c r="AFC19" i="5"/>
  <c r="AFD19" i="5"/>
  <c r="AFE19" i="5"/>
  <c r="AFF19" i="5"/>
  <c r="AFG19" i="5"/>
  <c r="AFH19" i="5"/>
  <c r="AFI19" i="5"/>
  <c r="AFJ19" i="5"/>
  <c r="AFK19" i="5"/>
  <c r="AFL19" i="5"/>
  <c r="AFM19" i="5"/>
  <c r="AFN19" i="5"/>
  <c r="AFO19" i="5"/>
  <c r="AFP19" i="5"/>
  <c r="AFQ19" i="5"/>
  <c r="AFR19" i="5"/>
  <c r="AFS19" i="5"/>
  <c r="AFT19" i="5"/>
  <c r="AFU19" i="5"/>
  <c r="AFV19" i="5"/>
  <c r="AFW19" i="5"/>
  <c r="AFX19" i="5"/>
  <c r="AFY19" i="5"/>
  <c r="AFZ19" i="5"/>
  <c r="AGA19" i="5"/>
  <c r="AGB19" i="5"/>
  <c r="AGC19" i="5"/>
  <c r="AGD19" i="5"/>
  <c r="AGE19" i="5"/>
  <c r="AGF19" i="5"/>
  <c r="AGG19" i="5"/>
  <c r="AGH19" i="5"/>
  <c r="AGI19" i="5"/>
  <c r="AGJ19" i="5"/>
  <c r="AGK19" i="5"/>
  <c r="AGL19" i="5"/>
  <c r="AGM19" i="5"/>
  <c r="AGN19" i="5"/>
  <c r="AGO19" i="5"/>
  <c r="AGP19" i="5"/>
  <c r="AGQ19" i="5"/>
  <c r="AGR19" i="5"/>
  <c r="AGS19" i="5"/>
  <c r="AGT19" i="5"/>
  <c r="AGU19" i="5"/>
  <c r="AGV19" i="5"/>
  <c r="AGW19" i="5"/>
  <c r="AGX19" i="5"/>
  <c r="AGY19" i="5"/>
  <c r="AGZ19" i="5"/>
  <c r="AHA19" i="5"/>
  <c r="AHB19" i="5"/>
  <c r="AHC19" i="5"/>
  <c r="AHD19" i="5"/>
  <c r="AHE19" i="5"/>
  <c r="AHF19" i="5"/>
  <c r="AHG19" i="5"/>
  <c r="AHH19" i="5"/>
  <c r="AHI19" i="5"/>
  <c r="AHJ19" i="5"/>
  <c r="AHK19" i="5"/>
  <c r="AHL19" i="5"/>
  <c r="AHM19" i="5"/>
  <c r="AHN19" i="5"/>
  <c r="AHO19" i="5"/>
  <c r="AHP19" i="5"/>
  <c r="AHQ19" i="5"/>
  <c r="AHR19" i="5"/>
  <c r="AHS19" i="5"/>
  <c r="AHT19" i="5"/>
  <c r="AHU19" i="5"/>
  <c r="AHV19" i="5"/>
  <c r="AHW19" i="5"/>
  <c r="AHX19" i="5"/>
  <c r="AHY19" i="5"/>
  <c r="AHZ19" i="5"/>
  <c r="AIA19" i="5"/>
  <c r="AIB19" i="5"/>
  <c r="AIC19" i="5"/>
  <c r="AID19" i="5"/>
  <c r="AIE19" i="5"/>
  <c r="AIF19" i="5"/>
  <c r="AIG19" i="5"/>
  <c r="AIH19" i="5"/>
  <c r="AII19" i="5"/>
  <c r="AIJ19" i="5"/>
  <c r="AIK19" i="5"/>
  <c r="AIL19" i="5"/>
  <c r="AIM19" i="5"/>
  <c r="AIN19" i="5"/>
  <c r="AIO19" i="5"/>
  <c r="AIP19" i="5"/>
  <c r="AIQ19" i="5"/>
  <c r="AIR19" i="5"/>
  <c r="AIS19" i="5"/>
  <c r="AIT19" i="5"/>
  <c r="AIU19" i="5"/>
  <c r="AIV19" i="5"/>
  <c r="AIW19" i="5"/>
  <c r="AIX19" i="5"/>
  <c r="AIY19" i="5"/>
  <c r="AIZ19" i="5"/>
  <c r="AJA19" i="5"/>
  <c r="AJB19" i="5"/>
  <c r="AJC19" i="5"/>
  <c r="AJD19" i="5"/>
  <c r="AJE19" i="5"/>
  <c r="AJF19" i="5"/>
  <c r="AJG19" i="5"/>
  <c r="AJH19" i="5"/>
  <c r="AJI19" i="5"/>
  <c r="AJJ19" i="5"/>
  <c r="AJK19" i="5"/>
  <c r="AJL19" i="5"/>
  <c r="AJM19" i="5"/>
  <c r="AJN19" i="5"/>
  <c r="AJO19" i="5"/>
  <c r="AJP19" i="5"/>
  <c r="AJQ19" i="5"/>
  <c r="AJR19" i="5"/>
  <c r="AJS19" i="5"/>
  <c r="AJT19" i="5"/>
  <c r="AJU19" i="5"/>
  <c r="AJV19" i="5"/>
  <c r="AJW19" i="5"/>
  <c r="AJX19" i="5"/>
  <c r="AJY19" i="5"/>
  <c r="AJZ19" i="5"/>
  <c r="AKA19" i="5"/>
  <c r="AKB19" i="5"/>
  <c r="AKC19" i="5"/>
  <c r="AKD19" i="5"/>
  <c r="AKE19" i="5"/>
  <c r="AKF19" i="5"/>
  <c r="AKG19" i="5"/>
  <c r="AKH19" i="5"/>
  <c r="AKI19" i="5"/>
  <c r="AKJ19" i="5"/>
  <c r="AKK19" i="5"/>
  <c r="AKL19" i="5"/>
  <c r="AKM19" i="5"/>
  <c r="AKN19" i="5"/>
  <c r="AKO19" i="5"/>
  <c r="AKP19" i="5"/>
  <c r="AKQ19" i="5"/>
  <c r="AKR19" i="5"/>
  <c r="AKS19" i="5"/>
  <c r="AKT19" i="5"/>
  <c r="AKU19" i="5"/>
  <c r="AKV19" i="5"/>
  <c r="AKW19" i="5"/>
  <c r="AKX19" i="5"/>
  <c r="AKY19" i="5"/>
  <c r="AKZ19" i="5"/>
  <c r="ALA19" i="5"/>
  <c r="ALB19" i="5"/>
  <c r="ALC19" i="5"/>
  <c r="ALD19" i="5"/>
  <c r="ALE19" i="5"/>
  <c r="ALF19" i="5"/>
  <c r="ALG19" i="5"/>
  <c r="ALH19" i="5"/>
  <c r="ALI19" i="5"/>
  <c r="ALJ19" i="5"/>
  <c r="ALK19" i="5"/>
  <c r="ALL19" i="5"/>
  <c r="ALM19" i="5"/>
  <c r="ALN19" i="5"/>
  <c r="ALO19" i="5"/>
  <c r="ALP19" i="5"/>
  <c r="ALQ19" i="5"/>
  <c r="ALR19" i="5"/>
  <c r="ALS19" i="5"/>
  <c r="ALT19" i="5"/>
  <c r="ALU19" i="5"/>
  <c r="ALV19" i="5"/>
  <c r="ALW19" i="5"/>
  <c r="ALX19" i="5"/>
  <c r="ALY19" i="5"/>
  <c r="ALZ19" i="5"/>
  <c r="AMA19" i="5"/>
  <c r="AMB19" i="5"/>
  <c r="AMC19" i="5"/>
  <c r="AMD19" i="5"/>
  <c r="AME19" i="5"/>
  <c r="AMF19" i="5"/>
  <c r="AMG19" i="5"/>
  <c r="AMH19" i="5"/>
  <c r="AMI19" i="5"/>
  <c r="AMJ19" i="5"/>
  <c r="AMK19" i="5"/>
  <c r="AML19" i="5"/>
  <c r="AMM19" i="5"/>
  <c r="AMN19" i="5"/>
  <c r="AMO19" i="5"/>
  <c r="AMP19" i="5"/>
  <c r="AMQ19" i="5"/>
  <c r="AMR19" i="5"/>
  <c r="AMS19" i="5"/>
  <c r="AMT19" i="5"/>
  <c r="AMU19" i="5"/>
  <c r="AMV19" i="5"/>
  <c r="AMW19" i="5"/>
  <c r="AMX19" i="5"/>
  <c r="AMY19" i="5"/>
  <c r="AMZ19" i="5"/>
  <c r="ANA19" i="5"/>
  <c r="ANB19" i="5"/>
  <c r="ANC19" i="5"/>
  <c r="AND19" i="5"/>
  <c r="ANE19" i="5"/>
  <c r="ANF19" i="5"/>
  <c r="ANG19" i="5"/>
  <c r="ANH19" i="5"/>
  <c r="ANI19" i="5"/>
  <c r="ANJ19" i="5"/>
  <c r="ANK19" i="5"/>
  <c r="ANL19" i="5"/>
  <c r="ANM19" i="5"/>
  <c r="ANN19" i="5"/>
  <c r="ANO19" i="5"/>
  <c r="ANP19" i="5"/>
  <c r="ANQ19" i="5"/>
  <c r="ANR19" i="5"/>
  <c r="ANS19" i="5"/>
  <c r="ANT19" i="5"/>
  <c r="ANU19" i="5"/>
  <c r="ANV19" i="5"/>
  <c r="ANW19" i="5"/>
  <c r="ANX19" i="5"/>
  <c r="ANY19" i="5"/>
  <c r="ANZ19" i="5"/>
  <c r="AOA19" i="5"/>
  <c r="AOB19" i="5"/>
  <c r="AOC19" i="5"/>
  <c r="AOD19" i="5"/>
  <c r="AOE19" i="5"/>
  <c r="AOF19" i="5"/>
  <c r="AOG19" i="5"/>
  <c r="AOH19" i="5"/>
  <c r="AOI19" i="5"/>
  <c r="AOJ19" i="5"/>
  <c r="AOK19" i="5"/>
  <c r="AOL19" i="5"/>
  <c r="AOM19" i="5"/>
  <c r="AON19" i="5"/>
  <c r="AOO19" i="5"/>
  <c r="AOP19" i="5"/>
  <c r="AOQ19" i="5"/>
  <c r="AOR19" i="5"/>
  <c r="AOS19" i="5"/>
  <c r="AOT19" i="5"/>
  <c r="AOU19" i="5"/>
  <c r="AOV19" i="5"/>
  <c r="AOW19" i="5"/>
  <c r="AOX19" i="5"/>
  <c r="AOY19" i="5"/>
  <c r="AOZ19" i="5"/>
  <c r="APA19" i="5"/>
  <c r="APB19" i="5"/>
  <c r="APC19" i="5"/>
  <c r="APD19" i="5"/>
  <c r="APE19" i="5"/>
  <c r="APF19" i="5"/>
  <c r="APG19" i="5"/>
  <c r="APH19" i="5"/>
  <c r="API19" i="5"/>
  <c r="APJ19" i="5"/>
  <c r="APK19" i="5"/>
  <c r="APL19" i="5"/>
  <c r="APM19" i="5"/>
  <c r="APN19" i="5"/>
  <c r="APO19" i="5"/>
  <c r="APP19" i="5"/>
  <c r="APQ19" i="5"/>
  <c r="APR19" i="5"/>
  <c r="APS19" i="5"/>
  <c r="APT19" i="5"/>
  <c r="APU19" i="5"/>
  <c r="APV19" i="5"/>
  <c r="APW19" i="5"/>
  <c r="APX19" i="5"/>
  <c r="APY19" i="5"/>
  <c r="APZ19" i="5"/>
  <c r="AQA19" i="5"/>
  <c r="AQB19" i="5"/>
  <c r="AQC19" i="5"/>
  <c r="AQD19" i="5"/>
  <c r="AQE19" i="5"/>
  <c r="AQF19" i="5"/>
  <c r="AQG19" i="5"/>
  <c r="AQH19" i="5"/>
  <c r="AQI19" i="5"/>
  <c r="AQJ19" i="5"/>
  <c r="AQK19" i="5"/>
  <c r="AQL19" i="5"/>
  <c r="AQM19" i="5"/>
  <c r="AQN19" i="5"/>
  <c r="AQO19" i="5"/>
  <c r="AQP19" i="5"/>
  <c r="AQQ19" i="5"/>
  <c r="AQR19" i="5"/>
  <c r="AQS19" i="5"/>
  <c r="AQT19" i="5"/>
  <c r="AQU19" i="5"/>
  <c r="AQV19" i="5"/>
  <c r="AQW19" i="5"/>
  <c r="AQX19" i="5"/>
  <c r="AQY19" i="5"/>
  <c r="AQZ19" i="5"/>
  <c r="ARA19" i="5"/>
  <c r="ARB19" i="5"/>
  <c r="ARC19" i="5"/>
  <c r="ARD19" i="5"/>
  <c r="ARE19" i="5"/>
  <c r="ARF19" i="5"/>
  <c r="ARG19" i="5"/>
  <c r="ARH19" i="5"/>
  <c r="ARI19" i="5"/>
  <c r="ARJ19" i="5"/>
  <c r="ARK19" i="5"/>
  <c r="ARL19" i="5"/>
  <c r="ARM19" i="5"/>
  <c r="ARN19" i="5"/>
  <c r="ARO19" i="5"/>
  <c r="ARP19" i="5"/>
  <c r="ARQ19" i="5"/>
  <c r="ARR19" i="5"/>
  <c r="ARS19" i="5"/>
  <c r="ART19" i="5"/>
  <c r="ARU19" i="5"/>
  <c r="ARV19" i="5"/>
  <c r="ARW19" i="5"/>
  <c r="ARX19" i="5"/>
  <c r="ARY19" i="5"/>
  <c r="ARZ19" i="5"/>
  <c r="ASA19" i="5"/>
  <c r="ASB19" i="5"/>
  <c r="ASC19" i="5"/>
  <c r="ASD19" i="5"/>
  <c r="ASE19" i="5"/>
  <c r="ASF19" i="5"/>
  <c r="ASG19" i="5"/>
  <c r="ASH19" i="5"/>
  <c r="ASI19" i="5"/>
  <c r="ASJ19" i="5"/>
  <c r="ASK19" i="5"/>
  <c r="ASL19" i="5"/>
  <c r="ASM19" i="5"/>
  <c r="ASN19" i="5"/>
  <c r="ASO19" i="5"/>
  <c r="ASP19" i="5"/>
  <c r="ASQ19" i="5"/>
  <c r="ASR19" i="5"/>
  <c r="ASS19" i="5"/>
  <c r="AST19" i="5"/>
  <c r="ASU19" i="5"/>
  <c r="ASV19" i="5"/>
  <c r="ASW19" i="5"/>
  <c r="ASX19" i="5"/>
  <c r="ASY19" i="5"/>
  <c r="ASZ19" i="5"/>
  <c r="ATA19" i="5"/>
  <c r="ATB19" i="5"/>
  <c r="ATC19" i="5"/>
  <c r="ATD19" i="5"/>
  <c r="ATE19" i="5"/>
  <c r="ATF19" i="5"/>
  <c r="ATG19" i="5"/>
  <c r="ATH19" i="5"/>
  <c r="ATI19" i="5"/>
  <c r="ATJ19" i="5"/>
  <c r="ATK19" i="5"/>
  <c r="ATL19" i="5"/>
  <c r="ATM19" i="5"/>
  <c r="ATN19" i="5"/>
  <c r="ATO19" i="5"/>
  <c r="ATP19" i="5"/>
  <c r="ATQ19" i="5"/>
  <c r="ATR19" i="5"/>
  <c r="ATS19" i="5"/>
  <c r="ATT19" i="5"/>
  <c r="ATU19" i="5"/>
  <c r="ATV19" i="5"/>
  <c r="ATW19" i="5"/>
  <c r="ATX19" i="5"/>
  <c r="ATY19" i="5"/>
  <c r="ATZ19" i="5"/>
  <c r="AUA19" i="5"/>
  <c r="AUB19" i="5"/>
  <c r="AUC19" i="5"/>
  <c r="AUD19" i="5"/>
  <c r="AUE19" i="5"/>
  <c r="AUF19" i="5"/>
  <c r="AUG19" i="5"/>
  <c r="AUH19" i="5"/>
  <c r="AUI19" i="5"/>
  <c r="AUJ19" i="5"/>
  <c r="AUK19" i="5"/>
  <c r="AUL19" i="5"/>
  <c r="AUM19" i="5"/>
  <c r="AUN19" i="5"/>
  <c r="AUO19" i="5"/>
  <c r="AUP19" i="5"/>
  <c r="AUQ19" i="5"/>
  <c r="AUR19" i="5"/>
  <c r="AUS19" i="5"/>
  <c r="AUT19" i="5"/>
  <c r="AUU19" i="5"/>
  <c r="AUV19" i="5"/>
  <c r="AUW19" i="5"/>
  <c r="AUX19" i="5"/>
  <c r="AUY19" i="5"/>
  <c r="AUZ19" i="5"/>
  <c r="AVA19" i="5"/>
  <c r="AVB19" i="5"/>
  <c r="AVC19" i="5"/>
  <c r="AVD19" i="5"/>
  <c r="AVE19" i="5"/>
  <c r="AVF19" i="5"/>
  <c r="AVG19" i="5"/>
  <c r="AVH19" i="5"/>
  <c r="AVI19" i="5"/>
  <c r="AVJ19" i="5"/>
  <c r="AVK19" i="5"/>
  <c r="AVL19" i="5"/>
  <c r="AVM19" i="5"/>
  <c r="AVN19" i="5"/>
  <c r="AVO19" i="5"/>
  <c r="AVP19" i="5"/>
  <c r="AVQ19" i="5"/>
  <c r="AVR19" i="5"/>
  <c r="AVS19" i="5"/>
  <c r="AVT19" i="5"/>
  <c r="AVU19" i="5"/>
  <c r="AVV19" i="5"/>
  <c r="AVW19" i="5"/>
  <c r="AVX19" i="5"/>
  <c r="AVY19" i="5"/>
  <c r="AVZ19" i="5"/>
  <c r="AWA19" i="5"/>
  <c r="AWB19" i="5"/>
  <c r="AWC19" i="5"/>
  <c r="AWD19" i="5"/>
  <c r="AWE19" i="5"/>
  <c r="AWF19" i="5"/>
  <c r="AWG19" i="5"/>
  <c r="AWH19" i="5"/>
  <c r="AWI19" i="5"/>
  <c r="AWJ19" i="5"/>
  <c r="AWK19" i="5"/>
  <c r="AWL19" i="5"/>
  <c r="AWM19" i="5"/>
  <c r="AWN19" i="5"/>
  <c r="AWO19" i="5"/>
  <c r="AWP19" i="5"/>
  <c r="AWQ19" i="5"/>
  <c r="AWR19" i="5"/>
  <c r="AWS19" i="5"/>
  <c r="AWT19" i="5"/>
  <c r="AWU19" i="5"/>
  <c r="AWV19" i="5"/>
  <c r="AWW19" i="5"/>
  <c r="AWX19" i="5"/>
  <c r="AWY19" i="5"/>
  <c r="AWZ19" i="5"/>
  <c r="AXA19" i="5"/>
  <c r="AXB19" i="5"/>
  <c r="AXC19" i="5"/>
  <c r="AXD19" i="5"/>
  <c r="AXE19" i="5"/>
  <c r="AXF19" i="5"/>
  <c r="AXG19" i="5"/>
  <c r="AXH19" i="5"/>
  <c r="AXI19" i="5"/>
  <c r="AXJ19" i="5"/>
  <c r="AXK19" i="5"/>
  <c r="AXL19" i="5"/>
  <c r="AXM19" i="5"/>
  <c r="AXN19" i="5"/>
  <c r="AXO19" i="5"/>
  <c r="AXP19" i="5"/>
  <c r="AXQ19" i="5"/>
  <c r="AXR19" i="5"/>
  <c r="AXS19" i="5"/>
  <c r="AXT19" i="5"/>
  <c r="AXU19" i="5"/>
  <c r="AXV19" i="5"/>
  <c r="AXW19" i="5"/>
  <c r="AXX19" i="5"/>
  <c r="AXY19" i="5"/>
  <c r="AXZ19" i="5"/>
  <c r="AYA19" i="5"/>
  <c r="AYB19" i="5"/>
  <c r="AYC19" i="5"/>
  <c r="AYD19" i="5"/>
  <c r="AYE19" i="5"/>
  <c r="AYF19" i="5"/>
  <c r="AYG19" i="5"/>
  <c r="AYH19" i="5"/>
  <c r="AYI19" i="5"/>
  <c r="AYJ19" i="5"/>
  <c r="AYK19" i="5"/>
  <c r="AYL19" i="5"/>
  <c r="AYM19" i="5"/>
  <c r="AYN19" i="5"/>
  <c r="AYO19" i="5"/>
  <c r="AYP19" i="5"/>
  <c r="AYQ19" i="5"/>
  <c r="AYR19" i="5"/>
  <c r="AYS19" i="5"/>
  <c r="AYT19" i="5"/>
  <c r="AYU19" i="5"/>
  <c r="AYV19" i="5"/>
  <c r="AYW19" i="5"/>
  <c r="AYX19" i="5"/>
  <c r="AYY19" i="5"/>
  <c r="AYZ19" i="5"/>
  <c r="AZA19" i="5"/>
  <c r="AZB19" i="5"/>
  <c r="AZC19" i="5"/>
  <c r="AZD19" i="5"/>
  <c r="AZE19" i="5"/>
  <c r="AZF19" i="5"/>
  <c r="AZG19" i="5"/>
  <c r="AZH19" i="5"/>
  <c r="AZI19" i="5"/>
  <c r="AZJ19" i="5"/>
  <c r="AZK19" i="5"/>
  <c r="AZL19" i="5"/>
  <c r="AZM19" i="5"/>
  <c r="AZN19" i="5"/>
  <c r="AZO19" i="5"/>
  <c r="AZP19" i="5"/>
  <c r="AZQ19" i="5"/>
  <c r="AZR19" i="5"/>
  <c r="AZS19" i="5"/>
  <c r="AZT19" i="5"/>
  <c r="AZU19" i="5"/>
  <c r="AZV19" i="5"/>
  <c r="AZW19" i="5"/>
  <c r="AZX19" i="5"/>
  <c r="AZY19" i="5"/>
  <c r="AZZ19" i="5"/>
  <c r="BAA19" i="5"/>
  <c r="BAB19" i="5"/>
  <c r="BAC19" i="5"/>
  <c r="BAD19" i="5"/>
  <c r="BAE19" i="5"/>
  <c r="BAF19" i="5"/>
  <c r="BAG19" i="5"/>
  <c r="BAH19" i="5"/>
  <c r="BAI19" i="5"/>
  <c r="BAJ19" i="5"/>
  <c r="BAK19" i="5"/>
  <c r="BAL19" i="5"/>
  <c r="BAM19" i="5"/>
  <c r="BAN19" i="5"/>
  <c r="BAO19" i="5"/>
  <c r="BAP19" i="5"/>
  <c r="BAQ19" i="5"/>
  <c r="BAR19" i="5"/>
  <c r="BAS19" i="5"/>
  <c r="BAT19" i="5"/>
  <c r="BAU19" i="5"/>
  <c r="BAV19" i="5"/>
  <c r="BAW19" i="5"/>
  <c r="BAX19" i="5"/>
  <c r="BAY19" i="5"/>
  <c r="BAZ19" i="5"/>
  <c r="BBA19" i="5"/>
  <c r="BBB19" i="5"/>
  <c r="BBC19" i="5"/>
  <c r="BBD19" i="5"/>
  <c r="BBE19" i="5"/>
  <c r="BBF19" i="5"/>
  <c r="BBG19" i="5"/>
  <c r="BBH19" i="5"/>
  <c r="BBI19" i="5"/>
  <c r="BBJ19" i="5"/>
  <c r="BBK19" i="5"/>
  <c r="BBL19" i="5"/>
  <c r="BBM19" i="5"/>
  <c r="BBN19" i="5"/>
  <c r="BBO19" i="5"/>
  <c r="BBP19" i="5"/>
  <c r="BBQ19" i="5"/>
  <c r="BBR19" i="5"/>
  <c r="BBS19" i="5"/>
  <c r="BBT19" i="5"/>
  <c r="BBU19" i="5"/>
  <c r="BBV19" i="5"/>
  <c r="BBW19" i="5"/>
  <c r="BBX19" i="5"/>
  <c r="BBY19" i="5"/>
  <c r="BBZ19" i="5"/>
  <c r="BCA19" i="5"/>
  <c r="BCB19" i="5"/>
  <c r="BCC19" i="5"/>
  <c r="BCD19" i="5"/>
  <c r="BCE19" i="5"/>
  <c r="BCF19" i="5"/>
  <c r="BCG19" i="5"/>
  <c r="BCH19" i="5"/>
  <c r="BCI19" i="5"/>
  <c r="BCJ19" i="5"/>
  <c r="BCK19" i="5"/>
  <c r="BCL19" i="5"/>
  <c r="BCM19" i="5"/>
  <c r="BCN19" i="5"/>
  <c r="BCO19" i="5"/>
  <c r="BCP19" i="5"/>
  <c r="BCQ19" i="5"/>
  <c r="BCR19" i="5"/>
  <c r="BCS19" i="5"/>
  <c r="BCT19" i="5"/>
  <c r="BCU19" i="5"/>
  <c r="BCV19" i="5"/>
  <c r="BCW19" i="5"/>
  <c r="BCX19" i="5"/>
  <c r="BCY19" i="5"/>
  <c r="BCZ19" i="5"/>
  <c r="BDA19" i="5"/>
  <c r="BDB19" i="5"/>
  <c r="BDC19" i="5"/>
  <c r="BDD19" i="5"/>
  <c r="BDE19" i="5"/>
  <c r="BDF19" i="5"/>
  <c r="BDG19" i="5"/>
  <c r="BDH19" i="5"/>
  <c r="BDI19" i="5"/>
  <c r="BDJ19" i="5"/>
  <c r="BDK19" i="5"/>
  <c r="BDL19" i="5"/>
  <c r="BDM19" i="5"/>
  <c r="BDN19" i="5"/>
  <c r="BDO19" i="5"/>
  <c r="BDP19" i="5"/>
  <c r="BDQ19" i="5"/>
  <c r="BDR19" i="5"/>
  <c r="BDS19" i="5"/>
  <c r="BDT19" i="5"/>
  <c r="BDU19" i="5"/>
  <c r="BDV19" i="5"/>
  <c r="BDW19" i="5"/>
  <c r="BDX19" i="5"/>
  <c r="BDY19" i="5"/>
  <c r="BDZ19" i="5"/>
  <c r="BEA19" i="5"/>
  <c r="BEB19" i="5"/>
  <c r="BEC19" i="5"/>
  <c r="BED19" i="5"/>
  <c r="BEE19" i="5"/>
  <c r="BEF19" i="5"/>
  <c r="BEG19" i="5"/>
  <c r="BEH19" i="5"/>
  <c r="BEI19" i="5"/>
  <c r="BEJ19" i="5"/>
  <c r="BEK19" i="5"/>
  <c r="BEL19" i="5"/>
  <c r="BEM19" i="5"/>
  <c r="BEN19" i="5"/>
  <c r="BEO19" i="5"/>
  <c r="BEP19" i="5"/>
  <c r="BEQ19" i="5"/>
  <c r="BER19" i="5"/>
  <c r="BES19" i="5"/>
  <c r="BET19" i="5"/>
  <c r="BEU19" i="5"/>
  <c r="BEV19" i="5"/>
  <c r="BEW19" i="5"/>
  <c r="BEX19" i="5"/>
  <c r="BEY19" i="5"/>
  <c r="BEZ19" i="5"/>
  <c r="BFA19" i="5"/>
  <c r="BFB19" i="5"/>
  <c r="BFC19" i="5"/>
  <c r="BFD19" i="5"/>
  <c r="BFE19" i="5"/>
  <c r="BFF19" i="5"/>
  <c r="BFG19" i="5"/>
  <c r="BFH19" i="5"/>
  <c r="BFI19" i="5"/>
  <c r="BFJ19" i="5"/>
  <c r="BFK19" i="5"/>
  <c r="BFL19" i="5"/>
  <c r="BFM19" i="5"/>
  <c r="BFN19" i="5"/>
  <c r="BFO19" i="5"/>
  <c r="BFP19" i="5"/>
  <c r="BFQ19" i="5"/>
  <c r="BFR19" i="5"/>
  <c r="BFS19" i="5"/>
  <c r="BFT19" i="5"/>
  <c r="BFU19" i="5"/>
  <c r="BFV19" i="5"/>
  <c r="BFW19" i="5"/>
  <c r="BFX19" i="5"/>
  <c r="BFY19" i="5"/>
  <c r="BFZ19" i="5"/>
  <c r="BGA19" i="5"/>
  <c r="BGB19" i="5"/>
  <c r="BGC19" i="5"/>
  <c r="BGD19" i="5"/>
  <c r="BGE19" i="5"/>
  <c r="BGF19" i="5"/>
  <c r="BGG19" i="5"/>
  <c r="BGH19" i="5"/>
  <c r="BGI19" i="5"/>
  <c r="BGJ19" i="5"/>
  <c r="BGK19" i="5"/>
  <c r="BGL19" i="5"/>
  <c r="BGM19" i="5"/>
  <c r="BGN19" i="5"/>
  <c r="BGO19" i="5"/>
  <c r="BGP19" i="5"/>
  <c r="BGQ19" i="5"/>
  <c r="BGR19" i="5"/>
  <c r="BGS19" i="5"/>
  <c r="BGT19" i="5"/>
  <c r="BGU19" i="5"/>
  <c r="BGV19" i="5"/>
  <c r="BGW19" i="5"/>
  <c r="BGX19" i="5"/>
  <c r="BGY19" i="5"/>
  <c r="BGZ19" i="5"/>
  <c r="BHA19" i="5"/>
  <c r="BHB19" i="5"/>
  <c r="BHC19" i="5"/>
  <c r="BHD19" i="5"/>
  <c r="BHE19" i="5"/>
  <c r="BHF19" i="5"/>
  <c r="BHG19" i="5"/>
  <c r="BHH19" i="5"/>
  <c r="BHI19" i="5"/>
  <c r="BHJ19" i="5"/>
  <c r="BHK19" i="5"/>
  <c r="BHL19" i="5"/>
  <c r="BHM19" i="5"/>
  <c r="BHN19" i="5"/>
  <c r="BHO19" i="5"/>
  <c r="BHP19" i="5"/>
  <c r="BHQ19" i="5"/>
  <c r="BHR19" i="5"/>
  <c r="BHS19" i="5"/>
  <c r="BHT19" i="5"/>
  <c r="BHU19" i="5"/>
  <c r="BHV19" i="5"/>
  <c r="BHW19" i="5"/>
  <c r="BHX19" i="5"/>
  <c r="BHY19" i="5"/>
  <c r="BHZ19" i="5"/>
  <c r="BIA19" i="5"/>
  <c r="BIB19" i="5"/>
  <c r="BIC19" i="5"/>
  <c r="BID19" i="5"/>
  <c r="BIE19" i="5"/>
  <c r="BIF19" i="5"/>
  <c r="BIG19" i="5"/>
  <c r="BIH19" i="5"/>
  <c r="BII19" i="5"/>
  <c r="BIJ19" i="5"/>
  <c r="BIK19" i="5"/>
  <c r="BIL19" i="5"/>
  <c r="BIM19" i="5"/>
  <c r="BIN19" i="5"/>
  <c r="BIO19" i="5"/>
  <c r="BIP19" i="5"/>
  <c r="BIQ19" i="5"/>
  <c r="BIR19" i="5"/>
  <c r="BIS19" i="5"/>
  <c r="BIT19" i="5"/>
  <c r="BIU19" i="5"/>
  <c r="BIV19" i="5"/>
  <c r="BIW19" i="5"/>
  <c r="BIX19" i="5"/>
  <c r="BIY19" i="5"/>
  <c r="BIZ19" i="5"/>
  <c r="BJA19" i="5"/>
  <c r="BJB19" i="5"/>
  <c r="BJC19" i="5"/>
  <c r="BJD19" i="5"/>
  <c r="BJE19" i="5"/>
  <c r="BJF19" i="5"/>
  <c r="BJG19" i="5"/>
  <c r="BJH19" i="5"/>
  <c r="BJI19" i="5"/>
  <c r="BJJ19" i="5"/>
  <c r="BJK19" i="5"/>
  <c r="BJL19" i="5"/>
  <c r="BJM19" i="5"/>
  <c r="BJN19" i="5"/>
  <c r="BJO19" i="5"/>
  <c r="BJP19" i="5"/>
  <c r="BJQ19" i="5"/>
  <c r="BJR19" i="5"/>
  <c r="BJS19" i="5"/>
  <c r="BJT19" i="5"/>
  <c r="BJU19" i="5"/>
  <c r="BJV19" i="5"/>
  <c r="BJW19" i="5"/>
  <c r="BJX19" i="5"/>
  <c r="BJY19" i="5"/>
  <c r="BJZ19" i="5"/>
  <c r="BKA19" i="5"/>
  <c r="BKB19" i="5"/>
  <c r="BKC19" i="5"/>
  <c r="BKD19" i="5"/>
  <c r="BKE19" i="5"/>
  <c r="BKF19" i="5"/>
  <c r="BKG19" i="5"/>
  <c r="BKH19" i="5"/>
  <c r="BKI19" i="5"/>
  <c r="BKJ19" i="5"/>
  <c r="BKK19" i="5"/>
  <c r="BKL19" i="5"/>
  <c r="BKM19" i="5"/>
  <c r="BKN19" i="5"/>
  <c r="BKO19" i="5"/>
  <c r="BKP19" i="5"/>
  <c r="BKQ19" i="5"/>
  <c r="BKR19" i="5"/>
  <c r="BKS19" i="5"/>
  <c r="BKT19" i="5"/>
  <c r="BKU19" i="5"/>
  <c r="BKV19" i="5"/>
  <c r="BKW19" i="5"/>
  <c r="BKX19" i="5"/>
  <c r="BKY19" i="5"/>
  <c r="BKZ19" i="5"/>
  <c r="BLA19" i="5"/>
  <c r="BLB19" i="5"/>
  <c r="BLC19" i="5"/>
  <c r="BLD19" i="5"/>
  <c r="BLE19" i="5"/>
  <c r="BLF19" i="5"/>
  <c r="BLG19" i="5"/>
  <c r="BLH19" i="5"/>
  <c r="BLI19" i="5"/>
  <c r="BLJ19" i="5"/>
  <c r="BLK19" i="5"/>
  <c r="BLL19" i="5"/>
  <c r="BLM19" i="5"/>
  <c r="BLN19" i="5"/>
  <c r="BLO19" i="5"/>
  <c r="BLP19" i="5"/>
  <c r="BLQ19" i="5"/>
  <c r="BLR19" i="5"/>
  <c r="BLS19" i="5"/>
  <c r="BLT19" i="5"/>
  <c r="BLU19" i="5"/>
  <c r="BLV19" i="5"/>
  <c r="BLW19" i="5"/>
  <c r="BLX19" i="5"/>
  <c r="BLY19" i="5"/>
  <c r="BLZ19" i="5"/>
  <c r="BMA19" i="5"/>
  <c r="BMB19" i="5"/>
  <c r="BMC19" i="5"/>
  <c r="BMD19" i="5"/>
  <c r="BME19" i="5"/>
  <c r="BMF19" i="5"/>
  <c r="BMG19" i="5"/>
  <c r="BMH19" i="5"/>
  <c r="BMI19" i="5"/>
  <c r="BMJ19" i="5"/>
  <c r="BMK19" i="5"/>
  <c r="BML19" i="5"/>
  <c r="BMM19" i="5"/>
  <c r="BMN19" i="5"/>
  <c r="BMO19" i="5"/>
  <c r="BMP19" i="5"/>
  <c r="BMQ19" i="5"/>
  <c r="BMR19" i="5"/>
  <c r="BMS19" i="5"/>
  <c r="BMT19" i="5"/>
  <c r="BMU19" i="5"/>
  <c r="BMV19" i="5"/>
  <c r="BMW19" i="5"/>
  <c r="BMX19" i="5"/>
  <c r="BMY19" i="5"/>
  <c r="BMZ19" i="5"/>
  <c r="BNA19" i="5"/>
  <c r="BNB19" i="5"/>
  <c r="BNC19" i="5"/>
  <c r="BND19" i="5"/>
  <c r="BNE19" i="5"/>
  <c r="BNF19" i="5"/>
  <c r="BNG19" i="5"/>
  <c r="BNH19" i="5"/>
  <c r="BNI19" i="5"/>
  <c r="BNJ19" i="5"/>
  <c r="BNK19" i="5"/>
  <c r="BNL19" i="5"/>
  <c r="BNM19" i="5"/>
  <c r="BNN19" i="5"/>
  <c r="BNO19" i="5"/>
  <c r="BNP19" i="5"/>
  <c r="BNQ19" i="5"/>
  <c r="BNR19" i="5"/>
  <c r="BNS19" i="5"/>
  <c r="BNT19" i="5"/>
  <c r="BNU19" i="5"/>
  <c r="BNV19" i="5"/>
  <c r="BNW19" i="5"/>
  <c r="BNX19" i="5"/>
  <c r="BNY19" i="5"/>
  <c r="BNZ19" i="5"/>
  <c r="BOA19" i="5"/>
  <c r="BOB19" i="5"/>
  <c r="BOC19" i="5"/>
  <c r="BOD19" i="5"/>
  <c r="BOE19" i="5"/>
  <c r="BOF19" i="5"/>
  <c r="BOG19" i="5"/>
  <c r="BOH19" i="5"/>
  <c r="BOI19" i="5"/>
  <c r="BOJ19" i="5"/>
  <c r="BOK19" i="5"/>
  <c r="BOL19" i="5"/>
  <c r="BOM19" i="5"/>
  <c r="BON19" i="5"/>
  <c r="BOO19" i="5"/>
  <c r="BOP19" i="5"/>
  <c r="BOQ19" i="5"/>
  <c r="BOR19" i="5"/>
  <c r="BOS19" i="5"/>
  <c r="BOT19" i="5"/>
  <c r="BOU19" i="5"/>
  <c r="BOV19" i="5"/>
  <c r="BOW19" i="5"/>
  <c r="BOX19" i="5"/>
  <c r="BOY19" i="5"/>
  <c r="BOZ19" i="5"/>
  <c r="BPA19" i="5"/>
  <c r="BPB19" i="5"/>
  <c r="BPC19" i="5"/>
  <c r="BPD19" i="5"/>
  <c r="BPE19" i="5"/>
  <c r="BPF19" i="5"/>
  <c r="BPG19" i="5"/>
  <c r="BPH19" i="5"/>
  <c r="BPI19" i="5"/>
  <c r="BPJ19" i="5"/>
  <c r="BPK19" i="5"/>
  <c r="BPL19" i="5"/>
  <c r="BPM19" i="5"/>
  <c r="BPN19" i="5"/>
  <c r="BPO19" i="5"/>
  <c r="BPP19" i="5"/>
  <c r="BPQ19" i="5"/>
  <c r="BPR19" i="5"/>
  <c r="BPS19" i="5"/>
  <c r="BPT19" i="5"/>
  <c r="BPU19" i="5"/>
  <c r="BPV19" i="5"/>
  <c r="BPW19" i="5"/>
  <c r="BPX19" i="5"/>
  <c r="BPY19" i="5"/>
  <c r="BPZ19" i="5"/>
  <c r="BQA19" i="5"/>
  <c r="BQB19" i="5"/>
  <c r="BQC19" i="5"/>
  <c r="BQD19" i="5"/>
  <c r="BQE19" i="5"/>
  <c r="BQF19" i="5"/>
  <c r="BQG19" i="5"/>
  <c r="BQH19" i="5"/>
  <c r="BQI19" i="5"/>
  <c r="BQJ19" i="5"/>
  <c r="BQK19" i="5"/>
  <c r="BQL19" i="5"/>
  <c r="BQM19" i="5"/>
  <c r="BQN19" i="5"/>
  <c r="BQO19" i="5"/>
  <c r="BQP19" i="5"/>
  <c r="BQQ19" i="5"/>
  <c r="BQR19" i="5"/>
  <c r="BQS19" i="5"/>
  <c r="BQT19" i="5"/>
  <c r="BQU19" i="5"/>
  <c r="BQV19" i="5"/>
  <c r="BQW19" i="5"/>
  <c r="BQX19" i="5"/>
  <c r="BQY19" i="5"/>
  <c r="BQZ19" i="5"/>
  <c r="BRA19" i="5"/>
  <c r="BRB19" i="5"/>
  <c r="BRC19" i="5"/>
  <c r="BRD19" i="5"/>
  <c r="BRE19" i="5"/>
  <c r="BRF19" i="5"/>
  <c r="BRG19" i="5"/>
  <c r="BRH19" i="5"/>
  <c r="BRI19" i="5"/>
  <c r="BRJ19" i="5"/>
  <c r="BRK19" i="5"/>
  <c r="BRL19" i="5"/>
  <c r="BRM19" i="5"/>
  <c r="BRN19" i="5"/>
  <c r="BRO19" i="5"/>
  <c r="BRP19" i="5"/>
  <c r="BRQ19" i="5"/>
  <c r="BRR19" i="5"/>
  <c r="BRS19" i="5"/>
  <c r="BRT19" i="5"/>
  <c r="BRU19" i="5"/>
  <c r="BRV19" i="5"/>
  <c r="BRW19" i="5"/>
  <c r="BRX19" i="5"/>
  <c r="BRY19" i="5"/>
  <c r="BRZ19" i="5"/>
  <c r="BSA19" i="5"/>
  <c r="BSB19" i="5"/>
  <c r="BSC19" i="5"/>
  <c r="BSD19" i="5"/>
  <c r="BSE19" i="5"/>
  <c r="BSF19" i="5"/>
  <c r="BSG19" i="5"/>
  <c r="BSH19" i="5"/>
  <c r="BSI19" i="5"/>
  <c r="BSJ19" i="5"/>
  <c r="BSK19" i="5"/>
  <c r="BSL19" i="5"/>
  <c r="BSM19" i="5"/>
  <c r="BSN19" i="5"/>
  <c r="BSO19" i="5"/>
  <c r="BSP19" i="5"/>
  <c r="BSQ19" i="5"/>
  <c r="BSR19" i="5"/>
  <c r="BSS19" i="5"/>
  <c r="BST19" i="5"/>
  <c r="BSU19" i="5"/>
  <c r="BSV19" i="5"/>
  <c r="BSW19" i="5"/>
  <c r="BSX19" i="5"/>
  <c r="BSY19" i="5"/>
  <c r="BSZ19" i="5"/>
  <c r="BTA19" i="5"/>
  <c r="BTB19" i="5"/>
  <c r="BTC19" i="5"/>
  <c r="BTD19" i="5"/>
  <c r="BTE19" i="5"/>
  <c r="BTF19" i="5"/>
  <c r="BTG19" i="5"/>
  <c r="BTH19" i="5"/>
  <c r="BTI19" i="5"/>
  <c r="BTJ19" i="5"/>
  <c r="BTK19" i="5"/>
  <c r="BTL19" i="5"/>
  <c r="BTM19" i="5"/>
  <c r="BTN19" i="5"/>
  <c r="BTO19" i="5"/>
  <c r="BTP19" i="5"/>
  <c r="BTQ19" i="5"/>
  <c r="BTR19" i="5"/>
  <c r="BTS19" i="5"/>
  <c r="BTT19" i="5"/>
  <c r="BTU19" i="5"/>
  <c r="BTV19" i="5"/>
  <c r="BTW19" i="5"/>
  <c r="BTX19" i="5"/>
  <c r="BTY19" i="5"/>
  <c r="BTZ19" i="5"/>
  <c r="BUA19" i="5"/>
  <c r="BUB19" i="5"/>
  <c r="BUC19" i="5"/>
  <c r="BUD19" i="5"/>
  <c r="BUE19" i="5"/>
  <c r="BUF19" i="5"/>
  <c r="BUG19" i="5"/>
  <c r="BUH19" i="5"/>
  <c r="BUI19" i="5"/>
  <c r="BUJ19" i="5"/>
  <c r="BUK19" i="5"/>
  <c r="BUL19" i="5"/>
  <c r="BUM19" i="5"/>
  <c r="BUN19" i="5"/>
  <c r="BUO19" i="5"/>
  <c r="BUP19" i="5"/>
  <c r="BUQ19" i="5"/>
  <c r="BUR19" i="5"/>
  <c r="BUS19" i="5"/>
  <c r="BUT19" i="5"/>
  <c r="BUU19" i="5"/>
  <c r="BUV19" i="5"/>
  <c r="BUW19" i="5"/>
  <c r="BUX19" i="5"/>
  <c r="BUY19" i="5"/>
  <c r="BUZ19" i="5"/>
  <c r="BVA19" i="5"/>
  <c r="BVB19" i="5"/>
  <c r="BVC19" i="5"/>
  <c r="BVD19" i="5"/>
  <c r="BVE19" i="5"/>
  <c r="BVF19" i="5"/>
  <c r="BVG19" i="5"/>
  <c r="BVH19" i="5"/>
  <c r="BVI19" i="5"/>
  <c r="BVJ19" i="5"/>
  <c r="BVK19" i="5"/>
  <c r="BVL19" i="5"/>
  <c r="BVM19" i="5"/>
  <c r="BVN19" i="5"/>
  <c r="BVO19" i="5"/>
  <c r="BVP19" i="5"/>
  <c r="BVQ19" i="5"/>
  <c r="BVR19" i="5"/>
  <c r="BVS19" i="5"/>
  <c r="BVT19" i="5"/>
  <c r="BVU19" i="5"/>
  <c r="BVV19" i="5"/>
  <c r="BVW19" i="5"/>
  <c r="BVX19" i="5"/>
  <c r="BVY19" i="5"/>
  <c r="BVZ19" i="5"/>
  <c r="BWA19" i="5"/>
  <c r="BWB19" i="5"/>
  <c r="BWC19" i="5"/>
  <c r="BWD19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ND20" i="5"/>
  <c r="NE20" i="5"/>
  <c r="NF20" i="5"/>
  <c r="NG20" i="5"/>
  <c r="NH20" i="5"/>
  <c r="NI20" i="5"/>
  <c r="NJ20" i="5"/>
  <c r="NK20" i="5"/>
  <c r="NL20" i="5"/>
  <c r="NM20" i="5"/>
  <c r="NN20" i="5"/>
  <c r="NO20" i="5"/>
  <c r="NP20" i="5"/>
  <c r="NQ20" i="5"/>
  <c r="NR20" i="5"/>
  <c r="NS20" i="5"/>
  <c r="NT20" i="5"/>
  <c r="NU20" i="5"/>
  <c r="NV20" i="5"/>
  <c r="NW20" i="5"/>
  <c r="NX20" i="5"/>
  <c r="NY20" i="5"/>
  <c r="NZ20" i="5"/>
  <c r="OA20" i="5"/>
  <c r="OB20" i="5"/>
  <c r="OC20" i="5"/>
  <c r="OD20" i="5"/>
  <c r="OE20" i="5"/>
  <c r="OF20" i="5"/>
  <c r="OG20" i="5"/>
  <c r="OH20" i="5"/>
  <c r="OI20" i="5"/>
  <c r="OJ20" i="5"/>
  <c r="OK20" i="5"/>
  <c r="OL20" i="5"/>
  <c r="OM20" i="5"/>
  <c r="ON20" i="5"/>
  <c r="OO20" i="5"/>
  <c r="OP20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PO20" i="5"/>
  <c r="PP20" i="5"/>
  <c r="PQ20" i="5"/>
  <c r="PR20" i="5"/>
  <c r="PS20" i="5"/>
  <c r="PT20" i="5"/>
  <c r="PU20" i="5"/>
  <c r="PV20" i="5"/>
  <c r="PW20" i="5"/>
  <c r="PX20" i="5"/>
  <c r="PY20" i="5"/>
  <c r="PZ20" i="5"/>
  <c r="QA20" i="5"/>
  <c r="QB20" i="5"/>
  <c r="QC20" i="5"/>
  <c r="QD20" i="5"/>
  <c r="QE20" i="5"/>
  <c r="QF20" i="5"/>
  <c r="QG20" i="5"/>
  <c r="QH20" i="5"/>
  <c r="QI20" i="5"/>
  <c r="QJ20" i="5"/>
  <c r="QK20" i="5"/>
  <c r="QL20" i="5"/>
  <c r="QM20" i="5"/>
  <c r="QN20" i="5"/>
  <c r="QO20" i="5"/>
  <c r="QP20" i="5"/>
  <c r="QQ20" i="5"/>
  <c r="QR20" i="5"/>
  <c r="QS20" i="5"/>
  <c r="QT20" i="5"/>
  <c r="QU20" i="5"/>
  <c r="QV20" i="5"/>
  <c r="QW20" i="5"/>
  <c r="QX20" i="5"/>
  <c r="QY20" i="5"/>
  <c r="QZ20" i="5"/>
  <c r="RA20" i="5"/>
  <c r="RB20" i="5"/>
  <c r="RC20" i="5"/>
  <c r="RD20" i="5"/>
  <c r="RE20" i="5"/>
  <c r="RF20" i="5"/>
  <c r="RG20" i="5"/>
  <c r="RH20" i="5"/>
  <c r="RI20" i="5"/>
  <c r="RJ20" i="5"/>
  <c r="RK20" i="5"/>
  <c r="RL20" i="5"/>
  <c r="RM20" i="5"/>
  <c r="RN20" i="5"/>
  <c r="RO20" i="5"/>
  <c r="RP20" i="5"/>
  <c r="RQ20" i="5"/>
  <c r="RR20" i="5"/>
  <c r="RS20" i="5"/>
  <c r="RT20" i="5"/>
  <c r="RU20" i="5"/>
  <c r="RV20" i="5"/>
  <c r="RW20" i="5"/>
  <c r="RX20" i="5"/>
  <c r="RY20" i="5"/>
  <c r="RZ20" i="5"/>
  <c r="SA20" i="5"/>
  <c r="SB20" i="5"/>
  <c r="SC20" i="5"/>
  <c r="SD20" i="5"/>
  <c r="SE20" i="5"/>
  <c r="SF20" i="5"/>
  <c r="SG20" i="5"/>
  <c r="SH20" i="5"/>
  <c r="SI20" i="5"/>
  <c r="SJ20" i="5"/>
  <c r="SK20" i="5"/>
  <c r="SL20" i="5"/>
  <c r="SM20" i="5"/>
  <c r="SN20" i="5"/>
  <c r="SO20" i="5"/>
  <c r="SP20" i="5"/>
  <c r="SQ20" i="5"/>
  <c r="SR20" i="5"/>
  <c r="SS20" i="5"/>
  <c r="ST20" i="5"/>
  <c r="SU20" i="5"/>
  <c r="SV20" i="5"/>
  <c r="SW20" i="5"/>
  <c r="SX20" i="5"/>
  <c r="SY20" i="5"/>
  <c r="SZ20" i="5"/>
  <c r="TA20" i="5"/>
  <c r="TB20" i="5"/>
  <c r="TC20" i="5"/>
  <c r="TD20" i="5"/>
  <c r="TE20" i="5"/>
  <c r="TF20" i="5"/>
  <c r="TG20" i="5"/>
  <c r="TH20" i="5"/>
  <c r="TI20" i="5"/>
  <c r="TJ20" i="5"/>
  <c r="TK20" i="5"/>
  <c r="TL20" i="5"/>
  <c r="TM20" i="5"/>
  <c r="TN20" i="5"/>
  <c r="TO20" i="5"/>
  <c r="TP20" i="5"/>
  <c r="TQ20" i="5"/>
  <c r="TR20" i="5"/>
  <c r="TS20" i="5"/>
  <c r="TT20" i="5"/>
  <c r="TU20" i="5"/>
  <c r="TV20" i="5"/>
  <c r="TW20" i="5"/>
  <c r="TX20" i="5"/>
  <c r="TY20" i="5"/>
  <c r="TZ20" i="5"/>
  <c r="UA20" i="5"/>
  <c r="UB20" i="5"/>
  <c r="UC20" i="5"/>
  <c r="UD20" i="5"/>
  <c r="UE20" i="5"/>
  <c r="UF20" i="5"/>
  <c r="UG20" i="5"/>
  <c r="UH20" i="5"/>
  <c r="UI20" i="5"/>
  <c r="UJ20" i="5"/>
  <c r="UK20" i="5"/>
  <c r="UL20" i="5"/>
  <c r="UM20" i="5"/>
  <c r="UN20" i="5"/>
  <c r="UO20" i="5"/>
  <c r="UP20" i="5"/>
  <c r="UQ20" i="5"/>
  <c r="UR20" i="5"/>
  <c r="US20" i="5"/>
  <c r="UT20" i="5"/>
  <c r="UU20" i="5"/>
  <c r="UV20" i="5"/>
  <c r="UW20" i="5"/>
  <c r="UX20" i="5"/>
  <c r="UY20" i="5"/>
  <c r="UZ20" i="5"/>
  <c r="VA20" i="5"/>
  <c r="VB20" i="5"/>
  <c r="VC20" i="5"/>
  <c r="VD20" i="5"/>
  <c r="VE20" i="5"/>
  <c r="VF20" i="5"/>
  <c r="VG20" i="5"/>
  <c r="VH20" i="5"/>
  <c r="VI20" i="5"/>
  <c r="VJ20" i="5"/>
  <c r="VK20" i="5"/>
  <c r="VL20" i="5"/>
  <c r="VM20" i="5"/>
  <c r="VN20" i="5"/>
  <c r="VO20" i="5"/>
  <c r="VP20" i="5"/>
  <c r="VQ20" i="5"/>
  <c r="VR20" i="5"/>
  <c r="VS20" i="5"/>
  <c r="VT20" i="5"/>
  <c r="VU20" i="5"/>
  <c r="VV20" i="5"/>
  <c r="VW20" i="5"/>
  <c r="VX20" i="5"/>
  <c r="VY20" i="5"/>
  <c r="VZ20" i="5"/>
  <c r="WA20" i="5"/>
  <c r="WB20" i="5"/>
  <c r="WC20" i="5"/>
  <c r="WD20" i="5"/>
  <c r="WE20" i="5"/>
  <c r="WF20" i="5"/>
  <c r="WG20" i="5"/>
  <c r="WH20" i="5"/>
  <c r="WI20" i="5"/>
  <c r="WJ20" i="5"/>
  <c r="WK20" i="5"/>
  <c r="WL20" i="5"/>
  <c r="WM20" i="5"/>
  <c r="WN20" i="5"/>
  <c r="WO20" i="5"/>
  <c r="WP20" i="5"/>
  <c r="WQ20" i="5"/>
  <c r="WR20" i="5"/>
  <c r="WS20" i="5"/>
  <c r="WT20" i="5"/>
  <c r="WU20" i="5"/>
  <c r="WV20" i="5"/>
  <c r="WW20" i="5"/>
  <c r="WX20" i="5"/>
  <c r="WY20" i="5"/>
  <c r="WZ20" i="5"/>
  <c r="XA20" i="5"/>
  <c r="XB20" i="5"/>
  <c r="XC20" i="5"/>
  <c r="XD20" i="5"/>
  <c r="XE20" i="5"/>
  <c r="XF20" i="5"/>
  <c r="XG20" i="5"/>
  <c r="XH20" i="5"/>
  <c r="XI20" i="5"/>
  <c r="XJ20" i="5"/>
  <c r="XK20" i="5"/>
  <c r="XL20" i="5"/>
  <c r="XM20" i="5"/>
  <c r="XN20" i="5"/>
  <c r="XO20" i="5"/>
  <c r="XP20" i="5"/>
  <c r="XQ20" i="5"/>
  <c r="XR20" i="5"/>
  <c r="XS20" i="5"/>
  <c r="XT20" i="5"/>
  <c r="XU20" i="5"/>
  <c r="XV20" i="5"/>
  <c r="XW20" i="5"/>
  <c r="XX20" i="5"/>
  <c r="XY20" i="5"/>
  <c r="XZ20" i="5"/>
  <c r="YA20" i="5"/>
  <c r="YB20" i="5"/>
  <c r="YC20" i="5"/>
  <c r="YD20" i="5"/>
  <c r="YE20" i="5"/>
  <c r="YF20" i="5"/>
  <c r="YG20" i="5"/>
  <c r="YH20" i="5"/>
  <c r="YI20" i="5"/>
  <c r="YJ20" i="5"/>
  <c r="YK20" i="5"/>
  <c r="YL20" i="5"/>
  <c r="YM20" i="5"/>
  <c r="YN20" i="5"/>
  <c r="YO20" i="5"/>
  <c r="YP20" i="5"/>
  <c r="YQ20" i="5"/>
  <c r="YR20" i="5"/>
  <c r="YS20" i="5"/>
  <c r="YT20" i="5"/>
  <c r="YU20" i="5"/>
  <c r="YV20" i="5"/>
  <c r="YW20" i="5"/>
  <c r="YX20" i="5"/>
  <c r="YY20" i="5"/>
  <c r="YZ20" i="5"/>
  <c r="ZA20" i="5"/>
  <c r="ZB20" i="5"/>
  <c r="ZC20" i="5"/>
  <c r="ZD20" i="5"/>
  <c r="ZE20" i="5"/>
  <c r="ZF20" i="5"/>
  <c r="ZG20" i="5"/>
  <c r="ZH20" i="5"/>
  <c r="ZI20" i="5"/>
  <c r="ZJ20" i="5"/>
  <c r="ZK20" i="5"/>
  <c r="ZL20" i="5"/>
  <c r="ZM20" i="5"/>
  <c r="ZN20" i="5"/>
  <c r="ZO20" i="5"/>
  <c r="ZP20" i="5"/>
  <c r="ZQ20" i="5"/>
  <c r="ZR20" i="5"/>
  <c r="ZS20" i="5"/>
  <c r="ZT20" i="5"/>
  <c r="ZU20" i="5"/>
  <c r="ZV20" i="5"/>
  <c r="ZW20" i="5"/>
  <c r="ZX20" i="5"/>
  <c r="ZY20" i="5"/>
  <c r="ZZ20" i="5"/>
  <c r="AAA20" i="5"/>
  <c r="AAB20" i="5"/>
  <c r="AAC20" i="5"/>
  <c r="AAD20" i="5"/>
  <c r="AAE20" i="5"/>
  <c r="AAF20" i="5"/>
  <c r="AAG20" i="5"/>
  <c r="AAH20" i="5"/>
  <c r="AAI20" i="5"/>
  <c r="AAJ20" i="5"/>
  <c r="AAK20" i="5"/>
  <c r="AAL20" i="5"/>
  <c r="AAM20" i="5"/>
  <c r="AAN20" i="5"/>
  <c r="AAO20" i="5"/>
  <c r="AAP20" i="5"/>
  <c r="AAQ20" i="5"/>
  <c r="AAR20" i="5"/>
  <c r="AAS20" i="5"/>
  <c r="AAT20" i="5"/>
  <c r="AAU20" i="5"/>
  <c r="AAV20" i="5"/>
  <c r="AAW20" i="5"/>
  <c r="AAX20" i="5"/>
  <c r="AAY20" i="5"/>
  <c r="AAZ20" i="5"/>
  <c r="ABA20" i="5"/>
  <c r="ABB20" i="5"/>
  <c r="ABC20" i="5"/>
  <c r="ABD20" i="5"/>
  <c r="ABE20" i="5"/>
  <c r="ABF20" i="5"/>
  <c r="ABG20" i="5"/>
  <c r="ABH20" i="5"/>
  <c r="ABI20" i="5"/>
  <c r="ABJ20" i="5"/>
  <c r="ABK20" i="5"/>
  <c r="ABL20" i="5"/>
  <c r="ABM20" i="5"/>
  <c r="ABN20" i="5"/>
  <c r="ABO20" i="5"/>
  <c r="ABP20" i="5"/>
  <c r="ABQ20" i="5"/>
  <c r="ABR20" i="5"/>
  <c r="ABS20" i="5"/>
  <c r="ABT20" i="5"/>
  <c r="ABU20" i="5"/>
  <c r="ABV20" i="5"/>
  <c r="ABW20" i="5"/>
  <c r="ABX20" i="5"/>
  <c r="ABY20" i="5"/>
  <c r="ABZ20" i="5"/>
  <c r="ACA20" i="5"/>
  <c r="ACB20" i="5"/>
  <c r="ACC20" i="5"/>
  <c r="ACD20" i="5"/>
  <c r="ACE20" i="5"/>
  <c r="ACF20" i="5"/>
  <c r="ACG20" i="5"/>
  <c r="ACH20" i="5"/>
  <c r="ACI20" i="5"/>
  <c r="ACJ20" i="5"/>
  <c r="ACK20" i="5"/>
  <c r="ACL20" i="5"/>
  <c r="ACM20" i="5"/>
  <c r="ACN20" i="5"/>
  <c r="ACO20" i="5"/>
  <c r="ACP20" i="5"/>
  <c r="ACQ20" i="5"/>
  <c r="ACR20" i="5"/>
  <c r="ACS20" i="5"/>
  <c r="ACT20" i="5"/>
  <c r="ACU20" i="5"/>
  <c r="ACV20" i="5"/>
  <c r="ACW20" i="5"/>
  <c r="ACX20" i="5"/>
  <c r="ACY20" i="5"/>
  <c r="ACZ20" i="5"/>
  <c r="ADA20" i="5"/>
  <c r="ADB20" i="5"/>
  <c r="ADC20" i="5"/>
  <c r="ADD20" i="5"/>
  <c r="ADE20" i="5"/>
  <c r="ADF20" i="5"/>
  <c r="ADG20" i="5"/>
  <c r="ADH20" i="5"/>
  <c r="ADI20" i="5"/>
  <c r="ADJ20" i="5"/>
  <c r="ADK20" i="5"/>
  <c r="ADL20" i="5"/>
  <c r="ADM20" i="5"/>
  <c r="ADN20" i="5"/>
  <c r="ADO20" i="5"/>
  <c r="ADP20" i="5"/>
  <c r="ADQ20" i="5"/>
  <c r="ADR20" i="5"/>
  <c r="ADS20" i="5"/>
  <c r="ADT20" i="5"/>
  <c r="ADU20" i="5"/>
  <c r="ADV20" i="5"/>
  <c r="ADW20" i="5"/>
  <c r="ADX20" i="5"/>
  <c r="ADY20" i="5"/>
  <c r="ADZ20" i="5"/>
  <c r="AEA20" i="5"/>
  <c r="AEB20" i="5"/>
  <c r="AEC20" i="5"/>
  <c r="AED20" i="5"/>
  <c r="AEE20" i="5"/>
  <c r="AEF20" i="5"/>
  <c r="AEG20" i="5"/>
  <c r="AEH20" i="5"/>
  <c r="AEI20" i="5"/>
  <c r="AEJ20" i="5"/>
  <c r="AEK20" i="5"/>
  <c r="AEL20" i="5"/>
  <c r="AEM20" i="5"/>
  <c r="AEN20" i="5"/>
  <c r="AEO20" i="5"/>
  <c r="AEP20" i="5"/>
  <c r="AEQ20" i="5"/>
  <c r="AER20" i="5"/>
  <c r="AES20" i="5"/>
  <c r="AET20" i="5"/>
  <c r="AEU20" i="5"/>
  <c r="AEV20" i="5"/>
  <c r="AEW20" i="5"/>
  <c r="AEX20" i="5"/>
  <c r="AEY20" i="5"/>
  <c r="AEZ20" i="5"/>
  <c r="AFA20" i="5"/>
  <c r="AFB20" i="5"/>
  <c r="AFC20" i="5"/>
  <c r="AFD20" i="5"/>
  <c r="AFE20" i="5"/>
  <c r="AFF20" i="5"/>
  <c r="AFG20" i="5"/>
  <c r="AFH20" i="5"/>
  <c r="AFI20" i="5"/>
  <c r="AFJ20" i="5"/>
  <c r="AFK20" i="5"/>
  <c r="AFL20" i="5"/>
  <c r="AFM20" i="5"/>
  <c r="AFN20" i="5"/>
  <c r="AFO20" i="5"/>
  <c r="AFP20" i="5"/>
  <c r="AFQ20" i="5"/>
  <c r="AFR20" i="5"/>
  <c r="AFS20" i="5"/>
  <c r="AFT20" i="5"/>
  <c r="AFU20" i="5"/>
  <c r="AFV20" i="5"/>
  <c r="AFW20" i="5"/>
  <c r="AFX20" i="5"/>
  <c r="AFY20" i="5"/>
  <c r="AFZ20" i="5"/>
  <c r="AGA20" i="5"/>
  <c r="AGB20" i="5"/>
  <c r="AGC20" i="5"/>
  <c r="AGD20" i="5"/>
  <c r="AGE20" i="5"/>
  <c r="AGF20" i="5"/>
  <c r="AGG20" i="5"/>
  <c r="AGH20" i="5"/>
  <c r="AGI20" i="5"/>
  <c r="AGJ20" i="5"/>
  <c r="AGK20" i="5"/>
  <c r="AGL20" i="5"/>
  <c r="AGM20" i="5"/>
  <c r="AGN20" i="5"/>
  <c r="AGO20" i="5"/>
  <c r="AGP20" i="5"/>
  <c r="AGQ20" i="5"/>
  <c r="AGR20" i="5"/>
  <c r="AGS20" i="5"/>
  <c r="AGT20" i="5"/>
  <c r="AGU20" i="5"/>
  <c r="AGV20" i="5"/>
  <c r="AGW20" i="5"/>
  <c r="AGX20" i="5"/>
  <c r="AGY20" i="5"/>
  <c r="AGZ20" i="5"/>
  <c r="AHA20" i="5"/>
  <c r="AHB20" i="5"/>
  <c r="AHC20" i="5"/>
  <c r="AHD20" i="5"/>
  <c r="AHE20" i="5"/>
  <c r="AHF20" i="5"/>
  <c r="AHG20" i="5"/>
  <c r="AHH20" i="5"/>
  <c r="AHI20" i="5"/>
  <c r="AHJ20" i="5"/>
  <c r="AHK20" i="5"/>
  <c r="AHL20" i="5"/>
  <c r="AHM20" i="5"/>
  <c r="AHN20" i="5"/>
  <c r="AHO20" i="5"/>
  <c r="AHP20" i="5"/>
  <c r="AHQ20" i="5"/>
  <c r="AHR20" i="5"/>
  <c r="AHS20" i="5"/>
  <c r="AHT20" i="5"/>
  <c r="AHU20" i="5"/>
  <c r="AHV20" i="5"/>
  <c r="AHW20" i="5"/>
  <c r="AHX20" i="5"/>
  <c r="AHY20" i="5"/>
  <c r="AHZ20" i="5"/>
  <c r="AIA20" i="5"/>
  <c r="AIB20" i="5"/>
  <c r="AIC20" i="5"/>
  <c r="AID20" i="5"/>
  <c r="AIE20" i="5"/>
  <c r="AIF20" i="5"/>
  <c r="AIG20" i="5"/>
  <c r="AIH20" i="5"/>
  <c r="AII20" i="5"/>
  <c r="AIJ20" i="5"/>
  <c r="AIK20" i="5"/>
  <c r="AIL20" i="5"/>
  <c r="AIM20" i="5"/>
  <c r="AIN20" i="5"/>
  <c r="AIO20" i="5"/>
  <c r="AIP20" i="5"/>
  <c r="AIQ20" i="5"/>
  <c r="AIR20" i="5"/>
  <c r="AIS20" i="5"/>
  <c r="AIT20" i="5"/>
  <c r="AIU20" i="5"/>
  <c r="AIV20" i="5"/>
  <c r="AIW20" i="5"/>
  <c r="AIX20" i="5"/>
  <c r="AIY20" i="5"/>
  <c r="AIZ20" i="5"/>
  <c r="AJA20" i="5"/>
  <c r="AJB20" i="5"/>
  <c r="AJC20" i="5"/>
  <c r="AJD20" i="5"/>
  <c r="AJE20" i="5"/>
  <c r="AJF20" i="5"/>
  <c r="AJG20" i="5"/>
  <c r="AJH20" i="5"/>
  <c r="AJI20" i="5"/>
  <c r="AJJ20" i="5"/>
  <c r="AJK20" i="5"/>
  <c r="AJL20" i="5"/>
  <c r="AJM20" i="5"/>
  <c r="AJN20" i="5"/>
  <c r="AJO20" i="5"/>
  <c r="AJP20" i="5"/>
  <c r="AJQ20" i="5"/>
  <c r="AJR20" i="5"/>
  <c r="AJS20" i="5"/>
  <c r="AJT20" i="5"/>
  <c r="AJU20" i="5"/>
  <c r="AJV20" i="5"/>
  <c r="AJW20" i="5"/>
  <c r="AJX20" i="5"/>
  <c r="AJY20" i="5"/>
  <c r="AJZ20" i="5"/>
  <c r="AKA20" i="5"/>
  <c r="AKB20" i="5"/>
  <c r="AKC20" i="5"/>
  <c r="AKD20" i="5"/>
  <c r="AKE20" i="5"/>
  <c r="AKF20" i="5"/>
  <c r="AKG20" i="5"/>
  <c r="AKH20" i="5"/>
  <c r="AKI20" i="5"/>
  <c r="AKJ20" i="5"/>
  <c r="AKK20" i="5"/>
  <c r="AKL20" i="5"/>
  <c r="AKM20" i="5"/>
  <c r="AKN20" i="5"/>
  <c r="AKO20" i="5"/>
  <c r="AKP20" i="5"/>
  <c r="AKQ20" i="5"/>
  <c r="AKR20" i="5"/>
  <c r="AKS20" i="5"/>
  <c r="AKT20" i="5"/>
  <c r="AKU20" i="5"/>
  <c r="AKV20" i="5"/>
  <c r="AKW20" i="5"/>
  <c r="AKX20" i="5"/>
  <c r="AKY20" i="5"/>
  <c r="AKZ20" i="5"/>
  <c r="ALA20" i="5"/>
  <c r="ALB20" i="5"/>
  <c r="ALC20" i="5"/>
  <c r="ALD20" i="5"/>
  <c r="ALE20" i="5"/>
  <c r="ALF20" i="5"/>
  <c r="ALG20" i="5"/>
  <c r="ALH20" i="5"/>
  <c r="ALI20" i="5"/>
  <c r="ALJ20" i="5"/>
  <c r="ALK20" i="5"/>
  <c r="ALL20" i="5"/>
  <c r="ALM20" i="5"/>
  <c r="ALN20" i="5"/>
  <c r="ALO20" i="5"/>
  <c r="ALP20" i="5"/>
  <c r="ALQ20" i="5"/>
  <c r="ALR20" i="5"/>
  <c r="ALS20" i="5"/>
  <c r="ALT20" i="5"/>
  <c r="ALU20" i="5"/>
  <c r="ALV20" i="5"/>
  <c r="ALW20" i="5"/>
  <c r="ALX20" i="5"/>
  <c r="ALY20" i="5"/>
  <c r="ALZ20" i="5"/>
  <c r="AMA20" i="5"/>
  <c r="AMB20" i="5"/>
  <c r="AMC20" i="5"/>
  <c r="AMD20" i="5"/>
  <c r="AME20" i="5"/>
  <c r="AMF20" i="5"/>
  <c r="AMG20" i="5"/>
  <c r="AMH20" i="5"/>
  <c r="AMI20" i="5"/>
  <c r="AMJ20" i="5"/>
  <c r="AMK20" i="5"/>
  <c r="AML20" i="5"/>
  <c r="AMM20" i="5"/>
  <c r="AMN20" i="5"/>
  <c r="AMO20" i="5"/>
  <c r="AMP20" i="5"/>
  <c r="AMQ20" i="5"/>
  <c r="AMR20" i="5"/>
  <c r="AMS20" i="5"/>
  <c r="AMT20" i="5"/>
  <c r="AMU20" i="5"/>
  <c r="AMV20" i="5"/>
  <c r="AMW20" i="5"/>
  <c r="AMX20" i="5"/>
  <c r="AMY20" i="5"/>
  <c r="AMZ20" i="5"/>
  <c r="ANA20" i="5"/>
  <c r="ANB20" i="5"/>
  <c r="ANC20" i="5"/>
  <c r="AND20" i="5"/>
  <c r="ANE20" i="5"/>
  <c r="ANF20" i="5"/>
  <c r="ANG20" i="5"/>
  <c r="ANH20" i="5"/>
  <c r="ANI20" i="5"/>
  <c r="ANJ20" i="5"/>
  <c r="ANK20" i="5"/>
  <c r="ANL20" i="5"/>
  <c r="ANM20" i="5"/>
  <c r="ANN20" i="5"/>
  <c r="ANO20" i="5"/>
  <c r="ANP20" i="5"/>
  <c r="ANQ20" i="5"/>
  <c r="ANR20" i="5"/>
  <c r="ANS20" i="5"/>
  <c r="ANT20" i="5"/>
  <c r="ANU20" i="5"/>
  <c r="ANV20" i="5"/>
  <c r="ANW20" i="5"/>
  <c r="ANX20" i="5"/>
  <c r="ANY20" i="5"/>
  <c r="ANZ20" i="5"/>
  <c r="AOA20" i="5"/>
  <c r="AOB20" i="5"/>
  <c r="AOC20" i="5"/>
  <c r="AOD20" i="5"/>
  <c r="AOE20" i="5"/>
  <c r="AOF20" i="5"/>
  <c r="AOG20" i="5"/>
  <c r="AOH20" i="5"/>
  <c r="AOI20" i="5"/>
  <c r="AOJ20" i="5"/>
  <c r="AOK20" i="5"/>
  <c r="AOL20" i="5"/>
  <c r="AOM20" i="5"/>
  <c r="AON20" i="5"/>
  <c r="AOO20" i="5"/>
  <c r="AOP20" i="5"/>
  <c r="AOQ20" i="5"/>
  <c r="AOR20" i="5"/>
  <c r="AOS20" i="5"/>
  <c r="AOT20" i="5"/>
  <c r="AOU20" i="5"/>
  <c r="AOV20" i="5"/>
  <c r="AOW20" i="5"/>
  <c r="AOX20" i="5"/>
  <c r="AOY20" i="5"/>
  <c r="AOZ20" i="5"/>
  <c r="APA20" i="5"/>
  <c r="APB20" i="5"/>
  <c r="APC20" i="5"/>
  <c r="APD20" i="5"/>
  <c r="APE20" i="5"/>
  <c r="APF20" i="5"/>
  <c r="APG20" i="5"/>
  <c r="APH20" i="5"/>
  <c r="API20" i="5"/>
  <c r="APJ20" i="5"/>
  <c r="APK20" i="5"/>
  <c r="APL20" i="5"/>
  <c r="APM20" i="5"/>
  <c r="APN20" i="5"/>
  <c r="APO20" i="5"/>
  <c r="APP20" i="5"/>
  <c r="APQ20" i="5"/>
  <c r="APR20" i="5"/>
  <c r="APS20" i="5"/>
  <c r="APT20" i="5"/>
  <c r="APU20" i="5"/>
  <c r="APV20" i="5"/>
  <c r="APW20" i="5"/>
  <c r="APX20" i="5"/>
  <c r="APY20" i="5"/>
  <c r="APZ20" i="5"/>
  <c r="AQA20" i="5"/>
  <c r="AQB20" i="5"/>
  <c r="AQC20" i="5"/>
  <c r="AQD20" i="5"/>
  <c r="AQE20" i="5"/>
  <c r="AQF20" i="5"/>
  <c r="AQG20" i="5"/>
  <c r="AQH20" i="5"/>
  <c r="AQI20" i="5"/>
  <c r="AQJ20" i="5"/>
  <c r="AQK20" i="5"/>
  <c r="AQL20" i="5"/>
  <c r="AQM20" i="5"/>
  <c r="AQN20" i="5"/>
  <c r="AQO20" i="5"/>
  <c r="AQP20" i="5"/>
  <c r="AQQ20" i="5"/>
  <c r="AQR20" i="5"/>
  <c r="AQS20" i="5"/>
  <c r="AQT20" i="5"/>
  <c r="AQU20" i="5"/>
  <c r="AQV20" i="5"/>
  <c r="AQW20" i="5"/>
  <c r="AQX20" i="5"/>
  <c r="AQY20" i="5"/>
  <c r="AQZ20" i="5"/>
  <c r="ARA20" i="5"/>
  <c r="ARB20" i="5"/>
  <c r="ARC20" i="5"/>
  <c r="ARD20" i="5"/>
  <c r="ARE20" i="5"/>
  <c r="ARF20" i="5"/>
  <c r="ARG20" i="5"/>
  <c r="ARH20" i="5"/>
  <c r="ARI20" i="5"/>
  <c r="ARJ20" i="5"/>
  <c r="ARK20" i="5"/>
  <c r="ARL20" i="5"/>
  <c r="ARM20" i="5"/>
  <c r="ARN20" i="5"/>
  <c r="ARO20" i="5"/>
  <c r="ARP20" i="5"/>
  <c r="ARQ20" i="5"/>
  <c r="ARR20" i="5"/>
  <c r="ARS20" i="5"/>
  <c r="ART20" i="5"/>
  <c r="ARU20" i="5"/>
  <c r="ARV20" i="5"/>
  <c r="ARW20" i="5"/>
  <c r="ARX20" i="5"/>
  <c r="ARY20" i="5"/>
  <c r="ARZ20" i="5"/>
  <c r="ASA20" i="5"/>
  <c r="ASB20" i="5"/>
  <c r="ASC20" i="5"/>
  <c r="ASD20" i="5"/>
  <c r="ASE20" i="5"/>
  <c r="ASF20" i="5"/>
  <c r="ASG20" i="5"/>
  <c r="ASH20" i="5"/>
  <c r="ASI20" i="5"/>
  <c r="ASJ20" i="5"/>
  <c r="ASK20" i="5"/>
  <c r="ASL20" i="5"/>
  <c r="ASM20" i="5"/>
  <c r="ASN20" i="5"/>
  <c r="ASO20" i="5"/>
  <c r="ASP20" i="5"/>
  <c r="ASQ20" i="5"/>
  <c r="ASR20" i="5"/>
  <c r="ASS20" i="5"/>
  <c r="AST20" i="5"/>
  <c r="ASU20" i="5"/>
  <c r="ASV20" i="5"/>
  <c r="ASW20" i="5"/>
  <c r="ASX20" i="5"/>
  <c r="ASY20" i="5"/>
  <c r="ASZ20" i="5"/>
  <c r="ATA20" i="5"/>
  <c r="ATB20" i="5"/>
  <c r="ATC20" i="5"/>
  <c r="ATD20" i="5"/>
  <c r="ATE20" i="5"/>
  <c r="ATF20" i="5"/>
  <c r="ATG20" i="5"/>
  <c r="ATH20" i="5"/>
  <c r="ATI20" i="5"/>
  <c r="ATJ20" i="5"/>
  <c r="ATK20" i="5"/>
  <c r="ATL20" i="5"/>
  <c r="ATM20" i="5"/>
  <c r="ATN20" i="5"/>
  <c r="ATO20" i="5"/>
  <c r="ATP20" i="5"/>
  <c r="ATQ20" i="5"/>
  <c r="ATR20" i="5"/>
  <c r="ATS20" i="5"/>
  <c r="ATT20" i="5"/>
  <c r="ATU20" i="5"/>
  <c r="ATV20" i="5"/>
  <c r="ATW20" i="5"/>
  <c r="ATX20" i="5"/>
  <c r="ATY20" i="5"/>
  <c r="ATZ20" i="5"/>
  <c r="AUA20" i="5"/>
  <c r="AUB20" i="5"/>
  <c r="AUC20" i="5"/>
  <c r="AUD20" i="5"/>
  <c r="AUE20" i="5"/>
  <c r="AUF20" i="5"/>
  <c r="AUG20" i="5"/>
  <c r="AUH20" i="5"/>
  <c r="AUI20" i="5"/>
  <c r="AUJ20" i="5"/>
  <c r="AUK20" i="5"/>
  <c r="AUL20" i="5"/>
  <c r="AUM20" i="5"/>
  <c r="AUN20" i="5"/>
  <c r="AUO20" i="5"/>
  <c r="AUP20" i="5"/>
  <c r="AUQ20" i="5"/>
  <c r="AUR20" i="5"/>
  <c r="AUS20" i="5"/>
  <c r="AUT20" i="5"/>
  <c r="AUU20" i="5"/>
  <c r="AUV20" i="5"/>
  <c r="AUW20" i="5"/>
  <c r="AUX20" i="5"/>
  <c r="AUY20" i="5"/>
  <c r="AUZ20" i="5"/>
  <c r="AVA20" i="5"/>
  <c r="AVB20" i="5"/>
  <c r="AVC20" i="5"/>
  <c r="AVD20" i="5"/>
  <c r="AVE20" i="5"/>
  <c r="AVF20" i="5"/>
  <c r="AVG20" i="5"/>
  <c r="AVH20" i="5"/>
  <c r="AVI20" i="5"/>
  <c r="AVJ20" i="5"/>
  <c r="AVK20" i="5"/>
  <c r="AVL20" i="5"/>
  <c r="AVM20" i="5"/>
  <c r="AVN20" i="5"/>
  <c r="AVO20" i="5"/>
  <c r="AVP20" i="5"/>
  <c r="AVQ20" i="5"/>
  <c r="AVR20" i="5"/>
  <c r="AVS20" i="5"/>
  <c r="AVT20" i="5"/>
  <c r="AVU20" i="5"/>
  <c r="AVV20" i="5"/>
  <c r="AVW20" i="5"/>
  <c r="AVX20" i="5"/>
  <c r="AVY20" i="5"/>
  <c r="AVZ20" i="5"/>
  <c r="AWA20" i="5"/>
  <c r="AWB20" i="5"/>
  <c r="AWC20" i="5"/>
  <c r="AWD20" i="5"/>
  <c r="AWE20" i="5"/>
  <c r="AWF20" i="5"/>
  <c r="AWG20" i="5"/>
  <c r="AWH20" i="5"/>
  <c r="AWI20" i="5"/>
  <c r="AWJ20" i="5"/>
  <c r="AWK20" i="5"/>
  <c r="AWL20" i="5"/>
  <c r="AWM20" i="5"/>
  <c r="AWN20" i="5"/>
  <c r="AWO20" i="5"/>
  <c r="AWP20" i="5"/>
  <c r="AWQ20" i="5"/>
  <c r="AWR20" i="5"/>
  <c r="AWS20" i="5"/>
  <c r="AWT20" i="5"/>
  <c r="AWU20" i="5"/>
  <c r="AWV20" i="5"/>
  <c r="AWW20" i="5"/>
  <c r="AWX20" i="5"/>
  <c r="AWY20" i="5"/>
  <c r="AWZ20" i="5"/>
  <c r="AXA20" i="5"/>
  <c r="AXB20" i="5"/>
  <c r="AXC20" i="5"/>
  <c r="AXD20" i="5"/>
  <c r="AXE20" i="5"/>
  <c r="AXF20" i="5"/>
  <c r="AXG20" i="5"/>
  <c r="AXH20" i="5"/>
  <c r="AXI20" i="5"/>
  <c r="AXJ20" i="5"/>
  <c r="AXK20" i="5"/>
  <c r="AXL20" i="5"/>
  <c r="AXM20" i="5"/>
  <c r="AXN20" i="5"/>
  <c r="AXO20" i="5"/>
  <c r="AXP20" i="5"/>
  <c r="AXQ20" i="5"/>
  <c r="AXR20" i="5"/>
  <c r="AXS20" i="5"/>
  <c r="AXT20" i="5"/>
  <c r="AXU20" i="5"/>
  <c r="AXV20" i="5"/>
  <c r="AXW20" i="5"/>
  <c r="AXX20" i="5"/>
  <c r="AXY20" i="5"/>
  <c r="AXZ20" i="5"/>
  <c r="AYA20" i="5"/>
  <c r="AYB20" i="5"/>
  <c r="AYC20" i="5"/>
  <c r="AYD20" i="5"/>
  <c r="AYE20" i="5"/>
  <c r="AYF20" i="5"/>
  <c r="AYG20" i="5"/>
  <c r="AYH20" i="5"/>
  <c r="AYI20" i="5"/>
  <c r="AYJ20" i="5"/>
  <c r="AYK20" i="5"/>
  <c r="AYL20" i="5"/>
  <c r="AYM20" i="5"/>
  <c r="AYN20" i="5"/>
  <c r="AYO20" i="5"/>
  <c r="AYP20" i="5"/>
  <c r="AYQ20" i="5"/>
  <c r="AYR20" i="5"/>
  <c r="AYS20" i="5"/>
  <c r="AYT20" i="5"/>
  <c r="AYU20" i="5"/>
  <c r="AYV20" i="5"/>
  <c r="AYW20" i="5"/>
  <c r="AYX20" i="5"/>
  <c r="AYY20" i="5"/>
  <c r="AYZ20" i="5"/>
  <c r="AZA20" i="5"/>
  <c r="AZB20" i="5"/>
  <c r="AZC20" i="5"/>
  <c r="AZD20" i="5"/>
  <c r="AZE20" i="5"/>
  <c r="AZF20" i="5"/>
  <c r="AZG20" i="5"/>
  <c r="AZH20" i="5"/>
  <c r="AZI20" i="5"/>
  <c r="AZJ20" i="5"/>
  <c r="AZK20" i="5"/>
  <c r="AZL20" i="5"/>
  <c r="AZM20" i="5"/>
  <c r="AZN20" i="5"/>
  <c r="AZO20" i="5"/>
  <c r="AZP20" i="5"/>
  <c r="AZQ20" i="5"/>
  <c r="AZR20" i="5"/>
  <c r="AZS20" i="5"/>
  <c r="AZT20" i="5"/>
  <c r="AZU20" i="5"/>
  <c r="AZV20" i="5"/>
  <c r="AZW20" i="5"/>
  <c r="AZX20" i="5"/>
  <c r="AZY20" i="5"/>
  <c r="AZZ20" i="5"/>
  <c r="BAA20" i="5"/>
  <c r="BAB20" i="5"/>
  <c r="BAC20" i="5"/>
  <c r="BAD20" i="5"/>
  <c r="BAE20" i="5"/>
  <c r="BAF20" i="5"/>
  <c r="BAG20" i="5"/>
  <c r="BAH20" i="5"/>
  <c r="BAI20" i="5"/>
  <c r="BAJ20" i="5"/>
  <c r="BAK20" i="5"/>
  <c r="BAL20" i="5"/>
  <c r="BAM20" i="5"/>
  <c r="BAN20" i="5"/>
  <c r="BAO20" i="5"/>
  <c r="BAP20" i="5"/>
  <c r="BAQ20" i="5"/>
  <c r="BAR20" i="5"/>
  <c r="BAS20" i="5"/>
  <c r="BAT20" i="5"/>
  <c r="BAU20" i="5"/>
  <c r="BAV20" i="5"/>
  <c r="BAW20" i="5"/>
  <c r="BAX20" i="5"/>
  <c r="BAY20" i="5"/>
  <c r="BAZ20" i="5"/>
  <c r="BBA20" i="5"/>
  <c r="BBB20" i="5"/>
  <c r="BBC20" i="5"/>
  <c r="BBD20" i="5"/>
  <c r="BBE20" i="5"/>
  <c r="BBF20" i="5"/>
  <c r="BBG20" i="5"/>
  <c r="BBH20" i="5"/>
  <c r="BBI20" i="5"/>
  <c r="BBJ20" i="5"/>
  <c r="BBK20" i="5"/>
  <c r="BBL20" i="5"/>
  <c r="BBM20" i="5"/>
  <c r="BBN20" i="5"/>
  <c r="BBO20" i="5"/>
  <c r="BBP20" i="5"/>
  <c r="BBQ20" i="5"/>
  <c r="BBR20" i="5"/>
  <c r="BBS20" i="5"/>
  <c r="BBT20" i="5"/>
  <c r="BBU20" i="5"/>
  <c r="BBV20" i="5"/>
  <c r="BBW20" i="5"/>
  <c r="BBX20" i="5"/>
  <c r="BBY20" i="5"/>
  <c r="BBZ20" i="5"/>
  <c r="BCA20" i="5"/>
  <c r="BCB20" i="5"/>
  <c r="BCC20" i="5"/>
  <c r="BCD20" i="5"/>
  <c r="BCE20" i="5"/>
  <c r="BCF20" i="5"/>
  <c r="BCG20" i="5"/>
  <c r="BCH20" i="5"/>
  <c r="BCI20" i="5"/>
  <c r="BCJ20" i="5"/>
  <c r="BCK20" i="5"/>
  <c r="BCL20" i="5"/>
  <c r="BCM20" i="5"/>
  <c r="BCN20" i="5"/>
  <c r="BCO20" i="5"/>
  <c r="BCP20" i="5"/>
  <c r="BCQ20" i="5"/>
  <c r="BCR20" i="5"/>
  <c r="BCS20" i="5"/>
  <c r="BCT20" i="5"/>
  <c r="BCU20" i="5"/>
  <c r="BCV20" i="5"/>
  <c r="BCW20" i="5"/>
  <c r="BCX20" i="5"/>
  <c r="BCY20" i="5"/>
  <c r="BCZ20" i="5"/>
  <c r="BDA20" i="5"/>
  <c r="BDB20" i="5"/>
  <c r="BDC20" i="5"/>
  <c r="BDD20" i="5"/>
  <c r="BDE20" i="5"/>
  <c r="BDF20" i="5"/>
  <c r="BDG20" i="5"/>
  <c r="BDH20" i="5"/>
  <c r="BDI20" i="5"/>
  <c r="BDJ20" i="5"/>
  <c r="BDK20" i="5"/>
  <c r="BDL20" i="5"/>
  <c r="BDM20" i="5"/>
  <c r="BDN20" i="5"/>
  <c r="BDO20" i="5"/>
  <c r="BDP20" i="5"/>
  <c r="BDQ20" i="5"/>
  <c r="BDR20" i="5"/>
  <c r="BDS20" i="5"/>
  <c r="BDT20" i="5"/>
  <c r="BDU20" i="5"/>
  <c r="BDV20" i="5"/>
  <c r="BDW20" i="5"/>
  <c r="BDX20" i="5"/>
  <c r="BDY20" i="5"/>
  <c r="BDZ20" i="5"/>
  <c r="BEA20" i="5"/>
  <c r="BEB20" i="5"/>
  <c r="BEC20" i="5"/>
  <c r="BED20" i="5"/>
  <c r="BEE20" i="5"/>
  <c r="BEF20" i="5"/>
  <c r="BEG20" i="5"/>
  <c r="BEH20" i="5"/>
  <c r="BEI20" i="5"/>
  <c r="BEJ20" i="5"/>
  <c r="BEK20" i="5"/>
  <c r="BEL20" i="5"/>
  <c r="BEM20" i="5"/>
  <c r="BEN20" i="5"/>
  <c r="BEO20" i="5"/>
  <c r="BEP20" i="5"/>
  <c r="BEQ20" i="5"/>
  <c r="BER20" i="5"/>
  <c r="BES20" i="5"/>
  <c r="BET20" i="5"/>
  <c r="BEU20" i="5"/>
  <c r="BEV20" i="5"/>
  <c r="BEW20" i="5"/>
  <c r="BEX20" i="5"/>
  <c r="BEY20" i="5"/>
  <c r="BEZ20" i="5"/>
  <c r="BFA20" i="5"/>
  <c r="BFB20" i="5"/>
  <c r="BFC20" i="5"/>
  <c r="BFD20" i="5"/>
  <c r="BFE20" i="5"/>
  <c r="BFF20" i="5"/>
  <c r="BFG20" i="5"/>
  <c r="BFH20" i="5"/>
  <c r="BFI20" i="5"/>
  <c r="BFJ20" i="5"/>
  <c r="BFK20" i="5"/>
  <c r="BFL20" i="5"/>
  <c r="BFM20" i="5"/>
  <c r="BFN20" i="5"/>
  <c r="BFO20" i="5"/>
  <c r="BFP20" i="5"/>
  <c r="BFQ20" i="5"/>
  <c r="BFR20" i="5"/>
  <c r="BFS20" i="5"/>
  <c r="BFT20" i="5"/>
  <c r="BFU20" i="5"/>
  <c r="BFV20" i="5"/>
  <c r="BFW20" i="5"/>
  <c r="BFX20" i="5"/>
  <c r="BFY20" i="5"/>
  <c r="BFZ20" i="5"/>
  <c r="BGA20" i="5"/>
  <c r="BGB20" i="5"/>
  <c r="BGC20" i="5"/>
  <c r="BGD20" i="5"/>
  <c r="BGE20" i="5"/>
  <c r="BGF20" i="5"/>
  <c r="BGG20" i="5"/>
  <c r="BGH20" i="5"/>
  <c r="BGI20" i="5"/>
  <c r="BGJ20" i="5"/>
  <c r="BGK20" i="5"/>
  <c r="BGL20" i="5"/>
  <c r="BGM20" i="5"/>
  <c r="BGN20" i="5"/>
  <c r="BGO20" i="5"/>
  <c r="BGP20" i="5"/>
  <c r="BGQ20" i="5"/>
  <c r="BGR20" i="5"/>
  <c r="BGS20" i="5"/>
  <c r="BGT20" i="5"/>
  <c r="BGU20" i="5"/>
  <c r="BGV20" i="5"/>
  <c r="BGW20" i="5"/>
  <c r="BGX20" i="5"/>
  <c r="BGY20" i="5"/>
  <c r="BGZ20" i="5"/>
  <c r="BHA20" i="5"/>
  <c r="BHB20" i="5"/>
  <c r="BHC20" i="5"/>
  <c r="BHD20" i="5"/>
  <c r="BHE20" i="5"/>
  <c r="BHF20" i="5"/>
  <c r="BHG20" i="5"/>
  <c r="BHH20" i="5"/>
  <c r="BHI20" i="5"/>
  <c r="BHJ20" i="5"/>
  <c r="BHK20" i="5"/>
  <c r="BHL20" i="5"/>
  <c r="BHM20" i="5"/>
  <c r="BHN20" i="5"/>
  <c r="BHO20" i="5"/>
  <c r="BHP20" i="5"/>
  <c r="BHQ20" i="5"/>
  <c r="BHR20" i="5"/>
  <c r="BHS20" i="5"/>
  <c r="BHT20" i="5"/>
  <c r="BHU20" i="5"/>
  <c r="BHV20" i="5"/>
  <c r="BHW20" i="5"/>
  <c r="BHX20" i="5"/>
  <c r="BHY20" i="5"/>
  <c r="BHZ20" i="5"/>
  <c r="BIA20" i="5"/>
  <c r="BIB20" i="5"/>
  <c r="BIC20" i="5"/>
  <c r="BID20" i="5"/>
  <c r="BIE20" i="5"/>
  <c r="BIF20" i="5"/>
  <c r="BIG20" i="5"/>
  <c r="BIH20" i="5"/>
  <c r="BII20" i="5"/>
  <c r="BIJ20" i="5"/>
  <c r="BIK20" i="5"/>
  <c r="BIL20" i="5"/>
  <c r="BIM20" i="5"/>
  <c r="BIN20" i="5"/>
  <c r="BIO20" i="5"/>
  <c r="BIP20" i="5"/>
  <c r="BIQ20" i="5"/>
  <c r="BIR20" i="5"/>
  <c r="BIS20" i="5"/>
  <c r="BIT20" i="5"/>
  <c r="BIU20" i="5"/>
  <c r="BIV20" i="5"/>
  <c r="BIW20" i="5"/>
  <c r="BIX20" i="5"/>
  <c r="BIY20" i="5"/>
  <c r="BIZ20" i="5"/>
  <c r="BJA20" i="5"/>
  <c r="BJB20" i="5"/>
  <c r="BJC20" i="5"/>
  <c r="BJD20" i="5"/>
  <c r="BJE20" i="5"/>
  <c r="BJF20" i="5"/>
  <c r="BJG20" i="5"/>
  <c r="BJH20" i="5"/>
  <c r="BJI20" i="5"/>
  <c r="BJJ20" i="5"/>
  <c r="BJK20" i="5"/>
  <c r="BJL20" i="5"/>
  <c r="BJM20" i="5"/>
  <c r="BJN20" i="5"/>
  <c r="BJO20" i="5"/>
  <c r="BJP20" i="5"/>
  <c r="BJQ20" i="5"/>
  <c r="BJR20" i="5"/>
  <c r="BJS20" i="5"/>
  <c r="BJT20" i="5"/>
  <c r="BJU20" i="5"/>
  <c r="BJV20" i="5"/>
  <c r="BJW20" i="5"/>
  <c r="BJX20" i="5"/>
  <c r="BJY20" i="5"/>
  <c r="BJZ20" i="5"/>
  <c r="BKA20" i="5"/>
  <c r="BKB20" i="5"/>
  <c r="BKC20" i="5"/>
  <c r="BKD20" i="5"/>
  <c r="BKE20" i="5"/>
  <c r="BKF20" i="5"/>
  <c r="BKG20" i="5"/>
  <c r="BKH20" i="5"/>
  <c r="BKI20" i="5"/>
  <c r="BKJ20" i="5"/>
  <c r="BKK20" i="5"/>
  <c r="BKL20" i="5"/>
  <c r="BKM20" i="5"/>
  <c r="BKN20" i="5"/>
  <c r="BKO20" i="5"/>
  <c r="BKP20" i="5"/>
  <c r="BKQ20" i="5"/>
  <c r="BKR20" i="5"/>
  <c r="BKS20" i="5"/>
  <c r="BKT20" i="5"/>
  <c r="BKU20" i="5"/>
  <c r="BKV20" i="5"/>
  <c r="BKW20" i="5"/>
  <c r="BKX20" i="5"/>
  <c r="BKY20" i="5"/>
  <c r="BKZ20" i="5"/>
  <c r="BLA20" i="5"/>
  <c r="BLB20" i="5"/>
  <c r="BLC20" i="5"/>
  <c r="BLD20" i="5"/>
  <c r="BLE20" i="5"/>
  <c r="BLF20" i="5"/>
  <c r="BLG20" i="5"/>
  <c r="BLH20" i="5"/>
  <c r="BLI20" i="5"/>
  <c r="BLJ20" i="5"/>
  <c r="BLK20" i="5"/>
  <c r="BLL20" i="5"/>
  <c r="BLM20" i="5"/>
  <c r="BLN20" i="5"/>
  <c r="BLO20" i="5"/>
  <c r="BLP20" i="5"/>
  <c r="BLQ20" i="5"/>
  <c r="BLR20" i="5"/>
  <c r="BLS20" i="5"/>
  <c r="BLT20" i="5"/>
  <c r="BLU20" i="5"/>
  <c r="BLV20" i="5"/>
  <c r="BLW20" i="5"/>
  <c r="BLX20" i="5"/>
  <c r="BLY20" i="5"/>
  <c r="BLZ20" i="5"/>
  <c r="BMA20" i="5"/>
  <c r="BMB20" i="5"/>
  <c r="BMC20" i="5"/>
  <c r="BMD20" i="5"/>
  <c r="BME20" i="5"/>
  <c r="BMF20" i="5"/>
  <c r="BMG20" i="5"/>
  <c r="BMH20" i="5"/>
  <c r="BMI20" i="5"/>
  <c r="BMJ20" i="5"/>
  <c r="BMK20" i="5"/>
  <c r="BML20" i="5"/>
  <c r="BMM20" i="5"/>
  <c r="BMN20" i="5"/>
  <c r="BMO20" i="5"/>
  <c r="BMP20" i="5"/>
  <c r="BMQ20" i="5"/>
  <c r="BMR20" i="5"/>
  <c r="BMS20" i="5"/>
  <c r="BMT20" i="5"/>
  <c r="BMU20" i="5"/>
  <c r="BMV20" i="5"/>
  <c r="BMW20" i="5"/>
  <c r="BMX20" i="5"/>
  <c r="BMY20" i="5"/>
  <c r="BMZ20" i="5"/>
  <c r="BNA20" i="5"/>
  <c r="BNB20" i="5"/>
  <c r="BNC20" i="5"/>
  <c r="BND20" i="5"/>
  <c r="BNE20" i="5"/>
  <c r="BNF20" i="5"/>
  <c r="BNG20" i="5"/>
  <c r="BNH20" i="5"/>
  <c r="BNI20" i="5"/>
  <c r="BNJ20" i="5"/>
  <c r="BNK20" i="5"/>
  <c r="BNL20" i="5"/>
  <c r="BNM20" i="5"/>
  <c r="BNN20" i="5"/>
  <c r="BNO20" i="5"/>
  <c r="BNP20" i="5"/>
  <c r="BNQ20" i="5"/>
  <c r="BNR20" i="5"/>
  <c r="BNS20" i="5"/>
  <c r="BNT20" i="5"/>
  <c r="BNU20" i="5"/>
  <c r="BNV20" i="5"/>
  <c r="BNW20" i="5"/>
  <c r="BNX20" i="5"/>
  <c r="BNY20" i="5"/>
  <c r="BNZ20" i="5"/>
  <c r="BOA20" i="5"/>
  <c r="BOB20" i="5"/>
  <c r="BOC20" i="5"/>
  <c r="BOD20" i="5"/>
  <c r="BOE20" i="5"/>
  <c r="BOF20" i="5"/>
  <c r="BOG20" i="5"/>
  <c r="BOH20" i="5"/>
  <c r="BOI20" i="5"/>
  <c r="BOJ20" i="5"/>
  <c r="BOK20" i="5"/>
  <c r="BOL20" i="5"/>
  <c r="BOM20" i="5"/>
  <c r="BON20" i="5"/>
  <c r="BOO20" i="5"/>
  <c r="BOP20" i="5"/>
  <c r="BOQ20" i="5"/>
  <c r="BOR20" i="5"/>
  <c r="BOS20" i="5"/>
  <c r="BOT20" i="5"/>
  <c r="BOU20" i="5"/>
  <c r="BOV20" i="5"/>
  <c r="BOW20" i="5"/>
  <c r="BOX20" i="5"/>
  <c r="BOY20" i="5"/>
  <c r="BOZ20" i="5"/>
  <c r="BPA20" i="5"/>
  <c r="BPB20" i="5"/>
  <c r="BPC20" i="5"/>
  <c r="BPD20" i="5"/>
  <c r="BPE20" i="5"/>
  <c r="BPF20" i="5"/>
  <c r="BPG20" i="5"/>
  <c r="BPH20" i="5"/>
  <c r="BPI20" i="5"/>
  <c r="BPJ20" i="5"/>
  <c r="BPK20" i="5"/>
  <c r="BPL20" i="5"/>
  <c r="BPM20" i="5"/>
  <c r="BPN20" i="5"/>
  <c r="BPO20" i="5"/>
  <c r="BPP20" i="5"/>
  <c r="BPQ20" i="5"/>
  <c r="BPR20" i="5"/>
  <c r="BPS20" i="5"/>
  <c r="BPT20" i="5"/>
  <c r="BPU20" i="5"/>
  <c r="BPV20" i="5"/>
  <c r="BPW20" i="5"/>
  <c r="BPX20" i="5"/>
  <c r="BPY20" i="5"/>
  <c r="BPZ20" i="5"/>
  <c r="BQA20" i="5"/>
  <c r="BQB20" i="5"/>
  <c r="BQC20" i="5"/>
  <c r="BQD20" i="5"/>
  <c r="BQE20" i="5"/>
  <c r="BQF20" i="5"/>
  <c r="BQG20" i="5"/>
  <c r="BQH20" i="5"/>
  <c r="BQI20" i="5"/>
  <c r="BQJ20" i="5"/>
  <c r="BQK20" i="5"/>
  <c r="BQL20" i="5"/>
  <c r="BQM20" i="5"/>
  <c r="BQN20" i="5"/>
  <c r="BQO20" i="5"/>
  <c r="BQP20" i="5"/>
  <c r="BQQ20" i="5"/>
  <c r="BQR20" i="5"/>
  <c r="BQS20" i="5"/>
  <c r="BQT20" i="5"/>
  <c r="BQU20" i="5"/>
  <c r="BQV20" i="5"/>
  <c r="BQW20" i="5"/>
  <c r="BQX20" i="5"/>
  <c r="BQY20" i="5"/>
  <c r="BQZ20" i="5"/>
  <c r="BRA20" i="5"/>
  <c r="BRB20" i="5"/>
  <c r="BRC20" i="5"/>
  <c r="BRD20" i="5"/>
  <c r="BRE20" i="5"/>
  <c r="BRF20" i="5"/>
  <c r="BRG20" i="5"/>
  <c r="BRH20" i="5"/>
  <c r="BRI20" i="5"/>
  <c r="BRJ20" i="5"/>
  <c r="BRK20" i="5"/>
  <c r="BRL20" i="5"/>
  <c r="BRM20" i="5"/>
  <c r="BRN20" i="5"/>
  <c r="BRO20" i="5"/>
  <c r="BRP20" i="5"/>
  <c r="BRQ20" i="5"/>
  <c r="BRR20" i="5"/>
  <c r="BRS20" i="5"/>
  <c r="BRT20" i="5"/>
  <c r="BRU20" i="5"/>
  <c r="BRV20" i="5"/>
  <c r="BRW20" i="5"/>
  <c r="BRX20" i="5"/>
  <c r="BRY20" i="5"/>
  <c r="BRZ20" i="5"/>
  <c r="BSA20" i="5"/>
  <c r="BSB20" i="5"/>
  <c r="BSC20" i="5"/>
  <c r="BSD20" i="5"/>
  <c r="BSE20" i="5"/>
  <c r="BSF20" i="5"/>
  <c r="BSG20" i="5"/>
  <c r="BSH20" i="5"/>
  <c r="BSI20" i="5"/>
  <c r="BSJ20" i="5"/>
  <c r="BSK20" i="5"/>
  <c r="BSL20" i="5"/>
  <c r="BSM20" i="5"/>
  <c r="BSN20" i="5"/>
  <c r="BSO20" i="5"/>
  <c r="BSP20" i="5"/>
  <c r="BSQ20" i="5"/>
  <c r="BSR20" i="5"/>
  <c r="BSS20" i="5"/>
  <c r="BST20" i="5"/>
  <c r="BSU20" i="5"/>
  <c r="BSV20" i="5"/>
  <c r="BSW20" i="5"/>
  <c r="BSX20" i="5"/>
  <c r="BSY20" i="5"/>
  <c r="BSZ20" i="5"/>
  <c r="BTA20" i="5"/>
  <c r="BTB20" i="5"/>
  <c r="BTC20" i="5"/>
  <c r="BTD20" i="5"/>
  <c r="BTE20" i="5"/>
  <c r="BTF20" i="5"/>
  <c r="BTG20" i="5"/>
  <c r="BTH20" i="5"/>
  <c r="BTI20" i="5"/>
  <c r="BTJ20" i="5"/>
  <c r="BTK20" i="5"/>
  <c r="BTL20" i="5"/>
  <c r="BTM20" i="5"/>
  <c r="BTN20" i="5"/>
  <c r="BTO20" i="5"/>
  <c r="BTP20" i="5"/>
  <c r="BTQ20" i="5"/>
  <c r="BTR20" i="5"/>
  <c r="BTS20" i="5"/>
  <c r="BTT20" i="5"/>
  <c r="BTU20" i="5"/>
  <c r="BTV20" i="5"/>
  <c r="BTW20" i="5"/>
  <c r="BTX20" i="5"/>
  <c r="BTY20" i="5"/>
  <c r="BTZ20" i="5"/>
  <c r="BUA20" i="5"/>
  <c r="BUB20" i="5"/>
  <c r="BUC20" i="5"/>
  <c r="BUD20" i="5"/>
  <c r="BUE20" i="5"/>
  <c r="BUF20" i="5"/>
  <c r="BUG20" i="5"/>
  <c r="BUH20" i="5"/>
  <c r="BUI20" i="5"/>
  <c r="BUJ20" i="5"/>
  <c r="BUK20" i="5"/>
  <c r="BUL20" i="5"/>
  <c r="BUM20" i="5"/>
  <c r="BUN20" i="5"/>
  <c r="BUO20" i="5"/>
  <c r="BUP20" i="5"/>
  <c r="BUQ20" i="5"/>
  <c r="BUR20" i="5"/>
  <c r="BUS20" i="5"/>
  <c r="BUT20" i="5"/>
  <c r="BUU20" i="5"/>
  <c r="BUV20" i="5"/>
  <c r="BUW20" i="5"/>
  <c r="BUX20" i="5"/>
  <c r="BUY20" i="5"/>
  <c r="BUZ20" i="5"/>
  <c r="BVA20" i="5"/>
  <c r="BVB20" i="5"/>
  <c r="BVC20" i="5"/>
  <c r="BVD20" i="5"/>
  <c r="BVE20" i="5"/>
  <c r="BVF20" i="5"/>
  <c r="BVG20" i="5"/>
  <c r="BVH20" i="5"/>
  <c r="BVI20" i="5"/>
  <c r="BVJ20" i="5"/>
  <c r="BVK20" i="5"/>
  <c r="BVL20" i="5"/>
  <c r="BVM20" i="5"/>
  <c r="BVN20" i="5"/>
  <c r="BVO20" i="5"/>
  <c r="BVP20" i="5"/>
  <c r="BVQ20" i="5"/>
  <c r="BVR20" i="5"/>
  <c r="BVS20" i="5"/>
  <c r="BVT20" i="5"/>
  <c r="BVU20" i="5"/>
  <c r="BVV20" i="5"/>
  <c r="BVW20" i="5"/>
  <c r="BVX20" i="5"/>
  <c r="BVY20" i="5"/>
  <c r="BVZ20" i="5"/>
  <c r="BWA20" i="5"/>
  <c r="BWB20" i="5"/>
  <c r="BWC20" i="5"/>
  <c r="BWD20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ND21" i="5"/>
  <c r="NE21" i="5"/>
  <c r="NF21" i="5"/>
  <c r="NG21" i="5"/>
  <c r="NH21" i="5"/>
  <c r="NI21" i="5"/>
  <c r="NJ21" i="5"/>
  <c r="NK21" i="5"/>
  <c r="NL21" i="5"/>
  <c r="NM21" i="5"/>
  <c r="NN21" i="5"/>
  <c r="NO21" i="5"/>
  <c r="NP21" i="5"/>
  <c r="NQ21" i="5"/>
  <c r="NR21" i="5"/>
  <c r="NS21" i="5"/>
  <c r="NT21" i="5"/>
  <c r="NU21" i="5"/>
  <c r="NV21" i="5"/>
  <c r="NW21" i="5"/>
  <c r="NX21" i="5"/>
  <c r="NY21" i="5"/>
  <c r="NZ21" i="5"/>
  <c r="OA21" i="5"/>
  <c r="OB21" i="5"/>
  <c r="OC21" i="5"/>
  <c r="OD21" i="5"/>
  <c r="OE21" i="5"/>
  <c r="OF21" i="5"/>
  <c r="OG21" i="5"/>
  <c r="OH21" i="5"/>
  <c r="OI21" i="5"/>
  <c r="OJ21" i="5"/>
  <c r="OK21" i="5"/>
  <c r="OL21" i="5"/>
  <c r="OM21" i="5"/>
  <c r="ON21" i="5"/>
  <c r="OO21" i="5"/>
  <c r="OP21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PO21" i="5"/>
  <c r="PP21" i="5"/>
  <c r="PQ21" i="5"/>
  <c r="PR21" i="5"/>
  <c r="PS21" i="5"/>
  <c r="PT21" i="5"/>
  <c r="PU21" i="5"/>
  <c r="PV21" i="5"/>
  <c r="PW21" i="5"/>
  <c r="PX21" i="5"/>
  <c r="PY21" i="5"/>
  <c r="PZ21" i="5"/>
  <c r="QA21" i="5"/>
  <c r="QB21" i="5"/>
  <c r="QC21" i="5"/>
  <c r="QD21" i="5"/>
  <c r="QE21" i="5"/>
  <c r="QF21" i="5"/>
  <c r="QG21" i="5"/>
  <c r="QH21" i="5"/>
  <c r="QI21" i="5"/>
  <c r="QJ21" i="5"/>
  <c r="QK21" i="5"/>
  <c r="QL21" i="5"/>
  <c r="QM21" i="5"/>
  <c r="QN21" i="5"/>
  <c r="QO21" i="5"/>
  <c r="QP21" i="5"/>
  <c r="QQ21" i="5"/>
  <c r="QR21" i="5"/>
  <c r="QS21" i="5"/>
  <c r="QT21" i="5"/>
  <c r="QU21" i="5"/>
  <c r="QV21" i="5"/>
  <c r="QW21" i="5"/>
  <c r="QX21" i="5"/>
  <c r="QY21" i="5"/>
  <c r="QZ21" i="5"/>
  <c r="RA21" i="5"/>
  <c r="RB21" i="5"/>
  <c r="RC21" i="5"/>
  <c r="RD21" i="5"/>
  <c r="RE21" i="5"/>
  <c r="RF21" i="5"/>
  <c r="RG21" i="5"/>
  <c r="RH21" i="5"/>
  <c r="RI21" i="5"/>
  <c r="RJ21" i="5"/>
  <c r="RK21" i="5"/>
  <c r="RL21" i="5"/>
  <c r="RM21" i="5"/>
  <c r="RN21" i="5"/>
  <c r="RO21" i="5"/>
  <c r="RP21" i="5"/>
  <c r="RQ21" i="5"/>
  <c r="RR21" i="5"/>
  <c r="RS21" i="5"/>
  <c r="RT21" i="5"/>
  <c r="RU21" i="5"/>
  <c r="RV21" i="5"/>
  <c r="RW21" i="5"/>
  <c r="RX21" i="5"/>
  <c r="RY21" i="5"/>
  <c r="RZ21" i="5"/>
  <c r="SA21" i="5"/>
  <c r="SB21" i="5"/>
  <c r="SC21" i="5"/>
  <c r="SD21" i="5"/>
  <c r="SE21" i="5"/>
  <c r="SF21" i="5"/>
  <c r="SG21" i="5"/>
  <c r="SH21" i="5"/>
  <c r="SI21" i="5"/>
  <c r="SJ21" i="5"/>
  <c r="SK21" i="5"/>
  <c r="SL21" i="5"/>
  <c r="SM21" i="5"/>
  <c r="SN21" i="5"/>
  <c r="SO21" i="5"/>
  <c r="SP21" i="5"/>
  <c r="SQ21" i="5"/>
  <c r="SR21" i="5"/>
  <c r="SS21" i="5"/>
  <c r="ST21" i="5"/>
  <c r="SU21" i="5"/>
  <c r="SV21" i="5"/>
  <c r="SW21" i="5"/>
  <c r="SX21" i="5"/>
  <c r="SY21" i="5"/>
  <c r="SZ21" i="5"/>
  <c r="TA21" i="5"/>
  <c r="TB21" i="5"/>
  <c r="TC21" i="5"/>
  <c r="TD21" i="5"/>
  <c r="TE21" i="5"/>
  <c r="TF21" i="5"/>
  <c r="TG21" i="5"/>
  <c r="TH21" i="5"/>
  <c r="TI21" i="5"/>
  <c r="TJ21" i="5"/>
  <c r="TK21" i="5"/>
  <c r="TL21" i="5"/>
  <c r="TM21" i="5"/>
  <c r="TN21" i="5"/>
  <c r="TO21" i="5"/>
  <c r="TP21" i="5"/>
  <c r="TQ21" i="5"/>
  <c r="TR21" i="5"/>
  <c r="TS21" i="5"/>
  <c r="TT21" i="5"/>
  <c r="TU21" i="5"/>
  <c r="TV21" i="5"/>
  <c r="TW21" i="5"/>
  <c r="TX21" i="5"/>
  <c r="TY21" i="5"/>
  <c r="TZ21" i="5"/>
  <c r="UA21" i="5"/>
  <c r="UB21" i="5"/>
  <c r="UC21" i="5"/>
  <c r="UD21" i="5"/>
  <c r="UE21" i="5"/>
  <c r="UF21" i="5"/>
  <c r="UG21" i="5"/>
  <c r="UH21" i="5"/>
  <c r="UI21" i="5"/>
  <c r="UJ21" i="5"/>
  <c r="UK21" i="5"/>
  <c r="UL21" i="5"/>
  <c r="UM21" i="5"/>
  <c r="UN21" i="5"/>
  <c r="UO21" i="5"/>
  <c r="UP21" i="5"/>
  <c r="UQ21" i="5"/>
  <c r="UR21" i="5"/>
  <c r="US21" i="5"/>
  <c r="UT21" i="5"/>
  <c r="UU21" i="5"/>
  <c r="UV21" i="5"/>
  <c r="UW21" i="5"/>
  <c r="UX21" i="5"/>
  <c r="UY21" i="5"/>
  <c r="UZ21" i="5"/>
  <c r="VA21" i="5"/>
  <c r="VB21" i="5"/>
  <c r="VC21" i="5"/>
  <c r="VD21" i="5"/>
  <c r="VE21" i="5"/>
  <c r="VF21" i="5"/>
  <c r="VG21" i="5"/>
  <c r="VH21" i="5"/>
  <c r="VI21" i="5"/>
  <c r="VJ21" i="5"/>
  <c r="VK21" i="5"/>
  <c r="VL21" i="5"/>
  <c r="VM21" i="5"/>
  <c r="VN21" i="5"/>
  <c r="VO21" i="5"/>
  <c r="VP21" i="5"/>
  <c r="VQ21" i="5"/>
  <c r="VR21" i="5"/>
  <c r="VS21" i="5"/>
  <c r="VT21" i="5"/>
  <c r="VU21" i="5"/>
  <c r="VV21" i="5"/>
  <c r="VW21" i="5"/>
  <c r="VX21" i="5"/>
  <c r="VY21" i="5"/>
  <c r="VZ21" i="5"/>
  <c r="WA21" i="5"/>
  <c r="WB21" i="5"/>
  <c r="WC21" i="5"/>
  <c r="WD21" i="5"/>
  <c r="WE21" i="5"/>
  <c r="WF21" i="5"/>
  <c r="WG21" i="5"/>
  <c r="WH21" i="5"/>
  <c r="WI21" i="5"/>
  <c r="WJ21" i="5"/>
  <c r="WK21" i="5"/>
  <c r="WL21" i="5"/>
  <c r="WM21" i="5"/>
  <c r="WN21" i="5"/>
  <c r="WO21" i="5"/>
  <c r="WP21" i="5"/>
  <c r="WQ21" i="5"/>
  <c r="WR21" i="5"/>
  <c r="WS21" i="5"/>
  <c r="WT21" i="5"/>
  <c r="WU21" i="5"/>
  <c r="WV21" i="5"/>
  <c r="WW21" i="5"/>
  <c r="WX21" i="5"/>
  <c r="WY21" i="5"/>
  <c r="WZ21" i="5"/>
  <c r="XA21" i="5"/>
  <c r="XB21" i="5"/>
  <c r="XC21" i="5"/>
  <c r="XD21" i="5"/>
  <c r="XE21" i="5"/>
  <c r="XF21" i="5"/>
  <c r="XG21" i="5"/>
  <c r="XH21" i="5"/>
  <c r="XI21" i="5"/>
  <c r="XJ21" i="5"/>
  <c r="XK21" i="5"/>
  <c r="XL21" i="5"/>
  <c r="XM21" i="5"/>
  <c r="XN21" i="5"/>
  <c r="XO21" i="5"/>
  <c r="XP21" i="5"/>
  <c r="XQ21" i="5"/>
  <c r="XR21" i="5"/>
  <c r="XS21" i="5"/>
  <c r="XT21" i="5"/>
  <c r="XU21" i="5"/>
  <c r="XV21" i="5"/>
  <c r="XW21" i="5"/>
  <c r="XX21" i="5"/>
  <c r="XY21" i="5"/>
  <c r="XZ21" i="5"/>
  <c r="YA21" i="5"/>
  <c r="YB21" i="5"/>
  <c r="YC21" i="5"/>
  <c r="YD21" i="5"/>
  <c r="YE21" i="5"/>
  <c r="YF21" i="5"/>
  <c r="YG21" i="5"/>
  <c r="YH21" i="5"/>
  <c r="YI21" i="5"/>
  <c r="YJ21" i="5"/>
  <c r="YK21" i="5"/>
  <c r="YL21" i="5"/>
  <c r="YM21" i="5"/>
  <c r="YN21" i="5"/>
  <c r="YO21" i="5"/>
  <c r="YP21" i="5"/>
  <c r="YQ21" i="5"/>
  <c r="YR21" i="5"/>
  <c r="YS21" i="5"/>
  <c r="YT21" i="5"/>
  <c r="YU21" i="5"/>
  <c r="YV21" i="5"/>
  <c r="YW21" i="5"/>
  <c r="YX21" i="5"/>
  <c r="YY21" i="5"/>
  <c r="YZ21" i="5"/>
  <c r="ZA21" i="5"/>
  <c r="ZB21" i="5"/>
  <c r="ZC21" i="5"/>
  <c r="ZD21" i="5"/>
  <c r="ZE21" i="5"/>
  <c r="ZF21" i="5"/>
  <c r="ZG21" i="5"/>
  <c r="ZH21" i="5"/>
  <c r="ZI21" i="5"/>
  <c r="ZJ21" i="5"/>
  <c r="ZK21" i="5"/>
  <c r="ZL21" i="5"/>
  <c r="ZM21" i="5"/>
  <c r="ZN21" i="5"/>
  <c r="ZO21" i="5"/>
  <c r="ZP21" i="5"/>
  <c r="ZQ21" i="5"/>
  <c r="ZR21" i="5"/>
  <c r="ZS21" i="5"/>
  <c r="ZT21" i="5"/>
  <c r="ZU21" i="5"/>
  <c r="ZV21" i="5"/>
  <c r="ZW21" i="5"/>
  <c r="ZX21" i="5"/>
  <c r="ZY21" i="5"/>
  <c r="ZZ21" i="5"/>
  <c r="AAA21" i="5"/>
  <c r="AAB21" i="5"/>
  <c r="AAC21" i="5"/>
  <c r="AAD21" i="5"/>
  <c r="AAE21" i="5"/>
  <c r="AAF21" i="5"/>
  <c r="AAG21" i="5"/>
  <c r="AAH21" i="5"/>
  <c r="AAI21" i="5"/>
  <c r="AAJ21" i="5"/>
  <c r="AAK21" i="5"/>
  <c r="AAL21" i="5"/>
  <c r="AAM21" i="5"/>
  <c r="AAN21" i="5"/>
  <c r="AAO21" i="5"/>
  <c r="AAP21" i="5"/>
  <c r="AAQ21" i="5"/>
  <c r="AAR21" i="5"/>
  <c r="AAS21" i="5"/>
  <c r="AAT21" i="5"/>
  <c r="AAU21" i="5"/>
  <c r="AAV21" i="5"/>
  <c r="AAW21" i="5"/>
  <c r="AAX21" i="5"/>
  <c r="AAY21" i="5"/>
  <c r="AAZ21" i="5"/>
  <c r="ABA21" i="5"/>
  <c r="ABB21" i="5"/>
  <c r="ABC21" i="5"/>
  <c r="ABD21" i="5"/>
  <c r="ABE21" i="5"/>
  <c r="ABF21" i="5"/>
  <c r="ABG21" i="5"/>
  <c r="ABH21" i="5"/>
  <c r="ABI21" i="5"/>
  <c r="ABJ21" i="5"/>
  <c r="ABK21" i="5"/>
  <c r="ABL21" i="5"/>
  <c r="ABM21" i="5"/>
  <c r="ABN21" i="5"/>
  <c r="ABO21" i="5"/>
  <c r="ABP21" i="5"/>
  <c r="ABQ21" i="5"/>
  <c r="ABR21" i="5"/>
  <c r="ABS21" i="5"/>
  <c r="ABT21" i="5"/>
  <c r="ABU21" i="5"/>
  <c r="ABV21" i="5"/>
  <c r="ABW21" i="5"/>
  <c r="ABX21" i="5"/>
  <c r="ABY21" i="5"/>
  <c r="ABZ21" i="5"/>
  <c r="ACA21" i="5"/>
  <c r="ACB21" i="5"/>
  <c r="ACC21" i="5"/>
  <c r="ACD21" i="5"/>
  <c r="ACE21" i="5"/>
  <c r="ACF21" i="5"/>
  <c r="ACG21" i="5"/>
  <c r="ACH21" i="5"/>
  <c r="ACI21" i="5"/>
  <c r="ACJ21" i="5"/>
  <c r="ACK21" i="5"/>
  <c r="ACL21" i="5"/>
  <c r="ACM21" i="5"/>
  <c r="ACN21" i="5"/>
  <c r="ACO21" i="5"/>
  <c r="ACP21" i="5"/>
  <c r="ACQ21" i="5"/>
  <c r="ACR21" i="5"/>
  <c r="ACS21" i="5"/>
  <c r="ACT21" i="5"/>
  <c r="ACU21" i="5"/>
  <c r="ACV21" i="5"/>
  <c r="ACW21" i="5"/>
  <c r="ACX21" i="5"/>
  <c r="ACY21" i="5"/>
  <c r="ACZ21" i="5"/>
  <c r="ADA21" i="5"/>
  <c r="ADB21" i="5"/>
  <c r="ADC21" i="5"/>
  <c r="ADD21" i="5"/>
  <c r="ADE21" i="5"/>
  <c r="ADF21" i="5"/>
  <c r="ADG21" i="5"/>
  <c r="ADH21" i="5"/>
  <c r="ADI21" i="5"/>
  <c r="ADJ21" i="5"/>
  <c r="ADK21" i="5"/>
  <c r="ADL21" i="5"/>
  <c r="ADM21" i="5"/>
  <c r="ADN21" i="5"/>
  <c r="ADO21" i="5"/>
  <c r="ADP21" i="5"/>
  <c r="ADQ21" i="5"/>
  <c r="ADR21" i="5"/>
  <c r="ADS21" i="5"/>
  <c r="ADT21" i="5"/>
  <c r="ADU21" i="5"/>
  <c r="ADV21" i="5"/>
  <c r="ADW21" i="5"/>
  <c r="ADX21" i="5"/>
  <c r="ADY21" i="5"/>
  <c r="ADZ21" i="5"/>
  <c r="AEA21" i="5"/>
  <c r="AEB21" i="5"/>
  <c r="AEC21" i="5"/>
  <c r="AED21" i="5"/>
  <c r="AEE21" i="5"/>
  <c r="AEF21" i="5"/>
  <c r="AEG21" i="5"/>
  <c r="AEH21" i="5"/>
  <c r="AEI21" i="5"/>
  <c r="AEJ21" i="5"/>
  <c r="AEK21" i="5"/>
  <c r="AEL21" i="5"/>
  <c r="AEM21" i="5"/>
  <c r="AEN21" i="5"/>
  <c r="AEO21" i="5"/>
  <c r="AEP21" i="5"/>
  <c r="AEQ21" i="5"/>
  <c r="AER21" i="5"/>
  <c r="AES21" i="5"/>
  <c r="AET21" i="5"/>
  <c r="AEU21" i="5"/>
  <c r="AEV21" i="5"/>
  <c r="AEW21" i="5"/>
  <c r="AEX21" i="5"/>
  <c r="AEY21" i="5"/>
  <c r="AEZ21" i="5"/>
  <c r="AFA21" i="5"/>
  <c r="AFB21" i="5"/>
  <c r="AFC21" i="5"/>
  <c r="AFD21" i="5"/>
  <c r="AFE21" i="5"/>
  <c r="AFF21" i="5"/>
  <c r="AFG21" i="5"/>
  <c r="AFH21" i="5"/>
  <c r="AFI21" i="5"/>
  <c r="AFJ21" i="5"/>
  <c r="AFK21" i="5"/>
  <c r="AFL21" i="5"/>
  <c r="AFM21" i="5"/>
  <c r="AFN21" i="5"/>
  <c r="AFO21" i="5"/>
  <c r="AFP21" i="5"/>
  <c r="AFQ21" i="5"/>
  <c r="AFR21" i="5"/>
  <c r="AFS21" i="5"/>
  <c r="AFT21" i="5"/>
  <c r="AFU21" i="5"/>
  <c r="AFV21" i="5"/>
  <c r="AFW21" i="5"/>
  <c r="AFX21" i="5"/>
  <c r="AFY21" i="5"/>
  <c r="AFZ21" i="5"/>
  <c r="AGA21" i="5"/>
  <c r="AGB21" i="5"/>
  <c r="AGC21" i="5"/>
  <c r="AGD21" i="5"/>
  <c r="AGE21" i="5"/>
  <c r="AGF21" i="5"/>
  <c r="AGG21" i="5"/>
  <c r="AGH21" i="5"/>
  <c r="AGI21" i="5"/>
  <c r="AGJ21" i="5"/>
  <c r="AGK21" i="5"/>
  <c r="AGL21" i="5"/>
  <c r="AGM21" i="5"/>
  <c r="AGN21" i="5"/>
  <c r="AGO21" i="5"/>
  <c r="AGP21" i="5"/>
  <c r="AGQ21" i="5"/>
  <c r="AGR21" i="5"/>
  <c r="AGS21" i="5"/>
  <c r="AGT21" i="5"/>
  <c r="AGU21" i="5"/>
  <c r="AGV21" i="5"/>
  <c r="AGW21" i="5"/>
  <c r="AGX21" i="5"/>
  <c r="AGY21" i="5"/>
  <c r="AGZ21" i="5"/>
  <c r="AHA21" i="5"/>
  <c r="AHB21" i="5"/>
  <c r="AHC21" i="5"/>
  <c r="AHD21" i="5"/>
  <c r="AHE21" i="5"/>
  <c r="AHF21" i="5"/>
  <c r="AHG21" i="5"/>
  <c r="AHH21" i="5"/>
  <c r="AHI21" i="5"/>
  <c r="AHJ21" i="5"/>
  <c r="AHK21" i="5"/>
  <c r="AHL21" i="5"/>
  <c r="AHM21" i="5"/>
  <c r="AHN21" i="5"/>
  <c r="AHO21" i="5"/>
  <c r="AHP21" i="5"/>
  <c r="AHQ21" i="5"/>
  <c r="AHR21" i="5"/>
  <c r="AHS21" i="5"/>
  <c r="AHT21" i="5"/>
  <c r="AHU21" i="5"/>
  <c r="AHV21" i="5"/>
  <c r="AHW21" i="5"/>
  <c r="AHX21" i="5"/>
  <c r="AHY21" i="5"/>
  <c r="AHZ21" i="5"/>
  <c r="AIA21" i="5"/>
  <c r="AIB21" i="5"/>
  <c r="AIC21" i="5"/>
  <c r="AID21" i="5"/>
  <c r="AIE21" i="5"/>
  <c r="AIF21" i="5"/>
  <c r="AIG21" i="5"/>
  <c r="AIH21" i="5"/>
  <c r="AII21" i="5"/>
  <c r="AIJ21" i="5"/>
  <c r="AIK21" i="5"/>
  <c r="AIL21" i="5"/>
  <c r="AIM21" i="5"/>
  <c r="AIN21" i="5"/>
  <c r="AIO21" i="5"/>
  <c r="AIP21" i="5"/>
  <c r="AIQ21" i="5"/>
  <c r="AIR21" i="5"/>
  <c r="AIS21" i="5"/>
  <c r="AIT21" i="5"/>
  <c r="AIU21" i="5"/>
  <c r="AIV21" i="5"/>
  <c r="AIW21" i="5"/>
  <c r="AIX21" i="5"/>
  <c r="AIY21" i="5"/>
  <c r="AIZ21" i="5"/>
  <c r="AJA21" i="5"/>
  <c r="AJB21" i="5"/>
  <c r="AJC21" i="5"/>
  <c r="AJD21" i="5"/>
  <c r="AJE21" i="5"/>
  <c r="AJF21" i="5"/>
  <c r="AJG21" i="5"/>
  <c r="AJH21" i="5"/>
  <c r="AJI21" i="5"/>
  <c r="AJJ21" i="5"/>
  <c r="AJK21" i="5"/>
  <c r="AJL21" i="5"/>
  <c r="AJM21" i="5"/>
  <c r="AJN21" i="5"/>
  <c r="AJO21" i="5"/>
  <c r="AJP21" i="5"/>
  <c r="AJQ21" i="5"/>
  <c r="AJR21" i="5"/>
  <c r="AJS21" i="5"/>
  <c r="AJT21" i="5"/>
  <c r="AJU21" i="5"/>
  <c r="AJV21" i="5"/>
  <c r="AJW21" i="5"/>
  <c r="AJX21" i="5"/>
  <c r="AJY21" i="5"/>
  <c r="AJZ21" i="5"/>
  <c r="AKA21" i="5"/>
  <c r="AKB21" i="5"/>
  <c r="AKC21" i="5"/>
  <c r="AKD21" i="5"/>
  <c r="AKE21" i="5"/>
  <c r="AKF21" i="5"/>
  <c r="AKG21" i="5"/>
  <c r="AKH21" i="5"/>
  <c r="AKI21" i="5"/>
  <c r="AKJ21" i="5"/>
  <c r="AKK21" i="5"/>
  <c r="AKL21" i="5"/>
  <c r="AKM21" i="5"/>
  <c r="AKN21" i="5"/>
  <c r="AKO21" i="5"/>
  <c r="AKP21" i="5"/>
  <c r="AKQ21" i="5"/>
  <c r="AKR21" i="5"/>
  <c r="AKS21" i="5"/>
  <c r="AKT21" i="5"/>
  <c r="AKU21" i="5"/>
  <c r="AKV21" i="5"/>
  <c r="AKW21" i="5"/>
  <c r="AKX21" i="5"/>
  <c r="AKY21" i="5"/>
  <c r="AKZ21" i="5"/>
  <c r="ALA21" i="5"/>
  <c r="ALB21" i="5"/>
  <c r="ALC21" i="5"/>
  <c r="ALD21" i="5"/>
  <c r="ALE21" i="5"/>
  <c r="ALF21" i="5"/>
  <c r="ALG21" i="5"/>
  <c r="ALH21" i="5"/>
  <c r="ALI21" i="5"/>
  <c r="ALJ21" i="5"/>
  <c r="ALK21" i="5"/>
  <c r="ALL21" i="5"/>
  <c r="ALM21" i="5"/>
  <c r="ALN21" i="5"/>
  <c r="ALO21" i="5"/>
  <c r="ALP21" i="5"/>
  <c r="ALQ21" i="5"/>
  <c r="ALR21" i="5"/>
  <c r="ALS21" i="5"/>
  <c r="ALT21" i="5"/>
  <c r="ALU21" i="5"/>
  <c r="ALV21" i="5"/>
  <c r="ALW21" i="5"/>
  <c r="ALX21" i="5"/>
  <c r="ALY21" i="5"/>
  <c r="ALZ21" i="5"/>
  <c r="AMA21" i="5"/>
  <c r="AMB21" i="5"/>
  <c r="AMC21" i="5"/>
  <c r="AMD21" i="5"/>
  <c r="AME21" i="5"/>
  <c r="AMF21" i="5"/>
  <c r="AMG21" i="5"/>
  <c r="AMH21" i="5"/>
  <c r="AMI21" i="5"/>
  <c r="AMJ21" i="5"/>
  <c r="AMK21" i="5"/>
  <c r="AML21" i="5"/>
  <c r="AMM21" i="5"/>
  <c r="AMN21" i="5"/>
  <c r="AMO21" i="5"/>
  <c r="AMP21" i="5"/>
  <c r="AMQ21" i="5"/>
  <c r="AMR21" i="5"/>
  <c r="AMS21" i="5"/>
  <c r="AMT21" i="5"/>
  <c r="AMU21" i="5"/>
  <c r="AMV21" i="5"/>
  <c r="AMW21" i="5"/>
  <c r="AMX21" i="5"/>
  <c r="AMY21" i="5"/>
  <c r="AMZ21" i="5"/>
  <c r="ANA21" i="5"/>
  <c r="ANB21" i="5"/>
  <c r="ANC21" i="5"/>
  <c r="AND21" i="5"/>
  <c r="ANE21" i="5"/>
  <c r="ANF21" i="5"/>
  <c r="ANG21" i="5"/>
  <c r="ANH21" i="5"/>
  <c r="ANI21" i="5"/>
  <c r="ANJ21" i="5"/>
  <c r="ANK21" i="5"/>
  <c r="ANL21" i="5"/>
  <c r="ANM21" i="5"/>
  <c r="ANN21" i="5"/>
  <c r="ANO21" i="5"/>
  <c r="ANP21" i="5"/>
  <c r="ANQ21" i="5"/>
  <c r="ANR21" i="5"/>
  <c r="ANS21" i="5"/>
  <c r="ANT21" i="5"/>
  <c r="ANU21" i="5"/>
  <c r="ANV21" i="5"/>
  <c r="ANW21" i="5"/>
  <c r="ANX21" i="5"/>
  <c r="ANY21" i="5"/>
  <c r="ANZ21" i="5"/>
  <c r="AOA21" i="5"/>
  <c r="AOB21" i="5"/>
  <c r="AOC21" i="5"/>
  <c r="AOD21" i="5"/>
  <c r="AOE21" i="5"/>
  <c r="AOF21" i="5"/>
  <c r="AOG21" i="5"/>
  <c r="AOH21" i="5"/>
  <c r="AOI21" i="5"/>
  <c r="AOJ21" i="5"/>
  <c r="AOK21" i="5"/>
  <c r="AOL21" i="5"/>
  <c r="AOM21" i="5"/>
  <c r="AON21" i="5"/>
  <c r="AOO21" i="5"/>
  <c r="AOP21" i="5"/>
  <c r="AOQ21" i="5"/>
  <c r="AOR21" i="5"/>
  <c r="AOS21" i="5"/>
  <c r="AOT21" i="5"/>
  <c r="AOU21" i="5"/>
  <c r="AOV21" i="5"/>
  <c r="AOW21" i="5"/>
  <c r="AOX21" i="5"/>
  <c r="AOY21" i="5"/>
  <c r="AOZ21" i="5"/>
  <c r="APA21" i="5"/>
  <c r="APB21" i="5"/>
  <c r="APC21" i="5"/>
  <c r="APD21" i="5"/>
  <c r="APE21" i="5"/>
  <c r="APF21" i="5"/>
  <c r="APG21" i="5"/>
  <c r="APH21" i="5"/>
  <c r="API21" i="5"/>
  <c r="APJ21" i="5"/>
  <c r="APK21" i="5"/>
  <c r="APL21" i="5"/>
  <c r="APM21" i="5"/>
  <c r="APN21" i="5"/>
  <c r="APO21" i="5"/>
  <c r="APP21" i="5"/>
  <c r="APQ21" i="5"/>
  <c r="APR21" i="5"/>
  <c r="APS21" i="5"/>
  <c r="APT21" i="5"/>
  <c r="APU21" i="5"/>
  <c r="APV21" i="5"/>
  <c r="APW21" i="5"/>
  <c r="APX21" i="5"/>
  <c r="APY21" i="5"/>
  <c r="APZ21" i="5"/>
  <c r="AQA21" i="5"/>
  <c r="AQB21" i="5"/>
  <c r="AQC21" i="5"/>
  <c r="AQD21" i="5"/>
  <c r="AQE21" i="5"/>
  <c r="AQF21" i="5"/>
  <c r="AQG21" i="5"/>
  <c r="AQH21" i="5"/>
  <c r="AQI21" i="5"/>
  <c r="AQJ21" i="5"/>
  <c r="AQK21" i="5"/>
  <c r="AQL21" i="5"/>
  <c r="AQM21" i="5"/>
  <c r="AQN21" i="5"/>
  <c r="AQO21" i="5"/>
  <c r="AQP21" i="5"/>
  <c r="AQQ21" i="5"/>
  <c r="AQR21" i="5"/>
  <c r="AQS21" i="5"/>
  <c r="AQT21" i="5"/>
  <c r="AQU21" i="5"/>
  <c r="AQV21" i="5"/>
  <c r="AQW21" i="5"/>
  <c r="AQX21" i="5"/>
  <c r="AQY21" i="5"/>
  <c r="AQZ21" i="5"/>
  <c r="ARA21" i="5"/>
  <c r="ARB21" i="5"/>
  <c r="ARC21" i="5"/>
  <c r="ARD21" i="5"/>
  <c r="ARE21" i="5"/>
  <c r="ARF21" i="5"/>
  <c r="ARG21" i="5"/>
  <c r="ARH21" i="5"/>
  <c r="ARI21" i="5"/>
  <c r="ARJ21" i="5"/>
  <c r="ARK21" i="5"/>
  <c r="ARL21" i="5"/>
  <c r="ARM21" i="5"/>
  <c r="ARN21" i="5"/>
  <c r="ARO21" i="5"/>
  <c r="ARP21" i="5"/>
  <c r="ARQ21" i="5"/>
  <c r="ARR21" i="5"/>
  <c r="ARS21" i="5"/>
  <c r="ART21" i="5"/>
  <c r="ARU21" i="5"/>
  <c r="ARV21" i="5"/>
  <c r="ARW21" i="5"/>
  <c r="ARX21" i="5"/>
  <c r="ARY21" i="5"/>
  <c r="ARZ21" i="5"/>
  <c r="ASA21" i="5"/>
  <c r="ASB21" i="5"/>
  <c r="ASC21" i="5"/>
  <c r="ASD21" i="5"/>
  <c r="ASE21" i="5"/>
  <c r="ASF21" i="5"/>
  <c r="ASG21" i="5"/>
  <c r="ASH21" i="5"/>
  <c r="ASI21" i="5"/>
  <c r="ASJ21" i="5"/>
  <c r="ASK21" i="5"/>
  <c r="ASL21" i="5"/>
  <c r="ASM21" i="5"/>
  <c r="ASN21" i="5"/>
  <c r="ASO21" i="5"/>
  <c r="ASP21" i="5"/>
  <c r="ASQ21" i="5"/>
  <c r="ASR21" i="5"/>
  <c r="ASS21" i="5"/>
  <c r="AST21" i="5"/>
  <c r="ASU21" i="5"/>
  <c r="ASV21" i="5"/>
  <c r="ASW21" i="5"/>
  <c r="ASX21" i="5"/>
  <c r="ASY21" i="5"/>
  <c r="ASZ21" i="5"/>
  <c r="ATA21" i="5"/>
  <c r="ATB21" i="5"/>
  <c r="ATC21" i="5"/>
  <c r="ATD21" i="5"/>
  <c r="ATE21" i="5"/>
  <c r="ATF21" i="5"/>
  <c r="ATG21" i="5"/>
  <c r="ATH21" i="5"/>
  <c r="ATI21" i="5"/>
  <c r="ATJ21" i="5"/>
  <c r="ATK21" i="5"/>
  <c r="ATL21" i="5"/>
  <c r="ATM21" i="5"/>
  <c r="ATN21" i="5"/>
  <c r="ATO21" i="5"/>
  <c r="ATP21" i="5"/>
  <c r="ATQ21" i="5"/>
  <c r="ATR21" i="5"/>
  <c r="ATS21" i="5"/>
  <c r="ATT21" i="5"/>
  <c r="ATU21" i="5"/>
  <c r="ATV21" i="5"/>
  <c r="ATW21" i="5"/>
  <c r="ATX21" i="5"/>
  <c r="ATY21" i="5"/>
  <c r="ATZ21" i="5"/>
  <c r="AUA21" i="5"/>
  <c r="AUB21" i="5"/>
  <c r="AUC21" i="5"/>
  <c r="AUD21" i="5"/>
  <c r="AUE21" i="5"/>
  <c r="AUF21" i="5"/>
  <c r="AUG21" i="5"/>
  <c r="AUH21" i="5"/>
  <c r="AUI21" i="5"/>
  <c r="AUJ21" i="5"/>
  <c r="AUK21" i="5"/>
  <c r="AUL21" i="5"/>
  <c r="AUM21" i="5"/>
  <c r="AUN21" i="5"/>
  <c r="AUO21" i="5"/>
  <c r="AUP21" i="5"/>
  <c r="AUQ21" i="5"/>
  <c r="AUR21" i="5"/>
  <c r="AUS21" i="5"/>
  <c r="AUT21" i="5"/>
  <c r="AUU21" i="5"/>
  <c r="AUV21" i="5"/>
  <c r="AUW21" i="5"/>
  <c r="AUX21" i="5"/>
  <c r="AUY21" i="5"/>
  <c r="AUZ21" i="5"/>
  <c r="AVA21" i="5"/>
  <c r="AVB21" i="5"/>
  <c r="AVC21" i="5"/>
  <c r="AVD21" i="5"/>
  <c r="AVE21" i="5"/>
  <c r="AVF21" i="5"/>
  <c r="AVG21" i="5"/>
  <c r="AVH21" i="5"/>
  <c r="AVI21" i="5"/>
  <c r="AVJ21" i="5"/>
  <c r="AVK21" i="5"/>
  <c r="AVL21" i="5"/>
  <c r="AVM21" i="5"/>
  <c r="AVN21" i="5"/>
  <c r="AVO21" i="5"/>
  <c r="AVP21" i="5"/>
  <c r="AVQ21" i="5"/>
  <c r="AVR21" i="5"/>
  <c r="AVS21" i="5"/>
  <c r="AVT21" i="5"/>
  <c r="AVU21" i="5"/>
  <c r="AVV21" i="5"/>
  <c r="AVW21" i="5"/>
  <c r="AVX21" i="5"/>
  <c r="AVY21" i="5"/>
  <c r="AVZ21" i="5"/>
  <c r="AWA21" i="5"/>
  <c r="AWB21" i="5"/>
  <c r="AWC21" i="5"/>
  <c r="AWD21" i="5"/>
  <c r="AWE21" i="5"/>
  <c r="AWF21" i="5"/>
  <c r="AWG21" i="5"/>
  <c r="AWH21" i="5"/>
  <c r="AWI21" i="5"/>
  <c r="AWJ21" i="5"/>
  <c r="AWK21" i="5"/>
  <c r="AWL21" i="5"/>
  <c r="AWM21" i="5"/>
  <c r="AWN21" i="5"/>
  <c r="AWO21" i="5"/>
  <c r="AWP21" i="5"/>
  <c r="AWQ21" i="5"/>
  <c r="AWR21" i="5"/>
  <c r="AWS21" i="5"/>
  <c r="AWT21" i="5"/>
  <c r="AWU21" i="5"/>
  <c r="AWV21" i="5"/>
  <c r="AWW21" i="5"/>
  <c r="AWX21" i="5"/>
  <c r="AWY21" i="5"/>
  <c r="AWZ21" i="5"/>
  <c r="AXA21" i="5"/>
  <c r="AXB21" i="5"/>
  <c r="AXC21" i="5"/>
  <c r="AXD21" i="5"/>
  <c r="AXE21" i="5"/>
  <c r="AXF21" i="5"/>
  <c r="AXG21" i="5"/>
  <c r="AXH21" i="5"/>
  <c r="AXI21" i="5"/>
  <c r="AXJ21" i="5"/>
  <c r="AXK21" i="5"/>
  <c r="AXL21" i="5"/>
  <c r="AXM21" i="5"/>
  <c r="AXN21" i="5"/>
  <c r="AXO21" i="5"/>
  <c r="AXP21" i="5"/>
  <c r="AXQ21" i="5"/>
  <c r="AXR21" i="5"/>
  <c r="AXS21" i="5"/>
  <c r="AXT21" i="5"/>
  <c r="AXU21" i="5"/>
  <c r="AXV21" i="5"/>
  <c r="AXW21" i="5"/>
  <c r="AXX21" i="5"/>
  <c r="AXY21" i="5"/>
  <c r="AXZ21" i="5"/>
  <c r="AYA21" i="5"/>
  <c r="AYB21" i="5"/>
  <c r="AYC21" i="5"/>
  <c r="AYD21" i="5"/>
  <c r="AYE21" i="5"/>
  <c r="AYF21" i="5"/>
  <c r="AYG21" i="5"/>
  <c r="AYH21" i="5"/>
  <c r="AYI21" i="5"/>
  <c r="AYJ21" i="5"/>
  <c r="AYK21" i="5"/>
  <c r="AYL21" i="5"/>
  <c r="AYM21" i="5"/>
  <c r="AYN21" i="5"/>
  <c r="AYO21" i="5"/>
  <c r="AYP21" i="5"/>
  <c r="AYQ21" i="5"/>
  <c r="AYR21" i="5"/>
  <c r="AYS21" i="5"/>
  <c r="AYT21" i="5"/>
  <c r="AYU21" i="5"/>
  <c r="AYV21" i="5"/>
  <c r="AYW21" i="5"/>
  <c r="AYX21" i="5"/>
  <c r="AYY21" i="5"/>
  <c r="AYZ21" i="5"/>
  <c r="AZA21" i="5"/>
  <c r="AZB21" i="5"/>
  <c r="AZC21" i="5"/>
  <c r="AZD21" i="5"/>
  <c r="AZE21" i="5"/>
  <c r="AZF21" i="5"/>
  <c r="AZG21" i="5"/>
  <c r="AZH21" i="5"/>
  <c r="AZI21" i="5"/>
  <c r="AZJ21" i="5"/>
  <c r="AZK21" i="5"/>
  <c r="AZL21" i="5"/>
  <c r="AZM21" i="5"/>
  <c r="AZN21" i="5"/>
  <c r="AZO21" i="5"/>
  <c r="AZP21" i="5"/>
  <c r="AZQ21" i="5"/>
  <c r="AZR21" i="5"/>
  <c r="AZS21" i="5"/>
  <c r="AZT21" i="5"/>
  <c r="AZU21" i="5"/>
  <c r="AZV21" i="5"/>
  <c r="AZW21" i="5"/>
  <c r="AZX21" i="5"/>
  <c r="AZY21" i="5"/>
  <c r="AZZ21" i="5"/>
  <c r="BAA21" i="5"/>
  <c r="BAB21" i="5"/>
  <c r="BAC21" i="5"/>
  <c r="BAD21" i="5"/>
  <c r="BAE21" i="5"/>
  <c r="BAF21" i="5"/>
  <c r="BAG21" i="5"/>
  <c r="BAH21" i="5"/>
  <c r="BAI21" i="5"/>
  <c r="BAJ21" i="5"/>
  <c r="BAK21" i="5"/>
  <c r="BAL21" i="5"/>
  <c r="BAM21" i="5"/>
  <c r="BAN21" i="5"/>
  <c r="BAO21" i="5"/>
  <c r="BAP21" i="5"/>
  <c r="BAQ21" i="5"/>
  <c r="BAR21" i="5"/>
  <c r="BAS21" i="5"/>
  <c r="BAT21" i="5"/>
  <c r="BAU21" i="5"/>
  <c r="BAV21" i="5"/>
  <c r="BAW21" i="5"/>
  <c r="BAX21" i="5"/>
  <c r="BAY21" i="5"/>
  <c r="BAZ21" i="5"/>
  <c r="BBA21" i="5"/>
  <c r="BBB21" i="5"/>
  <c r="BBC21" i="5"/>
  <c r="BBD21" i="5"/>
  <c r="BBE21" i="5"/>
  <c r="BBF21" i="5"/>
  <c r="BBG21" i="5"/>
  <c r="BBH21" i="5"/>
  <c r="BBI21" i="5"/>
  <c r="BBJ21" i="5"/>
  <c r="BBK21" i="5"/>
  <c r="BBL21" i="5"/>
  <c r="BBM21" i="5"/>
  <c r="BBN21" i="5"/>
  <c r="BBO21" i="5"/>
  <c r="BBP21" i="5"/>
  <c r="BBQ21" i="5"/>
  <c r="BBR21" i="5"/>
  <c r="BBS21" i="5"/>
  <c r="BBT21" i="5"/>
  <c r="BBU21" i="5"/>
  <c r="BBV21" i="5"/>
  <c r="BBW21" i="5"/>
  <c r="BBX21" i="5"/>
  <c r="BBY21" i="5"/>
  <c r="BBZ21" i="5"/>
  <c r="BCA21" i="5"/>
  <c r="BCB21" i="5"/>
  <c r="BCC21" i="5"/>
  <c r="BCD21" i="5"/>
  <c r="BCE21" i="5"/>
  <c r="BCF21" i="5"/>
  <c r="BCG21" i="5"/>
  <c r="BCH21" i="5"/>
  <c r="BCI21" i="5"/>
  <c r="BCJ21" i="5"/>
  <c r="BCK21" i="5"/>
  <c r="BCL21" i="5"/>
  <c r="BCM21" i="5"/>
  <c r="BCN21" i="5"/>
  <c r="BCO21" i="5"/>
  <c r="BCP21" i="5"/>
  <c r="BCQ21" i="5"/>
  <c r="BCR21" i="5"/>
  <c r="BCS21" i="5"/>
  <c r="BCT21" i="5"/>
  <c r="BCU21" i="5"/>
  <c r="BCV21" i="5"/>
  <c r="BCW21" i="5"/>
  <c r="BCX21" i="5"/>
  <c r="BCY21" i="5"/>
  <c r="BCZ21" i="5"/>
  <c r="BDA21" i="5"/>
  <c r="BDB21" i="5"/>
  <c r="BDC21" i="5"/>
  <c r="BDD21" i="5"/>
  <c r="BDE21" i="5"/>
  <c r="BDF21" i="5"/>
  <c r="BDG21" i="5"/>
  <c r="BDH21" i="5"/>
  <c r="BDI21" i="5"/>
  <c r="BDJ21" i="5"/>
  <c r="BDK21" i="5"/>
  <c r="BDL21" i="5"/>
  <c r="BDM21" i="5"/>
  <c r="BDN21" i="5"/>
  <c r="BDO21" i="5"/>
  <c r="BDP21" i="5"/>
  <c r="BDQ21" i="5"/>
  <c r="BDR21" i="5"/>
  <c r="BDS21" i="5"/>
  <c r="BDT21" i="5"/>
  <c r="BDU21" i="5"/>
  <c r="BDV21" i="5"/>
  <c r="BDW21" i="5"/>
  <c r="BDX21" i="5"/>
  <c r="BDY21" i="5"/>
  <c r="BDZ21" i="5"/>
  <c r="BEA21" i="5"/>
  <c r="BEB21" i="5"/>
  <c r="BEC21" i="5"/>
  <c r="BED21" i="5"/>
  <c r="BEE21" i="5"/>
  <c r="BEF21" i="5"/>
  <c r="BEG21" i="5"/>
  <c r="BEH21" i="5"/>
  <c r="BEI21" i="5"/>
  <c r="BEJ21" i="5"/>
  <c r="BEK21" i="5"/>
  <c r="BEL21" i="5"/>
  <c r="BEM21" i="5"/>
  <c r="BEN21" i="5"/>
  <c r="BEO21" i="5"/>
  <c r="BEP21" i="5"/>
  <c r="BEQ21" i="5"/>
  <c r="BER21" i="5"/>
  <c r="BES21" i="5"/>
  <c r="BET21" i="5"/>
  <c r="BEU21" i="5"/>
  <c r="BEV21" i="5"/>
  <c r="BEW21" i="5"/>
  <c r="BEX21" i="5"/>
  <c r="BEY21" i="5"/>
  <c r="BEZ21" i="5"/>
  <c r="BFA21" i="5"/>
  <c r="BFB21" i="5"/>
  <c r="BFC21" i="5"/>
  <c r="BFD21" i="5"/>
  <c r="BFE21" i="5"/>
  <c r="BFF21" i="5"/>
  <c r="BFG21" i="5"/>
  <c r="BFH21" i="5"/>
  <c r="BFI21" i="5"/>
  <c r="BFJ21" i="5"/>
  <c r="BFK21" i="5"/>
  <c r="BFL21" i="5"/>
  <c r="BFM21" i="5"/>
  <c r="BFN21" i="5"/>
  <c r="BFO21" i="5"/>
  <c r="BFP21" i="5"/>
  <c r="BFQ21" i="5"/>
  <c r="BFR21" i="5"/>
  <c r="BFS21" i="5"/>
  <c r="BFT21" i="5"/>
  <c r="BFU21" i="5"/>
  <c r="BFV21" i="5"/>
  <c r="BFW21" i="5"/>
  <c r="BFX21" i="5"/>
  <c r="BFY21" i="5"/>
  <c r="BFZ21" i="5"/>
  <c r="BGA21" i="5"/>
  <c r="BGB21" i="5"/>
  <c r="BGC21" i="5"/>
  <c r="BGD21" i="5"/>
  <c r="BGE21" i="5"/>
  <c r="BGF21" i="5"/>
  <c r="BGG21" i="5"/>
  <c r="BGH21" i="5"/>
  <c r="BGI21" i="5"/>
  <c r="BGJ21" i="5"/>
  <c r="BGK21" i="5"/>
  <c r="BGL21" i="5"/>
  <c r="BGM21" i="5"/>
  <c r="BGN21" i="5"/>
  <c r="BGO21" i="5"/>
  <c r="BGP21" i="5"/>
  <c r="BGQ21" i="5"/>
  <c r="BGR21" i="5"/>
  <c r="BGS21" i="5"/>
  <c r="BGT21" i="5"/>
  <c r="BGU21" i="5"/>
  <c r="BGV21" i="5"/>
  <c r="BGW21" i="5"/>
  <c r="BGX21" i="5"/>
  <c r="BGY21" i="5"/>
  <c r="BGZ21" i="5"/>
  <c r="BHA21" i="5"/>
  <c r="BHB21" i="5"/>
  <c r="BHC21" i="5"/>
  <c r="BHD21" i="5"/>
  <c r="BHE21" i="5"/>
  <c r="BHF21" i="5"/>
  <c r="BHG21" i="5"/>
  <c r="BHH21" i="5"/>
  <c r="BHI21" i="5"/>
  <c r="BHJ21" i="5"/>
  <c r="BHK21" i="5"/>
  <c r="BHL21" i="5"/>
  <c r="BHM21" i="5"/>
  <c r="BHN21" i="5"/>
  <c r="BHO21" i="5"/>
  <c r="BHP21" i="5"/>
  <c r="BHQ21" i="5"/>
  <c r="BHR21" i="5"/>
  <c r="BHS21" i="5"/>
  <c r="BHT21" i="5"/>
  <c r="BHU21" i="5"/>
  <c r="BHV21" i="5"/>
  <c r="BHW21" i="5"/>
  <c r="BHX21" i="5"/>
  <c r="BHY21" i="5"/>
  <c r="BHZ21" i="5"/>
  <c r="BIA21" i="5"/>
  <c r="BIB21" i="5"/>
  <c r="BIC21" i="5"/>
  <c r="BID21" i="5"/>
  <c r="BIE21" i="5"/>
  <c r="BIF21" i="5"/>
  <c r="BIG21" i="5"/>
  <c r="BIH21" i="5"/>
  <c r="BII21" i="5"/>
  <c r="BIJ21" i="5"/>
  <c r="BIK21" i="5"/>
  <c r="BIL21" i="5"/>
  <c r="BIM21" i="5"/>
  <c r="BIN21" i="5"/>
  <c r="BIO21" i="5"/>
  <c r="BIP21" i="5"/>
  <c r="BIQ21" i="5"/>
  <c r="BIR21" i="5"/>
  <c r="BIS21" i="5"/>
  <c r="BIT21" i="5"/>
  <c r="BIU21" i="5"/>
  <c r="BIV21" i="5"/>
  <c r="BIW21" i="5"/>
  <c r="BIX21" i="5"/>
  <c r="BIY21" i="5"/>
  <c r="BIZ21" i="5"/>
  <c r="BJA21" i="5"/>
  <c r="BJB21" i="5"/>
  <c r="BJC21" i="5"/>
  <c r="BJD21" i="5"/>
  <c r="BJE21" i="5"/>
  <c r="BJF21" i="5"/>
  <c r="BJG21" i="5"/>
  <c r="BJH21" i="5"/>
  <c r="BJI21" i="5"/>
  <c r="BJJ21" i="5"/>
  <c r="BJK21" i="5"/>
  <c r="BJL21" i="5"/>
  <c r="BJM21" i="5"/>
  <c r="BJN21" i="5"/>
  <c r="BJO21" i="5"/>
  <c r="BJP21" i="5"/>
  <c r="BJQ21" i="5"/>
  <c r="BJR21" i="5"/>
  <c r="BJS21" i="5"/>
  <c r="BJT21" i="5"/>
  <c r="BJU21" i="5"/>
  <c r="BJV21" i="5"/>
  <c r="BJW21" i="5"/>
  <c r="BJX21" i="5"/>
  <c r="BJY21" i="5"/>
  <c r="BJZ21" i="5"/>
  <c r="BKA21" i="5"/>
  <c r="BKB21" i="5"/>
  <c r="BKC21" i="5"/>
  <c r="BKD21" i="5"/>
  <c r="BKE21" i="5"/>
  <c r="BKF21" i="5"/>
  <c r="BKG21" i="5"/>
  <c r="BKH21" i="5"/>
  <c r="BKI21" i="5"/>
  <c r="BKJ21" i="5"/>
  <c r="BKK21" i="5"/>
  <c r="BKL21" i="5"/>
  <c r="BKM21" i="5"/>
  <c r="BKN21" i="5"/>
  <c r="BKO21" i="5"/>
  <c r="BKP21" i="5"/>
  <c r="BKQ21" i="5"/>
  <c r="BKR21" i="5"/>
  <c r="BKS21" i="5"/>
  <c r="BKT21" i="5"/>
  <c r="BKU21" i="5"/>
  <c r="BKV21" i="5"/>
  <c r="BKW21" i="5"/>
  <c r="BKX21" i="5"/>
  <c r="BKY21" i="5"/>
  <c r="BKZ21" i="5"/>
  <c r="BLA21" i="5"/>
  <c r="BLB21" i="5"/>
  <c r="BLC21" i="5"/>
  <c r="BLD21" i="5"/>
  <c r="BLE21" i="5"/>
  <c r="BLF21" i="5"/>
  <c r="BLG21" i="5"/>
  <c r="BLH21" i="5"/>
  <c r="BLI21" i="5"/>
  <c r="BLJ21" i="5"/>
  <c r="BLK21" i="5"/>
  <c r="BLL21" i="5"/>
  <c r="BLM21" i="5"/>
  <c r="BLN21" i="5"/>
  <c r="BLO21" i="5"/>
  <c r="BLP21" i="5"/>
  <c r="BLQ21" i="5"/>
  <c r="BLR21" i="5"/>
  <c r="BLS21" i="5"/>
  <c r="BLT21" i="5"/>
  <c r="BLU21" i="5"/>
  <c r="BLV21" i="5"/>
  <c r="BLW21" i="5"/>
  <c r="BLX21" i="5"/>
  <c r="BLY21" i="5"/>
  <c r="BLZ21" i="5"/>
  <c r="BMA21" i="5"/>
  <c r="BMB21" i="5"/>
  <c r="BMC21" i="5"/>
  <c r="BMD21" i="5"/>
  <c r="BME21" i="5"/>
  <c r="BMF21" i="5"/>
  <c r="BMG21" i="5"/>
  <c r="BMH21" i="5"/>
  <c r="BMI21" i="5"/>
  <c r="BMJ21" i="5"/>
  <c r="BMK21" i="5"/>
  <c r="BML21" i="5"/>
  <c r="BMM21" i="5"/>
  <c r="BMN21" i="5"/>
  <c r="BMO21" i="5"/>
  <c r="BMP21" i="5"/>
  <c r="BMQ21" i="5"/>
  <c r="BMR21" i="5"/>
  <c r="BMS21" i="5"/>
  <c r="BMT21" i="5"/>
  <c r="BMU21" i="5"/>
  <c r="BMV21" i="5"/>
  <c r="BMW21" i="5"/>
  <c r="BMX21" i="5"/>
  <c r="BMY21" i="5"/>
  <c r="BMZ21" i="5"/>
  <c r="BNA21" i="5"/>
  <c r="BNB21" i="5"/>
  <c r="BNC21" i="5"/>
  <c r="BND21" i="5"/>
  <c r="BNE21" i="5"/>
  <c r="BNF21" i="5"/>
  <c r="BNG21" i="5"/>
  <c r="BNH21" i="5"/>
  <c r="BNI21" i="5"/>
  <c r="BNJ21" i="5"/>
  <c r="BNK21" i="5"/>
  <c r="BNL21" i="5"/>
  <c r="BNM21" i="5"/>
  <c r="BNN21" i="5"/>
  <c r="BNO21" i="5"/>
  <c r="BNP21" i="5"/>
  <c r="BNQ21" i="5"/>
  <c r="BNR21" i="5"/>
  <c r="BNS21" i="5"/>
  <c r="BNT21" i="5"/>
  <c r="BNU21" i="5"/>
  <c r="BNV21" i="5"/>
  <c r="BNW21" i="5"/>
  <c r="BNX21" i="5"/>
  <c r="BNY21" i="5"/>
  <c r="BNZ21" i="5"/>
  <c r="BOA21" i="5"/>
  <c r="BOB21" i="5"/>
  <c r="BOC21" i="5"/>
  <c r="BOD21" i="5"/>
  <c r="BOE21" i="5"/>
  <c r="BOF21" i="5"/>
  <c r="BOG21" i="5"/>
  <c r="BOH21" i="5"/>
  <c r="BOI21" i="5"/>
  <c r="BOJ21" i="5"/>
  <c r="BOK21" i="5"/>
  <c r="BOL21" i="5"/>
  <c r="BOM21" i="5"/>
  <c r="BON21" i="5"/>
  <c r="BOO21" i="5"/>
  <c r="BOP21" i="5"/>
  <c r="BOQ21" i="5"/>
  <c r="BOR21" i="5"/>
  <c r="BOS21" i="5"/>
  <c r="BOT21" i="5"/>
  <c r="BOU21" i="5"/>
  <c r="BOV21" i="5"/>
  <c r="BOW21" i="5"/>
  <c r="BOX21" i="5"/>
  <c r="BOY21" i="5"/>
  <c r="BOZ21" i="5"/>
  <c r="BPA21" i="5"/>
  <c r="BPB21" i="5"/>
  <c r="BPC21" i="5"/>
  <c r="BPD21" i="5"/>
  <c r="BPE21" i="5"/>
  <c r="BPF21" i="5"/>
  <c r="BPG21" i="5"/>
  <c r="BPH21" i="5"/>
  <c r="BPI21" i="5"/>
  <c r="BPJ21" i="5"/>
  <c r="BPK21" i="5"/>
  <c r="BPL21" i="5"/>
  <c r="BPM21" i="5"/>
  <c r="BPN21" i="5"/>
  <c r="BPO21" i="5"/>
  <c r="BPP21" i="5"/>
  <c r="BPQ21" i="5"/>
  <c r="BPR21" i="5"/>
  <c r="BPS21" i="5"/>
  <c r="BPT21" i="5"/>
  <c r="BPU21" i="5"/>
  <c r="BPV21" i="5"/>
  <c r="BPW21" i="5"/>
  <c r="BPX21" i="5"/>
  <c r="BPY21" i="5"/>
  <c r="BPZ21" i="5"/>
  <c r="BQA21" i="5"/>
  <c r="BQB21" i="5"/>
  <c r="BQC21" i="5"/>
  <c r="BQD21" i="5"/>
  <c r="BQE21" i="5"/>
  <c r="BQF21" i="5"/>
  <c r="BQG21" i="5"/>
  <c r="BQH21" i="5"/>
  <c r="BQI21" i="5"/>
  <c r="BQJ21" i="5"/>
  <c r="BQK21" i="5"/>
  <c r="BQL21" i="5"/>
  <c r="BQM21" i="5"/>
  <c r="BQN21" i="5"/>
  <c r="BQO21" i="5"/>
  <c r="BQP21" i="5"/>
  <c r="BQQ21" i="5"/>
  <c r="BQR21" i="5"/>
  <c r="BQS21" i="5"/>
  <c r="BQT21" i="5"/>
  <c r="BQU21" i="5"/>
  <c r="BQV21" i="5"/>
  <c r="BQW21" i="5"/>
  <c r="BQX21" i="5"/>
  <c r="BQY21" i="5"/>
  <c r="BQZ21" i="5"/>
  <c r="BRA21" i="5"/>
  <c r="BRB21" i="5"/>
  <c r="BRC21" i="5"/>
  <c r="BRD21" i="5"/>
  <c r="BRE21" i="5"/>
  <c r="BRF21" i="5"/>
  <c r="BRG21" i="5"/>
  <c r="BRH21" i="5"/>
  <c r="BRI21" i="5"/>
  <c r="BRJ21" i="5"/>
  <c r="BRK21" i="5"/>
  <c r="BRL21" i="5"/>
  <c r="BRM21" i="5"/>
  <c r="BRN21" i="5"/>
  <c r="BRO21" i="5"/>
  <c r="BRP21" i="5"/>
  <c r="BRQ21" i="5"/>
  <c r="BRR21" i="5"/>
  <c r="BRS21" i="5"/>
  <c r="BRT21" i="5"/>
  <c r="BRU21" i="5"/>
  <c r="BRV21" i="5"/>
  <c r="BRW21" i="5"/>
  <c r="BRX21" i="5"/>
  <c r="BRY21" i="5"/>
  <c r="BRZ21" i="5"/>
  <c r="BSA21" i="5"/>
  <c r="BSB21" i="5"/>
  <c r="BSC21" i="5"/>
  <c r="BSD21" i="5"/>
  <c r="BSE21" i="5"/>
  <c r="BSF21" i="5"/>
  <c r="BSG21" i="5"/>
  <c r="BSH21" i="5"/>
  <c r="BSI21" i="5"/>
  <c r="BSJ21" i="5"/>
  <c r="BSK21" i="5"/>
  <c r="BSL21" i="5"/>
  <c r="BSM21" i="5"/>
  <c r="BSN21" i="5"/>
  <c r="BSO21" i="5"/>
  <c r="BSP21" i="5"/>
  <c r="BSQ21" i="5"/>
  <c r="BSR21" i="5"/>
  <c r="BSS21" i="5"/>
  <c r="BST21" i="5"/>
  <c r="BSU21" i="5"/>
  <c r="BSV21" i="5"/>
  <c r="BSW21" i="5"/>
  <c r="BSX21" i="5"/>
  <c r="BSY21" i="5"/>
  <c r="BSZ21" i="5"/>
  <c r="BTA21" i="5"/>
  <c r="BTB21" i="5"/>
  <c r="BTC21" i="5"/>
  <c r="BTD21" i="5"/>
  <c r="BTE21" i="5"/>
  <c r="BTF21" i="5"/>
  <c r="BTG21" i="5"/>
  <c r="BTH21" i="5"/>
  <c r="BTI21" i="5"/>
  <c r="BTJ21" i="5"/>
  <c r="BTK21" i="5"/>
  <c r="BTL21" i="5"/>
  <c r="BTM21" i="5"/>
  <c r="BTN21" i="5"/>
  <c r="BTO21" i="5"/>
  <c r="BTP21" i="5"/>
  <c r="BTQ21" i="5"/>
  <c r="BTR21" i="5"/>
  <c r="BTS21" i="5"/>
  <c r="BTT21" i="5"/>
  <c r="BTU21" i="5"/>
  <c r="BTV21" i="5"/>
  <c r="BTW21" i="5"/>
  <c r="BTX21" i="5"/>
  <c r="BTY21" i="5"/>
  <c r="BTZ21" i="5"/>
  <c r="BUA21" i="5"/>
  <c r="BUB21" i="5"/>
  <c r="BUC21" i="5"/>
  <c r="BUD21" i="5"/>
  <c r="BUE21" i="5"/>
  <c r="BUF21" i="5"/>
  <c r="BUG21" i="5"/>
  <c r="BUH21" i="5"/>
  <c r="BUI21" i="5"/>
  <c r="BUJ21" i="5"/>
  <c r="BUK21" i="5"/>
  <c r="BUL21" i="5"/>
  <c r="BUM21" i="5"/>
  <c r="BUN21" i="5"/>
  <c r="BUO21" i="5"/>
  <c r="BUP21" i="5"/>
  <c r="BUQ21" i="5"/>
  <c r="BUR21" i="5"/>
  <c r="BUS21" i="5"/>
  <c r="BUT21" i="5"/>
  <c r="BUU21" i="5"/>
  <c r="BUV21" i="5"/>
  <c r="BUW21" i="5"/>
  <c r="BUX21" i="5"/>
  <c r="BUY21" i="5"/>
  <c r="BUZ21" i="5"/>
  <c r="BVA21" i="5"/>
  <c r="BVB21" i="5"/>
  <c r="BVC21" i="5"/>
  <c r="BVD21" i="5"/>
  <c r="BVE21" i="5"/>
  <c r="BVF21" i="5"/>
  <c r="BVG21" i="5"/>
  <c r="BVH21" i="5"/>
  <c r="BVI21" i="5"/>
  <c r="BVJ21" i="5"/>
  <c r="BVK21" i="5"/>
  <c r="BVL21" i="5"/>
  <c r="BVM21" i="5"/>
  <c r="BVN21" i="5"/>
  <c r="BVO21" i="5"/>
  <c r="BVP21" i="5"/>
  <c r="BVQ21" i="5"/>
  <c r="BVR21" i="5"/>
  <c r="BVS21" i="5"/>
  <c r="BVT21" i="5"/>
  <c r="BVU21" i="5"/>
  <c r="BVV21" i="5"/>
  <c r="BVW21" i="5"/>
  <c r="BVX21" i="5"/>
  <c r="BVY21" i="5"/>
  <c r="BVZ21" i="5"/>
  <c r="BWA21" i="5"/>
  <c r="BWB21" i="5"/>
  <c r="BWC21" i="5"/>
  <c r="BWD21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ND22" i="5"/>
  <c r="NE22" i="5"/>
  <c r="NF22" i="5"/>
  <c r="NG22" i="5"/>
  <c r="NH22" i="5"/>
  <c r="NI22" i="5"/>
  <c r="NJ22" i="5"/>
  <c r="NK22" i="5"/>
  <c r="NL22" i="5"/>
  <c r="NM22" i="5"/>
  <c r="NN22" i="5"/>
  <c r="NO22" i="5"/>
  <c r="NP22" i="5"/>
  <c r="NQ22" i="5"/>
  <c r="NR22" i="5"/>
  <c r="NS22" i="5"/>
  <c r="NT22" i="5"/>
  <c r="NU22" i="5"/>
  <c r="NV22" i="5"/>
  <c r="NW22" i="5"/>
  <c r="NX22" i="5"/>
  <c r="NY22" i="5"/>
  <c r="NZ22" i="5"/>
  <c r="OA22" i="5"/>
  <c r="OB22" i="5"/>
  <c r="OC22" i="5"/>
  <c r="OD22" i="5"/>
  <c r="OE22" i="5"/>
  <c r="OF22" i="5"/>
  <c r="OG22" i="5"/>
  <c r="OH22" i="5"/>
  <c r="OI22" i="5"/>
  <c r="OJ22" i="5"/>
  <c r="OK22" i="5"/>
  <c r="OL22" i="5"/>
  <c r="OM22" i="5"/>
  <c r="ON22" i="5"/>
  <c r="OO22" i="5"/>
  <c r="OP22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PO22" i="5"/>
  <c r="PP22" i="5"/>
  <c r="PQ22" i="5"/>
  <c r="PR22" i="5"/>
  <c r="PS22" i="5"/>
  <c r="PT22" i="5"/>
  <c r="PU22" i="5"/>
  <c r="PV22" i="5"/>
  <c r="PW22" i="5"/>
  <c r="PX22" i="5"/>
  <c r="PY22" i="5"/>
  <c r="PZ22" i="5"/>
  <c r="QA22" i="5"/>
  <c r="QB22" i="5"/>
  <c r="QC22" i="5"/>
  <c r="QD22" i="5"/>
  <c r="QE22" i="5"/>
  <c r="QF22" i="5"/>
  <c r="QG22" i="5"/>
  <c r="QH22" i="5"/>
  <c r="QI22" i="5"/>
  <c r="QJ22" i="5"/>
  <c r="QK22" i="5"/>
  <c r="QL22" i="5"/>
  <c r="QM22" i="5"/>
  <c r="QN22" i="5"/>
  <c r="QO22" i="5"/>
  <c r="QP22" i="5"/>
  <c r="QQ22" i="5"/>
  <c r="QR22" i="5"/>
  <c r="QS22" i="5"/>
  <c r="QT22" i="5"/>
  <c r="QU22" i="5"/>
  <c r="QV22" i="5"/>
  <c r="QW22" i="5"/>
  <c r="QX22" i="5"/>
  <c r="QY22" i="5"/>
  <c r="QZ22" i="5"/>
  <c r="RA22" i="5"/>
  <c r="RB22" i="5"/>
  <c r="RC22" i="5"/>
  <c r="RD22" i="5"/>
  <c r="RE22" i="5"/>
  <c r="RF22" i="5"/>
  <c r="RG22" i="5"/>
  <c r="RH22" i="5"/>
  <c r="RI22" i="5"/>
  <c r="RJ22" i="5"/>
  <c r="RK22" i="5"/>
  <c r="RL22" i="5"/>
  <c r="RM22" i="5"/>
  <c r="RN22" i="5"/>
  <c r="RO22" i="5"/>
  <c r="RP22" i="5"/>
  <c r="RQ22" i="5"/>
  <c r="RR22" i="5"/>
  <c r="RS22" i="5"/>
  <c r="RT22" i="5"/>
  <c r="RU22" i="5"/>
  <c r="RV22" i="5"/>
  <c r="RW22" i="5"/>
  <c r="RX22" i="5"/>
  <c r="RY22" i="5"/>
  <c r="RZ22" i="5"/>
  <c r="SA22" i="5"/>
  <c r="SB22" i="5"/>
  <c r="SC22" i="5"/>
  <c r="SD22" i="5"/>
  <c r="SE22" i="5"/>
  <c r="SF22" i="5"/>
  <c r="SG22" i="5"/>
  <c r="SH22" i="5"/>
  <c r="SI22" i="5"/>
  <c r="SJ22" i="5"/>
  <c r="SK22" i="5"/>
  <c r="SL22" i="5"/>
  <c r="SM22" i="5"/>
  <c r="SN22" i="5"/>
  <c r="SO22" i="5"/>
  <c r="SP22" i="5"/>
  <c r="SQ22" i="5"/>
  <c r="SR22" i="5"/>
  <c r="SS22" i="5"/>
  <c r="ST22" i="5"/>
  <c r="SU22" i="5"/>
  <c r="SV22" i="5"/>
  <c r="SW22" i="5"/>
  <c r="SX22" i="5"/>
  <c r="SY22" i="5"/>
  <c r="SZ22" i="5"/>
  <c r="TA22" i="5"/>
  <c r="TB22" i="5"/>
  <c r="TC22" i="5"/>
  <c r="TD22" i="5"/>
  <c r="TE22" i="5"/>
  <c r="TF22" i="5"/>
  <c r="TG22" i="5"/>
  <c r="TH22" i="5"/>
  <c r="TI22" i="5"/>
  <c r="TJ22" i="5"/>
  <c r="TK22" i="5"/>
  <c r="TL22" i="5"/>
  <c r="TM22" i="5"/>
  <c r="TN22" i="5"/>
  <c r="TO22" i="5"/>
  <c r="TP22" i="5"/>
  <c r="TQ22" i="5"/>
  <c r="TR22" i="5"/>
  <c r="TS22" i="5"/>
  <c r="TT22" i="5"/>
  <c r="TU22" i="5"/>
  <c r="TV22" i="5"/>
  <c r="TW22" i="5"/>
  <c r="TX22" i="5"/>
  <c r="TY22" i="5"/>
  <c r="TZ22" i="5"/>
  <c r="UA22" i="5"/>
  <c r="UB22" i="5"/>
  <c r="UC22" i="5"/>
  <c r="UD22" i="5"/>
  <c r="UE22" i="5"/>
  <c r="UF22" i="5"/>
  <c r="UG22" i="5"/>
  <c r="UH22" i="5"/>
  <c r="UI22" i="5"/>
  <c r="UJ22" i="5"/>
  <c r="UK22" i="5"/>
  <c r="UL22" i="5"/>
  <c r="UM22" i="5"/>
  <c r="UN22" i="5"/>
  <c r="UO22" i="5"/>
  <c r="UP22" i="5"/>
  <c r="UQ22" i="5"/>
  <c r="UR22" i="5"/>
  <c r="US22" i="5"/>
  <c r="UT22" i="5"/>
  <c r="UU22" i="5"/>
  <c r="UV22" i="5"/>
  <c r="UW22" i="5"/>
  <c r="UX22" i="5"/>
  <c r="UY22" i="5"/>
  <c r="UZ22" i="5"/>
  <c r="VA22" i="5"/>
  <c r="VB22" i="5"/>
  <c r="VC22" i="5"/>
  <c r="VD22" i="5"/>
  <c r="VE22" i="5"/>
  <c r="VF22" i="5"/>
  <c r="VG22" i="5"/>
  <c r="VH22" i="5"/>
  <c r="VI22" i="5"/>
  <c r="VJ22" i="5"/>
  <c r="VK22" i="5"/>
  <c r="VL22" i="5"/>
  <c r="VM22" i="5"/>
  <c r="VN22" i="5"/>
  <c r="VO22" i="5"/>
  <c r="VP22" i="5"/>
  <c r="VQ22" i="5"/>
  <c r="VR22" i="5"/>
  <c r="VS22" i="5"/>
  <c r="VT22" i="5"/>
  <c r="VU22" i="5"/>
  <c r="VV22" i="5"/>
  <c r="VW22" i="5"/>
  <c r="VX22" i="5"/>
  <c r="VY22" i="5"/>
  <c r="VZ22" i="5"/>
  <c r="WA22" i="5"/>
  <c r="WB22" i="5"/>
  <c r="WC22" i="5"/>
  <c r="WD22" i="5"/>
  <c r="WE22" i="5"/>
  <c r="WF22" i="5"/>
  <c r="WG22" i="5"/>
  <c r="WH22" i="5"/>
  <c r="WI22" i="5"/>
  <c r="WJ22" i="5"/>
  <c r="WK22" i="5"/>
  <c r="WL22" i="5"/>
  <c r="WM22" i="5"/>
  <c r="WN22" i="5"/>
  <c r="WO22" i="5"/>
  <c r="WP22" i="5"/>
  <c r="WQ22" i="5"/>
  <c r="WR22" i="5"/>
  <c r="WS22" i="5"/>
  <c r="WT22" i="5"/>
  <c r="WU22" i="5"/>
  <c r="WV22" i="5"/>
  <c r="WW22" i="5"/>
  <c r="WX22" i="5"/>
  <c r="WY22" i="5"/>
  <c r="WZ22" i="5"/>
  <c r="XA22" i="5"/>
  <c r="XB22" i="5"/>
  <c r="XC22" i="5"/>
  <c r="XD22" i="5"/>
  <c r="XE22" i="5"/>
  <c r="XF22" i="5"/>
  <c r="XG22" i="5"/>
  <c r="XH22" i="5"/>
  <c r="XI22" i="5"/>
  <c r="XJ22" i="5"/>
  <c r="XK22" i="5"/>
  <c r="XL22" i="5"/>
  <c r="XM22" i="5"/>
  <c r="XN22" i="5"/>
  <c r="XO22" i="5"/>
  <c r="XP22" i="5"/>
  <c r="XQ22" i="5"/>
  <c r="XR22" i="5"/>
  <c r="XS22" i="5"/>
  <c r="XT22" i="5"/>
  <c r="XU22" i="5"/>
  <c r="XV22" i="5"/>
  <c r="XW22" i="5"/>
  <c r="XX22" i="5"/>
  <c r="XY22" i="5"/>
  <c r="XZ22" i="5"/>
  <c r="YA22" i="5"/>
  <c r="YB22" i="5"/>
  <c r="YC22" i="5"/>
  <c r="YD22" i="5"/>
  <c r="YE22" i="5"/>
  <c r="YF22" i="5"/>
  <c r="YG22" i="5"/>
  <c r="YH22" i="5"/>
  <c r="YI22" i="5"/>
  <c r="YJ22" i="5"/>
  <c r="YK22" i="5"/>
  <c r="YL22" i="5"/>
  <c r="YM22" i="5"/>
  <c r="YN22" i="5"/>
  <c r="YO22" i="5"/>
  <c r="YP22" i="5"/>
  <c r="YQ22" i="5"/>
  <c r="YR22" i="5"/>
  <c r="YS22" i="5"/>
  <c r="YT22" i="5"/>
  <c r="YU22" i="5"/>
  <c r="YV22" i="5"/>
  <c r="YW22" i="5"/>
  <c r="YX22" i="5"/>
  <c r="YY22" i="5"/>
  <c r="YZ22" i="5"/>
  <c r="ZA22" i="5"/>
  <c r="ZB22" i="5"/>
  <c r="ZC22" i="5"/>
  <c r="ZD22" i="5"/>
  <c r="ZE22" i="5"/>
  <c r="ZF22" i="5"/>
  <c r="ZG22" i="5"/>
  <c r="ZH22" i="5"/>
  <c r="ZI22" i="5"/>
  <c r="ZJ22" i="5"/>
  <c r="ZK22" i="5"/>
  <c r="ZL22" i="5"/>
  <c r="ZM22" i="5"/>
  <c r="ZN22" i="5"/>
  <c r="ZO22" i="5"/>
  <c r="ZP22" i="5"/>
  <c r="ZQ22" i="5"/>
  <c r="ZR22" i="5"/>
  <c r="ZS22" i="5"/>
  <c r="ZT22" i="5"/>
  <c r="ZU22" i="5"/>
  <c r="ZV22" i="5"/>
  <c r="ZW22" i="5"/>
  <c r="ZX22" i="5"/>
  <c r="ZY22" i="5"/>
  <c r="ZZ22" i="5"/>
  <c r="AAA22" i="5"/>
  <c r="AAB22" i="5"/>
  <c r="AAC22" i="5"/>
  <c r="AAD22" i="5"/>
  <c r="AAE22" i="5"/>
  <c r="AAF22" i="5"/>
  <c r="AAG22" i="5"/>
  <c r="AAH22" i="5"/>
  <c r="AAI22" i="5"/>
  <c r="AAJ22" i="5"/>
  <c r="AAK22" i="5"/>
  <c r="AAL22" i="5"/>
  <c r="AAM22" i="5"/>
  <c r="AAN22" i="5"/>
  <c r="AAO22" i="5"/>
  <c r="AAP22" i="5"/>
  <c r="AAQ22" i="5"/>
  <c r="AAR22" i="5"/>
  <c r="AAS22" i="5"/>
  <c r="AAT22" i="5"/>
  <c r="AAU22" i="5"/>
  <c r="AAV22" i="5"/>
  <c r="AAW22" i="5"/>
  <c r="AAX22" i="5"/>
  <c r="AAY22" i="5"/>
  <c r="AAZ22" i="5"/>
  <c r="ABA22" i="5"/>
  <c r="ABB22" i="5"/>
  <c r="ABC22" i="5"/>
  <c r="ABD22" i="5"/>
  <c r="ABE22" i="5"/>
  <c r="ABF22" i="5"/>
  <c r="ABG22" i="5"/>
  <c r="ABH22" i="5"/>
  <c r="ABI22" i="5"/>
  <c r="ABJ22" i="5"/>
  <c r="ABK22" i="5"/>
  <c r="ABL22" i="5"/>
  <c r="ABM22" i="5"/>
  <c r="ABN22" i="5"/>
  <c r="ABO22" i="5"/>
  <c r="ABP22" i="5"/>
  <c r="ABQ22" i="5"/>
  <c r="ABR22" i="5"/>
  <c r="ABS22" i="5"/>
  <c r="ABT22" i="5"/>
  <c r="ABU22" i="5"/>
  <c r="ABV22" i="5"/>
  <c r="ABW22" i="5"/>
  <c r="ABX22" i="5"/>
  <c r="ABY22" i="5"/>
  <c r="ABZ22" i="5"/>
  <c r="ACA22" i="5"/>
  <c r="ACB22" i="5"/>
  <c r="ACC22" i="5"/>
  <c r="ACD22" i="5"/>
  <c r="ACE22" i="5"/>
  <c r="ACF22" i="5"/>
  <c r="ACG22" i="5"/>
  <c r="ACH22" i="5"/>
  <c r="ACI22" i="5"/>
  <c r="ACJ22" i="5"/>
  <c r="ACK22" i="5"/>
  <c r="ACL22" i="5"/>
  <c r="ACM22" i="5"/>
  <c r="ACN22" i="5"/>
  <c r="ACO22" i="5"/>
  <c r="ACP22" i="5"/>
  <c r="ACQ22" i="5"/>
  <c r="ACR22" i="5"/>
  <c r="ACS22" i="5"/>
  <c r="ACT22" i="5"/>
  <c r="ACU22" i="5"/>
  <c r="ACV22" i="5"/>
  <c r="ACW22" i="5"/>
  <c r="ACX22" i="5"/>
  <c r="ACY22" i="5"/>
  <c r="ACZ22" i="5"/>
  <c r="ADA22" i="5"/>
  <c r="ADB22" i="5"/>
  <c r="ADC22" i="5"/>
  <c r="ADD22" i="5"/>
  <c r="ADE22" i="5"/>
  <c r="ADF22" i="5"/>
  <c r="ADG22" i="5"/>
  <c r="ADH22" i="5"/>
  <c r="ADI22" i="5"/>
  <c r="ADJ22" i="5"/>
  <c r="ADK22" i="5"/>
  <c r="ADL22" i="5"/>
  <c r="ADM22" i="5"/>
  <c r="ADN22" i="5"/>
  <c r="ADO22" i="5"/>
  <c r="ADP22" i="5"/>
  <c r="ADQ22" i="5"/>
  <c r="ADR22" i="5"/>
  <c r="ADS22" i="5"/>
  <c r="ADT22" i="5"/>
  <c r="ADU22" i="5"/>
  <c r="ADV22" i="5"/>
  <c r="ADW22" i="5"/>
  <c r="ADX22" i="5"/>
  <c r="ADY22" i="5"/>
  <c r="ADZ22" i="5"/>
  <c r="AEA22" i="5"/>
  <c r="AEB22" i="5"/>
  <c r="AEC22" i="5"/>
  <c r="AED22" i="5"/>
  <c r="AEE22" i="5"/>
  <c r="AEF22" i="5"/>
  <c r="AEG22" i="5"/>
  <c r="AEH22" i="5"/>
  <c r="AEI22" i="5"/>
  <c r="AEJ22" i="5"/>
  <c r="AEK22" i="5"/>
  <c r="AEL22" i="5"/>
  <c r="AEM22" i="5"/>
  <c r="AEN22" i="5"/>
  <c r="AEO22" i="5"/>
  <c r="AEP22" i="5"/>
  <c r="AEQ22" i="5"/>
  <c r="AER22" i="5"/>
  <c r="AES22" i="5"/>
  <c r="AET22" i="5"/>
  <c r="AEU22" i="5"/>
  <c r="AEV22" i="5"/>
  <c r="AEW22" i="5"/>
  <c r="AEX22" i="5"/>
  <c r="AEY22" i="5"/>
  <c r="AEZ22" i="5"/>
  <c r="AFA22" i="5"/>
  <c r="AFB22" i="5"/>
  <c r="AFC22" i="5"/>
  <c r="AFD22" i="5"/>
  <c r="AFE22" i="5"/>
  <c r="AFF22" i="5"/>
  <c r="AFG22" i="5"/>
  <c r="AFH22" i="5"/>
  <c r="AFI22" i="5"/>
  <c r="AFJ22" i="5"/>
  <c r="AFK22" i="5"/>
  <c r="AFL22" i="5"/>
  <c r="AFM22" i="5"/>
  <c r="AFN22" i="5"/>
  <c r="AFO22" i="5"/>
  <c r="AFP22" i="5"/>
  <c r="AFQ22" i="5"/>
  <c r="AFR22" i="5"/>
  <c r="AFS22" i="5"/>
  <c r="AFT22" i="5"/>
  <c r="AFU22" i="5"/>
  <c r="AFV22" i="5"/>
  <c r="AFW22" i="5"/>
  <c r="AFX22" i="5"/>
  <c r="AFY22" i="5"/>
  <c r="AFZ22" i="5"/>
  <c r="AGA22" i="5"/>
  <c r="AGB22" i="5"/>
  <c r="AGC22" i="5"/>
  <c r="AGD22" i="5"/>
  <c r="AGE22" i="5"/>
  <c r="AGF22" i="5"/>
  <c r="AGG22" i="5"/>
  <c r="AGH22" i="5"/>
  <c r="AGI22" i="5"/>
  <c r="AGJ22" i="5"/>
  <c r="AGK22" i="5"/>
  <c r="AGL22" i="5"/>
  <c r="AGM22" i="5"/>
  <c r="AGN22" i="5"/>
  <c r="AGO22" i="5"/>
  <c r="AGP22" i="5"/>
  <c r="AGQ22" i="5"/>
  <c r="AGR22" i="5"/>
  <c r="AGS22" i="5"/>
  <c r="AGT22" i="5"/>
  <c r="AGU22" i="5"/>
  <c r="AGV22" i="5"/>
  <c r="AGW22" i="5"/>
  <c r="AGX22" i="5"/>
  <c r="AGY22" i="5"/>
  <c r="AGZ22" i="5"/>
  <c r="AHA22" i="5"/>
  <c r="AHB22" i="5"/>
  <c r="AHC22" i="5"/>
  <c r="AHD22" i="5"/>
  <c r="AHE22" i="5"/>
  <c r="AHF22" i="5"/>
  <c r="AHG22" i="5"/>
  <c r="AHH22" i="5"/>
  <c r="AHI22" i="5"/>
  <c r="AHJ22" i="5"/>
  <c r="AHK22" i="5"/>
  <c r="AHL22" i="5"/>
  <c r="AHM22" i="5"/>
  <c r="AHN22" i="5"/>
  <c r="AHO22" i="5"/>
  <c r="AHP22" i="5"/>
  <c r="AHQ22" i="5"/>
  <c r="AHR22" i="5"/>
  <c r="AHS22" i="5"/>
  <c r="AHT22" i="5"/>
  <c r="AHU22" i="5"/>
  <c r="AHV22" i="5"/>
  <c r="AHW22" i="5"/>
  <c r="AHX22" i="5"/>
  <c r="AHY22" i="5"/>
  <c r="AHZ22" i="5"/>
  <c r="AIA22" i="5"/>
  <c r="AIB22" i="5"/>
  <c r="AIC22" i="5"/>
  <c r="AID22" i="5"/>
  <c r="AIE22" i="5"/>
  <c r="AIF22" i="5"/>
  <c r="AIG22" i="5"/>
  <c r="AIH22" i="5"/>
  <c r="AII22" i="5"/>
  <c r="AIJ22" i="5"/>
  <c r="AIK22" i="5"/>
  <c r="AIL22" i="5"/>
  <c r="AIM22" i="5"/>
  <c r="AIN22" i="5"/>
  <c r="AIO22" i="5"/>
  <c r="AIP22" i="5"/>
  <c r="AIQ22" i="5"/>
  <c r="AIR22" i="5"/>
  <c r="AIS22" i="5"/>
  <c r="AIT22" i="5"/>
  <c r="AIU22" i="5"/>
  <c r="AIV22" i="5"/>
  <c r="AIW22" i="5"/>
  <c r="AIX22" i="5"/>
  <c r="AIY22" i="5"/>
  <c r="AIZ22" i="5"/>
  <c r="AJA22" i="5"/>
  <c r="AJB22" i="5"/>
  <c r="AJC22" i="5"/>
  <c r="AJD22" i="5"/>
  <c r="AJE22" i="5"/>
  <c r="AJF22" i="5"/>
  <c r="AJG22" i="5"/>
  <c r="AJH22" i="5"/>
  <c r="AJI22" i="5"/>
  <c r="AJJ22" i="5"/>
  <c r="AJK22" i="5"/>
  <c r="AJL22" i="5"/>
  <c r="AJM22" i="5"/>
  <c r="AJN22" i="5"/>
  <c r="AJO22" i="5"/>
  <c r="AJP22" i="5"/>
  <c r="AJQ22" i="5"/>
  <c r="AJR22" i="5"/>
  <c r="AJS22" i="5"/>
  <c r="AJT22" i="5"/>
  <c r="AJU22" i="5"/>
  <c r="AJV22" i="5"/>
  <c r="AJW22" i="5"/>
  <c r="AJX22" i="5"/>
  <c r="AJY22" i="5"/>
  <c r="AJZ22" i="5"/>
  <c r="AKA22" i="5"/>
  <c r="AKB22" i="5"/>
  <c r="AKC22" i="5"/>
  <c r="AKD22" i="5"/>
  <c r="AKE22" i="5"/>
  <c r="AKF22" i="5"/>
  <c r="AKG22" i="5"/>
  <c r="AKH22" i="5"/>
  <c r="AKI22" i="5"/>
  <c r="AKJ22" i="5"/>
  <c r="AKK22" i="5"/>
  <c r="AKL22" i="5"/>
  <c r="AKM22" i="5"/>
  <c r="AKN22" i="5"/>
  <c r="AKO22" i="5"/>
  <c r="AKP22" i="5"/>
  <c r="AKQ22" i="5"/>
  <c r="AKR22" i="5"/>
  <c r="AKS22" i="5"/>
  <c r="AKT22" i="5"/>
  <c r="AKU22" i="5"/>
  <c r="AKV22" i="5"/>
  <c r="AKW22" i="5"/>
  <c r="AKX22" i="5"/>
  <c r="AKY22" i="5"/>
  <c r="AKZ22" i="5"/>
  <c r="ALA22" i="5"/>
  <c r="ALB22" i="5"/>
  <c r="ALC22" i="5"/>
  <c r="ALD22" i="5"/>
  <c r="ALE22" i="5"/>
  <c r="ALF22" i="5"/>
  <c r="ALG22" i="5"/>
  <c r="ALH22" i="5"/>
  <c r="ALI22" i="5"/>
  <c r="ALJ22" i="5"/>
  <c r="ALK22" i="5"/>
  <c r="ALL22" i="5"/>
  <c r="ALM22" i="5"/>
  <c r="ALN22" i="5"/>
  <c r="ALO22" i="5"/>
  <c r="ALP22" i="5"/>
  <c r="ALQ22" i="5"/>
  <c r="ALR22" i="5"/>
  <c r="ALS22" i="5"/>
  <c r="ALT22" i="5"/>
  <c r="ALU22" i="5"/>
  <c r="ALV22" i="5"/>
  <c r="ALW22" i="5"/>
  <c r="ALX22" i="5"/>
  <c r="ALY22" i="5"/>
  <c r="ALZ22" i="5"/>
  <c r="AMA22" i="5"/>
  <c r="AMB22" i="5"/>
  <c r="AMC22" i="5"/>
  <c r="AMD22" i="5"/>
  <c r="AME22" i="5"/>
  <c r="AMF22" i="5"/>
  <c r="AMG22" i="5"/>
  <c r="AMH22" i="5"/>
  <c r="AMI22" i="5"/>
  <c r="AMJ22" i="5"/>
  <c r="AMK22" i="5"/>
  <c r="AML22" i="5"/>
  <c r="AMM22" i="5"/>
  <c r="AMN22" i="5"/>
  <c r="AMO22" i="5"/>
  <c r="AMP22" i="5"/>
  <c r="AMQ22" i="5"/>
  <c r="AMR22" i="5"/>
  <c r="AMS22" i="5"/>
  <c r="AMT22" i="5"/>
  <c r="AMU22" i="5"/>
  <c r="AMV22" i="5"/>
  <c r="AMW22" i="5"/>
  <c r="AMX22" i="5"/>
  <c r="AMY22" i="5"/>
  <c r="AMZ22" i="5"/>
  <c r="ANA22" i="5"/>
  <c r="ANB22" i="5"/>
  <c r="ANC22" i="5"/>
  <c r="AND22" i="5"/>
  <c r="ANE22" i="5"/>
  <c r="ANF22" i="5"/>
  <c r="ANG22" i="5"/>
  <c r="ANH22" i="5"/>
  <c r="ANI22" i="5"/>
  <c r="ANJ22" i="5"/>
  <c r="ANK22" i="5"/>
  <c r="ANL22" i="5"/>
  <c r="ANM22" i="5"/>
  <c r="ANN22" i="5"/>
  <c r="ANO22" i="5"/>
  <c r="ANP22" i="5"/>
  <c r="ANQ22" i="5"/>
  <c r="ANR22" i="5"/>
  <c r="ANS22" i="5"/>
  <c r="ANT22" i="5"/>
  <c r="ANU22" i="5"/>
  <c r="ANV22" i="5"/>
  <c r="ANW22" i="5"/>
  <c r="ANX22" i="5"/>
  <c r="ANY22" i="5"/>
  <c r="ANZ22" i="5"/>
  <c r="AOA22" i="5"/>
  <c r="AOB22" i="5"/>
  <c r="AOC22" i="5"/>
  <c r="AOD22" i="5"/>
  <c r="AOE22" i="5"/>
  <c r="AOF22" i="5"/>
  <c r="AOG22" i="5"/>
  <c r="AOH22" i="5"/>
  <c r="AOI22" i="5"/>
  <c r="AOJ22" i="5"/>
  <c r="AOK22" i="5"/>
  <c r="AOL22" i="5"/>
  <c r="AOM22" i="5"/>
  <c r="AON22" i="5"/>
  <c r="AOO22" i="5"/>
  <c r="AOP22" i="5"/>
  <c r="AOQ22" i="5"/>
  <c r="AOR22" i="5"/>
  <c r="AOS22" i="5"/>
  <c r="AOT22" i="5"/>
  <c r="AOU22" i="5"/>
  <c r="AOV22" i="5"/>
  <c r="AOW22" i="5"/>
  <c r="AOX22" i="5"/>
  <c r="AOY22" i="5"/>
  <c r="AOZ22" i="5"/>
  <c r="APA22" i="5"/>
  <c r="APB22" i="5"/>
  <c r="APC22" i="5"/>
  <c r="APD22" i="5"/>
  <c r="APE22" i="5"/>
  <c r="APF22" i="5"/>
  <c r="APG22" i="5"/>
  <c r="APH22" i="5"/>
  <c r="API22" i="5"/>
  <c r="APJ22" i="5"/>
  <c r="APK22" i="5"/>
  <c r="APL22" i="5"/>
  <c r="APM22" i="5"/>
  <c r="APN22" i="5"/>
  <c r="APO22" i="5"/>
  <c r="APP22" i="5"/>
  <c r="APQ22" i="5"/>
  <c r="APR22" i="5"/>
  <c r="APS22" i="5"/>
  <c r="APT22" i="5"/>
  <c r="APU22" i="5"/>
  <c r="APV22" i="5"/>
  <c r="APW22" i="5"/>
  <c r="APX22" i="5"/>
  <c r="APY22" i="5"/>
  <c r="APZ22" i="5"/>
  <c r="AQA22" i="5"/>
  <c r="AQB22" i="5"/>
  <c r="AQC22" i="5"/>
  <c r="AQD22" i="5"/>
  <c r="AQE22" i="5"/>
  <c r="AQF22" i="5"/>
  <c r="AQG22" i="5"/>
  <c r="AQH22" i="5"/>
  <c r="AQI22" i="5"/>
  <c r="AQJ22" i="5"/>
  <c r="AQK22" i="5"/>
  <c r="AQL22" i="5"/>
  <c r="AQM22" i="5"/>
  <c r="AQN22" i="5"/>
  <c r="AQO22" i="5"/>
  <c r="AQP22" i="5"/>
  <c r="AQQ22" i="5"/>
  <c r="AQR22" i="5"/>
  <c r="AQS22" i="5"/>
  <c r="AQT22" i="5"/>
  <c r="AQU22" i="5"/>
  <c r="AQV22" i="5"/>
  <c r="AQW22" i="5"/>
  <c r="AQX22" i="5"/>
  <c r="AQY22" i="5"/>
  <c r="AQZ22" i="5"/>
  <c r="ARA22" i="5"/>
  <c r="ARB22" i="5"/>
  <c r="ARC22" i="5"/>
  <c r="ARD22" i="5"/>
  <c r="ARE22" i="5"/>
  <c r="ARF22" i="5"/>
  <c r="ARG22" i="5"/>
  <c r="ARH22" i="5"/>
  <c r="ARI22" i="5"/>
  <c r="ARJ22" i="5"/>
  <c r="ARK22" i="5"/>
  <c r="ARL22" i="5"/>
  <c r="ARM22" i="5"/>
  <c r="ARN22" i="5"/>
  <c r="ARO22" i="5"/>
  <c r="ARP22" i="5"/>
  <c r="ARQ22" i="5"/>
  <c r="ARR22" i="5"/>
  <c r="ARS22" i="5"/>
  <c r="ART22" i="5"/>
  <c r="ARU22" i="5"/>
  <c r="ARV22" i="5"/>
  <c r="ARW22" i="5"/>
  <c r="ARX22" i="5"/>
  <c r="ARY22" i="5"/>
  <c r="ARZ22" i="5"/>
  <c r="ASA22" i="5"/>
  <c r="ASB22" i="5"/>
  <c r="ASC22" i="5"/>
  <c r="ASD22" i="5"/>
  <c r="ASE22" i="5"/>
  <c r="ASF22" i="5"/>
  <c r="ASG22" i="5"/>
  <c r="ASH22" i="5"/>
  <c r="ASI22" i="5"/>
  <c r="ASJ22" i="5"/>
  <c r="ASK22" i="5"/>
  <c r="ASL22" i="5"/>
  <c r="ASM22" i="5"/>
  <c r="ASN22" i="5"/>
  <c r="ASO22" i="5"/>
  <c r="ASP22" i="5"/>
  <c r="ASQ22" i="5"/>
  <c r="ASR22" i="5"/>
  <c r="ASS22" i="5"/>
  <c r="AST22" i="5"/>
  <c r="ASU22" i="5"/>
  <c r="ASV22" i="5"/>
  <c r="ASW22" i="5"/>
  <c r="ASX22" i="5"/>
  <c r="ASY22" i="5"/>
  <c r="ASZ22" i="5"/>
  <c r="ATA22" i="5"/>
  <c r="ATB22" i="5"/>
  <c r="ATC22" i="5"/>
  <c r="ATD22" i="5"/>
  <c r="ATE22" i="5"/>
  <c r="ATF22" i="5"/>
  <c r="ATG22" i="5"/>
  <c r="ATH22" i="5"/>
  <c r="ATI22" i="5"/>
  <c r="ATJ22" i="5"/>
  <c r="ATK22" i="5"/>
  <c r="ATL22" i="5"/>
  <c r="ATM22" i="5"/>
  <c r="ATN22" i="5"/>
  <c r="ATO22" i="5"/>
  <c r="ATP22" i="5"/>
  <c r="ATQ22" i="5"/>
  <c r="ATR22" i="5"/>
  <c r="ATS22" i="5"/>
  <c r="ATT22" i="5"/>
  <c r="ATU22" i="5"/>
  <c r="ATV22" i="5"/>
  <c r="ATW22" i="5"/>
  <c r="ATX22" i="5"/>
  <c r="ATY22" i="5"/>
  <c r="ATZ22" i="5"/>
  <c r="AUA22" i="5"/>
  <c r="AUB22" i="5"/>
  <c r="AUC22" i="5"/>
  <c r="AUD22" i="5"/>
  <c r="AUE22" i="5"/>
  <c r="AUF22" i="5"/>
  <c r="AUG22" i="5"/>
  <c r="AUH22" i="5"/>
  <c r="AUI22" i="5"/>
  <c r="AUJ22" i="5"/>
  <c r="AUK22" i="5"/>
  <c r="AUL22" i="5"/>
  <c r="AUM22" i="5"/>
  <c r="AUN22" i="5"/>
  <c r="AUO22" i="5"/>
  <c r="AUP22" i="5"/>
  <c r="AUQ22" i="5"/>
  <c r="AUR22" i="5"/>
  <c r="AUS22" i="5"/>
  <c r="AUT22" i="5"/>
  <c r="AUU22" i="5"/>
  <c r="AUV22" i="5"/>
  <c r="AUW22" i="5"/>
  <c r="AUX22" i="5"/>
  <c r="AUY22" i="5"/>
  <c r="AUZ22" i="5"/>
  <c r="AVA22" i="5"/>
  <c r="AVB22" i="5"/>
  <c r="AVC22" i="5"/>
  <c r="AVD22" i="5"/>
  <c r="AVE22" i="5"/>
  <c r="AVF22" i="5"/>
  <c r="AVG22" i="5"/>
  <c r="AVH22" i="5"/>
  <c r="AVI22" i="5"/>
  <c r="AVJ22" i="5"/>
  <c r="AVK22" i="5"/>
  <c r="AVL22" i="5"/>
  <c r="AVM22" i="5"/>
  <c r="AVN22" i="5"/>
  <c r="AVO22" i="5"/>
  <c r="AVP22" i="5"/>
  <c r="AVQ22" i="5"/>
  <c r="AVR22" i="5"/>
  <c r="AVS22" i="5"/>
  <c r="AVT22" i="5"/>
  <c r="AVU22" i="5"/>
  <c r="AVV22" i="5"/>
  <c r="AVW22" i="5"/>
  <c r="AVX22" i="5"/>
  <c r="AVY22" i="5"/>
  <c r="AVZ22" i="5"/>
  <c r="AWA22" i="5"/>
  <c r="AWB22" i="5"/>
  <c r="AWC22" i="5"/>
  <c r="AWD22" i="5"/>
  <c r="AWE22" i="5"/>
  <c r="AWF22" i="5"/>
  <c r="AWG22" i="5"/>
  <c r="AWH22" i="5"/>
  <c r="AWI22" i="5"/>
  <c r="AWJ22" i="5"/>
  <c r="AWK22" i="5"/>
  <c r="AWL22" i="5"/>
  <c r="AWM22" i="5"/>
  <c r="AWN22" i="5"/>
  <c r="AWO22" i="5"/>
  <c r="AWP22" i="5"/>
  <c r="AWQ22" i="5"/>
  <c r="AWR22" i="5"/>
  <c r="AWS22" i="5"/>
  <c r="AWT22" i="5"/>
  <c r="AWU22" i="5"/>
  <c r="AWV22" i="5"/>
  <c r="AWW22" i="5"/>
  <c r="AWX22" i="5"/>
  <c r="AWY22" i="5"/>
  <c r="AWZ22" i="5"/>
  <c r="AXA22" i="5"/>
  <c r="AXB22" i="5"/>
  <c r="AXC22" i="5"/>
  <c r="AXD22" i="5"/>
  <c r="AXE22" i="5"/>
  <c r="AXF22" i="5"/>
  <c r="AXG22" i="5"/>
  <c r="AXH22" i="5"/>
  <c r="AXI22" i="5"/>
  <c r="AXJ22" i="5"/>
  <c r="AXK22" i="5"/>
  <c r="AXL22" i="5"/>
  <c r="AXM22" i="5"/>
  <c r="AXN22" i="5"/>
  <c r="AXO22" i="5"/>
  <c r="AXP22" i="5"/>
  <c r="AXQ22" i="5"/>
  <c r="AXR22" i="5"/>
  <c r="AXS22" i="5"/>
  <c r="AXT22" i="5"/>
  <c r="AXU22" i="5"/>
  <c r="AXV22" i="5"/>
  <c r="AXW22" i="5"/>
  <c r="AXX22" i="5"/>
  <c r="AXY22" i="5"/>
  <c r="AXZ22" i="5"/>
  <c r="AYA22" i="5"/>
  <c r="AYB22" i="5"/>
  <c r="AYC22" i="5"/>
  <c r="AYD22" i="5"/>
  <c r="AYE22" i="5"/>
  <c r="AYF22" i="5"/>
  <c r="AYG22" i="5"/>
  <c r="AYH22" i="5"/>
  <c r="AYI22" i="5"/>
  <c r="AYJ22" i="5"/>
  <c r="AYK22" i="5"/>
  <c r="AYL22" i="5"/>
  <c r="AYM22" i="5"/>
  <c r="AYN22" i="5"/>
  <c r="AYO22" i="5"/>
  <c r="AYP22" i="5"/>
  <c r="AYQ22" i="5"/>
  <c r="AYR22" i="5"/>
  <c r="AYS22" i="5"/>
  <c r="AYT22" i="5"/>
  <c r="AYU22" i="5"/>
  <c r="AYV22" i="5"/>
  <c r="AYW22" i="5"/>
  <c r="AYX22" i="5"/>
  <c r="AYY22" i="5"/>
  <c r="AYZ22" i="5"/>
  <c r="AZA22" i="5"/>
  <c r="AZB22" i="5"/>
  <c r="AZC22" i="5"/>
  <c r="AZD22" i="5"/>
  <c r="AZE22" i="5"/>
  <c r="AZF22" i="5"/>
  <c r="AZG22" i="5"/>
  <c r="AZH22" i="5"/>
  <c r="AZI22" i="5"/>
  <c r="AZJ22" i="5"/>
  <c r="AZK22" i="5"/>
  <c r="AZL22" i="5"/>
  <c r="AZM22" i="5"/>
  <c r="AZN22" i="5"/>
  <c r="AZO22" i="5"/>
  <c r="AZP22" i="5"/>
  <c r="AZQ22" i="5"/>
  <c r="AZR22" i="5"/>
  <c r="AZS22" i="5"/>
  <c r="AZT22" i="5"/>
  <c r="AZU22" i="5"/>
  <c r="AZV22" i="5"/>
  <c r="AZW22" i="5"/>
  <c r="AZX22" i="5"/>
  <c r="AZY22" i="5"/>
  <c r="AZZ22" i="5"/>
  <c r="BAA22" i="5"/>
  <c r="BAB22" i="5"/>
  <c r="BAC22" i="5"/>
  <c r="BAD22" i="5"/>
  <c r="BAE22" i="5"/>
  <c r="BAF22" i="5"/>
  <c r="BAG22" i="5"/>
  <c r="BAH22" i="5"/>
  <c r="BAI22" i="5"/>
  <c r="BAJ22" i="5"/>
  <c r="BAK22" i="5"/>
  <c r="BAL22" i="5"/>
  <c r="BAM22" i="5"/>
  <c r="BAN22" i="5"/>
  <c r="BAO22" i="5"/>
  <c r="BAP22" i="5"/>
  <c r="BAQ22" i="5"/>
  <c r="BAR22" i="5"/>
  <c r="BAS22" i="5"/>
  <c r="BAT22" i="5"/>
  <c r="BAU22" i="5"/>
  <c r="BAV22" i="5"/>
  <c r="BAW22" i="5"/>
  <c r="BAX22" i="5"/>
  <c r="BAY22" i="5"/>
  <c r="BAZ22" i="5"/>
  <c r="BBA22" i="5"/>
  <c r="BBB22" i="5"/>
  <c r="BBC22" i="5"/>
  <c r="BBD22" i="5"/>
  <c r="BBE22" i="5"/>
  <c r="BBF22" i="5"/>
  <c r="BBG22" i="5"/>
  <c r="BBH22" i="5"/>
  <c r="BBI22" i="5"/>
  <c r="BBJ22" i="5"/>
  <c r="BBK22" i="5"/>
  <c r="BBL22" i="5"/>
  <c r="BBM22" i="5"/>
  <c r="BBN22" i="5"/>
  <c r="BBO22" i="5"/>
  <c r="BBP22" i="5"/>
  <c r="BBQ22" i="5"/>
  <c r="BBR22" i="5"/>
  <c r="BBS22" i="5"/>
  <c r="BBT22" i="5"/>
  <c r="BBU22" i="5"/>
  <c r="BBV22" i="5"/>
  <c r="BBW22" i="5"/>
  <c r="BBX22" i="5"/>
  <c r="BBY22" i="5"/>
  <c r="BBZ22" i="5"/>
  <c r="BCA22" i="5"/>
  <c r="BCB22" i="5"/>
  <c r="BCC22" i="5"/>
  <c r="BCD22" i="5"/>
  <c r="BCE22" i="5"/>
  <c r="BCF22" i="5"/>
  <c r="BCG22" i="5"/>
  <c r="BCH22" i="5"/>
  <c r="BCI22" i="5"/>
  <c r="BCJ22" i="5"/>
  <c r="BCK22" i="5"/>
  <c r="BCL22" i="5"/>
  <c r="BCM22" i="5"/>
  <c r="BCN22" i="5"/>
  <c r="BCO22" i="5"/>
  <c r="BCP22" i="5"/>
  <c r="BCQ22" i="5"/>
  <c r="BCR22" i="5"/>
  <c r="BCS22" i="5"/>
  <c r="BCT22" i="5"/>
  <c r="BCU22" i="5"/>
  <c r="BCV22" i="5"/>
  <c r="BCW22" i="5"/>
  <c r="BCX22" i="5"/>
  <c r="BCY22" i="5"/>
  <c r="BCZ22" i="5"/>
  <c r="BDA22" i="5"/>
  <c r="BDB22" i="5"/>
  <c r="BDC22" i="5"/>
  <c r="BDD22" i="5"/>
  <c r="BDE22" i="5"/>
  <c r="BDF22" i="5"/>
  <c r="BDG22" i="5"/>
  <c r="BDH22" i="5"/>
  <c r="BDI22" i="5"/>
  <c r="BDJ22" i="5"/>
  <c r="BDK22" i="5"/>
  <c r="BDL22" i="5"/>
  <c r="BDM22" i="5"/>
  <c r="BDN22" i="5"/>
  <c r="BDO22" i="5"/>
  <c r="BDP22" i="5"/>
  <c r="BDQ22" i="5"/>
  <c r="BDR22" i="5"/>
  <c r="BDS22" i="5"/>
  <c r="BDT22" i="5"/>
  <c r="BDU22" i="5"/>
  <c r="BDV22" i="5"/>
  <c r="BDW22" i="5"/>
  <c r="BDX22" i="5"/>
  <c r="BDY22" i="5"/>
  <c r="BDZ22" i="5"/>
  <c r="BEA22" i="5"/>
  <c r="BEB22" i="5"/>
  <c r="BEC22" i="5"/>
  <c r="BED22" i="5"/>
  <c r="BEE22" i="5"/>
  <c r="BEF22" i="5"/>
  <c r="BEG22" i="5"/>
  <c r="BEH22" i="5"/>
  <c r="BEI22" i="5"/>
  <c r="BEJ22" i="5"/>
  <c r="BEK22" i="5"/>
  <c r="BEL22" i="5"/>
  <c r="BEM22" i="5"/>
  <c r="BEN22" i="5"/>
  <c r="BEO22" i="5"/>
  <c r="BEP22" i="5"/>
  <c r="BEQ22" i="5"/>
  <c r="BER22" i="5"/>
  <c r="BES22" i="5"/>
  <c r="BET22" i="5"/>
  <c r="BEU22" i="5"/>
  <c r="BEV22" i="5"/>
  <c r="BEW22" i="5"/>
  <c r="BEX22" i="5"/>
  <c r="BEY22" i="5"/>
  <c r="BEZ22" i="5"/>
  <c r="BFA22" i="5"/>
  <c r="BFB22" i="5"/>
  <c r="BFC22" i="5"/>
  <c r="BFD22" i="5"/>
  <c r="BFE22" i="5"/>
  <c r="BFF22" i="5"/>
  <c r="BFG22" i="5"/>
  <c r="BFH22" i="5"/>
  <c r="BFI22" i="5"/>
  <c r="BFJ22" i="5"/>
  <c r="BFK22" i="5"/>
  <c r="BFL22" i="5"/>
  <c r="BFM22" i="5"/>
  <c r="BFN22" i="5"/>
  <c r="BFO22" i="5"/>
  <c r="BFP22" i="5"/>
  <c r="BFQ22" i="5"/>
  <c r="BFR22" i="5"/>
  <c r="BFS22" i="5"/>
  <c r="BFT22" i="5"/>
  <c r="BFU22" i="5"/>
  <c r="BFV22" i="5"/>
  <c r="BFW22" i="5"/>
  <c r="BFX22" i="5"/>
  <c r="BFY22" i="5"/>
  <c r="BFZ22" i="5"/>
  <c r="BGA22" i="5"/>
  <c r="BGB22" i="5"/>
  <c r="BGC22" i="5"/>
  <c r="BGD22" i="5"/>
  <c r="BGE22" i="5"/>
  <c r="BGF22" i="5"/>
  <c r="BGG22" i="5"/>
  <c r="BGH22" i="5"/>
  <c r="BGI22" i="5"/>
  <c r="BGJ22" i="5"/>
  <c r="BGK22" i="5"/>
  <c r="BGL22" i="5"/>
  <c r="BGM22" i="5"/>
  <c r="BGN22" i="5"/>
  <c r="BGO22" i="5"/>
  <c r="BGP22" i="5"/>
  <c r="BGQ22" i="5"/>
  <c r="BGR22" i="5"/>
  <c r="BGS22" i="5"/>
  <c r="BGT22" i="5"/>
  <c r="BGU22" i="5"/>
  <c r="BGV22" i="5"/>
  <c r="BGW22" i="5"/>
  <c r="BGX22" i="5"/>
  <c r="BGY22" i="5"/>
  <c r="BGZ22" i="5"/>
  <c r="BHA22" i="5"/>
  <c r="BHB22" i="5"/>
  <c r="BHC22" i="5"/>
  <c r="BHD22" i="5"/>
  <c r="BHE22" i="5"/>
  <c r="BHF22" i="5"/>
  <c r="BHG22" i="5"/>
  <c r="BHH22" i="5"/>
  <c r="BHI22" i="5"/>
  <c r="BHJ22" i="5"/>
  <c r="BHK22" i="5"/>
  <c r="BHL22" i="5"/>
  <c r="BHM22" i="5"/>
  <c r="BHN22" i="5"/>
  <c r="BHO22" i="5"/>
  <c r="BHP22" i="5"/>
  <c r="BHQ22" i="5"/>
  <c r="BHR22" i="5"/>
  <c r="BHS22" i="5"/>
  <c r="BHT22" i="5"/>
  <c r="BHU22" i="5"/>
  <c r="BHV22" i="5"/>
  <c r="BHW22" i="5"/>
  <c r="BHX22" i="5"/>
  <c r="BHY22" i="5"/>
  <c r="BHZ22" i="5"/>
  <c r="BIA22" i="5"/>
  <c r="BIB22" i="5"/>
  <c r="BIC22" i="5"/>
  <c r="BID22" i="5"/>
  <c r="BIE22" i="5"/>
  <c r="BIF22" i="5"/>
  <c r="BIG22" i="5"/>
  <c r="BIH22" i="5"/>
  <c r="BII22" i="5"/>
  <c r="BIJ22" i="5"/>
  <c r="BIK22" i="5"/>
  <c r="BIL22" i="5"/>
  <c r="BIM22" i="5"/>
  <c r="BIN22" i="5"/>
  <c r="BIO22" i="5"/>
  <c r="BIP22" i="5"/>
  <c r="BIQ22" i="5"/>
  <c r="BIR22" i="5"/>
  <c r="BIS22" i="5"/>
  <c r="BIT22" i="5"/>
  <c r="BIU22" i="5"/>
  <c r="BIV22" i="5"/>
  <c r="BIW22" i="5"/>
  <c r="BIX22" i="5"/>
  <c r="BIY22" i="5"/>
  <c r="BIZ22" i="5"/>
  <c r="BJA22" i="5"/>
  <c r="BJB22" i="5"/>
  <c r="BJC22" i="5"/>
  <c r="BJD22" i="5"/>
  <c r="BJE22" i="5"/>
  <c r="BJF22" i="5"/>
  <c r="BJG22" i="5"/>
  <c r="BJH22" i="5"/>
  <c r="BJI22" i="5"/>
  <c r="BJJ22" i="5"/>
  <c r="BJK22" i="5"/>
  <c r="BJL22" i="5"/>
  <c r="BJM22" i="5"/>
  <c r="BJN22" i="5"/>
  <c r="BJO22" i="5"/>
  <c r="BJP22" i="5"/>
  <c r="BJQ22" i="5"/>
  <c r="BJR22" i="5"/>
  <c r="BJS22" i="5"/>
  <c r="BJT22" i="5"/>
  <c r="BJU22" i="5"/>
  <c r="BJV22" i="5"/>
  <c r="BJW22" i="5"/>
  <c r="BJX22" i="5"/>
  <c r="BJY22" i="5"/>
  <c r="BJZ22" i="5"/>
  <c r="BKA22" i="5"/>
  <c r="BKB22" i="5"/>
  <c r="BKC22" i="5"/>
  <c r="BKD22" i="5"/>
  <c r="BKE22" i="5"/>
  <c r="BKF22" i="5"/>
  <c r="BKG22" i="5"/>
  <c r="BKH22" i="5"/>
  <c r="BKI22" i="5"/>
  <c r="BKJ22" i="5"/>
  <c r="BKK22" i="5"/>
  <c r="BKL22" i="5"/>
  <c r="BKM22" i="5"/>
  <c r="BKN22" i="5"/>
  <c r="BKO22" i="5"/>
  <c r="BKP22" i="5"/>
  <c r="BKQ22" i="5"/>
  <c r="BKR22" i="5"/>
  <c r="BKS22" i="5"/>
  <c r="BKT22" i="5"/>
  <c r="BKU22" i="5"/>
  <c r="BKV22" i="5"/>
  <c r="BKW22" i="5"/>
  <c r="BKX22" i="5"/>
  <c r="BKY22" i="5"/>
  <c r="BKZ22" i="5"/>
  <c r="BLA22" i="5"/>
  <c r="BLB22" i="5"/>
  <c r="BLC22" i="5"/>
  <c r="BLD22" i="5"/>
  <c r="BLE22" i="5"/>
  <c r="BLF22" i="5"/>
  <c r="BLG22" i="5"/>
  <c r="BLH22" i="5"/>
  <c r="BLI22" i="5"/>
  <c r="BLJ22" i="5"/>
  <c r="BLK22" i="5"/>
  <c r="BLL22" i="5"/>
  <c r="BLM22" i="5"/>
  <c r="BLN22" i="5"/>
  <c r="BLO22" i="5"/>
  <c r="BLP22" i="5"/>
  <c r="BLQ22" i="5"/>
  <c r="BLR22" i="5"/>
  <c r="BLS22" i="5"/>
  <c r="BLT22" i="5"/>
  <c r="BLU22" i="5"/>
  <c r="BLV22" i="5"/>
  <c r="BLW22" i="5"/>
  <c r="BLX22" i="5"/>
  <c r="BLY22" i="5"/>
  <c r="BLZ22" i="5"/>
  <c r="BMA22" i="5"/>
  <c r="BMB22" i="5"/>
  <c r="BMC22" i="5"/>
  <c r="BMD22" i="5"/>
  <c r="BME22" i="5"/>
  <c r="BMF22" i="5"/>
  <c r="BMG22" i="5"/>
  <c r="BMH22" i="5"/>
  <c r="BMI22" i="5"/>
  <c r="BMJ22" i="5"/>
  <c r="BMK22" i="5"/>
  <c r="BML22" i="5"/>
  <c r="BMM22" i="5"/>
  <c r="BMN22" i="5"/>
  <c r="BMO22" i="5"/>
  <c r="BMP22" i="5"/>
  <c r="BMQ22" i="5"/>
  <c r="BMR22" i="5"/>
  <c r="BMS22" i="5"/>
  <c r="BMT22" i="5"/>
  <c r="BMU22" i="5"/>
  <c r="BMV22" i="5"/>
  <c r="BMW22" i="5"/>
  <c r="BMX22" i="5"/>
  <c r="BMY22" i="5"/>
  <c r="BMZ22" i="5"/>
  <c r="BNA22" i="5"/>
  <c r="BNB22" i="5"/>
  <c r="BNC22" i="5"/>
  <c r="BND22" i="5"/>
  <c r="BNE22" i="5"/>
  <c r="BNF22" i="5"/>
  <c r="BNG22" i="5"/>
  <c r="BNH22" i="5"/>
  <c r="BNI22" i="5"/>
  <c r="BNJ22" i="5"/>
  <c r="BNK22" i="5"/>
  <c r="BNL22" i="5"/>
  <c r="BNM22" i="5"/>
  <c r="BNN22" i="5"/>
  <c r="BNO22" i="5"/>
  <c r="BNP22" i="5"/>
  <c r="BNQ22" i="5"/>
  <c r="BNR22" i="5"/>
  <c r="BNS22" i="5"/>
  <c r="BNT22" i="5"/>
  <c r="BNU22" i="5"/>
  <c r="BNV22" i="5"/>
  <c r="BNW22" i="5"/>
  <c r="BNX22" i="5"/>
  <c r="BNY22" i="5"/>
  <c r="BNZ22" i="5"/>
  <c r="BOA22" i="5"/>
  <c r="BOB22" i="5"/>
  <c r="BOC22" i="5"/>
  <c r="BOD22" i="5"/>
  <c r="BOE22" i="5"/>
  <c r="BOF22" i="5"/>
  <c r="BOG22" i="5"/>
  <c r="BOH22" i="5"/>
  <c r="BOI22" i="5"/>
  <c r="BOJ22" i="5"/>
  <c r="BOK22" i="5"/>
  <c r="BOL22" i="5"/>
  <c r="BOM22" i="5"/>
  <c r="BON22" i="5"/>
  <c r="BOO22" i="5"/>
  <c r="BOP22" i="5"/>
  <c r="BOQ22" i="5"/>
  <c r="BOR22" i="5"/>
  <c r="BOS22" i="5"/>
  <c r="BOT22" i="5"/>
  <c r="BOU22" i="5"/>
  <c r="BOV22" i="5"/>
  <c r="BOW22" i="5"/>
  <c r="BOX22" i="5"/>
  <c r="BOY22" i="5"/>
  <c r="BOZ22" i="5"/>
  <c r="BPA22" i="5"/>
  <c r="BPB22" i="5"/>
  <c r="BPC22" i="5"/>
  <c r="BPD22" i="5"/>
  <c r="BPE22" i="5"/>
  <c r="BPF22" i="5"/>
  <c r="BPG22" i="5"/>
  <c r="BPH22" i="5"/>
  <c r="BPI22" i="5"/>
  <c r="BPJ22" i="5"/>
  <c r="BPK22" i="5"/>
  <c r="BPL22" i="5"/>
  <c r="BPM22" i="5"/>
  <c r="BPN22" i="5"/>
  <c r="BPO22" i="5"/>
  <c r="BPP22" i="5"/>
  <c r="BPQ22" i="5"/>
  <c r="BPR22" i="5"/>
  <c r="BPS22" i="5"/>
  <c r="BPT22" i="5"/>
  <c r="BPU22" i="5"/>
  <c r="BPV22" i="5"/>
  <c r="BPW22" i="5"/>
  <c r="BPX22" i="5"/>
  <c r="BPY22" i="5"/>
  <c r="BPZ22" i="5"/>
  <c r="BQA22" i="5"/>
  <c r="BQB22" i="5"/>
  <c r="BQC22" i="5"/>
  <c r="BQD22" i="5"/>
  <c r="BQE22" i="5"/>
  <c r="BQF22" i="5"/>
  <c r="BQG22" i="5"/>
  <c r="BQH22" i="5"/>
  <c r="BQI22" i="5"/>
  <c r="BQJ22" i="5"/>
  <c r="BQK22" i="5"/>
  <c r="BQL22" i="5"/>
  <c r="BQM22" i="5"/>
  <c r="BQN22" i="5"/>
  <c r="BQO22" i="5"/>
  <c r="BQP22" i="5"/>
  <c r="BQQ22" i="5"/>
  <c r="BQR22" i="5"/>
  <c r="BQS22" i="5"/>
  <c r="BQT22" i="5"/>
  <c r="BQU22" i="5"/>
  <c r="BQV22" i="5"/>
  <c r="BQW22" i="5"/>
  <c r="BQX22" i="5"/>
  <c r="BQY22" i="5"/>
  <c r="BQZ22" i="5"/>
  <c r="BRA22" i="5"/>
  <c r="BRB22" i="5"/>
  <c r="BRC22" i="5"/>
  <c r="BRD22" i="5"/>
  <c r="BRE22" i="5"/>
  <c r="BRF22" i="5"/>
  <c r="BRG22" i="5"/>
  <c r="BRH22" i="5"/>
  <c r="BRI22" i="5"/>
  <c r="BRJ22" i="5"/>
  <c r="BRK22" i="5"/>
  <c r="BRL22" i="5"/>
  <c r="BRM22" i="5"/>
  <c r="BRN22" i="5"/>
  <c r="BRO22" i="5"/>
  <c r="BRP22" i="5"/>
  <c r="BRQ22" i="5"/>
  <c r="BRR22" i="5"/>
  <c r="BRS22" i="5"/>
  <c r="BRT22" i="5"/>
  <c r="BRU22" i="5"/>
  <c r="BRV22" i="5"/>
  <c r="BRW22" i="5"/>
  <c r="BRX22" i="5"/>
  <c r="BRY22" i="5"/>
  <c r="BRZ22" i="5"/>
  <c r="BSA22" i="5"/>
  <c r="BSB22" i="5"/>
  <c r="BSC22" i="5"/>
  <c r="BSD22" i="5"/>
  <c r="BSE22" i="5"/>
  <c r="BSF22" i="5"/>
  <c r="BSG22" i="5"/>
  <c r="BSH22" i="5"/>
  <c r="BSI22" i="5"/>
  <c r="BSJ22" i="5"/>
  <c r="BSK22" i="5"/>
  <c r="BSL22" i="5"/>
  <c r="BSM22" i="5"/>
  <c r="BSN22" i="5"/>
  <c r="BSO22" i="5"/>
  <c r="BSP22" i="5"/>
  <c r="BSQ22" i="5"/>
  <c r="BSR22" i="5"/>
  <c r="BSS22" i="5"/>
  <c r="BST22" i="5"/>
  <c r="BSU22" i="5"/>
  <c r="BSV22" i="5"/>
  <c r="BSW22" i="5"/>
  <c r="BSX22" i="5"/>
  <c r="BSY22" i="5"/>
  <c r="BSZ22" i="5"/>
  <c r="BTA22" i="5"/>
  <c r="BTB22" i="5"/>
  <c r="BTC22" i="5"/>
  <c r="BTD22" i="5"/>
  <c r="BTE22" i="5"/>
  <c r="BTF22" i="5"/>
  <c r="BTG22" i="5"/>
  <c r="BTH22" i="5"/>
  <c r="BTI22" i="5"/>
  <c r="BTJ22" i="5"/>
  <c r="BTK22" i="5"/>
  <c r="BTL22" i="5"/>
  <c r="BTM22" i="5"/>
  <c r="BTN22" i="5"/>
  <c r="BTO22" i="5"/>
  <c r="BTP22" i="5"/>
  <c r="BTQ22" i="5"/>
  <c r="BTR22" i="5"/>
  <c r="BTS22" i="5"/>
  <c r="BTT22" i="5"/>
  <c r="BTU22" i="5"/>
  <c r="BTV22" i="5"/>
  <c r="BTW22" i="5"/>
  <c r="BTX22" i="5"/>
  <c r="BTY22" i="5"/>
  <c r="BTZ22" i="5"/>
  <c r="BUA22" i="5"/>
  <c r="BUB22" i="5"/>
  <c r="BUC22" i="5"/>
  <c r="BUD22" i="5"/>
  <c r="BUE22" i="5"/>
  <c r="BUF22" i="5"/>
  <c r="BUG22" i="5"/>
  <c r="BUH22" i="5"/>
  <c r="BUI22" i="5"/>
  <c r="BUJ22" i="5"/>
  <c r="BUK22" i="5"/>
  <c r="BUL22" i="5"/>
  <c r="BUM22" i="5"/>
  <c r="BUN22" i="5"/>
  <c r="BUO22" i="5"/>
  <c r="BUP22" i="5"/>
  <c r="BUQ22" i="5"/>
  <c r="BUR22" i="5"/>
  <c r="BUS22" i="5"/>
  <c r="BUT22" i="5"/>
  <c r="BUU22" i="5"/>
  <c r="BUV22" i="5"/>
  <c r="BUW22" i="5"/>
  <c r="BUX22" i="5"/>
  <c r="BUY22" i="5"/>
  <c r="BUZ22" i="5"/>
  <c r="BVA22" i="5"/>
  <c r="BVB22" i="5"/>
  <c r="BVC22" i="5"/>
  <c r="BVD22" i="5"/>
  <c r="BVE22" i="5"/>
  <c r="BVF22" i="5"/>
  <c r="BVG22" i="5"/>
  <c r="BVH22" i="5"/>
  <c r="BVI22" i="5"/>
  <c r="BVJ22" i="5"/>
  <c r="BVK22" i="5"/>
  <c r="BVL22" i="5"/>
  <c r="BVM22" i="5"/>
  <c r="BVN22" i="5"/>
  <c r="BVO22" i="5"/>
  <c r="BVP22" i="5"/>
  <c r="BVQ22" i="5"/>
  <c r="BVR22" i="5"/>
  <c r="BVS22" i="5"/>
  <c r="BVT22" i="5"/>
  <c r="BVU22" i="5"/>
  <c r="BVV22" i="5"/>
  <c r="BVW22" i="5"/>
  <c r="BVX22" i="5"/>
  <c r="BVY22" i="5"/>
  <c r="BVZ22" i="5"/>
  <c r="BWA22" i="5"/>
  <c r="BWB22" i="5"/>
  <c r="BWC22" i="5"/>
  <c r="BWD22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TG23" i="5"/>
  <c r="TH23" i="5"/>
  <c r="TI23" i="5"/>
  <c r="TJ23" i="5"/>
  <c r="TK23" i="5"/>
  <c r="TL23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Z23" i="5"/>
  <c r="UA23" i="5"/>
  <c r="UB23" i="5"/>
  <c r="UC23" i="5"/>
  <c r="UD23" i="5"/>
  <c r="UE23" i="5"/>
  <c r="UF23" i="5"/>
  <c r="UG23" i="5"/>
  <c r="UH23" i="5"/>
  <c r="UI23" i="5"/>
  <c r="UJ23" i="5"/>
  <c r="UK23" i="5"/>
  <c r="UL23" i="5"/>
  <c r="UM23" i="5"/>
  <c r="UN23" i="5"/>
  <c r="UO23" i="5"/>
  <c r="UP23" i="5"/>
  <c r="UQ23" i="5"/>
  <c r="UR23" i="5"/>
  <c r="US23" i="5"/>
  <c r="UT23" i="5"/>
  <c r="UU23" i="5"/>
  <c r="UV23" i="5"/>
  <c r="UW23" i="5"/>
  <c r="UX23" i="5"/>
  <c r="UY23" i="5"/>
  <c r="UZ23" i="5"/>
  <c r="VA23" i="5"/>
  <c r="VB23" i="5"/>
  <c r="VC23" i="5"/>
  <c r="VD23" i="5"/>
  <c r="VE23" i="5"/>
  <c r="VF23" i="5"/>
  <c r="VG23" i="5"/>
  <c r="VH23" i="5"/>
  <c r="VI23" i="5"/>
  <c r="VJ23" i="5"/>
  <c r="VK23" i="5"/>
  <c r="VL23" i="5"/>
  <c r="VM23" i="5"/>
  <c r="VN23" i="5"/>
  <c r="VO23" i="5"/>
  <c r="VP23" i="5"/>
  <c r="VQ23" i="5"/>
  <c r="VR23" i="5"/>
  <c r="VS23" i="5"/>
  <c r="VT23" i="5"/>
  <c r="VU23" i="5"/>
  <c r="VV23" i="5"/>
  <c r="VW23" i="5"/>
  <c r="VX23" i="5"/>
  <c r="VY23" i="5"/>
  <c r="VZ23" i="5"/>
  <c r="WA23" i="5"/>
  <c r="WB23" i="5"/>
  <c r="WC23" i="5"/>
  <c r="WD23" i="5"/>
  <c r="WE23" i="5"/>
  <c r="WF23" i="5"/>
  <c r="WG23" i="5"/>
  <c r="WH23" i="5"/>
  <c r="WI23" i="5"/>
  <c r="WJ23" i="5"/>
  <c r="WK23" i="5"/>
  <c r="WL23" i="5"/>
  <c r="WM23" i="5"/>
  <c r="WN23" i="5"/>
  <c r="WO23" i="5"/>
  <c r="WP23" i="5"/>
  <c r="WQ23" i="5"/>
  <c r="WR23" i="5"/>
  <c r="WS23" i="5"/>
  <c r="WT23" i="5"/>
  <c r="WU23" i="5"/>
  <c r="WV23" i="5"/>
  <c r="WW23" i="5"/>
  <c r="WX23" i="5"/>
  <c r="WY23" i="5"/>
  <c r="WZ23" i="5"/>
  <c r="XA23" i="5"/>
  <c r="XB23" i="5"/>
  <c r="XC23" i="5"/>
  <c r="XD23" i="5"/>
  <c r="XE23" i="5"/>
  <c r="XF23" i="5"/>
  <c r="XG23" i="5"/>
  <c r="XH23" i="5"/>
  <c r="XI23" i="5"/>
  <c r="XJ23" i="5"/>
  <c r="XK23" i="5"/>
  <c r="XL23" i="5"/>
  <c r="XM23" i="5"/>
  <c r="XN23" i="5"/>
  <c r="XO23" i="5"/>
  <c r="XP23" i="5"/>
  <c r="XQ23" i="5"/>
  <c r="XR23" i="5"/>
  <c r="XS23" i="5"/>
  <c r="XT23" i="5"/>
  <c r="XU23" i="5"/>
  <c r="XV23" i="5"/>
  <c r="XW23" i="5"/>
  <c r="XX23" i="5"/>
  <c r="XY23" i="5"/>
  <c r="XZ23" i="5"/>
  <c r="YA23" i="5"/>
  <c r="YB23" i="5"/>
  <c r="YC23" i="5"/>
  <c r="YD23" i="5"/>
  <c r="YE23" i="5"/>
  <c r="YF23" i="5"/>
  <c r="YG23" i="5"/>
  <c r="YH23" i="5"/>
  <c r="YI23" i="5"/>
  <c r="YJ23" i="5"/>
  <c r="YK23" i="5"/>
  <c r="YL23" i="5"/>
  <c r="YM23" i="5"/>
  <c r="YN23" i="5"/>
  <c r="YO23" i="5"/>
  <c r="YP23" i="5"/>
  <c r="YQ23" i="5"/>
  <c r="YR23" i="5"/>
  <c r="YS23" i="5"/>
  <c r="YT23" i="5"/>
  <c r="YU23" i="5"/>
  <c r="YV23" i="5"/>
  <c r="YW23" i="5"/>
  <c r="YX23" i="5"/>
  <c r="YY23" i="5"/>
  <c r="YZ23" i="5"/>
  <c r="ZA23" i="5"/>
  <c r="ZB23" i="5"/>
  <c r="ZC23" i="5"/>
  <c r="ZD23" i="5"/>
  <c r="ZE23" i="5"/>
  <c r="ZF23" i="5"/>
  <c r="ZG23" i="5"/>
  <c r="ZH23" i="5"/>
  <c r="ZI23" i="5"/>
  <c r="ZJ23" i="5"/>
  <c r="ZK23" i="5"/>
  <c r="ZL23" i="5"/>
  <c r="ZM23" i="5"/>
  <c r="ZN23" i="5"/>
  <c r="ZO23" i="5"/>
  <c r="ZP23" i="5"/>
  <c r="ZQ23" i="5"/>
  <c r="ZR23" i="5"/>
  <c r="ZS23" i="5"/>
  <c r="ZT23" i="5"/>
  <c r="ZU23" i="5"/>
  <c r="ZV23" i="5"/>
  <c r="ZW23" i="5"/>
  <c r="ZX23" i="5"/>
  <c r="ZY23" i="5"/>
  <c r="ZZ23" i="5"/>
  <c r="AAA23" i="5"/>
  <c r="AAB23" i="5"/>
  <c r="AAC23" i="5"/>
  <c r="AAD23" i="5"/>
  <c r="AAE23" i="5"/>
  <c r="AAF23" i="5"/>
  <c r="AAG23" i="5"/>
  <c r="AAH23" i="5"/>
  <c r="AAI23" i="5"/>
  <c r="AAJ23" i="5"/>
  <c r="AAK23" i="5"/>
  <c r="AAL23" i="5"/>
  <c r="AAM23" i="5"/>
  <c r="AAN23" i="5"/>
  <c r="AAO23" i="5"/>
  <c r="AAP23" i="5"/>
  <c r="AAQ23" i="5"/>
  <c r="AAR23" i="5"/>
  <c r="AAS23" i="5"/>
  <c r="AAT23" i="5"/>
  <c r="AAU23" i="5"/>
  <c r="AAV23" i="5"/>
  <c r="AAW23" i="5"/>
  <c r="AAX23" i="5"/>
  <c r="AAY23" i="5"/>
  <c r="AAZ23" i="5"/>
  <c r="ABA23" i="5"/>
  <c r="ABB23" i="5"/>
  <c r="ABC23" i="5"/>
  <c r="ABD23" i="5"/>
  <c r="ABE23" i="5"/>
  <c r="ABF23" i="5"/>
  <c r="ABG23" i="5"/>
  <c r="ABH23" i="5"/>
  <c r="ABI23" i="5"/>
  <c r="ABJ23" i="5"/>
  <c r="ABK23" i="5"/>
  <c r="ABL23" i="5"/>
  <c r="ABM23" i="5"/>
  <c r="ABN23" i="5"/>
  <c r="ABO23" i="5"/>
  <c r="ABP23" i="5"/>
  <c r="ABQ23" i="5"/>
  <c r="ABR23" i="5"/>
  <c r="ABS23" i="5"/>
  <c r="ABT23" i="5"/>
  <c r="ABU23" i="5"/>
  <c r="ABV23" i="5"/>
  <c r="ABW23" i="5"/>
  <c r="ABX23" i="5"/>
  <c r="ABY23" i="5"/>
  <c r="ABZ23" i="5"/>
  <c r="ACA23" i="5"/>
  <c r="ACB23" i="5"/>
  <c r="ACC23" i="5"/>
  <c r="ACD23" i="5"/>
  <c r="ACE23" i="5"/>
  <c r="ACF23" i="5"/>
  <c r="ACG23" i="5"/>
  <c r="ACH23" i="5"/>
  <c r="ACI23" i="5"/>
  <c r="ACJ23" i="5"/>
  <c r="ACK23" i="5"/>
  <c r="ACL23" i="5"/>
  <c r="ACM23" i="5"/>
  <c r="ACN23" i="5"/>
  <c r="ACO23" i="5"/>
  <c r="ACP23" i="5"/>
  <c r="ACQ23" i="5"/>
  <c r="ACR23" i="5"/>
  <c r="ACS23" i="5"/>
  <c r="ACT23" i="5"/>
  <c r="ACU23" i="5"/>
  <c r="ACV23" i="5"/>
  <c r="ACW23" i="5"/>
  <c r="ACX23" i="5"/>
  <c r="ACY23" i="5"/>
  <c r="ACZ23" i="5"/>
  <c r="ADA23" i="5"/>
  <c r="ADB23" i="5"/>
  <c r="ADC23" i="5"/>
  <c r="ADD23" i="5"/>
  <c r="ADE23" i="5"/>
  <c r="ADF23" i="5"/>
  <c r="ADG23" i="5"/>
  <c r="ADH23" i="5"/>
  <c r="ADI23" i="5"/>
  <c r="ADJ23" i="5"/>
  <c r="ADK23" i="5"/>
  <c r="ADL23" i="5"/>
  <c r="ADM23" i="5"/>
  <c r="ADN23" i="5"/>
  <c r="ADO23" i="5"/>
  <c r="ADP23" i="5"/>
  <c r="ADQ23" i="5"/>
  <c r="ADR23" i="5"/>
  <c r="ADS23" i="5"/>
  <c r="ADT23" i="5"/>
  <c r="ADU23" i="5"/>
  <c r="ADV23" i="5"/>
  <c r="ADW23" i="5"/>
  <c r="ADX23" i="5"/>
  <c r="ADY23" i="5"/>
  <c r="ADZ23" i="5"/>
  <c r="AEA23" i="5"/>
  <c r="AEB23" i="5"/>
  <c r="AEC23" i="5"/>
  <c r="AED23" i="5"/>
  <c r="AEE23" i="5"/>
  <c r="AEF23" i="5"/>
  <c r="AEG23" i="5"/>
  <c r="AEH23" i="5"/>
  <c r="AEI23" i="5"/>
  <c r="AEJ23" i="5"/>
  <c r="AEK23" i="5"/>
  <c r="AEL23" i="5"/>
  <c r="AEM23" i="5"/>
  <c r="AEN23" i="5"/>
  <c r="AEO23" i="5"/>
  <c r="AEP23" i="5"/>
  <c r="AEQ23" i="5"/>
  <c r="AER23" i="5"/>
  <c r="AES23" i="5"/>
  <c r="AET23" i="5"/>
  <c r="AEU23" i="5"/>
  <c r="AEV23" i="5"/>
  <c r="AEW23" i="5"/>
  <c r="AEX23" i="5"/>
  <c r="AEY23" i="5"/>
  <c r="AEZ23" i="5"/>
  <c r="AFA23" i="5"/>
  <c r="AFB23" i="5"/>
  <c r="AFC23" i="5"/>
  <c r="AFD23" i="5"/>
  <c r="AFE23" i="5"/>
  <c r="AFF23" i="5"/>
  <c r="AFG23" i="5"/>
  <c r="AFH23" i="5"/>
  <c r="AFI23" i="5"/>
  <c r="AFJ23" i="5"/>
  <c r="AFK23" i="5"/>
  <c r="AFL23" i="5"/>
  <c r="AFM23" i="5"/>
  <c r="AFN23" i="5"/>
  <c r="AFO23" i="5"/>
  <c r="AFP23" i="5"/>
  <c r="AFQ23" i="5"/>
  <c r="AFR23" i="5"/>
  <c r="AFS23" i="5"/>
  <c r="AFT23" i="5"/>
  <c r="AFU23" i="5"/>
  <c r="AFV23" i="5"/>
  <c r="AFW23" i="5"/>
  <c r="AFX23" i="5"/>
  <c r="AFY23" i="5"/>
  <c r="AFZ23" i="5"/>
  <c r="AGA23" i="5"/>
  <c r="AGB23" i="5"/>
  <c r="AGC23" i="5"/>
  <c r="AGD23" i="5"/>
  <c r="AGE23" i="5"/>
  <c r="AGF23" i="5"/>
  <c r="AGG23" i="5"/>
  <c r="AGH23" i="5"/>
  <c r="AGI23" i="5"/>
  <c r="AGJ23" i="5"/>
  <c r="AGK23" i="5"/>
  <c r="AGL23" i="5"/>
  <c r="AGM23" i="5"/>
  <c r="AGN23" i="5"/>
  <c r="AGO23" i="5"/>
  <c r="AGP23" i="5"/>
  <c r="AGQ23" i="5"/>
  <c r="AGR23" i="5"/>
  <c r="AGS23" i="5"/>
  <c r="AGT23" i="5"/>
  <c r="AGU23" i="5"/>
  <c r="AGV23" i="5"/>
  <c r="AGW23" i="5"/>
  <c r="AGX23" i="5"/>
  <c r="AGY23" i="5"/>
  <c r="AGZ23" i="5"/>
  <c r="AHA23" i="5"/>
  <c r="AHB23" i="5"/>
  <c r="AHC23" i="5"/>
  <c r="AHD23" i="5"/>
  <c r="AHE23" i="5"/>
  <c r="AHF23" i="5"/>
  <c r="AHG23" i="5"/>
  <c r="AHH23" i="5"/>
  <c r="AHI23" i="5"/>
  <c r="AHJ23" i="5"/>
  <c r="AHK23" i="5"/>
  <c r="AHL23" i="5"/>
  <c r="AHM23" i="5"/>
  <c r="AHN23" i="5"/>
  <c r="AHO23" i="5"/>
  <c r="AHP23" i="5"/>
  <c r="AHQ23" i="5"/>
  <c r="AHR23" i="5"/>
  <c r="AHS23" i="5"/>
  <c r="AHT23" i="5"/>
  <c r="AHU23" i="5"/>
  <c r="AHV23" i="5"/>
  <c r="AHW23" i="5"/>
  <c r="AHX23" i="5"/>
  <c r="AHY23" i="5"/>
  <c r="AHZ23" i="5"/>
  <c r="AIA23" i="5"/>
  <c r="AIB23" i="5"/>
  <c r="AIC23" i="5"/>
  <c r="AID23" i="5"/>
  <c r="AIE23" i="5"/>
  <c r="AIF23" i="5"/>
  <c r="AIG23" i="5"/>
  <c r="AIH23" i="5"/>
  <c r="AII23" i="5"/>
  <c r="AIJ23" i="5"/>
  <c r="AIK23" i="5"/>
  <c r="AIL23" i="5"/>
  <c r="AIM23" i="5"/>
  <c r="AIN23" i="5"/>
  <c r="AIO23" i="5"/>
  <c r="AIP23" i="5"/>
  <c r="AIQ23" i="5"/>
  <c r="AIR23" i="5"/>
  <c r="AIS23" i="5"/>
  <c r="AIT23" i="5"/>
  <c r="AIU23" i="5"/>
  <c r="AIV23" i="5"/>
  <c r="AIW23" i="5"/>
  <c r="AIX23" i="5"/>
  <c r="AIY23" i="5"/>
  <c r="AIZ23" i="5"/>
  <c r="AJA23" i="5"/>
  <c r="AJB23" i="5"/>
  <c r="AJC23" i="5"/>
  <c r="AJD23" i="5"/>
  <c r="AJE23" i="5"/>
  <c r="AJF23" i="5"/>
  <c r="AJG23" i="5"/>
  <c r="AJH23" i="5"/>
  <c r="AJI23" i="5"/>
  <c r="AJJ23" i="5"/>
  <c r="AJK23" i="5"/>
  <c r="AJL23" i="5"/>
  <c r="AJM23" i="5"/>
  <c r="AJN23" i="5"/>
  <c r="AJO23" i="5"/>
  <c r="AJP23" i="5"/>
  <c r="AJQ23" i="5"/>
  <c r="AJR23" i="5"/>
  <c r="AJS23" i="5"/>
  <c r="AJT23" i="5"/>
  <c r="AJU23" i="5"/>
  <c r="AJV23" i="5"/>
  <c r="AJW23" i="5"/>
  <c r="AJX23" i="5"/>
  <c r="AJY23" i="5"/>
  <c r="AJZ23" i="5"/>
  <c r="AKA23" i="5"/>
  <c r="AKB23" i="5"/>
  <c r="AKC23" i="5"/>
  <c r="AKD23" i="5"/>
  <c r="AKE23" i="5"/>
  <c r="AKF23" i="5"/>
  <c r="AKG23" i="5"/>
  <c r="AKH23" i="5"/>
  <c r="AKI23" i="5"/>
  <c r="AKJ23" i="5"/>
  <c r="AKK23" i="5"/>
  <c r="AKL23" i="5"/>
  <c r="AKM23" i="5"/>
  <c r="AKN23" i="5"/>
  <c r="AKO23" i="5"/>
  <c r="AKP23" i="5"/>
  <c r="AKQ23" i="5"/>
  <c r="AKR23" i="5"/>
  <c r="AKS23" i="5"/>
  <c r="AKT23" i="5"/>
  <c r="AKU23" i="5"/>
  <c r="AKV23" i="5"/>
  <c r="AKW23" i="5"/>
  <c r="AKX23" i="5"/>
  <c r="AKY23" i="5"/>
  <c r="AKZ23" i="5"/>
  <c r="ALA23" i="5"/>
  <c r="ALB23" i="5"/>
  <c r="ALC23" i="5"/>
  <c r="ALD23" i="5"/>
  <c r="ALE23" i="5"/>
  <c r="ALF23" i="5"/>
  <c r="ALG23" i="5"/>
  <c r="ALH23" i="5"/>
  <c r="ALI23" i="5"/>
  <c r="ALJ23" i="5"/>
  <c r="ALK23" i="5"/>
  <c r="ALL23" i="5"/>
  <c r="ALM23" i="5"/>
  <c r="ALN23" i="5"/>
  <c r="ALO23" i="5"/>
  <c r="ALP23" i="5"/>
  <c r="ALQ23" i="5"/>
  <c r="ALR23" i="5"/>
  <c r="ALS23" i="5"/>
  <c r="ALT23" i="5"/>
  <c r="ALU23" i="5"/>
  <c r="ALV23" i="5"/>
  <c r="ALW23" i="5"/>
  <c r="ALX23" i="5"/>
  <c r="ALY23" i="5"/>
  <c r="ALZ23" i="5"/>
  <c r="AMA23" i="5"/>
  <c r="AMB23" i="5"/>
  <c r="AMC23" i="5"/>
  <c r="AMD23" i="5"/>
  <c r="AME23" i="5"/>
  <c r="AMF23" i="5"/>
  <c r="AMG23" i="5"/>
  <c r="AMH23" i="5"/>
  <c r="AMI23" i="5"/>
  <c r="AMJ23" i="5"/>
  <c r="AMK23" i="5"/>
  <c r="AML23" i="5"/>
  <c r="AMM23" i="5"/>
  <c r="AMN23" i="5"/>
  <c r="AMO23" i="5"/>
  <c r="AMP23" i="5"/>
  <c r="AMQ23" i="5"/>
  <c r="AMR23" i="5"/>
  <c r="AMS23" i="5"/>
  <c r="AMT23" i="5"/>
  <c r="AMU23" i="5"/>
  <c r="AMV23" i="5"/>
  <c r="AMW23" i="5"/>
  <c r="AMX23" i="5"/>
  <c r="AMY23" i="5"/>
  <c r="AMZ23" i="5"/>
  <c r="ANA23" i="5"/>
  <c r="ANB23" i="5"/>
  <c r="ANC23" i="5"/>
  <c r="AND23" i="5"/>
  <c r="ANE23" i="5"/>
  <c r="ANF23" i="5"/>
  <c r="ANG23" i="5"/>
  <c r="ANH23" i="5"/>
  <c r="ANI23" i="5"/>
  <c r="ANJ23" i="5"/>
  <c r="ANK23" i="5"/>
  <c r="ANL23" i="5"/>
  <c r="ANM23" i="5"/>
  <c r="ANN23" i="5"/>
  <c r="ANO23" i="5"/>
  <c r="ANP23" i="5"/>
  <c r="ANQ23" i="5"/>
  <c r="ANR23" i="5"/>
  <c r="ANS23" i="5"/>
  <c r="ANT23" i="5"/>
  <c r="ANU23" i="5"/>
  <c r="ANV23" i="5"/>
  <c r="ANW23" i="5"/>
  <c r="ANX23" i="5"/>
  <c r="ANY23" i="5"/>
  <c r="ANZ23" i="5"/>
  <c r="AOA23" i="5"/>
  <c r="AOB23" i="5"/>
  <c r="AOC23" i="5"/>
  <c r="AOD23" i="5"/>
  <c r="AOE23" i="5"/>
  <c r="AOF23" i="5"/>
  <c r="AOG23" i="5"/>
  <c r="AOH23" i="5"/>
  <c r="AOI23" i="5"/>
  <c r="AOJ23" i="5"/>
  <c r="AOK23" i="5"/>
  <c r="AOL23" i="5"/>
  <c r="AOM23" i="5"/>
  <c r="AON23" i="5"/>
  <c r="AOO23" i="5"/>
  <c r="AOP23" i="5"/>
  <c r="AOQ23" i="5"/>
  <c r="AOR23" i="5"/>
  <c r="AOS23" i="5"/>
  <c r="AOT23" i="5"/>
  <c r="AOU23" i="5"/>
  <c r="AOV23" i="5"/>
  <c r="AOW23" i="5"/>
  <c r="AOX23" i="5"/>
  <c r="AOY23" i="5"/>
  <c r="AOZ23" i="5"/>
  <c r="APA23" i="5"/>
  <c r="APB23" i="5"/>
  <c r="APC23" i="5"/>
  <c r="APD23" i="5"/>
  <c r="APE23" i="5"/>
  <c r="APF23" i="5"/>
  <c r="APG23" i="5"/>
  <c r="APH23" i="5"/>
  <c r="API23" i="5"/>
  <c r="APJ23" i="5"/>
  <c r="APK23" i="5"/>
  <c r="APL23" i="5"/>
  <c r="APM23" i="5"/>
  <c r="APN23" i="5"/>
  <c r="APO23" i="5"/>
  <c r="APP23" i="5"/>
  <c r="APQ23" i="5"/>
  <c r="APR23" i="5"/>
  <c r="APS23" i="5"/>
  <c r="APT23" i="5"/>
  <c r="APU23" i="5"/>
  <c r="APV23" i="5"/>
  <c r="APW23" i="5"/>
  <c r="APX23" i="5"/>
  <c r="APY23" i="5"/>
  <c r="APZ23" i="5"/>
  <c r="AQA23" i="5"/>
  <c r="AQB23" i="5"/>
  <c r="AQC23" i="5"/>
  <c r="AQD23" i="5"/>
  <c r="AQE23" i="5"/>
  <c r="AQF23" i="5"/>
  <c r="AQG23" i="5"/>
  <c r="AQH23" i="5"/>
  <c r="AQI23" i="5"/>
  <c r="AQJ23" i="5"/>
  <c r="AQK23" i="5"/>
  <c r="AQL23" i="5"/>
  <c r="AQM23" i="5"/>
  <c r="AQN23" i="5"/>
  <c r="AQO23" i="5"/>
  <c r="AQP23" i="5"/>
  <c r="AQQ23" i="5"/>
  <c r="AQR23" i="5"/>
  <c r="AQS23" i="5"/>
  <c r="AQT23" i="5"/>
  <c r="AQU23" i="5"/>
  <c r="AQV23" i="5"/>
  <c r="AQW23" i="5"/>
  <c r="AQX23" i="5"/>
  <c r="AQY23" i="5"/>
  <c r="AQZ23" i="5"/>
  <c r="ARA23" i="5"/>
  <c r="ARB23" i="5"/>
  <c r="ARC23" i="5"/>
  <c r="ARD23" i="5"/>
  <c r="ARE23" i="5"/>
  <c r="ARF23" i="5"/>
  <c r="ARG23" i="5"/>
  <c r="ARH23" i="5"/>
  <c r="ARI23" i="5"/>
  <c r="ARJ23" i="5"/>
  <c r="ARK23" i="5"/>
  <c r="ARL23" i="5"/>
  <c r="ARM23" i="5"/>
  <c r="ARN23" i="5"/>
  <c r="ARO23" i="5"/>
  <c r="ARP23" i="5"/>
  <c r="ARQ23" i="5"/>
  <c r="ARR23" i="5"/>
  <c r="ARS23" i="5"/>
  <c r="ART23" i="5"/>
  <c r="ARU23" i="5"/>
  <c r="ARV23" i="5"/>
  <c r="ARW23" i="5"/>
  <c r="ARX23" i="5"/>
  <c r="ARY23" i="5"/>
  <c r="ARZ23" i="5"/>
  <c r="ASA23" i="5"/>
  <c r="ASB23" i="5"/>
  <c r="ASC23" i="5"/>
  <c r="ASD23" i="5"/>
  <c r="ASE23" i="5"/>
  <c r="ASF23" i="5"/>
  <c r="ASG23" i="5"/>
  <c r="ASH23" i="5"/>
  <c r="ASI23" i="5"/>
  <c r="ASJ23" i="5"/>
  <c r="ASK23" i="5"/>
  <c r="ASL23" i="5"/>
  <c r="ASM23" i="5"/>
  <c r="ASN23" i="5"/>
  <c r="ASO23" i="5"/>
  <c r="ASP23" i="5"/>
  <c r="ASQ23" i="5"/>
  <c r="ASR23" i="5"/>
  <c r="ASS23" i="5"/>
  <c r="AST23" i="5"/>
  <c r="ASU23" i="5"/>
  <c r="ASV23" i="5"/>
  <c r="ASW23" i="5"/>
  <c r="ASX23" i="5"/>
  <c r="ASY23" i="5"/>
  <c r="ASZ23" i="5"/>
  <c r="ATA23" i="5"/>
  <c r="ATB23" i="5"/>
  <c r="ATC23" i="5"/>
  <c r="ATD23" i="5"/>
  <c r="ATE23" i="5"/>
  <c r="ATF23" i="5"/>
  <c r="ATG23" i="5"/>
  <c r="ATH23" i="5"/>
  <c r="ATI23" i="5"/>
  <c r="ATJ23" i="5"/>
  <c r="ATK23" i="5"/>
  <c r="ATL23" i="5"/>
  <c r="ATM23" i="5"/>
  <c r="ATN23" i="5"/>
  <c r="ATO23" i="5"/>
  <c r="ATP23" i="5"/>
  <c r="ATQ23" i="5"/>
  <c r="ATR23" i="5"/>
  <c r="ATS23" i="5"/>
  <c r="ATT23" i="5"/>
  <c r="ATU23" i="5"/>
  <c r="ATV23" i="5"/>
  <c r="ATW23" i="5"/>
  <c r="ATX23" i="5"/>
  <c r="ATY23" i="5"/>
  <c r="ATZ23" i="5"/>
  <c r="AUA23" i="5"/>
  <c r="AUB23" i="5"/>
  <c r="AUC23" i="5"/>
  <c r="AUD23" i="5"/>
  <c r="AUE23" i="5"/>
  <c r="AUF23" i="5"/>
  <c r="AUG23" i="5"/>
  <c r="AUH23" i="5"/>
  <c r="AUI23" i="5"/>
  <c r="AUJ23" i="5"/>
  <c r="AUK23" i="5"/>
  <c r="AUL23" i="5"/>
  <c r="AUM23" i="5"/>
  <c r="AUN23" i="5"/>
  <c r="AUO23" i="5"/>
  <c r="AUP23" i="5"/>
  <c r="AUQ23" i="5"/>
  <c r="AUR23" i="5"/>
  <c r="AUS23" i="5"/>
  <c r="AUT23" i="5"/>
  <c r="AUU23" i="5"/>
  <c r="AUV23" i="5"/>
  <c r="AUW23" i="5"/>
  <c r="AUX23" i="5"/>
  <c r="AUY23" i="5"/>
  <c r="AUZ23" i="5"/>
  <c r="AVA23" i="5"/>
  <c r="AVB23" i="5"/>
  <c r="AVC23" i="5"/>
  <c r="AVD23" i="5"/>
  <c r="AVE23" i="5"/>
  <c r="AVF23" i="5"/>
  <c r="AVG23" i="5"/>
  <c r="AVH23" i="5"/>
  <c r="AVI23" i="5"/>
  <c r="AVJ23" i="5"/>
  <c r="AVK23" i="5"/>
  <c r="AVL23" i="5"/>
  <c r="AVM23" i="5"/>
  <c r="AVN23" i="5"/>
  <c r="AVO23" i="5"/>
  <c r="AVP23" i="5"/>
  <c r="AVQ23" i="5"/>
  <c r="AVR23" i="5"/>
  <c r="AVS23" i="5"/>
  <c r="AVT23" i="5"/>
  <c r="AVU23" i="5"/>
  <c r="AVV23" i="5"/>
  <c r="AVW23" i="5"/>
  <c r="AVX23" i="5"/>
  <c r="AVY23" i="5"/>
  <c r="AVZ23" i="5"/>
  <c r="AWA23" i="5"/>
  <c r="AWB23" i="5"/>
  <c r="AWC23" i="5"/>
  <c r="AWD23" i="5"/>
  <c r="AWE23" i="5"/>
  <c r="AWF23" i="5"/>
  <c r="AWG23" i="5"/>
  <c r="AWH23" i="5"/>
  <c r="AWI23" i="5"/>
  <c r="AWJ23" i="5"/>
  <c r="AWK23" i="5"/>
  <c r="AWL23" i="5"/>
  <c r="AWM23" i="5"/>
  <c r="AWN23" i="5"/>
  <c r="AWO23" i="5"/>
  <c r="AWP23" i="5"/>
  <c r="AWQ23" i="5"/>
  <c r="AWR23" i="5"/>
  <c r="AWS23" i="5"/>
  <c r="AWT23" i="5"/>
  <c r="AWU23" i="5"/>
  <c r="AWV23" i="5"/>
  <c r="AWW23" i="5"/>
  <c r="AWX23" i="5"/>
  <c r="AWY23" i="5"/>
  <c r="AWZ23" i="5"/>
  <c r="AXA23" i="5"/>
  <c r="AXB23" i="5"/>
  <c r="AXC23" i="5"/>
  <c r="AXD23" i="5"/>
  <c r="AXE23" i="5"/>
  <c r="AXF23" i="5"/>
  <c r="AXG23" i="5"/>
  <c r="AXH23" i="5"/>
  <c r="AXI23" i="5"/>
  <c r="AXJ23" i="5"/>
  <c r="AXK23" i="5"/>
  <c r="AXL23" i="5"/>
  <c r="AXM23" i="5"/>
  <c r="AXN23" i="5"/>
  <c r="AXO23" i="5"/>
  <c r="AXP23" i="5"/>
  <c r="AXQ23" i="5"/>
  <c r="AXR23" i="5"/>
  <c r="AXS23" i="5"/>
  <c r="AXT23" i="5"/>
  <c r="AXU23" i="5"/>
  <c r="AXV23" i="5"/>
  <c r="AXW23" i="5"/>
  <c r="AXX23" i="5"/>
  <c r="AXY23" i="5"/>
  <c r="AXZ23" i="5"/>
  <c r="AYA23" i="5"/>
  <c r="AYB23" i="5"/>
  <c r="AYC23" i="5"/>
  <c r="AYD23" i="5"/>
  <c r="AYE23" i="5"/>
  <c r="AYF23" i="5"/>
  <c r="AYG23" i="5"/>
  <c r="AYH23" i="5"/>
  <c r="AYI23" i="5"/>
  <c r="AYJ23" i="5"/>
  <c r="AYK23" i="5"/>
  <c r="AYL23" i="5"/>
  <c r="AYM23" i="5"/>
  <c r="AYN23" i="5"/>
  <c r="AYO23" i="5"/>
  <c r="AYP23" i="5"/>
  <c r="AYQ23" i="5"/>
  <c r="AYR23" i="5"/>
  <c r="AYS23" i="5"/>
  <c r="AYT23" i="5"/>
  <c r="AYU23" i="5"/>
  <c r="AYV23" i="5"/>
  <c r="AYW23" i="5"/>
  <c r="AYX23" i="5"/>
  <c r="AYY23" i="5"/>
  <c r="AYZ23" i="5"/>
  <c r="AZA23" i="5"/>
  <c r="AZB23" i="5"/>
  <c r="AZC23" i="5"/>
  <c r="AZD23" i="5"/>
  <c r="AZE23" i="5"/>
  <c r="AZF23" i="5"/>
  <c r="AZG23" i="5"/>
  <c r="AZH23" i="5"/>
  <c r="AZI23" i="5"/>
  <c r="AZJ23" i="5"/>
  <c r="AZK23" i="5"/>
  <c r="AZL23" i="5"/>
  <c r="AZM23" i="5"/>
  <c r="AZN23" i="5"/>
  <c r="AZO23" i="5"/>
  <c r="AZP23" i="5"/>
  <c r="AZQ23" i="5"/>
  <c r="AZR23" i="5"/>
  <c r="AZS23" i="5"/>
  <c r="AZT23" i="5"/>
  <c r="AZU23" i="5"/>
  <c r="AZV23" i="5"/>
  <c r="AZW23" i="5"/>
  <c r="AZX23" i="5"/>
  <c r="AZY23" i="5"/>
  <c r="AZZ23" i="5"/>
  <c r="BAA23" i="5"/>
  <c r="BAB23" i="5"/>
  <c r="BAC23" i="5"/>
  <c r="BAD23" i="5"/>
  <c r="BAE23" i="5"/>
  <c r="BAF23" i="5"/>
  <c r="BAG23" i="5"/>
  <c r="BAH23" i="5"/>
  <c r="BAI23" i="5"/>
  <c r="BAJ23" i="5"/>
  <c r="BAK23" i="5"/>
  <c r="BAL23" i="5"/>
  <c r="BAM23" i="5"/>
  <c r="BAN23" i="5"/>
  <c r="BAO23" i="5"/>
  <c r="BAP23" i="5"/>
  <c r="BAQ23" i="5"/>
  <c r="BAR23" i="5"/>
  <c r="BAS23" i="5"/>
  <c r="BAT23" i="5"/>
  <c r="BAU23" i="5"/>
  <c r="BAV23" i="5"/>
  <c r="BAW23" i="5"/>
  <c r="BAX23" i="5"/>
  <c r="BAY23" i="5"/>
  <c r="BAZ23" i="5"/>
  <c r="BBA23" i="5"/>
  <c r="BBB23" i="5"/>
  <c r="BBC23" i="5"/>
  <c r="BBD23" i="5"/>
  <c r="BBE23" i="5"/>
  <c r="BBF23" i="5"/>
  <c r="BBG23" i="5"/>
  <c r="BBH23" i="5"/>
  <c r="BBI23" i="5"/>
  <c r="BBJ23" i="5"/>
  <c r="BBK23" i="5"/>
  <c r="BBL23" i="5"/>
  <c r="BBM23" i="5"/>
  <c r="BBN23" i="5"/>
  <c r="BBO23" i="5"/>
  <c r="BBP23" i="5"/>
  <c r="BBQ23" i="5"/>
  <c r="BBR23" i="5"/>
  <c r="BBS23" i="5"/>
  <c r="BBT23" i="5"/>
  <c r="BBU23" i="5"/>
  <c r="BBV23" i="5"/>
  <c r="BBW23" i="5"/>
  <c r="BBX23" i="5"/>
  <c r="BBY23" i="5"/>
  <c r="BBZ23" i="5"/>
  <c r="BCA23" i="5"/>
  <c r="BCB23" i="5"/>
  <c r="BCC23" i="5"/>
  <c r="BCD23" i="5"/>
  <c r="BCE23" i="5"/>
  <c r="BCF23" i="5"/>
  <c r="BCG23" i="5"/>
  <c r="BCH23" i="5"/>
  <c r="BCI23" i="5"/>
  <c r="BCJ23" i="5"/>
  <c r="BCK23" i="5"/>
  <c r="BCL23" i="5"/>
  <c r="BCM23" i="5"/>
  <c r="BCN23" i="5"/>
  <c r="BCO23" i="5"/>
  <c r="BCP23" i="5"/>
  <c r="BCQ23" i="5"/>
  <c r="BCR23" i="5"/>
  <c r="BCS23" i="5"/>
  <c r="BCT23" i="5"/>
  <c r="BCU23" i="5"/>
  <c r="BCV23" i="5"/>
  <c r="BCW23" i="5"/>
  <c r="BCX23" i="5"/>
  <c r="BCY23" i="5"/>
  <c r="BCZ23" i="5"/>
  <c r="BDA23" i="5"/>
  <c r="BDB23" i="5"/>
  <c r="BDC23" i="5"/>
  <c r="BDD23" i="5"/>
  <c r="BDE23" i="5"/>
  <c r="BDF23" i="5"/>
  <c r="BDG23" i="5"/>
  <c r="BDH23" i="5"/>
  <c r="BDI23" i="5"/>
  <c r="BDJ23" i="5"/>
  <c r="BDK23" i="5"/>
  <c r="BDL23" i="5"/>
  <c r="BDM23" i="5"/>
  <c r="BDN23" i="5"/>
  <c r="BDO23" i="5"/>
  <c r="BDP23" i="5"/>
  <c r="BDQ23" i="5"/>
  <c r="BDR23" i="5"/>
  <c r="BDS23" i="5"/>
  <c r="BDT23" i="5"/>
  <c r="BDU23" i="5"/>
  <c r="BDV23" i="5"/>
  <c r="BDW23" i="5"/>
  <c r="BDX23" i="5"/>
  <c r="BDY23" i="5"/>
  <c r="BDZ23" i="5"/>
  <c r="BEA23" i="5"/>
  <c r="BEB23" i="5"/>
  <c r="BEC23" i="5"/>
  <c r="BED23" i="5"/>
  <c r="BEE23" i="5"/>
  <c r="BEF23" i="5"/>
  <c r="BEG23" i="5"/>
  <c r="BEH23" i="5"/>
  <c r="BEI23" i="5"/>
  <c r="BEJ23" i="5"/>
  <c r="BEK23" i="5"/>
  <c r="BEL23" i="5"/>
  <c r="BEM23" i="5"/>
  <c r="BEN23" i="5"/>
  <c r="BEO23" i="5"/>
  <c r="BEP23" i="5"/>
  <c r="BEQ23" i="5"/>
  <c r="BER23" i="5"/>
  <c r="BES23" i="5"/>
  <c r="BET23" i="5"/>
  <c r="BEU23" i="5"/>
  <c r="BEV23" i="5"/>
  <c r="BEW23" i="5"/>
  <c r="BEX23" i="5"/>
  <c r="BEY23" i="5"/>
  <c r="BEZ23" i="5"/>
  <c r="BFA23" i="5"/>
  <c r="BFB23" i="5"/>
  <c r="BFC23" i="5"/>
  <c r="BFD23" i="5"/>
  <c r="BFE23" i="5"/>
  <c r="BFF23" i="5"/>
  <c r="BFG23" i="5"/>
  <c r="BFH23" i="5"/>
  <c r="BFI23" i="5"/>
  <c r="BFJ23" i="5"/>
  <c r="BFK23" i="5"/>
  <c r="BFL23" i="5"/>
  <c r="BFM23" i="5"/>
  <c r="BFN23" i="5"/>
  <c r="BFO23" i="5"/>
  <c r="BFP23" i="5"/>
  <c r="BFQ23" i="5"/>
  <c r="BFR23" i="5"/>
  <c r="BFS23" i="5"/>
  <c r="BFT23" i="5"/>
  <c r="BFU23" i="5"/>
  <c r="BFV23" i="5"/>
  <c r="BFW23" i="5"/>
  <c r="BFX23" i="5"/>
  <c r="BFY23" i="5"/>
  <c r="BFZ23" i="5"/>
  <c r="BGA23" i="5"/>
  <c r="BGB23" i="5"/>
  <c r="BGC23" i="5"/>
  <c r="BGD23" i="5"/>
  <c r="BGE23" i="5"/>
  <c r="BGF23" i="5"/>
  <c r="BGG23" i="5"/>
  <c r="BGH23" i="5"/>
  <c r="BGI23" i="5"/>
  <c r="BGJ23" i="5"/>
  <c r="BGK23" i="5"/>
  <c r="BGL23" i="5"/>
  <c r="BGM23" i="5"/>
  <c r="BGN23" i="5"/>
  <c r="BGO23" i="5"/>
  <c r="BGP23" i="5"/>
  <c r="BGQ23" i="5"/>
  <c r="BGR23" i="5"/>
  <c r="BGS23" i="5"/>
  <c r="BGT23" i="5"/>
  <c r="BGU23" i="5"/>
  <c r="BGV23" i="5"/>
  <c r="BGW23" i="5"/>
  <c r="BGX23" i="5"/>
  <c r="BGY23" i="5"/>
  <c r="BGZ23" i="5"/>
  <c r="BHA23" i="5"/>
  <c r="BHB23" i="5"/>
  <c r="BHC23" i="5"/>
  <c r="BHD23" i="5"/>
  <c r="BHE23" i="5"/>
  <c r="BHF23" i="5"/>
  <c r="BHG23" i="5"/>
  <c r="BHH23" i="5"/>
  <c r="BHI23" i="5"/>
  <c r="BHJ23" i="5"/>
  <c r="BHK23" i="5"/>
  <c r="BHL23" i="5"/>
  <c r="BHM23" i="5"/>
  <c r="BHN23" i="5"/>
  <c r="BHO23" i="5"/>
  <c r="BHP23" i="5"/>
  <c r="BHQ23" i="5"/>
  <c r="BHR23" i="5"/>
  <c r="BHS23" i="5"/>
  <c r="BHT23" i="5"/>
  <c r="BHU23" i="5"/>
  <c r="BHV23" i="5"/>
  <c r="BHW23" i="5"/>
  <c r="BHX23" i="5"/>
  <c r="BHY23" i="5"/>
  <c r="BHZ23" i="5"/>
  <c r="BIA23" i="5"/>
  <c r="BIB23" i="5"/>
  <c r="BIC23" i="5"/>
  <c r="BID23" i="5"/>
  <c r="BIE23" i="5"/>
  <c r="BIF23" i="5"/>
  <c r="BIG23" i="5"/>
  <c r="BIH23" i="5"/>
  <c r="BII23" i="5"/>
  <c r="BIJ23" i="5"/>
  <c r="BIK23" i="5"/>
  <c r="BIL23" i="5"/>
  <c r="BIM23" i="5"/>
  <c r="BIN23" i="5"/>
  <c r="BIO23" i="5"/>
  <c r="BIP23" i="5"/>
  <c r="BIQ23" i="5"/>
  <c r="BIR23" i="5"/>
  <c r="BIS23" i="5"/>
  <c r="BIT23" i="5"/>
  <c r="BIU23" i="5"/>
  <c r="BIV23" i="5"/>
  <c r="BIW23" i="5"/>
  <c r="BIX23" i="5"/>
  <c r="BIY23" i="5"/>
  <c r="BIZ23" i="5"/>
  <c r="BJA23" i="5"/>
  <c r="BJB23" i="5"/>
  <c r="BJC23" i="5"/>
  <c r="BJD23" i="5"/>
  <c r="BJE23" i="5"/>
  <c r="BJF23" i="5"/>
  <c r="BJG23" i="5"/>
  <c r="BJH23" i="5"/>
  <c r="BJI23" i="5"/>
  <c r="BJJ23" i="5"/>
  <c r="BJK23" i="5"/>
  <c r="BJL23" i="5"/>
  <c r="BJM23" i="5"/>
  <c r="BJN23" i="5"/>
  <c r="BJO23" i="5"/>
  <c r="BJP23" i="5"/>
  <c r="BJQ23" i="5"/>
  <c r="BJR23" i="5"/>
  <c r="BJS23" i="5"/>
  <c r="BJT23" i="5"/>
  <c r="BJU23" i="5"/>
  <c r="BJV23" i="5"/>
  <c r="BJW23" i="5"/>
  <c r="BJX23" i="5"/>
  <c r="BJY23" i="5"/>
  <c r="BJZ23" i="5"/>
  <c r="BKA23" i="5"/>
  <c r="BKB23" i="5"/>
  <c r="BKC23" i="5"/>
  <c r="BKD23" i="5"/>
  <c r="BKE23" i="5"/>
  <c r="BKF23" i="5"/>
  <c r="BKG23" i="5"/>
  <c r="BKH23" i="5"/>
  <c r="BKI23" i="5"/>
  <c r="BKJ23" i="5"/>
  <c r="BKK23" i="5"/>
  <c r="BKL23" i="5"/>
  <c r="BKM23" i="5"/>
  <c r="BKN23" i="5"/>
  <c r="BKO23" i="5"/>
  <c r="BKP23" i="5"/>
  <c r="BKQ23" i="5"/>
  <c r="BKR23" i="5"/>
  <c r="BKS23" i="5"/>
  <c r="BKT23" i="5"/>
  <c r="BKU23" i="5"/>
  <c r="BKV23" i="5"/>
  <c r="BKW23" i="5"/>
  <c r="BKX23" i="5"/>
  <c r="BKY23" i="5"/>
  <c r="BKZ23" i="5"/>
  <c r="BLA23" i="5"/>
  <c r="BLB23" i="5"/>
  <c r="BLC23" i="5"/>
  <c r="BLD23" i="5"/>
  <c r="BLE23" i="5"/>
  <c r="BLF23" i="5"/>
  <c r="BLG23" i="5"/>
  <c r="BLH23" i="5"/>
  <c r="BLI23" i="5"/>
  <c r="BLJ23" i="5"/>
  <c r="BLK23" i="5"/>
  <c r="BLL23" i="5"/>
  <c r="BLM23" i="5"/>
  <c r="BLN23" i="5"/>
  <c r="BLO23" i="5"/>
  <c r="BLP23" i="5"/>
  <c r="BLQ23" i="5"/>
  <c r="BLR23" i="5"/>
  <c r="BLS23" i="5"/>
  <c r="BLT23" i="5"/>
  <c r="BLU23" i="5"/>
  <c r="BLV23" i="5"/>
  <c r="BLW23" i="5"/>
  <c r="BLX23" i="5"/>
  <c r="BLY23" i="5"/>
  <c r="BLZ23" i="5"/>
  <c r="BMA23" i="5"/>
  <c r="BMB23" i="5"/>
  <c r="BMC23" i="5"/>
  <c r="BMD23" i="5"/>
  <c r="BME23" i="5"/>
  <c r="BMF23" i="5"/>
  <c r="BMG23" i="5"/>
  <c r="BMH23" i="5"/>
  <c r="BMI23" i="5"/>
  <c r="BMJ23" i="5"/>
  <c r="BMK23" i="5"/>
  <c r="BML23" i="5"/>
  <c r="BMM23" i="5"/>
  <c r="BMN23" i="5"/>
  <c r="BMO23" i="5"/>
  <c r="BMP23" i="5"/>
  <c r="BMQ23" i="5"/>
  <c r="BMR23" i="5"/>
  <c r="BMS23" i="5"/>
  <c r="BMT23" i="5"/>
  <c r="BMU23" i="5"/>
  <c r="BMV23" i="5"/>
  <c r="BMW23" i="5"/>
  <c r="BMX23" i="5"/>
  <c r="BMY23" i="5"/>
  <c r="BMZ23" i="5"/>
  <c r="BNA23" i="5"/>
  <c r="BNB23" i="5"/>
  <c r="BNC23" i="5"/>
  <c r="BND23" i="5"/>
  <c r="BNE23" i="5"/>
  <c r="BNF23" i="5"/>
  <c r="BNG23" i="5"/>
  <c r="BNH23" i="5"/>
  <c r="BNI23" i="5"/>
  <c r="BNJ23" i="5"/>
  <c r="BNK23" i="5"/>
  <c r="BNL23" i="5"/>
  <c r="BNM23" i="5"/>
  <c r="BNN23" i="5"/>
  <c r="BNO23" i="5"/>
  <c r="BNP23" i="5"/>
  <c r="BNQ23" i="5"/>
  <c r="BNR23" i="5"/>
  <c r="BNS23" i="5"/>
  <c r="BNT23" i="5"/>
  <c r="BNU23" i="5"/>
  <c r="BNV23" i="5"/>
  <c r="BNW23" i="5"/>
  <c r="BNX23" i="5"/>
  <c r="BNY23" i="5"/>
  <c r="BNZ23" i="5"/>
  <c r="BOA23" i="5"/>
  <c r="BOB23" i="5"/>
  <c r="BOC23" i="5"/>
  <c r="BOD23" i="5"/>
  <c r="BOE23" i="5"/>
  <c r="BOF23" i="5"/>
  <c r="BOG23" i="5"/>
  <c r="BOH23" i="5"/>
  <c r="BOI23" i="5"/>
  <c r="BOJ23" i="5"/>
  <c r="BOK23" i="5"/>
  <c r="BOL23" i="5"/>
  <c r="BOM23" i="5"/>
  <c r="BON23" i="5"/>
  <c r="BOO23" i="5"/>
  <c r="BOP23" i="5"/>
  <c r="BOQ23" i="5"/>
  <c r="BOR23" i="5"/>
  <c r="BOS23" i="5"/>
  <c r="BOT23" i="5"/>
  <c r="BOU23" i="5"/>
  <c r="BOV23" i="5"/>
  <c r="BOW23" i="5"/>
  <c r="BOX23" i="5"/>
  <c r="BOY23" i="5"/>
  <c r="BOZ23" i="5"/>
  <c r="BPA23" i="5"/>
  <c r="BPB23" i="5"/>
  <c r="BPC23" i="5"/>
  <c r="BPD23" i="5"/>
  <c r="BPE23" i="5"/>
  <c r="BPF23" i="5"/>
  <c r="BPG23" i="5"/>
  <c r="BPH23" i="5"/>
  <c r="BPI23" i="5"/>
  <c r="BPJ23" i="5"/>
  <c r="BPK23" i="5"/>
  <c r="BPL23" i="5"/>
  <c r="BPM23" i="5"/>
  <c r="BPN23" i="5"/>
  <c r="BPO23" i="5"/>
  <c r="BPP23" i="5"/>
  <c r="BPQ23" i="5"/>
  <c r="BPR23" i="5"/>
  <c r="BPS23" i="5"/>
  <c r="BPT23" i="5"/>
  <c r="BPU23" i="5"/>
  <c r="BPV23" i="5"/>
  <c r="BPW23" i="5"/>
  <c r="BPX23" i="5"/>
  <c r="BPY23" i="5"/>
  <c r="BPZ23" i="5"/>
  <c r="BQA23" i="5"/>
  <c r="BQB23" i="5"/>
  <c r="BQC23" i="5"/>
  <c r="BQD23" i="5"/>
  <c r="BQE23" i="5"/>
  <c r="BQF23" i="5"/>
  <c r="BQG23" i="5"/>
  <c r="BQH23" i="5"/>
  <c r="BQI23" i="5"/>
  <c r="BQJ23" i="5"/>
  <c r="BQK23" i="5"/>
  <c r="BQL23" i="5"/>
  <c r="BQM23" i="5"/>
  <c r="BQN23" i="5"/>
  <c r="BQO23" i="5"/>
  <c r="BQP23" i="5"/>
  <c r="BQQ23" i="5"/>
  <c r="BQR23" i="5"/>
  <c r="BQS23" i="5"/>
  <c r="BQT23" i="5"/>
  <c r="BQU23" i="5"/>
  <c r="BQV23" i="5"/>
  <c r="BQW23" i="5"/>
  <c r="BQX23" i="5"/>
  <c r="BQY23" i="5"/>
  <c r="BQZ23" i="5"/>
  <c r="BRA23" i="5"/>
  <c r="BRB23" i="5"/>
  <c r="BRC23" i="5"/>
  <c r="BRD23" i="5"/>
  <c r="BRE23" i="5"/>
  <c r="BRF23" i="5"/>
  <c r="BRG23" i="5"/>
  <c r="BRH23" i="5"/>
  <c r="BRI23" i="5"/>
  <c r="BRJ23" i="5"/>
  <c r="BRK23" i="5"/>
  <c r="BRL23" i="5"/>
  <c r="BRM23" i="5"/>
  <c r="BRN23" i="5"/>
  <c r="BRO23" i="5"/>
  <c r="BRP23" i="5"/>
  <c r="BRQ23" i="5"/>
  <c r="BRR23" i="5"/>
  <c r="BRS23" i="5"/>
  <c r="BRT23" i="5"/>
  <c r="BRU23" i="5"/>
  <c r="BRV23" i="5"/>
  <c r="BRW23" i="5"/>
  <c r="BRX23" i="5"/>
  <c r="BRY23" i="5"/>
  <c r="BRZ23" i="5"/>
  <c r="BSA23" i="5"/>
  <c r="BSB23" i="5"/>
  <c r="BSC23" i="5"/>
  <c r="BSD23" i="5"/>
  <c r="BSE23" i="5"/>
  <c r="BSF23" i="5"/>
  <c r="BSG23" i="5"/>
  <c r="BSH23" i="5"/>
  <c r="BSI23" i="5"/>
  <c r="BSJ23" i="5"/>
  <c r="BSK23" i="5"/>
  <c r="BSL23" i="5"/>
  <c r="BSM23" i="5"/>
  <c r="BSN23" i="5"/>
  <c r="BSO23" i="5"/>
  <c r="BSP23" i="5"/>
  <c r="BSQ23" i="5"/>
  <c r="BSR23" i="5"/>
  <c r="BSS23" i="5"/>
  <c r="BST23" i="5"/>
  <c r="BSU23" i="5"/>
  <c r="BSV23" i="5"/>
  <c r="BSW23" i="5"/>
  <c r="BSX23" i="5"/>
  <c r="BSY23" i="5"/>
  <c r="BSZ23" i="5"/>
  <c r="BTA23" i="5"/>
  <c r="BTB23" i="5"/>
  <c r="BTC23" i="5"/>
  <c r="BTD23" i="5"/>
  <c r="BTE23" i="5"/>
  <c r="BTF23" i="5"/>
  <c r="BTG23" i="5"/>
  <c r="BTH23" i="5"/>
  <c r="BTI23" i="5"/>
  <c r="BTJ23" i="5"/>
  <c r="BTK23" i="5"/>
  <c r="BTL23" i="5"/>
  <c r="BTM23" i="5"/>
  <c r="BTN23" i="5"/>
  <c r="BTO23" i="5"/>
  <c r="BTP23" i="5"/>
  <c r="BTQ23" i="5"/>
  <c r="BTR23" i="5"/>
  <c r="BTS23" i="5"/>
  <c r="BTT23" i="5"/>
  <c r="BTU23" i="5"/>
  <c r="BTV23" i="5"/>
  <c r="BTW23" i="5"/>
  <c r="BTX23" i="5"/>
  <c r="BTY23" i="5"/>
  <c r="BTZ23" i="5"/>
  <c r="BUA23" i="5"/>
  <c r="BUB23" i="5"/>
  <c r="BUC23" i="5"/>
  <c r="BUD23" i="5"/>
  <c r="BUE23" i="5"/>
  <c r="BUF23" i="5"/>
  <c r="BUG23" i="5"/>
  <c r="BUH23" i="5"/>
  <c r="BUI23" i="5"/>
  <c r="BUJ23" i="5"/>
  <c r="BUK23" i="5"/>
  <c r="BUL23" i="5"/>
  <c r="BUM23" i="5"/>
  <c r="BUN23" i="5"/>
  <c r="BUO23" i="5"/>
  <c r="BUP23" i="5"/>
  <c r="BUQ23" i="5"/>
  <c r="BUR23" i="5"/>
  <c r="BUS23" i="5"/>
  <c r="BUT23" i="5"/>
  <c r="BUU23" i="5"/>
  <c r="BUV23" i="5"/>
  <c r="BUW23" i="5"/>
  <c r="BUX23" i="5"/>
  <c r="BUY23" i="5"/>
  <c r="BUZ23" i="5"/>
  <c r="BVA23" i="5"/>
  <c r="BVB23" i="5"/>
  <c r="BVC23" i="5"/>
  <c r="BVD23" i="5"/>
  <c r="BVE23" i="5"/>
  <c r="BVF23" i="5"/>
  <c r="BVG23" i="5"/>
  <c r="BVH23" i="5"/>
  <c r="BVI23" i="5"/>
  <c r="BVJ23" i="5"/>
  <c r="BVK23" i="5"/>
  <c r="BVL23" i="5"/>
  <c r="BVM23" i="5"/>
  <c r="BVN23" i="5"/>
  <c r="BVO23" i="5"/>
  <c r="BVP23" i="5"/>
  <c r="BVQ23" i="5"/>
  <c r="BVR23" i="5"/>
  <c r="BVS23" i="5"/>
  <c r="BVT23" i="5"/>
  <c r="BVU23" i="5"/>
  <c r="BVV23" i="5"/>
  <c r="BVW23" i="5"/>
  <c r="BVX23" i="5"/>
  <c r="BVY23" i="5"/>
  <c r="BVZ23" i="5"/>
  <c r="BWA23" i="5"/>
  <c r="BWB23" i="5"/>
  <c r="BWC23" i="5"/>
  <c r="BWD23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TG24" i="5"/>
  <c r="TH24" i="5"/>
  <c r="TI24" i="5"/>
  <c r="TJ24" i="5"/>
  <c r="TK24" i="5"/>
  <c r="TL24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Z24" i="5"/>
  <c r="UA24" i="5"/>
  <c r="UB24" i="5"/>
  <c r="UC24" i="5"/>
  <c r="UD24" i="5"/>
  <c r="UE24" i="5"/>
  <c r="UF24" i="5"/>
  <c r="UG24" i="5"/>
  <c r="UH24" i="5"/>
  <c r="UI24" i="5"/>
  <c r="UJ24" i="5"/>
  <c r="UK24" i="5"/>
  <c r="UL24" i="5"/>
  <c r="UM24" i="5"/>
  <c r="UN24" i="5"/>
  <c r="UO24" i="5"/>
  <c r="UP24" i="5"/>
  <c r="UQ24" i="5"/>
  <c r="UR24" i="5"/>
  <c r="US24" i="5"/>
  <c r="UT24" i="5"/>
  <c r="UU24" i="5"/>
  <c r="UV24" i="5"/>
  <c r="UW24" i="5"/>
  <c r="UX24" i="5"/>
  <c r="UY24" i="5"/>
  <c r="UZ24" i="5"/>
  <c r="VA24" i="5"/>
  <c r="VB24" i="5"/>
  <c r="VC24" i="5"/>
  <c r="VD24" i="5"/>
  <c r="VE24" i="5"/>
  <c r="VF24" i="5"/>
  <c r="VG24" i="5"/>
  <c r="VH24" i="5"/>
  <c r="VI24" i="5"/>
  <c r="VJ24" i="5"/>
  <c r="VK24" i="5"/>
  <c r="VL24" i="5"/>
  <c r="VM24" i="5"/>
  <c r="VN24" i="5"/>
  <c r="VO24" i="5"/>
  <c r="VP24" i="5"/>
  <c r="VQ24" i="5"/>
  <c r="VR24" i="5"/>
  <c r="VS24" i="5"/>
  <c r="VT24" i="5"/>
  <c r="VU24" i="5"/>
  <c r="VV24" i="5"/>
  <c r="VW24" i="5"/>
  <c r="VX24" i="5"/>
  <c r="VY24" i="5"/>
  <c r="VZ24" i="5"/>
  <c r="WA24" i="5"/>
  <c r="WB24" i="5"/>
  <c r="WC24" i="5"/>
  <c r="WD24" i="5"/>
  <c r="WE24" i="5"/>
  <c r="WF24" i="5"/>
  <c r="WG24" i="5"/>
  <c r="WH24" i="5"/>
  <c r="WI24" i="5"/>
  <c r="WJ24" i="5"/>
  <c r="WK24" i="5"/>
  <c r="WL24" i="5"/>
  <c r="WM24" i="5"/>
  <c r="WN24" i="5"/>
  <c r="WO24" i="5"/>
  <c r="WP24" i="5"/>
  <c r="WQ24" i="5"/>
  <c r="WR24" i="5"/>
  <c r="WS24" i="5"/>
  <c r="WT24" i="5"/>
  <c r="WU24" i="5"/>
  <c r="WV24" i="5"/>
  <c r="WW24" i="5"/>
  <c r="WX24" i="5"/>
  <c r="WY24" i="5"/>
  <c r="WZ24" i="5"/>
  <c r="XA24" i="5"/>
  <c r="XB24" i="5"/>
  <c r="XC24" i="5"/>
  <c r="XD24" i="5"/>
  <c r="XE24" i="5"/>
  <c r="XF24" i="5"/>
  <c r="XG24" i="5"/>
  <c r="XH24" i="5"/>
  <c r="XI24" i="5"/>
  <c r="XJ24" i="5"/>
  <c r="XK24" i="5"/>
  <c r="XL24" i="5"/>
  <c r="XM24" i="5"/>
  <c r="XN24" i="5"/>
  <c r="XO24" i="5"/>
  <c r="XP24" i="5"/>
  <c r="XQ24" i="5"/>
  <c r="XR24" i="5"/>
  <c r="XS24" i="5"/>
  <c r="XT24" i="5"/>
  <c r="XU24" i="5"/>
  <c r="XV24" i="5"/>
  <c r="XW24" i="5"/>
  <c r="XX24" i="5"/>
  <c r="XY24" i="5"/>
  <c r="XZ24" i="5"/>
  <c r="YA24" i="5"/>
  <c r="YB24" i="5"/>
  <c r="YC24" i="5"/>
  <c r="YD24" i="5"/>
  <c r="YE24" i="5"/>
  <c r="YF24" i="5"/>
  <c r="YG24" i="5"/>
  <c r="YH24" i="5"/>
  <c r="YI24" i="5"/>
  <c r="YJ24" i="5"/>
  <c r="YK24" i="5"/>
  <c r="YL24" i="5"/>
  <c r="YM24" i="5"/>
  <c r="YN24" i="5"/>
  <c r="YO24" i="5"/>
  <c r="YP24" i="5"/>
  <c r="YQ24" i="5"/>
  <c r="YR24" i="5"/>
  <c r="YS24" i="5"/>
  <c r="YT24" i="5"/>
  <c r="YU24" i="5"/>
  <c r="YV24" i="5"/>
  <c r="YW24" i="5"/>
  <c r="YX24" i="5"/>
  <c r="YY24" i="5"/>
  <c r="YZ24" i="5"/>
  <c r="ZA24" i="5"/>
  <c r="ZB24" i="5"/>
  <c r="ZC24" i="5"/>
  <c r="ZD24" i="5"/>
  <c r="ZE24" i="5"/>
  <c r="ZF24" i="5"/>
  <c r="ZG24" i="5"/>
  <c r="ZH24" i="5"/>
  <c r="ZI24" i="5"/>
  <c r="ZJ24" i="5"/>
  <c r="ZK24" i="5"/>
  <c r="ZL24" i="5"/>
  <c r="ZM24" i="5"/>
  <c r="ZN24" i="5"/>
  <c r="ZO24" i="5"/>
  <c r="ZP24" i="5"/>
  <c r="ZQ24" i="5"/>
  <c r="ZR24" i="5"/>
  <c r="ZS24" i="5"/>
  <c r="ZT24" i="5"/>
  <c r="ZU24" i="5"/>
  <c r="ZV24" i="5"/>
  <c r="ZW24" i="5"/>
  <c r="ZX24" i="5"/>
  <c r="ZY24" i="5"/>
  <c r="ZZ24" i="5"/>
  <c r="AAA24" i="5"/>
  <c r="AAB24" i="5"/>
  <c r="AAC24" i="5"/>
  <c r="AAD24" i="5"/>
  <c r="AAE24" i="5"/>
  <c r="AAF24" i="5"/>
  <c r="AAG24" i="5"/>
  <c r="AAH24" i="5"/>
  <c r="AAI24" i="5"/>
  <c r="AAJ24" i="5"/>
  <c r="AAK24" i="5"/>
  <c r="AAL24" i="5"/>
  <c r="AAM24" i="5"/>
  <c r="AAN24" i="5"/>
  <c r="AAO24" i="5"/>
  <c r="AAP24" i="5"/>
  <c r="AAQ24" i="5"/>
  <c r="AAR24" i="5"/>
  <c r="AAS24" i="5"/>
  <c r="AAT24" i="5"/>
  <c r="AAU24" i="5"/>
  <c r="AAV24" i="5"/>
  <c r="AAW24" i="5"/>
  <c r="AAX24" i="5"/>
  <c r="AAY24" i="5"/>
  <c r="AAZ24" i="5"/>
  <c r="ABA24" i="5"/>
  <c r="ABB24" i="5"/>
  <c r="ABC24" i="5"/>
  <c r="ABD24" i="5"/>
  <c r="ABE24" i="5"/>
  <c r="ABF24" i="5"/>
  <c r="ABG24" i="5"/>
  <c r="ABH24" i="5"/>
  <c r="ABI24" i="5"/>
  <c r="ABJ24" i="5"/>
  <c r="ABK24" i="5"/>
  <c r="ABL24" i="5"/>
  <c r="ABM24" i="5"/>
  <c r="ABN24" i="5"/>
  <c r="ABO24" i="5"/>
  <c r="ABP24" i="5"/>
  <c r="ABQ24" i="5"/>
  <c r="ABR24" i="5"/>
  <c r="ABS24" i="5"/>
  <c r="ABT24" i="5"/>
  <c r="ABU24" i="5"/>
  <c r="ABV24" i="5"/>
  <c r="ABW24" i="5"/>
  <c r="ABX24" i="5"/>
  <c r="ABY24" i="5"/>
  <c r="ABZ24" i="5"/>
  <c r="ACA24" i="5"/>
  <c r="ACB24" i="5"/>
  <c r="ACC24" i="5"/>
  <c r="ACD24" i="5"/>
  <c r="ACE24" i="5"/>
  <c r="ACF24" i="5"/>
  <c r="ACG24" i="5"/>
  <c r="ACH24" i="5"/>
  <c r="ACI24" i="5"/>
  <c r="ACJ24" i="5"/>
  <c r="ACK24" i="5"/>
  <c r="ACL24" i="5"/>
  <c r="ACM24" i="5"/>
  <c r="ACN24" i="5"/>
  <c r="ACO24" i="5"/>
  <c r="ACP24" i="5"/>
  <c r="ACQ24" i="5"/>
  <c r="ACR24" i="5"/>
  <c r="ACS24" i="5"/>
  <c r="ACT24" i="5"/>
  <c r="ACU24" i="5"/>
  <c r="ACV24" i="5"/>
  <c r="ACW24" i="5"/>
  <c r="ACX24" i="5"/>
  <c r="ACY24" i="5"/>
  <c r="ACZ24" i="5"/>
  <c r="ADA24" i="5"/>
  <c r="ADB24" i="5"/>
  <c r="ADC24" i="5"/>
  <c r="ADD24" i="5"/>
  <c r="ADE24" i="5"/>
  <c r="ADF24" i="5"/>
  <c r="ADG24" i="5"/>
  <c r="ADH24" i="5"/>
  <c r="ADI24" i="5"/>
  <c r="ADJ24" i="5"/>
  <c r="ADK24" i="5"/>
  <c r="ADL24" i="5"/>
  <c r="ADM24" i="5"/>
  <c r="ADN24" i="5"/>
  <c r="ADO24" i="5"/>
  <c r="ADP24" i="5"/>
  <c r="ADQ24" i="5"/>
  <c r="ADR24" i="5"/>
  <c r="ADS24" i="5"/>
  <c r="ADT24" i="5"/>
  <c r="ADU24" i="5"/>
  <c r="ADV24" i="5"/>
  <c r="ADW24" i="5"/>
  <c r="ADX24" i="5"/>
  <c r="ADY24" i="5"/>
  <c r="ADZ24" i="5"/>
  <c r="AEA24" i="5"/>
  <c r="AEB24" i="5"/>
  <c r="AEC24" i="5"/>
  <c r="AED24" i="5"/>
  <c r="AEE24" i="5"/>
  <c r="AEF24" i="5"/>
  <c r="AEG24" i="5"/>
  <c r="AEH24" i="5"/>
  <c r="AEI24" i="5"/>
  <c r="AEJ24" i="5"/>
  <c r="AEK24" i="5"/>
  <c r="AEL24" i="5"/>
  <c r="AEM24" i="5"/>
  <c r="AEN24" i="5"/>
  <c r="AEO24" i="5"/>
  <c r="AEP24" i="5"/>
  <c r="AEQ24" i="5"/>
  <c r="AER24" i="5"/>
  <c r="AES24" i="5"/>
  <c r="AET24" i="5"/>
  <c r="AEU24" i="5"/>
  <c r="AEV24" i="5"/>
  <c r="AEW24" i="5"/>
  <c r="AEX24" i="5"/>
  <c r="AEY24" i="5"/>
  <c r="AEZ24" i="5"/>
  <c r="AFA24" i="5"/>
  <c r="AFB24" i="5"/>
  <c r="AFC24" i="5"/>
  <c r="AFD24" i="5"/>
  <c r="AFE24" i="5"/>
  <c r="AFF24" i="5"/>
  <c r="AFG24" i="5"/>
  <c r="AFH24" i="5"/>
  <c r="AFI24" i="5"/>
  <c r="AFJ24" i="5"/>
  <c r="AFK24" i="5"/>
  <c r="AFL24" i="5"/>
  <c r="AFM24" i="5"/>
  <c r="AFN24" i="5"/>
  <c r="AFO24" i="5"/>
  <c r="AFP24" i="5"/>
  <c r="AFQ24" i="5"/>
  <c r="AFR24" i="5"/>
  <c r="AFS24" i="5"/>
  <c r="AFT24" i="5"/>
  <c r="AFU24" i="5"/>
  <c r="AFV24" i="5"/>
  <c r="AFW24" i="5"/>
  <c r="AFX24" i="5"/>
  <c r="AFY24" i="5"/>
  <c r="AFZ24" i="5"/>
  <c r="AGA24" i="5"/>
  <c r="AGB24" i="5"/>
  <c r="AGC24" i="5"/>
  <c r="AGD24" i="5"/>
  <c r="AGE24" i="5"/>
  <c r="AGF24" i="5"/>
  <c r="AGG24" i="5"/>
  <c r="AGH24" i="5"/>
  <c r="AGI24" i="5"/>
  <c r="AGJ24" i="5"/>
  <c r="AGK24" i="5"/>
  <c r="AGL24" i="5"/>
  <c r="AGM24" i="5"/>
  <c r="AGN24" i="5"/>
  <c r="AGO24" i="5"/>
  <c r="AGP24" i="5"/>
  <c r="AGQ24" i="5"/>
  <c r="AGR24" i="5"/>
  <c r="AGS24" i="5"/>
  <c r="AGT24" i="5"/>
  <c r="AGU24" i="5"/>
  <c r="AGV24" i="5"/>
  <c r="AGW24" i="5"/>
  <c r="AGX24" i="5"/>
  <c r="AGY24" i="5"/>
  <c r="AGZ24" i="5"/>
  <c r="AHA24" i="5"/>
  <c r="AHB24" i="5"/>
  <c r="AHC24" i="5"/>
  <c r="AHD24" i="5"/>
  <c r="AHE24" i="5"/>
  <c r="AHF24" i="5"/>
  <c r="AHG24" i="5"/>
  <c r="AHH24" i="5"/>
  <c r="AHI24" i="5"/>
  <c r="AHJ24" i="5"/>
  <c r="AHK24" i="5"/>
  <c r="AHL24" i="5"/>
  <c r="AHM24" i="5"/>
  <c r="AHN24" i="5"/>
  <c r="AHO24" i="5"/>
  <c r="AHP24" i="5"/>
  <c r="AHQ24" i="5"/>
  <c r="AHR24" i="5"/>
  <c r="AHS24" i="5"/>
  <c r="AHT24" i="5"/>
  <c r="AHU24" i="5"/>
  <c r="AHV24" i="5"/>
  <c r="AHW24" i="5"/>
  <c r="AHX24" i="5"/>
  <c r="AHY24" i="5"/>
  <c r="AHZ24" i="5"/>
  <c r="AIA24" i="5"/>
  <c r="AIB24" i="5"/>
  <c r="AIC24" i="5"/>
  <c r="AID24" i="5"/>
  <c r="AIE24" i="5"/>
  <c r="AIF24" i="5"/>
  <c r="AIG24" i="5"/>
  <c r="AIH24" i="5"/>
  <c r="AII24" i="5"/>
  <c r="AIJ24" i="5"/>
  <c r="AIK24" i="5"/>
  <c r="AIL24" i="5"/>
  <c r="AIM24" i="5"/>
  <c r="AIN24" i="5"/>
  <c r="AIO24" i="5"/>
  <c r="AIP24" i="5"/>
  <c r="AIQ24" i="5"/>
  <c r="AIR24" i="5"/>
  <c r="AIS24" i="5"/>
  <c r="AIT24" i="5"/>
  <c r="AIU24" i="5"/>
  <c r="AIV24" i="5"/>
  <c r="AIW24" i="5"/>
  <c r="AIX24" i="5"/>
  <c r="AIY24" i="5"/>
  <c r="AIZ24" i="5"/>
  <c r="AJA24" i="5"/>
  <c r="AJB24" i="5"/>
  <c r="AJC24" i="5"/>
  <c r="AJD24" i="5"/>
  <c r="AJE24" i="5"/>
  <c r="AJF24" i="5"/>
  <c r="AJG24" i="5"/>
  <c r="AJH24" i="5"/>
  <c r="AJI24" i="5"/>
  <c r="AJJ24" i="5"/>
  <c r="AJK24" i="5"/>
  <c r="AJL24" i="5"/>
  <c r="AJM24" i="5"/>
  <c r="AJN24" i="5"/>
  <c r="AJO24" i="5"/>
  <c r="AJP24" i="5"/>
  <c r="AJQ24" i="5"/>
  <c r="AJR24" i="5"/>
  <c r="AJS24" i="5"/>
  <c r="AJT24" i="5"/>
  <c r="AJU24" i="5"/>
  <c r="AJV24" i="5"/>
  <c r="AJW24" i="5"/>
  <c r="AJX24" i="5"/>
  <c r="AJY24" i="5"/>
  <c r="AJZ24" i="5"/>
  <c r="AKA24" i="5"/>
  <c r="AKB24" i="5"/>
  <c r="AKC24" i="5"/>
  <c r="AKD24" i="5"/>
  <c r="AKE24" i="5"/>
  <c r="AKF24" i="5"/>
  <c r="AKG24" i="5"/>
  <c r="AKH24" i="5"/>
  <c r="AKI24" i="5"/>
  <c r="AKJ24" i="5"/>
  <c r="AKK24" i="5"/>
  <c r="AKL24" i="5"/>
  <c r="AKM24" i="5"/>
  <c r="AKN24" i="5"/>
  <c r="AKO24" i="5"/>
  <c r="AKP24" i="5"/>
  <c r="AKQ24" i="5"/>
  <c r="AKR24" i="5"/>
  <c r="AKS24" i="5"/>
  <c r="AKT24" i="5"/>
  <c r="AKU24" i="5"/>
  <c r="AKV24" i="5"/>
  <c r="AKW24" i="5"/>
  <c r="AKX24" i="5"/>
  <c r="AKY24" i="5"/>
  <c r="AKZ24" i="5"/>
  <c r="ALA24" i="5"/>
  <c r="ALB24" i="5"/>
  <c r="ALC24" i="5"/>
  <c r="ALD24" i="5"/>
  <c r="ALE24" i="5"/>
  <c r="ALF24" i="5"/>
  <c r="ALG24" i="5"/>
  <c r="ALH24" i="5"/>
  <c r="ALI24" i="5"/>
  <c r="ALJ24" i="5"/>
  <c r="ALK24" i="5"/>
  <c r="ALL24" i="5"/>
  <c r="ALM24" i="5"/>
  <c r="ALN24" i="5"/>
  <c r="ALO24" i="5"/>
  <c r="ALP24" i="5"/>
  <c r="ALQ24" i="5"/>
  <c r="ALR24" i="5"/>
  <c r="ALS24" i="5"/>
  <c r="ALT24" i="5"/>
  <c r="ALU24" i="5"/>
  <c r="ALV24" i="5"/>
  <c r="ALW24" i="5"/>
  <c r="ALX24" i="5"/>
  <c r="ALY24" i="5"/>
  <c r="ALZ24" i="5"/>
  <c r="AMA24" i="5"/>
  <c r="AMB24" i="5"/>
  <c r="AMC24" i="5"/>
  <c r="AMD24" i="5"/>
  <c r="AME24" i="5"/>
  <c r="AMF24" i="5"/>
  <c r="AMG24" i="5"/>
  <c r="AMH24" i="5"/>
  <c r="AMI24" i="5"/>
  <c r="AMJ24" i="5"/>
  <c r="AMK24" i="5"/>
  <c r="AML24" i="5"/>
  <c r="AMM24" i="5"/>
  <c r="AMN24" i="5"/>
  <c r="AMO24" i="5"/>
  <c r="AMP24" i="5"/>
  <c r="AMQ24" i="5"/>
  <c r="AMR24" i="5"/>
  <c r="AMS24" i="5"/>
  <c r="AMT24" i="5"/>
  <c r="AMU24" i="5"/>
  <c r="AMV24" i="5"/>
  <c r="AMW24" i="5"/>
  <c r="AMX24" i="5"/>
  <c r="AMY24" i="5"/>
  <c r="AMZ24" i="5"/>
  <c r="ANA24" i="5"/>
  <c r="ANB24" i="5"/>
  <c r="ANC24" i="5"/>
  <c r="AND24" i="5"/>
  <c r="ANE24" i="5"/>
  <c r="ANF24" i="5"/>
  <c r="ANG24" i="5"/>
  <c r="ANH24" i="5"/>
  <c r="ANI24" i="5"/>
  <c r="ANJ24" i="5"/>
  <c r="ANK24" i="5"/>
  <c r="ANL24" i="5"/>
  <c r="ANM24" i="5"/>
  <c r="ANN24" i="5"/>
  <c r="ANO24" i="5"/>
  <c r="ANP24" i="5"/>
  <c r="ANQ24" i="5"/>
  <c r="ANR24" i="5"/>
  <c r="ANS24" i="5"/>
  <c r="ANT24" i="5"/>
  <c r="ANU24" i="5"/>
  <c r="ANV24" i="5"/>
  <c r="ANW24" i="5"/>
  <c r="ANX24" i="5"/>
  <c r="ANY24" i="5"/>
  <c r="ANZ24" i="5"/>
  <c r="AOA24" i="5"/>
  <c r="AOB24" i="5"/>
  <c r="AOC24" i="5"/>
  <c r="AOD24" i="5"/>
  <c r="AOE24" i="5"/>
  <c r="AOF24" i="5"/>
  <c r="AOG24" i="5"/>
  <c r="AOH24" i="5"/>
  <c r="AOI24" i="5"/>
  <c r="AOJ24" i="5"/>
  <c r="AOK24" i="5"/>
  <c r="AOL24" i="5"/>
  <c r="AOM24" i="5"/>
  <c r="AON24" i="5"/>
  <c r="AOO24" i="5"/>
  <c r="AOP24" i="5"/>
  <c r="AOQ24" i="5"/>
  <c r="AOR24" i="5"/>
  <c r="AOS24" i="5"/>
  <c r="AOT24" i="5"/>
  <c r="AOU24" i="5"/>
  <c r="AOV24" i="5"/>
  <c r="AOW24" i="5"/>
  <c r="AOX24" i="5"/>
  <c r="AOY24" i="5"/>
  <c r="AOZ24" i="5"/>
  <c r="APA24" i="5"/>
  <c r="APB24" i="5"/>
  <c r="APC24" i="5"/>
  <c r="APD24" i="5"/>
  <c r="APE24" i="5"/>
  <c r="APF24" i="5"/>
  <c r="APG24" i="5"/>
  <c r="APH24" i="5"/>
  <c r="API24" i="5"/>
  <c r="APJ24" i="5"/>
  <c r="APK24" i="5"/>
  <c r="APL24" i="5"/>
  <c r="APM24" i="5"/>
  <c r="APN24" i="5"/>
  <c r="APO24" i="5"/>
  <c r="APP24" i="5"/>
  <c r="APQ24" i="5"/>
  <c r="APR24" i="5"/>
  <c r="APS24" i="5"/>
  <c r="APT24" i="5"/>
  <c r="APU24" i="5"/>
  <c r="APV24" i="5"/>
  <c r="APW24" i="5"/>
  <c r="APX24" i="5"/>
  <c r="APY24" i="5"/>
  <c r="APZ24" i="5"/>
  <c r="AQA24" i="5"/>
  <c r="AQB24" i="5"/>
  <c r="AQC24" i="5"/>
  <c r="AQD24" i="5"/>
  <c r="AQE24" i="5"/>
  <c r="AQF24" i="5"/>
  <c r="AQG24" i="5"/>
  <c r="AQH24" i="5"/>
  <c r="AQI24" i="5"/>
  <c r="AQJ24" i="5"/>
  <c r="AQK24" i="5"/>
  <c r="AQL24" i="5"/>
  <c r="AQM24" i="5"/>
  <c r="AQN24" i="5"/>
  <c r="AQO24" i="5"/>
  <c r="AQP24" i="5"/>
  <c r="AQQ24" i="5"/>
  <c r="AQR24" i="5"/>
  <c r="AQS24" i="5"/>
  <c r="AQT24" i="5"/>
  <c r="AQU24" i="5"/>
  <c r="AQV24" i="5"/>
  <c r="AQW24" i="5"/>
  <c r="AQX24" i="5"/>
  <c r="AQY24" i="5"/>
  <c r="AQZ24" i="5"/>
  <c r="ARA24" i="5"/>
  <c r="ARB24" i="5"/>
  <c r="ARC24" i="5"/>
  <c r="ARD24" i="5"/>
  <c r="ARE24" i="5"/>
  <c r="ARF24" i="5"/>
  <c r="ARG24" i="5"/>
  <c r="ARH24" i="5"/>
  <c r="ARI24" i="5"/>
  <c r="ARJ24" i="5"/>
  <c r="ARK24" i="5"/>
  <c r="ARL24" i="5"/>
  <c r="ARM24" i="5"/>
  <c r="ARN24" i="5"/>
  <c r="ARO24" i="5"/>
  <c r="ARP24" i="5"/>
  <c r="ARQ24" i="5"/>
  <c r="ARR24" i="5"/>
  <c r="ARS24" i="5"/>
  <c r="ART24" i="5"/>
  <c r="ARU24" i="5"/>
  <c r="ARV24" i="5"/>
  <c r="ARW24" i="5"/>
  <c r="ARX24" i="5"/>
  <c r="ARY24" i="5"/>
  <c r="ARZ24" i="5"/>
  <c r="ASA24" i="5"/>
  <c r="ASB24" i="5"/>
  <c r="ASC24" i="5"/>
  <c r="ASD24" i="5"/>
  <c r="ASE24" i="5"/>
  <c r="ASF24" i="5"/>
  <c r="ASG24" i="5"/>
  <c r="ASH24" i="5"/>
  <c r="ASI24" i="5"/>
  <c r="ASJ24" i="5"/>
  <c r="ASK24" i="5"/>
  <c r="ASL24" i="5"/>
  <c r="ASM24" i="5"/>
  <c r="ASN24" i="5"/>
  <c r="ASO24" i="5"/>
  <c r="ASP24" i="5"/>
  <c r="ASQ24" i="5"/>
  <c r="ASR24" i="5"/>
  <c r="ASS24" i="5"/>
  <c r="AST24" i="5"/>
  <c r="ASU24" i="5"/>
  <c r="ASV24" i="5"/>
  <c r="ASW24" i="5"/>
  <c r="ASX24" i="5"/>
  <c r="ASY24" i="5"/>
  <c r="ASZ24" i="5"/>
  <c r="ATA24" i="5"/>
  <c r="ATB24" i="5"/>
  <c r="ATC24" i="5"/>
  <c r="ATD24" i="5"/>
  <c r="ATE24" i="5"/>
  <c r="ATF24" i="5"/>
  <c r="ATG24" i="5"/>
  <c r="ATH24" i="5"/>
  <c r="ATI24" i="5"/>
  <c r="ATJ24" i="5"/>
  <c r="ATK24" i="5"/>
  <c r="ATL24" i="5"/>
  <c r="ATM24" i="5"/>
  <c r="ATN24" i="5"/>
  <c r="ATO24" i="5"/>
  <c r="ATP24" i="5"/>
  <c r="ATQ24" i="5"/>
  <c r="ATR24" i="5"/>
  <c r="ATS24" i="5"/>
  <c r="ATT24" i="5"/>
  <c r="ATU24" i="5"/>
  <c r="ATV24" i="5"/>
  <c r="ATW24" i="5"/>
  <c r="ATX24" i="5"/>
  <c r="ATY24" i="5"/>
  <c r="ATZ24" i="5"/>
  <c r="AUA24" i="5"/>
  <c r="AUB24" i="5"/>
  <c r="AUC24" i="5"/>
  <c r="AUD24" i="5"/>
  <c r="AUE24" i="5"/>
  <c r="AUF24" i="5"/>
  <c r="AUG24" i="5"/>
  <c r="AUH24" i="5"/>
  <c r="AUI24" i="5"/>
  <c r="AUJ24" i="5"/>
  <c r="AUK24" i="5"/>
  <c r="AUL24" i="5"/>
  <c r="AUM24" i="5"/>
  <c r="AUN24" i="5"/>
  <c r="AUO24" i="5"/>
  <c r="AUP24" i="5"/>
  <c r="AUQ24" i="5"/>
  <c r="AUR24" i="5"/>
  <c r="AUS24" i="5"/>
  <c r="AUT24" i="5"/>
  <c r="AUU24" i="5"/>
  <c r="AUV24" i="5"/>
  <c r="AUW24" i="5"/>
  <c r="AUX24" i="5"/>
  <c r="AUY24" i="5"/>
  <c r="AUZ24" i="5"/>
  <c r="AVA24" i="5"/>
  <c r="AVB24" i="5"/>
  <c r="AVC24" i="5"/>
  <c r="AVD24" i="5"/>
  <c r="AVE24" i="5"/>
  <c r="AVF24" i="5"/>
  <c r="AVG24" i="5"/>
  <c r="AVH24" i="5"/>
  <c r="AVI24" i="5"/>
  <c r="AVJ24" i="5"/>
  <c r="AVK24" i="5"/>
  <c r="AVL24" i="5"/>
  <c r="AVM24" i="5"/>
  <c r="AVN24" i="5"/>
  <c r="AVO24" i="5"/>
  <c r="AVP24" i="5"/>
  <c r="AVQ24" i="5"/>
  <c r="AVR24" i="5"/>
  <c r="AVS24" i="5"/>
  <c r="AVT24" i="5"/>
  <c r="AVU24" i="5"/>
  <c r="AVV24" i="5"/>
  <c r="AVW24" i="5"/>
  <c r="AVX24" i="5"/>
  <c r="AVY24" i="5"/>
  <c r="AVZ24" i="5"/>
  <c r="AWA24" i="5"/>
  <c r="AWB24" i="5"/>
  <c r="AWC24" i="5"/>
  <c r="AWD24" i="5"/>
  <c r="AWE24" i="5"/>
  <c r="AWF24" i="5"/>
  <c r="AWG24" i="5"/>
  <c r="AWH24" i="5"/>
  <c r="AWI24" i="5"/>
  <c r="AWJ24" i="5"/>
  <c r="AWK24" i="5"/>
  <c r="AWL24" i="5"/>
  <c r="AWM24" i="5"/>
  <c r="AWN24" i="5"/>
  <c r="AWO24" i="5"/>
  <c r="AWP24" i="5"/>
  <c r="AWQ24" i="5"/>
  <c r="AWR24" i="5"/>
  <c r="AWS24" i="5"/>
  <c r="AWT24" i="5"/>
  <c r="AWU24" i="5"/>
  <c r="AWV24" i="5"/>
  <c r="AWW24" i="5"/>
  <c r="AWX24" i="5"/>
  <c r="AWY24" i="5"/>
  <c r="AWZ24" i="5"/>
  <c r="AXA24" i="5"/>
  <c r="AXB24" i="5"/>
  <c r="AXC24" i="5"/>
  <c r="AXD24" i="5"/>
  <c r="AXE24" i="5"/>
  <c r="AXF24" i="5"/>
  <c r="AXG24" i="5"/>
  <c r="AXH24" i="5"/>
  <c r="AXI24" i="5"/>
  <c r="AXJ24" i="5"/>
  <c r="AXK24" i="5"/>
  <c r="AXL24" i="5"/>
  <c r="AXM24" i="5"/>
  <c r="AXN24" i="5"/>
  <c r="AXO24" i="5"/>
  <c r="AXP24" i="5"/>
  <c r="AXQ24" i="5"/>
  <c r="AXR24" i="5"/>
  <c r="AXS24" i="5"/>
  <c r="AXT24" i="5"/>
  <c r="AXU24" i="5"/>
  <c r="AXV24" i="5"/>
  <c r="AXW24" i="5"/>
  <c r="AXX24" i="5"/>
  <c r="AXY24" i="5"/>
  <c r="AXZ24" i="5"/>
  <c r="AYA24" i="5"/>
  <c r="AYB24" i="5"/>
  <c r="AYC24" i="5"/>
  <c r="AYD24" i="5"/>
  <c r="AYE24" i="5"/>
  <c r="AYF24" i="5"/>
  <c r="AYG24" i="5"/>
  <c r="AYH24" i="5"/>
  <c r="AYI24" i="5"/>
  <c r="AYJ24" i="5"/>
  <c r="AYK24" i="5"/>
  <c r="AYL24" i="5"/>
  <c r="AYM24" i="5"/>
  <c r="AYN24" i="5"/>
  <c r="AYO24" i="5"/>
  <c r="AYP24" i="5"/>
  <c r="AYQ24" i="5"/>
  <c r="AYR24" i="5"/>
  <c r="AYS24" i="5"/>
  <c r="AYT24" i="5"/>
  <c r="AYU24" i="5"/>
  <c r="AYV24" i="5"/>
  <c r="AYW24" i="5"/>
  <c r="AYX24" i="5"/>
  <c r="AYY24" i="5"/>
  <c r="AYZ24" i="5"/>
  <c r="AZA24" i="5"/>
  <c r="AZB24" i="5"/>
  <c r="AZC24" i="5"/>
  <c r="AZD24" i="5"/>
  <c r="AZE24" i="5"/>
  <c r="AZF24" i="5"/>
  <c r="AZG24" i="5"/>
  <c r="AZH24" i="5"/>
  <c r="AZI24" i="5"/>
  <c r="AZJ24" i="5"/>
  <c r="AZK24" i="5"/>
  <c r="AZL24" i="5"/>
  <c r="AZM24" i="5"/>
  <c r="AZN24" i="5"/>
  <c r="AZO24" i="5"/>
  <c r="AZP24" i="5"/>
  <c r="AZQ24" i="5"/>
  <c r="AZR24" i="5"/>
  <c r="AZS24" i="5"/>
  <c r="AZT24" i="5"/>
  <c r="AZU24" i="5"/>
  <c r="AZV24" i="5"/>
  <c r="AZW24" i="5"/>
  <c r="AZX24" i="5"/>
  <c r="AZY24" i="5"/>
  <c r="AZZ24" i="5"/>
  <c r="BAA24" i="5"/>
  <c r="BAB24" i="5"/>
  <c r="BAC24" i="5"/>
  <c r="BAD24" i="5"/>
  <c r="BAE24" i="5"/>
  <c r="BAF24" i="5"/>
  <c r="BAG24" i="5"/>
  <c r="BAH24" i="5"/>
  <c r="BAI24" i="5"/>
  <c r="BAJ24" i="5"/>
  <c r="BAK24" i="5"/>
  <c r="BAL24" i="5"/>
  <c r="BAM24" i="5"/>
  <c r="BAN24" i="5"/>
  <c r="BAO24" i="5"/>
  <c r="BAP24" i="5"/>
  <c r="BAQ24" i="5"/>
  <c r="BAR24" i="5"/>
  <c r="BAS24" i="5"/>
  <c r="BAT24" i="5"/>
  <c r="BAU24" i="5"/>
  <c r="BAV24" i="5"/>
  <c r="BAW24" i="5"/>
  <c r="BAX24" i="5"/>
  <c r="BAY24" i="5"/>
  <c r="BAZ24" i="5"/>
  <c r="BBA24" i="5"/>
  <c r="BBB24" i="5"/>
  <c r="BBC24" i="5"/>
  <c r="BBD24" i="5"/>
  <c r="BBE24" i="5"/>
  <c r="BBF24" i="5"/>
  <c r="BBG24" i="5"/>
  <c r="BBH24" i="5"/>
  <c r="BBI24" i="5"/>
  <c r="BBJ24" i="5"/>
  <c r="BBK24" i="5"/>
  <c r="BBL24" i="5"/>
  <c r="BBM24" i="5"/>
  <c r="BBN24" i="5"/>
  <c r="BBO24" i="5"/>
  <c r="BBP24" i="5"/>
  <c r="BBQ24" i="5"/>
  <c r="BBR24" i="5"/>
  <c r="BBS24" i="5"/>
  <c r="BBT24" i="5"/>
  <c r="BBU24" i="5"/>
  <c r="BBV24" i="5"/>
  <c r="BBW24" i="5"/>
  <c r="BBX24" i="5"/>
  <c r="BBY24" i="5"/>
  <c r="BBZ24" i="5"/>
  <c r="BCA24" i="5"/>
  <c r="BCB24" i="5"/>
  <c r="BCC24" i="5"/>
  <c r="BCD24" i="5"/>
  <c r="BCE24" i="5"/>
  <c r="BCF24" i="5"/>
  <c r="BCG24" i="5"/>
  <c r="BCH24" i="5"/>
  <c r="BCI24" i="5"/>
  <c r="BCJ24" i="5"/>
  <c r="BCK24" i="5"/>
  <c r="BCL24" i="5"/>
  <c r="BCM24" i="5"/>
  <c r="BCN24" i="5"/>
  <c r="BCO24" i="5"/>
  <c r="BCP24" i="5"/>
  <c r="BCQ24" i="5"/>
  <c r="BCR24" i="5"/>
  <c r="BCS24" i="5"/>
  <c r="BCT24" i="5"/>
  <c r="BCU24" i="5"/>
  <c r="BCV24" i="5"/>
  <c r="BCW24" i="5"/>
  <c r="BCX24" i="5"/>
  <c r="BCY24" i="5"/>
  <c r="BCZ24" i="5"/>
  <c r="BDA24" i="5"/>
  <c r="BDB24" i="5"/>
  <c r="BDC24" i="5"/>
  <c r="BDD24" i="5"/>
  <c r="BDE24" i="5"/>
  <c r="BDF24" i="5"/>
  <c r="BDG24" i="5"/>
  <c r="BDH24" i="5"/>
  <c r="BDI24" i="5"/>
  <c r="BDJ24" i="5"/>
  <c r="BDK24" i="5"/>
  <c r="BDL24" i="5"/>
  <c r="BDM24" i="5"/>
  <c r="BDN24" i="5"/>
  <c r="BDO24" i="5"/>
  <c r="BDP24" i="5"/>
  <c r="BDQ24" i="5"/>
  <c r="BDR24" i="5"/>
  <c r="BDS24" i="5"/>
  <c r="BDT24" i="5"/>
  <c r="BDU24" i="5"/>
  <c r="BDV24" i="5"/>
  <c r="BDW24" i="5"/>
  <c r="BDX24" i="5"/>
  <c r="BDY24" i="5"/>
  <c r="BDZ24" i="5"/>
  <c r="BEA24" i="5"/>
  <c r="BEB24" i="5"/>
  <c r="BEC24" i="5"/>
  <c r="BED24" i="5"/>
  <c r="BEE24" i="5"/>
  <c r="BEF24" i="5"/>
  <c r="BEG24" i="5"/>
  <c r="BEH24" i="5"/>
  <c r="BEI24" i="5"/>
  <c r="BEJ24" i="5"/>
  <c r="BEK24" i="5"/>
  <c r="BEL24" i="5"/>
  <c r="BEM24" i="5"/>
  <c r="BEN24" i="5"/>
  <c r="BEO24" i="5"/>
  <c r="BEP24" i="5"/>
  <c r="BEQ24" i="5"/>
  <c r="BER24" i="5"/>
  <c r="BES24" i="5"/>
  <c r="BET24" i="5"/>
  <c r="BEU24" i="5"/>
  <c r="BEV24" i="5"/>
  <c r="BEW24" i="5"/>
  <c r="BEX24" i="5"/>
  <c r="BEY24" i="5"/>
  <c r="BEZ24" i="5"/>
  <c r="BFA24" i="5"/>
  <c r="BFB24" i="5"/>
  <c r="BFC24" i="5"/>
  <c r="BFD24" i="5"/>
  <c r="BFE24" i="5"/>
  <c r="BFF24" i="5"/>
  <c r="BFG24" i="5"/>
  <c r="BFH24" i="5"/>
  <c r="BFI24" i="5"/>
  <c r="BFJ24" i="5"/>
  <c r="BFK24" i="5"/>
  <c r="BFL24" i="5"/>
  <c r="BFM24" i="5"/>
  <c r="BFN24" i="5"/>
  <c r="BFO24" i="5"/>
  <c r="BFP24" i="5"/>
  <c r="BFQ24" i="5"/>
  <c r="BFR24" i="5"/>
  <c r="BFS24" i="5"/>
  <c r="BFT24" i="5"/>
  <c r="BFU24" i="5"/>
  <c r="BFV24" i="5"/>
  <c r="BFW24" i="5"/>
  <c r="BFX24" i="5"/>
  <c r="BFY24" i="5"/>
  <c r="BFZ24" i="5"/>
  <c r="BGA24" i="5"/>
  <c r="BGB24" i="5"/>
  <c r="BGC24" i="5"/>
  <c r="BGD24" i="5"/>
  <c r="BGE24" i="5"/>
  <c r="BGF24" i="5"/>
  <c r="BGG24" i="5"/>
  <c r="BGH24" i="5"/>
  <c r="BGI24" i="5"/>
  <c r="BGJ24" i="5"/>
  <c r="BGK24" i="5"/>
  <c r="BGL24" i="5"/>
  <c r="BGM24" i="5"/>
  <c r="BGN24" i="5"/>
  <c r="BGO24" i="5"/>
  <c r="BGP24" i="5"/>
  <c r="BGQ24" i="5"/>
  <c r="BGR24" i="5"/>
  <c r="BGS24" i="5"/>
  <c r="BGT24" i="5"/>
  <c r="BGU24" i="5"/>
  <c r="BGV24" i="5"/>
  <c r="BGW24" i="5"/>
  <c r="BGX24" i="5"/>
  <c r="BGY24" i="5"/>
  <c r="BGZ24" i="5"/>
  <c r="BHA24" i="5"/>
  <c r="BHB24" i="5"/>
  <c r="BHC24" i="5"/>
  <c r="BHD24" i="5"/>
  <c r="BHE24" i="5"/>
  <c r="BHF24" i="5"/>
  <c r="BHG24" i="5"/>
  <c r="BHH24" i="5"/>
  <c r="BHI24" i="5"/>
  <c r="BHJ24" i="5"/>
  <c r="BHK24" i="5"/>
  <c r="BHL24" i="5"/>
  <c r="BHM24" i="5"/>
  <c r="BHN24" i="5"/>
  <c r="BHO24" i="5"/>
  <c r="BHP24" i="5"/>
  <c r="BHQ24" i="5"/>
  <c r="BHR24" i="5"/>
  <c r="BHS24" i="5"/>
  <c r="BHT24" i="5"/>
  <c r="BHU24" i="5"/>
  <c r="BHV24" i="5"/>
  <c r="BHW24" i="5"/>
  <c r="BHX24" i="5"/>
  <c r="BHY24" i="5"/>
  <c r="BHZ24" i="5"/>
  <c r="BIA24" i="5"/>
  <c r="BIB24" i="5"/>
  <c r="BIC24" i="5"/>
  <c r="BID24" i="5"/>
  <c r="BIE24" i="5"/>
  <c r="BIF24" i="5"/>
  <c r="BIG24" i="5"/>
  <c r="BIH24" i="5"/>
  <c r="BII24" i="5"/>
  <c r="BIJ24" i="5"/>
  <c r="BIK24" i="5"/>
  <c r="BIL24" i="5"/>
  <c r="BIM24" i="5"/>
  <c r="BIN24" i="5"/>
  <c r="BIO24" i="5"/>
  <c r="BIP24" i="5"/>
  <c r="BIQ24" i="5"/>
  <c r="BIR24" i="5"/>
  <c r="BIS24" i="5"/>
  <c r="BIT24" i="5"/>
  <c r="BIU24" i="5"/>
  <c r="BIV24" i="5"/>
  <c r="BIW24" i="5"/>
  <c r="BIX24" i="5"/>
  <c r="BIY24" i="5"/>
  <c r="BIZ24" i="5"/>
  <c r="BJA24" i="5"/>
  <c r="BJB24" i="5"/>
  <c r="BJC24" i="5"/>
  <c r="BJD24" i="5"/>
  <c r="BJE24" i="5"/>
  <c r="BJF24" i="5"/>
  <c r="BJG24" i="5"/>
  <c r="BJH24" i="5"/>
  <c r="BJI24" i="5"/>
  <c r="BJJ24" i="5"/>
  <c r="BJK24" i="5"/>
  <c r="BJL24" i="5"/>
  <c r="BJM24" i="5"/>
  <c r="BJN24" i="5"/>
  <c r="BJO24" i="5"/>
  <c r="BJP24" i="5"/>
  <c r="BJQ24" i="5"/>
  <c r="BJR24" i="5"/>
  <c r="BJS24" i="5"/>
  <c r="BJT24" i="5"/>
  <c r="BJU24" i="5"/>
  <c r="BJV24" i="5"/>
  <c r="BJW24" i="5"/>
  <c r="BJX24" i="5"/>
  <c r="BJY24" i="5"/>
  <c r="BJZ24" i="5"/>
  <c r="BKA24" i="5"/>
  <c r="BKB24" i="5"/>
  <c r="BKC24" i="5"/>
  <c r="BKD24" i="5"/>
  <c r="BKE24" i="5"/>
  <c r="BKF24" i="5"/>
  <c r="BKG24" i="5"/>
  <c r="BKH24" i="5"/>
  <c r="BKI24" i="5"/>
  <c r="BKJ24" i="5"/>
  <c r="BKK24" i="5"/>
  <c r="BKL24" i="5"/>
  <c r="BKM24" i="5"/>
  <c r="BKN24" i="5"/>
  <c r="BKO24" i="5"/>
  <c r="BKP24" i="5"/>
  <c r="BKQ24" i="5"/>
  <c r="BKR24" i="5"/>
  <c r="BKS24" i="5"/>
  <c r="BKT24" i="5"/>
  <c r="BKU24" i="5"/>
  <c r="BKV24" i="5"/>
  <c r="BKW24" i="5"/>
  <c r="BKX24" i="5"/>
  <c r="BKY24" i="5"/>
  <c r="BKZ24" i="5"/>
  <c r="BLA24" i="5"/>
  <c r="BLB24" i="5"/>
  <c r="BLC24" i="5"/>
  <c r="BLD24" i="5"/>
  <c r="BLE24" i="5"/>
  <c r="BLF24" i="5"/>
  <c r="BLG24" i="5"/>
  <c r="BLH24" i="5"/>
  <c r="BLI24" i="5"/>
  <c r="BLJ24" i="5"/>
  <c r="BLK24" i="5"/>
  <c r="BLL24" i="5"/>
  <c r="BLM24" i="5"/>
  <c r="BLN24" i="5"/>
  <c r="BLO24" i="5"/>
  <c r="BLP24" i="5"/>
  <c r="BLQ24" i="5"/>
  <c r="BLR24" i="5"/>
  <c r="BLS24" i="5"/>
  <c r="BLT24" i="5"/>
  <c r="BLU24" i="5"/>
  <c r="BLV24" i="5"/>
  <c r="BLW24" i="5"/>
  <c r="BLX24" i="5"/>
  <c r="BLY24" i="5"/>
  <c r="BLZ24" i="5"/>
  <c r="BMA24" i="5"/>
  <c r="BMB24" i="5"/>
  <c r="BMC24" i="5"/>
  <c r="BMD24" i="5"/>
  <c r="BME24" i="5"/>
  <c r="BMF24" i="5"/>
  <c r="BMG24" i="5"/>
  <c r="BMH24" i="5"/>
  <c r="BMI24" i="5"/>
  <c r="BMJ24" i="5"/>
  <c r="BMK24" i="5"/>
  <c r="BML24" i="5"/>
  <c r="BMM24" i="5"/>
  <c r="BMN24" i="5"/>
  <c r="BMO24" i="5"/>
  <c r="BMP24" i="5"/>
  <c r="BMQ24" i="5"/>
  <c r="BMR24" i="5"/>
  <c r="BMS24" i="5"/>
  <c r="BMT24" i="5"/>
  <c r="BMU24" i="5"/>
  <c r="BMV24" i="5"/>
  <c r="BMW24" i="5"/>
  <c r="BMX24" i="5"/>
  <c r="BMY24" i="5"/>
  <c r="BMZ24" i="5"/>
  <c r="BNA24" i="5"/>
  <c r="BNB24" i="5"/>
  <c r="BNC24" i="5"/>
  <c r="BND24" i="5"/>
  <c r="BNE24" i="5"/>
  <c r="BNF24" i="5"/>
  <c r="BNG24" i="5"/>
  <c r="BNH24" i="5"/>
  <c r="BNI24" i="5"/>
  <c r="BNJ24" i="5"/>
  <c r="BNK24" i="5"/>
  <c r="BNL24" i="5"/>
  <c r="BNM24" i="5"/>
  <c r="BNN24" i="5"/>
  <c r="BNO24" i="5"/>
  <c r="BNP24" i="5"/>
  <c r="BNQ24" i="5"/>
  <c r="BNR24" i="5"/>
  <c r="BNS24" i="5"/>
  <c r="BNT24" i="5"/>
  <c r="BNU24" i="5"/>
  <c r="BNV24" i="5"/>
  <c r="BNW24" i="5"/>
  <c r="BNX24" i="5"/>
  <c r="BNY24" i="5"/>
  <c r="BNZ24" i="5"/>
  <c r="BOA24" i="5"/>
  <c r="BOB24" i="5"/>
  <c r="BOC24" i="5"/>
  <c r="BOD24" i="5"/>
  <c r="BOE24" i="5"/>
  <c r="BOF24" i="5"/>
  <c r="BOG24" i="5"/>
  <c r="BOH24" i="5"/>
  <c r="BOI24" i="5"/>
  <c r="BOJ24" i="5"/>
  <c r="BOK24" i="5"/>
  <c r="BOL24" i="5"/>
  <c r="BOM24" i="5"/>
  <c r="BON24" i="5"/>
  <c r="BOO24" i="5"/>
  <c r="BOP24" i="5"/>
  <c r="BOQ24" i="5"/>
  <c r="BOR24" i="5"/>
  <c r="BOS24" i="5"/>
  <c r="BOT24" i="5"/>
  <c r="BOU24" i="5"/>
  <c r="BOV24" i="5"/>
  <c r="BOW24" i="5"/>
  <c r="BOX24" i="5"/>
  <c r="BOY24" i="5"/>
  <c r="BOZ24" i="5"/>
  <c r="BPA24" i="5"/>
  <c r="BPB24" i="5"/>
  <c r="BPC24" i="5"/>
  <c r="BPD24" i="5"/>
  <c r="BPE24" i="5"/>
  <c r="BPF24" i="5"/>
  <c r="BPG24" i="5"/>
  <c r="BPH24" i="5"/>
  <c r="BPI24" i="5"/>
  <c r="BPJ24" i="5"/>
  <c r="BPK24" i="5"/>
  <c r="BPL24" i="5"/>
  <c r="BPM24" i="5"/>
  <c r="BPN24" i="5"/>
  <c r="BPO24" i="5"/>
  <c r="BPP24" i="5"/>
  <c r="BPQ24" i="5"/>
  <c r="BPR24" i="5"/>
  <c r="BPS24" i="5"/>
  <c r="BPT24" i="5"/>
  <c r="BPU24" i="5"/>
  <c r="BPV24" i="5"/>
  <c r="BPW24" i="5"/>
  <c r="BPX24" i="5"/>
  <c r="BPY24" i="5"/>
  <c r="BPZ24" i="5"/>
  <c r="BQA24" i="5"/>
  <c r="BQB24" i="5"/>
  <c r="BQC24" i="5"/>
  <c r="BQD24" i="5"/>
  <c r="BQE24" i="5"/>
  <c r="BQF24" i="5"/>
  <c r="BQG24" i="5"/>
  <c r="BQH24" i="5"/>
  <c r="BQI24" i="5"/>
  <c r="BQJ24" i="5"/>
  <c r="BQK24" i="5"/>
  <c r="BQL24" i="5"/>
  <c r="BQM24" i="5"/>
  <c r="BQN24" i="5"/>
  <c r="BQO24" i="5"/>
  <c r="BQP24" i="5"/>
  <c r="BQQ24" i="5"/>
  <c r="BQR24" i="5"/>
  <c r="BQS24" i="5"/>
  <c r="BQT24" i="5"/>
  <c r="BQU24" i="5"/>
  <c r="BQV24" i="5"/>
  <c r="BQW24" i="5"/>
  <c r="BQX24" i="5"/>
  <c r="BQY24" i="5"/>
  <c r="BQZ24" i="5"/>
  <c r="BRA24" i="5"/>
  <c r="BRB24" i="5"/>
  <c r="BRC24" i="5"/>
  <c r="BRD24" i="5"/>
  <c r="BRE24" i="5"/>
  <c r="BRF24" i="5"/>
  <c r="BRG24" i="5"/>
  <c r="BRH24" i="5"/>
  <c r="BRI24" i="5"/>
  <c r="BRJ24" i="5"/>
  <c r="BRK24" i="5"/>
  <c r="BRL24" i="5"/>
  <c r="BRM24" i="5"/>
  <c r="BRN24" i="5"/>
  <c r="BRO24" i="5"/>
  <c r="BRP24" i="5"/>
  <c r="BRQ24" i="5"/>
  <c r="BRR24" i="5"/>
  <c r="BRS24" i="5"/>
  <c r="BRT24" i="5"/>
  <c r="BRU24" i="5"/>
  <c r="BRV24" i="5"/>
  <c r="BRW24" i="5"/>
  <c r="BRX24" i="5"/>
  <c r="BRY24" i="5"/>
  <c r="BRZ24" i="5"/>
  <c r="BSA24" i="5"/>
  <c r="BSB24" i="5"/>
  <c r="BSC24" i="5"/>
  <c r="BSD24" i="5"/>
  <c r="BSE24" i="5"/>
  <c r="BSF24" i="5"/>
  <c r="BSG24" i="5"/>
  <c r="BSH24" i="5"/>
  <c r="BSI24" i="5"/>
  <c r="BSJ24" i="5"/>
  <c r="BSK24" i="5"/>
  <c r="BSL24" i="5"/>
  <c r="BSM24" i="5"/>
  <c r="BSN24" i="5"/>
  <c r="BSO24" i="5"/>
  <c r="BSP24" i="5"/>
  <c r="BSQ24" i="5"/>
  <c r="BSR24" i="5"/>
  <c r="BSS24" i="5"/>
  <c r="BST24" i="5"/>
  <c r="BSU24" i="5"/>
  <c r="BSV24" i="5"/>
  <c r="BSW24" i="5"/>
  <c r="BSX24" i="5"/>
  <c r="BSY24" i="5"/>
  <c r="BSZ24" i="5"/>
  <c r="BTA24" i="5"/>
  <c r="BTB24" i="5"/>
  <c r="BTC24" i="5"/>
  <c r="BTD24" i="5"/>
  <c r="BTE24" i="5"/>
  <c r="BTF24" i="5"/>
  <c r="BTG24" i="5"/>
  <c r="BTH24" i="5"/>
  <c r="BTI24" i="5"/>
  <c r="BTJ24" i="5"/>
  <c r="BTK24" i="5"/>
  <c r="BTL24" i="5"/>
  <c r="BTM24" i="5"/>
  <c r="BTN24" i="5"/>
  <c r="BTO24" i="5"/>
  <c r="BTP24" i="5"/>
  <c r="BTQ24" i="5"/>
  <c r="BTR24" i="5"/>
  <c r="BTS24" i="5"/>
  <c r="BTT24" i="5"/>
  <c r="BTU24" i="5"/>
  <c r="BTV24" i="5"/>
  <c r="BTW24" i="5"/>
  <c r="BTX24" i="5"/>
  <c r="BTY24" i="5"/>
  <c r="BTZ24" i="5"/>
  <c r="BUA24" i="5"/>
  <c r="BUB24" i="5"/>
  <c r="BUC24" i="5"/>
  <c r="BUD24" i="5"/>
  <c r="BUE24" i="5"/>
  <c r="BUF24" i="5"/>
  <c r="BUG24" i="5"/>
  <c r="BUH24" i="5"/>
  <c r="BUI24" i="5"/>
  <c r="BUJ24" i="5"/>
  <c r="BUK24" i="5"/>
  <c r="BUL24" i="5"/>
  <c r="BUM24" i="5"/>
  <c r="BUN24" i="5"/>
  <c r="BUO24" i="5"/>
  <c r="BUP24" i="5"/>
  <c r="BUQ24" i="5"/>
  <c r="BUR24" i="5"/>
  <c r="BUS24" i="5"/>
  <c r="BUT24" i="5"/>
  <c r="BUU24" i="5"/>
  <c r="BUV24" i="5"/>
  <c r="BUW24" i="5"/>
  <c r="BUX24" i="5"/>
  <c r="BUY24" i="5"/>
  <c r="BUZ24" i="5"/>
  <c r="BVA24" i="5"/>
  <c r="BVB24" i="5"/>
  <c r="BVC24" i="5"/>
  <c r="BVD24" i="5"/>
  <c r="BVE24" i="5"/>
  <c r="BVF24" i="5"/>
  <c r="BVG24" i="5"/>
  <c r="BVH24" i="5"/>
  <c r="BVI24" i="5"/>
  <c r="BVJ24" i="5"/>
  <c r="BVK24" i="5"/>
  <c r="BVL24" i="5"/>
  <c r="BVM24" i="5"/>
  <c r="BVN24" i="5"/>
  <c r="BVO24" i="5"/>
  <c r="BVP24" i="5"/>
  <c r="BVQ24" i="5"/>
  <c r="BVR24" i="5"/>
  <c r="BVS24" i="5"/>
  <c r="BVT24" i="5"/>
  <c r="BVU24" i="5"/>
  <c r="BVV24" i="5"/>
  <c r="BVW24" i="5"/>
  <c r="BVX24" i="5"/>
  <c r="BVY24" i="5"/>
  <c r="BVZ24" i="5"/>
  <c r="BWA24" i="5"/>
  <c r="BWB24" i="5"/>
  <c r="BWC24" i="5"/>
  <c r="BWD24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TG25" i="5"/>
  <c r="TH25" i="5"/>
  <c r="TI25" i="5"/>
  <c r="TJ25" i="5"/>
  <c r="TK25" i="5"/>
  <c r="TL25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Z25" i="5"/>
  <c r="UA25" i="5"/>
  <c r="UB25" i="5"/>
  <c r="UC25" i="5"/>
  <c r="UD25" i="5"/>
  <c r="UE25" i="5"/>
  <c r="UF25" i="5"/>
  <c r="UG25" i="5"/>
  <c r="UH25" i="5"/>
  <c r="UI25" i="5"/>
  <c r="UJ25" i="5"/>
  <c r="UK25" i="5"/>
  <c r="UL25" i="5"/>
  <c r="UM25" i="5"/>
  <c r="UN25" i="5"/>
  <c r="UO25" i="5"/>
  <c r="UP25" i="5"/>
  <c r="UQ25" i="5"/>
  <c r="UR25" i="5"/>
  <c r="US25" i="5"/>
  <c r="UT25" i="5"/>
  <c r="UU25" i="5"/>
  <c r="UV25" i="5"/>
  <c r="UW25" i="5"/>
  <c r="UX25" i="5"/>
  <c r="UY25" i="5"/>
  <c r="UZ25" i="5"/>
  <c r="VA25" i="5"/>
  <c r="VB25" i="5"/>
  <c r="VC25" i="5"/>
  <c r="VD25" i="5"/>
  <c r="VE25" i="5"/>
  <c r="VF25" i="5"/>
  <c r="VG25" i="5"/>
  <c r="VH25" i="5"/>
  <c r="VI25" i="5"/>
  <c r="VJ25" i="5"/>
  <c r="VK25" i="5"/>
  <c r="VL25" i="5"/>
  <c r="VM25" i="5"/>
  <c r="VN25" i="5"/>
  <c r="VO25" i="5"/>
  <c r="VP25" i="5"/>
  <c r="VQ25" i="5"/>
  <c r="VR25" i="5"/>
  <c r="VS25" i="5"/>
  <c r="VT25" i="5"/>
  <c r="VU25" i="5"/>
  <c r="VV25" i="5"/>
  <c r="VW25" i="5"/>
  <c r="VX25" i="5"/>
  <c r="VY25" i="5"/>
  <c r="VZ25" i="5"/>
  <c r="WA25" i="5"/>
  <c r="WB25" i="5"/>
  <c r="WC25" i="5"/>
  <c r="WD25" i="5"/>
  <c r="WE25" i="5"/>
  <c r="WF25" i="5"/>
  <c r="WG25" i="5"/>
  <c r="WH25" i="5"/>
  <c r="WI25" i="5"/>
  <c r="WJ25" i="5"/>
  <c r="WK25" i="5"/>
  <c r="WL25" i="5"/>
  <c r="WM25" i="5"/>
  <c r="WN25" i="5"/>
  <c r="WO25" i="5"/>
  <c r="WP25" i="5"/>
  <c r="WQ25" i="5"/>
  <c r="WR25" i="5"/>
  <c r="WS25" i="5"/>
  <c r="WT25" i="5"/>
  <c r="WU25" i="5"/>
  <c r="WV25" i="5"/>
  <c r="WW25" i="5"/>
  <c r="WX25" i="5"/>
  <c r="WY25" i="5"/>
  <c r="WZ25" i="5"/>
  <c r="XA25" i="5"/>
  <c r="XB25" i="5"/>
  <c r="XC25" i="5"/>
  <c r="XD25" i="5"/>
  <c r="XE25" i="5"/>
  <c r="XF25" i="5"/>
  <c r="XG25" i="5"/>
  <c r="XH25" i="5"/>
  <c r="XI25" i="5"/>
  <c r="XJ25" i="5"/>
  <c r="XK25" i="5"/>
  <c r="XL25" i="5"/>
  <c r="XM25" i="5"/>
  <c r="XN25" i="5"/>
  <c r="XO25" i="5"/>
  <c r="XP25" i="5"/>
  <c r="XQ25" i="5"/>
  <c r="XR25" i="5"/>
  <c r="XS25" i="5"/>
  <c r="XT25" i="5"/>
  <c r="XU25" i="5"/>
  <c r="XV25" i="5"/>
  <c r="XW25" i="5"/>
  <c r="XX25" i="5"/>
  <c r="XY25" i="5"/>
  <c r="XZ25" i="5"/>
  <c r="YA25" i="5"/>
  <c r="YB25" i="5"/>
  <c r="YC25" i="5"/>
  <c r="YD25" i="5"/>
  <c r="YE25" i="5"/>
  <c r="YF25" i="5"/>
  <c r="YG25" i="5"/>
  <c r="YH25" i="5"/>
  <c r="YI25" i="5"/>
  <c r="YJ25" i="5"/>
  <c r="YK25" i="5"/>
  <c r="YL25" i="5"/>
  <c r="YM25" i="5"/>
  <c r="YN25" i="5"/>
  <c r="YO25" i="5"/>
  <c r="YP25" i="5"/>
  <c r="YQ25" i="5"/>
  <c r="YR25" i="5"/>
  <c r="YS25" i="5"/>
  <c r="YT25" i="5"/>
  <c r="YU25" i="5"/>
  <c r="YV25" i="5"/>
  <c r="YW25" i="5"/>
  <c r="YX25" i="5"/>
  <c r="YY25" i="5"/>
  <c r="YZ25" i="5"/>
  <c r="ZA25" i="5"/>
  <c r="ZB25" i="5"/>
  <c r="ZC25" i="5"/>
  <c r="ZD25" i="5"/>
  <c r="ZE25" i="5"/>
  <c r="ZF25" i="5"/>
  <c r="ZG25" i="5"/>
  <c r="ZH25" i="5"/>
  <c r="ZI25" i="5"/>
  <c r="ZJ25" i="5"/>
  <c r="ZK25" i="5"/>
  <c r="ZL25" i="5"/>
  <c r="ZM25" i="5"/>
  <c r="ZN25" i="5"/>
  <c r="ZO25" i="5"/>
  <c r="ZP25" i="5"/>
  <c r="ZQ25" i="5"/>
  <c r="ZR25" i="5"/>
  <c r="ZS25" i="5"/>
  <c r="ZT25" i="5"/>
  <c r="ZU25" i="5"/>
  <c r="ZV25" i="5"/>
  <c r="ZW25" i="5"/>
  <c r="ZX25" i="5"/>
  <c r="ZY25" i="5"/>
  <c r="ZZ25" i="5"/>
  <c r="AAA25" i="5"/>
  <c r="AAB25" i="5"/>
  <c r="AAC25" i="5"/>
  <c r="AAD25" i="5"/>
  <c r="AAE25" i="5"/>
  <c r="AAF25" i="5"/>
  <c r="AAG25" i="5"/>
  <c r="AAH25" i="5"/>
  <c r="AAI25" i="5"/>
  <c r="AAJ25" i="5"/>
  <c r="AAK25" i="5"/>
  <c r="AAL25" i="5"/>
  <c r="AAM25" i="5"/>
  <c r="AAN25" i="5"/>
  <c r="AAO25" i="5"/>
  <c r="AAP25" i="5"/>
  <c r="AAQ25" i="5"/>
  <c r="AAR25" i="5"/>
  <c r="AAS25" i="5"/>
  <c r="AAT25" i="5"/>
  <c r="AAU25" i="5"/>
  <c r="AAV25" i="5"/>
  <c r="AAW25" i="5"/>
  <c r="AAX25" i="5"/>
  <c r="AAY25" i="5"/>
  <c r="AAZ25" i="5"/>
  <c r="ABA25" i="5"/>
  <c r="ABB25" i="5"/>
  <c r="ABC25" i="5"/>
  <c r="ABD25" i="5"/>
  <c r="ABE25" i="5"/>
  <c r="ABF25" i="5"/>
  <c r="ABG25" i="5"/>
  <c r="ABH25" i="5"/>
  <c r="ABI25" i="5"/>
  <c r="ABJ25" i="5"/>
  <c r="ABK25" i="5"/>
  <c r="ABL25" i="5"/>
  <c r="ABM25" i="5"/>
  <c r="ABN25" i="5"/>
  <c r="ABO25" i="5"/>
  <c r="ABP25" i="5"/>
  <c r="ABQ25" i="5"/>
  <c r="ABR25" i="5"/>
  <c r="ABS25" i="5"/>
  <c r="ABT25" i="5"/>
  <c r="ABU25" i="5"/>
  <c r="ABV25" i="5"/>
  <c r="ABW25" i="5"/>
  <c r="ABX25" i="5"/>
  <c r="ABY25" i="5"/>
  <c r="ABZ25" i="5"/>
  <c r="ACA25" i="5"/>
  <c r="ACB25" i="5"/>
  <c r="ACC25" i="5"/>
  <c r="ACD25" i="5"/>
  <c r="ACE25" i="5"/>
  <c r="ACF25" i="5"/>
  <c r="ACG25" i="5"/>
  <c r="ACH25" i="5"/>
  <c r="ACI25" i="5"/>
  <c r="ACJ25" i="5"/>
  <c r="ACK25" i="5"/>
  <c r="ACL25" i="5"/>
  <c r="ACM25" i="5"/>
  <c r="ACN25" i="5"/>
  <c r="ACO25" i="5"/>
  <c r="ACP25" i="5"/>
  <c r="ACQ25" i="5"/>
  <c r="ACR25" i="5"/>
  <c r="ACS25" i="5"/>
  <c r="ACT25" i="5"/>
  <c r="ACU25" i="5"/>
  <c r="ACV25" i="5"/>
  <c r="ACW25" i="5"/>
  <c r="ACX25" i="5"/>
  <c r="ACY25" i="5"/>
  <c r="ACZ25" i="5"/>
  <c r="ADA25" i="5"/>
  <c r="ADB25" i="5"/>
  <c r="ADC25" i="5"/>
  <c r="ADD25" i="5"/>
  <c r="ADE25" i="5"/>
  <c r="ADF25" i="5"/>
  <c r="ADG25" i="5"/>
  <c r="ADH25" i="5"/>
  <c r="ADI25" i="5"/>
  <c r="ADJ25" i="5"/>
  <c r="ADK25" i="5"/>
  <c r="ADL25" i="5"/>
  <c r="ADM25" i="5"/>
  <c r="ADN25" i="5"/>
  <c r="ADO25" i="5"/>
  <c r="ADP25" i="5"/>
  <c r="ADQ25" i="5"/>
  <c r="ADR25" i="5"/>
  <c r="ADS25" i="5"/>
  <c r="ADT25" i="5"/>
  <c r="ADU25" i="5"/>
  <c r="ADV25" i="5"/>
  <c r="ADW25" i="5"/>
  <c r="ADX25" i="5"/>
  <c r="ADY25" i="5"/>
  <c r="ADZ25" i="5"/>
  <c r="AEA25" i="5"/>
  <c r="AEB25" i="5"/>
  <c r="AEC25" i="5"/>
  <c r="AED25" i="5"/>
  <c r="AEE25" i="5"/>
  <c r="AEF25" i="5"/>
  <c r="AEG25" i="5"/>
  <c r="AEH25" i="5"/>
  <c r="AEI25" i="5"/>
  <c r="AEJ25" i="5"/>
  <c r="AEK25" i="5"/>
  <c r="AEL25" i="5"/>
  <c r="AEM25" i="5"/>
  <c r="AEN25" i="5"/>
  <c r="AEO25" i="5"/>
  <c r="AEP25" i="5"/>
  <c r="AEQ25" i="5"/>
  <c r="AER25" i="5"/>
  <c r="AES25" i="5"/>
  <c r="AET25" i="5"/>
  <c r="AEU25" i="5"/>
  <c r="AEV25" i="5"/>
  <c r="AEW25" i="5"/>
  <c r="AEX25" i="5"/>
  <c r="AEY25" i="5"/>
  <c r="AEZ25" i="5"/>
  <c r="AFA25" i="5"/>
  <c r="AFB25" i="5"/>
  <c r="AFC25" i="5"/>
  <c r="AFD25" i="5"/>
  <c r="AFE25" i="5"/>
  <c r="AFF25" i="5"/>
  <c r="AFG25" i="5"/>
  <c r="AFH25" i="5"/>
  <c r="AFI25" i="5"/>
  <c r="AFJ25" i="5"/>
  <c r="AFK25" i="5"/>
  <c r="AFL25" i="5"/>
  <c r="AFM25" i="5"/>
  <c r="AFN25" i="5"/>
  <c r="AFO25" i="5"/>
  <c r="AFP25" i="5"/>
  <c r="AFQ25" i="5"/>
  <c r="AFR25" i="5"/>
  <c r="AFS25" i="5"/>
  <c r="AFT25" i="5"/>
  <c r="AFU25" i="5"/>
  <c r="AFV25" i="5"/>
  <c r="AFW25" i="5"/>
  <c r="AFX25" i="5"/>
  <c r="AFY25" i="5"/>
  <c r="AFZ25" i="5"/>
  <c r="AGA25" i="5"/>
  <c r="AGB25" i="5"/>
  <c r="AGC25" i="5"/>
  <c r="AGD25" i="5"/>
  <c r="AGE25" i="5"/>
  <c r="AGF25" i="5"/>
  <c r="AGG25" i="5"/>
  <c r="AGH25" i="5"/>
  <c r="AGI25" i="5"/>
  <c r="AGJ25" i="5"/>
  <c r="AGK25" i="5"/>
  <c r="AGL25" i="5"/>
  <c r="AGM25" i="5"/>
  <c r="AGN25" i="5"/>
  <c r="AGO25" i="5"/>
  <c r="AGP25" i="5"/>
  <c r="AGQ25" i="5"/>
  <c r="AGR25" i="5"/>
  <c r="AGS25" i="5"/>
  <c r="AGT25" i="5"/>
  <c r="AGU25" i="5"/>
  <c r="AGV25" i="5"/>
  <c r="AGW25" i="5"/>
  <c r="AGX25" i="5"/>
  <c r="AGY25" i="5"/>
  <c r="AGZ25" i="5"/>
  <c r="AHA25" i="5"/>
  <c r="AHB25" i="5"/>
  <c r="AHC25" i="5"/>
  <c r="AHD25" i="5"/>
  <c r="AHE25" i="5"/>
  <c r="AHF25" i="5"/>
  <c r="AHG25" i="5"/>
  <c r="AHH25" i="5"/>
  <c r="AHI25" i="5"/>
  <c r="AHJ25" i="5"/>
  <c r="AHK25" i="5"/>
  <c r="AHL25" i="5"/>
  <c r="AHM25" i="5"/>
  <c r="AHN25" i="5"/>
  <c r="AHO25" i="5"/>
  <c r="AHP25" i="5"/>
  <c r="AHQ25" i="5"/>
  <c r="AHR25" i="5"/>
  <c r="AHS25" i="5"/>
  <c r="AHT25" i="5"/>
  <c r="AHU25" i="5"/>
  <c r="AHV25" i="5"/>
  <c r="AHW25" i="5"/>
  <c r="AHX25" i="5"/>
  <c r="AHY25" i="5"/>
  <c r="AHZ25" i="5"/>
  <c r="AIA25" i="5"/>
  <c r="AIB25" i="5"/>
  <c r="AIC25" i="5"/>
  <c r="AID25" i="5"/>
  <c r="AIE25" i="5"/>
  <c r="AIF25" i="5"/>
  <c r="AIG25" i="5"/>
  <c r="AIH25" i="5"/>
  <c r="AII25" i="5"/>
  <c r="AIJ25" i="5"/>
  <c r="AIK25" i="5"/>
  <c r="AIL25" i="5"/>
  <c r="AIM25" i="5"/>
  <c r="AIN25" i="5"/>
  <c r="AIO25" i="5"/>
  <c r="AIP25" i="5"/>
  <c r="AIQ25" i="5"/>
  <c r="AIR25" i="5"/>
  <c r="AIS25" i="5"/>
  <c r="AIT25" i="5"/>
  <c r="AIU25" i="5"/>
  <c r="AIV25" i="5"/>
  <c r="AIW25" i="5"/>
  <c r="AIX25" i="5"/>
  <c r="AIY25" i="5"/>
  <c r="AIZ25" i="5"/>
  <c r="AJA25" i="5"/>
  <c r="AJB25" i="5"/>
  <c r="AJC25" i="5"/>
  <c r="AJD25" i="5"/>
  <c r="AJE25" i="5"/>
  <c r="AJF25" i="5"/>
  <c r="AJG25" i="5"/>
  <c r="AJH25" i="5"/>
  <c r="AJI25" i="5"/>
  <c r="AJJ25" i="5"/>
  <c r="AJK25" i="5"/>
  <c r="AJL25" i="5"/>
  <c r="AJM25" i="5"/>
  <c r="AJN25" i="5"/>
  <c r="AJO25" i="5"/>
  <c r="AJP25" i="5"/>
  <c r="AJQ25" i="5"/>
  <c r="AJR25" i="5"/>
  <c r="AJS25" i="5"/>
  <c r="AJT25" i="5"/>
  <c r="AJU25" i="5"/>
  <c r="AJV25" i="5"/>
  <c r="AJW25" i="5"/>
  <c r="AJX25" i="5"/>
  <c r="AJY25" i="5"/>
  <c r="AJZ25" i="5"/>
  <c r="AKA25" i="5"/>
  <c r="AKB25" i="5"/>
  <c r="AKC25" i="5"/>
  <c r="AKD25" i="5"/>
  <c r="AKE25" i="5"/>
  <c r="AKF25" i="5"/>
  <c r="AKG25" i="5"/>
  <c r="AKH25" i="5"/>
  <c r="AKI25" i="5"/>
  <c r="AKJ25" i="5"/>
  <c r="AKK25" i="5"/>
  <c r="AKL25" i="5"/>
  <c r="AKM25" i="5"/>
  <c r="AKN25" i="5"/>
  <c r="AKO25" i="5"/>
  <c r="AKP25" i="5"/>
  <c r="AKQ25" i="5"/>
  <c r="AKR25" i="5"/>
  <c r="AKS25" i="5"/>
  <c r="AKT25" i="5"/>
  <c r="AKU25" i="5"/>
  <c r="AKV25" i="5"/>
  <c r="AKW25" i="5"/>
  <c r="AKX25" i="5"/>
  <c r="AKY25" i="5"/>
  <c r="AKZ25" i="5"/>
  <c r="ALA25" i="5"/>
  <c r="ALB25" i="5"/>
  <c r="ALC25" i="5"/>
  <c r="ALD25" i="5"/>
  <c r="ALE25" i="5"/>
  <c r="ALF25" i="5"/>
  <c r="ALG25" i="5"/>
  <c r="ALH25" i="5"/>
  <c r="ALI25" i="5"/>
  <c r="ALJ25" i="5"/>
  <c r="ALK25" i="5"/>
  <c r="ALL25" i="5"/>
  <c r="ALM25" i="5"/>
  <c r="ALN25" i="5"/>
  <c r="ALO25" i="5"/>
  <c r="ALP25" i="5"/>
  <c r="ALQ25" i="5"/>
  <c r="ALR25" i="5"/>
  <c r="ALS25" i="5"/>
  <c r="ALT25" i="5"/>
  <c r="ALU25" i="5"/>
  <c r="ALV25" i="5"/>
  <c r="ALW25" i="5"/>
  <c r="ALX25" i="5"/>
  <c r="ALY25" i="5"/>
  <c r="ALZ25" i="5"/>
  <c r="AMA25" i="5"/>
  <c r="AMB25" i="5"/>
  <c r="AMC25" i="5"/>
  <c r="AMD25" i="5"/>
  <c r="AME25" i="5"/>
  <c r="AMF25" i="5"/>
  <c r="AMG25" i="5"/>
  <c r="AMH25" i="5"/>
  <c r="AMI25" i="5"/>
  <c r="AMJ25" i="5"/>
  <c r="AMK25" i="5"/>
  <c r="AML25" i="5"/>
  <c r="AMM25" i="5"/>
  <c r="AMN25" i="5"/>
  <c r="AMO25" i="5"/>
  <c r="AMP25" i="5"/>
  <c r="AMQ25" i="5"/>
  <c r="AMR25" i="5"/>
  <c r="AMS25" i="5"/>
  <c r="AMT25" i="5"/>
  <c r="AMU25" i="5"/>
  <c r="AMV25" i="5"/>
  <c r="AMW25" i="5"/>
  <c r="AMX25" i="5"/>
  <c r="AMY25" i="5"/>
  <c r="AMZ25" i="5"/>
  <c r="ANA25" i="5"/>
  <c r="ANB25" i="5"/>
  <c r="ANC25" i="5"/>
  <c r="AND25" i="5"/>
  <c r="ANE25" i="5"/>
  <c r="ANF25" i="5"/>
  <c r="ANG25" i="5"/>
  <c r="ANH25" i="5"/>
  <c r="ANI25" i="5"/>
  <c r="ANJ25" i="5"/>
  <c r="ANK25" i="5"/>
  <c r="ANL25" i="5"/>
  <c r="ANM25" i="5"/>
  <c r="ANN25" i="5"/>
  <c r="ANO25" i="5"/>
  <c r="ANP25" i="5"/>
  <c r="ANQ25" i="5"/>
  <c r="ANR25" i="5"/>
  <c r="ANS25" i="5"/>
  <c r="ANT25" i="5"/>
  <c r="ANU25" i="5"/>
  <c r="ANV25" i="5"/>
  <c r="ANW25" i="5"/>
  <c r="ANX25" i="5"/>
  <c r="ANY25" i="5"/>
  <c r="ANZ25" i="5"/>
  <c r="AOA25" i="5"/>
  <c r="AOB25" i="5"/>
  <c r="AOC25" i="5"/>
  <c r="AOD25" i="5"/>
  <c r="AOE25" i="5"/>
  <c r="AOF25" i="5"/>
  <c r="AOG25" i="5"/>
  <c r="AOH25" i="5"/>
  <c r="AOI25" i="5"/>
  <c r="AOJ25" i="5"/>
  <c r="AOK25" i="5"/>
  <c r="AOL25" i="5"/>
  <c r="AOM25" i="5"/>
  <c r="AON25" i="5"/>
  <c r="AOO25" i="5"/>
  <c r="AOP25" i="5"/>
  <c r="AOQ25" i="5"/>
  <c r="AOR25" i="5"/>
  <c r="AOS25" i="5"/>
  <c r="AOT25" i="5"/>
  <c r="AOU25" i="5"/>
  <c r="AOV25" i="5"/>
  <c r="AOW25" i="5"/>
  <c r="AOX25" i="5"/>
  <c r="AOY25" i="5"/>
  <c r="AOZ25" i="5"/>
  <c r="APA25" i="5"/>
  <c r="APB25" i="5"/>
  <c r="APC25" i="5"/>
  <c r="APD25" i="5"/>
  <c r="APE25" i="5"/>
  <c r="APF25" i="5"/>
  <c r="APG25" i="5"/>
  <c r="APH25" i="5"/>
  <c r="API25" i="5"/>
  <c r="APJ25" i="5"/>
  <c r="APK25" i="5"/>
  <c r="APL25" i="5"/>
  <c r="APM25" i="5"/>
  <c r="APN25" i="5"/>
  <c r="APO25" i="5"/>
  <c r="APP25" i="5"/>
  <c r="APQ25" i="5"/>
  <c r="APR25" i="5"/>
  <c r="APS25" i="5"/>
  <c r="APT25" i="5"/>
  <c r="APU25" i="5"/>
  <c r="APV25" i="5"/>
  <c r="APW25" i="5"/>
  <c r="APX25" i="5"/>
  <c r="APY25" i="5"/>
  <c r="APZ25" i="5"/>
  <c r="AQA25" i="5"/>
  <c r="AQB25" i="5"/>
  <c r="AQC25" i="5"/>
  <c r="AQD25" i="5"/>
  <c r="AQE25" i="5"/>
  <c r="AQF25" i="5"/>
  <c r="AQG25" i="5"/>
  <c r="AQH25" i="5"/>
  <c r="AQI25" i="5"/>
  <c r="AQJ25" i="5"/>
  <c r="AQK25" i="5"/>
  <c r="AQL25" i="5"/>
  <c r="AQM25" i="5"/>
  <c r="AQN25" i="5"/>
  <c r="AQO25" i="5"/>
  <c r="AQP25" i="5"/>
  <c r="AQQ25" i="5"/>
  <c r="AQR25" i="5"/>
  <c r="AQS25" i="5"/>
  <c r="AQT25" i="5"/>
  <c r="AQU25" i="5"/>
  <c r="AQV25" i="5"/>
  <c r="AQW25" i="5"/>
  <c r="AQX25" i="5"/>
  <c r="AQY25" i="5"/>
  <c r="AQZ25" i="5"/>
  <c r="ARA25" i="5"/>
  <c r="ARB25" i="5"/>
  <c r="ARC25" i="5"/>
  <c r="ARD25" i="5"/>
  <c r="ARE25" i="5"/>
  <c r="ARF25" i="5"/>
  <c r="ARG25" i="5"/>
  <c r="ARH25" i="5"/>
  <c r="ARI25" i="5"/>
  <c r="ARJ25" i="5"/>
  <c r="ARK25" i="5"/>
  <c r="ARL25" i="5"/>
  <c r="ARM25" i="5"/>
  <c r="ARN25" i="5"/>
  <c r="ARO25" i="5"/>
  <c r="ARP25" i="5"/>
  <c r="ARQ25" i="5"/>
  <c r="ARR25" i="5"/>
  <c r="ARS25" i="5"/>
  <c r="ART25" i="5"/>
  <c r="ARU25" i="5"/>
  <c r="ARV25" i="5"/>
  <c r="ARW25" i="5"/>
  <c r="ARX25" i="5"/>
  <c r="ARY25" i="5"/>
  <c r="ARZ25" i="5"/>
  <c r="ASA25" i="5"/>
  <c r="ASB25" i="5"/>
  <c r="ASC25" i="5"/>
  <c r="ASD25" i="5"/>
  <c r="ASE25" i="5"/>
  <c r="ASF25" i="5"/>
  <c r="ASG25" i="5"/>
  <c r="ASH25" i="5"/>
  <c r="ASI25" i="5"/>
  <c r="ASJ25" i="5"/>
  <c r="ASK25" i="5"/>
  <c r="ASL25" i="5"/>
  <c r="ASM25" i="5"/>
  <c r="ASN25" i="5"/>
  <c r="ASO25" i="5"/>
  <c r="ASP25" i="5"/>
  <c r="ASQ25" i="5"/>
  <c r="ASR25" i="5"/>
  <c r="ASS25" i="5"/>
  <c r="AST25" i="5"/>
  <c r="ASU25" i="5"/>
  <c r="ASV25" i="5"/>
  <c r="ASW25" i="5"/>
  <c r="ASX25" i="5"/>
  <c r="ASY25" i="5"/>
  <c r="ASZ25" i="5"/>
  <c r="ATA25" i="5"/>
  <c r="ATB25" i="5"/>
  <c r="ATC25" i="5"/>
  <c r="ATD25" i="5"/>
  <c r="ATE25" i="5"/>
  <c r="ATF25" i="5"/>
  <c r="ATG25" i="5"/>
  <c r="ATH25" i="5"/>
  <c r="ATI25" i="5"/>
  <c r="ATJ25" i="5"/>
  <c r="ATK25" i="5"/>
  <c r="ATL25" i="5"/>
  <c r="ATM25" i="5"/>
  <c r="ATN25" i="5"/>
  <c r="ATO25" i="5"/>
  <c r="ATP25" i="5"/>
  <c r="ATQ25" i="5"/>
  <c r="ATR25" i="5"/>
  <c r="ATS25" i="5"/>
  <c r="ATT25" i="5"/>
  <c r="ATU25" i="5"/>
  <c r="ATV25" i="5"/>
  <c r="ATW25" i="5"/>
  <c r="ATX25" i="5"/>
  <c r="ATY25" i="5"/>
  <c r="ATZ25" i="5"/>
  <c r="AUA25" i="5"/>
  <c r="AUB25" i="5"/>
  <c r="AUC25" i="5"/>
  <c r="AUD25" i="5"/>
  <c r="AUE25" i="5"/>
  <c r="AUF25" i="5"/>
  <c r="AUG25" i="5"/>
  <c r="AUH25" i="5"/>
  <c r="AUI25" i="5"/>
  <c r="AUJ25" i="5"/>
  <c r="AUK25" i="5"/>
  <c r="AUL25" i="5"/>
  <c r="AUM25" i="5"/>
  <c r="AUN25" i="5"/>
  <c r="AUO25" i="5"/>
  <c r="AUP25" i="5"/>
  <c r="AUQ25" i="5"/>
  <c r="AUR25" i="5"/>
  <c r="AUS25" i="5"/>
  <c r="AUT25" i="5"/>
  <c r="AUU25" i="5"/>
  <c r="AUV25" i="5"/>
  <c r="AUW25" i="5"/>
  <c r="AUX25" i="5"/>
  <c r="AUY25" i="5"/>
  <c r="AUZ25" i="5"/>
  <c r="AVA25" i="5"/>
  <c r="AVB25" i="5"/>
  <c r="AVC25" i="5"/>
  <c r="AVD25" i="5"/>
  <c r="AVE25" i="5"/>
  <c r="AVF25" i="5"/>
  <c r="AVG25" i="5"/>
  <c r="AVH25" i="5"/>
  <c r="AVI25" i="5"/>
  <c r="AVJ25" i="5"/>
  <c r="AVK25" i="5"/>
  <c r="AVL25" i="5"/>
  <c r="AVM25" i="5"/>
  <c r="AVN25" i="5"/>
  <c r="AVO25" i="5"/>
  <c r="AVP25" i="5"/>
  <c r="AVQ25" i="5"/>
  <c r="AVR25" i="5"/>
  <c r="AVS25" i="5"/>
  <c r="AVT25" i="5"/>
  <c r="AVU25" i="5"/>
  <c r="AVV25" i="5"/>
  <c r="AVW25" i="5"/>
  <c r="AVX25" i="5"/>
  <c r="AVY25" i="5"/>
  <c r="AVZ25" i="5"/>
  <c r="AWA25" i="5"/>
  <c r="AWB25" i="5"/>
  <c r="AWC25" i="5"/>
  <c r="AWD25" i="5"/>
  <c r="AWE25" i="5"/>
  <c r="AWF25" i="5"/>
  <c r="AWG25" i="5"/>
  <c r="AWH25" i="5"/>
  <c r="AWI25" i="5"/>
  <c r="AWJ25" i="5"/>
  <c r="AWK25" i="5"/>
  <c r="AWL25" i="5"/>
  <c r="AWM25" i="5"/>
  <c r="AWN25" i="5"/>
  <c r="AWO25" i="5"/>
  <c r="AWP25" i="5"/>
  <c r="AWQ25" i="5"/>
  <c r="AWR25" i="5"/>
  <c r="AWS25" i="5"/>
  <c r="AWT25" i="5"/>
  <c r="AWU25" i="5"/>
  <c r="AWV25" i="5"/>
  <c r="AWW25" i="5"/>
  <c r="AWX25" i="5"/>
  <c r="AWY25" i="5"/>
  <c r="AWZ25" i="5"/>
  <c r="AXA25" i="5"/>
  <c r="AXB25" i="5"/>
  <c r="AXC25" i="5"/>
  <c r="AXD25" i="5"/>
  <c r="AXE25" i="5"/>
  <c r="AXF25" i="5"/>
  <c r="AXG25" i="5"/>
  <c r="AXH25" i="5"/>
  <c r="AXI25" i="5"/>
  <c r="AXJ25" i="5"/>
  <c r="AXK25" i="5"/>
  <c r="AXL25" i="5"/>
  <c r="AXM25" i="5"/>
  <c r="AXN25" i="5"/>
  <c r="AXO25" i="5"/>
  <c r="AXP25" i="5"/>
  <c r="AXQ25" i="5"/>
  <c r="AXR25" i="5"/>
  <c r="AXS25" i="5"/>
  <c r="AXT25" i="5"/>
  <c r="AXU25" i="5"/>
  <c r="AXV25" i="5"/>
  <c r="AXW25" i="5"/>
  <c r="AXX25" i="5"/>
  <c r="AXY25" i="5"/>
  <c r="AXZ25" i="5"/>
  <c r="AYA25" i="5"/>
  <c r="AYB25" i="5"/>
  <c r="AYC25" i="5"/>
  <c r="AYD25" i="5"/>
  <c r="AYE25" i="5"/>
  <c r="AYF25" i="5"/>
  <c r="AYG25" i="5"/>
  <c r="AYH25" i="5"/>
  <c r="AYI25" i="5"/>
  <c r="AYJ25" i="5"/>
  <c r="AYK25" i="5"/>
  <c r="AYL25" i="5"/>
  <c r="AYM25" i="5"/>
  <c r="AYN25" i="5"/>
  <c r="AYO25" i="5"/>
  <c r="AYP25" i="5"/>
  <c r="AYQ25" i="5"/>
  <c r="AYR25" i="5"/>
  <c r="AYS25" i="5"/>
  <c r="AYT25" i="5"/>
  <c r="AYU25" i="5"/>
  <c r="AYV25" i="5"/>
  <c r="AYW25" i="5"/>
  <c r="AYX25" i="5"/>
  <c r="AYY25" i="5"/>
  <c r="AYZ25" i="5"/>
  <c r="AZA25" i="5"/>
  <c r="AZB25" i="5"/>
  <c r="AZC25" i="5"/>
  <c r="AZD25" i="5"/>
  <c r="AZE25" i="5"/>
  <c r="AZF25" i="5"/>
  <c r="AZG25" i="5"/>
  <c r="AZH25" i="5"/>
  <c r="AZI25" i="5"/>
  <c r="AZJ25" i="5"/>
  <c r="AZK25" i="5"/>
  <c r="AZL25" i="5"/>
  <c r="AZM25" i="5"/>
  <c r="AZN25" i="5"/>
  <c r="AZO25" i="5"/>
  <c r="AZP25" i="5"/>
  <c r="AZQ25" i="5"/>
  <c r="AZR25" i="5"/>
  <c r="AZS25" i="5"/>
  <c r="AZT25" i="5"/>
  <c r="AZU25" i="5"/>
  <c r="AZV25" i="5"/>
  <c r="AZW25" i="5"/>
  <c r="AZX25" i="5"/>
  <c r="AZY25" i="5"/>
  <c r="AZZ25" i="5"/>
  <c r="BAA25" i="5"/>
  <c r="BAB25" i="5"/>
  <c r="BAC25" i="5"/>
  <c r="BAD25" i="5"/>
  <c r="BAE25" i="5"/>
  <c r="BAF25" i="5"/>
  <c r="BAG25" i="5"/>
  <c r="BAH25" i="5"/>
  <c r="BAI25" i="5"/>
  <c r="BAJ25" i="5"/>
  <c r="BAK25" i="5"/>
  <c r="BAL25" i="5"/>
  <c r="BAM25" i="5"/>
  <c r="BAN25" i="5"/>
  <c r="BAO25" i="5"/>
  <c r="BAP25" i="5"/>
  <c r="BAQ25" i="5"/>
  <c r="BAR25" i="5"/>
  <c r="BAS25" i="5"/>
  <c r="BAT25" i="5"/>
  <c r="BAU25" i="5"/>
  <c r="BAV25" i="5"/>
  <c r="BAW25" i="5"/>
  <c r="BAX25" i="5"/>
  <c r="BAY25" i="5"/>
  <c r="BAZ25" i="5"/>
  <c r="BBA25" i="5"/>
  <c r="BBB25" i="5"/>
  <c r="BBC25" i="5"/>
  <c r="BBD25" i="5"/>
  <c r="BBE25" i="5"/>
  <c r="BBF25" i="5"/>
  <c r="BBG25" i="5"/>
  <c r="BBH25" i="5"/>
  <c r="BBI25" i="5"/>
  <c r="BBJ25" i="5"/>
  <c r="BBK25" i="5"/>
  <c r="BBL25" i="5"/>
  <c r="BBM25" i="5"/>
  <c r="BBN25" i="5"/>
  <c r="BBO25" i="5"/>
  <c r="BBP25" i="5"/>
  <c r="BBQ25" i="5"/>
  <c r="BBR25" i="5"/>
  <c r="BBS25" i="5"/>
  <c r="BBT25" i="5"/>
  <c r="BBU25" i="5"/>
  <c r="BBV25" i="5"/>
  <c r="BBW25" i="5"/>
  <c r="BBX25" i="5"/>
  <c r="BBY25" i="5"/>
  <c r="BBZ25" i="5"/>
  <c r="BCA25" i="5"/>
  <c r="BCB25" i="5"/>
  <c r="BCC25" i="5"/>
  <c r="BCD25" i="5"/>
  <c r="BCE25" i="5"/>
  <c r="BCF25" i="5"/>
  <c r="BCG25" i="5"/>
  <c r="BCH25" i="5"/>
  <c r="BCI25" i="5"/>
  <c r="BCJ25" i="5"/>
  <c r="BCK25" i="5"/>
  <c r="BCL25" i="5"/>
  <c r="BCM25" i="5"/>
  <c r="BCN25" i="5"/>
  <c r="BCO25" i="5"/>
  <c r="BCP25" i="5"/>
  <c r="BCQ25" i="5"/>
  <c r="BCR25" i="5"/>
  <c r="BCS25" i="5"/>
  <c r="BCT25" i="5"/>
  <c r="BCU25" i="5"/>
  <c r="BCV25" i="5"/>
  <c r="BCW25" i="5"/>
  <c r="BCX25" i="5"/>
  <c r="BCY25" i="5"/>
  <c r="BCZ25" i="5"/>
  <c r="BDA25" i="5"/>
  <c r="BDB25" i="5"/>
  <c r="BDC25" i="5"/>
  <c r="BDD25" i="5"/>
  <c r="BDE25" i="5"/>
  <c r="BDF25" i="5"/>
  <c r="BDG25" i="5"/>
  <c r="BDH25" i="5"/>
  <c r="BDI25" i="5"/>
  <c r="BDJ25" i="5"/>
  <c r="BDK25" i="5"/>
  <c r="BDL25" i="5"/>
  <c r="BDM25" i="5"/>
  <c r="BDN25" i="5"/>
  <c r="BDO25" i="5"/>
  <c r="BDP25" i="5"/>
  <c r="BDQ25" i="5"/>
  <c r="BDR25" i="5"/>
  <c r="BDS25" i="5"/>
  <c r="BDT25" i="5"/>
  <c r="BDU25" i="5"/>
  <c r="BDV25" i="5"/>
  <c r="BDW25" i="5"/>
  <c r="BDX25" i="5"/>
  <c r="BDY25" i="5"/>
  <c r="BDZ25" i="5"/>
  <c r="BEA25" i="5"/>
  <c r="BEB25" i="5"/>
  <c r="BEC25" i="5"/>
  <c r="BED25" i="5"/>
  <c r="BEE25" i="5"/>
  <c r="BEF25" i="5"/>
  <c r="BEG25" i="5"/>
  <c r="BEH25" i="5"/>
  <c r="BEI25" i="5"/>
  <c r="BEJ25" i="5"/>
  <c r="BEK25" i="5"/>
  <c r="BEL25" i="5"/>
  <c r="BEM25" i="5"/>
  <c r="BEN25" i="5"/>
  <c r="BEO25" i="5"/>
  <c r="BEP25" i="5"/>
  <c r="BEQ25" i="5"/>
  <c r="BER25" i="5"/>
  <c r="BES25" i="5"/>
  <c r="BET25" i="5"/>
  <c r="BEU25" i="5"/>
  <c r="BEV25" i="5"/>
  <c r="BEW25" i="5"/>
  <c r="BEX25" i="5"/>
  <c r="BEY25" i="5"/>
  <c r="BEZ25" i="5"/>
  <c r="BFA25" i="5"/>
  <c r="BFB25" i="5"/>
  <c r="BFC25" i="5"/>
  <c r="BFD25" i="5"/>
  <c r="BFE25" i="5"/>
  <c r="BFF25" i="5"/>
  <c r="BFG25" i="5"/>
  <c r="BFH25" i="5"/>
  <c r="BFI25" i="5"/>
  <c r="BFJ25" i="5"/>
  <c r="BFK25" i="5"/>
  <c r="BFL25" i="5"/>
  <c r="BFM25" i="5"/>
  <c r="BFN25" i="5"/>
  <c r="BFO25" i="5"/>
  <c r="BFP25" i="5"/>
  <c r="BFQ25" i="5"/>
  <c r="BFR25" i="5"/>
  <c r="BFS25" i="5"/>
  <c r="BFT25" i="5"/>
  <c r="BFU25" i="5"/>
  <c r="BFV25" i="5"/>
  <c r="BFW25" i="5"/>
  <c r="BFX25" i="5"/>
  <c r="BFY25" i="5"/>
  <c r="BFZ25" i="5"/>
  <c r="BGA25" i="5"/>
  <c r="BGB25" i="5"/>
  <c r="BGC25" i="5"/>
  <c r="BGD25" i="5"/>
  <c r="BGE25" i="5"/>
  <c r="BGF25" i="5"/>
  <c r="BGG25" i="5"/>
  <c r="BGH25" i="5"/>
  <c r="BGI25" i="5"/>
  <c r="BGJ25" i="5"/>
  <c r="BGK25" i="5"/>
  <c r="BGL25" i="5"/>
  <c r="BGM25" i="5"/>
  <c r="BGN25" i="5"/>
  <c r="BGO25" i="5"/>
  <c r="BGP25" i="5"/>
  <c r="BGQ25" i="5"/>
  <c r="BGR25" i="5"/>
  <c r="BGS25" i="5"/>
  <c r="BGT25" i="5"/>
  <c r="BGU25" i="5"/>
  <c r="BGV25" i="5"/>
  <c r="BGW25" i="5"/>
  <c r="BGX25" i="5"/>
  <c r="BGY25" i="5"/>
  <c r="BGZ25" i="5"/>
  <c r="BHA25" i="5"/>
  <c r="BHB25" i="5"/>
  <c r="BHC25" i="5"/>
  <c r="BHD25" i="5"/>
  <c r="BHE25" i="5"/>
  <c r="BHF25" i="5"/>
  <c r="BHG25" i="5"/>
  <c r="BHH25" i="5"/>
  <c r="BHI25" i="5"/>
  <c r="BHJ25" i="5"/>
  <c r="BHK25" i="5"/>
  <c r="BHL25" i="5"/>
  <c r="BHM25" i="5"/>
  <c r="BHN25" i="5"/>
  <c r="BHO25" i="5"/>
  <c r="BHP25" i="5"/>
  <c r="BHQ25" i="5"/>
  <c r="BHR25" i="5"/>
  <c r="BHS25" i="5"/>
  <c r="BHT25" i="5"/>
  <c r="BHU25" i="5"/>
  <c r="BHV25" i="5"/>
  <c r="BHW25" i="5"/>
  <c r="BHX25" i="5"/>
  <c r="BHY25" i="5"/>
  <c r="BHZ25" i="5"/>
  <c r="BIA25" i="5"/>
  <c r="BIB25" i="5"/>
  <c r="BIC25" i="5"/>
  <c r="BID25" i="5"/>
  <c r="BIE25" i="5"/>
  <c r="BIF25" i="5"/>
  <c r="BIG25" i="5"/>
  <c r="BIH25" i="5"/>
  <c r="BII25" i="5"/>
  <c r="BIJ25" i="5"/>
  <c r="BIK25" i="5"/>
  <c r="BIL25" i="5"/>
  <c r="BIM25" i="5"/>
  <c r="BIN25" i="5"/>
  <c r="BIO25" i="5"/>
  <c r="BIP25" i="5"/>
  <c r="BIQ25" i="5"/>
  <c r="BIR25" i="5"/>
  <c r="BIS25" i="5"/>
  <c r="BIT25" i="5"/>
  <c r="BIU25" i="5"/>
  <c r="BIV25" i="5"/>
  <c r="BIW25" i="5"/>
  <c r="BIX25" i="5"/>
  <c r="BIY25" i="5"/>
  <c r="BIZ25" i="5"/>
  <c r="BJA25" i="5"/>
  <c r="BJB25" i="5"/>
  <c r="BJC25" i="5"/>
  <c r="BJD25" i="5"/>
  <c r="BJE25" i="5"/>
  <c r="BJF25" i="5"/>
  <c r="BJG25" i="5"/>
  <c r="BJH25" i="5"/>
  <c r="BJI25" i="5"/>
  <c r="BJJ25" i="5"/>
  <c r="BJK25" i="5"/>
  <c r="BJL25" i="5"/>
  <c r="BJM25" i="5"/>
  <c r="BJN25" i="5"/>
  <c r="BJO25" i="5"/>
  <c r="BJP25" i="5"/>
  <c r="BJQ25" i="5"/>
  <c r="BJR25" i="5"/>
  <c r="BJS25" i="5"/>
  <c r="BJT25" i="5"/>
  <c r="BJU25" i="5"/>
  <c r="BJV25" i="5"/>
  <c r="BJW25" i="5"/>
  <c r="BJX25" i="5"/>
  <c r="BJY25" i="5"/>
  <c r="BJZ25" i="5"/>
  <c r="BKA25" i="5"/>
  <c r="BKB25" i="5"/>
  <c r="BKC25" i="5"/>
  <c r="BKD25" i="5"/>
  <c r="BKE25" i="5"/>
  <c r="BKF25" i="5"/>
  <c r="BKG25" i="5"/>
  <c r="BKH25" i="5"/>
  <c r="BKI25" i="5"/>
  <c r="BKJ25" i="5"/>
  <c r="BKK25" i="5"/>
  <c r="BKL25" i="5"/>
  <c r="BKM25" i="5"/>
  <c r="BKN25" i="5"/>
  <c r="BKO25" i="5"/>
  <c r="BKP25" i="5"/>
  <c r="BKQ25" i="5"/>
  <c r="BKR25" i="5"/>
  <c r="BKS25" i="5"/>
  <c r="BKT25" i="5"/>
  <c r="BKU25" i="5"/>
  <c r="BKV25" i="5"/>
  <c r="BKW25" i="5"/>
  <c r="BKX25" i="5"/>
  <c r="BKY25" i="5"/>
  <c r="BKZ25" i="5"/>
  <c r="BLA25" i="5"/>
  <c r="BLB25" i="5"/>
  <c r="BLC25" i="5"/>
  <c r="BLD25" i="5"/>
  <c r="BLE25" i="5"/>
  <c r="BLF25" i="5"/>
  <c r="BLG25" i="5"/>
  <c r="BLH25" i="5"/>
  <c r="BLI25" i="5"/>
  <c r="BLJ25" i="5"/>
  <c r="BLK25" i="5"/>
  <c r="BLL25" i="5"/>
  <c r="BLM25" i="5"/>
  <c r="BLN25" i="5"/>
  <c r="BLO25" i="5"/>
  <c r="BLP25" i="5"/>
  <c r="BLQ25" i="5"/>
  <c r="BLR25" i="5"/>
  <c r="BLS25" i="5"/>
  <c r="BLT25" i="5"/>
  <c r="BLU25" i="5"/>
  <c r="BLV25" i="5"/>
  <c r="BLW25" i="5"/>
  <c r="BLX25" i="5"/>
  <c r="BLY25" i="5"/>
  <c r="BLZ25" i="5"/>
  <c r="BMA25" i="5"/>
  <c r="BMB25" i="5"/>
  <c r="BMC25" i="5"/>
  <c r="BMD25" i="5"/>
  <c r="BME25" i="5"/>
  <c r="BMF25" i="5"/>
  <c r="BMG25" i="5"/>
  <c r="BMH25" i="5"/>
  <c r="BMI25" i="5"/>
  <c r="BMJ25" i="5"/>
  <c r="BMK25" i="5"/>
  <c r="BML25" i="5"/>
  <c r="BMM25" i="5"/>
  <c r="BMN25" i="5"/>
  <c r="BMO25" i="5"/>
  <c r="BMP25" i="5"/>
  <c r="BMQ25" i="5"/>
  <c r="BMR25" i="5"/>
  <c r="BMS25" i="5"/>
  <c r="BMT25" i="5"/>
  <c r="BMU25" i="5"/>
  <c r="BMV25" i="5"/>
  <c r="BMW25" i="5"/>
  <c r="BMX25" i="5"/>
  <c r="BMY25" i="5"/>
  <c r="BMZ25" i="5"/>
  <c r="BNA25" i="5"/>
  <c r="BNB25" i="5"/>
  <c r="BNC25" i="5"/>
  <c r="BND25" i="5"/>
  <c r="BNE25" i="5"/>
  <c r="BNF25" i="5"/>
  <c r="BNG25" i="5"/>
  <c r="BNH25" i="5"/>
  <c r="BNI25" i="5"/>
  <c r="BNJ25" i="5"/>
  <c r="BNK25" i="5"/>
  <c r="BNL25" i="5"/>
  <c r="BNM25" i="5"/>
  <c r="BNN25" i="5"/>
  <c r="BNO25" i="5"/>
  <c r="BNP25" i="5"/>
  <c r="BNQ25" i="5"/>
  <c r="BNR25" i="5"/>
  <c r="BNS25" i="5"/>
  <c r="BNT25" i="5"/>
  <c r="BNU25" i="5"/>
  <c r="BNV25" i="5"/>
  <c r="BNW25" i="5"/>
  <c r="BNX25" i="5"/>
  <c r="BNY25" i="5"/>
  <c r="BNZ25" i="5"/>
  <c r="BOA25" i="5"/>
  <c r="BOB25" i="5"/>
  <c r="BOC25" i="5"/>
  <c r="BOD25" i="5"/>
  <c r="BOE25" i="5"/>
  <c r="BOF25" i="5"/>
  <c r="BOG25" i="5"/>
  <c r="BOH25" i="5"/>
  <c r="BOI25" i="5"/>
  <c r="BOJ25" i="5"/>
  <c r="BOK25" i="5"/>
  <c r="BOL25" i="5"/>
  <c r="BOM25" i="5"/>
  <c r="BON25" i="5"/>
  <c r="BOO25" i="5"/>
  <c r="BOP25" i="5"/>
  <c r="BOQ25" i="5"/>
  <c r="BOR25" i="5"/>
  <c r="BOS25" i="5"/>
  <c r="BOT25" i="5"/>
  <c r="BOU25" i="5"/>
  <c r="BOV25" i="5"/>
  <c r="BOW25" i="5"/>
  <c r="BOX25" i="5"/>
  <c r="BOY25" i="5"/>
  <c r="BOZ25" i="5"/>
  <c r="BPA25" i="5"/>
  <c r="BPB25" i="5"/>
  <c r="BPC25" i="5"/>
  <c r="BPD25" i="5"/>
  <c r="BPE25" i="5"/>
  <c r="BPF25" i="5"/>
  <c r="BPG25" i="5"/>
  <c r="BPH25" i="5"/>
  <c r="BPI25" i="5"/>
  <c r="BPJ25" i="5"/>
  <c r="BPK25" i="5"/>
  <c r="BPL25" i="5"/>
  <c r="BPM25" i="5"/>
  <c r="BPN25" i="5"/>
  <c r="BPO25" i="5"/>
  <c r="BPP25" i="5"/>
  <c r="BPQ25" i="5"/>
  <c r="BPR25" i="5"/>
  <c r="BPS25" i="5"/>
  <c r="BPT25" i="5"/>
  <c r="BPU25" i="5"/>
  <c r="BPV25" i="5"/>
  <c r="BPW25" i="5"/>
  <c r="BPX25" i="5"/>
  <c r="BPY25" i="5"/>
  <c r="BPZ25" i="5"/>
  <c r="BQA25" i="5"/>
  <c r="BQB25" i="5"/>
  <c r="BQC25" i="5"/>
  <c r="BQD25" i="5"/>
  <c r="BQE25" i="5"/>
  <c r="BQF25" i="5"/>
  <c r="BQG25" i="5"/>
  <c r="BQH25" i="5"/>
  <c r="BQI25" i="5"/>
  <c r="BQJ25" i="5"/>
  <c r="BQK25" i="5"/>
  <c r="BQL25" i="5"/>
  <c r="BQM25" i="5"/>
  <c r="BQN25" i="5"/>
  <c r="BQO25" i="5"/>
  <c r="BQP25" i="5"/>
  <c r="BQQ25" i="5"/>
  <c r="BQR25" i="5"/>
  <c r="BQS25" i="5"/>
  <c r="BQT25" i="5"/>
  <c r="BQU25" i="5"/>
  <c r="BQV25" i="5"/>
  <c r="BQW25" i="5"/>
  <c r="BQX25" i="5"/>
  <c r="BQY25" i="5"/>
  <c r="BQZ25" i="5"/>
  <c r="BRA25" i="5"/>
  <c r="BRB25" i="5"/>
  <c r="BRC25" i="5"/>
  <c r="BRD25" i="5"/>
  <c r="BRE25" i="5"/>
  <c r="BRF25" i="5"/>
  <c r="BRG25" i="5"/>
  <c r="BRH25" i="5"/>
  <c r="BRI25" i="5"/>
  <c r="BRJ25" i="5"/>
  <c r="BRK25" i="5"/>
  <c r="BRL25" i="5"/>
  <c r="BRM25" i="5"/>
  <c r="BRN25" i="5"/>
  <c r="BRO25" i="5"/>
  <c r="BRP25" i="5"/>
  <c r="BRQ25" i="5"/>
  <c r="BRR25" i="5"/>
  <c r="BRS25" i="5"/>
  <c r="BRT25" i="5"/>
  <c r="BRU25" i="5"/>
  <c r="BRV25" i="5"/>
  <c r="BRW25" i="5"/>
  <c r="BRX25" i="5"/>
  <c r="BRY25" i="5"/>
  <c r="BRZ25" i="5"/>
  <c r="BSA25" i="5"/>
  <c r="BSB25" i="5"/>
  <c r="BSC25" i="5"/>
  <c r="BSD25" i="5"/>
  <c r="BSE25" i="5"/>
  <c r="BSF25" i="5"/>
  <c r="BSG25" i="5"/>
  <c r="BSH25" i="5"/>
  <c r="BSI25" i="5"/>
  <c r="BSJ25" i="5"/>
  <c r="BSK25" i="5"/>
  <c r="BSL25" i="5"/>
  <c r="BSM25" i="5"/>
  <c r="BSN25" i="5"/>
  <c r="BSO25" i="5"/>
  <c r="BSP25" i="5"/>
  <c r="BSQ25" i="5"/>
  <c r="BSR25" i="5"/>
  <c r="BSS25" i="5"/>
  <c r="BST25" i="5"/>
  <c r="BSU25" i="5"/>
  <c r="BSV25" i="5"/>
  <c r="BSW25" i="5"/>
  <c r="BSX25" i="5"/>
  <c r="BSY25" i="5"/>
  <c r="BSZ25" i="5"/>
  <c r="BTA25" i="5"/>
  <c r="BTB25" i="5"/>
  <c r="BTC25" i="5"/>
  <c r="BTD25" i="5"/>
  <c r="BTE25" i="5"/>
  <c r="BTF25" i="5"/>
  <c r="BTG25" i="5"/>
  <c r="BTH25" i="5"/>
  <c r="BTI25" i="5"/>
  <c r="BTJ25" i="5"/>
  <c r="BTK25" i="5"/>
  <c r="BTL25" i="5"/>
  <c r="BTM25" i="5"/>
  <c r="BTN25" i="5"/>
  <c r="BTO25" i="5"/>
  <c r="BTP25" i="5"/>
  <c r="BTQ25" i="5"/>
  <c r="BTR25" i="5"/>
  <c r="BTS25" i="5"/>
  <c r="BTT25" i="5"/>
  <c r="BTU25" i="5"/>
  <c r="BTV25" i="5"/>
  <c r="BTW25" i="5"/>
  <c r="BTX25" i="5"/>
  <c r="BTY25" i="5"/>
  <c r="BTZ25" i="5"/>
  <c r="BUA25" i="5"/>
  <c r="BUB25" i="5"/>
  <c r="BUC25" i="5"/>
  <c r="BUD25" i="5"/>
  <c r="BUE25" i="5"/>
  <c r="BUF25" i="5"/>
  <c r="BUG25" i="5"/>
  <c r="BUH25" i="5"/>
  <c r="BUI25" i="5"/>
  <c r="BUJ25" i="5"/>
  <c r="BUK25" i="5"/>
  <c r="BUL25" i="5"/>
  <c r="BUM25" i="5"/>
  <c r="BUN25" i="5"/>
  <c r="BUO25" i="5"/>
  <c r="BUP25" i="5"/>
  <c r="BUQ25" i="5"/>
  <c r="BUR25" i="5"/>
  <c r="BUS25" i="5"/>
  <c r="BUT25" i="5"/>
  <c r="BUU25" i="5"/>
  <c r="BUV25" i="5"/>
  <c r="BUW25" i="5"/>
  <c r="BUX25" i="5"/>
  <c r="BUY25" i="5"/>
  <c r="BUZ25" i="5"/>
  <c r="BVA25" i="5"/>
  <c r="BVB25" i="5"/>
  <c r="BVC25" i="5"/>
  <c r="BVD25" i="5"/>
  <c r="BVE25" i="5"/>
  <c r="BVF25" i="5"/>
  <c r="BVG25" i="5"/>
  <c r="BVH25" i="5"/>
  <c r="BVI25" i="5"/>
  <c r="BVJ25" i="5"/>
  <c r="BVK25" i="5"/>
  <c r="BVL25" i="5"/>
  <c r="BVM25" i="5"/>
  <c r="BVN25" i="5"/>
  <c r="BVO25" i="5"/>
  <c r="BVP25" i="5"/>
  <c r="BVQ25" i="5"/>
  <c r="BVR25" i="5"/>
  <c r="BVS25" i="5"/>
  <c r="BVT25" i="5"/>
  <c r="BVU25" i="5"/>
  <c r="BVV25" i="5"/>
  <c r="BVW25" i="5"/>
  <c r="BVX25" i="5"/>
  <c r="BVY25" i="5"/>
  <c r="BVZ25" i="5"/>
  <c r="BWA25" i="5"/>
  <c r="BWB25" i="5"/>
  <c r="BWC25" i="5"/>
  <c r="BWD25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ND26" i="5"/>
  <c r="NE26" i="5"/>
  <c r="NF26" i="5"/>
  <c r="NG26" i="5"/>
  <c r="NH26" i="5"/>
  <c r="NI26" i="5"/>
  <c r="NJ26" i="5"/>
  <c r="NK26" i="5"/>
  <c r="NL26" i="5"/>
  <c r="NM26" i="5"/>
  <c r="NN26" i="5"/>
  <c r="NO26" i="5"/>
  <c r="NP26" i="5"/>
  <c r="NQ26" i="5"/>
  <c r="NR26" i="5"/>
  <c r="NS26" i="5"/>
  <c r="NT26" i="5"/>
  <c r="NU26" i="5"/>
  <c r="NV26" i="5"/>
  <c r="NW26" i="5"/>
  <c r="NX26" i="5"/>
  <c r="NY26" i="5"/>
  <c r="NZ26" i="5"/>
  <c r="OA26" i="5"/>
  <c r="OB26" i="5"/>
  <c r="OC26" i="5"/>
  <c r="OD26" i="5"/>
  <c r="OE26" i="5"/>
  <c r="OF26" i="5"/>
  <c r="OG26" i="5"/>
  <c r="OH26" i="5"/>
  <c r="OI26" i="5"/>
  <c r="OJ26" i="5"/>
  <c r="OK26" i="5"/>
  <c r="OL26" i="5"/>
  <c r="OM26" i="5"/>
  <c r="ON26" i="5"/>
  <c r="OO26" i="5"/>
  <c r="OP26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PO26" i="5"/>
  <c r="PP26" i="5"/>
  <c r="PQ26" i="5"/>
  <c r="PR26" i="5"/>
  <c r="PS26" i="5"/>
  <c r="PT26" i="5"/>
  <c r="PU26" i="5"/>
  <c r="PV26" i="5"/>
  <c r="PW26" i="5"/>
  <c r="PX26" i="5"/>
  <c r="PY26" i="5"/>
  <c r="PZ26" i="5"/>
  <c r="QA26" i="5"/>
  <c r="QB26" i="5"/>
  <c r="QC26" i="5"/>
  <c r="QD26" i="5"/>
  <c r="QE26" i="5"/>
  <c r="QF26" i="5"/>
  <c r="QG26" i="5"/>
  <c r="QH26" i="5"/>
  <c r="QI26" i="5"/>
  <c r="QJ26" i="5"/>
  <c r="QK26" i="5"/>
  <c r="QL26" i="5"/>
  <c r="QM26" i="5"/>
  <c r="QN26" i="5"/>
  <c r="QO26" i="5"/>
  <c r="QP26" i="5"/>
  <c r="QQ26" i="5"/>
  <c r="QR26" i="5"/>
  <c r="QS26" i="5"/>
  <c r="QT26" i="5"/>
  <c r="QU26" i="5"/>
  <c r="QV26" i="5"/>
  <c r="QW26" i="5"/>
  <c r="QX26" i="5"/>
  <c r="QY26" i="5"/>
  <c r="QZ26" i="5"/>
  <c r="RA26" i="5"/>
  <c r="RB26" i="5"/>
  <c r="RC26" i="5"/>
  <c r="RD26" i="5"/>
  <c r="RE26" i="5"/>
  <c r="RF26" i="5"/>
  <c r="RG26" i="5"/>
  <c r="RH26" i="5"/>
  <c r="RI26" i="5"/>
  <c r="RJ26" i="5"/>
  <c r="RK26" i="5"/>
  <c r="RL26" i="5"/>
  <c r="RM26" i="5"/>
  <c r="RN26" i="5"/>
  <c r="RO26" i="5"/>
  <c r="RP26" i="5"/>
  <c r="RQ26" i="5"/>
  <c r="RR26" i="5"/>
  <c r="RS26" i="5"/>
  <c r="RT26" i="5"/>
  <c r="RU26" i="5"/>
  <c r="RV26" i="5"/>
  <c r="RW26" i="5"/>
  <c r="RX26" i="5"/>
  <c r="RY26" i="5"/>
  <c r="RZ26" i="5"/>
  <c r="SA26" i="5"/>
  <c r="SB26" i="5"/>
  <c r="SC26" i="5"/>
  <c r="SD26" i="5"/>
  <c r="SE26" i="5"/>
  <c r="SF26" i="5"/>
  <c r="SG26" i="5"/>
  <c r="SH26" i="5"/>
  <c r="SI26" i="5"/>
  <c r="SJ26" i="5"/>
  <c r="SK26" i="5"/>
  <c r="SL26" i="5"/>
  <c r="SM26" i="5"/>
  <c r="SN26" i="5"/>
  <c r="SO26" i="5"/>
  <c r="SP26" i="5"/>
  <c r="SQ26" i="5"/>
  <c r="SR26" i="5"/>
  <c r="SS26" i="5"/>
  <c r="ST26" i="5"/>
  <c r="SU26" i="5"/>
  <c r="SV26" i="5"/>
  <c r="SW26" i="5"/>
  <c r="SX26" i="5"/>
  <c r="SY26" i="5"/>
  <c r="SZ26" i="5"/>
  <c r="TA26" i="5"/>
  <c r="TB26" i="5"/>
  <c r="TC26" i="5"/>
  <c r="TD26" i="5"/>
  <c r="TE26" i="5"/>
  <c r="TF26" i="5"/>
  <c r="TG26" i="5"/>
  <c r="TH26" i="5"/>
  <c r="TI26" i="5"/>
  <c r="TJ26" i="5"/>
  <c r="TK26" i="5"/>
  <c r="TL26" i="5"/>
  <c r="TM26" i="5"/>
  <c r="TN26" i="5"/>
  <c r="TO26" i="5"/>
  <c r="TP26" i="5"/>
  <c r="TQ26" i="5"/>
  <c r="TR26" i="5"/>
  <c r="TS26" i="5"/>
  <c r="TT26" i="5"/>
  <c r="TU26" i="5"/>
  <c r="TV26" i="5"/>
  <c r="TW26" i="5"/>
  <c r="TX26" i="5"/>
  <c r="TY26" i="5"/>
  <c r="TZ26" i="5"/>
  <c r="UA26" i="5"/>
  <c r="UB26" i="5"/>
  <c r="UC26" i="5"/>
  <c r="UD26" i="5"/>
  <c r="UE26" i="5"/>
  <c r="UF26" i="5"/>
  <c r="UG26" i="5"/>
  <c r="UH26" i="5"/>
  <c r="UI26" i="5"/>
  <c r="UJ26" i="5"/>
  <c r="UK26" i="5"/>
  <c r="UL26" i="5"/>
  <c r="UM26" i="5"/>
  <c r="UN26" i="5"/>
  <c r="UO26" i="5"/>
  <c r="UP26" i="5"/>
  <c r="UQ26" i="5"/>
  <c r="UR26" i="5"/>
  <c r="US26" i="5"/>
  <c r="UT26" i="5"/>
  <c r="UU26" i="5"/>
  <c r="UV26" i="5"/>
  <c r="UW26" i="5"/>
  <c r="UX26" i="5"/>
  <c r="UY26" i="5"/>
  <c r="UZ26" i="5"/>
  <c r="VA26" i="5"/>
  <c r="VB26" i="5"/>
  <c r="VC26" i="5"/>
  <c r="VD26" i="5"/>
  <c r="VE26" i="5"/>
  <c r="VF26" i="5"/>
  <c r="VG26" i="5"/>
  <c r="VH26" i="5"/>
  <c r="VI26" i="5"/>
  <c r="VJ26" i="5"/>
  <c r="VK26" i="5"/>
  <c r="VL26" i="5"/>
  <c r="VM26" i="5"/>
  <c r="VN26" i="5"/>
  <c r="VO26" i="5"/>
  <c r="VP26" i="5"/>
  <c r="VQ26" i="5"/>
  <c r="VR26" i="5"/>
  <c r="VS26" i="5"/>
  <c r="VT26" i="5"/>
  <c r="VU26" i="5"/>
  <c r="VV26" i="5"/>
  <c r="VW26" i="5"/>
  <c r="VX26" i="5"/>
  <c r="VY26" i="5"/>
  <c r="VZ26" i="5"/>
  <c r="WA26" i="5"/>
  <c r="WB26" i="5"/>
  <c r="WC26" i="5"/>
  <c r="WD26" i="5"/>
  <c r="WE26" i="5"/>
  <c r="WF26" i="5"/>
  <c r="WG26" i="5"/>
  <c r="WH26" i="5"/>
  <c r="WI26" i="5"/>
  <c r="WJ26" i="5"/>
  <c r="WK26" i="5"/>
  <c r="WL26" i="5"/>
  <c r="WM26" i="5"/>
  <c r="WN26" i="5"/>
  <c r="WO26" i="5"/>
  <c r="WP26" i="5"/>
  <c r="WQ26" i="5"/>
  <c r="WR26" i="5"/>
  <c r="WS26" i="5"/>
  <c r="WT26" i="5"/>
  <c r="WU26" i="5"/>
  <c r="WV26" i="5"/>
  <c r="WW26" i="5"/>
  <c r="WX26" i="5"/>
  <c r="WY26" i="5"/>
  <c r="WZ26" i="5"/>
  <c r="XA26" i="5"/>
  <c r="XB26" i="5"/>
  <c r="XC26" i="5"/>
  <c r="XD26" i="5"/>
  <c r="XE26" i="5"/>
  <c r="XF26" i="5"/>
  <c r="XG26" i="5"/>
  <c r="XH26" i="5"/>
  <c r="XI26" i="5"/>
  <c r="XJ26" i="5"/>
  <c r="XK26" i="5"/>
  <c r="XL26" i="5"/>
  <c r="XM26" i="5"/>
  <c r="XN26" i="5"/>
  <c r="XO26" i="5"/>
  <c r="XP26" i="5"/>
  <c r="XQ26" i="5"/>
  <c r="XR26" i="5"/>
  <c r="XS26" i="5"/>
  <c r="XT26" i="5"/>
  <c r="XU26" i="5"/>
  <c r="XV26" i="5"/>
  <c r="XW26" i="5"/>
  <c r="XX26" i="5"/>
  <c r="XY26" i="5"/>
  <c r="XZ26" i="5"/>
  <c r="YA26" i="5"/>
  <c r="YB26" i="5"/>
  <c r="YC26" i="5"/>
  <c r="YD26" i="5"/>
  <c r="YE26" i="5"/>
  <c r="YF26" i="5"/>
  <c r="YG26" i="5"/>
  <c r="YH26" i="5"/>
  <c r="YI26" i="5"/>
  <c r="YJ26" i="5"/>
  <c r="YK26" i="5"/>
  <c r="YL26" i="5"/>
  <c r="YM26" i="5"/>
  <c r="YN26" i="5"/>
  <c r="YO26" i="5"/>
  <c r="YP26" i="5"/>
  <c r="YQ26" i="5"/>
  <c r="YR26" i="5"/>
  <c r="YS26" i="5"/>
  <c r="YT26" i="5"/>
  <c r="YU26" i="5"/>
  <c r="YV26" i="5"/>
  <c r="YW26" i="5"/>
  <c r="YX26" i="5"/>
  <c r="YY26" i="5"/>
  <c r="YZ26" i="5"/>
  <c r="ZA26" i="5"/>
  <c r="ZB26" i="5"/>
  <c r="ZC26" i="5"/>
  <c r="ZD26" i="5"/>
  <c r="ZE26" i="5"/>
  <c r="ZF26" i="5"/>
  <c r="ZG26" i="5"/>
  <c r="ZH26" i="5"/>
  <c r="ZI26" i="5"/>
  <c r="ZJ26" i="5"/>
  <c r="ZK26" i="5"/>
  <c r="ZL26" i="5"/>
  <c r="ZM26" i="5"/>
  <c r="ZN26" i="5"/>
  <c r="ZO26" i="5"/>
  <c r="ZP26" i="5"/>
  <c r="ZQ26" i="5"/>
  <c r="ZR26" i="5"/>
  <c r="ZS26" i="5"/>
  <c r="ZT26" i="5"/>
  <c r="ZU26" i="5"/>
  <c r="ZV26" i="5"/>
  <c r="ZW26" i="5"/>
  <c r="ZX26" i="5"/>
  <c r="ZY26" i="5"/>
  <c r="ZZ26" i="5"/>
  <c r="AAA26" i="5"/>
  <c r="AAB26" i="5"/>
  <c r="AAC26" i="5"/>
  <c r="AAD26" i="5"/>
  <c r="AAE26" i="5"/>
  <c r="AAF26" i="5"/>
  <c r="AAG26" i="5"/>
  <c r="AAH26" i="5"/>
  <c r="AAI26" i="5"/>
  <c r="AAJ26" i="5"/>
  <c r="AAK26" i="5"/>
  <c r="AAL26" i="5"/>
  <c r="AAM26" i="5"/>
  <c r="AAN26" i="5"/>
  <c r="AAO26" i="5"/>
  <c r="AAP26" i="5"/>
  <c r="AAQ26" i="5"/>
  <c r="AAR26" i="5"/>
  <c r="AAS26" i="5"/>
  <c r="AAT26" i="5"/>
  <c r="AAU26" i="5"/>
  <c r="AAV26" i="5"/>
  <c r="AAW26" i="5"/>
  <c r="AAX26" i="5"/>
  <c r="AAY26" i="5"/>
  <c r="AAZ26" i="5"/>
  <c r="ABA26" i="5"/>
  <c r="ABB26" i="5"/>
  <c r="ABC26" i="5"/>
  <c r="ABD26" i="5"/>
  <c r="ABE26" i="5"/>
  <c r="ABF26" i="5"/>
  <c r="ABG26" i="5"/>
  <c r="ABH26" i="5"/>
  <c r="ABI26" i="5"/>
  <c r="ABJ26" i="5"/>
  <c r="ABK26" i="5"/>
  <c r="ABL26" i="5"/>
  <c r="ABM26" i="5"/>
  <c r="ABN26" i="5"/>
  <c r="ABO26" i="5"/>
  <c r="ABP26" i="5"/>
  <c r="ABQ26" i="5"/>
  <c r="ABR26" i="5"/>
  <c r="ABS26" i="5"/>
  <c r="ABT26" i="5"/>
  <c r="ABU26" i="5"/>
  <c r="ABV26" i="5"/>
  <c r="ABW26" i="5"/>
  <c r="ABX26" i="5"/>
  <c r="ABY26" i="5"/>
  <c r="ABZ26" i="5"/>
  <c r="ACA26" i="5"/>
  <c r="ACB26" i="5"/>
  <c r="ACC26" i="5"/>
  <c r="ACD26" i="5"/>
  <c r="ACE26" i="5"/>
  <c r="ACF26" i="5"/>
  <c r="ACG26" i="5"/>
  <c r="ACH26" i="5"/>
  <c r="ACI26" i="5"/>
  <c r="ACJ26" i="5"/>
  <c r="ACK26" i="5"/>
  <c r="ACL26" i="5"/>
  <c r="ACM26" i="5"/>
  <c r="ACN26" i="5"/>
  <c r="ACO26" i="5"/>
  <c r="ACP26" i="5"/>
  <c r="ACQ26" i="5"/>
  <c r="ACR26" i="5"/>
  <c r="ACS26" i="5"/>
  <c r="ACT26" i="5"/>
  <c r="ACU26" i="5"/>
  <c r="ACV26" i="5"/>
  <c r="ACW26" i="5"/>
  <c r="ACX26" i="5"/>
  <c r="ACY26" i="5"/>
  <c r="ACZ26" i="5"/>
  <c r="ADA26" i="5"/>
  <c r="ADB26" i="5"/>
  <c r="ADC26" i="5"/>
  <c r="ADD26" i="5"/>
  <c r="ADE26" i="5"/>
  <c r="ADF26" i="5"/>
  <c r="ADG26" i="5"/>
  <c r="ADH26" i="5"/>
  <c r="ADI26" i="5"/>
  <c r="ADJ26" i="5"/>
  <c r="ADK26" i="5"/>
  <c r="ADL26" i="5"/>
  <c r="ADM26" i="5"/>
  <c r="ADN26" i="5"/>
  <c r="ADO26" i="5"/>
  <c r="ADP26" i="5"/>
  <c r="ADQ26" i="5"/>
  <c r="ADR26" i="5"/>
  <c r="ADS26" i="5"/>
  <c r="ADT26" i="5"/>
  <c r="ADU26" i="5"/>
  <c r="ADV26" i="5"/>
  <c r="ADW26" i="5"/>
  <c r="ADX26" i="5"/>
  <c r="ADY26" i="5"/>
  <c r="ADZ26" i="5"/>
  <c r="AEA26" i="5"/>
  <c r="AEB26" i="5"/>
  <c r="AEC26" i="5"/>
  <c r="AED26" i="5"/>
  <c r="AEE26" i="5"/>
  <c r="AEF26" i="5"/>
  <c r="AEG26" i="5"/>
  <c r="AEH26" i="5"/>
  <c r="AEI26" i="5"/>
  <c r="AEJ26" i="5"/>
  <c r="AEK26" i="5"/>
  <c r="AEL26" i="5"/>
  <c r="AEM26" i="5"/>
  <c r="AEN26" i="5"/>
  <c r="AEO26" i="5"/>
  <c r="AEP26" i="5"/>
  <c r="AEQ26" i="5"/>
  <c r="AER26" i="5"/>
  <c r="AES26" i="5"/>
  <c r="AET26" i="5"/>
  <c r="AEU26" i="5"/>
  <c r="AEV26" i="5"/>
  <c r="AEW26" i="5"/>
  <c r="AEX26" i="5"/>
  <c r="AEY26" i="5"/>
  <c r="AEZ26" i="5"/>
  <c r="AFA26" i="5"/>
  <c r="AFB26" i="5"/>
  <c r="AFC26" i="5"/>
  <c r="AFD26" i="5"/>
  <c r="AFE26" i="5"/>
  <c r="AFF26" i="5"/>
  <c r="AFG26" i="5"/>
  <c r="AFH26" i="5"/>
  <c r="AFI26" i="5"/>
  <c r="AFJ26" i="5"/>
  <c r="AFK26" i="5"/>
  <c r="AFL26" i="5"/>
  <c r="AFM26" i="5"/>
  <c r="AFN26" i="5"/>
  <c r="AFO26" i="5"/>
  <c r="AFP26" i="5"/>
  <c r="AFQ26" i="5"/>
  <c r="AFR26" i="5"/>
  <c r="AFS26" i="5"/>
  <c r="AFT26" i="5"/>
  <c r="AFU26" i="5"/>
  <c r="AFV26" i="5"/>
  <c r="AFW26" i="5"/>
  <c r="AFX26" i="5"/>
  <c r="AFY26" i="5"/>
  <c r="AFZ26" i="5"/>
  <c r="AGA26" i="5"/>
  <c r="AGB26" i="5"/>
  <c r="AGC26" i="5"/>
  <c r="AGD26" i="5"/>
  <c r="AGE26" i="5"/>
  <c r="AGF26" i="5"/>
  <c r="AGG26" i="5"/>
  <c r="AGH26" i="5"/>
  <c r="AGI26" i="5"/>
  <c r="AGJ26" i="5"/>
  <c r="AGK26" i="5"/>
  <c r="AGL26" i="5"/>
  <c r="AGM26" i="5"/>
  <c r="AGN26" i="5"/>
  <c r="AGO26" i="5"/>
  <c r="AGP26" i="5"/>
  <c r="AGQ26" i="5"/>
  <c r="AGR26" i="5"/>
  <c r="AGS26" i="5"/>
  <c r="AGT26" i="5"/>
  <c r="AGU26" i="5"/>
  <c r="AGV26" i="5"/>
  <c r="AGW26" i="5"/>
  <c r="AGX26" i="5"/>
  <c r="AGY26" i="5"/>
  <c r="AGZ26" i="5"/>
  <c r="AHA26" i="5"/>
  <c r="AHB26" i="5"/>
  <c r="AHC26" i="5"/>
  <c r="AHD26" i="5"/>
  <c r="AHE26" i="5"/>
  <c r="AHF26" i="5"/>
  <c r="AHG26" i="5"/>
  <c r="AHH26" i="5"/>
  <c r="AHI26" i="5"/>
  <c r="AHJ26" i="5"/>
  <c r="AHK26" i="5"/>
  <c r="AHL26" i="5"/>
  <c r="AHM26" i="5"/>
  <c r="AHN26" i="5"/>
  <c r="AHO26" i="5"/>
  <c r="AHP26" i="5"/>
  <c r="AHQ26" i="5"/>
  <c r="AHR26" i="5"/>
  <c r="AHS26" i="5"/>
  <c r="AHT26" i="5"/>
  <c r="AHU26" i="5"/>
  <c r="AHV26" i="5"/>
  <c r="AHW26" i="5"/>
  <c r="AHX26" i="5"/>
  <c r="AHY26" i="5"/>
  <c r="AHZ26" i="5"/>
  <c r="AIA26" i="5"/>
  <c r="AIB26" i="5"/>
  <c r="AIC26" i="5"/>
  <c r="AID26" i="5"/>
  <c r="AIE26" i="5"/>
  <c r="AIF26" i="5"/>
  <c r="AIG26" i="5"/>
  <c r="AIH26" i="5"/>
  <c r="AII26" i="5"/>
  <c r="AIJ26" i="5"/>
  <c r="AIK26" i="5"/>
  <c r="AIL26" i="5"/>
  <c r="AIM26" i="5"/>
  <c r="AIN26" i="5"/>
  <c r="AIO26" i="5"/>
  <c r="AIP26" i="5"/>
  <c r="AIQ26" i="5"/>
  <c r="AIR26" i="5"/>
  <c r="AIS26" i="5"/>
  <c r="AIT26" i="5"/>
  <c r="AIU26" i="5"/>
  <c r="AIV26" i="5"/>
  <c r="AIW26" i="5"/>
  <c r="AIX26" i="5"/>
  <c r="AIY26" i="5"/>
  <c r="AIZ26" i="5"/>
  <c r="AJA26" i="5"/>
  <c r="AJB26" i="5"/>
  <c r="AJC26" i="5"/>
  <c r="AJD26" i="5"/>
  <c r="AJE26" i="5"/>
  <c r="AJF26" i="5"/>
  <c r="AJG26" i="5"/>
  <c r="AJH26" i="5"/>
  <c r="AJI26" i="5"/>
  <c r="AJJ26" i="5"/>
  <c r="AJK26" i="5"/>
  <c r="AJL26" i="5"/>
  <c r="AJM26" i="5"/>
  <c r="AJN26" i="5"/>
  <c r="AJO26" i="5"/>
  <c r="AJP26" i="5"/>
  <c r="AJQ26" i="5"/>
  <c r="AJR26" i="5"/>
  <c r="AJS26" i="5"/>
  <c r="AJT26" i="5"/>
  <c r="AJU26" i="5"/>
  <c r="AJV26" i="5"/>
  <c r="AJW26" i="5"/>
  <c r="AJX26" i="5"/>
  <c r="AJY26" i="5"/>
  <c r="AJZ26" i="5"/>
  <c r="AKA26" i="5"/>
  <c r="AKB26" i="5"/>
  <c r="AKC26" i="5"/>
  <c r="AKD26" i="5"/>
  <c r="AKE26" i="5"/>
  <c r="AKF26" i="5"/>
  <c r="AKG26" i="5"/>
  <c r="AKH26" i="5"/>
  <c r="AKI26" i="5"/>
  <c r="AKJ26" i="5"/>
  <c r="AKK26" i="5"/>
  <c r="AKL26" i="5"/>
  <c r="AKM26" i="5"/>
  <c r="AKN26" i="5"/>
  <c r="AKO26" i="5"/>
  <c r="AKP26" i="5"/>
  <c r="AKQ26" i="5"/>
  <c r="AKR26" i="5"/>
  <c r="AKS26" i="5"/>
  <c r="AKT26" i="5"/>
  <c r="AKU26" i="5"/>
  <c r="AKV26" i="5"/>
  <c r="AKW26" i="5"/>
  <c r="AKX26" i="5"/>
  <c r="AKY26" i="5"/>
  <c r="AKZ26" i="5"/>
  <c r="ALA26" i="5"/>
  <c r="ALB26" i="5"/>
  <c r="ALC26" i="5"/>
  <c r="ALD26" i="5"/>
  <c r="ALE26" i="5"/>
  <c r="ALF26" i="5"/>
  <c r="ALG26" i="5"/>
  <c r="ALH26" i="5"/>
  <c r="ALI26" i="5"/>
  <c r="ALJ26" i="5"/>
  <c r="ALK26" i="5"/>
  <c r="ALL26" i="5"/>
  <c r="ALM26" i="5"/>
  <c r="ALN26" i="5"/>
  <c r="ALO26" i="5"/>
  <c r="ALP26" i="5"/>
  <c r="ALQ26" i="5"/>
  <c r="ALR26" i="5"/>
  <c r="ALS26" i="5"/>
  <c r="ALT26" i="5"/>
  <c r="ALU26" i="5"/>
  <c r="ALV26" i="5"/>
  <c r="ALW26" i="5"/>
  <c r="ALX26" i="5"/>
  <c r="ALY26" i="5"/>
  <c r="ALZ26" i="5"/>
  <c r="AMA26" i="5"/>
  <c r="AMB26" i="5"/>
  <c r="AMC26" i="5"/>
  <c r="AMD26" i="5"/>
  <c r="AME26" i="5"/>
  <c r="AMF26" i="5"/>
  <c r="AMG26" i="5"/>
  <c r="AMH26" i="5"/>
  <c r="AMI26" i="5"/>
  <c r="AMJ26" i="5"/>
  <c r="AMK26" i="5"/>
  <c r="AML26" i="5"/>
  <c r="AMM26" i="5"/>
  <c r="AMN26" i="5"/>
  <c r="AMO26" i="5"/>
  <c r="AMP26" i="5"/>
  <c r="AMQ26" i="5"/>
  <c r="AMR26" i="5"/>
  <c r="AMS26" i="5"/>
  <c r="AMT26" i="5"/>
  <c r="AMU26" i="5"/>
  <c r="AMV26" i="5"/>
  <c r="AMW26" i="5"/>
  <c r="AMX26" i="5"/>
  <c r="AMY26" i="5"/>
  <c r="AMZ26" i="5"/>
  <c r="ANA26" i="5"/>
  <c r="ANB26" i="5"/>
  <c r="ANC26" i="5"/>
  <c r="AND26" i="5"/>
  <c r="ANE26" i="5"/>
  <c r="ANF26" i="5"/>
  <c r="ANG26" i="5"/>
  <c r="ANH26" i="5"/>
  <c r="ANI26" i="5"/>
  <c r="ANJ26" i="5"/>
  <c r="ANK26" i="5"/>
  <c r="ANL26" i="5"/>
  <c r="ANM26" i="5"/>
  <c r="ANN26" i="5"/>
  <c r="ANO26" i="5"/>
  <c r="ANP26" i="5"/>
  <c r="ANQ26" i="5"/>
  <c r="ANR26" i="5"/>
  <c r="ANS26" i="5"/>
  <c r="ANT26" i="5"/>
  <c r="ANU26" i="5"/>
  <c r="ANV26" i="5"/>
  <c r="ANW26" i="5"/>
  <c r="ANX26" i="5"/>
  <c r="ANY26" i="5"/>
  <c r="ANZ26" i="5"/>
  <c r="AOA26" i="5"/>
  <c r="AOB26" i="5"/>
  <c r="AOC26" i="5"/>
  <c r="AOD26" i="5"/>
  <c r="AOE26" i="5"/>
  <c r="AOF26" i="5"/>
  <c r="AOG26" i="5"/>
  <c r="AOH26" i="5"/>
  <c r="AOI26" i="5"/>
  <c r="AOJ26" i="5"/>
  <c r="AOK26" i="5"/>
  <c r="AOL26" i="5"/>
  <c r="AOM26" i="5"/>
  <c r="AON26" i="5"/>
  <c r="AOO26" i="5"/>
  <c r="AOP26" i="5"/>
  <c r="AOQ26" i="5"/>
  <c r="AOR26" i="5"/>
  <c r="AOS26" i="5"/>
  <c r="AOT26" i="5"/>
  <c r="AOU26" i="5"/>
  <c r="AOV26" i="5"/>
  <c r="AOW26" i="5"/>
  <c r="AOX26" i="5"/>
  <c r="AOY26" i="5"/>
  <c r="AOZ26" i="5"/>
  <c r="APA26" i="5"/>
  <c r="APB26" i="5"/>
  <c r="APC26" i="5"/>
  <c r="APD26" i="5"/>
  <c r="APE26" i="5"/>
  <c r="APF26" i="5"/>
  <c r="APG26" i="5"/>
  <c r="APH26" i="5"/>
  <c r="API26" i="5"/>
  <c r="APJ26" i="5"/>
  <c r="APK26" i="5"/>
  <c r="APL26" i="5"/>
  <c r="APM26" i="5"/>
  <c r="APN26" i="5"/>
  <c r="APO26" i="5"/>
  <c r="APP26" i="5"/>
  <c r="APQ26" i="5"/>
  <c r="APR26" i="5"/>
  <c r="APS26" i="5"/>
  <c r="APT26" i="5"/>
  <c r="APU26" i="5"/>
  <c r="APV26" i="5"/>
  <c r="APW26" i="5"/>
  <c r="APX26" i="5"/>
  <c r="APY26" i="5"/>
  <c r="APZ26" i="5"/>
  <c r="AQA26" i="5"/>
  <c r="AQB26" i="5"/>
  <c r="AQC26" i="5"/>
  <c r="AQD26" i="5"/>
  <c r="AQE26" i="5"/>
  <c r="AQF26" i="5"/>
  <c r="AQG26" i="5"/>
  <c r="AQH26" i="5"/>
  <c r="AQI26" i="5"/>
  <c r="AQJ26" i="5"/>
  <c r="AQK26" i="5"/>
  <c r="AQL26" i="5"/>
  <c r="AQM26" i="5"/>
  <c r="AQN26" i="5"/>
  <c r="AQO26" i="5"/>
  <c r="AQP26" i="5"/>
  <c r="AQQ26" i="5"/>
  <c r="AQR26" i="5"/>
  <c r="AQS26" i="5"/>
  <c r="AQT26" i="5"/>
  <c r="AQU26" i="5"/>
  <c r="AQV26" i="5"/>
  <c r="AQW26" i="5"/>
  <c r="AQX26" i="5"/>
  <c r="AQY26" i="5"/>
  <c r="AQZ26" i="5"/>
  <c r="ARA26" i="5"/>
  <c r="ARB26" i="5"/>
  <c r="ARC26" i="5"/>
  <c r="ARD26" i="5"/>
  <c r="ARE26" i="5"/>
  <c r="ARF26" i="5"/>
  <c r="ARG26" i="5"/>
  <c r="ARH26" i="5"/>
  <c r="ARI26" i="5"/>
  <c r="ARJ26" i="5"/>
  <c r="ARK26" i="5"/>
  <c r="ARL26" i="5"/>
  <c r="ARM26" i="5"/>
  <c r="ARN26" i="5"/>
  <c r="ARO26" i="5"/>
  <c r="ARP26" i="5"/>
  <c r="ARQ26" i="5"/>
  <c r="ARR26" i="5"/>
  <c r="ARS26" i="5"/>
  <c r="ART26" i="5"/>
  <c r="ARU26" i="5"/>
  <c r="ARV26" i="5"/>
  <c r="ARW26" i="5"/>
  <c r="ARX26" i="5"/>
  <c r="ARY26" i="5"/>
  <c r="ARZ26" i="5"/>
  <c r="ASA26" i="5"/>
  <c r="ASB26" i="5"/>
  <c r="ASC26" i="5"/>
  <c r="ASD26" i="5"/>
  <c r="ASE26" i="5"/>
  <c r="ASF26" i="5"/>
  <c r="ASG26" i="5"/>
  <c r="ASH26" i="5"/>
  <c r="ASI26" i="5"/>
  <c r="ASJ26" i="5"/>
  <c r="ASK26" i="5"/>
  <c r="ASL26" i="5"/>
  <c r="ASM26" i="5"/>
  <c r="ASN26" i="5"/>
  <c r="ASO26" i="5"/>
  <c r="ASP26" i="5"/>
  <c r="ASQ26" i="5"/>
  <c r="ASR26" i="5"/>
  <c r="ASS26" i="5"/>
  <c r="AST26" i="5"/>
  <c r="ASU26" i="5"/>
  <c r="ASV26" i="5"/>
  <c r="ASW26" i="5"/>
  <c r="ASX26" i="5"/>
  <c r="ASY26" i="5"/>
  <c r="ASZ26" i="5"/>
  <c r="ATA26" i="5"/>
  <c r="ATB26" i="5"/>
  <c r="ATC26" i="5"/>
  <c r="ATD26" i="5"/>
  <c r="ATE26" i="5"/>
  <c r="ATF26" i="5"/>
  <c r="ATG26" i="5"/>
  <c r="ATH26" i="5"/>
  <c r="ATI26" i="5"/>
  <c r="ATJ26" i="5"/>
  <c r="ATK26" i="5"/>
  <c r="ATL26" i="5"/>
  <c r="ATM26" i="5"/>
  <c r="ATN26" i="5"/>
  <c r="ATO26" i="5"/>
  <c r="ATP26" i="5"/>
  <c r="ATQ26" i="5"/>
  <c r="ATR26" i="5"/>
  <c r="ATS26" i="5"/>
  <c r="ATT26" i="5"/>
  <c r="ATU26" i="5"/>
  <c r="ATV26" i="5"/>
  <c r="ATW26" i="5"/>
  <c r="ATX26" i="5"/>
  <c r="ATY26" i="5"/>
  <c r="ATZ26" i="5"/>
  <c r="AUA26" i="5"/>
  <c r="AUB26" i="5"/>
  <c r="AUC26" i="5"/>
  <c r="AUD26" i="5"/>
  <c r="AUE26" i="5"/>
  <c r="AUF26" i="5"/>
  <c r="AUG26" i="5"/>
  <c r="AUH26" i="5"/>
  <c r="AUI26" i="5"/>
  <c r="AUJ26" i="5"/>
  <c r="AUK26" i="5"/>
  <c r="AUL26" i="5"/>
  <c r="AUM26" i="5"/>
  <c r="AUN26" i="5"/>
  <c r="AUO26" i="5"/>
  <c r="AUP26" i="5"/>
  <c r="AUQ26" i="5"/>
  <c r="AUR26" i="5"/>
  <c r="AUS26" i="5"/>
  <c r="AUT26" i="5"/>
  <c r="AUU26" i="5"/>
  <c r="AUV26" i="5"/>
  <c r="AUW26" i="5"/>
  <c r="AUX26" i="5"/>
  <c r="AUY26" i="5"/>
  <c r="AUZ26" i="5"/>
  <c r="AVA26" i="5"/>
  <c r="AVB26" i="5"/>
  <c r="AVC26" i="5"/>
  <c r="AVD26" i="5"/>
  <c r="AVE26" i="5"/>
  <c r="AVF26" i="5"/>
  <c r="AVG26" i="5"/>
  <c r="AVH26" i="5"/>
  <c r="AVI26" i="5"/>
  <c r="AVJ26" i="5"/>
  <c r="AVK26" i="5"/>
  <c r="AVL26" i="5"/>
  <c r="AVM26" i="5"/>
  <c r="AVN26" i="5"/>
  <c r="AVO26" i="5"/>
  <c r="AVP26" i="5"/>
  <c r="AVQ26" i="5"/>
  <c r="AVR26" i="5"/>
  <c r="AVS26" i="5"/>
  <c r="AVT26" i="5"/>
  <c r="AVU26" i="5"/>
  <c r="AVV26" i="5"/>
  <c r="AVW26" i="5"/>
  <c r="AVX26" i="5"/>
  <c r="AVY26" i="5"/>
  <c r="AVZ26" i="5"/>
  <c r="AWA26" i="5"/>
  <c r="AWB26" i="5"/>
  <c r="AWC26" i="5"/>
  <c r="AWD26" i="5"/>
  <c r="AWE26" i="5"/>
  <c r="AWF26" i="5"/>
  <c r="AWG26" i="5"/>
  <c r="AWH26" i="5"/>
  <c r="AWI26" i="5"/>
  <c r="AWJ26" i="5"/>
  <c r="AWK26" i="5"/>
  <c r="AWL26" i="5"/>
  <c r="AWM26" i="5"/>
  <c r="AWN26" i="5"/>
  <c r="AWO26" i="5"/>
  <c r="AWP26" i="5"/>
  <c r="AWQ26" i="5"/>
  <c r="AWR26" i="5"/>
  <c r="AWS26" i="5"/>
  <c r="AWT26" i="5"/>
  <c r="AWU26" i="5"/>
  <c r="AWV26" i="5"/>
  <c r="AWW26" i="5"/>
  <c r="AWX26" i="5"/>
  <c r="AWY26" i="5"/>
  <c r="AWZ26" i="5"/>
  <c r="AXA26" i="5"/>
  <c r="AXB26" i="5"/>
  <c r="AXC26" i="5"/>
  <c r="AXD26" i="5"/>
  <c r="AXE26" i="5"/>
  <c r="AXF26" i="5"/>
  <c r="AXG26" i="5"/>
  <c r="AXH26" i="5"/>
  <c r="AXI26" i="5"/>
  <c r="AXJ26" i="5"/>
  <c r="AXK26" i="5"/>
  <c r="AXL26" i="5"/>
  <c r="AXM26" i="5"/>
  <c r="AXN26" i="5"/>
  <c r="AXO26" i="5"/>
  <c r="AXP26" i="5"/>
  <c r="AXQ26" i="5"/>
  <c r="AXR26" i="5"/>
  <c r="AXS26" i="5"/>
  <c r="AXT26" i="5"/>
  <c r="AXU26" i="5"/>
  <c r="AXV26" i="5"/>
  <c r="AXW26" i="5"/>
  <c r="AXX26" i="5"/>
  <c r="AXY26" i="5"/>
  <c r="AXZ26" i="5"/>
  <c r="AYA26" i="5"/>
  <c r="AYB26" i="5"/>
  <c r="AYC26" i="5"/>
  <c r="AYD26" i="5"/>
  <c r="AYE26" i="5"/>
  <c r="AYF26" i="5"/>
  <c r="AYG26" i="5"/>
  <c r="AYH26" i="5"/>
  <c r="AYI26" i="5"/>
  <c r="AYJ26" i="5"/>
  <c r="AYK26" i="5"/>
  <c r="AYL26" i="5"/>
  <c r="AYM26" i="5"/>
  <c r="AYN26" i="5"/>
  <c r="AYO26" i="5"/>
  <c r="AYP26" i="5"/>
  <c r="AYQ26" i="5"/>
  <c r="AYR26" i="5"/>
  <c r="AYS26" i="5"/>
  <c r="AYT26" i="5"/>
  <c r="AYU26" i="5"/>
  <c r="AYV26" i="5"/>
  <c r="AYW26" i="5"/>
  <c r="AYX26" i="5"/>
  <c r="AYY26" i="5"/>
  <c r="AYZ26" i="5"/>
  <c r="AZA26" i="5"/>
  <c r="AZB26" i="5"/>
  <c r="AZC26" i="5"/>
  <c r="AZD26" i="5"/>
  <c r="AZE26" i="5"/>
  <c r="AZF26" i="5"/>
  <c r="AZG26" i="5"/>
  <c r="AZH26" i="5"/>
  <c r="AZI26" i="5"/>
  <c r="AZJ26" i="5"/>
  <c r="AZK26" i="5"/>
  <c r="AZL26" i="5"/>
  <c r="AZM26" i="5"/>
  <c r="AZN26" i="5"/>
  <c r="AZO26" i="5"/>
  <c r="AZP26" i="5"/>
  <c r="AZQ26" i="5"/>
  <c r="AZR26" i="5"/>
  <c r="AZS26" i="5"/>
  <c r="AZT26" i="5"/>
  <c r="AZU26" i="5"/>
  <c r="AZV26" i="5"/>
  <c r="AZW26" i="5"/>
  <c r="AZX26" i="5"/>
  <c r="AZY26" i="5"/>
  <c r="AZZ26" i="5"/>
  <c r="BAA26" i="5"/>
  <c r="BAB26" i="5"/>
  <c r="BAC26" i="5"/>
  <c r="BAD26" i="5"/>
  <c r="BAE26" i="5"/>
  <c r="BAF26" i="5"/>
  <c r="BAG26" i="5"/>
  <c r="BAH26" i="5"/>
  <c r="BAI26" i="5"/>
  <c r="BAJ26" i="5"/>
  <c r="BAK26" i="5"/>
  <c r="BAL26" i="5"/>
  <c r="BAM26" i="5"/>
  <c r="BAN26" i="5"/>
  <c r="BAO26" i="5"/>
  <c r="BAP26" i="5"/>
  <c r="BAQ26" i="5"/>
  <c r="BAR26" i="5"/>
  <c r="BAS26" i="5"/>
  <c r="BAT26" i="5"/>
  <c r="BAU26" i="5"/>
  <c r="BAV26" i="5"/>
  <c r="BAW26" i="5"/>
  <c r="BAX26" i="5"/>
  <c r="BAY26" i="5"/>
  <c r="BAZ26" i="5"/>
  <c r="BBA26" i="5"/>
  <c r="BBB26" i="5"/>
  <c r="BBC26" i="5"/>
  <c r="BBD26" i="5"/>
  <c r="BBE26" i="5"/>
  <c r="BBF26" i="5"/>
  <c r="BBG26" i="5"/>
  <c r="BBH26" i="5"/>
  <c r="BBI26" i="5"/>
  <c r="BBJ26" i="5"/>
  <c r="BBK26" i="5"/>
  <c r="BBL26" i="5"/>
  <c r="BBM26" i="5"/>
  <c r="BBN26" i="5"/>
  <c r="BBO26" i="5"/>
  <c r="BBP26" i="5"/>
  <c r="BBQ26" i="5"/>
  <c r="BBR26" i="5"/>
  <c r="BBS26" i="5"/>
  <c r="BBT26" i="5"/>
  <c r="BBU26" i="5"/>
  <c r="BBV26" i="5"/>
  <c r="BBW26" i="5"/>
  <c r="BBX26" i="5"/>
  <c r="BBY26" i="5"/>
  <c r="BBZ26" i="5"/>
  <c r="BCA26" i="5"/>
  <c r="BCB26" i="5"/>
  <c r="BCC26" i="5"/>
  <c r="BCD26" i="5"/>
  <c r="BCE26" i="5"/>
  <c r="BCF26" i="5"/>
  <c r="BCG26" i="5"/>
  <c r="BCH26" i="5"/>
  <c r="BCI26" i="5"/>
  <c r="BCJ26" i="5"/>
  <c r="BCK26" i="5"/>
  <c r="BCL26" i="5"/>
  <c r="BCM26" i="5"/>
  <c r="BCN26" i="5"/>
  <c r="BCO26" i="5"/>
  <c r="BCP26" i="5"/>
  <c r="BCQ26" i="5"/>
  <c r="BCR26" i="5"/>
  <c r="BCS26" i="5"/>
  <c r="BCT26" i="5"/>
  <c r="BCU26" i="5"/>
  <c r="BCV26" i="5"/>
  <c r="BCW26" i="5"/>
  <c r="BCX26" i="5"/>
  <c r="BCY26" i="5"/>
  <c r="BCZ26" i="5"/>
  <c r="BDA26" i="5"/>
  <c r="BDB26" i="5"/>
  <c r="BDC26" i="5"/>
  <c r="BDD26" i="5"/>
  <c r="BDE26" i="5"/>
  <c r="BDF26" i="5"/>
  <c r="BDG26" i="5"/>
  <c r="BDH26" i="5"/>
  <c r="BDI26" i="5"/>
  <c r="BDJ26" i="5"/>
  <c r="BDK26" i="5"/>
  <c r="BDL26" i="5"/>
  <c r="BDM26" i="5"/>
  <c r="BDN26" i="5"/>
  <c r="BDO26" i="5"/>
  <c r="BDP26" i="5"/>
  <c r="BDQ26" i="5"/>
  <c r="BDR26" i="5"/>
  <c r="BDS26" i="5"/>
  <c r="BDT26" i="5"/>
  <c r="BDU26" i="5"/>
  <c r="BDV26" i="5"/>
  <c r="BDW26" i="5"/>
  <c r="BDX26" i="5"/>
  <c r="BDY26" i="5"/>
  <c r="BDZ26" i="5"/>
  <c r="BEA26" i="5"/>
  <c r="BEB26" i="5"/>
  <c r="BEC26" i="5"/>
  <c r="BED26" i="5"/>
  <c r="BEE26" i="5"/>
  <c r="BEF26" i="5"/>
  <c r="BEG26" i="5"/>
  <c r="BEH26" i="5"/>
  <c r="BEI26" i="5"/>
  <c r="BEJ26" i="5"/>
  <c r="BEK26" i="5"/>
  <c r="BEL26" i="5"/>
  <c r="BEM26" i="5"/>
  <c r="BEN26" i="5"/>
  <c r="BEO26" i="5"/>
  <c r="BEP26" i="5"/>
  <c r="BEQ26" i="5"/>
  <c r="BER26" i="5"/>
  <c r="BES26" i="5"/>
  <c r="BET26" i="5"/>
  <c r="BEU26" i="5"/>
  <c r="BEV26" i="5"/>
  <c r="BEW26" i="5"/>
  <c r="BEX26" i="5"/>
  <c r="BEY26" i="5"/>
  <c r="BEZ26" i="5"/>
  <c r="BFA26" i="5"/>
  <c r="BFB26" i="5"/>
  <c r="BFC26" i="5"/>
  <c r="BFD26" i="5"/>
  <c r="BFE26" i="5"/>
  <c r="BFF26" i="5"/>
  <c r="BFG26" i="5"/>
  <c r="BFH26" i="5"/>
  <c r="BFI26" i="5"/>
  <c r="BFJ26" i="5"/>
  <c r="BFK26" i="5"/>
  <c r="BFL26" i="5"/>
  <c r="BFM26" i="5"/>
  <c r="BFN26" i="5"/>
  <c r="BFO26" i="5"/>
  <c r="BFP26" i="5"/>
  <c r="BFQ26" i="5"/>
  <c r="BFR26" i="5"/>
  <c r="BFS26" i="5"/>
  <c r="BFT26" i="5"/>
  <c r="BFU26" i="5"/>
  <c r="BFV26" i="5"/>
  <c r="BFW26" i="5"/>
  <c r="BFX26" i="5"/>
  <c r="BFY26" i="5"/>
  <c r="BFZ26" i="5"/>
  <c r="BGA26" i="5"/>
  <c r="BGB26" i="5"/>
  <c r="BGC26" i="5"/>
  <c r="BGD26" i="5"/>
  <c r="BGE26" i="5"/>
  <c r="BGF26" i="5"/>
  <c r="BGG26" i="5"/>
  <c r="BGH26" i="5"/>
  <c r="BGI26" i="5"/>
  <c r="BGJ26" i="5"/>
  <c r="BGK26" i="5"/>
  <c r="BGL26" i="5"/>
  <c r="BGM26" i="5"/>
  <c r="BGN26" i="5"/>
  <c r="BGO26" i="5"/>
  <c r="BGP26" i="5"/>
  <c r="BGQ26" i="5"/>
  <c r="BGR26" i="5"/>
  <c r="BGS26" i="5"/>
  <c r="BGT26" i="5"/>
  <c r="BGU26" i="5"/>
  <c r="BGV26" i="5"/>
  <c r="BGW26" i="5"/>
  <c r="BGX26" i="5"/>
  <c r="BGY26" i="5"/>
  <c r="BGZ26" i="5"/>
  <c r="BHA26" i="5"/>
  <c r="BHB26" i="5"/>
  <c r="BHC26" i="5"/>
  <c r="BHD26" i="5"/>
  <c r="BHE26" i="5"/>
  <c r="BHF26" i="5"/>
  <c r="BHG26" i="5"/>
  <c r="BHH26" i="5"/>
  <c r="BHI26" i="5"/>
  <c r="BHJ26" i="5"/>
  <c r="BHK26" i="5"/>
  <c r="BHL26" i="5"/>
  <c r="BHM26" i="5"/>
  <c r="BHN26" i="5"/>
  <c r="BHO26" i="5"/>
  <c r="BHP26" i="5"/>
  <c r="BHQ26" i="5"/>
  <c r="BHR26" i="5"/>
  <c r="BHS26" i="5"/>
  <c r="BHT26" i="5"/>
  <c r="BHU26" i="5"/>
  <c r="BHV26" i="5"/>
  <c r="BHW26" i="5"/>
  <c r="BHX26" i="5"/>
  <c r="BHY26" i="5"/>
  <c r="BHZ26" i="5"/>
  <c r="BIA26" i="5"/>
  <c r="BIB26" i="5"/>
  <c r="BIC26" i="5"/>
  <c r="BID26" i="5"/>
  <c r="BIE26" i="5"/>
  <c r="BIF26" i="5"/>
  <c r="BIG26" i="5"/>
  <c r="BIH26" i="5"/>
  <c r="BII26" i="5"/>
  <c r="BIJ26" i="5"/>
  <c r="BIK26" i="5"/>
  <c r="BIL26" i="5"/>
  <c r="BIM26" i="5"/>
  <c r="BIN26" i="5"/>
  <c r="BIO26" i="5"/>
  <c r="BIP26" i="5"/>
  <c r="BIQ26" i="5"/>
  <c r="BIR26" i="5"/>
  <c r="BIS26" i="5"/>
  <c r="BIT26" i="5"/>
  <c r="BIU26" i="5"/>
  <c r="BIV26" i="5"/>
  <c r="BIW26" i="5"/>
  <c r="BIX26" i="5"/>
  <c r="BIY26" i="5"/>
  <c r="BIZ26" i="5"/>
  <c r="BJA26" i="5"/>
  <c r="BJB26" i="5"/>
  <c r="BJC26" i="5"/>
  <c r="BJD26" i="5"/>
  <c r="BJE26" i="5"/>
  <c r="BJF26" i="5"/>
  <c r="BJG26" i="5"/>
  <c r="BJH26" i="5"/>
  <c r="BJI26" i="5"/>
  <c r="BJJ26" i="5"/>
  <c r="BJK26" i="5"/>
  <c r="BJL26" i="5"/>
  <c r="BJM26" i="5"/>
  <c r="BJN26" i="5"/>
  <c r="BJO26" i="5"/>
  <c r="BJP26" i="5"/>
  <c r="BJQ26" i="5"/>
  <c r="BJR26" i="5"/>
  <c r="BJS26" i="5"/>
  <c r="BJT26" i="5"/>
  <c r="BJU26" i="5"/>
  <c r="BJV26" i="5"/>
  <c r="BJW26" i="5"/>
  <c r="BJX26" i="5"/>
  <c r="BJY26" i="5"/>
  <c r="BJZ26" i="5"/>
  <c r="BKA26" i="5"/>
  <c r="BKB26" i="5"/>
  <c r="BKC26" i="5"/>
  <c r="BKD26" i="5"/>
  <c r="BKE26" i="5"/>
  <c r="BKF26" i="5"/>
  <c r="BKG26" i="5"/>
  <c r="BKH26" i="5"/>
  <c r="BKI26" i="5"/>
  <c r="BKJ26" i="5"/>
  <c r="BKK26" i="5"/>
  <c r="BKL26" i="5"/>
  <c r="BKM26" i="5"/>
  <c r="BKN26" i="5"/>
  <c r="BKO26" i="5"/>
  <c r="BKP26" i="5"/>
  <c r="BKQ26" i="5"/>
  <c r="BKR26" i="5"/>
  <c r="BKS26" i="5"/>
  <c r="BKT26" i="5"/>
  <c r="BKU26" i="5"/>
  <c r="BKV26" i="5"/>
  <c r="BKW26" i="5"/>
  <c r="BKX26" i="5"/>
  <c r="BKY26" i="5"/>
  <c r="BKZ26" i="5"/>
  <c r="BLA26" i="5"/>
  <c r="BLB26" i="5"/>
  <c r="BLC26" i="5"/>
  <c r="BLD26" i="5"/>
  <c r="BLE26" i="5"/>
  <c r="BLF26" i="5"/>
  <c r="BLG26" i="5"/>
  <c r="BLH26" i="5"/>
  <c r="BLI26" i="5"/>
  <c r="BLJ26" i="5"/>
  <c r="BLK26" i="5"/>
  <c r="BLL26" i="5"/>
  <c r="BLM26" i="5"/>
  <c r="BLN26" i="5"/>
  <c r="BLO26" i="5"/>
  <c r="BLP26" i="5"/>
  <c r="BLQ26" i="5"/>
  <c r="BLR26" i="5"/>
  <c r="BLS26" i="5"/>
  <c r="BLT26" i="5"/>
  <c r="BLU26" i="5"/>
  <c r="BLV26" i="5"/>
  <c r="BLW26" i="5"/>
  <c r="BLX26" i="5"/>
  <c r="BLY26" i="5"/>
  <c r="BLZ26" i="5"/>
  <c r="BMA26" i="5"/>
  <c r="BMB26" i="5"/>
  <c r="BMC26" i="5"/>
  <c r="BMD26" i="5"/>
  <c r="BME26" i="5"/>
  <c r="BMF26" i="5"/>
  <c r="BMG26" i="5"/>
  <c r="BMH26" i="5"/>
  <c r="BMI26" i="5"/>
  <c r="BMJ26" i="5"/>
  <c r="BMK26" i="5"/>
  <c r="BML26" i="5"/>
  <c r="BMM26" i="5"/>
  <c r="BMN26" i="5"/>
  <c r="BMO26" i="5"/>
  <c r="BMP26" i="5"/>
  <c r="BMQ26" i="5"/>
  <c r="BMR26" i="5"/>
  <c r="BMS26" i="5"/>
  <c r="BMT26" i="5"/>
  <c r="BMU26" i="5"/>
  <c r="BMV26" i="5"/>
  <c r="BMW26" i="5"/>
  <c r="BMX26" i="5"/>
  <c r="BMY26" i="5"/>
  <c r="BMZ26" i="5"/>
  <c r="BNA26" i="5"/>
  <c r="BNB26" i="5"/>
  <c r="BNC26" i="5"/>
  <c r="BND26" i="5"/>
  <c r="BNE26" i="5"/>
  <c r="BNF26" i="5"/>
  <c r="BNG26" i="5"/>
  <c r="BNH26" i="5"/>
  <c r="BNI26" i="5"/>
  <c r="BNJ26" i="5"/>
  <c r="BNK26" i="5"/>
  <c r="BNL26" i="5"/>
  <c r="BNM26" i="5"/>
  <c r="BNN26" i="5"/>
  <c r="BNO26" i="5"/>
  <c r="BNP26" i="5"/>
  <c r="BNQ26" i="5"/>
  <c r="BNR26" i="5"/>
  <c r="BNS26" i="5"/>
  <c r="BNT26" i="5"/>
  <c r="BNU26" i="5"/>
  <c r="BNV26" i="5"/>
  <c r="BNW26" i="5"/>
  <c r="BNX26" i="5"/>
  <c r="BNY26" i="5"/>
  <c r="BNZ26" i="5"/>
  <c r="BOA26" i="5"/>
  <c r="BOB26" i="5"/>
  <c r="BOC26" i="5"/>
  <c r="BOD26" i="5"/>
  <c r="BOE26" i="5"/>
  <c r="BOF26" i="5"/>
  <c r="BOG26" i="5"/>
  <c r="BOH26" i="5"/>
  <c r="BOI26" i="5"/>
  <c r="BOJ26" i="5"/>
  <c r="BOK26" i="5"/>
  <c r="BOL26" i="5"/>
  <c r="BOM26" i="5"/>
  <c r="BON26" i="5"/>
  <c r="BOO26" i="5"/>
  <c r="BOP26" i="5"/>
  <c r="BOQ26" i="5"/>
  <c r="BOR26" i="5"/>
  <c r="BOS26" i="5"/>
  <c r="BOT26" i="5"/>
  <c r="BOU26" i="5"/>
  <c r="BOV26" i="5"/>
  <c r="BOW26" i="5"/>
  <c r="BOX26" i="5"/>
  <c r="BOY26" i="5"/>
  <c r="BOZ26" i="5"/>
  <c r="BPA26" i="5"/>
  <c r="BPB26" i="5"/>
  <c r="BPC26" i="5"/>
  <c r="BPD26" i="5"/>
  <c r="BPE26" i="5"/>
  <c r="BPF26" i="5"/>
  <c r="BPG26" i="5"/>
  <c r="BPH26" i="5"/>
  <c r="BPI26" i="5"/>
  <c r="BPJ26" i="5"/>
  <c r="BPK26" i="5"/>
  <c r="BPL26" i="5"/>
  <c r="BPM26" i="5"/>
  <c r="BPN26" i="5"/>
  <c r="BPO26" i="5"/>
  <c r="BPP26" i="5"/>
  <c r="BPQ26" i="5"/>
  <c r="BPR26" i="5"/>
  <c r="BPS26" i="5"/>
  <c r="BPT26" i="5"/>
  <c r="BPU26" i="5"/>
  <c r="BPV26" i="5"/>
  <c r="BPW26" i="5"/>
  <c r="BPX26" i="5"/>
  <c r="BPY26" i="5"/>
  <c r="BPZ26" i="5"/>
  <c r="BQA26" i="5"/>
  <c r="BQB26" i="5"/>
  <c r="BQC26" i="5"/>
  <c r="BQD26" i="5"/>
  <c r="BQE26" i="5"/>
  <c r="BQF26" i="5"/>
  <c r="BQG26" i="5"/>
  <c r="BQH26" i="5"/>
  <c r="BQI26" i="5"/>
  <c r="BQJ26" i="5"/>
  <c r="BQK26" i="5"/>
  <c r="BQL26" i="5"/>
  <c r="BQM26" i="5"/>
  <c r="BQN26" i="5"/>
  <c r="BQO26" i="5"/>
  <c r="BQP26" i="5"/>
  <c r="BQQ26" i="5"/>
  <c r="BQR26" i="5"/>
  <c r="BQS26" i="5"/>
  <c r="BQT26" i="5"/>
  <c r="BQU26" i="5"/>
  <c r="BQV26" i="5"/>
  <c r="BQW26" i="5"/>
  <c r="BQX26" i="5"/>
  <c r="BQY26" i="5"/>
  <c r="BQZ26" i="5"/>
  <c r="BRA26" i="5"/>
  <c r="BRB26" i="5"/>
  <c r="BRC26" i="5"/>
  <c r="BRD26" i="5"/>
  <c r="BRE26" i="5"/>
  <c r="BRF26" i="5"/>
  <c r="BRG26" i="5"/>
  <c r="BRH26" i="5"/>
  <c r="BRI26" i="5"/>
  <c r="BRJ26" i="5"/>
  <c r="BRK26" i="5"/>
  <c r="BRL26" i="5"/>
  <c r="BRM26" i="5"/>
  <c r="BRN26" i="5"/>
  <c r="BRO26" i="5"/>
  <c r="BRP26" i="5"/>
  <c r="BRQ26" i="5"/>
  <c r="BRR26" i="5"/>
  <c r="BRS26" i="5"/>
  <c r="BRT26" i="5"/>
  <c r="BRU26" i="5"/>
  <c r="BRV26" i="5"/>
  <c r="BRW26" i="5"/>
  <c r="BRX26" i="5"/>
  <c r="BRY26" i="5"/>
  <c r="BRZ26" i="5"/>
  <c r="BSA26" i="5"/>
  <c r="BSB26" i="5"/>
  <c r="BSC26" i="5"/>
  <c r="BSD26" i="5"/>
  <c r="BSE26" i="5"/>
  <c r="BSF26" i="5"/>
  <c r="BSG26" i="5"/>
  <c r="BSH26" i="5"/>
  <c r="BSI26" i="5"/>
  <c r="BSJ26" i="5"/>
  <c r="BSK26" i="5"/>
  <c r="BSL26" i="5"/>
  <c r="BSM26" i="5"/>
  <c r="BSN26" i="5"/>
  <c r="BSO26" i="5"/>
  <c r="BSP26" i="5"/>
  <c r="BSQ26" i="5"/>
  <c r="BSR26" i="5"/>
  <c r="BSS26" i="5"/>
  <c r="BST26" i="5"/>
  <c r="BSU26" i="5"/>
  <c r="BSV26" i="5"/>
  <c r="BSW26" i="5"/>
  <c r="BSX26" i="5"/>
  <c r="BSY26" i="5"/>
  <c r="BSZ26" i="5"/>
  <c r="BTA26" i="5"/>
  <c r="BTB26" i="5"/>
  <c r="BTC26" i="5"/>
  <c r="BTD26" i="5"/>
  <c r="BTE26" i="5"/>
  <c r="BTF26" i="5"/>
  <c r="BTG26" i="5"/>
  <c r="BTH26" i="5"/>
  <c r="BTI26" i="5"/>
  <c r="BTJ26" i="5"/>
  <c r="BTK26" i="5"/>
  <c r="BTL26" i="5"/>
  <c r="BTM26" i="5"/>
  <c r="BTN26" i="5"/>
  <c r="BTO26" i="5"/>
  <c r="BTP26" i="5"/>
  <c r="BTQ26" i="5"/>
  <c r="BTR26" i="5"/>
  <c r="BTS26" i="5"/>
  <c r="BTT26" i="5"/>
  <c r="BTU26" i="5"/>
  <c r="BTV26" i="5"/>
  <c r="BTW26" i="5"/>
  <c r="BTX26" i="5"/>
  <c r="BTY26" i="5"/>
  <c r="BTZ26" i="5"/>
  <c r="BUA26" i="5"/>
  <c r="BUB26" i="5"/>
  <c r="BUC26" i="5"/>
  <c r="BUD26" i="5"/>
  <c r="BUE26" i="5"/>
  <c r="BUF26" i="5"/>
  <c r="BUG26" i="5"/>
  <c r="BUH26" i="5"/>
  <c r="BUI26" i="5"/>
  <c r="BUJ26" i="5"/>
  <c r="BUK26" i="5"/>
  <c r="BUL26" i="5"/>
  <c r="BUM26" i="5"/>
  <c r="BUN26" i="5"/>
  <c r="BUO26" i="5"/>
  <c r="BUP26" i="5"/>
  <c r="BUQ26" i="5"/>
  <c r="BUR26" i="5"/>
  <c r="BUS26" i="5"/>
  <c r="BUT26" i="5"/>
  <c r="BUU26" i="5"/>
  <c r="BUV26" i="5"/>
  <c r="BUW26" i="5"/>
  <c r="BUX26" i="5"/>
  <c r="BUY26" i="5"/>
  <c r="BUZ26" i="5"/>
  <c r="BVA26" i="5"/>
  <c r="BVB26" i="5"/>
  <c r="BVC26" i="5"/>
  <c r="BVD26" i="5"/>
  <c r="BVE26" i="5"/>
  <c r="BVF26" i="5"/>
  <c r="BVG26" i="5"/>
  <c r="BVH26" i="5"/>
  <c r="BVI26" i="5"/>
  <c r="BVJ26" i="5"/>
  <c r="BVK26" i="5"/>
  <c r="BVL26" i="5"/>
  <c r="BVM26" i="5"/>
  <c r="BVN26" i="5"/>
  <c r="BVO26" i="5"/>
  <c r="BVP26" i="5"/>
  <c r="BVQ26" i="5"/>
  <c r="BVR26" i="5"/>
  <c r="BVS26" i="5"/>
  <c r="BVT26" i="5"/>
  <c r="BVU26" i="5"/>
  <c r="BVV26" i="5"/>
  <c r="BVW26" i="5"/>
  <c r="BVX26" i="5"/>
  <c r="BVY26" i="5"/>
  <c r="BVZ26" i="5"/>
  <c r="BWA26" i="5"/>
  <c r="BWB26" i="5"/>
  <c r="BWC26" i="5"/>
  <c r="BWD26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ND27" i="5"/>
  <c r="NE27" i="5"/>
  <c r="NF27" i="5"/>
  <c r="NG27" i="5"/>
  <c r="NH27" i="5"/>
  <c r="NI27" i="5"/>
  <c r="NJ27" i="5"/>
  <c r="NK27" i="5"/>
  <c r="NL27" i="5"/>
  <c r="NM27" i="5"/>
  <c r="NN27" i="5"/>
  <c r="NO27" i="5"/>
  <c r="NP27" i="5"/>
  <c r="NQ27" i="5"/>
  <c r="NR27" i="5"/>
  <c r="NS27" i="5"/>
  <c r="NT27" i="5"/>
  <c r="NU27" i="5"/>
  <c r="NV27" i="5"/>
  <c r="NW27" i="5"/>
  <c r="NX27" i="5"/>
  <c r="NY27" i="5"/>
  <c r="NZ27" i="5"/>
  <c r="OA27" i="5"/>
  <c r="OB27" i="5"/>
  <c r="OC27" i="5"/>
  <c r="OD27" i="5"/>
  <c r="OE27" i="5"/>
  <c r="OF27" i="5"/>
  <c r="OG27" i="5"/>
  <c r="OH27" i="5"/>
  <c r="OI27" i="5"/>
  <c r="OJ27" i="5"/>
  <c r="OK27" i="5"/>
  <c r="OL27" i="5"/>
  <c r="OM27" i="5"/>
  <c r="ON27" i="5"/>
  <c r="OO27" i="5"/>
  <c r="OP27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PO27" i="5"/>
  <c r="PP27" i="5"/>
  <c r="PQ27" i="5"/>
  <c r="PR27" i="5"/>
  <c r="PS27" i="5"/>
  <c r="PT27" i="5"/>
  <c r="PU27" i="5"/>
  <c r="PV27" i="5"/>
  <c r="PW27" i="5"/>
  <c r="PX27" i="5"/>
  <c r="PY27" i="5"/>
  <c r="PZ27" i="5"/>
  <c r="QA27" i="5"/>
  <c r="QB27" i="5"/>
  <c r="QC27" i="5"/>
  <c r="QD27" i="5"/>
  <c r="QE27" i="5"/>
  <c r="QF27" i="5"/>
  <c r="QG27" i="5"/>
  <c r="QH27" i="5"/>
  <c r="QI27" i="5"/>
  <c r="QJ27" i="5"/>
  <c r="QK27" i="5"/>
  <c r="QL27" i="5"/>
  <c r="QM27" i="5"/>
  <c r="QN27" i="5"/>
  <c r="QO27" i="5"/>
  <c r="QP27" i="5"/>
  <c r="QQ27" i="5"/>
  <c r="QR27" i="5"/>
  <c r="QS27" i="5"/>
  <c r="QT27" i="5"/>
  <c r="QU27" i="5"/>
  <c r="QV27" i="5"/>
  <c r="QW27" i="5"/>
  <c r="QX27" i="5"/>
  <c r="QY27" i="5"/>
  <c r="QZ27" i="5"/>
  <c r="RA27" i="5"/>
  <c r="RB27" i="5"/>
  <c r="RC27" i="5"/>
  <c r="RD27" i="5"/>
  <c r="RE27" i="5"/>
  <c r="RF27" i="5"/>
  <c r="RG27" i="5"/>
  <c r="RH27" i="5"/>
  <c r="RI27" i="5"/>
  <c r="RJ27" i="5"/>
  <c r="RK27" i="5"/>
  <c r="RL27" i="5"/>
  <c r="RM27" i="5"/>
  <c r="RN27" i="5"/>
  <c r="RO27" i="5"/>
  <c r="RP27" i="5"/>
  <c r="RQ27" i="5"/>
  <c r="RR27" i="5"/>
  <c r="RS27" i="5"/>
  <c r="RT27" i="5"/>
  <c r="RU27" i="5"/>
  <c r="RV27" i="5"/>
  <c r="RW27" i="5"/>
  <c r="RX27" i="5"/>
  <c r="RY27" i="5"/>
  <c r="RZ27" i="5"/>
  <c r="SA27" i="5"/>
  <c r="SB27" i="5"/>
  <c r="SC27" i="5"/>
  <c r="SD27" i="5"/>
  <c r="SE27" i="5"/>
  <c r="SF27" i="5"/>
  <c r="SG27" i="5"/>
  <c r="SH27" i="5"/>
  <c r="SI27" i="5"/>
  <c r="SJ27" i="5"/>
  <c r="SK27" i="5"/>
  <c r="SL27" i="5"/>
  <c r="SM27" i="5"/>
  <c r="SN27" i="5"/>
  <c r="SO27" i="5"/>
  <c r="SP27" i="5"/>
  <c r="SQ27" i="5"/>
  <c r="SR27" i="5"/>
  <c r="SS27" i="5"/>
  <c r="ST27" i="5"/>
  <c r="SU27" i="5"/>
  <c r="SV27" i="5"/>
  <c r="SW27" i="5"/>
  <c r="SX27" i="5"/>
  <c r="SY27" i="5"/>
  <c r="SZ27" i="5"/>
  <c r="TA27" i="5"/>
  <c r="TB27" i="5"/>
  <c r="TC27" i="5"/>
  <c r="TD27" i="5"/>
  <c r="TE27" i="5"/>
  <c r="TF27" i="5"/>
  <c r="TG27" i="5"/>
  <c r="TH27" i="5"/>
  <c r="TI27" i="5"/>
  <c r="TJ27" i="5"/>
  <c r="TK27" i="5"/>
  <c r="TL27" i="5"/>
  <c r="TM27" i="5"/>
  <c r="TN27" i="5"/>
  <c r="TO27" i="5"/>
  <c r="TP27" i="5"/>
  <c r="TQ27" i="5"/>
  <c r="TR27" i="5"/>
  <c r="TS27" i="5"/>
  <c r="TT27" i="5"/>
  <c r="TU27" i="5"/>
  <c r="TV27" i="5"/>
  <c r="TW27" i="5"/>
  <c r="TX27" i="5"/>
  <c r="TY27" i="5"/>
  <c r="TZ27" i="5"/>
  <c r="UA27" i="5"/>
  <c r="UB27" i="5"/>
  <c r="UC27" i="5"/>
  <c r="UD27" i="5"/>
  <c r="UE27" i="5"/>
  <c r="UF27" i="5"/>
  <c r="UG27" i="5"/>
  <c r="UH27" i="5"/>
  <c r="UI27" i="5"/>
  <c r="UJ27" i="5"/>
  <c r="UK27" i="5"/>
  <c r="UL27" i="5"/>
  <c r="UM27" i="5"/>
  <c r="UN27" i="5"/>
  <c r="UO27" i="5"/>
  <c r="UP27" i="5"/>
  <c r="UQ27" i="5"/>
  <c r="UR27" i="5"/>
  <c r="US27" i="5"/>
  <c r="UT27" i="5"/>
  <c r="UU27" i="5"/>
  <c r="UV27" i="5"/>
  <c r="UW27" i="5"/>
  <c r="UX27" i="5"/>
  <c r="UY27" i="5"/>
  <c r="UZ27" i="5"/>
  <c r="VA27" i="5"/>
  <c r="VB27" i="5"/>
  <c r="VC27" i="5"/>
  <c r="VD27" i="5"/>
  <c r="VE27" i="5"/>
  <c r="VF27" i="5"/>
  <c r="VG27" i="5"/>
  <c r="VH27" i="5"/>
  <c r="VI27" i="5"/>
  <c r="VJ27" i="5"/>
  <c r="VK27" i="5"/>
  <c r="VL27" i="5"/>
  <c r="VM27" i="5"/>
  <c r="VN27" i="5"/>
  <c r="VO27" i="5"/>
  <c r="VP27" i="5"/>
  <c r="VQ27" i="5"/>
  <c r="VR27" i="5"/>
  <c r="VS27" i="5"/>
  <c r="VT27" i="5"/>
  <c r="VU27" i="5"/>
  <c r="VV27" i="5"/>
  <c r="VW27" i="5"/>
  <c r="VX27" i="5"/>
  <c r="VY27" i="5"/>
  <c r="VZ27" i="5"/>
  <c r="WA27" i="5"/>
  <c r="WB27" i="5"/>
  <c r="WC27" i="5"/>
  <c r="WD27" i="5"/>
  <c r="WE27" i="5"/>
  <c r="WF27" i="5"/>
  <c r="WG27" i="5"/>
  <c r="WH27" i="5"/>
  <c r="WI27" i="5"/>
  <c r="WJ27" i="5"/>
  <c r="WK27" i="5"/>
  <c r="WL27" i="5"/>
  <c r="WM27" i="5"/>
  <c r="WN27" i="5"/>
  <c r="WO27" i="5"/>
  <c r="WP27" i="5"/>
  <c r="WQ27" i="5"/>
  <c r="WR27" i="5"/>
  <c r="WS27" i="5"/>
  <c r="WT27" i="5"/>
  <c r="WU27" i="5"/>
  <c r="WV27" i="5"/>
  <c r="WW27" i="5"/>
  <c r="WX27" i="5"/>
  <c r="WY27" i="5"/>
  <c r="WZ27" i="5"/>
  <c r="XA27" i="5"/>
  <c r="XB27" i="5"/>
  <c r="XC27" i="5"/>
  <c r="XD27" i="5"/>
  <c r="XE27" i="5"/>
  <c r="XF27" i="5"/>
  <c r="XG27" i="5"/>
  <c r="XH27" i="5"/>
  <c r="XI27" i="5"/>
  <c r="XJ27" i="5"/>
  <c r="XK27" i="5"/>
  <c r="XL27" i="5"/>
  <c r="XM27" i="5"/>
  <c r="XN27" i="5"/>
  <c r="XO27" i="5"/>
  <c r="XP27" i="5"/>
  <c r="XQ27" i="5"/>
  <c r="XR27" i="5"/>
  <c r="XS27" i="5"/>
  <c r="XT27" i="5"/>
  <c r="XU27" i="5"/>
  <c r="XV27" i="5"/>
  <c r="XW27" i="5"/>
  <c r="XX27" i="5"/>
  <c r="XY27" i="5"/>
  <c r="XZ27" i="5"/>
  <c r="YA27" i="5"/>
  <c r="YB27" i="5"/>
  <c r="YC27" i="5"/>
  <c r="YD27" i="5"/>
  <c r="YE27" i="5"/>
  <c r="YF27" i="5"/>
  <c r="YG27" i="5"/>
  <c r="YH27" i="5"/>
  <c r="YI27" i="5"/>
  <c r="YJ27" i="5"/>
  <c r="YK27" i="5"/>
  <c r="YL27" i="5"/>
  <c r="YM27" i="5"/>
  <c r="YN27" i="5"/>
  <c r="YO27" i="5"/>
  <c r="YP27" i="5"/>
  <c r="YQ27" i="5"/>
  <c r="YR27" i="5"/>
  <c r="YS27" i="5"/>
  <c r="YT27" i="5"/>
  <c r="YU27" i="5"/>
  <c r="YV27" i="5"/>
  <c r="YW27" i="5"/>
  <c r="YX27" i="5"/>
  <c r="YY27" i="5"/>
  <c r="YZ27" i="5"/>
  <c r="ZA27" i="5"/>
  <c r="ZB27" i="5"/>
  <c r="ZC27" i="5"/>
  <c r="ZD27" i="5"/>
  <c r="ZE27" i="5"/>
  <c r="ZF27" i="5"/>
  <c r="ZG27" i="5"/>
  <c r="ZH27" i="5"/>
  <c r="ZI27" i="5"/>
  <c r="ZJ27" i="5"/>
  <c r="ZK27" i="5"/>
  <c r="ZL27" i="5"/>
  <c r="ZM27" i="5"/>
  <c r="ZN27" i="5"/>
  <c r="ZO27" i="5"/>
  <c r="ZP27" i="5"/>
  <c r="ZQ27" i="5"/>
  <c r="ZR27" i="5"/>
  <c r="ZS27" i="5"/>
  <c r="ZT27" i="5"/>
  <c r="ZU27" i="5"/>
  <c r="ZV27" i="5"/>
  <c r="ZW27" i="5"/>
  <c r="ZX27" i="5"/>
  <c r="ZY27" i="5"/>
  <c r="ZZ27" i="5"/>
  <c r="AAA27" i="5"/>
  <c r="AAB27" i="5"/>
  <c r="AAC27" i="5"/>
  <c r="AAD27" i="5"/>
  <c r="AAE27" i="5"/>
  <c r="AAF27" i="5"/>
  <c r="AAG27" i="5"/>
  <c r="AAH27" i="5"/>
  <c r="AAI27" i="5"/>
  <c r="AAJ27" i="5"/>
  <c r="AAK27" i="5"/>
  <c r="AAL27" i="5"/>
  <c r="AAM27" i="5"/>
  <c r="AAN27" i="5"/>
  <c r="AAO27" i="5"/>
  <c r="AAP27" i="5"/>
  <c r="AAQ27" i="5"/>
  <c r="AAR27" i="5"/>
  <c r="AAS27" i="5"/>
  <c r="AAT27" i="5"/>
  <c r="AAU27" i="5"/>
  <c r="AAV27" i="5"/>
  <c r="AAW27" i="5"/>
  <c r="AAX27" i="5"/>
  <c r="AAY27" i="5"/>
  <c r="AAZ27" i="5"/>
  <c r="ABA27" i="5"/>
  <c r="ABB27" i="5"/>
  <c r="ABC27" i="5"/>
  <c r="ABD27" i="5"/>
  <c r="ABE27" i="5"/>
  <c r="ABF27" i="5"/>
  <c r="ABG27" i="5"/>
  <c r="ABH27" i="5"/>
  <c r="ABI27" i="5"/>
  <c r="ABJ27" i="5"/>
  <c r="ABK27" i="5"/>
  <c r="ABL27" i="5"/>
  <c r="ABM27" i="5"/>
  <c r="ABN27" i="5"/>
  <c r="ABO27" i="5"/>
  <c r="ABP27" i="5"/>
  <c r="ABQ27" i="5"/>
  <c r="ABR27" i="5"/>
  <c r="ABS27" i="5"/>
  <c r="ABT27" i="5"/>
  <c r="ABU27" i="5"/>
  <c r="ABV27" i="5"/>
  <c r="ABW27" i="5"/>
  <c r="ABX27" i="5"/>
  <c r="ABY27" i="5"/>
  <c r="ABZ27" i="5"/>
  <c r="ACA27" i="5"/>
  <c r="ACB27" i="5"/>
  <c r="ACC27" i="5"/>
  <c r="ACD27" i="5"/>
  <c r="ACE27" i="5"/>
  <c r="ACF27" i="5"/>
  <c r="ACG27" i="5"/>
  <c r="ACH27" i="5"/>
  <c r="ACI27" i="5"/>
  <c r="ACJ27" i="5"/>
  <c r="ACK27" i="5"/>
  <c r="ACL27" i="5"/>
  <c r="ACM27" i="5"/>
  <c r="ACN27" i="5"/>
  <c r="ACO27" i="5"/>
  <c r="ACP27" i="5"/>
  <c r="ACQ27" i="5"/>
  <c r="ACR27" i="5"/>
  <c r="ACS27" i="5"/>
  <c r="ACT27" i="5"/>
  <c r="ACU27" i="5"/>
  <c r="ACV27" i="5"/>
  <c r="ACW27" i="5"/>
  <c r="ACX27" i="5"/>
  <c r="ACY27" i="5"/>
  <c r="ACZ27" i="5"/>
  <c r="ADA27" i="5"/>
  <c r="ADB27" i="5"/>
  <c r="ADC27" i="5"/>
  <c r="ADD27" i="5"/>
  <c r="ADE27" i="5"/>
  <c r="ADF27" i="5"/>
  <c r="ADG27" i="5"/>
  <c r="ADH27" i="5"/>
  <c r="ADI27" i="5"/>
  <c r="ADJ27" i="5"/>
  <c r="ADK27" i="5"/>
  <c r="ADL27" i="5"/>
  <c r="ADM27" i="5"/>
  <c r="ADN27" i="5"/>
  <c r="ADO27" i="5"/>
  <c r="ADP27" i="5"/>
  <c r="ADQ27" i="5"/>
  <c r="ADR27" i="5"/>
  <c r="ADS27" i="5"/>
  <c r="ADT27" i="5"/>
  <c r="ADU27" i="5"/>
  <c r="ADV27" i="5"/>
  <c r="ADW27" i="5"/>
  <c r="ADX27" i="5"/>
  <c r="ADY27" i="5"/>
  <c r="ADZ27" i="5"/>
  <c r="AEA27" i="5"/>
  <c r="AEB27" i="5"/>
  <c r="AEC27" i="5"/>
  <c r="AED27" i="5"/>
  <c r="AEE27" i="5"/>
  <c r="AEF27" i="5"/>
  <c r="AEG27" i="5"/>
  <c r="AEH27" i="5"/>
  <c r="AEI27" i="5"/>
  <c r="AEJ27" i="5"/>
  <c r="AEK27" i="5"/>
  <c r="AEL27" i="5"/>
  <c r="AEM27" i="5"/>
  <c r="AEN27" i="5"/>
  <c r="AEO27" i="5"/>
  <c r="AEP27" i="5"/>
  <c r="AEQ27" i="5"/>
  <c r="AER27" i="5"/>
  <c r="AES27" i="5"/>
  <c r="AET27" i="5"/>
  <c r="AEU27" i="5"/>
  <c r="AEV27" i="5"/>
  <c r="AEW27" i="5"/>
  <c r="AEX27" i="5"/>
  <c r="AEY27" i="5"/>
  <c r="AEZ27" i="5"/>
  <c r="AFA27" i="5"/>
  <c r="AFB27" i="5"/>
  <c r="AFC27" i="5"/>
  <c r="AFD27" i="5"/>
  <c r="AFE27" i="5"/>
  <c r="AFF27" i="5"/>
  <c r="AFG27" i="5"/>
  <c r="AFH27" i="5"/>
  <c r="AFI27" i="5"/>
  <c r="AFJ27" i="5"/>
  <c r="AFK27" i="5"/>
  <c r="AFL27" i="5"/>
  <c r="AFM27" i="5"/>
  <c r="AFN27" i="5"/>
  <c r="AFO27" i="5"/>
  <c r="AFP27" i="5"/>
  <c r="AFQ27" i="5"/>
  <c r="AFR27" i="5"/>
  <c r="AFS27" i="5"/>
  <c r="AFT27" i="5"/>
  <c r="AFU27" i="5"/>
  <c r="AFV27" i="5"/>
  <c r="AFW27" i="5"/>
  <c r="AFX27" i="5"/>
  <c r="AFY27" i="5"/>
  <c r="AFZ27" i="5"/>
  <c r="AGA27" i="5"/>
  <c r="AGB27" i="5"/>
  <c r="AGC27" i="5"/>
  <c r="AGD27" i="5"/>
  <c r="AGE27" i="5"/>
  <c r="AGF27" i="5"/>
  <c r="AGG27" i="5"/>
  <c r="AGH27" i="5"/>
  <c r="AGI27" i="5"/>
  <c r="AGJ27" i="5"/>
  <c r="AGK27" i="5"/>
  <c r="AGL27" i="5"/>
  <c r="AGM27" i="5"/>
  <c r="AGN27" i="5"/>
  <c r="AGO27" i="5"/>
  <c r="AGP27" i="5"/>
  <c r="AGQ27" i="5"/>
  <c r="AGR27" i="5"/>
  <c r="AGS27" i="5"/>
  <c r="AGT27" i="5"/>
  <c r="AGU27" i="5"/>
  <c r="AGV27" i="5"/>
  <c r="AGW27" i="5"/>
  <c r="AGX27" i="5"/>
  <c r="AGY27" i="5"/>
  <c r="AGZ27" i="5"/>
  <c r="AHA27" i="5"/>
  <c r="AHB27" i="5"/>
  <c r="AHC27" i="5"/>
  <c r="AHD27" i="5"/>
  <c r="AHE27" i="5"/>
  <c r="AHF27" i="5"/>
  <c r="AHG27" i="5"/>
  <c r="AHH27" i="5"/>
  <c r="AHI27" i="5"/>
  <c r="AHJ27" i="5"/>
  <c r="AHK27" i="5"/>
  <c r="AHL27" i="5"/>
  <c r="AHM27" i="5"/>
  <c r="AHN27" i="5"/>
  <c r="AHO27" i="5"/>
  <c r="AHP27" i="5"/>
  <c r="AHQ27" i="5"/>
  <c r="AHR27" i="5"/>
  <c r="AHS27" i="5"/>
  <c r="AHT27" i="5"/>
  <c r="AHU27" i="5"/>
  <c r="AHV27" i="5"/>
  <c r="AHW27" i="5"/>
  <c r="AHX27" i="5"/>
  <c r="AHY27" i="5"/>
  <c r="AHZ27" i="5"/>
  <c r="AIA27" i="5"/>
  <c r="AIB27" i="5"/>
  <c r="AIC27" i="5"/>
  <c r="AID27" i="5"/>
  <c r="AIE27" i="5"/>
  <c r="AIF27" i="5"/>
  <c r="AIG27" i="5"/>
  <c r="AIH27" i="5"/>
  <c r="AII27" i="5"/>
  <c r="AIJ27" i="5"/>
  <c r="AIK27" i="5"/>
  <c r="AIL27" i="5"/>
  <c r="AIM27" i="5"/>
  <c r="AIN27" i="5"/>
  <c r="AIO27" i="5"/>
  <c r="AIP27" i="5"/>
  <c r="AIQ27" i="5"/>
  <c r="AIR27" i="5"/>
  <c r="AIS27" i="5"/>
  <c r="AIT27" i="5"/>
  <c r="AIU27" i="5"/>
  <c r="AIV27" i="5"/>
  <c r="AIW27" i="5"/>
  <c r="AIX27" i="5"/>
  <c r="AIY27" i="5"/>
  <c r="AIZ27" i="5"/>
  <c r="AJA27" i="5"/>
  <c r="AJB27" i="5"/>
  <c r="AJC27" i="5"/>
  <c r="AJD27" i="5"/>
  <c r="AJE27" i="5"/>
  <c r="AJF27" i="5"/>
  <c r="AJG27" i="5"/>
  <c r="AJH27" i="5"/>
  <c r="AJI27" i="5"/>
  <c r="AJJ27" i="5"/>
  <c r="AJK27" i="5"/>
  <c r="AJL27" i="5"/>
  <c r="AJM27" i="5"/>
  <c r="AJN27" i="5"/>
  <c r="AJO27" i="5"/>
  <c r="AJP27" i="5"/>
  <c r="AJQ27" i="5"/>
  <c r="AJR27" i="5"/>
  <c r="AJS27" i="5"/>
  <c r="AJT27" i="5"/>
  <c r="AJU27" i="5"/>
  <c r="AJV27" i="5"/>
  <c r="AJW27" i="5"/>
  <c r="AJX27" i="5"/>
  <c r="AJY27" i="5"/>
  <c r="AJZ27" i="5"/>
  <c r="AKA27" i="5"/>
  <c r="AKB27" i="5"/>
  <c r="AKC27" i="5"/>
  <c r="AKD27" i="5"/>
  <c r="AKE27" i="5"/>
  <c r="AKF27" i="5"/>
  <c r="AKG27" i="5"/>
  <c r="AKH27" i="5"/>
  <c r="AKI27" i="5"/>
  <c r="AKJ27" i="5"/>
  <c r="AKK27" i="5"/>
  <c r="AKL27" i="5"/>
  <c r="AKM27" i="5"/>
  <c r="AKN27" i="5"/>
  <c r="AKO27" i="5"/>
  <c r="AKP27" i="5"/>
  <c r="AKQ27" i="5"/>
  <c r="AKR27" i="5"/>
  <c r="AKS27" i="5"/>
  <c r="AKT27" i="5"/>
  <c r="AKU27" i="5"/>
  <c r="AKV27" i="5"/>
  <c r="AKW27" i="5"/>
  <c r="AKX27" i="5"/>
  <c r="AKY27" i="5"/>
  <c r="AKZ27" i="5"/>
  <c r="ALA27" i="5"/>
  <c r="ALB27" i="5"/>
  <c r="ALC27" i="5"/>
  <c r="ALD27" i="5"/>
  <c r="ALE27" i="5"/>
  <c r="ALF27" i="5"/>
  <c r="ALG27" i="5"/>
  <c r="ALH27" i="5"/>
  <c r="ALI27" i="5"/>
  <c r="ALJ27" i="5"/>
  <c r="ALK27" i="5"/>
  <c r="ALL27" i="5"/>
  <c r="ALM27" i="5"/>
  <c r="ALN27" i="5"/>
  <c r="ALO27" i="5"/>
  <c r="ALP27" i="5"/>
  <c r="ALQ27" i="5"/>
  <c r="ALR27" i="5"/>
  <c r="ALS27" i="5"/>
  <c r="ALT27" i="5"/>
  <c r="ALU27" i="5"/>
  <c r="ALV27" i="5"/>
  <c r="ALW27" i="5"/>
  <c r="ALX27" i="5"/>
  <c r="ALY27" i="5"/>
  <c r="ALZ27" i="5"/>
  <c r="AMA27" i="5"/>
  <c r="AMB27" i="5"/>
  <c r="AMC27" i="5"/>
  <c r="AMD27" i="5"/>
  <c r="AME27" i="5"/>
  <c r="AMF27" i="5"/>
  <c r="AMG27" i="5"/>
  <c r="AMH27" i="5"/>
  <c r="AMI27" i="5"/>
  <c r="AMJ27" i="5"/>
  <c r="AMK27" i="5"/>
  <c r="AML27" i="5"/>
  <c r="AMM27" i="5"/>
  <c r="AMN27" i="5"/>
  <c r="AMO27" i="5"/>
  <c r="AMP27" i="5"/>
  <c r="AMQ27" i="5"/>
  <c r="AMR27" i="5"/>
  <c r="AMS27" i="5"/>
  <c r="AMT27" i="5"/>
  <c r="AMU27" i="5"/>
  <c r="AMV27" i="5"/>
  <c r="AMW27" i="5"/>
  <c r="AMX27" i="5"/>
  <c r="AMY27" i="5"/>
  <c r="AMZ27" i="5"/>
  <c r="ANA27" i="5"/>
  <c r="ANB27" i="5"/>
  <c r="ANC27" i="5"/>
  <c r="AND27" i="5"/>
  <c r="ANE27" i="5"/>
  <c r="ANF27" i="5"/>
  <c r="ANG27" i="5"/>
  <c r="ANH27" i="5"/>
  <c r="ANI27" i="5"/>
  <c r="ANJ27" i="5"/>
  <c r="ANK27" i="5"/>
  <c r="ANL27" i="5"/>
  <c r="ANM27" i="5"/>
  <c r="ANN27" i="5"/>
  <c r="ANO27" i="5"/>
  <c r="ANP27" i="5"/>
  <c r="ANQ27" i="5"/>
  <c r="ANR27" i="5"/>
  <c r="ANS27" i="5"/>
  <c r="ANT27" i="5"/>
  <c r="ANU27" i="5"/>
  <c r="ANV27" i="5"/>
  <c r="ANW27" i="5"/>
  <c r="ANX27" i="5"/>
  <c r="ANY27" i="5"/>
  <c r="ANZ27" i="5"/>
  <c r="AOA27" i="5"/>
  <c r="AOB27" i="5"/>
  <c r="AOC27" i="5"/>
  <c r="AOD27" i="5"/>
  <c r="AOE27" i="5"/>
  <c r="AOF27" i="5"/>
  <c r="AOG27" i="5"/>
  <c r="AOH27" i="5"/>
  <c r="AOI27" i="5"/>
  <c r="AOJ27" i="5"/>
  <c r="AOK27" i="5"/>
  <c r="AOL27" i="5"/>
  <c r="AOM27" i="5"/>
  <c r="AON27" i="5"/>
  <c r="AOO27" i="5"/>
  <c r="AOP27" i="5"/>
  <c r="AOQ27" i="5"/>
  <c r="AOR27" i="5"/>
  <c r="AOS27" i="5"/>
  <c r="AOT27" i="5"/>
  <c r="AOU27" i="5"/>
  <c r="AOV27" i="5"/>
  <c r="AOW27" i="5"/>
  <c r="AOX27" i="5"/>
  <c r="AOY27" i="5"/>
  <c r="AOZ27" i="5"/>
  <c r="APA27" i="5"/>
  <c r="APB27" i="5"/>
  <c r="APC27" i="5"/>
  <c r="APD27" i="5"/>
  <c r="APE27" i="5"/>
  <c r="APF27" i="5"/>
  <c r="APG27" i="5"/>
  <c r="APH27" i="5"/>
  <c r="API27" i="5"/>
  <c r="APJ27" i="5"/>
  <c r="APK27" i="5"/>
  <c r="APL27" i="5"/>
  <c r="APM27" i="5"/>
  <c r="APN27" i="5"/>
  <c r="APO27" i="5"/>
  <c r="APP27" i="5"/>
  <c r="APQ27" i="5"/>
  <c r="APR27" i="5"/>
  <c r="APS27" i="5"/>
  <c r="APT27" i="5"/>
  <c r="APU27" i="5"/>
  <c r="APV27" i="5"/>
  <c r="APW27" i="5"/>
  <c r="APX27" i="5"/>
  <c r="APY27" i="5"/>
  <c r="APZ27" i="5"/>
  <c r="AQA27" i="5"/>
  <c r="AQB27" i="5"/>
  <c r="AQC27" i="5"/>
  <c r="AQD27" i="5"/>
  <c r="AQE27" i="5"/>
  <c r="AQF27" i="5"/>
  <c r="AQG27" i="5"/>
  <c r="AQH27" i="5"/>
  <c r="AQI27" i="5"/>
  <c r="AQJ27" i="5"/>
  <c r="AQK27" i="5"/>
  <c r="AQL27" i="5"/>
  <c r="AQM27" i="5"/>
  <c r="AQN27" i="5"/>
  <c r="AQO27" i="5"/>
  <c r="AQP27" i="5"/>
  <c r="AQQ27" i="5"/>
  <c r="AQR27" i="5"/>
  <c r="AQS27" i="5"/>
  <c r="AQT27" i="5"/>
  <c r="AQU27" i="5"/>
  <c r="AQV27" i="5"/>
  <c r="AQW27" i="5"/>
  <c r="AQX27" i="5"/>
  <c r="AQY27" i="5"/>
  <c r="AQZ27" i="5"/>
  <c r="ARA27" i="5"/>
  <c r="ARB27" i="5"/>
  <c r="ARC27" i="5"/>
  <c r="ARD27" i="5"/>
  <c r="ARE27" i="5"/>
  <c r="ARF27" i="5"/>
  <c r="ARG27" i="5"/>
  <c r="ARH27" i="5"/>
  <c r="ARI27" i="5"/>
  <c r="ARJ27" i="5"/>
  <c r="ARK27" i="5"/>
  <c r="ARL27" i="5"/>
  <c r="ARM27" i="5"/>
  <c r="ARN27" i="5"/>
  <c r="ARO27" i="5"/>
  <c r="ARP27" i="5"/>
  <c r="ARQ27" i="5"/>
  <c r="ARR27" i="5"/>
  <c r="ARS27" i="5"/>
  <c r="ART27" i="5"/>
  <c r="ARU27" i="5"/>
  <c r="ARV27" i="5"/>
  <c r="ARW27" i="5"/>
  <c r="ARX27" i="5"/>
  <c r="ARY27" i="5"/>
  <c r="ARZ27" i="5"/>
  <c r="ASA27" i="5"/>
  <c r="ASB27" i="5"/>
  <c r="ASC27" i="5"/>
  <c r="ASD27" i="5"/>
  <c r="ASE27" i="5"/>
  <c r="ASF27" i="5"/>
  <c r="ASG27" i="5"/>
  <c r="ASH27" i="5"/>
  <c r="ASI27" i="5"/>
  <c r="ASJ27" i="5"/>
  <c r="ASK27" i="5"/>
  <c r="ASL27" i="5"/>
  <c r="ASM27" i="5"/>
  <c r="ASN27" i="5"/>
  <c r="ASO27" i="5"/>
  <c r="ASP27" i="5"/>
  <c r="ASQ27" i="5"/>
  <c r="ASR27" i="5"/>
  <c r="ASS27" i="5"/>
  <c r="AST27" i="5"/>
  <c r="ASU27" i="5"/>
  <c r="ASV27" i="5"/>
  <c r="ASW27" i="5"/>
  <c r="ASX27" i="5"/>
  <c r="ASY27" i="5"/>
  <c r="ASZ27" i="5"/>
  <c r="ATA27" i="5"/>
  <c r="ATB27" i="5"/>
  <c r="ATC27" i="5"/>
  <c r="ATD27" i="5"/>
  <c r="ATE27" i="5"/>
  <c r="ATF27" i="5"/>
  <c r="ATG27" i="5"/>
  <c r="ATH27" i="5"/>
  <c r="ATI27" i="5"/>
  <c r="ATJ27" i="5"/>
  <c r="ATK27" i="5"/>
  <c r="ATL27" i="5"/>
  <c r="ATM27" i="5"/>
  <c r="ATN27" i="5"/>
  <c r="ATO27" i="5"/>
  <c r="ATP27" i="5"/>
  <c r="ATQ27" i="5"/>
  <c r="ATR27" i="5"/>
  <c r="ATS27" i="5"/>
  <c r="ATT27" i="5"/>
  <c r="ATU27" i="5"/>
  <c r="ATV27" i="5"/>
  <c r="ATW27" i="5"/>
  <c r="ATX27" i="5"/>
  <c r="ATY27" i="5"/>
  <c r="ATZ27" i="5"/>
  <c r="AUA27" i="5"/>
  <c r="AUB27" i="5"/>
  <c r="AUC27" i="5"/>
  <c r="AUD27" i="5"/>
  <c r="AUE27" i="5"/>
  <c r="AUF27" i="5"/>
  <c r="AUG27" i="5"/>
  <c r="AUH27" i="5"/>
  <c r="AUI27" i="5"/>
  <c r="AUJ27" i="5"/>
  <c r="AUK27" i="5"/>
  <c r="AUL27" i="5"/>
  <c r="AUM27" i="5"/>
  <c r="AUN27" i="5"/>
  <c r="AUO27" i="5"/>
  <c r="AUP27" i="5"/>
  <c r="AUQ27" i="5"/>
  <c r="AUR27" i="5"/>
  <c r="AUS27" i="5"/>
  <c r="AUT27" i="5"/>
  <c r="AUU27" i="5"/>
  <c r="AUV27" i="5"/>
  <c r="AUW27" i="5"/>
  <c r="AUX27" i="5"/>
  <c r="AUY27" i="5"/>
  <c r="AUZ27" i="5"/>
  <c r="AVA27" i="5"/>
  <c r="AVB27" i="5"/>
  <c r="AVC27" i="5"/>
  <c r="AVD27" i="5"/>
  <c r="AVE27" i="5"/>
  <c r="AVF27" i="5"/>
  <c r="AVG27" i="5"/>
  <c r="AVH27" i="5"/>
  <c r="AVI27" i="5"/>
  <c r="AVJ27" i="5"/>
  <c r="AVK27" i="5"/>
  <c r="AVL27" i="5"/>
  <c r="AVM27" i="5"/>
  <c r="AVN27" i="5"/>
  <c r="AVO27" i="5"/>
  <c r="AVP27" i="5"/>
  <c r="AVQ27" i="5"/>
  <c r="AVR27" i="5"/>
  <c r="AVS27" i="5"/>
  <c r="AVT27" i="5"/>
  <c r="AVU27" i="5"/>
  <c r="AVV27" i="5"/>
  <c r="AVW27" i="5"/>
  <c r="AVX27" i="5"/>
  <c r="AVY27" i="5"/>
  <c r="AVZ27" i="5"/>
  <c r="AWA27" i="5"/>
  <c r="AWB27" i="5"/>
  <c r="AWC27" i="5"/>
  <c r="AWD27" i="5"/>
  <c r="AWE27" i="5"/>
  <c r="AWF27" i="5"/>
  <c r="AWG27" i="5"/>
  <c r="AWH27" i="5"/>
  <c r="AWI27" i="5"/>
  <c r="AWJ27" i="5"/>
  <c r="AWK27" i="5"/>
  <c r="AWL27" i="5"/>
  <c r="AWM27" i="5"/>
  <c r="AWN27" i="5"/>
  <c r="AWO27" i="5"/>
  <c r="AWP27" i="5"/>
  <c r="AWQ27" i="5"/>
  <c r="AWR27" i="5"/>
  <c r="AWS27" i="5"/>
  <c r="AWT27" i="5"/>
  <c r="AWU27" i="5"/>
  <c r="AWV27" i="5"/>
  <c r="AWW27" i="5"/>
  <c r="AWX27" i="5"/>
  <c r="AWY27" i="5"/>
  <c r="AWZ27" i="5"/>
  <c r="AXA27" i="5"/>
  <c r="AXB27" i="5"/>
  <c r="AXC27" i="5"/>
  <c r="AXD27" i="5"/>
  <c r="AXE27" i="5"/>
  <c r="AXF27" i="5"/>
  <c r="AXG27" i="5"/>
  <c r="AXH27" i="5"/>
  <c r="AXI27" i="5"/>
  <c r="AXJ27" i="5"/>
  <c r="AXK27" i="5"/>
  <c r="AXL27" i="5"/>
  <c r="AXM27" i="5"/>
  <c r="AXN27" i="5"/>
  <c r="AXO27" i="5"/>
  <c r="AXP27" i="5"/>
  <c r="AXQ27" i="5"/>
  <c r="AXR27" i="5"/>
  <c r="AXS27" i="5"/>
  <c r="AXT27" i="5"/>
  <c r="AXU27" i="5"/>
  <c r="AXV27" i="5"/>
  <c r="AXW27" i="5"/>
  <c r="AXX27" i="5"/>
  <c r="AXY27" i="5"/>
  <c r="AXZ27" i="5"/>
  <c r="AYA27" i="5"/>
  <c r="AYB27" i="5"/>
  <c r="AYC27" i="5"/>
  <c r="AYD27" i="5"/>
  <c r="AYE27" i="5"/>
  <c r="AYF27" i="5"/>
  <c r="AYG27" i="5"/>
  <c r="AYH27" i="5"/>
  <c r="AYI27" i="5"/>
  <c r="AYJ27" i="5"/>
  <c r="AYK27" i="5"/>
  <c r="AYL27" i="5"/>
  <c r="AYM27" i="5"/>
  <c r="AYN27" i="5"/>
  <c r="AYO27" i="5"/>
  <c r="AYP27" i="5"/>
  <c r="AYQ27" i="5"/>
  <c r="AYR27" i="5"/>
  <c r="AYS27" i="5"/>
  <c r="AYT27" i="5"/>
  <c r="AYU27" i="5"/>
  <c r="AYV27" i="5"/>
  <c r="AYW27" i="5"/>
  <c r="AYX27" i="5"/>
  <c r="AYY27" i="5"/>
  <c r="AYZ27" i="5"/>
  <c r="AZA27" i="5"/>
  <c r="AZB27" i="5"/>
  <c r="AZC27" i="5"/>
  <c r="AZD27" i="5"/>
  <c r="AZE27" i="5"/>
  <c r="AZF27" i="5"/>
  <c r="AZG27" i="5"/>
  <c r="AZH27" i="5"/>
  <c r="AZI27" i="5"/>
  <c r="AZJ27" i="5"/>
  <c r="AZK27" i="5"/>
  <c r="AZL27" i="5"/>
  <c r="AZM27" i="5"/>
  <c r="AZN27" i="5"/>
  <c r="AZO27" i="5"/>
  <c r="AZP27" i="5"/>
  <c r="AZQ27" i="5"/>
  <c r="AZR27" i="5"/>
  <c r="AZS27" i="5"/>
  <c r="AZT27" i="5"/>
  <c r="AZU27" i="5"/>
  <c r="AZV27" i="5"/>
  <c r="AZW27" i="5"/>
  <c r="AZX27" i="5"/>
  <c r="AZY27" i="5"/>
  <c r="AZZ27" i="5"/>
  <c r="BAA27" i="5"/>
  <c r="BAB27" i="5"/>
  <c r="BAC27" i="5"/>
  <c r="BAD27" i="5"/>
  <c r="BAE27" i="5"/>
  <c r="BAF27" i="5"/>
  <c r="BAG27" i="5"/>
  <c r="BAH27" i="5"/>
  <c r="BAI27" i="5"/>
  <c r="BAJ27" i="5"/>
  <c r="BAK27" i="5"/>
  <c r="BAL27" i="5"/>
  <c r="BAM27" i="5"/>
  <c r="BAN27" i="5"/>
  <c r="BAO27" i="5"/>
  <c r="BAP27" i="5"/>
  <c r="BAQ27" i="5"/>
  <c r="BAR27" i="5"/>
  <c r="BAS27" i="5"/>
  <c r="BAT27" i="5"/>
  <c r="BAU27" i="5"/>
  <c r="BAV27" i="5"/>
  <c r="BAW27" i="5"/>
  <c r="BAX27" i="5"/>
  <c r="BAY27" i="5"/>
  <c r="BAZ27" i="5"/>
  <c r="BBA27" i="5"/>
  <c r="BBB27" i="5"/>
  <c r="BBC27" i="5"/>
  <c r="BBD27" i="5"/>
  <c r="BBE27" i="5"/>
  <c r="BBF27" i="5"/>
  <c r="BBG27" i="5"/>
  <c r="BBH27" i="5"/>
  <c r="BBI27" i="5"/>
  <c r="BBJ27" i="5"/>
  <c r="BBK27" i="5"/>
  <c r="BBL27" i="5"/>
  <c r="BBM27" i="5"/>
  <c r="BBN27" i="5"/>
  <c r="BBO27" i="5"/>
  <c r="BBP27" i="5"/>
  <c r="BBQ27" i="5"/>
  <c r="BBR27" i="5"/>
  <c r="BBS27" i="5"/>
  <c r="BBT27" i="5"/>
  <c r="BBU27" i="5"/>
  <c r="BBV27" i="5"/>
  <c r="BBW27" i="5"/>
  <c r="BBX27" i="5"/>
  <c r="BBY27" i="5"/>
  <c r="BBZ27" i="5"/>
  <c r="BCA27" i="5"/>
  <c r="BCB27" i="5"/>
  <c r="BCC27" i="5"/>
  <c r="BCD27" i="5"/>
  <c r="BCE27" i="5"/>
  <c r="BCF27" i="5"/>
  <c r="BCG27" i="5"/>
  <c r="BCH27" i="5"/>
  <c r="BCI27" i="5"/>
  <c r="BCJ27" i="5"/>
  <c r="BCK27" i="5"/>
  <c r="BCL27" i="5"/>
  <c r="BCM27" i="5"/>
  <c r="BCN27" i="5"/>
  <c r="BCO27" i="5"/>
  <c r="BCP27" i="5"/>
  <c r="BCQ27" i="5"/>
  <c r="BCR27" i="5"/>
  <c r="BCS27" i="5"/>
  <c r="BCT27" i="5"/>
  <c r="BCU27" i="5"/>
  <c r="BCV27" i="5"/>
  <c r="BCW27" i="5"/>
  <c r="BCX27" i="5"/>
  <c r="BCY27" i="5"/>
  <c r="BCZ27" i="5"/>
  <c r="BDA27" i="5"/>
  <c r="BDB27" i="5"/>
  <c r="BDC27" i="5"/>
  <c r="BDD27" i="5"/>
  <c r="BDE27" i="5"/>
  <c r="BDF27" i="5"/>
  <c r="BDG27" i="5"/>
  <c r="BDH27" i="5"/>
  <c r="BDI27" i="5"/>
  <c r="BDJ27" i="5"/>
  <c r="BDK27" i="5"/>
  <c r="BDL27" i="5"/>
  <c r="BDM27" i="5"/>
  <c r="BDN27" i="5"/>
  <c r="BDO27" i="5"/>
  <c r="BDP27" i="5"/>
  <c r="BDQ27" i="5"/>
  <c r="BDR27" i="5"/>
  <c r="BDS27" i="5"/>
  <c r="BDT27" i="5"/>
  <c r="BDU27" i="5"/>
  <c r="BDV27" i="5"/>
  <c r="BDW27" i="5"/>
  <c r="BDX27" i="5"/>
  <c r="BDY27" i="5"/>
  <c r="BDZ27" i="5"/>
  <c r="BEA27" i="5"/>
  <c r="BEB27" i="5"/>
  <c r="BEC27" i="5"/>
  <c r="BED27" i="5"/>
  <c r="BEE27" i="5"/>
  <c r="BEF27" i="5"/>
  <c r="BEG27" i="5"/>
  <c r="BEH27" i="5"/>
  <c r="BEI27" i="5"/>
  <c r="BEJ27" i="5"/>
  <c r="BEK27" i="5"/>
  <c r="BEL27" i="5"/>
  <c r="BEM27" i="5"/>
  <c r="BEN27" i="5"/>
  <c r="BEO27" i="5"/>
  <c r="BEP27" i="5"/>
  <c r="BEQ27" i="5"/>
  <c r="BER27" i="5"/>
  <c r="BES27" i="5"/>
  <c r="BET27" i="5"/>
  <c r="BEU27" i="5"/>
  <c r="BEV27" i="5"/>
  <c r="BEW27" i="5"/>
  <c r="BEX27" i="5"/>
  <c r="BEY27" i="5"/>
  <c r="BEZ27" i="5"/>
  <c r="BFA27" i="5"/>
  <c r="BFB27" i="5"/>
  <c r="BFC27" i="5"/>
  <c r="BFD27" i="5"/>
  <c r="BFE27" i="5"/>
  <c r="BFF27" i="5"/>
  <c r="BFG27" i="5"/>
  <c r="BFH27" i="5"/>
  <c r="BFI27" i="5"/>
  <c r="BFJ27" i="5"/>
  <c r="BFK27" i="5"/>
  <c r="BFL27" i="5"/>
  <c r="BFM27" i="5"/>
  <c r="BFN27" i="5"/>
  <c r="BFO27" i="5"/>
  <c r="BFP27" i="5"/>
  <c r="BFQ27" i="5"/>
  <c r="BFR27" i="5"/>
  <c r="BFS27" i="5"/>
  <c r="BFT27" i="5"/>
  <c r="BFU27" i="5"/>
  <c r="BFV27" i="5"/>
  <c r="BFW27" i="5"/>
  <c r="BFX27" i="5"/>
  <c r="BFY27" i="5"/>
  <c r="BFZ27" i="5"/>
  <c r="BGA27" i="5"/>
  <c r="BGB27" i="5"/>
  <c r="BGC27" i="5"/>
  <c r="BGD27" i="5"/>
  <c r="BGE27" i="5"/>
  <c r="BGF27" i="5"/>
  <c r="BGG27" i="5"/>
  <c r="BGH27" i="5"/>
  <c r="BGI27" i="5"/>
  <c r="BGJ27" i="5"/>
  <c r="BGK27" i="5"/>
  <c r="BGL27" i="5"/>
  <c r="BGM27" i="5"/>
  <c r="BGN27" i="5"/>
  <c r="BGO27" i="5"/>
  <c r="BGP27" i="5"/>
  <c r="BGQ27" i="5"/>
  <c r="BGR27" i="5"/>
  <c r="BGS27" i="5"/>
  <c r="BGT27" i="5"/>
  <c r="BGU27" i="5"/>
  <c r="BGV27" i="5"/>
  <c r="BGW27" i="5"/>
  <c r="BGX27" i="5"/>
  <c r="BGY27" i="5"/>
  <c r="BGZ27" i="5"/>
  <c r="BHA27" i="5"/>
  <c r="BHB27" i="5"/>
  <c r="BHC27" i="5"/>
  <c r="BHD27" i="5"/>
  <c r="BHE27" i="5"/>
  <c r="BHF27" i="5"/>
  <c r="BHG27" i="5"/>
  <c r="BHH27" i="5"/>
  <c r="BHI27" i="5"/>
  <c r="BHJ27" i="5"/>
  <c r="BHK27" i="5"/>
  <c r="BHL27" i="5"/>
  <c r="BHM27" i="5"/>
  <c r="BHN27" i="5"/>
  <c r="BHO27" i="5"/>
  <c r="BHP27" i="5"/>
  <c r="BHQ27" i="5"/>
  <c r="BHR27" i="5"/>
  <c r="BHS27" i="5"/>
  <c r="BHT27" i="5"/>
  <c r="BHU27" i="5"/>
  <c r="BHV27" i="5"/>
  <c r="BHW27" i="5"/>
  <c r="BHX27" i="5"/>
  <c r="BHY27" i="5"/>
  <c r="BHZ27" i="5"/>
  <c r="BIA27" i="5"/>
  <c r="BIB27" i="5"/>
  <c r="BIC27" i="5"/>
  <c r="BID27" i="5"/>
  <c r="BIE27" i="5"/>
  <c r="BIF27" i="5"/>
  <c r="BIG27" i="5"/>
  <c r="BIH27" i="5"/>
  <c r="BII27" i="5"/>
  <c r="BIJ27" i="5"/>
  <c r="BIK27" i="5"/>
  <c r="BIL27" i="5"/>
  <c r="BIM27" i="5"/>
  <c r="BIN27" i="5"/>
  <c r="BIO27" i="5"/>
  <c r="BIP27" i="5"/>
  <c r="BIQ27" i="5"/>
  <c r="BIR27" i="5"/>
  <c r="BIS27" i="5"/>
  <c r="BIT27" i="5"/>
  <c r="BIU27" i="5"/>
  <c r="BIV27" i="5"/>
  <c r="BIW27" i="5"/>
  <c r="BIX27" i="5"/>
  <c r="BIY27" i="5"/>
  <c r="BIZ27" i="5"/>
  <c r="BJA27" i="5"/>
  <c r="BJB27" i="5"/>
  <c r="BJC27" i="5"/>
  <c r="BJD27" i="5"/>
  <c r="BJE27" i="5"/>
  <c r="BJF27" i="5"/>
  <c r="BJG27" i="5"/>
  <c r="BJH27" i="5"/>
  <c r="BJI27" i="5"/>
  <c r="BJJ27" i="5"/>
  <c r="BJK27" i="5"/>
  <c r="BJL27" i="5"/>
  <c r="BJM27" i="5"/>
  <c r="BJN27" i="5"/>
  <c r="BJO27" i="5"/>
  <c r="BJP27" i="5"/>
  <c r="BJQ27" i="5"/>
  <c r="BJR27" i="5"/>
  <c r="BJS27" i="5"/>
  <c r="BJT27" i="5"/>
  <c r="BJU27" i="5"/>
  <c r="BJV27" i="5"/>
  <c r="BJW27" i="5"/>
  <c r="BJX27" i="5"/>
  <c r="BJY27" i="5"/>
  <c r="BJZ27" i="5"/>
  <c r="BKA27" i="5"/>
  <c r="BKB27" i="5"/>
  <c r="BKC27" i="5"/>
  <c r="BKD27" i="5"/>
  <c r="BKE27" i="5"/>
  <c r="BKF27" i="5"/>
  <c r="BKG27" i="5"/>
  <c r="BKH27" i="5"/>
  <c r="BKI27" i="5"/>
  <c r="BKJ27" i="5"/>
  <c r="BKK27" i="5"/>
  <c r="BKL27" i="5"/>
  <c r="BKM27" i="5"/>
  <c r="BKN27" i="5"/>
  <c r="BKO27" i="5"/>
  <c r="BKP27" i="5"/>
  <c r="BKQ27" i="5"/>
  <c r="BKR27" i="5"/>
  <c r="BKS27" i="5"/>
  <c r="BKT27" i="5"/>
  <c r="BKU27" i="5"/>
  <c r="BKV27" i="5"/>
  <c r="BKW27" i="5"/>
  <c r="BKX27" i="5"/>
  <c r="BKY27" i="5"/>
  <c r="BKZ27" i="5"/>
  <c r="BLA27" i="5"/>
  <c r="BLB27" i="5"/>
  <c r="BLC27" i="5"/>
  <c r="BLD27" i="5"/>
  <c r="BLE27" i="5"/>
  <c r="BLF27" i="5"/>
  <c r="BLG27" i="5"/>
  <c r="BLH27" i="5"/>
  <c r="BLI27" i="5"/>
  <c r="BLJ27" i="5"/>
  <c r="BLK27" i="5"/>
  <c r="BLL27" i="5"/>
  <c r="BLM27" i="5"/>
  <c r="BLN27" i="5"/>
  <c r="BLO27" i="5"/>
  <c r="BLP27" i="5"/>
  <c r="BLQ27" i="5"/>
  <c r="BLR27" i="5"/>
  <c r="BLS27" i="5"/>
  <c r="BLT27" i="5"/>
  <c r="BLU27" i="5"/>
  <c r="BLV27" i="5"/>
  <c r="BLW27" i="5"/>
  <c r="BLX27" i="5"/>
  <c r="BLY27" i="5"/>
  <c r="BLZ27" i="5"/>
  <c r="BMA27" i="5"/>
  <c r="BMB27" i="5"/>
  <c r="BMC27" i="5"/>
  <c r="BMD27" i="5"/>
  <c r="BME27" i="5"/>
  <c r="BMF27" i="5"/>
  <c r="BMG27" i="5"/>
  <c r="BMH27" i="5"/>
  <c r="BMI27" i="5"/>
  <c r="BMJ27" i="5"/>
  <c r="BMK27" i="5"/>
  <c r="BML27" i="5"/>
  <c r="BMM27" i="5"/>
  <c r="BMN27" i="5"/>
  <c r="BMO27" i="5"/>
  <c r="BMP27" i="5"/>
  <c r="BMQ27" i="5"/>
  <c r="BMR27" i="5"/>
  <c r="BMS27" i="5"/>
  <c r="BMT27" i="5"/>
  <c r="BMU27" i="5"/>
  <c r="BMV27" i="5"/>
  <c r="BMW27" i="5"/>
  <c r="BMX27" i="5"/>
  <c r="BMY27" i="5"/>
  <c r="BMZ27" i="5"/>
  <c r="BNA27" i="5"/>
  <c r="BNB27" i="5"/>
  <c r="BNC27" i="5"/>
  <c r="BND27" i="5"/>
  <c r="BNE27" i="5"/>
  <c r="BNF27" i="5"/>
  <c r="BNG27" i="5"/>
  <c r="BNH27" i="5"/>
  <c r="BNI27" i="5"/>
  <c r="BNJ27" i="5"/>
  <c r="BNK27" i="5"/>
  <c r="BNL27" i="5"/>
  <c r="BNM27" i="5"/>
  <c r="BNN27" i="5"/>
  <c r="BNO27" i="5"/>
  <c r="BNP27" i="5"/>
  <c r="BNQ27" i="5"/>
  <c r="BNR27" i="5"/>
  <c r="BNS27" i="5"/>
  <c r="BNT27" i="5"/>
  <c r="BNU27" i="5"/>
  <c r="BNV27" i="5"/>
  <c r="BNW27" i="5"/>
  <c r="BNX27" i="5"/>
  <c r="BNY27" i="5"/>
  <c r="BNZ27" i="5"/>
  <c r="BOA27" i="5"/>
  <c r="BOB27" i="5"/>
  <c r="BOC27" i="5"/>
  <c r="BOD27" i="5"/>
  <c r="BOE27" i="5"/>
  <c r="BOF27" i="5"/>
  <c r="BOG27" i="5"/>
  <c r="BOH27" i="5"/>
  <c r="BOI27" i="5"/>
  <c r="BOJ27" i="5"/>
  <c r="BOK27" i="5"/>
  <c r="BOL27" i="5"/>
  <c r="BOM27" i="5"/>
  <c r="BON27" i="5"/>
  <c r="BOO27" i="5"/>
  <c r="BOP27" i="5"/>
  <c r="BOQ27" i="5"/>
  <c r="BOR27" i="5"/>
  <c r="BOS27" i="5"/>
  <c r="BOT27" i="5"/>
  <c r="BOU27" i="5"/>
  <c r="BOV27" i="5"/>
  <c r="BOW27" i="5"/>
  <c r="BOX27" i="5"/>
  <c r="BOY27" i="5"/>
  <c r="BOZ27" i="5"/>
  <c r="BPA27" i="5"/>
  <c r="BPB27" i="5"/>
  <c r="BPC27" i="5"/>
  <c r="BPD27" i="5"/>
  <c r="BPE27" i="5"/>
  <c r="BPF27" i="5"/>
  <c r="BPG27" i="5"/>
  <c r="BPH27" i="5"/>
  <c r="BPI27" i="5"/>
  <c r="BPJ27" i="5"/>
  <c r="BPK27" i="5"/>
  <c r="BPL27" i="5"/>
  <c r="BPM27" i="5"/>
  <c r="BPN27" i="5"/>
  <c r="BPO27" i="5"/>
  <c r="BPP27" i="5"/>
  <c r="BPQ27" i="5"/>
  <c r="BPR27" i="5"/>
  <c r="BPS27" i="5"/>
  <c r="BPT27" i="5"/>
  <c r="BPU27" i="5"/>
  <c r="BPV27" i="5"/>
  <c r="BPW27" i="5"/>
  <c r="BPX27" i="5"/>
  <c r="BPY27" i="5"/>
  <c r="BPZ27" i="5"/>
  <c r="BQA27" i="5"/>
  <c r="BQB27" i="5"/>
  <c r="BQC27" i="5"/>
  <c r="BQD27" i="5"/>
  <c r="BQE27" i="5"/>
  <c r="BQF27" i="5"/>
  <c r="BQG27" i="5"/>
  <c r="BQH27" i="5"/>
  <c r="BQI27" i="5"/>
  <c r="BQJ27" i="5"/>
  <c r="BQK27" i="5"/>
  <c r="BQL27" i="5"/>
  <c r="BQM27" i="5"/>
  <c r="BQN27" i="5"/>
  <c r="BQO27" i="5"/>
  <c r="BQP27" i="5"/>
  <c r="BQQ27" i="5"/>
  <c r="BQR27" i="5"/>
  <c r="BQS27" i="5"/>
  <c r="BQT27" i="5"/>
  <c r="BQU27" i="5"/>
  <c r="BQV27" i="5"/>
  <c r="BQW27" i="5"/>
  <c r="BQX27" i="5"/>
  <c r="BQY27" i="5"/>
  <c r="BQZ27" i="5"/>
  <c r="BRA27" i="5"/>
  <c r="BRB27" i="5"/>
  <c r="BRC27" i="5"/>
  <c r="BRD27" i="5"/>
  <c r="BRE27" i="5"/>
  <c r="BRF27" i="5"/>
  <c r="BRG27" i="5"/>
  <c r="BRH27" i="5"/>
  <c r="BRI27" i="5"/>
  <c r="BRJ27" i="5"/>
  <c r="BRK27" i="5"/>
  <c r="BRL27" i="5"/>
  <c r="BRM27" i="5"/>
  <c r="BRN27" i="5"/>
  <c r="BRO27" i="5"/>
  <c r="BRP27" i="5"/>
  <c r="BRQ27" i="5"/>
  <c r="BRR27" i="5"/>
  <c r="BRS27" i="5"/>
  <c r="BRT27" i="5"/>
  <c r="BRU27" i="5"/>
  <c r="BRV27" i="5"/>
  <c r="BRW27" i="5"/>
  <c r="BRX27" i="5"/>
  <c r="BRY27" i="5"/>
  <c r="BRZ27" i="5"/>
  <c r="BSA27" i="5"/>
  <c r="BSB27" i="5"/>
  <c r="BSC27" i="5"/>
  <c r="BSD27" i="5"/>
  <c r="BSE27" i="5"/>
  <c r="BSF27" i="5"/>
  <c r="BSG27" i="5"/>
  <c r="BSH27" i="5"/>
  <c r="BSI27" i="5"/>
  <c r="BSJ27" i="5"/>
  <c r="BSK27" i="5"/>
  <c r="BSL27" i="5"/>
  <c r="BSM27" i="5"/>
  <c r="BSN27" i="5"/>
  <c r="BSO27" i="5"/>
  <c r="BSP27" i="5"/>
  <c r="BSQ27" i="5"/>
  <c r="BSR27" i="5"/>
  <c r="BSS27" i="5"/>
  <c r="BST27" i="5"/>
  <c r="BSU27" i="5"/>
  <c r="BSV27" i="5"/>
  <c r="BSW27" i="5"/>
  <c r="BSX27" i="5"/>
  <c r="BSY27" i="5"/>
  <c r="BSZ27" i="5"/>
  <c r="BTA27" i="5"/>
  <c r="BTB27" i="5"/>
  <c r="BTC27" i="5"/>
  <c r="BTD27" i="5"/>
  <c r="BTE27" i="5"/>
  <c r="BTF27" i="5"/>
  <c r="BTG27" i="5"/>
  <c r="BTH27" i="5"/>
  <c r="BTI27" i="5"/>
  <c r="BTJ27" i="5"/>
  <c r="BTK27" i="5"/>
  <c r="BTL27" i="5"/>
  <c r="BTM27" i="5"/>
  <c r="BTN27" i="5"/>
  <c r="BTO27" i="5"/>
  <c r="BTP27" i="5"/>
  <c r="BTQ27" i="5"/>
  <c r="BTR27" i="5"/>
  <c r="BTS27" i="5"/>
  <c r="BTT27" i="5"/>
  <c r="BTU27" i="5"/>
  <c r="BTV27" i="5"/>
  <c r="BTW27" i="5"/>
  <c r="BTX27" i="5"/>
  <c r="BTY27" i="5"/>
  <c r="BTZ27" i="5"/>
  <c r="BUA27" i="5"/>
  <c r="BUB27" i="5"/>
  <c r="BUC27" i="5"/>
  <c r="BUD27" i="5"/>
  <c r="BUE27" i="5"/>
  <c r="BUF27" i="5"/>
  <c r="BUG27" i="5"/>
  <c r="BUH27" i="5"/>
  <c r="BUI27" i="5"/>
  <c r="BUJ27" i="5"/>
  <c r="BUK27" i="5"/>
  <c r="BUL27" i="5"/>
  <c r="BUM27" i="5"/>
  <c r="BUN27" i="5"/>
  <c r="BUO27" i="5"/>
  <c r="BUP27" i="5"/>
  <c r="BUQ27" i="5"/>
  <c r="BUR27" i="5"/>
  <c r="BUS27" i="5"/>
  <c r="BUT27" i="5"/>
  <c r="BUU27" i="5"/>
  <c r="BUV27" i="5"/>
  <c r="BUW27" i="5"/>
  <c r="BUX27" i="5"/>
  <c r="BUY27" i="5"/>
  <c r="BUZ27" i="5"/>
  <c r="BVA27" i="5"/>
  <c r="BVB27" i="5"/>
  <c r="BVC27" i="5"/>
  <c r="BVD27" i="5"/>
  <c r="BVE27" i="5"/>
  <c r="BVF27" i="5"/>
  <c r="BVG27" i="5"/>
  <c r="BVH27" i="5"/>
  <c r="BVI27" i="5"/>
  <c r="BVJ27" i="5"/>
  <c r="BVK27" i="5"/>
  <c r="BVL27" i="5"/>
  <c r="BVM27" i="5"/>
  <c r="BVN27" i="5"/>
  <c r="BVO27" i="5"/>
  <c r="BVP27" i="5"/>
  <c r="BVQ27" i="5"/>
  <c r="BVR27" i="5"/>
  <c r="BVS27" i="5"/>
  <c r="BVT27" i="5"/>
  <c r="BVU27" i="5"/>
  <c r="BVV27" i="5"/>
  <c r="BVW27" i="5"/>
  <c r="BVX27" i="5"/>
  <c r="BVY27" i="5"/>
  <c r="BVZ27" i="5"/>
  <c r="BWA27" i="5"/>
  <c r="BWB27" i="5"/>
  <c r="BWC27" i="5"/>
  <c r="BWD27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ND28" i="5"/>
  <c r="NE28" i="5"/>
  <c r="NF28" i="5"/>
  <c r="NG28" i="5"/>
  <c r="NH28" i="5"/>
  <c r="NI28" i="5"/>
  <c r="NJ28" i="5"/>
  <c r="NK28" i="5"/>
  <c r="NL28" i="5"/>
  <c r="NM28" i="5"/>
  <c r="NN28" i="5"/>
  <c r="NO28" i="5"/>
  <c r="NP28" i="5"/>
  <c r="NQ28" i="5"/>
  <c r="NR28" i="5"/>
  <c r="NS28" i="5"/>
  <c r="NT28" i="5"/>
  <c r="NU28" i="5"/>
  <c r="NV28" i="5"/>
  <c r="NW28" i="5"/>
  <c r="NX28" i="5"/>
  <c r="NY28" i="5"/>
  <c r="NZ28" i="5"/>
  <c r="OA28" i="5"/>
  <c r="OB28" i="5"/>
  <c r="OC28" i="5"/>
  <c r="OD28" i="5"/>
  <c r="OE28" i="5"/>
  <c r="OF28" i="5"/>
  <c r="OG28" i="5"/>
  <c r="OH28" i="5"/>
  <c r="OI28" i="5"/>
  <c r="OJ28" i="5"/>
  <c r="OK28" i="5"/>
  <c r="OL28" i="5"/>
  <c r="OM28" i="5"/>
  <c r="ON28" i="5"/>
  <c r="OO28" i="5"/>
  <c r="OP28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PO28" i="5"/>
  <c r="PP28" i="5"/>
  <c r="PQ28" i="5"/>
  <c r="PR28" i="5"/>
  <c r="PS28" i="5"/>
  <c r="PT28" i="5"/>
  <c r="PU28" i="5"/>
  <c r="PV28" i="5"/>
  <c r="PW28" i="5"/>
  <c r="PX28" i="5"/>
  <c r="PY28" i="5"/>
  <c r="PZ28" i="5"/>
  <c r="QA28" i="5"/>
  <c r="QB28" i="5"/>
  <c r="QC28" i="5"/>
  <c r="QD28" i="5"/>
  <c r="QE28" i="5"/>
  <c r="QF28" i="5"/>
  <c r="QG28" i="5"/>
  <c r="QH28" i="5"/>
  <c r="QI28" i="5"/>
  <c r="QJ28" i="5"/>
  <c r="QK28" i="5"/>
  <c r="QL28" i="5"/>
  <c r="QM28" i="5"/>
  <c r="QN28" i="5"/>
  <c r="QO28" i="5"/>
  <c r="QP28" i="5"/>
  <c r="QQ28" i="5"/>
  <c r="QR28" i="5"/>
  <c r="QS28" i="5"/>
  <c r="QT28" i="5"/>
  <c r="QU28" i="5"/>
  <c r="QV28" i="5"/>
  <c r="QW28" i="5"/>
  <c r="QX28" i="5"/>
  <c r="QY28" i="5"/>
  <c r="QZ28" i="5"/>
  <c r="RA28" i="5"/>
  <c r="RB28" i="5"/>
  <c r="RC28" i="5"/>
  <c r="RD28" i="5"/>
  <c r="RE28" i="5"/>
  <c r="RF28" i="5"/>
  <c r="RG28" i="5"/>
  <c r="RH28" i="5"/>
  <c r="RI28" i="5"/>
  <c r="RJ28" i="5"/>
  <c r="RK28" i="5"/>
  <c r="RL28" i="5"/>
  <c r="RM28" i="5"/>
  <c r="RN28" i="5"/>
  <c r="RO28" i="5"/>
  <c r="RP28" i="5"/>
  <c r="RQ28" i="5"/>
  <c r="RR28" i="5"/>
  <c r="RS28" i="5"/>
  <c r="RT28" i="5"/>
  <c r="RU28" i="5"/>
  <c r="RV28" i="5"/>
  <c r="RW28" i="5"/>
  <c r="RX28" i="5"/>
  <c r="RY28" i="5"/>
  <c r="RZ28" i="5"/>
  <c r="SA28" i="5"/>
  <c r="SB28" i="5"/>
  <c r="SC28" i="5"/>
  <c r="SD28" i="5"/>
  <c r="SE28" i="5"/>
  <c r="SF28" i="5"/>
  <c r="SG28" i="5"/>
  <c r="SH28" i="5"/>
  <c r="SI28" i="5"/>
  <c r="SJ28" i="5"/>
  <c r="SK28" i="5"/>
  <c r="SL28" i="5"/>
  <c r="SM28" i="5"/>
  <c r="SN28" i="5"/>
  <c r="SO28" i="5"/>
  <c r="SP28" i="5"/>
  <c r="SQ28" i="5"/>
  <c r="SR28" i="5"/>
  <c r="SS28" i="5"/>
  <c r="ST28" i="5"/>
  <c r="SU28" i="5"/>
  <c r="SV28" i="5"/>
  <c r="SW28" i="5"/>
  <c r="SX28" i="5"/>
  <c r="SY28" i="5"/>
  <c r="SZ28" i="5"/>
  <c r="TA28" i="5"/>
  <c r="TB28" i="5"/>
  <c r="TC28" i="5"/>
  <c r="TD28" i="5"/>
  <c r="TE28" i="5"/>
  <c r="TF28" i="5"/>
  <c r="TG28" i="5"/>
  <c r="TH28" i="5"/>
  <c r="TI28" i="5"/>
  <c r="TJ28" i="5"/>
  <c r="TK28" i="5"/>
  <c r="TL28" i="5"/>
  <c r="TM28" i="5"/>
  <c r="TN28" i="5"/>
  <c r="TO28" i="5"/>
  <c r="TP28" i="5"/>
  <c r="TQ28" i="5"/>
  <c r="TR28" i="5"/>
  <c r="TS28" i="5"/>
  <c r="TT28" i="5"/>
  <c r="TU28" i="5"/>
  <c r="TV28" i="5"/>
  <c r="TW28" i="5"/>
  <c r="TX28" i="5"/>
  <c r="TY28" i="5"/>
  <c r="TZ28" i="5"/>
  <c r="UA28" i="5"/>
  <c r="UB28" i="5"/>
  <c r="UC28" i="5"/>
  <c r="UD28" i="5"/>
  <c r="UE28" i="5"/>
  <c r="UF28" i="5"/>
  <c r="UG28" i="5"/>
  <c r="UH28" i="5"/>
  <c r="UI28" i="5"/>
  <c r="UJ28" i="5"/>
  <c r="UK28" i="5"/>
  <c r="UL28" i="5"/>
  <c r="UM28" i="5"/>
  <c r="UN28" i="5"/>
  <c r="UO28" i="5"/>
  <c r="UP28" i="5"/>
  <c r="UQ28" i="5"/>
  <c r="UR28" i="5"/>
  <c r="US28" i="5"/>
  <c r="UT28" i="5"/>
  <c r="UU28" i="5"/>
  <c r="UV28" i="5"/>
  <c r="UW28" i="5"/>
  <c r="UX28" i="5"/>
  <c r="UY28" i="5"/>
  <c r="UZ28" i="5"/>
  <c r="VA28" i="5"/>
  <c r="VB28" i="5"/>
  <c r="VC28" i="5"/>
  <c r="VD28" i="5"/>
  <c r="VE28" i="5"/>
  <c r="VF28" i="5"/>
  <c r="VG28" i="5"/>
  <c r="VH28" i="5"/>
  <c r="VI28" i="5"/>
  <c r="VJ28" i="5"/>
  <c r="VK28" i="5"/>
  <c r="VL28" i="5"/>
  <c r="VM28" i="5"/>
  <c r="VN28" i="5"/>
  <c r="VO28" i="5"/>
  <c r="VP28" i="5"/>
  <c r="VQ28" i="5"/>
  <c r="VR28" i="5"/>
  <c r="VS28" i="5"/>
  <c r="VT28" i="5"/>
  <c r="VU28" i="5"/>
  <c r="VV28" i="5"/>
  <c r="VW28" i="5"/>
  <c r="VX28" i="5"/>
  <c r="VY28" i="5"/>
  <c r="VZ28" i="5"/>
  <c r="WA28" i="5"/>
  <c r="WB28" i="5"/>
  <c r="WC28" i="5"/>
  <c r="WD28" i="5"/>
  <c r="WE28" i="5"/>
  <c r="WF28" i="5"/>
  <c r="WG28" i="5"/>
  <c r="WH28" i="5"/>
  <c r="WI28" i="5"/>
  <c r="WJ28" i="5"/>
  <c r="WK28" i="5"/>
  <c r="WL28" i="5"/>
  <c r="WM28" i="5"/>
  <c r="WN28" i="5"/>
  <c r="WO28" i="5"/>
  <c r="WP28" i="5"/>
  <c r="WQ28" i="5"/>
  <c r="WR28" i="5"/>
  <c r="WS28" i="5"/>
  <c r="WT28" i="5"/>
  <c r="WU28" i="5"/>
  <c r="WV28" i="5"/>
  <c r="WW28" i="5"/>
  <c r="WX28" i="5"/>
  <c r="WY28" i="5"/>
  <c r="WZ28" i="5"/>
  <c r="XA28" i="5"/>
  <c r="XB28" i="5"/>
  <c r="XC28" i="5"/>
  <c r="XD28" i="5"/>
  <c r="XE28" i="5"/>
  <c r="XF28" i="5"/>
  <c r="XG28" i="5"/>
  <c r="XH28" i="5"/>
  <c r="XI28" i="5"/>
  <c r="XJ28" i="5"/>
  <c r="XK28" i="5"/>
  <c r="XL28" i="5"/>
  <c r="XM28" i="5"/>
  <c r="XN28" i="5"/>
  <c r="XO28" i="5"/>
  <c r="XP28" i="5"/>
  <c r="XQ28" i="5"/>
  <c r="XR28" i="5"/>
  <c r="XS28" i="5"/>
  <c r="XT28" i="5"/>
  <c r="XU28" i="5"/>
  <c r="XV28" i="5"/>
  <c r="XW28" i="5"/>
  <c r="XX28" i="5"/>
  <c r="XY28" i="5"/>
  <c r="XZ28" i="5"/>
  <c r="YA28" i="5"/>
  <c r="YB28" i="5"/>
  <c r="YC28" i="5"/>
  <c r="YD28" i="5"/>
  <c r="YE28" i="5"/>
  <c r="YF28" i="5"/>
  <c r="YG28" i="5"/>
  <c r="YH28" i="5"/>
  <c r="YI28" i="5"/>
  <c r="YJ28" i="5"/>
  <c r="YK28" i="5"/>
  <c r="YL28" i="5"/>
  <c r="YM28" i="5"/>
  <c r="YN28" i="5"/>
  <c r="YO28" i="5"/>
  <c r="YP28" i="5"/>
  <c r="YQ28" i="5"/>
  <c r="YR28" i="5"/>
  <c r="YS28" i="5"/>
  <c r="YT28" i="5"/>
  <c r="YU28" i="5"/>
  <c r="YV28" i="5"/>
  <c r="YW28" i="5"/>
  <c r="YX28" i="5"/>
  <c r="YY28" i="5"/>
  <c r="YZ28" i="5"/>
  <c r="ZA28" i="5"/>
  <c r="ZB28" i="5"/>
  <c r="ZC28" i="5"/>
  <c r="ZD28" i="5"/>
  <c r="ZE28" i="5"/>
  <c r="ZF28" i="5"/>
  <c r="ZG28" i="5"/>
  <c r="ZH28" i="5"/>
  <c r="ZI28" i="5"/>
  <c r="ZJ28" i="5"/>
  <c r="ZK28" i="5"/>
  <c r="ZL28" i="5"/>
  <c r="ZM28" i="5"/>
  <c r="ZN28" i="5"/>
  <c r="ZO28" i="5"/>
  <c r="ZP28" i="5"/>
  <c r="ZQ28" i="5"/>
  <c r="ZR28" i="5"/>
  <c r="ZS28" i="5"/>
  <c r="ZT28" i="5"/>
  <c r="ZU28" i="5"/>
  <c r="ZV28" i="5"/>
  <c r="ZW28" i="5"/>
  <c r="ZX28" i="5"/>
  <c r="ZY28" i="5"/>
  <c r="ZZ28" i="5"/>
  <c r="AAA28" i="5"/>
  <c r="AAB28" i="5"/>
  <c r="AAC28" i="5"/>
  <c r="AAD28" i="5"/>
  <c r="AAE28" i="5"/>
  <c r="AAF28" i="5"/>
  <c r="AAG28" i="5"/>
  <c r="AAH28" i="5"/>
  <c r="AAI28" i="5"/>
  <c r="AAJ28" i="5"/>
  <c r="AAK28" i="5"/>
  <c r="AAL28" i="5"/>
  <c r="AAM28" i="5"/>
  <c r="AAN28" i="5"/>
  <c r="AAO28" i="5"/>
  <c r="AAP28" i="5"/>
  <c r="AAQ28" i="5"/>
  <c r="AAR28" i="5"/>
  <c r="AAS28" i="5"/>
  <c r="AAT28" i="5"/>
  <c r="AAU28" i="5"/>
  <c r="AAV28" i="5"/>
  <c r="AAW28" i="5"/>
  <c r="AAX28" i="5"/>
  <c r="AAY28" i="5"/>
  <c r="AAZ28" i="5"/>
  <c r="ABA28" i="5"/>
  <c r="ABB28" i="5"/>
  <c r="ABC28" i="5"/>
  <c r="ABD28" i="5"/>
  <c r="ABE28" i="5"/>
  <c r="ABF28" i="5"/>
  <c r="ABG28" i="5"/>
  <c r="ABH28" i="5"/>
  <c r="ABI28" i="5"/>
  <c r="ABJ28" i="5"/>
  <c r="ABK28" i="5"/>
  <c r="ABL28" i="5"/>
  <c r="ABM28" i="5"/>
  <c r="ABN28" i="5"/>
  <c r="ABO28" i="5"/>
  <c r="ABP28" i="5"/>
  <c r="ABQ28" i="5"/>
  <c r="ABR28" i="5"/>
  <c r="ABS28" i="5"/>
  <c r="ABT28" i="5"/>
  <c r="ABU28" i="5"/>
  <c r="ABV28" i="5"/>
  <c r="ABW28" i="5"/>
  <c r="ABX28" i="5"/>
  <c r="ABY28" i="5"/>
  <c r="ABZ28" i="5"/>
  <c r="ACA28" i="5"/>
  <c r="ACB28" i="5"/>
  <c r="ACC28" i="5"/>
  <c r="ACD28" i="5"/>
  <c r="ACE28" i="5"/>
  <c r="ACF28" i="5"/>
  <c r="ACG28" i="5"/>
  <c r="ACH28" i="5"/>
  <c r="ACI28" i="5"/>
  <c r="ACJ28" i="5"/>
  <c r="ACK28" i="5"/>
  <c r="ACL28" i="5"/>
  <c r="ACM28" i="5"/>
  <c r="ACN28" i="5"/>
  <c r="ACO28" i="5"/>
  <c r="ACP28" i="5"/>
  <c r="ACQ28" i="5"/>
  <c r="ACR28" i="5"/>
  <c r="ACS28" i="5"/>
  <c r="ACT28" i="5"/>
  <c r="ACU28" i="5"/>
  <c r="ACV28" i="5"/>
  <c r="ACW28" i="5"/>
  <c r="ACX28" i="5"/>
  <c r="ACY28" i="5"/>
  <c r="ACZ28" i="5"/>
  <c r="ADA28" i="5"/>
  <c r="ADB28" i="5"/>
  <c r="ADC28" i="5"/>
  <c r="ADD28" i="5"/>
  <c r="ADE28" i="5"/>
  <c r="ADF28" i="5"/>
  <c r="ADG28" i="5"/>
  <c r="ADH28" i="5"/>
  <c r="ADI28" i="5"/>
  <c r="ADJ28" i="5"/>
  <c r="ADK28" i="5"/>
  <c r="ADL28" i="5"/>
  <c r="ADM28" i="5"/>
  <c r="ADN28" i="5"/>
  <c r="ADO28" i="5"/>
  <c r="ADP28" i="5"/>
  <c r="ADQ28" i="5"/>
  <c r="ADR28" i="5"/>
  <c r="ADS28" i="5"/>
  <c r="ADT28" i="5"/>
  <c r="ADU28" i="5"/>
  <c r="ADV28" i="5"/>
  <c r="ADW28" i="5"/>
  <c r="ADX28" i="5"/>
  <c r="ADY28" i="5"/>
  <c r="ADZ28" i="5"/>
  <c r="AEA28" i="5"/>
  <c r="AEB28" i="5"/>
  <c r="AEC28" i="5"/>
  <c r="AED28" i="5"/>
  <c r="AEE28" i="5"/>
  <c r="AEF28" i="5"/>
  <c r="AEG28" i="5"/>
  <c r="AEH28" i="5"/>
  <c r="AEI28" i="5"/>
  <c r="AEJ28" i="5"/>
  <c r="AEK28" i="5"/>
  <c r="AEL28" i="5"/>
  <c r="AEM28" i="5"/>
  <c r="AEN28" i="5"/>
  <c r="AEO28" i="5"/>
  <c r="AEP28" i="5"/>
  <c r="AEQ28" i="5"/>
  <c r="AER28" i="5"/>
  <c r="AES28" i="5"/>
  <c r="AET28" i="5"/>
  <c r="AEU28" i="5"/>
  <c r="AEV28" i="5"/>
  <c r="AEW28" i="5"/>
  <c r="AEX28" i="5"/>
  <c r="AEY28" i="5"/>
  <c r="AEZ28" i="5"/>
  <c r="AFA28" i="5"/>
  <c r="AFB28" i="5"/>
  <c r="AFC28" i="5"/>
  <c r="AFD28" i="5"/>
  <c r="AFE28" i="5"/>
  <c r="AFF28" i="5"/>
  <c r="AFG28" i="5"/>
  <c r="AFH28" i="5"/>
  <c r="AFI28" i="5"/>
  <c r="AFJ28" i="5"/>
  <c r="AFK28" i="5"/>
  <c r="AFL28" i="5"/>
  <c r="AFM28" i="5"/>
  <c r="AFN28" i="5"/>
  <c r="AFO28" i="5"/>
  <c r="AFP28" i="5"/>
  <c r="AFQ28" i="5"/>
  <c r="AFR28" i="5"/>
  <c r="AFS28" i="5"/>
  <c r="AFT28" i="5"/>
  <c r="AFU28" i="5"/>
  <c r="AFV28" i="5"/>
  <c r="AFW28" i="5"/>
  <c r="AFX28" i="5"/>
  <c r="AFY28" i="5"/>
  <c r="AFZ28" i="5"/>
  <c r="AGA28" i="5"/>
  <c r="AGB28" i="5"/>
  <c r="AGC28" i="5"/>
  <c r="AGD28" i="5"/>
  <c r="AGE28" i="5"/>
  <c r="AGF28" i="5"/>
  <c r="AGG28" i="5"/>
  <c r="AGH28" i="5"/>
  <c r="AGI28" i="5"/>
  <c r="AGJ28" i="5"/>
  <c r="AGK28" i="5"/>
  <c r="AGL28" i="5"/>
  <c r="AGM28" i="5"/>
  <c r="AGN28" i="5"/>
  <c r="AGO28" i="5"/>
  <c r="AGP28" i="5"/>
  <c r="AGQ28" i="5"/>
  <c r="AGR28" i="5"/>
  <c r="AGS28" i="5"/>
  <c r="AGT28" i="5"/>
  <c r="AGU28" i="5"/>
  <c r="AGV28" i="5"/>
  <c r="AGW28" i="5"/>
  <c r="AGX28" i="5"/>
  <c r="AGY28" i="5"/>
  <c r="AGZ28" i="5"/>
  <c r="AHA28" i="5"/>
  <c r="AHB28" i="5"/>
  <c r="AHC28" i="5"/>
  <c r="AHD28" i="5"/>
  <c r="AHE28" i="5"/>
  <c r="AHF28" i="5"/>
  <c r="AHG28" i="5"/>
  <c r="AHH28" i="5"/>
  <c r="AHI28" i="5"/>
  <c r="AHJ28" i="5"/>
  <c r="AHK28" i="5"/>
  <c r="AHL28" i="5"/>
  <c r="AHM28" i="5"/>
  <c r="AHN28" i="5"/>
  <c r="AHO28" i="5"/>
  <c r="AHP28" i="5"/>
  <c r="AHQ28" i="5"/>
  <c r="AHR28" i="5"/>
  <c r="AHS28" i="5"/>
  <c r="AHT28" i="5"/>
  <c r="AHU28" i="5"/>
  <c r="AHV28" i="5"/>
  <c r="AHW28" i="5"/>
  <c r="AHX28" i="5"/>
  <c r="AHY28" i="5"/>
  <c r="AHZ28" i="5"/>
  <c r="AIA28" i="5"/>
  <c r="AIB28" i="5"/>
  <c r="AIC28" i="5"/>
  <c r="AID28" i="5"/>
  <c r="AIE28" i="5"/>
  <c r="AIF28" i="5"/>
  <c r="AIG28" i="5"/>
  <c r="AIH28" i="5"/>
  <c r="AII28" i="5"/>
  <c r="AIJ28" i="5"/>
  <c r="AIK28" i="5"/>
  <c r="AIL28" i="5"/>
  <c r="AIM28" i="5"/>
  <c r="AIN28" i="5"/>
  <c r="AIO28" i="5"/>
  <c r="AIP28" i="5"/>
  <c r="AIQ28" i="5"/>
  <c r="AIR28" i="5"/>
  <c r="AIS28" i="5"/>
  <c r="AIT28" i="5"/>
  <c r="AIU28" i="5"/>
  <c r="AIV28" i="5"/>
  <c r="AIW28" i="5"/>
  <c r="AIX28" i="5"/>
  <c r="AIY28" i="5"/>
  <c r="AIZ28" i="5"/>
  <c r="AJA28" i="5"/>
  <c r="AJB28" i="5"/>
  <c r="AJC28" i="5"/>
  <c r="AJD28" i="5"/>
  <c r="AJE28" i="5"/>
  <c r="AJF28" i="5"/>
  <c r="AJG28" i="5"/>
  <c r="AJH28" i="5"/>
  <c r="AJI28" i="5"/>
  <c r="AJJ28" i="5"/>
  <c r="AJK28" i="5"/>
  <c r="AJL28" i="5"/>
  <c r="AJM28" i="5"/>
  <c r="AJN28" i="5"/>
  <c r="AJO28" i="5"/>
  <c r="AJP28" i="5"/>
  <c r="AJQ28" i="5"/>
  <c r="AJR28" i="5"/>
  <c r="AJS28" i="5"/>
  <c r="AJT28" i="5"/>
  <c r="AJU28" i="5"/>
  <c r="AJV28" i="5"/>
  <c r="AJW28" i="5"/>
  <c r="AJX28" i="5"/>
  <c r="AJY28" i="5"/>
  <c r="AJZ28" i="5"/>
  <c r="AKA28" i="5"/>
  <c r="AKB28" i="5"/>
  <c r="AKC28" i="5"/>
  <c r="AKD28" i="5"/>
  <c r="AKE28" i="5"/>
  <c r="AKF28" i="5"/>
  <c r="AKG28" i="5"/>
  <c r="AKH28" i="5"/>
  <c r="AKI28" i="5"/>
  <c r="AKJ28" i="5"/>
  <c r="AKK28" i="5"/>
  <c r="AKL28" i="5"/>
  <c r="AKM28" i="5"/>
  <c r="AKN28" i="5"/>
  <c r="AKO28" i="5"/>
  <c r="AKP28" i="5"/>
  <c r="AKQ28" i="5"/>
  <c r="AKR28" i="5"/>
  <c r="AKS28" i="5"/>
  <c r="AKT28" i="5"/>
  <c r="AKU28" i="5"/>
  <c r="AKV28" i="5"/>
  <c r="AKW28" i="5"/>
  <c r="AKX28" i="5"/>
  <c r="AKY28" i="5"/>
  <c r="AKZ28" i="5"/>
  <c r="ALA28" i="5"/>
  <c r="ALB28" i="5"/>
  <c r="ALC28" i="5"/>
  <c r="ALD28" i="5"/>
  <c r="ALE28" i="5"/>
  <c r="ALF28" i="5"/>
  <c r="ALG28" i="5"/>
  <c r="ALH28" i="5"/>
  <c r="ALI28" i="5"/>
  <c r="ALJ28" i="5"/>
  <c r="ALK28" i="5"/>
  <c r="ALL28" i="5"/>
  <c r="ALM28" i="5"/>
  <c r="ALN28" i="5"/>
  <c r="ALO28" i="5"/>
  <c r="ALP28" i="5"/>
  <c r="ALQ28" i="5"/>
  <c r="ALR28" i="5"/>
  <c r="ALS28" i="5"/>
  <c r="ALT28" i="5"/>
  <c r="ALU28" i="5"/>
  <c r="ALV28" i="5"/>
  <c r="ALW28" i="5"/>
  <c r="ALX28" i="5"/>
  <c r="ALY28" i="5"/>
  <c r="ALZ28" i="5"/>
  <c r="AMA28" i="5"/>
  <c r="AMB28" i="5"/>
  <c r="AMC28" i="5"/>
  <c r="AMD28" i="5"/>
  <c r="AME28" i="5"/>
  <c r="AMF28" i="5"/>
  <c r="AMG28" i="5"/>
  <c r="AMH28" i="5"/>
  <c r="AMI28" i="5"/>
  <c r="AMJ28" i="5"/>
  <c r="AMK28" i="5"/>
  <c r="AML28" i="5"/>
  <c r="AMM28" i="5"/>
  <c r="AMN28" i="5"/>
  <c r="AMO28" i="5"/>
  <c r="AMP28" i="5"/>
  <c r="AMQ28" i="5"/>
  <c r="AMR28" i="5"/>
  <c r="AMS28" i="5"/>
  <c r="AMT28" i="5"/>
  <c r="AMU28" i="5"/>
  <c r="AMV28" i="5"/>
  <c r="AMW28" i="5"/>
  <c r="AMX28" i="5"/>
  <c r="AMY28" i="5"/>
  <c r="AMZ28" i="5"/>
  <c r="ANA28" i="5"/>
  <c r="ANB28" i="5"/>
  <c r="ANC28" i="5"/>
  <c r="AND28" i="5"/>
  <c r="ANE28" i="5"/>
  <c r="ANF28" i="5"/>
  <c r="ANG28" i="5"/>
  <c r="ANH28" i="5"/>
  <c r="ANI28" i="5"/>
  <c r="ANJ28" i="5"/>
  <c r="ANK28" i="5"/>
  <c r="ANL28" i="5"/>
  <c r="ANM28" i="5"/>
  <c r="ANN28" i="5"/>
  <c r="ANO28" i="5"/>
  <c r="ANP28" i="5"/>
  <c r="ANQ28" i="5"/>
  <c r="ANR28" i="5"/>
  <c r="ANS28" i="5"/>
  <c r="ANT28" i="5"/>
  <c r="ANU28" i="5"/>
  <c r="ANV28" i="5"/>
  <c r="ANW28" i="5"/>
  <c r="ANX28" i="5"/>
  <c r="ANY28" i="5"/>
  <c r="ANZ28" i="5"/>
  <c r="AOA28" i="5"/>
  <c r="AOB28" i="5"/>
  <c r="AOC28" i="5"/>
  <c r="AOD28" i="5"/>
  <c r="AOE28" i="5"/>
  <c r="AOF28" i="5"/>
  <c r="AOG28" i="5"/>
  <c r="AOH28" i="5"/>
  <c r="AOI28" i="5"/>
  <c r="AOJ28" i="5"/>
  <c r="AOK28" i="5"/>
  <c r="AOL28" i="5"/>
  <c r="AOM28" i="5"/>
  <c r="AON28" i="5"/>
  <c r="AOO28" i="5"/>
  <c r="AOP28" i="5"/>
  <c r="AOQ28" i="5"/>
  <c r="AOR28" i="5"/>
  <c r="AOS28" i="5"/>
  <c r="AOT28" i="5"/>
  <c r="AOU28" i="5"/>
  <c r="AOV28" i="5"/>
  <c r="AOW28" i="5"/>
  <c r="AOX28" i="5"/>
  <c r="AOY28" i="5"/>
  <c r="AOZ28" i="5"/>
  <c r="APA28" i="5"/>
  <c r="APB28" i="5"/>
  <c r="APC28" i="5"/>
  <c r="APD28" i="5"/>
  <c r="APE28" i="5"/>
  <c r="APF28" i="5"/>
  <c r="APG28" i="5"/>
  <c r="APH28" i="5"/>
  <c r="API28" i="5"/>
  <c r="APJ28" i="5"/>
  <c r="APK28" i="5"/>
  <c r="APL28" i="5"/>
  <c r="APM28" i="5"/>
  <c r="APN28" i="5"/>
  <c r="APO28" i="5"/>
  <c r="APP28" i="5"/>
  <c r="APQ28" i="5"/>
  <c r="APR28" i="5"/>
  <c r="APS28" i="5"/>
  <c r="APT28" i="5"/>
  <c r="APU28" i="5"/>
  <c r="APV28" i="5"/>
  <c r="APW28" i="5"/>
  <c r="APX28" i="5"/>
  <c r="APY28" i="5"/>
  <c r="APZ28" i="5"/>
  <c r="AQA28" i="5"/>
  <c r="AQB28" i="5"/>
  <c r="AQC28" i="5"/>
  <c r="AQD28" i="5"/>
  <c r="AQE28" i="5"/>
  <c r="AQF28" i="5"/>
  <c r="AQG28" i="5"/>
  <c r="AQH28" i="5"/>
  <c r="AQI28" i="5"/>
  <c r="AQJ28" i="5"/>
  <c r="AQK28" i="5"/>
  <c r="AQL28" i="5"/>
  <c r="AQM28" i="5"/>
  <c r="AQN28" i="5"/>
  <c r="AQO28" i="5"/>
  <c r="AQP28" i="5"/>
  <c r="AQQ28" i="5"/>
  <c r="AQR28" i="5"/>
  <c r="AQS28" i="5"/>
  <c r="AQT28" i="5"/>
  <c r="AQU28" i="5"/>
  <c r="AQV28" i="5"/>
  <c r="AQW28" i="5"/>
  <c r="AQX28" i="5"/>
  <c r="AQY28" i="5"/>
  <c r="AQZ28" i="5"/>
  <c r="ARA28" i="5"/>
  <c r="ARB28" i="5"/>
  <c r="ARC28" i="5"/>
  <c r="ARD28" i="5"/>
  <c r="ARE28" i="5"/>
  <c r="ARF28" i="5"/>
  <c r="ARG28" i="5"/>
  <c r="ARH28" i="5"/>
  <c r="ARI28" i="5"/>
  <c r="ARJ28" i="5"/>
  <c r="ARK28" i="5"/>
  <c r="ARL28" i="5"/>
  <c r="ARM28" i="5"/>
  <c r="ARN28" i="5"/>
  <c r="ARO28" i="5"/>
  <c r="ARP28" i="5"/>
  <c r="ARQ28" i="5"/>
  <c r="ARR28" i="5"/>
  <c r="ARS28" i="5"/>
  <c r="ART28" i="5"/>
  <c r="ARU28" i="5"/>
  <c r="ARV28" i="5"/>
  <c r="ARW28" i="5"/>
  <c r="ARX28" i="5"/>
  <c r="ARY28" i="5"/>
  <c r="ARZ28" i="5"/>
  <c r="ASA28" i="5"/>
  <c r="ASB28" i="5"/>
  <c r="ASC28" i="5"/>
  <c r="ASD28" i="5"/>
  <c r="ASE28" i="5"/>
  <c r="ASF28" i="5"/>
  <c r="ASG28" i="5"/>
  <c r="ASH28" i="5"/>
  <c r="ASI28" i="5"/>
  <c r="ASJ28" i="5"/>
  <c r="ASK28" i="5"/>
  <c r="ASL28" i="5"/>
  <c r="ASM28" i="5"/>
  <c r="ASN28" i="5"/>
  <c r="ASO28" i="5"/>
  <c r="ASP28" i="5"/>
  <c r="ASQ28" i="5"/>
  <c r="ASR28" i="5"/>
  <c r="ASS28" i="5"/>
  <c r="AST28" i="5"/>
  <c r="ASU28" i="5"/>
  <c r="ASV28" i="5"/>
  <c r="ASW28" i="5"/>
  <c r="ASX28" i="5"/>
  <c r="ASY28" i="5"/>
  <c r="ASZ28" i="5"/>
  <c r="ATA28" i="5"/>
  <c r="ATB28" i="5"/>
  <c r="ATC28" i="5"/>
  <c r="ATD28" i="5"/>
  <c r="ATE28" i="5"/>
  <c r="ATF28" i="5"/>
  <c r="ATG28" i="5"/>
  <c r="ATH28" i="5"/>
  <c r="ATI28" i="5"/>
  <c r="ATJ28" i="5"/>
  <c r="ATK28" i="5"/>
  <c r="ATL28" i="5"/>
  <c r="ATM28" i="5"/>
  <c r="ATN28" i="5"/>
  <c r="ATO28" i="5"/>
  <c r="ATP28" i="5"/>
  <c r="ATQ28" i="5"/>
  <c r="ATR28" i="5"/>
  <c r="ATS28" i="5"/>
  <c r="ATT28" i="5"/>
  <c r="ATU28" i="5"/>
  <c r="ATV28" i="5"/>
  <c r="ATW28" i="5"/>
  <c r="ATX28" i="5"/>
  <c r="ATY28" i="5"/>
  <c r="ATZ28" i="5"/>
  <c r="AUA28" i="5"/>
  <c r="AUB28" i="5"/>
  <c r="AUC28" i="5"/>
  <c r="AUD28" i="5"/>
  <c r="AUE28" i="5"/>
  <c r="AUF28" i="5"/>
  <c r="AUG28" i="5"/>
  <c r="AUH28" i="5"/>
  <c r="AUI28" i="5"/>
  <c r="AUJ28" i="5"/>
  <c r="AUK28" i="5"/>
  <c r="AUL28" i="5"/>
  <c r="AUM28" i="5"/>
  <c r="AUN28" i="5"/>
  <c r="AUO28" i="5"/>
  <c r="AUP28" i="5"/>
  <c r="AUQ28" i="5"/>
  <c r="AUR28" i="5"/>
  <c r="AUS28" i="5"/>
  <c r="AUT28" i="5"/>
  <c r="AUU28" i="5"/>
  <c r="AUV28" i="5"/>
  <c r="AUW28" i="5"/>
  <c r="AUX28" i="5"/>
  <c r="AUY28" i="5"/>
  <c r="AUZ28" i="5"/>
  <c r="AVA28" i="5"/>
  <c r="AVB28" i="5"/>
  <c r="AVC28" i="5"/>
  <c r="AVD28" i="5"/>
  <c r="AVE28" i="5"/>
  <c r="AVF28" i="5"/>
  <c r="AVG28" i="5"/>
  <c r="AVH28" i="5"/>
  <c r="AVI28" i="5"/>
  <c r="AVJ28" i="5"/>
  <c r="AVK28" i="5"/>
  <c r="AVL28" i="5"/>
  <c r="AVM28" i="5"/>
  <c r="AVN28" i="5"/>
  <c r="AVO28" i="5"/>
  <c r="AVP28" i="5"/>
  <c r="AVQ28" i="5"/>
  <c r="AVR28" i="5"/>
  <c r="AVS28" i="5"/>
  <c r="AVT28" i="5"/>
  <c r="AVU28" i="5"/>
  <c r="AVV28" i="5"/>
  <c r="AVW28" i="5"/>
  <c r="AVX28" i="5"/>
  <c r="AVY28" i="5"/>
  <c r="AVZ28" i="5"/>
  <c r="AWA28" i="5"/>
  <c r="AWB28" i="5"/>
  <c r="AWC28" i="5"/>
  <c r="AWD28" i="5"/>
  <c r="AWE28" i="5"/>
  <c r="AWF28" i="5"/>
  <c r="AWG28" i="5"/>
  <c r="AWH28" i="5"/>
  <c r="AWI28" i="5"/>
  <c r="AWJ28" i="5"/>
  <c r="AWK28" i="5"/>
  <c r="AWL28" i="5"/>
  <c r="AWM28" i="5"/>
  <c r="AWN28" i="5"/>
  <c r="AWO28" i="5"/>
  <c r="AWP28" i="5"/>
  <c r="AWQ28" i="5"/>
  <c r="AWR28" i="5"/>
  <c r="AWS28" i="5"/>
  <c r="AWT28" i="5"/>
  <c r="AWU28" i="5"/>
  <c r="AWV28" i="5"/>
  <c r="AWW28" i="5"/>
  <c r="AWX28" i="5"/>
  <c r="AWY28" i="5"/>
  <c r="AWZ28" i="5"/>
  <c r="AXA28" i="5"/>
  <c r="AXB28" i="5"/>
  <c r="AXC28" i="5"/>
  <c r="AXD28" i="5"/>
  <c r="AXE28" i="5"/>
  <c r="AXF28" i="5"/>
  <c r="AXG28" i="5"/>
  <c r="AXH28" i="5"/>
  <c r="AXI28" i="5"/>
  <c r="AXJ28" i="5"/>
  <c r="AXK28" i="5"/>
  <c r="AXL28" i="5"/>
  <c r="AXM28" i="5"/>
  <c r="AXN28" i="5"/>
  <c r="AXO28" i="5"/>
  <c r="AXP28" i="5"/>
  <c r="AXQ28" i="5"/>
  <c r="AXR28" i="5"/>
  <c r="AXS28" i="5"/>
  <c r="AXT28" i="5"/>
  <c r="AXU28" i="5"/>
  <c r="AXV28" i="5"/>
  <c r="AXW28" i="5"/>
  <c r="AXX28" i="5"/>
  <c r="AXY28" i="5"/>
  <c r="AXZ28" i="5"/>
  <c r="AYA28" i="5"/>
  <c r="AYB28" i="5"/>
  <c r="AYC28" i="5"/>
  <c r="AYD28" i="5"/>
  <c r="AYE28" i="5"/>
  <c r="AYF28" i="5"/>
  <c r="AYG28" i="5"/>
  <c r="AYH28" i="5"/>
  <c r="AYI28" i="5"/>
  <c r="AYJ28" i="5"/>
  <c r="AYK28" i="5"/>
  <c r="AYL28" i="5"/>
  <c r="AYM28" i="5"/>
  <c r="AYN28" i="5"/>
  <c r="AYO28" i="5"/>
  <c r="AYP28" i="5"/>
  <c r="AYQ28" i="5"/>
  <c r="AYR28" i="5"/>
  <c r="AYS28" i="5"/>
  <c r="AYT28" i="5"/>
  <c r="AYU28" i="5"/>
  <c r="AYV28" i="5"/>
  <c r="AYW28" i="5"/>
  <c r="AYX28" i="5"/>
  <c r="AYY28" i="5"/>
  <c r="AYZ28" i="5"/>
  <c r="AZA28" i="5"/>
  <c r="AZB28" i="5"/>
  <c r="AZC28" i="5"/>
  <c r="AZD28" i="5"/>
  <c r="AZE28" i="5"/>
  <c r="AZF28" i="5"/>
  <c r="AZG28" i="5"/>
  <c r="AZH28" i="5"/>
  <c r="AZI28" i="5"/>
  <c r="AZJ28" i="5"/>
  <c r="AZK28" i="5"/>
  <c r="AZL28" i="5"/>
  <c r="AZM28" i="5"/>
  <c r="AZN28" i="5"/>
  <c r="AZO28" i="5"/>
  <c r="AZP28" i="5"/>
  <c r="AZQ28" i="5"/>
  <c r="AZR28" i="5"/>
  <c r="AZS28" i="5"/>
  <c r="AZT28" i="5"/>
  <c r="AZU28" i="5"/>
  <c r="AZV28" i="5"/>
  <c r="AZW28" i="5"/>
  <c r="AZX28" i="5"/>
  <c r="AZY28" i="5"/>
  <c r="AZZ28" i="5"/>
  <c r="BAA28" i="5"/>
  <c r="BAB28" i="5"/>
  <c r="BAC28" i="5"/>
  <c r="BAD28" i="5"/>
  <c r="BAE28" i="5"/>
  <c r="BAF28" i="5"/>
  <c r="BAG28" i="5"/>
  <c r="BAH28" i="5"/>
  <c r="BAI28" i="5"/>
  <c r="BAJ28" i="5"/>
  <c r="BAK28" i="5"/>
  <c r="BAL28" i="5"/>
  <c r="BAM28" i="5"/>
  <c r="BAN28" i="5"/>
  <c r="BAO28" i="5"/>
  <c r="BAP28" i="5"/>
  <c r="BAQ28" i="5"/>
  <c r="BAR28" i="5"/>
  <c r="BAS28" i="5"/>
  <c r="BAT28" i="5"/>
  <c r="BAU28" i="5"/>
  <c r="BAV28" i="5"/>
  <c r="BAW28" i="5"/>
  <c r="BAX28" i="5"/>
  <c r="BAY28" i="5"/>
  <c r="BAZ28" i="5"/>
  <c r="BBA28" i="5"/>
  <c r="BBB28" i="5"/>
  <c r="BBC28" i="5"/>
  <c r="BBD28" i="5"/>
  <c r="BBE28" i="5"/>
  <c r="BBF28" i="5"/>
  <c r="BBG28" i="5"/>
  <c r="BBH28" i="5"/>
  <c r="BBI28" i="5"/>
  <c r="BBJ28" i="5"/>
  <c r="BBK28" i="5"/>
  <c r="BBL28" i="5"/>
  <c r="BBM28" i="5"/>
  <c r="BBN28" i="5"/>
  <c r="BBO28" i="5"/>
  <c r="BBP28" i="5"/>
  <c r="BBQ28" i="5"/>
  <c r="BBR28" i="5"/>
  <c r="BBS28" i="5"/>
  <c r="BBT28" i="5"/>
  <c r="BBU28" i="5"/>
  <c r="BBV28" i="5"/>
  <c r="BBW28" i="5"/>
  <c r="BBX28" i="5"/>
  <c r="BBY28" i="5"/>
  <c r="BBZ28" i="5"/>
  <c r="BCA28" i="5"/>
  <c r="BCB28" i="5"/>
  <c r="BCC28" i="5"/>
  <c r="BCD28" i="5"/>
  <c r="BCE28" i="5"/>
  <c r="BCF28" i="5"/>
  <c r="BCG28" i="5"/>
  <c r="BCH28" i="5"/>
  <c r="BCI28" i="5"/>
  <c r="BCJ28" i="5"/>
  <c r="BCK28" i="5"/>
  <c r="BCL28" i="5"/>
  <c r="BCM28" i="5"/>
  <c r="BCN28" i="5"/>
  <c r="BCO28" i="5"/>
  <c r="BCP28" i="5"/>
  <c r="BCQ28" i="5"/>
  <c r="BCR28" i="5"/>
  <c r="BCS28" i="5"/>
  <c r="BCT28" i="5"/>
  <c r="BCU28" i="5"/>
  <c r="BCV28" i="5"/>
  <c r="BCW28" i="5"/>
  <c r="BCX28" i="5"/>
  <c r="BCY28" i="5"/>
  <c r="BCZ28" i="5"/>
  <c r="BDA28" i="5"/>
  <c r="BDB28" i="5"/>
  <c r="BDC28" i="5"/>
  <c r="BDD28" i="5"/>
  <c r="BDE28" i="5"/>
  <c r="BDF28" i="5"/>
  <c r="BDG28" i="5"/>
  <c r="BDH28" i="5"/>
  <c r="BDI28" i="5"/>
  <c r="BDJ28" i="5"/>
  <c r="BDK28" i="5"/>
  <c r="BDL28" i="5"/>
  <c r="BDM28" i="5"/>
  <c r="BDN28" i="5"/>
  <c r="BDO28" i="5"/>
  <c r="BDP28" i="5"/>
  <c r="BDQ28" i="5"/>
  <c r="BDR28" i="5"/>
  <c r="BDS28" i="5"/>
  <c r="BDT28" i="5"/>
  <c r="BDU28" i="5"/>
  <c r="BDV28" i="5"/>
  <c r="BDW28" i="5"/>
  <c r="BDX28" i="5"/>
  <c r="BDY28" i="5"/>
  <c r="BDZ28" i="5"/>
  <c r="BEA28" i="5"/>
  <c r="BEB28" i="5"/>
  <c r="BEC28" i="5"/>
  <c r="BED28" i="5"/>
  <c r="BEE28" i="5"/>
  <c r="BEF28" i="5"/>
  <c r="BEG28" i="5"/>
  <c r="BEH28" i="5"/>
  <c r="BEI28" i="5"/>
  <c r="BEJ28" i="5"/>
  <c r="BEK28" i="5"/>
  <c r="BEL28" i="5"/>
  <c r="BEM28" i="5"/>
  <c r="BEN28" i="5"/>
  <c r="BEO28" i="5"/>
  <c r="BEP28" i="5"/>
  <c r="BEQ28" i="5"/>
  <c r="BER28" i="5"/>
  <c r="BES28" i="5"/>
  <c r="BET28" i="5"/>
  <c r="BEU28" i="5"/>
  <c r="BEV28" i="5"/>
  <c r="BEW28" i="5"/>
  <c r="BEX28" i="5"/>
  <c r="BEY28" i="5"/>
  <c r="BEZ28" i="5"/>
  <c r="BFA28" i="5"/>
  <c r="BFB28" i="5"/>
  <c r="BFC28" i="5"/>
  <c r="BFD28" i="5"/>
  <c r="BFE28" i="5"/>
  <c r="BFF28" i="5"/>
  <c r="BFG28" i="5"/>
  <c r="BFH28" i="5"/>
  <c r="BFI28" i="5"/>
  <c r="BFJ28" i="5"/>
  <c r="BFK28" i="5"/>
  <c r="BFL28" i="5"/>
  <c r="BFM28" i="5"/>
  <c r="BFN28" i="5"/>
  <c r="BFO28" i="5"/>
  <c r="BFP28" i="5"/>
  <c r="BFQ28" i="5"/>
  <c r="BFR28" i="5"/>
  <c r="BFS28" i="5"/>
  <c r="BFT28" i="5"/>
  <c r="BFU28" i="5"/>
  <c r="BFV28" i="5"/>
  <c r="BFW28" i="5"/>
  <c r="BFX28" i="5"/>
  <c r="BFY28" i="5"/>
  <c r="BFZ28" i="5"/>
  <c r="BGA28" i="5"/>
  <c r="BGB28" i="5"/>
  <c r="BGC28" i="5"/>
  <c r="BGD28" i="5"/>
  <c r="BGE28" i="5"/>
  <c r="BGF28" i="5"/>
  <c r="BGG28" i="5"/>
  <c r="BGH28" i="5"/>
  <c r="BGI28" i="5"/>
  <c r="BGJ28" i="5"/>
  <c r="BGK28" i="5"/>
  <c r="BGL28" i="5"/>
  <c r="BGM28" i="5"/>
  <c r="BGN28" i="5"/>
  <c r="BGO28" i="5"/>
  <c r="BGP28" i="5"/>
  <c r="BGQ28" i="5"/>
  <c r="BGR28" i="5"/>
  <c r="BGS28" i="5"/>
  <c r="BGT28" i="5"/>
  <c r="BGU28" i="5"/>
  <c r="BGV28" i="5"/>
  <c r="BGW28" i="5"/>
  <c r="BGX28" i="5"/>
  <c r="BGY28" i="5"/>
  <c r="BGZ28" i="5"/>
  <c r="BHA28" i="5"/>
  <c r="BHB28" i="5"/>
  <c r="BHC28" i="5"/>
  <c r="BHD28" i="5"/>
  <c r="BHE28" i="5"/>
  <c r="BHF28" i="5"/>
  <c r="BHG28" i="5"/>
  <c r="BHH28" i="5"/>
  <c r="BHI28" i="5"/>
  <c r="BHJ28" i="5"/>
  <c r="BHK28" i="5"/>
  <c r="BHL28" i="5"/>
  <c r="BHM28" i="5"/>
  <c r="BHN28" i="5"/>
  <c r="BHO28" i="5"/>
  <c r="BHP28" i="5"/>
  <c r="BHQ28" i="5"/>
  <c r="BHR28" i="5"/>
  <c r="BHS28" i="5"/>
  <c r="BHT28" i="5"/>
  <c r="BHU28" i="5"/>
  <c r="BHV28" i="5"/>
  <c r="BHW28" i="5"/>
  <c r="BHX28" i="5"/>
  <c r="BHY28" i="5"/>
  <c r="BHZ28" i="5"/>
  <c r="BIA28" i="5"/>
  <c r="BIB28" i="5"/>
  <c r="BIC28" i="5"/>
  <c r="BID28" i="5"/>
  <c r="BIE28" i="5"/>
  <c r="BIF28" i="5"/>
  <c r="BIG28" i="5"/>
  <c r="BIH28" i="5"/>
  <c r="BII28" i="5"/>
  <c r="BIJ28" i="5"/>
  <c r="BIK28" i="5"/>
  <c r="BIL28" i="5"/>
  <c r="BIM28" i="5"/>
  <c r="BIN28" i="5"/>
  <c r="BIO28" i="5"/>
  <c r="BIP28" i="5"/>
  <c r="BIQ28" i="5"/>
  <c r="BIR28" i="5"/>
  <c r="BIS28" i="5"/>
  <c r="BIT28" i="5"/>
  <c r="BIU28" i="5"/>
  <c r="BIV28" i="5"/>
  <c r="BIW28" i="5"/>
  <c r="BIX28" i="5"/>
  <c r="BIY28" i="5"/>
  <c r="BIZ28" i="5"/>
  <c r="BJA28" i="5"/>
  <c r="BJB28" i="5"/>
  <c r="BJC28" i="5"/>
  <c r="BJD28" i="5"/>
  <c r="BJE28" i="5"/>
  <c r="BJF28" i="5"/>
  <c r="BJG28" i="5"/>
  <c r="BJH28" i="5"/>
  <c r="BJI28" i="5"/>
  <c r="BJJ28" i="5"/>
  <c r="BJK28" i="5"/>
  <c r="BJL28" i="5"/>
  <c r="BJM28" i="5"/>
  <c r="BJN28" i="5"/>
  <c r="BJO28" i="5"/>
  <c r="BJP28" i="5"/>
  <c r="BJQ28" i="5"/>
  <c r="BJR28" i="5"/>
  <c r="BJS28" i="5"/>
  <c r="BJT28" i="5"/>
  <c r="BJU28" i="5"/>
  <c r="BJV28" i="5"/>
  <c r="BJW28" i="5"/>
  <c r="BJX28" i="5"/>
  <c r="BJY28" i="5"/>
  <c r="BJZ28" i="5"/>
  <c r="BKA28" i="5"/>
  <c r="BKB28" i="5"/>
  <c r="BKC28" i="5"/>
  <c r="BKD28" i="5"/>
  <c r="BKE28" i="5"/>
  <c r="BKF28" i="5"/>
  <c r="BKG28" i="5"/>
  <c r="BKH28" i="5"/>
  <c r="BKI28" i="5"/>
  <c r="BKJ28" i="5"/>
  <c r="BKK28" i="5"/>
  <c r="BKL28" i="5"/>
  <c r="BKM28" i="5"/>
  <c r="BKN28" i="5"/>
  <c r="BKO28" i="5"/>
  <c r="BKP28" i="5"/>
  <c r="BKQ28" i="5"/>
  <c r="BKR28" i="5"/>
  <c r="BKS28" i="5"/>
  <c r="BKT28" i="5"/>
  <c r="BKU28" i="5"/>
  <c r="BKV28" i="5"/>
  <c r="BKW28" i="5"/>
  <c r="BKX28" i="5"/>
  <c r="BKY28" i="5"/>
  <c r="BKZ28" i="5"/>
  <c r="BLA28" i="5"/>
  <c r="BLB28" i="5"/>
  <c r="BLC28" i="5"/>
  <c r="BLD28" i="5"/>
  <c r="BLE28" i="5"/>
  <c r="BLF28" i="5"/>
  <c r="BLG28" i="5"/>
  <c r="BLH28" i="5"/>
  <c r="BLI28" i="5"/>
  <c r="BLJ28" i="5"/>
  <c r="BLK28" i="5"/>
  <c r="BLL28" i="5"/>
  <c r="BLM28" i="5"/>
  <c r="BLN28" i="5"/>
  <c r="BLO28" i="5"/>
  <c r="BLP28" i="5"/>
  <c r="BLQ28" i="5"/>
  <c r="BLR28" i="5"/>
  <c r="BLS28" i="5"/>
  <c r="BLT28" i="5"/>
  <c r="BLU28" i="5"/>
  <c r="BLV28" i="5"/>
  <c r="BLW28" i="5"/>
  <c r="BLX28" i="5"/>
  <c r="BLY28" i="5"/>
  <c r="BLZ28" i="5"/>
  <c r="BMA28" i="5"/>
  <c r="BMB28" i="5"/>
  <c r="BMC28" i="5"/>
  <c r="BMD28" i="5"/>
  <c r="BME28" i="5"/>
  <c r="BMF28" i="5"/>
  <c r="BMG28" i="5"/>
  <c r="BMH28" i="5"/>
  <c r="BMI28" i="5"/>
  <c r="BMJ28" i="5"/>
  <c r="BMK28" i="5"/>
  <c r="BML28" i="5"/>
  <c r="BMM28" i="5"/>
  <c r="BMN28" i="5"/>
  <c r="BMO28" i="5"/>
  <c r="BMP28" i="5"/>
  <c r="BMQ28" i="5"/>
  <c r="BMR28" i="5"/>
  <c r="BMS28" i="5"/>
  <c r="BMT28" i="5"/>
  <c r="BMU28" i="5"/>
  <c r="BMV28" i="5"/>
  <c r="BMW28" i="5"/>
  <c r="BMX28" i="5"/>
  <c r="BMY28" i="5"/>
  <c r="BMZ28" i="5"/>
  <c r="BNA28" i="5"/>
  <c r="BNB28" i="5"/>
  <c r="BNC28" i="5"/>
  <c r="BND28" i="5"/>
  <c r="BNE28" i="5"/>
  <c r="BNF28" i="5"/>
  <c r="BNG28" i="5"/>
  <c r="BNH28" i="5"/>
  <c r="BNI28" i="5"/>
  <c r="BNJ28" i="5"/>
  <c r="BNK28" i="5"/>
  <c r="BNL28" i="5"/>
  <c r="BNM28" i="5"/>
  <c r="BNN28" i="5"/>
  <c r="BNO28" i="5"/>
  <c r="BNP28" i="5"/>
  <c r="BNQ28" i="5"/>
  <c r="BNR28" i="5"/>
  <c r="BNS28" i="5"/>
  <c r="BNT28" i="5"/>
  <c r="BNU28" i="5"/>
  <c r="BNV28" i="5"/>
  <c r="BNW28" i="5"/>
  <c r="BNX28" i="5"/>
  <c r="BNY28" i="5"/>
  <c r="BNZ28" i="5"/>
  <c r="BOA28" i="5"/>
  <c r="BOB28" i="5"/>
  <c r="BOC28" i="5"/>
  <c r="BOD28" i="5"/>
  <c r="BOE28" i="5"/>
  <c r="BOF28" i="5"/>
  <c r="BOG28" i="5"/>
  <c r="BOH28" i="5"/>
  <c r="BOI28" i="5"/>
  <c r="BOJ28" i="5"/>
  <c r="BOK28" i="5"/>
  <c r="BOL28" i="5"/>
  <c r="BOM28" i="5"/>
  <c r="BON28" i="5"/>
  <c r="BOO28" i="5"/>
  <c r="BOP28" i="5"/>
  <c r="BOQ28" i="5"/>
  <c r="BOR28" i="5"/>
  <c r="BOS28" i="5"/>
  <c r="BOT28" i="5"/>
  <c r="BOU28" i="5"/>
  <c r="BOV28" i="5"/>
  <c r="BOW28" i="5"/>
  <c r="BOX28" i="5"/>
  <c r="BOY28" i="5"/>
  <c r="BOZ28" i="5"/>
  <c r="BPA28" i="5"/>
  <c r="BPB28" i="5"/>
  <c r="BPC28" i="5"/>
  <c r="BPD28" i="5"/>
  <c r="BPE28" i="5"/>
  <c r="BPF28" i="5"/>
  <c r="BPG28" i="5"/>
  <c r="BPH28" i="5"/>
  <c r="BPI28" i="5"/>
  <c r="BPJ28" i="5"/>
  <c r="BPK28" i="5"/>
  <c r="BPL28" i="5"/>
  <c r="BPM28" i="5"/>
  <c r="BPN28" i="5"/>
  <c r="BPO28" i="5"/>
  <c r="BPP28" i="5"/>
  <c r="BPQ28" i="5"/>
  <c r="BPR28" i="5"/>
  <c r="BPS28" i="5"/>
  <c r="BPT28" i="5"/>
  <c r="BPU28" i="5"/>
  <c r="BPV28" i="5"/>
  <c r="BPW28" i="5"/>
  <c r="BPX28" i="5"/>
  <c r="BPY28" i="5"/>
  <c r="BPZ28" i="5"/>
  <c r="BQA28" i="5"/>
  <c r="BQB28" i="5"/>
  <c r="BQC28" i="5"/>
  <c r="BQD28" i="5"/>
  <c r="BQE28" i="5"/>
  <c r="BQF28" i="5"/>
  <c r="BQG28" i="5"/>
  <c r="BQH28" i="5"/>
  <c r="BQI28" i="5"/>
  <c r="BQJ28" i="5"/>
  <c r="BQK28" i="5"/>
  <c r="BQL28" i="5"/>
  <c r="BQM28" i="5"/>
  <c r="BQN28" i="5"/>
  <c r="BQO28" i="5"/>
  <c r="BQP28" i="5"/>
  <c r="BQQ28" i="5"/>
  <c r="BQR28" i="5"/>
  <c r="BQS28" i="5"/>
  <c r="BQT28" i="5"/>
  <c r="BQU28" i="5"/>
  <c r="BQV28" i="5"/>
  <c r="BQW28" i="5"/>
  <c r="BQX28" i="5"/>
  <c r="BQY28" i="5"/>
  <c r="BQZ28" i="5"/>
  <c r="BRA28" i="5"/>
  <c r="BRB28" i="5"/>
  <c r="BRC28" i="5"/>
  <c r="BRD28" i="5"/>
  <c r="BRE28" i="5"/>
  <c r="BRF28" i="5"/>
  <c r="BRG28" i="5"/>
  <c r="BRH28" i="5"/>
  <c r="BRI28" i="5"/>
  <c r="BRJ28" i="5"/>
  <c r="BRK28" i="5"/>
  <c r="BRL28" i="5"/>
  <c r="BRM28" i="5"/>
  <c r="BRN28" i="5"/>
  <c r="BRO28" i="5"/>
  <c r="BRP28" i="5"/>
  <c r="BRQ28" i="5"/>
  <c r="BRR28" i="5"/>
  <c r="BRS28" i="5"/>
  <c r="BRT28" i="5"/>
  <c r="BRU28" i="5"/>
  <c r="BRV28" i="5"/>
  <c r="BRW28" i="5"/>
  <c r="BRX28" i="5"/>
  <c r="BRY28" i="5"/>
  <c r="BRZ28" i="5"/>
  <c r="BSA28" i="5"/>
  <c r="BSB28" i="5"/>
  <c r="BSC28" i="5"/>
  <c r="BSD28" i="5"/>
  <c r="BSE28" i="5"/>
  <c r="BSF28" i="5"/>
  <c r="BSG28" i="5"/>
  <c r="BSH28" i="5"/>
  <c r="BSI28" i="5"/>
  <c r="BSJ28" i="5"/>
  <c r="BSK28" i="5"/>
  <c r="BSL28" i="5"/>
  <c r="BSM28" i="5"/>
  <c r="BSN28" i="5"/>
  <c r="BSO28" i="5"/>
  <c r="BSP28" i="5"/>
  <c r="BSQ28" i="5"/>
  <c r="BSR28" i="5"/>
  <c r="BSS28" i="5"/>
  <c r="BST28" i="5"/>
  <c r="BSU28" i="5"/>
  <c r="BSV28" i="5"/>
  <c r="BSW28" i="5"/>
  <c r="BSX28" i="5"/>
  <c r="BSY28" i="5"/>
  <c r="BSZ28" i="5"/>
  <c r="BTA28" i="5"/>
  <c r="BTB28" i="5"/>
  <c r="BTC28" i="5"/>
  <c r="BTD28" i="5"/>
  <c r="BTE28" i="5"/>
  <c r="BTF28" i="5"/>
  <c r="BTG28" i="5"/>
  <c r="BTH28" i="5"/>
  <c r="BTI28" i="5"/>
  <c r="BTJ28" i="5"/>
  <c r="BTK28" i="5"/>
  <c r="BTL28" i="5"/>
  <c r="BTM28" i="5"/>
  <c r="BTN28" i="5"/>
  <c r="BTO28" i="5"/>
  <c r="BTP28" i="5"/>
  <c r="BTQ28" i="5"/>
  <c r="BTR28" i="5"/>
  <c r="BTS28" i="5"/>
  <c r="BTT28" i="5"/>
  <c r="BTU28" i="5"/>
  <c r="BTV28" i="5"/>
  <c r="BTW28" i="5"/>
  <c r="BTX28" i="5"/>
  <c r="BTY28" i="5"/>
  <c r="BTZ28" i="5"/>
  <c r="BUA28" i="5"/>
  <c r="BUB28" i="5"/>
  <c r="BUC28" i="5"/>
  <c r="BUD28" i="5"/>
  <c r="BUE28" i="5"/>
  <c r="BUF28" i="5"/>
  <c r="BUG28" i="5"/>
  <c r="BUH28" i="5"/>
  <c r="BUI28" i="5"/>
  <c r="BUJ28" i="5"/>
  <c r="BUK28" i="5"/>
  <c r="BUL28" i="5"/>
  <c r="BUM28" i="5"/>
  <c r="BUN28" i="5"/>
  <c r="BUO28" i="5"/>
  <c r="BUP28" i="5"/>
  <c r="BUQ28" i="5"/>
  <c r="BUR28" i="5"/>
  <c r="BUS28" i="5"/>
  <c r="BUT28" i="5"/>
  <c r="BUU28" i="5"/>
  <c r="BUV28" i="5"/>
  <c r="BUW28" i="5"/>
  <c r="BUX28" i="5"/>
  <c r="BUY28" i="5"/>
  <c r="BUZ28" i="5"/>
  <c r="BVA28" i="5"/>
  <c r="BVB28" i="5"/>
  <c r="BVC28" i="5"/>
  <c r="BVD28" i="5"/>
  <c r="BVE28" i="5"/>
  <c r="BVF28" i="5"/>
  <c r="BVG28" i="5"/>
  <c r="BVH28" i="5"/>
  <c r="BVI28" i="5"/>
  <c r="BVJ28" i="5"/>
  <c r="BVK28" i="5"/>
  <c r="BVL28" i="5"/>
  <c r="BVM28" i="5"/>
  <c r="BVN28" i="5"/>
  <c r="BVO28" i="5"/>
  <c r="BVP28" i="5"/>
  <c r="BVQ28" i="5"/>
  <c r="BVR28" i="5"/>
  <c r="BVS28" i="5"/>
  <c r="BVT28" i="5"/>
  <c r="BVU28" i="5"/>
  <c r="BVV28" i="5"/>
  <c r="BVW28" i="5"/>
  <c r="BVX28" i="5"/>
  <c r="BVY28" i="5"/>
  <c r="BVZ28" i="5"/>
  <c r="BWA28" i="5"/>
  <c r="BWB28" i="5"/>
  <c r="BWC28" i="5"/>
  <c r="BWD28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NC29" i="5"/>
  <c r="ND29" i="5"/>
  <c r="NE29" i="5"/>
  <c r="NF29" i="5"/>
  <c r="NG29" i="5"/>
  <c r="NH29" i="5"/>
  <c r="NI29" i="5"/>
  <c r="NJ29" i="5"/>
  <c r="NK29" i="5"/>
  <c r="NL29" i="5"/>
  <c r="NM29" i="5"/>
  <c r="NN29" i="5"/>
  <c r="NO29" i="5"/>
  <c r="NP29" i="5"/>
  <c r="NQ29" i="5"/>
  <c r="NR29" i="5"/>
  <c r="NS29" i="5"/>
  <c r="NT29" i="5"/>
  <c r="NU29" i="5"/>
  <c r="NV29" i="5"/>
  <c r="NW29" i="5"/>
  <c r="NX29" i="5"/>
  <c r="NY29" i="5"/>
  <c r="NZ29" i="5"/>
  <c r="OA29" i="5"/>
  <c r="OB29" i="5"/>
  <c r="OC29" i="5"/>
  <c r="OD29" i="5"/>
  <c r="OE29" i="5"/>
  <c r="OF29" i="5"/>
  <c r="OG29" i="5"/>
  <c r="OH29" i="5"/>
  <c r="OI29" i="5"/>
  <c r="OJ29" i="5"/>
  <c r="OK29" i="5"/>
  <c r="OL29" i="5"/>
  <c r="OM29" i="5"/>
  <c r="ON29" i="5"/>
  <c r="OO29" i="5"/>
  <c r="OP29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PO29" i="5"/>
  <c r="PP29" i="5"/>
  <c r="PQ29" i="5"/>
  <c r="PR29" i="5"/>
  <c r="PS29" i="5"/>
  <c r="PT29" i="5"/>
  <c r="PU29" i="5"/>
  <c r="PV29" i="5"/>
  <c r="PW29" i="5"/>
  <c r="PX29" i="5"/>
  <c r="PY29" i="5"/>
  <c r="PZ29" i="5"/>
  <c r="QA29" i="5"/>
  <c r="QB29" i="5"/>
  <c r="QC29" i="5"/>
  <c r="QD29" i="5"/>
  <c r="QE29" i="5"/>
  <c r="QF29" i="5"/>
  <c r="QG29" i="5"/>
  <c r="QH29" i="5"/>
  <c r="QI29" i="5"/>
  <c r="QJ29" i="5"/>
  <c r="QK29" i="5"/>
  <c r="QL29" i="5"/>
  <c r="QM29" i="5"/>
  <c r="QN29" i="5"/>
  <c r="QO29" i="5"/>
  <c r="QP29" i="5"/>
  <c r="QQ29" i="5"/>
  <c r="QR29" i="5"/>
  <c r="QS29" i="5"/>
  <c r="QT29" i="5"/>
  <c r="QU29" i="5"/>
  <c r="QV29" i="5"/>
  <c r="QW29" i="5"/>
  <c r="QX29" i="5"/>
  <c r="QY29" i="5"/>
  <c r="QZ29" i="5"/>
  <c r="RA29" i="5"/>
  <c r="RB29" i="5"/>
  <c r="RC29" i="5"/>
  <c r="RD29" i="5"/>
  <c r="RE29" i="5"/>
  <c r="RF29" i="5"/>
  <c r="RG29" i="5"/>
  <c r="RH29" i="5"/>
  <c r="RI29" i="5"/>
  <c r="RJ29" i="5"/>
  <c r="RK29" i="5"/>
  <c r="RL29" i="5"/>
  <c r="RM29" i="5"/>
  <c r="RN29" i="5"/>
  <c r="RO29" i="5"/>
  <c r="RP29" i="5"/>
  <c r="RQ29" i="5"/>
  <c r="RR29" i="5"/>
  <c r="RS29" i="5"/>
  <c r="RT29" i="5"/>
  <c r="RU29" i="5"/>
  <c r="RV29" i="5"/>
  <c r="RW29" i="5"/>
  <c r="RX29" i="5"/>
  <c r="RY29" i="5"/>
  <c r="RZ29" i="5"/>
  <c r="SA29" i="5"/>
  <c r="SB29" i="5"/>
  <c r="SC29" i="5"/>
  <c r="SD29" i="5"/>
  <c r="SE29" i="5"/>
  <c r="SF29" i="5"/>
  <c r="SG29" i="5"/>
  <c r="SH29" i="5"/>
  <c r="SI29" i="5"/>
  <c r="SJ29" i="5"/>
  <c r="SK29" i="5"/>
  <c r="SL29" i="5"/>
  <c r="SM29" i="5"/>
  <c r="SN29" i="5"/>
  <c r="SO29" i="5"/>
  <c r="SP29" i="5"/>
  <c r="SQ29" i="5"/>
  <c r="SR29" i="5"/>
  <c r="SS29" i="5"/>
  <c r="ST29" i="5"/>
  <c r="SU29" i="5"/>
  <c r="SV29" i="5"/>
  <c r="SW29" i="5"/>
  <c r="SX29" i="5"/>
  <c r="SY29" i="5"/>
  <c r="SZ29" i="5"/>
  <c r="TA29" i="5"/>
  <c r="TB29" i="5"/>
  <c r="TC29" i="5"/>
  <c r="TD29" i="5"/>
  <c r="TE29" i="5"/>
  <c r="TF29" i="5"/>
  <c r="TG29" i="5"/>
  <c r="TH29" i="5"/>
  <c r="TI29" i="5"/>
  <c r="TJ29" i="5"/>
  <c r="TK29" i="5"/>
  <c r="TL29" i="5"/>
  <c r="TM29" i="5"/>
  <c r="TN29" i="5"/>
  <c r="TO29" i="5"/>
  <c r="TP29" i="5"/>
  <c r="TQ29" i="5"/>
  <c r="TR29" i="5"/>
  <c r="TS29" i="5"/>
  <c r="TT29" i="5"/>
  <c r="TU29" i="5"/>
  <c r="TV29" i="5"/>
  <c r="TW29" i="5"/>
  <c r="TX29" i="5"/>
  <c r="TY29" i="5"/>
  <c r="TZ29" i="5"/>
  <c r="UA29" i="5"/>
  <c r="UB29" i="5"/>
  <c r="UC29" i="5"/>
  <c r="UD29" i="5"/>
  <c r="UE29" i="5"/>
  <c r="UF29" i="5"/>
  <c r="UG29" i="5"/>
  <c r="UH29" i="5"/>
  <c r="UI29" i="5"/>
  <c r="UJ29" i="5"/>
  <c r="UK29" i="5"/>
  <c r="UL29" i="5"/>
  <c r="UM29" i="5"/>
  <c r="UN29" i="5"/>
  <c r="UO29" i="5"/>
  <c r="UP29" i="5"/>
  <c r="UQ29" i="5"/>
  <c r="UR29" i="5"/>
  <c r="US29" i="5"/>
  <c r="UT29" i="5"/>
  <c r="UU29" i="5"/>
  <c r="UV29" i="5"/>
  <c r="UW29" i="5"/>
  <c r="UX29" i="5"/>
  <c r="UY29" i="5"/>
  <c r="UZ29" i="5"/>
  <c r="VA29" i="5"/>
  <c r="VB29" i="5"/>
  <c r="VC29" i="5"/>
  <c r="VD29" i="5"/>
  <c r="VE29" i="5"/>
  <c r="VF29" i="5"/>
  <c r="VG29" i="5"/>
  <c r="VH29" i="5"/>
  <c r="VI29" i="5"/>
  <c r="VJ29" i="5"/>
  <c r="VK29" i="5"/>
  <c r="VL29" i="5"/>
  <c r="VM29" i="5"/>
  <c r="VN29" i="5"/>
  <c r="VO29" i="5"/>
  <c r="VP29" i="5"/>
  <c r="VQ29" i="5"/>
  <c r="VR29" i="5"/>
  <c r="VS29" i="5"/>
  <c r="VT29" i="5"/>
  <c r="VU29" i="5"/>
  <c r="VV29" i="5"/>
  <c r="VW29" i="5"/>
  <c r="VX29" i="5"/>
  <c r="VY29" i="5"/>
  <c r="VZ29" i="5"/>
  <c r="WA29" i="5"/>
  <c r="WB29" i="5"/>
  <c r="WC29" i="5"/>
  <c r="WD29" i="5"/>
  <c r="WE29" i="5"/>
  <c r="WF29" i="5"/>
  <c r="WG29" i="5"/>
  <c r="WH29" i="5"/>
  <c r="WI29" i="5"/>
  <c r="WJ29" i="5"/>
  <c r="WK29" i="5"/>
  <c r="WL29" i="5"/>
  <c r="WM29" i="5"/>
  <c r="WN29" i="5"/>
  <c r="WO29" i="5"/>
  <c r="WP29" i="5"/>
  <c r="WQ29" i="5"/>
  <c r="WR29" i="5"/>
  <c r="WS29" i="5"/>
  <c r="WT29" i="5"/>
  <c r="WU29" i="5"/>
  <c r="WV29" i="5"/>
  <c r="WW29" i="5"/>
  <c r="WX29" i="5"/>
  <c r="WY29" i="5"/>
  <c r="WZ29" i="5"/>
  <c r="XA29" i="5"/>
  <c r="XB29" i="5"/>
  <c r="XC29" i="5"/>
  <c r="XD29" i="5"/>
  <c r="XE29" i="5"/>
  <c r="XF29" i="5"/>
  <c r="XG29" i="5"/>
  <c r="XH29" i="5"/>
  <c r="XI29" i="5"/>
  <c r="XJ29" i="5"/>
  <c r="XK29" i="5"/>
  <c r="XL29" i="5"/>
  <c r="XM29" i="5"/>
  <c r="XN29" i="5"/>
  <c r="XO29" i="5"/>
  <c r="XP29" i="5"/>
  <c r="XQ29" i="5"/>
  <c r="XR29" i="5"/>
  <c r="XS29" i="5"/>
  <c r="XT29" i="5"/>
  <c r="XU29" i="5"/>
  <c r="XV29" i="5"/>
  <c r="XW29" i="5"/>
  <c r="XX29" i="5"/>
  <c r="XY29" i="5"/>
  <c r="XZ29" i="5"/>
  <c r="YA29" i="5"/>
  <c r="YB29" i="5"/>
  <c r="YC29" i="5"/>
  <c r="YD29" i="5"/>
  <c r="YE29" i="5"/>
  <c r="YF29" i="5"/>
  <c r="YG29" i="5"/>
  <c r="YH29" i="5"/>
  <c r="YI29" i="5"/>
  <c r="YJ29" i="5"/>
  <c r="YK29" i="5"/>
  <c r="YL29" i="5"/>
  <c r="YM29" i="5"/>
  <c r="YN29" i="5"/>
  <c r="YO29" i="5"/>
  <c r="YP29" i="5"/>
  <c r="YQ29" i="5"/>
  <c r="YR29" i="5"/>
  <c r="YS29" i="5"/>
  <c r="YT29" i="5"/>
  <c r="YU29" i="5"/>
  <c r="YV29" i="5"/>
  <c r="YW29" i="5"/>
  <c r="YX29" i="5"/>
  <c r="YY29" i="5"/>
  <c r="YZ29" i="5"/>
  <c r="ZA29" i="5"/>
  <c r="ZB29" i="5"/>
  <c r="ZC29" i="5"/>
  <c r="ZD29" i="5"/>
  <c r="ZE29" i="5"/>
  <c r="ZF29" i="5"/>
  <c r="ZG29" i="5"/>
  <c r="ZH29" i="5"/>
  <c r="ZI29" i="5"/>
  <c r="ZJ29" i="5"/>
  <c r="ZK29" i="5"/>
  <c r="ZL29" i="5"/>
  <c r="ZM29" i="5"/>
  <c r="ZN29" i="5"/>
  <c r="ZO29" i="5"/>
  <c r="ZP29" i="5"/>
  <c r="ZQ29" i="5"/>
  <c r="ZR29" i="5"/>
  <c r="ZS29" i="5"/>
  <c r="ZT29" i="5"/>
  <c r="ZU29" i="5"/>
  <c r="ZV29" i="5"/>
  <c r="ZW29" i="5"/>
  <c r="ZX29" i="5"/>
  <c r="ZY29" i="5"/>
  <c r="ZZ29" i="5"/>
  <c r="AAA29" i="5"/>
  <c r="AAB29" i="5"/>
  <c r="AAC29" i="5"/>
  <c r="AAD29" i="5"/>
  <c r="AAE29" i="5"/>
  <c r="AAF29" i="5"/>
  <c r="AAG29" i="5"/>
  <c r="AAH29" i="5"/>
  <c r="AAI29" i="5"/>
  <c r="AAJ29" i="5"/>
  <c r="AAK29" i="5"/>
  <c r="AAL29" i="5"/>
  <c r="AAM29" i="5"/>
  <c r="AAN29" i="5"/>
  <c r="AAO29" i="5"/>
  <c r="AAP29" i="5"/>
  <c r="AAQ29" i="5"/>
  <c r="AAR29" i="5"/>
  <c r="AAS29" i="5"/>
  <c r="AAT29" i="5"/>
  <c r="AAU29" i="5"/>
  <c r="AAV29" i="5"/>
  <c r="AAW29" i="5"/>
  <c r="AAX29" i="5"/>
  <c r="AAY29" i="5"/>
  <c r="AAZ29" i="5"/>
  <c r="ABA29" i="5"/>
  <c r="ABB29" i="5"/>
  <c r="ABC29" i="5"/>
  <c r="ABD29" i="5"/>
  <c r="ABE29" i="5"/>
  <c r="ABF29" i="5"/>
  <c r="ABG29" i="5"/>
  <c r="ABH29" i="5"/>
  <c r="ABI29" i="5"/>
  <c r="ABJ29" i="5"/>
  <c r="ABK29" i="5"/>
  <c r="ABL29" i="5"/>
  <c r="ABM29" i="5"/>
  <c r="ABN29" i="5"/>
  <c r="ABO29" i="5"/>
  <c r="ABP29" i="5"/>
  <c r="ABQ29" i="5"/>
  <c r="ABR29" i="5"/>
  <c r="ABS29" i="5"/>
  <c r="ABT29" i="5"/>
  <c r="ABU29" i="5"/>
  <c r="ABV29" i="5"/>
  <c r="ABW29" i="5"/>
  <c r="ABX29" i="5"/>
  <c r="ABY29" i="5"/>
  <c r="ABZ29" i="5"/>
  <c r="ACA29" i="5"/>
  <c r="ACB29" i="5"/>
  <c r="ACC29" i="5"/>
  <c r="ACD29" i="5"/>
  <c r="ACE29" i="5"/>
  <c r="ACF29" i="5"/>
  <c r="ACG29" i="5"/>
  <c r="ACH29" i="5"/>
  <c r="ACI29" i="5"/>
  <c r="ACJ29" i="5"/>
  <c r="ACK29" i="5"/>
  <c r="ACL29" i="5"/>
  <c r="ACM29" i="5"/>
  <c r="ACN29" i="5"/>
  <c r="ACO29" i="5"/>
  <c r="ACP29" i="5"/>
  <c r="ACQ29" i="5"/>
  <c r="ACR29" i="5"/>
  <c r="ACS29" i="5"/>
  <c r="ACT29" i="5"/>
  <c r="ACU29" i="5"/>
  <c r="ACV29" i="5"/>
  <c r="ACW29" i="5"/>
  <c r="ACX29" i="5"/>
  <c r="ACY29" i="5"/>
  <c r="ACZ29" i="5"/>
  <c r="ADA29" i="5"/>
  <c r="ADB29" i="5"/>
  <c r="ADC29" i="5"/>
  <c r="ADD29" i="5"/>
  <c r="ADE29" i="5"/>
  <c r="ADF29" i="5"/>
  <c r="ADG29" i="5"/>
  <c r="ADH29" i="5"/>
  <c r="ADI29" i="5"/>
  <c r="ADJ29" i="5"/>
  <c r="ADK29" i="5"/>
  <c r="ADL29" i="5"/>
  <c r="ADM29" i="5"/>
  <c r="ADN29" i="5"/>
  <c r="ADO29" i="5"/>
  <c r="ADP29" i="5"/>
  <c r="ADQ29" i="5"/>
  <c r="ADR29" i="5"/>
  <c r="ADS29" i="5"/>
  <c r="ADT29" i="5"/>
  <c r="ADU29" i="5"/>
  <c r="ADV29" i="5"/>
  <c r="ADW29" i="5"/>
  <c r="ADX29" i="5"/>
  <c r="ADY29" i="5"/>
  <c r="ADZ29" i="5"/>
  <c r="AEA29" i="5"/>
  <c r="AEB29" i="5"/>
  <c r="AEC29" i="5"/>
  <c r="AED29" i="5"/>
  <c r="AEE29" i="5"/>
  <c r="AEF29" i="5"/>
  <c r="AEG29" i="5"/>
  <c r="AEH29" i="5"/>
  <c r="AEI29" i="5"/>
  <c r="AEJ29" i="5"/>
  <c r="AEK29" i="5"/>
  <c r="AEL29" i="5"/>
  <c r="AEM29" i="5"/>
  <c r="AEN29" i="5"/>
  <c r="AEO29" i="5"/>
  <c r="AEP29" i="5"/>
  <c r="AEQ29" i="5"/>
  <c r="AER29" i="5"/>
  <c r="AES29" i="5"/>
  <c r="AET29" i="5"/>
  <c r="AEU29" i="5"/>
  <c r="AEV29" i="5"/>
  <c r="AEW29" i="5"/>
  <c r="AEX29" i="5"/>
  <c r="AEY29" i="5"/>
  <c r="AEZ29" i="5"/>
  <c r="AFA29" i="5"/>
  <c r="AFB29" i="5"/>
  <c r="AFC29" i="5"/>
  <c r="AFD29" i="5"/>
  <c r="AFE29" i="5"/>
  <c r="AFF29" i="5"/>
  <c r="AFG29" i="5"/>
  <c r="AFH29" i="5"/>
  <c r="AFI29" i="5"/>
  <c r="AFJ29" i="5"/>
  <c r="AFK29" i="5"/>
  <c r="AFL29" i="5"/>
  <c r="AFM29" i="5"/>
  <c r="AFN29" i="5"/>
  <c r="AFO29" i="5"/>
  <c r="AFP29" i="5"/>
  <c r="AFQ29" i="5"/>
  <c r="AFR29" i="5"/>
  <c r="AFS29" i="5"/>
  <c r="AFT29" i="5"/>
  <c r="AFU29" i="5"/>
  <c r="AFV29" i="5"/>
  <c r="AFW29" i="5"/>
  <c r="AFX29" i="5"/>
  <c r="AFY29" i="5"/>
  <c r="AFZ29" i="5"/>
  <c r="AGA29" i="5"/>
  <c r="AGB29" i="5"/>
  <c r="AGC29" i="5"/>
  <c r="AGD29" i="5"/>
  <c r="AGE29" i="5"/>
  <c r="AGF29" i="5"/>
  <c r="AGG29" i="5"/>
  <c r="AGH29" i="5"/>
  <c r="AGI29" i="5"/>
  <c r="AGJ29" i="5"/>
  <c r="AGK29" i="5"/>
  <c r="AGL29" i="5"/>
  <c r="AGM29" i="5"/>
  <c r="AGN29" i="5"/>
  <c r="AGO29" i="5"/>
  <c r="AGP29" i="5"/>
  <c r="AGQ29" i="5"/>
  <c r="AGR29" i="5"/>
  <c r="AGS29" i="5"/>
  <c r="AGT29" i="5"/>
  <c r="AGU29" i="5"/>
  <c r="AGV29" i="5"/>
  <c r="AGW29" i="5"/>
  <c r="AGX29" i="5"/>
  <c r="AGY29" i="5"/>
  <c r="AGZ29" i="5"/>
  <c r="AHA29" i="5"/>
  <c r="AHB29" i="5"/>
  <c r="AHC29" i="5"/>
  <c r="AHD29" i="5"/>
  <c r="AHE29" i="5"/>
  <c r="AHF29" i="5"/>
  <c r="AHG29" i="5"/>
  <c r="AHH29" i="5"/>
  <c r="AHI29" i="5"/>
  <c r="AHJ29" i="5"/>
  <c r="AHK29" i="5"/>
  <c r="AHL29" i="5"/>
  <c r="AHM29" i="5"/>
  <c r="AHN29" i="5"/>
  <c r="AHO29" i="5"/>
  <c r="AHP29" i="5"/>
  <c r="AHQ29" i="5"/>
  <c r="AHR29" i="5"/>
  <c r="AHS29" i="5"/>
  <c r="AHT29" i="5"/>
  <c r="AHU29" i="5"/>
  <c r="AHV29" i="5"/>
  <c r="AHW29" i="5"/>
  <c r="AHX29" i="5"/>
  <c r="AHY29" i="5"/>
  <c r="AHZ29" i="5"/>
  <c r="AIA29" i="5"/>
  <c r="AIB29" i="5"/>
  <c r="AIC29" i="5"/>
  <c r="AID29" i="5"/>
  <c r="AIE29" i="5"/>
  <c r="AIF29" i="5"/>
  <c r="AIG29" i="5"/>
  <c r="AIH29" i="5"/>
  <c r="AII29" i="5"/>
  <c r="AIJ29" i="5"/>
  <c r="AIK29" i="5"/>
  <c r="AIL29" i="5"/>
  <c r="AIM29" i="5"/>
  <c r="AIN29" i="5"/>
  <c r="AIO29" i="5"/>
  <c r="AIP29" i="5"/>
  <c r="AIQ29" i="5"/>
  <c r="AIR29" i="5"/>
  <c r="AIS29" i="5"/>
  <c r="AIT29" i="5"/>
  <c r="AIU29" i="5"/>
  <c r="AIV29" i="5"/>
  <c r="AIW29" i="5"/>
  <c r="AIX29" i="5"/>
  <c r="AIY29" i="5"/>
  <c r="AIZ29" i="5"/>
  <c r="AJA29" i="5"/>
  <c r="AJB29" i="5"/>
  <c r="AJC29" i="5"/>
  <c r="AJD29" i="5"/>
  <c r="AJE29" i="5"/>
  <c r="AJF29" i="5"/>
  <c r="AJG29" i="5"/>
  <c r="AJH29" i="5"/>
  <c r="AJI29" i="5"/>
  <c r="AJJ29" i="5"/>
  <c r="AJK29" i="5"/>
  <c r="AJL29" i="5"/>
  <c r="AJM29" i="5"/>
  <c r="AJN29" i="5"/>
  <c r="AJO29" i="5"/>
  <c r="AJP29" i="5"/>
  <c r="AJQ29" i="5"/>
  <c r="AJR29" i="5"/>
  <c r="AJS29" i="5"/>
  <c r="AJT29" i="5"/>
  <c r="AJU29" i="5"/>
  <c r="AJV29" i="5"/>
  <c r="AJW29" i="5"/>
  <c r="AJX29" i="5"/>
  <c r="AJY29" i="5"/>
  <c r="AJZ29" i="5"/>
  <c r="AKA29" i="5"/>
  <c r="AKB29" i="5"/>
  <c r="AKC29" i="5"/>
  <c r="AKD29" i="5"/>
  <c r="AKE29" i="5"/>
  <c r="AKF29" i="5"/>
  <c r="AKG29" i="5"/>
  <c r="AKH29" i="5"/>
  <c r="AKI29" i="5"/>
  <c r="AKJ29" i="5"/>
  <c r="AKK29" i="5"/>
  <c r="AKL29" i="5"/>
  <c r="AKM29" i="5"/>
  <c r="AKN29" i="5"/>
  <c r="AKO29" i="5"/>
  <c r="AKP29" i="5"/>
  <c r="AKQ29" i="5"/>
  <c r="AKR29" i="5"/>
  <c r="AKS29" i="5"/>
  <c r="AKT29" i="5"/>
  <c r="AKU29" i="5"/>
  <c r="AKV29" i="5"/>
  <c r="AKW29" i="5"/>
  <c r="AKX29" i="5"/>
  <c r="AKY29" i="5"/>
  <c r="AKZ29" i="5"/>
  <c r="ALA29" i="5"/>
  <c r="ALB29" i="5"/>
  <c r="ALC29" i="5"/>
  <c r="ALD29" i="5"/>
  <c r="ALE29" i="5"/>
  <c r="ALF29" i="5"/>
  <c r="ALG29" i="5"/>
  <c r="ALH29" i="5"/>
  <c r="ALI29" i="5"/>
  <c r="ALJ29" i="5"/>
  <c r="ALK29" i="5"/>
  <c r="ALL29" i="5"/>
  <c r="ALM29" i="5"/>
  <c r="ALN29" i="5"/>
  <c r="ALO29" i="5"/>
  <c r="ALP29" i="5"/>
  <c r="ALQ29" i="5"/>
  <c r="ALR29" i="5"/>
  <c r="ALS29" i="5"/>
  <c r="ALT29" i="5"/>
  <c r="ALU29" i="5"/>
  <c r="ALV29" i="5"/>
  <c r="ALW29" i="5"/>
  <c r="ALX29" i="5"/>
  <c r="ALY29" i="5"/>
  <c r="ALZ29" i="5"/>
  <c r="AMA29" i="5"/>
  <c r="AMB29" i="5"/>
  <c r="AMC29" i="5"/>
  <c r="AMD29" i="5"/>
  <c r="AME29" i="5"/>
  <c r="AMF29" i="5"/>
  <c r="AMG29" i="5"/>
  <c r="AMH29" i="5"/>
  <c r="AMI29" i="5"/>
  <c r="AMJ29" i="5"/>
  <c r="AMK29" i="5"/>
  <c r="AML29" i="5"/>
  <c r="AMM29" i="5"/>
  <c r="AMN29" i="5"/>
  <c r="AMO29" i="5"/>
  <c r="AMP29" i="5"/>
  <c r="AMQ29" i="5"/>
  <c r="AMR29" i="5"/>
  <c r="AMS29" i="5"/>
  <c r="AMT29" i="5"/>
  <c r="AMU29" i="5"/>
  <c r="AMV29" i="5"/>
  <c r="AMW29" i="5"/>
  <c r="AMX29" i="5"/>
  <c r="AMY29" i="5"/>
  <c r="AMZ29" i="5"/>
  <c r="ANA29" i="5"/>
  <c r="ANB29" i="5"/>
  <c r="ANC29" i="5"/>
  <c r="AND29" i="5"/>
  <c r="ANE29" i="5"/>
  <c r="ANF29" i="5"/>
  <c r="ANG29" i="5"/>
  <c r="ANH29" i="5"/>
  <c r="ANI29" i="5"/>
  <c r="ANJ29" i="5"/>
  <c r="ANK29" i="5"/>
  <c r="ANL29" i="5"/>
  <c r="ANM29" i="5"/>
  <c r="ANN29" i="5"/>
  <c r="ANO29" i="5"/>
  <c r="ANP29" i="5"/>
  <c r="ANQ29" i="5"/>
  <c r="ANR29" i="5"/>
  <c r="ANS29" i="5"/>
  <c r="ANT29" i="5"/>
  <c r="ANU29" i="5"/>
  <c r="ANV29" i="5"/>
  <c r="ANW29" i="5"/>
  <c r="ANX29" i="5"/>
  <c r="ANY29" i="5"/>
  <c r="ANZ29" i="5"/>
  <c r="AOA29" i="5"/>
  <c r="AOB29" i="5"/>
  <c r="AOC29" i="5"/>
  <c r="AOD29" i="5"/>
  <c r="AOE29" i="5"/>
  <c r="AOF29" i="5"/>
  <c r="AOG29" i="5"/>
  <c r="AOH29" i="5"/>
  <c r="AOI29" i="5"/>
  <c r="AOJ29" i="5"/>
  <c r="AOK29" i="5"/>
  <c r="AOL29" i="5"/>
  <c r="AOM29" i="5"/>
  <c r="AON29" i="5"/>
  <c r="AOO29" i="5"/>
  <c r="AOP29" i="5"/>
  <c r="AOQ29" i="5"/>
  <c r="AOR29" i="5"/>
  <c r="AOS29" i="5"/>
  <c r="AOT29" i="5"/>
  <c r="AOU29" i="5"/>
  <c r="AOV29" i="5"/>
  <c r="AOW29" i="5"/>
  <c r="AOX29" i="5"/>
  <c r="AOY29" i="5"/>
  <c r="AOZ29" i="5"/>
  <c r="APA29" i="5"/>
  <c r="APB29" i="5"/>
  <c r="APC29" i="5"/>
  <c r="APD29" i="5"/>
  <c r="APE29" i="5"/>
  <c r="APF29" i="5"/>
  <c r="APG29" i="5"/>
  <c r="APH29" i="5"/>
  <c r="API29" i="5"/>
  <c r="APJ29" i="5"/>
  <c r="APK29" i="5"/>
  <c r="APL29" i="5"/>
  <c r="APM29" i="5"/>
  <c r="APN29" i="5"/>
  <c r="APO29" i="5"/>
  <c r="APP29" i="5"/>
  <c r="APQ29" i="5"/>
  <c r="APR29" i="5"/>
  <c r="APS29" i="5"/>
  <c r="APT29" i="5"/>
  <c r="APU29" i="5"/>
  <c r="APV29" i="5"/>
  <c r="APW29" i="5"/>
  <c r="APX29" i="5"/>
  <c r="APY29" i="5"/>
  <c r="APZ29" i="5"/>
  <c r="AQA29" i="5"/>
  <c r="AQB29" i="5"/>
  <c r="AQC29" i="5"/>
  <c r="AQD29" i="5"/>
  <c r="AQE29" i="5"/>
  <c r="AQF29" i="5"/>
  <c r="AQG29" i="5"/>
  <c r="AQH29" i="5"/>
  <c r="AQI29" i="5"/>
  <c r="AQJ29" i="5"/>
  <c r="AQK29" i="5"/>
  <c r="AQL29" i="5"/>
  <c r="AQM29" i="5"/>
  <c r="AQN29" i="5"/>
  <c r="AQO29" i="5"/>
  <c r="AQP29" i="5"/>
  <c r="AQQ29" i="5"/>
  <c r="AQR29" i="5"/>
  <c r="AQS29" i="5"/>
  <c r="AQT29" i="5"/>
  <c r="AQU29" i="5"/>
  <c r="AQV29" i="5"/>
  <c r="AQW29" i="5"/>
  <c r="AQX29" i="5"/>
  <c r="AQY29" i="5"/>
  <c r="AQZ29" i="5"/>
  <c r="ARA29" i="5"/>
  <c r="ARB29" i="5"/>
  <c r="ARC29" i="5"/>
  <c r="ARD29" i="5"/>
  <c r="ARE29" i="5"/>
  <c r="ARF29" i="5"/>
  <c r="ARG29" i="5"/>
  <c r="ARH29" i="5"/>
  <c r="ARI29" i="5"/>
  <c r="ARJ29" i="5"/>
  <c r="ARK29" i="5"/>
  <c r="ARL29" i="5"/>
  <c r="ARM29" i="5"/>
  <c r="ARN29" i="5"/>
  <c r="ARO29" i="5"/>
  <c r="ARP29" i="5"/>
  <c r="ARQ29" i="5"/>
  <c r="ARR29" i="5"/>
  <c r="ARS29" i="5"/>
  <c r="ART29" i="5"/>
  <c r="ARU29" i="5"/>
  <c r="ARV29" i="5"/>
  <c r="ARW29" i="5"/>
  <c r="ARX29" i="5"/>
  <c r="ARY29" i="5"/>
  <c r="ARZ29" i="5"/>
  <c r="ASA29" i="5"/>
  <c r="ASB29" i="5"/>
  <c r="ASC29" i="5"/>
  <c r="ASD29" i="5"/>
  <c r="ASE29" i="5"/>
  <c r="ASF29" i="5"/>
  <c r="ASG29" i="5"/>
  <c r="ASH29" i="5"/>
  <c r="ASI29" i="5"/>
  <c r="ASJ29" i="5"/>
  <c r="ASK29" i="5"/>
  <c r="ASL29" i="5"/>
  <c r="ASM29" i="5"/>
  <c r="ASN29" i="5"/>
  <c r="ASO29" i="5"/>
  <c r="ASP29" i="5"/>
  <c r="ASQ29" i="5"/>
  <c r="ASR29" i="5"/>
  <c r="ASS29" i="5"/>
  <c r="AST29" i="5"/>
  <c r="ASU29" i="5"/>
  <c r="ASV29" i="5"/>
  <c r="ASW29" i="5"/>
  <c r="ASX29" i="5"/>
  <c r="ASY29" i="5"/>
  <c r="ASZ29" i="5"/>
  <c r="ATA29" i="5"/>
  <c r="ATB29" i="5"/>
  <c r="ATC29" i="5"/>
  <c r="ATD29" i="5"/>
  <c r="ATE29" i="5"/>
  <c r="ATF29" i="5"/>
  <c r="ATG29" i="5"/>
  <c r="ATH29" i="5"/>
  <c r="ATI29" i="5"/>
  <c r="ATJ29" i="5"/>
  <c r="ATK29" i="5"/>
  <c r="ATL29" i="5"/>
  <c r="ATM29" i="5"/>
  <c r="ATN29" i="5"/>
  <c r="ATO29" i="5"/>
  <c r="ATP29" i="5"/>
  <c r="ATQ29" i="5"/>
  <c r="ATR29" i="5"/>
  <c r="ATS29" i="5"/>
  <c r="ATT29" i="5"/>
  <c r="ATU29" i="5"/>
  <c r="ATV29" i="5"/>
  <c r="ATW29" i="5"/>
  <c r="ATX29" i="5"/>
  <c r="ATY29" i="5"/>
  <c r="ATZ29" i="5"/>
  <c r="AUA29" i="5"/>
  <c r="AUB29" i="5"/>
  <c r="AUC29" i="5"/>
  <c r="AUD29" i="5"/>
  <c r="AUE29" i="5"/>
  <c r="AUF29" i="5"/>
  <c r="AUG29" i="5"/>
  <c r="AUH29" i="5"/>
  <c r="AUI29" i="5"/>
  <c r="AUJ29" i="5"/>
  <c r="AUK29" i="5"/>
  <c r="AUL29" i="5"/>
  <c r="AUM29" i="5"/>
  <c r="AUN29" i="5"/>
  <c r="AUO29" i="5"/>
  <c r="AUP29" i="5"/>
  <c r="AUQ29" i="5"/>
  <c r="AUR29" i="5"/>
  <c r="AUS29" i="5"/>
  <c r="AUT29" i="5"/>
  <c r="AUU29" i="5"/>
  <c r="AUV29" i="5"/>
  <c r="AUW29" i="5"/>
  <c r="AUX29" i="5"/>
  <c r="AUY29" i="5"/>
  <c r="AUZ29" i="5"/>
  <c r="AVA29" i="5"/>
  <c r="AVB29" i="5"/>
  <c r="AVC29" i="5"/>
  <c r="AVD29" i="5"/>
  <c r="AVE29" i="5"/>
  <c r="AVF29" i="5"/>
  <c r="AVG29" i="5"/>
  <c r="AVH29" i="5"/>
  <c r="AVI29" i="5"/>
  <c r="AVJ29" i="5"/>
  <c r="AVK29" i="5"/>
  <c r="AVL29" i="5"/>
  <c r="AVM29" i="5"/>
  <c r="AVN29" i="5"/>
  <c r="AVO29" i="5"/>
  <c r="AVP29" i="5"/>
  <c r="AVQ29" i="5"/>
  <c r="AVR29" i="5"/>
  <c r="AVS29" i="5"/>
  <c r="AVT29" i="5"/>
  <c r="AVU29" i="5"/>
  <c r="AVV29" i="5"/>
  <c r="AVW29" i="5"/>
  <c r="AVX29" i="5"/>
  <c r="AVY29" i="5"/>
  <c r="AVZ29" i="5"/>
  <c r="AWA29" i="5"/>
  <c r="AWB29" i="5"/>
  <c r="AWC29" i="5"/>
  <c r="AWD29" i="5"/>
  <c r="AWE29" i="5"/>
  <c r="AWF29" i="5"/>
  <c r="AWG29" i="5"/>
  <c r="AWH29" i="5"/>
  <c r="AWI29" i="5"/>
  <c r="AWJ29" i="5"/>
  <c r="AWK29" i="5"/>
  <c r="AWL29" i="5"/>
  <c r="AWM29" i="5"/>
  <c r="AWN29" i="5"/>
  <c r="AWO29" i="5"/>
  <c r="AWP29" i="5"/>
  <c r="AWQ29" i="5"/>
  <c r="AWR29" i="5"/>
  <c r="AWS29" i="5"/>
  <c r="AWT29" i="5"/>
  <c r="AWU29" i="5"/>
  <c r="AWV29" i="5"/>
  <c r="AWW29" i="5"/>
  <c r="AWX29" i="5"/>
  <c r="AWY29" i="5"/>
  <c r="AWZ29" i="5"/>
  <c r="AXA29" i="5"/>
  <c r="AXB29" i="5"/>
  <c r="AXC29" i="5"/>
  <c r="AXD29" i="5"/>
  <c r="AXE29" i="5"/>
  <c r="AXF29" i="5"/>
  <c r="AXG29" i="5"/>
  <c r="AXH29" i="5"/>
  <c r="AXI29" i="5"/>
  <c r="AXJ29" i="5"/>
  <c r="AXK29" i="5"/>
  <c r="AXL29" i="5"/>
  <c r="AXM29" i="5"/>
  <c r="AXN29" i="5"/>
  <c r="AXO29" i="5"/>
  <c r="AXP29" i="5"/>
  <c r="AXQ29" i="5"/>
  <c r="AXR29" i="5"/>
  <c r="AXS29" i="5"/>
  <c r="AXT29" i="5"/>
  <c r="AXU29" i="5"/>
  <c r="AXV29" i="5"/>
  <c r="AXW29" i="5"/>
  <c r="AXX29" i="5"/>
  <c r="AXY29" i="5"/>
  <c r="AXZ29" i="5"/>
  <c r="AYA29" i="5"/>
  <c r="AYB29" i="5"/>
  <c r="AYC29" i="5"/>
  <c r="AYD29" i="5"/>
  <c r="AYE29" i="5"/>
  <c r="AYF29" i="5"/>
  <c r="AYG29" i="5"/>
  <c r="AYH29" i="5"/>
  <c r="AYI29" i="5"/>
  <c r="AYJ29" i="5"/>
  <c r="AYK29" i="5"/>
  <c r="AYL29" i="5"/>
  <c r="AYM29" i="5"/>
  <c r="AYN29" i="5"/>
  <c r="AYO29" i="5"/>
  <c r="AYP29" i="5"/>
  <c r="AYQ29" i="5"/>
  <c r="AYR29" i="5"/>
  <c r="AYS29" i="5"/>
  <c r="AYT29" i="5"/>
  <c r="AYU29" i="5"/>
  <c r="AYV29" i="5"/>
  <c r="AYW29" i="5"/>
  <c r="AYX29" i="5"/>
  <c r="AYY29" i="5"/>
  <c r="AYZ29" i="5"/>
  <c r="AZA29" i="5"/>
  <c r="AZB29" i="5"/>
  <c r="AZC29" i="5"/>
  <c r="AZD29" i="5"/>
  <c r="AZE29" i="5"/>
  <c r="AZF29" i="5"/>
  <c r="AZG29" i="5"/>
  <c r="AZH29" i="5"/>
  <c r="AZI29" i="5"/>
  <c r="AZJ29" i="5"/>
  <c r="AZK29" i="5"/>
  <c r="AZL29" i="5"/>
  <c r="AZM29" i="5"/>
  <c r="AZN29" i="5"/>
  <c r="AZO29" i="5"/>
  <c r="AZP29" i="5"/>
  <c r="AZQ29" i="5"/>
  <c r="AZR29" i="5"/>
  <c r="AZS29" i="5"/>
  <c r="AZT29" i="5"/>
  <c r="AZU29" i="5"/>
  <c r="AZV29" i="5"/>
  <c r="AZW29" i="5"/>
  <c r="AZX29" i="5"/>
  <c r="AZY29" i="5"/>
  <c r="AZZ29" i="5"/>
  <c r="BAA29" i="5"/>
  <c r="BAB29" i="5"/>
  <c r="BAC29" i="5"/>
  <c r="BAD29" i="5"/>
  <c r="BAE29" i="5"/>
  <c r="BAF29" i="5"/>
  <c r="BAG29" i="5"/>
  <c r="BAH29" i="5"/>
  <c r="BAI29" i="5"/>
  <c r="BAJ29" i="5"/>
  <c r="BAK29" i="5"/>
  <c r="BAL29" i="5"/>
  <c r="BAM29" i="5"/>
  <c r="BAN29" i="5"/>
  <c r="BAO29" i="5"/>
  <c r="BAP29" i="5"/>
  <c r="BAQ29" i="5"/>
  <c r="BAR29" i="5"/>
  <c r="BAS29" i="5"/>
  <c r="BAT29" i="5"/>
  <c r="BAU29" i="5"/>
  <c r="BAV29" i="5"/>
  <c r="BAW29" i="5"/>
  <c r="BAX29" i="5"/>
  <c r="BAY29" i="5"/>
  <c r="BAZ29" i="5"/>
  <c r="BBA29" i="5"/>
  <c r="BBB29" i="5"/>
  <c r="BBC29" i="5"/>
  <c r="BBD29" i="5"/>
  <c r="BBE29" i="5"/>
  <c r="BBF29" i="5"/>
  <c r="BBG29" i="5"/>
  <c r="BBH29" i="5"/>
  <c r="BBI29" i="5"/>
  <c r="BBJ29" i="5"/>
  <c r="BBK29" i="5"/>
  <c r="BBL29" i="5"/>
  <c r="BBM29" i="5"/>
  <c r="BBN29" i="5"/>
  <c r="BBO29" i="5"/>
  <c r="BBP29" i="5"/>
  <c r="BBQ29" i="5"/>
  <c r="BBR29" i="5"/>
  <c r="BBS29" i="5"/>
  <c r="BBT29" i="5"/>
  <c r="BBU29" i="5"/>
  <c r="BBV29" i="5"/>
  <c r="BBW29" i="5"/>
  <c r="BBX29" i="5"/>
  <c r="BBY29" i="5"/>
  <c r="BBZ29" i="5"/>
  <c r="BCA29" i="5"/>
  <c r="BCB29" i="5"/>
  <c r="BCC29" i="5"/>
  <c r="BCD29" i="5"/>
  <c r="BCE29" i="5"/>
  <c r="BCF29" i="5"/>
  <c r="BCG29" i="5"/>
  <c r="BCH29" i="5"/>
  <c r="BCI29" i="5"/>
  <c r="BCJ29" i="5"/>
  <c r="BCK29" i="5"/>
  <c r="BCL29" i="5"/>
  <c r="BCM29" i="5"/>
  <c r="BCN29" i="5"/>
  <c r="BCO29" i="5"/>
  <c r="BCP29" i="5"/>
  <c r="BCQ29" i="5"/>
  <c r="BCR29" i="5"/>
  <c r="BCS29" i="5"/>
  <c r="BCT29" i="5"/>
  <c r="BCU29" i="5"/>
  <c r="BCV29" i="5"/>
  <c r="BCW29" i="5"/>
  <c r="BCX29" i="5"/>
  <c r="BCY29" i="5"/>
  <c r="BCZ29" i="5"/>
  <c r="BDA29" i="5"/>
  <c r="BDB29" i="5"/>
  <c r="BDC29" i="5"/>
  <c r="BDD29" i="5"/>
  <c r="BDE29" i="5"/>
  <c r="BDF29" i="5"/>
  <c r="BDG29" i="5"/>
  <c r="BDH29" i="5"/>
  <c r="BDI29" i="5"/>
  <c r="BDJ29" i="5"/>
  <c r="BDK29" i="5"/>
  <c r="BDL29" i="5"/>
  <c r="BDM29" i="5"/>
  <c r="BDN29" i="5"/>
  <c r="BDO29" i="5"/>
  <c r="BDP29" i="5"/>
  <c r="BDQ29" i="5"/>
  <c r="BDR29" i="5"/>
  <c r="BDS29" i="5"/>
  <c r="BDT29" i="5"/>
  <c r="BDU29" i="5"/>
  <c r="BDV29" i="5"/>
  <c r="BDW29" i="5"/>
  <c r="BDX29" i="5"/>
  <c r="BDY29" i="5"/>
  <c r="BDZ29" i="5"/>
  <c r="BEA29" i="5"/>
  <c r="BEB29" i="5"/>
  <c r="BEC29" i="5"/>
  <c r="BED29" i="5"/>
  <c r="BEE29" i="5"/>
  <c r="BEF29" i="5"/>
  <c r="BEG29" i="5"/>
  <c r="BEH29" i="5"/>
  <c r="BEI29" i="5"/>
  <c r="BEJ29" i="5"/>
  <c r="BEK29" i="5"/>
  <c r="BEL29" i="5"/>
  <c r="BEM29" i="5"/>
  <c r="BEN29" i="5"/>
  <c r="BEO29" i="5"/>
  <c r="BEP29" i="5"/>
  <c r="BEQ29" i="5"/>
  <c r="BER29" i="5"/>
  <c r="BES29" i="5"/>
  <c r="BET29" i="5"/>
  <c r="BEU29" i="5"/>
  <c r="BEV29" i="5"/>
  <c r="BEW29" i="5"/>
  <c r="BEX29" i="5"/>
  <c r="BEY29" i="5"/>
  <c r="BEZ29" i="5"/>
  <c r="BFA29" i="5"/>
  <c r="BFB29" i="5"/>
  <c r="BFC29" i="5"/>
  <c r="BFD29" i="5"/>
  <c r="BFE29" i="5"/>
  <c r="BFF29" i="5"/>
  <c r="BFG29" i="5"/>
  <c r="BFH29" i="5"/>
  <c r="BFI29" i="5"/>
  <c r="BFJ29" i="5"/>
  <c r="BFK29" i="5"/>
  <c r="BFL29" i="5"/>
  <c r="BFM29" i="5"/>
  <c r="BFN29" i="5"/>
  <c r="BFO29" i="5"/>
  <c r="BFP29" i="5"/>
  <c r="BFQ29" i="5"/>
  <c r="BFR29" i="5"/>
  <c r="BFS29" i="5"/>
  <c r="BFT29" i="5"/>
  <c r="BFU29" i="5"/>
  <c r="BFV29" i="5"/>
  <c r="BFW29" i="5"/>
  <c r="BFX29" i="5"/>
  <c r="BFY29" i="5"/>
  <c r="BFZ29" i="5"/>
  <c r="BGA29" i="5"/>
  <c r="BGB29" i="5"/>
  <c r="BGC29" i="5"/>
  <c r="BGD29" i="5"/>
  <c r="BGE29" i="5"/>
  <c r="BGF29" i="5"/>
  <c r="BGG29" i="5"/>
  <c r="BGH29" i="5"/>
  <c r="BGI29" i="5"/>
  <c r="BGJ29" i="5"/>
  <c r="BGK29" i="5"/>
  <c r="BGL29" i="5"/>
  <c r="BGM29" i="5"/>
  <c r="BGN29" i="5"/>
  <c r="BGO29" i="5"/>
  <c r="BGP29" i="5"/>
  <c r="BGQ29" i="5"/>
  <c r="BGR29" i="5"/>
  <c r="BGS29" i="5"/>
  <c r="BGT29" i="5"/>
  <c r="BGU29" i="5"/>
  <c r="BGV29" i="5"/>
  <c r="BGW29" i="5"/>
  <c r="BGX29" i="5"/>
  <c r="BGY29" i="5"/>
  <c r="BGZ29" i="5"/>
  <c r="BHA29" i="5"/>
  <c r="BHB29" i="5"/>
  <c r="BHC29" i="5"/>
  <c r="BHD29" i="5"/>
  <c r="BHE29" i="5"/>
  <c r="BHF29" i="5"/>
  <c r="BHG29" i="5"/>
  <c r="BHH29" i="5"/>
  <c r="BHI29" i="5"/>
  <c r="BHJ29" i="5"/>
  <c r="BHK29" i="5"/>
  <c r="BHL29" i="5"/>
  <c r="BHM29" i="5"/>
  <c r="BHN29" i="5"/>
  <c r="BHO29" i="5"/>
  <c r="BHP29" i="5"/>
  <c r="BHQ29" i="5"/>
  <c r="BHR29" i="5"/>
  <c r="BHS29" i="5"/>
  <c r="BHT29" i="5"/>
  <c r="BHU29" i="5"/>
  <c r="BHV29" i="5"/>
  <c r="BHW29" i="5"/>
  <c r="BHX29" i="5"/>
  <c r="BHY29" i="5"/>
  <c r="BHZ29" i="5"/>
  <c r="BIA29" i="5"/>
  <c r="BIB29" i="5"/>
  <c r="BIC29" i="5"/>
  <c r="BID29" i="5"/>
  <c r="BIE29" i="5"/>
  <c r="BIF29" i="5"/>
  <c r="BIG29" i="5"/>
  <c r="BIH29" i="5"/>
  <c r="BII29" i="5"/>
  <c r="BIJ29" i="5"/>
  <c r="BIK29" i="5"/>
  <c r="BIL29" i="5"/>
  <c r="BIM29" i="5"/>
  <c r="BIN29" i="5"/>
  <c r="BIO29" i="5"/>
  <c r="BIP29" i="5"/>
  <c r="BIQ29" i="5"/>
  <c r="BIR29" i="5"/>
  <c r="BIS29" i="5"/>
  <c r="BIT29" i="5"/>
  <c r="BIU29" i="5"/>
  <c r="BIV29" i="5"/>
  <c r="BIW29" i="5"/>
  <c r="BIX29" i="5"/>
  <c r="BIY29" i="5"/>
  <c r="BIZ29" i="5"/>
  <c r="BJA29" i="5"/>
  <c r="BJB29" i="5"/>
  <c r="BJC29" i="5"/>
  <c r="BJD29" i="5"/>
  <c r="BJE29" i="5"/>
  <c r="BJF29" i="5"/>
  <c r="BJG29" i="5"/>
  <c r="BJH29" i="5"/>
  <c r="BJI29" i="5"/>
  <c r="BJJ29" i="5"/>
  <c r="BJK29" i="5"/>
  <c r="BJL29" i="5"/>
  <c r="BJM29" i="5"/>
  <c r="BJN29" i="5"/>
  <c r="BJO29" i="5"/>
  <c r="BJP29" i="5"/>
  <c r="BJQ29" i="5"/>
  <c r="BJR29" i="5"/>
  <c r="BJS29" i="5"/>
  <c r="BJT29" i="5"/>
  <c r="BJU29" i="5"/>
  <c r="BJV29" i="5"/>
  <c r="BJW29" i="5"/>
  <c r="BJX29" i="5"/>
  <c r="BJY29" i="5"/>
  <c r="BJZ29" i="5"/>
  <c r="BKA29" i="5"/>
  <c r="BKB29" i="5"/>
  <c r="BKC29" i="5"/>
  <c r="BKD29" i="5"/>
  <c r="BKE29" i="5"/>
  <c r="BKF29" i="5"/>
  <c r="BKG29" i="5"/>
  <c r="BKH29" i="5"/>
  <c r="BKI29" i="5"/>
  <c r="BKJ29" i="5"/>
  <c r="BKK29" i="5"/>
  <c r="BKL29" i="5"/>
  <c r="BKM29" i="5"/>
  <c r="BKN29" i="5"/>
  <c r="BKO29" i="5"/>
  <c r="BKP29" i="5"/>
  <c r="BKQ29" i="5"/>
  <c r="BKR29" i="5"/>
  <c r="BKS29" i="5"/>
  <c r="BKT29" i="5"/>
  <c r="BKU29" i="5"/>
  <c r="BKV29" i="5"/>
  <c r="BKW29" i="5"/>
  <c r="BKX29" i="5"/>
  <c r="BKY29" i="5"/>
  <c r="BKZ29" i="5"/>
  <c r="BLA29" i="5"/>
  <c r="BLB29" i="5"/>
  <c r="BLC29" i="5"/>
  <c r="BLD29" i="5"/>
  <c r="BLE29" i="5"/>
  <c r="BLF29" i="5"/>
  <c r="BLG29" i="5"/>
  <c r="BLH29" i="5"/>
  <c r="BLI29" i="5"/>
  <c r="BLJ29" i="5"/>
  <c r="BLK29" i="5"/>
  <c r="BLL29" i="5"/>
  <c r="BLM29" i="5"/>
  <c r="BLN29" i="5"/>
  <c r="BLO29" i="5"/>
  <c r="BLP29" i="5"/>
  <c r="BLQ29" i="5"/>
  <c r="BLR29" i="5"/>
  <c r="BLS29" i="5"/>
  <c r="BLT29" i="5"/>
  <c r="BLU29" i="5"/>
  <c r="BLV29" i="5"/>
  <c r="BLW29" i="5"/>
  <c r="BLX29" i="5"/>
  <c r="BLY29" i="5"/>
  <c r="BLZ29" i="5"/>
  <c r="BMA29" i="5"/>
  <c r="BMB29" i="5"/>
  <c r="BMC29" i="5"/>
  <c r="BMD29" i="5"/>
  <c r="BME29" i="5"/>
  <c r="BMF29" i="5"/>
  <c r="BMG29" i="5"/>
  <c r="BMH29" i="5"/>
  <c r="BMI29" i="5"/>
  <c r="BMJ29" i="5"/>
  <c r="BMK29" i="5"/>
  <c r="BML29" i="5"/>
  <c r="BMM29" i="5"/>
  <c r="BMN29" i="5"/>
  <c r="BMO29" i="5"/>
  <c r="BMP29" i="5"/>
  <c r="BMQ29" i="5"/>
  <c r="BMR29" i="5"/>
  <c r="BMS29" i="5"/>
  <c r="BMT29" i="5"/>
  <c r="BMU29" i="5"/>
  <c r="BMV29" i="5"/>
  <c r="BMW29" i="5"/>
  <c r="BMX29" i="5"/>
  <c r="BMY29" i="5"/>
  <c r="BMZ29" i="5"/>
  <c r="BNA29" i="5"/>
  <c r="BNB29" i="5"/>
  <c r="BNC29" i="5"/>
  <c r="BND29" i="5"/>
  <c r="BNE29" i="5"/>
  <c r="BNF29" i="5"/>
  <c r="BNG29" i="5"/>
  <c r="BNH29" i="5"/>
  <c r="BNI29" i="5"/>
  <c r="BNJ29" i="5"/>
  <c r="BNK29" i="5"/>
  <c r="BNL29" i="5"/>
  <c r="BNM29" i="5"/>
  <c r="BNN29" i="5"/>
  <c r="BNO29" i="5"/>
  <c r="BNP29" i="5"/>
  <c r="BNQ29" i="5"/>
  <c r="BNR29" i="5"/>
  <c r="BNS29" i="5"/>
  <c r="BNT29" i="5"/>
  <c r="BNU29" i="5"/>
  <c r="BNV29" i="5"/>
  <c r="BNW29" i="5"/>
  <c r="BNX29" i="5"/>
  <c r="BNY29" i="5"/>
  <c r="BNZ29" i="5"/>
  <c r="BOA29" i="5"/>
  <c r="BOB29" i="5"/>
  <c r="BOC29" i="5"/>
  <c r="BOD29" i="5"/>
  <c r="BOE29" i="5"/>
  <c r="BOF29" i="5"/>
  <c r="BOG29" i="5"/>
  <c r="BOH29" i="5"/>
  <c r="BOI29" i="5"/>
  <c r="BOJ29" i="5"/>
  <c r="BOK29" i="5"/>
  <c r="BOL29" i="5"/>
  <c r="BOM29" i="5"/>
  <c r="BON29" i="5"/>
  <c r="BOO29" i="5"/>
  <c r="BOP29" i="5"/>
  <c r="BOQ29" i="5"/>
  <c r="BOR29" i="5"/>
  <c r="BOS29" i="5"/>
  <c r="BOT29" i="5"/>
  <c r="BOU29" i="5"/>
  <c r="BOV29" i="5"/>
  <c r="BOW29" i="5"/>
  <c r="BOX29" i="5"/>
  <c r="BOY29" i="5"/>
  <c r="BOZ29" i="5"/>
  <c r="BPA29" i="5"/>
  <c r="BPB29" i="5"/>
  <c r="BPC29" i="5"/>
  <c r="BPD29" i="5"/>
  <c r="BPE29" i="5"/>
  <c r="BPF29" i="5"/>
  <c r="BPG29" i="5"/>
  <c r="BPH29" i="5"/>
  <c r="BPI29" i="5"/>
  <c r="BPJ29" i="5"/>
  <c r="BPK29" i="5"/>
  <c r="BPL29" i="5"/>
  <c r="BPM29" i="5"/>
  <c r="BPN29" i="5"/>
  <c r="BPO29" i="5"/>
  <c r="BPP29" i="5"/>
  <c r="BPQ29" i="5"/>
  <c r="BPR29" i="5"/>
  <c r="BPS29" i="5"/>
  <c r="BPT29" i="5"/>
  <c r="BPU29" i="5"/>
  <c r="BPV29" i="5"/>
  <c r="BPW29" i="5"/>
  <c r="BPX29" i="5"/>
  <c r="BPY29" i="5"/>
  <c r="BPZ29" i="5"/>
  <c r="BQA29" i="5"/>
  <c r="BQB29" i="5"/>
  <c r="BQC29" i="5"/>
  <c r="BQD29" i="5"/>
  <c r="BQE29" i="5"/>
  <c r="BQF29" i="5"/>
  <c r="BQG29" i="5"/>
  <c r="BQH29" i="5"/>
  <c r="BQI29" i="5"/>
  <c r="BQJ29" i="5"/>
  <c r="BQK29" i="5"/>
  <c r="BQL29" i="5"/>
  <c r="BQM29" i="5"/>
  <c r="BQN29" i="5"/>
  <c r="BQO29" i="5"/>
  <c r="BQP29" i="5"/>
  <c r="BQQ29" i="5"/>
  <c r="BQR29" i="5"/>
  <c r="BQS29" i="5"/>
  <c r="BQT29" i="5"/>
  <c r="BQU29" i="5"/>
  <c r="BQV29" i="5"/>
  <c r="BQW29" i="5"/>
  <c r="BQX29" i="5"/>
  <c r="BQY29" i="5"/>
  <c r="BQZ29" i="5"/>
  <c r="BRA29" i="5"/>
  <c r="BRB29" i="5"/>
  <c r="BRC29" i="5"/>
  <c r="BRD29" i="5"/>
  <c r="BRE29" i="5"/>
  <c r="BRF29" i="5"/>
  <c r="BRG29" i="5"/>
  <c r="BRH29" i="5"/>
  <c r="BRI29" i="5"/>
  <c r="BRJ29" i="5"/>
  <c r="BRK29" i="5"/>
  <c r="BRL29" i="5"/>
  <c r="BRM29" i="5"/>
  <c r="BRN29" i="5"/>
  <c r="BRO29" i="5"/>
  <c r="BRP29" i="5"/>
  <c r="BRQ29" i="5"/>
  <c r="BRR29" i="5"/>
  <c r="BRS29" i="5"/>
  <c r="BRT29" i="5"/>
  <c r="BRU29" i="5"/>
  <c r="BRV29" i="5"/>
  <c r="BRW29" i="5"/>
  <c r="BRX29" i="5"/>
  <c r="BRY29" i="5"/>
  <c r="BRZ29" i="5"/>
  <c r="BSA29" i="5"/>
  <c r="BSB29" i="5"/>
  <c r="BSC29" i="5"/>
  <c r="BSD29" i="5"/>
  <c r="BSE29" i="5"/>
  <c r="BSF29" i="5"/>
  <c r="BSG29" i="5"/>
  <c r="BSH29" i="5"/>
  <c r="BSI29" i="5"/>
  <c r="BSJ29" i="5"/>
  <c r="BSK29" i="5"/>
  <c r="BSL29" i="5"/>
  <c r="BSM29" i="5"/>
  <c r="BSN29" i="5"/>
  <c r="BSO29" i="5"/>
  <c r="BSP29" i="5"/>
  <c r="BSQ29" i="5"/>
  <c r="BSR29" i="5"/>
  <c r="BSS29" i="5"/>
  <c r="BST29" i="5"/>
  <c r="BSU29" i="5"/>
  <c r="BSV29" i="5"/>
  <c r="BSW29" i="5"/>
  <c r="BSX29" i="5"/>
  <c r="BSY29" i="5"/>
  <c r="BSZ29" i="5"/>
  <c r="BTA29" i="5"/>
  <c r="BTB29" i="5"/>
  <c r="BTC29" i="5"/>
  <c r="BTD29" i="5"/>
  <c r="BTE29" i="5"/>
  <c r="BTF29" i="5"/>
  <c r="BTG29" i="5"/>
  <c r="BTH29" i="5"/>
  <c r="BTI29" i="5"/>
  <c r="BTJ29" i="5"/>
  <c r="BTK29" i="5"/>
  <c r="BTL29" i="5"/>
  <c r="BTM29" i="5"/>
  <c r="BTN29" i="5"/>
  <c r="BTO29" i="5"/>
  <c r="BTP29" i="5"/>
  <c r="BTQ29" i="5"/>
  <c r="BTR29" i="5"/>
  <c r="BTS29" i="5"/>
  <c r="BTT29" i="5"/>
  <c r="BTU29" i="5"/>
  <c r="BTV29" i="5"/>
  <c r="BTW29" i="5"/>
  <c r="BTX29" i="5"/>
  <c r="BTY29" i="5"/>
  <c r="BTZ29" i="5"/>
  <c r="BUA29" i="5"/>
  <c r="BUB29" i="5"/>
  <c r="BUC29" i="5"/>
  <c r="BUD29" i="5"/>
  <c r="BUE29" i="5"/>
  <c r="BUF29" i="5"/>
  <c r="BUG29" i="5"/>
  <c r="BUH29" i="5"/>
  <c r="BUI29" i="5"/>
  <c r="BUJ29" i="5"/>
  <c r="BUK29" i="5"/>
  <c r="BUL29" i="5"/>
  <c r="BUM29" i="5"/>
  <c r="BUN29" i="5"/>
  <c r="BUO29" i="5"/>
  <c r="BUP29" i="5"/>
  <c r="BUQ29" i="5"/>
  <c r="BUR29" i="5"/>
  <c r="BUS29" i="5"/>
  <c r="BUT29" i="5"/>
  <c r="BUU29" i="5"/>
  <c r="BUV29" i="5"/>
  <c r="BUW29" i="5"/>
  <c r="BUX29" i="5"/>
  <c r="BUY29" i="5"/>
  <c r="BUZ29" i="5"/>
  <c r="BVA29" i="5"/>
  <c r="BVB29" i="5"/>
  <c r="BVC29" i="5"/>
  <c r="BVD29" i="5"/>
  <c r="BVE29" i="5"/>
  <c r="BVF29" i="5"/>
  <c r="BVG29" i="5"/>
  <c r="BVH29" i="5"/>
  <c r="BVI29" i="5"/>
  <c r="BVJ29" i="5"/>
  <c r="BVK29" i="5"/>
  <c r="BVL29" i="5"/>
  <c r="BVM29" i="5"/>
  <c r="BVN29" i="5"/>
  <c r="BVO29" i="5"/>
  <c r="BVP29" i="5"/>
  <c r="BVQ29" i="5"/>
  <c r="BVR29" i="5"/>
  <c r="BVS29" i="5"/>
  <c r="BVT29" i="5"/>
  <c r="BVU29" i="5"/>
  <c r="BVV29" i="5"/>
  <c r="BVW29" i="5"/>
  <c r="BVX29" i="5"/>
  <c r="BVY29" i="5"/>
  <c r="BVZ29" i="5"/>
  <c r="BWA29" i="5"/>
  <c r="BWB29" i="5"/>
  <c r="BWC29" i="5"/>
  <c r="BWD29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JE30" i="5"/>
  <c r="JF30" i="5"/>
  <c r="JG30" i="5"/>
  <c r="JH30" i="5"/>
  <c r="JI30" i="5"/>
  <c r="JJ30" i="5"/>
  <c r="JK30" i="5"/>
  <c r="JL30" i="5"/>
  <c r="JM30" i="5"/>
  <c r="JN30" i="5"/>
  <c r="JO30" i="5"/>
  <c r="JP30" i="5"/>
  <c r="JQ30" i="5"/>
  <c r="JR30" i="5"/>
  <c r="JS30" i="5"/>
  <c r="JT30" i="5"/>
  <c r="JU30" i="5"/>
  <c r="JV30" i="5"/>
  <c r="JW30" i="5"/>
  <c r="JX30" i="5"/>
  <c r="JY30" i="5"/>
  <c r="JZ30" i="5"/>
  <c r="KA30" i="5"/>
  <c r="KB30" i="5"/>
  <c r="KC30" i="5"/>
  <c r="KD30" i="5"/>
  <c r="KE30" i="5"/>
  <c r="KF30" i="5"/>
  <c r="KG30" i="5"/>
  <c r="KH30" i="5"/>
  <c r="KI30" i="5"/>
  <c r="KJ30" i="5"/>
  <c r="KK30" i="5"/>
  <c r="KL30" i="5"/>
  <c r="KM30" i="5"/>
  <c r="KN30" i="5"/>
  <c r="KO30" i="5"/>
  <c r="KP30" i="5"/>
  <c r="KQ30" i="5"/>
  <c r="KR30" i="5"/>
  <c r="KS30" i="5"/>
  <c r="KT30" i="5"/>
  <c r="KU30" i="5"/>
  <c r="KV30" i="5"/>
  <c r="KW30" i="5"/>
  <c r="KX30" i="5"/>
  <c r="KY30" i="5"/>
  <c r="KZ30" i="5"/>
  <c r="LA30" i="5"/>
  <c r="LB30" i="5"/>
  <c r="LC30" i="5"/>
  <c r="LD30" i="5"/>
  <c r="LE30" i="5"/>
  <c r="LF30" i="5"/>
  <c r="LG30" i="5"/>
  <c r="LH30" i="5"/>
  <c r="LI30" i="5"/>
  <c r="LJ30" i="5"/>
  <c r="LK30" i="5"/>
  <c r="LL30" i="5"/>
  <c r="LM30" i="5"/>
  <c r="LN30" i="5"/>
  <c r="LO30" i="5"/>
  <c r="LP30" i="5"/>
  <c r="LQ30" i="5"/>
  <c r="LR30" i="5"/>
  <c r="LS30" i="5"/>
  <c r="LT30" i="5"/>
  <c r="LU30" i="5"/>
  <c r="LV30" i="5"/>
  <c r="LW30" i="5"/>
  <c r="LX30" i="5"/>
  <c r="LY30" i="5"/>
  <c r="LZ30" i="5"/>
  <c r="MA30" i="5"/>
  <c r="MB30" i="5"/>
  <c r="MC30" i="5"/>
  <c r="MD30" i="5"/>
  <c r="ME30" i="5"/>
  <c r="MF30" i="5"/>
  <c r="MG30" i="5"/>
  <c r="MH30" i="5"/>
  <c r="MI30" i="5"/>
  <c r="MJ30" i="5"/>
  <c r="MK30" i="5"/>
  <c r="ML30" i="5"/>
  <c r="MM30" i="5"/>
  <c r="MN30" i="5"/>
  <c r="MO30" i="5"/>
  <c r="MP30" i="5"/>
  <c r="MQ30" i="5"/>
  <c r="MR30" i="5"/>
  <c r="MS30" i="5"/>
  <c r="MT30" i="5"/>
  <c r="MU30" i="5"/>
  <c r="MV30" i="5"/>
  <c r="MW30" i="5"/>
  <c r="MX30" i="5"/>
  <c r="MY30" i="5"/>
  <c r="MZ30" i="5"/>
  <c r="NA30" i="5"/>
  <c r="NB30" i="5"/>
  <c r="NC30" i="5"/>
  <c r="ND30" i="5"/>
  <c r="NE30" i="5"/>
  <c r="NF30" i="5"/>
  <c r="NG30" i="5"/>
  <c r="NH30" i="5"/>
  <c r="NI30" i="5"/>
  <c r="NJ30" i="5"/>
  <c r="NK30" i="5"/>
  <c r="NL30" i="5"/>
  <c r="NM30" i="5"/>
  <c r="NN30" i="5"/>
  <c r="NO30" i="5"/>
  <c r="NP30" i="5"/>
  <c r="NQ30" i="5"/>
  <c r="NR30" i="5"/>
  <c r="NS30" i="5"/>
  <c r="NT30" i="5"/>
  <c r="NU30" i="5"/>
  <c r="NV30" i="5"/>
  <c r="NW30" i="5"/>
  <c r="NX30" i="5"/>
  <c r="NY30" i="5"/>
  <c r="NZ30" i="5"/>
  <c r="OA30" i="5"/>
  <c r="OB30" i="5"/>
  <c r="OC30" i="5"/>
  <c r="OD30" i="5"/>
  <c r="OE30" i="5"/>
  <c r="OF30" i="5"/>
  <c r="OG30" i="5"/>
  <c r="OH30" i="5"/>
  <c r="OI30" i="5"/>
  <c r="OJ30" i="5"/>
  <c r="OK30" i="5"/>
  <c r="OL30" i="5"/>
  <c r="OM30" i="5"/>
  <c r="ON30" i="5"/>
  <c r="OO30" i="5"/>
  <c r="OP30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PO30" i="5"/>
  <c r="PP30" i="5"/>
  <c r="PQ30" i="5"/>
  <c r="PR30" i="5"/>
  <c r="PS30" i="5"/>
  <c r="PT30" i="5"/>
  <c r="PU30" i="5"/>
  <c r="PV30" i="5"/>
  <c r="PW30" i="5"/>
  <c r="PX30" i="5"/>
  <c r="PY30" i="5"/>
  <c r="PZ30" i="5"/>
  <c r="QA30" i="5"/>
  <c r="QB30" i="5"/>
  <c r="QC30" i="5"/>
  <c r="QD30" i="5"/>
  <c r="QE30" i="5"/>
  <c r="QF30" i="5"/>
  <c r="QG30" i="5"/>
  <c r="QH30" i="5"/>
  <c r="QI30" i="5"/>
  <c r="QJ30" i="5"/>
  <c r="QK30" i="5"/>
  <c r="QL30" i="5"/>
  <c r="QM30" i="5"/>
  <c r="QN30" i="5"/>
  <c r="QO30" i="5"/>
  <c r="QP30" i="5"/>
  <c r="QQ30" i="5"/>
  <c r="QR30" i="5"/>
  <c r="QS30" i="5"/>
  <c r="QT30" i="5"/>
  <c r="QU30" i="5"/>
  <c r="QV30" i="5"/>
  <c r="QW30" i="5"/>
  <c r="QX30" i="5"/>
  <c r="QY30" i="5"/>
  <c r="QZ30" i="5"/>
  <c r="RA30" i="5"/>
  <c r="RB30" i="5"/>
  <c r="RC30" i="5"/>
  <c r="RD30" i="5"/>
  <c r="RE30" i="5"/>
  <c r="RF30" i="5"/>
  <c r="RG30" i="5"/>
  <c r="RH30" i="5"/>
  <c r="RI30" i="5"/>
  <c r="RJ30" i="5"/>
  <c r="RK30" i="5"/>
  <c r="RL30" i="5"/>
  <c r="RM30" i="5"/>
  <c r="RN30" i="5"/>
  <c r="RO30" i="5"/>
  <c r="RP30" i="5"/>
  <c r="RQ30" i="5"/>
  <c r="RR30" i="5"/>
  <c r="RS30" i="5"/>
  <c r="RT30" i="5"/>
  <c r="RU30" i="5"/>
  <c r="RV30" i="5"/>
  <c r="RW30" i="5"/>
  <c r="RX30" i="5"/>
  <c r="RY30" i="5"/>
  <c r="RZ30" i="5"/>
  <c r="SA30" i="5"/>
  <c r="SB30" i="5"/>
  <c r="SC30" i="5"/>
  <c r="SD30" i="5"/>
  <c r="SE30" i="5"/>
  <c r="SF30" i="5"/>
  <c r="SG30" i="5"/>
  <c r="SH30" i="5"/>
  <c r="SI30" i="5"/>
  <c r="SJ30" i="5"/>
  <c r="SK30" i="5"/>
  <c r="SL30" i="5"/>
  <c r="SM30" i="5"/>
  <c r="SN30" i="5"/>
  <c r="SO30" i="5"/>
  <c r="SP30" i="5"/>
  <c r="SQ30" i="5"/>
  <c r="SR30" i="5"/>
  <c r="SS30" i="5"/>
  <c r="ST30" i="5"/>
  <c r="SU30" i="5"/>
  <c r="SV30" i="5"/>
  <c r="SW30" i="5"/>
  <c r="SX30" i="5"/>
  <c r="SY30" i="5"/>
  <c r="SZ30" i="5"/>
  <c r="TA30" i="5"/>
  <c r="TB30" i="5"/>
  <c r="TC30" i="5"/>
  <c r="TD30" i="5"/>
  <c r="TE30" i="5"/>
  <c r="TF30" i="5"/>
  <c r="TG30" i="5"/>
  <c r="TH30" i="5"/>
  <c r="TI30" i="5"/>
  <c r="TJ30" i="5"/>
  <c r="TK30" i="5"/>
  <c r="TL30" i="5"/>
  <c r="TM30" i="5"/>
  <c r="TN30" i="5"/>
  <c r="TO30" i="5"/>
  <c r="TP30" i="5"/>
  <c r="TQ30" i="5"/>
  <c r="TR30" i="5"/>
  <c r="TS30" i="5"/>
  <c r="TT30" i="5"/>
  <c r="TU30" i="5"/>
  <c r="TV30" i="5"/>
  <c r="TW30" i="5"/>
  <c r="TX30" i="5"/>
  <c r="TY30" i="5"/>
  <c r="TZ30" i="5"/>
  <c r="UA30" i="5"/>
  <c r="UB30" i="5"/>
  <c r="UC30" i="5"/>
  <c r="UD30" i="5"/>
  <c r="UE30" i="5"/>
  <c r="UF30" i="5"/>
  <c r="UG30" i="5"/>
  <c r="UH30" i="5"/>
  <c r="UI30" i="5"/>
  <c r="UJ30" i="5"/>
  <c r="UK30" i="5"/>
  <c r="UL30" i="5"/>
  <c r="UM30" i="5"/>
  <c r="UN30" i="5"/>
  <c r="UO30" i="5"/>
  <c r="UP30" i="5"/>
  <c r="UQ30" i="5"/>
  <c r="UR30" i="5"/>
  <c r="US30" i="5"/>
  <c r="UT30" i="5"/>
  <c r="UU30" i="5"/>
  <c r="UV30" i="5"/>
  <c r="UW30" i="5"/>
  <c r="UX30" i="5"/>
  <c r="UY30" i="5"/>
  <c r="UZ30" i="5"/>
  <c r="VA30" i="5"/>
  <c r="VB30" i="5"/>
  <c r="VC30" i="5"/>
  <c r="VD30" i="5"/>
  <c r="VE30" i="5"/>
  <c r="VF30" i="5"/>
  <c r="VG30" i="5"/>
  <c r="VH30" i="5"/>
  <c r="VI30" i="5"/>
  <c r="VJ30" i="5"/>
  <c r="VK30" i="5"/>
  <c r="VL30" i="5"/>
  <c r="VM30" i="5"/>
  <c r="VN30" i="5"/>
  <c r="VO30" i="5"/>
  <c r="VP30" i="5"/>
  <c r="VQ30" i="5"/>
  <c r="VR30" i="5"/>
  <c r="VS30" i="5"/>
  <c r="VT30" i="5"/>
  <c r="VU30" i="5"/>
  <c r="VV30" i="5"/>
  <c r="VW30" i="5"/>
  <c r="VX30" i="5"/>
  <c r="VY30" i="5"/>
  <c r="VZ30" i="5"/>
  <c r="WA30" i="5"/>
  <c r="WB30" i="5"/>
  <c r="WC30" i="5"/>
  <c r="WD30" i="5"/>
  <c r="WE30" i="5"/>
  <c r="WF30" i="5"/>
  <c r="WG30" i="5"/>
  <c r="WH30" i="5"/>
  <c r="WI30" i="5"/>
  <c r="WJ30" i="5"/>
  <c r="WK30" i="5"/>
  <c r="WL30" i="5"/>
  <c r="WM30" i="5"/>
  <c r="WN30" i="5"/>
  <c r="WO30" i="5"/>
  <c r="WP30" i="5"/>
  <c r="WQ30" i="5"/>
  <c r="WR30" i="5"/>
  <c r="WS30" i="5"/>
  <c r="WT30" i="5"/>
  <c r="WU30" i="5"/>
  <c r="WV30" i="5"/>
  <c r="WW30" i="5"/>
  <c r="WX30" i="5"/>
  <c r="WY30" i="5"/>
  <c r="WZ30" i="5"/>
  <c r="XA30" i="5"/>
  <c r="XB30" i="5"/>
  <c r="XC30" i="5"/>
  <c r="XD30" i="5"/>
  <c r="XE30" i="5"/>
  <c r="XF30" i="5"/>
  <c r="XG30" i="5"/>
  <c r="XH30" i="5"/>
  <c r="XI30" i="5"/>
  <c r="XJ30" i="5"/>
  <c r="XK30" i="5"/>
  <c r="XL30" i="5"/>
  <c r="XM30" i="5"/>
  <c r="XN30" i="5"/>
  <c r="XO30" i="5"/>
  <c r="XP30" i="5"/>
  <c r="XQ30" i="5"/>
  <c r="XR30" i="5"/>
  <c r="XS30" i="5"/>
  <c r="XT30" i="5"/>
  <c r="XU30" i="5"/>
  <c r="XV30" i="5"/>
  <c r="XW30" i="5"/>
  <c r="XX30" i="5"/>
  <c r="XY30" i="5"/>
  <c r="XZ30" i="5"/>
  <c r="YA30" i="5"/>
  <c r="YB30" i="5"/>
  <c r="YC30" i="5"/>
  <c r="YD30" i="5"/>
  <c r="YE30" i="5"/>
  <c r="YF30" i="5"/>
  <c r="YG30" i="5"/>
  <c r="YH30" i="5"/>
  <c r="YI30" i="5"/>
  <c r="YJ30" i="5"/>
  <c r="YK30" i="5"/>
  <c r="YL30" i="5"/>
  <c r="YM30" i="5"/>
  <c r="YN30" i="5"/>
  <c r="YO30" i="5"/>
  <c r="YP30" i="5"/>
  <c r="YQ30" i="5"/>
  <c r="YR30" i="5"/>
  <c r="YS30" i="5"/>
  <c r="YT30" i="5"/>
  <c r="YU30" i="5"/>
  <c r="YV30" i="5"/>
  <c r="YW30" i="5"/>
  <c r="YX30" i="5"/>
  <c r="YY30" i="5"/>
  <c r="YZ30" i="5"/>
  <c r="ZA30" i="5"/>
  <c r="ZB30" i="5"/>
  <c r="ZC30" i="5"/>
  <c r="ZD30" i="5"/>
  <c r="ZE30" i="5"/>
  <c r="ZF30" i="5"/>
  <c r="ZG30" i="5"/>
  <c r="ZH30" i="5"/>
  <c r="ZI30" i="5"/>
  <c r="ZJ30" i="5"/>
  <c r="ZK30" i="5"/>
  <c r="ZL30" i="5"/>
  <c r="ZM30" i="5"/>
  <c r="ZN30" i="5"/>
  <c r="ZO30" i="5"/>
  <c r="ZP30" i="5"/>
  <c r="ZQ30" i="5"/>
  <c r="ZR30" i="5"/>
  <c r="ZS30" i="5"/>
  <c r="ZT30" i="5"/>
  <c r="ZU30" i="5"/>
  <c r="ZV30" i="5"/>
  <c r="ZW30" i="5"/>
  <c r="ZX30" i="5"/>
  <c r="ZY30" i="5"/>
  <c r="ZZ30" i="5"/>
  <c r="AAA30" i="5"/>
  <c r="AAB30" i="5"/>
  <c r="AAC30" i="5"/>
  <c r="AAD30" i="5"/>
  <c r="AAE30" i="5"/>
  <c r="AAF30" i="5"/>
  <c r="AAG30" i="5"/>
  <c r="AAH30" i="5"/>
  <c r="AAI30" i="5"/>
  <c r="AAJ30" i="5"/>
  <c r="AAK30" i="5"/>
  <c r="AAL30" i="5"/>
  <c r="AAM30" i="5"/>
  <c r="AAN30" i="5"/>
  <c r="AAO30" i="5"/>
  <c r="AAP30" i="5"/>
  <c r="AAQ30" i="5"/>
  <c r="AAR30" i="5"/>
  <c r="AAS30" i="5"/>
  <c r="AAT30" i="5"/>
  <c r="AAU30" i="5"/>
  <c r="AAV30" i="5"/>
  <c r="AAW30" i="5"/>
  <c r="AAX30" i="5"/>
  <c r="AAY30" i="5"/>
  <c r="AAZ30" i="5"/>
  <c r="ABA30" i="5"/>
  <c r="ABB30" i="5"/>
  <c r="ABC30" i="5"/>
  <c r="ABD30" i="5"/>
  <c r="ABE30" i="5"/>
  <c r="ABF30" i="5"/>
  <c r="ABG30" i="5"/>
  <c r="ABH30" i="5"/>
  <c r="ABI30" i="5"/>
  <c r="ABJ30" i="5"/>
  <c r="ABK30" i="5"/>
  <c r="ABL30" i="5"/>
  <c r="ABM30" i="5"/>
  <c r="ABN30" i="5"/>
  <c r="ABO30" i="5"/>
  <c r="ABP30" i="5"/>
  <c r="ABQ30" i="5"/>
  <c r="ABR30" i="5"/>
  <c r="ABS30" i="5"/>
  <c r="ABT30" i="5"/>
  <c r="ABU30" i="5"/>
  <c r="ABV30" i="5"/>
  <c r="ABW30" i="5"/>
  <c r="ABX30" i="5"/>
  <c r="ABY30" i="5"/>
  <c r="ABZ30" i="5"/>
  <c r="ACA30" i="5"/>
  <c r="ACB30" i="5"/>
  <c r="ACC30" i="5"/>
  <c r="ACD30" i="5"/>
  <c r="ACE30" i="5"/>
  <c r="ACF30" i="5"/>
  <c r="ACG30" i="5"/>
  <c r="ACH30" i="5"/>
  <c r="ACI30" i="5"/>
  <c r="ACJ30" i="5"/>
  <c r="ACK30" i="5"/>
  <c r="ACL30" i="5"/>
  <c r="ACM30" i="5"/>
  <c r="ACN30" i="5"/>
  <c r="ACO30" i="5"/>
  <c r="ACP30" i="5"/>
  <c r="ACQ30" i="5"/>
  <c r="ACR30" i="5"/>
  <c r="ACS30" i="5"/>
  <c r="ACT30" i="5"/>
  <c r="ACU30" i="5"/>
  <c r="ACV30" i="5"/>
  <c r="ACW30" i="5"/>
  <c r="ACX30" i="5"/>
  <c r="ACY30" i="5"/>
  <c r="ACZ30" i="5"/>
  <c r="ADA30" i="5"/>
  <c r="ADB30" i="5"/>
  <c r="ADC30" i="5"/>
  <c r="ADD30" i="5"/>
  <c r="ADE30" i="5"/>
  <c r="ADF30" i="5"/>
  <c r="ADG30" i="5"/>
  <c r="ADH30" i="5"/>
  <c r="ADI30" i="5"/>
  <c r="ADJ30" i="5"/>
  <c r="ADK30" i="5"/>
  <c r="ADL30" i="5"/>
  <c r="ADM30" i="5"/>
  <c r="ADN30" i="5"/>
  <c r="ADO30" i="5"/>
  <c r="ADP30" i="5"/>
  <c r="ADQ30" i="5"/>
  <c r="ADR30" i="5"/>
  <c r="ADS30" i="5"/>
  <c r="ADT30" i="5"/>
  <c r="ADU30" i="5"/>
  <c r="ADV30" i="5"/>
  <c r="ADW30" i="5"/>
  <c r="ADX30" i="5"/>
  <c r="ADY30" i="5"/>
  <c r="ADZ30" i="5"/>
  <c r="AEA30" i="5"/>
  <c r="AEB30" i="5"/>
  <c r="AEC30" i="5"/>
  <c r="AED30" i="5"/>
  <c r="AEE30" i="5"/>
  <c r="AEF30" i="5"/>
  <c r="AEG30" i="5"/>
  <c r="AEH30" i="5"/>
  <c r="AEI30" i="5"/>
  <c r="AEJ30" i="5"/>
  <c r="AEK30" i="5"/>
  <c r="AEL30" i="5"/>
  <c r="AEM30" i="5"/>
  <c r="AEN30" i="5"/>
  <c r="AEO30" i="5"/>
  <c r="AEP30" i="5"/>
  <c r="AEQ30" i="5"/>
  <c r="AER30" i="5"/>
  <c r="AES30" i="5"/>
  <c r="AET30" i="5"/>
  <c r="AEU30" i="5"/>
  <c r="AEV30" i="5"/>
  <c r="AEW30" i="5"/>
  <c r="AEX30" i="5"/>
  <c r="AEY30" i="5"/>
  <c r="AEZ30" i="5"/>
  <c r="AFA30" i="5"/>
  <c r="AFB30" i="5"/>
  <c r="AFC30" i="5"/>
  <c r="AFD30" i="5"/>
  <c r="AFE30" i="5"/>
  <c r="AFF30" i="5"/>
  <c r="AFG30" i="5"/>
  <c r="AFH30" i="5"/>
  <c r="AFI30" i="5"/>
  <c r="AFJ30" i="5"/>
  <c r="AFK30" i="5"/>
  <c r="AFL30" i="5"/>
  <c r="AFM30" i="5"/>
  <c r="AFN30" i="5"/>
  <c r="AFO30" i="5"/>
  <c r="AFP30" i="5"/>
  <c r="AFQ30" i="5"/>
  <c r="AFR30" i="5"/>
  <c r="AFS30" i="5"/>
  <c r="AFT30" i="5"/>
  <c r="AFU30" i="5"/>
  <c r="AFV30" i="5"/>
  <c r="AFW30" i="5"/>
  <c r="AFX30" i="5"/>
  <c r="AFY30" i="5"/>
  <c r="AFZ30" i="5"/>
  <c r="AGA30" i="5"/>
  <c r="AGB30" i="5"/>
  <c r="AGC30" i="5"/>
  <c r="AGD30" i="5"/>
  <c r="AGE30" i="5"/>
  <c r="AGF30" i="5"/>
  <c r="AGG30" i="5"/>
  <c r="AGH30" i="5"/>
  <c r="AGI30" i="5"/>
  <c r="AGJ30" i="5"/>
  <c r="AGK30" i="5"/>
  <c r="AGL30" i="5"/>
  <c r="AGM30" i="5"/>
  <c r="AGN30" i="5"/>
  <c r="AGO30" i="5"/>
  <c r="AGP30" i="5"/>
  <c r="AGQ30" i="5"/>
  <c r="AGR30" i="5"/>
  <c r="AGS30" i="5"/>
  <c r="AGT30" i="5"/>
  <c r="AGU30" i="5"/>
  <c r="AGV30" i="5"/>
  <c r="AGW30" i="5"/>
  <c r="AGX30" i="5"/>
  <c r="AGY30" i="5"/>
  <c r="AGZ30" i="5"/>
  <c r="AHA30" i="5"/>
  <c r="AHB30" i="5"/>
  <c r="AHC30" i="5"/>
  <c r="AHD30" i="5"/>
  <c r="AHE30" i="5"/>
  <c r="AHF30" i="5"/>
  <c r="AHG30" i="5"/>
  <c r="AHH30" i="5"/>
  <c r="AHI30" i="5"/>
  <c r="AHJ30" i="5"/>
  <c r="AHK30" i="5"/>
  <c r="AHL30" i="5"/>
  <c r="AHM30" i="5"/>
  <c r="AHN30" i="5"/>
  <c r="AHO30" i="5"/>
  <c r="AHP30" i="5"/>
  <c r="AHQ30" i="5"/>
  <c r="AHR30" i="5"/>
  <c r="AHS30" i="5"/>
  <c r="AHT30" i="5"/>
  <c r="AHU30" i="5"/>
  <c r="AHV30" i="5"/>
  <c r="AHW30" i="5"/>
  <c r="AHX30" i="5"/>
  <c r="AHY30" i="5"/>
  <c r="AHZ30" i="5"/>
  <c r="AIA30" i="5"/>
  <c r="AIB30" i="5"/>
  <c r="AIC30" i="5"/>
  <c r="AID30" i="5"/>
  <c r="AIE30" i="5"/>
  <c r="AIF30" i="5"/>
  <c r="AIG30" i="5"/>
  <c r="AIH30" i="5"/>
  <c r="AII30" i="5"/>
  <c r="AIJ30" i="5"/>
  <c r="AIK30" i="5"/>
  <c r="AIL30" i="5"/>
  <c r="AIM30" i="5"/>
  <c r="AIN30" i="5"/>
  <c r="AIO30" i="5"/>
  <c r="AIP30" i="5"/>
  <c r="AIQ30" i="5"/>
  <c r="AIR30" i="5"/>
  <c r="AIS30" i="5"/>
  <c r="AIT30" i="5"/>
  <c r="AIU30" i="5"/>
  <c r="AIV30" i="5"/>
  <c r="AIW30" i="5"/>
  <c r="AIX30" i="5"/>
  <c r="AIY30" i="5"/>
  <c r="AIZ30" i="5"/>
  <c r="AJA30" i="5"/>
  <c r="AJB30" i="5"/>
  <c r="AJC30" i="5"/>
  <c r="AJD30" i="5"/>
  <c r="AJE30" i="5"/>
  <c r="AJF30" i="5"/>
  <c r="AJG30" i="5"/>
  <c r="AJH30" i="5"/>
  <c r="AJI30" i="5"/>
  <c r="AJJ30" i="5"/>
  <c r="AJK30" i="5"/>
  <c r="AJL30" i="5"/>
  <c r="AJM30" i="5"/>
  <c r="AJN30" i="5"/>
  <c r="AJO30" i="5"/>
  <c r="AJP30" i="5"/>
  <c r="AJQ30" i="5"/>
  <c r="AJR30" i="5"/>
  <c r="AJS30" i="5"/>
  <c r="AJT30" i="5"/>
  <c r="AJU30" i="5"/>
  <c r="AJV30" i="5"/>
  <c r="AJW30" i="5"/>
  <c r="AJX30" i="5"/>
  <c r="AJY30" i="5"/>
  <c r="AJZ30" i="5"/>
  <c r="AKA30" i="5"/>
  <c r="AKB30" i="5"/>
  <c r="AKC30" i="5"/>
  <c r="AKD30" i="5"/>
  <c r="AKE30" i="5"/>
  <c r="AKF30" i="5"/>
  <c r="AKG30" i="5"/>
  <c r="AKH30" i="5"/>
  <c r="AKI30" i="5"/>
  <c r="AKJ30" i="5"/>
  <c r="AKK30" i="5"/>
  <c r="AKL30" i="5"/>
  <c r="AKM30" i="5"/>
  <c r="AKN30" i="5"/>
  <c r="AKO30" i="5"/>
  <c r="AKP30" i="5"/>
  <c r="AKQ30" i="5"/>
  <c r="AKR30" i="5"/>
  <c r="AKS30" i="5"/>
  <c r="AKT30" i="5"/>
  <c r="AKU30" i="5"/>
  <c r="AKV30" i="5"/>
  <c r="AKW30" i="5"/>
  <c r="AKX30" i="5"/>
  <c r="AKY30" i="5"/>
  <c r="AKZ30" i="5"/>
  <c r="ALA30" i="5"/>
  <c r="ALB30" i="5"/>
  <c r="ALC30" i="5"/>
  <c r="ALD30" i="5"/>
  <c r="ALE30" i="5"/>
  <c r="ALF30" i="5"/>
  <c r="ALG30" i="5"/>
  <c r="ALH30" i="5"/>
  <c r="ALI30" i="5"/>
  <c r="ALJ30" i="5"/>
  <c r="ALK30" i="5"/>
  <c r="ALL30" i="5"/>
  <c r="ALM30" i="5"/>
  <c r="ALN30" i="5"/>
  <c r="ALO30" i="5"/>
  <c r="ALP30" i="5"/>
  <c r="ALQ30" i="5"/>
  <c r="ALR30" i="5"/>
  <c r="ALS30" i="5"/>
  <c r="ALT30" i="5"/>
  <c r="ALU30" i="5"/>
  <c r="ALV30" i="5"/>
  <c r="ALW30" i="5"/>
  <c r="ALX30" i="5"/>
  <c r="ALY30" i="5"/>
  <c r="ALZ30" i="5"/>
  <c r="AMA30" i="5"/>
  <c r="AMB30" i="5"/>
  <c r="AMC30" i="5"/>
  <c r="AMD30" i="5"/>
  <c r="AME30" i="5"/>
  <c r="AMF30" i="5"/>
  <c r="AMG30" i="5"/>
  <c r="AMH30" i="5"/>
  <c r="AMI30" i="5"/>
  <c r="AMJ30" i="5"/>
  <c r="AMK30" i="5"/>
  <c r="AML30" i="5"/>
  <c r="AMM30" i="5"/>
  <c r="AMN30" i="5"/>
  <c r="AMO30" i="5"/>
  <c r="AMP30" i="5"/>
  <c r="AMQ30" i="5"/>
  <c r="AMR30" i="5"/>
  <c r="AMS30" i="5"/>
  <c r="AMT30" i="5"/>
  <c r="AMU30" i="5"/>
  <c r="AMV30" i="5"/>
  <c r="AMW30" i="5"/>
  <c r="AMX30" i="5"/>
  <c r="AMY30" i="5"/>
  <c r="AMZ30" i="5"/>
  <c r="ANA30" i="5"/>
  <c r="ANB30" i="5"/>
  <c r="ANC30" i="5"/>
  <c r="AND30" i="5"/>
  <c r="ANE30" i="5"/>
  <c r="ANF30" i="5"/>
  <c r="ANG30" i="5"/>
  <c r="ANH30" i="5"/>
  <c r="ANI30" i="5"/>
  <c r="ANJ30" i="5"/>
  <c r="ANK30" i="5"/>
  <c r="ANL30" i="5"/>
  <c r="ANM30" i="5"/>
  <c r="ANN30" i="5"/>
  <c r="ANO30" i="5"/>
  <c r="ANP30" i="5"/>
  <c r="ANQ30" i="5"/>
  <c r="ANR30" i="5"/>
  <c r="ANS30" i="5"/>
  <c r="ANT30" i="5"/>
  <c r="ANU30" i="5"/>
  <c r="ANV30" i="5"/>
  <c r="ANW30" i="5"/>
  <c r="ANX30" i="5"/>
  <c r="ANY30" i="5"/>
  <c r="ANZ30" i="5"/>
  <c r="AOA30" i="5"/>
  <c r="AOB30" i="5"/>
  <c r="AOC30" i="5"/>
  <c r="AOD30" i="5"/>
  <c r="AOE30" i="5"/>
  <c r="AOF30" i="5"/>
  <c r="AOG30" i="5"/>
  <c r="AOH30" i="5"/>
  <c r="AOI30" i="5"/>
  <c r="AOJ30" i="5"/>
  <c r="AOK30" i="5"/>
  <c r="AOL30" i="5"/>
  <c r="AOM30" i="5"/>
  <c r="AON30" i="5"/>
  <c r="AOO30" i="5"/>
  <c r="AOP30" i="5"/>
  <c r="AOQ30" i="5"/>
  <c r="AOR30" i="5"/>
  <c r="AOS30" i="5"/>
  <c r="AOT30" i="5"/>
  <c r="AOU30" i="5"/>
  <c r="AOV30" i="5"/>
  <c r="AOW30" i="5"/>
  <c r="AOX30" i="5"/>
  <c r="AOY30" i="5"/>
  <c r="AOZ30" i="5"/>
  <c r="APA30" i="5"/>
  <c r="APB30" i="5"/>
  <c r="APC30" i="5"/>
  <c r="APD30" i="5"/>
  <c r="APE30" i="5"/>
  <c r="APF30" i="5"/>
  <c r="APG30" i="5"/>
  <c r="APH30" i="5"/>
  <c r="API30" i="5"/>
  <c r="APJ30" i="5"/>
  <c r="APK30" i="5"/>
  <c r="APL30" i="5"/>
  <c r="APM30" i="5"/>
  <c r="APN30" i="5"/>
  <c r="APO30" i="5"/>
  <c r="APP30" i="5"/>
  <c r="APQ30" i="5"/>
  <c r="APR30" i="5"/>
  <c r="APS30" i="5"/>
  <c r="APT30" i="5"/>
  <c r="APU30" i="5"/>
  <c r="APV30" i="5"/>
  <c r="APW30" i="5"/>
  <c r="APX30" i="5"/>
  <c r="APY30" i="5"/>
  <c r="APZ30" i="5"/>
  <c r="AQA30" i="5"/>
  <c r="AQB30" i="5"/>
  <c r="AQC30" i="5"/>
  <c r="AQD30" i="5"/>
  <c r="AQE30" i="5"/>
  <c r="AQF30" i="5"/>
  <c r="AQG30" i="5"/>
  <c r="AQH30" i="5"/>
  <c r="AQI30" i="5"/>
  <c r="AQJ30" i="5"/>
  <c r="AQK30" i="5"/>
  <c r="AQL30" i="5"/>
  <c r="AQM30" i="5"/>
  <c r="AQN30" i="5"/>
  <c r="AQO30" i="5"/>
  <c r="AQP30" i="5"/>
  <c r="AQQ30" i="5"/>
  <c r="AQR30" i="5"/>
  <c r="AQS30" i="5"/>
  <c r="AQT30" i="5"/>
  <c r="AQU30" i="5"/>
  <c r="AQV30" i="5"/>
  <c r="AQW30" i="5"/>
  <c r="AQX30" i="5"/>
  <c r="AQY30" i="5"/>
  <c r="AQZ30" i="5"/>
  <c r="ARA30" i="5"/>
  <c r="ARB30" i="5"/>
  <c r="ARC30" i="5"/>
  <c r="ARD30" i="5"/>
  <c r="ARE30" i="5"/>
  <c r="ARF30" i="5"/>
  <c r="ARG30" i="5"/>
  <c r="ARH30" i="5"/>
  <c r="ARI30" i="5"/>
  <c r="ARJ30" i="5"/>
  <c r="ARK30" i="5"/>
  <c r="ARL30" i="5"/>
  <c r="ARM30" i="5"/>
  <c r="ARN30" i="5"/>
  <c r="ARO30" i="5"/>
  <c r="ARP30" i="5"/>
  <c r="ARQ30" i="5"/>
  <c r="ARR30" i="5"/>
  <c r="ARS30" i="5"/>
  <c r="ART30" i="5"/>
  <c r="ARU30" i="5"/>
  <c r="ARV30" i="5"/>
  <c r="ARW30" i="5"/>
  <c r="ARX30" i="5"/>
  <c r="ARY30" i="5"/>
  <c r="ARZ30" i="5"/>
  <c r="ASA30" i="5"/>
  <c r="ASB30" i="5"/>
  <c r="ASC30" i="5"/>
  <c r="ASD30" i="5"/>
  <c r="ASE30" i="5"/>
  <c r="ASF30" i="5"/>
  <c r="ASG30" i="5"/>
  <c r="ASH30" i="5"/>
  <c r="ASI30" i="5"/>
  <c r="ASJ30" i="5"/>
  <c r="ASK30" i="5"/>
  <c r="ASL30" i="5"/>
  <c r="ASM30" i="5"/>
  <c r="ASN30" i="5"/>
  <c r="ASO30" i="5"/>
  <c r="ASP30" i="5"/>
  <c r="ASQ30" i="5"/>
  <c r="ASR30" i="5"/>
  <c r="ASS30" i="5"/>
  <c r="AST30" i="5"/>
  <c r="ASU30" i="5"/>
  <c r="ASV30" i="5"/>
  <c r="ASW30" i="5"/>
  <c r="ASX30" i="5"/>
  <c r="ASY30" i="5"/>
  <c r="ASZ30" i="5"/>
  <c r="ATA30" i="5"/>
  <c r="ATB30" i="5"/>
  <c r="ATC30" i="5"/>
  <c r="ATD30" i="5"/>
  <c r="ATE30" i="5"/>
  <c r="ATF30" i="5"/>
  <c r="ATG30" i="5"/>
  <c r="ATH30" i="5"/>
  <c r="ATI30" i="5"/>
  <c r="ATJ30" i="5"/>
  <c r="ATK30" i="5"/>
  <c r="ATL30" i="5"/>
  <c r="ATM30" i="5"/>
  <c r="ATN30" i="5"/>
  <c r="ATO30" i="5"/>
  <c r="ATP30" i="5"/>
  <c r="ATQ30" i="5"/>
  <c r="ATR30" i="5"/>
  <c r="ATS30" i="5"/>
  <c r="ATT30" i="5"/>
  <c r="ATU30" i="5"/>
  <c r="ATV30" i="5"/>
  <c r="ATW30" i="5"/>
  <c r="ATX30" i="5"/>
  <c r="ATY30" i="5"/>
  <c r="ATZ30" i="5"/>
  <c r="AUA30" i="5"/>
  <c r="AUB30" i="5"/>
  <c r="AUC30" i="5"/>
  <c r="AUD30" i="5"/>
  <c r="AUE30" i="5"/>
  <c r="AUF30" i="5"/>
  <c r="AUG30" i="5"/>
  <c r="AUH30" i="5"/>
  <c r="AUI30" i="5"/>
  <c r="AUJ30" i="5"/>
  <c r="AUK30" i="5"/>
  <c r="AUL30" i="5"/>
  <c r="AUM30" i="5"/>
  <c r="AUN30" i="5"/>
  <c r="AUO30" i="5"/>
  <c r="AUP30" i="5"/>
  <c r="AUQ30" i="5"/>
  <c r="AUR30" i="5"/>
  <c r="AUS30" i="5"/>
  <c r="AUT30" i="5"/>
  <c r="AUU30" i="5"/>
  <c r="AUV30" i="5"/>
  <c r="AUW30" i="5"/>
  <c r="AUX30" i="5"/>
  <c r="AUY30" i="5"/>
  <c r="AUZ30" i="5"/>
  <c r="AVA30" i="5"/>
  <c r="AVB30" i="5"/>
  <c r="AVC30" i="5"/>
  <c r="AVD30" i="5"/>
  <c r="AVE30" i="5"/>
  <c r="AVF30" i="5"/>
  <c r="AVG30" i="5"/>
  <c r="AVH30" i="5"/>
  <c r="AVI30" i="5"/>
  <c r="AVJ30" i="5"/>
  <c r="AVK30" i="5"/>
  <c r="AVL30" i="5"/>
  <c r="AVM30" i="5"/>
  <c r="AVN30" i="5"/>
  <c r="AVO30" i="5"/>
  <c r="AVP30" i="5"/>
  <c r="AVQ30" i="5"/>
  <c r="AVR30" i="5"/>
  <c r="AVS30" i="5"/>
  <c r="AVT30" i="5"/>
  <c r="AVU30" i="5"/>
  <c r="AVV30" i="5"/>
  <c r="AVW30" i="5"/>
  <c r="AVX30" i="5"/>
  <c r="AVY30" i="5"/>
  <c r="AVZ30" i="5"/>
  <c r="AWA30" i="5"/>
  <c r="AWB30" i="5"/>
  <c r="AWC30" i="5"/>
  <c r="AWD30" i="5"/>
  <c r="AWE30" i="5"/>
  <c r="AWF30" i="5"/>
  <c r="AWG30" i="5"/>
  <c r="AWH30" i="5"/>
  <c r="AWI30" i="5"/>
  <c r="AWJ30" i="5"/>
  <c r="AWK30" i="5"/>
  <c r="AWL30" i="5"/>
  <c r="AWM30" i="5"/>
  <c r="AWN30" i="5"/>
  <c r="AWO30" i="5"/>
  <c r="AWP30" i="5"/>
  <c r="AWQ30" i="5"/>
  <c r="AWR30" i="5"/>
  <c r="AWS30" i="5"/>
  <c r="AWT30" i="5"/>
  <c r="AWU30" i="5"/>
  <c r="AWV30" i="5"/>
  <c r="AWW30" i="5"/>
  <c r="AWX30" i="5"/>
  <c r="AWY30" i="5"/>
  <c r="AWZ30" i="5"/>
  <c r="AXA30" i="5"/>
  <c r="AXB30" i="5"/>
  <c r="AXC30" i="5"/>
  <c r="AXD30" i="5"/>
  <c r="AXE30" i="5"/>
  <c r="AXF30" i="5"/>
  <c r="AXG30" i="5"/>
  <c r="AXH30" i="5"/>
  <c r="AXI30" i="5"/>
  <c r="AXJ30" i="5"/>
  <c r="AXK30" i="5"/>
  <c r="AXL30" i="5"/>
  <c r="AXM30" i="5"/>
  <c r="AXN30" i="5"/>
  <c r="AXO30" i="5"/>
  <c r="AXP30" i="5"/>
  <c r="AXQ30" i="5"/>
  <c r="AXR30" i="5"/>
  <c r="AXS30" i="5"/>
  <c r="AXT30" i="5"/>
  <c r="AXU30" i="5"/>
  <c r="AXV30" i="5"/>
  <c r="AXW30" i="5"/>
  <c r="AXX30" i="5"/>
  <c r="AXY30" i="5"/>
  <c r="AXZ30" i="5"/>
  <c r="AYA30" i="5"/>
  <c r="AYB30" i="5"/>
  <c r="AYC30" i="5"/>
  <c r="AYD30" i="5"/>
  <c r="AYE30" i="5"/>
  <c r="AYF30" i="5"/>
  <c r="AYG30" i="5"/>
  <c r="AYH30" i="5"/>
  <c r="AYI30" i="5"/>
  <c r="AYJ30" i="5"/>
  <c r="AYK30" i="5"/>
  <c r="AYL30" i="5"/>
  <c r="AYM30" i="5"/>
  <c r="AYN30" i="5"/>
  <c r="AYO30" i="5"/>
  <c r="AYP30" i="5"/>
  <c r="AYQ30" i="5"/>
  <c r="AYR30" i="5"/>
  <c r="AYS30" i="5"/>
  <c r="AYT30" i="5"/>
  <c r="AYU30" i="5"/>
  <c r="AYV30" i="5"/>
  <c r="AYW30" i="5"/>
  <c r="AYX30" i="5"/>
  <c r="AYY30" i="5"/>
  <c r="AYZ30" i="5"/>
  <c r="AZA30" i="5"/>
  <c r="AZB30" i="5"/>
  <c r="AZC30" i="5"/>
  <c r="AZD30" i="5"/>
  <c r="AZE30" i="5"/>
  <c r="AZF30" i="5"/>
  <c r="AZG30" i="5"/>
  <c r="AZH30" i="5"/>
  <c r="AZI30" i="5"/>
  <c r="AZJ30" i="5"/>
  <c r="AZK30" i="5"/>
  <c r="AZL30" i="5"/>
  <c r="AZM30" i="5"/>
  <c r="AZN30" i="5"/>
  <c r="AZO30" i="5"/>
  <c r="AZP30" i="5"/>
  <c r="AZQ30" i="5"/>
  <c r="AZR30" i="5"/>
  <c r="AZS30" i="5"/>
  <c r="AZT30" i="5"/>
  <c r="AZU30" i="5"/>
  <c r="AZV30" i="5"/>
  <c r="AZW30" i="5"/>
  <c r="AZX30" i="5"/>
  <c r="AZY30" i="5"/>
  <c r="AZZ30" i="5"/>
  <c r="BAA30" i="5"/>
  <c r="BAB30" i="5"/>
  <c r="BAC30" i="5"/>
  <c r="BAD30" i="5"/>
  <c r="BAE30" i="5"/>
  <c r="BAF30" i="5"/>
  <c r="BAG30" i="5"/>
  <c r="BAH30" i="5"/>
  <c r="BAI30" i="5"/>
  <c r="BAJ30" i="5"/>
  <c r="BAK30" i="5"/>
  <c r="BAL30" i="5"/>
  <c r="BAM30" i="5"/>
  <c r="BAN30" i="5"/>
  <c r="BAO30" i="5"/>
  <c r="BAP30" i="5"/>
  <c r="BAQ30" i="5"/>
  <c r="BAR30" i="5"/>
  <c r="BAS30" i="5"/>
  <c r="BAT30" i="5"/>
  <c r="BAU30" i="5"/>
  <c r="BAV30" i="5"/>
  <c r="BAW30" i="5"/>
  <c r="BAX30" i="5"/>
  <c r="BAY30" i="5"/>
  <c r="BAZ30" i="5"/>
  <c r="BBA30" i="5"/>
  <c r="BBB30" i="5"/>
  <c r="BBC30" i="5"/>
  <c r="BBD30" i="5"/>
  <c r="BBE30" i="5"/>
  <c r="BBF30" i="5"/>
  <c r="BBG30" i="5"/>
  <c r="BBH30" i="5"/>
  <c r="BBI30" i="5"/>
  <c r="BBJ30" i="5"/>
  <c r="BBK30" i="5"/>
  <c r="BBL30" i="5"/>
  <c r="BBM30" i="5"/>
  <c r="BBN30" i="5"/>
  <c r="BBO30" i="5"/>
  <c r="BBP30" i="5"/>
  <c r="BBQ30" i="5"/>
  <c r="BBR30" i="5"/>
  <c r="BBS30" i="5"/>
  <c r="BBT30" i="5"/>
  <c r="BBU30" i="5"/>
  <c r="BBV30" i="5"/>
  <c r="BBW30" i="5"/>
  <c r="BBX30" i="5"/>
  <c r="BBY30" i="5"/>
  <c r="BBZ30" i="5"/>
  <c r="BCA30" i="5"/>
  <c r="BCB30" i="5"/>
  <c r="BCC30" i="5"/>
  <c r="BCD30" i="5"/>
  <c r="BCE30" i="5"/>
  <c r="BCF30" i="5"/>
  <c r="BCG30" i="5"/>
  <c r="BCH30" i="5"/>
  <c r="BCI30" i="5"/>
  <c r="BCJ30" i="5"/>
  <c r="BCK30" i="5"/>
  <c r="BCL30" i="5"/>
  <c r="BCM30" i="5"/>
  <c r="BCN30" i="5"/>
  <c r="BCO30" i="5"/>
  <c r="BCP30" i="5"/>
  <c r="BCQ30" i="5"/>
  <c r="BCR30" i="5"/>
  <c r="BCS30" i="5"/>
  <c r="BCT30" i="5"/>
  <c r="BCU30" i="5"/>
  <c r="BCV30" i="5"/>
  <c r="BCW30" i="5"/>
  <c r="BCX30" i="5"/>
  <c r="BCY30" i="5"/>
  <c r="BCZ30" i="5"/>
  <c r="BDA30" i="5"/>
  <c r="BDB30" i="5"/>
  <c r="BDC30" i="5"/>
  <c r="BDD30" i="5"/>
  <c r="BDE30" i="5"/>
  <c r="BDF30" i="5"/>
  <c r="BDG30" i="5"/>
  <c r="BDH30" i="5"/>
  <c r="BDI30" i="5"/>
  <c r="BDJ30" i="5"/>
  <c r="BDK30" i="5"/>
  <c r="BDL30" i="5"/>
  <c r="BDM30" i="5"/>
  <c r="BDN30" i="5"/>
  <c r="BDO30" i="5"/>
  <c r="BDP30" i="5"/>
  <c r="BDQ30" i="5"/>
  <c r="BDR30" i="5"/>
  <c r="BDS30" i="5"/>
  <c r="BDT30" i="5"/>
  <c r="BDU30" i="5"/>
  <c r="BDV30" i="5"/>
  <c r="BDW30" i="5"/>
  <c r="BDX30" i="5"/>
  <c r="BDY30" i="5"/>
  <c r="BDZ30" i="5"/>
  <c r="BEA30" i="5"/>
  <c r="BEB30" i="5"/>
  <c r="BEC30" i="5"/>
  <c r="BED30" i="5"/>
  <c r="BEE30" i="5"/>
  <c r="BEF30" i="5"/>
  <c r="BEG30" i="5"/>
  <c r="BEH30" i="5"/>
  <c r="BEI30" i="5"/>
  <c r="BEJ30" i="5"/>
  <c r="BEK30" i="5"/>
  <c r="BEL30" i="5"/>
  <c r="BEM30" i="5"/>
  <c r="BEN30" i="5"/>
  <c r="BEO30" i="5"/>
  <c r="BEP30" i="5"/>
  <c r="BEQ30" i="5"/>
  <c r="BER30" i="5"/>
  <c r="BES30" i="5"/>
  <c r="BET30" i="5"/>
  <c r="BEU30" i="5"/>
  <c r="BEV30" i="5"/>
  <c r="BEW30" i="5"/>
  <c r="BEX30" i="5"/>
  <c r="BEY30" i="5"/>
  <c r="BEZ30" i="5"/>
  <c r="BFA30" i="5"/>
  <c r="BFB30" i="5"/>
  <c r="BFC30" i="5"/>
  <c r="BFD30" i="5"/>
  <c r="BFE30" i="5"/>
  <c r="BFF30" i="5"/>
  <c r="BFG30" i="5"/>
  <c r="BFH30" i="5"/>
  <c r="BFI30" i="5"/>
  <c r="BFJ30" i="5"/>
  <c r="BFK30" i="5"/>
  <c r="BFL30" i="5"/>
  <c r="BFM30" i="5"/>
  <c r="BFN30" i="5"/>
  <c r="BFO30" i="5"/>
  <c r="BFP30" i="5"/>
  <c r="BFQ30" i="5"/>
  <c r="BFR30" i="5"/>
  <c r="BFS30" i="5"/>
  <c r="BFT30" i="5"/>
  <c r="BFU30" i="5"/>
  <c r="BFV30" i="5"/>
  <c r="BFW30" i="5"/>
  <c r="BFX30" i="5"/>
  <c r="BFY30" i="5"/>
  <c r="BFZ30" i="5"/>
  <c r="BGA30" i="5"/>
  <c r="BGB30" i="5"/>
  <c r="BGC30" i="5"/>
  <c r="BGD30" i="5"/>
  <c r="BGE30" i="5"/>
  <c r="BGF30" i="5"/>
  <c r="BGG30" i="5"/>
  <c r="BGH30" i="5"/>
  <c r="BGI30" i="5"/>
  <c r="BGJ30" i="5"/>
  <c r="BGK30" i="5"/>
  <c r="BGL30" i="5"/>
  <c r="BGM30" i="5"/>
  <c r="BGN30" i="5"/>
  <c r="BGO30" i="5"/>
  <c r="BGP30" i="5"/>
  <c r="BGQ30" i="5"/>
  <c r="BGR30" i="5"/>
  <c r="BGS30" i="5"/>
  <c r="BGT30" i="5"/>
  <c r="BGU30" i="5"/>
  <c r="BGV30" i="5"/>
  <c r="BGW30" i="5"/>
  <c r="BGX30" i="5"/>
  <c r="BGY30" i="5"/>
  <c r="BGZ30" i="5"/>
  <c r="BHA30" i="5"/>
  <c r="BHB30" i="5"/>
  <c r="BHC30" i="5"/>
  <c r="BHD30" i="5"/>
  <c r="BHE30" i="5"/>
  <c r="BHF30" i="5"/>
  <c r="BHG30" i="5"/>
  <c r="BHH30" i="5"/>
  <c r="BHI30" i="5"/>
  <c r="BHJ30" i="5"/>
  <c r="BHK30" i="5"/>
  <c r="BHL30" i="5"/>
  <c r="BHM30" i="5"/>
  <c r="BHN30" i="5"/>
  <c r="BHO30" i="5"/>
  <c r="BHP30" i="5"/>
  <c r="BHQ30" i="5"/>
  <c r="BHR30" i="5"/>
  <c r="BHS30" i="5"/>
  <c r="BHT30" i="5"/>
  <c r="BHU30" i="5"/>
  <c r="BHV30" i="5"/>
  <c r="BHW30" i="5"/>
  <c r="BHX30" i="5"/>
  <c r="BHY30" i="5"/>
  <c r="BHZ30" i="5"/>
  <c r="BIA30" i="5"/>
  <c r="BIB30" i="5"/>
  <c r="BIC30" i="5"/>
  <c r="BID30" i="5"/>
  <c r="BIE30" i="5"/>
  <c r="BIF30" i="5"/>
  <c r="BIG30" i="5"/>
  <c r="BIH30" i="5"/>
  <c r="BII30" i="5"/>
  <c r="BIJ30" i="5"/>
  <c r="BIK30" i="5"/>
  <c r="BIL30" i="5"/>
  <c r="BIM30" i="5"/>
  <c r="BIN30" i="5"/>
  <c r="BIO30" i="5"/>
  <c r="BIP30" i="5"/>
  <c r="BIQ30" i="5"/>
  <c r="BIR30" i="5"/>
  <c r="BIS30" i="5"/>
  <c r="BIT30" i="5"/>
  <c r="BIU30" i="5"/>
  <c r="BIV30" i="5"/>
  <c r="BIW30" i="5"/>
  <c r="BIX30" i="5"/>
  <c r="BIY30" i="5"/>
  <c r="BIZ30" i="5"/>
  <c r="BJA30" i="5"/>
  <c r="BJB30" i="5"/>
  <c r="BJC30" i="5"/>
  <c r="BJD30" i="5"/>
  <c r="BJE30" i="5"/>
  <c r="BJF30" i="5"/>
  <c r="BJG30" i="5"/>
  <c r="BJH30" i="5"/>
  <c r="BJI30" i="5"/>
  <c r="BJJ30" i="5"/>
  <c r="BJK30" i="5"/>
  <c r="BJL30" i="5"/>
  <c r="BJM30" i="5"/>
  <c r="BJN30" i="5"/>
  <c r="BJO30" i="5"/>
  <c r="BJP30" i="5"/>
  <c r="BJQ30" i="5"/>
  <c r="BJR30" i="5"/>
  <c r="BJS30" i="5"/>
  <c r="BJT30" i="5"/>
  <c r="BJU30" i="5"/>
  <c r="BJV30" i="5"/>
  <c r="BJW30" i="5"/>
  <c r="BJX30" i="5"/>
  <c r="BJY30" i="5"/>
  <c r="BJZ30" i="5"/>
  <c r="BKA30" i="5"/>
  <c r="BKB30" i="5"/>
  <c r="BKC30" i="5"/>
  <c r="BKD30" i="5"/>
  <c r="BKE30" i="5"/>
  <c r="BKF30" i="5"/>
  <c r="BKG30" i="5"/>
  <c r="BKH30" i="5"/>
  <c r="BKI30" i="5"/>
  <c r="BKJ30" i="5"/>
  <c r="BKK30" i="5"/>
  <c r="BKL30" i="5"/>
  <c r="BKM30" i="5"/>
  <c r="BKN30" i="5"/>
  <c r="BKO30" i="5"/>
  <c r="BKP30" i="5"/>
  <c r="BKQ30" i="5"/>
  <c r="BKR30" i="5"/>
  <c r="BKS30" i="5"/>
  <c r="BKT30" i="5"/>
  <c r="BKU30" i="5"/>
  <c r="BKV30" i="5"/>
  <c r="BKW30" i="5"/>
  <c r="BKX30" i="5"/>
  <c r="BKY30" i="5"/>
  <c r="BKZ30" i="5"/>
  <c r="BLA30" i="5"/>
  <c r="BLB30" i="5"/>
  <c r="BLC30" i="5"/>
  <c r="BLD30" i="5"/>
  <c r="BLE30" i="5"/>
  <c r="BLF30" i="5"/>
  <c r="BLG30" i="5"/>
  <c r="BLH30" i="5"/>
  <c r="BLI30" i="5"/>
  <c r="BLJ30" i="5"/>
  <c r="BLK30" i="5"/>
  <c r="BLL30" i="5"/>
  <c r="BLM30" i="5"/>
  <c r="BLN30" i="5"/>
  <c r="BLO30" i="5"/>
  <c r="BLP30" i="5"/>
  <c r="BLQ30" i="5"/>
  <c r="BLR30" i="5"/>
  <c r="BLS30" i="5"/>
  <c r="BLT30" i="5"/>
  <c r="BLU30" i="5"/>
  <c r="BLV30" i="5"/>
  <c r="BLW30" i="5"/>
  <c r="BLX30" i="5"/>
  <c r="BLY30" i="5"/>
  <c r="BLZ30" i="5"/>
  <c r="BMA30" i="5"/>
  <c r="BMB30" i="5"/>
  <c r="BMC30" i="5"/>
  <c r="BMD30" i="5"/>
  <c r="BME30" i="5"/>
  <c r="BMF30" i="5"/>
  <c r="BMG30" i="5"/>
  <c r="BMH30" i="5"/>
  <c r="BMI30" i="5"/>
  <c r="BMJ30" i="5"/>
  <c r="BMK30" i="5"/>
  <c r="BML30" i="5"/>
  <c r="BMM30" i="5"/>
  <c r="BMN30" i="5"/>
  <c r="BMO30" i="5"/>
  <c r="BMP30" i="5"/>
  <c r="BMQ30" i="5"/>
  <c r="BMR30" i="5"/>
  <c r="BMS30" i="5"/>
  <c r="BMT30" i="5"/>
  <c r="BMU30" i="5"/>
  <c r="BMV30" i="5"/>
  <c r="BMW30" i="5"/>
  <c r="BMX30" i="5"/>
  <c r="BMY30" i="5"/>
  <c r="BMZ30" i="5"/>
  <c r="BNA30" i="5"/>
  <c r="BNB30" i="5"/>
  <c r="BNC30" i="5"/>
  <c r="BND30" i="5"/>
  <c r="BNE30" i="5"/>
  <c r="BNF30" i="5"/>
  <c r="BNG30" i="5"/>
  <c r="BNH30" i="5"/>
  <c r="BNI30" i="5"/>
  <c r="BNJ30" i="5"/>
  <c r="BNK30" i="5"/>
  <c r="BNL30" i="5"/>
  <c r="BNM30" i="5"/>
  <c r="BNN30" i="5"/>
  <c r="BNO30" i="5"/>
  <c r="BNP30" i="5"/>
  <c r="BNQ30" i="5"/>
  <c r="BNR30" i="5"/>
  <c r="BNS30" i="5"/>
  <c r="BNT30" i="5"/>
  <c r="BNU30" i="5"/>
  <c r="BNV30" i="5"/>
  <c r="BNW30" i="5"/>
  <c r="BNX30" i="5"/>
  <c r="BNY30" i="5"/>
  <c r="BNZ30" i="5"/>
  <c r="BOA30" i="5"/>
  <c r="BOB30" i="5"/>
  <c r="BOC30" i="5"/>
  <c r="BOD30" i="5"/>
  <c r="BOE30" i="5"/>
  <c r="BOF30" i="5"/>
  <c r="BOG30" i="5"/>
  <c r="BOH30" i="5"/>
  <c r="BOI30" i="5"/>
  <c r="BOJ30" i="5"/>
  <c r="BOK30" i="5"/>
  <c r="BOL30" i="5"/>
  <c r="BOM30" i="5"/>
  <c r="BON30" i="5"/>
  <c r="BOO30" i="5"/>
  <c r="BOP30" i="5"/>
  <c r="BOQ30" i="5"/>
  <c r="BOR30" i="5"/>
  <c r="BOS30" i="5"/>
  <c r="BOT30" i="5"/>
  <c r="BOU30" i="5"/>
  <c r="BOV30" i="5"/>
  <c r="BOW30" i="5"/>
  <c r="BOX30" i="5"/>
  <c r="BOY30" i="5"/>
  <c r="BOZ30" i="5"/>
  <c r="BPA30" i="5"/>
  <c r="BPB30" i="5"/>
  <c r="BPC30" i="5"/>
  <c r="BPD30" i="5"/>
  <c r="BPE30" i="5"/>
  <c r="BPF30" i="5"/>
  <c r="BPG30" i="5"/>
  <c r="BPH30" i="5"/>
  <c r="BPI30" i="5"/>
  <c r="BPJ30" i="5"/>
  <c r="BPK30" i="5"/>
  <c r="BPL30" i="5"/>
  <c r="BPM30" i="5"/>
  <c r="BPN30" i="5"/>
  <c r="BPO30" i="5"/>
  <c r="BPP30" i="5"/>
  <c r="BPQ30" i="5"/>
  <c r="BPR30" i="5"/>
  <c r="BPS30" i="5"/>
  <c r="BPT30" i="5"/>
  <c r="BPU30" i="5"/>
  <c r="BPV30" i="5"/>
  <c r="BPW30" i="5"/>
  <c r="BPX30" i="5"/>
  <c r="BPY30" i="5"/>
  <c r="BPZ30" i="5"/>
  <c r="BQA30" i="5"/>
  <c r="BQB30" i="5"/>
  <c r="BQC30" i="5"/>
  <c r="BQD30" i="5"/>
  <c r="BQE30" i="5"/>
  <c r="BQF30" i="5"/>
  <c r="BQG30" i="5"/>
  <c r="BQH30" i="5"/>
  <c r="BQI30" i="5"/>
  <c r="BQJ30" i="5"/>
  <c r="BQK30" i="5"/>
  <c r="BQL30" i="5"/>
  <c r="BQM30" i="5"/>
  <c r="BQN30" i="5"/>
  <c r="BQO30" i="5"/>
  <c r="BQP30" i="5"/>
  <c r="BQQ30" i="5"/>
  <c r="BQR30" i="5"/>
  <c r="BQS30" i="5"/>
  <c r="BQT30" i="5"/>
  <c r="BQU30" i="5"/>
  <c r="BQV30" i="5"/>
  <c r="BQW30" i="5"/>
  <c r="BQX30" i="5"/>
  <c r="BQY30" i="5"/>
  <c r="BQZ30" i="5"/>
  <c r="BRA30" i="5"/>
  <c r="BRB30" i="5"/>
  <c r="BRC30" i="5"/>
  <c r="BRD30" i="5"/>
  <c r="BRE30" i="5"/>
  <c r="BRF30" i="5"/>
  <c r="BRG30" i="5"/>
  <c r="BRH30" i="5"/>
  <c r="BRI30" i="5"/>
  <c r="BRJ30" i="5"/>
  <c r="BRK30" i="5"/>
  <c r="BRL30" i="5"/>
  <c r="BRM30" i="5"/>
  <c r="BRN30" i="5"/>
  <c r="BRO30" i="5"/>
  <c r="BRP30" i="5"/>
  <c r="BRQ30" i="5"/>
  <c r="BRR30" i="5"/>
  <c r="BRS30" i="5"/>
  <c r="BRT30" i="5"/>
  <c r="BRU30" i="5"/>
  <c r="BRV30" i="5"/>
  <c r="BRW30" i="5"/>
  <c r="BRX30" i="5"/>
  <c r="BRY30" i="5"/>
  <c r="BRZ30" i="5"/>
  <c r="BSA30" i="5"/>
  <c r="BSB30" i="5"/>
  <c r="BSC30" i="5"/>
  <c r="BSD30" i="5"/>
  <c r="BSE30" i="5"/>
  <c r="BSF30" i="5"/>
  <c r="BSG30" i="5"/>
  <c r="BSH30" i="5"/>
  <c r="BSI30" i="5"/>
  <c r="BSJ30" i="5"/>
  <c r="BSK30" i="5"/>
  <c r="BSL30" i="5"/>
  <c r="BSM30" i="5"/>
  <c r="BSN30" i="5"/>
  <c r="BSO30" i="5"/>
  <c r="BSP30" i="5"/>
  <c r="BSQ30" i="5"/>
  <c r="BSR30" i="5"/>
  <c r="BSS30" i="5"/>
  <c r="BST30" i="5"/>
  <c r="BSU30" i="5"/>
  <c r="BSV30" i="5"/>
  <c r="BSW30" i="5"/>
  <c r="BSX30" i="5"/>
  <c r="BSY30" i="5"/>
  <c r="BSZ30" i="5"/>
  <c r="BTA30" i="5"/>
  <c r="BTB30" i="5"/>
  <c r="BTC30" i="5"/>
  <c r="BTD30" i="5"/>
  <c r="BTE30" i="5"/>
  <c r="BTF30" i="5"/>
  <c r="BTG30" i="5"/>
  <c r="BTH30" i="5"/>
  <c r="BTI30" i="5"/>
  <c r="BTJ30" i="5"/>
  <c r="BTK30" i="5"/>
  <c r="BTL30" i="5"/>
  <c r="BTM30" i="5"/>
  <c r="BTN30" i="5"/>
  <c r="BTO30" i="5"/>
  <c r="BTP30" i="5"/>
  <c r="BTQ30" i="5"/>
  <c r="BTR30" i="5"/>
  <c r="BTS30" i="5"/>
  <c r="BTT30" i="5"/>
  <c r="BTU30" i="5"/>
  <c r="BTV30" i="5"/>
  <c r="BTW30" i="5"/>
  <c r="BTX30" i="5"/>
  <c r="BTY30" i="5"/>
  <c r="BTZ30" i="5"/>
  <c r="BUA30" i="5"/>
  <c r="BUB30" i="5"/>
  <c r="BUC30" i="5"/>
  <c r="BUD30" i="5"/>
  <c r="BUE30" i="5"/>
  <c r="BUF30" i="5"/>
  <c r="BUG30" i="5"/>
  <c r="BUH30" i="5"/>
  <c r="BUI30" i="5"/>
  <c r="BUJ30" i="5"/>
  <c r="BUK30" i="5"/>
  <c r="BUL30" i="5"/>
  <c r="BUM30" i="5"/>
  <c r="BUN30" i="5"/>
  <c r="BUO30" i="5"/>
  <c r="BUP30" i="5"/>
  <c r="BUQ30" i="5"/>
  <c r="BUR30" i="5"/>
  <c r="BUS30" i="5"/>
  <c r="BUT30" i="5"/>
  <c r="BUU30" i="5"/>
  <c r="BUV30" i="5"/>
  <c r="BUW30" i="5"/>
  <c r="BUX30" i="5"/>
  <c r="BUY30" i="5"/>
  <c r="BUZ30" i="5"/>
  <c r="BVA30" i="5"/>
  <c r="BVB30" i="5"/>
  <c r="BVC30" i="5"/>
  <c r="BVD30" i="5"/>
  <c r="BVE30" i="5"/>
  <c r="BVF30" i="5"/>
  <c r="BVG30" i="5"/>
  <c r="BVH30" i="5"/>
  <c r="BVI30" i="5"/>
  <c r="BVJ30" i="5"/>
  <c r="BVK30" i="5"/>
  <c r="BVL30" i="5"/>
  <c r="BVM30" i="5"/>
  <c r="BVN30" i="5"/>
  <c r="BVO30" i="5"/>
  <c r="BVP30" i="5"/>
  <c r="BVQ30" i="5"/>
  <c r="BVR30" i="5"/>
  <c r="BVS30" i="5"/>
  <c r="BVT30" i="5"/>
  <c r="BVU30" i="5"/>
  <c r="BVV30" i="5"/>
  <c r="BVW30" i="5"/>
  <c r="BVX30" i="5"/>
  <c r="BVY30" i="5"/>
  <c r="BVZ30" i="5"/>
  <c r="BWA30" i="5"/>
  <c r="BWB30" i="5"/>
  <c r="BWC30" i="5"/>
  <c r="BWD30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JE31" i="5"/>
  <c r="JF31" i="5"/>
  <c r="JG31" i="5"/>
  <c r="JH31" i="5"/>
  <c r="JI31" i="5"/>
  <c r="JJ31" i="5"/>
  <c r="JK31" i="5"/>
  <c r="JL31" i="5"/>
  <c r="JM31" i="5"/>
  <c r="JN31" i="5"/>
  <c r="JO31" i="5"/>
  <c r="JP31" i="5"/>
  <c r="JQ31" i="5"/>
  <c r="JR31" i="5"/>
  <c r="JS31" i="5"/>
  <c r="JT31" i="5"/>
  <c r="JU31" i="5"/>
  <c r="JV31" i="5"/>
  <c r="JW31" i="5"/>
  <c r="JX31" i="5"/>
  <c r="JY31" i="5"/>
  <c r="JZ31" i="5"/>
  <c r="KA31" i="5"/>
  <c r="KB31" i="5"/>
  <c r="KC31" i="5"/>
  <c r="KD31" i="5"/>
  <c r="KE31" i="5"/>
  <c r="KF31" i="5"/>
  <c r="KG31" i="5"/>
  <c r="KH31" i="5"/>
  <c r="KI31" i="5"/>
  <c r="KJ31" i="5"/>
  <c r="KK31" i="5"/>
  <c r="KL31" i="5"/>
  <c r="KM31" i="5"/>
  <c r="KN31" i="5"/>
  <c r="KO31" i="5"/>
  <c r="KP31" i="5"/>
  <c r="KQ31" i="5"/>
  <c r="KR31" i="5"/>
  <c r="KS31" i="5"/>
  <c r="KT31" i="5"/>
  <c r="KU31" i="5"/>
  <c r="KV31" i="5"/>
  <c r="KW31" i="5"/>
  <c r="KX31" i="5"/>
  <c r="KY31" i="5"/>
  <c r="KZ31" i="5"/>
  <c r="LA31" i="5"/>
  <c r="LB31" i="5"/>
  <c r="LC31" i="5"/>
  <c r="LD31" i="5"/>
  <c r="LE31" i="5"/>
  <c r="LF31" i="5"/>
  <c r="LG31" i="5"/>
  <c r="LH31" i="5"/>
  <c r="LI31" i="5"/>
  <c r="LJ31" i="5"/>
  <c r="LK31" i="5"/>
  <c r="LL31" i="5"/>
  <c r="LM31" i="5"/>
  <c r="LN31" i="5"/>
  <c r="LO31" i="5"/>
  <c r="LP31" i="5"/>
  <c r="LQ31" i="5"/>
  <c r="LR31" i="5"/>
  <c r="LS31" i="5"/>
  <c r="LT31" i="5"/>
  <c r="LU31" i="5"/>
  <c r="LV31" i="5"/>
  <c r="LW31" i="5"/>
  <c r="LX31" i="5"/>
  <c r="LY31" i="5"/>
  <c r="LZ31" i="5"/>
  <c r="MA31" i="5"/>
  <c r="MB31" i="5"/>
  <c r="MC31" i="5"/>
  <c r="MD31" i="5"/>
  <c r="ME31" i="5"/>
  <c r="MF31" i="5"/>
  <c r="MG31" i="5"/>
  <c r="MH31" i="5"/>
  <c r="MI31" i="5"/>
  <c r="MJ31" i="5"/>
  <c r="MK31" i="5"/>
  <c r="ML31" i="5"/>
  <c r="MM31" i="5"/>
  <c r="MN31" i="5"/>
  <c r="MO31" i="5"/>
  <c r="MP31" i="5"/>
  <c r="MQ31" i="5"/>
  <c r="MR31" i="5"/>
  <c r="MS31" i="5"/>
  <c r="MT31" i="5"/>
  <c r="MU31" i="5"/>
  <c r="MV31" i="5"/>
  <c r="MW31" i="5"/>
  <c r="MX31" i="5"/>
  <c r="MY31" i="5"/>
  <c r="MZ31" i="5"/>
  <c r="NA31" i="5"/>
  <c r="NB31" i="5"/>
  <c r="NC31" i="5"/>
  <c r="ND31" i="5"/>
  <c r="NE31" i="5"/>
  <c r="NF31" i="5"/>
  <c r="NG31" i="5"/>
  <c r="NH31" i="5"/>
  <c r="NI31" i="5"/>
  <c r="NJ31" i="5"/>
  <c r="NK31" i="5"/>
  <c r="NL31" i="5"/>
  <c r="NM31" i="5"/>
  <c r="NN31" i="5"/>
  <c r="NO31" i="5"/>
  <c r="NP31" i="5"/>
  <c r="NQ31" i="5"/>
  <c r="NR31" i="5"/>
  <c r="NS31" i="5"/>
  <c r="NT31" i="5"/>
  <c r="NU31" i="5"/>
  <c r="NV31" i="5"/>
  <c r="NW31" i="5"/>
  <c r="NX31" i="5"/>
  <c r="NY31" i="5"/>
  <c r="NZ31" i="5"/>
  <c r="OA31" i="5"/>
  <c r="OB31" i="5"/>
  <c r="OC31" i="5"/>
  <c r="OD31" i="5"/>
  <c r="OE31" i="5"/>
  <c r="OF31" i="5"/>
  <c r="OG31" i="5"/>
  <c r="OH31" i="5"/>
  <c r="OI31" i="5"/>
  <c r="OJ31" i="5"/>
  <c r="OK31" i="5"/>
  <c r="OL31" i="5"/>
  <c r="OM31" i="5"/>
  <c r="ON31" i="5"/>
  <c r="OO31" i="5"/>
  <c r="OP31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PO31" i="5"/>
  <c r="PP31" i="5"/>
  <c r="PQ31" i="5"/>
  <c r="PR31" i="5"/>
  <c r="PS31" i="5"/>
  <c r="PT31" i="5"/>
  <c r="PU31" i="5"/>
  <c r="PV31" i="5"/>
  <c r="PW31" i="5"/>
  <c r="PX31" i="5"/>
  <c r="PY31" i="5"/>
  <c r="PZ31" i="5"/>
  <c r="QA31" i="5"/>
  <c r="QB31" i="5"/>
  <c r="QC31" i="5"/>
  <c r="QD31" i="5"/>
  <c r="QE31" i="5"/>
  <c r="QF31" i="5"/>
  <c r="QG31" i="5"/>
  <c r="QH31" i="5"/>
  <c r="QI31" i="5"/>
  <c r="QJ31" i="5"/>
  <c r="QK31" i="5"/>
  <c r="QL31" i="5"/>
  <c r="QM31" i="5"/>
  <c r="QN31" i="5"/>
  <c r="QO31" i="5"/>
  <c r="QP31" i="5"/>
  <c r="QQ31" i="5"/>
  <c r="QR31" i="5"/>
  <c r="QS31" i="5"/>
  <c r="QT31" i="5"/>
  <c r="QU31" i="5"/>
  <c r="QV31" i="5"/>
  <c r="QW31" i="5"/>
  <c r="QX31" i="5"/>
  <c r="QY31" i="5"/>
  <c r="QZ31" i="5"/>
  <c r="RA31" i="5"/>
  <c r="RB31" i="5"/>
  <c r="RC31" i="5"/>
  <c r="RD31" i="5"/>
  <c r="RE31" i="5"/>
  <c r="RF31" i="5"/>
  <c r="RG31" i="5"/>
  <c r="RH31" i="5"/>
  <c r="RI31" i="5"/>
  <c r="RJ31" i="5"/>
  <c r="RK31" i="5"/>
  <c r="RL31" i="5"/>
  <c r="RM31" i="5"/>
  <c r="RN31" i="5"/>
  <c r="RO31" i="5"/>
  <c r="RP31" i="5"/>
  <c r="RQ31" i="5"/>
  <c r="RR31" i="5"/>
  <c r="RS31" i="5"/>
  <c r="RT31" i="5"/>
  <c r="RU31" i="5"/>
  <c r="RV31" i="5"/>
  <c r="RW31" i="5"/>
  <c r="RX31" i="5"/>
  <c r="RY31" i="5"/>
  <c r="RZ31" i="5"/>
  <c r="SA31" i="5"/>
  <c r="SB31" i="5"/>
  <c r="SC31" i="5"/>
  <c r="SD31" i="5"/>
  <c r="SE31" i="5"/>
  <c r="SF31" i="5"/>
  <c r="SG31" i="5"/>
  <c r="SH31" i="5"/>
  <c r="SI31" i="5"/>
  <c r="SJ31" i="5"/>
  <c r="SK31" i="5"/>
  <c r="SL31" i="5"/>
  <c r="SM31" i="5"/>
  <c r="SN31" i="5"/>
  <c r="SO31" i="5"/>
  <c r="SP31" i="5"/>
  <c r="SQ31" i="5"/>
  <c r="SR31" i="5"/>
  <c r="SS31" i="5"/>
  <c r="ST31" i="5"/>
  <c r="SU31" i="5"/>
  <c r="SV31" i="5"/>
  <c r="SW31" i="5"/>
  <c r="SX31" i="5"/>
  <c r="SY31" i="5"/>
  <c r="SZ31" i="5"/>
  <c r="TA31" i="5"/>
  <c r="TB31" i="5"/>
  <c r="TC31" i="5"/>
  <c r="TD31" i="5"/>
  <c r="TE31" i="5"/>
  <c r="TF31" i="5"/>
  <c r="TG31" i="5"/>
  <c r="TH31" i="5"/>
  <c r="TI31" i="5"/>
  <c r="TJ31" i="5"/>
  <c r="TK31" i="5"/>
  <c r="TL31" i="5"/>
  <c r="TM31" i="5"/>
  <c r="TN31" i="5"/>
  <c r="TO31" i="5"/>
  <c r="TP31" i="5"/>
  <c r="TQ31" i="5"/>
  <c r="TR31" i="5"/>
  <c r="TS31" i="5"/>
  <c r="TT31" i="5"/>
  <c r="TU31" i="5"/>
  <c r="TV31" i="5"/>
  <c r="TW31" i="5"/>
  <c r="TX31" i="5"/>
  <c r="TY31" i="5"/>
  <c r="TZ31" i="5"/>
  <c r="UA31" i="5"/>
  <c r="UB31" i="5"/>
  <c r="UC31" i="5"/>
  <c r="UD31" i="5"/>
  <c r="UE31" i="5"/>
  <c r="UF31" i="5"/>
  <c r="UG31" i="5"/>
  <c r="UH31" i="5"/>
  <c r="UI31" i="5"/>
  <c r="UJ31" i="5"/>
  <c r="UK31" i="5"/>
  <c r="UL31" i="5"/>
  <c r="UM31" i="5"/>
  <c r="UN31" i="5"/>
  <c r="UO31" i="5"/>
  <c r="UP31" i="5"/>
  <c r="UQ31" i="5"/>
  <c r="UR31" i="5"/>
  <c r="US31" i="5"/>
  <c r="UT31" i="5"/>
  <c r="UU31" i="5"/>
  <c r="UV31" i="5"/>
  <c r="UW31" i="5"/>
  <c r="UX31" i="5"/>
  <c r="UY31" i="5"/>
  <c r="UZ31" i="5"/>
  <c r="VA31" i="5"/>
  <c r="VB31" i="5"/>
  <c r="VC31" i="5"/>
  <c r="VD31" i="5"/>
  <c r="VE31" i="5"/>
  <c r="VF31" i="5"/>
  <c r="VG31" i="5"/>
  <c r="VH31" i="5"/>
  <c r="VI31" i="5"/>
  <c r="VJ31" i="5"/>
  <c r="VK31" i="5"/>
  <c r="VL31" i="5"/>
  <c r="VM31" i="5"/>
  <c r="VN31" i="5"/>
  <c r="VO31" i="5"/>
  <c r="VP31" i="5"/>
  <c r="VQ31" i="5"/>
  <c r="VR31" i="5"/>
  <c r="VS31" i="5"/>
  <c r="VT31" i="5"/>
  <c r="VU31" i="5"/>
  <c r="VV31" i="5"/>
  <c r="VW31" i="5"/>
  <c r="VX31" i="5"/>
  <c r="VY31" i="5"/>
  <c r="VZ31" i="5"/>
  <c r="WA31" i="5"/>
  <c r="WB31" i="5"/>
  <c r="WC31" i="5"/>
  <c r="WD31" i="5"/>
  <c r="WE31" i="5"/>
  <c r="WF31" i="5"/>
  <c r="WG31" i="5"/>
  <c r="WH31" i="5"/>
  <c r="WI31" i="5"/>
  <c r="WJ31" i="5"/>
  <c r="WK31" i="5"/>
  <c r="WL31" i="5"/>
  <c r="WM31" i="5"/>
  <c r="WN31" i="5"/>
  <c r="WO31" i="5"/>
  <c r="WP31" i="5"/>
  <c r="WQ31" i="5"/>
  <c r="WR31" i="5"/>
  <c r="WS31" i="5"/>
  <c r="WT31" i="5"/>
  <c r="WU31" i="5"/>
  <c r="WV31" i="5"/>
  <c r="WW31" i="5"/>
  <c r="WX31" i="5"/>
  <c r="WY31" i="5"/>
  <c r="WZ31" i="5"/>
  <c r="XA31" i="5"/>
  <c r="XB31" i="5"/>
  <c r="XC31" i="5"/>
  <c r="XD31" i="5"/>
  <c r="XE31" i="5"/>
  <c r="XF31" i="5"/>
  <c r="XG31" i="5"/>
  <c r="XH31" i="5"/>
  <c r="XI31" i="5"/>
  <c r="XJ31" i="5"/>
  <c r="XK31" i="5"/>
  <c r="XL31" i="5"/>
  <c r="XM31" i="5"/>
  <c r="XN31" i="5"/>
  <c r="XO31" i="5"/>
  <c r="XP31" i="5"/>
  <c r="XQ31" i="5"/>
  <c r="XR31" i="5"/>
  <c r="XS31" i="5"/>
  <c r="XT31" i="5"/>
  <c r="XU31" i="5"/>
  <c r="XV31" i="5"/>
  <c r="XW31" i="5"/>
  <c r="XX31" i="5"/>
  <c r="XY31" i="5"/>
  <c r="XZ31" i="5"/>
  <c r="YA31" i="5"/>
  <c r="YB31" i="5"/>
  <c r="YC31" i="5"/>
  <c r="YD31" i="5"/>
  <c r="YE31" i="5"/>
  <c r="YF31" i="5"/>
  <c r="YG31" i="5"/>
  <c r="YH31" i="5"/>
  <c r="YI31" i="5"/>
  <c r="YJ31" i="5"/>
  <c r="YK31" i="5"/>
  <c r="YL31" i="5"/>
  <c r="YM31" i="5"/>
  <c r="YN31" i="5"/>
  <c r="YO31" i="5"/>
  <c r="YP31" i="5"/>
  <c r="YQ31" i="5"/>
  <c r="YR31" i="5"/>
  <c r="YS31" i="5"/>
  <c r="YT31" i="5"/>
  <c r="YU31" i="5"/>
  <c r="YV31" i="5"/>
  <c r="YW31" i="5"/>
  <c r="YX31" i="5"/>
  <c r="YY31" i="5"/>
  <c r="YZ31" i="5"/>
  <c r="ZA31" i="5"/>
  <c r="ZB31" i="5"/>
  <c r="ZC31" i="5"/>
  <c r="ZD31" i="5"/>
  <c r="ZE31" i="5"/>
  <c r="ZF31" i="5"/>
  <c r="ZG31" i="5"/>
  <c r="ZH31" i="5"/>
  <c r="ZI31" i="5"/>
  <c r="ZJ31" i="5"/>
  <c r="ZK31" i="5"/>
  <c r="ZL31" i="5"/>
  <c r="ZM31" i="5"/>
  <c r="ZN31" i="5"/>
  <c r="ZO31" i="5"/>
  <c r="ZP31" i="5"/>
  <c r="ZQ31" i="5"/>
  <c r="ZR31" i="5"/>
  <c r="ZS31" i="5"/>
  <c r="ZT31" i="5"/>
  <c r="ZU31" i="5"/>
  <c r="ZV31" i="5"/>
  <c r="ZW31" i="5"/>
  <c r="ZX31" i="5"/>
  <c r="ZY31" i="5"/>
  <c r="ZZ31" i="5"/>
  <c r="AAA31" i="5"/>
  <c r="AAB31" i="5"/>
  <c r="AAC31" i="5"/>
  <c r="AAD31" i="5"/>
  <c r="AAE31" i="5"/>
  <c r="AAF31" i="5"/>
  <c r="AAG31" i="5"/>
  <c r="AAH31" i="5"/>
  <c r="AAI31" i="5"/>
  <c r="AAJ31" i="5"/>
  <c r="AAK31" i="5"/>
  <c r="AAL31" i="5"/>
  <c r="AAM31" i="5"/>
  <c r="AAN31" i="5"/>
  <c r="AAO31" i="5"/>
  <c r="AAP31" i="5"/>
  <c r="AAQ31" i="5"/>
  <c r="AAR31" i="5"/>
  <c r="AAS31" i="5"/>
  <c r="AAT31" i="5"/>
  <c r="AAU31" i="5"/>
  <c r="AAV31" i="5"/>
  <c r="AAW31" i="5"/>
  <c r="AAX31" i="5"/>
  <c r="AAY31" i="5"/>
  <c r="AAZ31" i="5"/>
  <c r="ABA31" i="5"/>
  <c r="ABB31" i="5"/>
  <c r="ABC31" i="5"/>
  <c r="ABD31" i="5"/>
  <c r="ABE31" i="5"/>
  <c r="ABF31" i="5"/>
  <c r="ABG31" i="5"/>
  <c r="ABH31" i="5"/>
  <c r="ABI31" i="5"/>
  <c r="ABJ31" i="5"/>
  <c r="ABK31" i="5"/>
  <c r="ABL31" i="5"/>
  <c r="ABM31" i="5"/>
  <c r="ABN31" i="5"/>
  <c r="ABO31" i="5"/>
  <c r="ABP31" i="5"/>
  <c r="ABQ31" i="5"/>
  <c r="ABR31" i="5"/>
  <c r="ABS31" i="5"/>
  <c r="ABT31" i="5"/>
  <c r="ABU31" i="5"/>
  <c r="ABV31" i="5"/>
  <c r="ABW31" i="5"/>
  <c r="ABX31" i="5"/>
  <c r="ABY31" i="5"/>
  <c r="ABZ31" i="5"/>
  <c r="ACA31" i="5"/>
  <c r="ACB31" i="5"/>
  <c r="ACC31" i="5"/>
  <c r="ACD31" i="5"/>
  <c r="ACE31" i="5"/>
  <c r="ACF31" i="5"/>
  <c r="ACG31" i="5"/>
  <c r="ACH31" i="5"/>
  <c r="ACI31" i="5"/>
  <c r="ACJ31" i="5"/>
  <c r="ACK31" i="5"/>
  <c r="ACL31" i="5"/>
  <c r="ACM31" i="5"/>
  <c r="ACN31" i="5"/>
  <c r="ACO31" i="5"/>
  <c r="ACP31" i="5"/>
  <c r="ACQ31" i="5"/>
  <c r="ACR31" i="5"/>
  <c r="ACS31" i="5"/>
  <c r="ACT31" i="5"/>
  <c r="ACU31" i="5"/>
  <c r="ACV31" i="5"/>
  <c r="ACW31" i="5"/>
  <c r="ACX31" i="5"/>
  <c r="ACY31" i="5"/>
  <c r="ACZ31" i="5"/>
  <c r="ADA31" i="5"/>
  <c r="ADB31" i="5"/>
  <c r="ADC31" i="5"/>
  <c r="ADD31" i="5"/>
  <c r="ADE31" i="5"/>
  <c r="ADF31" i="5"/>
  <c r="ADG31" i="5"/>
  <c r="ADH31" i="5"/>
  <c r="ADI31" i="5"/>
  <c r="ADJ31" i="5"/>
  <c r="ADK31" i="5"/>
  <c r="ADL31" i="5"/>
  <c r="ADM31" i="5"/>
  <c r="ADN31" i="5"/>
  <c r="ADO31" i="5"/>
  <c r="ADP31" i="5"/>
  <c r="ADQ31" i="5"/>
  <c r="ADR31" i="5"/>
  <c r="ADS31" i="5"/>
  <c r="ADT31" i="5"/>
  <c r="ADU31" i="5"/>
  <c r="ADV31" i="5"/>
  <c r="ADW31" i="5"/>
  <c r="ADX31" i="5"/>
  <c r="ADY31" i="5"/>
  <c r="ADZ31" i="5"/>
  <c r="AEA31" i="5"/>
  <c r="AEB31" i="5"/>
  <c r="AEC31" i="5"/>
  <c r="AED31" i="5"/>
  <c r="AEE31" i="5"/>
  <c r="AEF31" i="5"/>
  <c r="AEG31" i="5"/>
  <c r="AEH31" i="5"/>
  <c r="AEI31" i="5"/>
  <c r="AEJ31" i="5"/>
  <c r="AEK31" i="5"/>
  <c r="AEL31" i="5"/>
  <c r="AEM31" i="5"/>
  <c r="AEN31" i="5"/>
  <c r="AEO31" i="5"/>
  <c r="AEP31" i="5"/>
  <c r="AEQ31" i="5"/>
  <c r="AER31" i="5"/>
  <c r="AES31" i="5"/>
  <c r="AET31" i="5"/>
  <c r="AEU31" i="5"/>
  <c r="AEV31" i="5"/>
  <c r="AEW31" i="5"/>
  <c r="AEX31" i="5"/>
  <c r="AEY31" i="5"/>
  <c r="AEZ31" i="5"/>
  <c r="AFA31" i="5"/>
  <c r="AFB31" i="5"/>
  <c r="AFC31" i="5"/>
  <c r="AFD31" i="5"/>
  <c r="AFE31" i="5"/>
  <c r="AFF31" i="5"/>
  <c r="AFG31" i="5"/>
  <c r="AFH31" i="5"/>
  <c r="AFI31" i="5"/>
  <c r="AFJ31" i="5"/>
  <c r="AFK31" i="5"/>
  <c r="AFL31" i="5"/>
  <c r="AFM31" i="5"/>
  <c r="AFN31" i="5"/>
  <c r="AFO31" i="5"/>
  <c r="AFP31" i="5"/>
  <c r="AFQ31" i="5"/>
  <c r="AFR31" i="5"/>
  <c r="AFS31" i="5"/>
  <c r="AFT31" i="5"/>
  <c r="AFU31" i="5"/>
  <c r="AFV31" i="5"/>
  <c r="AFW31" i="5"/>
  <c r="AFX31" i="5"/>
  <c r="AFY31" i="5"/>
  <c r="AFZ31" i="5"/>
  <c r="AGA31" i="5"/>
  <c r="AGB31" i="5"/>
  <c r="AGC31" i="5"/>
  <c r="AGD31" i="5"/>
  <c r="AGE31" i="5"/>
  <c r="AGF31" i="5"/>
  <c r="AGG31" i="5"/>
  <c r="AGH31" i="5"/>
  <c r="AGI31" i="5"/>
  <c r="AGJ31" i="5"/>
  <c r="AGK31" i="5"/>
  <c r="AGL31" i="5"/>
  <c r="AGM31" i="5"/>
  <c r="AGN31" i="5"/>
  <c r="AGO31" i="5"/>
  <c r="AGP31" i="5"/>
  <c r="AGQ31" i="5"/>
  <c r="AGR31" i="5"/>
  <c r="AGS31" i="5"/>
  <c r="AGT31" i="5"/>
  <c r="AGU31" i="5"/>
  <c r="AGV31" i="5"/>
  <c r="AGW31" i="5"/>
  <c r="AGX31" i="5"/>
  <c r="AGY31" i="5"/>
  <c r="AGZ31" i="5"/>
  <c r="AHA31" i="5"/>
  <c r="AHB31" i="5"/>
  <c r="AHC31" i="5"/>
  <c r="AHD31" i="5"/>
  <c r="AHE31" i="5"/>
  <c r="AHF31" i="5"/>
  <c r="AHG31" i="5"/>
  <c r="AHH31" i="5"/>
  <c r="AHI31" i="5"/>
  <c r="AHJ31" i="5"/>
  <c r="AHK31" i="5"/>
  <c r="AHL31" i="5"/>
  <c r="AHM31" i="5"/>
  <c r="AHN31" i="5"/>
  <c r="AHO31" i="5"/>
  <c r="AHP31" i="5"/>
  <c r="AHQ31" i="5"/>
  <c r="AHR31" i="5"/>
  <c r="AHS31" i="5"/>
  <c r="AHT31" i="5"/>
  <c r="AHU31" i="5"/>
  <c r="AHV31" i="5"/>
  <c r="AHW31" i="5"/>
  <c r="AHX31" i="5"/>
  <c r="AHY31" i="5"/>
  <c r="AHZ31" i="5"/>
  <c r="AIA31" i="5"/>
  <c r="AIB31" i="5"/>
  <c r="AIC31" i="5"/>
  <c r="AID31" i="5"/>
  <c r="AIE31" i="5"/>
  <c r="AIF31" i="5"/>
  <c r="AIG31" i="5"/>
  <c r="AIH31" i="5"/>
  <c r="AII31" i="5"/>
  <c r="AIJ31" i="5"/>
  <c r="AIK31" i="5"/>
  <c r="AIL31" i="5"/>
  <c r="AIM31" i="5"/>
  <c r="AIN31" i="5"/>
  <c r="AIO31" i="5"/>
  <c r="AIP31" i="5"/>
  <c r="AIQ31" i="5"/>
  <c r="AIR31" i="5"/>
  <c r="AIS31" i="5"/>
  <c r="AIT31" i="5"/>
  <c r="AIU31" i="5"/>
  <c r="AIV31" i="5"/>
  <c r="AIW31" i="5"/>
  <c r="AIX31" i="5"/>
  <c r="AIY31" i="5"/>
  <c r="AIZ31" i="5"/>
  <c r="AJA31" i="5"/>
  <c r="AJB31" i="5"/>
  <c r="AJC31" i="5"/>
  <c r="AJD31" i="5"/>
  <c r="AJE31" i="5"/>
  <c r="AJF31" i="5"/>
  <c r="AJG31" i="5"/>
  <c r="AJH31" i="5"/>
  <c r="AJI31" i="5"/>
  <c r="AJJ31" i="5"/>
  <c r="AJK31" i="5"/>
  <c r="AJL31" i="5"/>
  <c r="AJM31" i="5"/>
  <c r="AJN31" i="5"/>
  <c r="AJO31" i="5"/>
  <c r="AJP31" i="5"/>
  <c r="AJQ31" i="5"/>
  <c r="AJR31" i="5"/>
  <c r="AJS31" i="5"/>
  <c r="AJT31" i="5"/>
  <c r="AJU31" i="5"/>
  <c r="AJV31" i="5"/>
  <c r="AJW31" i="5"/>
  <c r="AJX31" i="5"/>
  <c r="AJY31" i="5"/>
  <c r="AJZ31" i="5"/>
  <c r="AKA31" i="5"/>
  <c r="AKB31" i="5"/>
  <c r="AKC31" i="5"/>
  <c r="AKD31" i="5"/>
  <c r="AKE31" i="5"/>
  <c r="AKF31" i="5"/>
  <c r="AKG31" i="5"/>
  <c r="AKH31" i="5"/>
  <c r="AKI31" i="5"/>
  <c r="AKJ31" i="5"/>
  <c r="AKK31" i="5"/>
  <c r="AKL31" i="5"/>
  <c r="AKM31" i="5"/>
  <c r="AKN31" i="5"/>
  <c r="AKO31" i="5"/>
  <c r="AKP31" i="5"/>
  <c r="AKQ31" i="5"/>
  <c r="AKR31" i="5"/>
  <c r="AKS31" i="5"/>
  <c r="AKT31" i="5"/>
  <c r="AKU31" i="5"/>
  <c r="AKV31" i="5"/>
  <c r="AKW31" i="5"/>
  <c r="AKX31" i="5"/>
  <c r="AKY31" i="5"/>
  <c r="AKZ31" i="5"/>
  <c r="ALA31" i="5"/>
  <c r="ALB31" i="5"/>
  <c r="ALC31" i="5"/>
  <c r="ALD31" i="5"/>
  <c r="ALE31" i="5"/>
  <c r="ALF31" i="5"/>
  <c r="ALG31" i="5"/>
  <c r="ALH31" i="5"/>
  <c r="ALI31" i="5"/>
  <c r="ALJ31" i="5"/>
  <c r="ALK31" i="5"/>
  <c r="ALL31" i="5"/>
  <c r="ALM31" i="5"/>
  <c r="ALN31" i="5"/>
  <c r="ALO31" i="5"/>
  <c r="ALP31" i="5"/>
  <c r="ALQ31" i="5"/>
  <c r="ALR31" i="5"/>
  <c r="ALS31" i="5"/>
  <c r="ALT31" i="5"/>
  <c r="ALU31" i="5"/>
  <c r="ALV31" i="5"/>
  <c r="ALW31" i="5"/>
  <c r="ALX31" i="5"/>
  <c r="ALY31" i="5"/>
  <c r="ALZ31" i="5"/>
  <c r="AMA31" i="5"/>
  <c r="AMB31" i="5"/>
  <c r="AMC31" i="5"/>
  <c r="AMD31" i="5"/>
  <c r="AME31" i="5"/>
  <c r="AMF31" i="5"/>
  <c r="AMG31" i="5"/>
  <c r="AMH31" i="5"/>
  <c r="AMI31" i="5"/>
  <c r="AMJ31" i="5"/>
  <c r="AMK31" i="5"/>
  <c r="AML31" i="5"/>
  <c r="AMM31" i="5"/>
  <c r="AMN31" i="5"/>
  <c r="AMO31" i="5"/>
  <c r="AMP31" i="5"/>
  <c r="AMQ31" i="5"/>
  <c r="AMR31" i="5"/>
  <c r="AMS31" i="5"/>
  <c r="AMT31" i="5"/>
  <c r="AMU31" i="5"/>
  <c r="AMV31" i="5"/>
  <c r="AMW31" i="5"/>
  <c r="AMX31" i="5"/>
  <c r="AMY31" i="5"/>
  <c r="AMZ31" i="5"/>
  <c r="ANA31" i="5"/>
  <c r="ANB31" i="5"/>
  <c r="ANC31" i="5"/>
  <c r="AND31" i="5"/>
  <c r="ANE31" i="5"/>
  <c r="ANF31" i="5"/>
  <c r="ANG31" i="5"/>
  <c r="ANH31" i="5"/>
  <c r="ANI31" i="5"/>
  <c r="ANJ31" i="5"/>
  <c r="ANK31" i="5"/>
  <c r="ANL31" i="5"/>
  <c r="ANM31" i="5"/>
  <c r="ANN31" i="5"/>
  <c r="ANO31" i="5"/>
  <c r="ANP31" i="5"/>
  <c r="ANQ31" i="5"/>
  <c r="ANR31" i="5"/>
  <c r="ANS31" i="5"/>
  <c r="ANT31" i="5"/>
  <c r="ANU31" i="5"/>
  <c r="ANV31" i="5"/>
  <c r="ANW31" i="5"/>
  <c r="ANX31" i="5"/>
  <c r="ANY31" i="5"/>
  <c r="ANZ31" i="5"/>
  <c r="AOA31" i="5"/>
  <c r="AOB31" i="5"/>
  <c r="AOC31" i="5"/>
  <c r="AOD31" i="5"/>
  <c r="AOE31" i="5"/>
  <c r="AOF31" i="5"/>
  <c r="AOG31" i="5"/>
  <c r="AOH31" i="5"/>
  <c r="AOI31" i="5"/>
  <c r="AOJ31" i="5"/>
  <c r="AOK31" i="5"/>
  <c r="AOL31" i="5"/>
  <c r="AOM31" i="5"/>
  <c r="AON31" i="5"/>
  <c r="AOO31" i="5"/>
  <c r="AOP31" i="5"/>
  <c r="AOQ31" i="5"/>
  <c r="AOR31" i="5"/>
  <c r="AOS31" i="5"/>
  <c r="AOT31" i="5"/>
  <c r="AOU31" i="5"/>
  <c r="AOV31" i="5"/>
  <c r="AOW31" i="5"/>
  <c r="AOX31" i="5"/>
  <c r="AOY31" i="5"/>
  <c r="AOZ31" i="5"/>
  <c r="APA31" i="5"/>
  <c r="APB31" i="5"/>
  <c r="APC31" i="5"/>
  <c r="APD31" i="5"/>
  <c r="APE31" i="5"/>
  <c r="APF31" i="5"/>
  <c r="APG31" i="5"/>
  <c r="APH31" i="5"/>
  <c r="API31" i="5"/>
  <c r="APJ31" i="5"/>
  <c r="APK31" i="5"/>
  <c r="APL31" i="5"/>
  <c r="APM31" i="5"/>
  <c r="APN31" i="5"/>
  <c r="APO31" i="5"/>
  <c r="APP31" i="5"/>
  <c r="APQ31" i="5"/>
  <c r="APR31" i="5"/>
  <c r="APS31" i="5"/>
  <c r="APT31" i="5"/>
  <c r="APU31" i="5"/>
  <c r="APV31" i="5"/>
  <c r="APW31" i="5"/>
  <c r="APX31" i="5"/>
  <c r="APY31" i="5"/>
  <c r="APZ31" i="5"/>
  <c r="AQA31" i="5"/>
  <c r="AQB31" i="5"/>
  <c r="AQC31" i="5"/>
  <c r="AQD31" i="5"/>
  <c r="AQE31" i="5"/>
  <c r="AQF31" i="5"/>
  <c r="AQG31" i="5"/>
  <c r="AQH31" i="5"/>
  <c r="AQI31" i="5"/>
  <c r="AQJ31" i="5"/>
  <c r="AQK31" i="5"/>
  <c r="AQL31" i="5"/>
  <c r="AQM31" i="5"/>
  <c r="AQN31" i="5"/>
  <c r="AQO31" i="5"/>
  <c r="AQP31" i="5"/>
  <c r="AQQ31" i="5"/>
  <c r="AQR31" i="5"/>
  <c r="AQS31" i="5"/>
  <c r="AQT31" i="5"/>
  <c r="AQU31" i="5"/>
  <c r="AQV31" i="5"/>
  <c r="AQW31" i="5"/>
  <c r="AQX31" i="5"/>
  <c r="AQY31" i="5"/>
  <c r="AQZ31" i="5"/>
  <c r="ARA31" i="5"/>
  <c r="ARB31" i="5"/>
  <c r="ARC31" i="5"/>
  <c r="ARD31" i="5"/>
  <c r="ARE31" i="5"/>
  <c r="ARF31" i="5"/>
  <c r="ARG31" i="5"/>
  <c r="ARH31" i="5"/>
  <c r="ARI31" i="5"/>
  <c r="ARJ31" i="5"/>
  <c r="ARK31" i="5"/>
  <c r="ARL31" i="5"/>
  <c r="ARM31" i="5"/>
  <c r="ARN31" i="5"/>
  <c r="ARO31" i="5"/>
  <c r="ARP31" i="5"/>
  <c r="ARQ31" i="5"/>
  <c r="ARR31" i="5"/>
  <c r="ARS31" i="5"/>
  <c r="ART31" i="5"/>
  <c r="ARU31" i="5"/>
  <c r="ARV31" i="5"/>
  <c r="ARW31" i="5"/>
  <c r="ARX31" i="5"/>
  <c r="ARY31" i="5"/>
  <c r="ARZ31" i="5"/>
  <c r="ASA31" i="5"/>
  <c r="ASB31" i="5"/>
  <c r="ASC31" i="5"/>
  <c r="ASD31" i="5"/>
  <c r="ASE31" i="5"/>
  <c r="ASF31" i="5"/>
  <c r="ASG31" i="5"/>
  <c r="ASH31" i="5"/>
  <c r="ASI31" i="5"/>
  <c r="ASJ31" i="5"/>
  <c r="ASK31" i="5"/>
  <c r="ASL31" i="5"/>
  <c r="ASM31" i="5"/>
  <c r="ASN31" i="5"/>
  <c r="ASO31" i="5"/>
  <c r="ASP31" i="5"/>
  <c r="ASQ31" i="5"/>
  <c r="ASR31" i="5"/>
  <c r="ASS31" i="5"/>
  <c r="AST31" i="5"/>
  <c r="ASU31" i="5"/>
  <c r="ASV31" i="5"/>
  <c r="ASW31" i="5"/>
  <c r="ASX31" i="5"/>
  <c r="ASY31" i="5"/>
  <c r="ASZ31" i="5"/>
  <c r="ATA31" i="5"/>
  <c r="ATB31" i="5"/>
  <c r="ATC31" i="5"/>
  <c r="ATD31" i="5"/>
  <c r="ATE31" i="5"/>
  <c r="ATF31" i="5"/>
  <c r="ATG31" i="5"/>
  <c r="ATH31" i="5"/>
  <c r="ATI31" i="5"/>
  <c r="ATJ31" i="5"/>
  <c r="ATK31" i="5"/>
  <c r="ATL31" i="5"/>
  <c r="ATM31" i="5"/>
  <c r="ATN31" i="5"/>
  <c r="ATO31" i="5"/>
  <c r="ATP31" i="5"/>
  <c r="ATQ31" i="5"/>
  <c r="ATR31" i="5"/>
  <c r="ATS31" i="5"/>
  <c r="ATT31" i="5"/>
  <c r="ATU31" i="5"/>
  <c r="ATV31" i="5"/>
  <c r="ATW31" i="5"/>
  <c r="ATX31" i="5"/>
  <c r="ATY31" i="5"/>
  <c r="ATZ31" i="5"/>
  <c r="AUA31" i="5"/>
  <c r="AUB31" i="5"/>
  <c r="AUC31" i="5"/>
  <c r="AUD31" i="5"/>
  <c r="AUE31" i="5"/>
  <c r="AUF31" i="5"/>
  <c r="AUG31" i="5"/>
  <c r="AUH31" i="5"/>
  <c r="AUI31" i="5"/>
  <c r="AUJ31" i="5"/>
  <c r="AUK31" i="5"/>
  <c r="AUL31" i="5"/>
  <c r="AUM31" i="5"/>
  <c r="AUN31" i="5"/>
  <c r="AUO31" i="5"/>
  <c r="AUP31" i="5"/>
  <c r="AUQ31" i="5"/>
  <c r="AUR31" i="5"/>
  <c r="AUS31" i="5"/>
  <c r="AUT31" i="5"/>
  <c r="AUU31" i="5"/>
  <c r="AUV31" i="5"/>
  <c r="AUW31" i="5"/>
  <c r="AUX31" i="5"/>
  <c r="AUY31" i="5"/>
  <c r="AUZ31" i="5"/>
  <c r="AVA31" i="5"/>
  <c r="AVB31" i="5"/>
  <c r="AVC31" i="5"/>
  <c r="AVD31" i="5"/>
  <c r="AVE31" i="5"/>
  <c r="AVF31" i="5"/>
  <c r="AVG31" i="5"/>
  <c r="AVH31" i="5"/>
  <c r="AVI31" i="5"/>
  <c r="AVJ31" i="5"/>
  <c r="AVK31" i="5"/>
  <c r="AVL31" i="5"/>
  <c r="AVM31" i="5"/>
  <c r="AVN31" i="5"/>
  <c r="AVO31" i="5"/>
  <c r="AVP31" i="5"/>
  <c r="AVQ31" i="5"/>
  <c r="AVR31" i="5"/>
  <c r="AVS31" i="5"/>
  <c r="AVT31" i="5"/>
  <c r="AVU31" i="5"/>
  <c r="AVV31" i="5"/>
  <c r="AVW31" i="5"/>
  <c r="AVX31" i="5"/>
  <c r="AVY31" i="5"/>
  <c r="AVZ31" i="5"/>
  <c r="AWA31" i="5"/>
  <c r="AWB31" i="5"/>
  <c r="AWC31" i="5"/>
  <c r="AWD31" i="5"/>
  <c r="AWE31" i="5"/>
  <c r="AWF31" i="5"/>
  <c r="AWG31" i="5"/>
  <c r="AWH31" i="5"/>
  <c r="AWI31" i="5"/>
  <c r="AWJ31" i="5"/>
  <c r="AWK31" i="5"/>
  <c r="AWL31" i="5"/>
  <c r="AWM31" i="5"/>
  <c r="AWN31" i="5"/>
  <c r="AWO31" i="5"/>
  <c r="AWP31" i="5"/>
  <c r="AWQ31" i="5"/>
  <c r="AWR31" i="5"/>
  <c r="AWS31" i="5"/>
  <c r="AWT31" i="5"/>
  <c r="AWU31" i="5"/>
  <c r="AWV31" i="5"/>
  <c r="AWW31" i="5"/>
  <c r="AWX31" i="5"/>
  <c r="AWY31" i="5"/>
  <c r="AWZ31" i="5"/>
  <c r="AXA31" i="5"/>
  <c r="AXB31" i="5"/>
  <c r="AXC31" i="5"/>
  <c r="AXD31" i="5"/>
  <c r="AXE31" i="5"/>
  <c r="AXF31" i="5"/>
  <c r="AXG31" i="5"/>
  <c r="AXH31" i="5"/>
  <c r="AXI31" i="5"/>
  <c r="AXJ31" i="5"/>
  <c r="AXK31" i="5"/>
  <c r="AXL31" i="5"/>
  <c r="AXM31" i="5"/>
  <c r="AXN31" i="5"/>
  <c r="AXO31" i="5"/>
  <c r="AXP31" i="5"/>
  <c r="AXQ31" i="5"/>
  <c r="AXR31" i="5"/>
  <c r="AXS31" i="5"/>
  <c r="AXT31" i="5"/>
  <c r="AXU31" i="5"/>
  <c r="AXV31" i="5"/>
  <c r="AXW31" i="5"/>
  <c r="AXX31" i="5"/>
  <c r="AXY31" i="5"/>
  <c r="AXZ31" i="5"/>
  <c r="AYA31" i="5"/>
  <c r="AYB31" i="5"/>
  <c r="AYC31" i="5"/>
  <c r="AYD31" i="5"/>
  <c r="AYE31" i="5"/>
  <c r="AYF31" i="5"/>
  <c r="AYG31" i="5"/>
  <c r="AYH31" i="5"/>
  <c r="AYI31" i="5"/>
  <c r="AYJ31" i="5"/>
  <c r="AYK31" i="5"/>
  <c r="AYL31" i="5"/>
  <c r="AYM31" i="5"/>
  <c r="AYN31" i="5"/>
  <c r="AYO31" i="5"/>
  <c r="AYP31" i="5"/>
  <c r="AYQ31" i="5"/>
  <c r="AYR31" i="5"/>
  <c r="AYS31" i="5"/>
  <c r="AYT31" i="5"/>
  <c r="AYU31" i="5"/>
  <c r="AYV31" i="5"/>
  <c r="AYW31" i="5"/>
  <c r="AYX31" i="5"/>
  <c r="AYY31" i="5"/>
  <c r="AYZ31" i="5"/>
  <c r="AZA31" i="5"/>
  <c r="AZB31" i="5"/>
  <c r="AZC31" i="5"/>
  <c r="AZD31" i="5"/>
  <c r="AZE31" i="5"/>
  <c r="AZF31" i="5"/>
  <c r="AZG31" i="5"/>
  <c r="AZH31" i="5"/>
  <c r="AZI31" i="5"/>
  <c r="AZJ31" i="5"/>
  <c r="AZK31" i="5"/>
  <c r="AZL31" i="5"/>
  <c r="AZM31" i="5"/>
  <c r="AZN31" i="5"/>
  <c r="AZO31" i="5"/>
  <c r="AZP31" i="5"/>
  <c r="AZQ31" i="5"/>
  <c r="AZR31" i="5"/>
  <c r="AZS31" i="5"/>
  <c r="AZT31" i="5"/>
  <c r="AZU31" i="5"/>
  <c r="AZV31" i="5"/>
  <c r="AZW31" i="5"/>
  <c r="AZX31" i="5"/>
  <c r="AZY31" i="5"/>
  <c r="AZZ31" i="5"/>
  <c r="BAA31" i="5"/>
  <c r="BAB31" i="5"/>
  <c r="BAC31" i="5"/>
  <c r="BAD31" i="5"/>
  <c r="BAE31" i="5"/>
  <c r="BAF31" i="5"/>
  <c r="BAG31" i="5"/>
  <c r="BAH31" i="5"/>
  <c r="BAI31" i="5"/>
  <c r="BAJ31" i="5"/>
  <c r="BAK31" i="5"/>
  <c r="BAL31" i="5"/>
  <c r="BAM31" i="5"/>
  <c r="BAN31" i="5"/>
  <c r="BAO31" i="5"/>
  <c r="BAP31" i="5"/>
  <c r="BAQ31" i="5"/>
  <c r="BAR31" i="5"/>
  <c r="BAS31" i="5"/>
  <c r="BAT31" i="5"/>
  <c r="BAU31" i="5"/>
  <c r="BAV31" i="5"/>
  <c r="BAW31" i="5"/>
  <c r="BAX31" i="5"/>
  <c r="BAY31" i="5"/>
  <c r="BAZ31" i="5"/>
  <c r="BBA31" i="5"/>
  <c r="BBB31" i="5"/>
  <c r="BBC31" i="5"/>
  <c r="BBD31" i="5"/>
  <c r="BBE31" i="5"/>
  <c r="BBF31" i="5"/>
  <c r="BBG31" i="5"/>
  <c r="BBH31" i="5"/>
  <c r="BBI31" i="5"/>
  <c r="BBJ31" i="5"/>
  <c r="BBK31" i="5"/>
  <c r="BBL31" i="5"/>
  <c r="BBM31" i="5"/>
  <c r="BBN31" i="5"/>
  <c r="BBO31" i="5"/>
  <c r="BBP31" i="5"/>
  <c r="BBQ31" i="5"/>
  <c r="BBR31" i="5"/>
  <c r="BBS31" i="5"/>
  <c r="BBT31" i="5"/>
  <c r="BBU31" i="5"/>
  <c r="BBV31" i="5"/>
  <c r="BBW31" i="5"/>
  <c r="BBX31" i="5"/>
  <c r="BBY31" i="5"/>
  <c r="BBZ31" i="5"/>
  <c r="BCA31" i="5"/>
  <c r="BCB31" i="5"/>
  <c r="BCC31" i="5"/>
  <c r="BCD31" i="5"/>
  <c r="BCE31" i="5"/>
  <c r="BCF31" i="5"/>
  <c r="BCG31" i="5"/>
  <c r="BCH31" i="5"/>
  <c r="BCI31" i="5"/>
  <c r="BCJ31" i="5"/>
  <c r="BCK31" i="5"/>
  <c r="BCL31" i="5"/>
  <c r="BCM31" i="5"/>
  <c r="BCN31" i="5"/>
  <c r="BCO31" i="5"/>
  <c r="BCP31" i="5"/>
  <c r="BCQ31" i="5"/>
  <c r="BCR31" i="5"/>
  <c r="BCS31" i="5"/>
  <c r="BCT31" i="5"/>
  <c r="BCU31" i="5"/>
  <c r="BCV31" i="5"/>
  <c r="BCW31" i="5"/>
  <c r="BCX31" i="5"/>
  <c r="BCY31" i="5"/>
  <c r="BCZ31" i="5"/>
  <c r="BDA31" i="5"/>
  <c r="BDB31" i="5"/>
  <c r="BDC31" i="5"/>
  <c r="BDD31" i="5"/>
  <c r="BDE31" i="5"/>
  <c r="BDF31" i="5"/>
  <c r="BDG31" i="5"/>
  <c r="BDH31" i="5"/>
  <c r="BDI31" i="5"/>
  <c r="BDJ31" i="5"/>
  <c r="BDK31" i="5"/>
  <c r="BDL31" i="5"/>
  <c r="BDM31" i="5"/>
  <c r="BDN31" i="5"/>
  <c r="BDO31" i="5"/>
  <c r="BDP31" i="5"/>
  <c r="BDQ31" i="5"/>
  <c r="BDR31" i="5"/>
  <c r="BDS31" i="5"/>
  <c r="BDT31" i="5"/>
  <c r="BDU31" i="5"/>
  <c r="BDV31" i="5"/>
  <c r="BDW31" i="5"/>
  <c r="BDX31" i="5"/>
  <c r="BDY31" i="5"/>
  <c r="BDZ31" i="5"/>
  <c r="BEA31" i="5"/>
  <c r="BEB31" i="5"/>
  <c r="BEC31" i="5"/>
  <c r="BED31" i="5"/>
  <c r="BEE31" i="5"/>
  <c r="BEF31" i="5"/>
  <c r="BEG31" i="5"/>
  <c r="BEH31" i="5"/>
  <c r="BEI31" i="5"/>
  <c r="BEJ31" i="5"/>
  <c r="BEK31" i="5"/>
  <c r="BEL31" i="5"/>
  <c r="BEM31" i="5"/>
  <c r="BEN31" i="5"/>
  <c r="BEO31" i="5"/>
  <c r="BEP31" i="5"/>
  <c r="BEQ31" i="5"/>
  <c r="BER31" i="5"/>
  <c r="BES31" i="5"/>
  <c r="BET31" i="5"/>
  <c r="BEU31" i="5"/>
  <c r="BEV31" i="5"/>
  <c r="BEW31" i="5"/>
  <c r="BEX31" i="5"/>
  <c r="BEY31" i="5"/>
  <c r="BEZ31" i="5"/>
  <c r="BFA31" i="5"/>
  <c r="BFB31" i="5"/>
  <c r="BFC31" i="5"/>
  <c r="BFD31" i="5"/>
  <c r="BFE31" i="5"/>
  <c r="BFF31" i="5"/>
  <c r="BFG31" i="5"/>
  <c r="BFH31" i="5"/>
  <c r="BFI31" i="5"/>
  <c r="BFJ31" i="5"/>
  <c r="BFK31" i="5"/>
  <c r="BFL31" i="5"/>
  <c r="BFM31" i="5"/>
  <c r="BFN31" i="5"/>
  <c r="BFO31" i="5"/>
  <c r="BFP31" i="5"/>
  <c r="BFQ31" i="5"/>
  <c r="BFR31" i="5"/>
  <c r="BFS31" i="5"/>
  <c r="BFT31" i="5"/>
  <c r="BFU31" i="5"/>
  <c r="BFV31" i="5"/>
  <c r="BFW31" i="5"/>
  <c r="BFX31" i="5"/>
  <c r="BFY31" i="5"/>
  <c r="BFZ31" i="5"/>
  <c r="BGA31" i="5"/>
  <c r="BGB31" i="5"/>
  <c r="BGC31" i="5"/>
  <c r="BGD31" i="5"/>
  <c r="BGE31" i="5"/>
  <c r="BGF31" i="5"/>
  <c r="BGG31" i="5"/>
  <c r="BGH31" i="5"/>
  <c r="BGI31" i="5"/>
  <c r="BGJ31" i="5"/>
  <c r="BGK31" i="5"/>
  <c r="BGL31" i="5"/>
  <c r="BGM31" i="5"/>
  <c r="BGN31" i="5"/>
  <c r="BGO31" i="5"/>
  <c r="BGP31" i="5"/>
  <c r="BGQ31" i="5"/>
  <c r="BGR31" i="5"/>
  <c r="BGS31" i="5"/>
  <c r="BGT31" i="5"/>
  <c r="BGU31" i="5"/>
  <c r="BGV31" i="5"/>
  <c r="BGW31" i="5"/>
  <c r="BGX31" i="5"/>
  <c r="BGY31" i="5"/>
  <c r="BGZ31" i="5"/>
  <c r="BHA31" i="5"/>
  <c r="BHB31" i="5"/>
  <c r="BHC31" i="5"/>
  <c r="BHD31" i="5"/>
  <c r="BHE31" i="5"/>
  <c r="BHF31" i="5"/>
  <c r="BHG31" i="5"/>
  <c r="BHH31" i="5"/>
  <c r="BHI31" i="5"/>
  <c r="BHJ31" i="5"/>
  <c r="BHK31" i="5"/>
  <c r="BHL31" i="5"/>
  <c r="BHM31" i="5"/>
  <c r="BHN31" i="5"/>
  <c r="BHO31" i="5"/>
  <c r="BHP31" i="5"/>
  <c r="BHQ31" i="5"/>
  <c r="BHR31" i="5"/>
  <c r="BHS31" i="5"/>
  <c r="BHT31" i="5"/>
  <c r="BHU31" i="5"/>
  <c r="BHV31" i="5"/>
  <c r="BHW31" i="5"/>
  <c r="BHX31" i="5"/>
  <c r="BHY31" i="5"/>
  <c r="BHZ31" i="5"/>
  <c r="BIA31" i="5"/>
  <c r="BIB31" i="5"/>
  <c r="BIC31" i="5"/>
  <c r="BID31" i="5"/>
  <c r="BIE31" i="5"/>
  <c r="BIF31" i="5"/>
  <c r="BIG31" i="5"/>
  <c r="BIH31" i="5"/>
  <c r="BII31" i="5"/>
  <c r="BIJ31" i="5"/>
  <c r="BIK31" i="5"/>
  <c r="BIL31" i="5"/>
  <c r="BIM31" i="5"/>
  <c r="BIN31" i="5"/>
  <c r="BIO31" i="5"/>
  <c r="BIP31" i="5"/>
  <c r="BIQ31" i="5"/>
  <c r="BIR31" i="5"/>
  <c r="BIS31" i="5"/>
  <c r="BIT31" i="5"/>
  <c r="BIU31" i="5"/>
  <c r="BIV31" i="5"/>
  <c r="BIW31" i="5"/>
  <c r="BIX31" i="5"/>
  <c r="BIY31" i="5"/>
  <c r="BIZ31" i="5"/>
  <c r="BJA31" i="5"/>
  <c r="BJB31" i="5"/>
  <c r="BJC31" i="5"/>
  <c r="BJD31" i="5"/>
  <c r="BJE31" i="5"/>
  <c r="BJF31" i="5"/>
  <c r="BJG31" i="5"/>
  <c r="BJH31" i="5"/>
  <c r="BJI31" i="5"/>
  <c r="BJJ31" i="5"/>
  <c r="BJK31" i="5"/>
  <c r="BJL31" i="5"/>
  <c r="BJM31" i="5"/>
  <c r="BJN31" i="5"/>
  <c r="BJO31" i="5"/>
  <c r="BJP31" i="5"/>
  <c r="BJQ31" i="5"/>
  <c r="BJR31" i="5"/>
  <c r="BJS31" i="5"/>
  <c r="BJT31" i="5"/>
  <c r="BJU31" i="5"/>
  <c r="BJV31" i="5"/>
  <c r="BJW31" i="5"/>
  <c r="BJX31" i="5"/>
  <c r="BJY31" i="5"/>
  <c r="BJZ31" i="5"/>
  <c r="BKA31" i="5"/>
  <c r="BKB31" i="5"/>
  <c r="BKC31" i="5"/>
  <c r="BKD31" i="5"/>
  <c r="BKE31" i="5"/>
  <c r="BKF31" i="5"/>
  <c r="BKG31" i="5"/>
  <c r="BKH31" i="5"/>
  <c r="BKI31" i="5"/>
  <c r="BKJ31" i="5"/>
  <c r="BKK31" i="5"/>
  <c r="BKL31" i="5"/>
  <c r="BKM31" i="5"/>
  <c r="BKN31" i="5"/>
  <c r="BKO31" i="5"/>
  <c r="BKP31" i="5"/>
  <c r="BKQ31" i="5"/>
  <c r="BKR31" i="5"/>
  <c r="BKS31" i="5"/>
  <c r="BKT31" i="5"/>
  <c r="BKU31" i="5"/>
  <c r="BKV31" i="5"/>
  <c r="BKW31" i="5"/>
  <c r="BKX31" i="5"/>
  <c r="BKY31" i="5"/>
  <c r="BKZ31" i="5"/>
  <c r="BLA31" i="5"/>
  <c r="BLB31" i="5"/>
  <c r="BLC31" i="5"/>
  <c r="BLD31" i="5"/>
  <c r="BLE31" i="5"/>
  <c r="BLF31" i="5"/>
  <c r="BLG31" i="5"/>
  <c r="BLH31" i="5"/>
  <c r="BLI31" i="5"/>
  <c r="BLJ31" i="5"/>
  <c r="BLK31" i="5"/>
  <c r="BLL31" i="5"/>
  <c r="BLM31" i="5"/>
  <c r="BLN31" i="5"/>
  <c r="BLO31" i="5"/>
  <c r="BLP31" i="5"/>
  <c r="BLQ31" i="5"/>
  <c r="BLR31" i="5"/>
  <c r="BLS31" i="5"/>
  <c r="BLT31" i="5"/>
  <c r="BLU31" i="5"/>
  <c r="BLV31" i="5"/>
  <c r="BLW31" i="5"/>
  <c r="BLX31" i="5"/>
  <c r="BLY31" i="5"/>
  <c r="BLZ31" i="5"/>
  <c r="BMA31" i="5"/>
  <c r="BMB31" i="5"/>
  <c r="BMC31" i="5"/>
  <c r="BMD31" i="5"/>
  <c r="BME31" i="5"/>
  <c r="BMF31" i="5"/>
  <c r="BMG31" i="5"/>
  <c r="BMH31" i="5"/>
  <c r="BMI31" i="5"/>
  <c r="BMJ31" i="5"/>
  <c r="BMK31" i="5"/>
  <c r="BML31" i="5"/>
  <c r="BMM31" i="5"/>
  <c r="BMN31" i="5"/>
  <c r="BMO31" i="5"/>
  <c r="BMP31" i="5"/>
  <c r="BMQ31" i="5"/>
  <c r="BMR31" i="5"/>
  <c r="BMS31" i="5"/>
  <c r="BMT31" i="5"/>
  <c r="BMU31" i="5"/>
  <c r="BMV31" i="5"/>
  <c r="BMW31" i="5"/>
  <c r="BMX31" i="5"/>
  <c r="BMY31" i="5"/>
  <c r="BMZ31" i="5"/>
  <c r="BNA31" i="5"/>
  <c r="BNB31" i="5"/>
  <c r="BNC31" i="5"/>
  <c r="BND31" i="5"/>
  <c r="BNE31" i="5"/>
  <c r="BNF31" i="5"/>
  <c r="BNG31" i="5"/>
  <c r="BNH31" i="5"/>
  <c r="BNI31" i="5"/>
  <c r="BNJ31" i="5"/>
  <c r="BNK31" i="5"/>
  <c r="BNL31" i="5"/>
  <c r="BNM31" i="5"/>
  <c r="BNN31" i="5"/>
  <c r="BNO31" i="5"/>
  <c r="BNP31" i="5"/>
  <c r="BNQ31" i="5"/>
  <c r="BNR31" i="5"/>
  <c r="BNS31" i="5"/>
  <c r="BNT31" i="5"/>
  <c r="BNU31" i="5"/>
  <c r="BNV31" i="5"/>
  <c r="BNW31" i="5"/>
  <c r="BNX31" i="5"/>
  <c r="BNY31" i="5"/>
  <c r="BNZ31" i="5"/>
  <c r="BOA31" i="5"/>
  <c r="BOB31" i="5"/>
  <c r="BOC31" i="5"/>
  <c r="BOD31" i="5"/>
  <c r="BOE31" i="5"/>
  <c r="BOF31" i="5"/>
  <c r="BOG31" i="5"/>
  <c r="BOH31" i="5"/>
  <c r="BOI31" i="5"/>
  <c r="BOJ31" i="5"/>
  <c r="BOK31" i="5"/>
  <c r="BOL31" i="5"/>
  <c r="BOM31" i="5"/>
  <c r="BON31" i="5"/>
  <c r="BOO31" i="5"/>
  <c r="BOP31" i="5"/>
  <c r="BOQ31" i="5"/>
  <c r="BOR31" i="5"/>
  <c r="BOS31" i="5"/>
  <c r="BOT31" i="5"/>
  <c r="BOU31" i="5"/>
  <c r="BOV31" i="5"/>
  <c r="BOW31" i="5"/>
  <c r="BOX31" i="5"/>
  <c r="BOY31" i="5"/>
  <c r="BOZ31" i="5"/>
  <c r="BPA31" i="5"/>
  <c r="BPB31" i="5"/>
  <c r="BPC31" i="5"/>
  <c r="BPD31" i="5"/>
  <c r="BPE31" i="5"/>
  <c r="BPF31" i="5"/>
  <c r="BPG31" i="5"/>
  <c r="BPH31" i="5"/>
  <c r="BPI31" i="5"/>
  <c r="BPJ31" i="5"/>
  <c r="BPK31" i="5"/>
  <c r="BPL31" i="5"/>
  <c r="BPM31" i="5"/>
  <c r="BPN31" i="5"/>
  <c r="BPO31" i="5"/>
  <c r="BPP31" i="5"/>
  <c r="BPQ31" i="5"/>
  <c r="BPR31" i="5"/>
  <c r="BPS31" i="5"/>
  <c r="BPT31" i="5"/>
  <c r="BPU31" i="5"/>
  <c r="BPV31" i="5"/>
  <c r="BPW31" i="5"/>
  <c r="BPX31" i="5"/>
  <c r="BPY31" i="5"/>
  <c r="BPZ31" i="5"/>
  <c r="BQA31" i="5"/>
  <c r="BQB31" i="5"/>
  <c r="BQC31" i="5"/>
  <c r="BQD31" i="5"/>
  <c r="BQE31" i="5"/>
  <c r="BQF31" i="5"/>
  <c r="BQG31" i="5"/>
  <c r="BQH31" i="5"/>
  <c r="BQI31" i="5"/>
  <c r="BQJ31" i="5"/>
  <c r="BQK31" i="5"/>
  <c r="BQL31" i="5"/>
  <c r="BQM31" i="5"/>
  <c r="BQN31" i="5"/>
  <c r="BQO31" i="5"/>
  <c r="BQP31" i="5"/>
  <c r="BQQ31" i="5"/>
  <c r="BQR31" i="5"/>
  <c r="BQS31" i="5"/>
  <c r="BQT31" i="5"/>
  <c r="BQU31" i="5"/>
  <c r="BQV31" i="5"/>
  <c r="BQW31" i="5"/>
  <c r="BQX31" i="5"/>
  <c r="BQY31" i="5"/>
  <c r="BQZ31" i="5"/>
  <c r="BRA31" i="5"/>
  <c r="BRB31" i="5"/>
  <c r="BRC31" i="5"/>
  <c r="BRD31" i="5"/>
  <c r="BRE31" i="5"/>
  <c r="BRF31" i="5"/>
  <c r="BRG31" i="5"/>
  <c r="BRH31" i="5"/>
  <c r="BRI31" i="5"/>
  <c r="BRJ31" i="5"/>
  <c r="BRK31" i="5"/>
  <c r="BRL31" i="5"/>
  <c r="BRM31" i="5"/>
  <c r="BRN31" i="5"/>
  <c r="BRO31" i="5"/>
  <c r="BRP31" i="5"/>
  <c r="BRQ31" i="5"/>
  <c r="BRR31" i="5"/>
  <c r="BRS31" i="5"/>
  <c r="BRT31" i="5"/>
  <c r="BRU31" i="5"/>
  <c r="BRV31" i="5"/>
  <c r="BRW31" i="5"/>
  <c r="BRX31" i="5"/>
  <c r="BRY31" i="5"/>
  <c r="BRZ31" i="5"/>
  <c r="BSA31" i="5"/>
  <c r="BSB31" i="5"/>
  <c r="BSC31" i="5"/>
  <c r="BSD31" i="5"/>
  <c r="BSE31" i="5"/>
  <c r="BSF31" i="5"/>
  <c r="BSG31" i="5"/>
  <c r="BSH31" i="5"/>
  <c r="BSI31" i="5"/>
  <c r="BSJ31" i="5"/>
  <c r="BSK31" i="5"/>
  <c r="BSL31" i="5"/>
  <c r="BSM31" i="5"/>
  <c r="BSN31" i="5"/>
  <c r="BSO31" i="5"/>
  <c r="BSP31" i="5"/>
  <c r="BSQ31" i="5"/>
  <c r="BSR31" i="5"/>
  <c r="BSS31" i="5"/>
  <c r="BST31" i="5"/>
  <c r="BSU31" i="5"/>
  <c r="BSV31" i="5"/>
  <c r="BSW31" i="5"/>
  <c r="BSX31" i="5"/>
  <c r="BSY31" i="5"/>
  <c r="BSZ31" i="5"/>
  <c r="BTA31" i="5"/>
  <c r="BTB31" i="5"/>
  <c r="BTC31" i="5"/>
  <c r="BTD31" i="5"/>
  <c r="BTE31" i="5"/>
  <c r="BTF31" i="5"/>
  <c r="BTG31" i="5"/>
  <c r="BTH31" i="5"/>
  <c r="BTI31" i="5"/>
  <c r="BTJ31" i="5"/>
  <c r="BTK31" i="5"/>
  <c r="BTL31" i="5"/>
  <c r="BTM31" i="5"/>
  <c r="BTN31" i="5"/>
  <c r="BTO31" i="5"/>
  <c r="BTP31" i="5"/>
  <c r="BTQ31" i="5"/>
  <c r="BTR31" i="5"/>
  <c r="BTS31" i="5"/>
  <c r="BTT31" i="5"/>
  <c r="BTU31" i="5"/>
  <c r="BTV31" i="5"/>
  <c r="BTW31" i="5"/>
  <c r="BTX31" i="5"/>
  <c r="BTY31" i="5"/>
  <c r="BTZ31" i="5"/>
  <c r="BUA31" i="5"/>
  <c r="BUB31" i="5"/>
  <c r="BUC31" i="5"/>
  <c r="BUD31" i="5"/>
  <c r="BUE31" i="5"/>
  <c r="BUF31" i="5"/>
  <c r="BUG31" i="5"/>
  <c r="BUH31" i="5"/>
  <c r="BUI31" i="5"/>
  <c r="BUJ31" i="5"/>
  <c r="BUK31" i="5"/>
  <c r="BUL31" i="5"/>
  <c r="BUM31" i="5"/>
  <c r="BUN31" i="5"/>
  <c r="BUO31" i="5"/>
  <c r="BUP31" i="5"/>
  <c r="BUQ31" i="5"/>
  <c r="BUR31" i="5"/>
  <c r="BUS31" i="5"/>
  <c r="BUT31" i="5"/>
  <c r="BUU31" i="5"/>
  <c r="BUV31" i="5"/>
  <c r="BUW31" i="5"/>
  <c r="BUX31" i="5"/>
  <c r="BUY31" i="5"/>
  <c r="BUZ31" i="5"/>
  <c r="BVA31" i="5"/>
  <c r="BVB31" i="5"/>
  <c r="BVC31" i="5"/>
  <c r="BVD31" i="5"/>
  <c r="BVE31" i="5"/>
  <c r="BVF31" i="5"/>
  <c r="BVG31" i="5"/>
  <c r="BVH31" i="5"/>
  <c r="BVI31" i="5"/>
  <c r="BVJ31" i="5"/>
  <c r="BVK31" i="5"/>
  <c r="BVL31" i="5"/>
  <c r="BVM31" i="5"/>
  <c r="BVN31" i="5"/>
  <c r="BVO31" i="5"/>
  <c r="BVP31" i="5"/>
  <c r="BVQ31" i="5"/>
  <c r="BVR31" i="5"/>
  <c r="BVS31" i="5"/>
  <c r="BVT31" i="5"/>
  <c r="BVU31" i="5"/>
  <c r="BVV31" i="5"/>
  <c r="BVW31" i="5"/>
  <c r="BVX31" i="5"/>
  <c r="BVY31" i="5"/>
  <c r="BVZ31" i="5"/>
  <c r="BWA31" i="5"/>
  <c r="BWB31" i="5"/>
  <c r="BWC31" i="5"/>
  <c r="BWD31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JC32" i="5"/>
  <c r="JD32" i="5"/>
  <c r="JE32" i="5"/>
  <c r="JF32" i="5"/>
  <c r="JG32" i="5"/>
  <c r="JH32" i="5"/>
  <c r="JI32" i="5"/>
  <c r="JJ32" i="5"/>
  <c r="JK32" i="5"/>
  <c r="JL32" i="5"/>
  <c r="JM32" i="5"/>
  <c r="JN32" i="5"/>
  <c r="JO32" i="5"/>
  <c r="JP32" i="5"/>
  <c r="JQ32" i="5"/>
  <c r="JR32" i="5"/>
  <c r="JS32" i="5"/>
  <c r="JT32" i="5"/>
  <c r="JU32" i="5"/>
  <c r="JV32" i="5"/>
  <c r="JW32" i="5"/>
  <c r="JX32" i="5"/>
  <c r="JY32" i="5"/>
  <c r="JZ32" i="5"/>
  <c r="KA32" i="5"/>
  <c r="KB32" i="5"/>
  <c r="KC32" i="5"/>
  <c r="KD32" i="5"/>
  <c r="KE32" i="5"/>
  <c r="KF32" i="5"/>
  <c r="KG32" i="5"/>
  <c r="KH32" i="5"/>
  <c r="KI32" i="5"/>
  <c r="KJ32" i="5"/>
  <c r="KK32" i="5"/>
  <c r="KL32" i="5"/>
  <c r="KM32" i="5"/>
  <c r="KN32" i="5"/>
  <c r="KO32" i="5"/>
  <c r="KP32" i="5"/>
  <c r="KQ32" i="5"/>
  <c r="KR32" i="5"/>
  <c r="KS32" i="5"/>
  <c r="KT32" i="5"/>
  <c r="KU32" i="5"/>
  <c r="KV32" i="5"/>
  <c r="KW32" i="5"/>
  <c r="KX32" i="5"/>
  <c r="KY32" i="5"/>
  <c r="KZ32" i="5"/>
  <c r="LA32" i="5"/>
  <c r="LB32" i="5"/>
  <c r="LC32" i="5"/>
  <c r="LD32" i="5"/>
  <c r="LE32" i="5"/>
  <c r="LF32" i="5"/>
  <c r="LG32" i="5"/>
  <c r="LH32" i="5"/>
  <c r="LI32" i="5"/>
  <c r="LJ32" i="5"/>
  <c r="LK32" i="5"/>
  <c r="LL32" i="5"/>
  <c r="LM32" i="5"/>
  <c r="LN32" i="5"/>
  <c r="LO32" i="5"/>
  <c r="LP32" i="5"/>
  <c r="LQ32" i="5"/>
  <c r="LR32" i="5"/>
  <c r="LS32" i="5"/>
  <c r="LT32" i="5"/>
  <c r="LU32" i="5"/>
  <c r="LV32" i="5"/>
  <c r="LW32" i="5"/>
  <c r="LX32" i="5"/>
  <c r="LY32" i="5"/>
  <c r="LZ32" i="5"/>
  <c r="MA32" i="5"/>
  <c r="MB32" i="5"/>
  <c r="MC32" i="5"/>
  <c r="MD32" i="5"/>
  <c r="ME32" i="5"/>
  <c r="MF32" i="5"/>
  <c r="MG32" i="5"/>
  <c r="MH32" i="5"/>
  <c r="MI32" i="5"/>
  <c r="MJ32" i="5"/>
  <c r="MK32" i="5"/>
  <c r="ML32" i="5"/>
  <c r="MM32" i="5"/>
  <c r="MN32" i="5"/>
  <c r="MO32" i="5"/>
  <c r="MP32" i="5"/>
  <c r="MQ32" i="5"/>
  <c r="MR32" i="5"/>
  <c r="MS32" i="5"/>
  <c r="MT32" i="5"/>
  <c r="MU32" i="5"/>
  <c r="MV32" i="5"/>
  <c r="MW32" i="5"/>
  <c r="MX32" i="5"/>
  <c r="MY32" i="5"/>
  <c r="MZ32" i="5"/>
  <c r="NA32" i="5"/>
  <c r="NB32" i="5"/>
  <c r="NC32" i="5"/>
  <c r="ND32" i="5"/>
  <c r="NE32" i="5"/>
  <c r="NF32" i="5"/>
  <c r="NG32" i="5"/>
  <c r="NH32" i="5"/>
  <c r="NI32" i="5"/>
  <c r="NJ32" i="5"/>
  <c r="NK32" i="5"/>
  <c r="NL32" i="5"/>
  <c r="NM32" i="5"/>
  <c r="NN32" i="5"/>
  <c r="NO32" i="5"/>
  <c r="NP32" i="5"/>
  <c r="NQ32" i="5"/>
  <c r="NR32" i="5"/>
  <c r="NS32" i="5"/>
  <c r="NT32" i="5"/>
  <c r="NU32" i="5"/>
  <c r="NV32" i="5"/>
  <c r="NW32" i="5"/>
  <c r="NX32" i="5"/>
  <c r="NY32" i="5"/>
  <c r="NZ32" i="5"/>
  <c r="OA32" i="5"/>
  <c r="OB32" i="5"/>
  <c r="OC32" i="5"/>
  <c r="OD32" i="5"/>
  <c r="OE32" i="5"/>
  <c r="OF32" i="5"/>
  <c r="OG32" i="5"/>
  <c r="OH32" i="5"/>
  <c r="OI32" i="5"/>
  <c r="OJ32" i="5"/>
  <c r="OK32" i="5"/>
  <c r="OL32" i="5"/>
  <c r="OM32" i="5"/>
  <c r="ON32" i="5"/>
  <c r="OO32" i="5"/>
  <c r="OP32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PO32" i="5"/>
  <c r="PP32" i="5"/>
  <c r="PQ32" i="5"/>
  <c r="PR32" i="5"/>
  <c r="PS32" i="5"/>
  <c r="PT32" i="5"/>
  <c r="PU32" i="5"/>
  <c r="PV32" i="5"/>
  <c r="PW32" i="5"/>
  <c r="PX32" i="5"/>
  <c r="PY32" i="5"/>
  <c r="PZ32" i="5"/>
  <c r="QA32" i="5"/>
  <c r="QB32" i="5"/>
  <c r="QC32" i="5"/>
  <c r="QD32" i="5"/>
  <c r="QE32" i="5"/>
  <c r="QF32" i="5"/>
  <c r="QG32" i="5"/>
  <c r="QH32" i="5"/>
  <c r="QI32" i="5"/>
  <c r="QJ32" i="5"/>
  <c r="QK32" i="5"/>
  <c r="QL32" i="5"/>
  <c r="QM32" i="5"/>
  <c r="QN32" i="5"/>
  <c r="QO32" i="5"/>
  <c r="QP32" i="5"/>
  <c r="QQ32" i="5"/>
  <c r="QR32" i="5"/>
  <c r="QS32" i="5"/>
  <c r="QT32" i="5"/>
  <c r="QU32" i="5"/>
  <c r="QV32" i="5"/>
  <c r="QW32" i="5"/>
  <c r="QX32" i="5"/>
  <c r="QY32" i="5"/>
  <c r="QZ32" i="5"/>
  <c r="RA32" i="5"/>
  <c r="RB32" i="5"/>
  <c r="RC32" i="5"/>
  <c r="RD32" i="5"/>
  <c r="RE32" i="5"/>
  <c r="RF32" i="5"/>
  <c r="RG32" i="5"/>
  <c r="RH32" i="5"/>
  <c r="RI32" i="5"/>
  <c r="RJ32" i="5"/>
  <c r="RK32" i="5"/>
  <c r="RL32" i="5"/>
  <c r="RM32" i="5"/>
  <c r="RN32" i="5"/>
  <c r="RO32" i="5"/>
  <c r="RP32" i="5"/>
  <c r="RQ32" i="5"/>
  <c r="RR32" i="5"/>
  <c r="RS32" i="5"/>
  <c r="RT32" i="5"/>
  <c r="RU32" i="5"/>
  <c r="RV32" i="5"/>
  <c r="RW32" i="5"/>
  <c r="RX32" i="5"/>
  <c r="RY32" i="5"/>
  <c r="RZ32" i="5"/>
  <c r="SA32" i="5"/>
  <c r="SB32" i="5"/>
  <c r="SC32" i="5"/>
  <c r="SD32" i="5"/>
  <c r="SE32" i="5"/>
  <c r="SF32" i="5"/>
  <c r="SG32" i="5"/>
  <c r="SH32" i="5"/>
  <c r="SI32" i="5"/>
  <c r="SJ32" i="5"/>
  <c r="SK32" i="5"/>
  <c r="SL32" i="5"/>
  <c r="SM32" i="5"/>
  <c r="SN32" i="5"/>
  <c r="SO32" i="5"/>
  <c r="SP32" i="5"/>
  <c r="SQ32" i="5"/>
  <c r="SR32" i="5"/>
  <c r="SS32" i="5"/>
  <c r="ST32" i="5"/>
  <c r="SU32" i="5"/>
  <c r="SV32" i="5"/>
  <c r="SW32" i="5"/>
  <c r="SX32" i="5"/>
  <c r="SY32" i="5"/>
  <c r="SZ32" i="5"/>
  <c r="TA32" i="5"/>
  <c r="TB32" i="5"/>
  <c r="TC32" i="5"/>
  <c r="TD32" i="5"/>
  <c r="TE32" i="5"/>
  <c r="TF32" i="5"/>
  <c r="TG32" i="5"/>
  <c r="TH32" i="5"/>
  <c r="TI32" i="5"/>
  <c r="TJ32" i="5"/>
  <c r="TK32" i="5"/>
  <c r="TL32" i="5"/>
  <c r="TM32" i="5"/>
  <c r="TN32" i="5"/>
  <c r="TO32" i="5"/>
  <c r="TP32" i="5"/>
  <c r="TQ32" i="5"/>
  <c r="TR32" i="5"/>
  <c r="TS32" i="5"/>
  <c r="TT32" i="5"/>
  <c r="TU32" i="5"/>
  <c r="TV32" i="5"/>
  <c r="TW32" i="5"/>
  <c r="TX32" i="5"/>
  <c r="TY32" i="5"/>
  <c r="TZ32" i="5"/>
  <c r="UA32" i="5"/>
  <c r="UB32" i="5"/>
  <c r="UC32" i="5"/>
  <c r="UD32" i="5"/>
  <c r="UE32" i="5"/>
  <c r="UF32" i="5"/>
  <c r="UG32" i="5"/>
  <c r="UH32" i="5"/>
  <c r="UI32" i="5"/>
  <c r="UJ32" i="5"/>
  <c r="UK32" i="5"/>
  <c r="UL32" i="5"/>
  <c r="UM32" i="5"/>
  <c r="UN32" i="5"/>
  <c r="UO32" i="5"/>
  <c r="UP32" i="5"/>
  <c r="UQ32" i="5"/>
  <c r="UR32" i="5"/>
  <c r="US32" i="5"/>
  <c r="UT32" i="5"/>
  <c r="UU32" i="5"/>
  <c r="UV32" i="5"/>
  <c r="UW32" i="5"/>
  <c r="UX32" i="5"/>
  <c r="UY32" i="5"/>
  <c r="UZ32" i="5"/>
  <c r="VA32" i="5"/>
  <c r="VB32" i="5"/>
  <c r="VC32" i="5"/>
  <c r="VD32" i="5"/>
  <c r="VE32" i="5"/>
  <c r="VF32" i="5"/>
  <c r="VG32" i="5"/>
  <c r="VH32" i="5"/>
  <c r="VI32" i="5"/>
  <c r="VJ32" i="5"/>
  <c r="VK32" i="5"/>
  <c r="VL32" i="5"/>
  <c r="VM32" i="5"/>
  <c r="VN32" i="5"/>
  <c r="VO32" i="5"/>
  <c r="VP32" i="5"/>
  <c r="VQ32" i="5"/>
  <c r="VR32" i="5"/>
  <c r="VS32" i="5"/>
  <c r="VT32" i="5"/>
  <c r="VU32" i="5"/>
  <c r="VV32" i="5"/>
  <c r="VW32" i="5"/>
  <c r="VX32" i="5"/>
  <c r="VY32" i="5"/>
  <c r="VZ32" i="5"/>
  <c r="WA32" i="5"/>
  <c r="WB32" i="5"/>
  <c r="WC32" i="5"/>
  <c r="WD32" i="5"/>
  <c r="WE32" i="5"/>
  <c r="WF32" i="5"/>
  <c r="WG32" i="5"/>
  <c r="WH32" i="5"/>
  <c r="WI32" i="5"/>
  <c r="WJ32" i="5"/>
  <c r="WK32" i="5"/>
  <c r="WL32" i="5"/>
  <c r="WM32" i="5"/>
  <c r="WN32" i="5"/>
  <c r="WO32" i="5"/>
  <c r="WP32" i="5"/>
  <c r="WQ32" i="5"/>
  <c r="WR32" i="5"/>
  <c r="WS32" i="5"/>
  <c r="WT32" i="5"/>
  <c r="WU32" i="5"/>
  <c r="WV32" i="5"/>
  <c r="WW32" i="5"/>
  <c r="WX32" i="5"/>
  <c r="WY32" i="5"/>
  <c r="WZ32" i="5"/>
  <c r="XA32" i="5"/>
  <c r="XB32" i="5"/>
  <c r="XC32" i="5"/>
  <c r="XD32" i="5"/>
  <c r="XE32" i="5"/>
  <c r="XF32" i="5"/>
  <c r="XG32" i="5"/>
  <c r="XH32" i="5"/>
  <c r="XI32" i="5"/>
  <c r="XJ32" i="5"/>
  <c r="XK32" i="5"/>
  <c r="XL32" i="5"/>
  <c r="XM32" i="5"/>
  <c r="XN32" i="5"/>
  <c r="XO32" i="5"/>
  <c r="XP32" i="5"/>
  <c r="XQ32" i="5"/>
  <c r="XR32" i="5"/>
  <c r="XS32" i="5"/>
  <c r="XT32" i="5"/>
  <c r="XU32" i="5"/>
  <c r="XV32" i="5"/>
  <c r="XW32" i="5"/>
  <c r="XX32" i="5"/>
  <c r="XY32" i="5"/>
  <c r="XZ32" i="5"/>
  <c r="YA32" i="5"/>
  <c r="YB32" i="5"/>
  <c r="YC32" i="5"/>
  <c r="YD32" i="5"/>
  <c r="YE32" i="5"/>
  <c r="YF32" i="5"/>
  <c r="YG32" i="5"/>
  <c r="YH32" i="5"/>
  <c r="YI32" i="5"/>
  <c r="YJ32" i="5"/>
  <c r="YK32" i="5"/>
  <c r="YL32" i="5"/>
  <c r="YM32" i="5"/>
  <c r="YN32" i="5"/>
  <c r="YO32" i="5"/>
  <c r="YP32" i="5"/>
  <c r="YQ32" i="5"/>
  <c r="YR32" i="5"/>
  <c r="YS32" i="5"/>
  <c r="YT32" i="5"/>
  <c r="YU32" i="5"/>
  <c r="YV32" i="5"/>
  <c r="YW32" i="5"/>
  <c r="YX32" i="5"/>
  <c r="YY32" i="5"/>
  <c r="YZ32" i="5"/>
  <c r="ZA32" i="5"/>
  <c r="ZB32" i="5"/>
  <c r="ZC32" i="5"/>
  <c r="ZD32" i="5"/>
  <c r="ZE32" i="5"/>
  <c r="ZF32" i="5"/>
  <c r="ZG32" i="5"/>
  <c r="ZH32" i="5"/>
  <c r="ZI32" i="5"/>
  <c r="ZJ32" i="5"/>
  <c r="ZK32" i="5"/>
  <c r="ZL32" i="5"/>
  <c r="ZM32" i="5"/>
  <c r="ZN32" i="5"/>
  <c r="ZO32" i="5"/>
  <c r="ZP32" i="5"/>
  <c r="ZQ32" i="5"/>
  <c r="ZR32" i="5"/>
  <c r="ZS32" i="5"/>
  <c r="ZT32" i="5"/>
  <c r="ZU32" i="5"/>
  <c r="ZV32" i="5"/>
  <c r="ZW32" i="5"/>
  <c r="ZX32" i="5"/>
  <c r="ZY32" i="5"/>
  <c r="ZZ32" i="5"/>
  <c r="AAA32" i="5"/>
  <c r="AAB32" i="5"/>
  <c r="AAC32" i="5"/>
  <c r="AAD32" i="5"/>
  <c r="AAE32" i="5"/>
  <c r="AAF32" i="5"/>
  <c r="AAG32" i="5"/>
  <c r="AAH32" i="5"/>
  <c r="AAI32" i="5"/>
  <c r="AAJ32" i="5"/>
  <c r="AAK32" i="5"/>
  <c r="AAL32" i="5"/>
  <c r="AAM32" i="5"/>
  <c r="AAN32" i="5"/>
  <c r="AAO32" i="5"/>
  <c r="AAP32" i="5"/>
  <c r="AAQ32" i="5"/>
  <c r="AAR32" i="5"/>
  <c r="AAS32" i="5"/>
  <c r="AAT32" i="5"/>
  <c r="AAU32" i="5"/>
  <c r="AAV32" i="5"/>
  <c r="AAW32" i="5"/>
  <c r="AAX32" i="5"/>
  <c r="AAY32" i="5"/>
  <c r="AAZ32" i="5"/>
  <c r="ABA32" i="5"/>
  <c r="ABB32" i="5"/>
  <c r="ABC32" i="5"/>
  <c r="ABD32" i="5"/>
  <c r="ABE32" i="5"/>
  <c r="ABF32" i="5"/>
  <c r="ABG32" i="5"/>
  <c r="ABH32" i="5"/>
  <c r="ABI32" i="5"/>
  <c r="ABJ32" i="5"/>
  <c r="ABK32" i="5"/>
  <c r="ABL32" i="5"/>
  <c r="ABM32" i="5"/>
  <c r="ABN32" i="5"/>
  <c r="ABO32" i="5"/>
  <c r="ABP32" i="5"/>
  <c r="ABQ32" i="5"/>
  <c r="ABR32" i="5"/>
  <c r="ABS32" i="5"/>
  <c r="ABT32" i="5"/>
  <c r="ABU32" i="5"/>
  <c r="ABV32" i="5"/>
  <c r="ABW32" i="5"/>
  <c r="ABX32" i="5"/>
  <c r="ABY32" i="5"/>
  <c r="ABZ32" i="5"/>
  <c r="ACA32" i="5"/>
  <c r="ACB32" i="5"/>
  <c r="ACC32" i="5"/>
  <c r="ACD32" i="5"/>
  <c r="ACE32" i="5"/>
  <c r="ACF32" i="5"/>
  <c r="ACG32" i="5"/>
  <c r="ACH32" i="5"/>
  <c r="ACI32" i="5"/>
  <c r="ACJ32" i="5"/>
  <c r="ACK32" i="5"/>
  <c r="ACL32" i="5"/>
  <c r="ACM32" i="5"/>
  <c r="ACN32" i="5"/>
  <c r="ACO32" i="5"/>
  <c r="ACP32" i="5"/>
  <c r="ACQ32" i="5"/>
  <c r="ACR32" i="5"/>
  <c r="ACS32" i="5"/>
  <c r="ACT32" i="5"/>
  <c r="ACU32" i="5"/>
  <c r="ACV32" i="5"/>
  <c r="ACW32" i="5"/>
  <c r="ACX32" i="5"/>
  <c r="ACY32" i="5"/>
  <c r="ACZ32" i="5"/>
  <c r="ADA32" i="5"/>
  <c r="ADB32" i="5"/>
  <c r="ADC32" i="5"/>
  <c r="ADD32" i="5"/>
  <c r="ADE32" i="5"/>
  <c r="ADF32" i="5"/>
  <c r="ADG32" i="5"/>
  <c r="ADH32" i="5"/>
  <c r="ADI32" i="5"/>
  <c r="ADJ32" i="5"/>
  <c r="ADK32" i="5"/>
  <c r="ADL32" i="5"/>
  <c r="ADM32" i="5"/>
  <c r="ADN32" i="5"/>
  <c r="ADO32" i="5"/>
  <c r="ADP32" i="5"/>
  <c r="ADQ32" i="5"/>
  <c r="ADR32" i="5"/>
  <c r="ADS32" i="5"/>
  <c r="ADT32" i="5"/>
  <c r="ADU32" i="5"/>
  <c r="ADV32" i="5"/>
  <c r="ADW32" i="5"/>
  <c r="ADX32" i="5"/>
  <c r="ADY32" i="5"/>
  <c r="ADZ32" i="5"/>
  <c r="AEA32" i="5"/>
  <c r="AEB32" i="5"/>
  <c r="AEC32" i="5"/>
  <c r="AED32" i="5"/>
  <c r="AEE32" i="5"/>
  <c r="AEF32" i="5"/>
  <c r="AEG32" i="5"/>
  <c r="AEH32" i="5"/>
  <c r="AEI32" i="5"/>
  <c r="AEJ32" i="5"/>
  <c r="AEK32" i="5"/>
  <c r="AEL32" i="5"/>
  <c r="AEM32" i="5"/>
  <c r="AEN32" i="5"/>
  <c r="AEO32" i="5"/>
  <c r="AEP32" i="5"/>
  <c r="AEQ32" i="5"/>
  <c r="AER32" i="5"/>
  <c r="AES32" i="5"/>
  <c r="AET32" i="5"/>
  <c r="AEU32" i="5"/>
  <c r="AEV32" i="5"/>
  <c r="AEW32" i="5"/>
  <c r="AEX32" i="5"/>
  <c r="AEY32" i="5"/>
  <c r="AEZ32" i="5"/>
  <c r="AFA32" i="5"/>
  <c r="AFB32" i="5"/>
  <c r="AFC32" i="5"/>
  <c r="AFD32" i="5"/>
  <c r="AFE32" i="5"/>
  <c r="AFF32" i="5"/>
  <c r="AFG32" i="5"/>
  <c r="AFH32" i="5"/>
  <c r="AFI32" i="5"/>
  <c r="AFJ32" i="5"/>
  <c r="AFK32" i="5"/>
  <c r="AFL32" i="5"/>
  <c r="AFM32" i="5"/>
  <c r="AFN32" i="5"/>
  <c r="AFO32" i="5"/>
  <c r="AFP32" i="5"/>
  <c r="AFQ32" i="5"/>
  <c r="AFR32" i="5"/>
  <c r="AFS32" i="5"/>
  <c r="AFT32" i="5"/>
  <c r="AFU32" i="5"/>
  <c r="AFV32" i="5"/>
  <c r="AFW32" i="5"/>
  <c r="AFX32" i="5"/>
  <c r="AFY32" i="5"/>
  <c r="AFZ32" i="5"/>
  <c r="AGA32" i="5"/>
  <c r="AGB32" i="5"/>
  <c r="AGC32" i="5"/>
  <c r="AGD32" i="5"/>
  <c r="AGE32" i="5"/>
  <c r="AGF32" i="5"/>
  <c r="AGG32" i="5"/>
  <c r="AGH32" i="5"/>
  <c r="AGI32" i="5"/>
  <c r="AGJ32" i="5"/>
  <c r="AGK32" i="5"/>
  <c r="AGL32" i="5"/>
  <c r="AGM32" i="5"/>
  <c r="AGN32" i="5"/>
  <c r="AGO32" i="5"/>
  <c r="AGP32" i="5"/>
  <c r="AGQ32" i="5"/>
  <c r="AGR32" i="5"/>
  <c r="AGS32" i="5"/>
  <c r="AGT32" i="5"/>
  <c r="AGU32" i="5"/>
  <c r="AGV32" i="5"/>
  <c r="AGW32" i="5"/>
  <c r="AGX32" i="5"/>
  <c r="AGY32" i="5"/>
  <c r="AGZ32" i="5"/>
  <c r="AHA32" i="5"/>
  <c r="AHB32" i="5"/>
  <c r="AHC32" i="5"/>
  <c r="AHD32" i="5"/>
  <c r="AHE32" i="5"/>
  <c r="AHF32" i="5"/>
  <c r="AHG32" i="5"/>
  <c r="AHH32" i="5"/>
  <c r="AHI32" i="5"/>
  <c r="AHJ32" i="5"/>
  <c r="AHK32" i="5"/>
  <c r="AHL32" i="5"/>
  <c r="AHM32" i="5"/>
  <c r="AHN32" i="5"/>
  <c r="AHO32" i="5"/>
  <c r="AHP32" i="5"/>
  <c r="AHQ32" i="5"/>
  <c r="AHR32" i="5"/>
  <c r="AHS32" i="5"/>
  <c r="AHT32" i="5"/>
  <c r="AHU32" i="5"/>
  <c r="AHV32" i="5"/>
  <c r="AHW32" i="5"/>
  <c r="AHX32" i="5"/>
  <c r="AHY32" i="5"/>
  <c r="AHZ32" i="5"/>
  <c r="AIA32" i="5"/>
  <c r="AIB32" i="5"/>
  <c r="AIC32" i="5"/>
  <c r="AID32" i="5"/>
  <c r="AIE32" i="5"/>
  <c r="AIF32" i="5"/>
  <c r="AIG32" i="5"/>
  <c r="AIH32" i="5"/>
  <c r="AII32" i="5"/>
  <c r="AIJ32" i="5"/>
  <c r="AIK32" i="5"/>
  <c r="AIL32" i="5"/>
  <c r="AIM32" i="5"/>
  <c r="AIN32" i="5"/>
  <c r="AIO32" i="5"/>
  <c r="AIP32" i="5"/>
  <c r="AIQ32" i="5"/>
  <c r="AIR32" i="5"/>
  <c r="AIS32" i="5"/>
  <c r="AIT32" i="5"/>
  <c r="AIU32" i="5"/>
  <c r="AIV32" i="5"/>
  <c r="AIW32" i="5"/>
  <c r="AIX32" i="5"/>
  <c r="AIY32" i="5"/>
  <c r="AIZ32" i="5"/>
  <c r="AJA32" i="5"/>
  <c r="AJB32" i="5"/>
  <c r="AJC32" i="5"/>
  <c r="AJD32" i="5"/>
  <c r="AJE32" i="5"/>
  <c r="AJF32" i="5"/>
  <c r="AJG32" i="5"/>
  <c r="AJH32" i="5"/>
  <c r="AJI32" i="5"/>
  <c r="AJJ32" i="5"/>
  <c r="AJK32" i="5"/>
  <c r="AJL32" i="5"/>
  <c r="AJM32" i="5"/>
  <c r="AJN32" i="5"/>
  <c r="AJO32" i="5"/>
  <c r="AJP32" i="5"/>
  <c r="AJQ32" i="5"/>
  <c r="AJR32" i="5"/>
  <c r="AJS32" i="5"/>
  <c r="AJT32" i="5"/>
  <c r="AJU32" i="5"/>
  <c r="AJV32" i="5"/>
  <c r="AJW32" i="5"/>
  <c r="AJX32" i="5"/>
  <c r="AJY32" i="5"/>
  <c r="AJZ32" i="5"/>
  <c r="AKA32" i="5"/>
  <c r="AKB32" i="5"/>
  <c r="AKC32" i="5"/>
  <c r="AKD32" i="5"/>
  <c r="AKE32" i="5"/>
  <c r="AKF32" i="5"/>
  <c r="AKG32" i="5"/>
  <c r="AKH32" i="5"/>
  <c r="AKI32" i="5"/>
  <c r="AKJ32" i="5"/>
  <c r="AKK32" i="5"/>
  <c r="AKL32" i="5"/>
  <c r="AKM32" i="5"/>
  <c r="AKN32" i="5"/>
  <c r="AKO32" i="5"/>
  <c r="AKP32" i="5"/>
  <c r="AKQ32" i="5"/>
  <c r="AKR32" i="5"/>
  <c r="AKS32" i="5"/>
  <c r="AKT32" i="5"/>
  <c r="AKU32" i="5"/>
  <c r="AKV32" i="5"/>
  <c r="AKW32" i="5"/>
  <c r="AKX32" i="5"/>
  <c r="AKY32" i="5"/>
  <c r="AKZ32" i="5"/>
  <c r="ALA32" i="5"/>
  <c r="ALB32" i="5"/>
  <c r="ALC32" i="5"/>
  <c r="ALD32" i="5"/>
  <c r="ALE32" i="5"/>
  <c r="ALF32" i="5"/>
  <c r="ALG32" i="5"/>
  <c r="ALH32" i="5"/>
  <c r="ALI32" i="5"/>
  <c r="ALJ32" i="5"/>
  <c r="ALK32" i="5"/>
  <c r="ALL32" i="5"/>
  <c r="ALM32" i="5"/>
  <c r="ALN32" i="5"/>
  <c r="ALO32" i="5"/>
  <c r="ALP32" i="5"/>
  <c r="ALQ32" i="5"/>
  <c r="ALR32" i="5"/>
  <c r="ALS32" i="5"/>
  <c r="ALT32" i="5"/>
  <c r="ALU32" i="5"/>
  <c r="ALV32" i="5"/>
  <c r="ALW32" i="5"/>
  <c r="ALX32" i="5"/>
  <c r="ALY32" i="5"/>
  <c r="ALZ32" i="5"/>
  <c r="AMA32" i="5"/>
  <c r="AMB32" i="5"/>
  <c r="AMC32" i="5"/>
  <c r="AMD32" i="5"/>
  <c r="AME32" i="5"/>
  <c r="AMF32" i="5"/>
  <c r="AMG32" i="5"/>
  <c r="AMH32" i="5"/>
  <c r="AMI32" i="5"/>
  <c r="AMJ32" i="5"/>
  <c r="AMK32" i="5"/>
  <c r="AML32" i="5"/>
  <c r="AMM32" i="5"/>
  <c r="AMN32" i="5"/>
  <c r="AMO32" i="5"/>
  <c r="AMP32" i="5"/>
  <c r="AMQ32" i="5"/>
  <c r="AMR32" i="5"/>
  <c r="AMS32" i="5"/>
  <c r="AMT32" i="5"/>
  <c r="AMU32" i="5"/>
  <c r="AMV32" i="5"/>
  <c r="AMW32" i="5"/>
  <c r="AMX32" i="5"/>
  <c r="AMY32" i="5"/>
  <c r="AMZ32" i="5"/>
  <c r="ANA32" i="5"/>
  <c r="ANB32" i="5"/>
  <c r="ANC32" i="5"/>
  <c r="AND32" i="5"/>
  <c r="ANE32" i="5"/>
  <c r="ANF32" i="5"/>
  <c r="ANG32" i="5"/>
  <c r="ANH32" i="5"/>
  <c r="ANI32" i="5"/>
  <c r="ANJ32" i="5"/>
  <c r="ANK32" i="5"/>
  <c r="ANL32" i="5"/>
  <c r="ANM32" i="5"/>
  <c r="ANN32" i="5"/>
  <c r="ANO32" i="5"/>
  <c r="ANP32" i="5"/>
  <c r="ANQ32" i="5"/>
  <c r="ANR32" i="5"/>
  <c r="ANS32" i="5"/>
  <c r="ANT32" i="5"/>
  <c r="ANU32" i="5"/>
  <c r="ANV32" i="5"/>
  <c r="ANW32" i="5"/>
  <c r="ANX32" i="5"/>
  <c r="ANY32" i="5"/>
  <c r="ANZ32" i="5"/>
  <c r="AOA32" i="5"/>
  <c r="AOB32" i="5"/>
  <c r="AOC32" i="5"/>
  <c r="AOD32" i="5"/>
  <c r="AOE32" i="5"/>
  <c r="AOF32" i="5"/>
  <c r="AOG32" i="5"/>
  <c r="AOH32" i="5"/>
  <c r="AOI32" i="5"/>
  <c r="AOJ32" i="5"/>
  <c r="AOK32" i="5"/>
  <c r="AOL32" i="5"/>
  <c r="AOM32" i="5"/>
  <c r="AON32" i="5"/>
  <c r="AOO32" i="5"/>
  <c r="AOP32" i="5"/>
  <c r="AOQ32" i="5"/>
  <c r="AOR32" i="5"/>
  <c r="AOS32" i="5"/>
  <c r="AOT32" i="5"/>
  <c r="AOU32" i="5"/>
  <c r="AOV32" i="5"/>
  <c r="AOW32" i="5"/>
  <c r="AOX32" i="5"/>
  <c r="AOY32" i="5"/>
  <c r="AOZ32" i="5"/>
  <c r="APA32" i="5"/>
  <c r="APB32" i="5"/>
  <c r="APC32" i="5"/>
  <c r="APD32" i="5"/>
  <c r="APE32" i="5"/>
  <c r="APF32" i="5"/>
  <c r="APG32" i="5"/>
  <c r="APH32" i="5"/>
  <c r="API32" i="5"/>
  <c r="APJ32" i="5"/>
  <c r="APK32" i="5"/>
  <c r="APL32" i="5"/>
  <c r="APM32" i="5"/>
  <c r="APN32" i="5"/>
  <c r="APO32" i="5"/>
  <c r="APP32" i="5"/>
  <c r="APQ32" i="5"/>
  <c r="APR32" i="5"/>
  <c r="APS32" i="5"/>
  <c r="APT32" i="5"/>
  <c r="APU32" i="5"/>
  <c r="APV32" i="5"/>
  <c r="APW32" i="5"/>
  <c r="APX32" i="5"/>
  <c r="APY32" i="5"/>
  <c r="APZ32" i="5"/>
  <c r="AQA32" i="5"/>
  <c r="AQB32" i="5"/>
  <c r="AQC32" i="5"/>
  <c r="AQD32" i="5"/>
  <c r="AQE32" i="5"/>
  <c r="AQF32" i="5"/>
  <c r="AQG32" i="5"/>
  <c r="AQH32" i="5"/>
  <c r="AQI32" i="5"/>
  <c r="AQJ32" i="5"/>
  <c r="AQK32" i="5"/>
  <c r="AQL32" i="5"/>
  <c r="AQM32" i="5"/>
  <c r="AQN32" i="5"/>
  <c r="AQO32" i="5"/>
  <c r="AQP32" i="5"/>
  <c r="AQQ32" i="5"/>
  <c r="AQR32" i="5"/>
  <c r="AQS32" i="5"/>
  <c r="AQT32" i="5"/>
  <c r="AQU32" i="5"/>
  <c r="AQV32" i="5"/>
  <c r="AQW32" i="5"/>
  <c r="AQX32" i="5"/>
  <c r="AQY32" i="5"/>
  <c r="AQZ32" i="5"/>
  <c r="ARA32" i="5"/>
  <c r="ARB32" i="5"/>
  <c r="ARC32" i="5"/>
  <c r="ARD32" i="5"/>
  <c r="ARE32" i="5"/>
  <c r="ARF32" i="5"/>
  <c r="ARG32" i="5"/>
  <c r="ARH32" i="5"/>
  <c r="ARI32" i="5"/>
  <c r="ARJ32" i="5"/>
  <c r="ARK32" i="5"/>
  <c r="ARL32" i="5"/>
  <c r="ARM32" i="5"/>
  <c r="ARN32" i="5"/>
  <c r="ARO32" i="5"/>
  <c r="ARP32" i="5"/>
  <c r="ARQ32" i="5"/>
  <c r="ARR32" i="5"/>
  <c r="ARS32" i="5"/>
  <c r="ART32" i="5"/>
  <c r="ARU32" i="5"/>
  <c r="ARV32" i="5"/>
  <c r="ARW32" i="5"/>
  <c r="ARX32" i="5"/>
  <c r="ARY32" i="5"/>
  <c r="ARZ32" i="5"/>
  <c r="ASA32" i="5"/>
  <c r="ASB32" i="5"/>
  <c r="ASC32" i="5"/>
  <c r="ASD32" i="5"/>
  <c r="ASE32" i="5"/>
  <c r="ASF32" i="5"/>
  <c r="ASG32" i="5"/>
  <c r="ASH32" i="5"/>
  <c r="ASI32" i="5"/>
  <c r="ASJ32" i="5"/>
  <c r="ASK32" i="5"/>
  <c r="ASL32" i="5"/>
  <c r="ASM32" i="5"/>
  <c r="ASN32" i="5"/>
  <c r="ASO32" i="5"/>
  <c r="ASP32" i="5"/>
  <c r="ASQ32" i="5"/>
  <c r="ASR32" i="5"/>
  <c r="ASS32" i="5"/>
  <c r="AST32" i="5"/>
  <c r="ASU32" i="5"/>
  <c r="ASV32" i="5"/>
  <c r="ASW32" i="5"/>
  <c r="ASX32" i="5"/>
  <c r="ASY32" i="5"/>
  <c r="ASZ32" i="5"/>
  <c r="ATA32" i="5"/>
  <c r="ATB32" i="5"/>
  <c r="ATC32" i="5"/>
  <c r="ATD32" i="5"/>
  <c r="ATE32" i="5"/>
  <c r="ATF32" i="5"/>
  <c r="ATG32" i="5"/>
  <c r="ATH32" i="5"/>
  <c r="ATI32" i="5"/>
  <c r="ATJ32" i="5"/>
  <c r="ATK32" i="5"/>
  <c r="ATL32" i="5"/>
  <c r="ATM32" i="5"/>
  <c r="ATN32" i="5"/>
  <c r="ATO32" i="5"/>
  <c r="ATP32" i="5"/>
  <c r="ATQ32" i="5"/>
  <c r="ATR32" i="5"/>
  <c r="ATS32" i="5"/>
  <c r="ATT32" i="5"/>
  <c r="ATU32" i="5"/>
  <c r="ATV32" i="5"/>
  <c r="ATW32" i="5"/>
  <c r="ATX32" i="5"/>
  <c r="ATY32" i="5"/>
  <c r="ATZ32" i="5"/>
  <c r="AUA32" i="5"/>
  <c r="AUB32" i="5"/>
  <c r="AUC32" i="5"/>
  <c r="AUD32" i="5"/>
  <c r="AUE32" i="5"/>
  <c r="AUF32" i="5"/>
  <c r="AUG32" i="5"/>
  <c r="AUH32" i="5"/>
  <c r="AUI32" i="5"/>
  <c r="AUJ32" i="5"/>
  <c r="AUK32" i="5"/>
  <c r="AUL32" i="5"/>
  <c r="AUM32" i="5"/>
  <c r="AUN32" i="5"/>
  <c r="AUO32" i="5"/>
  <c r="AUP32" i="5"/>
  <c r="AUQ32" i="5"/>
  <c r="AUR32" i="5"/>
  <c r="AUS32" i="5"/>
  <c r="AUT32" i="5"/>
  <c r="AUU32" i="5"/>
  <c r="AUV32" i="5"/>
  <c r="AUW32" i="5"/>
  <c r="AUX32" i="5"/>
  <c r="AUY32" i="5"/>
  <c r="AUZ32" i="5"/>
  <c r="AVA32" i="5"/>
  <c r="AVB32" i="5"/>
  <c r="AVC32" i="5"/>
  <c r="AVD32" i="5"/>
  <c r="AVE32" i="5"/>
  <c r="AVF32" i="5"/>
  <c r="AVG32" i="5"/>
  <c r="AVH32" i="5"/>
  <c r="AVI32" i="5"/>
  <c r="AVJ32" i="5"/>
  <c r="AVK32" i="5"/>
  <c r="AVL32" i="5"/>
  <c r="AVM32" i="5"/>
  <c r="AVN32" i="5"/>
  <c r="AVO32" i="5"/>
  <c r="AVP32" i="5"/>
  <c r="AVQ32" i="5"/>
  <c r="AVR32" i="5"/>
  <c r="AVS32" i="5"/>
  <c r="AVT32" i="5"/>
  <c r="AVU32" i="5"/>
  <c r="AVV32" i="5"/>
  <c r="AVW32" i="5"/>
  <c r="AVX32" i="5"/>
  <c r="AVY32" i="5"/>
  <c r="AVZ32" i="5"/>
  <c r="AWA32" i="5"/>
  <c r="AWB32" i="5"/>
  <c r="AWC32" i="5"/>
  <c r="AWD32" i="5"/>
  <c r="AWE32" i="5"/>
  <c r="AWF32" i="5"/>
  <c r="AWG32" i="5"/>
  <c r="AWH32" i="5"/>
  <c r="AWI32" i="5"/>
  <c r="AWJ32" i="5"/>
  <c r="AWK32" i="5"/>
  <c r="AWL32" i="5"/>
  <c r="AWM32" i="5"/>
  <c r="AWN32" i="5"/>
  <c r="AWO32" i="5"/>
  <c r="AWP32" i="5"/>
  <c r="AWQ32" i="5"/>
  <c r="AWR32" i="5"/>
  <c r="AWS32" i="5"/>
  <c r="AWT32" i="5"/>
  <c r="AWU32" i="5"/>
  <c r="AWV32" i="5"/>
  <c r="AWW32" i="5"/>
  <c r="AWX32" i="5"/>
  <c r="AWY32" i="5"/>
  <c r="AWZ32" i="5"/>
  <c r="AXA32" i="5"/>
  <c r="AXB32" i="5"/>
  <c r="AXC32" i="5"/>
  <c r="AXD32" i="5"/>
  <c r="AXE32" i="5"/>
  <c r="AXF32" i="5"/>
  <c r="AXG32" i="5"/>
  <c r="AXH32" i="5"/>
  <c r="AXI32" i="5"/>
  <c r="AXJ32" i="5"/>
  <c r="AXK32" i="5"/>
  <c r="AXL32" i="5"/>
  <c r="AXM32" i="5"/>
  <c r="AXN32" i="5"/>
  <c r="AXO32" i="5"/>
  <c r="AXP32" i="5"/>
  <c r="AXQ32" i="5"/>
  <c r="AXR32" i="5"/>
  <c r="AXS32" i="5"/>
  <c r="AXT32" i="5"/>
  <c r="AXU32" i="5"/>
  <c r="AXV32" i="5"/>
  <c r="AXW32" i="5"/>
  <c r="AXX32" i="5"/>
  <c r="AXY32" i="5"/>
  <c r="AXZ32" i="5"/>
  <c r="AYA32" i="5"/>
  <c r="AYB32" i="5"/>
  <c r="AYC32" i="5"/>
  <c r="AYD32" i="5"/>
  <c r="AYE32" i="5"/>
  <c r="AYF32" i="5"/>
  <c r="AYG32" i="5"/>
  <c r="AYH32" i="5"/>
  <c r="AYI32" i="5"/>
  <c r="AYJ32" i="5"/>
  <c r="AYK32" i="5"/>
  <c r="AYL32" i="5"/>
  <c r="AYM32" i="5"/>
  <c r="AYN32" i="5"/>
  <c r="AYO32" i="5"/>
  <c r="AYP32" i="5"/>
  <c r="AYQ32" i="5"/>
  <c r="AYR32" i="5"/>
  <c r="AYS32" i="5"/>
  <c r="AYT32" i="5"/>
  <c r="AYU32" i="5"/>
  <c r="AYV32" i="5"/>
  <c r="AYW32" i="5"/>
  <c r="AYX32" i="5"/>
  <c r="AYY32" i="5"/>
  <c r="AYZ32" i="5"/>
  <c r="AZA32" i="5"/>
  <c r="AZB32" i="5"/>
  <c r="AZC32" i="5"/>
  <c r="AZD32" i="5"/>
  <c r="AZE32" i="5"/>
  <c r="AZF32" i="5"/>
  <c r="AZG32" i="5"/>
  <c r="AZH32" i="5"/>
  <c r="AZI32" i="5"/>
  <c r="AZJ32" i="5"/>
  <c r="AZK32" i="5"/>
  <c r="AZL32" i="5"/>
  <c r="AZM32" i="5"/>
  <c r="AZN32" i="5"/>
  <c r="AZO32" i="5"/>
  <c r="AZP32" i="5"/>
  <c r="AZQ32" i="5"/>
  <c r="AZR32" i="5"/>
  <c r="AZS32" i="5"/>
  <c r="AZT32" i="5"/>
  <c r="AZU32" i="5"/>
  <c r="AZV32" i="5"/>
  <c r="AZW32" i="5"/>
  <c r="AZX32" i="5"/>
  <c r="AZY32" i="5"/>
  <c r="AZZ32" i="5"/>
  <c r="BAA32" i="5"/>
  <c r="BAB32" i="5"/>
  <c r="BAC32" i="5"/>
  <c r="BAD32" i="5"/>
  <c r="BAE32" i="5"/>
  <c r="BAF32" i="5"/>
  <c r="BAG32" i="5"/>
  <c r="BAH32" i="5"/>
  <c r="BAI32" i="5"/>
  <c r="BAJ32" i="5"/>
  <c r="BAK32" i="5"/>
  <c r="BAL32" i="5"/>
  <c r="BAM32" i="5"/>
  <c r="BAN32" i="5"/>
  <c r="BAO32" i="5"/>
  <c r="BAP32" i="5"/>
  <c r="BAQ32" i="5"/>
  <c r="BAR32" i="5"/>
  <c r="BAS32" i="5"/>
  <c r="BAT32" i="5"/>
  <c r="BAU32" i="5"/>
  <c r="BAV32" i="5"/>
  <c r="BAW32" i="5"/>
  <c r="BAX32" i="5"/>
  <c r="BAY32" i="5"/>
  <c r="BAZ32" i="5"/>
  <c r="BBA32" i="5"/>
  <c r="BBB32" i="5"/>
  <c r="BBC32" i="5"/>
  <c r="BBD32" i="5"/>
  <c r="BBE32" i="5"/>
  <c r="BBF32" i="5"/>
  <c r="BBG32" i="5"/>
  <c r="BBH32" i="5"/>
  <c r="BBI32" i="5"/>
  <c r="BBJ32" i="5"/>
  <c r="BBK32" i="5"/>
  <c r="BBL32" i="5"/>
  <c r="BBM32" i="5"/>
  <c r="BBN32" i="5"/>
  <c r="BBO32" i="5"/>
  <c r="BBP32" i="5"/>
  <c r="BBQ32" i="5"/>
  <c r="BBR32" i="5"/>
  <c r="BBS32" i="5"/>
  <c r="BBT32" i="5"/>
  <c r="BBU32" i="5"/>
  <c r="BBV32" i="5"/>
  <c r="BBW32" i="5"/>
  <c r="BBX32" i="5"/>
  <c r="BBY32" i="5"/>
  <c r="BBZ32" i="5"/>
  <c r="BCA32" i="5"/>
  <c r="BCB32" i="5"/>
  <c r="BCC32" i="5"/>
  <c r="BCD32" i="5"/>
  <c r="BCE32" i="5"/>
  <c r="BCF32" i="5"/>
  <c r="BCG32" i="5"/>
  <c r="BCH32" i="5"/>
  <c r="BCI32" i="5"/>
  <c r="BCJ32" i="5"/>
  <c r="BCK32" i="5"/>
  <c r="BCL32" i="5"/>
  <c r="BCM32" i="5"/>
  <c r="BCN32" i="5"/>
  <c r="BCO32" i="5"/>
  <c r="BCP32" i="5"/>
  <c r="BCQ32" i="5"/>
  <c r="BCR32" i="5"/>
  <c r="BCS32" i="5"/>
  <c r="BCT32" i="5"/>
  <c r="BCU32" i="5"/>
  <c r="BCV32" i="5"/>
  <c r="BCW32" i="5"/>
  <c r="BCX32" i="5"/>
  <c r="BCY32" i="5"/>
  <c r="BCZ32" i="5"/>
  <c r="BDA32" i="5"/>
  <c r="BDB32" i="5"/>
  <c r="BDC32" i="5"/>
  <c r="BDD32" i="5"/>
  <c r="BDE32" i="5"/>
  <c r="BDF32" i="5"/>
  <c r="BDG32" i="5"/>
  <c r="BDH32" i="5"/>
  <c r="BDI32" i="5"/>
  <c r="BDJ32" i="5"/>
  <c r="BDK32" i="5"/>
  <c r="BDL32" i="5"/>
  <c r="BDM32" i="5"/>
  <c r="BDN32" i="5"/>
  <c r="BDO32" i="5"/>
  <c r="BDP32" i="5"/>
  <c r="BDQ32" i="5"/>
  <c r="BDR32" i="5"/>
  <c r="BDS32" i="5"/>
  <c r="BDT32" i="5"/>
  <c r="BDU32" i="5"/>
  <c r="BDV32" i="5"/>
  <c r="BDW32" i="5"/>
  <c r="BDX32" i="5"/>
  <c r="BDY32" i="5"/>
  <c r="BDZ32" i="5"/>
  <c r="BEA32" i="5"/>
  <c r="BEB32" i="5"/>
  <c r="BEC32" i="5"/>
  <c r="BED32" i="5"/>
  <c r="BEE32" i="5"/>
  <c r="BEF32" i="5"/>
  <c r="BEG32" i="5"/>
  <c r="BEH32" i="5"/>
  <c r="BEI32" i="5"/>
  <c r="BEJ32" i="5"/>
  <c r="BEK32" i="5"/>
  <c r="BEL32" i="5"/>
  <c r="BEM32" i="5"/>
  <c r="BEN32" i="5"/>
  <c r="BEO32" i="5"/>
  <c r="BEP32" i="5"/>
  <c r="BEQ32" i="5"/>
  <c r="BER32" i="5"/>
  <c r="BES32" i="5"/>
  <c r="BET32" i="5"/>
  <c r="BEU32" i="5"/>
  <c r="BEV32" i="5"/>
  <c r="BEW32" i="5"/>
  <c r="BEX32" i="5"/>
  <c r="BEY32" i="5"/>
  <c r="BEZ32" i="5"/>
  <c r="BFA32" i="5"/>
  <c r="BFB32" i="5"/>
  <c r="BFC32" i="5"/>
  <c r="BFD32" i="5"/>
  <c r="BFE32" i="5"/>
  <c r="BFF32" i="5"/>
  <c r="BFG32" i="5"/>
  <c r="BFH32" i="5"/>
  <c r="BFI32" i="5"/>
  <c r="BFJ32" i="5"/>
  <c r="BFK32" i="5"/>
  <c r="BFL32" i="5"/>
  <c r="BFM32" i="5"/>
  <c r="BFN32" i="5"/>
  <c r="BFO32" i="5"/>
  <c r="BFP32" i="5"/>
  <c r="BFQ32" i="5"/>
  <c r="BFR32" i="5"/>
  <c r="BFS32" i="5"/>
  <c r="BFT32" i="5"/>
  <c r="BFU32" i="5"/>
  <c r="BFV32" i="5"/>
  <c r="BFW32" i="5"/>
  <c r="BFX32" i="5"/>
  <c r="BFY32" i="5"/>
  <c r="BFZ32" i="5"/>
  <c r="BGA32" i="5"/>
  <c r="BGB32" i="5"/>
  <c r="BGC32" i="5"/>
  <c r="BGD32" i="5"/>
  <c r="BGE32" i="5"/>
  <c r="BGF32" i="5"/>
  <c r="BGG32" i="5"/>
  <c r="BGH32" i="5"/>
  <c r="BGI32" i="5"/>
  <c r="BGJ32" i="5"/>
  <c r="BGK32" i="5"/>
  <c r="BGL32" i="5"/>
  <c r="BGM32" i="5"/>
  <c r="BGN32" i="5"/>
  <c r="BGO32" i="5"/>
  <c r="BGP32" i="5"/>
  <c r="BGQ32" i="5"/>
  <c r="BGR32" i="5"/>
  <c r="BGS32" i="5"/>
  <c r="BGT32" i="5"/>
  <c r="BGU32" i="5"/>
  <c r="BGV32" i="5"/>
  <c r="BGW32" i="5"/>
  <c r="BGX32" i="5"/>
  <c r="BGY32" i="5"/>
  <c r="BGZ32" i="5"/>
  <c r="BHA32" i="5"/>
  <c r="BHB32" i="5"/>
  <c r="BHC32" i="5"/>
  <c r="BHD32" i="5"/>
  <c r="BHE32" i="5"/>
  <c r="BHF32" i="5"/>
  <c r="BHG32" i="5"/>
  <c r="BHH32" i="5"/>
  <c r="BHI32" i="5"/>
  <c r="BHJ32" i="5"/>
  <c r="BHK32" i="5"/>
  <c r="BHL32" i="5"/>
  <c r="BHM32" i="5"/>
  <c r="BHN32" i="5"/>
  <c r="BHO32" i="5"/>
  <c r="BHP32" i="5"/>
  <c r="BHQ32" i="5"/>
  <c r="BHR32" i="5"/>
  <c r="BHS32" i="5"/>
  <c r="BHT32" i="5"/>
  <c r="BHU32" i="5"/>
  <c r="BHV32" i="5"/>
  <c r="BHW32" i="5"/>
  <c r="BHX32" i="5"/>
  <c r="BHY32" i="5"/>
  <c r="BHZ32" i="5"/>
  <c r="BIA32" i="5"/>
  <c r="BIB32" i="5"/>
  <c r="BIC32" i="5"/>
  <c r="BID32" i="5"/>
  <c r="BIE32" i="5"/>
  <c r="BIF32" i="5"/>
  <c r="BIG32" i="5"/>
  <c r="BIH32" i="5"/>
  <c r="BII32" i="5"/>
  <c r="BIJ32" i="5"/>
  <c r="BIK32" i="5"/>
  <c r="BIL32" i="5"/>
  <c r="BIM32" i="5"/>
  <c r="BIN32" i="5"/>
  <c r="BIO32" i="5"/>
  <c r="BIP32" i="5"/>
  <c r="BIQ32" i="5"/>
  <c r="BIR32" i="5"/>
  <c r="BIS32" i="5"/>
  <c r="BIT32" i="5"/>
  <c r="BIU32" i="5"/>
  <c r="BIV32" i="5"/>
  <c r="BIW32" i="5"/>
  <c r="BIX32" i="5"/>
  <c r="BIY32" i="5"/>
  <c r="BIZ32" i="5"/>
  <c r="BJA32" i="5"/>
  <c r="BJB32" i="5"/>
  <c r="BJC32" i="5"/>
  <c r="BJD32" i="5"/>
  <c r="BJE32" i="5"/>
  <c r="BJF32" i="5"/>
  <c r="BJG32" i="5"/>
  <c r="BJH32" i="5"/>
  <c r="BJI32" i="5"/>
  <c r="BJJ32" i="5"/>
  <c r="BJK32" i="5"/>
  <c r="BJL32" i="5"/>
  <c r="BJM32" i="5"/>
  <c r="BJN32" i="5"/>
  <c r="BJO32" i="5"/>
  <c r="BJP32" i="5"/>
  <c r="BJQ32" i="5"/>
  <c r="BJR32" i="5"/>
  <c r="BJS32" i="5"/>
  <c r="BJT32" i="5"/>
  <c r="BJU32" i="5"/>
  <c r="BJV32" i="5"/>
  <c r="BJW32" i="5"/>
  <c r="BJX32" i="5"/>
  <c r="BJY32" i="5"/>
  <c r="BJZ32" i="5"/>
  <c r="BKA32" i="5"/>
  <c r="BKB32" i="5"/>
  <c r="BKC32" i="5"/>
  <c r="BKD32" i="5"/>
  <c r="BKE32" i="5"/>
  <c r="BKF32" i="5"/>
  <c r="BKG32" i="5"/>
  <c r="BKH32" i="5"/>
  <c r="BKI32" i="5"/>
  <c r="BKJ32" i="5"/>
  <c r="BKK32" i="5"/>
  <c r="BKL32" i="5"/>
  <c r="BKM32" i="5"/>
  <c r="BKN32" i="5"/>
  <c r="BKO32" i="5"/>
  <c r="BKP32" i="5"/>
  <c r="BKQ32" i="5"/>
  <c r="BKR32" i="5"/>
  <c r="BKS32" i="5"/>
  <c r="BKT32" i="5"/>
  <c r="BKU32" i="5"/>
  <c r="BKV32" i="5"/>
  <c r="BKW32" i="5"/>
  <c r="BKX32" i="5"/>
  <c r="BKY32" i="5"/>
  <c r="BKZ32" i="5"/>
  <c r="BLA32" i="5"/>
  <c r="BLB32" i="5"/>
  <c r="BLC32" i="5"/>
  <c r="BLD32" i="5"/>
  <c r="BLE32" i="5"/>
  <c r="BLF32" i="5"/>
  <c r="BLG32" i="5"/>
  <c r="BLH32" i="5"/>
  <c r="BLI32" i="5"/>
  <c r="BLJ32" i="5"/>
  <c r="BLK32" i="5"/>
  <c r="BLL32" i="5"/>
  <c r="BLM32" i="5"/>
  <c r="BLN32" i="5"/>
  <c r="BLO32" i="5"/>
  <c r="BLP32" i="5"/>
  <c r="BLQ32" i="5"/>
  <c r="BLR32" i="5"/>
  <c r="BLS32" i="5"/>
  <c r="BLT32" i="5"/>
  <c r="BLU32" i="5"/>
  <c r="BLV32" i="5"/>
  <c r="BLW32" i="5"/>
  <c r="BLX32" i="5"/>
  <c r="BLY32" i="5"/>
  <c r="BLZ32" i="5"/>
  <c r="BMA32" i="5"/>
  <c r="BMB32" i="5"/>
  <c r="BMC32" i="5"/>
  <c r="BMD32" i="5"/>
  <c r="BME32" i="5"/>
  <c r="BMF32" i="5"/>
  <c r="BMG32" i="5"/>
  <c r="BMH32" i="5"/>
  <c r="BMI32" i="5"/>
  <c r="BMJ32" i="5"/>
  <c r="BMK32" i="5"/>
  <c r="BML32" i="5"/>
  <c r="BMM32" i="5"/>
  <c r="BMN32" i="5"/>
  <c r="BMO32" i="5"/>
  <c r="BMP32" i="5"/>
  <c r="BMQ32" i="5"/>
  <c r="BMR32" i="5"/>
  <c r="BMS32" i="5"/>
  <c r="BMT32" i="5"/>
  <c r="BMU32" i="5"/>
  <c r="BMV32" i="5"/>
  <c r="BMW32" i="5"/>
  <c r="BMX32" i="5"/>
  <c r="BMY32" i="5"/>
  <c r="BMZ32" i="5"/>
  <c r="BNA32" i="5"/>
  <c r="BNB32" i="5"/>
  <c r="BNC32" i="5"/>
  <c r="BND32" i="5"/>
  <c r="BNE32" i="5"/>
  <c r="BNF32" i="5"/>
  <c r="BNG32" i="5"/>
  <c r="BNH32" i="5"/>
  <c r="BNI32" i="5"/>
  <c r="BNJ32" i="5"/>
  <c r="BNK32" i="5"/>
  <c r="BNL32" i="5"/>
  <c r="BNM32" i="5"/>
  <c r="BNN32" i="5"/>
  <c r="BNO32" i="5"/>
  <c r="BNP32" i="5"/>
  <c r="BNQ32" i="5"/>
  <c r="BNR32" i="5"/>
  <c r="BNS32" i="5"/>
  <c r="BNT32" i="5"/>
  <c r="BNU32" i="5"/>
  <c r="BNV32" i="5"/>
  <c r="BNW32" i="5"/>
  <c r="BNX32" i="5"/>
  <c r="BNY32" i="5"/>
  <c r="BNZ32" i="5"/>
  <c r="BOA32" i="5"/>
  <c r="BOB32" i="5"/>
  <c r="BOC32" i="5"/>
  <c r="BOD32" i="5"/>
  <c r="BOE32" i="5"/>
  <c r="BOF32" i="5"/>
  <c r="BOG32" i="5"/>
  <c r="BOH32" i="5"/>
  <c r="BOI32" i="5"/>
  <c r="BOJ32" i="5"/>
  <c r="BOK32" i="5"/>
  <c r="BOL32" i="5"/>
  <c r="BOM32" i="5"/>
  <c r="BON32" i="5"/>
  <c r="BOO32" i="5"/>
  <c r="BOP32" i="5"/>
  <c r="BOQ32" i="5"/>
  <c r="BOR32" i="5"/>
  <c r="BOS32" i="5"/>
  <c r="BOT32" i="5"/>
  <c r="BOU32" i="5"/>
  <c r="BOV32" i="5"/>
  <c r="BOW32" i="5"/>
  <c r="BOX32" i="5"/>
  <c r="BOY32" i="5"/>
  <c r="BOZ32" i="5"/>
  <c r="BPA32" i="5"/>
  <c r="BPB32" i="5"/>
  <c r="BPC32" i="5"/>
  <c r="BPD32" i="5"/>
  <c r="BPE32" i="5"/>
  <c r="BPF32" i="5"/>
  <c r="BPG32" i="5"/>
  <c r="BPH32" i="5"/>
  <c r="BPI32" i="5"/>
  <c r="BPJ32" i="5"/>
  <c r="BPK32" i="5"/>
  <c r="BPL32" i="5"/>
  <c r="BPM32" i="5"/>
  <c r="BPN32" i="5"/>
  <c r="BPO32" i="5"/>
  <c r="BPP32" i="5"/>
  <c r="BPQ32" i="5"/>
  <c r="BPR32" i="5"/>
  <c r="BPS32" i="5"/>
  <c r="BPT32" i="5"/>
  <c r="BPU32" i="5"/>
  <c r="BPV32" i="5"/>
  <c r="BPW32" i="5"/>
  <c r="BPX32" i="5"/>
  <c r="BPY32" i="5"/>
  <c r="BPZ32" i="5"/>
  <c r="BQA32" i="5"/>
  <c r="BQB32" i="5"/>
  <c r="BQC32" i="5"/>
  <c r="BQD32" i="5"/>
  <c r="BQE32" i="5"/>
  <c r="BQF32" i="5"/>
  <c r="BQG32" i="5"/>
  <c r="BQH32" i="5"/>
  <c r="BQI32" i="5"/>
  <c r="BQJ32" i="5"/>
  <c r="BQK32" i="5"/>
  <c r="BQL32" i="5"/>
  <c r="BQM32" i="5"/>
  <c r="BQN32" i="5"/>
  <c r="BQO32" i="5"/>
  <c r="BQP32" i="5"/>
  <c r="BQQ32" i="5"/>
  <c r="BQR32" i="5"/>
  <c r="BQS32" i="5"/>
  <c r="BQT32" i="5"/>
  <c r="BQU32" i="5"/>
  <c r="BQV32" i="5"/>
  <c r="BQW32" i="5"/>
  <c r="BQX32" i="5"/>
  <c r="BQY32" i="5"/>
  <c r="BQZ32" i="5"/>
  <c r="BRA32" i="5"/>
  <c r="BRB32" i="5"/>
  <c r="BRC32" i="5"/>
  <c r="BRD32" i="5"/>
  <c r="BRE32" i="5"/>
  <c r="BRF32" i="5"/>
  <c r="BRG32" i="5"/>
  <c r="BRH32" i="5"/>
  <c r="BRI32" i="5"/>
  <c r="BRJ32" i="5"/>
  <c r="BRK32" i="5"/>
  <c r="BRL32" i="5"/>
  <c r="BRM32" i="5"/>
  <c r="BRN32" i="5"/>
  <c r="BRO32" i="5"/>
  <c r="BRP32" i="5"/>
  <c r="BRQ32" i="5"/>
  <c r="BRR32" i="5"/>
  <c r="BRS32" i="5"/>
  <c r="BRT32" i="5"/>
  <c r="BRU32" i="5"/>
  <c r="BRV32" i="5"/>
  <c r="BRW32" i="5"/>
  <c r="BRX32" i="5"/>
  <c r="BRY32" i="5"/>
  <c r="BRZ32" i="5"/>
  <c r="BSA32" i="5"/>
  <c r="BSB32" i="5"/>
  <c r="BSC32" i="5"/>
  <c r="BSD32" i="5"/>
  <c r="BSE32" i="5"/>
  <c r="BSF32" i="5"/>
  <c r="BSG32" i="5"/>
  <c r="BSH32" i="5"/>
  <c r="BSI32" i="5"/>
  <c r="BSJ32" i="5"/>
  <c r="BSK32" i="5"/>
  <c r="BSL32" i="5"/>
  <c r="BSM32" i="5"/>
  <c r="BSN32" i="5"/>
  <c r="BSO32" i="5"/>
  <c r="BSP32" i="5"/>
  <c r="BSQ32" i="5"/>
  <c r="BSR32" i="5"/>
  <c r="BSS32" i="5"/>
  <c r="BST32" i="5"/>
  <c r="BSU32" i="5"/>
  <c r="BSV32" i="5"/>
  <c r="BSW32" i="5"/>
  <c r="BSX32" i="5"/>
  <c r="BSY32" i="5"/>
  <c r="BSZ32" i="5"/>
  <c r="BTA32" i="5"/>
  <c r="BTB32" i="5"/>
  <c r="BTC32" i="5"/>
  <c r="BTD32" i="5"/>
  <c r="BTE32" i="5"/>
  <c r="BTF32" i="5"/>
  <c r="BTG32" i="5"/>
  <c r="BTH32" i="5"/>
  <c r="BTI32" i="5"/>
  <c r="BTJ32" i="5"/>
  <c r="BTK32" i="5"/>
  <c r="BTL32" i="5"/>
  <c r="BTM32" i="5"/>
  <c r="BTN32" i="5"/>
  <c r="BTO32" i="5"/>
  <c r="BTP32" i="5"/>
  <c r="BTQ32" i="5"/>
  <c r="BTR32" i="5"/>
  <c r="BTS32" i="5"/>
  <c r="BTT32" i="5"/>
  <c r="BTU32" i="5"/>
  <c r="BTV32" i="5"/>
  <c r="BTW32" i="5"/>
  <c r="BTX32" i="5"/>
  <c r="BTY32" i="5"/>
  <c r="BTZ32" i="5"/>
  <c r="BUA32" i="5"/>
  <c r="BUB32" i="5"/>
  <c r="BUC32" i="5"/>
  <c r="BUD32" i="5"/>
  <c r="BUE32" i="5"/>
  <c r="BUF32" i="5"/>
  <c r="BUG32" i="5"/>
  <c r="BUH32" i="5"/>
  <c r="BUI32" i="5"/>
  <c r="BUJ32" i="5"/>
  <c r="BUK32" i="5"/>
  <c r="BUL32" i="5"/>
  <c r="BUM32" i="5"/>
  <c r="BUN32" i="5"/>
  <c r="BUO32" i="5"/>
  <c r="BUP32" i="5"/>
  <c r="BUQ32" i="5"/>
  <c r="BUR32" i="5"/>
  <c r="BUS32" i="5"/>
  <c r="BUT32" i="5"/>
  <c r="BUU32" i="5"/>
  <c r="BUV32" i="5"/>
  <c r="BUW32" i="5"/>
  <c r="BUX32" i="5"/>
  <c r="BUY32" i="5"/>
  <c r="BUZ32" i="5"/>
  <c r="BVA32" i="5"/>
  <c r="BVB32" i="5"/>
  <c r="BVC32" i="5"/>
  <c r="BVD32" i="5"/>
  <c r="BVE32" i="5"/>
  <c r="BVF32" i="5"/>
  <c r="BVG32" i="5"/>
  <c r="BVH32" i="5"/>
  <c r="BVI32" i="5"/>
  <c r="BVJ32" i="5"/>
  <c r="BVK32" i="5"/>
  <c r="BVL32" i="5"/>
  <c r="BVM32" i="5"/>
  <c r="BVN32" i="5"/>
  <c r="BVO32" i="5"/>
  <c r="BVP32" i="5"/>
  <c r="BVQ32" i="5"/>
  <c r="BVR32" i="5"/>
  <c r="BVS32" i="5"/>
  <c r="BVT32" i="5"/>
  <c r="BVU32" i="5"/>
  <c r="BVV32" i="5"/>
  <c r="BVW32" i="5"/>
  <c r="BVX32" i="5"/>
  <c r="BVY32" i="5"/>
  <c r="BVZ32" i="5"/>
  <c r="BWA32" i="5"/>
  <c r="BWB32" i="5"/>
  <c r="BWC32" i="5"/>
  <c r="BWD32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JC33" i="5"/>
  <c r="JD33" i="5"/>
  <c r="JE33" i="5"/>
  <c r="JF33" i="5"/>
  <c r="JG33" i="5"/>
  <c r="JH33" i="5"/>
  <c r="JI33" i="5"/>
  <c r="JJ33" i="5"/>
  <c r="JK33" i="5"/>
  <c r="JL33" i="5"/>
  <c r="JM33" i="5"/>
  <c r="JN33" i="5"/>
  <c r="JO33" i="5"/>
  <c r="JP33" i="5"/>
  <c r="JQ33" i="5"/>
  <c r="JR33" i="5"/>
  <c r="JS33" i="5"/>
  <c r="JT33" i="5"/>
  <c r="JU33" i="5"/>
  <c r="JV33" i="5"/>
  <c r="JW33" i="5"/>
  <c r="JX33" i="5"/>
  <c r="JY33" i="5"/>
  <c r="JZ33" i="5"/>
  <c r="KA33" i="5"/>
  <c r="KB33" i="5"/>
  <c r="KC33" i="5"/>
  <c r="KD33" i="5"/>
  <c r="KE33" i="5"/>
  <c r="KF33" i="5"/>
  <c r="KG33" i="5"/>
  <c r="KH33" i="5"/>
  <c r="KI33" i="5"/>
  <c r="KJ33" i="5"/>
  <c r="KK33" i="5"/>
  <c r="KL33" i="5"/>
  <c r="KM33" i="5"/>
  <c r="KN33" i="5"/>
  <c r="KO33" i="5"/>
  <c r="KP33" i="5"/>
  <c r="KQ33" i="5"/>
  <c r="KR33" i="5"/>
  <c r="KS33" i="5"/>
  <c r="KT33" i="5"/>
  <c r="KU33" i="5"/>
  <c r="KV33" i="5"/>
  <c r="KW33" i="5"/>
  <c r="KX33" i="5"/>
  <c r="KY33" i="5"/>
  <c r="KZ33" i="5"/>
  <c r="LA33" i="5"/>
  <c r="LB33" i="5"/>
  <c r="LC33" i="5"/>
  <c r="LD33" i="5"/>
  <c r="LE33" i="5"/>
  <c r="LF33" i="5"/>
  <c r="LG33" i="5"/>
  <c r="LH33" i="5"/>
  <c r="LI33" i="5"/>
  <c r="LJ33" i="5"/>
  <c r="LK33" i="5"/>
  <c r="LL33" i="5"/>
  <c r="LM33" i="5"/>
  <c r="LN33" i="5"/>
  <c r="LO33" i="5"/>
  <c r="LP33" i="5"/>
  <c r="LQ33" i="5"/>
  <c r="LR33" i="5"/>
  <c r="LS33" i="5"/>
  <c r="LT33" i="5"/>
  <c r="LU33" i="5"/>
  <c r="LV33" i="5"/>
  <c r="LW33" i="5"/>
  <c r="LX33" i="5"/>
  <c r="LY33" i="5"/>
  <c r="LZ33" i="5"/>
  <c r="MA33" i="5"/>
  <c r="MB33" i="5"/>
  <c r="MC33" i="5"/>
  <c r="MD33" i="5"/>
  <c r="ME33" i="5"/>
  <c r="MF33" i="5"/>
  <c r="MG33" i="5"/>
  <c r="MH33" i="5"/>
  <c r="MI33" i="5"/>
  <c r="MJ33" i="5"/>
  <c r="MK33" i="5"/>
  <c r="ML33" i="5"/>
  <c r="MM33" i="5"/>
  <c r="MN33" i="5"/>
  <c r="MO33" i="5"/>
  <c r="MP33" i="5"/>
  <c r="MQ33" i="5"/>
  <c r="MR33" i="5"/>
  <c r="MS33" i="5"/>
  <c r="MT33" i="5"/>
  <c r="MU33" i="5"/>
  <c r="MV33" i="5"/>
  <c r="MW33" i="5"/>
  <c r="MX33" i="5"/>
  <c r="MY33" i="5"/>
  <c r="MZ33" i="5"/>
  <c r="NA33" i="5"/>
  <c r="NB33" i="5"/>
  <c r="NC33" i="5"/>
  <c r="ND33" i="5"/>
  <c r="NE33" i="5"/>
  <c r="NF33" i="5"/>
  <c r="NG33" i="5"/>
  <c r="NH33" i="5"/>
  <c r="NI33" i="5"/>
  <c r="NJ33" i="5"/>
  <c r="NK33" i="5"/>
  <c r="NL33" i="5"/>
  <c r="NM33" i="5"/>
  <c r="NN33" i="5"/>
  <c r="NO33" i="5"/>
  <c r="NP33" i="5"/>
  <c r="NQ33" i="5"/>
  <c r="NR33" i="5"/>
  <c r="NS33" i="5"/>
  <c r="NT33" i="5"/>
  <c r="NU33" i="5"/>
  <c r="NV33" i="5"/>
  <c r="NW33" i="5"/>
  <c r="NX33" i="5"/>
  <c r="NY33" i="5"/>
  <c r="NZ33" i="5"/>
  <c r="OA33" i="5"/>
  <c r="OB33" i="5"/>
  <c r="OC33" i="5"/>
  <c r="OD33" i="5"/>
  <c r="OE33" i="5"/>
  <c r="OF33" i="5"/>
  <c r="OG33" i="5"/>
  <c r="OH33" i="5"/>
  <c r="OI33" i="5"/>
  <c r="OJ33" i="5"/>
  <c r="OK33" i="5"/>
  <c r="OL33" i="5"/>
  <c r="OM33" i="5"/>
  <c r="ON33" i="5"/>
  <c r="OO33" i="5"/>
  <c r="OP33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PO33" i="5"/>
  <c r="PP33" i="5"/>
  <c r="PQ33" i="5"/>
  <c r="PR33" i="5"/>
  <c r="PS33" i="5"/>
  <c r="PT33" i="5"/>
  <c r="PU33" i="5"/>
  <c r="PV33" i="5"/>
  <c r="PW33" i="5"/>
  <c r="PX33" i="5"/>
  <c r="PY33" i="5"/>
  <c r="PZ33" i="5"/>
  <c r="QA33" i="5"/>
  <c r="QB33" i="5"/>
  <c r="QC33" i="5"/>
  <c r="QD33" i="5"/>
  <c r="QE33" i="5"/>
  <c r="QF33" i="5"/>
  <c r="QG33" i="5"/>
  <c r="QH33" i="5"/>
  <c r="QI33" i="5"/>
  <c r="QJ33" i="5"/>
  <c r="QK33" i="5"/>
  <c r="QL33" i="5"/>
  <c r="QM33" i="5"/>
  <c r="QN33" i="5"/>
  <c r="QO33" i="5"/>
  <c r="QP33" i="5"/>
  <c r="QQ33" i="5"/>
  <c r="QR33" i="5"/>
  <c r="QS33" i="5"/>
  <c r="QT33" i="5"/>
  <c r="QU33" i="5"/>
  <c r="QV33" i="5"/>
  <c r="QW33" i="5"/>
  <c r="QX33" i="5"/>
  <c r="QY33" i="5"/>
  <c r="QZ33" i="5"/>
  <c r="RA33" i="5"/>
  <c r="RB33" i="5"/>
  <c r="RC33" i="5"/>
  <c r="RD33" i="5"/>
  <c r="RE33" i="5"/>
  <c r="RF33" i="5"/>
  <c r="RG33" i="5"/>
  <c r="RH33" i="5"/>
  <c r="RI33" i="5"/>
  <c r="RJ33" i="5"/>
  <c r="RK33" i="5"/>
  <c r="RL33" i="5"/>
  <c r="RM33" i="5"/>
  <c r="RN33" i="5"/>
  <c r="RO33" i="5"/>
  <c r="RP33" i="5"/>
  <c r="RQ33" i="5"/>
  <c r="RR33" i="5"/>
  <c r="RS33" i="5"/>
  <c r="RT33" i="5"/>
  <c r="RU33" i="5"/>
  <c r="RV33" i="5"/>
  <c r="RW33" i="5"/>
  <c r="RX33" i="5"/>
  <c r="RY33" i="5"/>
  <c r="RZ33" i="5"/>
  <c r="SA33" i="5"/>
  <c r="SB33" i="5"/>
  <c r="SC33" i="5"/>
  <c r="SD33" i="5"/>
  <c r="SE33" i="5"/>
  <c r="SF33" i="5"/>
  <c r="SG33" i="5"/>
  <c r="SH33" i="5"/>
  <c r="SI33" i="5"/>
  <c r="SJ33" i="5"/>
  <c r="SK33" i="5"/>
  <c r="SL33" i="5"/>
  <c r="SM33" i="5"/>
  <c r="SN33" i="5"/>
  <c r="SO33" i="5"/>
  <c r="SP33" i="5"/>
  <c r="SQ33" i="5"/>
  <c r="SR33" i="5"/>
  <c r="SS33" i="5"/>
  <c r="ST33" i="5"/>
  <c r="SU33" i="5"/>
  <c r="SV33" i="5"/>
  <c r="SW33" i="5"/>
  <c r="SX33" i="5"/>
  <c r="SY33" i="5"/>
  <c r="SZ33" i="5"/>
  <c r="TA33" i="5"/>
  <c r="TB33" i="5"/>
  <c r="TC33" i="5"/>
  <c r="TD33" i="5"/>
  <c r="TE33" i="5"/>
  <c r="TF33" i="5"/>
  <c r="TG33" i="5"/>
  <c r="TH33" i="5"/>
  <c r="TI33" i="5"/>
  <c r="TJ33" i="5"/>
  <c r="TK33" i="5"/>
  <c r="TL33" i="5"/>
  <c r="TM33" i="5"/>
  <c r="TN33" i="5"/>
  <c r="TO33" i="5"/>
  <c r="TP33" i="5"/>
  <c r="TQ33" i="5"/>
  <c r="TR33" i="5"/>
  <c r="TS33" i="5"/>
  <c r="TT33" i="5"/>
  <c r="TU33" i="5"/>
  <c r="TV33" i="5"/>
  <c r="TW33" i="5"/>
  <c r="TX33" i="5"/>
  <c r="TY33" i="5"/>
  <c r="TZ33" i="5"/>
  <c r="UA33" i="5"/>
  <c r="UB33" i="5"/>
  <c r="UC33" i="5"/>
  <c r="UD33" i="5"/>
  <c r="UE33" i="5"/>
  <c r="UF33" i="5"/>
  <c r="UG33" i="5"/>
  <c r="UH33" i="5"/>
  <c r="UI33" i="5"/>
  <c r="UJ33" i="5"/>
  <c r="UK33" i="5"/>
  <c r="UL33" i="5"/>
  <c r="UM33" i="5"/>
  <c r="UN33" i="5"/>
  <c r="UO33" i="5"/>
  <c r="UP33" i="5"/>
  <c r="UQ33" i="5"/>
  <c r="UR33" i="5"/>
  <c r="US33" i="5"/>
  <c r="UT33" i="5"/>
  <c r="UU33" i="5"/>
  <c r="UV33" i="5"/>
  <c r="UW33" i="5"/>
  <c r="UX33" i="5"/>
  <c r="UY33" i="5"/>
  <c r="UZ33" i="5"/>
  <c r="VA33" i="5"/>
  <c r="VB33" i="5"/>
  <c r="VC33" i="5"/>
  <c r="VD33" i="5"/>
  <c r="VE33" i="5"/>
  <c r="VF33" i="5"/>
  <c r="VG33" i="5"/>
  <c r="VH33" i="5"/>
  <c r="VI33" i="5"/>
  <c r="VJ33" i="5"/>
  <c r="VK33" i="5"/>
  <c r="VL33" i="5"/>
  <c r="VM33" i="5"/>
  <c r="VN33" i="5"/>
  <c r="VO33" i="5"/>
  <c r="VP33" i="5"/>
  <c r="VQ33" i="5"/>
  <c r="VR33" i="5"/>
  <c r="VS33" i="5"/>
  <c r="VT33" i="5"/>
  <c r="VU33" i="5"/>
  <c r="VV33" i="5"/>
  <c r="VW33" i="5"/>
  <c r="VX33" i="5"/>
  <c r="VY33" i="5"/>
  <c r="VZ33" i="5"/>
  <c r="WA33" i="5"/>
  <c r="WB33" i="5"/>
  <c r="WC33" i="5"/>
  <c r="WD33" i="5"/>
  <c r="WE33" i="5"/>
  <c r="WF33" i="5"/>
  <c r="WG33" i="5"/>
  <c r="WH33" i="5"/>
  <c r="WI33" i="5"/>
  <c r="WJ33" i="5"/>
  <c r="WK33" i="5"/>
  <c r="WL33" i="5"/>
  <c r="WM33" i="5"/>
  <c r="WN33" i="5"/>
  <c r="WO33" i="5"/>
  <c r="WP33" i="5"/>
  <c r="WQ33" i="5"/>
  <c r="WR33" i="5"/>
  <c r="WS33" i="5"/>
  <c r="WT33" i="5"/>
  <c r="WU33" i="5"/>
  <c r="WV33" i="5"/>
  <c r="WW33" i="5"/>
  <c r="WX33" i="5"/>
  <c r="WY33" i="5"/>
  <c r="WZ33" i="5"/>
  <c r="XA33" i="5"/>
  <c r="XB33" i="5"/>
  <c r="XC33" i="5"/>
  <c r="XD33" i="5"/>
  <c r="XE33" i="5"/>
  <c r="XF33" i="5"/>
  <c r="XG33" i="5"/>
  <c r="XH33" i="5"/>
  <c r="XI33" i="5"/>
  <c r="XJ33" i="5"/>
  <c r="XK33" i="5"/>
  <c r="XL33" i="5"/>
  <c r="XM33" i="5"/>
  <c r="XN33" i="5"/>
  <c r="XO33" i="5"/>
  <c r="XP33" i="5"/>
  <c r="XQ33" i="5"/>
  <c r="XR33" i="5"/>
  <c r="XS33" i="5"/>
  <c r="XT33" i="5"/>
  <c r="XU33" i="5"/>
  <c r="XV33" i="5"/>
  <c r="XW33" i="5"/>
  <c r="XX33" i="5"/>
  <c r="XY33" i="5"/>
  <c r="XZ33" i="5"/>
  <c r="YA33" i="5"/>
  <c r="YB33" i="5"/>
  <c r="YC33" i="5"/>
  <c r="YD33" i="5"/>
  <c r="YE33" i="5"/>
  <c r="YF33" i="5"/>
  <c r="YG33" i="5"/>
  <c r="YH33" i="5"/>
  <c r="YI33" i="5"/>
  <c r="YJ33" i="5"/>
  <c r="YK33" i="5"/>
  <c r="YL33" i="5"/>
  <c r="YM33" i="5"/>
  <c r="YN33" i="5"/>
  <c r="YO33" i="5"/>
  <c r="YP33" i="5"/>
  <c r="YQ33" i="5"/>
  <c r="YR33" i="5"/>
  <c r="YS33" i="5"/>
  <c r="YT33" i="5"/>
  <c r="YU33" i="5"/>
  <c r="YV33" i="5"/>
  <c r="YW33" i="5"/>
  <c r="YX33" i="5"/>
  <c r="YY33" i="5"/>
  <c r="YZ33" i="5"/>
  <c r="ZA33" i="5"/>
  <c r="ZB33" i="5"/>
  <c r="ZC33" i="5"/>
  <c r="ZD33" i="5"/>
  <c r="ZE33" i="5"/>
  <c r="ZF33" i="5"/>
  <c r="ZG33" i="5"/>
  <c r="ZH33" i="5"/>
  <c r="ZI33" i="5"/>
  <c r="ZJ33" i="5"/>
  <c r="ZK33" i="5"/>
  <c r="ZL33" i="5"/>
  <c r="ZM33" i="5"/>
  <c r="ZN33" i="5"/>
  <c r="ZO33" i="5"/>
  <c r="ZP33" i="5"/>
  <c r="ZQ33" i="5"/>
  <c r="ZR33" i="5"/>
  <c r="ZS33" i="5"/>
  <c r="ZT33" i="5"/>
  <c r="ZU33" i="5"/>
  <c r="ZV33" i="5"/>
  <c r="ZW33" i="5"/>
  <c r="ZX33" i="5"/>
  <c r="ZY33" i="5"/>
  <c r="ZZ33" i="5"/>
  <c r="AAA33" i="5"/>
  <c r="AAB33" i="5"/>
  <c r="AAC33" i="5"/>
  <c r="AAD33" i="5"/>
  <c r="AAE33" i="5"/>
  <c r="AAF33" i="5"/>
  <c r="AAG33" i="5"/>
  <c r="AAH33" i="5"/>
  <c r="AAI33" i="5"/>
  <c r="AAJ33" i="5"/>
  <c r="AAK33" i="5"/>
  <c r="AAL33" i="5"/>
  <c r="AAM33" i="5"/>
  <c r="AAN33" i="5"/>
  <c r="AAO33" i="5"/>
  <c r="AAP33" i="5"/>
  <c r="AAQ33" i="5"/>
  <c r="AAR33" i="5"/>
  <c r="AAS33" i="5"/>
  <c r="AAT33" i="5"/>
  <c r="AAU33" i="5"/>
  <c r="AAV33" i="5"/>
  <c r="AAW33" i="5"/>
  <c r="AAX33" i="5"/>
  <c r="AAY33" i="5"/>
  <c r="AAZ33" i="5"/>
  <c r="ABA33" i="5"/>
  <c r="ABB33" i="5"/>
  <c r="ABC33" i="5"/>
  <c r="ABD33" i="5"/>
  <c r="ABE33" i="5"/>
  <c r="ABF33" i="5"/>
  <c r="ABG33" i="5"/>
  <c r="ABH33" i="5"/>
  <c r="ABI33" i="5"/>
  <c r="ABJ33" i="5"/>
  <c r="ABK33" i="5"/>
  <c r="ABL33" i="5"/>
  <c r="ABM33" i="5"/>
  <c r="ABN33" i="5"/>
  <c r="ABO33" i="5"/>
  <c r="ABP33" i="5"/>
  <c r="ABQ33" i="5"/>
  <c r="ABR33" i="5"/>
  <c r="ABS33" i="5"/>
  <c r="ABT33" i="5"/>
  <c r="ABU33" i="5"/>
  <c r="ABV33" i="5"/>
  <c r="ABW33" i="5"/>
  <c r="ABX33" i="5"/>
  <c r="ABY33" i="5"/>
  <c r="ABZ33" i="5"/>
  <c r="ACA33" i="5"/>
  <c r="ACB33" i="5"/>
  <c r="ACC33" i="5"/>
  <c r="ACD33" i="5"/>
  <c r="ACE33" i="5"/>
  <c r="ACF33" i="5"/>
  <c r="ACG33" i="5"/>
  <c r="ACH33" i="5"/>
  <c r="ACI33" i="5"/>
  <c r="ACJ33" i="5"/>
  <c r="ACK33" i="5"/>
  <c r="ACL33" i="5"/>
  <c r="ACM33" i="5"/>
  <c r="ACN33" i="5"/>
  <c r="ACO33" i="5"/>
  <c r="ACP33" i="5"/>
  <c r="ACQ33" i="5"/>
  <c r="ACR33" i="5"/>
  <c r="ACS33" i="5"/>
  <c r="ACT33" i="5"/>
  <c r="ACU33" i="5"/>
  <c r="ACV33" i="5"/>
  <c r="ACW33" i="5"/>
  <c r="ACX33" i="5"/>
  <c r="ACY33" i="5"/>
  <c r="ACZ33" i="5"/>
  <c r="ADA33" i="5"/>
  <c r="ADB33" i="5"/>
  <c r="ADC33" i="5"/>
  <c r="ADD33" i="5"/>
  <c r="ADE33" i="5"/>
  <c r="ADF33" i="5"/>
  <c r="ADG33" i="5"/>
  <c r="ADH33" i="5"/>
  <c r="ADI33" i="5"/>
  <c r="ADJ33" i="5"/>
  <c r="ADK33" i="5"/>
  <c r="ADL33" i="5"/>
  <c r="ADM33" i="5"/>
  <c r="ADN33" i="5"/>
  <c r="ADO33" i="5"/>
  <c r="ADP33" i="5"/>
  <c r="ADQ33" i="5"/>
  <c r="ADR33" i="5"/>
  <c r="ADS33" i="5"/>
  <c r="ADT33" i="5"/>
  <c r="ADU33" i="5"/>
  <c r="ADV33" i="5"/>
  <c r="ADW33" i="5"/>
  <c r="ADX33" i="5"/>
  <c r="ADY33" i="5"/>
  <c r="ADZ33" i="5"/>
  <c r="AEA33" i="5"/>
  <c r="AEB33" i="5"/>
  <c r="AEC33" i="5"/>
  <c r="AED33" i="5"/>
  <c r="AEE33" i="5"/>
  <c r="AEF33" i="5"/>
  <c r="AEG33" i="5"/>
  <c r="AEH33" i="5"/>
  <c r="AEI33" i="5"/>
  <c r="AEJ33" i="5"/>
  <c r="AEK33" i="5"/>
  <c r="AEL33" i="5"/>
  <c r="AEM33" i="5"/>
  <c r="AEN33" i="5"/>
  <c r="AEO33" i="5"/>
  <c r="AEP33" i="5"/>
  <c r="AEQ33" i="5"/>
  <c r="AER33" i="5"/>
  <c r="AES33" i="5"/>
  <c r="AET33" i="5"/>
  <c r="AEU33" i="5"/>
  <c r="AEV33" i="5"/>
  <c r="AEW33" i="5"/>
  <c r="AEX33" i="5"/>
  <c r="AEY33" i="5"/>
  <c r="AEZ33" i="5"/>
  <c r="AFA33" i="5"/>
  <c r="AFB33" i="5"/>
  <c r="AFC33" i="5"/>
  <c r="AFD33" i="5"/>
  <c r="AFE33" i="5"/>
  <c r="AFF33" i="5"/>
  <c r="AFG33" i="5"/>
  <c r="AFH33" i="5"/>
  <c r="AFI33" i="5"/>
  <c r="AFJ33" i="5"/>
  <c r="AFK33" i="5"/>
  <c r="AFL33" i="5"/>
  <c r="AFM33" i="5"/>
  <c r="AFN33" i="5"/>
  <c r="AFO33" i="5"/>
  <c r="AFP33" i="5"/>
  <c r="AFQ33" i="5"/>
  <c r="AFR33" i="5"/>
  <c r="AFS33" i="5"/>
  <c r="AFT33" i="5"/>
  <c r="AFU33" i="5"/>
  <c r="AFV33" i="5"/>
  <c r="AFW33" i="5"/>
  <c r="AFX33" i="5"/>
  <c r="AFY33" i="5"/>
  <c r="AFZ33" i="5"/>
  <c r="AGA33" i="5"/>
  <c r="AGB33" i="5"/>
  <c r="AGC33" i="5"/>
  <c r="AGD33" i="5"/>
  <c r="AGE33" i="5"/>
  <c r="AGF33" i="5"/>
  <c r="AGG33" i="5"/>
  <c r="AGH33" i="5"/>
  <c r="AGI33" i="5"/>
  <c r="AGJ33" i="5"/>
  <c r="AGK33" i="5"/>
  <c r="AGL33" i="5"/>
  <c r="AGM33" i="5"/>
  <c r="AGN33" i="5"/>
  <c r="AGO33" i="5"/>
  <c r="AGP33" i="5"/>
  <c r="AGQ33" i="5"/>
  <c r="AGR33" i="5"/>
  <c r="AGS33" i="5"/>
  <c r="AGT33" i="5"/>
  <c r="AGU33" i="5"/>
  <c r="AGV33" i="5"/>
  <c r="AGW33" i="5"/>
  <c r="AGX33" i="5"/>
  <c r="AGY33" i="5"/>
  <c r="AGZ33" i="5"/>
  <c r="AHA33" i="5"/>
  <c r="AHB33" i="5"/>
  <c r="AHC33" i="5"/>
  <c r="AHD33" i="5"/>
  <c r="AHE33" i="5"/>
  <c r="AHF33" i="5"/>
  <c r="AHG33" i="5"/>
  <c r="AHH33" i="5"/>
  <c r="AHI33" i="5"/>
  <c r="AHJ33" i="5"/>
  <c r="AHK33" i="5"/>
  <c r="AHL33" i="5"/>
  <c r="AHM33" i="5"/>
  <c r="AHN33" i="5"/>
  <c r="AHO33" i="5"/>
  <c r="AHP33" i="5"/>
  <c r="AHQ33" i="5"/>
  <c r="AHR33" i="5"/>
  <c r="AHS33" i="5"/>
  <c r="AHT33" i="5"/>
  <c r="AHU33" i="5"/>
  <c r="AHV33" i="5"/>
  <c r="AHW33" i="5"/>
  <c r="AHX33" i="5"/>
  <c r="AHY33" i="5"/>
  <c r="AHZ33" i="5"/>
  <c r="AIA33" i="5"/>
  <c r="AIB33" i="5"/>
  <c r="AIC33" i="5"/>
  <c r="AID33" i="5"/>
  <c r="AIE33" i="5"/>
  <c r="AIF33" i="5"/>
  <c r="AIG33" i="5"/>
  <c r="AIH33" i="5"/>
  <c r="AII33" i="5"/>
  <c r="AIJ33" i="5"/>
  <c r="AIK33" i="5"/>
  <c r="AIL33" i="5"/>
  <c r="AIM33" i="5"/>
  <c r="AIN33" i="5"/>
  <c r="AIO33" i="5"/>
  <c r="AIP33" i="5"/>
  <c r="AIQ33" i="5"/>
  <c r="AIR33" i="5"/>
  <c r="AIS33" i="5"/>
  <c r="AIT33" i="5"/>
  <c r="AIU33" i="5"/>
  <c r="AIV33" i="5"/>
  <c r="AIW33" i="5"/>
  <c r="AIX33" i="5"/>
  <c r="AIY33" i="5"/>
  <c r="AIZ33" i="5"/>
  <c r="AJA33" i="5"/>
  <c r="AJB33" i="5"/>
  <c r="AJC33" i="5"/>
  <c r="AJD33" i="5"/>
  <c r="AJE33" i="5"/>
  <c r="AJF33" i="5"/>
  <c r="AJG33" i="5"/>
  <c r="AJH33" i="5"/>
  <c r="AJI33" i="5"/>
  <c r="AJJ33" i="5"/>
  <c r="AJK33" i="5"/>
  <c r="AJL33" i="5"/>
  <c r="AJM33" i="5"/>
  <c r="AJN33" i="5"/>
  <c r="AJO33" i="5"/>
  <c r="AJP33" i="5"/>
  <c r="AJQ33" i="5"/>
  <c r="AJR33" i="5"/>
  <c r="AJS33" i="5"/>
  <c r="AJT33" i="5"/>
  <c r="AJU33" i="5"/>
  <c r="AJV33" i="5"/>
  <c r="AJW33" i="5"/>
  <c r="AJX33" i="5"/>
  <c r="AJY33" i="5"/>
  <c r="AJZ33" i="5"/>
  <c r="AKA33" i="5"/>
  <c r="AKB33" i="5"/>
  <c r="AKC33" i="5"/>
  <c r="AKD33" i="5"/>
  <c r="AKE33" i="5"/>
  <c r="AKF33" i="5"/>
  <c r="AKG33" i="5"/>
  <c r="AKH33" i="5"/>
  <c r="AKI33" i="5"/>
  <c r="AKJ33" i="5"/>
  <c r="AKK33" i="5"/>
  <c r="AKL33" i="5"/>
  <c r="AKM33" i="5"/>
  <c r="AKN33" i="5"/>
  <c r="AKO33" i="5"/>
  <c r="AKP33" i="5"/>
  <c r="AKQ33" i="5"/>
  <c r="AKR33" i="5"/>
  <c r="AKS33" i="5"/>
  <c r="AKT33" i="5"/>
  <c r="AKU33" i="5"/>
  <c r="AKV33" i="5"/>
  <c r="AKW33" i="5"/>
  <c r="AKX33" i="5"/>
  <c r="AKY33" i="5"/>
  <c r="AKZ33" i="5"/>
  <c r="ALA33" i="5"/>
  <c r="ALB33" i="5"/>
  <c r="ALC33" i="5"/>
  <c r="ALD33" i="5"/>
  <c r="ALE33" i="5"/>
  <c r="ALF33" i="5"/>
  <c r="ALG33" i="5"/>
  <c r="ALH33" i="5"/>
  <c r="ALI33" i="5"/>
  <c r="ALJ33" i="5"/>
  <c r="ALK33" i="5"/>
  <c r="ALL33" i="5"/>
  <c r="ALM33" i="5"/>
  <c r="ALN33" i="5"/>
  <c r="ALO33" i="5"/>
  <c r="ALP33" i="5"/>
  <c r="ALQ33" i="5"/>
  <c r="ALR33" i="5"/>
  <c r="ALS33" i="5"/>
  <c r="ALT33" i="5"/>
  <c r="ALU33" i="5"/>
  <c r="ALV33" i="5"/>
  <c r="ALW33" i="5"/>
  <c r="ALX33" i="5"/>
  <c r="ALY33" i="5"/>
  <c r="ALZ33" i="5"/>
  <c r="AMA33" i="5"/>
  <c r="AMB33" i="5"/>
  <c r="AMC33" i="5"/>
  <c r="AMD33" i="5"/>
  <c r="AME33" i="5"/>
  <c r="AMF33" i="5"/>
  <c r="AMG33" i="5"/>
  <c r="AMH33" i="5"/>
  <c r="AMI33" i="5"/>
  <c r="AMJ33" i="5"/>
  <c r="AMK33" i="5"/>
  <c r="AML33" i="5"/>
  <c r="AMM33" i="5"/>
  <c r="AMN33" i="5"/>
  <c r="AMO33" i="5"/>
  <c r="AMP33" i="5"/>
  <c r="AMQ33" i="5"/>
  <c r="AMR33" i="5"/>
  <c r="AMS33" i="5"/>
  <c r="AMT33" i="5"/>
  <c r="AMU33" i="5"/>
  <c r="AMV33" i="5"/>
  <c r="AMW33" i="5"/>
  <c r="AMX33" i="5"/>
  <c r="AMY33" i="5"/>
  <c r="AMZ33" i="5"/>
  <c r="ANA33" i="5"/>
  <c r="ANB33" i="5"/>
  <c r="ANC33" i="5"/>
  <c r="AND33" i="5"/>
  <c r="ANE33" i="5"/>
  <c r="ANF33" i="5"/>
  <c r="ANG33" i="5"/>
  <c r="ANH33" i="5"/>
  <c r="ANI33" i="5"/>
  <c r="ANJ33" i="5"/>
  <c r="ANK33" i="5"/>
  <c r="ANL33" i="5"/>
  <c r="ANM33" i="5"/>
  <c r="ANN33" i="5"/>
  <c r="ANO33" i="5"/>
  <c r="ANP33" i="5"/>
  <c r="ANQ33" i="5"/>
  <c r="ANR33" i="5"/>
  <c r="ANS33" i="5"/>
  <c r="ANT33" i="5"/>
  <c r="ANU33" i="5"/>
  <c r="ANV33" i="5"/>
  <c r="ANW33" i="5"/>
  <c r="ANX33" i="5"/>
  <c r="ANY33" i="5"/>
  <c r="ANZ33" i="5"/>
  <c r="AOA33" i="5"/>
  <c r="AOB33" i="5"/>
  <c r="AOC33" i="5"/>
  <c r="AOD33" i="5"/>
  <c r="AOE33" i="5"/>
  <c r="AOF33" i="5"/>
  <c r="AOG33" i="5"/>
  <c r="AOH33" i="5"/>
  <c r="AOI33" i="5"/>
  <c r="AOJ33" i="5"/>
  <c r="AOK33" i="5"/>
  <c r="AOL33" i="5"/>
  <c r="AOM33" i="5"/>
  <c r="AON33" i="5"/>
  <c r="AOO33" i="5"/>
  <c r="AOP33" i="5"/>
  <c r="AOQ33" i="5"/>
  <c r="AOR33" i="5"/>
  <c r="AOS33" i="5"/>
  <c r="AOT33" i="5"/>
  <c r="AOU33" i="5"/>
  <c r="AOV33" i="5"/>
  <c r="AOW33" i="5"/>
  <c r="AOX33" i="5"/>
  <c r="AOY33" i="5"/>
  <c r="AOZ33" i="5"/>
  <c r="APA33" i="5"/>
  <c r="APB33" i="5"/>
  <c r="APC33" i="5"/>
  <c r="APD33" i="5"/>
  <c r="APE33" i="5"/>
  <c r="APF33" i="5"/>
  <c r="APG33" i="5"/>
  <c r="APH33" i="5"/>
  <c r="API33" i="5"/>
  <c r="APJ33" i="5"/>
  <c r="APK33" i="5"/>
  <c r="APL33" i="5"/>
  <c r="APM33" i="5"/>
  <c r="APN33" i="5"/>
  <c r="APO33" i="5"/>
  <c r="APP33" i="5"/>
  <c r="APQ33" i="5"/>
  <c r="APR33" i="5"/>
  <c r="APS33" i="5"/>
  <c r="APT33" i="5"/>
  <c r="APU33" i="5"/>
  <c r="APV33" i="5"/>
  <c r="APW33" i="5"/>
  <c r="APX33" i="5"/>
  <c r="APY33" i="5"/>
  <c r="APZ33" i="5"/>
  <c r="AQA33" i="5"/>
  <c r="AQB33" i="5"/>
  <c r="AQC33" i="5"/>
  <c r="AQD33" i="5"/>
  <c r="AQE33" i="5"/>
  <c r="AQF33" i="5"/>
  <c r="AQG33" i="5"/>
  <c r="AQH33" i="5"/>
  <c r="AQI33" i="5"/>
  <c r="AQJ33" i="5"/>
  <c r="AQK33" i="5"/>
  <c r="AQL33" i="5"/>
  <c r="AQM33" i="5"/>
  <c r="AQN33" i="5"/>
  <c r="AQO33" i="5"/>
  <c r="AQP33" i="5"/>
  <c r="AQQ33" i="5"/>
  <c r="AQR33" i="5"/>
  <c r="AQS33" i="5"/>
  <c r="AQT33" i="5"/>
  <c r="AQU33" i="5"/>
  <c r="AQV33" i="5"/>
  <c r="AQW33" i="5"/>
  <c r="AQX33" i="5"/>
  <c r="AQY33" i="5"/>
  <c r="AQZ33" i="5"/>
  <c r="ARA33" i="5"/>
  <c r="ARB33" i="5"/>
  <c r="ARC33" i="5"/>
  <c r="ARD33" i="5"/>
  <c r="ARE33" i="5"/>
  <c r="ARF33" i="5"/>
  <c r="ARG33" i="5"/>
  <c r="ARH33" i="5"/>
  <c r="ARI33" i="5"/>
  <c r="ARJ33" i="5"/>
  <c r="ARK33" i="5"/>
  <c r="ARL33" i="5"/>
  <c r="ARM33" i="5"/>
  <c r="ARN33" i="5"/>
  <c r="ARO33" i="5"/>
  <c r="ARP33" i="5"/>
  <c r="ARQ33" i="5"/>
  <c r="ARR33" i="5"/>
  <c r="ARS33" i="5"/>
  <c r="ART33" i="5"/>
  <c r="ARU33" i="5"/>
  <c r="ARV33" i="5"/>
  <c r="ARW33" i="5"/>
  <c r="ARX33" i="5"/>
  <c r="ARY33" i="5"/>
  <c r="ARZ33" i="5"/>
  <c r="ASA33" i="5"/>
  <c r="ASB33" i="5"/>
  <c r="ASC33" i="5"/>
  <c r="ASD33" i="5"/>
  <c r="ASE33" i="5"/>
  <c r="ASF33" i="5"/>
  <c r="ASG33" i="5"/>
  <c r="ASH33" i="5"/>
  <c r="ASI33" i="5"/>
  <c r="ASJ33" i="5"/>
  <c r="ASK33" i="5"/>
  <c r="ASL33" i="5"/>
  <c r="ASM33" i="5"/>
  <c r="ASN33" i="5"/>
  <c r="ASO33" i="5"/>
  <c r="ASP33" i="5"/>
  <c r="ASQ33" i="5"/>
  <c r="ASR33" i="5"/>
  <c r="ASS33" i="5"/>
  <c r="AST33" i="5"/>
  <c r="ASU33" i="5"/>
  <c r="ASV33" i="5"/>
  <c r="ASW33" i="5"/>
  <c r="ASX33" i="5"/>
  <c r="ASY33" i="5"/>
  <c r="ASZ33" i="5"/>
  <c r="ATA33" i="5"/>
  <c r="ATB33" i="5"/>
  <c r="ATC33" i="5"/>
  <c r="ATD33" i="5"/>
  <c r="ATE33" i="5"/>
  <c r="ATF33" i="5"/>
  <c r="ATG33" i="5"/>
  <c r="ATH33" i="5"/>
  <c r="ATI33" i="5"/>
  <c r="ATJ33" i="5"/>
  <c r="ATK33" i="5"/>
  <c r="ATL33" i="5"/>
  <c r="ATM33" i="5"/>
  <c r="ATN33" i="5"/>
  <c r="ATO33" i="5"/>
  <c r="ATP33" i="5"/>
  <c r="ATQ33" i="5"/>
  <c r="ATR33" i="5"/>
  <c r="ATS33" i="5"/>
  <c r="ATT33" i="5"/>
  <c r="ATU33" i="5"/>
  <c r="ATV33" i="5"/>
  <c r="ATW33" i="5"/>
  <c r="ATX33" i="5"/>
  <c r="ATY33" i="5"/>
  <c r="ATZ33" i="5"/>
  <c r="AUA33" i="5"/>
  <c r="AUB33" i="5"/>
  <c r="AUC33" i="5"/>
  <c r="AUD33" i="5"/>
  <c r="AUE33" i="5"/>
  <c r="AUF33" i="5"/>
  <c r="AUG33" i="5"/>
  <c r="AUH33" i="5"/>
  <c r="AUI33" i="5"/>
  <c r="AUJ33" i="5"/>
  <c r="AUK33" i="5"/>
  <c r="AUL33" i="5"/>
  <c r="AUM33" i="5"/>
  <c r="AUN33" i="5"/>
  <c r="AUO33" i="5"/>
  <c r="AUP33" i="5"/>
  <c r="AUQ33" i="5"/>
  <c r="AUR33" i="5"/>
  <c r="AUS33" i="5"/>
  <c r="AUT33" i="5"/>
  <c r="AUU33" i="5"/>
  <c r="AUV33" i="5"/>
  <c r="AUW33" i="5"/>
  <c r="AUX33" i="5"/>
  <c r="AUY33" i="5"/>
  <c r="AUZ33" i="5"/>
  <c r="AVA33" i="5"/>
  <c r="AVB33" i="5"/>
  <c r="AVC33" i="5"/>
  <c r="AVD33" i="5"/>
  <c r="AVE33" i="5"/>
  <c r="AVF33" i="5"/>
  <c r="AVG33" i="5"/>
  <c r="AVH33" i="5"/>
  <c r="AVI33" i="5"/>
  <c r="AVJ33" i="5"/>
  <c r="AVK33" i="5"/>
  <c r="AVL33" i="5"/>
  <c r="AVM33" i="5"/>
  <c r="AVN33" i="5"/>
  <c r="AVO33" i="5"/>
  <c r="AVP33" i="5"/>
  <c r="AVQ33" i="5"/>
  <c r="AVR33" i="5"/>
  <c r="AVS33" i="5"/>
  <c r="AVT33" i="5"/>
  <c r="AVU33" i="5"/>
  <c r="AVV33" i="5"/>
  <c r="AVW33" i="5"/>
  <c r="AVX33" i="5"/>
  <c r="AVY33" i="5"/>
  <c r="AVZ33" i="5"/>
  <c r="AWA33" i="5"/>
  <c r="AWB33" i="5"/>
  <c r="AWC33" i="5"/>
  <c r="AWD33" i="5"/>
  <c r="AWE33" i="5"/>
  <c r="AWF33" i="5"/>
  <c r="AWG33" i="5"/>
  <c r="AWH33" i="5"/>
  <c r="AWI33" i="5"/>
  <c r="AWJ33" i="5"/>
  <c r="AWK33" i="5"/>
  <c r="AWL33" i="5"/>
  <c r="AWM33" i="5"/>
  <c r="AWN33" i="5"/>
  <c r="AWO33" i="5"/>
  <c r="AWP33" i="5"/>
  <c r="AWQ33" i="5"/>
  <c r="AWR33" i="5"/>
  <c r="AWS33" i="5"/>
  <c r="AWT33" i="5"/>
  <c r="AWU33" i="5"/>
  <c r="AWV33" i="5"/>
  <c r="AWW33" i="5"/>
  <c r="AWX33" i="5"/>
  <c r="AWY33" i="5"/>
  <c r="AWZ33" i="5"/>
  <c r="AXA33" i="5"/>
  <c r="AXB33" i="5"/>
  <c r="AXC33" i="5"/>
  <c r="AXD33" i="5"/>
  <c r="AXE33" i="5"/>
  <c r="AXF33" i="5"/>
  <c r="AXG33" i="5"/>
  <c r="AXH33" i="5"/>
  <c r="AXI33" i="5"/>
  <c r="AXJ33" i="5"/>
  <c r="AXK33" i="5"/>
  <c r="AXL33" i="5"/>
  <c r="AXM33" i="5"/>
  <c r="AXN33" i="5"/>
  <c r="AXO33" i="5"/>
  <c r="AXP33" i="5"/>
  <c r="AXQ33" i="5"/>
  <c r="AXR33" i="5"/>
  <c r="AXS33" i="5"/>
  <c r="AXT33" i="5"/>
  <c r="AXU33" i="5"/>
  <c r="AXV33" i="5"/>
  <c r="AXW33" i="5"/>
  <c r="AXX33" i="5"/>
  <c r="AXY33" i="5"/>
  <c r="AXZ33" i="5"/>
  <c r="AYA33" i="5"/>
  <c r="AYB33" i="5"/>
  <c r="AYC33" i="5"/>
  <c r="AYD33" i="5"/>
  <c r="AYE33" i="5"/>
  <c r="AYF33" i="5"/>
  <c r="AYG33" i="5"/>
  <c r="AYH33" i="5"/>
  <c r="AYI33" i="5"/>
  <c r="AYJ33" i="5"/>
  <c r="AYK33" i="5"/>
  <c r="AYL33" i="5"/>
  <c r="AYM33" i="5"/>
  <c r="AYN33" i="5"/>
  <c r="AYO33" i="5"/>
  <c r="AYP33" i="5"/>
  <c r="AYQ33" i="5"/>
  <c r="AYR33" i="5"/>
  <c r="AYS33" i="5"/>
  <c r="AYT33" i="5"/>
  <c r="AYU33" i="5"/>
  <c r="AYV33" i="5"/>
  <c r="AYW33" i="5"/>
  <c r="AYX33" i="5"/>
  <c r="AYY33" i="5"/>
  <c r="AYZ33" i="5"/>
  <c r="AZA33" i="5"/>
  <c r="AZB33" i="5"/>
  <c r="AZC33" i="5"/>
  <c r="AZD33" i="5"/>
  <c r="AZE33" i="5"/>
  <c r="AZF33" i="5"/>
  <c r="AZG33" i="5"/>
  <c r="AZH33" i="5"/>
  <c r="AZI33" i="5"/>
  <c r="AZJ33" i="5"/>
  <c r="AZK33" i="5"/>
  <c r="AZL33" i="5"/>
  <c r="AZM33" i="5"/>
  <c r="AZN33" i="5"/>
  <c r="AZO33" i="5"/>
  <c r="AZP33" i="5"/>
  <c r="AZQ33" i="5"/>
  <c r="AZR33" i="5"/>
  <c r="AZS33" i="5"/>
  <c r="AZT33" i="5"/>
  <c r="AZU33" i="5"/>
  <c r="AZV33" i="5"/>
  <c r="AZW33" i="5"/>
  <c r="AZX33" i="5"/>
  <c r="AZY33" i="5"/>
  <c r="AZZ33" i="5"/>
  <c r="BAA33" i="5"/>
  <c r="BAB33" i="5"/>
  <c r="BAC33" i="5"/>
  <c r="BAD33" i="5"/>
  <c r="BAE33" i="5"/>
  <c r="BAF33" i="5"/>
  <c r="BAG33" i="5"/>
  <c r="BAH33" i="5"/>
  <c r="BAI33" i="5"/>
  <c r="BAJ33" i="5"/>
  <c r="BAK33" i="5"/>
  <c r="BAL33" i="5"/>
  <c r="BAM33" i="5"/>
  <c r="BAN33" i="5"/>
  <c r="BAO33" i="5"/>
  <c r="BAP33" i="5"/>
  <c r="BAQ33" i="5"/>
  <c r="BAR33" i="5"/>
  <c r="BAS33" i="5"/>
  <c r="BAT33" i="5"/>
  <c r="BAU33" i="5"/>
  <c r="BAV33" i="5"/>
  <c r="BAW33" i="5"/>
  <c r="BAX33" i="5"/>
  <c r="BAY33" i="5"/>
  <c r="BAZ33" i="5"/>
  <c r="BBA33" i="5"/>
  <c r="BBB33" i="5"/>
  <c r="BBC33" i="5"/>
  <c r="BBD33" i="5"/>
  <c r="BBE33" i="5"/>
  <c r="BBF33" i="5"/>
  <c r="BBG33" i="5"/>
  <c r="BBH33" i="5"/>
  <c r="BBI33" i="5"/>
  <c r="BBJ33" i="5"/>
  <c r="BBK33" i="5"/>
  <c r="BBL33" i="5"/>
  <c r="BBM33" i="5"/>
  <c r="BBN33" i="5"/>
  <c r="BBO33" i="5"/>
  <c r="BBP33" i="5"/>
  <c r="BBQ33" i="5"/>
  <c r="BBR33" i="5"/>
  <c r="BBS33" i="5"/>
  <c r="BBT33" i="5"/>
  <c r="BBU33" i="5"/>
  <c r="BBV33" i="5"/>
  <c r="BBW33" i="5"/>
  <c r="BBX33" i="5"/>
  <c r="BBY33" i="5"/>
  <c r="BBZ33" i="5"/>
  <c r="BCA33" i="5"/>
  <c r="BCB33" i="5"/>
  <c r="BCC33" i="5"/>
  <c r="BCD33" i="5"/>
  <c r="BCE33" i="5"/>
  <c r="BCF33" i="5"/>
  <c r="BCG33" i="5"/>
  <c r="BCH33" i="5"/>
  <c r="BCI33" i="5"/>
  <c r="BCJ33" i="5"/>
  <c r="BCK33" i="5"/>
  <c r="BCL33" i="5"/>
  <c r="BCM33" i="5"/>
  <c r="BCN33" i="5"/>
  <c r="BCO33" i="5"/>
  <c r="BCP33" i="5"/>
  <c r="BCQ33" i="5"/>
  <c r="BCR33" i="5"/>
  <c r="BCS33" i="5"/>
  <c r="BCT33" i="5"/>
  <c r="BCU33" i="5"/>
  <c r="BCV33" i="5"/>
  <c r="BCW33" i="5"/>
  <c r="BCX33" i="5"/>
  <c r="BCY33" i="5"/>
  <c r="BCZ33" i="5"/>
  <c r="BDA33" i="5"/>
  <c r="BDB33" i="5"/>
  <c r="BDC33" i="5"/>
  <c r="BDD33" i="5"/>
  <c r="BDE33" i="5"/>
  <c r="BDF33" i="5"/>
  <c r="BDG33" i="5"/>
  <c r="BDH33" i="5"/>
  <c r="BDI33" i="5"/>
  <c r="BDJ33" i="5"/>
  <c r="BDK33" i="5"/>
  <c r="BDL33" i="5"/>
  <c r="BDM33" i="5"/>
  <c r="BDN33" i="5"/>
  <c r="BDO33" i="5"/>
  <c r="BDP33" i="5"/>
  <c r="BDQ33" i="5"/>
  <c r="BDR33" i="5"/>
  <c r="BDS33" i="5"/>
  <c r="BDT33" i="5"/>
  <c r="BDU33" i="5"/>
  <c r="BDV33" i="5"/>
  <c r="BDW33" i="5"/>
  <c r="BDX33" i="5"/>
  <c r="BDY33" i="5"/>
  <c r="BDZ33" i="5"/>
  <c r="BEA33" i="5"/>
  <c r="BEB33" i="5"/>
  <c r="BEC33" i="5"/>
  <c r="BED33" i="5"/>
  <c r="BEE33" i="5"/>
  <c r="BEF33" i="5"/>
  <c r="BEG33" i="5"/>
  <c r="BEH33" i="5"/>
  <c r="BEI33" i="5"/>
  <c r="BEJ33" i="5"/>
  <c r="BEK33" i="5"/>
  <c r="BEL33" i="5"/>
  <c r="BEM33" i="5"/>
  <c r="BEN33" i="5"/>
  <c r="BEO33" i="5"/>
  <c r="BEP33" i="5"/>
  <c r="BEQ33" i="5"/>
  <c r="BER33" i="5"/>
  <c r="BES33" i="5"/>
  <c r="BET33" i="5"/>
  <c r="BEU33" i="5"/>
  <c r="BEV33" i="5"/>
  <c r="BEW33" i="5"/>
  <c r="BEX33" i="5"/>
  <c r="BEY33" i="5"/>
  <c r="BEZ33" i="5"/>
  <c r="BFA33" i="5"/>
  <c r="BFB33" i="5"/>
  <c r="BFC33" i="5"/>
  <c r="BFD33" i="5"/>
  <c r="BFE33" i="5"/>
  <c r="BFF33" i="5"/>
  <c r="BFG33" i="5"/>
  <c r="BFH33" i="5"/>
  <c r="BFI33" i="5"/>
  <c r="BFJ33" i="5"/>
  <c r="BFK33" i="5"/>
  <c r="BFL33" i="5"/>
  <c r="BFM33" i="5"/>
  <c r="BFN33" i="5"/>
  <c r="BFO33" i="5"/>
  <c r="BFP33" i="5"/>
  <c r="BFQ33" i="5"/>
  <c r="BFR33" i="5"/>
  <c r="BFS33" i="5"/>
  <c r="BFT33" i="5"/>
  <c r="BFU33" i="5"/>
  <c r="BFV33" i="5"/>
  <c r="BFW33" i="5"/>
  <c r="BFX33" i="5"/>
  <c r="BFY33" i="5"/>
  <c r="BFZ33" i="5"/>
  <c r="BGA33" i="5"/>
  <c r="BGB33" i="5"/>
  <c r="BGC33" i="5"/>
  <c r="BGD33" i="5"/>
  <c r="BGE33" i="5"/>
  <c r="BGF33" i="5"/>
  <c r="BGG33" i="5"/>
  <c r="BGH33" i="5"/>
  <c r="BGI33" i="5"/>
  <c r="BGJ33" i="5"/>
  <c r="BGK33" i="5"/>
  <c r="BGL33" i="5"/>
  <c r="BGM33" i="5"/>
  <c r="BGN33" i="5"/>
  <c r="BGO33" i="5"/>
  <c r="BGP33" i="5"/>
  <c r="BGQ33" i="5"/>
  <c r="BGR33" i="5"/>
  <c r="BGS33" i="5"/>
  <c r="BGT33" i="5"/>
  <c r="BGU33" i="5"/>
  <c r="BGV33" i="5"/>
  <c r="BGW33" i="5"/>
  <c r="BGX33" i="5"/>
  <c r="BGY33" i="5"/>
  <c r="BGZ33" i="5"/>
  <c r="BHA33" i="5"/>
  <c r="BHB33" i="5"/>
  <c r="BHC33" i="5"/>
  <c r="BHD33" i="5"/>
  <c r="BHE33" i="5"/>
  <c r="BHF33" i="5"/>
  <c r="BHG33" i="5"/>
  <c r="BHH33" i="5"/>
  <c r="BHI33" i="5"/>
  <c r="BHJ33" i="5"/>
  <c r="BHK33" i="5"/>
  <c r="BHL33" i="5"/>
  <c r="BHM33" i="5"/>
  <c r="BHN33" i="5"/>
  <c r="BHO33" i="5"/>
  <c r="BHP33" i="5"/>
  <c r="BHQ33" i="5"/>
  <c r="BHR33" i="5"/>
  <c r="BHS33" i="5"/>
  <c r="BHT33" i="5"/>
  <c r="BHU33" i="5"/>
  <c r="BHV33" i="5"/>
  <c r="BHW33" i="5"/>
  <c r="BHX33" i="5"/>
  <c r="BHY33" i="5"/>
  <c r="BHZ33" i="5"/>
  <c r="BIA33" i="5"/>
  <c r="BIB33" i="5"/>
  <c r="BIC33" i="5"/>
  <c r="BID33" i="5"/>
  <c r="BIE33" i="5"/>
  <c r="BIF33" i="5"/>
  <c r="BIG33" i="5"/>
  <c r="BIH33" i="5"/>
  <c r="BII33" i="5"/>
  <c r="BIJ33" i="5"/>
  <c r="BIK33" i="5"/>
  <c r="BIL33" i="5"/>
  <c r="BIM33" i="5"/>
  <c r="BIN33" i="5"/>
  <c r="BIO33" i="5"/>
  <c r="BIP33" i="5"/>
  <c r="BIQ33" i="5"/>
  <c r="BIR33" i="5"/>
  <c r="BIS33" i="5"/>
  <c r="BIT33" i="5"/>
  <c r="BIU33" i="5"/>
  <c r="BIV33" i="5"/>
  <c r="BIW33" i="5"/>
  <c r="BIX33" i="5"/>
  <c r="BIY33" i="5"/>
  <c r="BIZ33" i="5"/>
  <c r="BJA33" i="5"/>
  <c r="BJB33" i="5"/>
  <c r="BJC33" i="5"/>
  <c r="BJD33" i="5"/>
  <c r="BJE33" i="5"/>
  <c r="BJF33" i="5"/>
  <c r="BJG33" i="5"/>
  <c r="BJH33" i="5"/>
  <c r="BJI33" i="5"/>
  <c r="BJJ33" i="5"/>
  <c r="BJK33" i="5"/>
  <c r="BJL33" i="5"/>
  <c r="BJM33" i="5"/>
  <c r="BJN33" i="5"/>
  <c r="BJO33" i="5"/>
  <c r="BJP33" i="5"/>
  <c r="BJQ33" i="5"/>
  <c r="BJR33" i="5"/>
  <c r="BJS33" i="5"/>
  <c r="BJT33" i="5"/>
  <c r="BJU33" i="5"/>
  <c r="BJV33" i="5"/>
  <c r="BJW33" i="5"/>
  <c r="BJX33" i="5"/>
  <c r="BJY33" i="5"/>
  <c r="BJZ33" i="5"/>
  <c r="BKA33" i="5"/>
  <c r="BKB33" i="5"/>
  <c r="BKC33" i="5"/>
  <c r="BKD33" i="5"/>
  <c r="BKE33" i="5"/>
  <c r="BKF33" i="5"/>
  <c r="BKG33" i="5"/>
  <c r="BKH33" i="5"/>
  <c r="BKI33" i="5"/>
  <c r="BKJ33" i="5"/>
  <c r="BKK33" i="5"/>
  <c r="BKL33" i="5"/>
  <c r="BKM33" i="5"/>
  <c r="BKN33" i="5"/>
  <c r="BKO33" i="5"/>
  <c r="BKP33" i="5"/>
  <c r="BKQ33" i="5"/>
  <c r="BKR33" i="5"/>
  <c r="BKS33" i="5"/>
  <c r="BKT33" i="5"/>
  <c r="BKU33" i="5"/>
  <c r="BKV33" i="5"/>
  <c r="BKW33" i="5"/>
  <c r="BKX33" i="5"/>
  <c r="BKY33" i="5"/>
  <c r="BKZ33" i="5"/>
  <c r="BLA33" i="5"/>
  <c r="BLB33" i="5"/>
  <c r="BLC33" i="5"/>
  <c r="BLD33" i="5"/>
  <c r="BLE33" i="5"/>
  <c r="BLF33" i="5"/>
  <c r="BLG33" i="5"/>
  <c r="BLH33" i="5"/>
  <c r="BLI33" i="5"/>
  <c r="BLJ33" i="5"/>
  <c r="BLK33" i="5"/>
  <c r="BLL33" i="5"/>
  <c r="BLM33" i="5"/>
  <c r="BLN33" i="5"/>
  <c r="BLO33" i="5"/>
  <c r="BLP33" i="5"/>
  <c r="BLQ33" i="5"/>
  <c r="BLR33" i="5"/>
  <c r="BLS33" i="5"/>
  <c r="BLT33" i="5"/>
  <c r="BLU33" i="5"/>
  <c r="BLV33" i="5"/>
  <c r="BLW33" i="5"/>
  <c r="BLX33" i="5"/>
  <c r="BLY33" i="5"/>
  <c r="BLZ33" i="5"/>
  <c r="BMA33" i="5"/>
  <c r="BMB33" i="5"/>
  <c r="BMC33" i="5"/>
  <c r="BMD33" i="5"/>
  <c r="BME33" i="5"/>
  <c r="BMF33" i="5"/>
  <c r="BMG33" i="5"/>
  <c r="BMH33" i="5"/>
  <c r="BMI33" i="5"/>
  <c r="BMJ33" i="5"/>
  <c r="BMK33" i="5"/>
  <c r="BML33" i="5"/>
  <c r="BMM33" i="5"/>
  <c r="BMN33" i="5"/>
  <c r="BMO33" i="5"/>
  <c r="BMP33" i="5"/>
  <c r="BMQ33" i="5"/>
  <c r="BMR33" i="5"/>
  <c r="BMS33" i="5"/>
  <c r="BMT33" i="5"/>
  <c r="BMU33" i="5"/>
  <c r="BMV33" i="5"/>
  <c r="BMW33" i="5"/>
  <c r="BMX33" i="5"/>
  <c r="BMY33" i="5"/>
  <c r="BMZ33" i="5"/>
  <c r="BNA33" i="5"/>
  <c r="BNB33" i="5"/>
  <c r="BNC33" i="5"/>
  <c r="BND33" i="5"/>
  <c r="BNE33" i="5"/>
  <c r="BNF33" i="5"/>
  <c r="BNG33" i="5"/>
  <c r="BNH33" i="5"/>
  <c r="BNI33" i="5"/>
  <c r="BNJ33" i="5"/>
  <c r="BNK33" i="5"/>
  <c r="BNL33" i="5"/>
  <c r="BNM33" i="5"/>
  <c r="BNN33" i="5"/>
  <c r="BNO33" i="5"/>
  <c r="BNP33" i="5"/>
  <c r="BNQ33" i="5"/>
  <c r="BNR33" i="5"/>
  <c r="BNS33" i="5"/>
  <c r="BNT33" i="5"/>
  <c r="BNU33" i="5"/>
  <c r="BNV33" i="5"/>
  <c r="BNW33" i="5"/>
  <c r="BNX33" i="5"/>
  <c r="BNY33" i="5"/>
  <c r="BNZ33" i="5"/>
  <c r="BOA33" i="5"/>
  <c r="BOB33" i="5"/>
  <c r="BOC33" i="5"/>
  <c r="BOD33" i="5"/>
  <c r="BOE33" i="5"/>
  <c r="BOF33" i="5"/>
  <c r="BOG33" i="5"/>
  <c r="BOH33" i="5"/>
  <c r="BOI33" i="5"/>
  <c r="BOJ33" i="5"/>
  <c r="BOK33" i="5"/>
  <c r="BOL33" i="5"/>
  <c r="BOM33" i="5"/>
  <c r="BON33" i="5"/>
  <c r="BOO33" i="5"/>
  <c r="BOP33" i="5"/>
  <c r="BOQ33" i="5"/>
  <c r="BOR33" i="5"/>
  <c r="BOS33" i="5"/>
  <c r="BOT33" i="5"/>
  <c r="BOU33" i="5"/>
  <c r="BOV33" i="5"/>
  <c r="BOW33" i="5"/>
  <c r="BOX33" i="5"/>
  <c r="BOY33" i="5"/>
  <c r="BOZ33" i="5"/>
  <c r="BPA33" i="5"/>
  <c r="BPB33" i="5"/>
  <c r="BPC33" i="5"/>
  <c r="BPD33" i="5"/>
  <c r="BPE33" i="5"/>
  <c r="BPF33" i="5"/>
  <c r="BPG33" i="5"/>
  <c r="BPH33" i="5"/>
  <c r="BPI33" i="5"/>
  <c r="BPJ33" i="5"/>
  <c r="BPK33" i="5"/>
  <c r="BPL33" i="5"/>
  <c r="BPM33" i="5"/>
  <c r="BPN33" i="5"/>
  <c r="BPO33" i="5"/>
  <c r="BPP33" i="5"/>
  <c r="BPQ33" i="5"/>
  <c r="BPR33" i="5"/>
  <c r="BPS33" i="5"/>
  <c r="BPT33" i="5"/>
  <c r="BPU33" i="5"/>
  <c r="BPV33" i="5"/>
  <c r="BPW33" i="5"/>
  <c r="BPX33" i="5"/>
  <c r="BPY33" i="5"/>
  <c r="BPZ33" i="5"/>
  <c r="BQA33" i="5"/>
  <c r="BQB33" i="5"/>
  <c r="BQC33" i="5"/>
  <c r="BQD33" i="5"/>
  <c r="BQE33" i="5"/>
  <c r="BQF33" i="5"/>
  <c r="BQG33" i="5"/>
  <c r="BQH33" i="5"/>
  <c r="BQI33" i="5"/>
  <c r="BQJ33" i="5"/>
  <c r="BQK33" i="5"/>
  <c r="BQL33" i="5"/>
  <c r="BQM33" i="5"/>
  <c r="BQN33" i="5"/>
  <c r="BQO33" i="5"/>
  <c r="BQP33" i="5"/>
  <c r="BQQ33" i="5"/>
  <c r="BQR33" i="5"/>
  <c r="BQS33" i="5"/>
  <c r="BQT33" i="5"/>
  <c r="BQU33" i="5"/>
  <c r="BQV33" i="5"/>
  <c r="BQW33" i="5"/>
  <c r="BQX33" i="5"/>
  <c r="BQY33" i="5"/>
  <c r="BQZ33" i="5"/>
  <c r="BRA33" i="5"/>
  <c r="BRB33" i="5"/>
  <c r="BRC33" i="5"/>
  <c r="BRD33" i="5"/>
  <c r="BRE33" i="5"/>
  <c r="BRF33" i="5"/>
  <c r="BRG33" i="5"/>
  <c r="BRH33" i="5"/>
  <c r="BRI33" i="5"/>
  <c r="BRJ33" i="5"/>
  <c r="BRK33" i="5"/>
  <c r="BRL33" i="5"/>
  <c r="BRM33" i="5"/>
  <c r="BRN33" i="5"/>
  <c r="BRO33" i="5"/>
  <c r="BRP33" i="5"/>
  <c r="BRQ33" i="5"/>
  <c r="BRR33" i="5"/>
  <c r="BRS33" i="5"/>
  <c r="BRT33" i="5"/>
  <c r="BRU33" i="5"/>
  <c r="BRV33" i="5"/>
  <c r="BRW33" i="5"/>
  <c r="BRX33" i="5"/>
  <c r="BRY33" i="5"/>
  <c r="BRZ33" i="5"/>
  <c r="BSA33" i="5"/>
  <c r="BSB33" i="5"/>
  <c r="BSC33" i="5"/>
  <c r="BSD33" i="5"/>
  <c r="BSE33" i="5"/>
  <c r="BSF33" i="5"/>
  <c r="BSG33" i="5"/>
  <c r="BSH33" i="5"/>
  <c r="BSI33" i="5"/>
  <c r="BSJ33" i="5"/>
  <c r="BSK33" i="5"/>
  <c r="BSL33" i="5"/>
  <c r="BSM33" i="5"/>
  <c r="BSN33" i="5"/>
  <c r="BSO33" i="5"/>
  <c r="BSP33" i="5"/>
  <c r="BSQ33" i="5"/>
  <c r="BSR33" i="5"/>
  <c r="BSS33" i="5"/>
  <c r="BST33" i="5"/>
  <c r="BSU33" i="5"/>
  <c r="BSV33" i="5"/>
  <c r="BSW33" i="5"/>
  <c r="BSX33" i="5"/>
  <c r="BSY33" i="5"/>
  <c r="BSZ33" i="5"/>
  <c r="BTA33" i="5"/>
  <c r="BTB33" i="5"/>
  <c r="BTC33" i="5"/>
  <c r="BTD33" i="5"/>
  <c r="BTE33" i="5"/>
  <c r="BTF33" i="5"/>
  <c r="BTG33" i="5"/>
  <c r="BTH33" i="5"/>
  <c r="BTI33" i="5"/>
  <c r="BTJ33" i="5"/>
  <c r="BTK33" i="5"/>
  <c r="BTL33" i="5"/>
  <c r="BTM33" i="5"/>
  <c r="BTN33" i="5"/>
  <c r="BTO33" i="5"/>
  <c r="BTP33" i="5"/>
  <c r="BTQ33" i="5"/>
  <c r="BTR33" i="5"/>
  <c r="BTS33" i="5"/>
  <c r="BTT33" i="5"/>
  <c r="BTU33" i="5"/>
  <c r="BTV33" i="5"/>
  <c r="BTW33" i="5"/>
  <c r="BTX33" i="5"/>
  <c r="BTY33" i="5"/>
  <c r="BTZ33" i="5"/>
  <c r="BUA33" i="5"/>
  <c r="BUB33" i="5"/>
  <c r="BUC33" i="5"/>
  <c r="BUD33" i="5"/>
  <c r="BUE33" i="5"/>
  <c r="BUF33" i="5"/>
  <c r="BUG33" i="5"/>
  <c r="BUH33" i="5"/>
  <c r="BUI33" i="5"/>
  <c r="BUJ33" i="5"/>
  <c r="BUK33" i="5"/>
  <c r="BUL33" i="5"/>
  <c r="BUM33" i="5"/>
  <c r="BUN33" i="5"/>
  <c r="BUO33" i="5"/>
  <c r="BUP33" i="5"/>
  <c r="BUQ33" i="5"/>
  <c r="BUR33" i="5"/>
  <c r="BUS33" i="5"/>
  <c r="BUT33" i="5"/>
  <c r="BUU33" i="5"/>
  <c r="BUV33" i="5"/>
  <c r="BUW33" i="5"/>
  <c r="BUX33" i="5"/>
  <c r="BUY33" i="5"/>
  <c r="BUZ33" i="5"/>
  <c r="BVA33" i="5"/>
  <c r="BVB33" i="5"/>
  <c r="BVC33" i="5"/>
  <c r="BVD33" i="5"/>
  <c r="BVE33" i="5"/>
  <c r="BVF33" i="5"/>
  <c r="BVG33" i="5"/>
  <c r="BVH33" i="5"/>
  <c r="BVI33" i="5"/>
  <c r="BVJ33" i="5"/>
  <c r="BVK33" i="5"/>
  <c r="BVL33" i="5"/>
  <c r="BVM33" i="5"/>
  <c r="BVN33" i="5"/>
  <c r="BVO33" i="5"/>
  <c r="BVP33" i="5"/>
  <c r="BVQ33" i="5"/>
  <c r="BVR33" i="5"/>
  <c r="BVS33" i="5"/>
  <c r="BVT33" i="5"/>
  <c r="BVU33" i="5"/>
  <c r="BVV33" i="5"/>
  <c r="BVW33" i="5"/>
  <c r="BVX33" i="5"/>
  <c r="BVY33" i="5"/>
  <c r="BVZ33" i="5"/>
  <c r="BWA33" i="5"/>
  <c r="BWB33" i="5"/>
  <c r="BWC33" i="5"/>
  <c r="BWD33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JC34" i="5"/>
  <c r="JD34" i="5"/>
  <c r="JE34" i="5"/>
  <c r="JF34" i="5"/>
  <c r="JG34" i="5"/>
  <c r="JH34" i="5"/>
  <c r="JI34" i="5"/>
  <c r="JJ34" i="5"/>
  <c r="JK34" i="5"/>
  <c r="JL34" i="5"/>
  <c r="JM34" i="5"/>
  <c r="JN34" i="5"/>
  <c r="JO34" i="5"/>
  <c r="JP34" i="5"/>
  <c r="JQ34" i="5"/>
  <c r="JR34" i="5"/>
  <c r="JS34" i="5"/>
  <c r="JT34" i="5"/>
  <c r="JU34" i="5"/>
  <c r="JV34" i="5"/>
  <c r="JW34" i="5"/>
  <c r="JX34" i="5"/>
  <c r="JY34" i="5"/>
  <c r="JZ34" i="5"/>
  <c r="KA34" i="5"/>
  <c r="KB34" i="5"/>
  <c r="KC34" i="5"/>
  <c r="KD34" i="5"/>
  <c r="KE34" i="5"/>
  <c r="KF34" i="5"/>
  <c r="KG34" i="5"/>
  <c r="KH34" i="5"/>
  <c r="KI34" i="5"/>
  <c r="KJ34" i="5"/>
  <c r="KK34" i="5"/>
  <c r="KL34" i="5"/>
  <c r="KM34" i="5"/>
  <c r="KN34" i="5"/>
  <c r="KO34" i="5"/>
  <c r="KP34" i="5"/>
  <c r="KQ34" i="5"/>
  <c r="KR34" i="5"/>
  <c r="KS34" i="5"/>
  <c r="KT34" i="5"/>
  <c r="KU34" i="5"/>
  <c r="KV34" i="5"/>
  <c r="KW34" i="5"/>
  <c r="KX34" i="5"/>
  <c r="KY34" i="5"/>
  <c r="KZ34" i="5"/>
  <c r="LA34" i="5"/>
  <c r="LB34" i="5"/>
  <c r="LC34" i="5"/>
  <c r="LD34" i="5"/>
  <c r="LE34" i="5"/>
  <c r="LF34" i="5"/>
  <c r="LG34" i="5"/>
  <c r="LH34" i="5"/>
  <c r="LI34" i="5"/>
  <c r="LJ34" i="5"/>
  <c r="LK34" i="5"/>
  <c r="LL34" i="5"/>
  <c r="LM34" i="5"/>
  <c r="LN34" i="5"/>
  <c r="LO34" i="5"/>
  <c r="LP34" i="5"/>
  <c r="LQ34" i="5"/>
  <c r="LR34" i="5"/>
  <c r="LS34" i="5"/>
  <c r="LT34" i="5"/>
  <c r="LU34" i="5"/>
  <c r="LV34" i="5"/>
  <c r="LW34" i="5"/>
  <c r="LX34" i="5"/>
  <c r="LY34" i="5"/>
  <c r="LZ34" i="5"/>
  <c r="MA34" i="5"/>
  <c r="MB34" i="5"/>
  <c r="MC34" i="5"/>
  <c r="MD34" i="5"/>
  <c r="ME34" i="5"/>
  <c r="MF34" i="5"/>
  <c r="MG34" i="5"/>
  <c r="MH34" i="5"/>
  <c r="MI34" i="5"/>
  <c r="MJ34" i="5"/>
  <c r="MK34" i="5"/>
  <c r="ML34" i="5"/>
  <c r="MM34" i="5"/>
  <c r="MN34" i="5"/>
  <c r="MO34" i="5"/>
  <c r="MP34" i="5"/>
  <c r="MQ34" i="5"/>
  <c r="MR34" i="5"/>
  <c r="MS34" i="5"/>
  <c r="MT34" i="5"/>
  <c r="MU34" i="5"/>
  <c r="MV34" i="5"/>
  <c r="MW34" i="5"/>
  <c r="MX34" i="5"/>
  <c r="MY34" i="5"/>
  <c r="MZ34" i="5"/>
  <c r="NA34" i="5"/>
  <c r="NB34" i="5"/>
  <c r="NC34" i="5"/>
  <c r="ND34" i="5"/>
  <c r="NE34" i="5"/>
  <c r="NF34" i="5"/>
  <c r="NG34" i="5"/>
  <c r="NH34" i="5"/>
  <c r="NI34" i="5"/>
  <c r="NJ34" i="5"/>
  <c r="NK34" i="5"/>
  <c r="NL34" i="5"/>
  <c r="NM34" i="5"/>
  <c r="NN34" i="5"/>
  <c r="NO34" i="5"/>
  <c r="NP34" i="5"/>
  <c r="NQ34" i="5"/>
  <c r="NR34" i="5"/>
  <c r="NS34" i="5"/>
  <c r="NT34" i="5"/>
  <c r="NU34" i="5"/>
  <c r="NV34" i="5"/>
  <c r="NW34" i="5"/>
  <c r="NX34" i="5"/>
  <c r="NY34" i="5"/>
  <c r="NZ34" i="5"/>
  <c r="OA34" i="5"/>
  <c r="OB34" i="5"/>
  <c r="OC34" i="5"/>
  <c r="OD34" i="5"/>
  <c r="OE34" i="5"/>
  <c r="OF34" i="5"/>
  <c r="OG34" i="5"/>
  <c r="OH34" i="5"/>
  <c r="OI34" i="5"/>
  <c r="OJ34" i="5"/>
  <c r="OK34" i="5"/>
  <c r="OL34" i="5"/>
  <c r="OM34" i="5"/>
  <c r="ON34" i="5"/>
  <c r="OO34" i="5"/>
  <c r="OP34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PO34" i="5"/>
  <c r="PP34" i="5"/>
  <c r="PQ34" i="5"/>
  <c r="PR34" i="5"/>
  <c r="PS34" i="5"/>
  <c r="PT34" i="5"/>
  <c r="PU34" i="5"/>
  <c r="PV34" i="5"/>
  <c r="PW34" i="5"/>
  <c r="PX34" i="5"/>
  <c r="PY34" i="5"/>
  <c r="PZ34" i="5"/>
  <c r="QA34" i="5"/>
  <c r="QB34" i="5"/>
  <c r="QC34" i="5"/>
  <c r="QD34" i="5"/>
  <c r="QE34" i="5"/>
  <c r="QF34" i="5"/>
  <c r="QG34" i="5"/>
  <c r="QH34" i="5"/>
  <c r="QI34" i="5"/>
  <c r="QJ34" i="5"/>
  <c r="QK34" i="5"/>
  <c r="QL34" i="5"/>
  <c r="QM34" i="5"/>
  <c r="QN34" i="5"/>
  <c r="QO34" i="5"/>
  <c r="QP34" i="5"/>
  <c r="QQ34" i="5"/>
  <c r="QR34" i="5"/>
  <c r="QS34" i="5"/>
  <c r="QT34" i="5"/>
  <c r="QU34" i="5"/>
  <c r="QV34" i="5"/>
  <c r="QW34" i="5"/>
  <c r="QX34" i="5"/>
  <c r="QY34" i="5"/>
  <c r="QZ34" i="5"/>
  <c r="RA34" i="5"/>
  <c r="RB34" i="5"/>
  <c r="RC34" i="5"/>
  <c r="RD34" i="5"/>
  <c r="RE34" i="5"/>
  <c r="RF34" i="5"/>
  <c r="RG34" i="5"/>
  <c r="RH34" i="5"/>
  <c r="RI34" i="5"/>
  <c r="RJ34" i="5"/>
  <c r="RK34" i="5"/>
  <c r="RL34" i="5"/>
  <c r="RM34" i="5"/>
  <c r="RN34" i="5"/>
  <c r="RO34" i="5"/>
  <c r="RP34" i="5"/>
  <c r="RQ34" i="5"/>
  <c r="RR34" i="5"/>
  <c r="RS34" i="5"/>
  <c r="RT34" i="5"/>
  <c r="RU34" i="5"/>
  <c r="RV34" i="5"/>
  <c r="RW34" i="5"/>
  <c r="RX34" i="5"/>
  <c r="RY34" i="5"/>
  <c r="RZ34" i="5"/>
  <c r="SA34" i="5"/>
  <c r="SB34" i="5"/>
  <c r="SC34" i="5"/>
  <c r="SD34" i="5"/>
  <c r="SE34" i="5"/>
  <c r="SF34" i="5"/>
  <c r="SG34" i="5"/>
  <c r="SH34" i="5"/>
  <c r="SI34" i="5"/>
  <c r="SJ34" i="5"/>
  <c r="SK34" i="5"/>
  <c r="SL34" i="5"/>
  <c r="SM34" i="5"/>
  <c r="SN34" i="5"/>
  <c r="SO34" i="5"/>
  <c r="SP34" i="5"/>
  <c r="SQ34" i="5"/>
  <c r="SR34" i="5"/>
  <c r="SS34" i="5"/>
  <c r="ST34" i="5"/>
  <c r="SU34" i="5"/>
  <c r="SV34" i="5"/>
  <c r="SW34" i="5"/>
  <c r="SX34" i="5"/>
  <c r="SY34" i="5"/>
  <c r="SZ34" i="5"/>
  <c r="TA34" i="5"/>
  <c r="TB34" i="5"/>
  <c r="TC34" i="5"/>
  <c r="TD34" i="5"/>
  <c r="TE34" i="5"/>
  <c r="TF34" i="5"/>
  <c r="TG34" i="5"/>
  <c r="TH34" i="5"/>
  <c r="TI34" i="5"/>
  <c r="TJ34" i="5"/>
  <c r="TK34" i="5"/>
  <c r="TL34" i="5"/>
  <c r="TM34" i="5"/>
  <c r="TN34" i="5"/>
  <c r="TO34" i="5"/>
  <c r="TP34" i="5"/>
  <c r="TQ34" i="5"/>
  <c r="TR34" i="5"/>
  <c r="TS34" i="5"/>
  <c r="TT34" i="5"/>
  <c r="TU34" i="5"/>
  <c r="TV34" i="5"/>
  <c r="TW34" i="5"/>
  <c r="TX34" i="5"/>
  <c r="TY34" i="5"/>
  <c r="TZ34" i="5"/>
  <c r="UA34" i="5"/>
  <c r="UB34" i="5"/>
  <c r="UC34" i="5"/>
  <c r="UD34" i="5"/>
  <c r="UE34" i="5"/>
  <c r="UF34" i="5"/>
  <c r="UG34" i="5"/>
  <c r="UH34" i="5"/>
  <c r="UI34" i="5"/>
  <c r="UJ34" i="5"/>
  <c r="UK34" i="5"/>
  <c r="UL34" i="5"/>
  <c r="UM34" i="5"/>
  <c r="UN34" i="5"/>
  <c r="UO34" i="5"/>
  <c r="UP34" i="5"/>
  <c r="UQ34" i="5"/>
  <c r="UR34" i="5"/>
  <c r="US34" i="5"/>
  <c r="UT34" i="5"/>
  <c r="UU34" i="5"/>
  <c r="UV34" i="5"/>
  <c r="UW34" i="5"/>
  <c r="UX34" i="5"/>
  <c r="UY34" i="5"/>
  <c r="UZ34" i="5"/>
  <c r="VA34" i="5"/>
  <c r="VB34" i="5"/>
  <c r="VC34" i="5"/>
  <c r="VD34" i="5"/>
  <c r="VE34" i="5"/>
  <c r="VF34" i="5"/>
  <c r="VG34" i="5"/>
  <c r="VH34" i="5"/>
  <c r="VI34" i="5"/>
  <c r="VJ34" i="5"/>
  <c r="VK34" i="5"/>
  <c r="VL34" i="5"/>
  <c r="VM34" i="5"/>
  <c r="VN34" i="5"/>
  <c r="VO34" i="5"/>
  <c r="VP34" i="5"/>
  <c r="VQ34" i="5"/>
  <c r="VR34" i="5"/>
  <c r="VS34" i="5"/>
  <c r="VT34" i="5"/>
  <c r="VU34" i="5"/>
  <c r="VV34" i="5"/>
  <c r="VW34" i="5"/>
  <c r="VX34" i="5"/>
  <c r="VY34" i="5"/>
  <c r="VZ34" i="5"/>
  <c r="WA34" i="5"/>
  <c r="WB34" i="5"/>
  <c r="WC34" i="5"/>
  <c r="WD34" i="5"/>
  <c r="WE34" i="5"/>
  <c r="WF34" i="5"/>
  <c r="WG34" i="5"/>
  <c r="WH34" i="5"/>
  <c r="WI34" i="5"/>
  <c r="WJ34" i="5"/>
  <c r="WK34" i="5"/>
  <c r="WL34" i="5"/>
  <c r="WM34" i="5"/>
  <c r="WN34" i="5"/>
  <c r="WO34" i="5"/>
  <c r="WP34" i="5"/>
  <c r="WQ34" i="5"/>
  <c r="WR34" i="5"/>
  <c r="WS34" i="5"/>
  <c r="WT34" i="5"/>
  <c r="WU34" i="5"/>
  <c r="WV34" i="5"/>
  <c r="WW34" i="5"/>
  <c r="WX34" i="5"/>
  <c r="WY34" i="5"/>
  <c r="WZ34" i="5"/>
  <c r="XA34" i="5"/>
  <c r="XB34" i="5"/>
  <c r="XC34" i="5"/>
  <c r="XD34" i="5"/>
  <c r="XE34" i="5"/>
  <c r="XF34" i="5"/>
  <c r="XG34" i="5"/>
  <c r="XH34" i="5"/>
  <c r="XI34" i="5"/>
  <c r="XJ34" i="5"/>
  <c r="XK34" i="5"/>
  <c r="XL34" i="5"/>
  <c r="XM34" i="5"/>
  <c r="XN34" i="5"/>
  <c r="XO34" i="5"/>
  <c r="XP34" i="5"/>
  <c r="XQ34" i="5"/>
  <c r="XR34" i="5"/>
  <c r="XS34" i="5"/>
  <c r="XT34" i="5"/>
  <c r="XU34" i="5"/>
  <c r="XV34" i="5"/>
  <c r="XW34" i="5"/>
  <c r="XX34" i="5"/>
  <c r="XY34" i="5"/>
  <c r="XZ34" i="5"/>
  <c r="YA34" i="5"/>
  <c r="YB34" i="5"/>
  <c r="YC34" i="5"/>
  <c r="YD34" i="5"/>
  <c r="YE34" i="5"/>
  <c r="YF34" i="5"/>
  <c r="YG34" i="5"/>
  <c r="YH34" i="5"/>
  <c r="YI34" i="5"/>
  <c r="YJ34" i="5"/>
  <c r="YK34" i="5"/>
  <c r="YL34" i="5"/>
  <c r="YM34" i="5"/>
  <c r="YN34" i="5"/>
  <c r="YO34" i="5"/>
  <c r="YP34" i="5"/>
  <c r="YQ34" i="5"/>
  <c r="YR34" i="5"/>
  <c r="YS34" i="5"/>
  <c r="YT34" i="5"/>
  <c r="YU34" i="5"/>
  <c r="YV34" i="5"/>
  <c r="YW34" i="5"/>
  <c r="YX34" i="5"/>
  <c r="YY34" i="5"/>
  <c r="YZ34" i="5"/>
  <c r="ZA34" i="5"/>
  <c r="ZB34" i="5"/>
  <c r="ZC34" i="5"/>
  <c r="ZD34" i="5"/>
  <c r="ZE34" i="5"/>
  <c r="ZF34" i="5"/>
  <c r="ZG34" i="5"/>
  <c r="ZH34" i="5"/>
  <c r="ZI34" i="5"/>
  <c r="ZJ34" i="5"/>
  <c r="ZK34" i="5"/>
  <c r="ZL34" i="5"/>
  <c r="ZM34" i="5"/>
  <c r="ZN34" i="5"/>
  <c r="ZO34" i="5"/>
  <c r="ZP34" i="5"/>
  <c r="ZQ34" i="5"/>
  <c r="ZR34" i="5"/>
  <c r="ZS34" i="5"/>
  <c r="ZT34" i="5"/>
  <c r="ZU34" i="5"/>
  <c r="ZV34" i="5"/>
  <c r="ZW34" i="5"/>
  <c r="ZX34" i="5"/>
  <c r="ZY34" i="5"/>
  <c r="ZZ34" i="5"/>
  <c r="AAA34" i="5"/>
  <c r="AAB34" i="5"/>
  <c r="AAC34" i="5"/>
  <c r="AAD34" i="5"/>
  <c r="AAE34" i="5"/>
  <c r="AAF34" i="5"/>
  <c r="AAG34" i="5"/>
  <c r="AAH34" i="5"/>
  <c r="AAI34" i="5"/>
  <c r="AAJ34" i="5"/>
  <c r="AAK34" i="5"/>
  <c r="AAL34" i="5"/>
  <c r="AAM34" i="5"/>
  <c r="AAN34" i="5"/>
  <c r="AAO34" i="5"/>
  <c r="AAP34" i="5"/>
  <c r="AAQ34" i="5"/>
  <c r="AAR34" i="5"/>
  <c r="AAS34" i="5"/>
  <c r="AAT34" i="5"/>
  <c r="AAU34" i="5"/>
  <c r="AAV34" i="5"/>
  <c r="AAW34" i="5"/>
  <c r="AAX34" i="5"/>
  <c r="AAY34" i="5"/>
  <c r="AAZ34" i="5"/>
  <c r="ABA34" i="5"/>
  <c r="ABB34" i="5"/>
  <c r="ABC34" i="5"/>
  <c r="ABD34" i="5"/>
  <c r="ABE34" i="5"/>
  <c r="ABF34" i="5"/>
  <c r="ABG34" i="5"/>
  <c r="ABH34" i="5"/>
  <c r="ABI34" i="5"/>
  <c r="ABJ34" i="5"/>
  <c r="ABK34" i="5"/>
  <c r="ABL34" i="5"/>
  <c r="ABM34" i="5"/>
  <c r="ABN34" i="5"/>
  <c r="ABO34" i="5"/>
  <c r="ABP34" i="5"/>
  <c r="ABQ34" i="5"/>
  <c r="ABR34" i="5"/>
  <c r="ABS34" i="5"/>
  <c r="ABT34" i="5"/>
  <c r="ABU34" i="5"/>
  <c r="ABV34" i="5"/>
  <c r="ABW34" i="5"/>
  <c r="ABX34" i="5"/>
  <c r="ABY34" i="5"/>
  <c r="ABZ34" i="5"/>
  <c r="ACA34" i="5"/>
  <c r="ACB34" i="5"/>
  <c r="ACC34" i="5"/>
  <c r="ACD34" i="5"/>
  <c r="ACE34" i="5"/>
  <c r="ACF34" i="5"/>
  <c r="ACG34" i="5"/>
  <c r="ACH34" i="5"/>
  <c r="ACI34" i="5"/>
  <c r="ACJ34" i="5"/>
  <c r="ACK34" i="5"/>
  <c r="ACL34" i="5"/>
  <c r="ACM34" i="5"/>
  <c r="ACN34" i="5"/>
  <c r="ACO34" i="5"/>
  <c r="ACP34" i="5"/>
  <c r="ACQ34" i="5"/>
  <c r="ACR34" i="5"/>
  <c r="ACS34" i="5"/>
  <c r="ACT34" i="5"/>
  <c r="ACU34" i="5"/>
  <c r="ACV34" i="5"/>
  <c r="ACW34" i="5"/>
  <c r="ACX34" i="5"/>
  <c r="ACY34" i="5"/>
  <c r="ACZ34" i="5"/>
  <c r="ADA34" i="5"/>
  <c r="ADB34" i="5"/>
  <c r="ADC34" i="5"/>
  <c r="ADD34" i="5"/>
  <c r="ADE34" i="5"/>
  <c r="ADF34" i="5"/>
  <c r="ADG34" i="5"/>
  <c r="ADH34" i="5"/>
  <c r="ADI34" i="5"/>
  <c r="ADJ34" i="5"/>
  <c r="ADK34" i="5"/>
  <c r="ADL34" i="5"/>
  <c r="ADM34" i="5"/>
  <c r="ADN34" i="5"/>
  <c r="ADO34" i="5"/>
  <c r="ADP34" i="5"/>
  <c r="ADQ34" i="5"/>
  <c r="ADR34" i="5"/>
  <c r="ADS34" i="5"/>
  <c r="ADT34" i="5"/>
  <c r="ADU34" i="5"/>
  <c r="ADV34" i="5"/>
  <c r="ADW34" i="5"/>
  <c r="ADX34" i="5"/>
  <c r="ADY34" i="5"/>
  <c r="ADZ34" i="5"/>
  <c r="AEA34" i="5"/>
  <c r="AEB34" i="5"/>
  <c r="AEC34" i="5"/>
  <c r="AED34" i="5"/>
  <c r="AEE34" i="5"/>
  <c r="AEF34" i="5"/>
  <c r="AEG34" i="5"/>
  <c r="AEH34" i="5"/>
  <c r="AEI34" i="5"/>
  <c r="AEJ34" i="5"/>
  <c r="AEK34" i="5"/>
  <c r="AEL34" i="5"/>
  <c r="AEM34" i="5"/>
  <c r="AEN34" i="5"/>
  <c r="AEO34" i="5"/>
  <c r="AEP34" i="5"/>
  <c r="AEQ34" i="5"/>
  <c r="AER34" i="5"/>
  <c r="AES34" i="5"/>
  <c r="AET34" i="5"/>
  <c r="AEU34" i="5"/>
  <c r="AEV34" i="5"/>
  <c r="AEW34" i="5"/>
  <c r="AEX34" i="5"/>
  <c r="AEY34" i="5"/>
  <c r="AEZ34" i="5"/>
  <c r="AFA34" i="5"/>
  <c r="AFB34" i="5"/>
  <c r="AFC34" i="5"/>
  <c r="AFD34" i="5"/>
  <c r="AFE34" i="5"/>
  <c r="AFF34" i="5"/>
  <c r="AFG34" i="5"/>
  <c r="AFH34" i="5"/>
  <c r="AFI34" i="5"/>
  <c r="AFJ34" i="5"/>
  <c r="AFK34" i="5"/>
  <c r="AFL34" i="5"/>
  <c r="AFM34" i="5"/>
  <c r="AFN34" i="5"/>
  <c r="AFO34" i="5"/>
  <c r="AFP34" i="5"/>
  <c r="AFQ34" i="5"/>
  <c r="AFR34" i="5"/>
  <c r="AFS34" i="5"/>
  <c r="AFT34" i="5"/>
  <c r="AFU34" i="5"/>
  <c r="AFV34" i="5"/>
  <c r="AFW34" i="5"/>
  <c r="AFX34" i="5"/>
  <c r="AFY34" i="5"/>
  <c r="AFZ34" i="5"/>
  <c r="AGA34" i="5"/>
  <c r="AGB34" i="5"/>
  <c r="AGC34" i="5"/>
  <c r="AGD34" i="5"/>
  <c r="AGE34" i="5"/>
  <c r="AGF34" i="5"/>
  <c r="AGG34" i="5"/>
  <c r="AGH34" i="5"/>
  <c r="AGI34" i="5"/>
  <c r="AGJ34" i="5"/>
  <c r="AGK34" i="5"/>
  <c r="AGL34" i="5"/>
  <c r="AGM34" i="5"/>
  <c r="AGN34" i="5"/>
  <c r="AGO34" i="5"/>
  <c r="AGP34" i="5"/>
  <c r="AGQ34" i="5"/>
  <c r="AGR34" i="5"/>
  <c r="AGS34" i="5"/>
  <c r="AGT34" i="5"/>
  <c r="AGU34" i="5"/>
  <c r="AGV34" i="5"/>
  <c r="AGW34" i="5"/>
  <c r="AGX34" i="5"/>
  <c r="AGY34" i="5"/>
  <c r="AGZ34" i="5"/>
  <c r="AHA34" i="5"/>
  <c r="AHB34" i="5"/>
  <c r="AHC34" i="5"/>
  <c r="AHD34" i="5"/>
  <c r="AHE34" i="5"/>
  <c r="AHF34" i="5"/>
  <c r="AHG34" i="5"/>
  <c r="AHH34" i="5"/>
  <c r="AHI34" i="5"/>
  <c r="AHJ34" i="5"/>
  <c r="AHK34" i="5"/>
  <c r="AHL34" i="5"/>
  <c r="AHM34" i="5"/>
  <c r="AHN34" i="5"/>
  <c r="AHO34" i="5"/>
  <c r="AHP34" i="5"/>
  <c r="AHQ34" i="5"/>
  <c r="AHR34" i="5"/>
  <c r="AHS34" i="5"/>
  <c r="AHT34" i="5"/>
  <c r="AHU34" i="5"/>
  <c r="AHV34" i="5"/>
  <c r="AHW34" i="5"/>
  <c r="AHX34" i="5"/>
  <c r="AHY34" i="5"/>
  <c r="AHZ34" i="5"/>
  <c r="AIA34" i="5"/>
  <c r="AIB34" i="5"/>
  <c r="AIC34" i="5"/>
  <c r="AID34" i="5"/>
  <c r="AIE34" i="5"/>
  <c r="AIF34" i="5"/>
  <c r="AIG34" i="5"/>
  <c r="AIH34" i="5"/>
  <c r="AII34" i="5"/>
  <c r="AIJ34" i="5"/>
  <c r="AIK34" i="5"/>
  <c r="AIL34" i="5"/>
  <c r="AIM34" i="5"/>
  <c r="AIN34" i="5"/>
  <c r="AIO34" i="5"/>
  <c r="AIP34" i="5"/>
  <c r="AIQ34" i="5"/>
  <c r="AIR34" i="5"/>
  <c r="AIS34" i="5"/>
  <c r="AIT34" i="5"/>
  <c r="AIU34" i="5"/>
  <c r="AIV34" i="5"/>
  <c r="AIW34" i="5"/>
  <c r="AIX34" i="5"/>
  <c r="AIY34" i="5"/>
  <c r="AIZ34" i="5"/>
  <c r="AJA34" i="5"/>
  <c r="AJB34" i="5"/>
  <c r="AJC34" i="5"/>
  <c r="AJD34" i="5"/>
  <c r="AJE34" i="5"/>
  <c r="AJF34" i="5"/>
  <c r="AJG34" i="5"/>
  <c r="AJH34" i="5"/>
  <c r="AJI34" i="5"/>
  <c r="AJJ34" i="5"/>
  <c r="AJK34" i="5"/>
  <c r="AJL34" i="5"/>
  <c r="AJM34" i="5"/>
  <c r="AJN34" i="5"/>
  <c r="AJO34" i="5"/>
  <c r="AJP34" i="5"/>
  <c r="AJQ34" i="5"/>
  <c r="AJR34" i="5"/>
  <c r="AJS34" i="5"/>
  <c r="AJT34" i="5"/>
  <c r="AJU34" i="5"/>
  <c r="AJV34" i="5"/>
  <c r="AJW34" i="5"/>
  <c r="AJX34" i="5"/>
  <c r="AJY34" i="5"/>
  <c r="AJZ34" i="5"/>
  <c r="AKA34" i="5"/>
  <c r="AKB34" i="5"/>
  <c r="AKC34" i="5"/>
  <c r="AKD34" i="5"/>
  <c r="AKE34" i="5"/>
  <c r="AKF34" i="5"/>
  <c r="AKG34" i="5"/>
  <c r="AKH34" i="5"/>
  <c r="AKI34" i="5"/>
  <c r="AKJ34" i="5"/>
  <c r="AKK34" i="5"/>
  <c r="AKL34" i="5"/>
  <c r="AKM34" i="5"/>
  <c r="AKN34" i="5"/>
  <c r="AKO34" i="5"/>
  <c r="AKP34" i="5"/>
  <c r="AKQ34" i="5"/>
  <c r="AKR34" i="5"/>
  <c r="AKS34" i="5"/>
  <c r="AKT34" i="5"/>
  <c r="AKU34" i="5"/>
  <c r="AKV34" i="5"/>
  <c r="AKW34" i="5"/>
  <c r="AKX34" i="5"/>
  <c r="AKY34" i="5"/>
  <c r="AKZ34" i="5"/>
  <c r="ALA34" i="5"/>
  <c r="ALB34" i="5"/>
  <c r="ALC34" i="5"/>
  <c r="ALD34" i="5"/>
  <c r="ALE34" i="5"/>
  <c r="ALF34" i="5"/>
  <c r="ALG34" i="5"/>
  <c r="ALH34" i="5"/>
  <c r="ALI34" i="5"/>
  <c r="ALJ34" i="5"/>
  <c r="ALK34" i="5"/>
  <c r="ALL34" i="5"/>
  <c r="ALM34" i="5"/>
  <c r="ALN34" i="5"/>
  <c r="ALO34" i="5"/>
  <c r="ALP34" i="5"/>
  <c r="ALQ34" i="5"/>
  <c r="ALR34" i="5"/>
  <c r="ALS34" i="5"/>
  <c r="ALT34" i="5"/>
  <c r="ALU34" i="5"/>
  <c r="ALV34" i="5"/>
  <c r="ALW34" i="5"/>
  <c r="ALX34" i="5"/>
  <c r="ALY34" i="5"/>
  <c r="ALZ34" i="5"/>
  <c r="AMA34" i="5"/>
  <c r="AMB34" i="5"/>
  <c r="AMC34" i="5"/>
  <c r="AMD34" i="5"/>
  <c r="AME34" i="5"/>
  <c r="AMF34" i="5"/>
  <c r="AMG34" i="5"/>
  <c r="AMH34" i="5"/>
  <c r="AMI34" i="5"/>
  <c r="AMJ34" i="5"/>
  <c r="AMK34" i="5"/>
  <c r="AML34" i="5"/>
  <c r="AMM34" i="5"/>
  <c r="AMN34" i="5"/>
  <c r="AMO34" i="5"/>
  <c r="AMP34" i="5"/>
  <c r="AMQ34" i="5"/>
  <c r="AMR34" i="5"/>
  <c r="AMS34" i="5"/>
  <c r="AMT34" i="5"/>
  <c r="AMU34" i="5"/>
  <c r="AMV34" i="5"/>
  <c r="AMW34" i="5"/>
  <c r="AMX34" i="5"/>
  <c r="AMY34" i="5"/>
  <c r="AMZ34" i="5"/>
  <c r="ANA34" i="5"/>
  <c r="ANB34" i="5"/>
  <c r="ANC34" i="5"/>
  <c r="AND34" i="5"/>
  <c r="ANE34" i="5"/>
  <c r="ANF34" i="5"/>
  <c r="ANG34" i="5"/>
  <c r="ANH34" i="5"/>
  <c r="ANI34" i="5"/>
  <c r="ANJ34" i="5"/>
  <c r="ANK34" i="5"/>
  <c r="ANL34" i="5"/>
  <c r="ANM34" i="5"/>
  <c r="ANN34" i="5"/>
  <c r="ANO34" i="5"/>
  <c r="ANP34" i="5"/>
  <c r="ANQ34" i="5"/>
  <c r="ANR34" i="5"/>
  <c r="ANS34" i="5"/>
  <c r="ANT34" i="5"/>
  <c r="ANU34" i="5"/>
  <c r="ANV34" i="5"/>
  <c r="ANW34" i="5"/>
  <c r="ANX34" i="5"/>
  <c r="ANY34" i="5"/>
  <c r="ANZ34" i="5"/>
  <c r="AOA34" i="5"/>
  <c r="AOB34" i="5"/>
  <c r="AOC34" i="5"/>
  <c r="AOD34" i="5"/>
  <c r="AOE34" i="5"/>
  <c r="AOF34" i="5"/>
  <c r="AOG34" i="5"/>
  <c r="AOH34" i="5"/>
  <c r="AOI34" i="5"/>
  <c r="AOJ34" i="5"/>
  <c r="AOK34" i="5"/>
  <c r="AOL34" i="5"/>
  <c r="AOM34" i="5"/>
  <c r="AON34" i="5"/>
  <c r="AOO34" i="5"/>
  <c r="AOP34" i="5"/>
  <c r="AOQ34" i="5"/>
  <c r="AOR34" i="5"/>
  <c r="AOS34" i="5"/>
  <c r="AOT34" i="5"/>
  <c r="AOU34" i="5"/>
  <c r="AOV34" i="5"/>
  <c r="AOW34" i="5"/>
  <c r="AOX34" i="5"/>
  <c r="AOY34" i="5"/>
  <c r="AOZ34" i="5"/>
  <c r="APA34" i="5"/>
  <c r="APB34" i="5"/>
  <c r="APC34" i="5"/>
  <c r="APD34" i="5"/>
  <c r="APE34" i="5"/>
  <c r="APF34" i="5"/>
  <c r="APG34" i="5"/>
  <c r="APH34" i="5"/>
  <c r="API34" i="5"/>
  <c r="APJ34" i="5"/>
  <c r="APK34" i="5"/>
  <c r="APL34" i="5"/>
  <c r="APM34" i="5"/>
  <c r="APN34" i="5"/>
  <c r="APO34" i="5"/>
  <c r="APP34" i="5"/>
  <c r="APQ34" i="5"/>
  <c r="APR34" i="5"/>
  <c r="APS34" i="5"/>
  <c r="APT34" i="5"/>
  <c r="APU34" i="5"/>
  <c r="APV34" i="5"/>
  <c r="APW34" i="5"/>
  <c r="APX34" i="5"/>
  <c r="APY34" i="5"/>
  <c r="APZ34" i="5"/>
  <c r="AQA34" i="5"/>
  <c r="AQB34" i="5"/>
  <c r="AQC34" i="5"/>
  <c r="AQD34" i="5"/>
  <c r="AQE34" i="5"/>
  <c r="AQF34" i="5"/>
  <c r="AQG34" i="5"/>
  <c r="AQH34" i="5"/>
  <c r="AQI34" i="5"/>
  <c r="AQJ34" i="5"/>
  <c r="AQK34" i="5"/>
  <c r="AQL34" i="5"/>
  <c r="AQM34" i="5"/>
  <c r="AQN34" i="5"/>
  <c r="AQO34" i="5"/>
  <c r="AQP34" i="5"/>
  <c r="AQQ34" i="5"/>
  <c r="AQR34" i="5"/>
  <c r="AQS34" i="5"/>
  <c r="AQT34" i="5"/>
  <c r="AQU34" i="5"/>
  <c r="AQV34" i="5"/>
  <c r="AQW34" i="5"/>
  <c r="AQX34" i="5"/>
  <c r="AQY34" i="5"/>
  <c r="AQZ34" i="5"/>
  <c r="ARA34" i="5"/>
  <c r="ARB34" i="5"/>
  <c r="ARC34" i="5"/>
  <c r="ARD34" i="5"/>
  <c r="ARE34" i="5"/>
  <c r="ARF34" i="5"/>
  <c r="ARG34" i="5"/>
  <c r="ARH34" i="5"/>
  <c r="ARI34" i="5"/>
  <c r="ARJ34" i="5"/>
  <c r="ARK34" i="5"/>
  <c r="ARL34" i="5"/>
  <c r="ARM34" i="5"/>
  <c r="ARN34" i="5"/>
  <c r="ARO34" i="5"/>
  <c r="ARP34" i="5"/>
  <c r="ARQ34" i="5"/>
  <c r="ARR34" i="5"/>
  <c r="ARS34" i="5"/>
  <c r="ART34" i="5"/>
  <c r="ARU34" i="5"/>
  <c r="ARV34" i="5"/>
  <c r="ARW34" i="5"/>
  <c r="ARX34" i="5"/>
  <c r="ARY34" i="5"/>
  <c r="ARZ34" i="5"/>
  <c r="ASA34" i="5"/>
  <c r="ASB34" i="5"/>
  <c r="ASC34" i="5"/>
  <c r="ASD34" i="5"/>
  <c r="ASE34" i="5"/>
  <c r="ASF34" i="5"/>
  <c r="ASG34" i="5"/>
  <c r="ASH34" i="5"/>
  <c r="ASI34" i="5"/>
  <c r="ASJ34" i="5"/>
  <c r="ASK34" i="5"/>
  <c r="ASL34" i="5"/>
  <c r="ASM34" i="5"/>
  <c r="ASN34" i="5"/>
  <c r="ASO34" i="5"/>
  <c r="ASP34" i="5"/>
  <c r="ASQ34" i="5"/>
  <c r="ASR34" i="5"/>
  <c r="ASS34" i="5"/>
  <c r="AST34" i="5"/>
  <c r="ASU34" i="5"/>
  <c r="ASV34" i="5"/>
  <c r="ASW34" i="5"/>
  <c r="ASX34" i="5"/>
  <c r="ASY34" i="5"/>
  <c r="ASZ34" i="5"/>
  <c r="ATA34" i="5"/>
  <c r="ATB34" i="5"/>
  <c r="ATC34" i="5"/>
  <c r="ATD34" i="5"/>
  <c r="ATE34" i="5"/>
  <c r="ATF34" i="5"/>
  <c r="ATG34" i="5"/>
  <c r="ATH34" i="5"/>
  <c r="ATI34" i="5"/>
  <c r="ATJ34" i="5"/>
  <c r="ATK34" i="5"/>
  <c r="ATL34" i="5"/>
  <c r="ATM34" i="5"/>
  <c r="ATN34" i="5"/>
  <c r="ATO34" i="5"/>
  <c r="ATP34" i="5"/>
  <c r="ATQ34" i="5"/>
  <c r="ATR34" i="5"/>
  <c r="ATS34" i="5"/>
  <c r="ATT34" i="5"/>
  <c r="ATU34" i="5"/>
  <c r="ATV34" i="5"/>
  <c r="ATW34" i="5"/>
  <c r="ATX34" i="5"/>
  <c r="ATY34" i="5"/>
  <c r="ATZ34" i="5"/>
  <c r="AUA34" i="5"/>
  <c r="AUB34" i="5"/>
  <c r="AUC34" i="5"/>
  <c r="AUD34" i="5"/>
  <c r="AUE34" i="5"/>
  <c r="AUF34" i="5"/>
  <c r="AUG34" i="5"/>
  <c r="AUH34" i="5"/>
  <c r="AUI34" i="5"/>
  <c r="AUJ34" i="5"/>
  <c r="AUK34" i="5"/>
  <c r="AUL34" i="5"/>
  <c r="AUM34" i="5"/>
  <c r="AUN34" i="5"/>
  <c r="AUO34" i="5"/>
  <c r="AUP34" i="5"/>
  <c r="AUQ34" i="5"/>
  <c r="AUR34" i="5"/>
  <c r="AUS34" i="5"/>
  <c r="AUT34" i="5"/>
  <c r="AUU34" i="5"/>
  <c r="AUV34" i="5"/>
  <c r="AUW34" i="5"/>
  <c r="AUX34" i="5"/>
  <c r="AUY34" i="5"/>
  <c r="AUZ34" i="5"/>
  <c r="AVA34" i="5"/>
  <c r="AVB34" i="5"/>
  <c r="AVC34" i="5"/>
  <c r="AVD34" i="5"/>
  <c r="AVE34" i="5"/>
  <c r="AVF34" i="5"/>
  <c r="AVG34" i="5"/>
  <c r="AVH34" i="5"/>
  <c r="AVI34" i="5"/>
  <c r="AVJ34" i="5"/>
  <c r="AVK34" i="5"/>
  <c r="AVL34" i="5"/>
  <c r="AVM34" i="5"/>
  <c r="AVN34" i="5"/>
  <c r="AVO34" i="5"/>
  <c r="AVP34" i="5"/>
  <c r="AVQ34" i="5"/>
  <c r="AVR34" i="5"/>
  <c r="AVS34" i="5"/>
  <c r="AVT34" i="5"/>
  <c r="AVU34" i="5"/>
  <c r="AVV34" i="5"/>
  <c r="AVW34" i="5"/>
  <c r="AVX34" i="5"/>
  <c r="AVY34" i="5"/>
  <c r="AVZ34" i="5"/>
  <c r="AWA34" i="5"/>
  <c r="AWB34" i="5"/>
  <c r="AWC34" i="5"/>
  <c r="AWD34" i="5"/>
  <c r="AWE34" i="5"/>
  <c r="AWF34" i="5"/>
  <c r="AWG34" i="5"/>
  <c r="AWH34" i="5"/>
  <c r="AWI34" i="5"/>
  <c r="AWJ34" i="5"/>
  <c r="AWK34" i="5"/>
  <c r="AWL34" i="5"/>
  <c r="AWM34" i="5"/>
  <c r="AWN34" i="5"/>
  <c r="AWO34" i="5"/>
  <c r="AWP34" i="5"/>
  <c r="AWQ34" i="5"/>
  <c r="AWR34" i="5"/>
  <c r="AWS34" i="5"/>
  <c r="AWT34" i="5"/>
  <c r="AWU34" i="5"/>
  <c r="AWV34" i="5"/>
  <c r="AWW34" i="5"/>
  <c r="AWX34" i="5"/>
  <c r="AWY34" i="5"/>
  <c r="AWZ34" i="5"/>
  <c r="AXA34" i="5"/>
  <c r="AXB34" i="5"/>
  <c r="AXC34" i="5"/>
  <c r="AXD34" i="5"/>
  <c r="AXE34" i="5"/>
  <c r="AXF34" i="5"/>
  <c r="AXG34" i="5"/>
  <c r="AXH34" i="5"/>
  <c r="AXI34" i="5"/>
  <c r="AXJ34" i="5"/>
  <c r="AXK34" i="5"/>
  <c r="AXL34" i="5"/>
  <c r="AXM34" i="5"/>
  <c r="AXN34" i="5"/>
  <c r="AXO34" i="5"/>
  <c r="AXP34" i="5"/>
  <c r="AXQ34" i="5"/>
  <c r="AXR34" i="5"/>
  <c r="AXS34" i="5"/>
  <c r="AXT34" i="5"/>
  <c r="AXU34" i="5"/>
  <c r="AXV34" i="5"/>
  <c r="AXW34" i="5"/>
  <c r="AXX34" i="5"/>
  <c r="AXY34" i="5"/>
  <c r="AXZ34" i="5"/>
  <c r="AYA34" i="5"/>
  <c r="AYB34" i="5"/>
  <c r="AYC34" i="5"/>
  <c r="AYD34" i="5"/>
  <c r="AYE34" i="5"/>
  <c r="AYF34" i="5"/>
  <c r="AYG34" i="5"/>
  <c r="AYH34" i="5"/>
  <c r="AYI34" i="5"/>
  <c r="AYJ34" i="5"/>
  <c r="AYK34" i="5"/>
  <c r="AYL34" i="5"/>
  <c r="AYM34" i="5"/>
  <c r="AYN34" i="5"/>
  <c r="AYO34" i="5"/>
  <c r="AYP34" i="5"/>
  <c r="AYQ34" i="5"/>
  <c r="AYR34" i="5"/>
  <c r="AYS34" i="5"/>
  <c r="AYT34" i="5"/>
  <c r="AYU34" i="5"/>
  <c r="AYV34" i="5"/>
  <c r="AYW34" i="5"/>
  <c r="AYX34" i="5"/>
  <c r="AYY34" i="5"/>
  <c r="AYZ34" i="5"/>
  <c r="AZA34" i="5"/>
  <c r="AZB34" i="5"/>
  <c r="AZC34" i="5"/>
  <c r="AZD34" i="5"/>
  <c r="AZE34" i="5"/>
  <c r="AZF34" i="5"/>
  <c r="AZG34" i="5"/>
  <c r="AZH34" i="5"/>
  <c r="AZI34" i="5"/>
  <c r="AZJ34" i="5"/>
  <c r="AZK34" i="5"/>
  <c r="AZL34" i="5"/>
  <c r="AZM34" i="5"/>
  <c r="AZN34" i="5"/>
  <c r="AZO34" i="5"/>
  <c r="AZP34" i="5"/>
  <c r="AZQ34" i="5"/>
  <c r="AZR34" i="5"/>
  <c r="AZS34" i="5"/>
  <c r="AZT34" i="5"/>
  <c r="AZU34" i="5"/>
  <c r="AZV34" i="5"/>
  <c r="AZW34" i="5"/>
  <c r="AZX34" i="5"/>
  <c r="AZY34" i="5"/>
  <c r="AZZ34" i="5"/>
  <c r="BAA34" i="5"/>
  <c r="BAB34" i="5"/>
  <c r="BAC34" i="5"/>
  <c r="BAD34" i="5"/>
  <c r="BAE34" i="5"/>
  <c r="BAF34" i="5"/>
  <c r="BAG34" i="5"/>
  <c r="BAH34" i="5"/>
  <c r="BAI34" i="5"/>
  <c r="BAJ34" i="5"/>
  <c r="BAK34" i="5"/>
  <c r="BAL34" i="5"/>
  <c r="BAM34" i="5"/>
  <c r="BAN34" i="5"/>
  <c r="BAO34" i="5"/>
  <c r="BAP34" i="5"/>
  <c r="BAQ34" i="5"/>
  <c r="BAR34" i="5"/>
  <c r="BAS34" i="5"/>
  <c r="BAT34" i="5"/>
  <c r="BAU34" i="5"/>
  <c r="BAV34" i="5"/>
  <c r="BAW34" i="5"/>
  <c r="BAX34" i="5"/>
  <c r="BAY34" i="5"/>
  <c r="BAZ34" i="5"/>
  <c r="BBA34" i="5"/>
  <c r="BBB34" i="5"/>
  <c r="BBC34" i="5"/>
  <c r="BBD34" i="5"/>
  <c r="BBE34" i="5"/>
  <c r="BBF34" i="5"/>
  <c r="BBG34" i="5"/>
  <c r="BBH34" i="5"/>
  <c r="BBI34" i="5"/>
  <c r="BBJ34" i="5"/>
  <c r="BBK34" i="5"/>
  <c r="BBL34" i="5"/>
  <c r="BBM34" i="5"/>
  <c r="BBN34" i="5"/>
  <c r="BBO34" i="5"/>
  <c r="BBP34" i="5"/>
  <c r="BBQ34" i="5"/>
  <c r="BBR34" i="5"/>
  <c r="BBS34" i="5"/>
  <c r="BBT34" i="5"/>
  <c r="BBU34" i="5"/>
  <c r="BBV34" i="5"/>
  <c r="BBW34" i="5"/>
  <c r="BBX34" i="5"/>
  <c r="BBY34" i="5"/>
  <c r="BBZ34" i="5"/>
  <c r="BCA34" i="5"/>
  <c r="BCB34" i="5"/>
  <c r="BCC34" i="5"/>
  <c r="BCD34" i="5"/>
  <c r="BCE34" i="5"/>
  <c r="BCF34" i="5"/>
  <c r="BCG34" i="5"/>
  <c r="BCH34" i="5"/>
  <c r="BCI34" i="5"/>
  <c r="BCJ34" i="5"/>
  <c r="BCK34" i="5"/>
  <c r="BCL34" i="5"/>
  <c r="BCM34" i="5"/>
  <c r="BCN34" i="5"/>
  <c r="BCO34" i="5"/>
  <c r="BCP34" i="5"/>
  <c r="BCQ34" i="5"/>
  <c r="BCR34" i="5"/>
  <c r="BCS34" i="5"/>
  <c r="BCT34" i="5"/>
  <c r="BCU34" i="5"/>
  <c r="BCV34" i="5"/>
  <c r="BCW34" i="5"/>
  <c r="BCX34" i="5"/>
  <c r="BCY34" i="5"/>
  <c r="BCZ34" i="5"/>
  <c r="BDA34" i="5"/>
  <c r="BDB34" i="5"/>
  <c r="BDC34" i="5"/>
  <c r="BDD34" i="5"/>
  <c r="BDE34" i="5"/>
  <c r="BDF34" i="5"/>
  <c r="BDG34" i="5"/>
  <c r="BDH34" i="5"/>
  <c r="BDI34" i="5"/>
  <c r="BDJ34" i="5"/>
  <c r="BDK34" i="5"/>
  <c r="BDL34" i="5"/>
  <c r="BDM34" i="5"/>
  <c r="BDN34" i="5"/>
  <c r="BDO34" i="5"/>
  <c r="BDP34" i="5"/>
  <c r="BDQ34" i="5"/>
  <c r="BDR34" i="5"/>
  <c r="BDS34" i="5"/>
  <c r="BDT34" i="5"/>
  <c r="BDU34" i="5"/>
  <c r="BDV34" i="5"/>
  <c r="BDW34" i="5"/>
  <c r="BDX34" i="5"/>
  <c r="BDY34" i="5"/>
  <c r="BDZ34" i="5"/>
  <c r="BEA34" i="5"/>
  <c r="BEB34" i="5"/>
  <c r="BEC34" i="5"/>
  <c r="BED34" i="5"/>
  <c r="BEE34" i="5"/>
  <c r="BEF34" i="5"/>
  <c r="BEG34" i="5"/>
  <c r="BEH34" i="5"/>
  <c r="BEI34" i="5"/>
  <c r="BEJ34" i="5"/>
  <c r="BEK34" i="5"/>
  <c r="BEL34" i="5"/>
  <c r="BEM34" i="5"/>
  <c r="BEN34" i="5"/>
  <c r="BEO34" i="5"/>
  <c r="BEP34" i="5"/>
  <c r="BEQ34" i="5"/>
  <c r="BER34" i="5"/>
  <c r="BES34" i="5"/>
  <c r="BET34" i="5"/>
  <c r="BEU34" i="5"/>
  <c r="BEV34" i="5"/>
  <c r="BEW34" i="5"/>
  <c r="BEX34" i="5"/>
  <c r="BEY34" i="5"/>
  <c r="BEZ34" i="5"/>
  <c r="BFA34" i="5"/>
  <c r="BFB34" i="5"/>
  <c r="BFC34" i="5"/>
  <c r="BFD34" i="5"/>
  <c r="BFE34" i="5"/>
  <c r="BFF34" i="5"/>
  <c r="BFG34" i="5"/>
  <c r="BFH34" i="5"/>
  <c r="BFI34" i="5"/>
  <c r="BFJ34" i="5"/>
  <c r="BFK34" i="5"/>
  <c r="BFL34" i="5"/>
  <c r="BFM34" i="5"/>
  <c r="BFN34" i="5"/>
  <c r="BFO34" i="5"/>
  <c r="BFP34" i="5"/>
  <c r="BFQ34" i="5"/>
  <c r="BFR34" i="5"/>
  <c r="BFS34" i="5"/>
  <c r="BFT34" i="5"/>
  <c r="BFU34" i="5"/>
  <c r="BFV34" i="5"/>
  <c r="BFW34" i="5"/>
  <c r="BFX34" i="5"/>
  <c r="BFY34" i="5"/>
  <c r="BFZ34" i="5"/>
  <c r="BGA34" i="5"/>
  <c r="BGB34" i="5"/>
  <c r="BGC34" i="5"/>
  <c r="BGD34" i="5"/>
  <c r="BGE34" i="5"/>
  <c r="BGF34" i="5"/>
  <c r="BGG34" i="5"/>
  <c r="BGH34" i="5"/>
  <c r="BGI34" i="5"/>
  <c r="BGJ34" i="5"/>
  <c r="BGK34" i="5"/>
  <c r="BGL34" i="5"/>
  <c r="BGM34" i="5"/>
  <c r="BGN34" i="5"/>
  <c r="BGO34" i="5"/>
  <c r="BGP34" i="5"/>
  <c r="BGQ34" i="5"/>
  <c r="BGR34" i="5"/>
  <c r="BGS34" i="5"/>
  <c r="BGT34" i="5"/>
  <c r="BGU34" i="5"/>
  <c r="BGV34" i="5"/>
  <c r="BGW34" i="5"/>
  <c r="BGX34" i="5"/>
  <c r="BGY34" i="5"/>
  <c r="BGZ34" i="5"/>
  <c r="BHA34" i="5"/>
  <c r="BHB34" i="5"/>
  <c r="BHC34" i="5"/>
  <c r="BHD34" i="5"/>
  <c r="BHE34" i="5"/>
  <c r="BHF34" i="5"/>
  <c r="BHG34" i="5"/>
  <c r="BHH34" i="5"/>
  <c r="BHI34" i="5"/>
  <c r="BHJ34" i="5"/>
  <c r="BHK34" i="5"/>
  <c r="BHL34" i="5"/>
  <c r="BHM34" i="5"/>
  <c r="BHN34" i="5"/>
  <c r="BHO34" i="5"/>
  <c r="BHP34" i="5"/>
  <c r="BHQ34" i="5"/>
  <c r="BHR34" i="5"/>
  <c r="BHS34" i="5"/>
  <c r="BHT34" i="5"/>
  <c r="BHU34" i="5"/>
  <c r="BHV34" i="5"/>
  <c r="BHW34" i="5"/>
  <c r="BHX34" i="5"/>
  <c r="BHY34" i="5"/>
  <c r="BHZ34" i="5"/>
  <c r="BIA34" i="5"/>
  <c r="BIB34" i="5"/>
  <c r="BIC34" i="5"/>
  <c r="BID34" i="5"/>
  <c r="BIE34" i="5"/>
  <c r="BIF34" i="5"/>
  <c r="BIG34" i="5"/>
  <c r="BIH34" i="5"/>
  <c r="BII34" i="5"/>
  <c r="BIJ34" i="5"/>
  <c r="BIK34" i="5"/>
  <c r="BIL34" i="5"/>
  <c r="BIM34" i="5"/>
  <c r="BIN34" i="5"/>
  <c r="BIO34" i="5"/>
  <c r="BIP34" i="5"/>
  <c r="BIQ34" i="5"/>
  <c r="BIR34" i="5"/>
  <c r="BIS34" i="5"/>
  <c r="BIT34" i="5"/>
  <c r="BIU34" i="5"/>
  <c r="BIV34" i="5"/>
  <c r="BIW34" i="5"/>
  <c r="BIX34" i="5"/>
  <c r="BIY34" i="5"/>
  <c r="BIZ34" i="5"/>
  <c r="BJA34" i="5"/>
  <c r="BJB34" i="5"/>
  <c r="BJC34" i="5"/>
  <c r="BJD34" i="5"/>
  <c r="BJE34" i="5"/>
  <c r="BJF34" i="5"/>
  <c r="BJG34" i="5"/>
  <c r="BJH34" i="5"/>
  <c r="BJI34" i="5"/>
  <c r="BJJ34" i="5"/>
  <c r="BJK34" i="5"/>
  <c r="BJL34" i="5"/>
  <c r="BJM34" i="5"/>
  <c r="BJN34" i="5"/>
  <c r="BJO34" i="5"/>
  <c r="BJP34" i="5"/>
  <c r="BJQ34" i="5"/>
  <c r="BJR34" i="5"/>
  <c r="BJS34" i="5"/>
  <c r="BJT34" i="5"/>
  <c r="BJU34" i="5"/>
  <c r="BJV34" i="5"/>
  <c r="BJW34" i="5"/>
  <c r="BJX34" i="5"/>
  <c r="BJY34" i="5"/>
  <c r="BJZ34" i="5"/>
  <c r="BKA34" i="5"/>
  <c r="BKB34" i="5"/>
  <c r="BKC34" i="5"/>
  <c r="BKD34" i="5"/>
  <c r="BKE34" i="5"/>
  <c r="BKF34" i="5"/>
  <c r="BKG34" i="5"/>
  <c r="BKH34" i="5"/>
  <c r="BKI34" i="5"/>
  <c r="BKJ34" i="5"/>
  <c r="BKK34" i="5"/>
  <c r="BKL34" i="5"/>
  <c r="BKM34" i="5"/>
  <c r="BKN34" i="5"/>
  <c r="BKO34" i="5"/>
  <c r="BKP34" i="5"/>
  <c r="BKQ34" i="5"/>
  <c r="BKR34" i="5"/>
  <c r="BKS34" i="5"/>
  <c r="BKT34" i="5"/>
  <c r="BKU34" i="5"/>
  <c r="BKV34" i="5"/>
  <c r="BKW34" i="5"/>
  <c r="BKX34" i="5"/>
  <c r="BKY34" i="5"/>
  <c r="BKZ34" i="5"/>
  <c r="BLA34" i="5"/>
  <c r="BLB34" i="5"/>
  <c r="BLC34" i="5"/>
  <c r="BLD34" i="5"/>
  <c r="BLE34" i="5"/>
  <c r="BLF34" i="5"/>
  <c r="BLG34" i="5"/>
  <c r="BLH34" i="5"/>
  <c r="BLI34" i="5"/>
  <c r="BLJ34" i="5"/>
  <c r="BLK34" i="5"/>
  <c r="BLL34" i="5"/>
  <c r="BLM34" i="5"/>
  <c r="BLN34" i="5"/>
  <c r="BLO34" i="5"/>
  <c r="BLP34" i="5"/>
  <c r="BLQ34" i="5"/>
  <c r="BLR34" i="5"/>
  <c r="BLS34" i="5"/>
  <c r="BLT34" i="5"/>
  <c r="BLU34" i="5"/>
  <c r="BLV34" i="5"/>
  <c r="BLW34" i="5"/>
  <c r="BLX34" i="5"/>
  <c r="BLY34" i="5"/>
  <c r="BLZ34" i="5"/>
  <c r="BMA34" i="5"/>
  <c r="BMB34" i="5"/>
  <c r="BMC34" i="5"/>
  <c r="BMD34" i="5"/>
  <c r="BME34" i="5"/>
  <c r="BMF34" i="5"/>
  <c r="BMG34" i="5"/>
  <c r="BMH34" i="5"/>
  <c r="BMI34" i="5"/>
  <c r="BMJ34" i="5"/>
  <c r="BMK34" i="5"/>
  <c r="BML34" i="5"/>
  <c r="BMM34" i="5"/>
  <c r="BMN34" i="5"/>
  <c r="BMO34" i="5"/>
  <c r="BMP34" i="5"/>
  <c r="BMQ34" i="5"/>
  <c r="BMR34" i="5"/>
  <c r="BMS34" i="5"/>
  <c r="BMT34" i="5"/>
  <c r="BMU34" i="5"/>
  <c r="BMV34" i="5"/>
  <c r="BMW34" i="5"/>
  <c r="BMX34" i="5"/>
  <c r="BMY34" i="5"/>
  <c r="BMZ34" i="5"/>
  <c r="BNA34" i="5"/>
  <c r="BNB34" i="5"/>
  <c r="BNC34" i="5"/>
  <c r="BND34" i="5"/>
  <c r="BNE34" i="5"/>
  <c r="BNF34" i="5"/>
  <c r="BNG34" i="5"/>
  <c r="BNH34" i="5"/>
  <c r="BNI34" i="5"/>
  <c r="BNJ34" i="5"/>
  <c r="BNK34" i="5"/>
  <c r="BNL34" i="5"/>
  <c r="BNM34" i="5"/>
  <c r="BNN34" i="5"/>
  <c r="BNO34" i="5"/>
  <c r="BNP34" i="5"/>
  <c r="BNQ34" i="5"/>
  <c r="BNR34" i="5"/>
  <c r="BNS34" i="5"/>
  <c r="BNT34" i="5"/>
  <c r="BNU34" i="5"/>
  <c r="BNV34" i="5"/>
  <c r="BNW34" i="5"/>
  <c r="BNX34" i="5"/>
  <c r="BNY34" i="5"/>
  <c r="BNZ34" i="5"/>
  <c r="BOA34" i="5"/>
  <c r="BOB34" i="5"/>
  <c r="BOC34" i="5"/>
  <c r="BOD34" i="5"/>
  <c r="BOE34" i="5"/>
  <c r="BOF34" i="5"/>
  <c r="BOG34" i="5"/>
  <c r="BOH34" i="5"/>
  <c r="BOI34" i="5"/>
  <c r="BOJ34" i="5"/>
  <c r="BOK34" i="5"/>
  <c r="BOL34" i="5"/>
  <c r="BOM34" i="5"/>
  <c r="BON34" i="5"/>
  <c r="BOO34" i="5"/>
  <c r="BOP34" i="5"/>
  <c r="BOQ34" i="5"/>
  <c r="BOR34" i="5"/>
  <c r="BOS34" i="5"/>
  <c r="BOT34" i="5"/>
  <c r="BOU34" i="5"/>
  <c r="BOV34" i="5"/>
  <c r="BOW34" i="5"/>
  <c r="BOX34" i="5"/>
  <c r="BOY34" i="5"/>
  <c r="BOZ34" i="5"/>
  <c r="BPA34" i="5"/>
  <c r="BPB34" i="5"/>
  <c r="BPC34" i="5"/>
  <c r="BPD34" i="5"/>
  <c r="BPE34" i="5"/>
  <c r="BPF34" i="5"/>
  <c r="BPG34" i="5"/>
  <c r="BPH34" i="5"/>
  <c r="BPI34" i="5"/>
  <c r="BPJ34" i="5"/>
  <c r="BPK34" i="5"/>
  <c r="BPL34" i="5"/>
  <c r="BPM34" i="5"/>
  <c r="BPN34" i="5"/>
  <c r="BPO34" i="5"/>
  <c r="BPP34" i="5"/>
  <c r="BPQ34" i="5"/>
  <c r="BPR34" i="5"/>
  <c r="BPS34" i="5"/>
  <c r="BPT34" i="5"/>
  <c r="BPU34" i="5"/>
  <c r="BPV34" i="5"/>
  <c r="BPW34" i="5"/>
  <c r="BPX34" i="5"/>
  <c r="BPY34" i="5"/>
  <c r="BPZ34" i="5"/>
  <c r="BQA34" i="5"/>
  <c r="BQB34" i="5"/>
  <c r="BQC34" i="5"/>
  <c r="BQD34" i="5"/>
  <c r="BQE34" i="5"/>
  <c r="BQF34" i="5"/>
  <c r="BQG34" i="5"/>
  <c r="BQH34" i="5"/>
  <c r="BQI34" i="5"/>
  <c r="BQJ34" i="5"/>
  <c r="BQK34" i="5"/>
  <c r="BQL34" i="5"/>
  <c r="BQM34" i="5"/>
  <c r="BQN34" i="5"/>
  <c r="BQO34" i="5"/>
  <c r="BQP34" i="5"/>
  <c r="BQQ34" i="5"/>
  <c r="BQR34" i="5"/>
  <c r="BQS34" i="5"/>
  <c r="BQT34" i="5"/>
  <c r="BQU34" i="5"/>
  <c r="BQV34" i="5"/>
  <c r="BQW34" i="5"/>
  <c r="BQX34" i="5"/>
  <c r="BQY34" i="5"/>
  <c r="BQZ34" i="5"/>
  <c r="BRA34" i="5"/>
  <c r="BRB34" i="5"/>
  <c r="BRC34" i="5"/>
  <c r="BRD34" i="5"/>
  <c r="BRE34" i="5"/>
  <c r="BRF34" i="5"/>
  <c r="BRG34" i="5"/>
  <c r="BRH34" i="5"/>
  <c r="BRI34" i="5"/>
  <c r="BRJ34" i="5"/>
  <c r="BRK34" i="5"/>
  <c r="BRL34" i="5"/>
  <c r="BRM34" i="5"/>
  <c r="BRN34" i="5"/>
  <c r="BRO34" i="5"/>
  <c r="BRP34" i="5"/>
  <c r="BRQ34" i="5"/>
  <c r="BRR34" i="5"/>
  <c r="BRS34" i="5"/>
  <c r="BRT34" i="5"/>
  <c r="BRU34" i="5"/>
  <c r="BRV34" i="5"/>
  <c r="BRW34" i="5"/>
  <c r="BRX34" i="5"/>
  <c r="BRY34" i="5"/>
  <c r="BRZ34" i="5"/>
  <c r="BSA34" i="5"/>
  <c r="BSB34" i="5"/>
  <c r="BSC34" i="5"/>
  <c r="BSD34" i="5"/>
  <c r="BSE34" i="5"/>
  <c r="BSF34" i="5"/>
  <c r="BSG34" i="5"/>
  <c r="BSH34" i="5"/>
  <c r="BSI34" i="5"/>
  <c r="BSJ34" i="5"/>
  <c r="BSK34" i="5"/>
  <c r="BSL34" i="5"/>
  <c r="BSM34" i="5"/>
  <c r="BSN34" i="5"/>
  <c r="BSO34" i="5"/>
  <c r="BSP34" i="5"/>
  <c r="BSQ34" i="5"/>
  <c r="BSR34" i="5"/>
  <c r="BSS34" i="5"/>
  <c r="BST34" i="5"/>
  <c r="BSU34" i="5"/>
  <c r="BSV34" i="5"/>
  <c r="BSW34" i="5"/>
  <c r="BSX34" i="5"/>
  <c r="BSY34" i="5"/>
  <c r="BSZ34" i="5"/>
  <c r="BTA34" i="5"/>
  <c r="BTB34" i="5"/>
  <c r="BTC34" i="5"/>
  <c r="BTD34" i="5"/>
  <c r="BTE34" i="5"/>
  <c r="BTF34" i="5"/>
  <c r="BTG34" i="5"/>
  <c r="BTH34" i="5"/>
  <c r="BTI34" i="5"/>
  <c r="BTJ34" i="5"/>
  <c r="BTK34" i="5"/>
  <c r="BTL34" i="5"/>
  <c r="BTM34" i="5"/>
  <c r="BTN34" i="5"/>
  <c r="BTO34" i="5"/>
  <c r="BTP34" i="5"/>
  <c r="BTQ34" i="5"/>
  <c r="BTR34" i="5"/>
  <c r="BTS34" i="5"/>
  <c r="BTT34" i="5"/>
  <c r="BTU34" i="5"/>
  <c r="BTV34" i="5"/>
  <c r="BTW34" i="5"/>
  <c r="BTX34" i="5"/>
  <c r="BTY34" i="5"/>
  <c r="BTZ34" i="5"/>
  <c r="BUA34" i="5"/>
  <c r="BUB34" i="5"/>
  <c r="BUC34" i="5"/>
  <c r="BUD34" i="5"/>
  <c r="BUE34" i="5"/>
  <c r="BUF34" i="5"/>
  <c r="BUG34" i="5"/>
  <c r="BUH34" i="5"/>
  <c r="BUI34" i="5"/>
  <c r="BUJ34" i="5"/>
  <c r="BUK34" i="5"/>
  <c r="BUL34" i="5"/>
  <c r="BUM34" i="5"/>
  <c r="BUN34" i="5"/>
  <c r="BUO34" i="5"/>
  <c r="BUP34" i="5"/>
  <c r="BUQ34" i="5"/>
  <c r="BUR34" i="5"/>
  <c r="BUS34" i="5"/>
  <c r="BUT34" i="5"/>
  <c r="BUU34" i="5"/>
  <c r="BUV34" i="5"/>
  <c r="BUW34" i="5"/>
  <c r="BUX34" i="5"/>
  <c r="BUY34" i="5"/>
  <c r="BUZ34" i="5"/>
  <c r="BVA34" i="5"/>
  <c r="BVB34" i="5"/>
  <c r="BVC34" i="5"/>
  <c r="BVD34" i="5"/>
  <c r="BVE34" i="5"/>
  <c r="BVF34" i="5"/>
  <c r="BVG34" i="5"/>
  <c r="BVH34" i="5"/>
  <c r="BVI34" i="5"/>
  <c r="BVJ34" i="5"/>
  <c r="BVK34" i="5"/>
  <c r="BVL34" i="5"/>
  <c r="BVM34" i="5"/>
  <c r="BVN34" i="5"/>
  <c r="BVO34" i="5"/>
  <c r="BVP34" i="5"/>
  <c r="BVQ34" i="5"/>
  <c r="BVR34" i="5"/>
  <c r="BVS34" i="5"/>
  <c r="BVT34" i="5"/>
  <c r="BVU34" i="5"/>
  <c r="BVV34" i="5"/>
  <c r="BVW34" i="5"/>
  <c r="BVX34" i="5"/>
  <c r="BVY34" i="5"/>
  <c r="BVZ34" i="5"/>
  <c r="BWA34" i="5"/>
  <c r="BWB34" i="5"/>
  <c r="BWC34" i="5"/>
  <c r="BWD34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JC35" i="5"/>
  <c r="JD35" i="5"/>
  <c r="JE35" i="5"/>
  <c r="JF35" i="5"/>
  <c r="JG35" i="5"/>
  <c r="JH35" i="5"/>
  <c r="JI35" i="5"/>
  <c r="JJ35" i="5"/>
  <c r="JK35" i="5"/>
  <c r="JL35" i="5"/>
  <c r="JM35" i="5"/>
  <c r="JN35" i="5"/>
  <c r="JO35" i="5"/>
  <c r="JP35" i="5"/>
  <c r="JQ35" i="5"/>
  <c r="JR35" i="5"/>
  <c r="JS35" i="5"/>
  <c r="JT35" i="5"/>
  <c r="JU35" i="5"/>
  <c r="JV35" i="5"/>
  <c r="JW35" i="5"/>
  <c r="JX35" i="5"/>
  <c r="JY35" i="5"/>
  <c r="JZ35" i="5"/>
  <c r="KA35" i="5"/>
  <c r="KB35" i="5"/>
  <c r="KC35" i="5"/>
  <c r="KD35" i="5"/>
  <c r="KE35" i="5"/>
  <c r="KF35" i="5"/>
  <c r="KG35" i="5"/>
  <c r="KH35" i="5"/>
  <c r="KI35" i="5"/>
  <c r="KJ35" i="5"/>
  <c r="KK35" i="5"/>
  <c r="KL35" i="5"/>
  <c r="KM35" i="5"/>
  <c r="KN35" i="5"/>
  <c r="KO35" i="5"/>
  <c r="KP35" i="5"/>
  <c r="KQ35" i="5"/>
  <c r="KR35" i="5"/>
  <c r="KS35" i="5"/>
  <c r="KT35" i="5"/>
  <c r="KU35" i="5"/>
  <c r="KV35" i="5"/>
  <c r="KW35" i="5"/>
  <c r="KX35" i="5"/>
  <c r="KY35" i="5"/>
  <c r="KZ35" i="5"/>
  <c r="LA35" i="5"/>
  <c r="LB35" i="5"/>
  <c r="LC35" i="5"/>
  <c r="LD35" i="5"/>
  <c r="LE35" i="5"/>
  <c r="LF35" i="5"/>
  <c r="LG35" i="5"/>
  <c r="LH35" i="5"/>
  <c r="LI35" i="5"/>
  <c r="LJ35" i="5"/>
  <c r="LK35" i="5"/>
  <c r="LL35" i="5"/>
  <c r="LM35" i="5"/>
  <c r="LN35" i="5"/>
  <c r="LO35" i="5"/>
  <c r="LP35" i="5"/>
  <c r="LQ35" i="5"/>
  <c r="LR35" i="5"/>
  <c r="LS35" i="5"/>
  <c r="LT35" i="5"/>
  <c r="LU35" i="5"/>
  <c r="LV35" i="5"/>
  <c r="LW35" i="5"/>
  <c r="LX35" i="5"/>
  <c r="LY35" i="5"/>
  <c r="LZ35" i="5"/>
  <c r="MA35" i="5"/>
  <c r="MB35" i="5"/>
  <c r="MC35" i="5"/>
  <c r="MD35" i="5"/>
  <c r="ME35" i="5"/>
  <c r="MF35" i="5"/>
  <c r="MG35" i="5"/>
  <c r="MH35" i="5"/>
  <c r="MI35" i="5"/>
  <c r="MJ35" i="5"/>
  <c r="MK35" i="5"/>
  <c r="ML35" i="5"/>
  <c r="MM35" i="5"/>
  <c r="MN35" i="5"/>
  <c r="MO35" i="5"/>
  <c r="MP35" i="5"/>
  <c r="MQ35" i="5"/>
  <c r="MR35" i="5"/>
  <c r="MS35" i="5"/>
  <c r="MT35" i="5"/>
  <c r="MU35" i="5"/>
  <c r="MV35" i="5"/>
  <c r="MW35" i="5"/>
  <c r="MX35" i="5"/>
  <c r="MY35" i="5"/>
  <c r="MZ35" i="5"/>
  <c r="NA35" i="5"/>
  <c r="NB35" i="5"/>
  <c r="NC35" i="5"/>
  <c r="ND35" i="5"/>
  <c r="NE35" i="5"/>
  <c r="NF35" i="5"/>
  <c r="NG35" i="5"/>
  <c r="NH35" i="5"/>
  <c r="NI35" i="5"/>
  <c r="NJ35" i="5"/>
  <c r="NK35" i="5"/>
  <c r="NL35" i="5"/>
  <c r="NM35" i="5"/>
  <c r="NN35" i="5"/>
  <c r="NO35" i="5"/>
  <c r="NP35" i="5"/>
  <c r="NQ35" i="5"/>
  <c r="NR35" i="5"/>
  <c r="NS35" i="5"/>
  <c r="NT35" i="5"/>
  <c r="NU35" i="5"/>
  <c r="NV35" i="5"/>
  <c r="NW35" i="5"/>
  <c r="NX35" i="5"/>
  <c r="NY35" i="5"/>
  <c r="NZ35" i="5"/>
  <c r="OA35" i="5"/>
  <c r="OB35" i="5"/>
  <c r="OC35" i="5"/>
  <c r="OD35" i="5"/>
  <c r="OE35" i="5"/>
  <c r="OF35" i="5"/>
  <c r="OG35" i="5"/>
  <c r="OH35" i="5"/>
  <c r="OI35" i="5"/>
  <c r="OJ35" i="5"/>
  <c r="OK35" i="5"/>
  <c r="OL35" i="5"/>
  <c r="OM35" i="5"/>
  <c r="ON35" i="5"/>
  <c r="OO35" i="5"/>
  <c r="OP35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PO35" i="5"/>
  <c r="PP35" i="5"/>
  <c r="PQ35" i="5"/>
  <c r="PR35" i="5"/>
  <c r="PS35" i="5"/>
  <c r="PT35" i="5"/>
  <c r="PU35" i="5"/>
  <c r="PV35" i="5"/>
  <c r="PW35" i="5"/>
  <c r="PX35" i="5"/>
  <c r="PY35" i="5"/>
  <c r="PZ35" i="5"/>
  <c r="QA35" i="5"/>
  <c r="QB35" i="5"/>
  <c r="QC35" i="5"/>
  <c r="QD35" i="5"/>
  <c r="QE35" i="5"/>
  <c r="QF35" i="5"/>
  <c r="QG35" i="5"/>
  <c r="QH35" i="5"/>
  <c r="QI35" i="5"/>
  <c r="QJ35" i="5"/>
  <c r="QK35" i="5"/>
  <c r="QL35" i="5"/>
  <c r="QM35" i="5"/>
  <c r="QN35" i="5"/>
  <c r="QO35" i="5"/>
  <c r="QP35" i="5"/>
  <c r="QQ35" i="5"/>
  <c r="QR35" i="5"/>
  <c r="QS35" i="5"/>
  <c r="QT35" i="5"/>
  <c r="QU35" i="5"/>
  <c r="QV35" i="5"/>
  <c r="QW35" i="5"/>
  <c r="QX35" i="5"/>
  <c r="QY35" i="5"/>
  <c r="QZ35" i="5"/>
  <c r="RA35" i="5"/>
  <c r="RB35" i="5"/>
  <c r="RC35" i="5"/>
  <c r="RD35" i="5"/>
  <c r="RE35" i="5"/>
  <c r="RF35" i="5"/>
  <c r="RG35" i="5"/>
  <c r="RH35" i="5"/>
  <c r="RI35" i="5"/>
  <c r="RJ35" i="5"/>
  <c r="RK35" i="5"/>
  <c r="RL35" i="5"/>
  <c r="RM35" i="5"/>
  <c r="RN35" i="5"/>
  <c r="RO35" i="5"/>
  <c r="RP35" i="5"/>
  <c r="RQ35" i="5"/>
  <c r="RR35" i="5"/>
  <c r="RS35" i="5"/>
  <c r="RT35" i="5"/>
  <c r="RU35" i="5"/>
  <c r="RV35" i="5"/>
  <c r="RW35" i="5"/>
  <c r="RX35" i="5"/>
  <c r="RY35" i="5"/>
  <c r="RZ35" i="5"/>
  <c r="SA35" i="5"/>
  <c r="SB35" i="5"/>
  <c r="SC35" i="5"/>
  <c r="SD35" i="5"/>
  <c r="SE35" i="5"/>
  <c r="SF35" i="5"/>
  <c r="SG35" i="5"/>
  <c r="SH35" i="5"/>
  <c r="SI35" i="5"/>
  <c r="SJ35" i="5"/>
  <c r="SK35" i="5"/>
  <c r="SL35" i="5"/>
  <c r="SM35" i="5"/>
  <c r="SN35" i="5"/>
  <c r="SO35" i="5"/>
  <c r="SP35" i="5"/>
  <c r="SQ35" i="5"/>
  <c r="SR35" i="5"/>
  <c r="SS35" i="5"/>
  <c r="ST35" i="5"/>
  <c r="SU35" i="5"/>
  <c r="SV35" i="5"/>
  <c r="SW35" i="5"/>
  <c r="SX35" i="5"/>
  <c r="SY35" i="5"/>
  <c r="SZ35" i="5"/>
  <c r="TA35" i="5"/>
  <c r="TB35" i="5"/>
  <c r="TC35" i="5"/>
  <c r="TD35" i="5"/>
  <c r="TE35" i="5"/>
  <c r="TF35" i="5"/>
  <c r="TG35" i="5"/>
  <c r="TH35" i="5"/>
  <c r="TI35" i="5"/>
  <c r="TJ35" i="5"/>
  <c r="TK35" i="5"/>
  <c r="TL35" i="5"/>
  <c r="TM35" i="5"/>
  <c r="TN35" i="5"/>
  <c r="TO35" i="5"/>
  <c r="TP35" i="5"/>
  <c r="TQ35" i="5"/>
  <c r="TR35" i="5"/>
  <c r="TS35" i="5"/>
  <c r="TT35" i="5"/>
  <c r="TU35" i="5"/>
  <c r="TV35" i="5"/>
  <c r="TW35" i="5"/>
  <c r="TX35" i="5"/>
  <c r="TY35" i="5"/>
  <c r="TZ35" i="5"/>
  <c r="UA35" i="5"/>
  <c r="UB35" i="5"/>
  <c r="UC35" i="5"/>
  <c r="UD35" i="5"/>
  <c r="UE35" i="5"/>
  <c r="UF35" i="5"/>
  <c r="UG35" i="5"/>
  <c r="UH35" i="5"/>
  <c r="UI35" i="5"/>
  <c r="UJ35" i="5"/>
  <c r="UK35" i="5"/>
  <c r="UL35" i="5"/>
  <c r="UM35" i="5"/>
  <c r="UN35" i="5"/>
  <c r="UO35" i="5"/>
  <c r="UP35" i="5"/>
  <c r="UQ35" i="5"/>
  <c r="UR35" i="5"/>
  <c r="US35" i="5"/>
  <c r="UT35" i="5"/>
  <c r="UU35" i="5"/>
  <c r="UV35" i="5"/>
  <c r="UW35" i="5"/>
  <c r="UX35" i="5"/>
  <c r="UY35" i="5"/>
  <c r="UZ35" i="5"/>
  <c r="VA35" i="5"/>
  <c r="VB35" i="5"/>
  <c r="VC35" i="5"/>
  <c r="VD35" i="5"/>
  <c r="VE35" i="5"/>
  <c r="VF35" i="5"/>
  <c r="VG35" i="5"/>
  <c r="VH35" i="5"/>
  <c r="VI35" i="5"/>
  <c r="VJ35" i="5"/>
  <c r="VK35" i="5"/>
  <c r="VL35" i="5"/>
  <c r="VM35" i="5"/>
  <c r="VN35" i="5"/>
  <c r="VO35" i="5"/>
  <c r="VP35" i="5"/>
  <c r="VQ35" i="5"/>
  <c r="VR35" i="5"/>
  <c r="VS35" i="5"/>
  <c r="VT35" i="5"/>
  <c r="VU35" i="5"/>
  <c r="VV35" i="5"/>
  <c r="VW35" i="5"/>
  <c r="VX35" i="5"/>
  <c r="VY35" i="5"/>
  <c r="VZ35" i="5"/>
  <c r="WA35" i="5"/>
  <c r="WB35" i="5"/>
  <c r="WC35" i="5"/>
  <c r="WD35" i="5"/>
  <c r="WE35" i="5"/>
  <c r="WF35" i="5"/>
  <c r="WG35" i="5"/>
  <c r="WH35" i="5"/>
  <c r="WI35" i="5"/>
  <c r="WJ35" i="5"/>
  <c r="WK35" i="5"/>
  <c r="WL35" i="5"/>
  <c r="WM35" i="5"/>
  <c r="WN35" i="5"/>
  <c r="WO35" i="5"/>
  <c r="WP35" i="5"/>
  <c r="WQ35" i="5"/>
  <c r="WR35" i="5"/>
  <c r="WS35" i="5"/>
  <c r="WT35" i="5"/>
  <c r="WU35" i="5"/>
  <c r="WV35" i="5"/>
  <c r="WW35" i="5"/>
  <c r="WX35" i="5"/>
  <c r="WY35" i="5"/>
  <c r="WZ35" i="5"/>
  <c r="XA35" i="5"/>
  <c r="XB35" i="5"/>
  <c r="XC35" i="5"/>
  <c r="XD35" i="5"/>
  <c r="XE35" i="5"/>
  <c r="XF35" i="5"/>
  <c r="XG35" i="5"/>
  <c r="XH35" i="5"/>
  <c r="XI35" i="5"/>
  <c r="XJ35" i="5"/>
  <c r="XK35" i="5"/>
  <c r="XL35" i="5"/>
  <c r="XM35" i="5"/>
  <c r="XN35" i="5"/>
  <c r="XO35" i="5"/>
  <c r="XP35" i="5"/>
  <c r="XQ35" i="5"/>
  <c r="XR35" i="5"/>
  <c r="XS35" i="5"/>
  <c r="XT35" i="5"/>
  <c r="XU35" i="5"/>
  <c r="XV35" i="5"/>
  <c r="XW35" i="5"/>
  <c r="XX35" i="5"/>
  <c r="XY35" i="5"/>
  <c r="XZ35" i="5"/>
  <c r="YA35" i="5"/>
  <c r="YB35" i="5"/>
  <c r="YC35" i="5"/>
  <c r="YD35" i="5"/>
  <c r="YE35" i="5"/>
  <c r="YF35" i="5"/>
  <c r="YG35" i="5"/>
  <c r="YH35" i="5"/>
  <c r="YI35" i="5"/>
  <c r="YJ35" i="5"/>
  <c r="YK35" i="5"/>
  <c r="YL35" i="5"/>
  <c r="YM35" i="5"/>
  <c r="YN35" i="5"/>
  <c r="YO35" i="5"/>
  <c r="YP35" i="5"/>
  <c r="YQ35" i="5"/>
  <c r="YR35" i="5"/>
  <c r="YS35" i="5"/>
  <c r="YT35" i="5"/>
  <c r="YU35" i="5"/>
  <c r="YV35" i="5"/>
  <c r="YW35" i="5"/>
  <c r="YX35" i="5"/>
  <c r="YY35" i="5"/>
  <c r="YZ35" i="5"/>
  <c r="ZA35" i="5"/>
  <c r="ZB35" i="5"/>
  <c r="ZC35" i="5"/>
  <c r="ZD35" i="5"/>
  <c r="ZE35" i="5"/>
  <c r="ZF35" i="5"/>
  <c r="ZG35" i="5"/>
  <c r="ZH35" i="5"/>
  <c r="ZI35" i="5"/>
  <c r="ZJ35" i="5"/>
  <c r="ZK35" i="5"/>
  <c r="ZL35" i="5"/>
  <c r="ZM35" i="5"/>
  <c r="ZN35" i="5"/>
  <c r="ZO35" i="5"/>
  <c r="ZP35" i="5"/>
  <c r="ZQ35" i="5"/>
  <c r="ZR35" i="5"/>
  <c r="ZS35" i="5"/>
  <c r="ZT35" i="5"/>
  <c r="ZU35" i="5"/>
  <c r="ZV35" i="5"/>
  <c r="ZW35" i="5"/>
  <c r="ZX35" i="5"/>
  <c r="ZY35" i="5"/>
  <c r="ZZ35" i="5"/>
  <c r="AAA35" i="5"/>
  <c r="AAB35" i="5"/>
  <c r="AAC35" i="5"/>
  <c r="AAD35" i="5"/>
  <c r="AAE35" i="5"/>
  <c r="AAF35" i="5"/>
  <c r="AAG35" i="5"/>
  <c r="AAH35" i="5"/>
  <c r="AAI35" i="5"/>
  <c r="AAJ35" i="5"/>
  <c r="AAK35" i="5"/>
  <c r="AAL35" i="5"/>
  <c r="AAM35" i="5"/>
  <c r="AAN35" i="5"/>
  <c r="AAO35" i="5"/>
  <c r="AAP35" i="5"/>
  <c r="AAQ35" i="5"/>
  <c r="AAR35" i="5"/>
  <c r="AAS35" i="5"/>
  <c r="AAT35" i="5"/>
  <c r="AAU35" i="5"/>
  <c r="AAV35" i="5"/>
  <c r="AAW35" i="5"/>
  <c r="AAX35" i="5"/>
  <c r="AAY35" i="5"/>
  <c r="AAZ35" i="5"/>
  <c r="ABA35" i="5"/>
  <c r="ABB35" i="5"/>
  <c r="ABC35" i="5"/>
  <c r="ABD35" i="5"/>
  <c r="ABE35" i="5"/>
  <c r="ABF35" i="5"/>
  <c r="ABG35" i="5"/>
  <c r="ABH35" i="5"/>
  <c r="ABI35" i="5"/>
  <c r="ABJ35" i="5"/>
  <c r="ABK35" i="5"/>
  <c r="ABL35" i="5"/>
  <c r="ABM35" i="5"/>
  <c r="ABN35" i="5"/>
  <c r="ABO35" i="5"/>
  <c r="ABP35" i="5"/>
  <c r="ABQ35" i="5"/>
  <c r="ABR35" i="5"/>
  <c r="ABS35" i="5"/>
  <c r="ABT35" i="5"/>
  <c r="ABU35" i="5"/>
  <c r="ABV35" i="5"/>
  <c r="ABW35" i="5"/>
  <c r="ABX35" i="5"/>
  <c r="ABY35" i="5"/>
  <c r="ABZ35" i="5"/>
  <c r="ACA35" i="5"/>
  <c r="ACB35" i="5"/>
  <c r="ACC35" i="5"/>
  <c r="ACD35" i="5"/>
  <c r="ACE35" i="5"/>
  <c r="ACF35" i="5"/>
  <c r="ACG35" i="5"/>
  <c r="ACH35" i="5"/>
  <c r="ACI35" i="5"/>
  <c r="ACJ35" i="5"/>
  <c r="ACK35" i="5"/>
  <c r="ACL35" i="5"/>
  <c r="ACM35" i="5"/>
  <c r="ACN35" i="5"/>
  <c r="ACO35" i="5"/>
  <c r="ACP35" i="5"/>
  <c r="ACQ35" i="5"/>
  <c r="ACR35" i="5"/>
  <c r="ACS35" i="5"/>
  <c r="ACT35" i="5"/>
  <c r="ACU35" i="5"/>
  <c r="ACV35" i="5"/>
  <c r="ACW35" i="5"/>
  <c r="ACX35" i="5"/>
  <c r="ACY35" i="5"/>
  <c r="ACZ35" i="5"/>
  <c r="ADA35" i="5"/>
  <c r="ADB35" i="5"/>
  <c r="ADC35" i="5"/>
  <c r="ADD35" i="5"/>
  <c r="ADE35" i="5"/>
  <c r="ADF35" i="5"/>
  <c r="ADG35" i="5"/>
  <c r="ADH35" i="5"/>
  <c r="ADI35" i="5"/>
  <c r="ADJ35" i="5"/>
  <c r="ADK35" i="5"/>
  <c r="ADL35" i="5"/>
  <c r="ADM35" i="5"/>
  <c r="ADN35" i="5"/>
  <c r="ADO35" i="5"/>
  <c r="ADP35" i="5"/>
  <c r="ADQ35" i="5"/>
  <c r="ADR35" i="5"/>
  <c r="ADS35" i="5"/>
  <c r="ADT35" i="5"/>
  <c r="ADU35" i="5"/>
  <c r="ADV35" i="5"/>
  <c r="ADW35" i="5"/>
  <c r="ADX35" i="5"/>
  <c r="ADY35" i="5"/>
  <c r="ADZ35" i="5"/>
  <c r="AEA35" i="5"/>
  <c r="AEB35" i="5"/>
  <c r="AEC35" i="5"/>
  <c r="AED35" i="5"/>
  <c r="AEE35" i="5"/>
  <c r="AEF35" i="5"/>
  <c r="AEG35" i="5"/>
  <c r="AEH35" i="5"/>
  <c r="AEI35" i="5"/>
  <c r="AEJ35" i="5"/>
  <c r="AEK35" i="5"/>
  <c r="AEL35" i="5"/>
  <c r="AEM35" i="5"/>
  <c r="AEN35" i="5"/>
  <c r="AEO35" i="5"/>
  <c r="AEP35" i="5"/>
  <c r="AEQ35" i="5"/>
  <c r="AER35" i="5"/>
  <c r="AES35" i="5"/>
  <c r="AET35" i="5"/>
  <c r="AEU35" i="5"/>
  <c r="AEV35" i="5"/>
  <c r="AEW35" i="5"/>
  <c r="AEX35" i="5"/>
  <c r="AEY35" i="5"/>
  <c r="AEZ35" i="5"/>
  <c r="AFA35" i="5"/>
  <c r="AFB35" i="5"/>
  <c r="AFC35" i="5"/>
  <c r="AFD35" i="5"/>
  <c r="AFE35" i="5"/>
  <c r="AFF35" i="5"/>
  <c r="AFG35" i="5"/>
  <c r="AFH35" i="5"/>
  <c r="AFI35" i="5"/>
  <c r="AFJ35" i="5"/>
  <c r="AFK35" i="5"/>
  <c r="AFL35" i="5"/>
  <c r="AFM35" i="5"/>
  <c r="AFN35" i="5"/>
  <c r="AFO35" i="5"/>
  <c r="AFP35" i="5"/>
  <c r="AFQ35" i="5"/>
  <c r="AFR35" i="5"/>
  <c r="AFS35" i="5"/>
  <c r="AFT35" i="5"/>
  <c r="AFU35" i="5"/>
  <c r="AFV35" i="5"/>
  <c r="AFW35" i="5"/>
  <c r="AFX35" i="5"/>
  <c r="AFY35" i="5"/>
  <c r="AFZ35" i="5"/>
  <c r="AGA35" i="5"/>
  <c r="AGB35" i="5"/>
  <c r="AGC35" i="5"/>
  <c r="AGD35" i="5"/>
  <c r="AGE35" i="5"/>
  <c r="AGF35" i="5"/>
  <c r="AGG35" i="5"/>
  <c r="AGH35" i="5"/>
  <c r="AGI35" i="5"/>
  <c r="AGJ35" i="5"/>
  <c r="AGK35" i="5"/>
  <c r="AGL35" i="5"/>
  <c r="AGM35" i="5"/>
  <c r="AGN35" i="5"/>
  <c r="AGO35" i="5"/>
  <c r="AGP35" i="5"/>
  <c r="AGQ35" i="5"/>
  <c r="AGR35" i="5"/>
  <c r="AGS35" i="5"/>
  <c r="AGT35" i="5"/>
  <c r="AGU35" i="5"/>
  <c r="AGV35" i="5"/>
  <c r="AGW35" i="5"/>
  <c r="AGX35" i="5"/>
  <c r="AGY35" i="5"/>
  <c r="AGZ35" i="5"/>
  <c r="AHA35" i="5"/>
  <c r="AHB35" i="5"/>
  <c r="AHC35" i="5"/>
  <c r="AHD35" i="5"/>
  <c r="AHE35" i="5"/>
  <c r="AHF35" i="5"/>
  <c r="AHG35" i="5"/>
  <c r="AHH35" i="5"/>
  <c r="AHI35" i="5"/>
  <c r="AHJ35" i="5"/>
  <c r="AHK35" i="5"/>
  <c r="AHL35" i="5"/>
  <c r="AHM35" i="5"/>
  <c r="AHN35" i="5"/>
  <c r="AHO35" i="5"/>
  <c r="AHP35" i="5"/>
  <c r="AHQ35" i="5"/>
  <c r="AHR35" i="5"/>
  <c r="AHS35" i="5"/>
  <c r="AHT35" i="5"/>
  <c r="AHU35" i="5"/>
  <c r="AHV35" i="5"/>
  <c r="AHW35" i="5"/>
  <c r="AHX35" i="5"/>
  <c r="AHY35" i="5"/>
  <c r="AHZ35" i="5"/>
  <c r="AIA35" i="5"/>
  <c r="AIB35" i="5"/>
  <c r="AIC35" i="5"/>
  <c r="AID35" i="5"/>
  <c r="AIE35" i="5"/>
  <c r="AIF35" i="5"/>
  <c r="AIG35" i="5"/>
  <c r="AIH35" i="5"/>
  <c r="AII35" i="5"/>
  <c r="AIJ35" i="5"/>
  <c r="AIK35" i="5"/>
  <c r="AIL35" i="5"/>
  <c r="AIM35" i="5"/>
  <c r="AIN35" i="5"/>
  <c r="AIO35" i="5"/>
  <c r="AIP35" i="5"/>
  <c r="AIQ35" i="5"/>
  <c r="AIR35" i="5"/>
  <c r="AIS35" i="5"/>
  <c r="AIT35" i="5"/>
  <c r="AIU35" i="5"/>
  <c r="AIV35" i="5"/>
  <c r="AIW35" i="5"/>
  <c r="AIX35" i="5"/>
  <c r="AIY35" i="5"/>
  <c r="AIZ35" i="5"/>
  <c r="AJA35" i="5"/>
  <c r="AJB35" i="5"/>
  <c r="AJC35" i="5"/>
  <c r="AJD35" i="5"/>
  <c r="AJE35" i="5"/>
  <c r="AJF35" i="5"/>
  <c r="AJG35" i="5"/>
  <c r="AJH35" i="5"/>
  <c r="AJI35" i="5"/>
  <c r="AJJ35" i="5"/>
  <c r="AJK35" i="5"/>
  <c r="AJL35" i="5"/>
  <c r="AJM35" i="5"/>
  <c r="AJN35" i="5"/>
  <c r="AJO35" i="5"/>
  <c r="AJP35" i="5"/>
  <c r="AJQ35" i="5"/>
  <c r="AJR35" i="5"/>
  <c r="AJS35" i="5"/>
  <c r="AJT35" i="5"/>
  <c r="AJU35" i="5"/>
  <c r="AJV35" i="5"/>
  <c r="AJW35" i="5"/>
  <c r="AJX35" i="5"/>
  <c r="AJY35" i="5"/>
  <c r="AJZ35" i="5"/>
  <c r="AKA35" i="5"/>
  <c r="AKB35" i="5"/>
  <c r="AKC35" i="5"/>
  <c r="AKD35" i="5"/>
  <c r="AKE35" i="5"/>
  <c r="AKF35" i="5"/>
  <c r="AKG35" i="5"/>
  <c r="AKH35" i="5"/>
  <c r="AKI35" i="5"/>
  <c r="AKJ35" i="5"/>
  <c r="AKK35" i="5"/>
  <c r="AKL35" i="5"/>
  <c r="AKM35" i="5"/>
  <c r="AKN35" i="5"/>
  <c r="AKO35" i="5"/>
  <c r="AKP35" i="5"/>
  <c r="AKQ35" i="5"/>
  <c r="AKR35" i="5"/>
  <c r="AKS35" i="5"/>
  <c r="AKT35" i="5"/>
  <c r="AKU35" i="5"/>
  <c r="AKV35" i="5"/>
  <c r="AKW35" i="5"/>
  <c r="AKX35" i="5"/>
  <c r="AKY35" i="5"/>
  <c r="AKZ35" i="5"/>
  <c r="ALA35" i="5"/>
  <c r="ALB35" i="5"/>
  <c r="ALC35" i="5"/>
  <c r="ALD35" i="5"/>
  <c r="ALE35" i="5"/>
  <c r="ALF35" i="5"/>
  <c r="ALG35" i="5"/>
  <c r="ALH35" i="5"/>
  <c r="ALI35" i="5"/>
  <c r="ALJ35" i="5"/>
  <c r="ALK35" i="5"/>
  <c r="ALL35" i="5"/>
  <c r="ALM35" i="5"/>
  <c r="ALN35" i="5"/>
  <c r="ALO35" i="5"/>
  <c r="ALP35" i="5"/>
  <c r="ALQ35" i="5"/>
  <c r="ALR35" i="5"/>
  <c r="ALS35" i="5"/>
  <c r="ALT35" i="5"/>
  <c r="ALU35" i="5"/>
  <c r="ALV35" i="5"/>
  <c r="ALW35" i="5"/>
  <c r="ALX35" i="5"/>
  <c r="ALY35" i="5"/>
  <c r="ALZ35" i="5"/>
  <c r="AMA35" i="5"/>
  <c r="AMB35" i="5"/>
  <c r="AMC35" i="5"/>
  <c r="AMD35" i="5"/>
  <c r="AME35" i="5"/>
  <c r="AMF35" i="5"/>
  <c r="AMG35" i="5"/>
  <c r="AMH35" i="5"/>
  <c r="AMI35" i="5"/>
  <c r="AMJ35" i="5"/>
  <c r="AMK35" i="5"/>
  <c r="AML35" i="5"/>
  <c r="AMM35" i="5"/>
  <c r="AMN35" i="5"/>
  <c r="AMO35" i="5"/>
  <c r="AMP35" i="5"/>
  <c r="AMQ35" i="5"/>
  <c r="AMR35" i="5"/>
  <c r="AMS35" i="5"/>
  <c r="AMT35" i="5"/>
  <c r="AMU35" i="5"/>
  <c r="AMV35" i="5"/>
  <c r="AMW35" i="5"/>
  <c r="AMX35" i="5"/>
  <c r="AMY35" i="5"/>
  <c r="AMZ35" i="5"/>
  <c r="ANA35" i="5"/>
  <c r="ANB35" i="5"/>
  <c r="ANC35" i="5"/>
  <c r="AND35" i="5"/>
  <c r="ANE35" i="5"/>
  <c r="ANF35" i="5"/>
  <c r="ANG35" i="5"/>
  <c r="ANH35" i="5"/>
  <c r="ANI35" i="5"/>
  <c r="ANJ35" i="5"/>
  <c r="ANK35" i="5"/>
  <c r="ANL35" i="5"/>
  <c r="ANM35" i="5"/>
  <c r="ANN35" i="5"/>
  <c r="ANO35" i="5"/>
  <c r="ANP35" i="5"/>
  <c r="ANQ35" i="5"/>
  <c r="ANR35" i="5"/>
  <c r="ANS35" i="5"/>
  <c r="ANT35" i="5"/>
  <c r="ANU35" i="5"/>
  <c r="ANV35" i="5"/>
  <c r="ANW35" i="5"/>
  <c r="ANX35" i="5"/>
  <c r="ANY35" i="5"/>
  <c r="ANZ35" i="5"/>
  <c r="AOA35" i="5"/>
  <c r="AOB35" i="5"/>
  <c r="AOC35" i="5"/>
  <c r="AOD35" i="5"/>
  <c r="AOE35" i="5"/>
  <c r="AOF35" i="5"/>
  <c r="AOG35" i="5"/>
  <c r="AOH35" i="5"/>
  <c r="AOI35" i="5"/>
  <c r="AOJ35" i="5"/>
  <c r="AOK35" i="5"/>
  <c r="AOL35" i="5"/>
  <c r="AOM35" i="5"/>
  <c r="AON35" i="5"/>
  <c r="AOO35" i="5"/>
  <c r="AOP35" i="5"/>
  <c r="AOQ35" i="5"/>
  <c r="AOR35" i="5"/>
  <c r="AOS35" i="5"/>
  <c r="AOT35" i="5"/>
  <c r="AOU35" i="5"/>
  <c r="AOV35" i="5"/>
  <c r="AOW35" i="5"/>
  <c r="AOX35" i="5"/>
  <c r="AOY35" i="5"/>
  <c r="AOZ35" i="5"/>
  <c r="APA35" i="5"/>
  <c r="APB35" i="5"/>
  <c r="APC35" i="5"/>
  <c r="APD35" i="5"/>
  <c r="APE35" i="5"/>
  <c r="APF35" i="5"/>
  <c r="APG35" i="5"/>
  <c r="APH35" i="5"/>
  <c r="API35" i="5"/>
  <c r="APJ35" i="5"/>
  <c r="APK35" i="5"/>
  <c r="APL35" i="5"/>
  <c r="APM35" i="5"/>
  <c r="APN35" i="5"/>
  <c r="APO35" i="5"/>
  <c r="APP35" i="5"/>
  <c r="APQ35" i="5"/>
  <c r="APR35" i="5"/>
  <c r="APS35" i="5"/>
  <c r="APT35" i="5"/>
  <c r="APU35" i="5"/>
  <c r="APV35" i="5"/>
  <c r="APW35" i="5"/>
  <c r="APX35" i="5"/>
  <c r="APY35" i="5"/>
  <c r="APZ35" i="5"/>
  <c r="AQA35" i="5"/>
  <c r="AQB35" i="5"/>
  <c r="AQC35" i="5"/>
  <c r="AQD35" i="5"/>
  <c r="AQE35" i="5"/>
  <c r="AQF35" i="5"/>
  <c r="AQG35" i="5"/>
  <c r="AQH35" i="5"/>
  <c r="AQI35" i="5"/>
  <c r="AQJ35" i="5"/>
  <c r="AQK35" i="5"/>
  <c r="AQL35" i="5"/>
  <c r="AQM35" i="5"/>
  <c r="AQN35" i="5"/>
  <c r="AQO35" i="5"/>
  <c r="AQP35" i="5"/>
  <c r="AQQ35" i="5"/>
  <c r="AQR35" i="5"/>
  <c r="AQS35" i="5"/>
  <c r="AQT35" i="5"/>
  <c r="AQU35" i="5"/>
  <c r="AQV35" i="5"/>
  <c r="AQW35" i="5"/>
  <c r="AQX35" i="5"/>
  <c r="AQY35" i="5"/>
  <c r="AQZ35" i="5"/>
  <c r="ARA35" i="5"/>
  <c r="ARB35" i="5"/>
  <c r="ARC35" i="5"/>
  <c r="ARD35" i="5"/>
  <c r="ARE35" i="5"/>
  <c r="ARF35" i="5"/>
  <c r="ARG35" i="5"/>
  <c r="ARH35" i="5"/>
  <c r="ARI35" i="5"/>
  <c r="ARJ35" i="5"/>
  <c r="ARK35" i="5"/>
  <c r="ARL35" i="5"/>
  <c r="ARM35" i="5"/>
  <c r="ARN35" i="5"/>
  <c r="ARO35" i="5"/>
  <c r="ARP35" i="5"/>
  <c r="ARQ35" i="5"/>
  <c r="ARR35" i="5"/>
  <c r="ARS35" i="5"/>
  <c r="ART35" i="5"/>
  <c r="ARU35" i="5"/>
  <c r="ARV35" i="5"/>
  <c r="ARW35" i="5"/>
  <c r="ARX35" i="5"/>
  <c r="ARY35" i="5"/>
  <c r="ARZ35" i="5"/>
  <c r="ASA35" i="5"/>
  <c r="ASB35" i="5"/>
  <c r="ASC35" i="5"/>
  <c r="ASD35" i="5"/>
  <c r="ASE35" i="5"/>
  <c r="ASF35" i="5"/>
  <c r="ASG35" i="5"/>
  <c r="ASH35" i="5"/>
  <c r="ASI35" i="5"/>
  <c r="ASJ35" i="5"/>
  <c r="ASK35" i="5"/>
  <c r="ASL35" i="5"/>
  <c r="ASM35" i="5"/>
  <c r="ASN35" i="5"/>
  <c r="ASO35" i="5"/>
  <c r="ASP35" i="5"/>
  <c r="ASQ35" i="5"/>
  <c r="ASR35" i="5"/>
  <c r="ASS35" i="5"/>
  <c r="AST35" i="5"/>
  <c r="ASU35" i="5"/>
  <c r="ASV35" i="5"/>
  <c r="ASW35" i="5"/>
  <c r="ASX35" i="5"/>
  <c r="ASY35" i="5"/>
  <c r="ASZ35" i="5"/>
  <c r="ATA35" i="5"/>
  <c r="ATB35" i="5"/>
  <c r="ATC35" i="5"/>
  <c r="ATD35" i="5"/>
  <c r="ATE35" i="5"/>
  <c r="ATF35" i="5"/>
  <c r="ATG35" i="5"/>
  <c r="ATH35" i="5"/>
  <c r="ATI35" i="5"/>
  <c r="ATJ35" i="5"/>
  <c r="ATK35" i="5"/>
  <c r="ATL35" i="5"/>
  <c r="ATM35" i="5"/>
  <c r="ATN35" i="5"/>
  <c r="ATO35" i="5"/>
  <c r="ATP35" i="5"/>
  <c r="ATQ35" i="5"/>
  <c r="ATR35" i="5"/>
  <c r="ATS35" i="5"/>
  <c r="ATT35" i="5"/>
  <c r="ATU35" i="5"/>
  <c r="ATV35" i="5"/>
  <c r="ATW35" i="5"/>
  <c r="ATX35" i="5"/>
  <c r="ATY35" i="5"/>
  <c r="ATZ35" i="5"/>
  <c r="AUA35" i="5"/>
  <c r="AUB35" i="5"/>
  <c r="AUC35" i="5"/>
  <c r="AUD35" i="5"/>
  <c r="AUE35" i="5"/>
  <c r="AUF35" i="5"/>
  <c r="AUG35" i="5"/>
  <c r="AUH35" i="5"/>
  <c r="AUI35" i="5"/>
  <c r="AUJ35" i="5"/>
  <c r="AUK35" i="5"/>
  <c r="AUL35" i="5"/>
  <c r="AUM35" i="5"/>
  <c r="AUN35" i="5"/>
  <c r="AUO35" i="5"/>
  <c r="AUP35" i="5"/>
  <c r="AUQ35" i="5"/>
  <c r="AUR35" i="5"/>
  <c r="AUS35" i="5"/>
  <c r="AUT35" i="5"/>
  <c r="AUU35" i="5"/>
  <c r="AUV35" i="5"/>
  <c r="AUW35" i="5"/>
  <c r="AUX35" i="5"/>
  <c r="AUY35" i="5"/>
  <c r="AUZ35" i="5"/>
  <c r="AVA35" i="5"/>
  <c r="AVB35" i="5"/>
  <c r="AVC35" i="5"/>
  <c r="AVD35" i="5"/>
  <c r="AVE35" i="5"/>
  <c r="AVF35" i="5"/>
  <c r="AVG35" i="5"/>
  <c r="AVH35" i="5"/>
  <c r="AVI35" i="5"/>
  <c r="AVJ35" i="5"/>
  <c r="AVK35" i="5"/>
  <c r="AVL35" i="5"/>
  <c r="AVM35" i="5"/>
  <c r="AVN35" i="5"/>
  <c r="AVO35" i="5"/>
  <c r="AVP35" i="5"/>
  <c r="AVQ35" i="5"/>
  <c r="AVR35" i="5"/>
  <c r="AVS35" i="5"/>
  <c r="AVT35" i="5"/>
  <c r="AVU35" i="5"/>
  <c r="AVV35" i="5"/>
  <c r="AVW35" i="5"/>
  <c r="AVX35" i="5"/>
  <c r="AVY35" i="5"/>
  <c r="AVZ35" i="5"/>
  <c r="AWA35" i="5"/>
  <c r="AWB35" i="5"/>
  <c r="AWC35" i="5"/>
  <c r="AWD35" i="5"/>
  <c r="AWE35" i="5"/>
  <c r="AWF35" i="5"/>
  <c r="AWG35" i="5"/>
  <c r="AWH35" i="5"/>
  <c r="AWI35" i="5"/>
  <c r="AWJ35" i="5"/>
  <c r="AWK35" i="5"/>
  <c r="AWL35" i="5"/>
  <c r="AWM35" i="5"/>
  <c r="AWN35" i="5"/>
  <c r="AWO35" i="5"/>
  <c r="AWP35" i="5"/>
  <c r="AWQ35" i="5"/>
  <c r="AWR35" i="5"/>
  <c r="AWS35" i="5"/>
  <c r="AWT35" i="5"/>
  <c r="AWU35" i="5"/>
  <c r="AWV35" i="5"/>
  <c r="AWW35" i="5"/>
  <c r="AWX35" i="5"/>
  <c r="AWY35" i="5"/>
  <c r="AWZ35" i="5"/>
  <c r="AXA35" i="5"/>
  <c r="AXB35" i="5"/>
  <c r="AXC35" i="5"/>
  <c r="AXD35" i="5"/>
  <c r="AXE35" i="5"/>
  <c r="AXF35" i="5"/>
  <c r="AXG35" i="5"/>
  <c r="AXH35" i="5"/>
  <c r="AXI35" i="5"/>
  <c r="AXJ35" i="5"/>
  <c r="AXK35" i="5"/>
  <c r="AXL35" i="5"/>
  <c r="AXM35" i="5"/>
  <c r="AXN35" i="5"/>
  <c r="AXO35" i="5"/>
  <c r="AXP35" i="5"/>
  <c r="AXQ35" i="5"/>
  <c r="AXR35" i="5"/>
  <c r="AXS35" i="5"/>
  <c r="AXT35" i="5"/>
  <c r="AXU35" i="5"/>
  <c r="AXV35" i="5"/>
  <c r="AXW35" i="5"/>
  <c r="AXX35" i="5"/>
  <c r="AXY35" i="5"/>
  <c r="AXZ35" i="5"/>
  <c r="AYA35" i="5"/>
  <c r="AYB35" i="5"/>
  <c r="AYC35" i="5"/>
  <c r="AYD35" i="5"/>
  <c r="AYE35" i="5"/>
  <c r="AYF35" i="5"/>
  <c r="AYG35" i="5"/>
  <c r="AYH35" i="5"/>
  <c r="AYI35" i="5"/>
  <c r="AYJ35" i="5"/>
  <c r="AYK35" i="5"/>
  <c r="AYL35" i="5"/>
  <c r="AYM35" i="5"/>
  <c r="AYN35" i="5"/>
  <c r="AYO35" i="5"/>
  <c r="AYP35" i="5"/>
  <c r="AYQ35" i="5"/>
  <c r="AYR35" i="5"/>
  <c r="AYS35" i="5"/>
  <c r="AYT35" i="5"/>
  <c r="AYU35" i="5"/>
  <c r="AYV35" i="5"/>
  <c r="AYW35" i="5"/>
  <c r="AYX35" i="5"/>
  <c r="AYY35" i="5"/>
  <c r="AYZ35" i="5"/>
  <c r="AZA35" i="5"/>
  <c r="AZB35" i="5"/>
  <c r="AZC35" i="5"/>
  <c r="AZD35" i="5"/>
  <c r="AZE35" i="5"/>
  <c r="AZF35" i="5"/>
  <c r="AZG35" i="5"/>
  <c r="AZH35" i="5"/>
  <c r="AZI35" i="5"/>
  <c r="AZJ35" i="5"/>
  <c r="AZK35" i="5"/>
  <c r="AZL35" i="5"/>
  <c r="AZM35" i="5"/>
  <c r="AZN35" i="5"/>
  <c r="AZO35" i="5"/>
  <c r="AZP35" i="5"/>
  <c r="AZQ35" i="5"/>
  <c r="AZR35" i="5"/>
  <c r="AZS35" i="5"/>
  <c r="AZT35" i="5"/>
  <c r="AZU35" i="5"/>
  <c r="AZV35" i="5"/>
  <c r="AZW35" i="5"/>
  <c r="AZX35" i="5"/>
  <c r="AZY35" i="5"/>
  <c r="AZZ35" i="5"/>
  <c r="BAA35" i="5"/>
  <c r="BAB35" i="5"/>
  <c r="BAC35" i="5"/>
  <c r="BAD35" i="5"/>
  <c r="BAE35" i="5"/>
  <c r="BAF35" i="5"/>
  <c r="BAG35" i="5"/>
  <c r="BAH35" i="5"/>
  <c r="BAI35" i="5"/>
  <c r="BAJ35" i="5"/>
  <c r="BAK35" i="5"/>
  <c r="BAL35" i="5"/>
  <c r="BAM35" i="5"/>
  <c r="BAN35" i="5"/>
  <c r="BAO35" i="5"/>
  <c r="BAP35" i="5"/>
  <c r="BAQ35" i="5"/>
  <c r="BAR35" i="5"/>
  <c r="BAS35" i="5"/>
  <c r="BAT35" i="5"/>
  <c r="BAU35" i="5"/>
  <c r="BAV35" i="5"/>
  <c r="BAW35" i="5"/>
  <c r="BAX35" i="5"/>
  <c r="BAY35" i="5"/>
  <c r="BAZ35" i="5"/>
  <c r="BBA35" i="5"/>
  <c r="BBB35" i="5"/>
  <c r="BBC35" i="5"/>
  <c r="BBD35" i="5"/>
  <c r="BBE35" i="5"/>
  <c r="BBF35" i="5"/>
  <c r="BBG35" i="5"/>
  <c r="BBH35" i="5"/>
  <c r="BBI35" i="5"/>
  <c r="BBJ35" i="5"/>
  <c r="BBK35" i="5"/>
  <c r="BBL35" i="5"/>
  <c r="BBM35" i="5"/>
  <c r="BBN35" i="5"/>
  <c r="BBO35" i="5"/>
  <c r="BBP35" i="5"/>
  <c r="BBQ35" i="5"/>
  <c r="BBR35" i="5"/>
  <c r="BBS35" i="5"/>
  <c r="BBT35" i="5"/>
  <c r="BBU35" i="5"/>
  <c r="BBV35" i="5"/>
  <c r="BBW35" i="5"/>
  <c r="BBX35" i="5"/>
  <c r="BBY35" i="5"/>
  <c r="BBZ35" i="5"/>
  <c r="BCA35" i="5"/>
  <c r="BCB35" i="5"/>
  <c r="BCC35" i="5"/>
  <c r="BCD35" i="5"/>
  <c r="BCE35" i="5"/>
  <c r="BCF35" i="5"/>
  <c r="BCG35" i="5"/>
  <c r="BCH35" i="5"/>
  <c r="BCI35" i="5"/>
  <c r="BCJ35" i="5"/>
  <c r="BCK35" i="5"/>
  <c r="BCL35" i="5"/>
  <c r="BCM35" i="5"/>
  <c r="BCN35" i="5"/>
  <c r="BCO35" i="5"/>
  <c r="BCP35" i="5"/>
  <c r="BCQ35" i="5"/>
  <c r="BCR35" i="5"/>
  <c r="BCS35" i="5"/>
  <c r="BCT35" i="5"/>
  <c r="BCU35" i="5"/>
  <c r="BCV35" i="5"/>
  <c r="BCW35" i="5"/>
  <c r="BCX35" i="5"/>
  <c r="BCY35" i="5"/>
  <c r="BCZ35" i="5"/>
  <c r="BDA35" i="5"/>
  <c r="BDB35" i="5"/>
  <c r="BDC35" i="5"/>
  <c r="BDD35" i="5"/>
  <c r="BDE35" i="5"/>
  <c r="BDF35" i="5"/>
  <c r="BDG35" i="5"/>
  <c r="BDH35" i="5"/>
  <c r="BDI35" i="5"/>
  <c r="BDJ35" i="5"/>
  <c r="BDK35" i="5"/>
  <c r="BDL35" i="5"/>
  <c r="BDM35" i="5"/>
  <c r="BDN35" i="5"/>
  <c r="BDO35" i="5"/>
  <c r="BDP35" i="5"/>
  <c r="BDQ35" i="5"/>
  <c r="BDR35" i="5"/>
  <c r="BDS35" i="5"/>
  <c r="BDT35" i="5"/>
  <c r="BDU35" i="5"/>
  <c r="BDV35" i="5"/>
  <c r="BDW35" i="5"/>
  <c r="BDX35" i="5"/>
  <c r="BDY35" i="5"/>
  <c r="BDZ35" i="5"/>
  <c r="BEA35" i="5"/>
  <c r="BEB35" i="5"/>
  <c r="BEC35" i="5"/>
  <c r="BED35" i="5"/>
  <c r="BEE35" i="5"/>
  <c r="BEF35" i="5"/>
  <c r="BEG35" i="5"/>
  <c r="BEH35" i="5"/>
  <c r="BEI35" i="5"/>
  <c r="BEJ35" i="5"/>
  <c r="BEK35" i="5"/>
  <c r="BEL35" i="5"/>
  <c r="BEM35" i="5"/>
  <c r="BEN35" i="5"/>
  <c r="BEO35" i="5"/>
  <c r="BEP35" i="5"/>
  <c r="BEQ35" i="5"/>
  <c r="BER35" i="5"/>
  <c r="BES35" i="5"/>
  <c r="BET35" i="5"/>
  <c r="BEU35" i="5"/>
  <c r="BEV35" i="5"/>
  <c r="BEW35" i="5"/>
  <c r="BEX35" i="5"/>
  <c r="BEY35" i="5"/>
  <c r="BEZ35" i="5"/>
  <c r="BFA35" i="5"/>
  <c r="BFB35" i="5"/>
  <c r="BFC35" i="5"/>
  <c r="BFD35" i="5"/>
  <c r="BFE35" i="5"/>
  <c r="BFF35" i="5"/>
  <c r="BFG35" i="5"/>
  <c r="BFH35" i="5"/>
  <c r="BFI35" i="5"/>
  <c r="BFJ35" i="5"/>
  <c r="BFK35" i="5"/>
  <c r="BFL35" i="5"/>
  <c r="BFM35" i="5"/>
  <c r="BFN35" i="5"/>
  <c r="BFO35" i="5"/>
  <c r="BFP35" i="5"/>
  <c r="BFQ35" i="5"/>
  <c r="BFR35" i="5"/>
  <c r="BFS35" i="5"/>
  <c r="BFT35" i="5"/>
  <c r="BFU35" i="5"/>
  <c r="BFV35" i="5"/>
  <c r="BFW35" i="5"/>
  <c r="BFX35" i="5"/>
  <c r="BFY35" i="5"/>
  <c r="BFZ35" i="5"/>
  <c r="BGA35" i="5"/>
  <c r="BGB35" i="5"/>
  <c r="BGC35" i="5"/>
  <c r="BGD35" i="5"/>
  <c r="BGE35" i="5"/>
  <c r="BGF35" i="5"/>
  <c r="BGG35" i="5"/>
  <c r="BGH35" i="5"/>
  <c r="BGI35" i="5"/>
  <c r="BGJ35" i="5"/>
  <c r="BGK35" i="5"/>
  <c r="BGL35" i="5"/>
  <c r="BGM35" i="5"/>
  <c r="BGN35" i="5"/>
  <c r="BGO35" i="5"/>
  <c r="BGP35" i="5"/>
  <c r="BGQ35" i="5"/>
  <c r="BGR35" i="5"/>
  <c r="BGS35" i="5"/>
  <c r="BGT35" i="5"/>
  <c r="BGU35" i="5"/>
  <c r="BGV35" i="5"/>
  <c r="BGW35" i="5"/>
  <c r="BGX35" i="5"/>
  <c r="BGY35" i="5"/>
  <c r="BGZ35" i="5"/>
  <c r="BHA35" i="5"/>
  <c r="BHB35" i="5"/>
  <c r="BHC35" i="5"/>
  <c r="BHD35" i="5"/>
  <c r="BHE35" i="5"/>
  <c r="BHF35" i="5"/>
  <c r="BHG35" i="5"/>
  <c r="BHH35" i="5"/>
  <c r="BHI35" i="5"/>
  <c r="BHJ35" i="5"/>
  <c r="BHK35" i="5"/>
  <c r="BHL35" i="5"/>
  <c r="BHM35" i="5"/>
  <c r="BHN35" i="5"/>
  <c r="BHO35" i="5"/>
  <c r="BHP35" i="5"/>
  <c r="BHQ35" i="5"/>
  <c r="BHR35" i="5"/>
  <c r="BHS35" i="5"/>
  <c r="BHT35" i="5"/>
  <c r="BHU35" i="5"/>
  <c r="BHV35" i="5"/>
  <c r="BHW35" i="5"/>
  <c r="BHX35" i="5"/>
  <c r="BHY35" i="5"/>
  <c r="BHZ35" i="5"/>
  <c r="BIA35" i="5"/>
  <c r="BIB35" i="5"/>
  <c r="BIC35" i="5"/>
  <c r="BID35" i="5"/>
  <c r="BIE35" i="5"/>
  <c r="BIF35" i="5"/>
  <c r="BIG35" i="5"/>
  <c r="BIH35" i="5"/>
  <c r="BII35" i="5"/>
  <c r="BIJ35" i="5"/>
  <c r="BIK35" i="5"/>
  <c r="BIL35" i="5"/>
  <c r="BIM35" i="5"/>
  <c r="BIN35" i="5"/>
  <c r="BIO35" i="5"/>
  <c r="BIP35" i="5"/>
  <c r="BIQ35" i="5"/>
  <c r="BIR35" i="5"/>
  <c r="BIS35" i="5"/>
  <c r="BIT35" i="5"/>
  <c r="BIU35" i="5"/>
  <c r="BIV35" i="5"/>
  <c r="BIW35" i="5"/>
  <c r="BIX35" i="5"/>
  <c r="BIY35" i="5"/>
  <c r="BIZ35" i="5"/>
  <c r="BJA35" i="5"/>
  <c r="BJB35" i="5"/>
  <c r="BJC35" i="5"/>
  <c r="BJD35" i="5"/>
  <c r="BJE35" i="5"/>
  <c r="BJF35" i="5"/>
  <c r="BJG35" i="5"/>
  <c r="BJH35" i="5"/>
  <c r="BJI35" i="5"/>
  <c r="BJJ35" i="5"/>
  <c r="BJK35" i="5"/>
  <c r="BJL35" i="5"/>
  <c r="BJM35" i="5"/>
  <c r="BJN35" i="5"/>
  <c r="BJO35" i="5"/>
  <c r="BJP35" i="5"/>
  <c r="BJQ35" i="5"/>
  <c r="BJR35" i="5"/>
  <c r="BJS35" i="5"/>
  <c r="BJT35" i="5"/>
  <c r="BJU35" i="5"/>
  <c r="BJV35" i="5"/>
  <c r="BJW35" i="5"/>
  <c r="BJX35" i="5"/>
  <c r="BJY35" i="5"/>
  <c r="BJZ35" i="5"/>
  <c r="BKA35" i="5"/>
  <c r="BKB35" i="5"/>
  <c r="BKC35" i="5"/>
  <c r="BKD35" i="5"/>
  <c r="BKE35" i="5"/>
  <c r="BKF35" i="5"/>
  <c r="BKG35" i="5"/>
  <c r="BKH35" i="5"/>
  <c r="BKI35" i="5"/>
  <c r="BKJ35" i="5"/>
  <c r="BKK35" i="5"/>
  <c r="BKL35" i="5"/>
  <c r="BKM35" i="5"/>
  <c r="BKN35" i="5"/>
  <c r="BKO35" i="5"/>
  <c r="BKP35" i="5"/>
  <c r="BKQ35" i="5"/>
  <c r="BKR35" i="5"/>
  <c r="BKS35" i="5"/>
  <c r="BKT35" i="5"/>
  <c r="BKU35" i="5"/>
  <c r="BKV35" i="5"/>
  <c r="BKW35" i="5"/>
  <c r="BKX35" i="5"/>
  <c r="BKY35" i="5"/>
  <c r="BKZ35" i="5"/>
  <c r="BLA35" i="5"/>
  <c r="BLB35" i="5"/>
  <c r="BLC35" i="5"/>
  <c r="BLD35" i="5"/>
  <c r="BLE35" i="5"/>
  <c r="BLF35" i="5"/>
  <c r="BLG35" i="5"/>
  <c r="BLH35" i="5"/>
  <c r="BLI35" i="5"/>
  <c r="BLJ35" i="5"/>
  <c r="BLK35" i="5"/>
  <c r="BLL35" i="5"/>
  <c r="BLM35" i="5"/>
  <c r="BLN35" i="5"/>
  <c r="BLO35" i="5"/>
  <c r="BLP35" i="5"/>
  <c r="BLQ35" i="5"/>
  <c r="BLR35" i="5"/>
  <c r="BLS35" i="5"/>
  <c r="BLT35" i="5"/>
  <c r="BLU35" i="5"/>
  <c r="BLV35" i="5"/>
  <c r="BLW35" i="5"/>
  <c r="BLX35" i="5"/>
  <c r="BLY35" i="5"/>
  <c r="BLZ35" i="5"/>
  <c r="BMA35" i="5"/>
  <c r="BMB35" i="5"/>
  <c r="BMC35" i="5"/>
  <c r="BMD35" i="5"/>
  <c r="BME35" i="5"/>
  <c r="BMF35" i="5"/>
  <c r="BMG35" i="5"/>
  <c r="BMH35" i="5"/>
  <c r="BMI35" i="5"/>
  <c r="BMJ35" i="5"/>
  <c r="BMK35" i="5"/>
  <c r="BML35" i="5"/>
  <c r="BMM35" i="5"/>
  <c r="BMN35" i="5"/>
  <c r="BMO35" i="5"/>
  <c r="BMP35" i="5"/>
  <c r="BMQ35" i="5"/>
  <c r="BMR35" i="5"/>
  <c r="BMS35" i="5"/>
  <c r="BMT35" i="5"/>
  <c r="BMU35" i="5"/>
  <c r="BMV35" i="5"/>
  <c r="BMW35" i="5"/>
  <c r="BMX35" i="5"/>
  <c r="BMY35" i="5"/>
  <c r="BMZ35" i="5"/>
  <c r="BNA35" i="5"/>
  <c r="BNB35" i="5"/>
  <c r="BNC35" i="5"/>
  <c r="BND35" i="5"/>
  <c r="BNE35" i="5"/>
  <c r="BNF35" i="5"/>
  <c r="BNG35" i="5"/>
  <c r="BNH35" i="5"/>
  <c r="BNI35" i="5"/>
  <c r="BNJ35" i="5"/>
  <c r="BNK35" i="5"/>
  <c r="BNL35" i="5"/>
  <c r="BNM35" i="5"/>
  <c r="BNN35" i="5"/>
  <c r="BNO35" i="5"/>
  <c r="BNP35" i="5"/>
  <c r="BNQ35" i="5"/>
  <c r="BNR35" i="5"/>
  <c r="BNS35" i="5"/>
  <c r="BNT35" i="5"/>
  <c r="BNU35" i="5"/>
  <c r="BNV35" i="5"/>
  <c r="BNW35" i="5"/>
  <c r="BNX35" i="5"/>
  <c r="BNY35" i="5"/>
  <c r="BNZ35" i="5"/>
  <c r="BOA35" i="5"/>
  <c r="BOB35" i="5"/>
  <c r="BOC35" i="5"/>
  <c r="BOD35" i="5"/>
  <c r="BOE35" i="5"/>
  <c r="BOF35" i="5"/>
  <c r="BOG35" i="5"/>
  <c r="BOH35" i="5"/>
  <c r="BOI35" i="5"/>
  <c r="BOJ35" i="5"/>
  <c r="BOK35" i="5"/>
  <c r="BOL35" i="5"/>
  <c r="BOM35" i="5"/>
  <c r="BON35" i="5"/>
  <c r="BOO35" i="5"/>
  <c r="BOP35" i="5"/>
  <c r="BOQ35" i="5"/>
  <c r="BOR35" i="5"/>
  <c r="BOS35" i="5"/>
  <c r="BOT35" i="5"/>
  <c r="BOU35" i="5"/>
  <c r="BOV35" i="5"/>
  <c r="BOW35" i="5"/>
  <c r="BOX35" i="5"/>
  <c r="BOY35" i="5"/>
  <c r="BOZ35" i="5"/>
  <c r="BPA35" i="5"/>
  <c r="BPB35" i="5"/>
  <c r="BPC35" i="5"/>
  <c r="BPD35" i="5"/>
  <c r="BPE35" i="5"/>
  <c r="BPF35" i="5"/>
  <c r="BPG35" i="5"/>
  <c r="BPH35" i="5"/>
  <c r="BPI35" i="5"/>
  <c r="BPJ35" i="5"/>
  <c r="BPK35" i="5"/>
  <c r="BPL35" i="5"/>
  <c r="BPM35" i="5"/>
  <c r="BPN35" i="5"/>
  <c r="BPO35" i="5"/>
  <c r="BPP35" i="5"/>
  <c r="BPQ35" i="5"/>
  <c r="BPR35" i="5"/>
  <c r="BPS35" i="5"/>
  <c r="BPT35" i="5"/>
  <c r="BPU35" i="5"/>
  <c r="BPV35" i="5"/>
  <c r="BPW35" i="5"/>
  <c r="BPX35" i="5"/>
  <c r="BPY35" i="5"/>
  <c r="BPZ35" i="5"/>
  <c r="BQA35" i="5"/>
  <c r="BQB35" i="5"/>
  <c r="BQC35" i="5"/>
  <c r="BQD35" i="5"/>
  <c r="BQE35" i="5"/>
  <c r="BQF35" i="5"/>
  <c r="BQG35" i="5"/>
  <c r="BQH35" i="5"/>
  <c r="BQI35" i="5"/>
  <c r="BQJ35" i="5"/>
  <c r="BQK35" i="5"/>
  <c r="BQL35" i="5"/>
  <c r="BQM35" i="5"/>
  <c r="BQN35" i="5"/>
  <c r="BQO35" i="5"/>
  <c r="BQP35" i="5"/>
  <c r="BQQ35" i="5"/>
  <c r="BQR35" i="5"/>
  <c r="BQS35" i="5"/>
  <c r="BQT35" i="5"/>
  <c r="BQU35" i="5"/>
  <c r="BQV35" i="5"/>
  <c r="BQW35" i="5"/>
  <c r="BQX35" i="5"/>
  <c r="BQY35" i="5"/>
  <c r="BQZ35" i="5"/>
  <c r="BRA35" i="5"/>
  <c r="BRB35" i="5"/>
  <c r="BRC35" i="5"/>
  <c r="BRD35" i="5"/>
  <c r="BRE35" i="5"/>
  <c r="BRF35" i="5"/>
  <c r="BRG35" i="5"/>
  <c r="BRH35" i="5"/>
  <c r="BRI35" i="5"/>
  <c r="BRJ35" i="5"/>
  <c r="BRK35" i="5"/>
  <c r="BRL35" i="5"/>
  <c r="BRM35" i="5"/>
  <c r="BRN35" i="5"/>
  <c r="BRO35" i="5"/>
  <c r="BRP35" i="5"/>
  <c r="BRQ35" i="5"/>
  <c r="BRR35" i="5"/>
  <c r="BRS35" i="5"/>
  <c r="BRT35" i="5"/>
  <c r="BRU35" i="5"/>
  <c r="BRV35" i="5"/>
  <c r="BRW35" i="5"/>
  <c r="BRX35" i="5"/>
  <c r="BRY35" i="5"/>
  <c r="BRZ35" i="5"/>
  <c r="BSA35" i="5"/>
  <c r="BSB35" i="5"/>
  <c r="BSC35" i="5"/>
  <c r="BSD35" i="5"/>
  <c r="BSE35" i="5"/>
  <c r="BSF35" i="5"/>
  <c r="BSG35" i="5"/>
  <c r="BSH35" i="5"/>
  <c r="BSI35" i="5"/>
  <c r="BSJ35" i="5"/>
  <c r="BSK35" i="5"/>
  <c r="BSL35" i="5"/>
  <c r="BSM35" i="5"/>
  <c r="BSN35" i="5"/>
  <c r="BSO35" i="5"/>
  <c r="BSP35" i="5"/>
  <c r="BSQ35" i="5"/>
  <c r="BSR35" i="5"/>
  <c r="BSS35" i="5"/>
  <c r="BST35" i="5"/>
  <c r="BSU35" i="5"/>
  <c r="BSV35" i="5"/>
  <c r="BSW35" i="5"/>
  <c r="BSX35" i="5"/>
  <c r="BSY35" i="5"/>
  <c r="BSZ35" i="5"/>
  <c r="BTA35" i="5"/>
  <c r="BTB35" i="5"/>
  <c r="BTC35" i="5"/>
  <c r="BTD35" i="5"/>
  <c r="BTE35" i="5"/>
  <c r="BTF35" i="5"/>
  <c r="BTG35" i="5"/>
  <c r="BTH35" i="5"/>
  <c r="BTI35" i="5"/>
  <c r="BTJ35" i="5"/>
  <c r="BTK35" i="5"/>
  <c r="BTL35" i="5"/>
  <c r="BTM35" i="5"/>
  <c r="BTN35" i="5"/>
  <c r="BTO35" i="5"/>
  <c r="BTP35" i="5"/>
  <c r="BTQ35" i="5"/>
  <c r="BTR35" i="5"/>
  <c r="BTS35" i="5"/>
  <c r="BTT35" i="5"/>
  <c r="BTU35" i="5"/>
  <c r="BTV35" i="5"/>
  <c r="BTW35" i="5"/>
  <c r="BTX35" i="5"/>
  <c r="BTY35" i="5"/>
  <c r="BTZ35" i="5"/>
  <c r="BUA35" i="5"/>
  <c r="BUB35" i="5"/>
  <c r="BUC35" i="5"/>
  <c r="BUD35" i="5"/>
  <c r="BUE35" i="5"/>
  <c r="BUF35" i="5"/>
  <c r="BUG35" i="5"/>
  <c r="BUH35" i="5"/>
  <c r="BUI35" i="5"/>
  <c r="BUJ35" i="5"/>
  <c r="BUK35" i="5"/>
  <c r="BUL35" i="5"/>
  <c r="BUM35" i="5"/>
  <c r="BUN35" i="5"/>
  <c r="BUO35" i="5"/>
  <c r="BUP35" i="5"/>
  <c r="BUQ35" i="5"/>
  <c r="BUR35" i="5"/>
  <c r="BUS35" i="5"/>
  <c r="BUT35" i="5"/>
  <c r="BUU35" i="5"/>
  <c r="BUV35" i="5"/>
  <c r="BUW35" i="5"/>
  <c r="BUX35" i="5"/>
  <c r="BUY35" i="5"/>
  <c r="BUZ35" i="5"/>
  <c r="BVA35" i="5"/>
  <c r="BVB35" i="5"/>
  <c r="BVC35" i="5"/>
  <c r="BVD35" i="5"/>
  <c r="BVE35" i="5"/>
  <c r="BVF35" i="5"/>
  <c r="BVG35" i="5"/>
  <c r="BVH35" i="5"/>
  <c r="BVI35" i="5"/>
  <c r="BVJ35" i="5"/>
  <c r="BVK35" i="5"/>
  <c r="BVL35" i="5"/>
  <c r="BVM35" i="5"/>
  <c r="BVN35" i="5"/>
  <c r="BVO35" i="5"/>
  <c r="BVP35" i="5"/>
  <c r="BVQ35" i="5"/>
  <c r="BVR35" i="5"/>
  <c r="BVS35" i="5"/>
  <c r="BVT35" i="5"/>
  <c r="BVU35" i="5"/>
  <c r="BVV35" i="5"/>
  <c r="BVW35" i="5"/>
  <c r="BVX35" i="5"/>
  <c r="BVY35" i="5"/>
  <c r="BVZ35" i="5"/>
  <c r="BWA35" i="5"/>
  <c r="BWB35" i="5"/>
  <c r="BWC35" i="5"/>
  <c r="BWD35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HT36" i="5"/>
  <c r="HU36" i="5"/>
  <c r="HV36" i="5"/>
  <c r="HW36" i="5"/>
  <c r="HX36" i="5"/>
  <c r="HY36" i="5"/>
  <c r="HZ36" i="5"/>
  <c r="IA36" i="5"/>
  <c r="IB36" i="5"/>
  <c r="IC36" i="5"/>
  <c r="ID36" i="5"/>
  <c r="IE36" i="5"/>
  <c r="IF36" i="5"/>
  <c r="IG36" i="5"/>
  <c r="IH36" i="5"/>
  <c r="II36" i="5"/>
  <c r="IJ36" i="5"/>
  <c r="IK36" i="5"/>
  <c r="IL36" i="5"/>
  <c r="IM36" i="5"/>
  <c r="IN36" i="5"/>
  <c r="IO36" i="5"/>
  <c r="IP36" i="5"/>
  <c r="IQ36" i="5"/>
  <c r="IR36" i="5"/>
  <c r="IS36" i="5"/>
  <c r="IT36" i="5"/>
  <c r="IU36" i="5"/>
  <c r="IV36" i="5"/>
  <c r="IW36" i="5"/>
  <c r="IX36" i="5"/>
  <c r="IY36" i="5"/>
  <c r="IZ36" i="5"/>
  <c r="JA36" i="5"/>
  <c r="JB36" i="5"/>
  <c r="JC36" i="5"/>
  <c r="JD36" i="5"/>
  <c r="JE36" i="5"/>
  <c r="JF36" i="5"/>
  <c r="JG36" i="5"/>
  <c r="JH36" i="5"/>
  <c r="JI36" i="5"/>
  <c r="JJ36" i="5"/>
  <c r="JK36" i="5"/>
  <c r="JL36" i="5"/>
  <c r="JM36" i="5"/>
  <c r="JN36" i="5"/>
  <c r="JO36" i="5"/>
  <c r="JP36" i="5"/>
  <c r="JQ36" i="5"/>
  <c r="JR36" i="5"/>
  <c r="JS36" i="5"/>
  <c r="JT36" i="5"/>
  <c r="JU36" i="5"/>
  <c r="JV36" i="5"/>
  <c r="JW36" i="5"/>
  <c r="JX36" i="5"/>
  <c r="JY36" i="5"/>
  <c r="JZ36" i="5"/>
  <c r="KA36" i="5"/>
  <c r="KB36" i="5"/>
  <c r="KC36" i="5"/>
  <c r="KD36" i="5"/>
  <c r="KE36" i="5"/>
  <c r="KF36" i="5"/>
  <c r="KG36" i="5"/>
  <c r="KH36" i="5"/>
  <c r="KI36" i="5"/>
  <c r="KJ36" i="5"/>
  <c r="KK36" i="5"/>
  <c r="KL36" i="5"/>
  <c r="KM36" i="5"/>
  <c r="KN36" i="5"/>
  <c r="KO36" i="5"/>
  <c r="KP36" i="5"/>
  <c r="KQ36" i="5"/>
  <c r="KR36" i="5"/>
  <c r="KS36" i="5"/>
  <c r="KT36" i="5"/>
  <c r="KU36" i="5"/>
  <c r="KV36" i="5"/>
  <c r="KW36" i="5"/>
  <c r="KX36" i="5"/>
  <c r="KY36" i="5"/>
  <c r="KZ36" i="5"/>
  <c r="LA36" i="5"/>
  <c r="LB36" i="5"/>
  <c r="LC36" i="5"/>
  <c r="LD36" i="5"/>
  <c r="LE36" i="5"/>
  <c r="LF36" i="5"/>
  <c r="LG36" i="5"/>
  <c r="LH36" i="5"/>
  <c r="LI36" i="5"/>
  <c r="LJ36" i="5"/>
  <c r="LK36" i="5"/>
  <c r="LL36" i="5"/>
  <c r="LM36" i="5"/>
  <c r="LN36" i="5"/>
  <c r="LO36" i="5"/>
  <c r="LP36" i="5"/>
  <c r="LQ36" i="5"/>
  <c r="LR36" i="5"/>
  <c r="LS36" i="5"/>
  <c r="LT36" i="5"/>
  <c r="LU36" i="5"/>
  <c r="LV36" i="5"/>
  <c r="LW36" i="5"/>
  <c r="LX36" i="5"/>
  <c r="LY36" i="5"/>
  <c r="LZ36" i="5"/>
  <c r="MA36" i="5"/>
  <c r="MB36" i="5"/>
  <c r="MC36" i="5"/>
  <c r="MD36" i="5"/>
  <c r="ME36" i="5"/>
  <c r="MF36" i="5"/>
  <c r="MG36" i="5"/>
  <c r="MH36" i="5"/>
  <c r="MI36" i="5"/>
  <c r="MJ36" i="5"/>
  <c r="MK36" i="5"/>
  <c r="ML36" i="5"/>
  <c r="MM36" i="5"/>
  <c r="MN36" i="5"/>
  <c r="MO36" i="5"/>
  <c r="MP36" i="5"/>
  <c r="MQ36" i="5"/>
  <c r="MR36" i="5"/>
  <c r="MS36" i="5"/>
  <c r="MT36" i="5"/>
  <c r="MU36" i="5"/>
  <c r="MV36" i="5"/>
  <c r="MW36" i="5"/>
  <c r="MX36" i="5"/>
  <c r="MY36" i="5"/>
  <c r="MZ36" i="5"/>
  <c r="NA36" i="5"/>
  <c r="NB36" i="5"/>
  <c r="NC36" i="5"/>
  <c r="ND36" i="5"/>
  <c r="NE36" i="5"/>
  <c r="NF36" i="5"/>
  <c r="NG36" i="5"/>
  <c r="NH36" i="5"/>
  <c r="NI36" i="5"/>
  <c r="NJ36" i="5"/>
  <c r="NK36" i="5"/>
  <c r="NL36" i="5"/>
  <c r="NM36" i="5"/>
  <c r="NN36" i="5"/>
  <c r="NO36" i="5"/>
  <c r="NP36" i="5"/>
  <c r="NQ36" i="5"/>
  <c r="NR36" i="5"/>
  <c r="NS36" i="5"/>
  <c r="NT36" i="5"/>
  <c r="NU36" i="5"/>
  <c r="NV36" i="5"/>
  <c r="NW36" i="5"/>
  <c r="NX36" i="5"/>
  <c r="NY36" i="5"/>
  <c r="NZ36" i="5"/>
  <c r="OA36" i="5"/>
  <c r="OB36" i="5"/>
  <c r="OC36" i="5"/>
  <c r="OD36" i="5"/>
  <c r="OE36" i="5"/>
  <c r="OF36" i="5"/>
  <c r="OG36" i="5"/>
  <c r="OH36" i="5"/>
  <c r="OI36" i="5"/>
  <c r="OJ36" i="5"/>
  <c r="OK36" i="5"/>
  <c r="OL36" i="5"/>
  <c r="OM36" i="5"/>
  <c r="ON36" i="5"/>
  <c r="OO36" i="5"/>
  <c r="OP36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PO36" i="5"/>
  <c r="PP36" i="5"/>
  <c r="PQ36" i="5"/>
  <c r="PR36" i="5"/>
  <c r="PS36" i="5"/>
  <c r="PT36" i="5"/>
  <c r="PU36" i="5"/>
  <c r="PV36" i="5"/>
  <c r="PW36" i="5"/>
  <c r="PX36" i="5"/>
  <c r="PY36" i="5"/>
  <c r="PZ36" i="5"/>
  <c r="QA36" i="5"/>
  <c r="QB36" i="5"/>
  <c r="QC36" i="5"/>
  <c r="QD36" i="5"/>
  <c r="QE36" i="5"/>
  <c r="QF36" i="5"/>
  <c r="QG36" i="5"/>
  <c r="QH36" i="5"/>
  <c r="QI36" i="5"/>
  <c r="QJ36" i="5"/>
  <c r="QK36" i="5"/>
  <c r="QL36" i="5"/>
  <c r="QM36" i="5"/>
  <c r="QN36" i="5"/>
  <c r="QO36" i="5"/>
  <c r="QP36" i="5"/>
  <c r="QQ36" i="5"/>
  <c r="QR36" i="5"/>
  <c r="QS36" i="5"/>
  <c r="QT36" i="5"/>
  <c r="QU36" i="5"/>
  <c r="QV36" i="5"/>
  <c r="QW36" i="5"/>
  <c r="QX36" i="5"/>
  <c r="QY36" i="5"/>
  <c r="QZ36" i="5"/>
  <c r="RA36" i="5"/>
  <c r="RB36" i="5"/>
  <c r="RC36" i="5"/>
  <c r="RD36" i="5"/>
  <c r="RE36" i="5"/>
  <c r="RF36" i="5"/>
  <c r="RG36" i="5"/>
  <c r="RH36" i="5"/>
  <c r="RI36" i="5"/>
  <c r="RJ36" i="5"/>
  <c r="RK36" i="5"/>
  <c r="RL36" i="5"/>
  <c r="RM36" i="5"/>
  <c r="RN36" i="5"/>
  <c r="RO36" i="5"/>
  <c r="RP36" i="5"/>
  <c r="RQ36" i="5"/>
  <c r="RR36" i="5"/>
  <c r="RS36" i="5"/>
  <c r="RT36" i="5"/>
  <c r="RU36" i="5"/>
  <c r="RV36" i="5"/>
  <c r="RW36" i="5"/>
  <c r="RX36" i="5"/>
  <c r="RY36" i="5"/>
  <c r="RZ36" i="5"/>
  <c r="SA36" i="5"/>
  <c r="SB36" i="5"/>
  <c r="SC36" i="5"/>
  <c r="SD36" i="5"/>
  <c r="SE36" i="5"/>
  <c r="SF36" i="5"/>
  <c r="SG36" i="5"/>
  <c r="SH36" i="5"/>
  <c r="SI36" i="5"/>
  <c r="SJ36" i="5"/>
  <c r="SK36" i="5"/>
  <c r="SL36" i="5"/>
  <c r="SM36" i="5"/>
  <c r="SN36" i="5"/>
  <c r="SO36" i="5"/>
  <c r="SP36" i="5"/>
  <c r="SQ36" i="5"/>
  <c r="SR36" i="5"/>
  <c r="SS36" i="5"/>
  <c r="ST36" i="5"/>
  <c r="SU36" i="5"/>
  <c r="SV36" i="5"/>
  <c r="SW36" i="5"/>
  <c r="SX36" i="5"/>
  <c r="SY36" i="5"/>
  <c r="SZ36" i="5"/>
  <c r="TA36" i="5"/>
  <c r="TB36" i="5"/>
  <c r="TC36" i="5"/>
  <c r="TD36" i="5"/>
  <c r="TE36" i="5"/>
  <c r="TF36" i="5"/>
  <c r="TG36" i="5"/>
  <c r="TH36" i="5"/>
  <c r="TI36" i="5"/>
  <c r="TJ36" i="5"/>
  <c r="TK36" i="5"/>
  <c r="TL36" i="5"/>
  <c r="TM36" i="5"/>
  <c r="TN36" i="5"/>
  <c r="TO36" i="5"/>
  <c r="TP36" i="5"/>
  <c r="TQ36" i="5"/>
  <c r="TR36" i="5"/>
  <c r="TS36" i="5"/>
  <c r="TT36" i="5"/>
  <c r="TU36" i="5"/>
  <c r="TV36" i="5"/>
  <c r="TW36" i="5"/>
  <c r="TX36" i="5"/>
  <c r="TY36" i="5"/>
  <c r="TZ36" i="5"/>
  <c r="UA36" i="5"/>
  <c r="UB36" i="5"/>
  <c r="UC36" i="5"/>
  <c r="UD36" i="5"/>
  <c r="UE36" i="5"/>
  <c r="UF36" i="5"/>
  <c r="UG36" i="5"/>
  <c r="UH36" i="5"/>
  <c r="UI36" i="5"/>
  <c r="UJ36" i="5"/>
  <c r="UK36" i="5"/>
  <c r="UL36" i="5"/>
  <c r="UM36" i="5"/>
  <c r="UN36" i="5"/>
  <c r="UO36" i="5"/>
  <c r="UP36" i="5"/>
  <c r="UQ36" i="5"/>
  <c r="UR36" i="5"/>
  <c r="US36" i="5"/>
  <c r="UT36" i="5"/>
  <c r="UU36" i="5"/>
  <c r="UV36" i="5"/>
  <c r="UW36" i="5"/>
  <c r="UX36" i="5"/>
  <c r="UY36" i="5"/>
  <c r="UZ36" i="5"/>
  <c r="VA36" i="5"/>
  <c r="VB36" i="5"/>
  <c r="VC36" i="5"/>
  <c r="VD36" i="5"/>
  <c r="VE36" i="5"/>
  <c r="VF36" i="5"/>
  <c r="VG36" i="5"/>
  <c r="VH36" i="5"/>
  <c r="VI36" i="5"/>
  <c r="VJ36" i="5"/>
  <c r="VK36" i="5"/>
  <c r="VL36" i="5"/>
  <c r="VM36" i="5"/>
  <c r="VN36" i="5"/>
  <c r="VO36" i="5"/>
  <c r="VP36" i="5"/>
  <c r="VQ36" i="5"/>
  <c r="VR36" i="5"/>
  <c r="VS36" i="5"/>
  <c r="VT36" i="5"/>
  <c r="VU36" i="5"/>
  <c r="VV36" i="5"/>
  <c r="VW36" i="5"/>
  <c r="VX36" i="5"/>
  <c r="VY36" i="5"/>
  <c r="VZ36" i="5"/>
  <c r="WA36" i="5"/>
  <c r="WB36" i="5"/>
  <c r="WC36" i="5"/>
  <c r="WD36" i="5"/>
  <c r="WE36" i="5"/>
  <c r="WF36" i="5"/>
  <c r="WG36" i="5"/>
  <c r="WH36" i="5"/>
  <c r="WI36" i="5"/>
  <c r="WJ36" i="5"/>
  <c r="WK36" i="5"/>
  <c r="WL36" i="5"/>
  <c r="WM36" i="5"/>
  <c r="WN36" i="5"/>
  <c r="WO36" i="5"/>
  <c r="WP36" i="5"/>
  <c r="WQ36" i="5"/>
  <c r="WR36" i="5"/>
  <c r="WS36" i="5"/>
  <c r="WT36" i="5"/>
  <c r="WU36" i="5"/>
  <c r="WV36" i="5"/>
  <c r="WW36" i="5"/>
  <c r="WX36" i="5"/>
  <c r="WY36" i="5"/>
  <c r="WZ36" i="5"/>
  <c r="XA36" i="5"/>
  <c r="XB36" i="5"/>
  <c r="XC36" i="5"/>
  <c r="XD36" i="5"/>
  <c r="XE36" i="5"/>
  <c r="XF36" i="5"/>
  <c r="XG36" i="5"/>
  <c r="XH36" i="5"/>
  <c r="XI36" i="5"/>
  <c r="XJ36" i="5"/>
  <c r="XK36" i="5"/>
  <c r="XL36" i="5"/>
  <c r="XM36" i="5"/>
  <c r="XN36" i="5"/>
  <c r="XO36" i="5"/>
  <c r="XP36" i="5"/>
  <c r="XQ36" i="5"/>
  <c r="XR36" i="5"/>
  <c r="XS36" i="5"/>
  <c r="XT36" i="5"/>
  <c r="XU36" i="5"/>
  <c r="XV36" i="5"/>
  <c r="XW36" i="5"/>
  <c r="XX36" i="5"/>
  <c r="XY36" i="5"/>
  <c r="XZ36" i="5"/>
  <c r="YA36" i="5"/>
  <c r="YB36" i="5"/>
  <c r="YC36" i="5"/>
  <c r="YD36" i="5"/>
  <c r="YE36" i="5"/>
  <c r="YF36" i="5"/>
  <c r="YG36" i="5"/>
  <c r="YH36" i="5"/>
  <c r="YI36" i="5"/>
  <c r="YJ36" i="5"/>
  <c r="YK36" i="5"/>
  <c r="YL36" i="5"/>
  <c r="YM36" i="5"/>
  <c r="YN36" i="5"/>
  <c r="YO36" i="5"/>
  <c r="YP36" i="5"/>
  <c r="YQ36" i="5"/>
  <c r="YR36" i="5"/>
  <c r="YS36" i="5"/>
  <c r="YT36" i="5"/>
  <c r="YU36" i="5"/>
  <c r="YV36" i="5"/>
  <c r="YW36" i="5"/>
  <c r="YX36" i="5"/>
  <c r="YY36" i="5"/>
  <c r="YZ36" i="5"/>
  <c r="ZA36" i="5"/>
  <c r="ZB36" i="5"/>
  <c r="ZC36" i="5"/>
  <c r="ZD36" i="5"/>
  <c r="ZE36" i="5"/>
  <c r="ZF36" i="5"/>
  <c r="ZG36" i="5"/>
  <c r="ZH36" i="5"/>
  <c r="ZI36" i="5"/>
  <c r="ZJ36" i="5"/>
  <c r="ZK36" i="5"/>
  <c r="ZL36" i="5"/>
  <c r="ZM36" i="5"/>
  <c r="ZN36" i="5"/>
  <c r="ZO36" i="5"/>
  <c r="ZP36" i="5"/>
  <c r="ZQ36" i="5"/>
  <c r="ZR36" i="5"/>
  <c r="ZS36" i="5"/>
  <c r="ZT36" i="5"/>
  <c r="ZU36" i="5"/>
  <c r="ZV36" i="5"/>
  <c r="ZW36" i="5"/>
  <c r="ZX36" i="5"/>
  <c r="ZY36" i="5"/>
  <c r="ZZ36" i="5"/>
  <c r="AAA36" i="5"/>
  <c r="AAB36" i="5"/>
  <c r="AAC36" i="5"/>
  <c r="AAD36" i="5"/>
  <c r="AAE36" i="5"/>
  <c r="AAF36" i="5"/>
  <c r="AAG36" i="5"/>
  <c r="AAH36" i="5"/>
  <c r="AAI36" i="5"/>
  <c r="AAJ36" i="5"/>
  <c r="AAK36" i="5"/>
  <c r="AAL36" i="5"/>
  <c r="AAM36" i="5"/>
  <c r="AAN36" i="5"/>
  <c r="AAO36" i="5"/>
  <c r="AAP36" i="5"/>
  <c r="AAQ36" i="5"/>
  <c r="AAR36" i="5"/>
  <c r="AAS36" i="5"/>
  <c r="AAT36" i="5"/>
  <c r="AAU36" i="5"/>
  <c r="AAV36" i="5"/>
  <c r="AAW36" i="5"/>
  <c r="AAX36" i="5"/>
  <c r="AAY36" i="5"/>
  <c r="AAZ36" i="5"/>
  <c r="ABA36" i="5"/>
  <c r="ABB36" i="5"/>
  <c r="ABC36" i="5"/>
  <c r="ABD36" i="5"/>
  <c r="ABE36" i="5"/>
  <c r="ABF36" i="5"/>
  <c r="ABG36" i="5"/>
  <c r="ABH36" i="5"/>
  <c r="ABI36" i="5"/>
  <c r="ABJ36" i="5"/>
  <c r="ABK36" i="5"/>
  <c r="ABL36" i="5"/>
  <c r="ABM36" i="5"/>
  <c r="ABN36" i="5"/>
  <c r="ABO36" i="5"/>
  <c r="ABP36" i="5"/>
  <c r="ABQ36" i="5"/>
  <c r="ABR36" i="5"/>
  <c r="ABS36" i="5"/>
  <c r="ABT36" i="5"/>
  <c r="ABU36" i="5"/>
  <c r="ABV36" i="5"/>
  <c r="ABW36" i="5"/>
  <c r="ABX36" i="5"/>
  <c r="ABY36" i="5"/>
  <c r="ABZ36" i="5"/>
  <c r="ACA36" i="5"/>
  <c r="ACB36" i="5"/>
  <c r="ACC36" i="5"/>
  <c r="ACD36" i="5"/>
  <c r="ACE36" i="5"/>
  <c r="ACF36" i="5"/>
  <c r="ACG36" i="5"/>
  <c r="ACH36" i="5"/>
  <c r="ACI36" i="5"/>
  <c r="ACJ36" i="5"/>
  <c r="ACK36" i="5"/>
  <c r="ACL36" i="5"/>
  <c r="ACM36" i="5"/>
  <c r="ACN36" i="5"/>
  <c r="ACO36" i="5"/>
  <c r="ACP36" i="5"/>
  <c r="ACQ36" i="5"/>
  <c r="ACR36" i="5"/>
  <c r="ACS36" i="5"/>
  <c r="ACT36" i="5"/>
  <c r="ACU36" i="5"/>
  <c r="ACV36" i="5"/>
  <c r="ACW36" i="5"/>
  <c r="ACX36" i="5"/>
  <c r="ACY36" i="5"/>
  <c r="ACZ36" i="5"/>
  <c r="ADA36" i="5"/>
  <c r="ADB36" i="5"/>
  <c r="ADC36" i="5"/>
  <c r="ADD36" i="5"/>
  <c r="ADE36" i="5"/>
  <c r="ADF36" i="5"/>
  <c r="ADG36" i="5"/>
  <c r="ADH36" i="5"/>
  <c r="ADI36" i="5"/>
  <c r="ADJ36" i="5"/>
  <c r="ADK36" i="5"/>
  <c r="ADL36" i="5"/>
  <c r="ADM36" i="5"/>
  <c r="ADN36" i="5"/>
  <c r="ADO36" i="5"/>
  <c r="ADP36" i="5"/>
  <c r="ADQ36" i="5"/>
  <c r="ADR36" i="5"/>
  <c r="ADS36" i="5"/>
  <c r="ADT36" i="5"/>
  <c r="ADU36" i="5"/>
  <c r="ADV36" i="5"/>
  <c r="ADW36" i="5"/>
  <c r="ADX36" i="5"/>
  <c r="ADY36" i="5"/>
  <c r="ADZ36" i="5"/>
  <c r="AEA36" i="5"/>
  <c r="AEB36" i="5"/>
  <c r="AEC36" i="5"/>
  <c r="AED36" i="5"/>
  <c r="AEE36" i="5"/>
  <c r="AEF36" i="5"/>
  <c r="AEG36" i="5"/>
  <c r="AEH36" i="5"/>
  <c r="AEI36" i="5"/>
  <c r="AEJ36" i="5"/>
  <c r="AEK36" i="5"/>
  <c r="AEL36" i="5"/>
  <c r="AEM36" i="5"/>
  <c r="AEN36" i="5"/>
  <c r="AEO36" i="5"/>
  <c r="AEP36" i="5"/>
  <c r="AEQ36" i="5"/>
  <c r="AER36" i="5"/>
  <c r="AES36" i="5"/>
  <c r="AET36" i="5"/>
  <c r="AEU36" i="5"/>
  <c r="AEV36" i="5"/>
  <c r="AEW36" i="5"/>
  <c r="AEX36" i="5"/>
  <c r="AEY36" i="5"/>
  <c r="AEZ36" i="5"/>
  <c r="AFA36" i="5"/>
  <c r="AFB36" i="5"/>
  <c r="AFC36" i="5"/>
  <c r="AFD36" i="5"/>
  <c r="AFE36" i="5"/>
  <c r="AFF36" i="5"/>
  <c r="AFG36" i="5"/>
  <c r="AFH36" i="5"/>
  <c r="AFI36" i="5"/>
  <c r="AFJ36" i="5"/>
  <c r="AFK36" i="5"/>
  <c r="AFL36" i="5"/>
  <c r="AFM36" i="5"/>
  <c r="AFN36" i="5"/>
  <c r="AFO36" i="5"/>
  <c r="AFP36" i="5"/>
  <c r="AFQ36" i="5"/>
  <c r="AFR36" i="5"/>
  <c r="AFS36" i="5"/>
  <c r="AFT36" i="5"/>
  <c r="AFU36" i="5"/>
  <c r="AFV36" i="5"/>
  <c r="AFW36" i="5"/>
  <c r="AFX36" i="5"/>
  <c r="AFY36" i="5"/>
  <c r="AFZ36" i="5"/>
  <c r="AGA36" i="5"/>
  <c r="AGB36" i="5"/>
  <c r="AGC36" i="5"/>
  <c r="AGD36" i="5"/>
  <c r="AGE36" i="5"/>
  <c r="AGF36" i="5"/>
  <c r="AGG36" i="5"/>
  <c r="AGH36" i="5"/>
  <c r="AGI36" i="5"/>
  <c r="AGJ36" i="5"/>
  <c r="AGK36" i="5"/>
  <c r="AGL36" i="5"/>
  <c r="AGM36" i="5"/>
  <c r="AGN36" i="5"/>
  <c r="AGO36" i="5"/>
  <c r="AGP36" i="5"/>
  <c r="AGQ36" i="5"/>
  <c r="AGR36" i="5"/>
  <c r="AGS36" i="5"/>
  <c r="AGT36" i="5"/>
  <c r="AGU36" i="5"/>
  <c r="AGV36" i="5"/>
  <c r="AGW36" i="5"/>
  <c r="AGX36" i="5"/>
  <c r="AGY36" i="5"/>
  <c r="AGZ36" i="5"/>
  <c r="AHA36" i="5"/>
  <c r="AHB36" i="5"/>
  <c r="AHC36" i="5"/>
  <c r="AHD36" i="5"/>
  <c r="AHE36" i="5"/>
  <c r="AHF36" i="5"/>
  <c r="AHG36" i="5"/>
  <c r="AHH36" i="5"/>
  <c r="AHI36" i="5"/>
  <c r="AHJ36" i="5"/>
  <c r="AHK36" i="5"/>
  <c r="AHL36" i="5"/>
  <c r="AHM36" i="5"/>
  <c r="AHN36" i="5"/>
  <c r="AHO36" i="5"/>
  <c r="AHP36" i="5"/>
  <c r="AHQ36" i="5"/>
  <c r="AHR36" i="5"/>
  <c r="AHS36" i="5"/>
  <c r="AHT36" i="5"/>
  <c r="AHU36" i="5"/>
  <c r="AHV36" i="5"/>
  <c r="AHW36" i="5"/>
  <c r="AHX36" i="5"/>
  <c r="AHY36" i="5"/>
  <c r="AHZ36" i="5"/>
  <c r="AIA36" i="5"/>
  <c r="AIB36" i="5"/>
  <c r="AIC36" i="5"/>
  <c r="AID36" i="5"/>
  <c r="AIE36" i="5"/>
  <c r="AIF36" i="5"/>
  <c r="AIG36" i="5"/>
  <c r="AIH36" i="5"/>
  <c r="AII36" i="5"/>
  <c r="AIJ36" i="5"/>
  <c r="AIK36" i="5"/>
  <c r="AIL36" i="5"/>
  <c r="AIM36" i="5"/>
  <c r="AIN36" i="5"/>
  <c r="AIO36" i="5"/>
  <c r="AIP36" i="5"/>
  <c r="AIQ36" i="5"/>
  <c r="AIR36" i="5"/>
  <c r="AIS36" i="5"/>
  <c r="AIT36" i="5"/>
  <c r="AIU36" i="5"/>
  <c r="AIV36" i="5"/>
  <c r="AIW36" i="5"/>
  <c r="AIX36" i="5"/>
  <c r="AIY36" i="5"/>
  <c r="AIZ36" i="5"/>
  <c r="AJA36" i="5"/>
  <c r="AJB36" i="5"/>
  <c r="AJC36" i="5"/>
  <c r="AJD36" i="5"/>
  <c r="AJE36" i="5"/>
  <c r="AJF36" i="5"/>
  <c r="AJG36" i="5"/>
  <c r="AJH36" i="5"/>
  <c r="AJI36" i="5"/>
  <c r="AJJ36" i="5"/>
  <c r="AJK36" i="5"/>
  <c r="AJL36" i="5"/>
  <c r="AJM36" i="5"/>
  <c r="AJN36" i="5"/>
  <c r="AJO36" i="5"/>
  <c r="AJP36" i="5"/>
  <c r="AJQ36" i="5"/>
  <c r="AJR36" i="5"/>
  <c r="AJS36" i="5"/>
  <c r="AJT36" i="5"/>
  <c r="AJU36" i="5"/>
  <c r="AJV36" i="5"/>
  <c r="AJW36" i="5"/>
  <c r="AJX36" i="5"/>
  <c r="AJY36" i="5"/>
  <c r="AJZ36" i="5"/>
  <c r="AKA36" i="5"/>
  <c r="AKB36" i="5"/>
  <c r="AKC36" i="5"/>
  <c r="AKD36" i="5"/>
  <c r="AKE36" i="5"/>
  <c r="AKF36" i="5"/>
  <c r="AKG36" i="5"/>
  <c r="AKH36" i="5"/>
  <c r="AKI36" i="5"/>
  <c r="AKJ36" i="5"/>
  <c r="AKK36" i="5"/>
  <c r="AKL36" i="5"/>
  <c r="AKM36" i="5"/>
  <c r="AKN36" i="5"/>
  <c r="AKO36" i="5"/>
  <c r="AKP36" i="5"/>
  <c r="AKQ36" i="5"/>
  <c r="AKR36" i="5"/>
  <c r="AKS36" i="5"/>
  <c r="AKT36" i="5"/>
  <c r="AKU36" i="5"/>
  <c r="AKV36" i="5"/>
  <c r="AKW36" i="5"/>
  <c r="AKX36" i="5"/>
  <c r="AKY36" i="5"/>
  <c r="AKZ36" i="5"/>
  <c r="ALA36" i="5"/>
  <c r="ALB36" i="5"/>
  <c r="ALC36" i="5"/>
  <c r="ALD36" i="5"/>
  <c r="ALE36" i="5"/>
  <c r="ALF36" i="5"/>
  <c r="ALG36" i="5"/>
  <c r="ALH36" i="5"/>
  <c r="ALI36" i="5"/>
  <c r="ALJ36" i="5"/>
  <c r="ALK36" i="5"/>
  <c r="ALL36" i="5"/>
  <c r="ALM36" i="5"/>
  <c r="ALN36" i="5"/>
  <c r="ALO36" i="5"/>
  <c r="ALP36" i="5"/>
  <c r="ALQ36" i="5"/>
  <c r="ALR36" i="5"/>
  <c r="ALS36" i="5"/>
  <c r="ALT36" i="5"/>
  <c r="ALU36" i="5"/>
  <c r="ALV36" i="5"/>
  <c r="ALW36" i="5"/>
  <c r="ALX36" i="5"/>
  <c r="ALY36" i="5"/>
  <c r="ALZ36" i="5"/>
  <c r="AMA36" i="5"/>
  <c r="AMB36" i="5"/>
  <c r="AMC36" i="5"/>
  <c r="AMD36" i="5"/>
  <c r="AME36" i="5"/>
  <c r="AMF36" i="5"/>
  <c r="AMG36" i="5"/>
  <c r="AMH36" i="5"/>
  <c r="AMI36" i="5"/>
  <c r="AMJ36" i="5"/>
  <c r="AMK36" i="5"/>
  <c r="AML36" i="5"/>
  <c r="AMM36" i="5"/>
  <c r="AMN36" i="5"/>
  <c r="AMO36" i="5"/>
  <c r="AMP36" i="5"/>
  <c r="AMQ36" i="5"/>
  <c r="AMR36" i="5"/>
  <c r="AMS36" i="5"/>
  <c r="AMT36" i="5"/>
  <c r="AMU36" i="5"/>
  <c r="AMV36" i="5"/>
  <c r="AMW36" i="5"/>
  <c r="AMX36" i="5"/>
  <c r="AMY36" i="5"/>
  <c r="AMZ36" i="5"/>
  <c r="ANA36" i="5"/>
  <c r="ANB36" i="5"/>
  <c r="ANC36" i="5"/>
  <c r="AND36" i="5"/>
  <c r="ANE36" i="5"/>
  <c r="ANF36" i="5"/>
  <c r="ANG36" i="5"/>
  <c r="ANH36" i="5"/>
  <c r="ANI36" i="5"/>
  <c r="ANJ36" i="5"/>
  <c r="ANK36" i="5"/>
  <c r="ANL36" i="5"/>
  <c r="ANM36" i="5"/>
  <c r="ANN36" i="5"/>
  <c r="ANO36" i="5"/>
  <c r="ANP36" i="5"/>
  <c r="ANQ36" i="5"/>
  <c r="ANR36" i="5"/>
  <c r="ANS36" i="5"/>
  <c r="ANT36" i="5"/>
  <c r="ANU36" i="5"/>
  <c r="ANV36" i="5"/>
  <c r="ANW36" i="5"/>
  <c r="ANX36" i="5"/>
  <c r="ANY36" i="5"/>
  <c r="ANZ36" i="5"/>
  <c r="AOA36" i="5"/>
  <c r="AOB36" i="5"/>
  <c r="AOC36" i="5"/>
  <c r="AOD36" i="5"/>
  <c r="AOE36" i="5"/>
  <c r="AOF36" i="5"/>
  <c r="AOG36" i="5"/>
  <c r="AOH36" i="5"/>
  <c r="AOI36" i="5"/>
  <c r="AOJ36" i="5"/>
  <c r="AOK36" i="5"/>
  <c r="AOL36" i="5"/>
  <c r="AOM36" i="5"/>
  <c r="AON36" i="5"/>
  <c r="AOO36" i="5"/>
  <c r="AOP36" i="5"/>
  <c r="AOQ36" i="5"/>
  <c r="AOR36" i="5"/>
  <c r="AOS36" i="5"/>
  <c r="AOT36" i="5"/>
  <c r="AOU36" i="5"/>
  <c r="AOV36" i="5"/>
  <c r="AOW36" i="5"/>
  <c r="AOX36" i="5"/>
  <c r="AOY36" i="5"/>
  <c r="AOZ36" i="5"/>
  <c r="APA36" i="5"/>
  <c r="APB36" i="5"/>
  <c r="APC36" i="5"/>
  <c r="APD36" i="5"/>
  <c r="APE36" i="5"/>
  <c r="APF36" i="5"/>
  <c r="APG36" i="5"/>
  <c r="APH36" i="5"/>
  <c r="API36" i="5"/>
  <c r="APJ36" i="5"/>
  <c r="APK36" i="5"/>
  <c r="APL36" i="5"/>
  <c r="APM36" i="5"/>
  <c r="APN36" i="5"/>
  <c r="APO36" i="5"/>
  <c r="APP36" i="5"/>
  <c r="APQ36" i="5"/>
  <c r="APR36" i="5"/>
  <c r="APS36" i="5"/>
  <c r="APT36" i="5"/>
  <c r="APU36" i="5"/>
  <c r="APV36" i="5"/>
  <c r="APW36" i="5"/>
  <c r="APX36" i="5"/>
  <c r="APY36" i="5"/>
  <c r="APZ36" i="5"/>
  <c r="AQA36" i="5"/>
  <c r="AQB36" i="5"/>
  <c r="AQC36" i="5"/>
  <c r="AQD36" i="5"/>
  <c r="AQE36" i="5"/>
  <c r="AQF36" i="5"/>
  <c r="AQG36" i="5"/>
  <c r="AQH36" i="5"/>
  <c r="AQI36" i="5"/>
  <c r="AQJ36" i="5"/>
  <c r="AQK36" i="5"/>
  <c r="AQL36" i="5"/>
  <c r="AQM36" i="5"/>
  <c r="AQN36" i="5"/>
  <c r="AQO36" i="5"/>
  <c r="AQP36" i="5"/>
  <c r="AQQ36" i="5"/>
  <c r="AQR36" i="5"/>
  <c r="AQS36" i="5"/>
  <c r="AQT36" i="5"/>
  <c r="AQU36" i="5"/>
  <c r="AQV36" i="5"/>
  <c r="AQW36" i="5"/>
  <c r="AQX36" i="5"/>
  <c r="AQY36" i="5"/>
  <c r="AQZ36" i="5"/>
  <c r="ARA36" i="5"/>
  <c r="ARB36" i="5"/>
  <c r="ARC36" i="5"/>
  <c r="ARD36" i="5"/>
  <c r="ARE36" i="5"/>
  <c r="ARF36" i="5"/>
  <c r="ARG36" i="5"/>
  <c r="ARH36" i="5"/>
  <c r="ARI36" i="5"/>
  <c r="ARJ36" i="5"/>
  <c r="ARK36" i="5"/>
  <c r="ARL36" i="5"/>
  <c r="ARM36" i="5"/>
  <c r="ARN36" i="5"/>
  <c r="ARO36" i="5"/>
  <c r="ARP36" i="5"/>
  <c r="ARQ36" i="5"/>
  <c r="ARR36" i="5"/>
  <c r="ARS36" i="5"/>
  <c r="ART36" i="5"/>
  <c r="ARU36" i="5"/>
  <c r="ARV36" i="5"/>
  <c r="ARW36" i="5"/>
  <c r="ARX36" i="5"/>
  <c r="ARY36" i="5"/>
  <c r="ARZ36" i="5"/>
  <c r="ASA36" i="5"/>
  <c r="ASB36" i="5"/>
  <c r="ASC36" i="5"/>
  <c r="ASD36" i="5"/>
  <c r="ASE36" i="5"/>
  <c r="ASF36" i="5"/>
  <c r="ASG36" i="5"/>
  <c r="ASH36" i="5"/>
  <c r="ASI36" i="5"/>
  <c r="ASJ36" i="5"/>
  <c r="ASK36" i="5"/>
  <c r="ASL36" i="5"/>
  <c r="ASM36" i="5"/>
  <c r="ASN36" i="5"/>
  <c r="ASO36" i="5"/>
  <c r="ASP36" i="5"/>
  <c r="ASQ36" i="5"/>
  <c r="ASR36" i="5"/>
  <c r="ASS36" i="5"/>
  <c r="AST36" i="5"/>
  <c r="ASU36" i="5"/>
  <c r="ASV36" i="5"/>
  <c r="ASW36" i="5"/>
  <c r="ASX36" i="5"/>
  <c r="ASY36" i="5"/>
  <c r="ASZ36" i="5"/>
  <c r="ATA36" i="5"/>
  <c r="ATB36" i="5"/>
  <c r="ATC36" i="5"/>
  <c r="ATD36" i="5"/>
  <c r="ATE36" i="5"/>
  <c r="ATF36" i="5"/>
  <c r="ATG36" i="5"/>
  <c r="ATH36" i="5"/>
  <c r="ATI36" i="5"/>
  <c r="ATJ36" i="5"/>
  <c r="ATK36" i="5"/>
  <c r="ATL36" i="5"/>
  <c r="ATM36" i="5"/>
  <c r="ATN36" i="5"/>
  <c r="ATO36" i="5"/>
  <c r="ATP36" i="5"/>
  <c r="ATQ36" i="5"/>
  <c r="ATR36" i="5"/>
  <c r="ATS36" i="5"/>
  <c r="ATT36" i="5"/>
  <c r="ATU36" i="5"/>
  <c r="ATV36" i="5"/>
  <c r="ATW36" i="5"/>
  <c r="ATX36" i="5"/>
  <c r="ATY36" i="5"/>
  <c r="ATZ36" i="5"/>
  <c r="AUA36" i="5"/>
  <c r="AUB36" i="5"/>
  <c r="AUC36" i="5"/>
  <c r="AUD36" i="5"/>
  <c r="AUE36" i="5"/>
  <c r="AUF36" i="5"/>
  <c r="AUG36" i="5"/>
  <c r="AUH36" i="5"/>
  <c r="AUI36" i="5"/>
  <c r="AUJ36" i="5"/>
  <c r="AUK36" i="5"/>
  <c r="AUL36" i="5"/>
  <c r="AUM36" i="5"/>
  <c r="AUN36" i="5"/>
  <c r="AUO36" i="5"/>
  <c r="AUP36" i="5"/>
  <c r="AUQ36" i="5"/>
  <c r="AUR36" i="5"/>
  <c r="AUS36" i="5"/>
  <c r="AUT36" i="5"/>
  <c r="AUU36" i="5"/>
  <c r="AUV36" i="5"/>
  <c r="AUW36" i="5"/>
  <c r="AUX36" i="5"/>
  <c r="AUY36" i="5"/>
  <c r="AUZ36" i="5"/>
  <c r="AVA36" i="5"/>
  <c r="AVB36" i="5"/>
  <c r="AVC36" i="5"/>
  <c r="AVD36" i="5"/>
  <c r="AVE36" i="5"/>
  <c r="AVF36" i="5"/>
  <c r="AVG36" i="5"/>
  <c r="AVH36" i="5"/>
  <c r="AVI36" i="5"/>
  <c r="AVJ36" i="5"/>
  <c r="AVK36" i="5"/>
  <c r="AVL36" i="5"/>
  <c r="AVM36" i="5"/>
  <c r="AVN36" i="5"/>
  <c r="AVO36" i="5"/>
  <c r="AVP36" i="5"/>
  <c r="AVQ36" i="5"/>
  <c r="AVR36" i="5"/>
  <c r="AVS36" i="5"/>
  <c r="AVT36" i="5"/>
  <c r="AVU36" i="5"/>
  <c r="AVV36" i="5"/>
  <c r="AVW36" i="5"/>
  <c r="AVX36" i="5"/>
  <c r="AVY36" i="5"/>
  <c r="AVZ36" i="5"/>
  <c r="AWA36" i="5"/>
  <c r="AWB36" i="5"/>
  <c r="AWC36" i="5"/>
  <c r="AWD36" i="5"/>
  <c r="AWE36" i="5"/>
  <c r="AWF36" i="5"/>
  <c r="AWG36" i="5"/>
  <c r="AWH36" i="5"/>
  <c r="AWI36" i="5"/>
  <c r="AWJ36" i="5"/>
  <c r="AWK36" i="5"/>
  <c r="AWL36" i="5"/>
  <c r="AWM36" i="5"/>
  <c r="AWN36" i="5"/>
  <c r="AWO36" i="5"/>
  <c r="AWP36" i="5"/>
  <c r="AWQ36" i="5"/>
  <c r="AWR36" i="5"/>
  <c r="AWS36" i="5"/>
  <c r="AWT36" i="5"/>
  <c r="AWU36" i="5"/>
  <c r="AWV36" i="5"/>
  <c r="AWW36" i="5"/>
  <c r="AWX36" i="5"/>
  <c r="AWY36" i="5"/>
  <c r="AWZ36" i="5"/>
  <c r="AXA36" i="5"/>
  <c r="AXB36" i="5"/>
  <c r="AXC36" i="5"/>
  <c r="AXD36" i="5"/>
  <c r="AXE36" i="5"/>
  <c r="AXF36" i="5"/>
  <c r="AXG36" i="5"/>
  <c r="AXH36" i="5"/>
  <c r="AXI36" i="5"/>
  <c r="AXJ36" i="5"/>
  <c r="AXK36" i="5"/>
  <c r="AXL36" i="5"/>
  <c r="AXM36" i="5"/>
  <c r="AXN36" i="5"/>
  <c r="AXO36" i="5"/>
  <c r="AXP36" i="5"/>
  <c r="AXQ36" i="5"/>
  <c r="AXR36" i="5"/>
  <c r="AXS36" i="5"/>
  <c r="AXT36" i="5"/>
  <c r="AXU36" i="5"/>
  <c r="AXV36" i="5"/>
  <c r="AXW36" i="5"/>
  <c r="AXX36" i="5"/>
  <c r="AXY36" i="5"/>
  <c r="AXZ36" i="5"/>
  <c r="AYA36" i="5"/>
  <c r="AYB36" i="5"/>
  <c r="AYC36" i="5"/>
  <c r="AYD36" i="5"/>
  <c r="AYE36" i="5"/>
  <c r="AYF36" i="5"/>
  <c r="AYG36" i="5"/>
  <c r="AYH36" i="5"/>
  <c r="AYI36" i="5"/>
  <c r="AYJ36" i="5"/>
  <c r="AYK36" i="5"/>
  <c r="AYL36" i="5"/>
  <c r="AYM36" i="5"/>
  <c r="AYN36" i="5"/>
  <c r="AYO36" i="5"/>
  <c r="AYP36" i="5"/>
  <c r="AYQ36" i="5"/>
  <c r="AYR36" i="5"/>
  <c r="AYS36" i="5"/>
  <c r="AYT36" i="5"/>
  <c r="AYU36" i="5"/>
  <c r="AYV36" i="5"/>
  <c r="AYW36" i="5"/>
  <c r="AYX36" i="5"/>
  <c r="AYY36" i="5"/>
  <c r="AYZ36" i="5"/>
  <c r="AZA36" i="5"/>
  <c r="AZB36" i="5"/>
  <c r="AZC36" i="5"/>
  <c r="AZD36" i="5"/>
  <c r="AZE36" i="5"/>
  <c r="AZF36" i="5"/>
  <c r="AZG36" i="5"/>
  <c r="AZH36" i="5"/>
  <c r="AZI36" i="5"/>
  <c r="AZJ36" i="5"/>
  <c r="AZK36" i="5"/>
  <c r="AZL36" i="5"/>
  <c r="AZM36" i="5"/>
  <c r="AZN36" i="5"/>
  <c r="AZO36" i="5"/>
  <c r="AZP36" i="5"/>
  <c r="AZQ36" i="5"/>
  <c r="AZR36" i="5"/>
  <c r="AZS36" i="5"/>
  <c r="AZT36" i="5"/>
  <c r="AZU36" i="5"/>
  <c r="AZV36" i="5"/>
  <c r="AZW36" i="5"/>
  <c r="AZX36" i="5"/>
  <c r="AZY36" i="5"/>
  <c r="AZZ36" i="5"/>
  <c r="BAA36" i="5"/>
  <c r="BAB36" i="5"/>
  <c r="BAC36" i="5"/>
  <c r="BAD36" i="5"/>
  <c r="BAE36" i="5"/>
  <c r="BAF36" i="5"/>
  <c r="BAG36" i="5"/>
  <c r="BAH36" i="5"/>
  <c r="BAI36" i="5"/>
  <c r="BAJ36" i="5"/>
  <c r="BAK36" i="5"/>
  <c r="BAL36" i="5"/>
  <c r="BAM36" i="5"/>
  <c r="BAN36" i="5"/>
  <c r="BAO36" i="5"/>
  <c r="BAP36" i="5"/>
  <c r="BAQ36" i="5"/>
  <c r="BAR36" i="5"/>
  <c r="BAS36" i="5"/>
  <c r="BAT36" i="5"/>
  <c r="BAU36" i="5"/>
  <c r="BAV36" i="5"/>
  <c r="BAW36" i="5"/>
  <c r="BAX36" i="5"/>
  <c r="BAY36" i="5"/>
  <c r="BAZ36" i="5"/>
  <c r="BBA36" i="5"/>
  <c r="BBB36" i="5"/>
  <c r="BBC36" i="5"/>
  <c r="BBD36" i="5"/>
  <c r="BBE36" i="5"/>
  <c r="BBF36" i="5"/>
  <c r="BBG36" i="5"/>
  <c r="BBH36" i="5"/>
  <c r="BBI36" i="5"/>
  <c r="BBJ36" i="5"/>
  <c r="BBK36" i="5"/>
  <c r="BBL36" i="5"/>
  <c r="BBM36" i="5"/>
  <c r="BBN36" i="5"/>
  <c r="BBO36" i="5"/>
  <c r="BBP36" i="5"/>
  <c r="BBQ36" i="5"/>
  <c r="BBR36" i="5"/>
  <c r="BBS36" i="5"/>
  <c r="BBT36" i="5"/>
  <c r="BBU36" i="5"/>
  <c r="BBV36" i="5"/>
  <c r="BBW36" i="5"/>
  <c r="BBX36" i="5"/>
  <c r="BBY36" i="5"/>
  <c r="BBZ36" i="5"/>
  <c r="BCA36" i="5"/>
  <c r="BCB36" i="5"/>
  <c r="BCC36" i="5"/>
  <c r="BCD36" i="5"/>
  <c r="BCE36" i="5"/>
  <c r="BCF36" i="5"/>
  <c r="BCG36" i="5"/>
  <c r="BCH36" i="5"/>
  <c r="BCI36" i="5"/>
  <c r="BCJ36" i="5"/>
  <c r="BCK36" i="5"/>
  <c r="BCL36" i="5"/>
  <c r="BCM36" i="5"/>
  <c r="BCN36" i="5"/>
  <c r="BCO36" i="5"/>
  <c r="BCP36" i="5"/>
  <c r="BCQ36" i="5"/>
  <c r="BCR36" i="5"/>
  <c r="BCS36" i="5"/>
  <c r="BCT36" i="5"/>
  <c r="BCU36" i="5"/>
  <c r="BCV36" i="5"/>
  <c r="BCW36" i="5"/>
  <c r="BCX36" i="5"/>
  <c r="BCY36" i="5"/>
  <c r="BCZ36" i="5"/>
  <c r="BDA36" i="5"/>
  <c r="BDB36" i="5"/>
  <c r="BDC36" i="5"/>
  <c r="BDD36" i="5"/>
  <c r="BDE36" i="5"/>
  <c r="BDF36" i="5"/>
  <c r="BDG36" i="5"/>
  <c r="BDH36" i="5"/>
  <c r="BDI36" i="5"/>
  <c r="BDJ36" i="5"/>
  <c r="BDK36" i="5"/>
  <c r="BDL36" i="5"/>
  <c r="BDM36" i="5"/>
  <c r="BDN36" i="5"/>
  <c r="BDO36" i="5"/>
  <c r="BDP36" i="5"/>
  <c r="BDQ36" i="5"/>
  <c r="BDR36" i="5"/>
  <c r="BDS36" i="5"/>
  <c r="BDT36" i="5"/>
  <c r="BDU36" i="5"/>
  <c r="BDV36" i="5"/>
  <c r="BDW36" i="5"/>
  <c r="BDX36" i="5"/>
  <c r="BDY36" i="5"/>
  <c r="BDZ36" i="5"/>
  <c r="BEA36" i="5"/>
  <c r="BEB36" i="5"/>
  <c r="BEC36" i="5"/>
  <c r="BED36" i="5"/>
  <c r="BEE36" i="5"/>
  <c r="BEF36" i="5"/>
  <c r="BEG36" i="5"/>
  <c r="BEH36" i="5"/>
  <c r="BEI36" i="5"/>
  <c r="BEJ36" i="5"/>
  <c r="BEK36" i="5"/>
  <c r="BEL36" i="5"/>
  <c r="BEM36" i="5"/>
  <c r="BEN36" i="5"/>
  <c r="BEO36" i="5"/>
  <c r="BEP36" i="5"/>
  <c r="BEQ36" i="5"/>
  <c r="BER36" i="5"/>
  <c r="BES36" i="5"/>
  <c r="BET36" i="5"/>
  <c r="BEU36" i="5"/>
  <c r="BEV36" i="5"/>
  <c r="BEW36" i="5"/>
  <c r="BEX36" i="5"/>
  <c r="BEY36" i="5"/>
  <c r="BEZ36" i="5"/>
  <c r="BFA36" i="5"/>
  <c r="BFB36" i="5"/>
  <c r="BFC36" i="5"/>
  <c r="BFD36" i="5"/>
  <c r="BFE36" i="5"/>
  <c r="BFF36" i="5"/>
  <c r="BFG36" i="5"/>
  <c r="BFH36" i="5"/>
  <c r="BFI36" i="5"/>
  <c r="BFJ36" i="5"/>
  <c r="BFK36" i="5"/>
  <c r="BFL36" i="5"/>
  <c r="BFM36" i="5"/>
  <c r="BFN36" i="5"/>
  <c r="BFO36" i="5"/>
  <c r="BFP36" i="5"/>
  <c r="BFQ36" i="5"/>
  <c r="BFR36" i="5"/>
  <c r="BFS36" i="5"/>
  <c r="BFT36" i="5"/>
  <c r="BFU36" i="5"/>
  <c r="BFV36" i="5"/>
  <c r="BFW36" i="5"/>
  <c r="BFX36" i="5"/>
  <c r="BFY36" i="5"/>
  <c r="BFZ36" i="5"/>
  <c r="BGA36" i="5"/>
  <c r="BGB36" i="5"/>
  <c r="BGC36" i="5"/>
  <c r="BGD36" i="5"/>
  <c r="BGE36" i="5"/>
  <c r="BGF36" i="5"/>
  <c r="BGG36" i="5"/>
  <c r="BGH36" i="5"/>
  <c r="BGI36" i="5"/>
  <c r="BGJ36" i="5"/>
  <c r="BGK36" i="5"/>
  <c r="BGL36" i="5"/>
  <c r="BGM36" i="5"/>
  <c r="BGN36" i="5"/>
  <c r="BGO36" i="5"/>
  <c r="BGP36" i="5"/>
  <c r="BGQ36" i="5"/>
  <c r="BGR36" i="5"/>
  <c r="BGS36" i="5"/>
  <c r="BGT36" i="5"/>
  <c r="BGU36" i="5"/>
  <c r="BGV36" i="5"/>
  <c r="BGW36" i="5"/>
  <c r="BGX36" i="5"/>
  <c r="BGY36" i="5"/>
  <c r="BGZ36" i="5"/>
  <c r="BHA36" i="5"/>
  <c r="BHB36" i="5"/>
  <c r="BHC36" i="5"/>
  <c r="BHD36" i="5"/>
  <c r="BHE36" i="5"/>
  <c r="BHF36" i="5"/>
  <c r="BHG36" i="5"/>
  <c r="BHH36" i="5"/>
  <c r="BHI36" i="5"/>
  <c r="BHJ36" i="5"/>
  <c r="BHK36" i="5"/>
  <c r="BHL36" i="5"/>
  <c r="BHM36" i="5"/>
  <c r="BHN36" i="5"/>
  <c r="BHO36" i="5"/>
  <c r="BHP36" i="5"/>
  <c r="BHQ36" i="5"/>
  <c r="BHR36" i="5"/>
  <c r="BHS36" i="5"/>
  <c r="BHT36" i="5"/>
  <c r="BHU36" i="5"/>
  <c r="BHV36" i="5"/>
  <c r="BHW36" i="5"/>
  <c r="BHX36" i="5"/>
  <c r="BHY36" i="5"/>
  <c r="BHZ36" i="5"/>
  <c r="BIA36" i="5"/>
  <c r="BIB36" i="5"/>
  <c r="BIC36" i="5"/>
  <c r="BID36" i="5"/>
  <c r="BIE36" i="5"/>
  <c r="BIF36" i="5"/>
  <c r="BIG36" i="5"/>
  <c r="BIH36" i="5"/>
  <c r="BII36" i="5"/>
  <c r="BIJ36" i="5"/>
  <c r="BIK36" i="5"/>
  <c r="BIL36" i="5"/>
  <c r="BIM36" i="5"/>
  <c r="BIN36" i="5"/>
  <c r="BIO36" i="5"/>
  <c r="BIP36" i="5"/>
  <c r="BIQ36" i="5"/>
  <c r="BIR36" i="5"/>
  <c r="BIS36" i="5"/>
  <c r="BIT36" i="5"/>
  <c r="BIU36" i="5"/>
  <c r="BIV36" i="5"/>
  <c r="BIW36" i="5"/>
  <c r="BIX36" i="5"/>
  <c r="BIY36" i="5"/>
  <c r="BIZ36" i="5"/>
  <c r="BJA36" i="5"/>
  <c r="BJB36" i="5"/>
  <c r="BJC36" i="5"/>
  <c r="BJD36" i="5"/>
  <c r="BJE36" i="5"/>
  <c r="BJF36" i="5"/>
  <c r="BJG36" i="5"/>
  <c r="BJH36" i="5"/>
  <c r="BJI36" i="5"/>
  <c r="BJJ36" i="5"/>
  <c r="BJK36" i="5"/>
  <c r="BJL36" i="5"/>
  <c r="BJM36" i="5"/>
  <c r="BJN36" i="5"/>
  <c r="BJO36" i="5"/>
  <c r="BJP36" i="5"/>
  <c r="BJQ36" i="5"/>
  <c r="BJR36" i="5"/>
  <c r="BJS36" i="5"/>
  <c r="BJT36" i="5"/>
  <c r="BJU36" i="5"/>
  <c r="BJV36" i="5"/>
  <c r="BJW36" i="5"/>
  <c r="BJX36" i="5"/>
  <c r="BJY36" i="5"/>
  <c r="BJZ36" i="5"/>
  <c r="BKA36" i="5"/>
  <c r="BKB36" i="5"/>
  <c r="BKC36" i="5"/>
  <c r="BKD36" i="5"/>
  <c r="BKE36" i="5"/>
  <c r="BKF36" i="5"/>
  <c r="BKG36" i="5"/>
  <c r="BKH36" i="5"/>
  <c r="BKI36" i="5"/>
  <c r="BKJ36" i="5"/>
  <c r="BKK36" i="5"/>
  <c r="BKL36" i="5"/>
  <c r="BKM36" i="5"/>
  <c r="BKN36" i="5"/>
  <c r="BKO36" i="5"/>
  <c r="BKP36" i="5"/>
  <c r="BKQ36" i="5"/>
  <c r="BKR36" i="5"/>
  <c r="BKS36" i="5"/>
  <c r="BKT36" i="5"/>
  <c r="BKU36" i="5"/>
  <c r="BKV36" i="5"/>
  <c r="BKW36" i="5"/>
  <c r="BKX36" i="5"/>
  <c r="BKY36" i="5"/>
  <c r="BKZ36" i="5"/>
  <c r="BLA36" i="5"/>
  <c r="BLB36" i="5"/>
  <c r="BLC36" i="5"/>
  <c r="BLD36" i="5"/>
  <c r="BLE36" i="5"/>
  <c r="BLF36" i="5"/>
  <c r="BLG36" i="5"/>
  <c r="BLH36" i="5"/>
  <c r="BLI36" i="5"/>
  <c r="BLJ36" i="5"/>
  <c r="BLK36" i="5"/>
  <c r="BLL36" i="5"/>
  <c r="BLM36" i="5"/>
  <c r="BLN36" i="5"/>
  <c r="BLO36" i="5"/>
  <c r="BLP36" i="5"/>
  <c r="BLQ36" i="5"/>
  <c r="BLR36" i="5"/>
  <c r="BLS36" i="5"/>
  <c r="BLT36" i="5"/>
  <c r="BLU36" i="5"/>
  <c r="BLV36" i="5"/>
  <c r="BLW36" i="5"/>
  <c r="BLX36" i="5"/>
  <c r="BLY36" i="5"/>
  <c r="BLZ36" i="5"/>
  <c r="BMA36" i="5"/>
  <c r="BMB36" i="5"/>
  <c r="BMC36" i="5"/>
  <c r="BMD36" i="5"/>
  <c r="BME36" i="5"/>
  <c r="BMF36" i="5"/>
  <c r="BMG36" i="5"/>
  <c r="BMH36" i="5"/>
  <c r="BMI36" i="5"/>
  <c r="BMJ36" i="5"/>
  <c r="BMK36" i="5"/>
  <c r="BML36" i="5"/>
  <c r="BMM36" i="5"/>
  <c r="BMN36" i="5"/>
  <c r="BMO36" i="5"/>
  <c r="BMP36" i="5"/>
  <c r="BMQ36" i="5"/>
  <c r="BMR36" i="5"/>
  <c r="BMS36" i="5"/>
  <c r="BMT36" i="5"/>
  <c r="BMU36" i="5"/>
  <c r="BMV36" i="5"/>
  <c r="BMW36" i="5"/>
  <c r="BMX36" i="5"/>
  <c r="BMY36" i="5"/>
  <c r="BMZ36" i="5"/>
  <c r="BNA36" i="5"/>
  <c r="BNB36" i="5"/>
  <c r="BNC36" i="5"/>
  <c r="BND36" i="5"/>
  <c r="BNE36" i="5"/>
  <c r="BNF36" i="5"/>
  <c r="BNG36" i="5"/>
  <c r="BNH36" i="5"/>
  <c r="BNI36" i="5"/>
  <c r="BNJ36" i="5"/>
  <c r="BNK36" i="5"/>
  <c r="BNL36" i="5"/>
  <c r="BNM36" i="5"/>
  <c r="BNN36" i="5"/>
  <c r="BNO36" i="5"/>
  <c r="BNP36" i="5"/>
  <c r="BNQ36" i="5"/>
  <c r="BNR36" i="5"/>
  <c r="BNS36" i="5"/>
  <c r="BNT36" i="5"/>
  <c r="BNU36" i="5"/>
  <c r="BNV36" i="5"/>
  <c r="BNW36" i="5"/>
  <c r="BNX36" i="5"/>
  <c r="BNY36" i="5"/>
  <c r="BNZ36" i="5"/>
  <c r="BOA36" i="5"/>
  <c r="BOB36" i="5"/>
  <c r="BOC36" i="5"/>
  <c r="BOD36" i="5"/>
  <c r="BOE36" i="5"/>
  <c r="BOF36" i="5"/>
  <c r="BOG36" i="5"/>
  <c r="BOH36" i="5"/>
  <c r="BOI36" i="5"/>
  <c r="BOJ36" i="5"/>
  <c r="BOK36" i="5"/>
  <c r="BOL36" i="5"/>
  <c r="BOM36" i="5"/>
  <c r="BON36" i="5"/>
  <c r="BOO36" i="5"/>
  <c r="BOP36" i="5"/>
  <c r="BOQ36" i="5"/>
  <c r="BOR36" i="5"/>
  <c r="BOS36" i="5"/>
  <c r="BOT36" i="5"/>
  <c r="BOU36" i="5"/>
  <c r="BOV36" i="5"/>
  <c r="BOW36" i="5"/>
  <c r="BOX36" i="5"/>
  <c r="BOY36" i="5"/>
  <c r="BOZ36" i="5"/>
  <c r="BPA36" i="5"/>
  <c r="BPB36" i="5"/>
  <c r="BPC36" i="5"/>
  <c r="BPD36" i="5"/>
  <c r="BPE36" i="5"/>
  <c r="BPF36" i="5"/>
  <c r="BPG36" i="5"/>
  <c r="BPH36" i="5"/>
  <c r="BPI36" i="5"/>
  <c r="BPJ36" i="5"/>
  <c r="BPK36" i="5"/>
  <c r="BPL36" i="5"/>
  <c r="BPM36" i="5"/>
  <c r="BPN36" i="5"/>
  <c r="BPO36" i="5"/>
  <c r="BPP36" i="5"/>
  <c r="BPQ36" i="5"/>
  <c r="BPR36" i="5"/>
  <c r="BPS36" i="5"/>
  <c r="BPT36" i="5"/>
  <c r="BPU36" i="5"/>
  <c r="BPV36" i="5"/>
  <c r="BPW36" i="5"/>
  <c r="BPX36" i="5"/>
  <c r="BPY36" i="5"/>
  <c r="BPZ36" i="5"/>
  <c r="BQA36" i="5"/>
  <c r="BQB36" i="5"/>
  <c r="BQC36" i="5"/>
  <c r="BQD36" i="5"/>
  <c r="BQE36" i="5"/>
  <c r="BQF36" i="5"/>
  <c r="BQG36" i="5"/>
  <c r="BQH36" i="5"/>
  <c r="BQI36" i="5"/>
  <c r="BQJ36" i="5"/>
  <c r="BQK36" i="5"/>
  <c r="BQL36" i="5"/>
  <c r="BQM36" i="5"/>
  <c r="BQN36" i="5"/>
  <c r="BQO36" i="5"/>
  <c r="BQP36" i="5"/>
  <c r="BQQ36" i="5"/>
  <c r="BQR36" i="5"/>
  <c r="BQS36" i="5"/>
  <c r="BQT36" i="5"/>
  <c r="BQU36" i="5"/>
  <c r="BQV36" i="5"/>
  <c r="BQW36" i="5"/>
  <c r="BQX36" i="5"/>
  <c r="BQY36" i="5"/>
  <c r="BQZ36" i="5"/>
  <c r="BRA36" i="5"/>
  <c r="BRB36" i="5"/>
  <c r="BRC36" i="5"/>
  <c r="BRD36" i="5"/>
  <c r="BRE36" i="5"/>
  <c r="BRF36" i="5"/>
  <c r="BRG36" i="5"/>
  <c r="BRH36" i="5"/>
  <c r="BRI36" i="5"/>
  <c r="BRJ36" i="5"/>
  <c r="BRK36" i="5"/>
  <c r="BRL36" i="5"/>
  <c r="BRM36" i="5"/>
  <c r="BRN36" i="5"/>
  <c r="BRO36" i="5"/>
  <c r="BRP36" i="5"/>
  <c r="BRQ36" i="5"/>
  <c r="BRR36" i="5"/>
  <c r="BRS36" i="5"/>
  <c r="BRT36" i="5"/>
  <c r="BRU36" i="5"/>
  <c r="BRV36" i="5"/>
  <c r="BRW36" i="5"/>
  <c r="BRX36" i="5"/>
  <c r="BRY36" i="5"/>
  <c r="BRZ36" i="5"/>
  <c r="BSA36" i="5"/>
  <c r="BSB36" i="5"/>
  <c r="BSC36" i="5"/>
  <c r="BSD36" i="5"/>
  <c r="BSE36" i="5"/>
  <c r="BSF36" i="5"/>
  <c r="BSG36" i="5"/>
  <c r="BSH36" i="5"/>
  <c r="BSI36" i="5"/>
  <c r="BSJ36" i="5"/>
  <c r="BSK36" i="5"/>
  <c r="BSL36" i="5"/>
  <c r="BSM36" i="5"/>
  <c r="BSN36" i="5"/>
  <c r="BSO36" i="5"/>
  <c r="BSP36" i="5"/>
  <c r="BSQ36" i="5"/>
  <c r="BSR36" i="5"/>
  <c r="BSS36" i="5"/>
  <c r="BST36" i="5"/>
  <c r="BSU36" i="5"/>
  <c r="BSV36" i="5"/>
  <c r="BSW36" i="5"/>
  <c r="BSX36" i="5"/>
  <c r="BSY36" i="5"/>
  <c r="BSZ36" i="5"/>
  <c r="BTA36" i="5"/>
  <c r="BTB36" i="5"/>
  <c r="BTC36" i="5"/>
  <c r="BTD36" i="5"/>
  <c r="BTE36" i="5"/>
  <c r="BTF36" i="5"/>
  <c r="BTG36" i="5"/>
  <c r="BTH36" i="5"/>
  <c r="BTI36" i="5"/>
  <c r="BTJ36" i="5"/>
  <c r="BTK36" i="5"/>
  <c r="BTL36" i="5"/>
  <c r="BTM36" i="5"/>
  <c r="BTN36" i="5"/>
  <c r="BTO36" i="5"/>
  <c r="BTP36" i="5"/>
  <c r="BTQ36" i="5"/>
  <c r="BTR36" i="5"/>
  <c r="BTS36" i="5"/>
  <c r="BTT36" i="5"/>
  <c r="BTU36" i="5"/>
  <c r="BTV36" i="5"/>
  <c r="BTW36" i="5"/>
  <c r="BTX36" i="5"/>
  <c r="BTY36" i="5"/>
  <c r="BTZ36" i="5"/>
  <c r="BUA36" i="5"/>
  <c r="BUB36" i="5"/>
  <c r="BUC36" i="5"/>
  <c r="BUD36" i="5"/>
  <c r="BUE36" i="5"/>
  <c r="BUF36" i="5"/>
  <c r="BUG36" i="5"/>
  <c r="BUH36" i="5"/>
  <c r="BUI36" i="5"/>
  <c r="BUJ36" i="5"/>
  <c r="BUK36" i="5"/>
  <c r="BUL36" i="5"/>
  <c r="BUM36" i="5"/>
  <c r="BUN36" i="5"/>
  <c r="BUO36" i="5"/>
  <c r="BUP36" i="5"/>
  <c r="BUQ36" i="5"/>
  <c r="BUR36" i="5"/>
  <c r="BUS36" i="5"/>
  <c r="BUT36" i="5"/>
  <c r="BUU36" i="5"/>
  <c r="BUV36" i="5"/>
  <c r="BUW36" i="5"/>
  <c r="BUX36" i="5"/>
  <c r="BUY36" i="5"/>
  <c r="BUZ36" i="5"/>
  <c r="BVA36" i="5"/>
  <c r="BVB36" i="5"/>
  <c r="BVC36" i="5"/>
  <c r="BVD36" i="5"/>
  <c r="BVE36" i="5"/>
  <c r="BVF36" i="5"/>
  <c r="BVG36" i="5"/>
  <c r="BVH36" i="5"/>
  <c r="BVI36" i="5"/>
  <c r="BVJ36" i="5"/>
  <c r="BVK36" i="5"/>
  <c r="BVL36" i="5"/>
  <c r="BVM36" i="5"/>
  <c r="BVN36" i="5"/>
  <c r="BVO36" i="5"/>
  <c r="BVP36" i="5"/>
  <c r="BVQ36" i="5"/>
  <c r="BVR36" i="5"/>
  <c r="BVS36" i="5"/>
  <c r="BVT36" i="5"/>
  <c r="BVU36" i="5"/>
  <c r="BVV36" i="5"/>
  <c r="BVW36" i="5"/>
  <c r="BVX36" i="5"/>
  <c r="BVY36" i="5"/>
  <c r="BVZ36" i="5"/>
  <c r="BWA36" i="5"/>
  <c r="BWB36" i="5"/>
  <c r="BWC36" i="5"/>
  <c r="BWD36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HT37" i="5"/>
  <c r="HU37" i="5"/>
  <c r="HV37" i="5"/>
  <c r="HW37" i="5"/>
  <c r="HX37" i="5"/>
  <c r="HY37" i="5"/>
  <c r="HZ37" i="5"/>
  <c r="IA37" i="5"/>
  <c r="IB37" i="5"/>
  <c r="IC37" i="5"/>
  <c r="ID37" i="5"/>
  <c r="IE37" i="5"/>
  <c r="IF37" i="5"/>
  <c r="IG37" i="5"/>
  <c r="IH37" i="5"/>
  <c r="II37" i="5"/>
  <c r="IJ37" i="5"/>
  <c r="IK37" i="5"/>
  <c r="IL37" i="5"/>
  <c r="IM37" i="5"/>
  <c r="IN37" i="5"/>
  <c r="IO37" i="5"/>
  <c r="IP37" i="5"/>
  <c r="IQ37" i="5"/>
  <c r="IR37" i="5"/>
  <c r="IS37" i="5"/>
  <c r="IT37" i="5"/>
  <c r="IU37" i="5"/>
  <c r="IV37" i="5"/>
  <c r="IW37" i="5"/>
  <c r="IX37" i="5"/>
  <c r="IY37" i="5"/>
  <c r="IZ37" i="5"/>
  <c r="JA37" i="5"/>
  <c r="JB37" i="5"/>
  <c r="JC37" i="5"/>
  <c r="JD37" i="5"/>
  <c r="JE37" i="5"/>
  <c r="JF37" i="5"/>
  <c r="JG37" i="5"/>
  <c r="JH37" i="5"/>
  <c r="JI37" i="5"/>
  <c r="JJ37" i="5"/>
  <c r="JK37" i="5"/>
  <c r="JL37" i="5"/>
  <c r="JM37" i="5"/>
  <c r="JN37" i="5"/>
  <c r="JO37" i="5"/>
  <c r="JP37" i="5"/>
  <c r="JQ37" i="5"/>
  <c r="JR37" i="5"/>
  <c r="JS37" i="5"/>
  <c r="JT37" i="5"/>
  <c r="JU37" i="5"/>
  <c r="JV37" i="5"/>
  <c r="JW37" i="5"/>
  <c r="JX37" i="5"/>
  <c r="JY37" i="5"/>
  <c r="JZ37" i="5"/>
  <c r="KA37" i="5"/>
  <c r="KB37" i="5"/>
  <c r="KC37" i="5"/>
  <c r="KD37" i="5"/>
  <c r="KE37" i="5"/>
  <c r="KF37" i="5"/>
  <c r="KG37" i="5"/>
  <c r="KH37" i="5"/>
  <c r="KI37" i="5"/>
  <c r="KJ37" i="5"/>
  <c r="KK37" i="5"/>
  <c r="KL37" i="5"/>
  <c r="KM37" i="5"/>
  <c r="KN37" i="5"/>
  <c r="KO37" i="5"/>
  <c r="KP37" i="5"/>
  <c r="KQ37" i="5"/>
  <c r="KR37" i="5"/>
  <c r="KS37" i="5"/>
  <c r="KT37" i="5"/>
  <c r="KU37" i="5"/>
  <c r="KV37" i="5"/>
  <c r="KW37" i="5"/>
  <c r="KX37" i="5"/>
  <c r="KY37" i="5"/>
  <c r="KZ37" i="5"/>
  <c r="LA37" i="5"/>
  <c r="LB37" i="5"/>
  <c r="LC37" i="5"/>
  <c r="LD37" i="5"/>
  <c r="LE37" i="5"/>
  <c r="LF37" i="5"/>
  <c r="LG37" i="5"/>
  <c r="LH37" i="5"/>
  <c r="LI37" i="5"/>
  <c r="LJ37" i="5"/>
  <c r="LK37" i="5"/>
  <c r="LL37" i="5"/>
  <c r="LM37" i="5"/>
  <c r="LN37" i="5"/>
  <c r="LO37" i="5"/>
  <c r="LP37" i="5"/>
  <c r="LQ37" i="5"/>
  <c r="LR37" i="5"/>
  <c r="LS37" i="5"/>
  <c r="LT37" i="5"/>
  <c r="LU37" i="5"/>
  <c r="LV37" i="5"/>
  <c r="LW37" i="5"/>
  <c r="LX37" i="5"/>
  <c r="LY37" i="5"/>
  <c r="LZ37" i="5"/>
  <c r="MA37" i="5"/>
  <c r="MB37" i="5"/>
  <c r="MC37" i="5"/>
  <c r="MD37" i="5"/>
  <c r="ME37" i="5"/>
  <c r="MF37" i="5"/>
  <c r="MG37" i="5"/>
  <c r="MH37" i="5"/>
  <c r="MI37" i="5"/>
  <c r="MJ37" i="5"/>
  <c r="MK37" i="5"/>
  <c r="ML37" i="5"/>
  <c r="MM37" i="5"/>
  <c r="MN37" i="5"/>
  <c r="MO37" i="5"/>
  <c r="MP37" i="5"/>
  <c r="MQ37" i="5"/>
  <c r="MR37" i="5"/>
  <c r="MS37" i="5"/>
  <c r="MT37" i="5"/>
  <c r="MU37" i="5"/>
  <c r="MV37" i="5"/>
  <c r="MW37" i="5"/>
  <c r="MX37" i="5"/>
  <c r="MY37" i="5"/>
  <c r="MZ37" i="5"/>
  <c r="NA37" i="5"/>
  <c r="NB37" i="5"/>
  <c r="NC37" i="5"/>
  <c r="ND37" i="5"/>
  <c r="NE37" i="5"/>
  <c r="NF37" i="5"/>
  <c r="NG37" i="5"/>
  <c r="NH37" i="5"/>
  <c r="NI37" i="5"/>
  <c r="NJ37" i="5"/>
  <c r="NK37" i="5"/>
  <c r="NL37" i="5"/>
  <c r="NM37" i="5"/>
  <c r="NN37" i="5"/>
  <c r="NO37" i="5"/>
  <c r="NP37" i="5"/>
  <c r="NQ37" i="5"/>
  <c r="NR37" i="5"/>
  <c r="NS37" i="5"/>
  <c r="NT37" i="5"/>
  <c r="NU37" i="5"/>
  <c r="NV37" i="5"/>
  <c r="NW37" i="5"/>
  <c r="NX37" i="5"/>
  <c r="NY37" i="5"/>
  <c r="NZ37" i="5"/>
  <c r="OA37" i="5"/>
  <c r="OB37" i="5"/>
  <c r="OC37" i="5"/>
  <c r="OD37" i="5"/>
  <c r="OE37" i="5"/>
  <c r="OF37" i="5"/>
  <c r="OG37" i="5"/>
  <c r="OH37" i="5"/>
  <c r="OI37" i="5"/>
  <c r="OJ37" i="5"/>
  <c r="OK37" i="5"/>
  <c r="OL37" i="5"/>
  <c r="OM37" i="5"/>
  <c r="ON37" i="5"/>
  <c r="OO37" i="5"/>
  <c r="OP37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PO37" i="5"/>
  <c r="PP37" i="5"/>
  <c r="PQ37" i="5"/>
  <c r="PR37" i="5"/>
  <c r="PS37" i="5"/>
  <c r="PT37" i="5"/>
  <c r="PU37" i="5"/>
  <c r="PV37" i="5"/>
  <c r="PW37" i="5"/>
  <c r="PX37" i="5"/>
  <c r="PY37" i="5"/>
  <c r="PZ37" i="5"/>
  <c r="QA37" i="5"/>
  <c r="QB37" i="5"/>
  <c r="QC37" i="5"/>
  <c r="QD37" i="5"/>
  <c r="QE37" i="5"/>
  <c r="QF37" i="5"/>
  <c r="QG37" i="5"/>
  <c r="QH37" i="5"/>
  <c r="QI37" i="5"/>
  <c r="QJ37" i="5"/>
  <c r="QK37" i="5"/>
  <c r="QL37" i="5"/>
  <c r="QM37" i="5"/>
  <c r="QN37" i="5"/>
  <c r="QO37" i="5"/>
  <c r="QP37" i="5"/>
  <c r="QQ37" i="5"/>
  <c r="QR37" i="5"/>
  <c r="QS37" i="5"/>
  <c r="QT37" i="5"/>
  <c r="QU37" i="5"/>
  <c r="QV37" i="5"/>
  <c r="QW37" i="5"/>
  <c r="QX37" i="5"/>
  <c r="QY37" i="5"/>
  <c r="QZ37" i="5"/>
  <c r="RA37" i="5"/>
  <c r="RB37" i="5"/>
  <c r="RC37" i="5"/>
  <c r="RD37" i="5"/>
  <c r="RE37" i="5"/>
  <c r="RF37" i="5"/>
  <c r="RG37" i="5"/>
  <c r="RH37" i="5"/>
  <c r="RI37" i="5"/>
  <c r="RJ37" i="5"/>
  <c r="RK37" i="5"/>
  <c r="RL37" i="5"/>
  <c r="RM37" i="5"/>
  <c r="RN37" i="5"/>
  <c r="RO37" i="5"/>
  <c r="RP37" i="5"/>
  <c r="RQ37" i="5"/>
  <c r="RR37" i="5"/>
  <c r="RS37" i="5"/>
  <c r="RT37" i="5"/>
  <c r="RU37" i="5"/>
  <c r="RV37" i="5"/>
  <c r="RW37" i="5"/>
  <c r="RX37" i="5"/>
  <c r="RY37" i="5"/>
  <c r="RZ37" i="5"/>
  <c r="SA37" i="5"/>
  <c r="SB37" i="5"/>
  <c r="SC37" i="5"/>
  <c r="SD37" i="5"/>
  <c r="SE37" i="5"/>
  <c r="SF37" i="5"/>
  <c r="SG37" i="5"/>
  <c r="SH37" i="5"/>
  <c r="SI37" i="5"/>
  <c r="SJ37" i="5"/>
  <c r="SK37" i="5"/>
  <c r="SL37" i="5"/>
  <c r="SM37" i="5"/>
  <c r="SN37" i="5"/>
  <c r="SO37" i="5"/>
  <c r="SP37" i="5"/>
  <c r="SQ37" i="5"/>
  <c r="SR37" i="5"/>
  <c r="SS37" i="5"/>
  <c r="ST37" i="5"/>
  <c r="SU37" i="5"/>
  <c r="SV37" i="5"/>
  <c r="SW37" i="5"/>
  <c r="SX37" i="5"/>
  <c r="SY37" i="5"/>
  <c r="SZ37" i="5"/>
  <c r="TA37" i="5"/>
  <c r="TB37" i="5"/>
  <c r="TC37" i="5"/>
  <c r="TD37" i="5"/>
  <c r="TE37" i="5"/>
  <c r="TF37" i="5"/>
  <c r="TG37" i="5"/>
  <c r="TH37" i="5"/>
  <c r="TI37" i="5"/>
  <c r="TJ37" i="5"/>
  <c r="TK37" i="5"/>
  <c r="TL37" i="5"/>
  <c r="TM37" i="5"/>
  <c r="TN37" i="5"/>
  <c r="TO37" i="5"/>
  <c r="TP37" i="5"/>
  <c r="TQ37" i="5"/>
  <c r="TR37" i="5"/>
  <c r="TS37" i="5"/>
  <c r="TT37" i="5"/>
  <c r="TU37" i="5"/>
  <c r="TV37" i="5"/>
  <c r="TW37" i="5"/>
  <c r="TX37" i="5"/>
  <c r="TY37" i="5"/>
  <c r="TZ37" i="5"/>
  <c r="UA37" i="5"/>
  <c r="UB37" i="5"/>
  <c r="UC37" i="5"/>
  <c r="UD37" i="5"/>
  <c r="UE37" i="5"/>
  <c r="UF37" i="5"/>
  <c r="UG37" i="5"/>
  <c r="UH37" i="5"/>
  <c r="UI37" i="5"/>
  <c r="UJ37" i="5"/>
  <c r="UK37" i="5"/>
  <c r="UL37" i="5"/>
  <c r="UM37" i="5"/>
  <c r="UN37" i="5"/>
  <c r="UO37" i="5"/>
  <c r="UP37" i="5"/>
  <c r="UQ37" i="5"/>
  <c r="UR37" i="5"/>
  <c r="US37" i="5"/>
  <c r="UT37" i="5"/>
  <c r="UU37" i="5"/>
  <c r="UV37" i="5"/>
  <c r="UW37" i="5"/>
  <c r="UX37" i="5"/>
  <c r="UY37" i="5"/>
  <c r="UZ37" i="5"/>
  <c r="VA37" i="5"/>
  <c r="VB37" i="5"/>
  <c r="VC37" i="5"/>
  <c r="VD37" i="5"/>
  <c r="VE37" i="5"/>
  <c r="VF37" i="5"/>
  <c r="VG37" i="5"/>
  <c r="VH37" i="5"/>
  <c r="VI37" i="5"/>
  <c r="VJ37" i="5"/>
  <c r="VK37" i="5"/>
  <c r="VL37" i="5"/>
  <c r="VM37" i="5"/>
  <c r="VN37" i="5"/>
  <c r="VO37" i="5"/>
  <c r="VP37" i="5"/>
  <c r="VQ37" i="5"/>
  <c r="VR37" i="5"/>
  <c r="VS37" i="5"/>
  <c r="VT37" i="5"/>
  <c r="VU37" i="5"/>
  <c r="VV37" i="5"/>
  <c r="VW37" i="5"/>
  <c r="VX37" i="5"/>
  <c r="VY37" i="5"/>
  <c r="VZ37" i="5"/>
  <c r="WA37" i="5"/>
  <c r="WB37" i="5"/>
  <c r="WC37" i="5"/>
  <c r="WD37" i="5"/>
  <c r="WE37" i="5"/>
  <c r="WF37" i="5"/>
  <c r="WG37" i="5"/>
  <c r="WH37" i="5"/>
  <c r="WI37" i="5"/>
  <c r="WJ37" i="5"/>
  <c r="WK37" i="5"/>
  <c r="WL37" i="5"/>
  <c r="WM37" i="5"/>
  <c r="WN37" i="5"/>
  <c r="WO37" i="5"/>
  <c r="WP37" i="5"/>
  <c r="WQ37" i="5"/>
  <c r="WR37" i="5"/>
  <c r="WS37" i="5"/>
  <c r="WT37" i="5"/>
  <c r="WU37" i="5"/>
  <c r="WV37" i="5"/>
  <c r="WW37" i="5"/>
  <c r="WX37" i="5"/>
  <c r="WY37" i="5"/>
  <c r="WZ37" i="5"/>
  <c r="XA37" i="5"/>
  <c r="XB37" i="5"/>
  <c r="XC37" i="5"/>
  <c r="XD37" i="5"/>
  <c r="XE37" i="5"/>
  <c r="XF37" i="5"/>
  <c r="XG37" i="5"/>
  <c r="XH37" i="5"/>
  <c r="XI37" i="5"/>
  <c r="XJ37" i="5"/>
  <c r="XK37" i="5"/>
  <c r="XL37" i="5"/>
  <c r="XM37" i="5"/>
  <c r="XN37" i="5"/>
  <c r="XO37" i="5"/>
  <c r="XP37" i="5"/>
  <c r="XQ37" i="5"/>
  <c r="XR37" i="5"/>
  <c r="XS37" i="5"/>
  <c r="XT37" i="5"/>
  <c r="XU37" i="5"/>
  <c r="XV37" i="5"/>
  <c r="XW37" i="5"/>
  <c r="XX37" i="5"/>
  <c r="XY37" i="5"/>
  <c r="XZ37" i="5"/>
  <c r="YA37" i="5"/>
  <c r="YB37" i="5"/>
  <c r="YC37" i="5"/>
  <c r="YD37" i="5"/>
  <c r="YE37" i="5"/>
  <c r="YF37" i="5"/>
  <c r="YG37" i="5"/>
  <c r="YH37" i="5"/>
  <c r="YI37" i="5"/>
  <c r="YJ37" i="5"/>
  <c r="YK37" i="5"/>
  <c r="YL37" i="5"/>
  <c r="YM37" i="5"/>
  <c r="YN37" i="5"/>
  <c r="YO37" i="5"/>
  <c r="YP37" i="5"/>
  <c r="YQ37" i="5"/>
  <c r="YR37" i="5"/>
  <c r="YS37" i="5"/>
  <c r="YT37" i="5"/>
  <c r="YU37" i="5"/>
  <c r="YV37" i="5"/>
  <c r="YW37" i="5"/>
  <c r="YX37" i="5"/>
  <c r="YY37" i="5"/>
  <c r="YZ37" i="5"/>
  <c r="ZA37" i="5"/>
  <c r="ZB37" i="5"/>
  <c r="ZC37" i="5"/>
  <c r="ZD37" i="5"/>
  <c r="ZE37" i="5"/>
  <c r="ZF37" i="5"/>
  <c r="ZG37" i="5"/>
  <c r="ZH37" i="5"/>
  <c r="ZI37" i="5"/>
  <c r="ZJ37" i="5"/>
  <c r="ZK37" i="5"/>
  <c r="ZL37" i="5"/>
  <c r="ZM37" i="5"/>
  <c r="ZN37" i="5"/>
  <c r="ZO37" i="5"/>
  <c r="ZP37" i="5"/>
  <c r="ZQ37" i="5"/>
  <c r="ZR37" i="5"/>
  <c r="ZS37" i="5"/>
  <c r="ZT37" i="5"/>
  <c r="ZU37" i="5"/>
  <c r="ZV37" i="5"/>
  <c r="ZW37" i="5"/>
  <c r="ZX37" i="5"/>
  <c r="ZY37" i="5"/>
  <c r="ZZ37" i="5"/>
  <c r="AAA37" i="5"/>
  <c r="AAB37" i="5"/>
  <c r="AAC37" i="5"/>
  <c r="AAD37" i="5"/>
  <c r="AAE37" i="5"/>
  <c r="AAF37" i="5"/>
  <c r="AAG37" i="5"/>
  <c r="AAH37" i="5"/>
  <c r="AAI37" i="5"/>
  <c r="AAJ37" i="5"/>
  <c r="AAK37" i="5"/>
  <c r="AAL37" i="5"/>
  <c r="AAM37" i="5"/>
  <c r="AAN37" i="5"/>
  <c r="AAO37" i="5"/>
  <c r="AAP37" i="5"/>
  <c r="AAQ37" i="5"/>
  <c r="AAR37" i="5"/>
  <c r="AAS37" i="5"/>
  <c r="AAT37" i="5"/>
  <c r="AAU37" i="5"/>
  <c r="AAV37" i="5"/>
  <c r="AAW37" i="5"/>
  <c r="AAX37" i="5"/>
  <c r="AAY37" i="5"/>
  <c r="AAZ37" i="5"/>
  <c r="ABA37" i="5"/>
  <c r="ABB37" i="5"/>
  <c r="ABC37" i="5"/>
  <c r="ABD37" i="5"/>
  <c r="ABE37" i="5"/>
  <c r="ABF37" i="5"/>
  <c r="ABG37" i="5"/>
  <c r="ABH37" i="5"/>
  <c r="ABI37" i="5"/>
  <c r="ABJ37" i="5"/>
  <c r="ABK37" i="5"/>
  <c r="ABL37" i="5"/>
  <c r="ABM37" i="5"/>
  <c r="ABN37" i="5"/>
  <c r="ABO37" i="5"/>
  <c r="ABP37" i="5"/>
  <c r="ABQ37" i="5"/>
  <c r="ABR37" i="5"/>
  <c r="ABS37" i="5"/>
  <c r="ABT37" i="5"/>
  <c r="ABU37" i="5"/>
  <c r="ABV37" i="5"/>
  <c r="ABW37" i="5"/>
  <c r="ABX37" i="5"/>
  <c r="ABY37" i="5"/>
  <c r="ABZ37" i="5"/>
  <c r="ACA37" i="5"/>
  <c r="ACB37" i="5"/>
  <c r="ACC37" i="5"/>
  <c r="ACD37" i="5"/>
  <c r="ACE37" i="5"/>
  <c r="ACF37" i="5"/>
  <c r="ACG37" i="5"/>
  <c r="ACH37" i="5"/>
  <c r="ACI37" i="5"/>
  <c r="ACJ37" i="5"/>
  <c r="ACK37" i="5"/>
  <c r="ACL37" i="5"/>
  <c r="ACM37" i="5"/>
  <c r="ACN37" i="5"/>
  <c r="ACO37" i="5"/>
  <c r="ACP37" i="5"/>
  <c r="ACQ37" i="5"/>
  <c r="ACR37" i="5"/>
  <c r="ACS37" i="5"/>
  <c r="ACT37" i="5"/>
  <c r="ACU37" i="5"/>
  <c r="ACV37" i="5"/>
  <c r="ACW37" i="5"/>
  <c r="ACX37" i="5"/>
  <c r="ACY37" i="5"/>
  <c r="ACZ37" i="5"/>
  <c r="ADA37" i="5"/>
  <c r="ADB37" i="5"/>
  <c r="ADC37" i="5"/>
  <c r="ADD37" i="5"/>
  <c r="ADE37" i="5"/>
  <c r="ADF37" i="5"/>
  <c r="ADG37" i="5"/>
  <c r="ADH37" i="5"/>
  <c r="ADI37" i="5"/>
  <c r="ADJ37" i="5"/>
  <c r="ADK37" i="5"/>
  <c r="ADL37" i="5"/>
  <c r="ADM37" i="5"/>
  <c r="ADN37" i="5"/>
  <c r="ADO37" i="5"/>
  <c r="ADP37" i="5"/>
  <c r="ADQ37" i="5"/>
  <c r="ADR37" i="5"/>
  <c r="ADS37" i="5"/>
  <c r="ADT37" i="5"/>
  <c r="ADU37" i="5"/>
  <c r="ADV37" i="5"/>
  <c r="ADW37" i="5"/>
  <c r="ADX37" i="5"/>
  <c r="ADY37" i="5"/>
  <c r="ADZ37" i="5"/>
  <c r="AEA37" i="5"/>
  <c r="AEB37" i="5"/>
  <c r="AEC37" i="5"/>
  <c r="AED37" i="5"/>
  <c r="AEE37" i="5"/>
  <c r="AEF37" i="5"/>
  <c r="AEG37" i="5"/>
  <c r="AEH37" i="5"/>
  <c r="AEI37" i="5"/>
  <c r="AEJ37" i="5"/>
  <c r="AEK37" i="5"/>
  <c r="AEL37" i="5"/>
  <c r="AEM37" i="5"/>
  <c r="AEN37" i="5"/>
  <c r="AEO37" i="5"/>
  <c r="AEP37" i="5"/>
  <c r="AEQ37" i="5"/>
  <c r="AER37" i="5"/>
  <c r="AES37" i="5"/>
  <c r="AET37" i="5"/>
  <c r="AEU37" i="5"/>
  <c r="AEV37" i="5"/>
  <c r="AEW37" i="5"/>
  <c r="AEX37" i="5"/>
  <c r="AEY37" i="5"/>
  <c r="AEZ37" i="5"/>
  <c r="AFA37" i="5"/>
  <c r="AFB37" i="5"/>
  <c r="AFC37" i="5"/>
  <c r="AFD37" i="5"/>
  <c r="AFE37" i="5"/>
  <c r="AFF37" i="5"/>
  <c r="AFG37" i="5"/>
  <c r="AFH37" i="5"/>
  <c r="AFI37" i="5"/>
  <c r="AFJ37" i="5"/>
  <c r="AFK37" i="5"/>
  <c r="AFL37" i="5"/>
  <c r="AFM37" i="5"/>
  <c r="AFN37" i="5"/>
  <c r="AFO37" i="5"/>
  <c r="AFP37" i="5"/>
  <c r="AFQ37" i="5"/>
  <c r="AFR37" i="5"/>
  <c r="AFS37" i="5"/>
  <c r="AFT37" i="5"/>
  <c r="AFU37" i="5"/>
  <c r="AFV37" i="5"/>
  <c r="AFW37" i="5"/>
  <c r="AFX37" i="5"/>
  <c r="AFY37" i="5"/>
  <c r="AFZ37" i="5"/>
  <c r="AGA37" i="5"/>
  <c r="AGB37" i="5"/>
  <c r="AGC37" i="5"/>
  <c r="AGD37" i="5"/>
  <c r="AGE37" i="5"/>
  <c r="AGF37" i="5"/>
  <c r="AGG37" i="5"/>
  <c r="AGH37" i="5"/>
  <c r="AGI37" i="5"/>
  <c r="AGJ37" i="5"/>
  <c r="AGK37" i="5"/>
  <c r="AGL37" i="5"/>
  <c r="AGM37" i="5"/>
  <c r="AGN37" i="5"/>
  <c r="AGO37" i="5"/>
  <c r="AGP37" i="5"/>
  <c r="AGQ37" i="5"/>
  <c r="AGR37" i="5"/>
  <c r="AGS37" i="5"/>
  <c r="AGT37" i="5"/>
  <c r="AGU37" i="5"/>
  <c r="AGV37" i="5"/>
  <c r="AGW37" i="5"/>
  <c r="AGX37" i="5"/>
  <c r="AGY37" i="5"/>
  <c r="AGZ37" i="5"/>
  <c r="AHA37" i="5"/>
  <c r="AHB37" i="5"/>
  <c r="AHC37" i="5"/>
  <c r="AHD37" i="5"/>
  <c r="AHE37" i="5"/>
  <c r="AHF37" i="5"/>
  <c r="AHG37" i="5"/>
  <c r="AHH37" i="5"/>
  <c r="AHI37" i="5"/>
  <c r="AHJ37" i="5"/>
  <c r="AHK37" i="5"/>
  <c r="AHL37" i="5"/>
  <c r="AHM37" i="5"/>
  <c r="AHN37" i="5"/>
  <c r="AHO37" i="5"/>
  <c r="AHP37" i="5"/>
  <c r="AHQ37" i="5"/>
  <c r="AHR37" i="5"/>
  <c r="AHS37" i="5"/>
  <c r="AHT37" i="5"/>
  <c r="AHU37" i="5"/>
  <c r="AHV37" i="5"/>
  <c r="AHW37" i="5"/>
  <c r="AHX37" i="5"/>
  <c r="AHY37" i="5"/>
  <c r="AHZ37" i="5"/>
  <c r="AIA37" i="5"/>
  <c r="AIB37" i="5"/>
  <c r="AIC37" i="5"/>
  <c r="AID37" i="5"/>
  <c r="AIE37" i="5"/>
  <c r="AIF37" i="5"/>
  <c r="AIG37" i="5"/>
  <c r="AIH37" i="5"/>
  <c r="AII37" i="5"/>
  <c r="AIJ37" i="5"/>
  <c r="AIK37" i="5"/>
  <c r="AIL37" i="5"/>
  <c r="AIM37" i="5"/>
  <c r="AIN37" i="5"/>
  <c r="AIO37" i="5"/>
  <c r="AIP37" i="5"/>
  <c r="AIQ37" i="5"/>
  <c r="AIR37" i="5"/>
  <c r="AIS37" i="5"/>
  <c r="AIT37" i="5"/>
  <c r="AIU37" i="5"/>
  <c r="AIV37" i="5"/>
  <c r="AIW37" i="5"/>
  <c r="AIX37" i="5"/>
  <c r="AIY37" i="5"/>
  <c r="AIZ37" i="5"/>
  <c r="AJA37" i="5"/>
  <c r="AJB37" i="5"/>
  <c r="AJC37" i="5"/>
  <c r="AJD37" i="5"/>
  <c r="AJE37" i="5"/>
  <c r="AJF37" i="5"/>
  <c r="AJG37" i="5"/>
  <c r="AJH37" i="5"/>
  <c r="AJI37" i="5"/>
  <c r="AJJ37" i="5"/>
  <c r="AJK37" i="5"/>
  <c r="AJL37" i="5"/>
  <c r="AJM37" i="5"/>
  <c r="AJN37" i="5"/>
  <c r="AJO37" i="5"/>
  <c r="AJP37" i="5"/>
  <c r="AJQ37" i="5"/>
  <c r="AJR37" i="5"/>
  <c r="AJS37" i="5"/>
  <c r="AJT37" i="5"/>
  <c r="AJU37" i="5"/>
  <c r="AJV37" i="5"/>
  <c r="AJW37" i="5"/>
  <c r="AJX37" i="5"/>
  <c r="AJY37" i="5"/>
  <c r="AJZ37" i="5"/>
  <c r="AKA37" i="5"/>
  <c r="AKB37" i="5"/>
  <c r="AKC37" i="5"/>
  <c r="AKD37" i="5"/>
  <c r="AKE37" i="5"/>
  <c r="AKF37" i="5"/>
  <c r="AKG37" i="5"/>
  <c r="AKH37" i="5"/>
  <c r="AKI37" i="5"/>
  <c r="AKJ37" i="5"/>
  <c r="AKK37" i="5"/>
  <c r="AKL37" i="5"/>
  <c r="AKM37" i="5"/>
  <c r="AKN37" i="5"/>
  <c r="AKO37" i="5"/>
  <c r="AKP37" i="5"/>
  <c r="AKQ37" i="5"/>
  <c r="AKR37" i="5"/>
  <c r="AKS37" i="5"/>
  <c r="AKT37" i="5"/>
  <c r="AKU37" i="5"/>
  <c r="AKV37" i="5"/>
  <c r="AKW37" i="5"/>
  <c r="AKX37" i="5"/>
  <c r="AKY37" i="5"/>
  <c r="AKZ37" i="5"/>
  <c r="ALA37" i="5"/>
  <c r="ALB37" i="5"/>
  <c r="ALC37" i="5"/>
  <c r="ALD37" i="5"/>
  <c r="ALE37" i="5"/>
  <c r="ALF37" i="5"/>
  <c r="ALG37" i="5"/>
  <c r="ALH37" i="5"/>
  <c r="ALI37" i="5"/>
  <c r="ALJ37" i="5"/>
  <c r="ALK37" i="5"/>
  <c r="ALL37" i="5"/>
  <c r="ALM37" i="5"/>
  <c r="ALN37" i="5"/>
  <c r="ALO37" i="5"/>
  <c r="ALP37" i="5"/>
  <c r="ALQ37" i="5"/>
  <c r="ALR37" i="5"/>
  <c r="ALS37" i="5"/>
  <c r="ALT37" i="5"/>
  <c r="ALU37" i="5"/>
  <c r="ALV37" i="5"/>
  <c r="ALW37" i="5"/>
  <c r="ALX37" i="5"/>
  <c r="ALY37" i="5"/>
  <c r="ALZ37" i="5"/>
  <c r="AMA37" i="5"/>
  <c r="AMB37" i="5"/>
  <c r="AMC37" i="5"/>
  <c r="AMD37" i="5"/>
  <c r="AME37" i="5"/>
  <c r="AMF37" i="5"/>
  <c r="AMG37" i="5"/>
  <c r="AMH37" i="5"/>
  <c r="AMI37" i="5"/>
  <c r="AMJ37" i="5"/>
  <c r="AMK37" i="5"/>
  <c r="AML37" i="5"/>
  <c r="AMM37" i="5"/>
  <c r="AMN37" i="5"/>
  <c r="AMO37" i="5"/>
  <c r="AMP37" i="5"/>
  <c r="AMQ37" i="5"/>
  <c r="AMR37" i="5"/>
  <c r="AMS37" i="5"/>
  <c r="AMT37" i="5"/>
  <c r="AMU37" i="5"/>
  <c r="AMV37" i="5"/>
  <c r="AMW37" i="5"/>
  <c r="AMX37" i="5"/>
  <c r="AMY37" i="5"/>
  <c r="AMZ37" i="5"/>
  <c r="ANA37" i="5"/>
  <c r="ANB37" i="5"/>
  <c r="ANC37" i="5"/>
  <c r="AND37" i="5"/>
  <c r="ANE37" i="5"/>
  <c r="ANF37" i="5"/>
  <c r="ANG37" i="5"/>
  <c r="ANH37" i="5"/>
  <c r="ANI37" i="5"/>
  <c r="ANJ37" i="5"/>
  <c r="ANK37" i="5"/>
  <c r="ANL37" i="5"/>
  <c r="ANM37" i="5"/>
  <c r="ANN37" i="5"/>
  <c r="ANO37" i="5"/>
  <c r="ANP37" i="5"/>
  <c r="ANQ37" i="5"/>
  <c r="ANR37" i="5"/>
  <c r="ANS37" i="5"/>
  <c r="ANT37" i="5"/>
  <c r="ANU37" i="5"/>
  <c r="ANV37" i="5"/>
  <c r="ANW37" i="5"/>
  <c r="ANX37" i="5"/>
  <c r="ANY37" i="5"/>
  <c r="ANZ37" i="5"/>
  <c r="AOA37" i="5"/>
  <c r="AOB37" i="5"/>
  <c r="AOC37" i="5"/>
  <c r="AOD37" i="5"/>
  <c r="AOE37" i="5"/>
  <c r="AOF37" i="5"/>
  <c r="AOG37" i="5"/>
  <c r="AOH37" i="5"/>
  <c r="AOI37" i="5"/>
  <c r="AOJ37" i="5"/>
  <c r="AOK37" i="5"/>
  <c r="AOL37" i="5"/>
  <c r="AOM37" i="5"/>
  <c r="AON37" i="5"/>
  <c r="AOO37" i="5"/>
  <c r="AOP37" i="5"/>
  <c r="AOQ37" i="5"/>
  <c r="AOR37" i="5"/>
  <c r="AOS37" i="5"/>
  <c r="AOT37" i="5"/>
  <c r="AOU37" i="5"/>
  <c r="AOV37" i="5"/>
  <c r="AOW37" i="5"/>
  <c r="AOX37" i="5"/>
  <c r="AOY37" i="5"/>
  <c r="AOZ37" i="5"/>
  <c r="APA37" i="5"/>
  <c r="APB37" i="5"/>
  <c r="APC37" i="5"/>
  <c r="APD37" i="5"/>
  <c r="APE37" i="5"/>
  <c r="APF37" i="5"/>
  <c r="APG37" i="5"/>
  <c r="APH37" i="5"/>
  <c r="API37" i="5"/>
  <c r="APJ37" i="5"/>
  <c r="APK37" i="5"/>
  <c r="APL37" i="5"/>
  <c r="APM37" i="5"/>
  <c r="APN37" i="5"/>
  <c r="APO37" i="5"/>
  <c r="APP37" i="5"/>
  <c r="APQ37" i="5"/>
  <c r="APR37" i="5"/>
  <c r="APS37" i="5"/>
  <c r="APT37" i="5"/>
  <c r="APU37" i="5"/>
  <c r="APV37" i="5"/>
  <c r="APW37" i="5"/>
  <c r="APX37" i="5"/>
  <c r="APY37" i="5"/>
  <c r="APZ37" i="5"/>
  <c r="AQA37" i="5"/>
  <c r="AQB37" i="5"/>
  <c r="AQC37" i="5"/>
  <c r="AQD37" i="5"/>
  <c r="AQE37" i="5"/>
  <c r="AQF37" i="5"/>
  <c r="AQG37" i="5"/>
  <c r="AQH37" i="5"/>
  <c r="AQI37" i="5"/>
  <c r="AQJ37" i="5"/>
  <c r="AQK37" i="5"/>
  <c r="AQL37" i="5"/>
  <c r="AQM37" i="5"/>
  <c r="AQN37" i="5"/>
  <c r="AQO37" i="5"/>
  <c r="AQP37" i="5"/>
  <c r="AQQ37" i="5"/>
  <c r="AQR37" i="5"/>
  <c r="AQS37" i="5"/>
  <c r="AQT37" i="5"/>
  <c r="AQU37" i="5"/>
  <c r="AQV37" i="5"/>
  <c r="AQW37" i="5"/>
  <c r="AQX37" i="5"/>
  <c r="AQY37" i="5"/>
  <c r="AQZ37" i="5"/>
  <c r="ARA37" i="5"/>
  <c r="ARB37" i="5"/>
  <c r="ARC37" i="5"/>
  <c r="ARD37" i="5"/>
  <c r="ARE37" i="5"/>
  <c r="ARF37" i="5"/>
  <c r="ARG37" i="5"/>
  <c r="ARH37" i="5"/>
  <c r="ARI37" i="5"/>
  <c r="ARJ37" i="5"/>
  <c r="ARK37" i="5"/>
  <c r="ARL37" i="5"/>
  <c r="ARM37" i="5"/>
  <c r="ARN37" i="5"/>
  <c r="ARO37" i="5"/>
  <c r="ARP37" i="5"/>
  <c r="ARQ37" i="5"/>
  <c r="ARR37" i="5"/>
  <c r="ARS37" i="5"/>
  <c r="ART37" i="5"/>
  <c r="ARU37" i="5"/>
  <c r="ARV37" i="5"/>
  <c r="ARW37" i="5"/>
  <c r="ARX37" i="5"/>
  <c r="ARY37" i="5"/>
  <c r="ARZ37" i="5"/>
  <c r="ASA37" i="5"/>
  <c r="ASB37" i="5"/>
  <c r="ASC37" i="5"/>
  <c r="ASD37" i="5"/>
  <c r="ASE37" i="5"/>
  <c r="ASF37" i="5"/>
  <c r="ASG37" i="5"/>
  <c r="ASH37" i="5"/>
  <c r="ASI37" i="5"/>
  <c r="ASJ37" i="5"/>
  <c r="ASK37" i="5"/>
  <c r="ASL37" i="5"/>
  <c r="ASM37" i="5"/>
  <c r="ASN37" i="5"/>
  <c r="ASO37" i="5"/>
  <c r="ASP37" i="5"/>
  <c r="ASQ37" i="5"/>
  <c r="ASR37" i="5"/>
  <c r="ASS37" i="5"/>
  <c r="AST37" i="5"/>
  <c r="ASU37" i="5"/>
  <c r="ASV37" i="5"/>
  <c r="ASW37" i="5"/>
  <c r="ASX37" i="5"/>
  <c r="ASY37" i="5"/>
  <c r="ASZ37" i="5"/>
  <c r="ATA37" i="5"/>
  <c r="ATB37" i="5"/>
  <c r="ATC37" i="5"/>
  <c r="ATD37" i="5"/>
  <c r="ATE37" i="5"/>
  <c r="ATF37" i="5"/>
  <c r="ATG37" i="5"/>
  <c r="ATH37" i="5"/>
  <c r="ATI37" i="5"/>
  <c r="ATJ37" i="5"/>
  <c r="ATK37" i="5"/>
  <c r="ATL37" i="5"/>
  <c r="ATM37" i="5"/>
  <c r="ATN37" i="5"/>
  <c r="ATO37" i="5"/>
  <c r="ATP37" i="5"/>
  <c r="ATQ37" i="5"/>
  <c r="ATR37" i="5"/>
  <c r="ATS37" i="5"/>
  <c r="ATT37" i="5"/>
  <c r="ATU37" i="5"/>
  <c r="ATV37" i="5"/>
  <c r="ATW37" i="5"/>
  <c r="ATX37" i="5"/>
  <c r="ATY37" i="5"/>
  <c r="ATZ37" i="5"/>
  <c r="AUA37" i="5"/>
  <c r="AUB37" i="5"/>
  <c r="AUC37" i="5"/>
  <c r="AUD37" i="5"/>
  <c r="AUE37" i="5"/>
  <c r="AUF37" i="5"/>
  <c r="AUG37" i="5"/>
  <c r="AUH37" i="5"/>
  <c r="AUI37" i="5"/>
  <c r="AUJ37" i="5"/>
  <c r="AUK37" i="5"/>
  <c r="AUL37" i="5"/>
  <c r="AUM37" i="5"/>
  <c r="AUN37" i="5"/>
  <c r="AUO37" i="5"/>
  <c r="AUP37" i="5"/>
  <c r="AUQ37" i="5"/>
  <c r="AUR37" i="5"/>
  <c r="AUS37" i="5"/>
  <c r="AUT37" i="5"/>
  <c r="AUU37" i="5"/>
  <c r="AUV37" i="5"/>
  <c r="AUW37" i="5"/>
  <c r="AUX37" i="5"/>
  <c r="AUY37" i="5"/>
  <c r="AUZ37" i="5"/>
  <c r="AVA37" i="5"/>
  <c r="AVB37" i="5"/>
  <c r="AVC37" i="5"/>
  <c r="AVD37" i="5"/>
  <c r="AVE37" i="5"/>
  <c r="AVF37" i="5"/>
  <c r="AVG37" i="5"/>
  <c r="AVH37" i="5"/>
  <c r="AVI37" i="5"/>
  <c r="AVJ37" i="5"/>
  <c r="AVK37" i="5"/>
  <c r="AVL37" i="5"/>
  <c r="AVM37" i="5"/>
  <c r="AVN37" i="5"/>
  <c r="AVO37" i="5"/>
  <c r="AVP37" i="5"/>
  <c r="AVQ37" i="5"/>
  <c r="AVR37" i="5"/>
  <c r="AVS37" i="5"/>
  <c r="AVT37" i="5"/>
  <c r="AVU37" i="5"/>
  <c r="AVV37" i="5"/>
  <c r="AVW37" i="5"/>
  <c r="AVX37" i="5"/>
  <c r="AVY37" i="5"/>
  <c r="AVZ37" i="5"/>
  <c r="AWA37" i="5"/>
  <c r="AWB37" i="5"/>
  <c r="AWC37" i="5"/>
  <c r="AWD37" i="5"/>
  <c r="AWE37" i="5"/>
  <c r="AWF37" i="5"/>
  <c r="AWG37" i="5"/>
  <c r="AWH37" i="5"/>
  <c r="AWI37" i="5"/>
  <c r="AWJ37" i="5"/>
  <c r="AWK37" i="5"/>
  <c r="AWL37" i="5"/>
  <c r="AWM37" i="5"/>
  <c r="AWN37" i="5"/>
  <c r="AWO37" i="5"/>
  <c r="AWP37" i="5"/>
  <c r="AWQ37" i="5"/>
  <c r="AWR37" i="5"/>
  <c r="AWS37" i="5"/>
  <c r="AWT37" i="5"/>
  <c r="AWU37" i="5"/>
  <c r="AWV37" i="5"/>
  <c r="AWW37" i="5"/>
  <c r="AWX37" i="5"/>
  <c r="AWY37" i="5"/>
  <c r="AWZ37" i="5"/>
  <c r="AXA37" i="5"/>
  <c r="AXB37" i="5"/>
  <c r="AXC37" i="5"/>
  <c r="AXD37" i="5"/>
  <c r="AXE37" i="5"/>
  <c r="AXF37" i="5"/>
  <c r="AXG37" i="5"/>
  <c r="AXH37" i="5"/>
  <c r="AXI37" i="5"/>
  <c r="AXJ37" i="5"/>
  <c r="AXK37" i="5"/>
  <c r="AXL37" i="5"/>
  <c r="AXM37" i="5"/>
  <c r="AXN37" i="5"/>
  <c r="AXO37" i="5"/>
  <c r="AXP37" i="5"/>
  <c r="AXQ37" i="5"/>
  <c r="AXR37" i="5"/>
  <c r="AXS37" i="5"/>
  <c r="AXT37" i="5"/>
  <c r="AXU37" i="5"/>
  <c r="AXV37" i="5"/>
  <c r="AXW37" i="5"/>
  <c r="AXX37" i="5"/>
  <c r="AXY37" i="5"/>
  <c r="AXZ37" i="5"/>
  <c r="AYA37" i="5"/>
  <c r="AYB37" i="5"/>
  <c r="AYC37" i="5"/>
  <c r="AYD37" i="5"/>
  <c r="AYE37" i="5"/>
  <c r="AYF37" i="5"/>
  <c r="AYG37" i="5"/>
  <c r="AYH37" i="5"/>
  <c r="AYI37" i="5"/>
  <c r="AYJ37" i="5"/>
  <c r="AYK37" i="5"/>
  <c r="AYL37" i="5"/>
  <c r="AYM37" i="5"/>
  <c r="AYN37" i="5"/>
  <c r="AYO37" i="5"/>
  <c r="AYP37" i="5"/>
  <c r="AYQ37" i="5"/>
  <c r="AYR37" i="5"/>
  <c r="AYS37" i="5"/>
  <c r="AYT37" i="5"/>
  <c r="AYU37" i="5"/>
  <c r="AYV37" i="5"/>
  <c r="AYW37" i="5"/>
  <c r="AYX37" i="5"/>
  <c r="AYY37" i="5"/>
  <c r="AYZ37" i="5"/>
  <c r="AZA37" i="5"/>
  <c r="AZB37" i="5"/>
  <c r="AZC37" i="5"/>
  <c r="AZD37" i="5"/>
  <c r="AZE37" i="5"/>
  <c r="AZF37" i="5"/>
  <c r="AZG37" i="5"/>
  <c r="AZH37" i="5"/>
  <c r="AZI37" i="5"/>
  <c r="AZJ37" i="5"/>
  <c r="AZK37" i="5"/>
  <c r="AZL37" i="5"/>
  <c r="AZM37" i="5"/>
  <c r="AZN37" i="5"/>
  <c r="AZO37" i="5"/>
  <c r="AZP37" i="5"/>
  <c r="AZQ37" i="5"/>
  <c r="AZR37" i="5"/>
  <c r="AZS37" i="5"/>
  <c r="AZT37" i="5"/>
  <c r="AZU37" i="5"/>
  <c r="AZV37" i="5"/>
  <c r="AZW37" i="5"/>
  <c r="AZX37" i="5"/>
  <c r="AZY37" i="5"/>
  <c r="AZZ37" i="5"/>
  <c r="BAA37" i="5"/>
  <c r="BAB37" i="5"/>
  <c r="BAC37" i="5"/>
  <c r="BAD37" i="5"/>
  <c r="BAE37" i="5"/>
  <c r="BAF37" i="5"/>
  <c r="BAG37" i="5"/>
  <c r="BAH37" i="5"/>
  <c r="BAI37" i="5"/>
  <c r="BAJ37" i="5"/>
  <c r="BAK37" i="5"/>
  <c r="BAL37" i="5"/>
  <c r="BAM37" i="5"/>
  <c r="BAN37" i="5"/>
  <c r="BAO37" i="5"/>
  <c r="BAP37" i="5"/>
  <c r="BAQ37" i="5"/>
  <c r="BAR37" i="5"/>
  <c r="BAS37" i="5"/>
  <c r="BAT37" i="5"/>
  <c r="BAU37" i="5"/>
  <c r="BAV37" i="5"/>
  <c r="BAW37" i="5"/>
  <c r="BAX37" i="5"/>
  <c r="BAY37" i="5"/>
  <c r="BAZ37" i="5"/>
  <c r="BBA37" i="5"/>
  <c r="BBB37" i="5"/>
  <c r="BBC37" i="5"/>
  <c r="BBD37" i="5"/>
  <c r="BBE37" i="5"/>
  <c r="BBF37" i="5"/>
  <c r="BBG37" i="5"/>
  <c r="BBH37" i="5"/>
  <c r="BBI37" i="5"/>
  <c r="BBJ37" i="5"/>
  <c r="BBK37" i="5"/>
  <c r="BBL37" i="5"/>
  <c r="BBM37" i="5"/>
  <c r="BBN37" i="5"/>
  <c r="BBO37" i="5"/>
  <c r="BBP37" i="5"/>
  <c r="BBQ37" i="5"/>
  <c r="BBR37" i="5"/>
  <c r="BBS37" i="5"/>
  <c r="BBT37" i="5"/>
  <c r="BBU37" i="5"/>
  <c r="BBV37" i="5"/>
  <c r="BBW37" i="5"/>
  <c r="BBX37" i="5"/>
  <c r="BBY37" i="5"/>
  <c r="BBZ37" i="5"/>
  <c r="BCA37" i="5"/>
  <c r="BCB37" i="5"/>
  <c r="BCC37" i="5"/>
  <c r="BCD37" i="5"/>
  <c r="BCE37" i="5"/>
  <c r="BCF37" i="5"/>
  <c r="BCG37" i="5"/>
  <c r="BCH37" i="5"/>
  <c r="BCI37" i="5"/>
  <c r="BCJ37" i="5"/>
  <c r="BCK37" i="5"/>
  <c r="BCL37" i="5"/>
  <c r="BCM37" i="5"/>
  <c r="BCN37" i="5"/>
  <c r="BCO37" i="5"/>
  <c r="BCP37" i="5"/>
  <c r="BCQ37" i="5"/>
  <c r="BCR37" i="5"/>
  <c r="BCS37" i="5"/>
  <c r="BCT37" i="5"/>
  <c r="BCU37" i="5"/>
  <c r="BCV37" i="5"/>
  <c r="BCW37" i="5"/>
  <c r="BCX37" i="5"/>
  <c r="BCY37" i="5"/>
  <c r="BCZ37" i="5"/>
  <c r="BDA37" i="5"/>
  <c r="BDB37" i="5"/>
  <c r="BDC37" i="5"/>
  <c r="BDD37" i="5"/>
  <c r="BDE37" i="5"/>
  <c r="BDF37" i="5"/>
  <c r="BDG37" i="5"/>
  <c r="BDH37" i="5"/>
  <c r="BDI37" i="5"/>
  <c r="BDJ37" i="5"/>
  <c r="BDK37" i="5"/>
  <c r="BDL37" i="5"/>
  <c r="BDM37" i="5"/>
  <c r="BDN37" i="5"/>
  <c r="BDO37" i="5"/>
  <c r="BDP37" i="5"/>
  <c r="BDQ37" i="5"/>
  <c r="BDR37" i="5"/>
  <c r="BDS37" i="5"/>
  <c r="BDT37" i="5"/>
  <c r="BDU37" i="5"/>
  <c r="BDV37" i="5"/>
  <c r="BDW37" i="5"/>
  <c r="BDX37" i="5"/>
  <c r="BDY37" i="5"/>
  <c r="BDZ37" i="5"/>
  <c r="BEA37" i="5"/>
  <c r="BEB37" i="5"/>
  <c r="BEC37" i="5"/>
  <c r="BED37" i="5"/>
  <c r="BEE37" i="5"/>
  <c r="BEF37" i="5"/>
  <c r="BEG37" i="5"/>
  <c r="BEH37" i="5"/>
  <c r="BEI37" i="5"/>
  <c r="BEJ37" i="5"/>
  <c r="BEK37" i="5"/>
  <c r="BEL37" i="5"/>
  <c r="BEM37" i="5"/>
  <c r="BEN37" i="5"/>
  <c r="BEO37" i="5"/>
  <c r="BEP37" i="5"/>
  <c r="BEQ37" i="5"/>
  <c r="BER37" i="5"/>
  <c r="BES37" i="5"/>
  <c r="BET37" i="5"/>
  <c r="BEU37" i="5"/>
  <c r="BEV37" i="5"/>
  <c r="BEW37" i="5"/>
  <c r="BEX37" i="5"/>
  <c r="BEY37" i="5"/>
  <c r="BEZ37" i="5"/>
  <c r="BFA37" i="5"/>
  <c r="BFB37" i="5"/>
  <c r="BFC37" i="5"/>
  <c r="BFD37" i="5"/>
  <c r="BFE37" i="5"/>
  <c r="BFF37" i="5"/>
  <c r="BFG37" i="5"/>
  <c r="BFH37" i="5"/>
  <c r="BFI37" i="5"/>
  <c r="BFJ37" i="5"/>
  <c r="BFK37" i="5"/>
  <c r="BFL37" i="5"/>
  <c r="BFM37" i="5"/>
  <c r="BFN37" i="5"/>
  <c r="BFO37" i="5"/>
  <c r="BFP37" i="5"/>
  <c r="BFQ37" i="5"/>
  <c r="BFR37" i="5"/>
  <c r="BFS37" i="5"/>
  <c r="BFT37" i="5"/>
  <c r="BFU37" i="5"/>
  <c r="BFV37" i="5"/>
  <c r="BFW37" i="5"/>
  <c r="BFX37" i="5"/>
  <c r="BFY37" i="5"/>
  <c r="BFZ37" i="5"/>
  <c r="BGA37" i="5"/>
  <c r="BGB37" i="5"/>
  <c r="BGC37" i="5"/>
  <c r="BGD37" i="5"/>
  <c r="BGE37" i="5"/>
  <c r="BGF37" i="5"/>
  <c r="BGG37" i="5"/>
  <c r="BGH37" i="5"/>
  <c r="BGI37" i="5"/>
  <c r="BGJ37" i="5"/>
  <c r="BGK37" i="5"/>
  <c r="BGL37" i="5"/>
  <c r="BGM37" i="5"/>
  <c r="BGN37" i="5"/>
  <c r="BGO37" i="5"/>
  <c r="BGP37" i="5"/>
  <c r="BGQ37" i="5"/>
  <c r="BGR37" i="5"/>
  <c r="BGS37" i="5"/>
  <c r="BGT37" i="5"/>
  <c r="BGU37" i="5"/>
  <c r="BGV37" i="5"/>
  <c r="BGW37" i="5"/>
  <c r="BGX37" i="5"/>
  <c r="BGY37" i="5"/>
  <c r="BGZ37" i="5"/>
  <c r="BHA37" i="5"/>
  <c r="BHB37" i="5"/>
  <c r="BHC37" i="5"/>
  <c r="BHD37" i="5"/>
  <c r="BHE37" i="5"/>
  <c r="BHF37" i="5"/>
  <c r="BHG37" i="5"/>
  <c r="BHH37" i="5"/>
  <c r="BHI37" i="5"/>
  <c r="BHJ37" i="5"/>
  <c r="BHK37" i="5"/>
  <c r="BHL37" i="5"/>
  <c r="BHM37" i="5"/>
  <c r="BHN37" i="5"/>
  <c r="BHO37" i="5"/>
  <c r="BHP37" i="5"/>
  <c r="BHQ37" i="5"/>
  <c r="BHR37" i="5"/>
  <c r="BHS37" i="5"/>
  <c r="BHT37" i="5"/>
  <c r="BHU37" i="5"/>
  <c r="BHV37" i="5"/>
  <c r="BHW37" i="5"/>
  <c r="BHX37" i="5"/>
  <c r="BHY37" i="5"/>
  <c r="BHZ37" i="5"/>
  <c r="BIA37" i="5"/>
  <c r="BIB37" i="5"/>
  <c r="BIC37" i="5"/>
  <c r="BID37" i="5"/>
  <c r="BIE37" i="5"/>
  <c r="BIF37" i="5"/>
  <c r="BIG37" i="5"/>
  <c r="BIH37" i="5"/>
  <c r="BII37" i="5"/>
  <c r="BIJ37" i="5"/>
  <c r="BIK37" i="5"/>
  <c r="BIL37" i="5"/>
  <c r="BIM37" i="5"/>
  <c r="BIN37" i="5"/>
  <c r="BIO37" i="5"/>
  <c r="BIP37" i="5"/>
  <c r="BIQ37" i="5"/>
  <c r="BIR37" i="5"/>
  <c r="BIS37" i="5"/>
  <c r="BIT37" i="5"/>
  <c r="BIU37" i="5"/>
  <c r="BIV37" i="5"/>
  <c r="BIW37" i="5"/>
  <c r="BIX37" i="5"/>
  <c r="BIY37" i="5"/>
  <c r="BIZ37" i="5"/>
  <c r="BJA37" i="5"/>
  <c r="BJB37" i="5"/>
  <c r="BJC37" i="5"/>
  <c r="BJD37" i="5"/>
  <c r="BJE37" i="5"/>
  <c r="BJF37" i="5"/>
  <c r="BJG37" i="5"/>
  <c r="BJH37" i="5"/>
  <c r="BJI37" i="5"/>
  <c r="BJJ37" i="5"/>
  <c r="BJK37" i="5"/>
  <c r="BJL37" i="5"/>
  <c r="BJM37" i="5"/>
  <c r="BJN37" i="5"/>
  <c r="BJO37" i="5"/>
  <c r="BJP37" i="5"/>
  <c r="BJQ37" i="5"/>
  <c r="BJR37" i="5"/>
  <c r="BJS37" i="5"/>
  <c r="BJT37" i="5"/>
  <c r="BJU37" i="5"/>
  <c r="BJV37" i="5"/>
  <c r="BJW37" i="5"/>
  <c r="BJX37" i="5"/>
  <c r="BJY37" i="5"/>
  <c r="BJZ37" i="5"/>
  <c r="BKA37" i="5"/>
  <c r="BKB37" i="5"/>
  <c r="BKC37" i="5"/>
  <c r="BKD37" i="5"/>
  <c r="BKE37" i="5"/>
  <c r="BKF37" i="5"/>
  <c r="BKG37" i="5"/>
  <c r="BKH37" i="5"/>
  <c r="BKI37" i="5"/>
  <c r="BKJ37" i="5"/>
  <c r="BKK37" i="5"/>
  <c r="BKL37" i="5"/>
  <c r="BKM37" i="5"/>
  <c r="BKN37" i="5"/>
  <c r="BKO37" i="5"/>
  <c r="BKP37" i="5"/>
  <c r="BKQ37" i="5"/>
  <c r="BKR37" i="5"/>
  <c r="BKS37" i="5"/>
  <c r="BKT37" i="5"/>
  <c r="BKU37" i="5"/>
  <c r="BKV37" i="5"/>
  <c r="BKW37" i="5"/>
  <c r="BKX37" i="5"/>
  <c r="BKY37" i="5"/>
  <c r="BKZ37" i="5"/>
  <c r="BLA37" i="5"/>
  <c r="BLB37" i="5"/>
  <c r="BLC37" i="5"/>
  <c r="BLD37" i="5"/>
  <c r="BLE37" i="5"/>
  <c r="BLF37" i="5"/>
  <c r="BLG37" i="5"/>
  <c r="BLH37" i="5"/>
  <c r="BLI37" i="5"/>
  <c r="BLJ37" i="5"/>
  <c r="BLK37" i="5"/>
  <c r="BLL37" i="5"/>
  <c r="BLM37" i="5"/>
  <c r="BLN37" i="5"/>
  <c r="BLO37" i="5"/>
  <c r="BLP37" i="5"/>
  <c r="BLQ37" i="5"/>
  <c r="BLR37" i="5"/>
  <c r="BLS37" i="5"/>
  <c r="BLT37" i="5"/>
  <c r="BLU37" i="5"/>
  <c r="BLV37" i="5"/>
  <c r="BLW37" i="5"/>
  <c r="BLX37" i="5"/>
  <c r="BLY37" i="5"/>
  <c r="BLZ37" i="5"/>
  <c r="BMA37" i="5"/>
  <c r="BMB37" i="5"/>
  <c r="BMC37" i="5"/>
  <c r="BMD37" i="5"/>
  <c r="BME37" i="5"/>
  <c r="BMF37" i="5"/>
  <c r="BMG37" i="5"/>
  <c r="BMH37" i="5"/>
  <c r="BMI37" i="5"/>
  <c r="BMJ37" i="5"/>
  <c r="BMK37" i="5"/>
  <c r="BML37" i="5"/>
  <c r="BMM37" i="5"/>
  <c r="BMN37" i="5"/>
  <c r="BMO37" i="5"/>
  <c r="BMP37" i="5"/>
  <c r="BMQ37" i="5"/>
  <c r="BMR37" i="5"/>
  <c r="BMS37" i="5"/>
  <c r="BMT37" i="5"/>
  <c r="BMU37" i="5"/>
  <c r="BMV37" i="5"/>
  <c r="BMW37" i="5"/>
  <c r="BMX37" i="5"/>
  <c r="BMY37" i="5"/>
  <c r="BMZ37" i="5"/>
  <c r="BNA37" i="5"/>
  <c r="BNB37" i="5"/>
  <c r="BNC37" i="5"/>
  <c r="BND37" i="5"/>
  <c r="BNE37" i="5"/>
  <c r="BNF37" i="5"/>
  <c r="BNG37" i="5"/>
  <c r="BNH37" i="5"/>
  <c r="BNI37" i="5"/>
  <c r="BNJ37" i="5"/>
  <c r="BNK37" i="5"/>
  <c r="BNL37" i="5"/>
  <c r="BNM37" i="5"/>
  <c r="BNN37" i="5"/>
  <c r="BNO37" i="5"/>
  <c r="BNP37" i="5"/>
  <c r="BNQ37" i="5"/>
  <c r="BNR37" i="5"/>
  <c r="BNS37" i="5"/>
  <c r="BNT37" i="5"/>
  <c r="BNU37" i="5"/>
  <c r="BNV37" i="5"/>
  <c r="BNW37" i="5"/>
  <c r="BNX37" i="5"/>
  <c r="BNY37" i="5"/>
  <c r="BNZ37" i="5"/>
  <c r="BOA37" i="5"/>
  <c r="BOB37" i="5"/>
  <c r="BOC37" i="5"/>
  <c r="BOD37" i="5"/>
  <c r="BOE37" i="5"/>
  <c r="BOF37" i="5"/>
  <c r="BOG37" i="5"/>
  <c r="BOH37" i="5"/>
  <c r="BOI37" i="5"/>
  <c r="BOJ37" i="5"/>
  <c r="BOK37" i="5"/>
  <c r="BOL37" i="5"/>
  <c r="BOM37" i="5"/>
  <c r="BON37" i="5"/>
  <c r="BOO37" i="5"/>
  <c r="BOP37" i="5"/>
  <c r="BOQ37" i="5"/>
  <c r="BOR37" i="5"/>
  <c r="BOS37" i="5"/>
  <c r="BOT37" i="5"/>
  <c r="BOU37" i="5"/>
  <c r="BOV37" i="5"/>
  <c r="BOW37" i="5"/>
  <c r="BOX37" i="5"/>
  <c r="BOY37" i="5"/>
  <c r="BOZ37" i="5"/>
  <c r="BPA37" i="5"/>
  <c r="BPB37" i="5"/>
  <c r="BPC37" i="5"/>
  <c r="BPD37" i="5"/>
  <c r="BPE37" i="5"/>
  <c r="BPF37" i="5"/>
  <c r="BPG37" i="5"/>
  <c r="BPH37" i="5"/>
  <c r="BPI37" i="5"/>
  <c r="BPJ37" i="5"/>
  <c r="BPK37" i="5"/>
  <c r="BPL37" i="5"/>
  <c r="BPM37" i="5"/>
  <c r="BPN37" i="5"/>
  <c r="BPO37" i="5"/>
  <c r="BPP37" i="5"/>
  <c r="BPQ37" i="5"/>
  <c r="BPR37" i="5"/>
  <c r="BPS37" i="5"/>
  <c r="BPT37" i="5"/>
  <c r="BPU37" i="5"/>
  <c r="BPV37" i="5"/>
  <c r="BPW37" i="5"/>
  <c r="BPX37" i="5"/>
  <c r="BPY37" i="5"/>
  <c r="BPZ37" i="5"/>
  <c r="BQA37" i="5"/>
  <c r="BQB37" i="5"/>
  <c r="BQC37" i="5"/>
  <c r="BQD37" i="5"/>
  <c r="BQE37" i="5"/>
  <c r="BQF37" i="5"/>
  <c r="BQG37" i="5"/>
  <c r="BQH37" i="5"/>
  <c r="BQI37" i="5"/>
  <c r="BQJ37" i="5"/>
  <c r="BQK37" i="5"/>
  <c r="BQL37" i="5"/>
  <c r="BQM37" i="5"/>
  <c r="BQN37" i="5"/>
  <c r="BQO37" i="5"/>
  <c r="BQP37" i="5"/>
  <c r="BQQ37" i="5"/>
  <c r="BQR37" i="5"/>
  <c r="BQS37" i="5"/>
  <c r="BQT37" i="5"/>
  <c r="BQU37" i="5"/>
  <c r="BQV37" i="5"/>
  <c r="BQW37" i="5"/>
  <c r="BQX37" i="5"/>
  <c r="BQY37" i="5"/>
  <c r="BQZ37" i="5"/>
  <c r="BRA37" i="5"/>
  <c r="BRB37" i="5"/>
  <c r="BRC37" i="5"/>
  <c r="BRD37" i="5"/>
  <c r="BRE37" i="5"/>
  <c r="BRF37" i="5"/>
  <c r="BRG37" i="5"/>
  <c r="BRH37" i="5"/>
  <c r="BRI37" i="5"/>
  <c r="BRJ37" i="5"/>
  <c r="BRK37" i="5"/>
  <c r="BRL37" i="5"/>
  <c r="BRM37" i="5"/>
  <c r="BRN37" i="5"/>
  <c r="BRO37" i="5"/>
  <c r="BRP37" i="5"/>
  <c r="BRQ37" i="5"/>
  <c r="BRR37" i="5"/>
  <c r="BRS37" i="5"/>
  <c r="BRT37" i="5"/>
  <c r="BRU37" i="5"/>
  <c r="BRV37" i="5"/>
  <c r="BRW37" i="5"/>
  <c r="BRX37" i="5"/>
  <c r="BRY37" i="5"/>
  <c r="BRZ37" i="5"/>
  <c r="BSA37" i="5"/>
  <c r="BSB37" i="5"/>
  <c r="BSC37" i="5"/>
  <c r="BSD37" i="5"/>
  <c r="BSE37" i="5"/>
  <c r="BSF37" i="5"/>
  <c r="BSG37" i="5"/>
  <c r="BSH37" i="5"/>
  <c r="BSI37" i="5"/>
  <c r="BSJ37" i="5"/>
  <c r="BSK37" i="5"/>
  <c r="BSL37" i="5"/>
  <c r="BSM37" i="5"/>
  <c r="BSN37" i="5"/>
  <c r="BSO37" i="5"/>
  <c r="BSP37" i="5"/>
  <c r="BSQ37" i="5"/>
  <c r="BSR37" i="5"/>
  <c r="BSS37" i="5"/>
  <c r="BST37" i="5"/>
  <c r="BSU37" i="5"/>
  <c r="BSV37" i="5"/>
  <c r="BSW37" i="5"/>
  <c r="BSX37" i="5"/>
  <c r="BSY37" i="5"/>
  <c r="BSZ37" i="5"/>
  <c r="BTA37" i="5"/>
  <c r="BTB37" i="5"/>
  <c r="BTC37" i="5"/>
  <c r="BTD37" i="5"/>
  <c r="BTE37" i="5"/>
  <c r="BTF37" i="5"/>
  <c r="BTG37" i="5"/>
  <c r="BTH37" i="5"/>
  <c r="BTI37" i="5"/>
  <c r="BTJ37" i="5"/>
  <c r="BTK37" i="5"/>
  <c r="BTL37" i="5"/>
  <c r="BTM37" i="5"/>
  <c r="BTN37" i="5"/>
  <c r="BTO37" i="5"/>
  <c r="BTP37" i="5"/>
  <c r="BTQ37" i="5"/>
  <c r="BTR37" i="5"/>
  <c r="BTS37" i="5"/>
  <c r="BTT37" i="5"/>
  <c r="BTU37" i="5"/>
  <c r="BTV37" i="5"/>
  <c r="BTW37" i="5"/>
  <c r="BTX37" i="5"/>
  <c r="BTY37" i="5"/>
  <c r="BTZ37" i="5"/>
  <c r="BUA37" i="5"/>
  <c r="BUB37" i="5"/>
  <c r="BUC37" i="5"/>
  <c r="BUD37" i="5"/>
  <c r="BUE37" i="5"/>
  <c r="BUF37" i="5"/>
  <c r="BUG37" i="5"/>
  <c r="BUH37" i="5"/>
  <c r="BUI37" i="5"/>
  <c r="BUJ37" i="5"/>
  <c r="BUK37" i="5"/>
  <c r="BUL37" i="5"/>
  <c r="BUM37" i="5"/>
  <c r="BUN37" i="5"/>
  <c r="BUO37" i="5"/>
  <c r="BUP37" i="5"/>
  <c r="BUQ37" i="5"/>
  <c r="BUR37" i="5"/>
  <c r="BUS37" i="5"/>
  <c r="BUT37" i="5"/>
  <c r="BUU37" i="5"/>
  <c r="BUV37" i="5"/>
  <c r="BUW37" i="5"/>
  <c r="BUX37" i="5"/>
  <c r="BUY37" i="5"/>
  <c r="BUZ37" i="5"/>
  <c r="BVA37" i="5"/>
  <c r="BVB37" i="5"/>
  <c r="BVC37" i="5"/>
  <c r="BVD37" i="5"/>
  <c r="BVE37" i="5"/>
  <c r="BVF37" i="5"/>
  <c r="BVG37" i="5"/>
  <c r="BVH37" i="5"/>
  <c r="BVI37" i="5"/>
  <c r="BVJ37" i="5"/>
  <c r="BVK37" i="5"/>
  <c r="BVL37" i="5"/>
  <c r="BVM37" i="5"/>
  <c r="BVN37" i="5"/>
  <c r="BVO37" i="5"/>
  <c r="BVP37" i="5"/>
  <c r="BVQ37" i="5"/>
  <c r="BVR37" i="5"/>
  <c r="BVS37" i="5"/>
  <c r="BVT37" i="5"/>
  <c r="BVU37" i="5"/>
  <c r="BVV37" i="5"/>
  <c r="BVW37" i="5"/>
  <c r="BVX37" i="5"/>
  <c r="BVY37" i="5"/>
  <c r="BVZ37" i="5"/>
  <c r="BWA37" i="5"/>
  <c r="BWB37" i="5"/>
  <c r="BWC37" i="5"/>
  <c r="BWD37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2" i="5"/>
  <c r="B28" i="5"/>
  <c r="B29" i="5"/>
  <c r="B30" i="5"/>
  <c r="B31" i="5"/>
  <c r="B32" i="5"/>
  <c r="B33" i="5"/>
  <c r="B34" i="5"/>
  <c r="B35" i="5"/>
  <c r="B36" i="5"/>
  <c r="B37" i="5"/>
  <c r="B2" i="5"/>
  <c r="M2" i="3" s="1"/>
  <c r="A37" i="5"/>
  <c r="A33" i="5"/>
  <c r="A34" i="5"/>
  <c r="A35" i="5"/>
  <c r="A36" i="5"/>
  <c r="A30" i="5"/>
  <c r="A31" i="5"/>
  <c r="A3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2" i="5"/>
  <c r="B1" i="5"/>
  <c r="C1" i="5"/>
  <c r="A1" i="5"/>
  <c r="F24" i="3"/>
  <c r="F23" i="3"/>
  <c r="F22" i="3"/>
  <c r="F21" i="3"/>
  <c r="F20" i="3"/>
  <c r="F19" i="3"/>
  <c r="F18" i="3"/>
  <c r="F17" i="3"/>
  <c r="J4" i="3"/>
  <c r="I22" i="3"/>
  <c r="I23" i="3"/>
  <c r="I24" i="3"/>
  <c r="I25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G1" i="3"/>
  <c r="H1" i="3"/>
  <c r="G2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C1" i="3"/>
  <c r="D1" i="3"/>
  <c r="C2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E1" i="3"/>
  <c r="F1" i="3"/>
  <c r="E2" i="3"/>
  <c r="E3" i="3"/>
  <c r="E4" i="3"/>
  <c r="E5" i="3"/>
  <c r="E6" i="3"/>
  <c r="E7" i="3"/>
  <c r="E8" i="3"/>
  <c r="E9" i="3"/>
  <c r="A1" i="3"/>
  <c r="B1" i="3" l="1"/>
  <c r="B3" i="5" s="1"/>
  <c r="F4" i="3" l="1"/>
  <c r="F2" i="3"/>
  <c r="J5" i="3" l="1"/>
  <c r="H11" i="3"/>
  <c r="F8" i="3"/>
  <c r="H4" i="3"/>
  <c r="J7" i="3"/>
  <c r="J6" i="3" l="1"/>
  <c r="D3" i="3" l="1"/>
  <c r="B2" i="3" l="1"/>
  <c r="B4" i="5" s="1"/>
  <c r="B3" i="3"/>
  <c r="B5" i="5" s="1"/>
  <c r="J10" i="3" l="1"/>
  <c r="H10" i="3" l="1"/>
  <c r="B6" i="3" l="1"/>
  <c r="B8" i="5" s="1"/>
  <c r="H3" i="3" l="1"/>
  <c r="H8" i="3"/>
  <c r="H18" i="3"/>
  <c r="H20" i="3"/>
  <c r="H14" i="3" l="1"/>
  <c r="H25" i="3"/>
  <c r="H23" i="3"/>
  <c r="J12" i="3"/>
  <c r="H17" i="3"/>
  <c r="J19" i="3"/>
  <c r="H24" i="3"/>
  <c r="H7" i="3"/>
  <c r="J9" i="3"/>
  <c r="D4" i="3" l="1"/>
  <c r="D17" i="3"/>
  <c r="B11" i="3" l="1"/>
  <c r="B13" i="5" s="1"/>
  <c r="F3" i="3" l="1"/>
  <c r="H5" i="3"/>
  <c r="F5" i="3"/>
  <c r="H19" i="3"/>
  <c r="F9" i="3"/>
  <c r="F13" i="3"/>
  <c r="H15" i="3" l="1"/>
  <c r="F7" i="3"/>
  <c r="F14" i="3"/>
  <c r="H12" i="3"/>
  <c r="J22" i="3"/>
  <c r="J21" i="3"/>
  <c r="F6" i="3"/>
  <c r="H6" i="3"/>
  <c r="F15" i="3"/>
  <c r="J23" i="3"/>
  <c r="F10" i="3"/>
  <c r="F12" i="3"/>
  <c r="J24" i="3"/>
  <c r="F11" i="3"/>
  <c r="F16" i="3"/>
  <c r="D24" i="3" l="1"/>
  <c r="D14" i="3"/>
  <c r="D6" i="3"/>
  <c r="D10" i="3"/>
  <c r="D18" i="3"/>
  <c r="D23" i="3"/>
  <c r="D12" i="3"/>
  <c r="D7" i="3"/>
  <c r="D16" i="3"/>
  <c r="D8" i="3"/>
  <c r="D25" i="3"/>
  <c r="D13" i="3"/>
  <c r="D21" i="3"/>
  <c r="B5" i="3" l="1"/>
  <c r="B7" i="5" s="1"/>
  <c r="B14" i="3"/>
  <c r="B16" i="5" s="1"/>
  <c r="B20" i="3"/>
  <c r="B22" i="5" s="1"/>
  <c r="B17" i="3"/>
  <c r="B19" i="5" s="1"/>
  <c r="B13" i="3"/>
  <c r="B15" i="5" s="1"/>
  <c r="B21" i="3"/>
  <c r="B23" i="5" s="1"/>
  <c r="B8" i="3"/>
  <c r="B10" i="5" s="1"/>
  <c r="J8" i="3" l="1"/>
  <c r="J20" i="3" l="1"/>
  <c r="J11" i="3"/>
  <c r="J25" i="3"/>
  <c r="H13" i="3"/>
  <c r="J13" i="3"/>
  <c r="H16" i="3"/>
  <c r="J14" i="3"/>
  <c r="J18" i="3"/>
  <c r="J15" i="3"/>
  <c r="J16" i="3"/>
  <c r="J17" i="3"/>
  <c r="H22" i="3"/>
  <c r="H21" i="3"/>
  <c r="D9" i="3" l="1"/>
  <c r="D22" i="3"/>
  <c r="D19" i="3"/>
  <c r="D20" i="3"/>
  <c r="D11" i="3"/>
  <c r="D5" i="3"/>
  <c r="B10" i="3" l="1"/>
  <c r="B12" i="5" s="1"/>
  <c r="B18" i="3"/>
  <c r="B20" i="5" s="1"/>
  <c r="B7" i="3"/>
  <c r="B9" i="5" s="1"/>
  <c r="B16" i="3"/>
  <c r="B18" i="5" s="1"/>
  <c r="B12" i="3"/>
  <c r="B14" i="5" s="1"/>
  <c r="B9" i="3"/>
  <c r="B11" i="5" s="1"/>
  <c r="B19" i="3"/>
  <c r="B21" i="5" s="1"/>
  <c r="B23" i="3"/>
  <c r="B25" i="5" s="1"/>
  <c r="B25" i="3" l="1"/>
  <c r="B27" i="5" s="1"/>
  <c r="H9" i="3"/>
  <c r="D15" i="3" l="1"/>
  <c r="B24" i="3" l="1"/>
  <c r="B26" i="5" s="1"/>
  <c r="B15" i="3"/>
  <c r="B17" i="5" s="1"/>
  <c r="B4" i="3"/>
  <c r="B6" i="5" s="1"/>
  <c r="B22" i="3"/>
  <c r="B24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B93E43-4581-4E9A-9E44-D14C8B86B0AB}" keepAlive="1" name="Query - SOFR3mo PX" description="Connection to the 'SOFR3mo PX' query in the workbook." type="5" refreshedVersion="8" background="1" saveData="1">
    <dbPr connection="Provider=Microsoft.Mashup.OleDb.1;Data Source=$Workbook$;Location=&quot;SOFR3mo PX&quot;;Extended Properties=&quot;&quot;" command="SELECT * FROM [SOFR3mo PX]"/>
  </connection>
</connections>
</file>

<file path=xl/sharedStrings.xml><?xml version="1.0" encoding="utf-8"?>
<sst xmlns="http://schemas.openxmlformats.org/spreadsheetml/2006/main" count="192829" uniqueCount="7060">
  <si>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</si>
  <si>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</si>
  <si>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</si>
  <si>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</si>
  <si>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</si>
  <si>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</si>
  <si>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</si>
  <si>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</si>
  <si>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</si>
  <si>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</si>
  <si>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</si>
  <si>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</si>
  <si>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</si>
  <si>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</si>
  <si>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</si>
  <si>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</si>
  <si>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</si>
  <si>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</si>
  <si>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</si>
  <si>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</si>
  <si>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</si>
  <si>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</si>
  <si>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</si>
  <si>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</si>
  <si>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</si>
  <si>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</si>
  <si>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</si>
  <si>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</si>
  <si>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</si>
  <si>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</si>
  <si>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</si>
  <si>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</si>
  <si>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</si>
  <si>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</si>
  <si>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</si>
  <si>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</si>
  <si>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</si>
  <si>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</si>
  <si>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</si>
  <si>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</si>
  <si>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</si>
  <si>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</si>
  <si>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</si>
  <si>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</si>
  <si>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</si>
  <si>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</si>
  <si>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</si>
  <si>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</si>
  <si>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</si>
  <si>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</si>
  <si>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</si>
  <si>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</si>
  <si>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</si>
  <si>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</si>
  <si>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</si>
  <si>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</si>
  <si>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</si>
  <si>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</si>
  <si>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</si>
  <si>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</si>
  <si>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</si>
  <si>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</si>
  <si>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</si>
  <si>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</si>
  <si>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</si>
  <si>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</si>
  <si>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</si>
  <si>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</si>
  <si>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</si>
  <si>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</si>
  <si>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</si>
  <si>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</si>
  <si>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</si>
  <si>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</si>
  <si>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</si>
  <si>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</si>
  <si>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</si>
  <si>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</si>
  <si>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</si>
  <si>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</si>
  <si>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</si>
  <si>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</si>
  <si>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</si>
  <si>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</si>
  <si>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</si>
  <si>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</si>
  <si>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</si>
  <si>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</si>
  <si>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</si>
  <si>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</si>
  <si>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</si>
  <si>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</si>
  <si>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</si>
  <si>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</si>
  <si>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</si>
  <si>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</si>
  <si>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</si>
  <si>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</si>
  <si>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</si>
  <si>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</si>
  <si>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</si>
  <si>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</si>
  <si>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</si>
  <si>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</si>
  <si>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</si>
  <si>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</si>
  <si>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</si>
  <si>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</si>
  <si>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</si>
  <si>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</si>
  <si>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</si>
  <si>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</si>
  <si>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</si>
  <si>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</si>
  <si>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</si>
  <si>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</si>
  <si>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</si>
  <si>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</si>
  <si>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</si>
  <si>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</si>
  <si>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</si>
  <si>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</si>
  <si>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</si>
  <si>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</si>
  <si>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</si>
  <si>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</si>
  <si>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</si>
  <si>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</si>
  <si>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</si>
  <si>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</si>
  <si>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</si>
  <si>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</si>
  <si>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</si>
  <si>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</si>
  <si>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</si>
  <si>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</si>
  <si>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</si>
  <si>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</si>
  <si>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</si>
  <si>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</si>
  <si>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</si>
  <si>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</si>
  <si>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</si>
  <si>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</si>
  <si>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</si>
  <si>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</si>
  <si>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</si>
  <si>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</si>
  <si>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</si>
  <si>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</si>
  <si>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</si>
  <si>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</si>
  <si>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</si>
  <si>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</si>
  <si>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</si>
  <si>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</si>
  <si>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</si>
  <si>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</si>
  <si>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</si>
  <si>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</si>
  <si>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</si>
  <si>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</si>
  <si>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</si>
  <si>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</si>
  <si>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</si>
  <si>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</si>
  <si>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</si>
  <si>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</si>
  <si>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</si>
  <si>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</si>
  <si>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</si>
  <si>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</si>
  <si>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</si>
  <si>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</si>
  <si>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</si>
  <si>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</si>
  <si>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</si>
  <si>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</si>
  <si>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</si>
  <si>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</si>
  <si>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</si>
  <si>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</si>
  <si>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</si>
  <si>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</si>
  <si>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</si>
  <si>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</si>
  <si>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</si>
  <si>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</si>
  <si>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</si>
  <si>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</si>
  <si>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</si>
  <si>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</si>
  <si>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</si>
  <si>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</si>
  <si>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</si>
  <si>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</si>
  <si>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</si>
  <si>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</si>
  <si>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</si>
  <si>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</si>
  <si>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</si>
  <si>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</si>
  <si>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</si>
  <si>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</si>
  <si>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</si>
  <si>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</si>
  <si>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</si>
  <si>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</si>
  <si>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</si>
  <si>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</si>
  <si>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</si>
  <si>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</si>
  <si>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</si>
  <si>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</si>
  <si>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</si>
  <si>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</si>
  <si>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</si>
  <si>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</si>
  <si>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</si>
  <si>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</si>
  <si>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</si>
  <si>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</si>
  <si>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</si>
  <si>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</si>
  <si>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</si>
  <si>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</si>
  <si>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</si>
  <si>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</si>
  <si>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</si>
  <si>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</si>
  <si>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</si>
  <si>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</si>
  <si>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</si>
  <si>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</si>
  <si>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</si>
  <si>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</si>
  <si>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</si>
  <si>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</si>
  <si>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</si>
  <si>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</si>
  <si>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</si>
  <si>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</si>
  <si>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</si>
  <si>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</si>
  <si>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</si>
  <si>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</si>
  <si>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</si>
  <si>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</si>
  <si>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</si>
  <si>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</si>
  <si>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</si>
  <si>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</si>
  <si>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</si>
  <si>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</si>
  <si>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</si>
  <si>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</si>
  <si>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</si>
  <si>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</si>
  <si>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</si>
  <si>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</si>
  <si>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</si>
  <si>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</si>
  <si>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</si>
  <si>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</si>
  <si>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</si>
  <si>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</si>
  <si>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</si>
  <si>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</si>
  <si>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</si>
  <si>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</si>
  <si>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</si>
  <si>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</si>
  <si>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</si>
  <si>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</si>
  <si>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</si>
  <si>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</si>
  <si>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</si>
  <si>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</si>
  <si>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</si>
  <si>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</si>
  <si>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</si>
  <si>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</si>
  <si>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</si>
  <si>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</si>
  <si>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</si>
  <si>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</si>
  <si>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</si>
  <si>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</si>
  <si>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</si>
  <si>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</si>
  <si>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</si>
  <si>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</si>
  <si>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</si>
  <si>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</si>
  <si>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</si>
  <si>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</si>
  <si>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</si>
  <si>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</si>
  <si>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</si>
  <si>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</si>
  <si>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</si>
  <si>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</si>
  <si>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</si>
  <si>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</si>
  <si>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</si>
  <si>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</si>
  <si>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</si>
  <si>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</si>
  <si>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</si>
  <si>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</si>
  <si>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</si>
  <si>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</si>
  <si>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</si>
  <si>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</si>
  <si>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</si>
  <si>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</si>
  <si>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</si>
  <si>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</si>
  <si>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</si>
  <si>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</si>
  <si>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</si>
  <si>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</si>
  <si>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</si>
  <si>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</si>
  <si>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</si>
  <si>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</si>
  <si>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</si>
  <si>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</si>
  <si>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</si>
  <si>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</si>
  <si>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</si>
  <si>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</si>
  <si>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</si>
  <si>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</si>
  <si>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</si>
  <si>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</si>
  <si>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</si>
  <si>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</si>
  <si>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</si>
  <si>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</si>
  <si>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</si>
  <si>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</si>
  <si>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</si>
  <si>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</si>
  <si>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</si>
  <si>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</si>
  <si>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</si>
  <si>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</si>
  <si>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</si>
  <si>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</si>
  <si>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</si>
  <si>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</si>
  <si>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</si>
  <si>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</si>
  <si>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</si>
  <si>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</si>
  <si>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</si>
  <si>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</si>
  <si>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</si>
  <si>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</si>
  <si>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</si>
  <si>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</si>
  <si>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</si>
  <si>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</si>
  <si>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</si>
  <si>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</si>
  <si>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</si>
  <si>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</si>
  <si>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</si>
  <si>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</si>
  <si>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</si>
  <si>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</si>
  <si>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</si>
  <si>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</si>
  <si>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</si>
  <si>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</si>
  <si>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</si>
  <si>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</si>
  <si>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</si>
  <si>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</si>
  <si>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</si>
  <si>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</si>
  <si>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</si>
  <si>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</si>
  <si>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</si>
  <si>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</si>
  <si>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</si>
  <si>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</si>
  <si>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</si>
  <si>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</si>
  <si>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</si>
  <si>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</si>
  <si>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</si>
  <si>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</si>
  <si>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</si>
  <si>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</si>
  <si>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</si>
  <si>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</si>
  <si>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</si>
  <si>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</si>
  <si>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</si>
  <si>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</si>
  <si>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</si>
  <si>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</si>
  <si>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</si>
  <si>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</si>
  <si>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</si>
  <si>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</si>
  <si>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</si>
  <si>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</si>
  <si>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</si>
  <si>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</si>
  <si>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</si>
  <si>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</si>
  <si>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</si>
  <si>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</si>
  <si>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</si>
  <si>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</si>
  <si>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</si>
  <si>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</si>
  <si>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</si>
  <si>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</si>
  <si>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</si>
  <si>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</si>
  <si>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</si>
  <si>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</si>
  <si>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</si>
  <si>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</si>
  <si>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</si>
  <si>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</si>
  <si>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</si>
  <si>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</si>
  <si>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</si>
  <si>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</si>
  <si>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</si>
  <si>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</si>
  <si>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</si>
  <si>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</si>
  <si>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</si>
  <si>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</si>
  <si>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</si>
  <si>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</si>
  <si>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</si>
  <si>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</si>
  <si>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</si>
  <si>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</si>
  <si>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</si>
  <si>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</si>
  <si>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</si>
  <si>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</si>
  <si>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</si>
  <si>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</si>
  <si>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</si>
  <si>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</si>
  <si>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</si>
  <si>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</si>
  <si>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</si>
  <si>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</si>
  <si>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</si>
  <si>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</si>
  <si>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</si>
  <si>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</si>
  <si>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</si>
  <si>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</si>
  <si>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</si>
  <si>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</si>
  <si>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</si>
  <si>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</si>
  <si>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</si>
  <si>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</si>
  <si>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</si>
  <si>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</si>
  <si>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</si>
  <si>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</si>
  <si>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</si>
  <si>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</si>
  <si>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</si>
  <si>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</si>
  <si>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</si>
  <si>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</si>
  <si>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</si>
  <si>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</si>
  <si>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</si>
  <si>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</si>
  <si>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</si>
  <si>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</si>
  <si>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</si>
  <si>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</si>
  <si>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</si>
  <si>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</si>
  <si>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</si>
  <si>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</si>
  <si>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</si>
  <si>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</si>
  <si>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</si>
  <si>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</si>
  <si>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</si>
  <si>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</si>
  <si>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</si>
  <si>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</si>
  <si>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</si>
  <si>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</si>
  <si>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</si>
  <si>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</si>
  <si>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</si>
  <si>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</si>
  <si>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</si>
  <si>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</si>
  <si>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</si>
  <si>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</si>
  <si>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</si>
  <si>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</si>
  <si>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</si>
  <si>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</si>
  <si>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</si>
  <si>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</si>
  <si>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</si>
  <si>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</si>
  <si>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</si>
  <si>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</si>
  <si>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</si>
  <si>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</si>
  <si>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</si>
  <si>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</si>
  <si>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</si>
  <si>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</si>
  <si>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</si>
  <si>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</si>
  <si>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</si>
  <si>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</si>
  <si>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</si>
  <si>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</si>
  <si>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</si>
  <si>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</si>
  <si>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</si>
  <si>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</si>
  <si>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</si>
  <si>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</si>
  <si>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</si>
  <si>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</si>
  <si>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</si>
  <si>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</si>
  <si>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</si>
  <si>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</si>
  <si>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</si>
  <si>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</si>
  <si>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</si>
  <si>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</si>
  <si>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</si>
  <si>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</si>
  <si>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</si>
  <si>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</si>
  <si>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</si>
  <si>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</si>
  <si>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</si>
  <si>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</si>
  <si>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</si>
  <si>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</si>
  <si>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</si>
  <si>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</si>
  <si>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</si>
  <si>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</si>
  <si>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</si>
  <si>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</si>
  <si>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</si>
  <si>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</si>
  <si>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</si>
  <si>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</si>
  <si>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</si>
  <si>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</si>
  <si>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</si>
  <si>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</si>
  <si>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</si>
  <si>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</si>
  <si>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</si>
  <si>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</si>
  <si>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</si>
  <si>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</si>
  <si>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</si>
  <si>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</si>
  <si>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</si>
  <si>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</si>
  <si>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</si>
  <si>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</si>
  <si>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</si>
  <si>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</si>
  <si>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</si>
  <si>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</si>
  <si>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</si>
  <si>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</si>
  <si>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</si>
  <si>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</si>
  <si>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</si>
  <si>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</si>
  <si>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</si>
  <si>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</si>
  <si>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</si>
  <si>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</si>
  <si>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</si>
  <si>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</si>
  <si>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</si>
  <si>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</si>
  <si>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</si>
  <si>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</si>
  <si>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</si>
  <si>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</si>
  <si>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</si>
  <si>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</si>
  <si>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</si>
  <si>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</si>
  <si>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</si>
  <si>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</si>
  <si>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</si>
  <si>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</si>
  <si>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</si>
  <si>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</si>
  <si>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</si>
  <si>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</si>
  <si>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</si>
  <si>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</si>
  <si>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</si>
  <si>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</si>
  <si>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</si>
  <si>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</si>
  <si>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</si>
  <si>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</si>
  <si>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</si>
  <si>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</si>
  <si>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</si>
  <si>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</si>
  <si>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</si>
  <si>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</si>
  <si>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</si>
  <si>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</si>
  <si>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</si>
  <si>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</si>
  <si>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</si>
  <si>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</si>
  <si>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</si>
  <si>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</si>
  <si>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</si>
  <si>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</si>
  <si>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</si>
  <si>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</si>
  <si>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</si>
  <si>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</si>
  <si>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</si>
  <si>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</si>
  <si>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</si>
  <si>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</si>
  <si>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</si>
  <si>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</si>
  <si>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</si>
  <si>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</si>
  <si>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</si>
  <si>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</si>
  <si>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</si>
  <si>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</si>
  <si>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</si>
  <si>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</si>
  <si>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</si>
  <si>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</si>
  <si>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</si>
  <si>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</si>
  <si>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</si>
  <si>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</si>
  <si>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</si>
  <si>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</si>
  <si>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</si>
  <si>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</si>
  <si>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</si>
  <si>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</si>
  <si>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</si>
  <si>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</si>
  <si>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</si>
  <si>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</si>
  <si>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</si>
  <si>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</si>
  <si>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</si>
  <si>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</si>
  <si>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</si>
  <si>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</si>
  <si>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</si>
  <si>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</si>
  <si>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</si>
  <si>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</si>
  <si>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</si>
  <si>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</si>
  <si>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</si>
  <si>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</si>
  <si>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</si>
  <si>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</si>
  <si>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</si>
  <si>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</si>
  <si>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</si>
  <si>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</si>
  <si>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</si>
  <si>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</si>
  <si>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</si>
  <si>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</si>
  <si>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</si>
  <si>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</si>
  <si>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</si>
  <si>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</si>
  <si>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</si>
  <si>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</si>
  <si>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</si>
  <si>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</si>
  <si>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</si>
  <si>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</si>
  <si>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</si>
  <si>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</si>
  <si>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</si>
  <si>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</si>
  <si>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</si>
  <si>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</si>
  <si>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</si>
  <si>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</si>
  <si>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</si>
  <si>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</si>
  <si>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</si>
  <si>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</si>
  <si>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</si>
  <si>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</si>
  <si>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</si>
  <si>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</si>
  <si>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</si>
  <si>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</si>
  <si>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</si>
  <si>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</si>
  <si>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</si>
  <si>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</si>
  <si>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</si>
  <si>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</si>
  <si>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</si>
  <si>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</si>
  <si>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</si>
  <si>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</si>
  <si>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</si>
  <si>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</si>
  <si>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</si>
  <si>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</si>
  <si>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</si>
  <si>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</si>
  <si>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</si>
  <si>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</si>
  <si>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</si>
  <si>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</si>
  <si>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</si>
  <si>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</si>
  <si>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</si>
  <si>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</si>
  <si>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</si>
  <si>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</si>
  <si>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</si>
  <si>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</si>
  <si>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</si>
  <si>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</si>
  <si>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</si>
  <si>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</si>
  <si>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</si>
  <si>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</si>
  <si>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</si>
  <si>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</si>
  <si>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</si>
  <si>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</si>
  <si>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</si>
  <si>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</si>
  <si>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</si>
  <si>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</si>
  <si>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</si>
  <si>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</si>
  <si>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</si>
  <si>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</si>
  <si>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</si>
  <si>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</si>
  <si>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</si>
  <si>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</si>
  <si>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</si>
  <si>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</si>
  <si>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</si>
  <si>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</si>
  <si>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</si>
  <si>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</si>
  <si>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</si>
  <si>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</si>
  <si>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</si>
  <si>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</si>
  <si>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</si>
  <si>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</si>
  <si>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</si>
  <si>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</si>
  <si>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</si>
  <si>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</si>
  <si>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</si>
  <si>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</si>
  <si>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</si>
  <si>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</si>
  <si>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</si>
  <si>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</si>
  <si>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</si>
  <si>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</si>
  <si>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</si>
  <si>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</si>
  <si>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</si>
  <si>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</si>
  <si>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</si>
  <si>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</si>
  <si>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</si>
  <si>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</si>
  <si>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</si>
  <si>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</si>
  <si>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</si>
  <si>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</si>
  <si>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</si>
  <si>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</si>
  <si>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</si>
  <si>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</si>
  <si>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</si>
  <si>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</si>
  <si>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</si>
  <si>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</si>
  <si>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</si>
  <si>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</si>
  <si>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</si>
  <si>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</si>
  <si>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</si>
  <si>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</si>
  <si>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</si>
  <si>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</si>
  <si>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</si>
  <si>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</si>
  <si>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</si>
  <si>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</si>
  <si>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</si>
  <si>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</si>
  <si>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</si>
  <si>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</si>
  <si>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</si>
  <si>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</si>
  <si>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</si>
  <si>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</si>
  <si>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</si>
  <si>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</si>
  <si>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</si>
  <si>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</si>
  <si>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</si>
  <si>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</si>
  <si>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</si>
  <si>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</si>
  <si>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</si>
  <si>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</si>
  <si>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</si>
  <si>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</si>
  <si>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</si>
  <si>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</si>
  <si>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</si>
  <si>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</si>
  <si>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</si>
  <si>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</si>
  <si>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</si>
  <si>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</si>
  <si>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</si>
  <si>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</si>
  <si>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</si>
  <si>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</si>
  <si>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</si>
  <si>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</si>
  <si>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</si>
  <si>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</si>
  <si>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</si>
  <si>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</si>
  <si>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</si>
  <si>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</si>
  <si>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</si>
  <si>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</si>
  <si>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</si>
  <si>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</si>
  <si>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</si>
  <si>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</si>
  <si>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</si>
  <si>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</si>
  <si>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</si>
  <si>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</si>
  <si>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</si>
  <si>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</si>
  <si>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</si>
  <si>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</si>
  <si>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</si>
  <si>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</si>
  <si>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</si>
  <si>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</si>
  <si>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</si>
  <si>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</si>
  <si>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</si>
  <si>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</si>
  <si>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</si>
  <si>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</si>
  <si>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</si>
  <si>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</si>
  <si>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</si>
  <si>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</si>
  <si>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</si>
  <si>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</si>
  <si>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</si>
  <si>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</si>
  <si>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</si>
  <si>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</si>
  <si>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</si>
  <si>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</si>
  <si>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</si>
  <si>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</si>
  <si>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</si>
  <si>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</si>
  <si>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</si>
  <si>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</si>
  <si>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</si>
  <si>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</si>
  <si>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</si>
  <si>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</si>
  <si>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</si>
  <si>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</si>
  <si>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</si>
  <si>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</si>
  <si>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</si>
  <si>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</si>
  <si>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</si>
  <si>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</si>
  <si>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</si>
  <si>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</si>
  <si>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</si>
  <si>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</si>
  <si>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</si>
  <si>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</si>
  <si>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</si>
  <si>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</si>
  <si>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</si>
  <si>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</si>
  <si>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</si>
  <si>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</si>
  <si>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</si>
  <si>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</si>
  <si>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</si>
  <si>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</si>
  <si>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</si>
  <si>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</si>
  <si>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</si>
  <si>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</si>
  <si>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</si>
  <si>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</si>
  <si>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</si>
  <si>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</si>
  <si>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</si>
  <si>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</si>
  <si>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</si>
  <si>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</si>
  <si>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</si>
  <si>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</si>
  <si>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</si>
  <si>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</si>
  <si>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</si>
  <si>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</si>
  <si>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</si>
  <si>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</si>
  <si>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</si>
  <si>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</si>
  <si>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</si>
  <si>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</si>
  <si>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</si>
  <si>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</si>
  <si>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</si>
  <si>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</si>
  <si>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</si>
  <si>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</si>
  <si>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</si>
  <si>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</si>
  <si>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</si>
  <si>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</si>
  <si>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</si>
  <si>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</si>
  <si>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</si>
  <si>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</si>
  <si>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</si>
  <si>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</si>
  <si>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</si>
  <si>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</si>
  <si>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</si>
  <si>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</si>
  <si>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</si>
  <si>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</si>
  <si>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</si>
  <si>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</si>
  <si>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</si>
  <si>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</si>
  <si>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</si>
  <si>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</si>
  <si>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</si>
  <si>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</si>
  <si>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</si>
  <si>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</si>
  <si>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</si>
  <si>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</si>
  <si>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</si>
  <si>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</si>
  <si>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</si>
  <si>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</si>
  <si>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</si>
  <si>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</si>
  <si>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</si>
  <si>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</si>
  <si>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</si>
  <si>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</si>
  <si>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</si>
  <si>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</si>
  <si>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</si>
  <si>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</si>
  <si>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</si>
  <si>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</si>
  <si>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</si>
  <si>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</si>
  <si>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</si>
  <si>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</si>
  <si>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</si>
  <si>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</si>
  <si>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</si>
  <si>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</si>
  <si>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</si>
  <si>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</si>
  <si>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</si>
  <si>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</si>
  <si>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</si>
  <si>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</si>
  <si>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</si>
  <si>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</si>
  <si>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</si>
  <si>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</si>
  <si>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</si>
  <si>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</si>
  <si>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</si>
  <si>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</si>
  <si>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</si>
  <si>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</si>
  <si>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</si>
  <si>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</si>
  <si>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</si>
  <si>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</si>
  <si>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</si>
  <si>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</si>
  <si>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</si>
  <si>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</si>
  <si>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</si>
  <si>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</si>
  <si>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</si>
  <si>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</si>
  <si>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</si>
  <si>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</si>
  <si>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</si>
  <si>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</si>
  <si>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</si>
  <si>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</si>
  <si>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</si>
  <si>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</si>
  <si>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</si>
  <si>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</si>
  <si>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</si>
  <si>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</si>
  <si>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</si>
  <si>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</si>
  <si>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</si>
  <si>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</si>
  <si>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</si>
  <si>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</si>
  <si>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</si>
  <si>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</si>
  <si>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</si>
  <si>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</si>
  <si>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</si>
  <si>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</si>
  <si>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</si>
  <si>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</si>
  <si>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</si>
  <si>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</si>
  <si>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</si>
  <si>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</si>
  <si>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</si>
  <si>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</si>
  <si>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</si>
  <si>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</si>
  <si>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</si>
  <si>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</si>
  <si>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</si>
  <si>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</si>
  <si>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</si>
  <si>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</si>
  <si>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</si>
  <si>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</si>
  <si>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</si>
  <si>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</si>
  <si>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</si>
  <si>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</si>
  <si>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</si>
  <si>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</si>
  <si>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</si>
  <si>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</si>
  <si>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</si>
  <si>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</si>
  <si>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</si>
  <si>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</si>
  <si>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</si>
  <si>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</si>
  <si>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</si>
  <si>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</si>
  <si>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</si>
  <si>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</si>
  <si>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</si>
  <si>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</si>
  <si>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</si>
  <si>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</si>
  <si>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</si>
  <si>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</si>
  <si>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</si>
  <si>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</si>
  <si>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</si>
  <si>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</si>
  <si>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</si>
  <si>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</si>
  <si>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</si>
  <si>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</si>
  <si>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</si>
  <si>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</si>
  <si>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</si>
  <si>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</si>
  <si>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</si>
  <si>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</si>
  <si>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</si>
  <si>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</si>
  <si>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</si>
  <si>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</si>
  <si>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</si>
  <si>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</si>
  <si>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</si>
  <si>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</si>
  <si>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</si>
  <si>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</si>
  <si>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</si>
  <si>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</si>
  <si>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</si>
  <si>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</si>
  <si>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</si>
  <si>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</si>
  <si>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</si>
  <si>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</si>
  <si>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</si>
  <si>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</si>
  <si>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</si>
  <si>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</si>
  <si>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</si>
  <si>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</si>
  <si>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</si>
  <si>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</si>
  <si>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</si>
  <si>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</si>
  <si>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</si>
  <si>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</si>
  <si>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</si>
  <si>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</si>
  <si>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</si>
  <si>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</si>
  <si>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</si>
  <si>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</si>
  <si>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</si>
  <si>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</si>
  <si>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</si>
  <si>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</si>
  <si>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</si>
  <si>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</si>
  <si>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</si>
  <si>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</si>
  <si>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</si>
  <si>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</si>
  <si>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</si>
  <si>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</si>
  <si>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</si>
  <si>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</si>
  <si>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</si>
  <si>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</si>
  <si>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</si>
  <si>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</si>
  <si>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</si>
  <si>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</si>
  <si>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</si>
  <si>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</si>
  <si>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</si>
  <si>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</si>
  <si>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</si>
  <si>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</si>
  <si>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</si>
  <si>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</si>
  <si>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</si>
  <si>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</si>
  <si>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</si>
  <si>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</si>
  <si>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</si>
  <si>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</si>
  <si>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</si>
  <si>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</si>
  <si>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</si>
  <si>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</si>
  <si>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</si>
  <si>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</si>
  <si>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</si>
  <si>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</si>
  <si>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</si>
  <si>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</si>
  <si>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</si>
  <si>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</si>
  <si>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</si>
  <si>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</si>
  <si>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</si>
  <si>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</si>
  <si>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</si>
  <si>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</si>
  <si>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</si>
  <si>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</si>
  <si>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</si>
  <si>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</si>
  <si>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</si>
  <si>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</si>
  <si>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</si>
  <si>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</si>
  <si>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</si>
  <si>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</si>
  <si>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</si>
  <si>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</si>
  <si>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</si>
  <si>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</si>
  <si>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</si>
  <si>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</si>
  <si>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</si>
  <si>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</si>
  <si>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</si>
  <si>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</si>
  <si>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</si>
  <si>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</si>
  <si>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</si>
  <si>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</si>
  <si>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</si>
  <si>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</si>
  <si>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</si>
  <si>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</si>
  <si>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</si>
  <si>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</si>
  <si>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</si>
  <si>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</si>
  <si>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</si>
  <si>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</si>
  <si>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</si>
  <si>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</si>
  <si>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</si>
  <si>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</si>
  <si>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</si>
  <si>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</si>
  <si>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</si>
  <si>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</si>
  <si>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</si>
  <si>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</si>
  <si>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</si>
  <si>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</si>
  <si>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</si>
  <si>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</si>
  <si>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</si>
  <si>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</si>
  <si>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</si>
  <si>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</si>
  <si>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</si>
  <si>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</si>
  <si>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</si>
  <si>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</si>
  <si>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</si>
  <si>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</si>
  <si>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</si>
  <si>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</si>
  <si>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</si>
  <si>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</si>
  <si>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</si>
  <si>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</si>
  <si>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</si>
  <si>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</si>
  <si>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</si>
  <si>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</si>
  <si>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</si>
  <si>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</si>
  <si>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</si>
  <si>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</si>
  <si>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</si>
  <si>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</si>
  <si>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</si>
  <si>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</si>
  <si>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</si>
  <si>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</si>
  <si>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</si>
  <si>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</si>
  <si>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</si>
  <si>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</si>
  <si>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</si>
  <si>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</si>
  <si>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</si>
  <si>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</si>
  <si>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</si>
  <si>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</si>
  <si>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</si>
  <si>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</si>
  <si>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</si>
  <si>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</si>
  <si>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</si>
  <si>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</si>
  <si>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</si>
  <si>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</si>
  <si>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</si>
  <si>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</si>
  <si>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</si>
  <si>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</si>
  <si>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</si>
  <si>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</si>
  <si>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</si>
  <si>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</si>
  <si>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</si>
  <si>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</si>
  <si>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</si>
  <si>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</si>
  <si>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</si>
  <si>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</si>
  <si>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</si>
  <si>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</si>
  <si>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</si>
  <si>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</si>
  <si>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</si>
  <si>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</si>
  <si>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</si>
  <si>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</si>
  <si>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</si>
  <si>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</si>
  <si>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</si>
  <si>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</si>
  <si>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</si>
  <si>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</si>
  <si>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</si>
  <si>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</si>
  <si>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</si>
  <si>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</si>
  <si>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</si>
  <si>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</si>
  <si>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</si>
  <si>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</si>
  <si>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</si>
  <si>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</si>
  <si>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</si>
  <si>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</si>
  <si>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</si>
  <si>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</si>
  <si>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</si>
  <si>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</si>
  <si>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</si>
  <si>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</si>
  <si>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</si>
  <si>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</si>
  <si>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</si>
  <si>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</si>
  <si>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</si>
  <si>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</si>
  <si>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</si>
  <si>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</si>
  <si>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</si>
  <si>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</si>
  <si>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</si>
  <si>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</si>
  <si>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</si>
  <si>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</si>
  <si>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</si>
  <si>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</si>
  <si>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</si>
  <si>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</si>
  <si>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</si>
  <si>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</si>
  <si>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</si>
  <si>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</si>
  <si>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</si>
  <si>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</si>
  <si>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</si>
  <si>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</si>
  <si>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</si>
  <si>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</si>
  <si>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</si>
  <si>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</si>
  <si>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</si>
  <si>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</si>
  <si>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</si>
  <si>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</si>
  <si>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</si>
  <si>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</si>
  <si>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</si>
  <si>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</si>
  <si>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</si>
  <si>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</si>
  <si>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</si>
  <si>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</si>
  <si>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</si>
  <si>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</si>
  <si>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</si>
  <si>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</si>
  <si>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</si>
  <si>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</si>
  <si>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</si>
  <si>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</si>
  <si>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</si>
  <si>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</si>
  <si>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</si>
  <si>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</si>
  <si>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</si>
  <si>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</si>
  <si>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</si>
  <si>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</si>
  <si>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</si>
  <si>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</si>
  <si>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</si>
  <si>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</si>
  <si>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</si>
  <si>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</si>
  <si>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</si>
  <si>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</si>
  <si>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</si>
  <si>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</si>
  <si>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</si>
  <si>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</si>
  <si>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</si>
  <si>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</si>
  <si>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</si>
  <si>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</si>
  <si>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</si>
  <si>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</si>
  <si>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</si>
  <si>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</si>
  <si>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</si>
  <si>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</si>
  <si>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</si>
  <si>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</si>
  <si>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</si>
  <si>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</si>
  <si>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</si>
  <si>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</si>
  <si>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</si>
  <si>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</si>
  <si>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</si>
  <si>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</si>
  <si>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</si>
  <si>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</si>
  <si>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</si>
  <si>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</si>
  <si>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</si>
  <si>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</si>
  <si>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</si>
  <si>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</si>
  <si>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</si>
  <si>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</si>
  <si>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</si>
  <si>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</si>
  <si>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</si>
  <si>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</si>
  <si>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</si>
  <si>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</si>
  <si>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</si>
  <si>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</si>
  <si>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</si>
  <si>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</si>
  <si>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</si>
  <si>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</si>
  <si>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</si>
  <si>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</si>
  <si>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</si>
  <si>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</si>
  <si>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</si>
  <si>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</si>
  <si>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</si>
  <si>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</si>
  <si>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</si>
  <si>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</si>
  <si>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</si>
  <si>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</si>
  <si>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</si>
  <si>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</si>
  <si>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</si>
  <si>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</si>
  <si>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</si>
  <si>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</si>
  <si>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</si>
  <si>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</si>
  <si>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</si>
  <si>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</si>
  <si>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</si>
  <si>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</si>
  <si>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</si>
  <si>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</si>
  <si>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</si>
  <si>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</si>
  <si>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</si>
  <si>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</si>
  <si>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</si>
  <si>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</si>
  <si>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</si>
  <si>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</si>
  <si>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</si>
  <si>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</si>
  <si>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</si>
  <si>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</si>
  <si>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</si>
  <si>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</si>
  <si>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</si>
  <si>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</si>
  <si>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</si>
  <si>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</si>
  <si>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</si>
  <si>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</si>
  <si>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</si>
  <si>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</si>
  <si>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</si>
  <si>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</si>
  <si>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</si>
  <si>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</si>
  <si>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</si>
  <si>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</si>
  <si>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</si>
  <si>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</si>
  <si>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</si>
  <si>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</si>
  <si>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</si>
  <si>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</si>
  <si>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</si>
  <si>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</si>
  <si>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</si>
  <si>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</si>
  <si>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</si>
  <si>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</si>
  <si>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</si>
  <si>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</si>
  <si>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</si>
  <si>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</si>
  <si>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</si>
  <si>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</si>
  <si>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</si>
  <si>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</si>
  <si>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</si>
  <si>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</si>
  <si>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</si>
  <si>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</si>
  <si>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</si>
  <si>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</si>
  <si>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</si>
  <si>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</si>
  <si>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</si>
  <si>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</si>
  <si>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</si>
  <si>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</si>
  <si>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</si>
  <si>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</si>
  <si>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</si>
  <si>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</si>
  <si>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</si>
  <si>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</si>
  <si>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</si>
  <si>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</si>
  <si>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</si>
  <si>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</si>
  <si>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</si>
  <si>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</si>
  <si>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</si>
  <si>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</si>
  <si>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</si>
  <si>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</si>
  <si>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</si>
  <si>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</si>
  <si>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</si>
  <si>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</si>
  <si>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</si>
  <si>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</si>
  <si>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</si>
  <si>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</si>
  <si>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</si>
  <si>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</si>
  <si>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</si>
  <si>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</si>
  <si>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</si>
  <si>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</si>
  <si>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</si>
  <si>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</si>
  <si>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</si>
  <si>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</si>
  <si>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</si>
  <si>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</si>
  <si>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</si>
  <si>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</si>
  <si>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</si>
  <si>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</si>
  <si>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</si>
  <si>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</si>
  <si>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</si>
  <si>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</si>
  <si>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</si>
  <si>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</si>
  <si>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</si>
  <si>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</si>
  <si>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</si>
  <si>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</si>
  <si>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</si>
  <si>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</si>
  <si>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</si>
  <si>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</si>
  <si>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</si>
  <si>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</si>
  <si>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</si>
  <si>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</si>
  <si>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</si>
  <si>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</si>
  <si>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</si>
  <si>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</si>
  <si>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</si>
  <si>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</si>
  <si>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</si>
  <si>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</si>
  <si>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</si>
  <si>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</si>
  <si>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</si>
  <si>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</si>
  <si>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</si>
  <si>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</si>
  <si>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</si>
  <si>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</si>
  <si>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</si>
  <si>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</si>
  <si>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</si>
  <si>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</si>
  <si>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</si>
  <si>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</si>
  <si>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</si>
  <si>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</si>
  <si>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</si>
  <si>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</si>
  <si>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</si>
  <si>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</si>
  <si>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</si>
  <si>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</si>
  <si>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</si>
  <si>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</si>
  <si>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</si>
  <si>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</si>
  <si>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</si>
  <si>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</si>
  <si>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</si>
  <si>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</si>
  <si>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</si>
  <si>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</si>
  <si>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</si>
  <si>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</si>
  <si>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</si>
  <si>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</si>
  <si>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</si>
  <si>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</si>
  <si>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</si>
  <si>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</si>
  <si>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</si>
  <si>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</si>
  <si>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</si>
  <si>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</si>
  <si>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</si>
  <si>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</si>
  <si>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</si>
  <si>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</si>
  <si>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</si>
  <si>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</si>
  <si>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</si>
  <si>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</si>
  <si>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</si>
  <si>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</si>
  <si>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</si>
  <si>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</si>
  <si>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</si>
  <si>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</si>
  <si>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</si>
  <si>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</si>
  <si>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</si>
  <si>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</si>
  <si>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</si>
  <si>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</si>
  <si>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</si>
  <si>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</si>
  <si>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</si>
  <si>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</si>
  <si>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</si>
  <si>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</si>
  <si>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</si>
  <si>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</si>
  <si>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</si>
  <si>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</si>
  <si>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</si>
  <si>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</si>
  <si>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</si>
  <si>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</si>
  <si>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</si>
  <si>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</si>
  <si>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</si>
  <si>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</si>
  <si>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</si>
  <si>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</si>
  <si>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</si>
  <si>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</si>
  <si>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</si>
  <si>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</si>
  <si>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</si>
  <si>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</si>
  <si>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</si>
  <si>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</si>
  <si>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</si>
  <si>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</si>
  <si>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</si>
  <si>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</si>
  <si>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</si>
  <si>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</si>
  <si>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</si>
  <si>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</si>
  <si>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</si>
  <si>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</si>
  <si>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</si>
  <si>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</si>
  <si>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</si>
  <si>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</si>
  <si>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</si>
  <si>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</si>
  <si>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</si>
  <si>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</si>
  <si>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</si>
  <si>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</si>
  <si>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</si>
  <si>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</si>
  <si>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</si>
  <si>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</si>
  <si>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</si>
  <si>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</si>
  <si>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</si>
  <si>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</si>
  <si>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</si>
  <si>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</si>
  <si>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</si>
  <si>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</si>
  <si>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</si>
  <si>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</si>
  <si>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</si>
  <si>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</si>
  <si>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</si>
  <si>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</si>
  <si>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</si>
  <si>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</si>
  <si>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</si>
  <si>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</si>
  <si>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</si>
  <si>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</si>
  <si>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</si>
  <si>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</si>
  <si>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</si>
  <si>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</si>
  <si>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</si>
  <si>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</si>
  <si>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</si>
  <si>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</si>
  <si>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</si>
  <si>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</si>
  <si>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</si>
  <si>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</si>
  <si>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</si>
  <si>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</si>
  <si>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</si>
  <si>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</si>
  <si>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</si>
  <si>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</si>
  <si>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</si>
  <si>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</si>
  <si>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</si>
  <si>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</si>
  <si>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</si>
  <si>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</si>
  <si>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</si>
  <si>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</si>
  <si>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</si>
  <si>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</si>
  <si>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</si>
  <si>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</si>
  <si>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</si>
  <si>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</si>
  <si>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</si>
  <si>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</si>
  <si>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</si>
  <si>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</si>
  <si>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</si>
  <si>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</si>
  <si>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</si>
  <si>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</si>
  <si>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</si>
  <si>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</si>
  <si>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</si>
  <si>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</si>
  <si>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</si>
  <si>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</si>
  <si>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</si>
  <si>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</si>
  <si>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</si>
  <si>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</si>
  <si>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</si>
  <si>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</si>
  <si>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</si>
  <si>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</si>
  <si>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</si>
  <si>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</si>
  <si>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</si>
  <si>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</si>
  <si>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</si>
  <si>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</si>
  <si>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</si>
  <si>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</si>
  <si>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</si>
  <si>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</si>
  <si>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</si>
  <si>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</si>
  <si>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</si>
  <si>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</si>
  <si>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</si>
  <si>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</si>
  <si>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</si>
  <si>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</si>
  <si>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</si>
  <si>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</si>
  <si>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</si>
  <si>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</si>
  <si>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</si>
  <si>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</si>
  <si>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</si>
  <si>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</si>
  <si>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</si>
  <si>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</si>
  <si>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</si>
  <si>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</si>
  <si>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</si>
  <si>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</si>
  <si>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</si>
  <si>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</si>
  <si>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</si>
  <si>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</si>
  <si>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</si>
  <si>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</si>
  <si>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</si>
  <si>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</si>
  <si>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</si>
  <si>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</si>
  <si>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</si>
  <si>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</si>
  <si>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</si>
  <si>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</si>
  <si>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</si>
  <si>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</si>
  <si>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</si>
  <si>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</si>
  <si>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</si>
  <si>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</si>
  <si>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</si>
  <si>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</si>
  <si>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</si>
  <si>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</si>
  <si>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</si>
  <si>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</si>
  <si>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</si>
  <si>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</si>
  <si>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</si>
  <si>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</si>
  <si>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</si>
  <si>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</si>
  <si>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</si>
  <si>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</si>
  <si>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</si>
  <si>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</si>
  <si>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</si>
  <si>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</si>
  <si>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</si>
  <si>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</si>
  <si>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</si>
  <si>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</si>
  <si>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</si>
  <si>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</si>
  <si>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</si>
  <si>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</si>
  <si>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</si>
  <si>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</si>
  <si>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</si>
  <si>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</si>
  <si>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</si>
  <si>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</si>
  <si>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</si>
  <si>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</si>
  <si>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</si>
  <si>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</si>
  <si>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</si>
  <si>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</si>
  <si>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</si>
  <si>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</si>
  <si>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</si>
  <si>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</si>
  <si>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</si>
  <si>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</si>
  <si>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</si>
  <si>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</si>
  <si>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</si>
  <si>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</si>
  <si>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</si>
  <si>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</si>
  <si>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</si>
  <si>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</si>
  <si>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</si>
  <si>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</si>
  <si>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</si>
  <si>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</si>
  <si>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</si>
  <si>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</si>
  <si>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</si>
  <si>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</si>
  <si>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</si>
  <si>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</si>
  <si>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</si>
  <si>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</si>
  <si>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</si>
  <si>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</si>
  <si>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</si>
  <si>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</si>
  <si>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</si>
  <si>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</si>
  <si>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</si>
  <si>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</si>
  <si>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</si>
  <si>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</si>
  <si>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</si>
  <si>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</si>
  <si>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</si>
  <si>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</si>
  <si>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</si>
  <si>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</si>
  <si>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</si>
  <si>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</si>
  <si>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</si>
  <si>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</si>
  <si>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</si>
  <si>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</si>
  <si>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</si>
  <si>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</si>
  <si>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</si>
  <si>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</si>
  <si>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</si>
  <si>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</si>
  <si>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</si>
  <si>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</si>
  <si>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</si>
  <si>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</si>
  <si>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</si>
  <si>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</si>
  <si>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</si>
  <si>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</si>
  <si>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</si>
  <si>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</si>
  <si>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</si>
  <si>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</si>
  <si>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</si>
  <si>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</si>
  <si>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</si>
  <si>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</si>
  <si>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</si>
  <si>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</si>
  <si>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</si>
  <si>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</si>
  <si>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</si>
  <si>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</si>
  <si>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</si>
  <si>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</si>
  <si>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</si>
  <si>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</si>
  <si>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</si>
  <si>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</si>
  <si>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</si>
  <si>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</si>
  <si>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</si>
  <si>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</si>
  <si>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</si>
  <si>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</si>
  <si>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</si>
  <si>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</si>
  <si>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</si>
  <si>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</si>
  <si>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</si>
  <si>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</si>
  <si>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</si>
  <si>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</si>
  <si>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</si>
  <si>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</si>
  <si>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</si>
  <si>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</si>
  <si>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</si>
  <si>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</si>
  <si>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</si>
  <si>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</si>
  <si>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</si>
  <si>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</si>
  <si>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</si>
  <si>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</si>
  <si>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</si>
  <si>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</si>
  <si>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</si>
  <si>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</si>
  <si>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</si>
  <si>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</si>
  <si>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</si>
  <si>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</si>
  <si>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</si>
  <si>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</si>
  <si>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</si>
  <si>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</si>
  <si>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</si>
  <si>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</si>
  <si>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</si>
  <si>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</si>
  <si>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</si>
  <si>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</si>
  <si>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</si>
  <si>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</si>
  <si>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</si>
  <si>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</si>
  <si>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</si>
  <si>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</si>
  <si>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</si>
  <si>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</si>
  <si>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</si>
  <si>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</si>
  <si>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</si>
  <si>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</si>
  <si>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</si>
  <si>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</si>
  <si>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</si>
  <si>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</si>
  <si>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</si>
  <si>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</si>
  <si>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</si>
  <si>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</si>
  <si>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</si>
  <si>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</si>
  <si>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</si>
  <si>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</si>
  <si>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</si>
  <si>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</si>
  <si>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</si>
  <si>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</si>
  <si>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</si>
  <si>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</si>
  <si>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</si>
  <si>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</si>
  <si>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</si>
  <si>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</si>
  <si>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</si>
  <si>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</si>
  <si>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</si>
  <si>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</si>
  <si>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</si>
  <si>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</si>
  <si>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</si>
  <si>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</si>
  <si>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</si>
  <si>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</si>
  <si>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</si>
  <si>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</si>
  <si>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</si>
  <si>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</si>
  <si>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</si>
  <si>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</si>
  <si>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</si>
  <si>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</si>
  <si>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</si>
  <si>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</si>
  <si>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</si>
  <si>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</si>
  <si>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</si>
  <si>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</si>
  <si>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</si>
  <si>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</si>
  <si>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</si>
  <si>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</si>
  <si>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</si>
  <si>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</si>
  <si>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</si>
  <si>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</si>
  <si>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</si>
  <si>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</si>
  <si>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</si>
  <si>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</si>
  <si>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</si>
  <si>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</si>
  <si>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</si>
  <si>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</si>
  <si>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</si>
  <si>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</si>
  <si>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</si>
  <si>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</si>
  <si>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</si>
  <si>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</si>
  <si>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</si>
  <si>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</si>
  <si>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</si>
  <si>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</si>
  <si>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</si>
  <si>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</si>
  <si>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</si>
  <si>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</si>
  <si>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</si>
  <si>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</si>
  <si>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</si>
  <si>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</si>
  <si>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</si>
  <si>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</si>
  <si>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</si>
  <si>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</si>
  <si>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</si>
  <si>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</si>
  <si>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</si>
  <si>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</si>
  <si>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</si>
  <si>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</si>
  <si>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</si>
  <si>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</si>
  <si>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</si>
  <si>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</si>
  <si>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</si>
  <si>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</si>
  <si>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</si>
  <si>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</si>
  <si>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</si>
  <si>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</si>
  <si>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</si>
  <si>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</si>
  <si>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</si>
  <si>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</si>
  <si>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</si>
  <si>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</si>
  <si>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</si>
  <si>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</si>
  <si>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</si>
  <si>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</si>
  <si>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</si>
  <si>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</si>
  <si>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</si>
  <si>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</si>
  <si>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</si>
  <si>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</si>
  <si>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</si>
  <si>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</si>
  <si>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</si>
  <si>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</si>
  <si>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</si>
  <si>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</si>
  <si>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</si>
  <si>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</si>
  <si>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</si>
  <si>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</si>
  <si>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</si>
  <si>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</si>
  <si>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</si>
  <si>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</si>
  <si>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</si>
  <si>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</si>
  <si>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</si>
  <si>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</si>
  <si>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</si>
  <si>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</si>
  <si>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</si>
  <si>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</si>
  <si>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</si>
  <si>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</si>
  <si>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</si>
  <si>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</si>
  <si>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</si>
  <si>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</si>
  <si>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</si>
  <si>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</si>
  <si>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</si>
  <si>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</si>
  <si>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</si>
  <si>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</si>
  <si>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</si>
  <si>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</si>
  <si>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</si>
  <si>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</si>
  <si>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</si>
  <si>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</si>
  <si>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</si>
  <si>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</si>
  <si>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</si>
  <si>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</si>
  <si>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</si>
  <si>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</si>
  <si>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</si>
  <si>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</si>
  <si>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</si>
  <si>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</si>
  <si>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</si>
  <si>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</si>
  <si>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</si>
  <si>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</si>
  <si>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</si>
  <si>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</si>
  <si>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</si>
  <si>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</si>
  <si>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</si>
  <si>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</si>
  <si>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</si>
  <si>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</si>
  <si>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</si>
  <si>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</si>
  <si>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</si>
  <si>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</si>
  <si>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</si>
  <si>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</si>
  <si>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</si>
  <si>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</si>
  <si>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</si>
  <si>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</si>
  <si>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</si>
  <si>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</si>
  <si>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</si>
  <si>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</si>
  <si>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</si>
  <si>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</si>
  <si>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</si>
  <si>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</si>
  <si>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</si>
  <si>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</si>
  <si>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</si>
  <si>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</si>
  <si>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</si>
  <si>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</si>
  <si>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</si>
  <si>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</si>
  <si>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</si>
  <si>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</si>
  <si>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</si>
  <si>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</si>
  <si>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</si>
  <si>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</si>
  <si>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</si>
  <si>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</si>
  <si>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</si>
  <si>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</si>
  <si>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</si>
  <si>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</si>
  <si>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</si>
  <si>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</si>
  <si>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</si>
  <si>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</si>
  <si>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</si>
  <si>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</si>
  <si>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</si>
  <si>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</si>
  <si>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</si>
  <si>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</si>
  <si>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</si>
  <si>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</si>
  <si>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</si>
  <si>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</si>
  <si>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</si>
  <si>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</si>
  <si>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</si>
  <si>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</si>
  <si>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</si>
  <si>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</si>
  <si>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</si>
  <si>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</si>
  <si>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</si>
  <si>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</si>
  <si>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</si>
  <si>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</si>
  <si>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</si>
  <si>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</si>
  <si>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</si>
  <si>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</si>
  <si>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</si>
  <si>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</si>
  <si>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</si>
  <si>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</si>
  <si>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</si>
  <si>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</si>
  <si>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</si>
  <si>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</si>
  <si>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</si>
  <si>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</si>
  <si>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</si>
  <si>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</si>
  <si>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</si>
  <si>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</si>
  <si>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</si>
  <si>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</si>
  <si>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</si>
  <si>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</si>
  <si>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</si>
  <si>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</si>
  <si>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</si>
  <si>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</si>
  <si>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</si>
  <si>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</si>
  <si>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</si>
  <si>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</si>
  <si>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</si>
  <si>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</si>
  <si>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</si>
  <si>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</si>
  <si>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</si>
  <si>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</si>
  <si>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</si>
  <si>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</si>
  <si>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</si>
  <si>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</si>
  <si>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</si>
  <si>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</si>
  <si>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</si>
  <si>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</si>
  <si>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</si>
  <si>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</si>
  <si>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</si>
  <si>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</si>
  <si>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</si>
  <si>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</si>
  <si>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</si>
  <si>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</si>
  <si>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</si>
  <si>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</si>
  <si>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</si>
  <si>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</si>
  <si>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</si>
  <si>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</si>
  <si>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</si>
  <si>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</si>
  <si>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</si>
  <si>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</si>
  <si>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</si>
  <si>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</si>
  <si>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</si>
  <si>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</si>
  <si>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</si>
  <si>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</si>
  <si>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</si>
  <si>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</si>
  <si>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</si>
  <si>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</si>
  <si>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</si>
  <si>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</si>
  <si>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</si>
  <si>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</si>
  <si>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</si>
  <si>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</si>
  <si>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</si>
  <si>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</si>
  <si>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</si>
  <si>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</si>
  <si>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</si>
  <si>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</si>
  <si>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</si>
  <si>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</si>
  <si>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</si>
  <si>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</si>
  <si>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</si>
  <si>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</si>
  <si>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</si>
  <si>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</si>
  <si>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</si>
  <si>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</si>
  <si>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</si>
  <si>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</si>
  <si>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</si>
  <si>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</si>
  <si>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</si>
  <si>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</si>
  <si>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</si>
  <si>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</si>
  <si>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</si>
  <si>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</si>
  <si>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</si>
  <si>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</si>
  <si>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</si>
  <si>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</si>
  <si>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</si>
  <si>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</si>
  <si>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</si>
  <si>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</si>
  <si>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</si>
  <si>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</si>
  <si>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</si>
  <si>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</si>
  <si>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</si>
  <si>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</si>
  <si>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</si>
  <si>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</si>
  <si>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</si>
  <si>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</si>
  <si>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</si>
  <si>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</si>
  <si>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</si>
  <si>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</si>
  <si>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</si>
  <si>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</si>
  <si>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</si>
  <si>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</si>
  <si>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</si>
  <si>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</si>
  <si>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</si>
  <si>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</si>
  <si>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</si>
  <si>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</si>
  <si>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</si>
  <si>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</si>
  <si>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</si>
  <si>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</si>
  <si>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</si>
  <si>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</si>
  <si>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</si>
  <si>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</si>
  <si>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</si>
  <si>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</si>
  <si>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</si>
  <si>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</si>
  <si>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</si>
  <si>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</si>
  <si>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</si>
  <si>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</si>
  <si>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</si>
  <si>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</si>
  <si>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</si>
  <si>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</si>
  <si>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</si>
  <si>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</si>
  <si>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</si>
  <si>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</si>
  <si>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</si>
  <si>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</si>
  <si>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</si>
  <si>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</si>
  <si>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</si>
  <si>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</si>
  <si>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</si>
  <si>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</si>
  <si>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</si>
  <si>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</si>
  <si>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</si>
  <si>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</si>
  <si>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</si>
  <si>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</si>
  <si>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</si>
  <si>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</si>
  <si>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</si>
  <si>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</si>
  <si>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</si>
  <si>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</si>
  <si>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</si>
  <si>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</si>
  <si>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</si>
  <si>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</si>
  <si>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</si>
  <si>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</si>
  <si>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</si>
  <si>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</si>
  <si>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</si>
  <si>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</si>
  <si>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</si>
  <si>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</si>
  <si>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</si>
  <si>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</si>
  <si>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</si>
  <si>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</si>
  <si>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</si>
  <si>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</si>
  <si>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</si>
  <si>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</si>
  <si>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</si>
  <si>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</si>
  <si>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</si>
  <si>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</si>
  <si>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</si>
  <si>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</si>
  <si>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</si>
  <si>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</si>
  <si>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</si>
  <si>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</si>
  <si>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</si>
  <si>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</si>
  <si>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</si>
  <si>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</si>
  <si>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</si>
  <si>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</si>
  <si>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</si>
  <si>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</si>
  <si>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</si>
  <si>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</si>
  <si>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</si>
  <si>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</si>
  <si>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</si>
  <si>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</si>
  <si>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</si>
  <si>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</si>
  <si>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</si>
  <si>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</si>
  <si>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</si>
  <si>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</si>
  <si>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</si>
  <si>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</si>
  <si>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</si>
  <si>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</si>
  <si>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</si>
  <si>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</si>
  <si>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</si>
  <si>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</si>
  <si>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</si>
  <si>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</si>
  <si>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</si>
  <si>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</si>
  <si>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</si>
  <si>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</si>
  <si>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</si>
  <si>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</si>
  <si>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</si>
  <si>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</si>
  <si>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</si>
  <si>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</si>
  <si>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</si>
  <si>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</si>
  <si>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</si>
  <si>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</si>
  <si>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</si>
  <si>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</si>
  <si>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</si>
  <si>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</si>
  <si>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</si>
  <si>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</si>
  <si>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</si>
  <si>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</si>
  <si>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</si>
  <si>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</si>
  <si>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</si>
  <si>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</si>
  <si>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</si>
  <si>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</si>
  <si>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</si>
  <si>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</si>
  <si>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</si>
  <si>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</si>
  <si>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</si>
  <si>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</si>
  <si>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</si>
  <si>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</si>
  <si>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</si>
  <si>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</si>
  <si>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</si>
  <si>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</si>
  <si>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</si>
  <si>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</si>
  <si>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</si>
  <si>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</si>
  <si>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</si>
  <si>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</si>
  <si>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</si>
  <si>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</si>
  <si>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</si>
  <si>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</si>
  <si>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</si>
  <si>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</si>
  <si>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</si>
  <si>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</si>
  <si>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</si>
  <si>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</si>
  <si>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</si>
  <si>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</si>
  <si>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</si>
  <si>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</si>
  <si>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</si>
  <si>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</si>
  <si>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</si>
  <si>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</si>
  <si>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</si>
  <si>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</si>
  <si>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</si>
  <si>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</si>
  <si>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</si>
  <si>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</si>
  <si>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</si>
  <si>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</si>
  <si>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</si>
  <si>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</si>
  <si>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</si>
  <si>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</si>
  <si>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</si>
  <si>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</si>
  <si>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</si>
  <si>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</si>
  <si>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</si>
  <si>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</si>
  <si>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</si>
  <si>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</si>
  <si>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</si>
  <si>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</si>
  <si>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</si>
  <si>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</si>
  <si>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</si>
  <si>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</si>
  <si>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</si>
  <si>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</si>
  <si>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</si>
  <si>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</si>
  <si>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</si>
  <si>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</si>
  <si>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</si>
  <si>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</si>
  <si>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</si>
  <si>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</si>
  <si>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</si>
  <si>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</si>
  <si>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</si>
  <si>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</si>
  <si>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</si>
  <si>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</si>
  <si>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</si>
  <si>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</si>
  <si>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</si>
  <si>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</si>
  <si>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</si>
  <si>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</si>
  <si>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</si>
  <si>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</si>
  <si>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</si>
  <si>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</si>
  <si>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</si>
  <si>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</si>
  <si>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</si>
  <si>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</si>
  <si>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</si>
  <si>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</si>
  <si>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</si>
  <si>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</si>
  <si>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</si>
  <si>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</si>
  <si>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</si>
  <si>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</si>
  <si>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</si>
  <si>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</si>
  <si>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</si>
  <si>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</si>
  <si>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</si>
  <si>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</si>
  <si>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</si>
  <si>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</si>
  <si>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</si>
  <si>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</si>
  <si>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</si>
  <si>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</si>
  <si>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</si>
  <si>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</si>
  <si>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</si>
  <si>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</si>
  <si>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</si>
  <si>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</si>
  <si>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</si>
  <si>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</si>
  <si>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</si>
  <si>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</si>
  <si>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</si>
  <si>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</si>
  <si>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</si>
  <si>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</si>
  <si>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</si>
  <si>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</si>
  <si>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</si>
  <si>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</si>
  <si>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</si>
  <si>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</si>
  <si>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</si>
  <si>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</si>
  <si>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</si>
  <si>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</si>
  <si>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</si>
  <si>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</si>
  <si>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</si>
  <si>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</si>
  <si>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</si>
  <si>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</si>
  <si>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</si>
  <si>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</si>
  <si>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</si>
  <si>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</si>
  <si>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</si>
  <si>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</si>
  <si>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</si>
  <si>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</si>
  <si>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</si>
  <si>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</si>
  <si>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</si>
  <si>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</si>
  <si>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</si>
  <si>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</si>
  <si>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</si>
  <si>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</si>
  <si>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</si>
  <si>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</si>
  <si>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</si>
  <si>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</si>
  <si>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</si>
  <si>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</si>
  <si>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</si>
  <si>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</si>
  <si>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</si>
  <si>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</si>
  <si>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</si>
  <si>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</si>
  <si>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</si>
  <si>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</si>
  <si>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</si>
  <si>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</si>
  <si>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</si>
  <si>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</si>
  <si>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</si>
  <si>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</si>
  <si>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</si>
  <si>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</si>
  <si>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</si>
  <si>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</si>
  <si>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</si>
  <si>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</si>
  <si>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</si>
  <si>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</si>
  <si>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</si>
  <si>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</si>
  <si>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</si>
  <si>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</si>
  <si>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</si>
  <si>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</si>
  <si>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</si>
  <si>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</si>
  <si>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</si>
  <si>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</si>
  <si>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</si>
  <si>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</si>
  <si>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</si>
  <si>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</si>
  <si>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</si>
  <si>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</si>
  <si>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</si>
  <si>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</si>
  <si>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</si>
  <si>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</si>
  <si>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</si>
  <si>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</si>
  <si>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</si>
  <si>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</si>
  <si>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</si>
  <si>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</si>
  <si>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</si>
  <si>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</si>
  <si>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</si>
  <si>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</si>
  <si>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</si>
  <si>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</si>
  <si>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</si>
  <si>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</si>
  <si>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</si>
  <si>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</si>
  <si>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</si>
  <si>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</si>
  <si>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</si>
  <si>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</si>
  <si>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</si>
  <si>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</si>
  <si>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</si>
  <si>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</si>
  <si>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</si>
  <si>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</si>
  <si>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</si>
  <si>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</si>
  <si>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</si>
  <si>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</si>
  <si>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</si>
  <si>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</si>
  <si>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</si>
  <si>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</si>
  <si>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</si>
  <si>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</si>
  <si>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</si>
  <si>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</si>
  <si>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</si>
  <si>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</si>
  <si>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</si>
  <si>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</si>
  <si>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</si>
  <si>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</si>
  <si>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</si>
  <si>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</si>
  <si>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</si>
  <si>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</si>
  <si>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</si>
  <si>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</si>
  <si>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</si>
  <si>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</si>
  <si>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</si>
  <si>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</si>
  <si>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</si>
  <si>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</si>
  <si>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</si>
  <si>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</si>
  <si>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</si>
  <si>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</si>
  <si>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</si>
  <si>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</si>
  <si>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</si>
  <si>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</si>
  <si>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</si>
  <si>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</si>
  <si>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</si>
  <si>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</si>
  <si>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</si>
  <si>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</si>
  <si>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</si>
  <si>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</si>
  <si>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</si>
  <si>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</si>
  <si>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</si>
  <si>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</si>
  <si>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</si>
  <si>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</si>
  <si>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</si>
  <si>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</si>
  <si>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</si>
  <si>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</si>
  <si>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</si>
  <si>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</si>
  <si>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</si>
  <si>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</si>
  <si>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</si>
  <si>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</si>
  <si>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</si>
  <si>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</si>
  <si>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</si>
  <si>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</si>
  <si>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</si>
  <si>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</si>
  <si>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</si>
  <si>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</si>
  <si>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</si>
  <si>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</si>
  <si>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</si>
  <si>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</si>
  <si>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</si>
  <si>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</si>
  <si>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</si>
  <si>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</si>
  <si>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</si>
  <si>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</si>
  <si>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</si>
  <si>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</si>
  <si>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</si>
  <si>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</si>
  <si>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</si>
  <si>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</si>
  <si>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</si>
  <si>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</si>
  <si>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</si>
  <si>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</si>
  <si>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</si>
  <si>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</si>
  <si>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</si>
  <si>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</si>
  <si>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</si>
  <si>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</si>
  <si>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</si>
  <si>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</si>
  <si>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</si>
  <si>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</si>
  <si>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</si>
  <si>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</si>
  <si>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</si>
  <si>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</si>
  <si>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</si>
  <si>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</si>
  <si>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</si>
  <si>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</si>
  <si>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</si>
  <si>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</si>
  <si>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</si>
  <si>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</si>
  <si>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</si>
  <si>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</si>
  <si>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</si>
  <si>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</si>
  <si>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</si>
  <si>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</si>
  <si>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</si>
  <si>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</si>
  <si>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</si>
  <si>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</si>
  <si>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</si>
  <si>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</si>
  <si>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</si>
  <si>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</si>
  <si>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</si>
  <si>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</si>
  <si>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</si>
  <si>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</si>
  <si>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</si>
  <si>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</si>
  <si>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</si>
  <si>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</si>
  <si>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</si>
  <si>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</si>
  <si>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</si>
  <si>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</si>
  <si>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</si>
  <si>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</si>
  <si>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</si>
  <si>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</si>
  <si>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</si>
  <si>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</si>
  <si>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</si>
  <si>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</si>
  <si>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</si>
  <si>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</si>
  <si>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</si>
  <si>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</si>
  <si>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</si>
  <si>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</si>
  <si>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</si>
  <si>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</si>
  <si>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</si>
  <si>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</si>
  <si>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</si>
  <si>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</si>
  <si>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</si>
  <si>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</si>
  <si>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</si>
  <si>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</si>
  <si>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</si>
  <si>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</si>
  <si>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</si>
  <si>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</si>
  <si>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</si>
  <si>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</si>
  <si>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</si>
  <si>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</si>
  <si>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</si>
  <si>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</si>
  <si>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</si>
  <si>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</si>
  <si>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</si>
  <si>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</si>
  <si>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</si>
  <si>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</si>
  <si>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</si>
  <si>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</si>
  <si>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</si>
  <si>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</si>
  <si>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</si>
  <si>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</si>
  <si>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</si>
  <si>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</si>
  <si>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</si>
  <si>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</si>
  <si>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</si>
  <si>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</si>
  <si>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</si>
  <si>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</si>
  <si>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</si>
  <si>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</si>
  <si>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</si>
  <si>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</si>
  <si>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</si>
  <si>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</si>
  <si>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</si>
  <si>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</si>
  <si>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</si>
  <si>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</si>
  <si>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</si>
  <si>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</si>
  <si>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</si>
  <si>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</si>
  <si>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</si>
  <si>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</si>
  <si>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</si>
  <si>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</si>
  <si>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</si>
  <si>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</si>
  <si>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</si>
  <si>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</si>
  <si>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</si>
  <si>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</si>
  <si>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</si>
  <si>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</si>
  <si>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</si>
  <si>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</si>
  <si>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</si>
  <si>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</si>
  <si>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</si>
  <si>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</si>
  <si>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</si>
  <si>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</si>
  <si>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</si>
  <si>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</si>
  <si>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</si>
  <si>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</si>
  <si>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</si>
  <si>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</si>
  <si>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</si>
  <si>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</si>
  <si>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</si>
  <si>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</si>
  <si>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</si>
  <si>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</si>
  <si>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</si>
  <si>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</si>
  <si>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</si>
  <si>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</si>
  <si>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</si>
  <si>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</si>
  <si>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</si>
  <si>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</si>
  <si>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</si>
  <si>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</si>
  <si>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</si>
  <si>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</si>
  <si>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</si>
  <si>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</si>
  <si>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</si>
  <si>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</si>
  <si>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</si>
  <si>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</si>
  <si>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</si>
  <si>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</si>
  <si>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</si>
  <si>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</si>
  <si>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</si>
  <si>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</si>
  <si>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</si>
  <si>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</si>
  <si>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</si>
  <si>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</si>
  <si>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</si>
  <si>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</si>
  <si>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</si>
  <si>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</si>
  <si>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</si>
  <si>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</si>
  <si>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</si>
  <si>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</si>
  <si>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</si>
  <si>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</si>
  <si>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</si>
  <si>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</si>
  <si>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</si>
  <si>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</si>
  <si>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</si>
  <si>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</si>
  <si>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</si>
  <si>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</si>
  <si>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</si>
  <si>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</si>
  <si>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</si>
  <si>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</si>
  <si>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</si>
  <si>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</si>
  <si>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</si>
  <si>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</si>
  <si>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</si>
  <si>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</si>
  <si>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</si>
  <si>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</si>
  <si>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</si>
  <si>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</si>
  <si>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</si>
  <si>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</si>
  <si>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</si>
  <si>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</si>
  <si>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</si>
  <si>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</si>
  <si>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</si>
  <si>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</si>
  <si>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</si>
  <si>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</si>
  <si>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</si>
  <si>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</si>
  <si>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</si>
  <si>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</si>
  <si>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</si>
  <si>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</si>
  <si>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</si>
  <si>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</si>
  <si>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</si>
  <si>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</si>
  <si>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</si>
  <si>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</si>
  <si>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</si>
  <si>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</si>
  <si>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</si>
  <si>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</si>
  <si>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</si>
  <si>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</si>
  <si>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</si>
  <si>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</si>
  <si>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</si>
  <si>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</si>
  <si>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</si>
  <si>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</si>
  <si>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</si>
  <si>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</si>
  <si>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</si>
  <si>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</si>
  <si>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</si>
  <si>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</si>
  <si>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</si>
  <si>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</si>
  <si>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</si>
  <si>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</si>
  <si>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</si>
  <si>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</si>
  <si>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</si>
  <si>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</si>
  <si>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</si>
  <si>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</si>
  <si>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</si>
  <si>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</si>
  <si>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</si>
  <si>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</si>
  <si>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</si>
  <si>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</si>
  <si>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</si>
  <si>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</si>
  <si>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</si>
  <si>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</si>
  <si>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</si>
  <si>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</si>
  <si>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</si>
  <si>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</si>
  <si>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</si>
  <si>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</si>
  <si>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</si>
  <si>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</si>
  <si>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</si>
  <si>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</si>
  <si>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</si>
  <si>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</si>
  <si>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</si>
  <si>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</si>
  <si>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</si>
  <si>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</si>
  <si>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</si>
  <si>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</si>
  <si>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</si>
  <si>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</si>
  <si>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</si>
  <si>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</si>
  <si>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</si>
  <si>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</si>
  <si>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</si>
  <si>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</si>
  <si>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</si>
  <si>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</si>
  <si>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</si>
  <si>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</si>
  <si>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</si>
  <si>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</si>
  <si>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</si>
  <si>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</si>
  <si>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</si>
  <si>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</si>
  <si>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</si>
  <si>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</si>
  <si>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</si>
  <si>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</si>
  <si>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</si>
  <si>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</si>
  <si>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</si>
  <si>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</si>
  <si>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</si>
  <si>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</si>
  <si>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</si>
  <si>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</si>
  <si>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</si>
  <si>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</si>
  <si>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</si>
  <si>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</si>
  <si>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</si>
  <si>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</si>
  <si>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</si>
  <si>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</si>
  <si>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</si>
  <si>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</si>
  <si>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</si>
  <si>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</si>
  <si>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</si>
  <si>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</si>
  <si>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</si>
  <si>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</si>
  <si>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</si>
  <si>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</si>
  <si>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</si>
  <si>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</si>
  <si>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</si>
  <si>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</si>
  <si>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</si>
  <si>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</si>
  <si>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</si>
  <si>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</si>
  <si>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</si>
  <si>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</si>
  <si>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</si>
  <si>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</si>
  <si>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</si>
  <si>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</si>
  <si>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</si>
  <si>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</si>
  <si>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</si>
  <si>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</si>
  <si>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</si>
  <si>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</si>
  <si>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</si>
  <si>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</si>
  <si>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</si>
  <si>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</si>
  <si>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</si>
  <si>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</si>
  <si>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</si>
  <si>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</si>
  <si>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</si>
  <si>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</si>
  <si>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</si>
  <si>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</si>
  <si>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</si>
  <si>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</si>
  <si>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</si>
  <si>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</si>
  <si>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</si>
  <si>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</si>
  <si>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</si>
  <si>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</si>
  <si>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</si>
  <si>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</si>
  <si>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</si>
  <si>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</si>
  <si>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</si>
  <si>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</si>
  <si>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</si>
  <si>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</si>
  <si>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</si>
  <si>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</si>
  <si>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</si>
  <si>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</si>
  <si>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</si>
  <si>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</si>
  <si>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</si>
  <si>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</si>
  <si>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</si>
  <si>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</si>
  <si>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</si>
  <si>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</si>
  <si>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</si>
  <si>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</si>
  <si>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</si>
  <si>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</si>
  <si>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</si>
  <si>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</si>
  <si>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</si>
  <si>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</si>
  <si>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</si>
  <si>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</si>
  <si>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</si>
  <si>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</si>
  <si>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</si>
  <si>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</si>
  <si>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</si>
  <si>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</si>
  <si>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</si>
  <si>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</si>
  <si>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</si>
  <si>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</si>
  <si>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</si>
  <si>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</si>
  <si>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</si>
  <si>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</si>
  <si>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</si>
  <si>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</si>
  <si>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</si>
  <si>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</si>
  <si>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</si>
  <si>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</si>
  <si>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</si>
  <si>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</si>
  <si>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</si>
  <si>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</si>
  <si>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</si>
  <si>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</si>
  <si>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</si>
  <si>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</si>
  <si>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</si>
  <si>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</si>
  <si>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</si>
  <si>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</si>
  <si>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</si>
  <si>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</si>
  <si>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</si>
  <si>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</si>
  <si>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</si>
  <si>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</si>
  <si>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</si>
  <si>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</si>
  <si>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</si>
  <si>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</si>
  <si>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</si>
  <si>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</si>
  <si>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</si>
  <si>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</si>
  <si>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</si>
  <si>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</si>
  <si>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</si>
  <si>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</si>
  <si>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</si>
  <si>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</si>
  <si>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</si>
  <si>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</si>
  <si>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</si>
  <si>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</si>
  <si>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</si>
  <si>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</si>
  <si>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</si>
  <si>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</si>
  <si>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</si>
  <si>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</si>
  <si>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</si>
  <si>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</si>
  <si>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</si>
  <si>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</si>
  <si>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</si>
  <si>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</si>
  <si>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</si>
  <si>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</si>
  <si>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</si>
  <si>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</si>
  <si>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</si>
  <si>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</si>
  <si>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</si>
  <si>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</si>
  <si>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</si>
  <si>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</si>
  <si>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</si>
  <si>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</si>
  <si>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</si>
  <si>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</si>
  <si>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</si>
  <si>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</si>
  <si>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</si>
  <si>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</si>
  <si>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</si>
  <si>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</si>
  <si>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</si>
  <si>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</si>
  <si>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</si>
  <si>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</si>
  <si>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</si>
  <si>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</si>
  <si>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</si>
  <si>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</si>
  <si>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</si>
  <si>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</si>
  <si>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</si>
  <si>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</si>
  <si>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</si>
  <si>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</si>
  <si>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</si>
  <si>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</si>
  <si>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</si>
  <si>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</si>
  <si>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</si>
  <si>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</si>
  <si>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</si>
  <si>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</si>
  <si>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</si>
  <si>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</si>
  <si>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</si>
  <si>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</si>
  <si>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</si>
  <si>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</si>
  <si>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</si>
  <si>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</si>
  <si>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</si>
  <si>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</si>
  <si>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</si>
  <si>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</si>
  <si>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</si>
  <si>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</si>
  <si>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</si>
  <si>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</si>
  <si>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</si>
  <si>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</si>
  <si>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</si>
  <si>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</si>
  <si>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</si>
  <si>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</si>
  <si>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</si>
  <si>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</si>
  <si>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</si>
  <si>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</si>
  <si>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</si>
  <si>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</si>
  <si>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</si>
  <si>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</si>
  <si>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</si>
  <si>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</si>
  <si>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</si>
  <si>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</si>
  <si>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</si>
  <si>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</si>
  <si>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</si>
  <si>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</si>
  <si>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</si>
  <si>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</si>
  <si>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</si>
  <si>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</si>
  <si>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</si>
  <si>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</si>
  <si>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</si>
  <si>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</si>
  <si>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</si>
  <si>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</si>
  <si>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</si>
  <si>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</si>
  <si>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</si>
  <si>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</si>
  <si>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</si>
  <si>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</si>
  <si>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</si>
  <si>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</si>
  <si>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</si>
  <si>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</si>
  <si>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</si>
  <si>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</si>
  <si>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</si>
  <si>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</si>
  <si>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</si>
  <si>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</si>
  <si>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</si>
  <si>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</si>
  <si>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</si>
  <si>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</si>
  <si>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</si>
  <si>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</si>
  <si>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</si>
  <si>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</si>
  <si>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</si>
  <si>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</si>
  <si>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</si>
  <si>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</si>
  <si>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</si>
  <si>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</si>
  <si>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</si>
  <si>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</si>
  <si>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</si>
  <si>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</si>
  <si>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</si>
  <si>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</si>
  <si>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</si>
  <si>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</si>
  <si>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</si>
  <si>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</si>
  <si>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</si>
  <si>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</si>
  <si>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</si>
  <si>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</si>
  <si>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</si>
  <si>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</si>
  <si>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</si>
  <si>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</si>
  <si>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</si>
  <si>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</si>
  <si>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</si>
  <si>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</si>
  <si>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</si>
  <si>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</si>
  <si>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</si>
  <si>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</si>
  <si>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</si>
  <si>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</si>
  <si>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</si>
  <si>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</si>
  <si>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</si>
  <si>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</si>
  <si>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</si>
  <si>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</si>
  <si>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</si>
  <si>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</si>
  <si>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</si>
  <si>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</si>
  <si>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</si>
  <si>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</si>
  <si>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</si>
  <si>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</si>
  <si>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</si>
  <si>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</si>
  <si>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</si>
  <si>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</si>
  <si>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</si>
  <si>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</si>
  <si>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</si>
  <si>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</si>
  <si>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</si>
  <si>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</si>
  <si>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</si>
  <si>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</si>
  <si>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</si>
  <si>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</si>
  <si>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</si>
  <si>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</si>
  <si>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</si>
  <si>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</si>
  <si>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</si>
  <si>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</si>
  <si>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</si>
  <si>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</si>
  <si>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</si>
  <si>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</si>
  <si>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</si>
  <si>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</si>
  <si>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</si>
  <si>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</si>
  <si>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</si>
  <si>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</si>
  <si>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</si>
  <si>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</si>
  <si>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</si>
  <si>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</si>
  <si>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</si>
  <si>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</si>
  <si>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</si>
  <si>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</si>
  <si>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</si>
  <si>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</si>
  <si>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</si>
  <si>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</si>
  <si>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</si>
  <si>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</si>
  <si>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</si>
  <si>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</si>
  <si>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</si>
  <si>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</si>
  <si>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</si>
  <si>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</si>
  <si>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</si>
  <si>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</si>
  <si>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</si>
  <si>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</si>
  <si>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</si>
  <si>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</si>
  <si>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</si>
  <si>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</si>
  <si>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</si>
  <si>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</si>
  <si>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</si>
  <si>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</si>
  <si>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</si>
  <si>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</si>
  <si>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</si>
  <si>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</si>
  <si>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</si>
  <si>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</si>
  <si>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</si>
  <si>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</si>
  <si>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</si>
  <si>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</si>
  <si>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</si>
  <si>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</si>
  <si>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</si>
  <si>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</si>
  <si>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</si>
  <si>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</si>
  <si>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</si>
  <si>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</si>
  <si>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</si>
  <si>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</si>
  <si>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</si>
  <si>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</si>
  <si>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</si>
  <si>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</si>
  <si>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</si>
  <si>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</si>
  <si>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</si>
  <si>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</si>
  <si>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</si>
  <si>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</si>
  <si>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</si>
  <si>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</si>
  <si>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</si>
  <si>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</si>
  <si>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</si>
  <si>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</si>
  <si>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</si>
  <si>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</si>
  <si>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</si>
  <si>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</si>
  <si>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</si>
  <si>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</si>
  <si>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</si>
  <si>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</si>
  <si>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</si>
  <si>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</si>
  <si>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</si>
  <si>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</si>
  <si>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</si>
  <si>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</si>
  <si>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</si>
  <si>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</si>
  <si>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</si>
  <si>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</si>
  <si>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</si>
  <si>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</si>
  <si>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</si>
  <si>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</si>
  <si>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</si>
  <si>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</si>
  <si>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</si>
  <si>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</si>
  <si>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</si>
  <si>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</si>
  <si>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</si>
  <si>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</si>
  <si>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</si>
  <si>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</si>
  <si>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</si>
  <si>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</si>
  <si>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</si>
  <si>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</si>
  <si>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</si>
  <si>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</si>
  <si>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</si>
  <si>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</si>
  <si>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</si>
  <si>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</si>
  <si>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</si>
  <si>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</si>
  <si>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</si>
  <si>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</si>
  <si>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</si>
  <si>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</si>
  <si>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</si>
  <si>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</si>
  <si>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</si>
  <si>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</si>
  <si>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</si>
  <si>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</si>
  <si>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</si>
  <si>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</si>
  <si>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</si>
  <si>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</si>
  <si>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</si>
  <si>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</si>
  <si>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</si>
  <si>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</si>
  <si>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</si>
  <si>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</si>
  <si>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</si>
  <si>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</si>
  <si>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</si>
  <si>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</si>
  <si>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</si>
  <si>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</si>
  <si>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</si>
  <si>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</si>
  <si>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</si>
  <si>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</si>
  <si>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</si>
  <si>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</si>
  <si>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</si>
  <si>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</si>
  <si>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</si>
  <si>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</si>
  <si>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</si>
  <si>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</si>
  <si>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</si>
  <si>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</si>
  <si>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</si>
  <si>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</si>
  <si>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</si>
  <si>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</si>
  <si>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</si>
  <si>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</si>
  <si>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</si>
  <si>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</si>
  <si>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</si>
  <si>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</si>
  <si>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</si>
  <si>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</si>
  <si>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</si>
  <si>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</si>
  <si>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</si>
  <si>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</si>
  <si>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</si>
  <si>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</si>
  <si>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</si>
  <si>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</si>
  <si>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</si>
  <si>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</si>
  <si>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</si>
  <si>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</si>
  <si>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</si>
  <si>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</si>
  <si>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</si>
  <si>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</si>
  <si>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</si>
  <si>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</si>
  <si>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</si>
  <si>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</si>
  <si>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</si>
  <si>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</si>
  <si>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</si>
  <si>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</si>
  <si>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</si>
  <si>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</si>
  <si>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</si>
  <si>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</si>
  <si>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</si>
  <si>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</si>
  <si>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</si>
  <si>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</si>
  <si>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</si>
  <si>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</si>
  <si>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</si>
  <si>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</si>
  <si>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</si>
  <si>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</si>
  <si>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</si>
  <si>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</si>
  <si>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</si>
  <si>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</si>
  <si>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</si>
  <si>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</si>
  <si>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</si>
  <si>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</si>
  <si>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</si>
  <si>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</si>
  <si>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</si>
  <si>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</si>
  <si>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</si>
  <si>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</si>
  <si>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</si>
  <si>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</si>
  <si>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</si>
  <si>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</si>
  <si>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</si>
  <si>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</si>
  <si>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</si>
  <si>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</si>
  <si>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</si>
  <si>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</si>
  <si>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</si>
  <si>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</si>
  <si>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</si>
  <si>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</si>
  <si>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</si>
  <si>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</si>
  <si>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</si>
  <si>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</si>
  <si>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</si>
  <si>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</si>
  <si>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</si>
  <si>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</si>
  <si>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</si>
  <si>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</si>
  <si>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</si>
  <si>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</si>
  <si>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</si>
  <si>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</si>
  <si>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</si>
  <si>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</si>
  <si>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</si>
  <si>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</si>
  <si>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</si>
  <si>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</si>
  <si>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</si>
  <si>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</si>
  <si>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</si>
  <si>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</si>
  <si>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</si>
  <si>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</si>
  <si>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</si>
  <si>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</si>
  <si>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</si>
  <si>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</si>
  <si>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</si>
  <si>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</si>
  <si>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</si>
  <si>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</si>
  <si>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</si>
  <si>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</si>
  <si>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</si>
  <si>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</si>
  <si>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</si>
  <si>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</si>
  <si>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</si>
  <si>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</si>
  <si>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</si>
  <si>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</si>
  <si>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</si>
  <si>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</si>
  <si>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</si>
  <si>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</si>
  <si>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</si>
  <si>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</si>
  <si>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</si>
  <si>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</si>
  <si>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</si>
  <si>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</si>
  <si>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</si>
  <si>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</si>
  <si>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</si>
  <si>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</si>
  <si>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</si>
  <si>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</si>
  <si>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</si>
  <si>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</si>
  <si>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</si>
  <si>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</si>
  <si>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</si>
  <si>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</si>
  <si>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</si>
  <si>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</si>
  <si>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</si>
  <si>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</si>
  <si>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</si>
  <si>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</si>
  <si>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</si>
  <si>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</si>
  <si>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</si>
  <si>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</si>
  <si>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</si>
  <si>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</si>
  <si>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</si>
  <si>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</si>
  <si>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</si>
  <si>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</si>
  <si>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</si>
  <si>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</si>
  <si>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</si>
  <si>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</si>
  <si>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</si>
  <si>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</si>
  <si>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</si>
  <si>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</si>
  <si>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</si>
  <si>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</si>
  <si>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</si>
  <si>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</si>
  <si>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</si>
  <si>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</si>
  <si>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</si>
  <si>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</si>
  <si>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</si>
  <si>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</si>
  <si>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</si>
  <si>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</si>
  <si>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</si>
  <si>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</si>
  <si>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</si>
  <si>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</si>
  <si>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</si>
  <si>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</si>
  <si>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</si>
  <si>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</si>
  <si>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</si>
  <si>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</si>
  <si>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</si>
  <si>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</si>
  <si>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</si>
  <si>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</si>
  <si>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</si>
  <si>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</si>
  <si>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</si>
  <si>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</si>
  <si>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</si>
  <si>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</si>
  <si>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</si>
  <si>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</si>
  <si>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</si>
  <si>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</si>
  <si>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</si>
  <si>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</si>
  <si>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</si>
  <si>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</si>
  <si>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</si>
  <si>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</si>
  <si>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</si>
  <si>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</si>
  <si>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</si>
  <si>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</si>
  <si>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</si>
  <si>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</si>
  <si>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</si>
  <si>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</si>
  <si>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</si>
  <si>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</si>
  <si>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</si>
  <si>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</si>
  <si>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</si>
  <si>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</si>
  <si>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</si>
  <si>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</si>
  <si>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</si>
  <si>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</si>
  <si>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</si>
  <si>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</si>
  <si>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</si>
  <si>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</si>
  <si>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</si>
  <si>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</si>
  <si>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</si>
  <si>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</si>
  <si>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</si>
  <si>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</si>
  <si>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</si>
  <si>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</si>
  <si>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</si>
  <si>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</si>
  <si>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</si>
  <si>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</si>
  <si>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</si>
  <si>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</si>
  <si>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</si>
  <si>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</si>
  <si>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</si>
  <si>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</si>
  <si>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</si>
  <si>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</si>
  <si>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</si>
  <si>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</si>
  <si>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</si>
  <si>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</si>
  <si>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</si>
  <si>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</si>
  <si>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</si>
  <si>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</si>
  <si>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</si>
  <si>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</si>
  <si>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</si>
  <si>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</si>
  <si>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</si>
  <si>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</si>
  <si>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</si>
  <si>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</si>
  <si>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</si>
  <si>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</si>
  <si>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</si>
  <si>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</si>
  <si>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</si>
  <si>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</si>
  <si>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</si>
  <si>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</si>
  <si>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</si>
  <si>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</si>
  <si>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</si>
  <si>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</si>
  <si>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</si>
  <si>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</si>
  <si>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</si>
  <si>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</si>
  <si>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</si>
  <si>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</si>
  <si>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</si>
  <si>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</si>
  <si>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</si>
  <si>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</si>
  <si>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</si>
  <si>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</si>
  <si>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</si>
  <si>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</si>
  <si>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</si>
  <si>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</si>
  <si>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</si>
  <si>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</si>
  <si>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</si>
  <si>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</si>
  <si>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</si>
  <si>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</si>
  <si>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</si>
  <si>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</si>
  <si>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</si>
  <si>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</si>
  <si>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</si>
  <si>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</si>
  <si>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</si>
  <si>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</si>
  <si>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</si>
  <si>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</si>
  <si>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</si>
  <si>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</si>
  <si>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</si>
  <si>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</si>
  <si>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</si>
  <si>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</si>
  <si>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</si>
  <si>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</si>
  <si>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</si>
  <si>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</si>
  <si>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</si>
  <si>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</si>
  <si>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</si>
  <si>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</si>
  <si>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</si>
  <si>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</si>
  <si>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</si>
  <si>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</si>
  <si>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</si>
  <si>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</si>
  <si>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</si>
  <si>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</si>
  <si>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</si>
  <si>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</si>
  <si>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</si>
  <si>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</si>
  <si>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</si>
  <si>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</si>
  <si>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</si>
  <si>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</si>
  <si>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</si>
  <si>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</si>
  <si>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</si>
  <si>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</si>
  <si>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</si>
  <si>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</si>
  <si>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</si>
  <si>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</si>
  <si>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</si>
  <si>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</si>
  <si>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</si>
  <si>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</si>
  <si>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</si>
  <si>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</si>
  <si>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</si>
  <si>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</si>
  <si>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</si>
  <si>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</si>
  <si>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</si>
  <si>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</si>
  <si>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</si>
  <si>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</si>
  <si>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</si>
  <si>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</si>
  <si>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</si>
  <si>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</si>
  <si>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</si>
  <si>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</si>
  <si>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</si>
  <si>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</si>
  <si>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</si>
  <si>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</si>
  <si>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</si>
  <si>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</si>
  <si>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</si>
  <si>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</si>
  <si>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</si>
  <si>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</si>
  <si>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</si>
  <si>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</si>
  <si>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</si>
  <si>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</si>
  <si>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</si>
  <si>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</si>
  <si>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</si>
  <si>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</si>
  <si>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</si>
  <si>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</si>
  <si>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</si>
  <si>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</si>
  <si>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</si>
  <si>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</si>
  <si>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</si>
  <si>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</si>
  <si>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</si>
  <si>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</si>
  <si>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</si>
  <si>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</si>
  <si>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</si>
  <si>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</si>
  <si>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</si>
  <si>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</si>
  <si>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</si>
  <si>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</si>
  <si>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</si>
  <si>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</si>
  <si>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</si>
  <si>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</si>
  <si>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</si>
  <si>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</si>
  <si>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</si>
  <si>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</si>
  <si>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</si>
  <si>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</si>
  <si>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</si>
  <si>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</si>
  <si>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</si>
  <si>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</si>
  <si>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</si>
  <si>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</si>
  <si>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</si>
  <si>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</si>
  <si>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</si>
  <si>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</si>
  <si>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</si>
  <si>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</si>
  <si>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</si>
  <si>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</si>
  <si>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</si>
  <si>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</si>
  <si>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</si>
  <si>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</si>
  <si>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</si>
  <si>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</si>
  <si>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</si>
  <si>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</si>
  <si>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</si>
  <si>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</si>
  <si>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</si>
  <si>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</si>
  <si>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</si>
  <si>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</si>
  <si>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</si>
  <si>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</si>
  <si>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</si>
  <si>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</si>
  <si>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</si>
  <si>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</si>
  <si>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</si>
  <si>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</si>
  <si>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</si>
  <si>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</si>
  <si>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</si>
  <si>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</si>
  <si>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</si>
  <si>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</si>
  <si>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</si>
  <si>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</si>
  <si>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</si>
  <si>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</si>
  <si>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</si>
  <si>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</si>
  <si>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</si>
  <si>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</si>
  <si>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</si>
  <si>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</si>
  <si>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</si>
  <si>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</si>
  <si>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</si>
  <si>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</si>
  <si>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</si>
  <si>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</si>
  <si>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</si>
  <si>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</si>
  <si>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</si>
  <si>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</si>
  <si>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</si>
  <si>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</si>
  <si>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</si>
  <si>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</si>
  <si>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</si>
  <si>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</si>
  <si>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</si>
  <si>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</si>
  <si>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</si>
  <si>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</si>
  <si>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</si>
  <si>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</si>
  <si>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</si>
  <si>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</si>
  <si>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</si>
  <si>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</si>
  <si>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</si>
  <si>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</si>
  <si>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</si>
  <si>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</si>
  <si>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</si>
  <si>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</si>
  <si>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</si>
  <si>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</si>
  <si>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</si>
  <si>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</si>
  <si>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</si>
  <si>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</si>
  <si>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</si>
  <si>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</si>
  <si>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</si>
  <si>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</si>
  <si>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</si>
  <si>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</si>
  <si>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</si>
  <si>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</si>
  <si>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</si>
  <si>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</si>
  <si>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</si>
  <si>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</si>
  <si>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</si>
  <si>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</si>
  <si>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</si>
  <si>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</si>
  <si>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</si>
  <si>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</si>
  <si>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</si>
  <si>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</si>
  <si>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</si>
  <si>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</si>
  <si>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</si>
  <si>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</si>
  <si>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</si>
  <si>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</si>
  <si>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</si>
  <si>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</si>
  <si>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</si>
  <si>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</si>
  <si>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</si>
  <si>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</si>
  <si>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</si>
  <si>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</si>
  <si>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</si>
  <si>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</si>
  <si>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</si>
  <si>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</si>
  <si>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</si>
  <si>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</si>
  <si>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</si>
  <si>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</si>
  <si>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</si>
  <si>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</si>
  <si>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</si>
  <si>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</si>
  <si>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</si>
  <si>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</si>
  <si>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</si>
  <si>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</si>
  <si>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</si>
  <si>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</si>
  <si>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</si>
  <si>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</si>
  <si>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</si>
  <si>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</si>
  <si>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</si>
  <si>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</si>
  <si>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</si>
  <si>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</si>
  <si>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</si>
  <si>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</si>
  <si>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</si>
  <si>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</si>
  <si>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</si>
  <si>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</si>
  <si>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</si>
  <si>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</si>
  <si>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</si>
  <si>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</si>
  <si>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</si>
  <si>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</si>
  <si>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</si>
  <si>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</si>
  <si>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</si>
  <si>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</si>
  <si>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</si>
  <si>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</si>
  <si>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</si>
  <si>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</si>
  <si>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</si>
  <si>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</si>
  <si>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</si>
  <si>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</si>
  <si>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</si>
  <si>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</si>
  <si>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</si>
  <si>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</si>
  <si>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</si>
  <si>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</si>
  <si>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</si>
  <si>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</si>
  <si>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</si>
  <si>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</si>
  <si>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</si>
  <si>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</si>
  <si>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</si>
  <si>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</si>
  <si>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</si>
  <si>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</si>
  <si>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</si>
  <si>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</si>
  <si>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</si>
  <si>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</si>
  <si>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</si>
  <si>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</si>
  <si>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</si>
  <si>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</si>
  <si>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</si>
  <si>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</si>
  <si>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</si>
  <si>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</si>
  <si>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</si>
  <si>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</si>
  <si>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</si>
  <si>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</si>
  <si>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</si>
  <si>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</si>
  <si>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</si>
  <si>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</si>
  <si>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</si>
  <si>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</si>
  <si>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</si>
  <si>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</si>
  <si>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</si>
  <si>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</si>
  <si>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</si>
  <si>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</si>
  <si>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</si>
  <si>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</si>
  <si>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</si>
  <si>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</si>
  <si>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</si>
  <si>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</si>
  <si>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</si>
  <si>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</si>
  <si>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</si>
  <si>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</si>
  <si>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</si>
  <si>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</si>
  <si>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</si>
  <si>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</si>
  <si>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</si>
  <si>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</si>
  <si>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</si>
  <si>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</si>
  <si>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</si>
  <si>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</si>
  <si>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</si>
  <si>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</si>
  <si>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</si>
  <si>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</si>
  <si>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</si>
  <si>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</si>
  <si>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</si>
  <si>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</si>
  <si>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</si>
  <si>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</si>
  <si>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</si>
  <si>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</si>
  <si>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</si>
  <si>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</si>
  <si>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</si>
  <si>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</si>
  <si>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</si>
  <si>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</si>
  <si>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</si>
  <si>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</si>
  <si>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</si>
  <si>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</si>
  <si>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</si>
  <si>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</si>
  <si>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</si>
  <si>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</si>
  <si>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</si>
  <si>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</si>
  <si>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</si>
  <si>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</si>
  <si>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</si>
  <si>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</si>
  <si>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</si>
  <si>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</si>
  <si>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</si>
  <si>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</si>
  <si>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</si>
  <si>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</si>
  <si>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</si>
  <si>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</si>
  <si>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</si>
  <si>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</si>
  <si>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</si>
  <si>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</si>
  <si>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</si>
  <si>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</si>
  <si>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</si>
  <si>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</si>
  <si>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</si>
  <si>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</si>
  <si>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</si>
  <si>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</si>
  <si>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</si>
  <si>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</si>
  <si>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</si>
  <si>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</si>
  <si>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</si>
  <si>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</si>
  <si>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</si>
  <si>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</si>
  <si>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</si>
  <si>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</si>
  <si>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</si>
  <si>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</si>
  <si>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</si>
  <si>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</si>
  <si>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</si>
  <si>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</si>
  <si>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</si>
  <si>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</si>
  <si>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</si>
  <si>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</si>
  <si>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</si>
  <si>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</si>
  <si>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</si>
  <si>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</si>
  <si>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</si>
  <si>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</si>
  <si>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</si>
  <si>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</si>
  <si>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</si>
  <si>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</si>
  <si>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</si>
  <si>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</si>
  <si>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</si>
  <si>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</si>
  <si>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</si>
  <si>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</si>
  <si>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</si>
  <si>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</si>
  <si>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</si>
  <si>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</si>
  <si>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</si>
  <si>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</si>
  <si>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</si>
  <si>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</si>
  <si>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</si>
  <si>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</si>
  <si>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</si>
  <si>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</si>
  <si>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</si>
  <si>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</si>
  <si>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</si>
  <si>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</si>
  <si>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</si>
  <si>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</si>
  <si>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</si>
  <si>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</si>
  <si>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</si>
  <si>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</si>
  <si>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</si>
  <si>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</si>
  <si>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</si>
  <si>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</si>
  <si>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</si>
  <si>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</si>
  <si>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</si>
  <si>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</si>
  <si>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</si>
  <si>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</si>
  <si>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</si>
  <si>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</si>
  <si>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</si>
  <si>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</si>
  <si>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</si>
  <si>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</si>
  <si>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</si>
  <si>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</si>
  <si>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</si>
  <si>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</si>
  <si>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</si>
  <si>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</si>
  <si>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</si>
  <si>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</si>
  <si>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</si>
  <si>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</si>
  <si>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</si>
  <si>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</si>
  <si>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</si>
  <si>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</si>
  <si>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</si>
  <si>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</si>
  <si>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</si>
  <si>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</si>
  <si>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</si>
  <si>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</si>
  <si>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</si>
  <si>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</si>
  <si>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</si>
  <si>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</si>
  <si>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</si>
  <si>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</si>
  <si>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</si>
  <si>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</si>
  <si>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</si>
  <si>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</si>
  <si>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</si>
  <si>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</si>
  <si>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</si>
  <si>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</si>
  <si>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</si>
  <si>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</si>
  <si>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</si>
  <si>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</si>
  <si>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</si>
  <si>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</si>
  <si>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</si>
  <si>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</si>
  <si>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</si>
  <si>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</si>
  <si>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</si>
  <si>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</si>
  <si>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</si>
  <si>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</si>
  <si>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</si>
  <si>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</si>
  <si>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</si>
  <si>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</si>
  <si>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</si>
  <si>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</si>
  <si>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</si>
  <si>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</si>
  <si>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</si>
  <si>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</si>
  <si>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</si>
  <si>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</si>
  <si>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</si>
  <si>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</si>
  <si>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</si>
  <si>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</si>
  <si>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</si>
  <si>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</si>
  <si>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</si>
  <si>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</si>
  <si>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</si>
  <si>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</si>
  <si>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</si>
  <si>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</si>
  <si>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</si>
  <si>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</si>
  <si>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</si>
  <si>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</si>
  <si>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</si>
  <si>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</si>
  <si>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</si>
  <si>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</si>
  <si>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</si>
  <si>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</si>
  <si>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</si>
  <si>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</si>
  <si>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</si>
  <si>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</si>
  <si>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</si>
  <si>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</si>
  <si>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</si>
  <si>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</si>
  <si>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</si>
  <si>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</si>
  <si>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</si>
  <si>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</si>
  <si>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</si>
  <si>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</si>
  <si>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</si>
  <si>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</si>
  <si>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</si>
  <si>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</si>
  <si>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</si>
  <si>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</si>
  <si>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</si>
  <si>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</si>
  <si>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</si>
  <si>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</si>
  <si>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</si>
  <si>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</si>
  <si>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</si>
  <si>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</si>
  <si>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</si>
  <si>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</si>
  <si>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</si>
  <si>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</si>
  <si>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</si>
  <si>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</si>
  <si>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</si>
  <si>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</si>
  <si>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</si>
  <si>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</si>
  <si>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</si>
  <si>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</si>
  <si>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</si>
  <si>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</si>
  <si>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</si>
  <si>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</si>
  <si>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</si>
  <si>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</si>
  <si>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</si>
  <si>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</si>
  <si>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</si>
  <si>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</si>
  <si>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</si>
  <si>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</si>
  <si>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</si>
  <si>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</si>
  <si>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</si>
  <si>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</si>
  <si>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</si>
  <si>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</si>
  <si>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</si>
  <si>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</si>
  <si>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</si>
  <si>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</si>
  <si>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</si>
  <si>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</si>
  <si>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</si>
  <si>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</si>
  <si>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</si>
  <si>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</si>
  <si>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</si>
  <si>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</si>
  <si>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</si>
  <si>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</si>
  <si>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</si>
  <si>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</si>
  <si>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</si>
  <si>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</si>
  <si>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</si>
  <si>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</si>
  <si>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</si>
  <si>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</si>
  <si>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</si>
  <si>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</si>
  <si>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</si>
  <si>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</si>
  <si>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</si>
  <si>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</si>
  <si>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</si>
  <si>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</si>
  <si>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</si>
  <si>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</si>
  <si>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</si>
  <si>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</si>
  <si>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</si>
  <si>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</si>
  <si>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</si>
  <si>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</si>
  <si>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</si>
  <si>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</si>
  <si>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</si>
  <si>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</si>
  <si>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</si>
  <si>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</si>
  <si>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</si>
  <si>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</si>
  <si>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</si>
  <si>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</si>
  <si>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</si>
  <si>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</si>
  <si>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</si>
  <si>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</si>
  <si>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</si>
  <si>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</si>
  <si>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</si>
  <si>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</si>
  <si>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</si>
  <si>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</si>
  <si>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</si>
  <si>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</si>
  <si>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</si>
  <si>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</si>
  <si>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</si>
  <si>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</si>
  <si>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</si>
  <si>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</si>
  <si>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</si>
  <si>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</si>
  <si>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</si>
  <si>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</si>
  <si>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</si>
  <si>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</si>
  <si>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</si>
  <si>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</si>
  <si>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</si>
  <si>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</si>
  <si>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</si>
  <si>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</si>
  <si>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</si>
  <si>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</si>
  <si>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</si>
  <si>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</si>
  <si>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</si>
  <si>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</si>
  <si>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</si>
  <si>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</si>
  <si>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</si>
  <si>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</si>
  <si>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</si>
  <si>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</si>
  <si>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</si>
  <si>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</si>
  <si>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</si>
  <si>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</si>
  <si>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</si>
  <si>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</si>
  <si>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</si>
  <si>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</si>
  <si>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</si>
  <si>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</si>
  <si>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</si>
  <si>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</si>
  <si>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</si>
  <si>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</si>
  <si>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</si>
  <si>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</si>
  <si>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</si>
  <si>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</si>
  <si>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</si>
  <si>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</si>
  <si>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</si>
  <si>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</si>
  <si>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</si>
  <si>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</si>
  <si>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</si>
  <si>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</si>
  <si>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</si>
  <si>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</si>
  <si>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</si>
  <si>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</si>
  <si>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</si>
  <si>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</si>
  <si>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</si>
  <si>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</si>
  <si>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</si>
  <si>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</si>
  <si>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</si>
  <si>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</si>
  <si>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</si>
  <si>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</si>
  <si>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</si>
  <si>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</si>
  <si>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</si>
  <si>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</si>
  <si>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</si>
  <si>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</si>
  <si>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</si>
  <si>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</si>
  <si>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</si>
  <si>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</si>
  <si>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</si>
  <si>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</si>
  <si>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</si>
  <si>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</si>
  <si>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</si>
  <si>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</si>
  <si>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</si>
  <si>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</si>
  <si>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</si>
  <si>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</si>
  <si>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</si>
  <si>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</si>
  <si>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</si>
  <si>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</si>
  <si>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</si>
  <si>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</si>
  <si>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</si>
  <si>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</si>
  <si>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</si>
  <si>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</si>
  <si>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</si>
  <si>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</si>
  <si>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</si>
  <si>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</si>
  <si>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</si>
  <si>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</si>
  <si>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</si>
  <si>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</si>
  <si>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</si>
  <si>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</si>
  <si>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</si>
  <si>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</si>
  <si>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</si>
  <si>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</si>
  <si>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</si>
  <si>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</si>
  <si>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</si>
  <si>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</si>
  <si>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</si>
  <si>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</si>
  <si>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</si>
  <si>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</si>
  <si>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</si>
  <si>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</si>
  <si>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</si>
  <si>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</si>
  <si>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</si>
  <si>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</si>
  <si>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</si>
  <si>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</si>
  <si>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</si>
  <si>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</si>
  <si>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</si>
  <si>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</si>
  <si>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</si>
  <si>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</si>
  <si>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</si>
  <si>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</si>
  <si>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</si>
  <si>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</si>
  <si>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</si>
  <si>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</si>
  <si>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</si>
  <si>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</si>
  <si>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</si>
  <si>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</si>
  <si>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</si>
  <si>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</si>
  <si>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</si>
  <si>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</si>
  <si>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</si>
  <si>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</si>
  <si>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</si>
  <si>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</si>
  <si>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</si>
  <si>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</si>
  <si>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</si>
  <si>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</si>
  <si>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</si>
  <si>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</si>
  <si>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</si>
  <si>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</si>
  <si>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</si>
  <si>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</si>
  <si>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</si>
  <si>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</si>
  <si>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</si>
  <si>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</si>
  <si>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</si>
  <si>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</si>
  <si>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</si>
  <si>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</si>
  <si>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</si>
  <si>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</si>
  <si>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</si>
  <si>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</si>
  <si>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</si>
  <si>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</si>
  <si>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</si>
  <si>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</si>
  <si>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</si>
  <si>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</si>
  <si>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</si>
  <si>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</si>
  <si>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</si>
  <si>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</si>
  <si>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</si>
  <si>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</si>
  <si>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</si>
  <si>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</si>
  <si>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</si>
  <si>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</si>
  <si>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</si>
  <si>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</si>
  <si>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</si>
  <si>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</si>
  <si>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</si>
  <si>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</si>
  <si>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</si>
  <si>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</si>
  <si>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</si>
  <si>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</si>
  <si>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</si>
  <si>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</si>
  <si>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</si>
  <si>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</si>
  <si>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</si>
  <si>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</si>
  <si>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</si>
  <si>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</si>
  <si>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</si>
  <si>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</si>
  <si>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</si>
  <si>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</si>
  <si>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</si>
  <si>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</si>
  <si>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</si>
  <si>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</si>
  <si>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</si>
  <si>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</si>
  <si>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</si>
  <si>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</si>
  <si>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</si>
  <si>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</si>
  <si>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</si>
  <si>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</si>
  <si>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</si>
  <si>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</si>
  <si>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</si>
  <si>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</si>
  <si>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</si>
  <si>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</si>
  <si>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</si>
  <si>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</si>
  <si>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</si>
  <si>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</si>
  <si>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</si>
  <si>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</si>
  <si>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</si>
  <si>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</si>
  <si>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</si>
  <si>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</si>
  <si>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</si>
  <si>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</si>
  <si>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</si>
  <si>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</si>
  <si>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</si>
  <si>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</si>
  <si>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</si>
  <si>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</si>
  <si>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</si>
  <si>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</si>
  <si>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</si>
  <si>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</si>
  <si>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</si>
  <si>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</si>
  <si>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</si>
  <si>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</si>
  <si>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</si>
  <si>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</si>
  <si>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</si>
  <si>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</si>
  <si>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</si>
  <si>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</si>
  <si>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</si>
  <si>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</si>
  <si>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</si>
  <si>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</si>
  <si>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</si>
  <si>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</si>
  <si>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</si>
  <si>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</si>
  <si>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</si>
  <si>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</si>
  <si>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</si>
  <si>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</si>
  <si>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</si>
  <si>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</si>
  <si>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</si>
  <si>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</si>
  <si>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</si>
  <si>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</si>
  <si>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</si>
  <si>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</si>
  <si>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</si>
  <si>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</si>
  <si>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</si>
  <si>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</si>
  <si>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</si>
  <si>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</si>
  <si>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</si>
  <si>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</si>
  <si>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</si>
  <si>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</si>
  <si>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</si>
  <si>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</si>
  <si>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</si>
  <si>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</si>
  <si>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</si>
  <si>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</si>
  <si>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</si>
  <si>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</si>
  <si>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</si>
  <si>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</si>
  <si>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</si>
  <si>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</si>
  <si>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</si>
  <si>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</si>
  <si>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</si>
  <si>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</si>
  <si>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</si>
  <si>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</si>
  <si>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</si>
  <si>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</si>
  <si>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</si>
  <si>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</si>
  <si>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</si>
  <si>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</si>
  <si>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</si>
  <si>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</si>
  <si>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</si>
  <si>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</si>
  <si>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</si>
  <si>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</si>
  <si>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</si>
  <si>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</si>
  <si>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</si>
  <si>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</si>
  <si>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</si>
  <si>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</si>
  <si>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</si>
  <si>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</si>
  <si>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</si>
  <si>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</si>
  <si>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</si>
  <si>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</si>
  <si>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</si>
  <si>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</si>
  <si>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</si>
  <si>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</si>
  <si>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</si>
  <si>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</si>
  <si>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</si>
  <si>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</si>
  <si>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</si>
  <si>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</si>
  <si>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</si>
  <si>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</si>
  <si>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</si>
  <si>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</si>
  <si>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</si>
  <si>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</si>
  <si>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</si>
  <si>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</si>
  <si>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</si>
  <si>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</si>
  <si>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</si>
  <si>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</si>
  <si>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</si>
  <si>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</si>
  <si>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</si>
  <si>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</si>
  <si>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</si>
  <si>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</si>
  <si>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</si>
  <si>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</si>
  <si>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</si>
  <si>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</si>
  <si>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</si>
  <si>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</si>
  <si>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</si>
  <si>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</si>
  <si>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</si>
  <si>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</si>
  <si>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</si>
  <si>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</si>
  <si>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</si>
  <si>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</si>
  <si>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</si>
  <si>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</si>
  <si>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</si>
  <si>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</si>
  <si>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</si>
  <si>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</si>
  <si>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</si>
  <si>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</si>
  <si>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</si>
  <si>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</si>
  <si>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</si>
  <si>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</si>
  <si>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</si>
  <si>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</si>
  <si>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</si>
  <si>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</si>
  <si>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</si>
  <si>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</si>
  <si>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</si>
  <si>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</si>
  <si>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</si>
  <si>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</si>
  <si>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</si>
  <si>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</si>
  <si>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</si>
  <si>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</si>
  <si>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</si>
  <si>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</si>
  <si>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</si>
  <si>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</si>
  <si>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</si>
  <si>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</si>
  <si>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</si>
  <si>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</si>
  <si>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</si>
  <si>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</si>
  <si>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</si>
  <si>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</si>
  <si>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</si>
  <si>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</si>
  <si>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</si>
  <si>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</si>
  <si>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</si>
  <si>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</si>
  <si>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</si>
  <si>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</si>
  <si>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</si>
  <si>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</si>
  <si>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</si>
  <si>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</si>
  <si>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</si>
  <si>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</si>
  <si>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</si>
  <si>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</si>
  <si>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</si>
  <si>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</si>
  <si>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</si>
  <si>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</si>
  <si>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</si>
  <si>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</si>
  <si>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</si>
  <si>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</si>
  <si>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</si>
  <si>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</si>
  <si>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</si>
  <si>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</si>
  <si>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</si>
  <si>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</si>
  <si>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</si>
  <si>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</si>
  <si>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</si>
  <si>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</si>
  <si>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</si>
  <si>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</si>
  <si>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</si>
  <si>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</si>
  <si>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</si>
  <si>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</si>
  <si>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</si>
  <si>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</si>
  <si>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</si>
  <si>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</si>
  <si>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</si>
  <si>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</si>
  <si>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</si>
  <si>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</si>
  <si>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</si>
  <si>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</si>
  <si>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</si>
  <si>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</si>
  <si>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</si>
  <si>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</si>
  <si>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</si>
  <si>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</si>
  <si>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</si>
  <si>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</si>
  <si>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</si>
  <si>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</si>
  <si>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</si>
  <si>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</si>
  <si>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</si>
  <si>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</si>
  <si>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</si>
  <si>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</si>
  <si>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</si>
  <si>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</si>
  <si>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</si>
  <si>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</si>
  <si>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</si>
  <si>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</si>
  <si>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</si>
  <si>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</si>
  <si>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</si>
  <si>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</si>
  <si>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</si>
  <si>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</si>
  <si>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</si>
  <si>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</si>
  <si>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</si>
  <si>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</si>
  <si>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</si>
  <si>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</si>
  <si>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</si>
  <si>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</si>
  <si>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</si>
  <si>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</si>
  <si>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</si>
  <si>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</si>
  <si>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</si>
  <si>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</si>
  <si>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</si>
  <si>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</si>
  <si>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</si>
  <si>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</si>
  <si>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</si>
  <si>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</si>
  <si>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</si>
  <si>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</si>
  <si>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</si>
  <si>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</si>
  <si>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</si>
  <si>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</si>
  <si>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</si>
  <si>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</si>
  <si>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</si>
  <si>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</si>
  <si>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</si>
  <si>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</si>
  <si>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</si>
  <si>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</si>
  <si>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</si>
  <si>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</si>
  <si>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</si>
  <si>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</si>
  <si>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</si>
  <si>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</si>
  <si>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</si>
  <si>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</si>
  <si>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</si>
  <si>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</si>
  <si>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</si>
  <si>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</si>
  <si>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</si>
  <si>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</si>
  <si>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</si>
  <si>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</si>
  <si>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</si>
  <si>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</si>
  <si>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</si>
  <si>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</si>
  <si>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</si>
  <si>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</si>
  <si>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</si>
  <si>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</si>
  <si>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</si>
  <si>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</si>
  <si>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</si>
  <si>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</si>
  <si>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</si>
  <si>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</si>
  <si>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</si>
  <si>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</si>
  <si>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</si>
  <si>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</si>
  <si>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</si>
  <si>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</si>
  <si>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</si>
  <si>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</si>
  <si>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</si>
  <si>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</si>
  <si>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</si>
  <si>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</si>
  <si>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</si>
  <si>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</si>
  <si>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</si>
  <si>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</si>
  <si>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</si>
  <si>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</si>
  <si>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</si>
  <si>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</si>
  <si>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</si>
  <si>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</si>
  <si>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</si>
  <si>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</si>
  <si>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</si>
  <si>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</si>
  <si>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</si>
  <si>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</si>
  <si>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</si>
  <si>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</si>
  <si>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</si>
  <si>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</si>
  <si>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</si>
  <si>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</si>
  <si>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</si>
  <si>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</si>
  <si>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</si>
  <si>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</si>
  <si>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</si>
  <si>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</si>
  <si>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</si>
  <si>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</si>
  <si>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</si>
  <si>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</si>
  <si>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</si>
  <si>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</si>
  <si>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</si>
  <si>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</si>
  <si>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</si>
  <si>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</si>
  <si>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</si>
  <si>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</si>
  <si>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</si>
  <si>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</si>
  <si>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</si>
  <si>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</si>
  <si>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</si>
  <si>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</si>
  <si>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</si>
  <si>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</si>
  <si>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</si>
  <si>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</si>
  <si>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</si>
  <si>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</si>
  <si>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</si>
  <si>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</si>
  <si>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</si>
  <si>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</si>
  <si>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</si>
  <si>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</si>
  <si>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</si>
  <si>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</si>
  <si>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</si>
  <si>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</si>
  <si>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</si>
  <si>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</si>
  <si>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</si>
  <si>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</si>
  <si>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</si>
  <si>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</si>
  <si>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</si>
  <si>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</si>
  <si>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</si>
  <si>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</si>
  <si>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</si>
  <si>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</si>
  <si>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</si>
  <si>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</si>
  <si>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</si>
  <si>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</si>
  <si>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</si>
  <si>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</si>
  <si>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</si>
  <si>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</si>
  <si>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</si>
  <si>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</si>
  <si>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</si>
  <si>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</si>
  <si>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</si>
  <si>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</si>
  <si>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</si>
  <si>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</si>
  <si>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</si>
  <si>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</si>
  <si>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</si>
  <si>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</si>
  <si>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</si>
  <si>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</si>
  <si>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</si>
  <si>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</si>
  <si>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</si>
  <si>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</si>
  <si>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</si>
  <si>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</si>
  <si>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</si>
  <si>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</si>
  <si>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</si>
  <si>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</si>
  <si>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</si>
  <si>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</si>
  <si>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</si>
  <si>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</si>
  <si>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</si>
  <si>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</si>
  <si>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</si>
  <si>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</si>
  <si>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</si>
  <si>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</si>
  <si>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</si>
  <si>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</si>
  <si>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</si>
  <si>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</si>
  <si>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</si>
  <si>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</si>
  <si>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</si>
  <si>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</si>
  <si>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</si>
  <si>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</si>
  <si>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</si>
  <si>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</si>
  <si>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</si>
  <si>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</si>
  <si>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</si>
  <si>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</si>
  <si>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</si>
  <si>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</si>
  <si>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</si>
  <si>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</si>
  <si>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</si>
  <si>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</si>
  <si>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</si>
  <si>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</si>
  <si>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</si>
  <si>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</si>
  <si>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</si>
  <si>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</si>
  <si>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</si>
  <si>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</si>
  <si>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</si>
  <si>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</si>
  <si>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</si>
  <si>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</si>
  <si>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</si>
  <si>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</si>
  <si>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</si>
  <si>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</si>
  <si>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</si>
  <si>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</si>
  <si>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</si>
  <si>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</si>
  <si>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</si>
  <si>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</si>
  <si>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</si>
  <si>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</si>
  <si>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</si>
  <si>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</si>
  <si>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</si>
  <si>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</si>
  <si>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</si>
  <si>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</si>
  <si>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</si>
  <si>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</si>
  <si>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</si>
  <si>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</si>
  <si>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</si>
  <si>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</si>
  <si>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</si>
  <si>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</si>
  <si>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</si>
  <si>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</si>
  <si>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</si>
  <si>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</si>
  <si>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</si>
  <si>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</si>
  <si>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</si>
  <si>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</si>
  <si>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</si>
  <si>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</si>
  <si>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</si>
  <si>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</si>
  <si>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</si>
  <si>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</si>
  <si>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</si>
  <si>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</si>
  <si>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</si>
  <si>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</si>
  <si>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</si>
  <si>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</si>
  <si>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</si>
  <si>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</si>
  <si>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</si>
  <si>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</si>
  <si>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</si>
  <si>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</si>
  <si>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</si>
  <si>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</si>
  <si>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</si>
  <si>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</si>
  <si>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</si>
  <si>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</si>
  <si>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</si>
  <si>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</si>
  <si>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</si>
  <si>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</si>
  <si>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</si>
  <si>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</si>
  <si>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</si>
  <si>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</si>
  <si>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</si>
  <si>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</si>
  <si>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</si>
  <si>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</si>
  <si>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</si>
  <si>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</si>
  <si>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</si>
  <si>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</si>
  <si>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</si>
  <si>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</si>
  <si>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</si>
  <si>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</si>
  <si>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</si>
  <si>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</si>
  <si>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</si>
  <si>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</si>
  <si>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</si>
  <si>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</si>
  <si>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</si>
  <si>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</si>
  <si>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</si>
  <si>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</si>
  <si>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</si>
  <si>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</si>
  <si>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</si>
  <si>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</si>
  <si>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</si>
  <si>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</si>
  <si>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</si>
  <si>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</si>
  <si>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</si>
  <si>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</si>
  <si>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</si>
  <si>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</si>
  <si>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</si>
  <si>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</si>
  <si>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</si>
  <si>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</si>
  <si>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</si>
  <si>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</si>
  <si>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</si>
  <si>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</si>
  <si>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</si>
  <si>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</si>
  <si>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</si>
  <si>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</si>
  <si>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</si>
  <si>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</si>
  <si>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</si>
  <si>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</si>
  <si>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</si>
  <si>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</si>
  <si>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</si>
  <si>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</si>
  <si>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</si>
  <si>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</si>
  <si>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</si>
  <si>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</si>
  <si>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</si>
  <si>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</si>
  <si>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</si>
  <si>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</si>
  <si>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</si>
  <si>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</si>
  <si>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</si>
  <si>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</si>
  <si>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</si>
  <si>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</si>
  <si>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</si>
  <si>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</si>
  <si>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</si>
  <si>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</si>
  <si>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</si>
  <si>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</si>
  <si>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</si>
  <si>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</si>
  <si>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</si>
  <si>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</si>
  <si>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</si>
  <si>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</si>
  <si>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</si>
  <si>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</si>
  <si>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</si>
  <si>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</si>
  <si>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</si>
  <si>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</si>
  <si>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</si>
  <si>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</si>
  <si>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</si>
  <si>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</si>
  <si>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</si>
  <si>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</si>
  <si>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</si>
  <si>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</si>
  <si>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</si>
  <si>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</si>
  <si>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</si>
  <si>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</si>
  <si>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</si>
  <si>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</si>
  <si>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</si>
  <si>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</si>
  <si>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</si>
  <si>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</si>
  <si>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</si>
  <si>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</si>
  <si>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</si>
  <si>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</si>
  <si>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</si>
  <si>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</si>
  <si>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</si>
  <si>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</si>
  <si>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</si>
  <si>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</si>
  <si>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</si>
  <si>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</si>
  <si>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</si>
  <si>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</si>
  <si>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</si>
  <si>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</si>
  <si>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</si>
  <si>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</si>
  <si>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</si>
  <si>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</si>
  <si>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</si>
  <si>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</si>
  <si>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</si>
  <si>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</si>
  <si>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</si>
  <si>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</si>
  <si>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</si>
  <si>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</si>
  <si>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</si>
  <si>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</si>
  <si>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</si>
  <si>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</si>
  <si>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</si>
  <si>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</si>
  <si>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</si>
  <si>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</si>
  <si>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</si>
  <si>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</si>
  <si>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</si>
  <si>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</si>
  <si>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</si>
  <si>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</si>
  <si>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</si>
  <si>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</si>
  <si>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</si>
  <si>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</si>
  <si>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</si>
  <si>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</si>
  <si>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</si>
  <si>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</si>
  <si>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</si>
  <si>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</si>
  <si>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</si>
  <si>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</si>
  <si>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</si>
  <si>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</si>
  <si>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</si>
  <si>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</si>
  <si>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</si>
  <si>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</si>
  <si>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</si>
  <si>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</si>
  <si>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</si>
  <si>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</si>
  <si>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</si>
  <si>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</si>
  <si>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</si>
  <si>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</si>
  <si>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</si>
  <si>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</si>
  <si>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</si>
  <si>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</si>
  <si>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</si>
  <si>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</si>
  <si>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</si>
  <si>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</si>
  <si>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</si>
  <si>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</si>
  <si>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</si>
  <si>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</si>
  <si>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</si>
  <si>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</si>
  <si>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</si>
  <si>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</si>
  <si>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</si>
  <si>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</si>
  <si>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</si>
  <si>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</si>
  <si>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</si>
  <si>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</si>
  <si>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</si>
  <si>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</si>
  <si>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</si>
  <si>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</si>
  <si>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</si>
  <si>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</si>
  <si>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</si>
  <si>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</si>
  <si>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</si>
  <si>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</si>
  <si>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</si>
  <si>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</si>
  <si>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</si>
  <si>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</si>
  <si>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</si>
  <si>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</si>
  <si>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</si>
  <si>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</si>
  <si>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</si>
  <si>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</si>
  <si>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</si>
  <si>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</si>
  <si>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</si>
  <si>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</si>
  <si>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</si>
  <si>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</si>
  <si>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</si>
  <si>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</si>
  <si>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</si>
  <si>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</si>
  <si>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</si>
  <si>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</si>
  <si>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</si>
  <si>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</si>
  <si>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</si>
  <si>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</si>
  <si>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</si>
  <si>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</si>
  <si>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</si>
  <si>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</si>
  <si>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</si>
  <si>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</si>
  <si>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</si>
  <si>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</si>
  <si>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</si>
  <si>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</si>
  <si>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</si>
  <si>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</si>
  <si>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</si>
  <si>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</si>
  <si>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</si>
  <si>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</si>
  <si>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</si>
  <si>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</si>
  <si>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</si>
  <si>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</si>
  <si>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</si>
  <si>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</si>
  <si>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</si>
  <si>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</si>
  <si>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</si>
  <si>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</si>
  <si>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</si>
  <si>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</si>
  <si>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</si>
  <si>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</si>
  <si>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</si>
  <si>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</si>
  <si>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</si>
  <si>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</si>
  <si>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</si>
  <si>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</si>
  <si>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</si>
  <si>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</si>
  <si>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</si>
  <si>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</si>
  <si>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</si>
  <si>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</si>
  <si>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</si>
  <si>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</si>
  <si>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</si>
  <si>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</si>
  <si>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</si>
  <si>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</si>
  <si>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</si>
  <si>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</si>
  <si>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</si>
  <si>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</si>
  <si>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</si>
  <si>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</si>
  <si>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</si>
  <si>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</si>
  <si>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</si>
  <si>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</si>
  <si>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</si>
  <si>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</si>
  <si>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</si>
  <si>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</si>
  <si>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</si>
  <si>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</si>
  <si>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</si>
  <si>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</si>
  <si>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</si>
  <si>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</si>
  <si>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</si>
  <si>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</si>
  <si>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</si>
  <si>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</si>
  <si>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</si>
  <si>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</si>
  <si>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</si>
  <si>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</si>
  <si>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</si>
  <si>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</si>
  <si>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</si>
  <si>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</si>
  <si>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</si>
  <si>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</si>
  <si>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</si>
  <si>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</si>
  <si>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</si>
  <si>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</si>
  <si>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</si>
  <si>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</si>
  <si>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</si>
  <si>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</si>
  <si>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</si>
  <si>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</si>
  <si>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</si>
  <si>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</si>
  <si>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</si>
  <si>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</si>
  <si>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</si>
  <si>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</si>
  <si>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</si>
  <si>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</si>
  <si>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</si>
  <si>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</si>
  <si>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</si>
  <si>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</si>
  <si>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</si>
  <si>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</si>
  <si>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</si>
  <si>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</si>
  <si>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</si>
  <si>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</si>
  <si>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</si>
  <si>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</si>
  <si>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</si>
  <si>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</si>
  <si>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</si>
  <si>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</si>
  <si>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</si>
  <si>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</si>
  <si>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</si>
  <si>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</si>
  <si>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</si>
  <si>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</si>
  <si>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</si>
  <si>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</si>
  <si>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</si>
  <si>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</si>
  <si>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</si>
  <si>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</si>
  <si>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</si>
  <si>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</si>
  <si>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</si>
  <si>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</si>
  <si>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</si>
  <si>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</si>
  <si>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</si>
  <si>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</si>
  <si>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</si>
  <si>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</si>
  <si>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</si>
  <si>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</si>
  <si>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</si>
  <si>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</si>
  <si>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</si>
  <si>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</si>
  <si>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</si>
  <si>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</si>
  <si>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</si>
  <si>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</si>
  <si>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</si>
  <si>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</si>
  <si>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</si>
  <si>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</si>
  <si>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</si>
  <si>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</si>
  <si>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</si>
  <si>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</si>
  <si>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</si>
  <si>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</si>
  <si>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</si>
  <si>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</si>
  <si>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</si>
  <si>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</si>
  <si>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</si>
  <si>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</si>
  <si>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</si>
  <si>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</si>
  <si>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</si>
  <si>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</si>
  <si>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</si>
  <si>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</si>
  <si>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</si>
  <si>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</si>
  <si>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</si>
  <si>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</si>
  <si>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</si>
  <si>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</si>
  <si>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</si>
  <si>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</si>
  <si>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</si>
  <si>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</si>
  <si>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</si>
  <si>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</si>
  <si>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</si>
  <si>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</si>
  <si>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</si>
  <si>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</si>
  <si>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</si>
  <si>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</si>
  <si>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</si>
  <si>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</si>
  <si>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</si>
  <si>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</si>
  <si>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</si>
  <si>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</si>
  <si>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</si>
  <si>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</si>
  <si>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</si>
  <si>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</si>
  <si>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</si>
  <si>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</si>
  <si>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</si>
  <si>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</si>
  <si>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</si>
  <si>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</si>
  <si>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</si>
  <si>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</si>
  <si>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</si>
  <si>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</si>
  <si>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</si>
  <si>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</si>
  <si>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</si>
  <si>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</si>
  <si>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</si>
  <si>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</si>
  <si>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</si>
  <si>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</si>
  <si>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</si>
  <si>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</si>
  <si>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</si>
  <si>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</si>
  <si>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</si>
  <si>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</si>
  <si>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</si>
  <si>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</si>
  <si>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</si>
  <si>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</si>
  <si>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</si>
  <si>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</si>
  <si>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</si>
  <si>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</si>
  <si>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</si>
  <si>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</si>
  <si>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</si>
  <si>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</si>
  <si>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</si>
  <si>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</si>
  <si>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</si>
  <si>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</si>
  <si>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</si>
  <si>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</si>
  <si>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</si>
  <si>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</si>
  <si>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</si>
  <si>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</si>
  <si>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</si>
  <si>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</si>
  <si>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</si>
  <si>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</si>
  <si>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</si>
  <si>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</si>
  <si>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</si>
  <si>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</si>
  <si>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</si>
  <si>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</si>
  <si>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</si>
  <si>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</si>
  <si>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</si>
  <si>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</si>
  <si>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</si>
  <si>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</si>
  <si>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</si>
  <si>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</si>
  <si>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</si>
  <si>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</si>
  <si>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</si>
  <si>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</si>
  <si>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</si>
  <si>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</si>
  <si>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</si>
  <si>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</si>
  <si>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</si>
  <si>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</si>
  <si>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</si>
  <si>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</si>
  <si>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</si>
  <si>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</si>
  <si>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</si>
  <si>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</si>
  <si>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</si>
  <si>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</si>
  <si>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</si>
  <si>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</si>
  <si>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</si>
  <si>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</si>
  <si>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</si>
  <si>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</si>
  <si>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</si>
  <si>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</si>
  <si>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</si>
  <si>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</si>
  <si>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</si>
  <si>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</si>
  <si>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</si>
  <si>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</si>
  <si>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</si>
  <si>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</si>
  <si>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</si>
  <si>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</si>
  <si>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</si>
  <si>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</si>
  <si>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</si>
  <si>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</si>
  <si>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</si>
  <si>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</si>
  <si>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</si>
  <si>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</si>
  <si>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</si>
  <si>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</si>
  <si>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</si>
  <si>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</si>
  <si>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</si>
  <si>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</si>
  <si>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</si>
  <si>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</si>
  <si>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</si>
  <si>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</si>
  <si>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</si>
  <si>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</si>
  <si>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</si>
  <si>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</si>
  <si>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</si>
  <si>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</si>
  <si>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</si>
  <si>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</si>
  <si>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</si>
  <si>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</si>
  <si>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</si>
  <si>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</si>
  <si>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</si>
  <si>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</si>
  <si>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</si>
  <si>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</si>
  <si>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</si>
  <si>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</si>
  <si>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</si>
  <si>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</si>
  <si>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</si>
  <si>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</si>
  <si>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</si>
  <si>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</si>
  <si>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</si>
  <si>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</si>
  <si>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</si>
  <si>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</si>
  <si>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</si>
  <si>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</si>
  <si>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</si>
  <si>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</si>
  <si>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</si>
  <si>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</si>
  <si>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</si>
  <si>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</si>
  <si>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</si>
  <si>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</si>
  <si>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</si>
  <si>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</si>
  <si>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</si>
  <si>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</si>
  <si>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</si>
  <si>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</si>
  <si>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</si>
  <si>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</si>
  <si>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</si>
  <si>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</si>
  <si>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</si>
  <si>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</si>
  <si>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</si>
  <si>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</si>
  <si>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</si>
  <si>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</si>
  <si>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</si>
  <si>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</si>
  <si>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</si>
  <si>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</si>
  <si>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</si>
  <si>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</si>
  <si>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</si>
  <si>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</si>
  <si>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</si>
  <si>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</si>
  <si>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</si>
  <si>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</si>
  <si>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</si>
  <si>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</si>
  <si>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</si>
  <si>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</si>
  <si>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</si>
  <si>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</si>
  <si>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</si>
  <si>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</si>
  <si>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</si>
  <si>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</si>
  <si>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</si>
  <si>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</si>
  <si>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</si>
  <si>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</si>
  <si>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</si>
  <si>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</si>
  <si>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</si>
  <si>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</si>
  <si>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</si>
  <si>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</si>
  <si>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</si>
  <si>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</si>
  <si>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</si>
  <si>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</si>
  <si>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</si>
  <si>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</si>
  <si>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</si>
  <si>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</si>
  <si>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</si>
  <si>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</si>
  <si>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</si>
  <si>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</si>
  <si>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</si>
  <si>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</si>
  <si>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</si>
  <si>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</si>
  <si>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</si>
  <si>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</si>
  <si>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</si>
  <si>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</si>
  <si>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</si>
  <si>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</si>
  <si>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</si>
  <si>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</si>
  <si>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</si>
  <si>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</si>
  <si>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</si>
  <si>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</si>
  <si>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</si>
  <si>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</si>
  <si>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</si>
  <si>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</si>
  <si>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</si>
  <si>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</si>
  <si>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</si>
  <si>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</si>
  <si>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</si>
  <si>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</si>
  <si>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</si>
  <si>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</si>
  <si>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</si>
  <si>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</si>
  <si>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</si>
  <si>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</si>
  <si>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</si>
  <si>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</si>
  <si>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</si>
  <si>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</si>
  <si>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</si>
  <si>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</si>
  <si>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</si>
  <si>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</si>
  <si>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</si>
  <si>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</si>
  <si>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</si>
  <si>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</si>
  <si>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</si>
  <si>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</si>
  <si>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</si>
  <si>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</si>
  <si>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</si>
  <si>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</si>
  <si>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</si>
  <si>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</si>
  <si>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</si>
  <si>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</si>
  <si>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</si>
  <si>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</si>
  <si>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</si>
  <si>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</si>
  <si>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</si>
  <si>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</si>
  <si>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</si>
  <si>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</si>
  <si>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</si>
  <si>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</si>
  <si>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</si>
  <si>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</si>
  <si>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</si>
  <si>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</si>
  <si>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</si>
  <si>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</si>
  <si>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</si>
  <si>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</si>
  <si>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</si>
  <si>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</si>
  <si>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</si>
  <si>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</si>
  <si>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</si>
  <si>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</si>
  <si>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</si>
  <si>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</si>
  <si>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</si>
  <si>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</si>
  <si>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</si>
  <si>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</si>
  <si>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</si>
  <si>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</si>
  <si>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</si>
  <si>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</si>
  <si>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</si>
  <si>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</si>
  <si>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</si>
  <si>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</si>
  <si>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</si>
  <si>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</si>
  <si>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</si>
  <si>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</si>
  <si>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</si>
  <si>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</si>
  <si>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</si>
  <si>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</si>
  <si>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</si>
  <si>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</si>
  <si>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</si>
  <si>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</si>
  <si>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</si>
  <si>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</si>
  <si>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</si>
  <si>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</si>
  <si>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</si>
  <si>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</si>
  <si>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</si>
  <si>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</si>
  <si>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</si>
  <si>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</si>
  <si>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</si>
  <si>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</si>
  <si>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</si>
  <si>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</si>
  <si>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</si>
  <si>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</si>
  <si>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</si>
  <si>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</si>
  <si>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</si>
  <si>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</si>
  <si>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</si>
  <si>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</si>
  <si>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</si>
  <si>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</si>
  <si>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</si>
  <si>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</si>
  <si>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</si>
  <si>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</si>
  <si>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</si>
  <si>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</si>
  <si>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</si>
  <si>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</si>
  <si>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</si>
  <si>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</si>
  <si>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</si>
  <si>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</si>
  <si>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</si>
  <si>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</si>
  <si>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</si>
  <si>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</si>
  <si>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</si>
  <si>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</si>
  <si>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</si>
  <si>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</si>
  <si>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</si>
  <si>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</si>
  <si>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</si>
  <si>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</si>
  <si>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</si>
  <si>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</si>
  <si>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</si>
  <si>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</si>
  <si>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</si>
  <si>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</si>
  <si>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</si>
  <si>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</si>
  <si>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</si>
  <si>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</si>
  <si>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</si>
  <si>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</si>
  <si>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</si>
  <si>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</si>
  <si>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</si>
  <si>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</si>
  <si>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</si>
  <si>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</si>
  <si>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</si>
  <si>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</si>
  <si>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</si>
  <si>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</si>
  <si>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</si>
  <si>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</si>
  <si>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</si>
  <si>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</si>
  <si>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</si>
  <si>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</si>
  <si>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</si>
  <si>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</si>
  <si>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</si>
  <si>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</si>
  <si>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</si>
  <si>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</si>
  <si>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</si>
  <si>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</si>
  <si>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</si>
  <si>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</si>
  <si>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</si>
  <si>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</si>
  <si>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</si>
  <si>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</si>
  <si>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</si>
  <si>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</si>
  <si>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</si>
  <si>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</si>
  <si>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</si>
  <si>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</si>
  <si>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</si>
  <si>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</si>
  <si>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</si>
  <si>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</si>
  <si>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</si>
  <si>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</si>
  <si>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</si>
  <si>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</si>
  <si>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</si>
  <si>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</si>
  <si>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</si>
  <si>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</si>
  <si>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</si>
  <si>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</si>
  <si>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</si>
  <si>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</si>
  <si>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</si>
  <si>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</si>
  <si>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</si>
  <si>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</si>
  <si>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</si>
  <si>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</si>
  <si>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</si>
  <si>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</si>
  <si>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</si>
  <si>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</si>
  <si>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</si>
  <si>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</si>
  <si>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</si>
  <si>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</si>
  <si>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</si>
  <si>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</si>
  <si>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</si>
  <si>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</si>
  <si>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</si>
  <si>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</si>
  <si>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</si>
  <si>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</si>
  <si>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</si>
  <si>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</si>
  <si>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</si>
  <si>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</si>
  <si>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</si>
  <si>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</si>
  <si>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</si>
  <si>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</si>
  <si>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</si>
  <si>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</si>
  <si>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</si>
  <si>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</si>
  <si>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</si>
  <si>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</si>
  <si>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</si>
  <si>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</si>
  <si>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</si>
  <si>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</si>
  <si>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</si>
  <si>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</si>
  <si>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</si>
  <si>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</si>
  <si>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</si>
  <si>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</si>
  <si>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</si>
  <si>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</si>
  <si>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</si>
  <si>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</si>
  <si>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</si>
  <si>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</si>
  <si>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</si>
  <si>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</si>
  <si>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</si>
  <si>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</si>
  <si>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</si>
  <si>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</si>
  <si>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</si>
  <si>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</si>
  <si>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</si>
  <si>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</si>
  <si>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</si>
  <si>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</si>
  <si>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</si>
  <si>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</si>
  <si>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</si>
  <si>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</si>
  <si>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</si>
  <si>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</si>
  <si>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</si>
  <si>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</si>
  <si>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</si>
  <si>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</si>
  <si>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</si>
  <si>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</si>
  <si>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</si>
  <si>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</si>
  <si>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</si>
  <si>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</si>
  <si>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</si>
  <si>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</si>
  <si>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</si>
  <si>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</si>
  <si>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</si>
  <si>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</si>
  <si>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</si>
  <si>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</si>
  <si>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</si>
  <si>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</si>
  <si>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</si>
  <si>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</si>
  <si>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</si>
  <si>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</si>
  <si>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</si>
  <si>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</si>
  <si>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</si>
  <si>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</si>
  <si>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</si>
  <si>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</si>
  <si>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</si>
  <si>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</si>
  <si>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</si>
  <si>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</si>
  <si>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</si>
  <si>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</si>
  <si>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</si>
  <si>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</si>
  <si>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</si>
  <si>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</si>
  <si>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</si>
  <si>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</si>
  <si>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</si>
  <si>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</si>
  <si>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</si>
  <si>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</si>
  <si>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</si>
  <si>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</si>
  <si>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</si>
  <si>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</si>
  <si>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</si>
  <si>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</si>
  <si>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</si>
  <si>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</si>
  <si>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</si>
  <si>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</si>
  <si>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</si>
  <si>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</si>
  <si>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</si>
  <si>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</si>
  <si>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</si>
  <si>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</si>
  <si>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</si>
  <si>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</si>
  <si>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</si>
  <si>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</si>
  <si>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</si>
  <si>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</si>
  <si>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</si>
  <si>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</si>
  <si>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</si>
  <si>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</si>
  <si>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</si>
  <si>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</si>
  <si>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</si>
  <si>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</si>
  <si>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</si>
  <si>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</si>
  <si>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</si>
  <si>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</si>
  <si>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</si>
  <si>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</si>
  <si>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</si>
  <si>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</si>
  <si>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</si>
  <si>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</si>
  <si>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</si>
  <si>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</si>
  <si>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</si>
  <si>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</si>
  <si>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</si>
  <si>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</si>
  <si>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</si>
  <si>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</si>
  <si>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</si>
  <si>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</si>
  <si>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</si>
  <si>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</si>
  <si>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</si>
  <si>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</si>
  <si>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</si>
  <si>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</si>
  <si>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</si>
  <si>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</si>
  <si>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</si>
  <si>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</si>
  <si>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</si>
  <si>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</si>
  <si>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</si>
  <si>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</si>
  <si>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</si>
  <si>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</si>
  <si>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</si>
  <si>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</si>
  <si>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</si>
  <si>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</si>
  <si>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</si>
  <si>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</si>
  <si>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</si>
  <si>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</si>
  <si>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</si>
  <si>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</si>
  <si>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</si>
  <si>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</si>
  <si>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</si>
  <si>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</si>
  <si>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</si>
  <si>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</si>
  <si>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</si>
  <si>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</si>
  <si>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</si>
  <si>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</si>
  <si>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</si>
  <si>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</si>
  <si>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</si>
  <si>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</si>
  <si>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</si>
  <si>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</si>
  <si>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</si>
  <si>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</si>
  <si>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</si>
  <si>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</si>
  <si>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</si>
  <si>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</si>
  <si>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</si>
  <si>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</si>
  <si>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</si>
  <si>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</si>
  <si>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</si>
  <si>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</si>
  <si>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</si>
  <si>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</si>
  <si>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</si>
  <si>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</si>
  <si>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</si>
  <si>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</si>
  <si>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</si>
  <si>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</si>
  <si>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</si>
  <si>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</si>
  <si>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</si>
  <si>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</si>
  <si>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</si>
  <si>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</si>
  <si>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</si>
  <si>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</si>
  <si>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</si>
  <si>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</si>
  <si>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</si>
  <si>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</si>
  <si>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</si>
  <si>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</si>
  <si>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</si>
  <si>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</si>
  <si>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</si>
  <si>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</si>
  <si>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</si>
  <si>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</si>
  <si>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</si>
  <si>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</si>
  <si>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</si>
  <si>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</si>
  <si>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</si>
  <si>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</si>
  <si>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</si>
  <si>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</si>
  <si>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</si>
  <si>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</si>
  <si>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</si>
  <si>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</si>
  <si>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</si>
  <si>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</si>
  <si>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</si>
  <si>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</si>
  <si>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</si>
  <si>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</si>
  <si>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</si>
  <si>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</si>
  <si>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</si>
  <si>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</si>
  <si>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</si>
  <si>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</si>
  <si>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</si>
  <si>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</si>
  <si>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</si>
  <si>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</si>
  <si>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</si>
  <si>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</si>
  <si>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</si>
  <si>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</si>
  <si>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</si>
  <si>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</si>
  <si>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</si>
  <si>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</si>
  <si>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</si>
  <si>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</si>
  <si>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</si>
  <si>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</si>
  <si>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</si>
  <si>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</si>
  <si>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</si>
  <si>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</si>
  <si>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</si>
  <si>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</si>
  <si>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</si>
  <si>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</si>
  <si>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</si>
  <si>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</si>
  <si>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</si>
  <si>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</si>
  <si>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</si>
  <si>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</si>
  <si>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</si>
  <si>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</si>
  <si>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</si>
  <si>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</si>
  <si>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</si>
  <si>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</si>
  <si>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</si>
  <si>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</si>
  <si>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</si>
  <si>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</si>
  <si>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</si>
  <si>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</si>
  <si>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</si>
  <si>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</si>
  <si>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</si>
  <si>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</si>
  <si>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</si>
  <si>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</si>
  <si>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</si>
  <si>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</si>
  <si>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</si>
  <si>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</si>
  <si>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</si>
  <si>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</si>
  <si>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</si>
  <si>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</si>
  <si>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</si>
  <si>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</si>
  <si>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</si>
  <si>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</si>
  <si>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</si>
  <si>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</si>
  <si>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</si>
  <si>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</si>
  <si>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</si>
  <si>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</si>
  <si>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</si>
  <si>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</si>
  <si>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</si>
  <si>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</si>
  <si>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</si>
  <si>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</si>
  <si>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</si>
  <si>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</si>
  <si>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</si>
  <si>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</si>
  <si>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</si>
  <si>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</si>
  <si>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</si>
  <si>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</si>
  <si>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</si>
  <si>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</si>
  <si>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</si>
  <si>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</si>
  <si>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</si>
  <si>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</si>
  <si>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</si>
  <si>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</si>
  <si>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</si>
  <si>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</si>
  <si>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</si>
  <si>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</si>
  <si>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</si>
  <si>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</si>
  <si>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</si>
  <si>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</si>
  <si>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</si>
  <si>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</si>
  <si>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</si>
  <si>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</si>
  <si>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</si>
  <si>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</si>
  <si>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</si>
  <si>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</si>
  <si>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</si>
  <si>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</si>
  <si>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</si>
  <si>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</si>
  <si>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</si>
  <si>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</si>
  <si>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</si>
  <si>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</si>
  <si>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</si>
  <si>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</si>
  <si>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</si>
  <si>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</si>
  <si>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</si>
  <si>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</si>
  <si>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</si>
  <si>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</si>
  <si>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</si>
  <si>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</si>
  <si>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</si>
  <si>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</si>
  <si>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</si>
  <si>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</si>
  <si>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</si>
  <si>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</si>
  <si>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</si>
  <si>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</si>
  <si>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</si>
  <si>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</si>
  <si>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</si>
  <si>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</si>
  <si>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</si>
  <si>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</si>
  <si>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</si>
  <si>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</si>
  <si>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</si>
  <si>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</si>
  <si>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</si>
  <si>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</si>
  <si>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</si>
  <si>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</si>
  <si>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</si>
  <si>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</si>
  <si>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</si>
  <si>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</si>
  <si>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</si>
  <si>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</si>
  <si>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</si>
  <si>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</si>
  <si>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</si>
  <si>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</si>
  <si>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</si>
  <si>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</si>
  <si>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</si>
  <si>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</si>
  <si>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</si>
  <si>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</si>
  <si>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</si>
  <si>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</si>
  <si>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</si>
  <si>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</si>
  <si>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</si>
  <si>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</si>
  <si>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</si>
  <si>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</si>
  <si>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</si>
  <si>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</si>
  <si>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</si>
  <si>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</si>
  <si>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</si>
  <si>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</si>
  <si>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</si>
  <si>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</si>
  <si>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</si>
  <si>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</si>
  <si>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</si>
  <si>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</si>
  <si>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</si>
  <si>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</si>
  <si>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</si>
  <si>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</si>
  <si>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</si>
  <si>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</si>
  <si>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</si>
  <si>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</si>
  <si>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</si>
  <si>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</si>
  <si>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</si>
  <si>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</si>
  <si>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</si>
  <si>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</si>
  <si>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</si>
  <si>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</si>
  <si>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</si>
  <si>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</si>
  <si>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</si>
  <si>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</si>
  <si>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</si>
  <si>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</si>
  <si>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</si>
  <si>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</si>
  <si>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</si>
  <si>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</si>
  <si>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</si>
  <si>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</si>
  <si>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</si>
  <si>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</si>
  <si>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</si>
  <si>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</si>
  <si>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</si>
  <si>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</si>
  <si>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</si>
  <si>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</si>
  <si>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</si>
  <si>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</si>
  <si>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</si>
  <si>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</si>
  <si>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</si>
  <si>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</si>
  <si>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</si>
  <si>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</si>
  <si>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</si>
  <si>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</si>
  <si>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</si>
  <si>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</si>
  <si>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</si>
  <si>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</si>
  <si>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</si>
  <si>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</si>
  <si>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</si>
  <si>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</si>
  <si>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</si>
  <si>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</si>
  <si>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</si>
  <si>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</si>
  <si>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</si>
  <si>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</si>
  <si>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</si>
  <si>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</si>
  <si>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</si>
  <si>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</si>
  <si>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</si>
  <si>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</si>
  <si>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</si>
  <si>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</si>
  <si>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</si>
  <si>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</si>
  <si>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</si>
  <si>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</si>
  <si>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</si>
  <si>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</si>
  <si>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</si>
  <si>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</si>
  <si>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</si>
  <si>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</si>
  <si>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</si>
  <si>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</si>
  <si>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</si>
  <si>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</si>
  <si>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</si>
  <si>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</si>
  <si>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</si>
  <si>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</si>
  <si>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</si>
  <si>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</si>
  <si>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</si>
  <si>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</si>
  <si>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</si>
  <si>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</si>
  <si>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</si>
  <si>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</si>
  <si>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</si>
  <si>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</si>
  <si>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</si>
  <si>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</si>
  <si>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</si>
  <si>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</si>
  <si>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</si>
  <si>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</si>
  <si>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</si>
  <si>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</si>
  <si>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</si>
  <si>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</si>
  <si>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</si>
  <si>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</si>
  <si>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</si>
  <si>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</si>
  <si>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</si>
  <si>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</si>
  <si>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</si>
  <si>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</si>
  <si>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</si>
  <si>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</si>
  <si>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</si>
  <si>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</si>
  <si>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</si>
  <si>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</si>
  <si>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</si>
  <si>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</si>
  <si>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</si>
  <si>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</si>
  <si>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</si>
  <si>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</si>
  <si>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</si>
  <si>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</si>
  <si>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</si>
  <si>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</si>
  <si>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</si>
  <si>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</si>
  <si>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</si>
  <si>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</si>
  <si>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</si>
  <si>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</si>
  <si>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</si>
  <si>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</si>
  <si>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</si>
  <si>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</si>
  <si>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</si>
  <si>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</si>
  <si>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</si>
  <si>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</si>
  <si>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</si>
  <si>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</si>
  <si>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</si>
  <si>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</si>
  <si>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</si>
  <si>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</si>
  <si>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</si>
  <si>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</si>
  <si>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</si>
  <si>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</si>
  <si>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</si>
  <si>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</si>
  <si>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</si>
  <si>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</si>
  <si>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</si>
  <si>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</si>
  <si>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</si>
  <si>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</si>
  <si>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</si>
  <si>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</si>
  <si>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</si>
  <si>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</si>
  <si>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</si>
  <si>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</si>
  <si>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</si>
  <si>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</si>
  <si>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</si>
  <si>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</si>
  <si>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</si>
  <si>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</si>
  <si>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</si>
  <si>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</si>
  <si>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</si>
  <si>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</si>
  <si>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</si>
  <si>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</si>
  <si>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</si>
  <si>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</si>
  <si>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</si>
  <si>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</si>
  <si>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</si>
  <si>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</si>
  <si>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</si>
  <si>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</si>
  <si>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</si>
  <si>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</si>
  <si>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</si>
  <si>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</si>
  <si>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</si>
  <si>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</si>
  <si>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</si>
  <si>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</si>
  <si>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</si>
  <si>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</si>
  <si>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</si>
  <si>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</si>
  <si>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</si>
  <si>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</si>
  <si>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</si>
  <si>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</si>
  <si>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</si>
  <si>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</si>
  <si>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</si>
  <si>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</si>
  <si>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</si>
  <si>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</si>
  <si>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Dates</t>
  </si>
  <si>
    <t>SFR1 Comdty</t>
  </si>
  <si>
    <t>#N/A N/A</t>
  </si>
  <si>
    <t>SFR2 Comdty</t>
  </si>
  <si>
    <t>SFR3 Comdty</t>
  </si>
  <si>
    <t>SFR4 Comdty</t>
  </si>
  <si>
    <t>SFR5 Comdty</t>
  </si>
  <si>
    <t>SFR6 Comdty</t>
  </si>
  <si>
    <t>SFR7 Comdty</t>
  </si>
  <si>
    <t>SFR8 Comdty</t>
  </si>
  <si>
    <t>SFR9 Comdty</t>
  </si>
  <si>
    <t>SFR10 Comdty</t>
  </si>
  <si>
    <t>SFR11 Comdty</t>
  </si>
  <si>
    <t>SFR12 Comdty</t>
  </si>
  <si>
    <t>SFR13 Comdty</t>
  </si>
  <si>
    <t>SFR14 Comdty</t>
  </si>
  <si>
    <t>SFR15 Comdty</t>
  </si>
  <si>
    <t>SFR16 Comdty</t>
  </si>
  <si>
    <t>SFR17 Comdty</t>
  </si>
  <si>
    <t>SFR18 Comdty</t>
  </si>
  <si>
    <t>SFR19 Comdty</t>
  </si>
  <si>
    <t>SFR20 Comdty</t>
  </si>
  <si>
    <t>SFR21 Comdty</t>
  </si>
  <si>
    <t>SFR22 Comdty</t>
  </si>
  <si>
    <t>SFR23 Comdty</t>
  </si>
  <si>
    <t>SFR24 Comdty</t>
  </si>
  <si>
    <t>SFR25 Comdty</t>
  </si>
  <si>
    <t>SFR26 Comdty</t>
  </si>
  <si>
    <t>SFR27 Comdty</t>
  </si>
  <si>
    <t>SFR28 Comdty</t>
  </si>
  <si>
    <t>SFR29 Comdty</t>
  </si>
  <si>
    <t>SFR31 Comdty</t>
  </si>
  <si>
    <t>SFR32 Comdty</t>
  </si>
  <si>
    <t>SFR33 Comdty</t>
  </si>
  <si>
    <t>SFR34 Comdty</t>
  </si>
  <si>
    <t>SFR35 Comdty</t>
  </si>
  <si>
    <t>SFR36 Comdty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</si>
  <si>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</si>
  <si>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</si>
  <si>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</si>
  <si>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</si>
  <si>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</si>
  <si>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</si>
  <si>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</si>
  <si>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</si>
  <si>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</si>
  <si>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</si>
  <si>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</si>
  <si>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</si>
  <si>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</si>
  <si>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</si>
  <si>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</si>
  <si>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</si>
  <si>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</si>
  <si>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</si>
  <si>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</si>
  <si>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latesst date in settlement data</t>
  </si>
  <si>
    <t>today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</si>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</sst>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2" borderId="0" xfId="0" applyFill="1"/>
    <xf numFmtId="14" fontId="2" fillId="2" borderId="0" xfId="0" applyNumberFormat="1" applyFont="1" applyFill="1"/>
    <xf numFmtId="16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F72C7AF4DBECE44/Documents/Moniter_TT.xlsx" TargetMode="External"/><Relationship Id="rId1" Type="http://schemas.openxmlformats.org/officeDocument/2006/relationships/externalLinkPath" Target="/1F72C7AF4DBECE44/Documents/Moniter_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sure"/>
      <sheetName val="assignment"/>
      <sheetName val="SZI0"/>
      <sheetName val="VIX"/>
      <sheetName val="monitor"/>
      <sheetName val="rank SR"/>
      <sheetName val="rank CR"/>
      <sheetName val="rank SO"/>
      <sheetName val="rank ER"/>
      <sheetName val="rank SA"/>
      <sheetName val="RTD"/>
      <sheetName val="settlement_PX"/>
      <sheetName val="COD data"/>
      <sheetName val="inter_b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9">
          <cell r="A39" t="str">
            <v>SR3M5</v>
          </cell>
          <cell r="Q39">
            <v>95.673749999999998</v>
          </cell>
        </row>
        <row r="40">
          <cell r="A40" t="str">
            <v>SR3U5</v>
          </cell>
          <cell r="Q40">
            <v>95.892499999999998</v>
          </cell>
        </row>
        <row r="41">
          <cell r="A41" t="str">
            <v>SR3Z5</v>
          </cell>
          <cell r="Q41">
            <v>96.157499999999999</v>
          </cell>
        </row>
        <row r="42">
          <cell r="A42" t="str">
            <v>SR3H6</v>
          </cell>
          <cell r="S42">
            <v>96.382499999999993</v>
          </cell>
        </row>
        <row r="43">
          <cell r="A43" t="str">
            <v>SR3M6</v>
          </cell>
          <cell r="S43">
            <v>96.592500000000001</v>
          </cell>
        </row>
        <row r="44">
          <cell r="A44" t="str">
            <v>SR3U6</v>
          </cell>
          <cell r="S44">
            <v>96.722499999999997</v>
          </cell>
        </row>
        <row r="45">
          <cell r="A45" t="str">
            <v>SR3Z6</v>
          </cell>
          <cell r="S45">
            <v>96.772500000000008</v>
          </cell>
        </row>
        <row r="46">
          <cell r="A46" t="str">
            <v>SR3H7</v>
          </cell>
          <cell r="S46">
            <v>96.767499999999998</v>
          </cell>
        </row>
        <row r="47">
          <cell r="A47" t="str">
            <v>SR3M7</v>
          </cell>
          <cell r="S47">
            <v>96.727499999999992</v>
          </cell>
        </row>
        <row r="48">
          <cell r="A48" t="str">
            <v>SR3U7</v>
          </cell>
          <cell r="S48">
            <v>96.672499999999999</v>
          </cell>
        </row>
        <row r="49">
          <cell r="A49" t="str">
            <v>SR3Z7</v>
          </cell>
          <cell r="S49">
            <v>96.612499999999997</v>
          </cell>
        </row>
        <row r="50">
          <cell r="A50" t="str">
            <v>SR3H8</v>
          </cell>
          <cell r="S50">
            <v>96.5625</v>
          </cell>
        </row>
        <row r="51">
          <cell r="A51" t="str">
            <v>SR3M8</v>
          </cell>
          <cell r="S51">
            <v>96.512500000000003</v>
          </cell>
        </row>
        <row r="52">
          <cell r="A52" t="str">
            <v>SR3U8</v>
          </cell>
          <cell r="S52">
            <v>96.472499999999997</v>
          </cell>
        </row>
        <row r="53">
          <cell r="A53" t="str">
            <v>SR3Z8</v>
          </cell>
          <cell r="S53">
            <v>96.425000000000011</v>
          </cell>
        </row>
        <row r="54">
          <cell r="A54" t="str">
            <v>SR3H9</v>
          </cell>
          <cell r="S54">
            <v>96.382499999999993</v>
          </cell>
        </row>
        <row r="55">
          <cell r="A55" t="str">
            <v>SR3M9</v>
          </cell>
          <cell r="S55">
            <v>96.332499999999996</v>
          </cell>
        </row>
        <row r="56">
          <cell r="A56" t="str">
            <v>SR3U9</v>
          </cell>
          <cell r="S56">
            <v>96.282499999999999</v>
          </cell>
        </row>
        <row r="57">
          <cell r="A57" t="str">
            <v>SR3Z9</v>
          </cell>
          <cell r="S57">
            <v>96.227499999999992</v>
          </cell>
        </row>
        <row r="58">
          <cell r="A58" t="str">
            <v>SR3H0</v>
          </cell>
          <cell r="S58">
            <v>96.177500000000009</v>
          </cell>
        </row>
        <row r="59">
          <cell r="A59" t="str">
            <v>SR3M0</v>
          </cell>
          <cell r="S59">
            <v>96.122500000000002</v>
          </cell>
        </row>
        <row r="60">
          <cell r="A60" t="str">
            <v>SR3U0</v>
          </cell>
          <cell r="S60">
            <v>96.07</v>
          </cell>
        </row>
        <row r="61">
          <cell r="A61" t="str">
            <v>SR3Z0</v>
          </cell>
          <cell r="S61">
            <v>96.004999999999995</v>
          </cell>
        </row>
        <row r="62">
          <cell r="A62" t="str">
            <v>SR3Z1</v>
          </cell>
          <cell r="S62">
            <v>95.984999999999999</v>
          </cell>
        </row>
        <row r="63">
          <cell r="A63" t="str">
            <v>SR3H2</v>
          </cell>
          <cell r="S63">
            <v>95.782499999999999</v>
          </cell>
        </row>
        <row r="68">
          <cell r="A68" t="str">
            <v>I</v>
          </cell>
          <cell r="Q68" t="str">
            <v>Mid</v>
          </cell>
        </row>
        <row r="69">
          <cell r="A69" t="str">
            <v>I   FMM0025!</v>
          </cell>
          <cell r="Q69" t="e">
            <v>#VALUE!</v>
          </cell>
        </row>
        <row r="70">
          <cell r="A70" t="str">
            <v>I   FMU0025!</v>
          </cell>
          <cell r="Q70">
            <v>98.077500000000001</v>
          </cell>
        </row>
        <row r="71">
          <cell r="A71" t="str">
            <v>I   FMZ0025!</v>
          </cell>
          <cell r="S71">
            <v>98.167500000000004</v>
          </cell>
        </row>
        <row r="72">
          <cell r="A72" t="str">
            <v>I   FMH0026!</v>
          </cell>
          <cell r="S72">
            <v>98.197499999999991</v>
          </cell>
        </row>
        <row r="73">
          <cell r="A73" t="str">
            <v>I   FMM0026!</v>
          </cell>
          <cell r="S73">
            <v>98.192499999999995</v>
          </cell>
        </row>
        <row r="74">
          <cell r="A74" t="str">
            <v>I   FMU0026!</v>
          </cell>
          <cell r="S74">
            <v>98.162499999999994</v>
          </cell>
        </row>
        <row r="75">
          <cell r="A75" t="str">
            <v>I   FMZ0026!</v>
          </cell>
          <cell r="S75">
            <v>98.107500000000002</v>
          </cell>
        </row>
        <row r="76">
          <cell r="A76" t="str">
            <v>I   FMH0027!</v>
          </cell>
          <cell r="S76">
            <v>98.042500000000004</v>
          </cell>
        </row>
        <row r="77">
          <cell r="A77" t="str">
            <v>I   FMM0027!</v>
          </cell>
          <cell r="S77">
            <v>97.977499999999992</v>
          </cell>
        </row>
        <row r="78">
          <cell r="A78" t="str">
            <v>I   FMU0027!</v>
          </cell>
          <cell r="S78">
            <v>97.907499999999999</v>
          </cell>
        </row>
        <row r="79">
          <cell r="A79" t="str">
            <v>I   FMZ0027!</v>
          </cell>
          <cell r="S79">
            <v>97.837500000000006</v>
          </cell>
        </row>
        <row r="80">
          <cell r="A80" t="str">
            <v>I   FMH0028!</v>
          </cell>
          <cell r="S80">
            <v>97.772500000000008</v>
          </cell>
        </row>
        <row r="81">
          <cell r="A81" t="str">
            <v>I   FMM0028!</v>
          </cell>
          <cell r="S81">
            <v>97.717500000000001</v>
          </cell>
        </row>
        <row r="82">
          <cell r="A82" t="str">
            <v>I   FMU0028!</v>
          </cell>
          <cell r="S82">
            <v>97.664999999999992</v>
          </cell>
        </row>
        <row r="83">
          <cell r="A83" t="str">
            <v>I   FMZ0028!</v>
          </cell>
          <cell r="S83">
            <v>97.617500000000007</v>
          </cell>
        </row>
        <row r="84">
          <cell r="A84" t="str">
            <v>I   FMH0029!</v>
          </cell>
          <cell r="S84">
            <v>97.567499999999995</v>
          </cell>
        </row>
        <row r="85">
          <cell r="A85" t="str">
            <v>I   FMM0029!</v>
          </cell>
          <cell r="S85">
            <v>97.525000000000006</v>
          </cell>
        </row>
        <row r="86">
          <cell r="A86" t="str">
            <v>I   FMU0029!</v>
          </cell>
          <cell r="S86">
            <v>97.482500000000002</v>
          </cell>
        </row>
        <row r="87">
          <cell r="A87" t="str">
            <v>I   FMZ0029!</v>
          </cell>
          <cell r="S87">
            <v>97.442499999999995</v>
          </cell>
        </row>
        <row r="88">
          <cell r="A88" t="str">
            <v>I   FMH0030!</v>
          </cell>
          <cell r="S88">
            <v>97.402500000000003</v>
          </cell>
        </row>
        <row r="89">
          <cell r="A89" t="str">
            <v>I   FMM0030!</v>
          </cell>
          <cell r="S89">
            <v>97.357500000000002</v>
          </cell>
        </row>
        <row r="90">
          <cell r="A90" t="str">
            <v>I   FMU0030!</v>
          </cell>
          <cell r="S90">
            <v>97.317499999999995</v>
          </cell>
        </row>
        <row r="91">
          <cell r="A91" t="str">
            <v>I   FMZ0030!</v>
          </cell>
          <cell r="S91">
            <v>97.28</v>
          </cell>
        </row>
        <row r="92">
          <cell r="A92" t="str">
            <v>I   FMZ0031!</v>
          </cell>
          <cell r="S92" t="str">
            <v>"services.rtd.invalidInstrumentFormat"</v>
          </cell>
        </row>
        <row r="99">
          <cell r="A99" t="str">
            <v>SA3 FMM0025!</v>
          </cell>
          <cell r="Q99">
            <v>100.05125</v>
          </cell>
        </row>
        <row r="100">
          <cell r="A100" t="str">
            <v>SA3 FMU0025!</v>
          </cell>
          <cell r="Q100">
            <v>100.1225</v>
          </cell>
        </row>
        <row r="101">
          <cell r="A101" t="str">
            <v>SA3 FMZ0025!</v>
          </cell>
          <cell r="Q101">
            <v>100.16249999999999</v>
          </cell>
        </row>
        <row r="102">
          <cell r="A102" t="str">
            <v>SA3 FMH0026!</v>
          </cell>
          <cell r="S102">
            <v>100.17750000000001</v>
          </cell>
        </row>
        <row r="103">
          <cell r="A103" t="str">
            <v>SA3 FMM0026!</v>
          </cell>
          <cell r="S103">
            <v>100.16249999999999</v>
          </cell>
        </row>
        <row r="104">
          <cell r="A104" t="str">
            <v>SA3 FMU0026!</v>
          </cell>
          <cell r="S104">
            <v>100.125</v>
          </cell>
        </row>
        <row r="105">
          <cell r="A105" t="str">
            <v>SA3 FMZ0026!</v>
          </cell>
          <cell r="S105">
            <v>100.07499999999999</v>
          </cell>
        </row>
        <row r="106">
          <cell r="A106" t="str">
            <v>SA3 FMH0027!</v>
          </cell>
          <cell r="S106">
            <v>100.02000000000001</v>
          </cell>
        </row>
        <row r="107">
          <cell r="A107" t="str">
            <v>SA3 FMM0027!</v>
          </cell>
          <cell r="S107">
            <v>99.960000000000008</v>
          </cell>
        </row>
        <row r="108">
          <cell r="A108" t="str">
            <v>SA3 FMU0027!</v>
          </cell>
          <cell r="S108">
            <v>99.892500000000013</v>
          </cell>
        </row>
        <row r="109">
          <cell r="A109" t="str">
            <v>SA3 FMZ0027!</v>
          </cell>
          <cell r="S109">
            <v>99.822499999999991</v>
          </cell>
        </row>
        <row r="110">
          <cell r="A110" t="str">
            <v>SA3 FMH0028!</v>
          </cell>
          <cell r="S110">
            <v>99.752499999999998</v>
          </cell>
        </row>
        <row r="111">
          <cell r="A111" t="str">
            <v>SA3 FMM0028!</v>
          </cell>
          <cell r="S111">
            <v>99.68</v>
          </cell>
        </row>
        <row r="112">
          <cell r="A112" t="str">
            <v>SA3 FMU0028!</v>
          </cell>
          <cell r="S112">
            <v>99.6</v>
          </cell>
        </row>
        <row r="113">
          <cell r="A113" t="str">
            <v>SA3 FMZ0028!</v>
          </cell>
          <cell r="S113">
            <v>99.525000000000006</v>
          </cell>
        </row>
        <row r="114">
          <cell r="A114" t="str">
            <v>SA3 FMH0029!</v>
          </cell>
          <cell r="S114">
            <v>99.444999999999993</v>
          </cell>
        </row>
        <row r="115">
          <cell r="A115" t="str">
            <v>SA3 FMM0029!</v>
          </cell>
          <cell r="S115" t="str">
            <v>"services.rtd.invalidInstrumentFormat"</v>
          </cell>
        </row>
        <row r="116">
          <cell r="A116" t="str">
            <v>SA3 FMU0029!</v>
          </cell>
          <cell r="S116" t="str">
            <v>"services.rtd.invalidInstrumentFormat"</v>
          </cell>
        </row>
        <row r="117">
          <cell r="A117" t="str">
            <v>SA3 FMZ0029!</v>
          </cell>
          <cell r="S117" t="str">
            <v>"services.rtd.invalidInstrumentFormat"</v>
          </cell>
        </row>
        <row r="118">
          <cell r="A118" t="str">
            <v>SA3 FMH0030!</v>
          </cell>
          <cell r="S118" t="str">
            <v>"services.rtd.invalidInstrumentFormat"</v>
          </cell>
        </row>
        <row r="119">
          <cell r="A119" t="str">
            <v>SA3 FMM0030!</v>
          </cell>
          <cell r="S119" t="str">
            <v>"services.rtd.invalidInstrumentFormat"</v>
          </cell>
        </row>
        <row r="120">
          <cell r="A120" t="str">
            <v>SA3 FMU0030!</v>
          </cell>
          <cell r="S120" t="str">
            <v>"services.rtd.invalidInstrumentFormat"</v>
          </cell>
        </row>
        <row r="121">
          <cell r="A121" t="str">
            <v>SA3 FMZ0030!</v>
          </cell>
          <cell r="S121" t="str">
            <v>"services.rtd.invalidInstrumentFormat"</v>
          </cell>
        </row>
        <row r="122">
          <cell r="A122" t="str">
            <v>SA3 FMZ0031!</v>
          </cell>
          <cell r="S122" t="str">
            <v>"services.rtd.invalidInstrumentFormat"</v>
          </cell>
        </row>
        <row r="128">
          <cell r="A128" t="str">
            <v>SO3</v>
          </cell>
          <cell r="Q128" t="str">
            <v>Mid</v>
          </cell>
        </row>
        <row r="129">
          <cell r="A129" t="str">
            <v>SO3 FMM0025!</v>
          </cell>
          <cell r="Q129">
            <v>95.852499999999992</v>
          </cell>
        </row>
        <row r="130">
          <cell r="A130" t="str">
            <v>SO3 FMU0025!</v>
          </cell>
          <cell r="Q130">
            <v>96.097499999999997</v>
          </cell>
        </row>
        <row r="131">
          <cell r="A131" t="str">
            <v>SO3 FMZ0025!</v>
          </cell>
          <cell r="S131">
            <v>96.307500000000005</v>
          </cell>
        </row>
        <row r="132">
          <cell r="A132" t="str">
            <v>SO3 FMH0026!</v>
          </cell>
          <cell r="S132">
            <v>96.422499999999999</v>
          </cell>
        </row>
        <row r="133">
          <cell r="A133" t="str">
            <v>SO3 FMM0026!</v>
          </cell>
          <cell r="S133">
            <v>96.47999999999999</v>
          </cell>
        </row>
        <row r="134">
          <cell r="A134" t="str">
            <v>SO3 FMU0026!</v>
          </cell>
          <cell r="S134">
            <v>96.502499999999998</v>
          </cell>
        </row>
        <row r="135">
          <cell r="A135" t="str">
            <v>SO3 FMZ0026!</v>
          </cell>
          <cell r="S135">
            <v>96.497500000000002</v>
          </cell>
        </row>
        <row r="136">
          <cell r="A136" t="str">
            <v>SO3 FMH0027!</v>
          </cell>
          <cell r="S136">
            <v>96.472499999999997</v>
          </cell>
        </row>
        <row r="137">
          <cell r="A137" t="str">
            <v>SO3 FMM0027!</v>
          </cell>
          <cell r="S137">
            <v>96.44</v>
          </cell>
        </row>
        <row r="138">
          <cell r="A138" t="str">
            <v>SO3 FMU0027!</v>
          </cell>
          <cell r="S138">
            <v>96.407499999999999</v>
          </cell>
        </row>
        <row r="139">
          <cell r="A139" t="str">
            <v>SO3 FMZ0027!</v>
          </cell>
          <cell r="S139">
            <v>96.375</v>
          </cell>
        </row>
        <row r="140">
          <cell r="A140" t="str">
            <v>SO3 FMH0028!</v>
          </cell>
          <cell r="S140">
            <v>96.337500000000006</v>
          </cell>
        </row>
        <row r="141">
          <cell r="A141" t="str">
            <v>SO3 FMM0028!</v>
          </cell>
          <cell r="S141">
            <v>96.300000000000011</v>
          </cell>
        </row>
        <row r="142">
          <cell r="A142" t="str">
            <v>SO3 FMU0028!</v>
          </cell>
          <cell r="S142">
            <v>96.262500000000003</v>
          </cell>
        </row>
        <row r="143">
          <cell r="A143" t="str">
            <v>SO3 FMZ0028!</v>
          </cell>
          <cell r="S143">
            <v>96.222499999999997</v>
          </cell>
        </row>
        <row r="144">
          <cell r="A144" t="str">
            <v>SO3 FMH0029!</v>
          </cell>
          <cell r="S144">
            <v>96.182500000000005</v>
          </cell>
        </row>
        <row r="145">
          <cell r="A145" t="str">
            <v>SO3 FMM0029!</v>
          </cell>
          <cell r="S145">
            <v>96.142499999999998</v>
          </cell>
        </row>
        <row r="146">
          <cell r="A146" t="str">
            <v>SO3 FMU0029!</v>
          </cell>
          <cell r="S146">
            <v>96.1</v>
          </cell>
        </row>
        <row r="147">
          <cell r="A147" t="str">
            <v>SO3 FMZ0029!</v>
          </cell>
          <cell r="S147">
            <v>96.055000000000007</v>
          </cell>
        </row>
        <row r="148">
          <cell r="A148" t="str">
            <v>SO3 FMH0030!</v>
          </cell>
          <cell r="S148">
            <v>96.012500000000003</v>
          </cell>
        </row>
        <row r="149">
          <cell r="A149" t="str">
            <v>SO3 FMM0030!</v>
          </cell>
          <cell r="S149">
            <v>95.972499999999997</v>
          </cell>
        </row>
        <row r="150">
          <cell r="A150" t="str">
            <v>SO3 FMU0030!</v>
          </cell>
          <cell r="S150">
            <v>95.93</v>
          </cell>
        </row>
        <row r="151">
          <cell r="A151" t="str">
            <v>SO3 FMZ0030!</v>
          </cell>
          <cell r="S151">
            <v>95.897500000000008</v>
          </cell>
        </row>
        <row r="152">
          <cell r="A152" t="str">
            <v>SO3 FMZ0031!</v>
          </cell>
          <cell r="S152" t="str">
            <v>"services.rtd.invalidInstrumentFormat"</v>
          </cell>
        </row>
        <row r="159">
          <cell r="A159" t="str">
            <v>ZQM5</v>
          </cell>
          <cell r="S159">
            <v>95.671250000000001</v>
          </cell>
        </row>
        <row r="160">
          <cell r="A160" t="str">
            <v>ZQN5</v>
          </cell>
          <cell r="S160">
            <v>95.672499999999999</v>
          </cell>
        </row>
        <row r="161">
          <cell r="A161" t="str">
            <v>ZQQ5</v>
          </cell>
          <cell r="S161">
            <v>95.712500000000006</v>
          </cell>
        </row>
        <row r="162">
          <cell r="A162" t="str">
            <v>ZQU5</v>
          </cell>
          <cell r="S162">
            <v>95.782499999999999</v>
          </cell>
        </row>
        <row r="163">
          <cell r="A163" t="str">
            <v>ZQV5</v>
          </cell>
          <cell r="S163">
            <v>95.882499999999993</v>
          </cell>
        </row>
        <row r="164">
          <cell r="A164" t="str">
            <v>ZQX5</v>
          </cell>
          <cell r="S164">
            <v>96.012500000000003</v>
          </cell>
        </row>
        <row r="165">
          <cell r="A165" t="str">
            <v>ZQZ5</v>
          </cell>
          <cell r="S165">
            <v>96.132499999999993</v>
          </cell>
        </row>
        <row r="166">
          <cell r="A166" t="str">
            <v>ZQF6</v>
          </cell>
          <cell r="S166">
            <v>96.192499999999995</v>
          </cell>
        </row>
        <row r="167">
          <cell r="A167" t="str">
            <v>ZQG6</v>
          </cell>
          <cell r="S167">
            <v>96.277500000000003</v>
          </cell>
        </row>
        <row r="168">
          <cell r="A168" t="str">
            <v>ZQH6</v>
          </cell>
          <cell r="S168">
            <v>96.327500000000001</v>
          </cell>
        </row>
        <row r="169">
          <cell r="A169" t="str">
            <v>ZQJ6</v>
          </cell>
          <cell r="S169">
            <v>96.402500000000003</v>
          </cell>
        </row>
        <row r="170">
          <cell r="A170" t="str">
            <v>ZQK6</v>
          </cell>
          <cell r="S170">
            <v>96.472499999999997</v>
          </cell>
        </row>
        <row r="171">
          <cell r="A171" t="str">
            <v>ZQM6</v>
          </cell>
          <cell r="S171">
            <v>96.525000000000006</v>
          </cell>
        </row>
        <row r="172">
          <cell r="A172" t="str">
            <v>ZQN6</v>
          </cell>
          <cell r="S172">
            <v>96.602499999999992</v>
          </cell>
        </row>
        <row r="173">
          <cell r="A173" t="str">
            <v>ZQQ6</v>
          </cell>
          <cell r="S173">
            <v>96.68</v>
          </cell>
        </row>
        <row r="174">
          <cell r="A174" t="str">
            <v>ZQU6</v>
          </cell>
          <cell r="S174">
            <v>96.72</v>
          </cell>
        </row>
        <row r="175">
          <cell r="A175" t="str">
            <v>ZQV6</v>
          </cell>
          <cell r="S175">
            <v>96.767500000000013</v>
          </cell>
        </row>
        <row r="176">
          <cell r="A176" t="str">
            <v>ZQX6</v>
          </cell>
          <cell r="S176">
            <v>96.8</v>
          </cell>
        </row>
        <row r="177">
          <cell r="A177" t="str">
            <v>ZQZ6</v>
          </cell>
          <cell r="S177">
            <v>96.852499999999992</v>
          </cell>
        </row>
        <row r="178">
          <cell r="A178" t="str">
            <v>ZQF7</v>
          </cell>
          <cell r="S178">
            <v>96.837500000000006</v>
          </cell>
        </row>
        <row r="179">
          <cell r="A179" t="str">
            <v>ZQG7</v>
          </cell>
          <cell r="S179" t="str">
            <v>96.785</v>
          </cell>
        </row>
        <row r="180">
          <cell r="A180" t="str">
            <v>ZQH7</v>
          </cell>
          <cell r="S180">
            <v>96.694999999999993</v>
          </cell>
        </row>
      </sheetData>
      <sheetData sheetId="11"/>
      <sheetData sheetId="12"/>
      <sheetData sheetId="1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1AB52B-AFF1-45EC-91CB-484678F01E2D}" autoFormatId="16" applyNumberFormats="0" applyBorderFormats="0" applyFontFormats="0" applyPatternFormats="0" applyAlignmentFormats="0" applyWidthHeightFormats="0">
  <queryTableRefresh nextId="7022">
    <queryTableFields count="702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  <queryTableField id="3824" name="Column3824" tableColumnId="3824"/>
      <queryTableField id="3825" name="Column3825" tableColumnId="3825"/>
      <queryTableField id="3826" name="Column3826" tableColumnId="3826"/>
      <queryTableField id="3827" name="Column3827" tableColumnId="3827"/>
      <queryTableField id="3828" name="Column3828" tableColumnId="3828"/>
      <queryTableField id="3829" name="Column3829" tableColumnId="3829"/>
      <queryTableField id="3830" name="Column3830" tableColumnId="3830"/>
      <queryTableField id="3831" name="Column3831" tableColumnId="3831"/>
      <queryTableField id="3832" name="Column3832" tableColumnId="3832"/>
      <queryTableField id="3833" name="Column3833" tableColumnId="3833"/>
      <queryTableField id="3834" name="Column3834" tableColumnId="3834"/>
      <queryTableField id="3835" name="Column3835" tableColumnId="3835"/>
      <queryTableField id="3836" name="Column3836" tableColumnId="3836"/>
      <queryTableField id="3837" name="Column3837" tableColumnId="3837"/>
      <queryTableField id="3838" name="Column3838" tableColumnId="3838"/>
      <queryTableField id="3839" name="Column3839" tableColumnId="3839"/>
      <queryTableField id="3840" name="Column3840" tableColumnId="3840"/>
      <queryTableField id="3841" name="Column3841" tableColumnId="3841"/>
      <queryTableField id="3842" name="Column3842" tableColumnId="3842"/>
      <queryTableField id="3843" name="Column3843" tableColumnId="3843"/>
      <queryTableField id="3844" name="Column3844" tableColumnId="3844"/>
      <queryTableField id="3845" name="Column3845" tableColumnId="3845"/>
      <queryTableField id="3846" name="Column3846" tableColumnId="3846"/>
      <queryTableField id="3847" name="Column3847" tableColumnId="3847"/>
      <queryTableField id="3848" name="Column3848" tableColumnId="3848"/>
      <queryTableField id="3849" name="Column3849" tableColumnId="3849"/>
      <queryTableField id="3850" name="Column3850" tableColumnId="3850"/>
      <queryTableField id="3851" name="Column3851" tableColumnId="3851"/>
      <queryTableField id="3852" name="Column3852" tableColumnId="3852"/>
      <queryTableField id="3853" name="Column3853" tableColumnId="3853"/>
      <queryTableField id="3854" name="Column3854" tableColumnId="3854"/>
      <queryTableField id="3855" name="Column3855" tableColumnId="3855"/>
      <queryTableField id="3856" name="Column3856" tableColumnId="3856"/>
      <queryTableField id="3857" name="Column3857" tableColumnId="3857"/>
      <queryTableField id="3858" name="Column3858" tableColumnId="3858"/>
      <queryTableField id="3859" name="Column3859" tableColumnId="3859"/>
      <queryTableField id="3860" name="Column3860" tableColumnId="3860"/>
      <queryTableField id="3861" name="Column3861" tableColumnId="3861"/>
      <queryTableField id="3862" name="Column3862" tableColumnId="3862"/>
      <queryTableField id="3863" name="Column3863" tableColumnId="3863"/>
      <queryTableField id="3864" name="Column3864" tableColumnId="3864"/>
      <queryTableField id="3865" name="Column3865" tableColumnId="3865"/>
      <queryTableField id="3866" name="Column3866" tableColumnId="3866"/>
      <queryTableField id="3867" name="Column3867" tableColumnId="3867"/>
      <queryTableField id="3868" name="Column3868" tableColumnId="3868"/>
      <queryTableField id="3869" name="Column3869" tableColumnId="3869"/>
      <queryTableField id="3870" name="Column3870" tableColumnId="3870"/>
      <queryTableField id="3871" name="Column3871" tableColumnId="3871"/>
      <queryTableField id="3872" name="Column3872" tableColumnId="3872"/>
      <queryTableField id="3873" name="Column3873" tableColumnId="3873"/>
      <queryTableField id="3874" name="Column3874" tableColumnId="3874"/>
      <queryTableField id="3875" name="Column3875" tableColumnId="3875"/>
      <queryTableField id="3876" name="Column3876" tableColumnId="3876"/>
      <queryTableField id="3877" name="Column3877" tableColumnId="3877"/>
      <queryTableField id="3878" name="Column3878" tableColumnId="3878"/>
      <queryTableField id="3879" name="Column3879" tableColumnId="3879"/>
      <queryTableField id="3880" name="Column3880" tableColumnId="3880"/>
      <queryTableField id="3881" name="Column3881" tableColumnId="3881"/>
      <queryTableField id="3882" name="Column3882" tableColumnId="3882"/>
      <queryTableField id="3883" name="Column3883" tableColumnId="3883"/>
      <queryTableField id="3884" name="Column3884" tableColumnId="3884"/>
      <queryTableField id="3885" name="Column3885" tableColumnId="3885"/>
      <queryTableField id="3886" name="Column3886" tableColumnId="3886"/>
      <queryTableField id="3887" name="Column3887" tableColumnId="3887"/>
      <queryTableField id="3888" name="Column3888" tableColumnId="3888"/>
      <queryTableField id="3889" name="Column3889" tableColumnId="3889"/>
      <queryTableField id="3890" name="Column3890" tableColumnId="3890"/>
      <queryTableField id="3891" name="Column3891" tableColumnId="3891"/>
      <queryTableField id="3892" name="Column3892" tableColumnId="3892"/>
      <queryTableField id="3893" name="Column3893" tableColumnId="3893"/>
      <queryTableField id="3894" name="Column3894" tableColumnId="3894"/>
      <queryTableField id="3895" name="Column3895" tableColumnId="3895"/>
      <queryTableField id="3896" name="Column3896" tableColumnId="3896"/>
      <queryTableField id="3897" name="Column3897" tableColumnId="3897"/>
      <queryTableField id="3898" name="Column3898" tableColumnId="3898"/>
      <queryTableField id="3899" name="Column3899" tableColumnId="3899"/>
      <queryTableField id="3900" name="Column3900" tableColumnId="3900"/>
      <queryTableField id="3901" name="Column3901" tableColumnId="3901"/>
      <queryTableField id="3902" name="Column3902" tableColumnId="3902"/>
      <queryTableField id="3903" name="Column3903" tableColumnId="3903"/>
      <queryTableField id="3904" name="Column3904" tableColumnId="3904"/>
      <queryTableField id="3905" name="Column3905" tableColumnId="3905"/>
      <queryTableField id="3906" name="Column3906" tableColumnId="3906"/>
      <queryTableField id="3907" name="Column3907" tableColumnId="3907"/>
      <queryTableField id="3908" name="Column3908" tableColumnId="3908"/>
      <queryTableField id="3909" name="Column3909" tableColumnId="3909"/>
      <queryTableField id="3910" name="Column3910" tableColumnId="3910"/>
      <queryTableField id="3911" name="Column3911" tableColumnId="3911"/>
      <queryTableField id="3912" name="Column3912" tableColumnId="3912"/>
      <queryTableField id="3913" name="Column3913" tableColumnId="3913"/>
      <queryTableField id="3914" name="Column3914" tableColumnId="3914"/>
      <queryTableField id="3915" name="Column3915" tableColumnId="3915"/>
      <queryTableField id="3916" name="Column3916" tableColumnId="3916"/>
      <queryTableField id="3917" name="Column3917" tableColumnId="3917"/>
      <queryTableField id="3918" name="Column3918" tableColumnId="3918"/>
      <queryTableField id="3919" name="Column3919" tableColumnId="3919"/>
      <queryTableField id="3920" name="Column3920" tableColumnId="3920"/>
      <queryTableField id="3921" name="Column3921" tableColumnId="3921"/>
      <queryTableField id="3922" name="Column3922" tableColumnId="3922"/>
      <queryTableField id="3923" name="Column3923" tableColumnId="3923"/>
      <queryTableField id="3924" name="Column3924" tableColumnId="3924"/>
      <queryTableField id="3925" name="Column3925" tableColumnId="3925"/>
      <queryTableField id="3926" name="Column3926" tableColumnId="3926"/>
      <queryTableField id="3927" name="Column3927" tableColumnId="3927"/>
      <queryTableField id="3928" name="Column3928" tableColumnId="3928"/>
      <queryTableField id="3929" name="Column3929" tableColumnId="3929"/>
      <queryTableField id="3930" name="Column3930" tableColumnId="3930"/>
      <queryTableField id="3931" name="Column3931" tableColumnId="3931"/>
      <queryTableField id="3932" name="Column3932" tableColumnId="3932"/>
      <queryTableField id="3933" name="Column3933" tableColumnId="3933"/>
      <queryTableField id="3934" name="Column3934" tableColumnId="3934"/>
      <queryTableField id="3935" name="Column3935" tableColumnId="3935"/>
      <queryTableField id="3936" name="Column3936" tableColumnId="3936"/>
      <queryTableField id="3937" name="Column3937" tableColumnId="3937"/>
      <queryTableField id="3938" name="Column3938" tableColumnId="3938"/>
      <queryTableField id="3939" name="Column3939" tableColumnId="3939"/>
      <queryTableField id="3940" name="Column3940" tableColumnId="3940"/>
      <queryTableField id="3941" name="Column3941" tableColumnId="3941"/>
      <queryTableField id="3942" name="Column3942" tableColumnId="3942"/>
      <queryTableField id="3943" name="Column3943" tableColumnId="3943"/>
      <queryTableField id="3944" name="Column3944" tableColumnId="3944"/>
      <queryTableField id="3945" name="Column3945" tableColumnId="3945"/>
      <queryTableField id="3946" name="Column3946" tableColumnId="3946"/>
      <queryTableField id="3947" name="Column3947" tableColumnId="3947"/>
      <queryTableField id="3948" name="Column3948" tableColumnId="3948"/>
      <queryTableField id="3949" name="Column3949" tableColumnId="3949"/>
      <queryTableField id="3950" name="Column3950" tableColumnId="3950"/>
      <queryTableField id="3951" name="Column3951" tableColumnId="3951"/>
      <queryTableField id="3952" name="Column3952" tableColumnId="3952"/>
      <queryTableField id="3953" name="Column3953" tableColumnId="3953"/>
      <queryTableField id="3954" name="Column3954" tableColumnId="3954"/>
      <queryTableField id="3955" name="Column3955" tableColumnId="3955"/>
      <queryTableField id="3956" name="Column3956" tableColumnId="3956"/>
      <queryTableField id="3957" name="Column3957" tableColumnId="3957"/>
      <queryTableField id="3958" name="Column3958" tableColumnId="3958"/>
      <queryTableField id="3959" name="Column3959" tableColumnId="3959"/>
      <queryTableField id="3960" name="Column3960" tableColumnId="3960"/>
      <queryTableField id="3961" name="Column3961" tableColumnId="3961"/>
      <queryTableField id="3962" name="Column3962" tableColumnId="3962"/>
      <queryTableField id="3963" name="Column3963" tableColumnId="3963"/>
      <queryTableField id="3964" name="Column3964" tableColumnId="3964"/>
      <queryTableField id="3965" name="Column3965" tableColumnId="3965"/>
      <queryTableField id="3966" name="Column3966" tableColumnId="3966"/>
      <queryTableField id="3967" name="Column3967" tableColumnId="3967"/>
      <queryTableField id="3968" name="Column3968" tableColumnId="3968"/>
      <queryTableField id="3969" name="Column3969" tableColumnId="3969"/>
      <queryTableField id="3970" name="Column3970" tableColumnId="3970"/>
      <queryTableField id="3971" name="Column3971" tableColumnId="3971"/>
      <queryTableField id="3972" name="Column3972" tableColumnId="3972"/>
      <queryTableField id="3973" name="Column3973" tableColumnId="3973"/>
      <queryTableField id="3974" name="Column3974" tableColumnId="3974"/>
      <queryTableField id="3975" name="Column3975" tableColumnId="3975"/>
      <queryTableField id="3976" name="Column3976" tableColumnId="3976"/>
      <queryTableField id="3977" name="Column3977" tableColumnId="3977"/>
      <queryTableField id="3978" name="Column3978" tableColumnId="3978"/>
      <queryTableField id="3979" name="Column3979" tableColumnId="3979"/>
      <queryTableField id="3980" name="Column3980" tableColumnId="3980"/>
      <queryTableField id="3981" name="Column3981" tableColumnId="3981"/>
      <queryTableField id="3982" name="Column3982" tableColumnId="3982"/>
      <queryTableField id="3983" name="Column3983" tableColumnId="3983"/>
      <queryTableField id="3984" name="Column3984" tableColumnId="3984"/>
      <queryTableField id="3985" name="Column3985" tableColumnId="3985"/>
      <queryTableField id="3986" name="Column3986" tableColumnId="3986"/>
      <queryTableField id="3987" name="Column3987" tableColumnId="3987"/>
      <queryTableField id="3988" name="Column3988" tableColumnId="3988"/>
      <queryTableField id="3989" name="Column3989" tableColumnId="3989"/>
      <queryTableField id="3990" name="Column3990" tableColumnId="3990"/>
      <queryTableField id="3991" name="Column3991" tableColumnId="3991"/>
      <queryTableField id="3992" name="Column3992" tableColumnId="3992"/>
      <queryTableField id="3993" name="Column3993" tableColumnId="3993"/>
      <queryTableField id="3994" name="Column3994" tableColumnId="3994"/>
      <queryTableField id="3995" name="Column3995" tableColumnId="3995"/>
      <queryTableField id="3996" name="Column3996" tableColumnId="3996"/>
      <queryTableField id="3997" name="Column3997" tableColumnId="3997"/>
      <queryTableField id="3998" name="Column3998" tableColumnId="3998"/>
      <queryTableField id="3999" name="Column3999" tableColumnId="3999"/>
      <queryTableField id="4000" name="Column4000" tableColumnId="4000"/>
      <queryTableField id="4001" name="Column4001" tableColumnId="4001"/>
      <queryTableField id="4002" name="Column4002" tableColumnId="4002"/>
      <queryTableField id="4003" name="Column4003" tableColumnId="4003"/>
      <queryTableField id="4004" name="Column4004" tableColumnId="4004"/>
      <queryTableField id="4005" name="Column4005" tableColumnId="4005"/>
      <queryTableField id="4006" name="Column4006" tableColumnId="4006"/>
      <queryTableField id="4007" name="Column4007" tableColumnId="4007"/>
      <queryTableField id="4008" name="Column4008" tableColumnId="4008"/>
      <queryTableField id="4009" name="Column4009" tableColumnId="4009"/>
      <queryTableField id="4010" name="Column4010" tableColumnId="4010"/>
      <queryTableField id="4011" name="Column4011" tableColumnId="4011"/>
      <queryTableField id="4012" name="Column4012" tableColumnId="4012"/>
      <queryTableField id="4013" name="Column4013" tableColumnId="4013"/>
      <queryTableField id="4014" name="Column4014" tableColumnId="4014"/>
      <queryTableField id="4015" name="Column4015" tableColumnId="4015"/>
      <queryTableField id="4016" name="Column4016" tableColumnId="4016"/>
      <queryTableField id="4017" name="Column4017" tableColumnId="4017"/>
      <queryTableField id="4018" name="Column4018" tableColumnId="4018"/>
      <queryTableField id="4019" name="Column4019" tableColumnId="4019"/>
      <queryTableField id="4020" name="Column4020" tableColumnId="4020"/>
      <queryTableField id="4021" name="Column4021" tableColumnId="4021"/>
      <queryTableField id="4022" name="Column4022" tableColumnId="4022"/>
      <queryTableField id="4023" name="Column4023" tableColumnId="4023"/>
      <queryTableField id="4024" name="Column4024" tableColumnId="4024"/>
      <queryTableField id="4025" name="Column4025" tableColumnId="4025"/>
      <queryTableField id="4026" name="Column4026" tableColumnId="4026"/>
      <queryTableField id="4027" name="Column4027" tableColumnId="4027"/>
      <queryTableField id="4028" name="Column4028" tableColumnId="4028"/>
      <queryTableField id="4029" name="Column4029" tableColumnId="4029"/>
      <queryTableField id="4030" name="Column4030" tableColumnId="4030"/>
      <queryTableField id="4031" name="Column4031" tableColumnId="4031"/>
      <queryTableField id="4032" name="Column4032" tableColumnId="4032"/>
      <queryTableField id="4033" name="Column4033" tableColumnId="4033"/>
      <queryTableField id="4034" name="Column4034" tableColumnId="4034"/>
      <queryTableField id="4035" name="Column4035" tableColumnId="4035"/>
      <queryTableField id="4036" name="Column4036" tableColumnId="4036"/>
      <queryTableField id="4037" name="Column4037" tableColumnId="4037"/>
      <queryTableField id="4038" name="Column4038" tableColumnId="4038"/>
      <queryTableField id="4039" name="Column4039" tableColumnId="4039"/>
      <queryTableField id="4040" name="Column4040" tableColumnId="4040"/>
      <queryTableField id="4041" name="Column4041" tableColumnId="4041"/>
      <queryTableField id="4042" name="Column4042" tableColumnId="4042"/>
      <queryTableField id="4043" name="Column4043" tableColumnId="4043"/>
      <queryTableField id="4044" name="Column4044" tableColumnId="4044"/>
      <queryTableField id="4045" name="Column4045" tableColumnId="4045"/>
      <queryTableField id="4046" name="Column4046" tableColumnId="4046"/>
      <queryTableField id="4047" name="Column4047" tableColumnId="4047"/>
      <queryTableField id="4048" name="Column4048" tableColumnId="4048"/>
      <queryTableField id="4049" name="Column4049" tableColumnId="4049"/>
      <queryTableField id="4050" name="Column4050" tableColumnId="4050"/>
      <queryTableField id="4051" name="Column4051" tableColumnId="4051"/>
      <queryTableField id="4052" name="Column4052" tableColumnId="4052"/>
      <queryTableField id="4053" name="Column4053" tableColumnId="4053"/>
      <queryTableField id="4054" name="Column4054" tableColumnId="4054"/>
      <queryTableField id="4055" name="Column4055" tableColumnId="4055"/>
      <queryTableField id="4056" name="Column4056" tableColumnId="4056"/>
      <queryTableField id="4057" name="Column4057" tableColumnId="4057"/>
      <queryTableField id="4058" name="Column4058" tableColumnId="4058"/>
      <queryTableField id="4059" name="Column4059" tableColumnId="4059"/>
      <queryTableField id="4060" name="Column4060" tableColumnId="4060"/>
      <queryTableField id="4061" name="Column4061" tableColumnId="4061"/>
      <queryTableField id="4062" name="Column4062" tableColumnId="4062"/>
      <queryTableField id="4063" name="Column4063" tableColumnId="4063"/>
      <queryTableField id="4064" name="Column4064" tableColumnId="4064"/>
      <queryTableField id="4065" name="Column4065" tableColumnId="4065"/>
      <queryTableField id="4066" name="Column4066" tableColumnId="4066"/>
      <queryTableField id="4067" name="Column4067" tableColumnId="4067"/>
      <queryTableField id="4068" name="Column4068" tableColumnId="4068"/>
      <queryTableField id="4069" name="Column4069" tableColumnId="4069"/>
      <queryTableField id="4070" name="Column4070" tableColumnId="4070"/>
      <queryTableField id="4071" name="Column4071" tableColumnId="4071"/>
      <queryTableField id="4072" name="Column4072" tableColumnId="4072"/>
      <queryTableField id="4073" name="Column4073" tableColumnId="4073"/>
      <queryTableField id="4074" name="Column4074" tableColumnId="4074"/>
      <queryTableField id="4075" name="Column4075" tableColumnId="4075"/>
      <queryTableField id="4076" name="Column4076" tableColumnId="4076"/>
      <queryTableField id="4077" name="Column4077" tableColumnId="4077"/>
      <queryTableField id="4078" name="Column4078" tableColumnId="4078"/>
      <queryTableField id="4079" name="Column4079" tableColumnId="4079"/>
      <queryTableField id="4080" name="Column4080" tableColumnId="4080"/>
      <queryTableField id="4081" name="Column4081" tableColumnId="4081"/>
      <queryTableField id="4082" name="Column4082" tableColumnId="4082"/>
      <queryTableField id="4083" name="Column4083" tableColumnId="4083"/>
      <queryTableField id="4084" name="Column4084" tableColumnId="4084"/>
      <queryTableField id="4085" name="Column4085" tableColumnId="4085"/>
      <queryTableField id="4086" name="Column4086" tableColumnId="4086"/>
      <queryTableField id="4087" name="Column4087" tableColumnId="4087"/>
      <queryTableField id="4088" name="Column4088" tableColumnId="4088"/>
      <queryTableField id="4089" name="Column4089" tableColumnId="4089"/>
      <queryTableField id="4090" name="Column4090" tableColumnId="4090"/>
      <queryTableField id="4091" name="Column4091" tableColumnId="4091"/>
      <queryTableField id="4092" name="Column4092" tableColumnId="4092"/>
      <queryTableField id="4093" name="Column4093" tableColumnId="4093"/>
      <queryTableField id="4094" name="Column4094" tableColumnId="4094"/>
      <queryTableField id="4095" name="Column4095" tableColumnId="4095"/>
      <queryTableField id="4096" name="Column4096" tableColumnId="4096"/>
      <queryTableField id="4097" name="Column4097" tableColumnId="4097"/>
      <queryTableField id="4098" name="Column4098" tableColumnId="4098"/>
      <queryTableField id="4099" name="Column4099" tableColumnId="4099"/>
      <queryTableField id="4100" name="Column4100" tableColumnId="4100"/>
      <queryTableField id="4101" name="Column4101" tableColumnId="4101"/>
      <queryTableField id="4102" name="Column4102" tableColumnId="4102"/>
      <queryTableField id="4103" name="Column4103" tableColumnId="4103"/>
      <queryTableField id="4104" name="Column4104" tableColumnId="4104"/>
      <queryTableField id="4105" name="Column4105" tableColumnId="4105"/>
      <queryTableField id="4106" name="Column4106" tableColumnId="4106"/>
      <queryTableField id="4107" name="Column4107" tableColumnId="4107"/>
      <queryTableField id="4108" name="Column4108" tableColumnId="4108"/>
      <queryTableField id="4109" name="Column4109" tableColumnId="4109"/>
      <queryTableField id="4110" name="Column4110" tableColumnId="4110"/>
      <queryTableField id="4111" name="Column4111" tableColumnId="4111"/>
      <queryTableField id="4112" name="Column4112" tableColumnId="4112"/>
      <queryTableField id="4113" name="Column4113" tableColumnId="4113"/>
      <queryTableField id="4114" name="Column4114" tableColumnId="4114"/>
      <queryTableField id="4115" name="Column4115" tableColumnId="4115"/>
      <queryTableField id="4116" name="Column4116" tableColumnId="4116"/>
      <queryTableField id="4117" name="Column4117" tableColumnId="4117"/>
      <queryTableField id="4118" name="Column4118" tableColumnId="4118"/>
      <queryTableField id="4119" name="Column4119" tableColumnId="4119"/>
      <queryTableField id="4120" name="Column4120" tableColumnId="4120"/>
      <queryTableField id="4121" name="Column4121" tableColumnId="4121"/>
      <queryTableField id="4122" name="Column4122" tableColumnId="4122"/>
      <queryTableField id="4123" name="Column4123" tableColumnId="4123"/>
      <queryTableField id="4124" name="Column4124" tableColumnId="4124"/>
      <queryTableField id="4125" name="Column4125" tableColumnId="4125"/>
      <queryTableField id="4126" name="Column4126" tableColumnId="4126"/>
      <queryTableField id="4127" name="Column4127" tableColumnId="4127"/>
      <queryTableField id="4128" name="Column4128" tableColumnId="4128"/>
      <queryTableField id="4129" name="Column4129" tableColumnId="4129"/>
      <queryTableField id="4130" name="Column4130" tableColumnId="4130"/>
      <queryTableField id="4131" name="Column4131" tableColumnId="4131"/>
      <queryTableField id="4132" name="Column4132" tableColumnId="4132"/>
      <queryTableField id="4133" name="Column4133" tableColumnId="4133"/>
      <queryTableField id="4134" name="Column4134" tableColumnId="4134"/>
      <queryTableField id="4135" name="Column4135" tableColumnId="4135"/>
      <queryTableField id="4136" name="Column4136" tableColumnId="4136"/>
      <queryTableField id="4137" name="Column4137" tableColumnId="4137"/>
      <queryTableField id="4138" name="Column4138" tableColumnId="4138"/>
      <queryTableField id="4139" name="Column4139" tableColumnId="4139"/>
      <queryTableField id="4140" name="Column4140" tableColumnId="4140"/>
      <queryTableField id="4141" name="Column4141" tableColumnId="4141"/>
      <queryTableField id="4142" name="Column4142" tableColumnId="4142"/>
      <queryTableField id="4143" name="Column4143" tableColumnId="4143"/>
      <queryTableField id="4144" name="Column4144" tableColumnId="4144"/>
      <queryTableField id="4145" name="Column4145" tableColumnId="4145"/>
      <queryTableField id="4146" name="Column4146" tableColumnId="4146"/>
      <queryTableField id="4147" name="Column4147" tableColumnId="4147"/>
      <queryTableField id="4148" name="Column4148" tableColumnId="4148"/>
      <queryTableField id="4149" name="Column4149" tableColumnId="4149"/>
      <queryTableField id="4150" name="Column4150" tableColumnId="4150"/>
      <queryTableField id="4151" name="Column4151" tableColumnId="4151"/>
      <queryTableField id="4152" name="Column4152" tableColumnId="4152"/>
      <queryTableField id="4153" name="Column4153" tableColumnId="4153"/>
      <queryTableField id="4154" name="Column4154" tableColumnId="4154"/>
      <queryTableField id="4155" name="Column4155" tableColumnId="4155"/>
      <queryTableField id="4156" name="Column4156" tableColumnId="4156"/>
      <queryTableField id="4157" name="Column4157" tableColumnId="4157"/>
      <queryTableField id="4158" name="Column4158" tableColumnId="4158"/>
      <queryTableField id="4159" name="Column4159" tableColumnId="4159"/>
      <queryTableField id="4160" name="Column4160" tableColumnId="4160"/>
      <queryTableField id="4161" name="Column4161" tableColumnId="4161"/>
      <queryTableField id="4162" name="Column4162" tableColumnId="4162"/>
      <queryTableField id="4163" name="Column4163" tableColumnId="4163"/>
      <queryTableField id="4164" name="Column4164" tableColumnId="4164"/>
      <queryTableField id="4165" name="Column4165" tableColumnId="4165"/>
      <queryTableField id="4166" name="Column4166" tableColumnId="4166"/>
      <queryTableField id="4167" name="Column4167" tableColumnId="4167"/>
      <queryTableField id="4168" name="Column4168" tableColumnId="4168"/>
      <queryTableField id="4169" name="Column4169" tableColumnId="4169"/>
      <queryTableField id="4170" name="Column4170" tableColumnId="4170"/>
      <queryTableField id="4171" name="Column4171" tableColumnId="4171"/>
      <queryTableField id="4172" name="Column4172" tableColumnId="4172"/>
      <queryTableField id="4173" name="Column4173" tableColumnId="4173"/>
      <queryTableField id="4174" name="Column4174" tableColumnId="4174"/>
      <queryTableField id="4175" name="Column4175" tableColumnId="4175"/>
      <queryTableField id="4176" name="Column4176" tableColumnId="4176"/>
      <queryTableField id="4177" name="Column4177" tableColumnId="4177"/>
      <queryTableField id="4178" name="Column4178" tableColumnId="4178"/>
      <queryTableField id="4179" name="Column4179" tableColumnId="4179"/>
      <queryTableField id="4180" name="Column4180" tableColumnId="4180"/>
      <queryTableField id="4181" name="Column4181" tableColumnId="4181"/>
      <queryTableField id="4182" name="Column4182" tableColumnId="4182"/>
      <queryTableField id="4183" name="Column4183" tableColumnId="4183"/>
      <queryTableField id="4184" name="Column4184" tableColumnId="4184"/>
      <queryTableField id="4185" name="Column4185" tableColumnId="4185"/>
      <queryTableField id="4186" name="Column4186" tableColumnId="4186"/>
      <queryTableField id="4187" name="Column4187" tableColumnId="4187"/>
      <queryTableField id="4188" name="Column4188" tableColumnId="4188"/>
      <queryTableField id="4189" name="Column4189" tableColumnId="4189"/>
      <queryTableField id="4190" name="Column4190" tableColumnId="4190"/>
      <queryTableField id="4191" name="Column4191" tableColumnId="4191"/>
      <queryTableField id="4192" name="Column4192" tableColumnId="4192"/>
      <queryTableField id="4193" name="Column4193" tableColumnId="4193"/>
      <queryTableField id="4194" name="Column4194" tableColumnId="4194"/>
      <queryTableField id="4195" name="Column4195" tableColumnId="4195"/>
      <queryTableField id="4196" name="Column4196" tableColumnId="4196"/>
      <queryTableField id="4197" name="Column4197" tableColumnId="4197"/>
      <queryTableField id="4198" name="Column4198" tableColumnId="4198"/>
      <queryTableField id="4199" name="Column4199" tableColumnId="4199"/>
      <queryTableField id="4200" name="Column4200" tableColumnId="4200"/>
      <queryTableField id="4201" name="Column4201" tableColumnId="4201"/>
      <queryTableField id="4202" name="Column4202" tableColumnId="4202"/>
      <queryTableField id="4203" name="Column4203" tableColumnId="4203"/>
      <queryTableField id="4204" name="Column4204" tableColumnId="4204"/>
      <queryTableField id="4205" name="Column4205" tableColumnId="4205"/>
      <queryTableField id="4206" name="Column4206" tableColumnId="4206"/>
      <queryTableField id="4207" name="Column4207" tableColumnId="4207"/>
      <queryTableField id="4208" name="Column4208" tableColumnId="4208"/>
      <queryTableField id="4209" name="Column4209" tableColumnId="4209"/>
      <queryTableField id="4210" name="Column4210" tableColumnId="4210"/>
      <queryTableField id="4211" name="Column4211" tableColumnId="4211"/>
      <queryTableField id="4212" name="Column4212" tableColumnId="4212"/>
      <queryTableField id="4213" name="Column4213" tableColumnId="4213"/>
      <queryTableField id="4214" name="Column4214" tableColumnId="4214"/>
      <queryTableField id="4215" name="Column4215" tableColumnId="4215"/>
      <queryTableField id="4216" name="Column4216" tableColumnId="4216"/>
      <queryTableField id="4217" name="Column4217" tableColumnId="4217"/>
      <queryTableField id="4218" name="Column4218" tableColumnId="4218"/>
      <queryTableField id="4219" name="Column4219" tableColumnId="4219"/>
      <queryTableField id="4220" name="Column4220" tableColumnId="4220"/>
      <queryTableField id="4221" name="Column4221" tableColumnId="4221"/>
      <queryTableField id="4222" name="Column4222" tableColumnId="4222"/>
      <queryTableField id="4223" name="Column4223" tableColumnId="4223"/>
      <queryTableField id="4224" name="Column4224" tableColumnId="4224"/>
      <queryTableField id="4225" name="Column4225" tableColumnId="4225"/>
      <queryTableField id="4226" name="Column4226" tableColumnId="4226"/>
      <queryTableField id="4227" name="Column4227" tableColumnId="4227"/>
      <queryTableField id="4228" name="Column4228" tableColumnId="4228"/>
      <queryTableField id="4229" name="Column4229" tableColumnId="4229"/>
      <queryTableField id="4230" name="Column4230" tableColumnId="4230"/>
      <queryTableField id="4231" name="Column4231" tableColumnId="4231"/>
      <queryTableField id="4232" name="Column4232" tableColumnId="4232"/>
      <queryTableField id="4233" name="Column4233" tableColumnId="4233"/>
      <queryTableField id="4234" name="Column4234" tableColumnId="4234"/>
      <queryTableField id="4235" name="Column4235" tableColumnId="4235"/>
      <queryTableField id="4236" name="Column4236" tableColumnId="4236"/>
      <queryTableField id="4237" name="Column4237" tableColumnId="4237"/>
      <queryTableField id="4238" name="Column4238" tableColumnId="4238"/>
      <queryTableField id="4239" name="Column4239" tableColumnId="4239"/>
      <queryTableField id="4240" name="Column4240" tableColumnId="4240"/>
      <queryTableField id="4241" name="Column4241" tableColumnId="4241"/>
      <queryTableField id="4242" name="Column4242" tableColumnId="4242"/>
      <queryTableField id="4243" name="Column4243" tableColumnId="4243"/>
      <queryTableField id="4244" name="Column4244" tableColumnId="4244"/>
      <queryTableField id="4245" name="Column4245" tableColumnId="4245"/>
      <queryTableField id="4246" name="Column4246" tableColumnId="4246"/>
      <queryTableField id="4247" name="Column4247" tableColumnId="4247"/>
      <queryTableField id="4248" name="Column4248" tableColumnId="4248"/>
      <queryTableField id="4249" name="Column4249" tableColumnId="4249"/>
      <queryTableField id="4250" name="Column4250" tableColumnId="4250"/>
      <queryTableField id="4251" name="Column4251" tableColumnId="4251"/>
      <queryTableField id="4252" name="Column4252" tableColumnId="4252"/>
      <queryTableField id="4253" name="Column4253" tableColumnId="4253"/>
      <queryTableField id="4254" name="Column4254" tableColumnId="4254"/>
      <queryTableField id="4255" name="Column4255" tableColumnId="4255"/>
      <queryTableField id="4256" name="Column4256" tableColumnId="4256"/>
      <queryTableField id="4257" name="Column4257" tableColumnId="4257"/>
      <queryTableField id="4258" name="Column4258" tableColumnId="4258"/>
      <queryTableField id="4259" name="Column4259" tableColumnId="4259"/>
      <queryTableField id="4260" name="Column4260" tableColumnId="4260"/>
      <queryTableField id="4261" name="Column4261" tableColumnId="4261"/>
      <queryTableField id="4262" name="Column4262" tableColumnId="4262"/>
      <queryTableField id="4263" name="Column4263" tableColumnId="4263"/>
      <queryTableField id="4264" name="Column4264" tableColumnId="4264"/>
      <queryTableField id="4265" name="Column4265" tableColumnId="4265"/>
      <queryTableField id="4266" name="Column4266" tableColumnId="4266"/>
      <queryTableField id="4267" name="Column4267" tableColumnId="4267"/>
      <queryTableField id="4268" name="Column4268" tableColumnId="4268"/>
      <queryTableField id="4269" name="Column4269" tableColumnId="4269"/>
      <queryTableField id="4270" name="Column4270" tableColumnId="4270"/>
      <queryTableField id="4271" name="Column4271" tableColumnId="4271"/>
      <queryTableField id="4272" name="Column4272" tableColumnId="4272"/>
      <queryTableField id="4273" name="Column4273" tableColumnId="4273"/>
      <queryTableField id="4274" name="Column4274" tableColumnId="4274"/>
      <queryTableField id="4275" name="Column4275" tableColumnId="4275"/>
      <queryTableField id="4276" name="Column4276" tableColumnId="4276"/>
      <queryTableField id="4277" name="Column4277" tableColumnId="4277"/>
      <queryTableField id="4278" name="Column4278" tableColumnId="4278"/>
      <queryTableField id="4279" name="Column4279" tableColumnId="4279"/>
      <queryTableField id="4280" name="Column4280" tableColumnId="4280"/>
      <queryTableField id="4281" name="Column4281" tableColumnId="4281"/>
      <queryTableField id="4282" name="Column4282" tableColumnId="4282"/>
      <queryTableField id="4283" name="Column4283" tableColumnId="4283"/>
      <queryTableField id="4284" name="Column4284" tableColumnId="4284"/>
      <queryTableField id="4285" name="Column4285" tableColumnId="4285"/>
      <queryTableField id="4286" name="Column4286" tableColumnId="4286"/>
      <queryTableField id="4287" name="Column4287" tableColumnId="4287"/>
      <queryTableField id="4288" name="Column4288" tableColumnId="4288"/>
      <queryTableField id="4289" name="Column4289" tableColumnId="4289"/>
      <queryTableField id="4290" name="Column4290" tableColumnId="4290"/>
      <queryTableField id="4291" name="Column4291" tableColumnId="4291"/>
      <queryTableField id="4292" name="Column4292" tableColumnId="4292"/>
      <queryTableField id="4293" name="Column4293" tableColumnId="4293"/>
      <queryTableField id="4294" name="Column4294" tableColumnId="4294"/>
      <queryTableField id="4295" name="Column4295" tableColumnId="4295"/>
      <queryTableField id="4296" name="Column4296" tableColumnId="4296"/>
      <queryTableField id="4297" name="Column4297" tableColumnId="4297"/>
      <queryTableField id="4298" name="Column4298" tableColumnId="4298"/>
      <queryTableField id="4299" name="Column4299" tableColumnId="4299"/>
      <queryTableField id="4300" name="Column4300" tableColumnId="4300"/>
      <queryTableField id="4301" name="Column4301" tableColumnId="4301"/>
      <queryTableField id="4302" name="Column4302" tableColumnId="4302"/>
      <queryTableField id="4303" name="Column4303" tableColumnId="4303"/>
      <queryTableField id="4304" name="Column4304" tableColumnId="4304"/>
      <queryTableField id="4305" name="Column4305" tableColumnId="4305"/>
      <queryTableField id="4306" name="Column4306" tableColumnId="4306"/>
      <queryTableField id="4307" name="Column4307" tableColumnId="4307"/>
      <queryTableField id="4308" name="Column4308" tableColumnId="4308"/>
      <queryTableField id="4309" name="Column4309" tableColumnId="4309"/>
      <queryTableField id="4310" name="Column4310" tableColumnId="4310"/>
      <queryTableField id="4311" name="Column4311" tableColumnId="4311"/>
      <queryTableField id="4312" name="Column4312" tableColumnId="4312"/>
      <queryTableField id="4313" name="Column4313" tableColumnId="4313"/>
      <queryTableField id="4314" name="Column4314" tableColumnId="4314"/>
      <queryTableField id="4315" name="Column4315" tableColumnId="4315"/>
      <queryTableField id="4316" name="Column4316" tableColumnId="4316"/>
      <queryTableField id="4317" name="Column4317" tableColumnId="4317"/>
      <queryTableField id="4318" name="Column4318" tableColumnId="4318"/>
      <queryTableField id="4319" name="Column4319" tableColumnId="4319"/>
      <queryTableField id="4320" name="Column4320" tableColumnId="4320"/>
      <queryTableField id="4321" name="Column4321" tableColumnId="4321"/>
      <queryTableField id="4322" name="Column4322" tableColumnId="4322"/>
      <queryTableField id="4323" name="Column4323" tableColumnId="4323"/>
      <queryTableField id="4324" name="Column4324" tableColumnId="4324"/>
      <queryTableField id="4325" name="Column4325" tableColumnId="4325"/>
      <queryTableField id="4326" name="Column4326" tableColumnId="4326"/>
      <queryTableField id="4327" name="Column4327" tableColumnId="4327"/>
      <queryTableField id="4328" name="Column4328" tableColumnId="4328"/>
      <queryTableField id="4329" name="Column4329" tableColumnId="4329"/>
      <queryTableField id="4330" name="Column4330" tableColumnId="4330"/>
      <queryTableField id="4331" name="Column4331" tableColumnId="4331"/>
      <queryTableField id="4332" name="Column4332" tableColumnId="4332"/>
      <queryTableField id="4333" name="Column4333" tableColumnId="4333"/>
      <queryTableField id="4334" name="Column4334" tableColumnId="4334"/>
      <queryTableField id="4335" name="Column4335" tableColumnId="4335"/>
      <queryTableField id="4336" name="Column4336" tableColumnId="4336"/>
      <queryTableField id="4337" name="Column4337" tableColumnId="4337"/>
      <queryTableField id="4338" name="Column4338" tableColumnId="4338"/>
      <queryTableField id="4339" name="Column4339" tableColumnId="4339"/>
      <queryTableField id="4340" name="Column4340" tableColumnId="4340"/>
      <queryTableField id="4341" name="Column4341" tableColumnId="4341"/>
      <queryTableField id="4342" name="Column4342" tableColumnId="4342"/>
      <queryTableField id="4343" name="Column4343" tableColumnId="4343"/>
      <queryTableField id="4344" name="Column4344" tableColumnId="4344"/>
      <queryTableField id="4345" name="Column4345" tableColumnId="4345"/>
      <queryTableField id="4346" name="Column4346" tableColumnId="4346"/>
      <queryTableField id="4347" name="Column4347" tableColumnId="4347"/>
      <queryTableField id="4348" name="Column4348" tableColumnId="4348"/>
      <queryTableField id="4349" name="Column4349" tableColumnId="4349"/>
      <queryTableField id="4350" name="Column4350" tableColumnId="4350"/>
      <queryTableField id="4351" name="Column4351" tableColumnId="4351"/>
      <queryTableField id="4352" name="Column4352" tableColumnId="4352"/>
      <queryTableField id="4353" name="Column4353" tableColumnId="4353"/>
      <queryTableField id="4354" name="Column4354" tableColumnId="4354"/>
      <queryTableField id="4355" name="Column4355" tableColumnId="4355"/>
      <queryTableField id="4356" name="Column4356" tableColumnId="4356"/>
      <queryTableField id="4357" name="Column4357" tableColumnId="4357"/>
      <queryTableField id="4358" name="Column4358" tableColumnId="4358"/>
      <queryTableField id="4359" name="Column4359" tableColumnId="4359"/>
      <queryTableField id="4360" name="Column4360" tableColumnId="4360"/>
      <queryTableField id="4361" name="Column4361" tableColumnId="4361"/>
      <queryTableField id="4362" name="Column4362" tableColumnId="4362"/>
      <queryTableField id="4363" name="Column4363" tableColumnId="4363"/>
      <queryTableField id="4364" name="Column4364" tableColumnId="4364"/>
      <queryTableField id="4365" name="Column4365" tableColumnId="4365"/>
      <queryTableField id="4366" name="Column4366" tableColumnId="4366"/>
      <queryTableField id="4367" name="Column4367" tableColumnId="4367"/>
      <queryTableField id="4368" name="Column4368" tableColumnId="4368"/>
      <queryTableField id="4369" name="Column4369" tableColumnId="4369"/>
      <queryTableField id="4370" name="Column4370" tableColumnId="4370"/>
      <queryTableField id="4371" name="Column4371" tableColumnId="4371"/>
      <queryTableField id="4372" name="Column4372" tableColumnId="4372"/>
      <queryTableField id="4373" name="Column4373" tableColumnId="4373"/>
      <queryTableField id="4374" name="Column4374" tableColumnId="4374"/>
      <queryTableField id="4375" name="Column4375" tableColumnId="4375"/>
      <queryTableField id="4376" name="Column4376" tableColumnId="4376"/>
      <queryTableField id="4377" name="Column4377" tableColumnId="4377"/>
      <queryTableField id="4378" name="Column4378" tableColumnId="4378"/>
      <queryTableField id="4379" name="Column4379" tableColumnId="4379"/>
      <queryTableField id="4380" name="Column4380" tableColumnId="4380"/>
      <queryTableField id="4381" name="Column4381" tableColumnId="4381"/>
      <queryTableField id="4382" name="Column4382" tableColumnId="4382"/>
      <queryTableField id="4383" name="Column4383" tableColumnId="4383"/>
      <queryTableField id="4384" name="Column4384" tableColumnId="4384"/>
      <queryTableField id="4385" name="Column4385" tableColumnId="4385"/>
      <queryTableField id="4386" name="Column4386" tableColumnId="4386"/>
      <queryTableField id="4387" name="Column4387" tableColumnId="4387"/>
      <queryTableField id="4388" name="Column4388" tableColumnId="4388"/>
      <queryTableField id="4389" name="Column4389" tableColumnId="4389"/>
      <queryTableField id="4390" name="Column4390" tableColumnId="4390"/>
      <queryTableField id="4391" name="Column4391" tableColumnId="4391"/>
      <queryTableField id="4392" name="Column4392" tableColumnId="4392"/>
      <queryTableField id="4393" name="Column4393" tableColumnId="4393"/>
      <queryTableField id="4394" name="Column4394" tableColumnId="4394"/>
      <queryTableField id="4395" name="Column4395" tableColumnId="4395"/>
      <queryTableField id="4396" name="Column4396" tableColumnId="4396"/>
      <queryTableField id="4397" name="Column4397" tableColumnId="4397"/>
      <queryTableField id="4398" name="Column4398" tableColumnId="4398"/>
      <queryTableField id="4399" name="Column4399" tableColumnId="4399"/>
      <queryTableField id="4400" name="Column4400" tableColumnId="4400"/>
      <queryTableField id="4401" name="Column4401" tableColumnId="4401"/>
      <queryTableField id="4402" name="Column4402" tableColumnId="4402"/>
      <queryTableField id="4403" name="Column4403" tableColumnId="4403"/>
      <queryTableField id="4404" name="Column4404" tableColumnId="4404"/>
      <queryTableField id="4405" name="Column4405" tableColumnId="4405"/>
      <queryTableField id="4406" name="Column4406" tableColumnId="4406"/>
      <queryTableField id="4407" name="Column4407" tableColumnId="4407"/>
      <queryTableField id="4408" name="Column4408" tableColumnId="4408"/>
      <queryTableField id="4409" name="Column4409" tableColumnId="4409"/>
      <queryTableField id="4410" name="Column4410" tableColumnId="4410"/>
      <queryTableField id="4411" name="Column4411" tableColumnId="4411"/>
      <queryTableField id="4412" name="Column4412" tableColumnId="4412"/>
      <queryTableField id="4413" name="Column4413" tableColumnId="4413"/>
      <queryTableField id="4414" name="Column4414" tableColumnId="4414"/>
      <queryTableField id="4415" name="Column4415" tableColumnId="4415"/>
      <queryTableField id="4416" name="Column4416" tableColumnId="4416"/>
      <queryTableField id="4417" name="Column4417" tableColumnId="4417"/>
      <queryTableField id="4418" name="Column4418" tableColumnId="4418"/>
      <queryTableField id="4419" name="Column4419" tableColumnId="4419"/>
      <queryTableField id="4420" name="Column4420" tableColumnId="4420"/>
      <queryTableField id="4421" name="Column4421" tableColumnId="4421"/>
      <queryTableField id="4422" name="Column4422" tableColumnId="4422"/>
      <queryTableField id="4423" name="Column4423" tableColumnId="4423"/>
      <queryTableField id="4424" name="Column4424" tableColumnId="4424"/>
      <queryTableField id="4425" name="Column4425" tableColumnId="4425"/>
      <queryTableField id="4426" name="Column4426" tableColumnId="4426"/>
      <queryTableField id="4427" name="Column4427" tableColumnId="4427"/>
      <queryTableField id="4428" name="Column4428" tableColumnId="4428"/>
      <queryTableField id="4429" name="Column4429" tableColumnId="4429"/>
      <queryTableField id="4430" name="Column4430" tableColumnId="4430"/>
      <queryTableField id="4431" name="Column4431" tableColumnId="4431"/>
      <queryTableField id="4432" name="Column4432" tableColumnId="4432"/>
      <queryTableField id="4433" name="Column4433" tableColumnId="4433"/>
      <queryTableField id="4434" name="Column4434" tableColumnId="4434"/>
      <queryTableField id="4435" name="Column4435" tableColumnId="4435"/>
      <queryTableField id="4436" name="Column4436" tableColumnId="4436"/>
      <queryTableField id="4437" name="Column4437" tableColumnId="4437"/>
      <queryTableField id="4438" name="Column4438" tableColumnId="4438"/>
      <queryTableField id="4439" name="Column4439" tableColumnId="4439"/>
      <queryTableField id="4440" name="Column4440" tableColumnId="4440"/>
      <queryTableField id="4441" name="Column4441" tableColumnId="4441"/>
      <queryTableField id="4442" name="Column4442" tableColumnId="4442"/>
      <queryTableField id="4443" name="Column4443" tableColumnId="4443"/>
      <queryTableField id="4444" name="Column4444" tableColumnId="4444"/>
      <queryTableField id="4445" name="Column4445" tableColumnId="4445"/>
      <queryTableField id="4446" name="Column4446" tableColumnId="4446"/>
      <queryTableField id="4447" name="Column4447" tableColumnId="4447"/>
      <queryTableField id="4448" name="Column4448" tableColumnId="4448"/>
      <queryTableField id="4449" name="Column4449" tableColumnId="4449"/>
      <queryTableField id="4450" name="Column4450" tableColumnId="4450"/>
      <queryTableField id="4451" name="Column4451" tableColumnId="4451"/>
      <queryTableField id="4452" name="Column4452" tableColumnId="4452"/>
      <queryTableField id="4453" name="Column4453" tableColumnId="4453"/>
      <queryTableField id="4454" name="Column4454" tableColumnId="4454"/>
      <queryTableField id="4455" name="Column4455" tableColumnId="4455"/>
      <queryTableField id="4456" name="Column4456" tableColumnId="4456"/>
      <queryTableField id="4457" name="Column4457" tableColumnId="4457"/>
      <queryTableField id="4458" name="Column4458" tableColumnId="4458"/>
      <queryTableField id="4459" name="Column4459" tableColumnId="4459"/>
      <queryTableField id="4460" name="Column4460" tableColumnId="4460"/>
      <queryTableField id="4461" name="Column4461" tableColumnId="4461"/>
      <queryTableField id="4462" name="Column4462" tableColumnId="4462"/>
      <queryTableField id="4463" name="Column4463" tableColumnId="4463"/>
      <queryTableField id="4464" name="Column4464" tableColumnId="4464"/>
      <queryTableField id="4465" name="Column4465" tableColumnId="4465"/>
      <queryTableField id="4466" name="Column4466" tableColumnId="4466"/>
      <queryTableField id="4467" name="Column4467" tableColumnId="4467"/>
      <queryTableField id="4468" name="Column4468" tableColumnId="4468"/>
      <queryTableField id="4469" name="Column4469" tableColumnId="4469"/>
      <queryTableField id="4470" name="Column4470" tableColumnId="4470"/>
      <queryTableField id="4471" name="Column4471" tableColumnId="4471"/>
      <queryTableField id="4472" name="Column4472" tableColumnId="4472"/>
      <queryTableField id="4473" name="Column4473" tableColumnId="4473"/>
      <queryTableField id="4474" name="Column4474" tableColumnId="4474"/>
      <queryTableField id="4475" name="Column4475" tableColumnId="4475"/>
      <queryTableField id="4476" name="Column4476" tableColumnId="4476"/>
      <queryTableField id="4477" name="Column4477" tableColumnId="4477"/>
      <queryTableField id="4478" name="Column4478" tableColumnId="4478"/>
      <queryTableField id="4479" name="Column4479" tableColumnId="4479"/>
      <queryTableField id="4480" name="Column4480" tableColumnId="4480"/>
      <queryTableField id="4481" name="Column4481" tableColumnId="4481"/>
      <queryTableField id="4482" name="Column4482" tableColumnId="4482"/>
      <queryTableField id="4483" name="Column4483" tableColumnId="4483"/>
      <queryTableField id="4484" name="Column4484" tableColumnId="4484"/>
      <queryTableField id="4485" name="Column4485" tableColumnId="4485"/>
      <queryTableField id="4486" name="Column4486" tableColumnId="4486"/>
      <queryTableField id="4487" name="Column4487" tableColumnId="4487"/>
      <queryTableField id="4488" name="Column4488" tableColumnId="4488"/>
      <queryTableField id="4489" name="Column4489" tableColumnId="4489"/>
      <queryTableField id="4490" name="Column4490" tableColumnId="4490"/>
      <queryTableField id="4491" name="Column4491" tableColumnId="4491"/>
      <queryTableField id="4492" name="Column4492" tableColumnId="4492"/>
      <queryTableField id="4493" name="Column4493" tableColumnId="4493"/>
      <queryTableField id="4494" name="Column4494" tableColumnId="4494"/>
      <queryTableField id="4495" name="Column4495" tableColumnId="4495"/>
      <queryTableField id="4496" name="Column4496" tableColumnId="4496"/>
      <queryTableField id="4497" name="Column4497" tableColumnId="4497"/>
      <queryTableField id="4498" name="Column4498" tableColumnId="4498"/>
      <queryTableField id="4499" name="Column4499" tableColumnId="4499"/>
      <queryTableField id="4500" name="Column4500" tableColumnId="4500"/>
      <queryTableField id="4501" name="Column4501" tableColumnId="4501"/>
      <queryTableField id="4502" name="Column4502" tableColumnId="4502"/>
      <queryTableField id="4503" name="Column4503" tableColumnId="4503"/>
      <queryTableField id="4504" name="Column4504" tableColumnId="4504"/>
      <queryTableField id="4505" name="Column4505" tableColumnId="4505"/>
      <queryTableField id="4506" name="Column4506" tableColumnId="4506"/>
      <queryTableField id="4507" name="Column4507" tableColumnId="4507"/>
      <queryTableField id="4508" name="Column4508" tableColumnId="4508"/>
      <queryTableField id="4509" name="Column4509" tableColumnId="4509"/>
      <queryTableField id="4510" name="Column4510" tableColumnId="4510"/>
      <queryTableField id="4511" name="Column4511" tableColumnId="4511"/>
      <queryTableField id="4512" name="Column4512" tableColumnId="4512"/>
      <queryTableField id="4513" name="Column4513" tableColumnId="4513"/>
      <queryTableField id="4514" name="Column4514" tableColumnId="4514"/>
      <queryTableField id="4515" name="Column4515" tableColumnId="4515"/>
      <queryTableField id="4516" name="Column4516" tableColumnId="4516"/>
      <queryTableField id="4517" name="Column4517" tableColumnId="4517"/>
      <queryTableField id="4518" name="Column4518" tableColumnId="4518"/>
      <queryTableField id="4519" name="Column4519" tableColumnId="4519"/>
      <queryTableField id="4520" name="Column4520" tableColumnId="4520"/>
      <queryTableField id="4521" name="Column4521" tableColumnId="4521"/>
      <queryTableField id="4522" name="Column4522" tableColumnId="4522"/>
      <queryTableField id="4523" name="Column4523" tableColumnId="4523"/>
      <queryTableField id="4524" name="Column4524" tableColumnId="4524"/>
      <queryTableField id="4525" name="Column4525" tableColumnId="4525"/>
      <queryTableField id="4526" name="Column4526" tableColumnId="4526"/>
      <queryTableField id="4527" name="Column4527" tableColumnId="4527"/>
      <queryTableField id="4528" name="Column4528" tableColumnId="4528"/>
      <queryTableField id="4529" name="Column4529" tableColumnId="4529"/>
      <queryTableField id="4530" name="Column4530" tableColumnId="4530"/>
      <queryTableField id="4531" name="Column4531" tableColumnId="4531"/>
      <queryTableField id="4532" name="Column4532" tableColumnId="4532"/>
      <queryTableField id="4533" name="Column4533" tableColumnId="4533"/>
      <queryTableField id="4534" name="Column4534" tableColumnId="4534"/>
      <queryTableField id="4535" name="Column4535" tableColumnId="4535"/>
      <queryTableField id="4536" name="Column4536" tableColumnId="4536"/>
      <queryTableField id="4537" name="Column4537" tableColumnId="4537"/>
      <queryTableField id="4538" name="Column4538" tableColumnId="4538"/>
      <queryTableField id="4539" name="Column4539" tableColumnId="4539"/>
      <queryTableField id="4540" name="Column4540" tableColumnId="4540"/>
      <queryTableField id="4541" name="Column4541" tableColumnId="4541"/>
      <queryTableField id="4542" name="Column4542" tableColumnId="4542"/>
      <queryTableField id="4543" name="Column4543" tableColumnId="4543"/>
      <queryTableField id="4544" name="Column4544" tableColumnId="4544"/>
      <queryTableField id="4545" name="Column4545" tableColumnId="4545"/>
      <queryTableField id="4546" name="Column4546" tableColumnId="4546"/>
      <queryTableField id="4547" name="Column4547" tableColumnId="4547"/>
      <queryTableField id="4548" name="Column4548" tableColumnId="4548"/>
      <queryTableField id="4549" name="Column4549" tableColumnId="4549"/>
      <queryTableField id="4550" name="Column4550" tableColumnId="4550"/>
      <queryTableField id="4551" name="Column4551" tableColumnId="4551"/>
      <queryTableField id="4552" name="Column4552" tableColumnId="4552"/>
      <queryTableField id="4553" name="Column4553" tableColumnId="4553"/>
      <queryTableField id="4554" name="Column4554" tableColumnId="4554"/>
      <queryTableField id="4555" name="Column4555" tableColumnId="4555"/>
      <queryTableField id="4556" name="Column4556" tableColumnId="4556"/>
      <queryTableField id="4557" name="Column4557" tableColumnId="4557"/>
      <queryTableField id="4558" name="Column4558" tableColumnId="4558"/>
      <queryTableField id="4559" name="Column4559" tableColumnId="4559"/>
      <queryTableField id="4560" name="Column4560" tableColumnId="4560"/>
      <queryTableField id="4561" name="Column4561" tableColumnId="4561"/>
      <queryTableField id="4562" name="Column4562" tableColumnId="4562"/>
      <queryTableField id="4563" name="Column4563" tableColumnId="4563"/>
      <queryTableField id="4564" name="Column4564" tableColumnId="4564"/>
      <queryTableField id="4565" name="Column4565" tableColumnId="4565"/>
      <queryTableField id="4566" name="Column4566" tableColumnId="4566"/>
      <queryTableField id="4567" name="Column4567" tableColumnId="4567"/>
      <queryTableField id="4568" name="Column4568" tableColumnId="4568"/>
      <queryTableField id="4569" name="Column4569" tableColumnId="4569"/>
      <queryTableField id="4570" name="Column4570" tableColumnId="4570"/>
      <queryTableField id="4571" name="Column4571" tableColumnId="4571"/>
      <queryTableField id="4572" name="Column4572" tableColumnId="4572"/>
      <queryTableField id="4573" name="Column4573" tableColumnId="4573"/>
      <queryTableField id="4574" name="Column4574" tableColumnId="4574"/>
      <queryTableField id="4575" name="Column4575" tableColumnId="4575"/>
      <queryTableField id="4576" name="Column4576" tableColumnId="4576"/>
      <queryTableField id="4577" name="Column4577" tableColumnId="4577"/>
      <queryTableField id="4578" name="Column4578" tableColumnId="4578"/>
      <queryTableField id="4579" name="Column4579" tableColumnId="4579"/>
      <queryTableField id="4580" name="Column4580" tableColumnId="4580"/>
      <queryTableField id="4581" name="Column4581" tableColumnId="4581"/>
      <queryTableField id="4582" name="Column4582" tableColumnId="4582"/>
      <queryTableField id="4583" name="Column4583" tableColumnId="4583"/>
      <queryTableField id="4584" name="Column4584" tableColumnId="4584"/>
      <queryTableField id="4585" name="Column4585" tableColumnId="4585"/>
      <queryTableField id="4586" name="Column4586" tableColumnId="4586"/>
      <queryTableField id="4587" name="Column4587" tableColumnId="4587"/>
      <queryTableField id="4588" name="Column4588" tableColumnId="4588"/>
      <queryTableField id="4589" name="Column4589" tableColumnId="4589"/>
      <queryTableField id="4590" name="Column4590" tableColumnId="4590"/>
      <queryTableField id="4591" name="Column4591" tableColumnId="4591"/>
      <queryTableField id="4592" name="Column4592" tableColumnId="4592"/>
      <queryTableField id="4593" name="Column4593" tableColumnId="4593"/>
      <queryTableField id="4594" name="Column4594" tableColumnId="4594"/>
      <queryTableField id="4595" name="Column4595" tableColumnId="4595"/>
      <queryTableField id="4596" name="Column4596" tableColumnId="4596"/>
      <queryTableField id="4597" name="Column4597" tableColumnId="4597"/>
      <queryTableField id="4598" name="Column4598" tableColumnId="4598"/>
      <queryTableField id="4599" name="Column4599" tableColumnId="4599"/>
      <queryTableField id="4600" name="Column4600" tableColumnId="4600"/>
      <queryTableField id="4601" name="Column4601" tableColumnId="4601"/>
      <queryTableField id="4602" name="Column4602" tableColumnId="4602"/>
      <queryTableField id="4603" name="Column4603" tableColumnId="4603"/>
      <queryTableField id="4604" name="Column4604" tableColumnId="4604"/>
      <queryTableField id="4605" name="Column4605" tableColumnId="4605"/>
      <queryTableField id="4606" name="Column4606" tableColumnId="4606"/>
      <queryTableField id="4607" name="Column4607" tableColumnId="4607"/>
      <queryTableField id="4608" name="Column4608" tableColumnId="4608"/>
      <queryTableField id="4609" name="Column4609" tableColumnId="4609"/>
      <queryTableField id="4610" name="Column4610" tableColumnId="4610"/>
      <queryTableField id="4611" name="Column4611" tableColumnId="4611"/>
      <queryTableField id="4612" name="Column4612" tableColumnId="4612"/>
      <queryTableField id="4613" name="Column4613" tableColumnId="4613"/>
      <queryTableField id="4614" name="Column4614" tableColumnId="4614"/>
      <queryTableField id="4615" name="Column4615" tableColumnId="4615"/>
      <queryTableField id="4616" name="Column4616" tableColumnId="4616"/>
      <queryTableField id="4617" name="Column4617" tableColumnId="4617"/>
      <queryTableField id="4618" name="Column4618" tableColumnId="4618"/>
      <queryTableField id="4619" name="Column4619" tableColumnId="4619"/>
      <queryTableField id="4620" name="Column4620" tableColumnId="4620"/>
      <queryTableField id="4621" name="Column4621" tableColumnId="4621"/>
      <queryTableField id="4622" name="Column4622" tableColumnId="4622"/>
      <queryTableField id="4623" name="Column4623" tableColumnId="4623"/>
      <queryTableField id="4624" name="Column4624" tableColumnId="4624"/>
      <queryTableField id="4625" name="Column4625" tableColumnId="4625"/>
      <queryTableField id="4626" name="Column4626" tableColumnId="4626"/>
      <queryTableField id="4627" name="Column4627" tableColumnId="4627"/>
      <queryTableField id="4628" name="Column4628" tableColumnId="4628"/>
      <queryTableField id="4629" name="Column4629" tableColumnId="4629"/>
      <queryTableField id="4630" name="Column4630" tableColumnId="4630"/>
      <queryTableField id="4631" name="Column4631" tableColumnId="4631"/>
      <queryTableField id="4632" name="Column4632" tableColumnId="4632"/>
      <queryTableField id="4633" name="Column4633" tableColumnId="4633"/>
      <queryTableField id="4634" name="Column4634" tableColumnId="4634"/>
      <queryTableField id="4635" name="Column4635" tableColumnId="4635"/>
      <queryTableField id="4636" name="Column4636" tableColumnId="4636"/>
      <queryTableField id="4637" name="Column4637" tableColumnId="4637"/>
      <queryTableField id="4638" name="Column4638" tableColumnId="4638"/>
      <queryTableField id="4639" name="Column4639" tableColumnId="4639"/>
      <queryTableField id="4640" name="Column4640" tableColumnId="4640"/>
      <queryTableField id="4641" name="Column4641" tableColumnId="4641"/>
      <queryTableField id="4642" name="Column4642" tableColumnId="4642"/>
      <queryTableField id="4643" name="Column4643" tableColumnId="4643"/>
      <queryTableField id="4644" name="Column4644" tableColumnId="4644"/>
      <queryTableField id="4645" name="Column4645" tableColumnId="4645"/>
      <queryTableField id="4646" name="Column4646" tableColumnId="4646"/>
      <queryTableField id="4647" name="Column4647" tableColumnId="4647"/>
      <queryTableField id="4648" name="Column4648" tableColumnId="4648"/>
      <queryTableField id="4649" name="Column4649" tableColumnId="4649"/>
      <queryTableField id="4650" name="Column4650" tableColumnId="4650"/>
      <queryTableField id="4651" name="Column4651" tableColumnId="4651"/>
      <queryTableField id="4652" name="Column4652" tableColumnId="4652"/>
      <queryTableField id="4653" name="Column4653" tableColumnId="4653"/>
      <queryTableField id="4654" name="Column4654" tableColumnId="4654"/>
      <queryTableField id="4655" name="Column4655" tableColumnId="4655"/>
      <queryTableField id="4656" name="Column4656" tableColumnId="4656"/>
      <queryTableField id="4657" name="Column4657" tableColumnId="4657"/>
      <queryTableField id="4658" name="Column4658" tableColumnId="4658"/>
      <queryTableField id="4659" name="Column4659" tableColumnId="4659"/>
      <queryTableField id="4660" name="Column4660" tableColumnId="4660"/>
      <queryTableField id="4661" name="Column4661" tableColumnId="4661"/>
      <queryTableField id="4662" name="Column4662" tableColumnId="4662"/>
      <queryTableField id="4663" name="Column4663" tableColumnId="4663"/>
      <queryTableField id="4664" name="Column4664" tableColumnId="4664"/>
      <queryTableField id="4665" name="Column4665" tableColumnId="4665"/>
      <queryTableField id="4666" name="Column4666" tableColumnId="4666"/>
      <queryTableField id="4667" name="Column4667" tableColumnId="4667"/>
      <queryTableField id="4668" name="Column4668" tableColumnId="4668"/>
      <queryTableField id="4669" name="Column4669" tableColumnId="4669"/>
      <queryTableField id="4670" name="Column4670" tableColumnId="4670"/>
      <queryTableField id="4671" name="Column4671" tableColumnId="4671"/>
      <queryTableField id="4672" name="Column4672" tableColumnId="4672"/>
      <queryTableField id="4673" name="Column4673" tableColumnId="4673"/>
      <queryTableField id="4674" name="Column4674" tableColumnId="4674"/>
      <queryTableField id="4675" name="Column4675" tableColumnId="4675"/>
      <queryTableField id="4676" name="Column4676" tableColumnId="4676"/>
      <queryTableField id="4677" name="Column4677" tableColumnId="4677"/>
      <queryTableField id="4678" name="Column4678" tableColumnId="4678"/>
      <queryTableField id="4679" name="Column4679" tableColumnId="4679"/>
      <queryTableField id="4680" name="Column4680" tableColumnId="4680"/>
      <queryTableField id="4681" name="Column4681" tableColumnId="4681"/>
      <queryTableField id="4682" name="Column4682" tableColumnId="4682"/>
      <queryTableField id="4683" name="Column4683" tableColumnId="4683"/>
      <queryTableField id="4684" name="Column4684" tableColumnId="4684"/>
      <queryTableField id="4685" name="Column4685" tableColumnId="4685"/>
      <queryTableField id="4686" name="Column4686" tableColumnId="4686"/>
      <queryTableField id="4687" name="Column4687" tableColumnId="4687"/>
      <queryTableField id="4688" name="Column4688" tableColumnId="4688"/>
      <queryTableField id="4689" name="Column4689" tableColumnId="4689"/>
      <queryTableField id="4690" name="Column4690" tableColumnId="4690"/>
      <queryTableField id="4691" name="Column4691" tableColumnId="4691"/>
      <queryTableField id="4692" name="Column4692" tableColumnId="4692"/>
      <queryTableField id="4693" name="Column4693" tableColumnId="4693"/>
      <queryTableField id="4694" name="Column4694" tableColumnId="4694"/>
      <queryTableField id="4695" name="Column4695" tableColumnId="4695"/>
      <queryTableField id="4696" name="Column4696" tableColumnId="4696"/>
      <queryTableField id="4697" name="Column4697" tableColumnId="4697"/>
      <queryTableField id="4698" name="Column4698" tableColumnId="4698"/>
      <queryTableField id="4699" name="Column4699" tableColumnId="4699"/>
      <queryTableField id="4700" name="Column4700" tableColumnId="4700"/>
      <queryTableField id="4701" name="Column4701" tableColumnId="4701"/>
      <queryTableField id="4702" name="Column4702" tableColumnId="4702"/>
      <queryTableField id="4703" name="Column4703" tableColumnId="4703"/>
      <queryTableField id="4704" name="Column4704" tableColumnId="4704"/>
      <queryTableField id="4705" name="Column4705" tableColumnId="4705"/>
      <queryTableField id="4706" name="Column4706" tableColumnId="4706"/>
      <queryTableField id="4707" name="Column4707" tableColumnId="4707"/>
      <queryTableField id="4708" name="Column4708" tableColumnId="4708"/>
      <queryTableField id="4709" name="Column4709" tableColumnId="4709"/>
      <queryTableField id="4710" name="Column4710" tableColumnId="4710"/>
      <queryTableField id="4711" name="Column4711" tableColumnId="4711"/>
      <queryTableField id="4712" name="Column4712" tableColumnId="4712"/>
      <queryTableField id="4713" name="Column4713" tableColumnId="4713"/>
      <queryTableField id="4714" name="Column4714" tableColumnId="4714"/>
      <queryTableField id="4715" name="Column4715" tableColumnId="4715"/>
      <queryTableField id="4716" name="Column4716" tableColumnId="4716"/>
      <queryTableField id="4717" name="Column4717" tableColumnId="4717"/>
      <queryTableField id="4718" name="Column4718" tableColumnId="4718"/>
      <queryTableField id="4719" name="Column4719" tableColumnId="4719"/>
      <queryTableField id="4720" name="Column4720" tableColumnId="4720"/>
      <queryTableField id="4721" name="Column4721" tableColumnId="4721"/>
      <queryTableField id="4722" name="Column4722" tableColumnId="4722"/>
      <queryTableField id="4723" name="Column4723" tableColumnId="4723"/>
      <queryTableField id="4724" name="Column4724" tableColumnId="4724"/>
      <queryTableField id="4725" name="Column4725" tableColumnId="4725"/>
      <queryTableField id="4726" name="Column4726" tableColumnId="4726"/>
      <queryTableField id="4727" name="Column4727" tableColumnId="4727"/>
      <queryTableField id="4728" name="Column4728" tableColumnId="4728"/>
      <queryTableField id="4729" name="Column4729" tableColumnId="4729"/>
      <queryTableField id="4730" name="Column4730" tableColumnId="4730"/>
      <queryTableField id="4731" name="Column4731" tableColumnId="4731"/>
      <queryTableField id="4732" name="Column4732" tableColumnId="4732"/>
      <queryTableField id="4733" name="Column4733" tableColumnId="4733"/>
      <queryTableField id="4734" name="Column4734" tableColumnId="4734"/>
      <queryTableField id="4735" name="Column4735" tableColumnId="4735"/>
      <queryTableField id="4736" name="Column4736" tableColumnId="4736"/>
      <queryTableField id="4737" name="Column4737" tableColumnId="4737"/>
      <queryTableField id="4738" name="Column4738" tableColumnId="4738"/>
      <queryTableField id="4739" name="Column4739" tableColumnId="4739"/>
      <queryTableField id="4740" name="Column4740" tableColumnId="4740"/>
      <queryTableField id="4741" name="Column4741" tableColumnId="4741"/>
      <queryTableField id="4742" name="Column4742" tableColumnId="4742"/>
      <queryTableField id="4743" name="Column4743" tableColumnId="4743"/>
      <queryTableField id="4744" name="Column4744" tableColumnId="4744"/>
      <queryTableField id="4745" name="Column4745" tableColumnId="4745"/>
      <queryTableField id="4746" name="Column4746" tableColumnId="4746"/>
      <queryTableField id="4747" name="Column4747" tableColumnId="4747"/>
      <queryTableField id="4748" name="Column4748" tableColumnId="4748"/>
      <queryTableField id="4749" name="Column4749" tableColumnId="4749"/>
      <queryTableField id="4750" name="Column4750" tableColumnId="4750"/>
      <queryTableField id="4751" name="Column4751" tableColumnId="4751"/>
      <queryTableField id="4752" name="Column4752" tableColumnId="4752"/>
      <queryTableField id="4753" name="Column4753" tableColumnId="4753"/>
      <queryTableField id="4754" name="Column4754" tableColumnId="4754"/>
      <queryTableField id="4755" name="Column4755" tableColumnId="4755"/>
      <queryTableField id="4756" name="Column4756" tableColumnId="4756"/>
      <queryTableField id="4757" name="Column4757" tableColumnId="4757"/>
      <queryTableField id="4758" name="Column4758" tableColumnId="4758"/>
      <queryTableField id="4759" name="Column4759" tableColumnId="4759"/>
      <queryTableField id="4760" name="Column4760" tableColumnId="4760"/>
      <queryTableField id="4761" name="Column4761" tableColumnId="4761"/>
      <queryTableField id="4762" name="Column4762" tableColumnId="4762"/>
      <queryTableField id="4763" name="Column4763" tableColumnId="4763"/>
      <queryTableField id="4764" name="Column4764" tableColumnId="4764"/>
      <queryTableField id="4765" name="Column4765" tableColumnId="4765"/>
      <queryTableField id="4766" name="Column4766" tableColumnId="4766"/>
      <queryTableField id="4767" name="Column4767" tableColumnId="4767"/>
      <queryTableField id="4768" name="Column4768" tableColumnId="4768"/>
      <queryTableField id="4769" name="Column4769" tableColumnId="4769"/>
      <queryTableField id="4770" name="Column4770" tableColumnId="4770"/>
      <queryTableField id="4771" name="Column4771" tableColumnId="4771"/>
      <queryTableField id="4772" name="Column4772" tableColumnId="4772"/>
      <queryTableField id="4773" name="Column4773" tableColumnId="4773"/>
      <queryTableField id="4774" name="Column4774" tableColumnId="4774"/>
      <queryTableField id="4775" name="Column4775" tableColumnId="4775"/>
      <queryTableField id="4776" name="Column4776" tableColumnId="4776"/>
      <queryTableField id="4777" name="Column4777" tableColumnId="4777"/>
      <queryTableField id="4778" name="Column4778" tableColumnId="4778"/>
      <queryTableField id="4779" name="Column4779" tableColumnId="4779"/>
      <queryTableField id="4780" name="Column4780" tableColumnId="4780"/>
      <queryTableField id="4781" name="Column4781" tableColumnId="4781"/>
      <queryTableField id="4782" name="Column4782" tableColumnId="4782"/>
      <queryTableField id="4783" name="Column4783" tableColumnId="4783"/>
      <queryTableField id="4784" name="Column4784" tableColumnId="4784"/>
      <queryTableField id="4785" name="Column4785" tableColumnId="4785"/>
      <queryTableField id="4786" name="Column4786" tableColumnId="4786"/>
      <queryTableField id="4787" name="Column4787" tableColumnId="4787"/>
      <queryTableField id="4788" name="Column4788" tableColumnId="4788"/>
      <queryTableField id="4789" name="Column4789" tableColumnId="4789"/>
      <queryTableField id="4790" name="Column4790" tableColumnId="4790"/>
      <queryTableField id="4791" name="Column4791" tableColumnId="4791"/>
      <queryTableField id="4792" name="Column4792" tableColumnId="4792"/>
      <queryTableField id="4793" name="Column4793" tableColumnId="4793"/>
      <queryTableField id="4794" name="Column4794" tableColumnId="4794"/>
      <queryTableField id="4795" name="Column4795" tableColumnId="4795"/>
      <queryTableField id="4796" name="Column4796" tableColumnId="4796"/>
      <queryTableField id="4797" name="Column4797" tableColumnId="4797"/>
      <queryTableField id="4798" name="Column4798" tableColumnId="4798"/>
      <queryTableField id="4799" name="Column4799" tableColumnId="4799"/>
      <queryTableField id="4800" name="Column4800" tableColumnId="4800"/>
      <queryTableField id="4801" name="Column4801" tableColumnId="4801"/>
      <queryTableField id="4802" name="Column4802" tableColumnId="4802"/>
      <queryTableField id="4803" name="Column4803" tableColumnId="4803"/>
      <queryTableField id="4804" name="Column4804" tableColumnId="4804"/>
      <queryTableField id="4805" name="Column4805" tableColumnId="4805"/>
      <queryTableField id="4806" name="Column4806" tableColumnId="4806"/>
      <queryTableField id="4807" name="Column4807" tableColumnId="4807"/>
      <queryTableField id="4808" name="Column4808" tableColumnId="4808"/>
      <queryTableField id="4809" name="Column4809" tableColumnId="4809"/>
      <queryTableField id="4810" name="Column4810" tableColumnId="4810"/>
      <queryTableField id="4811" name="Column4811" tableColumnId="4811"/>
      <queryTableField id="4812" name="Column4812" tableColumnId="4812"/>
      <queryTableField id="4813" name="Column4813" tableColumnId="4813"/>
      <queryTableField id="4814" name="Column4814" tableColumnId="4814"/>
      <queryTableField id="4815" name="Column4815" tableColumnId="4815"/>
      <queryTableField id="4816" name="Column4816" tableColumnId="4816"/>
      <queryTableField id="4817" name="Column4817" tableColumnId="4817"/>
      <queryTableField id="4818" name="Column4818" tableColumnId="4818"/>
      <queryTableField id="4819" name="Column4819" tableColumnId="4819"/>
      <queryTableField id="4820" name="Column4820" tableColumnId="4820"/>
      <queryTableField id="4821" name="Column4821" tableColumnId="4821"/>
      <queryTableField id="4822" name="Column4822" tableColumnId="4822"/>
      <queryTableField id="4823" name="Column4823" tableColumnId="4823"/>
      <queryTableField id="4824" name="Column4824" tableColumnId="4824"/>
      <queryTableField id="4825" name="Column4825" tableColumnId="4825"/>
      <queryTableField id="4826" name="Column4826" tableColumnId="4826"/>
      <queryTableField id="4827" name="Column4827" tableColumnId="4827"/>
      <queryTableField id="4828" name="Column4828" tableColumnId="4828"/>
      <queryTableField id="4829" name="Column4829" tableColumnId="4829"/>
      <queryTableField id="4830" name="Column4830" tableColumnId="4830"/>
      <queryTableField id="4831" name="Column4831" tableColumnId="4831"/>
      <queryTableField id="4832" name="Column4832" tableColumnId="4832"/>
      <queryTableField id="4833" name="Column4833" tableColumnId="4833"/>
      <queryTableField id="4834" name="Column4834" tableColumnId="4834"/>
      <queryTableField id="4835" name="Column4835" tableColumnId="4835"/>
      <queryTableField id="4836" name="Column4836" tableColumnId="4836"/>
      <queryTableField id="4837" name="Column4837" tableColumnId="4837"/>
      <queryTableField id="4838" name="Column4838" tableColumnId="4838"/>
      <queryTableField id="4839" name="Column4839" tableColumnId="4839"/>
      <queryTableField id="4840" name="Column4840" tableColumnId="4840"/>
      <queryTableField id="4841" name="Column4841" tableColumnId="4841"/>
      <queryTableField id="4842" name="Column4842" tableColumnId="4842"/>
      <queryTableField id="4843" name="Column4843" tableColumnId="4843"/>
      <queryTableField id="4844" name="Column4844" tableColumnId="4844"/>
      <queryTableField id="4845" name="Column4845" tableColumnId="4845"/>
      <queryTableField id="4846" name="Column4846" tableColumnId="4846"/>
      <queryTableField id="4847" name="Column4847" tableColumnId="4847"/>
      <queryTableField id="4848" name="Column4848" tableColumnId="4848"/>
      <queryTableField id="4849" name="Column4849" tableColumnId="4849"/>
      <queryTableField id="4850" name="Column4850" tableColumnId="4850"/>
      <queryTableField id="4851" name="Column4851" tableColumnId="4851"/>
      <queryTableField id="4852" name="Column4852" tableColumnId="4852"/>
      <queryTableField id="4853" name="Column4853" tableColumnId="4853"/>
      <queryTableField id="4854" name="Column4854" tableColumnId="4854"/>
      <queryTableField id="4855" name="Column4855" tableColumnId="4855"/>
      <queryTableField id="4856" name="Column4856" tableColumnId="4856"/>
      <queryTableField id="4857" name="Column4857" tableColumnId="4857"/>
      <queryTableField id="4858" name="Column4858" tableColumnId="4858"/>
      <queryTableField id="4859" name="Column4859" tableColumnId="4859"/>
      <queryTableField id="4860" name="Column4860" tableColumnId="4860"/>
      <queryTableField id="4861" name="Column4861" tableColumnId="4861"/>
      <queryTableField id="4862" name="Column4862" tableColumnId="4862"/>
      <queryTableField id="4863" name="Column4863" tableColumnId="4863"/>
      <queryTableField id="4864" name="Column4864" tableColumnId="4864"/>
      <queryTableField id="4865" name="Column4865" tableColumnId="4865"/>
      <queryTableField id="4866" name="Column4866" tableColumnId="4866"/>
      <queryTableField id="4867" name="Column4867" tableColumnId="4867"/>
      <queryTableField id="4868" name="Column4868" tableColumnId="4868"/>
      <queryTableField id="4869" name="Column4869" tableColumnId="4869"/>
      <queryTableField id="4870" name="Column4870" tableColumnId="4870"/>
      <queryTableField id="4871" name="Column4871" tableColumnId="4871"/>
      <queryTableField id="4872" name="Column4872" tableColumnId="4872"/>
      <queryTableField id="4873" name="Column4873" tableColumnId="4873"/>
      <queryTableField id="4874" name="Column4874" tableColumnId="4874"/>
      <queryTableField id="4875" name="Column4875" tableColumnId="4875"/>
      <queryTableField id="4876" name="Column4876" tableColumnId="4876"/>
      <queryTableField id="4877" name="Column4877" tableColumnId="4877"/>
      <queryTableField id="4878" name="Column4878" tableColumnId="4878"/>
      <queryTableField id="4879" name="Column4879" tableColumnId="4879"/>
      <queryTableField id="4880" name="Column4880" tableColumnId="4880"/>
      <queryTableField id="4881" name="Column4881" tableColumnId="4881"/>
      <queryTableField id="4882" name="Column4882" tableColumnId="4882"/>
      <queryTableField id="4883" name="Column4883" tableColumnId="4883"/>
      <queryTableField id="4884" name="Column4884" tableColumnId="4884"/>
      <queryTableField id="4885" name="Column4885" tableColumnId="4885"/>
      <queryTableField id="4886" name="Column4886" tableColumnId="4886"/>
      <queryTableField id="4887" name="Column4887" tableColumnId="4887"/>
      <queryTableField id="4888" name="Column4888" tableColumnId="4888"/>
      <queryTableField id="4889" name="Column4889" tableColumnId="4889"/>
      <queryTableField id="4890" name="Column4890" tableColumnId="4890"/>
      <queryTableField id="4891" name="Column4891" tableColumnId="4891"/>
      <queryTableField id="4892" name="Column4892" tableColumnId="4892"/>
      <queryTableField id="4893" name="Column4893" tableColumnId="4893"/>
      <queryTableField id="4894" name="Column4894" tableColumnId="4894"/>
      <queryTableField id="4895" name="Column4895" tableColumnId="4895"/>
      <queryTableField id="4896" name="Column4896" tableColumnId="4896"/>
      <queryTableField id="4897" name="Column4897" tableColumnId="4897"/>
      <queryTableField id="4898" name="Column4898" tableColumnId="4898"/>
      <queryTableField id="4899" name="Column4899" tableColumnId="4899"/>
      <queryTableField id="4900" name="Column4900" tableColumnId="4900"/>
      <queryTableField id="4901" name="Column4901" tableColumnId="4901"/>
      <queryTableField id="4902" name="Column4902" tableColumnId="4902"/>
      <queryTableField id="4903" name="Column4903" tableColumnId="4903"/>
      <queryTableField id="4904" name="Column4904" tableColumnId="4904"/>
      <queryTableField id="4905" name="Column4905" tableColumnId="4905"/>
      <queryTableField id="4906" name="Column4906" tableColumnId="4906"/>
      <queryTableField id="4907" name="Column4907" tableColumnId="4907"/>
      <queryTableField id="4908" name="Column4908" tableColumnId="4908"/>
      <queryTableField id="4909" name="Column4909" tableColumnId="4909"/>
      <queryTableField id="4910" name="Column4910" tableColumnId="4910"/>
      <queryTableField id="4911" name="Column4911" tableColumnId="4911"/>
      <queryTableField id="4912" name="Column4912" tableColumnId="4912"/>
      <queryTableField id="4913" name="Column4913" tableColumnId="4913"/>
      <queryTableField id="4914" name="Column4914" tableColumnId="4914"/>
      <queryTableField id="4915" name="Column4915" tableColumnId="4915"/>
      <queryTableField id="4916" name="Column4916" tableColumnId="4916"/>
      <queryTableField id="4917" name="Column4917" tableColumnId="4917"/>
      <queryTableField id="4918" name="Column4918" tableColumnId="4918"/>
      <queryTableField id="4919" name="Column4919" tableColumnId="4919"/>
      <queryTableField id="4920" name="Column4920" tableColumnId="4920"/>
      <queryTableField id="4921" name="Column4921" tableColumnId="4921"/>
      <queryTableField id="4922" name="Column4922" tableColumnId="4922"/>
      <queryTableField id="4923" name="Column4923" tableColumnId="4923"/>
      <queryTableField id="4924" name="Column4924" tableColumnId="4924"/>
      <queryTableField id="4925" name="Column4925" tableColumnId="4925"/>
      <queryTableField id="4926" name="Column4926" tableColumnId="4926"/>
      <queryTableField id="4927" name="Column4927" tableColumnId="4927"/>
      <queryTableField id="4928" name="Column4928" tableColumnId="4928"/>
      <queryTableField id="4929" name="Column4929" tableColumnId="4929"/>
      <queryTableField id="4930" name="Column4930" tableColumnId="4930"/>
      <queryTableField id="4931" name="Column4931" tableColumnId="4931"/>
      <queryTableField id="4932" name="Column4932" tableColumnId="4932"/>
      <queryTableField id="4933" name="Column4933" tableColumnId="4933"/>
      <queryTableField id="4934" name="Column4934" tableColumnId="4934"/>
      <queryTableField id="4935" name="Column4935" tableColumnId="4935"/>
      <queryTableField id="4936" name="Column4936" tableColumnId="4936"/>
      <queryTableField id="4937" name="Column4937" tableColumnId="4937"/>
      <queryTableField id="4938" name="Column4938" tableColumnId="4938"/>
      <queryTableField id="4939" name="Column4939" tableColumnId="4939"/>
      <queryTableField id="4940" name="Column4940" tableColumnId="4940"/>
      <queryTableField id="4941" name="Column4941" tableColumnId="4941"/>
      <queryTableField id="4942" name="Column4942" tableColumnId="4942"/>
      <queryTableField id="4943" name="Column4943" tableColumnId="4943"/>
      <queryTableField id="4944" name="Column4944" tableColumnId="4944"/>
      <queryTableField id="4945" name="Column4945" tableColumnId="4945"/>
      <queryTableField id="4946" name="Column4946" tableColumnId="4946"/>
      <queryTableField id="4947" name="Column4947" tableColumnId="4947"/>
      <queryTableField id="4948" name="Column4948" tableColumnId="4948"/>
      <queryTableField id="4949" name="Column4949" tableColumnId="4949"/>
      <queryTableField id="4950" name="Column4950" tableColumnId="4950"/>
      <queryTableField id="4951" name="Column4951" tableColumnId="4951"/>
      <queryTableField id="4952" name="Column4952" tableColumnId="4952"/>
      <queryTableField id="4953" name="Column4953" tableColumnId="4953"/>
      <queryTableField id="4954" name="Column4954" tableColumnId="4954"/>
      <queryTableField id="4955" name="Column4955" tableColumnId="4955"/>
      <queryTableField id="4956" name="Column4956" tableColumnId="4956"/>
      <queryTableField id="4957" name="Column4957" tableColumnId="4957"/>
      <queryTableField id="4958" name="Column4958" tableColumnId="4958"/>
      <queryTableField id="4959" name="Column4959" tableColumnId="4959"/>
      <queryTableField id="4960" name="Column4960" tableColumnId="4960"/>
      <queryTableField id="4961" name="Column4961" tableColumnId="4961"/>
      <queryTableField id="4962" name="Column4962" tableColumnId="4962"/>
      <queryTableField id="4963" name="Column4963" tableColumnId="4963"/>
      <queryTableField id="4964" name="Column4964" tableColumnId="4964"/>
      <queryTableField id="4965" name="Column4965" tableColumnId="4965"/>
      <queryTableField id="4966" name="Column4966" tableColumnId="4966"/>
      <queryTableField id="4967" name="Column4967" tableColumnId="4967"/>
      <queryTableField id="4968" name="Column4968" tableColumnId="4968"/>
      <queryTableField id="4969" name="Column4969" tableColumnId="4969"/>
      <queryTableField id="4970" name="Column4970" tableColumnId="4970"/>
      <queryTableField id="4971" name="Column4971" tableColumnId="4971"/>
      <queryTableField id="4972" name="Column4972" tableColumnId="4972"/>
      <queryTableField id="4973" name="Column4973" tableColumnId="4973"/>
      <queryTableField id="4974" name="Column4974" tableColumnId="4974"/>
      <queryTableField id="4975" name="Column4975" tableColumnId="4975"/>
      <queryTableField id="4976" name="Column4976" tableColumnId="4976"/>
      <queryTableField id="4977" name="Column4977" tableColumnId="4977"/>
      <queryTableField id="4978" name="Column4978" tableColumnId="4978"/>
      <queryTableField id="4979" name="Column4979" tableColumnId="4979"/>
      <queryTableField id="4980" name="Column4980" tableColumnId="4980"/>
      <queryTableField id="4981" name="Column4981" tableColumnId="4981"/>
      <queryTableField id="4982" name="Column4982" tableColumnId="4982"/>
      <queryTableField id="4983" name="Column4983" tableColumnId="4983"/>
      <queryTableField id="4984" name="Column4984" tableColumnId="4984"/>
      <queryTableField id="4985" name="Column4985" tableColumnId="4985"/>
      <queryTableField id="4986" name="Column4986" tableColumnId="4986"/>
      <queryTableField id="4987" name="Column4987" tableColumnId="4987"/>
      <queryTableField id="4988" name="Column4988" tableColumnId="4988"/>
      <queryTableField id="4989" name="Column4989" tableColumnId="4989"/>
      <queryTableField id="4990" name="Column4990" tableColumnId="4990"/>
      <queryTableField id="4991" name="Column4991" tableColumnId="4991"/>
      <queryTableField id="4992" name="Column4992" tableColumnId="4992"/>
      <queryTableField id="4993" name="Column4993" tableColumnId="4993"/>
      <queryTableField id="4994" name="Column4994" tableColumnId="4994"/>
      <queryTableField id="4995" name="Column4995" tableColumnId="4995"/>
      <queryTableField id="4996" name="Column4996" tableColumnId="4996"/>
      <queryTableField id="4997" name="Column4997" tableColumnId="4997"/>
      <queryTableField id="4998" name="Column4998" tableColumnId="4998"/>
      <queryTableField id="4999" name="Column4999" tableColumnId="4999"/>
      <queryTableField id="5000" name="Column5000" tableColumnId="5000"/>
      <queryTableField id="5001" name="Column5001" tableColumnId="5001"/>
      <queryTableField id="5002" name="Column5002" tableColumnId="5002"/>
      <queryTableField id="5003" name="Column5003" tableColumnId="5003"/>
      <queryTableField id="5004" name="Column5004" tableColumnId="5004"/>
      <queryTableField id="5005" name="Column5005" tableColumnId="5005"/>
      <queryTableField id="5006" name="Column5006" tableColumnId="5006"/>
      <queryTableField id="5007" name="Column5007" tableColumnId="5007"/>
      <queryTableField id="5008" name="Column5008" tableColumnId="5008"/>
      <queryTableField id="5009" name="Column5009" tableColumnId="5009"/>
      <queryTableField id="5010" name="Column5010" tableColumnId="5010"/>
      <queryTableField id="5011" name="Column5011" tableColumnId="5011"/>
      <queryTableField id="5012" name="Column5012" tableColumnId="5012"/>
      <queryTableField id="5013" name="Column5013" tableColumnId="5013"/>
      <queryTableField id="5014" name="Column5014" tableColumnId="5014"/>
      <queryTableField id="5015" name="Column5015" tableColumnId="5015"/>
      <queryTableField id="5016" name="Column5016" tableColumnId="5016"/>
      <queryTableField id="5017" name="Column5017" tableColumnId="5017"/>
      <queryTableField id="5018" name="Column5018" tableColumnId="5018"/>
      <queryTableField id="5019" name="Column5019" tableColumnId="5019"/>
      <queryTableField id="5020" name="Column5020" tableColumnId="5020"/>
      <queryTableField id="5021" name="Column5021" tableColumnId="5021"/>
      <queryTableField id="5022" name="Column5022" tableColumnId="5022"/>
      <queryTableField id="5023" name="Column5023" tableColumnId="5023"/>
      <queryTableField id="5024" name="Column5024" tableColumnId="5024"/>
      <queryTableField id="5025" name="Column5025" tableColumnId="5025"/>
      <queryTableField id="5026" name="Column5026" tableColumnId="5026"/>
      <queryTableField id="5027" name="Column5027" tableColumnId="5027"/>
      <queryTableField id="5028" name="Column5028" tableColumnId="5028"/>
      <queryTableField id="5029" name="Column5029" tableColumnId="5029"/>
      <queryTableField id="5030" name="Column5030" tableColumnId="5030"/>
      <queryTableField id="5031" name="Column5031" tableColumnId="5031"/>
      <queryTableField id="5032" name="Column5032" tableColumnId="5032"/>
      <queryTableField id="5033" name="Column5033" tableColumnId="5033"/>
      <queryTableField id="5034" name="Column5034" tableColumnId="5034"/>
      <queryTableField id="5035" name="Column5035" tableColumnId="5035"/>
      <queryTableField id="5036" name="Column5036" tableColumnId="5036"/>
      <queryTableField id="5037" name="Column5037" tableColumnId="5037"/>
      <queryTableField id="5038" name="Column5038" tableColumnId="5038"/>
      <queryTableField id="5039" name="Column5039" tableColumnId="5039"/>
      <queryTableField id="5040" name="Column5040" tableColumnId="5040"/>
      <queryTableField id="5041" name="Column5041" tableColumnId="5041"/>
      <queryTableField id="5042" name="Column5042" tableColumnId="5042"/>
      <queryTableField id="5043" name="Column5043" tableColumnId="5043"/>
      <queryTableField id="5044" name="Column5044" tableColumnId="5044"/>
      <queryTableField id="5045" name="Column5045" tableColumnId="5045"/>
      <queryTableField id="5046" name="Column5046" tableColumnId="5046"/>
      <queryTableField id="5047" name="Column5047" tableColumnId="5047"/>
      <queryTableField id="5048" name="Column5048" tableColumnId="5048"/>
      <queryTableField id="5049" name="Column5049" tableColumnId="5049"/>
      <queryTableField id="5050" name="Column5050" tableColumnId="5050"/>
      <queryTableField id="5051" name="Column5051" tableColumnId="5051"/>
      <queryTableField id="5052" name="Column5052" tableColumnId="5052"/>
      <queryTableField id="5053" name="Column5053" tableColumnId="5053"/>
      <queryTableField id="5054" name="Column5054" tableColumnId="5054"/>
      <queryTableField id="5055" name="Column5055" tableColumnId="5055"/>
      <queryTableField id="5056" name="Column5056" tableColumnId="5056"/>
      <queryTableField id="5057" name="Column5057" tableColumnId="5057"/>
      <queryTableField id="5058" name="Column5058" tableColumnId="5058"/>
      <queryTableField id="5059" name="Column5059" tableColumnId="5059"/>
      <queryTableField id="5060" name="Column5060" tableColumnId="5060"/>
      <queryTableField id="5061" name="Column5061" tableColumnId="5061"/>
      <queryTableField id="5062" name="Column5062" tableColumnId="5062"/>
      <queryTableField id="5063" name="Column5063" tableColumnId="5063"/>
      <queryTableField id="5064" name="Column5064" tableColumnId="5064"/>
      <queryTableField id="5065" name="Column5065" tableColumnId="5065"/>
      <queryTableField id="5066" name="Column5066" tableColumnId="5066"/>
      <queryTableField id="5067" name="Column5067" tableColumnId="5067"/>
      <queryTableField id="5068" name="Column5068" tableColumnId="5068"/>
      <queryTableField id="5069" name="Column5069" tableColumnId="5069"/>
      <queryTableField id="5070" name="Column5070" tableColumnId="5070"/>
      <queryTableField id="5071" name="Column5071" tableColumnId="5071"/>
      <queryTableField id="5072" name="Column5072" tableColumnId="5072"/>
      <queryTableField id="5073" name="Column5073" tableColumnId="5073"/>
      <queryTableField id="5074" name="Column5074" tableColumnId="5074"/>
      <queryTableField id="5075" name="Column5075" tableColumnId="5075"/>
      <queryTableField id="5076" name="Column5076" tableColumnId="5076"/>
      <queryTableField id="5077" name="Column5077" tableColumnId="5077"/>
      <queryTableField id="5078" name="Column5078" tableColumnId="5078"/>
      <queryTableField id="5079" name="Column5079" tableColumnId="5079"/>
      <queryTableField id="5080" name="Column5080" tableColumnId="5080"/>
      <queryTableField id="5081" name="Column5081" tableColumnId="5081"/>
      <queryTableField id="5082" name="Column5082" tableColumnId="5082"/>
      <queryTableField id="5083" name="Column5083" tableColumnId="5083"/>
      <queryTableField id="5084" name="Column5084" tableColumnId="5084"/>
      <queryTableField id="5085" name="Column5085" tableColumnId="5085"/>
      <queryTableField id="5086" name="Column5086" tableColumnId="5086"/>
      <queryTableField id="5087" name="Column5087" tableColumnId="5087"/>
      <queryTableField id="5088" name="Column5088" tableColumnId="5088"/>
      <queryTableField id="5089" name="Column5089" tableColumnId="5089"/>
      <queryTableField id="5090" name="Column5090" tableColumnId="5090"/>
      <queryTableField id="5091" name="Column5091" tableColumnId="5091"/>
      <queryTableField id="5092" name="Column5092" tableColumnId="5092"/>
      <queryTableField id="5093" name="Column5093" tableColumnId="5093"/>
      <queryTableField id="5094" name="Column5094" tableColumnId="5094"/>
      <queryTableField id="5095" name="Column5095" tableColumnId="5095"/>
      <queryTableField id="5096" name="Column5096" tableColumnId="5096"/>
      <queryTableField id="5097" name="Column5097" tableColumnId="5097"/>
      <queryTableField id="5098" name="Column5098" tableColumnId="5098"/>
      <queryTableField id="5099" name="Column5099" tableColumnId="5099"/>
      <queryTableField id="5100" name="Column5100" tableColumnId="5100"/>
      <queryTableField id="5101" name="Column5101" tableColumnId="5101"/>
      <queryTableField id="5102" name="Column5102" tableColumnId="5102"/>
      <queryTableField id="5103" name="Column5103" tableColumnId="5103"/>
      <queryTableField id="5104" name="Column5104" tableColumnId="5104"/>
      <queryTableField id="5105" name="Column5105" tableColumnId="5105"/>
      <queryTableField id="5106" name="Column5106" tableColumnId="5106"/>
      <queryTableField id="5107" name="Column5107" tableColumnId="5107"/>
      <queryTableField id="5108" name="Column5108" tableColumnId="5108"/>
      <queryTableField id="5109" name="Column5109" tableColumnId="5109"/>
      <queryTableField id="5110" name="Column5110" tableColumnId="5110"/>
      <queryTableField id="5111" name="Column5111" tableColumnId="5111"/>
      <queryTableField id="5112" name="Column5112" tableColumnId="5112"/>
      <queryTableField id="5113" name="Column5113" tableColumnId="5113"/>
      <queryTableField id="5114" name="Column5114" tableColumnId="5114"/>
      <queryTableField id="5115" name="Column5115" tableColumnId="5115"/>
      <queryTableField id="5116" name="Column5116" tableColumnId="5116"/>
      <queryTableField id="5117" name="Column5117" tableColumnId="5117"/>
      <queryTableField id="5118" name="Column5118" tableColumnId="5118"/>
      <queryTableField id="5119" name="Column5119" tableColumnId="5119"/>
      <queryTableField id="5120" name="Column5120" tableColumnId="5120"/>
      <queryTableField id="5121" name="Column5121" tableColumnId="5121"/>
      <queryTableField id="5122" name="Column5122" tableColumnId="5122"/>
      <queryTableField id="5123" name="Column5123" tableColumnId="5123"/>
      <queryTableField id="5124" name="Column5124" tableColumnId="5124"/>
      <queryTableField id="5125" name="Column5125" tableColumnId="5125"/>
      <queryTableField id="5126" name="Column5126" tableColumnId="5126"/>
      <queryTableField id="5127" name="Column5127" tableColumnId="5127"/>
      <queryTableField id="5128" name="Column5128" tableColumnId="5128"/>
      <queryTableField id="5129" name="Column5129" tableColumnId="5129"/>
      <queryTableField id="5130" name="Column5130" tableColumnId="5130"/>
      <queryTableField id="5131" name="Column5131" tableColumnId="5131"/>
      <queryTableField id="5132" name="Column5132" tableColumnId="5132"/>
      <queryTableField id="5133" name="Column5133" tableColumnId="5133"/>
      <queryTableField id="5134" name="Column5134" tableColumnId="5134"/>
      <queryTableField id="5135" name="Column5135" tableColumnId="5135"/>
      <queryTableField id="5136" name="Column5136" tableColumnId="5136"/>
      <queryTableField id="5137" name="Column5137" tableColumnId="5137"/>
      <queryTableField id="5138" name="Column5138" tableColumnId="5138"/>
      <queryTableField id="5139" name="Column5139" tableColumnId="5139"/>
      <queryTableField id="5140" name="Column5140" tableColumnId="5140"/>
      <queryTableField id="5141" name="Column5141" tableColumnId="5141"/>
      <queryTableField id="5142" name="Column5142" tableColumnId="5142"/>
      <queryTableField id="5143" name="Column5143" tableColumnId="5143"/>
      <queryTableField id="5144" name="Column5144" tableColumnId="5144"/>
      <queryTableField id="5145" name="Column5145" tableColumnId="5145"/>
      <queryTableField id="5146" name="Column5146" tableColumnId="5146"/>
      <queryTableField id="5147" name="Column5147" tableColumnId="5147"/>
      <queryTableField id="5148" name="Column5148" tableColumnId="5148"/>
      <queryTableField id="5149" name="Column5149" tableColumnId="5149"/>
      <queryTableField id="5150" name="Column5150" tableColumnId="5150"/>
      <queryTableField id="5151" name="Column5151" tableColumnId="5151"/>
      <queryTableField id="5152" name="Column5152" tableColumnId="5152"/>
      <queryTableField id="5153" name="Column5153" tableColumnId="5153"/>
      <queryTableField id="5154" name="Column5154" tableColumnId="5154"/>
      <queryTableField id="5155" name="Column5155" tableColumnId="5155"/>
      <queryTableField id="5156" name="Column5156" tableColumnId="5156"/>
      <queryTableField id="5157" name="Column5157" tableColumnId="5157"/>
      <queryTableField id="5158" name="Column5158" tableColumnId="5158"/>
      <queryTableField id="5159" name="Column5159" tableColumnId="5159"/>
      <queryTableField id="5160" name="Column5160" tableColumnId="5160"/>
      <queryTableField id="5161" name="Column5161" tableColumnId="5161"/>
      <queryTableField id="5162" name="Column5162" tableColumnId="5162"/>
      <queryTableField id="5163" name="Column5163" tableColumnId="5163"/>
      <queryTableField id="5164" name="Column5164" tableColumnId="5164"/>
      <queryTableField id="5165" name="Column5165" tableColumnId="5165"/>
      <queryTableField id="5166" name="Column5166" tableColumnId="5166"/>
      <queryTableField id="5167" name="Column5167" tableColumnId="5167"/>
      <queryTableField id="5168" name="Column5168" tableColumnId="5168"/>
      <queryTableField id="5169" name="Column5169" tableColumnId="5169"/>
      <queryTableField id="5170" name="Column5170" tableColumnId="5170"/>
      <queryTableField id="5171" name="Column5171" tableColumnId="5171"/>
      <queryTableField id="5172" name="Column5172" tableColumnId="5172"/>
      <queryTableField id="5173" name="Column5173" tableColumnId="5173"/>
      <queryTableField id="5174" name="Column5174" tableColumnId="5174"/>
      <queryTableField id="5175" name="Column5175" tableColumnId="5175"/>
      <queryTableField id="5176" name="Column5176" tableColumnId="5176"/>
      <queryTableField id="5177" name="Column5177" tableColumnId="5177"/>
      <queryTableField id="5178" name="Column5178" tableColumnId="5178"/>
      <queryTableField id="5179" name="Column5179" tableColumnId="5179"/>
      <queryTableField id="5180" name="Column5180" tableColumnId="5180"/>
      <queryTableField id="5181" name="Column5181" tableColumnId="5181"/>
      <queryTableField id="5182" name="Column5182" tableColumnId="5182"/>
      <queryTableField id="5183" name="Column5183" tableColumnId="5183"/>
      <queryTableField id="5184" name="Column5184" tableColumnId="5184"/>
      <queryTableField id="5185" name="Column5185" tableColumnId="5185"/>
      <queryTableField id="5186" name="Column5186" tableColumnId="5186"/>
      <queryTableField id="5187" name="Column5187" tableColumnId="5187"/>
      <queryTableField id="5188" name="Column5188" tableColumnId="5188"/>
      <queryTableField id="5189" name="Column5189" tableColumnId="5189"/>
      <queryTableField id="5190" name="Column5190" tableColumnId="5190"/>
      <queryTableField id="5191" name="Column5191" tableColumnId="5191"/>
      <queryTableField id="5192" name="Column5192" tableColumnId="5192"/>
      <queryTableField id="5193" name="Column5193" tableColumnId="5193"/>
      <queryTableField id="5194" name="Column5194" tableColumnId="5194"/>
      <queryTableField id="5195" name="Column5195" tableColumnId="5195"/>
      <queryTableField id="5196" name="Column5196" tableColumnId="5196"/>
      <queryTableField id="5197" name="Column5197" tableColumnId="5197"/>
      <queryTableField id="5198" name="Column5198" tableColumnId="5198"/>
      <queryTableField id="5199" name="Column5199" tableColumnId="5199"/>
      <queryTableField id="5200" name="Column5200" tableColumnId="5200"/>
      <queryTableField id="5201" name="Column5201" tableColumnId="5201"/>
      <queryTableField id="5202" name="Column5202" tableColumnId="5202"/>
      <queryTableField id="5203" name="Column5203" tableColumnId="5203"/>
      <queryTableField id="5204" name="Column5204" tableColumnId="5204"/>
      <queryTableField id="5205" name="Column5205" tableColumnId="5205"/>
      <queryTableField id="5206" name="Column5206" tableColumnId="5206"/>
      <queryTableField id="5207" name="Column5207" tableColumnId="5207"/>
      <queryTableField id="5208" name="Column5208" tableColumnId="5208"/>
      <queryTableField id="5209" name="Column5209" tableColumnId="5209"/>
      <queryTableField id="5210" name="Column5210" tableColumnId="5210"/>
      <queryTableField id="5211" name="Column5211" tableColumnId="5211"/>
      <queryTableField id="5212" name="Column5212" tableColumnId="5212"/>
      <queryTableField id="5213" name="Column5213" tableColumnId="5213"/>
      <queryTableField id="5214" name="Column5214" tableColumnId="5214"/>
      <queryTableField id="5215" name="Column5215" tableColumnId="5215"/>
      <queryTableField id="5216" name="Column5216" tableColumnId="5216"/>
      <queryTableField id="5217" name="Column5217" tableColumnId="5217"/>
      <queryTableField id="5218" name="Column5218" tableColumnId="5218"/>
      <queryTableField id="5219" name="Column5219" tableColumnId="5219"/>
      <queryTableField id="5220" name="Column5220" tableColumnId="5220"/>
      <queryTableField id="5221" name="Column5221" tableColumnId="5221"/>
      <queryTableField id="5222" name="Column5222" tableColumnId="5222"/>
      <queryTableField id="5223" name="Column5223" tableColumnId="5223"/>
      <queryTableField id="5224" name="Column5224" tableColumnId="5224"/>
      <queryTableField id="5225" name="Column5225" tableColumnId="5225"/>
      <queryTableField id="5226" name="Column5226" tableColumnId="5226"/>
      <queryTableField id="5227" name="Column5227" tableColumnId="5227"/>
      <queryTableField id="5228" name="Column5228" tableColumnId="5228"/>
      <queryTableField id="5229" name="Column5229" tableColumnId="5229"/>
      <queryTableField id="5230" name="Column5230" tableColumnId="5230"/>
      <queryTableField id="5231" name="Column5231" tableColumnId="5231"/>
      <queryTableField id="5232" name="Column5232" tableColumnId="5232"/>
      <queryTableField id="5233" name="Column5233" tableColumnId="5233"/>
      <queryTableField id="5234" name="Column5234" tableColumnId="5234"/>
      <queryTableField id="5235" name="Column5235" tableColumnId="5235"/>
      <queryTableField id="5236" name="Column5236" tableColumnId="5236"/>
      <queryTableField id="5237" name="Column5237" tableColumnId="5237"/>
      <queryTableField id="5238" name="Column5238" tableColumnId="5238"/>
      <queryTableField id="5239" name="Column5239" tableColumnId="5239"/>
      <queryTableField id="5240" name="Column5240" tableColumnId="5240"/>
      <queryTableField id="5241" name="Column5241" tableColumnId="5241"/>
      <queryTableField id="5242" name="Column5242" tableColumnId="5242"/>
      <queryTableField id="5243" name="Column5243" tableColumnId="5243"/>
      <queryTableField id="5244" name="Column5244" tableColumnId="5244"/>
      <queryTableField id="5245" name="Column5245" tableColumnId="5245"/>
      <queryTableField id="5246" name="Column5246" tableColumnId="5246"/>
      <queryTableField id="5247" name="Column5247" tableColumnId="5247"/>
      <queryTableField id="5248" name="Column5248" tableColumnId="5248"/>
      <queryTableField id="5249" name="Column5249" tableColumnId="5249"/>
      <queryTableField id="5250" name="Column5250" tableColumnId="5250"/>
      <queryTableField id="5251" name="Column5251" tableColumnId="5251"/>
      <queryTableField id="5252" name="Column5252" tableColumnId="5252"/>
      <queryTableField id="5253" name="Column5253" tableColumnId="5253"/>
      <queryTableField id="5254" name="Column5254" tableColumnId="5254"/>
      <queryTableField id="5255" name="Column5255" tableColumnId="5255"/>
      <queryTableField id="5256" name="Column5256" tableColumnId="5256"/>
      <queryTableField id="5257" name="Column5257" tableColumnId="5257"/>
      <queryTableField id="5258" name="Column5258" tableColumnId="5258"/>
      <queryTableField id="5259" name="Column5259" tableColumnId="5259"/>
      <queryTableField id="5260" name="Column5260" tableColumnId="5260"/>
      <queryTableField id="5261" name="Column5261" tableColumnId="5261"/>
      <queryTableField id="5262" name="Column5262" tableColumnId="5262"/>
      <queryTableField id="5263" name="Column5263" tableColumnId="5263"/>
      <queryTableField id="5264" name="Column5264" tableColumnId="5264"/>
      <queryTableField id="5265" name="Column5265" tableColumnId="5265"/>
      <queryTableField id="5266" name="Column5266" tableColumnId="5266"/>
      <queryTableField id="5267" name="Column5267" tableColumnId="5267"/>
      <queryTableField id="5268" name="Column5268" tableColumnId="5268"/>
      <queryTableField id="5269" name="Column5269" tableColumnId="5269"/>
      <queryTableField id="5270" name="Column5270" tableColumnId="5270"/>
      <queryTableField id="5271" name="Column5271" tableColumnId="5271"/>
      <queryTableField id="5272" name="Column5272" tableColumnId="5272"/>
      <queryTableField id="5273" name="Column5273" tableColumnId="5273"/>
      <queryTableField id="5274" name="Column5274" tableColumnId="5274"/>
      <queryTableField id="5275" name="Column5275" tableColumnId="5275"/>
      <queryTableField id="5276" name="Column5276" tableColumnId="5276"/>
      <queryTableField id="5277" name="Column5277" tableColumnId="5277"/>
      <queryTableField id="5278" name="Column5278" tableColumnId="5278"/>
      <queryTableField id="5279" name="Column5279" tableColumnId="5279"/>
      <queryTableField id="5280" name="Column5280" tableColumnId="5280"/>
      <queryTableField id="5281" name="Column5281" tableColumnId="5281"/>
      <queryTableField id="5282" name="Column5282" tableColumnId="5282"/>
      <queryTableField id="5283" name="Column5283" tableColumnId="5283"/>
      <queryTableField id="5284" name="Column5284" tableColumnId="5284"/>
      <queryTableField id="5285" name="Column5285" tableColumnId="5285"/>
      <queryTableField id="5286" name="Column5286" tableColumnId="5286"/>
      <queryTableField id="5287" name="Column5287" tableColumnId="5287"/>
      <queryTableField id="5288" name="Column5288" tableColumnId="5288"/>
      <queryTableField id="5289" name="Column5289" tableColumnId="5289"/>
      <queryTableField id="5290" name="Column5290" tableColumnId="5290"/>
      <queryTableField id="5291" name="Column5291" tableColumnId="5291"/>
      <queryTableField id="5292" name="Column5292" tableColumnId="5292"/>
      <queryTableField id="5293" name="Column5293" tableColumnId="5293"/>
      <queryTableField id="5294" name="Column5294" tableColumnId="5294"/>
      <queryTableField id="5295" name="Column5295" tableColumnId="5295"/>
      <queryTableField id="5296" name="Column5296" tableColumnId="5296"/>
      <queryTableField id="5297" name="Column5297" tableColumnId="5297"/>
      <queryTableField id="5298" name="Column5298" tableColumnId="5298"/>
      <queryTableField id="5299" name="Column5299" tableColumnId="5299"/>
      <queryTableField id="5300" name="Column5300" tableColumnId="5300"/>
      <queryTableField id="5301" name="Column5301" tableColumnId="5301"/>
      <queryTableField id="5302" name="Column5302" tableColumnId="5302"/>
      <queryTableField id="5303" name="Column5303" tableColumnId="5303"/>
      <queryTableField id="5304" name="Column5304" tableColumnId="5304"/>
      <queryTableField id="5305" name="Column5305" tableColumnId="5305"/>
      <queryTableField id="5306" name="Column5306" tableColumnId="5306"/>
      <queryTableField id="5307" name="Column5307" tableColumnId="5307"/>
      <queryTableField id="5308" name="Column5308" tableColumnId="5308"/>
      <queryTableField id="5309" name="Column5309" tableColumnId="5309"/>
      <queryTableField id="5310" name="Column5310" tableColumnId="5310"/>
      <queryTableField id="5311" name="Column5311" tableColumnId="5311"/>
      <queryTableField id="5312" name="Column5312" tableColumnId="5312"/>
      <queryTableField id="5313" name="Column5313" tableColumnId="5313"/>
      <queryTableField id="5314" name="Column5314" tableColumnId="5314"/>
      <queryTableField id="5315" name="Column5315" tableColumnId="5315"/>
      <queryTableField id="5316" name="Column5316" tableColumnId="5316"/>
      <queryTableField id="5317" name="Column5317" tableColumnId="5317"/>
      <queryTableField id="5318" name="Column5318" tableColumnId="5318"/>
      <queryTableField id="5319" name="Column5319" tableColumnId="5319"/>
      <queryTableField id="5320" name="Column5320" tableColumnId="5320"/>
      <queryTableField id="5321" name="Column5321" tableColumnId="5321"/>
      <queryTableField id="5322" name="Column5322" tableColumnId="5322"/>
      <queryTableField id="5323" name="Column5323" tableColumnId="5323"/>
      <queryTableField id="5324" name="Column5324" tableColumnId="5324"/>
      <queryTableField id="5325" name="Column5325" tableColumnId="5325"/>
      <queryTableField id="5326" name="Column5326" tableColumnId="5326"/>
      <queryTableField id="5327" name="Column5327" tableColumnId="5327"/>
      <queryTableField id="5328" name="Column5328" tableColumnId="5328"/>
      <queryTableField id="5329" name="Column5329" tableColumnId="5329"/>
      <queryTableField id="5330" name="Column5330" tableColumnId="5330"/>
      <queryTableField id="5331" name="Column5331" tableColumnId="5331"/>
      <queryTableField id="5332" name="Column5332" tableColumnId="5332"/>
      <queryTableField id="5333" name="Column5333" tableColumnId="5333"/>
      <queryTableField id="5334" name="Column5334" tableColumnId="5334"/>
      <queryTableField id="5335" name="Column5335" tableColumnId="5335"/>
      <queryTableField id="5336" name="Column5336" tableColumnId="5336"/>
      <queryTableField id="5337" name="Column5337" tableColumnId="5337"/>
      <queryTableField id="5338" name="Column5338" tableColumnId="5338"/>
      <queryTableField id="5339" name="Column5339" tableColumnId="5339"/>
      <queryTableField id="5340" name="Column5340" tableColumnId="5340"/>
      <queryTableField id="5341" name="Column5341" tableColumnId="5341"/>
      <queryTableField id="5342" name="Column5342" tableColumnId="5342"/>
      <queryTableField id="5343" name="Column5343" tableColumnId="5343"/>
      <queryTableField id="5344" name="Column5344" tableColumnId="5344"/>
      <queryTableField id="5345" name="Column5345" tableColumnId="5345"/>
      <queryTableField id="5346" name="Column5346" tableColumnId="5346"/>
      <queryTableField id="5347" name="Column5347" tableColumnId="5347"/>
      <queryTableField id="5348" name="Column5348" tableColumnId="5348"/>
      <queryTableField id="5349" name="Column5349" tableColumnId="5349"/>
      <queryTableField id="5350" name="Column5350" tableColumnId="5350"/>
      <queryTableField id="5351" name="Column5351" tableColumnId="5351"/>
      <queryTableField id="5352" name="Column5352" tableColumnId="5352"/>
      <queryTableField id="5353" name="Column5353" tableColumnId="5353"/>
      <queryTableField id="5354" name="Column5354" tableColumnId="5354"/>
      <queryTableField id="5355" name="Column5355" tableColumnId="5355"/>
      <queryTableField id="5356" name="Column5356" tableColumnId="5356"/>
      <queryTableField id="5357" name="Column5357" tableColumnId="5357"/>
      <queryTableField id="5358" name="Column5358" tableColumnId="5358"/>
      <queryTableField id="5359" name="Column5359" tableColumnId="5359"/>
      <queryTableField id="5360" name="Column5360" tableColumnId="5360"/>
      <queryTableField id="5361" name="Column5361" tableColumnId="5361"/>
      <queryTableField id="5362" name="Column5362" tableColumnId="5362"/>
      <queryTableField id="5363" name="Column5363" tableColumnId="5363"/>
      <queryTableField id="5364" name="Column5364" tableColumnId="5364"/>
      <queryTableField id="5365" name="Column5365" tableColumnId="5365"/>
      <queryTableField id="5366" name="Column5366" tableColumnId="5366"/>
      <queryTableField id="5367" name="Column5367" tableColumnId="5367"/>
      <queryTableField id="5368" name="Column5368" tableColumnId="5368"/>
      <queryTableField id="5369" name="Column5369" tableColumnId="5369"/>
      <queryTableField id="5370" name="Column5370" tableColumnId="5370"/>
      <queryTableField id="5371" name="Column5371" tableColumnId="5371"/>
      <queryTableField id="5372" name="Column5372" tableColumnId="5372"/>
      <queryTableField id="5373" name="Column5373" tableColumnId="5373"/>
      <queryTableField id="5374" name="Column5374" tableColumnId="5374"/>
      <queryTableField id="5375" name="Column5375" tableColumnId="5375"/>
      <queryTableField id="5376" name="Column5376" tableColumnId="5376"/>
      <queryTableField id="5377" name="Column5377" tableColumnId="5377"/>
      <queryTableField id="5378" name="Column5378" tableColumnId="5378"/>
      <queryTableField id="5379" name="Column5379" tableColumnId="5379"/>
      <queryTableField id="5380" name="Column5380" tableColumnId="5380"/>
      <queryTableField id="5381" name="Column5381" tableColumnId="5381"/>
      <queryTableField id="5382" name="Column5382" tableColumnId="5382"/>
      <queryTableField id="5383" name="Column5383" tableColumnId="5383"/>
      <queryTableField id="5384" name="Column5384" tableColumnId="5384"/>
      <queryTableField id="5385" name="Column5385" tableColumnId="5385"/>
      <queryTableField id="5386" name="Column5386" tableColumnId="5386"/>
      <queryTableField id="5387" name="Column5387" tableColumnId="5387"/>
      <queryTableField id="5388" name="Column5388" tableColumnId="5388"/>
      <queryTableField id="5389" name="Column5389" tableColumnId="5389"/>
      <queryTableField id="5390" name="Column5390" tableColumnId="5390"/>
      <queryTableField id="5391" name="Column5391" tableColumnId="5391"/>
      <queryTableField id="5392" name="Column5392" tableColumnId="5392"/>
      <queryTableField id="5393" name="Column5393" tableColumnId="5393"/>
      <queryTableField id="5394" name="Column5394" tableColumnId="5394"/>
      <queryTableField id="5395" name="Column5395" tableColumnId="5395"/>
      <queryTableField id="5396" name="Column5396" tableColumnId="5396"/>
      <queryTableField id="5397" name="Column5397" tableColumnId="5397"/>
      <queryTableField id="5398" name="Column5398" tableColumnId="5398"/>
      <queryTableField id="5399" name="Column5399" tableColumnId="5399"/>
      <queryTableField id="5400" name="Column5400" tableColumnId="5400"/>
      <queryTableField id="5401" name="Column5401" tableColumnId="5401"/>
      <queryTableField id="5402" name="Column5402" tableColumnId="5402"/>
      <queryTableField id="5403" name="Column5403" tableColumnId="5403"/>
      <queryTableField id="5404" name="Column5404" tableColumnId="5404"/>
      <queryTableField id="5405" name="Column5405" tableColumnId="5405"/>
      <queryTableField id="5406" name="Column5406" tableColumnId="5406"/>
      <queryTableField id="5407" name="Column5407" tableColumnId="5407"/>
      <queryTableField id="5408" name="Column5408" tableColumnId="5408"/>
      <queryTableField id="5409" name="Column5409" tableColumnId="5409"/>
      <queryTableField id="5410" name="Column5410" tableColumnId="5410"/>
      <queryTableField id="5411" name="Column5411" tableColumnId="5411"/>
      <queryTableField id="5412" name="Column5412" tableColumnId="5412"/>
      <queryTableField id="5413" name="Column5413" tableColumnId="5413"/>
      <queryTableField id="5414" name="Column5414" tableColumnId="5414"/>
      <queryTableField id="5415" name="Column5415" tableColumnId="5415"/>
      <queryTableField id="5416" name="Column5416" tableColumnId="5416"/>
      <queryTableField id="5417" name="Column5417" tableColumnId="5417"/>
      <queryTableField id="5418" name="Column5418" tableColumnId="5418"/>
      <queryTableField id="5419" name="Column5419" tableColumnId="5419"/>
      <queryTableField id="5420" name="Column5420" tableColumnId="5420"/>
      <queryTableField id="5421" name="Column5421" tableColumnId="5421"/>
      <queryTableField id="5422" name="Column5422" tableColumnId="5422"/>
      <queryTableField id="5423" name="Column5423" tableColumnId="5423"/>
      <queryTableField id="5424" name="Column5424" tableColumnId="5424"/>
      <queryTableField id="5425" name="Column5425" tableColumnId="5425"/>
      <queryTableField id="5426" name="Column5426" tableColumnId="5426"/>
      <queryTableField id="5427" name="Column5427" tableColumnId="5427"/>
      <queryTableField id="5428" name="Column5428" tableColumnId="5428"/>
      <queryTableField id="5429" name="Column5429" tableColumnId="5429"/>
      <queryTableField id="5430" name="Column5430" tableColumnId="5430"/>
      <queryTableField id="5431" name="Column5431" tableColumnId="5431"/>
      <queryTableField id="5432" name="Column5432" tableColumnId="5432"/>
      <queryTableField id="5433" name="Column5433" tableColumnId="5433"/>
      <queryTableField id="5434" name="Column5434" tableColumnId="5434"/>
      <queryTableField id="5435" name="Column5435" tableColumnId="5435"/>
      <queryTableField id="5436" name="Column5436" tableColumnId="5436"/>
      <queryTableField id="5437" name="Column5437" tableColumnId="5437"/>
      <queryTableField id="5438" name="Column5438" tableColumnId="5438"/>
      <queryTableField id="5439" name="Column5439" tableColumnId="5439"/>
      <queryTableField id="5440" name="Column5440" tableColumnId="5440"/>
      <queryTableField id="5441" name="Column5441" tableColumnId="5441"/>
      <queryTableField id="5442" name="Column5442" tableColumnId="5442"/>
      <queryTableField id="5443" name="Column5443" tableColumnId="5443"/>
      <queryTableField id="5444" name="Column5444" tableColumnId="5444"/>
      <queryTableField id="5445" name="Column5445" tableColumnId="5445"/>
      <queryTableField id="5446" name="Column5446" tableColumnId="5446"/>
      <queryTableField id="5447" name="Column5447" tableColumnId="5447"/>
      <queryTableField id="5448" name="Column5448" tableColumnId="5448"/>
      <queryTableField id="5449" name="Column5449" tableColumnId="5449"/>
      <queryTableField id="5450" name="Column5450" tableColumnId="5450"/>
      <queryTableField id="5451" name="Column5451" tableColumnId="5451"/>
      <queryTableField id="5452" name="Column5452" tableColumnId="5452"/>
      <queryTableField id="5453" name="Column5453" tableColumnId="5453"/>
      <queryTableField id="5454" name="Column5454" tableColumnId="5454"/>
      <queryTableField id="5455" name="Column5455" tableColumnId="5455"/>
      <queryTableField id="5456" name="Column5456" tableColumnId="5456"/>
      <queryTableField id="5457" name="Column5457" tableColumnId="5457"/>
      <queryTableField id="5458" name="Column5458" tableColumnId="5458"/>
      <queryTableField id="5459" name="Column5459" tableColumnId="5459"/>
      <queryTableField id="5460" name="Column5460" tableColumnId="5460"/>
      <queryTableField id="5461" name="Column5461" tableColumnId="5461"/>
      <queryTableField id="5462" name="Column5462" tableColumnId="5462"/>
      <queryTableField id="5463" name="Column5463" tableColumnId="5463"/>
      <queryTableField id="5464" name="Column5464" tableColumnId="5464"/>
      <queryTableField id="5465" name="Column5465" tableColumnId="5465"/>
      <queryTableField id="5466" name="Column5466" tableColumnId="5466"/>
      <queryTableField id="5467" name="Column5467" tableColumnId="5467"/>
      <queryTableField id="5468" name="Column5468" tableColumnId="5468"/>
      <queryTableField id="5469" name="Column5469" tableColumnId="5469"/>
      <queryTableField id="5470" name="Column5470" tableColumnId="5470"/>
      <queryTableField id="5471" name="Column5471" tableColumnId="5471"/>
      <queryTableField id="5472" name="Column5472" tableColumnId="5472"/>
      <queryTableField id="5473" name="Column5473" tableColumnId="5473"/>
      <queryTableField id="5474" name="Column5474" tableColumnId="5474"/>
      <queryTableField id="5475" name="Column5475" tableColumnId="5475"/>
      <queryTableField id="5476" name="Column5476" tableColumnId="5476"/>
      <queryTableField id="5477" name="Column5477" tableColumnId="5477"/>
      <queryTableField id="5478" name="Column5478" tableColumnId="5478"/>
      <queryTableField id="5479" name="Column5479" tableColumnId="5479"/>
      <queryTableField id="5480" name="Column5480" tableColumnId="5480"/>
      <queryTableField id="5481" name="Column5481" tableColumnId="5481"/>
      <queryTableField id="5482" name="Column5482" tableColumnId="5482"/>
      <queryTableField id="5483" name="Column5483" tableColumnId="5483"/>
      <queryTableField id="5484" name="Column5484" tableColumnId="5484"/>
      <queryTableField id="5485" name="Column5485" tableColumnId="5485"/>
      <queryTableField id="5486" name="Column5486" tableColumnId="5486"/>
      <queryTableField id="5487" name="Column5487" tableColumnId="5487"/>
      <queryTableField id="5488" name="Column5488" tableColumnId="5488"/>
      <queryTableField id="5489" name="Column5489" tableColumnId="5489"/>
      <queryTableField id="5490" name="Column5490" tableColumnId="5490"/>
      <queryTableField id="5491" name="Column5491" tableColumnId="5491"/>
      <queryTableField id="5492" name="Column5492" tableColumnId="5492"/>
      <queryTableField id="5493" name="Column5493" tableColumnId="5493"/>
      <queryTableField id="5494" name="Column5494" tableColumnId="5494"/>
      <queryTableField id="5495" name="Column5495" tableColumnId="5495"/>
      <queryTableField id="5496" name="Column5496" tableColumnId="5496"/>
      <queryTableField id="5497" name="Column5497" tableColumnId="5497"/>
      <queryTableField id="5498" name="Column5498" tableColumnId="5498"/>
      <queryTableField id="5499" name="Column5499" tableColumnId="5499"/>
      <queryTableField id="5500" name="Column5500" tableColumnId="5500"/>
      <queryTableField id="5501" name="Column5501" tableColumnId="5501"/>
      <queryTableField id="5502" name="Column5502" tableColumnId="5502"/>
      <queryTableField id="5503" name="Column5503" tableColumnId="5503"/>
      <queryTableField id="5504" name="Column5504" tableColumnId="5504"/>
      <queryTableField id="5505" name="Column5505" tableColumnId="5505"/>
      <queryTableField id="5506" name="Column5506" tableColumnId="5506"/>
      <queryTableField id="5507" name="Column5507" tableColumnId="5507"/>
      <queryTableField id="5508" name="Column5508" tableColumnId="5508"/>
      <queryTableField id="5509" name="Column5509" tableColumnId="5509"/>
      <queryTableField id="5510" name="Column5510" tableColumnId="5510"/>
      <queryTableField id="5511" name="Column5511" tableColumnId="5511"/>
      <queryTableField id="5512" name="Column5512" tableColumnId="5512"/>
      <queryTableField id="5513" name="Column5513" tableColumnId="5513"/>
      <queryTableField id="5514" name="Column5514" tableColumnId="5514"/>
      <queryTableField id="5515" name="Column5515" tableColumnId="5515"/>
      <queryTableField id="5516" name="Column5516" tableColumnId="5516"/>
      <queryTableField id="5517" name="Column5517" tableColumnId="5517"/>
      <queryTableField id="5518" name="Column5518" tableColumnId="5518"/>
      <queryTableField id="5519" name="Column5519" tableColumnId="5519"/>
      <queryTableField id="5520" name="Column5520" tableColumnId="5520"/>
      <queryTableField id="5521" name="Column5521" tableColumnId="5521"/>
      <queryTableField id="5522" name="Column5522" tableColumnId="5522"/>
      <queryTableField id="5523" name="Column5523" tableColumnId="5523"/>
      <queryTableField id="5524" name="Column5524" tableColumnId="5524"/>
      <queryTableField id="5525" name="Column5525" tableColumnId="5525"/>
      <queryTableField id="5526" name="Column5526" tableColumnId="5526"/>
      <queryTableField id="5527" name="Column5527" tableColumnId="5527"/>
      <queryTableField id="5528" name="Column5528" tableColumnId="5528"/>
      <queryTableField id="5529" name="Column5529" tableColumnId="5529"/>
      <queryTableField id="5530" name="Column5530" tableColumnId="5530"/>
      <queryTableField id="5531" name="Column5531" tableColumnId="5531"/>
      <queryTableField id="5532" name="Column5532" tableColumnId="5532"/>
      <queryTableField id="5533" name="Column5533" tableColumnId="5533"/>
      <queryTableField id="5534" name="Column5534" tableColumnId="5534"/>
      <queryTableField id="5535" name="Column5535" tableColumnId="5535"/>
      <queryTableField id="5536" name="Column5536" tableColumnId="5536"/>
      <queryTableField id="5537" name="Column5537" tableColumnId="5537"/>
      <queryTableField id="5538" name="Column5538" tableColumnId="5538"/>
      <queryTableField id="5539" name="Column5539" tableColumnId="5539"/>
      <queryTableField id="5540" name="Column5540" tableColumnId="5540"/>
      <queryTableField id="5541" name="Column5541" tableColumnId="5541"/>
      <queryTableField id="5542" name="Column5542" tableColumnId="5542"/>
      <queryTableField id="5543" name="Column5543" tableColumnId="5543"/>
      <queryTableField id="5544" name="Column5544" tableColumnId="5544"/>
      <queryTableField id="5545" name="Column5545" tableColumnId="5545"/>
      <queryTableField id="5546" name="Column5546" tableColumnId="5546"/>
      <queryTableField id="5547" name="Column5547" tableColumnId="5547"/>
      <queryTableField id="5548" name="Column5548" tableColumnId="5548"/>
      <queryTableField id="5549" name="Column5549" tableColumnId="5549"/>
      <queryTableField id="5550" name="Column5550" tableColumnId="5550"/>
      <queryTableField id="5551" name="Column5551" tableColumnId="5551"/>
      <queryTableField id="5552" name="Column5552" tableColumnId="5552"/>
      <queryTableField id="5553" name="Column5553" tableColumnId="5553"/>
      <queryTableField id="5554" name="Column5554" tableColumnId="5554"/>
      <queryTableField id="5555" name="Column5555" tableColumnId="5555"/>
      <queryTableField id="5556" name="Column5556" tableColumnId="5556"/>
      <queryTableField id="5557" name="Column5557" tableColumnId="5557"/>
      <queryTableField id="5558" name="Column5558" tableColumnId="5558"/>
      <queryTableField id="5559" name="Column5559" tableColumnId="5559"/>
      <queryTableField id="5560" name="Column5560" tableColumnId="5560"/>
      <queryTableField id="5561" name="Column5561" tableColumnId="5561"/>
      <queryTableField id="5562" name="Column5562" tableColumnId="5562"/>
      <queryTableField id="5563" name="Column5563" tableColumnId="5563"/>
      <queryTableField id="5564" name="Column5564" tableColumnId="5564"/>
      <queryTableField id="5565" name="Column5565" tableColumnId="5565"/>
      <queryTableField id="5566" name="Column5566" tableColumnId="5566"/>
      <queryTableField id="5567" name="Column5567" tableColumnId="5567"/>
      <queryTableField id="5568" name="Column5568" tableColumnId="5568"/>
      <queryTableField id="5569" name="Column5569" tableColumnId="5569"/>
      <queryTableField id="5570" name="Column5570" tableColumnId="5570"/>
      <queryTableField id="5571" name="Column5571" tableColumnId="5571"/>
      <queryTableField id="5572" name="Column5572" tableColumnId="5572"/>
      <queryTableField id="5573" name="Column5573" tableColumnId="5573"/>
      <queryTableField id="5574" name="Column5574" tableColumnId="5574"/>
      <queryTableField id="5575" name="Column5575" tableColumnId="5575"/>
      <queryTableField id="5576" name="Column5576" tableColumnId="5576"/>
      <queryTableField id="5577" name="Column5577" tableColumnId="5577"/>
      <queryTableField id="5578" name="Column5578" tableColumnId="5578"/>
      <queryTableField id="5579" name="Column5579" tableColumnId="5579"/>
      <queryTableField id="5580" name="Column5580" tableColumnId="5580"/>
      <queryTableField id="5581" name="Column5581" tableColumnId="5581"/>
      <queryTableField id="5582" name="Column5582" tableColumnId="5582"/>
      <queryTableField id="5583" name="Column5583" tableColumnId="5583"/>
      <queryTableField id="5584" name="Column5584" tableColumnId="5584"/>
      <queryTableField id="5585" name="Column5585" tableColumnId="5585"/>
      <queryTableField id="5586" name="Column5586" tableColumnId="5586"/>
      <queryTableField id="5587" name="Column5587" tableColumnId="5587"/>
      <queryTableField id="5588" name="Column5588" tableColumnId="5588"/>
      <queryTableField id="5589" name="Column5589" tableColumnId="5589"/>
      <queryTableField id="5590" name="Column5590" tableColumnId="5590"/>
      <queryTableField id="5591" name="Column5591" tableColumnId="5591"/>
      <queryTableField id="5592" name="Column5592" tableColumnId="5592"/>
      <queryTableField id="5593" name="Column5593" tableColumnId="5593"/>
      <queryTableField id="5594" name="Column5594" tableColumnId="5594"/>
      <queryTableField id="5595" name="Column5595" tableColumnId="5595"/>
      <queryTableField id="5596" name="Column5596" tableColumnId="5596"/>
      <queryTableField id="5597" name="Column5597" tableColumnId="5597"/>
      <queryTableField id="5598" name="Column5598" tableColumnId="5598"/>
      <queryTableField id="5599" name="Column5599" tableColumnId="5599"/>
      <queryTableField id="5600" name="Column5600" tableColumnId="5600"/>
      <queryTableField id="5601" name="Column5601" tableColumnId="5601"/>
      <queryTableField id="5602" name="Column5602" tableColumnId="5602"/>
      <queryTableField id="5603" name="Column5603" tableColumnId="5603"/>
      <queryTableField id="5604" name="Column5604" tableColumnId="5604"/>
      <queryTableField id="5605" name="Column5605" tableColumnId="5605"/>
      <queryTableField id="5606" name="Column5606" tableColumnId="5606"/>
      <queryTableField id="5607" name="Column5607" tableColumnId="5607"/>
      <queryTableField id="5608" name="Column5608" tableColumnId="5608"/>
      <queryTableField id="5609" name="Column5609" tableColumnId="5609"/>
      <queryTableField id="5610" name="Column5610" tableColumnId="5610"/>
      <queryTableField id="5611" name="Column5611" tableColumnId="5611"/>
      <queryTableField id="5612" name="Column5612" tableColumnId="5612"/>
      <queryTableField id="5613" name="Column5613" tableColumnId="5613"/>
      <queryTableField id="5614" name="Column5614" tableColumnId="5614"/>
      <queryTableField id="5615" name="Column5615" tableColumnId="5615"/>
      <queryTableField id="5616" name="Column5616" tableColumnId="5616"/>
      <queryTableField id="5617" name="Column5617" tableColumnId="5617"/>
      <queryTableField id="5618" name="Column5618" tableColumnId="5618"/>
      <queryTableField id="5619" name="Column5619" tableColumnId="5619"/>
      <queryTableField id="5620" name="Column5620" tableColumnId="5620"/>
      <queryTableField id="5621" name="Column5621" tableColumnId="5621"/>
      <queryTableField id="5622" name="Column5622" tableColumnId="5622"/>
      <queryTableField id="5623" name="Column5623" tableColumnId="5623"/>
      <queryTableField id="5624" name="Column5624" tableColumnId="5624"/>
      <queryTableField id="5625" name="Column5625" tableColumnId="5625"/>
      <queryTableField id="5626" name="Column5626" tableColumnId="5626"/>
      <queryTableField id="5627" name="Column5627" tableColumnId="5627"/>
      <queryTableField id="5628" name="Column5628" tableColumnId="5628"/>
      <queryTableField id="5629" name="Column5629" tableColumnId="5629"/>
      <queryTableField id="5630" name="Column5630" tableColumnId="5630"/>
      <queryTableField id="5631" name="Column5631" tableColumnId="5631"/>
      <queryTableField id="5632" name="Column5632" tableColumnId="5632"/>
      <queryTableField id="5633" name="Column5633" tableColumnId="5633"/>
      <queryTableField id="5634" name="Column5634" tableColumnId="5634"/>
      <queryTableField id="5635" name="Column5635" tableColumnId="5635"/>
      <queryTableField id="5636" name="Column5636" tableColumnId="5636"/>
      <queryTableField id="5637" name="Column5637" tableColumnId="5637"/>
      <queryTableField id="5638" name="Column5638" tableColumnId="5638"/>
      <queryTableField id="5639" name="Column5639" tableColumnId="5639"/>
      <queryTableField id="5640" name="Column5640" tableColumnId="5640"/>
      <queryTableField id="5641" name="Column5641" tableColumnId="5641"/>
      <queryTableField id="5642" name="Column5642" tableColumnId="5642"/>
      <queryTableField id="5643" name="Column5643" tableColumnId="5643"/>
      <queryTableField id="5644" name="Column5644" tableColumnId="5644"/>
      <queryTableField id="5645" name="Column5645" tableColumnId="5645"/>
      <queryTableField id="5646" name="Column5646" tableColumnId="5646"/>
      <queryTableField id="5647" name="Column5647" tableColumnId="5647"/>
      <queryTableField id="5648" name="Column5648" tableColumnId="5648"/>
      <queryTableField id="5649" name="Column5649" tableColumnId="5649"/>
      <queryTableField id="5650" name="Column5650" tableColumnId="5650"/>
      <queryTableField id="5651" name="Column5651" tableColumnId="5651"/>
      <queryTableField id="5652" name="Column5652" tableColumnId="5652"/>
      <queryTableField id="5653" name="Column5653" tableColumnId="5653"/>
      <queryTableField id="5654" name="Column5654" tableColumnId="5654"/>
      <queryTableField id="5655" name="Column5655" tableColumnId="5655"/>
      <queryTableField id="5656" name="Column5656" tableColumnId="5656"/>
      <queryTableField id="5657" name="Column5657" tableColumnId="5657"/>
      <queryTableField id="5658" name="Column5658" tableColumnId="5658"/>
      <queryTableField id="5659" name="Column5659" tableColumnId="5659"/>
      <queryTableField id="5660" name="Column5660" tableColumnId="5660"/>
      <queryTableField id="5661" name="Column5661" tableColumnId="5661"/>
      <queryTableField id="5662" name="Column5662" tableColumnId="5662"/>
      <queryTableField id="5663" name="Column5663" tableColumnId="5663"/>
      <queryTableField id="5664" name="Column5664" tableColumnId="5664"/>
      <queryTableField id="5665" name="Column5665" tableColumnId="5665"/>
      <queryTableField id="5666" name="Column5666" tableColumnId="5666"/>
      <queryTableField id="5667" name="Column5667" tableColumnId="5667"/>
      <queryTableField id="5668" name="Column5668" tableColumnId="5668"/>
      <queryTableField id="5669" name="Column5669" tableColumnId="5669"/>
      <queryTableField id="5670" name="Column5670" tableColumnId="5670"/>
      <queryTableField id="5671" name="Column5671" tableColumnId="5671"/>
      <queryTableField id="5672" name="Column5672" tableColumnId="5672"/>
      <queryTableField id="5673" name="Column5673" tableColumnId="5673"/>
      <queryTableField id="5674" name="Column5674" tableColumnId="5674"/>
      <queryTableField id="5675" name="Column5675" tableColumnId="5675"/>
      <queryTableField id="5676" name="Column5676" tableColumnId="5676"/>
      <queryTableField id="5677" name="Column5677" tableColumnId="5677"/>
      <queryTableField id="5678" name="Column5678" tableColumnId="5678"/>
      <queryTableField id="5679" name="Column5679" tableColumnId="5679"/>
      <queryTableField id="5680" name="Column5680" tableColumnId="5680"/>
      <queryTableField id="5681" name="Column5681" tableColumnId="5681"/>
      <queryTableField id="5682" name="Column5682" tableColumnId="5682"/>
      <queryTableField id="5683" name="Column5683" tableColumnId="5683"/>
      <queryTableField id="5684" name="Column5684" tableColumnId="5684"/>
      <queryTableField id="5685" name="Column5685" tableColumnId="5685"/>
      <queryTableField id="5686" name="Column5686" tableColumnId="5686"/>
      <queryTableField id="5687" name="Column5687" tableColumnId="5687"/>
      <queryTableField id="5688" name="Column5688" tableColumnId="5688"/>
      <queryTableField id="5689" name="Column5689" tableColumnId="5689"/>
      <queryTableField id="5690" name="Column5690" tableColumnId="5690"/>
      <queryTableField id="5691" name="Column5691" tableColumnId="5691"/>
      <queryTableField id="5692" name="Column5692" tableColumnId="5692"/>
      <queryTableField id="5693" name="Column5693" tableColumnId="5693"/>
      <queryTableField id="5694" name="Column5694" tableColumnId="5694"/>
      <queryTableField id="5695" name="Column5695" tableColumnId="5695"/>
      <queryTableField id="5696" name="Column5696" tableColumnId="5696"/>
      <queryTableField id="5697" name="Column5697" tableColumnId="5697"/>
      <queryTableField id="5698" name="Column5698" tableColumnId="5698"/>
      <queryTableField id="5699" name="Column5699" tableColumnId="5699"/>
      <queryTableField id="5700" name="Column5700" tableColumnId="5700"/>
      <queryTableField id="5701" name="Column5701" tableColumnId="5701"/>
      <queryTableField id="5702" name="Column5702" tableColumnId="5702"/>
      <queryTableField id="5703" name="Column5703" tableColumnId="5703"/>
      <queryTableField id="5704" name="Column5704" tableColumnId="5704"/>
      <queryTableField id="5705" name="Column5705" tableColumnId="5705"/>
      <queryTableField id="5706" name="Column5706" tableColumnId="5706"/>
      <queryTableField id="5707" name="Column5707" tableColumnId="5707"/>
      <queryTableField id="5708" name="Column5708" tableColumnId="5708"/>
      <queryTableField id="5709" name="Column5709" tableColumnId="5709"/>
      <queryTableField id="5710" name="Column5710" tableColumnId="5710"/>
      <queryTableField id="5711" name="Column5711" tableColumnId="5711"/>
      <queryTableField id="5712" name="Column5712" tableColumnId="5712"/>
      <queryTableField id="5713" name="Column5713" tableColumnId="5713"/>
      <queryTableField id="5714" name="Column5714" tableColumnId="5714"/>
      <queryTableField id="5715" name="Column5715" tableColumnId="5715"/>
      <queryTableField id="5716" name="Column5716" tableColumnId="5716"/>
      <queryTableField id="5717" name="Column5717" tableColumnId="5717"/>
      <queryTableField id="5718" name="Column5718" tableColumnId="5718"/>
      <queryTableField id="5719" name="Column5719" tableColumnId="5719"/>
      <queryTableField id="5720" name="Column5720" tableColumnId="5720"/>
      <queryTableField id="5721" name="Column5721" tableColumnId="5721"/>
      <queryTableField id="5722" name="Column5722" tableColumnId="5722"/>
      <queryTableField id="5723" name="Column5723" tableColumnId="5723"/>
      <queryTableField id="5724" name="Column5724" tableColumnId="5724"/>
      <queryTableField id="5725" name="Column5725" tableColumnId="5725"/>
      <queryTableField id="5726" name="Column5726" tableColumnId="5726"/>
      <queryTableField id="5727" name="Column5727" tableColumnId="5727"/>
      <queryTableField id="5728" name="Column5728" tableColumnId="5728"/>
      <queryTableField id="5729" name="Column5729" tableColumnId="5729"/>
      <queryTableField id="5730" name="Column5730" tableColumnId="5730"/>
      <queryTableField id="5731" name="Column5731" tableColumnId="5731"/>
      <queryTableField id="5732" name="Column5732" tableColumnId="5732"/>
      <queryTableField id="5733" name="Column5733" tableColumnId="5733"/>
      <queryTableField id="5734" name="Column5734" tableColumnId="5734"/>
      <queryTableField id="5735" name="Column5735" tableColumnId="5735"/>
      <queryTableField id="5736" name="Column5736" tableColumnId="5736"/>
      <queryTableField id="5737" name="Column5737" tableColumnId="5737"/>
      <queryTableField id="5738" name="Column5738" tableColumnId="5738"/>
      <queryTableField id="5739" name="Column5739" tableColumnId="5739"/>
      <queryTableField id="5740" name="Column5740" tableColumnId="5740"/>
      <queryTableField id="5741" name="Column5741" tableColumnId="5741"/>
      <queryTableField id="5742" name="Column5742" tableColumnId="5742"/>
      <queryTableField id="5743" name="Column5743" tableColumnId="5743"/>
      <queryTableField id="5744" name="Column5744" tableColumnId="5744"/>
      <queryTableField id="5745" name="Column5745" tableColumnId="5745"/>
      <queryTableField id="5746" name="Column5746" tableColumnId="5746"/>
      <queryTableField id="5747" name="Column5747" tableColumnId="5747"/>
      <queryTableField id="5748" name="Column5748" tableColumnId="5748"/>
      <queryTableField id="5749" name="Column5749" tableColumnId="5749"/>
      <queryTableField id="5750" name="Column5750" tableColumnId="5750"/>
      <queryTableField id="5751" name="Column5751" tableColumnId="5751"/>
      <queryTableField id="5752" name="Column5752" tableColumnId="5752"/>
      <queryTableField id="5753" name="Column5753" tableColumnId="5753"/>
      <queryTableField id="5754" name="Column5754" tableColumnId="5754"/>
      <queryTableField id="5755" name="Column5755" tableColumnId="5755"/>
      <queryTableField id="5756" name="Column5756" tableColumnId="5756"/>
      <queryTableField id="5757" name="Column5757" tableColumnId="5757"/>
      <queryTableField id="5758" name="Column5758" tableColumnId="5758"/>
      <queryTableField id="5759" name="Column5759" tableColumnId="5759"/>
      <queryTableField id="5760" name="Column5760" tableColumnId="5760"/>
      <queryTableField id="5761" name="Column5761" tableColumnId="5761"/>
      <queryTableField id="5762" name="Column5762" tableColumnId="5762"/>
      <queryTableField id="5763" name="Column5763" tableColumnId="5763"/>
      <queryTableField id="5764" name="Column5764" tableColumnId="5764"/>
      <queryTableField id="5765" name="Column5765" tableColumnId="5765"/>
      <queryTableField id="5766" name="Column5766" tableColumnId="5766"/>
      <queryTableField id="5767" name="Column5767" tableColumnId="5767"/>
      <queryTableField id="5768" name="Column5768" tableColumnId="5768"/>
      <queryTableField id="5769" name="Column5769" tableColumnId="5769"/>
      <queryTableField id="5770" name="Column5770" tableColumnId="5770"/>
      <queryTableField id="5771" name="Column5771" tableColumnId="5771"/>
      <queryTableField id="5772" name="Column5772" tableColumnId="5772"/>
      <queryTableField id="5773" name="Column5773" tableColumnId="5773"/>
      <queryTableField id="5774" name="Column5774" tableColumnId="5774"/>
      <queryTableField id="5775" name="Column5775" tableColumnId="5775"/>
      <queryTableField id="5776" name="Column5776" tableColumnId="5776"/>
      <queryTableField id="5777" name="Column5777" tableColumnId="5777"/>
      <queryTableField id="5778" name="Column5778" tableColumnId="5778"/>
      <queryTableField id="5779" name="Column5779" tableColumnId="5779"/>
      <queryTableField id="5780" name="Column5780" tableColumnId="5780"/>
      <queryTableField id="5781" name="Column5781" tableColumnId="5781"/>
      <queryTableField id="5782" name="Column5782" tableColumnId="5782"/>
      <queryTableField id="5783" name="Column5783" tableColumnId="5783"/>
      <queryTableField id="5784" name="Column5784" tableColumnId="5784"/>
      <queryTableField id="5785" name="Column5785" tableColumnId="5785"/>
      <queryTableField id="5786" name="Column5786" tableColumnId="5786"/>
      <queryTableField id="5787" name="Column5787" tableColumnId="5787"/>
      <queryTableField id="5788" name="Column5788" tableColumnId="5788"/>
      <queryTableField id="5789" name="Column5789" tableColumnId="5789"/>
      <queryTableField id="5790" name="Column5790" tableColumnId="5790"/>
      <queryTableField id="5791" name="Column5791" tableColumnId="5791"/>
      <queryTableField id="5792" name="Column5792" tableColumnId="5792"/>
      <queryTableField id="5793" name="Column5793" tableColumnId="5793"/>
      <queryTableField id="5794" name="Column5794" tableColumnId="5794"/>
      <queryTableField id="5795" name="Column5795" tableColumnId="5795"/>
      <queryTableField id="5796" name="Column5796" tableColumnId="5796"/>
      <queryTableField id="5797" name="Column5797" tableColumnId="5797"/>
      <queryTableField id="5798" name="Column5798" tableColumnId="5798"/>
      <queryTableField id="5799" name="Column5799" tableColumnId="5799"/>
      <queryTableField id="5800" name="Column5800" tableColumnId="5800"/>
      <queryTableField id="5801" name="Column5801" tableColumnId="5801"/>
      <queryTableField id="5802" name="Column5802" tableColumnId="5802"/>
      <queryTableField id="5803" name="Column5803" tableColumnId="5803"/>
      <queryTableField id="5804" name="Column5804" tableColumnId="5804"/>
      <queryTableField id="5805" name="Column5805" tableColumnId="5805"/>
      <queryTableField id="5806" name="Column5806" tableColumnId="5806"/>
      <queryTableField id="5807" name="Column5807" tableColumnId="5807"/>
      <queryTableField id="5808" name="Column5808" tableColumnId="5808"/>
      <queryTableField id="5809" name="Column5809" tableColumnId="5809"/>
      <queryTableField id="5810" name="Column5810" tableColumnId="5810"/>
      <queryTableField id="5811" name="Column5811" tableColumnId="5811"/>
      <queryTableField id="5812" name="Column5812" tableColumnId="5812"/>
      <queryTableField id="5813" name="Column5813" tableColumnId="5813"/>
      <queryTableField id="5814" name="Column5814" tableColumnId="5814"/>
      <queryTableField id="5815" name="Column5815" tableColumnId="5815"/>
      <queryTableField id="5816" name="Column5816" tableColumnId="5816"/>
      <queryTableField id="5817" name="Column5817" tableColumnId="5817"/>
      <queryTableField id="5818" name="Column5818" tableColumnId="5818"/>
      <queryTableField id="5819" name="Column5819" tableColumnId="5819"/>
      <queryTableField id="5820" name="Column5820" tableColumnId="5820"/>
      <queryTableField id="5821" name="Column5821" tableColumnId="5821"/>
      <queryTableField id="5822" name="Column5822" tableColumnId="5822"/>
      <queryTableField id="5823" name="Column5823" tableColumnId="5823"/>
      <queryTableField id="5824" name="Column5824" tableColumnId="5824"/>
      <queryTableField id="5825" name="Column5825" tableColumnId="5825"/>
      <queryTableField id="5826" name="Column5826" tableColumnId="5826"/>
      <queryTableField id="5827" name="Column5827" tableColumnId="5827"/>
      <queryTableField id="5828" name="Column5828" tableColumnId="5828"/>
      <queryTableField id="5829" name="Column5829" tableColumnId="5829"/>
      <queryTableField id="5830" name="Column5830" tableColumnId="5830"/>
      <queryTableField id="5831" name="Column5831" tableColumnId="5831"/>
      <queryTableField id="5832" name="Column5832" tableColumnId="5832"/>
      <queryTableField id="5833" name="Column5833" tableColumnId="5833"/>
      <queryTableField id="5834" name="Column5834" tableColumnId="5834"/>
      <queryTableField id="5835" name="Column5835" tableColumnId="5835"/>
      <queryTableField id="5836" name="Column5836" tableColumnId="5836"/>
      <queryTableField id="5837" name="Column5837" tableColumnId="5837"/>
      <queryTableField id="5838" name="Column5838" tableColumnId="5838"/>
      <queryTableField id="5839" name="Column5839" tableColumnId="5839"/>
      <queryTableField id="5840" name="Column5840" tableColumnId="5840"/>
      <queryTableField id="5841" name="Column5841" tableColumnId="5841"/>
      <queryTableField id="5842" name="Column5842" tableColumnId="5842"/>
      <queryTableField id="5843" name="Column5843" tableColumnId="5843"/>
      <queryTableField id="5844" name="Column5844" tableColumnId="5844"/>
      <queryTableField id="5845" name="Column5845" tableColumnId="5845"/>
      <queryTableField id="5846" name="Column5846" tableColumnId="5846"/>
      <queryTableField id="5847" name="Column5847" tableColumnId="5847"/>
      <queryTableField id="5848" name="Column5848" tableColumnId="5848"/>
      <queryTableField id="5849" name="Column5849" tableColumnId="5849"/>
      <queryTableField id="5850" name="Column5850" tableColumnId="5850"/>
      <queryTableField id="5851" name="Column5851" tableColumnId="5851"/>
      <queryTableField id="5852" name="Column5852" tableColumnId="5852"/>
      <queryTableField id="5853" name="Column5853" tableColumnId="5853"/>
      <queryTableField id="5854" name="Column5854" tableColumnId="5854"/>
      <queryTableField id="5855" name="Column5855" tableColumnId="5855"/>
      <queryTableField id="5856" name="Column5856" tableColumnId="5856"/>
      <queryTableField id="5857" name="Column5857" tableColumnId="5857"/>
      <queryTableField id="5858" name="Column5858" tableColumnId="5858"/>
      <queryTableField id="5859" name="Column5859" tableColumnId="5859"/>
      <queryTableField id="5860" name="Column5860" tableColumnId="5860"/>
      <queryTableField id="5861" name="Column5861" tableColumnId="5861"/>
      <queryTableField id="5862" name="Column5862" tableColumnId="5862"/>
      <queryTableField id="5863" name="Column5863" tableColumnId="5863"/>
      <queryTableField id="5864" name="Column5864" tableColumnId="5864"/>
      <queryTableField id="5865" name="Column5865" tableColumnId="5865"/>
      <queryTableField id="5866" name="Column5866" tableColumnId="5866"/>
      <queryTableField id="5867" name="Column5867" tableColumnId="5867"/>
      <queryTableField id="5868" name="Column5868" tableColumnId="5868"/>
      <queryTableField id="5869" name="Column5869" tableColumnId="5869"/>
      <queryTableField id="5870" name="Column5870" tableColumnId="5870"/>
      <queryTableField id="5871" name="Column5871" tableColumnId="5871"/>
      <queryTableField id="5872" name="Column5872" tableColumnId="5872"/>
      <queryTableField id="5873" name="Column5873" tableColumnId="5873"/>
      <queryTableField id="5874" name="Column5874" tableColumnId="5874"/>
      <queryTableField id="5875" name="Column5875" tableColumnId="5875"/>
      <queryTableField id="5876" name="Column5876" tableColumnId="5876"/>
      <queryTableField id="5877" name="Column5877" tableColumnId="5877"/>
      <queryTableField id="5878" name="Column5878" tableColumnId="5878"/>
      <queryTableField id="5879" name="Column5879" tableColumnId="5879"/>
      <queryTableField id="5880" name="Column5880" tableColumnId="5880"/>
      <queryTableField id="5881" name="Column5881" tableColumnId="5881"/>
      <queryTableField id="5882" name="Column5882" tableColumnId="5882"/>
      <queryTableField id="5883" name="Column5883" tableColumnId="5883"/>
      <queryTableField id="5884" name="Column5884" tableColumnId="5884"/>
      <queryTableField id="5885" name="Column5885" tableColumnId="5885"/>
      <queryTableField id="5886" name="Column5886" tableColumnId="5886"/>
      <queryTableField id="5887" name="Column5887" tableColumnId="5887"/>
      <queryTableField id="5888" name="Column5888" tableColumnId="5888"/>
      <queryTableField id="5889" name="Column5889" tableColumnId="5889"/>
      <queryTableField id="5890" name="Column5890" tableColumnId="5890"/>
      <queryTableField id="5891" name="Column5891" tableColumnId="5891"/>
      <queryTableField id="5892" name="Column5892" tableColumnId="5892"/>
      <queryTableField id="5893" name="Column5893" tableColumnId="5893"/>
      <queryTableField id="5894" name="Column5894" tableColumnId="5894"/>
      <queryTableField id="5895" name="Column5895" tableColumnId="5895"/>
      <queryTableField id="5896" name="Column5896" tableColumnId="5896"/>
      <queryTableField id="5897" name="Column5897" tableColumnId="5897"/>
      <queryTableField id="5898" name="Column5898" tableColumnId="5898"/>
      <queryTableField id="5899" name="Column5899" tableColumnId="5899"/>
      <queryTableField id="5900" name="Column5900" tableColumnId="5900"/>
      <queryTableField id="5901" name="Column5901" tableColumnId="5901"/>
      <queryTableField id="5902" name="Column5902" tableColumnId="5902"/>
      <queryTableField id="5903" name="Column5903" tableColumnId="5903"/>
      <queryTableField id="5904" name="Column5904" tableColumnId="5904"/>
      <queryTableField id="5905" name="Column5905" tableColumnId="5905"/>
      <queryTableField id="5906" name="Column5906" tableColumnId="5906"/>
      <queryTableField id="5907" name="Column5907" tableColumnId="5907"/>
      <queryTableField id="5908" name="Column5908" tableColumnId="5908"/>
      <queryTableField id="5909" name="Column5909" tableColumnId="5909"/>
      <queryTableField id="5910" name="Column5910" tableColumnId="5910"/>
      <queryTableField id="5911" name="Column5911" tableColumnId="5911"/>
      <queryTableField id="5912" name="Column5912" tableColumnId="5912"/>
      <queryTableField id="5913" name="Column5913" tableColumnId="5913"/>
      <queryTableField id="5914" name="Column5914" tableColumnId="5914"/>
      <queryTableField id="5915" name="Column5915" tableColumnId="5915"/>
      <queryTableField id="5916" name="Column5916" tableColumnId="5916"/>
      <queryTableField id="5917" name="Column5917" tableColumnId="5917"/>
      <queryTableField id="5918" name="Column5918" tableColumnId="5918"/>
      <queryTableField id="5919" name="Column5919" tableColumnId="5919"/>
      <queryTableField id="5920" name="Column5920" tableColumnId="5920"/>
      <queryTableField id="5921" name="Column5921" tableColumnId="5921"/>
      <queryTableField id="5922" name="Column5922" tableColumnId="5922"/>
      <queryTableField id="5923" name="Column5923" tableColumnId="5923"/>
      <queryTableField id="5924" name="Column5924" tableColumnId="5924"/>
      <queryTableField id="5925" name="Column5925" tableColumnId="5925"/>
      <queryTableField id="5926" name="Column5926" tableColumnId="5926"/>
      <queryTableField id="5927" name="Column5927" tableColumnId="5927"/>
      <queryTableField id="5928" name="Column5928" tableColumnId="5928"/>
      <queryTableField id="5929" name="Column5929" tableColumnId="5929"/>
      <queryTableField id="5930" name="Column5930" tableColumnId="5930"/>
      <queryTableField id="5931" name="Column5931" tableColumnId="5931"/>
      <queryTableField id="5932" name="Column5932" tableColumnId="5932"/>
      <queryTableField id="5933" name="Column5933" tableColumnId="5933"/>
      <queryTableField id="5934" name="Column5934" tableColumnId="5934"/>
      <queryTableField id="5935" name="Column5935" tableColumnId="5935"/>
      <queryTableField id="5936" name="Column5936" tableColumnId="5936"/>
      <queryTableField id="5937" name="Column5937" tableColumnId="5937"/>
      <queryTableField id="5938" name="Column5938" tableColumnId="5938"/>
      <queryTableField id="5939" name="Column5939" tableColumnId="5939"/>
      <queryTableField id="5940" name="Column5940" tableColumnId="5940"/>
      <queryTableField id="5941" name="Column5941" tableColumnId="5941"/>
      <queryTableField id="5942" name="Column5942" tableColumnId="5942"/>
      <queryTableField id="5943" name="Column5943" tableColumnId="5943"/>
      <queryTableField id="5944" name="Column5944" tableColumnId="5944"/>
      <queryTableField id="5945" name="Column5945" tableColumnId="5945"/>
      <queryTableField id="5946" name="Column5946" tableColumnId="5946"/>
      <queryTableField id="5947" name="Column5947" tableColumnId="5947"/>
      <queryTableField id="5948" name="Column5948" tableColumnId="5948"/>
      <queryTableField id="5949" name="Column5949" tableColumnId="5949"/>
      <queryTableField id="5950" name="Column5950" tableColumnId="5950"/>
      <queryTableField id="5951" name="Column5951" tableColumnId="5951"/>
      <queryTableField id="5952" name="Column5952" tableColumnId="5952"/>
      <queryTableField id="5953" name="Column5953" tableColumnId="5953"/>
      <queryTableField id="5954" name="Column5954" tableColumnId="5954"/>
      <queryTableField id="5955" name="Column5955" tableColumnId="5955"/>
      <queryTableField id="5956" name="Column5956" tableColumnId="5956"/>
      <queryTableField id="5957" name="Column5957" tableColumnId="5957"/>
      <queryTableField id="5958" name="Column5958" tableColumnId="5958"/>
      <queryTableField id="5959" name="Column5959" tableColumnId="5959"/>
      <queryTableField id="5960" name="Column5960" tableColumnId="5960"/>
      <queryTableField id="5961" name="Column5961" tableColumnId="5961"/>
      <queryTableField id="5962" name="Column5962" tableColumnId="5962"/>
      <queryTableField id="5963" name="Column5963" tableColumnId="5963"/>
      <queryTableField id="5964" name="Column5964" tableColumnId="5964"/>
      <queryTableField id="5965" name="Column5965" tableColumnId="5965"/>
      <queryTableField id="5966" name="Column5966" tableColumnId="5966"/>
      <queryTableField id="5967" name="Column5967" tableColumnId="5967"/>
      <queryTableField id="5968" name="Column5968" tableColumnId="5968"/>
      <queryTableField id="5969" name="Column5969" tableColumnId="5969"/>
      <queryTableField id="5970" name="Column5970" tableColumnId="5970"/>
      <queryTableField id="5971" name="Column5971" tableColumnId="5971"/>
      <queryTableField id="5972" name="Column5972" tableColumnId="5972"/>
      <queryTableField id="5973" name="Column5973" tableColumnId="5973"/>
      <queryTableField id="5974" name="Column5974" tableColumnId="5974"/>
      <queryTableField id="5975" name="Column5975" tableColumnId="5975"/>
      <queryTableField id="5976" name="Column5976" tableColumnId="5976"/>
      <queryTableField id="5977" name="Column5977" tableColumnId="5977"/>
      <queryTableField id="5978" name="Column5978" tableColumnId="5978"/>
      <queryTableField id="5979" name="Column5979" tableColumnId="5979"/>
      <queryTableField id="5980" name="Column5980" tableColumnId="5980"/>
      <queryTableField id="5981" name="Column5981" tableColumnId="5981"/>
      <queryTableField id="5982" name="Column5982" tableColumnId="5982"/>
      <queryTableField id="5983" name="Column5983" tableColumnId="5983"/>
      <queryTableField id="5984" name="Column5984" tableColumnId="5984"/>
      <queryTableField id="5985" name="Column5985" tableColumnId="5985"/>
      <queryTableField id="5986" name="Column5986" tableColumnId="5986"/>
      <queryTableField id="5987" name="Column5987" tableColumnId="5987"/>
      <queryTableField id="5988" name="Column5988" tableColumnId="5988"/>
      <queryTableField id="5989" name="Column5989" tableColumnId="5989"/>
      <queryTableField id="5990" name="Column5990" tableColumnId="5990"/>
      <queryTableField id="5991" name="Column5991" tableColumnId="5991"/>
      <queryTableField id="5992" name="Column5992" tableColumnId="5992"/>
      <queryTableField id="5993" name="Column5993" tableColumnId="5993"/>
      <queryTableField id="5994" name="Column5994" tableColumnId="5994"/>
      <queryTableField id="5995" name="Column5995" tableColumnId="5995"/>
      <queryTableField id="5996" name="Column5996" tableColumnId="5996"/>
      <queryTableField id="5997" name="Column5997" tableColumnId="5997"/>
      <queryTableField id="5998" name="Column5998" tableColumnId="5998"/>
      <queryTableField id="5999" name="Column5999" tableColumnId="5999"/>
      <queryTableField id="6000" name="Column6000" tableColumnId="6000"/>
      <queryTableField id="6001" name="Column6001" tableColumnId="6001"/>
      <queryTableField id="6002" name="Column6002" tableColumnId="6002"/>
      <queryTableField id="6003" name="Column6003" tableColumnId="6003"/>
      <queryTableField id="6004" name="Column6004" tableColumnId="6004"/>
      <queryTableField id="6005" name="Column6005" tableColumnId="6005"/>
      <queryTableField id="6006" name="Column6006" tableColumnId="6006"/>
      <queryTableField id="6007" name="Column6007" tableColumnId="6007"/>
      <queryTableField id="6008" name="Column6008" tableColumnId="6008"/>
      <queryTableField id="6009" name="Column6009" tableColumnId="6009"/>
      <queryTableField id="6010" name="Column6010" tableColumnId="6010"/>
      <queryTableField id="6011" name="Column6011" tableColumnId="6011"/>
      <queryTableField id="6012" name="Column6012" tableColumnId="6012"/>
      <queryTableField id="6013" name="Column6013" tableColumnId="6013"/>
      <queryTableField id="6014" name="Column6014" tableColumnId="6014"/>
      <queryTableField id="6015" name="Column6015" tableColumnId="6015"/>
      <queryTableField id="6016" name="Column6016" tableColumnId="6016"/>
      <queryTableField id="6017" name="Column6017" tableColumnId="6017"/>
      <queryTableField id="6018" name="Column6018" tableColumnId="6018"/>
      <queryTableField id="6019" name="Column6019" tableColumnId="6019"/>
      <queryTableField id="6020" name="Column6020" tableColumnId="6020"/>
      <queryTableField id="6021" name="Column6021" tableColumnId="6021"/>
      <queryTableField id="6022" name="Column6022" tableColumnId="6022"/>
      <queryTableField id="6023" name="Column6023" tableColumnId="6023"/>
      <queryTableField id="6024" name="Column6024" tableColumnId="6024"/>
      <queryTableField id="6025" name="Column6025" tableColumnId="6025"/>
      <queryTableField id="6026" name="Column6026" tableColumnId="6026"/>
      <queryTableField id="6027" name="Column6027" tableColumnId="6027"/>
      <queryTableField id="6028" name="Column6028" tableColumnId="6028"/>
      <queryTableField id="6029" name="Column6029" tableColumnId="6029"/>
      <queryTableField id="6030" name="Column6030" tableColumnId="6030"/>
      <queryTableField id="6031" name="Column6031" tableColumnId="6031"/>
      <queryTableField id="6032" name="Column6032" tableColumnId="6032"/>
      <queryTableField id="6033" name="Column6033" tableColumnId="6033"/>
      <queryTableField id="6034" name="Column6034" tableColumnId="6034"/>
      <queryTableField id="6035" name="Column6035" tableColumnId="6035"/>
      <queryTableField id="6036" name="Column6036" tableColumnId="6036"/>
      <queryTableField id="6037" name="Column6037" tableColumnId="6037"/>
      <queryTableField id="6038" name="Column6038" tableColumnId="6038"/>
      <queryTableField id="6039" name="Column6039" tableColumnId="6039"/>
      <queryTableField id="6040" name="Column6040" tableColumnId="6040"/>
      <queryTableField id="6041" name="Column6041" tableColumnId="6041"/>
      <queryTableField id="6042" name="Column6042" tableColumnId="6042"/>
      <queryTableField id="6043" name="Column6043" tableColumnId="6043"/>
      <queryTableField id="6044" name="Column6044" tableColumnId="6044"/>
      <queryTableField id="6045" name="Column6045" tableColumnId="6045"/>
      <queryTableField id="6046" name="Column6046" tableColumnId="6046"/>
      <queryTableField id="6047" name="Column6047" tableColumnId="6047"/>
      <queryTableField id="6048" name="Column6048" tableColumnId="6048"/>
      <queryTableField id="6049" name="Column6049" tableColumnId="6049"/>
      <queryTableField id="6050" name="Column6050" tableColumnId="6050"/>
      <queryTableField id="6051" name="Column6051" tableColumnId="6051"/>
      <queryTableField id="6052" name="Column6052" tableColumnId="6052"/>
      <queryTableField id="6053" name="Column6053" tableColumnId="6053"/>
      <queryTableField id="6054" name="Column6054" tableColumnId="6054"/>
      <queryTableField id="6055" name="Column6055" tableColumnId="6055"/>
      <queryTableField id="6056" name="Column6056" tableColumnId="6056"/>
      <queryTableField id="6057" name="Column6057" tableColumnId="6057"/>
      <queryTableField id="6058" name="Column6058" tableColumnId="6058"/>
      <queryTableField id="6059" name="Column6059" tableColumnId="6059"/>
      <queryTableField id="6060" name="Column6060" tableColumnId="6060"/>
      <queryTableField id="6061" name="Column6061" tableColumnId="6061"/>
      <queryTableField id="6062" name="Column6062" tableColumnId="6062"/>
      <queryTableField id="6063" name="Column6063" tableColumnId="6063"/>
      <queryTableField id="6064" name="Column6064" tableColumnId="6064"/>
      <queryTableField id="6065" name="Column6065" tableColumnId="6065"/>
      <queryTableField id="6066" name="Column6066" tableColumnId="6066"/>
      <queryTableField id="6067" name="Column6067" tableColumnId="6067"/>
      <queryTableField id="6068" name="Column6068" tableColumnId="6068"/>
      <queryTableField id="6069" name="Column6069" tableColumnId="6069"/>
      <queryTableField id="6070" name="Column6070" tableColumnId="6070"/>
      <queryTableField id="6071" name="Column6071" tableColumnId="6071"/>
      <queryTableField id="6072" name="Column6072" tableColumnId="6072"/>
      <queryTableField id="6073" name="Column6073" tableColumnId="6073"/>
      <queryTableField id="6074" name="Column6074" tableColumnId="6074"/>
      <queryTableField id="6075" name="Column6075" tableColumnId="6075"/>
      <queryTableField id="6076" name="Column6076" tableColumnId="6076"/>
      <queryTableField id="6077" name="Column6077" tableColumnId="6077"/>
      <queryTableField id="6078" name="Column6078" tableColumnId="6078"/>
      <queryTableField id="6079" name="Column6079" tableColumnId="6079"/>
      <queryTableField id="6080" name="Column6080" tableColumnId="6080"/>
      <queryTableField id="6081" name="Column6081" tableColumnId="6081"/>
      <queryTableField id="6082" name="Column6082" tableColumnId="6082"/>
      <queryTableField id="6083" name="Column6083" tableColumnId="6083"/>
      <queryTableField id="6084" name="Column6084" tableColumnId="6084"/>
      <queryTableField id="6085" name="Column6085" tableColumnId="6085"/>
      <queryTableField id="6086" name="Column6086" tableColumnId="6086"/>
      <queryTableField id="6087" name="Column6087" tableColumnId="6087"/>
      <queryTableField id="6088" name="Column6088" tableColumnId="6088"/>
      <queryTableField id="6089" name="Column6089" tableColumnId="6089"/>
      <queryTableField id="6090" name="Column6090" tableColumnId="6090"/>
      <queryTableField id="6091" name="Column6091" tableColumnId="6091"/>
      <queryTableField id="6092" name="Column6092" tableColumnId="6092"/>
      <queryTableField id="6093" name="Column6093" tableColumnId="6093"/>
      <queryTableField id="6094" name="Column6094" tableColumnId="6094"/>
      <queryTableField id="6095" name="Column6095" tableColumnId="6095"/>
      <queryTableField id="6096" name="Column6096" tableColumnId="6096"/>
      <queryTableField id="6097" name="Column6097" tableColumnId="6097"/>
      <queryTableField id="6098" name="Column6098" tableColumnId="6098"/>
      <queryTableField id="6099" name="Column6099" tableColumnId="6099"/>
      <queryTableField id="6100" name="Column6100" tableColumnId="6100"/>
      <queryTableField id="6101" name="Column6101" tableColumnId="6101"/>
      <queryTableField id="6102" name="Column6102" tableColumnId="6102"/>
      <queryTableField id="6103" name="Column6103" tableColumnId="6103"/>
      <queryTableField id="6104" name="Column6104" tableColumnId="6104"/>
      <queryTableField id="6105" name="Column6105" tableColumnId="6105"/>
      <queryTableField id="6106" name="Column6106" tableColumnId="6106"/>
      <queryTableField id="6107" name="Column6107" tableColumnId="6107"/>
      <queryTableField id="6108" name="Column6108" tableColumnId="6108"/>
      <queryTableField id="6109" name="Column6109" tableColumnId="6109"/>
      <queryTableField id="6110" name="Column6110" tableColumnId="6110"/>
      <queryTableField id="6111" name="Column6111" tableColumnId="6111"/>
      <queryTableField id="6112" name="Column6112" tableColumnId="6112"/>
      <queryTableField id="6113" name="Column6113" tableColumnId="6113"/>
      <queryTableField id="6114" name="Column6114" tableColumnId="6114"/>
      <queryTableField id="6115" name="Column6115" tableColumnId="6115"/>
      <queryTableField id="6116" name="Column6116" tableColumnId="6116"/>
      <queryTableField id="6117" name="Column6117" tableColumnId="6117"/>
      <queryTableField id="6118" name="Column6118" tableColumnId="6118"/>
      <queryTableField id="6119" name="Column6119" tableColumnId="6119"/>
      <queryTableField id="6120" name="Column6120" tableColumnId="6120"/>
      <queryTableField id="6121" name="Column6121" tableColumnId="6121"/>
      <queryTableField id="6122" name="Column6122" tableColumnId="6122"/>
      <queryTableField id="6123" name="Column6123" tableColumnId="6123"/>
      <queryTableField id="6124" name="Column6124" tableColumnId="6124"/>
      <queryTableField id="6125" name="Column6125" tableColumnId="6125"/>
      <queryTableField id="6126" name="Column6126" tableColumnId="6126"/>
      <queryTableField id="6127" name="Column6127" tableColumnId="6127"/>
      <queryTableField id="6128" name="Column6128" tableColumnId="6128"/>
      <queryTableField id="6129" name="Column6129" tableColumnId="6129"/>
      <queryTableField id="6130" name="Column6130" tableColumnId="6130"/>
      <queryTableField id="6131" name="Column6131" tableColumnId="6131"/>
      <queryTableField id="6132" name="Column6132" tableColumnId="6132"/>
      <queryTableField id="6133" name="Column6133" tableColumnId="6133"/>
      <queryTableField id="6134" name="Column6134" tableColumnId="6134"/>
      <queryTableField id="6135" name="Column6135" tableColumnId="6135"/>
      <queryTableField id="6136" name="Column6136" tableColumnId="6136"/>
      <queryTableField id="6137" name="Column6137" tableColumnId="6137"/>
      <queryTableField id="6138" name="Column6138" tableColumnId="6138"/>
      <queryTableField id="6139" name="Column6139" tableColumnId="6139"/>
      <queryTableField id="6140" name="Column6140" tableColumnId="6140"/>
      <queryTableField id="6141" name="Column6141" tableColumnId="6141"/>
      <queryTableField id="6142" name="Column6142" tableColumnId="6142"/>
      <queryTableField id="6143" name="Column6143" tableColumnId="6143"/>
      <queryTableField id="6144" name="Column6144" tableColumnId="6144"/>
      <queryTableField id="6145" name="Column6145" tableColumnId="6145"/>
      <queryTableField id="6146" name="Column6146" tableColumnId="6146"/>
      <queryTableField id="6147" name="Column6147" tableColumnId="6147"/>
      <queryTableField id="6148" name="Column6148" tableColumnId="6148"/>
      <queryTableField id="6149" name="Column6149" tableColumnId="6149"/>
      <queryTableField id="6150" name="Column6150" tableColumnId="6150"/>
      <queryTableField id="6151" name="Column6151" tableColumnId="6151"/>
      <queryTableField id="6152" name="Column6152" tableColumnId="6152"/>
      <queryTableField id="6153" name="Column6153" tableColumnId="6153"/>
      <queryTableField id="6154" name="Column6154" tableColumnId="6154"/>
      <queryTableField id="6155" name="Column6155" tableColumnId="6155"/>
      <queryTableField id="6156" name="Column6156" tableColumnId="6156"/>
      <queryTableField id="6157" name="Column6157" tableColumnId="6157"/>
      <queryTableField id="6158" name="Column6158" tableColumnId="6158"/>
      <queryTableField id="6159" name="Column6159" tableColumnId="6159"/>
      <queryTableField id="6160" name="Column6160" tableColumnId="6160"/>
      <queryTableField id="6161" name="Column6161" tableColumnId="6161"/>
      <queryTableField id="6162" name="Column6162" tableColumnId="6162"/>
      <queryTableField id="6163" name="Column6163" tableColumnId="6163"/>
      <queryTableField id="6164" name="Column6164" tableColumnId="6164"/>
      <queryTableField id="6165" name="Column6165" tableColumnId="6165"/>
      <queryTableField id="6166" name="Column6166" tableColumnId="6166"/>
      <queryTableField id="6167" name="Column6167" tableColumnId="6167"/>
      <queryTableField id="6168" name="Column6168" tableColumnId="6168"/>
      <queryTableField id="6169" name="Column6169" tableColumnId="6169"/>
      <queryTableField id="6170" name="Column6170" tableColumnId="6170"/>
      <queryTableField id="6171" name="Column6171" tableColumnId="6171"/>
      <queryTableField id="6172" name="Column6172" tableColumnId="6172"/>
      <queryTableField id="6173" name="Column6173" tableColumnId="6173"/>
      <queryTableField id="6174" name="Column6174" tableColumnId="6174"/>
      <queryTableField id="6175" name="Column6175" tableColumnId="6175"/>
      <queryTableField id="6176" name="Column6176" tableColumnId="6176"/>
      <queryTableField id="6177" name="Column6177" tableColumnId="6177"/>
      <queryTableField id="6178" name="Column6178" tableColumnId="6178"/>
      <queryTableField id="6179" name="Column6179" tableColumnId="6179"/>
      <queryTableField id="6180" name="Column6180" tableColumnId="6180"/>
      <queryTableField id="6181" name="Column6181" tableColumnId="6181"/>
      <queryTableField id="6182" name="Column6182" tableColumnId="6182"/>
      <queryTableField id="6183" name="Column6183" tableColumnId="6183"/>
      <queryTableField id="6184" name="Column6184" tableColumnId="6184"/>
      <queryTableField id="6185" name="Column6185" tableColumnId="6185"/>
      <queryTableField id="6186" name="Column6186" tableColumnId="6186"/>
      <queryTableField id="6187" name="Column6187" tableColumnId="6187"/>
      <queryTableField id="6188" name="Column6188" tableColumnId="6188"/>
      <queryTableField id="6189" name="Column6189" tableColumnId="6189"/>
      <queryTableField id="6190" name="Column6190" tableColumnId="6190"/>
      <queryTableField id="6191" name="Column6191" tableColumnId="6191"/>
      <queryTableField id="6192" name="Column6192" tableColumnId="6192"/>
      <queryTableField id="6193" name="Column6193" tableColumnId="6193"/>
      <queryTableField id="6194" name="Column6194" tableColumnId="6194"/>
      <queryTableField id="6195" name="Column6195" tableColumnId="6195"/>
      <queryTableField id="6196" name="Column6196" tableColumnId="6196"/>
      <queryTableField id="6197" name="Column6197" tableColumnId="6197"/>
      <queryTableField id="6198" name="Column6198" tableColumnId="6198"/>
      <queryTableField id="6199" name="Column6199" tableColumnId="6199"/>
      <queryTableField id="6200" name="Column6200" tableColumnId="6200"/>
      <queryTableField id="6201" name="Column6201" tableColumnId="6201"/>
      <queryTableField id="6202" name="Column6202" tableColumnId="6202"/>
      <queryTableField id="6203" name="Column6203" tableColumnId="6203"/>
      <queryTableField id="6204" name="Column6204" tableColumnId="6204"/>
      <queryTableField id="6205" name="Column6205" tableColumnId="6205"/>
      <queryTableField id="6206" name="Column6206" tableColumnId="6206"/>
      <queryTableField id="6207" name="Column6207" tableColumnId="6207"/>
      <queryTableField id="6208" name="Column6208" tableColumnId="6208"/>
      <queryTableField id="6209" name="Column6209" tableColumnId="6209"/>
      <queryTableField id="6210" name="Column6210" tableColumnId="6210"/>
      <queryTableField id="6211" name="Column6211" tableColumnId="6211"/>
      <queryTableField id="6212" name="Column6212" tableColumnId="6212"/>
      <queryTableField id="6213" name="Column6213" tableColumnId="6213"/>
      <queryTableField id="6214" name="Column6214" tableColumnId="6214"/>
      <queryTableField id="6215" name="Column6215" tableColumnId="6215"/>
      <queryTableField id="6216" name="Column6216" tableColumnId="6216"/>
      <queryTableField id="6217" name="Column6217" tableColumnId="6217"/>
      <queryTableField id="6218" name="Column6218" tableColumnId="6218"/>
      <queryTableField id="6219" name="Column6219" tableColumnId="6219"/>
      <queryTableField id="6220" name="Column6220" tableColumnId="6220"/>
      <queryTableField id="6221" name="Column6221" tableColumnId="6221"/>
      <queryTableField id="6222" name="Column6222" tableColumnId="6222"/>
      <queryTableField id="6223" name="Column6223" tableColumnId="6223"/>
      <queryTableField id="6224" name="Column6224" tableColumnId="6224"/>
      <queryTableField id="6225" name="Column6225" tableColumnId="6225"/>
      <queryTableField id="6226" name="Column6226" tableColumnId="6226"/>
      <queryTableField id="6227" name="Column6227" tableColumnId="6227"/>
      <queryTableField id="6228" name="Column6228" tableColumnId="6228"/>
      <queryTableField id="6229" name="Column6229" tableColumnId="6229"/>
      <queryTableField id="6230" name="Column6230" tableColumnId="6230"/>
      <queryTableField id="6231" name="Column6231" tableColumnId="6231"/>
      <queryTableField id="6232" name="Column6232" tableColumnId="6232"/>
      <queryTableField id="6233" name="Column6233" tableColumnId="6233"/>
      <queryTableField id="6234" name="Column6234" tableColumnId="6234"/>
      <queryTableField id="6235" name="Column6235" tableColumnId="6235"/>
      <queryTableField id="6236" name="Column6236" tableColumnId="6236"/>
      <queryTableField id="6237" name="Column6237" tableColumnId="6237"/>
      <queryTableField id="6238" name="Column6238" tableColumnId="6238"/>
      <queryTableField id="6239" name="Column6239" tableColumnId="6239"/>
      <queryTableField id="6240" name="Column6240" tableColumnId="6240"/>
      <queryTableField id="6241" name="Column6241" tableColumnId="6241"/>
      <queryTableField id="6242" name="Column6242" tableColumnId="6242"/>
      <queryTableField id="6243" name="Column6243" tableColumnId="6243"/>
      <queryTableField id="6244" name="Column6244" tableColumnId="6244"/>
      <queryTableField id="6245" name="Column6245" tableColumnId="6245"/>
      <queryTableField id="6246" name="Column6246" tableColumnId="6246"/>
      <queryTableField id="6247" name="Column6247" tableColumnId="6247"/>
      <queryTableField id="6248" name="Column6248" tableColumnId="6248"/>
      <queryTableField id="6249" name="Column6249" tableColumnId="6249"/>
      <queryTableField id="6250" name="Column6250" tableColumnId="6250"/>
      <queryTableField id="6251" name="Column6251" tableColumnId="6251"/>
      <queryTableField id="6252" name="Column6252" tableColumnId="6252"/>
      <queryTableField id="6253" name="Column6253" tableColumnId="6253"/>
      <queryTableField id="6254" name="Column6254" tableColumnId="6254"/>
      <queryTableField id="6255" name="Column6255" tableColumnId="6255"/>
      <queryTableField id="6256" name="Column6256" tableColumnId="6256"/>
      <queryTableField id="6257" name="Column6257" tableColumnId="6257"/>
      <queryTableField id="6258" name="Column6258" tableColumnId="6258"/>
      <queryTableField id="6259" name="Column6259" tableColumnId="6259"/>
      <queryTableField id="6260" name="Column6260" tableColumnId="6260"/>
      <queryTableField id="6261" name="Column6261" tableColumnId="6261"/>
      <queryTableField id="6262" name="Column6262" tableColumnId="6262"/>
      <queryTableField id="6263" name="Column6263" tableColumnId="6263"/>
      <queryTableField id="6264" name="Column6264" tableColumnId="6264"/>
      <queryTableField id="6265" name="Column6265" tableColumnId="6265"/>
      <queryTableField id="6266" name="Column6266" tableColumnId="6266"/>
      <queryTableField id="6267" name="Column6267" tableColumnId="6267"/>
      <queryTableField id="6268" name="Column6268" tableColumnId="6268"/>
      <queryTableField id="6269" name="Column6269" tableColumnId="6269"/>
      <queryTableField id="6270" name="Column6270" tableColumnId="6270"/>
      <queryTableField id="6271" name="Column6271" tableColumnId="6271"/>
      <queryTableField id="6272" name="Column6272" tableColumnId="6272"/>
      <queryTableField id="6273" name="Column6273" tableColumnId="6273"/>
      <queryTableField id="6274" name="Column6274" tableColumnId="6274"/>
      <queryTableField id="6275" name="Column6275" tableColumnId="6275"/>
      <queryTableField id="6276" name="Column6276" tableColumnId="6276"/>
      <queryTableField id="6277" name="Column6277" tableColumnId="6277"/>
      <queryTableField id="6278" name="Column6278" tableColumnId="6278"/>
      <queryTableField id="6279" name="Column6279" tableColumnId="6279"/>
      <queryTableField id="6280" name="Column6280" tableColumnId="6280"/>
      <queryTableField id="6281" name="Column6281" tableColumnId="6281"/>
      <queryTableField id="6282" name="Column6282" tableColumnId="6282"/>
      <queryTableField id="6283" name="Column6283" tableColumnId="6283"/>
      <queryTableField id="6284" name="Column6284" tableColumnId="6284"/>
      <queryTableField id="6285" name="Column6285" tableColumnId="6285"/>
      <queryTableField id="6286" name="Column6286" tableColumnId="6286"/>
      <queryTableField id="6287" name="Column6287" tableColumnId="6287"/>
      <queryTableField id="6288" name="Column6288" tableColumnId="6288"/>
      <queryTableField id="6289" name="Column6289" tableColumnId="6289"/>
      <queryTableField id="6290" name="Column6290" tableColumnId="6290"/>
      <queryTableField id="6291" name="Column6291" tableColumnId="6291"/>
      <queryTableField id="6292" name="Column6292" tableColumnId="6292"/>
      <queryTableField id="6293" name="Column6293" tableColumnId="6293"/>
      <queryTableField id="6294" name="Column6294" tableColumnId="6294"/>
      <queryTableField id="6295" name="Column6295" tableColumnId="6295"/>
      <queryTableField id="6296" name="Column6296" tableColumnId="6296"/>
      <queryTableField id="6297" name="Column6297" tableColumnId="6297"/>
      <queryTableField id="6298" name="Column6298" tableColumnId="6298"/>
      <queryTableField id="6299" name="Column6299" tableColumnId="6299"/>
      <queryTableField id="6300" name="Column6300" tableColumnId="6300"/>
      <queryTableField id="6301" name="Column6301" tableColumnId="6301"/>
      <queryTableField id="6302" name="Column6302" tableColumnId="6302"/>
      <queryTableField id="6303" name="Column6303" tableColumnId="6303"/>
      <queryTableField id="6304" name="Column6304" tableColumnId="6304"/>
      <queryTableField id="6305" name="Column6305" tableColumnId="6305"/>
      <queryTableField id="6306" name="Column6306" tableColumnId="6306"/>
      <queryTableField id="6307" name="Column6307" tableColumnId="6307"/>
      <queryTableField id="6308" name="Column6308" tableColumnId="6308"/>
      <queryTableField id="6309" name="Column6309" tableColumnId="6309"/>
      <queryTableField id="6310" name="Column6310" tableColumnId="6310"/>
      <queryTableField id="6311" name="Column6311" tableColumnId="6311"/>
      <queryTableField id="6312" name="Column6312" tableColumnId="6312"/>
      <queryTableField id="6313" name="Column6313" tableColumnId="6313"/>
      <queryTableField id="6314" name="Column6314" tableColumnId="6314"/>
      <queryTableField id="6315" name="Column6315" tableColumnId="6315"/>
      <queryTableField id="6316" name="Column6316" tableColumnId="6316"/>
      <queryTableField id="6317" name="Column6317" tableColumnId="6317"/>
      <queryTableField id="6318" name="Column6318" tableColumnId="6318"/>
      <queryTableField id="6319" name="Column6319" tableColumnId="6319"/>
      <queryTableField id="6320" name="Column6320" tableColumnId="6320"/>
      <queryTableField id="6321" name="Column6321" tableColumnId="6321"/>
      <queryTableField id="6322" name="Column6322" tableColumnId="6322"/>
      <queryTableField id="6323" name="Column6323" tableColumnId="6323"/>
      <queryTableField id="6324" name="Column6324" tableColumnId="6324"/>
      <queryTableField id="6325" name="Column6325" tableColumnId="6325"/>
      <queryTableField id="6326" name="Column6326" tableColumnId="6326"/>
      <queryTableField id="6327" name="Column6327" tableColumnId="6327"/>
      <queryTableField id="6328" name="Column6328" tableColumnId="6328"/>
      <queryTableField id="6329" name="Column6329" tableColumnId="6329"/>
      <queryTableField id="6330" name="Column6330" tableColumnId="6330"/>
      <queryTableField id="6331" name="Column6331" tableColumnId="6331"/>
      <queryTableField id="6332" name="Column6332" tableColumnId="6332"/>
      <queryTableField id="6333" name="Column6333" tableColumnId="6333"/>
      <queryTableField id="6334" name="Column6334" tableColumnId="6334"/>
      <queryTableField id="6335" name="Column6335" tableColumnId="6335"/>
      <queryTableField id="6336" name="Column6336" tableColumnId="6336"/>
      <queryTableField id="6337" name="Column6337" tableColumnId="6337"/>
      <queryTableField id="6338" name="Column6338" tableColumnId="6338"/>
      <queryTableField id="6339" name="Column6339" tableColumnId="6339"/>
      <queryTableField id="6340" name="Column6340" tableColumnId="6340"/>
      <queryTableField id="6341" name="Column6341" tableColumnId="6341"/>
      <queryTableField id="6342" name="Column6342" tableColumnId="6342"/>
      <queryTableField id="6343" name="Column6343" tableColumnId="6343"/>
      <queryTableField id="6344" name="Column6344" tableColumnId="6344"/>
      <queryTableField id="6345" name="Column6345" tableColumnId="6345"/>
      <queryTableField id="6346" name="Column6346" tableColumnId="6346"/>
      <queryTableField id="6347" name="Column6347" tableColumnId="6347"/>
      <queryTableField id="6348" name="Column6348" tableColumnId="6348"/>
      <queryTableField id="6349" name="Column6349" tableColumnId="6349"/>
      <queryTableField id="6350" name="Column6350" tableColumnId="6350"/>
      <queryTableField id="6351" name="Column6351" tableColumnId="6351"/>
      <queryTableField id="6352" name="Column6352" tableColumnId="6352"/>
      <queryTableField id="6353" name="Column6353" tableColumnId="6353"/>
      <queryTableField id="6354" name="Column6354" tableColumnId="6354"/>
      <queryTableField id="6355" name="Column6355" tableColumnId="6355"/>
      <queryTableField id="6356" name="Column6356" tableColumnId="6356"/>
      <queryTableField id="6357" name="Column6357" tableColumnId="6357"/>
      <queryTableField id="6358" name="Column6358" tableColumnId="6358"/>
      <queryTableField id="6359" name="Column6359" tableColumnId="6359"/>
      <queryTableField id="6360" name="Column6360" tableColumnId="6360"/>
      <queryTableField id="6361" name="Column6361" tableColumnId="6361"/>
      <queryTableField id="6362" name="Column6362" tableColumnId="6362"/>
      <queryTableField id="6363" name="Column6363" tableColumnId="6363"/>
      <queryTableField id="6364" name="Column6364" tableColumnId="6364"/>
      <queryTableField id="6365" name="Column6365" tableColumnId="6365"/>
      <queryTableField id="6366" name="Column6366" tableColumnId="6366"/>
      <queryTableField id="6367" name="Column6367" tableColumnId="6367"/>
      <queryTableField id="6368" name="Column6368" tableColumnId="6368"/>
      <queryTableField id="6369" name="Column6369" tableColumnId="6369"/>
      <queryTableField id="6370" name="Column6370" tableColumnId="6370"/>
      <queryTableField id="6371" name="Column6371" tableColumnId="6371"/>
      <queryTableField id="6372" name="Column6372" tableColumnId="6372"/>
      <queryTableField id="6373" name="Column6373" tableColumnId="6373"/>
      <queryTableField id="6374" name="Column6374" tableColumnId="6374"/>
      <queryTableField id="6375" name="Column6375" tableColumnId="6375"/>
      <queryTableField id="6376" name="Column6376" tableColumnId="6376"/>
      <queryTableField id="6377" name="Column6377" tableColumnId="6377"/>
      <queryTableField id="6378" name="Column6378" tableColumnId="6378"/>
      <queryTableField id="6379" name="Column6379" tableColumnId="6379"/>
      <queryTableField id="6380" name="Column6380" tableColumnId="6380"/>
      <queryTableField id="6381" name="Column6381" tableColumnId="6381"/>
      <queryTableField id="6382" name="Column6382" tableColumnId="6382"/>
      <queryTableField id="6383" name="Column6383" tableColumnId="6383"/>
      <queryTableField id="6384" name="Column6384" tableColumnId="6384"/>
      <queryTableField id="6385" name="Column6385" tableColumnId="6385"/>
      <queryTableField id="6386" name="Column6386" tableColumnId="6386"/>
      <queryTableField id="6387" name="Column6387" tableColumnId="6387"/>
      <queryTableField id="6388" name="Column6388" tableColumnId="6388"/>
      <queryTableField id="6389" name="Column6389" tableColumnId="6389"/>
      <queryTableField id="6390" name="Column6390" tableColumnId="6390"/>
      <queryTableField id="6391" name="Column6391" tableColumnId="6391"/>
      <queryTableField id="6392" name="Column6392" tableColumnId="6392"/>
      <queryTableField id="6393" name="Column6393" tableColumnId="6393"/>
      <queryTableField id="6394" name="Column6394" tableColumnId="6394"/>
      <queryTableField id="6395" name="Column6395" tableColumnId="6395"/>
      <queryTableField id="6396" name="Column6396" tableColumnId="6396"/>
      <queryTableField id="6397" name="Column6397" tableColumnId="6397"/>
      <queryTableField id="6398" name="Column6398" tableColumnId="6398"/>
      <queryTableField id="6399" name="Column6399" tableColumnId="6399"/>
      <queryTableField id="6400" name="Column6400" tableColumnId="6400"/>
      <queryTableField id="6401" name="Column6401" tableColumnId="6401"/>
      <queryTableField id="6402" name="Column6402" tableColumnId="6402"/>
      <queryTableField id="6403" name="Column6403" tableColumnId="6403"/>
      <queryTableField id="6404" name="Column6404" tableColumnId="6404"/>
      <queryTableField id="6405" name="Column6405" tableColumnId="6405"/>
      <queryTableField id="6406" name="Column6406" tableColumnId="6406"/>
      <queryTableField id="6407" name="Column6407" tableColumnId="6407"/>
      <queryTableField id="6408" name="Column6408" tableColumnId="6408"/>
      <queryTableField id="6409" name="Column6409" tableColumnId="6409"/>
      <queryTableField id="6410" name="Column6410" tableColumnId="6410"/>
      <queryTableField id="6411" name="Column6411" tableColumnId="6411"/>
      <queryTableField id="6412" name="Column6412" tableColumnId="6412"/>
      <queryTableField id="6413" name="Column6413" tableColumnId="6413"/>
      <queryTableField id="6414" name="Column6414" tableColumnId="6414"/>
      <queryTableField id="6415" name="Column6415" tableColumnId="6415"/>
      <queryTableField id="6416" name="Column6416" tableColumnId="6416"/>
      <queryTableField id="6417" name="Column6417" tableColumnId="6417"/>
      <queryTableField id="6418" name="Column6418" tableColumnId="6418"/>
      <queryTableField id="6419" name="Column6419" tableColumnId="6419"/>
      <queryTableField id="6420" name="Column6420" tableColumnId="6420"/>
      <queryTableField id="6421" name="Column6421" tableColumnId="6421"/>
      <queryTableField id="6422" name="Column6422" tableColumnId="6422"/>
      <queryTableField id="6423" name="Column6423" tableColumnId="6423"/>
      <queryTableField id="6424" name="Column6424" tableColumnId="6424"/>
      <queryTableField id="6425" name="Column6425" tableColumnId="6425"/>
      <queryTableField id="6426" name="Column6426" tableColumnId="6426"/>
      <queryTableField id="6427" name="Column6427" tableColumnId="6427"/>
      <queryTableField id="6428" name="Column6428" tableColumnId="6428"/>
      <queryTableField id="6429" name="Column6429" tableColumnId="6429"/>
      <queryTableField id="6430" name="Column6430" tableColumnId="6430"/>
      <queryTableField id="6431" name="Column6431" tableColumnId="6431"/>
      <queryTableField id="6432" name="Column6432" tableColumnId="6432"/>
      <queryTableField id="6433" name="Column6433" tableColumnId="6433"/>
      <queryTableField id="6434" name="Column6434" tableColumnId="6434"/>
      <queryTableField id="6435" name="Column6435" tableColumnId="6435"/>
      <queryTableField id="6436" name="Column6436" tableColumnId="6436"/>
      <queryTableField id="6437" name="Column6437" tableColumnId="6437"/>
      <queryTableField id="6438" name="Column6438" tableColumnId="6438"/>
      <queryTableField id="6439" name="Column6439" tableColumnId="6439"/>
      <queryTableField id="6440" name="Column6440" tableColumnId="6440"/>
      <queryTableField id="6441" name="Column6441" tableColumnId="6441"/>
      <queryTableField id="6442" name="Column6442" tableColumnId="6442"/>
      <queryTableField id="6443" name="Column6443" tableColumnId="6443"/>
      <queryTableField id="6444" name="Column6444" tableColumnId="6444"/>
      <queryTableField id="6445" name="Column6445" tableColumnId="6445"/>
      <queryTableField id="6446" name="Column6446" tableColumnId="6446"/>
      <queryTableField id="6447" name="Column6447" tableColumnId="6447"/>
      <queryTableField id="6448" name="Column6448" tableColumnId="6448"/>
      <queryTableField id="6449" name="Column6449" tableColumnId="6449"/>
      <queryTableField id="6450" name="Column6450" tableColumnId="6450"/>
      <queryTableField id="6451" name="Column6451" tableColumnId="6451"/>
      <queryTableField id="6452" name="Column6452" tableColumnId="6452"/>
      <queryTableField id="6453" name="Column6453" tableColumnId="6453"/>
      <queryTableField id="6454" name="Column6454" tableColumnId="6454"/>
      <queryTableField id="6455" name="Column6455" tableColumnId="6455"/>
      <queryTableField id="6456" name="Column6456" tableColumnId="6456"/>
      <queryTableField id="6457" name="Column6457" tableColumnId="6457"/>
      <queryTableField id="6458" name="Column6458" tableColumnId="6458"/>
      <queryTableField id="6459" name="Column6459" tableColumnId="6459"/>
      <queryTableField id="6460" name="Column6460" tableColumnId="6460"/>
      <queryTableField id="6461" name="Column6461" tableColumnId="6461"/>
      <queryTableField id="6462" name="Column6462" tableColumnId="6462"/>
      <queryTableField id="6463" name="Column6463" tableColumnId="6463"/>
      <queryTableField id="6464" name="Column6464" tableColumnId="6464"/>
      <queryTableField id="6465" name="Column6465" tableColumnId="6465"/>
      <queryTableField id="6466" name="Column6466" tableColumnId="6466"/>
      <queryTableField id="6467" name="Column6467" tableColumnId="6467"/>
      <queryTableField id="6468" name="Column6468" tableColumnId="6468"/>
      <queryTableField id="6469" name="Column6469" tableColumnId="6469"/>
      <queryTableField id="6470" name="Column6470" tableColumnId="6470"/>
      <queryTableField id="6471" name="Column6471" tableColumnId="6471"/>
      <queryTableField id="6472" name="Column6472" tableColumnId="6472"/>
      <queryTableField id="6473" name="Column6473" tableColumnId="6473"/>
      <queryTableField id="6474" name="Column6474" tableColumnId="6474"/>
      <queryTableField id="6475" name="Column6475" tableColumnId="6475"/>
      <queryTableField id="6476" name="Column6476" tableColumnId="6476"/>
      <queryTableField id="6477" name="Column6477" tableColumnId="6477"/>
      <queryTableField id="6478" name="Column6478" tableColumnId="6478"/>
      <queryTableField id="6479" name="Column6479" tableColumnId="6479"/>
      <queryTableField id="6480" name="Column6480" tableColumnId="6480"/>
      <queryTableField id="6481" name="Column6481" tableColumnId="6481"/>
      <queryTableField id="6482" name="Column6482" tableColumnId="6482"/>
      <queryTableField id="6483" name="Column6483" tableColumnId="6483"/>
      <queryTableField id="6484" name="Column6484" tableColumnId="6484"/>
      <queryTableField id="6485" name="Column6485" tableColumnId="6485"/>
      <queryTableField id="6486" name="Column6486" tableColumnId="6486"/>
      <queryTableField id="6487" name="Column6487" tableColumnId="6487"/>
      <queryTableField id="6488" name="Column6488" tableColumnId="6488"/>
      <queryTableField id="6489" name="Column6489" tableColumnId="6489"/>
      <queryTableField id="6490" name="Column6490" tableColumnId="6490"/>
      <queryTableField id="6491" name="Column6491" tableColumnId="6491"/>
      <queryTableField id="6492" name="Column6492" tableColumnId="6492"/>
      <queryTableField id="6493" name="Column6493" tableColumnId="6493"/>
      <queryTableField id="6494" name="Column6494" tableColumnId="6494"/>
      <queryTableField id="6495" name="Column6495" tableColumnId="6495"/>
      <queryTableField id="6496" name="Column6496" tableColumnId="6496"/>
      <queryTableField id="6497" name="Column6497" tableColumnId="6497"/>
      <queryTableField id="6498" name="Column6498" tableColumnId="6498"/>
      <queryTableField id="6499" name="Column6499" tableColumnId="6499"/>
      <queryTableField id="6500" name="Column6500" tableColumnId="6500"/>
      <queryTableField id="6501" name="Column6501" tableColumnId="6501"/>
      <queryTableField id="6502" name="Column6502" tableColumnId="6502"/>
      <queryTableField id="6503" name="Column6503" tableColumnId="6503"/>
      <queryTableField id="6504" name="Column6504" tableColumnId="6504"/>
      <queryTableField id="6505" name="Column6505" tableColumnId="6505"/>
      <queryTableField id="6506" name="Column6506" tableColumnId="6506"/>
      <queryTableField id="6507" name="Column6507" tableColumnId="6507"/>
      <queryTableField id="6508" name="Column6508" tableColumnId="6508"/>
      <queryTableField id="6509" name="Column6509" tableColumnId="6509"/>
      <queryTableField id="6510" name="Column6510" tableColumnId="6510"/>
      <queryTableField id="6511" name="Column6511" tableColumnId="6511"/>
      <queryTableField id="6512" name="Column6512" tableColumnId="6512"/>
      <queryTableField id="6513" name="Column6513" tableColumnId="6513"/>
      <queryTableField id="6514" name="Column6514" tableColumnId="6514"/>
      <queryTableField id="6515" name="Column6515" tableColumnId="6515"/>
      <queryTableField id="6516" name="Column6516" tableColumnId="6516"/>
      <queryTableField id="6517" name="Column6517" tableColumnId="6517"/>
      <queryTableField id="6518" name="Column6518" tableColumnId="6518"/>
      <queryTableField id="6519" name="Column6519" tableColumnId="6519"/>
      <queryTableField id="6520" name="Column6520" tableColumnId="6520"/>
      <queryTableField id="6521" name="Column6521" tableColumnId="6521"/>
      <queryTableField id="6522" name="Column6522" tableColumnId="6522"/>
      <queryTableField id="6523" name="Column6523" tableColumnId="6523"/>
      <queryTableField id="6524" name="Column6524" tableColumnId="6524"/>
      <queryTableField id="6525" name="Column6525" tableColumnId="6525"/>
      <queryTableField id="6526" name="Column6526" tableColumnId="6526"/>
      <queryTableField id="6527" name="Column6527" tableColumnId="6527"/>
      <queryTableField id="6528" name="Column6528" tableColumnId="6528"/>
      <queryTableField id="6529" name="Column6529" tableColumnId="6529"/>
      <queryTableField id="6530" name="Column6530" tableColumnId="6530"/>
      <queryTableField id="6531" name="Column6531" tableColumnId="6531"/>
      <queryTableField id="6532" name="Column6532" tableColumnId="6532"/>
      <queryTableField id="6533" name="Column6533" tableColumnId="6533"/>
      <queryTableField id="6534" name="Column6534" tableColumnId="6534"/>
      <queryTableField id="6535" name="Column6535" tableColumnId="6535"/>
      <queryTableField id="6536" name="Column6536" tableColumnId="6536"/>
      <queryTableField id="6537" name="Column6537" tableColumnId="6537"/>
      <queryTableField id="6538" name="Column6538" tableColumnId="6538"/>
      <queryTableField id="6539" name="Column6539" tableColumnId="6539"/>
      <queryTableField id="6540" name="Column6540" tableColumnId="6540"/>
      <queryTableField id="6541" name="Column6541" tableColumnId="6541"/>
      <queryTableField id="6542" name="Column6542" tableColumnId="6542"/>
      <queryTableField id="6543" name="Column6543" tableColumnId="6543"/>
      <queryTableField id="6544" name="Column6544" tableColumnId="6544"/>
      <queryTableField id="6545" name="Column6545" tableColumnId="6545"/>
      <queryTableField id="6546" name="Column6546" tableColumnId="6546"/>
      <queryTableField id="6547" name="Column6547" tableColumnId="6547"/>
      <queryTableField id="6548" name="Column6548" tableColumnId="6548"/>
      <queryTableField id="6549" name="Column6549" tableColumnId="6549"/>
      <queryTableField id="6550" name="Column6550" tableColumnId="6550"/>
      <queryTableField id="6551" name="Column6551" tableColumnId="6551"/>
      <queryTableField id="6552" name="Column6552" tableColumnId="6552"/>
      <queryTableField id="6553" name="Column6553" tableColumnId="6553"/>
      <queryTableField id="6554" name="Column6554" tableColumnId="6554"/>
      <queryTableField id="6555" name="Column6555" tableColumnId="6555"/>
      <queryTableField id="6556" name="Column6556" tableColumnId="6556"/>
      <queryTableField id="6557" name="Column6557" tableColumnId="6557"/>
      <queryTableField id="6558" name="Column6558" tableColumnId="6558"/>
      <queryTableField id="6559" name="Column6559" tableColumnId="6559"/>
      <queryTableField id="6560" name="Column6560" tableColumnId="6560"/>
      <queryTableField id="6561" name="Column6561" tableColumnId="6561"/>
      <queryTableField id="6562" name="Column6562" tableColumnId="6562"/>
      <queryTableField id="6563" name="Column6563" tableColumnId="6563"/>
      <queryTableField id="6564" name="Column6564" tableColumnId="6564"/>
      <queryTableField id="6565" name="Column6565" tableColumnId="6565"/>
      <queryTableField id="6566" name="Column6566" tableColumnId="6566"/>
      <queryTableField id="6567" name="Column6567" tableColumnId="6567"/>
      <queryTableField id="6568" name="Column6568" tableColumnId="6568"/>
      <queryTableField id="6569" name="Column6569" tableColumnId="6569"/>
      <queryTableField id="6570" name="Column6570" tableColumnId="6570"/>
      <queryTableField id="6571" name="Column6571" tableColumnId="6571"/>
      <queryTableField id="6572" name="Column6572" tableColumnId="6572"/>
      <queryTableField id="6573" name="Column6573" tableColumnId="6573"/>
      <queryTableField id="6574" name="Column6574" tableColumnId="6574"/>
      <queryTableField id="6575" name="Column6575" tableColumnId="6575"/>
      <queryTableField id="6576" name="Column6576" tableColumnId="6576"/>
      <queryTableField id="6577" name="Column6577" tableColumnId="6577"/>
      <queryTableField id="6578" name="Column6578" tableColumnId="6578"/>
      <queryTableField id="6579" name="Column6579" tableColumnId="6579"/>
      <queryTableField id="6580" name="Column6580" tableColumnId="6580"/>
      <queryTableField id="6581" name="Column6581" tableColumnId="6581"/>
      <queryTableField id="6582" name="Column6582" tableColumnId="6582"/>
      <queryTableField id="6583" name="Column6583" tableColumnId="6583"/>
      <queryTableField id="6584" name="Column6584" tableColumnId="6584"/>
      <queryTableField id="6585" name="Column6585" tableColumnId="6585"/>
      <queryTableField id="6586" name="Column6586" tableColumnId="6586"/>
      <queryTableField id="6587" name="Column6587" tableColumnId="6587"/>
      <queryTableField id="6588" name="Column6588" tableColumnId="6588"/>
      <queryTableField id="6589" name="Column6589" tableColumnId="6589"/>
      <queryTableField id="6590" name="Column6590" tableColumnId="6590"/>
      <queryTableField id="6591" name="Column6591" tableColumnId="6591"/>
      <queryTableField id="6592" name="Column6592" tableColumnId="6592"/>
      <queryTableField id="6593" name="Column6593" tableColumnId="6593"/>
      <queryTableField id="6594" name="Column6594" tableColumnId="6594"/>
      <queryTableField id="6595" name="Column6595" tableColumnId="6595"/>
      <queryTableField id="6596" name="Column6596" tableColumnId="6596"/>
      <queryTableField id="6597" name="Column6597" tableColumnId="6597"/>
      <queryTableField id="6598" name="Column6598" tableColumnId="6598"/>
      <queryTableField id="6599" name="Column6599" tableColumnId="6599"/>
      <queryTableField id="6600" name="Column6600" tableColumnId="6600"/>
      <queryTableField id="6601" name="Column6601" tableColumnId="6601"/>
      <queryTableField id="6602" name="Column6602" tableColumnId="6602"/>
      <queryTableField id="6603" name="Column6603" tableColumnId="6603"/>
      <queryTableField id="6604" name="Column6604" tableColumnId="6604"/>
      <queryTableField id="6605" name="Column6605" tableColumnId="6605"/>
      <queryTableField id="6606" name="Column6606" tableColumnId="6606"/>
      <queryTableField id="6607" name="Column6607" tableColumnId="6607"/>
      <queryTableField id="6608" name="Column6608" tableColumnId="6608"/>
      <queryTableField id="6609" name="Column6609" tableColumnId="6609"/>
      <queryTableField id="6610" name="Column6610" tableColumnId="6610"/>
      <queryTableField id="6611" name="Column6611" tableColumnId="6611"/>
      <queryTableField id="6612" name="Column6612" tableColumnId="6612"/>
      <queryTableField id="6613" name="Column6613" tableColumnId="6613"/>
      <queryTableField id="6614" name="Column6614" tableColumnId="6614"/>
      <queryTableField id="6615" name="Column6615" tableColumnId="6615"/>
      <queryTableField id="6616" name="Column6616" tableColumnId="6616"/>
      <queryTableField id="6617" name="Column6617" tableColumnId="6617"/>
      <queryTableField id="6618" name="Column6618" tableColumnId="6618"/>
      <queryTableField id="6619" name="Column6619" tableColumnId="6619"/>
      <queryTableField id="6620" name="Column6620" tableColumnId="6620"/>
      <queryTableField id="6621" name="Column6621" tableColumnId="6621"/>
      <queryTableField id="6622" name="Column6622" tableColumnId="6622"/>
      <queryTableField id="6623" name="Column6623" tableColumnId="6623"/>
      <queryTableField id="6624" name="Column6624" tableColumnId="6624"/>
      <queryTableField id="6625" name="Column6625" tableColumnId="6625"/>
      <queryTableField id="6626" name="Column6626" tableColumnId="6626"/>
      <queryTableField id="6627" name="Column6627" tableColumnId="6627"/>
      <queryTableField id="6628" name="Column6628" tableColumnId="6628"/>
      <queryTableField id="6629" name="Column6629" tableColumnId="6629"/>
      <queryTableField id="6630" name="Column6630" tableColumnId="6630"/>
      <queryTableField id="6631" name="Column6631" tableColumnId="6631"/>
      <queryTableField id="6632" name="Column6632" tableColumnId="6632"/>
      <queryTableField id="6633" name="Column6633" tableColumnId="6633"/>
      <queryTableField id="6634" name="Column6634" tableColumnId="6634"/>
      <queryTableField id="6635" name="Column6635" tableColumnId="6635"/>
      <queryTableField id="6636" name="Column6636" tableColumnId="6636"/>
      <queryTableField id="6637" name="Column6637" tableColumnId="6637"/>
      <queryTableField id="6638" name="Column6638" tableColumnId="6638"/>
      <queryTableField id="6639" name="Column6639" tableColumnId="6639"/>
      <queryTableField id="6640" name="Column6640" tableColumnId="6640"/>
      <queryTableField id="6641" name="Column6641" tableColumnId="6641"/>
      <queryTableField id="6642" name="Column6642" tableColumnId="6642"/>
      <queryTableField id="6643" name="Column6643" tableColumnId="6643"/>
      <queryTableField id="6644" name="Column6644" tableColumnId="6644"/>
      <queryTableField id="6645" name="Column6645" tableColumnId="6645"/>
      <queryTableField id="6646" name="Column6646" tableColumnId="6646"/>
      <queryTableField id="6647" name="Column6647" tableColumnId="6647"/>
      <queryTableField id="6648" name="Column6648" tableColumnId="6648"/>
      <queryTableField id="6649" name="Column6649" tableColumnId="6649"/>
      <queryTableField id="6650" name="Column6650" tableColumnId="6650"/>
      <queryTableField id="6651" name="Column6651" tableColumnId="6651"/>
      <queryTableField id="6652" name="Column6652" tableColumnId="6652"/>
      <queryTableField id="6653" name="Column6653" tableColumnId="6653"/>
      <queryTableField id="6654" name="Column6654" tableColumnId="6654"/>
      <queryTableField id="6655" name="Column6655" tableColumnId="6655"/>
      <queryTableField id="6656" name="Column6656" tableColumnId="6656"/>
      <queryTableField id="6657" name="Column6657" tableColumnId="6657"/>
      <queryTableField id="6658" name="Column6658" tableColumnId="6658"/>
      <queryTableField id="6659" name="Column6659" tableColumnId="6659"/>
      <queryTableField id="6660" name="Column6660" tableColumnId="6660"/>
      <queryTableField id="6661" name="Column6661" tableColumnId="6661"/>
      <queryTableField id="6662" name="Column6662" tableColumnId="6662"/>
      <queryTableField id="6663" name="Column6663" tableColumnId="6663"/>
      <queryTableField id="6664" name="Column6664" tableColumnId="6664"/>
      <queryTableField id="6665" name="Column6665" tableColumnId="6665"/>
      <queryTableField id="6666" name="Column6666" tableColumnId="6666"/>
      <queryTableField id="6667" name="Column6667" tableColumnId="6667"/>
      <queryTableField id="6668" name="Column6668" tableColumnId="6668"/>
      <queryTableField id="6669" name="Column6669" tableColumnId="6669"/>
      <queryTableField id="6670" name="Column6670" tableColumnId="6670"/>
      <queryTableField id="6671" name="Column6671" tableColumnId="6671"/>
      <queryTableField id="6672" name="Column6672" tableColumnId="6672"/>
      <queryTableField id="6673" name="Column6673" tableColumnId="6673"/>
      <queryTableField id="6674" name="Column6674" tableColumnId="6674"/>
      <queryTableField id="6675" name="Column6675" tableColumnId="6675"/>
      <queryTableField id="6676" name="Column6676" tableColumnId="6676"/>
      <queryTableField id="6677" name="Column6677" tableColumnId="6677"/>
      <queryTableField id="6678" name="Column6678" tableColumnId="6678"/>
      <queryTableField id="6679" name="Column6679" tableColumnId="6679"/>
      <queryTableField id="6680" name="Column6680" tableColumnId="6680"/>
      <queryTableField id="6681" name="Column6681" tableColumnId="6681"/>
      <queryTableField id="6682" name="Column6682" tableColumnId="6682"/>
      <queryTableField id="6683" name="Column6683" tableColumnId="6683"/>
      <queryTableField id="6684" name="Column6684" tableColumnId="6684"/>
      <queryTableField id="6685" name="Column6685" tableColumnId="6685"/>
      <queryTableField id="6686" name="Column6686" tableColumnId="6686"/>
      <queryTableField id="6687" name="Column6687" tableColumnId="6687"/>
      <queryTableField id="6688" name="Column6688" tableColumnId="6688"/>
      <queryTableField id="6689" name="Column6689" tableColumnId="6689"/>
      <queryTableField id="6690" name="Column6690" tableColumnId="6690"/>
      <queryTableField id="6691" name="Column6691" tableColumnId="6691"/>
      <queryTableField id="6692" name="Column6692" tableColumnId="6692"/>
      <queryTableField id="6693" name="Column6693" tableColumnId="6693"/>
      <queryTableField id="6694" name="Column6694" tableColumnId="6694"/>
      <queryTableField id="6695" name="Column6695" tableColumnId="6695"/>
      <queryTableField id="6696" name="Column6696" tableColumnId="6696"/>
      <queryTableField id="6697" name="Column6697" tableColumnId="6697"/>
      <queryTableField id="6698" name="Column6698" tableColumnId="6698"/>
      <queryTableField id="6699" name="Column6699" tableColumnId="6699"/>
      <queryTableField id="6700" name="Column6700" tableColumnId="6700"/>
      <queryTableField id="6701" name="Column6701" tableColumnId="6701"/>
      <queryTableField id="6702" name="Column6702" tableColumnId="6702"/>
      <queryTableField id="6703" name="Column6703" tableColumnId="6703"/>
      <queryTableField id="6704" name="Column6704" tableColumnId="6704"/>
      <queryTableField id="6705" name="Column6705" tableColumnId="6705"/>
      <queryTableField id="6706" name="Column6706" tableColumnId="6706"/>
      <queryTableField id="6707" name="Column6707" tableColumnId="6707"/>
      <queryTableField id="6708" name="Column6708" tableColumnId="6708"/>
      <queryTableField id="6709" name="Column6709" tableColumnId="6709"/>
      <queryTableField id="6710" name="Column6710" tableColumnId="6710"/>
      <queryTableField id="6711" name="Column6711" tableColumnId="6711"/>
      <queryTableField id="6712" name="Column6712" tableColumnId="6712"/>
      <queryTableField id="6713" name="Column6713" tableColumnId="6713"/>
      <queryTableField id="6714" name="Column6714" tableColumnId="6714"/>
      <queryTableField id="6715" name="Column6715" tableColumnId="6715"/>
      <queryTableField id="6716" name="Column6716" tableColumnId="6716"/>
      <queryTableField id="6717" name="Column6717" tableColumnId="6717"/>
      <queryTableField id="6718" name="Column6718" tableColumnId="6718"/>
      <queryTableField id="6719" name="Column6719" tableColumnId="6719"/>
      <queryTableField id="6720" name="Column6720" tableColumnId="6720"/>
      <queryTableField id="6721" name="Column6721" tableColumnId="6721"/>
      <queryTableField id="6722" name="Column6722" tableColumnId="6722"/>
      <queryTableField id="6723" name="Column6723" tableColumnId="6723"/>
      <queryTableField id="6724" name="Column6724" tableColumnId="6724"/>
      <queryTableField id="6725" name="Column6725" tableColumnId="6725"/>
      <queryTableField id="6726" name="Column6726" tableColumnId="6726"/>
      <queryTableField id="6727" name="Column6727" tableColumnId="6727"/>
      <queryTableField id="6728" name="Column6728" tableColumnId="6728"/>
      <queryTableField id="6729" name="Column6729" tableColumnId="6729"/>
      <queryTableField id="6730" name="Column6730" tableColumnId="6730"/>
      <queryTableField id="6731" name="Column6731" tableColumnId="6731"/>
      <queryTableField id="6732" name="Column6732" tableColumnId="6732"/>
      <queryTableField id="6733" name="Column6733" tableColumnId="6733"/>
      <queryTableField id="6734" name="Column6734" tableColumnId="6734"/>
      <queryTableField id="6735" name="Column6735" tableColumnId="6735"/>
      <queryTableField id="6736" name="Column6736" tableColumnId="6736"/>
      <queryTableField id="6737" name="Column6737" tableColumnId="6737"/>
      <queryTableField id="6738" name="Column6738" tableColumnId="6738"/>
      <queryTableField id="6739" name="Column6739" tableColumnId="6739"/>
      <queryTableField id="6740" name="Column6740" tableColumnId="6740"/>
      <queryTableField id="6741" name="Column6741" tableColumnId="6741"/>
      <queryTableField id="6742" name="Column6742" tableColumnId="6742"/>
      <queryTableField id="6743" name="Column6743" tableColumnId="6743"/>
      <queryTableField id="6744" name="Column6744" tableColumnId="6744"/>
      <queryTableField id="6745" name="Column6745" tableColumnId="6745"/>
      <queryTableField id="6746" name="Column6746" tableColumnId="6746"/>
      <queryTableField id="6747" name="Column6747" tableColumnId="6747"/>
      <queryTableField id="6748" name="Column6748" tableColumnId="6748"/>
      <queryTableField id="6749" name="Column6749" tableColumnId="6749"/>
      <queryTableField id="6750" name="Column6750" tableColumnId="6750"/>
      <queryTableField id="6751" name="Column6751" tableColumnId="6751"/>
      <queryTableField id="6752" name="Column6752" tableColumnId="6752"/>
      <queryTableField id="6753" name="Column6753" tableColumnId="6753"/>
      <queryTableField id="6754" name="Column6754" tableColumnId="6754"/>
      <queryTableField id="6755" name="Column6755" tableColumnId="6755"/>
      <queryTableField id="6756" name="Column6756" tableColumnId="6756"/>
      <queryTableField id="6757" name="Column6757" tableColumnId="6757"/>
      <queryTableField id="6758" name="Column6758" tableColumnId="6758"/>
      <queryTableField id="6759" name="Column6759" tableColumnId="6759"/>
      <queryTableField id="6760" name="Column6760" tableColumnId="6760"/>
      <queryTableField id="6761" name="Column6761" tableColumnId="6761"/>
      <queryTableField id="6762" name="Column6762" tableColumnId="6762"/>
      <queryTableField id="6763" name="Column6763" tableColumnId="6763"/>
      <queryTableField id="6764" name="Column6764" tableColumnId="6764"/>
      <queryTableField id="6765" name="Column6765" tableColumnId="6765"/>
      <queryTableField id="6766" name="Column6766" tableColumnId="6766"/>
      <queryTableField id="6767" name="Column6767" tableColumnId="6767"/>
      <queryTableField id="6768" name="Column6768" tableColumnId="6768"/>
      <queryTableField id="6769" name="Column6769" tableColumnId="6769"/>
      <queryTableField id="6770" name="Column6770" tableColumnId="6770"/>
      <queryTableField id="6771" name="Column6771" tableColumnId="6771"/>
      <queryTableField id="6772" name="Column6772" tableColumnId="6772"/>
      <queryTableField id="6773" name="Column6773" tableColumnId="6773"/>
      <queryTableField id="6774" name="Column6774" tableColumnId="6774"/>
      <queryTableField id="6775" name="Column6775" tableColumnId="6775"/>
      <queryTableField id="6776" name="Column6776" tableColumnId="6776"/>
      <queryTableField id="6777" name="Column6777" tableColumnId="6777"/>
      <queryTableField id="6778" name="Column6778" tableColumnId="6778"/>
      <queryTableField id="6779" name="Column6779" tableColumnId="6779"/>
      <queryTableField id="6780" name="Column6780" tableColumnId="6780"/>
      <queryTableField id="6781" name="Column6781" tableColumnId="6781"/>
      <queryTableField id="6782" name="Column6782" tableColumnId="6782"/>
      <queryTableField id="6783" name="Column6783" tableColumnId="6783"/>
      <queryTableField id="6784" name="Column6784" tableColumnId="6784"/>
      <queryTableField id="6785" name="Column6785" tableColumnId="6785"/>
      <queryTableField id="6786" name="Column6786" tableColumnId="6786"/>
      <queryTableField id="6787" name="Column6787" tableColumnId="6787"/>
      <queryTableField id="6788" name="Column6788" tableColumnId="6788"/>
      <queryTableField id="6789" name="Column6789" tableColumnId="6789"/>
      <queryTableField id="6790" name="Column6790" tableColumnId="6790"/>
      <queryTableField id="6791" name="Column6791" tableColumnId="6791"/>
      <queryTableField id="6792" name="Column6792" tableColumnId="6792"/>
      <queryTableField id="6793" name="Column6793" tableColumnId="6793"/>
      <queryTableField id="6794" name="Column6794" tableColumnId="6794"/>
      <queryTableField id="6795" name="Column6795" tableColumnId="6795"/>
      <queryTableField id="6796" name="Column6796" tableColumnId="6796"/>
      <queryTableField id="6797" name="Column6797" tableColumnId="6797"/>
      <queryTableField id="6798" name="Column6798" tableColumnId="6798"/>
      <queryTableField id="6799" name="Column6799" tableColumnId="6799"/>
      <queryTableField id="6800" name="Column6800" tableColumnId="6800"/>
      <queryTableField id="6801" name="Column6801" tableColumnId="6801"/>
      <queryTableField id="6802" name="Column6802" tableColumnId="6802"/>
      <queryTableField id="6803" name="Column6803" tableColumnId="6803"/>
      <queryTableField id="6804" name="Column6804" tableColumnId="6804"/>
      <queryTableField id="6805" name="Column6805" tableColumnId="6805"/>
      <queryTableField id="6806" name="Column6806" tableColumnId="6806"/>
      <queryTableField id="6807" name="Column6807" tableColumnId="6807"/>
      <queryTableField id="6808" name="Column6808" tableColumnId="6808"/>
      <queryTableField id="6809" name="Column6809" tableColumnId="6809"/>
      <queryTableField id="6810" name="Column6810" tableColumnId="6810"/>
      <queryTableField id="6811" name="Column6811" tableColumnId="6811"/>
      <queryTableField id="6812" name="Column6812" tableColumnId="6812"/>
      <queryTableField id="6813" name="Column6813" tableColumnId="6813"/>
      <queryTableField id="6814" name="Column6814" tableColumnId="6814"/>
      <queryTableField id="6815" name="Column6815" tableColumnId="6815"/>
      <queryTableField id="6816" name="Column6816" tableColumnId="6816"/>
      <queryTableField id="6817" name="Column6817" tableColumnId="6817"/>
      <queryTableField id="6818" name="Column6818" tableColumnId="6818"/>
      <queryTableField id="6819" name="Column6819" tableColumnId="6819"/>
      <queryTableField id="6820" name="Column6820" tableColumnId="6820"/>
      <queryTableField id="6821" name="Column6821" tableColumnId="6821"/>
      <queryTableField id="6822" name="Column6822" tableColumnId="6822"/>
      <queryTableField id="6823" name="Column6823" tableColumnId="6823"/>
      <queryTableField id="6824" name="Column6824" tableColumnId="6824"/>
      <queryTableField id="6825" name="Column6825" tableColumnId="6825"/>
      <queryTableField id="6826" name="Column6826" tableColumnId="6826"/>
      <queryTableField id="6827" name="Column6827" tableColumnId="6827"/>
      <queryTableField id="6828" name="Column6828" tableColumnId="6828"/>
      <queryTableField id="6829" name="Column6829" tableColumnId="6829"/>
      <queryTableField id="6830" name="Column6830" tableColumnId="6830"/>
      <queryTableField id="6831" name="Column6831" tableColumnId="6831"/>
      <queryTableField id="6832" name="Column6832" tableColumnId="6832"/>
      <queryTableField id="6833" name="Column6833" tableColumnId="6833"/>
      <queryTableField id="6834" name="Column6834" tableColumnId="6834"/>
      <queryTableField id="6835" name="Column6835" tableColumnId="6835"/>
      <queryTableField id="6836" name="Column6836" tableColumnId="6836"/>
      <queryTableField id="6837" name="Column6837" tableColumnId="6837"/>
      <queryTableField id="6838" name="Column6838" tableColumnId="6838"/>
      <queryTableField id="6839" name="Column6839" tableColumnId="6839"/>
      <queryTableField id="6840" name="Column6840" tableColumnId="6840"/>
      <queryTableField id="6841" name="Column6841" tableColumnId="6841"/>
      <queryTableField id="6842" name="Column6842" tableColumnId="6842"/>
      <queryTableField id="6843" name="Column6843" tableColumnId="6843"/>
      <queryTableField id="6844" name="Column6844" tableColumnId="6844"/>
      <queryTableField id="6845" name="Column6845" tableColumnId="6845"/>
      <queryTableField id="6846" name="Column6846" tableColumnId="6846"/>
      <queryTableField id="6847" name="Column6847" tableColumnId="6847"/>
      <queryTableField id="6848" name="Column6848" tableColumnId="6848"/>
      <queryTableField id="6849" name="Column6849" tableColumnId="6849"/>
      <queryTableField id="6850" name="Column6850" tableColumnId="6850"/>
      <queryTableField id="6851" name="Column6851" tableColumnId="6851"/>
      <queryTableField id="6852" name="Column6852" tableColumnId="6852"/>
      <queryTableField id="6853" name="Column6853" tableColumnId="6853"/>
      <queryTableField id="6854" name="Column6854" tableColumnId="6854"/>
      <queryTableField id="6855" name="Column6855" tableColumnId="6855"/>
      <queryTableField id="6856" name="Column6856" tableColumnId="6856"/>
      <queryTableField id="6857" name="Column6857" tableColumnId="6857"/>
      <queryTableField id="6858" name="Column6858" tableColumnId="6858"/>
      <queryTableField id="6859" name="Column6859" tableColumnId="6859"/>
      <queryTableField id="6860" name="Column6860" tableColumnId="6860"/>
      <queryTableField id="6861" name="Column6861" tableColumnId="6861"/>
      <queryTableField id="6862" name="Column6862" tableColumnId="6862"/>
      <queryTableField id="6863" name="Column6863" tableColumnId="6863"/>
      <queryTableField id="6864" name="Column6864" tableColumnId="6864"/>
      <queryTableField id="6865" name="Column6865" tableColumnId="6865"/>
      <queryTableField id="6866" name="Column6866" tableColumnId="6866"/>
      <queryTableField id="6867" name="Column6867" tableColumnId="6867"/>
      <queryTableField id="6868" name="Column6868" tableColumnId="6868"/>
      <queryTableField id="6869" name="Column6869" tableColumnId="6869"/>
      <queryTableField id="6870" name="Column6870" tableColumnId="6870"/>
      <queryTableField id="6871" name="Column6871" tableColumnId="6871"/>
      <queryTableField id="6872" name="Column6872" tableColumnId="6872"/>
      <queryTableField id="6873" name="Column6873" tableColumnId="6873"/>
      <queryTableField id="6874" name="Column6874" tableColumnId="6874"/>
      <queryTableField id="6875" name="Column6875" tableColumnId="6875"/>
      <queryTableField id="6876" name="Column6876" tableColumnId="6876"/>
      <queryTableField id="6877" name="Column6877" tableColumnId="6877"/>
      <queryTableField id="6878" name="Column6878" tableColumnId="6878"/>
      <queryTableField id="6879" name="Column6879" tableColumnId="6879"/>
      <queryTableField id="6880" name="Column6880" tableColumnId="6880"/>
      <queryTableField id="6881" name="Column6881" tableColumnId="6881"/>
      <queryTableField id="6882" name="Column6882" tableColumnId="6882"/>
      <queryTableField id="6883" name="Column6883" tableColumnId="6883"/>
      <queryTableField id="6884" name="Column6884" tableColumnId="6884"/>
      <queryTableField id="6885" name="Column6885" tableColumnId="6885"/>
      <queryTableField id="6886" name="Column6886" tableColumnId="6886"/>
      <queryTableField id="6887" name="Column6887" tableColumnId="6887"/>
      <queryTableField id="6888" name="Column6888" tableColumnId="6888"/>
      <queryTableField id="6889" name="Column6889" tableColumnId="6889"/>
      <queryTableField id="6890" name="Column6890" tableColumnId="6890"/>
      <queryTableField id="6891" name="Column6891" tableColumnId="6891"/>
      <queryTableField id="6892" name="Column6892" tableColumnId="6892"/>
      <queryTableField id="6893" name="Column6893" tableColumnId="6893"/>
      <queryTableField id="6894" name="Column6894" tableColumnId="6894"/>
      <queryTableField id="6895" name="Column6895" tableColumnId="6895"/>
      <queryTableField id="6896" name="Column6896" tableColumnId="6896"/>
      <queryTableField id="6897" name="Column6897" tableColumnId="6897"/>
      <queryTableField id="6898" name="Column6898" tableColumnId="6898"/>
      <queryTableField id="6899" name="Column6899" tableColumnId="6899"/>
      <queryTableField id="6900" name="Column6900" tableColumnId="6900"/>
      <queryTableField id="6901" name="Column6901" tableColumnId="6901"/>
      <queryTableField id="6902" name="Column6902" tableColumnId="6902"/>
      <queryTableField id="6903" name="Column6903" tableColumnId="6903"/>
      <queryTableField id="6904" name="Column6904" tableColumnId="6904"/>
      <queryTableField id="6905" name="Column6905" tableColumnId="6905"/>
      <queryTableField id="6906" name="Column6906" tableColumnId="6906"/>
      <queryTableField id="6907" name="Column6907" tableColumnId="6907"/>
      <queryTableField id="6908" name="Column6908" tableColumnId="6908"/>
      <queryTableField id="6909" name="Column6909" tableColumnId="6909"/>
      <queryTableField id="6910" name="Column6910" tableColumnId="6910"/>
      <queryTableField id="6911" name="Column6911" tableColumnId="6911"/>
      <queryTableField id="6912" name="Column6912" tableColumnId="6912"/>
      <queryTableField id="6913" name="Column6913" tableColumnId="6913"/>
      <queryTableField id="6914" name="Column6914" tableColumnId="6914"/>
      <queryTableField id="6915" name="Column6915" tableColumnId="6915"/>
      <queryTableField id="6916" name="Column6916" tableColumnId="6916"/>
      <queryTableField id="6917" name="Column6917" tableColumnId="6917"/>
      <queryTableField id="6918" name="Column6918" tableColumnId="6918"/>
      <queryTableField id="6919" name="Column6919" tableColumnId="6919"/>
      <queryTableField id="6920" name="Column6920" tableColumnId="6920"/>
      <queryTableField id="6921" name="Column6921" tableColumnId="6921"/>
      <queryTableField id="6922" name="Column6922" tableColumnId="6922"/>
      <queryTableField id="6923" name="Column6923" tableColumnId="6923"/>
      <queryTableField id="6924" name="Column6924" tableColumnId="6924"/>
      <queryTableField id="6925" name="Column6925" tableColumnId="6925"/>
      <queryTableField id="6926" name="Column6926" tableColumnId="6926"/>
      <queryTableField id="6927" name="Column6927" tableColumnId="6927"/>
      <queryTableField id="6928" name="Column6928" tableColumnId="6928"/>
      <queryTableField id="6929" name="Column6929" tableColumnId="6929"/>
      <queryTableField id="6930" name="Column6930" tableColumnId="6930"/>
      <queryTableField id="6931" name="Column6931" tableColumnId="6931"/>
      <queryTableField id="6932" name="Column6932" tableColumnId="6932"/>
      <queryTableField id="6933" name="Column6933" tableColumnId="6933"/>
      <queryTableField id="6934" name="Column6934" tableColumnId="6934"/>
      <queryTableField id="6935" name="Column6935" tableColumnId="6935"/>
      <queryTableField id="6936" name="Column6936" tableColumnId="6936"/>
      <queryTableField id="6937" name="Column6937" tableColumnId="6937"/>
      <queryTableField id="6938" name="Column6938" tableColumnId="6938"/>
      <queryTableField id="6939" name="Column6939" tableColumnId="6939"/>
      <queryTableField id="6940" name="Column6940" tableColumnId="6940"/>
      <queryTableField id="6941" name="Column6941" tableColumnId="6941"/>
      <queryTableField id="6942" name="Column6942" tableColumnId="6942"/>
      <queryTableField id="6943" name="Column6943" tableColumnId="6943"/>
      <queryTableField id="6944" name="Column6944" tableColumnId="6944"/>
      <queryTableField id="6945" name="Column6945" tableColumnId="6945"/>
      <queryTableField id="6946" name="Column6946" tableColumnId="6946"/>
      <queryTableField id="6947" name="Column6947" tableColumnId="6947"/>
      <queryTableField id="6948" name="Column6948" tableColumnId="6948"/>
      <queryTableField id="6949" name="Column6949" tableColumnId="6949"/>
      <queryTableField id="6950" name="Column6950" tableColumnId="6950"/>
      <queryTableField id="6951" name="Column6951" tableColumnId="6951"/>
      <queryTableField id="6952" name="Column6952" tableColumnId="6952"/>
      <queryTableField id="6953" name="Column6953" tableColumnId="6953"/>
      <queryTableField id="6954" name="Column6954" tableColumnId="6954"/>
      <queryTableField id="6955" name="Column6955" tableColumnId="6955"/>
      <queryTableField id="6956" name="Column6956" tableColumnId="6956"/>
      <queryTableField id="6957" name="Column6957" tableColumnId="6957"/>
      <queryTableField id="6958" name="Column6958" tableColumnId="6958"/>
      <queryTableField id="6959" name="Column6959" tableColumnId="6959"/>
      <queryTableField id="6960" name="Column6960" tableColumnId="6960"/>
      <queryTableField id="6961" name="Column6961" tableColumnId="6961"/>
      <queryTableField id="6962" name="Column6962" tableColumnId="6962"/>
      <queryTableField id="6963" name="Column6963" tableColumnId="6963"/>
      <queryTableField id="6964" name="Column6964" tableColumnId="6964"/>
      <queryTableField id="6965" name="Column6965" tableColumnId="6965"/>
      <queryTableField id="6966" name="Column6966" tableColumnId="6966"/>
      <queryTableField id="6967" name="Column6967" tableColumnId="6967"/>
      <queryTableField id="6968" name="Column6968" tableColumnId="6968"/>
      <queryTableField id="6969" name="Column6969" tableColumnId="6969"/>
      <queryTableField id="6970" name="Column6970" tableColumnId="6970"/>
      <queryTableField id="6971" name="Column6971" tableColumnId="6971"/>
      <queryTableField id="6972" name="Column6972" tableColumnId="6972"/>
      <queryTableField id="6973" name="Column6973" tableColumnId="6973"/>
      <queryTableField id="6974" name="Column6974" tableColumnId="6974"/>
      <queryTableField id="6975" name="Column6975" tableColumnId="6975"/>
      <queryTableField id="6976" name="Column6976" tableColumnId="6976"/>
      <queryTableField id="6977" name="Column6977" tableColumnId="6977"/>
      <queryTableField id="6978" name="Column6978" tableColumnId="6978"/>
      <queryTableField id="6979" name="Column6979" tableColumnId="6979"/>
      <queryTableField id="6980" name="Column6980" tableColumnId="6980"/>
      <queryTableField id="6981" name="Column6981" tableColumnId="6981"/>
      <queryTableField id="6982" name="Column6982" tableColumnId="6982"/>
      <queryTableField id="6983" name="Column6983" tableColumnId="6983"/>
      <queryTableField id="6984" name="Column6984" tableColumnId="6984"/>
      <queryTableField id="6985" name="Column6985" tableColumnId="6985"/>
      <queryTableField id="6986" name="Column6986" tableColumnId="6986"/>
      <queryTableField id="6987" name="Column6987" tableColumnId="6987"/>
      <queryTableField id="6988" name="Column6988" tableColumnId="6988"/>
      <queryTableField id="6989" name="Column6989" tableColumnId="6989"/>
      <queryTableField id="6990" name="Column6990" tableColumnId="6990"/>
      <queryTableField id="6991" name="Column6991" tableColumnId="6991"/>
      <queryTableField id="6992" name="Column6992" tableColumnId="6992"/>
      <queryTableField id="6993" name="Column6993" tableColumnId="6993"/>
      <queryTableField id="6994" name="Column6994" tableColumnId="6994"/>
      <queryTableField id="6995" name="Column6995" tableColumnId="6995"/>
      <queryTableField id="6996" name="Column6996" tableColumnId="6996"/>
      <queryTableField id="6997" name="Column6997" tableColumnId="6997"/>
      <queryTableField id="6998" name="Column6998" tableColumnId="6998"/>
      <queryTableField id="6999" name="Column6999" tableColumnId="6999"/>
      <queryTableField id="7000" name="Column7000" tableColumnId="7000"/>
      <queryTableField id="7001" name="Column7001" tableColumnId="7001"/>
      <queryTableField id="7002" name="Column7002" tableColumnId="7002"/>
      <queryTableField id="7003" name="Column7003" tableColumnId="7003"/>
      <queryTableField id="7004" name="Column7004" tableColumnId="7004"/>
      <queryTableField id="7005" name="Column7005" tableColumnId="7005"/>
      <queryTableField id="7006" name="Column7006" tableColumnId="7006"/>
      <queryTableField id="7007" name="Column7007" tableColumnId="7007"/>
      <queryTableField id="7008" name="Column7008" tableColumnId="7008"/>
      <queryTableField id="7009" name="Column7009" tableColumnId="7009"/>
      <queryTableField id="7010" name="Column7010" tableColumnId="7010"/>
      <queryTableField id="7011" name="Column7011" tableColumnId="7011"/>
      <queryTableField id="7012" name="Column7012" tableColumnId="7012"/>
      <queryTableField id="7013" name="Column7013" tableColumnId="7013"/>
      <queryTableField id="7014" name="Column7014" tableColumnId="7014"/>
      <queryTableField id="7015" name="Column7015" tableColumnId="7015"/>
      <queryTableField id="7016" name="Column7016" tableColumnId="7016"/>
      <queryTableField id="7017" name="Column7017" tableColumnId="7017"/>
      <queryTableField id="7018" name="Column7018" tableColumnId="7018"/>
      <queryTableField id="7019" name="Column7019" tableColumnId="7019"/>
      <queryTableField id="7020" name="Column7020" tableColumnId="7020"/>
      <queryTableField id="7021" name="Column7021" tableColumnId="70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0795C9-E7FA-4B02-8B36-6F0193B74A94}" name="SOFR3mo_PX" displayName="SOFR3mo_PX" ref="A1:JJA37" tableType="queryTable" totalsRowShown="0">
  <autoFilter ref="A1:JJA37" xr:uid="{2E0795C9-E7FA-4B02-8B36-6F0193B74A94}"/>
  <tableColumns count="7021">
    <tableColumn id="1" xr3:uid="{A1B928F2-2C66-4A3D-989E-D6EDA20BBB7E}" uniqueName="1" name="Column1" queryTableFieldId="1" dataDxfId="0"/>
    <tableColumn id="2" xr3:uid="{C9902099-ACD8-4839-848E-75B6B1A3ECEB}" uniqueName="2" name="Column2" queryTableFieldId="2"/>
    <tableColumn id="3" xr3:uid="{75AA67B3-1894-43D5-A5D6-F1B2BB940569}" uniqueName="3" name="Column3" queryTableFieldId="3"/>
    <tableColumn id="4" xr3:uid="{45D60836-2CB6-4D18-B3E5-BBFEF69FC4C6}" uniqueName="4" name="Column4" queryTableFieldId="4"/>
    <tableColumn id="5" xr3:uid="{1E98B165-2993-45A5-92BE-6CE2E1DC14C9}" uniqueName="5" name="Column5" queryTableFieldId="5"/>
    <tableColumn id="6" xr3:uid="{9D4D4A3B-BDD9-48F4-B94E-AB1B4937B823}" uniqueName="6" name="Column6" queryTableFieldId="6"/>
    <tableColumn id="7" xr3:uid="{2347CB9A-8958-48B7-A3B3-24ABA4925282}" uniqueName="7" name="Column7" queryTableFieldId="7"/>
    <tableColumn id="8" xr3:uid="{57368E5D-C0C2-4EFD-A072-401E359EFD61}" uniqueName="8" name="Column8" queryTableFieldId="8"/>
    <tableColumn id="9" xr3:uid="{68395FE8-EFEA-4B3C-A7D5-733F275AE17E}" uniqueName="9" name="Column9" queryTableFieldId="9"/>
    <tableColumn id="10" xr3:uid="{4BAB2ECB-143F-4B4D-8786-0312BA48ED64}" uniqueName="10" name="Column10" queryTableFieldId="10"/>
    <tableColumn id="11" xr3:uid="{6DE394F1-95F0-436E-838A-35BDF06F6270}" uniqueName="11" name="Column11" queryTableFieldId="11"/>
    <tableColumn id="12" xr3:uid="{BFC45B86-A6E1-4387-93AA-42DD63968D66}" uniqueName="12" name="Column12" queryTableFieldId="12"/>
    <tableColumn id="13" xr3:uid="{E99D6FF1-D23E-499F-9783-86CC23E0921B}" uniqueName="13" name="Column13" queryTableFieldId="13"/>
    <tableColumn id="14" xr3:uid="{2F88C239-BFC2-4458-B851-8545108CCE29}" uniqueName="14" name="Column14" queryTableFieldId="14"/>
    <tableColumn id="15" xr3:uid="{EA764935-DB30-4DA6-BA1B-5F35AAFB90AF}" uniqueName="15" name="Column15" queryTableFieldId="15"/>
    <tableColumn id="16" xr3:uid="{384F724D-797A-45CC-8D9E-CB594D5FFDBB}" uniqueName="16" name="Column16" queryTableFieldId="16"/>
    <tableColumn id="17" xr3:uid="{0D5139BE-4972-412F-B89A-1DC9D934D4B1}" uniqueName="17" name="Column17" queryTableFieldId="17"/>
    <tableColumn id="18" xr3:uid="{B5005CDC-0692-4345-B6B9-58D6F1D27255}" uniqueName="18" name="Column18" queryTableFieldId="18"/>
    <tableColumn id="19" xr3:uid="{89D7A851-D097-4F7D-9554-A1BDB5074CA1}" uniqueName="19" name="Column19" queryTableFieldId="19"/>
    <tableColumn id="20" xr3:uid="{8E2600FA-D142-4CB2-81F2-68D723B0AE17}" uniqueName="20" name="Column20" queryTableFieldId="20"/>
    <tableColumn id="21" xr3:uid="{8D291161-85F3-4FFB-8DEB-765BF936A690}" uniqueName="21" name="Column21" queryTableFieldId="21"/>
    <tableColumn id="22" xr3:uid="{98906714-9198-41D9-9142-2DEEFADB3772}" uniqueName="22" name="Column22" queryTableFieldId="22"/>
    <tableColumn id="23" xr3:uid="{0C5B8F9A-F406-4916-ABCC-A4E6EBFA18AB}" uniqueName="23" name="Column23" queryTableFieldId="23"/>
    <tableColumn id="24" xr3:uid="{389154AB-E095-4427-B8A8-1EE4C889F918}" uniqueName="24" name="Column24" queryTableFieldId="24"/>
    <tableColumn id="25" xr3:uid="{7A3E7B9C-6969-4EC1-AED1-B72899A2A92F}" uniqueName="25" name="Column25" queryTableFieldId="25"/>
    <tableColumn id="26" xr3:uid="{CCA90AF8-8F1C-4E7D-8D2B-BD4998011DE4}" uniqueName="26" name="Column26" queryTableFieldId="26"/>
    <tableColumn id="27" xr3:uid="{F4ECC54E-A315-4B93-A815-7059FB228BC2}" uniqueName="27" name="Column27" queryTableFieldId="27"/>
    <tableColumn id="28" xr3:uid="{4F372670-0566-4086-A853-2C24DA84451B}" uniqueName="28" name="Column28" queryTableFieldId="28"/>
    <tableColumn id="29" xr3:uid="{7FB5557E-93D9-4CE5-AEAD-D40BE6286CD0}" uniqueName="29" name="Column29" queryTableFieldId="29"/>
    <tableColumn id="30" xr3:uid="{3D5298BA-F8F6-4F3E-AA02-4B2AF848C651}" uniqueName="30" name="Column30" queryTableFieldId="30"/>
    <tableColumn id="31" xr3:uid="{261BF77B-1CB5-4399-8379-AB6403C46ACE}" uniqueName="31" name="Column31" queryTableFieldId="31"/>
    <tableColumn id="32" xr3:uid="{C7D732E0-8E22-49F7-8C17-623994EC85C6}" uniqueName="32" name="Column32" queryTableFieldId="32"/>
    <tableColumn id="33" xr3:uid="{97813931-8798-41B5-9D86-9EAEE15C33DA}" uniqueName="33" name="Column33" queryTableFieldId="33"/>
    <tableColumn id="34" xr3:uid="{067BB17E-4FDB-4831-B47A-4F71651DA542}" uniqueName="34" name="Column34" queryTableFieldId="34"/>
    <tableColumn id="35" xr3:uid="{EC812EAC-0B43-46CE-B92C-9CE6E3154971}" uniqueName="35" name="Column35" queryTableFieldId="35"/>
    <tableColumn id="36" xr3:uid="{4CDD0C30-298C-4408-9227-C73AE80082D4}" uniqueName="36" name="Column36" queryTableFieldId="36"/>
    <tableColumn id="37" xr3:uid="{A5CE6D5F-8C7F-4109-A1D8-AC7C8E3B93AB}" uniqueName="37" name="Column37" queryTableFieldId="37"/>
    <tableColumn id="38" xr3:uid="{446F7BA1-1615-4873-A9CA-5097ED570543}" uniqueName="38" name="Column38" queryTableFieldId="38"/>
    <tableColumn id="39" xr3:uid="{D66ED575-9017-4239-83FF-84E1560C7A3B}" uniqueName="39" name="Column39" queryTableFieldId="39"/>
    <tableColumn id="40" xr3:uid="{4ED0A8A9-6ACA-48B1-93C7-42316335C4DB}" uniqueName="40" name="Column40" queryTableFieldId="40"/>
    <tableColumn id="41" xr3:uid="{BDB5B216-BBF9-4DFA-9D78-F8E80ADBA428}" uniqueName="41" name="Column41" queryTableFieldId="41"/>
    <tableColumn id="42" xr3:uid="{68027FD4-8B88-49EE-A848-D4E76D88A77B}" uniqueName="42" name="Column42" queryTableFieldId="42"/>
    <tableColumn id="43" xr3:uid="{516FAEA1-37E6-429F-ADFE-83E1B1B70517}" uniqueName="43" name="Column43" queryTableFieldId="43"/>
    <tableColumn id="44" xr3:uid="{E23DAE83-C722-47E6-AB83-464846704F47}" uniqueName="44" name="Column44" queryTableFieldId="44"/>
    <tableColumn id="45" xr3:uid="{A8D90E91-0650-43A0-BF10-9E88C98F5897}" uniqueName="45" name="Column45" queryTableFieldId="45"/>
    <tableColumn id="46" xr3:uid="{CBFDAE0C-5A5D-4C89-A4E7-332C4D88502D}" uniqueName="46" name="Column46" queryTableFieldId="46"/>
    <tableColumn id="47" xr3:uid="{ECCC786B-623C-4DCF-B84B-CA39B102A365}" uniqueName="47" name="Column47" queryTableFieldId="47"/>
    <tableColumn id="48" xr3:uid="{E375D767-C864-4981-979C-0C2EC6669CC4}" uniqueName="48" name="Column48" queryTableFieldId="48"/>
    <tableColumn id="49" xr3:uid="{318CA544-6C1C-4D9C-9441-C60FAC6DE4CC}" uniqueName="49" name="Column49" queryTableFieldId="49"/>
    <tableColumn id="50" xr3:uid="{E557D7AB-14A1-47E8-8B89-B9B390897EA4}" uniqueName="50" name="Column50" queryTableFieldId="50"/>
    <tableColumn id="51" xr3:uid="{8646699C-53C4-4ED4-A59D-529ED138E964}" uniqueName="51" name="Column51" queryTableFieldId="51"/>
    <tableColumn id="52" xr3:uid="{BD144747-1083-4708-AAAF-65185382F3A3}" uniqueName="52" name="Column52" queryTableFieldId="52"/>
    <tableColumn id="53" xr3:uid="{8424D3F7-3991-4661-9970-32CE9BE2C45E}" uniqueName="53" name="Column53" queryTableFieldId="53"/>
    <tableColumn id="54" xr3:uid="{94F2A4B5-C329-47A3-BFCF-454F4DB0FE1D}" uniqueName="54" name="Column54" queryTableFieldId="54"/>
    <tableColumn id="55" xr3:uid="{4C0E7890-F1CC-4770-9EE8-1D5A1122B6DC}" uniqueName="55" name="Column55" queryTableFieldId="55"/>
    <tableColumn id="56" xr3:uid="{92AE020D-1A98-4D8D-A9BF-3DCA0F76D97A}" uniqueName="56" name="Column56" queryTableFieldId="56"/>
    <tableColumn id="57" xr3:uid="{2D51EFAF-66B5-415F-BDC0-751F144832C3}" uniqueName="57" name="Column57" queryTableFieldId="57"/>
    <tableColumn id="58" xr3:uid="{43906250-FC32-4F69-8CBA-B542F5B803FA}" uniqueName="58" name="Column58" queryTableFieldId="58"/>
    <tableColumn id="59" xr3:uid="{1A26C95C-ACE1-4B7A-8D35-B757846FA229}" uniqueName="59" name="Column59" queryTableFieldId="59"/>
    <tableColumn id="60" xr3:uid="{15110F55-24AE-4195-979D-7069474B82A3}" uniqueName="60" name="Column60" queryTableFieldId="60"/>
    <tableColumn id="61" xr3:uid="{D164B6E7-6059-433F-B501-56E97AD6C636}" uniqueName="61" name="Column61" queryTableFieldId="61"/>
    <tableColumn id="62" xr3:uid="{8948B7AE-A6C3-4EC3-AF47-32F66B91371D}" uniqueName="62" name="Column62" queryTableFieldId="62"/>
    <tableColumn id="63" xr3:uid="{FCC10C15-670C-4530-8B51-E49D46EAAA49}" uniqueName="63" name="Column63" queryTableFieldId="63"/>
    <tableColumn id="64" xr3:uid="{76D99303-F92A-4E31-84E0-6CC57079676B}" uniqueName="64" name="Column64" queryTableFieldId="64"/>
    <tableColumn id="65" xr3:uid="{1F38E7AC-9D3C-4C4D-A136-5ADA6B7438C0}" uniqueName="65" name="Column65" queryTableFieldId="65"/>
    <tableColumn id="66" xr3:uid="{618DA608-61F6-4371-BFE8-6C96A149DAC3}" uniqueName="66" name="Column66" queryTableFieldId="66"/>
    <tableColumn id="67" xr3:uid="{BD5BC23E-EDC2-4C08-8700-6EC0C07C64A4}" uniqueName="67" name="Column67" queryTableFieldId="67"/>
    <tableColumn id="68" xr3:uid="{C248B84E-5C12-4F73-83B8-911ED9E9B164}" uniqueName="68" name="Column68" queryTableFieldId="68"/>
    <tableColumn id="69" xr3:uid="{38F53867-A85F-4E90-8136-091701B970A2}" uniqueName="69" name="Column69" queryTableFieldId="69"/>
    <tableColumn id="70" xr3:uid="{18A2C2E5-C0E8-4AA3-B49C-4AF4C211E7FF}" uniqueName="70" name="Column70" queryTableFieldId="70"/>
    <tableColumn id="71" xr3:uid="{4C7DD30D-84E1-4FB2-8812-F4B5CFB2E973}" uniqueName="71" name="Column71" queryTableFieldId="71"/>
    <tableColumn id="72" xr3:uid="{F4B6D55D-F6DB-49BD-B57C-499E556C6D4A}" uniqueName="72" name="Column72" queryTableFieldId="72"/>
    <tableColumn id="73" xr3:uid="{727BD0D0-D07E-4A01-B08F-816ED5F848BF}" uniqueName="73" name="Column73" queryTableFieldId="73"/>
    <tableColumn id="74" xr3:uid="{73F2DA01-35F8-48D8-B2C7-FE2C5D45C3DC}" uniqueName="74" name="Column74" queryTableFieldId="74"/>
    <tableColumn id="75" xr3:uid="{662123B4-75A6-4E98-827E-852FBC55AD15}" uniqueName="75" name="Column75" queryTableFieldId="75"/>
    <tableColumn id="76" xr3:uid="{D131666A-6524-498C-9213-75654CD2F0EF}" uniqueName="76" name="Column76" queryTableFieldId="76"/>
    <tableColumn id="77" xr3:uid="{548314DD-40C2-455D-974A-83B29C71D533}" uniqueName="77" name="Column77" queryTableFieldId="77"/>
    <tableColumn id="78" xr3:uid="{A97EE48C-DBC4-4699-8C4E-FBC293B9AB8F}" uniqueName="78" name="Column78" queryTableFieldId="78"/>
    <tableColumn id="79" xr3:uid="{5A267386-23CC-4D68-865D-B30FA4422A92}" uniqueName="79" name="Column79" queryTableFieldId="79"/>
    <tableColumn id="80" xr3:uid="{48497312-62A4-4B88-BED8-4BD4F84B4ECF}" uniqueName="80" name="Column80" queryTableFieldId="80"/>
    <tableColumn id="81" xr3:uid="{39E1EFF7-C77F-4EB9-B16C-5D280BD16E18}" uniqueName="81" name="Column81" queryTableFieldId="81"/>
    <tableColumn id="82" xr3:uid="{D2C8D44E-206E-4ED9-BCAD-94707F5D419C}" uniqueName="82" name="Column82" queryTableFieldId="82"/>
    <tableColumn id="83" xr3:uid="{3D0AFC56-005E-44D5-8FE5-648C2E90E48C}" uniqueName="83" name="Column83" queryTableFieldId="83"/>
    <tableColumn id="84" xr3:uid="{05954268-7D46-476E-98A7-762AA2A831A8}" uniqueName="84" name="Column84" queryTableFieldId="84"/>
    <tableColumn id="85" xr3:uid="{0151C80D-FA08-434B-99B1-E6ABFD700E9F}" uniqueName="85" name="Column85" queryTableFieldId="85"/>
    <tableColumn id="86" xr3:uid="{87023A35-4A63-4318-A97A-92DD9B7F716C}" uniqueName="86" name="Column86" queryTableFieldId="86"/>
    <tableColumn id="87" xr3:uid="{23F83987-C0A9-40BA-B80D-495A348ECD15}" uniqueName="87" name="Column87" queryTableFieldId="87"/>
    <tableColumn id="88" xr3:uid="{25FAD114-1FFA-409C-8EE0-7E91049AF42F}" uniqueName="88" name="Column88" queryTableFieldId="88"/>
    <tableColumn id="89" xr3:uid="{A983FEF6-0EA6-4D1D-BD14-752E3445E097}" uniqueName="89" name="Column89" queryTableFieldId="89"/>
    <tableColumn id="90" xr3:uid="{AE776D50-F312-4FE6-B66A-DF4019F16DBC}" uniqueName="90" name="Column90" queryTableFieldId="90"/>
    <tableColumn id="91" xr3:uid="{D6922AB0-3C26-4AD0-9795-1431DEF9ECFC}" uniqueName="91" name="Column91" queryTableFieldId="91"/>
    <tableColumn id="92" xr3:uid="{31B2CBEF-F0A0-4667-84A3-7AEAA3CA4B80}" uniqueName="92" name="Column92" queryTableFieldId="92"/>
    <tableColumn id="93" xr3:uid="{203DFFBB-6865-4271-9D88-26CE22EAB965}" uniqueName="93" name="Column93" queryTableFieldId="93"/>
    <tableColumn id="94" xr3:uid="{F9638412-9939-4B3C-945D-782E69558E3D}" uniqueName="94" name="Column94" queryTableFieldId="94"/>
    <tableColumn id="95" xr3:uid="{ADD9E5CD-E3FA-4CF9-A4B1-19EB51BC1C98}" uniqueName="95" name="Column95" queryTableFieldId="95"/>
    <tableColumn id="96" xr3:uid="{DE83297B-25EC-4336-B72F-43AD533AFC20}" uniqueName="96" name="Column96" queryTableFieldId="96"/>
    <tableColumn id="97" xr3:uid="{B238F736-1622-45EB-A861-5D042703DE20}" uniqueName="97" name="Column97" queryTableFieldId="97"/>
    <tableColumn id="98" xr3:uid="{1E74F56C-A414-4FA2-B30F-5EAFE16264AD}" uniqueName="98" name="Column98" queryTableFieldId="98"/>
    <tableColumn id="99" xr3:uid="{61FAD02F-7A77-4872-B802-3C8F3948EBF6}" uniqueName="99" name="Column99" queryTableFieldId="99"/>
    <tableColumn id="100" xr3:uid="{078E8235-101D-4BEB-A1AC-02C24F46DB4A}" uniqueName="100" name="Column100" queryTableFieldId="100"/>
    <tableColumn id="101" xr3:uid="{D9EF6BCC-3372-4788-AA0A-2FCC00F3E14F}" uniqueName="101" name="Column101" queryTableFieldId="101"/>
    <tableColumn id="102" xr3:uid="{923A00CF-D8A4-49B5-A21F-08289F45AF93}" uniqueName="102" name="Column102" queryTableFieldId="102"/>
    <tableColumn id="103" xr3:uid="{F75CFE51-7867-4CCE-83EF-1DD4726CF828}" uniqueName="103" name="Column103" queryTableFieldId="103"/>
    <tableColumn id="104" xr3:uid="{D28D96FA-926D-4787-9DAF-F60961021991}" uniqueName="104" name="Column104" queryTableFieldId="104"/>
    <tableColumn id="105" xr3:uid="{9DD438E6-D94D-4BD3-9016-3B6D47EDD525}" uniqueName="105" name="Column105" queryTableFieldId="105"/>
    <tableColumn id="106" xr3:uid="{DB9BE2E5-2408-4696-B197-871128296B47}" uniqueName="106" name="Column106" queryTableFieldId="106"/>
    <tableColumn id="107" xr3:uid="{A357EF9E-4662-44FE-BBD5-0CF0A95840B4}" uniqueName="107" name="Column107" queryTableFieldId="107"/>
    <tableColumn id="108" xr3:uid="{829A5C59-9725-4018-9107-3BFBEADAC741}" uniqueName="108" name="Column108" queryTableFieldId="108"/>
    <tableColumn id="109" xr3:uid="{F98F1B92-1019-4728-90F4-96742128AD46}" uniqueName="109" name="Column109" queryTableFieldId="109"/>
    <tableColumn id="110" xr3:uid="{8332DAC8-7F64-4F4A-BE52-F6A016022463}" uniqueName="110" name="Column110" queryTableFieldId="110"/>
    <tableColumn id="111" xr3:uid="{BBBB5793-58E1-4A06-9099-802F72D98A60}" uniqueName="111" name="Column111" queryTableFieldId="111"/>
    <tableColumn id="112" xr3:uid="{EB3B23D0-2B08-4421-9E7D-DA71F557F3AE}" uniqueName="112" name="Column112" queryTableFieldId="112"/>
    <tableColumn id="113" xr3:uid="{FDB658A6-162A-43FB-AF93-70F01D9CA100}" uniqueName="113" name="Column113" queryTableFieldId="113"/>
    <tableColumn id="114" xr3:uid="{69D502FB-B4F6-400B-ADD9-94622A6A0269}" uniqueName="114" name="Column114" queryTableFieldId="114"/>
    <tableColumn id="115" xr3:uid="{316DE738-1689-46CE-8A9D-C1F77E08D7FF}" uniqueName="115" name="Column115" queryTableFieldId="115"/>
    <tableColumn id="116" xr3:uid="{F8F3B8D3-8F2C-46D7-AC6C-F91691C737B5}" uniqueName="116" name="Column116" queryTableFieldId="116"/>
    <tableColumn id="117" xr3:uid="{8E7585E5-32C6-4B44-969D-21BB99F008DD}" uniqueName="117" name="Column117" queryTableFieldId="117"/>
    <tableColumn id="118" xr3:uid="{641AE9A4-51C6-4FE1-A234-32084E1A865B}" uniqueName="118" name="Column118" queryTableFieldId="118"/>
    <tableColumn id="119" xr3:uid="{4F8BFEB0-7A2B-4962-AA17-F707E1F972A2}" uniqueName="119" name="Column119" queryTableFieldId="119"/>
    <tableColumn id="120" xr3:uid="{97B804EA-6AE8-4D9B-90D5-BAFEAC96A7F1}" uniqueName="120" name="Column120" queryTableFieldId="120"/>
    <tableColumn id="121" xr3:uid="{62AC77EF-BCFA-4399-9417-28BF163597E8}" uniqueName="121" name="Column121" queryTableFieldId="121"/>
    <tableColumn id="122" xr3:uid="{BFE9A835-A1DC-4A0C-8E9C-357A26A64EAC}" uniqueName="122" name="Column122" queryTableFieldId="122"/>
    <tableColumn id="123" xr3:uid="{47A1827E-2F59-4DBD-85CB-E1ABE322BE4F}" uniqueName="123" name="Column123" queryTableFieldId="123"/>
    <tableColumn id="124" xr3:uid="{A92891EF-C088-4840-9CAE-B9C095F05A15}" uniqueName="124" name="Column124" queryTableFieldId="124"/>
    <tableColumn id="125" xr3:uid="{1FA8CB57-94C7-4938-8E1C-F0D240223DDA}" uniqueName="125" name="Column125" queryTableFieldId="125"/>
    <tableColumn id="126" xr3:uid="{EEBC1ACD-98DF-4B08-A4ED-E7809DC66E57}" uniqueName="126" name="Column126" queryTableFieldId="126"/>
    <tableColumn id="127" xr3:uid="{7033AECF-7964-47C1-909D-8EC53E3E48EF}" uniqueName="127" name="Column127" queryTableFieldId="127"/>
    <tableColumn id="128" xr3:uid="{E62CC1D1-5A21-493D-B98B-CD082EA4360C}" uniqueName="128" name="Column128" queryTableFieldId="128"/>
    <tableColumn id="129" xr3:uid="{197FD2D9-8F79-42DB-977F-7436DA7943E7}" uniqueName="129" name="Column129" queryTableFieldId="129"/>
    <tableColumn id="130" xr3:uid="{DC4CBCA6-77D0-4B6D-A38B-D2C3473EED75}" uniqueName="130" name="Column130" queryTableFieldId="130"/>
    <tableColumn id="131" xr3:uid="{54864F6A-ACCE-4A39-B41B-CCF54666EF64}" uniqueName="131" name="Column131" queryTableFieldId="131"/>
    <tableColumn id="132" xr3:uid="{9625367E-E285-4384-AEC6-C753555606EB}" uniqueName="132" name="Column132" queryTableFieldId="132"/>
    <tableColumn id="133" xr3:uid="{FB954738-7BD5-4FAB-815B-37B5435E97E6}" uniqueName="133" name="Column133" queryTableFieldId="133"/>
    <tableColumn id="134" xr3:uid="{DCDBC954-E948-480B-8A65-5FC375F34FC9}" uniqueName="134" name="Column134" queryTableFieldId="134"/>
    <tableColumn id="135" xr3:uid="{A35D9F94-96F2-4C9C-BE3A-700453DA0EE6}" uniqueName="135" name="Column135" queryTableFieldId="135"/>
    <tableColumn id="136" xr3:uid="{FDECA3DB-39D5-4A8A-B5BD-A98A9C38349A}" uniqueName="136" name="Column136" queryTableFieldId="136"/>
    <tableColumn id="137" xr3:uid="{D1CC05E8-D5D0-4F5F-8E08-1084BE952406}" uniqueName="137" name="Column137" queryTableFieldId="137"/>
    <tableColumn id="138" xr3:uid="{B168F4A3-9755-4A9F-8B60-82D651FC8A38}" uniqueName="138" name="Column138" queryTableFieldId="138"/>
    <tableColumn id="139" xr3:uid="{ED3CDAA1-F05B-4359-8D82-BDD7318436B9}" uniqueName="139" name="Column139" queryTableFieldId="139"/>
    <tableColumn id="140" xr3:uid="{5EFDE979-D11A-44AD-A0DC-0F0FAB7ECAF0}" uniqueName="140" name="Column140" queryTableFieldId="140"/>
    <tableColumn id="141" xr3:uid="{F6B054AC-9926-4F92-9EBE-4F2AFF663E76}" uniqueName="141" name="Column141" queryTableFieldId="141"/>
    <tableColumn id="142" xr3:uid="{50D8726A-AAF5-4B58-A2AF-B272DD50C7C8}" uniqueName="142" name="Column142" queryTableFieldId="142"/>
    <tableColumn id="143" xr3:uid="{0CF3FF4B-287C-4482-A09A-65655AB715C2}" uniqueName="143" name="Column143" queryTableFieldId="143"/>
    <tableColumn id="144" xr3:uid="{A9D87B0A-26DF-4C7A-90BB-C114B88A86E3}" uniqueName="144" name="Column144" queryTableFieldId="144"/>
    <tableColumn id="145" xr3:uid="{40BDF843-F7FD-4BBE-81BE-3CFA920F4612}" uniqueName="145" name="Column145" queryTableFieldId="145"/>
    <tableColumn id="146" xr3:uid="{F4918139-A478-4AEA-950C-6601F13C46DA}" uniqueName="146" name="Column146" queryTableFieldId="146"/>
    <tableColumn id="147" xr3:uid="{9F7ACD6C-DA53-496B-987D-7D4B9BA57FF3}" uniqueName="147" name="Column147" queryTableFieldId="147"/>
    <tableColumn id="148" xr3:uid="{CAFA023F-E796-4C1C-9283-52C33058B6A6}" uniqueName="148" name="Column148" queryTableFieldId="148"/>
    <tableColumn id="149" xr3:uid="{AF92A320-5423-4004-8F5F-70DEA340CE0A}" uniqueName="149" name="Column149" queryTableFieldId="149"/>
    <tableColumn id="150" xr3:uid="{BCED5906-D3AA-4C08-855D-2C1D850F63CC}" uniqueName="150" name="Column150" queryTableFieldId="150"/>
    <tableColumn id="151" xr3:uid="{4E6782EB-0ED3-4C10-A929-78949D7963CE}" uniqueName="151" name="Column151" queryTableFieldId="151"/>
    <tableColumn id="152" xr3:uid="{6A130511-DE32-4C7E-BD9D-227C86E67A30}" uniqueName="152" name="Column152" queryTableFieldId="152"/>
    <tableColumn id="153" xr3:uid="{3BC894D6-1B88-4D28-84EB-BF9108D8EF9E}" uniqueName="153" name="Column153" queryTableFieldId="153"/>
    <tableColumn id="154" xr3:uid="{71593C3C-440C-4ED0-8804-9E513862E9B7}" uniqueName="154" name="Column154" queryTableFieldId="154"/>
    <tableColumn id="155" xr3:uid="{37B05646-5BFE-4074-BB27-E8ED67C077DD}" uniqueName="155" name="Column155" queryTableFieldId="155"/>
    <tableColumn id="156" xr3:uid="{E5B245E8-E822-4997-B1BA-84DD7EB500B9}" uniqueName="156" name="Column156" queryTableFieldId="156"/>
    <tableColumn id="157" xr3:uid="{49F63A0A-32E2-488C-8C60-80CA707700C4}" uniqueName="157" name="Column157" queryTableFieldId="157"/>
    <tableColumn id="158" xr3:uid="{C7D24909-FF41-43BD-912A-B52163BDD349}" uniqueName="158" name="Column158" queryTableFieldId="158"/>
    <tableColumn id="159" xr3:uid="{D766CD6E-02A8-4106-A953-49EF8E8EF1CD}" uniqueName="159" name="Column159" queryTableFieldId="159"/>
    <tableColumn id="160" xr3:uid="{13C12F65-438B-458E-ABA3-3F00A6F41A01}" uniqueName="160" name="Column160" queryTableFieldId="160"/>
    <tableColumn id="161" xr3:uid="{05F2C063-A69F-42EC-9CFC-C75844D2CB43}" uniqueName="161" name="Column161" queryTableFieldId="161"/>
    <tableColumn id="162" xr3:uid="{CACC0D6F-6C41-4E72-AFE6-6354C2B5DFD6}" uniqueName="162" name="Column162" queryTableFieldId="162"/>
    <tableColumn id="163" xr3:uid="{A0005CCB-48ED-474D-8549-441DB2548274}" uniqueName="163" name="Column163" queryTableFieldId="163"/>
    <tableColumn id="164" xr3:uid="{B4BF8EA9-B322-4F0C-8E45-915168B074D4}" uniqueName="164" name="Column164" queryTableFieldId="164"/>
    <tableColumn id="165" xr3:uid="{7A0C8F8E-467D-40D9-AD8D-8B1355AA95D2}" uniqueName="165" name="Column165" queryTableFieldId="165"/>
    <tableColumn id="166" xr3:uid="{7D3FBFDC-E511-49A4-9003-DDB452744A2E}" uniqueName="166" name="Column166" queryTableFieldId="166"/>
    <tableColumn id="167" xr3:uid="{AF07E04A-0872-4C50-92B2-0D26D0D7DDAE}" uniqueName="167" name="Column167" queryTableFieldId="167"/>
    <tableColumn id="168" xr3:uid="{DF4E0964-B553-4E94-984C-114BC90DF5CA}" uniqueName="168" name="Column168" queryTableFieldId="168"/>
    <tableColumn id="169" xr3:uid="{C6686117-13DA-45A1-A0C2-F99EA2844401}" uniqueName="169" name="Column169" queryTableFieldId="169"/>
    <tableColumn id="170" xr3:uid="{B38F2C0F-82D6-4F5E-A8A0-88D926719FE8}" uniqueName="170" name="Column170" queryTableFieldId="170"/>
    <tableColumn id="171" xr3:uid="{A17F7965-8774-4074-8219-6DD597801E93}" uniqueName="171" name="Column171" queryTableFieldId="171"/>
    <tableColumn id="172" xr3:uid="{E1C95BED-BF2A-4B82-9D1E-12352B4AEC99}" uniqueName="172" name="Column172" queryTableFieldId="172"/>
    <tableColumn id="173" xr3:uid="{BCECD6D6-86F0-4615-AD4A-4A28AC8C26F9}" uniqueName="173" name="Column173" queryTableFieldId="173"/>
    <tableColumn id="174" xr3:uid="{344C918D-7C1A-4A90-97F1-7A734A983D9E}" uniqueName="174" name="Column174" queryTableFieldId="174"/>
    <tableColumn id="175" xr3:uid="{0D0A19D0-3A60-469A-B3FA-DC9C81E2DCCF}" uniqueName="175" name="Column175" queryTableFieldId="175"/>
    <tableColumn id="176" xr3:uid="{7D4367A4-8584-4984-92EE-BB9A01E9FE16}" uniqueName="176" name="Column176" queryTableFieldId="176"/>
    <tableColumn id="177" xr3:uid="{1785AE97-1A35-436A-867D-D4B94F69998A}" uniqueName="177" name="Column177" queryTableFieldId="177"/>
    <tableColumn id="178" xr3:uid="{63FD5F73-B47F-4070-9E12-38C292DD45DC}" uniqueName="178" name="Column178" queryTableFieldId="178"/>
    <tableColumn id="179" xr3:uid="{FE02E8F7-0CF3-4737-A615-324767061094}" uniqueName="179" name="Column179" queryTableFieldId="179"/>
    <tableColumn id="180" xr3:uid="{2FDC6FA3-224D-405B-9999-61F41F99B747}" uniqueName="180" name="Column180" queryTableFieldId="180"/>
    <tableColumn id="181" xr3:uid="{072D0C04-DFC0-478A-BF3F-0D7BA09C2AF1}" uniqueName="181" name="Column181" queryTableFieldId="181"/>
    <tableColumn id="182" xr3:uid="{6BB793C1-55AE-4CC3-8A35-C2EFB974BF90}" uniqueName="182" name="Column182" queryTableFieldId="182"/>
    <tableColumn id="183" xr3:uid="{4FE8FB08-2B46-4A16-B4A6-B7EE21BC9AB3}" uniqueName="183" name="Column183" queryTableFieldId="183"/>
    <tableColumn id="184" xr3:uid="{973E9316-255D-4ACA-BAB4-0866D7133768}" uniqueName="184" name="Column184" queryTableFieldId="184"/>
    <tableColumn id="185" xr3:uid="{239C4841-FA3D-479D-A4F7-4D42620302E1}" uniqueName="185" name="Column185" queryTableFieldId="185"/>
    <tableColumn id="186" xr3:uid="{4AA847FD-8F19-494A-B91D-BC216CF4C717}" uniqueName="186" name="Column186" queryTableFieldId="186"/>
    <tableColumn id="187" xr3:uid="{EA0BFABD-AC9F-4EC1-9A0C-107502D09485}" uniqueName="187" name="Column187" queryTableFieldId="187"/>
    <tableColumn id="188" xr3:uid="{9518BE71-2957-49FD-BE42-EF3F203861CC}" uniqueName="188" name="Column188" queryTableFieldId="188"/>
    <tableColumn id="189" xr3:uid="{6D91B360-7C52-46BC-AD35-AB3E48DB92AA}" uniqueName="189" name="Column189" queryTableFieldId="189"/>
    <tableColumn id="190" xr3:uid="{A6FB91C6-EFE0-4D4D-959E-2307C094186F}" uniqueName="190" name="Column190" queryTableFieldId="190"/>
    <tableColumn id="191" xr3:uid="{C3482966-EE0A-412A-97D5-70EB22BAAED3}" uniqueName="191" name="Column191" queryTableFieldId="191"/>
    <tableColumn id="192" xr3:uid="{C1F7BDC6-DC3D-436F-B892-5346DCB78A4E}" uniqueName="192" name="Column192" queryTableFieldId="192"/>
    <tableColumn id="193" xr3:uid="{1413988F-AE62-4929-A613-21AEBD1A93AA}" uniqueName="193" name="Column193" queryTableFieldId="193"/>
    <tableColumn id="194" xr3:uid="{69E723A9-AB91-4A1F-BDC4-FC5E253A952B}" uniqueName="194" name="Column194" queryTableFieldId="194"/>
    <tableColumn id="195" xr3:uid="{6416239B-A641-4E4A-BBDD-D1C6A992EF38}" uniqueName="195" name="Column195" queryTableFieldId="195"/>
    <tableColumn id="196" xr3:uid="{ADE252AC-0400-4C40-80A1-FE51F75DD1D8}" uniqueName="196" name="Column196" queryTableFieldId="196"/>
    <tableColumn id="197" xr3:uid="{9AAAF85B-E362-494D-A9CC-462D867B8DD3}" uniqueName="197" name="Column197" queryTableFieldId="197"/>
    <tableColumn id="198" xr3:uid="{775D0D7C-EFF5-48B3-A654-D21487A55234}" uniqueName="198" name="Column198" queryTableFieldId="198"/>
    <tableColumn id="199" xr3:uid="{315786BC-F011-4BE9-881F-FE2EBC4649F6}" uniqueName="199" name="Column199" queryTableFieldId="199"/>
    <tableColumn id="200" xr3:uid="{FBC57F68-1056-4CBF-83AE-DD5D9CD53674}" uniqueName="200" name="Column200" queryTableFieldId="200"/>
    <tableColumn id="201" xr3:uid="{4CB94DBD-82AE-4BC7-82DB-5F19D71B699F}" uniqueName="201" name="Column201" queryTableFieldId="201"/>
    <tableColumn id="202" xr3:uid="{9A7CA960-C38A-423C-AEF8-7F99D841C866}" uniqueName="202" name="Column202" queryTableFieldId="202"/>
    <tableColumn id="203" xr3:uid="{DDD4E411-6CC6-4461-88FD-D9C049D835A3}" uniqueName="203" name="Column203" queryTableFieldId="203"/>
    <tableColumn id="204" xr3:uid="{C3476553-5847-4A69-9EC2-4427A373D0CC}" uniqueName="204" name="Column204" queryTableFieldId="204"/>
    <tableColumn id="205" xr3:uid="{7836CF00-7D45-4A48-8208-E2FC1958AFA1}" uniqueName="205" name="Column205" queryTableFieldId="205"/>
    <tableColumn id="206" xr3:uid="{9B856018-632D-441E-A0A0-88A0FB6981B6}" uniqueName="206" name="Column206" queryTableFieldId="206"/>
    <tableColumn id="207" xr3:uid="{E5AD5C70-9B71-4E91-9FCA-9D2779D123A2}" uniqueName="207" name="Column207" queryTableFieldId="207"/>
    <tableColumn id="208" xr3:uid="{B66E1404-0089-4A0F-82B0-AB20A4DE738C}" uniqueName="208" name="Column208" queryTableFieldId="208"/>
    <tableColumn id="209" xr3:uid="{80E95292-93C2-4669-9EDA-31202E8C08BA}" uniqueName="209" name="Column209" queryTableFieldId="209"/>
    <tableColumn id="210" xr3:uid="{446D6DD8-7665-4098-B47D-2D8B57FCDABF}" uniqueName="210" name="Column210" queryTableFieldId="210"/>
    <tableColumn id="211" xr3:uid="{FB4EB960-C32C-4898-A3C7-18710C1856E5}" uniqueName="211" name="Column211" queryTableFieldId="211"/>
    <tableColumn id="212" xr3:uid="{D39CCB98-CF64-439A-AB89-44D5A5B2A0DC}" uniqueName="212" name="Column212" queryTableFieldId="212"/>
    <tableColumn id="213" xr3:uid="{77E7CDB1-ECE4-4C64-B242-2F242B60BEFE}" uniqueName="213" name="Column213" queryTableFieldId="213"/>
    <tableColumn id="214" xr3:uid="{A4B47A99-5FCE-4C46-9C48-4B99BF9CBC47}" uniqueName="214" name="Column214" queryTableFieldId="214"/>
    <tableColumn id="215" xr3:uid="{59A45B6E-D6AF-46C5-AFCF-7F424FDBBB01}" uniqueName="215" name="Column215" queryTableFieldId="215"/>
    <tableColumn id="216" xr3:uid="{28FE2332-1409-4AF1-8D41-536A40A83BE5}" uniqueName="216" name="Column216" queryTableFieldId="216"/>
    <tableColumn id="217" xr3:uid="{3405E645-BF44-456F-B066-1D4B6DEADB33}" uniqueName="217" name="Column217" queryTableFieldId="217"/>
    <tableColumn id="218" xr3:uid="{2AB0381D-9B1E-48B5-B7E6-0181DF13132F}" uniqueName="218" name="Column218" queryTableFieldId="218"/>
    <tableColumn id="219" xr3:uid="{4E938B95-A989-442F-95CB-496C4DAF5651}" uniqueName="219" name="Column219" queryTableFieldId="219"/>
    <tableColumn id="220" xr3:uid="{0973CA95-DCD9-4B90-8AE3-95E8F5BC622A}" uniqueName="220" name="Column220" queryTableFieldId="220"/>
    <tableColumn id="221" xr3:uid="{5FFC3432-4152-4814-879B-B231D28D5503}" uniqueName="221" name="Column221" queryTableFieldId="221"/>
    <tableColumn id="222" xr3:uid="{B685A793-6078-4187-9F8C-3A3A2E641227}" uniqueName="222" name="Column222" queryTableFieldId="222"/>
    <tableColumn id="223" xr3:uid="{CB097F44-9E82-437E-90EF-7E9DB5AE2B3C}" uniqueName="223" name="Column223" queryTableFieldId="223"/>
    <tableColumn id="224" xr3:uid="{CE9674B3-39EC-4D77-9EDB-F0A45692BAFF}" uniqueName="224" name="Column224" queryTableFieldId="224"/>
    <tableColumn id="225" xr3:uid="{0DFFF863-EE6B-4C02-94CD-2D6B23D04838}" uniqueName="225" name="Column225" queryTableFieldId="225"/>
    <tableColumn id="226" xr3:uid="{E007DE55-26F0-4B0D-86D8-184408E6D5C3}" uniqueName="226" name="Column226" queryTableFieldId="226"/>
    <tableColumn id="227" xr3:uid="{93D2ACD7-DC06-4CC4-B226-FEE54FD5663B}" uniqueName="227" name="Column227" queryTableFieldId="227"/>
    <tableColumn id="228" xr3:uid="{73E2C5C1-4A55-45C3-B3BC-7B3C44CCD0A6}" uniqueName="228" name="Column228" queryTableFieldId="228"/>
    <tableColumn id="229" xr3:uid="{5DBDA6DA-5EB1-4F8A-9187-4AA34AD1EBBE}" uniqueName="229" name="Column229" queryTableFieldId="229"/>
    <tableColumn id="230" xr3:uid="{01A5C521-8E75-4A5E-9CD8-5FBD895C0392}" uniqueName="230" name="Column230" queryTableFieldId="230"/>
    <tableColumn id="231" xr3:uid="{B652FEAE-4E2A-4676-A22F-03E08AC27D83}" uniqueName="231" name="Column231" queryTableFieldId="231"/>
    <tableColumn id="232" xr3:uid="{42D3A1D0-B636-48B3-A787-24FDDB090441}" uniqueName="232" name="Column232" queryTableFieldId="232"/>
    <tableColumn id="233" xr3:uid="{95BA5956-630F-48FB-A45E-E537955748C0}" uniqueName="233" name="Column233" queryTableFieldId="233"/>
    <tableColumn id="234" xr3:uid="{377C4997-83CE-4264-9631-0F744FBE9AC4}" uniqueName="234" name="Column234" queryTableFieldId="234"/>
    <tableColumn id="235" xr3:uid="{965DB396-5B10-4DDA-8B4B-EE2319CAB85E}" uniqueName="235" name="Column235" queryTableFieldId="235"/>
    <tableColumn id="236" xr3:uid="{DD474172-16F6-475A-ADAC-071F5957CDB0}" uniqueName="236" name="Column236" queryTableFieldId="236"/>
    <tableColumn id="237" xr3:uid="{2A2AED38-14F3-41D0-83AE-0FA613D5C07F}" uniqueName="237" name="Column237" queryTableFieldId="237"/>
    <tableColumn id="238" xr3:uid="{0E1628DE-4CF2-4608-9C83-6A717AC06505}" uniqueName="238" name="Column238" queryTableFieldId="238"/>
    <tableColumn id="239" xr3:uid="{798C585B-FFB4-4968-B8E2-670E1C38956F}" uniqueName="239" name="Column239" queryTableFieldId="239"/>
    <tableColumn id="240" xr3:uid="{AB2949B7-18B9-4B57-8C28-766AE6437E2B}" uniqueName="240" name="Column240" queryTableFieldId="240"/>
    <tableColumn id="241" xr3:uid="{62536A5E-5E6A-4064-ADAE-17D51AE9CB0A}" uniqueName="241" name="Column241" queryTableFieldId="241"/>
    <tableColumn id="242" xr3:uid="{EC36B439-B986-443C-9564-32DD5745B2C1}" uniqueName="242" name="Column242" queryTableFieldId="242"/>
    <tableColumn id="243" xr3:uid="{53261FD9-0848-43BD-8938-642D43EA90E6}" uniqueName="243" name="Column243" queryTableFieldId="243"/>
    <tableColumn id="244" xr3:uid="{F7A443D1-945C-4DFD-88E0-BA6B631405D3}" uniqueName="244" name="Column244" queryTableFieldId="244"/>
    <tableColumn id="245" xr3:uid="{8B40F49F-8822-430A-827D-1A4927FCD79A}" uniqueName="245" name="Column245" queryTableFieldId="245"/>
    <tableColumn id="246" xr3:uid="{E39F065D-21DE-4680-AD6D-5493C2C4867D}" uniqueName="246" name="Column246" queryTableFieldId="246"/>
    <tableColumn id="247" xr3:uid="{3310971A-5E69-436C-82D9-1F369542ACA0}" uniqueName="247" name="Column247" queryTableFieldId="247"/>
    <tableColumn id="248" xr3:uid="{AD770433-1D69-4AFF-B113-A6A256D609BD}" uniqueName="248" name="Column248" queryTableFieldId="248"/>
    <tableColumn id="249" xr3:uid="{A2B36277-0EE2-4791-BC78-95ED0058EF08}" uniqueName="249" name="Column249" queryTableFieldId="249"/>
    <tableColumn id="250" xr3:uid="{F16605B5-AACA-4731-BB6F-C30124A6BAF2}" uniqueName="250" name="Column250" queryTableFieldId="250"/>
    <tableColumn id="251" xr3:uid="{794B09EF-3F8B-44C6-BC4E-16101F30DBA5}" uniqueName="251" name="Column251" queryTableFieldId="251"/>
    <tableColumn id="252" xr3:uid="{CE3BD722-CBB9-4652-920B-843D7D80D26C}" uniqueName="252" name="Column252" queryTableFieldId="252"/>
    <tableColumn id="253" xr3:uid="{ABAEF3E2-1187-4A0D-8E0A-DDA7FCB5B59C}" uniqueName="253" name="Column253" queryTableFieldId="253"/>
    <tableColumn id="254" xr3:uid="{D3C7F513-12E3-47EA-90F8-036F6ABA8010}" uniqueName="254" name="Column254" queryTableFieldId="254"/>
    <tableColumn id="255" xr3:uid="{7E60B7BC-AA7F-41B6-B629-4F28DF430D46}" uniqueName="255" name="Column255" queryTableFieldId="255"/>
    <tableColumn id="256" xr3:uid="{3303E76F-0E00-41DD-9FE1-9F01A162150F}" uniqueName="256" name="Column256" queryTableFieldId="256"/>
    <tableColumn id="257" xr3:uid="{00AEAE12-6E89-4CDF-BE3F-E139CDC7A6A5}" uniqueName="257" name="Column257" queryTableFieldId="257"/>
    <tableColumn id="258" xr3:uid="{ED872BC9-622F-45FC-8D93-06D488193DEE}" uniqueName="258" name="Column258" queryTableFieldId="258"/>
    <tableColumn id="259" xr3:uid="{8BCE24E7-58DC-4AFE-B371-FFE3C361FC84}" uniqueName="259" name="Column259" queryTableFieldId="259"/>
    <tableColumn id="260" xr3:uid="{86FDDCC8-0DAF-4904-AAF7-E0A30419E43B}" uniqueName="260" name="Column260" queryTableFieldId="260"/>
    <tableColumn id="261" xr3:uid="{947E2F60-DB9E-4032-95F2-67D0B699C3DD}" uniqueName="261" name="Column261" queryTableFieldId="261"/>
    <tableColumn id="262" xr3:uid="{9132203B-E385-441F-A476-429628428B46}" uniqueName="262" name="Column262" queryTableFieldId="262"/>
    <tableColumn id="263" xr3:uid="{21B6DC8F-FE20-4D19-8FBC-96BF2B872147}" uniqueName="263" name="Column263" queryTableFieldId="263"/>
    <tableColumn id="264" xr3:uid="{8FCD43CA-DADF-488F-829C-892926976F5E}" uniqueName="264" name="Column264" queryTableFieldId="264"/>
    <tableColumn id="265" xr3:uid="{E8C229E7-3330-4D46-B53F-4FDC6ED25A5B}" uniqueName="265" name="Column265" queryTableFieldId="265"/>
    <tableColumn id="266" xr3:uid="{FDC0FD99-B73C-4901-AF19-1B81757449AC}" uniqueName="266" name="Column266" queryTableFieldId="266"/>
    <tableColumn id="267" xr3:uid="{E683CAFA-A7EA-4129-A869-EC4E95956758}" uniqueName="267" name="Column267" queryTableFieldId="267"/>
    <tableColumn id="268" xr3:uid="{EBE029E6-3E15-4772-A886-CB3425C6808F}" uniqueName="268" name="Column268" queryTableFieldId="268"/>
    <tableColumn id="269" xr3:uid="{B244A3EC-925F-4C6D-AB03-B4247137D736}" uniqueName="269" name="Column269" queryTableFieldId="269"/>
    <tableColumn id="270" xr3:uid="{108F658D-B9C3-4992-907A-B5C53C76CD5B}" uniqueName="270" name="Column270" queryTableFieldId="270"/>
    <tableColumn id="271" xr3:uid="{E8E53F02-AE12-4199-9B34-79ACB0301BFA}" uniqueName="271" name="Column271" queryTableFieldId="271"/>
    <tableColumn id="272" xr3:uid="{DC7CDD9A-6859-4DEF-9424-17E7EC88AC2C}" uniqueName="272" name="Column272" queryTableFieldId="272"/>
    <tableColumn id="273" xr3:uid="{A5FDC3E6-8F19-442C-A7C3-77860FCF2F51}" uniqueName="273" name="Column273" queryTableFieldId="273"/>
    <tableColumn id="274" xr3:uid="{8E86A9A9-4F0C-46DD-A334-43C4CCCFAF6B}" uniqueName="274" name="Column274" queryTableFieldId="274"/>
    <tableColumn id="275" xr3:uid="{6B5CEE22-67F0-4FF6-B754-6A3B64013EC5}" uniqueName="275" name="Column275" queryTableFieldId="275"/>
    <tableColumn id="276" xr3:uid="{959DFBA7-F228-4A35-935D-7F69AAB42BE2}" uniqueName="276" name="Column276" queryTableFieldId="276"/>
    <tableColumn id="277" xr3:uid="{F9117801-3201-4925-B426-B34A9B19BBB1}" uniqueName="277" name="Column277" queryTableFieldId="277"/>
    <tableColumn id="278" xr3:uid="{04C056F9-4EBB-4411-A726-F67A8F35363A}" uniqueName="278" name="Column278" queryTableFieldId="278"/>
    <tableColumn id="279" xr3:uid="{6D332C28-6486-4688-98E3-7CC541A9B221}" uniqueName="279" name="Column279" queryTableFieldId="279"/>
    <tableColumn id="280" xr3:uid="{26F6C0E1-077C-4524-9B9A-1C49D3482D6D}" uniqueName="280" name="Column280" queryTableFieldId="280"/>
    <tableColumn id="281" xr3:uid="{BDFCD4E3-5737-4CB9-B9CF-AA4263E9548B}" uniqueName="281" name="Column281" queryTableFieldId="281"/>
    <tableColumn id="282" xr3:uid="{FF079FA5-8595-43BB-9395-55CD459CBBA8}" uniqueName="282" name="Column282" queryTableFieldId="282"/>
    <tableColumn id="283" xr3:uid="{77A81364-A2BE-4A51-95DE-D72B707CCC3E}" uniqueName="283" name="Column283" queryTableFieldId="283"/>
    <tableColumn id="284" xr3:uid="{B4D9CA5B-6D5A-430F-B8D9-CCFE5758495A}" uniqueName="284" name="Column284" queryTableFieldId="284"/>
    <tableColumn id="285" xr3:uid="{4A3486E7-07F3-4DA7-8239-3536C4BAC87D}" uniqueName="285" name="Column285" queryTableFieldId="285"/>
    <tableColumn id="286" xr3:uid="{5351A246-C48F-46A7-9CFC-5EA73486DE8C}" uniqueName="286" name="Column286" queryTableFieldId="286"/>
    <tableColumn id="287" xr3:uid="{77DDA7D3-CCA4-4E33-BA5E-A5BFB8FED906}" uniqueName="287" name="Column287" queryTableFieldId="287"/>
    <tableColumn id="288" xr3:uid="{FE38A7ED-DBC3-45D8-B18A-D466FC57792F}" uniqueName="288" name="Column288" queryTableFieldId="288"/>
    <tableColumn id="289" xr3:uid="{286AA67A-6A58-44C2-903F-9E849C1EABA2}" uniqueName="289" name="Column289" queryTableFieldId="289"/>
    <tableColumn id="290" xr3:uid="{01F6D2D3-7B65-4FDC-8C56-DEB3F662D8C3}" uniqueName="290" name="Column290" queryTableFieldId="290"/>
    <tableColumn id="291" xr3:uid="{31FDB904-4580-417A-80DE-65EAA6CA7F99}" uniqueName="291" name="Column291" queryTableFieldId="291"/>
    <tableColumn id="292" xr3:uid="{56D29D26-B59E-4FDE-9903-E0FF096ED47F}" uniqueName="292" name="Column292" queryTableFieldId="292"/>
    <tableColumn id="293" xr3:uid="{CCF1143D-84D1-4B8A-BFD1-10DFFE4D62D4}" uniqueName="293" name="Column293" queryTableFieldId="293"/>
    <tableColumn id="294" xr3:uid="{CAFF2DEE-FE2D-4FA6-9722-BE7910CA1CD5}" uniqueName="294" name="Column294" queryTableFieldId="294"/>
    <tableColumn id="295" xr3:uid="{E845B3BE-F23B-4D94-ABD3-1113CEC5A1B0}" uniqueName="295" name="Column295" queryTableFieldId="295"/>
    <tableColumn id="296" xr3:uid="{555D43FE-7A9E-40EE-9D1E-0EF3E0BD4BDC}" uniqueName="296" name="Column296" queryTableFieldId="296"/>
    <tableColumn id="297" xr3:uid="{DE4C386F-6D61-4E58-A5D2-B9B7C9496EB2}" uniqueName="297" name="Column297" queryTableFieldId="297"/>
    <tableColumn id="298" xr3:uid="{496E6CEF-4375-4587-806A-07F600C87738}" uniqueName="298" name="Column298" queryTableFieldId="298"/>
    <tableColumn id="299" xr3:uid="{B421753D-324D-4EF0-91D6-9A5733F4FB93}" uniqueName="299" name="Column299" queryTableFieldId="299"/>
    <tableColumn id="300" xr3:uid="{6C3654C3-CC6A-44FF-BC64-7BA9A8D4073F}" uniqueName="300" name="Column300" queryTableFieldId="300"/>
    <tableColumn id="301" xr3:uid="{966C1D79-5F36-45E5-AFFB-15AC2E8EA6CD}" uniqueName="301" name="Column301" queryTableFieldId="301"/>
    <tableColumn id="302" xr3:uid="{A8DD9BD5-D8DE-4151-B3A4-2F12B6A8ED06}" uniqueName="302" name="Column302" queryTableFieldId="302"/>
    <tableColumn id="303" xr3:uid="{56FD9A08-9CD7-4703-B50F-F63BBFECDB08}" uniqueName="303" name="Column303" queryTableFieldId="303"/>
    <tableColumn id="304" xr3:uid="{C844E216-1A46-4AB6-9598-1DB859CFD672}" uniqueName="304" name="Column304" queryTableFieldId="304"/>
    <tableColumn id="305" xr3:uid="{FBF5332B-099D-47D8-97A4-1C1F9656466D}" uniqueName="305" name="Column305" queryTableFieldId="305"/>
    <tableColumn id="306" xr3:uid="{025DF2B8-06A1-4315-A5F6-FC9B98FC85F7}" uniqueName="306" name="Column306" queryTableFieldId="306"/>
    <tableColumn id="307" xr3:uid="{41891BF1-08F8-48E8-8DEA-EAE0CC14CA29}" uniqueName="307" name="Column307" queryTableFieldId="307"/>
    <tableColumn id="308" xr3:uid="{9A865EC2-4B60-4521-B2D1-0AE3D7410D2D}" uniqueName="308" name="Column308" queryTableFieldId="308"/>
    <tableColumn id="309" xr3:uid="{9183A756-BAA8-469F-97DA-2EE55C66C6DD}" uniqueName="309" name="Column309" queryTableFieldId="309"/>
    <tableColumn id="310" xr3:uid="{7344D477-5F59-41E1-BD88-8ACF05C68E0F}" uniqueName="310" name="Column310" queryTableFieldId="310"/>
    <tableColumn id="311" xr3:uid="{9ADE1B0B-E4E9-4128-BEF3-7CD43F27C7E6}" uniqueName="311" name="Column311" queryTableFieldId="311"/>
    <tableColumn id="312" xr3:uid="{214C2A6D-BDFF-4DAE-BA01-7D7DF4417BAD}" uniqueName="312" name="Column312" queryTableFieldId="312"/>
    <tableColumn id="313" xr3:uid="{19AA13E5-2FF5-45F0-9801-C26900F4CE6D}" uniqueName="313" name="Column313" queryTableFieldId="313"/>
    <tableColumn id="314" xr3:uid="{46B8D7CE-F167-4C6C-A059-444549912951}" uniqueName="314" name="Column314" queryTableFieldId="314"/>
    <tableColumn id="315" xr3:uid="{8E2D0381-D973-45F4-A245-E3304E7F24AA}" uniqueName="315" name="Column315" queryTableFieldId="315"/>
    <tableColumn id="316" xr3:uid="{E92C1ED8-8326-47A9-850B-80CADE10F3F1}" uniqueName="316" name="Column316" queryTableFieldId="316"/>
    <tableColumn id="317" xr3:uid="{9DAEFF8D-7E94-458E-9C8A-32778D094B52}" uniqueName="317" name="Column317" queryTableFieldId="317"/>
    <tableColumn id="318" xr3:uid="{8D8E862E-5650-4E62-BEA0-B580EDD0995D}" uniqueName="318" name="Column318" queryTableFieldId="318"/>
    <tableColumn id="319" xr3:uid="{CE5422D5-C275-4E8F-9101-078F95B05892}" uniqueName="319" name="Column319" queryTableFieldId="319"/>
    <tableColumn id="320" xr3:uid="{21BF3E2E-E17D-40E7-829F-87703ACC7544}" uniqueName="320" name="Column320" queryTableFieldId="320"/>
    <tableColumn id="321" xr3:uid="{AE467B2E-60E5-477C-9178-8033D43D5B3C}" uniqueName="321" name="Column321" queryTableFieldId="321"/>
    <tableColumn id="322" xr3:uid="{535483F8-7810-4614-9B98-04ED8D5CDA1D}" uniqueName="322" name="Column322" queryTableFieldId="322"/>
    <tableColumn id="323" xr3:uid="{622515A9-0331-4243-A516-AEA15BC3E2FC}" uniqueName="323" name="Column323" queryTableFieldId="323"/>
    <tableColumn id="324" xr3:uid="{16358085-64D4-454B-92DD-158BE113D6A3}" uniqueName="324" name="Column324" queryTableFieldId="324"/>
    <tableColumn id="325" xr3:uid="{AAC2E99B-6E28-4EE1-8C13-36A538ECD7A6}" uniqueName="325" name="Column325" queryTableFieldId="325"/>
    <tableColumn id="326" xr3:uid="{A3C6E9B2-E01B-4F7A-B649-729103E51FAA}" uniqueName="326" name="Column326" queryTableFieldId="326"/>
    <tableColumn id="327" xr3:uid="{ABE21F96-3C83-4E16-AF94-13153EA2F394}" uniqueName="327" name="Column327" queryTableFieldId="327"/>
    <tableColumn id="328" xr3:uid="{A9575F9B-0C38-4535-B196-94F5FD1279DB}" uniqueName="328" name="Column328" queryTableFieldId="328"/>
    <tableColumn id="329" xr3:uid="{8B419E13-FB0B-4CBE-8BB8-67570DE5FD8F}" uniqueName="329" name="Column329" queryTableFieldId="329"/>
    <tableColumn id="330" xr3:uid="{66D676D1-269A-4D49-A7E7-E74263688BF3}" uniqueName="330" name="Column330" queryTableFieldId="330"/>
    <tableColumn id="331" xr3:uid="{077265B5-4ED8-4D2B-9F53-DF03196B6083}" uniqueName="331" name="Column331" queryTableFieldId="331"/>
    <tableColumn id="332" xr3:uid="{A9C61840-CD28-4164-9395-6A7A367AC739}" uniqueName="332" name="Column332" queryTableFieldId="332"/>
    <tableColumn id="333" xr3:uid="{A1103407-DD72-4A2E-853A-F030BCD88FCD}" uniqueName="333" name="Column333" queryTableFieldId="333"/>
    <tableColumn id="334" xr3:uid="{7E9F6CF1-3CB0-4E05-8856-C71399FAFF48}" uniqueName="334" name="Column334" queryTableFieldId="334"/>
    <tableColumn id="335" xr3:uid="{5E501BFE-5EFD-469E-A1C2-8528708A19B9}" uniqueName="335" name="Column335" queryTableFieldId="335"/>
    <tableColumn id="336" xr3:uid="{F63667BC-C7E7-46F1-922E-3C8632D26957}" uniqueName="336" name="Column336" queryTableFieldId="336"/>
    <tableColumn id="337" xr3:uid="{1E45764D-17E0-4AA8-93B5-7E45530C13A6}" uniqueName="337" name="Column337" queryTableFieldId="337"/>
    <tableColumn id="338" xr3:uid="{2BE84F92-D863-43DB-8FD4-3B6BED50F418}" uniqueName="338" name="Column338" queryTableFieldId="338"/>
    <tableColumn id="339" xr3:uid="{1B9C8233-8A6F-4E04-AB34-B30C1D53F4FB}" uniqueName="339" name="Column339" queryTableFieldId="339"/>
    <tableColumn id="340" xr3:uid="{0D3C87D8-9CFF-4BE6-82EB-C11FD6F928D0}" uniqueName="340" name="Column340" queryTableFieldId="340"/>
    <tableColumn id="341" xr3:uid="{DAF3F8CC-1FA2-4773-AFF1-FABCC434C74E}" uniqueName="341" name="Column341" queryTableFieldId="341"/>
    <tableColumn id="342" xr3:uid="{79E90ED8-A26E-44B7-91A2-8C6E8B234891}" uniqueName="342" name="Column342" queryTableFieldId="342"/>
    <tableColumn id="343" xr3:uid="{7C4C6F8C-436B-4B3F-AE07-86B5D72FEB29}" uniqueName="343" name="Column343" queryTableFieldId="343"/>
    <tableColumn id="344" xr3:uid="{0023C1F8-E79B-4D7D-B5D9-319AFDFC9396}" uniqueName="344" name="Column344" queryTableFieldId="344"/>
    <tableColumn id="345" xr3:uid="{95F06B89-0D55-4235-B7BF-7EFB89683520}" uniqueName="345" name="Column345" queryTableFieldId="345"/>
    <tableColumn id="346" xr3:uid="{671F9123-4677-4998-A798-44129C696074}" uniqueName="346" name="Column346" queryTableFieldId="346"/>
    <tableColumn id="347" xr3:uid="{17FCFB67-0801-45CB-BDFB-C806AB013E78}" uniqueName="347" name="Column347" queryTableFieldId="347"/>
    <tableColumn id="348" xr3:uid="{994C7E64-D7FF-47DE-AAD7-1D9489BC7660}" uniqueName="348" name="Column348" queryTableFieldId="348"/>
    <tableColumn id="349" xr3:uid="{99ED5D6C-E27F-491A-8F5B-6F1A1E9F3711}" uniqueName="349" name="Column349" queryTableFieldId="349"/>
    <tableColumn id="350" xr3:uid="{6CFA71CF-A896-4B35-ADC8-14FD692212FF}" uniqueName="350" name="Column350" queryTableFieldId="350"/>
    <tableColumn id="351" xr3:uid="{7F8FFCE7-A300-459B-9307-1CDBE139EFC6}" uniqueName="351" name="Column351" queryTableFieldId="351"/>
    <tableColumn id="352" xr3:uid="{6AC05C93-DBED-4C47-A773-F14F266243DD}" uniqueName="352" name="Column352" queryTableFieldId="352"/>
    <tableColumn id="353" xr3:uid="{3FF03E83-0C1C-483A-BB84-961F01A45BFA}" uniqueName="353" name="Column353" queryTableFieldId="353"/>
    <tableColumn id="354" xr3:uid="{9D1BF47E-436B-4F2B-969B-DD95D03FF8B0}" uniqueName="354" name="Column354" queryTableFieldId="354"/>
    <tableColumn id="355" xr3:uid="{C73EF92D-F954-4728-A069-5F687D08BB22}" uniqueName="355" name="Column355" queryTableFieldId="355"/>
    <tableColumn id="356" xr3:uid="{9480EEBA-A200-46DC-9BC1-3F19D75A471E}" uniqueName="356" name="Column356" queryTableFieldId="356"/>
    <tableColumn id="357" xr3:uid="{E556051B-14CA-4944-95C0-130052B4C1BD}" uniqueName="357" name="Column357" queryTableFieldId="357"/>
    <tableColumn id="358" xr3:uid="{B074170C-8533-4FF4-A2EC-A4B7ECBB0D26}" uniqueName="358" name="Column358" queryTableFieldId="358"/>
    <tableColumn id="359" xr3:uid="{C1566D43-4F38-4BEB-9CC7-D7E7C50CC8BF}" uniqueName="359" name="Column359" queryTableFieldId="359"/>
    <tableColumn id="360" xr3:uid="{FC9087CE-0855-4AFD-B7EA-0D63DE9CEAF5}" uniqueName="360" name="Column360" queryTableFieldId="360"/>
    <tableColumn id="361" xr3:uid="{91723CEE-0609-4D7B-AD37-17EA068F0DBE}" uniqueName="361" name="Column361" queryTableFieldId="361"/>
    <tableColumn id="362" xr3:uid="{7C187AFC-7FEA-47EC-8923-522BBE6EE4CD}" uniqueName="362" name="Column362" queryTableFieldId="362"/>
    <tableColumn id="363" xr3:uid="{F3C8C399-1BBD-4F4A-AA84-3E39E635CAEE}" uniqueName="363" name="Column363" queryTableFieldId="363"/>
    <tableColumn id="364" xr3:uid="{E5A0A2EA-EA50-452D-8577-4DF2468A0020}" uniqueName="364" name="Column364" queryTableFieldId="364"/>
    <tableColumn id="365" xr3:uid="{29D58B08-65EB-4B00-863D-6F182CA1FFB6}" uniqueName="365" name="Column365" queryTableFieldId="365"/>
    <tableColumn id="366" xr3:uid="{02D15E03-C27C-4223-BD97-13E5AE23AE0F}" uniqueName="366" name="Column366" queryTableFieldId="366"/>
    <tableColumn id="367" xr3:uid="{134E5DB1-E553-4F19-B97A-BBDC0F0A9B46}" uniqueName="367" name="Column367" queryTableFieldId="367"/>
    <tableColumn id="368" xr3:uid="{D7067FC4-ABED-4B28-9EF6-8EABB61FAB2B}" uniqueName="368" name="Column368" queryTableFieldId="368"/>
    <tableColumn id="369" xr3:uid="{01F82D87-7E38-4C0F-8195-A43FE24AFFB3}" uniqueName="369" name="Column369" queryTableFieldId="369"/>
    <tableColumn id="370" xr3:uid="{5450D81B-620E-4B00-8163-E3C389E352B1}" uniqueName="370" name="Column370" queryTableFieldId="370"/>
    <tableColumn id="371" xr3:uid="{C1AD9010-6E46-49C3-BDCC-70A4A4DB0857}" uniqueName="371" name="Column371" queryTableFieldId="371"/>
    <tableColumn id="372" xr3:uid="{BF7708F4-E0CE-4D56-A369-61825BAFA58A}" uniqueName="372" name="Column372" queryTableFieldId="372"/>
    <tableColumn id="373" xr3:uid="{B4631920-2E0F-4BA6-A9FA-8C537E36A797}" uniqueName="373" name="Column373" queryTableFieldId="373"/>
    <tableColumn id="374" xr3:uid="{8066878F-E3A0-4EBC-B2B5-928E05BABBD9}" uniqueName="374" name="Column374" queryTableFieldId="374"/>
    <tableColumn id="375" xr3:uid="{78299C7F-1BEB-453E-8001-6E64EB5F3DAB}" uniqueName="375" name="Column375" queryTableFieldId="375"/>
    <tableColumn id="376" xr3:uid="{2029F83F-E222-41C9-BD2A-7CF2E03E23FD}" uniqueName="376" name="Column376" queryTableFieldId="376"/>
    <tableColumn id="377" xr3:uid="{BD86C538-56A9-41F6-A3F9-C4B24D4DF8A1}" uniqueName="377" name="Column377" queryTableFieldId="377"/>
    <tableColumn id="378" xr3:uid="{D3B81FE1-24B3-4509-A2FB-54D82E892FD8}" uniqueName="378" name="Column378" queryTableFieldId="378"/>
    <tableColumn id="379" xr3:uid="{32F2CF0B-0181-4BE1-B128-7728DB9F1E23}" uniqueName="379" name="Column379" queryTableFieldId="379"/>
    <tableColumn id="380" xr3:uid="{79AFCF01-8AF7-4022-8A5C-BCB289F58D15}" uniqueName="380" name="Column380" queryTableFieldId="380"/>
    <tableColumn id="381" xr3:uid="{D458020B-7D22-4837-9510-1F53E1D0AA21}" uniqueName="381" name="Column381" queryTableFieldId="381"/>
    <tableColumn id="382" xr3:uid="{AE9A17ED-6C8F-4012-975E-0825562A33E9}" uniqueName="382" name="Column382" queryTableFieldId="382"/>
    <tableColumn id="383" xr3:uid="{3F632974-734A-4A2F-AFC0-D08AE42FFCA6}" uniqueName="383" name="Column383" queryTableFieldId="383"/>
    <tableColumn id="384" xr3:uid="{33CDFC7C-BDBF-497C-98F9-017A99DF5D74}" uniqueName="384" name="Column384" queryTableFieldId="384"/>
    <tableColumn id="385" xr3:uid="{CD1E9D8C-DB67-4347-8A69-300A3A5FFA65}" uniqueName="385" name="Column385" queryTableFieldId="385"/>
    <tableColumn id="386" xr3:uid="{FD7C3297-D2CA-41B7-B82F-002BEF72A091}" uniqueName="386" name="Column386" queryTableFieldId="386"/>
    <tableColumn id="387" xr3:uid="{89F46A1F-B04D-4557-9F1A-7B8CA94F9F26}" uniqueName="387" name="Column387" queryTableFieldId="387"/>
    <tableColumn id="388" xr3:uid="{EA7BDBAA-6E58-473D-A955-E24D7CEF8AA0}" uniqueName="388" name="Column388" queryTableFieldId="388"/>
    <tableColumn id="389" xr3:uid="{0475D366-CEF2-4AAF-82CA-1A9FB889B64F}" uniqueName="389" name="Column389" queryTableFieldId="389"/>
    <tableColumn id="390" xr3:uid="{114005A0-4F5F-4A88-A608-CDB8BD016488}" uniqueName="390" name="Column390" queryTableFieldId="390"/>
    <tableColumn id="391" xr3:uid="{CB62318C-57F8-4565-A9B1-F0A2B8FD80D8}" uniqueName="391" name="Column391" queryTableFieldId="391"/>
    <tableColumn id="392" xr3:uid="{BB70D8D4-53B8-4D0E-B2A4-CE2D2253B4AA}" uniqueName="392" name="Column392" queryTableFieldId="392"/>
    <tableColumn id="393" xr3:uid="{0C9B6C33-2EA0-45A7-8759-1F84C6E56278}" uniqueName="393" name="Column393" queryTableFieldId="393"/>
    <tableColumn id="394" xr3:uid="{2FC61385-ED52-475F-836B-3EA93709D59E}" uniqueName="394" name="Column394" queryTableFieldId="394"/>
    <tableColumn id="395" xr3:uid="{DE13B07B-0846-49FB-99D4-883DD65E5843}" uniqueName="395" name="Column395" queryTableFieldId="395"/>
    <tableColumn id="396" xr3:uid="{10E7FB41-7BB5-406E-99C7-E34D8AEADDBE}" uniqueName="396" name="Column396" queryTableFieldId="396"/>
    <tableColumn id="397" xr3:uid="{0F58D6A3-BFE2-4F8D-B7B0-2981ED3572BC}" uniqueName="397" name="Column397" queryTableFieldId="397"/>
    <tableColumn id="398" xr3:uid="{EB1CE09E-EEAC-47DF-A5A4-7D407CEDE541}" uniqueName="398" name="Column398" queryTableFieldId="398"/>
    <tableColumn id="399" xr3:uid="{70DACA3E-97CD-4419-A045-F2E5DAEB6F9B}" uniqueName="399" name="Column399" queryTableFieldId="399"/>
    <tableColumn id="400" xr3:uid="{97859958-BF87-4A5D-9240-B747786746D7}" uniqueName="400" name="Column400" queryTableFieldId="400"/>
    <tableColumn id="401" xr3:uid="{68943BEC-EC71-4A16-8992-59F9A040C098}" uniqueName="401" name="Column401" queryTableFieldId="401"/>
    <tableColumn id="402" xr3:uid="{130DC817-A667-468D-9150-D7B9347FDC63}" uniqueName="402" name="Column402" queryTableFieldId="402"/>
    <tableColumn id="403" xr3:uid="{AEAE344C-4DF7-4602-BC32-2EF3A40033DD}" uniqueName="403" name="Column403" queryTableFieldId="403"/>
    <tableColumn id="404" xr3:uid="{6534C887-AC0E-42D3-A17B-3AA92C7B6592}" uniqueName="404" name="Column404" queryTableFieldId="404"/>
    <tableColumn id="405" xr3:uid="{4E7A805F-AFFF-4752-8EE7-B5A16FF9EBEF}" uniqueName="405" name="Column405" queryTableFieldId="405"/>
    <tableColumn id="406" xr3:uid="{4F53DA66-FB11-4317-B6E3-236AE5451834}" uniqueName="406" name="Column406" queryTableFieldId="406"/>
    <tableColumn id="407" xr3:uid="{99A359C6-4828-4849-872C-E3DFB4DB9A34}" uniqueName="407" name="Column407" queryTableFieldId="407"/>
    <tableColumn id="408" xr3:uid="{CCF276AE-46AD-4606-BFCE-B545F779F6CC}" uniqueName="408" name="Column408" queryTableFieldId="408"/>
    <tableColumn id="409" xr3:uid="{CC4712B6-4E12-41D2-A6E7-BDC9AB60D4A4}" uniqueName="409" name="Column409" queryTableFieldId="409"/>
    <tableColumn id="410" xr3:uid="{A11010DB-10E9-42E0-8B92-0058FC0E1BF2}" uniqueName="410" name="Column410" queryTableFieldId="410"/>
    <tableColumn id="411" xr3:uid="{73267E8E-10CC-49E1-96F6-72EEE71911FB}" uniqueName="411" name="Column411" queryTableFieldId="411"/>
    <tableColumn id="412" xr3:uid="{4FC940FD-3498-4778-B57E-F5BFDABFDE19}" uniqueName="412" name="Column412" queryTableFieldId="412"/>
    <tableColumn id="413" xr3:uid="{03CC280C-0319-4140-B6B2-34D1BE74584C}" uniqueName="413" name="Column413" queryTableFieldId="413"/>
    <tableColumn id="414" xr3:uid="{CD859AF1-7084-4D12-A90F-C4E8BCD24B57}" uniqueName="414" name="Column414" queryTableFieldId="414"/>
    <tableColumn id="415" xr3:uid="{88CF17D7-E0F4-48D0-ADF4-6A56CD710F66}" uniqueName="415" name="Column415" queryTableFieldId="415"/>
    <tableColumn id="416" xr3:uid="{A81A6D34-A122-4DC5-8C4D-5FC50F17CA32}" uniqueName="416" name="Column416" queryTableFieldId="416"/>
    <tableColumn id="417" xr3:uid="{A672C33B-5A7A-4625-AD78-774F3FAE084E}" uniqueName="417" name="Column417" queryTableFieldId="417"/>
    <tableColumn id="418" xr3:uid="{151BDFA4-5BEF-4A0D-B1D9-B4DBBF018371}" uniqueName="418" name="Column418" queryTableFieldId="418"/>
    <tableColumn id="419" xr3:uid="{93E3B369-1C0B-4CDF-A8E6-623BAB07D746}" uniqueName="419" name="Column419" queryTableFieldId="419"/>
    <tableColumn id="420" xr3:uid="{595C4878-9D90-421D-B359-8FE13073EC79}" uniqueName="420" name="Column420" queryTableFieldId="420"/>
    <tableColumn id="421" xr3:uid="{E27095F0-356D-402D-B46E-2ECDBC681B67}" uniqueName="421" name="Column421" queryTableFieldId="421"/>
    <tableColumn id="422" xr3:uid="{A201548E-FD0C-4432-A82F-ECCDE2737D53}" uniqueName="422" name="Column422" queryTableFieldId="422"/>
    <tableColumn id="423" xr3:uid="{99E3F8B9-1445-48B7-9495-8619BA01ADED}" uniqueName="423" name="Column423" queryTableFieldId="423"/>
    <tableColumn id="424" xr3:uid="{D29142EA-31DE-4846-A59E-46A1A9233889}" uniqueName="424" name="Column424" queryTableFieldId="424"/>
    <tableColumn id="425" xr3:uid="{607E3EF2-05DA-46E6-A836-EDA45FD78BE3}" uniqueName="425" name="Column425" queryTableFieldId="425"/>
    <tableColumn id="426" xr3:uid="{5C47C698-098E-4687-BB89-7C5E1D408968}" uniqueName="426" name="Column426" queryTableFieldId="426"/>
    <tableColumn id="427" xr3:uid="{0831394C-4B5D-4A38-AC8A-A5C232F0959D}" uniqueName="427" name="Column427" queryTableFieldId="427"/>
    <tableColumn id="428" xr3:uid="{A7F53493-B8E0-4C52-BFD2-5C6164CDCD48}" uniqueName="428" name="Column428" queryTableFieldId="428"/>
    <tableColumn id="429" xr3:uid="{E3ACB500-6701-4C48-B140-7A1FB2320507}" uniqueName="429" name="Column429" queryTableFieldId="429"/>
    <tableColumn id="430" xr3:uid="{01B274A0-8336-457E-8872-DD157BEDE40C}" uniqueName="430" name="Column430" queryTableFieldId="430"/>
    <tableColumn id="431" xr3:uid="{4A9DEF60-0DD6-450B-A206-0B52663B0FD5}" uniqueName="431" name="Column431" queryTableFieldId="431"/>
    <tableColumn id="432" xr3:uid="{A6BFE747-C25D-48B5-9CF2-AB1AB1447B42}" uniqueName="432" name="Column432" queryTableFieldId="432"/>
    <tableColumn id="433" xr3:uid="{419582B2-6BE5-4EA4-A374-2E5380244020}" uniqueName="433" name="Column433" queryTableFieldId="433"/>
    <tableColumn id="434" xr3:uid="{29BB39C6-1BDE-4281-9564-289E312E15E6}" uniqueName="434" name="Column434" queryTableFieldId="434"/>
    <tableColumn id="435" xr3:uid="{B6070E01-02C8-498A-9894-33BBFBCD5E99}" uniqueName="435" name="Column435" queryTableFieldId="435"/>
    <tableColumn id="436" xr3:uid="{9BE9C753-C3E9-44E3-B57C-1880EDF6B86F}" uniqueName="436" name="Column436" queryTableFieldId="436"/>
    <tableColumn id="437" xr3:uid="{4C682942-A7AA-4235-9FB6-F7C8ED0345BB}" uniqueName="437" name="Column437" queryTableFieldId="437"/>
    <tableColumn id="438" xr3:uid="{7657B569-1373-45F1-8234-8EE91CD9B177}" uniqueName="438" name="Column438" queryTableFieldId="438"/>
    <tableColumn id="439" xr3:uid="{2896A7FF-15C6-4CA5-A9C8-754C9C0ACA38}" uniqueName="439" name="Column439" queryTableFieldId="439"/>
    <tableColumn id="440" xr3:uid="{A3251BEB-EDD2-459C-910B-70781E326FC9}" uniqueName="440" name="Column440" queryTableFieldId="440"/>
    <tableColumn id="441" xr3:uid="{EE9E4EE7-4A50-4D2D-A817-A74F8201001A}" uniqueName="441" name="Column441" queryTableFieldId="441"/>
    <tableColumn id="442" xr3:uid="{3562D471-DFE5-428E-98FD-2C21043167BB}" uniqueName="442" name="Column442" queryTableFieldId="442"/>
    <tableColumn id="443" xr3:uid="{FF74DC39-0F9A-4655-AE1D-E92E18086254}" uniqueName="443" name="Column443" queryTableFieldId="443"/>
    <tableColumn id="444" xr3:uid="{A9207989-46AA-4BA5-8879-4343079C9775}" uniqueName="444" name="Column444" queryTableFieldId="444"/>
    <tableColumn id="445" xr3:uid="{A4917103-61D9-42C3-97CC-8869DC214978}" uniqueName="445" name="Column445" queryTableFieldId="445"/>
    <tableColumn id="446" xr3:uid="{885F774A-551A-4FFE-887B-11AE9B4EBD5E}" uniqueName="446" name="Column446" queryTableFieldId="446"/>
    <tableColumn id="447" xr3:uid="{B4C8C462-5424-451B-8BEE-ABABCC8AA4ED}" uniqueName="447" name="Column447" queryTableFieldId="447"/>
    <tableColumn id="448" xr3:uid="{D7B2FE91-3CB9-48A7-8C06-CF5B18246EE1}" uniqueName="448" name="Column448" queryTableFieldId="448"/>
    <tableColumn id="449" xr3:uid="{5DF3E1D0-B8C5-4124-A021-845A50ABCA6A}" uniqueName="449" name="Column449" queryTableFieldId="449"/>
    <tableColumn id="450" xr3:uid="{9AEE1343-4D70-49C2-8656-FF6501502F1D}" uniqueName="450" name="Column450" queryTableFieldId="450"/>
    <tableColumn id="451" xr3:uid="{B8CB6FFD-40CD-41CA-A04D-0DCBC3FA82E0}" uniqueName="451" name="Column451" queryTableFieldId="451"/>
    <tableColumn id="452" xr3:uid="{4104AFE3-F6FD-4374-B0A9-E4244E576EAA}" uniqueName="452" name="Column452" queryTableFieldId="452"/>
    <tableColumn id="453" xr3:uid="{CF406EF0-D4DB-4202-BDFE-5379CFFAAD86}" uniqueName="453" name="Column453" queryTableFieldId="453"/>
    <tableColumn id="454" xr3:uid="{F2E80B28-C7ED-433D-AB84-8D14976B7A06}" uniqueName="454" name="Column454" queryTableFieldId="454"/>
    <tableColumn id="455" xr3:uid="{FB59B864-DAEB-49F1-8004-77E1EA9DFEE0}" uniqueName="455" name="Column455" queryTableFieldId="455"/>
    <tableColumn id="456" xr3:uid="{BC07B2CB-15A6-4D16-97F2-F33F0F712DAD}" uniqueName="456" name="Column456" queryTableFieldId="456"/>
    <tableColumn id="457" xr3:uid="{82CC87F1-2773-4A6C-8453-C9251BED9D77}" uniqueName="457" name="Column457" queryTableFieldId="457"/>
    <tableColumn id="458" xr3:uid="{C5CC9F02-F992-463C-856E-C60BA945C0CD}" uniqueName="458" name="Column458" queryTableFieldId="458"/>
    <tableColumn id="459" xr3:uid="{F978D67C-0D61-4896-9B6D-CC1DA865A439}" uniqueName="459" name="Column459" queryTableFieldId="459"/>
    <tableColumn id="460" xr3:uid="{434ED536-117F-4211-96D8-9147F45F9E29}" uniqueName="460" name="Column460" queryTableFieldId="460"/>
    <tableColumn id="461" xr3:uid="{946DBFCA-C4FC-4D5F-A449-49B1EF5DFFF9}" uniqueName="461" name="Column461" queryTableFieldId="461"/>
    <tableColumn id="462" xr3:uid="{43B1D475-0AAF-461D-A41A-4C231789F10A}" uniqueName="462" name="Column462" queryTableFieldId="462"/>
    <tableColumn id="463" xr3:uid="{F26A8181-C0C3-4924-B32F-6B110D09EEE3}" uniqueName="463" name="Column463" queryTableFieldId="463"/>
    <tableColumn id="464" xr3:uid="{BECBD574-40EF-41B9-91FC-1F3F8ED0D680}" uniqueName="464" name="Column464" queryTableFieldId="464"/>
    <tableColumn id="465" xr3:uid="{66ADC66D-C12F-42E1-8E43-4FA647E550A1}" uniqueName="465" name="Column465" queryTableFieldId="465"/>
    <tableColumn id="466" xr3:uid="{5DD8BCB4-2C46-4919-A24B-9D3869F9D911}" uniqueName="466" name="Column466" queryTableFieldId="466"/>
    <tableColumn id="467" xr3:uid="{EB5C4592-5E07-4400-BC7C-358A6255F8C1}" uniqueName="467" name="Column467" queryTableFieldId="467"/>
    <tableColumn id="468" xr3:uid="{7558515F-338E-4FCD-B243-F9A65F33604D}" uniqueName="468" name="Column468" queryTableFieldId="468"/>
    <tableColumn id="469" xr3:uid="{8FB2F0B6-F23F-4D1B-8CEE-36AA848114E0}" uniqueName="469" name="Column469" queryTableFieldId="469"/>
    <tableColumn id="470" xr3:uid="{EA9A031A-8866-4540-A968-BCD1F7765EBE}" uniqueName="470" name="Column470" queryTableFieldId="470"/>
    <tableColumn id="471" xr3:uid="{0C1D8E0B-543B-4801-81E6-D68D5F581C61}" uniqueName="471" name="Column471" queryTableFieldId="471"/>
    <tableColumn id="472" xr3:uid="{1F581C93-0F2A-42B1-8FE0-DFF05777A7BC}" uniqueName="472" name="Column472" queryTableFieldId="472"/>
    <tableColumn id="473" xr3:uid="{38831AE6-18F7-4E72-9B93-691D02E7B0AC}" uniqueName="473" name="Column473" queryTableFieldId="473"/>
    <tableColumn id="474" xr3:uid="{A38C661A-7F1A-42B7-BA1B-8F96986F6059}" uniqueName="474" name="Column474" queryTableFieldId="474"/>
    <tableColumn id="475" xr3:uid="{8E667AFF-FA1F-4B92-A3D4-7F760157428D}" uniqueName="475" name="Column475" queryTableFieldId="475"/>
    <tableColumn id="476" xr3:uid="{CDF4E019-C76D-49DC-98C0-3731663825EA}" uniqueName="476" name="Column476" queryTableFieldId="476"/>
    <tableColumn id="477" xr3:uid="{35FDFA74-D098-4AC6-9BC1-9173B183A6A1}" uniqueName="477" name="Column477" queryTableFieldId="477"/>
    <tableColumn id="478" xr3:uid="{49152744-78B1-4517-AA08-FACF7732C5B5}" uniqueName="478" name="Column478" queryTableFieldId="478"/>
    <tableColumn id="479" xr3:uid="{8F891680-5B55-4EB3-B5D3-427A3906AC92}" uniqueName="479" name="Column479" queryTableFieldId="479"/>
    <tableColumn id="480" xr3:uid="{11450F74-D632-4027-A39F-57E23544855B}" uniqueName="480" name="Column480" queryTableFieldId="480"/>
    <tableColumn id="481" xr3:uid="{DE6A9C05-CBA0-4BDB-A682-7B467BAFD517}" uniqueName="481" name="Column481" queryTableFieldId="481"/>
    <tableColumn id="482" xr3:uid="{8B59876D-A1EF-4003-B32E-A3754B2D7036}" uniqueName="482" name="Column482" queryTableFieldId="482"/>
    <tableColumn id="483" xr3:uid="{A9E80721-E443-47B1-8D27-3C68093C42B5}" uniqueName="483" name="Column483" queryTableFieldId="483"/>
    <tableColumn id="484" xr3:uid="{7D6ABE49-7A22-4F72-9D73-8922E898B963}" uniqueName="484" name="Column484" queryTableFieldId="484"/>
    <tableColumn id="485" xr3:uid="{6CD96845-3797-4846-A9B2-D3C1704F0CDA}" uniqueName="485" name="Column485" queryTableFieldId="485"/>
    <tableColumn id="486" xr3:uid="{B053F7B7-2A51-41F8-8E49-1CA792940EE6}" uniqueName="486" name="Column486" queryTableFieldId="486"/>
    <tableColumn id="487" xr3:uid="{E583F7C2-1D23-4D0E-9810-38926F5A4458}" uniqueName="487" name="Column487" queryTableFieldId="487"/>
    <tableColumn id="488" xr3:uid="{A47B6C88-C013-46F6-8669-A6B1ADBC0737}" uniqueName="488" name="Column488" queryTableFieldId="488"/>
    <tableColumn id="489" xr3:uid="{B785A7E2-7632-4A73-89B0-F5BCD27BD88E}" uniqueName="489" name="Column489" queryTableFieldId="489"/>
    <tableColumn id="490" xr3:uid="{6FEACD86-7DC8-4556-B4D9-B99AF1D02B17}" uniqueName="490" name="Column490" queryTableFieldId="490"/>
    <tableColumn id="491" xr3:uid="{117F2CA7-52F2-48F1-8E65-39E833883BF2}" uniqueName="491" name="Column491" queryTableFieldId="491"/>
    <tableColumn id="492" xr3:uid="{C755D167-970E-44A2-872C-69654259B76B}" uniqueName="492" name="Column492" queryTableFieldId="492"/>
    <tableColumn id="493" xr3:uid="{20D0AEAC-D11D-4DB8-B760-EE3505102648}" uniqueName="493" name="Column493" queryTableFieldId="493"/>
    <tableColumn id="494" xr3:uid="{B9E12503-9E9F-491D-A5C2-9A8022083A84}" uniqueName="494" name="Column494" queryTableFieldId="494"/>
    <tableColumn id="495" xr3:uid="{7CBCCE45-408A-4AAC-AF14-0818F291E2C2}" uniqueName="495" name="Column495" queryTableFieldId="495"/>
    <tableColumn id="496" xr3:uid="{29FE1455-FF8B-45D1-898F-18ACD2DD04CD}" uniqueName="496" name="Column496" queryTableFieldId="496"/>
    <tableColumn id="497" xr3:uid="{8FB5472F-26B0-4312-B55D-B7B80943095D}" uniqueName="497" name="Column497" queryTableFieldId="497"/>
    <tableColumn id="498" xr3:uid="{70B92D28-8E56-42BD-950D-F1B977107422}" uniqueName="498" name="Column498" queryTableFieldId="498"/>
    <tableColumn id="499" xr3:uid="{F5A017BD-8597-43CA-8FD0-2670F3E505D9}" uniqueName="499" name="Column499" queryTableFieldId="499"/>
    <tableColumn id="500" xr3:uid="{32FCD8A6-1393-4113-8408-43B890D4EE05}" uniqueName="500" name="Column500" queryTableFieldId="500"/>
    <tableColumn id="501" xr3:uid="{2598EF17-B303-49C6-A394-E2CF8BA127DA}" uniqueName="501" name="Column501" queryTableFieldId="501"/>
    <tableColumn id="502" xr3:uid="{A293F7F5-4C62-4C58-B80A-CEB3ABE6D204}" uniqueName="502" name="Column502" queryTableFieldId="502"/>
    <tableColumn id="503" xr3:uid="{883F6FF0-8D8D-48D9-9269-9D3A86157054}" uniqueName="503" name="Column503" queryTableFieldId="503"/>
    <tableColumn id="504" xr3:uid="{22D1C8F4-CC6B-41D5-846F-6421B3E7B86E}" uniqueName="504" name="Column504" queryTableFieldId="504"/>
    <tableColumn id="505" xr3:uid="{7A541CCA-DF87-4E17-8F1A-85B31ED2696B}" uniqueName="505" name="Column505" queryTableFieldId="505"/>
    <tableColumn id="506" xr3:uid="{7F9EF312-F8FD-448A-8E6A-A9B93B990A14}" uniqueName="506" name="Column506" queryTableFieldId="506"/>
    <tableColumn id="507" xr3:uid="{674C49AC-F24F-4305-813F-3AC1F0C40C76}" uniqueName="507" name="Column507" queryTableFieldId="507"/>
    <tableColumn id="508" xr3:uid="{D9098E61-4EAA-4EE3-B503-14F8D832A976}" uniqueName="508" name="Column508" queryTableFieldId="508"/>
    <tableColumn id="509" xr3:uid="{AC7F19C0-0B5F-4DD3-A47C-54328D244065}" uniqueName="509" name="Column509" queryTableFieldId="509"/>
    <tableColumn id="510" xr3:uid="{C3CD40CE-73AB-4A6E-BDCE-F0C426309D67}" uniqueName="510" name="Column510" queryTableFieldId="510"/>
    <tableColumn id="511" xr3:uid="{A51E4110-F81C-4D7C-827F-9E430BC1FD9C}" uniqueName="511" name="Column511" queryTableFieldId="511"/>
    <tableColumn id="512" xr3:uid="{454A7C6B-664F-47D5-ACBC-AA17326B5493}" uniqueName="512" name="Column512" queryTableFieldId="512"/>
    <tableColumn id="513" xr3:uid="{B7E286DE-60DD-4370-A126-B6DCB0EA3FDD}" uniqueName="513" name="Column513" queryTableFieldId="513"/>
    <tableColumn id="514" xr3:uid="{1C81A7B5-AC34-43EB-8A64-06AD4D614751}" uniqueName="514" name="Column514" queryTableFieldId="514"/>
    <tableColumn id="515" xr3:uid="{E6C2DF48-E3B5-4ABC-9198-6E7E15DD49E7}" uniqueName="515" name="Column515" queryTableFieldId="515"/>
    <tableColumn id="516" xr3:uid="{5243DBF8-08D5-402C-A7DA-F9B33D7CFF05}" uniqueName="516" name="Column516" queryTableFieldId="516"/>
    <tableColumn id="517" xr3:uid="{F7B246F4-B21C-47AC-A9EB-F207F4D82D9F}" uniqueName="517" name="Column517" queryTableFieldId="517"/>
    <tableColumn id="518" xr3:uid="{DAA74AC7-4692-4BA0-B000-1764BF6691AD}" uniqueName="518" name="Column518" queryTableFieldId="518"/>
    <tableColumn id="519" xr3:uid="{0926E536-FD2C-4A6F-B7E6-2130773A502A}" uniqueName="519" name="Column519" queryTableFieldId="519"/>
    <tableColumn id="520" xr3:uid="{698FACCC-C938-41DB-968D-72A9C778F85E}" uniqueName="520" name="Column520" queryTableFieldId="520"/>
    <tableColumn id="521" xr3:uid="{9A7F11BD-A467-42E3-BD15-AE650D17A7CF}" uniqueName="521" name="Column521" queryTableFieldId="521"/>
    <tableColumn id="522" xr3:uid="{A4951DEE-FA9D-4AA1-9A35-6B24A11BCF67}" uniqueName="522" name="Column522" queryTableFieldId="522"/>
    <tableColumn id="523" xr3:uid="{355F713C-8EEB-41FD-8F47-D50970509759}" uniqueName="523" name="Column523" queryTableFieldId="523"/>
    <tableColumn id="524" xr3:uid="{5D7C09B1-80FE-409B-8FD3-A60ECA24CAA8}" uniqueName="524" name="Column524" queryTableFieldId="524"/>
    <tableColumn id="525" xr3:uid="{9500EBEC-0991-47F6-8509-7E15E86624E5}" uniqueName="525" name="Column525" queryTableFieldId="525"/>
    <tableColumn id="526" xr3:uid="{432D3AD7-160D-4EBA-A904-549F310260A0}" uniqueName="526" name="Column526" queryTableFieldId="526"/>
    <tableColumn id="527" xr3:uid="{FBEF27A5-6283-482F-84EA-E7DAFC4D518E}" uniqueName="527" name="Column527" queryTableFieldId="527"/>
    <tableColumn id="528" xr3:uid="{E39A75BC-2141-4315-BC52-D9FE28E66ABF}" uniqueName="528" name="Column528" queryTableFieldId="528"/>
    <tableColumn id="529" xr3:uid="{CE673363-808D-4AED-A552-E96185CFE42E}" uniqueName="529" name="Column529" queryTableFieldId="529"/>
    <tableColumn id="530" xr3:uid="{7BC01D9C-CA24-45DA-8ECB-2F8238D559F9}" uniqueName="530" name="Column530" queryTableFieldId="530"/>
    <tableColumn id="531" xr3:uid="{C89830E7-A60B-4149-85E8-1CCAB2C4120C}" uniqueName="531" name="Column531" queryTableFieldId="531"/>
    <tableColumn id="532" xr3:uid="{AB0BD32B-A926-40A0-85BB-E4F88A29846F}" uniqueName="532" name="Column532" queryTableFieldId="532"/>
    <tableColumn id="533" xr3:uid="{73EED4A9-7571-407D-B72F-F662CF8EA658}" uniqueName="533" name="Column533" queryTableFieldId="533"/>
    <tableColumn id="534" xr3:uid="{FCD3A455-A852-47C0-9E46-9A4D7DA65F53}" uniqueName="534" name="Column534" queryTableFieldId="534"/>
    <tableColumn id="535" xr3:uid="{2F7C1AF8-8DAB-4C55-901C-886FFAD5664F}" uniqueName="535" name="Column535" queryTableFieldId="535"/>
    <tableColumn id="536" xr3:uid="{907E317B-B68F-4ACA-BE2F-32D74B2BE6FA}" uniqueName="536" name="Column536" queryTableFieldId="536"/>
    <tableColumn id="537" xr3:uid="{DF42A3B6-0801-4D03-881C-7675C718B77F}" uniqueName="537" name="Column537" queryTableFieldId="537"/>
    <tableColumn id="538" xr3:uid="{E6AA512B-53F7-4869-BCC8-7616EEB5C494}" uniqueName="538" name="Column538" queryTableFieldId="538"/>
    <tableColumn id="539" xr3:uid="{44D81094-9058-4571-8363-ED0ACF42D12A}" uniqueName="539" name="Column539" queryTableFieldId="539"/>
    <tableColumn id="540" xr3:uid="{ADC8DBA1-2598-4473-82C1-00E75AF2A0C1}" uniqueName="540" name="Column540" queryTableFieldId="540"/>
    <tableColumn id="541" xr3:uid="{C1C2DD2F-0868-4730-9FB9-790803FE2B96}" uniqueName="541" name="Column541" queryTableFieldId="541"/>
    <tableColumn id="542" xr3:uid="{390A2B18-B302-40F1-BBDE-CC8071A89CF3}" uniqueName="542" name="Column542" queryTableFieldId="542"/>
    <tableColumn id="543" xr3:uid="{50D727C8-E1DB-4ADE-9AC2-2A91ABC2192A}" uniqueName="543" name="Column543" queryTableFieldId="543"/>
    <tableColumn id="544" xr3:uid="{F69F91BF-7FCE-4DE2-B71F-30FBF22325D4}" uniqueName="544" name="Column544" queryTableFieldId="544"/>
    <tableColumn id="545" xr3:uid="{6346CA50-DDE7-4FB4-8752-076E4C577964}" uniqueName="545" name="Column545" queryTableFieldId="545"/>
    <tableColumn id="546" xr3:uid="{1D3B5F8E-8F0B-41FF-9B73-99CE5046366B}" uniqueName="546" name="Column546" queryTableFieldId="546"/>
    <tableColumn id="547" xr3:uid="{91B18085-CD8A-4D0D-9D2E-644D096F2D2A}" uniqueName="547" name="Column547" queryTableFieldId="547"/>
    <tableColumn id="548" xr3:uid="{62E1CC48-EC9F-4C04-907C-DC86C93C4E3A}" uniqueName="548" name="Column548" queryTableFieldId="548"/>
    <tableColumn id="549" xr3:uid="{A60B48EC-65A5-4DE0-9A25-576756ADC62C}" uniqueName="549" name="Column549" queryTableFieldId="549"/>
    <tableColumn id="550" xr3:uid="{FF9CFFB6-B887-49E7-A2F9-4F13DAF59169}" uniqueName="550" name="Column550" queryTableFieldId="550"/>
    <tableColumn id="551" xr3:uid="{819E93BA-297B-46B9-958B-EEDCD1B75C78}" uniqueName="551" name="Column551" queryTableFieldId="551"/>
    <tableColumn id="552" xr3:uid="{F4C10D39-B1C9-4B08-A4BC-693FB1A52982}" uniqueName="552" name="Column552" queryTableFieldId="552"/>
    <tableColumn id="553" xr3:uid="{83C7922B-22E5-4AFE-8DCC-0A4446F65BDF}" uniqueName="553" name="Column553" queryTableFieldId="553"/>
    <tableColumn id="554" xr3:uid="{EAA6E2D9-3968-4B40-BAA6-8CCF5012A8C2}" uniqueName="554" name="Column554" queryTableFieldId="554"/>
    <tableColumn id="555" xr3:uid="{1C163736-A86E-479F-B1B0-05BD4D5D0C18}" uniqueName="555" name="Column555" queryTableFieldId="555"/>
    <tableColumn id="556" xr3:uid="{1394F708-5A1B-4286-B3F3-63DE417D679E}" uniqueName="556" name="Column556" queryTableFieldId="556"/>
    <tableColumn id="557" xr3:uid="{4D0133E2-863F-4C57-9F34-891CF2CC22E9}" uniqueName="557" name="Column557" queryTableFieldId="557"/>
    <tableColumn id="558" xr3:uid="{A57CEC27-3692-4755-B30C-03BDA406C317}" uniqueName="558" name="Column558" queryTableFieldId="558"/>
    <tableColumn id="559" xr3:uid="{6D9C22F2-4D41-4241-AD17-12E8647EDAFF}" uniqueName="559" name="Column559" queryTableFieldId="559"/>
    <tableColumn id="560" xr3:uid="{84615A1E-ED29-4CB7-B0BA-3442BE2F8B07}" uniqueName="560" name="Column560" queryTableFieldId="560"/>
    <tableColumn id="561" xr3:uid="{9BF2006E-54FE-46F9-8397-0EE5BA6C949F}" uniqueName="561" name="Column561" queryTableFieldId="561"/>
    <tableColumn id="562" xr3:uid="{EF82AA7E-288D-4E5B-AAEA-5465E49EC7CA}" uniqueName="562" name="Column562" queryTableFieldId="562"/>
    <tableColumn id="563" xr3:uid="{FB15AEAD-3E8A-4FA2-8D5A-F77255418CA9}" uniqueName="563" name="Column563" queryTableFieldId="563"/>
    <tableColumn id="564" xr3:uid="{800A6B9C-62A8-4C03-919D-9A3739E55E37}" uniqueName="564" name="Column564" queryTableFieldId="564"/>
    <tableColumn id="565" xr3:uid="{6529E155-502D-4123-9A43-2DDB1490CEC5}" uniqueName="565" name="Column565" queryTableFieldId="565"/>
    <tableColumn id="566" xr3:uid="{47C326B9-6491-43C2-A7DB-AD30608F4C64}" uniqueName="566" name="Column566" queryTableFieldId="566"/>
    <tableColumn id="567" xr3:uid="{4A2AADF1-4064-44A1-B4EB-C8BF8B4E8487}" uniqueName="567" name="Column567" queryTableFieldId="567"/>
    <tableColumn id="568" xr3:uid="{AC4CB5A1-6E8C-4942-B61C-06A054B2F80E}" uniqueName="568" name="Column568" queryTableFieldId="568"/>
    <tableColumn id="569" xr3:uid="{F0218A35-5938-407B-8264-F09F5CBEFD6B}" uniqueName="569" name="Column569" queryTableFieldId="569"/>
    <tableColumn id="570" xr3:uid="{BE888FE7-D29B-476B-9779-C9711B84F4E2}" uniqueName="570" name="Column570" queryTableFieldId="570"/>
    <tableColumn id="571" xr3:uid="{C1B43EAC-C4B4-4ED5-A813-CF0D73746C10}" uniqueName="571" name="Column571" queryTableFieldId="571"/>
    <tableColumn id="572" xr3:uid="{1FCC4736-218C-40AF-AB21-FF26DA1739E5}" uniqueName="572" name="Column572" queryTableFieldId="572"/>
    <tableColumn id="573" xr3:uid="{58E2547B-10B8-4621-B9EC-BC58186118F8}" uniqueName="573" name="Column573" queryTableFieldId="573"/>
    <tableColumn id="574" xr3:uid="{66F32DA9-5F9D-4C78-A5FC-E398D63D0C5B}" uniqueName="574" name="Column574" queryTableFieldId="574"/>
    <tableColumn id="575" xr3:uid="{51387FF6-54E0-4CD1-AD19-469361CEFA31}" uniqueName="575" name="Column575" queryTableFieldId="575"/>
    <tableColumn id="576" xr3:uid="{7CA52E11-A250-45DD-B132-2E3287368C92}" uniqueName="576" name="Column576" queryTableFieldId="576"/>
    <tableColumn id="577" xr3:uid="{E01ACDC5-369D-40EF-A729-75C26677C347}" uniqueName="577" name="Column577" queryTableFieldId="577"/>
    <tableColumn id="578" xr3:uid="{E3F2AA69-E4F3-49DE-A361-BD22E1A10CD5}" uniqueName="578" name="Column578" queryTableFieldId="578"/>
    <tableColumn id="579" xr3:uid="{3CCE8638-F2ED-4AB6-845E-987235747587}" uniqueName="579" name="Column579" queryTableFieldId="579"/>
    <tableColumn id="580" xr3:uid="{D7265955-8BDA-4DF9-A4BC-CAB958317005}" uniqueName="580" name="Column580" queryTableFieldId="580"/>
    <tableColumn id="581" xr3:uid="{CE863170-AD75-4A41-B065-EF05D43AA62A}" uniqueName="581" name="Column581" queryTableFieldId="581"/>
    <tableColumn id="582" xr3:uid="{2B6BFA3D-06FA-4635-A87C-8599B8318F72}" uniqueName="582" name="Column582" queryTableFieldId="582"/>
    <tableColumn id="583" xr3:uid="{976002A3-BD2E-46E0-962F-8EA8085B51D1}" uniqueName="583" name="Column583" queryTableFieldId="583"/>
    <tableColumn id="584" xr3:uid="{C74DE997-053F-4385-BFEA-6B7055E0A31F}" uniqueName="584" name="Column584" queryTableFieldId="584"/>
    <tableColumn id="585" xr3:uid="{6ECD37B2-482D-4A6F-AB39-9AA07CFF15B0}" uniqueName="585" name="Column585" queryTableFieldId="585"/>
    <tableColumn id="586" xr3:uid="{A03E7AE9-EE69-40BA-9D3C-4A31F2752EFD}" uniqueName="586" name="Column586" queryTableFieldId="586"/>
    <tableColumn id="587" xr3:uid="{0CA5FBA4-EE6E-4E08-82DA-5106696AF65C}" uniqueName="587" name="Column587" queryTableFieldId="587"/>
    <tableColumn id="588" xr3:uid="{0FE2EE19-74A6-455A-A9B7-47FAA9387F47}" uniqueName="588" name="Column588" queryTableFieldId="588"/>
    <tableColumn id="589" xr3:uid="{DE4BEFC3-41F6-432A-85F5-8B07609B9E04}" uniqueName="589" name="Column589" queryTableFieldId="589"/>
    <tableColumn id="590" xr3:uid="{ACE49BAA-A17A-4087-8A31-373056358E1D}" uniqueName="590" name="Column590" queryTableFieldId="590"/>
    <tableColumn id="591" xr3:uid="{460F9C2B-CDE2-4DFA-992B-695CD545E904}" uniqueName="591" name="Column591" queryTableFieldId="591"/>
    <tableColumn id="592" xr3:uid="{17C53F0B-1BBE-4995-943A-C35467CAB371}" uniqueName="592" name="Column592" queryTableFieldId="592"/>
    <tableColumn id="593" xr3:uid="{384E93F3-FE12-4CF4-8079-9264ADC14EF4}" uniqueName="593" name="Column593" queryTableFieldId="593"/>
    <tableColumn id="594" xr3:uid="{78C81FE8-D155-43DE-9D7A-077BA506F4FA}" uniqueName="594" name="Column594" queryTableFieldId="594"/>
    <tableColumn id="595" xr3:uid="{F5CB4BD5-A926-4A2B-A4B1-EEC0014283EE}" uniqueName="595" name="Column595" queryTableFieldId="595"/>
    <tableColumn id="596" xr3:uid="{B6CB835E-9689-473B-A294-636BA51172F3}" uniqueName="596" name="Column596" queryTableFieldId="596"/>
    <tableColumn id="597" xr3:uid="{FBD0AE1D-2BF3-44D0-B932-66BB630865A5}" uniqueName="597" name="Column597" queryTableFieldId="597"/>
    <tableColumn id="598" xr3:uid="{FCB1B436-5196-42F8-B1E9-A6FB91A8CDDB}" uniqueName="598" name="Column598" queryTableFieldId="598"/>
    <tableColumn id="599" xr3:uid="{7B8B4539-4DD8-4A73-8B44-4CF3FD654ECE}" uniqueName="599" name="Column599" queryTableFieldId="599"/>
    <tableColumn id="600" xr3:uid="{55FA0738-76D1-4703-8109-11696BC04BA1}" uniqueName="600" name="Column600" queryTableFieldId="600"/>
    <tableColumn id="601" xr3:uid="{FEC5379D-15AA-42A8-826E-974AD56CAD64}" uniqueName="601" name="Column601" queryTableFieldId="601"/>
    <tableColumn id="602" xr3:uid="{CC254C28-0F91-4615-8B2D-B5A7838DAF43}" uniqueName="602" name="Column602" queryTableFieldId="602"/>
    <tableColumn id="603" xr3:uid="{6F8F8FD5-5C33-40BD-A1E3-1063FF58FFE1}" uniqueName="603" name="Column603" queryTableFieldId="603"/>
    <tableColumn id="604" xr3:uid="{2615F55D-D063-4BB6-BB31-33B9008CDC84}" uniqueName="604" name="Column604" queryTableFieldId="604"/>
    <tableColumn id="605" xr3:uid="{DAD2CA9F-BD3D-4880-B8FA-55CF1E36A269}" uniqueName="605" name="Column605" queryTableFieldId="605"/>
    <tableColumn id="606" xr3:uid="{B5FD18F3-74BB-402C-A0A8-80AEE4ACB585}" uniqueName="606" name="Column606" queryTableFieldId="606"/>
    <tableColumn id="607" xr3:uid="{4BA4F396-E296-4F72-BBFA-1BC8DA285AD1}" uniqueName="607" name="Column607" queryTableFieldId="607"/>
    <tableColumn id="608" xr3:uid="{4433F761-1629-444D-92B5-EF11196197D1}" uniqueName="608" name="Column608" queryTableFieldId="608"/>
    <tableColumn id="609" xr3:uid="{7648F9B6-25E1-4B02-BC92-0799EC4BB062}" uniqueName="609" name="Column609" queryTableFieldId="609"/>
    <tableColumn id="610" xr3:uid="{2CC4416F-FB0E-4A71-A48C-9A1A8FBD6008}" uniqueName="610" name="Column610" queryTableFieldId="610"/>
    <tableColumn id="611" xr3:uid="{8F7D94F2-4AD8-4956-AD63-6F793E995578}" uniqueName="611" name="Column611" queryTableFieldId="611"/>
    <tableColumn id="612" xr3:uid="{BC523F48-31AA-4ABC-8B93-EBB557B37477}" uniqueName="612" name="Column612" queryTableFieldId="612"/>
    <tableColumn id="613" xr3:uid="{4CFCC0B9-B74C-4CF7-9775-B7B61F48DD96}" uniqueName="613" name="Column613" queryTableFieldId="613"/>
    <tableColumn id="614" xr3:uid="{0413BD78-BA5F-4B5C-BC42-C3FFDEAAD581}" uniqueName="614" name="Column614" queryTableFieldId="614"/>
    <tableColumn id="615" xr3:uid="{7843A32F-20F3-4401-B6D2-7A3575AF9044}" uniqueName="615" name="Column615" queryTableFieldId="615"/>
    <tableColumn id="616" xr3:uid="{1D8BC26F-BC73-4B88-AE00-535DEC99CA1B}" uniqueName="616" name="Column616" queryTableFieldId="616"/>
    <tableColumn id="617" xr3:uid="{EC80AD9A-37B6-42E5-A743-D9921948F01C}" uniqueName="617" name="Column617" queryTableFieldId="617"/>
    <tableColumn id="618" xr3:uid="{ED1DF1C9-34CA-4D13-BAC7-78D3473AE6FD}" uniqueName="618" name="Column618" queryTableFieldId="618"/>
    <tableColumn id="619" xr3:uid="{6ECA04EB-1731-4C34-8214-834EAE9A54EA}" uniqueName="619" name="Column619" queryTableFieldId="619"/>
    <tableColumn id="620" xr3:uid="{18D638B8-66DC-45E0-82C4-C8C25B18BE72}" uniqueName="620" name="Column620" queryTableFieldId="620"/>
    <tableColumn id="621" xr3:uid="{FB377F41-41E0-4A34-97C0-66EE5E63B30D}" uniqueName="621" name="Column621" queryTableFieldId="621"/>
    <tableColumn id="622" xr3:uid="{F3816429-B037-44DE-8087-1B78971D4339}" uniqueName="622" name="Column622" queryTableFieldId="622"/>
    <tableColumn id="623" xr3:uid="{21DEEB0A-E9E3-4D1D-A67B-4CB5BD9F2C9B}" uniqueName="623" name="Column623" queryTableFieldId="623"/>
    <tableColumn id="624" xr3:uid="{856460FD-97E1-4AF7-98A0-509411125D84}" uniqueName="624" name="Column624" queryTableFieldId="624"/>
    <tableColumn id="625" xr3:uid="{FE94927E-F111-405D-9E5F-70A218C026BC}" uniqueName="625" name="Column625" queryTableFieldId="625"/>
    <tableColumn id="626" xr3:uid="{FAFC4540-B422-40D0-B884-BF8B81CB9773}" uniqueName="626" name="Column626" queryTableFieldId="626"/>
    <tableColumn id="627" xr3:uid="{9D545474-A6F9-4F50-93C6-92BB9CD1CE4F}" uniqueName="627" name="Column627" queryTableFieldId="627"/>
    <tableColumn id="628" xr3:uid="{1B08579F-DBFD-4BAF-873B-D3BD3916951F}" uniqueName="628" name="Column628" queryTableFieldId="628"/>
    <tableColumn id="629" xr3:uid="{6063428C-0201-4EBD-A57A-869591311A85}" uniqueName="629" name="Column629" queryTableFieldId="629"/>
    <tableColumn id="630" xr3:uid="{2A5FCE87-B216-4E8B-80E3-E615F52A9D67}" uniqueName="630" name="Column630" queryTableFieldId="630"/>
    <tableColumn id="631" xr3:uid="{A5B6A9C4-D367-492A-828F-80D1D3DEBF6C}" uniqueName="631" name="Column631" queryTableFieldId="631"/>
    <tableColumn id="632" xr3:uid="{E130A1D0-C237-45AD-90E2-14FF028736F9}" uniqueName="632" name="Column632" queryTableFieldId="632"/>
    <tableColumn id="633" xr3:uid="{A6B7E4B0-E803-434F-B299-4D0E39628720}" uniqueName="633" name="Column633" queryTableFieldId="633"/>
    <tableColumn id="634" xr3:uid="{6BC02440-ACB0-4BF6-82B2-6BB0BE02B6C8}" uniqueName="634" name="Column634" queryTableFieldId="634"/>
    <tableColumn id="635" xr3:uid="{99F7C85A-0E25-4CFD-8054-AEC02BA24F3A}" uniqueName="635" name="Column635" queryTableFieldId="635"/>
    <tableColumn id="636" xr3:uid="{D1FDC252-559F-492F-A2C3-9EFC81E1A2D7}" uniqueName="636" name="Column636" queryTableFieldId="636"/>
    <tableColumn id="637" xr3:uid="{CD88EF8A-37DE-4398-A437-BA8C8258BC0C}" uniqueName="637" name="Column637" queryTableFieldId="637"/>
    <tableColumn id="638" xr3:uid="{854AEA5D-FF9D-4ACD-AD49-D4E5627C96FD}" uniqueName="638" name="Column638" queryTableFieldId="638"/>
    <tableColumn id="639" xr3:uid="{9CB8049C-AC5C-4818-9E1D-E0BB4B212A58}" uniqueName="639" name="Column639" queryTableFieldId="639"/>
    <tableColumn id="640" xr3:uid="{79FE09DE-D9AA-472B-B77B-1516B4E90B4A}" uniqueName="640" name="Column640" queryTableFieldId="640"/>
    <tableColumn id="641" xr3:uid="{8C8025D3-3A1D-4752-ABA6-F243B52D6E10}" uniqueName="641" name="Column641" queryTableFieldId="641"/>
    <tableColumn id="642" xr3:uid="{FDC46EA0-6AA4-4CC5-B7BA-F7A289DCAE44}" uniqueName="642" name="Column642" queryTableFieldId="642"/>
    <tableColumn id="643" xr3:uid="{56C72AAE-62C9-43A6-85E6-4294ED9EA09C}" uniqueName="643" name="Column643" queryTableFieldId="643"/>
    <tableColumn id="644" xr3:uid="{69DCAF75-502C-4741-8FD9-8C0E58D804E9}" uniqueName="644" name="Column644" queryTableFieldId="644"/>
    <tableColumn id="645" xr3:uid="{A38D2E68-5D00-4F4F-BFA0-26ABF7145C06}" uniqueName="645" name="Column645" queryTableFieldId="645"/>
    <tableColumn id="646" xr3:uid="{05799E82-59D5-4C81-8927-FFB2E2120BA7}" uniqueName="646" name="Column646" queryTableFieldId="646"/>
    <tableColumn id="647" xr3:uid="{2852F25F-8CC2-4768-B553-E43B7E3B8CD7}" uniqueName="647" name="Column647" queryTableFieldId="647"/>
    <tableColumn id="648" xr3:uid="{A0F17AD2-D87E-4BFB-B13E-76689305E18B}" uniqueName="648" name="Column648" queryTableFieldId="648"/>
    <tableColumn id="649" xr3:uid="{E982D41B-B865-4905-8999-858065FD644B}" uniqueName="649" name="Column649" queryTableFieldId="649"/>
    <tableColumn id="650" xr3:uid="{FEAAA73F-9B32-4811-BB72-282EDBAE6422}" uniqueName="650" name="Column650" queryTableFieldId="650"/>
    <tableColumn id="651" xr3:uid="{F3917912-42A5-4692-8BE8-99193CC64DD6}" uniqueName="651" name="Column651" queryTableFieldId="651"/>
    <tableColumn id="652" xr3:uid="{3C060687-7404-4743-B57B-13508C6857E0}" uniqueName="652" name="Column652" queryTableFieldId="652"/>
    <tableColumn id="653" xr3:uid="{C87811DF-70C2-4B88-82D4-CD108A01E95C}" uniqueName="653" name="Column653" queryTableFieldId="653"/>
    <tableColumn id="654" xr3:uid="{749E1493-CCBB-4D57-A781-A97FFAA21DA4}" uniqueName="654" name="Column654" queryTableFieldId="654"/>
    <tableColumn id="655" xr3:uid="{095B8134-59D6-41EA-A32B-AC9946FB9A5B}" uniqueName="655" name="Column655" queryTableFieldId="655"/>
    <tableColumn id="656" xr3:uid="{9E387227-F773-45F2-BAD3-4D0B50C8CC8E}" uniqueName="656" name="Column656" queryTableFieldId="656"/>
    <tableColumn id="657" xr3:uid="{C680E91C-7678-435C-B06A-EEDB81BB7CF6}" uniqueName="657" name="Column657" queryTableFieldId="657"/>
    <tableColumn id="658" xr3:uid="{A1030C1A-D045-4E94-9186-9260BB3E0904}" uniqueName="658" name="Column658" queryTableFieldId="658"/>
    <tableColumn id="659" xr3:uid="{AB4AD358-CA57-4C68-BC19-8F3C83596458}" uniqueName="659" name="Column659" queryTableFieldId="659"/>
    <tableColumn id="660" xr3:uid="{84223380-ECD7-4B3B-AC00-4884034797C4}" uniqueName="660" name="Column660" queryTableFieldId="660"/>
    <tableColumn id="661" xr3:uid="{A2A780E2-7236-4BD9-B29C-DA6873010B5B}" uniqueName="661" name="Column661" queryTableFieldId="661"/>
    <tableColumn id="662" xr3:uid="{5E3B3818-26EC-4D51-8E0A-428B2CFFD233}" uniqueName="662" name="Column662" queryTableFieldId="662"/>
    <tableColumn id="663" xr3:uid="{136322DE-9066-4C1F-893A-A49F44FABE5F}" uniqueName="663" name="Column663" queryTableFieldId="663"/>
    <tableColumn id="664" xr3:uid="{72DCE528-E794-4329-811F-233C4C9B76EC}" uniqueName="664" name="Column664" queryTableFieldId="664"/>
    <tableColumn id="665" xr3:uid="{B725B8D1-CC49-4094-8355-8C8647096838}" uniqueName="665" name="Column665" queryTableFieldId="665"/>
    <tableColumn id="666" xr3:uid="{33F5E0C4-0BF8-4FD8-8BA4-94F8F105E0C3}" uniqueName="666" name="Column666" queryTableFieldId="666"/>
    <tableColumn id="667" xr3:uid="{8B2A64D5-9C7E-4503-933E-35F9F0805C29}" uniqueName="667" name="Column667" queryTableFieldId="667"/>
    <tableColumn id="668" xr3:uid="{A7FCCB1D-E943-4AE0-A72C-90E73CB2ACD2}" uniqueName="668" name="Column668" queryTableFieldId="668"/>
    <tableColumn id="669" xr3:uid="{731F17F7-98D0-42FA-92C8-91AAAA2C47BD}" uniqueName="669" name="Column669" queryTableFieldId="669"/>
    <tableColumn id="670" xr3:uid="{356152F1-F601-4B78-8636-1BAC3C258817}" uniqueName="670" name="Column670" queryTableFieldId="670"/>
    <tableColumn id="671" xr3:uid="{6A7E8971-661C-4EAD-94A2-6119BA60FFF9}" uniqueName="671" name="Column671" queryTableFieldId="671"/>
    <tableColumn id="672" xr3:uid="{FFA7E64B-87DE-4AB7-8473-FB750D600B00}" uniqueName="672" name="Column672" queryTableFieldId="672"/>
    <tableColumn id="673" xr3:uid="{9FBDB10D-1AD2-4BEC-A625-D6C3FF2E1B52}" uniqueName="673" name="Column673" queryTableFieldId="673"/>
    <tableColumn id="674" xr3:uid="{B0A1557E-D281-4C52-B06C-C6F9CCB58D22}" uniqueName="674" name="Column674" queryTableFieldId="674"/>
    <tableColumn id="675" xr3:uid="{EBF49155-2F90-4329-B821-B1D07DEE3E35}" uniqueName="675" name="Column675" queryTableFieldId="675"/>
    <tableColumn id="676" xr3:uid="{4267971E-9D7D-485C-A68B-11C5114DC282}" uniqueName="676" name="Column676" queryTableFieldId="676"/>
    <tableColumn id="677" xr3:uid="{FD78E77B-C0FC-47C1-8702-63DB5D04134B}" uniqueName="677" name="Column677" queryTableFieldId="677"/>
    <tableColumn id="678" xr3:uid="{888C0A88-D372-4C6F-B831-F1F52C99C656}" uniqueName="678" name="Column678" queryTableFieldId="678"/>
    <tableColumn id="679" xr3:uid="{16DDC1BF-2D7D-4E5A-B4B4-2EF52056958B}" uniqueName="679" name="Column679" queryTableFieldId="679"/>
    <tableColumn id="680" xr3:uid="{EC367E42-8082-4009-BEA2-FE2B5404C7CB}" uniqueName="680" name="Column680" queryTableFieldId="680"/>
    <tableColumn id="681" xr3:uid="{3D04BFF8-F826-464A-8C44-384C2B7C86C5}" uniqueName="681" name="Column681" queryTableFieldId="681"/>
    <tableColumn id="682" xr3:uid="{C425D76D-E826-4B96-B3A4-E706089CE4E7}" uniqueName="682" name="Column682" queryTableFieldId="682"/>
    <tableColumn id="683" xr3:uid="{38A8D13C-A6BC-450D-B987-170A78C6901F}" uniqueName="683" name="Column683" queryTableFieldId="683"/>
    <tableColumn id="684" xr3:uid="{28DE55A2-4189-4964-87C2-DA90E3714CFD}" uniqueName="684" name="Column684" queryTableFieldId="684"/>
    <tableColumn id="685" xr3:uid="{4ED24512-2640-41E9-89A5-695B3F2A2FA0}" uniqueName="685" name="Column685" queryTableFieldId="685"/>
    <tableColumn id="686" xr3:uid="{9B6CED68-728B-47CF-B2BE-6B7D9329730C}" uniqueName="686" name="Column686" queryTableFieldId="686"/>
    <tableColumn id="687" xr3:uid="{1E418826-4A89-4E89-A8B4-9DBEE74DCDE7}" uniqueName="687" name="Column687" queryTableFieldId="687"/>
    <tableColumn id="688" xr3:uid="{6F94524E-81AD-4CC4-BD36-6CF3E889474A}" uniqueName="688" name="Column688" queryTableFieldId="688"/>
    <tableColumn id="689" xr3:uid="{2FEB66A3-57E9-4BD4-BA96-3E5C97E7C69A}" uniqueName="689" name="Column689" queryTableFieldId="689"/>
    <tableColumn id="690" xr3:uid="{06CE7FA0-6F3E-4DCD-9E49-F5E39329CEA1}" uniqueName="690" name="Column690" queryTableFieldId="690"/>
    <tableColumn id="691" xr3:uid="{E1049B45-780E-42E6-A368-A22C817CD111}" uniqueName="691" name="Column691" queryTableFieldId="691"/>
    <tableColumn id="692" xr3:uid="{28998FA8-D58F-467E-B076-1D822B2ED7FB}" uniqueName="692" name="Column692" queryTableFieldId="692"/>
    <tableColumn id="693" xr3:uid="{C5D355D8-5E94-4966-AF85-9FBA30B0CC07}" uniqueName="693" name="Column693" queryTableFieldId="693"/>
    <tableColumn id="694" xr3:uid="{E686677A-65B3-45B1-A2B9-0D8DF2611469}" uniqueName="694" name="Column694" queryTableFieldId="694"/>
    <tableColumn id="695" xr3:uid="{A501530C-3776-4075-8616-309DDF2A9CD9}" uniqueName="695" name="Column695" queryTableFieldId="695"/>
    <tableColumn id="696" xr3:uid="{1F0B81AB-76F3-47CE-B4E4-763ED90D03A4}" uniqueName="696" name="Column696" queryTableFieldId="696"/>
    <tableColumn id="697" xr3:uid="{47671D1B-4FE7-4BF4-A5D9-3AD1C72D9D3D}" uniqueName="697" name="Column697" queryTableFieldId="697"/>
    <tableColumn id="698" xr3:uid="{A05A64BD-FCC2-4446-BBC0-B2ACE939CF09}" uniqueName="698" name="Column698" queryTableFieldId="698"/>
    <tableColumn id="699" xr3:uid="{91F1268D-4C91-40A7-BB34-5A7266750E8B}" uniqueName="699" name="Column699" queryTableFieldId="699"/>
    <tableColumn id="700" xr3:uid="{BDBA35E8-0A16-40EE-9144-B867E8A9846A}" uniqueName="700" name="Column700" queryTableFieldId="700"/>
    <tableColumn id="701" xr3:uid="{C6AC1D48-6787-49B3-8471-CA38EFF1CD0F}" uniqueName="701" name="Column701" queryTableFieldId="701"/>
    <tableColumn id="702" xr3:uid="{4CACE833-4249-4E96-A468-05501879F773}" uniqueName="702" name="Column702" queryTableFieldId="702"/>
    <tableColumn id="703" xr3:uid="{41F88889-1397-4FD5-BBC5-7451625AF042}" uniqueName="703" name="Column703" queryTableFieldId="703"/>
    <tableColumn id="704" xr3:uid="{AA33CFB3-91EC-40ED-BD78-7DCCAA6744E7}" uniqueName="704" name="Column704" queryTableFieldId="704"/>
    <tableColumn id="705" xr3:uid="{B533FBA9-709C-4290-AC1E-A623675136AD}" uniqueName="705" name="Column705" queryTableFieldId="705"/>
    <tableColumn id="706" xr3:uid="{8EEFA8D0-D273-4A2D-867C-B2483BBFC31B}" uniqueName="706" name="Column706" queryTableFieldId="706"/>
    <tableColumn id="707" xr3:uid="{F7AF7900-F02F-4DFB-AA91-601F26E10211}" uniqueName="707" name="Column707" queryTableFieldId="707"/>
    <tableColumn id="708" xr3:uid="{2453042D-5D4A-4B7F-A0E8-3BD0A5C11C74}" uniqueName="708" name="Column708" queryTableFieldId="708"/>
    <tableColumn id="709" xr3:uid="{819708BC-4716-47CF-8A76-BB60E62B7B92}" uniqueName="709" name="Column709" queryTableFieldId="709"/>
    <tableColumn id="710" xr3:uid="{218FFFE2-A360-46E3-877B-D6E181210F13}" uniqueName="710" name="Column710" queryTableFieldId="710"/>
    <tableColumn id="711" xr3:uid="{34113446-C47B-4281-95E2-D8B6BFB5E8D4}" uniqueName="711" name="Column711" queryTableFieldId="711"/>
    <tableColumn id="712" xr3:uid="{B85015A9-B4BA-4184-88DF-468A688BAFE0}" uniqueName="712" name="Column712" queryTableFieldId="712"/>
    <tableColumn id="713" xr3:uid="{7ACCF740-593F-42BA-B434-A4120575CE59}" uniqueName="713" name="Column713" queryTableFieldId="713"/>
    <tableColumn id="714" xr3:uid="{3C683E59-C5B8-4344-B990-5DC3E2DA532A}" uniqueName="714" name="Column714" queryTableFieldId="714"/>
    <tableColumn id="715" xr3:uid="{4A061BEF-D8CF-47CB-9D50-D8DF1C75E254}" uniqueName="715" name="Column715" queryTableFieldId="715"/>
    <tableColumn id="716" xr3:uid="{C58BE671-4DC8-4A20-8935-36D186AEEDBE}" uniqueName="716" name="Column716" queryTableFieldId="716"/>
    <tableColumn id="717" xr3:uid="{18AD9963-8E78-4D26-B358-BD1360F74EF7}" uniqueName="717" name="Column717" queryTableFieldId="717"/>
    <tableColumn id="718" xr3:uid="{80EC162C-B09A-4516-9CCE-0E9024887B25}" uniqueName="718" name="Column718" queryTableFieldId="718"/>
    <tableColumn id="719" xr3:uid="{2DAEE701-0886-4063-9403-7A0AC6B4C1D2}" uniqueName="719" name="Column719" queryTableFieldId="719"/>
    <tableColumn id="720" xr3:uid="{880F8082-3768-4CB6-8AF6-5C8DDFA810C5}" uniqueName="720" name="Column720" queryTableFieldId="720"/>
    <tableColumn id="721" xr3:uid="{E32EB04D-02D2-4C96-BC40-EEC87DF1C0BC}" uniqueName="721" name="Column721" queryTableFieldId="721"/>
    <tableColumn id="722" xr3:uid="{151AF151-2B5C-4863-B277-7401231D40A6}" uniqueName="722" name="Column722" queryTableFieldId="722"/>
    <tableColumn id="723" xr3:uid="{83EA81FE-1C65-4F8E-800F-39A580481A50}" uniqueName="723" name="Column723" queryTableFieldId="723"/>
    <tableColumn id="724" xr3:uid="{F45FC094-53AC-4A02-8A04-4335A5951279}" uniqueName="724" name="Column724" queryTableFieldId="724"/>
    <tableColumn id="725" xr3:uid="{BC4B9E43-422D-4C99-AC26-957DC28BBD17}" uniqueName="725" name="Column725" queryTableFieldId="725"/>
    <tableColumn id="726" xr3:uid="{6E6834E5-A418-467C-A259-98A80E5915A2}" uniqueName="726" name="Column726" queryTableFieldId="726"/>
    <tableColumn id="727" xr3:uid="{255E3DD9-5DB0-4AE1-8E29-88602533F080}" uniqueName="727" name="Column727" queryTableFieldId="727"/>
    <tableColumn id="728" xr3:uid="{42C964F9-1D91-485F-B4DF-233AD554725E}" uniqueName="728" name="Column728" queryTableFieldId="728"/>
    <tableColumn id="729" xr3:uid="{20EEA774-E36C-40CE-84F2-9B10DEB34ED7}" uniqueName="729" name="Column729" queryTableFieldId="729"/>
    <tableColumn id="730" xr3:uid="{6CDF6DBA-5B97-424A-93DF-F19D3538F7F8}" uniqueName="730" name="Column730" queryTableFieldId="730"/>
    <tableColumn id="731" xr3:uid="{C256AA53-1872-48A5-9562-683515D41185}" uniqueName="731" name="Column731" queryTableFieldId="731"/>
    <tableColumn id="732" xr3:uid="{19C91D2C-CA80-480E-BD8D-C537194F39D2}" uniqueName="732" name="Column732" queryTableFieldId="732"/>
    <tableColumn id="733" xr3:uid="{BB80CD63-0D82-48E8-B911-C6F53B9CF611}" uniqueName="733" name="Column733" queryTableFieldId="733"/>
    <tableColumn id="734" xr3:uid="{8CE82CC1-CD8B-43D8-B4CC-06CB266C606B}" uniqueName="734" name="Column734" queryTableFieldId="734"/>
    <tableColumn id="735" xr3:uid="{46EE9C46-5E30-40F5-A467-1AE934D335E1}" uniqueName="735" name="Column735" queryTableFieldId="735"/>
    <tableColumn id="736" xr3:uid="{56CAF636-7215-44E5-B4F4-D74BD9F1A871}" uniqueName="736" name="Column736" queryTableFieldId="736"/>
    <tableColumn id="737" xr3:uid="{AFD91F83-FF5C-49F3-BB0F-381A1C4CB4C0}" uniqueName="737" name="Column737" queryTableFieldId="737"/>
    <tableColumn id="738" xr3:uid="{D4EA3CC2-EF13-4A12-8F88-CCBF7F14E690}" uniqueName="738" name="Column738" queryTableFieldId="738"/>
    <tableColumn id="739" xr3:uid="{BDCEB624-D674-4D9D-8659-419F39D211D6}" uniqueName="739" name="Column739" queryTableFieldId="739"/>
    <tableColumn id="740" xr3:uid="{A1579DCC-2B75-4B0C-9D15-7C2B0C72FC34}" uniqueName="740" name="Column740" queryTableFieldId="740"/>
    <tableColumn id="741" xr3:uid="{82BF874A-090C-47D7-B47E-9297D10EA7CD}" uniqueName="741" name="Column741" queryTableFieldId="741"/>
    <tableColumn id="742" xr3:uid="{792378E1-6B69-433C-80B9-245EF4A28DE4}" uniqueName="742" name="Column742" queryTableFieldId="742"/>
    <tableColumn id="743" xr3:uid="{3093F7AD-E67E-41AD-82DB-0E7844912BFC}" uniqueName="743" name="Column743" queryTableFieldId="743"/>
    <tableColumn id="744" xr3:uid="{F1F217AB-F25F-4787-B56F-1D2804EF5566}" uniqueName="744" name="Column744" queryTableFieldId="744"/>
    <tableColumn id="745" xr3:uid="{9CE9DF49-8CEE-41C9-AA71-747491AD68CA}" uniqueName="745" name="Column745" queryTableFieldId="745"/>
    <tableColumn id="746" xr3:uid="{28BB9CA9-EF92-48B5-8CB3-08B9DE61DAA5}" uniqueName="746" name="Column746" queryTableFieldId="746"/>
    <tableColumn id="747" xr3:uid="{EC5C91F2-A7BE-40F3-92D2-49C00A00408D}" uniqueName="747" name="Column747" queryTableFieldId="747"/>
    <tableColumn id="748" xr3:uid="{6AA89E72-B88E-4C47-9014-FA0DCC27D838}" uniqueName="748" name="Column748" queryTableFieldId="748"/>
    <tableColumn id="749" xr3:uid="{5C6845A4-9B65-4AFE-9E22-27DF12BA4F9E}" uniqueName="749" name="Column749" queryTableFieldId="749"/>
    <tableColumn id="750" xr3:uid="{F21F0609-C298-4701-AA73-76AE88B2746D}" uniqueName="750" name="Column750" queryTableFieldId="750"/>
    <tableColumn id="751" xr3:uid="{3FA97ADE-C47C-4120-8447-36D210F7293B}" uniqueName="751" name="Column751" queryTableFieldId="751"/>
    <tableColumn id="752" xr3:uid="{F50EA8B3-24FE-406F-BE44-5394DA34F089}" uniqueName="752" name="Column752" queryTableFieldId="752"/>
    <tableColumn id="753" xr3:uid="{A3E657B1-F989-4E9E-8785-9578ECF4C59B}" uniqueName="753" name="Column753" queryTableFieldId="753"/>
    <tableColumn id="754" xr3:uid="{3AF39960-F036-42BD-9223-EFFC0E77F3B2}" uniqueName="754" name="Column754" queryTableFieldId="754"/>
    <tableColumn id="755" xr3:uid="{138804A8-0FFE-4C58-88E6-6DA07729D2F9}" uniqueName="755" name="Column755" queryTableFieldId="755"/>
    <tableColumn id="756" xr3:uid="{369BBE18-9389-42A5-9534-251BB25C6319}" uniqueName="756" name="Column756" queryTableFieldId="756"/>
    <tableColumn id="757" xr3:uid="{D993EA0A-1951-4AAE-955B-B0F9A7584AA2}" uniqueName="757" name="Column757" queryTableFieldId="757"/>
    <tableColumn id="758" xr3:uid="{DEA79FBB-8176-4A8E-B78E-E1FEA92EC64E}" uniqueName="758" name="Column758" queryTableFieldId="758"/>
    <tableColumn id="759" xr3:uid="{A9C60E6B-DDD5-47D9-9C38-68DED6C78EA6}" uniqueName="759" name="Column759" queryTableFieldId="759"/>
    <tableColumn id="760" xr3:uid="{1F24E97C-AD53-42D5-8162-6DA2978D9493}" uniqueName="760" name="Column760" queryTableFieldId="760"/>
    <tableColumn id="761" xr3:uid="{2BA1EFC6-4EEB-4F85-9985-813A6660B1D6}" uniqueName="761" name="Column761" queryTableFieldId="761"/>
    <tableColumn id="762" xr3:uid="{4F8146BF-A7EC-40A1-8FFA-8FE1E00504B7}" uniqueName="762" name="Column762" queryTableFieldId="762"/>
    <tableColumn id="763" xr3:uid="{C82772BF-66C6-4479-AF7C-A83356CF4C43}" uniqueName="763" name="Column763" queryTableFieldId="763"/>
    <tableColumn id="764" xr3:uid="{952148AF-39F5-4C75-920C-B7D69AC3F343}" uniqueName="764" name="Column764" queryTableFieldId="764"/>
    <tableColumn id="765" xr3:uid="{DE19D932-43B2-45BC-BF52-99FCC8E8A037}" uniqueName="765" name="Column765" queryTableFieldId="765"/>
    <tableColumn id="766" xr3:uid="{126036F9-02F6-41B6-AFFC-0337E54FC6F5}" uniqueName="766" name="Column766" queryTableFieldId="766"/>
    <tableColumn id="767" xr3:uid="{E3231ED1-7321-4F81-BA97-920463F8FD91}" uniqueName="767" name="Column767" queryTableFieldId="767"/>
    <tableColumn id="768" xr3:uid="{591E7D15-084B-412B-82BD-FF75ABE8A86F}" uniqueName="768" name="Column768" queryTableFieldId="768"/>
    <tableColumn id="769" xr3:uid="{27800D22-5136-4BF4-9AA0-4DDF5AD40F0A}" uniqueName="769" name="Column769" queryTableFieldId="769"/>
    <tableColumn id="770" xr3:uid="{D47920C7-4ED0-4453-AF7B-EAACD44CE730}" uniqueName="770" name="Column770" queryTableFieldId="770"/>
    <tableColumn id="771" xr3:uid="{262B837D-2B5C-4C93-9AF4-C752FFE4451F}" uniqueName="771" name="Column771" queryTableFieldId="771"/>
    <tableColumn id="772" xr3:uid="{2183BE70-1367-4A26-A86D-3EF1F635E58B}" uniqueName="772" name="Column772" queryTableFieldId="772"/>
    <tableColumn id="773" xr3:uid="{41D11D0F-2F40-4B9F-B5B1-3AEFA0A2B876}" uniqueName="773" name="Column773" queryTableFieldId="773"/>
    <tableColumn id="774" xr3:uid="{281B17B2-8659-400B-98DB-B77985532DFD}" uniqueName="774" name="Column774" queryTableFieldId="774"/>
    <tableColumn id="775" xr3:uid="{1E9480A3-300A-49ED-A743-6ADA9E55AA1F}" uniqueName="775" name="Column775" queryTableFieldId="775"/>
    <tableColumn id="776" xr3:uid="{E0188F3B-9994-41FE-92EE-8AAB3C1B2DA3}" uniqueName="776" name="Column776" queryTableFieldId="776"/>
    <tableColumn id="777" xr3:uid="{8793E45D-7D79-4867-AAD9-D62C79C607F6}" uniqueName="777" name="Column777" queryTableFieldId="777"/>
    <tableColumn id="778" xr3:uid="{0A4EC203-FFBE-465A-A386-5F61B3E76B05}" uniqueName="778" name="Column778" queryTableFieldId="778"/>
    <tableColumn id="779" xr3:uid="{231BF7F6-7DA4-4F7B-BAB9-6D7D28C464E3}" uniqueName="779" name="Column779" queryTableFieldId="779"/>
    <tableColumn id="780" xr3:uid="{9D93158E-7CDF-4305-BD1B-E4F3B7915090}" uniqueName="780" name="Column780" queryTableFieldId="780"/>
    <tableColumn id="781" xr3:uid="{8D5DCBFF-A14F-4A61-854B-6260758E825E}" uniqueName="781" name="Column781" queryTableFieldId="781"/>
    <tableColumn id="782" xr3:uid="{3E138535-3159-4AA5-B446-FD3B716A4AB3}" uniqueName="782" name="Column782" queryTableFieldId="782"/>
    <tableColumn id="783" xr3:uid="{DA808FD2-905D-4C93-860F-528C5767A589}" uniqueName="783" name="Column783" queryTableFieldId="783"/>
    <tableColumn id="784" xr3:uid="{736F8CFD-F6DC-46F9-893E-381388974BF3}" uniqueName="784" name="Column784" queryTableFieldId="784"/>
    <tableColumn id="785" xr3:uid="{1385F01D-8CB6-4E68-877A-79F9AC5673E5}" uniqueName="785" name="Column785" queryTableFieldId="785"/>
    <tableColumn id="786" xr3:uid="{00FD029D-0D96-4509-89B8-0B9474099F48}" uniqueName="786" name="Column786" queryTableFieldId="786"/>
    <tableColumn id="787" xr3:uid="{DB97BBC2-328C-470F-B591-BC8649AFF576}" uniqueName="787" name="Column787" queryTableFieldId="787"/>
    <tableColumn id="788" xr3:uid="{DA9507D6-51B5-4034-BFCE-C494963A0938}" uniqueName="788" name="Column788" queryTableFieldId="788"/>
    <tableColumn id="789" xr3:uid="{0901701E-37B6-4C3B-91C1-BC8DC40F4F48}" uniqueName="789" name="Column789" queryTableFieldId="789"/>
    <tableColumn id="790" xr3:uid="{ABC632AE-A5E8-4077-AD01-565A5564BC4D}" uniqueName="790" name="Column790" queryTableFieldId="790"/>
    <tableColumn id="791" xr3:uid="{0E92C288-3E0F-42E1-896E-C7A1597DCE20}" uniqueName="791" name="Column791" queryTableFieldId="791"/>
    <tableColumn id="792" xr3:uid="{B1003BDE-7AB1-4447-BE2F-2ADBCD5EBE44}" uniqueName="792" name="Column792" queryTableFieldId="792"/>
    <tableColumn id="793" xr3:uid="{3537953C-648C-4876-A6EB-536F09ED9003}" uniqueName="793" name="Column793" queryTableFieldId="793"/>
    <tableColumn id="794" xr3:uid="{D51A6408-A390-4B45-AEA1-E8EACF8B415E}" uniqueName="794" name="Column794" queryTableFieldId="794"/>
    <tableColumn id="795" xr3:uid="{5549E01C-DA4C-4DDC-A0ED-13D1BC5ED31B}" uniqueName="795" name="Column795" queryTableFieldId="795"/>
    <tableColumn id="796" xr3:uid="{1A4983FD-1A76-4712-9291-E16A7B95846B}" uniqueName="796" name="Column796" queryTableFieldId="796"/>
    <tableColumn id="797" xr3:uid="{07C45B04-1514-45AF-8501-86A288D851A3}" uniqueName="797" name="Column797" queryTableFieldId="797"/>
    <tableColumn id="798" xr3:uid="{92B114FE-C732-44DC-AB64-77E3AB3DAA6E}" uniqueName="798" name="Column798" queryTableFieldId="798"/>
    <tableColumn id="799" xr3:uid="{3C026C02-B601-46D3-B122-D9566913CB35}" uniqueName="799" name="Column799" queryTableFieldId="799"/>
    <tableColumn id="800" xr3:uid="{628569BC-673C-4B38-B925-2A91FDF68384}" uniqueName="800" name="Column800" queryTableFieldId="800"/>
    <tableColumn id="801" xr3:uid="{C18CF96F-AE34-4FD2-B543-ACF9CCA72922}" uniqueName="801" name="Column801" queryTableFieldId="801"/>
    <tableColumn id="802" xr3:uid="{385D2A72-B0B3-49FE-8F30-E4F34F4E5E93}" uniqueName="802" name="Column802" queryTableFieldId="802"/>
    <tableColumn id="803" xr3:uid="{E6A333BE-73F1-437A-9D16-368B9D39BD0D}" uniqueName="803" name="Column803" queryTableFieldId="803"/>
    <tableColumn id="804" xr3:uid="{A031F945-11FA-433F-A4C8-5BE1E5E3DF70}" uniqueName="804" name="Column804" queryTableFieldId="804"/>
    <tableColumn id="805" xr3:uid="{E44F2B42-CA1D-496E-B17D-015D4CC758DB}" uniqueName="805" name="Column805" queryTableFieldId="805"/>
    <tableColumn id="806" xr3:uid="{66E8ABB4-3397-4EA4-AE1E-AAE678844242}" uniqueName="806" name="Column806" queryTableFieldId="806"/>
    <tableColumn id="807" xr3:uid="{14837673-F700-4A1F-A636-47ACDF9AB98C}" uniqueName="807" name="Column807" queryTableFieldId="807"/>
    <tableColumn id="808" xr3:uid="{CA762FEC-EFD7-4FFB-B291-47153B152376}" uniqueName="808" name="Column808" queryTableFieldId="808"/>
    <tableColumn id="809" xr3:uid="{B2A3358C-BF77-4EC5-8A96-77323B10FDE6}" uniqueName="809" name="Column809" queryTableFieldId="809"/>
    <tableColumn id="810" xr3:uid="{30791C8D-FF05-4323-AD31-2150E35DC148}" uniqueName="810" name="Column810" queryTableFieldId="810"/>
    <tableColumn id="811" xr3:uid="{94FE1ABA-D059-413F-B6EE-02276251B25F}" uniqueName="811" name="Column811" queryTableFieldId="811"/>
    <tableColumn id="812" xr3:uid="{97BA9AD3-D7FF-421D-A0DD-30332D07BECA}" uniqueName="812" name="Column812" queryTableFieldId="812"/>
    <tableColumn id="813" xr3:uid="{B268C4E9-DD59-414E-A53C-1240600F8429}" uniqueName="813" name="Column813" queryTableFieldId="813"/>
    <tableColumn id="814" xr3:uid="{B2D4826B-8923-4248-A2E8-477BC39C81BB}" uniqueName="814" name="Column814" queryTableFieldId="814"/>
    <tableColumn id="815" xr3:uid="{B3665373-C52F-4148-924C-793DCF57BAC6}" uniqueName="815" name="Column815" queryTableFieldId="815"/>
    <tableColumn id="816" xr3:uid="{0D36E744-40C6-453A-A5EC-1CBB353966B5}" uniqueName="816" name="Column816" queryTableFieldId="816"/>
    <tableColumn id="817" xr3:uid="{020EC107-F1E4-498A-9024-64E57684547D}" uniqueName="817" name="Column817" queryTableFieldId="817"/>
    <tableColumn id="818" xr3:uid="{56D5D1CA-1040-4BFE-B9A9-3C3B00BBBFB2}" uniqueName="818" name="Column818" queryTableFieldId="818"/>
    <tableColumn id="819" xr3:uid="{07E06EC5-AC8D-4BBC-A86E-4FA55298CA63}" uniqueName="819" name="Column819" queryTableFieldId="819"/>
    <tableColumn id="820" xr3:uid="{03C28D38-9B0F-4B68-B041-50C31313E369}" uniqueName="820" name="Column820" queryTableFieldId="820"/>
    <tableColumn id="821" xr3:uid="{994ECD8E-BCCF-44FE-8AD7-F77577391C00}" uniqueName="821" name="Column821" queryTableFieldId="821"/>
    <tableColumn id="822" xr3:uid="{F0372D83-8969-49B9-9667-7772E9FDBEDC}" uniqueName="822" name="Column822" queryTableFieldId="822"/>
    <tableColumn id="823" xr3:uid="{B0A1C38B-ABC8-40E5-97A5-929A9664E4C8}" uniqueName="823" name="Column823" queryTableFieldId="823"/>
    <tableColumn id="824" xr3:uid="{B0BB0CFC-73D9-42DD-8456-620DE31EC6EB}" uniqueName="824" name="Column824" queryTableFieldId="824"/>
    <tableColumn id="825" xr3:uid="{A5E8F1D6-AA11-413D-8150-33E7D3CC86D8}" uniqueName="825" name="Column825" queryTableFieldId="825"/>
    <tableColumn id="826" xr3:uid="{76EC8323-0683-4692-A257-0A0CA9330927}" uniqueName="826" name="Column826" queryTableFieldId="826"/>
    <tableColumn id="827" xr3:uid="{BC756519-6677-441A-94C8-88455246B0A0}" uniqueName="827" name="Column827" queryTableFieldId="827"/>
    <tableColumn id="828" xr3:uid="{A497C5DA-02BF-498A-A0CF-97960FCABA3D}" uniqueName="828" name="Column828" queryTableFieldId="828"/>
    <tableColumn id="829" xr3:uid="{956B3DC1-43DA-4BD0-A0DC-EDF1AA47444C}" uniqueName="829" name="Column829" queryTableFieldId="829"/>
    <tableColumn id="830" xr3:uid="{EDB83C35-FF63-400F-9430-D26200AE06D0}" uniqueName="830" name="Column830" queryTableFieldId="830"/>
    <tableColumn id="831" xr3:uid="{67725365-9FAF-43A3-872E-4676D7F7E87C}" uniqueName="831" name="Column831" queryTableFieldId="831"/>
    <tableColumn id="832" xr3:uid="{C60C3FD3-5EBA-49C7-BD70-2017859A1DCA}" uniqueName="832" name="Column832" queryTableFieldId="832"/>
    <tableColumn id="833" xr3:uid="{99A31822-CF1C-4E56-97D5-E809D88F2AB1}" uniqueName="833" name="Column833" queryTableFieldId="833"/>
    <tableColumn id="834" xr3:uid="{0F49358A-5879-4200-B368-12E3FEE8AC55}" uniqueName="834" name="Column834" queryTableFieldId="834"/>
    <tableColumn id="835" xr3:uid="{3789967E-200F-4B53-BBC7-223139F18436}" uniqueName="835" name="Column835" queryTableFieldId="835"/>
    <tableColumn id="836" xr3:uid="{4F0500E2-08CB-4555-9F7E-C60A7446F1EC}" uniqueName="836" name="Column836" queryTableFieldId="836"/>
    <tableColumn id="837" xr3:uid="{C2220847-4E19-4434-AEE1-E79E0A8963D9}" uniqueName="837" name="Column837" queryTableFieldId="837"/>
    <tableColumn id="838" xr3:uid="{BF8DCEB2-CA5D-4F3D-9CF1-BC3A87BA39C1}" uniqueName="838" name="Column838" queryTableFieldId="838"/>
    <tableColumn id="839" xr3:uid="{306729CB-B86A-4482-942B-0E49ED57AC9A}" uniqueName="839" name="Column839" queryTableFieldId="839"/>
    <tableColumn id="840" xr3:uid="{9B1499B4-4019-4ABA-B1E8-911633F7B213}" uniqueName="840" name="Column840" queryTableFieldId="840"/>
    <tableColumn id="841" xr3:uid="{796D2440-35A8-414C-A9A5-A7D156A04D60}" uniqueName="841" name="Column841" queryTableFieldId="841"/>
    <tableColumn id="842" xr3:uid="{9E7D9A6E-D5FA-4C39-B4E4-673AFD495936}" uniqueName="842" name="Column842" queryTableFieldId="842"/>
    <tableColumn id="843" xr3:uid="{5F81D8C4-E1C2-4969-B62E-36F11F004DE6}" uniqueName="843" name="Column843" queryTableFieldId="843"/>
    <tableColumn id="844" xr3:uid="{78DE93B8-AD8E-4CB5-9F4B-0468E0F6D880}" uniqueName="844" name="Column844" queryTableFieldId="844"/>
    <tableColumn id="845" xr3:uid="{2B5B2AED-95A6-4786-BCB9-0668FD501BB4}" uniqueName="845" name="Column845" queryTableFieldId="845"/>
    <tableColumn id="846" xr3:uid="{15F75866-7B37-4E62-87F8-B2C675EAF676}" uniqueName="846" name="Column846" queryTableFieldId="846"/>
    <tableColumn id="847" xr3:uid="{695F10A9-6AB6-413D-846A-905DEFB9C5AD}" uniqueName="847" name="Column847" queryTableFieldId="847"/>
    <tableColumn id="848" xr3:uid="{657C3EB5-DB16-430B-A11F-F7126239C651}" uniqueName="848" name="Column848" queryTableFieldId="848"/>
    <tableColumn id="849" xr3:uid="{032A591E-A8ED-4739-BEF0-024222AE693E}" uniqueName="849" name="Column849" queryTableFieldId="849"/>
    <tableColumn id="850" xr3:uid="{9A49F1C9-4608-4A09-83EA-97630AD83A0B}" uniqueName="850" name="Column850" queryTableFieldId="850"/>
    <tableColumn id="851" xr3:uid="{919C5462-46DD-47D1-8371-0E3081B8C5F1}" uniqueName="851" name="Column851" queryTableFieldId="851"/>
    <tableColumn id="852" xr3:uid="{65EE6D8D-D49D-4847-921A-A5A519892BB2}" uniqueName="852" name="Column852" queryTableFieldId="852"/>
    <tableColumn id="853" xr3:uid="{973462DE-DB10-461F-9897-751C7429F90D}" uniqueName="853" name="Column853" queryTableFieldId="853"/>
    <tableColumn id="854" xr3:uid="{5BFC6A25-8698-48FA-BC6F-EB18618221A9}" uniqueName="854" name="Column854" queryTableFieldId="854"/>
    <tableColumn id="855" xr3:uid="{DEDBFCBD-8EB3-4633-AB75-3EA6543E6334}" uniqueName="855" name="Column855" queryTableFieldId="855"/>
    <tableColumn id="856" xr3:uid="{2BF4120C-4074-42AC-B8DB-86F4CB72CC40}" uniqueName="856" name="Column856" queryTableFieldId="856"/>
    <tableColumn id="857" xr3:uid="{528741A3-A9D5-4835-BFE6-58E7926486E3}" uniqueName="857" name="Column857" queryTableFieldId="857"/>
    <tableColumn id="858" xr3:uid="{D4880DBC-198B-4C6C-BB83-3DC49D950D86}" uniqueName="858" name="Column858" queryTableFieldId="858"/>
    <tableColumn id="859" xr3:uid="{127E9607-7914-4798-971B-9A2296A9F896}" uniqueName="859" name="Column859" queryTableFieldId="859"/>
    <tableColumn id="860" xr3:uid="{0B631082-E053-4B33-AE02-B23344F0A1EF}" uniqueName="860" name="Column860" queryTableFieldId="860"/>
    <tableColumn id="861" xr3:uid="{E6181E70-4B6F-45AE-94B2-454D4FF7AB77}" uniqueName="861" name="Column861" queryTableFieldId="861"/>
    <tableColumn id="862" xr3:uid="{E85F0D2C-63FD-416A-8BFF-F5FD70BE903F}" uniqueName="862" name="Column862" queryTableFieldId="862"/>
    <tableColumn id="863" xr3:uid="{4285F162-C251-4AC3-903E-24154B4CAFCB}" uniqueName="863" name="Column863" queryTableFieldId="863"/>
    <tableColumn id="864" xr3:uid="{3EF5E46D-FEBA-43A0-84B4-C8D043601EF0}" uniqueName="864" name="Column864" queryTableFieldId="864"/>
    <tableColumn id="865" xr3:uid="{C6A74B3D-EB71-4B94-B808-1C90FF8B72F2}" uniqueName="865" name="Column865" queryTableFieldId="865"/>
    <tableColumn id="866" xr3:uid="{69B9F029-2C8F-4EE7-A9D8-607DFCDD20FE}" uniqueName="866" name="Column866" queryTableFieldId="866"/>
    <tableColumn id="867" xr3:uid="{F6F40082-B85B-4BBE-9275-31605E0A97B9}" uniqueName="867" name="Column867" queryTableFieldId="867"/>
    <tableColumn id="868" xr3:uid="{1119460A-B08D-4ED5-BCB8-2AB1E72BA0A1}" uniqueName="868" name="Column868" queryTableFieldId="868"/>
    <tableColumn id="869" xr3:uid="{577EC5D5-EAE4-4184-AF39-A44D5F4F8FDC}" uniqueName="869" name="Column869" queryTableFieldId="869"/>
    <tableColumn id="870" xr3:uid="{9058116C-96CA-4BC2-A972-962E17863E72}" uniqueName="870" name="Column870" queryTableFieldId="870"/>
    <tableColumn id="871" xr3:uid="{7CADC482-60E5-4444-B372-3512302D4F85}" uniqueName="871" name="Column871" queryTableFieldId="871"/>
    <tableColumn id="872" xr3:uid="{9B237986-648C-43EA-8032-0C055E4B0C6A}" uniqueName="872" name="Column872" queryTableFieldId="872"/>
    <tableColumn id="873" xr3:uid="{F9A52209-E846-446B-9D93-56C9456C1F7A}" uniqueName="873" name="Column873" queryTableFieldId="873"/>
    <tableColumn id="874" xr3:uid="{C6CC0A99-7D96-442A-B073-D7AB03AA446D}" uniqueName="874" name="Column874" queryTableFieldId="874"/>
    <tableColumn id="875" xr3:uid="{02FC2115-A927-43AF-B378-A286B2247FDF}" uniqueName="875" name="Column875" queryTableFieldId="875"/>
    <tableColumn id="876" xr3:uid="{FD57EB97-85F2-4B01-BADB-F70FCB5EFE6F}" uniqueName="876" name="Column876" queryTableFieldId="876"/>
    <tableColumn id="877" xr3:uid="{830A5C32-72A4-47DB-AACD-B17EF1BAC879}" uniqueName="877" name="Column877" queryTableFieldId="877"/>
    <tableColumn id="878" xr3:uid="{46FFD373-1BAE-41B3-8FF0-19D412434526}" uniqueName="878" name="Column878" queryTableFieldId="878"/>
    <tableColumn id="879" xr3:uid="{B55BAE6E-6A89-4DC5-A061-7853C1ABF046}" uniqueName="879" name="Column879" queryTableFieldId="879"/>
    <tableColumn id="880" xr3:uid="{256BD99B-4AE9-4FA7-9F3E-B66A612BDB61}" uniqueName="880" name="Column880" queryTableFieldId="880"/>
    <tableColumn id="881" xr3:uid="{701B42FE-3EB7-4ABC-B826-B0BB22A2E721}" uniqueName="881" name="Column881" queryTableFieldId="881"/>
    <tableColumn id="882" xr3:uid="{3C63ED79-8C2D-4E42-9F39-FC02EB43E0B8}" uniqueName="882" name="Column882" queryTableFieldId="882"/>
    <tableColumn id="883" xr3:uid="{EAD4E636-7D27-4024-A579-B3D5244D168E}" uniqueName="883" name="Column883" queryTableFieldId="883"/>
    <tableColumn id="884" xr3:uid="{329DCCA9-5671-42F9-AA93-EF8062AB237F}" uniqueName="884" name="Column884" queryTableFieldId="884"/>
    <tableColumn id="885" xr3:uid="{CD59FD43-32F7-473C-B7A9-9B23EC393769}" uniqueName="885" name="Column885" queryTableFieldId="885"/>
    <tableColumn id="886" xr3:uid="{23584E4E-BF83-4401-92DA-6D0B6F0132F1}" uniqueName="886" name="Column886" queryTableFieldId="886"/>
    <tableColumn id="887" xr3:uid="{B2118F42-A347-411E-82DC-8B6CDF9FF52F}" uniqueName="887" name="Column887" queryTableFieldId="887"/>
    <tableColumn id="888" xr3:uid="{DC8CD966-95AA-452F-9896-120298E4EDF4}" uniqueName="888" name="Column888" queryTableFieldId="888"/>
    <tableColumn id="889" xr3:uid="{33B2438E-2F0E-4302-B5E7-7558774F4F95}" uniqueName="889" name="Column889" queryTableFieldId="889"/>
    <tableColumn id="890" xr3:uid="{DAC4DB26-B707-4A61-9C3F-8C08FD7D8469}" uniqueName="890" name="Column890" queryTableFieldId="890"/>
    <tableColumn id="891" xr3:uid="{7661CF89-3B4D-4CED-B639-8A2B1949A2B0}" uniqueName="891" name="Column891" queryTableFieldId="891"/>
    <tableColumn id="892" xr3:uid="{465D7D20-6A12-4BC5-BA75-B10C1D58E869}" uniqueName="892" name="Column892" queryTableFieldId="892"/>
    <tableColumn id="893" xr3:uid="{ED5D8E49-7844-40F9-9E4E-6E0289CBD084}" uniqueName="893" name="Column893" queryTableFieldId="893"/>
    <tableColumn id="894" xr3:uid="{4198D380-C407-468D-9E85-6A45FD6D3E14}" uniqueName="894" name="Column894" queryTableFieldId="894"/>
    <tableColumn id="895" xr3:uid="{80785903-D67B-4C78-B668-5FE619878AAD}" uniqueName="895" name="Column895" queryTableFieldId="895"/>
    <tableColumn id="896" xr3:uid="{84D379F7-743B-4DA8-A54D-456021820405}" uniqueName="896" name="Column896" queryTableFieldId="896"/>
    <tableColumn id="897" xr3:uid="{8F141F0F-777A-4140-8602-E4F4D49B7745}" uniqueName="897" name="Column897" queryTableFieldId="897"/>
    <tableColumn id="898" xr3:uid="{C05AEA8D-3D76-4F3A-8968-940C2DE01EFA}" uniqueName="898" name="Column898" queryTableFieldId="898"/>
    <tableColumn id="899" xr3:uid="{9736FA30-2987-4710-A29A-0D459D994BCD}" uniqueName="899" name="Column899" queryTableFieldId="899"/>
    <tableColumn id="900" xr3:uid="{4001C03D-4433-48F5-A305-F41A1ABEF644}" uniqueName="900" name="Column900" queryTableFieldId="900"/>
    <tableColumn id="901" xr3:uid="{7C09E225-FA68-4F1F-8207-8119B24B94CE}" uniqueName="901" name="Column901" queryTableFieldId="901"/>
    <tableColumn id="902" xr3:uid="{580C3ED4-4DCF-45E3-98B9-8BB6C196160A}" uniqueName="902" name="Column902" queryTableFieldId="902"/>
    <tableColumn id="903" xr3:uid="{E8245A00-0451-4EA7-ABA6-584B48068A01}" uniqueName="903" name="Column903" queryTableFieldId="903"/>
    <tableColumn id="904" xr3:uid="{DEFBEC8D-E4D3-4A4E-BFA1-A81842686911}" uniqueName="904" name="Column904" queryTableFieldId="904"/>
    <tableColumn id="905" xr3:uid="{92F2E589-22A2-4F13-8EBC-F9A160CAA064}" uniqueName="905" name="Column905" queryTableFieldId="905"/>
    <tableColumn id="906" xr3:uid="{0B52BADB-E8AD-45ED-83BB-7D7F9D24A28C}" uniqueName="906" name="Column906" queryTableFieldId="906"/>
    <tableColumn id="907" xr3:uid="{55D5D5BC-3DAD-4F1E-A18C-B982DAEB293D}" uniqueName="907" name="Column907" queryTableFieldId="907"/>
    <tableColumn id="908" xr3:uid="{A8B3E792-0BFC-4E03-9475-1B88F315CB26}" uniqueName="908" name="Column908" queryTableFieldId="908"/>
    <tableColumn id="909" xr3:uid="{F4861E51-D8F3-43B5-A64F-48247838A3E6}" uniqueName="909" name="Column909" queryTableFieldId="909"/>
    <tableColumn id="910" xr3:uid="{DD174241-72F4-46B9-8E4C-35F8AFCFC7C6}" uniqueName="910" name="Column910" queryTableFieldId="910"/>
    <tableColumn id="911" xr3:uid="{246BD153-3BA3-482F-BC7E-061ED4EE278A}" uniqueName="911" name="Column911" queryTableFieldId="911"/>
    <tableColumn id="912" xr3:uid="{0215F0B4-CAC0-450F-A599-1442A2171EF3}" uniqueName="912" name="Column912" queryTableFieldId="912"/>
    <tableColumn id="913" xr3:uid="{BFDCD4F9-4FDF-4C37-A280-7A96F15CDB95}" uniqueName="913" name="Column913" queryTableFieldId="913"/>
    <tableColumn id="914" xr3:uid="{6AEBF0BA-1DD8-4857-8E86-B29B22F62454}" uniqueName="914" name="Column914" queryTableFieldId="914"/>
    <tableColumn id="915" xr3:uid="{321153CA-45E6-4E1A-8B99-2A505FB2FB69}" uniqueName="915" name="Column915" queryTableFieldId="915"/>
    <tableColumn id="916" xr3:uid="{168B7C55-3CE7-439C-BC05-6EAE6BB12BEE}" uniqueName="916" name="Column916" queryTableFieldId="916"/>
    <tableColumn id="917" xr3:uid="{DFDAE72C-EFDC-4512-A141-A42D4B209145}" uniqueName="917" name="Column917" queryTableFieldId="917"/>
    <tableColumn id="918" xr3:uid="{4C5DC969-FF10-493F-ACEA-199F8CF05122}" uniqueName="918" name="Column918" queryTableFieldId="918"/>
    <tableColumn id="919" xr3:uid="{D4132770-86C3-4FD9-B815-3ED64725C7D9}" uniqueName="919" name="Column919" queryTableFieldId="919"/>
    <tableColumn id="920" xr3:uid="{691203B3-78BB-4C2B-BA78-CB3B725EC177}" uniqueName="920" name="Column920" queryTableFieldId="920"/>
    <tableColumn id="921" xr3:uid="{190C1065-27EC-460D-B4D6-B6D332B45008}" uniqueName="921" name="Column921" queryTableFieldId="921"/>
    <tableColumn id="922" xr3:uid="{8667D2AC-6B8B-44B1-B8C7-7320A21C4A2C}" uniqueName="922" name="Column922" queryTableFieldId="922"/>
    <tableColumn id="923" xr3:uid="{40DB40D6-DF27-4B63-A68F-2C800BEDE7F4}" uniqueName="923" name="Column923" queryTableFieldId="923"/>
    <tableColumn id="924" xr3:uid="{51287B76-317B-4043-8133-B45ADB946C25}" uniqueName="924" name="Column924" queryTableFieldId="924"/>
    <tableColumn id="925" xr3:uid="{093CCEBF-89B3-4A81-BCE4-C45C8AA56F6E}" uniqueName="925" name="Column925" queryTableFieldId="925"/>
    <tableColumn id="926" xr3:uid="{0FC60A0B-45E1-49D5-AD87-434415932FC1}" uniqueName="926" name="Column926" queryTableFieldId="926"/>
    <tableColumn id="927" xr3:uid="{F8C24D01-4F77-4E7A-9F72-3A7F1CA4BBF7}" uniqueName="927" name="Column927" queryTableFieldId="927"/>
    <tableColumn id="928" xr3:uid="{9C8844C9-DC9B-4DCC-86FC-1E0E66604AD6}" uniqueName="928" name="Column928" queryTableFieldId="928"/>
    <tableColumn id="929" xr3:uid="{CA1644C0-FDA5-4294-AC49-D9200301A694}" uniqueName="929" name="Column929" queryTableFieldId="929"/>
    <tableColumn id="930" xr3:uid="{57AAF440-7E80-4A96-A9F2-E255D94099F6}" uniqueName="930" name="Column930" queryTableFieldId="930"/>
    <tableColumn id="931" xr3:uid="{EE1A675B-4856-48D2-9BAB-6C2022E5F2B6}" uniqueName="931" name="Column931" queryTableFieldId="931"/>
    <tableColumn id="932" xr3:uid="{006E006F-B49D-4DA4-BC1F-A666E26434CA}" uniqueName="932" name="Column932" queryTableFieldId="932"/>
    <tableColumn id="933" xr3:uid="{882DFF79-0244-4EB6-BCCE-0EC38AE2DFB8}" uniqueName="933" name="Column933" queryTableFieldId="933"/>
    <tableColumn id="934" xr3:uid="{B3E6EFAB-B618-4398-95F5-AA66B22E1522}" uniqueName="934" name="Column934" queryTableFieldId="934"/>
    <tableColumn id="935" xr3:uid="{91549049-0866-4D6C-B2AC-F8D65E2A16F7}" uniqueName="935" name="Column935" queryTableFieldId="935"/>
    <tableColumn id="936" xr3:uid="{00E72993-B87B-4CF0-A688-FB8CF41E46BD}" uniqueName="936" name="Column936" queryTableFieldId="936"/>
    <tableColumn id="937" xr3:uid="{3B8E0E3D-92F7-443A-BB2D-A559D6B026B5}" uniqueName="937" name="Column937" queryTableFieldId="937"/>
    <tableColumn id="938" xr3:uid="{8DB09A46-4C3E-437E-BCAB-6E649888668D}" uniqueName="938" name="Column938" queryTableFieldId="938"/>
    <tableColumn id="939" xr3:uid="{3B79E8CF-CAA0-4429-9C30-3B9AAAF0F1EA}" uniqueName="939" name="Column939" queryTableFieldId="939"/>
    <tableColumn id="940" xr3:uid="{868AA71A-4234-4816-9AEE-17870E329DB0}" uniqueName="940" name="Column940" queryTableFieldId="940"/>
    <tableColumn id="941" xr3:uid="{C75D6E51-CAF1-4993-8383-7617C0062EC2}" uniqueName="941" name="Column941" queryTableFieldId="941"/>
    <tableColumn id="942" xr3:uid="{3ABEA642-8A7E-4449-A335-5F21E65F1DE4}" uniqueName="942" name="Column942" queryTableFieldId="942"/>
    <tableColumn id="943" xr3:uid="{CC3B112C-3D37-4781-996F-B244DF1EBE00}" uniqueName="943" name="Column943" queryTableFieldId="943"/>
    <tableColumn id="944" xr3:uid="{91126DB9-A0FC-4480-A31A-B463374B13E3}" uniqueName="944" name="Column944" queryTableFieldId="944"/>
    <tableColumn id="945" xr3:uid="{F3F6B2D0-05D3-487F-855C-E94501FC33FC}" uniqueName="945" name="Column945" queryTableFieldId="945"/>
    <tableColumn id="946" xr3:uid="{389CF043-251E-43EB-8559-F5010FA20241}" uniqueName="946" name="Column946" queryTableFieldId="946"/>
    <tableColumn id="947" xr3:uid="{633F0164-630D-41EE-9BB2-A960F79C1DE2}" uniqueName="947" name="Column947" queryTableFieldId="947"/>
    <tableColumn id="948" xr3:uid="{4001190A-368F-4B7E-BEA2-7194C9D321E4}" uniqueName="948" name="Column948" queryTableFieldId="948"/>
    <tableColumn id="949" xr3:uid="{017EB7FF-F130-4308-8C52-69B82464F6F6}" uniqueName="949" name="Column949" queryTableFieldId="949"/>
    <tableColumn id="950" xr3:uid="{624FD7B8-4E2A-4E30-B764-67E8F66DEE0D}" uniqueName="950" name="Column950" queryTableFieldId="950"/>
    <tableColumn id="951" xr3:uid="{3D39F6E1-467B-4D65-9A9E-9F40211F903D}" uniqueName="951" name="Column951" queryTableFieldId="951"/>
    <tableColumn id="952" xr3:uid="{5CCFC357-712D-4DCB-B05D-325EA67F86F0}" uniqueName="952" name="Column952" queryTableFieldId="952"/>
    <tableColumn id="953" xr3:uid="{7645BF63-0813-49BE-92BA-9955A9C82C38}" uniqueName="953" name="Column953" queryTableFieldId="953"/>
    <tableColumn id="954" xr3:uid="{B01A9380-82FE-46DE-92FA-4A420EF3EBF6}" uniqueName="954" name="Column954" queryTableFieldId="954"/>
    <tableColumn id="955" xr3:uid="{BA9BF67E-98C1-417E-894D-0F394C21A301}" uniqueName="955" name="Column955" queryTableFieldId="955"/>
    <tableColumn id="956" xr3:uid="{737E61DD-C348-4011-AB62-58646FB23819}" uniqueName="956" name="Column956" queryTableFieldId="956"/>
    <tableColumn id="957" xr3:uid="{24943B4D-AED9-4D64-9CAF-DAD22D1A5CBC}" uniqueName="957" name="Column957" queryTableFieldId="957"/>
    <tableColumn id="958" xr3:uid="{612593E7-B5A4-4ABF-8451-A7275CCC240B}" uniqueName="958" name="Column958" queryTableFieldId="958"/>
    <tableColumn id="959" xr3:uid="{C49276B4-C338-4DEE-8549-2A1520DB7D3B}" uniqueName="959" name="Column959" queryTableFieldId="959"/>
    <tableColumn id="960" xr3:uid="{B19988D5-2939-43F6-BF39-F81A3360EA9F}" uniqueName="960" name="Column960" queryTableFieldId="960"/>
    <tableColumn id="961" xr3:uid="{7ECC03B1-F527-4C15-8767-919BCCC461FB}" uniqueName="961" name="Column961" queryTableFieldId="961"/>
    <tableColumn id="962" xr3:uid="{795BC960-4043-4807-B58B-0F4AAE0D4455}" uniqueName="962" name="Column962" queryTableFieldId="962"/>
    <tableColumn id="963" xr3:uid="{7EF19AD0-9008-4B56-8197-4FEE8A608629}" uniqueName="963" name="Column963" queryTableFieldId="963"/>
    <tableColumn id="964" xr3:uid="{4808287A-AB60-470E-9999-193C6166AC7E}" uniqueName="964" name="Column964" queryTableFieldId="964"/>
    <tableColumn id="965" xr3:uid="{C4EC2BC6-5D18-4B15-8F85-B5C6D99E6DB3}" uniqueName="965" name="Column965" queryTableFieldId="965"/>
    <tableColumn id="966" xr3:uid="{E5327123-9F37-4427-A33C-48801DEDEA44}" uniqueName="966" name="Column966" queryTableFieldId="966"/>
    <tableColumn id="967" xr3:uid="{CF4FDA37-917D-4894-AB10-B63D00D7A4FE}" uniqueName="967" name="Column967" queryTableFieldId="967"/>
    <tableColumn id="968" xr3:uid="{6D8BA467-C3F7-4496-AF95-139D336DF6CB}" uniqueName="968" name="Column968" queryTableFieldId="968"/>
    <tableColumn id="969" xr3:uid="{4EBE1339-631D-4055-8498-09284DB32D73}" uniqueName="969" name="Column969" queryTableFieldId="969"/>
    <tableColumn id="970" xr3:uid="{C5DC94D5-9499-4686-B467-F66E6D69909F}" uniqueName="970" name="Column970" queryTableFieldId="970"/>
    <tableColumn id="971" xr3:uid="{D46B6BE9-CF06-4940-85FC-6BEE490D3DC5}" uniqueName="971" name="Column971" queryTableFieldId="971"/>
    <tableColumn id="972" xr3:uid="{7E3F2925-0480-4D71-8F80-5BD6848DD9FA}" uniqueName="972" name="Column972" queryTableFieldId="972"/>
    <tableColumn id="973" xr3:uid="{A0D1ADE1-787D-409F-982C-CB6CFFCA8E7B}" uniqueName="973" name="Column973" queryTableFieldId="973"/>
    <tableColumn id="974" xr3:uid="{BF148999-C885-41BF-8DA5-E59D55003239}" uniqueName="974" name="Column974" queryTableFieldId="974"/>
    <tableColumn id="975" xr3:uid="{978E2435-D5D4-41A6-91EC-D277BDA1FCFA}" uniqueName="975" name="Column975" queryTableFieldId="975"/>
    <tableColumn id="976" xr3:uid="{4D8F05F1-BD91-4634-97E4-2B98EE150292}" uniqueName="976" name="Column976" queryTableFieldId="976"/>
    <tableColumn id="977" xr3:uid="{FD380355-48CD-42E6-8017-97EE1096DDA2}" uniqueName="977" name="Column977" queryTableFieldId="977"/>
    <tableColumn id="978" xr3:uid="{7717F5F9-0FCC-419E-8991-648A728B1B94}" uniqueName="978" name="Column978" queryTableFieldId="978"/>
    <tableColumn id="979" xr3:uid="{CEC462F8-F6C2-476E-AF8F-1F105D4A5EDA}" uniqueName="979" name="Column979" queryTableFieldId="979"/>
    <tableColumn id="980" xr3:uid="{9DFD0000-60E9-41ED-841D-F3ACBA3EB216}" uniqueName="980" name="Column980" queryTableFieldId="980"/>
    <tableColumn id="981" xr3:uid="{DFF3F76F-B6AC-4193-A0E4-BD0B632C13A2}" uniqueName="981" name="Column981" queryTableFieldId="981"/>
    <tableColumn id="982" xr3:uid="{2B5D1735-0D9A-45D9-850A-18647EB17C29}" uniqueName="982" name="Column982" queryTableFieldId="982"/>
    <tableColumn id="983" xr3:uid="{4E0F242B-A2FB-406D-A5CC-C26484A18D20}" uniqueName="983" name="Column983" queryTableFieldId="983"/>
    <tableColumn id="984" xr3:uid="{26550621-C913-4AC6-A089-54D8F97B3979}" uniqueName="984" name="Column984" queryTableFieldId="984"/>
    <tableColumn id="985" xr3:uid="{0CD85ECA-4D8D-492D-BF97-F0954ABFDA75}" uniqueName="985" name="Column985" queryTableFieldId="985"/>
    <tableColumn id="986" xr3:uid="{06CDCF9E-BF4F-4D52-B81F-887ADF9E465A}" uniqueName="986" name="Column986" queryTableFieldId="986"/>
    <tableColumn id="987" xr3:uid="{D845557F-5550-4472-81E0-17092B08ADE1}" uniqueName="987" name="Column987" queryTableFieldId="987"/>
    <tableColumn id="988" xr3:uid="{92CE4D31-0954-4D9F-BB24-5ED35BE0526B}" uniqueName="988" name="Column988" queryTableFieldId="988"/>
    <tableColumn id="989" xr3:uid="{41084276-C716-43ED-ACA8-7C7608DC6F4A}" uniqueName="989" name="Column989" queryTableFieldId="989"/>
    <tableColumn id="990" xr3:uid="{E73FD810-201B-4063-9969-64E4732B7C0F}" uniqueName="990" name="Column990" queryTableFieldId="990"/>
    <tableColumn id="991" xr3:uid="{34303014-4993-4A04-A706-BC41EBB96209}" uniqueName="991" name="Column991" queryTableFieldId="991"/>
    <tableColumn id="992" xr3:uid="{22DD0FE3-B5B8-4D4D-AD69-31E3C18243A6}" uniqueName="992" name="Column992" queryTableFieldId="992"/>
    <tableColumn id="993" xr3:uid="{76C16797-8889-4A06-B5AB-682E3059F49F}" uniqueName="993" name="Column993" queryTableFieldId="993"/>
    <tableColumn id="994" xr3:uid="{2B6EE6D7-2B8D-48AB-BF4D-A1D914AC7E36}" uniqueName="994" name="Column994" queryTableFieldId="994"/>
    <tableColumn id="995" xr3:uid="{D9D5DDA3-D4C9-418E-87E2-569A9FD62865}" uniqueName="995" name="Column995" queryTableFieldId="995"/>
    <tableColumn id="996" xr3:uid="{C2B19E75-6695-4232-87CC-A6BC13FF3A47}" uniqueName="996" name="Column996" queryTableFieldId="996"/>
    <tableColumn id="997" xr3:uid="{6491909E-AA60-4406-A6F7-5A432B2F9BE0}" uniqueName="997" name="Column997" queryTableFieldId="997"/>
    <tableColumn id="998" xr3:uid="{E0FDBFC7-CE81-49B2-96F9-572C93FCC302}" uniqueName="998" name="Column998" queryTableFieldId="998"/>
    <tableColumn id="999" xr3:uid="{F2F800E6-1895-4631-9A3D-9A9683F291C5}" uniqueName="999" name="Column999" queryTableFieldId="999"/>
    <tableColumn id="1000" xr3:uid="{2310587D-DCA4-405A-8C0F-C677AFF8C057}" uniqueName="1000" name="Column1000" queryTableFieldId="1000"/>
    <tableColumn id="1001" xr3:uid="{5495B3A2-B399-47C3-802F-537DD43B426C}" uniqueName="1001" name="Column1001" queryTableFieldId="1001"/>
    <tableColumn id="1002" xr3:uid="{B03D79ED-3928-402B-8B74-1DA5D8D58682}" uniqueName="1002" name="Column1002" queryTableFieldId="1002"/>
    <tableColumn id="1003" xr3:uid="{79FC700D-F7B8-4EDB-B5AC-DF6A00675E6E}" uniqueName="1003" name="Column1003" queryTableFieldId="1003"/>
    <tableColumn id="1004" xr3:uid="{1E88566A-9020-4F28-842F-0366E7118B92}" uniqueName="1004" name="Column1004" queryTableFieldId="1004"/>
    <tableColumn id="1005" xr3:uid="{CE38EBDF-60BF-4263-A868-E6C33738E2EE}" uniqueName="1005" name="Column1005" queryTableFieldId="1005"/>
    <tableColumn id="1006" xr3:uid="{818C186A-1CF2-4648-9F3A-7DB71D7927F2}" uniqueName="1006" name="Column1006" queryTableFieldId="1006"/>
    <tableColumn id="1007" xr3:uid="{FA5894CF-BD99-4D6B-9709-5D27AD03BC1C}" uniqueName="1007" name="Column1007" queryTableFieldId="1007"/>
    <tableColumn id="1008" xr3:uid="{9CE66734-F2BB-4593-A151-FBA25B9ED47C}" uniqueName="1008" name="Column1008" queryTableFieldId="1008"/>
    <tableColumn id="1009" xr3:uid="{8D62D1FF-A628-4DE0-B2F9-1035C755A493}" uniqueName="1009" name="Column1009" queryTableFieldId="1009"/>
    <tableColumn id="1010" xr3:uid="{88508688-A842-4674-8A6A-DFED93E685F5}" uniqueName="1010" name="Column1010" queryTableFieldId="1010"/>
    <tableColumn id="1011" xr3:uid="{76D2D3AA-2555-463E-A065-BE382F39B20D}" uniqueName="1011" name="Column1011" queryTableFieldId="1011"/>
    <tableColumn id="1012" xr3:uid="{D450DAD3-C1D1-42B0-8A00-1CD6B544E363}" uniqueName="1012" name="Column1012" queryTableFieldId="1012"/>
    <tableColumn id="1013" xr3:uid="{58169270-600E-43C7-8274-1D3EB3A8E310}" uniqueName="1013" name="Column1013" queryTableFieldId="1013"/>
    <tableColumn id="1014" xr3:uid="{E47B5989-C7A8-4003-BE74-9BAA72B75DBC}" uniqueName="1014" name="Column1014" queryTableFieldId="1014"/>
    <tableColumn id="1015" xr3:uid="{F782F47B-8CAE-462C-AEB0-AB6D6AEE558C}" uniqueName="1015" name="Column1015" queryTableFieldId="1015"/>
    <tableColumn id="1016" xr3:uid="{000449C4-27BF-4181-9886-07B8CDB0AD84}" uniqueName="1016" name="Column1016" queryTableFieldId="1016"/>
    <tableColumn id="1017" xr3:uid="{37204556-CEA4-4AA2-9813-6D958D5E0E26}" uniqueName="1017" name="Column1017" queryTableFieldId="1017"/>
    <tableColumn id="1018" xr3:uid="{F3B228D7-1BC4-47E8-91D5-8EF691D5ECCA}" uniqueName="1018" name="Column1018" queryTableFieldId="1018"/>
    <tableColumn id="1019" xr3:uid="{9475460D-FB29-44A4-8ADB-0D7077AC7629}" uniqueName="1019" name="Column1019" queryTableFieldId="1019"/>
    <tableColumn id="1020" xr3:uid="{098F8B06-760F-422A-9FC3-CB930438847F}" uniqueName="1020" name="Column1020" queryTableFieldId="1020"/>
    <tableColumn id="1021" xr3:uid="{245B83C3-61A5-4099-AFE0-ED647CDF8E1F}" uniqueName="1021" name="Column1021" queryTableFieldId="1021"/>
    <tableColumn id="1022" xr3:uid="{38222FD2-243B-4A4B-B968-A49915A05133}" uniqueName="1022" name="Column1022" queryTableFieldId="1022"/>
    <tableColumn id="1023" xr3:uid="{A300FFA0-85AD-4D55-844D-41DC42DB8D30}" uniqueName="1023" name="Column1023" queryTableFieldId="1023"/>
    <tableColumn id="1024" xr3:uid="{39C52678-4236-43CA-B387-C42C455E1FE5}" uniqueName="1024" name="Column1024" queryTableFieldId="1024"/>
    <tableColumn id="1025" xr3:uid="{C4A221E4-E29D-4D48-94F5-69640A5D3D05}" uniqueName="1025" name="Column1025" queryTableFieldId="1025"/>
    <tableColumn id="1026" xr3:uid="{8AE9F500-B5E0-47B5-8FA2-EA194E1E9E73}" uniqueName="1026" name="Column1026" queryTableFieldId="1026"/>
    <tableColumn id="1027" xr3:uid="{BCBA7B92-9FF4-44DF-B498-08FC9B1003E7}" uniqueName="1027" name="Column1027" queryTableFieldId="1027"/>
    <tableColumn id="1028" xr3:uid="{1E42CB2B-073C-4AE4-BB2E-B91FEF9BA63E}" uniqueName="1028" name="Column1028" queryTableFieldId="1028"/>
    <tableColumn id="1029" xr3:uid="{AACB0018-E99C-4436-8954-56D02956BB90}" uniqueName="1029" name="Column1029" queryTableFieldId="1029"/>
    <tableColumn id="1030" xr3:uid="{CAAA5880-B639-4261-89F9-F3C1CEC842BD}" uniqueName="1030" name="Column1030" queryTableFieldId="1030"/>
    <tableColumn id="1031" xr3:uid="{343820AA-460F-4B25-A62F-B37880C81B91}" uniqueName="1031" name="Column1031" queryTableFieldId="1031"/>
    <tableColumn id="1032" xr3:uid="{DBCAAF08-C1C2-48F2-A518-2E23E725E788}" uniqueName="1032" name="Column1032" queryTableFieldId="1032"/>
    <tableColumn id="1033" xr3:uid="{8E480CF7-1EF7-42C3-A224-4C6E28EF8780}" uniqueName="1033" name="Column1033" queryTableFieldId="1033"/>
    <tableColumn id="1034" xr3:uid="{0196CC0A-CDAA-4406-B4D7-0A6A2DB97EE4}" uniqueName="1034" name="Column1034" queryTableFieldId="1034"/>
    <tableColumn id="1035" xr3:uid="{B0D88261-1495-4EA2-8C57-E3172DFB5DDC}" uniqueName="1035" name="Column1035" queryTableFieldId="1035"/>
    <tableColumn id="1036" xr3:uid="{567A2466-3FA1-434C-8778-C879F1ACCE53}" uniqueName="1036" name="Column1036" queryTableFieldId="1036"/>
    <tableColumn id="1037" xr3:uid="{8EC4F211-94A0-41F9-A9C4-D8C9172EC4AE}" uniqueName="1037" name="Column1037" queryTableFieldId="1037"/>
    <tableColumn id="1038" xr3:uid="{858156EE-F9C3-40C9-AC54-896F216BA76F}" uniqueName="1038" name="Column1038" queryTableFieldId="1038"/>
    <tableColumn id="1039" xr3:uid="{FED35697-067C-4F12-B49D-1EAA118C458A}" uniqueName="1039" name="Column1039" queryTableFieldId="1039"/>
    <tableColumn id="1040" xr3:uid="{A31089CE-EDB2-4EFD-A24D-F70FD5632A1E}" uniqueName="1040" name="Column1040" queryTableFieldId="1040"/>
    <tableColumn id="1041" xr3:uid="{160DE97E-4E8C-4C1A-BFD3-710A554035BD}" uniqueName="1041" name="Column1041" queryTableFieldId="1041"/>
    <tableColumn id="1042" xr3:uid="{86ED9ADD-3C45-4CDC-9B90-804B23FC88EA}" uniqueName="1042" name="Column1042" queryTableFieldId="1042"/>
    <tableColumn id="1043" xr3:uid="{09F64CE0-D087-46FD-A062-505C24FCC2B5}" uniqueName="1043" name="Column1043" queryTableFieldId="1043"/>
    <tableColumn id="1044" xr3:uid="{151197B8-D396-4AFA-8AFA-CCC28AA534E4}" uniqueName="1044" name="Column1044" queryTableFieldId="1044"/>
    <tableColumn id="1045" xr3:uid="{02F44B5D-2D2C-431E-8AFA-3D10414AA33D}" uniqueName="1045" name="Column1045" queryTableFieldId="1045"/>
    <tableColumn id="1046" xr3:uid="{204DF921-43C6-46D2-9A9A-7F24CAC8CE47}" uniqueName="1046" name="Column1046" queryTableFieldId="1046"/>
    <tableColumn id="1047" xr3:uid="{2F03720B-24A1-4B91-B181-B236B2B29BD7}" uniqueName="1047" name="Column1047" queryTableFieldId="1047"/>
    <tableColumn id="1048" xr3:uid="{8CC18EA9-9D6E-46AD-B227-7349E5E2A0C9}" uniqueName="1048" name="Column1048" queryTableFieldId="1048"/>
    <tableColumn id="1049" xr3:uid="{06F7B35D-8B31-41B1-87B4-45D70D6D88CF}" uniqueName="1049" name="Column1049" queryTableFieldId="1049"/>
    <tableColumn id="1050" xr3:uid="{09152C83-A296-4AD1-8DCB-23286BBBFEE1}" uniqueName="1050" name="Column1050" queryTableFieldId="1050"/>
    <tableColumn id="1051" xr3:uid="{33C95475-7B2C-45D2-BDBF-18BC65A396EF}" uniqueName="1051" name="Column1051" queryTableFieldId="1051"/>
    <tableColumn id="1052" xr3:uid="{329864AA-48B7-49BA-B4FF-53DDCDBB9550}" uniqueName="1052" name="Column1052" queryTableFieldId="1052"/>
    <tableColumn id="1053" xr3:uid="{572AC63E-DE3A-49A3-BAEF-09E807DDDD1A}" uniqueName="1053" name="Column1053" queryTableFieldId="1053"/>
    <tableColumn id="1054" xr3:uid="{D30A9977-9106-4D5B-9DDD-54E8CEC1B0F1}" uniqueName="1054" name="Column1054" queryTableFieldId="1054"/>
    <tableColumn id="1055" xr3:uid="{3CC0F013-6562-457F-AACE-9BDAB3DC182B}" uniqueName="1055" name="Column1055" queryTableFieldId="1055"/>
    <tableColumn id="1056" xr3:uid="{34F403AD-3DB9-4498-A33C-711A4EB7ECC7}" uniqueName="1056" name="Column1056" queryTableFieldId="1056"/>
    <tableColumn id="1057" xr3:uid="{F0ED5ACB-05CB-4C0F-94B0-66B6D162E16E}" uniqueName="1057" name="Column1057" queryTableFieldId="1057"/>
    <tableColumn id="1058" xr3:uid="{6A26B839-33A1-40FE-B6A8-F9003EC85904}" uniqueName="1058" name="Column1058" queryTableFieldId="1058"/>
    <tableColumn id="1059" xr3:uid="{44B33ADC-1EC7-45ED-8DE9-D1814DB1F372}" uniqueName="1059" name="Column1059" queryTableFieldId="1059"/>
    <tableColumn id="1060" xr3:uid="{93AEEBB5-E762-40FE-8C8F-33AFB07236F0}" uniqueName="1060" name="Column1060" queryTableFieldId="1060"/>
    <tableColumn id="1061" xr3:uid="{3A36495C-CAB8-40F3-BDA2-A4C5A9118BBC}" uniqueName="1061" name="Column1061" queryTableFieldId="1061"/>
    <tableColumn id="1062" xr3:uid="{F2602AAC-85F1-451F-ADB2-B85410AA978E}" uniqueName="1062" name="Column1062" queryTableFieldId="1062"/>
    <tableColumn id="1063" xr3:uid="{E76BD34C-1718-4ADA-9940-2989192C8516}" uniqueName="1063" name="Column1063" queryTableFieldId="1063"/>
    <tableColumn id="1064" xr3:uid="{4E5A33FF-96E4-460F-8AD1-018B0CD08586}" uniqueName="1064" name="Column1064" queryTableFieldId="1064"/>
    <tableColumn id="1065" xr3:uid="{5EDF2A42-62DD-47F5-AA7C-C67E4C8D2D92}" uniqueName="1065" name="Column1065" queryTableFieldId="1065"/>
    <tableColumn id="1066" xr3:uid="{C89486DA-E2B0-4275-95D6-059232E2EEAB}" uniqueName="1066" name="Column1066" queryTableFieldId="1066"/>
    <tableColumn id="1067" xr3:uid="{F40D4B07-BB5B-4B10-890D-2E9E3EADC187}" uniqueName="1067" name="Column1067" queryTableFieldId="1067"/>
    <tableColumn id="1068" xr3:uid="{4A3B2C16-018F-4152-9EEF-91A4BD67BDEB}" uniqueName="1068" name="Column1068" queryTableFieldId="1068"/>
    <tableColumn id="1069" xr3:uid="{B893D477-679F-48AE-983A-37D414CBB4A4}" uniqueName="1069" name="Column1069" queryTableFieldId="1069"/>
    <tableColumn id="1070" xr3:uid="{91EBF441-ACC9-4837-B6FC-BC3680F0BEA1}" uniqueName="1070" name="Column1070" queryTableFieldId="1070"/>
    <tableColumn id="1071" xr3:uid="{E63745C8-4C38-41C9-B42C-EEB9EC956039}" uniqueName="1071" name="Column1071" queryTableFieldId="1071"/>
    <tableColumn id="1072" xr3:uid="{EE343B68-FD7F-4310-95E0-D52AA006CEC4}" uniqueName="1072" name="Column1072" queryTableFieldId="1072"/>
    <tableColumn id="1073" xr3:uid="{B25DD134-1E94-450C-8E6D-9B61F5AED88D}" uniqueName="1073" name="Column1073" queryTableFieldId="1073"/>
    <tableColumn id="1074" xr3:uid="{F5446A04-6E0E-41B9-9450-CE4947DD6AE8}" uniqueName="1074" name="Column1074" queryTableFieldId="1074"/>
    <tableColumn id="1075" xr3:uid="{3D78591A-7AED-4502-98C1-CE06416AD15E}" uniqueName="1075" name="Column1075" queryTableFieldId="1075"/>
    <tableColumn id="1076" xr3:uid="{57BC86F2-9738-4D8E-BD18-8EDD8774096C}" uniqueName="1076" name="Column1076" queryTableFieldId="1076"/>
    <tableColumn id="1077" xr3:uid="{17E2E6BB-CED8-4933-B08B-3F5044FE11B7}" uniqueName="1077" name="Column1077" queryTableFieldId="1077"/>
    <tableColumn id="1078" xr3:uid="{A0A12077-227A-4A60-B2A8-2BFC2B4DB17B}" uniqueName="1078" name="Column1078" queryTableFieldId="1078"/>
    <tableColumn id="1079" xr3:uid="{9285B239-6D28-4CCD-AF13-A5825EF4ABFC}" uniqueName="1079" name="Column1079" queryTableFieldId="1079"/>
    <tableColumn id="1080" xr3:uid="{C9BCF788-A20A-4070-9B87-C5274B27F7CA}" uniqueName="1080" name="Column1080" queryTableFieldId="1080"/>
    <tableColumn id="1081" xr3:uid="{7FE4D411-FE75-468A-B9BA-1AB3E96FC2F5}" uniqueName="1081" name="Column1081" queryTableFieldId="1081"/>
    <tableColumn id="1082" xr3:uid="{0C363B98-0432-4BB9-B5D5-3561971DFAF8}" uniqueName="1082" name="Column1082" queryTableFieldId="1082"/>
    <tableColumn id="1083" xr3:uid="{25FF7CA9-7986-483A-8645-07D2B8B53039}" uniqueName="1083" name="Column1083" queryTableFieldId="1083"/>
    <tableColumn id="1084" xr3:uid="{18125B86-C514-4339-B782-C2D1F0D92D88}" uniqueName="1084" name="Column1084" queryTableFieldId="1084"/>
    <tableColumn id="1085" xr3:uid="{FFBE698A-4C1F-4260-9CF2-EDFA776F5A19}" uniqueName="1085" name="Column1085" queryTableFieldId="1085"/>
    <tableColumn id="1086" xr3:uid="{24BA4F89-9177-4AD1-A70B-D86799FFA01E}" uniqueName="1086" name="Column1086" queryTableFieldId="1086"/>
    <tableColumn id="1087" xr3:uid="{6CDDCC1C-9BFD-4AFE-B385-99FBE5771297}" uniqueName="1087" name="Column1087" queryTableFieldId="1087"/>
    <tableColumn id="1088" xr3:uid="{FE1C6EFA-F913-4EFA-8F60-1132FC9AD57A}" uniqueName="1088" name="Column1088" queryTableFieldId="1088"/>
    <tableColumn id="1089" xr3:uid="{20A9AC03-C1B8-44A6-B161-AF53EFE19018}" uniqueName="1089" name="Column1089" queryTableFieldId="1089"/>
    <tableColumn id="1090" xr3:uid="{BB4A5292-8638-4C35-96BE-F8CEAFF9F596}" uniqueName="1090" name="Column1090" queryTableFieldId="1090"/>
    <tableColumn id="1091" xr3:uid="{E2DE8E27-B0B3-4F2F-A786-132A96B7B4B8}" uniqueName="1091" name="Column1091" queryTableFieldId="1091"/>
    <tableColumn id="1092" xr3:uid="{88CCA3D8-C368-4498-8A98-A65673F0BB78}" uniqueName="1092" name="Column1092" queryTableFieldId="1092"/>
    <tableColumn id="1093" xr3:uid="{5B9122B2-E032-446E-80A7-DC4BF43D021D}" uniqueName="1093" name="Column1093" queryTableFieldId="1093"/>
    <tableColumn id="1094" xr3:uid="{8254A6B8-1776-4FEA-BB8B-0B846DB8496F}" uniqueName="1094" name="Column1094" queryTableFieldId="1094"/>
    <tableColumn id="1095" xr3:uid="{68C6E5E7-691B-4419-92FC-D03B7088182B}" uniqueName="1095" name="Column1095" queryTableFieldId="1095"/>
    <tableColumn id="1096" xr3:uid="{D511B0A3-D303-42E9-BE3C-0658AA9F5DAF}" uniqueName="1096" name="Column1096" queryTableFieldId="1096"/>
    <tableColumn id="1097" xr3:uid="{047AD8C0-F4E2-4D41-B5BB-C14BB2D459F4}" uniqueName="1097" name="Column1097" queryTableFieldId="1097"/>
    <tableColumn id="1098" xr3:uid="{A06866D5-3599-4D02-BD6E-104331775101}" uniqueName="1098" name="Column1098" queryTableFieldId="1098"/>
    <tableColumn id="1099" xr3:uid="{EAF5B2D9-AF25-45AC-9ED3-AF4044875B79}" uniqueName="1099" name="Column1099" queryTableFieldId="1099"/>
    <tableColumn id="1100" xr3:uid="{8798F68D-00CB-4885-9D0B-7A87DC290553}" uniqueName="1100" name="Column1100" queryTableFieldId="1100"/>
    <tableColumn id="1101" xr3:uid="{C1147A61-A0B7-4E22-84E8-95AD925F68AC}" uniqueName="1101" name="Column1101" queryTableFieldId="1101"/>
    <tableColumn id="1102" xr3:uid="{7A20B566-F88C-45D9-97C8-6B4335A4A510}" uniqueName="1102" name="Column1102" queryTableFieldId="1102"/>
    <tableColumn id="1103" xr3:uid="{C4ACFC8B-0C7B-4BA2-B6AD-B79F8DAD174D}" uniqueName="1103" name="Column1103" queryTableFieldId="1103"/>
    <tableColumn id="1104" xr3:uid="{34890658-F4AC-4D6C-8033-ECB93E1B1282}" uniqueName="1104" name="Column1104" queryTableFieldId="1104"/>
    <tableColumn id="1105" xr3:uid="{08724917-CA48-48E6-8F67-95E1FA7AF75D}" uniqueName="1105" name="Column1105" queryTableFieldId="1105"/>
    <tableColumn id="1106" xr3:uid="{3B425BB1-B71F-40B4-82D4-E5048D7590BA}" uniqueName="1106" name="Column1106" queryTableFieldId="1106"/>
    <tableColumn id="1107" xr3:uid="{EFCC8505-1FE1-4040-8BA8-607FF813375B}" uniqueName="1107" name="Column1107" queryTableFieldId="1107"/>
    <tableColumn id="1108" xr3:uid="{97F47CD2-FEAE-40E2-9859-D87AA4FC5087}" uniqueName="1108" name="Column1108" queryTableFieldId="1108"/>
    <tableColumn id="1109" xr3:uid="{92EB567A-0434-476E-8279-1E22A6588640}" uniqueName="1109" name="Column1109" queryTableFieldId="1109"/>
    <tableColumn id="1110" xr3:uid="{172A784A-8922-4D8D-9206-1BC6C6ADF9F6}" uniqueName="1110" name="Column1110" queryTableFieldId="1110"/>
    <tableColumn id="1111" xr3:uid="{94EBA78B-CEB6-4C49-BF91-CEA5E48C843C}" uniqueName="1111" name="Column1111" queryTableFieldId="1111"/>
    <tableColumn id="1112" xr3:uid="{CA50F298-1639-4C5C-8240-05F12616C6D3}" uniqueName="1112" name="Column1112" queryTableFieldId="1112"/>
    <tableColumn id="1113" xr3:uid="{1DDC341D-924F-4962-A0EA-F40FC2E93064}" uniqueName="1113" name="Column1113" queryTableFieldId="1113"/>
    <tableColumn id="1114" xr3:uid="{AFB6260B-FD87-42E6-BBA3-5F986F22A556}" uniqueName="1114" name="Column1114" queryTableFieldId="1114"/>
    <tableColumn id="1115" xr3:uid="{CD7400B0-E4D0-4BD0-9E17-C5CC51FCE676}" uniqueName="1115" name="Column1115" queryTableFieldId="1115"/>
    <tableColumn id="1116" xr3:uid="{5F05142C-6F2B-42D6-AFF1-9296AFE2A6C5}" uniqueName="1116" name="Column1116" queryTableFieldId="1116"/>
    <tableColumn id="1117" xr3:uid="{23FFE637-8C31-41C9-A36C-9E6563E79AF6}" uniqueName="1117" name="Column1117" queryTableFieldId="1117"/>
    <tableColumn id="1118" xr3:uid="{B2190FF4-0439-4BEE-A65E-86FF1E94C812}" uniqueName="1118" name="Column1118" queryTableFieldId="1118"/>
    <tableColumn id="1119" xr3:uid="{7B2CE7DA-CEBE-4EFA-AD30-9152BF291328}" uniqueName="1119" name="Column1119" queryTableFieldId="1119"/>
    <tableColumn id="1120" xr3:uid="{B37C2A93-EBC1-4992-AFF6-D8E9B9E3B5E4}" uniqueName="1120" name="Column1120" queryTableFieldId="1120"/>
    <tableColumn id="1121" xr3:uid="{A85FBDBB-E5B1-45D3-8A24-94245BFAC37A}" uniqueName="1121" name="Column1121" queryTableFieldId="1121"/>
    <tableColumn id="1122" xr3:uid="{22C03E73-D1F8-4A3E-9892-C6CFCC3CA90A}" uniqueName="1122" name="Column1122" queryTableFieldId="1122"/>
    <tableColumn id="1123" xr3:uid="{774E8CB9-BDC3-4745-BEDB-089FB4A405B1}" uniqueName="1123" name="Column1123" queryTableFieldId="1123"/>
    <tableColumn id="1124" xr3:uid="{FFB71C3E-D893-4A9B-97AB-A7512E60B804}" uniqueName="1124" name="Column1124" queryTableFieldId="1124"/>
    <tableColumn id="1125" xr3:uid="{4278AAFB-7A0E-4E66-8AAD-689192FDC5FD}" uniqueName="1125" name="Column1125" queryTableFieldId="1125"/>
    <tableColumn id="1126" xr3:uid="{B8314267-BCCF-4392-8300-803478A2CE97}" uniqueName="1126" name="Column1126" queryTableFieldId="1126"/>
    <tableColumn id="1127" xr3:uid="{BAC00036-BA4E-42E2-8F40-12B1E3ABE73D}" uniqueName="1127" name="Column1127" queryTableFieldId="1127"/>
    <tableColumn id="1128" xr3:uid="{868E4231-6566-4E50-A2AA-F42A0F274DE7}" uniqueName="1128" name="Column1128" queryTableFieldId="1128"/>
    <tableColumn id="1129" xr3:uid="{1450480D-D7BC-4139-BED6-DAB0BFB6C3FB}" uniqueName="1129" name="Column1129" queryTableFieldId="1129"/>
    <tableColumn id="1130" xr3:uid="{A7C2CA1A-324D-4A30-B4F9-34D3C201A2BB}" uniqueName="1130" name="Column1130" queryTableFieldId="1130"/>
    <tableColumn id="1131" xr3:uid="{A97AA571-02D5-4D14-8B28-2A7F550FDCCB}" uniqueName="1131" name="Column1131" queryTableFieldId="1131"/>
    <tableColumn id="1132" xr3:uid="{EE9A6C3C-B9D9-431D-A950-FCC6802A9FE8}" uniqueName="1132" name="Column1132" queryTableFieldId="1132"/>
    <tableColumn id="1133" xr3:uid="{D8EB9301-C4E4-4FE0-92BE-56DCE525B04D}" uniqueName="1133" name="Column1133" queryTableFieldId="1133"/>
    <tableColumn id="1134" xr3:uid="{99E4FD14-4A36-43B6-A657-AB63D1E0556B}" uniqueName="1134" name="Column1134" queryTableFieldId="1134"/>
    <tableColumn id="1135" xr3:uid="{FD37041D-FD13-42C6-8297-DE8A0B08CC9D}" uniqueName="1135" name="Column1135" queryTableFieldId="1135"/>
    <tableColumn id="1136" xr3:uid="{440C44D0-A480-49F6-8A65-D42117AD98FE}" uniqueName="1136" name="Column1136" queryTableFieldId="1136"/>
    <tableColumn id="1137" xr3:uid="{00CA12CB-321F-4A9E-A7C1-335D8E029106}" uniqueName="1137" name="Column1137" queryTableFieldId="1137"/>
    <tableColumn id="1138" xr3:uid="{939092B7-8561-4317-987E-7D57CCFBF54C}" uniqueName="1138" name="Column1138" queryTableFieldId="1138"/>
    <tableColumn id="1139" xr3:uid="{EE6B50F0-675A-421C-8994-30AC43352932}" uniqueName="1139" name="Column1139" queryTableFieldId="1139"/>
    <tableColumn id="1140" xr3:uid="{9EF1B105-EABE-4DB7-BDBC-B8B36A4907A1}" uniqueName="1140" name="Column1140" queryTableFieldId="1140"/>
    <tableColumn id="1141" xr3:uid="{60FF5577-B9A7-48D7-86DE-1F92FC228F24}" uniqueName="1141" name="Column1141" queryTableFieldId="1141"/>
    <tableColumn id="1142" xr3:uid="{30596D98-C5C1-46C3-9B29-BA6D3D7B5789}" uniqueName="1142" name="Column1142" queryTableFieldId="1142"/>
    <tableColumn id="1143" xr3:uid="{CD62F444-793F-4557-937A-01263B6B7500}" uniqueName="1143" name="Column1143" queryTableFieldId="1143"/>
    <tableColumn id="1144" xr3:uid="{E4D0EA87-C370-431D-B527-7E650D4A39FD}" uniqueName="1144" name="Column1144" queryTableFieldId="1144"/>
    <tableColumn id="1145" xr3:uid="{0650C8B1-9E93-46EF-935C-57E2DAE23AB1}" uniqueName="1145" name="Column1145" queryTableFieldId="1145"/>
    <tableColumn id="1146" xr3:uid="{3F856412-F975-46D9-BA42-3AC7D9D23FA9}" uniqueName="1146" name="Column1146" queryTableFieldId="1146"/>
    <tableColumn id="1147" xr3:uid="{B8A6F69E-96D3-4447-BF73-00D70AB77D71}" uniqueName="1147" name="Column1147" queryTableFieldId="1147"/>
    <tableColumn id="1148" xr3:uid="{64DC9AA6-627D-4E09-84EA-8BC0017EAB9E}" uniqueName="1148" name="Column1148" queryTableFieldId="1148"/>
    <tableColumn id="1149" xr3:uid="{FBA03179-107A-45F6-BF14-5529A366E8D6}" uniqueName="1149" name="Column1149" queryTableFieldId="1149"/>
    <tableColumn id="1150" xr3:uid="{BBC4AA35-7D44-442C-BA58-6A3EB24EDB66}" uniqueName="1150" name="Column1150" queryTableFieldId="1150"/>
    <tableColumn id="1151" xr3:uid="{87A1865B-51C4-4C34-9145-3AA5AD942E43}" uniqueName="1151" name="Column1151" queryTableFieldId="1151"/>
    <tableColumn id="1152" xr3:uid="{F7DAED39-944C-4380-873D-E4AC89565084}" uniqueName="1152" name="Column1152" queryTableFieldId="1152"/>
    <tableColumn id="1153" xr3:uid="{AE81168F-FA6F-4E73-82DA-134BF0E20832}" uniqueName="1153" name="Column1153" queryTableFieldId="1153"/>
    <tableColumn id="1154" xr3:uid="{7E7E73D2-182B-4DA4-80D5-AF12F94011A6}" uniqueName="1154" name="Column1154" queryTableFieldId="1154"/>
    <tableColumn id="1155" xr3:uid="{30C46110-3828-4FAC-A373-CFD3D9FEB09E}" uniqueName="1155" name="Column1155" queryTableFieldId="1155"/>
    <tableColumn id="1156" xr3:uid="{557E7900-D925-4AC7-958B-44A20BFD5C3B}" uniqueName="1156" name="Column1156" queryTableFieldId="1156"/>
    <tableColumn id="1157" xr3:uid="{EB3EDDD3-5A5F-433C-BD03-D2D143C99011}" uniqueName="1157" name="Column1157" queryTableFieldId="1157"/>
    <tableColumn id="1158" xr3:uid="{53B1D781-65A0-4BF5-8A49-76E21176231C}" uniqueName="1158" name="Column1158" queryTableFieldId="1158"/>
    <tableColumn id="1159" xr3:uid="{B0CC75A1-F3B0-4CA9-BB3D-F9E98B85AF5B}" uniqueName="1159" name="Column1159" queryTableFieldId="1159"/>
    <tableColumn id="1160" xr3:uid="{A95A78C0-F709-41D9-9081-263018DBBCD4}" uniqueName="1160" name="Column1160" queryTableFieldId="1160"/>
    <tableColumn id="1161" xr3:uid="{BB0EFF90-D120-4278-A42F-B2EAC1335C52}" uniqueName="1161" name="Column1161" queryTableFieldId="1161"/>
    <tableColumn id="1162" xr3:uid="{16B8F86F-7B49-42E2-8CE0-FA9AF856A7B5}" uniqueName="1162" name="Column1162" queryTableFieldId="1162"/>
    <tableColumn id="1163" xr3:uid="{BC2C64C1-58A6-4820-9337-4624C2863E8C}" uniqueName="1163" name="Column1163" queryTableFieldId="1163"/>
    <tableColumn id="1164" xr3:uid="{9ED30E13-B334-47AD-944B-375CBC252673}" uniqueName="1164" name="Column1164" queryTableFieldId="1164"/>
    <tableColumn id="1165" xr3:uid="{941F5A5A-FC42-4AC8-A8DD-3CC5F37A34C3}" uniqueName="1165" name="Column1165" queryTableFieldId="1165"/>
    <tableColumn id="1166" xr3:uid="{5C4A5670-3A1E-4F19-A9DF-4CFB7EA7FF36}" uniqueName="1166" name="Column1166" queryTableFieldId="1166"/>
    <tableColumn id="1167" xr3:uid="{999F750B-BB74-4037-AF47-84D2BD8EBE21}" uniqueName="1167" name="Column1167" queryTableFieldId="1167"/>
    <tableColumn id="1168" xr3:uid="{4BDE023E-0B55-4EB5-AD45-BC28A47B5C5E}" uniqueName="1168" name="Column1168" queryTableFieldId="1168"/>
    <tableColumn id="1169" xr3:uid="{00E011E3-DAAD-4DED-A632-E3FF1337ED52}" uniqueName="1169" name="Column1169" queryTableFieldId="1169"/>
    <tableColumn id="1170" xr3:uid="{CBD68B64-08A8-42B0-8CEE-9920E3970249}" uniqueName="1170" name="Column1170" queryTableFieldId="1170"/>
    <tableColumn id="1171" xr3:uid="{F978B9CF-F1F3-405B-980F-30E842719F49}" uniqueName="1171" name="Column1171" queryTableFieldId="1171"/>
    <tableColumn id="1172" xr3:uid="{EE39EF87-6E70-4FC0-9675-97A75E141F4A}" uniqueName="1172" name="Column1172" queryTableFieldId="1172"/>
    <tableColumn id="1173" xr3:uid="{629BCABC-5C6B-4F6E-BD99-E2D669820AE9}" uniqueName="1173" name="Column1173" queryTableFieldId="1173"/>
    <tableColumn id="1174" xr3:uid="{9E68C688-9D54-430C-B239-5F68B60B95D7}" uniqueName="1174" name="Column1174" queryTableFieldId="1174"/>
    <tableColumn id="1175" xr3:uid="{FFE99E89-704F-42B8-AB22-92D1663D7782}" uniqueName="1175" name="Column1175" queryTableFieldId="1175"/>
    <tableColumn id="1176" xr3:uid="{CD5B2882-8F99-4E05-945C-724E45462A76}" uniqueName="1176" name="Column1176" queryTableFieldId="1176"/>
    <tableColumn id="1177" xr3:uid="{0936D4DB-961A-4054-95C3-FF5A5948CEDD}" uniqueName="1177" name="Column1177" queryTableFieldId="1177"/>
    <tableColumn id="1178" xr3:uid="{B189AE25-E5F1-443F-A7CC-B0BA1C05F67E}" uniqueName="1178" name="Column1178" queryTableFieldId="1178"/>
    <tableColumn id="1179" xr3:uid="{8830C116-A3E3-46B7-A0E3-7A6D690B3393}" uniqueName="1179" name="Column1179" queryTableFieldId="1179"/>
    <tableColumn id="1180" xr3:uid="{1B4BE102-3BE3-4752-A7CF-F3695D3C837C}" uniqueName="1180" name="Column1180" queryTableFieldId="1180"/>
    <tableColumn id="1181" xr3:uid="{3DC7FB8A-D72A-435B-90F5-61A15171EEBD}" uniqueName="1181" name="Column1181" queryTableFieldId="1181"/>
    <tableColumn id="1182" xr3:uid="{B5155F7B-76C0-4909-B1CB-99830D4C5498}" uniqueName="1182" name="Column1182" queryTableFieldId="1182"/>
    <tableColumn id="1183" xr3:uid="{C5639224-AB86-4ED2-ACEF-CAC1B70AC801}" uniqueName="1183" name="Column1183" queryTableFieldId="1183"/>
    <tableColumn id="1184" xr3:uid="{8F8B1949-7506-464A-A9C2-709F2F96D167}" uniqueName="1184" name="Column1184" queryTableFieldId="1184"/>
    <tableColumn id="1185" xr3:uid="{933FC2DC-8CB9-4348-BA41-D8E39EA8786B}" uniqueName="1185" name="Column1185" queryTableFieldId="1185"/>
    <tableColumn id="1186" xr3:uid="{09A9F8B3-9FEA-448C-8EE3-705A66138F90}" uniqueName="1186" name="Column1186" queryTableFieldId="1186"/>
    <tableColumn id="1187" xr3:uid="{8D6F1E90-4FD1-4174-8080-9D847F5A4B50}" uniqueName="1187" name="Column1187" queryTableFieldId="1187"/>
    <tableColumn id="1188" xr3:uid="{3853BDEF-4D50-41DB-A7A8-AC2D052D1A88}" uniqueName="1188" name="Column1188" queryTableFieldId="1188"/>
    <tableColumn id="1189" xr3:uid="{DDECFA6B-6A00-4A8C-82DE-BC9B064629C5}" uniqueName="1189" name="Column1189" queryTableFieldId="1189"/>
    <tableColumn id="1190" xr3:uid="{61698966-429C-42C5-A8A3-1756CAB69C55}" uniqueName="1190" name="Column1190" queryTableFieldId="1190"/>
    <tableColumn id="1191" xr3:uid="{F3908B2B-9D2B-45E2-A5CA-BC5D2292F242}" uniqueName="1191" name="Column1191" queryTableFieldId="1191"/>
    <tableColumn id="1192" xr3:uid="{991E3D07-D38F-4F57-8D0F-8AFFA49A900F}" uniqueName="1192" name="Column1192" queryTableFieldId="1192"/>
    <tableColumn id="1193" xr3:uid="{F5A3D377-1F3B-4D1A-B942-7EDF5B26C590}" uniqueName="1193" name="Column1193" queryTableFieldId="1193"/>
    <tableColumn id="1194" xr3:uid="{46ECF761-52B1-420D-85FD-2BEDCBE1CE94}" uniqueName="1194" name="Column1194" queryTableFieldId="1194"/>
    <tableColumn id="1195" xr3:uid="{E6185EB9-321D-4C81-B304-B596A56857A8}" uniqueName="1195" name="Column1195" queryTableFieldId="1195"/>
    <tableColumn id="1196" xr3:uid="{FF7513B9-37DF-4E08-8872-6EDA499D7AF8}" uniqueName="1196" name="Column1196" queryTableFieldId="1196"/>
    <tableColumn id="1197" xr3:uid="{6478C5DD-E6B1-417D-9977-5031AE683CBD}" uniqueName="1197" name="Column1197" queryTableFieldId="1197"/>
    <tableColumn id="1198" xr3:uid="{6FA065F0-9363-4888-A495-53EB5D859513}" uniqueName="1198" name="Column1198" queryTableFieldId="1198"/>
    <tableColumn id="1199" xr3:uid="{23958DC2-A7F8-46BB-AEBD-3F47954F63BE}" uniqueName="1199" name="Column1199" queryTableFieldId="1199"/>
    <tableColumn id="1200" xr3:uid="{28D6B847-6E42-4DFF-8264-D24FF98F6ED8}" uniqueName="1200" name="Column1200" queryTableFieldId="1200"/>
    <tableColumn id="1201" xr3:uid="{02C06A12-DF48-45F8-A89A-E82A00D40579}" uniqueName="1201" name="Column1201" queryTableFieldId="1201"/>
    <tableColumn id="1202" xr3:uid="{1F4135ED-B20C-460E-BDAE-EDEA73504645}" uniqueName="1202" name="Column1202" queryTableFieldId="1202"/>
    <tableColumn id="1203" xr3:uid="{E27D2EB0-9842-4A9D-B0DE-61580A56BDD8}" uniqueName="1203" name="Column1203" queryTableFieldId="1203"/>
    <tableColumn id="1204" xr3:uid="{7E04D1FD-2B77-41EF-8624-CBD9AE4C567E}" uniqueName="1204" name="Column1204" queryTableFieldId="1204"/>
    <tableColumn id="1205" xr3:uid="{1EFFF0B1-25BC-4973-A64B-1E86A877F2F5}" uniqueName="1205" name="Column1205" queryTableFieldId="1205"/>
    <tableColumn id="1206" xr3:uid="{5D5E5273-F77E-4890-AB52-B59E889FFD37}" uniqueName="1206" name="Column1206" queryTableFieldId="1206"/>
    <tableColumn id="1207" xr3:uid="{52AC0F4D-785D-48B3-B69A-B700A41F91BA}" uniqueName="1207" name="Column1207" queryTableFieldId="1207"/>
    <tableColumn id="1208" xr3:uid="{42006DFD-2E36-4598-997F-B21F503E6767}" uniqueName="1208" name="Column1208" queryTableFieldId="1208"/>
    <tableColumn id="1209" xr3:uid="{6F53C3F7-2047-4C33-B1C4-78BDB6BC40FB}" uniqueName="1209" name="Column1209" queryTableFieldId="1209"/>
    <tableColumn id="1210" xr3:uid="{AA48F417-6604-45F7-B5B4-39EE83C7BD10}" uniqueName="1210" name="Column1210" queryTableFieldId="1210"/>
    <tableColumn id="1211" xr3:uid="{A115B090-591F-406F-B336-94B8CA182C6A}" uniqueName="1211" name="Column1211" queryTableFieldId="1211"/>
    <tableColumn id="1212" xr3:uid="{8A4EF46D-F2D4-4717-BCBA-3A85633418B6}" uniqueName="1212" name="Column1212" queryTableFieldId="1212"/>
    <tableColumn id="1213" xr3:uid="{EB0B8769-0775-424F-A6B2-30B6163441B2}" uniqueName="1213" name="Column1213" queryTableFieldId="1213"/>
    <tableColumn id="1214" xr3:uid="{601BD38D-8893-4282-B3F6-C814C6AB8497}" uniqueName="1214" name="Column1214" queryTableFieldId="1214"/>
    <tableColumn id="1215" xr3:uid="{AF300370-AA3E-469E-8DB4-86B93471BD71}" uniqueName="1215" name="Column1215" queryTableFieldId="1215"/>
    <tableColumn id="1216" xr3:uid="{A58A6BBA-E844-4774-8AA3-84AEDC2268F2}" uniqueName="1216" name="Column1216" queryTableFieldId="1216"/>
    <tableColumn id="1217" xr3:uid="{0B7C6568-B6D3-4E15-9367-1824A70928D4}" uniqueName="1217" name="Column1217" queryTableFieldId="1217"/>
    <tableColumn id="1218" xr3:uid="{022745D5-5695-4C61-8DBF-EDD327A13452}" uniqueName="1218" name="Column1218" queryTableFieldId="1218"/>
    <tableColumn id="1219" xr3:uid="{5FFAA849-FE7E-4F95-97D7-7AF7A449D8A0}" uniqueName="1219" name="Column1219" queryTableFieldId="1219"/>
    <tableColumn id="1220" xr3:uid="{E8463C7C-F33A-408F-8192-FF4BB6B81A9E}" uniqueName="1220" name="Column1220" queryTableFieldId="1220"/>
    <tableColumn id="1221" xr3:uid="{7EEF34E9-310D-4CEA-8D70-9237395A304B}" uniqueName="1221" name="Column1221" queryTableFieldId="1221"/>
    <tableColumn id="1222" xr3:uid="{6666881E-BC75-4547-977A-D86E5C64F067}" uniqueName="1222" name="Column1222" queryTableFieldId="1222"/>
    <tableColumn id="1223" xr3:uid="{6D8CD749-71E9-449D-9A2D-25512754A882}" uniqueName="1223" name="Column1223" queryTableFieldId="1223"/>
    <tableColumn id="1224" xr3:uid="{DF4B28E3-E7AB-418F-B500-F1F79AFEC45E}" uniqueName="1224" name="Column1224" queryTableFieldId="1224"/>
    <tableColumn id="1225" xr3:uid="{23A0C52E-7119-45A0-AA3E-6B7A7C925D2F}" uniqueName="1225" name="Column1225" queryTableFieldId="1225"/>
    <tableColumn id="1226" xr3:uid="{8D288E0B-2064-483A-BFF5-6FF60F514C04}" uniqueName="1226" name="Column1226" queryTableFieldId="1226"/>
    <tableColumn id="1227" xr3:uid="{B06A8F15-D4DD-415D-86CC-34D3AEC49C52}" uniqueName="1227" name="Column1227" queryTableFieldId="1227"/>
    <tableColumn id="1228" xr3:uid="{DDCDF79A-E381-46C7-A0CB-79EEC340004B}" uniqueName="1228" name="Column1228" queryTableFieldId="1228"/>
    <tableColumn id="1229" xr3:uid="{0CF6AB5B-850D-40EC-9C35-538CE34AD302}" uniqueName="1229" name="Column1229" queryTableFieldId="1229"/>
    <tableColumn id="1230" xr3:uid="{B93E3BB7-6E7A-46BA-9EF6-331EE9182EE5}" uniqueName="1230" name="Column1230" queryTableFieldId="1230"/>
    <tableColumn id="1231" xr3:uid="{8AC38200-C36F-4593-B0B4-324C89D9224E}" uniqueName="1231" name="Column1231" queryTableFieldId="1231"/>
    <tableColumn id="1232" xr3:uid="{228CD942-0958-4E57-85BD-E99C50250025}" uniqueName="1232" name="Column1232" queryTableFieldId="1232"/>
    <tableColumn id="1233" xr3:uid="{3D2FF4A4-234A-49F2-9ACD-ABE26CD919AE}" uniqueName="1233" name="Column1233" queryTableFieldId="1233"/>
    <tableColumn id="1234" xr3:uid="{50A0D921-CE30-4F76-8A2F-D9BB3AE3F135}" uniqueName="1234" name="Column1234" queryTableFieldId="1234"/>
    <tableColumn id="1235" xr3:uid="{BB9A4A4C-A8C9-4B1F-9C33-471CFF9B948A}" uniqueName="1235" name="Column1235" queryTableFieldId="1235"/>
    <tableColumn id="1236" xr3:uid="{A133D351-05B4-4167-95CC-A13D137A8270}" uniqueName="1236" name="Column1236" queryTableFieldId="1236"/>
    <tableColumn id="1237" xr3:uid="{07830DFE-383E-49C0-8089-1A3BA462B794}" uniqueName="1237" name="Column1237" queryTableFieldId="1237"/>
    <tableColumn id="1238" xr3:uid="{57CBEE21-0F17-4A19-B34D-8FAFAAC52306}" uniqueName="1238" name="Column1238" queryTableFieldId="1238"/>
    <tableColumn id="1239" xr3:uid="{85622865-4B44-4036-A0EC-49067CF6CBE1}" uniqueName="1239" name="Column1239" queryTableFieldId="1239"/>
    <tableColumn id="1240" xr3:uid="{5F2DDF49-FA95-44E5-8AC6-08A910D85794}" uniqueName="1240" name="Column1240" queryTableFieldId="1240"/>
    <tableColumn id="1241" xr3:uid="{F2FE737E-F1EE-4F90-9AFA-E639E1F58493}" uniqueName="1241" name="Column1241" queryTableFieldId="1241"/>
    <tableColumn id="1242" xr3:uid="{37EC947A-9516-4BF6-AFAE-D54338ACEB1A}" uniqueName="1242" name="Column1242" queryTableFieldId="1242"/>
    <tableColumn id="1243" xr3:uid="{5CFCA436-FC4F-460C-A7BE-37440305CD0F}" uniqueName="1243" name="Column1243" queryTableFieldId="1243"/>
    <tableColumn id="1244" xr3:uid="{43C82567-2667-45E8-838C-203CD076227A}" uniqueName="1244" name="Column1244" queryTableFieldId="1244"/>
    <tableColumn id="1245" xr3:uid="{28B3B26E-D5FD-492C-87F6-09E8F208BB03}" uniqueName="1245" name="Column1245" queryTableFieldId="1245"/>
    <tableColumn id="1246" xr3:uid="{8EFD3FC0-B9BB-41CC-B01A-22C810767D2C}" uniqueName="1246" name="Column1246" queryTableFieldId="1246"/>
    <tableColumn id="1247" xr3:uid="{8783E7F1-9885-4416-B576-8D79315EC261}" uniqueName="1247" name="Column1247" queryTableFieldId="1247"/>
    <tableColumn id="1248" xr3:uid="{E0028234-9E7C-49FB-B55D-47C8310FBD6C}" uniqueName="1248" name="Column1248" queryTableFieldId="1248"/>
    <tableColumn id="1249" xr3:uid="{C22FCDA6-417E-4ABB-8ACA-7B6F71B3258B}" uniqueName="1249" name="Column1249" queryTableFieldId="1249"/>
    <tableColumn id="1250" xr3:uid="{62C68125-07B1-46AA-953A-FCD1A76FE0FA}" uniqueName="1250" name="Column1250" queryTableFieldId="1250"/>
    <tableColumn id="1251" xr3:uid="{1D7BC6F2-516C-4BDC-A10F-8581F023B4D9}" uniqueName="1251" name="Column1251" queryTableFieldId="1251"/>
    <tableColumn id="1252" xr3:uid="{EF8D5BB1-4F12-45D1-B5E4-31C1D5A26314}" uniqueName="1252" name="Column1252" queryTableFieldId="1252"/>
    <tableColumn id="1253" xr3:uid="{62817529-35C3-4614-A064-C4EAF37B54E6}" uniqueName="1253" name="Column1253" queryTableFieldId="1253"/>
    <tableColumn id="1254" xr3:uid="{FD24B945-4C6B-4416-B526-DB1B4E29ED6C}" uniqueName="1254" name="Column1254" queryTableFieldId="1254"/>
    <tableColumn id="1255" xr3:uid="{A29D676B-51B6-44DB-9F6C-548BCDF526E7}" uniqueName="1255" name="Column1255" queryTableFieldId="1255"/>
    <tableColumn id="1256" xr3:uid="{49997FB1-D4F6-40CF-9ED2-F45F1A164EC8}" uniqueName="1256" name="Column1256" queryTableFieldId="1256"/>
    <tableColumn id="1257" xr3:uid="{76A1FC04-9446-4C4F-84AB-B2888A09A9B6}" uniqueName="1257" name="Column1257" queryTableFieldId="1257"/>
    <tableColumn id="1258" xr3:uid="{1E285A62-762B-4812-BF25-B2DC7255FB1F}" uniqueName="1258" name="Column1258" queryTableFieldId="1258"/>
    <tableColumn id="1259" xr3:uid="{3227B382-841A-43BA-ADA3-4D6A635A3418}" uniqueName="1259" name="Column1259" queryTableFieldId="1259"/>
    <tableColumn id="1260" xr3:uid="{2C5467D7-56A7-45F4-8B15-19DF1C30AFEC}" uniqueName="1260" name="Column1260" queryTableFieldId="1260"/>
    <tableColumn id="1261" xr3:uid="{383D6FD8-E449-40E1-8539-D48E3B698D99}" uniqueName="1261" name="Column1261" queryTableFieldId="1261"/>
    <tableColumn id="1262" xr3:uid="{CD4A351D-0C36-489C-BA3C-C79557883A6B}" uniqueName="1262" name="Column1262" queryTableFieldId="1262"/>
    <tableColumn id="1263" xr3:uid="{01EE4AF7-0D7F-4F40-B364-15A5960EBC75}" uniqueName="1263" name="Column1263" queryTableFieldId="1263"/>
    <tableColumn id="1264" xr3:uid="{53E26A68-283D-4CB9-9BD5-CD73541F29B8}" uniqueName="1264" name="Column1264" queryTableFieldId="1264"/>
    <tableColumn id="1265" xr3:uid="{B1A327D5-EE73-4317-9168-622912F9397D}" uniqueName="1265" name="Column1265" queryTableFieldId="1265"/>
    <tableColumn id="1266" xr3:uid="{8CF24995-C552-437D-BAA3-E9DE4717A613}" uniqueName="1266" name="Column1266" queryTableFieldId="1266"/>
    <tableColumn id="1267" xr3:uid="{BFFD7631-183E-4FEB-B535-22EEDF2628B3}" uniqueName="1267" name="Column1267" queryTableFieldId="1267"/>
    <tableColumn id="1268" xr3:uid="{DD3F7619-772E-420D-A541-46B7114B4A4A}" uniqueName="1268" name="Column1268" queryTableFieldId="1268"/>
    <tableColumn id="1269" xr3:uid="{7F5BABB9-579F-4DF3-AC55-4AA6B0A4624C}" uniqueName="1269" name="Column1269" queryTableFieldId="1269"/>
    <tableColumn id="1270" xr3:uid="{95082E94-D4ED-4C18-A134-8CB23CB64580}" uniqueName="1270" name="Column1270" queryTableFieldId="1270"/>
    <tableColumn id="1271" xr3:uid="{3892916C-9BE6-4CF8-B0A9-1F70DC78DBEF}" uniqueName="1271" name="Column1271" queryTableFieldId="1271"/>
    <tableColumn id="1272" xr3:uid="{95E25361-00F7-47B0-8EFA-48F7EC725258}" uniqueName="1272" name="Column1272" queryTableFieldId="1272"/>
    <tableColumn id="1273" xr3:uid="{582589D5-7EA3-4490-916F-538F126D31B2}" uniqueName="1273" name="Column1273" queryTableFieldId="1273"/>
    <tableColumn id="1274" xr3:uid="{8BC465FB-D3E3-4908-9ED8-229AE1A90E70}" uniqueName="1274" name="Column1274" queryTableFieldId="1274"/>
    <tableColumn id="1275" xr3:uid="{ECB14C56-003D-4601-8154-65958D3F5E52}" uniqueName="1275" name="Column1275" queryTableFieldId="1275"/>
    <tableColumn id="1276" xr3:uid="{D8326537-1AB5-42AA-9554-31DF277EFA08}" uniqueName="1276" name="Column1276" queryTableFieldId="1276"/>
    <tableColumn id="1277" xr3:uid="{819907B3-E9A8-40EB-BB8F-66C194FAEA04}" uniqueName="1277" name="Column1277" queryTableFieldId="1277"/>
    <tableColumn id="1278" xr3:uid="{38822047-67AD-401C-B1BC-BE99D831E5B7}" uniqueName="1278" name="Column1278" queryTableFieldId="1278"/>
    <tableColumn id="1279" xr3:uid="{42E4670C-FC52-4E65-9642-86CEE276B320}" uniqueName="1279" name="Column1279" queryTableFieldId="1279"/>
    <tableColumn id="1280" xr3:uid="{EB0A1174-29BD-4E04-90C3-3CA94A3E334F}" uniqueName="1280" name="Column1280" queryTableFieldId="1280"/>
    <tableColumn id="1281" xr3:uid="{4E76A3C7-5CDB-4AFE-8800-85D40A7D72B2}" uniqueName="1281" name="Column1281" queryTableFieldId="1281"/>
    <tableColumn id="1282" xr3:uid="{BF573D68-C434-4A01-9035-29322A183177}" uniqueName="1282" name="Column1282" queryTableFieldId="1282"/>
    <tableColumn id="1283" xr3:uid="{ADC51C56-A6D7-4175-844D-280718272042}" uniqueName="1283" name="Column1283" queryTableFieldId="1283"/>
    <tableColumn id="1284" xr3:uid="{A4E425AE-41D1-4DA1-AFF8-1FA1E4FBF595}" uniqueName="1284" name="Column1284" queryTableFieldId="1284"/>
    <tableColumn id="1285" xr3:uid="{E7232223-0FAA-49CE-A53E-C30455BAD6DC}" uniqueName="1285" name="Column1285" queryTableFieldId="1285"/>
    <tableColumn id="1286" xr3:uid="{E558D7F8-34AD-4FAB-B1D5-17BA9E37DE5C}" uniqueName="1286" name="Column1286" queryTableFieldId="1286"/>
    <tableColumn id="1287" xr3:uid="{7F417DB1-212A-4F93-9920-6BCD42251BAE}" uniqueName="1287" name="Column1287" queryTableFieldId="1287"/>
    <tableColumn id="1288" xr3:uid="{E9812BBC-F06A-4417-9DAD-526B65BAF92E}" uniqueName="1288" name="Column1288" queryTableFieldId="1288"/>
    <tableColumn id="1289" xr3:uid="{FE261734-8D8B-49BF-8373-38B6D0FD97B8}" uniqueName="1289" name="Column1289" queryTableFieldId="1289"/>
    <tableColumn id="1290" xr3:uid="{0E6607FB-7678-49EB-8906-1150D3A59B43}" uniqueName="1290" name="Column1290" queryTableFieldId="1290"/>
    <tableColumn id="1291" xr3:uid="{AB996073-D33F-4A90-90F2-B993419084FE}" uniqueName="1291" name="Column1291" queryTableFieldId="1291"/>
    <tableColumn id="1292" xr3:uid="{9DEE561B-5E95-4875-A70C-8B207AF8321C}" uniqueName="1292" name="Column1292" queryTableFieldId="1292"/>
    <tableColumn id="1293" xr3:uid="{C47981C8-23DC-476B-B4CD-F12654CDE36D}" uniqueName="1293" name="Column1293" queryTableFieldId="1293"/>
    <tableColumn id="1294" xr3:uid="{CA570F3F-5818-4883-B45E-AC1F1E65E268}" uniqueName="1294" name="Column1294" queryTableFieldId="1294"/>
    <tableColumn id="1295" xr3:uid="{73DBA5D6-7A80-4D4A-BFAF-4A28E8B6F9BB}" uniqueName="1295" name="Column1295" queryTableFieldId="1295"/>
    <tableColumn id="1296" xr3:uid="{8B60AEB2-F815-45D0-8E66-291E2FFB9B34}" uniqueName="1296" name="Column1296" queryTableFieldId="1296"/>
    <tableColumn id="1297" xr3:uid="{A910FE52-AC79-4354-B91F-CB26DDDBE4CF}" uniqueName="1297" name="Column1297" queryTableFieldId="1297"/>
    <tableColumn id="1298" xr3:uid="{B3D327F9-0856-40DC-8848-C1921BDBA913}" uniqueName="1298" name="Column1298" queryTableFieldId="1298"/>
    <tableColumn id="1299" xr3:uid="{954385E5-8F35-4DF0-A152-D622D54FBD7D}" uniqueName="1299" name="Column1299" queryTableFieldId="1299"/>
    <tableColumn id="1300" xr3:uid="{013170C7-6F70-4D3A-9110-D9133C0212B7}" uniqueName="1300" name="Column1300" queryTableFieldId="1300"/>
    <tableColumn id="1301" xr3:uid="{A3EF7E2A-1D3D-4D94-8CB1-5AF7804E5712}" uniqueName="1301" name="Column1301" queryTableFieldId="1301"/>
    <tableColumn id="1302" xr3:uid="{62D4E733-63BE-431B-92FC-991EDDFCDB86}" uniqueName="1302" name="Column1302" queryTableFieldId="1302"/>
    <tableColumn id="1303" xr3:uid="{C34942C1-3F61-4025-85A7-0BC93D659D6D}" uniqueName="1303" name="Column1303" queryTableFieldId="1303"/>
    <tableColumn id="1304" xr3:uid="{5EA6C7F3-C637-4C78-B63A-9A95474CCE72}" uniqueName="1304" name="Column1304" queryTableFieldId="1304"/>
    <tableColumn id="1305" xr3:uid="{5BA59327-F082-442B-97F3-8E3C4F5C0456}" uniqueName="1305" name="Column1305" queryTableFieldId="1305"/>
    <tableColumn id="1306" xr3:uid="{EFCA1C36-845A-4415-9EF6-D1B5E1F1084E}" uniqueName="1306" name="Column1306" queryTableFieldId="1306"/>
    <tableColumn id="1307" xr3:uid="{6BE4A225-6285-4CAA-804A-ACAE69A4EF6B}" uniqueName="1307" name="Column1307" queryTableFieldId="1307"/>
    <tableColumn id="1308" xr3:uid="{8B3167C4-240D-4797-9626-3DB5FCD570C0}" uniqueName="1308" name="Column1308" queryTableFieldId="1308"/>
    <tableColumn id="1309" xr3:uid="{029B03E1-92D5-4A90-B0F7-F7DEA8AFB87B}" uniqueName="1309" name="Column1309" queryTableFieldId="1309"/>
    <tableColumn id="1310" xr3:uid="{0373C466-BB95-4DE9-A695-058D49F1F386}" uniqueName="1310" name="Column1310" queryTableFieldId="1310"/>
    <tableColumn id="1311" xr3:uid="{48C112C1-E016-4417-BA1E-DEEBDDE903A1}" uniqueName="1311" name="Column1311" queryTableFieldId="1311"/>
    <tableColumn id="1312" xr3:uid="{60A3753E-885F-4622-BCD0-77D3760951EC}" uniqueName="1312" name="Column1312" queryTableFieldId="1312"/>
    <tableColumn id="1313" xr3:uid="{5E257891-4083-430D-AA66-08487F815679}" uniqueName="1313" name="Column1313" queryTableFieldId="1313"/>
    <tableColumn id="1314" xr3:uid="{D56748F4-8732-477C-BED7-DE21AA62EA3B}" uniqueName="1314" name="Column1314" queryTableFieldId="1314"/>
    <tableColumn id="1315" xr3:uid="{8015F913-9646-4DAC-A492-B489EA0F572C}" uniqueName="1315" name="Column1315" queryTableFieldId="1315"/>
    <tableColumn id="1316" xr3:uid="{568C90C6-2377-4B3E-8804-5683A8588CF6}" uniqueName="1316" name="Column1316" queryTableFieldId="1316"/>
    <tableColumn id="1317" xr3:uid="{93501A0E-3874-4F68-A699-D30D4DC48D25}" uniqueName="1317" name="Column1317" queryTableFieldId="1317"/>
    <tableColumn id="1318" xr3:uid="{CE895B0A-EC02-43C0-9A5A-41EE07C66220}" uniqueName="1318" name="Column1318" queryTableFieldId="1318"/>
    <tableColumn id="1319" xr3:uid="{EF484672-5C64-44BD-AEF4-4951B0B616B7}" uniqueName="1319" name="Column1319" queryTableFieldId="1319"/>
    <tableColumn id="1320" xr3:uid="{D9C81080-D75B-452A-A3D6-3D53312077A7}" uniqueName="1320" name="Column1320" queryTableFieldId="1320"/>
    <tableColumn id="1321" xr3:uid="{E6F13DB3-A2A7-4C4D-AA10-ADF49A332D4A}" uniqueName="1321" name="Column1321" queryTableFieldId="1321"/>
    <tableColumn id="1322" xr3:uid="{B385D6D4-7CC4-499F-A69A-958C066D54FB}" uniqueName="1322" name="Column1322" queryTableFieldId="1322"/>
    <tableColumn id="1323" xr3:uid="{9ABE853D-520F-4BA9-823A-90C64F805859}" uniqueName="1323" name="Column1323" queryTableFieldId="1323"/>
    <tableColumn id="1324" xr3:uid="{4263B70F-27EC-49E1-9A64-6E27AA1C1785}" uniqueName="1324" name="Column1324" queryTableFieldId="1324"/>
    <tableColumn id="1325" xr3:uid="{823AC1B5-0D5B-4865-909D-6F3A1007D418}" uniqueName="1325" name="Column1325" queryTableFieldId="1325"/>
    <tableColumn id="1326" xr3:uid="{BE13608E-37FF-4547-B3A7-C3A59C2FD0D5}" uniqueName="1326" name="Column1326" queryTableFieldId="1326"/>
    <tableColumn id="1327" xr3:uid="{0453268B-D31E-40A6-BECE-1AFD452BB632}" uniqueName="1327" name="Column1327" queryTableFieldId="1327"/>
    <tableColumn id="1328" xr3:uid="{D1652168-C367-4B4D-9094-FD4DB4E0CBAE}" uniqueName="1328" name="Column1328" queryTableFieldId="1328"/>
    <tableColumn id="1329" xr3:uid="{0F33B1B5-A0B5-4738-9B0C-80676C70E14A}" uniqueName="1329" name="Column1329" queryTableFieldId="1329"/>
    <tableColumn id="1330" xr3:uid="{49FC9126-2553-46AD-BBC5-C4A1BD344697}" uniqueName="1330" name="Column1330" queryTableFieldId="1330"/>
    <tableColumn id="1331" xr3:uid="{F5E5D04D-08C5-4837-9AAE-F9417EE25ED2}" uniqueName="1331" name="Column1331" queryTableFieldId="1331"/>
    <tableColumn id="1332" xr3:uid="{B85205C5-AE61-4FDB-BD55-EDACE56FFC82}" uniqueName="1332" name="Column1332" queryTableFieldId="1332"/>
    <tableColumn id="1333" xr3:uid="{C8A77B50-184B-4AEB-B892-7044BFBA4A8E}" uniqueName="1333" name="Column1333" queryTableFieldId="1333"/>
    <tableColumn id="1334" xr3:uid="{406734FD-D3D9-4E47-821A-59F9D05530FD}" uniqueName="1334" name="Column1334" queryTableFieldId="1334"/>
    <tableColumn id="1335" xr3:uid="{C27EEE61-0998-4F69-BEEC-91739280B3E2}" uniqueName="1335" name="Column1335" queryTableFieldId="1335"/>
    <tableColumn id="1336" xr3:uid="{026C16BB-0885-44FA-B3CE-FBDCCDCF44CF}" uniqueName="1336" name="Column1336" queryTableFieldId="1336"/>
    <tableColumn id="1337" xr3:uid="{1BCE238A-08AD-4247-94E9-33D71C6771A1}" uniqueName="1337" name="Column1337" queryTableFieldId="1337"/>
    <tableColumn id="1338" xr3:uid="{4DAE3ADA-861F-46A1-9905-AD89325878F3}" uniqueName="1338" name="Column1338" queryTableFieldId="1338"/>
    <tableColumn id="1339" xr3:uid="{CADBCABC-DA39-408A-9180-F44826D92C55}" uniqueName="1339" name="Column1339" queryTableFieldId="1339"/>
    <tableColumn id="1340" xr3:uid="{CAA3514D-97DA-47C5-8F5E-82B015E8D5A1}" uniqueName="1340" name="Column1340" queryTableFieldId="1340"/>
    <tableColumn id="1341" xr3:uid="{B6AB9895-A195-4509-A3C8-246C0B89283F}" uniqueName="1341" name="Column1341" queryTableFieldId="1341"/>
    <tableColumn id="1342" xr3:uid="{EE957F36-3FD2-466B-933E-CCDC7C7FCEA1}" uniqueName="1342" name="Column1342" queryTableFieldId="1342"/>
    <tableColumn id="1343" xr3:uid="{E42B24C5-ADF4-49D1-86B3-149D5C6DC116}" uniqueName="1343" name="Column1343" queryTableFieldId="1343"/>
    <tableColumn id="1344" xr3:uid="{665505C1-BD75-43D2-ADEE-5C2F9F239A55}" uniqueName="1344" name="Column1344" queryTableFieldId="1344"/>
    <tableColumn id="1345" xr3:uid="{7366D9AC-B81F-4A66-9CEC-715F99FEEEBF}" uniqueName="1345" name="Column1345" queryTableFieldId="1345"/>
    <tableColumn id="1346" xr3:uid="{834A381F-DEC5-44E6-94A2-F22EEB002986}" uniqueName="1346" name="Column1346" queryTableFieldId="1346"/>
    <tableColumn id="1347" xr3:uid="{ACD43B14-4EA8-4370-9FC6-DED399E2616B}" uniqueName="1347" name="Column1347" queryTableFieldId="1347"/>
    <tableColumn id="1348" xr3:uid="{19D04C4A-58FA-4206-A4FB-E972B4524833}" uniqueName="1348" name="Column1348" queryTableFieldId="1348"/>
    <tableColumn id="1349" xr3:uid="{A2E625E6-DBAD-4B0F-B50E-BB2B5F6C1991}" uniqueName="1349" name="Column1349" queryTableFieldId="1349"/>
    <tableColumn id="1350" xr3:uid="{0F7E5C16-1A93-4E78-AC53-0D77F6E0EA18}" uniqueName="1350" name="Column1350" queryTableFieldId="1350"/>
    <tableColumn id="1351" xr3:uid="{14350533-04F9-4E46-93AC-49CDCB85E2ED}" uniqueName="1351" name="Column1351" queryTableFieldId="1351"/>
    <tableColumn id="1352" xr3:uid="{EA5B4CBD-8699-49F1-B97B-504AAF57C97A}" uniqueName="1352" name="Column1352" queryTableFieldId="1352"/>
    <tableColumn id="1353" xr3:uid="{F140F45B-D6FF-44C8-9945-E42DDF3BB292}" uniqueName="1353" name="Column1353" queryTableFieldId="1353"/>
    <tableColumn id="1354" xr3:uid="{298E1889-11EC-453B-B669-6616F104DA19}" uniqueName="1354" name="Column1354" queryTableFieldId="1354"/>
    <tableColumn id="1355" xr3:uid="{F4BF46FF-1D09-45EA-B943-8676C4588673}" uniqueName="1355" name="Column1355" queryTableFieldId="1355"/>
    <tableColumn id="1356" xr3:uid="{A8C6D279-D164-4F91-A16B-CBADE58BA7CB}" uniqueName="1356" name="Column1356" queryTableFieldId="1356"/>
    <tableColumn id="1357" xr3:uid="{5357F1C3-ED3A-4933-84DF-480088F6028F}" uniqueName="1357" name="Column1357" queryTableFieldId="1357"/>
    <tableColumn id="1358" xr3:uid="{BBB0470D-EB1B-49C9-B122-BAF8B6F652A8}" uniqueName="1358" name="Column1358" queryTableFieldId="1358"/>
    <tableColumn id="1359" xr3:uid="{FCC1E585-BE00-4C0F-9216-0DB6BB1D7A5D}" uniqueName="1359" name="Column1359" queryTableFieldId="1359"/>
    <tableColumn id="1360" xr3:uid="{7741A560-8777-45E0-A7FA-2BBE00F2FB9E}" uniqueName="1360" name="Column1360" queryTableFieldId="1360"/>
    <tableColumn id="1361" xr3:uid="{E6DFAE87-D6C1-4B7D-99D4-6BC7EB7E442E}" uniqueName="1361" name="Column1361" queryTableFieldId="1361"/>
    <tableColumn id="1362" xr3:uid="{B6A983BD-A11A-4D4A-B33F-9423E28CFD5E}" uniqueName="1362" name="Column1362" queryTableFieldId="1362"/>
    <tableColumn id="1363" xr3:uid="{44CE9379-40DF-4045-A122-770B3DC844EE}" uniqueName="1363" name="Column1363" queryTableFieldId="1363"/>
    <tableColumn id="1364" xr3:uid="{DC51B326-FA15-462B-B590-BEF1C2B43207}" uniqueName="1364" name="Column1364" queryTableFieldId="1364"/>
    <tableColumn id="1365" xr3:uid="{63228808-13C3-4D4B-BA9C-DF9D9E47B422}" uniqueName="1365" name="Column1365" queryTableFieldId="1365"/>
    <tableColumn id="1366" xr3:uid="{020E2F9F-EB13-4A99-9506-999AF1716F55}" uniqueName="1366" name="Column1366" queryTableFieldId="1366"/>
    <tableColumn id="1367" xr3:uid="{02C37C00-8527-450D-87D1-630088997943}" uniqueName="1367" name="Column1367" queryTableFieldId="1367"/>
    <tableColumn id="1368" xr3:uid="{8157931C-C7AF-43EE-87A5-28E9FA89B7DC}" uniqueName="1368" name="Column1368" queryTableFieldId="1368"/>
    <tableColumn id="1369" xr3:uid="{6D65A588-3D6B-484B-AFBB-AAC0C2381218}" uniqueName="1369" name="Column1369" queryTableFieldId="1369"/>
    <tableColumn id="1370" xr3:uid="{B9A66D34-A50D-4186-9309-F0561483DC67}" uniqueName="1370" name="Column1370" queryTableFieldId="1370"/>
    <tableColumn id="1371" xr3:uid="{E41807AD-06B6-469D-A441-3A7E62FB478B}" uniqueName="1371" name="Column1371" queryTableFieldId="1371"/>
    <tableColumn id="1372" xr3:uid="{7EF282F7-DFB1-4272-9E5E-AE2BF57C2D56}" uniqueName="1372" name="Column1372" queryTableFieldId="1372"/>
    <tableColumn id="1373" xr3:uid="{41A1FB8E-98C8-440B-AC11-846A93C88953}" uniqueName="1373" name="Column1373" queryTableFieldId="1373"/>
    <tableColumn id="1374" xr3:uid="{D764114C-17D3-473D-971E-C2F882A7F67F}" uniqueName="1374" name="Column1374" queryTableFieldId="1374"/>
    <tableColumn id="1375" xr3:uid="{5E8C570A-C90F-4723-8FD1-B16ABABE21B6}" uniqueName="1375" name="Column1375" queryTableFieldId="1375"/>
    <tableColumn id="1376" xr3:uid="{A2AACFC5-3B97-466C-92D8-75B1CC70785C}" uniqueName="1376" name="Column1376" queryTableFieldId="1376"/>
    <tableColumn id="1377" xr3:uid="{8A946491-5862-4F1D-BA71-198563980A31}" uniqueName="1377" name="Column1377" queryTableFieldId="1377"/>
    <tableColumn id="1378" xr3:uid="{41D16B29-1EE2-427E-AF76-85975038A00B}" uniqueName="1378" name="Column1378" queryTableFieldId="1378"/>
    <tableColumn id="1379" xr3:uid="{AB9B973A-2D77-4E65-AF02-DF18B6965D54}" uniqueName="1379" name="Column1379" queryTableFieldId="1379"/>
    <tableColumn id="1380" xr3:uid="{5E30AB67-6F52-4F07-B647-ABECDB6B521E}" uniqueName="1380" name="Column1380" queryTableFieldId="1380"/>
    <tableColumn id="1381" xr3:uid="{D989E38A-520F-41A6-A81C-A2022F90D872}" uniqueName="1381" name="Column1381" queryTableFieldId="1381"/>
    <tableColumn id="1382" xr3:uid="{2BF6C9CC-560A-4002-8D72-3946A2C1D454}" uniqueName="1382" name="Column1382" queryTableFieldId="1382"/>
    <tableColumn id="1383" xr3:uid="{55C1900D-89F0-4627-BAD9-838E2B509A9C}" uniqueName="1383" name="Column1383" queryTableFieldId="1383"/>
    <tableColumn id="1384" xr3:uid="{AD33787E-03F2-492C-8942-5A6B5BF176A6}" uniqueName="1384" name="Column1384" queryTableFieldId="1384"/>
    <tableColumn id="1385" xr3:uid="{18D40BB6-1739-40B6-BAF0-98A43B21952C}" uniqueName="1385" name="Column1385" queryTableFieldId="1385"/>
    <tableColumn id="1386" xr3:uid="{2F3F8CE8-275E-4C7D-9092-0CC9E434FDBD}" uniqueName="1386" name="Column1386" queryTableFieldId="1386"/>
    <tableColumn id="1387" xr3:uid="{1BFEE141-B041-4317-8A24-DE40DB519FB4}" uniqueName="1387" name="Column1387" queryTableFieldId="1387"/>
    <tableColumn id="1388" xr3:uid="{E2F50D99-4975-48F3-A916-1FB9F74DC03E}" uniqueName="1388" name="Column1388" queryTableFieldId="1388"/>
    <tableColumn id="1389" xr3:uid="{C5564969-21C4-4C7E-853F-A37BE6F5E440}" uniqueName="1389" name="Column1389" queryTableFieldId="1389"/>
    <tableColumn id="1390" xr3:uid="{C0F1A219-44C5-4A61-8155-D71AA2E9E861}" uniqueName="1390" name="Column1390" queryTableFieldId="1390"/>
    <tableColumn id="1391" xr3:uid="{A9A38EEA-3739-40A8-837C-90B0B83C3CCB}" uniqueName="1391" name="Column1391" queryTableFieldId="1391"/>
    <tableColumn id="1392" xr3:uid="{0CDED399-72CA-41FD-8116-E84277AF5B52}" uniqueName="1392" name="Column1392" queryTableFieldId="1392"/>
    <tableColumn id="1393" xr3:uid="{C7A15159-450B-4F14-A298-393AA4E81E5E}" uniqueName="1393" name="Column1393" queryTableFieldId="1393"/>
    <tableColumn id="1394" xr3:uid="{C6ADBA66-7BD6-4F29-918B-38B3A69A07FC}" uniqueName="1394" name="Column1394" queryTableFieldId="1394"/>
    <tableColumn id="1395" xr3:uid="{FADBF15E-9DE3-4ED0-A09F-67870F943B51}" uniqueName="1395" name="Column1395" queryTableFieldId="1395"/>
    <tableColumn id="1396" xr3:uid="{4045BDF4-AD53-481F-9989-C0FBE75B0AFA}" uniqueName="1396" name="Column1396" queryTableFieldId="1396"/>
    <tableColumn id="1397" xr3:uid="{1408B6B7-1680-4970-ACA2-E9559CF931BF}" uniqueName="1397" name="Column1397" queryTableFieldId="1397"/>
    <tableColumn id="1398" xr3:uid="{CF70A894-BF28-4654-9D62-AB36FE481334}" uniqueName="1398" name="Column1398" queryTableFieldId="1398"/>
    <tableColumn id="1399" xr3:uid="{4A7A00B5-170D-4B64-9E65-A1FAFE478815}" uniqueName="1399" name="Column1399" queryTableFieldId="1399"/>
    <tableColumn id="1400" xr3:uid="{7CD5FF32-8500-45C0-BC01-B8A4A0DEEBD7}" uniqueName="1400" name="Column1400" queryTableFieldId="1400"/>
    <tableColumn id="1401" xr3:uid="{E1F251A8-61FA-4DDA-9190-BC9CF4CAC0AA}" uniqueName="1401" name="Column1401" queryTableFieldId="1401"/>
    <tableColumn id="1402" xr3:uid="{B019D3E2-339B-4D3A-A3DD-838D1F770ED9}" uniqueName="1402" name="Column1402" queryTableFieldId="1402"/>
    <tableColumn id="1403" xr3:uid="{BD8E86E3-CC7C-46A3-A589-D222236B8C4B}" uniqueName="1403" name="Column1403" queryTableFieldId="1403"/>
    <tableColumn id="1404" xr3:uid="{BB8CCA89-AF6B-4BFB-90EB-39D3D8A0669E}" uniqueName="1404" name="Column1404" queryTableFieldId="1404"/>
    <tableColumn id="1405" xr3:uid="{F809B65F-A6AA-4993-9381-7D3D9A7FA96F}" uniqueName="1405" name="Column1405" queryTableFieldId="1405"/>
    <tableColumn id="1406" xr3:uid="{7D048F56-C765-4ADB-A218-9E2CE00039CA}" uniqueName="1406" name="Column1406" queryTableFieldId="1406"/>
    <tableColumn id="1407" xr3:uid="{C51A13F1-C61D-4738-90CD-DA45B77B5A87}" uniqueName="1407" name="Column1407" queryTableFieldId="1407"/>
    <tableColumn id="1408" xr3:uid="{CA026A96-0095-4B27-A2FF-31B3A64EEC78}" uniqueName="1408" name="Column1408" queryTableFieldId="1408"/>
    <tableColumn id="1409" xr3:uid="{743DFE12-A597-410B-AA80-6335D9035DA4}" uniqueName="1409" name="Column1409" queryTableFieldId="1409"/>
    <tableColumn id="1410" xr3:uid="{0FBB7C37-BD11-4CD3-810B-6290FD938225}" uniqueName="1410" name="Column1410" queryTableFieldId="1410"/>
    <tableColumn id="1411" xr3:uid="{628DE47A-09C3-499A-B97C-4281F7700697}" uniqueName="1411" name="Column1411" queryTableFieldId="1411"/>
    <tableColumn id="1412" xr3:uid="{E7844CBF-0FFF-4B17-92D8-DC2309E3B351}" uniqueName="1412" name="Column1412" queryTableFieldId="1412"/>
    <tableColumn id="1413" xr3:uid="{8615168B-8E2A-457A-AE00-3832FA0E0B25}" uniqueName="1413" name="Column1413" queryTableFieldId="1413"/>
    <tableColumn id="1414" xr3:uid="{ABF1F245-074F-44A6-BDBD-517D0795690A}" uniqueName="1414" name="Column1414" queryTableFieldId="1414"/>
    <tableColumn id="1415" xr3:uid="{7C895445-3D12-4247-BE37-96E98F92AE96}" uniqueName="1415" name="Column1415" queryTableFieldId="1415"/>
    <tableColumn id="1416" xr3:uid="{BB889D99-CCD2-4DEB-8973-35C368812A58}" uniqueName="1416" name="Column1416" queryTableFieldId="1416"/>
    <tableColumn id="1417" xr3:uid="{DEE3D5E5-A10F-4CFA-8051-BDEA08A18AD5}" uniqueName="1417" name="Column1417" queryTableFieldId="1417"/>
    <tableColumn id="1418" xr3:uid="{681EE769-A62E-45CD-A538-B4C3BA8FCC88}" uniqueName="1418" name="Column1418" queryTableFieldId="1418"/>
    <tableColumn id="1419" xr3:uid="{A8CE1AB3-4AC5-4318-84B8-97D3175ED529}" uniqueName="1419" name="Column1419" queryTableFieldId="1419"/>
    <tableColumn id="1420" xr3:uid="{ADC0FFFE-2336-4113-B8B9-C69D529D6288}" uniqueName="1420" name="Column1420" queryTableFieldId="1420"/>
    <tableColumn id="1421" xr3:uid="{ED1F6EBE-65BD-4CBE-987A-9D15F872E2E3}" uniqueName="1421" name="Column1421" queryTableFieldId="1421"/>
    <tableColumn id="1422" xr3:uid="{F1515618-9819-4FF7-9E0A-725184B000DC}" uniqueName="1422" name="Column1422" queryTableFieldId="1422"/>
    <tableColumn id="1423" xr3:uid="{68517DD2-F175-4B3B-86B3-9F0ACCBF6A79}" uniqueName="1423" name="Column1423" queryTableFieldId="1423"/>
    <tableColumn id="1424" xr3:uid="{E772D44C-03F7-4AEB-9E01-73E279CA3240}" uniqueName="1424" name="Column1424" queryTableFieldId="1424"/>
    <tableColumn id="1425" xr3:uid="{E6AEC2F3-F749-4B12-A368-444DC154BCCA}" uniqueName="1425" name="Column1425" queryTableFieldId="1425"/>
    <tableColumn id="1426" xr3:uid="{349F978E-D337-4C94-8794-EF5B1BE6AD08}" uniqueName="1426" name="Column1426" queryTableFieldId="1426"/>
    <tableColumn id="1427" xr3:uid="{B0B777A4-00FA-42F1-A382-2F446CA204F5}" uniqueName="1427" name="Column1427" queryTableFieldId="1427"/>
    <tableColumn id="1428" xr3:uid="{DACE4850-9124-4A9F-A840-DCBEF209B138}" uniqueName="1428" name="Column1428" queryTableFieldId="1428"/>
    <tableColumn id="1429" xr3:uid="{4FEBFE63-605A-43D5-8337-B81820B84178}" uniqueName="1429" name="Column1429" queryTableFieldId="1429"/>
    <tableColumn id="1430" xr3:uid="{F78AB806-2F69-4BD9-890B-53CB6BA33F4E}" uniqueName="1430" name="Column1430" queryTableFieldId="1430"/>
    <tableColumn id="1431" xr3:uid="{1D0783F6-280F-4D62-8883-20276D6E8AB8}" uniqueName="1431" name="Column1431" queryTableFieldId="1431"/>
    <tableColumn id="1432" xr3:uid="{ABB0E02C-32B0-4403-B2E6-1D5581AEC4E6}" uniqueName="1432" name="Column1432" queryTableFieldId="1432"/>
    <tableColumn id="1433" xr3:uid="{C6DC5B90-75D7-4A4E-87DF-DDD53BE4AB2E}" uniqueName="1433" name="Column1433" queryTableFieldId="1433"/>
    <tableColumn id="1434" xr3:uid="{EF845397-6405-49F8-890D-132D243D63C9}" uniqueName="1434" name="Column1434" queryTableFieldId="1434"/>
    <tableColumn id="1435" xr3:uid="{DD293732-8CE3-40A3-AAB4-009B9C50FDA8}" uniqueName="1435" name="Column1435" queryTableFieldId="1435"/>
    <tableColumn id="1436" xr3:uid="{9C242642-85E3-4B1E-B932-3E97EA47FB65}" uniqueName="1436" name="Column1436" queryTableFieldId="1436"/>
    <tableColumn id="1437" xr3:uid="{0BA4D759-78B1-47A9-9124-2C4E61DC40A5}" uniqueName="1437" name="Column1437" queryTableFieldId="1437"/>
    <tableColumn id="1438" xr3:uid="{A88FB9BC-EE23-4C92-81D3-4B6FA4F3AA1A}" uniqueName="1438" name="Column1438" queryTableFieldId="1438"/>
    <tableColumn id="1439" xr3:uid="{2FC87DC4-1E24-4FCD-9A6E-DB7557177943}" uniqueName="1439" name="Column1439" queryTableFieldId="1439"/>
    <tableColumn id="1440" xr3:uid="{A9CC5AB9-68BC-4E98-AE05-C5DB668427EF}" uniqueName="1440" name="Column1440" queryTableFieldId="1440"/>
    <tableColumn id="1441" xr3:uid="{1D06D713-37C6-4040-95DC-99CD6C331E50}" uniqueName="1441" name="Column1441" queryTableFieldId="1441"/>
    <tableColumn id="1442" xr3:uid="{CBF51F15-84CA-43E1-8E78-A27B023B36DD}" uniqueName="1442" name="Column1442" queryTableFieldId="1442"/>
    <tableColumn id="1443" xr3:uid="{CB275933-8A3C-4049-BCB3-A049E951A540}" uniqueName="1443" name="Column1443" queryTableFieldId="1443"/>
    <tableColumn id="1444" xr3:uid="{3CB88D7F-0BB4-4B60-99CF-0B4B456F915D}" uniqueName="1444" name="Column1444" queryTableFieldId="1444"/>
    <tableColumn id="1445" xr3:uid="{921E2A00-42C9-416A-B7CA-EA214DBE6C32}" uniqueName="1445" name="Column1445" queryTableFieldId="1445"/>
    <tableColumn id="1446" xr3:uid="{65C4A26A-03E5-4D8F-BA83-C2476E0ADD4B}" uniqueName="1446" name="Column1446" queryTableFieldId="1446"/>
    <tableColumn id="1447" xr3:uid="{FF7D2C56-E531-41A4-A565-4B2F4A859AE7}" uniqueName="1447" name="Column1447" queryTableFieldId="1447"/>
    <tableColumn id="1448" xr3:uid="{CB986D09-8DF7-4985-8336-7C8347C504A1}" uniqueName="1448" name="Column1448" queryTableFieldId="1448"/>
    <tableColumn id="1449" xr3:uid="{86E2E7A0-94AD-430C-BE9F-D2FDB02B9A5A}" uniqueName="1449" name="Column1449" queryTableFieldId="1449"/>
    <tableColumn id="1450" xr3:uid="{0437C995-7A00-4E9C-864F-8828F312481D}" uniqueName="1450" name="Column1450" queryTableFieldId="1450"/>
    <tableColumn id="1451" xr3:uid="{D8748189-58D7-40CA-AB33-2CC8A0509F82}" uniqueName="1451" name="Column1451" queryTableFieldId="1451"/>
    <tableColumn id="1452" xr3:uid="{BAEF44E4-8F00-476E-A16C-28B6C0C47C73}" uniqueName="1452" name="Column1452" queryTableFieldId="1452"/>
    <tableColumn id="1453" xr3:uid="{1E60860C-2531-4808-B7FD-B82F5263C63F}" uniqueName="1453" name="Column1453" queryTableFieldId="1453"/>
    <tableColumn id="1454" xr3:uid="{08FCB398-F7E4-4393-AD37-F6F2A3E301AF}" uniqueName="1454" name="Column1454" queryTableFieldId="1454"/>
    <tableColumn id="1455" xr3:uid="{B16137B8-7E14-444B-999D-9CA5A505F63A}" uniqueName="1455" name="Column1455" queryTableFieldId="1455"/>
    <tableColumn id="1456" xr3:uid="{624465F9-2680-4974-86E1-11B9182D53AE}" uniqueName="1456" name="Column1456" queryTableFieldId="1456"/>
    <tableColumn id="1457" xr3:uid="{6009D5ED-B233-45C3-B2EB-F29C2051ADEC}" uniqueName="1457" name="Column1457" queryTableFieldId="1457"/>
    <tableColumn id="1458" xr3:uid="{AE03DBFC-0029-4FDE-8ED9-9BA1D4302276}" uniqueName="1458" name="Column1458" queryTableFieldId="1458"/>
    <tableColumn id="1459" xr3:uid="{56D95F4B-1F6D-46BB-9C06-B6F1D5A4CECE}" uniqueName="1459" name="Column1459" queryTableFieldId="1459"/>
    <tableColumn id="1460" xr3:uid="{01DA076D-A366-4CD2-A2F0-D628CD4F2E99}" uniqueName="1460" name="Column1460" queryTableFieldId="1460"/>
    <tableColumn id="1461" xr3:uid="{E14EE168-EC4F-4A47-9FBA-12672EA967F9}" uniqueName="1461" name="Column1461" queryTableFieldId="1461"/>
    <tableColumn id="1462" xr3:uid="{2D478010-84C1-48D4-A17D-224DD0906FE8}" uniqueName="1462" name="Column1462" queryTableFieldId="1462"/>
    <tableColumn id="1463" xr3:uid="{F1FA4E75-D597-4B99-A19A-B7C755279C08}" uniqueName="1463" name="Column1463" queryTableFieldId="1463"/>
    <tableColumn id="1464" xr3:uid="{6D4BB7BB-9DE8-48FB-85EB-9C7831EA544F}" uniqueName="1464" name="Column1464" queryTableFieldId="1464"/>
    <tableColumn id="1465" xr3:uid="{1AC07659-8356-40F4-9F3E-BB3205E46E7E}" uniqueName="1465" name="Column1465" queryTableFieldId="1465"/>
    <tableColumn id="1466" xr3:uid="{E5244EE6-E08B-4A10-9872-674F67FF8B67}" uniqueName="1466" name="Column1466" queryTableFieldId="1466"/>
    <tableColumn id="1467" xr3:uid="{E87500FC-785E-444C-B083-02EFF91679C9}" uniqueName="1467" name="Column1467" queryTableFieldId="1467"/>
    <tableColumn id="1468" xr3:uid="{70667FB3-3469-425A-B813-72D70010DE1A}" uniqueName="1468" name="Column1468" queryTableFieldId="1468"/>
    <tableColumn id="1469" xr3:uid="{9E46E9BD-12C6-41FC-86F8-A9BACCFB1A24}" uniqueName="1469" name="Column1469" queryTableFieldId="1469"/>
    <tableColumn id="1470" xr3:uid="{6B548326-0DB3-4199-9AB8-0982A1EB933E}" uniqueName="1470" name="Column1470" queryTableFieldId="1470"/>
    <tableColumn id="1471" xr3:uid="{86DD79F0-0B21-4815-B267-2921133AD056}" uniqueName="1471" name="Column1471" queryTableFieldId="1471"/>
    <tableColumn id="1472" xr3:uid="{0F43484A-98DC-4FB4-9028-50E0F92A3753}" uniqueName="1472" name="Column1472" queryTableFieldId="1472"/>
    <tableColumn id="1473" xr3:uid="{EA094102-0FF8-411E-B500-783B351AD408}" uniqueName="1473" name="Column1473" queryTableFieldId="1473"/>
    <tableColumn id="1474" xr3:uid="{CF426FF6-6731-44B4-958E-76350DFD4187}" uniqueName="1474" name="Column1474" queryTableFieldId="1474"/>
    <tableColumn id="1475" xr3:uid="{8D138DC2-A39D-411D-AC95-F8642A56553C}" uniqueName="1475" name="Column1475" queryTableFieldId="1475"/>
    <tableColumn id="1476" xr3:uid="{18DF0B6C-315D-4AE9-B54C-FE7294D404EC}" uniqueName="1476" name="Column1476" queryTableFieldId="1476"/>
    <tableColumn id="1477" xr3:uid="{BB60E69D-A834-4DD4-9391-33DD7F0AD4F1}" uniqueName="1477" name="Column1477" queryTableFieldId="1477"/>
    <tableColumn id="1478" xr3:uid="{9C6F8ACB-D1D5-480B-9E16-A24645516987}" uniqueName="1478" name="Column1478" queryTableFieldId="1478"/>
    <tableColumn id="1479" xr3:uid="{12C29862-040F-4D89-A2FD-906ED1F324AC}" uniqueName="1479" name="Column1479" queryTableFieldId="1479"/>
    <tableColumn id="1480" xr3:uid="{BCADD274-0619-4E0A-9ABE-C9AD5B346C02}" uniqueName="1480" name="Column1480" queryTableFieldId="1480"/>
    <tableColumn id="1481" xr3:uid="{BEA40B3C-48AC-4F05-91BE-8C3773EA4B9D}" uniqueName="1481" name="Column1481" queryTableFieldId="1481"/>
    <tableColumn id="1482" xr3:uid="{60E55E27-F95C-4CDE-B181-11F0FB94E349}" uniqueName="1482" name="Column1482" queryTableFieldId="1482"/>
    <tableColumn id="1483" xr3:uid="{7A63DD23-DEBB-4F5E-9792-43FABEDF0660}" uniqueName="1483" name="Column1483" queryTableFieldId="1483"/>
    <tableColumn id="1484" xr3:uid="{D8EB778F-3536-4089-ACC0-E2188D8F98A4}" uniqueName="1484" name="Column1484" queryTableFieldId="1484"/>
    <tableColumn id="1485" xr3:uid="{834823F8-AE90-4D30-97AF-5094F2E0A5E0}" uniqueName="1485" name="Column1485" queryTableFieldId="1485"/>
    <tableColumn id="1486" xr3:uid="{4A41B760-9535-42E5-9DA0-7D4EDA038AFD}" uniqueName="1486" name="Column1486" queryTableFieldId="1486"/>
    <tableColumn id="1487" xr3:uid="{D9E56D78-6CE9-45A1-8D6A-537CA50DC297}" uniqueName="1487" name="Column1487" queryTableFieldId="1487"/>
    <tableColumn id="1488" xr3:uid="{53323750-5529-476D-AACC-4306E35F81CD}" uniqueName="1488" name="Column1488" queryTableFieldId="1488"/>
    <tableColumn id="1489" xr3:uid="{9202D3F5-1C4B-450F-9A98-45505F3C481F}" uniqueName="1489" name="Column1489" queryTableFieldId="1489"/>
    <tableColumn id="1490" xr3:uid="{4AF1B1A9-0831-4402-895B-DC98223FF632}" uniqueName="1490" name="Column1490" queryTableFieldId="1490"/>
    <tableColumn id="1491" xr3:uid="{728CB6C4-51D4-4BD1-84DF-F74C99FD8784}" uniqueName="1491" name="Column1491" queryTableFieldId="1491"/>
    <tableColumn id="1492" xr3:uid="{A088C5E7-2B19-4964-9DDB-5183C4E62FBE}" uniqueName="1492" name="Column1492" queryTableFieldId="1492"/>
    <tableColumn id="1493" xr3:uid="{29136EED-145A-44C9-A23E-06E00464F1B5}" uniqueName="1493" name="Column1493" queryTableFieldId="1493"/>
    <tableColumn id="1494" xr3:uid="{35D4A8DC-E9E4-464F-9AB0-AF9F31F4F162}" uniqueName="1494" name="Column1494" queryTableFieldId="1494"/>
    <tableColumn id="1495" xr3:uid="{7EF3B47C-358A-43C1-8CB6-FD61ACB64D3D}" uniqueName="1495" name="Column1495" queryTableFieldId="1495"/>
    <tableColumn id="1496" xr3:uid="{16C928F8-1D02-4208-915A-BFCBA5D6F3C7}" uniqueName="1496" name="Column1496" queryTableFieldId="1496"/>
    <tableColumn id="1497" xr3:uid="{5DD88A11-CF2A-4449-BD7C-4CF6540A53E7}" uniqueName="1497" name="Column1497" queryTableFieldId="1497"/>
    <tableColumn id="1498" xr3:uid="{859B43C7-7F43-4A5C-B1F8-4766D5B9078D}" uniqueName="1498" name="Column1498" queryTableFieldId="1498"/>
    <tableColumn id="1499" xr3:uid="{DDB01F07-FBF9-40E2-B9C7-8959F283BBDA}" uniqueName="1499" name="Column1499" queryTableFieldId="1499"/>
    <tableColumn id="1500" xr3:uid="{B6D7C24B-58CB-450F-8D33-78FA9AAEB707}" uniqueName="1500" name="Column1500" queryTableFieldId="1500"/>
    <tableColumn id="1501" xr3:uid="{EFBBFB39-2798-4B5F-A5A3-610DF197027A}" uniqueName="1501" name="Column1501" queryTableFieldId="1501"/>
    <tableColumn id="1502" xr3:uid="{B40ECF01-E8BC-4390-9382-80C2993C7CBB}" uniqueName="1502" name="Column1502" queryTableFieldId="1502"/>
    <tableColumn id="1503" xr3:uid="{31D4A941-5948-4DE7-BABA-F799D272E0E2}" uniqueName="1503" name="Column1503" queryTableFieldId="1503"/>
    <tableColumn id="1504" xr3:uid="{DD328070-E2B0-447D-A361-DADF1893C442}" uniqueName="1504" name="Column1504" queryTableFieldId="1504"/>
    <tableColumn id="1505" xr3:uid="{2DBFB0BA-9639-4BCE-A828-A7DE07F83A3C}" uniqueName="1505" name="Column1505" queryTableFieldId="1505"/>
    <tableColumn id="1506" xr3:uid="{E50AB703-44C3-4618-9572-4943CB94E1B9}" uniqueName="1506" name="Column1506" queryTableFieldId="1506"/>
    <tableColumn id="1507" xr3:uid="{496AB704-24AC-455E-9D0C-7F12021511AF}" uniqueName="1507" name="Column1507" queryTableFieldId="1507"/>
    <tableColumn id="1508" xr3:uid="{A7730BBE-2737-43DB-9D32-3ED2C0438C7D}" uniqueName="1508" name="Column1508" queryTableFieldId="1508"/>
    <tableColumn id="1509" xr3:uid="{FF561565-591B-4675-9FFE-574C4EC3B591}" uniqueName="1509" name="Column1509" queryTableFieldId="1509"/>
    <tableColumn id="1510" xr3:uid="{5893C3C1-4622-41F4-A817-7DFCBF9F625B}" uniqueName="1510" name="Column1510" queryTableFieldId="1510"/>
    <tableColumn id="1511" xr3:uid="{11D1F2E3-B70E-46C8-B031-3018F07913D1}" uniqueName="1511" name="Column1511" queryTableFieldId="1511"/>
    <tableColumn id="1512" xr3:uid="{C61E5076-C06A-48FA-8D86-D8B9D65B6E03}" uniqueName="1512" name="Column1512" queryTableFieldId="1512"/>
    <tableColumn id="1513" xr3:uid="{EADD8CF5-48EB-46C0-BF74-BAAA43397DD9}" uniqueName="1513" name="Column1513" queryTableFieldId="1513"/>
    <tableColumn id="1514" xr3:uid="{D05CD581-4777-4ACB-BF6C-36501FC517AA}" uniqueName="1514" name="Column1514" queryTableFieldId="1514"/>
    <tableColumn id="1515" xr3:uid="{787FBCBE-7DB9-4A22-88E3-5DFC27602D68}" uniqueName="1515" name="Column1515" queryTableFieldId="1515"/>
    <tableColumn id="1516" xr3:uid="{8A0050F4-1C8A-4883-8836-1A5D7136E704}" uniqueName="1516" name="Column1516" queryTableFieldId="1516"/>
    <tableColumn id="1517" xr3:uid="{B71DE817-8D5E-4CB6-B7A4-4AEE58975D02}" uniqueName="1517" name="Column1517" queryTableFieldId="1517"/>
    <tableColumn id="1518" xr3:uid="{E856F835-FFBD-4262-BA59-7D61967367AF}" uniqueName="1518" name="Column1518" queryTableFieldId="1518"/>
    <tableColumn id="1519" xr3:uid="{B4AD34D4-232C-45C3-9D0D-B7A98A256CCC}" uniqueName="1519" name="Column1519" queryTableFieldId="1519"/>
    <tableColumn id="1520" xr3:uid="{5999FCB3-6635-490D-9104-696C4285552D}" uniqueName="1520" name="Column1520" queryTableFieldId="1520"/>
    <tableColumn id="1521" xr3:uid="{30CF783B-1956-45BC-B081-92063A47F719}" uniqueName="1521" name="Column1521" queryTableFieldId="1521"/>
    <tableColumn id="1522" xr3:uid="{9B743A16-8EC1-4C21-A380-B83CBEFFE446}" uniqueName="1522" name="Column1522" queryTableFieldId="1522"/>
    <tableColumn id="1523" xr3:uid="{730685D5-88CB-4689-9725-1F4A04423E0C}" uniqueName="1523" name="Column1523" queryTableFieldId="1523"/>
    <tableColumn id="1524" xr3:uid="{57257347-420C-40F4-9709-3B379DDB322A}" uniqueName="1524" name="Column1524" queryTableFieldId="1524"/>
    <tableColumn id="1525" xr3:uid="{F7BE751A-DE0F-4C2C-ADE2-910CFC192E35}" uniqueName="1525" name="Column1525" queryTableFieldId="1525"/>
    <tableColumn id="1526" xr3:uid="{95FA97DC-E0F8-4AEE-B732-4B0D2DB194EB}" uniqueName="1526" name="Column1526" queryTableFieldId="1526"/>
    <tableColumn id="1527" xr3:uid="{596C88AD-342E-4D97-9DBC-9516A8CFC0D5}" uniqueName="1527" name="Column1527" queryTableFieldId="1527"/>
    <tableColumn id="1528" xr3:uid="{493CEDA8-EA2E-4822-BEA3-CA59DCECD38F}" uniqueName="1528" name="Column1528" queryTableFieldId="1528"/>
    <tableColumn id="1529" xr3:uid="{E944D5C0-E94D-4E4A-AEEC-49E42FC4BBC6}" uniqueName="1529" name="Column1529" queryTableFieldId="1529"/>
    <tableColumn id="1530" xr3:uid="{D2E90B17-3945-40AC-8B9C-85E3146D284D}" uniqueName="1530" name="Column1530" queryTableFieldId="1530"/>
    <tableColumn id="1531" xr3:uid="{4CE3BF7E-9C70-4CE1-8A8B-D34C0E61BF2E}" uniqueName="1531" name="Column1531" queryTableFieldId="1531"/>
    <tableColumn id="1532" xr3:uid="{DBDB39C2-99D7-40FD-AC4D-11A133E3FDA7}" uniqueName="1532" name="Column1532" queryTableFieldId="1532"/>
    <tableColumn id="1533" xr3:uid="{FF43C1F9-544F-4242-8FE5-2A5353AFC0CB}" uniqueName="1533" name="Column1533" queryTableFieldId="1533"/>
    <tableColumn id="1534" xr3:uid="{7CDA01B2-F220-4AE1-B824-B6FD4B6DB9EA}" uniqueName="1534" name="Column1534" queryTableFieldId="1534"/>
    <tableColumn id="1535" xr3:uid="{617CC2B3-26B0-46C0-99DE-7334BCC5899B}" uniqueName="1535" name="Column1535" queryTableFieldId="1535"/>
    <tableColumn id="1536" xr3:uid="{F3252AA6-38EA-4EA2-BC45-D36129DF314B}" uniqueName="1536" name="Column1536" queryTableFieldId="1536"/>
    <tableColumn id="1537" xr3:uid="{B301E4E2-50DC-4D94-A515-863D75698A2C}" uniqueName="1537" name="Column1537" queryTableFieldId="1537"/>
    <tableColumn id="1538" xr3:uid="{157BD0D0-612C-4DF1-98FA-0E9CD7508287}" uniqueName="1538" name="Column1538" queryTableFieldId="1538"/>
    <tableColumn id="1539" xr3:uid="{D7803C9C-5539-4FFA-8EF1-AC019DC3C1EF}" uniqueName="1539" name="Column1539" queryTableFieldId="1539"/>
    <tableColumn id="1540" xr3:uid="{BDB29495-E814-4FB1-9B8D-825DADDE5EDF}" uniqueName="1540" name="Column1540" queryTableFieldId="1540"/>
    <tableColumn id="1541" xr3:uid="{02C11393-9F54-4302-8829-79F7D65AD103}" uniqueName="1541" name="Column1541" queryTableFieldId="1541"/>
    <tableColumn id="1542" xr3:uid="{2FEFC4D5-9B23-4166-A66C-B80D72E2DD39}" uniqueName="1542" name="Column1542" queryTableFieldId="1542"/>
    <tableColumn id="1543" xr3:uid="{65757A7C-F9BC-4AD1-8351-10FF6A9E667B}" uniqueName="1543" name="Column1543" queryTableFieldId="1543"/>
    <tableColumn id="1544" xr3:uid="{DC2B7C41-2E93-49DE-B36F-CFFF15C6CEBD}" uniqueName="1544" name="Column1544" queryTableFieldId="1544"/>
    <tableColumn id="1545" xr3:uid="{292BAFFE-7F23-4744-BECF-CAF0A3E7EA50}" uniqueName="1545" name="Column1545" queryTableFieldId="1545"/>
    <tableColumn id="1546" xr3:uid="{19AB06F7-279F-45CD-9024-B62B09F2F85A}" uniqueName="1546" name="Column1546" queryTableFieldId="1546"/>
    <tableColumn id="1547" xr3:uid="{E16529C4-B7EE-4F26-A19B-AA3D4F9FB5A9}" uniqueName="1547" name="Column1547" queryTableFieldId="1547"/>
    <tableColumn id="1548" xr3:uid="{962BEFE2-AC60-406B-B822-17FEFCA97EE0}" uniqueName="1548" name="Column1548" queryTableFieldId="1548"/>
    <tableColumn id="1549" xr3:uid="{13D9D042-A2E8-452D-940C-D156E47D50BE}" uniqueName="1549" name="Column1549" queryTableFieldId="1549"/>
    <tableColumn id="1550" xr3:uid="{8FD57FAE-187A-4D8E-BC13-8065374A0F20}" uniqueName="1550" name="Column1550" queryTableFieldId="1550"/>
    <tableColumn id="1551" xr3:uid="{C5A6D90D-1317-4331-BF10-04C2AD91266E}" uniqueName="1551" name="Column1551" queryTableFieldId="1551"/>
    <tableColumn id="1552" xr3:uid="{25E9E4CC-F669-4D8E-B6B0-5A1EA7D84505}" uniqueName="1552" name="Column1552" queryTableFieldId="1552"/>
    <tableColumn id="1553" xr3:uid="{61CBBF7A-0D30-4E51-9000-D202CEA009EB}" uniqueName="1553" name="Column1553" queryTableFieldId="1553"/>
    <tableColumn id="1554" xr3:uid="{64780953-7CF7-4AD0-A3CA-686440D68512}" uniqueName="1554" name="Column1554" queryTableFieldId="1554"/>
    <tableColumn id="1555" xr3:uid="{A16FE51E-CBC9-41F9-B550-37882EB37E48}" uniqueName="1555" name="Column1555" queryTableFieldId="1555"/>
    <tableColumn id="1556" xr3:uid="{62671320-619C-4E66-B612-415D96C65C62}" uniqueName="1556" name="Column1556" queryTableFieldId="1556"/>
    <tableColumn id="1557" xr3:uid="{E6C17E4E-87BD-4326-9D6D-A4E7D3C1F144}" uniqueName="1557" name="Column1557" queryTableFieldId="1557"/>
    <tableColumn id="1558" xr3:uid="{F882C29D-CBEC-46B1-B4D7-9D85CDEB9FE7}" uniqueName="1558" name="Column1558" queryTableFieldId="1558"/>
    <tableColumn id="1559" xr3:uid="{FF10A166-A827-42A4-8A69-75637E156C72}" uniqueName="1559" name="Column1559" queryTableFieldId="1559"/>
    <tableColumn id="1560" xr3:uid="{897E237C-6748-4C8B-8FD6-D22C74B94E8C}" uniqueName="1560" name="Column1560" queryTableFieldId="1560"/>
    <tableColumn id="1561" xr3:uid="{ACE6545B-3CDB-4BCC-A076-EEC08307521A}" uniqueName="1561" name="Column1561" queryTableFieldId="1561"/>
    <tableColumn id="1562" xr3:uid="{68DCC61C-DA0C-4E5F-BD8A-DF5A1433E065}" uniqueName="1562" name="Column1562" queryTableFieldId="1562"/>
    <tableColumn id="1563" xr3:uid="{EAC4F8B3-B13D-4C3A-963D-19CF1E2FEEF3}" uniqueName="1563" name="Column1563" queryTableFieldId="1563"/>
    <tableColumn id="1564" xr3:uid="{AD53FAFB-E6C5-4B7B-8F3D-517CE7ABFD4B}" uniqueName="1564" name="Column1564" queryTableFieldId="1564"/>
    <tableColumn id="1565" xr3:uid="{9A1280CB-F7C2-4C22-BD35-738764FE0C17}" uniqueName="1565" name="Column1565" queryTableFieldId="1565"/>
    <tableColumn id="1566" xr3:uid="{20F81B2B-DD08-463F-A183-A6460CA1D86D}" uniqueName="1566" name="Column1566" queryTableFieldId="1566"/>
    <tableColumn id="1567" xr3:uid="{64B00751-C1BD-4B94-A116-1AF27BDD8ED9}" uniqueName="1567" name="Column1567" queryTableFieldId="1567"/>
    <tableColumn id="1568" xr3:uid="{8B6C9CF3-6BE4-40E1-8982-B93C7A81DF0D}" uniqueName="1568" name="Column1568" queryTableFieldId="1568"/>
    <tableColumn id="1569" xr3:uid="{EF15631B-19B7-49A7-9427-646169427B5F}" uniqueName="1569" name="Column1569" queryTableFieldId="1569"/>
    <tableColumn id="1570" xr3:uid="{C7EA0B57-F8E3-4804-B68A-EC6384D634F4}" uniqueName="1570" name="Column1570" queryTableFieldId="1570"/>
    <tableColumn id="1571" xr3:uid="{60FF4420-CB57-4C12-A7FF-2D6E9F4E1529}" uniqueName="1571" name="Column1571" queryTableFieldId="1571"/>
    <tableColumn id="1572" xr3:uid="{CEDC486C-637A-4329-A391-A52C1E998A84}" uniqueName="1572" name="Column1572" queryTableFieldId="1572"/>
    <tableColumn id="1573" xr3:uid="{E87D334B-C1F1-41F3-938E-B22CC43CE5A1}" uniqueName="1573" name="Column1573" queryTableFieldId="1573"/>
    <tableColumn id="1574" xr3:uid="{36054BD2-6E98-4352-812D-29F388CCE1AF}" uniqueName="1574" name="Column1574" queryTableFieldId="1574"/>
    <tableColumn id="1575" xr3:uid="{DA74C3A2-9BA4-489C-ACAE-544EFC6B552C}" uniqueName="1575" name="Column1575" queryTableFieldId="1575"/>
    <tableColumn id="1576" xr3:uid="{6B09E4A6-B3F8-4BAC-BE5B-AD16DDA56A0F}" uniqueName="1576" name="Column1576" queryTableFieldId="1576"/>
    <tableColumn id="1577" xr3:uid="{935E93EB-D894-4F46-BE79-0D44E2D9C614}" uniqueName="1577" name="Column1577" queryTableFieldId="1577"/>
    <tableColumn id="1578" xr3:uid="{AA811240-FB00-4F84-818B-7C15EFD505B2}" uniqueName="1578" name="Column1578" queryTableFieldId="1578"/>
    <tableColumn id="1579" xr3:uid="{1D487C1F-6D9D-48CE-9498-A3DEA7F1B314}" uniqueName="1579" name="Column1579" queryTableFieldId="1579"/>
    <tableColumn id="1580" xr3:uid="{A0F526B5-99E0-47DC-96B9-3040252EBAF9}" uniqueName="1580" name="Column1580" queryTableFieldId="1580"/>
    <tableColumn id="1581" xr3:uid="{E6F1FA22-C0EC-41FB-B2B9-BE55B8DF3826}" uniqueName="1581" name="Column1581" queryTableFieldId="1581"/>
    <tableColumn id="1582" xr3:uid="{378579B3-D48D-45B4-A32E-90415C65B0C3}" uniqueName="1582" name="Column1582" queryTableFieldId="1582"/>
    <tableColumn id="1583" xr3:uid="{344BD369-BA8E-449A-8CC4-114D2992384C}" uniqueName="1583" name="Column1583" queryTableFieldId="1583"/>
    <tableColumn id="1584" xr3:uid="{FC6800F7-8FA7-42BF-9B6D-7359E4BED352}" uniqueName="1584" name="Column1584" queryTableFieldId="1584"/>
    <tableColumn id="1585" xr3:uid="{56736FA7-0E79-49A6-AB11-A991D8F00A23}" uniqueName="1585" name="Column1585" queryTableFieldId="1585"/>
    <tableColumn id="1586" xr3:uid="{F90E0217-0E98-4D2F-A16A-DB4847591B26}" uniqueName="1586" name="Column1586" queryTableFieldId="1586"/>
    <tableColumn id="1587" xr3:uid="{759A3699-22BC-40D3-A9CC-ED12BAB0E8D2}" uniqueName="1587" name="Column1587" queryTableFieldId="1587"/>
    <tableColumn id="1588" xr3:uid="{1D367E0A-C07E-4A2D-8540-19161A587738}" uniqueName="1588" name="Column1588" queryTableFieldId="1588"/>
    <tableColumn id="1589" xr3:uid="{3A905913-9166-4FF8-B2D9-B61B63B022E5}" uniqueName="1589" name="Column1589" queryTableFieldId="1589"/>
    <tableColumn id="1590" xr3:uid="{F340C34F-3C86-4040-AA6A-E60A533877CF}" uniqueName="1590" name="Column1590" queryTableFieldId="1590"/>
    <tableColumn id="1591" xr3:uid="{706AE367-9BC1-4F47-9FFD-0BADE748756A}" uniqueName="1591" name="Column1591" queryTableFieldId="1591"/>
    <tableColumn id="1592" xr3:uid="{9C6C07AF-7D35-46EF-901E-987983017EDE}" uniqueName="1592" name="Column1592" queryTableFieldId="1592"/>
    <tableColumn id="1593" xr3:uid="{9F4C8F66-6C83-4942-AC31-45331BE58A6D}" uniqueName="1593" name="Column1593" queryTableFieldId="1593"/>
    <tableColumn id="1594" xr3:uid="{A88B5415-6905-49F2-B79E-D22403D98517}" uniqueName="1594" name="Column1594" queryTableFieldId="1594"/>
    <tableColumn id="1595" xr3:uid="{B9B2163D-499C-4ED9-A594-F8567A9912F4}" uniqueName="1595" name="Column1595" queryTableFieldId="1595"/>
    <tableColumn id="1596" xr3:uid="{4E68503A-D476-439B-9753-E13565AD672A}" uniqueName="1596" name="Column1596" queryTableFieldId="1596"/>
    <tableColumn id="1597" xr3:uid="{39104465-06E5-4BD3-806A-9608A58AA48B}" uniqueName="1597" name="Column1597" queryTableFieldId="1597"/>
    <tableColumn id="1598" xr3:uid="{0CEB3CFF-92A7-45A1-B18D-8C8CE39DAC04}" uniqueName="1598" name="Column1598" queryTableFieldId="1598"/>
    <tableColumn id="1599" xr3:uid="{21A0AEBE-F68E-41EC-96DB-C73182CCFF0A}" uniqueName="1599" name="Column1599" queryTableFieldId="1599"/>
    <tableColumn id="1600" xr3:uid="{C95ABC10-53A9-47B2-A591-19A2EA616C4F}" uniqueName="1600" name="Column1600" queryTableFieldId="1600"/>
    <tableColumn id="1601" xr3:uid="{C8E5E2B2-0096-4AAE-9F80-69DEBBCCDD6E}" uniqueName="1601" name="Column1601" queryTableFieldId="1601"/>
    <tableColumn id="1602" xr3:uid="{F5D0EFBF-3463-4D16-BE72-704C3E6FC72A}" uniqueName="1602" name="Column1602" queryTableFieldId="1602"/>
    <tableColumn id="1603" xr3:uid="{80AE4D51-E1AF-4BDF-B862-262CA933A64D}" uniqueName="1603" name="Column1603" queryTableFieldId="1603"/>
    <tableColumn id="1604" xr3:uid="{9E07B82A-D09F-4F4D-B93D-0DB8DE47EF04}" uniqueName="1604" name="Column1604" queryTableFieldId="1604"/>
    <tableColumn id="1605" xr3:uid="{CF553558-A440-4330-ADB4-2DCAB237AF0A}" uniqueName="1605" name="Column1605" queryTableFieldId="1605"/>
    <tableColumn id="1606" xr3:uid="{5CA038FA-9C51-4705-A77B-6B8D4B96659A}" uniqueName="1606" name="Column1606" queryTableFieldId="1606"/>
    <tableColumn id="1607" xr3:uid="{371103FF-C9C3-4BBF-BD41-0EB1E315E1C7}" uniqueName="1607" name="Column1607" queryTableFieldId="1607"/>
    <tableColumn id="1608" xr3:uid="{F45D5657-D4EB-42D2-824E-9329F480C91F}" uniqueName="1608" name="Column1608" queryTableFieldId="1608"/>
    <tableColumn id="1609" xr3:uid="{F7D261D2-9DEF-4CEB-8D9C-434DF2FBDD7D}" uniqueName="1609" name="Column1609" queryTableFieldId="1609"/>
    <tableColumn id="1610" xr3:uid="{EEA90C6B-6478-4449-9B62-DD596CB2E145}" uniqueName="1610" name="Column1610" queryTableFieldId="1610"/>
    <tableColumn id="1611" xr3:uid="{F8D7F85C-A1DF-47E1-857C-8E94ABEEACD6}" uniqueName="1611" name="Column1611" queryTableFieldId="1611"/>
    <tableColumn id="1612" xr3:uid="{B2AF7D7A-D7B8-4003-8B0D-62027A75DD53}" uniqueName="1612" name="Column1612" queryTableFieldId="1612"/>
    <tableColumn id="1613" xr3:uid="{7D1F295D-3D84-465F-AF7F-F8699B2ABCFE}" uniqueName="1613" name="Column1613" queryTableFieldId="1613"/>
    <tableColumn id="1614" xr3:uid="{B4266C44-CBD8-4A3D-98EC-38923BB9B6EB}" uniqueName="1614" name="Column1614" queryTableFieldId="1614"/>
    <tableColumn id="1615" xr3:uid="{1B1AB936-80DB-457F-9A32-B5EC55D1465C}" uniqueName="1615" name="Column1615" queryTableFieldId="1615"/>
    <tableColumn id="1616" xr3:uid="{9A0E4641-5D32-4A4B-9166-9FFAD0C3D981}" uniqueName="1616" name="Column1616" queryTableFieldId="1616"/>
    <tableColumn id="1617" xr3:uid="{2E975AF1-3172-4EB5-9279-4C0C8977A69B}" uniqueName="1617" name="Column1617" queryTableFieldId="1617"/>
    <tableColumn id="1618" xr3:uid="{22EDCC09-BA13-4A86-86D2-D6FD1B2E1896}" uniqueName="1618" name="Column1618" queryTableFieldId="1618"/>
    <tableColumn id="1619" xr3:uid="{26D3A18B-30C0-4AD0-83F0-B52CDC033D63}" uniqueName="1619" name="Column1619" queryTableFieldId="1619"/>
    <tableColumn id="1620" xr3:uid="{251E0C9E-BD2D-4294-BF94-0FFEA4EC5F5D}" uniqueName="1620" name="Column1620" queryTableFieldId="1620"/>
    <tableColumn id="1621" xr3:uid="{B4D1B69A-166F-4531-B160-C17D9B5DBA6E}" uniqueName="1621" name="Column1621" queryTableFieldId="1621"/>
    <tableColumn id="1622" xr3:uid="{9EA2FA6F-AEE3-49B6-AA18-C31FCC6F7774}" uniqueName="1622" name="Column1622" queryTableFieldId="1622"/>
    <tableColumn id="1623" xr3:uid="{49FDF64C-03E0-42A2-9FF0-12A21947FC1B}" uniqueName="1623" name="Column1623" queryTableFieldId="1623"/>
    <tableColumn id="1624" xr3:uid="{2B39D7FA-049E-4860-8314-B2432152DF78}" uniqueName="1624" name="Column1624" queryTableFieldId="1624"/>
    <tableColumn id="1625" xr3:uid="{A4772C31-B078-4AC8-9ED1-E2F4ACC40949}" uniqueName="1625" name="Column1625" queryTableFieldId="1625"/>
    <tableColumn id="1626" xr3:uid="{2C419511-49D1-43A0-A853-F8E21A35617D}" uniqueName="1626" name="Column1626" queryTableFieldId="1626"/>
    <tableColumn id="1627" xr3:uid="{42DFEEF1-0A92-4A0E-942F-2C36B2077625}" uniqueName="1627" name="Column1627" queryTableFieldId="1627"/>
    <tableColumn id="1628" xr3:uid="{C00BC310-CF5F-438B-88C0-E8121531B70F}" uniqueName="1628" name="Column1628" queryTableFieldId="1628"/>
    <tableColumn id="1629" xr3:uid="{0F2389EC-1DAA-42E5-AFBD-D17B90F48E4D}" uniqueName="1629" name="Column1629" queryTableFieldId="1629"/>
    <tableColumn id="1630" xr3:uid="{27E80426-AE89-4BCD-8752-5786336FF89D}" uniqueName="1630" name="Column1630" queryTableFieldId="1630"/>
    <tableColumn id="1631" xr3:uid="{D14348B1-11B1-4732-988F-ECCAA3C07C93}" uniqueName="1631" name="Column1631" queryTableFieldId="1631"/>
    <tableColumn id="1632" xr3:uid="{AAF36564-1F35-4EA9-9A50-B77BAF45AE5B}" uniqueName="1632" name="Column1632" queryTableFieldId="1632"/>
    <tableColumn id="1633" xr3:uid="{11500166-65DE-439E-903B-0D9919E41D74}" uniqueName="1633" name="Column1633" queryTableFieldId="1633"/>
    <tableColumn id="1634" xr3:uid="{D6929FB0-48C0-4BED-84A6-74840EFC121A}" uniqueName="1634" name="Column1634" queryTableFieldId="1634"/>
    <tableColumn id="1635" xr3:uid="{D7406FC8-5D1A-4C04-A9C5-2E1CEB3FB1EF}" uniqueName="1635" name="Column1635" queryTableFieldId="1635"/>
    <tableColumn id="1636" xr3:uid="{B4E62C3C-BAD8-419E-932A-A778C4C0D789}" uniqueName="1636" name="Column1636" queryTableFieldId="1636"/>
    <tableColumn id="1637" xr3:uid="{5481871F-6D81-44AC-921B-5148296001BB}" uniqueName="1637" name="Column1637" queryTableFieldId="1637"/>
    <tableColumn id="1638" xr3:uid="{4181E574-22FE-40CC-A939-99FB170E633C}" uniqueName="1638" name="Column1638" queryTableFieldId="1638"/>
    <tableColumn id="1639" xr3:uid="{B0E10ED8-BBF9-4F73-9ECD-5498BE0EBCE9}" uniqueName="1639" name="Column1639" queryTableFieldId="1639"/>
    <tableColumn id="1640" xr3:uid="{0C8EE365-DA83-4F1B-9F09-2C216BC6C3CE}" uniqueName="1640" name="Column1640" queryTableFieldId="1640"/>
    <tableColumn id="1641" xr3:uid="{E01B6FD7-F86F-4A48-9AE3-7F372B29D5DE}" uniqueName="1641" name="Column1641" queryTableFieldId="1641"/>
    <tableColumn id="1642" xr3:uid="{8D617F99-F6DF-416B-93DB-F9CA59DF8ED7}" uniqueName="1642" name="Column1642" queryTableFieldId="1642"/>
    <tableColumn id="1643" xr3:uid="{EF82BA20-D31F-41F2-B1F3-795D00F9A671}" uniqueName="1643" name="Column1643" queryTableFieldId="1643"/>
    <tableColumn id="1644" xr3:uid="{6E2887B1-C191-4BF4-9D26-B480C9482D51}" uniqueName="1644" name="Column1644" queryTableFieldId="1644"/>
    <tableColumn id="1645" xr3:uid="{D449F787-687A-4C6A-B896-D80534A6D8C6}" uniqueName="1645" name="Column1645" queryTableFieldId="1645"/>
    <tableColumn id="1646" xr3:uid="{A47B6C1B-0569-449D-BE5C-2CB55005D4D1}" uniqueName="1646" name="Column1646" queryTableFieldId="1646"/>
    <tableColumn id="1647" xr3:uid="{68AEA245-4D8D-42A1-9E9F-A0C23AF04F67}" uniqueName="1647" name="Column1647" queryTableFieldId="1647"/>
    <tableColumn id="1648" xr3:uid="{714D8902-9E10-4069-8B62-C3B12DC85461}" uniqueName="1648" name="Column1648" queryTableFieldId="1648"/>
    <tableColumn id="1649" xr3:uid="{45794AF8-5C59-4404-9A1C-0073D17A4709}" uniqueName="1649" name="Column1649" queryTableFieldId="1649"/>
    <tableColumn id="1650" xr3:uid="{D66132F0-3B16-427D-8AF2-BE4658CB8E17}" uniqueName="1650" name="Column1650" queryTableFieldId="1650"/>
    <tableColumn id="1651" xr3:uid="{67FE00F3-FBDE-42C4-A118-6E0E083C78C0}" uniqueName="1651" name="Column1651" queryTableFieldId="1651"/>
    <tableColumn id="1652" xr3:uid="{8CD5863B-DA9D-41D3-A547-C6CE95C1C897}" uniqueName="1652" name="Column1652" queryTableFieldId="1652"/>
    <tableColumn id="1653" xr3:uid="{68E1B3E3-1EE3-4FA6-868B-01701F06E5D3}" uniqueName="1653" name="Column1653" queryTableFieldId="1653"/>
    <tableColumn id="1654" xr3:uid="{136195F2-E3B3-42C6-AF20-1ACDD1C75742}" uniqueName="1654" name="Column1654" queryTableFieldId="1654"/>
    <tableColumn id="1655" xr3:uid="{A26D64BF-1C06-4BE6-8760-5282C1B53F4E}" uniqueName="1655" name="Column1655" queryTableFieldId="1655"/>
    <tableColumn id="1656" xr3:uid="{643FE049-FE60-4748-909B-C1EBD8E44795}" uniqueName="1656" name="Column1656" queryTableFieldId="1656"/>
    <tableColumn id="1657" xr3:uid="{D7344901-2CCD-408D-B20F-776A563A22DE}" uniqueName="1657" name="Column1657" queryTableFieldId="1657"/>
    <tableColumn id="1658" xr3:uid="{486B75AB-8E6B-4DC5-8478-9D3C8D476D0E}" uniqueName="1658" name="Column1658" queryTableFieldId="1658"/>
    <tableColumn id="1659" xr3:uid="{0AD0A182-8156-4EAF-BFBA-F61296F2A3D5}" uniqueName="1659" name="Column1659" queryTableFieldId="1659"/>
    <tableColumn id="1660" xr3:uid="{86804C49-4DEC-4583-95BA-B3ED4B0BEFCD}" uniqueName="1660" name="Column1660" queryTableFieldId="1660"/>
    <tableColumn id="1661" xr3:uid="{EC181531-9EC4-42DA-A63C-58B2F2AE0F30}" uniqueName="1661" name="Column1661" queryTableFieldId="1661"/>
    <tableColumn id="1662" xr3:uid="{FD3D97F2-CEB8-4686-8D5F-01C5E452C0F9}" uniqueName="1662" name="Column1662" queryTableFieldId="1662"/>
    <tableColumn id="1663" xr3:uid="{A017E404-65FF-4583-B11D-938024A6C02E}" uniqueName="1663" name="Column1663" queryTableFieldId="1663"/>
    <tableColumn id="1664" xr3:uid="{A50AA7DB-BBA5-4C69-A538-0AF14FED5354}" uniqueName="1664" name="Column1664" queryTableFieldId="1664"/>
    <tableColumn id="1665" xr3:uid="{1F3DD6B9-BB35-41FE-9EED-D9814D56D4D8}" uniqueName="1665" name="Column1665" queryTableFieldId="1665"/>
    <tableColumn id="1666" xr3:uid="{B1D827AC-009A-49FE-B266-55371E163780}" uniqueName="1666" name="Column1666" queryTableFieldId="1666"/>
    <tableColumn id="1667" xr3:uid="{1B3B01E9-B45D-48DA-BE3E-F7498DAC9AE7}" uniqueName="1667" name="Column1667" queryTableFieldId="1667"/>
    <tableColumn id="1668" xr3:uid="{20B6354E-AAC2-495C-BCB6-25C299BF822C}" uniqueName="1668" name="Column1668" queryTableFieldId="1668"/>
    <tableColumn id="1669" xr3:uid="{39837678-A774-4D4A-9F56-8D3747092439}" uniqueName="1669" name="Column1669" queryTableFieldId="1669"/>
    <tableColumn id="1670" xr3:uid="{E9336286-BE55-4EC2-B3A5-900F40F5DDB2}" uniqueName="1670" name="Column1670" queryTableFieldId="1670"/>
    <tableColumn id="1671" xr3:uid="{DE50D596-480C-4CE6-90E0-A5F8502E4987}" uniqueName="1671" name="Column1671" queryTableFieldId="1671"/>
    <tableColumn id="1672" xr3:uid="{7B7C1863-CD49-4AF5-B1C9-1A5C47D504F6}" uniqueName="1672" name="Column1672" queryTableFieldId="1672"/>
    <tableColumn id="1673" xr3:uid="{AAA05DF5-5BE8-46C4-BBF8-900227B39325}" uniqueName="1673" name="Column1673" queryTableFieldId="1673"/>
    <tableColumn id="1674" xr3:uid="{8376B2AA-0A58-4ED1-96E6-7B81C296D7D2}" uniqueName="1674" name="Column1674" queryTableFieldId="1674"/>
    <tableColumn id="1675" xr3:uid="{F953D8D7-D39D-4048-98DF-5AD54D61D9EC}" uniqueName="1675" name="Column1675" queryTableFieldId="1675"/>
    <tableColumn id="1676" xr3:uid="{8474CE3E-89E5-438B-9C0A-164C6D71E5A6}" uniqueName="1676" name="Column1676" queryTableFieldId="1676"/>
    <tableColumn id="1677" xr3:uid="{19FDA48A-E4B1-4A6B-9416-0832ADE2E711}" uniqueName="1677" name="Column1677" queryTableFieldId="1677"/>
    <tableColumn id="1678" xr3:uid="{880AE32F-17E7-436C-AC2F-C7442B8A1D35}" uniqueName="1678" name="Column1678" queryTableFieldId="1678"/>
    <tableColumn id="1679" xr3:uid="{D2EDF280-345C-4153-AB84-04074F5D3265}" uniqueName="1679" name="Column1679" queryTableFieldId="1679"/>
    <tableColumn id="1680" xr3:uid="{6D0FE5ED-A475-4BB7-936E-E9EE9F2018CC}" uniqueName="1680" name="Column1680" queryTableFieldId="1680"/>
    <tableColumn id="1681" xr3:uid="{1FFE15D9-D768-432C-AB11-ACAA832F4224}" uniqueName="1681" name="Column1681" queryTableFieldId="1681"/>
    <tableColumn id="1682" xr3:uid="{B8BA4FD0-F200-4823-8006-B69CE95E50CD}" uniqueName="1682" name="Column1682" queryTableFieldId="1682"/>
    <tableColumn id="1683" xr3:uid="{685D0CD3-C41D-452C-8E44-58BB57C0B3B7}" uniqueName="1683" name="Column1683" queryTableFieldId="1683"/>
    <tableColumn id="1684" xr3:uid="{2A1AF027-0BA3-4D51-AA0F-A1BDCEB640E2}" uniqueName="1684" name="Column1684" queryTableFieldId="1684"/>
    <tableColumn id="1685" xr3:uid="{4B39B873-A6E7-4660-89AE-E6636CA9B856}" uniqueName="1685" name="Column1685" queryTableFieldId="1685"/>
    <tableColumn id="1686" xr3:uid="{34505298-0C02-4430-B574-C41068CDB804}" uniqueName="1686" name="Column1686" queryTableFieldId="1686"/>
    <tableColumn id="1687" xr3:uid="{C6727C4E-9689-46DD-B324-DA13854D0AAA}" uniqueName="1687" name="Column1687" queryTableFieldId="1687"/>
    <tableColumn id="1688" xr3:uid="{F034ED11-037E-42D7-9797-662BC0190E7D}" uniqueName="1688" name="Column1688" queryTableFieldId="1688"/>
    <tableColumn id="1689" xr3:uid="{C56CE283-5BAD-48B2-9D50-A9D8E8661845}" uniqueName="1689" name="Column1689" queryTableFieldId="1689"/>
    <tableColumn id="1690" xr3:uid="{BD31A750-C030-4375-B03A-3F510D0DBB4D}" uniqueName="1690" name="Column1690" queryTableFieldId="1690"/>
    <tableColumn id="1691" xr3:uid="{789227AD-ED28-4A6D-939A-EA2D1515DAAD}" uniqueName="1691" name="Column1691" queryTableFieldId="1691"/>
    <tableColumn id="1692" xr3:uid="{01C437B8-1818-4C18-B844-FD8D1039E7A0}" uniqueName="1692" name="Column1692" queryTableFieldId="1692"/>
    <tableColumn id="1693" xr3:uid="{38F0127D-F572-43E9-9A61-B493F7D122E3}" uniqueName="1693" name="Column1693" queryTableFieldId="1693"/>
    <tableColumn id="1694" xr3:uid="{2D45183E-1DB6-45E2-AFB2-15093C166D6E}" uniqueName="1694" name="Column1694" queryTableFieldId="1694"/>
    <tableColumn id="1695" xr3:uid="{E757C2B2-BC53-473C-AAE7-89E4A82B934A}" uniqueName="1695" name="Column1695" queryTableFieldId="1695"/>
    <tableColumn id="1696" xr3:uid="{F9E394A7-9032-448E-A9B3-11A06ADDFE51}" uniqueName="1696" name="Column1696" queryTableFieldId="1696"/>
    <tableColumn id="1697" xr3:uid="{AA0298D3-8DEB-41B1-87D9-35F49BCF890A}" uniqueName="1697" name="Column1697" queryTableFieldId="1697"/>
    <tableColumn id="1698" xr3:uid="{0B9DBFB1-250C-4DCA-8F72-BC5DFE19FDF9}" uniqueName="1698" name="Column1698" queryTableFieldId="1698"/>
    <tableColumn id="1699" xr3:uid="{7ABACB13-4F2C-49CC-AEB0-0E45255D9FA8}" uniqueName="1699" name="Column1699" queryTableFieldId="1699"/>
    <tableColumn id="1700" xr3:uid="{8467F83D-16C4-4CBC-8204-C8DFE97805E9}" uniqueName="1700" name="Column1700" queryTableFieldId="1700"/>
    <tableColumn id="1701" xr3:uid="{170568D4-6C8C-4836-A2B7-B8B88EDCAFB1}" uniqueName="1701" name="Column1701" queryTableFieldId="1701"/>
    <tableColumn id="1702" xr3:uid="{EFA607C0-C320-499D-8D20-D9D1712BB4E4}" uniqueName="1702" name="Column1702" queryTableFieldId="1702"/>
    <tableColumn id="1703" xr3:uid="{E729E0D7-89CF-4B10-A82A-5CC909749D92}" uniqueName="1703" name="Column1703" queryTableFieldId="1703"/>
    <tableColumn id="1704" xr3:uid="{A9A96048-7550-4228-9895-A2C9E92DBF76}" uniqueName="1704" name="Column1704" queryTableFieldId="1704"/>
    <tableColumn id="1705" xr3:uid="{78138D15-27E0-4312-B6FF-87F8C1E20B31}" uniqueName="1705" name="Column1705" queryTableFieldId="1705"/>
    <tableColumn id="1706" xr3:uid="{EA851E1E-137B-489A-83D0-5251DC8782C3}" uniqueName="1706" name="Column1706" queryTableFieldId="1706"/>
    <tableColumn id="1707" xr3:uid="{61054F93-7B9F-4AC9-B77C-90581337339B}" uniqueName="1707" name="Column1707" queryTableFieldId="1707"/>
    <tableColumn id="1708" xr3:uid="{57940146-CB10-4763-9A71-1A4BD6DA27E2}" uniqueName="1708" name="Column1708" queryTableFieldId="1708"/>
    <tableColumn id="1709" xr3:uid="{F87CBA28-2253-4B53-A5C7-A4D4BD55064E}" uniqueName="1709" name="Column1709" queryTableFieldId="1709"/>
    <tableColumn id="1710" xr3:uid="{1EA424D2-0BD6-4533-9054-C8A898D4AFCA}" uniqueName="1710" name="Column1710" queryTableFieldId="1710"/>
    <tableColumn id="1711" xr3:uid="{CA7072F3-6BD4-46A6-B23F-116980C67514}" uniqueName="1711" name="Column1711" queryTableFieldId="1711"/>
    <tableColumn id="1712" xr3:uid="{771FC9D7-8C1E-485B-BC5C-745B8AED41AA}" uniqueName="1712" name="Column1712" queryTableFieldId="1712"/>
    <tableColumn id="1713" xr3:uid="{8A250B7D-8F4D-498D-8327-F7201EBC6FBC}" uniqueName="1713" name="Column1713" queryTableFieldId="1713"/>
    <tableColumn id="1714" xr3:uid="{CC57F1C7-ACEA-415A-850E-A899163F4764}" uniqueName="1714" name="Column1714" queryTableFieldId="1714"/>
    <tableColumn id="1715" xr3:uid="{768AB5D3-D332-4164-8E71-07B88CB881A8}" uniqueName="1715" name="Column1715" queryTableFieldId="1715"/>
    <tableColumn id="1716" xr3:uid="{709D2D1B-F01A-446A-88AA-C9C57607A1C6}" uniqueName="1716" name="Column1716" queryTableFieldId="1716"/>
    <tableColumn id="1717" xr3:uid="{E7CD7630-57F6-4162-BB81-5ACA5C49424A}" uniqueName="1717" name="Column1717" queryTableFieldId="1717"/>
    <tableColumn id="1718" xr3:uid="{F6130F68-9600-4A4A-A8FB-0C52C7F88579}" uniqueName="1718" name="Column1718" queryTableFieldId="1718"/>
    <tableColumn id="1719" xr3:uid="{52D01559-BFFC-432E-B4C7-6FC73DEF33D8}" uniqueName="1719" name="Column1719" queryTableFieldId="1719"/>
    <tableColumn id="1720" xr3:uid="{0EEB5CA2-E15F-41B9-B5C1-69826562B480}" uniqueName="1720" name="Column1720" queryTableFieldId="1720"/>
    <tableColumn id="1721" xr3:uid="{4C2CACF1-C7E3-4D0A-A8E8-BB13C41EA2C4}" uniqueName="1721" name="Column1721" queryTableFieldId="1721"/>
    <tableColumn id="1722" xr3:uid="{4B98EB9A-6BBA-47CC-8726-FEDD56E8A127}" uniqueName="1722" name="Column1722" queryTableFieldId="1722"/>
    <tableColumn id="1723" xr3:uid="{12FE68C3-E1E4-4E8E-BC92-7860A8ED677B}" uniqueName="1723" name="Column1723" queryTableFieldId="1723"/>
    <tableColumn id="1724" xr3:uid="{162D2500-2870-4BB8-8AFE-8499472642D2}" uniqueName="1724" name="Column1724" queryTableFieldId="1724"/>
    <tableColumn id="1725" xr3:uid="{AC3ED482-B7CC-4AFC-9569-E45B97140BE7}" uniqueName="1725" name="Column1725" queryTableFieldId="1725"/>
    <tableColumn id="1726" xr3:uid="{7BF584CA-C9BF-4735-8BB7-8C1D67BB5556}" uniqueName="1726" name="Column1726" queryTableFieldId="1726"/>
    <tableColumn id="1727" xr3:uid="{0F6C4309-EBD0-474A-A5B5-D75E325AE3DB}" uniqueName="1727" name="Column1727" queryTableFieldId="1727"/>
    <tableColumn id="1728" xr3:uid="{506622F7-59DF-49B8-A4E5-317CDF2032A3}" uniqueName="1728" name="Column1728" queryTableFieldId="1728"/>
    <tableColumn id="1729" xr3:uid="{A97AA3E0-0A69-4F9E-A9AF-5A4EB6E37B14}" uniqueName="1729" name="Column1729" queryTableFieldId="1729"/>
    <tableColumn id="1730" xr3:uid="{6F462B0F-6296-482F-91DC-DD1256AF9D23}" uniqueName="1730" name="Column1730" queryTableFieldId="1730"/>
    <tableColumn id="1731" xr3:uid="{57039B9F-AD11-40EC-B20E-3B67673F8AF1}" uniqueName="1731" name="Column1731" queryTableFieldId="1731"/>
    <tableColumn id="1732" xr3:uid="{3269D732-C63E-4210-AC5F-5E570249EF02}" uniqueName="1732" name="Column1732" queryTableFieldId="1732"/>
    <tableColumn id="1733" xr3:uid="{46FD72DA-1846-4284-8326-3A04E37EDF5D}" uniqueName="1733" name="Column1733" queryTableFieldId="1733"/>
    <tableColumn id="1734" xr3:uid="{D6373E73-0717-49C0-B53C-09B83B9EF5AF}" uniqueName="1734" name="Column1734" queryTableFieldId="1734"/>
    <tableColumn id="1735" xr3:uid="{AD079F4E-CE28-4384-82BF-D61093E11509}" uniqueName="1735" name="Column1735" queryTableFieldId="1735"/>
    <tableColumn id="1736" xr3:uid="{BCB6FE2E-2913-45D8-A72E-0F65EC4AEA35}" uniqueName="1736" name="Column1736" queryTableFieldId="1736"/>
    <tableColumn id="1737" xr3:uid="{F10BFB3D-1583-48A2-A5BC-601B45934CBB}" uniqueName="1737" name="Column1737" queryTableFieldId="1737"/>
    <tableColumn id="1738" xr3:uid="{49046F47-9800-4259-AB0D-B9F1D08C7A55}" uniqueName="1738" name="Column1738" queryTableFieldId="1738"/>
    <tableColumn id="1739" xr3:uid="{48056257-2C1E-4AAA-B48C-A139B41AEBE4}" uniqueName="1739" name="Column1739" queryTableFieldId="1739"/>
    <tableColumn id="1740" xr3:uid="{ED5A2E84-6ABC-4FEB-A4D2-044AEAB6220C}" uniqueName="1740" name="Column1740" queryTableFieldId="1740"/>
    <tableColumn id="1741" xr3:uid="{A896A3C9-1CF1-4473-B467-70308E7DA4B8}" uniqueName="1741" name="Column1741" queryTableFieldId="1741"/>
    <tableColumn id="1742" xr3:uid="{E67E8683-176F-414D-BDB7-C1E2CE30A1FC}" uniqueName="1742" name="Column1742" queryTableFieldId="1742"/>
    <tableColumn id="1743" xr3:uid="{6B796C78-CD02-453E-8A18-EB7CFA5C32E5}" uniqueName="1743" name="Column1743" queryTableFieldId="1743"/>
    <tableColumn id="1744" xr3:uid="{4239904B-DAB1-4CBE-AEBE-804F18D2F716}" uniqueName="1744" name="Column1744" queryTableFieldId="1744"/>
    <tableColumn id="1745" xr3:uid="{D79A1874-3ED9-4C60-9C60-4C9EA16F0479}" uniqueName="1745" name="Column1745" queryTableFieldId="1745"/>
    <tableColumn id="1746" xr3:uid="{22D5F5CB-A1F7-4311-B90E-67FA3D308766}" uniqueName="1746" name="Column1746" queryTableFieldId="1746"/>
    <tableColumn id="1747" xr3:uid="{823D95C5-F01C-4176-BBA3-AC51AE80C9E8}" uniqueName="1747" name="Column1747" queryTableFieldId="1747"/>
    <tableColumn id="1748" xr3:uid="{B08B4913-FE3A-4B6C-853A-4FD4EC4E8AB5}" uniqueName="1748" name="Column1748" queryTableFieldId="1748"/>
    <tableColumn id="1749" xr3:uid="{B3D624D0-5C06-48D7-B076-1328412D3026}" uniqueName="1749" name="Column1749" queryTableFieldId="1749"/>
    <tableColumn id="1750" xr3:uid="{E06AE99B-6EB8-47AE-8A0E-28E5CD1E862B}" uniqueName="1750" name="Column1750" queryTableFieldId="1750"/>
    <tableColumn id="1751" xr3:uid="{426F1BE9-8C41-4007-A57E-1EA8B491A4FD}" uniqueName="1751" name="Column1751" queryTableFieldId="1751"/>
    <tableColumn id="1752" xr3:uid="{FCB7E9B5-E153-433C-9FD5-17521706A33B}" uniqueName="1752" name="Column1752" queryTableFieldId="1752"/>
    <tableColumn id="1753" xr3:uid="{3B87B424-AC5B-4006-9EE7-66DC0B35BC63}" uniqueName="1753" name="Column1753" queryTableFieldId="1753"/>
    <tableColumn id="1754" xr3:uid="{88836768-0B46-4059-8081-D098FA6C5DC4}" uniqueName="1754" name="Column1754" queryTableFieldId="1754"/>
    <tableColumn id="1755" xr3:uid="{A7D7AC7D-C532-4460-95F8-E9EB145F6080}" uniqueName="1755" name="Column1755" queryTableFieldId="1755"/>
    <tableColumn id="1756" xr3:uid="{6674CEB0-EDC4-4E42-AC08-7801A3C6E6E6}" uniqueName="1756" name="Column1756" queryTableFieldId="1756"/>
    <tableColumn id="1757" xr3:uid="{CB48F9F8-BAEC-42F5-BD6B-921F11468CB4}" uniqueName="1757" name="Column1757" queryTableFieldId="1757"/>
    <tableColumn id="1758" xr3:uid="{1BD9E6ED-A342-405D-AD94-F7D9B9FBFE4A}" uniqueName="1758" name="Column1758" queryTableFieldId="1758"/>
    <tableColumn id="1759" xr3:uid="{5504E303-4D3B-48E1-A29D-9371E856E2A7}" uniqueName="1759" name="Column1759" queryTableFieldId="1759"/>
    <tableColumn id="1760" xr3:uid="{619E5D4C-BFC6-4F66-AC45-4B8D7F0D11A9}" uniqueName="1760" name="Column1760" queryTableFieldId="1760"/>
    <tableColumn id="1761" xr3:uid="{69C1F6CF-1C19-4407-B72A-0BF8978F6EAC}" uniqueName="1761" name="Column1761" queryTableFieldId="1761"/>
    <tableColumn id="1762" xr3:uid="{1E47C186-E14E-4303-A7C0-3D5192A661FE}" uniqueName="1762" name="Column1762" queryTableFieldId="1762"/>
    <tableColumn id="1763" xr3:uid="{BC38D90F-765B-453A-86CA-B3A82E6088DE}" uniqueName="1763" name="Column1763" queryTableFieldId="1763"/>
    <tableColumn id="1764" xr3:uid="{AB1C1E8E-409B-407F-9578-6144A7F8D659}" uniqueName="1764" name="Column1764" queryTableFieldId="1764"/>
    <tableColumn id="1765" xr3:uid="{3FF0CE43-C17D-45F6-A527-8CEFEEBFED90}" uniqueName="1765" name="Column1765" queryTableFieldId="1765"/>
    <tableColumn id="1766" xr3:uid="{9C2AD036-393A-438E-86BE-AA49FB2170B0}" uniqueName="1766" name="Column1766" queryTableFieldId="1766"/>
    <tableColumn id="1767" xr3:uid="{36B3572E-1789-4623-B929-3A9AA336CAB2}" uniqueName="1767" name="Column1767" queryTableFieldId="1767"/>
    <tableColumn id="1768" xr3:uid="{E5F82E3F-266E-4757-88DC-D8DA0507EE42}" uniqueName="1768" name="Column1768" queryTableFieldId="1768"/>
    <tableColumn id="1769" xr3:uid="{5294EE95-3E49-4751-BBB4-F9C3B881A4E7}" uniqueName="1769" name="Column1769" queryTableFieldId="1769"/>
    <tableColumn id="1770" xr3:uid="{BCBF2E50-A89F-4315-9235-9984E316110A}" uniqueName="1770" name="Column1770" queryTableFieldId="1770"/>
    <tableColumn id="1771" xr3:uid="{F98EB481-BD48-45AD-9F93-2D943BA0E157}" uniqueName="1771" name="Column1771" queryTableFieldId="1771"/>
    <tableColumn id="1772" xr3:uid="{6EDDCC52-896F-4F63-8EE9-21983A3C59F7}" uniqueName="1772" name="Column1772" queryTableFieldId="1772"/>
    <tableColumn id="1773" xr3:uid="{14A04366-7A98-4597-B424-9F650FDEDA63}" uniqueName="1773" name="Column1773" queryTableFieldId="1773"/>
    <tableColumn id="1774" xr3:uid="{47948DE6-A847-4864-9694-014C53FEB09F}" uniqueName="1774" name="Column1774" queryTableFieldId="1774"/>
    <tableColumn id="1775" xr3:uid="{A4CF56F6-39B5-440B-8DB4-A62CAEF0568E}" uniqueName="1775" name="Column1775" queryTableFieldId="1775"/>
    <tableColumn id="1776" xr3:uid="{67CC50BE-749F-46F5-9A76-2860C20E27D1}" uniqueName="1776" name="Column1776" queryTableFieldId="1776"/>
    <tableColumn id="1777" xr3:uid="{2E56B8E6-925C-4D56-B372-C1951F2708BF}" uniqueName="1777" name="Column1777" queryTableFieldId="1777"/>
    <tableColumn id="1778" xr3:uid="{2C63A4AD-0F59-4007-A3FD-21AE91C7EF45}" uniqueName="1778" name="Column1778" queryTableFieldId="1778"/>
    <tableColumn id="1779" xr3:uid="{AD62EFD3-14D7-4188-86EE-0441CE80ECEE}" uniqueName="1779" name="Column1779" queryTableFieldId="1779"/>
    <tableColumn id="1780" xr3:uid="{16DC86D7-DF7E-4A8D-B5EF-BD9F3AD5B78F}" uniqueName="1780" name="Column1780" queryTableFieldId="1780"/>
    <tableColumn id="1781" xr3:uid="{7DC158DF-5903-484D-B096-EF45DC34B65C}" uniqueName="1781" name="Column1781" queryTableFieldId="1781"/>
    <tableColumn id="1782" xr3:uid="{4A0622C0-C1D5-40C1-B1BC-FBEC50738344}" uniqueName="1782" name="Column1782" queryTableFieldId="1782"/>
    <tableColumn id="1783" xr3:uid="{F86CB030-27E1-4DE1-89A4-7CB8B78F0ECE}" uniqueName="1783" name="Column1783" queryTableFieldId="1783"/>
    <tableColumn id="1784" xr3:uid="{F6D6FB0C-6B19-4AEC-8816-9BBB6C6A3758}" uniqueName="1784" name="Column1784" queryTableFieldId="1784"/>
    <tableColumn id="1785" xr3:uid="{589DBF81-7D07-44FD-AAE4-396B68FED925}" uniqueName="1785" name="Column1785" queryTableFieldId="1785"/>
    <tableColumn id="1786" xr3:uid="{633CBC10-8A1D-48B3-837F-D631ED4CF429}" uniqueName="1786" name="Column1786" queryTableFieldId="1786"/>
    <tableColumn id="1787" xr3:uid="{BEE1579A-D7F0-4E1D-AF2F-E7EA0D192B15}" uniqueName="1787" name="Column1787" queryTableFieldId="1787"/>
    <tableColumn id="1788" xr3:uid="{96CD57FB-F1AF-4A9C-815A-58B33298EEE3}" uniqueName="1788" name="Column1788" queryTableFieldId="1788"/>
    <tableColumn id="1789" xr3:uid="{2B987FCE-DD12-4B6E-B192-9C12B4EAC52E}" uniqueName="1789" name="Column1789" queryTableFieldId="1789"/>
    <tableColumn id="1790" xr3:uid="{3ED21D94-75AB-4441-80D9-7D489683554D}" uniqueName="1790" name="Column1790" queryTableFieldId="1790"/>
    <tableColumn id="1791" xr3:uid="{5EFFD351-2E22-4901-975F-9588D01E846F}" uniqueName="1791" name="Column1791" queryTableFieldId="1791"/>
    <tableColumn id="1792" xr3:uid="{B18CC786-351E-40EF-9B02-74118BD1E356}" uniqueName="1792" name="Column1792" queryTableFieldId="1792"/>
    <tableColumn id="1793" xr3:uid="{F78B5A9B-F8CC-400D-A415-D759482D9E52}" uniqueName="1793" name="Column1793" queryTableFieldId="1793"/>
    <tableColumn id="1794" xr3:uid="{9D8D7A9B-C1CD-4F74-A2DF-77563A8306B6}" uniqueName="1794" name="Column1794" queryTableFieldId="1794"/>
    <tableColumn id="1795" xr3:uid="{7CAD6791-2F61-4F75-9AA2-14CC0E394167}" uniqueName="1795" name="Column1795" queryTableFieldId="1795"/>
    <tableColumn id="1796" xr3:uid="{79A88319-3442-4A21-9CCF-AA6E1AE707B8}" uniqueName="1796" name="Column1796" queryTableFieldId="1796"/>
    <tableColumn id="1797" xr3:uid="{A784634F-0BFB-498A-8F77-F6BBFBFEB17F}" uniqueName="1797" name="Column1797" queryTableFieldId="1797"/>
    <tableColumn id="1798" xr3:uid="{D48E5128-27DB-4BA8-AA2F-4BEBDCCA0E9C}" uniqueName="1798" name="Column1798" queryTableFieldId="1798"/>
    <tableColumn id="1799" xr3:uid="{7D55D20E-C65B-41F7-AD05-6E4D128ABEFD}" uniqueName="1799" name="Column1799" queryTableFieldId="1799"/>
    <tableColumn id="1800" xr3:uid="{D1A4ABA3-CC86-4AC6-BE73-2057658C057E}" uniqueName="1800" name="Column1800" queryTableFieldId="1800"/>
    <tableColumn id="1801" xr3:uid="{A33CF17B-E118-40CF-867D-328D35235099}" uniqueName="1801" name="Column1801" queryTableFieldId="1801"/>
    <tableColumn id="1802" xr3:uid="{0C312AC4-4D0D-41D3-83B2-68EBC254E2EA}" uniqueName="1802" name="Column1802" queryTableFieldId="1802"/>
    <tableColumn id="1803" xr3:uid="{BB9F52F8-8D13-4C71-865D-0879A59849BD}" uniqueName="1803" name="Column1803" queryTableFieldId="1803"/>
    <tableColumn id="1804" xr3:uid="{857B55B9-BFE7-4CD5-9544-97261B20AD52}" uniqueName="1804" name="Column1804" queryTableFieldId="1804"/>
    <tableColumn id="1805" xr3:uid="{2CFEE4A5-7A70-4A50-B605-AB70F5D3DA1A}" uniqueName="1805" name="Column1805" queryTableFieldId="1805"/>
    <tableColumn id="1806" xr3:uid="{00F767D6-32FB-44BF-B95A-DA0CCAE5CEB2}" uniqueName="1806" name="Column1806" queryTableFieldId="1806"/>
    <tableColumn id="1807" xr3:uid="{63B9C3B9-9674-4828-9AE6-778AB93D14A5}" uniqueName="1807" name="Column1807" queryTableFieldId="1807"/>
    <tableColumn id="1808" xr3:uid="{88EEEAD3-CCC5-41F8-9671-90603D7E7387}" uniqueName="1808" name="Column1808" queryTableFieldId="1808"/>
    <tableColumn id="1809" xr3:uid="{35D25B20-FEF3-46EF-A4EA-D2E95FE3F14D}" uniqueName="1809" name="Column1809" queryTableFieldId="1809"/>
    <tableColumn id="1810" xr3:uid="{772DD7BA-3E3B-4526-9D9B-842AEAED8249}" uniqueName="1810" name="Column1810" queryTableFieldId="1810"/>
    <tableColumn id="1811" xr3:uid="{CDB622FB-ED35-4194-A718-BAD9C52AA7D7}" uniqueName="1811" name="Column1811" queryTableFieldId="1811"/>
    <tableColumn id="1812" xr3:uid="{BA6197DD-CFC8-41B1-9612-2687107E29E7}" uniqueName="1812" name="Column1812" queryTableFieldId="1812"/>
    <tableColumn id="1813" xr3:uid="{ED6AEC2B-2363-4002-A091-1F26F4CD51D2}" uniqueName="1813" name="Column1813" queryTableFieldId="1813"/>
    <tableColumn id="1814" xr3:uid="{F25141FA-75BA-45D1-8371-6DDB86AF26F7}" uniqueName="1814" name="Column1814" queryTableFieldId="1814"/>
    <tableColumn id="1815" xr3:uid="{B86B9C02-5CE7-44BB-94B1-6D9F0BEE241C}" uniqueName="1815" name="Column1815" queryTableFieldId="1815"/>
    <tableColumn id="1816" xr3:uid="{02FCE712-01ED-466B-81B1-78B8CBD3AAC6}" uniqueName="1816" name="Column1816" queryTableFieldId="1816"/>
    <tableColumn id="1817" xr3:uid="{27E89783-0BBF-4EAA-910D-1D0D8D3A5A8D}" uniqueName="1817" name="Column1817" queryTableFieldId="1817"/>
    <tableColumn id="1818" xr3:uid="{85030B5F-A335-4F30-A51B-42C421219E06}" uniqueName="1818" name="Column1818" queryTableFieldId="1818"/>
    <tableColumn id="1819" xr3:uid="{F4EC3391-AEC7-4A24-BC68-0345709529FF}" uniqueName="1819" name="Column1819" queryTableFieldId="1819"/>
    <tableColumn id="1820" xr3:uid="{383CEDF7-9656-4DBA-AA75-B12B1922CAF8}" uniqueName="1820" name="Column1820" queryTableFieldId="1820"/>
    <tableColumn id="1821" xr3:uid="{7A7A266C-AA68-4B2A-A798-4B6470F30D30}" uniqueName="1821" name="Column1821" queryTableFieldId="1821"/>
    <tableColumn id="1822" xr3:uid="{3A07594F-B6D9-40B2-AB9D-C1493D719661}" uniqueName="1822" name="Column1822" queryTableFieldId="1822"/>
    <tableColumn id="1823" xr3:uid="{6BC670B7-C76E-44BB-AAB5-4DE9F06E2965}" uniqueName="1823" name="Column1823" queryTableFieldId="1823"/>
    <tableColumn id="1824" xr3:uid="{41165B51-4C4A-4129-8BC7-E3B3933F1A63}" uniqueName="1824" name="Column1824" queryTableFieldId="1824"/>
    <tableColumn id="1825" xr3:uid="{93FAC528-D800-49F2-A83B-03D564CD386F}" uniqueName="1825" name="Column1825" queryTableFieldId="1825"/>
    <tableColumn id="1826" xr3:uid="{B3BA4A2D-1A54-4E43-80EA-9760348EE34D}" uniqueName="1826" name="Column1826" queryTableFieldId="1826"/>
    <tableColumn id="1827" xr3:uid="{9AEE11F8-BCAA-4D9C-A063-262DC5680ADF}" uniqueName="1827" name="Column1827" queryTableFieldId="1827"/>
    <tableColumn id="1828" xr3:uid="{7DD0FFFC-D829-4D7E-9AAD-D2019AA0C962}" uniqueName="1828" name="Column1828" queryTableFieldId="1828"/>
    <tableColumn id="1829" xr3:uid="{8DF14B03-5B77-49E9-9207-E9CB003BE523}" uniqueName="1829" name="Column1829" queryTableFieldId="1829"/>
    <tableColumn id="1830" xr3:uid="{3BD93DF1-8FC9-4145-A42B-E822DAE20E6E}" uniqueName="1830" name="Column1830" queryTableFieldId="1830"/>
    <tableColumn id="1831" xr3:uid="{86828856-F2B7-4ECA-BBBA-4E6E1CA69FA6}" uniqueName="1831" name="Column1831" queryTableFieldId="1831"/>
    <tableColumn id="1832" xr3:uid="{F9394746-1C62-45E4-B324-6830E982D260}" uniqueName="1832" name="Column1832" queryTableFieldId="1832"/>
    <tableColumn id="1833" xr3:uid="{ABF21D18-41D9-457C-82A4-C11B51A1381C}" uniqueName="1833" name="Column1833" queryTableFieldId="1833"/>
    <tableColumn id="1834" xr3:uid="{5CAAF94C-E896-4644-8F2C-E0F00284CD49}" uniqueName="1834" name="Column1834" queryTableFieldId="1834"/>
    <tableColumn id="1835" xr3:uid="{56781A21-BE47-450F-82A6-185B2424E4B4}" uniqueName="1835" name="Column1835" queryTableFieldId="1835"/>
    <tableColumn id="1836" xr3:uid="{4B7A0CDB-8252-4C27-9D70-125EFC4EFE86}" uniqueName="1836" name="Column1836" queryTableFieldId="1836"/>
    <tableColumn id="1837" xr3:uid="{62B02860-255B-41D8-A5B7-4D9BCC0A8BC9}" uniqueName="1837" name="Column1837" queryTableFieldId="1837"/>
    <tableColumn id="1838" xr3:uid="{6FE64F00-A1D1-4E70-B70E-B0EDAECC6A86}" uniqueName="1838" name="Column1838" queryTableFieldId="1838"/>
    <tableColumn id="1839" xr3:uid="{8F9C0291-D0D3-423F-AFFC-F2369FAE0090}" uniqueName="1839" name="Column1839" queryTableFieldId="1839"/>
    <tableColumn id="1840" xr3:uid="{0F27B5AD-B8D4-4AB9-865B-675603C0FC36}" uniqueName="1840" name="Column1840" queryTableFieldId="1840"/>
    <tableColumn id="1841" xr3:uid="{DEBC9ADB-E464-460E-BCB8-1846BCC25A3E}" uniqueName="1841" name="Column1841" queryTableFieldId="1841"/>
    <tableColumn id="1842" xr3:uid="{8E2809D7-6D09-434A-A605-975CC0BFBA81}" uniqueName="1842" name="Column1842" queryTableFieldId="1842"/>
    <tableColumn id="1843" xr3:uid="{16596653-8988-4A60-BE11-9ACFB6B7D4F1}" uniqueName="1843" name="Column1843" queryTableFieldId="1843"/>
    <tableColumn id="1844" xr3:uid="{E60A5E81-34C8-4E1E-9CEA-48EDDFAC82BB}" uniqueName="1844" name="Column1844" queryTableFieldId="1844"/>
    <tableColumn id="1845" xr3:uid="{7B026D32-722B-4677-8F07-0DD2ADA532C2}" uniqueName="1845" name="Column1845" queryTableFieldId="1845"/>
    <tableColumn id="1846" xr3:uid="{30EAF97C-CF44-40A5-A587-06DB4B5373C6}" uniqueName="1846" name="Column1846" queryTableFieldId="1846"/>
    <tableColumn id="1847" xr3:uid="{EB119653-37BD-4DAE-92E7-35DAB5BD335B}" uniqueName="1847" name="Column1847" queryTableFieldId="1847"/>
    <tableColumn id="1848" xr3:uid="{48800D3E-D675-4B8E-ACF7-1C1A30A72DA6}" uniqueName="1848" name="Column1848" queryTableFieldId="1848"/>
    <tableColumn id="1849" xr3:uid="{52BD030F-355F-4E6A-A851-F2CA83E08191}" uniqueName="1849" name="Column1849" queryTableFieldId="1849"/>
    <tableColumn id="1850" xr3:uid="{70D11DD1-6464-44BE-9389-155384C0556E}" uniqueName="1850" name="Column1850" queryTableFieldId="1850"/>
    <tableColumn id="1851" xr3:uid="{7889A848-8924-4E3D-8A5F-82016E858D5B}" uniqueName="1851" name="Column1851" queryTableFieldId="1851"/>
    <tableColumn id="1852" xr3:uid="{DFFEB62B-822D-4B68-90C5-C943F41B3459}" uniqueName="1852" name="Column1852" queryTableFieldId="1852"/>
    <tableColumn id="1853" xr3:uid="{EDCDDBAD-52A6-4375-AFCD-983FD93D7CD0}" uniqueName="1853" name="Column1853" queryTableFieldId="1853"/>
    <tableColumn id="1854" xr3:uid="{27C63A6E-7FFC-4186-A70A-3EF0FE1FD271}" uniqueName="1854" name="Column1854" queryTableFieldId="1854"/>
    <tableColumn id="1855" xr3:uid="{AAB37300-E866-4D07-8E91-0AAB3EF9894C}" uniqueName="1855" name="Column1855" queryTableFieldId="1855"/>
    <tableColumn id="1856" xr3:uid="{719F46FB-44E7-4FE1-A5E8-32D6D68D60DA}" uniqueName="1856" name="Column1856" queryTableFieldId="1856"/>
    <tableColumn id="1857" xr3:uid="{D76A75E6-F661-4746-852D-32FBC22830EE}" uniqueName="1857" name="Column1857" queryTableFieldId="1857"/>
    <tableColumn id="1858" xr3:uid="{A9C1B65E-0F54-41CA-9CD0-13A30A4823F1}" uniqueName="1858" name="Column1858" queryTableFieldId="1858"/>
    <tableColumn id="1859" xr3:uid="{D0C3A769-070E-4524-8F06-A725A08B2DDD}" uniqueName="1859" name="Column1859" queryTableFieldId="1859"/>
    <tableColumn id="1860" xr3:uid="{28558481-D34E-4095-80A6-98CA3E475E21}" uniqueName="1860" name="Column1860" queryTableFieldId="1860"/>
    <tableColumn id="1861" xr3:uid="{9D73B1D8-576D-49D4-8CF0-D423CBDDBE38}" uniqueName="1861" name="Column1861" queryTableFieldId="1861"/>
    <tableColumn id="1862" xr3:uid="{4DAE0974-AD27-4123-8FAC-53E9C3344049}" uniqueName="1862" name="Column1862" queryTableFieldId="1862"/>
    <tableColumn id="1863" xr3:uid="{4AA26D11-EAEB-4C4B-9EFC-20B418D1B99E}" uniqueName="1863" name="Column1863" queryTableFieldId="1863"/>
    <tableColumn id="1864" xr3:uid="{AD8488FC-1958-4DB4-B3F1-E87A49A57D41}" uniqueName="1864" name="Column1864" queryTableFieldId="1864"/>
    <tableColumn id="1865" xr3:uid="{D6194960-BBAC-461C-A8FE-AABCFE3BDE70}" uniqueName="1865" name="Column1865" queryTableFieldId="1865"/>
    <tableColumn id="1866" xr3:uid="{B568F119-4BD7-49BB-84A4-4B8DF18DCE63}" uniqueName="1866" name="Column1866" queryTableFieldId="1866"/>
    <tableColumn id="1867" xr3:uid="{FAF8B2AC-5991-455A-AC30-96B6614FCED7}" uniqueName="1867" name="Column1867" queryTableFieldId="1867"/>
    <tableColumn id="1868" xr3:uid="{39358534-25C1-4683-BBE5-6A8E5AFC79B8}" uniqueName="1868" name="Column1868" queryTableFieldId="1868"/>
    <tableColumn id="1869" xr3:uid="{8FEEC9E9-EB13-4BD8-8F44-DCC4CF6D5A97}" uniqueName="1869" name="Column1869" queryTableFieldId="1869"/>
    <tableColumn id="1870" xr3:uid="{5C15CF62-9EB4-48D5-A750-FEE255C7E269}" uniqueName="1870" name="Column1870" queryTableFieldId="1870"/>
    <tableColumn id="1871" xr3:uid="{5FC596ED-A26A-4FA3-BF1D-7F98F8EA1400}" uniqueName="1871" name="Column1871" queryTableFieldId="1871"/>
    <tableColumn id="1872" xr3:uid="{05D80210-5BB5-48F3-94E2-1989D4051345}" uniqueName="1872" name="Column1872" queryTableFieldId="1872"/>
    <tableColumn id="1873" xr3:uid="{51774E1D-261A-4883-89DA-662EB87E1997}" uniqueName="1873" name="Column1873" queryTableFieldId="1873"/>
    <tableColumn id="1874" xr3:uid="{2CD4C0BD-4642-4030-B589-2FCCF00B0B2B}" uniqueName="1874" name="Column1874" queryTableFieldId="1874"/>
    <tableColumn id="1875" xr3:uid="{C764405F-D995-46F7-AE4C-EE36632C2C5E}" uniqueName="1875" name="Column1875" queryTableFieldId="1875"/>
    <tableColumn id="1876" xr3:uid="{069E615C-58E1-4845-81DA-0FA78622D887}" uniqueName="1876" name="Column1876" queryTableFieldId="1876"/>
    <tableColumn id="1877" xr3:uid="{ED7FE3A5-8F20-461E-9A4D-5BA5F90E21F4}" uniqueName="1877" name="Column1877" queryTableFieldId="1877"/>
    <tableColumn id="1878" xr3:uid="{82972BDA-EDDB-4A38-9F14-C9C9123B2B12}" uniqueName="1878" name="Column1878" queryTableFieldId="1878"/>
    <tableColumn id="1879" xr3:uid="{AB64205D-DC85-4928-AC31-D9FBE740570E}" uniqueName="1879" name="Column1879" queryTableFieldId="1879"/>
    <tableColumn id="1880" xr3:uid="{17975505-27AA-4058-AC32-F2E89FD5799A}" uniqueName="1880" name="Column1880" queryTableFieldId="1880"/>
    <tableColumn id="1881" xr3:uid="{D1D54E44-B9D5-4342-BCB8-E5B4ED74164F}" uniqueName="1881" name="Column1881" queryTableFieldId="1881"/>
    <tableColumn id="1882" xr3:uid="{8C23A46A-E31F-4737-9DE2-B013893DE10E}" uniqueName="1882" name="Column1882" queryTableFieldId="1882"/>
    <tableColumn id="1883" xr3:uid="{6093D7FA-F14C-4152-A9BC-14965E5DE79D}" uniqueName="1883" name="Column1883" queryTableFieldId="1883"/>
    <tableColumn id="1884" xr3:uid="{3FC2F25B-32EC-43D6-9DCB-626093078937}" uniqueName="1884" name="Column1884" queryTableFieldId="1884"/>
    <tableColumn id="1885" xr3:uid="{4830AFB0-0E13-4432-A0BB-38AE11BC5765}" uniqueName="1885" name="Column1885" queryTableFieldId="1885"/>
    <tableColumn id="1886" xr3:uid="{9967FC05-CAB8-49A1-BCEA-1146004C641D}" uniqueName="1886" name="Column1886" queryTableFieldId="1886"/>
    <tableColumn id="1887" xr3:uid="{F617A962-2461-4218-A5A0-F2965C7371B7}" uniqueName="1887" name="Column1887" queryTableFieldId="1887"/>
    <tableColumn id="1888" xr3:uid="{1BFE4DF4-5224-4139-AC9A-6E306D23187B}" uniqueName="1888" name="Column1888" queryTableFieldId="1888"/>
    <tableColumn id="1889" xr3:uid="{BD8AABE7-D791-4A49-A3AE-72F54C553ED9}" uniqueName="1889" name="Column1889" queryTableFieldId="1889"/>
    <tableColumn id="1890" xr3:uid="{FECC8719-BA56-415D-82C0-55C1911D806F}" uniqueName="1890" name="Column1890" queryTableFieldId="1890"/>
    <tableColumn id="1891" xr3:uid="{686B68C4-0F84-480D-8915-609DA697A0A7}" uniqueName="1891" name="Column1891" queryTableFieldId="1891"/>
    <tableColumn id="1892" xr3:uid="{A8E7083D-3C47-4E84-91E2-D9FB6369E3FE}" uniqueName="1892" name="Column1892" queryTableFieldId="1892"/>
    <tableColumn id="1893" xr3:uid="{95477DD8-EFE3-42E8-BCB6-DCA42EA23A96}" uniqueName="1893" name="Column1893" queryTableFieldId="1893"/>
    <tableColumn id="1894" xr3:uid="{849DBDAF-05AE-4696-82B4-A485231D08C9}" uniqueName="1894" name="Column1894" queryTableFieldId="1894"/>
    <tableColumn id="1895" xr3:uid="{4803BFA2-3C12-4FE8-BB48-AA24590049E8}" uniqueName="1895" name="Column1895" queryTableFieldId="1895"/>
    <tableColumn id="1896" xr3:uid="{CEE0A847-85D4-4A5F-9187-FEB3928C6DF0}" uniqueName="1896" name="Column1896" queryTableFieldId="1896"/>
    <tableColumn id="1897" xr3:uid="{7F25D0F4-07DE-4138-B86D-3D6965B03ABC}" uniqueName="1897" name="Column1897" queryTableFieldId="1897"/>
    <tableColumn id="1898" xr3:uid="{8C48A9E7-BC9C-4132-95E4-257818DF673E}" uniqueName="1898" name="Column1898" queryTableFieldId="1898"/>
    <tableColumn id="1899" xr3:uid="{294A5B14-3C67-44FD-A9FB-0E6B476757D0}" uniqueName="1899" name="Column1899" queryTableFieldId="1899"/>
    <tableColumn id="1900" xr3:uid="{DF8D8665-5196-4BA1-BE6B-22272607BD01}" uniqueName="1900" name="Column1900" queryTableFieldId="1900"/>
    <tableColumn id="1901" xr3:uid="{9415D136-4D68-47A7-BEBC-90F622B742C4}" uniqueName="1901" name="Column1901" queryTableFieldId="1901"/>
    <tableColumn id="1902" xr3:uid="{2799235E-180B-4144-B7FD-D338853325BF}" uniqueName="1902" name="Column1902" queryTableFieldId="1902"/>
    <tableColumn id="1903" xr3:uid="{FBF4EB7B-5085-410C-87F6-3D9BDA00F836}" uniqueName="1903" name="Column1903" queryTableFieldId="1903"/>
    <tableColumn id="1904" xr3:uid="{AFD712A5-4D27-46F9-A39A-D583F18FD590}" uniqueName="1904" name="Column1904" queryTableFieldId="1904"/>
    <tableColumn id="1905" xr3:uid="{1A53C039-F49A-42B2-88DA-CA6A8AA607D8}" uniqueName="1905" name="Column1905" queryTableFieldId="1905"/>
    <tableColumn id="1906" xr3:uid="{B5C7CA3A-986E-4B19-91F2-9D410BD3842C}" uniqueName="1906" name="Column1906" queryTableFieldId="1906"/>
    <tableColumn id="1907" xr3:uid="{D34C3465-1A9E-4858-AA18-13F9807B7FD0}" uniqueName="1907" name="Column1907" queryTableFieldId="1907"/>
    <tableColumn id="1908" xr3:uid="{D47D81FD-7DB9-4265-AE6D-AA97F0A0B144}" uniqueName="1908" name="Column1908" queryTableFieldId="1908"/>
    <tableColumn id="1909" xr3:uid="{5417E54D-1860-4C7A-B483-92BC40671B8A}" uniqueName="1909" name="Column1909" queryTableFieldId="1909"/>
    <tableColumn id="1910" xr3:uid="{926CF99B-96EE-4C6B-92D4-994B84E11209}" uniqueName="1910" name="Column1910" queryTableFieldId="1910"/>
    <tableColumn id="1911" xr3:uid="{C7CECFD8-3DE0-487A-B5FC-97EA0C6AD259}" uniqueName="1911" name="Column1911" queryTableFieldId="1911"/>
    <tableColumn id="1912" xr3:uid="{DC79F70A-E50A-42E9-BF74-B40850C66E1D}" uniqueName="1912" name="Column1912" queryTableFieldId="1912"/>
    <tableColumn id="1913" xr3:uid="{FC9D44E6-8B79-48FC-9F2E-DBE05CBC1F49}" uniqueName="1913" name="Column1913" queryTableFieldId="1913"/>
    <tableColumn id="1914" xr3:uid="{D439A0DB-3003-4F4A-AF92-007D79B207DD}" uniqueName="1914" name="Column1914" queryTableFieldId="1914"/>
    <tableColumn id="1915" xr3:uid="{47528C41-F4A4-4684-847E-DBE521AE78AA}" uniqueName="1915" name="Column1915" queryTableFieldId="1915"/>
    <tableColumn id="1916" xr3:uid="{CE4FC1D9-8C71-4BD5-97BF-720E6FD7D9DB}" uniqueName="1916" name="Column1916" queryTableFieldId="1916"/>
    <tableColumn id="1917" xr3:uid="{C7A7B81A-1C20-497C-B691-4EA80506BE5E}" uniqueName="1917" name="Column1917" queryTableFieldId="1917"/>
    <tableColumn id="1918" xr3:uid="{FD018A43-7AD6-4F63-BC7A-C6EF949B7E1F}" uniqueName="1918" name="Column1918" queryTableFieldId="1918"/>
    <tableColumn id="1919" xr3:uid="{E3204355-19C0-45E3-B23D-F413F820B99C}" uniqueName="1919" name="Column1919" queryTableFieldId="1919"/>
    <tableColumn id="1920" xr3:uid="{10CF83DD-6588-4FAC-A4AD-33CB5D73E00F}" uniqueName="1920" name="Column1920" queryTableFieldId="1920"/>
    <tableColumn id="1921" xr3:uid="{5E76DF85-E31F-4DD9-8C35-9FB0B9152415}" uniqueName="1921" name="Column1921" queryTableFieldId="1921"/>
    <tableColumn id="1922" xr3:uid="{647D37C8-174B-4D1C-8907-CAF493750D57}" uniqueName="1922" name="Column1922" queryTableFieldId="1922"/>
    <tableColumn id="1923" xr3:uid="{60C41367-3D2C-4553-BB81-B47E336C924B}" uniqueName="1923" name="Column1923" queryTableFieldId="1923"/>
    <tableColumn id="1924" xr3:uid="{267B5D74-9D45-4734-A62F-09C6FD7815B3}" uniqueName="1924" name="Column1924" queryTableFieldId="1924"/>
    <tableColumn id="1925" xr3:uid="{055EF1E8-A8E5-43CA-8F7A-ECF89AF29DAF}" uniqueName="1925" name="Column1925" queryTableFieldId="1925"/>
    <tableColumn id="1926" xr3:uid="{A6C63EAD-C8CC-4C96-AFF6-EA85A93A1FB9}" uniqueName="1926" name="Column1926" queryTableFieldId="1926"/>
    <tableColumn id="1927" xr3:uid="{ED434F4A-6C45-43A4-A26F-BFC96939B8BF}" uniqueName="1927" name="Column1927" queryTableFieldId="1927"/>
    <tableColumn id="1928" xr3:uid="{B87DE753-30F9-4832-8685-C6A0F64B51CA}" uniqueName="1928" name="Column1928" queryTableFieldId="1928"/>
    <tableColumn id="1929" xr3:uid="{B281646F-2F1F-47AD-B65D-5D9400C6853B}" uniqueName="1929" name="Column1929" queryTableFieldId="1929"/>
    <tableColumn id="1930" xr3:uid="{4EDCFAFD-5F10-4CB0-AC94-AA4D571786D4}" uniqueName="1930" name="Column1930" queryTableFieldId="1930"/>
    <tableColumn id="1931" xr3:uid="{FCDA72C8-4DB7-4702-91C7-54BE41BE1153}" uniqueName="1931" name="Column1931" queryTableFieldId="1931"/>
    <tableColumn id="1932" xr3:uid="{67966422-15B8-49E9-9EA5-055798FBE618}" uniqueName="1932" name="Column1932" queryTableFieldId="1932"/>
    <tableColumn id="1933" xr3:uid="{C924272C-3F80-42A4-B377-2D547CCCC7F9}" uniqueName="1933" name="Column1933" queryTableFieldId="1933"/>
    <tableColumn id="1934" xr3:uid="{7E4CA95B-B8F1-40E7-A09F-C96F20357E0F}" uniqueName="1934" name="Column1934" queryTableFieldId="1934"/>
    <tableColumn id="1935" xr3:uid="{16227227-4925-4A44-A19F-C0A55150C3B1}" uniqueName="1935" name="Column1935" queryTableFieldId="1935"/>
    <tableColumn id="1936" xr3:uid="{6E7A696B-A396-46D2-B1B5-7915554DE045}" uniqueName="1936" name="Column1936" queryTableFieldId="1936"/>
    <tableColumn id="1937" xr3:uid="{F79BF513-76A5-4023-A668-0DD220422001}" uniqueName="1937" name="Column1937" queryTableFieldId="1937"/>
    <tableColumn id="1938" xr3:uid="{155FCD6F-B116-4CFB-94F9-0E9C4FF2CAD2}" uniqueName="1938" name="Column1938" queryTableFieldId="1938"/>
    <tableColumn id="1939" xr3:uid="{4144F489-A7AA-4BFE-9B12-346CB03B8170}" uniqueName="1939" name="Column1939" queryTableFieldId="1939"/>
    <tableColumn id="1940" xr3:uid="{382F5337-EC07-4916-A496-8064FC3572DD}" uniqueName="1940" name="Column1940" queryTableFieldId="1940"/>
    <tableColumn id="1941" xr3:uid="{894F3B57-C923-47CE-85D9-6D0A57F37456}" uniqueName="1941" name="Column1941" queryTableFieldId="1941"/>
    <tableColumn id="1942" xr3:uid="{31B82ED5-60E8-4728-932C-3366455447B0}" uniqueName="1942" name="Column1942" queryTableFieldId="1942"/>
    <tableColumn id="1943" xr3:uid="{7EAA563A-5CD0-42B4-91CF-97EEA7F2F32E}" uniqueName="1943" name="Column1943" queryTableFieldId="1943"/>
    <tableColumn id="1944" xr3:uid="{4B6B7E97-CE30-4975-8F4C-EA9133019001}" uniqueName="1944" name="Column1944" queryTableFieldId="1944"/>
    <tableColumn id="1945" xr3:uid="{00AA8A29-876F-4D19-BAA5-700249C31BC7}" uniqueName="1945" name="Column1945" queryTableFieldId="1945"/>
    <tableColumn id="1946" xr3:uid="{F183E55B-13AE-4F39-827B-50114C145841}" uniqueName="1946" name="Column1946" queryTableFieldId="1946"/>
    <tableColumn id="1947" xr3:uid="{13317897-AC79-4FC6-BC09-146AD5F937D7}" uniqueName="1947" name="Column1947" queryTableFieldId="1947"/>
    <tableColumn id="1948" xr3:uid="{6BEFB8B1-8D4E-4B8F-B65F-D71D1BB5F9D3}" uniqueName="1948" name="Column1948" queryTableFieldId="1948"/>
    <tableColumn id="1949" xr3:uid="{677078AE-9209-4FF9-BDBD-5838A5ADFEA3}" uniqueName="1949" name="Column1949" queryTableFieldId="1949"/>
    <tableColumn id="1950" xr3:uid="{87300640-36CB-4758-8A1B-4DFDFB350D7F}" uniqueName="1950" name="Column1950" queryTableFieldId="1950"/>
    <tableColumn id="1951" xr3:uid="{33003CEA-0CCC-40F0-97F6-4713466C85D5}" uniqueName="1951" name="Column1951" queryTableFieldId="1951"/>
    <tableColumn id="1952" xr3:uid="{7A5E8122-C068-4923-BB12-8FCE3206EEE6}" uniqueName="1952" name="Column1952" queryTableFieldId="1952"/>
    <tableColumn id="1953" xr3:uid="{F5787271-099F-4339-8D8C-E64050C6C1E4}" uniqueName="1953" name="Column1953" queryTableFieldId="1953"/>
    <tableColumn id="1954" xr3:uid="{B4E718C9-673B-46DF-A783-6BB2C59D210B}" uniqueName="1954" name="Column1954" queryTableFieldId="1954"/>
    <tableColumn id="1955" xr3:uid="{81DB98B7-8E4C-4978-8F95-71360C82C466}" uniqueName="1955" name="Column1955" queryTableFieldId="1955"/>
    <tableColumn id="1956" xr3:uid="{8603EA0C-D3F3-48D2-9F1E-A8B46247B680}" uniqueName="1956" name="Column1956" queryTableFieldId="1956"/>
    <tableColumn id="1957" xr3:uid="{C5A1FBC1-2C4A-4707-AE25-817411701FD1}" uniqueName="1957" name="Column1957" queryTableFieldId="1957"/>
    <tableColumn id="1958" xr3:uid="{37C15B8C-7DBF-401E-85D8-9DC07A397380}" uniqueName="1958" name="Column1958" queryTableFieldId="1958"/>
    <tableColumn id="1959" xr3:uid="{75A9A80B-B307-4AAD-BB70-AA38A2F4D4F0}" uniqueName="1959" name="Column1959" queryTableFieldId="1959"/>
    <tableColumn id="1960" xr3:uid="{A5A25C99-F406-42E5-A39B-F3FFB1AC1006}" uniqueName="1960" name="Column1960" queryTableFieldId="1960"/>
    <tableColumn id="1961" xr3:uid="{CF551FFB-6AD7-4CEE-8CD0-EED8DAC92AEF}" uniqueName="1961" name="Column1961" queryTableFieldId="1961"/>
    <tableColumn id="1962" xr3:uid="{F64210E9-5867-40C1-9139-B8D9B84B2D61}" uniqueName="1962" name="Column1962" queryTableFieldId="1962"/>
    <tableColumn id="1963" xr3:uid="{97CD2865-3F76-4312-854C-08781BEB7422}" uniqueName="1963" name="Column1963" queryTableFieldId="1963"/>
    <tableColumn id="1964" xr3:uid="{F407E483-46CD-4BE1-AA51-4A2D6BCA5D6C}" uniqueName="1964" name="Column1964" queryTableFieldId="1964"/>
    <tableColumn id="1965" xr3:uid="{11E5FA77-724B-4A3C-8070-5AEE0E339A77}" uniqueName="1965" name="Column1965" queryTableFieldId="1965"/>
    <tableColumn id="1966" xr3:uid="{032541A1-18C5-495D-8686-A4B9989951BF}" uniqueName="1966" name="Column1966" queryTableFieldId="1966"/>
    <tableColumn id="1967" xr3:uid="{2BE29662-867D-44A2-921A-0451E3F53E1B}" uniqueName="1967" name="Column1967" queryTableFieldId="1967"/>
    <tableColumn id="1968" xr3:uid="{D52D5EED-8F8F-4A0F-8B0D-D212EE4C0596}" uniqueName="1968" name="Column1968" queryTableFieldId="1968"/>
    <tableColumn id="1969" xr3:uid="{3FC79BEB-9147-4AAA-83DA-02CC23926668}" uniqueName="1969" name="Column1969" queryTableFieldId="1969"/>
    <tableColumn id="1970" xr3:uid="{3472FEA7-C671-4BD4-9348-80A65E6B4C05}" uniqueName="1970" name="Column1970" queryTableFieldId="1970"/>
    <tableColumn id="1971" xr3:uid="{1B6CFD7A-7767-49B6-8207-A30097A33359}" uniqueName="1971" name="Column1971" queryTableFieldId="1971"/>
    <tableColumn id="1972" xr3:uid="{C86357D5-4769-4046-B6A9-9E8CA8EA0AE7}" uniqueName="1972" name="Column1972" queryTableFieldId="1972"/>
    <tableColumn id="1973" xr3:uid="{51AE9A4C-5980-435B-8F4C-BCD22C221F77}" uniqueName="1973" name="Column1973" queryTableFieldId="1973"/>
    <tableColumn id="1974" xr3:uid="{E1516624-80DF-47FC-98F3-2306CB4009D6}" uniqueName="1974" name="Column1974" queryTableFieldId="1974"/>
    <tableColumn id="1975" xr3:uid="{1162CED6-2104-43F0-B9DA-4AF3292C685E}" uniqueName="1975" name="Column1975" queryTableFieldId="1975"/>
    <tableColumn id="1976" xr3:uid="{8E6C70FA-9C27-4015-AABC-BCC38E7EB360}" uniqueName="1976" name="Column1976" queryTableFieldId="1976"/>
    <tableColumn id="1977" xr3:uid="{FFAE7257-4241-4CF1-8201-A07DA0755F2A}" uniqueName="1977" name="Column1977" queryTableFieldId="1977"/>
    <tableColumn id="1978" xr3:uid="{FD524425-8CC4-4F1E-86F5-0BDAEF19F69D}" uniqueName="1978" name="Column1978" queryTableFieldId="1978"/>
    <tableColumn id="1979" xr3:uid="{7BE7F7B5-7DB8-4DEE-AF4D-868ECC513D80}" uniqueName="1979" name="Column1979" queryTableFieldId="1979"/>
    <tableColumn id="1980" xr3:uid="{9EFDB377-82BF-4AEE-808F-8AF860793284}" uniqueName="1980" name="Column1980" queryTableFieldId="1980"/>
    <tableColumn id="1981" xr3:uid="{9D9292C6-0B39-4268-A546-B4C2CF1F11B9}" uniqueName="1981" name="Column1981" queryTableFieldId="1981"/>
    <tableColumn id="1982" xr3:uid="{461ABDED-5714-420D-8D31-8BB50B25F10F}" uniqueName="1982" name="Column1982" queryTableFieldId="1982"/>
    <tableColumn id="1983" xr3:uid="{2DC8309E-6BA9-415B-9595-C1F16D76D9F9}" uniqueName="1983" name="Column1983" queryTableFieldId="1983"/>
    <tableColumn id="1984" xr3:uid="{88134BA7-D6DF-4193-B664-BC5827921AFC}" uniqueName="1984" name="Column1984" queryTableFieldId="1984"/>
    <tableColumn id="1985" xr3:uid="{B265EC03-630D-4D33-AF25-DE3C84552D2B}" uniqueName="1985" name="Column1985" queryTableFieldId="1985"/>
    <tableColumn id="1986" xr3:uid="{2A5A709F-511B-4A4D-AFCA-CE1DE46A73E0}" uniqueName="1986" name="Column1986" queryTableFieldId="1986"/>
    <tableColumn id="1987" xr3:uid="{29937696-E032-4F5D-B6F8-64794A391A2F}" uniqueName="1987" name="Column1987" queryTableFieldId="1987"/>
    <tableColumn id="1988" xr3:uid="{A8A41FE2-3E28-40D1-BBEA-4B83DE1A242F}" uniqueName="1988" name="Column1988" queryTableFieldId="1988"/>
    <tableColumn id="1989" xr3:uid="{50372CFA-A77F-4B1D-8998-4E748EC9B233}" uniqueName="1989" name="Column1989" queryTableFieldId="1989"/>
    <tableColumn id="1990" xr3:uid="{17699DC6-942A-4D02-85EC-C80D8A363F9A}" uniqueName="1990" name="Column1990" queryTableFieldId="1990"/>
    <tableColumn id="1991" xr3:uid="{C832F729-14A5-4F2F-8105-70C3C995D246}" uniqueName="1991" name="Column1991" queryTableFieldId="1991"/>
    <tableColumn id="1992" xr3:uid="{DEF629AB-C346-4A6E-B199-DF8BA2DB4E04}" uniqueName="1992" name="Column1992" queryTableFieldId="1992"/>
    <tableColumn id="1993" xr3:uid="{08B9619B-AC35-480B-A2DC-B0E7104CFBD1}" uniqueName="1993" name="Column1993" queryTableFieldId="1993"/>
    <tableColumn id="1994" xr3:uid="{131B5845-C5FC-4FF6-A04D-3CEB917280EC}" uniqueName="1994" name="Column1994" queryTableFieldId="1994"/>
    <tableColumn id="1995" xr3:uid="{03F38B3C-12B9-4161-8C88-DE6FA21F4FF9}" uniqueName="1995" name="Column1995" queryTableFieldId="1995"/>
    <tableColumn id="1996" xr3:uid="{A705EAB5-277E-485A-A05C-D6A09C6FADBC}" uniqueName="1996" name="Column1996" queryTableFieldId="1996"/>
    <tableColumn id="1997" xr3:uid="{FAF27BEE-5D32-4804-B71B-8B8ABD842175}" uniqueName="1997" name="Column1997" queryTableFieldId="1997"/>
    <tableColumn id="1998" xr3:uid="{87BCA645-5DE8-47B0-976E-E1CB24453BA5}" uniqueName="1998" name="Column1998" queryTableFieldId="1998"/>
    <tableColumn id="1999" xr3:uid="{EFEA1C49-1541-48C8-AF29-70DB1C3405BB}" uniqueName="1999" name="Column1999" queryTableFieldId="1999"/>
    <tableColumn id="2000" xr3:uid="{AAD37859-CF8D-4CFC-8EED-6C38A5001F72}" uniqueName="2000" name="Column2000" queryTableFieldId="2000"/>
    <tableColumn id="2001" xr3:uid="{509339D0-A1FB-47A0-9442-DE2BE643AAEE}" uniqueName="2001" name="Column2001" queryTableFieldId="2001"/>
    <tableColumn id="2002" xr3:uid="{118D16E8-9EAE-4C75-B48D-1F7EAB01C8EE}" uniqueName="2002" name="Column2002" queryTableFieldId="2002"/>
    <tableColumn id="2003" xr3:uid="{7BE1D685-C249-4603-9EEC-3B4E61112725}" uniqueName="2003" name="Column2003" queryTableFieldId="2003"/>
    <tableColumn id="2004" xr3:uid="{A056CF0D-1F8E-47B2-9828-063E49D7D553}" uniqueName="2004" name="Column2004" queryTableFieldId="2004"/>
    <tableColumn id="2005" xr3:uid="{8A684384-1F20-4587-8E6F-04DEC477EA30}" uniqueName="2005" name="Column2005" queryTableFieldId="2005"/>
    <tableColumn id="2006" xr3:uid="{F50EBE89-AAEF-4653-A920-20683AD444FB}" uniqueName="2006" name="Column2006" queryTableFieldId="2006"/>
    <tableColumn id="2007" xr3:uid="{C1452269-F65B-40C2-A995-944E86D8E0F1}" uniqueName="2007" name="Column2007" queryTableFieldId="2007"/>
    <tableColumn id="2008" xr3:uid="{3A81B687-6951-479F-9A86-52C30206F116}" uniqueName="2008" name="Column2008" queryTableFieldId="2008"/>
    <tableColumn id="2009" xr3:uid="{FC3EA780-8C8D-4DCE-87B8-F015F3520F25}" uniqueName="2009" name="Column2009" queryTableFieldId="2009"/>
    <tableColumn id="2010" xr3:uid="{B5BC1B8A-21CE-4F2B-AA34-EE8923E187DE}" uniqueName="2010" name="Column2010" queryTableFieldId="2010"/>
    <tableColumn id="2011" xr3:uid="{8097DCFC-6B52-46DA-ABEC-33F21918503F}" uniqueName="2011" name="Column2011" queryTableFieldId="2011"/>
    <tableColumn id="2012" xr3:uid="{52326D90-2565-4697-B002-1092C05637FA}" uniqueName="2012" name="Column2012" queryTableFieldId="2012"/>
    <tableColumn id="2013" xr3:uid="{010F4FE3-E87D-4388-92E6-4B1BA548A845}" uniqueName="2013" name="Column2013" queryTableFieldId="2013"/>
    <tableColumn id="2014" xr3:uid="{37FDED41-450A-4671-BE24-D11C0BC0F5E0}" uniqueName="2014" name="Column2014" queryTableFieldId="2014"/>
    <tableColumn id="2015" xr3:uid="{3DF611D2-C00A-4144-B292-E056F8E28526}" uniqueName="2015" name="Column2015" queryTableFieldId="2015"/>
    <tableColumn id="2016" xr3:uid="{E8EE1678-E31B-4B01-81FD-2CCB7C5D09AE}" uniqueName="2016" name="Column2016" queryTableFieldId="2016"/>
    <tableColumn id="2017" xr3:uid="{EF62F90F-AC7B-49F9-8375-76348A5057F7}" uniqueName="2017" name="Column2017" queryTableFieldId="2017"/>
    <tableColumn id="2018" xr3:uid="{E3A5CC9B-16D7-4DFB-B525-E5342C9EE9D9}" uniqueName="2018" name="Column2018" queryTableFieldId="2018"/>
    <tableColumn id="2019" xr3:uid="{E6722296-08C3-4EE9-B147-CA0228823BD6}" uniqueName="2019" name="Column2019" queryTableFieldId="2019"/>
    <tableColumn id="2020" xr3:uid="{CC04668E-000A-4158-9EBB-143142B1749B}" uniqueName="2020" name="Column2020" queryTableFieldId="2020"/>
    <tableColumn id="2021" xr3:uid="{BEA3293B-EACF-4D07-993C-3EF3FFBFAA3A}" uniqueName="2021" name="Column2021" queryTableFieldId="2021"/>
    <tableColumn id="2022" xr3:uid="{3505B114-B969-4E5D-B6F9-FE690B027ECA}" uniqueName="2022" name="Column2022" queryTableFieldId="2022"/>
    <tableColumn id="2023" xr3:uid="{1E835665-777F-412D-8788-C9D9ED327F53}" uniqueName="2023" name="Column2023" queryTableFieldId="2023"/>
    <tableColumn id="2024" xr3:uid="{0BB89A65-C896-4C5F-A506-248F5894B298}" uniqueName="2024" name="Column2024" queryTableFieldId="2024"/>
    <tableColumn id="2025" xr3:uid="{ECC5E881-7A09-4B7A-A2C8-B451FDBF3C72}" uniqueName="2025" name="Column2025" queryTableFieldId="2025"/>
    <tableColumn id="2026" xr3:uid="{F22476C9-79E8-4FFF-B521-CCC7D088EE06}" uniqueName="2026" name="Column2026" queryTableFieldId="2026"/>
    <tableColumn id="2027" xr3:uid="{7F1ECB52-6006-400C-BD5B-73E2D1D89800}" uniqueName="2027" name="Column2027" queryTableFieldId="2027"/>
    <tableColumn id="2028" xr3:uid="{94858575-117C-4229-8559-D85D70DBC31A}" uniqueName="2028" name="Column2028" queryTableFieldId="2028"/>
    <tableColumn id="2029" xr3:uid="{C42BE756-965A-49F9-8C72-23C5EA95E437}" uniqueName="2029" name="Column2029" queryTableFieldId="2029"/>
    <tableColumn id="2030" xr3:uid="{EBE53D23-6669-493C-B21D-AC2A4E5DBC4B}" uniqueName="2030" name="Column2030" queryTableFieldId="2030"/>
    <tableColumn id="2031" xr3:uid="{596F8D5D-52FA-4DBA-B592-9A963A897C4C}" uniqueName="2031" name="Column2031" queryTableFieldId="2031"/>
    <tableColumn id="2032" xr3:uid="{4D60EC69-45CA-4EB6-8888-917C4841ABA3}" uniqueName="2032" name="Column2032" queryTableFieldId="2032"/>
    <tableColumn id="2033" xr3:uid="{7E59B4BE-70DF-4C8E-87FB-8E9E7C8C0E2A}" uniqueName="2033" name="Column2033" queryTableFieldId="2033"/>
    <tableColumn id="2034" xr3:uid="{9D24CACA-002D-4440-A4F4-29E3EFD789C0}" uniqueName="2034" name="Column2034" queryTableFieldId="2034"/>
    <tableColumn id="2035" xr3:uid="{2C0B2092-A24A-438E-8916-8042962C3AC6}" uniqueName="2035" name="Column2035" queryTableFieldId="2035"/>
    <tableColumn id="2036" xr3:uid="{B03ACE33-7666-450D-A166-B671DAA85845}" uniqueName="2036" name="Column2036" queryTableFieldId="2036"/>
    <tableColumn id="2037" xr3:uid="{9AE20903-3D65-4531-8541-C6A61D286F25}" uniqueName="2037" name="Column2037" queryTableFieldId="2037"/>
    <tableColumn id="2038" xr3:uid="{880554E0-7905-4E5E-BC20-D35E1F5D45CD}" uniqueName="2038" name="Column2038" queryTableFieldId="2038"/>
    <tableColumn id="2039" xr3:uid="{1A0C53DE-7BD3-4F25-932E-4C35FCA09A86}" uniqueName="2039" name="Column2039" queryTableFieldId="2039"/>
    <tableColumn id="2040" xr3:uid="{274633CA-E378-49A9-9CAE-F30B7AE67BE9}" uniqueName="2040" name="Column2040" queryTableFieldId="2040"/>
    <tableColumn id="2041" xr3:uid="{AE9FBA1C-5551-4339-985E-E1946B88F755}" uniqueName="2041" name="Column2041" queryTableFieldId="2041"/>
    <tableColumn id="2042" xr3:uid="{05C02F93-4EC2-4818-9EA1-291488A2C4B1}" uniqueName="2042" name="Column2042" queryTableFieldId="2042"/>
    <tableColumn id="2043" xr3:uid="{2928BB97-65FC-4C49-A299-FAF05EDB3101}" uniqueName="2043" name="Column2043" queryTableFieldId="2043"/>
    <tableColumn id="2044" xr3:uid="{1815B41C-5A95-468D-8CAD-A29C97CD3E0A}" uniqueName="2044" name="Column2044" queryTableFieldId="2044"/>
    <tableColumn id="2045" xr3:uid="{5D07D9DE-A2FC-436D-9ADD-B4152E500915}" uniqueName="2045" name="Column2045" queryTableFieldId="2045"/>
    <tableColumn id="2046" xr3:uid="{5EE08459-DFA9-41E5-90E0-1B12DACEDF83}" uniqueName="2046" name="Column2046" queryTableFieldId="2046"/>
    <tableColumn id="2047" xr3:uid="{3784483C-23A2-4D5F-B293-E14D9F4D1E1A}" uniqueName="2047" name="Column2047" queryTableFieldId="2047"/>
    <tableColumn id="2048" xr3:uid="{B98B04C5-AC4D-43DC-990C-7DAF59DE4F2A}" uniqueName="2048" name="Column2048" queryTableFieldId="2048"/>
    <tableColumn id="2049" xr3:uid="{B81C83D5-EE66-4A9B-B758-71895A4ADCB6}" uniqueName="2049" name="Column2049" queryTableFieldId="2049"/>
    <tableColumn id="2050" xr3:uid="{D93C57ED-58DD-46FE-BA39-C99C53FA6967}" uniqueName="2050" name="Column2050" queryTableFieldId="2050"/>
    <tableColumn id="2051" xr3:uid="{1BD93A29-9A0A-4C0F-B6FB-92C2BED1EA55}" uniqueName="2051" name="Column2051" queryTableFieldId="2051"/>
    <tableColumn id="2052" xr3:uid="{D1234523-4BE3-4190-A565-E4C44ED499E4}" uniqueName="2052" name="Column2052" queryTableFieldId="2052"/>
    <tableColumn id="2053" xr3:uid="{0C6EA507-A7BB-4391-A510-1F5974CB3286}" uniqueName="2053" name="Column2053" queryTableFieldId="2053"/>
    <tableColumn id="2054" xr3:uid="{83637E4F-DB58-4B10-ADD5-7506505E0664}" uniqueName="2054" name="Column2054" queryTableFieldId="2054"/>
    <tableColumn id="2055" xr3:uid="{C6023179-8C9E-4CAA-8413-04E5B5C62F3F}" uniqueName="2055" name="Column2055" queryTableFieldId="2055"/>
    <tableColumn id="2056" xr3:uid="{54BF8D4E-0089-4C67-A5E8-E6E93030F508}" uniqueName="2056" name="Column2056" queryTableFieldId="2056"/>
    <tableColumn id="2057" xr3:uid="{49522BB3-FBE5-4A18-A73D-D190634B195A}" uniqueName="2057" name="Column2057" queryTableFieldId="2057"/>
    <tableColumn id="2058" xr3:uid="{7A7A5AEC-03C7-4531-88E9-0CA0A6AA7D61}" uniqueName="2058" name="Column2058" queryTableFieldId="2058"/>
    <tableColumn id="2059" xr3:uid="{7612F5C4-AD3D-4565-9151-45FBB38A3F32}" uniqueName="2059" name="Column2059" queryTableFieldId="2059"/>
    <tableColumn id="2060" xr3:uid="{CF144B28-A13C-4546-A76E-62CA28EE1018}" uniqueName="2060" name="Column2060" queryTableFieldId="2060"/>
    <tableColumn id="2061" xr3:uid="{E2E50B9E-7CC9-40CC-AA23-2276842A3EDC}" uniqueName="2061" name="Column2061" queryTableFieldId="2061"/>
    <tableColumn id="2062" xr3:uid="{3C7F6721-EC0A-43C7-93B8-9FF01A9E64FB}" uniqueName="2062" name="Column2062" queryTableFieldId="2062"/>
    <tableColumn id="2063" xr3:uid="{292CC3E9-ACF4-472E-908A-19A5996F93D7}" uniqueName="2063" name="Column2063" queryTableFieldId="2063"/>
    <tableColumn id="2064" xr3:uid="{E52E011B-2315-4ED1-9A07-D27AAFF702ED}" uniqueName="2064" name="Column2064" queryTableFieldId="2064"/>
    <tableColumn id="2065" xr3:uid="{4DA9CDA1-D70C-4422-A67A-7761ECCE62DB}" uniqueName="2065" name="Column2065" queryTableFieldId="2065"/>
    <tableColumn id="2066" xr3:uid="{B15E90B1-B6D5-44A7-A1DD-387C50E2C743}" uniqueName="2066" name="Column2066" queryTableFieldId="2066"/>
    <tableColumn id="2067" xr3:uid="{04A59F8F-998C-4E46-A09D-3B2B824D88F5}" uniqueName="2067" name="Column2067" queryTableFieldId="2067"/>
    <tableColumn id="2068" xr3:uid="{45A09C53-DA13-47E3-A604-643CB795346C}" uniqueName="2068" name="Column2068" queryTableFieldId="2068"/>
    <tableColumn id="2069" xr3:uid="{28612B3B-06FD-4AB3-9B9E-889280E091B4}" uniqueName="2069" name="Column2069" queryTableFieldId="2069"/>
    <tableColumn id="2070" xr3:uid="{67038A23-C48E-4AA5-A967-B3141E79C6EB}" uniqueName="2070" name="Column2070" queryTableFieldId="2070"/>
    <tableColumn id="2071" xr3:uid="{A7D86718-D0EE-406E-AFBB-99D145825AD4}" uniqueName="2071" name="Column2071" queryTableFieldId="2071"/>
    <tableColumn id="2072" xr3:uid="{55F0CB14-1E5E-4730-8BD4-AA30B73DC900}" uniqueName="2072" name="Column2072" queryTableFieldId="2072"/>
    <tableColumn id="2073" xr3:uid="{B55B8AC7-DAF0-4B1D-8234-74DF23F19F4D}" uniqueName="2073" name="Column2073" queryTableFieldId="2073"/>
    <tableColumn id="2074" xr3:uid="{D3F8879C-9409-4DD8-9698-A5AD49F786D6}" uniqueName="2074" name="Column2074" queryTableFieldId="2074"/>
    <tableColumn id="2075" xr3:uid="{73D98942-E4EF-44ED-9668-55D2CF5EF27F}" uniqueName="2075" name="Column2075" queryTableFieldId="2075"/>
    <tableColumn id="2076" xr3:uid="{55887DE6-08AF-4AA8-9251-CA5FE6F2CDC4}" uniqueName="2076" name="Column2076" queryTableFieldId="2076"/>
    <tableColumn id="2077" xr3:uid="{6E7E75DD-9C24-45B0-AE9E-231059A835BA}" uniqueName="2077" name="Column2077" queryTableFieldId="2077"/>
    <tableColumn id="2078" xr3:uid="{C6616481-A526-4021-A0D8-2C21894DA2BA}" uniqueName="2078" name="Column2078" queryTableFieldId="2078"/>
    <tableColumn id="2079" xr3:uid="{E87F6785-6387-4A05-AC3B-E49E8BCE3B36}" uniqueName="2079" name="Column2079" queryTableFieldId="2079"/>
    <tableColumn id="2080" xr3:uid="{D568E244-9169-4CA4-B646-2F7C57C095B7}" uniqueName="2080" name="Column2080" queryTableFieldId="2080"/>
    <tableColumn id="2081" xr3:uid="{5E1356B7-D83A-4C46-8AF2-E68BEA56991A}" uniqueName="2081" name="Column2081" queryTableFieldId="2081"/>
    <tableColumn id="2082" xr3:uid="{CF4F1A58-E825-49D3-A76A-4F676D61CFC3}" uniqueName="2082" name="Column2082" queryTableFieldId="2082"/>
    <tableColumn id="2083" xr3:uid="{9C27658A-D8AD-40E3-9F82-B85D93EFCBDB}" uniqueName="2083" name="Column2083" queryTableFieldId="2083"/>
    <tableColumn id="2084" xr3:uid="{63BE4722-B117-465F-B3F0-C6D6E12177D3}" uniqueName="2084" name="Column2084" queryTableFieldId="2084"/>
    <tableColumn id="2085" xr3:uid="{1529ABA6-A7F4-40BE-9FF8-D7571BCDD3D1}" uniqueName="2085" name="Column2085" queryTableFieldId="2085"/>
    <tableColumn id="2086" xr3:uid="{2CA572A1-FD41-4BB7-A628-E770D59B010A}" uniqueName="2086" name="Column2086" queryTableFieldId="2086"/>
    <tableColumn id="2087" xr3:uid="{E5F2CD52-E328-4E1B-AAC2-90F2EBAB518B}" uniqueName="2087" name="Column2087" queryTableFieldId="2087"/>
    <tableColumn id="2088" xr3:uid="{03DC9B07-BE69-40DA-87B3-B341A51D26A7}" uniqueName="2088" name="Column2088" queryTableFieldId="2088"/>
    <tableColumn id="2089" xr3:uid="{4354703F-B79E-4D61-AC7F-62D16EE18384}" uniqueName="2089" name="Column2089" queryTableFieldId="2089"/>
    <tableColumn id="2090" xr3:uid="{4E995C94-186D-42F4-B47F-95E021424AB9}" uniqueName="2090" name="Column2090" queryTableFieldId="2090"/>
    <tableColumn id="2091" xr3:uid="{7B65FEB4-E313-434E-8D1F-53C490E8DCF5}" uniqueName="2091" name="Column2091" queryTableFieldId="2091"/>
    <tableColumn id="2092" xr3:uid="{B2AC8E90-2177-4EEC-8229-ED71ECF47D4C}" uniqueName="2092" name="Column2092" queryTableFieldId="2092"/>
    <tableColumn id="2093" xr3:uid="{B0E5924B-6303-457F-B43F-671D6E7D1C7B}" uniqueName="2093" name="Column2093" queryTableFieldId="2093"/>
    <tableColumn id="2094" xr3:uid="{FF07F25F-744A-41E4-A546-7EE4E9FD4D0F}" uniqueName="2094" name="Column2094" queryTableFieldId="2094"/>
    <tableColumn id="2095" xr3:uid="{8277DF38-3065-4CC5-8BB1-87F4DB335EF7}" uniqueName="2095" name="Column2095" queryTableFieldId="2095"/>
    <tableColumn id="2096" xr3:uid="{D4BD4233-EAF0-4275-A7CF-BD73A577A6B5}" uniqueName="2096" name="Column2096" queryTableFieldId="2096"/>
    <tableColumn id="2097" xr3:uid="{C418031C-26B9-4E40-ABCF-AF4085D554A1}" uniqueName="2097" name="Column2097" queryTableFieldId="2097"/>
    <tableColumn id="2098" xr3:uid="{D709AE96-B48C-4C18-8EA0-F0FF2B20DA41}" uniqueName="2098" name="Column2098" queryTableFieldId="2098"/>
    <tableColumn id="2099" xr3:uid="{52B2E9F3-2865-401C-8275-2EAD27F4DD65}" uniqueName="2099" name="Column2099" queryTableFieldId="2099"/>
    <tableColumn id="2100" xr3:uid="{2CD0E7F9-9626-43A8-BAB3-F86FC46A02B1}" uniqueName="2100" name="Column2100" queryTableFieldId="2100"/>
    <tableColumn id="2101" xr3:uid="{98075307-75EB-47AC-B69B-720629160484}" uniqueName="2101" name="Column2101" queryTableFieldId="2101"/>
    <tableColumn id="2102" xr3:uid="{11E8DAC0-E38A-4FF8-B71D-07A648B9CA13}" uniqueName="2102" name="Column2102" queryTableFieldId="2102"/>
    <tableColumn id="2103" xr3:uid="{99294280-0A90-497A-9A65-7112BE891783}" uniqueName="2103" name="Column2103" queryTableFieldId="2103"/>
    <tableColumn id="2104" xr3:uid="{3EB69DFB-A1EC-42D1-B096-632D017AD04E}" uniqueName="2104" name="Column2104" queryTableFieldId="2104"/>
    <tableColumn id="2105" xr3:uid="{82383377-EA77-4BC7-BF8D-93FAB6A11B3A}" uniqueName="2105" name="Column2105" queryTableFieldId="2105"/>
    <tableColumn id="2106" xr3:uid="{CE803A68-6599-4648-9F8A-9B1B4CEEF86D}" uniqueName="2106" name="Column2106" queryTableFieldId="2106"/>
    <tableColumn id="2107" xr3:uid="{A4570407-2064-4CD1-BC3E-80AFE0AC42E3}" uniqueName="2107" name="Column2107" queryTableFieldId="2107"/>
    <tableColumn id="2108" xr3:uid="{D531F8D4-E9FB-4511-A0DD-A7675C5188FB}" uniqueName="2108" name="Column2108" queryTableFieldId="2108"/>
    <tableColumn id="2109" xr3:uid="{603A3E9F-58C7-407A-9C30-42AD51C50EF5}" uniqueName="2109" name="Column2109" queryTableFieldId="2109"/>
    <tableColumn id="2110" xr3:uid="{B41DA437-7370-456E-A0C1-EC77BE0DEEC4}" uniqueName="2110" name="Column2110" queryTableFieldId="2110"/>
    <tableColumn id="2111" xr3:uid="{C3FBC0A0-0A20-438A-BCD2-C2E10D7D393D}" uniqueName="2111" name="Column2111" queryTableFieldId="2111"/>
    <tableColumn id="2112" xr3:uid="{41EE99EE-DEEF-4114-8C5C-4B672B824C6B}" uniqueName="2112" name="Column2112" queryTableFieldId="2112"/>
    <tableColumn id="2113" xr3:uid="{7CF2A5AC-05D1-4205-BDD0-2F99EA944626}" uniqueName="2113" name="Column2113" queryTableFieldId="2113"/>
    <tableColumn id="2114" xr3:uid="{E390DC4F-5D9E-4649-BCC1-C2604A3D425F}" uniqueName="2114" name="Column2114" queryTableFieldId="2114"/>
    <tableColumn id="2115" xr3:uid="{9F9BE983-3A07-4C80-8415-A6DC7302FE23}" uniqueName="2115" name="Column2115" queryTableFieldId="2115"/>
    <tableColumn id="2116" xr3:uid="{C18B1DE6-5DBC-4D54-A6A2-E2C002CC3FAC}" uniqueName="2116" name="Column2116" queryTableFieldId="2116"/>
    <tableColumn id="2117" xr3:uid="{8034013F-4320-4F4A-B366-73FD6D0533DA}" uniqueName="2117" name="Column2117" queryTableFieldId="2117"/>
    <tableColumn id="2118" xr3:uid="{D3DC51D8-48BA-46BC-96CB-38482F9A1635}" uniqueName="2118" name="Column2118" queryTableFieldId="2118"/>
    <tableColumn id="2119" xr3:uid="{EAF8FEEC-6C80-44B8-A207-73C6C18AF067}" uniqueName="2119" name="Column2119" queryTableFieldId="2119"/>
    <tableColumn id="2120" xr3:uid="{7FE65D87-E9E9-4D0B-9F66-C308974213F0}" uniqueName="2120" name="Column2120" queryTableFieldId="2120"/>
    <tableColumn id="2121" xr3:uid="{83BAA37E-AF09-4713-BF6E-796D97777E1F}" uniqueName="2121" name="Column2121" queryTableFieldId="2121"/>
    <tableColumn id="2122" xr3:uid="{B927EBF3-D7AF-4DA6-8AEE-912A8E30E365}" uniqueName="2122" name="Column2122" queryTableFieldId="2122"/>
    <tableColumn id="2123" xr3:uid="{522861E5-7669-4B5B-A1E5-0B757932D76D}" uniqueName="2123" name="Column2123" queryTableFieldId="2123"/>
    <tableColumn id="2124" xr3:uid="{33D5ADB0-411B-4B5C-B0CD-4035FD89BD78}" uniqueName="2124" name="Column2124" queryTableFieldId="2124"/>
    <tableColumn id="2125" xr3:uid="{29D18619-A7C3-4C57-82B1-70BAFA6E69AD}" uniqueName="2125" name="Column2125" queryTableFieldId="2125"/>
    <tableColumn id="2126" xr3:uid="{83A9E28C-6722-4809-B4E1-A2E9A43389B9}" uniqueName="2126" name="Column2126" queryTableFieldId="2126"/>
    <tableColumn id="2127" xr3:uid="{F6709C44-B09B-4186-8982-0E6D37554621}" uniqueName="2127" name="Column2127" queryTableFieldId="2127"/>
    <tableColumn id="2128" xr3:uid="{C83968C1-5B9B-454C-B0CF-9C669832B851}" uniqueName="2128" name="Column2128" queryTableFieldId="2128"/>
    <tableColumn id="2129" xr3:uid="{5DD79F84-E28E-4BB7-9F0C-53C6FF168AC5}" uniqueName="2129" name="Column2129" queryTableFieldId="2129"/>
    <tableColumn id="2130" xr3:uid="{AC702F4B-204E-4CF7-93A3-2FD59583C015}" uniqueName="2130" name="Column2130" queryTableFieldId="2130"/>
    <tableColumn id="2131" xr3:uid="{C38DC7FC-9D95-4180-9BD2-87587919F238}" uniqueName="2131" name="Column2131" queryTableFieldId="2131"/>
    <tableColumn id="2132" xr3:uid="{9E847738-C6AC-4F90-890E-3064FF8C9D16}" uniqueName="2132" name="Column2132" queryTableFieldId="2132"/>
    <tableColumn id="2133" xr3:uid="{5AABE504-C7C1-45A6-8A94-BC7B4704F8B4}" uniqueName="2133" name="Column2133" queryTableFieldId="2133"/>
    <tableColumn id="2134" xr3:uid="{811F8E44-C404-4DAA-AD80-7DBEA9EFB54C}" uniqueName="2134" name="Column2134" queryTableFieldId="2134"/>
    <tableColumn id="2135" xr3:uid="{12A12D4F-271E-4B62-B594-E3866914B441}" uniqueName="2135" name="Column2135" queryTableFieldId="2135"/>
    <tableColumn id="2136" xr3:uid="{3EC2F2E0-A032-4AFF-9EF3-13E53F0C5049}" uniqueName="2136" name="Column2136" queryTableFieldId="2136"/>
    <tableColumn id="2137" xr3:uid="{9642D53C-34E7-4AF5-A82F-85AC7284FFCA}" uniqueName="2137" name="Column2137" queryTableFieldId="2137"/>
    <tableColumn id="2138" xr3:uid="{BAD9B9AE-8C3E-4125-ABC6-2C01CEDBAC44}" uniqueName="2138" name="Column2138" queryTableFieldId="2138"/>
    <tableColumn id="2139" xr3:uid="{CCA1A2AE-E529-4F5B-8695-2E1803722028}" uniqueName="2139" name="Column2139" queryTableFieldId="2139"/>
    <tableColumn id="2140" xr3:uid="{EB9B8567-BDFA-4A30-ABDB-4AE1B773A60F}" uniqueName="2140" name="Column2140" queryTableFieldId="2140"/>
    <tableColumn id="2141" xr3:uid="{4A77E8ED-99CE-4699-95CC-BA431A716265}" uniqueName="2141" name="Column2141" queryTableFieldId="2141"/>
    <tableColumn id="2142" xr3:uid="{27D3E7A5-773C-41AF-AC96-6FBA4EF07C7E}" uniqueName="2142" name="Column2142" queryTableFieldId="2142"/>
    <tableColumn id="2143" xr3:uid="{2CE35F8C-9D5B-4C67-B36D-522F0A5CA394}" uniqueName="2143" name="Column2143" queryTableFieldId="2143"/>
    <tableColumn id="2144" xr3:uid="{7371558A-9CB8-4E68-B1DE-1F5DA3D2DA42}" uniqueName="2144" name="Column2144" queryTableFieldId="2144"/>
    <tableColumn id="2145" xr3:uid="{54BFB7B2-4EE7-4998-93B8-286F829888D0}" uniqueName="2145" name="Column2145" queryTableFieldId="2145"/>
    <tableColumn id="2146" xr3:uid="{A5741B08-D64C-4C37-B8E3-B4BB3EF45F36}" uniqueName="2146" name="Column2146" queryTableFieldId="2146"/>
    <tableColumn id="2147" xr3:uid="{A5725FC6-091E-40A8-B888-A24194881F8D}" uniqueName="2147" name="Column2147" queryTableFieldId="2147"/>
    <tableColumn id="2148" xr3:uid="{3D573130-306E-4B0E-9622-F48CEDA42228}" uniqueName="2148" name="Column2148" queryTableFieldId="2148"/>
    <tableColumn id="2149" xr3:uid="{07108216-408D-44FE-8645-588B41A25021}" uniqueName="2149" name="Column2149" queryTableFieldId="2149"/>
    <tableColumn id="2150" xr3:uid="{386FBDF9-9B1B-4821-8845-AEDE1F349E69}" uniqueName="2150" name="Column2150" queryTableFieldId="2150"/>
    <tableColumn id="2151" xr3:uid="{0C85C7D5-F718-464A-80D3-401697F0162B}" uniqueName="2151" name="Column2151" queryTableFieldId="2151"/>
    <tableColumn id="2152" xr3:uid="{A74AE625-364A-49D6-9DCB-7934E4AECCF5}" uniqueName="2152" name="Column2152" queryTableFieldId="2152"/>
    <tableColumn id="2153" xr3:uid="{0340A77F-0ACD-4816-A80E-C8FA0A367A7E}" uniqueName="2153" name="Column2153" queryTableFieldId="2153"/>
    <tableColumn id="2154" xr3:uid="{16852BB5-36C0-4D77-8905-A1924F3DE13C}" uniqueName="2154" name="Column2154" queryTableFieldId="2154"/>
    <tableColumn id="2155" xr3:uid="{21777C8F-B2F3-4CC5-8D8E-21C35CCCA62F}" uniqueName="2155" name="Column2155" queryTableFieldId="2155"/>
    <tableColumn id="2156" xr3:uid="{9EBFBCF4-2758-4EB0-AA57-87CF6192D735}" uniqueName="2156" name="Column2156" queryTableFieldId="2156"/>
    <tableColumn id="2157" xr3:uid="{0C797268-FE1A-4C28-AF70-6EDD8F61C44A}" uniqueName="2157" name="Column2157" queryTableFieldId="2157"/>
    <tableColumn id="2158" xr3:uid="{12A86CCD-76FE-4CFD-97FA-F0A5105350DE}" uniqueName="2158" name="Column2158" queryTableFieldId="2158"/>
    <tableColumn id="2159" xr3:uid="{3288B412-193B-46A0-9CAD-034B6BB30979}" uniqueName="2159" name="Column2159" queryTableFieldId="2159"/>
    <tableColumn id="2160" xr3:uid="{986A5B0D-9D24-4C7B-ACA0-A8AE8D0AFD20}" uniqueName="2160" name="Column2160" queryTableFieldId="2160"/>
    <tableColumn id="2161" xr3:uid="{37A3B25D-3DF5-400D-BB01-58A4C962F9F0}" uniqueName="2161" name="Column2161" queryTableFieldId="2161"/>
    <tableColumn id="2162" xr3:uid="{DCA874A1-802E-455F-B215-CE4A2B3C89A4}" uniqueName="2162" name="Column2162" queryTableFieldId="2162"/>
    <tableColumn id="2163" xr3:uid="{3638CEDE-D152-4624-8064-0003F648D5D5}" uniqueName="2163" name="Column2163" queryTableFieldId="2163"/>
    <tableColumn id="2164" xr3:uid="{EFCFBA87-D344-4650-AB21-EF9009FC77F7}" uniqueName="2164" name="Column2164" queryTableFieldId="2164"/>
    <tableColumn id="2165" xr3:uid="{DF3EA1DB-DBE5-42C5-B4C6-862E61868BFC}" uniqueName="2165" name="Column2165" queryTableFieldId="2165"/>
    <tableColumn id="2166" xr3:uid="{2E1025A6-BE8F-4498-8825-9A6931745724}" uniqueName="2166" name="Column2166" queryTableFieldId="2166"/>
    <tableColumn id="2167" xr3:uid="{96911696-B1FE-4C25-BAD6-AC5EAF394FE7}" uniqueName="2167" name="Column2167" queryTableFieldId="2167"/>
    <tableColumn id="2168" xr3:uid="{794D6B67-300B-496E-83DA-18652719C883}" uniqueName="2168" name="Column2168" queryTableFieldId="2168"/>
    <tableColumn id="2169" xr3:uid="{65C03E1D-441F-437D-8C67-198679B74F66}" uniqueName="2169" name="Column2169" queryTableFieldId="2169"/>
    <tableColumn id="2170" xr3:uid="{2CB908F8-DCC7-4ACD-B57D-E41A831A4C8B}" uniqueName="2170" name="Column2170" queryTableFieldId="2170"/>
    <tableColumn id="2171" xr3:uid="{27153D56-3749-4C78-94D7-8D97D238C7C5}" uniqueName="2171" name="Column2171" queryTableFieldId="2171"/>
    <tableColumn id="2172" xr3:uid="{1575E267-7544-416D-BA20-1E525EA7C6F4}" uniqueName="2172" name="Column2172" queryTableFieldId="2172"/>
    <tableColumn id="2173" xr3:uid="{D64A399E-518B-4DD7-9E1A-B9B21D938A18}" uniqueName="2173" name="Column2173" queryTableFieldId="2173"/>
    <tableColumn id="2174" xr3:uid="{9D281AAB-DA19-47D5-BA6D-C758F021E64A}" uniqueName="2174" name="Column2174" queryTableFieldId="2174"/>
    <tableColumn id="2175" xr3:uid="{EE60E4F9-89E6-4444-BE17-C3246E29D97F}" uniqueName="2175" name="Column2175" queryTableFieldId="2175"/>
    <tableColumn id="2176" xr3:uid="{1B4C2736-A3F1-4229-B8D5-1F6A18E145E3}" uniqueName="2176" name="Column2176" queryTableFieldId="2176"/>
    <tableColumn id="2177" xr3:uid="{37921BCB-2723-4AB8-8FD2-EE4FCA30C406}" uniqueName="2177" name="Column2177" queryTableFieldId="2177"/>
    <tableColumn id="2178" xr3:uid="{10025D27-FA97-4D1F-9507-A2AF21BC1793}" uniqueName="2178" name="Column2178" queryTableFieldId="2178"/>
    <tableColumn id="2179" xr3:uid="{43A2775D-2C78-4781-97B7-5D72F10C7D3E}" uniqueName="2179" name="Column2179" queryTableFieldId="2179"/>
    <tableColumn id="2180" xr3:uid="{33EEF600-8F5B-4E51-8705-27F387DB44F8}" uniqueName="2180" name="Column2180" queryTableFieldId="2180"/>
    <tableColumn id="2181" xr3:uid="{B3E0824B-88CD-4BDA-AAFC-604E81A258D2}" uniqueName="2181" name="Column2181" queryTableFieldId="2181"/>
    <tableColumn id="2182" xr3:uid="{30A951FF-5017-4D76-9467-F0FE6953D3D9}" uniqueName="2182" name="Column2182" queryTableFieldId="2182"/>
    <tableColumn id="2183" xr3:uid="{967B56A0-21C5-444B-ABEA-68BC2628E642}" uniqueName="2183" name="Column2183" queryTableFieldId="2183"/>
    <tableColumn id="2184" xr3:uid="{04FF6A1F-2226-4B46-9D30-65F8E599521F}" uniqueName="2184" name="Column2184" queryTableFieldId="2184"/>
    <tableColumn id="2185" xr3:uid="{03E454AF-A11E-4B98-9EC2-843270182750}" uniqueName="2185" name="Column2185" queryTableFieldId="2185"/>
    <tableColumn id="2186" xr3:uid="{A8B79E19-6637-46C0-9297-8A254DEF6181}" uniqueName="2186" name="Column2186" queryTableFieldId="2186"/>
    <tableColumn id="2187" xr3:uid="{824415DD-E749-480A-BF92-9C4F8A817C8C}" uniqueName="2187" name="Column2187" queryTableFieldId="2187"/>
    <tableColumn id="2188" xr3:uid="{FA4A4529-A2F5-4C76-A04A-B055A0069A3B}" uniqueName="2188" name="Column2188" queryTableFieldId="2188"/>
    <tableColumn id="2189" xr3:uid="{EBC5ECA6-E540-4489-9AD0-78DEBCFC1412}" uniqueName="2189" name="Column2189" queryTableFieldId="2189"/>
    <tableColumn id="2190" xr3:uid="{A06A4BA5-650B-45A0-B3AE-EAE3A55D3442}" uniqueName="2190" name="Column2190" queryTableFieldId="2190"/>
    <tableColumn id="2191" xr3:uid="{F79439E2-653D-42FE-A5C1-2475CB967CBA}" uniqueName="2191" name="Column2191" queryTableFieldId="2191"/>
    <tableColumn id="2192" xr3:uid="{80C43A45-3E5B-4528-A985-92637D460F27}" uniqueName="2192" name="Column2192" queryTableFieldId="2192"/>
    <tableColumn id="2193" xr3:uid="{C5C431B4-532C-4DF8-A61E-A54F87BB63FC}" uniqueName="2193" name="Column2193" queryTableFieldId="2193"/>
    <tableColumn id="2194" xr3:uid="{34A1B8AA-473E-408C-8BA4-608D884F7478}" uniqueName="2194" name="Column2194" queryTableFieldId="2194"/>
    <tableColumn id="2195" xr3:uid="{3FCF3B63-AFA3-4E0E-8A39-0FB1808051F4}" uniqueName="2195" name="Column2195" queryTableFieldId="2195"/>
    <tableColumn id="2196" xr3:uid="{D9767A7D-BE31-42DC-B109-782AA796BECB}" uniqueName="2196" name="Column2196" queryTableFieldId="2196"/>
    <tableColumn id="2197" xr3:uid="{BC3E365C-4854-408C-AC57-75DD74EA82FC}" uniqueName="2197" name="Column2197" queryTableFieldId="2197"/>
    <tableColumn id="2198" xr3:uid="{E4E0C9A4-F98A-4650-ACDC-D256F57CC025}" uniqueName="2198" name="Column2198" queryTableFieldId="2198"/>
    <tableColumn id="2199" xr3:uid="{A26EF296-8E60-4B4E-9AF5-D63F37BF9698}" uniqueName="2199" name="Column2199" queryTableFieldId="2199"/>
    <tableColumn id="2200" xr3:uid="{E8A65E7E-7DCC-480B-AA14-F50BB0D9E223}" uniqueName="2200" name="Column2200" queryTableFieldId="2200"/>
    <tableColumn id="2201" xr3:uid="{D3A69BA1-0D9A-4062-8127-5F1E929BA08F}" uniqueName="2201" name="Column2201" queryTableFieldId="2201"/>
    <tableColumn id="2202" xr3:uid="{003E1861-859E-4979-8D53-51465157C491}" uniqueName="2202" name="Column2202" queryTableFieldId="2202"/>
    <tableColumn id="2203" xr3:uid="{A206F9CC-3A74-4496-B6E3-61FF9AC6A0B2}" uniqueName="2203" name="Column2203" queryTableFieldId="2203"/>
    <tableColumn id="2204" xr3:uid="{C7779B44-80BB-483C-B281-271869572F6C}" uniqueName="2204" name="Column2204" queryTableFieldId="2204"/>
    <tableColumn id="2205" xr3:uid="{B02F1ADF-70BF-4116-92D4-CF898C5919B1}" uniqueName="2205" name="Column2205" queryTableFieldId="2205"/>
    <tableColumn id="2206" xr3:uid="{BA083575-CBDB-45CF-A64C-518E0CEDAC5B}" uniqueName="2206" name="Column2206" queryTableFieldId="2206"/>
    <tableColumn id="2207" xr3:uid="{CA71CF48-D119-46AE-A5E2-0C01D753392B}" uniqueName="2207" name="Column2207" queryTableFieldId="2207"/>
    <tableColumn id="2208" xr3:uid="{43ABA9C3-0C7F-4656-B6C2-4EC567B7C00A}" uniqueName="2208" name="Column2208" queryTableFieldId="2208"/>
    <tableColumn id="2209" xr3:uid="{A76F8EBD-76E4-45DD-B034-C0B742547A65}" uniqueName="2209" name="Column2209" queryTableFieldId="2209"/>
    <tableColumn id="2210" xr3:uid="{B27A424B-B3A6-42A3-9DA2-C20D749F6C79}" uniqueName="2210" name="Column2210" queryTableFieldId="2210"/>
    <tableColumn id="2211" xr3:uid="{54860086-315F-4567-B20A-C012A08EADD3}" uniqueName="2211" name="Column2211" queryTableFieldId="2211"/>
    <tableColumn id="2212" xr3:uid="{CBBB939D-23CB-4062-BEC6-31C1267A0EAD}" uniqueName="2212" name="Column2212" queryTableFieldId="2212"/>
    <tableColumn id="2213" xr3:uid="{3D0E07A1-921B-4C2E-B76C-27A12E1C9278}" uniqueName="2213" name="Column2213" queryTableFieldId="2213"/>
    <tableColumn id="2214" xr3:uid="{F0DE626B-9219-4BF9-A3D0-0E7472020DD8}" uniqueName="2214" name="Column2214" queryTableFieldId="2214"/>
    <tableColumn id="2215" xr3:uid="{25A512DC-2DC2-49DF-871F-BC5F0555A8E9}" uniqueName="2215" name="Column2215" queryTableFieldId="2215"/>
    <tableColumn id="2216" xr3:uid="{0ABB73BC-2937-4184-A803-09F99169FC2D}" uniqueName="2216" name="Column2216" queryTableFieldId="2216"/>
    <tableColumn id="2217" xr3:uid="{73FA4F0B-DAA7-48BE-9AEF-8AF5CD708B9E}" uniqueName="2217" name="Column2217" queryTableFieldId="2217"/>
    <tableColumn id="2218" xr3:uid="{53CE1A2D-7FAC-402C-BCA7-3800A8A21EDD}" uniqueName="2218" name="Column2218" queryTableFieldId="2218"/>
    <tableColumn id="2219" xr3:uid="{384D6572-B86A-4019-B87E-D38B39E80989}" uniqueName="2219" name="Column2219" queryTableFieldId="2219"/>
    <tableColumn id="2220" xr3:uid="{54D2AA58-B25F-4080-A747-F84FD4538C96}" uniqueName="2220" name="Column2220" queryTableFieldId="2220"/>
    <tableColumn id="2221" xr3:uid="{E37E2B9E-4C35-471E-A8F0-DBF519811F48}" uniqueName="2221" name="Column2221" queryTableFieldId="2221"/>
    <tableColumn id="2222" xr3:uid="{A0DCD02F-D651-4933-A1B5-5FAC4190838C}" uniqueName="2222" name="Column2222" queryTableFieldId="2222"/>
    <tableColumn id="2223" xr3:uid="{45F4B743-AE40-48CD-A903-69CB35D2A561}" uniqueName="2223" name="Column2223" queryTableFieldId="2223"/>
    <tableColumn id="2224" xr3:uid="{A65A4FC1-C391-4574-A8F5-D14A0CFD164C}" uniqueName="2224" name="Column2224" queryTableFieldId="2224"/>
    <tableColumn id="2225" xr3:uid="{29B09D66-1D47-42C1-A0E8-05468444B8CE}" uniqueName="2225" name="Column2225" queryTableFieldId="2225"/>
    <tableColumn id="2226" xr3:uid="{B549ECE6-FE93-4CCE-8724-44BC608594FD}" uniqueName="2226" name="Column2226" queryTableFieldId="2226"/>
    <tableColumn id="2227" xr3:uid="{58AD3972-6712-4AFC-BBB4-6C75D21CD0E5}" uniqueName="2227" name="Column2227" queryTableFieldId="2227"/>
    <tableColumn id="2228" xr3:uid="{89773C1A-A2DA-4361-A985-852A08AEFF02}" uniqueName="2228" name="Column2228" queryTableFieldId="2228"/>
    <tableColumn id="2229" xr3:uid="{9DB85767-CD56-4AEA-8940-EC3407BE00D7}" uniqueName="2229" name="Column2229" queryTableFieldId="2229"/>
    <tableColumn id="2230" xr3:uid="{DE1C73E7-524B-4D09-AB2D-AB1540C740D1}" uniqueName="2230" name="Column2230" queryTableFieldId="2230"/>
    <tableColumn id="2231" xr3:uid="{8B6B4D5C-809D-457E-94C8-922BCEA6D27B}" uniqueName="2231" name="Column2231" queryTableFieldId="2231"/>
    <tableColumn id="2232" xr3:uid="{812B9C19-8908-4DEC-B31D-F4E5D05103C4}" uniqueName="2232" name="Column2232" queryTableFieldId="2232"/>
    <tableColumn id="2233" xr3:uid="{D1F22664-06DD-43FB-BD21-95C9417C0437}" uniqueName="2233" name="Column2233" queryTableFieldId="2233"/>
    <tableColumn id="2234" xr3:uid="{FC76FEAB-651A-4E8B-8986-90749FA9AE8E}" uniqueName="2234" name="Column2234" queryTableFieldId="2234"/>
    <tableColumn id="2235" xr3:uid="{8522E33E-91E4-46D4-A1B9-2C616C8CB22B}" uniqueName="2235" name="Column2235" queryTableFieldId="2235"/>
    <tableColumn id="2236" xr3:uid="{A4E2AE8C-2639-4AF1-8EBE-A1A9F6FA73FE}" uniqueName="2236" name="Column2236" queryTableFieldId="2236"/>
    <tableColumn id="2237" xr3:uid="{121432F5-77AE-4B36-A870-EF5C5D45C5E5}" uniqueName="2237" name="Column2237" queryTableFieldId="2237"/>
    <tableColumn id="2238" xr3:uid="{32926775-A91A-405C-B497-625CEFFE8C75}" uniqueName="2238" name="Column2238" queryTableFieldId="2238"/>
    <tableColumn id="2239" xr3:uid="{0975191B-447D-49D0-9E4D-88107FBC14CD}" uniqueName="2239" name="Column2239" queryTableFieldId="2239"/>
    <tableColumn id="2240" xr3:uid="{791C58BB-ADB6-46A0-8984-56957A13D2C7}" uniqueName="2240" name="Column2240" queryTableFieldId="2240"/>
    <tableColumn id="2241" xr3:uid="{7015FAD7-833D-405A-96C6-BCF97D0A0EEE}" uniqueName="2241" name="Column2241" queryTableFieldId="2241"/>
    <tableColumn id="2242" xr3:uid="{DD809E64-9B67-42A3-A691-B45A52995D12}" uniqueName="2242" name="Column2242" queryTableFieldId="2242"/>
    <tableColumn id="2243" xr3:uid="{144FD0EB-3B23-46CD-AA63-6E4F96D3A58E}" uniqueName="2243" name="Column2243" queryTableFieldId="2243"/>
    <tableColumn id="2244" xr3:uid="{39F61B7F-3593-41B6-B247-9A11E223A865}" uniqueName="2244" name="Column2244" queryTableFieldId="2244"/>
    <tableColumn id="2245" xr3:uid="{2CD6BDC7-23E7-4F88-B4F4-21E85D338196}" uniqueName="2245" name="Column2245" queryTableFieldId="2245"/>
    <tableColumn id="2246" xr3:uid="{E4701C4A-2F9F-4A3C-A3FB-69833C3A31C7}" uniqueName="2246" name="Column2246" queryTableFieldId="2246"/>
    <tableColumn id="2247" xr3:uid="{F8DB8A59-42A9-471D-A147-4A4F0C7DC31F}" uniqueName="2247" name="Column2247" queryTableFieldId="2247"/>
    <tableColumn id="2248" xr3:uid="{DA09099E-8A25-40E6-AAFB-9961C9D48DAD}" uniqueName="2248" name="Column2248" queryTableFieldId="2248"/>
    <tableColumn id="2249" xr3:uid="{E3E89FBB-A8DF-4302-9729-6E9670A4ABE3}" uniqueName="2249" name="Column2249" queryTableFieldId="2249"/>
    <tableColumn id="2250" xr3:uid="{892B8401-CBD5-494C-8530-34E18F660FD7}" uniqueName="2250" name="Column2250" queryTableFieldId="2250"/>
    <tableColumn id="2251" xr3:uid="{EDD6BD14-45E7-4AA8-9721-F3FA67D470BE}" uniqueName="2251" name="Column2251" queryTableFieldId="2251"/>
    <tableColumn id="2252" xr3:uid="{C7514125-9B38-4026-AAC7-1C3C3EC71667}" uniqueName="2252" name="Column2252" queryTableFieldId="2252"/>
    <tableColumn id="2253" xr3:uid="{8E3F43D9-4C6F-4C15-B58E-899B2A4B8099}" uniqueName="2253" name="Column2253" queryTableFieldId="2253"/>
    <tableColumn id="2254" xr3:uid="{FB2EDAEE-D93C-4242-9157-187B751E78DA}" uniqueName="2254" name="Column2254" queryTableFieldId="2254"/>
    <tableColumn id="2255" xr3:uid="{B1175C30-49D2-46F2-937B-C2962A730B49}" uniqueName="2255" name="Column2255" queryTableFieldId="2255"/>
    <tableColumn id="2256" xr3:uid="{E99DBAB0-8857-41CB-B414-40246271D7E3}" uniqueName="2256" name="Column2256" queryTableFieldId="2256"/>
    <tableColumn id="2257" xr3:uid="{0C46113E-1EDE-49CD-BA0A-749E95546D22}" uniqueName="2257" name="Column2257" queryTableFieldId="2257"/>
    <tableColumn id="2258" xr3:uid="{BA53F9BE-9E96-4165-8FD1-0876176360D5}" uniqueName="2258" name="Column2258" queryTableFieldId="2258"/>
    <tableColumn id="2259" xr3:uid="{08A36A87-E5F7-4F22-9265-42D650FB05C3}" uniqueName="2259" name="Column2259" queryTableFieldId="2259"/>
    <tableColumn id="2260" xr3:uid="{E2145370-CCB9-48A8-B5C1-EEC0BAED193D}" uniqueName="2260" name="Column2260" queryTableFieldId="2260"/>
    <tableColumn id="2261" xr3:uid="{3FBE5409-51FB-4BFF-A4F8-4F66B8879668}" uniqueName="2261" name="Column2261" queryTableFieldId="2261"/>
    <tableColumn id="2262" xr3:uid="{96A778D0-D26C-41C4-9AE9-0BEF46907C31}" uniqueName="2262" name="Column2262" queryTableFieldId="2262"/>
    <tableColumn id="2263" xr3:uid="{D8D8D354-2FFB-49AA-A8C8-8C41FACE02E6}" uniqueName="2263" name="Column2263" queryTableFieldId="2263"/>
    <tableColumn id="2264" xr3:uid="{3BBF829C-5342-4090-81C2-DAD6ABD250D7}" uniqueName="2264" name="Column2264" queryTableFieldId="2264"/>
    <tableColumn id="2265" xr3:uid="{0D55FC2E-48FB-4ADA-97BA-1B8888D1BFCE}" uniqueName="2265" name="Column2265" queryTableFieldId="2265"/>
    <tableColumn id="2266" xr3:uid="{D1B63F2D-61B1-4DBF-9C2C-EC5E6ED7259F}" uniqueName="2266" name="Column2266" queryTableFieldId="2266"/>
    <tableColumn id="2267" xr3:uid="{4AC539D1-3652-4CC6-8D82-D8A917666CEC}" uniqueName="2267" name="Column2267" queryTableFieldId="2267"/>
    <tableColumn id="2268" xr3:uid="{B48EB640-6088-4148-98AB-B1B303829297}" uniqueName="2268" name="Column2268" queryTableFieldId="2268"/>
    <tableColumn id="2269" xr3:uid="{E76F55A0-71A9-4050-AAED-159D1809A98B}" uniqueName="2269" name="Column2269" queryTableFieldId="2269"/>
    <tableColumn id="2270" xr3:uid="{1FF8B8B6-1A06-4739-8251-A7CC47888BBB}" uniqueName="2270" name="Column2270" queryTableFieldId="2270"/>
    <tableColumn id="2271" xr3:uid="{C216CF8C-9903-4218-8C7A-9BEB828A8ECB}" uniqueName="2271" name="Column2271" queryTableFieldId="2271"/>
    <tableColumn id="2272" xr3:uid="{59C65299-148D-4D79-AC49-2D60FFF986B5}" uniqueName="2272" name="Column2272" queryTableFieldId="2272"/>
    <tableColumn id="2273" xr3:uid="{E608C411-EC9F-4947-AA86-9BAF7DD7CE4B}" uniqueName="2273" name="Column2273" queryTableFieldId="2273"/>
    <tableColumn id="2274" xr3:uid="{30632265-6A4D-46CE-B4C2-040870A834D9}" uniqueName="2274" name="Column2274" queryTableFieldId="2274"/>
    <tableColumn id="2275" xr3:uid="{CD7A9EC6-FB47-41F5-B849-BF51AE22A28F}" uniqueName="2275" name="Column2275" queryTableFieldId="2275"/>
    <tableColumn id="2276" xr3:uid="{CF3A3C28-EA64-4DF6-9FDC-9EF1DEB7F3FF}" uniqueName="2276" name="Column2276" queryTableFieldId="2276"/>
    <tableColumn id="2277" xr3:uid="{AD835E98-7325-443D-B734-C365FB55FE64}" uniqueName="2277" name="Column2277" queryTableFieldId="2277"/>
    <tableColumn id="2278" xr3:uid="{13F3B285-7F4C-4D30-B083-3F7D118C0759}" uniqueName="2278" name="Column2278" queryTableFieldId="2278"/>
    <tableColumn id="2279" xr3:uid="{A5A98B7B-4B96-4156-9B55-3AD439B0DA2F}" uniqueName="2279" name="Column2279" queryTableFieldId="2279"/>
    <tableColumn id="2280" xr3:uid="{963E7E7D-BB5D-4D1A-9E8A-159434323FF3}" uniqueName="2280" name="Column2280" queryTableFieldId="2280"/>
    <tableColumn id="2281" xr3:uid="{28A6CEE8-CF9B-4D68-92E9-FB2A75153DD2}" uniqueName="2281" name="Column2281" queryTableFieldId="2281"/>
    <tableColumn id="2282" xr3:uid="{F6674176-CB24-4C61-8C50-4D18EAD51CEF}" uniqueName="2282" name="Column2282" queryTableFieldId="2282"/>
    <tableColumn id="2283" xr3:uid="{8C97B285-1A0D-4B93-8338-41DCC6E743A3}" uniqueName="2283" name="Column2283" queryTableFieldId="2283"/>
    <tableColumn id="2284" xr3:uid="{452FA567-B241-4E1B-99BB-CE6D0ABFE670}" uniqueName="2284" name="Column2284" queryTableFieldId="2284"/>
    <tableColumn id="2285" xr3:uid="{60F7534B-C5EA-41B8-A1B9-48FA970808AA}" uniqueName="2285" name="Column2285" queryTableFieldId="2285"/>
    <tableColumn id="2286" xr3:uid="{5C8AB2B0-038E-4ED8-A0FC-4D7712D528DF}" uniqueName="2286" name="Column2286" queryTableFieldId="2286"/>
    <tableColumn id="2287" xr3:uid="{AF89BA15-1163-4308-9C4B-63F3858CC36E}" uniqueName="2287" name="Column2287" queryTableFieldId="2287"/>
    <tableColumn id="2288" xr3:uid="{7FAFF3FE-6FF4-49FA-93D8-AA3317EB9241}" uniqueName="2288" name="Column2288" queryTableFieldId="2288"/>
    <tableColumn id="2289" xr3:uid="{3F91C42E-99E6-4439-8CDA-BF47D1D00F58}" uniqueName="2289" name="Column2289" queryTableFieldId="2289"/>
    <tableColumn id="2290" xr3:uid="{3B343491-7FC2-4865-9AC0-F9C837D7C77B}" uniqueName="2290" name="Column2290" queryTableFieldId="2290"/>
    <tableColumn id="2291" xr3:uid="{4A8B274F-0C44-4AC9-86E4-33851F453317}" uniqueName="2291" name="Column2291" queryTableFieldId="2291"/>
    <tableColumn id="2292" xr3:uid="{AD77C12C-D00D-470D-B484-A89999964CAC}" uniqueName="2292" name="Column2292" queryTableFieldId="2292"/>
    <tableColumn id="2293" xr3:uid="{5A353AAC-1D15-49D1-AD44-FAFDF2BE8A00}" uniqueName="2293" name="Column2293" queryTableFieldId="2293"/>
    <tableColumn id="2294" xr3:uid="{E9B2FE1A-E8FA-4222-A835-0A420DE41FB4}" uniqueName="2294" name="Column2294" queryTableFieldId="2294"/>
    <tableColumn id="2295" xr3:uid="{D678AE98-B4B0-448B-8CB9-66DDE0C30FEE}" uniqueName="2295" name="Column2295" queryTableFieldId="2295"/>
    <tableColumn id="2296" xr3:uid="{784AC559-FD09-4976-A068-05A869279AAD}" uniqueName="2296" name="Column2296" queryTableFieldId="2296"/>
    <tableColumn id="2297" xr3:uid="{3A2272DE-A9F8-461B-AFE9-20FC49048BB5}" uniqueName="2297" name="Column2297" queryTableFieldId="2297"/>
    <tableColumn id="2298" xr3:uid="{9861764A-0897-4679-ADEC-5C4544ED5532}" uniqueName="2298" name="Column2298" queryTableFieldId="2298"/>
    <tableColumn id="2299" xr3:uid="{61182996-F517-4495-B252-13CD01FF6CC6}" uniqueName="2299" name="Column2299" queryTableFieldId="2299"/>
    <tableColumn id="2300" xr3:uid="{65FEB07D-A934-4362-A7F2-5D71F2235E3F}" uniqueName="2300" name="Column2300" queryTableFieldId="2300"/>
    <tableColumn id="2301" xr3:uid="{D4B1E3F8-57B7-4B8A-BC4C-CDCC325FF8BA}" uniqueName="2301" name="Column2301" queryTableFieldId="2301"/>
    <tableColumn id="2302" xr3:uid="{33A9FA05-1035-40C4-B8C3-0CCD26CAB4F8}" uniqueName="2302" name="Column2302" queryTableFieldId="2302"/>
    <tableColumn id="2303" xr3:uid="{912A3890-E1F0-4E10-AF52-891AF24A768E}" uniqueName="2303" name="Column2303" queryTableFieldId="2303"/>
    <tableColumn id="2304" xr3:uid="{20376F9F-8C9B-4850-9819-E5F54AC8BAD3}" uniqueName="2304" name="Column2304" queryTableFieldId="2304"/>
    <tableColumn id="2305" xr3:uid="{A6178FFF-467B-4273-81F0-9C56933AF354}" uniqueName="2305" name="Column2305" queryTableFieldId="2305"/>
    <tableColumn id="2306" xr3:uid="{5CFA7472-ACB3-4A6E-877C-04508CA8BF42}" uniqueName="2306" name="Column2306" queryTableFieldId="2306"/>
    <tableColumn id="2307" xr3:uid="{A25EE877-9FD9-4E4E-8918-33A75C5CE257}" uniqueName="2307" name="Column2307" queryTableFieldId="2307"/>
    <tableColumn id="2308" xr3:uid="{520B5D0B-02AC-4E53-9C13-2649B10654FD}" uniqueName="2308" name="Column2308" queryTableFieldId="2308"/>
    <tableColumn id="2309" xr3:uid="{DA40F99B-F818-4D4E-A43F-2AF0EEB5BB0D}" uniqueName="2309" name="Column2309" queryTableFieldId="2309"/>
    <tableColumn id="2310" xr3:uid="{7C4B615D-9175-4298-A442-3206712CBB5E}" uniqueName="2310" name="Column2310" queryTableFieldId="2310"/>
    <tableColumn id="2311" xr3:uid="{BCF37875-9B5C-440A-A22A-86E76EF463D4}" uniqueName="2311" name="Column2311" queryTableFieldId="2311"/>
    <tableColumn id="2312" xr3:uid="{3BEF7EBD-DCA0-4F4A-9D3D-AC3FC0DAA500}" uniqueName="2312" name="Column2312" queryTableFieldId="2312"/>
    <tableColumn id="2313" xr3:uid="{2E67777B-BC32-49B9-B1D3-2601FF950DB5}" uniqueName="2313" name="Column2313" queryTableFieldId="2313"/>
    <tableColumn id="2314" xr3:uid="{A3991A1F-A7FA-4A7E-8446-CA0A1E60C1AE}" uniqueName="2314" name="Column2314" queryTableFieldId="2314"/>
    <tableColumn id="2315" xr3:uid="{AC6AE9D8-458D-45B4-9F51-140B912C75C3}" uniqueName="2315" name="Column2315" queryTableFieldId="2315"/>
    <tableColumn id="2316" xr3:uid="{73414503-C6FA-47BA-9075-0136266745FA}" uniqueName="2316" name="Column2316" queryTableFieldId="2316"/>
    <tableColumn id="2317" xr3:uid="{3A736AB9-A967-4986-B571-4A1B46A78A4D}" uniqueName="2317" name="Column2317" queryTableFieldId="2317"/>
    <tableColumn id="2318" xr3:uid="{CCA29247-611D-4777-AB84-826DA7DF2A48}" uniqueName="2318" name="Column2318" queryTableFieldId="2318"/>
    <tableColumn id="2319" xr3:uid="{A841028D-C802-48A1-90E3-ADA7367F68FB}" uniqueName="2319" name="Column2319" queryTableFieldId="2319"/>
    <tableColumn id="2320" xr3:uid="{D32B9927-1440-4EB4-8E0D-39003069920D}" uniqueName="2320" name="Column2320" queryTableFieldId="2320"/>
    <tableColumn id="2321" xr3:uid="{CF80F563-2E88-4942-9126-DF80BC579D51}" uniqueName="2321" name="Column2321" queryTableFieldId="2321"/>
    <tableColumn id="2322" xr3:uid="{4D3A5EA8-42B8-4AB5-B0EE-76CD4E748FE3}" uniqueName="2322" name="Column2322" queryTableFieldId="2322"/>
    <tableColumn id="2323" xr3:uid="{2971D5D9-BAE9-4660-835A-AEB5BED894A3}" uniqueName="2323" name="Column2323" queryTableFieldId="2323"/>
    <tableColumn id="2324" xr3:uid="{788745B1-9CFB-4570-AE1F-18403E14412C}" uniqueName="2324" name="Column2324" queryTableFieldId="2324"/>
    <tableColumn id="2325" xr3:uid="{C7183A92-644E-41D6-8C4C-48DA20905660}" uniqueName="2325" name="Column2325" queryTableFieldId="2325"/>
    <tableColumn id="2326" xr3:uid="{4307A43F-2360-4BE0-BFCE-A4A9BE8E95B2}" uniqueName="2326" name="Column2326" queryTableFieldId="2326"/>
    <tableColumn id="2327" xr3:uid="{FFF39BBF-C8AE-4585-8909-123457E5EBDA}" uniqueName="2327" name="Column2327" queryTableFieldId="2327"/>
    <tableColumn id="2328" xr3:uid="{B6FA32EC-A7A9-49DD-805F-F82766394E4A}" uniqueName="2328" name="Column2328" queryTableFieldId="2328"/>
    <tableColumn id="2329" xr3:uid="{7D872818-C5B0-4FCB-9EC6-31A509208C3C}" uniqueName="2329" name="Column2329" queryTableFieldId="2329"/>
    <tableColumn id="2330" xr3:uid="{9846DAC4-E8AE-44E2-BDC0-05FC8ADD9625}" uniqueName="2330" name="Column2330" queryTableFieldId="2330"/>
    <tableColumn id="2331" xr3:uid="{9C9CCB48-28B9-4DBB-90A2-AD62774F3B05}" uniqueName="2331" name="Column2331" queryTableFieldId="2331"/>
    <tableColumn id="2332" xr3:uid="{2CA00D4E-1678-4103-97A5-E42E47D61145}" uniqueName="2332" name="Column2332" queryTableFieldId="2332"/>
    <tableColumn id="2333" xr3:uid="{9196AE6B-5593-4E4D-BB47-4F292567CAAE}" uniqueName="2333" name="Column2333" queryTableFieldId="2333"/>
    <tableColumn id="2334" xr3:uid="{F4C8342F-10B8-436B-AAD2-2CDB91B3E21E}" uniqueName="2334" name="Column2334" queryTableFieldId="2334"/>
    <tableColumn id="2335" xr3:uid="{196C8390-2FFC-43F6-920E-8ABA6976E7B1}" uniqueName="2335" name="Column2335" queryTableFieldId="2335"/>
    <tableColumn id="2336" xr3:uid="{DE0C52D5-88C9-4FD0-B3E7-14D57CA9B15E}" uniqueName="2336" name="Column2336" queryTableFieldId="2336"/>
    <tableColumn id="2337" xr3:uid="{C6998A0E-5C49-44C5-BC74-9CDE6AFC0776}" uniqueName="2337" name="Column2337" queryTableFieldId="2337"/>
    <tableColumn id="2338" xr3:uid="{72C7CC46-E981-461F-A89A-E6B329B93C04}" uniqueName="2338" name="Column2338" queryTableFieldId="2338"/>
    <tableColumn id="2339" xr3:uid="{D2BBD506-A771-4C41-B8A2-A93153829AF1}" uniqueName="2339" name="Column2339" queryTableFieldId="2339"/>
    <tableColumn id="2340" xr3:uid="{8C2BECC8-A2FF-4ABE-ACBE-13734CF3A64F}" uniqueName="2340" name="Column2340" queryTableFieldId="2340"/>
    <tableColumn id="2341" xr3:uid="{17E39292-0AFB-46A0-BAA3-028365A1B638}" uniqueName="2341" name="Column2341" queryTableFieldId="2341"/>
    <tableColumn id="2342" xr3:uid="{44C3D29A-9754-42E4-A1D0-1B403A04D41D}" uniqueName="2342" name="Column2342" queryTableFieldId="2342"/>
    <tableColumn id="2343" xr3:uid="{21F3C9E2-5B8C-41D1-8513-D35A18E9A3F2}" uniqueName="2343" name="Column2343" queryTableFieldId="2343"/>
    <tableColumn id="2344" xr3:uid="{FBFDACB8-D0C0-4B4B-A0CA-D7D21407527E}" uniqueName="2344" name="Column2344" queryTableFieldId="2344"/>
    <tableColumn id="2345" xr3:uid="{3667E6DD-60FC-4781-9909-AA625CEBA5E6}" uniqueName="2345" name="Column2345" queryTableFieldId="2345"/>
    <tableColumn id="2346" xr3:uid="{3082618F-7F43-45E2-B134-48B4E6AD1224}" uniqueName="2346" name="Column2346" queryTableFieldId="2346"/>
    <tableColumn id="2347" xr3:uid="{BB92F679-68DD-47FB-B650-5A91E99EAE90}" uniqueName="2347" name="Column2347" queryTableFieldId="2347"/>
    <tableColumn id="2348" xr3:uid="{051674BD-96D7-4701-8C76-BFFC9F5DE76A}" uniqueName="2348" name="Column2348" queryTableFieldId="2348"/>
    <tableColumn id="2349" xr3:uid="{BFE39EDF-6C3B-414E-B3FF-C37B7AEB4459}" uniqueName="2349" name="Column2349" queryTableFieldId="2349"/>
    <tableColumn id="2350" xr3:uid="{45A2B4A5-23C1-4CA1-A9F8-0B06ED2BE0C6}" uniqueName="2350" name="Column2350" queryTableFieldId="2350"/>
    <tableColumn id="2351" xr3:uid="{C5186992-3C3F-4854-8DC7-676537A9DF12}" uniqueName="2351" name="Column2351" queryTableFieldId="2351"/>
    <tableColumn id="2352" xr3:uid="{E3F6FA4C-1E47-4EA2-86FE-E7B8E0873127}" uniqueName="2352" name="Column2352" queryTableFieldId="2352"/>
    <tableColumn id="2353" xr3:uid="{DE16EAC4-FBE2-48D7-9C40-B381425E972E}" uniqueName="2353" name="Column2353" queryTableFieldId="2353"/>
    <tableColumn id="2354" xr3:uid="{0850CFB1-95FA-4778-959B-203969BDD3F7}" uniqueName="2354" name="Column2354" queryTableFieldId="2354"/>
    <tableColumn id="2355" xr3:uid="{5DDFADEF-A5BC-4609-9B5E-0C0633E43081}" uniqueName="2355" name="Column2355" queryTableFieldId="2355"/>
    <tableColumn id="2356" xr3:uid="{8CE1DE87-E23E-4B46-B5E3-A84AE02DCBD0}" uniqueName="2356" name="Column2356" queryTableFieldId="2356"/>
    <tableColumn id="2357" xr3:uid="{E6BABCEB-EAAE-4BEA-9F16-FF2FD310707C}" uniqueName="2357" name="Column2357" queryTableFieldId="2357"/>
    <tableColumn id="2358" xr3:uid="{61B9CB2C-60E5-4663-BD9C-A0D69872B720}" uniqueName="2358" name="Column2358" queryTableFieldId="2358"/>
    <tableColumn id="2359" xr3:uid="{17C2D63E-EE3A-45DB-8599-7FCCC0858595}" uniqueName="2359" name="Column2359" queryTableFieldId="2359"/>
    <tableColumn id="2360" xr3:uid="{082F96C3-5585-4314-9A8E-1537058AE891}" uniqueName="2360" name="Column2360" queryTableFieldId="2360"/>
    <tableColumn id="2361" xr3:uid="{58C125C4-A3B2-4B98-B86D-21637FFBF2B5}" uniqueName="2361" name="Column2361" queryTableFieldId="2361"/>
    <tableColumn id="2362" xr3:uid="{DF223461-1064-4CA9-B797-D97C759787AB}" uniqueName="2362" name="Column2362" queryTableFieldId="2362"/>
    <tableColumn id="2363" xr3:uid="{CC3DF465-BA70-4893-9E4A-140DD655BC1C}" uniqueName="2363" name="Column2363" queryTableFieldId="2363"/>
    <tableColumn id="2364" xr3:uid="{E435E83A-65F9-499F-AD88-BF88B7BA5AC7}" uniqueName="2364" name="Column2364" queryTableFieldId="2364"/>
    <tableColumn id="2365" xr3:uid="{440178C0-9796-4B47-9755-D7D25FC79778}" uniqueName="2365" name="Column2365" queryTableFieldId="2365"/>
    <tableColumn id="2366" xr3:uid="{FFE0C918-4169-4ECC-B0CA-D21928775537}" uniqueName="2366" name="Column2366" queryTableFieldId="2366"/>
    <tableColumn id="2367" xr3:uid="{8DDB0263-53B9-429C-8EE7-EE9158245BFB}" uniqueName="2367" name="Column2367" queryTableFieldId="2367"/>
    <tableColumn id="2368" xr3:uid="{5FA65612-9992-4D1C-B55A-9F6ECC169948}" uniqueName="2368" name="Column2368" queryTableFieldId="2368"/>
    <tableColumn id="2369" xr3:uid="{D073FD66-FBE7-4024-8629-31A66C986B05}" uniqueName="2369" name="Column2369" queryTableFieldId="2369"/>
    <tableColumn id="2370" xr3:uid="{45889FD8-200C-4E52-A8D5-23CF22B4AB7D}" uniqueName="2370" name="Column2370" queryTableFieldId="2370"/>
    <tableColumn id="2371" xr3:uid="{CBEDF6CB-1BBF-4F64-B157-22E7C008DC82}" uniqueName="2371" name="Column2371" queryTableFieldId="2371"/>
    <tableColumn id="2372" xr3:uid="{71B3561C-1D2A-4305-AC08-A610033BB4DA}" uniqueName="2372" name="Column2372" queryTableFieldId="2372"/>
    <tableColumn id="2373" xr3:uid="{CF01A2DC-1443-4D36-AB40-952A53E99650}" uniqueName="2373" name="Column2373" queryTableFieldId="2373"/>
    <tableColumn id="2374" xr3:uid="{EC55C475-3422-461D-87C3-85BA5FA814FD}" uniqueName="2374" name="Column2374" queryTableFieldId="2374"/>
    <tableColumn id="2375" xr3:uid="{44815D41-605B-4737-AAC3-003ACE9D55CF}" uniqueName="2375" name="Column2375" queryTableFieldId="2375"/>
    <tableColumn id="2376" xr3:uid="{6EC852E4-8E12-4E14-B5A9-53E4E88BFDDF}" uniqueName="2376" name="Column2376" queryTableFieldId="2376"/>
    <tableColumn id="2377" xr3:uid="{74DB1800-2F52-410D-9EE7-8A89C6103F7B}" uniqueName="2377" name="Column2377" queryTableFieldId="2377"/>
    <tableColumn id="2378" xr3:uid="{8C4EFE2F-8E28-4D0C-A464-3DB966AAF548}" uniqueName="2378" name="Column2378" queryTableFieldId="2378"/>
    <tableColumn id="2379" xr3:uid="{EEA07821-38E6-4E0A-AF16-33057E2EDDB1}" uniqueName="2379" name="Column2379" queryTableFieldId="2379"/>
    <tableColumn id="2380" xr3:uid="{DCC2EC69-2BA8-46E6-902E-5EA051CF6C25}" uniqueName="2380" name="Column2380" queryTableFieldId="2380"/>
    <tableColumn id="2381" xr3:uid="{1CCD19FC-4967-4BEE-8E1E-307B407C413C}" uniqueName="2381" name="Column2381" queryTableFieldId="2381"/>
    <tableColumn id="2382" xr3:uid="{736BBFE3-2CD9-416F-9181-75480ADD6909}" uniqueName="2382" name="Column2382" queryTableFieldId="2382"/>
    <tableColumn id="2383" xr3:uid="{B8DAEB9E-0F9A-4BEB-BC22-A0FC1EB73D61}" uniqueName="2383" name="Column2383" queryTableFieldId="2383"/>
    <tableColumn id="2384" xr3:uid="{D4F2070E-0F2E-4BC5-AE64-98C491411CFC}" uniqueName="2384" name="Column2384" queryTableFieldId="2384"/>
    <tableColumn id="2385" xr3:uid="{059BD9DA-568C-4ED2-8416-2B171F78D854}" uniqueName="2385" name="Column2385" queryTableFieldId="2385"/>
    <tableColumn id="2386" xr3:uid="{37C4364B-3D2A-41D8-9AAF-140CC870646F}" uniqueName="2386" name="Column2386" queryTableFieldId="2386"/>
    <tableColumn id="2387" xr3:uid="{04B09B3B-E716-4869-94B1-7BB5E7DF73EE}" uniqueName="2387" name="Column2387" queryTableFieldId="2387"/>
    <tableColumn id="2388" xr3:uid="{CC02B6DC-C93A-4705-99E3-AD46EA6D0E98}" uniqueName="2388" name="Column2388" queryTableFieldId="2388"/>
    <tableColumn id="2389" xr3:uid="{0FDB8760-FA1F-4082-A1A1-85383D3F4CDC}" uniqueName="2389" name="Column2389" queryTableFieldId="2389"/>
    <tableColumn id="2390" xr3:uid="{E301A78D-2AB1-4B36-B30A-06D821AEEBA7}" uniqueName="2390" name="Column2390" queryTableFieldId="2390"/>
    <tableColumn id="2391" xr3:uid="{16980B6B-6247-4489-9565-E24F48452FB5}" uniqueName="2391" name="Column2391" queryTableFieldId="2391"/>
    <tableColumn id="2392" xr3:uid="{F1239B83-992B-4B69-884C-9A2902D99BDC}" uniqueName="2392" name="Column2392" queryTableFieldId="2392"/>
    <tableColumn id="2393" xr3:uid="{4F0F3788-A5D4-4593-B8ED-E796CBC97DF9}" uniqueName="2393" name="Column2393" queryTableFieldId="2393"/>
    <tableColumn id="2394" xr3:uid="{53AD09F6-FE74-4763-B26C-E04E5388B28E}" uniqueName="2394" name="Column2394" queryTableFieldId="2394"/>
    <tableColumn id="2395" xr3:uid="{C2151C6B-8061-4BD0-96DC-520C0ECDEDCD}" uniqueName="2395" name="Column2395" queryTableFieldId="2395"/>
    <tableColumn id="2396" xr3:uid="{F1615A92-B08B-4913-A917-6C3CBB61425C}" uniqueName="2396" name="Column2396" queryTableFieldId="2396"/>
    <tableColumn id="2397" xr3:uid="{5DF7FF34-C7A3-43EE-87B7-F97A565DC5EF}" uniqueName="2397" name="Column2397" queryTableFieldId="2397"/>
    <tableColumn id="2398" xr3:uid="{4DA01AF3-ACE2-47CE-8594-6084408DF496}" uniqueName="2398" name="Column2398" queryTableFieldId="2398"/>
    <tableColumn id="2399" xr3:uid="{DCC74BA1-AD05-42EB-8C91-A2C6FB02642E}" uniqueName="2399" name="Column2399" queryTableFieldId="2399"/>
    <tableColumn id="2400" xr3:uid="{4FB19214-C9EF-40C6-9C32-43757B5CF8D9}" uniqueName="2400" name="Column2400" queryTableFieldId="2400"/>
    <tableColumn id="2401" xr3:uid="{4EE1A57E-304E-4A94-8268-4179386BDA41}" uniqueName="2401" name="Column2401" queryTableFieldId="2401"/>
    <tableColumn id="2402" xr3:uid="{7663956D-2A82-45DE-B64D-3E53C87ECC2C}" uniqueName="2402" name="Column2402" queryTableFieldId="2402"/>
    <tableColumn id="2403" xr3:uid="{F433830E-7BC3-4324-BB47-24B4942C7EB4}" uniqueName="2403" name="Column2403" queryTableFieldId="2403"/>
    <tableColumn id="2404" xr3:uid="{17235B5C-26EB-4125-981E-96CECA60F675}" uniqueName="2404" name="Column2404" queryTableFieldId="2404"/>
    <tableColumn id="2405" xr3:uid="{0AA5B0DE-12CF-430D-B974-D68FCDC8FAF5}" uniqueName="2405" name="Column2405" queryTableFieldId="2405"/>
    <tableColumn id="2406" xr3:uid="{BA09C5FE-CA10-4971-BBE7-AC13DF38E5B0}" uniqueName="2406" name="Column2406" queryTableFieldId="2406"/>
    <tableColumn id="2407" xr3:uid="{942C6323-8053-4407-B3BB-09F71543DA16}" uniqueName="2407" name="Column2407" queryTableFieldId="2407"/>
    <tableColumn id="2408" xr3:uid="{DDC430C3-0DFE-4E41-9196-974C4D474BB2}" uniqueName="2408" name="Column2408" queryTableFieldId="2408"/>
    <tableColumn id="2409" xr3:uid="{C2149CA6-55C0-40F8-9BCB-83AB49888BD9}" uniqueName="2409" name="Column2409" queryTableFieldId="2409"/>
    <tableColumn id="2410" xr3:uid="{3AD90B34-A3ED-4349-A22B-3AE379F315FE}" uniqueName="2410" name="Column2410" queryTableFieldId="2410"/>
    <tableColumn id="2411" xr3:uid="{E0DBA088-D582-4339-AFE7-1C9E02022498}" uniqueName="2411" name="Column2411" queryTableFieldId="2411"/>
    <tableColumn id="2412" xr3:uid="{4D4C4C47-A494-41C5-AEBE-4090E087BF08}" uniqueName="2412" name="Column2412" queryTableFieldId="2412"/>
    <tableColumn id="2413" xr3:uid="{C09C5BE2-F04A-4EAD-BC58-8A02573E0529}" uniqueName="2413" name="Column2413" queryTableFieldId="2413"/>
    <tableColumn id="2414" xr3:uid="{A7EE7947-2A2C-480F-8705-B33C1AC75269}" uniqueName="2414" name="Column2414" queryTableFieldId="2414"/>
    <tableColumn id="2415" xr3:uid="{D8D979EA-889A-4A56-9FFD-D0FBA1668D08}" uniqueName="2415" name="Column2415" queryTableFieldId="2415"/>
    <tableColumn id="2416" xr3:uid="{62F80C5B-051E-43B8-9B93-5110FC59BC0E}" uniqueName="2416" name="Column2416" queryTableFieldId="2416"/>
    <tableColumn id="2417" xr3:uid="{38204426-8F1D-4675-90F4-B3E04B8074DF}" uniqueName="2417" name="Column2417" queryTableFieldId="2417"/>
    <tableColumn id="2418" xr3:uid="{4CA4041D-8205-487B-8272-D4BC3884E2C5}" uniqueName="2418" name="Column2418" queryTableFieldId="2418"/>
    <tableColumn id="2419" xr3:uid="{DB8E5C04-44F8-41A9-ADD5-369F58C482E1}" uniqueName="2419" name="Column2419" queryTableFieldId="2419"/>
    <tableColumn id="2420" xr3:uid="{35170016-B601-4CA2-8BF0-93A34704931F}" uniqueName="2420" name="Column2420" queryTableFieldId="2420"/>
    <tableColumn id="2421" xr3:uid="{17DE2684-2C4B-4830-9FA1-5040F59CE57A}" uniqueName="2421" name="Column2421" queryTableFieldId="2421"/>
    <tableColumn id="2422" xr3:uid="{508930D7-877A-4141-86F9-8665FB2ACA9D}" uniqueName="2422" name="Column2422" queryTableFieldId="2422"/>
    <tableColumn id="2423" xr3:uid="{B91F5FD1-3230-4D90-A378-41E8F71DFBF8}" uniqueName="2423" name="Column2423" queryTableFieldId="2423"/>
    <tableColumn id="2424" xr3:uid="{18F8386F-4F1D-498C-A4DE-DA3B8DC14828}" uniqueName="2424" name="Column2424" queryTableFieldId="2424"/>
    <tableColumn id="2425" xr3:uid="{4BE52011-4570-4CD3-BF37-F5270ABFA1E9}" uniqueName="2425" name="Column2425" queryTableFieldId="2425"/>
    <tableColumn id="2426" xr3:uid="{6C84FE45-25ED-4119-8DE4-429FA409E7F2}" uniqueName="2426" name="Column2426" queryTableFieldId="2426"/>
    <tableColumn id="2427" xr3:uid="{DE169E95-4AC8-415A-9648-20B6D2DF55B4}" uniqueName="2427" name="Column2427" queryTableFieldId="2427"/>
    <tableColumn id="2428" xr3:uid="{519D15F4-A5EF-4FE4-B63F-27F4CAB2CC02}" uniqueName="2428" name="Column2428" queryTableFieldId="2428"/>
    <tableColumn id="2429" xr3:uid="{60349A08-D06D-41DB-926F-84658B19E46C}" uniqueName="2429" name="Column2429" queryTableFieldId="2429"/>
    <tableColumn id="2430" xr3:uid="{D6E05BF9-17DC-439A-842E-15D615DE59E5}" uniqueName="2430" name="Column2430" queryTableFieldId="2430"/>
    <tableColumn id="2431" xr3:uid="{3D9A0964-DBFE-460B-9E96-0008A449A836}" uniqueName="2431" name="Column2431" queryTableFieldId="2431"/>
    <tableColumn id="2432" xr3:uid="{392AB276-9415-4C5F-A939-F43526FAF626}" uniqueName="2432" name="Column2432" queryTableFieldId="2432"/>
    <tableColumn id="2433" xr3:uid="{F8BD6012-088D-4E09-89BF-22CFF1A837AA}" uniqueName="2433" name="Column2433" queryTableFieldId="2433"/>
    <tableColumn id="2434" xr3:uid="{C1066F7F-26EA-4E08-82A4-9F4AA5FE9DDB}" uniqueName="2434" name="Column2434" queryTableFieldId="2434"/>
    <tableColumn id="2435" xr3:uid="{A75D190D-F936-403A-82EF-03C71CD73595}" uniqueName="2435" name="Column2435" queryTableFieldId="2435"/>
    <tableColumn id="2436" xr3:uid="{0D26650F-EE71-4089-B4DC-466D708EB242}" uniqueName="2436" name="Column2436" queryTableFieldId="2436"/>
    <tableColumn id="2437" xr3:uid="{2AE34C3D-78D4-4B61-B001-8D4D06067B12}" uniqueName="2437" name="Column2437" queryTableFieldId="2437"/>
    <tableColumn id="2438" xr3:uid="{DC55956E-AC0D-4236-9E42-AB1624EE47AE}" uniqueName="2438" name="Column2438" queryTableFieldId="2438"/>
    <tableColumn id="2439" xr3:uid="{93C36368-5EF7-474B-AFD3-9CFE0F9DE879}" uniqueName="2439" name="Column2439" queryTableFieldId="2439"/>
    <tableColumn id="2440" xr3:uid="{18C1829A-32A7-4241-862A-819F8C7D32EB}" uniqueName="2440" name="Column2440" queryTableFieldId="2440"/>
    <tableColumn id="2441" xr3:uid="{324E522C-61B0-4ECA-B566-29A823075F7D}" uniqueName="2441" name="Column2441" queryTableFieldId="2441"/>
    <tableColumn id="2442" xr3:uid="{28031730-C2BB-4FD4-A486-6CC2C68E03E2}" uniqueName="2442" name="Column2442" queryTableFieldId="2442"/>
    <tableColumn id="2443" xr3:uid="{76915682-C095-401C-8203-3003F0B37DD5}" uniqueName="2443" name="Column2443" queryTableFieldId="2443"/>
    <tableColumn id="2444" xr3:uid="{EF1AE634-0A9C-42BC-94FA-E53270E62486}" uniqueName="2444" name="Column2444" queryTableFieldId="2444"/>
    <tableColumn id="2445" xr3:uid="{C4FA3E68-4A0A-4936-B42A-A4C92AC5FB08}" uniqueName="2445" name="Column2445" queryTableFieldId="2445"/>
    <tableColumn id="2446" xr3:uid="{0B9E15A7-BE80-4EC2-87BF-2C52E6B25BD0}" uniqueName="2446" name="Column2446" queryTableFieldId="2446"/>
    <tableColumn id="2447" xr3:uid="{912232A4-17F0-4F8C-954F-C51CD9B0332C}" uniqueName="2447" name="Column2447" queryTableFieldId="2447"/>
    <tableColumn id="2448" xr3:uid="{21E17A25-2BE5-476D-9336-7644E2C98C75}" uniqueName="2448" name="Column2448" queryTableFieldId="2448"/>
    <tableColumn id="2449" xr3:uid="{A0564E3C-E2F4-4E52-8B00-23D3A53ABABC}" uniqueName="2449" name="Column2449" queryTableFieldId="2449"/>
    <tableColumn id="2450" xr3:uid="{FB4F03C0-F872-4EE2-BB3D-BBEF63ABBFD0}" uniqueName="2450" name="Column2450" queryTableFieldId="2450"/>
    <tableColumn id="2451" xr3:uid="{6D019C27-0D0E-4832-B348-910FB4B6C85D}" uniqueName="2451" name="Column2451" queryTableFieldId="2451"/>
    <tableColumn id="2452" xr3:uid="{2F19B58D-C22C-4FE1-811A-66668257FA60}" uniqueName="2452" name="Column2452" queryTableFieldId="2452"/>
    <tableColumn id="2453" xr3:uid="{B3B4A01B-934C-4249-A33C-C96E35B868D4}" uniqueName="2453" name="Column2453" queryTableFieldId="2453"/>
    <tableColumn id="2454" xr3:uid="{A59CFA4C-14EF-40E8-BFE6-5D69F51751AD}" uniqueName="2454" name="Column2454" queryTableFieldId="2454"/>
    <tableColumn id="2455" xr3:uid="{26C4AF5A-BE06-4B23-870E-0E2A03F5EDB0}" uniqueName="2455" name="Column2455" queryTableFieldId="2455"/>
    <tableColumn id="2456" xr3:uid="{75E15E45-48CE-4BC2-8AE4-AE7CD01A641F}" uniqueName="2456" name="Column2456" queryTableFieldId="2456"/>
    <tableColumn id="2457" xr3:uid="{CD92EB84-28B5-4A4E-A0C8-A15CE6F130B7}" uniqueName="2457" name="Column2457" queryTableFieldId="2457"/>
    <tableColumn id="2458" xr3:uid="{FFE5B9F0-D895-467B-B87A-86D47BA7AD54}" uniqueName="2458" name="Column2458" queryTableFieldId="2458"/>
    <tableColumn id="2459" xr3:uid="{0363A7B7-6162-46AE-B346-0A0D68AF12D2}" uniqueName="2459" name="Column2459" queryTableFieldId="2459"/>
    <tableColumn id="2460" xr3:uid="{C396006E-7606-4263-A5E8-F165A6F60A7E}" uniqueName="2460" name="Column2460" queryTableFieldId="2460"/>
    <tableColumn id="2461" xr3:uid="{A45FD803-C92B-4F46-8248-C99E36784660}" uniqueName="2461" name="Column2461" queryTableFieldId="2461"/>
    <tableColumn id="2462" xr3:uid="{B6A7E0E1-CB5B-4E86-AAA6-C6DA8EA83338}" uniqueName="2462" name="Column2462" queryTableFieldId="2462"/>
    <tableColumn id="2463" xr3:uid="{E679E18E-8999-44E2-9ED7-6B24879CEA35}" uniqueName="2463" name="Column2463" queryTableFieldId="2463"/>
    <tableColumn id="2464" xr3:uid="{21C5E9FA-49A7-4DF9-A881-B808325711E9}" uniqueName="2464" name="Column2464" queryTableFieldId="2464"/>
    <tableColumn id="2465" xr3:uid="{D098BA25-DE5C-454F-80F0-E3DBFBD74129}" uniqueName="2465" name="Column2465" queryTableFieldId="2465"/>
    <tableColumn id="2466" xr3:uid="{015DBF63-B846-4499-B442-45FA5C94EE9D}" uniqueName="2466" name="Column2466" queryTableFieldId="2466"/>
    <tableColumn id="2467" xr3:uid="{E4DA02E0-4348-48ED-BDCC-5A426AD385DB}" uniqueName="2467" name="Column2467" queryTableFieldId="2467"/>
    <tableColumn id="2468" xr3:uid="{2A426899-02F6-418D-9FB3-1EE991872567}" uniqueName="2468" name="Column2468" queryTableFieldId="2468"/>
    <tableColumn id="2469" xr3:uid="{B20F17A6-8E30-44D0-BE68-A22E9547D3C6}" uniqueName="2469" name="Column2469" queryTableFieldId="2469"/>
    <tableColumn id="2470" xr3:uid="{FD768D98-2570-4465-8938-D052DB96E15D}" uniqueName="2470" name="Column2470" queryTableFieldId="2470"/>
    <tableColumn id="2471" xr3:uid="{3AA27B86-610E-4663-A5A9-3F1A7CE7195B}" uniqueName="2471" name="Column2471" queryTableFieldId="2471"/>
    <tableColumn id="2472" xr3:uid="{6152958A-D48D-4D08-943E-D1B39F7C2BCD}" uniqueName="2472" name="Column2472" queryTableFieldId="2472"/>
    <tableColumn id="2473" xr3:uid="{CAC481C3-A596-4933-9171-14E094319B9D}" uniqueName="2473" name="Column2473" queryTableFieldId="2473"/>
    <tableColumn id="2474" xr3:uid="{EB37DDD6-F1CA-4597-9BA5-D5FA0207D2DD}" uniqueName="2474" name="Column2474" queryTableFieldId="2474"/>
    <tableColumn id="2475" xr3:uid="{F2C05E13-E6C6-4E63-84CB-F8C82D7A8983}" uniqueName="2475" name="Column2475" queryTableFieldId="2475"/>
    <tableColumn id="2476" xr3:uid="{CD7EEC50-B8F4-4694-80DE-0C73FEE7F9F3}" uniqueName="2476" name="Column2476" queryTableFieldId="2476"/>
    <tableColumn id="2477" xr3:uid="{34151DC9-178A-471F-BFBF-6E9298B344D9}" uniqueName="2477" name="Column2477" queryTableFieldId="2477"/>
    <tableColumn id="2478" xr3:uid="{689DA596-65FA-4B0A-910C-5CB9B9E29540}" uniqueName="2478" name="Column2478" queryTableFieldId="2478"/>
    <tableColumn id="2479" xr3:uid="{10674018-4E93-44BE-B671-E10A0D0032E8}" uniqueName="2479" name="Column2479" queryTableFieldId="2479"/>
    <tableColumn id="2480" xr3:uid="{35AEB405-EBDE-459B-9A11-6F39D0EA03E6}" uniqueName="2480" name="Column2480" queryTableFieldId="2480"/>
    <tableColumn id="2481" xr3:uid="{BF0400FF-97F1-4245-B473-C743BDAAEE73}" uniqueName="2481" name="Column2481" queryTableFieldId="2481"/>
    <tableColumn id="2482" xr3:uid="{683E4A0C-DEA8-418B-86F2-335795C3014E}" uniqueName="2482" name="Column2482" queryTableFieldId="2482"/>
    <tableColumn id="2483" xr3:uid="{916FC1B7-5C55-40DC-8DAB-0B2F5A62915C}" uniqueName="2483" name="Column2483" queryTableFieldId="2483"/>
    <tableColumn id="2484" xr3:uid="{E6A800A6-87CF-4FF1-9CC1-D3D287AB2E7A}" uniqueName="2484" name="Column2484" queryTableFieldId="2484"/>
    <tableColumn id="2485" xr3:uid="{75F8234A-28EE-470C-B68B-7F9A0CF9C3C9}" uniqueName="2485" name="Column2485" queryTableFieldId="2485"/>
    <tableColumn id="2486" xr3:uid="{7342F6A6-9C74-4089-9228-65ABFF837EE5}" uniqueName="2486" name="Column2486" queryTableFieldId="2486"/>
    <tableColumn id="2487" xr3:uid="{619FA248-2C14-4169-8AD6-E912DC6DDDA8}" uniqueName="2487" name="Column2487" queryTableFieldId="2487"/>
    <tableColumn id="2488" xr3:uid="{8636DF97-FDB2-4CBA-87FC-FC1D70D3359F}" uniqueName="2488" name="Column2488" queryTableFieldId="2488"/>
    <tableColumn id="2489" xr3:uid="{BCD5B0EF-3548-4298-B74F-390BF61C5AA9}" uniqueName="2489" name="Column2489" queryTableFieldId="2489"/>
    <tableColumn id="2490" xr3:uid="{FA81F09E-AED9-4627-B5BD-F6F93DB7FEC3}" uniqueName="2490" name="Column2490" queryTableFieldId="2490"/>
    <tableColumn id="2491" xr3:uid="{EE859E0D-4692-4771-B52C-2A7DC0155786}" uniqueName="2491" name="Column2491" queryTableFieldId="2491"/>
    <tableColumn id="2492" xr3:uid="{9B9D0EA5-CF5E-4E78-98F5-6C249A1BA752}" uniqueName="2492" name="Column2492" queryTableFieldId="2492"/>
    <tableColumn id="2493" xr3:uid="{5E49B658-86A7-48F1-A213-5F10B7266938}" uniqueName="2493" name="Column2493" queryTableFieldId="2493"/>
    <tableColumn id="2494" xr3:uid="{4BF6CA3D-1580-4695-A08A-F6FEEC28E658}" uniqueName="2494" name="Column2494" queryTableFieldId="2494"/>
    <tableColumn id="2495" xr3:uid="{5017A418-219E-42D8-9123-7ABE9E4C5067}" uniqueName="2495" name="Column2495" queryTableFieldId="2495"/>
    <tableColumn id="2496" xr3:uid="{BA87F1B3-EFDB-4E1E-BF34-7E065D3E1F40}" uniqueName="2496" name="Column2496" queryTableFieldId="2496"/>
    <tableColumn id="2497" xr3:uid="{305D93BA-BBB0-46F4-ACF2-6BF456970159}" uniqueName="2497" name="Column2497" queryTableFieldId="2497"/>
    <tableColumn id="2498" xr3:uid="{588EF86B-7D13-456A-90FC-5B09887F16A3}" uniqueName="2498" name="Column2498" queryTableFieldId="2498"/>
    <tableColumn id="2499" xr3:uid="{12E37ED8-E68F-45E6-BE83-FA2643929B14}" uniqueName="2499" name="Column2499" queryTableFieldId="2499"/>
    <tableColumn id="2500" xr3:uid="{827ABE39-D641-4527-9DD7-C6AE8B316AF9}" uniqueName="2500" name="Column2500" queryTableFieldId="2500"/>
    <tableColumn id="2501" xr3:uid="{737E237E-1F0E-414B-B1EA-A4D457F44539}" uniqueName="2501" name="Column2501" queryTableFieldId="2501"/>
    <tableColumn id="2502" xr3:uid="{D44AA328-ED7E-4A4A-9369-3FC06781C96A}" uniqueName="2502" name="Column2502" queryTableFieldId="2502"/>
    <tableColumn id="2503" xr3:uid="{EDEAED83-2EED-4CCB-8935-7933604D7662}" uniqueName="2503" name="Column2503" queryTableFieldId="2503"/>
    <tableColumn id="2504" xr3:uid="{EE383F60-BC34-4894-953C-1749E937548C}" uniqueName="2504" name="Column2504" queryTableFieldId="2504"/>
    <tableColumn id="2505" xr3:uid="{6856D68A-11C0-4941-951A-4502E51A147C}" uniqueName="2505" name="Column2505" queryTableFieldId="2505"/>
    <tableColumn id="2506" xr3:uid="{F9ACB41E-3A7A-4674-B878-434B4D3341BB}" uniqueName="2506" name="Column2506" queryTableFieldId="2506"/>
    <tableColumn id="2507" xr3:uid="{D9B60BF3-A81B-450F-A0BB-3D71509D54A9}" uniqueName="2507" name="Column2507" queryTableFieldId="2507"/>
    <tableColumn id="2508" xr3:uid="{DEAB580D-520F-4347-AA08-89E8CA9D6700}" uniqueName="2508" name="Column2508" queryTableFieldId="2508"/>
    <tableColumn id="2509" xr3:uid="{60FCCEA4-74C2-47FF-93E3-79758427ED61}" uniqueName="2509" name="Column2509" queryTableFieldId="2509"/>
    <tableColumn id="2510" xr3:uid="{1F775651-5C1A-4C8A-9DB6-94764267CC87}" uniqueName="2510" name="Column2510" queryTableFieldId="2510"/>
    <tableColumn id="2511" xr3:uid="{AC986BF8-0043-4800-B7CC-68087C84D606}" uniqueName="2511" name="Column2511" queryTableFieldId="2511"/>
    <tableColumn id="2512" xr3:uid="{B8819467-539F-4706-8245-EC5ADA53764F}" uniqueName="2512" name="Column2512" queryTableFieldId="2512"/>
    <tableColumn id="2513" xr3:uid="{3EABB184-79DC-4E64-A95B-F7A3A4E2F350}" uniqueName="2513" name="Column2513" queryTableFieldId="2513"/>
    <tableColumn id="2514" xr3:uid="{C06BDE0E-30DE-4E4B-B966-1E0B06BFEBD2}" uniqueName="2514" name="Column2514" queryTableFieldId="2514"/>
    <tableColumn id="2515" xr3:uid="{48AE34EB-3F46-4901-BF8D-3F7CCB472951}" uniqueName="2515" name="Column2515" queryTableFieldId="2515"/>
    <tableColumn id="2516" xr3:uid="{52E631EF-CB23-4A87-ADD6-DEDCECC9670D}" uniqueName="2516" name="Column2516" queryTableFieldId="2516"/>
    <tableColumn id="2517" xr3:uid="{44CC8E86-2BE9-4434-BF6F-034A7B0A5A43}" uniqueName="2517" name="Column2517" queryTableFieldId="2517"/>
    <tableColumn id="2518" xr3:uid="{3D1C6F65-9DE5-4F7B-8C06-BA551383C0E4}" uniqueName="2518" name="Column2518" queryTableFieldId="2518"/>
    <tableColumn id="2519" xr3:uid="{3E20B577-C86C-4102-9B74-AED38B9FC57A}" uniqueName="2519" name="Column2519" queryTableFieldId="2519"/>
    <tableColumn id="2520" xr3:uid="{A388F9C5-969B-4885-90AF-B3D4F35BB39D}" uniqueName="2520" name="Column2520" queryTableFieldId="2520"/>
    <tableColumn id="2521" xr3:uid="{2304EAC8-3982-433A-B960-0D04606F397A}" uniqueName="2521" name="Column2521" queryTableFieldId="2521"/>
    <tableColumn id="2522" xr3:uid="{D0B9C7D6-86AB-4D55-9E36-BE66E0751E32}" uniqueName="2522" name="Column2522" queryTableFieldId="2522"/>
    <tableColumn id="2523" xr3:uid="{1ECD468A-CE8D-409D-82B2-B41A304499A7}" uniqueName="2523" name="Column2523" queryTableFieldId="2523"/>
    <tableColumn id="2524" xr3:uid="{B9B67068-FF60-4641-AB61-EE52581AA480}" uniqueName="2524" name="Column2524" queryTableFieldId="2524"/>
    <tableColumn id="2525" xr3:uid="{6F0684CB-2937-4E63-B9A2-39F507EF7363}" uniqueName="2525" name="Column2525" queryTableFieldId="2525"/>
    <tableColumn id="2526" xr3:uid="{D029F020-C965-4CB9-B4BA-46DEA200EC8B}" uniqueName="2526" name="Column2526" queryTableFieldId="2526"/>
    <tableColumn id="2527" xr3:uid="{1FE5795F-4B85-47A9-BEDA-DE5A29C905F6}" uniqueName="2527" name="Column2527" queryTableFieldId="2527"/>
    <tableColumn id="2528" xr3:uid="{00A47898-B768-4DE2-8990-9960B98128A1}" uniqueName="2528" name="Column2528" queryTableFieldId="2528"/>
    <tableColumn id="2529" xr3:uid="{E19818D4-4BDD-401D-830C-396AC7771E51}" uniqueName="2529" name="Column2529" queryTableFieldId="2529"/>
    <tableColumn id="2530" xr3:uid="{73FA26DB-B688-4796-B171-9017F4F59B15}" uniqueName="2530" name="Column2530" queryTableFieldId="2530"/>
    <tableColumn id="2531" xr3:uid="{31B84406-756D-472F-B422-0194D9CB589C}" uniqueName="2531" name="Column2531" queryTableFieldId="2531"/>
    <tableColumn id="2532" xr3:uid="{4E5AA58A-9D2C-410F-B1EA-D2B42C5879EC}" uniqueName="2532" name="Column2532" queryTableFieldId="2532"/>
    <tableColumn id="2533" xr3:uid="{278D3A8A-9EDC-454C-AE57-BC82DA176C69}" uniqueName="2533" name="Column2533" queryTableFieldId="2533"/>
    <tableColumn id="2534" xr3:uid="{A41A5841-C04B-4F78-8138-311D594A0563}" uniqueName="2534" name="Column2534" queryTableFieldId="2534"/>
    <tableColumn id="2535" xr3:uid="{F6DAED48-7D9D-40A7-B28F-9CDDC89D273D}" uniqueName="2535" name="Column2535" queryTableFieldId="2535"/>
    <tableColumn id="2536" xr3:uid="{D7A81B5B-2568-4011-AF97-E64567F03D50}" uniqueName="2536" name="Column2536" queryTableFieldId="2536"/>
    <tableColumn id="2537" xr3:uid="{C2F92FBF-6F06-4A18-857B-70F9B4FD2F9C}" uniqueName="2537" name="Column2537" queryTableFieldId="2537"/>
    <tableColumn id="2538" xr3:uid="{A5FFD82B-0364-4592-B813-0F64FC60B1E8}" uniqueName="2538" name="Column2538" queryTableFieldId="2538"/>
    <tableColumn id="2539" xr3:uid="{FE5F96D4-A536-41CC-B9AB-3694E8B42D6D}" uniqueName="2539" name="Column2539" queryTableFieldId="2539"/>
    <tableColumn id="2540" xr3:uid="{2542114A-CD1C-46FF-B841-5967E66B7460}" uniqueName="2540" name="Column2540" queryTableFieldId="2540"/>
    <tableColumn id="2541" xr3:uid="{0F285C4D-249F-48A6-B1BE-0DCDF9A1C2BF}" uniqueName="2541" name="Column2541" queryTableFieldId="2541"/>
    <tableColumn id="2542" xr3:uid="{C1BAA822-DD2A-477D-B71C-593E592F663E}" uniqueName="2542" name="Column2542" queryTableFieldId="2542"/>
    <tableColumn id="2543" xr3:uid="{02CAE8B5-6FE8-4D36-BFD1-6744B97DF2B0}" uniqueName="2543" name="Column2543" queryTableFieldId="2543"/>
    <tableColumn id="2544" xr3:uid="{DE15CBD7-DE7E-424B-B242-EA475C1D3AE6}" uniqueName="2544" name="Column2544" queryTableFieldId="2544"/>
    <tableColumn id="2545" xr3:uid="{24172901-EA80-40BC-9FD3-DC65CC36C32B}" uniqueName="2545" name="Column2545" queryTableFieldId="2545"/>
    <tableColumn id="2546" xr3:uid="{B80D5B96-7508-409F-BE54-EA99C198367F}" uniqueName="2546" name="Column2546" queryTableFieldId="2546"/>
    <tableColumn id="2547" xr3:uid="{B9784CAC-BC14-492B-8F52-A463FD493705}" uniqueName="2547" name="Column2547" queryTableFieldId="2547"/>
    <tableColumn id="2548" xr3:uid="{2725B57B-D4E8-41AF-B7BC-E6008AD735DE}" uniqueName="2548" name="Column2548" queryTableFieldId="2548"/>
    <tableColumn id="2549" xr3:uid="{8DDA982B-87FB-4CDB-9BB2-B9FCA87B3F29}" uniqueName="2549" name="Column2549" queryTableFieldId="2549"/>
    <tableColumn id="2550" xr3:uid="{3B4196C4-F3A1-4790-A049-D298BB6C8416}" uniqueName="2550" name="Column2550" queryTableFieldId="2550"/>
    <tableColumn id="2551" xr3:uid="{18CC7CE0-A54C-4639-B331-F75378657261}" uniqueName="2551" name="Column2551" queryTableFieldId="2551"/>
    <tableColumn id="2552" xr3:uid="{49B60B35-77AA-42F5-B89C-F9D2AB9518FB}" uniqueName="2552" name="Column2552" queryTableFieldId="2552"/>
    <tableColumn id="2553" xr3:uid="{16C42400-C3D3-4D43-AD31-D1A3D8FEBC7A}" uniqueName="2553" name="Column2553" queryTableFieldId="2553"/>
    <tableColumn id="2554" xr3:uid="{80EFB5E0-A6EE-43D2-85F3-5EBEAEF27B24}" uniqueName="2554" name="Column2554" queryTableFieldId="2554"/>
    <tableColumn id="2555" xr3:uid="{58CEAA4C-5740-4AAD-86AD-055DB476D4CF}" uniqueName="2555" name="Column2555" queryTableFieldId="2555"/>
    <tableColumn id="2556" xr3:uid="{6FD24BC5-9572-4806-9031-D1768EE1F274}" uniqueName="2556" name="Column2556" queryTableFieldId="2556"/>
    <tableColumn id="2557" xr3:uid="{3FB59067-699E-4B0C-AA57-AF951C935584}" uniqueName="2557" name="Column2557" queryTableFieldId="2557"/>
    <tableColumn id="2558" xr3:uid="{7F5A8BE9-47BB-44C8-9F4B-A4EE808F32F1}" uniqueName="2558" name="Column2558" queryTableFieldId="2558"/>
    <tableColumn id="2559" xr3:uid="{514693C0-BC46-4BFE-86BE-80040F64DD3A}" uniqueName="2559" name="Column2559" queryTableFieldId="2559"/>
    <tableColumn id="2560" xr3:uid="{9172885E-A5EC-4D0A-BD7C-D68CE3E3D820}" uniqueName="2560" name="Column2560" queryTableFieldId="2560"/>
    <tableColumn id="2561" xr3:uid="{61569219-A3A3-4978-9A3E-41E1D49A97BA}" uniqueName="2561" name="Column2561" queryTableFieldId="2561"/>
    <tableColumn id="2562" xr3:uid="{0AD20FD8-FCFD-4C4E-9351-CB8D58BCF6CB}" uniqueName="2562" name="Column2562" queryTableFieldId="2562"/>
    <tableColumn id="2563" xr3:uid="{26957107-A0BC-46AB-A203-54CBDE26F558}" uniqueName="2563" name="Column2563" queryTableFieldId="2563"/>
    <tableColumn id="2564" xr3:uid="{9710A149-D3C5-42D5-BF4F-9740A248CFEF}" uniqueName="2564" name="Column2564" queryTableFieldId="2564"/>
    <tableColumn id="2565" xr3:uid="{4080DFF6-4C00-48B4-B565-E511438EE0BF}" uniqueName="2565" name="Column2565" queryTableFieldId="2565"/>
    <tableColumn id="2566" xr3:uid="{1E644E0A-58CB-481A-847E-1457C8778029}" uniqueName="2566" name="Column2566" queryTableFieldId="2566"/>
    <tableColumn id="2567" xr3:uid="{B77F4528-3BEB-4E44-BD5D-EDF2A0467A17}" uniqueName="2567" name="Column2567" queryTableFieldId="2567"/>
    <tableColumn id="2568" xr3:uid="{97793271-DE45-44D6-B15D-73D468CEB0B2}" uniqueName="2568" name="Column2568" queryTableFieldId="2568"/>
    <tableColumn id="2569" xr3:uid="{351E52CB-E3F8-49D9-BEFE-19F45C3EF70E}" uniqueName="2569" name="Column2569" queryTableFieldId="2569"/>
    <tableColumn id="2570" xr3:uid="{B730C637-02BD-4A92-931A-BF4CA9646492}" uniqueName="2570" name="Column2570" queryTableFieldId="2570"/>
    <tableColumn id="2571" xr3:uid="{86FFC098-2811-4C1E-A3D5-0430CD87E9DA}" uniqueName="2571" name="Column2571" queryTableFieldId="2571"/>
    <tableColumn id="2572" xr3:uid="{AFE82329-CD0A-4BC3-BFC6-698AF166632E}" uniqueName="2572" name="Column2572" queryTableFieldId="2572"/>
    <tableColumn id="2573" xr3:uid="{DAB1CD41-08FF-4CBA-BCB7-AAADECF90C71}" uniqueName="2573" name="Column2573" queryTableFieldId="2573"/>
    <tableColumn id="2574" xr3:uid="{7D6E0A8D-8C8B-4626-A057-CB8E37F6D0B8}" uniqueName="2574" name="Column2574" queryTableFieldId="2574"/>
    <tableColumn id="2575" xr3:uid="{A849AB39-23C2-4AC2-A652-B1D7203A8DBC}" uniqueName="2575" name="Column2575" queryTableFieldId="2575"/>
    <tableColumn id="2576" xr3:uid="{F9AE64F9-06E9-4CD7-AE61-6B71BE4C334C}" uniqueName="2576" name="Column2576" queryTableFieldId="2576"/>
    <tableColumn id="2577" xr3:uid="{8170BB5F-E312-4230-80CB-7A6A10619165}" uniqueName="2577" name="Column2577" queryTableFieldId="2577"/>
    <tableColumn id="2578" xr3:uid="{82B6A16E-1FA3-435D-BAFD-3EE6AD54192A}" uniqueName="2578" name="Column2578" queryTableFieldId="2578"/>
    <tableColumn id="2579" xr3:uid="{F6FD5F63-EC71-4E51-831A-8B1A9349FFEA}" uniqueName="2579" name="Column2579" queryTableFieldId="2579"/>
    <tableColumn id="2580" xr3:uid="{903C0531-EAB6-4668-A22F-56F95D6A4E8D}" uniqueName="2580" name="Column2580" queryTableFieldId="2580"/>
    <tableColumn id="2581" xr3:uid="{C66BD2F5-A63E-4FC5-A735-751EBBCFC5D9}" uniqueName="2581" name="Column2581" queryTableFieldId="2581"/>
    <tableColumn id="2582" xr3:uid="{38A00950-70AB-47F8-8DBD-65017944FE22}" uniqueName="2582" name="Column2582" queryTableFieldId="2582"/>
    <tableColumn id="2583" xr3:uid="{FE20F8DE-E6E1-4FA8-B95D-4515E456B9A4}" uniqueName="2583" name="Column2583" queryTableFieldId="2583"/>
    <tableColumn id="2584" xr3:uid="{0C31F79F-A2F1-4766-B5C9-4EE41B51ED40}" uniqueName="2584" name="Column2584" queryTableFieldId="2584"/>
    <tableColumn id="2585" xr3:uid="{B27B998B-2E2A-415D-A7D4-D62A81D7DD1A}" uniqueName="2585" name="Column2585" queryTableFieldId="2585"/>
    <tableColumn id="2586" xr3:uid="{216A0A07-894A-4B25-94C1-68C4BED5DC0D}" uniqueName="2586" name="Column2586" queryTableFieldId="2586"/>
    <tableColumn id="2587" xr3:uid="{2255F7BF-106F-40AB-A05A-C51131155CE7}" uniqueName="2587" name="Column2587" queryTableFieldId="2587"/>
    <tableColumn id="2588" xr3:uid="{6E7EE53F-624B-4A41-A13D-D044F6C87CE1}" uniqueName="2588" name="Column2588" queryTableFieldId="2588"/>
    <tableColumn id="2589" xr3:uid="{DC24C214-9A58-4B9F-9B27-88CA8431799E}" uniqueName="2589" name="Column2589" queryTableFieldId="2589"/>
    <tableColumn id="2590" xr3:uid="{DA17C89F-0B87-4D36-A55B-9FC39016F828}" uniqueName="2590" name="Column2590" queryTableFieldId="2590"/>
    <tableColumn id="2591" xr3:uid="{49CB375A-D27C-4863-8CE8-F091A96E5D15}" uniqueName="2591" name="Column2591" queryTableFieldId="2591"/>
    <tableColumn id="2592" xr3:uid="{02B6A464-75CE-4B25-B36C-85ED836C7D11}" uniqueName="2592" name="Column2592" queryTableFieldId="2592"/>
    <tableColumn id="2593" xr3:uid="{72E16753-6B50-40BE-96B9-2D2A234AEE3A}" uniqueName="2593" name="Column2593" queryTableFieldId="2593"/>
    <tableColumn id="2594" xr3:uid="{1176BA5A-7163-4DBF-AE1E-9C0F2A07A163}" uniqueName="2594" name="Column2594" queryTableFieldId="2594"/>
    <tableColumn id="2595" xr3:uid="{0984B85A-319C-4AED-9229-937C9519FDB2}" uniqueName="2595" name="Column2595" queryTableFieldId="2595"/>
    <tableColumn id="2596" xr3:uid="{C6DB07D8-BF2D-4DBC-9696-3956EC79DDAD}" uniqueName="2596" name="Column2596" queryTableFieldId="2596"/>
    <tableColumn id="2597" xr3:uid="{45CE4079-803A-40CB-B986-BE2D7C55B286}" uniqueName="2597" name="Column2597" queryTableFieldId="2597"/>
    <tableColumn id="2598" xr3:uid="{4A5C28CA-79A4-4CDC-888C-DEBA09104F12}" uniqueName="2598" name="Column2598" queryTableFieldId="2598"/>
    <tableColumn id="2599" xr3:uid="{79324D72-E362-4E5E-A498-F1B5592F19B9}" uniqueName="2599" name="Column2599" queryTableFieldId="2599"/>
    <tableColumn id="2600" xr3:uid="{8598A056-FD5F-476D-B9C1-E7E34C3D7ED9}" uniqueName="2600" name="Column2600" queryTableFieldId="2600"/>
    <tableColumn id="2601" xr3:uid="{ABDEC4E5-913B-43BD-84C1-5412197DA554}" uniqueName="2601" name="Column2601" queryTableFieldId="2601"/>
    <tableColumn id="2602" xr3:uid="{5004390D-8CD5-4A36-AF29-C7F61914F46F}" uniqueName="2602" name="Column2602" queryTableFieldId="2602"/>
    <tableColumn id="2603" xr3:uid="{C76EAEEA-4CDD-44CF-9870-72C2E5C13CA7}" uniqueName="2603" name="Column2603" queryTableFieldId="2603"/>
    <tableColumn id="2604" xr3:uid="{E1B070F2-DFB2-4EEC-8566-AC7DFD393B56}" uniqueName="2604" name="Column2604" queryTableFieldId="2604"/>
    <tableColumn id="2605" xr3:uid="{7F3243E1-62A0-4743-B2E7-D2B945D888BB}" uniqueName="2605" name="Column2605" queryTableFieldId="2605"/>
    <tableColumn id="2606" xr3:uid="{446DE7E0-181F-4460-8AE0-C7C4A5954A7D}" uniqueName="2606" name="Column2606" queryTableFieldId="2606"/>
    <tableColumn id="2607" xr3:uid="{9C2D978B-F076-4AA5-B984-A457D65F9F4F}" uniqueName="2607" name="Column2607" queryTableFieldId="2607"/>
    <tableColumn id="2608" xr3:uid="{807CA19B-001F-45ED-BD98-FD2132A3494F}" uniqueName="2608" name="Column2608" queryTableFieldId="2608"/>
    <tableColumn id="2609" xr3:uid="{4E819390-FC73-4BEA-B490-FF3DE02FA730}" uniqueName="2609" name="Column2609" queryTableFieldId="2609"/>
    <tableColumn id="2610" xr3:uid="{F1E85C0D-8DF6-433F-92BA-C17BC75AF2AE}" uniqueName="2610" name="Column2610" queryTableFieldId="2610"/>
    <tableColumn id="2611" xr3:uid="{734A171C-02D5-40E0-928A-1ECD62809010}" uniqueName="2611" name="Column2611" queryTableFieldId="2611"/>
    <tableColumn id="2612" xr3:uid="{FEEAD709-13BF-4AD0-A8D2-D7399F3A131D}" uniqueName="2612" name="Column2612" queryTableFieldId="2612"/>
    <tableColumn id="2613" xr3:uid="{A1D8B999-06AB-4863-8F50-92DA0ABB93F7}" uniqueName="2613" name="Column2613" queryTableFieldId="2613"/>
    <tableColumn id="2614" xr3:uid="{17D38BF5-426E-4C14-A9BE-F34B4B567751}" uniqueName="2614" name="Column2614" queryTableFieldId="2614"/>
    <tableColumn id="2615" xr3:uid="{D9F6B858-937F-4A54-8F82-8FF863F02062}" uniqueName="2615" name="Column2615" queryTableFieldId="2615"/>
    <tableColumn id="2616" xr3:uid="{7AAE197A-542D-4E53-AAD5-8A5F02946637}" uniqueName="2616" name="Column2616" queryTableFieldId="2616"/>
    <tableColumn id="2617" xr3:uid="{72D6C7AC-9C50-4D10-961B-06379DB905E5}" uniqueName="2617" name="Column2617" queryTableFieldId="2617"/>
    <tableColumn id="2618" xr3:uid="{BAC33D10-D57F-4A85-B23F-D6222ECC48E4}" uniqueName="2618" name="Column2618" queryTableFieldId="2618"/>
    <tableColumn id="2619" xr3:uid="{5E2CF411-8E12-431F-82B0-35DA32EE291C}" uniqueName="2619" name="Column2619" queryTableFieldId="2619"/>
    <tableColumn id="2620" xr3:uid="{BF59266A-B2F0-4544-81CB-173BC78AC518}" uniqueName="2620" name="Column2620" queryTableFieldId="2620"/>
    <tableColumn id="2621" xr3:uid="{F90351BB-A22E-43D7-BE0A-01E6F908B8D6}" uniqueName="2621" name="Column2621" queryTableFieldId="2621"/>
    <tableColumn id="2622" xr3:uid="{FAC8B117-8EFA-4793-83C7-864DDF8498BE}" uniqueName="2622" name="Column2622" queryTableFieldId="2622"/>
    <tableColumn id="2623" xr3:uid="{8C6E69F0-EDB2-4017-8C39-854EAC7CEF70}" uniqueName="2623" name="Column2623" queryTableFieldId="2623"/>
    <tableColumn id="2624" xr3:uid="{F31099F0-201E-4AA3-80FA-095FE2EDB40E}" uniqueName="2624" name="Column2624" queryTableFieldId="2624"/>
    <tableColumn id="2625" xr3:uid="{482B1F20-CB37-48B1-9E86-155E711D8774}" uniqueName="2625" name="Column2625" queryTableFieldId="2625"/>
    <tableColumn id="2626" xr3:uid="{1541CFBE-BC9E-4364-A69B-1FEFAB39E288}" uniqueName="2626" name="Column2626" queryTableFieldId="2626"/>
    <tableColumn id="2627" xr3:uid="{7BF9BE0C-30A7-4ACC-B213-DF22C70F6FB1}" uniqueName="2627" name="Column2627" queryTableFieldId="2627"/>
    <tableColumn id="2628" xr3:uid="{1651701A-B414-4FD8-9B44-BE692F5F62C5}" uniqueName="2628" name="Column2628" queryTableFieldId="2628"/>
    <tableColumn id="2629" xr3:uid="{CA968E20-C901-4048-8041-6EDD79FD88C7}" uniqueName="2629" name="Column2629" queryTableFieldId="2629"/>
    <tableColumn id="2630" xr3:uid="{6BF17433-AE39-4C25-8C15-B3D087094FD5}" uniqueName="2630" name="Column2630" queryTableFieldId="2630"/>
    <tableColumn id="2631" xr3:uid="{F840D240-AD77-4AD0-B097-511F1FECB920}" uniqueName="2631" name="Column2631" queryTableFieldId="2631"/>
    <tableColumn id="2632" xr3:uid="{A3AAF451-4990-4256-82AC-6F043016E95D}" uniqueName="2632" name="Column2632" queryTableFieldId="2632"/>
    <tableColumn id="2633" xr3:uid="{A72F7147-2E61-4B38-AC61-0F05A525C435}" uniqueName="2633" name="Column2633" queryTableFieldId="2633"/>
    <tableColumn id="2634" xr3:uid="{81455580-B38D-403E-8084-623B8E43F99F}" uniqueName="2634" name="Column2634" queryTableFieldId="2634"/>
    <tableColumn id="2635" xr3:uid="{89D54A9C-985E-453C-A405-FE9140C3F029}" uniqueName="2635" name="Column2635" queryTableFieldId="2635"/>
    <tableColumn id="2636" xr3:uid="{6316AB4B-98D6-4E23-AB84-A6E258FCDC4A}" uniqueName="2636" name="Column2636" queryTableFieldId="2636"/>
    <tableColumn id="2637" xr3:uid="{AECBFA51-AB4C-4188-9077-FCB23405F927}" uniqueName="2637" name="Column2637" queryTableFieldId="2637"/>
    <tableColumn id="2638" xr3:uid="{7F98F72B-4BBA-404A-ADC4-878C212100D5}" uniqueName="2638" name="Column2638" queryTableFieldId="2638"/>
    <tableColumn id="2639" xr3:uid="{93157311-5A91-4CAA-A2E9-A5B5CBFD5227}" uniqueName="2639" name="Column2639" queryTableFieldId="2639"/>
    <tableColumn id="2640" xr3:uid="{FBE3FB57-1041-4FEF-8BA0-4FAC81772A8A}" uniqueName="2640" name="Column2640" queryTableFieldId="2640"/>
    <tableColumn id="2641" xr3:uid="{9EE55351-CF65-4BFE-9FBC-E419553B4642}" uniqueName="2641" name="Column2641" queryTableFieldId="2641"/>
    <tableColumn id="2642" xr3:uid="{CC377BA6-8C56-4FBD-AE3E-E489A2CB47CF}" uniqueName="2642" name="Column2642" queryTableFieldId="2642"/>
    <tableColumn id="2643" xr3:uid="{604BAED4-5541-41B6-84D9-2E180F8E8127}" uniqueName="2643" name="Column2643" queryTableFieldId="2643"/>
    <tableColumn id="2644" xr3:uid="{90F277BF-CC79-4600-AE2F-C966E74C04BD}" uniqueName="2644" name="Column2644" queryTableFieldId="2644"/>
    <tableColumn id="2645" xr3:uid="{100875B8-62EA-424F-8369-73CE6D34FA12}" uniqueName="2645" name="Column2645" queryTableFieldId="2645"/>
    <tableColumn id="2646" xr3:uid="{68DA26E6-298C-496A-9588-BFA8B1A50666}" uniqueName="2646" name="Column2646" queryTableFieldId="2646"/>
    <tableColumn id="2647" xr3:uid="{BFA76D7D-9F63-428F-81C6-97BE03D016E5}" uniqueName="2647" name="Column2647" queryTableFieldId="2647"/>
    <tableColumn id="2648" xr3:uid="{66EDD2F0-9266-4F83-823C-82326D5F8408}" uniqueName="2648" name="Column2648" queryTableFieldId="2648"/>
    <tableColumn id="2649" xr3:uid="{67878065-532C-4D45-9C7A-6AEF3C2F742A}" uniqueName="2649" name="Column2649" queryTableFieldId="2649"/>
    <tableColumn id="2650" xr3:uid="{48183F21-9708-4094-AD2E-4B70EAC09EF2}" uniqueName="2650" name="Column2650" queryTableFieldId="2650"/>
    <tableColumn id="2651" xr3:uid="{D661D84B-173C-40EE-B69A-0DA335877B27}" uniqueName="2651" name="Column2651" queryTableFieldId="2651"/>
    <tableColumn id="2652" xr3:uid="{9608CA0B-2BC5-4DA4-9159-FDB9D91EC101}" uniqueName="2652" name="Column2652" queryTableFieldId="2652"/>
    <tableColumn id="2653" xr3:uid="{4B86590C-A2EE-4206-9C56-E34943F03967}" uniqueName="2653" name="Column2653" queryTableFieldId="2653"/>
    <tableColumn id="2654" xr3:uid="{73786C4E-92F5-4097-80AE-09101F3196BD}" uniqueName="2654" name="Column2654" queryTableFieldId="2654"/>
    <tableColumn id="2655" xr3:uid="{5D4F5C3C-48AA-410F-B127-08986C5C2A91}" uniqueName="2655" name="Column2655" queryTableFieldId="2655"/>
    <tableColumn id="2656" xr3:uid="{28932491-C7F8-43F0-B11C-4072E9F732C1}" uniqueName="2656" name="Column2656" queryTableFieldId="2656"/>
    <tableColumn id="2657" xr3:uid="{BEAEBF96-BA09-4988-ADB4-71E5E5F6C9E1}" uniqueName="2657" name="Column2657" queryTableFieldId="2657"/>
    <tableColumn id="2658" xr3:uid="{6F4411CE-E571-4505-9C27-EBE78564CDBC}" uniqueName="2658" name="Column2658" queryTableFieldId="2658"/>
    <tableColumn id="2659" xr3:uid="{991E6472-641D-4328-8DD2-962AA71F639B}" uniqueName="2659" name="Column2659" queryTableFieldId="2659"/>
    <tableColumn id="2660" xr3:uid="{2C678954-3CF6-4029-BBB1-4BA5471CC787}" uniqueName="2660" name="Column2660" queryTableFieldId="2660"/>
    <tableColumn id="2661" xr3:uid="{73350601-0AF1-458A-942D-39AD4BCDD57C}" uniqueName="2661" name="Column2661" queryTableFieldId="2661"/>
    <tableColumn id="2662" xr3:uid="{1629BBE8-DE1C-491E-9212-48A4BCCD811F}" uniqueName="2662" name="Column2662" queryTableFieldId="2662"/>
    <tableColumn id="2663" xr3:uid="{87B8A691-89EB-4CDA-AE6D-9D6BE4152BF1}" uniqueName="2663" name="Column2663" queryTableFieldId="2663"/>
    <tableColumn id="2664" xr3:uid="{C6354E3B-A81B-4964-A036-A7772D2BD27B}" uniqueName="2664" name="Column2664" queryTableFieldId="2664"/>
    <tableColumn id="2665" xr3:uid="{935F065A-0B4E-43FF-8E70-D6210016166E}" uniqueName="2665" name="Column2665" queryTableFieldId="2665"/>
    <tableColumn id="2666" xr3:uid="{1A992692-FAD7-4569-BB7E-CFA235D5A4A3}" uniqueName="2666" name="Column2666" queryTableFieldId="2666"/>
    <tableColumn id="2667" xr3:uid="{1532D149-A12D-4EEA-82A2-DD1DEA797A3E}" uniqueName="2667" name="Column2667" queryTableFieldId="2667"/>
    <tableColumn id="2668" xr3:uid="{6B555508-C8CC-4DB6-93E8-86363A0001D8}" uniqueName="2668" name="Column2668" queryTableFieldId="2668"/>
    <tableColumn id="2669" xr3:uid="{F765CA56-D928-47CC-879D-26498C5B88C5}" uniqueName="2669" name="Column2669" queryTableFieldId="2669"/>
    <tableColumn id="2670" xr3:uid="{CBBDAA6F-9B97-481C-AA9C-DD9A8A7F70B0}" uniqueName="2670" name="Column2670" queryTableFieldId="2670"/>
    <tableColumn id="2671" xr3:uid="{43D417A0-C125-4541-A011-B4151C71B502}" uniqueName="2671" name="Column2671" queryTableFieldId="2671"/>
    <tableColumn id="2672" xr3:uid="{9037D614-0872-496D-ADFD-0816E6D8DEB4}" uniqueName="2672" name="Column2672" queryTableFieldId="2672"/>
    <tableColumn id="2673" xr3:uid="{BE55261C-CEA9-47FD-B639-7F5A7A0ABC20}" uniqueName="2673" name="Column2673" queryTableFieldId="2673"/>
    <tableColumn id="2674" xr3:uid="{CF2E7132-23A9-4D69-A410-CDA74EAD8C1E}" uniqueName="2674" name="Column2674" queryTableFieldId="2674"/>
    <tableColumn id="2675" xr3:uid="{0738F322-1649-40CA-B844-D427B18688C2}" uniqueName="2675" name="Column2675" queryTableFieldId="2675"/>
    <tableColumn id="2676" xr3:uid="{D22406FF-CF13-44BA-8B81-5185A628CD61}" uniqueName="2676" name="Column2676" queryTableFieldId="2676"/>
    <tableColumn id="2677" xr3:uid="{2042CDF2-92E4-4729-AD74-813ABC99B78B}" uniqueName="2677" name="Column2677" queryTableFieldId="2677"/>
    <tableColumn id="2678" xr3:uid="{D7ED7ED7-BF2F-4E7A-BD1E-1ABF93825ECF}" uniqueName="2678" name="Column2678" queryTableFieldId="2678"/>
    <tableColumn id="2679" xr3:uid="{3C763110-960C-47CA-B29D-BF21CE179F82}" uniqueName="2679" name="Column2679" queryTableFieldId="2679"/>
    <tableColumn id="2680" xr3:uid="{0C112533-0529-40FC-9113-BD3C72E091C1}" uniqueName="2680" name="Column2680" queryTableFieldId="2680"/>
    <tableColumn id="2681" xr3:uid="{23B60954-1215-48A3-955A-497554A23751}" uniqueName="2681" name="Column2681" queryTableFieldId="2681"/>
    <tableColumn id="2682" xr3:uid="{F99BC267-B3FF-43A6-8B32-1D068B0C9641}" uniqueName="2682" name="Column2682" queryTableFieldId="2682"/>
    <tableColumn id="2683" xr3:uid="{F1300EB9-82A4-4FF6-8ED3-67A2DA7AD74E}" uniqueName="2683" name="Column2683" queryTableFieldId="2683"/>
    <tableColumn id="2684" xr3:uid="{FA582007-6F03-4B8C-B0E6-95650F4F0F0B}" uniqueName="2684" name="Column2684" queryTableFieldId="2684"/>
    <tableColumn id="2685" xr3:uid="{F5C5DC85-8AF8-4F07-AE6F-8A1F90F69BAD}" uniqueName="2685" name="Column2685" queryTableFieldId="2685"/>
    <tableColumn id="2686" xr3:uid="{AED85151-2B6A-4DA4-AB6E-F18471B5F8E0}" uniqueName="2686" name="Column2686" queryTableFieldId="2686"/>
    <tableColumn id="2687" xr3:uid="{6737DF15-2858-455A-A731-A9A177CE7DBC}" uniqueName="2687" name="Column2687" queryTableFieldId="2687"/>
    <tableColumn id="2688" xr3:uid="{6F88E93E-B698-463A-BCA5-3CB31619E20B}" uniqueName="2688" name="Column2688" queryTableFieldId="2688"/>
    <tableColumn id="2689" xr3:uid="{4AA92432-1DA5-4D4A-8F4C-DA2B5D2883B6}" uniqueName="2689" name="Column2689" queryTableFieldId="2689"/>
    <tableColumn id="2690" xr3:uid="{FB8AC2C5-A773-40CD-A95C-9149018C21EA}" uniqueName="2690" name="Column2690" queryTableFieldId="2690"/>
    <tableColumn id="2691" xr3:uid="{5C7391F1-6AC3-4E96-BBEC-B906DCCAF75C}" uniqueName="2691" name="Column2691" queryTableFieldId="2691"/>
    <tableColumn id="2692" xr3:uid="{B9FCD521-DCDC-4B5F-B6D0-AE5E780D77FC}" uniqueName="2692" name="Column2692" queryTableFieldId="2692"/>
    <tableColumn id="2693" xr3:uid="{0A06B0CF-BBD9-4191-985A-CFAC5BF9796E}" uniqueName="2693" name="Column2693" queryTableFieldId="2693"/>
    <tableColumn id="2694" xr3:uid="{71011F2D-3061-45AE-86D0-F1949AE1B78D}" uniqueName="2694" name="Column2694" queryTableFieldId="2694"/>
    <tableColumn id="2695" xr3:uid="{52BA4610-A44F-4BDC-9D7A-E4F1A3F41F36}" uniqueName="2695" name="Column2695" queryTableFieldId="2695"/>
    <tableColumn id="2696" xr3:uid="{E670B199-841C-47AB-9495-4FCD2348383A}" uniqueName="2696" name="Column2696" queryTableFieldId="2696"/>
    <tableColumn id="2697" xr3:uid="{B2F33F77-4323-473E-8BED-43653101523A}" uniqueName="2697" name="Column2697" queryTableFieldId="2697"/>
    <tableColumn id="2698" xr3:uid="{1B111E9A-32F4-4EFA-A8A6-29D40314A3F9}" uniqueName="2698" name="Column2698" queryTableFieldId="2698"/>
    <tableColumn id="2699" xr3:uid="{A9DC50BB-96E4-40E1-B477-52CD9C054C88}" uniqueName="2699" name="Column2699" queryTableFieldId="2699"/>
    <tableColumn id="2700" xr3:uid="{215F7708-DC85-4ED5-8B58-DC842D4F06DF}" uniqueName="2700" name="Column2700" queryTableFieldId="2700"/>
    <tableColumn id="2701" xr3:uid="{2006DFA9-C159-4E14-AAB4-BA71D63CC482}" uniqueName="2701" name="Column2701" queryTableFieldId="2701"/>
    <tableColumn id="2702" xr3:uid="{805D6147-0264-4963-83D5-D6B7491BE7F9}" uniqueName="2702" name="Column2702" queryTableFieldId="2702"/>
    <tableColumn id="2703" xr3:uid="{DE545AF8-1003-469A-8764-CD5711205577}" uniqueName="2703" name="Column2703" queryTableFieldId="2703"/>
    <tableColumn id="2704" xr3:uid="{0D77582F-C6E4-4663-987F-E377AE7A8E36}" uniqueName="2704" name="Column2704" queryTableFieldId="2704"/>
    <tableColumn id="2705" xr3:uid="{4384D25F-784B-4B42-B3F5-03353916FDCE}" uniqueName="2705" name="Column2705" queryTableFieldId="2705"/>
    <tableColumn id="2706" xr3:uid="{3A8F9787-BB4D-471B-9E35-E1D05AE99B1F}" uniqueName="2706" name="Column2706" queryTableFieldId="2706"/>
    <tableColumn id="2707" xr3:uid="{7E9B70B2-73BC-4509-BAF5-48D364F00337}" uniqueName="2707" name="Column2707" queryTableFieldId="2707"/>
    <tableColumn id="2708" xr3:uid="{714B1A5B-35E3-4CB1-AF76-EEB2D8EEA6E9}" uniqueName="2708" name="Column2708" queryTableFieldId="2708"/>
    <tableColumn id="2709" xr3:uid="{6EED873F-2E02-45C3-89BD-389616736979}" uniqueName="2709" name="Column2709" queryTableFieldId="2709"/>
    <tableColumn id="2710" xr3:uid="{AA89E590-DA19-4E0E-8518-C49F547E3409}" uniqueName="2710" name="Column2710" queryTableFieldId="2710"/>
    <tableColumn id="2711" xr3:uid="{43124133-5F51-4270-979E-F3FA308BE8BD}" uniqueName="2711" name="Column2711" queryTableFieldId="2711"/>
    <tableColumn id="2712" xr3:uid="{8D774647-714C-4F26-B4BA-D78373F9826F}" uniqueName="2712" name="Column2712" queryTableFieldId="2712"/>
    <tableColumn id="2713" xr3:uid="{3112DCFB-6C28-4198-970B-5EA77C52FBC7}" uniqueName="2713" name="Column2713" queryTableFieldId="2713"/>
    <tableColumn id="2714" xr3:uid="{1959DDC5-A3F9-467E-B502-13914C179073}" uniqueName="2714" name="Column2714" queryTableFieldId="2714"/>
    <tableColumn id="2715" xr3:uid="{E18ACE71-5EF0-4D2F-944D-5EA3346CFFD4}" uniqueName="2715" name="Column2715" queryTableFieldId="2715"/>
    <tableColumn id="2716" xr3:uid="{309963E6-E49E-4D74-8FE7-53E6A915568F}" uniqueName="2716" name="Column2716" queryTableFieldId="2716"/>
    <tableColumn id="2717" xr3:uid="{1695E6DB-D7C6-41B1-9203-27795E7F0B74}" uniqueName="2717" name="Column2717" queryTableFieldId="2717"/>
    <tableColumn id="2718" xr3:uid="{8A37D87B-2F8A-4188-B8A3-B51EBE7E5C0D}" uniqueName="2718" name="Column2718" queryTableFieldId="2718"/>
    <tableColumn id="2719" xr3:uid="{30D0E69A-DC19-4408-9C00-0B9C1FF0D8B5}" uniqueName="2719" name="Column2719" queryTableFieldId="2719"/>
    <tableColumn id="2720" xr3:uid="{D919FB9F-2C5E-47EE-8666-6CCEBA074D15}" uniqueName="2720" name="Column2720" queryTableFieldId="2720"/>
    <tableColumn id="2721" xr3:uid="{22D5D112-6E52-4D36-BD1E-84AE0F68F471}" uniqueName="2721" name="Column2721" queryTableFieldId="2721"/>
    <tableColumn id="2722" xr3:uid="{F64E2001-BFDC-42A9-A2DB-572FB5C27DDE}" uniqueName="2722" name="Column2722" queryTableFieldId="2722"/>
    <tableColumn id="2723" xr3:uid="{EF09DC5E-6ED6-45F4-AEE8-E8D67D477D32}" uniqueName="2723" name="Column2723" queryTableFieldId="2723"/>
    <tableColumn id="2724" xr3:uid="{56531B0F-09E4-4C04-AA1D-DB5F423A109E}" uniqueName="2724" name="Column2724" queryTableFieldId="2724"/>
    <tableColumn id="2725" xr3:uid="{FCB8EC10-2D41-4834-BC43-787A4E76C545}" uniqueName="2725" name="Column2725" queryTableFieldId="2725"/>
    <tableColumn id="2726" xr3:uid="{4AD25F86-4139-467F-AE51-020CCC2D7F00}" uniqueName="2726" name="Column2726" queryTableFieldId="2726"/>
    <tableColumn id="2727" xr3:uid="{4C1704B5-7D01-487A-9A65-E5C666FA4B73}" uniqueName="2727" name="Column2727" queryTableFieldId="2727"/>
    <tableColumn id="2728" xr3:uid="{767B594A-3A9A-40FF-9B66-2F73B9993F1A}" uniqueName="2728" name="Column2728" queryTableFieldId="2728"/>
    <tableColumn id="2729" xr3:uid="{EE69F0FA-6940-450D-BC12-5C1F0589E156}" uniqueName="2729" name="Column2729" queryTableFieldId="2729"/>
    <tableColumn id="2730" xr3:uid="{138A89E1-5B65-4D80-B0AF-2E93FBACC46D}" uniqueName="2730" name="Column2730" queryTableFieldId="2730"/>
    <tableColumn id="2731" xr3:uid="{F6E9E52A-DDF4-414D-9DAF-5350D3B025AB}" uniqueName="2731" name="Column2731" queryTableFieldId="2731"/>
    <tableColumn id="2732" xr3:uid="{4BE1397B-7804-4DE9-B402-AA2BA7FD3B6F}" uniqueName="2732" name="Column2732" queryTableFieldId="2732"/>
    <tableColumn id="2733" xr3:uid="{4F806A69-72E0-444A-A3BB-B748E331BE67}" uniqueName="2733" name="Column2733" queryTableFieldId="2733"/>
    <tableColumn id="2734" xr3:uid="{053A454F-DE7C-4768-9FB6-7FB2DF35184B}" uniqueName="2734" name="Column2734" queryTableFieldId="2734"/>
    <tableColumn id="2735" xr3:uid="{F8A6E4F5-9538-4FBD-B277-D77AF9727B53}" uniqueName="2735" name="Column2735" queryTableFieldId="2735"/>
    <tableColumn id="2736" xr3:uid="{60E7AD2B-F6F7-43DC-A34A-B99FFDC002D1}" uniqueName="2736" name="Column2736" queryTableFieldId="2736"/>
    <tableColumn id="2737" xr3:uid="{A1DAA0E8-AA77-4513-81BD-1251C102A15A}" uniqueName="2737" name="Column2737" queryTableFieldId="2737"/>
    <tableColumn id="2738" xr3:uid="{9FD6397E-8A8E-4D77-ADC4-6F9739F3F802}" uniqueName="2738" name="Column2738" queryTableFieldId="2738"/>
    <tableColumn id="2739" xr3:uid="{6077B710-DD13-4898-A7E1-C2E2F9994505}" uniqueName="2739" name="Column2739" queryTableFieldId="2739"/>
    <tableColumn id="2740" xr3:uid="{01BF41F2-738A-4158-B4E9-027E908B04B8}" uniqueName="2740" name="Column2740" queryTableFieldId="2740"/>
    <tableColumn id="2741" xr3:uid="{818D9B85-4519-4872-9320-6BF32A3BFE17}" uniqueName="2741" name="Column2741" queryTableFieldId="2741"/>
    <tableColumn id="2742" xr3:uid="{48A8DB34-741E-4A9C-8F8B-101EEDAA02D0}" uniqueName="2742" name="Column2742" queryTableFieldId="2742"/>
    <tableColumn id="2743" xr3:uid="{25A2DC62-2BE7-4AA9-8F47-C6F540906816}" uniqueName="2743" name="Column2743" queryTableFieldId="2743"/>
    <tableColumn id="2744" xr3:uid="{89204F7E-5FB4-4E8E-81DA-410FAB020FD3}" uniqueName="2744" name="Column2744" queryTableFieldId="2744"/>
    <tableColumn id="2745" xr3:uid="{1E75E259-8E9D-4854-8CB5-ECAB0B7C3A36}" uniqueName="2745" name="Column2745" queryTableFieldId="2745"/>
    <tableColumn id="2746" xr3:uid="{D4EB8B06-E8A6-45FF-8D33-4983DC95F28B}" uniqueName="2746" name="Column2746" queryTableFieldId="2746"/>
    <tableColumn id="2747" xr3:uid="{CF06F8F4-3364-42EA-8401-964A97E2BB77}" uniqueName="2747" name="Column2747" queryTableFieldId="2747"/>
    <tableColumn id="2748" xr3:uid="{5AE5E13A-24BA-4176-9B8D-367075A196EF}" uniqueName="2748" name="Column2748" queryTableFieldId="2748"/>
    <tableColumn id="2749" xr3:uid="{E3453125-8099-4FD8-B148-68C589DEB17C}" uniqueName="2749" name="Column2749" queryTableFieldId="2749"/>
    <tableColumn id="2750" xr3:uid="{535233C8-095A-4964-AD5A-69B68C4BC828}" uniqueName="2750" name="Column2750" queryTableFieldId="2750"/>
    <tableColumn id="2751" xr3:uid="{6F6BD37E-DA1D-44E4-A129-5185EEDE80F6}" uniqueName="2751" name="Column2751" queryTableFieldId="2751"/>
    <tableColumn id="2752" xr3:uid="{30EAAF51-7205-47B7-ACEF-CA909D5E281E}" uniqueName="2752" name="Column2752" queryTableFieldId="2752"/>
    <tableColumn id="2753" xr3:uid="{D8FE9391-5BAA-449D-ADB1-C6C4A1577461}" uniqueName="2753" name="Column2753" queryTableFieldId="2753"/>
    <tableColumn id="2754" xr3:uid="{4A71D922-D21C-4F30-94D9-2818A3A64AD3}" uniqueName="2754" name="Column2754" queryTableFieldId="2754"/>
    <tableColumn id="2755" xr3:uid="{D86F12E9-6044-4097-8149-5939BEBF0FC0}" uniqueName="2755" name="Column2755" queryTableFieldId="2755"/>
    <tableColumn id="2756" xr3:uid="{BFA5FBEB-7E32-4CDF-BDA8-47514AF99E37}" uniqueName="2756" name="Column2756" queryTableFieldId="2756"/>
    <tableColumn id="2757" xr3:uid="{650E5DA7-521B-446D-8314-2122A460061F}" uniqueName="2757" name="Column2757" queryTableFieldId="2757"/>
    <tableColumn id="2758" xr3:uid="{608AD0B0-A884-476C-88F7-97F594881989}" uniqueName="2758" name="Column2758" queryTableFieldId="2758"/>
    <tableColumn id="2759" xr3:uid="{3A0FFF7D-B7EF-4167-8084-46ED24BB7A2B}" uniqueName="2759" name="Column2759" queryTableFieldId="2759"/>
    <tableColumn id="2760" xr3:uid="{87BDAC47-D192-4FEE-8A3D-092B49531A84}" uniqueName="2760" name="Column2760" queryTableFieldId="2760"/>
    <tableColumn id="2761" xr3:uid="{CBCA77CB-3CF6-45AE-BEDB-0F2B014C5818}" uniqueName="2761" name="Column2761" queryTableFieldId="2761"/>
    <tableColumn id="2762" xr3:uid="{782B587D-73CC-4033-A5B4-D4947CF6BB85}" uniqueName="2762" name="Column2762" queryTableFieldId="2762"/>
    <tableColumn id="2763" xr3:uid="{CEF3CBE2-2D14-4323-8B31-C390DD5C1B5D}" uniqueName="2763" name="Column2763" queryTableFieldId="2763"/>
    <tableColumn id="2764" xr3:uid="{76496AD3-6807-4EFD-A1D0-0E2836D2EE46}" uniqueName="2764" name="Column2764" queryTableFieldId="2764"/>
    <tableColumn id="2765" xr3:uid="{90BF0086-199C-49DB-BB24-1E6D3B94E345}" uniqueName="2765" name="Column2765" queryTableFieldId="2765"/>
    <tableColumn id="2766" xr3:uid="{85CF0F43-5FD2-4B34-A14F-590E3BB9D28C}" uniqueName="2766" name="Column2766" queryTableFieldId="2766"/>
    <tableColumn id="2767" xr3:uid="{FF506947-9CFE-47AA-A7C3-057902D483F4}" uniqueName="2767" name="Column2767" queryTableFieldId="2767"/>
    <tableColumn id="2768" xr3:uid="{57C5DCDA-2C7D-4C32-9C6B-1D5E26C7230C}" uniqueName="2768" name="Column2768" queryTableFieldId="2768"/>
    <tableColumn id="2769" xr3:uid="{0934A8F2-4437-48C9-B5E7-7BACB26E0896}" uniqueName="2769" name="Column2769" queryTableFieldId="2769"/>
    <tableColumn id="2770" xr3:uid="{43A067F5-2D84-4E4D-A35B-29E8B0F3FCD6}" uniqueName="2770" name="Column2770" queryTableFieldId="2770"/>
    <tableColumn id="2771" xr3:uid="{6D0A2A65-3D39-4C5D-B035-CC5E3E21F00C}" uniqueName="2771" name="Column2771" queryTableFieldId="2771"/>
    <tableColumn id="2772" xr3:uid="{5CA61890-E229-4B27-B03E-44842E2ABD4B}" uniqueName="2772" name="Column2772" queryTableFieldId="2772"/>
    <tableColumn id="2773" xr3:uid="{40062AA0-C6FB-4821-80CE-93F6D70CCF67}" uniqueName="2773" name="Column2773" queryTableFieldId="2773"/>
    <tableColumn id="2774" xr3:uid="{8A703EC4-92B2-4991-911C-B7AA69FAF467}" uniqueName="2774" name="Column2774" queryTableFieldId="2774"/>
    <tableColumn id="2775" xr3:uid="{1E88D01F-60D5-4C97-B188-15BF94DF1439}" uniqueName="2775" name="Column2775" queryTableFieldId="2775"/>
    <tableColumn id="2776" xr3:uid="{9987C877-14E6-4D4A-9C23-37C6FA34D07F}" uniqueName="2776" name="Column2776" queryTableFieldId="2776"/>
    <tableColumn id="2777" xr3:uid="{330C8D53-3365-4132-B7F8-2E24BBB6D867}" uniqueName="2777" name="Column2777" queryTableFieldId="2777"/>
    <tableColumn id="2778" xr3:uid="{9833A84F-EDEA-4964-9547-FE85AFB9D308}" uniqueName="2778" name="Column2778" queryTableFieldId="2778"/>
    <tableColumn id="2779" xr3:uid="{3CDA2CD8-4D67-4917-88E2-16AA6677E5D7}" uniqueName="2779" name="Column2779" queryTableFieldId="2779"/>
    <tableColumn id="2780" xr3:uid="{77BD0443-84FA-4E61-BCB7-0DC8762C7EDF}" uniqueName="2780" name="Column2780" queryTableFieldId="2780"/>
    <tableColumn id="2781" xr3:uid="{3422C067-27FF-4350-A10E-E1A586F9D72E}" uniqueName="2781" name="Column2781" queryTableFieldId="2781"/>
    <tableColumn id="2782" xr3:uid="{9592D4C9-6CB8-493E-946F-E4550960685E}" uniqueName="2782" name="Column2782" queryTableFieldId="2782"/>
    <tableColumn id="2783" xr3:uid="{ADF0AE9F-E47A-4755-B04A-5D4BCF31C0BB}" uniqueName="2783" name="Column2783" queryTableFieldId="2783"/>
    <tableColumn id="2784" xr3:uid="{C39FAE4C-3441-4A05-97D4-90A264D34052}" uniqueName="2784" name="Column2784" queryTableFieldId="2784"/>
    <tableColumn id="2785" xr3:uid="{E7471A94-AC0D-4123-B765-50E9EF7B53E3}" uniqueName="2785" name="Column2785" queryTableFieldId="2785"/>
    <tableColumn id="2786" xr3:uid="{79ED676C-B400-47B5-AF9A-351EE171B65C}" uniqueName="2786" name="Column2786" queryTableFieldId="2786"/>
    <tableColumn id="2787" xr3:uid="{AB6D995D-4844-40A4-9230-0D4CDE94A696}" uniqueName="2787" name="Column2787" queryTableFieldId="2787"/>
    <tableColumn id="2788" xr3:uid="{F2D8F099-71FD-4968-9B32-F7CCC545BC81}" uniqueName="2788" name="Column2788" queryTableFieldId="2788"/>
    <tableColumn id="2789" xr3:uid="{1C8F7A01-9614-4686-B445-70BDDE8E367D}" uniqueName="2789" name="Column2789" queryTableFieldId="2789"/>
    <tableColumn id="2790" xr3:uid="{1D04E74A-0975-43E3-AF44-410ECDABBAAC}" uniqueName="2790" name="Column2790" queryTableFieldId="2790"/>
    <tableColumn id="2791" xr3:uid="{AF3AE735-FFF3-4FE3-B539-702806515A27}" uniqueName="2791" name="Column2791" queryTableFieldId="2791"/>
    <tableColumn id="2792" xr3:uid="{3D594DD4-1812-44EF-A418-6B2F2D7EFF9E}" uniqueName="2792" name="Column2792" queryTableFieldId="2792"/>
    <tableColumn id="2793" xr3:uid="{C9942486-DDD2-4B9C-BC5C-AA9D5E889728}" uniqueName="2793" name="Column2793" queryTableFieldId="2793"/>
    <tableColumn id="2794" xr3:uid="{606B920A-B454-4BEE-B5C0-B0A06228A4E7}" uniqueName="2794" name="Column2794" queryTableFieldId="2794"/>
    <tableColumn id="2795" xr3:uid="{1AD418B3-5E81-401D-9317-7FFABB758E2E}" uniqueName="2795" name="Column2795" queryTableFieldId="2795"/>
    <tableColumn id="2796" xr3:uid="{0C39C7D1-942B-43E0-BA16-E7C4A43A3A91}" uniqueName="2796" name="Column2796" queryTableFieldId="2796"/>
    <tableColumn id="2797" xr3:uid="{BD2DCE6D-2ED3-4B96-8E06-80B257E4029A}" uniqueName="2797" name="Column2797" queryTableFieldId="2797"/>
    <tableColumn id="2798" xr3:uid="{7DB73996-4597-4D94-A76E-58F82F56DB4F}" uniqueName="2798" name="Column2798" queryTableFieldId="2798"/>
    <tableColumn id="2799" xr3:uid="{708C7C3A-DEF6-4BFA-97AC-235A22196A41}" uniqueName="2799" name="Column2799" queryTableFieldId="2799"/>
    <tableColumn id="2800" xr3:uid="{B983DE88-32EE-4B84-961F-E6BF1244FCF8}" uniqueName="2800" name="Column2800" queryTableFieldId="2800"/>
    <tableColumn id="2801" xr3:uid="{F2327CA2-CAA7-450A-9E8A-E44AE7F64D45}" uniqueName="2801" name="Column2801" queryTableFieldId="2801"/>
    <tableColumn id="2802" xr3:uid="{393E1B8C-3823-40EA-83B3-35A06C791863}" uniqueName="2802" name="Column2802" queryTableFieldId="2802"/>
    <tableColumn id="2803" xr3:uid="{DD354BEF-3066-4C38-B705-AE0ED575C205}" uniqueName="2803" name="Column2803" queryTableFieldId="2803"/>
    <tableColumn id="2804" xr3:uid="{D5FE0F9C-296D-4D33-ACA0-38A94560A013}" uniqueName="2804" name="Column2804" queryTableFieldId="2804"/>
    <tableColumn id="2805" xr3:uid="{908F1B00-1732-47A8-97E8-3BDEB653DF81}" uniqueName="2805" name="Column2805" queryTableFieldId="2805"/>
    <tableColumn id="2806" xr3:uid="{E3165CC0-FBF8-4565-AC13-6DEEEB6CAAE3}" uniqueName="2806" name="Column2806" queryTableFieldId="2806"/>
    <tableColumn id="2807" xr3:uid="{49A54637-DCEC-40AC-92E4-66232381FB18}" uniqueName="2807" name="Column2807" queryTableFieldId="2807"/>
    <tableColumn id="2808" xr3:uid="{1EADD65F-5032-47C4-895C-D60021D9F790}" uniqueName="2808" name="Column2808" queryTableFieldId="2808"/>
    <tableColumn id="2809" xr3:uid="{9378F833-FEC0-4198-A7DF-401BF360E44A}" uniqueName="2809" name="Column2809" queryTableFieldId="2809"/>
    <tableColumn id="2810" xr3:uid="{7FC071ED-81C6-473D-92DC-7B62384D6977}" uniqueName="2810" name="Column2810" queryTableFieldId="2810"/>
    <tableColumn id="2811" xr3:uid="{63CDD158-E839-49DF-8A3E-E9BAD5AE8157}" uniqueName="2811" name="Column2811" queryTableFieldId="2811"/>
    <tableColumn id="2812" xr3:uid="{40E8AC96-DE9A-4EB5-AAB7-4A108D4079AD}" uniqueName="2812" name="Column2812" queryTableFieldId="2812"/>
    <tableColumn id="2813" xr3:uid="{371188B7-64DA-43A2-822F-F8AAD2CB74C0}" uniqueName="2813" name="Column2813" queryTableFieldId="2813"/>
    <tableColumn id="2814" xr3:uid="{E1C2E8D2-ED9A-4607-8916-33AE6B837359}" uniqueName="2814" name="Column2814" queryTableFieldId="2814"/>
    <tableColumn id="2815" xr3:uid="{71C4B704-1750-4FF2-9ACB-45501A9F20ED}" uniqueName="2815" name="Column2815" queryTableFieldId="2815"/>
    <tableColumn id="2816" xr3:uid="{00AEE591-AB42-478B-826C-DB834A2D87FC}" uniqueName="2816" name="Column2816" queryTableFieldId="2816"/>
    <tableColumn id="2817" xr3:uid="{74E08144-C603-461D-A188-B1E85B662F68}" uniqueName="2817" name="Column2817" queryTableFieldId="2817"/>
    <tableColumn id="2818" xr3:uid="{CD936542-BD76-46B8-889C-AE815FBDAB7A}" uniqueName="2818" name="Column2818" queryTableFieldId="2818"/>
    <tableColumn id="2819" xr3:uid="{B813DE8F-6A01-4F2C-974F-335FAC7C4E4B}" uniqueName="2819" name="Column2819" queryTableFieldId="2819"/>
    <tableColumn id="2820" xr3:uid="{700C701E-89C6-4A95-9B3C-C1B296551E04}" uniqueName="2820" name="Column2820" queryTableFieldId="2820"/>
    <tableColumn id="2821" xr3:uid="{5F64AE9B-49C6-44D1-8475-CCD02894D4ED}" uniqueName="2821" name="Column2821" queryTableFieldId="2821"/>
    <tableColumn id="2822" xr3:uid="{F6CDEF27-FEC6-460E-8673-AF737212C55B}" uniqueName="2822" name="Column2822" queryTableFieldId="2822"/>
    <tableColumn id="2823" xr3:uid="{27C38BA3-1E2E-4BFE-B6CE-3BC24F731EB6}" uniqueName="2823" name="Column2823" queryTableFieldId="2823"/>
    <tableColumn id="2824" xr3:uid="{CD637F5C-CBF1-4850-B730-F1661D6BB1E1}" uniqueName="2824" name="Column2824" queryTableFieldId="2824"/>
    <tableColumn id="2825" xr3:uid="{49EB9162-D1FE-426C-8227-0EFF99957E40}" uniqueName="2825" name="Column2825" queryTableFieldId="2825"/>
    <tableColumn id="2826" xr3:uid="{08D4501E-49C1-454A-B442-0D2F2E2EC5F5}" uniqueName="2826" name="Column2826" queryTableFieldId="2826"/>
    <tableColumn id="2827" xr3:uid="{B9F31456-1D39-45E2-9944-14A3EBBFCF06}" uniqueName="2827" name="Column2827" queryTableFieldId="2827"/>
    <tableColumn id="2828" xr3:uid="{E07E81D8-5FE7-4305-A398-8873523E63DA}" uniqueName="2828" name="Column2828" queryTableFieldId="2828"/>
    <tableColumn id="2829" xr3:uid="{CE420537-C8B7-4FB0-8121-EB4F8EEDC6F9}" uniqueName="2829" name="Column2829" queryTableFieldId="2829"/>
    <tableColumn id="2830" xr3:uid="{D3E60E4C-A4D0-4D0E-AEED-AD9F558D2033}" uniqueName="2830" name="Column2830" queryTableFieldId="2830"/>
    <tableColumn id="2831" xr3:uid="{D7E6400C-2FFA-4EA7-8260-B9653D7C1C5A}" uniqueName="2831" name="Column2831" queryTableFieldId="2831"/>
    <tableColumn id="2832" xr3:uid="{9DCDB818-F0D8-4C23-8E86-4E162DFBB40C}" uniqueName="2832" name="Column2832" queryTableFieldId="2832"/>
    <tableColumn id="2833" xr3:uid="{3EDFED29-6A3F-4B8C-8AA1-5C664E0D6E34}" uniqueName="2833" name="Column2833" queryTableFieldId="2833"/>
    <tableColumn id="2834" xr3:uid="{FA5C3580-A033-4CDE-B90D-D427EEC7D402}" uniqueName="2834" name="Column2834" queryTableFieldId="2834"/>
    <tableColumn id="2835" xr3:uid="{DA6F044E-6B74-41CF-821F-97B2BB43CD02}" uniqueName="2835" name="Column2835" queryTableFieldId="2835"/>
    <tableColumn id="2836" xr3:uid="{D4E2BF30-294E-417A-9D79-C9CE476D0FA7}" uniqueName="2836" name="Column2836" queryTableFieldId="2836"/>
    <tableColumn id="2837" xr3:uid="{E6FB3D3C-E775-40E6-B517-36B9075076FE}" uniqueName="2837" name="Column2837" queryTableFieldId="2837"/>
    <tableColumn id="2838" xr3:uid="{6B683BD1-41F2-49AA-ACB0-27BD7A067FAC}" uniqueName="2838" name="Column2838" queryTableFieldId="2838"/>
    <tableColumn id="2839" xr3:uid="{09A33F6F-0240-4724-915B-AE4A0D19F396}" uniqueName="2839" name="Column2839" queryTableFieldId="2839"/>
    <tableColumn id="2840" xr3:uid="{6A424AA6-EC27-440A-A20F-5B8D5892BBEC}" uniqueName="2840" name="Column2840" queryTableFieldId="2840"/>
    <tableColumn id="2841" xr3:uid="{222FF94E-48A1-4ABC-B4F6-E74F04F09E6E}" uniqueName="2841" name="Column2841" queryTableFieldId="2841"/>
    <tableColumn id="2842" xr3:uid="{D8350767-90E0-4026-82A0-6EDA7156556E}" uniqueName="2842" name="Column2842" queryTableFieldId="2842"/>
    <tableColumn id="2843" xr3:uid="{46B6E262-F9ED-4FB9-89BE-DD4E2906FFA4}" uniqueName="2843" name="Column2843" queryTableFieldId="2843"/>
    <tableColumn id="2844" xr3:uid="{12394489-984F-4C57-895E-F52603090CD3}" uniqueName="2844" name="Column2844" queryTableFieldId="2844"/>
    <tableColumn id="2845" xr3:uid="{40B6C44B-1159-4104-A19E-24EB0F0F8100}" uniqueName="2845" name="Column2845" queryTableFieldId="2845"/>
    <tableColumn id="2846" xr3:uid="{AED22472-092B-4D06-89E4-E32A35F454C8}" uniqueName="2846" name="Column2846" queryTableFieldId="2846"/>
    <tableColumn id="2847" xr3:uid="{C11EC2BA-DEC9-4DC8-89AD-DD40E3EDEEA6}" uniqueName="2847" name="Column2847" queryTableFieldId="2847"/>
    <tableColumn id="2848" xr3:uid="{33E626E8-EC55-4FE6-8575-EB94DC8A42CD}" uniqueName="2848" name="Column2848" queryTableFieldId="2848"/>
    <tableColumn id="2849" xr3:uid="{7CD3935D-C9CD-44EB-8C45-63FF66FE1126}" uniqueName="2849" name="Column2849" queryTableFieldId="2849"/>
    <tableColumn id="2850" xr3:uid="{6F338035-8499-4DDE-92FD-8B74893C95BC}" uniqueName="2850" name="Column2850" queryTableFieldId="2850"/>
    <tableColumn id="2851" xr3:uid="{D2428DE3-218A-4992-8D06-99690F261426}" uniqueName="2851" name="Column2851" queryTableFieldId="2851"/>
    <tableColumn id="2852" xr3:uid="{CD009438-87A7-4F54-8907-D9AD7362B316}" uniqueName="2852" name="Column2852" queryTableFieldId="2852"/>
    <tableColumn id="2853" xr3:uid="{CFCA6A80-7F0C-4749-B38C-D2492CC5D84C}" uniqueName="2853" name="Column2853" queryTableFieldId="2853"/>
    <tableColumn id="2854" xr3:uid="{614F79D5-684B-47FF-97F2-29A946684385}" uniqueName="2854" name="Column2854" queryTableFieldId="2854"/>
    <tableColumn id="2855" xr3:uid="{1A1366A4-912F-4814-AD70-9D0475048E14}" uniqueName="2855" name="Column2855" queryTableFieldId="2855"/>
    <tableColumn id="2856" xr3:uid="{6EA33B82-DBFF-4D54-B4C3-38FF6BFB78F2}" uniqueName="2856" name="Column2856" queryTableFieldId="2856"/>
    <tableColumn id="2857" xr3:uid="{AAED0F67-7703-4041-9BB2-885D1C4A7D45}" uniqueName="2857" name="Column2857" queryTableFieldId="2857"/>
    <tableColumn id="2858" xr3:uid="{A49E1755-3745-495C-B80A-8CB5FC49BA71}" uniqueName="2858" name="Column2858" queryTableFieldId="2858"/>
    <tableColumn id="2859" xr3:uid="{C2488E53-F3CB-4607-886B-0299632966A6}" uniqueName="2859" name="Column2859" queryTableFieldId="2859"/>
    <tableColumn id="2860" xr3:uid="{A2BB5394-4F1A-40DB-B24B-6EF274B3AAF6}" uniqueName="2860" name="Column2860" queryTableFieldId="2860"/>
    <tableColumn id="2861" xr3:uid="{4327CABE-CF83-432D-B354-291A7FDE9802}" uniqueName="2861" name="Column2861" queryTableFieldId="2861"/>
    <tableColumn id="2862" xr3:uid="{3B45A81E-B57F-46C0-9214-C4DA4F4F8C74}" uniqueName="2862" name="Column2862" queryTableFieldId="2862"/>
    <tableColumn id="2863" xr3:uid="{E7F7ECDF-4B5C-4E24-8CAA-C7B0522CF13A}" uniqueName="2863" name="Column2863" queryTableFieldId="2863"/>
    <tableColumn id="2864" xr3:uid="{89906179-D9C3-4DF7-B43B-87732EFCE188}" uniqueName="2864" name="Column2864" queryTableFieldId="2864"/>
    <tableColumn id="2865" xr3:uid="{A57C4DC9-98B9-4B55-9891-E5F0AA87E0C5}" uniqueName="2865" name="Column2865" queryTableFieldId="2865"/>
    <tableColumn id="2866" xr3:uid="{EA558627-4EB7-498B-90C6-7B6B02562CE9}" uniqueName="2866" name="Column2866" queryTableFieldId="2866"/>
    <tableColumn id="2867" xr3:uid="{5B505556-C942-487A-A05E-F14229EBDC77}" uniqueName="2867" name="Column2867" queryTableFieldId="2867"/>
    <tableColumn id="2868" xr3:uid="{E5031F23-02D1-4BC8-B090-C92664069BC5}" uniqueName="2868" name="Column2868" queryTableFieldId="2868"/>
    <tableColumn id="2869" xr3:uid="{5CD246C9-32B2-4150-8092-0884FA3C9055}" uniqueName="2869" name="Column2869" queryTableFieldId="2869"/>
    <tableColumn id="2870" xr3:uid="{72CBD1BA-11CC-418F-B988-CC461C60DDF1}" uniqueName="2870" name="Column2870" queryTableFieldId="2870"/>
    <tableColumn id="2871" xr3:uid="{395A1316-EE23-40FD-A7A9-C652A5B9709C}" uniqueName="2871" name="Column2871" queryTableFieldId="2871"/>
    <tableColumn id="2872" xr3:uid="{0D590444-650F-494E-86EA-0C3789CC3C7F}" uniqueName="2872" name="Column2872" queryTableFieldId="2872"/>
    <tableColumn id="2873" xr3:uid="{97062C7F-FD7D-49B5-ADD8-E855E68A411A}" uniqueName="2873" name="Column2873" queryTableFieldId="2873"/>
    <tableColumn id="2874" xr3:uid="{82A97BCF-161D-4CB7-90E4-CD5E0BF598F4}" uniqueName="2874" name="Column2874" queryTableFieldId="2874"/>
    <tableColumn id="2875" xr3:uid="{DE7437C2-6EFD-413C-84A5-8F0517A37803}" uniqueName="2875" name="Column2875" queryTableFieldId="2875"/>
    <tableColumn id="2876" xr3:uid="{26193B83-8DBA-48C5-ADFA-C6E708BB3C85}" uniqueName="2876" name="Column2876" queryTableFieldId="2876"/>
    <tableColumn id="2877" xr3:uid="{75E82670-1D28-42F4-9555-3A67B961CC7F}" uniqueName="2877" name="Column2877" queryTableFieldId="2877"/>
    <tableColumn id="2878" xr3:uid="{B93E6095-CF47-4CE4-AEE9-B3D9FA661998}" uniqueName="2878" name="Column2878" queryTableFieldId="2878"/>
    <tableColumn id="2879" xr3:uid="{952FD645-3836-4E25-A1E4-FAAC808DDDBD}" uniqueName="2879" name="Column2879" queryTableFieldId="2879"/>
    <tableColumn id="2880" xr3:uid="{2AE2BB35-FF84-4291-93DF-B89EB5D73649}" uniqueName="2880" name="Column2880" queryTableFieldId="2880"/>
    <tableColumn id="2881" xr3:uid="{D9045619-FA29-42C7-B307-EC13A830FBB7}" uniqueName="2881" name="Column2881" queryTableFieldId="2881"/>
    <tableColumn id="2882" xr3:uid="{42BB276E-2BC1-46F4-838B-B19F320F8861}" uniqueName="2882" name="Column2882" queryTableFieldId="2882"/>
    <tableColumn id="2883" xr3:uid="{084CA68F-DBA1-4E37-8801-6AB16865382C}" uniqueName="2883" name="Column2883" queryTableFieldId="2883"/>
    <tableColumn id="2884" xr3:uid="{50955791-4CC6-499F-B64C-7AEE955F7EC9}" uniqueName="2884" name="Column2884" queryTableFieldId="2884"/>
    <tableColumn id="2885" xr3:uid="{00DF3628-1C0E-474A-B06F-E896D334D1F5}" uniqueName="2885" name="Column2885" queryTableFieldId="2885"/>
    <tableColumn id="2886" xr3:uid="{6BC8514A-9100-4EAD-9314-F9549EAADB63}" uniqueName="2886" name="Column2886" queryTableFieldId="2886"/>
    <tableColumn id="2887" xr3:uid="{65AC6F20-7A2A-4227-AED0-CB6DC3F343CE}" uniqueName="2887" name="Column2887" queryTableFieldId="2887"/>
    <tableColumn id="2888" xr3:uid="{82FA32F2-3B4A-4480-B6B1-31703A94DF69}" uniqueName="2888" name="Column2888" queryTableFieldId="2888"/>
    <tableColumn id="2889" xr3:uid="{D3FFDB5B-8E66-49B6-84D1-2DDC6B80E1D7}" uniqueName="2889" name="Column2889" queryTableFieldId="2889"/>
    <tableColumn id="2890" xr3:uid="{96FF2BE7-1701-4A1D-A3BE-EEF213619576}" uniqueName="2890" name="Column2890" queryTableFieldId="2890"/>
    <tableColumn id="2891" xr3:uid="{94D89834-F0A4-48EF-8A2A-55FE17CA1DBC}" uniqueName="2891" name="Column2891" queryTableFieldId="2891"/>
    <tableColumn id="2892" xr3:uid="{80358A64-F21B-4DF8-8DD6-86CB661673FF}" uniqueName="2892" name="Column2892" queryTableFieldId="2892"/>
    <tableColumn id="2893" xr3:uid="{FDBEA9F8-5025-441E-B4FE-7EC3CF0A43E7}" uniqueName="2893" name="Column2893" queryTableFieldId="2893"/>
    <tableColumn id="2894" xr3:uid="{77EAF27F-EDBA-432D-848E-613AA91EF2E9}" uniqueName="2894" name="Column2894" queryTableFieldId="2894"/>
    <tableColumn id="2895" xr3:uid="{4BC3F6F1-7F3A-47ED-BD91-8D34EB674816}" uniqueName="2895" name="Column2895" queryTableFieldId="2895"/>
    <tableColumn id="2896" xr3:uid="{829FF1A7-C68C-4E0A-882A-E344EFEC25D3}" uniqueName="2896" name="Column2896" queryTableFieldId="2896"/>
    <tableColumn id="2897" xr3:uid="{79E0DBCF-1640-42B3-836C-9A3D31BD78F5}" uniqueName="2897" name="Column2897" queryTableFieldId="2897"/>
    <tableColumn id="2898" xr3:uid="{B1F56786-54B5-48E0-B955-7B6695FD7355}" uniqueName="2898" name="Column2898" queryTableFieldId="2898"/>
    <tableColumn id="2899" xr3:uid="{58CAD856-D23F-46B7-999D-ADAE31C53DC9}" uniqueName="2899" name="Column2899" queryTableFieldId="2899"/>
    <tableColumn id="2900" xr3:uid="{9264EBE6-CF49-4C8C-9387-483D66B643A0}" uniqueName="2900" name="Column2900" queryTableFieldId="2900"/>
    <tableColumn id="2901" xr3:uid="{B33E8B70-BD7F-460F-BF78-C3970E3720EB}" uniqueName="2901" name="Column2901" queryTableFieldId="2901"/>
    <tableColumn id="2902" xr3:uid="{044470E3-717B-4D53-B27B-EDA9CDCE3C4B}" uniqueName="2902" name="Column2902" queryTableFieldId="2902"/>
    <tableColumn id="2903" xr3:uid="{725F4E24-92C4-4F0D-B5E6-22188C4BFC7F}" uniqueName="2903" name="Column2903" queryTableFieldId="2903"/>
    <tableColumn id="2904" xr3:uid="{FA03818C-49FE-4A2A-A33E-B238927CFA51}" uniqueName="2904" name="Column2904" queryTableFieldId="2904"/>
    <tableColumn id="2905" xr3:uid="{358DFD89-8D15-498C-8DAC-31194728BC59}" uniqueName="2905" name="Column2905" queryTableFieldId="2905"/>
    <tableColumn id="2906" xr3:uid="{0904A51A-5A1E-4113-9D03-B25DBD0E0862}" uniqueName="2906" name="Column2906" queryTableFieldId="2906"/>
    <tableColumn id="2907" xr3:uid="{E967C641-EB72-418B-BC1C-FB8D0B62066C}" uniqueName="2907" name="Column2907" queryTableFieldId="2907"/>
    <tableColumn id="2908" xr3:uid="{F4DF3D02-5435-40E9-9DDA-A14A36177333}" uniqueName="2908" name="Column2908" queryTableFieldId="2908"/>
    <tableColumn id="2909" xr3:uid="{F65394AD-570F-46A3-9AF5-0380EE23DAE6}" uniqueName="2909" name="Column2909" queryTableFieldId="2909"/>
    <tableColumn id="2910" xr3:uid="{361FCB90-7464-46F9-81B0-55D910013CD1}" uniqueName="2910" name="Column2910" queryTableFieldId="2910"/>
    <tableColumn id="2911" xr3:uid="{8E8A6A80-5BF9-43C9-A554-BC1F0E51C8D0}" uniqueName="2911" name="Column2911" queryTableFieldId="2911"/>
    <tableColumn id="2912" xr3:uid="{44AA2B39-78E0-4F95-9CD8-9CE3135E4C7D}" uniqueName="2912" name="Column2912" queryTableFieldId="2912"/>
    <tableColumn id="2913" xr3:uid="{ABBF8636-5E8C-44BB-92E7-8D3E2EF1CA03}" uniqueName="2913" name="Column2913" queryTableFieldId="2913"/>
    <tableColumn id="2914" xr3:uid="{8B33439D-45F7-4AAC-93B1-E57518A0E071}" uniqueName="2914" name="Column2914" queryTableFieldId="2914"/>
    <tableColumn id="2915" xr3:uid="{DB28732A-D847-433C-A539-B320475FE15E}" uniqueName="2915" name="Column2915" queryTableFieldId="2915"/>
    <tableColumn id="2916" xr3:uid="{E2C1E912-6B79-49D3-B34F-00D560EE32E2}" uniqueName="2916" name="Column2916" queryTableFieldId="2916"/>
    <tableColumn id="2917" xr3:uid="{7A638306-1DCE-4EAD-8AEE-ACFA57C3B324}" uniqueName="2917" name="Column2917" queryTableFieldId="2917"/>
    <tableColumn id="2918" xr3:uid="{FB62E039-3ACC-43AD-AA0F-CA309D11F597}" uniqueName="2918" name="Column2918" queryTableFieldId="2918"/>
    <tableColumn id="2919" xr3:uid="{19514EC0-5BC2-49AF-ABE9-ED60829DFFDD}" uniqueName="2919" name="Column2919" queryTableFieldId="2919"/>
    <tableColumn id="2920" xr3:uid="{C93F7C56-4766-48FF-9CA9-B0161FE16F8B}" uniqueName="2920" name="Column2920" queryTableFieldId="2920"/>
    <tableColumn id="2921" xr3:uid="{D4B145B8-BBC5-435A-B18D-8C2F379498AA}" uniqueName="2921" name="Column2921" queryTableFieldId="2921"/>
    <tableColumn id="2922" xr3:uid="{CDAC5970-94D5-48DE-A0CA-CCA43DF739EB}" uniqueName="2922" name="Column2922" queryTableFieldId="2922"/>
    <tableColumn id="2923" xr3:uid="{CB6A1881-20D2-4399-A2C9-E069E3EBB725}" uniqueName="2923" name="Column2923" queryTableFieldId="2923"/>
    <tableColumn id="2924" xr3:uid="{19817CA9-E1EB-44DA-8E91-9D7FBF46DD22}" uniqueName="2924" name="Column2924" queryTableFieldId="2924"/>
    <tableColumn id="2925" xr3:uid="{1CF789D6-08BB-4339-A9B6-9819BDA50B84}" uniqueName="2925" name="Column2925" queryTableFieldId="2925"/>
    <tableColumn id="2926" xr3:uid="{2AC56E21-8FCE-4B9D-A839-F981C558B01C}" uniqueName="2926" name="Column2926" queryTableFieldId="2926"/>
    <tableColumn id="2927" xr3:uid="{E0A26236-488E-4C4F-9FA1-25B03015CC44}" uniqueName="2927" name="Column2927" queryTableFieldId="2927"/>
    <tableColumn id="2928" xr3:uid="{D9C73F6A-6817-4234-A624-CFD2064C5EB5}" uniqueName="2928" name="Column2928" queryTableFieldId="2928"/>
    <tableColumn id="2929" xr3:uid="{9F7D2136-8D9D-42D6-830B-B79866362357}" uniqueName="2929" name="Column2929" queryTableFieldId="2929"/>
    <tableColumn id="2930" xr3:uid="{3C483666-9120-41B5-8B6B-F58DD71596BE}" uniqueName="2930" name="Column2930" queryTableFieldId="2930"/>
    <tableColumn id="2931" xr3:uid="{FB0C56E9-6BAE-4A39-B7ED-4CD85C15BDC7}" uniqueName="2931" name="Column2931" queryTableFieldId="2931"/>
    <tableColumn id="2932" xr3:uid="{6DA92CDE-D520-4E3B-BE1F-C89DAE06C291}" uniqueName="2932" name="Column2932" queryTableFieldId="2932"/>
    <tableColumn id="2933" xr3:uid="{0789ECFA-2759-444A-90CD-030694C67016}" uniqueName="2933" name="Column2933" queryTableFieldId="2933"/>
    <tableColumn id="2934" xr3:uid="{D7B5E437-87B1-4786-AE0F-745D924AAB8A}" uniqueName="2934" name="Column2934" queryTableFieldId="2934"/>
    <tableColumn id="2935" xr3:uid="{1712C192-B248-4AA9-8FAD-86BCBB4887B5}" uniqueName="2935" name="Column2935" queryTableFieldId="2935"/>
    <tableColumn id="2936" xr3:uid="{06EF16C4-A971-4D7E-BF38-8779A9F1D34E}" uniqueName="2936" name="Column2936" queryTableFieldId="2936"/>
    <tableColumn id="2937" xr3:uid="{85076BAE-3E06-4239-B0D6-0ACDA5DDEC38}" uniqueName="2937" name="Column2937" queryTableFieldId="2937"/>
    <tableColumn id="2938" xr3:uid="{2EF9C787-0294-45C2-8305-E6A66533031A}" uniqueName="2938" name="Column2938" queryTableFieldId="2938"/>
    <tableColumn id="2939" xr3:uid="{0CA468D1-6989-458F-8054-FD27C28C9350}" uniqueName="2939" name="Column2939" queryTableFieldId="2939"/>
    <tableColumn id="2940" xr3:uid="{E242D5F4-16C9-44C3-9FF5-F10ECEB45EB9}" uniqueName="2940" name="Column2940" queryTableFieldId="2940"/>
    <tableColumn id="2941" xr3:uid="{6043A32D-A3B6-4673-A72A-5CF35D1A426A}" uniqueName="2941" name="Column2941" queryTableFieldId="2941"/>
    <tableColumn id="2942" xr3:uid="{E8E1A808-3BDF-4686-8D25-1CA8325A3BB2}" uniqueName="2942" name="Column2942" queryTableFieldId="2942"/>
    <tableColumn id="2943" xr3:uid="{F79FA8B5-2750-4941-BD60-EF6394087C40}" uniqueName="2943" name="Column2943" queryTableFieldId="2943"/>
    <tableColumn id="2944" xr3:uid="{5EBABE63-1EB1-4E18-8B88-7821C051588B}" uniqueName="2944" name="Column2944" queryTableFieldId="2944"/>
    <tableColumn id="2945" xr3:uid="{D85550DD-5F85-4E1E-81CD-57C443D46713}" uniqueName="2945" name="Column2945" queryTableFieldId="2945"/>
    <tableColumn id="2946" xr3:uid="{436EC620-3F27-4553-9C0A-418987C46396}" uniqueName="2946" name="Column2946" queryTableFieldId="2946"/>
    <tableColumn id="2947" xr3:uid="{8CCE764A-077B-4E02-A55F-7C8A3A218F7A}" uniqueName="2947" name="Column2947" queryTableFieldId="2947"/>
    <tableColumn id="2948" xr3:uid="{4261F813-2ABF-4064-9CFA-C8077FFF1B5F}" uniqueName="2948" name="Column2948" queryTableFieldId="2948"/>
    <tableColumn id="2949" xr3:uid="{028F2E61-2B78-48B3-BAB1-DC7B2552A227}" uniqueName="2949" name="Column2949" queryTableFieldId="2949"/>
    <tableColumn id="2950" xr3:uid="{2BA68AEA-A609-4AE3-A243-EFE6468E3F5C}" uniqueName="2950" name="Column2950" queryTableFieldId="2950"/>
    <tableColumn id="2951" xr3:uid="{F9F1DD3F-0698-4920-9FA3-8B45A72FFE3A}" uniqueName="2951" name="Column2951" queryTableFieldId="2951"/>
    <tableColumn id="2952" xr3:uid="{FE082F19-6954-4857-A62D-D36EC55BCA57}" uniqueName="2952" name="Column2952" queryTableFieldId="2952"/>
    <tableColumn id="2953" xr3:uid="{1839BD7A-59E7-4F9F-9413-E052D13B7B1B}" uniqueName="2953" name="Column2953" queryTableFieldId="2953"/>
    <tableColumn id="2954" xr3:uid="{D6F3B620-37AE-4DD3-8256-B5091D7E87AC}" uniqueName="2954" name="Column2954" queryTableFieldId="2954"/>
    <tableColumn id="2955" xr3:uid="{FF397D91-4008-4483-9571-89CBAD584FEA}" uniqueName="2955" name="Column2955" queryTableFieldId="2955"/>
    <tableColumn id="2956" xr3:uid="{DB2562B4-5BAB-409F-A6C4-E6874D622B9E}" uniqueName="2956" name="Column2956" queryTableFieldId="2956"/>
    <tableColumn id="2957" xr3:uid="{2CF6CC8D-8992-4295-85FA-5A8FFA523835}" uniqueName="2957" name="Column2957" queryTableFieldId="2957"/>
    <tableColumn id="2958" xr3:uid="{F738A18B-941F-417B-986B-CACFCF77F34A}" uniqueName="2958" name="Column2958" queryTableFieldId="2958"/>
    <tableColumn id="2959" xr3:uid="{498E2908-AAA3-4574-8736-4B54D467BAE1}" uniqueName="2959" name="Column2959" queryTableFieldId="2959"/>
    <tableColumn id="2960" xr3:uid="{7EBE9EB2-0C9A-40F3-8241-2550F9B8AD0C}" uniqueName="2960" name="Column2960" queryTableFieldId="2960"/>
    <tableColumn id="2961" xr3:uid="{B0769F4F-65AB-4AD4-80DE-906229891907}" uniqueName="2961" name="Column2961" queryTableFieldId="2961"/>
    <tableColumn id="2962" xr3:uid="{ABDDE784-EA6A-4F35-A3B8-66B5DE0908AC}" uniqueName="2962" name="Column2962" queryTableFieldId="2962"/>
    <tableColumn id="2963" xr3:uid="{5D6A0DA4-C8ED-4AF1-A7C5-EBDC5D2C9D74}" uniqueName="2963" name="Column2963" queryTableFieldId="2963"/>
    <tableColumn id="2964" xr3:uid="{C24CE942-1A8D-4D24-AE7F-B0DB39FEBDD6}" uniqueName="2964" name="Column2964" queryTableFieldId="2964"/>
    <tableColumn id="2965" xr3:uid="{E090D0D7-0D77-4996-A02F-108B832F0963}" uniqueName="2965" name="Column2965" queryTableFieldId="2965"/>
    <tableColumn id="2966" xr3:uid="{227D86C4-8D61-4F2E-8E2B-2D0EF539394F}" uniqueName="2966" name="Column2966" queryTableFieldId="2966"/>
    <tableColumn id="2967" xr3:uid="{6B60F620-1E2F-4142-BECD-C4897241820D}" uniqueName="2967" name="Column2967" queryTableFieldId="2967"/>
    <tableColumn id="2968" xr3:uid="{F236DC64-0CBD-4A9F-BFA5-99FFF0EDDC3D}" uniqueName="2968" name="Column2968" queryTableFieldId="2968"/>
    <tableColumn id="2969" xr3:uid="{C2A09442-485F-4FF0-BB93-722B061FBAF0}" uniqueName="2969" name="Column2969" queryTableFieldId="2969"/>
    <tableColumn id="2970" xr3:uid="{8C374B96-D2AD-44B8-B2D4-DFCCBD1F2177}" uniqueName="2970" name="Column2970" queryTableFieldId="2970"/>
    <tableColumn id="2971" xr3:uid="{C30FBB3F-654D-4CAA-850B-EB2F9D34D9D5}" uniqueName="2971" name="Column2971" queryTableFieldId="2971"/>
    <tableColumn id="2972" xr3:uid="{BB539DA1-B330-4A02-BE6C-FF2E85A6E060}" uniqueName="2972" name="Column2972" queryTableFieldId="2972"/>
    <tableColumn id="2973" xr3:uid="{CBD9D677-1F2C-4E67-AE4E-F8F919940AB0}" uniqueName="2973" name="Column2973" queryTableFieldId="2973"/>
    <tableColumn id="2974" xr3:uid="{553EAD72-F567-47F6-8BA2-2D08F77AC9AF}" uniqueName="2974" name="Column2974" queryTableFieldId="2974"/>
    <tableColumn id="2975" xr3:uid="{936C7729-54CB-4AA0-BBA9-7619B31021F5}" uniqueName="2975" name="Column2975" queryTableFieldId="2975"/>
    <tableColumn id="2976" xr3:uid="{9A0D0763-9D9F-4511-9320-0A8686488F6A}" uniqueName="2976" name="Column2976" queryTableFieldId="2976"/>
    <tableColumn id="2977" xr3:uid="{9AA6D53E-F593-405B-9BE8-ADCEB99F6193}" uniqueName="2977" name="Column2977" queryTableFieldId="2977"/>
    <tableColumn id="2978" xr3:uid="{85BDEC77-29EE-4A8B-B120-EA2886DAD40C}" uniqueName="2978" name="Column2978" queryTableFieldId="2978"/>
    <tableColumn id="2979" xr3:uid="{8353218D-09D7-44F4-A842-E2BF2F4562A2}" uniqueName="2979" name="Column2979" queryTableFieldId="2979"/>
    <tableColumn id="2980" xr3:uid="{4E3B116A-B77B-488D-90CB-69579468C78F}" uniqueName="2980" name="Column2980" queryTableFieldId="2980"/>
    <tableColumn id="2981" xr3:uid="{3572F8C3-7A85-49EC-ABC1-D5D22641DA48}" uniqueName="2981" name="Column2981" queryTableFieldId="2981"/>
    <tableColumn id="2982" xr3:uid="{75C6B42B-2315-4164-9023-476787F37C7B}" uniqueName="2982" name="Column2982" queryTableFieldId="2982"/>
    <tableColumn id="2983" xr3:uid="{6C3825F6-CBE5-4BC2-A111-BA1981C39EBB}" uniqueName="2983" name="Column2983" queryTableFieldId="2983"/>
    <tableColumn id="2984" xr3:uid="{5C63BE9E-DC2C-49D9-A449-42BF6EAB8D3E}" uniqueName="2984" name="Column2984" queryTableFieldId="2984"/>
    <tableColumn id="2985" xr3:uid="{A55314D5-31B5-458E-A853-DFF47803D413}" uniqueName="2985" name="Column2985" queryTableFieldId="2985"/>
    <tableColumn id="2986" xr3:uid="{61480ADB-91A4-44CE-BC01-E526D281FD83}" uniqueName="2986" name="Column2986" queryTableFieldId="2986"/>
    <tableColumn id="2987" xr3:uid="{3B29776C-75A0-475F-99C5-2842418DD532}" uniqueName="2987" name="Column2987" queryTableFieldId="2987"/>
    <tableColumn id="2988" xr3:uid="{CF9F9872-7ADB-48D7-989E-E01BFB08BE7E}" uniqueName="2988" name="Column2988" queryTableFieldId="2988"/>
    <tableColumn id="2989" xr3:uid="{B3A2AAE2-DB2F-43BA-84AC-BE181E4893B1}" uniqueName="2989" name="Column2989" queryTableFieldId="2989"/>
    <tableColumn id="2990" xr3:uid="{3ACE251B-FD97-48A0-B3C1-E1A128C9E821}" uniqueName="2990" name="Column2990" queryTableFieldId="2990"/>
    <tableColumn id="2991" xr3:uid="{1DC760C5-3970-4FC4-AD13-9EBF9EE13325}" uniqueName="2991" name="Column2991" queryTableFieldId="2991"/>
    <tableColumn id="2992" xr3:uid="{B35B42E1-AA69-4B1F-AC76-FCA3A7712B83}" uniqueName="2992" name="Column2992" queryTableFieldId="2992"/>
    <tableColumn id="2993" xr3:uid="{97D7211B-2E72-47A6-9F02-CD7B4EC4DF59}" uniqueName="2993" name="Column2993" queryTableFieldId="2993"/>
    <tableColumn id="2994" xr3:uid="{CFCC6E67-DF46-4DA6-BFC2-C3EE175520CA}" uniqueName="2994" name="Column2994" queryTableFieldId="2994"/>
    <tableColumn id="2995" xr3:uid="{2C440A23-6074-4200-85B1-7E183609E525}" uniqueName="2995" name="Column2995" queryTableFieldId="2995"/>
    <tableColumn id="2996" xr3:uid="{31A39012-2F01-491D-80DD-AA3BC5DCEADD}" uniqueName="2996" name="Column2996" queryTableFieldId="2996"/>
    <tableColumn id="2997" xr3:uid="{FABABA05-776D-4140-A854-90A48A138974}" uniqueName="2997" name="Column2997" queryTableFieldId="2997"/>
    <tableColumn id="2998" xr3:uid="{3E9A4269-0DE0-4247-8F34-E9E312AFA4D9}" uniqueName="2998" name="Column2998" queryTableFieldId="2998"/>
    <tableColumn id="2999" xr3:uid="{44563D0C-F3B1-40CD-8E22-F59F4E189679}" uniqueName="2999" name="Column2999" queryTableFieldId="2999"/>
    <tableColumn id="3000" xr3:uid="{1A626D20-9929-46F8-A85F-5101059976AA}" uniqueName="3000" name="Column3000" queryTableFieldId="3000"/>
    <tableColumn id="3001" xr3:uid="{2DEB6000-383C-47AF-BB12-6618EF662289}" uniqueName="3001" name="Column3001" queryTableFieldId="3001"/>
    <tableColumn id="3002" xr3:uid="{00CD2998-CF05-4BA9-9D25-14EA95AD64C3}" uniqueName="3002" name="Column3002" queryTableFieldId="3002"/>
    <tableColumn id="3003" xr3:uid="{4E312960-B00F-42BE-9FB9-649F59573F04}" uniqueName="3003" name="Column3003" queryTableFieldId="3003"/>
    <tableColumn id="3004" xr3:uid="{DC701DCC-1A2E-4C9A-B32C-1A9FC4611638}" uniqueName="3004" name="Column3004" queryTableFieldId="3004"/>
    <tableColumn id="3005" xr3:uid="{F281ED5A-34B0-44DF-B9F7-CE27ECF5AC88}" uniqueName="3005" name="Column3005" queryTableFieldId="3005"/>
    <tableColumn id="3006" xr3:uid="{BDFAC64D-4504-408F-98D7-6E70DF1AE0CA}" uniqueName="3006" name="Column3006" queryTableFieldId="3006"/>
    <tableColumn id="3007" xr3:uid="{1A5572FB-AA24-4460-A9A2-47682121B1DD}" uniqueName="3007" name="Column3007" queryTableFieldId="3007"/>
    <tableColumn id="3008" xr3:uid="{757094EC-61C4-465B-8B33-AEA8BC3838CC}" uniqueName="3008" name="Column3008" queryTableFieldId="3008"/>
    <tableColumn id="3009" xr3:uid="{769E5EE6-1D50-42EB-AC4C-A76CEC5B5642}" uniqueName="3009" name="Column3009" queryTableFieldId="3009"/>
    <tableColumn id="3010" xr3:uid="{3A183ED5-A8C2-47D5-9806-409C60CE37C0}" uniqueName="3010" name="Column3010" queryTableFieldId="3010"/>
    <tableColumn id="3011" xr3:uid="{36AA0907-5CE9-4480-B514-FA226DF8B46A}" uniqueName="3011" name="Column3011" queryTableFieldId="3011"/>
    <tableColumn id="3012" xr3:uid="{D24D7EDC-7023-4705-8148-945231DC5DE6}" uniqueName="3012" name="Column3012" queryTableFieldId="3012"/>
    <tableColumn id="3013" xr3:uid="{896409B5-70AD-4E04-9500-17DABF0188EE}" uniqueName="3013" name="Column3013" queryTableFieldId="3013"/>
    <tableColumn id="3014" xr3:uid="{DB621F0E-A20A-4F16-816C-DA4D623882F1}" uniqueName="3014" name="Column3014" queryTableFieldId="3014"/>
    <tableColumn id="3015" xr3:uid="{D7F5A9E5-9285-4CEA-9442-5075085254FA}" uniqueName="3015" name="Column3015" queryTableFieldId="3015"/>
    <tableColumn id="3016" xr3:uid="{56435113-701D-47F3-AC51-3F7BAB494B32}" uniqueName="3016" name="Column3016" queryTableFieldId="3016"/>
    <tableColumn id="3017" xr3:uid="{81FE3AE8-693B-48D4-A420-4804E565D632}" uniqueName="3017" name="Column3017" queryTableFieldId="3017"/>
    <tableColumn id="3018" xr3:uid="{5C909537-ECDD-4158-ADE1-7887C1BDC5ED}" uniqueName="3018" name="Column3018" queryTableFieldId="3018"/>
    <tableColumn id="3019" xr3:uid="{BAD12131-2943-4FFE-B4C5-1FE3B6DCD52F}" uniqueName="3019" name="Column3019" queryTableFieldId="3019"/>
    <tableColumn id="3020" xr3:uid="{D88A9BAE-9F41-4360-AC29-45B24BCDAD7D}" uniqueName="3020" name="Column3020" queryTableFieldId="3020"/>
    <tableColumn id="3021" xr3:uid="{EF882E46-C637-4B94-924E-287764C2E27B}" uniqueName="3021" name="Column3021" queryTableFieldId="3021"/>
    <tableColumn id="3022" xr3:uid="{AB155EE5-BFCC-4012-899F-4BE7630E8D80}" uniqueName="3022" name="Column3022" queryTableFieldId="3022"/>
    <tableColumn id="3023" xr3:uid="{F6ECF998-CCA1-43AC-A849-542AC81DFDB2}" uniqueName="3023" name="Column3023" queryTableFieldId="3023"/>
    <tableColumn id="3024" xr3:uid="{E0E0D53A-DFF5-49F2-B22B-014BD5AE5498}" uniqueName="3024" name="Column3024" queryTableFieldId="3024"/>
    <tableColumn id="3025" xr3:uid="{7000751D-8135-4655-AD6F-F0372B0624C7}" uniqueName="3025" name="Column3025" queryTableFieldId="3025"/>
    <tableColumn id="3026" xr3:uid="{4F9C5C6B-05FC-4C55-8225-9B25ADBDE708}" uniqueName="3026" name="Column3026" queryTableFieldId="3026"/>
    <tableColumn id="3027" xr3:uid="{625BF809-2A6E-46A2-98EB-7A537EA8A86E}" uniqueName="3027" name="Column3027" queryTableFieldId="3027"/>
    <tableColumn id="3028" xr3:uid="{516C702D-3DFB-45A5-BEC1-4336005C2E58}" uniqueName="3028" name="Column3028" queryTableFieldId="3028"/>
    <tableColumn id="3029" xr3:uid="{9261ACD6-C1EB-4EB5-A26E-C665817FDB1B}" uniqueName="3029" name="Column3029" queryTableFieldId="3029"/>
    <tableColumn id="3030" xr3:uid="{80FE9735-E306-4F03-8EA6-5FDB261A6E1D}" uniqueName="3030" name="Column3030" queryTableFieldId="3030"/>
    <tableColumn id="3031" xr3:uid="{1219B4C9-8880-4F24-836C-4AC0265C454E}" uniqueName="3031" name="Column3031" queryTableFieldId="3031"/>
    <tableColumn id="3032" xr3:uid="{69E789FB-36E4-40FC-81CA-74EB007008B9}" uniqueName="3032" name="Column3032" queryTableFieldId="3032"/>
    <tableColumn id="3033" xr3:uid="{A651322E-DC1B-4AC2-9FBD-2D2C0F3071AA}" uniqueName="3033" name="Column3033" queryTableFieldId="3033"/>
    <tableColumn id="3034" xr3:uid="{61DF7145-0FED-4804-B73E-70C6A0867A16}" uniqueName="3034" name="Column3034" queryTableFieldId="3034"/>
    <tableColumn id="3035" xr3:uid="{6F7EDEED-4979-4B93-9B5D-86C66901AB7D}" uniqueName="3035" name="Column3035" queryTableFieldId="3035"/>
    <tableColumn id="3036" xr3:uid="{CF43F337-942D-49B5-ABE9-50564BDFD1D0}" uniqueName="3036" name="Column3036" queryTableFieldId="3036"/>
    <tableColumn id="3037" xr3:uid="{FB24D739-4820-4426-939B-9C02BB774E6E}" uniqueName="3037" name="Column3037" queryTableFieldId="3037"/>
    <tableColumn id="3038" xr3:uid="{3A3D6C5E-B5FC-4CB6-81B3-141DCBB3CFBF}" uniqueName="3038" name="Column3038" queryTableFieldId="3038"/>
    <tableColumn id="3039" xr3:uid="{8C7D5A51-2F6C-4912-A87E-337F306F759A}" uniqueName="3039" name="Column3039" queryTableFieldId="3039"/>
    <tableColumn id="3040" xr3:uid="{FE4A2251-F600-4645-A2AE-B8D37E6A55A2}" uniqueName="3040" name="Column3040" queryTableFieldId="3040"/>
    <tableColumn id="3041" xr3:uid="{C9ABE5C7-FB6C-43E6-B240-A3A54FA55628}" uniqueName="3041" name="Column3041" queryTableFieldId="3041"/>
    <tableColumn id="3042" xr3:uid="{A4F75614-90DE-4A70-B8BA-744C545DD09A}" uniqueName="3042" name="Column3042" queryTableFieldId="3042"/>
    <tableColumn id="3043" xr3:uid="{01D2B2E1-1137-48B3-B07B-ADC6AE465A36}" uniqueName="3043" name="Column3043" queryTableFieldId="3043"/>
    <tableColumn id="3044" xr3:uid="{ED333E9E-6215-4594-B585-230F818AB161}" uniqueName="3044" name="Column3044" queryTableFieldId="3044"/>
    <tableColumn id="3045" xr3:uid="{BC472BA4-6670-41EC-B41A-2C43D1AE0EF3}" uniqueName="3045" name="Column3045" queryTableFieldId="3045"/>
    <tableColumn id="3046" xr3:uid="{5B1DE53E-989A-4BC9-96FF-431976DEAB50}" uniqueName="3046" name="Column3046" queryTableFieldId="3046"/>
    <tableColumn id="3047" xr3:uid="{310CDA3E-DCEC-47D3-B62A-ACAAD0EAFE19}" uniqueName="3047" name="Column3047" queryTableFieldId="3047"/>
    <tableColumn id="3048" xr3:uid="{9BB8D92C-AA32-474F-A76C-DB6DD6682CFE}" uniqueName="3048" name="Column3048" queryTableFieldId="3048"/>
    <tableColumn id="3049" xr3:uid="{5D8A4895-2FBA-4F4C-90E7-27C666E5B5B8}" uniqueName="3049" name="Column3049" queryTableFieldId="3049"/>
    <tableColumn id="3050" xr3:uid="{71923604-4E34-4DF6-BAB4-5761B3221054}" uniqueName="3050" name="Column3050" queryTableFieldId="3050"/>
    <tableColumn id="3051" xr3:uid="{5FD23EC2-479F-4227-8B97-757BF68ECA23}" uniqueName="3051" name="Column3051" queryTableFieldId="3051"/>
    <tableColumn id="3052" xr3:uid="{0D8FCBF1-946D-4EC5-91C0-4DD8AC689C0C}" uniqueName="3052" name="Column3052" queryTableFieldId="3052"/>
    <tableColumn id="3053" xr3:uid="{7881ECCD-A56F-46A4-A14A-CB5D4AAEF842}" uniqueName="3053" name="Column3053" queryTableFieldId="3053"/>
    <tableColumn id="3054" xr3:uid="{CB169DA0-8035-4BD6-8557-316C13F8BE9A}" uniqueName="3054" name="Column3054" queryTableFieldId="3054"/>
    <tableColumn id="3055" xr3:uid="{9674AFB6-AA2A-434C-B37E-B2E6BCA808E4}" uniqueName="3055" name="Column3055" queryTableFieldId="3055"/>
    <tableColumn id="3056" xr3:uid="{7EC190AA-3AA3-49FA-9DB4-5053BBDEE8D5}" uniqueName="3056" name="Column3056" queryTableFieldId="3056"/>
    <tableColumn id="3057" xr3:uid="{EFF9D38D-91B4-4EF2-B5F5-4BE9A0891A5F}" uniqueName="3057" name="Column3057" queryTableFieldId="3057"/>
    <tableColumn id="3058" xr3:uid="{3F859673-7FE7-4EFD-A934-515921407E00}" uniqueName="3058" name="Column3058" queryTableFieldId="3058"/>
    <tableColumn id="3059" xr3:uid="{43A71264-BA79-4EB2-AF16-ABB5DC8D4E68}" uniqueName="3059" name="Column3059" queryTableFieldId="3059"/>
    <tableColumn id="3060" xr3:uid="{AA3DCCEC-97C9-443E-A26D-522923D51BC9}" uniqueName="3060" name="Column3060" queryTableFieldId="3060"/>
    <tableColumn id="3061" xr3:uid="{BE33247A-63AE-4BDD-8ED2-C4B7F6D4AA78}" uniqueName="3061" name="Column3061" queryTableFieldId="3061"/>
    <tableColumn id="3062" xr3:uid="{2D7853B2-E170-48A4-9B27-68810E9193BE}" uniqueName="3062" name="Column3062" queryTableFieldId="3062"/>
    <tableColumn id="3063" xr3:uid="{ACDED75B-9E63-4239-B0BE-94A783196A85}" uniqueName="3063" name="Column3063" queryTableFieldId="3063"/>
    <tableColumn id="3064" xr3:uid="{D43DEC42-BE0C-4571-B66D-C2E082C092DE}" uniqueName="3064" name="Column3064" queryTableFieldId="3064"/>
    <tableColumn id="3065" xr3:uid="{D0775EC2-437A-408D-9C9F-DBD51D8FC33B}" uniqueName="3065" name="Column3065" queryTableFieldId="3065"/>
    <tableColumn id="3066" xr3:uid="{141F69B8-0A07-4417-BB6B-243AE8820EE1}" uniqueName="3066" name="Column3066" queryTableFieldId="3066"/>
    <tableColumn id="3067" xr3:uid="{818F3E36-7134-441C-BC09-E3AD25557B59}" uniqueName="3067" name="Column3067" queryTableFieldId="3067"/>
    <tableColumn id="3068" xr3:uid="{8A3C8E79-A9B4-4F17-BEA7-2967F4205A34}" uniqueName="3068" name="Column3068" queryTableFieldId="3068"/>
    <tableColumn id="3069" xr3:uid="{07A83537-28CD-470D-BBEA-81FC1D8142E6}" uniqueName="3069" name="Column3069" queryTableFieldId="3069"/>
    <tableColumn id="3070" xr3:uid="{F9967B4F-246F-40D8-BE49-D3F2286159AA}" uniqueName="3070" name="Column3070" queryTableFieldId="3070"/>
    <tableColumn id="3071" xr3:uid="{48FC2502-1C32-443A-9CC1-EA3E7E58AA26}" uniqueName="3071" name="Column3071" queryTableFieldId="3071"/>
    <tableColumn id="3072" xr3:uid="{E80BF379-69D4-491F-AA06-B859575DECF2}" uniqueName="3072" name="Column3072" queryTableFieldId="3072"/>
    <tableColumn id="3073" xr3:uid="{894329FD-26DD-41D9-9C84-F718A02ADDBC}" uniqueName="3073" name="Column3073" queryTableFieldId="3073"/>
    <tableColumn id="3074" xr3:uid="{21B32E11-0B86-4E0B-8E08-34483381566A}" uniqueName="3074" name="Column3074" queryTableFieldId="3074"/>
    <tableColumn id="3075" xr3:uid="{3EAD9946-BBE3-44E2-B722-101148894781}" uniqueName="3075" name="Column3075" queryTableFieldId="3075"/>
    <tableColumn id="3076" xr3:uid="{59CAA9E1-19ED-4831-B745-94253AC02CC2}" uniqueName="3076" name="Column3076" queryTableFieldId="3076"/>
    <tableColumn id="3077" xr3:uid="{F2342B22-B6CE-4DA7-90EB-FD5A423CF941}" uniqueName="3077" name="Column3077" queryTableFieldId="3077"/>
    <tableColumn id="3078" xr3:uid="{5344A70B-4F62-4991-A9FC-7EC9E8BA14DB}" uniqueName="3078" name="Column3078" queryTableFieldId="3078"/>
    <tableColumn id="3079" xr3:uid="{0D3BDD80-B8F1-4409-868E-EDF48A5BAF5E}" uniqueName="3079" name="Column3079" queryTableFieldId="3079"/>
    <tableColumn id="3080" xr3:uid="{89FFED0F-34A2-4B07-97E8-398B8F0FFAF8}" uniqueName="3080" name="Column3080" queryTableFieldId="3080"/>
    <tableColumn id="3081" xr3:uid="{1C8F0096-124F-428D-B2F3-D596D01D67EA}" uniqueName="3081" name="Column3081" queryTableFieldId="3081"/>
    <tableColumn id="3082" xr3:uid="{55662342-20B9-4512-B889-EEDE535317EF}" uniqueName="3082" name="Column3082" queryTableFieldId="3082"/>
    <tableColumn id="3083" xr3:uid="{DD764707-3113-4B44-B64C-1C97086D5085}" uniqueName="3083" name="Column3083" queryTableFieldId="3083"/>
    <tableColumn id="3084" xr3:uid="{41F5189D-B531-4A5B-9920-E83A8CE78E5A}" uniqueName="3084" name="Column3084" queryTableFieldId="3084"/>
    <tableColumn id="3085" xr3:uid="{589EDFF5-FC23-44EB-8DE5-34EDCD361D5C}" uniqueName="3085" name="Column3085" queryTableFieldId="3085"/>
    <tableColumn id="3086" xr3:uid="{AB4C7CC6-7D7D-42EB-A24D-FA1B073C9032}" uniqueName="3086" name="Column3086" queryTableFieldId="3086"/>
    <tableColumn id="3087" xr3:uid="{D87ACB25-05C8-4090-B5C3-0ED2E49F3947}" uniqueName="3087" name="Column3087" queryTableFieldId="3087"/>
    <tableColumn id="3088" xr3:uid="{0D7BC605-8ED2-441B-B44D-BE46BFBA54D8}" uniqueName="3088" name="Column3088" queryTableFieldId="3088"/>
    <tableColumn id="3089" xr3:uid="{CEE11EB6-D8F8-4FC1-899C-7F641432D161}" uniqueName="3089" name="Column3089" queryTableFieldId="3089"/>
    <tableColumn id="3090" xr3:uid="{FA3F5702-79B8-4AC5-AA45-BCB45C32F885}" uniqueName="3090" name="Column3090" queryTableFieldId="3090"/>
    <tableColumn id="3091" xr3:uid="{DB7D092C-C8B0-45EC-914F-51E4C5888F03}" uniqueName="3091" name="Column3091" queryTableFieldId="3091"/>
    <tableColumn id="3092" xr3:uid="{E9A6DE81-4C64-4206-9CF4-1F2B1E01B13B}" uniqueName="3092" name="Column3092" queryTableFieldId="3092"/>
    <tableColumn id="3093" xr3:uid="{17DBF76D-43D1-4906-83FA-DDC86DF8665B}" uniqueName="3093" name="Column3093" queryTableFieldId="3093"/>
    <tableColumn id="3094" xr3:uid="{83E9F706-07E7-4FC1-B3D3-9CC64A7B51FD}" uniqueName="3094" name="Column3094" queryTableFieldId="3094"/>
    <tableColumn id="3095" xr3:uid="{15419B10-A4CB-4656-BE81-3A58C106BB2D}" uniqueName="3095" name="Column3095" queryTableFieldId="3095"/>
    <tableColumn id="3096" xr3:uid="{8C38443F-D8B4-4A01-A827-7AD29956F7F3}" uniqueName="3096" name="Column3096" queryTableFieldId="3096"/>
    <tableColumn id="3097" xr3:uid="{ECF656E0-B4A0-4280-8AA6-FB21BF87EAD9}" uniqueName="3097" name="Column3097" queryTableFieldId="3097"/>
    <tableColumn id="3098" xr3:uid="{0B0C6E3D-4C10-4249-BE0F-FF3194FE1059}" uniqueName="3098" name="Column3098" queryTableFieldId="3098"/>
    <tableColumn id="3099" xr3:uid="{7D8E158F-DD7E-4035-A9FC-88A6447D9822}" uniqueName="3099" name="Column3099" queryTableFieldId="3099"/>
    <tableColumn id="3100" xr3:uid="{7737C1E3-01F6-4527-B795-10BD7D3F75B9}" uniqueName="3100" name="Column3100" queryTableFieldId="3100"/>
    <tableColumn id="3101" xr3:uid="{3B45F23C-B8E8-4520-B3EF-E6F6D1BAD024}" uniqueName="3101" name="Column3101" queryTableFieldId="3101"/>
    <tableColumn id="3102" xr3:uid="{177E3A26-2706-4BAB-A8B9-AC689644E2EF}" uniqueName="3102" name="Column3102" queryTableFieldId="3102"/>
    <tableColumn id="3103" xr3:uid="{FCC49769-E922-43A0-A6CB-8A277F17223D}" uniqueName="3103" name="Column3103" queryTableFieldId="3103"/>
    <tableColumn id="3104" xr3:uid="{533AC540-865C-4B2F-9988-F2D92D7A64F7}" uniqueName="3104" name="Column3104" queryTableFieldId="3104"/>
    <tableColumn id="3105" xr3:uid="{1DA030C9-6DAD-4AC5-AB96-FA340F5FDE65}" uniqueName="3105" name="Column3105" queryTableFieldId="3105"/>
    <tableColumn id="3106" xr3:uid="{A77BB00B-8309-4CB7-A29B-9F6C0980CE88}" uniqueName="3106" name="Column3106" queryTableFieldId="3106"/>
    <tableColumn id="3107" xr3:uid="{CA05E238-9587-43F1-B039-EC4CB2B63225}" uniqueName="3107" name="Column3107" queryTableFieldId="3107"/>
    <tableColumn id="3108" xr3:uid="{FBC54ABD-D900-4CCF-A4EC-3AE103110478}" uniqueName="3108" name="Column3108" queryTableFieldId="3108"/>
    <tableColumn id="3109" xr3:uid="{A7DE1883-4F25-42B2-9135-1E155EEA587E}" uniqueName="3109" name="Column3109" queryTableFieldId="3109"/>
    <tableColumn id="3110" xr3:uid="{29A599FD-96A3-4FE8-80CE-0172ACB52E18}" uniqueName="3110" name="Column3110" queryTableFieldId="3110"/>
    <tableColumn id="3111" xr3:uid="{71C5A893-5598-4EA2-A829-A7310126A972}" uniqueName="3111" name="Column3111" queryTableFieldId="3111"/>
    <tableColumn id="3112" xr3:uid="{75047302-CCD7-4F40-B663-A80E04AFE61B}" uniqueName="3112" name="Column3112" queryTableFieldId="3112"/>
    <tableColumn id="3113" xr3:uid="{16B2B4CF-02EC-4F7F-B8ED-9B99BE8DD884}" uniqueName="3113" name="Column3113" queryTableFieldId="3113"/>
    <tableColumn id="3114" xr3:uid="{53FB2205-73A2-4BE1-BEE0-D1690FECCF46}" uniqueName="3114" name="Column3114" queryTableFieldId="3114"/>
    <tableColumn id="3115" xr3:uid="{84E6C1FF-D6F2-4AA1-A90B-ED6A211884C3}" uniqueName="3115" name="Column3115" queryTableFieldId="3115"/>
    <tableColumn id="3116" xr3:uid="{67071D0C-D972-4BFD-A113-0D836DFEB934}" uniqueName="3116" name="Column3116" queryTableFieldId="3116"/>
    <tableColumn id="3117" xr3:uid="{38425F9A-C9B5-4F4F-8CA6-6CE1D37AD758}" uniqueName="3117" name="Column3117" queryTableFieldId="3117"/>
    <tableColumn id="3118" xr3:uid="{F576867C-9761-4C5B-981E-733BB3DBD6F9}" uniqueName="3118" name="Column3118" queryTableFieldId="3118"/>
    <tableColumn id="3119" xr3:uid="{FC4EC368-6715-46EF-AF8C-7BD00C39F4A0}" uniqueName="3119" name="Column3119" queryTableFieldId="3119"/>
    <tableColumn id="3120" xr3:uid="{C493A049-D1A9-47C7-8B7F-73060B7F6E55}" uniqueName="3120" name="Column3120" queryTableFieldId="3120"/>
    <tableColumn id="3121" xr3:uid="{16E1B339-8DBD-423E-9C9A-27F5BD94B0E7}" uniqueName="3121" name="Column3121" queryTableFieldId="3121"/>
    <tableColumn id="3122" xr3:uid="{10D61378-852B-4A44-B73A-6FCA92C938FE}" uniqueName="3122" name="Column3122" queryTableFieldId="3122"/>
    <tableColumn id="3123" xr3:uid="{ABCB34C2-9269-4FD7-9CB8-E4D46099FE8E}" uniqueName="3123" name="Column3123" queryTableFieldId="3123"/>
    <tableColumn id="3124" xr3:uid="{2636CAF2-F41F-4C0A-B36C-059D32CC4074}" uniqueName="3124" name="Column3124" queryTableFieldId="3124"/>
    <tableColumn id="3125" xr3:uid="{23993ABD-2094-4E3C-BDDB-E8FBBAD94746}" uniqueName="3125" name="Column3125" queryTableFieldId="3125"/>
    <tableColumn id="3126" xr3:uid="{6CD94922-8F0D-4F41-A595-C328BA3E9544}" uniqueName="3126" name="Column3126" queryTableFieldId="3126"/>
    <tableColumn id="3127" xr3:uid="{17F4656B-232F-4310-AB67-A15ABDBFEA72}" uniqueName="3127" name="Column3127" queryTableFieldId="3127"/>
    <tableColumn id="3128" xr3:uid="{8CD8CF87-348D-4D08-AA0C-9E92C4F055DA}" uniqueName="3128" name="Column3128" queryTableFieldId="3128"/>
    <tableColumn id="3129" xr3:uid="{FC5F1974-5071-47EC-BE44-F0064C6F1C00}" uniqueName="3129" name="Column3129" queryTableFieldId="3129"/>
    <tableColumn id="3130" xr3:uid="{BFE98918-FC17-4735-A91B-BB93D3F6316C}" uniqueName="3130" name="Column3130" queryTableFieldId="3130"/>
    <tableColumn id="3131" xr3:uid="{E7ABE2B0-5799-4DBD-AC52-DA00641AACF0}" uniqueName="3131" name="Column3131" queryTableFieldId="3131"/>
    <tableColumn id="3132" xr3:uid="{D0F275FC-1E9A-47A7-A696-37C661B4B29D}" uniqueName="3132" name="Column3132" queryTableFieldId="3132"/>
    <tableColumn id="3133" xr3:uid="{68FECFEC-E35E-4856-A511-B104D113A66C}" uniqueName="3133" name="Column3133" queryTableFieldId="3133"/>
    <tableColumn id="3134" xr3:uid="{BC4EE63C-4496-474C-AA02-0E0FB43044D0}" uniqueName="3134" name="Column3134" queryTableFieldId="3134"/>
    <tableColumn id="3135" xr3:uid="{5BEC6965-6524-4696-86E9-77ACCAF8FB19}" uniqueName="3135" name="Column3135" queryTableFieldId="3135"/>
    <tableColumn id="3136" xr3:uid="{624B5FEB-B08B-44FF-AB2C-D7074583CAC0}" uniqueName="3136" name="Column3136" queryTableFieldId="3136"/>
    <tableColumn id="3137" xr3:uid="{9649E91D-C9F7-4CB7-8CC5-92C7A5DC743E}" uniqueName="3137" name="Column3137" queryTableFieldId="3137"/>
    <tableColumn id="3138" xr3:uid="{1D1A0212-D5B0-4DA1-B1A5-5C9B899FF65D}" uniqueName="3138" name="Column3138" queryTableFieldId="3138"/>
    <tableColumn id="3139" xr3:uid="{8E1EEDEB-8433-4F0D-BD91-9E1E96F79EFB}" uniqueName="3139" name="Column3139" queryTableFieldId="3139"/>
    <tableColumn id="3140" xr3:uid="{5355BF86-9CE1-413F-B075-F7E57A168E09}" uniqueName="3140" name="Column3140" queryTableFieldId="3140"/>
    <tableColumn id="3141" xr3:uid="{340B617F-839D-492C-B9EA-0B5630F7B643}" uniqueName="3141" name="Column3141" queryTableFieldId="3141"/>
    <tableColumn id="3142" xr3:uid="{2395FCA2-45BD-4ED1-A986-871E3AB09336}" uniqueName="3142" name="Column3142" queryTableFieldId="3142"/>
    <tableColumn id="3143" xr3:uid="{16782FA3-F9E0-46D1-A353-990E0CE64638}" uniqueName="3143" name="Column3143" queryTableFieldId="3143"/>
    <tableColumn id="3144" xr3:uid="{BB023564-C598-4E03-AB28-4B29C8E5E6CF}" uniqueName="3144" name="Column3144" queryTableFieldId="3144"/>
    <tableColumn id="3145" xr3:uid="{56B9F419-B91B-44BB-B3C9-1CD0EFC1961B}" uniqueName="3145" name="Column3145" queryTableFieldId="3145"/>
    <tableColumn id="3146" xr3:uid="{BEAFD06A-770D-4B0D-A7A6-C5E3A09879FE}" uniqueName="3146" name="Column3146" queryTableFieldId="3146"/>
    <tableColumn id="3147" xr3:uid="{7C6DC1D3-EC3C-4F6A-9F5D-D32E49BE1A47}" uniqueName="3147" name="Column3147" queryTableFieldId="3147"/>
    <tableColumn id="3148" xr3:uid="{9D238D22-1CC9-45A4-A4F6-7CC69FD1A3EF}" uniqueName="3148" name="Column3148" queryTableFieldId="3148"/>
    <tableColumn id="3149" xr3:uid="{1418B44A-632D-4EA2-A918-16568349BB8A}" uniqueName="3149" name="Column3149" queryTableFieldId="3149"/>
    <tableColumn id="3150" xr3:uid="{91B429FB-4094-4809-8F63-3AF291C9EF80}" uniqueName="3150" name="Column3150" queryTableFieldId="3150"/>
    <tableColumn id="3151" xr3:uid="{54E0018C-DE23-432A-8A50-7C7B3498F960}" uniqueName="3151" name="Column3151" queryTableFieldId="3151"/>
    <tableColumn id="3152" xr3:uid="{5459A58C-CD61-4318-85CF-CC3FE1F0846E}" uniqueName="3152" name="Column3152" queryTableFieldId="3152"/>
    <tableColumn id="3153" xr3:uid="{1D3C15C5-31E8-499E-B703-9A1A40D45AD5}" uniqueName="3153" name="Column3153" queryTableFieldId="3153"/>
    <tableColumn id="3154" xr3:uid="{001620FB-DC0B-4C48-BC27-75397D355812}" uniqueName="3154" name="Column3154" queryTableFieldId="3154"/>
    <tableColumn id="3155" xr3:uid="{D3D3462A-107A-4483-BCEB-1FE03E6BEDE4}" uniqueName="3155" name="Column3155" queryTableFieldId="3155"/>
    <tableColumn id="3156" xr3:uid="{D029B4BD-DA30-4288-AF08-8556ADDEFCF7}" uniqueName="3156" name="Column3156" queryTableFieldId="3156"/>
    <tableColumn id="3157" xr3:uid="{816FDA98-3D81-4263-9CBE-737B26B51A1D}" uniqueName="3157" name="Column3157" queryTableFieldId="3157"/>
    <tableColumn id="3158" xr3:uid="{379E2555-4478-487E-9313-EA446495FE33}" uniqueName="3158" name="Column3158" queryTableFieldId="3158"/>
    <tableColumn id="3159" xr3:uid="{4117917D-6C63-4C35-8B5D-48079B65CFA9}" uniqueName="3159" name="Column3159" queryTableFieldId="3159"/>
    <tableColumn id="3160" xr3:uid="{E3E112CD-78CC-454B-A135-96552DEFF447}" uniqueName="3160" name="Column3160" queryTableFieldId="3160"/>
    <tableColumn id="3161" xr3:uid="{2574049C-9C6E-4D1D-B211-B22C42DD31C5}" uniqueName="3161" name="Column3161" queryTableFieldId="3161"/>
    <tableColumn id="3162" xr3:uid="{1E01063D-5655-4ED5-BC42-727B85DF0CBE}" uniqueName="3162" name="Column3162" queryTableFieldId="3162"/>
    <tableColumn id="3163" xr3:uid="{DB3C6C05-C231-4F6F-B65F-99E6F7F91C16}" uniqueName="3163" name="Column3163" queryTableFieldId="3163"/>
    <tableColumn id="3164" xr3:uid="{A86629AA-C4E9-4BD1-B149-E73FA4125716}" uniqueName="3164" name="Column3164" queryTableFieldId="3164"/>
    <tableColumn id="3165" xr3:uid="{A4C09798-3666-48BB-9774-6A88D53974D3}" uniqueName="3165" name="Column3165" queryTableFieldId="3165"/>
    <tableColumn id="3166" xr3:uid="{F53F27C6-903F-49BB-B3E6-6586D0EE5FD4}" uniqueName="3166" name="Column3166" queryTableFieldId="3166"/>
    <tableColumn id="3167" xr3:uid="{4592DD5D-7363-4BA8-BA1E-CD8611F4FCAA}" uniqueName="3167" name="Column3167" queryTableFieldId="3167"/>
    <tableColumn id="3168" xr3:uid="{D2973C7D-F471-483F-91EF-27937AC690FF}" uniqueName="3168" name="Column3168" queryTableFieldId="3168"/>
    <tableColumn id="3169" xr3:uid="{9B099938-4B47-4D5F-B5BE-F86D584AA0EA}" uniqueName="3169" name="Column3169" queryTableFieldId="3169"/>
    <tableColumn id="3170" xr3:uid="{EAF61E85-8257-4A83-BB54-9D4069067225}" uniqueName="3170" name="Column3170" queryTableFieldId="3170"/>
    <tableColumn id="3171" xr3:uid="{FCBE1749-84FD-44F7-8E7E-875D43AE055F}" uniqueName="3171" name="Column3171" queryTableFieldId="3171"/>
    <tableColumn id="3172" xr3:uid="{0C70EC56-64BE-496D-A052-F91E40A68FFB}" uniqueName="3172" name="Column3172" queryTableFieldId="3172"/>
    <tableColumn id="3173" xr3:uid="{9C2FA938-3C01-49EE-A533-39D27DBE4A8C}" uniqueName="3173" name="Column3173" queryTableFieldId="3173"/>
    <tableColumn id="3174" xr3:uid="{59A1B600-A8D8-4D9A-9D61-B4ADEA34B7F7}" uniqueName="3174" name="Column3174" queryTableFieldId="3174"/>
    <tableColumn id="3175" xr3:uid="{E5E928B2-28CE-4EC1-9162-AC6667C53297}" uniqueName="3175" name="Column3175" queryTableFieldId="3175"/>
    <tableColumn id="3176" xr3:uid="{C3E1F6E5-2AF2-49F2-8FCE-767D2C45A094}" uniqueName="3176" name="Column3176" queryTableFieldId="3176"/>
    <tableColumn id="3177" xr3:uid="{29A33D39-F389-40B4-B60E-660D08537B64}" uniqueName="3177" name="Column3177" queryTableFieldId="3177"/>
    <tableColumn id="3178" xr3:uid="{A63622DC-4A73-46DE-8714-CE060466D245}" uniqueName="3178" name="Column3178" queryTableFieldId="3178"/>
    <tableColumn id="3179" xr3:uid="{B4833BD9-DD21-4EA7-8711-5C8A2E658B25}" uniqueName="3179" name="Column3179" queryTableFieldId="3179"/>
    <tableColumn id="3180" xr3:uid="{5057A119-1669-4679-9ED6-5F62216A70C1}" uniqueName="3180" name="Column3180" queryTableFieldId="3180"/>
    <tableColumn id="3181" xr3:uid="{8ABF187C-DBD3-4E04-8619-6390BCFA6E24}" uniqueName="3181" name="Column3181" queryTableFieldId="3181"/>
    <tableColumn id="3182" xr3:uid="{FC7669D8-9BCD-40EE-BEE1-731D20CB8D44}" uniqueName="3182" name="Column3182" queryTableFieldId="3182"/>
    <tableColumn id="3183" xr3:uid="{DAFB2784-4CA8-4008-AF91-42CE2E9362F1}" uniqueName="3183" name="Column3183" queryTableFieldId="3183"/>
    <tableColumn id="3184" xr3:uid="{149A7695-02CA-42E4-AAB4-896BCDADFF64}" uniqueName="3184" name="Column3184" queryTableFieldId="3184"/>
    <tableColumn id="3185" xr3:uid="{AA8B633F-6E45-48AD-BC13-75AEFBBBBD22}" uniqueName="3185" name="Column3185" queryTableFieldId="3185"/>
    <tableColumn id="3186" xr3:uid="{CD603E2C-8785-4291-B900-B4312B7371F0}" uniqueName="3186" name="Column3186" queryTableFieldId="3186"/>
    <tableColumn id="3187" xr3:uid="{AE9A76FE-565C-45CD-8F77-B20DA149BD0E}" uniqueName="3187" name="Column3187" queryTableFieldId="3187"/>
    <tableColumn id="3188" xr3:uid="{17A40BAF-56D1-41B8-8EFC-273F4F6F4D2C}" uniqueName="3188" name="Column3188" queryTableFieldId="3188"/>
    <tableColumn id="3189" xr3:uid="{CCB4D82E-A8DD-4CDB-87FD-5E71EFE085ED}" uniqueName="3189" name="Column3189" queryTableFieldId="3189"/>
    <tableColumn id="3190" xr3:uid="{E56FB637-CEFC-45BA-9A5E-AF3FE3710748}" uniqueName="3190" name="Column3190" queryTableFieldId="3190"/>
    <tableColumn id="3191" xr3:uid="{DB9420FE-3D08-4446-AB24-A324A81067FC}" uniqueName="3191" name="Column3191" queryTableFieldId="3191"/>
    <tableColumn id="3192" xr3:uid="{6674BC11-3F9D-428A-AC2F-73AD162E0BCA}" uniqueName="3192" name="Column3192" queryTableFieldId="3192"/>
    <tableColumn id="3193" xr3:uid="{9EB34393-7527-475E-81E9-E94D73DF493E}" uniqueName="3193" name="Column3193" queryTableFieldId="3193"/>
    <tableColumn id="3194" xr3:uid="{7BFE4F12-8144-450D-8AD9-0505C869979F}" uniqueName="3194" name="Column3194" queryTableFieldId="3194"/>
    <tableColumn id="3195" xr3:uid="{6AAC3D30-3EF2-4FF1-8EE9-E9A9B26798A7}" uniqueName="3195" name="Column3195" queryTableFieldId="3195"/>
    <tableColumn id="3196" xr3:uid="{CF72A280-9F46-48B1-80B5-3AEDD620D4D9}" uniqueName="3196" name="Column3196" queryTableFieldId="3196"/>
    <tableColumn id="3197" xr3:uid="{9843A528-13F7-4863-9BAD-BA080BFBFFBF}" uniqueName="3197" name="Column3197" queryTableFieldId="3197"/>
    <tableColumn id="3198" xr3:uid="{AB9AE10B-FFE2-4715-A5A8-97B9D8C084DD}" uniqueName="3198" name="Column3198" queryTableFieldId="3198"/>
    <tableColumn id="3199" xr3:uid="{C08F2ADF-7904-479D-9DE4-BE0B257674BB}" uniqueName="3199" name="Column3199" queryTableFieldId="3199"/>
    <tableColumn id="3200" xr3:uid="{C2FA7228-8B9D-4967-BCB3-04E50CC16E49}" uniqueName="3200" name="Column3200" queryTableFieldId="3200"/>
    <tableColumn id="3201" xr3:uid="{0C1878EB-BB24-4AC3-8A40-21D7F38E10F2}" uniqueName="3201" name="Column3201" queryTableFieldId="3201"/>
    <tableColumn id="3202" xr3:uid="{56BF0B18-67E1-445A-BB0F-837A99E18EEA}" uniqueName="3202" name="Column3202" queryTableFieldId="3202"/>
    <tableColumn id="3203" xr3:uid="{00DAE0EC-DB25-419F-B223-A6F80A336B11}" uniqueName="3203" name="Column3203" queryTableFieldId="3203"/>
    <tableColumn id="3204" xr3:uid="{B7F03FF6-999F-4CC3-9B2B-0966CE79A5C4}" uniqueName="3204" name="Column3204" queryTableFieldId="3204"/>
    <tableColumn id="3205" xr3:uid="{884ECACB-EB20-4A20-82BB-7A2C3D6F66A8}" uniqueName="3205" name="Column3205" queryTableFieldId="3205"/>
    <tableColumn id="3206" xr3:uid="{A160DE17-01BD-4115-AF96-B11122CE3A37}" uniqueName="3206" name="Column3206" queryTableFieldId="3206"/>
    <tableColumn id="3207" xr3:uid="{70F1B048-9BB9-4EEE-8FD1-15707CDEEB8D}" uniqueName="3207" name="Column3207" queryTableFieldId="3207"/>
    <tableColumn id="3208" xr3:uid="{EE0DF503-B90D-4C64-A2D5-388A97D96BDF}" uniqueName="3208" name="Column3208" queryTableFieldId="3208"/>
    <tableColumn id="3209" xr3:uid="{D4CD7EB7-DB79-4E91-AFC6-17A6C5B9CD71}" uniqueName="3209" name="Column3209" queryTableFieldId="3209"/>
    <tableColumn id="3210" xr3:uid="{3FFD013E-C6D4-46DC-8C16-A48BFE97DCAD}" uniqueName="3210" name="Column3210" queryTableFieldId="3210"/>
    <tableColumn id="3211" xr3:uid="{72558B67-9511-4D8C-A979-9D84F5E25A33}" uniqueName="3211" name="Column3211" queryTableFieldId="3211"/>
    <tableColumn id="3212" xr3:uid="{711E32B7-C0C6-4E3E-8DC1-B70CA4FD459D}" uniqueName="3212" name="Column3212" queryTableFieldId="3212"/>
    <tableColumn id="3213" xr3:uid="{B62CCB9C-E179-4B8F-A34C-3889F8E3D05C}" uniqueName="3213" name="Column3213" queryTableFieldId="3213"/>
    <tableColumn id="3214" xr3:uid="{33BBA1F7-E88C-4A8C-B566-284F5BBA1DC9}" uniqueName="3214" name="Column3214" queryTableFieldId="3214"/>
    <tableColumn id="3215" xr3:uid="{52CE1F6D-3C5F-44A5-9602-9857B3CDEA11}" uniqueName="3215" name="Column3215" queryTableFieldId="3215"/>
    <tableColumn id="3216" xr3:uid="{41416BFD-FBC7-479E-ADEE-0D88FC9EA571}" uniqueName="3216" name="Column3216" queryTableFieldId="3216"/>
    <tableColumn id="3217" xr3:uid="{807AEDE9-C457-420D-B376-87925122552B}" uniqueName="3217" name="Column3217" queryTableFieldId="3217"/>
    <tableColumn id="3218" xr3:uid="{A049FDEE-4B3C-4E80-BCE4-EB8D6E6503F8}" uniqueName="3218" name="Column3218" queryTableFieldId="3218"/>
    <tableColumn id="3219" xr3:uid="{68EC866E-848E-44E4-9760-34E6F1EB3022}" uniqueName="3219" name="Column3219" queryTableFieldId="3219"/>
    <tableColumn id="3220" xr3:uid="{1DF244C5-A88D-4AC2-B83F-A58E252CEF6C}" uniqueName="3220" name="Column3220" queryTableFieldId="3220"/>
    <tableColumn id="3221" xr3:uid="{D9CBB415-57A0-497F-A456-2CB4E5A79DCD}" uniqueName="3221" name="Column3221" queryTableFieldId="3221"/>
    <tableColumn id="3222" xr3:uid="{F81ABEF5-0C39-48AD-A36B-A55514E2468E}" uniqueName="3222" name="Column3222" queryTableFieldId="3222"/>
    <tableColumn id="3223" xr3:uid="{DC995EF7-F38A-4212-AE46-DF7D456CFB60}" uniqueName="3223" name="Column3223" queryTableFieldId="3223"/>
    <tableColumn id="3224" xr3:uid="{14EBFE0A-25D9-4196-9EC8-31A1B70F77DE}" uniqueName="3224" name="Column3224" queryTableFieldId="3224"/>
    <tableColumn id="3225" xr3:uid="{F41F08EC-3885-439A-9D2A-C49AA739A30A}" uniqueName="3225" name="Column3225" queryTableFieldId="3225"/>
    <tableColumn id="3226" xr3:uid="{8830CEAB-EF00-4FA7-AB15-065191F2CE6D}" uniqueName="3226" name="Column3226" queryTableFieldId="3226"/>
    <tableColumn id="3227" xr3:uid="{862FA795-4C18-4CBB-B203-DEF63CD7F884}" uniqueName="3227" name="Column3227" queryTableFieldId="3227"/>
    <tableColumn id="3228" xr3:uid="{DD395AC8-672B-463F-ADDF-FA618ACEAE2F}" uniqueName="3228" name="Column3228" queryTableFieldId="3228"/>
    <tableColumn id="3229" xr3:uid="{A78E5550-5042-4EC6-A4DB-2DCD958A4F97}" uniqueName="3229" name="Column3229" queryTableFieldId="3229"/>
    <tableColumn id="3230" xr3:uid="{5106999F-F61E-44CE-BB7D-6B9BE70E2843}" uniqueName="3230" name="Column3230" queryTableFieldId="3230"/>
    <tableColumn id="3231" xr3:uid="{941818D0-A5B0-4C06-8DF8-53BE5749D823}" uniqueName="3231" name="Column3231" queryTableFieldId="3231"/>
    <tableColumn id="3232" xr3:uid="{733F36CB-1949-45A8-8FE4-D30FD39AF3DF}" uniqueName="3232" name="Column3232" queryTableFieldId="3232"/>
    <tableColumn id="3233" xr3:uid="{3A83E0E8-BF5C-4542-AB99-7E0841C748E2}" uniqueName="3233" name="Column3233" queryTableFieldId="3233"/>
    <tableColumn id="3234" xr3:uid="{6305C96D-3627-4738-8CDF-F1873D6456C9}" uniqueName="3234" name="Column3234" queryTableFieldId="3234"/>
    <tableColumn id="3235" xr3:uid="{7ED75995-E747-4684-8787-00007E9B8272}" uniqueName="3235" name="Column3235" queryTableFieldId="3235"/>
    <tableColumn id="3236" xr3:uid="{35BC098D-F671-4C93-A07B-60E2E077978A}" uniqueName="3236" name="Column3236" queryTableFieldId="3236"/>
    <tableColumn id="3237" xr3:uid="{B6F810A8-6AF9-4A79-BB3B-C7D1095578C4}" uniqueName="3237" name="Column3237" queryTableFieldId="3237"/>
    <tableColumn id="3238" xr3:uid="{C392AF93-8599-4A7F-89EC-A5A10D728DB4}" uniqueName="3238" name="Column3238" queryTableFieldId="3238"/>
    <tableColumn id="3239" xr3:uid="{C946FC93-7DA0-4F42-801F-702870D7122A}" uniqueName="3239" name="Column3239" queryTableFieldId="3239"/>
    <tableColumn id="3240" xr3:uid="{613BC3A4-8A32-4B11-9A0E-221A7DF32DFD}" uniqueName="3240" name="Column3240" queryTableFieldId="3240"/>
    <tableColumn id="3241" xr3:uid="{AFB33D9E-9191-461C-A6D5-8052BD0DBF1F}" uniqueName="3241" name="Column3241" queryTableFieldId="3241"/>
    <tableColumn id="3242" xr3:uid="{09BCA359-1486-4CB5-9CE8-2BD4D1859767}" uniqueName="3242" name="Column3242" queryTableFieldId="3242"/>
    <tableColumn id="3243" xr3:uid="{87ECFB51-9226-49AC-A145-EBA64162D5EB}" uniqueName="3243" name="Column3243" queryTableFieldId="3243"/>
    <tableColumn id="3244" xr3:uid="{EED2D9FC-ABC5-461B-A27C-7DDD57338150}" uniqueName="3244" name="Column3244" queryTableFieldId="3244"/>
    <tableColumn id="3245" xr3:uid="{C1E92C30-C081-4B5D-9085-AC3666A8BAC6}" uniqueName="3245" name="Column3245" queryTableFieldId="3245"/>
    <tableColumn id="3246" xr3:uid="{7ACC7107-0C91-44B8-B710-AC0476F49113}" uniqueName="3246" name="Column3246" queryTableFieldId="3246"/>
    <tableColumn id="3247" xr3:uid="{F5BAAB15-00BF-4E3B-AA8B-396F28FB3A5E}" uniqueName="3247" name="Column3247" queryTableFieldId="3247"/>
    <tableColumn id="3248" xr3:uid="{61D6402C-E728-41CA-87FA-105A11335544}" uniqueName="3248" name="Column3248" queryTableFieldId="3248"/>
    <tableColumn id="3249" xr3:uid="{C8833EF4-C1AB-497E-B797-6222B276580E}" uniqueName="3249" name="Column3249" queryTableFieldId="3249"/>
    <tableColumn id="3250" xr3:uid="{FF245BB1-5E05-4BC0-91E4-C69171253D12}" uniqueName="3250" name="Column3250" queryTableFieldId="3250"/>
    <tableColumn id="3251" xr3:uid="{BB329450-3D1C-401D-8168-CEE342A881BB}" uniqueName="3251" name="Column3251" queryTableFieldId="3251"/>
    <tableColumn id="3252" xr3:uid="{8517F491-9C38-4E7A-B0DA-3A1AB5758FE3}" uniqueName="3252" name="Column3252" queryTableFieldId="3252"/>
    <tableColumn id="3253" xr3:uid="{E0A2539D-AB88-4E78-AA3D-958A2D4FAEE2}" uniqueName="3253" name="Column3253" queryTableFieldId="3253"/>
    <tableColumn id="3254" xr3:uid="{DCD7536C-5DDB-4753-BBF5-0E249FEE3FC3}" uniqueName="3254" name="Column3254" queryTableFieldId="3254"/>
    <tableColumn id="3255" xr3:uid="{15DEFEA3-8B5E-4F24-971C-0E2D7A31A5DF}" uniqueName="3255" name="Column3255" queryTableFieldId="3255"/>
    <tableColumn id="3256" xr3:uid="{2110A723-1DB4-4723-9479-A8EEC18CB36F}" uniqueName="3256" name="Column3256" queryTableFieldId="3256"/>
    <tableColumn id="3257" xr3:uid="{BB93450C-B906-4E1F-93D0-40A05ECBA0F8}" uniqueName="3257" name="Column3257" queryTableFieldId="3257"/>
    <tableColumn id="3258" xr3:uid="{4144556D-4AAC-41CB-9D26-B6779C83C51F}" uniqueName="3258" name="Column3258" queryTableFieldId="3258"/>
    <tableColumn id="3259" xr3:uid="{6C258946-E090-4C95-9E53-C669E345C7DE}" uniqueName="3259" name="Column3259" queryTableFieldId="3259"/>
    <tableColumn id="3260" xr3:uid="{786CC6BD-A82D-4928-9592-F6826177316A}" uniqueName="3260" name="Column3260" queryTableFieldId="3260"/>
    <tableColumn id="3261" xr3:uid="{4F44C131-6818-4F51-A73C-9E45820AE1AC}" uniqueName="3261" name="Column3261" queryTableFieldId="3261"/>
    <tableColumn id="3262" xr3:uid="{5D61368E-0437-459E-98BA-3330A2501358}" uniqueName="3262" name="Column3262" queryTableFieldId="3262"/>
    <tableColumn id="3263" xr3:uid="{96B36F5E-7809-4122-92A9-054221A43DB7}" uniqueName="3263" name="Column3263" queryTableFieldId="3263"/>
    <tableColumn id="3264" xr3:uid="{851A465E-BF85-437F-A1BF-9D2197355DF5}" uniqueName="3264" name="Column3264" queryTableFieldId="3264"/>
    <tableColumn id="3265" xr3:uid="{33405416-36BC-4E4B-8F3C-ED03F7F8C373}" uniqueName="3265" name="Column3265" queryTableFieldId="3265"/>
    <tableColumn id="3266" xr3:uid="{C7CE55A9-4295-4D2A-AC86-714D23FEADEE}" uniqueName="3266" name="Column3266" queryTableFieldId="3266"/>
    <tableColumn id="3267" xr3:uid="{4D4E93A1-856B-408F-A47F-F778BF52FC82}" uniqueName="3267" name="Column3267" queryTableFieldId="3267"/>
    <tableColumn id="3268" xr3:uid="{C0FB7CC0-20CF-475C-944D-22EC3F4287A8}" uniqueName="3268" name="Column3268" queryTableFieldId="3268"/>
    <tableColumn id="3269" xr3:uid="{C4FE8578-B8DA-4980-9815-25FB70B5F5B0}" uniqueName="3269" name="Column3269" queryTableFieldId="3269"/>
    <tableColumn id="3270" xr3:uid="{CF47B2AF-663B-4AF5-B02B-7A58960AD3F6}" uniqueName="3270" name="Column3270" queryTableFieldId="3270"/>
    <tableColumn id="3271" xr3:uid="{A2239A06-B03D-46C0-9ED4-42FF981BE373}" uniqueName="3271" name="Column3271" queryTableFieldId="3271"/>
    <tableColumn id="3272" xr3:uid="{A40ABB0C-5020-4AB4-942B-44CE4E622F12}" uniqueName="3272" name="Column3272" queryTableFieldId="3272"/>
    <tableColumn id="3273" xr3:uid="{01E9284F-0DAA-4C16-B044-C1DECCF50AA9}" uniqueName="3273" name="Column3273" queryTableFieldId="3273"/>
    <tableColumn id="3274" xr3:uid="{FD4F8678-4205-45B2-BECB-4DE533B64F9B}" uniqueName="3274" name="Column3274" queryTableFieldId="3274"/>
    <tableColumn id="3275" xr3:uid="{CC62A4C9-CA03-408E-A1F6-A5A6497AF1B2}" uniqueName="3275" name="Column3275" queryTableFieldId="3275"/>
    <tableColumn id="3276" xr3:uid="{88D25BBF-332C-4243-9843-3C64084AE1E7}" uniqueName="3276" name="Column3276" queryTableFieldId="3276"/>
    <tableColumn id="3277" xr3:uid="{482F2285-2380-4C11-8F62-16B12AC446D3}" uniqueName="3277" name="Column3277" queryTableFieldId="3277"/>
    <tableColumn id="3278" xr3:uid="{F9A6F5EC-A737-43A7-88FD-F2664386EA17}" uniqueName="3278" name="Column3278" queryTableFieldId="3278"/>
    <tableColumn id="3279" xr3:uid="{E303C2BB-27A5-4603-9484-3B50702D196B}" uniqueName="3279" name="Column3279" queryTableFieldId="3279"/>
    <tableColumn id="3280" xr3:uid="{A29E3C61-4080-4B5F-AB3E-1EEECB6165B0}" uniqueName="3280" name="Column3280" queryTableFieldId="3280"/>
    <tableColumn id="3281" xr3:uid="{B4433539-00A7-45A8-9C8A-BDBE6CF72E8D}" uniqueName="3281" name="Column3281" queryTableFieldId="3281"/>
    <tableColumn id="3282" xr3:uid="{46771403-D281-4CAE-BCA8-83902FBB1738}" uniqueName="3282" name="Column3282" queryTableFieldId="3282"/>
    <tableColumn id="3283" xr3:uid="{D7A335DA-8AFB-48A8-A1C5-FBB56F768296}" uniqueName="3283" name="Column3283" queryTableFieldId="3283"/>
    <tableColumn id="3284" xr3:uid="{15913B49-8256-45D8-9DDC-10A523FD2C38}" uniqueName="3284" name="Column3284" queryTableFieldId="3284"/>
    <tableColumn id="3285" xr3:uid="{C9538534-DBF7-4BF2-9C8B-E384916DE2A4}" uniqueName="3285" name="Column3285" queryTableFieldId="3285"/>
    <tableColumn id="3286" xr3:uid="{521A22AA-4216-4529-94F4-059BA58E6AA6}" uniqueName="3286" name="Column3286" queryTableFieldId="3286"/>
    <tableColumn id="3287" xr3:uid="{74DB0DEF-6F04-465C-84E9-8E3B3C47A77C}" uniqueName="3287" name="Column3287" queryTableFieldId="3287"/>
    <tableColumn id="3288" xr3:uid="{E1E02C9D-EECD-404A-8398-E71DD1837C60}" uniqueName="3288" name="Column3288" queryTableFieldId="3288"/>
    <tableColumn id="3289" xr3:uid="{054C980E-5E2D-43C3-9B35-D53BC8292325}" uniqueName="3289" name="Column3289" queryTableFieldId="3289"/>
    <tableColumn id="3290" xr3:uid="{E0E7929D-CDCA-481B-A27A-C25851994419}" uniqueName="3290" name="Column3290" queryTableFieldId="3290"/>
    <tableColumn id="3291" xr3:uid="{0D606099-EEBE-419A-A807-A4D2BF650C2D}" uniqueName="3291" name="Column3291" queryTableFieldId="3291"/>
    <tableColumn id="3292" xr3:uid="{22BB1428-791A-43C3-9794-1E8754FDF87E}" uniqueName="3292" name="Column3292" queryTableFieldId="3292"/>
    <tableColumn id="3293" xr3:uid="{E073A11A-C419-4B70-8D5D-A963FEC09B81}" uniqueName="3293" name="Column3293" queryTableFieldId="3293"/>
    <tableColumn id="3294" xr3:uid="{93EBCB2E-27C3-4152-8580-D913B2350959}" uniqueName="3294" name="Column3294" queryTableFieldId="3294"/>
    <tableColumn id="3295" xr3:uid="{D45FA55B-2447-4FC6-BCE5-A16DA28F4064}" uniqueName="3295" name="Column3295" queryTableFieldId="3295"/>
    <tableColumn id="3296" xr3:uid="{33EA8644-D84B-4D7A-B273-E539253A1B81}" uniqueName="3296" name="Column3296" queryTableFieldId="3296"/>
    <tableColumn id="3297" xr3:uid="{1E8EE1F9-869D-484E-AF9A-582C1E457B3F}" uniqueName="3297" name="Column3297" queryTableFieldId="3297"/>
    <tableColumn id="3298" xr3:uid="{0C09E087-4E10-4882-8283-7A36D18730B4}" uniqueName="3298" name="Column3298" queryTableFieldId="3298"/>
    <tableColumn id="3299" xr3:uid="{C6273441-9767-44DD-BFA1-ED5EAEAC8BB2}" uniqueName="3299" name="Column3299" queryTableFieldId="3299"/>
    <tableColumn id="3300" xr3:uid="{6BE79B10-F048-408B-8EED-C23EDEDBB74C}" uniqueName="3300" name="Column3300" queryTableFieldId="3300"/>
    <tableColumn id="3301" xr3:uid="{6849831D-712E-4727-B160-A858C4CF9627}" uniqueName="3301" name="Column3301" queryTableFieldId="3301"/>
    <tableColumn id="3302" xr3:uid="{B04B5F09-7336-4FEB-AA34-EFF20AC5EBC0}" uniqueName="3302" name="Column3302" queryTableFieldId="3302"/>
    <tableColumn id="3303" xr3:uid="{EDA5C86A-A893-4016-BE25-557E7B1BF84C}" uniqueName="3303" name="Column3303" queryTableFieldId="3303"/>
    <tableColumn id="3304" xr3:uid="{99C0289E-F7CD-49F3-A57C-B5F1AEEF45C7}" uniqueName="3304" name="Column3304" queryTableFieldId="3304"/>
    <tableColumn id="3305" xr3:uid="{6EADA0B2-5747-42A8-8B78-D1DD5D9067DA}" uniqueName="3305" name="Column3305" queryTableFieldId="3305"/>
    <tableColumn id="3306" xr3:uid="{E53FDBC5-FFB5-4935-8A53-C72D2729DC26}" uniqueName="3306" name="Column3306" queryTableFieldId="3306"/>
    <tableColumn id="3307" xr3:uid="{16AD11A2-AF0C-4726-84C9-33A8B0790428}" uniqueName="3307" name="Column3307" queryTableFieldId="3307"/>
    <tableColumn id="3308" xr3:uid="{6DE52ADF-48CB-4C4F-A826-D23AAEC6B47B}" uniqueName="3308" name="Column3308" queryTableFieldId="3308"/>
    <tableColumn id="3309" xr3:uid="{5C22FA4A-53EF-4137-9645-DED611F3A92D}" uniqueName="3309" name="Column3309" queryTableFieldId="3309"/>
    <tableColumn id="3310" xr3:uid="{7EC382EB-A4E7-4C74-B30F-17B8CD0281CE}" uniqueName="3310" name="Column3310" queryTableFieldId="3310"/>
    <tableColumn id="3311" xr3:uid="{94D8A3E5-E570-4977-AE03-003020DCF9D0}" uniqueName="3311" name="Column3311" queryTableFieldId="3311"/>
    <tableColumn id="3312" xr3:uid="{B3C1F7F3-5EF2-46D6-98F5-0255A8952EFA}" uniqueName="3312" name="Column3312" queryTableFieldId="3312"/>
    <tableColumn id="3313" xr3:uid="{0AD68114-3E20-4CEA-97E1-790E4499BFCF}" uniqueName="3313" name="Column3313" queryTableFieldId="3313"/>
    <tableColumn id="3314" xr3:uid="{86C3FF91-4C88-41EE-9482-618D72E8A212}" uniqueName="3314" name="Column3314" queryTableFieldId="3314"/>
    <tableColumn id="3315" xr3:uid="{500ACD07-8804-4E5A-841D-867BF18DAB74}" uniqueName="3315" name="Column3315" queryTableFieldId="3315"/>
    <tableColumn id="3316" xr3:uid="{A461EB66-3871-4093-885F-77ED53DE2ECE}" uniqueName="3316" name="Column3316" queryTableFieldId="3316"/>
    <tableColumn id="3317" xr3:uid="{45FE2D5F-504E-4055-984B-03749BD38819}" uniqueName="3317" name="Column3317" queryTableFieldId="3317"/>
    <tableColumn id="3318" xr3:uid="{FAFA4060-1C7A-4604-9C6E-48BDA5CD243F}" uniqueName="3318" name="Column3318" queryTableFieldId="3318"/>
    <tableColumn id="3319" xr3:uid="{0C4B89B4-57BA-4D72-9E7E-22652D636F3B}" uniqueName="3319" name="Column3319" queryTableFieldId="3319"/>
    <tableColumn id="3320" xr3:uid="{4F3492A3-E036-47BE-BE31-71C2B80AFD7F}" uniqueName="3320" name="Column3320" queryTableFieldId="3320"/>
    <tableColumn id="3321" xr3:uid="{4FD38A90-27F3-49D7-BA75-0C66608462EF}" uniqueName="3321" name="Column3321" queryTableFieldId="3321"/>
    <tableColumn id="3322" xr3:uid="{25E98F7C-2347-4E9C-A877-E35148188BB4}" uniqueName="3322" name="Column3322" queryTableFieldId="3322"/>
    <tableColumn id="3323" xr3:uid="{64C85A95-E839-4A13-8AFB-A36CD514A2CA}" uniqueName="3323" name="Column3323" queryTableFieldId="3323"/>
    <tableColumn id="3324" xr3:uid="{003BD8FF-0213-4481-8CA5-A585D35F834F}" uniqueName="3324" name="Column3324" queryTableFieldId="3324"/>
    <tableColumn id="3325" xr3:uid="{07EC3B1D-8092-4E72-9F71-4B782A48C55C}" uniqueName="3325" name="Column3325" queryTableFieldId="3325"/>
    <tableColumn id="3326" xr3:uid="{0442E7D4-154A-4D9A-9C23-EFBD5979989B}" uniqueName="3326" name="Column3326" queryTableFieldId="3326"/>
    <tableColumn id="3327" xr3:uid="{113B3A92-863E-4D0B-BC11-94A215BE8352}" uniqueName="3327" name="Column3327" queryTableFieldId="3327"/>
    <tableColumn id="3328" xr3:uid="{FB127E64-345F-49D2-8AD3-7B90F57A70D8}" uniqueName="3328" name="Column3328" queryTableFieldId="3328"/>
    <tableColumn id="3329" xr3:uid="{1C546EF2-5E3C-4F96-9425-BC039F2AC624}" uniqueName="3329" name="Column3329" queryTableFieldId="3329"/>
    <tableColumn id="3330" xr3:uid="{DDE17962-BABA-4A3A-A943-D028B14BF6E3}" uniqueName="3330" name="Column3330" queryTableFieldId="3330"/>
    <tableColumn id="3331" xr3:uid="{E6C166D5-F70F-417F-B15B-484C0885379F}" uniqueName="3331" name="Column3331" queryTableFieldId="3331"/>
    <tableColumn id="3332" xr3:uid="{D4A4833D-C9B2-485D-84FA-71357F381B61}" uniqueName="3332" name="Column3332" queryTableFieldId="3332"/>
    <tableColumn id="3333" xr3:uid="{23C35A64-71A4-4181-B88D-DF289D746B1D}" uniqueName="3333" name="Column3333" queryTableFieldId="3333"/>
    <tableColumn id="3334" xr3:uid="{17AAC6FE-D5F1-47DB-BBB2-BBBAD2FE299F}" uniqueName="3334" name="Column3334" queryTableFieldId="3334"/>
    <tableColumn id="3335" xr3:uid="{C8A08C86-0353-488A-9D6D-AEBE9C78CEB6}" uniqueName="3335" name="Column3335" queryTableFieldId="3335"/>
    <tableColumn id="3336" xr3:uid="{7B4EAE94-F4F8-421B-A22B-0B71860904FC}" uniqueName="3336" name="Column3336" queryTableFieldId="3336"/>
    <tableColumn id="3337" xr3:uid="{2E580D93-E4D8-45C7-9B3A-BEC3A3E714D8}" uniqueName="3337" name="Column3337" queryTableFieldId="3337"/>
    <tableColumn id="3338" xr3:uid="{2AD1D3FC-AD35-438A-92AE-889DCB202229}" uniqueName="3338" name="Column3338" queryTableFieldId="3338"/>
    <tableColumn id="3339" xr3:uid="{FA553ED1-3697-44EA-9787-33EA3224B958}" uniqueName="3339" name="Column3339" queryTableFieldId="3339"/>
    <tableColumn id="3340" xr3:uid="{697234C9-8159-47E6-9702-C40FCFD2E124}" uniqueName="3340" name="Column3340" queryTableFieldId="3340"/>
    <tableColumn id="3341" xr3:uid="{10731369-C4C8-4ED1-9822-7FC817588823}" uniqueName="3341" name="Column3341" queryTableFieldId="3341"/>
    <tableColumn id="3342" xr3:uid="{A5D6F164-0423-4635-9242-83EF529F9D93}" uniqueName="3342" name="Column3342" queryTableFieldId="3342"/>
    <tableColumn id="3343" xr3:uid="{B40F7E66-C8D4-4C8F-8740-BA7BD2F4DEB9}" uniqueName="3343" name="Column3343" queryTableFieldId="3343"/>
    <tableColumn id="3344" xr3:uid="{35CABF57-F137-47EF-AC1C-DE233732A529}" uniqueName="3344" name="Column3344" queryTableFieldId="3344"/>
    <tableColumn id="3345" xr3:uid="{8A7635A7-B417-4DE9-B313-87974C8E3CC9}" uniqueName="3345" name="Column3345" queryTableFieldId="3345"/>
    <tableColumn id="3346" xr3:uid="{944848D3-58B7-4EDE-9023-78B6CBCBAE29}" uniqueName="3346" name="Column3346" queryTableFieldId="3346"/>
    <tableColumn id="3347" xr3:uid="{233CF8CE-0D69-47ED-B1B8-034122357238}" uniqueName="3347" name="Column3347" queryTableFieldId="3347"/>
    <tableColumn id="3348" xr3:uid="{CF39785D-0CB9-4CB2-A4DC-3DC5E39C1CF1}" uniqueName="3348" name="Column3348" queryTableFieldId="3348"/>
    <tableColumn id="3349" xr3:uid="{CCCD6BA8-F9BF-4A1F-B679-5CA1DAB63BB6}" uniqueName="3349" name="Column3349" queryTableFieldId="3349"/>
    <tableColumn id="3350" xr3:uid="{51752C9F-FC50-41D1-8A38-4ACA4780334E}" uniqueName="3350" name="Column3350" queryTableFieldId="3350"/>
    <tableColumn id="3351" xr3:uid="{EFB7194C-A145-4879-B0BF-E3E65ABA2E36}" uniqueName="3351" name="Column3351" queryTableFieldId="3351"/>
    <tableColumn id="3352" xr3:uid="{8A530EF2-52CB-4DEE-B4FA-F8564E84D248}" uniqueName="3352" name="Column3352" queryTableFieldId="3352"/>
    <tableColumn id="3353" xr3:uid="{303564E3-F616-4EC3-96E4-F78579D38A49}" uniqueName="3353" name="Column3353" queryTableFieldId="3353"/>
    <tableColumn id="3354" xr3:uid="{F4BF3001-B8DC-4871-B4F9-4F2C1DBD3990}" uniqueName="3354" name="Column3354" queryTableFieldId="3354"/>
    <tableColumn id="3355" xr3:uid="{68C084A4-F83A-44EF-87C5-C79C79F5DE4E}" uniqueName="3355" name="Column3355" queryTableFieldId="3355"/>
    <tableColumn id="3356" xr3:uid="{2FFAA34B-CC07-4308-AEE4-FFA9BB4887B1}" uniqueName="3356" name="Column3356" queryTableFieldId="3356"/>
    <tableColumn id="3357" xr3:uid="{6DBBF9B4-3A2C-49B2-A13B-38CB91E3F5D8}" uniqueName="3357" name="Column3357" queryTableFieldId="3357"/>
    <tableColumn id="3358" xr3:uid="{989921E0-8931-48A4-A14F-D6C95816DAEE}" uniqueName="3358" name="Column3358" queryTableFieldId="3358"/>
    <tableColumn id="3359" xr3:uid="{C7746811-8BB9-486C-8888-7650931AD779}" uniqueName="3359" name="Column3359" queryTableFieldId="3359"/>
    <tableColumn id="3360" xr3:uid="{B44B8B3C-A23F-477F-8962-3578DCBC9FF6}" uniqueName="3360" name="Column3360" queryTableFieldId="3360"/>
    <tableColumn id="3361" xr3:uid="{7C3359DD-DC96-4228-B4B7-2F131C90BD27}" uniqueName="3361" name="Column3361" queryTableFieldId="3361"/>
    <tableColumn id="3362" xr3:uid="{ACCC216F-5050-45DC-8D20-448B6A22E1E8}" uniqueName="3362" name="Column3362" queryTableFieldId="3362"/>
    <tableColumn id="3363" xr3:uid="{4714CD3A-DC88-4E4B-93F0-1459E9863F02}" uniqueName="3363" name="Column3363" queryTableFieldId="3363"/>
    <tableColumn id="3364" xr3:uid="{3757A41E-A5A6-463C-B3B1-076FC654A0BC}" uniqueName="3364" name="Column3364" queryTableFieldId="3364"/>
    <tableColumn id="3365" xr3:uid="{256AE6B7-3451-470B-98EB-BE2309F9205A}" uniqueName="3365" name="Column3365" queryTableFieldId="3365"/>
    <tableColumn id="3366" xr3:uid="{5696BE1A-BA12-4031-9891-74725B09F6C5}" uniqueName="3366" name="Column3366" queryTableFieldId="3366"/>
    <tableColumn id="3367" xr3:uid="{0E8ABC9E-7511-426E-82B1-D43F1E134013}" uniqueName="3367" name="Column3367" queryTableFieldId="3367"/>
    <tableColumn id="3368" xr3:uid="{34A6B730-0E50-4F90-9CFE-59DD7AF52CE0}" uniqueName="3368" name="Column3368" queryTableFieldId="3368"/>
    <tableColumn id="3369" xr3:uid="{E206C74E-94E3-4516-B215-6BA204E8B332}" uniqueName="3369" name="Column3369" queryTableFieldId="3369"/>
    <tableColumn id="3370" xr3:uid="{A1EF88B3-054A-4A08-B857-9D7A91D39CB7}" uniqueName="3370" name="Column3370" queryTableFieldId="3370"/>
    <tableColumn id="3371" xr3:uid="{0BF6EE08-A78A-46DB-925A-082BC06DFFC6}" uniqueName="3371" name="Column3371" queryTableFieldId="3371"/>
    <tableColumn id="3372" xr3:uid="{B33A096A-52B2-470F-B0B2-00B43CF57581}" uniqueName="3372" name="Column3372" queryTableFieldId="3372"/>
    <tableColumn id="3373" xr3:uid="{DA8A491B-F1F7-4DDA-A2BD-017420EA4212}" uniqueName="3373" name="Column3373" queryTableFieldId="3373"/>
    <tableColumn id="3374" xr3:uid="{EB2F45D1-DAA8-40C1-936C-1C3B79B1DB19}" uniqueName="3374" name="Column3374" queryTableFieldId="3374"/>
    <tableColumn id="3375" xr3:uid="{4E6954FA-145B-4AAC-A8FF-C60821F67353}" uniqueName="3375" name="Column3375" queryTableFieldId="3375"/>
    <tableColumn id="3376" xr3:uid="{0E689BD8-CF2F-4C8F-ADBF-3D2EB3D2876F}" uniqueName="3376" name="Column3376" queryTableFieldId="3376"/>
    <tableColumn id="3377" xr3:uid="{408FFA6F-087D-4BC0-BEA2-539A47EF449B}" uniqueName="3377" name="Column3377" queryTableFieldId="3377"/>
    <tableColumn id="3378" xr3:uid="{4A5929A6-B3DF-4653-874D-C46BE5106C79}" uniqueName="3378" name="Column3378" queryTableFieldId="3378"/>
    <tableColumn id="3379" xr3:uid="{791472A4-37D0-471E-9F15-B04EBA041B23}" uniqueName="3379" name="Column3379" queryTableFieldId="3379"/>
    <tableColumn id="3380" xr3:uid="{7561588C-3AA1-4041-BC1E-8BF99882EAF6}" uniqueName="3380" name="Column3380" queryTableFieldId="3380"/>
    <tableColumn id="3381" xr3:uid="{B8DBE597-D976-4F7D-88CC-EB4258737623}" uniqueName="3381" name="Column3381" queryTableFieldId="3381"/>
    <tableColumn id="3382" xr3:uid="{6F997642-97F0-43D2-869E-82EE2D438991}" uniqueName="3382" name="Column3382" queryTableFieldId="3382"/>
    <tableColumn id="3383" xr3:uid="{F1BEB0AE-53A8-449A-A8E6-29FFA1F62302}" uniqueName="3383" name="Column3383" queryTableFieldId="3383"/>
    <tableColumn id="3384" xr3:uid="{1828BF9E-6ACE-481E-B537-8BEB4BB0A12F}" uniqueName="3384" name="Column3384" queryTableFieldId="3384"/>
    <tableColumn id="3385" xr3:uid="{76043C5F-3332-4F7F-B2F7-42E80B5F687C}" uniqueName="3385" name="Column3385" queryTableFieldId="3385"/>
    <tableColumn id="3386" xr3:uid="{150F0908-9637-46CB-84DA-6A4C952E9755}" uniqueName="3386" name="Column3386" queryTableFieldId="3386"/>
    <tableColumn id="3387" xr3:uid="{02C7538A-30DF-4941-9AAC-3C6B5B7791C5}" uniqueName="3387" name="Column3387" queryTableFieldId="3387"/>
    <tableColumn id="3388" xr3:uid="{5E551714-FBD8-43E4-9E70-19D2581C3535}" uniqueName="3388" name="Column3388" queryTableFieldId="3388"/>
    <tableColumn id="3389" xr3:uid="{DF9F16A6-8D46-4CD9-BCE4-83F5A66E6638}" uniqueName="3389" name="Column3389" queryTableFieldId="3389"/>
    <tableColumn id="3390" xr3:uid="{F9E43B15-3B18-48AB-B54A-6EC70E9E0812}" uniqueName="3390" name="Column3390" queryTableFieldId="3390"/>
    <tableColumn id="3391" xr3:uid="{36882FDC-142E-42DC-AF0C-9D631D52627D}" uniqueName="3391" name="Column3391" queryTableFieldId="3391"/>
    <tableColumn id="3392" xr3:uid="{659D402F-63ED-4A7A-82BC-F4A9598E6EEC}" uniqueName="3392" name="Column3392" queryTableFieldId="3392"/>
    <tableColumn id="3393" xr3:uid="{1EF5AC9F-458E-44AB-A04F-0DD69AEC3237}" uniqueName="3393" name="Column3393" queryTableFieldId="3393"/>
    <tableColumn id="3394" xr3:uid="{27BF64CB-5B60-4DA8-A91F-843411B438D9}" uniqueName="3394" name="Column3394" queryTableFieldId="3394"/>
    <tableColumn id="3395" xr3:uid="{4F0E23A9-18B3-4087-81E5-BA5A3667F8C0}" uniqueName="3395" name="Column3395" queryTableFieldId="3395"/>
    <tableColumn id="3396" xr3:uid="{806A586E-E9AD-4A46-9EBA-B34BB4A441AA}" uniqueName="3396" name="Column3396" queryTableFieldId="3396"/>
    <tableColumn id="3397" xr3:uid="{1F811E14-80AF-4827-B2C8-4CF9A61A2452}" uniqueName="3397" name="Column3397" queryTableFieldId="3397"/>
    <tableColumn id="3398" xr3:uid="{1B977FEE-9DA9-4F44-8378-0C7C85AE45B7}" uniqueName="3398" name="Column3398" queryTableFieldId="3398"/>
    <tableColumn id="3399" xr3:uid="{DDB56D1A-7AFE-4D99-9328-D08CD66D140F}" uniqueName="3399" name="Column3399" queryTableFieldId="3399"/>
    <tableColumn id="3400" xr3:uid="{B6452707-DEA5-4A19-B2A6-1B19C43310FD}" uniqueName="3400" name="Column3400" queryTableFieldId="3400"/>
    <tableColumn id="3401" xr3:uid="{87FD13C2-AC3F-490C-8C4F-D5824A05CB61}" uniqueName="3401" name="Column3401" queryTableFieldId="3401"/>
    <tableColumn id="3402" xr3:uid="{C0BE19BB-ED72-4FC6-A2B3-2E5E8DEE9604}" uniqueName="3402" name="Column3402" queryTableFieldId="3402"/>
    <tableColumn id="3403" xr3:uid="{7AEA6FEB-8611-4BEA-8277-FE4DCAB2258E}" uniqueName="3403" name="Column3403" queryTableFieldId="3403"/>
    <tableColumn id="3404" xr3:uid="{AC8BD825-00AE-4A9C-A54E-DA741D752BF6}" uniqueName="3404" name="Column3404" queryTableFieldId="3404"/>
    <tableColumn id="3405" xr3:uid="{AB4E9B77-FDDA-4F55-AAE1-C6043664D073}" uniqueName="3405" name="Column3405" queryTableFieldId="3405"/>
    <tableColumn id="3406" xr3:uid="{794D1EDC-1E4E-48AA-9E3D-362D8BD34876}" uniqueName="3406" name="Column3406" queryTableFieldId="3406"/>
    <tableColumn id="3407" xr3:uid="{316CE9DD-EC8C-4FC8-8E9B-D5E338251DEC}" uniqueName="3407" name="Column3407" queryTableFieldId="3407"/>
    <tableColumn id="3408" xr3:uid="{45071B96-54D9-4EF4-9C3A-986771CB4FF0}" uniqueName="3408" name="Column3408" queryTableFieldId="3408"/>
    <tableColumn id="3409" xr3:uid="{CBA423BC-F064-4A05-A2FF-C0E980E3922E}" uniqueName="3409" name="Column3409" queryTableFieldId="3409"/>
    <tableColumn id="3410" xr3:uid="{D9D148A4-ADB9-4BD4-A544-460BC06C5E44}" uniqueName="3410" name="Column3410" queryTableFieldId="3410"/>
    <tableColumn id="3411" xr3:uid="{1BDD64CB-1695-40A6-9DE9-9DF2E74C749E}" uniqueName="3411" name="Column3411" queryTableFieldId="3411"/>
    <tableColumn id="3412" xr3:uid="{640A6E74-12DF-4C43-A261-A2B28D0A0FEA}" uniqueName="3412" name="Column3412" queryTableFieldId="3412"/>
    <tableColumn id="3413" xr3:uid="{69FEC7F8-FE43-47D7-915E-FEDD8307D8F3}" uniqueName="3413" name="Column3413" queryTableFieldId="3413"/>
    <tableColumn id="3414" xr3:uid="{72487A5E-5530-4D34-8FD3-F267DF8FA1B0}" uniqueName="3414" name="Column3414" queryTableFieldId="3414"/>
    <tableColumn id="3415" xr3:uid="{1400C7D2-B6FA-4077-B70B-89FB0DDCA25A}" uniqueName="3415" name="Column3415" queryTableFieldId="3415"/>
    <tableColumn id="3416" xr3:uid="{5ED184AA-213C-4BE1-BFD9-568D5612443C}" uniqueName="3416" name="Column3416" queryTableFieldId="3416"/>
    <tableColumn id="3417" xr3:uid="{5DE0B513-F1B1-454E-B374-02FFC9B3B1A1}" uniqueName="3417" name="Column3417" queryTableFieldId="3417"/>
    <tableColumn id="3418" xr3:uid="{A850562B-B4D2-4CF9-A757-88FB36E0F95F}" uniqueName="3418" name="Column3418" queryTableFieldId="3418"/>
    <tableColumn id="3419" xr3:uid="{7BAB2F1D-AB67-4319-B4A3-96DDD4BEF6DC}" uniqueName="3419" name="Column3419" queryTableFieldId="3419"/>
    <tableColumn id="3420" xr3:uid="{B67A637C-5288-4F9C-AA38-8F6E19E988A6}" uniqueName="3420" name="Column3420" queryTableFieldId="3420"/>
    <tableColumn id="3421" xr3:uid="{739F54C1-52DF-477A-8CA3-267EE09901E6}" uniqueName="3421" name="Column3421" queryTableFieldId="3421"/>
    <tableColumn id="3422" xr3:uid="{F84A1535-E0F3-483E-BCD6-3D3D738DBD32}" uniqueName="3422" name="Column3422" queryTableFieldId="3422"/>
    <tableColumn id="3423" xr3:uid="{D1A0B2D8-4ECD-4009-9711-297D53C21D97}" uniqueName="3423" name="Column3423" queryTableFieldId="3423"/>
    <tableColumn id="3424" xr3:uid="{C751089A-EEBB-40A2-8403-CD46D050AB3A}" uniqueName="3424" name="Column3424" queryTableFieldId="3424"/>
    <tableColumn id="3425" xr3:uid="{8678D2E7-D66B-49E1-B9C9-EB241156A9E2}" uniqueName="3425" name="Column3425" queryTableFieldId="3425"/>
    <tableColumn id="3426" xr3:uid="{69F07D07-0CC2-480C-AAE0-7FD3FC4DED8B}" uniqueName="3426" name="Column3426" queryTableFieldId="3426"/>
    <tableColumn id="3427" xr3:uid="{4C8B02CE-8AEC-4F90-AF9A-A1598D428D0E}" uniqueName="3427" name="Column3427" queryTableFieldId="3427"/>
    <tableColumn id="3428" xr3:uid="{F6818C50-1056-4F6E-9CC9-288DB10FFB2E}" uniqueName="3428" name="Column3428" queryTableFieldId="3428"/>
    <tableColumn id="3429" xr3:uid="{5453D6DF-C74A-4A8C-B1E5-1DF9F5F563AC}" uniqueName="3429" name="Column3429" queryTableFieldId="3429"/>
    <tableColumn id="3430" xr3:uid="{9D693C99-EAD6-478A-AC47-3479D64D837C}" uniqueName="3430" name="Column3430" queryTableFieldId="3430"/>
    <tableColumn id="3431" xr3:uid="{87027B4D-CFDE-475C-9358-A65FDAD1F5CB}" uniqueName="3431" name="Column3431" queryTableFieldId="3431"/>
    <tableColumn id="3432" xr3:uid="{2772711C-C914-411C-A703-028861DBF638}" uniqueName="3432" name="Column3432" queryTableFieldId="3432"/>
    <tableColumn id="3433" xr3:uid="{C4AA3EC4-EE4F-464C-9A2D-CB807F02C81F}" uniqueName="3433" name="Column3433" queryTableFieldId="3433"/>
    <tableColumn id="3434" xr3:uid="{AC3197D0-5416-4104-B5B4-09768019058A}" uniqueName="3434" name="Column3434" queryTableFieldId="3434"/>
    <tableColumn id="3435" xr3:uid="{7685B2E9-F3F7-4DC9-A8DE-867CF9807E38}" uniqueName="3435" name="Column3435" queryTableFieldId="3435"/>
    <tableColumn id="3436" xr3:uid="{807D300D-0EC0-4732-9DE4-7F66B9693A17}" uniqueName="3436" name="Column3436" queryTableFieldId="3436"/>
    <tableColumn id="3437" xr3:uid="{AB8491C8-6818-4385-AAA4-D1274876297B}" uniqueName="3437" name="Column3437" queryTableFieldId="3437"/>
    <tableColumn id="3438" xr3:uid="{26136457-9AF9-4141-B478-0F9BE3935793}" uniqueName="3438" name="Column3438" queryTableFieldId="3438"/>
    <tableColumn id="3439" xr3:uid="{5F1B8EDB-B157-4AD4-BD60-30017D335623}" uniqueName="3439" name="Column3439" queryTableFieldId="3439"/>
    <tableColumn id="3440" xr3:uid="{32C98BF4-B47C-4301-8EE7-362DF711C49B}" uniqueName="3440" name="Column3440" queryTableFieldId="3440"/>
    <tableColumn id="3441" xr3:uid="{59AD3017-C6D6-4809-AB5D-8C699D947738}" uniqueName="3441" name="Column3441" queryTableFieldId="3441"/>
    <tableColumn id="3442" xr3:uid="{6C9F038C-8C14-4C70-9C21-DDB1239EF35B}" uniqueName="3442" name="Column3442" queryTableFieldId="3442"/>
    <tableColumn id="3443" xr3:uid="{6EBCF40C-34E2-4EC8-A9E1-6764B2383323}" uniqueName="3443" name="Column3443" queryTableFieldId="3443"/>
    <tableColumn id="3444" xr3:uid="{B97967F4-486C-44AB-95D7-38EE338F4BC8}" uniqueName="3444" name="Column3444" queryTableFieldId="3444"/>
    <tableColumn id="3445" xr3:uid="{42F0C141-27DF-4078-B5A9-4B293F15644B}" uniqueName="3445" name="Column3445" queryTableFieldId="3445"/>
    <tableColumn id="3446" xr3:uid="{9C0F7A55-1C1B-4968-AF97-636A8B28C594}" uniqueName="3446" name="Column3446" queryTableFieldId="3446"/>
    <tableColumn id="3447" xr3:uid="{CC0AEAF4-E8B4-494C-8BB6-A1627DBD6222}" uniqueName="3447" name="Column3447" queryTableFieldId="3447"/>
    <tableColumn id="3448" xr3:uid="{BD1535ED-693A-4F7E-BA53-EC25E1AF7BBC}" uniqueName="3448" name="Column3448" queryTableFieldId="3448"/>
    <tableColumn id="3449" xr3:uid="{4857432D-FA25-4A21-A289-0A79589D4433}" uniqueName="3449" name="Column3449" queryTableFieldId="3449"/>
    <tableColumn id="3450" xr3:uid="{DA555370-8AD9-4447-9AF5-F8768E52EE9E}" uniqueName="3450" name="Column3450" queryTableFieldId="3450"/>
    <tableColumn id="3451" xr3:uid="{DC92A399-60C7-4991-BB09-4E931A0DDA08}" uniqueName="3451" name="Column3451" queryTableFieldId="3451"/>
    <tableColumn id="3452" xr3:uid="{7EBA193A-9D60-4A02-B558-8541290DD56D}" uniqueName="3452" name="Column3452" queryTableFieldId="3452"/>
    <tableColumn id="3453" xr3:uid="{5CC8A4BB-8E28-43FC-99D2-D94E9D31CFD0}" uniqueName="3453" name="Column3453" queryTableFieldId="3453"/>
    <tableColumn id="3454" xr3:uid="{8587E870-D645-4327-AB85-5EDD657E94C2}" uniqueName="3454" name="Column3454" queryTableFieldId="3454"/>
    <tableColumn id="3455" xr3:uid="{489F8FBC-652A-44E9-A3AE-EEF447242589}" uniqueName="3455" name="Column3455" queryTableFieldId="3455"/>
    <tableColumn id="3456" xr3:uid="{41BC6652-B95D-44F4-AD8B-004BB966A9DF}" uniqueName="3456" name="Column3456" queryTableFieldId="3456"/>
    <tableColumn id="3457" xr3:uid="{5A35B390-E70D-468E-A742-269E09D02D57}" uniqueName="3457" name="Column3457" queryTableFieldId="3457"/>
    <tableColumn id="3458" xr3:uid="{B44E91D1-5E48-4BBC-BE07-5BD1EC401594}" uniqueName="3458" name="Column3458" queryTableFieldId="3458"/>
    <tableColumn id="3459" xr3:uid="{D4ECCEA9-FCE6-4F76-82D9-1281A3040A9C}" uniqueName="3459" name="Column3459" queryTableFieldId="3459"/>
    <tableColumn id="3460" xr3:uid="{A3CCEE88-2CAE-4CB3-8EAC-8AC9BCCFB114}" uniqueName="3460" name="Column3460" queryTableFieldId="3460"/>
    <tableColumn id="3461" xr3:uid="{8A3C41A4-D04E-48AA-B441-098F9C47C1A3}" uniqueName="3461" name="Column3461" queryTableFieldId="3461"/>
    <tableColumn id="3462" xr3:uid="{3BEB3156-ED26-48BD-9EC1-135458CDA276}" uniqueName="3462" name="Column3462" queryTableFieldId="3462"/>
    <tableColumn id="3463" xr3:uid="{C13A5A09-4C14-4997-99C8-C44AD00311A8}" uniqueName="3463" name="Column3463" queryTableFieldId="3463"/>
    <tableColumn id="3464" xr3:uid="{024ADDCD-E3A5-481F-AA90-382D804628D3}" uniqueName="3464" name="Column3464" queryTableFieldId="3464"/>
    <tableColumn id="3465" xr3:uid="{F74690E1-A559-4006-BAF0-9A2E644C2154}" uniqueName="3465" name="Column3465" queryTableFieldId="3465"/>
    <tableColumn id="3466" xr3:uid="{AD25C03E-7A0F-47D7-8A4C-5A0A179B1260}" uniqueName="3466" name="Column3466" queryTableFieldId="3466"/>
    <tableColumn id="3467" xr3:uid="{D530191B-3F21-45FA-A403-AA12D88959BC}" uniqueName="3467" name="Column3467" queryTableFieldId="3467"/>
    <tableColumn id="3468" xr3:uid="{C20A8B5B-E650-43F4-8916-10258E9F6A3C}" uniqueName="3468" name="Column3468" queryTableFieldId="3468"/>
    <tableColumn id="3469" xr3:uid="{F66E4C4A-A23F-491C-A1C8-9D8DF441C244}" uniqueName="3469" name="Column3469" queryTableFieldId="3469"/>
    <tableColumn id="3470" xr3:uid="{EDD80CE1-1E07-4FE8-B93C-B046FF00E542}" uniqueName="3470" name="Column3470" queryTableFieldId="3470"/>
    <tableColumn id="3471" xr3:uid="{A3F39A11-4229-4070-B5C2-0CF3B1DD2CC6}" uniqueName="3471" name="Column3471" queryTableFieldId="3471"/>
    <tableColumn id="3472" xr3:uid="{5A7C4FCA-C5DC-44B4-9479-809C70AFB930}" uniqueName="3472" name="Column3472" queryTableFieldId="3472"/>
    <tableColumn id="3473" xr3:uid="{C3069BB2-A3DF-4F4A-B616-8CE7E9123759}" uniqueName="3473" name="Column3473" queryTableFieldId="3473"/>
    <tableColumn id="3474" xr3:uid="{F1639F42-1056-469D-970B-5102D2D9A911}" uniqueName="3474" name="Column3474" queryTableFieldId="3474"/>
    <tableColumn id="3475" xr3:uid="{C99166AE-3020-494E-9411-CC87D5730F4E}" uniqueName="3475" name="Column3475" queryTableFieldId="3475"/>
    <tableColumn id="3476" xr3:uid="{C4C9B1EB-8CE4-4900-ADC1-18B0E5EB147B}" uniqueName="3476" name="Column3476" queryTableFieldId="3476"/>
    <tableColumn id="3477" xr3:uid="{6BDC13AD-83C3-4435-BA3A-D8E3C645B598}" uniqueName="3477" name="Column3477" queryTableFieldId="3477"/>
    <tableColumn id="3478" xr3:uid="{2AABA39B-5A13-4AFF-99A7-4DB126EB8BED}" uniqueName="3478" name="Column3478" queryTableFieldId="3478"/>
    <tableColumn id="3479" xr3:uid="{20E2A5A6-DC13-40F8-B400-AA5DC3C80552}" uniqueName="3479" name="Column3479" queryTableFieldId="3479"/>
    <tableColumn id="3480" xr3:uid="{7883B839-F17B-4D31-9857-E1D8BE1B4051}" uniqueName="3480" name="Column3480" queryTableFieldId="3480"/>
    <tableColumn id="3481" xr3:uid="{3747F8CD-FE06-433D-AFE1-036971975D1C}" uniqueName="3481" name="Column3481" queryTableFieldId="3481"/>
    <tableColumn id="3482" xr3:uid="{F294A91D-2A76-4C8B-8B15-AA2609D48705}" uniqueName="3482" name="Column3482" queryTableFieldId="3482"/>
    <tableColumn id="3483" xr3:uid="{0B5920A9-A1E1-4FAE-BF13-3A0C2C975C3F}" uniqueName="3483" name="Column3483" queryTableFieldId="3483"/>
    <tableColumn id="3484" xr3:uid="{FBDA0179-2001-447F-8EE6-314DC74AD597}" uniqueName="3484" name="Column3484" queryTableFieldId="3484"/>
    <tableColumn id="3485" xr3:uid="{8AD130E6-1F21-4865-9F15-11B23DCD3F5B}" uniqueName="3485" name="Column3485" queryTableFieldId="3485"/>
    <tableColumn id="3486" xr3:uid="{171167FA-C038-494D-B903-05FB020F812E}" uniqueName="3486" name="Column3486" queryTableFieldId="3486"/>
    <tableColumn id="3487" xr3:uid="{C0370635-9574-44AA-90A8-F9A6BCFAA02B}" uniqueName="3487" name="Column3487" queryTableFieldId="3487"/>
    <tableColumn id="3488" xr3:uid="{6DB1CB28-8827-49B8-AE74-68F1230A1D30}" uniqueName="3488" name="Column3488" queryTableFieldId="3488"/>
    <tableColumn id="3489" xr3:uid="{00BF59F4-FFEE-4B72-9FE9-193DB0B0660D}" uniqueName="3489" name="Column3489" queryTableFieldId="3489"/>
    <tableColumn id="3490" xr3:uid="{246F64A8-C10C-4261-AC5B-4AB6A95F4540}" uniqueName="3490" name="Column3490" queryTableFieldId="3490"/>
    <tableColumn id="3491" xr3:uid="{24CF6B63-4E67-4F31-9724-5F2D15F81419}" uniqueName="3491" name="Column3491" queryTableFieldId="3491"/>
    <tableColumn id="3492" xr3:uid="{DAA2BCC1-3658-4E4A-BBB7-1A77003CBF6C}" uniqueName="3492" name="Column3492" queryTableFieldId="3492"/>
    <tableColumn id="3493" xr3:uid="{5A9AE9EF-99CF-4291-8A92-3B878877D50A}" uniqueName="3493" name="Column3493" queryTableFieldId="3493"/>
    <tableColumn id="3494" xr3:uid="{3E8E7A83-C88A-48F9-BD88-3538CF6AB63C}" uniqueName="3494" name="Column3494" queryTableFieldId="3494"/>
    <tableColumn id="3495" xr3:uid="{021D984B-A383-4D64-A09A-EFCADAD59484}" uniqueName="3495" name="Column3495" queryTableFieldId="3495"/>
    <tableColumn id="3496" xr3:uid="{5D9003BD-E90B-42B8-BF28-B69810079141}" uniqueName="3496" name="Column3496" queryTableFieldId="3496"/>
    <tableColumn id="3497" xr3:uid="{4F22BDBB-566D-4AD8-BB3F-F5C4787204DB}" uniqueName="3497" name="Column3497" queryTableFieldId="3497"/>
    <tableColumn id="3498" xr3:uid="{C21D1E14-3734-4A2F-B1EA-E9E1A713620F}" uniqueName="3498" name="Column3498" queryTableFieldId="3498"/>
    <tableColumn id="3499" xr3:uid="{A335306F-FA9B-4260-A60E-38D5D26D1E67}" uniqueName="3499" name="Column3499" queryTableFieldId="3499"/>
    <tableColumn id="3500" xr3:uid="{44B34EC7-4E8C-4225-A2A3-EA9A256F1837}" uniqueName="3500" name="Column3500" queryTableFieldId="3500"/>
    <tableColumn id="3501" xr3:uid="{D56AF58F-78FA-47A1-B2D0-54EE87727BEC}" uniqueName="3501" name="Column3501" queryTableFieldId="3501"/>
    <tableColumn id="3502" xr3:uid="{FEE698C3-0FF6-4D1E-937A-6F47C559F2A8}" uniqueName="3502" name="Column3502" queryTableFieldId="3502"/>
    <tableColumn id="3503" xr3:uid="{2ACA6410-4F46-4E60-94B8-3E917101AE31}" uniqueName="3503" name="Column3503" queryTableFieldId="3503"/>
    <tableColumn id="3504" xr3:uid="{3D19FA69-B78E-4864-A260-C8C74ED88350}" uniqueName="3504" name="Column3504" queryTableFieldId="3504"/>
    <tableColumn id="3505" xr3:uid="{CC5A0244-E375-4FC2-AE0B-B952ED611977}" uniqueName="3505" name="Column3505" queryTableFieldId="3505"/>
    <tableColumn id="3506" xr3:uid="{6FEAB093-BF96-4D34-AA2A-BCCE1BF67F43}" uniqueName="3506" name="Column3506" queryTableFieldId="3506"/>
    <tableColumn id="3507" xr3:uid="{5C368A0E-B746-41A6-86A2-64803D4C3154}" uniqueName="3507" name="Column3507" queryTableFieldId="3507"/>
    <tableColumn id="3508" xr3:uid="{20760489-57C2-4BF9-98D7-18F47F4A2380}" uniqueName="3508" name="Column3508" queryTableFieldId="3508"/>
    <tableColumn id="3509" xr3:uid="{7A180E75-8336-4B72-A063-8D40A579E3F3}" uniqueName="3509" name="Column3509" queryTableFieldId="3509"/>
    <tableColumn id="3510" xr3:uid="{41EE3782-FAB0-44E5-8ADA-B4D34F16045E}" uniqueName="3510" name="Column3510" queryTableFieldId="3510"/>
    <tableColumn id="3511" xr3:uid="{939BB2A1-C38C-4E92-9079-5E3D5E6D8AFE}" uniqueName="3511" name="Column3511" queryTableFieldId="3511"/>
    <tableColumn id="3512" xr3:uid="{1943A5A4-EB1C-4C14-9081-DA3BAF54FC0C}" uniqueName="3512" name="Column3512" queryTableFieldId="3512"/>
    <tableColumn id="3513" xr3:uid="{6BE96780-AB5E-4687-BDF3-A2A2B535F8CC}" uniqueName="3513" name="Column3513" queryTableFieldId="3513"/>
    <tableColumn id="3514" xr3:uid="{9A55936F-1ABB-4E46-9671-EDA1298F9470}" uniqueName="3514" name="Column3514" queryTableFieldId="3514"/>
    <tableColumn id="3515" xr3:uid="{D7A78629-D33F-41F4-8F65-5509B5FCC9FA}" uniqueName="3515" name="Column3515" queryTableFieldId="3515"/>
    <tableColumn id="3516" xr3:uid="{F9D62E0D-D4F8-46A4-8D03-7A521F322B32}" uniqueName="3516" name="Column3516" queryTableFieldId="3516"/>
    <tableColumn id="3517" xr3:uid="{A320A7FA-2D99-4888-9E94-F2C3939F513E}" uniqueName="3517" name="Column3517" queryTableFieldId="3517"/>
    <tableColumn id="3518" xr3:uid="{156D483B-78C4-462E-8DF5-479E2E8CB1FB}" uniqueName="3518" name="Column3518" queryTableFieldId="3518"/>
    <tableColumn id="3519" xr3:uid="{4D41143D-88E2-4500-B461-31A723ECC078}" uniqueName="3519" name="Column3519" queryTableFieldId="3519"/>
    <tableColumn id="3520" xr3:uid="{49348BF6-053D-4D6D-9AF8-4A1DC7407360}" uniqueName="3520" name="Column3520" queryTableFieldId="3520"/>
    <tableColumn id="3521" xr3:uid="{40328C74-26E7-4874-82F8-F9129D62C915}" uniqueName="3521" name="Column3521" queryTableFieldId="3521"/>
    <tableColumn id="3522" xr3:uid="{71D15297-04C2-4F94-A791-F23D059D8554}" uniqueName="3522" name="Column3522" queryTableFieldId="3522"/>
    <tableColumn id="3523" xr3:uid="{68FE93F9-C112-4FEA-A1EE-F4B13129B86D}" uniqueName="3523" name="Column3523" queryTableFieldId="3523"/>
    <tableColumn id="3524" xr3:uid="{BF972ADF-BF8A-4259-9990-6EF4304C1682}" uniqueName="3524" name="Column3524" queryTableFieldId="3524"/>
    <tableColumn id="3525" xr3:uid="{A27ACF17-E24A-4A3A-B0C1-153F7CD1B102}" uniqueName="3525" name="Column3525" queryTableFieldId="3525"/>
    <tableColumn id="3526" xr3:uid="{16407990-D439-45FD-B420-B75DF2072B58}" uniqueName="3526" name="Column3526" queryTableFieldId="3526"/>
    <tableColumn id="3527" xr3:uid="{856BFC1E-AEB6-4F57-88CE-B5F3839B65C4}" uniqueName="3527" name="Column3527" queryTableFieldId="3527"/>
    <tableColumn id="3528" xr3:uid="{4450BE7E-034E-4B01-A65B-4171419D4264}" uniqueName="3528" name="Column3528" queryTableFieldId="3528"/>
    <tableColumn id="3529" xr3:uid="{45AAECA2-6070-4D39-B4AC-2974F74FD1A3}" uniqueName="3529" name="Column3529" queryTableFieldId="3529"/>
    <tableColumn id="3530" xr3:uid="{8DBBCCA0-8569-4541-8094-1B95C2A12469}" uniqueName="3530" name="Column3530" queryTableFieldId="3530"/>
    <tableColumn id="3531" xr3:uid="{B7993099-A2D4-4F54-BA48-9CA24A4677C6}" uniqueName="3531" name="Column3531" queryTableFieldId="3531"/>
    <tableColumn id="3532" xr3:uid="{BFB18AED-CE08-49FA-818A-AA20A1EA94A2}" uniqueName="3532" name="Column3532" queryTableFieldId="3532"/>
    <tableColumn id="3533" xr3:uid="{598B2C4A-BD6F-4D0D-8F06-CE92D02BFA09}" uniqueName="3533" name="Column3533" queryTableFieldId="3533"/>
    <tableColumn id="3534" xr3:uid="{B3E1D663-C5DA-42C5-83E4-1DB7245E50FF}" uniqueName="3534" name="Column3534" queryTableFieldId="3534"/>
    <tableColumn id="3535" xr3:uid="{573A1DDB-DA37-4F81-8F44-8787E744F62A}" uniqueName="3535" name="Column3535" queryTableFieldId="3535"/>
    <tableColumn id="3536" xr3:uid="{3E4D6950-3373-4115-9ABD-1AFD5A679976}" uniqueName="3536" name="Column3536" queryTableFieldId="3536"/>
    <tableColumn id="3537" xr3:uid="{52642C08-5D5D-40C5-9018-4A81E75C3623}" uniqueName="3537" name="Column3537" queryTableFieldId="3537"/>
    <tableColumn id="3538" xr3:uid="{9AEA1FAD-4AB7-4402-BD46-B7822795589F}" uniqueName="3538" name="Column3538" queryTableFieldId="3538"/>
    <tableColumn id="3539" xr3:uid="{4A13776A-4161-42CA-8CE1-0CAC8797BF13}" uniqueName="3539" name="Column3539" queryTableFieldId="3539"/>
    <tableColumn id="3540" xr3:uid="{0729FB92-DBAA-4BD0-A3A2-FB1895DED78A}" uniqueName="3540" name="Column3540" queryTableFieldId="3540"/>
    <tableColumn id="3541" xr3:uid="{A817ED53-6307-46CC-808E-BE880888C4F7}" uniqueName="3541" name="Column3541" queryTableFieldId="3541"/>
    <tableColumn id="3542" xr3:uid="{79C2446D-73CD-40FF-8057-5CB86C5068BC}" uniqueName="3542" name="Column3542" queryTableFieldId="3542"/>
    <tableColumn id="3543" xr3:uid="{EABAEF3D-4011-479A-BC50-7DAFBAC7A3E7}" uniqueName="3543" name="Column3543" queryTableFieldId="3543"/>
    <tableColumn id="3544" xr3:uid="{ACB8E89F-24A8-4138-8AE1-8C1DB9281DC5}" uniqueName="3544" name="Column3544" queryTableFieldId="3544"/>
    <tableColumn id="3545" xr3:uid="{1C4B58F2-FF60-4F7F-A666-6BA546267B00}" uniqueName="3545" name="Column3545" queryTableFieldId="3545"/>
    <tableColumn id="3546" xr3:uid="{A508EAA1-1D90-42DF-8836-2D3CE2925D58}" uniqueName="3546" name="Column3546" queryTableFieldId="3546"/>
    <tableColumn id="3547" xr3:uid="{B88F7CFC-3052-4DE5-9C49-4FA43633F4EA}" uniqueName="3547" name="Column3547" queryTableFieldId="3547"/>
    <tableColumn id="3548" xr3:uid="{E6E47112-8784-4F02-97FD-55287CCC604D}" uniqueName="3548" name="Column3548" queryTableFieldId="3548"/>
    <tableColumn id="3549" xr3:uid="{2295F1BC-3B79-47CB-8E20-DA2CB1A63DD3}" uniqueName="3549" name="Column3549" queryTableFieldId="3549"/>
    <tableColumn id="3550" xr3:uid="{CF785F69-C9A2-4606-BEE7-7FDF9A536316}" uniqueName="3550" name="Column3550" queryTableFieldId="3550"/>
    <tableColumn id="3551" xr3:uid="{23F79963-E2E0-488E-8AAE-205F2F740367}" uniqueName="3551" name="Column3551" queryTableFieldId="3551"/>
    <tableColumn id="3552" xr3:uid="{68E78596-68BF-4EEE-AD30-E759808B7BE1}" uniqueName="3552" name="Column3552" queryTableFieldId="3552"/>
    <tableColumn id="3553" xr3:uid="{F64606F9-A857-4566-A3A3-16027E45C2CE}" uniqueName="3553" name="Column3553" queryTableFieldId="3553"/>
    <tableColumn id="3554" xr3:uid="{C2F245AF-D89A-4F02-8E74-D3C5CB0BD4A0}" uniqueName="3554" name="Column3554" queryTableFieldId="3554"/>
    <tableColumn id="3555" xr3:uid="{89B76261-E450-4618-B19D-A26CCA880498}" uniqueName="3555" name="Column3555" queryTableFieldId="3555"/>
    <tableColumn id="3556" xr3:uid="{E3F3B946-34EC-4447-B0F6-EFA3987D53C7}" uniqueName="3556" name="Column3556" queryTableFieldId="3556"/>
    <tableColumn id="3557" xr3:uid="{AC52FA2B-E3F7-4F1E-BBCD-D0D2D05F896C}" uniqueName="3557" name="Column3557" queryTableFieldId="3557"/>
    <tableColumn id="3558" xr3:uid="{3AC365E3-F032-40EF-9947-E34BED00AC87}" uniqueName="3558" name="Column3558" queryTableFieldId="3558"/>
    <tableColumn id="3559" xr3:uid="{4649F1BC-042B-4F21-BAAB-C04A757440A9}" uniqueName="3559" name="Column3559" queryTableFieldId="3559"/>
    <tableColumn id="3560" xr3:uid="{3247D8D0-7421-49F5-BBFD-D5D498D05FE8}" uniqueName="3560" name="Column3560" queryTableFieldId="3560"/>
    <tableColumn id="3561" xr3:uid="{52A86E42-F57C-4640-A014-6B69D9FE3F02}" uniqueName="3561" name="Column3561" queryTableFieldId="3561"/>
    <tableColumn id="3562" xr3:uid="{E12706AD-9276-40A0-B011-F51D9A7EADA5}" uniqueName="3562" name="Column3562" queryTableFieldId="3562"/>
    <tableColumn id="3563" xr3:uid="{42D38525-E1D5-4284-A9F5-328DDA35CD8D}" uniqueName="3563" name="Column3563" queryTableFieldId="3563"/>
    <tableColumn id="3564" xr3:uid="{395024BF-08A6-4262-A797-A2C68821B756}" uniqueName="3564" name="Column3564" queryTableFieldId="3564"/>
    <tableColumn id="3565" xr3:uid="{AFB9B625-B104-41FA-86C4-08B406CC3436}" uniqueName="3565" name="Column3565" queryTableFieldId="3565"/>
    <tableColumn id="3566" xr3:uid="{316DC1A7-BC14-4E6A-A154-2846DA5C5A05}" uniqueName="3566" name="Column3566" queryTableFieldId="3566"/>
    <tableColumn id="3567" xr3:uid="{B1C96C2C-321B-4C5F-A6F9-60093685AE2E}" uniqueName="3567" name="Column3567" queryTableFieldId="3567"/>
    <tableColumn id="3568" xr3:uid="{784B5ED9-7775-402A-B74A-8E09E3399A67}" uniqueName="3568" name="Column3568" queryTableFieldId="3568"/>
    <tableColumn id="3569" xr3:uid="{C7A9FB5F-3F25-42B7-BDB9-2265D3D54EE6}" uniqueName="3569" name="Column3569" queryTableFieldId="3569"/>
    <tableColumn id="3570" xr3:uid="{39A4D2A7-3962-469C-A304-17B45E8A6B19}" uniqueName="3570" name="Column3570" queryTableFieldId="3570"/>
    <tableColumn id="3571" xr3:uid="{59444561-CD8D-40BB-85E8-8F514EA367F4}" uniqueName="3571" name="Column3571" queryTableFieldId="3571"/>
    <tableColumn id="3572" xr3:uid="{9AB8A223-F1A5-4793-8F34-65AE39DFA986}" uniqueName="3572" name="Column3572" queryTableFieldId="3572"/>
    <tableColumn id="3573" xr3:uid="{A6F2F30B-163B-4D11-B86D-ECF65CEB78BD}" uniqueName="3573" name="Column3573" queryTableFieldId="3573"/>
    <tableColumn id="3574" xr3:uid="{5CFCB63C-A613-433B-8DF1-B5FC476F0851}" uniqueName="3574" name="Column3574" queryTableFieldId="3574"/>
    <tableColumn id="3575" xr3:uid="{49AA45F7-3A98-4B8D-9CE8-4C881BF8DA9A}" uniqueName="3575" name="Column3575" queryTableFieldId="3575"/>
    <tableColumn id="3576" xr3:uid="{DDB24F2F-8B7C-40B2-BB7F-188BE2A8EFC0}" uniqueName="3576" name="Column3576" queryTableFieldId="3576"/>
    <tableColumn id="3577" xr3:uid="{CAADD033-BABC-4E74-8E3E-A07EEDF8F070}" uniqueName="3577" name="Column3577" queryTableFieldId="3577"/>
    <tableColumn id="3578" xr3:uid="{8AF5C087-A9E4-40AD-AACD-827A37A76F24}" uniqueName="3578" name="Column3578" queryTableFieldId="3578"/>
    <tableColumn id="3579" xr3:uid="{8CC38B95-3399-4530-BB3D-649B011664A5}" uniqueName="3579" name="Column3579" queryTableFieldId="3579"/>
    <tableColumn id="3580" xr3:uid="{68F4B7BB-F4EC-4D70-8894-5C6CA84B8680}" uniqueName="3580" name="Column3580" queryTableFieldId="3580"/>
    <tableColumn id="3581" xr3:uid="{72E586A4-D8B3-474B-A5E2-8575151DBE6E}" uniqueName="3581" name="Column3581" queryTableFieldId="3581"/>
    <tableColumn id="3582" xr3:uid="{48F1C88A-215D-4662-8058-617091AEF382}" uniqueName="3582" name="Column3582" queryTableFieldId="3582"/>
    <tableColumn id="3583" xr3:uid="{1972AD01-E19E-4374-896B-A8E029A7FED8}" uniqueName="3583" name="Column3583" queryTableFieldId="3583"/>
    <tableColumn id="3584" xr3:uid="{F813AEB2-8CC7-42A2-8CAC-C168B1E7867B}" uniqueName="3584" name="Column3584" queryTableFieldId="3584"/>
    <tableColumn id="3585" xr3:uid="{70CFE28B-4F4E-47D2-9B34-CCC65AA93B69}" uniqueName="3585" name="Column3585" queryTableFieldId="3585"/>
    <tableColumn id="3586" xr3:uid="{0874635C-A839-4477-B3CA-6F8E4B45C37A}" uniqueName="3586" name="Column3586" queryTableFieldId="3586"/>
    <tableColumn id="3587" xr3:uid="{8A421A2A-CA45-434F-84EB-96A5A11D9D5F}" uniqueName="3587" name="Column3587" queryTableFieldId="3587"/>
    <tableColumn id="3588" xr3:uid="{A4D7597F-FB8D-4D2C-8AAF-0948B2FFB3A2}" uniqueName="3588" name="Column3588" queryTableFieldId="3588"/>
    <tableColumn id="3589" xr3:uid="{71307AB8-7532-413A-BECC-86A881D8CA63}" uniqueName="3589" name="Column3589" queryTableFieldId="3589"/>
    <tableColumn id="3590" xr3:uid="{8CDA32AB-FE22-4721-904B-5D7500DD2DC2}" uniqueName="3590" name="Column3590" queryTableFieldId="3590"/>
    <tableColumn id="3591" xr3:uid="{8EEACEBF-C089-423A-AD56-A2639E85CC8B}" uniqueName="3591" name="Column3591" queryTableFieldId="3591"/>
    <tableColumn id="3592" xr3:uid="{A011DAFD-8B8C-4326-A2B8-8AC34C9D1E64}" uniqueName="3592" name="Column3592" queryTableFieldId="3592"/>
    <tableColumn id="3593" xr3:uid="{CCB8E244-B87B-4962-B181-A0B685A1F548}" uniqueName="3593" name="Column3593" queryTableFieldId="3593"/>
    <tableColumn id="3594" xr3:uid="{569B6203-8A86-44A5-96C5-C7839D2170E6}" uniqueName="3594" name="Column3594" queryTableFieldId="3594"/>
    <tableColumn id="3595" xr3:uid="{857E7855-52DA-47FD-BAB5-D66D8A257B52}" uniqueName="3595" name="Column3595" queryTableFieldId="3595"/>
    <tableColumn id="3596" xr3:uid="{31E96895-85DE-4515-BE35-233F57942C9B}" uniqueName="3596" name="Column3596" queryTableFieldId="3596"/>
    <tableColumn id="3597" xr3:uid="{19F55509-EB7A-45A1-B217-D32ECA1E9DC1}" uniqueName="3597" name="Column3597" queryTableFieldId="3597"/>
    <tableColumn id="3598" xr3:uid="{AD6D1D39-0F85-4F37-8DEE-49B238E017F9}" uniqueName="3598" name="Column3598" queryTableFieldId="3598"/>
    <tableColumn id="3599" xr3:uid="{7A0587E7-2158-4994-87F0-586CC73EABAE}" uniqueName="3599" name="Column3599" queryTableFieldId="3599"/>
    <tableColumn id="3600" xr3:uid="{9F24F3F6-071B-4731-8029-61E351EAB4E5}" uniqueName="3600" name="Column3600" queryTableFieldId="3600"/>
    <tableColumn id="3601" xr3:uid="{3B8352E1-CDB0-41E0-A09D-ACA402708AF5}" uniqueName="3601" name="Column3601" queryTableFieldId="3601"/>
    <tableColumn id="3602" xr3:uid="{AD30D542-9A0E-4D68-BF73-13F8826C0654}" uniqueName="3602" name="Column3602" queryTableFieldId="3602"/>
    <tableColumn id="3603" xr3:uid="{BBBFD6A4-4AAE-48C0-BE9C-F483D4564E25}" uniqueName="3603" name="Column3603" queryTableFieldId="3603"/>
    <tableColumn id="3604" xr3:uid="{26BBD89D-AE3B-411B-BD5A-6DBA3EB2D693}" uniqueName="3604" name="Column3604" queryTableFieldId="3604"/>
    <tableColumn id="3605" xr3:uid="{34D40409-F32F-4F32-A3B7-8FDB7F5250C4}" uniqueName="3605" name="Column3605" queryTableFieldId="3605"/>
    <tableColumn id="3606" xr3:uid="{1CDEFAAD-D5D5-452A-9D74-32836886CA97}" uniqueName="3606" name="Column3606" queryTableFieldId="3606"/>
    <tableColumn id="3607" xr3:uid="{F442BD1F-E304-4AE0-ABDC-469F12E125B4}" uniqueName="3607" name="Column3607" queryTableFieldId="3607"/>
    <tableColumn id="3608" xr3:uid="{823C8105-6241-4362-A7F2-4BB5CD702C44}" uniqueName="3608" name="Column3608" queryTableFieldId="3608"/>
    <tableColumn id="3609" xr3:uid="{E9D52075-564A-429B-A50B-D428A60272F3}" uniqueName="3609" name="Column3609" queryTableFieldId="3609"/>
    <tableColumn id="3610" xr3:uid="{073F2E9E-5620-4556-9A2A-EA1B3841DE7C}" uniqueName="3610" name="Column3610" queryTableFieldId="3610"/>
    <tableColumn id="3611" xr3:uid="{92686DB6-3882-423F-99E0-5D6E0EFE3A5A}" uniqueName="3611" name="Column3611" queryTableFieldId="3611"/>
    <tableColumn id="3612" xr3:uid="{CD2B0B0D-F4A5-4B28-B1C0-2CF49539CF12}" uniqueName="3612" name="Column3612" queryTableFieldId="3612"/>
    <tableColumn id="3613" xr3:uid="{6BE5E74F-6290-416B-94D6-A8C1CB68AC9A}" uniqueName="3613" name="Column3613" queryTableFieldId="3613"/>
    <tableColumn id="3614" xr3:uid="{2DB393A9-188F-4107-952B-05A6DEAAF869}" uniqueName="3614" name="Column3614" queryTableFieldId="3614"/>
    <tableColumn id="3615" xr3:uid="{E9B8BAF9-F2F2-484B-AB6B-C944A54794D2}" uniqueName="3615" name="Column3615" queryTableFieldId="3615"/>
    <tableColumn id="3616" xr3:uid="{2810E1DC-6E3C-4F1B-B8B9-1706C20D589F}" uniqueName="3616" name="Column3616" queryTableFieldId="3616"/>
    <tableColumn id="3617" xr3:uid="{A052360C-DFAA-44C0-BBA4-ABF7B961F9E0}" uniqueName="3617" name="Column3617" queryTableFieldId="3617"/>
    <tableColumn id="3618" xr3:uid="{881613E5-44F9-4C00-A773-8C1087BAE689}" uniqueName="3618" name="Column3618" queryTableFieldId="3618"/>
    <tableColumn id="3619" xr3:uid="{CF8E604B-C867-4368-AA57-720C7892EAD4}" uniqueName="3619" name="Column3619" queryTableFieldId="3619"/>
    <tableColumn id="3620" xr3:uid="{083B9D34-9803-47E1-8FE7-6A263000ABEE}" uniqueName="3620" name="Column3620" queryTableFieldId="3620"/>
    <tableColumn id="3621" xr3:uid="{1AAB0BB4-A662-426F-ADB3-9A2217FD455D}" uniqueName="3621" name="Column3621" queryTableFieldId="3621"/>
    <tableColumn id="3622" xr3:uid="{989D2220-7372-48A9-B320-0405BD7D98E2}" uniqueName="3622" name="Column3622" queryTableFieldId="3622"/>
    <tableColumn id="3623" xr3:uid="{962FAF42-2CE1-48F9-B236-7E2BECF1C0E4}" uniqueName="3623" name="Column3623" queryTableFieldId="3623"/>
    <tableColumn id="3624" xr3:uid="{947D9241-BD01-44F2-A3BA-D1137EAA1AD4}" uniqueName="3624" name="Column3624" queryTableFieldId="3624"/>
    <tableColumn id="3625" xr3:uid="{E7FD7A0F-4131-40B7-B21E-49216907446C}" uniqueName="3625" name="Column3625" queryTableFieldId="3625"/>
    <tableColumn id="3626" xr3:uid="{CA85F437-7559-4A85-A4DD-DFC82E0A5864}" uniqueName="3626" name="Column3626" queryTableFieldId="3626"/>
    <tableColumn id="3627" xr3:uid="{8226958B-CA0C-401C-B51B-3F35E42D4C35}" uniqueName="3627" name="Column3627" queryTableFieldId="3627"/>
    <tableColumn id="3628" xr3:uid="{93242B63-6DE0-403A-B0BB-303092D9448F}" uniqueName="3628" name="Column3628" queryTableFieldId="3628"/>
    <tableColumn id="3629" xr3:uid="{6292938F-87A2-4CA8-B88B-9059DEF1EDB3}" uniqueName="3629" name="Column3629" queryTableFieldId="3629"/>
    <tableColumn id="3630" xr3:uid="{7E44724E-8C05-4C35-99A5-F4DE4C8963A4}" uniqueName="3630" name="Column3630" queryTableFieldId="3630"/>
    <tableColumn id="3631" xr3:uid="{65F458F4-BEBC-4F41-BF0C-16B4F407AC20}" uniqueName="3631" name="Column3631" queryTableFieldId="3631"/>
    <tableColumn id="3632" xr3:uid="{407771E5-18AF-463A-85C3-F8516765454F}" uniqueName="3632" name="Column3632" queryTableFieldId="3632"/>
    <tableColumn id="3633" xr3:uid="{75813B4F-10B5-4578-AD4E-B0CF9F84E4B7}" uniqueName="3633" name="Column3633" queryTableFieldId="3633"/>
    <tableColumn id="3634" xr3:uid="{03B82118-65CE-4850-877B-C61E86B54E49}" uniqueName="3634" name="Column3634" queryTableFieldId="3634"/>
    <tableColumn id="3635" xr3:uid="{B71DBD8D-E7A1-46F0-92A3-427E29633C97}" uniqueName="3635" name="Column3635" queryTableFieldId="3635"/>
    <tableColumn id="3636" xr3:uid="{5234372D-8FC5-4716-946F-0685F3CE6CEA}" uniqueName="3636" name="Column3636" queryTableFieldId="3636"/>
    <tableColumn id="3637" xr3:uid="{7DCAD564-3916-4D69-9F9E-455AE849E588}" uniqueName="3637" name="Column3637" queryTableFieldId="3637"/>
    <tableColumn id="3638" xr3:uid="{0CA5785F-AF36-4640-B0E1-908E4B8FAD1B}" uniqueName="3638" name="Column3638" queryTableFieldId="3638"/>
    <tableColumn id="3639" xr3:uid="{473F1FB5-61BC-4ED6-BA14-30BC38B1C234}" uniqueName="3639" name="Column3639" queryTableFieldId="3639"/>
    <tableColumn id="3640" xr3:uid="{68967EDA-89A1-4182-BB74-285E056AC7EC}" uniqueName="3640" name="Column3640" queryTableFieldId="3640"/>
    <tableColumn id="3641" xr3:uid="{69FBE727-2398-4855-A603-06ADC1D79257}" uniqueName="3641" name="Column3641" queryTableFieldId="3641"/>
    <tableColumn id="3642" xr3:uid="{4EEDC3CD-E2C3-42D7-8959-D966D9164823}" uniqueName="3642" name="Column3642" queryTableFieldId="3642"/>
    <tableColumn id="3643" xr3:uid="{74966F23-5805-4E35-931F-F1D765D4626F}" uniqueName="3643" name="Column3643" queryTableFieldId="3643"/>
    <tableColumn id="3644" xr3:uid="{CE0626D6-DE0F-4C7B-BD0B-F72F1567A9E3}" uniqueName="3644" name="Column3644" queryTableFieldId="3644"/>
    <tableColumn id="3645" xr3:uid="{D833D05B-FA2C-4FEA-AD02-FF88E4A1DC73}" uniqueName="3645" name="Column3645" queryTableFieldId="3645"/>
    <tableColumn id="3646" xr3:uid="{C885FA0B-5A24-46F3-A4F2-02F61A29CCC4}" uniqueName="3646" name="Column3646" queryTableFieldId="3646"/>
    <tableColumn id="3647" xr3:uid="{4418F479-D221-4089-A375-9795F29BC034}" uniqueName="3647" name="Column3647" queryTableFieldId="3647"/>
    <tableColumn id="3648" xr3:uid="{9DBC64AE-48BF-4326-9E10-422F61F11C61}" uniqueName="3648" name="Column3648" queryTableFieldId="3648"/>
    <tableColumn id="3649" xr3:uid="{FF3F3234-4E90-4F31-A235-3F69DEFA1E59}" uniqueName="3649" name="Column3649" queryTableFieldId="3649"/>
    <tableColumn id="3650" xr3:uid="{A052681F-50D0-42EF-A0A8-F1F0C34C3861}" uniqueName="3650" name="Column3650" queryTableFieldId="3650"/>
    <tableColumn id="3651" xr3:uid="{2E2427DA-3AFD-411A-93E3-2BD4900F8827}" uniqueName="3651" name="Column3651" queryTableFieldId="3651"/>
    <tableColumn id="3652" xr3:uid="{DBD98D0B-F7AE-4142-BC5D-276C9610F4B8}" uniqueName="3652" name="Column3652" queryTableFieldId="3652"/>
    <tableColumn id="3653" xr3:uid="{70156B61-3EE9-439A-967E-C2BAAB7809A2}" uniqueName="3653" name="Column3653" queryTableFieldId="3653"/>
    <tableColumn id="3654" xr3:uid="{9F79CD05-6CBB-4EB5-9AEE-2B44760199BF}" uniqueName="3654" name="Column3654" queryTableFieldId="3654"/>
    <tableColumn id="3655" xr3:uid="{AB596C22-B5A0-45C4-AD90-538B316CFB36}" uniqueName="3655" name="Column3655" queryTableFieldId="3655"/>
    <tableColumn id="3656" xr3:uid="{F3377A82-75C5-4F7F-82AA-A47C08BA7181}" uniqueName="3656" name="Column3656" queryTableFieldId="3656"/>
    <tableColumn id="3657" xr3:uid="{DCC4E747-AED6-472D-9246-BE3270C67A22}" uniqueName="3657" name="Column3657" queryTableFieldId="3657"/>
    <tableColumn id="3658" xr3:uid="{8E95ABF4-751C-4916-BC7C-BAF9FD33DDEE}" uniqueName="3658" name="Column3658" queryTableFieldId="3658"/>
    <tableColumn id="3659" xr3:uid="{C939CC4D-7B1B-48FC-9D02-7C58209235C9}" uniqueName="3659" name="Column3659" queryTableFieldId="3659"/>
    <tableColumn id="3660" xr3:uid="{7EF5ADA6-14B9-414B-B6B3-6ED270769568}" uniqueName="3660" name="Column3660" queryTableFieldId="3660"/>
    <tableColumn id="3661" xr3:uid="{019B4D0A-98F0-4943-A458-63DD0313672A}" uniqueName="3661" name="Column3661" queryTableFieldId="3661"/>
    <tableColumn id="3662" xr3:uid="{E5CF49F9-0768-48B7-BC7C-F4F119123E15}" uniqueName="3662" name="Column3662" queryTableFieldId="3662"/>
    <tableColumn id="3663" xr3:uid="{9D12F0D2-8019-4A0D-941F-26C33D255D81}" uniqueName="3663" name="Column3663" queryTableFieldId="3663"/>
    <tableColumn id="3664" xr3:uid="{E0C0321E-9F74-4097-918B-440BE0FE3088}" uniqueName="3664" name="Column3664" queryTableFieldId="3664"/>
    <tableColumn id="3665" xr3:uid="{0290EFBC-AF44-43C8-B611-716D35FF3FDB}" uniqueName="3665" name="Column3665" queryTableFieldId="3665"/>
    <tableColumn id="3666" xr3:uid="{029F1E48-52B7-4550-9A1D-4D2E01F804E3}" uniqueName="3666" name="Column3666" queryTableFieldId="3666"/>
    <tableColumn id="3667" xr3:uid="{DA9256E2-04D6-4E7F-AB1D-91FD0DA0A4EA}" uniqueName="3667" name="Column3667" queryTableFieldId="3667"/>
    <tableColumn id="3668" xr3:uid="{70E1BBB9-CFBE-455A-A3AC-C7F08523055C}" uniqueName="3668" name="Column3668" queryTableFieldId="3668"/>
    <tableColumn id="3669" xr3:uid="{5535B46A-E647-4F2D-90FD-C9EBACB6427B}" uniqueName="3669" name="Column3669" queryTableFieldId="3669"/>
    <tableColumn id="3670" xr3:uid="{AF3D04B9-D1C5-4C79-8B2F-4EC78D613C81}" uniqueName="3670" name="Column3670" queryTableFieldId="3670"/>
    <tableColumn id="3671" xr3:uid="{746F3EA0-4FC1-439D-8A93-E3FB8CC611F3}" uniqueName="3671" name="Column3671" queryTableFieldId="3671"/>
    <tableColumn id="3672" xr3:uid="{21671C18-B7B8-4716-B16D-AD73FB315C69}" uniqueName="3672" name="Column3672" queryTableFieldId="3672"/>
    <tableColumn id="3673" xr3:uid="{6497624B-AB57-46B9-873C-DA6F09C74280}" uniqueName="3673" name="Column3673" queryTableFieldId="3673"/>
    <tableColumn id="3674" xr3:uid="{4D4AA8A2-154D-4448-8D78-F6D45C1605B0}" uniqueName="3674" name="Column3674" queryTableFieldId="3674"/>
    <tableColumn id="3675" xr3:uid="{4ECF4781-22F0-4955-A54E-669C2DF0BC4C}" uniqueName="3675" name="Column3675" queryTableFieldId="3675"/>
    <tableColumn id="3676" xr3:uid="{61295DE2-3C2D-4791-A9FE-0F2CB7B8E33E}" uniqueName="3676" name="Column3676" queryTableFieldId="3676"/>
    <tableColumn id="3677" xr3:uid="{B8BC0518-DD5F-4A4C-8159-D830F541FE54}" uniqueName="3677" name="Column3677" queryTableFieldId="3677"/>
    <tableColumn id="3678" xr3:uid="{FD9F0B8D-7CA5-4317-BCE5-E2FEA9B9B951}" uniqueName="3678" name="Column3678" queryTableFieldId="3678"/>
    <tableColumn id="3679" xr3:uid="{1AF57CBB-7DB8-426B-B140-34CA00DDFB43}" uniqueName="3679" name="Column3679" queryTableFieldId="3679"/>
    <tableColumn id="3680" xr3:uid="{EED58F4A-2894-4845-9456-DAABD7C8035A}" uniqueName="3680" name="Column3680" queryTableFieldId="3680"/>
    <tableColumn id="3681" xr3:uid="{76BCF711-F01F-49D7-9952-10D101EFC63B}" uniqueName="3681" name="Column3681" queryTableFieldId="3681"/>
    <tableColumn id="3682" xr3:uid="{8AC06908-A0F2-47E8-B32E-4A18B5A64C1C}" uniqueName="3682" name="Column3682" queryTableFieldId="3682"/>
    <tableColumn id="3683" xr3:uid="{7C0528F2-0860-4D12-9414-F7BC40E8239F}" uniqueName="3683" name="Column3683" queryTableFieldId="3683"/>
    <tableColumn id="3684" xr3:uid="{635B33D5-07BE-4711-B55B-708389C2441A}" uniqueName="3684" name="Column3684" queryTableFieldId="3684"/>
    <tableColumn id="3685" xr3:uid="{19D15ED7-32B0-4C79-93F7-5A34F6891D2F}" uniqueName="3685" name="Column3685" queryTableFieldId="3685"/>
    <tableColumn id="3686" xr3:uid="{3C75E02D-4CF8-4E7A-96AC-23A92D276832}" uniqueName="3686" name="Column3686" queryTableFieldId="3686"/>
    <tableColumn id="3687" xr3:uid="{E241476A-38DB-45EE-BE39-B20CBDEA5AB8}" uniqueName="3687" name="Column3687" queryTableFieldId="3687"/>
    <tableColumn id="3688" xr3:uid="{FBCA60B9-06D7-4692-B076-8A39F7007923}" uniqueName="3688" name="Column3688" queryTableFieldId="3688"/>
    <tableColumn id="3689" xr3:uid="{DE3FC0F3-D9AA-4A54-9351-276AE1AF9AC4}" uniqueName="3689" name="Column3689" queryTableFieldId="3689"/>
    <tableColumn id="3690" xr3:uid="{441D1714-A64A-49FE-ADDC-57BDA567F2A0}" uniqueName="3690" name="Column3690" queryTableFieldId="3690"/>
    <tableColumn id="3691" xr3:uid="{E1D01915-CF8F-4B54-85B8-6B3AC7385115}" uniqueName="3691" name="Column3691" queryTableFieldId="3691"/>
    <tableColumn id="3692" xr3:uid="{33788C3A-38C0-4FBC-A7DC-352637ECA2ED}" uniqueName="3692" name="Column3692" queryTableFieldId="3692"/>
    <tableColumn id="3693" xr3:uid="{A84ED4BE-D8B8-4FE5-BA22-A83FBEFE95E9}" uniqueName="3693" name="Column3693" queryTableFieldId="3693"/>
    <tableColumn id="3694" xr3:uid="{E3C99C29-A0CC-4844-968B-3D0A8E407463}" uniqueName="3694" name="Column3694" queryTableFieldId="3694"/>
    <tableColumn id="3695" xr3:uid="{5362A114-E67D-4657-ADB2-B8B964C694B7}" uniqueName="3695" name="Column3695" queryTableFieldId="3695"/>
    <tableColumn id="3696" xr3:uid="{955D3C10-7346-4A7C-8446-AA89B047B35F}" uniqueName="3696" name="Column3696" queryTableFieldId="3696"/>
    <tableColumn id="3697" xr3:uid="{833E4844-1547-45CE-8A61-CFA5C417B83D}" uniqueName="3697" name="Column3697" queryTableFieldId="3697"/>
    <tableColumn id="3698" xr3:uid="{F0D4FAD8-63A9-4FBA-B566-C0E3E68EA705}" uniqueName="3698" name="Column3698" queryTableFieldId="3698"/>
    <tableColumn id="3699" xr3:uid="{73ADC555-A633-4992-9D1F-BAB9F999419D}" uniqueName="3699" name="Column3699" queryTableFieldId="3699"/>
    <tableColumn id="3700" xr3:uid="{4D545FB1-C40B-4583-B44B-E1FC8151ECC0}" uniqueName="3700" name="Column3700" queryTableFieldId="3700"/>
    <tableColumn id="3701" xr3:uid="{9997DA5D-C7A4-4256-A87D-9B0D660BD06C}" uniqueName="3701" name="Column3701" queryTableFieldId="3701"/>
    <tableColumn id="3702" xr3:uid="{22F8F086-3E71-496E-B1A9-992ACD40403D}" uniqueName="3702" name="Column3702" queryTableFieldId="3702"/>
    <tableColumn id="3703" xr3:uid="{D5B18643-D84F-4289-B3A3-D8886DAD6E26}" uniqueName="3703" name="Column3703" queryTableFieldId="3703"/>
    <tableColumn id="3704" xr3:uid="{59C5060E-9723-4A07-8311-8A00EBA6DA82}" uniqueName="3704" name="Column3704" queryTableFieldId="3704"/>
    <tableColumn id="3705" xr3:uid="{7277C5F4-0360-4CE0-A0AA-0F67B3D6C2F8}" uniqueName="3705" name="Column3705" queryTableFieldId="3705"/>
    <tableColumn id="3706" xr3:uid="{38F8B95F-A319-42A2-99FF-1CEB80D9DBDC}" uniqueName="3706" name="Column3706" queryTableFieldId="3706"/>
    <tableColumn id="3707" xr3:uid="{F234D8A6-FB13-458B-BBA8-6438E16AC328}" uniqueName="3707" name="Column3707" queryTableFieldId="3707"/>
    <tableColumn id="3708" xr3:uid="{58947189-74D6-43B6-84C1-BD580FF90349}" uniqueName="3708" name="Column3708" queryTableFieldId="3708"/>
    <tableColumn id="3709" xr3:uid="{53E04560-9A5C-4B10-A7B1-EFA05F9584D1}" uniqueName="3709" name="Column3709" queryTableFieldId="3709"/>
    <tableColumn id="3710" xr3:uid="{02DB9724-EF35-4977-B966-4AEC6E297982}" uniqueName="3710" name="Column3710" queryTableFieldId="3710"/>
    <tableColumn id="3711" xr3:uid="{8AEFB564-A7BB-469B-B69B-8B3AC2E5A7F7}" uniqueName="3711" name="Column3711" queryTableFieldId="3711"/>
    <tableColumn id="3712" xr3:uid="{4F4F48A4-378A-4D3A-93D1-19437ACE0F2E}" uniqueName="3712" name="Column3712" queryTableFieldId="3712"/>
    <tableColumn id="3713" xr3:uid="{D221EFC3-35B0-4CE8-A519-F1AE392B52B4}" uniqueName="3713" name="Column3713" queryTableFieldId="3713"/>
    <tableColumn id="3714" xr3:uid="{C7C09874-B1C1-43F6-9BBA-011ED912870E}" uniqueName="3714" name="Column3714" queryTableFieldId="3714"/>
    <tableColumn id="3715" xr3:uid="{C4AD1611-EC80-42B3-AE9B-B2AB812713AB}" uniqueName="3715" name="Column3715" queryTableFieldId="3715"/>
    <tableColumn id="3716" xr3:uid="{9E578941-5B25-49E1-8A7B-8F1C11D1044A}" uniqueName="3716" name="Column3716" queryTableFieldId="3716"/>
    <tableColumn id="3717" xr3:uid="{672E60CE-03A0-44B8-8B6B-FE272F3F900A}" uniqueName="3717" name="Column3717" queryTableFieldId="3717"/>
    <tableColumn id="3718" xr3:uid="{A0DD19CB-980D-421C-89A6-2E7F117AEC25}" uniqueName="3718" name="Column3718" queryTableFieldId="3718"/>
    <tableColumn id="3719" xr3:uid="{B0B961E0-0E01-4560-9258-A8FA204D7AF9}" uniqueName="3719" name="Column3719" queryTableFieldId="3719"/>
    <tableColumn id="3720" xr3:uid="{15C82CD0-5FCA-4267-97DF-D4F85550FB02}" uniqueName="3720" name="Column3720" queryTableFieldId="3720"/>
    <tableColumn id="3721" xr3:uid="{3877396A-E04F-4124-A73E-C5FA056A11F2}" uniqueName="3721" name="Column3721" queryTableFieldId="3721"/>
    <tableColumn id="3722" xr3:uid="{F99E7B0A-DFC6-4E6A-BA1B-9B482CEA7333}" uniqueName="3722" name="Column3722" queryTableFieldId="3722"/>
    <tableColumn id="3723" xr3:uid="{D16ACFBA-BF8D-4D6A-9638-923C76A75F2C}" uniqueName="3723" name="Column3723" queryTableFieldId="3723"/>
    <tableColumn id="3724" xr3:uid="{3953B8F1-8BA7-418A-8B4F-A51CB85CB9FC}" uniqueName="3724" name="Column3724" queryTableFieldId="3724"/>
    <tableColumn id="3725" xr3:uid="{629489EB-FD8C-4E93-AC3D-CE6EF98D56F4}" uniqueName="3725" name="Column3725" queryTableFieldId="3725"/>
    <tableColumn id="3726" xr3:uid="{26BD1509-9B8A-4771-A8CD-AAD420982887}" uniqueName="3726" name="Column3726" queryTableFieldId="3726"/>
    <tableColumn id="3727" xr3:uid="{6DC2EDDD-3939-4732-BD18-C97A65C6B5F2}" uniqueName="3727" name="Column3727" queryTableFieldId="3727"/>
    <tableColumn id="3728" xr3:uid="{81F4EF59-DFA0-409E-9BFC-6D7D416EE9C3}" uniqueName="3728" name="Column3728" queryTableFieldId="3728"/>
    <tableColumn id="3729" xr3:uid="{3F41AB62-A4F7-4485-8084-31FC586603E4}" uniqueName="3729" name="Column3729" queryTableFieldId="3729"/>
    <tableColumn id="3730" xr3:uid="{A579C056-0419-4DE0-91A1-A094D8E1FC67}" uniqueName="3730" name="Column3730" queryTableFieldId="3730"/>
    <tableColumn id="3731" xr3:uid="{3DB9EB1B-B2E4-4B62-B9F2-606E64345759}" uniqueName="3731" name="Column3731" queryTableFieldId="3731"/>
    <tableColumn id="3732" xr3:uid="{4259EA43-1D22-4ED1-9C60-EACC0081B18A}" uniqueName="3732" name="Column3732" queryTableFieldId="3732"/>
    <tableColumn id="3733" xr3:uid="{F5E9DC6C-1D00-417E-8501-8DCD5F4286C2}" uniqueName="3733" name="Column3733" queryTableFieldId="3733"/>
    <tableColumn id="3734" xr3:uid="{9EBB3AD4-5308-4475-A6C4-5C910B791468}" uniqueName="3734" name="Column3734" queryTableFieldId="3734"/>
    <tableColumn id="3735" xr3:uid="{4D0077FB-CA65-4195-BDCF-BFFFBB11FB6D}" uniqueName="3735" name="Column3735" queryTableFieldId="3735"/>
    <tableColumn id="3736" xr3:uid="{F995FDD4-8E7B-4178-811E-A16A0431126E}" uniqueName="3736" name="Column3736" queryTableFieldId="3736"/>
    <tableColumn id="3737" xr3:uid="{00D8A80D-AAC3-41DA-9145-992346FD5DC1}" uniqueName="3737" name="Column3737" queryTableFieldId="3737"/>
    <tableColumn id="3738" xr3:uid="{07243A2B-F79A-4417-944B-7C7C36C684A2}" uniqueName="3738" name="Column3738" queryTableFieldId="3738"/>
    <tableColumn id="3739" xr3:uid="{8D47B1D6-5470-4024-A1AC-E3BA79E71195}" uniqueName="3739" name="Column3739" queryTableFieldId="3739"/>
    <tableColumn id="3740" xr3:uid="{7D788D23-A6FF-4A33-A04C-F28CF7BE93D3}" uniqueName="3740" name="Column3740" queryTableFieldId="3740"/>
    <tableColumn id="3741" xr3:uid="{3AED406E-4E51-4A06-9D3D-E746367A7604}" uniqueName="3741" name="Column3741" queryTableFieldId="3741"/>
    <tableColumn id="3742" xr3:uid="{B2ECA615-BCB0-47B6-AF52-0F4DE9EAFD44}" uniqueName="3742" name="Column3742" queryTableFieldId="3742"/>
    <tableColumn id="3743" xr3:uid="{DA3FE3B1-7EB0-4561-9731-3CF6BDC10C90}" uniqueName="3743" name="Column3743" queryTableFieldId="3743"/>
    <tableColumn id="3744" xr3:uid="{3D58D3BC-EFF0-4F36-BFCE-0A3B22ED3935}" uniqueName="3744" name="Column3744" queryTableFieldId="3744"/>
    <tableColumn id="3745" xr3:uid="{2917F4BB-07ED-4FB7-9074-051827316FC3}" uniqueName="3745" name="Column3745" queryTableFieldId="3745"/>
    <tableColumn id="3746" xr3:uid="{2B1F50FB-7C91-43A9-8355-DCF98F875E0B}" uniqueName="3746" name="Column3746" queryTableFieldId="3746"/>
    <tableColumn id="3747" xr3:uid="{BDC57EB1-5391-4000-9EED-0DEF663E62AC}" uniqueName="3747" name="Column3747" queryTableFieldId="3747"/>
    <tableColumn id="3748" xr3:uid="{1BFC5998-451B-4A17-8B3E-AC0A5669349E}" uniqueName="3748" name="Column3748" queryTableFieldId="3748"/>
    <tableColumn id="3749" xr3:uid="{2194D4C3-06D8-424E-BFD1-896C0B23D16C}" uniqueName="3749" name="Column3749" queryTableFieldId="3749"/>
    <tableColumn id="3750" xr3:uid="{E4837480-3D8C-4A82-A7B2-2CDA7CECA32C}" uniqueName="3750" name="Column3750" queryTableFieldId="3750"/>
    <tableColumn id="3751" xr3:uid="{29F181E2-3FF5-40D0-91C3-D62338F7A103}" uniqueName="3751" name="Column3751" queryTableFieldId="3751"/>
    <tableColumn id="3752" xr3:uid="{11F26176-9A91-44AA-B3F8-5AA2D5725981}" uniqueName="3752" name="Column3752" queryTableFieldId="3752"/>
    <tableColumn id="3753" xr3:uid="{28826F8A-00BE-4E56-B36A-ACA19565DA99}" uniqueName="3753" name="Column3753" queryTableFieldId="3753"/>
    <tableColumn id="3754" xr3:uid="{8E14091B-5AB6-4F6D-9C16-D9D5F1FDDBAD}" uniqueName="3754" name="Column3754" queryTableFieldId="3754"/>
    <tableColumn id="3755" xr3:uid="{436433AD-1FE9-424A-8A47-08AF0D89C231}" uniqueName="3755" name="Column3755" queryTableFieldId="3755"/>
    <tableColumn id="3756" xr3:uid="{6CE3102A-BE2E-4742-B3B3-07FA9311F2EF}" uniqueName="3756" name="Column3756" queryTableFieldId="3756"/>
    <tableColumn id="3757" xr3:uid="{0ADC2296-A843-4BB2-8986-84F109618BC7}" uniqueName="3757" name="Column3757" queryTableFieldId="3757"/>
    <tableColumn id="3758" xr3:uid="{67FBA054-84E0-4CA6-A312-853B7900349B}" uniqueName="3758" name="Column3758" queryTableFieldId="3758"/>
    <tableColumn id="3759" xr3:uid="{A0A1B7A6-82EF-4155-8661-1474E856D5C6}" uniqueName="3759" name="Column3759" queryTableFieldId="3759"/>
    <tableColumn id="3760" xr3:uid="{2E047AA8-D34C-44FB-B127-20E9F372ED8C}" uniqueName="3760" name="Column3760" queryTableFieldId="3760"/>
    <tableColumn id="3761" xr3:uid="{5C90753B-D5FE-453D-AD02-B19370A09242}" uniqueName="3761" name="Column3761" queryTableFieldId="3761"/>
    <tableColumn id="3762" xr3:uid="{12AD48C1-A6F2-41B3-AC86-F48C4AB53152}" uniqueName="3762" name="Column3762" queryTableFieldId="3762"/>
    <tableColumn id="3763" xr3:uid="{376F3F72-64D9-4276-AA47-58DB07EFCC17}" uniqueName="3763" name="Column3763" queryTableFieldId="3763"/>
    <tableColumn id="3764" xr3:uid="{3CD1914A-CE4F-410F-9389-F7357029235B}" uniqueName="3764" name="Column3764" queryTableFieldId="3764"/>
    <tableColumn id="3765" xr3:uid="{13B19A4C-F83E-44EA-B6DE-5EEBF0FE6B51}" uniqueName="3765" name="Column3765" queryTableFieldId="3765"/>
    <tableColumn id="3766" xr3:uid="{7F22B31F-F653-493B-B66F-9081C422E5A8}" uniqueName="3766" name="Column3766" queryTableFieldId="3766"/>
    <tableColumn id="3767" xr3:uid="{4E863AC6-C8DF-4E07-951B-94A660E4CE58}" uniqueName="3767" name="Column3767" queryTableFieldId="3767"/>
    <tableColumn id="3768" xr3:uid="{86EDF324-EC97-4162-B1CF-85D3FA4B2720}" uniqueName="3768" name="Column3768" queryTableFieldId="3768"/>
    <tableColumn id="3769" xr3:uid="{A74EA96D-FA5A-4879-9BC1-3D46F60D837F}" uniqueName="3769" name="Column3769" queryTableFieldId="3769"/>
    <tableColumn id="3770" xr3:uid="{B3DC352E-9BE5-4373-87A9-D1C7798A4862}" uniqueName="3770" name="Column3770" queryTableFieldId="3770"/>
    <tableColumn id="3771" xr3:uid="{41343ACA-B4BB-4C6A-A9C7-2E2811CA1B88}" uniqueName="3771" name="Column3771" queryTableFieldId="3771"/>
    <tableColumn id="3772" xr3:uid="{8B1BFB39-660C-4185-93D0-5720EF1F2770}" uniqueName="3772" name="Column3772" queryTableFieldId="3772"/>
    <tableColumn id="3773" xr3:uid="{9F21FE60-F3E5-4111-AED2-479A6FB9A49F}" uniqueName="3773" name="Column3773" queryTableFieldId="3773"/>
    <tableColumn id="3774" xr3:uid="{F9823A13-335C-4152-848A-A702C0C6A1A8}" uniqueName="3774" name="Column3774" queryTableFieldId="3774"/>
    <tableColumn id="3775" xr3:uid="{E5AC637D-9B24-4FC4-AE20-6E9BF6803E1B}" uniqueName="3775" name="Column3775" queryTableFieldId="3775"/>
    <tableColumn id="3776" xr3:uid="{86174033-F086-40A3-9FEB-C7F3C39D24D9}" uniqueName="3776" name="Column3776" queryTableFieldId="3776"/>
    <tableColumn id="3777" xr3:uid="{74FB548B-8EDF-49C5-AB31-F534704470EB}" uniqueName="3777" name="Column3777" queryTableFieldId="3777"/>
    <tableColumn id="3778" xr3:uid="{0D31AB76-EC53-4AAD-BED1-6BB9110F6067}" uniqueName="3778" name="Column3778" queryTableFieldId="3778"/>
    <tableColumn id="3779" xr3:uid="{9BE21F38-B484-433D-9ABF-783E16C40C05}" uniqueName="3779" name="Column3779" queryTableFieldId="3779"/>
    <tableColumn id="3780" xr3:uid="{C6F39E27-2C53-4CFD-8D2A-DC643D050D71}" uniqueName="3780" name="Column3780" queryTableFieldId="3780"/>
    <tableColumn id="3781" xr3:uid="{D5594919-AD29-4781-8CF1-80B10A449187}" uniqueName="3781" name="Column3781" queryTableFieldId="3781"/>
    <tableColumn id="3782" xr3:uid="{5671AD5A-C7FA-4F36-A0F2-7B43E313C5D7}" uniqueName="3782" name="Column3782" queryTableFieldId="3782"/>
    <tableColumn id="3783" xr3:uid="{18BAC96A-DA7E-4A19-8669-96CF1D1AEB67}" uniqueName="3783" name="Column3783" queryTableFieldId="3783"/>
    <tableColumn id="3784" xr3:uid="{03ECC190-78CA-45C4-BCDC-F7AAF770BCD5}" uniqueName="3784" name="Column3784" queryTableFieldId="3784"/>
    <tableColumn id="3785" xr3:uid="{AF850022-294B-4C49-957E-73B4281DA9B7}" uniqueName="3785" name="Column3785" queryTableFieldId="3785"/>
    <tableColumn id="3786" xr3:uid="{BF6F66E6-E9BA-40A0-A11D-AD2073964134}" uniqueName="3786" name="Column3786" queryTableFieldId="3786"/>
    <tableColumn id="3787" xr3:uid="{F2C95499-8738-4987-AFCB-6C4E855F89FA}" uniqueName="3787" name="Column3787" queryTableFieldId="3787"/>
    <tableColumn id="3788" xr3:uid="{183128C5-48AC-4CF4-A23C-2DFC5EE0F9C8}" uniqueName="3788" name="Column3788" queryTableFieldId="3788"/>
    <tableColumn id="3789" xr3:uid="{6117E043-6371-4FAB-A74C-1E6D5DE47D13}" uniqueName="3789" name="Column3789" queryTableFieldId="3789"/>
    <tableColumn id="3790" xr3:uid="{5DA6CD48-3B3D-4801-B3F5-282BE3A8560D}" uniqueName="3790" name="Column3790" queryTableFieldId="3790"/>
    <tableColumn id="3791" xr3:uid="{9BF4128B-CF04-4A65-AE40-84B086BD7A7C}" uniqueName="3791" name="Column3791" queryTableFieldId="3791"/>
    <tableColumn id="3792" xr3:uid="{68419E2F-07DD-4AF2-B940-52661F119473}" uniqueName="3792" name="Column3792" queryTableFieldId="3792"/>
    <tableColumn id="3793" xr3:uid="{28D02847-340B-45FA-A541-94DCCC9BBAA9}" uniqueName="3793" name="Column3793" queryTableFieldId="3793"/>
    <tableColumn id="3794" xr3:uid="{4E50D0AC-C9A3-44E0-9D9B-2B53A79A7EBA}" uniqueName="3794" name="Column3794" queryTableFieldId="3794"/>
    <tableColumn id="3795" xr3:uid="{425AF906-1071-440C-B421-0BE14CF86571}" uniqueName="3795" name="Column3795" queryTableFieldId="3795"/>
    <tableColumn id="3796" xr3:uid="{81798FD1-BC48-4B47-BCED-CFD1B05D8372}" uniqueName="3796" name="Column3796" queryTableFieldId="3796"/>
    <tableColumn id="3797" xr3:uid="{9933F893-E133-4904-A232-1239CA6F292C}" uniqueName="3797" name="Column3797" queryTableFieldId="3797"/>
    <tableColumn id="3798" xr3:uid="{95D33D5F-316D-46BC-8078-CEAB9076960E}" uniqueName="3798" name="Column3798" queryTableFieldId="3798"/>
    <tableColumn id="3799" xr3:uid="{A89B6360-4C44-4CBE-87A5-264D0D1D694A}" uniqueName="3799" name="Column3799" queryTableFieldId="3799"/>
    <tableColumn id="3800" xr3:uid="{BDC02E80-EB9F-41BF-BAA3-5CFAB139EFFD}" uniqueName="3800" name="Column3800" queryTableFieldId="3800"/>
    <tableColumn id="3801" xr3:uid="{D447350B-2BF8-4450-ADF3-2D1BF64F56C6}" uniqueName="3801" name="Column3801" queryTableFieldId="3801"/>
    <tableColumn id="3802" xr3:uid="{15545A1A-E8C0-40CA-85CE-1BE9B0EBAF97}" uniqueName="3802" name="Column3802" queryTableFieldId="3802"/>
    <tableColumn id="3803" xr3:uid="{164AAFAD-D731-4880-8EF9-80B1666AA4A0}" uniqueName="3803" name="Column3803" queryTableFieldId="3803"/>
    <tableColumn id="3804" xr3:uid="{58670540-6D46-4770-836B-7FD52A752212}" uniqueName="3804" name="Column3804" queryTableFieldId="3804"/>
    <tableColumn id="3805" xr3:uid="{A1BF59CD-7783-42FB-B667-6F7CA0E260E3}" uniqueName="3805" name="Column3805" queryTableFieldId="3805"/>
    <tableColumn id="3806" xr3:uid="{548EF4AF-9C0A-4133-B3BD-D8F318699B44}" uniqueName="3806" name="Column3806" queryTableFieldId="3806"/>
    <tableColumn id="3807" xr3:uid="{B866DA86-90FA-489B-893D-8FD5364BF5E6}" uniqueName="3807" name="Column3807" queryTableFieldId="3807"/>
    <tableColumn id="3808" xr3:uid="{4F450457-CDD7-4CA0-A7D3-29522AC4924A}" uniqueName="3808" name="Column3808" queryTableFieldId="3808"/>
    <tableColumn id="3809" xr3:uid="{7ABBD4E7-5512-4A28-A31A-B2055148CF2B}" uniqueName="3809" name="Column3809" queryTableFieldId="3809"/>
    <tableColumn id="3810" xr3:uid="{0AAE3D16-6048-4E74-A51F-7FE00909D467}" uniqueName="3810" name="Column3810" queryTableFieldId="3810"/>
    <tableColumn id="3811" xr3:uid="{2FCE59EC-39B6-45F4-8E50-9F09B7028448}" uniqueName="3811" name="Column3811" queryTableFieldId="3811"/>
    <tableColumn id="3812" xr3:uid="{21C0A08A-B054-400B-B39C-DF4DE6AF2971}" uniqueName="3812" name="Column3812" queryTableFieldId="3812"/>
    <tableColumn id="3813" xr3:uid="{520246C6-22F1-4E99-BBB5-FC22B6D3D179}" uniqueName="3813" name="Column3813" queryTableFieldId="3813"/>
    <tableColumn id="3814" xr3:uid="{770CF812-CE70-49BE-99A5-7C344513FE9A}" uniqueName="3814" name="Column3814" queryTableFieldId="3814"/>
    <tableColumn id="3815" xr3:uid="{B0229B9D-42BA-45BC-A4C2-85BC610983D9}" uniqueName="3815" name="Column3815" queryTableFieldId="3815"/>
    <tableColumn id="3816" xr3:uid="{44FAD240-6082-4AD7-9FFA-5A854F1A6C6C}" uniqueName="3816" name="Column3816" queryTableFieldId="3816"/>
    <tableColumn id="3817" xr3:uid="{D7665057-41E0-4C4E-B5F8-67586B567BC1}" uniqueName="3817" name="Column3817" queryTableFieldId="3817"/>
    <tableColumn id="3818" xr3:uid="{860E327D-262D-4024-A424-6182C9840870}" uniqueName="3818" name="Column3818" queryTableFieldId="3818"/>
    <tableColumn id="3819" xr3:uid="{90AA9BC3-5BF3-48CC-BCD1-9AFAAF79FD01}" uniqueName="3819" name="Column3819" queryTableFieldId="3819"/>
    <tableColumn id="3820" xr3:uid="{30E0E093-C2C2-4BE3-AB14-96FB1EDA0A46}" uniqueName="3820" name="Column3820" queryTableFieldId="3820"/>
    <tableColumn id="3821" xr3:uid="{129752C9-F4DD-41F5-A58B-A803CCC5C0F5}" uniqueName="3821" name="Column3821" queryTableFieldId="3821"/>
    <tableColumn id="3822" xr3:uid="{E9998130-5C90-487F-B549-9E3B27867235}" uniqueName="3822" name="Column3822" queryTableFieldId="3822"/>
    <tableColumn id="3823" xr3:uid="{74648467-A486-493F-8663-BD829E38DD9A}" uniqueName="3823" name="Column3823" queryTableFieldId="3823"/>
    <tableColumn id="3824" xr3:uid="{F55DE51E-62BC-4B01-B911-DCF1D2CC281C}" uniqueName="3824" name="Column3824" queryTableFieldId="3824"/>
    <tableColumn id="3825" xr3:uid="{82385140-2BD2-442F-AA09-96E9035805E8}" uniqueName="3825" name="Column3825" queryTableFieldId="3825"/>
    <tableColumn id="3826" xr3:uid="{23D38C06-ABE8-400A-B162-961010138E27}" uniqueName="3826" name="Column3826" queryTableFieldId="3826"/>
    <tableColumn id="3827" xr3:uid="{A1B9C98A-7087-439C-953F-4D56B91B6DC9}" uniqueName="3827" name="Column3827" queryTableFieldId="3827"/>
    <tableColumn id="3828" xr3:uid="{ABD26C0F-063F-4CDC-9DAE-ECB903378905}" uniqueName="3828" name="Column3828" queryTableFieldId="3828"/>
    <tableColumn id="3829" xr3:uid="{D25ACADC-22B7-4785-AEA6-51A0AC33F45E}" uniqueName="3829" name="Column3829" queryTableFieldId="3829"/>
    <tableColumn id="3830" xr3:uid="{7B6BA5A0-DC14-4AC8-B784-2AFFB9F34EBD}" uniqueName="3830" name="Column3830" queryTableFieldId="3830"/>
    <tableColumn id="3831" xr3:uid="{8575F577-21C2-428F-B9E5-506364933F1D}" uniqueName="3831" name="Column3831" queryTableFieldId="3831"/>
    <tableColumn id="3832" xr3:uid="{EDA96BDD-311E-44A8-983B-1EA98107ED71}" uniqueName="3832" name="Column3832" queryTableFieldId="3832"/>
    <tableColumn id="3833" xr3:uid="{30C75DFD-3583-4787-B202-40D0228E0758}" uniqueName="3833" name="Column3833" queryTableFieldId="3833"/>
    <tableColumn id="3834" xr3:uid="{D692BDDF-03FF-41DF-9140-B72FACD57D77}" uniqueName="3834" name="Column3834" queryTableFieldId="3834"/>
    <tableColumn id="3835" xr3:uid="{F4C54471-FD2D-4711-8892-6D35F86CB677}" uniqueName="3835" name="Column3835" queryTableFieldId="3835"/>
    <tableColumn id="3836" xr3:uid="{8AA68BBA-1FBA-47C0-94F0-C464DEDE0740}" uniqueName="3836" name="Column3836" queryTableFieldId="3836"/>
    <tableColumn id="3837" xr3:uid="{283A1F76-553B-4822-95CB-F6789F1428FD}" uniqueName="3837" name="Column3837" queryTableFieldId="3837"/>
    <tableColumn id="3838" xr3:uid="{6280E376-723D-4B07-A7CC-DCFA77C6DDF8}" uniqueName="3838" name="Column3838" queryTableFieldId="3838"/>
    <tableColumn id="3839" xr3:uid="{4AC882F5-5EC1-470C-ADC4-4316D975D76F}" uniqueName="3839" name="Column3839" queryTableFieldId="3839"/>
    <tableColumn id="3840" xr3:uid="{9139013F-2EDC-4050-9A7A-7EB66483156B}" uniqueName="3840" name="Column3840" queryTableFieldId="3840"/>
    <tableColumn id="3841" xr3:uid="{3AD62F84-C695-4AE3-AF16-FB3D965880D1}" uniqueName="3841" name="Column3841" queryTableFieldId="3841"/>
    <tableColumn id="3842" xr3:uid="{419A76C8-848E-495B-8D6D-CB9620608D49}" uniqueName="3842" name="Column3842" queryTableFieldId="3842"/>
    <tableColumn id="3843" xr3:uid="{32AB4510-CBCA-41ED-9AFB-04D49C2CE9BF}" uniqueName="3843" name="Column3843" queryTableFieldId="3843"/>
    <tableColumn id="3844" xr3:uid="{3FE2B2BD-B2C7-4136-8D5C-748B697DB708}" uniqueName="3844" name="Column3844" queryTableFieldId="3844"/>
    <tableColumn id="3845" xr3:uid="{ACDB4D25-A7A1-42DD-A331-B578ED04A929}" uniqueName="3845" name="Column3845" queryTableFieldId="3845"/>
    <tableColumn id="3846" xr3:uid="{B39C1B50-45FA-4615-B77D-82524D001744}" uniqueName="3846" name="Column3846" queryTableFieldId="3846"/>
    <tableColumn id="3847" xr3:uid="{ED171707-827C-4F9B-A692-6C9CC516E5C5}" uniqueName="3847" name="Column3847" queryTableFieldId="3847"/>
    <tableColumn id="3848" xr3:uid="{6E860B66-1F6E-4598-AD04-9A7E552AF786}" uniqueName="3848" name="Column3848" queryTableFieldId="3848"/>
    <tableColumn id="3849" xr3:uid="{37F03E6B-C1C8-4CF0-A354-6D3BC41D3E8C}" uniqueName="3849" name="Column3849" queryTableFieldId="3849"/>
    <tableColumn id="3850" xr3:uid="{113D69AB-863A-4EE6-AD88-52026DCD1FBA}" uniqueName="3850" name="Column3850" queryTableFieldId="3850"/>
    <tableColumn id="3851" xr3:uid="{4FC2D840-4F5F-4BE0-AAA2-723EBCBAABF3}" uniqueName="3851" name="Column3851" queryTableFieldId="3851"/>
    <tableColumn id="3852" xr3:uid="{F9D99E2F-DDF8-4DBC-8F31-A6DACE8787A5}" uniqueName="3852" name="Column3852" queryTableFieldId="3852"/>
    <tableColumn id="3853" xr3:uid="{A1F47E87-A0F4-48BA-A782-E9C11D9E1FC5}" uniqueName="3853" name="Column3853" queryTableFieldId="3853"/>
    <tableColumn id="3854" xr3:uid="{8F7918A1-8C3C-4C93-8C9C-8C1ABF97609B}" uniqueName="3854" name="Column3854" queryTableFieldId="3854"/>
    <tableColumn id="3855" xr3:uid="{5C416B25-C97B-4897-8987-6FCB40481761}" uniqueName="3855" name="Column3855" queryTableFieldId="3855"/>
    <tableColumn id="3856" xr3:uid="{08624348-E2E2-436A-A13F-A10D31BB46E6}" uniqueName="3856" name="Column3856" queryTableFieldId="3856"/>
    <tableColumn id="3857" xr3:uid="{834395BA-3D11-461C-AEED-D50B77A05281}" uniqueName="3857" name="Column3857" queryTableFieldId="3857"/>
    <tableColumn id="3858" xr3:uid="{2427FF58-234B-4EC6-9E25-03CEEB32E3BE}" uniqueName="3858" name="Column3858" queryTableFieldId="3858"/>
    <tableColumn id="3859" xr3:uid="{63558E29-A29C-4886-90D4-AC42B03B0474}" uniqueName="3859" name="Column3859" queryTableFieldId="3859"/>
    <tableColumn id="3860" xr3:uid="{777301E4-146F-419F-9A6E-83E0CB598FF0}" uniqueName="3860" name="Column3860" queryTableFieldId="3860"/>
    <tableColumn id="3861" xr3:uid="{CEC1D590-A986-4F71-9EDA-671AFB70D9FF}" uniqueName="3861" name="Column3861" queryTableFieldId="3861"/>
    <tableColumn id="3862" xr3:uid="{557AD151-5790-4DD2-857A-1E3A4D0A4EB9}" uniqueName="3862" name="Column3862" queryTableFieldId="3862"/>
    <tableColumn id="3863" xr3:uid="{4E91DA8D-48D1-4D11-893A-B42B7832F5D7}" uniqueName="3863" name="Column3863" queryTableFieldId="3863"/>
    <tableColumn id="3864" xr3:uid="{4B557387-467A-4BE0-99EB-134468DED1C6}" uniqueName="3864" name="Column3864" queryTableFieldId="3864"/>
    <tableColumn id="3865" xr3:uid="{DCC6A252-1621-43FD-B805-E976990A013D}" uniqueName="3865" name="Column3865" queryTableFieldId="3865"/>
    <tableColumn id="3866" xr3:uid="{71871DBB-B8BB-4275-BCCF-2D3953A39B1B}" uniqueName="3866" name="Column3866" queryTableFieldId="3866"/>
    <tableColumn id="3867" xr3:uid="{9E2AF8B3-AB4E-4ED5-B85B-47D019F69D7D}" uniqueName="3867" name="Column3867" queryTableFieldId="3867"/>
    <tableColumn id="3868" xr3:uid="{74C8EC0C-0004-4CBB-A54C-A99F490D1861}" uniqueName="3868" name="Column3868" queryTableFieldId="3868"/>
    <tableColumn id="3869" xr3:uid="{EADB89E4-A859-4837-BBB9-758428BB6D50}" uniqueName="3869" name="Column3869" queryTableFieldId="3869"/>
    <tableColumn id="3870" xr3:uid="{394C14FA-02EB-4744-87BC-8C02C270EAEA}" uniqueName="3870" name="Column3870" queryTableFieldId="3870"/>
    <tableColumn id="3871" xr3:uid="{9403F812-2055-4539-9948-A42DFA3C3B2D}" uniqueName="3871" name="Column3871" queryTableFieldId="3871"/>
    <tableColumn id="3872" xr3:uid="{FBAA3503-478B-404E-9983-760AAB4D2CA3}" uniqueName="3872" name="Column3872" queryTableFieldId="3872"/>
    <tableColumn id="3873" xr3:uid="{6842C98E-2EB8-4CCA-AA76-AE974F859D62}" uniqueName="3873" name="Column3873" queryTableFieldId="3873"/>
    <tableColumn id="3874" xr3:uid="{C7A5C638-0ADF-418A-BF75-B7BA02B0815E}" uniqueName="3874" name="Column3874" queryTableFieldId="3874"/>
    <tableColumn id="3875" xr3:uid="{2FFC45A7-77F3-42CA-83D9-16B252DEAF20}" uniqueName="3875" name="Column3875" queryTableFieldId="3875"/>
    <tableColumn id="3876" xr3:uid="{E92BAEC4-FA3B-45EC-B5BD-7DA8D0840E23}" uniqueName="3876" name="Column3876" queryTableFieldId="3876"/>
    <tableColumn id="3877" xr3:uid="{81220792-5262-4493-AAAA-A5592C6FDFD2}" uniqueName="3877" name="Column3877" queryTableFieldId="3877"/>
    <tableColumn id="3878" xr3:uid="{04537BF3-25F7-429D-A2A2-2FE35AF638C4}" uniqueName="3878" name="Column3878" queryTableFieldId="3878"/>
    <tableColumn id="3879" xr3:uid="{0D826F9B-0789-4B17-A17C-335FAA6BF967}" uniqueName="3879" name="Column3879" queryTableFieldId="3879"/>
    <tableColumn id="3880" xr3:uid="{1440F166-80AE-4837-B1E6-9EA46CBB0892}" uniqueName="3880" name="Column3880" queryTableFieldId="3880"/>
    <tableColumn id="3881" xr3:uid="{DE432C40-60D5-4EF0-B916-7A52459BCBFB}" uniqueName="3881" name="Column3881" queryTableFieldId="3881"/>
    <tableColumn id="3882" xr3:uid="{9B08AD9E-0AD9-450D-B393-2057E121A91E}" uniqueName="3882" name="Column3882" queryTableFieldId="3882"/>
    <tableColumn id="3883" xr3:uid="{821B9887-76D6-4882-9B4D-9F9DF252BF64}" uniqueName="3883" name="Column3883" queryTableFieldId="3883"/>
    <tableColumn id="3884" xr3:uid="{A4218618-4945-48B5-90CF-2C6C763A7B88}" uniqueName="3884" name="Column3884" queryTableFieldId="3884"/>
    <tableColumn id="3885" xr3:uid="{04B65A7B-5FAE-4459-AC1B-FF70F049D2AA}" uniqueName="3885" name="Column3885" queryTableFieldId="3885"/>
    <tableColumn id="3886" xr3:uid="{7B450BA4-4D97-490D-AD0B-F90EB80D9D16}" uniqueName="3886" name="Column3886" queryTableFieldId="3886"/>
    <tableColumn id="3887" xr3:uid="{2A37930B-5E6D-452C-B0EB-13B1DF0A16E1}" uniqueName="3887" name="Column3887" queryTableFieldId="3887"/>
    <tableColumn id="3888" xr3:uid="{2A1B7850-0BA7-4712-B949-2B37FD6AA670}" uniqueName="3888" name="Column3888" queryTableFieldId="3888"/>
    <tableColumn id="3889" xr3:uid="{0DDF5B8F-0AFC-4F9A-AE1D-131D5814F663}" uniqueName="3889" name="Column3889" queryTableFieldId="3889"/>
    <tableColumn id="3890" xr3:uid="{361A6153-1FD8-4824-A25F-7428FA0EAD62}" uniqueName="3890" name="Column3890" queryTableFieldId="3890"/>
    <tableColumn id="3891" xr3:uid="{D7D8F3F1-8B70-4821-B26E-E770A24B3105}" uniqueName="3891" name="Column3891" queryTableFieldId="3891"/>
    <tableColumn id="3892" xr3:uid="{B48E2585-60C5-452F-AF8F-5EE798908341}" uniqueName="3892" name="Column3892" queryTableFieldId="3892"/>
    <tableColumn id="3893" xr3:uid="{500414A6-9C0C-4315-994A-5E1E004D55ED}" uniqueName="3893" name="Column3893" queryTableFieldId="3893"/>
    <tableColumn id="3894" xr3:uid="{B129B6DF-7800-46BB-98A8-DE658D733B4F}" uniqueName="3894" name="Column3894" queryTableFieldId="3894"/>
    <tableColumn id="3895" xr3:uid="{B4873A38-2928-49B5-8C09-B56106C4AFF6}" uniqueName="3895" name="Column3895" queryTableFieldId="3895"/>
    <tableColumn id="3896" xr3:uid="{F7EB8169-C0AB-4E4E-AD32-3D04362027F6}" uniqueName="3896" name="Column3896" queryTableFieldId="3896"/>
    <tableColumn id="3897" xr3:uid="{8032526B-AC15-4B76-8934-99B5CE19E123}" uniqueName="3897" name="Column3897" queryTableFieldId="3897"/>
    <tableColumn id="3898" xr3:uid="{F75CCF74-0AFB-463E-9EDD-A66EC62083CD}" uniqueName="3898" name="Column3898" queryTableFieldId="3898"/>
    <tableColumn id="3899" xr3:uid="{736267D6-875B-42A9-9FFF-1734ACAB6CC9}" uniqueName="3899" name="Column3899" queryTableFieldId="3899"/>
    <tableColumn id="3900" xr3:uid="{EB42DA53-12C7-435D-AC17-D012D9CF55E4}" uniqueName="3900" name="Column3900" queryTableFieldId="3900"/>
    <tableColumn id="3901" xr3:uid="{F64736DF-60AE-4829-9410-5A8CEAF9E2AF}" uniqueName="3901" name="Column3901" queryTableFieldId="3901"/>
    <tableColumn id="3902" xr3:uid="{CF6B7D95-D78F-4F1C-A1C7-D55AA8A6EED6}" uniqueName="3902" name="Column3902" queryTableFieldId="3902"/>
    <tableColumn id="3903" xr3:uid="{AE3D62CB-973E-4D62-AE14-025EC9F57E03}" uniqueName="3903" name="Column3903" queryTableFieldId="3903"/>
    <tableColumn id="3904" xr3:uid="{CB8A28F2-4A6B-4B0E-9D6F-FD9A29D3F25E}" uniqueName="3904" name="Column3904" queryTableFieldId="3904"/>
    <tableColumn id="3905" xr3:uid="{91915229-58C9-448A-8CC5-EB3ABC2EC1E0}" uniqueName="3905" name="Column3905" queryTableFieldId="3905"/>
    <tableColumn id="3906" xr3:uid="{2C603EC8-A96C-4452-898F-D84B3488E5B0}" uniqueName="3906" name="Column3906" queryTableFieldId="3906"/>
    <tableColumn id="3907" xr3:uid="{EF2CD922-3589-45A0-A317-D69E6AB97F2F}" uniqueName="3907" name="Column3907" queryTableFieldId="3907"/>
    <tableColumn id="3908" xr3:uid="{DAC381CB-E072-4819-A0A1-B5CED9A8E066}" uniqueName="3908" name="Column3908" queryTableFieldId="3908"/>
    <tableColumn id="3909" xr3:uid="{6C3B8DD0-88C8-4327-B813-1FDDAC11E197}" uniqueName="3909" name="Column3909" queryTableFieldId="3909"/>
    <tableColumn id="3910" xr3:uid="{3563B020-3FAD-4670-9360-4719A94EC0F7}" uniqueName="3910" name="Column3910" queryTableFieldId="3910"/>
    <tableColumn id="3911" xr3:uid="{F89444D4-EC5E-44B9-B97B-7FF9D1ED26E3}" uniqueName="3911" name="Column3911" queryTableFieldId="3911"/>
    <tableColumn id="3912" xr3:uid="{FE7BE1D4-F592-4CD5-AF02-3DA3590AA66A}" uniqueName="3912" name="Column3912" queryTableFieldId="3912"/>
    <tableColumn id="3913" xr3:uid="{C14CD5B4-836F-44CE-B5DC-9C58C9E450DB}" uniqueName="3913" name="Column3913" queryTableFieldId="3913"/>
    <tableColumn id="3914" xr3:uid="{6D85B475-0DD1-4804-A58A-383F18D50AE6}" uniqueName="3914" name="Column3914" queryTableFieldId="3914"/>
    <tableColumn id="3915" xr3:uid="{844E83B0-957B-4D82-B5CA-D7465241C868}" uniqueName="3915" name="Column3915" queryTableFieldId="3915"/>
    <tableColumn id="3916" xr3:uid="{26EEE75F-508E-4125-AC97-71C748FEEDAF}" uniqueName="3916" name="Column3916" queryTableFieldId="3916"/>
    <tableColumn id="3917" xr3:uid="{887A252E-0A2F-4594-997C-7EED7F269C63}" uniqueName="3917" name="Column3917" queryTableFieldId="3917"/>
    <tableColumn id="3918" xr3:uid="{A229B003-F574-4425-89D8-1227C27DD5FF}" uniqueName="3918" name="Column3918" queryTableFieldId="3918"/>
    <tableColumn id="3919" xr3:uid="{9E1AF3D6-6B99-409A-82E8-A4ECE3129B16}" uniqueName="3919" name="Column3919" queryTableFieldId="3919"/>
    <tableColumn id="3920" xr3:uid="{893335DE-61C3-4998-92CA-1AFA830DBFEF}" uniqueName="3920" name="Column3920" queryTableFieldId="3920"/>
    <tableColumn id="3921" xr3:uid="{DF109A04-7E76-436A-B082-8773658DF009}" uniqueName="3921" name="Column3921" queryTableFieldId="3921"/>
    <tableColumn id="3922" xr3:uid="{4DB01DDA-30EC-489A-B586-5ACBAD77F3B4}" uniqueName="3922" name="Column3922" queryTableFieldId="3922"/>
    <tableColumn id="3923" xr3:uid="{AF3FD943-E35B-4120-BDAF-56201525523C}" uniqueName="3923" name="Column3923" queryTableFieldId="3923"/>
    <tableColumn id="3924" xr3:uid="{5819DFF0-3F94-4955-A2AD-EF3F4D55106F}" uniqueName="3924" name="Column3924" queryTableFieldId="3924"/>
    <tableColumn id="3925" xr3:uid="{87F1FD17-A1DB-4EA2-898B-5F586CCC48D8}" uniqueName="3925" name="Column3925" queryTableFieldId="3925"/>
    <tableColumn id="3926" xr3:uid="{B0B879A7-6B70-4F24-86B5-BC9D99C7795B}" uniqueName="3926" name="Column3926" queryTableFieldId="3926"/>
    <tableColumn id="3927" xr3:uid="{BEABA46C-E9CB-431B-8127-7232A9AD4B01}" uniqueName="3927" name="Column3927" queryTableFieldId="3927"/>
    <tableColumn id="3928" xr3:uid="{689F1A11-248C-42BB-8C60-FFD98E421F0A}" uniqueName="3928" name="Column3928" queryTableFieldId="3928"/>
    <tableColumn id="3929" xr3:uid="{FCE9BF87-F7EF-4FBC-8361-FDF601B387EB}" uniqueName="3929" name="Column3929" queryTableFieldId="3929"/>
    <tableColumn id="3930" xr3:uid="{B3E2E486-59CE-406F-8518-F0506A18F00E}" uniqueName="3930" name="Column3930" queryTableFieldId="3930"/>
    <tableColumn id="3931" xr3:uid="{58BFA209-43A2-494B-9902-D391FD27F097}" uniqueName="3931" name="Column3931" queryTableFieldId="3931"/>
    <tableColumn id="3932" xr3:uid="{F4026BE4-B447-4118-8944-C17C827655B9}" uniqueName="3932" name="Column3932" queryTableFieldId="3932"/>
    <tableColumn id="3933" xr3:uid="{D7632ECF-6A5D-450D-A8C2-025C96BABBAE}" uniqueName="3933" name="Column3933" queryTableFieldId="3933"/>
    <tableColumn id="3934" xr3:uid="{0A88D9C7-F179-4E19-9A68-7270EE36E1CE}" uniqueName="3934" name="Column3934" queryTableFieldId="3934"/>
    <tableColumn id="3935" xr3:uid="{88A460D6-7C88-4D45-9807-28A8BC25DBCF}" uniqueName="3935" name="Column3935" queryTableFieldId="3935"/>
    <tableColumn id="3936" xr3:uid="{D8A40F3C-4CA4-4C6E-A9F5-71574777A55D}" uniqueName="3936" name="Column3936" queryTableFieldId="3936"/>
    <tableColumn id="3937" xr3:uid="{AFE2145F-F3D2-4B72-92FE-FEF782DF7891}" uniqueName="3937" name="Column3937" queryTableFieldId="3937"/>
    <tableColumn id="3938" xr3:uid="{D0731554-0EC6-4EC0-A1FB-C2B1F3220AEF}" uniqueName="3938" name="Column3938" queryTableFieldId="3938"/>
    <tableColumn id="3939" xr3:uid="{200D5569-3962-4D48-98DB-802430A1444C}" uniqueName="3939" name="Column3939" queryTableFieldId="3939"/>
    <tableColumn id="3940" xr3:uid="{F8109B88-3D2B-4243-8768-411C8D966CF0}" uniqueName="3940" name="Column3940" queryTableFieldId="3940"/>
    <tableColumn id="3941" xr3:uid="{5729C711-D679-4E50-BC72-002E8BFC90CF}" uniqueName="3941" name="Column3941" queryTableFieldId="3941"/>
    <tableColumn id="3942" xr3:uid="{9C7C7B2A-01EE-41BE-8DF3-0870409EC644}" uniqueName="3942" name="Column3942" queryTableFieldId="3942"/>
    <tableColumn id="3943" xr3:uid="{7AA301DF-EDFE-4609-843A-2053FD6FDD59}" uniqueName="3943" name="Column3943" queryTableFieldId="3943"/>
    <tableColumn id="3944" xr3:uid="{8F88E980-B888-4D23-9D49-1B02361D684F}" uniqueName="3944" name="Column3944" queryTableFieldId="3944"/>
    <tableColumn id="3945" xr3:uid="{43C1BF23-42C9-434A-BAD8-330F79260BB4}" uniqueName="3945" name="Column3945" queryTableFieldId="3945"/>
    <tableColumn id="3946" xr3:uid="{08AB389E-4297-498B-B236-CBA4A57DFCB7}" uniqueName="3946" name="Column3946" queryTableFieldId="3946"/>
    <tableColumn id="3947" xr3:uid="{91D272F6-B9A6-4BD7-B9B7-BE98B7B5577A}" uniqueName="3947" name="Column3947" queryTableFieldId="3947"/>
    <tableColumn id="3948" xr3:uid="{FB36AE83-FE6C-4731-AA75-0453182E8959}" uniqueName="3948" name="Column3948" queryTableFieldId="3948"/>
    <tableColumn id="3949" xr3:uid="{FB012A1E-9997-4FA0-98D5-63A76889DDB1}" uniqueName="3949" name="Column3949" queryTableFieldId="3949"/>
    <tableColumn id="3950" xr3:uid="{4E71BFB7-C584-446C-9B3E-4F58DE6FF992}" uniqueName="3950" name="Column3950" queryTableFieldId="3950"/>
    <tableColumn id="3951" xr3:uid="{EEA03FAC-3A3C-473C-9946-4595BFAC9743}" uniqueName="3951" name="Column3951" queryTableFieldId="3951"/>
    <tableColumn id="3952" xr3:uid="{1DAD8039-3D7F-448B-A353-55A0EF9EB57E}" uniqueName="3952" name="Column3952" queryTableFieldId="3952"/>
    <tableColumn id="3953" xr3:uid="{D615366C-D5FF-4D48-81B2-7BF62D81E867}" uniqueName="3953" name="Column3953" queryTableFieldId="3953"/>
    <tableColumn id="3954" xr3:uid="{EA816848-6E4D-4D86-96F4-8D82B95D6C5A}" uniqueName="3954" name="Column3954" queryTableFieldId="3954"/>
    <tableColumn id="3955" xr3:uid="{4FE41986-864D-4192-ADCB-C11B7EDD88C2}" uniqueName="3955" name="Column3955" queryTableFieldId="3955"/>
    <tableColumn id="3956" xr3:uid="{2EC7B3E4-DDC0-421E-A2E6-CAF3F12CB392}" uniqueName="3956" name="Column3956" queryTableFieldId="3956"/>
    <tableColumn id="3957" xr3:uid="{233E8A33-84B7-4195-A906-7995B15270AF}" uniqueName="3957" name="Column3957" queryTableFieldId="3957"/>
    <tableColumn id="3958" xr3:uid="{9C1E3FA8-C120-4362-9FC6-9E2730C570D4}" uniqueName="3958" name="Column3958" queryTableFieldId="3958"/>
    <tableColumn id="3959" xr3:uid="{8AE34803-0EC3-4E50-BAA1-DA59CD8E057B}" uniqueName="3959" name="Column3959" queryTableFieldId="3959"/>
    <tableColumn id="3960" xr3:uid="{20EDBAEB-D957-4D37-A563-09CD26EAAD02}" uniqueName="3960" name="Column3960" queryTableFieldId="3960"/>
    <tableColumn id="3961" xr3:uid="{53F7CD0D-892A-4898-A774-EB5171A808AE}" uniqueName="3961" name="Column3961" queryTableFieldId="3961"/>
    <tableColumn id="3962" xr3:uid="{12FCC765-070B-417A-ADB0-BF5AA416D108}" uniqueName="3962" name="Column3962" queryTableFieldId="3962"/>
    <tableColumn id="3963" xr3:uid="{78A92E56-A4B4-4248-9D5C-12C7D7004C00}" uniqueName="3963" name="Column3963" queryTableFieldId="3963"/>
    <tableColumn id="3964" xr3:uid="{CC9F24C9-2BC2-4637-8F7E-29AF3042BF95}" uniqueName="3964" name="Column3964" queryTableFieldId="3964"/>
    <tableColumn id="3965" xr3:uid="{C0F6607F-922D-420B-B9E3-CC08BF9B8FC1}" uniqueName="3965" name="Column3965" queryTableFieldId="3965"/>
    <tableColumn id="3966" xr3:uid="{79AE513F-F917-49E2-935A-3672643FA0C4}" uniqueName="3966" name="Column3966" queryTableFieldId="3966"/>
    <tableColumn id="3967" xr3:uid="{BA2D4663-DB19-4D80-A49A-01F0722C0A6C}" uniqueName="3967" name="Column3967" queryTableFieldId="3967"/>
    <tableColumn id="3968" xr3:uid="{97D7E388-23D7-446F-BA47-E091CC79F0BA}" uniqueName="3968" name="Column3968" queryTableFieldId="3968"/>
    <tableColumn id="3969" xr3:uid="{F356DDBE-D838-43F2-855C-8AFB928FC9F2}" uniqueName="3969" name="Column3969" queryTableFieldId="3969"/>
    <tableColumn id="3970" xr3:uid="{2463BD84-D746-460A-A749-5795E4A4D30A}" uniqueName="3970" name="Column3970" queryTableFieldId="3970"/>
    <tableColumn id="3971" xr3:uid="{C52E2362-9E40-43F4-919C-F192E28B4C89}" uniqueName="3971" name="Column3971" queryTableFieldId="3971"/>
    <tableColumn id="3972" xr3:uid="{FC7B21EA-4209-47FF-9EA6-074307F0699D}" uniqueName="3972" name="Column3972" queryTableFieldId="3972"/>
    <tableColumn id="3973" xr3:uid="{2F9DAC49-7894-43E3-A192-F67CB229C064}" uniqueName="3973" name="Column3973" queryTableFieldId="3973"/>
    <tableColumn id="3974" xr3:uid="{06FB8DE9-6B06-4A74-9666-473B937BC43E}" uniqueName="3974" name="Column3974" queryTableFieldId="3974"/>
    <tableColumn id="3975" xr3:uid="{B484CF68-5056-4A43-AB59-98097B563828}" uniqueName="3975" name="Column3975" queryTableFieldId="3975"/>
    <tableColumn id="3976" xr3:uid="{AB83DE3A-607C-4E1D-BDF8-53D989C9AE4E}" uniqueName="3976" name="Column3976" queryTableFieldId="3976"/>
    <tableColumn id="3977" xr3:uid="{BFEB1E1B-ACC8-4BCE-B41F-43A131CAB334}" uniqueName="3977" name="Column3977" queryTableFieldId="3977"/>
    <tableColumn id="3978" xr3:uid="{EA837DDD-96C9-412A-9010-D2AFD7C43B51}" uniqueName="3978" name="Column3978" queryTableFieldId="3978"/>
    <tableColumn id="3979" xr3:uid="{C6A1C4DB-A359-44D8-A0C4-CE8FFE5041DD}" uniqueName="3979" name="Column3979" queryTableFieldId="3979"/>
    <tableColumn id="3980" xr3:uid="{370B256D-D1A7-4312-B937-50FB5F6B6091}" uniqueName="3980" name="Column3980" queryTableFieldId="3980"/>
    <tableColumn id="3981" xr3:uid="{CC84A51F-DE19-4688-A09F-7303E2B04A4F}" uniqueName="3981" name="Column3981" queryTableFieldId="3981"/>
    <tableColumn id="3982" xr3:uid="{EDCBA8F6-AC93-4DC2-BBE0-2BA3C036F55E}" uniqueName="3982" name="Column3982" queryTableFieldId="3982"/>
    <tableColumn id="3983" xr3:uid="{F23C4DB7-A3A0-4786-8D54-3FA5E7D0417B}" uniqueName="3983" name="Column3983" queryTableFieldId="3983"/>
    <tableColumn id="3984" xr3:uid="{4363DA99-6F29-4BD5-9ED4-E6F6A0BA1FDE}" uniqueName="3984" name="Column3984" queryTableFieldId="3984"/>
    <tableColumn id="3985" xr3:uid="{14E4635B-9416-4DAF-B539-9E13F57FA2E3}" uniqueName="3985" name="Column3985" queryTableFieldId="3985"/>
    <tableColumn id="3986" xr3:uid="{1D2E98EB-740B-4C7C-93DD-DE0641F9A732}" uniqueName="3986" name="Column3986" queryTableFieldId="3986"/>
    <tableColumn id="3987" xr3:uid="{14FF51D4-ACE3-4328-B20C-20464B1699AE}" uniqueName="3987" name="Column3987" queryTableFieldId="3987"/>
    <tableColumn id="3988" xr3:uid="{841C436D-BEB1-4A91-8FE2-E4754B3B0DEA}" uniqueName="3988" name="Column3988" queryTableFieldId="3988"/>
    <tableColumn id="3989" xr3:uid="{FE7A0572-CEE1-4842-A247-2C0917F57F17}" uniqueName="3989" name="Column3989" queryTableFieldId="3989"/>
    <tableColumn id="3990" xr3:uid="{2436C95C-D6A0-45BF-8972-D1E58011F93A}" uniqueName="3990" name="Column3990" queryTableFieldId="3990"/>
    <tableColumn id="3991" xr3:uid="{F284612D-07F3-472E-9478-A1083201DD89}" uniqueName="3991" name="Column3991" queryTableFieldId="3991"/>
    <tableColumn id="3992" xr3:uid="{E05569A2-EE53-430B-BE8B-14CD99C99A1F}" uniqueName="3992" name="Column3992" queryTableFieldId="3992"/>
    <tableColumn id="3993" xr3:uid="{E7D510F2-4C39-4D38-AE0A-BCFF86CB5EDE}" uniqueName="3993" name="Column3993" queryTableFieldId="3993"/>
    <tableColumn id="3994" xr3:uid="{0725CF4A-28E4-4AEB-AA2E-4FAABC2F6F30}" uniqueName="3994" name="Column3994" queryTableFieldId="3994"/>
    <tableColumn id="3995" xr3:uid="{DABE2505-8954-43B3-A03A-27149C409160}" uniqueName="3995" name="Column3995" queryTableFieldId="3995"/>
    <tableColumn id="3996" xr3:uid="{5FBD13F7-A1AD-45C7-8E8B-4014357034C5}" uniqueName="3996" name="Column3996" queryTableFieldId="3996"/>
    <tableColumn id="3997" xr3:uid="{9E62BCBD-188B-493B-89FD-005E7830E04C}" uniqueName="3997" name="Column3997" queryTableFieldId="3997"/>
    <tableColumn id="3998" xr3:uid="{7D47FE47-378A-4251-A623-4BDE4A9D654C}" uniqueName="3998" name="Column3998" queryTableFieldId="3998"/>
    <tableColumn id="3999" xr3:uid="{42B36981-C3F4-4B0F-99DF-D270586E5C47}" uniqueName="3999" name="Column3999" queryTableFieldId="3999"/>
    <tableColumn id="4000" xr3:uid="{8AF5F413-7D6D-4805-A794-DABDC5405D0C}" uniqueName="4000" name="Column4000" queryTableFieldId="4000"/>
    <tableColumn id="4001" xr3:uid="{B3E9928D-35C2-4E1F-8086-621426DCC160}" uniqueName="4001" name="Column4001" queryTableFieldId="4001"/>
    <tableColumn id="4002" xr3:uid="{B8E06979-8B21-4594-BF8A-6CB3DC3DB89E}" uniqueName="4002" name="Column4002" queryTableFieldId="4002"/>
    <tableColumn id="4003" xr3:uid="{576B6FC6-A8FF-4F36-90A5-178268AB280E}" uniqueName="4003" name="Column4003" queryTableFieldId="4003"/>
    <tableColumn id="4004" xr3:uid="{B08B7B82-DFC3-4966-A0AE-BD4804FE84A5}" uniqueName="4004" name="Column4004" queryTableFieldId="4004"/>
    <tableColumn id="4005" xr3:uid="{A1B88314-E59C-446F-88BE-2FE97CE7976D}" uniqueName="4005" name="Column4005" queryTableFieldId="4005"/>
    <tableColumn id="4006" xr3:uid="{5A4BDDA3-C711-467F-87DD-F43021E7ABAB}" uniqueName="4006" name="Column4006" queryTableFieldId="4006"/>
    <tableColumn id="4007" xr3:uid="{33E3AC4F-D40B-4048-947A-04B84C1BEEC5}" uniqueName="4007" name="Column4007" queryTableFieldId="4007"/>
    <tableColumn id="4008" xr3:uid="{1604EC9D-044F-4876-BEB5-667C0E00E4AA}" uniqueName="4008" name="Column4008" queryTableFieldId="4008"/>
    <tableColumn id="4009" xr3:uid="{3328DC15-4C95-49A4-A98C-D89B6EFF0A49}" uniqueName="4009" name="Column4009" queryTableFieldId="4009"/>
    <tableColumn id="4010" xr3:uid="{B2F9096A-559B-47CB-9674-A79F5E67864D}" uniqueName="4010" name="Column4010" queryTableFieldId="4010"/>
    <tableColumn id="4011" xr3:uid="{6BB77199-2617-41DF-8748-F60415FEE645}" uniqueName="4011" name="Column4011" queryTableFieldId="4011"/>
    <tableColumn id="4012" xr3:uid="{10C395D4-B44E-4ACC-B7B0-8FA8239C39A0}" uniqueName="4012" name="Column4012" queryTableFieldId="4012"/>
    <tableColumn id="4013" xr3:uid="{65E0D164-7D90-4227-A357-BFAC63A190BB}" uniqueName="4013" name="Column4013" queryTableFieldId="4013"/>
    <tableColumn id="4014" xr3:uid="{D41E5F41-87B0-4F51-9646-738527AA5F7E}" uniqueName="4014" name="Column4014" queryTableFieldId="4014"/>
    <tableColumn id="4015" xr3:uid="{8DD36B68-793D-4B12-8D8F-F0C0D6DF8F8F}" uniqueName="4015" name="Column4015" queryTableFieldId="4015"/>
    <tableColumn id="4016" xr3:uid="{F2516C60-0C88-4B8C-A525-0BCAA72877D5}" uniqueName="4016" name="Column4016" queryTableFieldId="4016"/>
    <tableColumn id="4017" xr3:uid="{3519019E-D584-4F18-B57F-EA185821AE00}" uniqueName="4017" name="Column4017" queryTableFieldId="4017"/>
    <tableColumn id="4018" xr3:uid="{610F5680-01E4-4AF1-B453-B2931C389A66}" uniqueName="4018" name="Column4018" queryTableFieldId="4018"/>
    <tableColumn id="4019" xr3:uid="{022E4FAD-5ADE-45D8-9326-8F10A9D3DFEE}" uniqueName="4019" name="Column4019" queryTableFieldId="4019"/>
    <tableColumn id="4020" xr3:uid="{5E9134B0-06B0-4CD1-9F9F-0BECCF361967}" uniqueName="4020" name="Column4020" queryTableFieldId="4020"/>
    <tableColumn id="4021" xr3:uid="{DB43CBCB-C268-4439-B281-911557CD0768}" uniqueName="4021" name="Column4021" queryTableFieldId="4021"/>
    <tableColumn id="4022" xr3:uid="{D3C2C0E3-A5F5-48EC-B0B3-CF079BC47943}" uniqueName="4022" name="Column4022" queryTableFieldId="4022"/>
    <tableColumn id="4023" xr3:uid="{59A0016F-82D7-4743-A7E4-6878F769671E}" uniqueName="4023" name="Column4023" queryTableFieldId="4023"/>
    <tableColumn id="4024" xr3:uid="{38531568-B058-449A-AF87-0D2E295C0F55}" uniqueName="4024" name="Column4024" queryTableFieldId="4024"/>
    <tableColumn id="4025" xr3:uid="{3B060EC4-039C-4504-B8EF-1EB759C44D18}" uniqueName="4025" name="Column4025" queryTableFieldId="4025"/>
    <tableColumn id="4026" xr3:uid="{75DF81B6-180A-4C82-A11D-994AB0F4567E}" uniqueName="4026" name="Column4026" queryTableFieldId="4026"/>
    <tableColumn id="4027" xr3:uid="{C5838A31-0B3E-4ED7-BF45-0B5FA5373377}" uniqueName="4027" name="Column4027" queryTableFieldId="4027"/>
    <tableColumn id="4028" xr3:uid="{EACB2B9E-54EA-4EF0-9945-BC07C296C6DF}" uniqueName="4028" name="Column4028" queryTableFieldId="4028"/>
    <tableColumn id="4029" xr3:uid="{5078A324-C912-45C8-83E7-F88C7130727C}" uniqueName="4029" name="Column4029" queryTableFieldId="4029"/>
    <tableColumn id="4030" xr3:uid="{4BD1B35B-44A8-4F69-A544-CEB65E7785DC}" uniqueName="4030" name="Column4030" queryTableFieldId="4030"/>
    <tableColumn id="4031" xr3:uid="{CC950A6C-E6EF-4421-9B9F-8FD2123629EE}" uniqueName="4031" name="Column4031" queryTableFieldId="4031"/>
    <tableColumn id="4032" xr3:uid="{7925866B-DEFF-4C1C-94BA-E5365853547E}" uniqueName="4032" name="Column4032" queryTableFieldId="4032"/>
    <tableColumn id="4033" xr3:uid="{ACDB933A-DA00-4C5D-A6EB-4492C80CD4AD}" uniqueName="4033" name="Column4033" queryTableFieldId="4033"/>
    <tableColumn id="4034" xr3:uid="{22D0C3D1-FE9E-4EB7-854B-9B83AEEFDF84}" uniqueName="4034" name="Column4034" queryTableFieldId="4034"/>
    <tableColumn id="4035" xr3:uid="{87A89629-ECE5-4D55-B0CB-343C7BD44AC6}" uniqueName="4035" name="Column4035" queryTableFieldId="4035"/>
    <tableColumn id="4036" xr3:uid="{AEDBEFD8-1330-4A80-B851-109B6EF6979B}" uniqueName="4036" name="Column4036" queryTableFieldId="4036"/>
    <tableColumn id="4037" xr3:uid="{A79DFA9E-2474-464B-A25D-EE4039C743B0}" uniqueName="4037" name="Column4037" queryTableFieldId="4037"/>
    <tableColumn id="4038" xr3:uid="{49A0DFC2-241F-48CB-ADF7-8D2E678CF57D}" uniqueName="4038" name="Column4038" queryTableFieldId="4038"/>
    <tableColumn id="4039" xr3:uid="{094FA338-F9C6-4C63-8F70-E5A5A9CE9498}" uniqueName="4039" name="Column4039" queryTableFieldId="4039"/>
    <tableColumn id="4040" xr3:uid="{060326AA-D5AF-488F-871B-15A682E686D6}" uniqueName="4040" name="Column4040" queryTableFieldId="4040"/>
    <tableColumn id="4041" xr3:uid="{ABFF425A-DB54-44BB-8DE0-E376351A5717}" uniqueName="4041" name="Column4041" queryTableFieldId="4041"/>
    <tableColumn id="4042" xr3:uid="{9290EEB7-C855-42DE-89F4-ABC6B74B4A77}" uniqueName="4042" name="Column4042" queryTableFieldId="4042"/>
    <tableColumn id="4043" xr3:uid="{C39AC5CD-7DEF-4391-989A-4CDEFAAA8F61}" uniqueName="4043" name="Column4043" queryTableFieldId="4043"/>
    <tableColumn id="4044" xr3:uid="{E055E00F-48E1-4AA7-9FF5-129215B345A9}" uniqueName="4044" name="Column4044" queryTableFieldId="4044"/>
    <tableColumn id="4045" xr3:uid="{38C172F6-EE02-4C00-94C2-B0A7562EC1A9}" uniqueName="4045" name="Column4045" queryTableFieldId="4045"/>
    <tableColumn id="4046" xr3:uid="{28CB3C71-309E-4E13-B3D8-05E1B4379877}" uniqueName="4046" name="Column4046" queryTableFieldId="4046"/>
    <tableColumn id="4047" xr3:uid="{A93FB7F6-CAE3-4AB8-A5B5-E4A999496525}" uniqueName="4047" name="Column4047" queryTableFieldId="4047"/>
    <tableColumn id="4048" xr3:uid="{434786C8-A478-4D86-9748-09F74520D8CB}" uniqueName="4048" name="Column4048" queryTableFieldId="4048"/>
    <tableColumn id="4049" xr3:uid="{656659E2-F408-431C-89D4-E38AE8DFCEF4}" uniqueName="4049" name="Column4049" queryTableFieldId="4049"/>
    <tableColumn id="4050" xr3:uid="{A23CB87C-730F-4F62-8806-380BEC705BF8}" uniqueName="4050" name="Column4050" queryTableFieldId="4050"/>
    <tableColumn id="4051" xr3:uid="{8A658E3B-C48C-4979-AED5-D976378856AF}" uniqueName="4051" name="Column4051" queryTableFieldId="4051"/>
    <tableColumn id="4052" xr3:uid="{4887D93E-1D72-46B2-944E-273CD12FF82E}" uniqueName="4052" name="Column4052" queryTableFieldId="4052"/>
    <tableColumn id="4053" xr3:uid="{718DC03A-9971-4A10-BAAD-01668B9AB260}" uniqueName="4053" name="Column4053" queryTableFieldId="4053"/>
    <tableColumn id="4054" xr3:uid="{65ED887E-A5C4-4D80-902F-41C461E5E70A}" uniqueName="4054" name="Column4054" queryTableFieldId="4054"/>
    <tableColumn id="4055" xr3:uid="{41E1A1B4-6AB0-4A3C-B86C-E45B9DAFEDB0}" uniqueName="4055" name="Column4055" queryTableFieldId="4055"/>
    <tableColumn id="4056" xr3:uid="{6530F88B-B43A-46FC-B798-42DD777A723B}" uniqueName="4056" name="Column4056" queryTableFieldId="4056"/>
    <tableColumn id="4057" xr3:uid="{090774DE-AE8F-43B1-8A73-DE4443C93CA7}" uniqueName="4057" name="Column4057" queryTableFieldId="4057"/>
    <tableColumn id="4058" xr3:uid="{188BD752-F130-480A-9403-7E210578E4F2}" uniqueName="4058" name="Column4058" queryTableFieldId="4058"/>
    <tableColumn id="4059" xr3:uid="{0E379AFC-A3B3-4A8C-99B2-5EF419DDB5C1}" uniqueName="4059" name="Column4059" queryTableFieldId="4059"/>
    <tableColumn id="4060" xr3:uid="{995D34B3-DD82-40E4-81E4-25E7A2A0C8A4}" uniqueName="4060" name="Column4060" queryTableFieldId="4060"/>
    <tableColumn id="4061" xr3:uid="{94B26842-A052-4A83-96CD-EB3F0BDCDF8E}" uniqueName="4061" name="Column4061" queryTableFieldId="4061"/>
    <tableColumn id="4062" xr3:uid="{1FF84919-2304-4273-A455-2332F0DE7623}" uniqueName="4062" name="Column4062" queryTableFieldId="4062"/>
    <tableColumn id="4063" xr3:uid="{77F19A35-DE55-4B12-BD5C-A28D896C0B93}" uniqueName="4063" name="Column4063" queryTableFieldId="4063"/>
    <tableColumn id="4064" xr3:uid="{D380B6A6-80E6-45A7-AEC0-06B1D90C80D5}" uniqueName="4064" name="Column4064" queryTableFieldId="4064"/>
    <tableColumn id="4065" xr3:uid="{EA568777-9FB1-4DFF-9A3C-22CC86B3B341}" uniqueName="4065" name="Column4065" queryTableFieldId="4065"/>
    <tableColumn id="4066" xr3:uid="{3E9C1DC7-EC14-485A-A77C-3D64DA087583}" uniqueName="4066" name="Column4066" queryTableFieldId="4066"/>
    <tableColumn id="4067" xr3:uid="{D37EABD0-F464-4042-9B4B-CB70BE1611E5}" uniqueName="4067" name="Column4067" queryTableFieldId="4067"/>
    <tableColumn id="4068" xr3:uid="{42C0696C-5FD7-421E-96B8-991A5C003474}" uniqueName="4068" name="Column4068" queryTableFieldId="4068"/>
    <tableColumn id="4069" xr3:uid="{29E23EBD-B955-427F-9A38-F66C8CF22CA8}" uniqueName="4069" name="Column4069" queryTableFieldId="4069"/>
    <tableColumn id="4070" xr3:uid="{EAD5E813-A784-4431-908F-E1051C0AABD4}" uniqueName="4070" name="Column4070" queryTableFieldId="4070"/>
    <tableColumn id="4071" xr3:uid="{69D050FB-688F-4606-9F18-9B72D457A05E}" uniqueName="4071" name="Column4071" queryTableFieldId="4071"/>
    <tableColumn id="4072" xr3:uid="{6A0ED7EE-28E1-4712-800A-CEA24D6EFE1E}" uniqueName="4072" name="Column4072" queryTableFieldId="4072"/>
    <tableColumn id="4073" xr3:uid="{445D193B-C7D4-4A19-AA0D-1C4660635BE3}" uniqueName="4073" name="Column4073" queryTableFieldId="4073"/>
    <tableColumn id="4074" xr3:uid="{17FC8580-3785-44A8-AB86-BDB9466A690A}" uniqueName="4074" name="Column4074" queryTableFieldId="4074"/>
    <tableColumn id="4075" xr3:uid="{4445371E-52B9-46F2-A179-94F8B013F903}" uniqueName="4075" name="Column4075" queryTableFieldId="4075"/>
    <tableColumn id="4076" xr3:uid="{FE218914-C121-47E9-B3B6-7B5A53571184}" uniqueName="4076" name="Column4076" queryTableFieldId="4076"/>
    <tableColumn id="4077" xr3:uid="{B69F1E58-0A8B-4E49-BEEB-0A8416705C54}" uniqueName="4077" name="Column4077" queryTableFieldId="4077"/>
    <tableColumn id="4078" xr3:uid="{5922D47A-1589-4098-B240-71E827ABE308}" uniqueName="4078" name="Column4078" queryTableFieldId="4078"/>
    <tableColumn id="4079" xr3:uid="{09FC5CCE-4172-4483-A2D3-CC9E02004397}" uniqueName="4079" name="Column4079" queryTableFieldId="4079"/>
    <tableColumn id="4080" xr3:uid="{238183B9-9655-4606-9DDD-31074C120261}" uniqueName="4080" name="Column4080" queryTableFieldId="4080"/>
    <tableColumn id="4081" xr3:uid="{D7866ACF-85AE-4340-8F7A-6ADB11D8CAB3}" uniqueName="4081" name="Column4081" queryTableFieldId="4081"/>
    <tableColumn id="4082" xr3:uid="{4311089F-C2DD-400F-8B1C-74C61467548B}" uniqueName="4082" name="Column4082" queryTableFieldId="4082"/>
    <tableColumn id="4083" xr3:uid="{EA9DAC44-71E8-44C8-80E1-94FC8D699DCD}" uniqueName="4083" name="Column4083" queryTableFieldId="4083"/>
    <tableColumn id="4084" xr3:uid="{EF3D8861-E819-4CA0-A3EB-284E596168B7}" uniqueName="4084" name="Column4084" queryTableFieldId="4084"/>
    <tableColumn id="4085" xr3:uid="{80AFBE62-FE5A-453D-BCD9-7AF8A3433A31}" uniqueName="4085" name="Column4085" queryTableFieldId="4085"/>
    <tableColumn id="4086" xr3:uid="{0502B83C-412A-41F4-9542-18C4DF8499E6}" uniqueName="4086" name="Column4086" queryTableFieldId="4086"/>
    <tableColumn id="4087" xr3:uid="{A65C2B8A-A59C-48D0-9FC4-5BEC3807320B}" uniqueName="4087" name="Column4087" queryTableFieldId="4087"/>
    <tableColumn id="4088" xr3:uid="{6DD14886-4CF5-44E0-9EE4-3BF9F50587C7}" uniqueName="4088" name="Column4088" queryTableFieldId="4088"/>
    <tableColumn id="4089" xr3:uid="{7B66B582-C9B9-46F1-BEEE-735DFADB60FA}" uniqueName="4089" name="Column4089" queryTableFieldId="4089"/>
    <tableColumn id="4090" xr3:uid="{18D5F910-EB74-4E8E-9CD7-8614C431368E}" uniqueName="4090" name="Column4090" queryTableFieldId="4090"/>
    <tableColumn id="4091" xr3:uid="{CA8E6E82-0E1E-4BB5-8E00-A89C7AEA16E8}" uniqueName="4091" name="Column4091" queryTableFieldId="4091"/>
    <tableColumn id="4092" xr3:uid="{73133755-0516-4717-9BC2-3D48BCEFFB7A}" uniqueName="4092" name="Column4092" queryTableFieldId="4092"/>
    <tableColumn id="4093" xr3:uid="{0ED6C884-F881-443F-BB9C-115A56C4ABD5}" uniqueName="4093" name="Column4093" queryTableFieldId="4093"/>
    <tableColumn id="4094" xr3:uid="{D6AA7E0D-B9EF-4613-B3DE-BB33E9040D06}" uniqueName="4094" name="Column4094" queryTableFieldId="4094"/>
    <tableColumn id="4095" xr3:uid="{BD141E91-75CC-4041-B579-FEF1BF035DE4}" uniqueName="4095" name="Column4095" queryTableFieldId="4095"/>
    <tableColumn id="4096" xr3:uid="{2C2AB444-3F27-4748-8997-9839CBD1150B}" uniqueName="4096" name="Column4096" queryTableFieldId="4096"/>
    <tableColumn id="4097" xr3:uid="{B0A2D7DC-9F4C-4A72-89EB-67ABD03BD66A}" uniqueName="4097" name="Column4097" queryTableFieldId="4097"/>
    <tableColumn id="4098" xr3:uid="{C028BC87-51F0-4B22-8D00-EC7CA1035F3C}" uniqueName="4098" name="Column4098" queryTableFieldId="4098"/>
    <tableColumn id="4099" xr3:uid="{B7A6A198-ACF2-4D2E-936C-C09877CB5A26}" uniqueName="4099" name="Column4099" queryTableFieldId="4099"/>
    <tableColumn id="4100" xr3:uid="{9FCDE08E-7B1E-42E5-8CA6-9913C619253C}" uniqueName="4100" name="Column4100" queryTableFieldId="4100"/>
    <tableColumn id="4101" xr3:uid="{B850D439-F5A3-43CD-B0B4-A15D93DEA3E8}" uniqueName="4101" name="Column4101" queryTableFieldId="4101"/>
    <tableColumn id="4102" xr3:uid="{FE100AE4-711F-4D95-A0B2-ECD3B74E3EC3}" uniqueName="4102" name="Column4102" queryTableFieldId="4102"/>
    <tableColumn id="4103" xr3:uid="{8DD95004-3358-4BCD-AF8E-288E8812CDB7}" uniqueName="4103" name="Column4103" queryTableFieldId="4103"/>
    <tableColumn id="4104" xr3:uid="{1A0206BE-8C51-44C7-A0AD-4BC1C06FAA9D}" uniqueName="4104" name="Column4104" queryTableFieldId="4104"/>
    <tableColumn id="4105" xr3:uid="{38DFCBD7-86B6-4D8F-A4BF-7629B19254ED}" uniqueName="4105" name="Column4105" queryTableFieldId="4105"/>
    <tableColumn id="4106" xr3:uid="{68479436-B47D-45A9-9C0A-628D32CB3964}" uniqueName="4106" name="Column4106" queryTableFieldId="4106"/>
    <tableColumn id="4107" xr3:uid="{14084369-4603-439D-B2E0-5424644E1769}" uniqueName="4107" name="Column4107" queryTableFieldId="4107"/>
    <tableColumn id="4108" xr3:uid="{45276A32-1205-4F64-8F7E-FA6F0C406EF3}" uniqueName="4108" name="Column4108" queryTableFieldId="4108"/>
    <tableColumn id="4109" xr3:uid="{F11B6C98-C2C5-49D2-BDA2-6D8C392CCDAC}" uniqueName="4109" name="Column4109" queryTableFieldId="4109"/>
    <tableColumn id="4110" xr3:uid="{973E0609-E3AF-41A2-9FF8-716AC4A1E94F}" uniqueName="4110" name="Column4110" queryTableFieldId="4110"/>
    <tableColumn id="4111" xr3:uid="{59D1EC69-9086-413D-8874-4F53F1FD141B}" uniqueName="4111" name="Column4111" queryTableFieldId="4111"/>
    <tableColumn id="4112" xr3:uid="{55422500-3E6D-41C1-9E33-FC932E38DC76}" uniqueName="4112" name="Column4112" queryTableFieldId="4112"/>
    <tableColumn id="4113" xr3:uid="{AC1BC7AF-4EA6-41C3-B5FF-B00FEC0BF368}" uniqueName="4113" name="Column4113" queryTableFieldId="4113"/>
    <tableColumn id="4114" xr3:uid="{40B2AB4F-5E6B-4820-AAB3-6BB043FAF717}" uniqueName="4114" name="Column4114" queryTableFieldId="4114"/>
    <tableColumn id="4115" xr3:uid="{419224D9-C4D7-4B3E-B077-56A59D905C9A}" uniqueName="4115" name="Column4115" queryTableFieldId="4115"/>
    <tableColumn id="4116" xr3:uid="{CBF7A6FF-FE4B-46C3-B222-30A01BD18CFF}" uniqueName="4116" name="Column4116" queryTableFieldId="4116"/>
    <tableColumn id="4117" xr3:uid="{DA02D467-9F19-4204-9840-7433C0BB806F}" uniqueName="4117" name="Column4117" queryTableFieldId="4117"/>
    <tableColumn id="4118" xr3:uid="{E5DD0985-936A-4CCD-B2A4-D80126FF17E3}" uniqueName="4118" name="Column4118" queryTableFieldId="4118"/>
    <tableColumn id="4119" xr3:uid="{83ED3B3C-4324-4293-B887-02CDD275E17D}" uniqueName="4119" name="Column4119" queryTableFieldId="4119"/>
    <tableColumn id="4120" xr3:uid="{FD0EFE67-A36C-4C97-A469-15F2A6B81C8A}" uniqueName="4120" name="Column4120" queryTableFieldId="4120"/>
    <tableColumn id="4121" xr3:uid="{7FB96C88-A47B-403F-8F79-8436553188BC}" uniqueName="4121" name="Column4121" queryTableFieldId="4121"/>
    <tableColumn id="4122" xr3:uid="{047043EF-133D-465D-9E08-EB6DFC2E959A}" uniqueName="4122" name="Column4122" queryTableFieldId="4122"/>
    <tableColumn id="4123" xr3:uid="{2AEAF036-5F64-4060-8122-1C1262AA5DBD}" uniqueName="4123" name="Column4123" queryTableFieldId="4123"/>
    <tableColumn id="4124" xr3:uid="{E650BB2B-A8C1-4E94-A02E-1F0423790C06}" uniqueName="4124" name="Column4124" queryTableFieldId="4124"/>
    <tableColumn id="4125" xr3:uid="{EAB9ADFA-9C52-468A-9464-EE513B3152E8}" uniqueName="4125" name="Column4125" queryTableFieldId="4125"/>
    <tableColumn id="4126" xr3:uid="{B431135A-7576-4C67-967D-E1A59F67D5A7}" uniqueName="4126" name="Column4126" queryTableFieldId="4126"/>
    <tableColumn id="4127" xr3:uid="{F8827546-88BB-4133-A87F-30EB0FD920CB}" uniqueName="4127" name="Column4127" queryTableFieldId="4127"/>
    <tableColumn id="4128" xr3:uid="{761D15C8-FD6F-44E5-B79C-1CDD016FE9D6}" uniqueName="4128" name="Column4128" queryTableFieldId="4128"/>
    <tableColumn id="4129" xr3:uid="{96619924-7D57-40DE-B589-9EF803571F0A}" uniqueName="4129" name="Column4129" queryTableFieldId="4129"/>
    <tableColumn id="4130" xr3:uid="{0A16049C-8759-4C13-A21E-9F922283B175}" uniqueName="4130" name="Column4130" queryTableFieldId="4130"/>
    <tableColumn id="4131" xr3:uid="{75A35880-E3B7-43C4-A1F3-0043EF1DA004}" uniqueName="4131" name="Column4131" queryTableFieldId="4131"/>
    <tableColumn id="4132" xr3:uid="{B6404C38-A8C1-4B48-AF62-BC87052A87BA}" uniqueName="4132" name="Column4132" queryTableFieldId="4132"/>
    <tableColumn id="4133" xr3:uid="{4AC47A92-22CB-4C20-B9ED-709D3CD12490}" uniqueName="4133" name="Column4133" queryTableFieldId="4133"/>
    <tableColumn id="4134" xr3:uid="{40423239-CBD0-4CC4-B5BC-467BEAAD4AEA}" uniqueName="4134" name="Column4134" queryTableFieldId="4134"/>
    <tableColumn id="4135" xr3:uid="{E79113C1-00F7-4244-B494-B1956261B768}" uniqueName="4135" name="Column4135" queryTableFieldId="4135"/>
    <tableColumn id="4136" xr3:uid="{6477DB8D-7910-4D76-8781-3E85B08E00F4}" uniqueName="4136" name="Column4136" queryTableFieldId="4136"/>
    <tableColumn id="4137" xr3:uid="{1F7D782A-E727-45BF-8872-4A073445F505}" uniqueName="4137" name="Column4137" queryTableFieldId="4137"/>
    <tableColumn id="4138" xr3:uid="{E928AE03-C34C-42A6-AAB9-85D2BDF5CF64}" uniqueName="4138" name="Column4138" queryTableFieldId="4138"/>
    <tableColumn id="4139" xr3:uid="{9EC68752-3BF9-44DE-9FA2-3386B4EC7F37}" uniqueName="4139" name="Column4139" queryTableFieldId="4139"/>
    <tableColumn id="4140" xr3:uid="{42486B12-9259-4032-AEE7-4D1456C7832F}" uniqueName="4140" name="Column4140" queryTableFieldId="4140"/>
    <tableColumn id="4141" xr3:uid="{6D2ED3F8-A54E-42D5-97EC-95E35B3DF7E5}" uniqueName="4141" name="Column4141" queryTableFieldId="4141"/>
    <tableColumn id="4142" xr3:uid="{F073D01E-B93F-460E-9E8C-0EDC2AF72214}" uniqueName="4142" name="Column4142" queryTableFieldId="4142"/>
    <tableColumn id="4143" xr3:uid="{477EB144-91CB-4A54-B3BE-C03EF2D56EE7}" uniqueName="4143" name="Column4143" queryTableFieldId="4143"/>
    <tableColumn id="4144" xr3:uid="{BED44513-4936-4018-A8BE-B78EA0E6AB52}" uniqueName="4144" name="Column4144" queryTableFieldId="4144"/>
    <tableColumn id="4145" xr3:uid="{E5527AFB-0E82-4301-ADC5-7BC51C2AEDB0}" uniqueName="4145" name="Column4145" queryTableFieldId="4145"/>
    <tableColumn id="4146" xr3:uid="{602D4CCC-5FE9-4473-ABCB-BDE8F8D8152A}" uniqueName="4146" name="Column4146" queryTableFieldId="4146"/>
    <tableColumn id="4147" xr3:uid="{F7146333-DEF5-4139-8FF1-60F8C8D87D7B}" uniqueName="4147" name="Column4147" queryTableFieldId="4147"/>
    <tableColumn id="4148" xr3:uid="{784234B3-5E03-4383-944B-641BD6E198E9}" uniqueName="4148" name="Column4148" queryTableFieldId="4148"/>
    <tableColumn id="4149" xr3:uid="{1F1B6A4D-21BB-4A51-A53F-BACF3E1C21EE}" uniqueName="4149" name="Column4149" queryTableFieldId="4149"/>
    <tableColumn id="4150" xr3:uid="{49661901-28B6-48B3-BA92-D89224887D95}" uniqueName="4150" name="Column4150" queryTableFieldId="4150"/>
    <tableColumn id="4151" xr3:uid="{6C57DDE2-008E-4EFC-A9FF-60672ADDF408}" uniqueName="4151" name="Column4151" queryTableFieldId="4151"/>
    <tableColumn id="4152" xr3:uid="{7224BFEA-7F42-4241-BE7F-E8A60E41F33A}" uniqueName="4152" name="Column4152" queryTableFieldId="4152"/>
    <tableColumn id="4153" xr3:uid="{87D02AAF-B193-48AC-AFA3-00FFA0AB291B}" uniqueName="4153" name="Column4153" queryTableFieldId="4153"/>
    <tableColumn id="4154" xr3:uid="{D0D0AB9D-12AE-42BE-96E3-7B162455349E}" uniqueName="4154" name="Column4154" queryTableFieldId="4154"/>
    <tableColumn id="4155" xr3:uid="{3D637CAB-5C88-4991-BBB6-EA81ACE39A2F}" uniqueName="4155" name="Column4155" queryTableFieldId="4155"/>
    <tableColumn id="4156" xr3:uid="{4A3ECA7F-3539-48F8-A252-C25994F58B54}" uniqueName="4156" name="Column4156" queryTableFieldId="4156"/>
    <tableColumn id="4157" xr3:uid="{D4DC05B0-9755-4BC4-8269-475FB5AF96E3}" uniqueName="4157" name="Column4157" queryTableFieldId="4157"/>
    <tableColumn id="4158" xr3:uid="{487B2E5F-02AD-4E33-A917-20928D53B5C9}" uniqueName="4158" name="Column4158" queryTableFieldId="4158"/>
    <tableColumn id="4159" xr3:uid="{E52CE5C8-6095-4B31-9E77-C649702295CE}" uniqueName="4159" name="Column4159" queryTableFieldId="4159"/>
    <tableColumn id="4160" xr3:uid="{6CC20E92-C32D-472F-9C7B-45A4A503E613}" uniqueName="4160" name="Column4160" queryTableFieldId="4160"/>
    <tableColumn id="4161" xr3:uid="{D833C480-7F73-4F26-83BC-1523982266CD}" uniqueName="4161" name="Column4161" queryTableFieldId="4161"/>
    <tableColumn id="4162" xr3:uid="{8130718B-2E59-4810-A3F0-945573239581}" uniqueName="4162" name="Column4162" queryTableFieldId="4162"/>
    <tableColumn id="4163" xr3:uid="{AB7138CD-7D4D-4542-A767-4172CC63751D}" uniqueName="4163" name="Column4163" queryTableFieldId="4163"/>
    <tableColumn id="4164" xr3:uid="{2F5BD82E-0E8C-4485-BC37-4B6D745FE10C}" uniqueName="4164" name="Column4164" queryTableFieldId="4164"/>
    <tableColumn id="4165" xr3:uid="{295A9C13-ABF8-4EDE-8606-5BD16A41B369}" uniqueName="4165" name="Column4165" queryTableFieldId="4165"/>
    <tableColumn id="4166" xr3:uid="{706BBDF6-6CBD-45B1-B6A2-486E070CABB3}" uniqueName="4166" name="Column4166" queryTableFieldId="4166"/>
    <tableColumn id="4167" xr3:uid="{71936681-68B9-4135-A676-5DA04C455906}" uniqueName="4167" name="Column4167" queryTableFieldId="4167"/>
    <tableColumn id="4168" xr3:uid="{83117C32-EF09-45D2-BFD4-1424D8E9B835}" uniqueName="4168" name="Column4168" queryTableFieldId="4168"/>
    <tableColumn id="4169" xr3:uid="{64B35BB5-F725-4FAD-AD9B-64C7DCC99AAC}" uniqueName="4169" name="Column4169" queryTableFieldId="4169"/>
    <tableColumn id="4170" xr3:uid="{10EC4261-2FCD-4979-A607-FAA1260A60E9}" uniqueName="4170" name="Column4170" queryTableFieldId="4170"/>
    <tableColumn id="4171" xr3:uid="{D84797FF-70B8-4374-8085-24F137B411C3}" uniqueName="4171" name="Column4171" queryTableFieldId="4171"/>
    <tableColumn id="4172" xr3:uid="{26DD70CF-6E73-4F4A-9773-87C611FD458D}" uniqueName="4172" name="Column4172" queryTableFieldId="4172"/>
    <tableColumn id="4173" xr3:uid="{F94A9559-08C7-4F88-9404-00F6F33F71C1}" uniqueName="4173" name="Column4173" queryTableFieldId="4173"/>
    <tableColumn id="4174" xr3:uid="{EA11DC69-ECFF-4CDF-B283-AA531FEECA99}" uniqueName="4174" name="Column4174" queryTableFieldId="4174"/>
    <tableColumn id="4175" xr3:uid="{1583584D-C52A-4DE1-AA87-B6407FF7BB03}" uniqueName="4175" name="Column4175" queryTableFieldId="4175"/>
    <tableColumn id="4176" xr3:uid="{7035E2F0-ABBC-4C8C-96FB-71F7ECCE8391}" uniqueName="4176" name="Column4176" queryTableFieldId="4176"/>
    <tableColumn id="4177" xr3:uid="{C6A1F4BA-648C-46D8-9011-34EA7F1D2FAF}" uniqueName="4177" name="Column4177" queryTableFieldId="4177"/>
    <tableColumn id="4178" xr3:uid="{6710979F-E71E-4FF7-BBA7-2C654510366B}" uniqueName="4178" name="Column4178" queryTableFieldId="4178"/>
    <tableColumn id="4179" xr3:uid="{0FBB6648-A4B8-431F-8410-6DEF901FD15D}" uniqueName="4179" name="Column4179" queryTableFieldId="4179"/>
    <tableColumn id="4180" xr3:uid="{8B0E0D9B-7F50-4F9B-B1F3-AFE878DDDE9A}" uniqueName="4180" name="Column4180" queryTableFieldId="4180"/>
    <tableColumn id="4181" xr3:uid="{259A409C-5FB6-4D1F-A15A-25024178D460}" uniqueName="4181" name="Column4181" queryTableFieldId="4181"/>
    <tableColumn id="4182" xr3:uid="{3A6F7C6B-83AF-4344-9C55-3015CA77BCCF}" uniqueName="4182" name="Column4182" queryTableFieldId="4182"/>
    <tableColumn id="4183" xr3:uid="{1C07BE90-BD0F-43BD-9EC4-1F1A7DB0A0BF}" uniqueName="4183" name="Column4183" queryTableFieldId="4183"/>
    <tableColumn id="4184" xr3:uid="{E5FEE6D1-F5F3-4001-869C-E3013F3EC8BD}" uniqueName="4184" name="Column4184" queryTableFieldId="4184"/>
    <tableColumn id="4185" xr3:uid="{7389390D-628A-42A4-B4DA-00CDA1CDBC14}" uniqueName="4185" name="Column4185" queryTableFieldId="4185"/>
    <tableColumn id="4186" xr3:uid="{B9AE9AE1-1186-47D6-AB79-2E9906CB543D}" uniqueName="4186" name="Column4186" queryTableFieldId="4186"/>
    <tableColumn id="4187" xr3:uid="{36346CB2-1F85-494A-84DA-4ABF0CA1AD6E}" uniqueName="4187" name="Column4187" queryTableFieldId="4187"/>
    <tableColumn id="4188" xr3:uid="{73238041-2776-4538-95FC-B26CE00DDEA5}" uniqueName="4188" name="Column4188" queryTableFieldId="4188"/>
    <tableColumn id="4189" xr3:uid="{7DA82C00-19B5-464E-A8A1-3138DF557EC0}" uniqueName="4189" name="Column4189" queryTableFieldId="4189"/>
    <tableColumn id="4190" xr3:uid="{41FBAF96-37B4-4B22-B2F2-9749909AAE3C}" uniqueName="4190" name="Column4190" queryTableFieldId="4190"/>
    <tableColumn id="4191" xr3:uid="{4ABE7D63-EA68-4D6A-ACF3-DD7837099BEE}" uniqueName="4191" name="Column4191" queryTableFieldId="4191"/>
    <tableColumn id="4192" xr3:uid="{F6507F52-BD38-4189-804F-073137249AEC}" uniqueName="4192" name="Column4192" queryTableFieldId="4192"/>
    <tableColumn id="4193" xr3:uid="{611B10DA-9FDB-40F5-90DF-62EC155AB36F}" uniqueName="4193" name="Column4193" queryTableFieldId="4193"/>
    <tableColumn id="4194" xr3:uid="{B2701792-B077-44D6-B286-1AF6300CD5F5}" uniqueName="4194" name="Column4194" queryTableFieldId="4194"/>
    <tableColumn id="4195" xr3:uid="{98C8B5CF-4D14-4557-B270-150785D3C7B5}" uniqueName="4195" name="Column4195" queryTableFieldId="4195"/>
    <tableColumn id="4196" xr3:uid="{0A68A07A-90F5-4163-9CC9-0234E3FB994F}" uniqueName="4196" name="Column4196" queryTableFieldId="4196"/>
    <tableColumn id="4197" xr3:uid="{862C07A2-3D7E-4615-8B8C-1B1C70C43EF7}" uniqueName="4197" name="Column4197" queryTableFieldId="4197"/>
    <tableColumn id="4198" xr3:uid="{DF82586D-CB7D-4718-A255-C7B2A4F1A264}" uniqueName="4198" name="Column4198" queryTableFieldId="4198"/>
    <tableColumn id="4199" xr3:uid="{9C59B1E7-5E9A-46F8-882F-28738A480830}" uniqueName="4199" name="Column4199" queryTableFieldId="4199"/>
    <tableColumn id="4200" xr3:uid="{D8D598B1-EE9F-4976-A660-77759B282359}" uniqueName="4200" name="Column4200" queryTableFieldId="4200"/>
    <tableColumn id="4201" xr3:uid="{88A7EC65-4C9D-48C4-A50B-096FB58DF463}" uniqueName="4201" name="Column4201" queryTableFieldId="4201"/>
    <tableColumn id="4202" xr3:uid="{EB28B074-5E5D-4451-882B-B9B6345A2081}" uniqueName="4202" name="Column4202" queryTableFieldId="4202"/>
    <tableColumn id="4203" xr3:uid="{ACC37E73-42AC-4860-A250-DD6255F1F36B}" uniqueName="4203" name="Column4203" queryTableFieldId="4203"/>
    <tableColumn id="4204" xr3:uid="{F720A655-5760-4235-B352-FE0BF7325F96}" uniqueName="4204" name="Column4204" queryTableFieldId="4204"/>
    <tableColumn id="4205" xr3:uid="{BC736CDC-7816-4279-9174-F2D25D95A34B}" uniqueName="4205" name="Column4205" queryTableFieldId="4205"/>
    <tableColumn id="4206" xr3:uid="{2F299821-FBED-4417-8017-A0BE717BF755}" uniqueName="4206" name="Column4206" queryTableFieldId="4206"/>
    <tableColumn id="4207" xr3:uid="{CDD36BD2-B100-4E83-BF60-0A822C912102}" uniqueName="4207" name="Column4207" queryTableFieldId="4207"/>
    <tableColumn id="4208" xr3:uid="{332A0375-8BD6-47DE-99B7-94B013286FC7}" uniqueName="4208" name="Column4208" queryTableFieldId="4208"/>
    <tableColumn id="4209" xr3:uid="{C3931AE9-1942-488F-B14D-50396485FE8C}" uniqueName="4209" name="Column4209" queryTableFieldId="4209"/>
    <tableColumn id="4210" xr3:uid="{18932EF9-D32E-4D4C-BC90-09497B2F1ECD}" uniqueName="4210" name="Column4210" queryTableFieldId="4210"/>
    <tableColumn id="4211" xr3:uid="{161998CE-AF8C-4B07-AE11-539789F3DD8D}" uniqueName="4211" name="Column4211" queryTableFieldId="4211"/>
    <tableColumn id="4212" xr3:uid="{FAE88597-1331-4BA5-A0B3-B1A04DDE96F7}" uniqueName="4212" name="Column4212" queryTableFieldId="4212"/>
    <tableColumn id="4213" xr3:uid="{B12DEDC7-2531-46D6-B5A0-39FADE811ADB}" uniqueName="4213" name="Column4213" queryTableFieldId="4213"/>
    <tableColumn id="4214" xr3:uid="{32746E49-11FA-4215-AC85-417AA281F169}" uniqueName="4214" name="Column4214" queryTableFieldId="4214"/>
    <tableColumn id="4215" xr3:uid="{55EAA4ED-0352-402F-84C7-FE59B7D8CA0A}" uniqueName="4215" name="Column4215" queryTableFieldId="4215"/>
    <tableColumn id="4216" xr3:uid="{0A688F4C-74EF-4868-9110-760320F73874}" uniqueName="4216" name="Column4216" queryTableFieldId="4216"/>
    <tableColumn id="4217" xr3:uid="{E9196AF1-8640-4E69-8D0D-5CA827A44859}" uniqueName="4217" name="Column4217" queryTableFieldId="4217"/>
    <tableColumn id="4218" xr3:uid="{C0A716B5-9232-4C6B-8F4D-D9480D480045}" uniqueName="4218" name="Column4218" queryTableFieldId="4218"/>
    <tableColumn id="4219" xr3:uid="{E59C824B-1086-455B-A524-BBC58A4BD893}" uniqueName="4219" name="Column4219" queryTableFieldId="4219"/>
    <tableColumn id="4220" xr3:uid="{D1D0813A-2A1F-4946-8D29-14F7F5330D6A}" uniqueName="4220" name="Column4220" queryTableFieldId="4220"/>
    <tableColumn id="4221" xr3:uid="{0030B47A-8831-42F1-B3C9-D183DFBC2D9E}" uniqueName="4221" name="Column4221" queryTableFieldId="4221"/>
    <tableColumn id="4222" xr3:uid="{E5A09A81-12C4-4363-9DEC-337392E98E64}" uniqueName="4222" name="Column4222" queryTableFieldId="4222"/>
    <tableColumn id="4223" xr3:uid="{B2275A7E-AF42-4459-8421-DD2D96BF19A2}" uniqueName="4223" name="Column4223" queryTableFieldId="4223"/>
    <tableColumn id="4224" xr3:uid="{3F40F8F6-86E0-4060-AE3D-99C5C53E5D9D}" uniqueName="4224" name="Column4224" queryTableFieldId="4224"/>
    <tableColumn id="4225" xr3:uid="{21EA7165-A880-4E9C-ADD2-891895124659}" uniqueName="4225" name="Column4225" queryTableFieldId="4225"/>
    <tableColumn id="4226" xr3:uid="{3286322D-7B95-42BE-93A0-796C8CBED3B3}" uniqueName="4226" name="Column4226" queryTableFieldId="4226"/>
    <tableColumn id="4227" xr3:uid="{D9484D44-505C-411F-A63C-CCB8D9C64E45}" uniqueName="4227" name="Column4227" queryTableFieldId="4227"/>
    <tableColumn id="4228" xr3:uid="{4D2535AC-FA3E-4338-A691-30A7600F2207}" uniqueName="4228" name="Column4228" queryTableFieldId="4228"/>
    <tableColumn id="4229" xr3:uid="{2F044473-EB86-4C56-9BE8-F20AD792B9EB}" uniqueName="4229" name="Column4229" queryTableFieldId="4229"/>
    <tableColumn id="4230" xr3:uid="{B6F60006-D3BD-44F5-AB9D-86F9C64EA42D}" uniqueName="4230" name="Column4230" queryTableFieldId="4230"/>
    <tableColumn id="4231" xr3:uid="{22AC5287-424A-46E5-B6A6-052735050EC5}" uniqueName="4231" name="Column4231" queryTableFieldId="4231"/>
    <tableColumn id="4232" xr3:uid="{53A7F33B-03C6-485D-96FC-C96595F8258B}" uniqueName="4232" name="Column4232" queryTableFieldId="4232"/>
    <tableColumn id="4233" xr3:uid="{75875529-76E6-4A81-8FC7-6BF534FD8CDE}" uniqueName="4233" name="Column4233" queryTableFieldId="4233"/>
    <tableColumn id="4234" xr3:uid="{E053B378-5F19-4DBA-A321-9595BD39D8CD}" uniqueName="4234" name="Column4234" queryTableFieldId="4234"/>
    <tableColumn id="4235" xr3:uid="{DC3D0AD8-1547-4493-9141-E6DCC0C24F0D}" uniqueName="4235" name="Column4235" queryTableFieldId="4235"/>
    <tableColumn id="4236" xr3:uid="{5770635A-29C0-4EFF-B9D4-5A4393D1CB1E}" uniqueName="4236" name="Column4236" queryTableFieldId="4236"/>
    <tableColumn id="4237" xr3:uid="{74F433BE-35C4-46FC-BB35-78FE28D9ED6F}" uniqueName="4237" name="Column4237" queryTableFieldId="4237"/>
    <tableColumn id="4238" xr3:uid="{CDB0269E-5575-42D8-860A-33D0F5C03FA8}" uniqueName="4238" name="Column4238" queryTableFieldId="4238"/>
    <tableColumn id="4239" xr3:uid="{8087A8A8-C3BB-40CD-B6C7-D0F2DEA93E8C}" uniqueName="4239" name="Column4239" queryTableFieldId="4239"/>
    <tableColumn id="4240" xr3:uid="{A6F4A8BE-D076-488D-938D-F417F9E6F6C6}" uniqueName="4240" name="Column4240" queryTableFieldId="4240"/>
    <tableColumn id="4241" xr3:uid="{D35367DC-1F6E-4073-8CC4-AE2E9EC4C0C7}" uniqueName="4241" name="Column4241" queryTableFieldId="4241"/>
    <tableColumn id="4242" xr3:uid="{13008235-D27B-4A33-9A5A-29E322C74C20}" uniqueName="4242" name="Column4242" queryTableFieldId="4242"/>
    <tableColumn id="4243" xr3:uid="{0144B627-F01B-4084-B46B-89A2B443135A}" uniqueName="4243" name="Column4243" queryTableFieldId="4243"/>
    <tableColumn id="4244" xr3:uid="{76E3B028-D54A-4399-848D-396C05B58A9E}" uniqueName="4244" name="Column4244" queryTableFieldId="4244"/>
    <tableColumn id="4245" xr3:uid="{902FE953-F1C5-4446-9033-DCECA42406F6}" uniqueName="4245" name="Column4245" queryTableFieldId="4245"/>
    <tableColumn id="4246" xr3:uid="{3469D1D3-A48E-4508-AD10-EC0D4AEF7976}" uniqueName="4246" name="Column4246" queryTableFieldId="4246"/>
    <tableColumn id="4247" xr3:uid="{433CF971-5811-4A47-8FD4-F914DE479538}" uniqueName="4247" name="Column4247" queryTableFieldId="4247"/>
    <tableColumn id="4248" xr3:uid="{22E0599B-8B77-44DB-BCD8-DE2F33F0E010}" uniqueName="4248" name="Column4248" queryTableFieldId="4248"/>
    <tableColumn id="4249" xr3:uid="{5AB18155-8BB6-44FE-AAAD-2AC2D115C6F8}" uniqueName="4249" name="Column4249" queryTableFieldId="4249"/>
    <tableColumn id="4250" xr3:uid="{8CD09A09-E5C9-43B5-B55D-8382D80C4B50}" uniqueName="4250" name="Column4250" queryTableFieldId="4250"/>
    <tableColumn id="4251" xr3:uid="{E89B6695-E0A8-4AB2-8712-E8890A84D686}" uniqueName="4251" name="Column4251" queryTableFieldId="4251"/>
    <tableColumn id="4252" xr3:uid="{A72A4B42-5D4E-4C1C-B2F4-9741D21ABBA0}" uniqueName="4252" name="Column4252" queryTableFieldId="4252"/>
    <tableColumn id="4253" xr3:uid="{4B4A6DB5-B85B-4F3A-9027-E6F98A247DA3}" uniqueName="4253" name="Column4253" queryTableFieldId="4253"/>
    <tableColumn id="4254" xr3:uid="{454B41EA-A7B9-44ED-96D8-0F55A6CE42D9}" uniqueName="4254" name="Column4254" queryTableFieldId="4254"/>
    <tableColumn id="4255" xr3:uid="{A7B7F36A-7EF9-4BE9-AA9A-25DC674B7E1B}" uniqueName="4255" name="Column4255" queryTableFieldId="4255"/>
    <tableColumn id="4256" xr3:uid="{25445A2D-9786-4E1B-AC5E-7AD9F28B9035}" uniqueName="4256" name="Column4256" queryTableFieldId="4256"/>
    <tableColumn id="4257" xr3:uid="{2466F9D9-91D8-4363-B6C1-6C048EA7A832}" uniqueName="4257" name="Column4257" queryTableFieldId="4257"/>
    <tableColumn id="4258" xr3:uid="{33AB63F2-7361-4FCA-91C6-32139420D9EF}" uniqueName="4258" name="Column4258" queryTableFieldId="4258"/>
    <tableColumn id="4259" xr3:uid="{E54C130E-BAF2-4B63-924D-C00F63FD05FA}" uniqueName="4259" name="Column4259" queryTableFieldId="4259"/>
    <tableColumn id="4260" xr3:uid="{186C4D52-360B-430B-8B69-4BE658F54D42}" uniqueName="4260" name="Column4260" queryTableFieldId="4260"/>
    <tableColumn id="4261" xr3:uid="{81603294-CA76-4A0A-97B6-9A5C96900501}" uniqueName="4261" name="Column4261" queryTableFieldId="4261"/>
    <tableColumn id="4262" xr3:uid="{BAA9C285-8DAE-4785-9D27-2145F736A18C}" uniqueName="4262" name="Column4262" queryTableFieldId="4262"/>
    <tableColumn id="4263" xr3:uid="{68916EDB-7DB0-405C-9DA0-8F02E8BED7EB}" uniqueName="4263" name="Column4263" queryTableFieldId="4263"/>
    <tableColumn id="4264" xr3:uid="{B9A3E176-1B13-45E9-B968-1891986E7FE1}" uniqueName="4264" name="Column4264" queryTableFieldId="4264"/>
    <tableColumn id="4265" xr3:uid="{9696B788-7B57-4417-AB3F-73A6621F887A}" uniqueName="4265" name="Column4265" queryTableFieldId="4265"/>
    <tableColumn id="4266" xr3:uid="{805D6E98-6DDF-4E24-8652-A56516A1CBEE}" uniqueName="4266" name="Column4266" queryTableFieldId="4266"/>
    <tableColumn id="4267" xr3:uid="{E1B76539-1675-46BE-868E-8D11F55C6674}" uniqueName="4267" name="Column4267" queryTableFieldId="4267"/>
    <tableColumn id="4268" xr3:uid="{1D7B26FE-4541-4547-AAA2-868671D2DD46}" uniqueName="4268" name="Column4268" queryTableFieldId="4268"/>
    <tableColumn id="4269" xr3:uid="{08C19F82-81E3-48E6-96C6-D1066A7F4A3B}" uniqueName="4269" name="Column4269" queryTableFieldId="4269"/>
    <tableColumn id="4270" xr3:uid="{9539DBE7-56BF-49DB-B1C6-C96437B9D81D}" uniqueName="4270" name="Column4270" queryTableFieldId="4270"/>
    <tableColumn id="4271" xr3:uid="{F84A3421-0796-44A6-96E3-3B1298692340}" uniqueName="4271" name="Column4271" queryTableFieldId="4271"/>
    <tableColumn id="4272" xr3:uid="{7C3B0951-D0CB-4414-B8FA-1B1D5341AC7C}" uniqueName="4272" name="Column4272" queryTableFieldId="4272"/>
    <tableColumn id="4273" xr3:uid="{77607361-9AF0-4654-82A3-15A3D208A23B}" uniqueName="4273" name="Column4273" queryTableFieldId="4273"/>
    <tableColumn id="4274" xr3:uid="{1E281333-1566-424D-99F0-1A73D2E72342}" uniqueName="4274" name="Column4274" queryTableFieldId="4274"/>
    <tableColumn id="4275" xr3:uid="{85BBEF5C-4776-4236-8EE2-FFBF2F09D238}" uniqueName="4275" name="Column4275" queryTableFieldId="4275"/>
    <tableColumn id="4276" xr3:uid="{4B7B6BBF-1C3E-4069-9504-5375CFBFC3B1}" uniqueName="4276" name="Column4276" queryTableFieldId="4276"/>
    <tableColumn id="4277" xr3:uid="{65C3C3A8-25A1-45D3-90F2-71785E31F06C}" uniqueName="4277" name="Column4277" queryTableFieldId="4277"/>
    <tableColumn id="4278" xr3:uid="{3E9F9EF4-BDEE-4A76-8530-4B8E60FECDCB}" uniqueName="4278" name="Column4278" queryTableFieldId="4278"/>
    <tableColumn id="4279" xr3:uid="{ACF53CF1-0B8A-4052-B4F2-3AC671A0B90A}" uniqueName="4279" name="Column4279" queryTableFieldId="4279"/>
    <tableColumn id="4280" xr3:uid="{9322FB8F-7F6E-4E0F-85B3-0DF51E9FB9C7}" uniqueName="4280" name="Column4280" queryTableFieldId="4280"/>
    <tableColumn id="4281" xr3:uid="{6DC703AB-F1A8-4CD7-A051-391D632B0A00}" uniqueName="4281" name="Column4281" queryTableFieldId="4281"/>
    <tableColumn id="4282" xr3:uid="{34252856-8B2C-468A-B847-1F08498CEA46}" uniqueName="4282" name="Column4282" queryTableFieldId="4282"/>
    <tableColumn id="4283" xr3:uid="{6B116412-A2DB-46A2-8A9A-9C6686940335}" uniqueName="4283" name="Column4283" queryTableFieldId="4283"/>
    <tableColumn id="4284" xr3:uid="{C8F6F45F-72CA-4619-96EA-4BDDD65659B5}" uniqueName="4284" name="Column4284" queryTableFieldId="4284"/>
    <tableColumn id="4285" xr3:uid="{401C174C-8F7C-4BEB-8DA5-202B77A2DB49}" uniqueName="4285" name="Column4285" queryTableFieldId="4285"/>
    <tableColumn id="4286" xr3:uid="{62C22069-21D8-406E-8452-216F5B4E06CA}" uniqueName="4286" name="Column4286" queryTableFieldId="4286"/>
    <tableColumn id="4287" xr3:uid="{759EDB56-E0A6-468F-8C85-7CEFA2E59839}" uniqueName="4287" name="Column4287" queryTableFieldId="4287"/>
    <tableColumn id="4288" xr3:uid="{B9FF50C3-EC58-4172-B417-7C9DE27CD4AD}" uniqueName="4288" name="Column4288" queryTableFieldId="4288"/>
    <tableColumn id="4289" xr3:uid="{232DF0FB-DE93-42FA-8F25-50484AD3B1A0}" uniqueName="4289" name="Column4289" queryTableFieldId="4289"/>
    <tableColumn id="4290" xr3:uid="{FB4A9E74-15F0-42D4-99CC-D64538255F4E}" uniqueName="4290" name="Column4290" queryTableFieldId="4290"/>
    <tableColumn id="4291" xr3:uid="{6C003A2F-46F5-43A9-B4B4-B6C53C7C72B1}" uniqueName="4291" name="Column4291" queryTableFieldId="4291"/>
    <tableColumn id="4292" xr3:uid="{17D0920A-F114-4E05-8A8D-1DE64F01AD64}" uniqueName="4292" name="Column4292" queryTableFieldId="4292"/>
    <tableColumn id="4293" xr3:uid="{535A433B-0BA8-4D32-9B6F-B54EEECEAC4A}" uniqueName="4293" name="Column4293" queryTableFieldId="4293"/>
    <tableColumn id="4294" xr3:uid="{BDD82D9E-C199-4B24-A5F4-72396DC2A339}" uniqueName="4294" name="Column4294" queryTableFieldId="4294"/>
    <tableColumn id="4295" xr3:uid="{FCB6163C-F8E8-41D8-A008-A323C5B14558}" uniqueName="4295" name="Column4295" queryTableFieldId="4295"/>
    <tableColumn id="4296" xr3:uid="{B1C51A04-7C16-400B-91A3-B84E2C2F56CB}" uniqueName="4296" name="Column4296" queryTableFieldId="4296"/>
    <tableColumn id="4297" xr3:uid="{99FF7038-0ED6-446F-A925-BF586C521E9F}" uniqueName="4297" name="Column4297" queryTableFieldId="4297"/>
    <tableColumn id="4298" xr3:uid="{6E75FB12-0467-464D-9834-37F6A65CAD3F}" uniqueName="4298" name="Column4298" queryTableFieldId="4298"/>
    <tableColumn id="4299" xr3:uid="{FD69A6D5-0227-468F-9E5D-09148D07189B}" uniqueName="4299" name="Column4299" queryTableFieldId="4299"/>
    <tableColumn id="4300" xr3:uid="{03503978-0E01-4BB9-B0BA-942FE35B0875}" uniqueName="4300" name="Column4300" queryTableFieldId="4300"/>
    <tableColumn id="4301" xr3:uid="{467A80D5-AA1C-4520-B075-2308AA73CC5B}" uniqueName="4301" name="Column4301" queryTableFieldId="4301"/>
    <tableColumn id="4302" xr3:uid="{03B18B48-1D1C-47F3-9243-40F6E217A49E}" uniqueName="4302" name="Column4302" queryTableFieldId="4302"/>
    <tableColumn id="4303" xr3:uid="{C69E866F-5CCC-4DAE-B40D-4928EFEB4B84}" uniqueName="4303" name="Column4303" queryTableFieldId="4303"/>
    <tableColumn id="4304" xr3:uid="{F8C5ED47-C4EB-47DA-BE37-F53712B42084}" uniqueName="4304" name="Column4304" queryTableFieldId="4304"/>
    <tableColumn id="4305" xr3:uid="{3690B538-D3E0-48BC-A558-B730A314DDAD}" uniqueName="4305" name="Column4305" queryTableFieldId="4305"/>
    <tableColumn id="4306" xr3:uid="{DC293515-4485-41FC-8B00-3081F7331F0E}" uniqueName="4306" name="Column4306" queryTableFieldId="4306"/>
    <tableColumn id="4307" xr3:uid="{833FFAEA-2937-4EC4-BFC7-C93332F01F78}" uniqueName="4307" name="Column4307" queryTableFieldId="4307"/>
    <tableColumn id="4308" xr3:uid="{84EB5C5A-C779-44F5-AD1B-3F9103AD7F6C}" uniqueName="4308" name="Column4308" queryTableFieldId="4308"/>
    <tableColumn id="4309" xr3:uid="{424F5D12-83E2-4DF1-A195-7DBD5623C869}" uniqueName="4309" name="Column4309" queryTableFieldId="4309"/>
    <tableColumn id="4310" xr3:uid="{7B659FAA-8136-42BC-930B-87CDA2F13C63}" uniqueName="4310" name="Column4310" queryTableFieldId="4310"/>
    <tableColumn id="4311" xr3:uid="{C0113F04-4BD5-44E1-8E65-8F0DE27ECDC7}" uniqueName="4311" name="Column4311" queryTableFieldId="4311"/>
    <tableColumn id="4312" xr3:uid="{BC8B970E-407F-4359-88CA-008E22F6E66F}" uniqueName="4312" name="Column4312" queryTableFieldId="4312"/>
    <tableColumn id="4313" xr3:uid="{DCA8ADE9-BB35-4060-9525-709314F4E01F}" uniqueName="4313" name="Column4313" queryTableFieldId="4313"/>
    <tableColumn id="4314" xr3:uid="{D5129661-DEF3-4A84-9B94-22328FC125DD}" uniqueName="4314" name="Column4314" queryTableFieldId="4314"/>
    <tableColumn id="4315" xr3:uid="{D1FB57D1-BCB2-404A-BB1A-C62897DB7E95}" uniqueName="4315" name="Column4315" queryTableFieldId="4315"/>
    <tableColumn id="4316" xr3:uid="{A0A649BE-B88B-401E-84DB-7FA5875EDAD5}" uniqueName="4316" name="Column4316" queryTableFieldId="4316"/>
    <tableColumn id="4317" xr3:uid="{AD0AA320-7000-4E83-BE27-1DDD7B909B03}" uniqueName="4317" name="Column4317" queryTableFieldId="4317"/>
    <tableColumn id="4318" xr3:uid="{23920D66-FF68-4DE5-B48D-F9F97FE4E469}" uniqueName="4318" name="Column4318" queryTableFieldId="4318"/>
    <tableColumn id="4319" xr3:uid="{1B3392FF-F1EF-4D45-8774-4E17FD35C44D}" uniqueName="4319" name="Column4319" queryTableFieldId="4319"/>
    <tableColumn id="4320" xr3:uid="{2CBC7668-2379-4302-A2BC-D6A9EF8EE627}" uniqueName="4320" name="Column4320" queryTableFieldId="4320"/>
    <tableColumn id="4321" xr3:uid="{E1CB6C20-A90B-4858-98DB-9E2A3576ED56}" uniqueName="4321" name="Column4321" queryTableFieldId="4321"/>
    <tableColumn id="4322" xr3:uid="{63B1BD85-F97E-4C90-AD44-51435C5D61C9}" uniqueName="4322" name="Column4322" queryTableFieldId="4322"/>
    <tableColumn id="4323" xr3:uid="{19175814-8007-4B1F-8969-E1F80AB2715E}" uniqueName="4323" name="Column4323" queryTableFieldId="4323"/>
    <tableColumn id="4324" xr3:uid="{5CC48E5B-F99A-4020-9DE9-8A430620A95C}" uniqueName="4324" name="Column4324" queryTableFieldId="4324"/>
    <tableColumn id="4325" xr3:uid="{11437FCD-7BCE-4473-A840-2226B56FE97E}" uniqueName="4325" name="Column4325" queryTableFieldId="4325"/>
    <tableColumn id="4326" xr3:uid="{BFF8CFC7-06F9-45D0-AD55-8836E1387C2E}" uniqueName="4326" name="Column4326" queryTableFieldId="4326"/>
    <tableColumn id="4327" xr3:uid="{952E61D8-01BC-4D32-AE6D-D7AABCD3CF22}" uniqueName="4327" name="Column4327" queryTableFieldId="4327"/>
    <tableColumn id="4328" xr3:uid="{F9F65927-22C1-402E-B8AE-D8A39CE8243A}" uniqueName="4328" name="Column4328" queryTableFieldId="4328"/>
    <tableColumn id="4329" xr3:uid="{F92F0A81-78EE-4F1E-8D46-977683509D54}" uniqueName="4329" name="Column4329" queryTableFieldId="4329"/>
    <tableColumn id="4330" xr3:uid="{2A033F88-7CD0-4396-967B-77AFB6E18CD1}" uniqueName="4330" name="Column4330" queryTableFieldId="4330"/>
    <tableColumn id="4331" xr3:uid="{0FDD0FAE-DB47-4C1D-875B-8DE38A5C1433}" uniqueName="4331" name="Column4331" queryTableFieldId="4331"/>
    <tableColumn id="4332" xr3:uid="{FE27598C-B0A1-4BC2-8DD9-F607FA04A681}" uniqueName="4332" name="Column4332" queryTableFieldId="4332"/>
    <tableColumn id="4333" xr3:uid="{80058332-C6BE-44D9-A563-DD3BFB20E62F}" uniqueName="4333" name="Column4333" queryTableFieldId="4333"/>
    <tableColumn id="4334" xr3:uid="{85823712-A946-41A7-BFEF-969C16BB713A}" uniqueName="4334" name="Column4334" queryTableFieldId="4334"/>
    <tableColumn id="4335" xr3:uid="{C8AA9376-F7E4-4983-BC86-2164CA75D8F5}" uniqueName="4335" name="Column4335" queryTableFieldId="4335"/>
    <tableColumn id="4336" xr3:uid="{0A7BE82A-CE3F-45FB-9824-DD5E01345740}" uniqueName="4336" name="Column4336" queryTableFieldId="4336"/>
    <tableColumn id="4337" xr3:uid="{32A1E087-BCAE-44E1-9846-37A8E683A74A}" uniqueName="4337" name="Column4337" queryTableFieldId="4337"/>
    <tableColumn id="4338" xr3:uid="{787D5B1E-ADB0-4570-8BC9-58A2657CF7A8}" uniqueName="4338" name="Column4338" queryTableFieldId="4338"/>
    <tableColumn id="4339" xr3:uid="{DF7402EB-2C21-45C2-9C2E-B6BBBDBB6C6F}" uniqueName="4339" name="Column4339" queryTableFieldId="4339"/>
    <tableColumn id="4340" xr3:uid="{E0388599-B438-42A9-B350-A9017E665204}" uniqueName="4340" name="Column4340" queryTableFieldId="4340"/>
    <tableColumn id="4341" xr3:uid="{B6493897-85C4-4156-9183-8EFB9A7ECADC}" uniqueName="4341" name="Column4341" queryTableFieldId="4341"/>
    <tableColumn id="4342" xr3:uid="{37D86BF0-81E9-4D2D-9290-A487B7AB649E}" uniqueName="4342" name="Column4342" queryTableFieldId="4342"/>
    <tableColumn id="4343" xr3:uid="{B5E82876-AF87-49C0-8DA2-D5CFE5E95CBB}" uniqueName="4343" name="Column4343" queryTableFieldId="4343"/>
    <tableColumn id="4344" xr3:uid="{7241B3B0-2A74-4063-A4FB-A063BDC1C920}" uniqueName="4344" name="Column4344" queryTableFieldId="4344"/>
    <tableColumn id="4345" xr3:uid="{02D04BB8-7134-4970-8BFD-97630AA13C85}" uniqueName="4345" name="Column4345" queryTableFieldId="4345"/>
    <tableColumn id="4346" xr3:uid="{8C8E65B5-C937-41E4-8EA7-2C80E518677D}" uniqueName="4346" name="Column4346" queryTableFieldId="4346"/>
    <tableColumn id="4347" xr3:uid="{49C07D4E-5107-450F-B073-60066E0482B4}" uniqueName="4347" name="Column4347" queryTableFieldId="4347"/>
    <tableColumn id="4348" xr3:uid="{5B0F28BD-5D86-4CA5-802F-7AAFE42F64C9}" uniqueName="4348" name="Column4348" queryTableFieldId="4348"/>
    <tableColumn id="4349" xr3:uid="{F835ACD4-1A33-4084-B18C-26ED0795B3CA}" uniqueName="4349" name="Column4349" queryTableFieldId="4349"/>
    <tableColumn id="4350" xr3:uid="{7D2D97C6-C2B2-41B6-970E-7F05F3BC48A0}" uniqueName="4350" name="Column4350" queryTableFieldId="4350"/>
    <tableColumn id="4351" xr3:uid="{7116F478-6295-4E5F-9C28-9C0AE18E8EEC}" uniqueName="4351" name="Column4351" queryTableFieldId="4351"/>
    <tableColumn id="4352" xr3:uid="{32C33026-14F6-4196-916B-1D3370288CA6}" uniqueName="4352" name="Column4352" queryTableFieldId="4352"/>
    <tableColumn id="4353" xr3:uid="{7980F899-C260-4894-AB68-BBCDD3EB95AC}" uniqueName="4353" name="Column4353" queryTableFieldId="4353"/>
    <tableColumn id="4354" xr3:uid="{0B7653B9-9550-4796-905D-55A4940A48B8}" uniqueName="4354" name="Column4354" queryTableFieldId="4354"/>
    <tableColumn id="4355" xr3:uid="{B6E5E145-2017-4277-AE16-341E6459C9D5}" uniqueName="4355" name="Column4355" queryTableFieldId="4355"/>
    <tableColumn id="4356" xr3:uid="{E1442A9C-20EB-4CF4-AEF7-795EB44107D0}" uniqueName="4356" name="Column4356" queryTableFieldId="4356"/>
    <tableColumn id="4357" xr3:uid="{6A14C095-0353-4119-9701-633BBF119071}" uniqueName="4357" name="Column4357" queryTableFieldId="4357"/>
    <tableColumn id="4358" xr3:uid="{C0448D91-F1BB-42E6-952F-6EDB4B413299}" uniqueName="4358" name="Column4358" queryTableFieldId="4358"/>
    <tableColumn id="4359" xr3:uid="{F976AB8D-9636-4750-AED8-684DE29AA5FA}" uniqueName="4359" name="Column4359" queryTableFieldId="4359"/>
    <tableColumn id="4360" xr3:uid="{FC5C2DD6-0017-41CE-B341-2C7098EEF0EE}" uniqueName="4360" name="Column4360" queryTableFieldId="4360"/>
    <tableColumn id="4361" xr3:uid="{C6EA2776-F37A-4688-B7E5-612E26C6A26D}" uniqueName="4361" name="Column4361" queryTableFieldId="4361"/>
    <tableColumn id="4362" xr3:uid="{1B722DF5-6DD6-4C12-8FFE-AD2CA5FDEA75}" uniqueName="4362" name="Column4362" queryTableFieldId="4362"/>
    <tableColumn id="4363" xr3:uid="{6EC79171-5E9C-4FE2-A3AA-BE88F7950FBF}" uniqueName="4363" name="Column4363" queryTableFieldId="4363"/>
    <tableColumn id="4364" xr3:uid="{02A2494C-CB9C-46DF-A0D7-E7720164485F}" uniqueName="4364" name="Column4364" queryTableFieldId="4364"/>
    <tableColumn id="4365" xr3:uid="{F2D2133F-F380-41FB-BA4A-E057526E2CF5}" uniqueName="4365" name="Column4365" queryTableFieldId="4365"/>
    <tableColumn id="4366" xr3:uid="{0E2D092A-1C2E-442E-B01B-764DD2C185EB}" uniqueName="4366" name="Column4366" queryTableFieldId="4366"/>
    <tableColumn id="4367" xr3:uid="{6B099A60-9A30-41B6-867F-99B8B2165247}" uniqueName="4367" name="Column4367" queryTableFieldId="4367"/>
    <tableColumn id="4368" xr3:uid="{7D630798-0B3C-4839-8B72-7BA2DCF8D993}" uniqueName="4368" name="Column4368" queryTableFieldId="4368"/>
    <tableColumn id="4369" xr3:uid="{CA78AECC-B54C-4EC6-BC03-9B2A489AE535}" uniqueName="4369" name="Column4369" queryTableFieldId="4369"/>
    <tableColumn id="4370" xr3:uid="{8B32D693-3D90-466D-97A4-41D2DB250CF6}" uniqueName="4370" name="Column4370" queryTableFieldId="4370"/>
    <tableColumn id="4371" xr3:uid="{171F46B2-F163-4DFB-9A40-01B8F3449A10}" uniqueName="4371" name="Column4371" queryTableFieldId="4371"/>
    <tableColumn id="4372" xr3:uid="{FC237204-AC33-447E-B227-6B2C5DF3D74D}" uniqueName="4372" name="Column4372" queryTableFieldId="4372"/>
    <tableColumn id="4373" xr3:uid="{7B299978-B9B5-42DB-BB4B-45629D00D52C}" uniqueName="4373" name="Column4373" queryTableFieldId="4373"/>
    <tableColumn id="4374" xr3:uid="{580A7E60-62F4-40A4-B783-8F8A29436A8D}" uniqueName="4374" name="Column4374" queryTableFieldId="4374"/>
    <tableColumn id="4375" xr3:uid="{E5D43254-90FF-4294-91CC-ED3B8BCE211F}" uniqueName="4375" name="Column4375" queryTableFieldId="4375"/>
    <tableColumn id="4376" xr3:uid="{94456DEA-7174-4FBE-B1F1-AE400277604F}" uniqueName="4376" name="Column4376" queryTableFieldId="4376"/>
    <tableColumn id="4377" xr3:uid="{34C96A5E-0ABC-4FC9-A882-80B1387A6B8A}" uniqueName="4377" name="Column4377" queryTableFieldId="4377"/>
    <tableColumn id="4378" xr3:uid="{3EA1DA53-5E42-4DE8-9FDE-7D00B6E3AA6B}" uniqueName="4378" name="Column4378" queryTableFieldId="4378"/>
    <tableColumn id="4379" xr3:uid="{6E9BBE9E-5269-43CE-87D5-4A8868D24900}" uniqueName="4379" name="Column4379" queryTableFieldId="4379"/>
    <tableColumn id="4380" xr3:uid="{00C4B307-4177-4C49-A6A0-8FFE834811BF}" uniqueName="4380" name="Column4380" queryTableFieldId="4380"/>
    <tableColumn id="4381" xr3:uid="{36DFB34B-9D09-4F1F-96A4-E762E121DA65}" uniqueName="4381" name="Column4381" queryTableFieldId="4381"/>
    <tableColumn id="4382" xr3:uid="{ED0ED498-4878-45BA-96EE-EFF8CC19A240}" uniqueName="4382" name="Column4382" queryTableFieldId="4382"/>
    <tableColumn id="4383" xr3:uid="{044B727E-639E-4234-8CF3-EB7541951918}" uniqueName="4383" name="Column4383" queryTableFieldId="4383"/>
    <tableColumn id="4384" xr3:uid="{F78DC638-38FB-47EE-B592-0589DF3F62F5}" uniqueName="4384" name="Column4384" queryTableFieldId="4384"/>
    <tableColumn id="4385" xr3:uid="{0208CE23-AB00-4845-9454-40AAD2F2D20F}" uniqueName="4385" name="Column4385" queryTableFieldId="4385"/>
    <tableColumn id="4386" xr3:uid="{AA5348DA-BA11-4806-8998-2AE5CA3470BB}" uniqueName="4386" name="Column4386" queryTableFieldId="4386"/>
    <tableColumn id="4387" xr3:uid="{8797A129-6325-47D3-9DEB-593CA24382EF}" uniqueName="4387" name="Column4387" queryTableFieldId="4387"/>
    <tableColumn id="4388" xr3:uid="{5D5AF9ED-F269-45AC-A2FE-A21862DFC3EB}" uniqueName="4388" name="Column4388" queryTableFieldId="4388"/>
    <tableColumn id="4389" xr3:uid="{04C23506-8909-4D49-AE2A-21F06BCB2C13}" uniqueName="4389" name="Column4389" queryTableFieldId="4389"/>
    <tableColumn id="4390" xr3:uid="{99C4823E-E80A-4A8E-B269-27F3800EE778}" uniqueName="4390" name="Column4390" queryTableFieldId="4390"/>
    <tableColumn id="4391" xr3:uid="{0F53B6EC-CEBB-4C73-809E-02467171EBF5}" uniqueName="4391" name="Column4391" queryTableFieldId="4391"/>
    <tableColumn id="4392" xr3:uid="{E3C1DA2E-67D1-4E18-8381-0B6C115F9BE7}" uniqueName="4392" name="Column4392" queryTableFieldId="4392"/>
    <tableColumn id="4393" xr3:uid="{E7C87B2E-C4D4-4CE3-83CC-DA87C0FD290F}" uniqueName="4393" name="Column4393" queryTableFieldId="4393"/>
    <tableColumn id="4394" xr3:uid="{C882B156-C77D-4CD4-BEFE-1DA442B0D442}" uniqueName="4394" name="Column4394" queryTableFieldId="4394"/>
    <tableColumn id="4395" xr3:uid="{0C482F5D-3DFF-4AEA-AADB-6AC9D21296B5}" uniqueName="4395" name="Column4395" queryTableFieldId="4395"/>
    <tableColumn id="4396" xr3:uid="{3F297572-BDEC-431E-B434-69610F28E4C6}" uniqueName="4396" name="Column4396" queryTableFieldId="4396"/>
    <tableColumn id="4397" xr3:uid="{6FD3D4BC-0786-4947-9029-E64EEF7EA992}" uniqueName="4397" name="Column4397" queryTableFieldId="4397"/>
    <tableColumn id="4398" xr3:uid="{FC837FF4-DCB9-4EF8-9DCA-416134556FD0}" uniqueName="4398" name="Column4398" queryTableFieldId="4398"/>
    <tableColumn id="4399" xr3:uid="{E3E864F0-085E-462D-91E4-4F7C857828AC}" uniqueName="4399" name="Column4399" queryTableFieldId="4399"/>
    <tableColumn id="4400" xr3:uid="{81CAEEEF-3CDB-45EE-A74D-C04D8CF14036}" uniqueName="4400" name="Column4400" queryTableFieldId="4400"/>
    <tableColumn id="4401" xr3:uid="{24268ABC-246E-468A-8395-8E62A27767A6}" uniqueName="4401" name="Column4401" queryTableFieldId="4401"/>
    <tableColumn id="4402" xr3:uid="{F7F0F094-7116-4AE6-947E-C4090B52A998}" uniqueName="4402" name="Column4402" queryTableFieldId="4402"/>
    <tableColumn id="4403" xr3:uid="{E0D7077D-AE99-4978-B635-861BEDC29DFC}" uniqueName="4403" name="Column4403" queryTableFieldId="4403"/>
    <tableColumn id="4404" xr3:uid="{F87B42A4-C641-4FA8-97EA-5AFAD6B5D7E2}" uniqueName="4404" name="Column4404" queryTableFieldId="4404"/>
    <tableColumn id="4405" xr3:uid="{87D593DE-698F-4A5A-BCF6-B2F9F427DA61}" uniqueName="4405" name="Column4405" queryTableFieldId="4405"/>
    <tableColumn id="4406" xr3:uid="{ED58108E-7543-4B4D-8B19-974CA8556FFC}" uniqueName="4406" name="Column4406" queryTableFieldId="4406"/>
    <tableColumn id="4407" xr3:uid="{33AD37CE-E7E3-424C-8CF1-C26178BB2077}" uniqueName="4407" name="Column4407" queryTableFieldId="4407"/>
    <tableColumn id="4408" xr3:uid="{C38391E6-9E2F-44F6-86A6-70E41C2B6DC8}" uniqueName="4408" name="Column4408" queryTableFieldId="4408"/>
    <tableColumn id="4409" xr3:uid="{2DE84179-030A-4229-AC03-1BA54CD323F2}" uniqueName="4409" name="Column4409" queryTableFieldId="4409"/>
    <tableColumn id="4410" xr3:uid="{F9A47D4C-32FC-4143-A6D1-923618BD20A0}" uniqueName="4410" name="Column4410" queryTableFieldId="4410"/>
    <tableColumn id="4411" xr3:uid="{44835474-6173-4F38-B3CB-F04C1D6A51DE}" uniqueName="4411" name="Column4411" queryTableFieldId="4411"/>
    <tableColumn id="4412" xr3:uid="{1047162B-CD8A-40A2-95B5-DFC9F5C3E4AC}" uniqueName="4412" name="Column4412" queryTableFieldId="4412"/>
    <tableColumn id="4413" xr3:uid="{E271A315-4591-4932-9613-D72D2D4D94B2}" uniqueName="4413" name="Column4413" queryTableFieldId="4413"/>
    <tableColumn id="4414" xr3:uid="{88526B9F-AF32-49F2-B178-51CCDE27D705}" uniqueName="4414" name="Column4414" queryTableFieldId="4414"/>
    <tableColumn id="4415" xr3:uid="{3DD87049-716B-4C46-8FBE-4302101182D9}" uniqueName="4415" name="Column4415" queryTableFieldId="4415"/>
    <tableColumn id="4416" xr3:uid="{AD12687D-8656-47BF-82C8-92C017E40D2D}" uniqueName="4416" name="Column4416" queryTableFieldId="4416"/>
    <tableColumn id="4417" xr3:uid="{3118D753-AEE5-4EF1-A6DC-0F71670F7B1E}" uniqueName="4417" name="Column4417" queryTableFieldId="4417"/>
    <tableColumn id="4418" xr3:uid="{5D9083DB-3886-4C10-91AF-65613EB9FA54}" uniqueName="4418" name="Column4418" queryTableFieldId="4418"/>
    <tableColumn id="4419" xr3:uid="{C241037B-3065-4218-A1EC-EA6DF751322B}" uniqueName="4419" name="Column4419" queryTableFieldId="4419"/>
    <tableColumn id="4420" xr3:uid="{441D5C8F-7DDC-4967-96A9-54186BEEEF1A}" uniqueName="4420" name="Column4420" queryTableFieldId="4420"/>
    <tableColumn id="4421" xr3:uid="{5777031C-317B-40C0-BF60-410D382973D0}" uniqueName="4421" name="Column4421" queryTableFieldId="4421"/>
    <tableColumn id="4422" xr3:uid="{F3D7F1A7-0CF0-4634-B8A6-8AD6BA348938}" uniqueName="4422" name="Column4422" queryTableFieldId="4422"/>
    <tableColumn id="4423" xr3:uid="{EC424BB4-0991-490C-9945-484B657163F7}" uniqueName="4423" name="Column4423" queryTableFieldId="4423"/>
    <tableColumn id="4424" xr3:uid="{000676BE-9E15-4376-8E9F-50949FA280E6}" uniqueName="4424" name="Column4424" queryTableFieldId="4424"/>
    <tableColumn id="4425" xr3:uid="{3F79E292-B470-4113-AC05-0CF64E8C36B3}" uniqueName="4425" name="Column4425" queryTableFieldId="4425"/>
    <tableColumn id="4426" xr3:uid="{F1DECCB1-A690-4C9B-8AE5-5C9BBB37FF38}" uniqueName="4426" name="Column4426" queryTableFieldId="4426"/>
    <tableColumn id="4427" xr3:uid="{64910464-A53B-45F3-981B-427272C9F3F6}" uniqueName="4427" name="Column4427" queryTableFieldId="4427"/>
    <tableColumn id="4428" xr3:uid="{512E177E-8236-4161-BE67-D40FF32F2EE4}" uniqueName="4428" name="Column4428" queryTableFieldId="4428"/>
    <tableColumn id="4429" xr3:uid="{3F13EC7E-3049-48FF-B0A3-8B4496D995D8}" uniqueName="4429" name="Column4429" queryTableFieldId="4429"/>
    <tableColumn id="4430" xr3:uid="{5E54C092-7C0F-4DD9-8557-ED8BC21EFF05}" uniqueName="4430" name="Column4430" queryTableFieldId="4430"/>
    <tableColumn id="4431" xr3:uid="{EEF697EE-3E27-4397-9A33-E80EA22B6D65}" uniqueName="4431" name="Column4431" queryTableFieldId="4431"/>
    <tableColumn id="4432" xr3:uid="{1FD0702D-560C-420F-BEA3-9D3385A73BC7}" uniqueName="4432" name="Column4432" queryTableFieldId="4432"/>
    <tableColumn id="4433" xr3:uid="{8E3A7300-B331-4104-B79A-D7F59A8F37BE}" uniqueName="4433" name="Column4433" queryTableFieldId="4433"/>
    <tableColumn id="4434" xr3:uid="{FC1A51FD-72D9-4A8C-B9DC-956725C51210}" uniqueName="4434" name="Column4434" queryTableFieldId="4434"/>
    <tableColumn id="4435" xr3:uid="{60AB1BEB-FFD4-4A9F-A0F9-A014E196448C}" uniqueName="4435" name="Column4435" queryTableFieldId="4435"/>
    <tableColumn id="4436" xr3:uid="{2B3CF84E-9A36-4725-A512-2CA7CFD7545F}" uniqueName="4436" name="Column4436" queryTableFieldId="4436"/>
    <tableColumn id="4437" xr3:uid="{20464CE8-0BEF-4366-90B1-07B215EB1995}" uniqueName="4437" name="Column4437" queryTableFieldId="4437"/>
    <tableColumn id="4438" xr3:uid="{49099084-DDDC-4654-BD9F-AFDD5D4E091D}" uniqueName="4438" name="Column4438" queryTableFieldId="4438"/>
    <tableColumn id="4439" xr3:uid="{5D943619-A9B1-484A-8256-5B2BA4D90BBB}" uniqueName="4439" name="Column4439" queryTableFieldId="4439"/>
    <tableColumn id="4440" xr3:uid="{646F8F33-F581-4771-8BF1-AD58DE79ADE0}" uniqueName="4440" name="Column4440" queryTableFieldId="4440"/>
    <tableColumn id="4441" xr3:uid="{20C90FAE-F28C-4A6B-BCFA-D5A73E2E5632}" uniqueName="4441" name="Column4441" queryTableFieldId="4441"/>
    <tableColumn id="4442" xr3:uid="{D924F7CA-9309-4ECB-8EC5-C7663801FB03}" uniqueName="4442" name="Column4442" queryTableFieldId="4442"/>
    <tableColumn id="4443" xr3:uid="{19CC6382-251E-4233-9D4D-A5213625DBD1}" uniqueName="4443" name="Column4443" queryTableFieldId="4443"/>
    <tableColumn id="4444" xr3:uid="{08F01016-64C6-46D9-940C-875E367695BC}" uniqueName="4444" name="Column4444" queryTableFieldId="4444"/>
    <tableColumn id="4445" xr3:uid="{6978B988-FA4D-48EA-8177-7C30941EB81E}" uniqueName="4445" name="Column4445" queryTableFieldId="4445"/>
    <tableColumn id="4446" xr3:uid="{F5AD1C0F-BD0D-4597-8D27-8A3C7030522C}" uniqueName="4446" name="Column4446" queryTableFieldId="4446"/>
    <tableColumn id="4447" xr3:uid="{CE8603BE-5613-4369-992E-6A4E352A23DD}" uniqueName="4447" name="Column4447" queryTableFieldId="4447"/>
    <tableColumn id="4448" xr3:uid="{FF15EF69-C53B-4E00-9E2C-E5271740A26A}" uniqueName="4448" name="Column4448" queryTableFieldId="4448"/>
    <tableColumn id="4449" xr3:uid="{6924C5DA-6E0C-412F-8437-AF4B16562F49}" uniqueName="4449" name="Column4449" queryTableFieldId="4449"/>
    <tableColumn id="4450" xr3:uid="{E76CAE4B-F274-404D-9811-1BB8CC24CA93}" uniqueName="4450" name="Column4450" queryTableFieldId="4450"/>
    <tableColumn id="4451" xr3:uid="{897C532A-F0F6-4CEA-B5CF-072918A59D46}" uniqueName="4451" name="Column4451" queryTableFieldId="4451"/>
    <tableColumn id="4452" xr3:uid="{1385FBEB-D0F8-4DC3-AAA7-136BFD265E68}" uniqueName="4452" name="Column4452" queryTableFieldId="4452"/>
    <tableColumn id="4453" xr3:uid="{D458C29D-7007-48D6-9C5C-CDA7B741BE1F}" uniqueName="4453" name="Column4453" queryTableFieldId="4453"/>
    <tableColumn id="4454" xr3:uid="{51A863F9-FB88-42D6-B411-4D44F0645AE8}" uniqueName="4454" name="Column4454" queryTableFieldId="4454"/>
    <tableColumn id="4455" xr3:uid="{78BA9944-481D-48ED-9C54-B9A66E24115C}" uniqueName="4455" name="Column4455" queryTableFieldId="4455"/>
    <tableColumn id="4456" xr3:uid="{315EBD98-B90D-406C-AF37-595251ABDF3A}" uniqueName="4456" name="Column4456" queryTableFieldId="4456"/>
    <tableColumn id="4457" xr3:uid="{DD849B30-4CE4-4FFD-A344-A53DDF0F494F}" uniqueName="4457" name="Column4457" queryTableFieldId="4457"/>
    <tableColumn id="4458" xr3:uid="{86C76595-37B0-4FC7-8279-B9AA151F4F8B}" uniqueName="4458" name="Column4458" queryTableFieldId="4458"/>
    <tableColumn id="4459" xr3:uid="{1D4FC0F7-441D-4A7E-8191-F07CB3915A4C}" uniqueName="4459" name="Column4459" queryTableFieldId="4459"/>
    <tableColumn id="4460" xr3:uid="{FF76FB01-4377-4ED1-B618-0288FEDD49EC}" uniqueName="4460" name="Column4460" queryTableFieldId="4460"/>
    <tableColumn id="4461" xr3:uid="{932395D6-9ADE-401F-96DB-BE0CBEC77E8E}" uniqueName="4461" name="Column4461" queryTableFieldId="4461"/>
    <tableColumn id="4462" xr3:uid="{D1378242-A765-4088-9260-701D9F893357}" uniqueName="4462" name="Column4462" queryTableFieldId="4462"/>
    <tableColumn id="4463" xr3:uid="{E6F3B7ED-5D23-4C01-AAAA-0EF88ACA51AE}" uniqueName="4463" name="Column4463" queryTableFieldId="4463"/>
    <tableColumn id="4464" xr3:uid="{5BDB0932-40E1-4B77-9D5E-E238C47D7FB2}" uniqueName="4464" name="Column4464" queryTableFieldId="4464"/>
    <tableColumn id="4465" xr3:uid="{82393005-2F74-404E-8D1D-239A7DFD61CA}" uniqueName="4465" name="Column4465" queryTableFieldId="4465"/>
    <tableColumn id="4466" xr3:uid="{7AB05FCC-A311-45C5-9274-F46C6392CC22}" uniqueName="4466" name="Column4466" queryTableFieldId="4466"/>
    <tableColumn id="4467" xr3:uid="{DC650A14-9AF2-484E-9C2D-13B6BED43898}" uniqueName="4467" name="Column4467" queryTableFieldId="4467"/>
    <tableColumn id="4468" xr3:uid="{052BA26F-EE9B-4D16-9478-966BDA14972E}" uniqueName="4468" name="Column4468" queryTableFieldId="4468"/>
    <tableColumn id="4469" xr3:uid="{D602D5B3-C540-4B1B-B47C-5E1575D96BED}" uniqueName="4469" name="Column4469" queryTableFieldId="4469"/>
    <tableColumn id="4470" xr3:uid="{49FA3E8B-D419-4867-B36C-87837268C7FC}" uniqueName="4470" name="Column4470" queryTableFieldId="4470"/>
    <tableColumn id="4471" xr3:uid="{12D46328-2D5E-44D8-A5DB-76A99A66D5FD}" uniqueName="4471" name="Column4471" queryTableFieldId="4471"/>
    <tableColumn id="4472" xr3:uid="{0C80AF18-06CF-4F7E-98F4-85BBA470E712}" uniqueName="4472" name="Column4472" queryTableFieldId="4472"/>
    <tableColumn id="4473" xr3:uid="{832DF594-6672-4958-A6A7-DFA06E9E63B5}" uniqueName="4473" name="Column4473" queryTableFieldId="4473"/>
    <tableColumn id="4474" xr3:uid="{1E02195B-9612-4291-B0E2-62F8FEF45995}" uniqueName="4474" name="Column4474" queryTableFieldId="4474"/>
    <tableColumn id="4475" xr3:uid="{6D92D445-8034-468F-8EC6-45A008A78AD6}" uniqueName="4475" name="Column4475" queryTableFieldId="4475"/>
    <tableColumn id="4476" xr3:uid="{977E9885-C611-46C0-9473-1307A308B547}" uniqueName="4476" name="Column4476" queryTableFieldId="4476"/>
    <tableColumn id="4477" xr3:uid="{06579F13-B3C4-404B-8474-611B6A7C95DA}" uniqueName="4477" name="Column4477" queryTableFieldId="4477"/>
    <tableColumn id="4478" xr3:uid="{49388DF9-9ADD-4664-8B05-EE6513A18586}" uniqueName="4478" name="Column4478" queryTableFieldId="4478"/>
    <tableColumn id="4479" xr3:uid="{DBFFCDC6-2817-48D5-A652-E2301512067D}" uniqueName="4479" name="Column4479" queryTableFieldId="4479"/>
    <tableColumn id="4480" xr3:uid="{48D5CF8C-FEE2-4880-8BE1-7ED6BA9536CB}" uniqueName="4480" name="Column4480" queryTableFieldId="4480"/>
    <tableColumn id="4481" xr3:uid="{172B408A-E989-45CD-83B3-4FDB1C9DA353}" uniqueName="4481" name="Column4481" queryTableFieldId="4481"/>
    <tableColumn id="4482" xr3:uid="{35975DE8-CC35-476D-9F96-C5C6AEF40426}" uniqueName="4482" name="Column4482" queryTableFieldId="4482"/>
    <tableColumn id="4483" xr3:uid="{5F6C406C-8846-4DE3-9F28-D886A135BB07}" uniqueName="4483" name="Column4483" queryTableFieldId="4483"/>
    <tableColumn id="4484" xr3:uid="{9B2EAB1B-CB54-44C3-91B7-473558996D6B}" uniqueName="4484" name="Column4484" queryTableFieldId="4484"/>
    <tableColumn id="4485" xr3:uid="{6FE60513-965A-4A55-B31A-4058205D6B77}" uniqueName="4485" name="Column4485" queryTableFieldId="4485"/>
    <tableColumn id="4486" xr3:uid="{893943C3-EE13-4342-9FDA-3B90BCE80974}" uniqueName="4486" name="Column4486" queryTableFieldId="4486"/>
    <tableColumn id="4487" xr3:uid="{53F3402C-87DC-4AD4-967D-AAD0FA8FA28B}" uniqueName="4487" name="Column4487" queryTableFieldId="4487"/>
    <tableColumn id="4488" xr3:uid="{6C7BB3DD-6BAE-41D7-AB97-DF69EF076859}" uniqueName="4488" name="Column4488" queryTableFieldId="4488"/>
    <tableColumn id="4489" xr3:uid="{3EF41334-6944-4119-8C35-475A844AD1FA}" uniqueName="4489" name="Column4489" queryTableFieldId="4489"/>
    <tableColumn id="4490" xr3:uid="{886A2A28-DBF8-44DD-9BFB-7F4B0AB9A3DC}" uniqueName="4490" name="Column4490" queryTableFieldId="4490"/>
    <tableColumn id="4491" xr3:uid="{5F4692DC-15AB-4AE7-A8D1-F062D8BF0BB5}" uniqueName="4491" name="Column4491" queryTableFieldId="4491"/>
    <tableColumn id="4492" xr3:uid="{A781DA74-B8B5-417F-9720-3DF9B43D6B98}" uniqueName="4492" name="Column4492" queryTableFieldId="4492"/>
    <tableColumn id="4493" xr3:uid="{A4721DCA-8007-4F7A-AAEE-312D2727EC04}" uniqueName="4493" name="Column4493" queryTableFieldId="4493"/>
    <tableColumn id="4494" xr3:uid="{79D33670-D706-4EB3-B09A-D84B8CDEA5A7}" uniqueName="4494" name="Column4494" queryTableFieldId="4494"/>
    <tableColumn id="4495" xr3:uid="{AA8E6F3D-8FAE-43E5-B9AD-4FDA9DB68709}" uniqueName="4495" name="Column4495" queryTableFieldId="4495"/>
    <tableColumn id="4496" xr3:uid="{CA0E771C-2CED-4736-9845-82A9937EEABC}" uniqueName="4496" name="Column4496" queryTableFieldId="4496"/>
    <tableColumn id="4497" xr3:uid="{40EC19F2-9963-4DF2-B368-C294772B7333}" uniqueName="4497" name="Column4497" queryTableFieldId="4497"/>
    <tableColumn id="4498" xr3:uid="{3FCA5EA5-7E6C-4D6C-A7AC-1E788740BE89}" uniqueName="4498" name="Column4498" queryTableFieldId="4498"/>
    <tableColumn id="4499" xr3:uid="{F1C6D16B-1239-48FA-A7F0-E88E6E456058}" uniqueName="4499" name="Column4499" queryTableFieldId="4499"/>
    <tableColumn id="4500" xr3:uid="{5C702B1A-3B7F-434F-918C-AC5413419B08}" uniqueName="4500" name="Column4500" queryTableFieldId="4500"/>
    <tableColumn id="4501" xr3:uid="{017151ED-EB78-48E0-9085-C9869C90CCA5}" uniqueName="4501" name="Column4501" queryTableFieldId="4501"/>
    <tableColumn id="4502" xr3:uid="{68E6D38A-279E-4250-A018-D884F6E6F02E}" uniqueName="4502" name="Column4502" queryTableFieldId="4502"/>
    <tableColumn id="4503" xr3:uid="{57D7A200-BCBF-4C57-8F66-1C21F6ED1070}" uniqueName="4503" name="Column4503" queryTableFieldId="4503"/>
    <tableColumn id="4504" xr3:uid="{A8DE13A7-90DB-4E90-A164-AF20C5FA9081}" uniqueName="4504" name="Column4504" queryTableFieldId="4504"/>
    <tableColumn id="4505" xr3:uid="{2E8BD064-4D5D-4EC4-A5A4-3A375E43C5BD}" uniqueName="4505" name="Column4505" queryTableFieldId="4505"/>
    <tableColumn id="4506" xr3:uid="{CBFCBC8B-80EB-49C8-9240-4AA4B11D080D}" uniqueName="4506" name="Column4506" queryTableFieldId="4506"/>
    <tableColumn id="4507" xr3:uid="{D4A88DC1-C641-48C2-94DC-D3F745244CBF}" uniqueName="4507" name="Column4507" queryTableFieldId="4507"/>
    <tableColumn id="4508" xr3:uid="{FAB5EA9F-3418-48A2-8DA0-279E0C41B9D7}" uniqueName="4508" name="Column4508" queryTableFieldId="4508"/>
    <tableColumn id="4509" xr3:uid="{0238DA37-7C5C-46BC-9EB1-AE25D07B1348}" uniqueName="4509" name="Column4509" queryTableFieldId="4509"/>
    <tableColumn id="4510" xr3:uid="{99A71C34-C637-400E-A128-0686E62BEAB5}" uniqueName="4510" name="Column4510" queryTableFieldId="4510"/>
    <tableColumn id="4511" xr3:uid="{7EA3AAD2-5A61-4198-94EE-415FE04BA3BF}" uniqueName="4511" name="Column4511" queryTableFieldId="4511"/>
    <tableColumn id="4512" xr3:uid="{17BC8FD9-14AD-488E-9166-F25242841A66}" uniqueName="4512" name="Column4512" queryTableFieldId="4512"/>
    <tableColumn id="4513" xr3:uid="{FC272C00-99F6-4847-B844-8B2935F21509}" uniqueName="4513" name="Column4513" queryTableFieldId="4513"/>
    <tableColumn id="4514" xr3:uid="{A864D405-DEBE-44CC-A04E-118A2C7D824A}" uniqueName="4514" name="Column4514" queryTableFieldId="4514"/>
    <tableColumn id="4515" xr3:uid="{C9F87BC9-2CB3-456B-B9BD-C12010C07334}" uniqueName="4515" name="Column4515" queryTableFieldId="4515"/>
    <tableColumn id="4516" xr3:uid="{C2EAE778-76CF-46B1-A7BF-B27A9803E8B4}" uniqueName="4516" name="Column4516" queryTableFieldId="4516"/>
    <tableColumn id="4517" xr3:uid="{8F63DC41-EE42-4132-8D1A-4E21D6EA5115}" uniqueName="4517" name="Column4517" queryTableFieldId="4517"/>
    <tableColumn id="4518" xr3:uid="{5DF65286-488C-45D8-A0B7-E4B9F51A8831}" uniqueName="4518" name="Column4518" queryTableFieldId="4518"/>
    <tableColumn id="4519" xr3:uid="{1A386220-3162-4B82-929D-156F4B3E672C}" uniqueName="4519" name="Column4519" queryTableFieldId="4519"/>
    <tableColumn id="4520" xr3:uid="{A61BB85C-25FD-4F56-8C2A-0324ED39183D}" uniqueName="4520" name="Column4520" queryTableFieldId="4520"/>
    <tableColumn id="4521" xr3:uid="{82253CCA-C15D-4143-9600-9CDB09B590F2}" uniqueName="4521" name="Column4521" queryTableFieldId="4521"/>
    <tableColumn id="4522" xr3:uid="{F310926A-D91D-4768-815C-441F2925A052}" uniqueName="4522" name="Column4522" queryTableFieldId="4522"/>
    <tableColumn id="4523" xr3:uid="{FA1B7EA7-37AD-4F47-AC67-49D96E0169F1}" uniqueName="4523" name="Column4523" queryTableFieldId="4523"/>
    <tableColumn id="4524" xr3:uid="{8A0E9CF1-2BF8-4328-99A4-F1F5CCE215A3}" uniqueName="4524" name="Column4524" queryTableFieldId="4524"/>
    <tableColumn id="4525" xr3:uid="{06FF87B3-A747-4EA1-8C76-D61C0B062B66}" uniqueName="4525" name="Column4525" queryTableFieldId="4525"/>
    <tableColumn id="4526" xr3:uid="{0BF7A7F9-54C3-4B7A-A954-0ADDA09FD706}" uniqueName="4526" name="Column4526" queryTableFieldId="4526"/>
    <tableColumn id="4527" xr3:uid="{0CAA8C83-0DBA-4760-9FD3-5FB3FB5BAF11}" uniqueName="4527" name="Column4527" queryTableFieldId="4527"/>
    <tableColumn id="4528" xr3:uid="{71E4DADE-3D45-4A3C-801F-503F16744E36}" uniqueName="4528" name="Column4528" queryTableFieldId="4528"/>
    <tableColumn id="4529" xr3:uid="{92C876D6-89F1-404D-B509-46195A71B094}" uniqueName="4529" name="Column4529" queryTableFieldId="4529"/>
    <tableColumn id="4530" xr3:uid="{72B849C7-2A37-41A8-966E-24EDBF99A316}" uniqueName="4530" name="Column4530" queryTableFieldId="4530"/>
    <tableColumn id="4531" xr3:uid="{1849EC08-5A24-4498-A068-E746D164AC03}" uniqueName="4531" name="Column4531" queryTableFieldId="4531"/>
    <tableColumn id="4532" xr3:uid="{FA157ED7-C209-4588-965D-B836546F1383}" uniqueName="4532" name="Column4532" queryTableFieldId="4532"/>
    <tableColumn id="4533" xr3:uid="{C176B271-61A9-47A3-9068-24C376D225C3}" uniqueName="4533" name="Column4533" queryTableFieldId="4533"/>
    <tableColumn id="4534" xr3:uid="{4D8D17E5-1621-41B4-8170-C224B2CBFECC}" uniqueName="4534" name="Column4534" queryTableFieldId="4534"/>
    <tableColumn id="4535" xr3:uid="{D4AA7AE4-A35E-48F6-9CC4-7FA1731BB67D}" uniqueName="4535" name="Column4535" queryTableFieldId="4535"/>
    <tableColumn id="4536" xr3:uid="{161DE05C-0CF8-41F9-A2B9-93B126A958F9}" uniqueName="4536" name="Column4536" queryTableFieldId="4536"/>
    <tableColumn id="4537" xr3:uid="{C2DA0832-1AF1-462D-A3D5-9891A143989D}" uniqueName="4537" name="Column4537" queryTableFieldId="4537"/>
    <tableColumn id="4538" xr3:uid="{CCE5D03B-A042-4E84-916D-CCC1C1F76EE9}" uniqueName="4538" name="Column4538" queryTableFieldId="4538"/>
    <tableColumn id="4539" xr3:uid="{37111D9A-BE7B-47D4-B278-51FB2A6885EA}" uniqueName="4539" name="Column4539" queryTableFieldId="4539"/>
    <tableColumn id="4540" xr3:uid="{1AE9F073-C8F1-4A82-BCB9-EBAA1FADB936}" uniqueName="4540" name="Column4540" queryTableFieldId="4540"/>
    <tableColumn id="4541" xr3:uid="{B1FDC8F9-E0A6-476B-85B3-1CCC0EB989E8}" uniqueName="4541" name="Column4541" queryTableFieldId="4541"/>
    <tableColumn id="4542" xr3:uid="{734A8E06-1CFA-4B9E-B159-2FBABCCA16A9}" uniqueName="4542" name="Column4542" queryTableFieldId="4542"/>
    <tableColumn id="4543" xr3:uid="{AF2E3C40-4C92-47B8-B5DF-D2CE7DEF8090}" uniqueName="4543" name="Column4543" queryTableFieldId="4543"/>
    <tableColumn id="4544" xr3:uid="{25F8E372-E8F3-46C7-AB98-E7B23A04E0D0}" uniqueName="4544" name="Column4544" queryTableFieldId="4544"/>
    <tableColumn id="4545" xr3:uid="{2C098B93-CAA4-4AFE-8856-C70CC8F760CE}" uniqueName="4545" name="Column4545" queryTableFieldId="4545"/>
    <tableColumn id="4546" xr3:uid="{B10F0AE9-F538-452D-B252-BEDB01282B5C}" uniqueName="4546" name="Column4546" queryTableFieldId="4546"/>
    <tableColumn id="4547" xr3:uid="{DA1C918D-5AC7-480D-8E1A-0E3AAB7AA7DA}" uniqueName="4547" name="Column4547" queryTableFieldId="4547"/>
    <tableColumn id="4548" xr3:uid="{BEA31A33-A146-416B-8E61-2F4475551349}" uniqueName="4548" name="Column4548" queryTableFieldId="4548"/>
    <tableColumn id="4549" xr3:uid="{10504009-ED1D-4E6C-B04B-EF5359887F00}" uniqueName="4549" name="Column4549" queryTableFieldId="4549"/>
    <tableColumn id="4550" xr3:uid="{A2FB4E49-2F8A-4FEB-918D-4F844CE58B24}" uniqueName="4550" name="Column4550" queryTableFieldId="4550"/>
    <tableColumn id="4551" xr3:uid="{992ADFAC-5493-4E3B-8D6C-8ADEA4C10A45}" uniqueName="4551" name="Column4551" queryTableFieldId="4551"/>
    <tableColumn id="4552" xr3:uid="{F906204A-8E95-4C85-8501-681A012DD278}" uniqueName="4552" name="Column4552" queryTableFieldId="4552"/>
    <tableColumn id="4553" xr3:uid="{332F205F-3CE2-48FB-AF2D-C04EC8CD21B2}" uniqueName="4553" name="Column4553" queryTableFieldId="4553"/>
    <tableColumn id="4554" xr3:uid="{C1620B6D-EDD7-4447-B52E-434A6BAF8009}" uniqueName="4554" name="Column4554" queryTableFieldId="4554"/>
    <tableColumn id="4555" xr3:uid="{A0582AA4-786A-425C-BBB3-1A1E4338DC98}" uniqueName="4555" name="Column4555" queryTableFieldId="4555"/>
    <tableColumn id="4556" xr3:uid="{22FA4A2E-C80D-47D4-A592-78C035C597B4}" uniqueName="4556" name="Column4556" queryTableFieldId="4556"/>
    <tableColumn id="4557" xr3:uid="{87FAC8DC-F154-4257-9EF7-ABD6A03EC43C}" uniqueName="4557" name="Column4557" queryTableFieldId="4557"/>
    <tableColumn id="4558" xr3:uid="{B99974BB-3405-4720-9FFF-B4DE627A3328}" uniqueName="4558" name="Column4558" queryTableFieldId="4558"/>
    <tableColumn id="4559" xr3:uid="{07D87573-9171-4F62-9EE1-2E677EDFBCEA}" uniqueName="4559" name="Column4559" queryTableFieldId="4559"/>
    <tableColumn id="4560" xr3:uid="{68056437-5F66-4BEB-85FE-AF1E2D5FF76D}" uniqueName="4560" name="Column4560" queryTableFieldId="4560"/>
    <tableColumn id="4561" xr3:uid="{93FC7C59-11D9-4026-811C-13A5CD44414E}" uniqueName="4561" name="Column4561" queryTableFieldId="4561"/>
    <tableColumn id="4562" xr3:uid="{1C46FA4E-8984-4DE3-A60A-3FEA81F0CFB7}" uniqueName="4562" name="Column4562" queryTableFieldId="4562"/>
    <tableColumn id="4563" xr3:uid="{68F1A565-51F9-48FC-BB33-58AFF4F5DBB5}" uniqueName="4563" name="Column4563" queryTableFieldId="4563"/>
    <tableColumn id="4564" xr3:uid="{9A96B344-8704-415F-A7C9-C1B58334EA52}" uniqueName="4564" name="Column4564" queryTableFieldId="4564"/>
    <tableColumn id="4565" xr3:uid="{7DC0E021-DE88-4E08-A8A9-AB33A55BE73E}" uniqueName="4565" name="Column4565" queryTableFieldId="4565"/>
    <tableColumn id="4566" xr3:uid="{1A64012E-8107-4BEF-A61D-741EC4B92754}" uniqueName="4566" name="Column4566" queryTableFieldId="4566"/>
    <tableColumn id="4567" xr3:uid="{F6D595FD-8014-4133-BB21-46002F0458CE}" uniqueName="4567" name="Column4567" queryTableFieldId="4567"/>
    <tableColumn id="4568" xr3:uid="{14560F1B-81F9-4418-89F8-8A166D15DA16}" uniqueName="4568" name="Column4568" queryTableFieldId="4568"/>
    <tableColumn id="4569" xr3:uid="{F08BDF8F-99B0-4BCC-A9CF-15134E6D3D2D}" uniqueName="4569" name="Column4569" queryTableFieldId="4569"/>
    <tableColumn id="4570" xr3:uid="{8FD16140-32DD-495B-A377-AE10F4D1D1E2}" uniqueName="4570" name="Column4570" queryTableFieldId="4570"/>
    <tableColumn id="4571" xr3:uid="{6F9CC03D-B66D-4638-BC2F-76A20D2D602B}" uniqueName="4571" name="Column4571" queryTableFieldId="4571"/>
    <tableColumn id="4572" xr3:uid="{562C7066-5F4B-4A21-84BA-82562656CAF8}" uniqueName="4572" name="Column4572" queryTableFieldId="4572"/>
    <tableColumn id="4573" xr3:uid="{097524D8-A04A-43ED-BA2B-526996B27810}" uniqueName="4573" name="Column4573" queryTableFieldId="4573"/>
    <tableColumn id="4574" xr3:uid="{5DD50DBC-F4DB-4CC1-87BA-4EAF082128FB}" uniqueName="4574" name="Column4574" queryTableFieldId="4574"/>
    <tableColumn id="4575" xr3:uid="{4E29201C-014A-47A9-B0DA-8AF0DB06FAB2}" uniqueName="4575" name="Column4575" queryTableFieldId="4575"/>
    <tableColumn id="4576" xr3:uid="{C29AD3D3-64A4-41A4-BC75-6B122DE4B809}" uniqueName="4576" name="Column4576" queryTableFieldId="4576"/>
    <tableColumn id="4577" xr3:uid="{57ACA3C4-0000-4A84-A869-BF70A5E1AAAB}" uniqueName="4577" name="Column4577" queryTableFieldId="4577"/>
    <tableColumn id="4578" xr3:uid="{19C4AB9C-F494-4B14-949D-12D3FEAE7E9A}" uniqueName="4578" name="Column4578" queryTableFieldId="4578"/>
    <tableColumn id="4579" xr3:uid="{909D1170-7CD2-4619-AFB0-D5A4DB12B02A}" uniqueName="4579" name="Column4579" queryTableFieldId="4579"/>
    <tableColumn id="4580" xr3:uid="{391212C1-48FD-4796-8305-ECFFA2B11BE2}" uniqueName="4580" name="Column4580" queryTableFieldId="4580"/>
    <tableColumn id="4581" xr3:uid="{D4F62750-948F-4998-A6B6-1A796050074F}" uniqueName="4581" name="Column4581" queryTableFieldId="4581"/>
    <tableColumn id="4582" xr3:uid="{4DD54763-EEDE-4B61-91F3-65D883453649}" uniqueName="4582" name="Column4582" queryTableFieldId="4582"/>
    <tableColumn id="4583" xr3:uid="{382634E5-B37B-4829-A30A-963B2442A9F3}" uniqueName="4583" name="Column4583" queryTableFieldId="4583"/>
    <tableColumn id="4584" xr3:uid="{229A4BD9-CB07-426C-8B3F-2F406551281B}" uniqueName="4584" name="Column4584" queryTableFieldId="4584"/>
    <tableColumn id="4585" xr3:uid="{4F4BD217-5194-4278-9591-C65202E73FD5}" uniqueName="4585" name="Column4585" queryTableFieldId="4585"/>
    <tableColumn id="4586" xr3:uid="{CDD8AB2D-CDCE-4A64-8164-55E6E48770FC}" uniqueName="4586" name="Column4586" queryTableFieldId="4586"/>
    <tableColumn id="4587" xr3:uid="{FF1C3218-2439-4A0E-A4D8-3E7D4AB6B597}" uniqueName="4587" name="Column4587" queryTableFieldId="4587"/>
    <tableColumn id="4588" xr3:uid="{2C9B4B55-C135-43A9-9A39-537C50BD2257}" uniqueName="4588" name="Column4588" queryTableFieldId="4588"/>
    <tableColumn id="4589" xr3:uid="{A3C7E32E-9AEA-48A7-A72A-340BE9CF7C26}" uniqueName="4589" name="Column4589" queryTableFieldId="4589"/>
    <tableColumn id="4590" xr3:uid="{CC927138-0124-43F9-98C4-641C266F208D}" uniqueName="4590" name="Column4590" queryTableFieldId="4590"/>
    <tableColumn id="4591" xr3:uid="{5EE407F6-618B-4C94-9B19-2DB20D16F46C}" uniqueName="4591" name="Column4591" queryTableFieldId="4591"/>
    <tableColumn id="4592" xr3:uid="{9DB1BF45-F642-421B-9010-8628782FA30E}" uniqueName="4592" name="Column4592" queryTableFieldId="4592"/>
    <tableColumn id="4593" xr3:uid="{28B6EFDC-EDDB-4034-9B36-692FBA782E9E}" uniqueName="4593" name="Column4593" queryTableFieldId="4593"/>
    <tableColumn id="4594" xr3:uid="{56C1A155-2297-4ACB-B31C-5058740EE401}" uniqueName="4594" name="Column4594" queryTableFieldId="4594"/>
    <tableColumn id="4595" xr3:uid="{86BA658A-7157-48A9-A623-D5B55DAC169B}" uniqueName="4595" name="Column4595" queryTableFieldId="4595"/>
    <tableColumn id="4596" xr3:uid="{0B910F61-C118-4E11-ADB2-F92CA772736A}" uniqueName="4596" name="Column4596" queryTableFieldId="4596"/>
    <tableColumn id="4597" xr3:uid="{90CAE1B4-11DE-44DB-B37F-72DD41D92588}" uniqueName="4597" name="Column4597" queryTableFieldId="4597"/>
    <tableColumn id="4598" xr3:uid="{4E10A3FB-F808-49B7-98CB-A9DA5C27DAA2}" uniqueName="4598" name="Column4598" queryTableFieldId="4598"/>
    <tableColumn id="4599" xr3:uid="{4BD1B966-7088-4B29-ABBC-9548F7253048}" uniqueName="4599" name="Column4599" queryTableFieldId="4599"/>
    <tableColumn id="4600" xr3:uid="{09A17259-406C-4733-8A21-2EC55B58787D}" uniqueName="4600" name="Column4600" queryTableFieldId="4600"/>
    <tableColumn id="4601" xr3:uid="{7CBBB7FD-7FDE-4600-AD2E-BF8029FBE597}" uniqueName="4601" name="Column4601" queryTableFieldId="4601"/>
    <tableColumn id="4602" xr3:uid="{6D153009-ED76-4A46-AAED-8F3E4C9C32D4}" uniqueName="4602" name="Column4602" queryTableFieldId="4602"/>
    <tableColumn id="4603" xr3:uid="{5043A5E6-11B9-4A7D-8871-E0CA01C71BFA}" uniqueName="4603" name="Column4603" queryTableFieldId="4603"/>
    <tableColumn id="4604" xr3:uid="{497902CE-C5FE-4070-A9EA-D431A3904DB4}" uniqueName="4604" name="Column4604" queryTableFieldId="4604"/>
    <tableColumn id="4605" xr3:uid="{DCEB07FF-BEA7-47DB-B7F2-F653BD8F6A4E}" uniqueName="4605" name="Column4605" queryTableFieldId="4605"/>
    <tableColumn id="4606" xr3:uid="{CF2EF2D3-F39D-4169-BA57-E7499D48E572}" uniqueName="4606" name="Column4606" queryTableFieldId="4606"/>
    <tableColumn id="4607" xr3:uid="{BA47304C-1B45-4BA1-8466-7B4B06DA1A6B}" uniqueName="4607" name="Column4607" queryTableFieldId="4607"/>
    <tableColumn id="4608" xr3:uid="{BF00E8A4-C51C-4FD8-AEBE-CCBA08E9EFEC}" uniqueName="4608" name="Column4608" queryTableFieldId="4608"/>
    <tableColumn id="4609" xr3:uid="{21385ECD-6478-4454-80A5-26007D48B572}" uniqueName="4609" name="Column4609" queryTableFieldId="4609"/>
    <tableColumn id="4610" xr3:uid="{58F3F3D7-374F-4EBB-8427-A85E1D0AA9E3}" uniqueName="4610" name="Column4610" queryTableFieldId="4610"/>
    <tableColumn id="4611" xr3:uid="{9CB9C933-59C5-4D38-8DFC-4BAC61B68697}" uniqueName="4611" name="Column4611" queryTableFieldId="4611"/>
    <tableColumn id="4612" xr3:uid="{28CC5AB7-77FE-4E06-9D81-496BE3D0F2DE}" uniqueName="4612" name="Column4612" queryTableFieldId="4612"/>
    <tableColumn id="4613" xr3:uid="{D7FA6413-997A-453A-ADBB-FED3A5D4B483}" uniqueName="4613" name="Column4613" queryTableFieldId="4613"/>
    <tableColumn id="4614" xr3:uid="{F5F225B2-3673-43AA-838E-2438825B2531}" uniqueName="4614" name="Column4614" queryTableFieldId="4614"/>
    <tableColumn id="4615" xr3:uid="{EB4B1E54-4CE6-4048-BE41-AE2FD1A498FD}" uniqueName="4615" name="Column4615" queryTableFieldId="4615"/>
    <tableColumn id="4616" xr3:uid="{8B0046A7-0C04-430A-BD96-3DFA343EEE77}" uniqueName="4616" name="Column4616" queryTableFieldId="4616"/>
    <tableColumn id="4617" xr3:uid="{03B2C26C-4711-4411-8F4F-4CAD77DA3E00}" uniqueName="4617" name="Column4617" queryTableFieldId="4617"/>
    <tableColumn id="4618" xr3:uid="{6893FF4A-23E8-4F93-B3C7-A0CCDAADD2A0}" uniqueName="4618" name="Column4618" queryTableFieldId="4618"/>
    <tableColumn id="4619" xr3:uid="{5BE5C6D1-E364-420E-A60A-42CBEC322E08}" uniqueName="4619" name="Column4619" queryTableFieldId="4619"/>
    <tableColumn id="4620" xr3:uid="{1A97F157-1D01-4E2F-B471-C72D9EF0CFF6}" uniqueName="4620" name="Column4620" queryTableFieldId="4620"/>
    <tableColumn id="4621" xr3:uid="{A635A84C-5D0E-4B1F-9A7B-F4A859678F93}" uniqueName="4621" name="Column4621" queryTableFieldId="4621"/>
    <tableColumn id="4622" xr3:uid="{4D135664-D6A5-498D-A77E-16611749200A}" uniqueName="4622" name="Column4622" queryTableFieldId="4622"/>
    <tableColumn id="4623" xr3:uid="{74DBE9AD-7BEC-4192-99A3-6C9CF8CBFF1A}" uniqueName="4623" name="Column4623" queryTableFieldId="4623"/>
    <tableColumn id="4624" xr3:uid="{4F01BC13-6B8F-4E50-9954-862C022AC46B}" uniqueName="4624" name="Column4624" queryTableFieldId="4624"/>
    <tableColumn id="4625" xr3:uid="{B58E0385-52CA-421C-B29A-E748CCD8EB4F}" uniqueName="4625" name="Column4625" queryTableFieldId="4625"/>
    <tableColumn id="4626" xr3:uid="{A86F3216-8769-428E-BD23-0836F5BB5CF5}" uniqueName="4626" name="Column4626" queryTableFieldId="4626"/>
    <tableColumn id="4627" xr3:uid="{F015D14F-F8B6-407D-BA65-C793684C6788}" uniqueName="4627" name="Column4627" queryTableFieldId="4627"/>
    <tableColumn id="4628" xr3:uid="{35705F5B-DFD4-406A-BB6B-0265737E05A4}" uniqueName="4628" name="Column4628" queryTableFieldId="4628"/>
    <tableColumn id="4629" xr3:uid="{359DBBF4-AC1D-4829-A877-09BC05C599FB}" uniqueName="4629" name="Column4629" queryTableFieldId="4629"/>
    <tableColumn id="4630" xr3:uid="{F3E6033F-8C0E-4613-84BA-EDF11E762704}" uniqueName="4630" name="Column4630" queryTableFieldId="4630"/>
    <tableColumn id="4631" xr3:uid="{FF60130D-D2E0-4FA8-9105-50BB431995CD}" uniqueName="4631" name="Column4631" queryTableFieldId="4631"/>
    <tableColumn id="4632" xr3:uid="{0A94DEC4-3139-49EB-B890-D1D3B5402107}" uniqueName="4632" name="Column4632" queryTableFieldId="4632"/>
    <tableColumn id="4633" xr3:uid="{4AA4CB3B-F0DD-429D-94A2-844A821BA392}" uniqueName="4633" name="Column4633" queryTableFieldId="4633"/>
    <tableColumn id="4634" xr3:uid="{F34276D2-3036-4073-BD2F-F302051B3103}" uniqueName="4634" name="Column4634" queryTableFieldId="4634"/>
    <tableColumn id="4635" xr3:uid="{53A0BA94-3F4D-41E4-9D36-94102CC0B090}" uniqueName="4635" name="Column4635" queryTableFieldId="4635"/>
    <tableColumn id="4636" xr3:uid="{1A348A40-5D25-4C13-86F1-0A953DBA8E58}" uniqueName="4636" name="Column4636" queryTableFieldId="4636"/>
    <tableColumn id="4637" xr3:uid="{38C53324-44D3-4712-82BB-B384C841BE01}" uniqueName="4637" name="Column4637" queryTableFieldId="4637"/>
    <tableColumn id="4638" xr3:uid="{50BBFD19-3B24-4B46-83CB-01595D389017}" uniqueName="4638" name="Column4638" queryTableFieldId="4638"/>
    <tableColumn id="4639" xr3:uid="{E13DB8CE-2A0D-4440-8CD2-9909619C0911}" uniqueName="4639" name="Column4639" queryTableFieldId="4639"/>
    <tableColumn id="4640" xr3:uid="{C38F1B7F-6EF8-4BB4-AF11-74B2670EF6C3}" uniqueName="4640" name="Column4640" queryTableFieldId="4640"/>
    <tableColumn id="4641" xr3:uid="{F95951BF-C3D7-45A4-AE63-EFF5A31B2045}" uniqueName="4641" name="Column4641" queryTableFieldId="4641"/>
    <tableColumn id="4642" xr3:uid="{5FF95889-0BF4-4EA4-BF1A-3B8BF95AACCF}" uniqueName="4642" name="Column4642" queryTableFieldId="4642"/>
    <tableColumn id="4643" xr3:uid="{24EA78BC-12FA-4760-AB88-EB63B3DD3FCC}" uniqueName="4643" name="Column4643" queryTableFieldId="4643"/>
    <tableColumn id="4644" xr3:uid="{2C91FB78-E8D7-4461-BA8A-A51B617D2B03}" uniqueName="4644" name="Column4644" queryTableFieldId="4644"/>
    <tableColumn id="4645" xr3:uid="{325FEE7F-497B-41BC-A2A9-4D765F20A865}" uniqueName="4645" name="Column4645" queryTableFieldId="4645"/>
    <tableColumn id="4646" xr3:uid="{8B1DC183-8CE5-41C4-A990-E9F879E0F10B}" uniqueName="4646" name="Column4646" queryTableFieldId="4646"/>
    <tableColumn id="4647" xr3:uid="{CEA806F1-7301-44E9-AD6B-F8A1C2E6F971}" uniqueName="4647" name="Column4647" queryTableFieldId="4647"/>
    <tableColumn id="4648" xr3:uid="{E0B06FEC-16A8-48CF-AA00-13BD910B0F57}" uniqueName="4648" name="Column4648" queryTableFieldId="4648"/>
    <tableColumn id="4649" xr3:uid="{174CA299-37B5-4501-A3FB-6C24756C9DC0}" uniqueName="4649" name="Column4649" queryTableFieldId="4649"/>
    <tableColumn id="4650" xr3:uid="{4847A390-CBB8-45E4-95E7-F817CF7ED416}" uniqueName="4650" name="Column4650" queryTableFieldId="4650"/>
    <tableColumn id="4651" xr3:uid="{5A1D1E6A-67A7-4503-A98A-04EB4D1FD9B4}" uniqueName="4651" name="Column4651" queryTableFieldId="4651"/>
    <tableColumn id="4652" xr3:uid="{38E787AB-EF89-4112-9BF3-7F09E3CCF896}" uniqueName="4652" name="Column4652" queryTableFieldId="4652"/>
    <tableColumn id="4653" xr3:uid="{4741FE11-3C03-4059-8D70-BD464F364ABA}" uniqueName="4653" name="Column4653" queryTableFieldId="4653"/>
    <tableColumn id="4654" xr3:uid="{B7A790BC-CE5A-452C-A23D-15724BC9D56C}" uniqueName="4654" name="Column4654" queryTableFieldId="4654"/>
    <tableColumn id="4655" xr3:uid="{CC770CFA-1FC1-440A-982D-B2F58A459AB7}" uniqueName="4655" name="Column4655" queryTableFieldId="4655"/>
    <tableColumn id="4656" xr3:uid="{3B59F16F-22E5-48F0-91B1-5173AACB7EFB}" uniqueName="4656" name="Column4656" queryTableFieldId="4656"/>
    <tableColumn id="4657" xr3:uid="{D593D92E-A0AE-4473-93E1-328714D8F4BA}" uniqueName="4657" name="Column4657" queryTableFieldId="4657"/>
    <tableColumn id="4658" xr3:uid="{2F9ACD69-9A2F-44F9-AE1C-E271D16489B1}" uniqueName="4658" name="Column4658" queryTableFieldId="4658"/>
    <tableColumn id="4659" xr3:uid="{3DECBAA3-E02A-4BED-844A-0460BD64EE5A}" uniqueName="4659" name="Column4659" queryTableFieldId="4659"/>
    <tableColumn id="4660" xr3:uid="{1A82CC15-48E3-4501-9AE8-6169C6DD8234}" uniqueName="4660" name="Column4660" queryTableFieldId="4660"/>
    <tableColumn id="4661" xr3:uid="{4ADF6BCA-1AE6-4CAB-8F55-6248CDED284F}" uniqueName="4661" name="Column4661" queryTableFieldId="4661"/>
    <tableColumn id="4662" xr3:uid="{5FD7D3B3-F52A-4D20-A7AC-8154B99DF0A0}" uniqueName="4662" name="Column4662" queryTableFieldId="4662"/>
    <tableColumn id="4663" xr3:uid="{F6BB8EF7-CD59-4242-BC55-4A7627E73415}" uniqueName="4663" name="Column4663" queryTableFieldId="4663"/>
    <tableColumn id="4664" xr3:uid="{AE8F0343-0FA2-4AE6-A3A9-96787AF1326D}" uniqueName="4664" name="Column4664" queryTableFieldId="4664"/>
    <tableColumn id="4665" xr3:uid="{E9B57C7B-7F19-4685-A8F7-169492382494}" uniqueName="4665" name="Column4665" queryTableFieldId="4665"/>
    <tableColumn id="4666" xr3:uid="{ACEF8ABC-963B-4DA2-82E9-F6C6F49C4A23}" uniqueName="4666" name="Column4666" queryTableFieldId="4666"/>
    <tableColumn id="4667" xr3:uid="{98C866F8-0535-4936-904A-6A7CD364F7DB}" uniqueName="4667" name="Column4667" queryTableFieldId="4667"/>
    <tableColumn id="4668" xr3:uid="{06B4FE56-AF62-42D8-BE2D-50D0F7FD940F}" uniqueName="4668" name="Column4668" queryTableFieldId="4668"/>
    <tableColumn id="4669" xr3:uid="{AF2223F5-C502-4104-B91D-BFC98722B79F}" uniqueName="4669" name="Column4669" queryTableFieldId="4669"/>
    <tableColumn id="4670" xr3:uid="{92D011B3-A9EF-4201-AC3F-34906F3F3A4D}" uniqueName="4670" name="Column4670" queryTableFieldId="4670"/>
    <tableColumn id="4671" xr3:uid="{7CB5546A-23C1-4952-9660-D62F88FEC859}" uniqueName="4671" name="Column4671" queryTableFieldId="4671"/>
    <tableColumn id="4672" xr3:uid="{260CEE91-081E-4DE3-B960-BE36AD8D7D7F}" uniqueName="4672" name="Column4672" queryTableFieldId="4672"/>
    <tableColumn id="4673" xr3:uid="{82CC4010-4A9A-41A2-BC5C-26C059D8D748}" uniqueName="4673" name="Column4673" queryTableFieldId="4673"/>
    <tableColumn id="4674" xr3:uid="{25827C8E-DCD0-485E-9E40-58872C3B2EE9}" uniqueName="4674" name="Column4674" queryTableFieldId="4674"/>
    <tableColumn id="4675" xr3:uid="{720F46A6-55DD-4B63-B390-909609D1AA07}" uniqueName="4675" name="Column4675" queryTableFieldId="4675"/>
    <tableColumn id="4676" xr3:uid="{99305CC9-943C-408B-9D1A-7E8A8DF01721}" uniqueName="4676" name="Column4676" queryTableFieldId="4676"/>
    <tableColumn id="4677" xr3:uid="{9206AE69-2E78-47D2-A928-0FD58686BF22}" uniqueName="4677" name="Column4677" queryTableFieldId="4677"/>
    <tableColumn id="4678" xr3:uid="{A75CB2EF-1B3E-4D32-842C-07E4F82E70E7}" uniqueName="4678" name="Column4678" queryTableFieldId="4678"/>
    <tableColumn id="4679" xr3:uid="{710D3C97-05B3-486F-A63D-E648E0F3573C}" uniqueName="4679" name="Column4679" queryTableFieldId="4679"/>
    <tableColumn id="4680" xr3:uid="{DE6BBFFB-CC53-4D28-ABC1-11B2F09539F7}" uniqueName="4680" name="Column4680" queryTableFieldId="4680"/>
    <tableColumn id="4681" xr3:uid="{71EE54E2-50EB-488E-BD5A-6DCDBD6DB146}" uniqueName="4681" name="Column4681" queryTableFieldId="4681"/>
    <tableColumn id="4682" xr3:uid="{BAB9972D-92BD-42AF-BDA8-532FFF7E8BFE}" uniqueName="4682" name="Column4682" queryTableFieldId="4682"/>
    <tableColumn id="4683" xr3:uid="{8DC98F28-3F7E-46CA-90D1-9F147CAF249A}" uniqueName="4683" name="Column4683" queryTableFieldId="4683"/>
    <tableColumn id="4684" xr3:uid="{5975F125-9EAE-4798-8311-ADDECA70B318}" uniqueName="4684" name="Column4684" queryTableFieldId="4684"/>
    <tableColumn id="4685" xr3:uid="{B72176FC-0E3F-4CFD-87ED-AB2B812B5341}" uniqueName="4685" name="Column4685" queryTableFieldId="4685"/>
    <tableColumn id="4686" xr3:uid="{1309B072-B63C-431E-9B97-5F90F2B3D439}" uniqueName="4686" name="Column4686" queryTableFieldId="4686"/>
    <tableColumn id="4687" xr3:uid="{561AC969-8953-4F7D-9F7A-64987227BE84}" uniqueName="4687" name="Column4687" queryTableFieldId="4687"/>
    <tableColumn id="4688" xr3:uid="{670675AC-D7BD-49F8-9249-A8627ECFF550}" uniqueName="4688" name="Column4688" queryTableFieldId="4688"/>
    <tableColumn id="4689" xr3:uid="{F908C95B-E46A-4CE1-9102-B47C705A0C6E}" uniqueName="4689" name="Column4689" queryTableFieldId="4689"/>
    <tableColumn id="4690" xr3:uid="{71C65363-7729-4923-B7D5-11DD28A6FE7C}" uniqueName="4690" name="Column4690" queryTableFieldId="4690"/>
    <tableColumn id="4691" xr3:uid="{D81C6E57-6A54-41D9-814D-D2B18A2694FE}" uniqueName="4691" name="Column4691" queryTableFieldId="4691"/>
    <tableColumn id="4692" xr3:uid="{B9EADD41-0AE8-4849-9172-F649F625B2FB}" uniqueName="4692" name="Column4692" queryTableFieldId="4692"/>
    <tableColumn id="4693" xr3:uid="{FC03EE51-5CB9-4342-8F5B-F4E6E16D6D91}" uniqueName="4693" name="Column4693" queryTableFieldId="4693"/>
    <tableColumn id="4694" xr3:uid="{5F9D2A17-17A5-44C6-AF77-42C72E612278}" uniqueName="4694" name="Column4694" queryTableFieldId="4694"/>
    <tableColumn id="4695" xr3:uid="{FD2A3F92-58E9-4980-8F0F-CDF89DE8B044}" uniqueName="4695" name="Column4695" queryTableFieldId="4695"/>
    <tableColumn id="4696" xr3:uid="{5ECD26ED-1616-4EDD-AD60-CED37ECEFF33}" uniqueName="4696" name="Column4696" queryTableFieldId="4696"/>
    <tableColumn id="4697" xr3:uid="{E96EEFE8-CC24-4762-99D3-7E673A0D332D}" uniqueName="4697" name="Column4697" queryTableFieldId="4697"/>
    <tableColumn id="4698" xr3:uid="{F1B32197-46B0-46A3-A471-371FBB8C7F35}" uniqueName="4698" name="Column4698" queryTableFieldId="4698"/>
    <tableColumn id="4699" xr3:uid="{459CF3A0-D131-4F12-B3CE-BF27E267EAA9}" uniqueName="4699" name="Column4699" queryTableFieldId="4699"/>
    <tableColumn id="4700" xr3:uid="{D69DFE6E-79BC-47F0-BE6F-904D3B270E2D}" uniqueName="4700" name="Column4700" queryTableFieldId="4700"/>
    <tableColumn id="4701" xr3:uid="{94E660C9-2DB3-4743-A83F-4F4DFC428D9E}" uniqueName="4701" name="Column4701" queryTableFieldId="4701"/>
    <tableColumn id="4702" xr3:uid="{7122BB06-EA49-4B39-A454-42DAE37A5284}" uniqueName="4702" name="Column4702" queryTableFieldId="4702"/>
    <tableColumn id="4703" xr3:uid="{8696B64F-CB31-43C6-92AC-862CE43B0161}" uniqueName="4703" name="Column4703" queryTableFieldId="4703"/>
    <tableColumn id="4704" xr3:uid="{1EB203DE-6182-4CD3-9448-19D6E8220E02}" uniqueName="4704" name="Column4704" queryTableFieldId="4704"/>
    <tableColumn id="4705" xr3:uid="{27985A5F-1056-4083-BFBC-9CCA18C8922D}" uniqueName="4705" name="Column4705" queryTableFieldId="4705"/>
    <tableColumn id="4706" xr3:uid="{6CE10ADC-1C24-4DC4-A4C9-5127D8748F43}" uniqueName="4706" name="Column4706" queryTableFieldId="4706"/>
    <tableColumn id="4707" xr3:uid="{6532E64C-A02D-4713-925F-205B78742344}" uniqueName="4707" name="Column4707" queryTableFieldId="4707"/>
    <tableColumn id="4708" xr3:uid="{9608627D-BFB9-4887-9234-795A600355CA}" uniqueName="4708" name="Column4708" queryTableFieldId="4708"/>
    <tableColumn id="4709" xr3:uid="{E95A8254-B944-498A-B470-892B1A479EE7}" uniqueName="4709" name="Column4709" queryTableFieldId="4709"/>
    <tableColumn id="4710" xr3:uid="{6A391F8A-9408-45C7-9646-FCF6CA685C2B}" uniqueName="4710" name="Column4710" queryTableFieldId="4710"/>
    <tableColumn id="4711" xr3:uid="{3B42A3CD-2A74-420E-9E17-B784050F03B9}" uniqueName="4711" name="Column4711" queryTableFieldId="4711"/>
    <tableColumn id="4712" xr3:uid="{3BB9D84F-5650-478B-A33D-6F94B8126999}" uniqueName="4712" name="Column4712" queryTableFieldId="4712"/>
    <tableColumn id="4713" xr3:uid="{42A0C637-87FD-47C2-B79C-C2C0D6AC6579}" uniqueName="4713" name="Column4713" queryTableFieldId="4713"/>
    <tableColumn id="4714" xr3:uid="{9F15901F-281D-43B5-8F5A-0FC16A7448F8}" uniqueName="4714" name="Column4714" queryTableFieldId="4714"/>
    <tableColumn id="4715" xr3:uid="{907AFBBF-11AB-45C3-B84A-9CCAC09F9911}" uniqueName="4715" name="Column4715" queryTableFieldId="4715"/>
    <tableColumn id="4716" xr3:uid="{F82CEF1D-D36A-43B9-BDD2-4E5D708A77F9}" uniqueName="4716" name="Column4716" queryTableFieldId="4716"/>
    <tableColumn id="4717" xr3:uid="{7BE8DEA3-640F-42A4-A535-E154F262FD3E}" uniqueName="4717" name="Column4717" queryTableFieldId="4717"/>
    <tableColumn id="4718" xr3:uid="{ECA3308C-1C89-4D41-A98F-01E2091C2965}" uniqueName="4718" name="Column4718" queryTableFieldId="4718"/>
    <tableColumn id="4719" xr3:uid="{50777EF0-4522-4C62-8424-DF2F3B6C7C75}" uniqueName="4719" name="Column4719" queryTableFieldId="4719"/>
    <tableColumn id="4720" xr3:uid="{54EADE3B-37F4-41C6-B8E3-9FDCB07A512C}" uniqueName="4720" name="Column4720" queryTableFieldId="4720"/>
    <tableColumn id="4721" xr3:uid="{4EAD9566-94AD-458F-862E-7CBD3307EE17}" uniqueName="4721" name="Column4721" queryTableFieldId="4721"/>
    <tableColumn id="4722" xr3:uid="{0FA90D23-A184-47D7-AB83-96BA7957EBF4}" uniqueName="4722" name="Column4722" queryTableFieldId="4722"/>
    <tableColumn id="4723" xr3:uid="{515D51B6-5E7B-4EB2-A065-ED5C1BB566F4}" uniqueName="4723" name="Column4723" queryTableFieldId="4723"/>
    <tableColumn id="4724" xr3:uid="{88978317-834A-4786-ABD5-4C0E4359BC06}" uniqueName="4724" name="Column4724" queryTableFieldId="4724"/>
    <tableColumn id="4725" xr3:uid="{F747E583-2F7A-4264-B19F-39DB6792D4F2}" uniqueName="4725" name="Column4725" queryTableFieldId="4725"/>
    <tableColumn id="4726" xr3:uid="{DBB5ABE3-5396-4F80-9972-C7BFB93C9319}" uniqueName="4726" name="Column4726" queryTableFieldId="4726"/>
    <tableColumn id="4727" xr3:uid="{DFC3070B-AD7F-472B-AB97-74207014E422}" uniqueName="4727" name="Column4727" queryTableFieldId="4727"/>
    <tableColumn id="4728" xr3:uid="{1D09D425-7BB2-4C5F-802B-D8A5BFDCE2B0}" uniqueName="4728" name="Column4728" queryTableFieldId="4728"/>
    <tableColumn id="4729" xr3:uid="{6466A43E-F425-4BA1-994C-DA68AADCA59E}" uniqueName="4729" name="Column4729" queryTableFieldId="4729"/>
    <tableColumn id="4730" xr3:uid="{81B52990-F921-4120-AF8A-31B53CD3F1B4}" uniqueName="4730" name="Column4730" queryTableFieldId="4730"/>
    <tableColumn id="4731" xr3:uid="{00D65975-C051-409F-8D43-EC5F78BC9AA5}" uniqueName="4731" name="Column4731" queryTableFieldId="4731"/>
    <tableColumn id="4732" xr3:uid="{28B1573E-221E-4075-8227-99FA0D41764E}" uniqueName="4732" name="Column4732" queryTableFieldId="4732"/>
    <tableColumn id="4733" xr3:uid="{28D48605-0E1B-4FA7-A518-BC35E239C4BF}" uniqueName="4733" name="Column4733" queryTableFieldId="4733"/>
    <tableColumn id="4734" xr3:uid="{C1F8122C-7178-4955-BACD-67F9D6FB5E96}" uniqueName="4734" name="Column4734" queryTableFieldId="4734"/>
    <tableColumn id="4735" xr3:uid="{08A41473-5957-4AB8-A3D8-9D5C1C9A7C42}" uniqueName="4735" name="Column4735" queryTableFieldId="4735"/>
    <tableColumn id="4736" xr3:uid="{4F453C2A-1D94-4F57-BEA1-9B371EA524FB}" uniqueName="4736" name="Column4736" queryTableFieldId="4736"/>
    <tableColumn id="4737" xr3:uid="{A3069AB7-A7D4-4FB6-89D6-57B7F67C4951}" uniqueName="4737" name="Column4737" queryTableFieldId="4737"/>
    <tableColumn id="4738" xr3:uid="{4EFC7E60-7FB8-4603-9394-27E5935E77A9}" uniqueName="4738" name="Column4738" queryTableFieldId="4738"/>
    <tableColumn id="4739" xr3:uid="{C3589931-EC6A-4BB0-82F6-E72296094B49}" uniqueName="4739" name="Column4739" queryTableFieldId="4739"/>
    <tableColumn id="4740" xr3:uid="{9A74C9AB-58D8-4B3A-9C10-39660D3EC4FB}" uniqueName="4740" name="Column4740" queryTableFieldId="4740"/>
    <tableColumn id="4741" xr3:uid="{07DB7D5E-F35B-414D-A3CC-AF2905504444}" uniqueName="4741" name="Column4741" queryTableFieldId="4741"/>
    <tableColumn id="4742" xr3:uid="{0C91324C-ED26-45CC-8BC4-EF1400B328B0}" uniqueName="4742" name="Column4742" queryTableFieldId="4742"/>
    <tableColumn id="4743" xr3:uid="{A218E7C1-6A0D-4BB0-9CAD-FD95FB723EE7}" uniqueName="4743" name="Column4743" queryTableFieldId="4743"/>
    <tableColumn id="4744" xr3:uid="{6F2DF4C7-AFB7-4D31-BF4F-3B03DE249709}" uniqueName="4744" name="Column4744" queryTableFieldId="4744"/>
    <tableColumn id="4745" xr3:uid="{0FF0E46D-40E1-41A4-866F-5B3C57FC9DF2}" uniqueName="4745" name="Column4745" queryTableFieldId="4745"/>
    <tableColumn id="4746" xr3:uid="{E5B1926C-A148-4A88-8058-FE9ADEFB0CAF}" uniqueName="4746" name="Column4746" queryTableFieldId="4746"/>
    <tableColumn id="4747" xr3:uid="{D534B1C2-D698-4EB5-BD65-0ABCF11A3EE8}" uniqueName="4747" name="Column4747" queryTableFieldId="4747"/>
    <tableColumn id="4748" xr3:uid="{4CDE3E53-1527-432F-BDB5-2952139D563C}" uniqueName="4748" name="Column4748" queryTableFieldId="4748"/>
    <tableColumn id="4749" xr3:uid="{607EF1C2-605E-4CF6-A29C-35866B5D1667}" uniqueName="4749" name="Column4749" queryTableFieldId="4749"/>
    <tableColumn id="4750" xr3:uid="{9CFD30F4-07A4-4A3B-95D7-28D8A26A613D}" uniqueName="4750" name="Column4750" queryTableFieldId="4750"/>
    <tableColumn id="4751" xr3:uid="{66E67FCF-A609-4AF9-96E6-FA2D7C2F7024}" uniqueName="4751" name="Column4751" queryTableFieldId="4751"/>
    <tableColumn id="4752" xr3:uid="{96CF5E3A-BDAC-4FB8-A14A-8C2F9B71332B}" uniqueName="4752" name="Column4752" queryTableFieldId="4752"/>
    <tableColumn id="4753" xr3:uid="{11666CD8-B0C6-49AE-890B-C7DC2E1DDA56}" uniqueName="4753" name="Column4753" queryTableFieldId="4753"/>
    <tableColumn id="4754" xr3:uid="{8767A4CD-35C6-4170-A963-AA0379FECFBD}" uniqueName="4754" name="Column4754" queryTableFieldId="4754"/>
    <tableColumn id="4755" xr3:uid="{ECCE5A6B-70E5-4316-955E-7629EDA04D51}" uniqueName="4755" name="Column4755" queryTableFieldId="4755"/>
    <tableColumn id="4756" xr3:uid="{87A695A0-7388-405A-AFBE-4B48D7CBF5B9}" uniqueName="4756" name="Column4756" queryTableFieldId="4756"/>
    <tableColumn id="4757" xr3:uid="{AA39386B-BFCA-40AF-B2F9-99566F54EE2A}" uniqueName="4757" name="Column4757" queryTableFieldId="4757"/>
    <tableColumn id="4758" xr3:uid="{54E13F2A-C387-4A5E-80ED-B6AAEB905A17}" uniqueName="4758" name="Column4758" queryTableFieldId="4758"/>
    <tableColumn id="4759" xr3:uid="{D76F709F-96B2-47F3-A602-C2FC54207CE0}" uniqueName="4759" name="Column4759" queryTableFieldId="4759"/>
    <tableColumn id="4760" xr3:uid="{15AA40F5-3EB9-47D2-ABDB-17A42B7240CD}" uniqueName="4760" name="Column4760" queryTableFieldId="4760"/>
    <tableColumn id="4761" xr3:uid="{F7878301-B8F1-4FB9-A392-F8CBAA31EBDD}" uniqueName="4761" name="Column4761" queryTableFieldId="4761"/>
    <tableColumn id="4762" xr3:uid="{946A9E6E-0A04-4B04-BEBA-46B07FD765D1}" uniqueName="4762" name="Column4762" queryTableFieldId="4762"/>
    <tableColumn id="4763" xr3:uid="{057AAAA5-896B-4E6B-B6DF-DA49A160C059}" uniqueName="4763" name="Column4763" queryTableFieldId="4763"/>
    <tableColumn id="4764" xr3:uid="{A6EAC92D-B415-42BF-A9AA-804E025CC56B}" uniqueName="4764" name="Column4764" queryTableFieldId="4764"/>
    <tableColumn id="4765" xr3:uid="{91DEB794-CCD5-4151-BA47-575B743C7006}" uniqueName="4765" name="Column4765" queryTableFieldId="4765"/>
    <tableColumn id="4766" xr3:uid="{B40B3238-924D-4C49-A7CD-97B60E14DAE4}" uniqueName="4766" name="Column4766" queryTableFieldId="4766"/>
    <tableColumn id="4767" xr3:uid="{789AE0C6-5873-40BC-8E5B-47CB7F422FFA}" uniqueName="4767" name="Column4767" queryTableFieldId="4767"/>
    <tableColumn id="4768" xr3:uid="{BD3411CE-E5DC-462C-9603-E90DBDE7D245}" uniqueName="4768" name="Column4768" queryTableFieldId="4768"/>
    <tableColumn id="4769" xr3:uid="{9FD95A6D-C650-4BDA-865B-97B04830B21F}" uniqueName="4769" name="Column4769" queryTableFieldId="4769"/>
    <tableColumn id="4770" xr3:uid="{47433B01-59BB-49BD-8449-022E95B2B7DE}" uniqueName="4770" name="Column4770" queryTableFieldId="4770"/>
    <tableColumn id="4771" xr3:uid="{9087DE08-BB7F-4EC0-BD79-61FE3DE2B7BB}" uniqueName="4771" name="Column4771" queryTableFieldId="4771"/>
    <tableColumn id="4772" xr3:uid="{306C1C3A-1228-4BE1-BB7C-F335494C0044}" uniqueName="4772" name="Column4772" queryTableFieldId="4772"/>
    <tableColumn id="4773" xr3:uid="{7AE900FE-6135-4676-B10D-4400791220BC}" uniqueName="4773" name="Column4773" queryTableFieldId="4773"/>
    <tableColumn id="4774" xr3:uid="{88D13BB2-2C15-42AD-8198-048AE1C38E9F}" uniqueName="4774" name="Column4774" queryTableFieldId="4774"/>
    <tableColumn id="4775" xr3:uid="{964962A8-7F9D-4C22-B4A9-E0B63D362471}" uniqueName="4775" name="Column4775" queryTableFieldId="4775"/>
    <tableColumn id="4776" xr3:uid="{015C1A67-2763-44AE-A82A-8FFDB80A5BED}" uniqueName="4776" name="Column4776" queryTableFieldId="4776"/>
    <tableColumn id="4777" xr3:uid="{7B84FEEF-BFC3-4B1A-B285-9ADF7B31BCE5}" uniqueName="4777" name="Column4777" queryTableFieldId="4777"/>
    <tableColumn id="4778" xr3:uid="{DC4DF355-9DF6-4FCA-8F50-E753FA2B74CD}" uniqueName="4778" name="Column4778" queryTableFieldId="4778"/>
    <tableColumn id="4779" xr3:uid="{9FB65695-B2D3-431D-9A01-9C0AA9D0C589}" uniqueName="4779" name="Column4779" queryTableFieldId="4779"/>
    <tableColumn id="4780" xr3:uid="{4FF4DFD6-A611-4CC5-AE09-0D6359D70A5A}" uniqueName="4780" name="Column4780" queryTableFieldId="4780"/>
    <tableColumn id="4781" xr3:uid="{E64974B2-6CF1-4CCD-9F38-383279253DF7}" uniqueName="4781" name="Column4781" queryTableFieldId="4781"/>
    <tableColumn id="4782" xr3:uid="{6864BA16-8422-4F48-B20C-718618E7EBE5}" uniqueName="4782" name="Column4782" queryTableFieldId="4782"/>
    <tableColumn id="4783" xr3:uid="{797B68E7-80A7-4E11-A94A-E69AC7ED3D34}" uniqueName="4783" name="Column4783" queryTableFieldId="4783"/>
    <tableColumn id="4784" xr3:uid="{BC252B21-915F-4B7A-8EDC-832B966B441C}" uniqueName="4784" name="Column4784" queryTableFieldId="4784"/>
    <tableColumn id="4785" xr3:uid="{81DE61F8-8306-460E-AF0A-DA31CA0DE842}" uniqueName="4785" name="Column4785" queryTableFieldId="4785"/>
    <tableColumn id="4786" xr3:uid="{7E4F00D4-B29D-498F-92B7-F725B684C817}" uniqueName="4786" name="Column4786" queryTableFieldId="4786"/>
    <tableColumn id="4787" xr3:uid="{2C7EB70B-0B6F-4951-AD88-DFA55BD9E1BA}" uniqueName="4787" name="Column4787" queryTableFieldId="4787"/>
    <tableColumn id="4788" xr3:uid="{A3F647BE-0678-4335-AE61-56263ECA4C3C}" uniqueName="4788" name="Column4788" queryTableFieldId="4788"/>
    <tableColumn id="4789" xr3:uid="{6BC8E792-D134-41FB-9CF9-534E6753EE6A}" uniqueName="4789" name="Column4789" queryTableFieldId="4789"/>
    <tableColumn id="4790" xr3:uid="{17B1C5FE-B079-42F8-A4AA-C7EBC525AE43}" uniqueName="4790" name="Column4790" queryTableFieldId="4790"/>
    <tableColumn id="4791" xr3:uid="{656694B7-076D-4489-9C01-848FE1FE2777}" uniqueName="4791" name="Column4791" queryTableFieldId="4791"/>
    <tableColumn id="4792" xr3:uid="{527A9AD3-A568-4F81-9E69-AC2955D29406}" uniqueName="4792" name="Column4792" queryTableFieldId="4792"/>
    <tableColumn id="4793" xr3:uid="{C74E02B7-7350-478A-AD2D-B92844E7EA76}" uniqueName="4793" name="Column4793" queryTableFieldId="4793"/>
    <tableColumn id="4794" xr3:uid="{CC980E26-1B2E-4FBC-B533-58DAB2C79ED2}" uniqueName="4794" name="Column4794" queryTableFieldId="4794"/>
    <tableColumn id="4795" xr3:uid="{B3A4894B-F418-45EA-9F10-961EB2F1B0AC}" uniqueName="4795" name="Column4795" queryTableFieldId="4795"/>
    <tableColumn id="4796" xr3:uid="{73710A33-BB54-41D5-B474-EB9C2F897E62}" uniqueName="4796" name="Column4796" queryTableFieldId="4796"/>
    <tableColumn id="4797" xr3:uid="{E14368E2-B0E2-49BC-A5D8-C9DB98B4BF61}" uniqueName="4797" name="Column4797" queryTableFieldId="4797"/>
    <tableColumn id="4798" xr3:uid="{F056394C-C1D5-4529-B6C5-D99B8D3B1C68}" uniqueName="4798" name="Column4798" queryTableFieldId="4798"/>
    <tableColumn id="4799" xr3:uid="{F1B1EA17-5873-4872-A95E-981B0B34F094}" uniqueName="4799" name="Column4799" queryTableFieldId="4799"/>
    <tableColumn id="4800" xr3:uid="{89F9C5E9-5DAB-4CFA-9CE9-8394995C8C91}" uniqueName="4800" name="Column4800" queryTableFieldId="4800"/>
    <tableColumn id="4801" xr3:uid="{20E1ABE4-D600-484A-807B-AFB49F4F7775}" uniqueName="4801" name="Column4801" queryTableFieldId="4801"/>
    <tableColumn id="4802" xr3:uid="{60FA6DCE-E183-4120-89B6-8AF76E2AE44D}" uniqueName="4802" name="Column4802" queryTableFieldId="4802"/>
    <tableColumn id="4803" xr3:uid="{81B0997D-DF7E-4B64-A336-472CE97B3BEF}" uniqueName="4803" name="Column4803" queryTableFieldId="4803"/>
    <tableColumn id="4804" xr3:uid="{586AD1E1-BB44-4426-93E0-6FC8703B2A8F}" uniqueName="4804" name="Column4804" queryTableFieldId="4804"/>
    <tableColumn id="4805" xr3:uid="{3618DF22-704A-4DC3-B05A-CE8C7C6A7D4E}" uniqueName="4805" name="Column4805" queryTableFieldId="4805"/>
    <tableColumn id="4806" xr3:uid="{BE27AE23-1E9F-4EEB-8DFB-EDFDE098575D}" uniqueName="4806" name="Column4806" queryTableFieldId="4806"/>
    <tableColumn id="4807" xr3:uid="{11DCBF09-B678-4988-BB48-700A1CE583BA}" uniqueName="4807" name="Column4807" queryTableFieldId="4807"/>
    <tableColumn id="4808" xr3:uid="{AEA8BFDA-886C-489B-99A9-954AC3A6C590}" uniqueName="4808" name="Column4808" queryTableFieldId="4808"/>
    <tableColumn id="4809" xr3:uid="{D78CA8FC-E341-4FF3-99FE-198B6F7CBDB7}" uniqueName="4809" name="Column4809" queryTableFieldId="4809"/>
    <tableColumn id="4810" xr3:uid="{0255633E-E22D-4B73-A1F5-58FC37CD18DE}" uniqueName="4810" name="Column4810" queryTableFieldId="4810"/>
    <tableColumn id="4811" xr3:uid="{778E7E03-D27A-479E-ADDC-D2EAE428FA28}" uniqueName="4811" name="Column4811" queryTableFieldId="4811"/>
    <tableColumn id="4812" xr3:uid="{38048716-BEF5-486F-9620-AC1F16BA7540}" uniqueName="4812" name="Column4812" queryTableFieldId="4812"/>
    <tableColumn id="4813" xr3:uid="{2AFE95BC-A1C4-42AD-A12C-8EDB78444BA5}" uniqueName="4813" name="Column4813" queryTableFieldId="4813"/>
    <tableColumn id="4814" xr3:uid="{0A831F35-20A2-4CD2-9662-7F406DB97D33}" uniqueName="4814" name="Column4814" queryTableFieldId="4814"/>
    <tableColumn id="4815" xr3:uid="{65C4B158-2F77-4782-8E9B-922E19495F2B}" uniqueName="4815" name="Column4815" queryTableFieldId="4815"/>
    <tableColumn id="4816" xr3:uid="{840CD6A5-7D5F-4004-8C74-F8704570E2EA}" uniqueName="4816" name="Column4816" queryTableFieldId="4816"/>
    <tableColumn id="4817" xr3:uid="{9F668968-4D6C-4DD8-8DD4-B686586F57EC}" uniqueName="4817" name="Column4817" queryTableFieldId="4817"/>
    <tableColumn id="4818" xr3:uid="{00CDCC84-CBE4-4CFF-AB4D-06B2D49622F6}" uniqueName="4818" name="Column4818" queryTableFieldId="4818"/>
    <tableColumn id="4819" xr3:uid="{7E9C10FE-AFAD-46D2-B643-A7F55C6237E3}" uniqueName="4819" name="Column4819" queryTableFieldId="4819"/>
    <tableColumn id="4820" xr3:uid="{012628BE-8998-42D2-A8A7-29A2E5B191A5}" uniqueName="4820" name="Column4820" queryTableFieldId="4820"/>
    <tableColumn id="4821" xr3:uid="{5A0A60D0-62D6-4D13-AFD0-7711E213161B}" uniqueName="4821" name="Column4821" queryTableFieldId="4821"/>
    <tableColumn id="4822" xr3:uid="{00DF2D32-48A0-4478-991C-52D7658C81D3}" uniqueName="4822" name="Column4822" queryTableFieldId="4822"/>
    <tableColumn id="4823" xr3:uid="{62E7F1A4-3046-44ED-9910-E2457CE8A290}" uniqueName="4823" name="Column4823" queryTableFieldId="4823"/>
    <tableColumn id="4824" xr3:uid="{BE114B8C-1DDF-4D1B-92F0-A731B72C7AF0}" uniqueName="4824" name="Column4824" queryTableFieldId="4824"/>
    <tableColumn id="4825" xr3:uid="{73468E9F-D538-49C5-8612-341BDE6967AF}" uniqueName="4825" name="Column4825" queryTableFieldId="4825"/>
    <tableColumn id="4826" xr3:uid="{B7B9689C-F684-4DA0-8927-099D98B41BF2}" uniqueName="4826" name="Column4826" queryTableFieldId="4826"/>
    <tableColumn id="4827" xr3:uid="{D9F9F2E2-E07B-4C66-B2DD-2B8C2C8806BE}" uniqueName="4827" name="Column4827" queryTableFieldId="4827"/>
    <tableColumn id="4828" xr3:uid="{5631DD9B-3D75-4CB0-94F5-2CE3F4F2300F}" uniqueName="4828" name="Column4828" queryTableFieldId="4828"/>
    <tableColumn id="4829" xr3:uid="{29085CAD-FA1F-430E-A542-3F3EBB6D879C}" uniqueName="4829" name="Column4829" queryTableFieldId="4829"/>
    <tableColumn id="4830" xr3:uid="{2850A412-B340-40E0-B2C8-640786E985C2}" uniqueName="4830" name="Column4830" queryTableFieldId="4830"/>
    <tableColumn id="4831" xr3:uid="{C8FFC2CB-A512-4D9D-A387-599E29513755}" uniqueName="4831" name="Column4831" queryTableFieldId="4831"/>
    <tableColumn id="4832" xr3:uid="{0F4FD83F-423F-4EA4-8AFB-0A1B12EE271E}" uniqueName="4832" name="Column4832" queryTableFieldId="4832"/>
    <tableColumn id="4833" xr3:uid="{2AEC988C-D2F1-48EA-9243-21044DC73741}" uniqueName="4833" name="Column4833" queryTableFieldId="4833"/>
    <tableColumn id="4834" xr3:uid="{BC3856A4-3D66-46A8-8B90-D1F2237DE6BC}" uniqueName="4834" name="Column4834" queryTableFieldId="4834"/>
    <tableColumn id="4835" xr3:uid="{77EB59E8-10D7-40B6-96EE-CF70B8FB9232}" uniqueName="4835" name="Column4835" queryTableFieldId="4835"/>
    <tableColumn id="4836" xr3:uid="{B1A3AD45-3FFE-4827-8261-42CDD14106A5}" uniqueName="4836" name="Column4836" queryTableFieldId="4836"/>
    <tableColumn id="4837" xr3:uid="{60FC3E6D-FF1E-4E5B-AEFB-D544718F5C0E}" uniqueName="4837" name="Column4837" queryTableFieldId="4837"/>
    <tableColumn id="4838" xr3:uid="{18105678-7853-4B5B-8069-D6C91EB32B26}" uniqueName="4838" name="Column4838" queryTableFieldId="4838"/>
    <tableColumn id="4839" xr3:uid="{1E8B3124-5032-4A28-8DB9-65D68982BBC8}" uniqueName="4839" name="Column4839" queryTableFieldId="4839"/>
    <tableColumn id="4840" xr3:uid="{98E1C297-1493-4F86-A83B-E0A9B8ED46DE}" uniqueName="4840" name="Column4840" queryTableFieldId="4840"/>
    <tableColumn id="4841" xr3:uid="{235D395B-6A7C-4670-A4F4-989FB2C425FB}" uniqueName="4841" name="Column4841" queryTableFieldId="4841"/>
    <tableColumn id="4842" xr3:uid="{C5C53F29-B6D4-4F2D-85BC-20B9ACBAC586}" uniqueName="4842" name="Column4842" queryTableFieldId="4842"/>
    <tableColumn id="4843" xr3:uid="{3A30F61D-55C1-4292-B3C9-73DEAD302303}" uniqueName="4843" name="Column4843" queryTableFieldId="4843"/>
    <tableColumn id="4844" xr3:uid="{7CFCBE24-8B22-4ACA-8829-41B59213A752}" uniqueName="4844" name="Column4844" queryTableFieldId="4844"/>
    <tableColumn id="4845" xr3:uid="{45330725-B55E-46AF-84C2-81D1A104052F}" uniqueName="4845" name="Column4845" queryTableFieldId="4845"/>
    <tableColumn id="4846" xr3:uid="{64A6A773-192A-48C3-ABD3-D3D5DDC2AA72}" uniqueName="4846" name="Column4846" queryTableFieldId="4846"/>
    <tableColumn id="4847" xr3:uid="{D46D9BC3-3A38-4E86-93FD-74E76101F010}" uniqueName="4847" name="Column4847" queryTableFieldId="4847"/>
    <tableColumn id="4848" xr3:uid="{A7CB0A7D-3F5B-42BA-8A71-1FF845D1619E}" uniqueName="4848" name="Column4848" queryTableFieldId="4848"/>
    <tableColumn id="4849" xr3:uid="{64D01B55-D967-474B-BB1C-AF533EB815B6}" uniqueName="4849" name="Column4849" queryTableFieldId="4849"/>
    <tableColumn id="4850" xr3:uid="{D5FA7ED7-6D81-451A-ACB7-0B27880AC183}" uniqueName="4850" name="Column4850" queryTableFieldId="4850"/>
    <tableColumn id="4851" xr3:uid="{3D845A67-AFE1-4DAF-958F-485D5D291206}" uniqueName="4851" name="Column4851" queryTableFieldId="4851"/>
    <tableColumn id="4852" xr3:uid="{03020B20-6C63-4B9C-844E-89A684161EDC}" uniqueName="4852" name="Column4852" queryTableFieldId="4852"/>
    <tableColumn id="4853" xr3:uid="{AF083791-3A18-4FCD-A032-6BC295FED586}" uniqueName="4853" name="Column4853" queryTableFieldId="4853"/>
    <tableColumn id="4854" xr3:uid="{5A12E3AF-2A15-4CE5-BB58-9D5C2D2CD028}" uniqueName="4854" name="Column4854" queryTableFieldId="4854"/>
    <tableColumn id="4855" xr3:uid="{F7221020-7D99-4C75-9F4F-2BEBEF0B80C3}" uniqueName="4855" name="Column4855" queryTableFieldId="4855"/>
    <tableColumn id="4856" xr3:uid="{0E682777-A31B-4BBC-B550-230AF39645AB}" uniqueName="4856" name="Column4856" queryTableFieldId="4856"/>
    <tableColumn id="4857" xr3:uid="{9DE06308-36AC-423F-934C-55F19AA53714}" uniqueName="4857" name="Column4857" queryTableFieldId="4857"/>
    <tableColumn id="4858" xr3:uid="{32DCBFC8-7F63-433A-BED8-A62C7802467D}" uniqueName="4858" name="Column4858" queryTableFieldId="4858"/>
    <tableColumn id="4859" xr3:uid="{D962F71E-36EA-4564-8766-E1C7F31059B2}" uniqueName="4859" name="Column4859" queryTableFieldId="4859"/>
    <tableColumn id="4860" xr3:uid="{9F951BE5-9F42-49F8-B084-C0541B1485C2}" uniqueName="4860" name="Column4860" queryTableFieldId="4860"/>
    <tableColumn id="4861" xr3:uid="{29948522-6274-484A-911F-9AE0DE6A44ED}" uniqueName="4861" name="Column4861" queryTableFieldId="4861"/>
    <tableColumn id="4862" xr3:uid="{B0987C0A-8180-4B57-A1E4-92E60FD8009D}" uniqueName="4862" name="Column4862" queryTableFieldId="4862"/>
    <tableColumn id="4863" xr3:uid="{FC2400FE-1743-4A94-A472-9A4BDC2BDEBF}" uniqueName="4863" name="Column4863" queryTableFieldId="4863"/>
    <tableColumn id="4864" xr3:uid="{F887F1EB-CEAA-4D6F-8EA0-C21D1EA6D78D}" uniqueName="4864" name="Column4864" queryTableFieldId="4864"/>
    <tableColumn id="4865" xr3:uid="{263C523F-4F72-4F51-8D7C-D103469EE02E}" uniqueName="4865" name="Column4865" queryTableFieldId="4865"/>
    <tableColumn id="4866" xr3:uid="{70B33935-02A4-46F5-B3E6-65B20F75138D}" uniqueName="4866" name="Column4866" queryTableFieldId="4866"/>
    <tableColumn id="4867" xr3:uid="{9BC04D7D-AB46-4855-8A99-BC7E50CA94FF}" uniqueName="4867" name="Column4867" queryTableFieldId="4867"/>
    <tableColumn id="4868" xr3:uid="{582AA2B7-3AA4-4BF7-869C-3ED0596BE091}" uniqueName="4868" name="Column4868" queryTableFieldId="4868"/>
    <tableColumn id="4869" xr3:uid="{E5ECCEFA-AA55-46CC-96BE-A40C3F2EEF9D}" uniqueName="4869" name="Column4869" queryTableFieldId="4869"/>
    <tableColumn id="4870" xr3:uid="{A68D6E7E-C801-4700-A6E4-087D116214F2}" uniqueName="4870" name="Column4870" queryTableFieldId="4870"/>
    <tableColumn id="4871" xr3:uid="{B3691768-462C-469C-8803-1A3E563F6858}" uniqueName="4871" name="Column4871" queryTableFieldId="4871"/>
    <tableColumn id="4872" xr3:uid="{3741B343-2C5D-4CFD-A4A6-67102D619EB5}" uniqueName="4872" name="Column4872" queryTableFieldId="4872"/>
    <tableColumn id="4873" xr3:uid="{A9EAAF99-19C8-4EE5-9E2B-93A5B65271E1}" uniqueName="4873" name="Column4873" queryTableFieldId="4873"/>
    <tableColumn id="4874" xr3:uid="{702604B8-7FB6-478C-9AB9-EEB3C2A0524D}" uniqueName="4874" name="Column4874" queryTableFieldId="4874"/>
    <tableColumn id="4875" xr3:uid="{A801E306-2AC1-4F37-855C-D6BDAD34CCB9}" uniqueName="4875" name="Column4875" queryTableFieldId="4875"/>
    <tableColumn id="4876" xr3:uid="{14106EE7-ABBD-4106-B59C-C26A4069B99D}" uniqueName="4876" name="Column4876" queryTableFieldId="4876"/>
    <tableColumn id="4877" xr3:uid="{E8D26704-7C65-4781-8B1C-84D724CD950F}" uniqueName="4877" name="Column4877" queryTableFieldId="4877"/>
    <tableColumn id="4878" xr3:uid="{C3D09A9C-AD65-4E6F-9047-C6D8696BB48A}" uniqueName="4878" name="Column4878" queryTableFieldId="4878"/>
    <tableColumn id="4879" xr3:uid="{504384DD-A106-4E61-B1D7-A597A442F020}" uniqueName="4879" name="Column4879" queryTableFieldId="4879"/>
    <tableColumn id="4880" xr3:uid="{0011F577-41B2-4F48-B503-A08370178B39}" uniqueName="4880" name="Column4880" queryTableFieldId="4880"/>
    <tableColumn id="4881" xr3:uid="{711A5C92-8BEA-4F19-B37C-14C0C04052C6}" uniqueName="4881" name="Column4881" queryTableFieldId="4881"/>
    <tableColumn id="4882" xr3:uid="{E930E850-06E8-4B64-83B9-A6C6B957C2E4}" uniqueName="4882" name="Column4882" queryTableFieldId="4882"/>
    <tableColumn id="4883" xr3:uid="{C554D8AC-9F08-4B43-B266-0B7CC425024B}" uniqueName="4883" name="Column4883" queryTableFieldId="4883"/>
    <tableColumn id="4884" xr3:uid="{004D161B-146E-426F-872D-507E5B785888}" uniqueName="4884" name="Column4884" queryTableFieldId="4884"/>
    <tableColumn id="4885" xr3:uid="{52ED335C-8F5D-47EF-A9CD-0D2BF85C72CF}" uniqueName="4885" name="Column4885" queryTableFieldId="4885"/>
    <tableColumn id="4886" xr3:uid="{C2E16510-21A0-4DD9-B451-0E9F13E6F718}" uniqueName="4886" name="Column4886" queryTableFieldId="4886"/>
    <tableColumn id="4887" xr3:uid="{F486EA33-0477-44E1-9084-5D64F0CB163D}" uniqueName="4887" name="Column4887" queryTableFieldId="4887"/>
    <tableColumn id="4888" xr3:uid="{ED6C4465-4ED8-429A-BB75-75569907274F}" uniqueName="4888" name="Column4888" queryTableFieldId="4888"/>
    <tableColumn id="4889" xr3:uid="{7D48FEFE-610A-49C9-B684-D4E508AD177F}" uniqueName="4889" name="Column4889" queryTableFieldId="4889"/>
    <tableColumn id="4890" xr3:uid="{9F3ED611-62B2-4343-954B-53A8F7095C75}" uniqueName="4890" name="Column4890" queryTableFieldId="4890"/>
    <tableColumn id="4891" xr3:uid="{E11F8F7E-F93E-492C-85AD-500ABEC9708C}" uniqueName="4891" name="Column4891" queryTableFieldId="4891"/>
    <tableColumn id="4892" xr3:uid="{BC564C45-4DE0-439B-800F-2E64CC90AE8F}" uniqueName="4892" name="Column4892" queryTableFieldId="4892"/>
    <tableColumn id="4893" xr3:uid="{1C8F1932-9D04-4E90-8571-B6BC32F2C535}" uniqueName="4893" name="Column4893" queryTableFieldId="4893"/>
    <tableColumn id="4894" xr3:uid="{84A11BC3-0339-4A80-B628-A058FB42F10D}" uniqueName="4894" name="Column4894" queryTableFieldId="4894"/>
    <tableColumn id="4895" xr3:uid="{4C93A27D-F24F-484F-A2D3-5D886678FDC8}" uniqueName="4895" name="Column4895" queryTableFieldId="4895"/>
    <tableColumn id="4896" xr3:uid="{5CA42E48-5370-4FAD-AA98-FE0F085E08DF}" uniqueName="4896" name="Column4896" queryTableFieldId="4896"/>
    <tableColumn id="4897" xr3:uid="{F0135947-C790-4EB0-85CA-B866D08D9CEC}" uniqueName="4897" name="Column4897" queryTableFieldId="4897"/>
    <tableColumn id="4898" xr3:uid="{635422E7-B868-446B-9244-9F47FF6CA0F1}" uniqueName="4898" name="Column4898" queryTableFieldId="4898"/>
    <tableColumn id="4899" xr3:uid="{C7D6BA78-CCE4-4B53-9298-A2829DD27DA0}" uniqueName="4899" name="Column4899" queryTableFieldId="4899"/>
    <tableColumn id="4900" xr3:uid="{4A654385-3107-481D-B7F3-9A1F120CEC70}" uniqueName="4900" name="Column4900" queryTableFieldId="4900"/>
    <tableColumn id="4901" xr3:uid="{C1020A1B-F5EB-4A25-BBE9-E66F3BB1F6B0}" uniqueName="4901" name="Column4901" queryTableFieldId="4901"/>
    <tableColumn id="4902" xr3:uid="{4CA08E03-881C-4B75-A417-387E753C882F}" uniqueName="4902" name="Column4902" queryTableFieldId="4902"/>
    <tableColumn id="4903" xr3:uid="{EB70A008-BF86-4B2E-BBAA-AF9190D12990}" uniqueName="4903" name="Column4903" queryTableFieldId="4903"/>
    <tableColumn id="4904" xr3:uid="{A7475D75-C7CD-4033-AB07-419EFBB38765}" uniqueName="4904" name="Column4904" queryTableFieldId="4904"/>
    <tableColumn id="4905" xr3:uid="{68939AF4-A853-407F-A1B9-D6AA5C724FA7}" uniqueName="4905" name="Column4905" queryTableFieldId="4905"/>
    <tableColumn id="4906" xr3:uid="{9008D91E-63B4-4B90-BD5B-E852D11D0105}" uniqueName="4906" name="Column4906" queryTableFieldId="4906"/>
    <tableColumn id="4907" xr3:uid="{35C51969-91D0-47C1-8AD9-C859B72053D3}" uniqueName="4907" name="Column4907" queryTableFieldId="4907"/>
    <tableColumn id="4908" xr3:uid="{99D47872-C03E-49BE-866A-87869C8241AD}" uniqueName="4908" name="Column4908" queryTableFieldId="4908"/>
    <tableColumn id="4909" xr3:uid="{ECD40E9F-CF27-4833-B371-A47B9559B6BC}" uniqueName="4909" name="Column4909" queryTableFieldId="4909"/>
    <tableColumn id="4910" xr3:uid="{4E4600A0-45D0-42F5-835B-B3E6A4B6B21F}" uniqueName="4910" name="Column4910" queryTableFieldId="4910"/>
    <tableColumn id="4911" xr3:uid="{5AEA605E-E428-44F6-B3DD-C6E53EF867D0}" uniqueName="4911" name="Column4911" queryTableFieldId="4911"/>
    <tableColumn id="4912" xr3:uid="{2F44AE91-27A0-41CD-BDB3-41FDFD7F2714}" uniqueName="4912" name="Column4912" queryTableFieldId="4912"/>
    <tableColumn id="4913" xr3:uid="{C5DC5CFF-5954-40D7-BE2E-A97CD6828253}" uniqueName="4913" name="Column4913" queryTableFieldId="4913"/>
    <tableColumn id="4914" xr3:uid="{66FE589F-98A7-40B4-BE68-8C7B945DD5B2}" uniqueName="4914" name="Column4914" queryTableFieldId="4914"/>
    <tableColumn id="4915" xr3:uid="{299BE7CD-EDB8-4668-9F3F-D9310B9E50AE}" uniqueName="4915" name="Column4915" queryTableFieldId="4915"/>
    <tableColumn id="4916" xr3:uid="{8439081D-F12F-4227-8DB6-68ED556D7370}" uniqueName="4916" name="Column4916" queryTableFieldId="4916"/>
    <tableColumn id="4917" xr3:uid="{8CAE4021-329C-4D86-A696-3B1FC57965CA}" uniqueName="4917" name="Column4917" queryTableFieldId="4917"/>
    <tableColumn id="4918" xr3:uid="{1B274EF8-CF28-4945-A512-75A7B4BDE6D3}" uniqueName="4918" name="Column4918" queryTableFieldId="4918"/>
    <tableColumn id="4919" xr3:uid="{CCDBC8AC-7DBC-44A1-A6D9-B913D1436FF7}" uniqueName="4919" name="Column4919" queryTableFieldId="4919"/>
    <tableColumn id="4920" xr3:uid="{35EA2434-0AE7-4BA4-B80C-97FA9BCA0D2E}" uniqueName="4920" name="Column4920" queryTableFieldId="4920"/>
    <tableColumn id="4921" xr3:uid="{BE13DD33-9F6B-4C4F-9E9E-5B6A0BB1ABC6}" uniqueName="4921" name="Column4921" queryTableFieldId="4921"/>
    <tableColumn id="4922" xr3:uid="{838FD383-21E7-4F5D-9309-523B9A0024F9}" uniqueName="4922" name="Column4922" queryTableFieldId="4922"/>
    <tableColumn id="4923" xr3:uid="{358A4B3E-DCC3-4ED2-B59B-31D177B0BAF7}" uniqueName="4923" name="Column4923" queryTableFieldId="4923"/>
    <tableColumn id="4924" xr3:uid="{BB78A062-7C22-44EE-B4F6-A52501E5733A}" uniqueName="4924" name="Column4924" queryTableFieldId="4924"/>
    <tableColumn id="4925" xr3:uid="{30D2535A-82B1-4AE5-B62F-A12EB2BDCEEC}" uniqueName="4925" name="Column4925" queryTableFieldId="4925"/>
    <tableColumn id="4926" xr3:uid="{4E040948-FC03-47E8-A422-29F34315F868}" uniqueName="4926" name="Column4926" queryTableFieldId="4926"/>
    <tableColumn id="4927" xr3:uid="{CFE80383-F4A4-404F-99AE-D80E1DD269F5}" uniqueName="4927" name="Column4927" queryTableFieldId="4927"/>
    <tableColumn id="4928" xr3:uid="{C1E905A5-5ACC-41AE-A0B7-202840BE1DA9}" uniqueName="4928" name="Column4928" queryTableFieldId="4928"/>
    <tableColumn id="4929" xr3:uid="{464C6645-B7D2-47CA-ABC0-D41484D5E1E8}" uniqueName="4929" name="Column4929" queryTableFieldId="4929"/>
    <tableColumn id="4930" xr3:uid="{DE60F620-BA0C-464B-942A-CF8682EEE753}" uniqueName="4930" name="Column4930" queryTableFieldId="4930"/>
    <tableColumn id="4931" xr3:uid="{F37B63BD-3FD1-4BE4-BC9D-5E1BC0CE4739}" uniqueName="4931" name="Column4931" queryTableFieldId="4931"/>
    <tableColumn id="4932" xr3:uid="{9A2A0804-6666-4482-A4F3-6260CEC275A9}" uniqueName="4932" name="Column4932" queryTableFieldId="4932"/>
    <tableColumn id="4933" xr3:uid="{891DA2FD-E41F-4D0D-9F6D-2002F5C974BF}" uniqueName="4933" name="Column4933" queryTableFieldId="4933"/>
    <tableColumn id="4934" xr3:uid="{DC48FD45-D503-4493-8E21-FE0AB4BB75F8}" uniqueName="4934" name="Column4934" queryTableFieldId="4934"/>
    <tableColumn id="4935" xr3:uid="{7AB7A96A-0810-4FBB-9F46-FCE40A201812}" uniqueName="4935" name="Column4935" queryTableFieldId="4935"/>
    <tableColumn id="4936" xr3:uid="{EB5B5ECF-9AEF-4464-B7DF-D142216AE8AC}" uniqueName="4936" name="Column4936" queryTableFieldId="4936"/>
    <tableColumn id="4937" xr3:uid="{50EDBF5B-9A6E-4140-9FDC-D4009221C822}" uniqueName="4937" name="Column4937" queryTableFieldId="4937"/>
    <tableColumn id="4938" xr3:uid="{F81B7D99-C8AD-4C72-877E-557BACA10675}" uniqueName="4938" name="Column4938" queryTableFieldId="4938"/>
    <tableColumn id="4939" xr3:uid="{2121994F-428D-4B37-83FE-CD9D84E17363}" uniqueName="4939" name="Column4939" queryTableFieldId="4939"/>
    <tableColumn id="4940" xr3:uid="{CD579B29-717E-47C5-9A81-C277E3BBFD64}" uniqueName="4940" name="Column4940" queryTableFieldId="4940"/>
    <tableColumn id="4941" xr3:uid="{994B8D97-88BA-4FE0-808C-E37DBFD4A110}" uniqueName="4941" name="Column4941" queryTableFieldId="4941"/>
    <tableColumn id="4942" xr3:uid="{6CF2B294-B0DC-4F91-848C-886AA86EA1A6}" uniqueName="4942" name="Column4942" queryTableFieldId="4942"/>
    <tableColumn id="4943" xr3:uid="{56D57277-91FF-4090-A97D-A239993B1364}" uniqueName="4943" name="Column4943" queryTableFieldId="4943"/>
    <tableColumn id="4944" xr3:uid="{4E74A84A-B722-4123-ADE1-4CD062D88CC1}" uniqueName="4944" name="Column4944" queryTableFieldId="4944"/>
    <tableColumn id="4945" xr3:uid="{436AD7B4-3D89-42DB-AFAE-EC01AA662420}" uniqueName="4945" name="Column4945" queryTableFieldId="4945"/>
    <tableColumn id="4946" xr3:uid="{7E43B4D4-9FC7-44B5-B87A-3C42392B299F}" uniqueName="4946" name="Column4946" queryTableFieldId="4946"/>
    <tableColumn id="4947" xr3:uid="{DF94635D-BBD7-43FC-99BE-5753648BD91D}" uniqueName="4947" name="Column4947" queryTableFieldId="4947"/>
    <tableColumn id="4948" xr3:uid="{866CD5F3-86DC-44C9-909C-EA3C942DF45E}" uniqueName="4948" name="Column4948" queryTableFieldId="4948"/>
    <tableColumn id="4949" xr3:uid="{6458BC87-B0B0-45DE-9381-635CDAB23E42}" uniqueName="4949" name="Column4949" queryTableFieldId="4949"/>
    <tableColumn id="4950" xr3:uid="{26679CD0-9540-4FC3-9A0B-C4645A91116A}" uniqueName="4950" name="Column4950" queryTableFieldId="4950"/>
    <tableColumn id="4951" xr3:uid="{B67FD466-3577-4D0C-827E-CC4C6DC73728}" uniqueName="4951" name="Column4951" queryTableFieldId="4951"/>
    <tableColumn id="4952" xr3:uid="{881CD10E-2EA6-4451-96FA-E9CF892B601F}" uniqueName="4952" name="Column4952" queryTableFieldId="4952"/>
    <tableColumn id="4953" xr3:uid="{CD09BC02-95B0-42A1-9070-2B62208C3C49}" uniqueName="4953" name="Column4953" queryTableFieldId="4953"/>
    <tableColumn id="4954" xr3:uid="{86A64986-CAB5-45F6-8840-62BE586E67DD}" uniqueName="4954" name="Column4954" queryTableFieldId="4954"/>
    <tableColumn id="4955" xr3:uid="{3CD6E8B3-A1E2-4C72-8479-E3E941FF204A}" uniqueName="4955" name="Column4955" queryTableFieldId="4955"/>
    <tableColumn id="4956" xr3:uid="{EBB878E6-A0BE-4CEE-BCF6-744D68464782}" uniqueName="4956" name="Column4956" queryTableFieldId="4956"/>
    <tableColumn id="4957" xr3:uid="{AD142342-49CF-4D68-9705-35DA28A8B32E}" uniqueName="4957" name="Column4957" queryTableFieldId="4957"/>
    <tableColumn id="4958" xr3:uid="{D394695A-18CD-4823-935E-BCD6D74E583C}" uniqueName="4958" name="Column4958" queryTableFieldId="4958"/>
    <tableColumn id="4959" xr3:uid="{0DAA5D3E-BDAF-4FCF-ACD8-A4BD2B108258}" uniqueName="4959" name="Column4959" queryTableFieldId="4959"/>
    <tableColumn id="4960" xr3:uid="{EBD5D157-94EC-4CCC-B712-6DEE469478C5}" uniqueName="4960" name="Column4960" queryTableFieldId="4960"/>
    <tableColumn id="4961" xr3:uid="{70D5FEF3-146D-461A-AA03-C4993EAD1138}" uniqueName="4961" name="Column4961" queryTableFieldId="4961"/>
    <tableColumn id="4962" xr3:uid="{2A4E9D5A-0463-4E83-8D82-EC1636BC5707}" uniqueName="4962" name="Column4962" queryTableFieldId="4962"/>
    <tableColumn id="4963" xr3:uid="{84084543-4C68-4A70-A8AB-5089A5CC780B}" uniqueName="4963" name="Column4963" queryTableFieldId="4963"/>
    <tableColumn id="4964" xr3:uid="{805763E7-20C7-4AEC-BBDF-B10CBA73D4E5}" uniqueName="4964" name="Column4964" queryTableFieldId="4964"/>
    <tableColumn id="4965" xr3:uid="{FC99D1C2-600D-4D9C-88F5-CFFD480BADD3}" uniqueName="4965" name="Column4965" queryTableFieldId="4965"/>
    <tableColumn id="4966" xr3:uid="{9E936CA0-F599-4262-94D1-7428EAED7A1D}" uniqueName="4966" name="Column4966" queryTableFieldId="4966"/>
    <tableColumn id="4967" xr3:uid="{2633EE7C-6597-4A4B-A746-4C196D283819}" uniqueName="4967" name="Column4967" queryTableFieldId="4967"/>
    <tableColumn id="4968" xr3:uid="{272A0F51-5F16-4EB7-8CEA-7B033D0044E7}" uniqueName="4968" name="Column4968" queryTableFieldId="4968"/>
    <tableColumn id="4969" xr3:uid="{FD671F30-E97F-4F78-AABE-5F73C72CD4A0}" uniqueName="4969" name="Column4969" queryTableFieldId="4969"/>
    <tableColumn id="4970" xr3:uid="{38E79AB4-AE47-4015-B6A5-52E898433922}" uniqueName="4970" name="Column4970" queryTableFieldId="4970"/>
    <tableColumn id="4971" xr3:uid="{D41653D2-1BE5-44C6-9CC6-2558FD950948}" uniqueName="4971" name="Column4971" queryTableFieldId="4971"/>
    <tableColumn id="4972" xr3:uid="{8232B186-25F0-4030-B502-5AA7BE08BD44}" uniqueName="4972" name="Column4972" queryTableFieldId="4972"/>
    <tableColumn id="4973" xr3:uid="{6673906D-365C-45D4-990E-2BA5FF4CAC7B}" uniqueName="4973" name="Column4973" queryTableFieldId="4973"/>
    <tableColumn id="4974" xr3:uid="{87F6E3B4-BC99-46F8-8C99-F266F92D6D0C}" uniqueName="4974" name="Column4974" queryTableFieldId="4974"/>
    <tableColumn id="4975" xr3:uid="{3463C4D5-346F-4BCD-847A-AAB5787DEE9B}" uniqueName="4975" name="Column4975" queryTableFieldId="4975"/>
    <tableColumn id="4976" xr3:uid="{7F642C79-6F49-4E72-9BC6-0837F91E9CA6}" uniqueName="4976" name="Column4976" queryTableFieldId="4976"/>
    <tableColumn id="4977" xr3:uid="{756683D0-E239-4769-B5A3-3B7BE6E2CBD2}" uniqueName="4977" name="Column4977" queryTableFieldId="4977"/>
    <tableColumn id="4978" xr3:uid="{CE1762F3-E4CD-4F14-9C68-E1CD933309C3}" uniqueName="4978" name="Column4978" queryTableFieldId="4978"/>
    <tableColumn id="4979" xr3:uid="{85957D21-D821-4C5A-B204-4630F12AAE17}" uniqueName="4979" name="Column4979" queryTableFieldId="4979"/>
    <tableColumn id="4980" xr3:uid="{B5ABCBA1-7ED1-41AF-8D59-6ADCC42E13E0}" uniqueName="4980" name="Column4980" queryTableFieldId="4980"/>
    <tableColumn id="4981" xr3:uid="{FE657E96-4380-45ED-A3AC-BFF8676ED4C0}" uniqueName="4981" name="Column4981" queryTableFieldId="4981"/>
    <tableColumn id="4982" xr3:uid="{ACF28ABA-6B76-4C91-98D1-F0CA6A431C2D}" uniqueName="4982" name="Column4982" queryTableFieldId="4982"/>
    <tableColumn id="4983" xr3:uid="{AA66AE22-C4EB-4787-95E5-FDF0AB8F2EBB}" uniqueName="4983" name="Column4983" queryTableFieldId="4983"/>
    <tableColumn id="4984" xr3:uid="{6E8A445D-7918-47E5-9A54-831E917526D4}" uniqueName="4984" name="Column4984" queryTableFieldId="4984"/>
    <tableColumn id="4985" xr3:uid="{ECAC2E1F-E0AE-4485-84A6-36BC6443A3BF}" uniqueName="4985" name="Column4985" queryTableFieldId="4985"/>
    <tableColumn id="4986" xr3:uid="{ED3B473A-C36F-4034-9E5B-BD758BFAAD1E}" uniqueName="4986" name="Column4986" queryTableFieldId="4986"/>
    <tableColumn id="4987" xr3:uid="{62B54090-1408-476F-B938-C3999C651EA0}" uniqueName="4987" name="Column4987" queryTableFieldId="4987"/>
    <tableColumn id="4988" xr3:uid="{7539E318-B2B1-48EE-A044-F4118AC036EB}" uniqueName="4988" name="Column4988" queryTableFieldId="4988"/>
    <tableColumn id="4989" xr3:uid="{B7A11F3F-4F31-4234-9420-A1C7843DE9B4}" uniqueName="4989" name="Column4989" queryTableFieldId="4989"/>
    <tableColumn id="4990" xr3:uid="{992B4A6B-DAE4-42A3-970C-2D773AEEC570}" uniqueName="4990" name="Column4990" queryTableFieldId="4990"/>
    <tableColumn id="4991" xr3:uid="{B84D4F9F-A342-4E5D-98B2-E7AC702972F7}" uniqueName="4991" name="Column4991" queryTableFieldId="4991"/>
    <tableColumn id="4992" xr3:uid="{ECCBB5C5-8B17-4D81-BD8A-FAF470F4B931}" uniqueName="4992" name="Column4992" queryTableFieldId="4992"/>
    <tableColumn id="4993" xr3:uid="{89216BD7-1788-4DC8-BD3E-C1FA4CA88EF1}" uniqueName="4993" name="Column4993" queryTableFieldId="4993"/>
    <tableColumn id="4994" xr3:uid="{1DD5E6DD-548E-4A5C-BB9C-2DB257EE3250}" uniqueName="4994" name="Column4994" queryTableFieldId="4994"/>
    <tableColumn id="4995" xr3:uid="{05F21BC1-A96E-4E51-AD06-C3F4DAA37CA7}" uniqueName="4995" name="Column4995" queryTableFieldId="4995"/>
    <tableColumn id="4996" xr3:uid="{A9C55714-5270-4072-BFF2-4550FFD64BE4}" uniqueName="4996" name="Column4996" queryTableFieldId="4996"/>
    <tableColumn id="4997" xr3:uid="{38E60338-594C-46C5-9040-6340C5CDC478}" uniqueName="4997" name="Column4997" queryTableFieldId="4997"/>
    <tableColumn id="4998" xr3:uid="{258112E2-F07D-4796-9F1D-86AC8F71DE80}" uniqueName="4998" name="Column4998" queryTableFieldId="4998"/>
    <tableColumn id="4999" xr3:uid="{18ABE1DE-BA2D-4337-A03E-02B337336E1E}" uniqueName="4999" name="Column4999" queryTableFieldId="4999"/>
    <tableColumn id="5000" xr3:uid="{E1E06EEB-7B31-4149-866D-79ECF85D36C2}" uniqueName="5000" name="Column5000" queryTableFieldId="5000"/>
    <tableColumn id="5001" xr3:uid="{085688D4-A3A9-43BB-92EC-FF15CCC044D4}" uniqueName="5001" name="Column5001" queryTableFieldId="5001"/>
    <tableColumn id="5002" xr3:uid="{2D5AEA38-3530-4118-AD18-BAB223BB7206}" uniqueName="5002" name="Column5002" queryTableFieldId="5002"/>
    <tableColumn id="5003" xr3:uid="{1C2ABA56-7F5E-46E4-9E7F-F2DF4DAEB6DA}" uniqueName="5003" name="Column5003" queryTableFieldId="5003"/>
    <tableColumn id="5004" xr3:uid="{99C3C0EA-5153-4675-8773-1A5FDD75D42B}" uniqueName="5004" name="Column5004" queryTableFieldId="5004"/>
    <tableColumn id="5005" xr3:uid="{618AEF49-9473-488F-8CD2-6BE63DCC620E}" uniqueName="5005" name="Column5005" queryTableFieldId="5005"/>
    <tableColumn id="5006" xr3:uid="{28F18B84-C4BF-433F-BACC-F7D1A01EC9DC}" uniqueName="5006" name="Column5006" queryTableFieldId="5006"/>
    <tableColumn id="5007" xr3:uid="{1593EF3F-F10B-41AE-A787-26FD7FA6B787}" uniqueName="5007" name="Column5007" queryTableFieldId="5007"/>
    <tableColumn id="5008" xr3:uid="{582F220A-82CD-4674-85BF-871703EDBC27}" uniqueName="5008" name="Column5008" queryTableFieldId="5008"/>
    <tableColumn id="5009" xr3:uid="{8FC2AADF-AE3D-439D-B5E7-41A8016893CD}" uniqueName="5009" name="Column5009" queryTableFieldId="5009"/>
    <tableColumn id="5010" xr3:uid="{EAD4D734-D213-4EFC-BC4F-36D06573450A}" uniqueName="5010" name="Column5010" queryTableFieldId="5010"/>
    <tableColumn id="5011" xr3:uid="{FAB3C3CC-5893-44E0-B8F5-520E86D5976C}" uniqueName="5011" name="Column5011" queryTableFieldId="5011"/>
    <tableColumn id="5012" xr3:uid="{AE7622BF-FE17-4A6C-A09E-AEAD67E53EDE}" uniqueName="5012" name="Column5012" queryTableFieldId="5012"/>
    <tableColumn id="5013" xr3:uid="{686DA7CE-8CC2-48FB-B8ED-F61E4739B966}" uniqueName="5013" name="Column5013" queryTableFieldId="5013"/>
    <tableColumn id="5014" xr3:uid="{F6EA0AF8-20C5-49BB-8BCC-E0D971DBD4A4}" uniqueName="5014" name="Column5014" queryTableFieldId="5014"/>
    <tableColumn id="5015" xr3:uid="{71C27819-942F-4CE1-B2BA-BB7A65453B6B}" uniqueName="5015" name="Column5015" queryTableFieldId="5015"/>
    <tableColumn id="5016" xr3:uid="{63770E03-1FB0-4864-B4A3-90B723D16885}" uniqueName="5016" name="Column5016" queryTableFieldId="5016"/>
    <tableColumn id="5017" xr3:uid="{F5B1FD72-FA11-46EC-92EC-215CEF6377F5}" uniqueName="5017" name="Column5017" queryTableFieldId="5017"/>
    <tableColumn id="5018" xr3:uid="{A67501FD-B4EC-4FFA-AB76-F18061762513}" uniqueName="5018" name="Column5018" queryTableFieldId="5018"/>
    <tableColumn id="5019" xr3:uid="{810B2A0A-E988-4B51-BF91-14BDE115CB50}" uniqueName="5019" name="Column5019" queryTableFieldId="5019"/>
    <tableColumn id="5020" xr3:uid="{8895EA57-7F8C-4E71-96AD-CB666E1273BE}" uniqueName="5020" name="Column5020" queryTableFieldId="5020"/>
    <tableColumn id="5021" xr3:uid="{EBB1D8A2-6E66-4F0A-A575-6AFF3D062C5B}" uniqueName="5021" name="Column5021" queryTableFieldId="5021"/>
    <tableColumn id="5022" xr3:uid="{AFD30242-12FF-48A1-9B6D-98C9088420CE}" uniqueName="5022" name="Column5022" queryTableFieldId="5022"/>
    <tableColumn id="5023" xr3:uid="{D35BA51E-78E8-4285-8A48-6458B2E05C74}" uniqueName="5023" name="Column5023" queryTableFieldId="5023"/>
    <tableColumn id="5024" xr3:uid="{6A764E3F-797B-4798-A4ED-C68DF430149E}" uniqueName="5024" name="Column5024" queryTableFieldId="5024"/>
    <tableColumn id="5025" xr3:uid="{7A2E7766-427F-4275-989C-0F4C2C0C1F66}" uniqueName="5025" name="Column5025" queryTableFieldId="5025"/>
    <tableColumn id="5026" xr3:uid="{D0C44281-981C-4C66-81FA-8130ACB7EBAF}" uniqueName="5026" name="Column5026" queryTableFieldId="5026"/>
    <tableColumn id="5027" xr3:uid="{BC6B9170-45AF-4C90-8C1E-CBA58D9D13FB}" uniqueName="5027" name="Column5027" queryTableFieldId="5027"/>
    <tableColumn id="5028" xr3:uid="{F366BA48-7A7E-4B40-AC02-921A5153BCFD}" uniqueName="5028" name="Column5028" queryTableFieldId="5028"/>
    <tableColumn id="5029" xr3:uid="{40E0EC3F-AC9A-4AD3-B7A5-FD67C24EFD0A}" uniqueName="5029" name="Column5029" queryTableFieldId="5029"/>
    <tableColumn id="5030" xr3:uid="{ED560B96-56F0-46E6-A6CF-0792550A2580}" uniqueName="5030" name="Column5030" queryTableFieldId="5030"/>
    <tableColumn id="5031" xr3:uid="{3C6EE5A7-9F5F-436A-8421-E7A0DEECCEB0}" uniqueName="5031" name="Column5031" queryTableFieldId="5031"/>
    <tableColumn id="5032" xr3:uid="{8FED33C7-A2FC-417A-8256-0812279FBDD2}" uniqueName="5032" name="Column5032" queryTableFieldId="5032"/>
    <tableColumn id="5033" xr3:uid="{3BAC5EDB-3718-4280-8328-D3707254CC36}" uniqueName="5033" name="Column5033" queryTableFieldId="5033"/>
    <tableColumn id="5034" xr3:uid="{1EB9A2B1-53D0-429C-9E63-E8C47AE4CBDC}" uniqueName="5034" name="Column5034" queryTableFieldId="5034"/>
    <tableColumn id="5035" xr3:uid="{1E14C858-7FB2-4AA0-89EC-28F993830766}" uniqueName="5035" name="Column5035" queryTableFieldId="5035"/>
    <tableColumn id="5036" xr3:uid="{EEE9EF1D-7B25-40B8-B810-F06A7E0CA95A}" uniqueName="5036" name="Column5036" queryTableFieldId="5036"/>
    <tableColumn id="5037" xr3:uid="{34A2064D-4B2C-4634-A613-52D3606A6225}" uniqueName="5037" name="Column5037" queryTableFieldId="5037"/>
    <tableColumn id="5038" xr3:uid="{EAABCB18-EDBA-4891-AC4B-AE09AC14F862}" uniqueName="5038" name="Column5038" queryTableFieldId="5038"/>
    <tableColumn id="5039" xr3:uid="{33A2485D-2363-461B-8EF9-F15B200CD26F}" uniqueName="5039" name="Column5039" queryTableFieldId="5039"/>
    <tableColumn id="5040" xr3:uid="{E1124FF8-C381-4F05-B2DD-C33649333244}" uniqueName="5040" name="Column5040" queryTableFieldId="5040"/>
    <tableColumn id="5041" xr3:uid="{B4F2D652-7E2D-472B-B200-D4EFB6FAAE3C}" uniqueName="5041" name="Column5041" queryTableFieldId="5041"/>
    <tableColumn id="5042" xr3:uid="{65C4CBCC-BD73-492E-8896-A9805380DAD9}" uniqueName="5042" name="Column5042" queryTableFieldId="5042"/>
    <tableColumn id="5043" xr3:uid="{E0E1F63E-5720-4CDA-9363-BFA585B66C6D}" uniqueName="5043" name="Column5043" queryTableFieldId="5043"/>
    <tableColumn id="5044" xr3:uid="{0405ED69-4A9A-4BB1-BBDE-069B4B753A7A}" uniqueName="5044" name="Column5044" queryTableFieldId="5044"/>
    <tableColumn id="5045" xr3:uid="{02E6FDE6-3A3D-47E7-AF83-FE189883C44D}" uniqueName="5045" name="Column5045" queryTableFieldId="5045"/>
    <tableColumn id="5046" xr3:uid="{06086B7A-2951-4FB5-A043-1257BD685A7B}" uniqueName="5046" name="Column5046" queryTableFieldId="5046"/>
    <tableColumn id="5047" xr3:uid="{7119688A-5499-4888-8FEB-295D909C3841}" uniqueName="5047" name="Column5047" queryTableFieldId="5047"/>
    <tableColumn id="5048" xr3:uid="{E392694F-A265-4E3A-86E6-96A6D6741A29}" uniqueName="5048" name="Column5048" queryTableFieldId="5048"/>
    <tableColumn id="5049" xr3:uid="{9F7BC786-5112-4DDC-924C-B3E3A78956F6}" uniqueName="5049" name="Column5049" queryTableFieldId="5049"/>
    <tableColumn id="5050" xr3:uid="{558EA0F9-9ABF-4428-A945-F0D2587731BD}" uniqueName="5050" name="Column5050" queryTableFieldId="5050"/>
    <tableColumn id="5051" xr3:uid="{0D80B2DC-31B6-4F84-AA77-0A07AE851E65}" uniqueName="5051" name="Column5051" queryTableFieldId="5051"/>
    <tableColumn id="5052" xr3:uid="{D22AAE04-D024-49C8-A8F0-9ED92A6F8DF8}" uniqueName="5052" name="Column5052" queryTableFieldId="5052"/>
    <tableColumn id="5053" xr3:uid="{7F43509E-3989-44F4-98BC-0FDAAEA08435}" uniqueName="5053" name="Column5053" queryTableFieldId="5053"/>
    <tableColumn id="5054" xr3:uid="{9C5131C5-271B-4F80-A6E4-92F73B5E76D7}" uniqueName="5054" name="Column5054" queryTableFieldId="5054"/>
    <tableColumn id="5055" xr3:uid="{96B9D46D-C043-4F28-BBDB-7AFFB7747499}" uniqueName="5055" name="Column5055" queryTableFieldId="5055"/>
    <tableColumn id="5056" xr3:uid="{F500293F-340A-4847-8ACE-D106273603DF}" uniqueName="5056" name="Column5056" queryTableFieldId="5056"/>
    <tableColumn id="5057" xr3:uid="{6FC78AE7-579C-494A-90B5-04C190C6808A}" uniqueName="5057" name="Column5057" queryTableFieldId="5057"/>
    <tableColumn id="5058" xr3:uid="{B7035651-DBB1-4E66-9181-55491A08E1C1}" uniqueName="5058" name="Column5058" queryTableFieldId="5058"/>
    <tableColumn id="5059" xr3:uid="{48A36184-CE46-4308-968E-1FA1C6A93C7B}" uniqueName="5059" name="Column5059" queryTableFieldId="5059"/>
    <tableColumn id="5060" xr3:uid="{9F04876A-FF68-48D2-831D-BBE4E3A77794}" uniqueName="5060" name="Column5060" queryTableFieldId="5060"/>
    <tableColumn id="5061" xr3:uid="{BEF7A5E7-FC01-4C25-B097-85A23ABD3AA6}" uniqueName="5061" name="Column5061" queryTableFieldId="5061"/>
    <tableColumn id="5062" xr3:uid="{863F941E-8B5D-4B97-A0C7-00FE46549390}" uniqueName="5062" name="Column5062" queryTableFieldId="5062"/>
    <tableColumn id="5063" xr3:uid="{CE167D2C-DD67-4340-B369-2EE926331320}" uniqueName="5063" name="Column5063" queryTableFieldId="5063"/>
    <tableColumn id="5064" xr3:uid="{E1C02565-90B1-49E4-AEE2-F4581228AB6C}" uniqueName="5064" name="Column5064" queryTableFieldId="5064"/>
    <tableColumn id="5065" xr3:uid="{7C169AE2-6DD7-4C97-BC1B-CCF13810AAEC}" uniqueName="5065" name="Column5065" queryTableFieldId="5065"/>
    <tableColumn id="5066" xr3:uid="{F89A9DBC-34E8-4BD2-A0F2-74429E91764D}" uniqueName="5066" name="Column5066" queryTableFieldId="5066"/>
    <tableColumn id="5067" xr3:uid="{AF3CDCC3-D473-415B-B0DD-681D1BC7C6C1}" uniqueName="5067" name="Column5067" queryTableFieldId="5067"/>
    <tableColumn id="5068" xr3:uid="{2B64F075-AA6B-4FDE-82A3-6A943E71711B}" uniqueName="5068" name="Column5068" queryTableFieldId="5068"/>
    <tableColumn id="5069" xr3:uid="{C873C941-39A6-439A-A01B-1DACE8ADE687}" uniqueName="5069" name="Column5069" queryTableFieldId="5069"/>
    <tableColumn id="5070" xr3:uid="{A2406815-0FBB-4A79-84B1-AA7E43F612CF}" uniqueName="5070" name="Column5070" queryTableFieldId="5070"/>
    <tableColumn id="5071" xr3:uid="{533DD67F-068E-4B24-A25B-93D9B7D262B0}" uniqueName="5071" name="Column5071" queryTableFieldId="5071"/>
    <tableColumn id="5072" xr3:uid="{9395C97E-984C-458D-ADA6-7A1C4FBB771A}" uniqueName="5072" name="Column5072" queryTableFieldId="5072"/>
    <tableColumn id="5073" xr3:uid="{E14B09B3-7715-4178-B22D-D8A638735531}" uniqueName="5073" name="Column5073" queryTableFieldId="5073"/>
    <tableColumn id="5074" xr3:uid="{E44DECEA-2A68-4C66-8DDC-E998CE106D9D}" uniqueName="5074" name="Column5074" queryTableFieldId="5074"/>
    <tableColumn id="5075" xr3:uid="{A8F64106-E1A4-4208-9AA3-6D1A2E65B1B3}" uniqueName="5075" name="Column5075" queryTableFieldId="5075"/>
    <tableColumn id="5076" xr3:uid="{317E4223-2D63-4108-A3FF-3660A8EACE68}" uniqueName="5076" name="Column5076" queryTableFieldId="5076"/>
    <tableColumn id="5077" xr3:uid="{5AE5CDF8-BA1D-411C-B8E2-BD1CF369B9BC}" uniqueName="5077" name="Column5077" queryTableFieldId="5077"/>
    <tableColumn id="5078" xr3:uid="{F6B3D34D-96FF-4417-AA98-28F73C8A91F3}" uniqueName="5078" name="Column5078" queryTableFieldId="5078"/>
    <tableColumn id="5079" xr3:uid="{F3B12A76-3C5D-40DE-A09B-79281CDF4FCA}" uniqueName="5079" name="Column5079" queryTableFieldId="5079"/>
    <tableColumn id="5080" xr3:uid="{7DA4AE82-0A7A-4693-B067-BB34E94FCF38}" uniqueName="5080" name="Column5080" queryTableFieldId="5080"/>
    <tableColumn id="5081" xr3:uid="{ECE36BD6-9192-4AE8-9A74-B8306C1EA623}" uniqueName="5081" name="Column5081" queryTableFieldId="5081"/>
    <tableColumn id="5082" xr3:uid="{C8730DDC-EA05-42C3-AA87-BC99C496FA20}" uniqueName="5082" name="Column5082" queryTableFieldId="5082"/>
    <tableColumn id="5083" xr3:uid="{F6EC5B0F-F533-48BC-BE86-70BB46C5FD46}" uniqueName="5083" name="Column5083" queryTableFieldId="5083"/>
    <tableColumn id="5084" xr3:uid="{4D70A09E-80CF-498E-A63D-2D284FCD1B6E}" uniqueName="5084" name="Column5084" queryTableFieldId="5084"/>
    <tableColumn id="5085" xr3:uid="{3260DAE5-5640-422C-A17E-070A43763195}" uniqueName="5085" name="Column5085" queryTableFieldId="5085"/>
    <tableColumn id="5086" xr3:uid="{8F4A897A-3F54-4039-BD8B-DCED5F607DC6}" uniqueName="5086" name="Column5086" queryTableFieldId="5086"/>
    <tableColumn id="5087" xr3:uid="{B06338CE-B688-4205-9D49-4ED34A7BB218}" uniqueName="5087" name="Column5087" queryTableFieldId="5087"/>
    <tableColumn id="5088" xr3:uid="{370DD41D-B833-481A-8E14-D0D77BC46C33}" uniqueName="5088" name="Column5088" queryTableFieldId="5088"/>
    <tableColumn id="5089" xr3:uid="{19412527-65C2-4AA6-B376-1AEEA41B2D4B}" uniqueName="5089" name="Column5089" queryTableFieldId="5089"/>
    <tableColumn id="5090" xr3:uid="{C4CEFD0B-EDDF-40FF-8281-21C3FC95A9EB}" uniqueName="5090" name="Column5090" queryTableFieldId="5090"/>
    <tableColumn id="5091" xr3:uid="{CB962917-548D-45EA-AB48-7A3B71D67C1E}" uniqueName="5091" name="Column5091" queryTableFieldId="5091"/>
    <tableColumn id="5092" xr3:uid="{2FA1445D-DBCD-43FA-8A16-E38E01EFF2C2}" uniqueName="5092" name="Column5092" queryTableFieldId="5092"/>
    <tableColumn id="5093" xr3:uid="{827C97A2-C8E4-4D3A-B01F-EFCA36CC7FBE}" uniqueName="5093" name="Column5093" queryTableFieldId="5093"/>
    <tableColumn id="5094" xr3:uid="{A2AF4742-8FDD-4101-93DC-0B88B6284F3A}" uniqueName="5094" name="Column5094" queryTableFieldId="5094"/>
    <tableColumn id="5095" xr3:uid="{E49B0BF3-2185-482E-87BF-7704640678CB}" uniqueName="5095" name="Column5095" queryTableFieldId="5095"/>
    <tableColumn id="5096" xr3:uid="{BBA705C0-D350-4C93-A3A3-ACBA4F73CB67}" uniqueName="5096" name="Column5096" queryTableFieldId="5096"/>
    <tableColumn id="5097" xr3:uid="{245C1500-1CA2-4EAC-94E2-934175009EF9}" uniqueName="5097" name="Column5097" queryTableFieldId="5097"/>
    <tableColumn id="5098" xr3:uid="{D8A59E07-4E7F-4EE8-9ED6-66CBAD65C7AD}" uniqueName="5098" name="Column5098" queryTableFieldId="5098"/>
    <tableColumn id="5099" xr3:uid="{11A49270-BFA7-489A-AEF8-AE574656748C}" uniqueName="5099" name="Column5099" queryTableFieldId="5099"/>
    <tableColumn id="5100" xr3:uid="{884DA6A5-86B2-42BB-9F0A-327A7A91CF88}" uniqueName="5100" name="Column5100" queryTableFieldId="5100"/>
    <tableColumn id="5101" xr3:uid="{E4DDE04D-FA4C-41C1-A03C-9045464DA678}" uniqueName="5101" name="Column5101" queryTableFieldId="5101"/>
    <tableColumn id="5102" xr3:uid="{ADA7356D-66F6-4AE6-8092-D6CE3BDDE3BE}" uniqueName="5102" name="Column5102" queryTableFieldId="5102"/>
    <tableColumn id="5103" xr3:uid="{31072AE4-A0C0-4F5A-9246-3369AB05C1A5}" uniqueName="5103" name="Column5103" queryTableFieldId="5103"/>
    <tableColumn id="5104" xr3:uid="{ED210740-56C5-4055-BC05-E6979C8F2FCE}" uniqueName="5104" name="Column5104" queryTableFieldId="5104"/>
    <tableColumn id="5105" xr3:uid="{70506126-6EFE-4591-A563-3AC9454AF411}" uniqueName="5105" name="Column5105" queryTableFieldId="5105"/>
    <tableColumn id="5106" xr3:uid="{49AFB38D-B01D-4170-B6A5-5B2DE8A7D944}" uniqueName="5106" name="Column5106" queryTableFieldId="5106"/>
    <tableColumn id="5107" xr3:uid="{FB324157-4D9E-4514-BF4F-3B9A38FADB9B}" uniqueName="5107" name="Column5107" queryTableFieldId="5107"/>
    <tableColumn id="5108" xr3:uid="{6E469214-7267-4437-8B72-68222B221904}" uniqueName="5108" name="Column5108" queryTableFieldId="5108"/>
    <tableColumn id="5109" xr3:uid="{318EFB97-04C8-4F80-A082-9E3378C219F3}" uniqueName="5109" name="Column5109" queryTableFieldId="5109"/>
    <tableColumn id="5110" xr3:uid="{907E0609-364C-4883-B28A-42C9E80EF705}" uniqueName="5110" name="Column5110" queryTableFieldId="5110"/>
    <tableColumn id="5111" xr3:uid="{4F964872-42BE-4AAA-B432-FFA4834D806A}" uniqueName="5111" name="Column5111" queryTableFieldId="5111"/>
    <tableColumn id="5112" xr3:uid="{AD0A22DA-D341-4166-8B8C-3DE912649E60}" uniqueName="5112" name="Column5112" queryTableFieldId="5112"/>
    <tableColumn id="5113" xr3:uid="{CE53F4F9-CA03-4129-8F36-C4AE84A6C170}" uniqueName="5113" name="Column5113" queryTableFieldId="5113"/>
    <tableColumn id="5114" xr3:uid="{9962608C-38FE-4FD1-AB8A-DC0F793815C8}" uniqueName="5114" name="Column5114" queryTableFieldId="5114"/>
    <tableColumn id="5115" xr3:uid="{E372DDE2-2861-4E22-848B-7B772443A934}" uniqueName="5115" name="Column5115" queryTableFieldId="5115"/>
    <tableColumn id="5116" xr3:uid="{442652FE-8724-458E-8E83-0FD7AE1086BC}" uniqueName="5116" name="Column5116" queryTableFieldId="5116"/>
    <tableColumn id="5117" xr3:uid="{09BE5A7E-3C95-4570-89BD-84AB26CA17DA}" uniqueName="5117" name="Column5117" queryTableFieldId="5117"/>
    <tableColumn id="5118" xr3:uid="{B136DA2F-297E-4B7C-A9CF-3FF4BBA559BE}" uniqueName="5118" name="Column5118" queryTableFieldId="5118"/>
    <tableColumn id="5119" xr3:uid="{0FC5E9B9-14BD-454C-9F87-AF1F3B2E9FD3}" uniqueName="5119" name="Column5119" queryTableFieldId="5119"/>
    <tableColumn id="5120" xr3:uid="{08301796-FF5C-4F73-B893-E4A33A29EF0B}" uniqueName="5120" name="Column5120" queryTableFieldId="5120"/>
    <tableColumn id="5121" xr3:uid="{C3A500A6-CCC8-4B57-8BC7-74588C136C48}" uniqueName="5121" name="Column5121" queryTableFieldId="5121"/>
    <tableColumn id="5122" xr3:uid="{E329DC70-0374-455F-9655-BF314AE83843}" uniqueName="5122" name="Column5122" queryTableFieldId="5122"/>
    <tableColumn id="5123" xr3:uid="{467CBE06-8748-4BBD-BADB-DFB715CF2652}" uniqueName="5123" name="Column5123" queryTableFieldId="5123"/>
    <tableColumn id="5124" xr3:uid="{81E9C9BC-F0F3-48DF-AF77-2FC13204C3D2}" uniqueName="5124" name="Column5124" queryTableFieldId="5124"/>
    <tableColumn id="5125" xr3:uid="{DA6E6D00-D06A-43B0-A2D4-22E87290E7C9}" uniqueName="5125" name="Column5125" queryTableFieldId="5125"/>
    <tableColumn id="5126" xr3:uid="{A0BAC4CC-B9DA-49EB-B8F5-63CC060B5AE2}" uniqueName="5126" name="Column5126" queryTableFieldId="5126"/>
    <tableColumn id="5127" xr3:uid="{15A6C03E-5B9B-4DA2-9BE0-F1CE551F370C}" uniqueName="5127" name="Column5127" queryTableFieldId="5127"/>
    <tableColumn id="5128" xr3:uid="{64B62F86-451A-4C3B-90B9-B65FAD4D2CE0}" uniqueName="5128" name="Column5128" queryTableFieldId="5128"/>
    <tableColumn id="5129" xr3:uid="{1B5C3E03-A79D-425B-B39A-4DAE46050E45}" uniqueName="5129" name="Column5129" queryTableFieldId="5129"/>
    <tableColumn id="5130" xr3:uid="{3E159290-589B-4A21-92EC-99CBEA9D8B3B}" uniqueName="5130" name="Column5130" queryTableFieldId="5130"/>
    <tableColumn id="5131" xr3:uid="{7CAA496D-EDCB-4F3B-AC58-D809DBCB970A}" uniqueName="5131" name="Column5131" queryTableFieldId="5131"/>
    <tableColumn id="5132" xr3:uid="{151FA674-024C-45A7-A383-8460B862B403}" uniqueName="5132" name="Column5132" queryTableFieldId="5132"/>
    <tableColumn id="5133" xr3:uid="{7081CDAF-6248-4D28-84B5-A6C3A6B809B6}" uniqueName="5133" name="Column5133" queryTableFieldId="5133"/>
    <tableColumn id="5134" xr3:uid="{979BC203-5F0D-46FE-8A37-A126CFAE0DD8}" uniqueName="5134" name="Column5134" queryTableFieldId="5134"/>
    <tableColumn id="5135" xr3:uid="{BE0E6FA6-91C1-4D4E-AEBB-4094EF0F5938}" uniqueName="5135" name="Column5135" queryTableFieldId="5135"/>
    <tableColumn id="5136" xr3:uid="{4DF3E438-068F-4334-A679-50BB22474556}" uniqueName="5136" name="Column5136" queryTableFieldId="5136"/>
    <tableColumn id="5137" xr3:uid="{27489735-F94B-4920-9E71-27B918148308}" uniqueName="5137" name="Column5137" queryTableFieldId="5137"/>
    <tableColumn id="5138" xr3:uid="{C2E7A6B5-4F1F-43D9-91F8-94DBE2DABF41}" uniqueName="5138" name="Column5138" queryTableFieldId="5138"/>
    <tableColumn id="5139" xr3:uid="{C135DA76-C68E-4992-9D27-50D3C9AC0A9E}" uniqueName="5139" name="Column5139" queryTableFieldId="5139"/>
    <tableColumn id="5140" xr3:uid="{B5EB57BF-CBA6-4D1B-8011-75C07F5F9D85}" uniqueName="5140" name="Column5140" queryTableFieldId="5140"/>
    <tableColumn id="5141" xr3:uid="{B61024B9-8957-4607-959B-63E51E65C11C}" uniqueName="5141" name="Column5141" queryTableFieldId="5141"/>
    <tableColumn id="5142" xr3:uid="{A73749DB-9BA3-4CF3-8588-E68B97F9A178}" uniqueName="5142" name="Column5142" queryTableFieldId="5142"/>
    <tableColumn id="5143" xr3:uid="{7A3772A3-5976-4726-8A7A-199EDE97CBDA}" uniqueName="5143" name="Column5143" queryTableFieldId="5143"/>
    <tableColumn id="5144" xr3:uid="{B5F25AA9-2D34-48A3-A43E-A4F04D8FDEF2}" uniqueName="5144" name="Column5144" queryTableFieldId="5144"/>
    <tableColumn id="5145" xr3:uid="{0D26DE1A-2917-4763-9208-708C4772F185}" uniqueName="5145" name="Column5145" queryTableFieldId="5145"/>
    <tableColumn id="5146" xr3:uid="{6AC3FFDD-DD84-4B4D-947D-6CE711A906F0}" uniqueName="5146" name="Column5146" queryTableFieldId="5146"/>
    <tableColumn id="5147" xr3:uid="{07EE4B66-C9A8-4F6F-A806-904EAC7D4B53}" uniqueName="5147" name="Column5147" queryTableFieldId="5147"/>
    <tableColumn id="5148" xr3:uid="{E0B28DE3-591D-4FA9-BAC8-1BC9DE16DB71}" uniqueName="5148" name="Column5148" queryTableFieldId="5148"/>
    <tableColumn id="5149" xr3:uid="{5D358C7E-771A-4B0B-9902-62E8563B135B}" uniqueName="5149" name="Column5149" queryTableFieldId="5149"/>
    <tableColumn id="5150" xr3:uid="{EE01D2E9-4E5A-4E35-951C-8FAD7FA5195D}" uniqueName="5150" name="Column5150" queryTableFieldId="5150"/>
    <tableColumn id="5151" xr3:uid="{A71BDA9B-A668-4B83-BFDF-22FF3DE71D21}" uniqueName="5151" name="Column5151" queryTableFieldId="5151"/>
    <tableColumn id="5152" xr3:uid="{08AC88BC-C9AB-44D7-97B2-0BA5281D6147}" uniqueName="5152" name="Column5152" queryTableFieldId="5152"/>
    <tableColumn id="5153" xr3:uid="{3FE10DBB-6D91-4FF4-B183-45B1CB57E1EC}" uniqueName="5153" name="Column5153" queryTableFieldId="5153"/>
    <tableColumn id="5154" xr3:uid="{C1FFC3F2-5A2B-44F2-9066-BFF03FE76EDD}" uniqueName="5154" name="Column5154" queryTableFieldId="5154"/>
    <tableColumn id="5155" xr3:uid="{36F49B9D-C973-4EDA-B140-7F4017F014C0}" uniqueName="5155" name="Column5155" queryTableFieldId="5155"/>
    <tableColumn id="5156" xr3:uid="{A0FEDE97-9A26-4860-8462-1A10CD79D2CB}" uniqueName="5156" name="Column5156" queryTableFieldId="5156"/>
    <tableColumn id="5157" xr3:uid="{5E0E9CC7-1B22-41EA-ACBF-7C05A57013FE}" uniqueName="5157" name="Column5157" queryTableFieldId="5157"/>
    <tableColumn id="5158" xr3:uid="{798D6842-313E-4588-897D-EBF4F93ADE24}" uniqueName="5158" name="Column5158" queryTableFieldId="5158"/>
    <tableColumn id="5159" xr3:uid="{48D9299C-B50D-442C-A9E5-3B260E123824}" uniqueName="5159" name="Column5159" queryTableFieldId="5159"/>
    <tableColumn id="5160" xr3:uid="{4A272A33-6A53-41C3-98B1-CB4BEC4E5F1B}" uniqueName="5160" name="Column5160" queryTableFieldId="5160"/>
    <tableColumn id="5161" xr3:uid="{277BAF50-2C51-4F37-8466-FD362687F2DF}" uniqueName="5161" name="Column5161" queryTableFieldId="5161"/>
    <tableColumn id="5162" xr3:uid="{0465DEC3-AACB-4BE4-AB4D-74A618EFB933}" uniqueName="5162" name="Column5162" queryTableFieldId="5162"/>
    <tableColumn id="5163" xr3:uid="{64218D77-8AE9-4A25-BD7B-34B205F0BEB9}" uniqueName="5163" name="Column5163" queryTableFieldId="5163"/>
    <tableColumn id="5164" xr3:uid="{7BCC0F77-9911-45D1-8F37-2826F09F3B16}" uniqueName="5164" name="Column5164" queryTableFieldId="5164"/>
    <tableColumn id="5165" xr3:uid="{681BA9F9-F220-4960-9DAB-8B7D8102A432}" uniqueName="5165" name="Column5165" queryTableFieldId="5165"/>
    <tableColumn id="5166" xr3:uid="{2468407D-CE92-4C81-9135-0391E3567662}" uniqueName="5166" name="Column5166" queryTableFieldId="5166"/>
    <tableColumn id="5167" xr3:uid="{4E127239-EC3F-4434-801B-AB809C1C51DB}" uniqueName="5167" name="Column5167" queryTableFieldId="5167"/>
    <tableColumn id="5168" xr3:uid="{0B9CEB6A-49D4-4079-BB8D-06353F6DE1F9}" uniqueName="5168" name="Column5168" queryTableFieldId="5168"/>
    <tableColumn id="5169" xr3:uid="{D1698CCE-0D87-40F1-B88B-4432088F8CE1}" uniqueName="5169" name="Column5169" queryTableFieldId="5169"/>
    <tableColumn id="5170" xr3:uid="{8FE61C01-0C25-4B7C-A343-DBB98CAB1D41}" uniqueName="5170" name="Column5170" queryTableFieldId="5170"/>
    <tableColumn id="5171" xr3:uid="{00077F1F-5687-41BB-AEDA-353716E7DF58}" uniqueName="5171" name="Column5171" queryTableFieldId="5171"/>
    <tableColumn id="5172" xr3:uid="{7DF7BE1C-2FE0-42B8-8EF4-CAC43385B5F3}" uniqueName="5172" name="Column5172" queryTableFieldId="5172"/>
    <tableColumn id="5173" xr3:uid="{37D017DC-5EF1-4368-B397-0C61B9707B48}" uniqueName="5173" name="Column5173" queryTableFieldId="5173"/>
    <tableColumn id="5174" xr3:uid="{780FE006-659A-4A50-BDCD-6E35B5561FA4}" uniqueName="5174" name="Column5174" queryTableFieldId="5174"/>
    <tableColumn id="5175" xr3:uid="{1DDE2189-2929-4976-A5F3-31D5744CFAF0}" uniqueName="5175" name="Column5175" queryTableFieldId="5175"/>
    <tableColumn id="5176" xr3:uid="{7990DE71-3E63-41A2-B7D3-E8E6E0347651}" uniqueName="5176" name="Column5176" queryTableFieldId="5176"/>
    <tableColumn id="5177" xr3:uid="{46F6FC69-69BC-48B6-A2B2-128D01F3CBAB}" uniqueName="5177" name="Column5177" queryTableFieldId="5177"/>
    <tableColumn id="5178" xr3:uid="{AF96C8D1-1579-46DD-BA6B-C2C577A394AC}" uniqueName="5178" name="Column5178" queryTableFieldId="5178"/>
    <tableColumn id="5179" xr3:uid="{9101BD1E-1E57-4570-88EC-BA8372AD0651}" uniqueName="5179" name="Column5179" queryTableFieldId="5179"/>
    <tableColumn id="5180" xr3:uid="{4BF5C088-CFAA-41CD-B6A1-3BD548E8F536}" uniqueName="5180" name="Column5180" queryTableFieldId="5180"/>
    <tableColumn id="5181" xr3:uid="{DEEB8B63-8AFB-4BE4-93C7-BF8281913A0D}" uniqueName="5181" name="Column5181" queryTableFieldId="5181"/>
    <tableColumn id="5182" xr3:uid="{5D2A5830-7C42-46DB-A445-FFD95509A4EE}" uniqueName="5182" name="Column5182" queryTableFieldId="5182"/>
    <tableColumn id="5183" xr3:uid="{DAA54D53-EE51-4B80-BB22-FB2F2B8FA83C}" uniqueName="5183" name="Column5183" queryTableFieldId="5183"/>
    <tableColumn id="5184" xr3:uid="{1966814A-1083-42D1-924F-625301902861}" uniqueName="5184" name="Column5184" queryTableFieldId="5184"/>
    <tableColumn id="5185" xr3:uid="{5DE31FBF-CF99-4D36-BE1F-83A98C897853}" uniqueName="5185" name="Column5185" queryTableFieldId="5185"/>
    <tableColumn id="5186" xr3:uid="{EA1B0D0A-56A4-411C-83A5-57B7EC07D264}" uniqueName="5186" name="Column5186" queryTableFieldId="5186"/>
    <tableColumn id="5187" xr3:uid="{99999B93-8E66-43DE-BF03-EA3618F6AFC6}" uniqueName="5187" name="Column5187" queryTableFieldId="5187"/>
    <tableColumn id="5188" xr3:uid="{09434C89-FAC1-4022-A8D7-2411007DB641}" uniqueName="5188" name="Column5188" queryTableFieldId="5188"/>
    <tableColumn id="5189" xr3:uid="{9700F5FB-A7F4-48D9-9702-EC974F5475C4}" uniqueName="5189" name="Column5189" queryTableFieldId="5189"/>
    <tableColumn id="5190" xr3:uid="{1330A3F7-BCBB-45A4-90ED-B3FA9D309AF8}" uniqueName="5190" name="Column5190" queryTableFieldId="5190"/>
    <tableColumn id="5191" xr3:uid="{85D92CBC-A379-4F00-A603-BF7BACBCD54B}" uniqueName="5191" name="Column5191" queryTableFieldId="5191"/>
    <tableColumn id="5192" xr3:uid="{957AFE3A-9204-419D-BD58-64E121D43CDC}" uniqueName="5192" name="Column5192" queryTableFieldId="5192"/>
    <tableColumn id="5193" xr3:uid="{67A9747D-0902-4ECA-A9B6-45521D009B16}" uniqueName="5193" name="Column5193" queryTableFieldId="5193"/>
    <tableColumn id="5194" xr3:uid="{77B49F38-246E-4F25-B036-35CF49F86958}" uniqueName="5194" name="Column5194" queryTableFieldId="5194"/>
    <tableColumn id="5195" xr3:uid="{051809A0-C3CF-4F76-A18A-15D3EDCB6928}" uniqueName="5195" name="Column5195" queryTableFieldId="5195"/>
    <tableColumn id="5196" xr3:uid="{3CB0D04C-0C3E-4498-92D1-84BA09313586}" uniqueName="5196" name="Column5196" queryTableFieldId="5196"/>
    <tableColumn id="5197" xr3:uid="{9B90B903-66A3-4390-A2B0-21EE4AC9729B}" uniqueName="5197" name="Column5197" queryTableFieldId="5197"/>
    <tableColumn id="5198" xr3:uid="{80197737-9567-4893-B3DF-4358D30BC5CF}" uniqueName="5198" name="Column5198" queryTableFieldId="5198"/>
    <tableColumn id="5199" xr3:uid="{FF22F13E-FB43-4AE3-9C7C-D1B542DE03C0}" uniqueName="5199" name="Column5199" queryTableFieldId="5199"/>
    <tableColumn id="5200" xr3:uid="{B43754B1-ED00-49D4-A844-BFB2F8A753F8}" uniqueName="5200" name="Column5200" queryTableFieldId="5200"/>
    <tableColumn id="5201" xr3:uid="{3E5C36AE-2BB9-42CB-90C9-7458419D362A}" uniqueName="5201" name="Column5201" queryTableFieldId="5201"/>
    <tableColumn id="5202" xr3:uid="{803535D6-6078-48A5-B0D3-4E4CB6A32CD2}" uniqueName="5202" name="Column5202" queryTableFieldId="5202"/>
    <tableColumn id="5203" xr3:uid="{B09E6C32-1393-41E9-B7B4-9BE784890EEE}" uniqueName="5203" name="Column5203" queryTableFieldId="5203"/>
    <tableColumn id="5204" xr3:uid="{5E487119-43FD-4E65-9456-F85A321E6B46}" uniqueName="5204" name="Column5204" queryTableFieldId="5204"/>
    <tableColumn id="5205" xr3:uid="{CC7626FB-257D-4EFC-A2F3-59DA9B10B44C}" uniqueName="5205" name="Column5205" queryTableFieldId="5205"/>
    <tableColumn id="5206" xr3:uid="{667DC22B-0CDF-4E62-A17D-2979972EA9EB}" uniqueName="5206" name="Column5206" queryTableFieldId="5206"/>
    <tableColumn id="5207" xr3:uid="{11B005A4-967A-43BA-B8EF-29555A9FB5BA}" uniqueName="5207" name="Column5207" queryTableFieldId="5207"/>
    <tableColumn id="5208" xr3:uid="{EE724987-DC91-4BB6-80B7-6A7FF28258EB}" uniqueName="5208" name="Column5208" queryTableFieldId="5208"/>
    <tableColumn id="5209" xr3:uid="{31CE0D35-9EC3-42EE-838B-7980BE99C5B1}" uniqueName="5209" name="Column5209" queryTableFieldId="5209"/>
    <tableColumn id="5210" xr3:uid="{3E4844EE-D899-48EA-8CF7-79B9D77E196D}" uniqueName="5210" name="Column5210" queryTableFieldId="5210"/>
    <tableColumn id="5211" xr3:uid="{E2E13E21-1D3F-4519-A309-513E600C018B}" uniqueName="5211" name="Column5211" queryTableFieldId="5211"/>
    <tableColumn id="5212" xr3:uid="{F92CE37B-52D5-4DCB-A109-3BEE8EAD5977}" uniqueName="5212" name="Column5212" queryTableFieldId="5212"/>
    <tableColumn id="5213" xr3:uid="{8A5BB041-CFA8-4908-9DB1-1152C0FA316A}" uniqueName="5213" name="Column5213" queryTableFieldId="5213"/>
    <tableColumn id="5214" xr3:uid="{BDA6ABC1-7D1D-41A3-B1A2-8A2A5E931CAF}" uniqueName="5214" name="Column5214" queryTableFieldId="5214"/>
    <tableColumn id="5215" xr3:uid="{261EE2A1-4B26-41D5-8233-3F1BC8E553F7}" uniqueName="5215" name="Column5215" queryTableFieldId="5215"/>
    <tableColumn id="5216" xr3:uid="{B14A8F48-8382-4478-80E5-1640ADDE641B}" uniqueName="5216" name="Column5216" queryTableFieldId="5216"/>
    <tableColumn id="5217" xr3:uid="{0C7DD554-C41A-4818-93A0-9C4B90C8DA3B}" uniqueName="5217" name="Column5217" queryTableFieldId="5217"/>
    <tableColumn id="5218" xr3:uid="{EB3B2250-A823-4EC1-9364-FC8DDCF4DA70}" uniqueName="5218" name="Column5218" queryTableFieldId="5218"/>
    <tableColumn id="5219" xr3:uid="{7E8B6BCD-F219-4415-90AD-C6F882B1F75D}" uniqueName="5219" name="Column5219" queryTableFieldId="5219"/>
    <tableColumn id="5220" xr3:uid="{9E31E42F-4269-4833-BB7D-49213B9AA24E}" uniqueName="5220" name="Column5220" queryTableFieldId="5220"/>
    <tableColumn id="5221" xr3:uid="{2058CA2F-FA18-4CBA-8066-AC798967A682}" uniqueName="5221" name="Column5221" queryTableFieldId="5221"/>
    <tableColumn id="5222" xr3:uid="{13A32E4F-BC71-4BC9-BA4C-CDC15166A22E}" uniqueName="5222" name="Column5222" queryTableFieldId="5222"/>
    <tableColumn id="5223" xr3:uid="{E41A1964-5AB9-48E4-BEED-458D8FC563F0}" uniqueName="5223" name="Column5223" queryTableFieldId="5223"/>
    <tableColumn id="5224" xr3:uid="{D52A25B2-7ADF-4BD2-A3D4-8206F7722DD4}" uniqueName="5224" name="Column5224" queryTableFieldId="5224"/>
    <tableColumn id="5225" xr3:uid="{EB43FB19-D702-4288-8D13-099E26F7DE51}" uniqueName="5225" name="Column5225" queryTableFieldId="5225"/>
    <tableColumn id="5226" xr3:uid="{F1910CEE-F1EB-45DC-9DE8-552709A3BDE6}" uniqueName="5226" name="Column5226" queryTableFieldId="5226"/>
    <tableColumn id="5227" xr3:uid="{621623A8-6134-4828-A858-60B74A4F5508}" uniqueName="5227" name="Column5227" queryTableFieldId="5227"/>
    <tableColumn id="5228" xr3:uid="{A8FDF432-5212-43D3-A64D-A7C80FDD9234}" uniqueName="5228" name="Column5228" queryTableFieldId="5228"/>
    <tableColumn id="5229" xr3:uid="{0A5604D6-3A76-41F3-9AE2-55AF50AD489C}" uniqueName="5229" name="Column5229" queryTableFieldId="5229"/>
    <tableColumn id="5230" xr3:uid="{A66CC33F-9DFB-43FC-84B5-ADDF2EAFFBC0}" uniqueName="5230" name="Column5230" queryTableFieldId="5230"/>
    <tableColumn id="5231" xr3:uid="{90E716E7-297E-4CDD-BB84-878A11D3CA32}" uniqueName="5231" name="Column5231" queryTableFieldId="5231"/>
    <tableColumn id="5232" xr3:uid="{B14C1A91-90C6-4194-A56B-EA82E6672AA8}" uniqueName="5232" name="Column5232" queryTableFieldId="5232"/>
    <tableColumn id="5233" xr3:uid="{D3632DE3-7043-4E8B-B88B-A351594836C1}" uniqueName="5233" name="Column5233" queryTableFieldId="5233"/>
    <tableColumn id="5234" xr3:uid="{1F868C61-790D-4A75-8A41-FC0B70833395}" uniqueName="5234" name="Column5234" queryTableFieldId="5234"/>
    <tableColumn id="5235" xr3:uid="{F401D7A2-9916-4703-B51E-E57331D8740A}" uniqueName="5235" name="Column5235" queryTableFieldId="5235"/>
    <tableColumn id="5236" xr3:uid="{3D75AA94-80C2-4B1B-A32F-F085774FBCAA}" uniqueName="5236" name="Column5236" queryTableFieldId="5236"/>
    <tableColumn id="5237" xr3:uid="{F20A9A5F-DDCA-42D4-BDAC-8E8684147F53}" uniqueName="5237" name="Column5237" queryTableFieldId="5237"/>
    <tableColumn id="5238" xr3:uid="{4E800315-BF96-4EA4-BE2C-87017B142CCD}" uniqueName="5238" name="Column5238" queryTableFieldId="5238"/>
    <tableColumn id="5239" xr3:uid="{FD71FC90-D431-4B27-A6C6-B07E48584279}" uniqueName="5239" name="Column5239" queryTableFieldId="5239"/>
    <tableColumn id="5240" xr3:uid="{326EE133-0005-473E-91B7-C641DFD7D4F0}" uniqueName="5240" name="Column5240" queryTableFieldId="5240"/>
    <tableColumn id="5241" xr3:uid="{F85695BD-DF23-4116-84F8-59D5FB997889}" uniqueName="5241" name="Column5241" queryTableFieldId="5241"/>
    <tableColumn id="5242" xr3:uid="{57A0890B-231F-47FE-AFFC-BB3D827A41D1}" uniqueName="5242" name="Column5242" queryTableFieldId="5242"/>
    <tableColumn id="5243" xr3:uid="{EBF536B2-3B98-489E-892D-ED6C15164151}" uniqueName="5243" name="Column5243" queryTableFieldId="5243"/>
    <tableColumn id="5244" xr3:uid="{B5C20669-7044-41BF-8B1C-54CFC3AB3991}" uniqueName="5244" name="Column5244" queryTableFieldId="5244"/>
    <tableColumn id="5245" xr3:uid="{A6FD12A4-92CD-4540-B3EB-5A90E9FA3E11}" uniqueName="5245" name="Column5245" queryTableFieldId="5245"/>
    <tableColumn id="5246" xr3:uid="{E1BE9434-E7A1-4541-B1E5-F08F5BFAD701}" uniqueName="5246" name="Column5246" queryTableFieldId="5246"/>
    <tableColumn id="5247" xr3:uid="{A78AB80A-8D4E-43A4-B4FB-D338C20D564F}" uniqueName="5247" name="Column5247" queryTableFieldId="5247"/>
    <tableColumn id="5248" xr3:uid="{B315CD2A-42B1-4F77-9C13-D379F754C013}" uniqueName="5248" name="Column5248" queryTableFieldId="5248"/>
    <tableColumn id="5249" xr3:uid="{A05658B0-F325-46E7-9233-7EDFEC686387}" uniqueName="5249" name="Column5249" queryTableFieldId="5249"/>
    <tableColumn id="5250" xr3:uid="{191E7551-3257-4BBB-9F7E-66527EE7E99B}" uniqueName="5250" name="Column5250" queryTableFieldId="5250"/>
    <tableColumn id="5251" xr3:uid="{641AE503-7E1A-4B87-A04E-F6A52326156F}" uniqueName="5251" name="Column5251" queryTableFieldId="5251"/>
    <tableColumn id="5252" xr3:uid="{E4EDCA45-5DFF-469C-B0FE-AA2CD0943F9B}" uniqueName="5252" name="Column5252" queryTableFieldId="5252"/>
    <tableColumn id="5253" xr3:uid="{0443BAB4-ACDD-410F-BDAB-2CCBFA6D44FA}" uniqueName="5253" name="Column5253" queryTableFieldId="5253"/>
    <tableColumn id="5254" xr3:uid="{66CB1584-B46F-4208-A735-001B94FED609}" uniqueName="5254" name="Column5254" queryTableFieldId="5254"/>
    <tableColumn id="5255" xr3:uid="{10257C33-3F69-4A25-B03F-125983F2A29E}" uniqueName="5255" name="Column5255" queryTableFieldId="5255"/>
    <tableColumn id="5256" xr3:uid="{7C97ECBC-A9A9-4347-A721-7D109FB56111}" uniqueName="5256" name="Column5256" queryTableFieldId="5256"/>
    <tableColumn id="5257" xr3:uid="{2984AAF7-D6FD-44E4-BD72-34CC221F8769}" uniqueName="5257" name="Column5257" queryTableFieldId="5257"/>
    <tableColumn id="5258" xr3:uid="{FB020AC1-A201-441B-B878-BD1AEA3B26D2}" uniqueName="5258" name="Column5258" queryTableFieldId="5258"/>
    <tableColumn id="5259" xr3:uid="{E93FC6B0-C4AA-4970-AB2D-77BBE1B6569A}" uniqueName="5259" name="Column5259" queryTableFieldId="5259"/>
    <tableColumn id="5260" xr3:uid="{85D8ABFA-4F05-439E-9CF1-7198E9EC38F0}" uniqueName="5260" name="Column5260" queryTableFieldId="5260"/>
    <tableColumn id="5261" xr3:uid="{A19B0646-774E-4ED2-AD62-77485519AD04}" uniqueName="5261" name="Column5261" queryTableFieldId="5261"/>
    <tableColumn id="5262" xr3:uid="{CD630693-8960-48B4-B96A-2C9F3AAB8259}" uniqueName="5262" name="Column5262" queryTableFieldId="5262"/>
    <tableColumn id="5263" xr3:uid="{2EB3EA80-0A76-4C48-B24F-BCFBC8DDF368}" uniqueName="5263" name="Column5263" queryTableFieldId="5263"/>
    <tableColumn id="5264" xr3:uid="{A9023199-438B-470E-89A7-5AE993184FCD}" uniqueName="5264" name="Column5264" queryTableFieldId="5264"/>
    <tableColumn id="5265" xr3:uid="{AB0D13C0-2602-4EBB-BB69-AC54B775C0FD}" uniqueName="5265" name="Column5265" queryTableFieldId="5265"/>
    <tableColumn id="5266" xr3:uid="{E06EEF86-1681-456A-9429-A86F6275C53C}" uniqueName="5266" name="Column5266" queryTableFieldId="5266"/>
    <tableColumn id="5267" xr3:uid="{0DB2B451-890C-4C2B-8296-7BDCFEBA68CE}" uniqueName="5267" name="Column5267" queryTableFieldId="5267"/>
    <tableColumn id="5268" xr3:uid="{4C8AEE29-1881-45E7-AF33-5DA5EF5A3E35}" uniqueName="5268" name="Column5268" queryTableFieldId="5268"/>
    <tableColumn id="5269" xr3:uid="{9DF03F3F-D13C-4803-8417-286254CB5BDB}" uniqueName="5269" name="Column5269" queryTableFieldId="5269"/>
    <tableColumn id="5270" xr3:uid="{8A7EEEA6-EF37-4581-ABD0-410C94FB16C5}" uniqueName="5270" name="Column5270" queryTableFieldId="5270"/>
    <tableColumn id="5271" xr3:uid="{E6B07E51-19AC-4C06-B01C-C122C45FE504}" uniqueName="5271" name="Column5271" queryTableFieldId="5271"/>
    <tableColumn id="5272" xr3:uid="{D8B2B0A4-36B9-4096-8EAB-D3D8358B5CCB}" uniqueName="5272" name="Column5272" queryTableFieldId="5272"/>
    <tableColumn id="5273" xr3:uid="{D720DF71-31D2-4EA8-86F9-074CBD0348E1}" uniqueName="5273" name="Column5273" queryTableFieldId="5273"/>
    <tableColumn id="5274" xr3:uid="{D15FF0A8-C5A4-4924-9B8B-48AC2DA16BF0}" uniqueName="5274" name="Column5274" queryTableFieldId="5274"/>
    <tableColumn id="5275" xr3:uid="{7F076533-06A8-4D10-BD19-19719CE8D0A3}" uniqueName="5275" name="Column5275" queryTableFieldId="5275"/>
    <tableColumn id="5276" xr3:uid="{68D2BFD4-59CD-4DC6-9897-4F0B25CA32F0}" uniqueName="5276" name="Column5276" queryTableFieldId="5276"/>
    <tableColumn id="5277" xr3:uid="{66BA1333-3394-4690-AE8E-B1C4A3B264F3}" uniqueName="5277" name="Column5277" queryTableFieldId="5277"/>
    <tableColumn id="5278" xr3:uid="{454AB453-250D-495E-8BB6-891184A2CD83}" uniqueName="5278" name="Column5278" queryTableFieldId="5278"/>
    <tableColumn id="5279" xr3:uid="{01A8E699-0C74-4FAF-8A57-A77F9784271E}" uniqueName="5279" name="Column5279" queryTableFieldId="5279"/>
    <tableColumn id="5280" xr3:uid="{69B05EA9-9A06-4090-8B87-F5161018C7A0}" uniqueName="5280" name="Column5280" queryTableFieldId="5280"/>
    <tableColumn id="5281" xr3:uid="{8367289A-6D1A-4E7E-AD6B-F887334F081D}" uniqueName="5281" name="Column5281" queryTableFieldId="5281"/>
    <tableColumn id="5282" xr3:uid="{F5E940F6-0D14-4C8B-B927-E1D70F982C32}" uniqueName="5282" name="Column5282" queryTableFieldId="5282"/>
    <tableColumn id="5283" xr3:uid="{1FEF8409-7533-409C-8ED5-B21402EA0C5F}" uniqueName="5283" name="Column5283" queryTableFieldId="5283"/>
    <tableColumn id="5284" xr3:uid="{DE8CDF4A-4802-4170-BF3C-42F7A1D6BDCE}" uniqueName="5284" name="Column5284" queryTableFieldId="5284"/>
    <tableColumn id="5285" xr3:uid="{041DDB18-F9EC-40FE-94A2-55F79BD14C78}" uniqueName="5285" name="Column5285" queryTableFieldId="5285"/>
    <tableColumn id="5286" xr3:uid="{96547332-1B9B-4C45-8211-17FB98FEE1D3}" uniqueName="5286" name="Column5286" queryTableFieldId="5286"/>
    <tableColumn id="5287" xr3:uid="{78ED5F3A-FC49-4A27-A514-9E7D2ECB89CF}" uniqueName="5287" name="Column5287" queryTableFieldId="5287"/>
    <tableColumn id="5288" xr3:uid="{2E176ABC-3378-43C3-978E-257628B2D48A}" uniqueName="5288" name="Column5288" queryTableFieldId="5288"/>
    <tableColumn id="5289" xr3:uid="{DD9B8240-7E08-4CCE-952B-7F0F75FC0887}" uniqueName="5289" name="Column5289" queryTableFieldId="5289"/>
    <tableColumn id="5290" xr3:uid="{DAA6E984-F6F4-4A25-940D-A8221074BFBD}" uniqueName="5290" name="Column5290" queryTableFieldId="5290"/>
    <tableColumn id="5291" xr3:uid="{3E7B753C-3F6D-4F9F-BC8A-AD6852C8DFAA}" uniqueName="5291" name="Column5291" queryTableFieldId="5291"/>
    <tableColumn id="5292" xr3:uid="{1CF9A816-7AFC-4AF5-9127-1054B6055AEC}" uniqueName="5292" name="Column5292" queryTableFieldId="5292"/>
    <tableColumn id="5293" xr3:uid="{26CC2BF8-B91E-4451-A73C-2B6B1851A52D}" uniqueName="5293" name="Column5293" queryTableFieldId="5293"/>
    <tableColumn id="5294" xr3:uid="{43EDB58F-F6E8-4BA0-84EA-5A4B0980C4B2}" uniqueName="5294" name="Column5294" queryTableFieldId="5294"/>
    <tableColumn id="5295" xr3:uid="{F06A7145-B527-4383-8B2A-9F56A0CE3BEA}" uniqueName="5295" name="Column5295" queryTableFieldId="5295"/>
    <tableColumn id="5296" xr3:uid="{25FC697A-78AD-46DC-BFC6-B9F280C78E77}" uniqueName="5296" name="Column5296" queryTableFieldId="5296"/>
    <tableColumn id="5297" xr3:uid="{6C7CB61F-FC96-410A-858E-D347DABA88A3}" uniqueName="5297" name="Column5297" queryTableFieldId="5297"/>
    <tableColumn id="5298" xr3:uid="{11F1D222-7609-41E9-9C06-84331A58A6FE}" uniqueName="5298" name="Column5298" queryTableFieldId="5298"/>
    <tableColumn id="5299" xr3:uid="{4DAE7184-9073-43FE-9813-B4E3E3816887}" uniqueName="5299" name="Column5299" queryTableFieldId="5299"/>
    <tableColumn id="5300" xr3:uid="{6C48AF43-B02D-4A9F-B1A6-88E32077A3EB}" uniqueName="5300" name="Column5300" queryTableFieldId="5300"/>
    <tableColumn id="5301" xr3:uid="{2E439793-497D-4007-84D9-1934F8940463}" uniqueName="5301" name="Column5301" queryTableFieldId="5301"/>
    <tableColumn id="5302" xr3:uid="{F9424AF8-5193-4045-9240-58E483166E55}" uniqueName="5302" name="Column5302" queryTableFieldId="5302"/>
    <tableColumn id="5303" xr3:uid="{3CA0AD2B-EAFA-493C-9D26-17243A11BD2E}" uniqueName="5303" name="Column5303" queryTableFieldId="5303"/>
    <tableColumn id="5304" xr3:uid="{73D0C651-66D0-49AE-A358-943B1FC6CA09}" uniqueName="5304" name="Column5304" queryTableFieldId="5304"/>
    <tableColumn id="5305" xr3:uid="{06BFF6BA-CA32-4E33-A1D7-201D88A6A1A3}" uniqueName="5305" name="Column5305" queryTableFieldId="5305"/>
    <tableColumn id="5306" xr3:uid="{70C7C77C-3BEF-48C0-A33C-1FE244312A9B}" uniqueName="5306" name="Column5306" queryTableFieldId="5306"/>
    <tableColumn id="5307" xr3:uid="{DD75AD30-00AC-4DA1-A6DF-99E02B631FCA}" uniqueName="5307" name="Column5307" queryTableFieldId="5307"/>
    <tableColumn id="5308" xr3:uid="{D401EFBF-83AB-4B4A-AFBB-C2181ECA7518}" uniqueName="5308" name="Column5308" queryTableFieldId="5308"/>
    <tableColumn id="5309" xr3:uid="{F4FE341C-4A27-4659-AA88-A5A0D3EADFAA}" uniqueName="5309" name="Column5309" queryTableFieldId="5309"/>
    <tableColumn id="5310" xr3:uid="{C407909F-A006-435D-AF54-533412BEDE35}" uniqueName="5310" name="Column5310" queryTableFieldId="5310"/>
    <tableColumn id="5311" xr3:uid="{9E0BC127-0EA0-4C40-8464-E58CB4C4D17D}" uniqueName="5311" name="Column5311" queryTableFieldId="5311"/>
    <tableColumn id="5312" xr3:uid="{867DA580-A795-4B7B-991A-7E9F4DB0AD63}" uniqueName="5312" name="Column5312" queryTableFieldId="5312"/>
    <tableColumn id="5313" xr3:uid="{8743CDBB-B529-454C-85CB-B2396E50C7B8}" uniqueName="5313" name="Column5313" queryTableFieldId="5313"/>
    <tableColumn id="5314" xr3:uid="{4F91490C-75CE-4817-B25C-566A5E20CE9F}" uniqueName="5314" name="Column5314" queryTableFieldId="5314"/>
    <tableColumn id="5315" xr3:uid="{A944B1CD-8980-449B-9966-572FA7016A1D}" uniqueName="5315" name="Column5315" queryTableFieldId="5315"/>
    <tableColumn id="5316" xr3:uid="{1B1F86E0-EDE4-43DD-B628-1D2F6D8BCD93}" uniqueName="5316" name="Column5316" queryTableFieldId="5316"/>
    <tableColumn id="5317" xr3:uid="{1BFA644C-1120-415A-8A91-03B0A7BF18DF}" uniqueName="5317" name="Column5317" queryTableFieldId="5317"/>
    <tableColumn id="5318" xr3:uid="{0FC88FF0-FCF6-468F-BA4B-CA61F08D296B}" uniqueName="5318" name="Column5318" queryTableFieldId="5318"/>
    <tableColumn id="5319" xr3:uid="{91954C1A-9019-440A-B405-FD7F7F31A5E0}" uniqueName="5319" name="Column5319" queryTableFieldId="5319"/>
    <tableColumn id="5320" xr3:uid="{A3910F7F-D3F1-4F80-9F67-42BCC89807CA}" uniqueName="5320" name="Column5320" queryTableFieldId="5320"/>
    <tableColumn id="5321" xr3:uid="{25706B8A-A2C6-4580-9D7A-CCB558C73FE2}" uniqueName="5321" name="Column5321" queryTableFieldId="5321"/>
    <tableColumn id="5322" xr3:uid="{D8AE6831-9729-4F02-9A7B-AB4325D66C37}" uniqueName="5322" name="Column5322" queryTableFieldId="5322"/>
    <tableColumn id="5323" xr3:uid="{6E408F2C-FBEA-426C-8756-0B75DF0E7E68}" uniqueName="5323" name="Column5323" queryTableFieldId="5323"/>
    <tableColumn id="5324" xr3:uid="{38965F33-4422-4C17-95A6-7AA588F7E076}" uniqueName="5324" name="Column5324" queryTableFieldId="5324"/>
    <tableColumn id="5325" xr3:uid="{52A070AC-DCE3-4505-9DD0-7272FD37D178}" uniqueName="5325" name="Column5325" queryTableFieldId="5325"/>
    <tableColumn id="5326" xr3:uid="{84340D97-3AB0-4727-ACE5-1A9B72BA158C}" uniqueName="5326" name="Column5326" queryTableFieldId="5326"/>
    <tableColumn id="5327" xr3:uid="{1029CFC8-EBCA-42F2-ABC5-63A9739D2EE0}" uniqueName="5327" name="Column5327" queryTableFieldId="5327"/>
    <tableColumn id="5328" xr3:uid="{34BCDDF7-1182-4B2B-A25B-0DE4C058B6E2}" uniqueName="5328" name="Column5328" queryTableFieldId="5328"/>
    <tableColumn id="5329" xr3:uid="{39CFF5DF-3B9D-4FEE-AF9E-CE6F17ACF27A}" uniqueName="5329" name="Column5329" queryTableFieldId="5329"/>
    <tableColumn id="5330" xr3:uid="{D17E1B95-039D-4A58-A1DB-92F00066D251}" uniqueName="5330" name="Column5330" queryTableFieldId="5330"/>
    <tableColumn id="5331" xr3:uid="{0B426118-936E-40CB-9BCE-BB1DCB203160}" uniqueName="5331" name="Column5331" queryTableFieldId="5331"/>
    <tableColumn id="5332" xr3:uid="{CC980E0E-7E45-4805-8A72-59594CE3FC67}" uniqueName="5332" name="Column5332" queryTableFieldId="5332"/>
    <tableColumn id="5333" xr3:uid="{293547E7-0398-4000-95D8-AE54851A0DF6}" uniqueName="5333" name="Column5333" queryTableFieldId="5333"/>
    <tableColumn id="5334" xr3:uid="{5B68AB58-CB8E-44BE-9D2F-0172C19247F2}" uniqueName="5334" name="Column5334" queryTableFieldId="5334"/>
    <tableColumn id="5335" xr3:uid="{F42BA8B6-15AA-44AC-A5CB-852F71689884}" uniqueName="5335" name="Column5335" queryTableFieldId="5335"/>
    <tableColumn id="5336" xr3:uid="{8BDC21DE-F3D2-4A7E-9179-773E36F91E9D}" uniqueName="5336" name="Column5336" queryTableFieldId="5336"/>
    <tableColumn id="5337" xr3:uid="{5A47E62C-E027-4382-A01F-64B6D3E039DF}" uniqueName="5337" name="Column5337" queryTableFieldId="5337"/>
    <tableColumn id="5338" xr3:uid="{F4DDA158-0766-400C-ADBC-24A5F9C89CE8}" uniqueName="5338" name="Column5338" queryTableFieldId="5338"/>
    <tableColumn id="5339" xr3:uid="{B6F69AA5-3D01-4C21-9FE6-C698EEDBCBCD}" uniqueName="5339" name="Column5339" queryTableFieldId="5339"/>
    <tableColumn id="5340" xr3:uid="{A33F841B-8048-452B-8D9C-08FBC4B6001C}" uniqueName="5340" name="Column5340" queryTableFieldId="5340"/>
    <tableColumn id="5341" xr3:uid="{46068102-566B-4C81-B12B-4D8608C73B55}" uniqueName="5341" name="Column5341" queryTableFieldId="5341"/>
    <tableColumn id="5342" xr3:uid="{0A7E15BA-0510-483B-A10A-BD26095F0638}" uniqueName="5342" name="Column5342" queryTableFieldId="5342"/>
    <tableColumn id="5343" xr3:uid="{283025ED-7281-41BC-A4B8-D4DB4034E1FD}" uniqueName="5343" name="Column5343" queryTableFieldId="5343"/>
    <tableColumn id="5344" xr3:uid="{5CDEA24A-2BD9-46CE-86E5-C351ECADA9FE}" uniqueName="5344" name="Column5344" queryTableFieldId="5344"/>
    <tableColumn id="5345" xr3:uid="{8EA08A2B-6611-4A43-8E4A-F1D3D6F7C8F7}" uniqueName="5345" name="Column5345" queryTableFieldId="5345"/>
    <tableColumn id="5346" xr3:uid="{6F9D7984-EC0B-4647-B839-8C1518F74A4A}" uniqueName="5346" name="Column5346" queryTableFieldId="5346"/>
    <tableColumn id="5347" xr3:uid="{42344437-C086-4111-9C73-5A33308E1FD9}" uniqueName="5347" name="Column5347" queryTableFieldId="5347"/>
    <tableColumn id="5348" xr3:uid="{FFC95FDF-8614-414C-88A5-69B72AAB5586}" uniqueName="5348" name="Column5348" queryTableFieldId="5348"/>
    <tableColumn id="5349" xr3:uid="{4735E29B-E441-4E82-84FF-C9E14FDBD9C2}" uniqueName="5349" name="Column5349" queryTableFieldId="5349"/>
    <tableColumn id="5350" xr3:uid="{08302B84-2185-4F34-8C00-834FE55EE179}" uniqueName="5350" name="Column5350" queryTableFieldId="5350"/>
    <tableColumn id="5351" xr3:uid="{85D5ACE0-896C-4343-B496-3764AAF51F25}" uniqueName="5351" name="Column5351" queryTableFieldId="5351"/>
    <tableColumn id="5352" xr3:uid="{E4427B18-051D-49A6-BE83-252A1346EC25}" uniqueName="5352" name="Column5352" queryTableFieldId="5352"/>
    <tableColumn id="5353" xr3:uid="{36307025-9FE1-4147-8771-30228515FF87}" uniqueName="5353" name="Column5353" queryTableFieldId="5353"/>
    <tableColumn id="5354" xr3:uid="{681AB6E5-039D-47F7-89CF-C0C7DF3BD167}" uniqueName="5354" name="Column5354" queryTableFieldId="5354"/>
    <tableColumn id="5355" xr3:uid="{1C642F43-9CA1-4A9A-9B60-0EC37B7AC267}" uniqueName="5355" name="Column5355" queryTableFieldId="5355"/>
    <tableColumn id="5356" xr3:uid="{73A7C281-3E17-4744-A0DE-7CF29BF17B1E}" uniqueName="5356" name="Column5356" queryTableFieldId="5356"/>
    <tableColumn id="5357" xr3:uid="{268882AF-9C67-428F-B1A9-5AD33CEBE191}" uniqueName="5357" name="Column5357" queryTableFieldId="5357"/>
    <tableColumn id="5358" xr3:uid="{0D7237E3-49D3-47E4-9CFD-4D6D106C7F2A}" uniqueName="5358" name="Column5358" queryTableFieldId="5358"/>
    <tableColumn id="5359" xr3:uid="{3B054DCE-71C9-4DB9-9D34-CD397394E32F}" uniqueName="5359" name="Column5359" queryTableFieldId="5359"/>
    <tableColumn id="5360" xr3:uid="{C82AA3C1-7C11-40A1-96F0-C5FBE0A07249}" uniqueName="5360" name="Column5360" queryTableFieldId="5360"/>
    <tableColumn id="5361" xr3:uid="{7580C72F-9963-4B27-A727-8C6F4C9FEA5D}" uniqueName="5361" name="Column5361" queryTableFieldId="5361"/>
    <tableColumn id="5362" xr3:uid="{FD252CE8-3F17-4B2F-AE78-673E749C2DCA}" uniqueName="5362" name="Column5362" queryTableFieldId="5362"/>
    <tableColumn id="5363" xr3:uid="{095925CB-6DE0-4EA0-ADF1-14417DEE46E7}" uniqueName="5363" name="Column5363" queryTableFieldId="5363"/>
    <tableColumn id="5364" xr3:uid="{CEE3D3E8-0FE1-4637-BB56-5A9B976A6B0F}" uniqueName="5364" name="Column5364" queryTableFieldId="5364"/>
    <tableColumn id="5365" xr3:uid="{D50E2C4D-9547-4718-9F59-32B327977E7B}" uniqueName="5365" name="Column5365" queryTableFieldId="5365"/>
    <tableColumn id="5366" xr3:uid="{B6B72011-C4C4-45CD-B0C9-4599FE6C4546}" uniqueName="5366" name="Column5366" queryTableFieldId="5366"/>
    <tableColumn id="5367" xr3:uid="{64F5A2A3-CEB1-46B4-8308-20F865C035D3}" uniqueName="5367" name="Column5367" queryTableFieldId="5367"/>
    <tableColumn id="5368" xr3:uid="{38964AD4-5C8B-4494-A9C3-12D73AD67C62}" uniqueName="5368" name="Column5368" queryTableFieldId="5368"/>
    <tableColumn id="5369" xr3:uid="{3A229390-C8C8-4B0B-8F7A-63EF72E3B3CA}" uniqueName="5369" name="Column5369" queryTableFieldId="5369"/>
    <tableColumn id="5370" xr3:uid="{75080060-B3D7-4B70-BFEE-D5B37E0E0B99}" uniqueName="5370" name="Column5370" queryTableFieldId="5370"/>
    <tableColumn id="5371" xr3:uid="{F984D845-0859-4CD2-BC7A-8B254FC53EC0}" uniqueName="5371" name="Column5371" queryTableFieldId="5371"/>
    <tableColumn id="5372" xr3:uid="{4BFA0B9D-8280-4275-8E76-7825CD6D6AB1}" uniqueName="5372" name="Column5372" queryTableFieldId="5372"/>
    <tableColumn id="5373" xr3:uid="{0D87FE83-22CC-4EBC-BCE3-BA207111E635}" uniqueName="5373" name="Column5373" queryTableFieldId="5373"/>
    <tableColumn id="5374" xr3:uid="{1AEF7CF7-BC84-46A1-9178-8DC83A2AA611}" uniqueName="5374" name="Column5374" queryTableFieldId="5374"/>
    <tableColumn id="5375" xr3:uid="{E252EF8E-5CE6-40E7-84F6-7A4A3E291D16}" uniqueName="5375" name="Column5375" queryTableFieldId="5375"/>
    <tableColumn id="5376" xr3:uid="{FB957F7F-2433-42DE-BC4F-36AF675FE456}" uniqueName="5376" name="Column5376" queryTableFieldId="5376"/>
    <tableColumn id="5377" xr3:uid="{27FDD875-F2E6-4F56-8FA0-C634A77C0E11}" uniqueName="5377" name="Column5377" queryTableFieldId="5377"/>
    <tableColumn id="5378" xr3:uid="{E844A120-A2FC-400F-B6BB-596391D9B509}" uniqueName="5378" name="Column5378" queryTableFieldId="5378"/>
    <tableColumn id="5379" xr3:uid="{25B833C8-CD24-4CA8-A435-8C2BA4551576}" uniqueName="5379" name="Column5379" queryTableFieldId="5379"/>
    <tableColumn id="5380" xr3:uid="{0451D070-66F5-4855-A7D5-2B4B716CEB9F}" uniqueName="5380" name="Column5380" queryTableFieldId="5380"/>
    <tableColumn id="5381" xr3:uid="{85F864FE-A4E8-4999-BC5D-F5A9B4FB7C37}" uniqueName="5381" name="Column5381" queryTableFieldId="5381"/>
    <tableColumn id="5382" xr3:uid="{84764DDC-8C70-453E-AAE6-2CF0F41CB7AB}" uniqueName="5382" name="Column5382" queryTableFieldId="5382"/>
    <tableColumn id="5383" xr3:uid="{221E95FB-4B7A-4BAE-A458-F28F0C8E0B1A}" uniqueName="5383" name="Column5383" queryTableFieldId="5383"/>
    <tableColumn id="5384" xr3:uid="{28011036-F5DC-4FDF-82C4-03A3F7189C3B}" uniqueName="5384" name="Column5384" queryTableFieldId="5384"/>
    <tableColumn id="5385" xr3:uid="{2971C95C-1465-41DD-8449-A9A8753B7099}" uniqueName="5385" name="Column5385" queryTableFieldId="5385"/>
    <tableColumn id="5386" xr3:uid="{D658B13C-30C5-4F91-A322-9B56C7187AC7}" uniqueName="5386" name="Column5386" queryTableFieldId="5386"/>
    <tableColumn id="5387" xr3:uid="{ACE47F8D-7D71-43EE-9D39-E5D49DA81EBE}" uniqueName="5387" name="Column5387" queryTableFieldId="5387"/>
    <tableColumn id="5388" xr3:uid="{8161423E-9C7A-4F5A-8577-DB48C561828C}" uniqueName="5388" name="Column5388" queryTableFieldId="5388"/>
    <tableColumn id="5389" xr3:uid="{09E113B7-9C78-4866-8F35-CFBB926B2147}" uniqueName="5389" name="Column5389" queryTableFieldId="5389"/>
    <tableColumn id="5390" xr3:uid="{FDD11CDE-33E7-4619-8CFB-F8780D8809B9}" uniqueName="5390" name="Column5390" queryTableFieldId="5390"/>
    <tableColumn id="5391" xr3:uid="{2E7499BD-7D64-4916-892C-33DEAD84B605}" uniqueName="5391" name="Column5391" queryTableFieldId="5391"/>
    <tableColumn id="5392" xr3:uid="{42A3A83B-7CE7-49F4-8F27-C7E6E6CD9CF9}" uniqueName="5392" name="Column5392" queryTableFieldId="5392"/>
    <tableColumn id="5393" xr3:uid="{D8B07C0D-D68E-4FCD-AE87-B80CF3CD3396}" uniqueName="5393" name="Column5393" queryTableFieldId="5393"/>
    <tableColumn id="5394" xr3:uid="{90399271-7DCD-439F-89B6-F36EBCE5928A}" uniqueName="5394" name="Column5394" queryTableFieldId="5394"/>
    <tableColumn id="5395" xr3:uid="{3348D87E-8C77-4738-B3F2-2152F8C1F9C2}" uniqueName="5395" name="Column5395" queryTableFieldId="5395"/>
    <tableColumn id="5396" xr3:uid="{43DDEF51-76CD-4171-BB50-260810BD07A3}" uniqueName="5396" name="Column5396" queryTableFieldId="5396"/>
    <tableColumn id="5397" xr3:uid="{CA45B481-14E2-4F6E-8391-F7DE2007AB14}" uniqueName="5397" name="Column5397" queryTableFieldId="5397"/>
    <tableColumn id="5398" xr3:uid="{D0E9A9C8-6465-4AFC-9077-B8153A4EA237}" uniqueName="5398" name="Column5398" queryTableFieldId="5398"/>
    <tableColumn id="5399" xr3:uid="{36E17B4E-83DE-4EA0-91C7-D592DC787CE5}" uniqueName="5399" name="Column5399" queryTableFieldId="5399"/>
    <tableColumn id="5400" xr3:uid="{1055817E-C156-46B5-B612-B6FFA6793DC1}" uniqueName="5400" name="Column5400" queryTableFieldId="5400"/>
    <tableColumn id="5401" xr3:uid="{5C83AC59-A137-4EFF-B67F-D1B5D6220CC2}" uniqueName="5401" name="Column5401" queryTableFieldId="5401"/>
    <tableColumn id="5402" xr3:uid="{83A0B4AA-6A84-4477-B755-2F088D72A5D2}" uniqueName="5402" name="Column5402" queryTableFieldId="5402"/>
    <tableColumn id="5403" xr3:uid="{12714B1B-D91D-4197-92CE-0A800FC96A0C}" uniqueName="5403" name="Column5403" queryTableFieldId="5403"/>
    <tableColumn id="5404" xr3:uid="{F1804EB8-9117-4309-A687-7C99280398D0}" uniqueName="5404" name="Column5404" queryTableFieldId="5404"/>
    <tableColumn id="5405" xr3:uid="{A0E55E02-3B30-4617-97D1-31877B34608E}" uniqueName="5405" name="Column5405" queryTableFieldId="5405"/>
    <tableColumn id="5406" xr3:uid="{642F702B-C551-4774-B6A8-712812674918}" uniqueName="5406" name="Column5406" queryTableFieldId="5406"/>
    <tableColumn id="5407" xr3:uid="{91D8D5F1-1A4C-4B27-9626-4756B3077A26}" uniqueName="5407" name="Column5407" queryTableFieldId="5407"/>
    <tableColumn id="5408" xr3:uid="{34E69B92-F80A-4309-9269-51161676BD05}" uniqueName="5408" name="Column5408" queryTableFieldId="5408"/>
    <tableColumn id="5409" xr3:uid="{40282B23-6FCA-483E-A60F-95004FCDAEDF}" uniqueName="5409" name="Column5409" queryTableFieldId="5409"/>
    <tableColumn id="5410" xr3:uid="{A6B62AB4-E251-4C16-90EB-69BCCE4610E3}" uniqueName="5410" name="Column5410" queryTableFieldId="5410"/>
    <tableColumn id="5411" xr3:uid="{296FAFA9-3D29-44C7-8BFA-E457B770A1D9}" uniqueName="5411" name="Column5411" queryTableFieldId="5411"/>
    <tableColumn id="5412" xr3:uid="{8A0CFCDC-00C1-428A-B285-DF8A5B7F4B9D}" uniqueName="5412" name="Column5412" queryTableFieldId="5412"/>
    <tableColumn id="5413" xr3:uid="{8E43CDA6-FA2B-4495-BD95-7D38DA054AD4}" uniqueName="5413" name="Column5413" queryTableFieldId="5413"/>
    <tableColumn id="5414" xr3:uid="{B98BA161-1054-4816-B1B1-F4133F4197C1}" uniqueName="5414" name="Column5414" queryTableFieldId="5414"/>
    <tableColumn id="5415" xr3:uid="{14EB1307-8879-4BCD-A1EF-DC5F1A7147C2}" uniqueName="5415" name="Column5415" queryTableFieldId="5415"/>
    <tableColumn id="5416" xr3:uid="{C3A1C1FB-2E54-40C3-8F8F-8672A59B89F8}" uniqueName="5416" name="Column5416" queryTableFieldId="5416"/>
    <tableColumn id="5417" xr3:uid="{669A1F0A-0D03-426C-8B83-926C3B04C77D}" uniqueName="5417" name="Column5417" queryTableFieldId="5417"/>
    <tableColumn id="5418" xr3:uid="{8B3952F1-38B9-41A4-AD6B-CD5705A0DA52}" uniqueName="5418" name="Column5418" queryTableFieldId="5418"/>
    <tableColumn id="5419" xr3:uid="{CACF9E5A-B842-4B22-902B-4D4953E6771C}" uniqueName="5419" name="Column5419" queryTableFieldId="5419"/>
    <tableColumn id="5420" xr3:uid="{36261B0C-3F79-4472-A20A-2BB55B20C392}" uniqueName="5420" name="Column5420" queryTableFieldId="5420"/>
    <tableColumn id="5421" xr3:uid="{D2F09528-D19B-4C18-9552-C73C1490B6EA}" uniqueName="5421" name="Column5421" queryTableFieldId="5421"/>
    <tableColumn id="5422" xr3:uid="{2DEF8CD5-3C13-42C8-8B5E-36364A754E67}" uniqueName="5422" name="Column5422" queryTableFieldId="5422"/>
    <tableColumn id="5423" xr3:uid="{BB8A80AE-5836-4503-B9D4-461D19BC55CE}" uniqueName="5423" name="Column5423" queryTableFieldId="5423"/>
    <tableColumn id="5424" xr3:uid="{9577F4FA-A42F-40A6-903D-9D8890E01912}" uniqueName="5424" name="Column5424" queryTableFieldId="5424"/>
    <tableColumn id="5425" xr3:uid="{7CADB586-D0D8-4124-A5F7-0AAFA75969B6}" uniqueName="5425" name="Column5425" queryTableFieldId="5425"/>
    <tableColumn id="5426" xr3:uid="{4544129F-C601-453B-AAF1-04D82F0D4C95}" uniqueName="5426" name="Column5426" queryTableFieldId="5426"/>
    <tableColumn id="5427" xr3:uid="{C9AC2D02-9BEF-4EFD-AFDC-6F7F245FF06E}" uniqueName="5427" name="Column5427" queryTableFieldId="5427"/>
    <tableColumn id="5428" xr3:uid="{EAB7CA42-B07A-451A-8B1A-F004AEF46D6F}" uniqueName="5428" name="Column5428" queryTableFieldId="5428"/>
    <tableColumn id="5429" xr3:uid="{DD0E90B4-9863-43DF-9C43-9A59AE080A2D}" uniqueName="5429" name="Column5429" queryTableFieldId="5429"/>
    <tableColumn id="5430" xr3:uid="{786B3CA9-C824-4F1D-BFFE-DB2C479BC9BB}" uniqueName="5430" name="Column5430" queryTableFieldId="5430"/>
    <tableColumn id="5431" xr3:uid="{70A5F3F0-50F4-4D17-A963-5E38533096F1}" uniqueName="5431" name="Column5431" queryTableFieldId="5431"/>
    <tableColumn id="5432" xr3:uid="{F5F9375F-8B9E-4E58-9865-D6A5DF1323A6}" uniqueName="5432" name="Column5432" queryTableFieldId="5432"/>
    <tableColumn id="5433" xr3:uid="{1C09BDB3-01DA-4E77-A5B3-81CADD47CED0}" uniqueName="5433" name="Column5433" queryTableFieldId="5433"/>
    <tableColumn id="5434" xr3:uid="{176E31E2-1E88-4F6F-AE0A-BC30CEAD459E}" uniqueName="5434" name="Column5434" queryTableFieldId="5434"/>
    <tableColumn id="5435" xr3:uid="{9068FE64-0EA5-48CF-8765-0BB36E904365}" uniqueName="5435" name="Column5435" queryTableFieldId="5435"/>
    <tableColumn id="5436" xr3:uid="{B5387C2C-F1D2-40AE-882B-3591F83510DC}" uniqueName="5436" name="Column5436" queryTableFieldId="5436"/>
    <tableColumn id="5437" xr3:uid="{874A3D2E-49E1-45A4-935D-50E1BE35C9D5}" uniqueName="5437" name="Column5437" queryTableFieldId="5437"/>
    <tableColumn id="5438" xr3:uid="{C7D26843-E004-4A47-95CC-593A0A7683EA}" uniqueName="5438" name="Column5438" queryTableFieldId="5438"/>
    <tableColumn id="5439" xr3:uid="{CD435899-C34A-4EC4-B381-A0BB6A8AE388}" uniqueName="5439" name="Column5439" queryTableFieldId="5439"/>
    <tableColumn id="5440" xr3:uid="{F8C47838-C575-48AF-8FF2-4568BF27BE56}" uniqueName="5440" name="Column5440" queryTableFieldId="5440"/>
    <tableColumn id="5441" xr3:uid="{AC73B884-8A6F-48DE-AC91-6B490F551451}" uniqueName="5441" name="Column5441" queryTableFieldId="5441"/>
    <tableColumn id="5442" xr3:uid="{2E4B12FC-6E04-4AAA-9349-0225780A7486}" uniqueName="5442" name="Column5442" queryTableFieldId="5442"/>
    <tableColumn id="5443" xr3:uid="{137FCF7B-DEAF-447E-8DFA-6B10A48F71CB}" uniqueName="5443" name="Column5443" queryTableFieldId="5443"/>
    <tableColumn id="5444" xr3:uid="{3FDD4A57-EBB1-4360-95D8-5C6836985349}" uniqueName="5444" name="Column5444" queryTableFieldId="5444"/>
    <tableColumn id="5445" xr3:uid="{CC43A414-D6AF-41C6-A1F7-F95C992D06F9}" uniqueName="5445" name="Column5445" queryTableFieldId="5445"/>
    <tableColumn id="5446" xr3:uid="{14A6D4EA-C357-4746-91A5-05CA1F10F778}" uniqueName="5446" name="Column5446" queryTableFieldId="5446"/>
    <tableColumn id="5447" xr3:uid="{BC674908-5312-46A1-9C67-D569202CB8BE}" uniqueName="5447" name="Column5447" queryTableFieldId="5447"/>
    <tableColumn id="5448" xr3:uid="{983D6C99-723F-4703-9E08-37F0CE2385E3}" uniqueName="5448" name="Column5448" queryTableFieldId="5448"/>
    <tableColumn id="5449" xr3:uid="{CB618CE8-6813-41EC-AF63-392C389BDC97}" uniqueName="5449" name="Column5449" queryTableFieldId="5449"/>
    <tableColumn id="5450" xr3:uid="{DB82F8A1-5A84-4A92-BEF7-B753AEC9A87A}" uniqueName="5450" name="Column5450" queryTableFieldId="5450"/>
    <tableColumn id="5451" xr3:uid="{D4DF10D0-BA40-492E-B715-36A81F2F6C56}" uniqueName="5451" name="Column5451" queryTableFieldId="5451"/>
    <tableColumn id="5452" xr3:uid="{1BD6D8BB-008A-4540-AAD8-D45EEE2C1E28}" uniqueName="5452" name="Column5452" queryTableFieldId="5452"/>
    <tableColumn id="5453" xr3:uid="{FE1FC162-74BF-4CA1-97FD-CB27C3A07C15}" uniqueName="5453" name="Column5453" queryTableFieldId="5453"/>
    <tableColumn id="5454" xr3:uid="{E0A164CC-6DC6-404F-A0BB-3362C1767F3E}" uniqueName="5454" name="Column5454" queryTableFieldId="5454"/>
    <tableColumn id="5455" xr3:uid="{567F1CEF-B517-4A62-A28B-2945D20B5E34}" uniqueName="5455" name="Column5455" queryTableFieldId="5455"/>
    <tableColumn id="5456" xr3:uid="{FF745A92-A267-44B0-B176-06A6305C9A2F}" uniqueName="5456" name="Column5456" queryTableFieldId="5456"/>
    <tableColumn id="5457" xr3:uid="{B2A364D5-297D-4347-85F0-4AE78DB52921}" uniqueName="5457" name="Column5457" queryTableFieldId="5457"/>
    <tableColumn id="5458" xr3:uid="{1DB155AA-9CF9-4276-BFF9-A498020975F8}" uniqueName="5458" name="Column5458" queryTableFieldId="5458"/>
    <tableColumn id="5459" xr3:uid="{16038C1D-9172-49B1-B5EE-85611A7866C1}" uniqueName="5459" name="Column5459" queryTableFieldId="5459"/>
    <tableColumn id="5460" xr3:uid="{C05C7DCB-EB4A-4523-8DA2-EEBF9533A847}" uniqueName="5460" name="Column5460" queryTableFieldId="5460"/>
    <tableColumn id="5461" xr3:uid="{F49EA779-C308-470D-8A88-482C40132469}" uniqueName="5461" name="Column5461" queryTableFieldId="5461"/>
    <tableColumn id="5462" xr3:uid="{DF24A45F-1C65-46BD-B32A-26CDCFDAEA43}" uniqueName="5462" name="Column5462" queryTableFieldId="5462"/>
    <tableColumn id="5463" xr3:uid="{E6881307-3F48-4D28-9166-D4B0354781C7}" uniqueName="5463" name="Column5463" queryTableFieldId="5463"/>
    <tableColumn id="5464" xr3:uid="{74C9A3D8-150E-4DF1-AE0C-CBBB6948274E}" uniqueName="5464" name="Column5464" queryTableFieldId="5464"/>
    <tableColumn id="5465" xr3:uid="{6BFF13FB-9A81-4C58-A021-BD51C909EA1E}" uniqueName="5465" name="Column5465" queryTableFieldId="5465"/>
    <tableColumn id="5466" xr3:uid="{09B15FF8-99F4-4291-99A9-4ED452BC5F1B}" uniqueName="5466" name="Column5466" queryTableFieldId="5466"/>
    <tableColumn id="5467" xr3:uid="{5F956774-43EA-4837-BF35-17453ECB193A}" uniqueName="5467" name="Column5467" queryTableFieldId="5467"/>
    <tableColumn id="5468" xr3:uid="{B41E3399-5317-4F14-B134-FB28A1D9A86B}" uniqueName="5468" name="Column5468" queryTableFieldId="5468"/>
    <tableColumn id="5469" xr3:uid="{5C9637BC-6671-46D8-B6AE-A9B6B4807363}" uniqueName="5469" name="Column5469" queryTableFieldId="5469"/>
    <tableColumn id="5470" xr3:uid="{6692E5B6-6F0C-4FE1-B36F-D85A31D20DBB}" uniqueName="5470" name="Column5470" queryTableFieldId="5470"/>
    <tableColumn id="5471" xr3:uid="{810128C3-BE07-4388-8B1F-9AB3D5A93C86}" uniqueName="5471" name="Column5471" queryTableFieldId="5471"/>
    <tableColumn id="5472" xr3:uid="{E8A6F754-BD38-4A0C-BF68-7537957E3D67}" uniqueName="5472" name="Column5472" queryTableFieldId="5472"/>
    <tableColumn id="5473" xr3:uid="{E2B563C5-E180-423C-962D-04452F1D17C1}" uniqueName="5473" name="Column5473" queryTableFieldId="5473"/>
    <tableColumn id="5474" xr3:uid="{3B5F3D21-24F7-4467-BC5B-7310AE51FDC5}" uniqueName="5474" name="Column5474" queryTableFieldId="5474"/>
    <tableColumn id="5475" xr3:uid="{FCB12B99-C62D-41A7-AD58-FF821C352191}" uniqueName="5475" name="Column5475" queryTableFieldId="5475"/>
    <tableColumn id="5476" xr3:uid="{B95EAF72-F48C-4E3F-AC66-0D39D61C4207}" uniqueName="5476" name="Column5476" queryTableFieldId="5476"/>
    <tableColumn id="5477" xr3:uid="{9A9AFD19-DD3C-4EC1-A4D5-8B4788AF1DF3}" uniqueName="5477" name="Column5477" queryTableFieldId="5477"/>
    <tableColumn id="5478" xr3:uid="{B435C731-29C5-4A1C-B8F0-22356D6397A2}" uniqueName="5478" name="Column5478" queryTableFieldId="5478"/>
    <tableColumn id="5479" xr3:uid="{9A999426-A7FE-479E-B5CE-E46904B768B7}" uniqueName="5479" name="Column5479" queryTableFieldId="5479"/>
    <tableColumn id="5480" xr3:uid="{7DA82723-0E0F-4A37-820B-7AF9A313CF50}" uniqueName="5480" name="Column5480" queryTableFieldId="5480"/>
    <tableColumn id="5481" xr3:uid="{576825E1-A8A9-45F0-96B5-A6776BBB0539}" uniqueName="5481" name="Column5481" queryTableFieldId="5481"/>
    <tableColumn id="5482" xr3:uid="{A6C4267B-8606-463A-BB67-3743895741F3}" uniqueName="5482" name="Column5482" queryTableFieldId="5482"/>
    <tableColumn id="5483" xr3:uid="{93099A90-EEF7-40C6-9553-2D2B524C05F8}" uniqueName="5483" name="Column5483" queryTableFieldId="5483"/>
    <tableColumn id="5484" xr3:uid="{754F3819-C203-447D-87BE-C36EAB389036}" uniqueName="5484" name="Column5484" queryTableFieldId="5484"/>
    <tableColumn id="5485" xr3:uid="{3470DFF0-E6C5-464E-BE07-8AD904DDBEE5}" uniqueName="5485" name="Column5485" queryTableFieldId="5485"/>
    <tableColumn id="5486" xr3:uid="{227E5B89-8826-4EE4-A0BC-2209CEE0979A}" uniqueName="5486" name="Column5486" queryTableFieldId="5486"/>
    <tableColumn id="5487" xr3:uid="{460D36EA-0BA6-4D42-B7E3-C4F3AE46F273}" uniqueName="5487" name="Column5487" queryTableFieldId="5487"/>
    <tableColumn id="5488" xr3:uid="{D1E21933-1088-4057-A4A5-9FCCA4F91F68}" uniqueName="5488" name="Column5488" queryTableFieldId="5488"/>
    <tableColumn id="5489" xr3:uid="{D2760FBB-CB64-4975-ADD1-4D8A8B33F682}" uniqueName="5489" name="Column5489" queryTableFieldId="5489"/>
    <tableColumn id="5490" xr3:uid="{2FE94252-D177-4E17-A158-ED6611494A7F}" uniqueName="5490" name="Column5490" queryTableFieldId="5490"/>
    <tableColumn id="5491" xr3:uid="{5E741908-29D9-4BF2-BE0A-B76DD5730C03}" uniqueName="5491" name="Column5491" queryTableFieldId="5491"/>
    <tableColumn id="5492" xr3:uid="{B65F38EA-E18F-488E-AF78-731867E6D5A5}" uniqueName="5492" name="Column5492" queryTableFieldId="5492"/>
    <tableColumn id="5493" xr3:uid="{99773D44-26C6-4940-9324-F8D712B61A87}" uniqueName="5493" name="Column5493" queryTableFieldId="5493"/>
    <tableColumn id="5494" xr3:uid="{FCEE7157-3320-477D-8414-D84C7DCBE92F}" uniqueName="5494" name="Column5494" queryTableFieldId="5494"/>
    <tableColumn id="5495" xr3:uid="{C045AF4C-EA2C-4C4C-AB21-869291DB9C0A}" uniqueName="5495" name="Column5495" queryTableFieldId="5495"/>
    <tableColumn id="5496" xr3:uid="{93484FD1-71EC-4B1B-8066-F7A3EABED1D0}" uniqueName="5496" name="Column5496" queryTableFieldId="5496"/>
    <tableColumn id="5497" xr3:uid="{408F3204-B338-4F77-8316-DE8E11814BE3}" uniqueName="5497" name="Column5497" queryTableFieldId="5497"/>
    <tableColumn id="5498" xr3:uid="{98B6233C-E23C-402A-8E58-FA82E0EF757F}" uniqueName="5498" name="Column5498" queryTableFieldId="5498"/>
    <tableColumn id="5499" xr3:uid="{88FF283E-29B1-4565-AE50-7CB5503FE969}" uniqueName="5499" name="Column5499" queryTableFieldId="5499"/>
    <tableColumn id="5500" xr3:uid="{0242BC3C-ED57-498D-89B7-4F465479BA14}" uniqueName="5500" name="Column5500" queryTableFieldId="5500"/>
    <tableColumn id="5501" xr3:uid="{652A9044-9EA2-4984-9E0F-B7B5715A1B7D}" uniqueName="5501" name="Column5501" queryTableFieldId="5501"/>
    <tableColumn id="5502" xr3:uid="{60421D8C-E294-4A74-9A47-A7AC5CE748B1}" uniqueName="5502" name="Column5502" queryTableFieldId="5502"/>
    <tableColumn id="5503" xr3:uid="{3CCD800A-3AE6-4A13-8C89-A504552F39BF}" uniqueName="5503" name="Column5503" queryTableFieldId="5503"/>
    <tableColumn id="5504" xr3:uid="{BB1A0A75-14A5-4462-BB76-E7A7D72B9FEB}" uniqueName="5504" name="Column5504" queryTableFieldId="5504"/>
    <tableColumn id="5505" xr3:uid="{EEEA8EBC-C881-4314-82DB-E598AC5C46AE}" uniqueName="5505" name="Column5505" queryTableFieldId="5505"/>
    <tableColumn id="5506" xr3:uid="{F8A07FC7-5D08-4466-8DB0-EDC8D716E8B9}" uniqueName="5506" name="Column5506" queryTableFieldId="5506"/>
    <tableColumn id="5507" xr3:uid="{E4EA7DDE-655B-4A90-A2EF-F1A87CAFDDBA}" uniqueName="5507" name="Column5507" queryTableFieldId="5507"/>
    <tableColumn id="5508" xr3:uid="{291858BD-012C-40B5-8CE5-95F7375AAA95}" uniqueName="5508" name="Column5508" queryTableFieldId="5508"/>
    <tableColumn id="5509" xr3:uid="{D45B250B-673B-424E-A88F-9D3795E2FB1F}" uniqueName="5509" name="Column5509" queryTableFieldId="5509"/>
    <tableColumn id="5510" xr3:uid="{BD32E2AE-D9DF-427F-8B66-9D59B272BBDE}" uniqueName="5510" name="Column5510" queryTableFieldId="5510"/>
    <tableColumn id="5511" xr3:uid="{3F3A2876-9E69-4AE3-A758-3BF57D35ADF3}" uniqueName="5511" name="Column5511" queryTableFieldId="5511"/>
    <tableColumn id="5512" xr3:uid="{AD379E6C-AB59-4EC8-818C-2BFE495719FE}" uniqueName="5512" name="Column5512" queryTableFieldId="5512"/>
    <tableColumn id="5513" xr3:uid="{021E0E49-0125-4B9F-8C40-7ACE879CD337}" uniqueName="5513" name="Column5513" queryTableFieldId="5513"/>
    <tableColumn id="5514" xr3:uid="{D66D920C-D7F0-4B5C-8561-807DD6CF07F5}" uniqueName="5514" name="Column5514" queryTableFieldId="5514"/>
    <tableColumn id="5515" xr3:uid="{A948369B-08B4-46FE-AC28-E4BC189E9819}" uniqueName="5515" name="Column5515" queryTableFieldId="5515"/>
    <tableColumn id="5516" xr3:uid="{46A0F3C2-9ABD-4F08-AF08-089F59FF7F5B}" uniqueName="5516" name="Column5516" queryTableFieldId="5516"/>
    <tableColumn id="5517" xr3:uid="{EA60F6E2-4B64-4AB0-9416-90E629CB56FC}" uniqueName="5517" name="Column5517" queryTableFieldId="5517"/>
    <tableColumn id="5518" xr3:uid="{FE097992-431F-4F85-BDF6-2E9F31120322}" uniqueName="5518" name="Column5518" queryTableFieldId="5518"/>
    <tableColumn id="5519" xr3:uid="{87C80FB0-3318-4444-AA6C-DEA0EB2A6E7D}" uniqueName="5519" name="Column5519" queryTableFieldId="5519"/>
    <tableColumn id="5520" xr3:uid="{607F4DF7-7F5D-4171-813A-49821E26BB84}" uniqueName="5520" name="Column5520" queryTableFieldId="5520"/>
    <tableColumn id="5521" xr3:uid="{EC411453-659A-4F12-8665-E505817DA8EE}" uniqueName="5521" name="Column5521" queryTableFieldId="5521"/>
    <tableColumn id="5522" xr3:uid="{B7503E43-C0BD-486E-9112-397D3EBE6FC3}" uniqueName="5522" name="Column5522" queryTableFieldId="5522"/>
    <tableColumn id="5523" xr3:uid="{8476A6A5-5E7F-4D44-9B71-1B1C82E13153}" uniqueName="5523" name="Column5523" queryTableFieldId="5523"/>
    <tableColumn id="5524" xr3:uid="{BBFA86BA-E8B9-40F1-9A23-3332C2EC3408}" uniqueName="5524" name="Column5524" queryTableFieldId="5524"/>
    <tableColumn id="5525" xr3:uid="{85890569-EFBF-492A-A044-A8635E15F21B}" uniqueName="5525" name="Column5525" queryTableFieldId="5525"/>
    <tableColumn id="5526" xr3:uid="{2F09DA2A-7853-429D-87CC-1EE19D92A5A6}" uniqueName="5526" name="Column5526" queryTableFieldId="5526"/>
    <tableColumn id="5527" xr3:uid="{6713E95D-80EA-4D15-BCCC-01C678B3CEE0}" uniqueName="5527" name="Column5527" queryTableFieldId="5527"/>
    <tableColumn id="5528" xr3:uid="{53FFF775-11B0-4AF2-99DA-E86BCC244E3E}" uniqueName="5528" name="Column5528" queryTableFieldId="5528"/>
    <tableColumn id="5529" xr3:uid="{9FA6B319-06C6-4E76-9EB5-B98045E918CF}" uniqueName="5529" name="Column5529" queryTableFieldId="5529"/>
    <tableColumn id="5530" xr3:uid="{212462DE-CA58-48BB-90E3-B229C928B45E}" uniqueName="5530" name="Column5530" queryTableFieldId="5530"/>
    <tableColumn id="5531" xr3:uid="{81951A03-8B2E-4FF4-A837-9076B3959683}" uniqueName="5531" name="Column5531" queryTableFieldId="5531"/>
    <tableColumn id="5532" xr3:uid="{883B0123-69B7-4D23-B31A-E3C9BA80D432}" uniqueName="5532" name="Column5532" queryTableFieldId="5532"/>
    <tableColumn id="5533" xr3:uid="{533E003B-9FAB-43E7-B0F4-F6874618CDCD}" uniqueName="5533" name="Column5533" queryTableFieldId="5533"/>
    <tableColumn id="5534" xr3:uid="{D20CA7FA-B9DB-4812-8891-B0ACAAFD87DC}" uniqueName="5534" name="Column5534" queryTableFieldId="5534"/>
    <tableColumn id="5535" xr3:uid="{AC5BA01C-F0A6-435B-A5A0-D5B360BC4676}" uniqueName="5535" name="Column5535" queryTableFieldId="5535"/>
    <tableColumn id="5536" xr3:uid="{2E559FFD-BE75-4F06-AC5E-13DC97A8F1F3}" uniqueName="5536" name="Column5536" queryTableFieldId="5536"/>
    <tableColumn id="5537" xr3:uid="{0514EF6D-2379-4E96-90C8-675EE49C6A4A}" uniqueName="5537" name="Column5537" queryTableFieldId="5537"/>
    <tableColumn id="5538" xr3:uid="{78ADECF7-D17A-4D04-8255-CC3C8D9680B0}" uniqueName="5538" name="Column5538" queryTableFieldId="5538"/>
    <tableColumn id="5539" xr3:uid="{3CDBCC7B-28B2-453E-AF30-44717E990E67}" uniqueName="5539" name="Column5539" queryTableFieldId="5539"/>
    <tableColumn id="5540" xr3:uid="{A0E488B0-5AC4-48D1-A269-372407FF0ED3}" uniqueName="5540" name="Column5540" queryTableFieldId="5540"/>
    <tableColumn id="5541" xr3:uid="{673CCB80-F5BD-4976-ADDD-71F43AAC993A}" uniqueName="5541" name="Column5541" queryTableFieldId="5541"/>
    <tableColumn id="5542" xr3:uid="{39DAC25C-E953-45B2-91C1-536961510002}" uniqueName="5542" name="Column5542" queryTableFieldId="5542"/>
    <tableColumn id="5543" xr3:uid="{E4E7AEFA-DEAB-4277-BA41-65B5AD5C8F90}" uniqueName="5543" name="Column5543" queryTableFieldId="5543"/>
    <tableColumn id="5544" xr3:uid="{EB9EC0D1-9787-453F-932A-2EFBC3F2C0A9}" uniqueName="5544" name="Column5544" queryTableFieldId="5544"/>
    <tableColumn id="5545" xr3:uid="{4A89087C-791D-42CB-AB9A-4D6AE3BF30F7}" uniqueName="5545" name="Column5545" queryTableFieldId="5545"/>
    <tableColumn id="5546" xr3:uid="{E6E44240-1D71-4754-A8DC-CFA289121B24}" uniqueName="5546" name="Column5546" queryTableFieldId="5546"/>
    <tableColumn id="5547" xr3:uid="{C8B0F175-82CA-4954-89C0-EC1BBBA622A9}" uniqueName="5547" name="Column5547" queryTableFieldId="5547"/>
    <tableColumn id="5548" xr3:uid="{638495DF-90EE-475D-9240-E3C6377C6D8C}" uniqueName="5548" name="Column5548" queryTableFieldId="5548"/>
    <tableColumn id="5549" xr3:uid="{5873B2EE-F8A8-4E9B-926A-93570A9517F7}" uniqueName="5549" name="Column5549" queryTableFieldId="5549"/>
    <tableColumn id="5550" xr3:uid="{127D6511-B0AC-40DB-B471-0CF62B7B82C5}" uniqueName="5550" name="Column5550" queryTableFieldId="5550"/>
    <tableColumn id="5551" xr3:uid="{A961EB8E-EFE9-4C10-B15D-33D52BAFC634}" uniqueName="5551" name="Column5551" queryTableFieldId="5551"/>
    <tableColumn id="5552" xr3:uid="{5348606C-1309-4F55-BB37-969DAC0EC367}" uniqueName="5552" name="Column5552" queryTableFieldId="5552"/>
    <tableColumn id="5553" xr3:uid="{5E956DE0-FB0E-43E9-B66E-3AA371D408BB}" uniqueName="5553" name="Column5553" queryTableFieldId="5553"/>
    <tableColumn id="5554" xr3:uid="{E7EF0D49-2637-498C-A902-6403682784B8}" uniqueName="5554" name="Column5554" queryTableFieldId="5554"/>
    <tableColumn id="5555" xr3:uid="{BC26E14B-9DBD-4E2A-B92A-63F702D4582D}" uniqueName="5555" name="Column5555" queryTableFieldId="5555"/>
    <tableColumn id="5556" xr3:uid="{4FC4C206-08D3-41ED-B48F-36D688D211FF}" uniqueName="5556" name="Column5556" queryTableFieldId="5556"/>
    <tableColumn id="5557" xr3:uid="{86519EE6-31FB-4C60-AADD-3E7CD0536308}" uniqueName="5557" name="Column5557" queryTableFieldId="5557"/>
    <tableColumn id="5558" xr3:uid="{C379AFF9-AD16-4912-A510-1D43D2514DF4}" uniqueName="5558" name="Column5558" queryTableFieldId="5558"/>
    <tableColumn id="5559" xr3:uid="{DB985627-D97E-427C-A4F5-128169D0ED6C}" uniqueName="5559" name="Column5559" queryTableFieldId="5559"/>
    <tableColumn id="5560" xr3:uid="{D5190C7C-0466-4BC2-B8C6-1EF67267A05E}" uniqueName="5560" name="Column5560" queryTableFieldId="5560"/>
    <tableColumn id="5561" xr3:uid="{2EE5A8CA-E7FA-47B9-A297-0F26BBC3A35D}" uniqueName="5561" name="Column5561" queryTableFieldId="5561"/>
    <tableColumn id="5562" xr3:uid="{508A085D-E870-4CB2-B60F-F9A4FADB832E}" uniqueName="5562" name="Column5562" queryTableFieldId="5562"/>
    <tableColumn id="5563" xr3:uid="{24B210C2-85D6-40D2-8A9B-75CF5D29B5EE}" uniqueName="5563" name="Column5563" queryTableFieldId="5563"/>
    <tableColumn id="5564" xr3:uid="{C9213B52-884C-4EB2-9DAD-F225C6596557}" uniqueName="5564" name="Column5564" queryTableFieldId="5564"/>
    <tableColumn id="5565" xr3:uid="{3578CF84-388B-4C32-ABA4-9224E39E6229}" uniqueName="5565" name="Column5565" queryTableFieldId="5565"/>
    <tableColumn id="5566" xr3:uid="{C92FA9F7-F941-4E40-984A-33A994E07010}" uniqueName="5566" name="Column5566" queryTableFieldId="5566"/>
    <tableColumn id="5567" xr3:uid="{5A029926-DE6E-4F47-BE26-BB65A6CBF668}" uniqueName="5567" name="Column5567" queryTableFieldId="5567"/>
    <tableColumn id="5568" xr3:uid="{26884004-ECCA-4140-8921-625CBABB5135}" uniqueName="5568" name="Column5568" queryTableFieldId="5568"/>
    <tableColumn id="5569" xr3:uid="{98A9417D-6FB9-4911-874E-BB89AD31B4D2}" uniqueName="5569" name="Column5569" queryTableFieldId="5569"/>
    <tableColumn id="5570" xr3:uid="{439DDD75-8DB7-472A-93AD-591EBEA39123}" uniqueName="5570" name="Column5570" queryTableFieldId="5570"/>
    <tableColumn id="5571" xr3:uid="{4D815A3A-05D7-4ACC-A4C9-A13039AF6BE2}" uniqueName="5571" name="Column5571" queryTableFieldId="5571"/>
    <tableColumn id="5572" xr3:uid="{E89977B2-227B-4115-A16A-72DDC6ACD163}" uniqueName="5572" name="Column5572" queryTableFieldId="5572"/>
    <tableColumn id="5573" xr3:uid="{17A14CC9-8F9E-455D-A23A-224F00E24A56}" uniqueName="5573" name="Column5573" queryTableFieldId="5573"/>
    <tableColumn id="5574" xr3:uid="{37AE759F-0041-4D3C-AE21-5372CC64CB27}" uniqueName="5574" name="Column5574" queryTableFieldId="5574"/>
    <tableColumn id="5575" xr3:uid="{EFC7CCEC-37CC-4F9E-979F-48907E29E9BA}" uniqueName="5575" name="Column5575" queryTableFieldId="5575"/>
    <tableColumn id="5576" xr3:uid="{F6C6755F-8449-4CE3-A002-AE223E58AA0D}" uniqueName="5576" name="Column5576" queryTableFieldId="5576"/>
    <tableColumn id="5577" xr3:uid="{989AD8FB-DE15-49EC-963F-F0B115D1B6CD}" uniqueName="5577" name="Column5577" queryTableFieldId="5577"/>
    <tableColumn id="5578" xr3:uid="{1775CC91-8A1D-4406-8B10-788AE8EA90A1}" uniqueName="5578" name="Column5578" queryTableFieldId="5578"/>
    <tableColumn id="5579" xr3:uid="{29D1D92C-D8CC-4571-885F-B1A37C3B3FDB}" uniqueName="5579" name="Column5579" queryTableFieldId="5579"/>
    <tableColumn id="5580" xr3:uid="{41A994C0-41F7-4756-AC3F-FFADF63B1005}" uniqueName="5580" name="Column5580" queryTableFieldId="5580"/>
    <tableColumn id="5581" xr3:uid="{CC09C489-0CD5-483E-9200-3BDC0AB9A953}" uniqueName="5581" name="Column5581" queryTableFieldId="5581"/>
    <tableColumn id="5582" xr3:uid="{145BE61D-21D1-4A39-8627-597720311221}" uniqueName="5582" name="Column5582" queryTableFieldId="5582"/>
    <tableColumn id="5583" xr3:uid="{8549FE8C-1FC2-48E5-A05F-0A31691134AD}" uniqueName="5583" name="Column5583" queryTableFieldId="5583"/>
    <tableColumn id="5584" xr3:uid="{32A9CF12-5244-42F8-84A9-2C6B41848D0C}" uniqueName="5584" name="Column5584" queryTableFieldId="5584"/>
    <tableColumn id="5585" xr3:uid="{D80A555B-D745-49E6-B747-BBF49FFCABFA}" uniqueName="5585" name="Column5585" queryTableFieldId="5585"/>
    <tableColumn id="5586" xr3:uid="{B64DB58D-9BF4-4D7E-9793-7B52A9BF8F0A}" uniqueName="5586" name="Column5586" queryTableFieldId="5586"/>
    <tableColumn id="5587" xr3:uid="{03BA8175-6D7E-4521-9D1C-B4AD555B49D7}" uniqueName="5587" name="Column5587" queryTableFieldId="5587"/>
    <tableColumn id="5588" xr3:uid="{593CB6F5-ACDB-474A-B208-91EA38BD0B23}" uniqueName="5588" name="Column5588" queryTableFieldId="5588"/>
    <tableColumn id="5589" xr3:uid="{516BF2AA-029D-4FD5-9354-ADAE09266BA9}" uniqueName="5589" name="Column5589" queryTableFieldId="5589"/>
    <tableColumn id="5590" xr3:uid="{D764691A-F432-4D86-9053-3DEEF465B1F9}" uniqueName="5590" name="Column5590" queryTableFieldId="5590"/>
    <tableColumn id="5591" xr3:uid="{2FF2AA9E-84C6-4A8D-AD71-261F17183EF0}" uniqueName="5591" name="Column5591" queryTableFieldId="5591"/>
    <tableColumn id="5592" xr3:uid="{67D10979-477B-47B9-8478-8151DD07B6AC}" uniqueName="5592" name="Column5592" queryTableFieldId="5592"/>
    <tableColumn id="5593" xr3:uid="{B6528EC3-4822-4945-8303-3D1586B33D91}" uniqueName="5593" name="Column5593" queryTableFieldId="5593"/>
    <tableColumn id="5594" xr3:uid="{A3108A1B-7DFB-45C4-B17C-461E9BBD13E0}" uniqueName="5594" name="Column5594" queryTableFieldId="5594"/>
    <tableColumn id="5595" xr3:uid="{87B7B3AB-DD85-4A56-B912-9113686F56D6}" uniqueName="5595" name="Column5595" queryTableFieldId="5595"/>
    <tableColumn id="5596" xr3:uid="{93FE7350-68E1-46F5-A6AA-ACB3110501D0}" uniqueName="5596" name="Column5596" queryTableFieldId="5596"/>
    <tableColumn id="5597" xr3:uid="{52CF5693-09A2-4F7B-8B6D-4BC0AAC07F1B}" uniqueName="5597" name="Column5597" queryTableFieldId="5597"/>
    <tableColumn id="5598" xr3:uid="{90218E79-32DC-4969-88A9-5E48843FCFA5}" uniqueName="5598" name="Column5598" queryTableFieldId="5598"/>
    <tableColumn id="5599" xr3:uid="{1C1808DC-3CA7-4F02-A0E3-D11E3BAF91FE}" uniqueName="5599" name="Column5599" queryTableFieldId="5599"/>
    <tableColumn id="5600" xr3:uid="{8D8862D6-2813-42B2-A4D8-20F163D7EF80}" uniqueName="5600" name="Column5600" queryTableFieldId="5600"/>
    <tableColumn id="5601" xr3:uid="{D8F049F1-39FF-411A-95DD-4B7FC1A68BB8}" uniqueName="5601" name="Column5601" queryTableFieldId="5601"/>
    <tableColumn id="5602" xr3:uid="{0C7E192F-D252-4583-AC07-DB4A11F718B9}" uniqueName="5602" name="Column5602" queryTableFieldId="5602"/>
    <tableColumn id="5603" xr3:uid="{B48E14E8-4694-4C5A-8232-ED6225E2CE43}" uniqueName="5603" name="Column5603" queryTableFieldId="5603"/>
    <tableColumn id="5604" xr3:uid="{890B45C8-FBB7-4F77-99B1-8AD18F04A523}" uniqueName="5604" name="Column5604" queryTableFieldId="5604"/>
    <tableColumn id="5605" xr3:uid="{B0300259-A0C5-4DCE-B3EE-9E650CC3D6AD}" uniqueName="5605" name="Column5605" queryTableFieldId="5605"/>
    <tableColumn id="5606" xr3:uid="{F41AC17D-2E64-4E18-B49C-49613D616F96}" uniqueName="5606" name="Column5606" queryTableFieldId="5606"/>
    <tableColumn id="5607" xr3:uid="{97320F83-59EE-45D0-A757-6C04B5B6BF5F}" uniqueName="5607" name="Column5607" queryTableFieldId="5607"/>
    <tableColumn id="5608" xr3:uid="{EBEBDD9B-D280-453D-BB8C-25036AE4248C}" uniqueName="5608" name="Column5608" queryTableFieldId="5608"/>
    <tableColumn id="5609" xr3:uid="{A1E81480-3F89-4349-BB3E-D6AE4E83B0F4}" uniqueName="5609" name="Column5609" queryTableFieldId="5609"/>
    <tableColumn id="5610" xr3:uid="{93B8A032-B290-46E0-A000-CD9822D5194A}" uniqueName="5610" name="Column5610" queryTableFieldId="5610"/>
    <tableColumn id="5611" xr3:uid="{1A3D34D4-877A-4696-8AF0-512722DDB9A1}" uniqueName="5611" name="Column5611" queryTableFieldId="5611"/>
    <tableColumn id="5612" xr3:uid="{7DE5C37D-A640-4AF5-A196-122F10E100D6}" uniqueName="5612" name="Column5612" queryTableFieldId="5612"/>
    <tableColumn id="5613" xr3:uid="{3FA3DEAF-DC4C-45E2-B7F2-ED8F33FAF292}" uniqueName="5613" name="Column5613" queryTableFieldId="5613"/>
    <tableColumn id="5614" xr3:uid="{371BFE0D-6D3D-446D-8D31-B5389D5DEB11}" uniqueName="5614" name="Column5614" queryTableFieldId="5614"/>
    <tableColumn id="5615" xr3:uid="{521F6FBD-DDDE-4847-ADDC-FF695C45199C}" uniqueName="5615" name="Column5615" queryTableFieldId="5615"/>
    <tableColumn id="5616" xr3:uid="{E8E072B5-2027-4C0D-8B5A-49836752C110}" uniqueName="5616" name="Column5616" queryTableFieldId="5616"/>
    <tableColumn id="5617" xr3:uid="{1F484348-0B9A-4BF8-A79D-10521C734B3D}" uniqueName="5617" name="Column5617" queryTableFieldId="5617"/>
    <tableColumn id="5618" xr3:uid="{16901F49-D4FE-4A18-B898-ED117E00D699}" uniqueName="5618" name="Column5618" queryTableFieldId="5618"/>
    <tableColumn id="5619" xr3:uid="{2D369539-3FCD-45B6-8C93-94C258892ACF}" uniqueName="5619" name="Column5619" queryTableFieldId="5619"/>
    <tableColumn id="5620" xr3:uid="{7D5442F1-34C6-4FD6-B8F9-6AA1EA1C429E}" uniqueName="5620" name="Column5620" queryTableFieldId="5620"/>
    <tableColumn id="5621" xr3:uid="{A495DD50-FCAD-4991-876B-8218AF626073}" uniqueName="5621" name="Column5621" queryTableFieldId="5621"/>
    <tableColumn id="5622" xr3:uid="{C228EE7B-524B-4AFE-82A7-9E22BC59CD23}" uniqueName="5622" name="Column5622" queryTableFieldId="5622"/>
    <tableColumn id="5623" xr3:uid="{1EFA6CEB-7100-4ECC-8C4F-07436BE884B9}" uniqueName="5623" name="Column5623" queryTableFieldId="5623"/>
    <tableColumn id="5624" xr3:uid="{32777138-6BA4-4C5B-A0DD-6BA0BA113267}" uniqueName="5624" name="Column5624" queryTableFieldId="5624"/>
    <tableColumn id="5625" xr3:uid="{8D5A1EA7-DEE9-4DB4-8C00-372B255C8A39}" uniqueName="5625" name="Column5625" queryTableFieldId="5625"/>
    <tableColumn id="5626" xr3:uid="{28C61BC1-D910-4D6C-B2BA-7454FCB6ABF4}" uniqueName="5626" name="Column5626" queryTableFieldId="5626"/>
    <tableColumn id="5627" xr3:uid="{CA2D9CFC-2F44-463A-A25C-EB6F045D1006}" uniqueName="5627" name="Column5627" queryTableFieldId="5627"/>
    <tableColumn id="5628" xr3:uid="{6BAB1E28-3081-4BBA-9B12-712CCCF440A9}" uniqueName="5628" name="Column5628" queryTableFieldId="5628"/>
    <tableColumn id="5629" xr3:uid="{A9C6FF86-5FB6-47F7-84B2-48B056BD9D33}" uniqueName="5629" name="Column5629" queryTableFieldId="5629"/>
    <tableColumn id="5630" xr3:uid="{E896DF89-0638-4C1B-9E5F-9DA4D50350B9}" uniqueName="5630" name="Column5630" queryTableFieldId="5630"/>
    <tableColumn id="5631" xr3:uid="{57FBDB10-FDCB-431D-A102-63A776F13E84}" uniqueName="5631" name="Column5631" queryTableFieldId="5631"/>
    <tableColumn id="5632" xr3:uid="{28126DA6-F26A-4109-9359-14C25673CEC0}" uniqueName="5632" name="Column5632" queryTableFieldId="5632"/>
    <tableColumn id="5633" xr3:uid="{E24DE424-1608-4BC6-8292-0A7B3534C54F}" uniqueName="5633" name="Column5633" queryTableFieldId="5633"/>
    <tableColumn id="5634" xr3:uid="{0B10DC39-B9A8-42AF-9A89-10F4A6FDFE9D}" uniqueName="5634" name="Column5634" queryTableFieldId="5634"/>
    <tableColumn id="5635" xr3:uid="{193D8DE4-E4CA-4F83-B2A1-14CA8325A405}" uniqueName="5635" name="Column5635" queryTableFieldId="5635"/>
    <tableColumn id="5636" xr3:uid="{94739420-4FE0-4714-9012-D185E435AA2B}" uniqueName="5636" name="Column5636" queryTableFieldId="5636"/>
    <tableColumn id="5637" xr3:uid="{07A21F59-9EA9-45D9-876D-D3C8978AB902}" uniqueName="5637" name="Column5637" queryTableFieldId="5637"/>
    <tableColumn id="5638" xr3:uid="{0EFB8A32-67D4-4E88-A26C-0B625DD14941}" uniqueName="5638" name="Column5638" queryTableFieldId="5638"/>
    <tableColumn id="5639" xr3:uid="{F5C758D0-DA0E-49E5-A7C5-56D8EF197420}" uniqueName="5639" name="Column5639" queryTableFieldId="5639"/>
    <tableColumn id="5640" xr3:uid="{5868438A-76CA-4FE4-88C3-745F1B624C4F}" uniqueName="5640" name="Column5640" queryTableFieldId="5640"/>
    <tableColumn id="5641" xr3:uid="{79E028E4-F9C7-4B43-B464-C5ECDFD45AED}" uniqueName="5641" name="Column5641" queryTableFieldId="5641"/>
    <tableColumn id="5642" xr3:uid="{A967AD40-AF9D-425E-B6C3-D402CCD86F02}" uniqueName="5642" name="Column5642" queryTableFieldId="5642"/>
    <tableColumn id="5643" xr3:uid="{D3EEC587-C356-4CAE-9872-C9B035DDF537}" uniqueName="5643" name="Column5643" queryTableFieldId="5643"/>
    <tableColumn id="5644" xr3:uid="{57EA5086-BD55-4EEA-AD53-6DD5E925B9A6}" uniqueName="5644" name="Column5644" queryTableFieldId="5644"/>
    <tableColumn id="5645" xr3:uid="{CCAAE9E3-91AF-4547-BC26-C895DC0B4103}" uniqueName="5645" name="Column5645" queryTableFieldId="5645"/>
    <tableColumn id="5646" xr3:uid="{B0ECF8CB-F373-46E1-85F0-58C04EF43314}" uniqueName="5646" name="Column5646" queryTableFieldId="5646"/>
    <tableColumn id="5647" xr3:uid="{D1C97AB9-F4C5-41BC-AA79-B99032CF3FF6}" uniqueName="5647" name="Column5647" queryTableFieldId="5647"/>
    <tableColumn id="5648" xr3:uid="{49B67C09-1F75-4169-8D29-310A3A08C23D}" uniqueName="5648" name="Column5648" queryTableFieldId="5648"/>
    <tableColumn id="5649" xr3:uid="{CA620272-2C71-40B7-9044-0B4F209A2552}" uniqueName="5649" name="Column5649" queryTableFieldId="5649"/>
    <tableColumn id="5650" xr3:uid="{92C7BD8D-C9DA-4A6E-9D29-D3A98CB7D4C2}" uniqueName="5650" name="Column5650" queryTableFieldId="5650"/>
    <tableColumn id="5651" xr3:uid="{F539C57B-C025-4835-AAF7-D93595D325F7}" uniqueName="5651" name="Column5651" queryTableFieldId="5651"/>
    <tableColumn id="5652" xr3:uid="{CBCA7E9D-56AB-4B9D-A9A9-F364E4C39EE1}" uniqueName="5652" name="Column5652" queryTableFieldId="5652"/>
    <tableColumn id="5653" xr3:uid="{731B8E83-83D5-450F-8F47-039E88B903EE}" uniqueName="5653" name="Column5653" queryTableFieldId="5653"/>
    <tableColumn id="5654" xr3:uid="{00EE7B52-B8B0-4854-B8D9-6312D73929CC}" uniqueName="5654" name="Column5654" queryTableFieldId="5654"/>
    <tableColumn id="5655" xr3:uid="{3F3A1151-AB8B-4033-B645-6E076DD92F3A}" uniqueName="5655" name="Column5655" queryTableFieldId="5655"/>
    <tableColumn id="5656" xr3:uid="{FA6168DC-5F2C-4546-B0EE-C4EDDDE4AFE9}" uniqueName="5656" name="Column5656" queryTableFieldId="5656"/>
    <tableColumn id="5657" xr3:uid="{583B02A1-BA60-4EF1-BF81-7964C1B36F67}" uniqueName="5657" name="Column5657" queryTableFieldId="5657"/>
    <tableColumn id="5658" xr3:uid="{8C591ED4-DD46-4A63-B9FA-C72C347139FC}" uniqueName="5658" name="Column5658" queryTableFieldId="5658"/>
    <tableColumn id="5659" xr3:uid="{CE043D16-457A-48DE-95F5-3BE1E7D68DFB}" uniqueName="5659" name="Column5659" queryTableFieldId="5659"/>
    <tableColumn id="5660" xr3:uid="{768F620E-C5B1-4021-840C-BEA482A3280F}" uniqueName="5660" name="Column5660" queryTableFieldId="5660"/>
    <tableColumn id="5661" xr3:uid="{A00624C1-DF31-4C58-A87D-8A858AC43A66}" uniqueName="5661" name="Column5661" queryTableFieldId="5661"/>
    <tableColumn id="5662" xr3:uid="{4A7779D4-AA76-4FE4-B3AE-CEEC665431AE}" uniqueName="5662" name="Column5662" queryTableFieldId="5662"/>
    <tableColumn id="5663" xr3:uid="{73B2B512-DB6C-460C-8492-9FB953744351}" uniqueName="5663" name="Column5663" queryTableFieldId="5663"/>
    <tableColumn id="5664" xr3:uid="{C08BA39E-4BF8-4217-BE55-3276950A742A}" uniqueName="5664" name="Column5664" queryTableFieldId="5664"/>
    <tableColumn id="5665" xr3:uid="{2A660B5A-1A0F-444B-B9D7-340667D743E9}" uniqueName="5665" name="Column5665" queryTableFieldId="5665"/>
    <tableColumn id="5666" xr3:uid="{F8247760-7F19-4CC8-A1BE-5FCF61460EA2}" uniqueName="5666" name="Column5666" queryTableFieldId="5666"/>
    <tableColumn id="5667" xr3:uid="{084F9F97-4712-47E9-A9C9-19834DA38F89}" uniqueName="5667" name="Column5667" queryTableFieldId="5667"/>
    <tableColumn id="5668" xr3:uid="{314D7CBC-A7A5-42FA-999C-480BD72B1E0D}" uniqueName="5668" name="Column5668" queryTableFieldId="5668"/>
    <tableColumn id="5669" xr3:uid="{BA4E6526-1835-4C58-A280-4156FBEC9F18}" uniqueName="5669" name="Column5669" queryTableFieldId="5669"/>
    <tableColumn id="5670" xr3:uid="{6781925B-6C30-4BFA-BBB0-8A0637C4F19C}" uniqueName="5670" name="Column5670" queryTableFieldId="5670"/>
    <tableColumn id="5671" xr3:uid="{CD49649C-8F89-4B7F-BA63-17C67FC5FDCE}" uniqueName="5671" name="Column5671" queryTableFieldId="5671"/>
    <tableColumn id="5672" xr3:uid="{CB6C2A92-2EBE-48DB-965C-C20AAD062AFB}" uniqueName="5672" name="Column5672" queryTableFieldId="5672"/>
    <tableColumn id="5673" xr3:uid="{0124037F-E728-4D4F-9EF0-A214740673E8}" uniqueName="5673" name="Column5673" queryTableFieldId="5673"/>
    <tableColumn id="5674" xr3:uid="{A9B1AEDA-3A59-46DF-ADED-0EB62D6DB998}" uniqueName="5674" name="Column5674" queryTableFieldId="5674"/>
    <tableColumn id="5675" xr3:uid="{B7558298-F029-4E2D-8300-F4F92826504A}" uniqueName="5675" name="Column5675" queryTableFieldId="5675"/>
    <tableColumn id="5676" xr3:uid="{248B519D-B242-4517-9D4A-0336E99A528E}" uniqueName="5676" name="Column5676" queryTableFieldId="5676"/>
    <tableColumn id="5677" xr3:uid="{90EB4455-9704-4EB2-A7CE-630AEC2275A1}" uniqueName="5677" name="Column5677" queryTableFieldId="5677"/>
    <tableColumn id="5678" xr3:uid="{DA6ECE6B-C78A-45BE-A958-7CCAF59CC9EA}" uniqueName="5678" name="Column5678" queryTableFieldId="5678"/>
    <tableColumn id="5679" xr3:uid="{472F1A5D-E0EE-47EF-95A9-3A2A9418DD8E}" uniqueName="5679" name="Column5679" queryTableFieldId="5679"/>
    <tableColumn id="5680" xr3:uid="{9F0711F3-FF2F-4958-87A9-47169B1F1F28}" uniqueName="5680" name="Column5680" queryTableFieldId="5680"/>
    <tableColumn id="5681" xr3:uid="{21BE626D-4426-4D56-8478-5AB68E78D343}" uniqueName="5681" name="Column5681" queryTableFieldId="5681"/>
    <tableColumn id="5682" xr3:uid="{7B5AC410-9114-4FF4-878F-53A858DE04DF}" uniqueName="5682" name="Column5682" queryTableFieldId="5682"/>
    <tableColumn id="5683" xr3:uid="{3ECE3FD8-70E0-4013-A669-2B398FD8197A}" uniqueName="5683" name="Column5683" queryTableFieldId="5683"/>
    <tableColumn id="5684" xr3:uid="{7199CEED-B8B4-4008-A62E-DFE3470AA6A8}" uniqueName="5684" name="Column5684" queryTableFieldId="5684"/>
    <tableColumn id="5685" xr3:uid="{D695DCF5-0D01-4B85-8AF7-2AAB74B77056}" uniqueName="5685" name="Column5685" queryTableFieldId="5685"/>
    <tableColumn id="5686" xr3:uid="{9CD3A940-75CC-4D27-962C-7809150C3C1B}" uniqueName="5686" name="Column5686" queryTableFieldId="5686"/>
    <tableColumn id="5687" xr3:uid="{FE440D84-A5D1-4EB0-9FDC-A3AB20B88D7D}" uniqueName="5687" name="Column5687" queryTableFieldId="5687"/>
    <tableColumn id="5688" xr3:uid="{99CB87D8-8C1F-4975-99D9-97712378927A}" uniqueName="5688" name="Column5688" queryTableFieldId="5688"/>
    <tableColumn id="5689" xr3:uid="{6A7D55A9-1BB7-43F4-BB97-2580BE3F9517}" uniqueName="5689" name="Column5689" queryTableFieldId="5689"/>
    <tableColumn id="5690" xr3:uid="{4B2649DF-E6EB-4A2F-A7AD-0F8EC8441C4B}" uniqueName="5690" name="Column5690" queryTableFieldId="5690"/>
    <tableColumn id="5691" xr3:uid="{1286B6BE-81BB-47CD-9E8C-BBA020C114DB}" uniqueName="5691" name="Column5691" queryTableFieldId="5691"/>
    <tableColumn id="5692" xr3:uid="{0CF3DF6F-F6A0-43F3-AA6A-D2FE60EAD476}" uniqueName="5692" name="Column5692" queryTableFieldId="5692"/>
    <tableColumn id="5693" xr3:uid="{33F2FE45-5CA9-4667-B57A-4319F1092D05}" uniqueName="5693" name="Column5693" queryTableFieldId="5693"/>
    <tableColumn id="5694" xr3:uid="{A48CCEC8-963F-469C-9385-3BC3E310EEEE}" uniqueName="5694" name="Column5694" queryTableFieldId="5694"/>
    <tableColumn id="5695" xr3:uid="{104159F4-3AAD-4709-A2E5-BE2D6B001ED2}" uniqueName="5695" name="Column5695" queryTableFieldId="5695"/>
    <tableColumn id="5696" xr3:uid="{97BFE821-BEBD-492A-8D28-63BE3CD9086E}" uniqueName="5696" name="Column5696" queryTableFieldId="5696"/>
    <tableColumn id="5697" xr3:uid="{773C8340-1CD9-49F8-8266-75C189B9332C}" uniqueName="5697" name="Column5697" queryTableFieldId="5697"/>
    <tableColumn id="5698" xr3:uid="{B24A281F-6564-48DC-AC66-D65FA6957C41}" uniqueName="5698" name="Column5698" queryTableFieldId="5698"/>
    <tableColumn id="5699" xr3:uid="{251555C6-D18C-4CC4-906D-BBED4807406A}" uniqueName="5699" name="Column5699" queryTableFieldId="5699"/>
    <tableColumn id="5700" xr3:uid="{9AEDDC86-70FB-4E26-88C5-B89E191016B4}" uniqueName="5700" name="Column5700" queryTableFieldId="5700"/>
    <tableColumn id="5701" xr3:uid="{1903CB55-8BB5-4DDA-A2ED-218F0AB3AEF9}" uniqueName="5701" name="Column5701" queryTableFieldId="5701"/>
    <tableColumn id="5702" xr3:uid="{21D695C6-1250-4FF4-B1B4-2F6AAC432F41}" uniqueName="5702" name="Column5702" queryTableFieldId="5702"/>
    <tableColumn id="5703" xr3:uid="{ACC634CC-61B2-43D3-829D-0F4B7AB74FC9}" uniqueName="5703" name="Column5703" queryTableFieldId="5703"/>
    <tableColumn id="5704" xr3:uid="{63DA41D3-50F3-4314-9BD7-AED1AB713CDF}" uniqueName="5704" name="Column5704" queryTableFieldId="5704"/>
    <tableColumn id="5705" xr3:uid="{F9FF5471-772F-45DC-8C3F-409287F8F7C5}" uniqueName="5705" name="Column5705" queryTableFieldId="5705"/>
    <tableColumn id="5706" xr3:uid="{065058FE-B7A5-4604-9095-AC3973F0E02A}" uniqueName="5706" name="Column5706" queryTableFieldId="5706"/>
    <tableColumn id="5707" xr3:uid="{00AD9B8F-2484-409A-AF8C-E12723560794}" uniqueName="5707" name="Column5707" queryTableFieldId="5707"/>
    <tableColumn id="5708" xr3:uid="{BA3BB52E-8E7A-4EE4-A051-BE66190F204B}" uniqueName="5708" name="Column5708" queryTableFieldId="5708"/>
    <tableColumn id="5709" xr3:uid="{311B77AB-53C8-4A96-B030-A21C670D28B2}" uniqueName="5709" name="Column5709" queryTableFieldId="5709"/>
    <tableColumn id="5710" xr3:uid="{A0909200-0DB1-44DD-807A-C67C899EE4C7}" uniqueName="5710" name="Column5710" queryTableFieldId="5710"/>
    <tableColumn id="5711" xr3:uid="{26326B4E-1F08-4DC0-AAFE-ACC1BF6E7911}" uniqueName="5711" name="Column5711" queryTableFieldId="5711"/>
    <tableColumn id="5712" xr3:uid="{CB419128-993A-4C0A-83A5-0BA1BCD35F2F}" uniqueName="5712" name="Column5712" queryTableFieldId="5712"/>
    <tableColumn id="5713" xr3:uid="{34D9A1B1-ECFA-4A82-95F4-2F3E173D3C0A}" uniqueName="5713" name="Column5713" queryTableFieldId="5713"/>
    <tableColumn id="5714" xr3:uid="{F3539BC1-869C-4551-B63D-B6AE1A71488D}" uniqueName="5714" name="Column5714" queryTableFieldId="5714"/>
    <tableColumn id="5715" xr3:uid="{6E62579E-2C7E-4394-9E92-B404F0F5D390}" uniqueName="5715" name="Column5715" queryTableFieldId="5715"/>
    <tableColumn id="5716" xr3:uid="{C4D626ED-2C3B-4064-A2F5-53F1BE02E721}" uniqueName="5716" name="Column5716" queryTableFieldId="5716"/>
    <tableColumn id="5717" xr3:uid="{D2173479-8756-44C6-B67D-7F75D57F4290}" uniqueName="5717" name="Column5717" queryTableFieldId="5717"/>
    <tableColumn id="5718" xr3:uid="{C5E91269-1E35-4996-BAB7-258F77578A07}" uniqueName="5718" name="Column5718" queryTableFieldId="5718"/>
    <tableColumn id="5719" xr3:uid="{496E01DC-C625-4E16-B11A-1DF0EF55A00F}" uniqueName="5719" name="Column5719" queryTableFieldId="5719"/>
    <tableColumn id="5720" xr3:uid="{A44A942E-6C5F-41E4-9520-C9602AF5E89A}" uniqueName="5720" name="Column5720" queryTableFieldId="5720"/>
    <tableColumn id="5721" xr3:uid="{622F7CCA-5AA7-4E83-9BB7-A0F35CEA3787}" uniqueName="5721" name="Column5721" queryTableFieldId="5721"/>
    <tableColumn id="5722" xr3:uid="{83F232C0-28C4-47ED-AD64-2A2243F4E78E}" uniqueName="5722" name="Column5722" queryTableFieldId="5722"/>
    <tableColumn id="5723" xr3:uid="{E664B188-4778-4DA4-9E8B-DBE152ABA25C}" uniqueName="5723" name="Column5723" queryTableFieldId="5723"/>
    <tableColumn id="5724" xr3:uid="{923576F7-AEC3-4EB5-A6DD-7D6026B9BD2F}" uniqueName="5724" name="Column5724" queryTableFieldId="5724"/>
    <tableColumn id="5725" xr3:uid="{A9C3384C-E5ED-4B26-B391-89864BA633B8}" uniqueName="5725" name="Column5725" queryTableFieldId="5725"/>
    <tableColumn id="5726" xr3:uid="{6955A35E-FEFA-46F2-BFB2-E4EB4C3069D1}" uniqueName="5726" name="Column5726" queryTableFieldId="5726"/>
    <tableColumn id="5727" xr3:uid="{446A22DE-0630-4281-96CA-24BEA050E29F}" uniqueName="5727" name="Column5727" queryTableFieldId="5727"/>
    <tableColumn id="5728" xr3:uid="{B8E05E33-E5CC-44DD-AA82-F3C95EC84F42}" uniqueName="5728" name="Column5728" queryTableFieldId="5728"/>
    <tableColumn id="5729" xr3:uid="{6BF95DBF-FA36-41D0-BC79-CF35D4A88A7E}" uniqueName="5729" name="Column5729" queryTableFieldId="5729"/>
    <tableColumn id="5730" xr3:uid="{9149F300-AA26-4063-9541-70EF1D7AF8A0}" uniqueName="5730" name="Column5730" queryTableFieldId="5730"/>
    <tableColumn id="5731" xr3:uid="{0D0A5FD1-9E14-428A-AF91-1E1AB114CCC4}" uniqueName="5731" name="Column5731" queryTableFieldId="5731"/>
    <tableColumn id="5732" xr3:uid="{BE2BFCD8-D582-4783-927A-009B7DA9193A}" uniqueName="5732" name="Column5732" queryTableFieldId="5732"/>
    <tableColumn id="5733" xr3:uid="{301D3BE9-4A53-472A-8E49-884E2B3F0FD2}" uniqueName="5733" name="Column5733" queryTableFieldId="5733"/>
    <tableColumn id="5734" xr3:uid="{855EB26F-AC85-40B3-8857-2725FBACBB03}" uniqueName="5734" name="Column5734" queryTableFieldId="5734"/>
    <tableColumn id="5735" xr3:uid="{1086C636-921E-4BF0-9F58-9CDB629E889E}" uniqueName="5735" name="Column5735" queryTableFieldId="5735"/>
    <tableColumn id="5736" xr3:uid="{6B96542B-6417-4035-B56F-8D141A349185}" uniqueName="5736" name="Column5736" queryTableFieldId="5736"/>
    <tableColumn id="5737" xr3:uid="{A1312001-C274-4A57-AEDD-263830AEF87D}" uniqueName="5737" name="Column5737" queryTableFieldId="5737"/>
    <tableColumn id="5738" xr3:uid="{76176FD9-E4B9-4ECD-8E39-BA67003910F0}" uniqueName="5738" name="Column5738" queryTableFieldId="5738"/>
    <tableColumn id="5739" xr3:uid="{AF342437-8C5B-4A6B-B30D-E654ACACB529}" uniqueName="5739" name="Column5739" queryTableFieldId="5739"/>
    <tableColumn id="5740" xr3:uid="{E9035DA1-2B02-484E-AA00-E5587DDF7811}" uniqueName="5740" name="Column5740" queryTableFieldId="5740"/>
    <tableColumn id="5741" xr3:uid="{8A22DF6C-39F1-4652-BE57-A88FC7056C16}" uniqueName="5741" name="Column5741" queryTableFieldId="5741"/>
    <tableColumn id="5742" xr3:uid="{9BBD7C76-C949-4D07-970F-96E4FC4D9F6C}" uniqueName="5742" name="Column5742" queryTableFieldId="5742"/>
    <tableColumn id="5743" xr3:uid="{948F7D37-A9FD-4781-BB97-F8DB12358464}" uniqueName="5743" name="Column5743" queryTableFieldId="5743"/>
    <tableColumn id="5744" xr3:uid="{77ADA81B-6353-427E-A754-FBF073F8CCF1}" uniqueName="5744" name="Column5744" queryTableFieldId="5744"/>
    <tableColumn id="5745" xr3:uid="{3DE1CB33-5862-4A5E-A66B-79EBC025BF5B}" uniqueName="5745" name="Column5745" queryTableFieldId="5745"/>
    <tableColumn id="5746" xr3:uid="{2F0B76CC-A705-481D-9E20-CB5A5AAD28D9}" uniqueName="5746" name="Column5746" queryTableFieldId="5746"/>
    <tableColumn id="5747" xr3:uid="{EBE204F0-5F15-4912-B257-4237CC7C5C93}" uniqueName="5747" name="Column5747" queryTableFieldId="5747"/>
    <tableColumn id="5748" xr3:uid="{4C88F81A-C817-4359-80BC-52CF0BD9E4E8}" uniqueName="5748" name="Column5748" queryTableFieldId="5748"/>
    <tableColumn id="5749" xr3:uid="{247D5F01-52C1-43BC-B365-141376EADB52}" uniqueName="5749" name="Column5749" queryTableFieldId="5749"/>
    <tableColumn id="5750" xr3:uid="{99EC69C2-A242-497B-93FC-769B5A26A9DB}" uniqueName="5750" name="Column5750" queryTableFieldId="5750"/>
    <tableColumn id="5751" xr3:uid="{496D9040-5115-4590-9A3A-6B97CEAB7988}" uniqueName="5751" name="Column5751" queryTableFieldId="5751"/>
    <tableColumn id="5752" xr3:uid="{70EC04DC-9D51-4AA5-B33C-479B98CC6AB0}" uniqueName="5752" name="Column5752" queryTableFieldId="5752"/>
    <tableColumn id="5753" xr3:uid="{B82621E9-4AA1-4CB6-B4BE-44D075F0EF46}" uniqueName="5753" name="Column5753" queryTableFieldId="5753"/>
    <tableColumn id="5754" xr3:uid="{AEFDB43E-402E-47A2-89AB-C3662572264C}" uniqueName="5754" name="Column5754" queryTableFieldId="5754"/>
    <tableColumn id="5755" xr3:uid="{E2C0A7D3-D7F0-473A-A86A-7DCC527BB472}" uniqueName="5755" name="Column5755" queryTableFieldId="5755"/>
    <tableColumn id="5756" xr3:uid="{80613B9A-CF57-4823-8506-B9C6662229B4}" uniqueName="5756" name="Column5756" queryTableFieldId="5756"/>
    <tableColumn id="5757" xr3:uid="{525610E8-D5FE-4D99-9CAD-BF60C90AD319}" uniqueName="5757" name="Column5757" queryTableFieldId="5757"/>
    <tableColumn id="5758" xr3:uid="{1B8F263E-7BEC-4722-B78F-984F98156DDD}" uniqueName="5758" name="Column5758" queryTableFieldId="5758"/>
    <tableColumn id="5759" xr3:uid="{56DE28C7-8FF2-4758-B740-DBF757C53C8C}" uniqueName="5759" name="Column5759" queryTableFieldId="5759"/>
    <tableColumn id="5760" xr3:uid="{8A041DDE-7C31-415A-BB3A-A407B950DFD7}" uniqueName="5760" name="Column5760" queryTableFieldId="5760"/>
    <tableColumn id="5761" xr3:uid="{74EAD3A6-B636-45A1-B85A-B4EAB0177AF2}" uniqueName="5761" name="Column5761" queryTableFieldId="5761"/>
    <tableColumn id="5762" xr3:uid="{8F49A02F-AEF8-4D72-871F-07AF8BEDE3EF}" uniqueName="5762" name="Column5762" queryTableFieldId="5762"/>
    <tableColumn id="5763" xr3:uid="{4F902C61-0DDD-48A7-86FE-0F5D211F1BBC}" uniqueName="5763" name="Column5763" queryTableFieldId="5763"/>
    <tableColumn id="5764" xr3:uid="{75E1828F-61FF-4719-AFCC-5D43868C3ED9}" uniqueName="5764" name="Column5764" queryTableFieldId="5764"/>
    <tableColumn id="5765" xr3:uid="{639BBBC8-BE03-4738-9670-DFEA761F1DCA}" uniqueName="5765" name="Column5765" queryTableFieldId="5765"/>
    <tableColumn id="5766" xr3:uid="{5F483D38-D11C-4238-AE09-86BD66163843}" uniqueName="5766" name="Column5766" queryTableFieldId="5766"/>
    <tableColumn id="5767" xr3:uid="{5DF9382E-7297-4393-91D2-9E9385301F89}" uniqueName="5767" name="Column5767" queryTableFieldId="5767"/>
    <tableColumn id="5768" xr3:uid="{049DE0B8-D5E5-45A9-BDE3-410354C9855C}" uniqueName="5768" name="Column5768" queryTableFieldId="5768"/>
    <tableColumn id="5769" xr3:uid="{E035AC6E-1C34-4EC7-A87C-39559C22D64B}" uniqueName="5769" name="Column5769" queryTableFieldId="5769"/>
    <tableColumn id="5770" xr3:uid="{DA10FBDF-AB2A-4F52-B43B-F86C697AF764}" uniqueName="5770" name="Column5770" queryTableFieldId="5770"/>
    <tableColumn id="5771" xr3:uid="{8AA55F14-FF3D-4651-806C-F4AF8E35CA6B}" uniqueName="5771" name="Column5771" queryTableFieldId="5771"/>
    <tableColumn id="5772" xr3:uid="{BCF1D6E8-44A2-4065-BD7B-3E8189E0A04B}" uniqueName="5772" name="Column5772" queryTableFieldId="5772"/>
    <tableColumn id="5773" xr3:uid="{0F7C32E6-0A79-4DE2-BD44-9FEB590EA512}" uniqueName="5773" name="Column5773" queryTableFieldId="5773"/>
    <tableColumn id="5774" xr3:uid="{18753345-D30E-4B92-A8F8-86EA91E77EE9}" uniqueName="5774" name="Column5774" queryTableFieldId="5774"/>
    <tableColumn id="5775" xr3:uid="{30E5CDB8-4883-464D-BBCD-9E91B57D593E}" uniqueName="5775" name="Column5775" queryTableFieldId="5775"/>
    <tableColumn id="5776" xr3:uid="{0E80A0D5-5517-4090-83EB-80D70892E07F}" uniqueName="5776" name="Column5776" queryTableFieldId="5776"/>
    <tableColumn id="5777" xr3:uid="{87320846-1530-425D-96FD-DDE49CA3AFBA}" uniqueName="5777" name="Column5777" queryTableFieldId="5777"/>
    <tableColumn id="5778" xr3:uid="{726D4075-3AA6-43B8-81FE-E99FEFDC23B9}" uniqueName="5778" name="Column5778" queryTableFieldId="5778"/>
    <tableColumn id="5779" xr3:uid="{600C0D0C-9280-41ED-BE2D-F52E794C79DD}" uniqueName="5779" name="Column5779" queryTableFieldId="5779"/>
    <tableColumn id="5780" xr3:uid="{5D9FC896-D1D2-4CB5-AE81-70EBC4BAB2E6}" uniqueName="5780" name="Column5780" queryTableFieldId="5780"/>
    <tableColumn id="5781" xr3:uid="{0D51DFBE-7F18-4103-B303-D9FF342DA2CE}" uniqueName="5781" name="Column5781" queryTableFieldId="5781"/>
    <tableColumn id="5782" xr3:uid="{4E608F6E-0C0A-430C-A81E-892EBC870272}" uniqueName="5782" name="Column5782" queryTableFieldId="5782"/>
    <tableColumn id="5783" xr3:uid="{038A1A72-D7E3-4887-88F0-A65CBF5A1BEA}" uniqueName="5783" name="Column5783" queryTableFieldId="5783"/>
    <tableColumn id="5784" xr3:uid="{83E05A70-7268-483E-BDAB-9573004E51D9}" uniqueName="5784" name="Column5784" queryTableFieldId="5784"/>
    <tableColumn id="5785" xr3:uid="{CD0F8FE4-10B6-4804-A900-D9AE49AE21A2}" uniqueName="5785" name="Column5785" queryTableFieldId="5785"/>
    <tableColumn id="5786" xr3:uid="{C7CEA9DD-E9FA-49D7-9EDA-837B310A7AC2}" uniqueName="5786" name="Column5786" queryTableFieldId="5786"/>
    <tableColumn id="5787" xr3:uid="{6C1A87D3-3AC2-4A51-8795-3EEDB87127ED}" uniqueName="5787" name="Column5787" queryTableFieldId="5787"/>
    <tableColumn id="5788" xr3:uid="{DE0C5C59-6E39-4289-8DC0-6CF8C7486954}" uniqueName="5788" name="Column5788" queryTableFieldId="5788"/>
    <tableColumn id="5789" xr3:uid="{F88D152B-FE85-4D1A-B7A1-2A8177218A90}" uniqueName="5789" name="Column5789" queryTableFieldId="5789"/>
    <tableColumn id="5790" xr3:uid="{713212BE-CE9A-42D7-89DA-E1894AC26C78}" uniqueName="5790" name="Column5790" queryTableFieldId="5790"/>
    <tableColumn id="5791" xr3:uid="{2D90D990-62E4-4815-9F9C-A459608EE34F}" uniqueName="5791" name="Column5791" queryTableFieldId="5791"/>
    <tableColumn id="5792" xr3:uid="{37D9A1DE-B71F-4F91-8D7A-DA6604FAF5D2}" uniqueName="5792" name="Column5792" queryTableFieldId="5792"/>
    <tableColumn id="5793" xr3:uid="{ED69C783-C3F3-4D2A-8E00-B89AD94CC895}" uniqueName="5793" name="Column5793" queryTableFieldId="5793"/>
    <tableColumn id="5794" xr3:uid="{C818A428-436D-4BE1-BFC5-1D4E144F6318}" uniqueName="5794" name="Column5794" queryTableFieldId="5794"/>
    <tableColumn id="5795" xr3:uid="{524119B1-C06B-427A-A2A5-8F8F4E84D9A5}" uniqueName="5795" name="Column5795" queryTableFieldId="5795"/>
    <tableColumn id="5796" xr3:uid="{9AC2A1C0-65FC-43FD-80B5-F2A7FE114A2B}" uniqueName="5796" name="Column5796" queryTableFieldId="5796"/>
    <tableColumn id="5797" xr3:uid="{F06AF4AC-2733-4BC8-8FB6-801C41897E58}" uniqueName="5797" name="Column5797" queryTableFieldId="5797"/>
    <tableColumn id="5798" xr3:uid="{24BAC65A-6E32-4E3D-B36E-637F80786995}" uniqueName="5798" name="Column5798" queryTableFieldId="5798"/>
    <tableColumn id="5799" xr3:uid="{6C3ED7F7-46BE-44C3-B065-38D2B4AEF5AF}" uniqueName="5799" name="Column5799" queryTableFieldId="5799"/>
    <tableColumn id="5800" xr3:uid="{874E434F-02E5-4C66-839D-E45EBEBE69B6}" uniqueName="5800" name="Column5800" queryTableFieldId="5800"/>
    <tableColumn id="5801" xr3:uid="{96C43C31-3565-4B85-BA93-73FC56CAED3D}" uniqueName="5801" name="Column5801" queryTableFieldId="5801"/>
    <tableColumn id="5802" xr3:uid="{69F20554-A04C-4840-A5F6-32A96C4CD51E}" uniqueName="5802" name="Column5802" queryTableFieldId="5802"/>
    <tableColumn id="5803" xr3:uid="{6D889C88-2914-47D5-8781-34BE68BCCD41}" uniqueName="5803" name="Column5803" queryTableFieldId="5803"/>
    <tableColumn id="5804" xr3:uid="{73DBE9E2-8A89-4B04-81DF-6B62DF46AEAD}" uniqueName="5804" name="Column5804" queryTableFieldId="5804"/>
    <tableColumn id="5805" xr3:uid="{722A9254-4871-448A-B919-032F0DBDECED}" uniqueName="5805" name="Column5805" queryTableFieldId="5805"/>
    <tableColumn id="5806" xr3:uid="{563C9513-D236-4B67-9211-78620A0F9DA0}" uniqueName="5806" name="Column5806" queryTableFieldId="5806"/>
    <tableColumn id="5807" xr3:uid="{144C376C-1217-4A9D-988A-6F686D6921F6}" uniqueName="5807" name="Column5807" queryTableFieldId="5807"/>
    <tableColumn id="5808" xr3:uid="{B2991126-21C2-4375-999C-41389ECC1007}" uniqueName="5808" name="Column5808" queryTableFieldId="5808"/>
    <tableColumn id="5809" xr3:uid="{FE94DB5F-B819-49A7-98D6-809E377C812B}" uniqueName="5809" name="Column5809" queryTableFieldId="5809"/>
    <tableColumn id="5810" xr3:uid="{92309740-57FB-4DB2-A31D-906C12DB2D0A}" uniqueName="5810" name="Column5810" queryTableFieldId="5810"/>
    <tableColumn id="5811" xr3:uid="{B0E525B3-0582-4014-92B7-54DFB23B332A}" uniqueName="5811" name="Column5811" queryTableFieldId="5811"/>
    <tableColumn id="5812" xr3:uid="{71CE990B-DA74-46A9-A7A8-45029AB20309}" uniqueName="5812" name="Column5812" queryTableFieldId="5812"/>
    <tableColumn id="5813" xr3:uid="{143F33C5-905F-4DAD-BACF-81690C7369CF}" uniqueName="5813" name="Column5813" queryTableFieldId="5813"/>
    <tableColumn id="5814" xr3:uid="{9941573A-AB29-4727-B71E-2DD9B4470C96}" uniqueName="5814" name="Column5814" queryTableFieldId="5814"/>
    <tableColumn id="5815" xr3:uid="{DCC328D8-1A72-40CB-AED7-93E9A1C8CA08}" uniqueName="5815" name="Column5815" queryTableFieldId="5815"/>
    <tableColumn id="5816" xr3:uid="{028E4D71-ACE5-4230-B1DD-80DBCC637CB8}" uniqueName="5816" name="Column5816" queryTableFieldId="5816"/>
    <tableColumn id="5817" xr3:uid="{0168189A-96D8-4695-91A7-BDD959823AB7}" uniqueName="5817" name="Column5817" queryTableFieldId="5817"/>
    <tableColumn id="5818" xr3:uid="{A9EFD09E-3A1D-4F43-A5BE-78CD9F93E38A}" uniqueName="5818" name="Column5818" queryTableFieldId="5818"/>
    <tableColumn id="5819" xr3:uid="{B3FC3A35-7389-4FFC-B84F-C8766EF18244}" uniqueName="5819" name="Column5819" queryTableFieldId="5819"/>
    <tableColumn id="5820" xr3:uid="{754640DA-9EEF-4AEA-809E-9B505E6D3237}" uniqueName="5820" name="Column5820" queryTableFieldId="5820"/>
    <tableColumn id="5821" xr3:uid="{DAAF91F0-4454-44F3-A934-9C492EEFF979}" uniqueName="5821" name="Column5821" queryTableFieldId="5821"/>
    <tableColumn id="5822" xr3:uid="{98D6A7B2-FE93-4A68-BA57-E52FD15E237A}" uniqueName="5822" name="Column5822" queryTableFieldId="5822"/>
    <tableColumn id="5823" xr3:uid="{CA8E418D-A181-411D-8361-4ED793246058}" uniqueName="5823" name="Column5823" queryTableFieldId="5823"/>
    <tableColumn id="5824" xr3:uid="{56CCC9BB-5692-4974-AE8B-5B2D118D809B}" uniqueName="5824" name="Column5824" queryTableFieldId="5824"/>
    <tableColumn id="5825" xr3:uid="{5E294572-9D14-4C22-B37E-8BC842E96A4F}" uniqueName="5825" name="Column5825" queryTableFieldId="5825"/>
    <tableColumn id="5826" xr3:uid="{EC6B1EA5-212E-4BDB-9CA8-44EFB2A3BF27}" uniqueName="5826" name="Column5826" queryTableFieldId="5826"/>
    <tableColumn id="5827" xr3:uid="{53436811-5581-4C4C-B7F8-0D66C7D721CE}" uniqueName="5827" name="Column5827" queryTableFieldId="5827"/>
    <tableColumn id="5828" xr3:uid="{A67E89B5-817B-4304-BE14-8B1FC92D26ED}" uniqueName="5828" name="Column5828" queryTableFieldId="5828"/>
    <tableColumn id="5829" xr3:uid="{962D81BB-29FA-4428-9FC4-2166856CEBD1}" uniqueName="5829" name="Column5829" queryTableFieldId="5829"/>
    <tableColumn id="5830" xr3:uid="{09B07903-9431-4F93-9C0C-DF407ADF550A}" uniqueName="5830" name="Column5830" queryTableFieldId="5830"/>
    <tableColumn id="5831" xr3:uid="{4C9B9001-A103-4C37-A065-73AB81978D3A}" uniqueName="5831" name="Column5831" queryTableFieldId="5831"/>
    <tableColumn id="5832" xr3:uid="{4AA63327-C356-47DA-86A2-DE87BF463C7B}" uniqueName="5832" name="Column5832" queryTableFieldId="5832"/>
    <tableColumn id="5833" xr3:uid="{EC2D4D9A-B0D5-4B51-AF09-7C17093C33DD}" uniqueName="5833" name="Column5833" queryTableFieldId="5833"/>
    <tableColumn id="5834" xr3:uid="{A21B5676-7A0E-4D26-B1C3-7C0166E8C3C1}" uniqueName="5834" name="Column5834" queryTableFieldId="5834"/>
    <tableColumn id="5835" xr3:uid="{124F3F76-2BDA-45CF-AB29-0F27D87DCD63}" uniqueName="5835" name="Column5835" queryTableFieldId="5835"/>
    <tableColumn id="5836" xr3:uid="{55669DD0-17F3-423A-859A-0D3A706FBCF3}" uniqueName="5836" name="Column5836" queryTableFieldId="5836"/>
    <tableColumn id="5837" xr3:uid="{7B5FF8F0-27D3-4F3C-8E3E-0C60E56E91F1}" uniqueName="5837" name="Column5837" queryTableFieldId="5837"/>
    <tableColumn id="5838" xr3:uid="{15AD7E1C-F2E6-44FC-9B07-8624021FCE5A}" uniqueName="5838" name="Column5838" queryTableFieldId="5838"/>
    <tableColumn id="5839" xr3:uid="{02868E04-C851-48B7-A5B7-B89973489E50}" uniqueName="5839" name="Column5839" queryTableFieldId="5839"/>
    <tableColumn id="5840" xr3:uid="{C728C6CD-2FB5-4A38-B96D-0773934BCC2E}" uniqueName="5840" name="Column5840" queryTableFieldId="5840"/>
    <tableColumn id="5841" xr3:uid="{9C9F4C46-A9D7-4CEB-A304-DD469A021A76}" uniqueName="5841" name="Column5841" queryTableFieldId="5841"/>
    <tableColumn id="5842" xr3:uid="{6BA48413-5A33-497D-AED5-E68475D6392D}" uniqueName="5842" name="Column5842" queryTableFieldId="5842"/>
    <tableColumn id="5843" xr3:uid="{9D771E73-A4DD-4302-854F-65440A8CAC70}" uniqueName="5843" name="Column5843" queryTableFieldId="5843"/>
    <tableColumn id="5844" xr3:uid="{4967D9A9-8FB0-4928-A29E-61C6D73E5FA3}" uniqueName="5844" name="Column5844" queryTableFieldId="5844"/>
    <tableColumn id="5845" xr3:uid="{F9262515-4B41-427F-A562-FE277C3A85D0}" uniqueName="5845" name="Column5845" queryTableFieldId="5845"/>
    <tableColumn id="5846" xr3:uid="{F47E54C1-CFF6-48C2-8CA3-4BC2ACA81F80}" uniqueName="5846" name="Column5846" queryTableFieldId="5846"/>
    <tableColumn id="5847" xr3:uid="{55FC8040-E0E6-4BFE-9782-7922E0B49049}" uniqueName="5847" name="Column5847" queryTableFieldId="5847"/>
    <tableColumn id="5848" xr3:uid="{6930D6DF-0FAA-44BE-811F-7F49C862D7AA}" uniqueName="5848" name="Column5848" queryTableFieldId="5848"/>
    <tableColumn id="5849" xr3:uid="{4CD8CDB7-4110-4DD5-876F-761BD987B925}" uniqueName="5849" name="Column5849" queryTableFieldId="5849"/>
    <tableColumn id="5850" xr3:uid="{BC89568C-1222-4920-9D8D-801CABB3F51C}" uniqueName="5850" name="Column5850" queryTableFieldId="5850"/>
    <tableColumn id="5851" xr3:uid="{23BF1EA3-B2A8-4E99-BC69-91BDD3478BBA}" uniqueName="5851" name="Column5851" queryTableFieldId="5851"/>
    <tableColumn id="5852" xr3:uid="{480DEB79-92FC-49AF-A505-5D757F7E28EB}" uniqueName="5852" name="Column5852" queryTableFieldId="5852"/>
    <tableColumn id="5853" xr3:uid="{862E30C7-65A1-4ED3-B88A-4274B6D6CAAC}" uniqueName="5853" name="Column5853" queryTableFieldId="5853"/>
    <tableColumn id="5854" xr3:uid="{7E83350C-A476-42E3-A1A9-F7F34968D32D}" uniqueName="5854" name="Column5854" queryTableFieldId="5854"/>
    <tableColumn id="5855" xr3:uid="{C013F6BA-0E09-4948-B3C4-A4C855C5CEDB}" uniqueName="5855" name="Column5855" queryTableFieldId="5855"/>
    <tableColumn id="5856" xr3:uid="{4CDFC1AD-D32B-42E8-B277-8CC81A6A3D6D}" uniqueName="5856" name="Column5856" queryTableFieldId="5856"/>
    <tableColumn id="5857" xr3:uid="{85863B1D-681D-43C9-A21B-603B7A12D20D}" uniqueName="5857" name="Column5857" queryTableFieldId="5857"/>
    <tableColumn id="5858" xr3:uid="{6D3CF0F4-736B-4C03-ABDC-58E4264B78C9}" uniqueName="5858" name="Column5858" queryTableFieldId="5858"/>
    <tableColumn id="5859" xr3:uid="{6DFCFC73-65A2-42EF-914B-F7E595FEAE34}" uniqueName="5859" name="Column5859" queryTableFieldId="5859"/>
    <tableColumn id="5860" xr3:uid="{7794ADCE-5C39-4418-8D77-04464F49530E}" uniqueName="5860" name="Column5860" queryTableFieldId="5860"/>
    <tableColumn id="5861" xr3:uid="{5146153D-95F9-40AA-8875-B008A2A37487}" uniqueName="5861" name="Column5861" queryTableFieldId="5861"/>
    <tableColumn id="5862" xr3:uid="{7A69738C-6726-454A-973D-B68915669901}" uniqueName="5862" name="Column5862" queryTableFieldId="5862"/>
    <tableColumn id="5863" xr3:uid="{AB74226F-197C-4072-8FE9-E1D134D3D301}" uniqueName="5863" name="Column5863" queryTableFieldId="5863"/>
    <tableColumn id="5864" xr3:uid="{0EA55A46-7845-4CE1-A302-33CEB8D8C889}" uniqueName="5864" name="Column5864" queryTableFieldId="5864"/>
    <tableColumn id="5865" xr3:uid="{0DB85E55-F283-45C8-B8E9-9EADED4E43D9}" uniqueName="5865" name="Column5865" queryTableFieldId="5865"/>
    <tableColumn id="5866" xr3:uid="{F515BDAE-AD62-4E6E-95FC-4E0887C550D0}" uniqueName="5866" name="Column5866" queryTableFieldId="5866"/>
    <tableColumn id="5867" xr3:uid="{232E7D89-EEEB-44CF-9056-40036788543E}" uniqueName="5867" name="Column5867" queryTableFieldId="5867"/>
    <tableColumn id="5868" xr3:uid="{C4BB7EA1-6F7E-4D48-9154-473734AF3D0C}" uniqueName="5868" name="Column5868" queryTableFieldId="5868"/>
    <tableColumn id="5869" xr3:uid="{94EA1F8B-EFD8-47B4-AF08-9FA25702F954}" uniqueName="5869" name="Column5869" queryTableFieldId="5869"/>
    <tableColumn id="5870" xr3:uid="{149E7B0B-82EC-4B98-BD78-C88089DB201C}" uniqueName="5870" name="Column5870" queryTableFieldId="5870"/>
    <tableColumn id="5871" xr3:uid="{C3829264-CB3C-4D85-917E-F57D5135C9E9}" uniqueName="5871" name="Column5871" queryTableFieldId="5871"/>
    <tableColumn id="5872" xr3:uid="{7A8D4822-15A3-4259-B6AB-576B27F98021}" uniqueName="5872" name="Column5872" queryTableFieldId="5872"/>
    <tableColumn id="5873" xr3:uid="{7C3A1630-3FFB-421B-B178-1F2ACACA3C27}" uniqueName="5873" name="Column5873" queryTableFieldId="5873"/>
    <tableColumn id="5874" xr3:uid="{3008DF57-54E5-4BBB-A63E-20567118E0FD}" uniqueName="5874" name="Column5874" queryTableFieldId="5874"/>
    <tableColumn id="5875" xr3:uid="{8DA329FF-560F-4726-B9A3-2B66743398BF}" uniqueName="5875" name="Column5875" queryTableFieldId="5875"/>
    <tableColumn id="5876" xr3:uid="{23F59DBF-FD9F-41A0-9643-A5D325546D62}" uniqueName="5876" name="Column5876" queryTableFieldId="5876"/>
    <tableColumn id="5877" xr3:uid="{A4DB0CC6-113A-4499-8866-099260037433}" uniqueName="5877" name="Column5877" queryTableFieldId="5877"/>
    <tableColumn id="5878" xr3:uid="{3CAF90F0-D7BD-4250-B06D-98358A2963E4}" uniqueName="5878" name="Column5878" queryTableFieldId="5878"/>
    <tableColumn id="5879" xr3:uid="{578B36A3-8F33-4233-ABBD-22686DBCD6D5}" uniqueName="5879" name="Column5879" queryTableFieldId="5879"/>
    <tableColumn id="5880" xr3:uid="{9C1ABB79-EFD3-4B2F-827C-7BC7B470D4DC}" uniqueName="5880" name="Column5880" queryTableFieldId="5880"/>
    <tableColumn id="5881" xr3:uid="{587EEC12-873E-4D35-9683-8BA02CD67D2E}" uniqueName="5881" name="Column5881" queryTableFieldId="5881"/>
    <tableColumn id="5882" xr3:uid="{6F6C40C9-4BD9-4F8B-B955-A742FD02CB00}" uniqueName="5882" name="Column5882" queryTableFieldId="5882"/>
    <tableColumn id="5883" xr3:uid="{EEB8A3FA-85FE-4BD1-9216-4C73AA5F2E2C}" uniqueName="5883" name="Column5883" queryTableFieldId="5883"/>
    <tableColumn id="5884" xr3:uid="{9D57F224-A42B-4E43-9C07-EC7B8D0793CC}" uniqueName="5884" name="Column5884" queryTableFieldId="5884"/>
    <tableColumn id="5885" xr3:uid="{DE0721AF-6343-4FBD-BC26-AC3202844A45}" uniqueName="5885" name="Column5885" queryTableFieldId="5885"/>
    <tableColumn id="5886" xr3:uid="{F5F22C69-80D3-4276-B401-064FA05BC211}" uniqueName="5886" name="Column5886" queryTableFieldId="5886"/>
    <tableColumn id="5887" xr3:uid="{A524FB71-337E-4082-A010-7D66927DB8A7}" uniqueName="5887" name="Column5887" queryTableFieldId="5887"/>
    <tableColumn id="5888" xr3:uid="{3273738B-C02B-4BF0-89E0-46D173E9A00E}" uniqueName="5888" name="Column5888" queryTableFieldId="5888"/>
    <tableColumn id="5889" xr3:uid="{940D3867-3A18-411E-861F-595068780B9F}" uniqueName="5889" name="Column5889" queryTableFieldId="5889"/>
    <tableColumn id="5890" xr3:uid="{F1A59AF5-64E6-4BA4-B353-574034D42D83}" uniqueName="5890" name="Column5890" queryTableFieldId="5890"/>
    <tableColumn id="5891" xr3:uid="{5EF6BCC8-7EB1-4378-8AE0-EB4851DA0807}" uniqueName="5891" name="Column5891" queryTableFieldId="5891"/>
    <tableColumn id="5892" xr3:uid="{69F4478C-D0DF-4332-AD76-88F82AFD7FBA}" uniqueName="5892" name="Column5892" queryTableFieldId="5892"/>
    <tableColumn id="5893" xr3:uid="{DFD54FE0-3852-4182-91A7-1AE11E0A7B9C}" uniqueName="5893" name="Column5893" queryTableFieldId="5893"/>
    <tableColumn id="5894" xr3:uid="{677248E7-A2F5-4977-9ABB-22B0E2DC8529}" uniqueName="5894" name="Column5894" queryTableFieldId="5894"/>
    <tableColumn id="5895" xr3:uid="{D44AA145-41BE-4FA2-AC63-6EDF4F5E871F}" uniqueName="5895" name="Column5895" queryTableFieldId="5895"/>
    <tableColumn id="5896" xr3:uid="{639D16A7-B836-4E41-9435-775BC1291B91}" uniqueName="5896" name="Column5896" queryTableFieldId="5896"/>
    <tableColumn id="5897" xr3:uid="{1583C3B7-B17F-4D80-8A32-CCF1C309D90B}" uniqueName="5897" name="Column5897" queryTableFieldId="5897"/>
    <tableColumn id="5898" xr3:uid="{9C3D3BEA-1E87-4FC1-8D2F-4369F3550CEB}" uniqueName="5898" name="Column5898" queryTableFieldId="5898"/>
    <tableColumn id="5899" xr3:uid="{D65EC81C-08F3-40A3-A24E-884DD0769FAB}" uniqueName="5899" name="Column5899" queryTableFieldId="5899"/>
    <tableColumn id="5900" xr3:uid="{007C4C7C-B534-408C-84C2-D9F67623D8FB}" uniqueName="5900" name="Column5900" queryTableFieldId="5900"/>
    <tableColumn id="5901" xr3:uid="{77EBC819-BC87-4740-8E3F-024C750C6C50}" uniqueName="5901" name="Column5901" queryTableFieldId="5901"/>
    <tableColumn id="5902" xr3:uid="{C3C953CB-2BF9-44BE-AF26-90FB322F9D52}" uniqueName="5902" name="Column5902" queryTableFieldId="5902"/>
    <tableColumn id="5903" xr3:uid="{FB96D145-D90B-490D-9BD6-6A38EE1ABD72}" uniqueName="5903" name="Column5903" queryTableFieldId="5903"/>
    <tableColumn id="5904" xr3:uid="{FF5B0225-0BC5-4BD3-A4BA-930A021EB847}" uniqueName="5904" name="Column5904" queryTableFieldId="5904"/>
    <tableColumn id="5905" xr3:uid="{00807AE4-AB64-4C42-9B0D-E53E2F29560D}" uniqueName="5905" name="Column5905" queryTableFieldId="5905"/>
    <tableColumn id="5906" xr3:uid="{DCD53CA0-4D1A-434A-92BC-E8E322624C47}" uniqueName="5906" name="Column5906" queryTableFieldId="5906"/>
    <tableColumn id="5907" xr3:uid="{526E7BB4-55E3-46E9-811E-6A90A76F0E2F}" uniqueName="5907" name="Column5907" queryTableFieldId="5907"/>
    <tableColumn id="5908" xr3:uid="{CC9A1FE5-5079-4AA1-8BF9-BCF958C4FEF4}" uniqueName="5908" name="Column5908" queryTableFieldId="5908"/>
    <tableColumn id="5909" xr3:uid="{9346CA47-FF9D-46EA-A9C1-79E41DE3EE5D}" uniqueName="5909" name="Column5909" queryTableFieldId="5909"/>
    <tableColumn id="5910" xr3:uid="{823FD8CB-BA64-47F0-BE58-F8E8E34E3018}" uniqueName="5910" name="Column5910" queryTableFieldId="5910"/>
    <tableColumn id="5911" xr3:uid="{3E6B162B-9A01-4E72-879F-5A6F9562286E}" uniqueName="5911" name="Column5911" queryTableFieldId="5911"/>
    <tableColumn id="5912" xr3:uid="{077D4DDF-C9D3-48D8-95A1-7D7932C15089}" uniqueName="5912" name="Column5912" queryTableFieldId="5912"/>
    <tableColumn id="5913" xr3:uid="{86C86273-0212-468C-A184-0FC61D5A6DDF}" uniqueName="5913" name="Column5913" queryTableFieldId="5913"/>
    <tableColumn id="5914" xr3:uid="{F3B53F5D-BF2A-4F2C-A5FB-F56B9C29F797}" uniqueName="5914" name="Column5914" queryTableFieldId="5914"/>
    <tableColumn id="5915" xr3:uid="{A8A622FF-EBB5-4F5E-A7CD-7FB110FC12CA}" uniqueName="5915" name="Column5915" queryTableFieldId="5915"/>
    <tableColumn id="5916" xr3:uid="{395E760D-850D-4BB3-9D44-F73D89F6D4F0}" uniqueName="5916" name="Column5916" queryTableFieldId="5916"/>
    <tableColumn id="5917" xr3:uid="{5977CBD9-8C58-44BB-AB9E-1D4039ACE9FA}" uniqueName="5917" name="Column5917" queryTableFieldId="5917"/>
    <tableColumn id="5918" xr3:uid="{ACA31B8E-7BDC-4F66-A894-1F1D9E550387}" uniqueName="5918" name="Column5918" queryTableFieldId="5918"/>
    <tableColumn id="5919" xr3:uid="{4BB58B6A-5396-499C-9B19-E6FDDB4DFFFC}" uniqueName="5919" name="Column5919" queryTableFieldId="5919"/>
    <tableColumn id="5920" xr3:uid="{49228F12-3859-499D-A660-72800F1AC2F5}" uniqueName="5920" name="Column5920" queryTableFieldId="5920"/>
    <tableColumn id="5921" xr3:uid="{58631859-34CB-4FE9-8799-D1B880B7976E}" uniqueName="5921" name="Column5921" queryTableFieldId="5921"/>
    <tableColumn id="5922" xr3:uid="{2DC19B58-5454-4333-A7A8-E53B7AD2EB18}" uniqueName="5922" name="Column5922" queryTableFieldId="5922"/>
    <tableColumn id="5923" xr3:uid="{EC655696-078E-4E7D-B52C-CC677D615E07}" uniqueName="5923" name="Column5923" queryTableFieldId="5923"/>
    <tableColumn id="5924" xr3:uid="{FBC64475-E145-4E64-8EDE-0EB826A3B272}" uniqueName="5924" name="Column5924" queryTableFieldId="5924"/>
    <tableColumn id="5925" xr3:uid="{F7F6949A-AF71-4F47-81DC-4E41A8F421DE}" uniqueName="5925" name="Column5925" queryTableFieldId="5925"/>
    <tableColumn id="5926" xr3:uid="{BA67026F-3FAB-44A6-9447-DD1EB83FCCC5}" uniqueName="5926" name="Column5926" queryTableFieldId="5926"/>
    <tableColumn id="5927" xr3:uid="{CECC3194-0BC8-4D4C-8BDE-97514A3BCFA2}" uniqueName="5927" name="Column5927" queryTableFieldId="5927"/>
    <tableColumn id="5928" xr3:uid="{2080CB58-70F1-439A-8A2E-6AB139776741}" uniqueName="5928" name="Column5928" queryTableFieldId="5928"/>
    <tableColumn id="5929" xr3:uid="{947B3707-CD0E-46A6-A832-43C5908A7651}" uniqueName="5929" name="Column5929" queryTableFieldId="5929"/>
    <tableColumn id="5930" xr3:uid="{6A466D77-9495-45CF-A5F4-14A8DC77CAA1}" uniqueName="5930" name="Column5930" queryTableFieldId="5930"/>
    <tableColumn id="5931" xr3:uid="{9A89971A-072E-4267-A56E-4D7E5677898A}" uniqueName="5931" name="Column5931" queryTableFieldId="5931"/>
    <tableColumn id="5932" xr3:uid="{4825B4E9-DE0B-47AF-B739-E90E4B2E3EB0}" uniqueName="5932" name="Column5932" queryTableFieldId="5932"/>
    <tableColumn id="5933" xr3:uid="{8D835D02-ADFA-4B93-A6A4-F96D84C8CA2D}" uniqueName="5933" name="Column5933" queryTableFieldId="5933"/>
    <tableColumn id="5934" xr3:uid="{86544B07-A3B2-40EE-9638-68434FCCDF6C}" uniqueName="5934" name="Column5934" queryTableFieldId="5934"/>
    <tableColumn id="5935" xr3:uid="{D0A37B1B-D7C5-4D81-A0A2-0345C66C0A01}" uniqueName="5935" name="Column5935" queryTableFieldId="5935"/>
    <tableColumn id="5936" xr3:uid="{5807B23E-4A64-430D-8101-B7C8F2347791}" uniqueName="5936" name="Column5936" queryTableFieldId="5936"/>
    <tableColumn id="5937" xr3:uid="{662DCAB4-08C9-4873-AC68-F87D8EA85A14}" uniqueName="5937" name="Column5937" queryTableFieldId="5937"/>
    <tableColumn id="5938" xr3:uid="{88AA34BA-DB72-4491-88E7-EB3DEBD9A9BB}" uniqueName="5938" name="Column5938" queryTableFieldId="5938"/>
    <tableColumn id="5939" xr3:uid="{654648E6-22A8-41E2-A30F-ADF9CD2D6377}" uniqueName="5939" name="Column5939" queryTableFieldId="5939"/>
    <tableColumn id="5940" xr3:uid="{833F9B28-CD54-41DD-84A0-DFE6666583AA}" uniqueName="5940" name="Column5940" queryTableFieldId="5940"/>
    <tableColumn id="5941" xr3:uid="{D66CA2F3-33D0-4D9E-8B37-B0C2B87ED036}" uniqueName="5941" name="Column5941" queryTableFieldId="5941"/>
    <tableColumn id="5942" xr3:uid="{1BFCD783-4FF3-40F7-B4D2-EB7C9A8EDEED}" uniqueName="5942" name="Column5942" queryTableFieldId="5942"/>
    <tableColumn id="5943" xr3:uid="{BF658311-F63D-4E5F-9CAF-0115CEC7422E}" uniqueName="5943" name="Column5943" queryTableFieldId="5943"/>
    <tableColumn id="5944" xr3:uid="{33BEA028-376A-410F-B088-F4044DDB3DFE}" uniqueName="5944" name="Column5944" queryTableFieldId="5944"/>
    <tableColumn id="5945" xr3:uid="{C8473205-0517-4672-B2BD-3392D230503E}" uniqueName="5945" name="Column5945" queryTableFieldId="5945"/>
    <tableColumn id="5946" xr3:uid="{48D23DDB-0A63-42A9-88A3-FE33E8A8F539}" uniqueName="5946" name="Column5946" queryTableFieldId="5946"/>
    <tableColumn id="5947" xr3:uid="{8957FA83-74EA-4841-96D2-747E7392424B}" uniqueName="5947" name="Column5947" queryTableFieldId="5947"/>
    <tableColumn id="5948" xr3:uid="{05C8EF5D-C34C-4BD0-97FD-15E2CE6A53AF}" uniqueName="5948" name="Column5948" queryTableFieldId="5948"/>
    <tableColumn id="5949" xr3:uid="{C3BE6631-B6B9-4CAA-A5E1-27938D49DCE3}" uniqueName="5949" name="Column5949" queryTableFieldId="5949"/>
    <tableColumn id="5950" xr3:uid="{31C31489-4FF9-4E4A-A59C-8F41CAFC7415}" uniqueName="5950" name="Column5950" queryTableFieldId="5950"/>
    <tableColumn id="5951" xr3:uid="{96BEDB94-77B0-460A-BCE3-68F18D05E12B}" uniqueName="5951" name="Column5951" queryTableFieldId="5951"/>
    <tableColumn id="5952" xr3:uid="{B60E8229-6CB5-404C-8B7B-F4314A8449DB}" uniqueName="5952" name="Column5952" queryTableFieldId="5952"/>
    <tableColumn id="5953" xr3:uid="{8DA7D62F-D656-41FC-9494-0D2860F7F4A4}" uniqueName="5953" name="Column5953" queryTableFieldId="5953"/>
    <tableColumn id="5954" xr3:uid="{6EC28C9C-3894-4CC3-BDE2-CC83CF968E9C}" uniqueName="5954" name="Column5954" queryTableFieldId="5954"/>
    <tableColumn id="5955" xr3:uid="{76E677D6-18C5-4372-9D06-2EC651694DE7}" uniqueName="5955" name="Column5955" queryTableFieldId="5955"/>
    <tableColumn id="5956" xr3:uid="{AC630A85-53DF-428D-9831-E0A9020ABB96}" uniqueName="5956" name="Column5956" queryTableFieldId="5956"/>
    <tableColumn id="5957" xr3:uid="{DBEEE618-785C-4FAF-A8AF-3B7131CAB6D2}" uniqueName="5957" name="Column5957" queryTableFieldId="5957"/>
    <tableColumn id="5958" xr3:uid="{A52C8D20-0F02-4D0A-A582-3F5026465D2F}" uniqueName="5958" name="Column5958" queryTableFieldId="5958"/>
    <tableColumn id="5959" xr3:uid="{D2CDC462-560F-44CF-BBDD-348D9AA3A70C}" uniqueName="5959" name="Column5959" queryTableFieldId="5959"/>
    <tableColumn id="5960" xr3:uid="{109FFD6E-ED32-4F24-B2FF-0E5E60119249}" uniqueName="5960" name="Column5960" queryTableFieldId="5960"/>
    <tableColumn id="5961" xr3:uid="{A79E5918-1DE7-4465-9E61-6EB843F286C3}" uniqueName="5961" name="Column5961" queryTableFieldId="5961"/>
    <tableColumn id="5962" xr3:uid="{E885D06E-6261-4F05-899C-CE72D622CBC2}" uniqueName="5962" name="Column5962" queryTableFieldId="5962"/>
    <tableColumn id="5963" xr3:uid="{1954509A-DED5-4441-802E-46901937E85A}" uniqueName="5963" name="Column5963" queryTableFieldId="5963"/>
    <tableColumn id="5964" xr3:uid="{B3ECAEB0-03B4-4117-BAE0-9C9F1C8DC886}" uniqueName="5964" name="Column5964" queryTableFieldId="5964"/>
    <tableColumn id="5965" xr3:uid="{CF6CCF2F-266F-411A-BD34-49C2D20CD11E}" uniqueName="5965" name="Column5965" queryTableFieldId="5965"/>
    <tableColumn id="5966" xr3:uid="{C88F5B22-B107-48A6-AAED-A7AC208EFB7E}" uniqueName="5966" name="Column5966" queryTableFieldId="5966"/>
    <tableColumn id="5967" xr3:uid="{B6DC6F0F-36D9-413C-A11C-054BB4E886EB}" uniqueName="5967" name="Column5967" queryTableFieldId="5967"/>
    <tableColumn id="5968" xr3:uid="{7C872DB4-5533-448C-9530-3E3907E087DB}" uniqueName="5968" name="Column5968" queryTableFieldId="5968"/>
    <tableColumn id="5969" xr3:uid="{97BE8F90-A9AD-47B0-815C-30CE68B9A5F6}" uniqueName="5969" name="Column5969" queryTableFieldId="5969"/>
    <tableColumn id="5970" xr3:uid="{A45842FC-AFDC-4E6F-8585-10F806450EFB}" uniqueName="5970" name="Column5970" queryTableFieldId="5970"/>
    <tableColumn id="5971" xr3:uid="{12B9FD7C-696E-4D23-B922-8A6812E98C19}" uniqueName="5971" name="Column5971" queryTableFieldId="5971"/>
    <tableColumn id="5972" xr3:uid="{83DE697E-FA73-42EC-A622-846C5806BA5D}" uniqueName="5972" name="Column5972" queryTableFieldId="5972"/>
    <tableColumn id="5973" xr3:uid="{508C125A-E0A8-44EC-B5A7-905F2A1BD5F6}" uniqueName="5973" name="Column5973" queryTableFieldId="5973"/>
    <tableColumn id="5974" xr3:uid="{7C110D37-62E4-41B0-9C92-E913F99FDE84}" uniqueName="5974" name="Column5974" queryTableFieldId="5974"/>
    <tableColumn id="5975" xr3:uid="{8639E236-C7C0-4212-8BD8-9F1C5CB97DA7}" uniqueName="5975" name="Column5975" queryTableFieldId="5975"/>
    <tableColumn id="5976" xr3:uid="{DB1C15B4-AE41-4E0A-9CC9-371468DB4F20}" uniqueName="5976" name="Column5976" queryTableFieldId="5976"/>
    <tableColumn id="5977" xr3:uid="{48D269A2-A055-491E-923A-50110272E6B5}" uniqueName="5977" name="Column5977" queryTableFieldId="5977"/>
    <tableColumn id="5978" xr3:uid="{CC71519B-4E7D-434F-A2C8-94CDA4A5322A}" uniqueName="5978" name="Column5978" queryTableFieldId="5978"/>
    <tableColumn id="5979" xr3:uid="{E86A8D2A-AE22-44EF-A2C4-3AB363F51306}" uniqueName="5979" name="Column5979" queryTableFieldId="5979"/>
    <tableColumn id="5980" xr3:uid="{91218A8A-F4A6-4E08-A26C-763A6E1B38A4}" uniqueName="5980" name="Column5980" queryTableFieldId="5980"/>
    <tableColumn id="5981" xr3:uid="{682FF4B4-33DC-40D6-87BE-3EE57B8C2017}" uniqueName="5981" name="Column5981" queryTableFieldId="5981"/>
    <tableColumn id="5982" xr3:uid="{CBF0B850-CE59-478D-AD60-D461A01B98F8}" uniqueName="5982" name="Column5982" queryTableFieldId="5982"/>
    <tableColumn id="5983" xr3:uid="{C59663E7-2E9E-4977-8A0E-DC20DD62F151}" uniqueName="5983" name="Column5983" queryTableFieldId="5983"/>
    <tableColumn id="5984" xr3:uid="{60C89587-18F4-40FC-B4AE-DCA50E317E2C}" uniqueName="5984" name="Column5984" queryTableFieldId="5984"/>
    <tableColumn id="5985" xr3:uid="{BF2C5B7A-A955-41A9-989F-0107E077833F}" uniqueName="5985" name="Column5985" queryTableFieldId="5985"/>
    <tableColumn id="5986" xr3:uid="{78CDEB2F-FF3A-4972-BBF7-3672EF2CF904}" uniqueName="5986" name="Column5986" queryTableFieldId="5986"/>
    <tableColumn id="5987" xr3:uid="{0D30FE13-29C1-476D-B7AA-769C63FC7A25}" uniqueName="5987" name="Column5987" queryTableFieldId="5987"/>
    <tableColumn id="5988" xr3:uid="{5FB0A907-B756-40F5-BC21-B1C7D7593184}" uniqueName="5988" name="Column5988" queryTableFieldId="5988"/>
    <tableColumn id="5989" xr3:uid="{AAC1FE7E-0EDA-413F-B3D8-FA8128B4D973}" uniqueName="5989" name="Column5989" queryTableFieldId="5989"/>
    <tableColumn id="5990" xr3:uid="{E274C071-B7E0-46A2-B320-1FB049FFC4DD}" uniqueName="5990" name="Column5990" queryTableFieldId="5990"/>
    <tableColumn id="5991" xr3:uid="{C7CB8CC3-8083-461F-AFC7-62CCEE30FB23}" uniqueName="5991" name="Column5991" queryTableFieldId="5991"/>
    <tableColumn id="5992" xr3:uid="{70C917E1-490F-454D-A88F-42EDCB735456}" uniqueName="5992" name="Column5992" queryTableFieldId="5992"/>
    <tableColumn id="5993" xr3:uid="{CCA0F749-B82F-4D01-99B8-9C3E29BB4F3E}" uniqueName="5993" name="Column5993" queryTableFieldId="5993"/>
    <tableColumn id="5994" xr3:uid="{CF0C6E44-E3C7-47ED-B740-A9D28DBE941F}" uniqueName="5994" name="Column5994" queryTableFieldId="5994"/>
    <tableColumn id="5995" xr3:uid="{D971521D-7C08-42C3-AD50-9D9CAE3EA52E}" uniqueName="5995" name="Column5995" queryTableFieldId="5995"/>
    <tableColumn id="5996" xr3:uid="{284C3B2B-D54C-4EEB-A0CD-CC1367B5C291}" uniqueName="5996" name="Column5996" queryTableFieldId="5996"/>
    <tableColumn id="5997" xr3:uid="{9218CEBC-F4A5-4E69-8B97-41FD06BECCC4}" uniqueName="5997" name="Column5997" queryTableFieldId="5997"/>
    <tableColumn id="5998" xr3:uid="{E3DD44FC-586D-41DE-9978-A78D1C52055F}" uniqueName="5998" name="Column5998" queryTableFieldId="5998"/>
    <tableColumn id="5999" xr3:uid="{956A07A6-8D81-44AD-9E70-C42CB9607F51}" uniqueName="5999" name="Column5999" queryTableFieldId="5999"/>
    <tableColumn id="6000" xr3:uid="{FA65B1E2-E553-478B-BC1C-D73195E1521F}" uniqueName="6000" name="Column6000" queryTableFieldId="6000"/>
    <tableColumn id="6001" xr3:uid="{319A8558-BE66-4F40-AE13-3B4435614AA1}" uniqueName="6001" name="Column6001" queryTableFieldId="6001"/>
    <tableColumn id="6002" xr3:uid="{053041AD-3D88-442C-A2DC-A7E0FDAA865E}" uniqueName="6002" name="Column6002" queryTableFieldId="6002"/>
    <tableColumn id="6003" xr3:uid="{D4F50AFC-1FE3-45B2-A917-C0CF6C8BAF80}" uniqueName="6003" name="Column6003" queryTableFieldId="6003"/>
    <tableColumn id="6004" xr3:uid="{F6FE93AE-2400-45E4-89E2-DD9130874D8D}" uniqueName="6004" name="Column6004" queryTableFieldId="6004"/>
    <tableColumn id="6005" xr3:uid="{64323946-256E-4843-A3F1-8145F7D19068}" uniqueName="6005" name="Column6005" queryTableFieldId="6005"/>
    <tableColumn id="6006" xr3:uid="{BEBF39E2-12B5-41A4-A40C-6E83DA0FB488}" uniqueName="6006" name="Column6006" queryTableFieldId="6006"/>
    <tableColumn id="6007" xr3:uid="{819B3C3B-57D9-481B-8042-B7F64E93E3DA}" uniqueName="6007" name="Column6007" queryTableFieldId="6007"/>
    <tableColumn id="6008" xr3:uid="{1B800B52-25FA-4CEF-8168-6BEF6AF6DBE7}" uniqueName="6008" name="Column6008" queryTableFieldId="6008"/>
    <tableColumn id="6009" xr3:uid="{F5FC54F8-A4E1-4951-98A1-2CF65299CAAB}" uniqueName="6009" name="Column6009" queryTableFieldId="6009"/>
    <tableColumn id="6010" xr3:uid="{DADCC174-54A5-4B22-B59C-9C8B73A778D0}" uniqueName="6010" name="Column6010" queryTableFieldId="6010"/>
    <tableColumn id="6011" xr3:uid="{8D1A2010-6173-43BB-9EA2-11028BA79B84}" uniqueName="6011" name="Column6011" queryTableFieldId="6011"/>
    <tableColumn id="6012" xr3:uid="{DE0E22C4-41FA-4013-9A1D-080C37084DCC}" uniqueName="6012" name="Column6012" queryTableFieldId="6012"/>
    <tableColumn id="6013" xr3:uid="{8BE43EBB-2497-40CF-866E-D602F180A98D}" uniqueName="6013" name="Column6013" queryTableFieldId="6013"/>
    <tableColumn id="6014" xr3:uid="{AC2D210B-CDBF-4F5B-A265-6CA8EC355D0E}" uniqueName="6014" name="Column6014" queryTableFieldId="6014"/>
    <tableColumn id="6015" xr3:uid="{D168FA05-580E-4DD9-96B9-84A4421146AC}" uniqueName="6015" name="Column6015" queryTableFieldId="6015"/>
    <tableColumn id="6016" xr3:uid="{08E42147-0796-4785-B92C-6E55E1D19FC3}" uniqueName="6016" name="Column6016" queryTableFieldId="6016"/>
    <tableColumn id="6017" xr3:uid="{BA327D82-241A-4F9F-B35B-1A1C5552B030}" uniqueName="6017" name="Column6017" queryTableFieldId="6017"/>
    <tableColumn id="6018" xr3:uid="{9E665F7D-4A04-4709-A4EB-00FF50CF7E2D}" uniqueName="6018" name="Column6018" queryTableFieldId="6018"/>
    <tableColumn id="6019" xr3:uid="{154FED49-5313-4874-AA0F-EEC80B766799}" uniqueName="6019" name="Column6019" queryTableFieldId="6019"/>
    <tableColumn id="6020" xr3:uid="{E1F7CC3A-47E1-40AE-B87E-FB276A8717BD}" uniqueName="6020" name="Column6020" queryTableFieldId="6020"/>
    <tableColumn id="6021" xr3:uid="{3EB77702-D4E5-4FBF-8730-CE3547E6A4EF}" uniqueName="6021" name="Column6021" queryTableFieldId="6021"/>
    <tableColumn id="6022" xr3:uid="{5DED4E39-9760-4CED-A235-141861C52A85}" uniqueName="6022" name="Column6022" queryTableFieldId="6022"/>
    <tableColumn id="6023" xr3:uid="{6B5E3848-7EA8-4B25-8DB8-943573AC66C1}" uniqueName="6023" name="Column6023" queryTableFieldId="6023"/>
    <tableColumn id="6024" xr3:uid="{F6132628-8EDA-4FD0-82A8-FC00911DA364}" uniqueName="6024" name="Column6024" queryTableFieldId="6024"/>
    <tableColumn id="6025" xr3:uid="{899467FC-6CBF-4B14-9474-99F074B7DF55}" uniqueName="6025" name="Column6025" queryTableFieldId="6025"/>
    <tableColumn id="6026" xr3:uid="{D0488030-4860-450C-83BA-A43A1FEA3F29}" uniqueName="6026" name="Column6026" queryTableFieldId="6026"/>
    <tableColumn id="6027" xr3:uid="{77666B3B-98A7-4C18-B7F2-045BDCB826F6}" uniqueName="6027" name="Column6027" queryTableFieldId="6027"/>
    <tableColumn id="6028" xr3:uid="{7F3903E2-5561-405F-8096-D928018704E0}" uniqueName="6028" name="Column6028" queryTableFieldId="6028"/>
    <tableColumn id="6029" xr3:uid="{3602515D-531B-46B1-AF26-BD821F14AFCB}" uniqueName="6029" name="Column6029" queryTableFieldId="6029"/>
    <tableColumn id="6030" xr3:uid="{CD2301A2-CB40-404E-A4F6-271BE5865506}" uniqueName="6030" name="Column6030" queryTableFieldId="6030"/>
    <tableColumn id="6031" xr3:uid="{B2CF2871-BF20-4CFE-B844-C6B726E4A608}" uniqueName="6031" name="Column6031" queryTableFieldId="6031"/>
    <tableColumn id="6032" xr3:uid="{DDE0CE27-D0B0-482E-AC0F-1497CF1FBE05}" uniqueName="6032" name="Column6032" queryTableFieldId="6032"/>
    <tableColumn id="6033" xr3:uid="{E7C34C5D-8773-4D58-829A-B94166035056}" uniqueName="6033" name="Column6033" queryTableFieldId="6033"/>
    <tableColumn id="6034" xr3:uid="{45D9D1B7-6207-4FD3-BF7D-10E8B1AA4A13}" uniqueName="6034" name="Column6034" queryTableFieldId="6034"/>
    <tableColumn id="6035" xr3:uid="{F56AC85E-0E2E-4912-BEB9-DDBBA993D75C}" uniqueName="6035" name="Column6035" queryTableFieldId="6035"/>
    <tableColumn id="6036" xr3:uid="{182A034E-B574-47F5-8A8E-A9CFE8577D1B}" uniqueName="6036" name="Column6036" queryTableFieldId="6036"/>
    <tableColumn id="6037" xr3:uid="{FA40E3E6-10B7-4B60-B964-BE484DF78B54}" uniqueName="6037" name="Column6037" queryTableFieldId="6037"/>
    <tableColumn id="6038" xr3:uid="{1C2A61F3-7B5F-4085-8EE8-61E219ACEF0D}" uniqueName="6038" name="Column6038" queryTableFieldId="6038"/>
    <tableColumn id="6039" xr3:uid="{7697B27E-5644-436D-9536-56DDD75E1CDB}" uniqueName="6039" name="Column6039" queryTableFieldId="6039"/>
    <tableColumn id="6040" xr3:uid="{244E01F5-1908-4220-A27F-FD2EE5F37D00}" uniqueName="6040" name="Column6040" queryTableFieldId="6040"/>
    <tableColumn id="6041" xr3:uid="{A71BE994-20FB-468C-8853-0CB241F07239}" uniqueName="6041" name="Column6041" queryTableFieldId="6041"/>
    <tableColumn id="6042" xr3:uid="{43284CBB-58A6-41DD-AA46-C3C8BBEA1DE9}" uniqueName="6042" name="Column6042" queryTableFieldId="6042"/>
    <tableColumn id="6043" xr3:uid="{DB23057B-C7F0-4789-AD77-DBD7A41976E9}" uniqueName="6043" name="Column6043" queryTableFieldId="6043"/>
    <tableColumn id="6044" xr3:uid="{59DE4637-5E18-49BB-A7FB-D1835BE259D4}" uniqueName="6044" name="Column6044" queryTableFieldId="6044"/>
    <tableColumn id="6045" xr3:uid="{CD7A06AA-D454-47B9-87FC-1F500CD7FFC2}" uniqueName="6045" name="Column6045" queryTableFieldId="6045"/>
    <tableColumn id="6046" xr3:uid="{8A3BE31F-030D-4615-ADBB-EC4B9F974E5C}" uniqueName="6046" name="Column6046" queryTableFieldId="6046"/>
    <tableColumn id="6047" xr3:uid="{C0702B19-E626-4196-8DFE-7A77B664D208}" uniqueName="6047" name="Column6047" queryTableFieldId="6047"/>
    <tableColumn id="6048" xr3:uid="{3F06DF8B-154E-4AE8-A752-A0713C94F1F0}" uniqueName="6048" name="Column6048" queryTableFieldId="6048"/>
    <tableColumn id="6049" xr3:uid="{3C38872D-2B11-4B53-94A2-554D07433091}" uniqueName="6049" name="Column6049" queryTableFieldId="6049"/>
    <tableColumn id="6050" xr3:uid="{2D6D2495-7D6D-4E5E-92E7-580BD29E912F}" uniqueName="6050" name="Column6050" queryTableFieldId="6050"/>
    <tableColumn id="6051" xr3:uid="{03EE8483-06F4-4469-B9DE-E121A8E0941F}" uniqueName="6051" name="Column6051" queryTableFieldId="6051"/>
    <tableColumn id="6052" xr3:uid="{2B7E1126-393F-4CEA-9623-D55177F84296}" uniqueName="6052" name="Column6052" queryTableFieldId="6052"/>
    <tableColumn id="6053" xr3:uid="{88955A29-D48F-4FE4-A1D0-FC7A2BE0472F}" uniqueName="6053" name="Column6053" queryTableFieldId="6053"/>
    <tableColumn id="6054" xr3:uid="{F1E529B1-B390-4A25-A48D-8CD718856434}" uniqueName="6054" name="Column6054" queryTableFieldId="6054"/>
    <tableColumn id="6055" xr3:uid="{2311C0BE-A39A-4150-89DE-A500750BBEB3}" uniqueName="6055" name="Column6055" queryTableFieldId="6055"/>
    <tableColumn id="6056" xr3:uid="{9B133A9F-BAA4-44EE-8169-6117BDFCA805}" uniqueName="6056" name="Column6056" queryTableFieldId="6056"/>
    <tableColumn id="6057" xr3:uid="{4E714A84-3F7C-4D5D-BEF0-A1722A36C30D}" uniqueName="6057" name="Column6057" queryTableFieldId="6057"/>
    <tableColumn id="6058" xr3:uid="{C4F75C6A-827F-4EE1-B070-D2DFB0C61F9F}" uniqueName="6058" name="Column6058" queryTableFieldId="6058"/>
    <tableColumn id="6059" xr3:uid="{0CB6688D-0CB9-48CE-9418-216A8DF015DE}" uniqueName="6059" name="Column6059" queryTableFieldId="6059"/>
    <tableColumn id="6060" xr3:uid="{E48D9D12-20D7-43CD-AC6D-C115E248B2F7}" uniqueName="6060" name="Column6060" queryTableFieldId="6060"/>
    <tableColumn id="6061" xr3:uid="{79531448-2F7C-43FB-9760-D8A159939B05}" uniqueName="6061" name="Column6061" queryTableFieldId="6061"/>
    <tableColumn id="6062" xr3:uid="{79FACFB9-3C8B-400D-AC29-5AD3B89065FB}" uniqueName="6062" name="Column6062" queryTableFieldId="6062"/>
    <tableColumn id="6063" xr3:uid="{383308CE-5CEF-4939-A43D-5741870A2901}" uniqueName="6063" name="Column6063" queryTableFieldId="6063"/>
    <tableColumn id="6064" xr3:uid="{31D1FEA9-5328-4F61-B310-B4EC8C19F9EA}" uniqueName="6064" name="Column6064" queryTableFieldId="6064"/>
    <tableColumn id="6065" xr3:uid="{B2E1DBA0-E94C-4590-8302-F84E676BB3FB}" uniqueName="6065" name="Column6065" queryTableFieldId="6065"/>
    <tableColumn id="6066" xr3:uid="{9D3C87AB-8F5D-4EE2-8618-405D411A02F4}" uniqueName="6066" name="Column6066" queryTableFieldId="6066"/>
    <tableColumn id="6067" xr3:uid="{1A48D60A-53BF-4054-BA0F-638EDF1343BA}" uniqueName="6067" name="Column6067" queryTableFieldId="6067"/>
    <tableColumn id="6068" xr3:uid="{B86AFD2E-3991-4429-B9BB-98DD9D1BA4E0}" uniqueName="6068" name="Column6068" queryTableFieldId="6068"/>
    <tableColumn id="6069" xr3:uid="{DBEF1010-D9E3-48D5-A377-C4E5446E875E}" uniqueName="6069" name="Column6069" queryTableFieldId="6069"/>
    <tableColumn id="6070" xr3:uid="{303BF6F4-1BB4-496B-A920-15BE744BE824}" uniqueName="6070" name="Column6070" queryTableFieldId="6070"/>
    <tableColumn id="6071" xr3:uid="{C47E78E3-0E9A-4014-B9E0-3615E1BCED17}" uniqueName="6071" name="Column6071" queryTableFieldId="6071"/>
    <tableColumn id="6072" xr3:uid="{F17B5F3A-9C44-4739-9EE1-9F998CFD3FFD}" uniqueName="6072" name="Column6072" queryTableFieldId="6072"/>
    <tableColumn id="6073" xr3:uid="{97C328E0-F02F-4546-9EBB-7FE104D75479}" uniqueName="6073" name="Column6073" queryTableFieldId="6073"/>
    <tableColumn id="6074" xr3:uid="{F0567B46-D10D-4A23-80A6-D2953A827054}" uniqueName="6074" name="Column6074" queryTableFieldId="6074"/>
    <tableColumn id="6075" xr3:uid="{CEA90DAA-B747-4CF9-A191-E13E6D21733E}" uniqueName="6075" name="Column6075" queryTableFieldId="6075"/>
    <tableColumn id="6076" xr3:uid="{26B3C8C7-6245-4793-A576-A5B57CA1779C}" uniqueName="6076" name="Column6076" queryTableFieldId="6076"/>
    <tableColumn id="6077" xr3:uid="{D576AE9F-49FE-4326-A08E-B17971A8A4D6}" uniqueName="6077" name="Column6077" queryTableFieldId="6077"/>
    <tableColumn id="6078" xr3:uid="{2D95F618-6128-4B43-BAAC-271B4C09A022}" uniqueName="6078" name="Column6078" queryTableFieldId="6078"/>
    <tableColumn id="6079" xr3:uid="{E52D02BE-2C2B-4D84-978D-E5DC03FCC6B1}" uniqueName="6079" name="Column6079" queryTableFieldId="6079"/>
    <tableColumn id="6080" xr3:uid="{3FD91E62-F4AC-4FCD-8FB6-460A90B752DB}" uniqueName="6080" name="Column6080" queryTableFieldId="6080"/>
    <tableColumn id="6081" xr3:uid="{33A89CCB-BA52-47FB-BC17-3170B5CDB826}" uniqueName="6081" name="Column6081" queryTableFieldId="6081"/>
    <tableColumn id="6082" xr3:uid="{0CFAA970-1F0F-4DAD-BF8C-4A8E064D1DCD}" uniqueName="6082" name="Column6082" queryTableFieldId="6082"/>
    <tableColumn id="6083" xr3:uid="{B1A1AE49-5B10-4D30-A9ED-601B66CCEBA0}" uniqueName="6083" name="Column6083" queryTableFieldId="6083"/>
    <tableColumn id="6084" xr3:uid="{F2AD1BBF-0D9F-4E95-85EB-65C8CD151387}" uniqueName="6084" name="Column6084" queryTableFieldId="6084"/>
    <tableColumn id="6085" xr3:uid="{0A92911E-4068-4F08-AC9E-C73A5EF97795}" uniqueName="6085" name="Column6085" queryTableFieldId="6085"/>
    <tableColumn id="6086" xr3:uid="{281C91D1-15EC-4EEE-8538-F860864574BC}" uniqueName="6086" name="Column6086" queryTableFieldId="6086"/>
    <tableColumn id="6087" xr3:uid="{6B22CA1B-F5B0-4735-BCB9-C8D86B57BB76}" uniqueName="6087" name="Column6087" queryTableFieldId="6087"/>
    <tableColumn id="6088" xr3:uid="{B0B32232-8EEA-4D51-BF23-14BA16ED0632}" uniqueName="6088" name="Column6088" queryTableFieldId="6088"/>
    <tableColumn id="6089" xr3:uid="{9397E0F1-E1DB-4EDB-A9BC-72C68AF33CFF}" uniqueName="6089" name="Column6089" queryTableFieldId="6089"/>
    <tableColumn id="6090" xr3:uid="{6A5988DD-66A1-4B15-B992-F7B1462BB4BD}" uniqueName="6090" name="Column6090" queryTableFieldId="6090"/>
    <tableColumn id="6091" xr3:uid="{5BDB58CA-836F-45F9-A146-41B11C085339}" uniqueName="6091" name="Column6091" queryTableFieldId="6091"/>
    <tableColumn id="6092" xr3:uid="{95203C7F-A2E7-4596-BA50-77E82E49BC44}" uniqueName="6092" name="Column6092" queryTableFieldId="6092"/>
    <tableColumn id="6093" xr3:uid="{9400FE2D-1064-4937-8F01-C7ACFAD01BA4}" uniqueName="6093" name="Column6093" queryTableFieldId="6093"/>
    <tableColumn id="6094" xr3:uid="{4989E199-48FA-4D17-A47C-30D550128A0C}" uniqueName="6094" name="Column6094" queryTableFieldId="6094"/>
    <tableColumn id="6095" xr3:uid="{197F6D1B-39A9-4AF6-ADDA-46901CA53E55}" uniqueName="6095" name="Column6095" queryTableFieldId="6095"/>
    <tableColumn id="6096" xr3:uid="{F006CDFC-8094-419C-AA59-7DB936C962F6}" uniqueName="6096" name="Column6096" queryTableFieldId="6096"/>
    <tableColumn id="6097" xr3:uid="{74BA1AEA-9E62-4C8B-BAE2-B0584B4965BB}" uniqueName="6097" name="Column6097" queryTableFieldId="6097"/>
    <tableColumn id="6098" xr3:uid="{27481CF9-4A36-4DB9-828B-5C8C7F63192B}" uniqueName="6098" name="Column6098" queryTableFieldId="6098"/>
    <tableColumn id="6099" xr3:uid="{A555E44E-EE2C-4133-99DB-C81050E11A83}" uniqueName="6099" name="Column6099" queryTableFieldId="6099"/>
    <tableColumn id="6100" xr3:uid="{0289E107-D31B-4911-9F6A-93E199023A3E}" uniqueName="6100" name="Column6100" queryTableFieldId="6100"/>
    <tableColumn id="6101" xr3:uid="{7DCF14F5-D69A-4E24-B9AB-99B668552FF7}" uniqueName="6101" name="Column6101" queryTableFieldId="6101"/>
    <tableColumn id="6102" xr3:uid="{603BF7B4-B680-4524-B8AB-1A17F6F50165}" uniqueName="6102" name="Column6102" queryTableFieldId="6102"/>
    <tableColumn id="6103" xr3:uid="{B117AEF9-AC98-468D-B742-6534F38503C6}" uniqueName="6103" name="Column6103" queryTableFieldId="6103"/>
    <tableColumn id="6104" xr3:uid="{40F88AA2-4243-4EDD-8BF4-8710D7126DAA}" uniqueName="6104" name="Column6104" queryTableFieldId="6104"/>
    <tableColumn id="6105" xr3:uid="{21483432-92F7-450E-9D3C-26F12ACE680E}" uniqueName="6105" name="Column6105" queryTableFieldId="6105"/>
    <tableColumn id="6106" xr3:uid="{C1BD820F-AAF7-4781-A3B8-B82CBF1F8BE9}" uniqueName="6106" name="Column6106" queryTableFieldId="6106"/>
    <tableColumn id="6107" xr3:uid="{84D06562-E172-45F2-9D30-20C459CCB133}" uniqueName="6107" name="Column6107" queryTableFieldId="6107"/>
    <tableColumn id="6108" xr3:uid="{8FFE8DBC-BFB2-4862-AB13-37243B9F8788}" uniqueName="6108" name="Column6108" queryTableFieldId="6108"/>
    <tableColumn id="6109" xr3:uid="{D90E7191-C284-42D6-81CC-8F08992C9589}" uniqueName="6109" name="Column6109" queryTableFieldId="6109"/>
    <tableColumn id="6110" xr3:uid="{4281A130-EF87-494C-AE0B-BE19E92685D9}" uniqueName="6110" name="Column6110" queryTableFieldId="6110"/>
    <tableColumn id="6111" xr3:uid="{8D8B64BC-0D96-42B7-B083-7DB540A66C3C}" uniqueName="6111" name="Column6111" queryTableFieldId="6111"/>
    <tableColumn id="6112" xr3:uid="{73FA6AFF-4114-4A6E-850D-6A0B94EB8D48}" uniqueName="6112" name="Column6112" queryTableFieldId="6112"/>
    <tableColumn id="6113" xr3:uid="{03243D9C-D778-4E05-A29C-5FF84279708E}" uniqueName="6113" name="Column6113" queryTableFieldId="6113"/>
    <tableColumn id="6114" xr3:uid="{C812B1D6-6256-4D7E-AE6E-25F6A4344B88}" uniqueName="6114" name="Column6114" queryTableFieldId="6114"/>
    <tableColumn id="6115" xr3:uid="{93579451-49A8-47EA-A21B-140ACB8382E5}" uniqueName="6115" name="Column6115" queryTableFieldId="6115"/>
    <tableColumn id="6116" xr3:uid="{7A4BA4A5-7DFB-48B7-9810-AEAFE23C6AC0}" uniqueName="6116" name="Column6116" queryTableFieldId="6116"/>
    <tableColumn id="6117" xr3:uid="{AFC9023F-8573-405F-AA6A-C350FF20D148}" uniqueName="6117" name="Column6117" queryTableFieldId="6117"/>
    <tableColumn id="6118" xr3:uid="{264E1EBB-370C-4568-A8DF-3DBD4EE92120}" uniqueName="6118" name="Column6118" queryTableFieldId="6118"/>
    <tableColumn id="6119" xr3:uid="{F8EAD5D9-CDDE-45A9-B550-0B224256406B}" uniqueName="6119" name="Column6119" queryTableFieldId="6119"/>
    <tableColumn id="6120" xr3:uid="{B03AF3CF-3E04-483B-A581-54E60FDF271A}" uniqueName="6120" name="Column6120" queryTableFieldId="6120"/>
    <tableColumn id="6121" xr3:uid="{1747F639-DF6B-4FF1-AB2C-072626EAF173}" uniqueName="6121" name="Column6121" queryTableFieldId="6121"/>
    <tableColumn id="6122" xr3:uid="{9426F38B-0D36-4193-BFA8-F6F128D241DA}" uniqueName="6122" name="Column6122" queryTableFieldId="6122"/>
    <tableColumn id="6123" xr3:uid="{75CF019A-9F9F-44D3-BB7C-E2BC18D87428}" uniqueName="6123" name="Column6123" queryTableFieldId="6123"/>
    <tableColumn id="6124" xr3:uid="{0F5861E4-EC42-4200-9ED7-9004B81ACB80}" uniqueName="6124" name="Column6124" queryTableFieldId="6124"/>
    <tableColumn id="6125" xr3:uid="{FF996510-C403-40A8-B520-AD994564B4A9}" uniqueName="6125" name="Column6125" queryTableFieldId="6125"/>
    <tableColumn id="6126" xr3:uid="{AAF78B9F-481A-4CCA-B206-3489C98678D5}" uniqueName="6126" name="Column6126" queryTableFieldId="6126"/>
    <tableColumn id="6127" xr3:uid="{9DDC801E-B9C1-4603-B5D9-72CED19083BF}" uniqueName="6127" name="Column6127" queryTableFieldId="6127"/>
    <tableColumn id="6128" xr3:uid="{15A95F45-9255-452E-96A3-45F62D840F9D}" uniqueName="6128" name="Column6128" queryTableFieldId="6128"/>
    <tableColumn id="6129" xr3:uid="{F728EF38-66BC-4EBE-A43B-DF0EA8AD952A}" uniqueName="6129" name="Column6129" queryTableFieldId="6129"/>
    <tableColumn id="6130" xr3:uid="{9D1B8BA4-708A-4FA4-8658-328FD69FD0AB}" uniqueName="6130" name="Column6130" queryTableFieldId="6130"/>
    <tableColumn id="6131" xr3:uid="{B0BBF0ED-224B-4315-A55B-DB1C9A788687}" uniqueName="6131" name="Column6131" queryTableFieldId="6131"/>
    <tableColumn id="6132" xr3:uid="{81EE8F97-B1EA-4FFD-A2DF-6B2462AC8BDF}" uniqueName="6132" name="Column6132" queryTableFieldId="6132"/>
    <tableColumn id="6133" xr3:uid="{561DB25D-9D2B-4369-9E50-C044F844F5BA}" uniqueName="6133" name="Column6133" queryTableFieldId="6133"/>
    <tableColumn id="6134" xr3:uid="{E10275F7-C8C4-4A4C-94A7-4040FD89DCB4}" uniqueName="6134" name="Column6134" queryTableFieldId="6134"/>
    <tableColumn id="6135" xr3:uid="{D13150C6-8A91-42E7-9535-37C6A9252538}" uniqueName="6135" name="Column6135" queryTableFieldId="6135"/>
    <tableColumn id="6136" xr3:uid="{E1BC4AC1-9354-4642-85AA-62DBFB7C4036}" uniqueName="6136" name="Column6136" queryTableFieldId="6136"/>
    <tableColumn id="6137" xr3:uid="{26EEC8FA-D6DF-4C9B-859C-2655504F7621}" uniqueName="6137" name="Column6137" queryTableFieldId="6137"/>
    <tableColumn id="6138" xr3:uid="{AD5E042B-36B3-4FA3-BAF6-FBA4F0F93D84}" uniqueName="6138" name="Column6138" queryTableFieldId="6138"/>
    <tableColumn id="6139" xr3:uid="{69C93BCB-7866-4B3E-B882-AFF1A053A174}" uniqueName="6139" name="Column6139" queryTableFieldId="6139"/>
    <tableColumn id="6140" xr3:uid="{6428F31C-031D-45D5-9C11-EA9090BC88F1}" uniqueName="6140" name="Column6140" queryTableFieldId="6140"/>
    <tableColumn id="6141" xr3:uid="{997B3C30-3E51-4E44-BD36-865996E33308}" uniqueName="6141" name="Column6141" queryTableFieldId="6141"/>
    <tableColumn id="6142" xr3:uid="{E16906A1-6BB5-4067-AA8C-C4B28B54279A}" uniqueName="6142" name="Column6142" queryTableFieldId="6142"/>
    <tableColumn id="6143" xr3:uid="{74953881-05F3-4C29-A9C1-B146AE1836C3}" uniqueName="6143" name="Column6143" queryTableFieldId="6143"/>
    <tableColumn id="6144" xr3:uid="{0F4B9D78-2D75-49B3-A4EA-7E4EFC1C5711}" uniqueName="6144" name="Column6144" queryTableFieldId="6144"/>
    <tableColumn id="6145" xr3:uid="{1FCACC48-99FE-4E06-9F1C-06E6EF94FF19}" uniqueName="6145" name="Column6145" queryTableFieldId="6145"/>
    <tableColumn id="6146" xr3:uid="{159B81B3-42EF-4DDF-9F8F-A05EE0D3F8DC}" uniqueName="6146" name="Column6146" queryTableFieldId="6146"/>
    <tableColumn id="6147" xr3:uid="{01CD31F3-3B2A-4A25-AD60-039C2A5552ED}" uniqueName="6147" name="Column6147" queryTableFieldId="6147"/>
    <tableColumn id="6148" xr3:uid="{3AAEBE4F-EC4F-4256-AF8D-1C9636F2E678}" uniqueName="6148" name="Column6148" queryTableFieldId="6148"/>
    <tableColumn id="6149" xr3:uid="{C633A311-BCA7-4BCA-954B-48C98B576F05}" uniqueName="6149" name="Column6149" queryTableFieldId="6149"/>
    <tableColumn id="6150" xr3:uid="{2730DB25-9548-410D-ADA6-355EF0A57E6C}" uniqueName="6150" name="Column6150" queryTableFieldId="6150"/>
    <tableColumn id="6151" xr3:uid="{0A51B4EF-B7E7-46EE-B018-BE73A1CEE64D}" uniqueName="6151" name="Column6151" queryTableFieldId="6151"/>
    <tableColumn id="6152" xr3:uid="{1187C09A-3FFA-477D-965A-4F8B48B4375B}" uniqueName="6152" name="Column6152" queryTableFieldId="6152"/>
    <tableColumn id="6153" xr3:uid="{A859E2F6-5952-465A-9310-E97672C28F73}" uniqueName="6153" name="Column6153" queryTableFieldId="6153"/>
    <tableColumn id="6154" xr3:uid="{2CEE1E22-8CB5-4ABC-82C9-85E945D425D6}" uniqueName="6154" name="Column6154" queryTableFieldId="6154"/>
    <tableColumn id="6155" xr3:uid="{FEF8643E-6A26-46FB-877A-E88F4AD1EDAB}" uniqueName="6155" name="Column6155" queryTableFieldId="6155"/>
    <tableColumn id="6156" xr3:uid="{152FAD60-6B94-49ED-8038-074D158A353C}" uniqueName="6156" name="Column6156" queryTableFieldId="6156"/>
    <tableColumn id="6157" xr3:uid="{0E30B096-7CCC-4BBE-B8AD-946DF39A6FF3}" uniqueName="6157" name="Column6157" queryTableFieldId="6157"/>
    <tableColumn id="6158" xr3:uid="{471CBF29-1A86-40A8-852E-A831085A875E}" uniqueName="6158" name="Column6158" queryTableFieldId="6158"/>
    <tableColumn id="6159" xr3:uid="{5EAADE1A-8965-4E93-AFA6-0E01131E240C}" uniqueName="6159" name="Column6159" queryTableFieldId="6159"/>
    <tableColumn id="6160" xr3:uid="{5631A5A1-0566-4B0B-AA27-6805868B2252}" uniqueName="6160" name="Column6160" queryTableFieldId="6160"/>
    <tableColumn id="6161" xr3:uid="{8C27B408-65BF-416B-81D3-5F4B1407C5B3}" uniqueName="6161" name="Column6161" queryTableFieldId="6161"/>
    <tableColumn id="6162" xr3:uid="{16D00C3D-892C-4021-A607-13B612A13EDF}" uniqueName="6162" name="Column6162" queryTableFieldId="6162"/>
    <tableColumn id="6163" xr3:uid="{1459957C-40BE-462B-BF16-A02C7A8ACF8C}" uniqueName="6163" name="Column6163" queryTableFieldId="6163"/>
    <tableColumn id="6164" xr3:uid="{183B035D-F887-4F0E-883C-B114C9B02939}" uniqueName="6164" name="Column6164" queryTableFieldId="6164"/>
    <tableColumn id="6165" xr3:uid="{D050CC11-661F-4CE3-B4EF-229BB1086A87}" uniqueName="6165" name="Column6165" queryTableFieldId="6165"/>
    <tableColumn id="6166" xr3:uid="{E3B138B7-3117-4173-999E-FC04950085E1}" uniqueName="6166" name="Column6166" queryTableFieldId="6166"/>
    <tableColumn id="6167" xr3:uid="{BEFE51CB-AAF9-4B8C-BED7-2EAC2F60B336}" uniqueName="6167" name="Column6167" queryTableFieldId="6167"/>
    <tableColumn id="6168" xr3:uid="{1C9E5C16-5A28-4A0C-9007-0BFE020A47CC}" uniqueName="6168" name="Column6168" queryTableFieldId="6168"/>
    <tableColumn id="6169" xr3:uid="{60803C06-1B18-4597-BE4E-A60A9D314DE0}" uniqueName="6169" name="Column6169" queryTableFieldId="6169"/>
    <tableColumn id="6170" xr3:uid="{F875FC93-237F-43C3-9484-B7173190011C}" uniqueName="6170" name="Column6170" queryTableFieldId="6170"/>
    <tableColumn id="6171" xr3:uid="{231911AD-5BA0-4A5D-B17F-618F8CEC352B}" uniqueName="6171" name="Column6171" queryTableFieldId="6171"/>
    <tableColumn id="6172" xr3:uid="{A2E0F25F-E0AC-4866-9916-908CAEC807E2}" uniqueName="6172" name="Column6172" queryTableFieldId="6172"/>
    <tableColumn id="6173" xr3:uid="{77813C22-2BB2-48EA-A39F-3C5C5C23E6F5}" uniqueName="6173" name="Column6173" queryTableFieldId="6173"/>
    <tableColumn id="6174" xr3:uid="{A18B9CCA-31AB-442F-91C4-C19D73A8775B}" uniqueName="6174" name="Column6174" queryTableFieldId="6174"/>
    <tableColumn id="6175" xr3:uid="{D87AF8D5-6C12-48B4-B3B5-23B9516AECDE}" uniqueName="6175" name="Column6175" queryTableFieldId="6175"/>
    <tableColumn id="6176" xr3:uid="{B36E3952-3012-437E-BC36-3A012477D6F6}" uniqueName="6176" name="Column6176" queryTableFieldId="6176"/>
    <tableColumn id="6177" xr3:uid="{5706C538-CDD4-4237-B80C-3782D690757F}" uniqueName="6177" name="Column6177" queryTableFieldId="6177"/>
    <tableColumn id="6178" xr3:uid="{9B1B2E17-DE6B-4CF7-AB38-E1D6EED4299C}" uniqueName="6178" name="Column6178" queryTableFieldId="6178"/>
    <tableColumn id="6179" xr3:uid="{74C1DA72-9E49-4598-93BD-BD5DE416834C}" uniqueName="6179" name="Column6179" queryTableFieldId="6179"/>
    <tableColumn id="6180" xr3:uid="{03666A7B-DA94-408A-A842-F2BFCACDA016}" uniqueName="6180" name="Column6180" queryTableFieldId="6180"/>
    <tableColumn id="6181" xr3:uid="{183E736B-ACB7-483A-B66F-FC63BC7A47ED}" uniqueName="6181" name="Column6181" queryTableFieldId="6181"/>
    <tableColumn id="6182" xr3:uid="{122AADDD-C54D-41B2-92DE-173DE28AAC92}" uniqueName="6182" name="Column6182" queryTableFieldId="6182"/>
    <tableColumn id="6183" xr3:uid="{1CD004B2-B3A9-4FEE-A33F-568C8EA5137D}" uniqueName="6183" name="Column6183" queryTableFieldId="6183"/>
    <tableColumn id="6184" xr3:uid="{4FA87DA7-249A-4DBE-B0E2-95F8465DA26F}" uniqueName="6184" name="Column6184" queryTableFieldId="6184"/>
    <tableColumn id="6185" xr3:uid="{1C5A2ABD-3CAD-4B05-B5E5-7C1B9D17235F}" uniqueName="6185" name="Column6185" queryTableFieldId="6185"/>
    <tableColumn id="6186" xr3:uid="{122DE1B7-E968-47B7-9770-1AAEA2884C1D}" uniqueName="6186" name="Column6186" queryTableFieldId="6186"/>
    <tableColumn id="6187" xr3:uid="{4DF69ABC-7852-431B-888B-CDC738308289}" uniqueName="6187" name="Column6187" queryTableFieldId="6187"/>
    <tableColumn id="6188" xr3:uid="{22D04E9A-BF84-45BE-BDDB-7BDCD3777FED}" uniqueName="6188" name="Column6188" queryTableFieldId="6188"/>
    <tableColumn id="6189" xr3:uid="{AE5806E0-B465-4A59-8281-B27E5B87B4B8}" uniqueName="6189" name="Column6189" queryTableFieldId="6189"/>
    <tableColumn id="6190" xr3:uid="{858831B2-239F-4DA7-9AB5-9573A502EA01}" uniqueName="6190" name="Column6190" queryTableFieldId="6190"/>
    <tableColumn id="6191" xr3:uid="{3B378DC9-D555-4FB8-90C3-A2F150A0D4F7}" uniqueName="6191" name="Column6191" queryTableFieldId="6191"/>
    <tableColumn id="6192" xr3:uid="{6EBB9A6B-B92D-4292-AD2C-4385B3362DFC}" uniqueName="6192" name="Column6192" queryTableFieldId="6192"/>
    <tableColumn id="6193" xr3:uid="{58D37EBD-17CA-4070-BE4F-0204342611C5}" uniqueName="6193" name="Column6193" queryTableFieldId="6193"/>
    <tableColumn id="6194" xr3:uid="{A45572A3-F3C6-4F14-9B76-E4FAF8073F36}" uniqueName="6194" name="Column6194" queryTableFieldId="6194"/>
    <tableColumn id="6195" xr3:uid="{722CAF5D-AF71-4B10-B509-CDEB65D3450D}" uniqueName="6195" name="Column6195" queryTableFieldId="6195"/>
    <tableColumn id="6196" xr3:uid="{70FCFCB3-3ACB-43B7-B21E-9010660F328A}" uniqueName="6196" name="Column6196" queryTableFieldId="6196"/>
    <tableColumn id="6197" xr3:uid="{9505F78D-CFC9-4714-BE44-7B5B85826872}" uniqueName="6197" name="Column6197" queryTableFieldId="6197"/>
    <tableColumn id="6198" xr3:uid="{06E037D7-F8A5-42D7-9352-1C43EA1A6F63}" uniqueName="6198" name="Column6198" queryTableFieldId="6198"/>
    <tableColumn id="6199" xr3:uid="{CAE3367C-1009-4EEF-AE41-B50A870E5EA6}" uniqueName="6199" name="Column6199" queryTableFieldId="6199"/>
    <tableColumn id="6200" xr3:uid="{38F5B3E8-84E3-4644-ADC4-0CA0E44CA5D4}" uniqueName="6200" name="Column6200" queryTableFieldId="6200"/>
    <tableColumn id="6201" xr3:uid="{CBC0E6B9-73B1-4F42-B8D4-DCD31609EC67}" uniqueName="6201" name="Column6201" queryTableFieldId="6201"/>
    <tableColumn id="6202" xr3:uid="{814A6E90-428D-4C10-B798-7CAC171C3289}" uniqueName="6202" name="Column6202" queryTableFieldId="6202"/>
    <tableColumn id="6203" xr3:uid="{3236FFA4-E534-4711-8668-FCE27DDA2721}" uniqueName="6203" name="Column6203" queryTableFieldId="6203"/>
    <tableColumn id="6204" xr3:uid="{4DB99740-F118-470B-AD9C-C659E2B88960}" uniqueName="6204" name="Column6204" queryTableFieldId="6204"/>
    <tableColumn id="6205" xr3:uid="{9DDDDF04-8FC3-448C-8424-8B4F9091D449}" uniqueName="6205" name="Column6205" queryTableFieldId="6205"/>
    <tableColumn id="6206" xr3:uid="{6D9A82C6-FCD9-4D80-8A4D-938CC63CD53C}" uniqueName="6206" name="Column6206" queryTableFieldId="6206"/>
    <tableColumn id="6207" xr3:uid="{93D79F9A-91F9-48CE-9123-1434A68FCEC4}" uniqueName="6207" name="Column6207" queryTableFieldId="6207"/>
    <tableColumn id="6208" xr3:uid="{152C4BAA-5E75-4E9C-B2E2-3D6115A73879}" uniqueName="6208" name="Column6208" queryTableFieldId="6208"/>
    <tableColumn id="6209" xr3:uid="{088A7B5E-9FE4-4586-A058-D6A5FFFE9F6B}" uniqueName="6209" name="Column6209" queryTableFieldId="6209"/>
    <tableColumn id="6210" xr3:uid="{6E6B3849-C56B-45AB-9CD7-D922E5AFCF3A}" uniqueName="6210" name="Column6210" queryTableFieldId="6210"/>
    <tableColumn id="6211" xr3:uid="{B73C7FC9-CA91-4315-9A6B-245BF9B88577}" uniqueName="6211" name="Column6211" queryTableFieldId="6211"/>
    <tableColumn id="6212" xr3:uid="{3577DF59-A218-4615-831C-D5678714272B}" uniqueName="6212" name="Column6212" queryTableFieldId="6212"/>
    <tableColumn id="6213" xr3:uid="{5FD04DEB-6EC6-4A34-A984-C6F211E92917}" uniqueName="6213" name="Column6213" queryTableFieldId="6213"/>
    <tableColumn id="6214" xr3:uid="{98B1A13C-E90F-4D2E-A5E6-EAFFAA243CD0}" uniqueName="6214" name="Column6214" queryTableFieldId="6214"/>
    <tableColumn id="6215" xr3:uid="{53E49E7B-D416-4D15-8A91-F065769954E6}" uniqueName="6215" name="Column6215" queryTableFieldId="6215"/>
    <tableColumn id="6216" xr3:uid="{27544159-BEE9-4E7A-BBD5-9882D570B9DA}" uniqueName="6216" name="Column6216" queryTableFieldId="6216"/>
    <tableColumn id="6217" xr3:uid="{02A2934D-0F23-4EB4-8354-AE32BC775E34}" uniqueName="6217" name="Column6217" queryTableFieldId="6217"/>
    <tableColumn id="6218" xr3:uid="{B1EA7170-462E-4E4F-93BD-597144CB5D16}" uniqueName="6218" name="Column6218" queryTableFieldId="6218"/>
    <tableColumn id="6219" xr3:uid="{E7121EA8-3766-494D-8F25-24442137CF3B}" uniqueName="6219" name="Column6219" queryTableFieldId="6219"/>
    <tableColumn id="6220" xr3:uid="{0F4CDD25-ECC8-4A63-93D4-F2C965AF5D5F}" uniqueName="6220" name="Column6220" queryTableFieldId="6220"/>
    <tableColumn id="6221" xr3:uid="{F981C3BD-3060-4020-8084-7AA2DAFFCCFC}" uniqueName="6221" name="Column6221" queryTableFieldId="6221"/>
    <tableColumn id="6222" xr3:uid="{081F1574-5E50-4AED-B727-8412DE72CDDA}" uniqueName="6222" name="Column6222" queryTableFieldId="6222"/>
    <tableColumn id="6223" xr3:uid="{64EFB913-11D6-4B74-B54F-19361E2724AF}" uniqueName="6223" name="Column6223" queryTableFieldId="6223"/>
    <tableColumn id="6224" xr3:uid="{F5EBF6E2-0F80-44A0-9AF2-5C3B7BCF5719}" uniqueName="6224" name="Column6224" queryTableFieldId="6224"/>
    <tableColumn id="6225" xr3:uid="{ACE551DE-025C-413F-A70E-2EE0226073ED}" uniqueName="6225" name="Column6225" queryTableFieldId="6225"/>
    <tableColumn id="6226" xr3:uid="{7FF700FC-F1FB-4EB3-8E0B-4D2BA4B881DC}" uniqueName="6226" name="Column6226" queryTableFieldId="6226"/>
    <tableColumn id="6227" xr3:uid="{005E09E5-F568-4412-872A-5F77FE6AD248}" uniqueName="6227" name="Column6227" queryTableFieldId="6227"/>
    <tableColumn id="6228" xr3:uid="{0D0D2F98-857D-427D-ABB1-F5917B597277}" uniqueName="6228" name="Column6228" queryTableFieldId="6228"/>
    <tableColumn id="6229" xr3:uid="{2BE24408-5E9E-44B8-8BAD-4E986B549EA8}" uniqueName="6229" name="Column6229" queryTableFieldId="6229"/>
    <tableColumn id="6230" xr3:uid="{4FC06F00-DB45-48E8-A9A9-DB914225AFFC}" uniqueName="6230" name="Column6230" queryTableFieldId="6230"/>
    <tableColumn id="6231" xr3:uid="{6887A17D-90BB-473F-82D2-079BDFF1114D}" uniqueName="6231" name="Column6231" queryTableFieldId="6231"/>
    <tableColumn id="6232" xr3:uid="{5D84AF88-2670-409D-88D5-D6324379D15E}" uniqueName="6232" name="Column6232" queryTableFieldId="6232"/>
    <tableColumn id="6233" xr3:uid="{AE1D90BA-E990-4DDF-8D6D-01847C733592}" uniqueName="6233" name="Column6233" queryTableFieldId="6233"/>
    <tableColumn id="6234" xr3:uid="{F80D2549-B404-4243-AC18-F32E2EAACFEB}" uniqueName="6234" name="Column6234" queryTableFieldId="6234"/>
    <tableColumn id="6235" xr3:uid="{E631CFDF-472D-467F-AF85-294D04F40B20}" uniqueName="6235" name="Column6235" queryTableFieldId="6235"/>
    <tableColumn id="6236" xr3:uid="{C9978221-30C3-46A1-9033-3F4ECA29284F}" uniqueName="6236" name="Column6236" queryTableFieldId="6236"/>
    <tableColumn id="6237" xr3:uid="{6BAE8C0B-7B50-4537-975A-33632178BAE1}" uniqueName="6237" name="Column6237" queryTableFieldId="6237"/>
    <tableColumn id="6238" xr3:uid="{1BA43C77-AA33-4A60-87D3-6E8A9FF05B13}" uniqueName="6238" name="Column6238" queryTableFieldId="6238"/>
    <tableColumn id="6239" xr3:uid="{7957B18D-8E6B-4E39-9D1B-52A7404EA223}" uniqueName="6239" name="Column6239" queryTableFieldId="6239"/>
    <tableColumn id="6240" xr3:uid="{61F02656-2E58-4C4A-AB71-F72E477E41C7}" uniqueName="6240" name="Column6240" queryTableFieldId="6240"/>
    <tableColumn id="6241" xr3:uid="{6D971690-0E52-4FF5-BE31-5BFE07DF7340}" uniqueName="6241" name="Column6241" queryTableFieldId="6241"/>
    <tableColumn id="6242" xr3:uid="{31A86DA1-4B82-4950-80B0-5872A96BBD59}" uniqueName="6242" name="Column6242" queryTableFieldId="6242"/>
    <tableColumn id="6243" xr3:uid="{953B394F-4306-411C-89F5-FF9FA8B4C1E5}" uniqueName="6243" name="Column6243" queryTableFieldId="6243"/>
    <tableColumn id="6244" xr3:uid="{91838609-1A2C-4C70-A5CA-B02CCCFB8D6F}" uniqueName="6244" name="Column6244" queryTableFieldId="6244"/>
    <tableColumn id="6245" xr3:uid="{4E4DDA47-1F2D-4FE2-90C5-36E88F0DFCAB}" uniqueName="6245" name="Column6245" queryTableFieldId="6245"/>
    <tableColumn id="6246" xr3:uid="{9ECF3F47-6BC8-432D-9E42-1DF437733FF4}" uniqueName="6246" name="Column6246" queryTableFieldId="6246"/>
    <tableColumn id="6247" xr3:uid="{BD974C53-91DA-40AC-B583-64EF5EE77C21}" uniqueName="6247" name="Column6247" queryTableFieldId="6247"/>
    <tableColumn id="6248" xr3:uid="{4768F1D3-7ABC-4F4C-8E9A-A6ADE2560BCF}" uniqueName="6248" name="Column6248" queryTableFieldId="6248"/>
    <tableColumn id="6249" xr3:uid="{9681E4B5-CB10-4FEE-B363-E9FDC56340D9}" uniqueName="6249" name="Column6249" queryTableFieldId="6249"/>
    <tableColumn id="6250" xr3:uid="{CDD91B58-AC04-4B37-A319-7E686F1CBE62}" uniqueName="6250" name="Column6250" queryTableFieldId="6250"/>
    <tableColumn id="6251" xr3:uid="{E9CA46AC-2034-4ED7-8A1A-DA21F744020D}" uniqueName="6251" name="Column6251" queryTableFieldId="6251"/>
    <tableColumn id="6252" xr3:uid="{88108A44-B441-4FA0-9E8E-B6D25958883D}" uniqueName="6252" name="Column6252" queryTableFieldId="6252"/>
    <tableColumn id="6253" xr3:uid="{F5651D6D-D8DF-4640-B879-E3AB7D9704BE}" uniqueName="6253" name="Column6253" queryTableFieldId="6253"/>
    <tableColumn id="6254" xr3:uid="{E8F01BB4-3427-460C-B0A8-C83E17C8A048}" uniqueName="6254" name="Column6254" queryTableFieldId="6254"/>
    <tableColumn id="6255" xr3:uid="{B4B91398-C29D-4C27-83DA-559FDDA185E2}" uniqueName="6255" name="Column6255" queryTableFieldId="6255"/>
    <tableColumn id="6256" xr3:uid="{CF3A4688-9A77-478C-B1A9-EB6666556DB9}" uniqueName="6256" name="Column6256" queryTableFieldId="6256"/>
    <tableColumn id="6257" xr3:uid="{AD4AFCB0-CF27-4C0F-B40E-BE328E1A9FB7}" uniqueName="6257" name="Column6257" queryTableFieldId="6257"/>
    <tableColumn id="6258" xr3:uid="{2878E58B-D222-499E-B4F1-2373CF396748}" uniqueName="6258" name="Column6258" queryTableFieldId="6258"/>
    <tableColumn id="6259" xr3:uid="{76022B9C-76BE-49C8-B73C-EFA141A16B8A}" uniqueName="6259" name="Column6259" queryTableFieldId="6259"/>
    <tableColumn id="6260" xr3:uid="{C5A1B1C4-1F22-4B46-9669-44C96FDC78AD}" uniqueName="6260" name="Column6260" queryTableFieldId="6260"/>
    <tableColumn id="6261" xr3:uid="{CA50D5E8-7143-4403-9451-43B68B8162D8}" uniqueName="6261" name="Column6261" queryTableFieldId="6261"/>
    <tableColumn id="6262" xr3:uid="{DEF351E8-7844-485D-A678-FAD4585EBD41}" uniqueName="6262" name="Column6262" queryTableFieldId="6262"/>
    <tableColumn id="6263" xr3:uid="{EE160A37-35E2-4B5A-BC41-3890B407D510}" uniqueName="6263" name="Column6263" queryTableFieldId="6263"/>
    <tableColumn id="6264" xr3:uid="{EB844879-57A7-4ED5-A5D7-4F3D8C2C31A6}" uniqueName="6264" name="Column6264" queryTableFieldId="6264"/>
    <tableColumn id="6265" xr3:uid="{28B5F12B-9A57-4F75-AAB6-CBC835792C2A}" uniqueName="6265" name="Column6265" queryTableFieldId="6265"/>
    <tableColumn id="6266" xr3:uid="{45849FFF-2747-4994-851D-DA6236E0B007}" uniqueName="6266" name="Column6266" queryTableFieldId="6266"/>
    <tableColumn id="6267" xr3:uid="{9C7B4B89-4762-4A3C-93C7-2EEA0F30B819}" uniqueName="6267" name="Column6267" queryTableFieldId="6267"/>
    <tableColumn id="6268" xr3:uid="{21E80FCB-B82A-46B7-8FA0-767DCB3DE074}" uniqueName="6268" name="Column6268" queryTableFieldId="6268"/>
    <tableColumn id="6269" xr3:uid="{4741E20F-E01E-4BD0-8A9E-ED6A3EB7D91E}" uniqueName="6269" name="Column6269" queryTableFieldId="6269"/>
    <tableColumn id="6270" xr3:uid="{BF45E550-9648-4A74-A597-D2CCF064C5A5}" uniqueName="6270" name="Column6270" queryTableFieldId="6270"/>
    <tableColumn id="6271" xr3:uid="{BA7C9D5A-2A78-4C1C-88B5-349BCCE61928}" uniqueName="6271" name="Column6271" queryTableFieldId="6271"/>
    <tableColumn id="6272" xr3:uid="{A9784792-6A6F-4377-8368-EC6AE10B1E7B}" uniqueName="6272" name="Column6272" queryTableFieldId="6272"/>
    <tableColumn id="6273" xr3:uid="{79C76CF3-EF8F-4E95-8984-CC96585B7253}" uniqueName="6273" name="Column6273" queryTableFieldId="6273"/>
    <tableColumn id="6274" xr3:uid="{B8B7BAE6-CB35-48B8-B299-DF48654D128D}" uniqueName="6274" name="Column6274" queryTableFieldId="6274"/>
    <tableColumn id="6275" xr3:uid="{7B36CCAF-0689-4A95-B578-C68407DFC1F0}" uniqueName="6275" name="Column6275" queryTableFieldId="6275"/>
    <tableColumn id="6276" xr3:uid="{1458330A-EFB7-4DCE-9012-4E036D99685A}" uniqueName="6276" name="Column6276" queryTableFieldId="6276"/>
    <tableColumn id="6277" xr3:uid="{FF6748EC-55BD-4FA1-A2AA-8C5920738D4A}" uniqueName="6277" name="Column6277" queryTableFieldId="6277"/>
    <tableColumn id="6278" xr3:uid="{FD278B7A-01A3-4C2B-9B3B-83A873B41016}" uniqueName="6278" name="Column6278" queryTableFieldId="6278"/>
    <tableColumn id="6279" xr3:uid="{3D658D0B-B862-434C-B4E7-7E5F30A5F40C}" uniqueName="6279" name="Column6279" queryTableFieldId="6279"/>
    <tableColumn id="6280" xr3:uid="{81920387-2C79-429D-AFF5-532B84BBBD4F}" uniqueName="6280" name="Column6280" queryTableFieldId="6280"/>
    <tableColumn id="6281" xr3:uid="{B16C31D0-BC1A-48F7-A8E6-973F4203E05F}" uniqueName="6281" name="Column6281" queryTableFieldId="6281"/>
    <tableColumn id="6282" xr3:uid="{9DEBBCEE-740A-4B02-ABAB-91B7FF70616E}" uniqueName="6282" name="Column6282" queryTableFieldId="6282"/>
    <tableColumn id="6283" xr3:uid="{22D92DFD-9A75-4436-AD30-73D48778C3CE}" uniqueName="6283" name="Column6283" queryTableFieldId="6283"/>
    <tableColumn id="6284" xr3:uid="{01169F0F-F461-458F-9859-1DEEE6D005FE}" uniqueName="6284" name="Column6284" queryTableFieldId="6284"/>
    <tableColumn id="6285" xr3:uid="{9BB824D0-32ED-45BE-8E0D-72FEA64CBF21}" uniqueName="6285" name="Column6285" queryTableFieldId="6285"/>
    <tableColumn id="6286" xr3:uid="{894C68EB-724D-45D4-BF59-70BB648D10AB}" uniqueName="6286" name="Column6286" queryTableFieldId="6286"/>
    <tableColumn id="6287" xr3:uid="{297036B6-5286-474C-B91E-20EC5D5D8517}" uniqueName="6287" name="Column6287" queryTableFieldId="6287"/>
    <tableColumn id="6288" xr3:uid="{268EF456-36B9-4304-8DEF-53DE58590B26}" uniqueName="6288" name="Column6288" queryTableFieldId="6288"/>
    <tableColumn id="6289" xr3:uid="{04ED0C73-129F-4291-9A0E-B22BC73CE157}" uniqueName="6289" name="Column6289" queryTableFieldId="6289"/>
    <tableColumn id="6290" xr3:uid="{AFB5CD64-F352-443D-8077-1514B0AD1BC4}" uniqueName="6290" name="Column6290" queryTableFieldId="6290"/>
    <tableColumn id="6291" xr3:uid="{7BEE12D4-7270-451A-88F5-3708B0F73FCE}" uniqueName="6291" name="Column6291" queryTableFieldId="6291"/>
    <tableColumn id="6292" xr3:uid="{1D7D3423-70CD-4783-B151-1F4811CF1EE4}" uniqueName="6292" name="Column6292" queryTableFieldId="6292"/>
    <tableColumn id="6293" xr3:uid="{F232C100-DB71-40BA-AC80-62A24E590ECF}" uniqueName="6293" name="Column6293" queryTableFieldId="6293"/>
    <tableColumn id="6294" xr3:uid="{A876E6F0-D044-4643-9AA5-FAC4E87E13B9}" uniqueName="6294" name="Column6294" queryTableFieldId="6294"/>
    <tableColumn id="6295" xr3:uid="{4AB853F1-BC6B-402D-A52F-4688AF3EC74F}" uniqueName="6295" name="Column6295" queryTableFieldId="6295"/>
    <tableColumn id="6296" xr3:uid="{AAAEB4F4-4960-488D-B089-4DCAFE7EF56A}" uniqueName="6296" name="Column6296" queryTableFieldId="6296"/>
    <tableColumn id="6297" xr3:uid="{7F38B1F7-DD18-443A-8E34-5CC92C3FBA8F}" uniqueName="6297" name="Column6297" queryTableFieldId="6297"/>
    <tableColumn id="6298" xr3:uid="{1A76F66F-5063-49B5-8551-4E55DBA92C4A}" uniqueName="6298" name="Column6298" queryTableFieldId="6298"/>
    <tableColumn id="6299" xr3:uid="{D3A2F497-6945-411C-89FF-7C0174F59CF4}" uniqueName="6299" name="Column6299" queryTableFieldId="6299"/>
    <tableColumn id="6300" xr3:uid="{0F8E2376-7465-48C6-B320-235908F29A68}" uniqueName="6300" name="Column6300" queryTableFieldId="6300"/>
    <tableColumn id="6301" xr3:uid="{CD30D8E7-0DC4-4E2D-8E65-B1F9C26CB505}" uniqueName="6301" name="Column6301" queryTableFieldId="6301"/>
    <tableColumn id="6302" xr3:uid="{84EE37FD-650C-455C-8B62-9CC9F880DC00}" uniqueName="6302" name="Column6302" queryTableFieldId="6302"/>
    <tableColumn id="6303" xr3:uid="{623998E1-CDC7-47B2-940F-8F698B064753}" uniqueName="6303" name="Column6303" queryTableFieldId="6303"/>
    <tableColumn id="6304" xr3:uid="{E4EA2528-B204-44D0-A3B8-6A60A4CF487E}" uniqueName="6304" name="Column6304" queryTableFieldId="6304"/>
    <tableColumn id="6305" xr3:uid="{3251DBD7-8299-401E-AF90-D016E941E29C}" uniqueName="6305" name="Column6305" queryTableFieldId="6305"/>
    <tableColumn id="6306" xr3:uid="{447DBC14-6376-4716-A931-F21DDE858095}" uniqueName="6306" name="Column6306" queryTableFieldId="6306"/>
    <tableColumn id="6307" xr3:uid="{D1FB6465-29F2-486D-A7CB-68068E8860E4}" uniqueName="6307" name="Column6307" queryTableFieldId="6307"/>
    <tableColumn id="6308" xr3:uid="{E0BFA341-6F58-4E90-A904-308C88E48B45}" uniqueName="6308" name="Column6308" queryTableFieldId="6308"/>
    <tableColumn id="6309" xr3:uid="{565DAF64-5F6B-4523-8606-61F692B871E0}" uniqueName="6309" name="Column6309" queryTableFieldId="6309"/>
    <tableColumn id="6310" xr3:uid="{F2C2A29E-E5D2-43D9-9F60-5B3DC6324A2F}" uniqueName="6310" name="Column6310" queryTableFieldId="6310"/>
    <tableColumn id="6311" xr3:uid="{891CA649-35FD-4FE7-8962-710E746C4E74}" uniqueName="6311" name="Column6311" queryTableFieldId="6311"/>
    <tableColumn id="6312" xr3:uid="{3F8416B5-047B-4F01-B0F1-E057572F12A6}" uniqueName="6312" name="Column6312" queryTableFieldId="6312"/>
    <tableColumn id="6313" xr3:uid="{36008266-8ABF-4CE7-A5D9-E42F71F3BA2D}" uniqueName="6313" name="Column6313" queryTableFieldId="6313"/>
    <tableColumn id="6314" xr3:uid="{FB562EB8-C113-4CD2-881E-276E713F5139}" uniqueName="6314" name="Column6314" queryTableFieldId="6314"/>
    <tableColumn id="6315" xr3:uid="{449042C5-8378-4C43-9BB2-E35B8234F193}" uniqueName="6315" name="Column6315" queryTableFieldId="6315"/>
    <tableColumn id="6316" xr3:uid="{9F7C7732-7485-4CC7-BF13-B676AD372EF4}" uniqueName="6316" name="Column6316" queryTableFieldId="6316"/>
    <tableColumn id="6317" xr3:uid="{72026CA3-1B67-4023-8EA6-777A16874775}" uniqueName="6317" name="Column6317" queryTableFieldId="6317"/>
    <tableColumn id="6318" xr3:uid="{37BEA1B2-5089-4CA7-8370-52B029679C0A}" uniqueName="6318" name="Column6318" queryTableFieldId="6318"/>
    <tableColumn id="6319" xr3:uid="{CCCCF80A-1036-472F-8CA2-F450DE1A9080}" uniqueName="6319" name="Column6319" queryTableFieldId="6319"/>
    <tableColumn id="6320" xr3:uid="{92113269-7B10-4643-A8F4-BC9A81DB3313}" uniqueName="6320" name="Column6320" queryTableFieldId="6320"/>
    <tableColumn id="6321" xr3:uid="{D8AEED2A-8E10-4F21-84AC-79F8E423C624}" uniqueName="6321" name="Column6321" queryTableFieldId="6321"/>
    <tableColumn id="6322" xr3:uid="{67F928BE-D1EA-4BF2-9910-34DDF18210C4}" uniqueName="6322" name="Column6322" queryTableFieldId="6322"/>
    <tableColumn id="6323" xr3:uid="{C590CB33-2759-4401-9874-B860E32BCAFE}" uniqueName="6323" name="Column6323" queryTableFieldId="6323"/>
    <tableColumn id="6324" xr3:uid="{9879204F-0741-4912-9C0F-7F6FCCCE4A25}" uniqueName="6324" name="Column6324" queryTableFieldId="6324"/>
    <tableColumn id="6325" xr3:uid="{D3CEBED4-15B9-4A57-95C6-ACA03B97A3C8}" uniqueName="6325" name="Column6325" queryTableFieldId="6325"/>
    <tableColumn id="6326" xr3:uid="{69D50294-8962-46D6-B281-2B4C185B3B39}" uniqueName="6326" name="Column6326" queryTableFieldId="6326"/>
    <tableColumn id="6327" xr3:uid="{5447A1D5-0AB5-41D0-BE5D-DE8960E4698D}" uniqueName="6327" name="Column6327" queryTableFieldId="6327"/>
    <tableColumn id="6328" xr3:uid="{346F1405-53E9-4ACB-861D-69AE1F908F8F}" uniqueName="6328" name="Column6328" queryTableFieldId="6328"/>
    <tableColumn id="6329" xr3:uid="{2FF139CA-D511-46F9-8D04-A4055F3BAC0A}" uniqueName="6329" name="Column6329" queryTableFieldId="6329"/>
    <tableColumn id="6330" xr3:uid="{D9F936B9-DCF3-42D8-9BF2-E13AC6D8D275}" uniqueName="6330" name="Column6330" queryTableFieldId="6330"/>
    <tableColumn id="6331" xr3:uid="{48E64323-26CA-4304-B342-EB6A3EF93D08}" uniqueName="6331" name="Column6331" queryTableFieldId="6331"/>
    <tableColumn id="6332" xr3:uid="{C288A7AD-DF15-41D5-9326-D76B65E88AEE}" uniqueName="6332" name="Column6332" queryTableFieldId="6332"/>
    <tableColumn id="6333" xr3:uid="{47547E74-7F50-4451-BA85-06CD698E3E89}" uniqueName="6333" name="Column6333" queryTableFieldId="6333"/>
    <tableColumn id="6334" xr3:uid="{8299E888-F44E-473C-AF2D-62205E5CB3F4}" uniqueName="6334" name="Column6334" queryTableFieldId="6334"/>
    <tableColumn id="6335" xr3:uid="{280437C4-F894-4295-A1D6-B38047CC40EE}" uniqueName="6335" name="Column6335" queryTableFieldId="6335"/>
    <tableColumn id="6336" xr3:uid="{934E0D9B-56FA-4EA5-A068-156EF205F334}" uniqueName="6336" name="Column6336" queryTableFieldId="6336"/>
    <tableColumn id="6337" xr3:uid="{F612181F-7F9D-4B19-AAFD-A30278E4B352}" uniqueName="6337" name="Column6337" queryTableFieldId="6337"/>
    <tableColumn id="6338" xr3:uid="{AAC5EDC5-1678-46B7-8A32-83916A5B0D86}" uniqueName="6338" name="Column6338" queryTableFieldId="6338"/>
    <tableColumn id="6339" xr3:uid="{3E15C545-B2F9-463D-86B8-CFF8B6DF387E}" uniqueName="6339" name="Column6339" queryTableFieldId="6339"/>
    <tableColumn id="6340" xr3:uid="{F7D003C9-522B-4025-8E2F-492A3D2B7838}" uniqueName="6340" name="Column6340" queryTableFieldId="6340"/>
    <tableColumn id="6341" xr3:uid="{8915EA97-97AA-41BD-94FD-CB5CC51019FE}" uniqueName="6341" name="Column6341" queryTableFieldId="6341"/>
    <tableColumn id="6342" xr3:uid="{315D9591-2C4A-42B3-B45F-0A75BBAC114E}" uniqueName="6342" name="Column6342" queryTableFieldId="6342"/>
    <tableColumn id="6343" xr3:uid="{F1152B4C-BC93-4748-817C-31DB8B37481B}" uniqueName="6343" name="Column6343" queryTableFieldId="6343"/>
    <tableColumn id="6344" xr3:uid="{191209BC-C3FD-4D35-B839-6503358AF5C0}" uniqueName="6344" name="Column6344" queryTableFieldId="6344"/>
    <tableColumn id="6345" xr3:uid="{F3218D34-645C-4EF9-82A2-0488D39D95D4}" uniqueName="6345" name="Column6345" queryTableFieldId="6345"/>
    <tableColumn id="6346" xr3:uid="{63F3ABF6-B4EB-4519-809C-794908BE90EF}" uniqueName="6346" name="Column6346" queryTableFieldId="6346"/>
    <tableColumn id="6347" xr3:uid="{A5E034F4-2739-49F3-9BCE-B15CFEA42C54}" uniqueName="6347" name="Column6347" queryTableFieldId="6347"/>
    <tableColumn id="6348" xr3:uid="{2EC6F100-9DEE-4376-A897-DCD1E0BE771E}" uniqueName="6348" name="Column6348" queryTableFieldId="6348"/>
    <tableColumn id="6349" xr3:uid="{9F0809AA-D3FF-4964-A8BA-E5295956343D}" uniqueName="6349" name="Column6349" queryTableFieldId="6349"/>
    <tableColumn id="6350" xr3:uid="{C67DD03B-898F-4EA9-9BC7-F2CCDE1E67B1}" uniqueName="6350" name="Column6350" queryTableFieldId="6350"/>
    <tableColumn id="6351" xr3:uid="{5448020F-453D-4664-8B82-C685FDFB934B}" uniqueName="6351" name="Column6351" queryTableFieldId="6351"/>
    <tableColumn id="6352" xr3:uid="{9140B538-123D-4A7D-8D57-48E1011A8159}" uniqueName="6352" name="Column6352" queryTableFieldId="6352"/>
    <tableColumn id="6353" xr3:uid="{2F25192F-3D6D-4F00-A0CB-C7EC7B3F2AAB}" uniqueName="6353" name="Column6353" queryTableFieldId="6353"/>
    <tableColumn id="6354" xr3:uid="{90859B37-1A47-4415-9A30-1DC79F7318BB}" uniqueName="6354" name="Column6354" queryTableFieldId="6354"/>
    <tableColumn id="6355" xr3:uid="{05738498-A799-4666-BF22-A84099C40C0E}" uniqueName="6355" name="Column6355" queryTableFieldId="6355"/>
    <tableColumn id="6356" xr3:uid="{F968627C-C89C-4B9A-A217-6E6FEC7FF126}" uniqueName="6356" name="Column6356" queryTableFieldId="6356"/>
    <tableColumn id="6357" xr3:uid="{9FC8FC05-A3A5-4855-9586-BB463054C583}" uniqueName="6357" name="Column6357" queryTableFieldId="6357"/>
    <tableColumn id="6358" xr3:uid="{351220C1-9564-4326-A298-1CBF3C6C43C3}" uniqueName="6358" name="Column6358" queryTableFieldId="6358"/>
    <tableColumn id="6359" xr3:uid="{61F7BF9F-BC2F-4C13-9E51-22CE73939AD1}" uniqueName="6359" name="Column6359" queryTableFieldId="6359"/>
    <tableColumn id="6360" xr3:uid="{351047DC-0069-4821-A2BF-A1E1952DB272}" uniqueName="6360" name="Column6360" queryTableFieldId="6360"/>
    <tableColumn id="6361" xr3:uid="{C7E72548-E329-498B-AEED-D8067AEDA0B4}" uniqueName="6361" name="Column6361" queryTableFieldId="6361"/>
    <tableColumn id="6362" xr3:uid="{ECC2A0A6-2873-4903-84F6-0A26AB8873B6}" uniqueName="6362" name="Column6362" queryTableFieldId="6362"/>
    <tableColumn id="6363" xr3:uid="{E8AF20A7-929B-41A0-84DA-FBABD7C308CD}" uniqueName="6363" name="Column6363" queryTableFieldId="6363"/>
    <tableColumn id="6364" xr3:uid="{1CE9E271-07B8-4E06-A903-F2F07CB8377F}" uniqueName="6364" name="Column6364" queryTableFieldId="6364"/>
    <tableColumn id="6365" xr3:uid="{E50DAAFC-71FB-4D5B-9D05-96A3BD1F3B83}" uniqueName="6365" name="Column6365" queryTableFieldId="6365"/>
    <tableColumn id="6366" xr3:uid="{539F6136-FEED-48B1-9512-D8DC2CFFE115}" uniqueName="6366" name="Column6366" queryTableFieldId="6366"/>
    <tableColumn id="6367" xr3:uid="{C70C999F-DD52-4C47-9B0F-113E1A0C5D43}" uniqueName="6367" name="Column6367" queryTableFieldId="6367"/>
    <tableColumn id="6368" xr3:uid="{589A116F-54FD-4AF7-97A0-8E163C26B189}" uniqueName="6368" name="Column6368" queryTableFieldId="6368"/>
    <tableColumn id="6369" xr3:uid="{77D23859-936C-4959-84B5-52BD44124103}" uniqueName="6369" name="Column6369" queryTableFieldId="6369"/>
    <tableColumn id="6370" xr3:uid="{81AC7005-CFC2-4518-BD2C-1F27095D93F0}" uniqueName="6370" name="Column6370" queryTableFieldId="6370"/>
    <tableColumn id="6371" xr3:uid="{DD2A286B-349E-4B40-B3AC-373514ED93B1}" uniqueName="6371" name="Column6371" queryTableFieldId="6371"/>
    <tableColumn id="6372" xr3:uid="{BE5684C1-8F9C-40CA-89FC-259E7220C3EA}" uniqueName="6372" name="Column6372" queryTableFieldId="6372"/>
    <tableColumn id="6373" xr3:uid="{D9EA53F2-75C5-481F-847C-67A7A05FC447}" uniqueName="6373" name="Column6373" queryTableFieldId="6373"/>
    <tableColumn id="6374" xr3:uid="{59237FD3-9444-4828-81D8-B86BC4AB7AE2}" uniqueName="6374" name="Column6374" queryTableFieldId="6374"/>
    <tableColumn id="6375" xr3:uid="{E97F14DC-0307-47FA-90A2-5C19FAE999B1}" uniqueName="6375" name="Column6375" queryTableFieldId="6375"/>
    <tableColumn id="6376" xr3:uid="{0E88733C-C53C-4C51-8D12-D43CC0F6E04F}" uniqueName="6376" name="Column6376" queryTableFieldId="6376"/>
    <tableColumn id="6377" xr3:uid="{83DB6BAC-1A38-47AC-B682-B484397B91A8}" uniqueName="6377" name="Column6377" queryTableFieldId="6377"/>
    <tableColumn id="6378" xr3:uid="{22B5B51D-BCF0-411C-B5FB-CD077E408DC8}" uniqueName="6378" name="Column6378" queryTableFieldId="6378"/>
    <tableColumn id="6379" xr3:uid="{395F3F5D-2261-4D30-9D84-891BA9AEE57E}" uniqueName="6379" name="Column6379" queryTableFieldId="6379"/>
    <tableColumn id="6380" xr3:uid="{82CD3AFC-ECD2-4B2F-8E78-303EC4E1C31E}" uniqueName="6380" name="Column6380" queryTableFieldId="6380"/>
    <tableColumn id="6381" xr3:uid="{07289C66-F08E-4DE8-AE71-C719CEE98E42}" uniqueName="6381" name="Column6381" queryTableFieldId="6381"/>
    <tableColumn id="6382" xr3:uid="{86C16295-DC62-4055-9AD7-C64CE3142F96}" uniqueName="6382" name="Column6382" queryTableFieldId="6382"/>
    <tableColumn id="6383" xr3:uid="{9EF26E60-DD4A-416B-846B-AF68C8D39619}" uniqueName="6383" name="Column6383" queryTableFieldId="6383"/>
    <tableColumn id="6384" xr3:uid="{1A07788C-FDD7-4FA8-9E30-5F89D60FDEE8}" uniqueName="6384" name="Column6384" queryTableFieldId="6384"/>
    <tableColumn id="6385" xr3:uid="{C96A94A2-65B3-40A6-AE79-096575FAD231}" uniqueName="6385" name="Column6385" queryTableFieldId="6385"/>
    <tableColumn id="6386" xr3:uid="{E049E5FD-7199-4FB1-B898-9D08983287C2}" uniqueName="6386" name="Column6386" queryTableFieldId="6386"/>
    <tableColumn id="6387" xr3:uid="{7FF07E98-79FF-468C-9AB9-010A107C06A6}" uniqueName="6387" name="Column6387" queryTableFieldId="6387"/>
    <tableColumn id="6388" xr3:uid="{929345CD-ED50-47C1-9C99-13F502BBCC9D}" uniqueName="6388" name="Column6388" queryTableFieldId="6388"/>
    <tableColumn id="6389" xr3:uid="{0D686F53-5B6A-4106-890D-715F0C636359}" uniqueName="6389" name="Column6389" queryTableFieldId="6389"/>
    <tableColumn id="6390" xr3:uid="{16977A72-EDED-4D99-AA2A-C760912574A7}" uniqueName="6390" name="Column6390" queryTableFieldId="6390"/>
    <tableColumn id="6391" xr3:uid="{E9E9DEC6-0A65-41FB-92D2-4903D0919057}" uniqueName="6391" name="Column6391" queryTableFieldId="6391"/>
    <tableColumn id="6392" xr3:uid="{7D1FEDC4-C551-4A52-ACA7-077676F8953F}" uniqueName="6392" name="Column6392" queryTableFieldId="6392"/>
    <tableColumn id="6393" xr3:uid="{391545B6-B7C2-4221-8D80-058620A081CC}" uniqueName="6393" name="Column6393" queryTableFieldId="6393"/>
    <tableColumn id="6394" xr3:uid="{FEBCB60D-04A1-48CC-A8C0-4000A4F70144}" uniqueName="6394" name="Column6394" queryTableFieldId="6394"/>
    <tableColumn id="6395" xr3:uid="{E408D665-DE44-4C51-BB6C-5ECF44079B00}" uniqueName="6395" name="Column6395" queryTableFieldId="6395"/>
    <tableColumn id="6396" xr3:uid="{4811A1C6-565D-4F00-9154-F8AF936A0859}" uniqueName="6396" name="Column6396" queryTableFieldId="6396"/>
    <tableColumn id="6397" xr3:uid="{3D51421B-CCC8-43DC-9827-3A8CA3791EE2}" uniqueName="6397" name="Column6397" queryTableFieldId="6397"/>
    <tableColumn id="6398" xr3:uid="{D4C76B0C-C71E-443E-AD81-A1C2F2CFAFF7}" uniqueName="6398" name="Column6398" queryTableFieldId="6398"/>
    <tableColumn id="6399" xr3:uid="{4925D654-314E-4A90-9E1A-5D37F7F21B3B}" uniqueName="6399" name="Column6399" queryTableFieldId="6399"/>
    <tableColumn id="6400" xr3:uid="{E2E99236-C446-4A54-8406-90D3CADF1856}" uniqueName="6400" name="Column6400" queryTableFieldId="6400"/>
    <tableColumn id="6401" xr3:uid="{4AD5037C-F793-4563-B630-1E8782537373}" uniqueName="6401" name="Column6401" queryTableFieldId="6401"/>
    <tableColumn id="6402" xr3:uid="{F61F4EE6-16E4-4992-A8DF-6D0DC55D5CF7}" uniqueName="6402" name="Column6402" queryTableFieldId="6402"/>
    <tableColumn id="6403" xr3:uid="{403B2429-394B-4E19-A05C-E042F9CCC265}" uniqueName="6403" name="Column6403" queryTableFieldId="6403"/>
    <tableColumn id="6404" xr3:uid="{29143067-A457-4846-AFA9-E218E6A24993}" uniqueName="6404" name="Column6404" queryTableFieldId="6404"/>
    <tableColumn id="6405" xr3:uid="{B9E6E072-15BE-4774-8A0E-116169AFCE7B}" uniqueName="6405" name="Column6405" queryTableFieldId="6405"/>
    <tableColumn id="6406" xr3:uid="{43744295-698C-4C78-AC51-C51E40BDEA67}" uniqueName="6406" name="Column6406" queryTableFieldId="6406"/>
    <tableColumn id="6407" xr3:uid="{EA66A6A3-4719-461B-9EE4-F8C8604F314D}" uniqueName="6407" name="Column6407" queryTableFieldId="6407"/>
    <tableColumn id="6408" xr3:uid="{699C101D-95DA-4E90-A5C4-BCF054511244}" uniqueName="6408" name="Column6408" queryTableFieldId="6408"/>
    <tableColumn id="6409" xr3:uid="{4209998F-76BD-4088-9FBE-35D10F493516}" uniqueName="6409" name="Column6409" queryTableFieldId="6409"/>
    <tableColumn id="6410" xr3:uid="{F16EDE59-3E8D-4721-8AC1-FE6DB04C72E9}" uniqueName="6410" name="Column6410" queryTableFieldId="6410"/>
    <tableColumn id="6411" xr3:uid="{5C4AC58C-4F83-4C05-A249-DCA014690C98}" uniqueName="6411" name="Column6411" queryTableFieldId="6411"/>
    <tableColumn id="6412" xr3:uid="{52BED6B2-6A0E-4F86-92C3-5D8A82ABF8FA}" uniqueName="6412" name="Column6412" queryTableFieldId="6412"/>
    <tableColumn id="6413" xr3:uid="{109621CB-81DA-4BBD-9D1A-5AB5BF3A7C6F}" uniqueName="6413" name="Column6413" queryTableFieldId="6413"/>
    <tableColumn id="6414" xr3:uid="{2C6D6403-4B99-46A3-8E68-8DA6DA811356}" uniqueName="6414" name="Column6414" queryTableFieldId="6414"/>
    <tableColumn id="6415" xr3:uid="{D7C02B7F-345A-4AC2-AA5E-3D1EFA1A44A6}" uniqueName="6415" name="Column6415" queryTableFieldId="6415"/>
    <tableColumn id="6416" xr3:uid="{57B991EA-9F6D-402C-BA1B-E18F5B4C6F3F}" uniqueName="6416" name="Column6416" queryTableFieldId="6416"/>
    <tableColumn id="6417" xr3:uid="{C53E1006-137D-4CD3-985F-3B9FE5B4FF6E}" uniqueName="6417" name="Column6417" queryTableFieldId="6417"/>
    <tableColumn id="6418" xr3:uid="{B7F962BD-3531-4540-A801-609ED9BA284C}" uniqueName="6418" name="Column6418" queryTableFieldId="6418"/>
    <tableColumn id="6419" xr3:uid="{1A37F169-0C95-4D5D-BC70-77564814BC58}" uniqueName="6419" name="Column6419" queryTableFieldId="6419"/>
    <tableColumn id="6420" xr3:uid="{061628EC-48E2-46C4-83BC-941B9E4957B6}" uniqueName="6420" name="Column6420" queryTableFieldId="6420"/>
    <tableColumn id="6421" xr3:uid="{151BF921-C03A-4EB8-89C2-DCD0144D224B}" uniqueName="6421" name="Column6421" queryTableFieldId="6421"/>
    <tableColumn id="6422" xr3:uid="{628F18F4-3EAF-4DE1-8689-7B18434CCA47}" uniqueName="6422" name="Column6422" queryTableFieldId="6422"/>
    <tableColumn id="6423" xr3:uid="{0140C546-8C3B-44D6-B7F7-3C99C46B17A8}" uniqueName="6423" name="Column6423" queryTableFieldId="6423"/>
    <tableColumn id="6424" xr3:uid="{1F80EE0A-B57F-4A8A-A5F5-3BB946747BCA}" uniqueName="6424" name="Column6424" queryTableFieldId="6424"/>
    <tableColumn id="6425" xr3:uid="{DD8F3BBB-6726-445E-9DAC-977433FBEEE1}" uniqueName="6425" name="Column6425" queryTableFieldId="6425"/>
    <tableColumn id="6426" xr3:uid="{2B095D07-D59F-4E3C-8306-3E0D08E29DC1}" uniqueName="6426" name="Column6426" queryTableFieldId="6426"/>
    <tableColumn id="6427" xr3:uid="{3481AB03-EE71-423F-BDE7-7E3C33959B8E}" uniqueName="6427" name="Column6427" queryTableFieldId="6427"/>
    <tableColumn id="6428" xr3:uid="{64803844-104D-4565-A90F-73511558307D}" uniqueName="6428" name="Column6428" queryTableFieldId="6428"/>
    <tableColumn id="6429" xr3:uid="{481F7464-1772-4B5A-BB94-266B51DA08D8}" uniqueName="6429" name="Column6429" queryTableFieldId="6429"/>
    <tableColumn id="6430" xr3:uid="{2A7427AA-C0E7-4857-9112-D927CA375673}" uniqueName="6430" name="Column6430" queryTableFieldId="6430"/>
    <tableColumn id="6431" xr3:uid="{B747FF62-BCC7-4B0B-8399-2392206A926D}" uniqueName="6431" name="Column6431" queryTableFieldId="6431"/>
    <tableColumn id="6432" xr3:uid="{E12C0EB4-27C6-481D-953E-35DB98ECD136}" uniqueName="6432" name="Column6432" queryTableFieldId="6432"/>
    <tableColumn id="6433" xr3:uid="{0CDDD03D-CC68-4C62-BF2A-70788B0D702D}" uniqueName="6433" name="Column6433" queryTableFieldId="6433"/>
    <tableColumn id="6434" xr3:uid="{1B61589E-20E2-43D6-8D0C-6241933264DA}" uniqueName="6434" name="Column6434" queryTableFieldId="6434"/>
    <tableColumn id="6435" xr3:uid="{CED9F632-B7BD-43C9-8FC6-BD548D7AB652}" uniqueName="6435" name="Column6435" queryTableFieldId="6435"/>
    <tableColumn id="6436" xr3:uid="{3F54D605-A7FC-41E2-BBE2-AABA2DD53DFB}" uniqueName="6436" name="Column6436" queryTableFieldId="6436"/>
    <tableColumn id="6437" xr3:uid="{FEAC199D-3067-431C-BF7B-4FAEFFB269AA}" uniqueName="6437" name="Column6437" queryTableFieldId="6437"/>
    <tableColumn id="6438" xr3:uid="{160E28BE-773C-428C-8B26-A9D8BE895E18}" uniqueName="6438" name="Column6438" queryTableFieldId="6438"/>
    <tableColumn id="6439" xr3:uid="{20EB4B2A-26E1-45C9-9EA4-64FD041FEFDE}" uniqueName="6439" name="Column6439" queryTableFieldId="6439"/>
    <tableColumn id="6440" xr3:uid="{1C837CDF-CAB8-4D64-8C85-4C7A3AA27691}" uniqueName="6440" name="Column6440" queryTableFieldId="6440"/>
    <tableColumn id="6441" xr3:uid="{A9240F59-C239-45C8-8C2A-EEEEB5EA2592}" uniqueName="6441" name="Column6441" queryTableFieldId="6441"/>
    <tableColumn id="6442" xr3:uid="{91E57E9E-3605-4788-BFA0-5A5C61725B07}" uniqueName="6442" name="Column6442" queryTableFieldId="6442"/>
    <tableColumn id="6443" xr3:uid="{192B2CB3-2B48-4472-98C5-52E415BD1938}" uniqueName="6443" name="Column6443" queryTableFieldId="6443"/>
    <tableColumn id="6444" xr3:uid="{0279B0B2-95BD-4F78-AAC4-B30E76D710B2}" uniqueName="6444" name="Column6444" queryTableFieldId="6444"/>
    <tableColumn id="6445" xr3:uid="{ACE1DA70-2E06-496B-98BB-2516AF9A68B9}" uniqueName="6445" name="Column6445" queryTableFieldId="6445"/>
    <tableColumn id="6446" xr3:uid="{D01427EA-7A8E-4DC8-B88F-1BAEC0493143}" uniqueName="6446" name="Column6446" queryTableFieldId="6446"/>
    <tableColumn id="6447" xr3:uid="{7AD61406-2FDD-44D2-A895-F6E0F5A17F5A}" uniqueName="6447" name="Column6447" queryTableFieldId="6447"/>
    <tableColumn id="6448" xr3:uid="{F6F79F2B-04DA-472F-B57E-338C55AA0386}" uniqueName="6448" name="Column6448" queryTableFieldId="6448"/>
    <tableColumn id="6449" xr3:uid="{C0D52943-CCD1-4E7E-806D-C5A0320E4496}" uniqueName="6449" name="Column6449" queryTableFieldId="6449"/>
    <tableColumn id="6450" xr3:uid="{5F29EDB0-4352-4C92-8DA8-3667AA67BA67}" uniqueName="6450" name="Column6450" queryTableFieldId="6450"/>
    <tableColumn id="6451" xr3:uid="{1F1E33DD-C26E-46F4-8474-0D367A50D0C6}" uniqueName="6451" name="Column6451" queryTableFieldId="6451"/>
    <tableColumn id="6452" xr3:uid="{936A58B1-DCA0-4687-AAF2-C8516B5DDB2C}" uniqueName="6452" name="Column6452" queryTableFieldId="6452"/>
    <tableColumn id="6453" xr3:uid="{8061346F-C1EB-4A2A-99CE-D95B0FBEB981}" uniqueName="6453" name="Column6453" queryTableFieldId="6453"/>
    <tableColumn id="6454" xr3:uid="{76D1D9CA-611B-4E06-8DD7-A0134FB7B156}" uniqueName="6454" name="Column6454" queryTableFieldId="6454"/>
    <tableColumn id="6455" xr3:uid="{92E950E8-695C-4722-8961-D5A56FBD998A}" uniqueName="6455" name="Column6455" queryTableFieldId="6455"/>
    <tableColumn id="6456" xr3:uid="{E9FF1561-7564-445E-86E7-A150586A3845}" uniqueName="6456" name="Column6456" queryTableFieldId="6456"/>
    <tableColumn id="6457" xr3:uid="{D25B6B74-7744-40AE-83D4-A0FEC784809D}" uniqueName="6457" name="Column6457" queryTableFieldId="6457"/>
    <tableColumn id="6458" xr3:uid="{5CDAB976-F640-4CD4-9B7A-30389DC3669F}" uniqueName="6458" name="Column6458" queryTableFieldId="6458"/>
    <tableColumn id="6459" xr3:uid="{10EE28AC-0679-4DE8-858D-6136CD5FFE53}" uniqueName="6459" name="Column6459" queryTableFieldId="6459"/>
    <tableColumn id="6460" xr3:uid="{0D4508F8-4D95-4F7C-9E2C-9EBB4B89812C}" uniqueName="6460" name="Column6460" queryTableFieldId="6460"/>
    <tableColumn id="6461" xr3:uid="{D1708872-5ECD-4140-A72F-A09A5BB29C62}" uniqueName="6461" name="Column6461" queryTableFieldId="6461"/>
    <tableColumn id="6462" xr3:uid="{DE7FFE91-BFC1-4A2C-BB9E-0C913CA17F78}" uniqueName="6462" name="Column6462" queryTableFieldId="6462"/>
    <tableColumn id="6463" xr3:uid="{22916512-9B5B-48BC-8712-4EF45CA78D80}" uniqueName="6463" name="Column6463" queryTableFieldId="6463"/>
    <tableColumn id="6464" xr3:uid="{BC5F2864-0003-4E1A-AEC4-A8A2BE76031D}" uniqueName="6464" name="Column6464" queryTableFieldId="6464"/>
    <tableColumn id="6465" xr3:uid="{58073183-8986-41E8-B76D-E00118D4201C}" uniqueName="6465" name="Column6465" queryTableFieldId="6465"/>
    <tableColumn id="6466" xr3:uid="{D85C530D-6010-40C4-8E59-7E2C77B4DF77}" uniqueName="6466" name="Column6466" queryTableFieldId="6466"/>
    <tableColumn id="6467" xr3:uid="{CE674B1C-EAFA-462E-B345-324170C8585A}" uniqueName="6467" name="Column6467" queryTableFieldId="6467"/>
    <tableColumn id="6468" xr3:uid="{76A0FE54-470A-434D-9708-4F9A35FB5A9E}" uniqueName="6468" name="Column6468" queryTableFieldId="6468"/>
    <tableColumn id="6469" xr3:uid="{EB303A59-7B75-4B19-A43D-85CA514FCCE6}" uniqueName="6469" name="Column6469" queryTableFieldId="6469"/>
    <tableColumn id="6470" xr3:uid="{ADA06952-C4C7-4429-9E0E-A8FB51D0F488}" uniqueName="6470" name="Column6470" queryTableFieldId="6470"/>
    <tableColumn id="6471" xr3:uid="{378E60C9-128F-4677-9CF7-C0C85C4A25E2}" uniqueName="6471" name="Column6471" queryTableFieldId="6471"/>
    <tableColumn id="6472" xr3:uid="{870F17A1-34E5-455D-8C07-2DDE325809EE}" uniqueName="6472" name="Column6472" queryTableFieldId="6472"/>
    <tableColumn id="6473" xr3:uid="{5E55DA45-565E-45E5-B8D1-9D076A7510A5}" uniqueName="6473" name="Column6473" queryTableFieldId="6473"/>
    <tableColumn id="6474" xr3:uid="{771859E3-CAAB-4F98-AB49-CD5654C17E19}" uniqueName="6474" name="Column6474" queryTableFieldId="6474"/>
    <tableColumn id="6475" xr3:uid="{1D2F7726-3473-4786-8B88-030FEA5AE701}" uniqueName="6475" name="Column6475" queryTableFieldId="6475"/>
    <tableColumn id="6476" xr3:uid="{15229A8F-FC2D-4511-95E9-D93BE6F60C40}" uniqueName="6476" name="Column6476" queryTableFieldId="6476"/>
    <tableColumn id="6477" xr3:uid="{7B8209DE-A7BE-4D8B-8FC0-6798A37C37BC}" uniqueName="6477" name="Column6477" queryTableFieldId="6477"/>
    <tableColumn id="6478" xr3:uid="{D1A89506-6431-40D7-AD53-DB16A5A30DB2}" uniqueName="6478" name="Column6478" queryTableFieldId="6478"/>
    <tableColumn id="6479" xr3:uid="{6D767A0B-DC36-439D-BA23-CDCAA0D554A8}" uniqueName="6479" name="Column6479" queryTableFieldId="6479"/>
    <tableColumn id="6480" xr3:uid="{AEB2AFEE-3D99-4E34-B624-CD53BC77B6A3}" uniqueName="6480" name="Column6480" queryTableFieldId="6480"/>
    <tableColumn id="6481" xr3:uid="{81C272CA-BC65-4990-AF70-5FA8DDD73713}" uniqueName="6481" name="Column6481" queryTableFieldId="6481"/>
    <tableColumn id="6482" xr3:uid="{A3945041-3A0F-4A6D-A2E0-AE3EFA50CC38}" uniqueName="6482" name="Column6482" queryTableFieldId="6482"/>
    <tableColumn id="6483" xr3:uid="{D2D1DFB8-C4D3-46B2-9760-53F832530CEF}" uniqueName="6483" name="Column6483" queryTableFieldId="6483"/>
    <tableColumn id="6484" xr3:uid="{9CB3F30A-6001-4B87-BB17-1F39D13B6A3B}" uniqueName="6484" name="Column6484" queryTableFieldId="6484"/>
    <tableColumn id="6485" xr3:uid="{CE25D6AC-6DBA-46D4-ABFD-101EC17EC6D3}" uniqueName="6485" name="Column6485" queryTableFieldId="6485"/>
    <tableColumn id="6486" xr3:uid="{E7C309AE-F03A-40CD-949F-3EC31FFF540B}" uniqueName="6486" name="Column6486" queryTableFieldId="6486"/>
    <tableColumn id="6487" xr3:uid="{65285249-727F-4E91-AA49-21D3FB36DCB3}" uniqueName="6487" name="Column6487" queryTableFieldId="6487"/>
    <tableColumn id="6488" xr3:uid="{57250024-CC69-4176-BF68-F8D3916578A0}" uniqueName="6488" name="Column6488" queryTableFieldId="6488"/>
    <tableColumn id="6489" xr3:uid="{49F5CC8D-3FCF-4801-9D19-D68E888E58F7}" uniqueName="6489" name="Column6489" queryTableFieldId="6489"/>
    <tableColumn id="6490" xr3:uid="{5F556787-5B4F-4461-B643-13DDBF0804C3}" uniqueName="6490" name="Column6490" queryTableFieldId="6490"/>
    <tableColumn id="6491" xr3:uid="{DEF04DDA-C6BD-4230-9386-62DD650E10D7}" uniqueName="6491" name="Column6491" queryTableFieldId="6491"/>
    <tableColumn id="6492" xr3:uid="{54B67B23-7323-4816-8807-71CDC66304DB}" uniqueName="6492" name="Column6492" queryTableFieldId="6492"/>
    <tableColumn id="6493" xr3:uid="{57FB47ED-6CB3-4F9E-8D91-B4FEA3969D4C}" uniqueName="6493" name="Column6493" queryTableFieldId="6493"/>
    <tableColumn id="6494" xr3:uid="{5EBD5F71-3607-4541-8CB6-498CCCBB8605}" uniqueName="6494" name="Column6494" queryTableFieldId="6494"/>
    <tableColumn id="6495" xr3:uid="{63761CBC-E357-4906-A84C-29AA0FD7797C}" uniqueName="6495" name="Column6495" queryTableFieldId="6495"/>
    <tableColumn id="6496" xr3:uid="{98726F17-17A8-42F2-9BC5-2AF7DB270BEC}" uniqueName="6496" name="Column6496" queryTableFieldId="6496"/>
    <tableColumn id="6497" xr3:uid="{FE905250-85A9-4172-9083-206F351F61BA}" uniqueName="6497" name="Column6497" queryTableFieldId="6497"/>
    <tableColumn id="6498" xr3:uid="{BEE44F35-2F34-4580-86FA-5ABF6D5179BA}" uniqueName="6498" name="Column6498" queryTableFieldId="6498"/>
    <tableColumn id="6499" xr3:uid="{88668817-F02A-45D3-BAEC-F35711F7E4E8}" uniqueName="6499" name="Column6499" queryTableFieldId="6499"/>
    <tableColumn id="6500" xr3:uid="{FA91A2C6-2782-4EBC-ABFB-325F317FF9F0}" uniqueName="6500" name="Column6500" queryTableFieldId="6500"/>
    <tableColumn id="6501" xr3:uid="{5F516AF1-36BD-4AC9-AF5A-1159B8A3B5FB}" uniqueName="6501" name="Column6501" queryTableFieldId="6501"/>
    <tableColumn id="6502" xr3:uid="{60F8002C-85AB-46D2-8D3D-F1757253168C}" uniqueName="6502" name="Column6502" queryTableFieldId="6502"/>
    <tableColumn id="6503" xr3:uid="{F06F368D-72D8-4163-862F-F51565BA8860}" uniqueName="6503" name="Column6503" queryTableFieldId="6503"/>
    <tableColumn id="6504" xr3:uid="{31281BC0-4049-471A-A718-3B34DDB5A88E}" uniqueName="6504" name="Column6504" queryTableFieldId="6504"/>
    <tableColumn id="6505" xr3:uid="{8E5E9E2D-20BF-4DA2-BE4C-795CF1EA267D}" uniqueName="6505" name="Column6505" queryTableFieldId="6505"/>
    <tableColumn id="6506" xr3:uid="{D0F1A7A9-F9D4-455F-97A9-42523D2A5D59}" uniqueName="6506" name="Column6506" queryTableFieldId="6506"/>
    <tableColumn id="6507" xr3:uid="{5C4CBF25-6C19-4287-872C-FF062CD066CA}" uniqueName="6507" name="Column6507" queryTableFieldId="6507"/>
    <tableColumn id="6508" xr3:uid="{EB8C8E35-B03D-4970-89AA-8C597FD43A5A}" uniqueName="6508" name="Column6508" queryTableFieldId="6508"/>
    <tableColumn id="6509" xr3:uid="{33D8C110-10AB-492E-A76F-371A561C5C52}" uniqueName="6509" name="Column6509" queryTableFieldId="6509"/>
    <tableColumn id="6510" xr3:uid="{8AF1EFCC-FCE1-4BBB-BFC0-9A94B5ED5B5D}" uniqueName="6510" name="Column6510" queryTableFieldId="6510"/>
    <tableColumn id="6511" xr3:uid="{F8EDB18C-3B74-462A-80D3-24C3D758CB0C}" uniqueName="6511" name="Column6511" queryTableFieldId="6511"/>
    <tableColumn id="6512" xr3:uid="{A8D7388C-E604-46BE-BEDC-D2435E4AA36D}" uniqueName="6512" name="Column6512" queryTableFieldId="6512"/>
    <tableColumn id="6513" xr3:uid="{CB114A89-26CC-4495-8120-18724F00C8F2}" uniqueName="6513" name="Column6513" queryTableFieldId="6513"/>
    <tableColumn id="6514" xr3:uid="{6EBF9274-4591-41BD-9E9A-EE9317B518F8}" uniqueName="6514" name="Column6514" queryTableFieldId="6514"/>
    <tableColumn id="6515" xr3:uid="{C3B4B074-6E55-4E82-8C0A-FBA4E2C6E441}" uniqueName="6515" name="Column6515" queryTableFieldId="6515"/>
    <tableColumn id="6516" xr3:uid="{7C293082-962F-441C-80E3-737B89DD3848}" uniqueName="6516" name="Column6516" queryTableFieldId="6516"/>
    <tableColumn id="6517" xr3:uid="{F0203BA5-6EED-4E3A-AF5C-5B82372BB3FE}" uniqueName="6517" name="Column6517" queryTableFieldId="6517"/>
    <tableColumn id="6518" xr3:uid="{FC94C8B4-125C-4D5E-8E42-10EA88FF7C4B}" uniqueName="6518" name="Column6518" queryTableFieldId="6518"/>
    <tableColumn id="6519" xr3:uid="{B4BAA74F-5076-49CD-ADAC-3D6D2C300ADB}" uniqueName="6519" name="Column6519" queryTableFieldId="6519"/>
    <tableColumn id="6520" xr3:uid="{8F4B253B-664F-4B73-A19B-24994DD14148}" uniqueName="6520" name="Column6520" queryTableFieldId="6520"/>
    <tableColumn id="6521" xr3:uid="{B2A690D5-7763-408B-B928-264E55120E5C}" uniqueName="6521" name="Column6521" queryTableFieldId="6521"/>
    <tableColumn id="6522" xr3:uid="{6953B237-F130-4DAC-A089-2B7B9F2E8F3A}" uniqueName="6522" name="Column6522" queryTableFieldId="6522"/>
    <tableColumn id="6523" xr3:uid="{A2B91E3B-6A0D-43B2-83D6-1A44B99F1EAB}" uniqueName="6523" name="Column6523" queryTableFieldId="6523"/>
    <tableColumn id="6524" xr3:uid="{C297EB2C-05ED-40A5-8C85-925BA1712F96}" uniqueName="6524" name="Column6524" queryTableFieldId="6524"/>
    <tableColumn id="6525" xr3:uid="{EE6EA269-D449-4DC7-935F-2085E60B477E}" uniqueName="6525" name="Column6525" queryTableFieldId="6525"/>
    <tableColumn id="6526" xr3:uid="{CC9A57AF-4822-4C70-9762-400CB30B6429}" uniqueName="6526" name="Column6526" queryTableFieldId="6526"/>
    <tableColumn id="6527" xr3:uid="{CF0CEB62-7341-47A7-A6F9-8E549BF63182}" uniqueName="6527" name="Column6527" queryTableFieldId="6527"/>
    <tableColumn id="6528" xr3:uid="{EB52B3BA-3C8B-4581-9F39-786AF3C0D286}" uniqueName="6528" name="Column6528" queryTableFieldId="6528"/>
    <tableColumn id="6529" xr3:uid="{F23AA083-E377-4D85-99BE-A8295C0E7969}" uniqueName="6529" name="Column6529" queryTableFieldId="6529"/>
    <tableColumn id="6530" xr3:uid="{EAFE7E22-1654-4AF3-9E19-FA7672A0BF14}" uniqueName="6530" name="Column6530" queryTableFieldId="6530"/>
    <tableColumn id="6531" xr3:uid="{0B3ABCDD-6046-4B44-B478-B46C5EA5F677}" uniqueName="6531" name="Column6531" queryTableFieldId="6531"/>
    <tableColumn id="6532" xr3:uid="{2E67AA1B-3645-4AA4-8E7B-588770DE2396}" uniqueName="6532" name="Column6532" queryTableFieldId="6532"/>
    <tableColumn id="6533" xr3:uid="{A12D58EC-5B67-4F9D-A0C7-49C39C79FEF4}" uniqueName="6533" name="Column6533" queryTableFieldId="6533"/>
    <tableColumn id="6534" xr3:uid="{14FAD606-A20B-4DBA-BDF5-5A2AFBE04FED}" uniqueName="6534" name="Column6534" queryTableFieldId="6534"/>
    <tableColumn id="6535" xr3:uid="{4D2DCA47-D2F5-4365-B07D-96332194F3DD}" uniqueName="6535" name="Column6535" queryTableFieldId="6535"/>
    <tableColumn id="6536" xr3:uid="{31E58941-98CE-4480-8E78-5E234977D246}" uniqueName="6536" name="Column6536" queryTableFieldId="6536"/>
    <tableColumn id="6537" xr3:uid="{12919B30-D8F4-411E-8356-A958898FEDB9}" uniqueName="6537" name="Column6537" queryTableFieldId="6537"/>
    <tableColumn id="6538" xr3:uid="{7143EEBD-BCF7-4098-AF2C-4A2693A27B11}" uniqueName="6538" name="Column6538" queryTableFieldId="6538"/>
    <tableColumn id="6539" xr3:uid="{3C3469B3-8AA6-4377-9DA7-E005947C8406}" uniqueName="6539" name="Column6539" queryTableFieldId="6539"/>
    <tableColumn id="6540" xr3:uid="{80459369-50D8-470F-8BD4-0DA9B9547C32}" uniqueName="6540" name="Column6540" queryTableFieldId="6540"/>
    <tableColumn id="6541" xr3:uid="{868D9654-98CC-4851-9599-C6B72A28C42D}" uniqueName="6541" name="Column6541" queryTableFieldId="6541"/>
    <tableColumn id="6542" xr3:uid="{A02A88FB-47A3-4027-980E-604AE11517FC}" uniqueName="6542" name="Column6542" queryTableFieldId="6542"/>
    <tableColumn id="6543" xr3:uid="{0A0F94B1-7952-4998-B099-8436426402EE}" uniqueName="6543" name="Column6543" queryTableFieldId="6543"/>
    <tableColumn id="6544" xr3:uid="{E998E4C0-3CCE-4559-9F6D-3B96A3C6936A}" uniqueName="6544" name="Column6544" queryTableFieldId="6544"/>
    <tableColumn id="6545" xr3:uid="{842AFEB2-4014-42E1-9135-68FF17A1CF62}" uniqueName="6545" name="Column6545" queryTableFieldId="6545"/>
    <tableColumn id="6546" xr3:uid="{F61EE1EC-36EA-4905-8EB0-15FB2BDC0D8E}" uniqueName="6546" name="Column6546" queryTableFieldId="6546"/>
    <tableColumn id="6547" xr3:uid="{8D4D21D6-490F-46EB-ACD4-4AD843FFC700}" uniqueName="6547" name="Column6547" queryTableFieldId="6547"/>
    <tableColumn id="6548" xr3:uid="{8550511A-D7DA-4162-975A-2BB2B3F255B3}" uniqueName="6548" name="Column6548" queryTableFieldId="6548"/>
    <tableColumn id="6549" xr3:uid="{2D6F4559-E65D-4387-A763-DBCF8F7A5358}" uniqueName="6549" name="Column6549" queryTableFieldId="6549"/>
    <tableColumn id="6550" xr3:uid="{053C66C2-8ACF-41F9-B054-B85541520C4F}" uniqueName="6550" name="Column6550" queryTableFieldId="6550"/>
    <tableColumn id="6551" xr3:uid="{4D90ABD4-4C19-45ED-9F1F-965324EFD705}" uniqueName="6551" name="Column6551" queryTableFieldId="6551"/>
    <tableColumn id="6552" xr3:uid="{4434D0CB-9849-4FAE-93DB-D18EB32B99B1}" uniqueName="6552" name="Column6552" queryTableFieldId="6552"/>
    <tableColumn id="6553" xr3:uid="{42947DF5-382B-429F-A2EA-C0A23931B3D9}" uniqueName="6553" name="Column6553" queryTableFieldId="6553"/>
    <tableColumn id="6554" xr3:uid="{15E938ED-7908-482D-BCBD-36CE885A2E82}" uniqueName="6554" name="Column6554" queryTableFieldId="6554"/>
    <tableColumn id="6555" xr3:uid="{78938A40-2AC0-4C68-B5E8-D483990BE644}" uniqueName="6555" name="Column6555" queryTableFieldId="6555"/>
    <tableColumn id="6556" xr3:uid="{95F34AF5-C33D-4E90-83E1-18AE73AF22F9}" uniqueName="6556" name="Column6556" queryTableFieldId="6556"/>
    <tableColumn id="6557" xr3:uid="{86BCCE3A-CDA1-41F2-9D39-9F39EE052EB7}" uniqueName="6557" name="Column6557" queryTableFieldId="6557"/>
    <tableColumn id="6558" xr3:uid="{0DFEC043-0A9B-4242-86F9-1DC70306D887}" uniqueName="6558" name="Column6558" queryTableFieldId="6558"/>
    <tableColumn id="6559" xr3:uid="{98FFDEE0-B839-4858-AB36-A774D84C775A}" uniqueName="6559" name="Column6559" queryTableFieldId="6559"/>
    <tableColumn id="6560" xr3:uid="{96BF52D2-F1DA-4C03-8DAA-5D15C22FFFCD}" uniqueName="6560" name="Column6560" queryTableFieldId="6560"/>
    <tableColumn id="6561" xr3:uid="{F008B390-ECE4-4845-8CCF-DF5017816086}" uniqueName="6561" name="Column6561" queryTableFieldId="6561"/>
    <tableColumn id="6562" xr3:uid="{9D5E4DA2-FBA4-47F1-8C36-72CA6FBDB778}" uniqueName="6562" name="Column6562" queryTableFieldId="6562"/>
    <tableColumn id="6563" xr3:uid="{EF2F51DF-4F80-445C-B985-A91D3808CB0F}" uniqueName="6563" name="Column6563" queryTableFieldId="6563"/>
    <tableColumn id="6564" xr3:uid="{9101FFD2-684A-4CED-9364-6813757F25E1}" uniqueName="6564" name="Column6564" queryTableFieldId="6564"/>
    <tableColumn id="6565" xr3:uid="{8F7E9345-F88C-421A-89A8-79A3CD01944D}" uniqueName="6565" name="Column6565" queryTableFieldId="6565"/>
    <tableColumn id="6566" xr3:uid="{9EA96042-FA63-41E5-BD2C-AFEDD76B9EBA}" uniqueName="6566" name="Column6566" queryTableFieldId="6566"/>
    <tableColumn id="6567" xr3:uid="{AAB63F30-3D79-4D7F-8EE7-C722C57510B2}" uniqueName="6567" name="Column6567" queryTableFieldId="6567"/>
    <tableColumn id="6568" xr3:uid="{38CED9E0-570A-4BD0-A95C-63E56792B52F}" uniqueName="6568" name="Column6568" queryTableFieldId="6568"/>
    <tableColumn id="6569" xr3:uid="{CEF74405-9FF3-4207-A1BD-26BD677763A6}" uniqueName="6569" name="Column6569" queryTableFieldId="6569"/>
    <tableColumn id="6570" xr3:uid="{B132D8CE-DB11-49B7-A484-D5EA9BF6E33E}" uniqueName="6570" name="Column6570" queryTableFieldId="6570"/>
    <tableColumn id="6571" xr3:uid="{68AB9171-4A09-4618-BB9C-D70CD3C27A2F}" uniqueName="6571" name="Column6571" queryTableFieldId="6571"/>
    <tableColumn id="6572" xr3:uid="{C44BF7DF-53FB-4229-A74D-40D0A27FF467}" uniqueName="6572" name="Column6572" queryTableFieldId="6572"/>
    <tableColumn id="6573" xr3:uid="{EB15C184-7410-4CA2-A43B-2998E0678B69}" uniqueName="6573" name="Column6573" queryTableFieldId="6573"/>
    <tableColumn id="6574" xr3:uid="{A03E7818-2668-4B9E-A182-A6CA13C4F184}" uniqueName="6574" name="Column6574" queryTableFieldId="6574"/>
    <tableColumn id="6575" xr3:uid="{CD1A069E-53A7-4B9D-BB71-926B30AE2E2D}" uniqueName="6575" name="Column6575" queryTableFieldId="6575"/>
    <tableColumn id="6576" xr3:uid="{2E3878C7-9EEF-4B60-B031-E8531E86CBC1}" uniqueName="6576" name="Column6576" queryTableFieldId="6576"/>
    <tableColumn id="6577" xr3:uid="{0302DF36-66EF-4AFF-9E41-6104AAE09248}" uniqueName="6577" name="Column6577" queryTableFieldId="6577"/>
    <tableColumn id="6578" xr3:uid="{C191296D-EE12-41E0-B36B-EA68ECB31B88}" uniqueName="6578" name="Column6578" queryTableFieldId="6578"/>
    <tableColumn id="6579" xr3:uid="{38DE97A0-02AF-429F-BF82-C90B1A601F3E}" uniqueName="6579" name="Column6579" queryTableFieldId="6579"/>
    <tableColumn id="6580" xr3:uid="{F777EC39-816F-4CA3-B6D3-844BC0C15B27}" uniqueName="6580" name="Column6580" queryTableFieldId="6580"/>
    <tableColumn id="6581" xr3:uid="{785385A5-5F56-4324-BE30-B13937A97F5C}" uniqueName="6581" name="Column6581" queryTableFieldId="6581"/>
    <tableColumn id="6582" xr3:uid="{607A3399-8E4F-4646-9A46-63C2C37E124C}" uniqueName="6582" name="Column6582" queryTableFieldId="6582"/>
    <tableColumn id="6583" xr3:uid="{7ED06D40-1387-41AB-BD45-A4AE89D06192}" uniqueName="6583" name="Column6583" queryTableFieldId="6583"/>
    <tableColumn id="6584" xr3:uid="{C26A1431-3753-4EA0-9725-E963CA95C626}" uniqueName="6584" name="Column6584" queryTableFieldId="6584"/>
    <tableColumn id="6585" xr3:uid="{FA083FA3-8C4A-4D81-9BEB-ADDEC5E5A0D1}" uniqueName="6585" name="Column6585" queryTableFieldId="6585"/>
    <tableColumn id="6586" xr3:uid="{BC17B437-67F5-48BA-84ED-A6DD0D33B20D}" uniqueName="6586" name="Column6586" queryTableFieldId="6586"/>
    <tableColumn id="6587" xr3:uid="{224513D6-FB30-42D7-97C3-B8E274BDEFC6}" uniqueName="6587" name="Column6587" queryTableFieldId="6587"/>
    <tableColumn id="6588" xr3:uid="{9EC2D0B5-D6B2-45B2-9330-72978FEB952D}" uniqueName="6588" name="Column6588" queryTableFieldId="6588"/>
    <tableColumn id="6589" xr3:uid="{5AE311E6-5ED2-4989-89A3-913140A74E21}" uniqueName="6589" name="Column6589" queryTableFieldId="6589"/>
    <tableColumn id="6590" xr3:uid="{E05151CB-630D-4B23-95C4-E259C0642D23}" uniqueName="6590" name="Column6590" queryTableFieldId="6590"/>
    <tableColumn id="6591" xr3:uid="{3DFB56AA-0964-4ADD-9102-93E2346B7B3F}" uniqueName="6591" name="Column6591" queryTableFieldId="6591"/>
    <tableColumn id="6592" xr3:uid="{F243FDA7-71FF-43B0-8C52-0C6295A57E6F}" uniqueName="6592" name="Column6592" queryTableFieldId="6592"/>
    <tableColumn id="6593" xr3:uid="{3A55AF81-7F76-437F-BF25-83A7F73F985A}" uniqueName="6593" name="Column6593" queryTableFieldId="6593"/>
    <tableColumn id="6594" xr3:uid="{1B72E307-4BE3-449E-B5FA-2809304CCAD0}" uniqueName="6594" name="Column6594" queryTableFieldId="6594"/>
    <tableColumn id="6595" xr3:uid="{A208F8F1-A711-4804-99CD-721A274D4FB3}" uniqueName="6595" name="Column6595" queryTableFieldId="6595"/>
    <tableColumn id="6596" xr3:uid="{30E050C3-14FB-44BB-87D0-D5A51B5E7517}" uniqueName="6596" name="Column6596" queryTableFieldId="6596"/>
    <tableColumn id="6597" xr3:uid="{8AC103E6-AA31-406B-B9E9-6AFF7506F6E7}" uniqueName="6597" name="Column6597" queryTableFieldId="6597"/>
    <tableColumn id="6598" xr3:uid="{57BBF3A1-8CF0-4A49-90E0-E53D3CAD0D24}" uniqueName="6598" name="Column6598" queryTableFieldId="6598"/>
    <tableColumn id="6599" xr3:uid="{6D1F355A-A952-4DD1-A305-258F236BEE39}" uniqueName="6599" name="Column6599" queryTableFieldId="6599"/>
    <tableColumn id="6600" xr3:uid="{7ECF2B0C-51A7-4BCC-8AB9-452C0EDE80CC}" uniqueName="6600" name="Column6600" queryTableFieldId="6600"/>
    <tableColumn id="6601" xr3:uid="{FF931651-9BAD-4332-A105-78E275F86B1E}" uniqueName="6601" name="Column6601" queryTableFieldId="6601"/>
    <tableColumn id="6602" xr3:uid="{6AF1939D-9745-4DE4-BF43-F4B7BC7E8206}" uniqueName="6602" name="Column6602" queryTableFieldId="6602"/>
    <tableColumn id="6603" xr3:uid="{5F6F7537-1824-451C-BB8B-73C5C818EC8E}" uniqueName="6603" name="Column6603" queryTableFieldId="6603"/>
    <tableColumn id="6604" xr3:uid="{6A44F128-2480-42F1-BB46-B29800417272}" uniqueName="6604" name="Column6604" queryTableFieldId="6604"/>
    <tableColumn id="6605" xr3:uid="{27664BDA-4B82-4773-8E7A-690E78E17883}" uniqueName="6605" name="Column6605" queryTableFieldId="6605"/>
    <tableColumn id="6606" xr3:uid="{85EB0EF4-7204-417B-AF4C-6C16563BF65B}" uniqueName="6606" name="Column6606" queryTableFieldId="6606"/>
    <tableColumn id="6607" xr3:uid="{03060E0B-7734-48FC-99EE-D9DEE8A13A78}" uniqueName="6607" name="Column6607" queryTableFieldId="6607"/>
    <tableColumn id="6608" xr3:uid="{92C4BB95-ABEB-4A11-9633-61BF0701D5EE}" uniqueName="6608" name="Column6608" queryTableFieldId="6608"/>
    <tableColumn id="6609" xr3:uid="{E066295F-68AC-4E00-853F-FC0FEDA51248}" uniqueName="6609" name="Column6609" queryTableFieldId="6609"/>
    <tableColumn id="6610" xr3:uid="{BF33A7E9-84F5-4B4E-B652-C3BD1177E645}" uniqueName="6610" name="Column6610" queryTableFieldId="6610"/>
    <tableColumn id="6611" xr3:uid="{1FB18C93-78EC-4E35-BD62-BFED460BA6B1}" uniqueName="6611" name="Column6611" queryTableFieldId="6611"/>
    <tableColumn id="6612" xr3:uid="{313672E1-E428-45BC-B8D5-52B96ADB1DF5}" uniqueName="6612" name="Column6612" queryTableFieldId="6612"/>
    <tableColumn id="6613" xr3:uid="{607C0B2E-D68A-4673-AEE3-0F7C93A01901}" uniqueName="6613" name="Column6613" queryTableFieldId="6613"/>
    <tableColumn id="6614" xr3:uid="{EA6F0D61-87C8-4C0F-B47F-6E1C7AD47A09}" uniqueName="6614" name="Column6614" queryTableFieldId="6614"/>
    <tableColumn id="6615" xr3:uid="{0095FCFA-8489-4839-A92A-8DB1C557B75E}" uniqueName="6615" name="Column6615" queryTableFieldId="6615"/>
    <tableColumn id="6616" xr3:uid="{27FB1ED8-6B03-4CE8-BB7B-7BAAFBF2E0A1}" uniqueName="6616" name="Column6616" queryTableFieldId="6616"/>
    <tableColumn id="6617" xr3:uid="{6A2D1306-34C5-463D-877A-61C0C1818AA9}" uniqueName="6617" name="Column6617" queryTableFieldId="6617"/>
    <tableColumn id="6618" xr3:uid="{EF2C1B27-495C-4F22-976F-8A2C84D37BCE}" uniqueName="6618" name="Column6618" queryTableFieldId="6618"/>
    <tableColumn id="6619" xr3:uid="{F2F8513D-CF0D-4864-92D4-0BDB21260621}" uniqueName="6619" name="Column6619" queryTableFieldId="6619"/>
    <tableColumn id="6620" xr3:uid="{18C20514-AFFA-47C2-AD7C-C4FA61825146}" uniqueName="6620" name="Column6620" queryTableFieldId="6620"/>
    <tableColumn id="6621" xr3:uid="{CC602257-B910-4223-B7DC-8E3817844603}" uniqueName="6621" name="Column6621" queryTableFieldId="6621"/>
    <tableColumn id="6622" xr3:uid="{C95B0AA5-ECE9-402C-B686-C00E50EF15EC}" uniqueName="6622" name="Column6622" queryTableFieldId="6622"/>
    <tableColumn id="6623" xr3:uid="{B1DF1E21-9270-4BF6-B106-B8C324020067}" uniqueName="6623" name="Column6623" queryTableFieldId="6623"/>
    <tableColumn id="6624" xr3:uid="{0D835297-7B18-4A5C-B441-C4A3ADE52224}" uniqueName="6624" name="Column6624" queryTableFieldId="6624"/>
    <tableColumn id="6625" xr3:uid="{8590CA25-2C16-42D9-8A78-1527CE29073B}" uniqueName="6625" name="Column6625" queryTableFieldId="6625"/>
    <tableColumn id="6626" xr3:uid="{36C62A72-15F9-40E0-9545-CD6E9A90134B}" uniqueName="6626" name="Column6626" queryTableFieldId="6626"/>
    <tableColumn id="6627" xr3:uid="{3FD8A743-14FC-4A47-8947-F9B1B6B6EAE7}" uniqueName="6627" name="Column6627" queryTableFieldId="6627"/>
    <tableColumn id="6628" xr3:uid="{289685A1-66A2-4B98-B466-C994A912CB17}" uniqueName="6628" name="Column6628" queryTableFieldId="6628"/>
    <tableColumn id="6629" xr3:uid="{B496A058-EE95-456C-9B62-55464A898ABD}" uniqueName="6629" name="Column6629" queryTableFieldId="6629"/>
    <tableColumn id="6630" xr3:uid="{49687A36-68A7-4DA9-AC6B-5BA4CA1576AF}" uniqueName="6630" name="Column6630" queryTableFieldId="6630"/>
    <tableColumn id="6631" xr3:uid="{598B2968-9C9D-4709-B55E-CFDF0B98C2C1}" uniqueName="6631" name="Column6631" queryTableFieldId="6631"/>
    <tableColumn id="6632" xr3:uid="{40D00010-99A6-4047-9017-54AEA6DBFBB5}" uniqueName="6632" name="Column6632" queryTableFieldId="6632"/>
    <tableColumn id="6633" xr3:uid="{F97CE037-4A4E-44F7-A92E-DD4BD91B1CB9}" uniqueName="6633" name="Column6633" queryTableFieldId="6633"/>
    <tableColumn id="6634" xr3:uid="{4F699DD0-9D74-4A6B-9607-2208CE19829C}" uniqueName="6634" name="Column6634" queryTableFieldId="6634"/>
    <tableColumn id="6635" xr3:uid="{1DC4B177-2E4C-477B-878A-6FEE6F6ACBBB}" uniqueName="6635" name="Column6635" queryTableFieldId="6635"/>
    <tableColumn id="6636" xr3:uid="{A0072DBA-A326-4B59-B796-4907593C915D}" uniqueName="6636" name="Column6636" queryTableFieldId="6636"/>
    <tableColumn id="6637" xr3:uid="{5CDB55AB-3533-425F-B415-D3D1A027D8EF}" uniqueName="6637" name="Column6637" queryTableFieldId="6637"/>
    <tableColumn id="6638" xr3:uid="{83803F1F-4DDB-4073-8E49-B8B5E68A6E2B}" uniqueName="6638" name="Column6638" queryTableFieldId="6638"/>
    <tableColumn id="6639" xr3:uid="{581B4E6C-ACCC-4A50-8144-3FA04C3DDA5E}" uniqueName="6639" name="Column6639" queryTableFieldId="6639"/>
    <tableColumn id="6640" xr3:uid="{534C77D2-7D41-43F5-A8AD-11F539682135}" uniqueName="6640" name="Column6640" queryTableFieldId="6640"/>
    <tableColumn id="6641" xr3:uid="{CC0D68E5-A8CC-4418-844C-3EDD2624688C}" uniqueName="6641" name="Column6641" queryTableFieldId="6641"/>
    <tableColumn id="6642" xr3:uid="{DD08C696-A70D-4489-8E00-A29BD52D2462}" uniqueName="6642" name="Column6642" queryTableFieldId="6642"/>
    <tableColumn id="6643" xr3:uid="{5D1BCE9C-BAA0-489B-A38A-53BC171374DB}" uniqueName="6643" name="Column6643" queryTableFieldId="6643"/>
    <tableColumn id="6644" xr3:uid="{C6E6557E-16CC-47B5-BEC9-DF5DFD514CDD}" uniqueName="6644" name="Column6644" queryTableFieldId="6644"/>
    <tableColumn id="6645" xr3:uid="{C18A923A-7A0D-4C10-8415-85D95F7DFABA}" uniqueName="6645" name="Column6645" queryTableFieldId="6645"/>
    <tableColumn id="6646" xr3:uid="{14FF10AB-8611-49F0-B789-4AC3C1D49AD2}" uniqueName="6646" name="Column6646" queryTableFieldId="6646"/>
    <tableColumn id="6647" xr3:uid="{631388A2-B723-45D2-A43E-0EB4102E9770}" uniqueName="6647" name="Column6647" queryTableFieldId="6647"/>
    <tableColumn id="6648" xr3:uid="{25721F76-66DB-4A4B-92FA-3A094396AA9A}" uniqueName="6648" name="Column6648" queryTableFieldId="6648"/>
    <tableColumn id="6649" xr3:uid="{F4D76EC9-ED75-4A1F-8526-93F3956792FF}" uniqueName="6649" name="Column6649" queryTableFieldId="6649"/>
    <tableColumn id="6650" xr3:uid="{0A44CA75-F870-47EE-9A47-F1F4D882B9E1}" uniqueName="6650" name="Column6650" queryTableFieldId="6650"/>
    <tableColumn id="6651" xr3:uid="{4BF675C6-C013-4E14-8E30-32E85A985942}" uniqueName="6651" name="Column6651" queryTableFieldId="6651"/>
    <tableColumn id="6652" xr3:uid="{8549AFFD-9038-4B1B-8F52-788C00125A9E}" uniqueName="6652" name="Column6652" queryTableFieldId="6652"/>
    <tableColumn id="6653" xr3:uid="{90D8FDDD-F468-4D13-99E3-96003D90990E}" uniqueName="6653" name="Column6653" queryTableFieldId="6653"/>
    <tableColumn id="6654" xr3:uid="{6B08DCC5-B12D-4A45-BE01-DD1FBF2DBED3}" uniqueName="6654" name="Column6654" queryTableFieldId="6654"/>
    <tableColumn id="6655" xr3:uid="{950B5FF7-95A3-4F64-9F2B-B1121B439FCB}" uniqueName="6655" name="Column6655" queryTableFieldId="6655"/>
    <tableColumn id="6656" xr3:uid="{E8ACAB11-5BBF-49A8-B1A9-3B9F56F9336B}" uniqueName="6656" name="Column6656" queryTableFieldId="6656"/>
    <tableColumn id="6657" xr3:uid="{1F4AFEF6-8A8B-47B2-8D31-9D5805C30F4A}" uniqueName="6657" name="Column6657" queryTableFieldId="6657"/>
    <tableColumn id="6658" xr3:uid="{D37540BB-5A7C-40CE-9308-4704A8416A52}" uniqueName="6658" name="Column6658" queryTableFieldId="6658"/>
    <tableColumn id="6659" xr3:uid="{006279F6-AED4-4984-B17D-42F316AD6EA9}" uniqueName="6659" name="Column6659" queryTableFieldId="6659"/>
    <tableColumn id="6660" xr3:uid="{C4B48BFB-A725-4AE0-9B1E-21950F138D50}" uniqueName="6660" name="Column6660" queryTableFieldId="6660"/>
    <tableColumn id="6661" xr3:uid="{365632BE-5D97-419B-8C75-A5FB9611731C}" uniqueName="6661" name="Column6661" queryTableFieldId="6661"/>
    <tableColumn id="6662" xr3:uid="{5744B566-B29C-400B-AD1B-9D712C9BEF8B}" uniqueName="6662" name="Column6662" queryTableFieldId="6662"/>
    <tableColumn id="6663" xr3:uid="{02C62193-13F9-4FBD-98FA-E884B6EF2416}" uniqueName="6663" name="Column6663" queryTableFieldId="6663"/>
    <tableColumn id="6664" xr3:uid="{42A5B367-AFF8-4DDA-B910-075597A20834}" uniqueName="6664" name="Column6664" queryTableFieldId="6664"/>
    <tableColumn id="6665" xr3:uid="{5F3F9C9B-2D7B-4232-8A0E-AAE1CB44C6A6}" uniqueName="6665" name="Column6665" queryTableFieldId="6665"/>
    <tableColumn id="6666" xr3:uid="{E62CEEFA-7CC5-4CF6-AEBB-89047D6D6F92}" uniqueName="6666" name="Column6666" queryTableFieldId="6666"/>
    <tableColumn id="6667" xr3:uid="{EAA60523-1587-45D8-A460-7C33D287F17A}" uniqueName="6667" name="Column6667" queryTableFieldId="6667"/>
    <tableColumn id="6668" xr3:uid="{A5D2C6F2-79F3-4BD6-9B3E-C46D0A9C8062}" uniqueName="6668" name="Column6668" queryTableFieldId="6668"/>
    <tableColumn id="6669" xr3:uid="{398D8DA3-019C-4FAA-8E1E-6D1B54EABCC7}" uniqueName="6669" name="Column6669" queryTableFieldId="6669"/>
    <tableColumn id="6670" xr3:uid="{5BDC471E-F1AB-4CE4-A781-8C13A3C36F1E}" uniqueName="6670" name="Column6670" queryTableFieldId="6670"/>
    <tableColumn id="6671" xr3:uid="{F424CB02-01B8-445D-BF86-548805910084}" uniqueName="6671" name="Column6671" queryTableFieldId="6671"/>
    <tableColumn id="6672" xr3:uid="{029B4127-1AC5-4AB2-9140-AFEECAF426A5}" uniqueName="6672" name="Column6672" queryTableFieldId="6672"/>
    <tableColumn id="6673" xr3:uid="{6683071F-54A2-4CCE-8886-038C4E52ED18}" uniqueName="6673" name="Column6673" queryTableFieldId="6673"/>
    <tableColumn id="6674" xr3:uid="{59DF1C14-440E-4881-B94E-191CEAB92916}" uniqueName="6674" name="Column6674" queryTableFieldId="6674"/>
    <tableColumn id="6675" xr3:uid="{941CE578-52A2-48EE-8EFD-F38E360B80FD}" uniqueName="6675" name="Column6675" queryTableFieldId="6675"/>
    <tableColumn id="6676" xr3:uid="{CDF152AA-5BDF-4BDB-A1B4-40F64D7472F8}" uniqueName="6676" name="Column6676" queryTableFieldId="6676"/>
    <tableColumn id="6677" xr3:uid="{B1F4C847-1B56-43B0-9EA4-CF746C4A2A2E}" uniqueName="6677" name="Column6677" queryTableFieldId="6677"/>
    <tableColumn id="6678" xr3:uid="{B22007B7-1595-4FCE-9B09-9E07969CA0A3}" uniqueName="6678" name="Column6678" queryTableFieldId="6678"/>
    <tableColumn id="6679" xr3:uid="{5B0B4C76-C336-4BB6-A351-12E0AB8C0C4F}" uniqueName="6679" name="Column6679" queryTableFieldId="6679"/>
    <tableColumn id="6680" xr3:uid="{C01C05A3-945E-49D2-BB21-2C19B63BBF30}" uniqueName="6680" name="Column6680" queryTableFieldId="6680"/>
    <tableColumn id="6681" xr3:uid="{E653CAAD-D593-42F1-990C-98258EB8DE90}" uniqueName="6681" name="Column6681" queryTableFieldId="6681"/>
    <tableColumn id="6682" xr3:uid="{681E7753-8B3B-4E84-9CE0-EBA84D4944EB}" uniqueName="6682" name="Column6682" queryTableFieldId="6682"/>
    <tableColumn id="6683" xr3:uid="{C293FCB2-1090-43B4-A090-99679EC3495B}" uniqueName="6683" name="Column6683" queryTableFieldId="6683"/>
    <tableColumn id="6684" xr3:uid="{2678F9B0-756C-44BC-95D8-B70D6F72E617}" uniqueName="6684" name="Column6684" queryTableFieldId="6684"/>
    <tableColumn id="6685" xr3:uid="{DE40274C-453E-4804-B90A-06D312C5E358}" uniqueName="6685" name="Column6685" queryTableFieldId="6685"/>
    <tableColumn id="6686" xr3:uid="{2790AE5C-256E-4D42-8398-D6EE6114364E}" uniqueName="6686" name="Column6686" queryTableFieldId="6686"/>
    <tableColumn id="6687" xr3:uid="{EFF868E3-C8BB-4455-B13D-A4A9E9FBD9F5}" uniqueName="6687" name="Column6687" queryTableFieldId="6687"/>
    <tableColumn id="6688" xr3:uid="{B37BC12C-514C-41E8-A04C-5A343A533110}" uniqueName="6688" name="Column6688" queryTableFieldId="6688"/>
    <tableColumn id="6689" xr3:uid="{A15AB3AA-BE5A-4511-B40A-29060FB3EEC6}" uniqueName="6689" name="Column6689" queryTableFieldId="6689"/>
    <tableColumn id="6690" xr3:uid="{998CD7EB-B957-4951-9FFE-FE15BE4B1889}" uniqueName="6690" name="Column6690" queryTableFieldId="6690"/>
    <tableColumn id="6691" xr3:uid="{C8F32ECF-5157-4468-9AB7-C067EA337F76}" uniqueName="6691" name="Column6691" queryTableFieldId="6691"/>
    <tableColumn id="6692" xr3:uid="{27C906B0-453C-4E8D-9EEF-B69EB4612E62}" uniqueName="6692" name="Column6692" queryTableFieldId="6692"/>
    <tableColumn id="6693" xr3:uid="{B737D4D5-E6F7-4A7D-9737-66314AB54193}" uniqueName="6693" name="Column6693" queryTableFieldId="6693"/>
    <tableColumn id="6694" xr3:uid="{1344ADC1-0FDE-4084-A4FA-4A7967D011BE}" uniqueName="6694" name="Column6694" queryTableFieldId="6694"/>
    <tableColumn id="6695" xr3:uid="{55297E85-F31A-42AC-A6BF-555FA1904E15}" uniqueName="6695" name="Column6695" queryTableFieldId="6695"/>
    <tableColumn id="6696" xr3:uid="{B98FECC1-5F3A-4EEB-B617-B8FD330DA9D7}" uniqueName="6696" name="Column6696" queryTableFieldId="6696"/>
    <tableColumn id="6697" xr3:uid="{DE5204EC-A693-48D4-988C-FDDFD8D0DADA}" uniqueName="6697" name="Column6697" queryTableFieldId="6697"/>
    <tableColumn id="6698" xr3:uid="{8697EE90-4580-4334-90A6-5B086D1518C9}" uniqueName="6698" name="Column6698" queryTableFieldId="6698"/>
    <tableColumn id="6699" xr3:uid="{2147E381-C2A9-4EC7-8D16-A9141D7EEDC1}" uniqueName="6699" name="Column6699" queryTableFieldId="6699"/>
    <tableColumn id="6700" xr3:uid="{4C3F814F-11A9-41AC-B367-CE8056D696FE}" uniqueName="6700" name="Column6700" queryTableFieldId="6700"/>
    <tableColumn id="6701" xr3:uid="{C3944BD2-D8BD-4C6E-BC7A-66C1FCF39E31}" uniqueName="6701" name="Column6701" queryTableFieldId="6701"/>
    <tableColumn id="6702" xr3:uid="{0CE3A731-E3A9-4ABA-98E0-7CDD291AC150}" uniqueName="6702" name="Column6702" queryTableFieldId="6702"/>
    <tableColumn id="6703" xr3:uid="{6E70B51E-3E1F-4C9A-BEBE-D03768085B43}" uniqueName="6703" name="Column6703" queryTableFieldId="6703"/>
    <tableColumn id="6704" xr3:uid="{9D9C9BA2-5715-400E-B09B-57318E59C457}" uniqueName="6704" name="Column6704" queryTableFieldId="6704"/>
    <tableColumn id="6705" xr3:uid="{4A814B4F-EFF9-4905-AF9D-3E63689ABF03}" uniqueName="6705" name="Column6705" queryTableFieldId="6705"/>
    <tableColumn id="6706" xr3:uid="{1B664C55-D222-48E0-99A0-00A1681C3658}" uniqueName="6706" name="Column6706" queryTableFieldId="6706"/>
    <tableColumn id="6707" xr3:uid="{E8235EF3-586E-43BE-A7EF-3341BEED8D6E}" uniqueName="6707" name="Column6707" queryTableFieldId="6707"/>
    <tableColumn id="6708" xr3:uid="{AC4E0F2F-B04C-44AC-B676-112D9B7F6FFF}" uniqueName="6708" name="Column6708" queryTableFieldId="6708"/>
    <tableColumn id="6709" xr3:uid="{400F1F8C-993F-47BB-A258-B53C394CDC9F}" uniqueName="6709" name="Column6709" queryTableFieldId="6709"/>
    <tableColumn id="6710" xr3:uid="{CD1C53AA-CBA9-4EDC-9256-223239C357D8}" uniqueName="6710" name="Column6710" queryTableFieldId="6710"/>
    <tableColumn id="6711" xr3:uid="{456C4D8C-24A1-47B1-BA47-B9CE8F4A7369}" uniqueName="6711" name="Column6711" queryTableFieldId="6711"/>
    <tableColumn id="6712" xr3:uid="{0485AC1A-79D1-4BBB-8725-1811C086A78B}" uniqueName="6712" name="Column6712" queryTableFieldId="6712"/>
    <tableColumn id="6713" xr3:uid="{EA24356F-3A5F-4A8F-8C27-45A196C9F13A}" uniqueName="6713" name="Column6713" queryTableFieldId="6713"/>
    <tableColumn id="6714" xr3:uid="{96B693AD-690E-4845-AD44-663B84D40892}" uniqueName="6714" name="Column6714" queryTableFieldId="6714"/>
    <tableColumn id="6715" xr3:uid="{D1E77B80-4C93-4C37-9E27-6DA6A6DDE7B7}" uniqueName="6715" name="Column6715" queryTableFieldId="6715"/>
    <tableColumn id="6716" xr3:uid="{B7A0DC69-416C-44F2-B175-1E2496F8F3B8}" uniqueName="6716" name="Column6716" queryTableFieldId="6716"/>
    <tableColumn id="6717" xr3:uid="{203D299A-EE51-4CEE-ADB8-07F2A4483579}" uniqueName="6717" name="Column6717" queryTableFieldId="6717"/>
    <tableColumn id="6718" xr3:uid="{F0B25420-D959-4B57-B881-3802BFCED67A}" uniqueName="6718" name="Column6718" queryTableFieldId="6718"/>
    <tableColumn id="6719" xr3:uid="{85218675-2CE2-4CB2-BE85-EB4A300E8094}" uniqueName="6719" name="Column6719" queryTableFieldId="6719"/>
    <tableColumn id="6720" xr3:uid="{52DDAFEE-33EE-46CB-9098-A72990162F5F}" uniqueName="6720" name="Column6720" queryTableFieldId="6720"/>
    <tableColumn id="6721" xr3:uid="{37E2BA10-10A3-42F8-96A9-01D952C14554}" uniqueName="6721" name="Column6721" queryTableFieldId="6721"/>
    <tableColumn id="6722" xr3:uid="{350CEC3F-4CB6-4E5A-860D-06AAA36A770B}" uniqueName="6722" name="Column6722" queryTableFieldId="6722"/>
    <tableColumn id="6723" xr3:uid="{5C9B75A7-6A4E-41C4-8F2E-CFCB43E175B1}" uniqueName="6723" name="Column6723" queryTableFieldId="6723"/>
    <tableColumn id="6724" xr3:uid="{2E890F11-527B-455C-AA37-54CE809C2D48}" uniqueName="6724" name="Column6724" queryTableFieldId="6724"/>
    <tableColumn id="6725" xr3:uid="{E6872FA0-6DD9-4605-97AD-0F354EE90DF0}" uniqueName="6725" name="Column6725" queryTableFieldId="6725"/>
    <tableColumn id="6726" xr3:uid="{E83D03F5-1060-43DE-BF0D-33C87041D106}" uniqueName="6726" name="Column6726" queryTableFieldId="6726"/>
    <tableColumn id="6727" xr3:uid="{906144B0-FA44-44E5-8C8F-6307860DF702}" uniqueName="6727" name="Column6727" queryTableFieldId="6727"/>
    <tableColumn id="6728" xr3:uid="{354122B2-AA08-4A8C-BC9B-98733EA1DEE9}" uniqueName="6728" name="Column6728" queryTableFieldId="6728"/>
    <tableColumn id="6729" xr3:uid="{18FC8F6D-FD68-40E9-A08A-5BCB58082C9D}" uniqueName="6729" name="Column6729" queryTableFieldId="6729"/>
    <tableColumn id="6730" xr3:uid="{EAA3C81D-A793-4ECA-A46F-5D259AA9F8BA}" uniqueName="6730" name="Column6730" queryTableFieldId="6730"/>
    <tableColumn id="6731" xr3:uid="{C1BC4C0E-C32E-40F0-896B-9A6C1A9C0D3C}" uniqueName="6731" name="Column6731" queryTableFieldId="6731"/>
    <tableColumn id="6732" xr3:uid="{9A1E161F-37EA-4DDA-8BED-FE86CA4EDA52}" uniqueName="6732" name="Column6732" queryTableFieldId="6732"/>
    <tableColumn id="6733" xr3:uid="{50158692-35B8-4265-AED2-800B07470F35}" uniqueName="6733" name="Column6733" queryTableFieldId="6733"/>
    <tableColumn id="6734" xr3:uid="{21282A0A-85DD-44A6-802F-10946C764BD8}" uniqueName="6734" name="Column6734" queryTableFieldId="6734"/>
    <tableColumn id="6735" xr3:uid="{578E8D8E-D150-4018-B8DC-E826F440C2D6}" uniqueName="6735" name="Column6735" queryTableFieldId="6735"/>
    <tableColumn id="6736" xr3:uid="{8566CBCF-E35C-462A-AF57-8D89552108AE}" uniqueName="6736" name="Column6736" queryTableFieldId="6736"/>
    <tableColumn id="6737" xr3:uid="{3E65E18B-2170-45C2-A6ED-4BB2DAA02CC4}" uniqueName="6737" name="Column6737" queryTableFieldId="6737"/>
    <tableColumn id="6738" xr3:uid="{09D3CA7A-EE92-4895-8833-6D91E0B443DB}" uniqueName="6738" name="Column6738" queryTableFieldId="6738"/>
    <tableColumn id="6739" xr3:uid="{D0F76A38-A20F-4569-AB88-FF6129F59046}" uniqueName="6739" name="Column6739" queryTableFieldId="6739"/>
    <tableColumn id="6740" xr3:uid="{E77D5BAB-8896-4FB1-956E-2C7552632EC5}" uniqueName="6740" name="Column6740" queryTableFieldId="6740"/>
    <tableColumn id="6741" xr3:uid="{3CE28EE6-41BF-4AC2-97D1-5B84B23299B8}" uniqueName="6741" name="Column6741" queryTableFieldId="6741"/>
    <tableColumn id="6742" xr3:uid="{F7B54A28-A359-4CCA-AD97-BEE058CE1A74}" uniqueName="6742" name="Column6742" queryTableFieldId="6742"/>
    <tableColumn id="6743" xr3:uid="{A956F776-E415-412E-B9A0-B2633FC0165D}" uniqueName="6743" name="Column6743" queryTableFieldId="6743"/>
    <tableColumn id="6744" xr3:uid="{4CFBD15C-ABF1-4F50-BE68-5E6F1CF8FC7C}" uniqueName="6744" name="Column6744" queryTableFieldId="6744"/>
    <tableColumn id="6745" xr3:uid="{1B8E6753-540A-42DA-93B7-6DDAEC189E79}" uniqueName="6745" name="Column6745" queryTableFieldId="6745"/>
    <tableColumn id="6746" xr3:uid="{44B22FD4-500B-451F-990B-A58AA1D86C27}" uniqueName="6746" name="Column6746" queryTableFieldId="6746"/>
    <tableColumn id="6747" xr3:uid="{7DB89882-8831-4B70-8633-E715217FFB8D}" uniqueName="6747" name="Column6747" queryTableFieldId="6747"/>
    <tableColumn id="6748" xr3:uid="{31D62897-18B6-4A77-A574-0960983C1C2E}" uniqueName="6748" name="Column6748" queryTableFieldId="6748"/>
    <tableColumn id="6749" xr3:uid="{47DDFBE3-1BA4-4C47-B82B-5A0D0D4F646A}" uniqueName="6749" name="Column6749" queryTableFieldId="6749"/>
    <tableColumn id="6750" xr3:uid="{7C8035B6-768C-40FF-8110-FC004BEF2AE2}" uniqueName="6750" name="Column6750" queryTableFieldId="6750"/>
    <tableColumn id="6751" xr3:uid="{12C0D48C-F74D-4DDD-877C-47E513E7DBB0}" uniqueName="6751" name="Column6751" queryTableFieldId="6751"/>
    <tableColumn id="6752" xr3:uid="{A412C3D6-D480-4976-9293-72495F194F85}" uniqueName="6752" name="Column6752" queryTableFieldId="6752"/>
    <tableColumn id="6753" xr3:uid="{6E261CB9-51DB-4305-AAAC-EF3025CC7A03}" uniqueName="6753" name="Column6753" queryTableFieldId="6753"/>
    <tableColumn id="6754" xr3:uid="{0A962EB1-5D0D-47CD-8E88-5A8E10E93E3A}" uniqueName="6754" name="Column6754" queryTableFieldId="6754"/>
    <tableColumn id="6755" xr3:uid="{73047637-ECD8-4012-8C26-9E9C0C757E4E}" uniqueName="6755" name="Column6755" queryTableFieldId="6755"/>
    <tableColumn id="6756" xr3:uid="{43D13D95-A382-450A-9B1B-E5BA984EBBFF}" uniqueName="6756" name="Column6756" queryTableFieldId="6756"/>
    <tableColumn id="6757" xr3:uid="{94045B15-EE3C-4710-A84F-EE2A01D2A72A}" uniqueName="6757" name="Column6757" queryTableFieldId="6757"/>
    <tableColumn id="6758" xr3:uid="{ED31C332-9BC0-49FA-891F-37D71C200345}" uniqueName="6758" name="Column6758" queryTableFieldId="6758"/>
    <tableColumn id="6759" xr3:uid="{9638AB17-00E8-4FD2-960C-F48C99A7519D}" uniqueName="6759" name="Column6759" queryTableFieldId="6759"/>
    <tableColumn id="6760" xr3:uid="{D7D43D69-05D1-4D0F-9F54-423FFFFFB43E}" uniqueName="6760" name="Column6760" queryTableFieldId="6760"/>
    <tableColumn id="6761" xr3:uid="{94F13320-2EAE-4A24-9031-1D2511575EC0}" uniqueName="6761" name="Column6761" queryTableFieldId="6761"/>
    <tableColumn id="6762" xr3:uid="{2CD07E23-B5D1-4733-8DE3-74D9FECD7093}" uniqueName="6762" name="Column6762" queryTableFieldId="6762"/>
    <tableColumn id="6763" xr3:uid="{A6E4E0FB-9DA5-49FA-BCF4-615786011BD1}" uniqueName="6763" name="Column6763" queryTableFieldId="6763"/>
    <tableColumn id="6764" xr3:uid="{9F80F4DE-428E-4BE8-B747-AB11477A104F}" uniqueName="6764" name="Column6764" queryTableFieldId="6764"/>
    <tableColumn id="6765" xr3:uid="{14EC34D8-C392-4011-8B8D-6A51D0016196}" uniqueName="6765" name="Column6765" queryTableFieldId="6765"/>
    <tableColumn id="6766" xr3:uid="{9960CF8D-02D1-4B3C-8435-8041E487DDF7}" uniqueName="6766" name="Column6766" queryTableFieldId="6766"/>
    <tableColumn id="6767" xr3:uid="{E631DBBF-6AD0-4A5B-8CEF-6EE012EB81A0}" uniqueName="6767" name="Column6767" queryTableFieldId="6767"/>
    <tableColumn id="6768" xr3:uid="{9133EB80-51D8-47B5-B152-DAE852EC2881}" uniqueName="6768" name="Column6768" queryTableFieldId="6768"/>
    <tableColumn id="6769" xr3:uid="{B823B032-8A62-4DEC-A235-5214FB80A58A}" uniqueName="6769" name="Column6769" queryTableFieldId="6769"/>
    <tableColumn id="6770" xr3:uid="{CF20FF79-DD58-4D69-804E-EF8261E0649D}" uniqueName="6770" name="Column6770" queryTableFieldId="6770"/>
    <tableColumn id="6771" xr3:uid="{3A7B14FD-61C5-4BDA-9D49-9669CFF1189C}" uniqueName="6771" name="Column6771" queryTableFieldId="6771"/>
    <tableColumn id="6772" xr3:uid="{52D24A7B-8E6B-472D-B48B-5834C304194D}" uniqueName="6772" name="Column6772" queryTableFieldId="6772"/>
    <tableColumn id="6773" xr3:uid="{2FEB46EC-836A-46C2-BCE4-06FAA4684742}" uniqueName="6773" name="Column6773" queryTableFieldId="6773"/>
    <tableColumn id="6774" xr3:uid="{49DE1B8F-5FA7-4081-AF5E-463DD2F37005}" uniqueName="6774" name="Column6774" queryTableFieldId="6774"/>
    <tableColumn id="6775" xr3:uid="{7AA2D18D-6EC6-4644-A433-D5426E47517C}" uniqueName="6775" name="Column6775" queryTableFieldId="6775"/>
    <tableColumn id="6776" xr3:uid="{EFF14BF0-7518-4F05-B598-08066C739FA6}" uniqueName="6776" name="Column6776" queryTableFieldId="6776"/>
    <tableColumn id="6777" xr3:uid="{3CCE887E-9FB1-48CE-AD9B-111D3AFE8590}" uniqueName="6777" name="Column6777" queryTableFieldId="6777"/>
    <tableColumn id="6778" xr3:uid="{192FDC2F-F37D-4D38-970E-C9BE61C4CA15}" uniqueName="6778" name="Column6778" queryTableFieldId="6778"/>
    <tableColumn id="6779" xr3:uid="{85EA250C-89DE-47BC-B38D-AA5F3E34FC32}" uniqueName="6779" name="Column6779" queryTableFieldId="6779"/>
    <tableColumn id="6780" xr3:uid="{0E9BD2B1-17F2-4556-A43F-1BFD4B7BFB23}" uniqueName="6780" name="Column6780" queryTableFieldId="6780"/>
    <tableColumn id="6781" xr3:uid="{6E7DF8F6-9744-4C3D-9109-B23C5F2B02F1}" uniqueName="6781" name="Column6781" queryTableFieldId="6781"/>
    <tableColumn id="6782" xr3:uid="{4ECBDF38-4910-4CC7-A4C5-C5CC9DC98848}" uniqueName="6782" name="Column6782" queryTableFieldId="6782"/>
    <tableColumn id="6783" xr3:uid="{8001E996-5AF8-401C-AE44-23026D04967C}" uniqueName="6783" name="Column6783" queryTableFieldId="6783"/>
    <tableColumn id="6784" xr3:uid="{0086CC0E-1A83-4739-8A71-98F89A0588EF}" uniqueName="6784" name="Column6784" queryTableFieldId="6784"/>
    <tableColumn id="6785" xr3:uid="{F12AEEA5-F801-49DE-8EA6-F2824D4C38B1}" uniqueName="6785" name="Column6785" queryTableFieldId="6785"/>
    <tableColumn id="6786" xr3:uid="{EFAED3F3-ACC0-4D0C-A35E-878E7611DDF9}" uniqueName="6786" name="Column6786" queryTableFieldId="6786"/>
    <tableColumn id="6787" xr3:uid="{727499F3-2B99-4FBC-890F-141D2D885742}" uniqueName="6787" name="Column6787" queryTableFieldId="6787"/>
    <tableColumn id="6788" xr3:uid="{3987D179-5A01-4CF5-A94D-2EFDE7A32B4F}" uniqueName="6788" name="Column6788" queryTableFieldId="6788"/>
    <tableColumn id="6789" xr3:uid="{0AE7AA86-A3A3-4D9F-81FA-D715827317C4}" uniqueName="6789" name="Column6789" queryTableFieldId="6789"/>
    <tableColumn id="6790" xr3:uid="{10F1F67B-DC56-4D58-AE9A-064DDFA5BD73}" uniqueName="6790" name="Column6790" queryTableFieldId="6790"/>
    <tableColumn id="6791" xr3:uid="{F07E7828-4381-4B53-A991-8E5A9E200951}" uniqueName="6791" name="Column6791" queryTableFieldId="6791"/>
    <tableColumn id="6792" xr3:uid="{7997A081-216A-404A-9B77-0C23344620D2}" uniqueName="6792" name="Column6792" queryTableFieldId="6792"/>
    <tableColumn id="6793" xr3:uid="{BB423BC4-A7AE-46DF-A03C-F83EFE328AB3}" uniqueName="6793" name="Column6793" queryTableFieldId="6793"/>
    <tableColumn id="6794" xr3:uid="{4011B662-7921-4CB7-8C01-DFD746129F1A}" uniqueName="6794" name="Column6794" queryTableFieldId="6794"/>
    <tableColumn id="6795" xr3:uid="{C51A94AB-7403-470A-B163-09D0BE476EB3}" uniqueName="6795" name="Column6795" queryTableFieldId="6795"/>
    <tableColumn id="6796" xr3:uid="{93CDE167-3167-447B-95B3-ADCA5C04B120}" uniqueName="6796" name="Column6796" queryTableFieldId="6796"/>
    <tableColumn id="6797" xr3:uid="{4675CCFE-32F4-4153-9D9D-FE98FACB9A22}" uniqueName="6797" name="Column6797" queryTableFieldId="6797"/>
    <tableColumn id="6798" xr3:uid="{14680B19-D439-4F7C-8001-3E0D00846A1C}" uniqueName="6798" name="Column6798" queryTableFieldId="6798"/>
    <tableColumn id="6799" xr3:uid="{FBDB554F-BFFF-46B9-8F50-2247085A1DB3}" uniqueName="6799" name="Column6799" queryTableFieldId="6799"/>
    <tableColumn id="6800" xr3:uid="{621C549F-C1E5-4B09-88D0-0C87E5A7EB38}" uniqueName="6800" name="Column6800" queryTableFieldId="6800"/>
    <tableColumn id="6801" xr3:uid="{84D29018-879B-4D0D-9A93-69768F9A9103}" uniqueName="6801" name="Column6801" queryTableFieldId="6801"/>
    <tableColumn id="6802" xr3:uid="{415E44FD-621C-43F7-9B67-54DFAD9F79AE}" uniqueName="6802" name="Column6802" queryTableFieldId="6802"/>
    <tableColumn id="6803" xr3:uid="{81665C05-A32B-4451-8880-D570228593AA}" uniqueName="6803" name="Column6803" queryTableFieldId="6803"/>
    <tableColumn id="6804" xr3:uid="{9B399D03-2CC9-4130-90F7-6071B27DE61A}" uniqueName="6804" name="Column6804" queryTableFieldId="6804"/>
    <tableColumn id="6805" xr3:uid="{08290C10-BA9E-4650-98E2-BA63890880B3}" uniqueName="6805" name="Column6805" queryTableFieldId="6805"/>
    <tableColumn id="6806" xr3:uid="{BD3B5E18-740B-4829-A206-1D3279482D80}" uniqueName="6806" name="Column6806" queryTableFieldId="6806"/>
    <tableColumn id="6807" xr3:uid="{737A3F70-2E08-43B9-8D02-8C054DB20752}" uniqueName="6807" name="Column6807" queryTableFieldId="6807"/>
    <tableColumn id="6808" xr3:uid="{61B984B7-725A-40D2-B932-58BB7BD3F9B4}" uniqueName="6808" name="Column6808" queryTableFieldId="6808"/>
    <tableColumn id="6809" xr3:uid="{B7781C23-4975-43B1-9659-5578E19D545E}" uniqueName="6809" name="Column6809" queryTableFieldId="6809"/>
    <tableColumn id="6810" xr3:uid="{50F93469-9A62-4945-8038-8195AC04BCAC}" uniqueName="6810" name="Column6810" queryTableFieldId="6810"/>
    <tableColumn id="6811" xr3:uid="{62875203-240D-405C-9212-216207F7705E}" uniqueName="6811" name="Column6811" queryTableFieldId="6811"/>
    <tableColumn id="6812" xr3:uid="{50622788-D78D-427D-8625-C418A4FC558F}" uniqueName="6812" name="Column6812" queryTableFieldId="6812"/>
    <tableColumn id="6813" xr3:uid="{8458774A-CA22-4CE8-93CC-4DDCF8A4995F}" uniqueName="6813" name="Column6813" queryTableFieldId="6813"/>
    <tableColumn id="6814" xr3:uid="{44E3F237-1E2F-47F3-9EDE-507888B51C87}" uniqueName="6814" name="Column6814" queryTableFieldId="6814"/>
    <tableColumn id="6815" xr3:uid="{F05BD779-E451-4E71-A612-867C418CB9AF}" uniqueName="6815" name="Column6815" queryTableFieldId="6815"/>
    <tableColumn id="6816" xr3:uid="{7E1E9E9C-889C-4A91-AF81-7E05E5DDEA8D}" uniqueName="6816" name="Column6816" queryTableFieldId="6816"/>
    <tableColumn id="6817" xr3:uid="{555A0A63-826C-4FFF-9F31-42A525BA0015}" uniqueName="6817" name="Column6817" queryTableFieldId="6817"/>
    <tableColumn id="6818" xr3:uid="{36D59264-E787-492E-A432-1B14C3C5F058}" uniqueName="6818" name="Column6818" queryTableFieldId="6818"/>
    <tableColumn id="6819" xr3:uid="{A6C11223-3A71-485D-9C2C-C42BE7B2AA0D}" uniqueName="6819" name="Column6819" queryTableFieldId="6819"/>
    <tableColumn id="6820" xr3:uid="{AB914E34-294F-4E86-9A73-7B63A3976D0E}" uniqueName="6820" name="Column6820" queryTableFieldId="6820"/>
    <tableColumn id="6821" xr3:uid="{9BD49384-63A4-4F88-9DC5-79768EF7C8EE}" uniqueName="6821" name="Column6821" queryTableFieldId="6821"/>
    <tableColumn id="6822" xr3:uid="{A83339E3-C441-408D-AA08-BF5857E180F8}" uniqueName="6822" name="Column6822" queryTableFieldId="6822"/>
    <tableColumn id="6823" xr3:uid="{8DF0EF05-10D4-48F0-A9FC-FD114897CE89}" uniqueName="6823" name="Column6823" queryTableFieldId="6823"/>
    <tableColumn id="6824" xr3:uid="{5C05301D-60B4-4071-9494-BF8B10F3F5D2}" uniqueName="6824" name="Column6824" queryTableFieldId="6824"/>
    <tableColumn id="6825" xr3:uid="{667F5872-DA0A-4127-88CF-111D450BC07D}" uniqueName="6825" name="Column6825" queryTableFieldId="6825"/>
    <tableColumn id="6826" xr3:uid="{70912E95-7C1B-4871-A0F0-C2C4DF92D441}" uniqueName="6826" name="Column6826" queryTableFieldId="6826"/>
    <tableColumn id="6827" xr3:uid="{E637D383-9733-4AE3-8E36-C895822953E7}" uniqueName="6827" name="Column6827" queryTableFieldId="6827"/>
    <tableColumn id="6828" xr3:uid="{42CE68C7-8030-4263-B3EB-8868F8095A9C}" uniqueName="6828" name="Column6828" queryTableFieldId="6828"/>
    <tableColumn id="6829" xr3:uid="{2E497558-A448-4B99-9B21-B610BE8795E0}" uniqueName="6829" name="Column6829" queryTableFieldId="6829"/>
    <tableColumn id="6830" xr3:uid="{63379B61-6A5B-491A-8738-EFC3CFF67787}" uniqueName="6830" name="Column6830" queryTableFieldId="6830"/>
    <tableColumn id="6831" xr3:uid="{B029E012-3A75-44C4-96C9-A046C0881AB8}" uniqueName="6831" name="Column6831" queryTableFieldId="6831"/>
    <tableColumn id="6832" xr3:uid="{1E8EB23C-93F3-4A0B-8E38-484EE6E5485D}" uniqueName="6832" name="Column6832" queryTableFieldId="6832"/>
    <tableColumn id="6833" xr3:uid="{957B984A-8F23-4594-B98A-ABD339FE2437}" uniqueName="6833" name="Column6833" queryTableFieldId="6833"/>
    <tableColumn id="6834" xr3:uid="{72C71E76-BCF7-4CC8-8AEF-7FFC66EA7467}" uniqueName="6834" name="Column6834" queryTableFieldId="6834"/>
    <tableColumn id="6835" xr3:uid="{41B9BFCB-48FA-47E6-B32D-8992EBD8D69F}" uniqueName="6835" name="Column6835" queryTableFieldId="6835"/>
    <tableColumn id="6836" xr3:uid="{2A562394-F0B4-46F8-BEF4-EF984C477BFC}" uniqueName="6836" name="Column6836" queryTableFieldId="6836"/>
    <tableColumn id="6837" xr3:uid="{CA9DED1A-CE15-4F7F-943D-101CD36F9CD5}" uniqueName="6837" name="Column6837" queryTableFieldId="6837"/>
    <tableColumn id="6838" xr3:uid="{9C6C0C9E-DA88-4224-9868-BF9E21F7BAF6}" uniqueName="6838" name="Column6838" queryTableFieldId="6838"/>
    <tableColumn id="6839" xr3:uid="{5147B9ED-808E-404B-8C09-181888542688}" uniqueName="6839" name="Column6839" queryTableFieldId="6839"/>
    <tableColumn id="6840" xr3:uid="{D2A66F1A-C516-4EF2-AC03-AA36B60160D6}" uniqueName="6840" name="Column6840" queryTableFieldId="6840"/>
    <tableColumn id="6841" xr3:uid="{ED7917EE-24C3-4811-86DF-E76ED13FD65C}" uniqueName="6841" name="Column6841" queryTableFieldId="6841"/>
    <tableColumn id="6842" xr3:uid="{F1A29FC2-3D42-4CA4-A8A4-4A2EB7013E1C}" uniqueName="6842" name="Column6842" queryTableFieldId="6842"/>
    <tableColumn id="6843" xr3:uid="{EC32BE6F-5CCB-4B42-978E-04F18A0FF116}" uniqueName="6843" name="Column6843" queryTableFieldId="6843"/>
    <tableColumn id="6844" xr3:uid="{D180FFE3-FB31-40FF-9828-9C8E9E546A3C}" uniqueName="6844" name="Column6844" queryTableFieldId="6844"/>
    <tableColumn id="6845" xr3:uid="{3C57C026-9FF7-4C1C-B36A-183BA4F9630A}" uniqueName="6845" name="Column6845" queryTableFieldId="6845"/>
    <tableColumn id="6846" xr3:uid="{E396AFD3-571F-4D15-B041-638CBF956A0E}" uniqueName="6846" name="Column6846" queryTableFieldId="6846"/>
    <tableColumn id="6847" xr3:uid="{8BA8658D-F078-4AE6-97E4-3DFB9AF81D93}" uniqueName="6847" name="Column6847" queryTableFieldId="6847"/>
    <tableColumn id="6848" xr3:uid="{A5165472-7E5D-4A28-BE94-258E675D0CCF}" uniqueName="6848" name="Column6848" queryTableFieldId="6848"/>
    <tableColumn id="6849" xr3:uid="{83CF4782-C5F7-4BD5-B8BE-B2ACA413C3EC}" uniqueName="6849" name="Column6849" queryTableFieldId="6849"/>
    <tableColumn id="6850" xr3:uid="{D75EADE4-E10C-4584-BDC4-FC31B621D5C5}" uniqueName="6850" name="Column6850" queryTableFieldId="6850"/>
    <tableColumn id="6851" xr3:uid="{6FD7F30E-14E7-4C45-9630-3C9EC93BBBE0}" uniqueName="6851" name="Column6851" queryTableFieldId="6851"/>
    <tableColumn id="6852" xr3:uid="{7B72EF35-A7FD-4B06-81D9-A9F49E004F97}" uniqueName="6852" name="Column6852" queryTableFieldId="6852"/>
    <tableColumn id="6853" xr3:uid="{6A0BC465-8C3E-463C-8647-35A4CC7B7805}" uniqueName="6853" name="Column6853" queryTableFieldId="6853"/>
    <tableColumn id="6854" xr3:uid="{3360C32A-0AE3-4BF5-BE5B-5F214F3C4350}" uniqueName="6854" name="Column6854" queryTableFieldId="6854"/>
    <tableColumn id="6855" xr3:uid="{61E9D0F6-49F5-4A26-AF1F-9C5E55BD3991}" uniqueName="6855" name="Column6855" queryTableFieldId="6855"/>
    <tableColumn id="6856" xr3:uid="{6BF0C1A8-BD0B-49F9-88AF-2D9F14824BC4}" uniqueName="6856" name="Column6856" queryTableFieldId="6856"/>
    <tableColumn id="6857" xr3:uid="{0EC046D0-B145-4E1B-AB08-547028BFFCA3}" uniqueName="6857" name="Column6857" queryTableFieldId="6857"/>
    <tableColumn id="6858" xr3:uid="{5BB7157B-0221-4DE2-BA19-8311407CE360}" uniqueName="6858" name="Column6858" queryTableFieldId="6858"/>
    <tableColumn id="6859" xr3:uid="{11DC2833-BAE1-4830-88D5-A7DDC61390D3}" uniqueName="6859" name="Column6859" queryTableFieldId="6859"/>
    <tableColumn id="6860" xr3:uid="{A24983D5-9CC6-44EB-97E5-892E8B585BA7}" uniqueName="6860" name="Column6860" queryTableFieldId="6860"/>
    <tableColumn id="6861" xr3:uid="{4E3C4CA5-FD9B-4836-8341-DD5223D2CBCA}" uniqueName="6861" name="Column6861" queryTableFieldId="6861"/>
    <tableColumn id="6862" xr3:uid="{CD8467D1-2407-420D-BF7F-2553A3FD7167}" uniqueName="6862" name="Column6862" queryTableFieldId="6862"/>
    <tableColumn id="6863" xr3:uid="{63D6322E-A1EE-4318-85A3-011F288A5491}" uniqueName="6863" name="Column6863" queryTableFieldId="6863"/>
    <tableColumn id="6864" xr3:uid="{6D60FC2F-66EC-40D1-BB17-48A3F5F6523E}" uniqueName="6864" name="Column6864" queryTableFieldId="6864"/>
    <tableColumn id="6865" xr3:uid="{B00CC2FE-B5E6-4EBC-A9B9-D1DDFBB96312}" uniqueName="6865" name="Column6865" queryTableFieldId="6865"/>
    <tableColumn id="6866" xr3:uid="{39C72871-4773-4B97-9573-8CFE6F3D542D}" uniqueName="6866" name="Column6866" queryTableFieldId="6866"/>
    <tableColumn id="6867" xr3:uid="{A08514DF-0CAD-4118-8A8D-50C62A9263BD}" uniqueName="6867" name="Column6867" queryTableFieldId="6867"/>
    <tableColumn id="6868" xr3:uid="{BBDFCAEE-8B9A-4EE5-BF1C-DCF7A72C0F2F}" uniqueName="6868" name="Column6868" queryTableFieldId="6868"/>
    <tableColumn id="6869" xr3:uid="{A155F245-39D2-42E0-BF9E-5EA0C757079A}" uniqueName="6869" name="Column6869" queryTableFieldId="6869"/>
    <tableColumn id="6870" xr3:uid="{82C8A377-3F47-42CA-A1C7-4C1756114163}" uniqueName="6870" name="Column6870" queryTableFieldId="6870"/>
    <tableColumn id="6871" xr3:uid="{0B526A1E-0B20-4D29-8B77-82B2FDB0F979}" uniqueName="6871" name="Column6871" queryTableFieldId="6871"/>
    <tableColumn id="6872" xr3:uid="{55575B42-8415-484B-9285-81E83F6D63CA}" uniqueName="6872" name="Column6872" queryTableFieldId="6872"/>
    <tableColumn id="6873" xr3:uid="{9752F5B1-3AF7-400E-8A73-A094BD49F75A}" uniqueName="6873" name="Column6873" queryTableFieldId="6873"/>
    <tableColumn id="6874" xr3:uid="{7F099CEC-0A84-4AB5-B9D1-15906528C9A8}" uniqueName="6874" name="Column6874" queryTableFieldId="6874"/>
    <tableColumn id="6875" xr3:uid="{257A7FB2-14D7-49E6-B3DE-A41080495E53}" uniqueName="6875" name="Column6875" queryTableFieldId="6875"/>
    <tableColumn id="6876" xr3:uid="{76414A39-BBEB-42B4-913F-B0B4930BF69F}" uniqueName="6876" name="Column6876" queryTableFieldId="6876"/>
    <tableColumn id="6877" xr3:uid="{80633E43-2B5A-4D19-B022-7E0F58AA5A03}" uniqueName="6877" name="Column6877" queryTableFieldId="6877"/>
    <tableColumn id="6878" xr3:uid="{513B8CCC-0666-4564-BDA8-CF67E345C6D0}" uniqueName="6878" name="Column6878" queryTableFieldId="6878"/>
    <tableColumn id="6879" xr3:uid="{2133FC25-B9A5-4DF5-8D3A-9A728A045C5A}" uniqueName="6879" name="Column6879" queryTableFieldId="6879"/>
    <tableColumn id="6880" xr3:uid="{8C994D51-0972-40BC-8CDF-461A3254AB39}" uniqueName="6880" name="Column6880" queryTableFieldId="6880"/>
    <tableColumn id="6881" xr3:uid="{1520736E-D3AA-41DC-912C-04537360B96A}" uniqueName="6881" name="Column6881" queryTableFieldId="6881"/>
    <tableColumn id="6882" xr3:uid="{484FAAAC-56AE-4C36-BB80-8545009A542E}" uniqueName="6882" name="Column6882" queryTableFieldId="6882"/>
    <tableColumn id="6883" xr3:uid="{CC1C34B2-52B5-4ABC-8398-7709661AF6A6}" uniqueName="6883" name="Column6883" queryTableFieldId="6883"/>
    <tableColumn id="6884" xr3:uid="{54DFAF03-EC5E-4382-8066-C990CB1C5BBA}" uniqueName="6884" name="Column6884" queryTableFieldId="6884"/>
    <tableColumn id="6885" xr3:uid="{B3876948-86A3-4A8B-9A40-6C3D97718235}" uniqueName="6885" name="Column6885" queryTableFieldId="6885"/>
    <tableColumn id="6886" xr3:uid="{E981C858-A109-49E5-AFC2-3032941443CF}" uniqueName="6886" name="Column6886" queryTableFieldId="6886"/>
    <tableColumn id="6887" xr3:uid="{A3C4091D-0EB1-4D93-92C2-318D245FE6C0}" uniqueName="6887" name="Column6887" queryTableFieldId="6887"/>
    <tableColumn id="6888" xr3:uid="{846D0823-8D21-4F0D-BE04-DD6C36FABAA0}" uniqueName="6888" name="Column6888" queryTableFieldId="6888"/>
    <tableColumn id="6889" xr3:uid="{A8AE9D90-9578-4567-B32C-BE713A576A78}" uniqueName="6889" name="Column6889" queryTableFieldId="6889"/>
    <tableColumn id="6890" xr3:uid="{1A313F4E-1962-478E-A51D-6CA3C287E455}" uniqueName="6890" name="Column6890" queryTableFieldId="6890"/>
    <tableColumn id="6891" xr3:uid="{072FCA3C-1748-4A1E-99A4-65CD106BB580}" uniqueName="6891" name="Column6891" queryTableFieldId="6891"/>
    <tableColumn id="6892" xr3:uid="{C2B4AE75-C1E5-4945-8145-5B28A23FEE02}" uniqueName="6892" name="Column6892" queryTableFieldId="6892"/>
    <tableColumn id="6893" xr3:uid="{5A609998-2F40-494B-A1B7-33FF9FA29536}" uniqueName="6893" name="Column6893" queryTableFieldId="6893"/>
    <tableColumn id="6894" xr3:uid="{75537957-FBCF-49A4-B9EF-CDD386966725}" uniqueName="6894" name="Column6894" queryTableFieldId="6894"/>
    <tableColumn id="6895" xr3:uid="{9266CFCC-7CE7-4789-B634-F48A80C65698}" uniqueName="6895" name="Column6895" queryTableFieldId="6895"/>
    <tableColumn id="6896" xr3:uid="{FF2512C5-2CFA-41CD-A947-D4AF7B3727CA}" uniqueName="6896" name="Column6896" queryTableFieldId="6896"/>
    <tableColumn id="6897" xr3:uid="{B670D9D5-6933-4A64-9D28-47C9CF9F0E8A}" uniqueName="6897" name="Column6897" queryTableFieldId="6897"/>
    <tableColumn id="6898" xr3:uid="{E45CA920-6BDA-4AEA-9260-9AFB61591CFA}" uniqueName="6898" name="Column6898" queryTableFieldId="6898"/>
    <tableColumn id="6899" xr3:uid="{F9AD6F41-1930-4395-91DC-3200290692A7}" uniqueName="6899" name="Column6899" queryTableFieldId="6899"/>
    <tableColumn id="6900" xr3:uid="{50840CB0-1299-4AC3-90B6-E6DD3A1AEBB8}" uniqueName="6900" name="Column6900" queryTableFieldId="6900"/>
    <tableColumn id="6901" xr3:uid="{D8F0CB08-FE41-4AE4-8FB9-28684EC9D2DC}" uniqueName="6901" name="Column6901" queryTableFieldId="6901"/>
    <tableColumn id="6902" xr3:uid="{10290016-F5F1-4488-AF35-C4AAADE86E52}" uniqueName="6902" name="Column6902" queryTableFieldId="6902"/>
    <tableColumn id="6903" xr3:uid="{0C587EAE-F1DF-4E3F-8F4E-74DF7BC30979}" uniqueName="6903" name="Column6903" queryTableFieldId="6903"/>
    <tableColumn id="6904" xr3:uid="{5CCEEF2E-60E3-479B-965C-FB73B4341F10}" uniqueName="6904" name="Column6904" queryTableFieldId="6904"/>
    <tableColumn id="6905" xr3:uid="{DE09D023-97F4-4567-A72B-87CE3646301E}" uniqueName="6905" name="Column6905" queryTableFieldId="6905"/>
    <tableColumn id="6906" xr3:uid="{9ECE9D4E-235E-4BDD-95EC-27E843FB544F}" uniqueName="6906" name="Column6906" queryTableFieldId="6906"/>
    <tableColumn id="6907" xr3:uid="{4AB74B11-26C0-4B10-A4D2-595989CCB0A0}" uniqueName="6907" name="Column6907" queryTableFieldId="6907"/>
    <tableColumn id="6908" xr3:uid="{B1FFF478-21FF-41F0-BA03-B0DD38C601EF}" uniqueName="6908" name="Column6908" queryTableFieldId="6908"/>
    <tableColumn id="6909" xr3:uid="{AC28453F-17E0-4234-80E7-FDBEB20B7D88}" uniqueName="6909" name="Column6909" queryTableFieldId="6909"/>
    <tableColumn id="6910" xr3:uid="{B4428F74-2634-4406-8BF2-08403514D4A6}" uniqueName="6910" name="Column6910" queryTableFieldId="6910"/>
    <tableColumn id="6911" xr3:uid="{83D97456-579A-4B77-8172-D438EACFE32F}" uniqueName="6911" name="Column6911" queryTableFieldId="6911"/>
    <tableColumn id="6912" xr3:uid="{603FC867-35E8-4C70-B5D6-A5F8153F33C7}" uniqueName="6912" name="Column6912" queryTableFieldId="6912"/>
    <tableColumn id="6913" xr3:uid="{47842598-2FF8-4E28-A746-782D3F2699BE}" uniqueName="6913" name="Column6913" queryTableFieldId="6913"/>
    <tableColumn id="6914" xr3:uid="{2B785353-A38D-49AE-B854-28DEAE5F3F4B}" uniqueName="6914" name="Column6914" queryTableFieldId="6914"/>
    <tableColumn id="6915" xr3:uid="{7BB30E21-2907-4F47-9CC4-B4200C249AC0}" uniqueName="6915" name="Column6915" queryTableFieldId="6915"/>
    <tableColumn id="6916" xr3:uid="{3A423AD7-1F86-4B91-B5B4-7A0811006AC7}" uniqueName="6916" name="Column6916" queryTableFieldId="6916"/>
    <tableColumn id="6917" xr3:uid="{0164ED9C-2E8C-454C-84F7-CA9392455F77}" uniqueName="6917" name="Column6917" queryTableFieldId="6917"/>
    <tableColumn id="6918" xr3:uid="{23555AFD-2010-409B-97A7-AE8485B478CB}" uniqueName="6918" name="Column6918" queryTableFieldId="6918"/>
    <tableColumn id="6919" xr3:uid="{E44E2AF4-E505-489D-987F-70CF73DFD871}" uniqueName="6919" name="Column6919" queryTableFieldId="6919"/>
    <tableColumn id="6920" xr3:uid="{1403F4B4-612E-4900-AACA-09D6BCB23418}" uniqueName="6920" name="Column6920" queryTableFieldId="6920"/>
    <tableColumn id="6921" xr3:uid="{CB35B9F7-C0BA-4FEE-A236-8E6201BB6193}" uniqueName="6921" name="Column6921" queryTableFieldId="6921"/>
    <tableColumn id="6922" xr3:uid="{14F1EC46-F17D-4F57-96BB-2B897E218DB5}" uniqueName="6922" name="Column6922" queryTableFieldId="6922"/>
    <tableColumn id="6923" xr3:uid="{0F2172D8-E4D9-438D-BED4-ECCFAE1BDFB3}" uniqueName="6923" name="Column6923" queryTableFieldId="6923"/>
    <tableColumn id="6924" xr3:uid="{729EECD1-98FB-42D0-8ACF-B4FD8D64E82B}" uniqueName="6924" name="Column6924" queryTableFieldId="6924"/>
    <tableColumn id="6925" xr3:uid="{6D7DC121-366F-42FB-B60C-3C5FCA0DBA6B}" uniqueName="6925" name="Column6925" queryTableFieldId="6925"/>
    <tableColumn id="6926" xr3:uid="{88537F9B-AB04-4653-B4D0-D55C0BD4DF29}" uniqueName="6926" name="Column6926" queryTableFieldId="6926"/>
    <tableColumn id="6927" xr3:uid="{43049AFD-E9A1-4C87-AE80-8B8CA3470891}" uniqueName="6927" name="Column6927" queryTableFieldId="6927"/>
    <tableColumn id="6928" xr3:uid="{C6DAF8A4-160A-459F-B3D7-665FE958F925}" uniqueName="6928" name="Column6928" queryTableFieldId="6928"/>
    <tableColumn id="6929" xr3:uid="{96D80E54-A654-4AC3-99E5-11C6D97CFF49}" uniqueName="6929" name="Column6929" queryTableFieldId="6929"/>
    <tableColumn id="6930" xr3:uid="{07192B01-410B-4BF2-9784-ED9715CB6B5B}" uniqueName="6930" name="Column6930" queryTableFieldId="6930"/>
    <tableColumn id="6931" xr3:uid="{62CD4933-B0BB-4789-A8F8-482BB48DB813}" uniqueName="6931" name="Column6931" queryTableFieldId="6931"/>
    <tableColumn id="6932" xr3:uid="{69680BBC-79FE-4DE5-8A4F-1257BDB7B3B7}" uniqueName="6932" name="Column6932" queryTableFieldId="6932"/>
    <tableColumn id="6933" xr3:uid="{90B16D0B-FA61-437C-BD02-1C769A8D10E8}" uniqueName="6933" name="Column6933" queryTableFieldId="6933"/>
    <tableColumn id="6934" xr3:uid="{5F75EE5E-BDF6-49AA-8B32-E39543224C5C}" uniqueName="6934" name="Column6934" queryTableFieldId="6934"/>
    <tableColumn id="6935" xr3:uid="{EB48A399-1E1F-4FC5-ABE5-5A90BD02F75B}" uniqueName="6935" name="Column6935" queryTableFieldId="6935"/>
    <tableColumn id="6936" xr3:uid="{09518A63-060D-45F1-A14D-7C5099925939}" uniqueName="6936" name="Column6936" queryTableFieldId="6936"/>
    <tableColumn id="6937" xr3:uid="{3D6B9F84-255E-4AF1-A1EB-D724AA10A39D}" uniqueName="6937" name="Column6937" queryTableFieldId="6937"/>
    <tableColumn id="6938" xr3:uid="{0AE3C578-744B-44CF-81E4-B1C64D0E5F4F}" uniqueName="6938" name="Column6938" queryTableFieldId="6938"/>
    <tableColumn id="6939" xr3:uid="{C728D099-9BE8-4C9E-9BF6-CF6EE3D0D0DC}" uniqueName="6939" name="Column6939" queryTableFieldId="6939"/>
    <tableColumn id="6940" xr3:uid="{206BC47F-38E6-488F-8D80-DCE12D2CD7A6}" uniqueName="6940" name="Column6940" queryTableFieldId="6940"/>
    <tableColumn id="6941" xr3:uid="{BEBFD69B-25D7-47A2-BA7E-25DA85114937}" uniqueName="6941" name="Column6941" queryTableFieldId="6941"/>
    <tableColumn id="6942" xr3:uid="{302B9625-F0F8-49B8-90D0-51FF9DCB58FA}" uniqueName="6942" name="Column6942" queryTableFieldId="6942"/>
    <tableColumn id="6943" xr3:uid="{41585AFB-C726-4761-96F5-BB8B1025DD95}" uniqueName="6943" name="Column6943" queryTableFieldId="6943"/>
    <tableColumn id="6944" xr3:uid="{38DAF733-DABB-44F9-B595-C103E37507EA}" uniqueName="6944" name="Column6944" queryTableFieldId="6944"/>
    <tableColumn id="6945" xr3:uid="{0B4C1A35-39DC-4AEB-8C39-F67301C00997}" uniqueName="6945" name="Column6945" queryTableFieldId="6945"/>
    <tableColumn id="6946" xr3:uid="{7C4F38F7-64E5-4F31-8C13-159863BA26F9}" uniqueName="6946" name="Column6946" queryTableFieldId="6946"/>
    <tableColumn id="6947" xr3:uid="{7D59ABA7-D1D2-421A-8788-E0CE658EDEDB}" uniqueName="6947" name="Column6947" queryTableFieldId="6947"/>
    <tableColumn id="6948" xr3:uid="{D77F5975-7DE3-40AF-BC3D-39FF86165BFB}" uniqueName="6948" name="Column6948" queryTableFieldId="6948"/>
    <tableColumn id="6949" xr3:uid="{9B1008E0-7E44-491C-93D7-816B47973114}" uniqueName="6949" name="Column6949" queryTableFieldId="6949"/>
    <tableColumn id="6950" xr3:uid="{1108B92F-2276-48FF-B679-64B3CC7C6CD3}" uniqueName="6950" name="Column6950" queryTableFieldId="6950"/>
    <tableColumn id="6951" xr3:uid="{7BA9CECC-40B2-4BA8-88DE-451469624254}" uniqueName="6951" name="Column6951" queryTableFieldId="6951"/>
    <tableColumn id="6952" xr3:uid="{354010CB-64BA-4DB9-B9B7-017A3CDF6176}" uniqueName="6952" name="Column6952" queryTableFieldId="6952"/>
    <tableColumn id="6953" xr3:uid="{02B32EEE-376C-4526-B8D4-5BFC63E72635}" uniqueName="6953" name="Column6953" queryTableFieldId="6953"/>
    <tableColumn id="6954" xr3:uid="{03C382EA-0555-446C-A40F-D7993F1F0594}" uniqueName="6954" name="Column6954" queryTableFieldId="6954"/>
    <tableColumn id="6955" xr3:uid="{8850C41F-4C5E-4555-95D5-A419B3EB32B5}" uniqueName="6955" name="Column6955" queryTableFieldId="6955"/>
    <tableColumn id="6956" xr3:uid="{ABE7559C-E59D-49AD-A93A-2D73F51E57AF}" uniqueName="6956" name="Column6956" queryTableFieldId="6956"/>
    <tableColumn id="6957" xr3:uid="{50FA6424-2947-459F-998B-5EA17386450B}" uniqueName="6957" name="Column6957" queryTableFieldId="6957"/>
    <tableColumn id="6958" xr3:uid="{7370B2DA-6C08-458E-8679-7EFF3B8135AD}" uniqueName="6958" name="Column6958" queryTableFieldId="6958"/>
    <tableColumn id="6959" xr3:uid="{18948BAA-E117-4AFF-993E-01F8DC9DB82A}" uniqueName="6959" name="Column6959" queryTableFieldId="6959"/>
    <tableColumn id="6960" xr3:uid="{22BCF061-28EE-404A-9AC2-D8075F27466D}" uniqueName="6960" name="Column6960" queryTableFieldId="6960"/>
    <tableColumn id="6961" xr3:uid="{CA7A911C-DC8B-4E44-8C6B-67CD8CAE5472}" uniqueName="6961" name="Column6961" queryTableFieldId="6961"/>
    <tableColumn id="6962" xr3:uid="{4EC26D87-85BF-4E02-9439-ECD1670CC124}" uniqueName="6962" name="Column6962" queryTableFieldId="6962"/>
    <tableColumn id="6963" xr3:uid="{DC80C9DB-AC76-407F-AF20-2E05BE90FC41}" uniqueName="6963" name="Column6963" queryTableFieldId="6963"/>
    <tableColumn id="6964" xr3:uid="{F21DFAA3-BB31-459B-A05B-2893F066A3B5}" uniqueName="6964" name="Column6964" queryTableFieldId="6964"/>
    <tableColumn id="6965" xr3:uid="{243142FF-6F58-403D-A9CD-9928235EC5F0}" uniqueName="6965" name="Column6965" queryTableFieldId="6965"/>
    <tableColumn id="6966" xr3:uid="{C7EF7D8C-ACBA-4B26-B5A2-6CC99697A797}" uniqueName="6966" name="Column6966" queryTableFieldId="6966"/>
    <tableColumn id="6967" xr3:uid="{7C17CAE1-2675-4747-BED9-0D7EA9E3FEF1}" uniqueName="6967" name="Column6967" queryTableFieldId="6967"/>
    <tableColumn id="6968" xr3:uid="{4130C400-4672-4BCA-8DCE-EDDFF1C2F482}" uniqueName="6968" name="Column6968" queryTableFieldId="6968"/>
    <tableColumn id="6969" xr3:uid="{53069FB7-349A-4516-B83E-99E1BC53C0F0}" uniqueName="6969" name="Column6969" queryTableFieldId="6969"/>
    <tableColumn id="6970" xr3:uid="{D5BD3CCE-CADC-4276-8265-FF750CB99D74}" uniqueName="6970" name="Column6970" queryTableFieldId="6970"/>
    <tableColumn id="6971" xr3:uid="{5E21CAA1-8BAF-452F-A2C4-2CD537DD0560}" uniqueName="6971" name="Column6971" queryTableFieldId="6971"/>
    <tableColumn id="6972" xr3:uid="{5F359BE2-688C-40D3-95D9-3E8635AE799C}" uniqueName="6972" name="Column6972" queryTableFieldId="6972"/>
    <tableColumn id="6973" xr3:uid="{63321E9F-FB2F-4C4D-BB12-20A738D6BB48}" uniqueName="6973" name="Column6973" queryTableFieldId="6973"/>
    <tableColumn id="6974" xr3:uid="{69E07F55-4FBF-4C5D-A2AF-F54B623FDD8E}" uniqueName="6974" name="Column6974" queryTableFieldId="6974"/>
    <tableColumn id="6975" xr3:uid="{97FA1AD8-65E9-4EF8-88FF-B413FA1B3041}" uniqueName="6975" name="Column6975" queryTableFieldId="6975"/>
    <tableColumn id="6976" xr3:uid="{306EED77-F34D-4E0E-802B-F41F697BE242}" uniqueName="6976" name="Column6976" queryTableFieldId="6976"/>
    <tableColumn id="6977" xr3:uid="{49BADDF3-341D-4FFE-904C-4260F42646F3}" uniqueName="6977" name="Column6977" queryTableFieldId="6977"/>
    <tableColumn id="6978" xr3:uid="{A5AC99FD-824F-47B2-8913-D1ECBB132919}" uniqueName="6978" name="Column6978" queryTableFieldId="6978"/>
    <tableColumn id="6979" xr3:uid="{2912DEBB-5A52-460B-8EA0-41C30F17E6A9}" uniqueName="6979" name="Column6979" queryTableFieldId="6979"/>
    <tableColumn id="6980" xr3:uid="{51F0474C-A685-4EB8-8086-478244F3E6F7}" uniqueName="6980" name="Column6980" queryTableFieldId="6980"/>
    <tableColumn id="6981" xr3:uid="{DCB7EE67-B310-4404-9281-FC508392DA5D}" uniqueName="6981" name="Column6981" queryTableFieldId="6981"/>
    <tableColumn id="6982" xr3:uid="{F6C8AA61-E3E3-406F-879B-9ED1FFE24E82}" uniqueName="6982" name="Column6982" queryTableFieldId="6982"/>
    <tableColumn id="6983" xr3:uid="{A1986D5C-8A9E-4EAD-846B-1502D3233FC7}" uniqueName="6983" name="Column6983" queryTableFieldId="6983"/>
    <tableColumn id="6984" xr3:uid="{BA2819F3-6627-4AE2-8A28-0550137B7B92}" uniqueName="6984" name="Column6984" queryTableFieldId="6984"/>
    <tableColumn id="6985" xr3:uid="{47EC7DEF-6BC5-40F2-9355-0D538A985C44}" uniqueName="6985" name="Column6985" queryTableFieldId="6985"/>
    <tableColumn id="6986" xr3:uid="{5D715702-A6BF-48C0-B4F7-BD83628ACF22}" uniqueName="6986" name="Column6986" queryTableFieldId="6986"/>
    <tableColumn id="6987" xr3:uid="{94A429E3-ED09-43C3-937E-F7972B300BE6}" uniqueName="6987" name="Column6987" queryTableFieldId="6987"/>
    <tableColumn id="6988" xr3:uid="{9D6FD0D3-00EA-42E4-ABF7-69CA4969EE4E}" uniqueName="6988" name="Column6988" queryTableFieldId="6988"/>
    <tableColumn id="6989" xr3:uid="{3052A375-D21A-4404-A8F9-93AF055C3976}" uniqueName="6989" name="Column6989" queryTableFieldId="6989"/>
    <tableColumn id="6990" xr3:uid="{B70740CC-1968-4295-B62E-0EF8083A22B8}" uniqueName="6990" name="Column6990" queryTableFieldId="6990"/>
    <tableColumn id="6991" xr3:uid="{B2A301C2-A4AE-4260-8A74-938AC796C661}" uniqueName="6991" name="Column6991" queryTableFieldId="6991"/>
    <tableColumn id="6992" xr3:uid="{FD7826EB-0421-4BFA-A990-9B97DFDF59DC}" uniqueName="6992" name="Column6992" queryTableFieldId="6992"/>
    <tableColumn id="6993" xr3:uid="{323BCBA2-CDD3-443B-8C30-C48E359649C5}" uniqueName="6993" name="Column6993" queryTableFieldId="6993"/>
    <tableColumn id="6994" xr3:uid="{0C6762E2-E67E-457D-A73A-FA6BFA95B146}" uniqueName="6994" name="Column6994" queryTableFieldId="6994"/>
    <tableColumn id="6995" xr3:uid="{8F10933F-AEA3-4CCC-8946-D8B6154A2E4F}" uniqueName="6995" name="Column6995" queryTableFieldId="6995"/>
    <tableColumn id="6996" xr3:uid="{35B9BB32-692F-429A-A735-564D35E02DBC}" uniqueName="6996" name="Column6996" queryTableFieldId="6996"/>
    <tableColumn id="6997" xr3:uid="{A893DEFA-E5E8-420E-B00A-C2F9F6A7621E}" uniqueName="6997" name="Column6997" queryTableFieldId="6997"/>
    <tableColumn id="6998" xr3:uid="{366AF855-9737-454B-B652-1FFC70D7FDDD}" uniqueName="6998" name="Column6998" queryTableFieldId="6998"/>
    <tableColumn id="6999" xr3:uid="{3F99A4E8-0548-4A34-972D-5BA7EB9090B4}" uniqueName="6999" name="Column6999" queryTableFieldId="6999"/>
    <tableColumn id="7000" xr3:uid="{936DA83E-9122-4718-8844-688407B1B0F8}" uniqueName="7000" name="Column7000" queryTableFieldId="7000"/>
    <tableColumn id="7001" xr3:uid="{79F47846-7B6F-4F4C-8EF0-28B3ED0B333D}" uniqueName="7001" name="Column7001" queryTableFieldId="7001"/>
    <tableColumn id="7002" xr3:uid="{0D1441AE-D236-4B48-AF30-3A918B39AF68}" uniqueName="7002" name="Column7002" queryTableFieldId="7002"/>
    <tableColumn id="7003" xr3:uid="{29DC7C89-52E4-4230-8107-09FB29332B61}" uniqueName="7003" name="Column7003" queryTableFieldId="7003"/>
    <tableColumn id="7004" xr3:uid="{230B94AA-9318-4E8C-A73B-EE943F6A5CD0}" uniqueName="7004" name="Column7004" queryTableFieldId="7004"/>
    <tableColumn id="7005" xr3:uid="{7B055307-1CDE-4182-9CDB-59D8F2651546}" uniqueName="7005" name="Column7005" queryTableFieldId="7005"/>
    <tableColumn id="7006" xr3:uid="{16C4CA97-F683-403F-9870-5652FDA5ECA5}" uniqueName="7006" name="Column7006" queryTableFieldId="7006"/>
    <tableColumn id="7007" xr3:uid="{82618E6D-A239-4E80-B515-B8F01E51689C}" uniqueName="7007" name="Column7007" queryTableFieldId="7007"/>
    <tableColumn id="7008" xr3:uid="{A58A3AE2-8430-43DC-808F-FA1316FE1E53}" uniqueName="7008" name="Column7008" queryTableFieldId="7008"/>
    <tableColumn id="7009" xr3:uid="{F63283CF-D759-49E5-A820-4831A4B13961}" uniqueName="7009" name="Column7009" queryTableFieldId="7009"/>
    <tableColumn id="7010" xr3:uid="{3B1C8CE8-75C9-44F6-948C-5F0EEB0BD8B0}" uniqueName="7010" name="Column7010" queryTableFieldId="7010"/>
    <tableColumn id="7011" xr3:uid="{1D96EEDA-3001-49F0-8220-F7A4434652E2}" uniqueName="7011" name="Column7011" queryTableFieldId="7011"/>
    <tableColumn id="7012" xr3:uid="{79075176-E9B0-44A7-ADB0-56567ABFAE2B}" uniqueName="7012" name="Column7012" queryTableFieldId="7012"/>
    <tableColumn id="7013" xr3:uid="{CFBC7627-D676-4540-97EF-E51FC279546E}" uniqueName="7013" name="Column7013" queryTableFieldId="7013"/>
    <tableColumn id="7014" xr3:uid="{370688CC-9670-4BCA-A2C8-538AB8B0A690}" uniqueName="7014" name="Column7014" queryTableFieldId="7014"/>
    <tableColumn id="7015" xr3:uid="{0A556C1B-CCC7-40BB-9905-FDD8D82C419E}" uniqueName="7015" name="Column7015" queryTableFieldId="7015"/>
    <tableColumn id="7016" xr3:uid="{6463494A-0965-45B3-B315-88A5F3A837A4}" uniqueName="7016" name="Column7016" queryTableFieldId="7016"/>
    <tableColumn id="7017" xr3:uid="{7466A993-67CD-4AA6-AAD4-E28C8C80D114}" uniqueName="7017" name="Column7017" queryTableFieldId="7017"/>
    <tableColumn id="7018" xr3:uid="{78AF7D11-392E-4DD7-9C38-80FAD08F67C8}" uniqueName="7018" name="Column7018" queryTableFieldId="7018"/>
    <tableColumn id="7019" xr3:uid="{9A1813BC-EFDD-44E3-8C9A-3B025B9FF835}" uniqueName="7019" name="Column7019" queryTableFieldId="7019"/>
    <tableColumn id="7020" xr3:uid="{B11C4902-7182-4608-B804-5A5881CC2127}" uniqueName="7020" name="Column7020" queryTableFieldId="7020"/>
    <tableColumn id="7021" xr3:uid="{4C2EAB03-8233-46EC-82CC-3B2BF94301B4}" uniqueName="7021" name="Column7021" queryTableFieldId="70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4205-B873-425E-81CF-6873D5E3C55D}">
  <dimension ref="A1:BWD37"/>
  <sheetViews>
    <sheetView tabSelected="1" workbookViewId="0">
      <selection activeCell="D20" sqref="D20"/>
    </sheetView>
  </sheetViews>
  <sheetFormatPr defaultRowHeight="15" x14ac:dyDescent="0.25"/>
  <sheetData>
    <row r="1" spans="1:1954" x14ac:dyDescent="0.25">
      <c r="A1" t="str">
        <f>SOFR3mo_PX[[#Headers],[Column1]]</f>
        <v>Column1</v>
      </c>
      <c r="B1" t="str">
        <f>SOFR3mo_PX[[#Headers],[Column2]]</f>
        <v>Column2</v>
      </c>
      <c r="C1" t="str">
        <f>SOFR3mo_PX[[#Headers],[Column3]]</f>
        <v>Column3</v>
      </c>
      <c r="D1" t="str">
        <f>SOFR3mo_PX[[#Headers],[Column4]]</f>
        <v>Column4</v>
      </c>
      <c r="E1" t="str">
        <f>SOFR3mo_PX[[#Headers],[Column5]]</f>
        <v>Column5</v>
      </c>
      <c r="F1" t="str">
        <f>SOFR3mo_PX[[#Headers],[Column6]]</f>
        <v>Column6</v>
      </c>
      <c r="G1" t="str">
        <f>SOFR3mo_PX[[#Headers],[Column7]]</f>
        <v>Column7</v>
      </c>
      <c r="H1" t="str">
        <f>SOFR3mo_PX[[#Headers],[Column8]]</f>
        <v>Column8</v>
      </c>
      <c r="I1" t="str">
        <f>SOFR3mo_PX[[#Headers],[Column9]]</f>
        <v>Column9</v>
      </c>
      <c r="J1" t="str">
        <f>SOFR3mo_PX[[#Headers],[Column10]]</f>
        <v>Column10</v>
      </c>
      <c r="K1" t="str">
        <f>SOFR3mo_PX[[#Headers],[Column11]]</f>
        <v>Column11</v>
      </c>
      <c r="L1" t="str">
        <f>SOFR3mo_PX[[#Headers],[Column12]]</f>
        <v>Column12</v>
      </c>
      <c r="M1" t="str">
        <f>SOFR3mo_PX[[#Headers],[Column13]]</f>
        <v>Column13</v>
      </c>
      <c r="N1" t="str">
        <f>SOFR3mo_PX[[#Headers],[Column14]]</f>
        <v>Column14</v>
      </c>
      <c r="O1" t="str">
        <f>SOFR3mo_PX[[#Headers],[Column15]]</f>
        <v>Column15</v>
      </c>
      <c r="P1" t="str">
        <f>SOFR3mo_PX[[#Headers],[Column16]]</f>
        <v>Column16</v>
      </c>
      <c r="Q1" t="str">
        <f>SOFR3mo_PX[[#Headers],[Column17]]</f>
        <v>Column17</v>
      </c>
      <c r="R1" t="str">
        <f>SOFR3mo_PX[[#Headers],[Column18]]</f>
        <v>Column18</v>
      </c>
      <c r="S1" t="str">
        <f>SOFR3mo_PX[[#Headers],[Column19]]</f>
        <v>Column19</v>
      </c>
      <c r="T1" t="str">
        <f>SOFR3mo_PX[[#Headers],[Column20]]</f>
        <v>Column20</v>
      </c>
      <c r="U1" t="str">
        <f>SOFR3mo_PX[[#Headers],[Column21]]</f>
        <v>Column21</v>
      </c>
      <c r="V1" t="str">
        <f>SOFR3mo_PX[[#Headers],[Column22]]</f>
        <v>Column22</v>
      </c>
      <c r="W1" t="str">
        <f>SOFR3mo_PX[[#Headers],[Column23]]</f>
        <v>Column23</v>
      </c>
      <c r="X1" t="str">
        <f>SOFR3mo_PX[[#Headers],[Column24]]</f>
        <v>Column24</v>
      </c>
      <c r="Y1" t="str">
        <f>SOFR3mo_PX[[#Headers],[Column25]]</f>
        <v>Column25</v>
      </c>
      <c r="Z1" t="str">
        <f>SOFR3mo_PX[[#Headers],[Column26]]</f>
        <v>Column26</v>
      </c>
      <c r="AA1" t="str">
        <f>SOFR3mo_PX[[#Headers],[Column27]]</f>
        <v>Column27</v>
      </c>
      <c r="AB1" t="str">
        <f>SOFR3mo_PX[[#Headers],[Column28]]</f>
        <v>Column28</v>
      </c>
      <c r="AC1" t="str">
        <f>SOFR3mo_PX[[#Headers],[Column29]]</f>
        <v>Column29</v>
      </c>
      <c r="AD1" t="str">
        <f>SOFR3mo_PX[[#Headers],[Column30]]</f>
        <v>Column30</v>
      </c>
      <c r="AE1" t="str">
        <f>SOFR3mo_PX[[#Headers],[Column31]]</f>
        <v>Column31</v>
      </c>
      <c r="AF1" t="str">
        <f>SOFR3mo_PX[[#Headers],[Column32]]</f>
        <v>Column32</v>
      </c>
      <c r="AG1" t="str">
        <f>SOFR3mo_PX[[#Headers],[Column33]]</f>
        <v>Column33</v>
      </c>
      <c r="AH1" t="str">
        <f>SOFR3mo_PX[[#Headers],[Column34]]</f>
        <v>Column34</v>
      </c>
      <c r="AI1" t="str">
        <f>SOFR3mo_PX[[#Headers],[Column35]]</f>
        <v>Column35</v>
      </c>
      <c r="AJ1" t="str">
        <f>SOFR3mo_PX[[#Headers],[Column36]]</f>
        <v>Column36</v>
      </c>
      <c r="AK1" t="str">
        <f>SOFR3mo_PX[[#Headers],[Column37]]</f>
        <v>Column37</v>
      </c>
      <c r="AL1" t="str">
        <f>SOFR3mo_PX[[#Headers],[Column38]]</f>
        <v>Column38</v>
      </c>
      <c r="AM1" t="str">
        <f>SOFR3mo_PX[[#Headers],[Column39]]</f>
        <v>Column39</v>
      </c>
      <c r="AN1" t="str">
        <f>SOFR3mo_PX[[#Headers],[Column40]]</f>
        <v>Column40</v>
      </c>
      <c r="AO1" t="str">
        <f>SOFR3mo_PX[[#Headers],[Column41]]</f>
        <v>Column41</v>
      </c>
      <c r="AP1" t="str">
        <f>SOFR3mo_PX[[#Headers],[Column42]]</f>
        <v>Column42</v>
      </c>
      <c r="AQ1" t="str">
        <f>SOFR3mo_PX[[#Headers],[Column43]]</f>
        <v>Column43</v>
      </c>
      <c r="AR1" t="str">
        <f>SOFR3mo_PX[[#Headers],[Column44]]</f>
        <v>Column44</v>
      </c>
      <c r="AS1" t="str">
        <f>SOFR3mo_PX[[#Headers],[Column45]]</f>
        <v>Column45</v>
      </c>
      <c r="AT1" t="str">
        <f>SOFR3mo_PX[[#Headers],[Column46]]</f>
        <v>Column46</v>
      </c>
      <c r="AU1" t="str">
        <f>SOFR3mo_PX[[#Headers],[Column47]]</f>
        <v>Column47</v>
      </c>
      <c r="AV1" t="str">
        <f>SOFR3mo_PX[[#Headers],[Column48]]</f>
        <v>Column48</v>
      </c>
      <c r="AW1" t="str">
        <f>SOFR3mo_PX[[#Headers],[Column49]]</f>
        <v>Column49</v>
      </c>
      <c r="AX1" t="str">
        <f>SOFR3mo_PX[[#Headers],[Column50]]</f>
        <v>Column50</v>
      </c>
      <c r="AY1" t="str">
        <f>SOFR3mo_PX[[#Headers],[Column51]]</f>
        <v>Column51</v>
      </c>
      <c r="AZ1" t="str">
        <f>SOFR3mo_PX[[#Headers],[Column52]]</f>
        <v>Column52</v>
      </c>
      <c r="BA1" t="str">
        <f>SOFR3mo_PX[[#Headers],[Column53]]</f>
        <v>Column53</v>
      </c>
      <c r="BB1" t="str">
        <f>SOFR3mo_PX[[#Headers],[Column54]]</f>
        <v>Column54</v>
      </c>
      <c r="BC1" t="str">
        <f>SOFR3mo_PX[[#Headers],[Column55]]</f>
        <v>Column55</v>
      </c>
      <c r="BD1" t="str">
        <f>SOFR3mo_PX[[#Headers],[Column56]]</f>
        <v>Column56</v>
      </c>
      <c r="BE1" t="str">
        <f>SOFR3mo_PX[[#Headers],[Column57]]</f>
        <v>Column57</v>
      </c>
      <c r="BF1" t="str">
        <f>SOFR3mo_PX[[#Headers],[Column58]]</f>
        <v>Column58</v>
      </c>
      <c r="BG1" t="str">
        <f>SOFR3mo_PX[[#Headers],[Column59]]</f>
        <v>Column59</v>
      </c>
      <c r="BH1" t="str">
        <f>SOFR3mo_PX[[#Headers],[Column60]]</f>
        <v>Column60</v>
      </c>
      <c r="BI1" t="str">
        <f>SOFR3mo_PX[[#Headers],[Column61]]</f>
        <v>Column61</v>
      </c>
      <c r="BJ1" t="str">
        <f>SOFR3mo_PX[[#Headers],[Column62]]</f>
        <v>Column62</v>
      </c>
      <c r="BK1" t="str">
        <f>SOFR3mo_PX[[#Headers],[Column63]]</f>
        <v>Column63</v>
      </c>
      <c r="BL1" t="str">
        <f>SOFR3mo_PX[[#Headers],[Column64]]</f>
        <v>Column64</v>
      </c>
      <c r="BM1" t="str">
        <f>SOFR3mo_PX[[#Headers],[Column65]]</f>
        <v>Column65</v>
      </c>
      <c r="BN1" t="str">
        <f>SOFR3mo_PX[[#Headers],[Column66]]</f>
        <v>Column66</v>
      </c>
      <c r="BO1" t="str">
        <f>SOFR3mo_PX[[#Headers],[Column67]]</f>
        <v>Column67</v>
      </c>
      <c r="BP1" t="str">
        <f>SOFR3mo_PX[[#Headers],[Column68]]</f>
        <v>Column68</v>
      </c>
      <c r="BQ1" t="str">
        <f>SOFR3mo_PX[[#Headers],[Column69]]</f>
        <v>Column69</v>
      </c>
      <c r="BR1" t="str">
        <f>SOFR3mo_PX[[#Headers],[Column70]]</f>
        <v>Column70</v>
      </c>
      <c r="BS1" t="str">
        <f>SOFR3mo_PX[[#Headers],[Column71]]</f>
        <v>Column71</v>
      </c>
      <c r="BT1" t="str">
        <f>SOFR3mo_PX[[#Headers],[Column72]]</f>
        <v>Column72</v>
      </c>
      <c r="BU1" t="str">
        <f>SOFR3mo_PX[[#Headers],[Column73]]</f>
        <v>Column73</v>
      </c>
      <c r="BV1" t="str">
        <f>SOFR3mo_PX[[#Headers],[Column74]]</f>
        <v>Column74</v>
      </c>
      <c r="BW1" t="str">
        <f>SOFR3mo_PX[[#Headers],[Column75]]</f>
        <v>Column75</v>
      </c>
      <c r="BX1" t="str">
        <f>SOFR3mo_PX[[#Headers],[Column76]]</f>
        <v>Column76</v>
      </c>
      <c r="BY1" t="str">
        <f>SOFR3mo_PX[[#Headers],[Column77]]</f>
        <v>Column77</v>
      </c>
      <c r="BZ1" t="str">
        <f>SOFR3mo_PX[[#Headers],[Column78]]</f>
        <v>Column78</v>
      </c>
      <c r="CA1" t="str">
        <f>SOFR3mo_PX[[#Headers],[Column79]]</f>
        <v>Column79</v>
      </c>
      <c r="CB1" t="str">
        <f>SOFR3mo_PX[[#Headers],[Column80]]</f>
        <v>Column80</v>
      </c>
      <c r="CC1" t="str">
        <f>SOFR3mo_PX[[#Headers],[Column81]]</f>
        <v>Column81</v>
      </c>
      <c r="CD1" t="str">
        <f>SOFR3mo_PX[[#Headers],[Column82]]</f>
        <v>Column82</v>
      </c>
      <c r="CE1" t="str">
        <f>SOFR3mo_PX[[#Headers],[Column83]]</f>
        <v>Column83</v>
      </c>
      <c r="CF1" t="str">
        <f>SOFR3mo_PX[[#Headers],[Column84]]</f>
        <v>Column84</v>
      </c>
      <c r="CG1" t="str">
        <f>SOFR3mo_PX[[#Headers],[Column85]]</f>
        <v>Column85</v>
      </c>
      <c r="CH1" t="str">
        <f>SOFR3mo_PX[[#Headers],[Column86]]</f>
        <v>Column86</v>
      </c>
      <c r="CI1" t="str">
        <f>SOFR3mo_PX[[#Headers],[Column87]]</f>
        <v>Column87</v>
      </c>
      <c r="CJ1" t="str">
        <f>SOFR3mo_PX[[#Headers],[Column88]]</f>
        <v>Column88</v>
      </c>
      <c r="CK1" t="str">
        <f>SOFR3mo_PX[[#Headers],[Column89]]</f>
        <v>Column89</v>
      </c>
      <c r="CL1" t="str">
        <f>SOFR3mo_PX[[#Headers],[Column90]]</f>
        <v>Column90</v>
      </c>
      <c r="CM1" t="str">
        <f>SOFR3mo_PX[[#Headers],[Column91]]</f>
        <v>Column91</v>
      </c>
      <c r="CN1" t="str">
        <f>SOFR3mo_PX[[#Headers],[Column92]]</f>
        <v>Column92</v>
      </c>
      <c r="CO1" t="str">
        <f>SOFR3mo_PX[[#Headers],[Column93]]</f>
        <v>Column93</v>
      </c>
      <c r="CP1" t="str">
        <f>SOFR3mo_PX[[#Headers],[Column94]]</f>
        <v>Column94</v>
      </c>
      <c r="CQ1" t="str">
        <f>SOFR3mo_PX[[#Headers],[Column95]]</f>
        <v>Column95</v>
      </c>
      <c r="CR1" t="str">
        <f>SOFR3mo_PX[[#Headers],[Column96]]</f>
        <v>Column96</v>
      </c>
      <c r="CS1" t="str">
        <f>SOFR3mo_PX[[#Headers],[Column97]]</f>
        <v>Column97</v>
      </c>
      <c r="CT1" t="str">
        <f>SOFR3mo_PX[[#Headers],[Column98]]</f>
        <v>Column98</v>
      </c>
      <c r="CU1" t="str">
        <f>SOFR3mo_PX[[#Headers],[Column99]]</f>
        <v>Column99</v>
      </c>
      <c r="CV1" t="str">
        <f>SOFR3mo_PX[[#Headers],[Column100]]</f>
        <v>Column100</v>
      </c>
      <c r="CW1" t="str">
        <f>SOFR3mo_PX[[#Headers],[Column101]]</f>
        <v>Column101</v>
      </c>
      <c r="CX1" t="str">
        <f>SOFR3mo_PX[[#Headers],[Column102]]</f>
        <v>Column102</v>
      </c>
      <c r="CY1" t="str">
        <f>SOFR3mo_PX[[#Headers],[Column103]]</f>
        <v>Column103</v>
      </c>
      <c r="CZ1" t="str">
        <f>SOFR3mo_PX[[#Headers],[Column104]]</f>
        <v>Column104</v>
      </c>
      <c r="DA1" t="str">
        <f>SOFR3mo_PX[[#Headers],[Column105]]</f>
        <v>Column105</v>
      </c>
      <c r="DB1" t="str">
        <f>SOFR3mo_PX[[#Headers],[Column106]]</f>
        <v>Column106</v>
      </c>
      <c r="DC1" t="str">
        <f>SOFR3mo_PX[[#Headers],[Column107]]</f>
        <v>Column107</v>
      </c>
      <c r="DD1" t="str">
        <f>SOFR3mo_PX[[#Headers],[Column108]]</f>
        <v>Column108</v>
      </c>
      <c r="DE1" t="str">
        <f>SOFR3mo_PX[[#Headers],[Column109]]</f>
        <v>Column109</v>
      </c>
      <c r="DF1" t="str">
        <f>SOFR3mo_PX[[#Headers],[Column110]]</f>
        <v>Column110</v>
      </c>
      <c r="DG1" t="str">
        <f>SOFR3mo_PX[[#Headers],[Column111]]</f>
        <v>Column111</v>
      </c>
      <c r="DH1" t="str">
        <f>SOFR3mo_PX[[#Headers],[Column112]]</f>
        <v>Column112</v>
      </c>
      <c r="DI1" t="str">
        <f>SOFR3mo_PX[[#Headers],[Column113]]</f>
        <v>Column113</v>
      </c>
      <c r="DJ1" t="str">
        <f>SOFR3mo_PX[[#Headers],[Column114]]</f>
        <v>Column114</v>
      </c>
      <c r="DK1" t="str">
        <f>SOFR3mo_PX[[#Headers],[Column115]]</f>
        <v>Column115</v>
      </c>
      <c r="DL1" t="str">
        <f>SOFR3mo_PX[[#Headers],[Column116]]</f>
        <v>Column116</v>
      </c>
      <c r="DM1" t="str">
        <f>SOFR3mo_PX[[#Headers],[Column117]]</f>
        <v>Column117</v>
      </c>
      <c r="DN1" t="str">
        <f>SOFR3mo_PX[[#Headers],[Column118]]</f>
        <v>Column118</v>
      </c>
      <c r="DO1" t="str">
        <f>SOFR3mo_PX[[#Headers],[Column119]]</f>
        <v>Column119</v>
      </c>
      <c r="DP1" t="str">
        <f>SOFR3mo_PX[[#Headers],[Column120]]</f>
        <v>Column120</v>
      </c>
      <c r="DQ1" t="str">
        <f>SOFR3mo_PX[[#Headers],[Column121]]</f>
        <v>Column121</v>
      </c>
      <c r="DR1" t="str">
        <f>SOFR3mo_PX[[#Headers],[Column122]]</f>
        <v>Column122</v>
      </c>
      <c r="DS1" t="str">
        <f>SOFR3mo_PX[[#Headers],[Column123]]</f>
        <v>Column123</v>
      </c>
      <c r="DT1" t="str">
        <f>SOFR3mo_PX[[#Headers],[Column124]]</f>
        <v>Column124</v>
      </c>
      <c r="DU1" t="str">
        <f>SOFR3mo_PX[[#Headers],[Column125]]</f>
        <v>Column125</v>
      </c>
      <c r="DV1" t="str">
        <f>SOFR3mo_PX[[#Headers],[Column126]]</f>
        <v>Column126</v>
      </c>
      <c r="DW1" t="str">
        <f>SOFR3mo_PX[[#Headers],[Column127]]</f>
        <v>Column127</v>
      </c>
      <c r="DX1" t="str">
        <f>SOFR3mo_PX[[#Headers],[Column128]]</f>
        <v>Column128</v>
      </c>
      <c r="DY1" t="str">
        <f>SOFR3mo_PX[[#Headers],[Column129]]</f>
        <v>Column129</v>
      </c>
      <c r="DZ1" t="str">
        <f>SOFR3mo_PX[[#Headers],[Column130]]</f>
        <v>Column130</v>
      </c>
      <c r="EA1" t="str">
        <f>SOFR3mo_PX[[#Headers],[Column131]]</f>
        <v>Column131</v>
      </c>
      <c r="EB1" t="str">
        <f>SOFR3mo_PX[[#Headers],[Column132]]</f>
        <v>Column132</v>
      </c>
      <c r="EC1" t="str">
        <f>SOFR3mo_PX[[#Headers],[Column133]]</f>
        <v>Column133</v>
      </c>
      <c r="ED1" t="str">
        <f>SOFR3mo_PX[[#Headers],[Column134]]</f>
        <v>Column134</v>
      </c>
      <c r="EE1" t="str">
        <f>SOFR3mo_PX[[#Headers],[Column135]]</f>
        <v>Column135</v>
      </c>
      <c r="EF1" t="str">
        <f>SOFR3mo_PX[[#Headers],[Column136]]</f>
        <v>Column136</v>
      </c>
      <c r="EG1" t="str">
        <f>SOFR3mo_PX[[#Headers],[Column137]]</f>
        <v>Column137</v>
      </c>
      <c r="EH1" t="str">
        <f>SOFR3mo_PX[[#Headers],[Column138]]</f>
        <v>Column138</v>
      </c>
      <c r="EI1" t="str">
        <f>SOFR3mo_PX[[#Headers],[Column139]]</f>
        <v>Column139</v>
      </c>
      <c r="EJ1" t="str">
        <f>SOFR3mo_PX[[#Headers],[Column140]]</f>
        <v>Column140</v>
      </c>
      <c r="EK1" t="str">
        <f>SOFR3mo_PX[[#Headers],[Column141]]</f>
        <v>Column141</v>
      </c>
      <c r="EL1" t="str">
        <f>SOFR3mo_PX[[#Headers],[Column142]]</f>
        <v>Column142</v>
      </c>
      <c r="EM1" t="str">
        <f>SOFR3mo_PX[[#Headers],[Column143]]</f>
        <v>Column143</v>
      </c>
      <c r="EN1" t="str">
        <f>SOFR3mo_PX[[#Headers],[Column144]]</f>
        <v>Column144</v>
      </c>
      <c r="EO1" t="str">
        <f>SOFR3mo_PX[[#Headers],[Column145]]</f>
        <v>Column145</v>
      </c>
      <c r="EP1" t="str">
        <f>SOFR3mo_PX[[#Headers],[Column146]]</f>
        <v>Column146</v>
      </c>
      <c r="EQ1" t="str">
        <f>SOFR3mo_PX[[#Headers],[Column147]]</f>
        <v>Column147</v>
      </c>
      <c r="ER1" t="str">
        <f>SOFR3mo_PX[[#Headers],[Column148]]</f>
        <v>Column148</v>
      </c>
      <c r="ES1" t="str">
        <f>SOFR3mo_PX[[#Headers],[Column149]]</f>
        <v>Column149</v>
      </c>
      <c r="ET1" t="str">
        <f>SOFR3mo_PX[[#Headers],[Column150]]</f>
        <v>Column150</v>
      </c>
      <c r="EU1" t="str">
        <f>SOFR3mo_PX[[#Headers],[Column151]]</f>
        <v>Column151</v>
      </c>
      <c r="EV1" t="str">
        <f>SOFR3mo_PX[[#Headers],[Column152]]</f>
        <v>Column152</v>
      </c>
      <c r="EW1" t="str">
        <f>SOFR3mo_PX[[#Headers],[Column153]]</f>
        <v>Column153</v>
      </c>
      <c r="EX1" t="str">
        <f>SOFR3mo_PX[[#Headers],[Column154]]</f>
        <v>Column154</v>
      </c>
      <c r="EY1" t="str">
        <f>SOFR3mo_PX[[#Headers],[Column155]]</f>
        <v>Column155</v>
      </c>
      <c r="EZ1" t="str">
        <f>SOFR3mo_PX[[#Headers],[Column156]]</f>
        <v>Column156</v>
      </c>
      <c r="FA1" t="str">
        <f>SOFR3mo_PX[[#Headers],[Column157]]</f>
        <v>Column157</v>
      </c>
      <c r="FB1" t="str">
        <f>SOFR3mo_PX[[#Headers],[Column158]]</f>
        <v>Column158</v>
      </c>
      <c r="FC1" t="str">
        <f>SOFR3mo_PX[[#Headers],[Column159]]</f>
        <v>Column159</v>
      </c>
      <c r="FD1" t="str">
        <f>SOFR3mo_PX[[#Headers],[Column160]]</f>
        <v>Column160</v>
      </c>
      <c r="FE1" t="str">
        <f>SOFR3mo_PX[[#Headers],[Column161]]</f>
        <v>Column161</v>
      </c>
      <c r="FF1" t="str">
        <f>SOFR3mo_PX[[#Headers],[Column162]]</f>
        <v>Column162</v>
      </c>
      <c r="FG1" t="str">
        <f>SOFR3mo_PX[[#Headers],[Column163]]</f>
        <v>Column163</v>
      </c>
      <c r="FH1" t="str">
        <f>SOFR3mo_PX[[#Headers],[Column164]]</f>
        <v>Column164</v>
      </c>
      <c r="FI1" t="str">
        <f>SOFR3mo_PX[[#Headers],[Column165]]</f>
        <v>Column165</v>
      </c>
      <c r="FJ1" t="str">
        <f>SOFR3mo_PX[[#Headers],[Column166]]</f>
        <v>Column166</v>
      </c>
      <c r="FK1" t="str">
        <f>SOFR3mo_PX[[#Headers],[Column167]]</f>
        <v>Column167</v>
      </c>
      <c r="FL1" t="str">
        <f>SOFR3mo_PX[[#Headers],[Column168]]</f>
        <v>Column168</v>
      </c>
      <c r="FM1" t="str">
        <f>SOFR3mo_PX[[#Headers],[Column169]]</f>
        <v>Column169</v>
      </c>
      <c r="FN1" t="str">
        <f>SOFR3mo_PX[[#Headers],[Column170]]</f>
        <v>Column170</v>
      </c>
      <c r="FO1" t="str">
        <f>SOFR3mo_PX[[#Headers],[Column171]]</f>
        <v>Column171</v>
      </c>
      <c r="FP1" t="str">
        <f>SOFR3mo_PX[[#Headers],[Column172]]</f>
        <v>Column172</v>
      </c>
      <c r="FQ1" t="str">
        <f>SOFR3mo_PX[[#Headers],[Column173]]</f>
        <v>Column173</v>
      </c>
      <c r="FR1" t="str">
        <f>SOFR3mo_PX[[#Headers],[Column174]]</f>
        <v>Column174</v>
      </c>
      <c r="FS1" t="str">
        <f>SOFR3mo_PX[[#Headers],[Column175]]</f>
        <v>Column175</v>
      </c>
      <c r="FT1" t="str">
        <f>SOFR3mo_PX[[#Headers],[Column176]]</f>
        <v>Column176</v>
      </c>
      <c r="FU1" t="str">
        <f>SOFR3mo_PX[[#Headers],[Column177]]</f>
        <v>Column177</v>
      </c>
      <c r="FV1" t="str">
        <f>SOFR3mo_PX[[#Headers],[Column178]]</f>
        <v>Column178</v>
      </c>
      <c r="FW1" t="str">
        <f>SOFR3mo_PX[[#Headers],[Column179]]</f>
        <v>Column179</v>
      </c>
      <c r="FX1" t="str">
        <f>SOFR3mo_PX[[#Headers],[Column180]]</f>
        <v>Column180</v>
      </c>
      <c r="FY1" t="str">
        <f>SOFR3mo_PX[[#Headers],[Column181]]</f>
        <v>Column181</v>
      </c>
      <c r="FZ1" t="str">
        <f>SOFR3mo_PX[[#Headers],[Column182]]</f>
        <v>Column182</v>
      </c>
      <c r="GA1" t="str">
        <f>SOFR3mo_PX[[#Headers],[Column183]]</f>
        <v>Column183</v>
      </c>
      <c r="GB1" t="str">
        <f>SOFR3mo_PX[[#Headers],[Column184]]</f>
        <v>Column184</v>
      </c>
      <c r="GC1" t="str">
        <f>SOFR3mo_PX[[#Headers],[Column185]]</f>
        <v>Column185</v>
      </c>
      <c r="GD1" t="str">
        <f>SOFR3mo_PX[[#Headers],[Column186]]</f>
        <v>Column186</v>
      </c>
      <c r="GE1" t="str">
        <f>SOFR3mo_PX[[#Headers],[Column187]]</f>
        <v>Column187</v>
      </c>
      <c r="GF1" t="str">
        <f>SOFR3mo_PX[[#Headers],[Column188]]</f>
        <v>Column188</v>
      </c>
      <c r="GG1" t="str">
        <f>SOFR3mo_PX[[#Headers],[Column189]]</f>
        <v>Column189</v>
      </c>
      <c r="GH1" t="str">
        <f>SOFR3mo_PX[[#Headers],[Column190]]</f>
        <v>Column190</v>
      </c>
      <c r="GI1" t="str">
        <f>SOFR3mo_PX[[#Headers],[Column191]]</f>
        <v>Column191</v>
      </c>
      <c r="GJ1" t="str">
        <f>SOFR3mo_PX[[#Headers],[Column192]]</f>
        <v>Column192</v>
      </c>
      <c r="GK1" t="str">
        <f>SOFR3mo_PX[[#Headers],[Column193]]</f>
        <v>Column193</v>
      </c>
      <c r="GL1" t="str">
        <f>SOFR3mo_PX[[#Headers],[Column194]]</f>
        <v>Column194</v>
      </c>
      <c r="GM1" t="str">
        <f>SOFR3mo_PX[[#Headers],[Column195]]</f>
        <v>Column195</v>
      </c>
      <c r="GN1" t="str">
        <f>SOFR3mo_PX[[#Headers],[Column196]]</f>
        <v>Column196</v>
      </c>
      <c r="GO1" t="str">
        <f>SOFR3mo_PX[[#Headers],[Column197]]</f>
        <v>Column197</v>
      </c>
      <c r="GP1" t="str">
        <f>SOFR3mo_PX[[#Headers],[Column198]]</f>
        <v>Column198</v>
      </c>
      <c r="GQ1" t="str">
        <f>SOFR3mo_PX[[#Headers],[Column199]]</f>
        <v>Column199</v>
      </c>
      <c r="GR1" t="str">
        <f>SOFR3mo_PX[[#Headers],[Column200]]</f>
        <v>Column200</v>
      </c>
      <c r="GS1" t="str">
        <f>SOFR3mo_PX[[#Headers],[Column201]]</f>
        <v>Column201</v>
      </c>
      <c r="GT1" t="str">
        <f>SOFR3mo_PX[[#Headers],[Column202]]</f>
        <v>Column202</v>
      </c>
      <c r="GU1" t="str">
        <f>SOFR3mo_PX[[#Headers],[Column203]]</f>
        <v>Column203</v>
      </c>
      <c r="GV1" t="str">
        <f>SOFR3mo_PX[[#Headers],[Column204]]</f>
        <v>Column204</v>
      </c>
      <c r="GW1" t="str">
        <f>SOFR3mo_PX[[#Headers],[Column205]]</f>
        <v>Column205</v>
      </c>
      <c r="GX1" t="str">
        <f>SOFR3mo_PX[[#Headers],[Column206]]</f>
        <v>Column206</v>
      </c>
      <c r="GY1" t="str">
        <f>SOFR3mo_PX[[#Headers],[Column207]]</f>
        <v>Column207</v>
      </c>
      <c r="GZ1" t="str">
        <f>SOFR3mo_PX[[#Headers],[Column208]]</f>
        <v>Column208</v>
      </c>
      <c r="HA1" t="str">
        <f>SOFR3mo_PX[[#Headers],[Column209]]</f>
        <v>Column209</v>
      </c>
      <c r="HB1" t="str">
        <f>SOFR3mo_PX[[#Headers],[Column210]]</f>
        <v>Column210</v>
      </c>
      <c r="HC1" t="str">
        <f>SOFR3mo_PX[[#Headers],[Column211]]</f>
        <v>Column211</v>
      </c>
      <c r="HD1" t="str">
        <f>SOFR3mo_PX[[#Headers],[Column212]]</f>
        <v>Column212</v>
      </c>
      <c r="HE1" t="str">
        <f>SOFR3mo_PX[[#Headers],[Column213]]</f>
        <v>Column213</v>
      </c>
      <c r="HF1" t="str">
        <f>SOFR3mo_PX[[#Headers],[Column214]]</f>
        <v>Column214</v>
      </c>
      <c r="HG1" t="str">
        <f>SOFR3mo_PX[[#Headers],[Column215]]</f>
        <v>Column215</v>
      </c>
      <c r="HH1" t="str">
        <f>SOFR3mo_PX[[#Headers],[Column216]]</f>
        <v>Column216</v>
      </c>
      <c r="HI1" t="str">
        <f>SOFR3mo_PX[[#Headers],[Column217]]</f>
        <v>Column217</v>
      </c>
      <c r="HJ1" t="str">
        <f>SOFR3mo_PX[[#Headers],[Column218]]</f>
        <v>Column218</v>
      </c>
      <c r="HK1" t="str">
        <f>SOFR3mo_PX[[#Headers],[Column219]]</f>
        <v>Column219</v>
      </c>
      <c r="HL1" t="str">
        <f>SOFR3mo_PX[[#Headers],[Column220]]</f>
        <v>Column220</v>
      </c>
      <c r="HM1" t="str">
        <f>SOFR3mo_PX[[#Headers],[Column221]]</f>
        <v>Column221</v>
      </c>
      <c r="HN1" t="str">
        <f>SOFR3mo_PX[[#Headers],[Column222]]</f>
        <v>Column222</v>
      </c>
      <c r="HO1" t="str">
        <f>SOFR3mo_PX[[#Headers],[Column223]]</f>
        <v>Column223</v>
      </c>
      <c r="HP1" t="str">
        <f>SOFR3mo_PX[[#Headers],[Column224]]</f>
        <v>Column224</v>
      </c>
      <c r="HQ1" t="str">
        <f>SOFR3mo_PX[[#Headers],[Column225]]</f>
        <v>Column225</v>
      </c>
      <c r="HR1" t="str">
        <f>SOFR3mo_PX[[#Headers],[Column226]]</f>
        <v>Column226</v>
      </c>
      <c r="HS1" t="str">
        <f>SOFR3mo_PX[[#Headers],[Column227]]</f>
        <v>Column227</v>
      </c>
      <c r="HT1" t="str">
        <f>SOFR3mo_PX[[#Headers],[Column228]]</f>
        <v>Column228</v>
      </c>
      <c r="HU1" t="str">
        <f>SOFR3mo_PX[[#Headers],[Column229]]</f>
        <v>Column229</v>
      </c>
      <c r="HV1" t="str">
        <f>SOFR3mo_PX[[#Headers],[Column230]]</f>
        <v>Column230</v>
      </c>
      <c r="HW1" t="str">
        <f>SOFR3mo_PX[[#Headers],[Column231]]</f>
        <v>Column231</v>
      </c>
      <c r="HX1" t="str">
        <f>SOFR3mo_PX[[#Headers],[Column232]]</f>
        <v>Column232</v>
      </c>
      <c r="HY1" t="str">
        <f>SOFR3mo_PX[[#Headers],[Column233]]</f>
        <v>Column233</v>
      </c>
      <c r="HZ1" t="str">
        <f>SOFR3mo_PX[[#Headers],[Column234]]</f>
        <v>Column234</v>
      </c>
      <c r="IA1" t="str">
        <f>SOFR3mo_PX[[#Headers],[Column235]]</f>
        <v>Column235</v>
      </c>
      <c r="IB1" t="str">
        <f>SOFR3mo_PX[[#Headers],[Column236]]</f>
        <v>Column236</v>
      </c>
      <c r="IC1" t="str">
        <f>SOFR3mo_PX[[#Headers],[Column237]]</f>
        <v>Column237</v>
      </c>
      <c r="ID1" t="str">
        <f>SOFR3mo_PX[[#Headers],[Column238]]</f>
        <v>Column238</v>
      </c>
      <c r="IE1" t="str">
        <f>SOFR3mo_PX[[#Headers],[Column239]]</f>
        <v>Column239</v>
      </c>
      <c r="IF1" t="str">
        <f>SOFR3mo_PX[[#Headers],[Column240]]</f>
        <v>Column240</v>
      </c>
      <c r="IG1" t="str">
        <f>SOFR3mo_PX[[#Headers],[Column241]]</f>
        <v>Column241</v>
      </c>
      <c r="IH1" t="str">
        <f>SOFR3mo_PX[[#Headers],[Column242]]</f>
        <v>Column242</v>
      </c>
      <c r="II1" t="str">
        <f>SOFR3mo_PX[[#Headers],[Column243]]</f>
        <v>Column243</v>
      </c>
      <c r="IJ1" t="str">
        <f>SOFR3mo_PX[[#Headers],[Column244]]</f>
        <v>Column244</v>
      </c>
      <c r="IK1" t="str">
        <f>SOFR3mo_PX[[#Headers],[Column245]]</f>
        <v>Column245</v>
      </c>
      <c r="IL1" t="str">
        <f>SOFR3mo_PX[[#Headers],[Column246]]</f>
        <v>Column246</v>
      </c>
      <c r="IM1" t="str">
        <f>SOFR3mo_PX[[#Headers],[Column247]]</f>
        <v>Column247</v>
      </c>
      <c r="IN1" t="str">
        <f>SOFR3mo_PX[[#Headers],[Column248]]</f>
        <v>Column248</v>
      </c>
      <c r="IO1" t="str">
        <f>SOFR3mo_PX[[#Headers],[Column249]]</f>
        <v>Column249</v>
      </c>
      <c r="IP1" t="str">
        <f>SOFR3mo_PX[[#Headers],[Column250]]</f>
        <v>Column250</v>
      </c>
      <c r="IQ1" t="str">
        <f>SOFR3mo_PX[[#Headers],[Column251]]</f>
        <v>Column251</v>
      </c>
      <c r="IR1" t="str">
        <f>SOFR3mo_PX[[#Headers],[Column252]]</f>
        <v>Column252</v>
      </c>
      <c r="IS1" t="str">
        <f>SOFR3mo_PX[[#Headers],[Column253]]</f>
        <v>Column253</v>
      </c>
      <c r="IT1" t="str">
        <f>SOFR3mo_PX[[#Headers],[Column254]]</f>
        <v>Column254</v>
      </c>
      <c r="IU1" t="str">
        <f>SOFR3mo_PX[[#Headers],[Column255]]</f>
        <v>Column255</v>
      </c>
      <c r="IV1" t="str">
        <f>SOFR3mo_PX[[#Headers],[Column256]]</f>
        <v>Column256</v>
      </c>
      <c r="IW1" t="str">
        <f>SOFR3mo_PX[[#Headers],[Column257]]</f>
        <v>Column257</v>
      </c>
      <c r="IX1" t="str">
        <f>SOFR3mo_PX[[#Headers],[Column258]]</f>
        <v>Column258</v>
      </c>
      <c r="IY1" t="str">
        <f>SOFR3mo_PX[[#Headers],[Column259]]</f>
        <v>Column259</v>
      </c>
      <c r="IZ1" t="str">
        <f>SOFR3mo_PX[[#Headers],[Column260]]</f>
        <v>Column260</v>
      </c>
      <c r="JA1" t="str">
        <f>SOFR3mo_PX[[#Headers],[Column261]]</f>
        <v>Column261</v>
      </c>
      <c r="JB1" t="str">
        <f>SOFR3mo_PX[[#Headers],[Column262]]</f>
        <v>Column262</v>
      </c>
      <c r="JC1" t="str">
        <f>SOFR3mo_PX[[#Headers],[Column263]]</f>
        <v>Column263</v>
      </c>
      <c r="JD1" t="str">
        <f>SOFR3mo_PX[[#Headers],[Column264]]</f>
        <v>Column264</v>
      </c>
      <c r="JE1" t="str">
        <f>SOFR3mo_PX[[#Headers],[Column265]]</f>
        <v>Column265</v>
      </c>
      <c r="JF1" t="str">
        <f>SOFR3mo_PX[[#Headers],[Column266]]</f>
        <v>Column266</v>
      </c>
      <c r="JG1" t="str">
        <f>SOFR3mo_PX[[#Headers],[Column267]]</f>
        <v>Column267</v>
      </c>
      <c r="JH1" t="str">
        <f>SOFR3mo_PX[[#Headers],[Column268]]</f>
        <v>Column268</v>
      </c>
      <c r="JI1" t="str">
        <f>SOFR3mo_PX[[#Headers],[Column269]]</f>
        <v>Column269</v>
      </c>
      <c r="JJ1" t="str">
        <f>SOFR3mo_PX[[#Headers],[Column270]]</f>
        <v>Column270</v>
      </c>
      <c r="JK1" t="str">
        <f>SOFR3mo_PX[[#Headers],[Column271]]</f>
        <v>Column271</v>
      </c>
      <c r="JL1" t="str">
        <f>SOFR3mo_PX[[#Headers],[Column272]]</f>
        <v>Column272</v>
      </c>
      <c r="JM1" t="str">
        <f>SOFR3mo_PX[[#Headers],[Column273]]</f>
        <v>Column273</v>
      </c>
      <c r="JN1" t="str">
        <f>SOFR3mo_PX[[#Headers],[Column274]]</f>
        <v>Column274</v>
      </c>
      <c r="JO1" t="str">
        <f>SOFR3mo_PX[[#Headers],[Column275]]</f>
        <v>Column275</v>
      </c>
      <c r="JP1" t="str">
        <f>SOFR3mo_PX[[#Headers],[Column276]]</f>
        <v>Column276</v>
      </c>
      <c r="JQ1" t="str">
        <f>SOFR3mo_PX[[#Headers],[Column277]]</f>
        <v>Column277</v>
      </c>
      <c r="JR1" t="str">
        <f>SOFR3mo_PX[[#Headers],[Column278]]</f>
        <v>Column278</v>
      </c>
      <c r="JS1" t="str">
        <f>SOFR3mo_PX[[#Headers],[Column279]]</f>
        <v>Column279</v>
      </c>
      <c r="JT1" t="str">
        <f>SOFR3mo_PX[[#Headers],[Column280]]</f>
        <v>Column280</v>
      </c>
      <c r="JU1" t="str">
        <f>SOFR3mo_PX[[#Headers],[Column281]]</f>
        <v>Column281</v>
      </c>
      <c r="JV1" t="str">
        <f>SOFR3mo_PX[[#Headers],[Column282]]</f>
        <v>Column282</v>
      </c>
      <c r="JW1" t="str">
        <f>SOFR3mo_PX[[#Headers],[Column283]]</f>
        <v>Column283</v>
      </c>
      <c r="JX1" t="str">
        <f>SOFR3mo_PX[[#Headers],[Column284]]</f>
        <v>Column284</v>
      </c>
      <c r="JY1" t="str">
        <f>SOFR3mo_PX[[#Headers],[Column285]]</f>
        <v>Column285</v>
      </c>
      <c r="JZ1" t="str">
        <f>SOFR3mo_PX[[#Headers],[Column286]]</f>
        <v>Column286</v>
      </c>
      <c r="KA1" t="str">
        <f>SOFR3mo_PX[[#Headers],[Column287]]</f>
        <v>Column287</v>
      </c>
      <c r="KB1" t="str">
        <f>SOFR3mo_PX[[#Headers],[Column288]]</f>
        <v>Column288</v>
      </c>
      <c r="KC1" t="str">
        <f>SOFR3mo_PX[[#Headers],[Column289]]</f>
        <v>Column289</v>
      </c>
      <c r="KD1" t="str">
        <f>SOFR3mo_PX[[#Headers],[Column290]]</f>
        <v>Column290</v>
      </c>
      <c r="KE1" t="str">
        <f>SOFR3mo_PX[[#Headers],[Column291]]</f>
        <v>Column291</v>
      </c>
      <c r="KF1" t="str">
        <f>SOFR3mo_PX[[#Headers],[Column292]]</f>
        <v>Column292</v>
      </c>
      <c r="KG1" t="str">
        <f>SOFR3mo_PX[[#Headers],[Column293]]</f>
        <v>Column293</v>
      </c>
      <c r="KH1" t="str">
        <f>SOFR3mo_PX[[#Headers],[Column294]]</f>
        <v>Column294</v>
      </c>
      <c r="KI1" t="str">
        <f>SOFR3mo_PX[[#Headers],[Column295]]</f>
        <v>Column295</v>
      </c>
      <c r="KJ1" t="str">
        <f>SOFR3mo_PX[[#Headers],[Column296]]</f>
        <v>Column296</v>
      </c>
      <c r="KK1" t="str">
        <f>SOFR3mo_PX[[#Headers],[Column297]]</f>
        <v>Column297</v>
      </c>
      <c r="KL1" t="str">
        <f>SOFR3mo_PX[[#Headers],[Column298]]</f>
        <v>Column298</v>
      </c>
      <c r="KM1" t="str">
        <f>SOFR3mo_PX[[#Headers],[Column299]]</f>
        <v>Column299</v>
      </c>
      <c r="KN1" t="str">
        <f>SOFR3mo_PX[[#Headers],[Column300]]</f>
        <v>Column300</v>
      </c>
      <c r="KO1" t="str">
        <f>SOFR3mo_PX[[#Headers],[Column301]]</f>
        <v>Column301</v>
      </c>
      <c r="KP1" t="str">
        <f>SOFR3mo_PX[[#Headers],[Column302]]</f>
        <v>Column302</v>
      </c>
      <c r="KQ1" t="str">
        <f>SOFR3mo_PX[[#Headers],[Column303]]</f>
        <v>Column303</v>
      </c>
      <c r="KR1" t="str">
        <f>SOFR3mo_PX[[#Headers],[Column304]]</f>
        <v>Column304</v>
      </c>
      <c r="KS1" t="str">
        <f>SOFR3mo_PX[[#Headers],[Column305]]</f>
        <v>Column305</v>
      </c>
      <c r="KT1" t="str">
        <f>SOFR3mo_PX[[#Headers],[Column306]]</f>
        <v>Column306</v>
      </c>
      <c r="KU1" t="str">
        <f>SOFR3mo_PX[[#Headers],[Column307]]</f>
        <v>Column307</v>
      </c>
      <c r="KV1" t="str">
        <f>SOFR3mo_PX[[#Headers],[Column308]]</f>
        <v>Column308</v>
      </c>
      <c r="KW1" t="str">
        <f>SOFR3mo_PX[[#Headers],[Column309]]</f>
        <v>Column309</v>
      </c>
      <c r="KX1" t="str">
        <f>SOFR3mo_PX[[#Headers],[Column310]]</f>
        <v>Column310</v>
      </c>
      <c r="KY1" t="str">
        <f>SOFR3mo_PX[[#Headers],[Column311]]</f>
        <v>Column311</v>
      </c>
      <c r="KZ1" t="str">
        <f>SOFR3mo_PX[[#Headers],[Column312]]</f>
        <v>Column312</v>
      </c>
      <c r="LA1" t="str">
        <f>SOFR3mo_PX[[#Headers],[Column313]]</f>
        <v>Column313</v>
      </c>
      <c r="LB1" t="str">
        <f>SOFR3mo_PX[[#Headers],[Column314]]</f>
        <v>Column314</v>
      </c>
      <c r="LC1" t="str">
        <f>SOFR3mo_PX[[#Headers],[Column315]]</f>
        <v>Column315</v>
      </c>
      <c r="LD1" t="str">
        <f>SOFR3mo_PX[[#Headers],[Column316]]</f>
        <v>Column316</v>
      </c>
      <c r="LE1" t="str">
        <f>SOFR3mo_PX[[#Headers],[Column317]]</f>
        <v>Column317</v>
      </c>
      <c r="LF1" t="str">
        <f>SOFR3mo_PX[[#Headers],[Column318]]</f>
        <v>Column318</v>
      </c>
      <c r="LG1" t="str">
        <f>SOFR3mo_PX[[#Headers],[Column319]]</f>
        <v>Column319</v>
      </c>
      <c r="LH1" t="str">
        <f>SOFR3mo_PX[[#Headers],[Column320]]</f>
        <v>Column320</v>
      </c>
      <c r="LI1" t="str">
        <f>SOFR3mo_PX[[#Headers],[Column321]]</f>
        <v>Column321</v>
      </c>
      <c r="LJ1" t="str">
        <f>SOFR3mo_PX[[#Headers],[Column322]]</f>
        <v>Column322</v>
      </c>
      <c r="LK1" t="str">
        <f>SOFR3mo_PX[[#Headers],[Column323]]</f>
        <v>Column323</v>
      </c>
      <c r="LL1" t="str">
        <f>SOFR3mo_PX[[#Headers],[Column324]]</f>
        <v>Column324</v>
      </c>
      <c r="LM1" t="str">
        <f>SOFR3mo_PX[[#Headers],[Column325]]</f>
        <v>Column325</v>
      </c>
      <c r="LN1" t="str">
        <f>SOFR3mo_PX[[#Headers],[Column326]]</f>
        <v>Column326</v>
      </c>
      <c r="LO1" t="str">
        <f>SOFR3mo_PX[[#Headers],[Column327]]</f>
        <v>Column327</v>
      </c>
      <c r="LP1" t="str">
        <f>SOFR3mo_PX[[#Headers],[Column328]]</f>
        <v>Column328</v>
      </c>
      <c r="LQ1" t="str">
        <f>SOFR3mo_PX[[#Headers],[Column329]]</f>
        <v>Column329</v>
      </c>
      <c r="LR1" t="str">
        <f>SOFR3mo_PX[[#Headers],[Column330]]</f>
        <v>Column330</v>
      </c>
      <c r="LS1" t="str">
        <f>SOFR3mo_PX[[#Headers],[Column331]]</f>
        <v>Column331</v>
      </c>
      <c r="LT1" t="str">
        <f>SOFR3mo_PX[[#Headers],[Column332]]</f>
        <v>Column332</v>
      </c>
      <c r="LU1" t="str">
        <f>SOFR3mo_PX[[#Headers],[Column333]]</f>
        <v>Column333</v>
      </c>
      <c r="LV1" t="str">
        <f>SOFR3mo_PX[[#Headers],[Column334]]</f>
        <v>Column334</v>
      </c>
      <c r="LW1" t="str">
        <f>SOFR3mo_PX[[#Headers],[Column335]]</f>
        <v>Column335</v>
      </c>
      <c r="LX1" t="str">
        <f>SOFR3mo_PX[[#Headers],[Column336]]</f>
        <v>Column336</v>
      </c>
      <c r="LY1" t="str">
        <f>SOFR3mo_PX[[#Headers],[Column337]]</f>
        <v>Column337</v>
      </c>
      <c r="LZ1" t="str">
        <f>SOFR3mo_PX[[#Headers],[Column338]]</f>
        <v>Column338</v>
      </c>
      <c r="MA1" t="str">
        <f>SOFR3mo_PX[[#Headers],[Column339]]</f>
        <v>Column339</v>
      </c>
      <c r="MB1" t="str">
        <f>SOFR3mo_PX[[#Headers],[Column340]]</f>
        <v>Column340</v>
      </c>
      <c r="MC1" t="str">
        <f>SOFR3mo_PX[[#Headers],[Column341]]</f>
        <v>Column341</v>
      </c>
      <c r="MD1" t="str">
        <f>SOFR3mo_PX[[#Headers],[Column342]]</f>
        <v>Column342</v>
      </c>
      <c r="ME1" t="str">
        <f>SOFR3mo_PX[[#Headers],[Column343]]</f>
        <v>Column343</v>
      </c>
      <c r="MF1" t="str">
        <f>SOFR3mo_PX[[#Headers],[Column344]]</f>
        <v>Column344</v>
      </c>
      <c r="MG1" t="str">
        <f>SOFR3mo_PX[[#Headers],[Column345]]</f>
        <v>Column345</v>
      </c>
      <c r="MH1" t="str">
        <f>SOFR3mo_PX[[#Headers],[Column346]]</f>
        <v>Column346</v>
      </c>
      <c r="MI1" t="str">
        <f>SOFR3mo_PX[[#Headers],[Column347]]</f>
        <v>Column347</v>
      </c>
      <c r="MJ1" t="str">
        <f>SOFR3mo_PX[[#Headers],[Column348]]</f>
        <v>Column348</v>
      </c>
      <c r="MK1" t="str">
        <f>SOFR3mo_PX[[#Headers],[Column349]]</f>
        <v>Column349</v>
      </c>
      <c r="ML1" t="str">
        <f>SOFR3mo_PX[[#Headers],[Column350]]</f>
        <v>Column350</v>
      </c>
      <c r="MM1" t="str">
        <f>SOFR3mo_PX[[#Headers],[Column351]]</f>
        <v>Column351</v>
      </c>
      <c r="MN1" t="str">
        <f>SOFR3mo_PX[[#Headers],[Column352]]</f>
        <v>Column352</v>
      </c>
      <c r="MO1" t="str">
        <f>SOFR3mo_PX[[#Headers],[Column353]]</f>
        <v>Column353</v>
      </c>
      <c r="MP1" t="str">
        <f>SOFR3mo_PX[[#Headers],[Column354]]</f>
        <v>Column354</v>
      </c>
      <c r="MQ1" t="str">
        <f>SOFR3mo_PX[[#Headers],[Column355]]</f>
        <v>Column355</v>
      </c>
      <c r="MR1" t="str">
        <f>SOFR3mo_PX[[#Headers],[Column356]]</f>
        <v>Column356</v>
      </c>
      <c r="MS1" t="str">
        <f>SOFR3mo_PX[[#Headers],[Column357]]</f>
        <v>Column357</v>
      </c>
      <c r="MT1" t="str">
        <f>SOFR3mo_PX[[#Headers],[Column358]]</f>
        <v>Column358</v>
      </c>
      <c r="MU1" t="str">
        <f>SOFR3mo_PX[[#Headers],[Column359]]</f>
        <v>Column359</v>
      </c>
      <c r="MV1" t="str">
        <f>SOFR3mo_PX[[#Headers],[Column360]]</f>
        <v>Column360</v>
      </c>
      <c r="MW1" t="str">
        <f>SOFR3mo_PX[[#Headers],[Column361]]</f>
        <v>Column361</v>
      </c>
      <c r="MX1" t="str">
        <f>SOFR3mo_PX[[#Headers],[Column362]]</f>
        <v>Column362</v>
      </c>
      <c r="MY1" t="str">
        <f>SOFR3mo_PX[[#Headers],[Column363]]</f>
        <v>Column363</v>
      </c>
      <c r="MZ1" t="str">
        <f>SOFR3mo_PX[[#Headers],[Column364]]</f>
        <v>Column364</v>
      </c>
      <c r="NA1" t="str">
        <f>SOFR3mo_PX[[#Headers],[Column365]]</f>
        <v>Column365</v>
      </c>
      <c r="NB1" t="str">
        <f>SOFR3mo_PX[[#Headers],[Column366]]</f>
        <v>Column366</v>
      </c>
      <c r="NC1" t="str">
        <f>SOFR3mo_PX[[#Headers],[Column367]]</f>
        <v>Column367</v>
      </c>
      <c r="ND1" t="str">
        <f>SOFR3mo_PX[[#Headers],[Column368]]</f>
        <v>Column368</v>
      </c>
      <c r="NE1" t="str">
        <f>SOFR3mo_PX[[#Headers],[Column369]]</f>
        <v>Column369</v>
      </c>
      <c r="NF1" t="str">
        <f>SOFR3mo_PX[[#Headers],[Column370]]</f>
        <v>Column370</v>
      </c>
      <c r="NG1" t="str">
        <f>SOFR3mo_PX[[#Headers],[Column371]]</f>
        <v>Column371</v>
      </c>
      <c r="NH1" t="str">
        <f>SOFR3mo_PX[[#Headers],[Column372]]</f>
        <v>Column372</v>
      </c>
      <c r="NI1" t="str">
        <f>SOFR3mo_PX[[#Headers],[Column373]]</f>
        <v>Column373</v>
      </c>
      <c r="NJ1" t="str">
        <f>SOFR3mo_PX[[#Headers],[Column374]]</f>
        <v>Column374</v>
      </c>
      <c r="NK1" t="str">
        <f>SOFR3mo_PX[[#Headers],[Column375]]</f>
        <v>Column375</v>
      </c>
      <c r="NL1" t="str">
        <f>SOFR3mo_PX[[#Headers],[Column376]]</f>
        <v>Column376</v>
      </c>
      <c r="NM1" t="str">
        <f>SOFR3mo_PX[[#Headers],[Column377]]</f>
        <v>Column377</v>
      </c>
      <c r="NN1" t="str">
        <f>SOFR3mo_PX[[#Headers],[Column378]]</f>
        <v>Column378</v>
      </c>
      <c r="NO1" t="str">
        <f>SOFR3mo_PX[[#Headers],[Column379]]</f>
        <v>Column379</v>
      </c>
      <c r="NP1" t="str">
        <f>SOFR3mo_PX[[#Headers],[Column380]]</f>
        <v>Column380</v>
      </c>
      <c r="NQ1" t="str">
        <f>SOFR3mo_PX[[#Headers],[Column381]]</f>
        <v>Column381</v>
      </c>
      <c r="NR1" t="str">
        <f>SOFR3mo_PX[[#Headers],[Column382]]</f>
        <v>Column382</v>
      </c>
      <c r="NS1" t="str">
        <f>SOFR3mo_PX[[#Headers],[Column383]]</f>
        <v>Column383</v>
      </c>
      <c r="NT1" t="str">
        <f>SOFR3mo_PX[[#Headers],[Column384]]</f>
        <v>Column384</v>
      </c>
      <c r="NU1" t="str">
        <f>SOFR3mo_PX[[#Headers],[Column385]]</f>
        <v>Column385</v>
      </c>
      <c r="NV1" t="str">
        <f>SOFR3mo_PX[[#Headers],[Column386]]</f>
        <v>Column386</v>
      </c>
      <c r="NW1" t="str">
        <f>SOFR3mo_PX[[#Headers],[Column387]]</f>
        <v>Column387</v>
      </c>
      <c r="NX1" t="str">
        <f>SOFR3mo_PX[[#Headers],[Column388]]</f>
        <v>Column388</v>
      </c>
      <c r="NY1" t="str">
        <f>SOFR3mo_PX[[#Headers],[Column389]]</f>
        <v>Column389</v>
      </c>
      <c r="NZ1" t="str">
        <f>SOFR3mo_PX[[#Headers],[Column390]]</f>
        <v>Column390</v>
      </c>
      <c r="OA1" t="str">
        <f>SOFR3mo_PX[[#Headers],[Column391]]</f>
        <v>Column391</v>
      </c>
      <c r="OB1" t="str">
        <f>SOFR3mo_PX[[#Headers],[Column392]]</f>
        <v>Column392</v>
      </c>
      <c r="OC1" t="str">
        <f>SOFR3mo_PX[[#Headers],[Column393]]</f>
        <v>Column393</v>
      </c>
      <c r="OD1" t="str">
        <f>SOFR3mo_PX[[#Headers],[Column394]]</f>
        <v>Column394</v>
      </c>
      <c r="OE1" t="str">
        <f>SOFR3mo_PX[[#Headers],[Column395]]</f>
        <v>Column395</v>
      </c>
      <c r="OF1" t="str">
        <f>SOFR3mo_PX[[#Headers],[Column396]]</f>
        <v>Column396</v>
      </c>
      <c r="OG1" t="str">
        <f>SOFR3mo_PX[[#Headers],[Column397]]</f>
        <v>Column397</v>
      </c>
      <c r="OH1" t="str">
        <f>SOFR3mo_PX[[#Headers],[Column398]]</f>
        <v>Column398</v>
      </c>
      <c r="OI1" t="str">
        <f>SOFR3mo_PX[[#Headers],[Column399]]</f>
        <v>Column399</v>
      </c>
      <c r="OJ1" t="str">
        <f>SOFR3mo_PX[[#Headers],[Column400]]</f>
        <v>Column400</v>
      </c>
      <c r="OK1" t="str">
        <f>SOFR3mo_PX[[#Headers],[Column401]]</f>
        <v>Column401</v>
      </c>
      <c r="OL1" t="str">
        <f>SOFR3mo_PX[[#Headers],[Column402]]</f>
        <v>Column402</v>
      </c>
      <c r="OM1" t="str">
        <f>SOFR3mo_PX[[#Headers],[Column403]]</f>
        <v>Column403</v>
      </c>
      <c r="ON1" t="str">
        <f>SOFR3mo_PX[[#Headers],[Column404]]</f>
        <v>Column404</v>
      </c>
      <c r="OO1" t="str">
        <f>SOFR3mo_PX[[#Headers],[Column405]]</f>
        <v>Column405</v>
      </c>
      <c r="OP1" t="str">
        <f>SOFR3mo_PX[[#Headers],[Column406]]</f>
        <v>Column406</v>
      </c>
      <c r="OQ1" t="str">
        <f>SOFR3mo_PX[[#Headers],[Column407]]</f>
        <v>Column407</v>
      </c>
      <c r="OR1" t="str">
        <f>SOFR3mo_PX[[#Headers],[Column408]]</f>
        <v>Column408</v>
      </c>
      <c r="OS1" t="str">
        <f>SOFR3mo_PX[[#Headers],[Column409]]</f>
        <v>Column409</v>
      </c>
      <c r="OT1" t="str">
        <f>SOFR3mo_PX[[#Headers],[Column410]]</f>
        <v>Column410</v>
      </c>
      <c r="OU1" t="str">
        <f>SOFR3mo_PX[[#Headers],[Column411]]</f>
        <v>Column411</v>
      </c>
      <c r="OV1" t="str">
        <f>SOFR3mo_PX[[#Headers],[Column412]]</f>
        <v>Column412</v>
      </c>
      <c r="OW1" t="str">
        <f>SOFR3mo_PX[[#Headers],[Column413]]</f>
        <v>Column413</v>
      </c>
      <c r="OX1" t="str">
        <f>SOFR3mo_PX[[#Headers],[Column414]]</f>
        <v>Column414</v>
      </c>
      <c r="OY1" t="str">
        <f>SOFR3mo_PX[[#Headers],[Column415]]</f>
        <v>Column415</v>
      </c>
      <c r="OZ1" t="str">
        <f>SOFR3mo_PX[[#Headers],[Column416]]</f>
        <v>Column416</v>
      </c>
      <c r="PA1" t="str">
        <f>SOFR3mo_PX[[#Headers],[Column417]]</f>
        <v>Column417</v>
      </c>
      <c r="PB1" t="str">
        <f>SOFR3mo_PX[[#Headers],[Column418]]</f>
        <v>Column418</v>
      </c>
      <c r="PC1" t="str">
        <f>SOFR3mo_PX[[#Headers],[Column419]]</f>
        <v>Column419</v>
      </c>
      <c r="PD1" t="str">
        <f>SOFR3mo_PX[[#Headers],[Column420]]</f>
        <v>Column420</v>
      </c>
      <c r="PE1" t="str">
        <f>SOFR3mo_PX[[#Headers],[Column421]]</f>
        <v>Column421</v>
      </c>
      <c r="PF1" t="str">
        <f>SOFR3mo_PX[[#Headers],[Column422]]</f>
        <v>Column422</v>
      </c>
      <c r="PG1" t="str">
        <f>SOFR3mo_PX[[#Headers],[Column423]]</f>
        <v>Column423</v>
      </c>
      <c r="PH1" t="str">
        <f>SOFR3mo_PX[[#Headers],[Column424]]</f>
        <v>Column424</v>
      </c>
      <c r="PI1" t="str">
        <f>SOFR3mo_PX[[#Headers],[Column425]]</f>
        <v>Column425</v>
      </c>
      <c r="PJ1" t="str">
        <f>SOFR3mo_PX[[#Headers],[Column426]]</f>
        <v>Column426</v>
      </c>
      <c r="PK1" t="str">
        <f>SOFR3mo_PX[[#Headers],[Column427]]</f>
        <v>Column427</v>
      </c>
      <c r="PL1" t="str">
        <f>SOFR3mo_PX[[#Headers],[Column428]]</f>
        <v>Column428</v>
      </c>
      <c r="PM1" t="str">
        <f>SOFR3mo_PX[[#Headers],[Column429]]</f>
        <v>Column429</v>
      </c>
      <c r="PN1" t="str">
        <f>SOFR3mo_PX[[#Headers],[Column430]]</f>
        <v>Column430</v>
      </c>
      <c r="PO1" t="str">
        <f>SOFR3mo_PX[[#Headers],[Column431]]</f>
        <v>Column431</v>
      </c>
      <c r="PP1" t="str">
        <f>SOFR3mo_PX[[#Headers],[Column432]]</f>
        <v>Column432</v>
      </c>
      <c r="PQ1" t="str">
        <f>SOFR3mo_PX[[#Headers],[Column433]]</f>
        <v>Column433</v>
      </c>
      <c r="PR1" t="str">
        <f>SOFR3mo_PX[[#Headers],[Column434]]</f>
        <v>Column434</v>
      </c>
      <c r="PS1" t="str">
        <f>SOFR3mo_PX[[#Headers],[Column435]]</f>
        <v>Column435</v>
      </c>
      <c r="PT1" t="str">
        <f>SOFR3mo_PX[[#Headers],[Column436]]</f>
        <v>Column436</v>
      </c>
      <c r="PU1" t="str">
        <f>SOFR3mo_PX[[#Headers],[Column437]]</f>
        <v>Column437</v>
      </c>
      <c r="PV1" t="str">
        <f>SOFR3mo_PX[[#Headers],[Column438]]</f>
        <v>Column438</v>
      </c>
      <c r="PW1" t="str">
        <f>SOFR3mo_PX[[#Headers],[Column439]]</f>
        <v>Column439</v>
      </c>
      <c r="PX1" t="str">
        <f>SOFR3mo_PX[[#Headers],[Column440]]</f>
        <v>Column440</v>
      </c>
      <c r="PY1" t="str">
        <f>SOFR3mo_PX[[#Headers],[Column441]]</f>
        <v>Column441</v>
      </c>
      <c r="PZ1" t="str">
        <f>SOFR3mo_PX[[#Headers],[Column442]]</f>
        <v>Column442</v>
      </c>
      <c r="QA1" t="str">
        <f>SOFR3mo_PX[[#Headers],[Column443]]</f>
        <v>Column443</v>
      </c>
      <c r="QB1" t="str">
        <f>SOFR3mo_PX[[#Headers],[Column444]]</f>
        <v>Column444</v>
      </c>
      <c r="QC1" t="str">
        <f>SOFR3mo_PX[[#Headers],[Column445]]</f>
        <v>Column445</v>
      </c>
      <c r="QD1" t="str">
        <f>SOFR3mo_PX[[#Headers],[Column446]]</f>
        <v>Column446</v>
      </c>
      <c r="QE1" t="str">
        <f>SOFR3mo_PX[[#Headers],[Column447]]</f>
        <v>Column447</v>
      </c>
      <c r="QF1" t="str">
        <f>SOFR3mo_PX[[#Headers],[Column448]]</f>
        <v>Column448</v>
      </c>
      <c r="QG1" t="str">
        <f>SOFR3mo_PX[[#Headers],[Column449]]</f>
        <v>Column449</v>
      </c>
      <c r="QH1" t="str">
        <f>SOFR3mo_PX[[#Headers],[Column450]]</f>
        <v>Column450</v>
      </c>
      <c r="QI1" t="str">
        <f>SOFR3mo_PX[[#Headers],[Column451]]</f>
        <v>Column451</v>
      </c>
      <c r="QJ1" t="str">
        <f>SOFR3mo_PX[[#Headers],[Column452]]</f>
        <v>Column452</v>
      </c>
      <c r="QK1" t="str">
        <f>SOFR3mo_PX[[#Headers],[Column453]]</f>
        <v>Column453</v>
      </c>
      <c r="QL1" t="str">
        <f>SOFR3mo_PX[[#Headers],[Column454]]</f>
        <v>Column454</v>
      </c>
      <c r="QM1" t="str">
        <f>SOFR3mo_PX[[#Headers],[Column455]]</f>
        <v>Column455</v>
      </c>
      <c r="QN1" t="str">
        <f>SOFR3mo_PX[[#Headers],[Column456]]</f>
        <v>Column456</v>
      </c>
      <c r="QO1" t="str">
        <f>SOFR3mo_PX[[#Headers],[Column457]]</f>
        <v>Column457</v>
      </c>
      <c r="QP1" t="str">
        <f>SOFR3mo_PX[[#Headers],[Column458]]</f>
        <v>Column458</v>
      </c>
      <c r="QQ1" t="str">
        <f>SOFR3mo_PX[[#Headers],[Column459]]</f>
        <v>Column459</v>
      </c>
      <c r="QR1" t="str">
        <f>SOFR3mo_PX[[#Headers],[Column460]]</f>
        <v>Column460</v>
      </c>
      <c r="QS1" t="str">
        <f>SOFR3mo_PX[[#Headers],[Column461]]</f>
        <v>Column461</v>
      </c>
      <c r="QT1" t="str">
        <f>SOFR3mo_PX[[#Headers],[Column462]]</f>
        <v>Column462</v>
      </c>
      <c r="QU1" t="str">
        <f>SOFR3mo_PX[[#Headers],[Column463]]</f>
        <v>Column463</v>
      </c>
      <c r="QV1" t="str">
        <f>SOFR3mo_PX[[#Headers],[Column464]]</f>
        <v>Column464</v>
      </c>
      <c r="QW1" t="str">
        <f>SOFR3mo_PX[[#Headers],[Column465]]</f>
        <v>Column465</v>
      </c>
      <c r="QX1" t="str">
        <f>SOFR3mo_PX[[#Headers],[Column466]]</f>
        <v>Column466</v>
      </c>
      <c r="QY1" t="str">
        <f>SOFR3mo_PX[[#Headers],[Column467]]</f>
        <v>Column467</v>
      </c>
      <c r="QZ1" t="str">
        <f>SOFR3mo_PX[[#Headers],[Column468]]</f>
        <v>Column468</v>
      </c>
      <c r="RA1" t="str">
        <f>SOFR3mo_PX[[#Headers],[Column469]]</f>
        <v>Column469</v>
      </c>
      <c r="RB1" t="str">
        <f>SOFR3mo_PX[[#Headers],[Column470]]</f>
        <v>Column470</v>
      </c>
      <c r="RC1" t="str">
        <f>SOFR3mo_PX[[#Headers],[Column471]]</f>
        <v>Column471</v>
      </c>
      <c r="RD1" t="str">
        <f>SOFR3mo_PX[[#Headers],[Column472]]</f>
        <v>Column472</v>
      </c>
      <c r="RE1" t="str">
        <f>SOFR3mo_PX[[#Headers],[Column473]]</f>
        <v>Column473</v>
      </c>
      <c r="RF1" t="str">
        <f>SOFR3mo_PX[[#Headers],[Column474]]</f>
        <v>Column474</v>
      </c>
      <c r="RG1" t="str">
        <f>SOFR3mo_PX[[#Headers],[Column475]]</f>
        <v>Column475</v>
      </c>
      <c r="RH1" t="str">
        <f>SOFR3mo_PX[[#Headers],[Column476]]</f>
        <v>Column476</v>
      </c>
      <c r="RI1" t="str">
        <f>SOFR3mo_PX[[#Headers],[Column477]]</f>
        <v>Column477</v>
      </c>
      <c r="RJ1" t="str">
        <f>SOFR3mo_PX[[#Headers],[Column478]]</f>
        <v>Column478</v>
      </c>
      <c r="RK1" t="str">
        <f>SOFR3mo_PX[[#Headers],[Column479]]</f>
        <v>Column479</v>
      </c>
      <c r="RL1" t="str">
        <f>SOFR3mo_PX[[#Headers],[Column480]]</f>
        <v>Column480</v>
      </c>
      <c r="RM1" t="str">
        <f>SOFR3mo_PX[[#Headers],[Column481]]</f>
        <v>Column481</v>
      </c>
      <c r="RN1" t="str">
        <f>SOFR3mo_PX[[#Headers],[Column482]]</f>
        <v>Column482</v>
      </c>
      <c r="RO1" t="str">
        <f>SOFR3mo_PX[[#Headers],[Column483]]</f>
        <v>Column483</v>
      </c>
      <c r="RP1" t="str">
        <f>SOFR3mo_PX[[#Headers],[Column484]]</f>
        <v>Column484</v>
      </c>
      <c r="RQ1" t="str">
        <f>SOFR3mo_PX[[#Headers],[Column485]]</f>
        <v>Column485</v>
      </c>
      <c r="RR1" t="str">
        <f>SOFR3mo_PX[[#Headers],[Column486]]</f>
        <v>Column486</v>
      </c>
      <c r="RS1" t="str">
        <f>SOFR3mo_PX[[#Headers],[Column487]]</f>
        <v>Column487</v>
      </c>
      <c r="RT1" t="str">
        <f>SOFR3mo_PX[[#Headers],[Column488]]</f>
        <v>Column488</v>
      </c>
      <c r="RU1" t="str">
        <f>SOFR3mo_PX[[#Headers],[Column489]]</f>
        <v>Column489</v>
      </c>
      <c r="RV1" t="str">
        <f>SOFR3mo_PX[[#Headers],[Column490]]</f>
        <v>Column490</v>
      </c>
      <c r="RW1" t="str">
        <f>SOFR3mo_PX[[#Headers],[Column491]]</f>
        <v>Column491</v>
      </c>
      <c r="RX1" t="str">
        <f>SOFR3mo_PX[[#Headers],[Column492]]</f>
        <v>Column492</v>
      </c>
      <c r="RY1" t="str">
        <f>SOFR3mo_PX[[#Headers],[Column493]]</f>
        <v>Column493</v>
      </c>
      <c r="RZ1" t="str">
        <f>SOFR3mo_PX[[#Headers],[Column494]]</f>
        <v>Column494</v>
      </c>
      <c r="SA1" t="str">
        <f>SOFR3mo_PX[[#Headers],[Column495]]</f>
        <v>Column495</v>
      </c>
      <c r="SB1" t="str">
        <f>SOFR3mo_PX[[#Headers],[Column496]]</f>
        <v>Column496</v>
      </c>
      <c r="SC1" t="str">
        <f>SOFR3mo_PX[[#Headers],[Column497]]</f>
        <v>Column497</v>
      </c>
      <c r="SD1" t="str">
        <f>SOFR3mo_PX[[#Headers],[Column498]]</f>
        <v>Column498</v>
      </c>
      <c r="SE1" t="str">
        <f>SOFR3mo_PX[[#Headers],[Column499]]</f>
        <v>Column499</v>
      </c>
      <c r="SF1" t="str">
        <f>SOFR3mo_PX[[#Headers],[Column500]]</f>
        <v>Column500</v>
      </c>
      <c r="SG1" t="str">
        <f>SOFR3mo_PX[[#Headers],[Column501]]</f>
        <v>Column501</v>
      </c>
      <c r="SH1" t="str">
        <f>SOFR3mo_PX[[#Headers],[Column502]]</f>
        <v>Column502</v>
      </c>
      <c r="SI1" t="str">
        <f>SOFR3mo_PX[[#Headers],[Column503]]</f>
        <v>Column503</v>
      </c>
      <c r="SJ1" t="str">
        <f>SOFR3mo_PX[[#Headers],[Column504]]</f>
        <v>Column504</v>
      </c>
      <c r="SK1" t="str">
        <f>SOFR3mo_PX[[#Headers],[Column505]]</f>
        <v>Column505</v>
      </c>
      <c r="SL1" t="str">
        <f>SOFR3mo_PX[[#Headers],[Column506]]</f>
        <v>Column506</v>
      </c>
      <c r="SM1" t="str">
        <f>SOFR3mo_PX[[#Headers],[Column507]]</f>
        <v>Column507</v>
      </c>
      <c r="SN1" t="str">
        <f>SOFR3mo_PX[[#Headers],[Column508]]</f>
        <v>Column508</v>
      </c>
      <c r="SO1" t="str">
        <f>SOFR3mo_PX[[#Headers],[Column509]]</f>
        <v>Column509</v>
      </c>
      <c r="SP1" t="str">
        <f>SOFR3mo_PX[[#Headers],[Column510]]</f>
        <v>Column510</v>
      </c>
      <c r="SQ1" t="str">
        <f>SOFR3mo_PX[[#Headers],[Column511]]</f>
        <v>Column511</v>
      </c>
      <c r="SR1" t="str">
        <f>SOFR3mo_PX[[#Headers],[Column512]]</f>
        <v>Column512</v>
      </c>
      <c r="SS1" t="str">
        <f>SOFR3mo_PX[[#Headers],[Column513]]</f>
        <v>Column513</v>
      </c>
      <c r="ST1" t="str">
        <f>SOFR3mo_PX[[#Headers],[Column514]]</f>
        <v>Column514</v>
      </c>
      <c r="SU1" t="str">
        <f>SOFR3mo_PX[[#Headers],[Column515]]</f>
        <v>Column515</v>
      </c>
      <c r="SV1" t="str">
        <f>SOFR3mo_PX[[#Headers],[Column516]]</f>
        <v>Column516</v>
      </c>
      <c r="SW1" t="str">
        <f>SOFR3mo_PX[[#Headers],[Column517]]</f>
        <v>Column517</v>
      </c>
      <c r="SX1" t="str">
        <f>SOFR3mo_PX[[#Headers],[Column518]]</f>
        <v>Column518</v>
      </c>
      <c r="SY1" t="str">
        <f>SOFR3mo_PX[[#Headers],[Column519]]</f>
        <v>Column519</v>
      </c>
      <c r="SZ1" t="str">
        <f>SOFR3mo_PX[[#Headers],[Column520]]</f>
        <v>Column520</v>
      </c>
      <c r="TA1" t="str">
        <f>SOFR3mo_PX[[#Headers],[Column521]]</f>
        <v>Column521</v>
      </c>
      <c r="TB1" t="str">
        <f>SOFR3mo_PX[[#Headers],[Column522]]</f>
        <v>Column522</v>
      </c>
      <c r="TC1" t="str">
        <f>SOFR3mo_PX[[#Headers],[Column523]]</f>
        <v>Column523</v>
      </c>
      <c r="TD1" t="str">
        <f>SOFR3mo_PX[[#Headers],[Column524]]</f>
        <v>Column524</v>
      </c>
      <c r="TE1" t="str">
        <f>SOFR3mo_PX[[#Headers],[Column525]]</f>
        <v>Column525</v>
      </c>
      <c r="TF1" t="str">
        <f>SOFR3mo_PX[[#Headers],[Column526]]</f>
        <v>Column526</v>
      </c>
      <c r="TG1" t="str">
        <f>SOFR3mo_PX[[#Headers],[Column527]]</f>
        <v>Column527</v>
      </c>
      <c r="TH1" t="str">
        <f>SOFR3mo_PX[[#Headers],[Column528]]</f>
        <v>Column528</v>
      </c>
      <c r="TI1" t="str">
        <f>SOFR3mo_PX[[#Headers],[Column529]]</f>
        <v>Column529</v>
      </c>
      <c r="TJ1" t="str">
        <f>SOFR3mo_PX[[#Headers],[Column530]]</f>
        <v>Column530</v>
      </c>
      <c r="TK1" t="str">
        <f>SOFR3mo_PX[[#Headers],[Column531]]</f>
        <v>Column531</v>
      </c>
      <c r="TL1" t="str">
        <f>SOFR3mo_PX[[#Headers],[Column532]]</f>
        <v>Column532</v>
      </c>
      <c r="TM1" t="str">
        <f>SOFR3mo_PX[[#Headers],[Column533]]</f>
        <v>Column533</v>
      </c>
      <c r="TN1" t="str">
        <f>SOFR3mo_PX[[#Headers],[Column534]]</f>
        <v>Column534</v>
      </c>
      <c r="TO1" t="str">
        <f>SOFR3mo_PX[[#Headers],[Column535]]</f>
        <v>Column535</v>
      </c>
      <c r="TP1" t="str">
        <f>SOFR3mo_PX[[#Headers],[Column536]]</f>
        <v>Column536</v>
      </c>
      <c r="TQ1" t="str">
        <f>SOFR3mo_PX[[#Headers],[Column537]]</f>
        <v>Column537</v>
      </c>
      <c r="TR1" t="str">
        <f>SOFR3mo_PX[[#Headers],[Column538]]</f>
        <v>Column538</v>
      </c>
      <c r="TS1" t="str">
        <f>SOFR3mo_PX[[#Headers],[Column539]]</f>
        <v>Column539</v>
      </c>
      <c r="TT1" t="str">
        <f>SOFR3mo_PX[[#Headers],[Column540]]</f>
        <v>Column540</v>
      </c>
      <c r="TU1" t="str">
        <f>SOFR3mo_PX[[#Headers],[Column541]]</f>
        <v>Column541</v>
      </c>
      <c r="TV1" t="str">
        <f>SOFR3mo_PX[[#Headers],[Column542]]</f>
        <v>Column542</v>
      </c>
      <c r="TW1" t="str">
        <f>SOFR3mo_PX[[#Headers],[Column543]]</f>
        <v>Column543</v>
      </c>
      <c r="TX1" t="str">
        <f>SOFR3mo_PX[[#Headers],[Column544]]</f>
        <v>Column544</v>
      </c>
      <c r="TY1" t="str">
        <f>SOFR3mo_PX[[#Headers],[Column545]]</f>
        <v>Column545</v>
      </c>
      <c r="TZ1" t="str">
        <f>SOFR3mo_PX[[#Headers],[Column546]]</f>
        <v>Column546</v>
      </c>
      <c r="UA1" t="str">
        <f>SOFR3mo_PX[[#Headers],[Column547]]</f>
        <v>Column547</v>
      </c>
      <c r="UB1" t="str">
        <f>SOFR3mo_PX[[#Headers],[Column548]]</f>
        <v>Column548</v>
      </c>
      <c r="UC1" t="str">
        <f>SOFR3mo_PX[[#Headers],[Column549]]</f>
        <v>Column549</v>
      </c>
      <c r="UD1" t="str">
        <f>SOFR3mo_PX[[#Headers],[Column550]]</f>
        <v>Column550</v>
      </c>
      <c r="UE1" t="str">
        <f>SOFR3mo_PX[[#Headers],[Column551]]</f>
        <v>Column551</v>
      </c>
      <c r="UF1" t="str">
        <f>SOFR3mo_PX[[#Headers],[Column552]]</f>
        <v>Column552</v>
      </c>
      <c r="UG1" t="str">
        <f>SOFR3mo_PX[[#Headers],[Column553]]</f>
        <v>Column553</v>
      </c>
      <c r="UH1" t="str">
        <f>SOFR3mo_PX[[#Headers],[Column554]]</f>
        <v>Column554</v>
      </c>
      <c r="UI1" t="str">
        <f>SOFR3mo_PX[[#Headers],[Column555]]</f>
        <v>Column555</v>
      </c>
      <c r="UJ1" t="str">
        <f>SOFR3mo_PX[[#Headers],[Column556]]</f>
        <v>Column556</v>
      </c>
      <c r="UK1" t="str">
        <f>SOFR3mo_PX[[#Headers],[Column557]]</f>
        <v>Column557</v>
      </c>
      <c r="UL1" t="str">
        <f>SOFR3mo_PX[[#Headers],[Column558]]</f>
        <v>Column558</v>
      </c>
      <c r="UM1" t="str">
        <f>SOFR3mo_PX[[#Headers],[Column559]]</f>
        <v>Column559</v>
      </c>
      <c r="UN1" t="str">
        <f>SOFR3mo_PX[[#Headers],[Column560]]</f>
        <v>Column560</v>
      </c>
      <c r="UO1" t="str">
        <f>SOFR3mo_PX[[#Headers],[Column561]]</f>
        <v>Column561</v>
      </c>
      <c r="UP1" t="str">
        <f>SOFR3mo_PX[[#Headers],[Column562]]</f>
        <v>Column562</v>
      </c>
      <c r="UQ1" t="str">
        <f>SOFR3mo_PX[[#Headers],[Column563]]</f>
        <v>Column563</v>
      </c>
      <c r="UR1" t="str">
        <f>SOFR3mo_PX[[#Headers],[Column564]]</f>
        <v>Column564</v>
      </c>
      <c r="US1" t="str">
        <f>SOFR3mo_PX[[#Headers],[Column565]]</f>
        <v>Column565</v>
      </c>
      <c r="UT1" t="str">
        <f>SOFR3mo_PX[[#Headers],[Column566]]</f>
        <v>Column566</v>
      </c>
      <c r="UU1" t="str">
        <f>SOFR3mo_PX[[#Headers],[Column567]]</f>
        <v>Column567</v>
      </c>
      <c r="UV1" t="str">
        <f>SOFR3mo_PX[[#Headers],[Column568]]</f>
        <v>Column568</v>
      </c>
      <c r="UW1" t="str">
        <f>SOFR3mo_PX[[#Headers],[Column569]]</f>
        <v>Column569</v>
      </c>
      <c r="UX1" t="str">
        <f>SOFR3mo_PX[[#Headers],[Column570]]</f>
        <v>Column570</v>
      </c>
      <c r="UY1" t="str">
        <f>SOFR3mo_PX[[#Headers],[Column571]]</f>
        <v>Column571</v>
      </c>
      <c r="UZ1" t="str">
        <f>SOFR3mo_PX[[#Headers],[Column572]]</f>
        <v>Column572</v>
      </c>
      <c r="VA1" t="str">
        <f>SOFR3mo_PX[[#Headers],[Column573]]</f>
        <v>Column573</v>
      </c>
      <c r="VB1" t="str">
        <f>SOFR3mo_PX[[#Headers],[Column574]]</f>
        <v>Column574</v>
      </c>
      <c r="VC1" t="str">
        <f>SOFR3mo_PX[[#Headers],[Column575]]</f>
        <v>Column575</v>
      </c>
      <c r="VD1" t="str">
        <f>SOFR3mo_PX[[#Headers],[Column576]]</f>
        <v>Column576</v>
      </c>
      <c r="VE1" t="str">
        <f>SOFR3mo_PX[[#Headers],[Column577]]</f>
        <v>Column577</v>
      </c>
      <c r="VF1" t="str">
        <f>SOFR3mo_PX[[#Headers],[Column578]]</f>
        <v>Column578</v>
      </c>
      <c r="VG1" t="str">
        <f>SOFR3mo_PX[[#Headers],[Column579]]</f>
        <v>Column579</v>
      </c>
      <c r="VH1" t="str">
        <f>SOFR3mo_PX[[#Headers],[Column580]]</f>
        <v>Column580</v>
      </c>
      <c r="VI1" t="str">
        <f>SOFR3mo_PX[[#Headers],[Column581]]</f>
        <v>Column581</v>
      </c>
      <c r="VJ1" t="str">
        <f>SOFR3mo_PX[[#Headers],[Column582]]</f>
        <v>Column582</v>
      </c>
      <c r="VK1" t="str">
        <f>SOFR3mo_PX[[#Headers],[Column583]]</f>
        <v>Column583</v>
      </c>
      <c r="VL1" t="str">
        <f>SOFR3mo_PX[[#Headers],[Column584]]</f>
        <v>Column584</v>
      </c>
      <c r="VM1" t="str">
        <f>SOFR3mo_PX[[#Headers],[Column585]]</f>
        <v>Column585</v>
      </c>
      <c r="VN1" t="str">
        <f>SOFR3mo_PX[[#Headers],[Column586]]</f>
        <v>Column586</v>
      </c>
      <c r="VO1" t="str">
        <f>SOFR3mo_PX[[#Headers],[Column587]]</f>
        <v>Column587</v>
      </c>
      <c r="VP1" t="str">
        <f>SOFR3mo_PX[[#Headers],[Column588]]</f>
        <v>Column588</v>
      </c>
      <c r="VQ1" t="str">
        <f>SOFR3mo_PX[[#Headers],[Column589]]</f>
        <v>Column589</v>
      </c>
      <c r="VR1" t="str">
        <f>SOFR3mo_PX[[#Headers],[Column590]]</f>
        <v>Column590</v>
      </c>
      <c r="VS1" t="str">
        <f>SOFR3mo_PX[[#Headers],[Column591]]</f>
        <v>Column591</v>
      </c>
      <c r="VT1" t="str">
        <f>SOFR3mo_PX[[#Headers],[Column592]]</f>
        <v>Column592</v>
      </c>
      <c r="VU1" t="str">
        <f>SOFR3mo_PX[[#Headers],[Column593]]</f>
        <v>Column593</v>
      </c>
      <c r="VV1" t="str">
        <f>SOFR3mo_PX[[#Headers],[Column594]]</f>
        <v>Column594</v>
      </c>
      <c r="VW1" t="str">
        <f>SOFR3mo_PX[[#Headers],[Column595]]</f>
        <v>Column595</v>
      </c>
      <c r="VX1" t="str">
        <f>SOFR3mo_PX[[#Headers],[Column596]]</f>
        <v>Column596</v>
      </c>
      <c r="VY1" t="str">
        <f>SOFR3mo_PX[[#Headers],[Column597]]</f>
        <v>Column597</v>
      </c>
      <c r="VZ1" t="str">
        <f>SOFR3mo_PX[[#Headers],[Column598]]</f>
        <v>Column598</v>
      </c>
      <c r="WA1" t="str">
        <f>SOFR3mo_PX[[#Headers],[Column599]]</f>
        <v>Column599</v>
      </c>
      <c r="WB1" t="str">
        <f>SOFR3mo_PX[[#Headers],[Column600]]</f>
        <v>Column600</v>
      </c>
      <c r="WC1" t="str">
        <f>SOFR3mo_PX[[#Headers],[Column601]]</f>
        <v>Column601</v>
      </c>
      <c r="WD1" t="str">
        <f>SOFR3mo_PX[[#Headers],[Column602]]</f>
        <v>Column602</v>
      </c>
      <c r="WE1" t="str">
        <f>SOFR3mo_PX[[#Headers],[Column603]]</f>
        <v>Column603</v>
      </c>
      <c r="WF1" t="str">
        <f>SOFR3mo_PX[[#Headers],[Column604]]</f>
        <v>Column604</v>
      </c>
      <c r="WG1" t="str">
        <f>SOFR3mo_PX[[#Headers],[Column605]]</f>
        <v>Column605</v>
      </c>
      <c r="WH1" t="str">
        <f>SOFR3mo_PX[[#Headers],[Column606]]</f>
        <v>Column606</v>
      </c>
      <c r="WI1" t="str">
        <f>SOFR3mo_PX[[#Headers],[Column607]]</f>
        <v>Column607</v>
      </c>
      <c r="WJ1" t="str">
        <f>SOFR3mo_PX[[#Headers],[Column608]]</f>
        <v>Column608</v>
      </c>
      <c r="WK1" t="str">
        <f>SOFR3mo_PX[[#Headers],[Column609]]</f>
        <v>Column609</v>
      </c>
      <c r="WL1" t="str">
        <f>SOFR3mo_PX[[#Headers],[Column610]]</f>
        <v>Column610</v>
      </c>
      <c r="WM1" t="str">
        <f>SOFR3mo_PX[[#Headers],[Column611]]</f>
        <v>Column611</v>
      </c>
      <c r="WN1" t="str">
        <f>SOFR3mo_PX[[#Headers],[Column612]]</f>
        <v>Column612</v>
      </c>
      <c r="WO1" t="str">
        <f>SOFR3mo_PX[[#Headers],[Column613]]</f>
        <v>Column613</v>
      </c>
      <c r="WP1" t="str">
        <f>SOFR3mo_PX[[#Headers],[Column614]]</f>
        <v>Column614</v>
      </c>
      <c r="WQ1" t="str">
        <f>SOFR3mo_PX[[#Headers],[Column615]]</f>
        <v>Column615</v>
      </c>
      <c r="WR1" t="str">
        <f>SOFR3mo_PX[[#Headers],[Column616]]</f>
        <v>Column616</v>
      </c>
      <c r="WS1" t="str">
        <f>SOFR3mo_PX[[#Headers],[Column617]]</f>
        <v>Column617</v>
      </c>
      <c r="WT1" t="str">
        <f>SOFR3mo_PX[[#Headers],[Column618]]</f>
        <v>Column618</v>
      </c>
      <c r="WU1" t="str">
        <f>SOFR3mo_PX[[#Headers],[Column619]]</f>
        <v>Column619</v>
      </c>
      <c r="WV1" t="str">
        <f>SOFR3mo_PX[[#Headers],[Column620]]</f>
        <v>Column620</v>
      </c>
      <c r="WW1" t="str">
        <f>SOFR3mo_PX[[#Headers],[Column621]]</f>
        <v>Column621</v>
      </c>
      <c r="WX1" t="str">
        <f>SOFR3mo_PX[[#Headers],[Column622]]</f>
        <v>Column622</v>
      </c>
      <c r="WY1" t="str">
        <f>SOFR3mo_PX[[#Headers],[Column623]]</f>
        <v>Column623</v>
      </c>
      <c r="WZ1" t="str">
        <f>SOFR3mo_PX[[#Headers],[Column624]]</f>
        <v>Column624</v>
      </c>
      <c r="XA1" t="str">
        <f>SOFR3mo_PX[[#Headers],[Column625]]</f>
        <v>Column625</v>
      </c>
      <c r="XB1" t="str">
        <f>SOFR3mo_PX[[#Headers],[Column626]]</f>
        <v>Column626</v>
      </c>
      <c r="XC1" t="str">
        <f>SOFR3mo_PX[[#Headers],[Column627]]</f>
        <v>Column627</v>
      </c>
      <c r="XD1" t="str">
        <f>SOFR3mo_PX[[#Headers],[Column628]]</f>
        <v>Column628</v>
      </c>
      <c r="XE1" t="str">
        <f>SOFR3mo_PX[[#Headers],[Column629]]</f>
        <v>Column629</v>
      </c>
      <c r="XF1" t="str">
        <f>SOFR3mo_PX[[#Headers],[Column630]]</f>
        <v>Column630</v>
      </c>
      <c r="XG1" t="str">
        <f>SOFR3mo_PX[[#Headers],[Column631]]</f>
        <v>Column631</v>
      </c>
      <c r="XH1" t="str">
        <f>SOFR3mo_PX[[#Headers],[Column632]]</f>
        <v>Column632</v>
      </c>
      <c r="XI1" t="str">
        <f>SOFR3mo_PX[[#Headers],[Column633]]</f>
        <v>Column633</v>
      </c>
      <c r="XJ1" t="str">
        <f>SOFR3mo_PX[[#Headers],[Column634]]</f>
        <v>Column634</v>
      </c>
      <c r="XK1" t="str">
        <f>SOFR3mo_PX[[#Headers],[Column635]]</f>
        <v>Column635</v>
      </c>
      <c r="XL1" t="str">
        <f>SOFR3mo_PX[[#Headers],[Column636]]</f>
        <v>Column636</v>
      </c>
      <c r="XM1" t="str">
        <f>SOFR3mo_PX[[#Headers],[Column637]]</f>
        <v>Column637</v>
      </c>
      <c r="XN1" t="str">
        <f>SOFR3mo_PX[[#Headers],[Column638]]</f>
        <v>Column638</v>
      </c>
      <c r="XO1" t="str">
        <f>SOFR3mo_PX[[#Headers],[Column639]]</f>
        <v>Column639</v>
      </c>
      <c r="XP1" t="str">
        <f>SOFR3mo_PX[[#Headers],[Column640]]</f>
        <v>Column640</v>
      </c>
      <c r="XQ1" t="str">
        <f>SOFR3mo_PX[[#Headers],[Column641]]</f>
        <v>Column641</v>
      </c>
      <c r="XR1" t="str">
        <f>SOFR3mo_PX[[#Headers],[Column642]]</f>
        <v>Column642</v>
      </c>
      <c r="XS1" t="str">
        <f>SOFR3mo_PX[[#Headers],[Column643]]</f>
        <v>Column643</v>
      </c>
      <c r="XT1" t="str">
        <f>SOFR3mo_PX[[#Headers],[Column644]]</f>
        <v>Column644</v>
      </c>
      <c r="XU1" t="str">
        <f>SOFR3mo_PX[[#Headers],[Column645]]</f>
        <v>Column645</v>
      </c>
      <c r="XV1" t="str">
        <f>SOFR3mo_PX[[#Headers],[Column646]]</f>
        <v>Column646</v>
      </c>
      <c r="XW1" t="str">
        <f>SOFR3mo_PX[[#Headers],[Column647]]</f>
        <v>Column647</v>
      </c>
      <c r="XX1" t="str">
        <f>SOFR3mo_PX[[#Headers],[Column648]]</f>
        <v>Column648</v>
      </c>
      <c r="XY1" t="str">
        <f>SOFR3mo_PX[[#Headers],[Column649]]</f>
        <v>Column649</v>
      </c>
      <c r="XZ1" t="str">
        <f>SOFR3mo_PX[[#Headers],[Column650]]</f>
        <v>Column650</v>
      </c>
      <c r="YA1" t="str">
        <f>SOFR3mo_PX[[#Headers],[Column651]]</f>
        <v>Column651</v>
      </c>
      <c r="YB1" t="str">
        <f>SOFR3mo_PX[[#Headers],[Column652]]</f>
        <v>Column652</v>
      </c>
      <c r="YC1" t="str">
        <f>SOFR3mo_PX[[#Headers],[Column653]]</f>
        <v>Column653</v>
      </c>
      <c r="YD1" t="str">
        <f>SOFR3mo_PX[[#Headers],[Column654]]</f>
        <v>Column654</v>
      </c>
      <c r="YE1" t="str">
        <f>SOFR3mo_PX[[#Headers],[Column655]]</f>
        <v>Column655</v>
      </c>
      <c r="YF1" t="str">
        <f>SOFR3mo_PX[[#Headers],[Column656]]</f>
        <v>Column656</v>
      </c>
      <c r="YG1" t="str">
        <f>SOFR3mo_PX[[#Headers],[Column657]]</f>
        <v>Column657</v>
      </c>
      <c r="YH1" t="str">
        <f>SOFR3mo_PX[[#Headers],[Column658]]</f>
        <v>Column658</v>
      </c>
      <c r="YI1" t="str">
        <f>SOFR3mo_PX[[#Headers],[Column659]]</f>
        <v>Column659</v>
      </c>
      <c r="YJ1" t="str">
        <f>SOFR3mo_PX[[#Headers],[Column660]]</f>
        <v>Column660</v>
      </c>
      <c r="YK1" t="str">
        <f>SOFR3mo_PX[[#Headers],[Column661]]</f>
        <v>Column661</v>
      </c>
      <c r="YL1" t="str">
        <f>SOFR3mo_PX[[#Headers],[Column662]]</f>
        <v>Column662</v>
      </c>
      <c r="YM1" t="str">
        <f>SOFR3mo_PX[[#Headers],[Column663]]</f>
        <v>Column663</v>
      </c>
      <c r="YN1" t="str">
        <f>SOFR3mo_PX[[#Headers],[Column664]]</f>
        <v>Column664</v>
      </c>
      <c r="YO1" t="str">
        <f>SOFR3mo_PX[[#Headers],[Column665]]</f>
        <v>Column665</v>
      </c>
      <c r="YP1" t="str">
        <f>SOFR3mo_PX[[#Headers],[Column666]]</f>
        <v>Column666</v>
      </c>
      <c r="YQ1" t="str">
        <f>SOFR3mo_PX[[#Headers],[Column667]]</f>
        <v>Column667</v>
      </c>
      <c r="YR1" t="str">
        <f>SOFR3mo_PX[[#Headers],[Column668]]</f>
        <v>Column668</v>
      </c>
      <c r="YS1" t="str">
        <f>SOFR3mo_PX[[#Headers],[Column669]]</f>
        <v>Column669</v>
      </c>
      <c r="YT1" t="str">
        <f>SOFR3mo_PX[[#Headers],[Column670]]</f>
        <v>Column670</v>
      </c>
      <c r="YU1" t="str">
        <f>SOFR3mo_PX[[#Headers],[Column671]]</f>
        <v>Column671</v>
      </c>
      <c r="YV1" t="str">
        <f>SOFR3mo_PX[[#Headers],[Column672]]</f>
        <v>Column672</v>
      </c>
      <c r="YW1" t="str">
        <f>SOFR3mo_PX[[#Headers],[Column673]]</f>
        <v>Column673</v>
      </c>
      <c r="YX1" t="str">
        <f>SOFR3mo_PX[[#Headers],[Column674]]</f>
        <v>Column674</v>
      </c>
      <c r="YY1" t="str">
        <f>SOFR3mo_PX[[#Headers],[Column675]]</f>
        <v>Column675</v>
      </c>
      <c r="YZ1" t="str">
        <f>SOFR3mo_PX[[#Headers],[Column676]]</f>
        <v>Column676</v>
      </c>
      <c r="ZA1" t="str">
        <f>SOFR3mo_PX[[#Headers],[Column677]]</f>
        <v>Column677</v>
      </c>
      <c r="ZB1" t="str">
        <f>SOFR3mo_PX[[#Headers],[Column678]]</f>
        <v>Column678</v>
      </c>
      <c r="ZC1" t="str">
        <f>SOFR3mo_PX[[#Headers],[Column679]]</f>
        <v>Column679</v>
      </c>
      <c r="ZD1" t="str">
        <f>SOFR3mo_PX[[#Headers],[Column680]]</f>
        <v>Column680</v>
      </c>
      <c r="ZE1" t="str">
        <f>SOFR3mo_PX[[#Headers],[Column681]]</f>
        <v>Column681</v>
      </c>
      <c r="ZF1" t="str">
        <f>SOFR3mo_PX[[#Headers],[Column682]]</f>
        <v>Column682</v>
      </c>
      <c r="ZG1" t="str">
        <f>SOFR3mo_PX[[#Headers],[Column683]]</f>
        <v>Column683</v>
      </c>
      <c r="ZH1" t="str">
        <f>SOFR3mo_PX[[#Headers],[Column684]]</f>
        <v>Column684</v>
      </c>
      <c r="ZI1" t="str">
        <f>SOFR3mo_PX[[#Headers],[Column685]]</f>
        <v>Column685</v>
      </c>
      <c r="ZJ1" t="str">
        <f>SOFR3mo_PX[[#Headers],[Column686]]</f>
        <v>Column686</v>
      </c>
      <c r="ZK1" t="str">
        <f>SOFR3mo_PX[[#Headers],[Column687]]</f>
        <v>Column687</v>
      </c>
      <c r="ZL1" t="str">
        <f>SOFR3mo_PX[[#Headers],[Column688]]</f>
        <v>Column688</v>
      </c>
      <c r="ZM1" t="str">
        <f>SOFR3mo_PX[[#Headers],[Column689]]</f>
        <v>Column689</v>
      </c>
      <c r="ZN1" t="str">
        <f>SOFR3mo_PX[[#Headers],[Column690]]</f>
        <v>Column690</v>
      </c>
      <c r="ZO1" t="str">
        <f>SOFR3mo_PX[[#Headers],[Column691]]</f>
        <v>Column691</v>
      </c>
      <c r="ZP1" t="str">
        <f>SOFR3mo_PX[[#Headers],[Column692]]</f>
        <v>Column692</v>
      </c>
      <c r="ZQ1" t="str">
        <f>SOFR3mo_PX[[#Headers],[Column693]]</f>
        <v>Column693</v>
      </c>
      <c r="ZR1" t="str">
        <f>SOFR3mo_PX[[#Headers],[Column694]]</f>
        <v>Column694</v>
      </c>
      <c r="ZS1" t="str">
        <f>SOFR3mo_PX[[#Headers],[Column695]]</f>
        <v>Column695</v>
      </c>
      <c r="ZT1" t="str">
        <f>SOFR3mo_PX[[#Headers],[Column696]]</f>
        <v>Column696</v>
      </c>
      <c r="ZU1" t="str">
        <f>SOFR3mo_PX[[#Headers],[Column697]]</f>
        <v>Column697</v>
      </c>
      <c r="ZV1" t="str">
        <f>SOFR3mo_PX[[#Headers],[Column698]]</f>
        <v>Column698</v>
      </c>
      <c r="ZW1" t="str">
        <f>SOFR3mo_PX[[#Headers],[Column699]]</f>
        <v>Column699</v>
      </c>
      <c r="ZX1" t="str">
        <f>SOFR3mo_PX[[#Headers],[Column700]]</f>
        <v>Column700</v>
      </c>
      <c r="ZY1" t="str">
        <f>SOFR3mo_PX[[#Headers],[Column701]]</f>
        <v>Column701</v>
      </c>
      <c r="ZZ1" t="str">
        <f>SOFR3mo_PX[[#Headers],[Column702]]</f>
        <v>Column702</v>
      </c>
      <c r="AAA1" t="str">
        <f>SOFR3mo_PX[[#Headers],[Column703]]</f>
        <v>Column703</v>
      </c>
      <c r="AAB1" t="str">
        <f>SOFR3mo_PX[[#Headers],[Column704]]</f>
        <v>Column704</v>
      </c>
      <c r="AAC1" t="str">
        <f>SOFR3mo_PX[[#Headers],[Column705]]</f>
        <v>Column705</v>
      </c>
      <c r="AAD1" t="str">
        <f>SOFR3mo_PX[[#Headers],[Column706]]</f>
        <v>Column706</v>
      </c>
      <c r="AAE1" t="str">
        <f>SOFR3mo_PX[[#Headers],[Column707]]</f>
        <v>Column707</v>
      </c>
      <c r="AAF1" t="str">
        <f>SOFR3mo_PX[[#Headers],[Column708]]</f>
        <v>Column708</v>
      </c>
      <c r="AAG1" t="str">
        <f>SOFR3mo_PX[[#Headers],[Column709]]</f>
        <v>Column709</v>
      </c>
      <c r="AAH1" t="str">
        <f>SOFR3mo_PX[[#Headers],[Column710]]</f>
        <v>Column710</v>
      </c>
      <c r="AAI1" t="str">
        <f>SOFR3mo_PX[[#Headers],[Column711]]</f>
        <v>Column711</v>
      </c>
      <c r="AAJ1" t="str">
        <f>SOFR3mo_PX[[#Headers],[Column712]]</f>
        <v>Column712</v>
      </c>
      <c r="AAK1" t="str">
        <f>SOFR3mo_PX[[#Headers],[Column713]]</f>
        <v>Column713</v>
      </c>
      <c r="AAL1" t="str">
        <f>SOFR3mo_PX[[#Headers],[Column714]]</f>
        <v>Column714</v>
      </c>
      <c r="AAM1" t="str">
        <f>SOFR3mo_PX[[#Headers],[Column715]]</f>
        <v>Column715</v>
      </c>
      <c r="AAN1" t="str">
        <f>SOFR3mo_PX[[#Headers],[Column716]]</f>
        <v>Column716</v>
      </c>
      <c r="AAO1" t="str">
        <f>SOFR3mo_PX[[#Headers],[Column717]]</f>
        <v>Column717</v>
      </c>
      <c r="AAP1" t="str">
        <f>SOFR3mo_PX[[#Headers],[Column718]]</f>
        <v>Column718</v>
      </c>
      <c r="AAQ1" t="str">
        <f>SOFR3mo_PX[[#Headers],[Column719]]</f>
        <v>Column719</v>
      </c>
      <c r="AAR1" t="str">
        <f>SOFR3mo_PX[[#Headers],[Column720]]</f>
        <v>Column720</v>
      </c>
      <c r="AAS1" t="str">
        <f>SOFR3mo_PX[[#Headers],[Column721]]</f>
        <v>Column721</v>
      </c>
      <c r="AAT1" t="str">
        <f>SOFR3mo_PX[[#Headers],[Column722]]</f>
        <v>Column722</v>
      </c>
      <c r="AAU1" t="str">
        <f>SOFR3mo_PX[[#Headers],[Column723]]</f>
        <v>Column723</v>
      </c>
      <c r="AAV1" t="str">
        <f>SOFR3mo_PX[[#Headers],[Column724]]</f>
        <v>Column724</v>
      </c>
      <c r="AAW1" t="str">
        <f>SOFR3mo_PX[[#Headers],[Column725]]</f>
        <v>Column725</v>
      </c>
      <c r="AAX1" t="str">
        <f>SOFR3mo_PX[[#Headers],[Column726]]</f>
        <v>Column726</v>
      </c>
      <c r="AAY1" t="str">
        <f>SOFR3mo_PX[[#Headers],[Column727]]</f>
        <v>Column727</v>
      </c>
      <c r="AAZ1" t="str">
        <f>SOFR3mo_PX[[#Headers],[Column728]]</f>
        <v>Column728</v>
      </c>
      <c r="ABA1" t="str">
        <f>SOFR3mo_PX[[#Headers],[Column729]]</f>
        <v>Column729</v>
      </c>
      <c r="ABB1" t="str">
        <f>SOFR3mo_PX[[#Headers],[Column730]]</f>
        <v>Column730</v>
      </c>
      <c r="ABC1" t="str">
        <f>SOFR3mo_PX[[#Headers],[Column731]]</f>
        <v>Column731</v>
      </c>
      <c r="ABD1" t="str">
        <f>SOFR3mo_PX[[#Headers],[Column732]]</f>
        <v>Column732</v>
      </c>
      <c r="ABE1" t="str">
        <f>SOFR3mo_PX[[#Headers],[Column733]]</f>
        <v>Column733</v>
      </c>
      <c r="ABF1" t="str">
        <f>SOFR3mo_PX[[#Headers],[Column734]]</f>
        <v>Column734</v>
      </c>
      <c r="ABG1" t="str">
        <f>SOFR3mo_PX[[#Headers],[Column735]]</f>
        <v>Column735</v>
      </c>
      <c r="ABH1" t="str">
        <f>SOFR3mo_PX[[#Headers],[Column736]]</f>
        <v>Column736</v>
      </c>
      <c r="ABI1" t="str">
        <f>SOFR3mo_PX[[#Headers],[Column737]]</f>
        <v>Column737</v>
      </c>
      <c r="ABJ1" t="str">
        <f>SOFR3mo_PX[[#Headers],[Column738]]</f>
        <v>Column738</v>
      </c>
      <c r="ABK1" t="str">
        <f>SOFR3mo_PX[[#Headers],[Column739]]</f>
        <v>Column739</v>
      </c>
      <c r="ABL1" t="str">
        <f>SOFR3mo_PX[[#Headers],[Column740]]</f>
        <v>Column740</v>
      </c>
      <c r="ABM1" t="str">
        <f>SOFR3mo_PX[[#Headers],[Column741]]</f>
        <v>Column741</v>
      </c>
      <c r="ABN1" t="str">
        <f>SOFR3mo_PX[[#Headers],[Column742]]</f>
        <v>Column742</v>
      </c>
      <c r="ABO1" t="str">
        <f>SOFR3mo_PX[[#Headers],[Column743]]</f>
        <v>Column743</v>
      </c>
      <c r="ABP1" t="str">
        <f>SOFR3mo_PX[[#Headers],[Column744]]</f>
        <v>Column744</v>
      </c>
      <c r="ABQ1" t="str">
        <f>SOFR3mo_PX[[#Headers],[Column745]]</f>
        <v>Column745</v>
      </c>
      <c r="ABR1" t="str">
        <f>SOFR3mo_PX[[#Headers],[Column746]]</f>
        <v>Column746</v>
      </c>
      <c r="ABS1" t="str">
        <f>SOFR3mo_PX[[#Headers],[Column747]]</f>
        <v>Column747</v>
      </c>
      <c r="ABT1" t="str">
        <f>SOFR3mo_PX[[#Headers],[Column748]]</f>
        <v>Column748</v>
      </c>
      <c r="ABU1" t="str">
        <f>SOFR3mo_PX[[#Headers],[Column749]]</f>
        <v>Column749</v>
      </c>
      <c r="ABV1" t="str">
        <f>SOFR3mo_PX[[#Headers],[Column750]]</f>
        <v>Column750</v>
      </c>
      <c r="ABW1" t="str">
        <f>SOFR3mo_PX[[#Headers],[Column751]]</f>
        <v>Column751</v>
      </c>
      <c r="ABX1" t="str">
        <f>SOFR3mo_PX[[#Headers],[Column752]]</f>
        <v>Column752</v>
      </c>
      <c r="ABY1" t="str">
        <f>SOFR3mo_PX[[#Headers],[Column753]]</f>
        <v>Column753</v>
      </c>
      <c r="ABZ1" t="str">
        <f>SOFR3mo_PX[[#Headers],[Column754]]</f>
        <v>Column754</v>
      </c>
      <c r="ACA1" t="str">
        <f>SOFR3mo_PX[[#Headers],[Column755]]</f>
        <v>Column755</v>
      </c>
      <c r="ACB1" t="str">
        <f>SOFR3mo_PX[[#Headers],[Column756]]</f>
        <v>Column756</v>
      </c>
      <c r="ACC1" t="str">
        <f>SOFR3mo_PX[[#Headers],[Column757]]</f>
        <v>Column757</v>
      </c>
      <c r="ACD1" t="str">
        <f>SOFR3mo_PX[[#Headers],[Column758]]</f>
        <v>Column758</v>
      </c>
      <c r="ACE1" t="str">
        <f>SOFR3mo_PX[[#Headers],[Column759]]</f>
        <v>Column759</v>
      </c>
      <c r="ACF1" t="str">
        <f>SOFR3mo_PX[[#Headers],[Column760]]</f>
        <v>Column760</v>
      </c>
      <c r="ACG1" t="str">
        <f>SOFR3mo_PX[[#Headers],[Column761]]</f>
        <v>Column761</v>
      </c>
      <c r="ACH1" t="str">
        <f>SOFR3mo_PX[[#Headers],[Column762]]</f>
        <v>Column762</v>
      </c>
      <c r="ACI1" t="str">
        <f>SOFR3mo_PX[[#Headers],[Column763]]</f>
        <v>Column763</v>
      </c>
      <c r="ACJ1" t="str">
        <f>SOFR3mo_PX[[#Headers],[Column764]]</f>
        <v>Column764</v>
      </c>
      <c r="ACK1" t="str">
        <f>SOFR3mo_PX[[#Headers],[Column765]]</f>
        <v>Column765</v>
      </c>
      <c r="ACL1" t="str">
        <f>SOFR3mo_PX[[#Headers],[Column766]]</f>
        <v>Column766</v>
      </c>
      <c r="ACM1" t="str">
        <f>SOFR3mo_PX[[#Headers],[Column767]]</f>
        <v>Column767</v>
      </c>
      <c r="ACN1" t="str">
        <f>SOFR3mo_PX[[#Headers],[Column768]]</f>
        <v>Column768</v>
      </c>
      <c r="ACO1" t="str">
        <f>SOFR3mo_PX[[#Headers],[Column769]]</f>
        <v>Column769</v>
      </c>
      <c r="ACP1" t="str">
        <f>SOFR3mo_PX[[#Headers],[Column770]]</f>
        <v>Column770</v>
      </c>
      <c r="ACQ1" t="str">
        <f>SOFR3mo_PX[[#Headers],[Column771]]</f>
        <v>Column771</v>
      </c>
      <c r="ACR1" t="str">
        <f>SOFR3mo_PX[[#Headers],[Column772]]</f>
        <v>Column772</v>
      </c>
      <c r="ACS1" t="str">
        <f>SOFR3mo_PX[[#Headers],[Column773]]</f>
        <v>Column773</v>
      </c>
      <c r="ACT1" t="str">
        <f>SOFR3mo_PX[[#Headers],[Column774]]</f>
        <v>Column774</v>
      </c>
      <c r="ACU1" t="str">
        <f>SOFR3mo_PX[[#Headers],[Column775]]</f>
        <v>Column775</v>
      </c>
      <c r="ACV1" t="str">
        <f>SOFR3mo_PX[[#Headers],[Column776]]</f>
        <v>Column776</v>
      </c>
      <c r="ACW1" t="str">
        <f>SOFR3mo_PX[[#Headers],[Column777]]</f>
        <v>Column777</v>
      </c>
      <c r="ACX1" t="str">
        <f>SOFR3mo_PX[[#Headers],[Column778]]</f>
        <v>Column778</v>
      </c>
      <c r="ACY1" t="str">
        <f>SOFR3mo_PX[[#Headers],[Column779]]</f>
        <v>Column779</v>
      </c>
      <c r="ACZ1" t="str">
        <f>SOFR3mo_PX[[#Headers],[Column780]]</f>
        <v>Column780</v>
      </c>
      <c r="ADA1" t="str">
        <f>SOFR3mo_PX[[#Headers],[Column781]]</f>
        <v>Column781</v>
      </c>
      <c r="ADB1" t="str">
        <f>SOFR3mo_PX[[#Headers],[Column782]]</f>
        <v>Column782</v>
      </c>
      <c r="ADC1" t="str">
        <f>SOFR3mo_PX[[#Headers],[Column783]]</f>
        <v>Column783</v>
      </c>
      <c r="ADD1" t="str">
        <f>SOFR3mo_PX[[#Headers],[Column784]]</f>
        <v>Column784</v>
      </c>
      <c r="ADE1" t="str">
        <f>SOFR3mo_PX[[#Headers],[Column785]]</f>
        <v>Column785</v>
      </c>
      <c r="ADF1" t="str">
        <f>SOFR3mo_PX[[#Headers],[Column786]]</f>
        <v>Column786</v>
      </c>
      <c r="ADG1" t="str">
        <f>SOFR3mo_PX[[#Headers],[Column787]]</f>
        <v>Column787</v>
      </c>
      <c r="ADH1" t="str">
        <f>SOFR3mo_PX[[#Headers],[Column788]]</f>
        <v>Column788</v>
      </c>
      <c r="ADI1" t="str">
        <f>SOFR3mo_PX[[#Headers],[Column789]]</f>
        <v>Column789</v>
      </c>
      <c r="ADJ1" t="str">
        <f>SOFR3mo_PX[[#Headers],[Column790]]</f>
        <v>Column790</v>
      </c>
      <c r="ADK1" t="str">
        <f>SOFR3mo_PX[[#Headers],[Column791]]</f>
        <v>Column791</v>
      </c>
      <c r="ADL1" t="str">
        <f>SOFR3mo_PX[[#Headers],[Column792]]</f>
        <v>Column792</v>
      </c>
      <c r="ADM1" t="str">
        <f>SOFR3mo_PX[[#Headers],[Column793]]</f>
        <v>Column793</v>
      </c>
      <c r="ADN1" t="str">
        <f>SOFR3mo_PX[[#Headers],[Column794]]</f>
        <v>Column794</v>
      </c>
      <c r="ADO1" t="str">
        <f>SOFR3mo_PX[[#Headers],[Column795]]</f>
        <v>Column795</v>
      </c>
      <c r="ADP1" t="str">
        <f>SOFR3mo_PX[[#Headers],[Column796]]</f>
        <v>Column796</v>
      </c>
      <c r="ADQ1" t="str">
        <f>SOFR3mo_PX[[#Headers],[Column797]]</f>
        <v>Column797</v>
      </c>
      <c r="ADR1" t="str">
        <f>SOFR3mo_PX[[#Headers],[Column798]]</f>
        <v>Column798</v>
      </c>
      <c r="ADS1" t="str">
        <f>SOFR3mo_PX[[#Headers],[Column799]]</f>
        <v>Column799</v>
      </c>
      <c r="ADT1" t="str">
        <f>SOFR3mo_PX[[#Headers],[Column800]]</f>
        <v>Column800</v>
      </c>
      <c r="ADU1" t="str">
        <f>SOFR3mo_PX[[#Headers],[Column801]]</f>
        <v>Column801</v>
      </c>
      <c r="ADV1" t="str">
        <f>SOFR3mo_PX[[#Headers],[Column802]]</f>
        <v>Column802</v>
      </c>
      <c r="ADW1" t="str">
        <f>SOFR3mo_PX[[#Headers],[Column803]]</f>
        <v>Column803</v>
      </c>
      <c r="ADX1" t="str">
        <f>SOFR3mo_PX[[#Headers],[Column804]]</f>
        <v>Column804</v>
      </c>
      <c r="ADY1" t="str">
        <f>SOFR3mo_PX[[#Headers],[Column805]]</f>
        <v>Column805</v>
      </c>
      <c r="ADZ1" t="str">
        <f>SOFR3mo_PX[[#Headers],[Column806]]</f>
        <v>Column806</v>
      </c>
      <c r="AEA1" t="str">
        <f>SOFR3mo_PX[[#Headers],[Column807]]</f>
        <v>Column807</v>
      </c>
      <c r="AEB1" t="str">
        <f>SOFR3mo_PX[[#Headers],[Column808]]</f>
        <v>Column808</v>
      </c>
      <c r="AEC1" t="str">
        <f>SOFR3mo_PX[[#Headers],[Column809]]</f>
        <v>Column809</v>
      </c>
      <c r="AED1" t="str">
        <f>SOFR3mo_PX[[#Headers],[Column810]]</f>
        <v>Column810</v>
      </c>
      <c r="AEE1" t="str">
        <f>SOFR3mo_PX[[#Headers],[Column811]]</f>
        <v>Column811</v>
      </c>
      <c r="AEF1" t="str">
        <f>SOFR3mo_PX[[#Headers],[Column812]]</f>
        <v>Column812</v>
      </c>
      <c r="AEG1" t="str">
        <f>SOFR3mo_PX[[#Headers],[Column813]]</f>
        <v>Column813</v>
      </c>
      <c r="AEH1" t="str">
        <f>SOFR3mo_PX[[#Headers],[Column814]]</f>
        <v>Column814</v>
      </c>
      <c r="AEI1" t="str">
        <f>SOFR3mo_PX[[#Headers],[Column815]]</f>
        <v>Column815</v>
      </c>
      <c r="AEJ1" t="str">
        <f>SOFR3mo_PX[[#Headers],[Column816]]</f>
        <v>Column816</v>
      </c>
      <c r="AEK1" t="str">
        <f>SOFR3mo_PX[[#Headers],[Column817]]</f>
        <v>Column817</v>
      </c>
      <c r="AEL1" t="str">
        <f>SOFR3mo_PX[[#Headers],[Column818]]</f>
        <v>Column818</v>
      </c>
      <c r="AEM1" t="str">
        <f>SOFR3mo_PX[[#Headers],[Column819]]</f>
        <v>Column819</v>
      </c>
      <c r="AEN1" t="str">
        <f>SOFR3mo_PX[[#Headers],[Column820]]</f>
        <v>Column820</v>
      </c>
      <c r="AEO1" t="str">
        <f>SOFR3mo_PX[[#Headers],[Column821]]</f>
        <v>Column821</v>
      </c>
      <c r="AEP1" t="str">
        <f>SOFR3mo_PX[[#Headers],[Column822]]</f>
        <v>Column822</v>
      </c>
      <c r="AEQ1" t="str">
        <f>SOFR3mo_PX[[#Headers],[Column823]]</f>
        <v>Column823</v>
      </c>
      <c r="AER1" t="str">
        <f>SOFR3mo_PX[[#Headers],[Column824]]</f>
        <v>Column824</v>
      </c>
      <c r="AES1" t="str">
        <f>SOFR3mo_PX[[#Headers],[Column825]]</f>
        <v>Column825</v>
      </c>
      <c r="AET1" t="str">
        <f>SOFR3mo_PX[[#Headers],[Column826]]</f>
        <v>Column826</v>
      </c>
      <c r="AEU1" t="str">
        <f>SOFR3mo_PX[[#Headers],[Column827]]</f>
        <v>Column827</v>
      </c>
      <c r="AEV1" t="str">
        <f>SOFR3mo_PX[[#Headers],[Column828]]</f>
        <v>Column828</v>
      </c>
      <c r="AEW1" t="str">
        <f>SOFR3mo_PX[[#Headers],[Column829]]</f>
        <v>Column829</v>
      </c>
      <c r="AEX1" t="str">
        <f>SOFR3mo_PX[[#Headers],[Column830]]</f>
        <v>Column830</v>
      </c>
      <c r="AEY1" t="str">
        <f>SOFR3mo_PX[[#Headers],[Column831]]</f>
        <v>Column831</v>
      </c>
      <c r="AEZ1" t="str">
        <f>SOFR3mo_PX[[#Headers],[Column832]]</f>
        <v>Column832</v>
      </c>
      <c r="AFA1" t="str">
        <f>SOFR3mo_PX[[#Headers],[Column833]]</f>
        <v>Column833</v>
      </c>
      <c r="AFB1" t="str">
        <f>SOFR3mo_PX[[#Headers],[Column834]]</f>
        <v>Column834</v>
      </c>
      <c r="AFC1" t="str">
        <f>SOFR3mo_PX[[#Headers],[Column835]]</f>
        <v>Column835</v>
      </c>
      <c r="AFD1" t="str">
        <f>SOFR3mo_PX[[#Headers],[Column836]]</f>
        <v>Column836</v>
      </c>
      <c r="AFE1" t="str">
        <f>SOFR3mo_PX[[#Headers],[Column837]]</f>
        <v>Column837</v>
      </c>
      <c r="AFF1" t="str">
        <f>SOFR3mo_PX[[#Headers],[Column838]]</f>
        <v>Column838</v>
      </c>
      <c r="AFG1" t="str">
        <f>SOFR3mo_PX[[#Headers],[Column839]]</f>
        <v>Column839</v>
      </c>
      <c r="AFH1" t="str">
        <f>SOFR3mo_PX[[#Headers],[Column840]]</f>
        <v>Column840</v>
      </c>
      <c r="AFI1" t="str">
        <f>SOFR3mo_PX[[#Headers],[Column841]]</f>
        <v>Column841</v>
      </c>
      <c r="AFJ1" t="str">
        <f>SOFR3mo_PX[[#Headers],[Column842]]</f>
        <v>Column842</v>
      </c>
      <c r="AFK1" t="str">
        <f>SOFR3mo_PX[[#Headers],[Column843]]</f>
        <v>Column843</v>
      </c>
      <c r="AFL1" t="str">
        <f>SOFR3mo_PX[[#Headers],[Column844]]</f>
        <v>Column844</v>
      </c>
      <c r="AFM1" t="str">
        <f>SOFR3mo_PX[[#Headers],[Column845]]</f>
        <v>Column845</v>
      </c>
      <c r="AFN1" t="str">
        <f>SOFR3mo_PX[[#Headers],[Column846]]</f>
        <v>Column846</v>
      </c>
      <c r="AFO1" t="str">
        <f>SOFR3mo_PX[[#Headers],[Column847]]</f>
        <v>Column847</v>
      </c>
      <c r="AFP1" t="str">
        <f>SOFR3mo_PX[[#Headers],[Column848]]</f>
        <v>Column848</v>
      </c>
      <c r="AFQ1" t="str">
        <f>SOFR3mo_PX[[#Headers],[Column849]]</f>
        <v>Column849</v>
      </c>
      <c r="AFR1" t="str">
        <f>SOFR3mo_PX[[#Headers],[Column850]]</f>
        <v>Column850</v>
      </c>
      <c r="AFS1" t="str">
        <f>SOFR3mo_PX[[#Headers],[Column851]]</f>
        <v>Column851</v>
      </c>
      <c r="AFT1" t="str">
        <f>SOFR3mo_PX[[#Headers],[Column852]]</f>
        <v>Column852</v>
      </c>
      <c r="AFU1" t="str">
        <f>SOFR3mo_PX[[#Headers],[Column853]]</f>
        <v>Column853</v>
      </c>
      <c r="AFV1" t="str">
        <f>SOFR3mo_PX[[#Headers],[Column854]]</f>
        <v>Column854</v>
      </c>
      <c r="AFW1" t="str">
        <f>SOFR3mo_PX[[#Headers],[Column855]]</f>
        <v>Column855</v>
      </c>
      <c r="AFX1" t="str">
        <f>SOFR3mo_PX[[#Headers],[Column856]]</f>
        <v>Column856</v>
      </c>
      <c r="AFY1" t="str">
        <f>SOFR3mo_PX[[#Headers],[Column857]]</f>
        <v>Column857</v>
      </c>
      <c r="AFZ1" t="str">
        <f>SOFR3mo_PX[[#Headers],[Column858]]</f>
        <v>Column858</v>
      </c>
      <c r="AGA1" t="str">
        <f>SOFR3mo_PX[[#Headers],[Column859]]</f>
        <v>Column859</v>
      </c>
      <c r="AGB1" t="str">
        <f>SOFR3mo_PX[[#Headers],[Column860]]</f>
        <v>Column860</v>
      </c>
      <c r="AGC1" t="str">
        <f>SOFR3mo_PX[[#Headers],[Column861]]</f>
        <v>Column861</v>
      </c>
      <c r="AGD1" t="str">
        <f>SOFR3mo_PX[[#Headers],[Column862]]</f>
        <v>Column862</v>
      </c>
      <c r="AGE1" t="str">
        <f>SOFR3mo_PX[[#Headers],[Column863]]</f>
        <v>Column863</v>
      </c>
      <c r="AGF1" t="str">
        <f>SOFR3mo_PX[[#Headers],[Column864]]</f>
        <v>Column864</v>
      </c>
      <c r="AGG1" t="str">
        <f>SOFR3mo_PX[[#Headers],[Column865]]</f>
        <v>Column865</v>
      </c>
      <c r="AGH1" t="str">
        <f>SOFR3mo_PX[[#Headers],[Column866]]</f>
        <v>Column866</v>
      </c>
      <c r="AGI1" t="str">
        <f>SOFR3mo_PX[[#Headers],[Column867]]</f>
        <v>Column867</v>
      </c>
      <c r="AGJ1" t="str">
        <f>SOFR3mo_PX[[#Headers],[Column868]]</f>
        <v>Column868</v>
      </c>
      <c r="AGK1" t="str">
        <f>SOFR3mo_PX[[#Headers],[Column869]]</f>
        <v>Column869</v>
      </c>
      <c r="AGL1" t="str">
        <f>SOFR3mo_PX[[#Headers],[Column870]]</f>
        <v>Column870</v>
      </c>
      <c r="AGM1" t="str">
        <f>SOFR3mo_PX[[#Headers],[Column871]]</f>
        <v>Column871</v>
      </c>
      <c r="AGN1" t="str">
        <f>SOFR3mo_PX[[#Headers],[Column872]]</f>
        <v>Column872</v>
      </c>
      <c r="AGO1" t="str">
        <f>SOFR3mo_PX[[#Headers],[Column873]]</f>
        <v>Column873</v>
      </c>
      <c r="AGP1" t="str">
        <f>SOFR3mo_PX[[#Headers],[Column874]]</f>
        <v>Column874</v>
      </c>
      <c r="AGQ1" t="str">
        <f>SOFR3mo_PX[[#Headers],[Column875]]</f>
        <v>Column875</v>
      </c>
      <c r="AGR1" t="str">
        <f>SOFR3mo_PX[[#Headers],[Column876]]</f>
        <v>Column876</v>
      </c>
      <c r="AGS1" t="str">
        <f>SOFR3mo_PX[[#Headers],[Column877]]</f>
        <v>Column877</v>
      </c>
      <c r="AGT1" t="str">
        <f>SOFR3mo_PX[[#Headers],[Column878]]</f>
        <v>Column878</v>
      </c>
      <c r="AGU1" t="str">
        <f>SOFR3mo_PX[[#Headers],[Column879]]</f>
        <v>Column879</v>
      </c>
      <c r="AGV1" t="str">
        <f>SOFR3mo_PX[[#Headers],[Column880]]</f>
        <v>Column880</v>
      </c>
      <c r="AGW1" t="str">
        <f>SOFR3mo_PX[[#Headers],[Column881]]</f>
        <v>Column881</v>
      </c>
      <c r="AGX1" t="str">
        <f>SOFR3mo_PX[[#Headers],[Column882]]</f>
        <v>Column882</v>
      </c>
      <c r="AGY1" t="str">
        <f>SOFR3mo_PX[[#Headers],[Column883]]</f>
        <v>Column883</v>
      </c>
      <c r="AGZ1" t="str">
        <f>SOFR3mo_PX[[#Headers],[Column884]]</f>
        <v>Column884</v>
      </c>
      <c r="AHA1" t="str">
        <f>SOFR3mo_PX[[#Headers],[Column885]]</f>
        <v>Column885</v>
      </c>
      <c r="AHB1" t="str">
        <f>SOFR3mo_PX[[#Headers],[Column886]]</f>
        <v>Column886</v>
      </c>
      <c r="AHC1" t="str">
        <f>SOFR3mo_PX[[#Headers],[Column887]]</f>
        <v>Column887</v>
      </c>
      <c r="AHD1" t="str">
        <f>SOFR3mo_PX[[#Headers],[Column888]]</f>
        <v>Column888</v>
      </c>
      <c r="AHE1" t="str">
        <f>SOFR3mo_PX[[#Headers],[Column889]]</f>
        <v>Column889</v>
      </c>
      <c r="AHF1" t="str">
        <f>SOFR3mo_PX[[#Headers],[Column890]]</f>
        <v>Column890</v>
      </c>
      <c r="AHG1" t="str">
        <f>SOFR3mo_PX[[#Headers],[Column891]]</f>
        <v>Column891</v>
      </c>
      <c r="AHH1" t="str">
        <f>SOFR3mo_PX[[#Headers],[Column892]]</f>
        <v>Column892</v>
      </c>
      <c r="AHI1" t="str">
        <f>SOFR3mo_PX[[#Headers],[Column893]]</f>
        <v>Column893</v>
      </c>
      <c r="AHJ1" t="str">
        <f>SOFR3mo_PX[[#Headers],[Column894]]</f>
        <v>Column894</v>
      </c>
      <c r="AHK1" t="str">
        <f>SOFR3mo_PX[[#Headers],[Column895]]</f>
        <v>Column895</v>
      </c>
      <c r="AHL1" t="str">
        <f>SOFR3mo_PX[[#Headers],[Column896]]</f>
        <v>Column896</v>
      </c>
      <c r="AHM1" t="str">
        <f>SOFR3mo_PX[[#Headers],[Column897]]</f>
        <v>Column897</v>
      </c>
      <c r="AHN1" t="str">
        <f>SOFR3mo_PX[[#Headers],[Column898]]</f>
        <v>Column898</v>
      </c>
      <c r="AHO1" t="str">
        <f>SOFR3mo_PX[[#Headers],[Column899]]</f>
        <v>Column899</v>
      </c>
      <c r="AHP1" t="str">
        <f>SOFR3mo_PX[[#Headers],[Column900]]</f>
        <v>Column900</v>
      </c>
      <c r="AHQ1" t="str">
        <f>SOFR3mo_PX[[#Headers],[Column901]]</f>
        <v>Column901</v>
      </c>
      <c r="AHR1" t="str">
        <f>SOFR3mo_PX[[#Headers],[Column902]]</f>
        <v>Column902</v>
      </c>
      <c r="AHS1" t="str">
        <f>SOFR3mo_PX[[#Headers],[Column903]]</f>
        <v>Column903</v>
      </c>
      <c r="AHT1" t="str">
        <f>SOFR3mo_PX[[#Headers],[Column904]]</f>
        <v>Column904</v>
      </c>
      <c r="AHU1" t="str">
        <f>SOFR3mo_PX[[#Headers],[Column905]]</f>
        <v>Column905</v>
      </c>
      <c r="AHV1" t="str">
        <f>SOFR3mo_PX[[#Headers],[Column906]]</f>
        <v>Column906</v>
      </c>
      <c r="AHW1" t="str">
        <f>SOFR3mo_PX[[#Headers],[Column907]]</f>
        <v>Column907</v>
      </c>
      <c r="AHX1" t="str">
        <f>SOFR3mo_PX[[#Headers],[Column908]]</f>
        <v>Column908</v>
      </c>
      <c r="AHY1" t="str">
        <f>SOFR3mo_PX[[#Headers],[Column909]]</f>
        <v>Column909</v>
      </c>
      <c r="AHZ1" t="str">
        <f>SOFR3mo_PX[[#Headers],[Column910]]</f>
        <v>Column910</v>
      </c>
      <c r="AIA1" t="str">
        <f>SOFR3mo_PX[[#Headers],[Column911]]</f>
        <v>Column911</v>
      </c>
      <c r="AIB1" t="str">
        <f>SOFR3mo_PX[[#Headers],[Column912]]</f>
        <v>Column912</v>
      </c>
      <c r="AIC1" t="str">
        <f>SOFR3mo_PX[[#Headers],[Column913]]</f>
        <v>Column913</v>
      </c>
      <c r="AID1" t="str">
        <f>SOFR3mo_PX[[#Headers],[Column914]]</f>
        <v>Column914</v>
      </c>
      <c r="AIE1" t="str">
        <f>SOFR3mo_PX[[#Headers],[Column915]]</f>
        <v>Column915</v>
      </c>
      <c r="AIF1" t="str">
        <f>SOFR3mo_PX[[#Headers],[Column916]]</f>
        <v>Column916</v>
      </c>
      <c r="AIG1" t="str">
        <f>SOFR3mo_PX[[#Headers],[Column917]]</f>
        <v>Column917</v>
      </c>
      <c r="AIH1" t="str">
        <f>SOFR3mo_PX[[#Headers],[Column918]]</f>
        <v>Column918</v>
      </c>
      <c r="AII1" t="str">
        <f>SOFR3mo_PX[[#Headers],[Column919]]</f>
        <v>Column919</v>
      </c>
      <c r="AIJ1" t="str">
        <f>SOFR3mo_PX[[#Headers],[Column920]]</f>
        <v>Column920</v>
      </c>
      <c r="AIK1" t="str">
        <f>SOFR3mo_PX[[#Headers],[Column921]]</f>
        <v>Column921</v>
      </c>
      <c r="AIL1" t="str">
        <f>SOFR3mo_PX[[#Headers],[Column922]]</f>
        <v>Column922</v>
      </c>
      <c r="AIM1" t="str">
        <f>SOFR3mo_PX[[#Headers],[Column923]]</f>
        <v>Column923</v>
      </c>
      <c r="AIN1" t="str">
        <f>SOFR3mo_PX[[#Headers],[Column924]]</f>
        <v>Column924</v>
      </c>
      <c r="AIO1" t="str">
        <f>SOFR3mo_PX[[#Headers],[Column925]]</f>
        <v>Column925</v>
      </c>
      <c r="AIP1" t="str">
        <f>SOFR3mo_PX[[#Headers],[Column926]]</f>
        <v>Column926</v>
      </c>
      <c r="AIQ1" t="str">
        <f>SOFR3mo_PX[[#Headers],[Column927]]</f>
        <v>Column927</v>
      </c>
      <c r="AIR1" t="str">
        <f>SOFR3mo_PX[[#Headers],[Column928]]</f>
        <v>Column928</v>
      </c>
      <c r="AIS1" t="str">
        <f>SOFR3mo_PX[[#Headers],[Column929]]</f>
        <v>Column929</v>
      </c>
      <c r="AIT1" t="str">
        <f>SOFR3mo_PX[[#Headers],[Column930]]</f>
        <v>Column930</v>
      </c>
      <c r="AIU1" t="str">
        <f>SOFR3mo_PX[[#Headers],[Column931]]</f>
        <v>Column931</v>
      </c>
      <c r="AIV1" t="str">
        <f>SOFR3mo_PX[[#Headers],[Column932]]</f>
        <v>Column932</v>
      </c>
      <c r="AIW1" t="str">
        <f>SOFR3mo_PX[[#Headers],[Column933]]</f>
        <v>Column933</v>
      </c>
      <c r="AIX1" t="str">
        <f>SOFR3mo_PX[[#Headers],[Column934]]</f>
        <v>Column934</v>
      </c>
      <c r="AIY1" t="str">
        <f>SOFR3mo_PX[[#Headers],[Column935]]</f>
        <v>Column935</v>
      </c>
      <c r="AIZ1" t="str">
        <f>SOFR3mo_PX[[#Headers],[Column936]]</f>
        <v>Column936</v>
      </c>
      <c r="AJA1" t="str">
        <f>SOFR3mo_PX[[#Headers],[Column937]]</f>
        <v>Column937</v>
      </c>
      <c r="AJB1" t="str">
        <f>SOFR3mo_PX[[#Headers],[Column938]]</f>
        <v>Column938</v>
      </c>
      <c r="AJC1" t="str">
        <f>SOFR3mo_PX[[#Headers],[Column939]]</f>
        <v>Column939</v>
      </c>
      <c r="AJD1" t="str">
        <f>SOFR3mo_PX[[#Headers],[Column940]]</f>
        <v>Column940</v>
      </c>
      <c r="AJE1" t="str">
        <f>SOFR3mo_PX[[#Headers],[Column941]]</f>
        <v>Column941</v>
      </c>
      <c r="AJF1" t="str">
        <f>SOFR3mo_PX[[#Headers],[Column942]]</f>
        <v>Column942</v>
      </c>
      <c r="AJG1" t="str">
        <f>SOFR3mo_PX[[#Headers],[Column943]]</f>
        <v>Column943</v>
      </c>
      <c r="AJH1" t="str">
        <f>SOFR3mo_PX[[#Headers],[Column944]]</f>
        <v>Column944</v>
      </c>
      <c r="AJI1" t="str">
        <f>SOFR3mo_PX[[#Headers],[Column945]]</f>
        <v>Column945</v>
      </c>
      <c r="AJJ1" t="str">
        <f>SOFR3mo_PX[[#Headers],[Column946]]</f>
        <v>Column946</v>
      </c>
      <c r="AJK1" t="str">
        <f>SOFR3mo_PX[[#Headers],[Column947]]</f>
        <v>Column947</v>
      </c>
      <c r="AJL1" t="str">
        <f>SOFR3mo_PX[[#Headers],[Column948]]</f>
        <v>Column948</v>
      </c>
      <c r="AJM1" t="str">
        <f>SOFR3mo_PX[[#Headers],[Column949]]</f>
        <v>Column949</v>
      </c>
      <c r="AJN1" t="str">
        <f>SOFR3mo_PX[[#Headers],[Column950]]</f>
        <v>Column950</v>
      </c>
      <c r="AJO1" t="str">
        <f>SOFR3mo_PX[[#Headers],[Column951]]</f>
        <v>Column951</v>
      </c>
      <c r="AJP1" t="str">
        <f>SOFR3mo_PX[[#Headers],[Column952]]</f>
        <v>Column952</v>
      </c>
      <c r="AJQ1" t="str">
        <f>SOFR3mo_PX[[#Headers],[Column953]]</f>
        <v>Column953</v>
      </c>
      <c r="AJR1" t="str">
        <f>SOFR3mo_PX[[#Headers],[Column954]]</f>
        <v>Column954</v>
      </c>
      <c r="AJS1" t="str">
        <f>SOFR3mo_PX[[#Headers],[Column955]]</f>
        <v>Column955</v>
      </c>
      <c r="AJT1" t="str">
        <f>SOFR3mo_PX[[#Headers],[Column956]]</f>
        <v>Column956</v>
      </c>
      <c r="AJU1" t="str">
        <f>SOFR3mo_PX[[#Headers],[Column957]]</f>
        <v>Column957</v>
      </c>
      <c r="AJV1" t="str">
        <f>SOFR3mo_PX[[#Headers],[Column958]]</f>
        <v>Column958</v>
      </c>
      <c r="AJW1" t="str">
        <f>SOFR3mo_PX[[#Headers],[Column959]]</f>
        <v>Column959</v>
      </c>
      <c r="AJX1" t="str">
        <f>SOFR3mo_PX[[#Headers],[Column960]]</f>
        <v>Column960</v>
      </c>
      <c r="AJY1" t="str">
        <f>SOFR3mo_PX[[#Headers],[Column961]]</f>
        <v>Column961</v>
      </c>
      <c r="AJZ1" t="str">
        <f>SOFR3mo_PX[[#Headers],[Column962]]</f>
        <v>Column962</v>
      </c>
      <c r="AKA1" t="str">
        <f>SOFR3mo_PX[[#Headers],[Column963]]</f>
        <v>Column963</v>
      </c>
      <c r="AKB1" t="str">
        <f>SOFR3mo_PX[[#Headers],[Column964]]</f>
        <v>Column964</v>
      </c>
      <c r="AKC1" t="str">
        <f>SOFR3mo_PX[[#Headers],[Column965]]</f>
        <v>Column965</v>
      </c>
      <c r="AKD1" t="str">
        <f>SOFR3mo_PX[[#Headers],[Column966]]</f>
        <v>Column966</v>
      </c>
      <c r="AKE1" t="str">
        <f>SOFR3mo_PX[[#Headers],[Column967]]</f>
        <v>Column967</v>
      </c>
      <c r="AKF1" t="str">
        <f>SOFR3mo_PX[[#Headers],[Column968]]</f>
        <v>Column968</v>
      </c>
      <c r="AKG1" t="str">
        <f>SOFR3mo_PX[[#Headers],[Column969]]</f>
        <v>Column969</v>
      </c>
      <c r="AKH1" t="str">
        <f>SOFR3mo_PX[[#Headers],[Column970]]</f>
        <v>Column970</v>
      </c>
      <c r="AKI1" t="str">
        <f>SOFR3mo_PX[[#Headers],[Column971]]</f>
        <v>Column971</v>
      </c>
      <c r="AKJ1" t="str">
        <f>SOFR3mo_PX[[#Headers],[Column972]]</f>
        <v>Column972</v>
      </c>
      <c r="AKK1" t="str">
        <f>SOFR3mo_PX[[#Headers],[Column973]]</f>
        <v>Column973</v>
      </c>
      <c r="AKL1" t="str">
        <f>SOFR3mo_PX[[#Headers],[Column974]]</f>
        <v>Column974</v>
      </c>
      <c r="AKM1" t="str">
        <f>SOFR3mo_PX[[#Headers],[Column975]]</f>
        <v>Column975</v>
      </c>
      <c r="AKN1" t="str">
        <f>SOFR3mo_PX[[#Headers],[Column976]]</f>
        <v>Column976</v>
      </c>
      <c r="AKO1" t="str">
        <f>SOFR3mo_PX[[#Headers],[Column977]]</f>
        <v>Column977</v>
      </c>
      <c r="AKP1" t="str">
        <f>SOFR3mo_PX[[#Headers],[Column978]]</f>
        <v>Column978</v>
      </c>
      <c r="AKQ1" t="str">
        <f>SOFR3mo_PX[[#Headers],[Column979]]</f>
        <v>Column979</v>
      </c>
      <c r="AKR1" t="str">
        <f>SOFR3mo_PX[[#Headers],[Column980]]</f>
        <v>Column980</v>
      </c>
      <c r="AKS1" t="str">
        <f>SOFR3mo_PX[[#Headers],[Column981]]</f>
        <v>Column981</v>
      </c>
      <c r="AKT1" t="str">
        <f>SOFR3mo_PX[[#Headers],[Column982]]</f>
        <v>Column982</v>
      </c>
      <c r="AKU1" t="str">
        <f>SOFR3mo_PX[[#Headers],[Column983]]</f>
        <v>Column983</v>
      </c>
      <c r="AKV1" t="str">
        <f>SOFR3mo_PX[[#Headers],[Column984]]</f>
        <v>Column984</v>
      </c>
      <c r="AKW1" t="str">
        <f>SOFR3mo_PX[[#Headers],[Column985]]</f>
        <v>Column985</v>
      </c>
      <c r="AKX1" t="str">
        <f>SOFR3mo_PX[[#Headers],[Column986]]</f>
        <v>Column986</v>
      </c>
      <c r="AKY1" t="str">
        <f>SOFR3mo_PX[[#Headers],[Column987]]</f>
        <v>Column987</v>
      </c>
      <c r="AKZ1" t="str">
        <f>SOFR3mo_PX[[#Headers],[Column988]]</f>
        <v>Column988</v>
      </c>
      <c r="ALA1" t="str">
        <f>SOFR3mo_PX[[#Headers],[Column989]]</f>
        <v>Column989</v>
      </c>
      <c r="ALB1" t="str">
        <f>SOFR3mo_PX[[#Headers],[Column990]]</f>
        <v>Column990</v>
      </c>
      <c r="ALC1" t="str">
        <f>SOFR3mo_PX[[#Headers],[Column991]]</f>
        <v>Column991</v>
      </c>
      <c r="ALD1" t="str">
        <f>SOFR3mo_PX[[#Headers],[Column992]]</f>
        <v>Column992</v>
      </c>
      <c r="ALE1" t="str">
        <f>SOFR3mo_PX[[#Headers],[Column993]]</f>
        <v>Column993</v>
      </c>
      <c r="ALF1" t="str">
        <f>SOFR3mo_PX[[#Headers],[Column994]]</f>
        <v>Column994</v>
      </c>
      <c r="ALG1" t="str">
        <f>SOFR3mo_PX[[#Headers],[Column995]]</f>
        <v>Column995</v>
      </c>
      <c r="ALH1" t="str">
        <f>SOFR3mo_PX[[#Headers],[Column996]]</f>
        <v>Column996</v>
      </c>
      <c r="ALI1" t="str">
        <f>SOFR3mo_PX[[#Headers],[Column997]]</f>
        <v>Column997</v>
      </c>
      <c r="ALJ1" t="str">
        <f>SOFR3mo_PX[[#Headers],[Column998]]</f>
        <v>Column998</v>
      </c>
      <c r="ALK1" t="str">
        <f>SOFR3mo_PX[[#Headers],[Column999]]</f>
        <v>Column999</v>
      </c>
      <c r="ALL1" t="str">
        <f>SOFR3mo_PX[[#Headers],[Column1000]]</f>
        <v>Column1000</v>
      </c>
      <c r="ALM1" t="str">
        <f>SOFR3mo_PX[[#Headers],[Column1001]]</f>
        <v>Column1001</v>
      </c>
      <c r="ALN1" t="str">
        <f>SOFR3mo_PX[[#Headers],[Column1002]]</f>
        <v>Column1002</v>
      </c>
      <c r="ALO1" t="str">
        <f>SOFR3mo_PX[[#Headers],[Column1003]]</f>
        <v>Column1003</v>
      </c>
      <c r="ALP1" t="str">
        <f>SOFR3mo_PX[[#Headers],[Column1004]]</f>
        <v>Column1004</v>
      </c>
      <c r="ALQ1" t="str">
        <f>SOFR3mo_PX[[#Headers],[Column1005]]</f>
        <v>Column1005</v>
      </c>
      <c r="ALR1" t="str">
        <f>SOFR3mo_PX[[#Headers],[Column1006]]</f>
        <v>Column1006</v>
      </c>
      <c r="ALS1" t="str">
        <f>SOFR3mo_PX[[#Headers],[Column1007]]</f>
        <v>Column1007</v>
      </c>
      <c r="ALT1" t="str">
        <f>SOFR3mo_PX[[#Headers],[Column1008]]</f>
        <v>Column1008</v>
      </c>
      <c r="ALU1" t="str">
        <f>SOFR3mo_PX[[#Headers],[Column1009]]</f>
        <v>Column1009</v>
      </c>
      <c r="ALV1" t="str">
        <f>SOFR3mo_PX[[#Headers],[Column1010]]</f>
        <v>Column1010</v>
      </c>
      <c r="ALW1" t="str">
        <f>SOFR3mo_PX[[#Headers],[Column1011]]</f>
        <v>Column1011</v>
      </c>
      <c r="ALX1" t="str">
        <f>SOFR3mo_PX[[#Headers],[Column1012]]</f>
        <v>Column1012</v>
      </c>
      <c r="ALY1" t="str">
        <f>SOFR3mo_PX[[#Headers],[Column1013]]</f>
        <v>Column1013</v>
      </c>
      <c r="ALZ1" t="str">
        <f>SOFR3mo_PX[[#Headers],[Column1014]]</f>
        <v>Column1014</v>
      </c>
      <c r="AMA1" t="str">
        <f>SOFR3mo_PX[[#Headers],[Column1015]]</f>
        <v>Column1015</v>
      </c>
      <c r="AMB1" t="str">
        <f>SOFR3mo_PX[[#Headers],[Column1016]]</f>
        <v>Column1016</v>
      </c>
      <c r="AMC1" t="str">
        <f>SOFR3mo_PX[[#Headers],[Column1017]]</f>
        <v>Column1017</v>
      </c>
      <c r="AMD1" t="str">
        <f>SOFR3mo_PX[[#Headers],[Column1018]]</f>
        <v>Column1018</v>
      </c>
      <c r="AME1" t="str">
        <f>SOFR3mo_PX[[#Headers],[Column1019]]</f>
        <v>Column1019</v>
      </c>
      <c r="AMF1" t="str">
        <f>SOFR3mo_PX[[#Headers],[Column1020]]</f>
        <v>Column1020</v>
      </c>
      <c r="AMG1" t="str">
        <f>SOFR3mo_PX[[#Headers],[Column1021]]</f>
        <v>Column1021</v>
      </c>
      <c r="AMH1" t="str">
        <f>SOFR3mo_PX[[#Headers],[Column1022]]</f>
        <v>Column1022</v>
      </c>
      <c r="AMI1" t="str">
        <f>SOFR3mo_PX[[#Headers],[Column1023]]</f>
        <v>Column1023</v>
      </c>
      <c r="AMJ1" t="str">
        <f>SOFR3mo_PX[[#Headers],[Column1024]]</f>
        <v>Column1024</v>
      </c>
      <c r="AMK1" t="str">
        <f>SOFR3mo_PX[[#Headers],[Column1025]]</f>
        <v>Column1025</v>
      </c>
      <c r="AML1" t="str">
        <f>SOFR3mo_PX[[#Headers],[Column1026]]</f>
        <v>Column1026</v>
      </c>
      <c r="AMM1" t="str">
        <f>SOFR3mo_PX[[#Headers],[Column1027]]</f>
        <v>Column1027</v>
      </c>
      <c r="AMN1" t="str">
        <f>SOFR3mo_PX[[#Headers],[Column1028]]</f>
        <v>Column1028</v>
      </c>
      <c r="AMO1" t="str">
        <f>SOFR3mo_PX[[#Headers],[Column1029]]</f>
        <v>Column1029</v>
      </c>
      <c r="AMP1" t="str">
        <f>SOFR3mo_PX[[#Headers],[Column1030]]</f>
        <v>Column1030</v>
      </c>
      <c r="AMQ1" t="str">
        <f>SOFR3mo_PX[[#Headers],[Column1031]]</f>
        <v>Column1031</v>
      </c>
      <c r="AMR1" t="str">
        <f>SOFR3mo_PX[[#Headers],[Column1032]]</f>
        <v>Column1032</v>
      </c>
      <c r="AMS1" t="str">
        <f>SOFR3mo_PX[[#Headers],[Column1033]]</f>
        <v>Column1033</v>
      </c>
      <c r="AMT1" t="str">
        <f>SOFR3mo_PX[[#Headers],[Column1034]]</f>
        <v>Column1034</v>
      </c>
      <c r="AMU1" t="str">
        <f>SOFR3mo_PX[[#Headers],[Column1035]]</f>
        <v>Column1035</v>
      </c>
      <c r="AMV1" t="str">
        <f>SOFR3mo_PX[[#Headers],[Column1036]]</f>
        <v>Column1036</v>
      </c>
      <c r="AMW1" t="str">
        <f>SOFR3mo_PX[[#Headers],[Column1037]]</f>
        <v>Column1037</v>
      </c>
      <c r="AMX1" t="str">
        <f>SOFR3mo_PX[[#Headers],[Column1038]]</f>
        <v>Column1038</v>
      </c>
      <c r="AMY1" t="str">
        <f>SOFR3mo_PX[[#Headers],[Column1039]]</f>
        <v>Column1039</v>
      </c>
      <c r="AMZ1" t="str">
        <f>SOFR3mo_PX[[#Headers],[Column1040]]</f>
        <v>Column1040</v>
      </c>
      <c r="ANA1" t="str">
        <f>SOFR3mo_PX[[#Headers],[Column1041]]</f>
        <v>Column1041</v>
      </c>
      <c r="ANB1" t="str">
        <f>SOFR3mo_PX[[#Headers],[Column1042]]</f>
        <v>Column1042</v>
      </c>
      <c r="ANC1" t="str">
        <f>SOFR3mo_PX[[#Headers],[Column1043]]</f>
        <v>Column1043</v>
      </c>
      <c r="AND1" t="str">
        <f>SOFR3mo_PX[[#Headers],[Column1044]]</f>
        <v>Column1044</v>
      </c>
      <c r="ANE1" t="str">
        <f>SOFR3mo_PX[[#Headers],[Column1045]]</f>
        <v>Column1045</v>
      </c>
      <c r="ANF1" t="str">
        <f>SOFR3mo_PX[[#Headers],[Column1046]]</f>
        <v>Column1046</v>
      </c>
      <c r="ANG1" t="str">
        <f>SOFR3mo_PX[[#Headers],[Column1047]]</f>
        <v>Column1047</v>
      </c>
      <c r="ANH1" t="str">
        <f>SOFR3mo_PX[[#Headers],[Column1048]]</f>
        <v>Column1048</v>
      </c>
      <c r="ANI1" t="str">
        <f>SOFR3mo_PX[[#Headers],[Column1049]]</f>
        <v>Column1049</v>
      </c>
      <c r="ANJ1" t="str">
        <f>SOFR3mo_PX[[#Headers],[Column1050]]</f>
        <v>Column1050</v>
      </c>
      <c r="ANK1" t="str">
        <f>SOFR3mo_PX[[#Headers],[Column1051]]</f>
        <v>Column1051</v>
      </c>
      <c r="ANL1" t="str">
        <f>SOFR3mo_PX[[#Headers],[Column1052]]</f>
        <v>Column1052</v>
      </c>
      <c r="ANM1" t="str">
        <f>SOFR3mo_PX[[#Headers],[Column1053]]</f>
        <v>Column1053</v>
      </c>
      <c r="ANN1" t="str">
        <f>SOFR3mo_PX[[#Headers],[Column1054]]</f>
        <v>Column1054</v>
      </c>
      <c r="ANO1" t="str">
        <f>SOFR3mo_PX[[#Headers],[Column1055]]</f>
        <v>Column1055</v>
      </c>
      <c r="ANP1" t="str">
        <f>SOFR3mo_PX[[#Headers],[Column1056]]</f>
        <v>Column1056</v>
      </c>
      <c r="ANQ1" t="str">
        <f>SOFR3mo_PX[[#Headers],[Column1057]]</f>
        <v>Column1057</v>
      </c>
      <c r="ANR1" t="str">
        <f>SOFR3mo_PX[[#Headers],[Column1058]]</f>
        <v>Column1058</v>
      </c>
      <c r="ANS1" t="str">
        <f>SOFR3mo_PX[[#Headers],[Column1059]]</f>
        <v>Column1059</v>
      </c>
      <c r="ANT1" t="str">
        <f>SOFR3mo_PX[[#Headers],[Column1060]]</f>
        <v>Column1060</v>
      </c>
      <c r="ANU1" t="str">
        <f>SOFR3mo_PX[[#Headers],[Column1061]]</f>
        <v>Column1061</v>
      </c>
      <c r="ANV1" t="str">
        <f>SOFR3mo_PX[[#Headers],[Column1062]]</f>
        <v>Column1062</v>
      </c>
      <c r="ANW1" t="str">
        <f>SOFR3mo_PX[[#Headers],[Column1063]]</f>
        <v>Column1063</v>
      </c>
      <c r="ANX1" t="str">
        <f>SOFR3mo_PX[[#Headers],[Column1064]]</f>
        <v>Column1064</v>
      </c>
      <c r="ANY1" t="str">
        <f>SOFR3mo_PX[[#Headers],[Column1065]]</f>
        <v>Column1065</v>
      </c>
      <c r="ANZ1" t="str">
        <f>SOFR3mo_PX[[#Headers],[Column1066]]</f>
        <v>Column1066</v>
      </c>
      <c r="AOA1" t="str">
        <f>SOFR3mo_PX[[#Headers],[Column1067]]</f>
        <v>Column1067</v>
      </c>
      <c r="AOB1" t="str">
        <f>SOFR3mo_PX[[#Headers],[Column1068]]</f>
        <v>Column1068</v>
      </c>
      <c r="AOC1" t="str">
        <f>SOFR3mo_PX[[#Headers],[Column1069]]</f>
        <v>Column1069</v>
      </c>
      <c r="AOD1" t="str">
        <f>SOFR3mo_PX[[#Headers],[Column1070]]</f>
        <v>Column1070</v>
      </c>
      <c r="AOE1" t="str">
        <f>SOFR3mo_PX[[#Headers],[Column1071]]</f>
        <v>Column1071</v>
      </c>
      <c r="AOF1" t="str">
        <f>SOFR3mo_PX[[#Headers],[Column1072]]</f>
        <v>Column1072</v>
      </c>
      <c r="AOG1" t="str">
        <f>SOFR3mo_PX[[#Headers],[Column1073]]</f>
        <v>Column1073</v>
      </c>
      <c r="AOH1" t="str">
        <f>SOFR3mo_PX[[#Headers],[Column1074]]</f>
        <v>Column1074</v>
      </c>
      <c r="AOI1" t="str">
        <f>SOFR3mo_PX[[#Headers],[Column1075]]</f>
        <v>Column1075</v>
      </c>
      <c r="AOJ1" t="str">
        <f>SOFR3mo_PX[[#Headers],[Column1076]]</f>
        <v>Column1076</v>
      </c>
      <c r="AOK1" t="str">
        <f>SOFR3mo_PX[[#Headers],[Column1077]]</f>
        <v>Column1077</v>
      </c>
      <c r="AOL1" t="str">
        <f>SOFR3mo_PX[[#Headers],[Column1078]]</f>
        <v>Column1078</v>
      </c>
      <c r="AOM1" t="str">
        <f>SOFR3mo_PX[[#Headers],[Column1079]]</f>
        <v>Column1079</v>
      </c>
      <c r="AON1" t="str">
        <f>SOFR3mo_PX[[#Headers],[Column1080]]</f>
        <v>Column1080</v>
      </c>
      <c r="AOO1" t="str">
        <f>SOFR3mo_PX[[#Headers],[Column1081]]</f>
        <v>Column1081</v>
      </c>
      <c r="AOP1" t="str">
        <f>SOFR3mo_PX[[#Headers],[Column1082]]</f>
        <v>Column1082</v>
      </c>
      <c r="AOQ1" t="str">
        <f>SOFR3mo_PX[[#Headers],[Column1083]]</f>
        <v>Column1083</v>
      </c>
      <c r="AOR1" t="str">
        <f>SOFR3mo_PX[[#Headers],[Column1084]]</f>
        <v>Column1084</v>
      </c>
      <c r="AOS1" t="str">
        <f>SOFR3mo_PX[[#Headers],[Column1085]]</f>
        <v>Column1085</v>
      </c>
      <c r="AOT1" t="str">
        <f>SOFR3mo_PX[[#Headers],[Column1086]]</f>
        <v>Column1086</v>
      </c>
      <c r="AOU1" t="str">
        <f>SOFR3mo_PX[[#Headers],[Column1087]]</f>
        <v>Column1087</v>
      </c>
      <c r="AOV1" t="str">
        <f>SOFR3mo_PX[[#Headers],[Column1088]]</f>
        <v>Column1088</v>
      </c>
      <c r="AOW1" t="str">
        <f>SOFR3mo_PX[[#Headers],[Column1089]]</f>
        <v>Column1089</v>
      </c>
      <c r="AOX1" t="str">
        <f>SOFR3mo_PX[[#Headers],[Column1090]]</f>
        <v>Column1090</v>
      </c>
      <c r="AOY1" t="str">
        <f>SOFR3mo_PX[[#Headers],[Column1091]]</f>
        <v>Column1091</v>
      </c>
      <c r="AOZ1" t="str">
        <f>SOFR3mo_PX[[#Headers],[Column1092]]</f>
        <v>Column1092</v>
      </c>
      <c r="APA1" t="str">
        <f>SOFR3mo_PX[[#Headers],[Column1093]]</f>
        <v>Column1093</v>
      </c>
      <c r="APB1" t="str">
        <f>SOFR3mo_PX[[#Headers],[Column1094]]</f>
        <v>Column1094</v>
      </c>
      <c r="APC1" t="str">
        <f>SOFR3mo_PX[[#Headers],[Column1095]]</f>
        <v>Column1095</v>
      </c>
      <c r="APD1" t="str">
        <f>SOFR3mo_PX[[#Headers],[Column1096]]</f>
        <v>Column1096</v>
      </c>
      <c r="APE1" t="str">
        <f>SOFR3mo_PX[[#Headers],[Column1097]]</f>
        <v>Column1097</v>
      </c>
      <c r="APF1" t="str">
        <f>SOFR3mo_PX[[#Headers],[Column1098]]</f>
        <v>Column1098</v>
      </c>
      <c r="APG1" t="str">
        <f>SOFR3mo_PX[[#Headers],[Column1099]]</f>
        <v>Column1099</v>
      </c>
      <c r="APH1" t="str">
        <f>SOFR3mo_PX[[#Headers],[Column1100]]</f>
        <v>Column1100</v>
      </c>
      <c r="API1" t="str">
        <f>SOFR3mo_PX[[#Headers],[Column1101]]</f>
        <v>Column1101</v>
      </c>
      <c r="APJ1" t="str">
        <f>SOFR3mo_PX[[#Headers],[Column1102]]</f>
        <v>Column1102</v>
      </c>
      <c r="APK1" t="str">
        <f>SOFR3mo_PX[[#Headers],[Column1103]]</f>
        <v>Column1103</v>
      </c>
      <c r="APL1" t="str">
        <f>SOFR3mo_PX[[#Headers],[Column1104]]</f>
        <v>Column1104</v>
      </c>
      <c r="APM1" t="str">
        <f>SOFR3mo_PX[[#Headers],[Column1105]]</f>
        <v>Column1105</v>
      </c>
      <c r="APN1" t="str">
        <f>SOFR3mo_PX[[#Headers],[Column1106]]</f>
        <v>Column1106</v>
      </c>
      <c r="APO1" t="str">
        <f>SOFR3mo_PX[[#Headers],[Column1107]]</f>
        <v>Column1107</v>
      </c>
      <c r="APP1" t="str">
        <f>SOFR3mo_PX[[#Headers],[Column1108]]</f>
        <v>Column1108</v>
      </c>
      <c r="APQ1" t="str">
        <f>SOFR3mo_PX[[#Headers],[Column1109]]</f>
        <v>Column1109</v>
      </c>
      <c r="APR1" t="str">
        <f>SOFR3mo_PX[[#Headers],[Column1110]]</f>
        <v>Column1110</v>
      </c>
      <c r="APS1" t="str">
        <f>SOFR3mo_PX[[#Headers],[Column1111]]</f>
        <v>Column1111</v>
      </c>
      <c r="APT1" t="str">
        <f>SOFR3mo_PX[[#Headers],[Column1112]]</f>
        <v>Column1112</v>
      </c>
      <c r="APU1" t="str">
        <f>SOFR3mo_PX[[#Headers],[Column1113]]</f>
        <v>Column1113</v>
      </c>
      <c r="APV1" t="str">
        <f>SOFR3mo_PX[[#Headers],[Column1114]]</f>
        <v>Column1114</v>
      </c>
      <c r="APW1" t="str">
        <f>SOFR3mo_PX[[#Headers],[Column1115]]</f>
        <v>Column1115</v>
      </c>
      <c r="APX1" t="str">
        <f>SOFR3mo_PX[[#Headers],[Column1116]]</f>
        <v>Column1116</v>
      </c>
      <c r="APY1" t="str">
        <f>SOFR3mo_PX[[#Headers],[Column1117]]</f>
        <v>Column1117</v>
      </c>
      <c r="APZ1" t="str">
        <f>SOFR3mo_PX[[#Headers],[Column1118]]</f>
        <v>Column1118</v>
      </c>
      <c r="AQA1" t="str">
        <f>SOFR3mo_PX[[#Headers],[Column1119]]</f>
        <v>Column1119</v>
      </c>
      <c r="AQB1" t="str">
        <f>SOFR3mo_PX[[#Headers],[Column1120]]</f>
        <v>Column1120</v>
      </c>
      <c r="AQC1" t="str">
        <f>SOFR3mo_PX[[#Headers],[Column1121]]</f>
        <v>Column1121</v>
      </c>
      <c r="AQD1" t="str">
        <f>SOFR3mo_PX[[#Headers],[Column1122]]</f>
        <v>Column1122</v>
      </c>
      <c r="AQE1" t="str">
        <f>SOFR3mo_PX[[#Headers],[Column1123]]</f>
        <v>Column1123</v>
      </c>
      <c r="AQF1" t="str">
        <f>SOFR3mo_PX[[#Headers],[Column1124]]</f>
        <v>Column1124</v>
      </c>
      <c r="AQG1" t="str">
        <f>SOFR3mo_PX[[#Headers],[Column1125]]</f>
        <v>Column1125</v>
      </c>
      <c r="AQH1" t="str">
        <f>SOFR3mo_PX[[#Headers],[Column1126]]</f>
        <v>Column1126</v>
      </c>
      <c r="AQI1" t="str">
        <f>SOFR3mo_PX[[#Headers],[Column1127]]</f>
        <v>Column1127</v>
      </c>
      <c r="AQJ1" t="str">
        <f>SOFR3mo_PX[[#Headers],[Column1128]]</f>
        <v>Column1128</v>
      </c>
      <c r="AQK1" t="str">
        <f>SOFR3mo_PX[[#Headers],[Column1129]]</f>
        <v>Column1129</v>
      </c>
      <c r="AQL1" t="str">
        <f>SOFR3mo_PX[[#Headers],[Column1130]]</f>
        <v>Column1130</v>
      </c>
      <c r="AQM1" t="str">
        <f>SOFR3mo_PX[[#Headers],[Column1131]]</f>
        <v>Column1131</v>
      </c>
      <c r="AQN1" t="str">
        <f>SOFR3mo_PX[[#Headers],[Column1132]]</f>
        <v>Column1132</v>
      </c>
      <c r="AQO1" t="str">
        <f>SOFR3mo_PX[[#Headers],[Column1133]]</f>
        <v>Column1133</v>
      </c>
      <c r="AQP1" t="str">
        <f>SOFR3mo_PX[[#Headers],[Column1134]]</f>
        <v>Column1134</v>
      </c>
      <c r="AQQ1" t="str">
        <f>SOFR3mo_PX[[#Headers],[Column1135]]</f>
        <v>Column1135</v>
      </c>
      <c r="AQR1" t="str">
        <f>SOFR3mo_PX[[#Headers],[Column1136]]</f>
        <v>Column1136</v>
      </c>
      <c r="AQS1" t="str">
        <f>SOFR3mo_PX[[#Headers],[Column1137]]</f>
        <v>Column1137</v>
      </c>
      <c r="AQT1" t="str">
        <f>SOFR3mo_PX[[#Headers],[Column1138]]</f>
        <v>Column1138</v>
      </c>
      <c r="AQU1" t="str">
        <f>SOFR3mo_PX[[#Headers],[Column1139]]</f>
        <v>Column1139</v>
      </c>
      <c r="AQV1" t="str">
        <f>SOFR3mo_PX[[#Headers],[Column1140]]</f>
        <v>Column1140</v>
      </c>
      <c r="AQW1" t="str">
        <f>SOFR3mo_PX[[#Headers],[Column1141]]</f>
        <v>Column1141</v>
      </c>
      <c r="AQX1" t="str">
        <f>SOFR3mo_PX[[#Headers],[Column1142]]</f>
        <v>Column1142</v>
      </c>
      <c r="AQY1" t="str">
        <f>SOFR3mo_PX[[#Headers],[Column1143]]</f>
        <v>Column1143</v>
      </c>
      <c r="AQZ1" t="str">
        <f>SOFR3mo_PX[[#Headers],[Column1144]]</f>
        <v>Column1144</v>
      </c>
      <c r="ARA1" t="str">
        <f>SOFR3mo_PX[[#Headers],[Column1145]]</f>
        <v>Column1145</v>
      </c>
      <c r="ARB1" t="str">
        <f>SOFR3mo_PX[[#Headers],[Column1146]]</f>
        <v>Column1146</v>
      </c>
      <c r="ARC1" t="str">
        <f>SOFR3mo_PX[[#Headers],[Column1147]]</f>
        <v>Column1147</v>
      </c>
      <c r="ARD1" t="str">
        <f>SOFR3mo_PX[[#Headers],[Column1148]]</f>
        <v>Column1148</v>
      </c>
      <c r="ARE1" t="str">
        <f>SOFR3mo_PX[[#Headers],[Column1149]]</f>
        <v>Column1149</v>
      </c>
      <c r="ARF1" t="str">
        <f>SOFR3mo_PX[[#Headers],[Column1150]]</f>
        <v>Column1150</v>
      </c>
      <c r="ARG1" t="str">
        <f>SOFR3mo_PX[[#Headers],[Column1151]]</f>
        <v>Column1151</v>
      </c>
      <c r="ARH1" t="str">
        <f>SOFR3mo_PX[[#Headers],[Column1152]]</f>
        <v>Column1152</v>
      </c>
      <c r="ARI1" t="str">
        <f>SOFR3mo_PX[[#Headers],[Column1153]]</f>
        <v>Column1153</v>
      </c>
      <c r="ARJ1" t="str">
        <f>SOFR3mo_PX[[#Headers],[Column1154]]</f>
        <v>Column1154</v>
      </c>
      <c r="ARK1" t="str">
        <f>SOFR3mo_PX[[#Headers],[Column1155]]</f>
        <v>Column1155</v>
      </c>
      <c r="ARL1" t="str">
        <f>SOFR3mo_PX[[#Headers],[Column1156]]</f>
        <v>Column1156</v>
      </c>
      <c r="ARM1" t="str">
        <f>SOFR3mo_PX[[#Headers],[Column1157]]</f>
        <v>Column1157</v>
      </c>
      <c r="ARN1" t="str">
        <f>SOFR3mo_PX[[#Headers],[Column1158]]</f>
        <v>Column1158</v>
      </c>
      <c r="ARO1" t="str">
        <f>SOFR3mo_PX[[#Headers],[Column1159]]</f>
        <v>Column1159</v>
      </c>
      <c r="ARP1" t="str">
        <f>SOFR3mo_PX[[#Headers],[Column1160]]</f>
        <v>Column1160</v>
      </c>
      <c r="ARQ1" t="str">
        <f>SOFR3mo_PX[[#Headers],[Column1161]]</f>
        <v>Column1161</v>
      </c>
      <c r="ARR1" t="str">
        <f>SOFR3mo_PX[[#Headers],[Column1162]]</f>
        <v>Column1162</v>
      </c>
      <c r="ARS1" t="str">
        <f>SOFR3mo_PX[[#Headers],[Column1163]]</f>
        <v>Column1163</v>
      </c>
      <c r="ART1" t="str">
        <f>SOFR3mo_PX[[#Headers],[Column1164]]</f>
        <v>Column1164</v>
      </c>
      <c r="ARU1" t="str">
        <f>SOFR3mo_PX[[#Headers],[Column1165]]</f>
        <v>Column1165</v>
      </c>
      <c r="ARV1" t="str">
        <f>SOFR3mo_PX[[#Headers],[Column1166]]</f>
        <v>Column1166</v>
      </c>
      <c r="ARW1" t="str">
        <f>SOFR3mo_PX[[#Headers],[Column1167]]</f>
        <v>Column1167</v>
      </c>
      <c r="ARX1" t="str">
        <f>SOFR3mo_PX[[#Headers],[Column1168]]</f>
        <v>Column1168</v>
      </c>
      <c r="ARY1" t="str">
        <f>SOFR3mo_PX[[#Headers],[Column1169]]</f>
        <v>Column1169</v>
      </c>
      <c r="ARZ1" t="str">
        <f>SOFR3mo_PX[[#Headers],[Column1170]]</f>
        <v>Column1170</v>
      </c>
      <c r="ASA1" t="str">
        <f>SOFR3mo_PX[[#Headers],[Column1171]]</f>
        <v>Column1171</v>
      </c>
      <c r="ASB1" t="str">
        <f>SOFR3mo_PX[[#Headers],[Column1172]]</f>
        <v>Column1172</v>
      </c>
      <c r="ASC1" t="str">
        <f>SOFR3mo_PX[[#Headers],[Column1173]]</f>
        <v>Column1173</v>
      </c>
      <c r="ASD1" t="str">
        <f>SOFR3mo_PX[[#Headers],[Column1174]]</f>
        <v>Column1174</v>
      </c>
      <c r="ASE1" t="str">
        <f>SOFR3mo_PX[[#Headers],[Column1175]]</f>
        <v>Column1175</v>
      </c>
      <c r="ASF1" t="str">
        <f>SOFR3mo_PX[[#Headers],[Column1176]]</f>
        <v>Column1176</v>
      </c>
      <c r="ASG1" t="str">
        <f>SOFR3mo_PX[[#Headers],[Column1177]]</f>
        <v>Column1177</v>
      </c>
      <c r="ASH1" t="str">
        <f>SOFR3mo_PX[[#Headers],[Column1178]]</f>
        <v>Column1178</v>
      </c>
      <c r="ASI1" t="str">
        <f>SOFR3mo_PX[[#Headers],[Column1179]]</f>
        <v>Column1179</v>
      </c>
      <c r="ASJ1" t="str">
        <f>SOFR3mo_PX[[#Headers],[Column1180]]</f>
        <v>Column1180</v>
      </c>
      <c r="ASK1" t="str">
        <f>SOFR3mo_PX[[#Headers],[Column1181]]</f>
        <v>Column1181</v>
      </c>
      <c r="ASL1" t="str">
        <f>SOFR3mo_PX[[#Headers],[Column1182]]</f>
        <v>Column1182</v>
      </c>
      <c r="ASM1" t="str">
        <f>SOFR3mo_PX[[#Headers],[Column1183]]</f>
        <v>Column1183</v>
      </c>
      <c r="ASN1" t="str">
        <f>SOFR3mo_PX[[#Headers],[Column1184]]</f>
        <v>Column1184</v>
      </c>
      <c r="ASO1" t="str">
        <f>SOFR3mo_PX[[#Headers],[Column1185]]</f>
        <v>Column1185</v>
      </c>
      <c r="ASP1" t="str">
        <f>SOFR3mo_PX[[#Headers],[Column1186]]</f>
        <v>Column1186</v>
      </c>
      <c r="ASQ1" t="str">
        <f>SOFR3mo_PX[[#Headers],[Column1187]]</f>
        <v>Column1187</v>
      </c>
      <c r="ASR1" t="str">
        <f>SOFR3mo_PX[[#Headers],[Column1188]]</f>
        <v>Column1188</v>
      </c>
      <c r="ASS1" t="str">
        <f>SOFR3mo_PX[[#Headers],[Column1189]]</f>
        <v>Column1189</v>
      </c>
      <c r="AST1" t="str">
        <f>SOFR3mo_PX[[#Headers],[Column1190]]</f>
        <v>Column1190</v>
      </c>
      <c r="ASU1" t="str">
        <f>SOFR3mo_PX[[#Headers],[Column1191]]</f>
        <v>Column1191</v>
      </c>
      <c r="ASV1" t="str">
        <f>SOFR3mo_PX[[#Headers],[Column1192]]</f>
        <v>Column1192</v>
      </c>
      <c r="ASW1" t="str">
        <f>SOFR3mo_PX[[#Headers],[Column1193]]</f>
        <v>Column1193</v>
      </c>
      <c r="ASX1" t="str">
        <f>SOFR3mo_PX[[#Headers],[Column1194]]</f>
        <v>Column1194</v>
      </c>
      <c r="ASY1" t="str">
        <f>SOFR3mo_PX[[#Headers],[Column1195]]</f>
        <v>Column1195</v>
      </c>
      <c r="ASZ1" t="str">
        <f>SOFR3mo_PX[[#Headers],[Column1196]]</f>
        <v>Column1196</v>
      </c>
      <c r="ATA1" t="str">
        <f>SOFR3mo_PX[[#Headers],[Column1197]]</f>
        <v>Column1197</v>
      </c>
      <c r="ATB1" t="str">
        <f>SOFR3mo_PX[[#Headers],[Column1198]]</f>
        <v>Column1198</v>
      </c>
      <c r="ATC1" t="str">
        <f>SOFR3mo_PX[[#Headers],[Column1199]]</f>
        <v>Column1199</v>
      </c>
      <c r="ATD1" t="str">
        <f>SOFR3mo_PX[[#Headers],[Column1200]]</f>
        <v>Column1200</v>
      </c>
      <c r="ATE1" t="str">
        <f>SOFR3mo_PX[[#Headers],[Column1201]]</f>
        <v>Column1201</v>
      </c>
      <c r="ATF1" t="str">
        <f>SOFR3mo_PX[[#Headers],[Column1202]]</f>
        <v>Column1202</v>
      </c>
      <c r="ATG1" t="str">
        <f>SOFR3mo_PX[[#Headers],[Column1203]]</f>
        <v>Column1203</v>
      </c>
      <c r="ATH1" t="str">
        <f>SOFR3mo_PX[[#Headers],[Column1204]]</f>
        <v>Column1204</v>
      </c>
      <c r="ATI1" t="str">
        <f>SOFR3mo_PX[[#Headers],[Column1205]]</f>
        <v>Column1205</v>
      </c>
      <c r="ATJ1" t="str">
        <f>SOFR3mo_PX[[#Headers],[Column1206]]</f>
        <v>Column1206</v>
      </c>
      <c r="ATK1" t="str">
        <f>SOFR3mo_PX[[#Headers],[Column1207]]</f>
        <v>Column1207</v>
      </c>
      <c r="ATL1" t="str">
        <f>SOFR3mo_PX[[#Headers],[Column1208]]</f>
        <v>Column1208</v>
      </c>
      <c r="ATM1" t="str">
        <f>SOFR3mo_PX[[#Headers],[Column1209]]</f>
        <v>Column1209</v>
      </c>
      <c r="ATN1" t="str">
        <f>SOFR3mo_PX[[#Headers],[Column1210]]</f>
        <v>Column1210</v>
      </c>
      <c r="ATO1" t="str">
        <f>SOFR3mo_PX[[#Headers],[Column1211]]</f>
        <v>Column1211</v>
      </c>
      <c r="ATP1" t="str">
        <f>SOFR3mo_PX[[#Headers],[Column1212]]</f>
        <v>Column1212</v>
      </c>
      <c r="ATQ1" t="str">
        <f>SOFR3mo_PX[[#Headers],[Column1213]]</f>
        <v>Column1213</v>
      </c>
      <c r="ATR1" t="str">
        <f>SOFR3mo_PX[[#Headers],[Column1214]]</f>
        <v>Column1214</v>
      </c>
      <c r="ATS1" t="str">
        <f>SOFR3mo_PX[[#Headers],[Column1215]]</f>
        <v>Column1215</v>
      </c>
      <c r="ATT1" t="str">
        <f>SOFR3mo_PX[[#Headers],[Column1216]]</f>
        <v>Column1216</v>
      </c>
      <c r="ATU1" t="str">
        <f>SOFR3mo_PX[[#Headers],[Column1217]]</f>
        <v>Column1217</v>
      </c>
      <c r="ATV1" t="str">
        <f>SOFR3mo_PX[[#Headers],[Column1218]]</f>
        <v>Column1218</v>
      </c>
      <c r="ATW1" t="str">
        <f>SOFR3mo_PX[[#Headers],[Column1219]]</f>
        <v>Column1219</v>
      </c>
      <c r="ATX1" t="str">
        <f>SOFR3mo_PX[[#Headers],[Column1220]]</f>
        <v>Column1220</v>
      </c>
      <c r="ATY1" t="str">
        <f>SOFR3mo_PX[[#Headers],[Column1221]]</f>
        <v>Column1221</v>
      </c>
      <c r="ATZ1" t="str">
        <f>SOFR3mo_PX[[#Headers],[Column1222]]</f>
        <v>Column1222</v>
      </c>
      <c r="AUA1" t="str">
        <f>SOFR3mo_PX[[#Headers],[Column1223]]</f>
        <v>Column1223</v>
      </c>
      <c r="AUB1" t="str">
        <f>SOFR3mo_PX[[#Headers],[Column1224]]</f>
        <v>Column1224</v>
      </c>
      <c r="AUC1" t="str">
        <f>SOFR3mo_PX[[#Headers],[Column1225]]</f>
        <v>Column1225</v>
      </c>
      <c r="AUD1" t="str">
        <f>SOFR3mo_PX[[#Headers],[Column1226]]</f>
        <v>Column1226</v>
      </c>
      <c r="AUE1" t="str">
        <f>SOFR3mo_PX[[#Headers],[Column1227]]</f>
        <v>Column1227</v>
      </c>
      <c r="AUF1" t="str">
        <f>SOFR3mo_PX[[#Headers],[Column1228]]</f>
        <v>Column1228</v>
      </c>
      <c r="AUG1" t="str">
        <f>SOFR3mo_PX[[#Headers],[Column1229]]</f>
        <v>Column1229</v>
      </c>
      <c r="AUH1" t="str">
        <f>SOFR3mo_PX[[#Headers],[Column1230]]</f>
        <v>Column1230</v>
      </c>
      <c r="AUI1" t="str">
        <f>SOFR3mo_PX[[#Headers],[Column1231]]</f>
        <v>Column1231</v>
      </c>
      <c r="AUJ1" t="str">
        <f>SOFR3mo_PX[[#Headers],[Column1232]]</f>
        <v>Column1232</v>
      </c>
      <c r="AUK1" t="str">
        <f>SOFR3mo_PX[[#Headers],[Column1233]]</f>
        <v>Column1233</v>
      </c>
      <c r="AUL1" t="str">
        <f>SOFR3mo_PX[[#Headers],[Column1234]]</f>
        <v>Column1234</v>
      </c>
      <c r="AUM1" t="str">
        <f>SOFR3mo_PX[[#Headers],[Column1235]]</f>
        <v>Column1235</v>
      </c>
      <c r="AUN1" t="str">
        <f>SOFR3mo_PX[[#Headers],[Column1236]]</f>
        <v>Column1236</v>
      </c>
      <c r="AUO1" t="str">
        <f>SOFR3mo_PX[[#Headers],[Column1237]]</f>
        <v>Column1237</v>
      </c>
      <c r="AUP1" t="str">
        <f>SOFR3mo_PX[[#Headers],[Column1238]]</f>
        <v>Column1238</v>
      </c>
      <c r="AUQ1" t="str">
        <f>SOFR3mo_PX[[#Headers],[Column1239]]</f>
        <v>Column1239</v>
      </c>
      <c r="AUR1" t="str">
        <f>SOFR3mo_PX[[#Headers],[Column1240]]</f>
        <v>Column1240</v>
      </c>
      <c r="AUS1" t="str">
        <f>SOFR3mo_PX[[#Headers],[Column1241]]</f>
        <v>Column1241</v>
      </c>
      <c r="AUT1" t="str">
        <f>SOFR3mo_PX[[#Headers],[Column1242]]</f>
        <v>Column1242</v>
      </c>
      <c r="AUU1" t="str">
        <f>SOFR3mo_PX[[#Headers],[Column1243]]</f>
        <v>Column1243</v>
      </c>
      <c r="AUV1" t="str">
        <f>SOFR3mo_PX[[#Headers],[Column1244]]</f>
        <v>Column1244</v>
      </c>
      <c r="AUW1" t="str">
        <f>SOFR3mo_PX[[#Headers],[Column1245]]</f>
        <v>Column1245</v>
      </c>
      <c r="AUX1" t="str">
        <f>SOFR3mo_PX[[#Headers],[Column1246]]</f>
        <v>Column1246</v>
      </c>
      <c r="AUY1" t="str">
        <f>SOFR3mo_PX[[#Headers],[Column1247]]</f>
        <v>Column1247</v>
      </c>
      <c r="AUZ1" t="str">
        <f>SOFR3mo_PX[[#Headers],[Column1248]]</f>
        <v>Column1248</v>
      </c>
      <c r="AVA1" t="str">
        <f>SOFR3mo_PX[[#Headers],[Column1249]]</f>
        <v>Column1249</v>
      </c>
      <c r="AVB1" t="str">
        <f>SOFR3mo_PX[[#Headers],[Column1250]]</f>
        <v>Column1250</v>
      </c>
      <c r="AVC1" t="str">
        <f>SOFR3mo_PX[[#Headers],[Column1251]]</f>
        <v>Column1251</v>
      </c>
      <c r="AVD1" t="str">
        <f>SOFR3mo_PX[[#Headers],[Column1252]]</f>
        <v>Column1252</v>
      </c>
      <c r="AVE1" t="str">
        <f>SOFR3mo_PX[[#Headers],[Column1253]]</f>
        <v>Column1253</v>
      </c>
      <c r="AVF1" t="str">
        <f>SOFR3mo_PX[[#Headers],[Column1254]]</f>
        <v>Column1254</v>
      </c>
      <c r="AVG1" t="str">
        <f>SOFR3mo_PX[[#Headers],[Column1255]]</f>
        <v>Column1255</v>
      </c>
      <c r="AVH1" t="str">
        <f>SOFR3mo_PX[[#Headers],[Column1256]]</f>
        <v>Column1256</v>
      </c>
      <c r="AVI1" t="str">
        <f>SOFR3mo_PX[[#Headers],[Column1257]]</f>
        <v>Column1257</v>
      </c>
      <c r="AVJ1" t="str">
        <f>SOFR3mo_PX[[#Headers],[Column1258]]</f>
        <v>Column1258</v>
      </c>
      <c r="AVK1" t="str">
        <f>SOFR3mo_PX[[#Headers],[Column1259]]</f>
        <v>Column1259</v>
      </c>
      <c r="AVL1" t="str">
        <f>SOFR3mo_PX[[#Headers],[Column1260]]</f>
        <v>Column1260</v>
      </c>
      <c r="AVM1" t="str">
        <f>SOFR3mo_PX[[#Headers],[Column1261]]</f>
        <v>Column1261</v>
      </c>
      <c r="AVN1" t="str">
        <f>SOFR3mo_PX[[#Headers],[Column1262]]</f>
        <v>Column1262</v>
      </c>
      <c r="AVO1" t="str">
        <f>SOFR3mo_PX[[#Headers],[Column1263]]</f>
        <v>Column1263</v>
      </c>
      <c r="AVP1" t="str">
        <f>SOFR3mo_PX[[#Headers],[Column1264]]</f>
        <v>Column1264</v>
      </c>
      <c r="AVQ1" t="str">
        <f>SOFR3mo_PX[[#Headers],[Column1265]]</f>
        <v>Column1265</v>
      </c>
      <c r="AVR1" t="str">
        <f>SOFR3mo_PX[[#Headers],[Column1266]]</f>
        <v>Column1266</v>
      </c>
      <c r="AVS1" t="str">
        <f>SOFR3mo_PX[[#Headers],[Column1267]]</f>
        <v>Column1267</v>
      </c>
      <c r="AVT1" t="str">
        <f>SOFR3mo_PX[[#Headers],[Column1268]]</f>
        <v>Column1268</v>
      </c>
      <c r="AVU1" t="str">
        <f>SOFR3mo_PX[[#Headers],[Column1269]]</f>
        <v>Column1269</v>
      </c>
      <c r="AVV1" t="str">
        <f>SOFR3mo_PX[[#Headers],[Column1270]]</f>
        <v>Column1270</v>
      </c>
      <c r="AVW1" t="str">
        <f>SOFR3mo_PX[[#Headers],[Column1271]]</f>
        <v>Column1271</v>
      </c>
      <c r="AVX1" t="str">
        <f>SOFR3mo_PX[[#Headers],[Column1272]]</f>
        <v>Column1272</v>
      </c>
      <c r="AVY1" t="str">
        <f>SOFR3mo_PX[[#Headers],[Column1273]]</f>
        <v>Column1273</v>
      </c>
      <c r="AVZ1" t="str">
        <f>SOFR3mo_PX[[#Headers],[Column1274]]</f>
        <v>Column1274</v>
      </c>
      <c r="AWA1" t="str">
        <f>SOFR3mo_PX[[#Headers],[Column1275]]</f>
        <v>Column1275</v>
      </c>
      <c r="AWB1" t="str">
        <f>SOFR3mo_PX[[#Headers],[Column1276]]</f>
        <v>Column1276</v>
      </c>
      <c r="AWC1" t="str">
        <f>SOFR3mo_PX[[#Headers],[Column1277]]</f>
        <v>Column1277</v>
      </c>
      <c r="AWD1" t="str">
        <f>SOFR3mo_PX[[#Headers],[Column1278]]</f>
        <v>Column1278</v>
      </c>
      <c r="AWE1" t="str">
        <f>SOFR3mo_PX[[#Headers],[Column1279]]</f>
        <v>Column1279</v>
      </c>
      <c r="AWF1" t="str">
        <f>SOFR3mo_PX[[#Headers],[Column1280]]</f>
        <v>Column1280</v>
      </c>
      <c r="AWG1" t="str">
        <f>SOFR3mo_PX[[#Headers],[Column1281]]</f>
        <v>Column1281</v>
      </c>
      <c r="AWH1" t="str">
        <f>SOFR3mo_PX[[#Headers],[Column1282]]</f>
        <v>Column1282</v>
      </c>
      <c r="AWI1" t="str">
        <f>SOFR3mo_PX[[#Headers],[Column1283]]</f>
        <v>Column1283</v>
      </c>
      <c r="AWJ1" t="str">
        <f>SOFR3mo_PX[[#Headers],[Column1284]]</f>
        <v>Column1284</v>
      </c>
      <c r="AWK1" t="str">
        <f>SOFR3mo_PX[[#Headers],[Column1285]]</f>
        <v>Column1285</v>
      </c>
      <c r="AWL1" t="str">
        <f>SOFR3mo_PX[[#Headers],[Column1286]]</f>
        <v>Column1286</v>
      </c>
      <c r="AWM1" t="str">
        <f>SOFR3mo_PX[[#Headers],[Column1287]]</f>
        <v>Column1287</v>
      </c>
      <c r="AWN1" t="str">
        <f>SOFR3mo_PX[[#Headers],[Column1288]]</f>
        <v>Column1288</v>
      </c>
      <c r="AWO1" t="str">
        <f>SOFR3mo_PX[[#Headers],[Column1289]]</f>
        <v>Column1289</v>
      </c>
      <c r="AWP1" t="str">
        <f>SOFR3mo_PX[[#Headers],[Column1290]]</f>
        <v>Column1290</v>
      </c>
      <c r="AWQ1" t="str">
        <f>SOFR3mo_PX[[#Headers],[Column1291]]</f>
        <v>Column1291</v>
      </c>
      <c r="AWR1" t="str">
        <f>SOFR3mo_PX[[#Headers],[Column1292]]</f>
        <v>Column1292</v>
      </c>
      <c r="AWS1" t="str">
        <f>SOFR3mo_PX[[#Headers],[Column1293]]</f>
        <v>Column1293</v>
      </c>
      <c r="AWT1" t="str">
        <f>SOFR3mo_PX[[#Headers],[Column1294]]</f>
        <v>Column1294</v>
      </c>
      <c r="AWU1" t="str">
        <f>SOFR3mo_PX[[#Headers],[Column1295]]</f>
        <v>Column1295</v>
      </c>
      <c r="AWV1" t="str">
        <f>SOFR3mo_PX[[#Headers],[Column1296]]</f>
        <v>Column1296</v>
      </c>
      <c r="AWW1" t="str">
        <f>SOFR3mo_PX[[#Headers],[Column1297]]</f>
        <v>Column1297</v>
      </c>
      <c r="AWX1" t="str">
        <f>SOFR3mo_PX[[#Headers],[Column1298]]</f>
        <v>Column1298</v>
      </c>
      <c r="AWY1" t="str">
        <f>SOFR3mo_PX[[#Headers],[Column1299]]</f>
        <v>Column1299</v>
      </c>
      <c r="AWZ1" t="str">
        <f>SOFR3mo_PX[[#Headers],[Column1300]]</f>
        <v>Column1300</v>
      </c>
      <c r="AXA1" t="str">
        <f>SOFR3mo_PX[[#Headers],[Column1301]]</f>
        <v>Column1301</v>
      </c>
      <c r="AXB1" t="str">
        <f>SOFR3mo_PX[[#Headers],[Column1302]]</f>
        <v>Column1302</v>
      </c>
      <c r="AXC1" t="str">
        <f>SOFR3mo_PX[[#Headers],[Column1303]]</f>
        <v>Column1303</v>
      </c>
      <c r="AXD1" t="str">
        <f>SOFR3mo_PX[[#Headers],[Column1304]]</f>
        <v>Column1304</v>
      </c>
      <c r="AXE1" t="str">
        <f>SOFR3mo_PX[[#Headers],[Column1305]]</f>
        <v>Column1305</v>
      </c>
      <c r="AXF1" t="str">
        <f>SOFR3mo_PX[[#Headers],[Column1306]]</f>
        <v>Column1306</v>
      </c>
      <c r="AXG1" t="str">
        <f>SOFR3mo_PX[[#Headers],[Column1307]]</f>
        <v>Column1307</v>
      </c>
      <c r="AXH1" t="str">
        <f>SOFR3mo_PX[[#Headers],[Column1308]]</f>
        <v>Column1308</v>
      </c>
      <c r="AXI1" t="str">
        <f>SOFR3mo_PX[[#Headers],[Column1309]]</f>
        <v>Column1309</v>
      </c>
      <c r="AXJ1" t="str">
        <f>SOFR3mo_PX[[#Headers],[Column1310]]</f>
        <v>Column1310</v>
      </c>
      <c r="AXK1" t="str">
        <f>SOFR3mo_PX[[#Headers],[Column1311]]</f>
        <v>Column1311</v>
      </c>
      <c r="AXL1" t="str">
        <f>SOFR3mo_PX[[#Headers],[Column1312]]</f>
        <v>Column1312</v>
      </c>
      <c r="AXM1" t="str">
        <f>SOFR3mo_PX[[#Headers],[Column1313]]</f>
        <v>Column1313</v>
      </c>
      <c r="AXN1" t="str">
        <f>SOFR3mo_PX[[#Headers],[Column1314]]</f>
        <v>Column1314</v>
      </c>
      <c r="AXO1" t="str">
        <f>SOFR3mo_PX[[#Headers],[Column1315]]</f>
        <v>Column1315</v>
      </c>
      <c r="AXP1" t="str">
        <f>SOFR3mo_PX[[#Headers],[Column1316]]</f>
        <v>Column1316</v>
      </c>
      <c r="AXQ1" t="str">
        <f>SOFR3mo_PX[[#Headers],[Column1317]]</f>
        <v>Column1317</v>
      </c>
      <c r="AXR1" t="str">
        <f>SOFR3mo_PX[[#Headers],[Column1318]]</f>
        <v>Column1318</v>
      </c>
      <c r="AXS1" t="str">
        <f>SOFR3mo_PX[[#Headers],[Column1319]]</f>
        <v>Column1319</v>
      </c>
      <c r="AXT1" t="str">
        <f>SOFR3mo_PX[[#Headers],[Column1320]]</f>
        <v>Column1320</v>
      </c>
      <c r="AXU1" t="str">
        <f>SOFR3mo_PX[[#Headers],[Column1321]]</f>
        <v>Column1321</v>
      </c>
      <c r="AXV1" t="str">
        <f>SOFR3mo_PX[[#Headers],[Column1322]]</f>
        <v>Column1322</v>
      </c>
      <c r="AXW1" t="str">
        <f>SOFR3mo_PX[[#Headers],[Column1323]]</f>
        <v>Column1323</v>
      </c>
      <c r="AXX1" t="str">
        <f>SOFR3mo_PX[[#Headers],[Column1324]]</f>
        <v>Column1324</v>
      </c>
      <c r="AXY1" t="str">
        <f>SOFR3mo_PX[[#Headers],[Column1325]]</f>
        <v>Column1325</v>
      </c>
      <c r="AXZ1" t="str">
        <f>SOFR3mo_PX[[#Headers],[Column1326]]</f>
        <v>Column1326</v>
      </c>
      <c r="AYA1" t="str">
        <f>SOFR3mo_PX[[#Headers],[Column1327]]</f>
        <v>Column1327</v>
      </c>
      <c r="AYB1" t="str">
        <f>SOFR3mo_PX[[#Headers],[Column1328]]</f>
        <v>Column1328</v>
      </c>
      <c r="AYC1" t="str">
        <f>SOFR3mo_PX[[#Headers],[Column1329]]</f>
        <v>Column1329</v>
      </c>
      <c r="AYD1" t="str">
        <f>SOFR3mo_PX[[#Headers],[Column1330]]</f>
        <v>Column1330</v>
      </c>
      <c r="AYE1" t="str">
        <f>SOFR3mo_PX[[#Headers],[Column1331]]</f>
        <v>Column1331</v>
      </c>
      <c r="AYF1" t="str">
        <f>SOFR3mo_PX[[#Headers],[Column1332]]</f>
        <v>Column1332</v>
      </c>
      <c r="AYG1" t="str">
        <f>SOFR3mo_PX[[#Headers],[Column1333]]</f>
        <v>Column1333</v>
      </c>
      <c r="AYH1" t="str">
        <f>SOFR3mo_PX[[#Headers],[Column1334]]</f>
        <v>Column1334</v>
      </c>
      <c r="AYI1" t="str">
        <f>SOFR3mo_PX[[#Headers],[Column1335]]</f>
        <v>Column1335</v>
      </c>
      <c r="AYJ1" t="str">
        <f>SOFR3mo_PX[[#Headers],[Column1336]]</f>
        <v>Column1336</v>
      </c>
      <c r="AYK1" t="str">
        <f>SOFR3mo_PX[[#Headers],[Column1337]]</f>
        <v>Column1337</v>
      </c>
      <c r="AYL1" t="str">
        <f>SOFR3mo_PX[[#Headers],[Column1338]]</f>
        <v>Column1338</v>
      </c>
      <c r="AYM1" t="str">
        <f>SOFR3mo_PX[[#Headers],[Column1339]]</f>
        <v>Column1339</v>
      </c>
      <c r="AYN1" t="str">
        <f>SOFR3mo_PX[[#Headers],[Column1340]]</f>
        <v>Column1340</v>
      </c>
      <c r="AYO1" t="str">
        <f>SOFR3mo_PX[[#Headers],[Column1341]]</f>
        <v>Column1341</v>
      </c>
      <c r="AYP1" t="str">
        <f>SOFR3mo_PX[[#Headers],[Column1342]]</f>
        <v>Column1342</v>
      </c>
      <c r="AYQ1" t="str">
        <f>SOFR3mo_PX[[#Headers],[Column1343]]</f>
        <v>Column1343</v>
      </c>
      <c r="AYR1" t="str">
        <f>SOFR3mo_PX[[#Headers],[Column1344]]</f>
        <v>Column1344</v>
      </c>
      <c r="AYS1" t="str">
        <f>SOFR3mo_PX[[#Headers],[Column1345]]</f>
        <v>Column1345</v>
      </c>
      <c r="AYT1" t="str">
        <f>SOFR3mo_PX[[#Headers],[Column1346]]</f>
        <v>Column1346</v>
      </c>
      <c r="AYU1" t="str">
        <f>SOFR3mo_PX[[#Headers],[Column1347]]</f>
        <v>Column1347</v>
      </c>
      <c r="AYV1" t="str">
        <f>SOFR3mo_PX[[#Headers],[Column1348]]</f>
        <v>Column1348</v>
      </c>
      <c r="AYW1" t="str">
        <f>SOFR3mo_PX[[#Headers],[Column1349]]</f>
        <v>Column1349</v>
      </c>
      <c r="AYX1" t="str">
        <f>SOFR3mo_PX[[#Headers],[Column1350]]</f>
        <v>Column1350</v>
      </c>
      <c r="AYY1" t="str">
        <f>SOFR3mo_PX[[#Headers],[Column1351]]</f>
        <v>Column1351</v>
      </c>
      <c r="AYZ1" t="str">
        <f>SOFR3mo_PX[[#Headers],[Column1352]]</f>
        <v>Column1352</v>
      </c>
      <c r="AZA1" t="str">
        <f>SOFR3mo_PX[[#Headers],[Column1353]]</f>
        <v>Column1353</v>
      </c>
      <c r="AZB1" t="str">
        <f>SOFR3mo_PX[[#Headers],[Column1354]]</f>
        <v>Column1354</v>
      </c>
      <c r="AZC1" t="str">
        <f>SOFR3mo_PX[[#Headers],[Column1355]]</f>
        <v>Column1355</v>
      </c>
      <c r="AZD1" t="str">
        <f>SOFR3mo_PX[[#Headers],[Column1356]]</f>
        <v>Column1356</v>
      </c>
      <c r="AZE1" t="str">
        <f>SOFR3mo_PX[[#Headers],[Column1357]]</f>
        <v>Column1357</v>
      </c>
      <c r="AZF1" t="str">
        <f>SOFR3mo_PX[[#Headers],[Column1358]]</f>
        <v>Column1358</v>
      </c>
      <c r="AZG1" t="str">
        <f>SOFR3mo_PX[[#Headers],[Column1359]]</f>
        <v>Column1359</v>
      </c>
      <c r="AZH1" t="str">
        <f>SOFR3mo_PX[[#Headers],[Column1360]]</f>
        <v>Column1360</v>
      </c>
      <c r="AZI1" t="str">
        <f>SOFR3mo_PX[[#Headers],[Column1361]]</f>
        <v>Column1361</v>
      </c>
      <c r="AZJ1" t="str">
        <f>SOFR3mo_PX[[#Headers],[Column1362]]</f>
        <v>Column1362</v>
      </c>
      <c r="AZK1" t="str">
        <f>SOFR3mo_PX[[#Headers],[Column1363]]</f>
        <v>Column1363</v>
      </c>
      <c r="AZL1" t="str">
        <f>SOFR3mo_PX[[#Headers],[Column1364]]</f>
        <v>Column1364</v>
      </c>
      <c r="AZM1" t="str">
        <f>SOFR3mo_PX[[#Headers],[Column1365]]</f>
        <v>Column1365</v>
      </c>
      <c r="AZN1" t="str">
        <f>SOFR3mo_PX[[#Headers],[Column1366]]</f>
        <v>Column1366</v>
      </c>
      <c r="AZO1" t="str">
        <f>SOFR3mo_PX[[#Headers],[Column1367]]</f>
        <v>Column1367</v>
      </c>
      <c r="AZP1" t="str">
        <f>SOFR3mo_PX[[#Headers],[Column1368]]</f>
        <v>Column1368</v>
      </c>
      <c r="AZQ1" t="str">
        <f>SOFR3mo_PX[[#Headers],[Column1369]]</f>
        <v>Column1369</v>
      </c>
      <c r="AZR1" t="str">
        <f>SOFR3mo_PX[[#Headers],[Column1370]]</f>
        <v>Column1370</v>
      </c>
      <c r="AZS1" t="str">
        <f>SOFR3mo_PX[[#Headers],[Column1371]]</f>
        <v>Column1371</v>
      </c>
      <c r="AZT1" t="str">
        <f>SOFR3mo_PX[[#Headers],[Column1372]]</f>
        <v>Column1372</v>
      </c>
      <c r="AZU1" t="str">
        <f>SOFR3mo_PX[[#Headers],[Column1373]]</f>
        <v>Column1373</v>
      </c>
      <c r="AZV1" t="str">
        <f>SOFR3mo_PX[[#Headers],[Column1374]]</f>
        <v>Column1374</v>
      </c>
      <c r="AZW1" t="str">
        <f>SOFR3mo_PX[[#Headers],[Column1375]]</f>
        <v>Column1375</v>
      </c>
      <c r="AZX1" t="str">
        <f>SOFR3mo_PX[[#Headers],[Column1376]]</f>
        <v>Column1376</v>
      </c>
      <c r="AZY1" t="str">
        <f>SOFR3mo_PX[[#Headers],[Column1377]]</f>
        <v>Column1377</v>
      </c>
      <c r="AZZ1" t="str">
        <f>SOFR3mo_PX[[#Headers],[Column1378]]</f>
        <v>Column1378</v>
      </c>
      <c r="BAA1" t="str">
        <f>SOFR3mo_PX[[#Headers],[Column1379]]</f>
        <v>Column1379</v>
      </c>
      <c r="BAB1" t="str">
        <f>SOFR3mo_PX[[#Headers],[Column1380]]</f>
        <v>Column1380</v>
      </c>
      <c r="BAC1" t="str">
        <f>SOFR3mo_PX[[#Headers],[Column1381]]</f>
        <v>Column1381</v>
      </c>
      <c r="BAD1" t="str">
        <f>SOFR3mo_PX[[#Headers],[Column1382]]</f>
        <v>Column1382</v>
      </c>
      <c r="BAE1" t="str">
        <f>SOFR3mo_PX[[#Headers],[Column1383]]</f>
        <v>Column1383</v>
      </c>
      <c r="BAF1" t="str">
        <f>SOFR3mo_PX[[#Headers],[Column1384]]</f>
        <v>Column1384</v>
      </c>
      <c r="BAG1" t="str">
        <f>SOFR3mo_PX[[#Headers],[Column1385]]</f>
        <v>Column1385</v>
      </c>
      <c r="BAH1" t="str">
        <f>SOFR3mo_PX[[#Headers],[Column1386]]</f>
        <v>Column1386</v>
      </c>
      <c r="BAI1" t="str">
        <f>SOFR3mo_PX[[#Headers],[Column1387]]</f>
        <v>Column1387</v>
      </c>
      <c r="BAJ1" t="str">
        <f>SOFR3mo_PX[[#Headers],[Column1388]]</f>
        <v>Column1388</v>
      </c>
      <c r="BAK1" t="str">
        <f>SOFR3mo_PX[[#Headers],[Column1389]]</f>
        <v>Column1389</v>
      </c>
      <c r="BAL1" t="str">
        <f>SOFR3mo_PX[[#Headers],[Column1390]]</f>
        <v>Column1390</v>
      </c>
      <c r="BAM1" t="str">
        <f>SOFR3mo_PX[[#Headers],[Column1391]]</f>
        <v>Column1391</v>
      </c>
      <c r="BAN1" t="str">
        <f>SOFR3mo_PX[[#Headers],[Column1392]]</f>
        <v>Column1392</v>
      </c>
      <c r="BAO1" t="str">
        <f>SOFR3mo_PX[[#Headers],[Column1393]]</f>
        <v>Column1393</v>
      </c>
      <c r="BAP1" t="str">
        <f>SOFR3mo_PX[[#Headers],[Column1394]]</f>
        <v>Column1394</v>
      </c>
      <c r="BAQ1" t="str">
        <f>SOFR3mo_PX[[#Headers],[Column1395]]</f>
        <v>Column1395</v>
      </c>
      <c r="BAR1" t="str">
        <f>SOFR3mo_PX[[#Headers],[Column1396]]</f>
        <v>Column1396</v>
      </c>
      <c r="BAS1" t="str">
        <f>SOFR3mo_PX[[#Headers],[Column1397]]</f>
        <v>Column1397</v>
      </c>
      <c r="BAT1" t="str">
        <f>SOFR3mo_PX[[#Headers],[Column1398]]</f>
        <v>Column1398</v>
      </c>
      <c r="BAU1" t="str">
        <f>SOFR3mo_PX[[#Headers],[Column1399]]</f>
        <v>Column1399</v>
      </c>
      <c r="BAV1" t="str">
        <f>SOFR3mo_PX[[#Headers],[Column1400]]</f>
        <v>Column1400</v>
      </c>
      <c r="BAW1" t="str">
        <f>SOFR3mo_PX[[#Headers],[Column1401]]</f>
        <v>Column1401</v>
      </c>
      <c r="BAX1" t="str">
        <f>SOFR3mo_PX[[#Headers],[Column1402]]</f>
        <v>Column1402</v>
      </c>
      <c r="BAY1" t="str">
        <f>SOFR3mo_PX[[#Headers],[Column1403]]</f>
        <v>Column1403</v>
      </c>
      <c r="BAZ1" t="str">
        <f>SOFR3mo_PX[[#Headers],[Column1404]]</f>
        <v>Column1404</v>
      </c>
      <c r="BBA1" t="str">
        <f>SOFR3mo_PX[[#Headers],[Column1405]]</f>
        <v>Column1405</v>
      </c>
      <c r="BBB1" t="str">
        <f>SOFR3mo_PX[[#Headers],[Column1406]]</f>
        <v>Column1406</v>
      </c>
      <c r="BBC1" t="str">
        <f>SOFR3mo_PX[[#Headers],[Column1407]]</f>
        <v>Column1407</v>
      </c>
      <c r="BBD1" t="str">
        <f>SOFR3mo_PX[[#Headers],[Column1408]]</f>
        <v>Column1408</v>
      </c>
      <c r="BBE1" t="str">
        <f>SOFR3mo_PX[[#Headers],[Column1409]]</f>
        <v>Column1409</v>
      </c>
      <c r="BBF1" t="str">
        <f>SOFR3mo_PX[[#Headers],[Column1410]]</f>
        <v>Column1410</v>
      </c>
      <c r="BBG1" t="str">
        <f>SOFR3mo_PX[[#Headers],[Column1411]]</f>
        <v>Column1411</v>
      </c>
      <c r="BBH1" t="str">
        <f>SOFR3mo_PX[[#Headers],[Column1412]]</f>
        <v>Column1412</v>
      </c>
      <c r="BBI1" t="str">
        <f>SOFR3mo_PX[[#Headers],[Column1413]]</f>
        <v>Column1413</v>
      </c>
      <c r="BBJ1" t="str">
        <f>SOFR3mo_PX[[#Headers],[Column1414]]</f>
        <v>Column1414</v>
      </c>
      <c r="BBK1" t="str">
        <f>SOFR3mo_PX[[#Headers],[Column1415]]</f>
        <v>Column1415</v>
      </c>
      <c r="BBL1" t="str">
        <f>SOFR3mo_PX[[#Headers],[Column1416]]</f>
        <v>Column1416</v>
      </c>
      <c r="BBM1" t="str">
        <f>SOFR3mo_PX[[#Headers],[Column1417]]</f>
        <v>Column1417</v>
      </c>
      <c r="BBN1" t="str">
        <f>SOFR3mo_PX[[#Headers],[Column1418]]</f>
        <v>Column1418</v>
      </c>
      <c r="BBO1" t="str">
        <f>SOFR3mo_PX[[#Headers],[Column1419]]</f>
        <v>Column1419</v>
      </c>
      <c r="BBP1" t="str">
        <f>SOFR3mo_PX[[#Headers],[Column1420]]</f>
        <v>Column1420</v>
      </c>
      <c r="BBQ1" t="str">
        <f>SOFR3mo_PX[[#Headers],[Column1421]]</f>
        <v>Column1421</v>
      </c>
      <c r="BBR1" t="str">
        <f>SOFR3mo_PX[[#Headers],[Column1422]]</f>
        <v>Column1422</v>
      </c>
      <c r="BBS1" t="str">
        <f>SOFR3mo_PX[[#Headers],[Column1423]]</f>
        <v>Column1423</v>
      </c>
      <c r="BBT1" t="str">
        <f>SOFR3mo_PX[[#Headers],[Column1424]]</f>
        <v>Column1424</v>
      </c>
      <c r="BBU1" t="str">
        <f>SOFR3mo_PX[[#Headers],[Column1425]]</f>
        <v>Column1425</v>
      </c>
      <c r="BBV1" t="str">
        <f>SOFR3mo_PX[[#Headers],[Column1426]]</f>
        <v>Column1426</v>
      </c>
      <c r="BBW1" t="str">
        <f>SOFR3mo_PX[[#Headers],[Column1427]]</f>
        <v>Column1427</v>
      </c>
      <c r="BBX1" t="str">
        <f>SOFR3mo_PX[[#Headers],[Column1428]]</f>
        <v>Column1428</v>
      </c>
      <c r="BBY1" t="str">
        <f>SOFR3mo_PX[[#Headers],[Column1429]]</f>
        <v>Column1429</v>
      </c>
      <c r="BBZ1" t="str">
        <f>SOFR3mo_PX[[#Headers],[Column1430]]</f>
        <v>Column1430</v>
      </c>
      <c r="BCA1" t="str">
        <f>SOFR3mo_PX[[#Headers],[Column1431]]</f>
        <v>Column1431</v>
      </c>
      <c r="BCB1" t="str">
        <f>SOFR3mo_PX[[#Headers],[Column1432]]</f>
        <v>Column1432</v>
      </c>
      <c r="BCC1" t="str">
        <f>SOFR3mo_PX[[#Headers],[Column1433]]</f>
        <v>Column1433</v>
      </c>
      <c r="BCD1" t="str">
        <f>SOFR3mo_PX[[#Headers],[Column1434]]</f>
        <v>Column1434</v>
      </c>
      <c r="BCE1" t="str">
        <f>SOFR3mo_PX[[#Headers],[Column1435]]</f>
        <v>Column1435</v>
      </c>
      <c r="BCF1" t="str">
        <f>SOFR3mo_PX[[#Headers],[Column1436]]</f>
        <v>Column1436</v>
      </c>
      <c r="BCG1" t="str">
        <f>SOFR3mo_PX[[#Headers],[Column1437]]</f>
        <v>Column1437</v>
      </c>
      <c r="BCH1" t="str">
        <f>SOFR3mo_PX[[#Headers],[Column1438]]</f>
        <v>Column1438</v>
      </c>
      <c r="BCI1" t="str">
        <f>SOFR3mo_PX[[#Headers],[Column1439]]</f>
        <v>Column1439</v>
      </c>
      <c r="BCJ1" t="str">
        <f>SOFR3mo_PX[[#Headers],[Column1440]]</f>
        <v>Column1440</v>
      </c>
      <c r="BCK1" t="str">
        <f>SOFR3mo_PX[[#Headers],[Column1441]]</f>
        <v>Column1441</v>
      </c>
      <c r="BCL1" t="str">
        <f>SOFR3mo_PX[[#Headers],[Column1442]]</f>
        <v>Column1442</v>
      </c>
      <c r="BCM1" t="str">
        <f>SOFR3mo_PX[[#Headers],[Column1443]]</f>
        <v>Column1443</v>
      </c>
      <c r="BCN1" t="str">
        <f>SOFR3mo_PX[[#Headers],[Column1444]]</f>
        <v>Column1444</v>
      </c>
      <c r="BCO1" t="str">
        <f>SOFR3mo_PX[[#Headers],[Column1445]]</f>
        <v>Column1445</v>
      </c>
      <c r="BCP1" t="str">
        <f>SOFR3mo_PX[[#Headers],[Column1446]]</f>
        <v>Column1446</v>
      </c>
      <c r="BCQ1" t="str">
        <f>SOFR3mo_PX[[#Headers],[Column1447]]</f>
        <v>Column1447</v>
      </c>
      <c r="BCR1" t="str">
        <f>SOFR3mo_PX[[#Headers],[Column1448]]</f>
        <v>Column1448</v>
      </c>
      <c r="BCS1" t="str">
        <f>SOFR3mo_PX[[#Headers],[Column1449]]</f>
        <v>Column1449</v>
      </c>
      <c r="BCT1" t="str">
        <f>SOFR3mo_PX[[#Headers],[Column1450]]</f>
        <v>Column1450</v>
      </c>
      <c r="BCU1" t="str">
        <f>SOFR3mo_PX[[#Headers],[Column1451]]</f>
        <v>Column1451</v>
      </c>
      <c r="BCV1" t="str">
        <f>SOFR3mo_PX[[#Headers],[Column1452]]</f>
        <v>Column1452</v>
      </c>
      <c r="BCW1" t="str">
        <f>SOFR3mo_PX[[#Headers],[Column1453]]</f>
        <v>Column1453</v>
      </c>
      <c r="BCX1" t="str">
        <f>SOFR3mo_PX[[#Headers],[Column1454]]</f>
        <v>Column1454</v>
      </c>
      <c r="BCY1" t="str">
        <f>SOFR3mo_PX[[#Headers],[Column1455]]</f>
        <v>Column1455</v>
      </c>
      <c r="BCZ1" t="str">
        <f>SOFR3mo_PX[[#Headers],[Column1456]]</f>
        <v>Column1456</v>
      </c>
      <c r="BDA1" t="str">
        <f>SOFR3mo_PX[[#Headers],[Column1457]]</f>
        <v>Column1457</v>
      </c>
      <c r="BDB1" t="str">
        <f>SOFR3mo_PX[[#Headers],[Column1458]]</f>
        <v>Column1458</v>
      </c>
      <c r="BDC1" t="str">
        <f>SOFR3mo_PX[[#Headers],[Column1459]]</f>
        <v>Column1459</v>
      </c>
      <c r="BDD1" t="str">
        <f>SOFR3mo_PX[[#Headers],[Column1460]]</f>
        <v>Column1460</v>
      </c>
      <c r="BDE1" t="str">
        <f>SOFR3mo_PX[[#Headers],[Column1461]]</f>
        <v>Column1461</v>
      </c>
      <c r="BDF1" t="str">
        <f>SOFR3mo_PX[[#Headers],[Column1462]]</f>
        <v>Column1462</v>
      </c>
      <c r="BDG1" t="str">
        <f>SOFR3mo_PX[[#Headers],[Column1463]]</f>
        <v>Column1463</v>
      </c>
      <c r="BDH1" t="str">
        <f>SOFR3mo_PX[[#Headers],[Column1464]]</f>
        <v>Column1464</v>
      </c>
      <c r="BDI1" t="str">
        <f>SOFR3mo_PX[[#Headers],[Column1465]]</f>
        <v>Column1465</v>
      </c>
      <c r="BDJ1" t="str">
        <f>SOFR3mo_PX[[#Headers],[Column1466]]</f>
        <v>Column1466</v>
      </c>
      <c r="BDK1" t="str">
        <f>SOFR3mo_PX[[#Headers],[Column1467]]</f>
        <v>Column1467</v>
      </c>
      <c r="BDL1" t="str">
        <f>SOFR3mo_PX[[#Headers],[Column1468]]</f>
        <v>Column1468</v>
      </c>
      <c r="BDM1" t="str">
        <f>SOFR3mo_PX[[#Headers],[Column1469]]</f>
        <v>Column1469</v>
      </c>
      <c r="BDN1" t="str">
        <f>SOFR3mo_PX[[#Headers],[Column1470]]</f>
        <v>Column1470</v>
      </c>
      <c r="BDO1" t="str">
        <f>SOFR3mo_PX[[#Headers],[Column1471]]</f>
        <v>Column1471</v>
      </c>
      <c r="BDP1" t="str">
        <f>SOFR3mo_PX[[#Headers],[Column1472]]</f>
        <v>Column1472</v>
      </c>
      <c r="BDQ1" t="str">
        <f>SOFR3mo_PX[[#Headers],[Column1473]]</f>
        <v>Column1473</v>
      </c>
      <c r="BDR1" t="str">
        <f>SOFR3mo_PX[[#Headers],[Column1474]]</f>
        <v>Column1474</v>
      </c>
      <c r="BDS1" t="str">
        <f>SOFR3mo_PX[[#Headers],[Column1475]]</f>
        <v>Column1475</v>
      </c>
      <c r="BDT1" t="str">
        <f>SOFR3mo_PX[[#Headers],[Column1476]]</f>
        <v>Column1476</v>
      </c>
      <c r="BDU1" t="str">
        <f>SOFR3mo_PX[[#Headers],[Column1477]]</f>
        <v>Column1477</v>
      </c>
      <c r="BDV1" t="str">
        <f>SOFR3mo_PX[[#Headers],[Column1478]]</f>
        <v>Column1478</v>
      </c>
      <c r="BDW1" t="str">
        <f>SOFR3mo_PX[[#Headers],[Column1479]]</f>
        <v>Column1479</v>
      </c>
      <c r="BDX1" t="str">
        <f>SOFR3mo_PX[[#Headers],[Column1480]]</f>
        <v>Column1480</v>
      </c>
      <c r="BDY1" t="str">
        <f>SOFR3mo_PX[[#Headers],[Column1481]]</f>
        <v>Column1481</v>
      </c>
      <c r="BDZ1" t="str">
        <f>SOFR3mo_PX[[#Headers],[Column1482]]</f>
        <v>Column1482</v>
      </c>
      <c r="BEA1" t="str">
        <f>SOFR3mo_PX[[#Headers],[Column1483]]</f>
        <v>Column1483</v>
      </c>
      <c r="BEB1" t="str">
        <f>SOFR3mo_PX[[#Headers],[Column1484]]</f>
        <v>Column1484</v>
      </c>
      <c r="BEC1" t="str">
        <f>SOFR3mo_PX[[#Headers],[Column1485]]</f>
        <v>Column1485</v>
      </c>
      <c r="BED1" t="str">
        <f>SOFR3mo_PX[[#Headers],[Column1486]]</f>
        <v>Column1486</v>
      </c>
      <c r="BEE1" t="str">
        <f>SOFR3mo_PX[[#Headers],[Column1487]]</f>
        <v>Column1487</v>
      </c>
      <c r="BEF1" t="str">
        <f>SOFR3mo_PX[[#Headers],[Column1488]]</f>
        <v>Column1488</v>
      </c>
      <c r="BEG1" t="str">
        <f>SOFR3mo_PX[[#Headers],[Column1489]]</f>
        <v>Column1489</v>
      </c>
      <c r="BEH1" t="str">
        <f>SOFR3mo_PX[[#Headers],[Column1490]]</f>
        <v>Column1490</v>
      </c>
      <c r="BEI1" t="str">
        <f>SOFR3mo_PX[[#Headers],[Column1491]]</f>
        <v>Column1491</v>
      </c>
      <c r="BEJ1" t="str">
        <f>SOFR3mo_PX[[#Headers],[Column1492]]</f>
        <v>Column1492</v>
      </c>
      <c r="BEK1" t="str">
        <f>SOFR3mo_PX[[#Headers],[Column1493]]</f>
        <v>Column1493</v>
      </c>
      <c r="BEL1" t="str">
        <f>SOFR3mo_PX[[#Headers],[Column1494]]</f>
        <v>Column1494</v>
      </c>
      <c r="BEM1" t="str">
        <f>SOFR3mo_PX[[#Headers],[Column1495]]</f>
        <v>Column1495</v>
      </c>
      <c r="BEN1" t="str">
        <f>SOFR3mo_PX[[#Headers],[Column1496]]</f>
        <v>Column1496</v>
      </c>
      <c r="BEO1" t="str">
        <f>SOFR3mo_PX[[#Headers],[Column1497]]</f>
        <v>Column1497</v>
      </c>
      <c r="BEP1" t="str">
        <f>SOFR3mo_PX[[#Headers],[Column1498]]</f>
        <v>Column1498</v>
      </c>
      <c r="BEQ1" t="str">
        <f>SOFR3mo_PX[[#Headers],[Column1499]]</f>
        <v>Column1499</v>
      </c>
      <c r="BER1" t="str">
        <f>SOFR3mo_PX[[#Headers],[Column1500]]</f>
        <v>Column1500</v>
      </c>
      <c r="BES1" t="str">
        <f>SOFR3mo_PX[[#Headers],[Column1501]]</f>
        <v>Column1501</v>
      </c>
      <c r="BET1" t="str">
        <f>SOFR3mo_PX[[#Headers],[Column1502]]</f>
        <v>Column1502</v>
      </c>
      <c r="BEU1" t="str">
        <f>SOFR3mo_PX[[#Headers],[Column1503]]</f>
        <v>Column1503</v>
      </c>
      <c r="BEV1" t="str">
        <f>SOFR3mo_PX[[#Headers],[Column1504]]</f>
        <v>Column1504</v>
      </c>
      <c r="BEW1" t="str">
        <f>SOFR3mo_PX[[#Headers],[Column1505]]</f>
        <v>Column1505</v>
      </c>
      <c r="BEX1" t="str">
        <f>SOFR3mo_PX[[#Headers],[Column1506]]</f>
        <v>Column1506</v>
      </c>
      <c r="BEY1" t="str">
        <f>SOFR3mo_PX[[#Headers],[Column1507]]</f>
        <v>Column1507</v>
      </c>
      <c r="BEZ1" t="str">
        <f>SOFR3mo_PX[[#Headers],[Column1508]]</f>
        <v>Column1508</v>
      </c>
      <c r="BFA1" t="str">
        <f>SOFR3mo_PX[[#Headers],[Column1509]]</f>
        <v>Column1509</v>
      </c>
      <c r="BFB1" t="str">
        <f>SOFR3mo_PX[[#Headers],[Column1510]]</f>
        <v>Column1510</v>
      </c>
      <c r="BFC1" t="str">
        <f>SOFR3mo_PX[[#Headers],[Column1511]]</f>
        <v>Column1511</v>
      </c>
      <c r="BFD1" t="str">
        <f>SOFR3mo_PX[[#Headers],[Column1512]]</f>
        <v>Column1512</v>
      </c>
      <c r="BFE1" t="str">
        <f>SOFR3mo_PX[[#Headers],[Column1513]]</f>
        <v>Column1513</v>
      </c>
      <c r="BFF1" t="str">
        <f>SOFR3mo_PX[[#Headers],[Column1514]]</f>
        <v>Column1514</v>
      </c>
      <c r="BFG1" t="str">
        <f>SOFR3mo_PX[[#Headers],[Column1515]]</f>
        <v>Column1515</v>
      </c>
      <c r="BFH1" t="str">
        <f>SOFR3mo_PX[[#Headers],[Column1516]]</f>
        <v>Column1516</v>
      </c>
      <c r="BFI1" t="str">
        <f>SOFR3mo_PX[[#Headers],[Column1517]]</f>
        <v>Column1517</v>
      </c>
      <c r="BFJ1" t="str">
        <f>SOFR3mo_PX[[#Headers],[Column1518]]</f>
        <v>Column1518</v>
      </c>
      <c r="BFK1" t="str">
        <f>SOFR3mo_PX[[#Headers],[Column1519]]</f>
        <v>Column1519</v>
      </c>
      <c r="BFL1" t="str">
        <f>SOFR3mo_PX[[#Headers],[Column1520]]</f>
        <v>Column1520</v>
      </c>
      <c r="BFM1" t="str">
        <f>SOFR3mo_PX[[#Headers],[Column1521]]</f>
        <v>Column1521</v>
      </c>
      <c r="BFN1" t="str">
        <f>SOFR3mo_PX[[#Headers],[Column1522]]</f>
        <v>Column1522</v>
      </c>
      <c r="BFO1" t="str">
        <f>SOFR3mo_PX[[#Headers],[Column1523]]</f>
        <v>Column1523</v>
      </c>
      <c r="BFP1" t="str">
        <f>SOFR3mo_PX[[#Headers],[Column1524]]</f>
        <v>Column1524</v>
      </c>
      <c r="BFQ1" t="str">
        <f>SOFR3mo_PX[[#Headers],[Column1525]]</f>
        <v>Column1525</v>
      </c>
      <c r="BFR1" t="str">
        <f>SOFR3mo_PX[[#Headers],[Column1526]]</f>
        <v>Column1526</v>
      </c>
      <c r="BFS1" t="str">
        <f>SOFR3mo_PX[[#Headers],[Column1527]]</f>
        <v>Column1527</v>
      </c>
      <c r="BFT1" t="str">
        <f>SOFR3mo_PX[[#Headers],[Column1528]]</f>
        <v>Column1528</v>
      </c>
      <c r="BFU1" t="str">
        <f>SOFR3mo_PX[[#Headers],[Column1529]]</f>
        <v>Column1529</v>
      </c>
      <c r="BFV1" t="str">
        <f>SOFR3mo_PX[[#Headers],[Column1530]]</f>
        <v>Column1530</v>
      </c>
      <c r="BFW1" t="str">
        <f>SOFR3mo_PX[[#Headers],[Column1531]]</f>
        <v>Column1531</v>
      </c>
      <c r="BFX1" t="str">
        <f>SOFR3mo_PX[[#Headers],[Column1532]]</f>
        <v>Column1532</v>
      </c>
      <c r="BFY1" t="str">
        <f>SOFR3mo_PX[[#Headers],[Column1533]]</f>
        <v>Column1533</v>
      </c>
      <c r="BFZ1" t="str">
        <f>SOFR3mo_PX[[#Headers],[Column1534]]</f>
        <v>Column1534</v>
      </c>
      <c r="BGA1" t="str">
        <f>SOFR3mo_PX[[#Headers],[Column1535]]</f>
        <v>Column1535</v>
      </c>
      <c r="BGB1" t="str">
        <f>SOFR3mo_PX[[#Headers],[Column1536]]</f>
        <v>Column1536</v>
      </c>
      <c r="BGC1" t="str">
        <f>SOFR3mo_PX[[#Headers],[Column1537]]</f>
        <v>Column1537</v>
      </c>
      <c r="BGD1" t="str">
        <f>SOFR3mo_PX[[#Headers],[Column1538]]</f>
        <v>Column1538</v>
      </c>
      <c r="BGE1" t="str">
        <f>SOFR3mo_PX[[#Headers],[Column1539]]</f>
        <v>Column1539</v>
      </c>
      <c r="BGF1" t="str">
        <f>SOFR3mo_PX[[#Headers],[Column1540]]</f>
        <v>Column1540</v>
      </c>
      <c r="BGG1" t="str">
        <f>SOFR3mo_PX[[#Headers],[Column1541]]</f>
        <v>Column1541</v>
      </c>
      <c r="BGH1" t="str">
        <f>SOFR3mo_PX[[#Headers],[Column1542]]</f>
        <v>Column1542</v>
      </c>
      <c r="BGI1" t="str">
        <f>SOFR3mo_PX[[#Headers],[Column1543]]</f>
        <v>Column1543</v>
      </c>
      <c r="BGJ1" t="str">
        <f>SOFR3mo_PX[[#Headers],[Column1544]]</f>
        <v>Column1544</v>
      </c>
      <c r="BGK1" t="str">
        <f>SOFR3mo_PX[[#Headers],[Column1545]]</f>
        <v>Column1545</v>
      </c>
      <c r="BGL1" t="str">
        <f>SOFR3mo_PX[[#Headers],[Column1546]]</f>
        <v>Column1546</v>
      </c>
      <c r="BGM1" t="str">
        <f>SOFR3mo_PX[[#Headers],[Column1547]]</f>
        <v>Column1547</v>
      </c>
      <c r="BGN1" t="str">
        <f>SOFR3mo_PX[[#Headers],[Column1548]]</f>
        <v>Column1548</v>
      </c>
      <c r="BGO1" t="str">
        <f>SOFR3mo_PX[[#Headers],[Column1549]]</f>
        <v>Column1549</v>
      </c>
      <c r="BGP1" t="str">
        <f>SOFR3mo_PX[[#Headers],[Column1550]]</f>
        <v>Column1550</v>
      </c>
      <c r="BGQ1" t="str">
        <f>SOFR3mo_PX[[#Headers],[Column1551]]</f>
        <v>Column1551</v>
      </c>
      <c r="BGR1" t="str">
        <f>SOFR3mo_PX[[#Headers],[Column1552]]</f>
        <v>Column1552</v>
      </c>
      <c r="BGS1" t="str">
        <f>SOFR3mo_PX[[#Headers],[Column1553]]</f>
        <v>Column1553</v>
      </c>
      <c r="BGT1" t="str">
        <f>SOFR3mo_PX[[#Headers],[Column1554]]</f>
        <v>Column1554</v>
      </c>
      <c r="BGU1" t="str">
        <f>SOFR3mo_PX[[#Headers],[Column1555]]</f>
        <v>Column1555</v>
      </c>
      <c r="BGV1" t="str">
        <f>SOFR3mo_PX[[#Headers],[Column1556]]</f>
        <v>Column1556</v>
      </c>
      <c r="BGW1" t="str">
        <f>SOFR3mo_PX[[#Headers],[Column1557]]</f>
        <v>Column1557</v>
      </c>
      <c r="BGX1" t="str">
        <f>SOFR3mo_PX[[#Headers],[Column1558]]</f>
        <v>Column1558</v>
      </c>
      <c r="BGY1" t="str">
        <f>SOFR3mo_PX[[#Headers],[Column1559]]</f>
        <v>Column1559</v>
      </c>
      <c r="BGZ1" t="str">
        <f>SOFR3mo_PX[[#Headers],[Column1560]]</f>
        <v>Column1560</v>
      </c>
      <c r="BHA1" t="str">
        <f>SOFR3mo_PX[[#Headers],[Column1561]]</f>
        <v>Column1561</v>
      </c>
      <c r="BHB1" t="str">
        <f>SOFR3mo_PX[[#Headers],[Column1562]]</f>
        <v>Column1562</v>
      </c>
      <c r="BHC1" t="str">
        <f>SOFR3mo_PX[[#Headers],[Column1563]]</f>
        <v>Column1563</v>
      </c>
      <c r="BHD1" t="str">
        <f>SOFR3mo_PX[[#Headers],[Column1564]]</f>
        <v>Column1564</v>
      </c>
      <c r="BHE1" t="str">
        <f>SOFR3mo_PX[[#Headers],[Column1565]]</f>
        <v>Column1565</v>
      </c>
      <c r="BHF1" t="str">
        <f>SOFR3mo_PX[[#Headers],[Column1566]]</f>
        <v>Column1566</v>
      </c>
      <c r="BHG1" t="str">
        <f>SOFR3mo_PX[[#Headers],[Column1567]]</f>
        <v>Column1567</v>
      </c>
      <c r="BHH1" t="str">
        <f>SOFR3mo_PX[[#Headers],[Column1568]]</f>
        <v>Column1568</v>
      </c>
      <c r="BHI1" t="str">
        <f>SOFR3mo_PX[[#Headers],[Column1569]]</f>
        <v>Column1569</v>
      </c>
      <c r="BHJ1" t="str">
        <f>SOFR3mo_PX[[#Headers],[Column1570]]</f>
        <v>Column1570</v>
      </c>
      <c r="BHK1" t="str">
        <f>SOFR3mo_PX[[#Headers],[Column1571]]</f>
        <v>Column1571</v>
      </c>
      <c r="BHL1" t="str">
        <f>SOFR3mo_PX[[#Headers],[Column1572]]</f>
        <v>Column1572</v>
      </c>
      <c r="BHM1" t="str">
        <f>SOFR3mo_PX[[#Headers],[Column1573]]</f>
        <v>Column1573</v>
      </c>
      <c r="BHN1" t="str">
        <f>SOFR3mo_PX[[#Headers],[Column1574]]</f>
        <v>Column1574</v>
      </c>
      <c r="BHO1" t="str">
        <f>SOFR3mo_PX[[#Headers],[Column1575]]</f>
        <v>Column1575</v>
      </c>
      <c r="BHP1" t="str">
        <f>SOFR3mo_PX[[#Headers],[Column1576]]</f>
        <v>Column1576</v>
      </c>
      <c r="BHQ1" t="str">
        <f>SOFR3mo_PX[[#Headers],[Column1577]]</f>
        <v>Column1577</v>
      </c>
      <c r="BHR1" t="str">
        <f>SOFR3mo_PX[[#Headers],[Column1578]]</f>
        <v>Column1578</v>
      </c>
      <c r="BHS1" t="str">
        <f>SOFR3mo_PX[[#Headers],[Column1579]]</f>
        <v>Column1579</v>
      </c>
      <c r="BHT1" t="str">
        <f>SOFR3mo_PX[[#Headers],[Column1580]]</f>
        <v>Column1580</v>
      </c>
      <c r="BHU1" t="str">
        <f>SOFR3mo_PX[[#Headers],[Column1581]]</f>
        <v>Column1581</v>
      </c>
      <c r="BHV1" t="str">
        <f>SOFR3mo_PX[[#Headers],[Column1582]]</f>
        <v>Column1582</v>
      </c>
      <c r="BHW1" t="str">
        <f>SOFR3mo_PX[[#Headers],[Column1583]]</f>
        <v>Column1583</v>
      </c>
      <c r="BHX1" t="str">
        <f>SOFR3mo_PX[[#Headers],[Column1584]]</f>
        <v>Column1584</v>
      </c>
      <c r="BHY1" t="str">
        <f>SOFR3mo_PX[[#Headers],[Column1585]]</f>
        <v>Column1585</v>
      </c>
      <c r="BHZ1" t="str">
        <f>SOFR3mo_PX[[#Headers],[Column1586]]</f>
        <v>Column1586</v>
      </c>
      <c r="BIA1" t="str">
        <f>SOFR3mo_PX[[#Headers],[Column1587]]</f>
        <v>Column1587</v>
      </c>
      <c r="BIB1" t="str">
        <f>SOFR3mo_PX[[#Headers],[Column1588]]</f>
        <v>Column1588</v>
      </c>
      <c r="BIC1" t="str">
        <f>SOFR3mo_PX[[#Headers],[Column1589]]</f>
        <v>Column1589</v>
      </c>
      <c r="BID1" t="str">
        <f>SOFR3mo_PX[[#Headers],[Column1590]]</f>
        <v>Column1590</v>
      </c>
      <c r="BIE1" t="str">
        <f>SOFR3mo_PX[[#Headers],[Column1591]]</f>
        <v>Column1591</v>
      </c>
      <c r="BIF1" t="str">
        <f>SOFR3mo_PX[[#Headers],[Column1592]]</f>
        <v>Column1592</v>
      </c>
      <c r="BIG1" t="str">
        <f>SOFR3mo_PX[[#Headers],[Column1593]]</f>
        <v>Column1593</v>
      </c>
      <c r="BIH1" t="str">
        <f>SOFR3mo_PX[[#Headers],[Column1594]]</f>
        <v>Column1594</v>
      </c>
      <c r="BII1" t="str">
        <f>SOFR3mo_PX[[#Headers],[Column1595]]</f>
        <v>Column1595</v>
      </c>
      <c r="BIJ1" t="str">
        <f>SOFR3mo_PX[[#Headers],[Column1596]]</f>
        <v>Column1596</v>
      </c>
      <c r="BIK1" t="str">
        <f>SOFR3mo_PX[[#Headers],[Column1597]]</f>
        <v>Column1597</v>
      </c>
      <c r="BIL1" t="str">
        <f>SOFR3mo_PX[[#Headers],[Column1598]]</f>
        <v>Column1598</v>
      </c>
      <c r="BIM1" t="str">
        <f>SOFR3mo_PX[[#Headers],[Column1599]]</f>
        <v>Column1599</v>
      </c>
      <c r="BIN1" t="str">
        <f>SOFR3mo_PX[[#Headers],[Column1600]]</f>
        <v>Column1600</v>
      </c>
      <c r="BIO1" t="str">
        <f>SOFR3mo_PX[[#Headers],[Column1601]]</f>
        <v>Column1601</v>
      </c>
      <c r="BIP1" t="str">
        <f>SOFR3mo_PX[[#Headers],[Column1602]]</f>
        <v>Column1602</v>
      </c>
      <c r="BIQ1" t="str">
        <f>SOFR3mo_PX[[#Headers],[Column1603]]</f>
        <v>Column1603</v>
      </c>
      <c r="BIR1" t="str">
        <f>SOFR3mo_PX[[#Headers],[Column1604]]</f>
        <v>Column1604</v>
      </c>
      <c r="BIS1" t="str">
        <f>SOFR3mo_PX[[#Headers],[Column1605]]</f>
        <v>Column1605</v>
      </c>
      <c r="BIT1" t="str">
        <f>SOFR3mo_PX[[#Headers],[Column1606]]</f>
        <v>Column1606</v>
      </c>
      <c r="BIU1" t="str">
        <f>SOFR3mo_PX[[#Headers],[Column1607]]</f>
        <v>Column1607</v>
      </c>
      <c r="BIV1" t="str">
        <f>SOFR3mo_PX[[#Headers],[Column1608]]</f>
        <v>Column1608</v>
      </c>
      <c r="BIW1" t="str">
        <f>SOFR3mo_PX[[#Headers],[Column1609]]</f>
        <v>Column1609</v>
      </c>
      <c r="BIX1" t="str">
        <f>SOFR3mo_PX[[#Headers],[Column1610]]</f>
        <v>Column1610</v>
      </c>
      <c r="BIY1" t="str">
        <f>SOFR3mo_PX[[#Headers],[Column1611]]</f>
        <v>Column1611</v>
      </c>
      <c r="BIZ1" t="str">
        <f>SOFR3mo_PX[[#Headers],[Column1612]]</f>
        <v>Column1612</v>
      </c>
      <c r="BJA1" t="str">
        <f>SOFR3mo_PX[[#Headers],[Column1613]]</f>
        <v>Column1613</v>
      </c>
      <c r="BJB1" t="str">
        <f>SOFR3mo_PX[[#Headers],[Column1614]]</f>
        <v>Column1614</v>
      </c>
      <c r="BJC1" t="str">
        <f>SOFR3mo_PX[[#Headers],[Column1615]]</f>
        <v>Column1615</v>
      </c>
      <c r="BJD1" t="str">
        <f>SOFR3mo_PX[[#Headers],[Column1616]]</f>
        <v>Column1616</v>
      </c>
      <c r="BJE1" t="str">
        <f>SOFR3mo_PX[[#Headers],[Column1617]]</f>
        <v>Column1617</v>
      </c>
      <c r="BJF1" t="str">
        <f>SOFR3mo_PX[[#Headers],[Column1618]]</f>
        <v>Column1618</v>
      </c>
      <c r="BJG1" t="str">
        <f>SOFR3mo_PX[[#Headers],[Column1619]]</f>
        <v>Column1619</v>
      </c>
      <c r="BJH1" t="str">
        <f>SOFR3mo_PX[[#Headers],[Column1620]]</f>
        <v>Column1620</v>
      </c>
      <c r="BJI1" t="str">
        <f>SOFR3mo_PX[[#Headers],[Column1621]]</f>
        <v>Column1621</v>
      </c>
      <c r="BJJ1" t="str">
        <f>SOFR3mo_PX[[#Headers],[Column1622]]</f>
        <v>Column1622</v>
      </c>
      <c r="BJK1" t="str">
        <f>SOFR3mo_PX[[#Headers],[Column1623]]</f>
        <v>Column1623</v>
      </c>
      <c r="BJL1" t="str">
        <f>SOFR3mo_PX[[#Headers],[Column1624]]</f>
        <v>Column1624</v>
      </c>
      <c r="BJM1" t="str">
        <f>SOFR3mo_PX[[#Headers],[Column1625]]</f>
        <v>Column1625</v>
      </c>
      <c r="BJN1" t="str">
        <f>SOFR3mo_PX[[#Headers],[Column1626]]</f>
        <v>Column1626</v>
      </c>
      <c r="BJO1" t="str">
        <f>SOFR3mo_PX[[#Headers],[Column1627]]</f>
        <v>Column1627</v>
      </c>
      <c r="BJP1" t="str">
        <f>SOFR3mo_PX[[#Headers],[Column1628]]</f>
        <v>Column1628</v>
      </c>
      <c r="BJQ1" t="str">
        <f>SOFR3mo_PX[[#Headers],[Column1629]]</f>
        <v>Column1629</v>
      </c>
      <c r="BJR1" t="str">
        <f>SOFR3mo_PX[[#Headers],[Column1630]]</f>
        <v>Column1630</v>
      </c>
      <c r="BJS1" t="str">
        <f>SOFR3mo_PX[[#Headers],[Column1631]]</f>
        <v>Column1631</v>
      </c>
      <c r="BJT1" t="str">
        <f>SOFR3mo_PX[[#Headers],[Column1632]]</f>
        <v>Column1632</v>
      </c>
      <c r="BJU1" t="str">
        <f>SOFR3mo_PX[[#Headers],[Column1633]]</f>
        <v>Column1633</v>
      </c>
      <c r="BJV1" t="str">
        <f>SOFR3mo_PX[[#Headers],[Column1634]]</f>
        <v>Column1634</v>
      </c>
      <c r="BJW1" t="str">
        <f>SOFR3mo_PX[[#Headers],[Column1635]]</f>
        <v>Column1635</v>
      </c>
      <c r="BJX1" t="str">
        <f>SOFR3mo_PX[[#Headers],[Column1636]]</f>
        <v>Column1636</v>
      </c>
      <c r="BJY1" t="str">
        <f>SOFR3mo_PX[[#Headers],[Column1637]]</f>
        <v>Column1637</v>
      </c>
      <c r="BJZ1" t="str">
        <f>SOFR3mo_PX[[#Headers],[Column1638]]</f>
        <v>Column1638</v>
      </c>
      <c r="BKA1" t="str">
        <f>SOFR3mo_PX[[#Headers],[Column1639]]</f>
        <v>Column1639</v>
      </c>
      <c r="BKB1" t="str">
        <f>SOFR3mo_PX[[#Headers],[Column1640]]</f>
        <v>Column1640</v>
      </c>
      <c r="BKC1" t="str">
        <f>SOFR3mo_PX[[#Headers],[Column1641]]</f>
        <v>Column1641</v>
      </c>
      <c r="BKD1" t="str">
        <f>SOFR3mo_PX[[#Headers],[Column1642]]</f>
        <v>Column1642</v>
      </c>
      <c r="BKE1" t="str">
        <f>SOFR3mo_PX[[#Headers],[Column1643]]</f>
        <v>Column1643</v>
      </c>
      <c r="BKF1" t="str">
        <f>SOFR3mo_PX[[#Headers],[Column1644]]</f>
        <v>Column1644</v>
      </c>
      <c r="BKG1" t="str">
        <f>SOFR3mo_PX[[#Headers],[Column1645]]</f>
        <v>Column1645</v>
      </c>
      <c r="BKH1" t="str">
        <f>SOFR3mo_PX[[#Headers],[Column1646]]</f>
        <v>Column1646</v>
      </c>
      <c r="BKI1" t="str">
        <f>SOFR3mo_PX[[#Headers],[Column1647]]</f>
        <v>Column1647</v>
      </c>
      <c r="BKJ1" t="str">
        <f>SOFR3mo_PX[[#Headers],[Column1648]]</f>
        <v>Column1648</v>
      </c>
      <c r="BKK1" t="str">
        <f>SOFR3mo_PX[[#Headers],[Column1649]]</f>
        <v>Column1649</v>
      </c>
      <c r="BKL1" t="str">
        <f>SOFR3mo_PX[[#Headers],[Column1650]]</f>
        <v>Column1650</v>
      </c>
      <c r="BKM1" t="str">
        <f>SOFR3mo_PX[[#Headers],[Column1651]]</f>
        <v>Column1651</v>
      </c>
      <c r="BKN1" t="str">
        <f>SOFR3mo_PX[[#Headers],[Column1652]]</f>
        <v>Column1652</v>
      </c>
      <c r="BKO1" t="str">
        <f>SOFR3mo_PX[[#Headers],[Column1653]]</f>
        <v>Column1653</v>
      </c>
      <c r="BKP1" t="str">
        <f>SOFR3mo_PX[[#Headers],[Column1654]]</f>
        <v>Column1654</v>
      </c>
      <c r="BKQ1" t="str">
        <f>SOFR3mo_PX[[#Headers],[Column1655]]</f>
        <v>Column1655</v>
      </c>
      <c r="BKR1" t="str">
        <f>SOFR3mo_PX[[#Headers],[Column1656]]</f>
        <v>Column1656</v>
      </c>
      <c r="BKS1" t="str">
        <f>SOFR3mo_PX[[#Headers],[Column1657]]</f>
        <v>Column1657</v>
      </c>
      <c r="BKT1" t="str">
        <f>SOFR3mo_PX[[#Headers],[Column1658]]</f>
        <v>Column1658</v>
      </c>
      <c r="BKU1" t="str">
        <f>SOFR3mo_PX[[#Headers],[Column1659]]</f>
        <v>Column1659</v>
      </c>
      <c r="BKV1" t="str">
        <f>SOFR3mo_PX[[#Headers],[Column1660]]</f>
        <v>Column1660</v>
      </c>
      <c r="BKW1" t="str">
        <f>SOFR3mo_PX[[#Headers],[Column1661]]</f>
        <v>Column1661</v>
      </c>
      <c r="BKX1" t="str">
        <f>SOFR3mo_PX[[#Headers],[Column1662]]</f>
        <v>Column1662</v>
      </c>
      <c r="BKY1" t="str">
        <f>SOFR3mo_PX[[#Headers],[Column1663]]</f>
        <v>Column1663</v>
      </c>
      <c r="BKZ1" t="str">
        <f>SOFR3mo_PX[[#Headers],[Column1664]]</f>
        <v>Column1664</v>
      </c>
      <c r="BLA1" t="str">
        <f>SOFR3mo_PX[[#Headers],[Column1665]]</f>
        <v>Column1665</v>
      </c>
      <c r="BLB1" t="str">
        <f>SOFR3mo_PX[[#Headers],[Column1666]]</f>
        <v>Column1666</v>
      </c>
      <c r="BLC1" t="str">
        <f>SOFR3mo_PX[[#Headers],[Column1667]]</f>
        <v>Column1667</v>
      </c>
      <c r="BLD1" t="str">
        <f>SOFR3mo_PX[[#Headers],[Column1668]]</f>
        <v>Column1668</v>
      </c>
      <c r="BLE1" t="str">
        <f>SOFR3mo_PX[[#Headers],[Column1669]]</f>
        <v>Column1669</v>
      </c>
      <c r="BLF1" t="str">
        <f>SOFR3mo_PX[[#Headers],[Column1670]]</f>
        <v>Column1670</v>
      </c>
      <c r="BLG1" t="str">
        <f>SOFR3mo_PX[[#Headers],[Column1671]]</f>
        <v>Column1671</v>
      </c>
      <c r="BLH1" t="str">
        <f>SOFR3mo_PX[[#Headers],[Column1672]]</f>
        <v>Column1672</v>
      </c>
      <c r="BLI1" t="str">
        <f>SOFR3mo_PX[[#Headers],[Column1673]]</f>
        <v>Column1673</v>
      </c>
      <c r="BLJ1" t="str">
        <f>SOFR3mo_PX[[#Headers],[Column1674]]</f>
        <v>Column1674</v>
      </c>
      <c r="BLK1" t="str">
        <f>SOFR3mo_PX[[#Headers],[Column1675]]</f>
        <v>Column1675</v>
      </c>
      <c r="BLL1" t="str">
        <f>SOFR3mo_PX[[#Headers],[Column1676]]</f>
        <v>Column1676</v>
      </c>
      <c r="BLM1" t="str">
        <f>SOFR3mo_PX[[#Headers],[Column1677]]</f>
        <v>Column1677</v>
      </c>
      <c r="BLN1" t="str">
        <f>SOFR3mo_PX[[#Headers],[Column1678]]</f>
        <v>Column1678</v>
      </c>
      <c r="BLO1" t="str">
        <f>SOFR3mo_PX[[#Headers],[Column1679]]</f>
        <v>Column1679</v>
      </c>
      <c r="BLP1" t="str">
        <f>SOFR3mo_PX[[#Headers],[Column1680]]</f>
        <v>Column1680</v>
      </c>
      <c r="BLQ1" t="str">
        <f>SOFR3mo_PX[[#Headers],[Column1681]]</f>
        <v>Column1681</v>
      </c>
      <c r="BLR1" t="str">
        <f>SOFR3mo_PX[[#Headers],[Column1682]]</f>
        <v>Column1682</v>
      </c>
      <c r="BLS1" t="str">
        <f>SOFR3mo_PX[[#Headers],[Column1683]]</f>
        <v>Column1683</v>
      </c>
      <c r="BLT1" t="str">
        <f>SOFR3mo_PX[[#Headers],[Column1684]]</f>
        <v>Column1684</v>
      </c>
      <c r="BLU1" t="str">
        <f>SOFR3mo_PX[[#Headers],[Column1685]]</f>
        <v>Column1685</v>
      </c>
      <c r="BLV1" t="str">
        <f>SOFR3mo_PX[[#Headers],[Column1686]]</f>
        <v>Column1686</v>
      </c>
      <c r="BLW1" t="str">
        <f>SOFR3mo_PX[[#Headers],[Column1687]]</f>
        <v>Column1687</v>
      </c>
      <c r="BLX1" t="str">
        <f>SOFR3mo_PX[[#Headers],[Column1688]]</f>
        <v>Column1688</v>
      </c>
      <c r="BLY1" t="str">
        <f>SOFR3mo_PX[[#Headers],[Column1689]]</f>
        <v>Column1689</v>
      </c>
      <c r="BLZ1" t="str">
        <f>SOFR3mo_PX[[#Headers],[Column1690]]</f>
        <v>Column1690</v>
      </c>
      <c r="BMA1" t="str">
        <f>SOFR3mo_PX[[#Headers],[Column1691]]</f>
        <v>Column1691</v>
      </c>
      <c r="BMB1" t="str">
        <f>SOFR3mo_PX[[#Headers],[Column1692]]</f>
        <v>Column1692</v>
      </c>
      <c r="BMC1" t="str">
        <f>SOFR3mo_PX[[#Headers],[Column1693]]</f>
        <v>Column1693</v>
      </c>
      <c r="BMD1" t="str">
        <f>SOFR3mo_PX[[#Headers],[Column1694]]</f>
        <v>Column1694</v>
      </c>
      <c r="BME1" t="str">
        <f>SOFR3mo_PX[[#Headers],[Column1695]]</f>
        <v>Column1695</v>
      </c>
      <c r="BMF1" t="str">
        <f>SOFR3mo_PX[[#Headers],[Column1696]]</f>
        <v>Column1696</v>
      </c>
      <c r="BMG1" t="str">
        <f>SOFR3mo_PX[[#Headers],[Column1697]]</f>
        <v>Column1697</v>
      </c>
      <c r="BMH1" t="str">
        <f>SOFR3mo_PX[[#Headers],[Column1698]]</f>
        <v>Column1698</v>
      </c>
      <c r="BMI1" t="str">
        <f>SOFR3mo_PX[[#Headers],[Column1699]]</f>
        <v>Column1699</v>
      </c>
      <c r="BMJ1" t="str">
        <f>SOFR3mo_PX[[#Headers],[Column1700]]</f>
        <v>Column1700</v>
      </c>
      <c r="BMK1" t="str">
        <f>SOFR3mo_PX[[#Headers],[Column1701]]</f>
        <v>Column1701</v>
      </c>
      <c r="BML1" t="str">
        <f>SOFR3mo_PX[[#Headers],[Column1702]]</f>
        <v>Column1702</v>
      </c>
      <c r="BMM1" t="str">
        <f>SOFR3mo_PX[[#Headers],[Column1703]]</f>
        <v>Column1703</v>
      </c>
      <c r="BMN1" t="str">
        <f>SOFR3mo_PX[[#Headers],[Column1704]]</f>
        <v>Column1704</v>
      </c>
      <c r="BMO1" t="str">
        <f>SOFR3mo_PX[[#Headers],[Column1705]]</f>
        <v>Column1705</v>
      </c>
      <c r="BMP1" t="str">
        <f>SOFR3mo_PX[[#Headers],[Column1706]]</f>
        <v>Column1706</v>
      </c>
      <c r="BMQ1" t="str">
        <f>SOFR3mo_PX[[#Headers],[Column1707]]</f>
        <v>Column1707</v>
      </c>
      <c r="BMR1" t="str">
        <f>SOFR3mo_PX[[#Headers],[Column1708]]</f>
        <v>Column1708</v>
      </c>
      <c r="BMS1" t="str">
        <f>SOFR3mo_PX[[#Headers],[Column1709]]</f>
        <v>Column1709</v>
      </c>
      <c r="BMT1" t="str">
        <f>SOFR3mo_PX[[#Headers],[Column1710]]</f>
        <v>Column1710</v>
      </c>
      <c r="BMU1" t="str">
        <f>SOFR3mo_PX[[#Headers],[Column1711]]</f>
        <v>Column1711</v>
      </c>
      <c r="BMV1" t="str">
        <f>SOFR3mo_PX[[#Headers],[Column1712]]</f>
        <v>Column1712</v>
      </c>
      <c r="BMW1" t="str">
        <f>SOFR3mo_PX[[#Headers],[Column1713]]</f>
        <v>Column1713</v>
      </c>
      <c r="BMX1" t="str">
        <f>SOFR3mo_PX[[#Headers],[Column1714]]</f>
        <v>Column1714</v>
      </c>
      <c r="BMY1" t="str">
        <f>SOFR3mo_PX[[#Headers],[Column1715]]</f>
        <v>Column1715</v>
      </c>
      <c r="BMZ1" t="str">
        <f>SOFR3mo_PX[[#Headers],[Column1716]]</f>
        <v>Column1716</v>
      </c>
      <c r="BNA1" t="str">
        <f>SOFR3mo_PX[[#Headers],[Column1717]]</f>
        <v>Column1717</v>
      </c>
      <c r="BNB1" t="str">
        <f>SOFR3mo_PX[[#Headers],[Column1718]]</f>
        <v>Column1718</v>
      </c>
      <c r="BNC1" t="str">
        <f>SOFR3mo_PX[[#Headers],[Column1719]]</f>
        <v>Column1719</v>
      </c>
      <c r="BND1" t="str">
        <f>SOFR3mo_PX[[#Headers],[Column1720]]</f>
        <v>Column1720</v>
      </c>
      <c r="BNE1" t="str">
        <f>SOFR3mo_PX[[#Headers],[Column1721]]</f>
        <v>Column1721</v>
      </c>
      <c r="BNF1" t="str">
        <f>SOFR3mo_PX[[#Headers],[Column1722]]</f>
        <v>Column1722</v>
      </c>
      <c r="BNG1" t="str">
        <f>SOFR3mo_PX[[#Headers],[Column1723]]</f>
        <v>Column1723</v>
      </c>
      <c r="BNH1" t="str">
        <f>SOFR3mo_PX[[#Headers],[Column1724]]</f>
        <v>Column1724</v>
      </c>
      <c r="BNI1" t="str">
        <f>SOFR3mo_PX[[#Headers],[Column1725]]</f>
        <v>Column1725</v>
      </c>
      <c r="BNJ1" t="str">
        <f>SOFR3mo_PX[[#Headers],[Column1726]]</f>
        <v>Column1726</v>
      </c>
      <c r="BNK1" t="str">
        <f>SOFR3mo_PX[[#Headers],[Column1727]]</f>
        <v>Column1727</v>
      </c>
      <c r="BNL1" t="str">
        <f>SOFR3mo_PX[[#Headers],[Column1728]]</f>
        <v>Column1728</v>
      </c>
      <c r="BNM1" t="str">
        <f>SOFR3mo_PX[[#Headers],[Column1729]]</f>
        <v>Column1729</v>
      </c>
      <c r="BNN1" t="str">
        <f>SOFR3mo_PX[[#Headers],[Column1730]]</f>
        <v>Column1730</v>
      </c>
      <c r="BNO1" t="str">
        <f>SOFR3mo_PX[[#Headers],[Column1731]]</f>
        <v>Column1731</v>
      </c>
      <c r="BNP1" t="str">
        <f>SOFR3mo_PX[[#Headers],[Column1732]]</f>
        <v>Column1732</v>
      </c>
      <c r="BNQ1" t="str">
        <f>SOFR3mo_PX[[#Headers],[Column1733]]</f>
        <v>Column1733</v>
      </c>
      <c r="BNR1" t="str">
        <f>SOFR3mo_PX[[#Headers],[Column1734]]</f>
        <v>Column1734</v>
      </c>
      <c r="BNS1" t="str">
        <f>SOFR3mo_PX[[#Headers],[Column1735]]</f>
        <v>Column1735</v>
      </c>
      <c r="BNT1" t="str">
        <f>SOFR3mo_PX[[#Headers],[Column1736]]</f>
        <v>Column1736</v>
      </c>
      <c r="BNU1" t="str">
        <f>SOFR3mo_PX[[#Headers],[Column1737]]</f>
        <v>Column1737</v>
      </c>
      <c r="BNV1" t="str">
        <f>SOFR3mo_PX[[#Headers],[Column1738]]</f>
        <v>Column1738</v>
      </c>
      <c r="BNW1" t="str">
        <f>SOFR3mo_PX[[#Headers],[Column1739]]</f>
        <v>Column1739</v>
      </c>
      <c r="BNX1" t="str">
        <f>SOFR3mo_PX[[#Headers],[Column1740]]</f>
        <v>Column1740</v>
      </c>
      <c r="BNY1" t="str">
        <f>SOFR3mo_PX[[#Headers],[Column1741]]</f>
        <v>Column1741</v>
      </c>
      <c r="BNZ1" t="str">
        <f>SOFR3mo_PX[[#Headers],[Column1742]]</f>
        <v>Column1742</v>
      </c>
      <c r="BOA1" t="str">
        <f>SOFR3mo_PX[[#Headers],[Column1743]]</f>
        <v>Column1743</v>
      </c>
      <c r="BOB1" t="str">
        <f>SOFR3mo_PX[[#Headers],[Column1744]]</f>
        <v>Column1744</v>
      </c>
      <c r="BOC1" t="str">
        <f>SOFR3mo_PX[[#Headers],[Column1745]]</f>
        <v>Column1745</v>
      </c>
      <c r="BOD1" t="str">
        <f>SOFR3mo_PX[[#Headers],[Column1746]]</f>
        <v>Column1746</v>
      </c>
      <c r="BOE1" t="str">
        <f>SOFR3mo_PX[[#Headers],[Column1747]]</f>
        <v>Column1747</v>
      </c>
      <c r="BOF1" t="str">
        <f>SOFR3mo_PX[[#Headers],[Column1748]]</f>
        <v>Column1748</v>
      </c>
      <c r="BOG1" t="str">
        <f>SOFR3mo_PX[[#Headers],[Column1749]]</f>
        <v>Column1749</v>
      </c>
      <c r="BOH1" t="str">
        <f>SOFR3mo_PX[[#Headers],[Column1750]]</f>
        <v>Column1750</v>
      </c>
      <c r="BOI1" t="str">
        <f>SOFR3mo_PX[[#Headers],[Column1751]]</f>
        <v>Column1751</v>
      </c>
      <c r="BOJ1" t="str">
        <f>SOFR3mo_PX[[#Headers],[Column1752]]</f>
        <v>Column1752</v>
      </c>
      <c r="BOK1" t="str">
        <f>SOFR3mo_PX[[#Headers],[Column1753]]</f>
        <v>Column1753</v>
      </c>
      <c r="BOL1" t="str">
        <f>SOFR3mo_PX[[#Headers],[Column1754]]</f>
        <v>Column1754</v>
      </c>
      <c r="BOM1" t="str">
        <f>SOFR3mo_PX[[#Headers],[Column1755]]</f>
        <v>Column1755</v>
      </c>
      <c r="BON1" t="str">
        <f>SOFR3mo_PX[[#Headers],[Column1756]]</f>
        <v>Column1756</v>
      </c>
      <c r="BOO1" t="str">
        <f>SOFR3mo_PX[[#Headers],[Column1757]]</f>
        <v>Column1757</v>
      </c>
      <c r="BOP1" t="str">
        <f>SOFR3mo_PX[[#Headers],[Column1758]]</f>
        <v>Column1758</v>
      </c>
      <c r="BOQ1" t="str">
        <f>SOFR3mo_PX[[#Headers],[Column1759]]</f>
        <v>Column1759</v>
      </c>
      <c r="BOR1" t="str">
        <f>SOFR3mo_PX[[#Headers],[Column1760]]</f>
        <v>Column1760</v>
      </c>
      <c r="BOS1" t="str">
        <f>SOFR3mo_PX[[#Headers],[Column1761]]</f>
        <v>Column1761</v>
      </c>
      <c r="BOT1" t="str">
        <f>SOFR3mo_PX[[#Headers],[Column1762]]</f>
        <v>Column1762</v>
      </c>
      <c r="BOU1" t="str">
        <f>SOFR3mo_PX[[#Headers],[Column1763]]</f>
        <v>Column1763</v>
      </c>
      <c r="BOV1" t="str">
        <f>SOFR3mo_PX[[#Headers],[Column1764]]</f>
        <v>Column1764</v>
      </c>
      <c r="BOW1" t="str">
        <f>SOFR3mo_PX[[#Headers],[Column1765]]</f>
        <v>Column1765</v>
      </c>
      <c r="BOX1" t="str">
        <f>SOFR3mo_PX[[#Headers],[Column1766]]</f>
        <v>Column1766</v>
      </c>
      <c r="BOY1" t="str">
        <f>SOFR3mo_PX[[#Headers],[Column1767]]</f>
        <v>Column1767</v>
      </c>
      <c r="BOZ1" t="str">
        <f>SOFR3mo_PX[[#Headers],[Column1768]]</f>
        <v>Column1768</v>
      </c>
      <c r="BPA1" t="str">
        <f>SOFR3mo_PX[[#Headers],[Column1769]]</f>
        <v>Column1769</v>
      </c>
      <c r="BPB1" t="str">
        <f>SOFR3mo_PX[[#Headers],[Column1770]]</f>
        <v>Column1770</v>
      </c>
      <c r="BPC1" t="str">
        <f>SOFR3mo_PX[[#Headers],[Column1771]]</f>
        <v>Column1771</v>
      </c>
      <c r="BPD1" t="str">
        <f>SOFR3mo_PX[[#Headers],[Column1772]]</f>
        <v>Column1772</v>
      </c>
      <c r="BPE1" t="str">
        <f>SOFR3mo_PX[[#Headers],[Column1773]]</f>
        <v>Column1773</v>
      </c>
      <c r="BPF1" t="str">
        <f>SOFR3mo_PX[[#Headers],[Column1774]]</f>
        <v>Column1774</v>
      </c>
      <c r="BPG1" t="str">
        <f>SOFR3mo_PX[[#Headers],[Column1775]]</f>
        <v>Column1775</v>
      </c>
      <c r="BPH1" t="str">
        <f>SOFR3mo_PX[[#Headers],[Column1776]]</f>
        <v>Column1776</v>
      </c>
      <c r="BPI1" t="str">
        <f>SOFR3mo_PX[[#Headers],[Column1777]]</f>
        <v>Column1777</v>
      </c>
      <c r="BPJ1" t="str">
        <f>SOFR3mo_PX[[#Headers],[Column1778]]</f>
        <v>Column1778</v>
      </c>
      <c r="BPK1" t="str">
        <f>SOFR3mo_PX[[#Headers],[Column1779]]</f>
        <v>Column1779</v>
      </c>
      <c r="BPL1" t="str">
        <f>SOFR3mo_PX[[#Headers],[Column1780]]</f>
        <v>Column1780</v>
      </c>
      <c r="BPM1" t="str">
        <f>SOFR3mo_PX[[#Headers],[Column1781]]</f>
        <v>Column1781</v>
      </c>
      <c r="BPN1" t="str">
        <f>SOFR3mo_PX[[#Headers],[Column1782]]</f>
        <v>Column1782</v>
      </c>
      <c r="BPO1" t="str">
        <f>SOFR3mo_PX[[#Headers],[Column1783]]</f>
        <v>Column1783</v>
      </c>
      <c r="BPP1" t="str">
        <f>SOFR3mo_PX[[#Headers],[Column1784]]</f>
        <v>Column1784</v>
      </c>
      <c r="BPQ1" t="str">
        <f>SOFR3mo_PX[[#Headers],[Column1785]]</f>
        <v>Column1785</v>
      </c>
      <c r="BPR1" t="str">
        <f>SOFR3mo_PX[[#Headers],[Column1786]]</f>
        <v>Column1786</v>
      </c>
      <c r="BPS1" t="str">
        <f>SOFR3mo_PX[[#Headers],[Column1787]]</f>
        <v>Column1787</v>
      </c>
      <c r="BPT1" t="str">
        <f>SOFR3mo_PX[[#Headers],[Column1788]]</f>
        <v>Column1788</v>
      </c>
      <c r="BPU1" t="str">
        <f>SOFR3mo_PX[[#Headers],[Column1789]]</f>
        <v>Column1789</v>
      </c>
      <c r="BPV1" t="str">
        <f>SOFR3mo_PX[[#Headers],[Column1790]]</f>
        <v>Column1790</v>
      </c>
      <c r="BPW1" t="str">
        <f>SOFR3mo_PX[[#Headers],[Column1791]]</f>
        <v>Column1791</v>
      </c>
      <c r="BPX1" t="str">
        <f>SOFR3mo_PX[[#Headers],[Column1792]]</f>
        <v>Column1792</v>
      </c>
      <c r="BPY1" t="str">
        <f>SOFR3mo_PX[[#Headers],[Column1793]]</f>
        <v>Column1793</v>
      </c>
      <c r="BPZ1" t="str">
        <f>SOFR3mo_PX[[#Headers],[Column1794]]</f>
        <v>Column1794</v>
      </c>
      <c r="BQA1" t="str">
        <f>SOFR3mo_PX[[#Headers],[Column1795]]</f>
        <v>Column1795</v>
      </c>
      <c r="BQB1" t="str">
        <f>SOFR3mo_PX[[#Headers],[Column1796]]</f>
        <v>Column1796</v>
      </c>
      <c r="BQC1" t="str">
        <f>SOFR3mo_PX[[#Headers],[Column1797]]</f>
        <v>Column1797</v>
      </c>
      <c r="BQD1" t="str">
        <f>SOFR3mo_PX[[#Headers],[Column1798]]</f>
        <v>Column1798</v>
      </c>
      <c r="BQE1" t="str">
        <f>SOFR3mo_PX[[#Headers],[Column1799]]</f>
        <v>Column1799</v>
      </c>
      <c r="BQF1" t="str">
        <f>SOFR3mo_PX[[#Headers],[Column1800]]</f>
        <v>Column1800</v>
      </c>
      <c r="BQG1" t="str">
        <f>SOFR3mo_PX[[#Headers],[Column1801]]</f>
        <v>Column1801</v>
      </c>
      <c r="BQH1" t="str">
        <f>SOFR3mo_PX[[#Headers],[Column1802]]</f>
        <v>Column1802</v>
      </c>
      <c r="BQI1" t="str">
        <f>SOFR3mo_PX[[#Headers],[Column1803]]</f>
        <v>Column1803</v>
      </c>
      <c r="BQJ1" t="str">
        <f>SOFR3mo_PX[[#Headers],[Column1804]]</f>
        <v>Column1804</v>
      </c>
      <c r="BQK1" t="str">
        <f>SOFR3mo_PX[[#Headers],[Column1805]]</f>
        <v>Column1805</v>
      </c>
      <c r="BQL1" t="str">
        <f>SOFR3mo_PX[[#Headers],[Column1806]]</f>
        <v>Column1806</v>
      </c>
      <c r="BQM1" t="str">
        <f>SOFR3mo_PX[[#Headers],[Column1807]]</f>
        <v>Column1807</v>
      </c>
      <c r="BQN1" t="str">
        <f>SOFR3mo_PX[[#Headers],[Column1808]]</f>
        <v>Column1808</v>
      </c>
      <c r="BQO1" t="str">
        <f>SOFR3mo_PX[[#Headers],[Column1809]]</f>
        <v>Column1809</v>
      </c>
      <c r="BQP1" t="str">
        <f>SOFR3mo_PX[[#Headers],[Column1810]]</f>
        <v>Column1810</v>
      </c>
      <c r="BQQ1" t="str">
        <f>SOFR3mo_PX[[#Headers],[Column1811]]</f>
        <v>Column1811</v>
      </c>
      <c r="BQR1" t="str">
        <f>SOFR3mo_PX[[#Headers],[Column1812]]</f>
        <v>Column1812</v>
      </c>
      <c r="BQS1" t="str">
        <f>SOFR3mo_PX[[#Headers],[Column1813]]</f>
        <v>Column1813</v>
      </c>
      <c r="BQT1" t="str">
        <f>SOFR3mo_PX[[#Headers],[Column1814]]</f>
        <v>Column1814</v>
      </c>
      <c r="BQU1" t="str">
        <f>SOFR3mo_PX[[#Headers],[Column1815]]</f>
        <v>Column1815</v>
      </c>
      <c r="BQV1" t="str">
        <f>SOFR3mo_PX[[#Headers],[Column1816]]</f>
        <v>Column1816</v>
      </c>
      <c r="BQW1" t="str">
        <f>SOFR3mo_PX[[#Headers],[Column1817]]</f>
        <v>Column1817</v>
      </c>
      <c r="BQX1" t="str">
        <f>SOFR3mo_PX[[#Headers],[Column1818]]</f>
        <v>Column1818</v>
      </c>
      <c r="BQY1" t="str">
        <f>SOFR3mo_PX[[#Headers],[Column1819]]</f>
        <v>Column1819</v>
      </c>
      <c r="BQZ1" t="str">
        <f>SOFR3mo_PX[[#Headers],[Column1820]]</f>
        <v>Column1820</v>
      </c>
      <c r="BRA1" t="str">
        <f>SOFR3mo_PX[[#Headers],[Column1821]]</f>
        <v>Column1821</v>
      </c>
      <c r="BRB1" t="str">
        <f>SOFR3mo_PX[[#Headers],[Column1822]]</f>
        <v>Column1822</v>
      </c>
      <c r="BRC1" t="str">
        <f>SOFR3mo_PX[[#Headers],[Column1823]]</f>
        <v>Column1823</v>
      </c>
      <c r="BRD1" t="str">
        <f>SOFR3mo_PX[[#Headers],[Column1824]]</f>
        <v>Column1824</v>
      </c>
      <c r="BRE1" t="str">
        <f>SOFR3mo_PX[[#Headers],[Column1825]]</f>
        <v>Column1825</v>
      </c>
      <c r="BRF1" t="str">
        <f>SOFR3mo_PX[[#Headers],[Column1826]]</f>
        <v>Column1826</v>
      </c>
      <c r="BRG1" t="str">
        <f>SOFR3mo_PX[[#Headers],[Column1827]]</f>
        <v>Column1827</v>
      </c>
      <c r="BRH1" t="str">
        <f>SOFR3mo_PX[[#Headers],[Column1828]]</f>
        <v>Column1828</v>
      </c>
      <c r="BRI1" t="str">
        <f>SOFR3mo_PX[[#Headers],[Column1829]]</f>
        <v>Column1829</v>
      </c>
      <c r="BRJ1" t="str">
        <f>SOFR3mo_PX[[#Headers],[Column1830]]</f>
        <v>Column1830</v>
      </c>
      <c r="BRK1" t="str">
        <f>SOFR3mo_PX[[#Headers],[Column1831]]</f>
        <v>Column1831</v>
      </c>
      <c r="BRL1" t="str">
        <f>SOFR3mo_PX[[#Headers],[Column1832]]</f>
        <v>Column1832</v>
      </c>
      <c r="BRM1" t="str">
        <f>SOFR3mo_PX[[#Headers],[Column1833]]</f>
        <v>Column1833</v>
      </c>
      <c r="BRN1" t="str">
        <f>SOFR3mo_PX[[#Headers],[Column1834]]</f>
        <v>Column1834</v>
      </c>
      <c r="BRO1" t="str">
        <f>SOFR3mo_PX[[#Headers],[Column1835]]</f>
        <v>Column1835</v>
      </c>
      <c r="BRP1" t="str">
        <f>SOFR3mo_PX[[#Headers],[Column1836]]</f>
        <v>Column1836</v>
      </c>
      <c r="BRQ1" t="str">
        <f>SOFR3mo_PX[[#Headers],[Column1837]]</f>
        <v>Column1837</v>
      </c>
      <c r="BRR1" t="str">
        <f>SOFR3mo_PX[[#Headers],[Column1838]]</f>
        <v>Column1838</v>
      </c>
      <c r="BRS1" t="str">
        <f>SOFR3mo_PX[[#Headers],[Column1839]]</f>
        <v>Column1839</v>
      </c>
      <c r="BRT1" t="str">
        <f>SOFR3mo_PX[[#Headers],[Column1840]]</f>
        <v>Column1840</v>
      </c>
      <c r="BRU1" t="str">
        <f>SOFR3mo_PX[[#Headers],[Column1841]]</f>
        <v>Column1841</v>
      </c>
      <c r="BRV1" t="str">
        <f>SOFR3mo_PX[[#Headers],[Column1842]]</f>
        <v>Column1842</v>
      </c>
      <c r="BRW1" t="str">
        <f>SOFR3mo_PX[[#Headers],[Column1843]]</f>
        <v>Column1843</v>
      </c>
      <c r="BRX1" t="str">
        <f>SOFR3mo_PX[[#Headers],[Column1844]]</f>
        <v>Column1844</v>
      </c>
      <c r="BRY1" t="str">
        <f>SOFR3mo_PX[[#Headers],[Column1845]]</f>
        <v>Column1845</v>
      </c>
      <c r="BRZ1" t="str">
        <f>SOFR3mo_PX[[#Headers],[Column1846]]</f>
        <v>Column1846</v>
      </c>
      <c r="BSA1" t="str">
        <f>SOFR3mo_PX[[#Headers],[Column1847]]</f>
        <v>Column1847</v>
      </c>
      <c r="BSB1" t="str">
        <f>SOFR3mo_PX[[#Headers],[Column1848]]</f>
        <v>Column1848</v>
      </c>
      <c r="BSC1" t="str">
        <f>SOFR3mo_PX[[#Headers],[Column1849]]</f>
        <v>Column1849</v>
      </c>
      <c r="BSD1" t="str">
        <f>SOFR3mo_PX[[#Headers],[Column1850]]</f>
        <v>Column1850</v>
      </c>
      <c r="BSE1" t="str">
        <f>SOFR3mo_PX[[#Headers],[Column1851]]</f>
        <v>Column1851</v>
      </c>
      <c r="BSF1" t="str">
        <f>SOFR3mo_PX[[#Headers],[Column1852]]</f>
        <v>Column1852</v>
      </c>
      <c r="BSG1" t="str">
        <f>SOFR3mo_PX[[#Headers],[Column1853]]</f>
        <v>Column1853</v>
      </c>
      <c r="BSH1" t="str">
        <f>SOFR3mo_PX[[#Headers],[Column1854]]</f>
        <v>Column1854</v>
      </c>
      <c r="BSI1" t="str">
        <f>SOFR3mo_PX[[#Headers],[Column1855]]</f>
        <v>Column1855</v>
      </c>
      <c r="BSJ1" t="str">
        <f>SOFR3mo_PX[[#Headers],[Column1856]]</f>
        <v>Column1856</v>
      </c>
      <c r="BSK1" t="str">
        <f>SOFR3mo_PX[[#Headers],[Column1857]]</f>
        <v>Column1857</v>
      </c>
      <c r="BSL1" t="str">
        <f>SOFR3mo_PX[[#Headers],[Column1858]]</f>
        <v>Column1858</v>
      </c>
      <c r="BSM1" t="str">
        <f>SOFR3mo_PX[[#Headers],[Column1859]]</f>
        <v>Column1859</v>
      </c>
      <c r="BSN1" t="str">
        <f>SOFR3mo_PX[[#Headers],[Column1860]]</f>
        <v>Column1860</v>
      </c>
      <c r="BSO1" t="str">
        <f>SOFR3mo_PX[[#Headers],[Column1861]]</f>
        <v>Column1861</v>
      </c>
      <c r="BSP1" t="str">
        <f>SOFR3mo_PX[[#Headers],[Column1862]]</f>
        <v>Column1862</v>
      </c>
      <c r="BSQ1" t="str">
        <f>SOFR3mo_PX[[#Headers],[Column1863]]</f>
        <v>Column1863</v>
      </c>
      <c r="BSR1" t="str">
        <f>SOFR3mo_PX[[#Headers],[Column1864]]</f>
        <v>Column1864</v>
      </c>
      <c r="BSS1" t="str">
        <f>SOFR3mo_PX[[#Headers],[Column1865]]</f>
        <v>Column1865</v>
      </c>
      <c r="BST1" t="str">
        <f>SOFR3mo_PX[[#Headers],[Column1866]]</f>
        <v>Column1866</v>
      </c>
      <c r="BSU1" t="str">
        <f>SOFR3mo_PX[[#Headers],[Column1867]]</f>
        <v>Column1867</v>
      </c>
      <c r="BSV1" t="str">
        <f>SOFR3mo_PX[[#Headers],[Column1868]]</f>
        <v>Column1868</v>
      </c>
      <c r="BSW1" t="str">
        <f>SOFR3mo_PX[[#Headers],[Column1869]]</f>
        <v>Column1869</v>
      </c>
      <c r="BSX1" t="str">
        <f>SOFR3mo_PX[[#Headers],[Column1870]]</f>
        <v>Column1870</v>
      </c>
      <c r="BSY1" t="str">
        <f>SOFR3mo_PX[[#Headers],[Column1871]]</f>
        <v>Column1871</v>
      </c>
      <c r="BSZ1" t="str">
        <f>SOFR3mo_PX[[#Headers],[Column1872]]</f>
        <v>Column1872</v>
      </c>
      <c r="BTA1" t="str">
        <f>SOFR3mo_PX[[#Headers],[Column1873]]</f>
        <v>Column1873</v>
      </c>
      <c r="BTB1" t="str">
        <f>SOFR3mo_PX[[#Headers],[Column1874]]</f>
        <v>Column1874</v>
      </c>
      <c r="BTC1" t="str">
        <f>SOFR3mo_PX[[#Headers],[Column1875]]</f>
        <v>Column1875</v>
      </c>
      <c r="BTD1" t="str">
        <f>SOFR3mo_PX[[#Headers],[Column1876]]</f>
        <v>Column1876</v>
      </c>
      <c r="BTE1" t="str">
        <f>SOFR3mo_PX[[#Headers],[Column1877]]</f>
        <v>Column1877</v>
      </c>
      <c r="BTF1" t="str">
        <f>SOFR3mo_PX[[#Headers],[Column1878]]</f>
        <v>Column1878</v>
      </c>
      <c r="BTG1" t="str">
        <f>SOFR3mo_PX[[#Headers],[Column1879]]</f>
        <v>Column1879</v>
      </c>
      <c r="BTH1" t="str">
        <f>SOFR3mo_PX[[#Headers],[Column1880]]</f>
        <v>Column1880</v>
      </c>
      <c r="BTI1" t="str">
        <f>SOFR3mo_PX[[#Headers],[Column1881]]</f>
        <v>Column1881</v>
      </c>
      <c r="BTJ1" t="str">
        <f>SOFR3mo_PX[[#Headers],[Column1882]]</f>
        <v>Column1882</v>
      </c>
      <c r="BTK1" t="str">
        <f>SOFR3mo_PX[[#Headers],[Column1883]]</f>
        <v>Column1883</v>
      </c>
      <c r="BTL1" t="str">
        <f>SOFR3mo_PX[[#Headers],[Column1884]]</f>
        <v>Column1884</v>
      </c>
      <c r="BTM1" t="str">
        <f>SOFR3mo_PX[[#Headers],[Column1885]]</f>
        <v>Column1885</v>
      </c>
      <c r="BTN1" t="str">
        <f>SOFR3mo_PX[[#Headers],[Column1886]]</f>
        <v>Column1886</v>
      </c>
      <c r="BTO1" t="str">
        <f>SOFR3mo_PX[[#Headers],[Column1887]]</f>
        <v>Column1887</v>
      </c>
      <c r="BTP1" t="str">
        <f>SOFR3mo_PX[[#Headers],[Column1888]]</f>
        <v>Column1888</v>
      </c>
      <c r="BTQ1" t="str">
        <f>SOFR3mo_PX[[#Headers],[Column1889]]</f>
        <v>Column1889</v>
      </c>
      <c r="BTR1" t="str">
        <f>SOFR3mo_PX[[#Headers],[Column1890]]</f>
        <v>Column1890</v>
      </c>
      <c r="BTS1" t="str">
        <f>SOFR3mo_PX[[#Headers],[Column1891]]</f>
        <v>Column1891</v>
      </c>
      <c r="BTT1" t="str">
        <f>SOFR3mo_PX[[#Headers],[Column1892]]</f>
        <v>Column1892</v>
      </c>
      <c r="BTU1" t="str">
        <f>SOFR3mo_PX[[#Headers],[Column1893]]</f>
        <v>Column1893</v>
      </c>
      <c r="BTV1" t="str">
        <f>SOFR3mo_PX[[#Headers],[Column1894]]</f>
        <v>Column1894</v>
      </c>
      <c r="BTW1" t="str">
        <f>SOFR3mo_PX[[#Headers],[Column1895]]</f>
        <v>Column1895</v>
      </c>
      <c r="BTX1" t="str">
        <f>SOFR3mo_PX[[#Headers],[Column1896]]</f>
        <v>Column1896</v>
      </c>
      <c r="BTY1" t="str">
        <f>SOFR3mo_PX[[#Headers],[Column1897]]</f>
        <v>Column1897</v>
      </c>
      <c r="BTZ1" t="str">
        <f>SOFR3mo_PX[[#Headers],[Column1898]]</f>
        <v>Column1898</v>
      </c>
      <c r="BUA1" t="str">
        <f>SOFR3mo_PX[[#Headers],[Column1899]]</f>
        <v>Column1899</v>
      </c>
      <c r="BUB1" t="str">
        <f>SOFR3mo_PX[[#Headers],[Column1900]]</f>
        <v>Column1900</v>
      </c>
      <c r="BUC1" t="str">
        <f>SOFR3mo_PX[[#Headers],[Column1901]]</f>
        <v>Column1901</v>
      </c>
      <c r="BUD1" t="str">
        <f>SOFR3mo_PX[[#Headers],[Column1902]]</f>
        <v>Column1902</v>
      </c>
      <c r="BUE1" t="str">
        <f>SOFR3mo_PX[[#Headers],[Column1903]]</f>
        <v>Column1903</v>
      </c>
      <c r="BUF1" t="str">
        <f>SOFR3mo_PX[[#Headers],[Column1904]]</f>
        <v>Column1904</v>
      </c>
      <c r="BUG1" t="str">
        <f>SOFR3mo_PX[[#Headers],[Column1905]]</f>
        <v>Column1905</v>
      </c>
      <c r="BUH1" t="str">
        <f>SOFR3mo_PX[[#Headers],[Column1906]]</f>
        <v>Column1906</v>
      </c>
      <c r="BUI1" t="str">
        <f>SOFR3mo_PX[[#Headers],[Column1907]]</f>
        <v>Column1907</v>
      </c>
      <c r="BUJ1" t="str">
        <f>SOFR3mo_PX[[#Headers],[Column1908]]</f>
        <v>Column1908</v>
      </c>
      <c r="BUK1" t="str">
        <f>SOFR3mo_PX[[#Headers],[Column1909]]</f>
        <v>Column1909</v>
      </c>
      <c r="BUL1" t="str">
        <f>SOFR3mo_PX[[#Headers],[Column1910]]</f>
        <v>Column1910</v>
      </c>
      <c r="BUM1" t="str">
        <f>SOFR3mo_PX[[#Headers],[Column1911]]</f>
        <v>Column1911</v>
      </c>
      <c r="BUN1" t="str">
        <f>SOFR3mo_PX[[#Headers],[Column1912]]</f>
        <v>Column1912</v>
      </c>
      <c r="BUO1" t="str">
        <f>SOFR3mo_PX[[#Headers],[Column1913]]</f>
        <v>Column1913</v>
      </c>
      <c r="BUP1" t="str">
        <f>SOFR3mo_PX[[#Headers],[Column1914]]</f>
        <v>Column1914</v>
      </c>
      <c r="BUQ1" t="str">
        <f>SOFR3mo_PX[[#Headers],[Column1915]]</f>
        <v>Column1915</v>
      </c>
      <c r="BUR1" t="str">
        <f>SOFR3mo_PX[[#Headers],[Column1916]]</f>
        <v>Column1916</v>
      </c>
      <c r="BUS1" t="str">
        <f>SOFR3mo_PX[[#Headers],[Column1917]]</f>
        <v>Column1917</v>
      </c>
      <c r="BUT1" t="str">
        <f>SOFR3mo_PX[[#Headers],[Column1918]]</f>
        <v>Column1918</v>
      </c>
      <c r="BUU1" t="str">
        <f>SOFR3mo_PX[[#Headers],[Column1919]]</f>
        <v>Column1919</v>
      </c>
      <c r="BUV1" t="str">
        <f>SOFR3mo_PX[[#Headers],[Column1920]]</f>
        <v>Column1920</v>
      </c>
      <c r="BUW1" t="str">
        <f>SOFR3mo_PX[[#Headers],[Column1921]]</f>
        <v>Column1921</v>
      </c>
      <c r="BUX1" t="str">
        <f>SOFR3mo_PX[[#Headers],[Column1922]]</f>
        <v>Column1922</v>
      </c>
      <c r="BUY1" t="str">
        <f>SOFR3mo_PX[[#Headers],[Column1923]]</f>
        <v>Column1923</v>
      </c>
      <c r="BUZ1" t="str">
        <f>SOFR3mo_PX[[#Headers],[Column1924]]</f>
        <v>Column1924</v>
      </c>
      <c r="BVA1" t="str">
        <f>SOFR3mo_PX[[#Headers],[Column1925]]</f>
        <v>Column1925</v>
      </c>
      <c r="BVB1" t="str">
        <f>SOFR3mo_PX[[#Headers],[Column1926]]</f>
        <v>Column1926</v>
      </c>
      <c r="BVC1" t="str">
        <f>SOFR3mo_PX[[#Headers],[Column1927]]</f>
        <v>Column1927</v>
      </c>
      <c r="BVD1" t="str">
        <f>SOFR3mo_PX[[#Headers],[Column1928]]</f>
        <v>Column1928</v>
      </c>
      <c r="BVE1" t="str">
        <f>SOFR3mo_PX[[#Headers],[Column1929]]</f>
        <v>Column1929</v>
      </c>
      <c r="BVF1" t="str">
        <f>SOFR3mo_PX[[#Headers],[Column1930]]</f>
        <v>Column1930</v>
      </c>
      <c r="BVG1" t="str">
        <f>SOFR3mo_PX[[#Headers],[Column1931]]</f>
        <v>Column1931</v>
      </c>
      <c r="BVH1" t="str">
        <f>SOFR3mo_PX[[#Headers],[Column1932]]</f>
        <v>Column1932</v>
      </c>
      <c r="BVI1" t="str">
        <f>SOFR3mo_PX[[#Headers],[Column1933]]</f>
        <v>Column1933</v>
      </c>
      <c r="BVJ1" t="str">
        <f>SOFR3mo_PX[[#Headers],[Column1934]]</f>
        <v>Column1934</v>
      </c>
      <c r="BVK1" t="str">
        <f>SOFR3mo_PX[[#Headers],[Column1935]]</f>
        <v>Column1935</v>
      </c>
      <c r="BVL1" t="str">
        <f>SOFR3mo_PX[[#Headers],[Column1936]]</f>
        <v>Column1936</v>
      </c>
      <c r="BVM1" t="str">
        <f>SOFR3mo_PX[[#Headers],[Column1937]]</f>
        <v>Column1937</v>
      </c>
      <c r="BVN1" t="str">
        <f>SOFR3mo_PX[[#Headers],[Column1938]]</f>
        <v>Column1938</v>
      </c>
      <c r="BVO1" t="str">
        <f>SOFR3mo_PX[[#Headers],[Column1939]]</f>
        <v>Column1939</v>
      </c>
      <c r="BVP1" t="str">
        <f>SOFR3mo_PX[[#Headers],[Column1940]]</f>
        <v>Column1940</v>
      </c>
      <c r="BVQ1" t="str">
        <f>SOFR3mo_PX[[#Headers],[Column1941]]</f>
        <v>Column1941</v>
      </c>
      <c r="BVR1" t="str">
        <f>SOFR3mo_PX[[#Headers],[Column1942]]</f>
        <v>Column1942</v>
      </c>
      <c r="BVS1" t="str">
        <f>SOFR3mo_PX[[#Headers],[Column1943]]</f>
        <v>Column1943</v>
      </c>
      <c r="BVT1" t="str">
        <f>SOFR3mo_PX[[#Headers],[Column1944]]</f>
        <v>Column1944</v>
      </c>
      <c r="BVU1" t="str">
        <f>SOFR3mo_PX[[#Headers],[Column1945]]</f>
        <v>Column1945</v>
      </c>
      <c r="BVV1" t="str">
        <f>SOFR3mo_PX[[#Headers],[Column1946]]</f>
        <v>Column1946</v>
      </c>
      <c r="BVW1" t="str">
        <f>SOFR3mo_PX[[#Headers],[Column1947]]</f>
        <v>Column1947</v>
      </c>
      <c r="BVX1" t="str">
        <f>SOFR3mo_PX[[#Headers],[Column1948]]</f>
        <v>Column1948</v>
      </c>
      <c r="BVY1" t="str">
        <f>SOFR3mo_PX[[#Headers],[Column1949]]</f>
        <v>Column1949</v>
      </c>
      <c r="BVZ1" t="str">
        <f>SOFR3mo_PX[[#Headers],[Column1950]]</f>
        <v>Column1950</v>
      </c>
      <c r="BWA1" t="str">
        <f>SOFR3mo_PX[[#Headers],[Column1951]]</f>
        <v>Column1951</v>
      </c>
      <c r="BWB1" t="str">
        <f>SOFR3mo_PX[[#Headers],[Column1952]]</f>
        <v>Column1952</v>
      </c>
      <c r="BWC1" t="str">
        <f>SOFR3mo_PX[[#Headers],[Column1953]]</f>
        <v>Column1953</v>
      </c>
      <c r="BWD1" t="str">
        <f>SOFR3mo_PX[[#Headers],[Column1954]]</f>
        <v>Column1954</v>
      </c>
    </row>
    <row r="2" spans="1:1954" x14ac:dyDescent="0.25">
      <c r="A2" t="str">
        <f>SOFR3mo_PX[[#This Row],[Column1]]</f>
        <v>Dates</v>
      </c>
      <c r="B2">
        <f>SOFR3mo_PX[[#This Row],[Column2]]</f>
        <v>45828</v>
      </c>
      <c r="C2">
        <f>SOFR3mo_PX[[#This Row],[Column3]]</f>
        <v>45827</v>
      </c>
      <c r="D2">
        <f>SOFR3mo_PX[[#This Row],[Column4]]</f>
        <v>45826</v>
      </c>
      <c r="E2">
        <f>SOFR3mo_PX[[#This Row],[Column5]]</f>
        <v>45825</v>
      </c>
      <c r="F2">
        <f>SOFR3mo_PX[[#This Row],[Column6]]</f>
        <v>45824</v>
      </c>
      <c r="G2">
        <f>SOFR3mo_PX[[#This Row],[Column7]]</f>
        <v>45821</v>
      </c>
      <c r="H2">
        <f>SOFR3mo_PX[[#This Row],[Column8]]</f>
        <v>45820</v>
      </c>
      <c r="I2">
        <f>SOFR3mo_PX[[#This Row],[Column9]]</f>
        <v>45819</v>
      </c>
      <c r="J2">
        <f>SOFR3mo_PX[[#This Row],[Column10]]</f>
        <v>45818</v>
      </c>
      <c r="K2">
        <f>SOFR3mo_PX[[#This Row],[Column11]]</f>
        <v>45817</v>
      </c>
      <c r="L2">
        <f>SOFR3mo_PX[[#This Row],[Column12]]</f>
        <v>45814</v>
      </c>
      <c r="M2">
        <f>SOFR3mo_PX[[#This Row],[Column13]]</f>
        <v>45813</v>
      </c>
      <c r="N2">
        <f>SOFR3mo_PX[[#This Row],[Column14]]</f>
        <v>45812</v>
      </c>
      <c r="O2">
        <f>SOFR3mo_PX[[#This Row],[Column15]]</f>
        <v>45811</v>
      </c>
      <c r="P2">
        <f>SOFR3mo_PX[[#This Row],[Column16]]</f>
        <v>45810</v>
      </c>
      <c r="Q2">
        <f>SOFR3mo_PX[[#This Row],[Column17]]</f>
        <v>45807</v>
      </c>
      <c r="R2">
        <f>SOFR3mo_PX[[#This Row],[Column18]]</f>
        <v>45806</v>
      </c>
      <c r="S2">
        <f>SOFR3mo_PX[[#This Row],[Column19]]</f>
        <v>45805</v>
      </c>
      <c r="T2">
        <f>SOFR3mo_PX[[#This Row],[Column20]]</f>
        <v>45804</v>
      </c>
      <c r="U2">
        <f>SOFR3mo_PX[[#This Row],[Column21]]</f>
        <v>45803</v>
      </c>
      <c r="V2">
        <f>SOFR3mo_PX[[#This Row],[Column22]]</f>
        <v>45800</v>
      </c>
      <c r="W2">
        <f>SOFR3mo_PX[[#This Row],[Column23]]</f>
        <v>45799</v>
      </c>
      <c r="X2">
        <f>SOFR3mo_PX[[#This Row],[Column24]]</f>
        <v>45798</v>
      </c>
      <c r="Y2">
        <f>SOFR3mo_PX[[#This Row],[Column25]]</f>
        <v>45797</v>
      </c>
      <c r="Z2">
        <f>SOFR3mo_PX[[#This Row],[Column26]]</f>
        <v>45796</v>
      </c>
      <c r="AA2">
        <f>SOFR3mo_PX[[#This Row],[Column27]]</f>
        <v>45793</v>
      </c>
      <c r="AB2">
        <f>SOFR3mo_PX[[#This Row],[Column28]]</f>
        <v>45792</v>
      </c>
      <c r="AC2">
        <f>SOFR3mo_PX[[#This Row],[Column29]]</f>
        <v>45791</v>
      </c>
      <c r="AD2">
        <f>SOFR3mo_PX[[#This Row],[Column30]]</f>
        <v>45790</v>
      </c>
      <c r="AE2">
        <f>SOFR3mo_PX[[#This Row],[Column31]]</f>
        <v>45789</v>
      </c>
      <c r="AF2">
        <f>SOFR3mo_PX[[#This Row],[Column32]]</f>
        <v>45786</v>
      </c>
      <c r="AG2">
        <f>SOFR3mo_PX[[#This Row],[Column33]]</f>
        <v>45785</v>
      </c>
      <c r="AH2">
        <f>SOFR3mo_PX[[#This Row],[Column34]]</f>
        <v>45784</v>
      </c>
      <c r="AI2">
        <f>SOFR3mo_PX[[#This Row],[Column35]]</f>
        <v>45783</v>
      </c>
      <c r="AJ2">
        <f>SOFR3mo_PX[[#This Row],[Column36]]</f>
        <v>45782</v>
      </c>
      <c r="AK2">
        <f>SOFR3mo_PX[[#This Row],[Column37]]</f>
        <v>45779</v>
      </c>
      <c r="AL2">
        <f>SOFR3mo_PX[[#This Row],[Column38]]</f>
        <v>45778</v>
      </c>
      <c r="AM2">
        <f>SOFR3mo_PX[[#This Row],[Column39]]</f>
        <v>45777</v>
      </c>
      <c r="AN2">
        <f>SOFR3mo_PX[[#This Row],[Column40]]</f>
        <v>45776</v>
      </c>
      <c r="AO2">
        <f>SOFR3mo_PX[[#This Row],[Column41]]</f>
        <v>45775</v>
      </c>
      <c r="AP2">
        <f>SOFR3mo_PX[[#This Row],[Column42]]</f>
        <v>45772</v>
      </c>
      <c r="AQ2">
        <f>SOFR3mo_PX[[#This Row],[Column43]]</f>
        <v>45771</v>
      </c>
      <c r="AR2">
        <f>SOFR3mo_PX[[#This Row],[Column44]]</f>
        <v>45770</v>
      </c>
      <c r="AS2">
        <f>SOFR3mo_PX[[#This Row],[Column45]]</f>
        <v>45769</v>
      </c>
      <c r="AT2">
        <f>SOFR3mo_PX[[#This Row],[Column46]]</f>
        <v>45768</v>
      </c>
      <c r="AU2">
        <f>SOFR3mo_PX[[#This Row],[Column47]]</f>
        <v>45765</v>
      </c>
      <c r="AV2">
        <f>SOFR3mo_PX[[#This Row],[Column48]]</f>
        <v>45764</v>
      </c>
      <c r="AW2">
        <f>SOFR3mo_PX[[#This Row],[Column49]]</f>
        <v>45763</v>
      </c>
      <c r="AX2">
        <f>SOFR3mo_PX[[#This Row],[Column50]]</f>
        <v>45762</v>
      </c>
      <c r="AY2">
        <f>SOFR3mo_PX[[#This Row],[Column51]]</f>
        <v>45761</v>
      </c>
      <c r="AZ2">
        <f>SOFR3mo_PX[[#This Row],[Column52]]</f>
        <v>45758</v>
      </c>
      <c r="BA2">
        <f>SOFR3mo_PX[[#This Row],[Column53]]</f>
        <v>45757</v>
      </c>
      <c r="BB2">
        <f>SOFR3mo_PX[[#This Row],[Column54]]</f>
        <v>45756</v>
      </c>
      <c r="BC2">
        <f>SOFR3mo_PX[[#This Row],[Column55]]</f>
        <v>45755</v>
      </c>
      <c r="BD2">
        <f>SOFR3mo_PX[[#This Row],[Column56]]</f>
        <v>45754</v>
      </c>
      <c r="BE2">
        <f>SOFR3mo_PX[[#This Row],[Column57]]</f>
        <v>45751</v>
      </c>
      <c r="BF2">
        <f>SOFR3mo_PX[[#This Row],[Column58]]</f>
        <v>45750</v>
      </c>
      <c r="BG2">
        <f>SOFR3mo_PX[[#This Row],[Column59]]</f>
        <v>45749</v>
      </c>
      <c r="BH2">
        <f>SOFR3mo_PX[[#This Row],[Column60]]</f>
        <v>45748</v>
      </c>
      <c r="BI2">
        <f>SOFR3mo_PX[[#This Row],[Column61]]</f>
        <v>45747</v>
      </c>
      <c r="BJ2">
        <f>SOFR3mo_PX[[#This Row],[Column62]]</f>
        <v>45744</v>
      </c>
      <c r="BK2">
        <f>SOFR3mo_PX[[#This Row],[Column63]]</f>
        <v>45743</v>
      </c>
      <c r="BL2">
        <f>SOFR3mo_PX[[#This Row],[Column64]]</f>
        <v>45742</v>
      </c>
      <c r="BM2">
        <f>SOFR3mo_PX[[#This Row],[Column65]]</f>
        <v>45741</v>
      </c>
      <c r="BN2">
        <f>SOFR3mo_PX[[#This Row],[Column66]]</f>
        <v>45740</v>
      </c>
      <c r="BO2">
        <f>SOFR3mo_PX[[#This Row],[Column67]]</f>
        <v>45737</v>
      </c>
      <c r="BP2">
        <f>SOFR3mo_PX[[#This Row],[Column68]]</f>
        <v>45736</v>
      </c>
      <c r="BQ2">
        <f>SOFR3mo_PX[[#This Row],[Column69]]</f>
        <v>45735</v>
      </c>
      <c r="BR2">
        <f>SOFR3mo_PX[[#This Row],[Column70]]</f>
        <v>45734</v>
      </c>
      <c r="BS2">
        <f>SOFR3mo_PX[[#This Row],[Column71]]</f>
        <v>45733</v>
      </c>
      <c r="BT2">
        <f>SOFR3mo_PX[[#This Row],[Column72]]</f>
        <v>45730</v>
      </c>
      <c r="BU2">
        <f>SOFR3mo_PX[[#This Row],[Column73]]</f>
        <v>45729</v>
      </c>
      <c r="BV2">
        <f>SOFR3mo_PX[[#This Row],[Column74]]</f>
        <v>45728</v>
      </c>
      <c r="BW2">
        <f>SOFR3mo_PX[[#This Row],[Column75]]</f>
        <v>45727</v>
      </c>
      <c r="BX2">
        <f>SOFR3mo_PX[[#This Row],[Column76]]</f>
        <v>45726</v>
      </c>
      <c r="BY2">
        <f>SOFR3mo_PX[[#This Row],[Column77]]</f>
        <v>45723</v>
      </c>
      <c r="BZ2">
        <f>SOFR3mo_PX[[#This Row],[Column78]]</f>
        <v>45722</v>
      </c>
      <c r="CA2">
        <f>SOFR3mo_PX[[#This Row],[Column79]]</f>
        <v>45721</v>
      </c>
      <c r="CB2">
        <f>SOFR3mo_PX[[#This Row],[Column80]]</f>
        <v>45720</v>
      </c>
      <c r="CC2">
        <f>SOFR3mo_PX[[#This Row],[Column81]]</f>
        <v>45719</v>
      </c>
      <c r="CD2">
        <f>SOFR3mo_PX[[#This Row],[Column82]]</f>
        <v>45716</v>
      </c>
      <c r="CE2">
        <f>SOFR3mo_PX[[#This Row],[Column83]]</f>
        <v>45715</v>
      </c>
      <c r="CF2">
        <f>SOFR3mo_PX[[#This Row],[Column84]]</f>
        <v>45714</v>
      </c>
      <c r="CG2">
        <f>SOFR3mo_PX[[#This Row],[Column85]]</f>
        <v>45713</v>
      </c>
      <c r="CH2">
        <f>SOFR3mo_PX[[#This Row],[Column86]]</f>
        <v>45712</v>
      </c>
      <c r="CI2">
        <f>SOFR3mo_PX[[#This Row],[Column87]]</f>
        <v>45709</v>
      </c>
      <c r="CJ2">
        <f>SOFR3mo_PX[[#This Row],[Column88]]</f>
        <v>45708</v>
      </c>
      <c r="CK2">
        <f>SOFR3mo_PX[[#This Row],[Column89]]</f>
        <v>45707</v>
      </c>
      <c r="CL2">
        <f>SOFR3mo_PX[[#This Row],[Column90]]</f>
        <v>45706</v>
      </c>
      <c r="CM2">
        <f>SOFR3mo_PX[[#This Row],[Column91]]</f>
        <v>45705</v>
      </c>
      <c r="CN2">
        <f>SOFR3mo_PX[[#This Row],[Column92]]</f>
        <v>45702</v>
      </c>
      <c r="CO2">
        <f>SOFR3mo_PX[[#This Row],[Column93]]</f>
        <v>45701</v>
      </c>
      <c r="CP2">
        <f>SOFR3mo_PX[[#This Row],[Column94]]</f>
        <v>45700</v>
      </c>
      <c r="CQ2">
        <f>SOFR3mo_PX[[#This Row],[Column95]]</f>
        <v>45699</v>
      </c>
      <c r="CR2">
        <f>SOFR3mo_PX[[#This Row],[Column96]]</f>
        <v>45698</v>
      </c>
      <c r="CS2">
        <f>SOFR3mo_PX[[#This Row],[Column97]]</f>
        <v>45695</v>
      </c>
      <c r="CT2">
        <f>SOFR3mo_PX[[#This Row],[Column98]]</f>
        <v>45694</v>
      </c>
      <c r="CU2">
        <f>SOFR3mo_PX[[#This Row],[Column99]]</f>
        <v>45693</v>
      </c>
      <c r="CV2">
        <f>SOFR3mo_PX[[#This Row],[Column100]]</f>
        <v>45692</v>
      </c>
      <c r="CW2">
        <f>SOFR3mo_PX[[#This Row],[Column101]]</f>
        <v>45691</v>
      </c>
      <c r="CX2">
        <f>SOFR3mo_PX[[#This Row],[Column102]]</f>
        <v>45688</v>
      </c>
      <c r="CY2">
        <f>SOFR3mo_PX[[#This Row],[Column103]]</f>
        <v>45687</v>
      </c>
      <c r="CZ2">
        <f>SOFR3mo_PX[[#This Row],[Column104]]</f>
        <v>45686</v>
      </c>
      <c r="DA2">
        <f>SOFR3mo_PX[[#This Row],[Column105]]</f>
        <v>45685</v>
      </c>
      <c r="DB2">
        <f>SOFR3mo_PX[[#This Row],[Column106]]</f>
        <v>45684</v>
      </c>
      <c r="DC2">
        <f>SOFR3mo_PX[[#This Row],[Column107]]</f>
        <v>45681</v>
      </c>
      <c r="DD2">
        <f>SOFR3mo_PX[[#This Row],[Column108]]</f>
        <v>45680</v>
      </c>
      <c r="DE2">
        <f>SOFR3mo_PX[[#This Row],[Column109]]</f>
        <v>45679</v>
      </c>
      <c r="DF2">
        <f>SOFR3mo_PX[[#This Row],[Column110]]</f>
        <v>45678</v>
      </c>
      <c r="DG2">
        <f>SOFR3mo_PX[[#This Row],[Column111]]</f>
        <v>45677</v>
      </c>
      <c r="DH2">
        <f>SOFR3mo_PX[[#This Row],[Column112]]</f>
        <v>45674</v>
      </c>
      <c r="DI2">
        <f>SOFR3mo_PX[[#This Row],[Column113]]</f>
        <v>45673</v>
      </c>
      <c r="DJ2">
        <f>SOFR3mo_PX[[#This Row],[Column114]]</f>
        <v>45672</v>
      </c>
      <c r="DK2">
        <f>SOFR3mo_PX[[#This Row],[Column115]]</f>
        <v>45671</v>
      </c>
      <c r="DL2">
        <f>SOFR3mo_PX[[#This Row],[Column116]]</f>
        <v>45670</v>
      </c>
      <c r="DM2">
        <f>SOFR3mo_PX[[#This Row],[Column117]]</f>
        <v>45667</v>
      </c>
      <c r="DN2">
        <f>SOFR3mo_PX[[#This Row],[Column118]]</f>
        <v>45666</v>
      </c>
      <c r="DO2">
        <f>SOFR3mo_PX[[#This Row],[Column119]]</f>
        <v>45665</v>
      </c>
      <c r="DP2">
        <f>SOFR3mo_PX[[#This Row],[Column120]]</f>
        <v>45664</v>
      </c>
      <c r="DQ2">
        <f>SOFR3mo_PX[[#This Row],[Column121]]</f>
        <v>45663</v>
      </c>
      <c r="DR2">
        <f>SOFR3mo_PX[[#This Row],[Column122]]</f>
        <v>45660</v>
      </c>
      <c r="DS2">
        <f>SOFR3mo_PX[[#This Row],[Column123]]</f>
        <v>45659</v>
      </c>
      <c r="DT2">
        <f>SOFR3mo_PX[[#This Row],[Column124]]</f>
        <v>45658</v>
      </c>
      <c r="DU2">
        <f>SOFR3mo_PX[[#This Row],[Column125]]</f>
        <v>45657</v>
      </c>
      <c r="DV2">
        <f>SOFR3mo_PX[[#This Row],[Column126]]</f>
        <v>45656</v>
      </c>
      <c r="DW2">
        <f>SOFR3mo_PX[[#This Row],[Column127]]</f>
        <v>45653</v>
      </c>
      <c r="DX2">
        <f>SOFR3mo_PX[[#This Row],[Column128]]</f>
        <v>45652</v>
      </c>
      <c r="DY2">
        <f>SOFR3mo_PX[[#This Row],[Column129]]</f>
        <v>45651</v>
      </c>
      <c r="DZ2">
        <f>SOFR3mo_PX[[#This Row],[Column130]]</f>
        <v>45650</v>
      </c>
      <c r="EA2">
        <f>SOFR3mo_PX[[#This Row],[Column131]]</f>
        <v>45649</v>
      </c>
      <c r="EB2">
        <f>SOFR3mo_PX[[#This Row],[Column132]]</f>
        <v>45646</v>
      </c>
      <c r="EC2">
        <f>SOFR3mo_PX[[#This Row],[Column133]]</f>
        <v>45645</v>
      </c>
      <c r="ED2">
        <f>SOFR3mo_PX[[#This Row],[Column134]]</f>
        <v>45644</v>
      </c>
      <c r="EE2">
        <f>SOFR3mo_PX[[#This Row],[Column135]]</f>
        <v>45643</v>
      </c>
      <c r="EF2">
        <f>SOFR3mo_PX[[#This Row],[Column136]]</f>
        <v>45642</v>
      </c>
      <c r="EG2">
        <f>SOFR3mo_PX[[#This Row],[Column137]]</f>
        <v>45639</v>
      </c>
      <c r="EH2">
        <f>SOFR3mo_PX[[#This Row],[Column138]]</f>
        <v>45638</v>
      </c>
      <c r="EI2">
        <f>SOFR3mo_PX[[#This Row],[Column139]]</f>
        <v>45637</v>
      </c>
      <c r="EJ2">
        <f>SOFR3mo_PX[[#This Row],[Column140]]</f>
        <v>45636</v>
      </c>
      <c r="EK2">
        <f>SOFR3mo_PX[[#This Row],[Column141]]</f>
        <v>45635</v>
      </c>
      <c r="EL2">
        <f>SOFR3mo_PX[[#This Row],[Column142]]</f>
        <v>45632</v>
      </c>
      <c r="EM2">
        <f>SOFR3mo_PX[[#This Row],[Column143]]</f>
        <v>45631</v>
      </c>
      <c r="EN2">
        <f>SOFR3mo_PX[[#This Row],[Column144]]</f>
        <v>45630</v>
      </c>
      <c r="EO2">
        <f>SOFR3mo_PX[[#This Row],[Column145]]</f>
        <v>45629</v>
      </c>
      <c r="EP2">
        <f>SOFR3mo_PX[[#This Row],[Column146]]</f>
        <v>45628</v>
      </c>
      <c r="EQ2">
        <f>SOFR3mo_PX[[#This Row],[Column147]]</f>
        <v>45625</v>
      </c>
      <c r="ER2">
        <f>SOFR3mo_PX[[#This Row],[Column148]]</f>
        <v>45624</v>
      </c>
      <c r="ES2">
        <f>SOFR3mo_PX[[#This Row],[Column149]]</f>
        <v>45623</v>
      </c>
      <c r="ET2">
        <f>SOFR3mo_PX[[#This Row],[Column150]]</f>
        <v>45622</v>
      </c>
      <c r="EU2">
        <f>SOFR3mo_PX[[#This Row],[Column151]]</f>
        <v>45621</v>
      </c>
      <c r="EV2">
        <f>SOFR3mo_PX[[#This Row],[Column152]]</f>
        <v>45618</v>
      </c>
      <c r="EW2">
        <f>SOFR3mo_PX[[#This Row],[Column153]]</f>
        <v>45617</v>
      </c>
      <c r="EX2">
        <f>SOFR3mo_PX[[#This Row],[Column154]]</f>
        <v>45616</v>
      </c>
      <c r="EY2">
        <f>SOFR3mo_PX[[#This Row],[Column155]]</f>
        <v>45615</v>
      </c>
      <c r="EZ2">
        <f>SOFR3mo_PX[[#This Row],[Column156]]</f>
        <v>45614</v>
      </c>
      <c r="FA2">
        <f>SOFR3mo_PX[[#This Row],[Column157]]</f>
        <v>45611</v>
      </c>
      <c r="FB2">
        <f>SOFR3mo_PX[[#This Row],[Column158]]</f>
        <v>45610</v>
      </c>
      <c r="FC2">
        <f>SOFR3mo_PX[[#This Row],[Column159]]</f>
        <v>45609</v>
      </c>
      <c r="FD2">
        <f>SOFR3mo_PX[[#This Row],[Column160]]</f>
        <v>45608</v>
      </c>
      <c r="FE2">
        <f>SOFR3mo_PX[[#This Row],[Column161]]</f>
        <v>45607</v>
      </c>
      <c r="FF2">
        <f>SOFR3mo_PX[[#This Row],[Column162]]</f>
        <v>45604</v>
      </c>
      <c r="FG2">
        <f>SOFR3mo_PX[[#This Row],[Column163]]</f>
        <v>45603</v>
      </c>
      <c r="FH2">
        <f>SOFR3mo_PX[[#This Row],[Column164]]</f>
        <v>45602</v>
      </c>
      <c r="FI2">
        <f>SOFR3mo_PX[[#This Row],[Column165]]</f>
        <v>45601</v>
      </c>
      <c r="FJ2">
        <f>SOFR3mo_PX[[#This Row],[Column166]]</f>
        <v>45600</v>
      </c>
      <c r="FK2">
        <f>SOFR3mo_PX[[#This Row],[Column167]]</f>
        <v>45597</v>
      </c>
      <c r="FL2">
        <f>SOFR3mo_PX[[#This Row],[Column168]]</f>
        <v>45596</v>
      </c>
      <c r="FM2">
        <f>SOFR3mo_PX[[#This Row],[Column169]]</f>
        <v>45595</v>
      </c>
      <c r="FN2">
        <f>SOFR3mo_PX[[#This Row],[Column170]]</f>
        <v>45594</v>
      </c>
      <c r="FO2">
        <f>SOFR3mo_PX[[#This Row],[Column171]]</f>
        <v>45593</v>
      </c>
      <c r="FP2">
        <f>SOFR3mo_PX[[#This Row],[Column172]]</f>
        <v>45590</v>
      </c>
      <c r="FQ2">
        <f>SOFR3mo_PX[[#This Row],[Column173]]</f>
        <v>45589</v>
      </c>
      <c r="FR2">
        <f>SOFR3mo_PX[[#This Row],[Column174]]</f>
        <v>45588</v>
      </c>
      <c r="FS2">
        <f>SOFR3mo_PX[[#This Row],[Column175]]</f>
        <v>45587</v>
      </c>
      <c r="FT2">
        <f>SOFR3mo_PX[[#This Row],[Column176]]</f>
        <v>45586</v>
      </c>
      <c r="FU2">
        <f>SOFR3mo_PX[[#This Row],[Column177]]</f>
        <v>45583</v>
      </c>
      <c r="FV2">
        <f>SOFR3mo_PX[[#This Row],[Column178]]</f>
        <v>45582</v>
      </c>
      <c r="FW2">
        <f>SOFR3mo_PX[[#This Row],[Column179]]</f>
        <v>45581</v>
      </c>
      <c r="FX2">
        <f>SOFR3mo_PX[[#This Row],[Column180]]</f>
        <v>45580</v>
      </c>
      <c r="FY2">
        <f>SOFR3mo_PX[[#This Row],[Column181]]</f>
        <v>45579</v>
      </c>
      <c r="FZ2">
        <f>SOFR3mo_PX[[#This Row],[Column182]]</f>
        <v>45576</v>
      </c>
      <c r="GA2">
        <f>SOFR3mo_PX[[#This Row],[Column183]]</f>
        <v>45575</v>
      </c>
      <c r="GB2">
        <f>SOFR3mo_PX[[#This Row],[Column184]]</f>
        <v>45574</v>
      </c>
      <c r="GC2">
        <f>SOFR3mo_PX[[#This Row],[Column185]]</f>
        <v>45573</v>
      </c>
      <c r="GD2">
        <f>SOFR3mo_PX[[#This Row],[Column186]]</f>
        <v>45572</v>
      </c>
      <c r="GE2">
        <f>SOFR3mo_PX[[#This Row],[Column187]]</f>
        <v>45569</v>
      </c>
      <c r="GF2">
        <f>SOFR3mo_PX[[#This Row],[Column188]]</f>
        <v>45568</v>
      </c>
      <c r="GG2">
        <f>SOFR3mo_PX[[#This Row],[Column189]]</f>
        <v>45567</v>
      </c>
      <c r="GH2">
        <f>SOFR3mo_PX[[#This Row],[Column190]]</f>
        <v>45566</v>
      </c>
      <c r="GI2">
        <f>SOFR3mo_PX[[#This Row],[Column191]]</f>
        <v>45565</v>
      </c>
      <c r="GJ2">
        <f>SOFR3mo_PX[[#This Row],[Column192]]</f>
        <v>45562</v>
      </c>
      <c r="GK2">
        <f>SOFR3mo_PX[[#This Row],[Column193]]</f>
        <v>45561</v>
      </c>
      <c r="GL2">
        <f>SOFR3mo_PX[[#This Row],[Column194]]</f>
        <v>45560</v>
      </c>
      <c r="GM2">
        <f>SOFR3mo_PX[[#This Row],[Column195]]</f>
        <v>45559</v>
      </c>
      <c r="GN2">
        <f>SOFR3mo_PX[[#This Row],[Column196]]</f>
        <v>45558</v>
      </c>
      <c r="GO2">
        <f>SOFR3mo_PX[[#This Row],[Column197]]</f>
        <v>45555</v>
      </c>
      <c r="GP2">
        <f>SOFR3mo_PX[[#This Row],[Column198]]</f>
        <v>45554</v>
      </c>
      <c r="GQ2">
        <f>SOFR3mo_PX[[#This Row],[Column199]]</f>
        <v>45553</v>
      </c>
      <c r="GR2">
        <f>SOFR3mo_PX[[#This Row],[Column200]]</f>
        <v>45552</v>
      </c>
      <c r="GS2">
        <f>SOFR3mo_PX[[#This Row],[Column201]]</f>
        <v>45551</v>
      </c>
      <c r="GT2">
        <f>SOFR3mo_PX[[#This Row],[Column202]]</f>
        <v>45548</v>
      </c>
      <c r="GU2">
        <f>SOFR3mo_PX[[#This Row],[Column203]]</f>
        <v>45547</v>
      </c>
      <c r="GV2">
        <f>SOFR3mo_PX[[#This Row],[Column204]]</f>
        <v>45546</v>
      </c>
      <c r="GW2">
        <f>SOFR3mo_PX[[#This Row],[Column205]]</f>
        <v>45545</v>
      </c>
      <c r="GX2">
        <f>SOFR3mo_PX[[#This Row],[Column206]]</f>
        <v>45544</v>
      </c>
      <c r="GY2">
        <f>SOFR3mo_PX[[#This Row],[Column207]]</f>
        <v>45541</v>
      </c>
      <c r="GZ2">
        <f>SOFR3mo_PX[[#This Row],[Column208]]</f>
        <v>45540</v>
      </c>
      <c r="HA2">
        <f>SOFR3mo_PX[[#This Row],[Column209]]</f>
        <v>45539</v>
      </c>
      <c r="HB2">
        <f>SOFR3mo_PX[[#This Row],[Column210]]</f>
        <v>45538</v>
      </c>
      <c r="HC2">
        <f>SOFR3mo_PX[[#This Row],[Column211]]</f>
        <v>45537</v>
      </c>
      <c r="HD2">
        <f>SOFR3mo_PX[[#This Row],[Column212]]</f>
        <v>45534</v>
      </c>
      <c r="HE2">
        <f>SOFR3mo_PX[[#This Row],[Column213]]</f>
        <v>45533</v>
      </c>
      <c r="HF2">
        <f>SOFR3mo_PX[[#This Row],[Column214]]</f>
        <v>45532</v>
      </c>
      <c r="HG2">
        <f>SOFR3mo_PX[[#This Row],[Column215]]</f>
        <v>45531</v>
      </c>
      <c r="HH2">
        <f>SOFR3mo_PX[[#This Row],[Column216]]</f>
        <v>45530</v>
      </c>
      <c r="HI2">
        <f>SOFR3mo_PX[[#This Row],[Column217]]</f>
        <v>45527</v>
      </c>
      <c r="HJ2">
        <f>SOFR3mo_PX[[#This Row],[Column218]]</f>
        <v>45526</v>
      </c>
      <c r="HK2">
        <f>SOFR3mo_PX[[#This Row],[Column219]]</f>
        <v>45525</v>
      </c>
      <c r="HL2">
        <f>SOFR3mo_PX[[#This Row],[Column220]]</f>
        <v>45524</v>
      </c>
      <c r="HM2">
        <f>SOFR3mo_PX[[#This Row],[Column221]]</f>
        <v>45523</v>
      </c>
      <c r="HN2">
        <f>SOFR3mo_PX[[#This Row],[Column222]]</f>
        <v>45520</v>
      </c>
      <c r="HO2">
        <f>SOFR3mo_PX[[#This Row],[Column223]]</f>
        <v>45519</v>
      </c>
      <c r="HP2">
        <f>SOFR3mo_PX[[#This Row],[Column224]]</f>
        <v>45518</v>
      </c>
      <c r="HQ2">
        <f>SOFR3mo_PX[[#This Row],[Column225]]</f>
        <v>45517</v>
      </c>
      <c r="HR2">
        <f>SOFR3mo_PX[[#This Row],[Column226]]</f>
        <v>45516</v>
      </c>
      <c r="HS2">
        <f>SOFR3mo_PX[[#This Row],[Column227]]</f>
        <v>45513</v>
      </c>
      <c r="HT2">
        <f>SOFR3mo_PX[[#This Row],[Column228]]</f>
        <v>45512</v>
      </c>
      <c r="HU2">
        <f>SOFR3mo_PX[[#This Row],[Column229]]</f>
        <v>45511</v>
      </c>
      <c r="HV2">
        <f>SOFR3mo_PX[[#This Row],[Column230]]</f>
        <v>45510</v>
      </c>
      <c r="HW2">
        <f>SOFR3mo_PX[[#This Row],[Column231]]</f>
        <v>45509</v>
      </c>
      <c r="HX2">
        <f>SOFR3mo_PX[[#This Row],[Column232]]</f>
        <v>45506</v>
      </c>
      <c r="HY2">
        <f>SOFR3mo_PX[[#This Row],[Column233]]</f>
        <v>45505</v>
      </c>
      <c r="HZ2">
        <f>SOFR3mo_PX[[#This Row],[Column234]]</f>
        <v>45504</v>
      </c>
      <c r="IA2">
        <f>SOFR3mo_PX[[#This Row],[Column235]]</f>
        <v>45503</v>
      </c>
      <c r="IB2">
        <f>SOFR3mo_PX[[#This Row],[Column236]]</f>
        <v>45502</v>
      </c>
      <c r="IC2">
        <f>SOFR3mo_PX[[#This Row],[Column237]]</f>
        <v>45499</v>
      </c>
      <c r="ID2">
        <f>SOFR3mo_PX[[#This Row],[Column238]]</f>
        <v>45498</v>
      </c>
      <c r="IE2">
        <f>SOFR3mo_PX[[#This Row],[Column239]]</f>
        <v>45497</v>
      </c>
      <c r="IF2">
        <f>SOFR3mo_PX[[#This Row],[Column240]]</f>
        <v>45496</v>
      </c>
      <c r="IG2">
        <f>SOFR3mo_PX[[#This Row],[Column241]]</f>
        <v>45495</v>
      </c>
      <c r="IH2">
        <f>SOFR3mo_PX[[#This Row],[Column242]]</f>
        <v>45492</v>
      </c>
      <c r="II2">
        <f>SOFR3mo_PX[[#This Row],[Column243]]</f>
        <v>45491</v>
      </c>
      <c r="IJ2">
        <f>SOFR3mo_PX[[#This Row],[Column244]]</f>
        <v>45490</v>
      </c>
      <c r="IK2">
        <f>SOFR3mo_PX[[#This Row],[Column245]]</f>
        <v>45489</v>
      </c>
      <c r="IL2">
        <f>SOFR3mo_PX[[#This Row],[Column246]]</f>
        <v>45488</v>
      </c>
      <c r="IM2">
        <f>SOFR3mo_PX[[#This Row],[Column247]]</f>
        <v>45485</v>
      </c>
      <c r="IN2">
        <f>SOFR3mo_PX[[#This Row],[Column248]]</f>
        <v>45484</v>
      </c>
      <c r="IO2">
        <f>SOFR3mo_PX[[#This Row],[Column249]]</f>
        <v>45483</v>
      </c>
      <c r="IP2">
        <f>SOFR3mo_PX[[#This Row],[Column250]]</f>
        <v>45482</v>
      </c>
      <c r="IQ2">
        <f>SOFR3mo_PX[[#This Row],[Column251]]</f>
        <v>45481</v>
      </c>
      <c r="IR2">
        <f>SOFR3mo_PX[[#This Row],[Column252]]</f>
        <v>45478</v>
      </c>
      <c r="IS2">
        <f>SOFR3mo_PX[[#This Row],[Column253]]</f>
        <v>45477</v>
      </c>
      <c r="IT2">
        <f>SOFR3mo_PX[[#This Row],[Column254]]</f>
        <v>45476</v>
      </c>
      <c r="IU2">
        <f>SOFR3mo_PX[[#This Row],[Column255]]</f>
        <v>45475</v>
      </c>
      <c r="IV2">
        <f>SOFR3mo_PX[[#This Row],[Column256]]</f>
        <v>45474</v>
      </c>
      <c r="IW2">
        <f>SOFR3mo_PX[[#This Row],[Column257]]</f>
        <v>45471</v>
      </c>
      <c r="IX2">
        <f>SOFR3mo_PX[[#This Row],[Column258]]</f>
        <v>45470</v>
      </c>
      <c r="IY2">
        <f>SOFR3mo_PX[[#This Row],[Column259]]</f>
        <v>45469</v>
      </c>
      <c r="IZ2">
        <f>SOFR3mo_PX[[#This Row],[Column260]]</f>
        <v>45468</v>
      </c>
      <c r="JA2">
        <f>SOFR3mo_PX[[#This Row],[Column261]]</f>
        <v>45467</v>
      </c>
      <c r="JB2">
        <f>SOFR3mo_PX[[#This Row],[Column262]]</f>
        <v>45464</v>
      </c>
      <c r="JC2">
        <f>SOFR3mo_PX[[#This Row],[Column263]]</f>
        <v>45463</v>
      </c>
      <c r="JD2">
        <f>SOFR3mo_PX[[#This Row],[Column264]]</f>
        <v>45462</v>
      </c>
      <c r="JE2">
        <f>SOFR3mo_PX[[#This Row],[Column265]]</f>
        <v>45461</v>
      </c>
      <c r="JF2">
        <f>SOFR3mo_PX[[#This Row],[Column266]]</f>
        <v>45460</v>
      </c>
      <c r="JG2">
        <f>SOFR3mo_PX[[#This Row],[Column267]]</f>
        <v>45457</v>
      </c>
      <c r="JH2">
        <f>SOFR3mo_PX[[#This Row],[Column268]]</f>
        <v>45456</v>
      </c>
      <c r="JI2">
        <f>SOFR3mo_PX[[#This Row],[Column269]]</f>
        <v>45455</v>
      </c>
      <c r="JJ2">
        <f>SOFR3mo_PX[[#This Row],[Column270]]</f>
        <v>45454</v>
      </c>
      <c r="JK2">
        <f>SOFR3mo_PX[[#This Row],[Column271]]</f>
        <v>45453</v>
      </c>
      <c r="JL2">
        <f>SOFR3mo_PX[[#This Row],[Column272]]</f>
        <v>45450</v>
      </c>
      <c r="JM2">
        <f>SOFR3mo_PX[[#This Row],[Column273]]</f>
        <v>45449</v>
      </c>
      <c r="JN2">
        <f>SOFR3mo_PX[[#This Row],[Column274]]</f>
        <v>45448</v>
      </c>
      <c r="JO2">
        <f>SOFR3mo_PX[[#This Row],[Column275]]</f>
        <v>45447</v>
      </c>
      <c r="JP2">
        <f>SOFR3mo_PX[[#This Row],[Column276]]</f>
        <v>45446</v>
      </c>
      <c r="JQ2">
        <f>SOFR3mo_PX[[#This Row],[Column277]]</f>
        <v>45443</v>
      </c>
      <c r="JR2">
        <f>SOFR3mo_PX[[#This Row],[Column278]]</f>
        <v>45442</v>
      </c>
      <c r="JS2">
        <f>SOFR3mo_PX[[#This Row],[Column279]]</f>
        <v>45441</v>
      </c>
      <c r="JT2">
        <f>SOFR3mo_PX[[#This Row],[Column280]]</f>
        <v>45440</v>
      </c>
      <c r="JU2">
        <f>SOFR3mo_PX[[#This Row],[Column281]]</f>
        <v>45439</v>
      </c>
      <c r="JV2">
        <f>SOFR3mo_PX[[#This Row],[Column282]]</f>
        <v>45436</v>
      </c>
      <c r="JW2">
        <f>SOFR3mo_PX[[#This Row],[Column283]]</f>
        <v>45435</v>
      </c>
      <c r="JX2">
        <f>SOFR3mo_PX[[#This Row],[Column284]]</f>
        <v>45434</v>
      </c>
      <c r="JY2">
        <f>SOFR3mo_PX[[#This Row],[Column285]]</f>
        <v>45433</v>
      </c>
      <c r="JZ2">
        <f>SOFR3mo_PX[[#This Row],[Column286]]</f>
        <v>45432</v>
      </c>
      <c r="KA2">
        <f>SOFR3mo_PX[[#This Row],[Column287]]</f>
        <v>45429</v>
      </c>
      <c r="KB2">
        <f>SOFR3mo_PX[[#This Row],[Column288]]</f>
        <v>45428</v>
      </c>
      <c r="KC2">
        <f>SOFR3mo_PX[[#This Row],[Column289]]</f>
        <v>45427</v>
      </c>
      <c r="KD2">
        <f>SOFR3mo_PX[[#This Row],[Column290]]</f>
        <v>45426</v>
      </c>
      <c r="KE2">
        <f>SOFR3mo_PX[[#This Row],[Column291]]</f>
        <v>45425</v>
      </c>
      <c r="KF2">
        <f>SOFR3mo_PX[[#This Row],[Column292]]</f>
        <v>45422</v>
      </c>
      <c r="KG2">
        <f>SOFR3mo_PX[[#This Row],[Column293]]</f>
        <v>45421</v>
      </c>
      <c r="KH2">
        <f>SOFR3mo_PX[[#This Row],[Column294]]</f>
        <v>45420</v>
      </c>
      <c r="KI2">
        <f>SOFR3mo_PX[[#This Row],[Column295]]</f>
        <v>45419</v>
      </c>
      <c r="KJ2">
        <f>SOFR3mo_PX[[#This Row],[Column296]]</f>
        <v>45418</v>
      </c>
      <c r="KK2">
        <f>SOFR3mo_PX[[#This Row],[Column297]]</f>
        <v>45415</v>
      </c>
      <c r="KL2">
        <f>SOFR3mo_PX[[#This Row],[Column298]]</f>
        <v>45414</v>
      </c>
      <c r="KM2">
        <f>SOFR3mo_PX[[#This Row],[Column299]]</f>
        <v>45413</v>
      </c>
      <c r="KN2">
        <f>SOFR3mo_PX[[#This Row],[Column300]]</f>
        <v>45412</v>
      </c>
      <c r="KO2">
        <f>SOFR3mo_PX[[#This Row],[Column301]]</f>
        <v>45411</v>
      </c>
      <c r="KP2">
        <f>SOFR3mo_PX[[#This Row],[Column302]]</f>
        <v>45408</v>
      </c>
      <c r="KQ2">
        <f>SOFR3mo_PX[[#This Row],[Column303]]</f>
        <v>45407</v>
      </c>
      <c r="KR2">
        <f>SOFR3mo_PX[[#This Row],[Column304]]</f>
        <v>45406</v>
      </c>
      <c r="KS2">
        <f>SOFR3mo_PX[[#This Row],[Column305]]</f>
        <v>45405</v>
      </c>
      <c r="KT2">
        <f>SOFR3mo_PX[[#This Row],[Column306]]</f>
        <v>45404</v>
      </c>
      <c r="KU2">
        <f>SOFR3mo_PX[[#This Row],[Column307]]</f>
        <v>45401</v>
      </c>
      <c r="KV2">
        <f>SOFR3mo_PX[[#This Row],[Column308]]</f>
        <v>45400</v>
      </c>
      <c r="KW2">
        <f>SOFR3mo_PX[[#This Row],[Column309]]</f>
        <v>45399</v>
      </c>
      <c r="KX2">
        <f>SOFR3mo_PX[[#This Row],[Column310]]</f>
        <v>45398</v>
      </c>
      <c r="KY2">
        <f>SOFR3mo_PX[[#This Row],[Column311]]</f>
        <v>45397</v>
      </c>
      <c r="KZ2">
        <f>SOFR3mo_PX[[#This Row],[Column312]]</f>
        <v>45394</v>
      </c>
      <c r="LA2">
        <f>SOFR3mo_PX[[#This Row],[Column313]]</f>
        <v>45393</v>
      </c>
      <c r="LB2">
        <f>SOFR3mo_PX[[#This Row],[Column314]]</f>
        <v>45392</v>
      </c>
      <c r="LC2">
        <f>SOFR3mo_PX[[#This Row],[Column315]]</f>
        <v>45391</v>
      </c>
      <c r="LD2">
        <f>SOFR3mo_PX[[#This Row],[Column316]]</f>
        <v>45390</v>
      </c>
      <c r="LE2">
        <f>SOFR3mo_PX[[#This Row],[Column317]]</f>
        <v>45387</v>
      </c>
      <c r="LF2">
        <f>SOFR3mo_PX[[#This Row],[Column318]]</f>
        <v>45386</v>
      </c>
      <c r="LG2">
        <f>SOFR3mo_PX[[#This Row],[Column319]]</f>
        <v>45385</v>
      </c>
      <c r="LH2">
        <f>SOFR3mo_PX[[#This Row],[Column320]]</f>
        <v>45384</v>
      </c>
      <c r="LI2">
        <f>SOFR3mo_PX[[#This Row],[Column321]]</f>
        <v>45383</v>
      </c>
      <c r="LJ2">
        <f>SOFR3mo_PX[[#This Row],[Column322]]</f>
        <v>45380</v>
      </c>
      <c r="LK2">
        <f>SOFR3mo_PX[[#This Row],[Column323]]</f>
        <v>45379</v>
      </c>
      <c r="LL2">
        <f>SOFR3mo_PX[[#This Row],[Column324]]</f>
        <v>45378</v>
      </c>
      <c r="LM2">
        <f>SOFR3mo_PX[[#This Row],[Column325]]</f>
        <v>45377</v>
      </c>
      <c r="LN2">
        <f>SOFR3mo_PX[[#This Row],[Column326]]</f>
        <v>45376</v>
      </c>
      <c r="LO2">
        <f>SOFR3mo_PX[[#This Row],[Column327]]</f>
        <v>45373</v>
      </c>
      <c r="LP2">
        <f>SOFR3mo_PX[[#This Row],[Column328]]</f>
        <v>45372</v>
      </c>
      <c r="LQ2">
        <f>SOFR3mo_PX[[#This Row],[Column329]]</f>
        <v>45371</v>
      </c>
      <c r="LR2">
        <f>SOFR3mo_PX[[#This Row],[Column330]]</f>
        <v>45370</v>
      </c>
      <c r="LS2">
        <f>SOFR3mo_PX[[#This Row],[Column331]]</f>
        <v>45369</v>
      </c>
      <c r="LT2">
        <f>SOFR3mo_PX[[#This Row],[Column332]]</f>
        <v>45366</v>
      </c>
      <c r="LU2">
        <f>SOFR3mo_PX[[#This Row],[Column333]]</f>
        <v>45365</v>
      </c>
      <c r="LV2">
        <f>SOFR3mo_PX[[#This Row],[Column334]]</f>
        <v>45364</v>
      </c>
      <c r="LW2">
        <f>SOFR3mo_PX[[#This Row],[Column335]]</f>
        <v>45363</v>
      </c>
      <c r="LX2">
        <f>SOFR3mo_PX[[#This Row],[Column336]]</f>
        <v>45362</v>
      </c>
      <c r="LY2">
        <f>SOFR3mo_PX[[#This Row],[Column337]]</f>
        <v>45359</v>
      </c>
      <c r="LZ2">
        <f>SOFR3mo_PX[[#This Row],[Column338]]</f>
        <v>45358</v>
      </c>
      <c r="MA2">
        <f>SOFR3mo_PX[[#This Row],[Column339]]</f>
        <v>45357</v>
      </c>
      <c r="MB2">
        <f>SOFR3mo_PX[[#This Row],[Column340]]</f>
        <v>45356</v>
      </c>
      <c r="MC2">
        <f>SOFR3mo_PX[[#This Row],[Column341]]</f>
        <v>45355</v>
      </c>
      <c r="MD2">
        <f>SOFR3mo_PX[[#This Row],[Column342]]</f>
        <v>45352</v>
      </c>
      <c r="ME2">
        <f>SOFR3mo_PX[[#This Row],[Column343]]</f>
        <v>45351</v>
      </c>
      <c r="MF2">
        <f>SOFR3mo_PX[[#This Row],[Column344]]</f>
        <v>45350</v>
      </c>
      <c r="MG2">
        <f>SOFR3mo_PX[[#This Row],[Column345]]</f>
        <v>45349</v>
      </c>
      <c r="MH2">
        <f>SOFR3mo_PX[[#This Row],[Column346]]</f>
        <v>45348</v>
      </c>
      <c r="MI2">
        <f>SOFR3mo_PX[[#This Row],[Column347]]</f>
        <v>45345</v>
      </c>
      <c r="MJ2">
        <f>SOFR3mo_PX[[#This Row],[Column348]]</f>
        <v>45344</v>
      </c>
      <c r="MK2">
        <f>SOFR3mo_PX[[#This Row],[Column349]]</f>
        <v>45343</v>
      </c>
      <c r="ML2">
        <f>SOFR3mo_PX[[#This Row],[Column350]]</f>
        <v>45342</v>
      </c>
      <c r="MM2">
        <f>SOFR3mo_PX[[#This Row],[Column351]]</f>
        <v>45341</v>
      </c>
      <c r="MN2">
        <f>SOFR3mo_PX[[#This Row],[Column352]]</f>
        <v>45338</v>
      </c>
      <c r="MO2">
        <f>SOFR3mo_PX[[#This Row],[Column353]]</f>
        <v>45337</v>
      </c>
      <c r="MP2">
        <f>SOFR3mo_PX[[#This Row],[Column354]]</f>
        <v>45336</v>
      </c>
      <c r="MQ2">
        <f>SOFR3mo_PX[[#This Row],[Column355]]</f>
        <v>45335</v>
      </c>
      <c r="MR2">
        <f>SOFR3mo_PX[[#This Row],[Column356]]</f>
        <v>45334</v>
      </c>
      <c r="MS2">
        <f>SOFR3mo_PX[[#This Row],[Column357]]</f>
        <v>45331</v>
      </c>
      <c r="MT2">
        <f>SOFR3mo_PX[[#This Row],[Column358]]</f>
        <v>45330</v>
      </c>
      <c r="MU2">
        <f>SOFR3mo_PX[[#This Row],[Column359]]</f>
        <v>45329</v>
      </c>
      <c r="MV2">
        <f>SOFR3mo_PX[[#This Row],[Column360]]</f>
        <v>45328</v>
      </c>
      <c r="MW2">
        <f>SOFR3mo_PX[[#This Row],[Column361]]</f>
        <v>45327</v>
      </c>
      <c r="MX2">
        <f>SOFR3mo_PX[[#This Row],[Column362]]</f>
        <v>45324</v>
      </c>
      <c r="MY2">
        <f>SOFR3mo_PX[[#This Row],[Column363]]</f>
        <v>45323</v>
      </c>
      <c r="MZ2">
        <f>SOFR3mo_PX[[#This Row],[Column364]]</f>
        <v>45322</v>
      </c>
      <c r="NA2">
        <f>SOFR3mo_PX[[#This Row],[Column365]]</f>
        <v>45321</v>
      </c>
      <c r="NB2">
        <f>SOFR3mo_PX[[#This Row],[Column366]]</f>
        <v>45320</v>
      </c>
      <c r="NC2">
        <f>SOFR3mo_PX[[#This Row],[Column367]]</f>
        <v>45317</v>
      </c>
      <c r="ND2">
        <f>SOFR3mo_PX[[#This Row],[Column368]]</f>
        <v>45316</v>
      </c>
      <c r="NE2">
        <f>SOFR3mo_PX[[#This Row],[Column369]]</f>
        <v>45315</v>
      </c>
      <c r="NF2">
        <f>SOFR3mo_PX[[#This Row],[Column370]]</f>
        <v>45314</v>
      </c>
      <c r="NG2">
        <f>SOFR3mo_PX[[#This Row],[Column371]]</f>
        <v>45313</v>
      </c>
      <c r="NH2">
        <f>SOFR3mo_PX[[#This Row],[Column372]]</f>
        <v>45310</v>
      </c>
      <c r="NI2">
        <f>SOFR3mo_PX[[#This Row],[Column373]]</f>
        <v>45309</v>
      </c>
      <c r="NJ2">
        <f>SOFR3mo_PX[[#This Row],[Column374]]</f>
        <v>45308</v>
      </c>
      <c r="NK2">
        <f>SOFR3mo_PX[[#This Row],[Column375]]</f>
        <v>45307</v>
      </c>
      <c r="NL2">
        <f>SOFR3mo_PX[[#This Row],[Column376]]</f>
        <v>45306</v>
      </c>
      <c r="NM2">
        <f>SOFR3mo_PX[[#This Row],[Column377]]</f>
        <v>45303</v>
      </c>
      <c r="NN2">
        <f>SOFR3mo_PX[[#This Row],[Column378]]</f>
        <v>45302</v>
      </c>
      <c r="NO2">
        <f>SOFR3mo_PX[[#This Row],[Column379]]</f>
        <v>45301</v>
      </c>
      <c r="NP2">
        <f>SOFR3mo_PX[[#This Row],[Column380]]</f>
        <v>45300</v>
      </c>
      <c r="NQ2">
        <f>SOFR3mo_PX[[#This Row],[Column381]]</f>
        <v>45299</v>
      </c>
      <c r="NR2">
        <f>SOFR3mo_PX[[#This Row],[Column382]]</f>
        <v>45296</v>
      </c>
      <c r="NS2">
        <f>SOFR3mo_PX[[#This Row],[Column383]]</f>
        <v>45295</v>
      </c>
      <c r="NT2">
        <f>SOFR3mo_PX[[#This Row],[Column384]]</f>
        <v>45294</v>
      </c>
      <c r="NU2">
        <f>SOFR3mo_PX[[#This Row],[Column385]]</f>
        <v>45293</v>
      </c>
      <c r="NV2">
        <f>SOFR3mo_PX[[#This Row],[Column386]]</f>
        <v>45292</v>
      </c>
      <c r="NW2">
        <f>SOFR3mo_PX[[#This Row],[Column387]]</f>
        <v>45289</v>
      </c>
      <c r="NX2">
        <f>SOFR3mo_PX[[#This Row],[Column388]]</f>
        <v>45288</v>
      </c>
      <c r="NY2">
        <f>SOFR3mo_PX[[#This Row],[Column389]]</f>
        <v>45287</v>
      </c>
      <c r="NZ2">
        <f>SOFR3mo_PX[[#This Row],[Column390]]</f>
        <v>45286</v>
      </c>
      <c r="OA2">
        <f>SOFR3mo_PX[[#This Row],[Column391]]</f>
        <v>45285</v>
      </c>
      <c r="OB2">
        <f>SOFR3mo_PX[[#This Row],[Column392]]</f>
        <v>45282</v>
      </c>
      <c r="OC2">
        <f>SOFR3mo_PX[[#This Row],[Column393]]</f>
        <v>45281</v>
      </c>
      <c r="OD2">
        <f>SOFR3mo_PX[[#This Row],[Column394]]</f>
        <v>45280</v>
      </c>
      <c r="OE2">
        <f>SOFR3mo_PX[[#This Row],[Column395]]</f>
        <v>45279</v>
      </c>
      <c r="OF2">
        <f>SOFR3mo_PX[[#This Row],[Column396]]</f>
        <v>45278</v>
      </c>
      <c r="OG2">
        <f>SOFR3mo_PX[[#This Row],[Column397]]</f>
        <v>45275</v>
      </c>
      <c r="OH2">
        <f>SOFR3mo_PX[[#This Row],[Column398]]</f>
        <v>45274</v>
      </c>
      <c r="OI2">
        <f>SOFR3mo_PX[[#This Row],[Column399]]</f>
        <v>45273</v>
      </c>
      <c r="OJ2">
        <f>SOFR3mo_PX[[#This Row],[Column400]]</f>
        <v>45272</v>
      </c>
      <c r="OK2">
        <f>SOFR3mo_PX[[#This Row],[Column401]]</f>
        <v>45271</v>
      </c>
      <c r="OL2">
        <f>SOFR3mo_PX[[#This Row],[Column402]]</f>
        <v>45268</v>
      </c>
      <c r="OM2">
        <f>SOFR3mo_PX[[#This Row],[Column403]]</f>
        <v>45267</v>
      </c>
      <c r="ON2">
        <f>SOFR3mo_PX[[#This Row],[Column404]]</f>
        <v>45266</v>
      </c>
      <c r="OO2">
        <f>SOFR3mo_PX[[#This Row],[Column405]]</f>
        <v>45265</v>
      </c>
      <c r="OP2">
        <f>SOFR3mo_PX[[#This Row],[Column406]]</f>
        <v>45264</v>
      </c>
      <c r="OQ2">
        <f>SOFR3mo_PX[[#This Row],[Column407]]</f>
        <v>45261</v>
      </c>
      <c r="OR2">
        <f>SOFR3mo_PX[[#This Row],[Column408]]</f>
        <v>45260</v>
      </c>
      <c r="OS2">
        <f>SOFR3mo_PX[[#This Row],[Column409]]</f>
        <v>45259</v>
      </c>
      <c r="OT2">
        <f>SOFR3mo_PX[[#This Row],[Column410]]</f>
        <v>45258</v>
      </c>
      <c r="OU2">
        <f>SOFR3mo_PX[[#This Row],[Column411]]</f>
        <v>45257</v>
      </c>
      <c r="OV2">
        <f>SOFR3mo_PX[[#This Row],[Column412]]</f>
        <v>45254</v>
      </c>
      <c r="OW2">
        <f>SOFR3mo_PX[[#This Row],[Column413]]</f>
        <v>45253</v>
      </c>
      <c r="OX2">
        <f>SOFR3mo_PX[[#This Row],[Column414]]</f>
        <v>45252</v>
      </c>
      <c r="OY2">
        <f>SOFR3mo_PX[[#This Row],[Column415]]</f>
        <v>45251</v>
      </c>
      <c r="OZ2">
        <f>SOFR3mo_PX[[#This Row],[Column416]]</f>
        <v>45250</v>
      </c>
      <c r="PA2">
        <f>SOFR3mo_PX[[#This Row],[Column417]]</f>
        <v>45247</v>
      </c>
      <c r="PB2">
        <f>SOFR3mo_PX[[#This Row],[Column418]]</f>
        <v>45246</v>
      </c>
      <c r="PC2">
        <f>SOFR3mo_PX[[#This Row],[Column419]]</f>
        <v>45245</v>
      </c>
      <c r="PD2">
        <f>SOFR3mo_PX[[#This Row],[Column420]]</f>
        <v>45244</v>
      </c>
      <c r="PE2">
        <f>SOFR3mo_PX[[#This Row],[Column421]]</f>
        <v>45243</v>
      </c>
      <c r="PF2">
        <f>SOFR3mo_PX[[#This Row],[Column422]]</f>
        <v>45240</v>
      </c>
      <c r="PG2">
        <f>SOFR3mo_PX[[#This Row],[Column423]]</f>
        <v>45239</v>
      </c>
      <c r="PH2">
        <f>SOFR3mo_PX[[#This Row],[Column424]]</f>
        <v>45238</v>
      </c>
      <c r="PI2">
        <f>SOFR3mo_PX[[#This Row],[Column425]]</f>
        <v>45237</v>
      </c>
      <c r="PJ2">
        <f>SOFR3mo_PX[[#This Row],[Column426]]</f>
        <v>45236</v>
      </c>
      <c r="PK2">
        <f>SOFR3mo_PX[[#This Row],[Column427]]</f>
        <v>45233</v>
      </c>
      <c r="PL2">
        <f>SOFR3mo_PX[[#This Row],[Column428]]</f>
        <v>45232</v>
      </c>
      <c r="PM2">
        <f>SOFR3mo_PX[[#This Row],[Column429]]</f>
        <v>45231</v>
      </c>
      <c r="PN2">
        <f>SOFR3mo_PX[[#This Row],[Column430]]</f>
        <v>45230</v>
      </c>
      <c r="PO2">
        <f>SOFR3mo_PX[[#This Row],[Column431]]</f>
        <v>45229</v>
      </c>
      <c r="PP2">
        <f>SOFR3mo_PX[[#This Row],[Column432]]</f>
        <v>45226</v>
      </c>
      <c r="PQ2">
        <f>SOFR3mo_PX[[#This Row],[Column433]]</f>
        <v>45225</v>
      </c>
      <c r="PR2">
        <f>SOFR3mo_PX[[#This Row],[Column434]]</f>
        <v>45224</v>
      </c>
      <c r="PS2">
        <f>SOFR3mo_PX[[#This Row],[Column435]]</f>
        <v>45223</v>
      </c>
      <c r="PT2">
        <f>SOFR3mo_PX[[#This Row],[Column436]]</f>
        <v>45222</v>
      </c>
      <c r="PU2">
        <f>SOFR3mo_PX[[#This Row],[Column437]]</f>
        <v>45219</v>
      </c>
      <c r="PV2">
        <f>SOFR3mo_PX[[#This Row],[Column438]]</f>
        <v>45218</v>
      </c>
      <c r="PW2">
        <f>SOFR3mo_PX[[#This Row],[Column439]]</f>
        <v>45217</v>
      </c>
      <c r="PX2">
        <f>SOFR3mo_PX[[#This Row],[Column440]]</f>
        <v>45216</v>
      </c>
      <c r="PY2">
        <f>SOFR3mo_PX[[#This Row],[Column441]]</f>
        <v>45215</v>
      </c>
      <c r="PZ2">
        <f>SOFR3mo_PX[[#This Row],[Column442]]</f>
        <v>45212</v>
      </c>
      <c r="QA2">
        <f>SOFR3mo_PX[[#This Row],[Column443]]</f>
        <v>45211</v>
      </c>
      <c r="QB2">
        <f>SOFR3mo_PX[[#This Row],[Column444]]</f>
        <v>45210</v>
      </c>
      <c r="QC2">
        <f>SOFR3mo_PX[[#This Row],[Column445]]</f>
        <v>45209</v>
      </c>
      <c r="QD2">
        <f>SOFR3mo_PX[[#This Row],[Column446]]</f>
        <v>45208</v>
      </c>
      <c r="QE2">
        <f>SOFR3mo_PX[[#This Row],[Column447]]</f>
        <v>45205</v>
      </c>
      <c r="QF2">
        <f>SOFR3mo_PX[[#This Row],[Column448]]</f>
        <v>45204</v>
      </c>
      <c r="QG2">
        <f>SOFR3mo_PX[[#This Row],[Column449]]</f>
        <v>45203</v>
      </c>
      <c r="QH2">
        <f>SOFR3mo_PX[[#This Row],[Column450]]</f>
        <v>45202</v>
      </c>
      <c r="QI2">
        <f>SOFR3mo_PX[[#This Row],[Column451]]</f>
        <v>45201</v>
      </c>
      <c r="QJ2">
        <f>SOFR3mo_PX[[#This Row],[Column452]]</f>
        <v>45198</v>
      </c>
      <c r="QK2">
        <f>SOFR3mo_PX[[#This Row],[Column453]]</f>
        <v>45197</v>
      </c>
      <c r="QL2">
        <f>SOFR3mo_PX[[#This Row],[Column454]]</f>
        <v>45196</v>
      </c>
      <c r="QM2">
        <f>SOFR3mo_PX[[#This Row],[Column455]]</f>
        <v>45195</v>
      </c>
      <c r="QN2">
        <f>SOFR3mo_PX[[#This Row],[Column456]]</f>
        <v>45194</v>
      </c>
      <c r="QO2">
        <f>SOFR3mo_PX[[#This Row],[Column457]]</f>
        <v>45191</v>
      </c>
      <c r="QP2">
        <f>SOFR3mo_PX[[#This Row],[Column458]]</f>
        <v>45190</v>
      </c>
      <c r="QQ2">
        <f>SOFR3mo_PX[[#This Row],[Column459]]</f>
        <v>45189</v>
      </c>
      <c r="QR2">
        <f>SOFR3mo_PX[[#This Row],[Column460]]</f>
        <v>45188</v>
      </c>
      <c r="QS2">
        <f>SOFR3mo_PX[[#This Row],[Column461]]</f>
        <v>45187</v>
      </c>
      <c r="QT2">
        <f>SOFR3mo_PX[[#This Row],[Column462]]</f>
        <v>45184</v>
      </c>
      <c r="QU2">
        <f>SOFR3mo_PX[[#This Row],[Column463]]</f>
        <v>45183</v>
      </c>
      <c r="QV2">
        <f>SOFR3mo_PX[[#This Row],[Column464]]</f>
        <v>45182</v>
      </c>
      <c r="QW2">
        <f>SOFR3mo_PX[[#This Row],[Column465]]</f>
        <v>45181</v>
      </c>
      <c r="QX2">
        <f>SOFR3mo_PX[[#This Row],[Column466]]</f>
        <v>45180</v>
      </c>
      <c r="QY2">
        <f>SOFR3mo_PX[[#This Row],[Column467]]</f>
        <v>45177</v>
      </c>
      <c r="QZ2">
        <f>SOFR3mo_PX[[#This Row],[Column468]]</f>
        <v>45176</v>
      </c>
      <c r="RA2">
        <f>SOFR3mo_PX[[#This Row],[Column469]]</f>
        <v>45175</v>
      </c>
      <c r="RB2">
        <f>SOFR3mo_PX[[#This Row],[Column470]]</f>
        <v>45174</v>
      </c>
      <c r="RC2">
        <f>SOFR3mo_PX[[#This Row],[Column471]]</f>
        <v>45173</v>
      </c>
      <c r="RD2">
        <f>SOFR3mo_PX[[#This Row],[Column472]]</f>
        <v>45170</v>
      </c>
      <c r="RE2">
        <f>SOFR3mo_PX[[#This Row],[Column473]]</f>
        <v>45169</v>
      </c>
      <c r="RF2">
        <f>SOFR3mo_PX[[#This Row],[Column474]]</f>
        <v>45168</v>
      </c>
      <c r="RG2">
        <f>SOFR3mo_PX[[#This Row],[Column475]]</f>
        <v>45167</v>
      </c>
      <c r="RH2">
        <f>SOFR3mo_PX[[#This Row],[Column476]]</f>
        <v>45166</v>
      </c>
      <c r="RI2">
        <f>SOFR3mo_PX[[#This Row],[Column477]]</f>
        <v>45163</v>
      </c>
      <c r="RJ2">
        <f>SOFR3mo_PX[[#This Row],[Column478]]</f>
        <v>45162</v>
      </c>
      <c r="RK2">
        <f>SOFR3mo_PX[[#This Row],[Column479]]</f>
        <v>45161</v>
      </c>
      <c r="RL2">
        <f>SOFR3mo_PX[[#This Row],[Column480]]</f>
        <v>45160</v>
      </c>
      <c r="RM2">
        <f>SOFR3mo_PX[[#This Row],[Column481]]</f>
        <v>45159</v>
      </c>
      <c r="RN2">
        <f>SOFR3mo_PX[[#This Row],[Column482]]</f>
        <v>45156</v>
      </c>
      <c r="RO2">
        <f>SOFR3mo_PX[[#This Row],[Column483]]</f>
        <v>45155</v>
      </c>
      <c r="RP2">
        <f>SOFR3mo_PX[[#This Row],[Column484]]</f>
        <v>45154</v>
      </c>
      <c r="RQ2">
        <f>SOFR3mo_PX[[#This Row],[Column485]]</f>
        <v>45153</v>
      </c>
      <c r="RR2">
        <f>SOFR3mo_PX[[#This Row],[Column486]]</f>
        <v>45152</v>
      </c>
      <c r="RS2">
        <f>SOFR3mo_PX[[#This Row],[Column487]]</f>
        <v>45149</v>
      </c>
      <c r="RT2">
        <f>SOFR3mo_PX[[#This Row],[Column488]]</f>
        <v>45148</v>
      </c>
      <c r="RU2">
        <f>SOFR3mo_PX[[#This Row],[Column489]]</f>
        <v>45147</v>
      </c>
      <c r="RV2">
        <f>SOFR3mo_PX[[#This Row],[Column490]]</f>
        <v>45146</v>
      </c>
      <c r="RW2">
        <f>SOFR3mo_PX[[#This Row],[Column491]]</f>
        <v>45145</v>
      </c>
      <c r="RX2">
        <f>SOFR3mo_PX[[#This Row],[Column492]]</f>
        <v>45142</v>
      </c>
      <c r="RY2">
        <f>SOFR3mo_PX[[#This Row],[Column493]]</f>
        <v>45141</v>
      </c>
      <c r="RZ2">
        <f>SOFR3mo_PX[[#This Row],[Column494]]</f>
        <v>45140</v>
      </c>
      <c r="SA2">
        <f>SOFR3mo_PX[[#This Row],[Column495]]</f>
        <v>45139</v>
      </c>
      <c r="SB2">
        <f>SOFR3mo_PX[[#This Row],[Column496]]</f>
        <v>45138</v>
      </c>
      <c r="SC2">
        <f>SOFR3mo_PX[[#This Row],[Column497]]</f>
        <v>45135</v>
      </c>
      <c r="SD2">
        <f>SOFR3mo_PX[[#This Row],[Column498]]</f>
        <v>45134</v>
      </c>
      <c r="SE2">
        <f>SOFR3mo_PX[[#This Row],[Column499]]</f>
        <v>45133</v>
      </c>
      <c r="SF2">
        <f>SOFR3mo_PX[[#This Row],[Column500]]</f>
        <v>45132</v>
      </c>
      <c r="SG2">
        <f>SOFR3mo_PX[[#This Row],[Column501]]</f>
        <v>45131</v>
      </c>
      <c r="SH2">
        <f>SOFR3mo_PX[[#This Row],[Column502]]</f>
        <v>45128</v>
      </c>
      <c r="SI2">
        <f>SOFR3mo_PX[[#This Row],[Column503]]</f>
        <v>45127</v>
      </c>
      <c r="SJ2">
        <f>SOFR3mo_PX[[#This Row],[Column504]]</f>
        <v>45126</v>
      </c>
      <c r="SK2">
        <f>SOFR3mo_PX[[#This Row],[Column505]]</f>
        <v>45125</v>
      </c>
      <c r="SL2">
        <f>SOFR3mo_PX[[#This Row],[Column506]]</f>
        <v>45124</v>
      </c>
      <c r="SM2">
        <f>SOFR3mo_PX[[#This Row],[Column507]]</f>
        <v>45121</v>
      </c>
      <c r="SN2">
        <f>SOFR3mo_PX[[#This Row],[Column508]]</f>
        <v>45120</v>
      </c>
      <c r="SO2">
        <f>SOFR3mo_PX[[#This Row],[Column509]]</f>
        <v>45119</v>
      </c>
      <c r="SP2">
        <f>SOFR3mo_PX[[#This Row],[Column510]]</f>
        <v>45118</v>
      </c>
      <c r="SQ2">
        <f>SOFR3mo_PX[[#This Row],[Column511]]</f>
        <v>45117</v>
      </c>
      <c r="SR2">
        <f>SOFR3mo_PX[[#This Row],[Column512]]</f>
        <v>45114</v>
      </c>
      <c r="SS2">
        <f>SOFR3mo_PX[[#This Row],[Column513]]</f>
        <v>45113</v>
      </c>
      <c r="ST2">
        <f>SOFR3mo_PX[[#This Row],[Column514]]</f>
        <v>45112</v>
      </c>
      <c r="SU2">
        <f>SOFR3mo_PX[[#This Row],[Column515]]</f>
        <v>45111</v>
      </c>
      <c r="SV2">
        <f>SOFR3mo_PX[[#This Row],[Column516]]</f>
        <v>45110</v>
      </c>
      <c r="SW2">
        <f>SOFR3mo_PX[[#This Row],[Column517]]</f>
        <v>45107</v>
      </c>
      <c r="SX2">
        <f>SOFR3mo_PX[[#This Row],[Column518]]</f>
        <v>45106</v>
      </c>
      <c r="SY2">
        <f>SOFR3mo_PX[[#This Row],[Column519]]</f>
        <v>45105</v>
      </c>
      <c r="SZ2">
        <f>SOFR3mo_PX[[#This Row],[Column520]]</f>
        <v>45104</v>
      </c>
      <c r="TA2">
        <f>SOFR3mo_PX[[#This Row],[Column521]]</f>
        <v>45103</v>
      </c>
      <c r="TB2">
        <f>SOFR3mo_PX[[#This Row],[Column522]]</f>
        <v>45100</v>
      </c>
      <c r="TC2">
        <f>SOFR3mo_PX[[#This Row],[Column523]]</f>
        <v>45099</v>
      </c>
      <c r="TD2">
        <f>SOFR3mo_PX[[#This Row],[Column524]]</f>
        <v>45098</v>
      </c>
      <c r="TE2">
        <f>SOFR3mo_PX[[#This Row],[Column525]]</f>
        <v>45097</v>
      </c>
      <c r="TF2">
        <f>SOFR3mo_PX[[#This Row],[Column526]]</f>
        <v>45096</v>
      </c>
      <c r="TG2">
        <f>SOFR3mo_PX[[#This Row],[Column527]]</f>
        <v>45093</v>
      </c>
      <c r="TH2">
        <f>SOFR3mo_PX[[#This Row],[Column528]]</f>
        <v>45092</v>
      </c>
      <c r="TI2">
        <f>SOFR3mo_PX[[#This Row],[Column529]]</f>
        <v>45091</v>
      </c>
      <c r="TJ2">
        <f>SOFR3mo_PX[[#This Row],[Column530]]</f>
        <v>45090</v>
      </c>
      <c r="TK2">
        <f>SOFR3mo_PX[[#This Row],[Column531]]</f>
        <v>45089</v>
      </c>
      <c r="TL2">
        <f>SOFR3mo_PX[[#This Row],[Column532]]</f>
        <v>45086</v>
      </c>
      <c r="TM2">
        <f>SOFR3mo_PX[[#This Row],[Column533]]</f>
        <v>45085</v>
      </c>
      <c r="TN2">
        <f>SOFR3mo_PX[[#This Row],[Column534]]</f>
        <v>45084</v>
      </c>
      <c r="TO2">
        <f>SOFR3mo_PX[[#This Row],[Column535]]</f>
        <v>45083</v>
      </c>
      <c r="TP2">
        <f>SOFR3mo_PX[[#This Row],[Column536]]</f>
        <v>45082</v>
      </c>
      <c r="TQ2">
        <f>SOFR3mo_PX[[#This Row],[Column537]]</f>
        <v>45079</v>
      </c>
      <c r="TR2">
        <f>SOFR3mo_PX[[#This Row],[Column538]]</f>
        <v>45078</v>
      </c>
      <c r="TS2">
        <f>SOFR3mo_PX[[#This Row],[Column539]]</f>
        <v>45077</v>
      </c>
      <c r="TT2">
        <f>SOFR3mo_PX[[#This Row],[Column540]]</f>
        <v>45076</v>
      </c>
      <c r="TU2">
        <f>SOFR3mo_PX[[#This Row],[Column541]]</f>
        <v>45075</v>
      </c>
      <c r="TV2">
        <f>SOFR3mo_PX[[#This Row],[Column542]]</f>
        <v>45072</v>
      </c>
      <c r="TW2">
        <f>SOFR3mo_PX[[#This Row],[Column543]]</f>
        <v>45071</v>
      </c>
      <c r="TX2">
        <f>SOFR3mo_PX[[#This Row],[Column544]]</f>
        <v>45070</v>
      </c>
      <c r="TY2">
        <f>SOFR3mo_PX[[#This Row],[Column545]]</f>
        <v>45069</v>
      </c>
      <c r="TZ2">
        <f>SOFR3mo_PX[[#This Row],[Column546]]</f>
        <v>45068</v>
      </c>
      <c r="UA2">
        <f>SOFR3mo_PX[[#This Row],[Column547]]</f>
        <v>45065</v>
      </c>
      <c r="UB2">
        <f>SOFR3mo_PX[[#This Row],[Column548]]</f>
        <v>45064</v>
      </c>
      <c r="UC2">
        <f>SOFR3mo_PX[[#This Row],[Column549]]</f>
        <v>45063</v>
      </c>
      <c r="UD2">
        <f>SOFR3mo_PX[[#This Row],[Column550]]</f>
        <v>45062</v>
      </c>
      <c r="UE2">
        <f>SOFR3mo_PX[[#This Row],[Column551]]</f>
        <v>45061</v>
      </c>
      <c r="UF2">
        <f>SOFR3mo_PX[[#This Row],[Column552]]</f>
        <v>45058</v>
      </c>
      <c r="UG2">
        <f>SOFR3mo_PX[[#This Row],[Column553]]</f>
        <v>45057</v>
      </c>
      <c r="UH2">
        <f>SOFR3mo_PX[[#This Row],[Column554]]</f>
        <v>45056</v>
      </c>
      <c r="UI2">
        <f>SOFR3mo_PX[[#This Row],[Column555]]</f>
        <v>45055</v>
      </c>
      <c r="UJ2">
        <f>SOFR3mo_PX[[#This Row],[Column556]]</f>
        <v>45054</v>
      </c>
      <c r="UK2">
        <f>SOFR3mo_PX[[#This Row],[Column557]]</f>
        <v>45051</v>
      </c>
      <c r="UL2">
        <f>SOFR3mo_PX[[#This Row],[Column558]]</f>
        <v>45050</v>
      </c>
      <c r="UM2">
        <f>SOFR3mo_PX[[#This Row],[Column559]]</f>
        <v>45049</v>
      </c>
      <c r="UN2">
        <f>SOFR3mo_PX[[#This Row],[Column560]]</f>
        <v>45048</v>
      </c>
      <c r="UO2">
        <f>SOFR3mo_PX[[#This Row],[Column561]]</f>
        <v>45047</v>
      </c>
      <c r="UP2">
        <f>SOFR3mo_PX[[#This Row],[Column562]]</f>
        <v>45044</v>
      </c>
      <c r="UQ2">
        <f>SOFR3mo_PX[[#This Row],[Column563]]</f>
        <v>45043</v>
      </c>
      <c r="UR2">
        <f>SOFR3mo_PX[[#This Row],[Column564]]</f>
        <v>45042</v>
      </c>
      <c r="US2">
        <f>SOFR3mo_PX[[#This Row],[Column565]]</f>
        <v>45041</v>
      </c>
      <c r="UT2">
        <f>SOFR3mo_PX[[#This Row],[Column566]]</f>
        <v>45040</v>
      </c>
      <c r="UU2">
        <f>SOFR3mo_PX[[#This Row],[Column567]]</f>
        <v>45037</v>
      </c>
      <c r="UV2">
        <f>SOFR3mo_PX[[#This Row],[Column568]]</f>
        <v>45036</v>
      </c>
      <c r="UW2">
        <f>SOFR3mo_PX[[#This Row],[Column569]]</f>
        <v>45035</v>
      </c>
      <c r="UX2">
        <f>SOFR3mo_PX[[#This Row],[Column570]]</f>
        <v>45034</v>
      </c>
      <c r="UY2">
        <f>SOFR3mo_PX[[#This Row],[Column571]]</f>
        <v>45033</v>
      </c>
      <c r="UZ2">
        <f>SOFR3mo_PX[[#This Row],[Column572]]</f>
        <v>45030</v>
      </c>
      <c r="VA2">
        <f>SOFR3mo_PX[[#This Row],[Column573]]</f>
        <v>45029</v>
      </c>
      <c r="VB2">
        <f>SOFR3mo_PX[[#This Row],[Column574]]</f>
        <v>45028</v>
      </c>
      <c r="VC2">
        <f>SOFR3mo_PX[[#This Row],[Column575]]</f>
        <v>45027</v>
      </c>
      <c r="VD2">
        <f>SOFR3mo_PX[[#This Row],[Column576]]</f>
        <v>45026</v>
      </c>
      <c r="VE2">
        <f>SOFR3mo_PX[[#This Row],[Column577]]</f>
        <v>45023</v>
      </c>
      <c r="VF2">
        <f>SOFR3mo_PX[[#This Row],[Column578]]</f>
        <v>45022</v>
      </c>
      <c r="VG2">
        <f>SOFR3mo_PX[[#This Row],[Column579]]</f>
        <v>45021</v>
      </c>
      <c r="VH2">
        <f>SOFR3mo_PX[[#This Row],[Column580]]</f>
        <v>45020</v>
      </c>
      <c r="VI2">
        <f>SOFR3mo_PX[[#This Row],[Column581]]</f>
        <v>45019</v>
      </c>
      <c r="VJ2">
        <f>SOFR3mo_PX[[#This Row],[Column582]]</f>
        <v>45016</v>
      </c>
      <c r="VK2">
        <f>SOFR3mo_PX[[#This Row],[Column583]]</f>
        <v>45015</v>
      </c>
      <c r="VL2">
        <f>SOFR3mo_PX[[#This Row],[Column584]]</f>
        <v>45014</v>
      </c>
      <c r="VM2">
        <f>SOFR3mo_PX[[#This Row],[Column585]]</f>
        <v>45013</v>
      </c>
      <c r="VN2">
        <f>SOFR3mo_PX[[#This Row],[Column586]]</f>
        <v>45012</v>
      </c>
      <c r="VO2">
        <f>SOFR3mo_PX[[#This Row],[Column587]]</f>
        <v>45009</v>
      </c>
      <c r="VP2">
        <f>SOFR3mo_PX[[#This Row],[Column588]]</f>
        <v>45008</v>
      </c>
      <c r="VQ2">
        <f>SOFR3mo_PX[[#This Row],[Column589]]</f>
        <v>45007</v>
      </c>
      <c r="VR2">
        <f>SOFR3mo_PX[[#This Row],[Column590]]</f>
        <v>45006</v>
      </c>
      <c r="VS2">
        <f>SOFR3mo_PX[[#This Row],[Column591]]</f>
        <v>45005</v>
      </c>
      <c r="VT2">
        <f>SOFR3mo_PX[[#This Row],[Column592]]</f>
        <v>45002</v>
      </c>
      <c r="VU2">
        <f>SOFR3mo_PX[[#This Row],[Column593]]</f>
        <v>45001</v>
      </c>
      <c r="VV2">
        <f>SOFR3mo_PX[[#This Row],[Column594]]</f>
        <v>45000</v>
      </c>
      <c r="VW2">
        <f>SOFR3mo_PX[[#This Row],[Column595]]</f>
        <v>44999</v>
      </c>
      <c r="VX2">
        <f>SOFR3mo_PX[[#This Row],[Column596]]</f>
        <v>44998</v>
      </c>
      <c r="VY2">
        <f>SOFR3mo_PX[[#This Row],[Column597]]</f>
        <v>44995</v>
      </c>
      <c r="VZ2">
        <f>SOFR3mo_PX[[#This Row],[Column598]]</f>
        <v>44994</v>
      </c>
      <c r="WA2">
        <f>SOFR3mo_PX[[#This Row],[Column599]]</f>
        <v>44993</v>
      </c>
      <c r="WB2">
        <f>SOFR3mo_PX[[#This Row],[Column600]]</f>
        <v>44992</v>
      </c>
      <c r="WC2">
        <f>SOFR3mo_PX[[#This Row],[Column601]]</f>
        <v>44991</v>
      </c>
      <c r="WD2">
        <f>SOFR3mo_PX[[#This Row],[Column602]]</f>
        <v>44988</v>
      </c>
      <c r="WE2">
        <f>SOFR3mo_PX[[#This Row],[Column603]]</f>
        <v>44987</v>
      </c>
      <c r="WF2">
        <f>SOFR3mo_PX[[#This Row],[Column604]]</f>
        <v>44986</v>
      </c>
      <c r="WG2">
        <f>SOFR3mo_PX[[#This Row],[Column605]]</f>
        <v>44985</v>
      </c>
      <c r="WH2">
        <f>SOFR3mo_PX[[#This Row],[Column606]]</f>
        <v>44984</v>
      </c>
      <c r="WI2">
        <f>SOFR3mo_PX[[#This Row],[Column607]]</f>
        <v>44981</v>
      </c>
      <c r="WJ2">
        <f>SOFR3mo_PX[[#This Row],[Column608]]</f>
        <v>44980</v>
      </c>
      <c r="WK2">
        <f>SOFR3mo_PX[[#This Row],[Column609]]</f>
        <v>44979</v>
      </c>
      <c r="WL2">
        <f>SOFR3mo_PX[[#This Row],[Column610]]</f>
        <v>44978</v>
      </c>
      <c r="WM2">
        <f>SOFR3mo_PX[[#This Row],[Column611]]</f>
        <v>44977</v>
      </c>
      <c r="WN2">
        <f>SOFR3mo_PX[[#This Row],[Column612]]</f>
        <v>44974</v>
      </c>
      <c r="WO2">
        <f>SOFR3mo_PX[[#This Row],[Column613]]</f>
        <v>44973</v>
      </c>
      <c r="WP2">
        <f>SOFR3mo_PX[[#This Row],[Column614]]</f>
        <v>44972</v>
      </c>
      <c r="WQ2">
        <f>SOFR3mo_PX[[#This Row],[Column615]]</f>
        <v>44971</v>
      </c>
      <c r="WR2">
        <f>SOFR3mo_PX[[#This Row],[Column616]]</f>
        <v>44970</v>
      </c>
      <c r="WS2">
        <f>SOFR3mo_PX[[#This Row],[Column617]]</f>
        <v>44967</v>
      </c>
      <c r="WT2">
        <f>SOFR3mo_PX[[#This Row],[Column618]]</f>
        <v>44966</v>
      </c>
      <c r="WU2">
        <f>SOFR3mo_PX[[#This Row],[Column619]]</f>
        <v>44965</v>
      </c>
      <c r="WV2">
        <f>SOFR3mo_PX[[#This Row],[Column620]]</f>
        <v>44964</v>
      </c>
      <c r="WW2">
        <f>SOFR3mo_PX[[#This Row],[Column621]]</f>
        <v>44963</v>
      </c>
      <c r="WX2">
        <f>SOFR3mo_PX[[#This Row],[Column622]]</f>
        <v>44960</v>
      </c>
      <c r="WY2">
        <f>SOFR3mo_PX[[#This Row],[Column623]]</f>
        <v>44959</v>
      </c>
      <c r="WZ2">
        <f>SOFR3mo_PX[[#This Row],[Column624]]</f>
        <v>44958</v>
      </c>
      <c r="XA2">
        <f>SOFR3mo_PX[[#This Row],[Column625]]</f>
        <v>44957</v>
      </c>
      <c r="XB2">
        <f>SOFR3mo_PX[[#This Row],[Column626]]</f>
        <v>44956</v>
      </c>
      <c r="XC2">
        <f>SOFR3mo_PX[[#This Row],[Column627]]</f>
        <v>44953</v>
      </c>
      <c r="XD2">
        <f>SOFR3mo_PX[[#This Row],[Column628]]</f>
        <v>44952</v>
      </c>
      <c r="XE2">
        <f>SOFR3mo_PX[[#This Row],[Column629]]</f>
        <v>44951</v>
      </c>
      <c r="XF2">
        <f>SOFR3mo_PX[[#This Row],[Column630]]</f>
        <v>44950</v>
      </c>
      <c r="XG2">
        <f>SOFR3mo_PX[[#This Row],[Column631]]</f>
        <v>44949</v>
      </c>
      <c r="XH2">
        <f>SOFR3mo_PX[[#This Row],[Column632]]</f>
        <v>44946</v>
      </c>
      <c r="XI2">
        <f>SOFR3mo_PX[[#This Row],[Column633]]</f>
        <v>44945</v>
      </c>
      <c r="XJ2">
        <f>SOFR3mo_PX[[#This Row],[Column634]]</f>
        <v>44944</v>
      </c>
      <c r="XK2">
        <f>SOFR3mo_PX[[#This Row],[Column635]]</f>
        <v>44943</v>
      </c>
      <c r="XL2">
        <f>SOFR3mo_PX[[#This Row],[Column636]]</f>
        <v>44942</v>
      </c>
      <c r="XM2">
        <f>SOFR3mo_PX[[#This Row],[Column637]]</f>
        <v>44939</v>
      </c>
      <c r="XN2">
        <f>SOFR3mo_PX[[#This Row],[Column638]]</f>
        <v>44938</v>
      </c>
      <c r="XO2">
        <f>SOFR3mo_PX[[#This Row],[Column639]]</f>
        <v>44937</v>
      </c>
      <c r="XP2">
        <f>SOFR3mo_PX[[#This Row],[Column640]]</f>
        <v>44936</v>
      </c>
      <c r="XQ2">
        <f>SOFR3mo_PX[[#This Row],[Column641]]</f>
        <v>44935</v>
      </c>
      <c r="XR2">
        <f>SOFR3mo_PX[[#This Row],[Column642]]</f>
        <v>44932</v>
      </c>
      <c r="XS2">
        <f>SOFR3mo_PX[[#This Row],[Column643]]</f>
        <v>44931</v>
      </c>
      <c r="XT2">
        <f>SOFR3mo_PX[[#This Row],[Column644]]</f>
        <v>44930</v>
      </c>
      <c r="XU2">
        <f>SOFR3mo_PX[[#This Row],[Column645]]</f>
        <v>44929</v>
      </c>
      <c r="XV2">
        <f>SOFR3mo_PX[[#This Row],[Column646]]</f>
        <v>44928</v>
      </c>
      <c r="XW2">
        <f>SOFR3mo_PX[[#This Row],[Column647]]</f>
        <v>44925</v>
      </c>
      <c r="XX2">
        <f>SOFR3mo_PX[[#This Row],[Column648]]</f>
        <v>44924</v>
      </c>
      <c r="XY2">
        <f>SOFR3mo_PX[[#This Row],[Column649]]</f>
        <v>44923</v>
      </c>
      <c r="XZ2">
        <f>SOFR3mo_PX[[#This Row],[Column650]]</f>
        <v>44922</v>
      </c>
      <c r="YA2">
        <f>SOFR3mo_PX[[#This Row],[Column651]]</f>
        <v>44921</v>
      </c>
      <c r="YB2">
        <f>SOFR3mo_PX[[#This Row],[Column652]]</f>
        <v>44918</v>
      </c>
      <c r="YC2">
        <f>SOFR3mo_PX[[#This Row],[Column653]]</f>
        <v>44917</v>
      </c>
      <c r="YD2">
        <f>SOFR3mo_PX[[#This Row],[Column654]]</f>
        <v>44916</v>
      </c>
      <c r="YE2">
        <f>SOFR3mo_PX[[#This Row],[Column655]]</f>
        <v>44915</v>
      </c>
      <c r="YF2">
        <f>SOFR3mo_PX[[#This Row],[Column656]]</f>
        <v>44914</v>
      </c>
      <c r="YG2">
        <f>SOFR3mo_PX[[#This Row],[Column657]]</f>
        <v>44911</v>
      </c>
      <c r="YH2">
        <f>SOFR3mo_PX[[#This Row],[Column658]]</f>
        <v>44910</v>
      </c>
      <c r="YI2">
        <f>SOFR3mo_PX[[#This Row],[Column659]]</f>
        <v>44909</v>
      </c>
      <c r="YJ2">
        <f>SOFR3mo_PX[[#This Row],[Column660]]</f>
        <v>44908</v>
      </c>
      <c r="YK2">
        <f>SOFR3mo_PX[[#This Row],[Column661]]</f>
        <v>44907</v>
      </c>
      <c r="YL2">
        <f>SOFR3mo_PX[[#This Row],[Column662]]</f>
        <v>44904</v>
      </c>
      <c r="YM2">
        <f>SOFR3mo_PX[[#This Row],[Column663]]</f>
        <v>44903</v>
      </c>
      <c r="YN2">
        <f>SOFR3mo_PX[[#This Row],[Column664]]</f>
        <v>44902</v>
      </c>
      <c r="YO2">
        <f>SOFR3mo_PX[[#This Row],[Column665]]</f>
        <v>44901</v>
      </c>
      <c r="YP2">
        <f>SOFR3mo_PX[[#This Row],[Column666]]</f>
        <v>44900</v>
      </c>
      <c r="YQ2">
        <f>SOFR3mo_PX[[#This Row],[Column667]]</f>
        <v>44897</v>
      </c>
      <c r="YR2">
        <f>SOFR3mo_PX[[#This Row],[Column668]]</f>
        <v>44896</v>
      </c>
      <c r="YS2">
        <f>SOFR3mo_PX[[#This Row],[Column669]]</f>
        <v>44895</v>
      </c>
      <c r="YT2">
        <f>SOFR3mo_PX[[#This Row],[Column670]]</f>
        <v>44894</v>
      </c>
      <c r="YU2">
        <f>SOFR3mo_PX[[#This Row],[Column671]]</f>
        <v>44893</v>
      </c>
      <c r="YV2">
        <f>SOFR3mo_PX[[#This Row],[Column672]]</f>
        <v>44890</v>
      </c>
      <c r="YW2">
        <f>SOFR3mo_PX[[#This Row],[Column673]]</f>
        <v>44889</v>
      </c>
      <c r="YX2">
        <f>SOFR3mo_PX[[#This Row],[Column674]]</f>
        <v>44888</v>
      </c>
      <c r="YY2">
        <f>SOFR3mo_PX[[#This Row],[Column675]]</f>
        <v>44887</v>
      </c>
      <c r="YZ2">
        <f>SOFR3mo_PX[[#This Row],[Column676]]</f>
        <v>44886</v>
      </c>
      <c r="ZA2">
        <f>SOFR3mo_PX[[#This Row],[Column677]]</f>
        <v>44883</v>
      </c>
      <c r="ZB2">
        <f>SOFR3mo_PX[[#This Row],[Column678]]</f>
        <v>44882</v>
      </c>
      <c r="ZC2">
        <f>SOFR3mo_PX[[#This Row],[Column679]]</f>
        <v>44881</v>
      </c>
      <c r="ZD2">
        <f>SOFR3mo_PX[[#This Row],[Column680]]</f>
        <v>44880</v>
      </c>
      <c r="ZE2">
        <f>SOFR3mo_PX[[#This Row],[Column681]]</f>
        <v>44879</v>
      </c>
      <c r="ZF2">
        <f>SOFR3mo_PX[[#This Row],[Column682]]</f>
        <v>44876</v>
      </c>
      <c r="ZG2">
        <f>SOFR3mo_PX[[#This Row],[Column683]]</f>
        <v>44875</v>
      </c>
      <c r="ZH2">
        <f>SOFR3mo_PX[[#This Row],[Column684]]</f>
        <v>44874</v>
      </c>
      <c r="ZI2">
        <f>SOFR3mo_PX[[#This Row],[Column685]]</f>
        <v>44873</v>
      </c>
      <c r="ZJ2">
        <f>SOFR3mo_PX[[#This Row],[Column686]]</f>
        <v>44872</v>
      </c>
      <c r="ZK2">
        <f>SOFR3mo_PX[[#This Row],[Column687]]</f>
        <v>44869</v>
      </c>
      <c r="ZL2">
        <f>SOFR3mo_PX[[#This Row],[Column688]]</f>
        <v>44868</v>
      </c>
      <c r="ZM2">
        <f>SOFR3mo_PX[[#This Row],[Column689]]</f>
        <v>44867</v>
      </c>
      <c r="ZN2">
        <f>SOFR3mo_PX[[#This Row],[Column690]]</f>
        <v>44866</v>
      </c>
      <c r="ZO2">
        <f>SOFR3mo_PX[[#This Row],[Column691]]</f>
        <v>44865</v>
      </c>
      <c r="ZP2">
        <f>SOFR3mo_PX[[#This Row],[Column692]]</f>
        <v>44862</v>
      </c>
      <c r="ZQ2">
        <f>SOFR3mo_PX[[#This Row],[Column693]]</f>
        <v>44861</v>
      </c>
      <c r="ZR2">
        <f>SOFR3mo_PX[[#This Row],[Column694]]</f>
        <v>44860</v>
      </c>
      <c r="ZS2">
        <f>SOFR3mo_PX[[#This Row],[Column695]]</f>
        <v>44859</v>
      </c>
      <c r="ZT2">
        <f>SOFR3mo_PX[[#This Row],[Column696]]</f>
        <v>44858</v>
      </c>
      <c r="ZU2">
        <f>SOFR3mo_PX[[#This Row],[Column697]]</f>
        <v>44855</v>
      </c>
      <c r="ZV2">
        <f>SOFR3mo_PX[[#This Row],[Column698]]</f>
        <v>44854</v>
      </c>
      <c r="ZW2">
        <f>SOFR3mo_PX[[#This Row],[Column699]]</f>
        <v>44853</v>
      </c>
      <c r="ZX2">
        <f>SOFR3mo_PX[[#This Row],[Column700]]</f>
        <v>44852</v>
      </c>
      <c r="ZY2">
        <f>SOFR3mo_PX[[#This Row],[Column701]]</f>
        <v>44851</v>
      </c>
      <c r="ZZ2">
        <f>SOFR3mo_PX[[#This Row],[Column702]]</f>
        <v>44848</v>
      </c>
      <c r="AAA2">
        <f>SOFR3mo_PX[[#This Row],[Column703]]</f>
        <v>44847</v>
      </c>
      <c r="AAB2">
        <f>SOFR3mo_PX[[#This Row],[Column704]]</f>
        <v>44846</v>
      </c>
      <c r="AAC2">
        <f>SOFR3mo_PX[[#This Row],[Column705]]</f>
        <v>44845</v>
      </c>
      <c r="AAD2">
        <f>SOFR3mo_PX[[#This Row],[Column706]]</f>
        <v>44844</v>
      </c>
      <c r="AAE2">
        <f>SOFR3mo_PX[[#This Row],[Column707]]</f>
        <v>44841</v>
      </c>
      <c r="AAF2">
        <f>SOFR3mo_PX[[#This Row],[Column708]]</f>
        <v>44840</v>
      </c>
      <c r="AAG2">
        <f>SOFR3mo_PX[[#This Row],[Column709]]</f>
        <v>44839</v>
      </c>
      <c r="AAH2">
        <f>SOFR3mo_PX[[#This Row],[Column710]]</f>
        <v>44838</v>
      </c>
      <c r="AAI2">
        <f>SOFR3mo_PX[[#This Row],[Column711]]</f>
        <v>44837</v>
      </c>
      <c r="AAJ2">
        <f>SOFR3mo_PX[[#This Row],[Column712]]</f>
        <v>44834</v>
      </c>
      <c r="AAK2">
        <f>SOFR3mo_PX[[#This Row],[Column713]]</f>
        <v>44833</v>
      </c>
      <c r="AAL2">
        <f>SOFR3mo_PX[[#This Row],[Column714]]</f>
        <v>44832</v>
      </c>
      <c r="AAM2">
        <f>SOFR3mo_PX[[#This Row],[Column715]]</f>
        <v>44831</v>
      </c>
      <c r="AAN2">
        <f>SOFR3mo_PX[[#This Row],[Column716]]</f>
        <v>44830</v>
      </c>
      <c r="AAO2">
        <f>SOFR3mo_PX[[#This Row],[Column717]]</f>
        <v>44827</v>
      </c>
      <c r="AAP2">
        <f>SOFR3mo_PX[[#This Row],[Column718]]</f>
        <v>44826</v>
      </c>
      <c r="AAQ2">
        <f>SOFR3mo_PX[[#This Row],[Column719]]</f>
        <v>44825</v>
      </c>
      <c r="AAR2">
        <f>SOFR3mo_PX[[#This Row],[Column720]]</f>
        <v>44824</v>
      </c>
      <c r="AAS2">
        <f>SOFR3mo_PX[[#This Row],[Column721]]</f>
        <v>44823</v>
      </c>
      <c r="AAT2">
        <f>SOFR3mo_PX[[#This Row],[Column722]]</f>
        <v>44820</v>
      </c>
      <c r="AAU2">
        <f>SOFR3mo_PX[[#This Row],[Column723]]</f>
        <v>44819</v>
      </c>
      <c r="AAV2">
        <f>SOFR3mo_PX[[#This Row],[Column724]]</f>
        <v>44818</v>
      </c>
      <c r="AAW2">
        <f>SOFR3mo_PX[[#This Row],[Column725]]</f>
        <v>44817</v>
      </c>
      <c r="AAX2">
        <f>SOFR3mo_PX[[#This Row],[Column726]]</f>
        <v>44816</v>
      </c>
      <c r="AAY2">
        <f>SOFR3mo_PX[[#This Row],[Column727]]</f>
        <v>44813</v>
      </c>
      <c r="AAZ2">
        <f>SOFR3mo_PX[[#This Row],[Column728]]</f>
        <v>44812</v>
      </c>
      <c r="ABA2">
        <f>SOFR3mo_PX[[#This Row],[Column729]]</f>
        <v>44811</v>
      </c>
      <c r="ABB2">
        <f>SOFR3mo_PX[[#This Row],[Column730]]</f>
        <v>44810</v>
      </c>
      <c r="ABC2">
        <f>SOFR3mo_PX[[#This Row],[Column731]]</f>
        <v>44809</v>
      </c>
      <c r="ABD2">
        <f>SOFR3mo_PX[[#This Row],[Column732]]</f>
        <v>44806</v>
      </c>
      <c r="ABE2">
        <f>SOFR3mo_PX[[#This Row],[Column733]]</f>
        <v>44805</v>
      </c>
      <c r="ABF2">
        <f>SOFR3mo_PX[[#This Row],[Column734]]</f>
        <v>44804</v>
      </c>
      <c r="ABG2">
        <f>SOFR3mo_PX[[#This Row],[Column735]]</f>
        <v>44803</v>
      </c>
      <c r="ABH2">
        <f>SOFR3mo_PX[[#This Row],[Column736]]</f>
        <v>44802</v>
      </c>
      <c r="ABI2">
        <f>SOFR3mo_PX[[#This Row],[Column737]]</f>
        <v>44799</v>
      </c>
      <c r="ABJ2">
        <f>SOFR3mo_PX[[#This Row],[Column738]]</f>
        <v>44798</v>
      </c>
      <c r="ABK2">
        <f>SOFR3mo_PX[[#This Row],[Column739]]</f>
        <v>44797</v>
      </c>
      <c r="ABL2">
        <f>SOFR3mo_PX[[#This Row],[Column740]]</f>
        <v>44796</v>
      </c>
      <c r="ABM2">
        <f>SOFR3mo_PX[[#This Row],[Column741]]</f>
        <v>44795</v>
      </c>
      <c r="ABN2">
        <f>SOFR3mo_PX[[#This Row],[Column742]]</f>
        <v>44792</v>
      </c>
      <c r="ABO2">
        <f>SOFR3mo_PX[[#This Row],[Column743]]</f>
        <v>44791</v>
      </c>
      <c r="ABP2">
        <f>SOFR3mo_PX[[#This Row],[Column744]]</f>
        <v>44790</v>
      </c>
      <c r="ABQ2">
        <f>SOFR3mo_PX[[#This Row],[Column745]]</f>
        <v>44789</v>
      </c>
      <c r="ABR2">
        <f>SOFR3mo_PX[[#This Row],[Column746]]</f>
        <v>44788</v>
      </c>
      <c r="ABS2">
        <f>SOFR3mo_PX[[#This Row],[Column747]]</f>
        <v>44785</v>
      </c>
      <c r="ABT2">
        <f>SOFR3mo_PX[[#This Row],[Column748]]</f>
        <v>44784</v>
      </c>
      <c r="ABU2">
        <f>SOFR3mo_PX[[#This Row],[Column749]]</f>
        <v>44783</v>
      </c>
      <c r="ABV2">
        <f>SOFR3mo_PX[[#This Row],[Column750]]</f>
        <v>44782</v>
      </c>
      <c r="ABW2">
        <f>SOFR3mo_PX[[#This Row],[Column751]]</f>
        <v>44781</v>
      </c>
      <c r="ABX2">
        <f>SOFR3mo_PX[[#This Row],[Column752]]</f>
        <v>44778</v>
      </c>
      <c r="ABY2">
        <f>SOFR3mo_PX[[#This Row],[Column753]]</f>
        <v>44777</v>
      </c>
      <c r="ABZ2">
        <f>SOFR3mo_PX[[#This Row],[Column754]]</f>
        <v>44776</v>
      </c>
      <c r="ACA2">
        <f>SOFR3mo_PX[[#This Row],[Column755]]</f>
        <v>44775</v>
      </c>
      <c r="ACB2">
        <f>SOFR3mo_PX[[#This Row],[Column756]]</f>
        <v>44774</v>
      </c>
      <c r="ACC2">
        <f>SOFR3mo_PX[[#This Row],[Column757]]</f>
        <v>44771</v>
      </c>
      <c r="ACD2">
        <f>SOFR3mo_PX[[#This Row],[Column758]]</f>
        <v>44770</v>
      </c>
      <c r="ACE2">
        <f>SOFR3mo_PX[[#This Row],[Column759]]</f>
        <v>44769</v>
      </c>
      <c r="ACF2">
        <f>SOFR3mo_PX[[#This Row],[Column760]]</f>
        <v>44768</v>
      </c>
      <c r="ACG2">
        <f>SOFR3mo_PX[[#This Row],[Column761]]</f>
        <v>44767</v>
      </c>
      <c r="ACH2">
        <f>SOFR3mo_PX[[#This Row],[Column762]]</f>
        <v>44764</v>
      </c>
      <c r="ACI2">
        <f>SOFR3mo_PX[[#This Row],[Column763]]</f>
        <v>44763</v>
      </c>
      <c r="ACJ2">
        <f>SOFR3mo_PX[[#This Row],[Column764]]</f>
        <v>44762</v>
      </c>
      <c r="ACK2">
        <f>SOFR3mo_PX[[#This Row],[Column765]]</f>
        <v>44761</v>
      </c>
      <c r="ACL2">
        <f>SOFR3mo_PX[[#This Row],[Column766]]</f>
        <v>44760</v>
      </c>
      <c r="ACM2">
        <f>SOFR3mo_PX[[#This Row],[Column767]]</f>
        <v>44757</v>
      </c>
      <c r="ACN2">
        <f>SOFR3mo_PX[[#This Row],[Column768]]</f>
        <v>44756</v>
      </c>
      <c r="ACO2">
        <f>SOFR3mo_PX[[#This Row],[Column769]]</f>
        <v>44755</v>
      </c>
      <c r="ACP2">
        <f>SOFR3mo_PX[[#This Row],[Column770]]</f>
        <v>44754</v>
      </c>
      <c r="ACQ2">
        <f>SOFR3mo_PX[[#This Row],[Column771]]</f>
        <v>44753</v>
      </c>
      <c r="ACR2">
        <f>SOFR3mo_PX[[#This Row],[Column772]]</f>
        <v>44750</v>
      </c>
      <c r="ACS2">
        <f>SOFR3mo_PX[[#This Row],[Column773]]</f>
        <v>44749</v>
      </c>
      <c r="ACT2">
        <f>SOFR3mo_PX[[#This Row],[Column774]]</f>
        <v>44748</v>
      </c>
      <c r="ACU2">
        <f>SOFR3mo_PX[[#This Row],[Column775]]</f>
        <v>44747</v>
      </c>
      <c r="ACV2">
        <f>SOFR3mo_PX[[#This Row],[Column776]]</f>
        <v>44746</v>
      </c>
      <c r="ACW2">
        <f>SOFR3mo_PX[[#This Row],[Column777]]</f>
        <v>44743</v>
      </c>
      <c r="ACX2">
        <f>SOFR3mo_PX[[#This Row],[Column778]]</f>
        <v>44742</v>
      </c>
      <c r="ACY2">
        <f>SOFR3mo_PX[[#This Row],[Column779]]</f>
        <v>44741</v>
      </c>
      <c r="ACZ2">
        <f>SOFR3mo_PX[[#This Row],[Column780]]</f>
        <v>44740</v>
      </c>
      <c r="ADA2">
        <f>SOFR3mo_PX[[#This Row],[Column781]]</f>
        <v>44739</v>
      </c>
      <c r="ADB2">
        <f>SOFR3mo_PX[[#This Row],[Column782]]</f>
        <v>44736</v>
      </c>
      <c r="ADC2">
        <f>SOFR3mo_PX[[#This Row],[Column783]]</f>
        <v>44735</v>
      </c>
      <c r="ADD2">
        <f>SOFR3mo_PX[[#This Row],[Column784]]</f>
        <v>44734</v>
      </c>
      <c r="ADE2">
        <f>SOFR3mo_PX[[#This Row],[Column785]]</f>
        <v>44733</v>
      </c>
      <c r="ADF2">
        <f>SOFR3mo_PX[[#This Row],[Column786]]</f>
        <v>44732</v>
      </c>
      <c r="ADG2">
        <f>SOFR3mo_PX[[#This Row],[Column787]]</f>
        <v>44729</v>
      </c>
      <c r="ADH2">
        <f>SOFR3mo_PX[[#This Row],[Column788]]</f>
        <v>44728</v>
      </c>
      <c r="ADI2">
        <f>SOFR3mo_PX[[#This Row],[Column789]]</f>
        <v>44727</v>
      </c>
      <c r="ADJ2">
        <f>SOFR3mo_PX[[#This Row],[Column790]]</f>
        <v>44726</v>
      </c>
      <c r="ADK2">
        <f>SOFR3mo_PX[[#This Row],[Column791]]</f>
        <v>44725</v>
      </c>
      <c r="ADL2">
        <f>SOFR3mo_PX[[#This Row],[Column792]]</f>
        <v>44722</v>
      </c>
      <c r="ADM2">
        <f>SOFR3mo_PX[[#This Row],[Column793]]</f>
        <v>44721</v>
      </c>
      <c r="ADN2">
        <f>SOFR3mo_PX[[#This Row],[Column794]]</f>
        <v>44720</v>
      </c>
      <c r="ADO2">
        <f>SOFR3mo_PX[[#This Row],[Column795]]</f>
        <v>44719</v>
      </c>
      <c r="ADP2">
        <f>SOFR3mo_PX[[#This Row],[Column796]]</f>
        <v>44718</v>
      </c>
      <c r="ADQ2">
        <f>SOFR3mo_PX[[#This Row],[Column797]]</f>
        <v>44715</v>
      </c>
      <c r="ADR2">
        <f>SOFR3mo_PX[[#This Row],[Column798]]</f>
        <v>44714</v>
      </c>
      <c r="ADS2">
        <f>SOFR3mo_PX[[#This Row],[Column799]]</f>
        <v>44713</v>
      </c>
      <c r="ADT2">
        <f>SOFR3mo_PX[[#This Row],[Column800]]</f>
        <v>44712</v>
      </c>
      <c r="ADU2">
        <f>SOFR3mo_PX[[#This Row],[Column801]]</f>
        <v>44711</v>
      </c>
      <c r="ADV2">
        <f>SOFR3mo_PX[[#This Row],[Column802]]</f>
        <v>44708</v>
      </c>
      <c r="ADW2">
        <f>SOFR3mo_PX[[#This Row],[Column803]]</f>
        <v>44707</v>
      </c>
      <c r="ADX2">
        <f>SOFR3mo_PX[[#This Row],[Column804]]</f>
        <v>44706</v>
      </c>
      <c r="ADY2">
        <f>SOFR3mo_PX[[#This Row],[Column805]]</f>
        <v>44705</v>
      </c>
      <c r="ADZ2">
        <f>SOFR3mo_PX[[#This Row],[Column806]]</f>
        <v>44704</v>
      </c>
      <c r="AEA2">
        <f>SOFR3mo_PX[[#This Row],[Column807]]</f>
        <v>44701</v>
      </c>
      <c r="AEB2">
        <f>SOFR3mo_PX[[#This Row],[Column808]]</f>
        <v>44700</v>
      </c>
      <c r="AEC2">
        <f>SOFR3mo_PX[[#This Row],[Column809]]</f>
        <v>44699</v>
      </c>
      <c r="AED2">
        <f>SOFR3mo_PX[[#This Row],[Column810]]</f>
        <v>44698</v>
      </c>
      <c r="AEE2">
        <f>SOFR3mo_PX[[#This Row],[Column811]]</f>
        <v>44697</v>
      </c>
      <c r="AEF2">
        <f>SOFR3mo_PX[[#This Row],[Column812]]</f>
        <v>44694</v>
      </c>
      <c r="AEG2">
        <f>SOFR3mo_PX[[#This Row],[Column813]]</f>
        <v>44693</v>
      </c>
      <c r="AEH2">
        <f>SOFR3mo_PX[[#This Row],[Column814]]</f>
        <v>44692</v>
      </c>
      <c r="AEI2">
        <f>SOFR3mo_PX[[#This Row],[Column815]]</f>
        <v>44691</v>
      </c>
      <c r="AEJ2">
        <f>SOFR3mo_PX[[#This Row],[Column816]]</f>
        <v>44690</v>
      </c>
      <c r="AEK2">
        <f>SOFR3mo_PX[[#This Row],[Column817]]</f>
        <v>44687</v>
      </c>
      <c r="AEL2">
        <f>SOFR3mo_PX[[#This Row],[Column818]]</f>
        <v>44686</v>
      </c>
      <c r="AEM2">
        <f>SOFR3mo_PX[[#This Row],[Column819]]</f>
        <v>44685</v>
      </c>
      <c r="AEN2">
        <f>SOFR3mo_PX[[#This Row],[Column820]]</f>
        <v>44684</v>
      </c>
      <c r="AEO2">
        <f>SOFR3mo_PX[[#This Row],[Column821]]</f>
        <v>44683</v>
      </c>
      <c r="AEP2">
        <f>SOFR3mo_PX[[#This Row],[Column822]]</f>
        <v>44680</v>
      </c>
      <c r="AEQ2">
        <f>SOFR3mo_PX[[#This Row],[Column823]]</f>
        <v>44679</v>
      </c>
      <c r="AER2">
        <f>SOFR3mo_PX[[#This Row],[Column824]]</f>
        <v>44678</v>
      </c>
      <c r="AES2">
        <f>SOFR3mo_PX[[#This Row],[Column825]]</f>
        <v>44677</v>
      </c>
      <c r="AET2">
        <f>SOFR3mo_PX[[#This Row],[Column826]]</f>
        <v>44676</v>
      </c>
      <c r="AEU2">
        <f>SOFR3mo_PX[[#This Row],[Column827]]</f>
        <v>44673</v>
      </c>
      <c r="AEV2">
        <f>SOFR3mo_PX[[#This Row],[Column828]]</f>
        <v>44672</v>
      </c>
      <c r="AEW2">
        <f>SOFR3mo_PX[[#This Row],[Column829]]</f>
        <v>44671</v>
      </c>
      <c r="AEX2">
        <f>SOFR3mo_PX[[#This Row],[Column830]]</f>
        <v>44670</v>
      </c>
      <c r="AEY2">
        <f>SOFR3mo_PX[[#This Row],[Column831]]</f>
        <v>44669</v>
      </c>
      <c r="AEZ2">
        <f>SOFR3mo_PX[[#This Row],[Column832]]</f>
        <v>44666</v>
      </c>
      <c r="AFA2">
        <f>SOFR3mo_PX[[#This Row],[Column833]]</f>
        <v>44665</v>
      </c>
      <c r="AFB2">
        <f>SOFR3mo_PX[[#This Row],[Column834]]</f>
        <v>44664</v>
      </c>
      <c r="AFC2">
        <f>SOFR3mo_PX[[#This Row],[Column835]]</f>
        <v>44663</v>
      </c>
      <c r="AFD2">
        <f>SOFR3mo_PX[[#This Row],[Column836]]</f>
        <v>44662</v>
      </c>
      <c r="AFE2">
        <f>SOFR3mo_PX[[#This Row],[Column837]]</f>
        <v>44659</v>
      </c>
      <c r="AFF2">
        <f>SOFR3mo_PX[[#This Row],[Column838]]</f>
        <v>44658</v>
      </c>
      <c r="AFG2">
        <f>SOFR3mo_PX[[#This Row],[Column839]]</f>
        <v>44657</v>
      </c>
      <c r="AFH2">
        <f>SOFR3mo_PX[[#This Row],[Column840]]</f>
        <v>44656</v>
      </c>
      <c r="AFI2">
        <f>SOFR3mo_PX[[#This Row],[Column841]]</f>
        <v>44655</v>
      </c>
      <c r="AFJ2">
        <f>SOFR3mo_PX[[#This Row],[Column842]]</f>
        <v>44652</v>
      </c>
      <c r="AFK2">
        <f>SOFR3mo_PX[[#This Row],[Column843]]</f>
        <v>44651</v>
      </c>
      <c r="AFL2">
        <f>SOFR3mo_PX[[#This Row],[Column844]]</f>
        <v>44650</v>
      </c>
      <c r="AFM2">
        <f>SOFR3mo_PX[[#This Row],[Column845]]</f>
        <v>44649</v>
      </c>
      <c r="AFN2">
        <f>SOFR3mo_PX[[#This Row],[Column846]]</f>
        <v>44648</v>
      </c>
      <c r="AFO2">
        <f>SOFR3mo_PX[[#This Row],[Column847]]</f>
        <v>44645</v>
      </c>
      <c r="AFP2">
        <f>SOFR3mo_PX[[#This Row],[Column848]]</f>
        <v>44644</v>
      </c>
      <c r="AFQ2">
        <f>SOFR3mo_PX[[#This Row],[Column849]]</f>
        <v>44643</v>
      </c>
      <c r="AFR2">
        <f>SOFR3mo_PX[[#This Row],[Column850]]</f>
        <v>44642</v>
      </c>
      <c r="AFS2">
        <f>SOFR3mo_PX[[#This Row],[Column851]]</f>
        <v>44641</v>
      </c>
      <c r="AFT2">
        <f>SOFR3mo_PX[[#This Row],[Column852]]</f>
        <v>44638</v>
      </c>
      <c r="AFU2">
        <f>SOFR3mo_PX[[#This Row],[Column853]]</f>
        <v>44637</v>
      </c>
      <c r="AFV2">
        <f>SOFR3mo_PX[[#This Row],[Column854]]</f>
        <v>44636</v>
      </c>
      <c r="AFW2">
        <f>SOFR3mo_PX[[#This Row],[Column855]]</f>
        <v>44635</v>
      </c>
      <c r="AFX2">
        <f>SOFR3mo_PX[[#This Row],[Column856]]</f>
        <v>44634</v>
      </c>
      <c r="AFY2">
        <f>SOFR3mo_PX[[#This Row],[Column857]]</f>
        <v>44631</v>
      </c>
      <c r="AFZ2">
        <f>SOFR3mo_PX[[#This Row],[Column858]]</f>
        <v>44630</v>
      </c>
      <c r="AGA2">
        <f>SOFR3mo_PX[[#This Row],[Column859]]</f>
        <v>44629</v>
      </c>
      <c r="AGB2">
        <f>SOFR3mo_PX[[#This Row],[Column860]]</f>
        <v>44628</v>
      </c>
      <c r="AGC2">
        <f>SOFR3mo_PX[[#This Row],[Column861]]</f>
        <v>44627</v>
      </c>
      <c r="AGD2">
        <f>SOFR3mo_PX[[#This Row],[Column862]]</f>
        <v>44624</v>
      </c>
      <c r="AGE2">
        <f>SOFR3mo_PX[[#This Row],[Column863]]</f>
        <v>44623</v>
      </c>
      <c r="AGF2">
        <f>SOFR3mo_PX[[#This Row],[Column864]]</f>
        <v>44622</v>
      </c>
      <c r="AGG2">
        <f>SOFR3mo_PX[[#This Row],[Column865]]</f>
        <v>44621</v>
      </c>
      <c r="AGH2">
        <f>SOFR3mo_PX[[#This Row],[Column866]]</f>
        <v>44620</v>
      </c>
      <c r="AGI2">
        <f>SOFR3mo_PX[[#This Row],[Column867]]</f>
        <v>44617</v>
      </c>
      <c r="AGJ2">
        <f>SOFR3mo_PX[[#This Row],[Column868]]</f>
        <v>44616</v>
      </c>
      <c r="AGK2">
        <f>SOFR3mo_PX[[#This Row],[Column869]]</f>
        <v>44615</v>
      </c>
      <c r="AGL2">
        <f>SOFR3mo_PX[[#This Row],[Column870]]</f>
        <v>44614</v>
      </c>
      <c r="AGM2">
        <f>SOFR3mo_PX[[#This Row],[Column871]]</f>
        <v>44613</v>
      </c>
      <c r="AGN2">
        <f>SOFR3mo_PX[[#This Row],[Column872]]</f>
        <v>44610</v>
      </c>
      <c r="AGO2">
        <f>SOFR3mo_PX[[#This Row],[Column873]]</f>
        <v>44609</v>
      </c>
      <c r="AGP2">
        <f>SOFR3mo_PX[[#This Row],[Column874]]</f>
        <v>44608</v>
      </c>
      <c r="AGQ2">
        <f>SOFR3mo_PX[[#This Row],[Column875]]</f>
        <v>44607</v>
      </c>
      <c r="AGR2">
        <f>SOFR3mo_PX[[#This Row],[Column876]]</f>
        <v>44606</v>
      </c>
      <c r="AGS2">
        <f>SOFR3mo_PX[[#This Row],[Column877]]</f>
        <v>44603</v>
      </c>
      <c r="AGT2">
        <f>SOFR3mo_PX[[#This Row],[Column878]]</f>
        <v>44602</v>
      </c>
      <c r="AGU2">
        <f>SOFR3mo_PX[[#This Row],[Column879]]</f>
        <v>44601</v>
      </c>
      <c r="AGV2">
        <f>SOFR3mo_PX[[#This Row],[Column880]]</f>
        <v>44600</v>
      </c>
      <c r="AGW2">
        <f>SOFR3mo_PX[[#This Row],[Column881]]</f>
        <v>44599</v>
      </c>
      <c r="AGX2">
        <f>SOFR3mo_PX[[#This Row],[Column882]]</f>
        <v>44596</v>
      </c>
      <c r="AGY2">
        <f>SOFR3mo_PX[[#This Row],[Column883]]</f>
        <v>44595</v>
      </c>
      <c r="AGZ2">
        <f>SOFR3mo_PX[[#This Row],[Column884]]</f>
        <v>44594</v>
      </c>
      <c r="AHA2">
        <f>SOFR3mo_PX[[#This Row],[Column885]]</f>
        <v>44593</v>
      </c>
      <c r="AHB2">
        <f>SOFR3mo_PX[[#This Row],[Column886]]</f>
        <v>44592</v>
      </c>
      <c r="AHC2">
        <f>SOFR3mo_PX[[#This Row],[Column887]]</f>
        <v>44589</v>
      </c>
      <c r="AHD2">
        <f>SOFR3mo_PX[[#This Row],[Column888]]</f>
        <v>44588</v>
      </c>
      <c r="AHE2">
        <f>SOFR3mo_PX[[#This Row],[Column889]]</f>
        <v>44587</v>
      </c>
      <c r="AHF2">
        <f>SOFR3mo_PX[[#This Row],[Column890]]</f>
        <v>44586</v>
      </c>
      <c r="AHG2">
        <f>SOFR3mo_PX[[#This Row],[Column891]]</f>
        <v>44585</v>
      </c>
      <c r="AHH2">
        <f>SOFR3mo_PX[[#This Row],[Column892]]</f>
        <v>44582</v>
      </c>
      <c r="AHI2">
        <f>SOFR3mo_PX[[#This Row],[Column893]]</f>
        <v>44581</v>
      </c>
      <c r="AHJ2">
        <f>SOFR3mo_PX[[#This Row],[Column894]]</f>
        <v>44580</v>
      </c>
      <c r="AHK2">
        <f>SOFR3mo_PX[[#This Row],[Column895]]</f>
        <v>44579</v>
      </c>
      <c r="AHL2">
        <f>SOFR3mo_PX[[#This Row],[Column896]]</f>
        <v>44578</v>
      </c>
      <c r="AHM2">
        <f>SOFR3mo_PX[[#This Row],[Column897]]</f>
        <v>44575</v>
      </c>
      <c r="AHN2">
        <f>SOFR3mo_PX[[#This Row],[Column898]]</f>
        <v>44574</v>
      </c>
      <c r="AHO2">
        <f>SOFR3mo_PX[[#This Row],[Column899]]</f>
        <v>44573</v>
      </c>
      <c r="AHP2">
        <f>SOFR3mo_PX[[#This Row],[Column900]]</f>
        <v>44572</v>
      </c>
      <c r="AHQ2">
        <f>SOFR3mo_PX[[#This Row],[Column901]]</f>
        <v>44571</v>
      </c>
      <c r="AHR2">
        <f>SOFR3mo_PX[[#This Row],[Column902]]</f>
        <v>44568</v>
      </c>
      <c r="AHS2">
        <f>SOFR3mo_PX[[#This Row],[Column903]]</f>
        <v>44567</v>
      </c>
      <c r="AHT2">
        <f>SOFR3mo_PX[[#This Row],[Column904]]</f>
        <v>44566</v>
      </c>
      <c r="AHU2">
        <f>SOFR3mo_PX[[#This Row],[Column905]]</f>
        <v>44565</v>
      </c>
      <c r="AHV2">
        <f>SOFR3mo_PX[[#This Row],[Column906]]</f>
        <v>44564</v>
      </c>
      <c r="AHW2">
        <f>SOFR3mo_PX[[#This Row],[Column907]]</f>
        <v>44561</v>
      </c>
      <c r="AHX2">
        <f>SOFR3mo_PX[[#This Row],[Column908]]</f>
        <v>44560</v>
      </c>
      <c r="AHY2">
        <f>SOFR3mo_PX[[#This Row],[Column909]]</f>
        <v>44559</v>
      </c>
      <c r="AHZ2">
        <f>SOFR3mo_PX[[#This Row],[Column910]]</f>
        <v>44558</v>
      </c>
      <c r="AIA2">
        <f>SOFR3mo_PX[[#This Row],[Column911]]</f>
        <v>44557</v>
      </c>
      <c r="AIB2">
        <f>SOFR3mo_PX[[#This Row],[Column912]]</f>
        <v>44554</v>
      </c>
      <c r="AIC2">
        <f>SOFR3mo_PX[[#This Row],[Column913]]</f>
        <v>44553</v>
      </c>
      <c r="AID2">
        <f>SOFR3mo_PX[[#This Row],[Column914]]</f>
        <v>44552</v>
      </c>
      <c r="AIE2">
        <f>SOFR3mo_PX[[#This Row],[Column915]]</f>
        <v>44551</v>
      </c>
      <c r="AIF2">
        <f>SOFR3mo_PX[[#This Row],[Column916]]</f>
        <v>44550</v>
      </c>
      <c r="AIG2">
        <f>SOFR3mo_PX[[#This Row],[Column917]]</f>
        <v>44547</v>
      </c>
      <c r="AIH2">
        <f>SOFR3mo_PX[[#This Row],[Column918]]</f>
        <v>44546</v>
      </c>
      <c r="AII2">
        <f>SOFR3mo_PX[[#This Row],[Column919]]</f>
        <v>44545</v>
      </c>
      <c r="AIJ2">
        <f>SOFR3mo_PX[[#This Row],[Column920]]</f>
        <v>44544</v>
      </c>
      <c r="AIK2">
        <f>SOFR3mo_PX[[#This Row],[Column921]]</f>
        <v>44543</v>
      </c>
      <c r="AIL2">
        <f>SOFR3mo_PX[[#This Row],[Column922]]</f>
        <v>44540</v>
      </c>
      <c r="AIM2">
        <f>SOFR3mo_PX[[#This Row],[Column923]]</f>
        <v>44539</v>
      </c>
      <c r="AIN2">
        <f>SOFR3mo_PX[[#This Row],[Column924]]</f>
        <v>44538</v>
      </c>
      <c r="AIO2">
        <f>SOFR3mo_PX[[#This Row],[Column925]]</f>
        <v>44537</v>
      </c>
      <c r="AIP2">
        <f>SOFR3mo_PX[[#This Row],[Column926]]</f>
        <v>44536</v>
      </c>
      <c r="AIQ2">
        <f>SOFR3mo_PX[[#This Row],[Column927]]</f>
        <v>44533</v>
      </c>
      <c r="AIR2">
        <f>SOFR3mo_PX[[#This Row],[Column928]]</f>
        <v>44532</v>
      </c>
      <c r="AIS2">
        <f>SOFR3mo_PX[[#This Row],[Column929]]</f>
        <v>44531</v>
      </c>
      <c r="AIT2">
        <f>SOFR3mo_PX[[#This Row],[Column930]]</f>
        <v>44530</v>
      </c>
      <c r="AIU2">
        <f>SOFR3mo_PX[[#This Row],[Column931]]</f>
        <v>44529</v>
      </c>
      <c r="AIV2">
        <f>SOFR3mo_PX[[#This Row],[Column932]]</f>
        <v>44526</v>
      </c>
      <c r="AIW2">
        <f>SOFR3mo_PX[[#This Row],[Column933]]</f>
        <v>44525</v>
      </c>
      <c r="AIX2">
        <f>SOFR3mo_PX[[#This Row],[Column934]]</f>
        <v>44524</v>
      </c>
      <c r="AIY2">
        <f>SOFR3mo_PX[[#This Row],[Column935]]</f>
        <v>44523</v>
      </c>
      <c r="AIZ2">
        <f>SOFR3mo_PX[[#This Row],[Column936]]</f>
        <v>44522</v>
      </c>
      <c r="AJA2">
        <f>SOFR3mo_PX[[#This Row],[Column937]]</f>
        <v>44519</v>
      </c>
      <c r="AJB2">
        <f>SOFR3mo_PX[[#This Row],[Column938]]</f>
        <v>44518</v>
      </c>
      <c r="AJC2">
        <f>SOFR3mo_PX[[#This Row],[Column939]]</f>
        <v>44517</v>
      </c>
      <c r="AJD2">
        <f>SOFR3mo_PX[[#This Row],[Column940]]</f>
        <v>44516</v>
      </c>
      <c r="AJE2">
        <f>SOFR3mo_PX[[#This Row],[Column941]]</f>
        <v>44515</v>
      </c>
      <c r="AJF2">
        <f>SOFR3mo_PX[[#This Row],[Column942]]</f>
        <v>44512</v>
      </c>
      <c r="AJG2">
        <f>SOFR3mo_PX[[#This Row],[Column943]]</f>
        <v>44511</v>
      </c>
      <c r="AJH2">
        <f>SOFR3mo_PX[[#This Row],[Column944]]</f>
        <v>44510</v>
      </c>
      <c r="AJI2">
        <f>SOFR3mo_PX[[#This Row],[Column945]]</f>
        <v>44509</v>
      </c>
      <c r="AJJ2">
        <f>SOFR3mo_PX[[#This Row],[Column946]]</f>
        <v>44508</v>
      </c>
      <c r="AJK2">
        <f>SOFR3mo_PX[[#This Row],[Column947]]</f>
        <v>44505</v>
      </c>
      <c r="AJL2">
        <f>SOFR3mo_PX[[#This Row],[Column948]]</f>
        <v>44504</v>
      </c>
      <c r="AJM2">
        <f>SOFR3mo_PX[[#This Row],[Column949]]</f>
        <v>44503</v>
      </c>
      <c r="AJN2">
        <f>SOFR3mo_PX[[#This Row],[Column950]]</f>
        <v>44502</v>
      </c>
      <c r="AJO2">
        <f>SOFR3mo_PX[[#This Row],[Column951]]</f>
        <v>44501</v>
      </c>
      <c r="AJP2">
        <f>SOFR3mo_PX[[#This Row],[Column952]]</f>
        <v>44498</v>
      </c>
      <c r="AJQ2">
        <f>SOFR3mo_PX[[#This Row],[Column953]]</f>
        <v>44497</v>
      </c>
      <c r="AJR2">
        <f>SOFR3mo_PX[[#This Row],[Column954]]</f>
        <v>44496</v>
      </c>
      <c r="AJS2">
        <f>SOFR3mo_PX[[#This Row],[Column955]]</f>
        <v>44495</v>
      </c>
      <c r="AJT2">
        <f>SOFR3mo_PX[[#This Row],[Column956]]</f>
        <v>44494</v>
      </c>
      <c r="AJU2">
        <f>SOFR3mo_PX[[#This Row],[Column957]]</f>
        <v>44491</v>
      </c>
      <c r="AJV2">
        <f>SOFR3mo_PX[[#This Row],[Column958]]</f>
        <v>44490</v>
      </c>
      <c r="AJW2">
        <f>SOFR3mo_PX[[#This Row],[Column959]]</f>
        <v>44489</v>
      </c>
      <c r="AJX2">
        <f>SOFR3mo_PX[[#This Row],[Column960]]</f>
        <v>44488</v>
      </c>
      <c r="AJY2">
        <f>SOFR3mo_PX[[#This Row],[Column961]]</f>
        <v>44487</v>
      </c>
      <c r="AJZ2">
        <f>SOFR3mo_PX[[#This Row],[Column962]]</f>
        <v>44484</v>
      </c>
      <c r="AKA2">
        <f>SOFR3mo_PX[[#This Row],[Column963]]</f>
        <v>44483</v>
      </c>
      <c r="AKB2">
        <f>SOFR3mo_PX[[#This Row],[Column964]]</f>
        <v>44482</v>
      </c>
      <c r="AKC2">
        <f>SOFR3mo_PX[[#This Row],[Column965]]</f>
        <v>44481</v>
      </c>
      <c r="AKD2">
        <f>SOFR3mo_PX[[#This Row],[Column966]]</f>
        <v>44480</v>
      </c>
      <c r="AKE2">
        <f>SOFR3mo_PX[[#This Row],[Column967]]</f>
        <v>44477</v>
      </c>
      <c r="AKF2">
        <f>SOFR3mo_PX[[#This Row],[Column968]]</f>
        <v>44476</v>
      </c>
      <c r="AKG2">
        <f>SOFR3mo_PX[[#This Row],[Column969]]</f>
        <v>44475</v>
      </c>
      <c r="AKH2">
        <f>SOFR3mo_PX[[#This Row],[Column970]]</f>
        <v>44474</v>
      </c>
      <c r="AKI2">
        <f>SOFR3mo_PX[[#This Row],[Column971]]</f>
        <v>44473</v>
      </c>
      <c r="AKJ2">
        <f>SOFR3mo_PX[[#This Row],[Column972]]</f>
        <v>44470</v>
      </c>
      <c r="AKK2">
        <f>SOFR3mo_PX[[#This Row],[Column973]]</f>
        <v>44469</v>
      </c>
      <c r="AKL2">
        <f>SOFR3mo_PX[[#This Row],[Column974]]</f>
        <v>44468</v>
      </c>
      <c r="AKM2">
        <f>SOFR3mo_PX[[#This Row],[Column975]]</f>
        <v>44467</v>
      </c>
      <c r="AKN2">
        <f>SOFR3mo_PX[[#This Row],[Column976]]</f>
        <v>44466</v>
      </c>
      <c r="AKO2">
        <f>SOFR3mo_PX[[#This Row],[Column977]]</f>
        <v>44463</v>
      </c>
      <c r="AKP2">
        <f>SOFR3mo_PX[[#This Row],[Column978]]</f>
        <v>44462</v>
      </c>
      <c r="AKQ2">
        <f>SOFR3mo_PX[[#This Row],[Column979]]</f>
        <v>44461</v>
      </c>
      <c r="AKR2">
        <f>SOFR3mo_PX[[#This Row],[Column980]]</f>
        <v>44460</v>
      </c>
      <c r="AKS2">
        <f>SOFR3mo_PX[[#This Row],[Column981]]</f>
        <v>44459</v>
      </c>
      <c r="AKT2">
        <f>SOFR3mo_PX[[#This Row],[Column982]]</f>
        <v>44456</v>
      </c>
      <c r="AKU2">
        <f>SOFR3mo_PX[[#This Row],[Column983]]</f>
        <v>44455</v>
      </c>
      <c r="AKV2">
        <f>SOFR3mo_PX[[#This Row],[Column984]]</f>
        <v>44454</v>
      </c>
      <c r="AKW2">
        <f>SOFR3mo_PX[[#This Row],[Column985]]</f>
        <v>44453</v>
      </c>
      <c r="AKX2">
        <f>SOFR3mo_PX[[#This Row],[Column986]]</f>
        <v>44452</v>
      </c>
      <c r="AKY2">
        <f>SOFR3mo_PX[[#This Row],[Column987]]</f>
        <v>44449</v>
      </c>
      <c r="AKZ2">
        <f>SOFR3mo_PX[[#This Row],[Column988]]</f>
        <v>44448</v>
      </c>
      <c r="ALA2">
        <f>SOFR3mo_PX[[#This Row],[Column989]]</f>
        <v>44447</v>
      </c>
      <c r="ALB2">
        <f>SOFR3mo_PX[[#This Row],[Column990]]</f>
        <v>44446</v>
      </c>
      <c r="ALC2">
        <f>SOFR3mo_PX[[#This Row],[Column991]]</f>
        <v>44445</v>
      </c>
      <c r="ALD2">
        <f>SOFR3mo_PX[[#This Row],[Column992]]</f>
        <v>44442</v>
      </c>
      <c r="ALE2">
        <f>SOFR3mo_PX[[#This Row],[Column993]]</f>
        <v>44441</v>
      </c>
      <c r="ALF2">
        <f>SOFR3mo_PX[[#This Row],[Column994]]</f>
        <v>44440</v>
      </c>
      <c r="ALG2">
        <f>SOFR3mo_PX[[#This Row],[Column995]]</f>
        <v>44439</v>
      </c>
      <c r="ALH2">
        <f>SOFR3mo_PX[[#This Row],[Column996]]</f>
        <v>44438</v>
      </c>
      <c r="ALI2">
        <f>SOFR3mo_PX[[#This Row],[Column997]]</f>
        <v>44435</v>
      </c>
      <c r="ALJ2">
        <f>SOFR3mo_PX[[#This Row],[Column998]]</f>
        <v>44434</v>
      </c>
      <c r="ALK2">
        <f>SOFR3mo_PX[[#This Row],[Column999]]</f>
        <v>44433</v>
      </c>
      <c r="ALL2">
        <f>SOFR3mo_PX[[#This Row],[Column1000]]</f>
        <v>44432</v>
      </c>
      <c r="ALM2">
        <f>SOFR3mo_PX[[#This Row],[Column1001]]</f>
        <v>44431</v>
      </c>
      <c r="ALN2">
        <f>SOFR3mo_PX[[#This Row],[Column1002]]</f>
        <v>44428</v>
      </c>
      <c r="ALO2">
        <f>SOFR3mo_PX[[#This Row],[Column1003]]</f>
        <v>44427</v>
      </c>
      <c r="ALP2">
        <f>SOFR3mo_PX[[#This Row],[Column1004]]</f>
        <v>44426</v>
      </c>
      <c r="ALQ2">
        <f>SOFR3mo_PX[[#This Row],[Column1005]]</f>
        <v>44425</v>
      </c>
      <c r="ALR2">
        <f>SOFR3mo_PX[[#This Row],[Column1006]]</f>
        <v>44424</v>
      </c>
      <c r="ALS2">
        <f>SOFR3mo_PX[[#This Row],[Column1007]]</f>
        <v>44421</v>
      </c>
      <c r="ALT2">
        <f>SOFR3mo_PX[[#This Row],[Column1008]]</f>
        <v>44420</v>
      </c>
      <c r="ALU2">
        <f>SOFR3mo_PX[[#This Row],[Column1009]]</f>
        <v>44419</v>
      </c>
      <c r="ALV2">
        <f>SOFR3mo_PX[[#This Row],[Column1010]]</f>
        <v>44418</v>
      </c>
      <c r="ALW2">
        <f>SOFR3mo_PX[[#This Row],[Column1011]]</f>
        <v>44417</v>
      </c>
      <c r="ALX2">
        <f>SOFR3mo_PX[[#This Row],[Column1012]]</f>
        <v>44414</v>
      </c>
      <c r="ALY2">
        <f>SOFR3mo_PX[[#This Row],[Column1013]]</f>
        <v>44413</v>
      </c>
      <c r="ALZ2">
        <f>SOFR3mo_PX[[#This Row],[Column1014]]</f>
        <v>44412</v>
      </c>
      <c r="AMA2">
        <f>SOFR3mo_PX[[#This Row],[Column1015]]</f>
        <v>44411</v>
      </c>
      <c r="AMB2">
        <f>SOFR3mo_PX[[#This Row],[Column1016]]</f>
        <v>44410</v>
      </c>
      <c r="AMC2">
        <f>SOFR3mo_PX[[#This Row],[Column1017]]</f>
        <v>44407</v>
      </c>
      <c r="AMD2">
        <f>SOFR3mo_PX[[#This Row],[Column1018]]</f>
        <v>44406</v>
      </c>
      <c r="AME2">
        <f>SOFR3mo_PX[[#This Row],[Column1019]]</f>
        <v>44405</v>
      </c>
      <c r="AMF2">
        <f>SOFR3mo_PX[[#This Row],[Column1020]]</f>
        <v>44404</v>
      </c>
      <c r="AMG2">
        <f>SOFR3mo_PX[[#This Row],[Column1021]]</f>
        <v>44403</v>
      </c>
      <c r="AMH2">
        <f>SOFR3mo_PX[[#This Row],[Column1022]]</f>
        <v>44400</v>
      </c>
      <c r="AMI2">
        <f>SOFR3mo_PX[[#This Row],[Column1023]]</f>
        <v>44399</v>
      </c>
      <c r="AMJ2">
        <f>SOFR3mo_PX[[#This Row],[Column1024]]</f>
        <v>44398</v>
      </c>
      <c r="AMK2">
        <f>SOFR3mo_PX[[#This Row],[Column1025]]</f>
        <v>44397</v>
      </c>
      <c r="AML2">
        <f>SOFR3mo_PX[[#This Row],[Column1026]]</f>
        <v>44396</v>
      </c>
      <c r="AMM2">
        <f>SOFR3mo_PX[[#This Row],[Column1027]]</f>
        <v>44393</v>
      </c>
      <c r="AMN2">
        <f>SOFR3mo_PX[[#This Row],[Column1028]]</f>
        <v>44392</v>
      </c>
      <c r="AMO2">
        <f>SOFR3mo_PX[[#This Row],[Column1029]]</f>
        <v>44391</v>
      </c>
      <c r="AMP2">
        <f>SOFR3mo_PX[[#This Row],[Column1030]]</f>
        <v>44390</v>
      </c>
      <c r="AMQ2">
        <f>SOFR3mo_PX[[#This Row],[Column1031]]</f>
        <v>44389</v>
      </c>
      <c r="AMR2">
        <f>SOFR3mo_PX[[#This Row],[Column1032]]</f>
        <v>44386</v>
      </c>
      <c r="AMS2">
        <f>SOFR3mo_PX[[#This Row],[Column1033]]</f>
        <v>44385</v>
      </c>
      <c r="AMT2">
        <f>SOFR3mo_PX[[#This Row],[Column1034]]</f>
        <v>44384</v>
      </c>
      <c r="AMU2">
        <f>SOFR3mo_PX[[#This Row],[Column1035]]</f>
        <v>44383</v>
      </c>
      <c r="AMV2">
        <f>SOFR3mo_PX[[#This Row],[Column1036]]</f>
        <v>44382</v>
      </c>
      <c r="AMW2">
        <f>SOFR3mo_PX[[#This Row],[Column1037]]</f>
        <v>44379</v>
      </c>
      <c r="AMX2">
        <f>SOFR3mo_PX[[#This Row],[Column1038]]</f>
        <v>44378</v>
      </c>
      <c r="AMY2">
        <f>SOFR3mo_PX[[#This Row],[Column1039]]</f>
        <v>44377</v>
      </c>
      <c r="AMZ2">
        <f>SOFR3mo_PX[[#This Row],[Column1040]]</f>
        <v>44376</v>
      </c>
      <c r="ANA2">
        <f>SOFR3mo_PX[[#This Row],[Column1041]]</f>
        <v>44375</v>
      </c>
      <c r="ANB2">
        <f>SOFR3mo_PX[[#This Row],[Column1042]]</f>
        <v>44372</v>
      </c>
      <c r="ANC2">
        <f>SOFR3mo_PX[[#This Row],[Column1043]]</f>
        <v>44371</v>
      </c>
      <c r="AND2">
        <f>SOFR3mo_PX[[#This Row],[Column1044]]</f>
        <v>44370</v>
      </c>
      <c r="ANE2">
        <f>SOFR3mo_PX[[#This Row],[Column1045]]</f>
        <v>44369</v>
      </c>
      <c r="ANF2">
        <f>SOFR3mo_PX[[#This Row],[Column1046]]</f>
        <v>44368</v>
      </c>
      <c r="ANG2">
        <f>SOFR3mo_PX[[#This Row],[Column1047]]</f>
        <v>44365</v>
      </c>
      <c r="ANH2">
        <f>SOFR3mo_PX[[#This Row],[Column1048]]</f>
        <v>44364</v>
      </c>
      <c r="ANI2">
        <f>SOFR3mo_PX[[#This Row],[Column1049]]</f>
        <v>44363</v>
      </c>
      <c r="ANJ2">
        <f>SOFR3mo_PX[[#This Row],[Column1050]]</f>
        <v>44362</v>
      </c>
      <c r="ANK2">
        <f>SOFR3mo_PX[[#This Row],[Column1051]]</f>
        <v>44361</v>
      </c>
      <c r="ANL2">
        <f>SOFR3mo_PX[[#This Row],[Column1052]]</f>
        <v>44358</v>
      </c>
      <c r="ANM2">
        <f>SOFR3mo_PX[[#This Row],[Column1053]]</f>
        <v>44357</v>
      </c>
      <c r="ANN2">
        <f>SOFR3mo_PX[[#This Row],[Column1054]]</f>
        <v>44356</v>
      </c>
      <c r="ANO2">
        <f>SOFR3mo_PX[[#This Row],[Column1055]]</f>
        <v>44355</v>
      </c>
      <c r="ANP2">
        <f>SOFR3mo_PX[[#This Row],[Column1056]]</f>
        <v>44354</v>
      </c>
      <c r="ANQ2">
        <f>SOFR3mo_PX[[#This Row],[Column1057]]</f>
        <v>44351</v>
      </c>
      <c r="ANR2">
        <f>SOFR3mo_PX[[#This Row],[Column1058]]</f>
        <v>44350</v>
      </c>
      <c r="ANS2">
        <f>SOFR3mo_PX[[#This Row],[Column1059]]</f>
        <v>44349</v>
      </c>
      <c r="ANT2">
        <f>SOFR3mo_PX[[#This Row],[Column1060]]</f>
        <v>44348</v>
      </c>
      <c r="ANU2">
        <f>SOFR3mo_PX[[#This Row],[Column1061]]</f>
        <v>44347</v>
      </c>
      <c r="ANV2">
        <f>SOFR3mo_PX[[#This Row],[Column1062]]</f>
        <v>44344</v>
      </c>
      <c r="ANW2">
        <f>SOFR3mo_PX[[#This Row],[Column1063]]</f>
        <v>44343</v>
      </c>
      <c r="ANX2">
        <f>SOFR3mo_PX[[#This Row],[Column1064]]</f>
        <v>44342</v>
      </c>
      <c r="ANY2">
        <f>SOFR3mo_PX[[#This Row],[Column1065]]</f>
        <v>44341</v>
      </c>
      <c r="ANZ2">
        <f>SOFR3mo_PX[[#This Row],[Column1066]]</f>
        <v>44340</v>
      </c>
      <c r="AOA2">
        <f>SOFR3mo_PX[[#This Row],[Column1067]]</f>
        <v>44337</v>
      </c>
      <c r="AOB2">
        <f>SOFR3mo_PX[[#This Row],[Column1068]]</f>
        <v>44336</v>
      </c>
      <c r="AOC2">
        <f>SOFR3mo_PX[[#This Row],[Column1069]]</f>
        <v>44335</v>
      </c>
      <c r="AOD2">
        <f>SOFR3mo_PX[[#This Row],[Column1070]]</f>
        <v>44334</v>
      </c>
      <c r="AOE2">
        <f>SOFR3mo_PX[[#This Row],[Column1071]]</f>
        <v>44333</v>
      </c>
      <c r="AOF2">
        <f>SOFR3mo_PX[[#This Row],[Column1072]]</f>
        <v>44330</v>
      </c>
      <c r="AOG2">
        <f>SOFR3mo_PX[[#This Row],[Column1073]]</f>
        <v>44329</v>
      </c>
      <c r="AOH2">
        <f>SOFR3mo_PX[[#This Row],[Column1074]]</f>
        <v>44328</v>
      </c>
      <c r="AOI2">
        <f>SOFR3mo_PX[[#This Row],[Column1075]]</f>
        <v>44327</v>
      </c>
      <c r="AOJ2">
        <f>SOFR3mo_PX[[#This Row],[Column1076]]</f>
        <v>44326</v>
      </c>
      <c r="AOK2">
        <f>SOFR3mo_PX[[#This Row],[Column1077]]</f>
        <v>44323</v>
      </c>
      <c r="AOL2">
        <f>SOFR3mo_PX[[#This Row],[Column1078]]</f>
        <v>44322</v>
      </c>
      <c r="AOM2">
        <f>SOFR3mo_PX[[#This Row],[Column1079]]</f>
        <v>44321</v>
      </c>
      <c r="AON2">
        <f>SOFR3mo_PX[[#This Row],[Column1080]]</f>
        <v>44320</v>
      </c>
      <c r="AOO2">
        <f>SOFR3mo_PX[[#This Row],[Column1081]]</f>
        <v>44319</v>
      </c>
      <c r="AOP2">
        <f>SOFR3mo_PX[[#This Row],[Column1082]]</f>
        <v>44316</v>
      </c>
      <c r="AOQ2">
        <f>SOFR3mo_PX[[#This Row],[Column1083]]</f>
        <v>44315</v>
      </c>
      <c r="AOR2">
        <f>SOFR3mo_PX[[#This Row],[Column1084]]</f>
        <v>44314</v>
      </c>
      <c r="AOS2">
        <f>SOFR3mo_PX[[#This Row],[Column1085]]</f>
        <v>44313</v>
      </c>
      <c r="AOT2">
        <f>SOFR3mo_PX[[#This Row],[Column1086]]</f>
        <v>44312</v>
      </c>
      <c r="AOU2">
        <f>SOFR3mo_PX[[#This Row],[Column1087]]</f>
        <v>44309</v>
      </c>
      <c r="AOV2">
        <f>SOFR3mo_PX[[#This Row],[Column1088]]</f>
        <v>44308</v>
      </c>
      <c r="AOW2">
        <f>SOFR3mo_PX[[#This Row],[Column1089]]</f>
        <v>44307</v>
      </c>
      <c r="AOX2">
        <f>SOFR3mo_PX[[#This Row],[Column1090]]</f>
        <v>44306</v>
      </c>
      <c r="AOY2">
        <f>SOFR3mo_PX[[#This Row],[Column1091]]</f>
        <v>44305</v>
      </c>
      <c r="AOZ2">
        <f>SOFR3mo_PX[[#This Row],[Column1092]]</f>
        <v>44302</v>
      </c>
      <c r="APA2">
        <f>SOFR3mo_PX[[#This Row],[Column1093]]</f>
        <v>44301</v>
      </c>
      <c r="APB2">
        <f>SOFR3mo_PX[[#This Row],[Column1094]]</f>
        <v>44300</v>
      </c>
      <c r="APC2">
        <f>SOFR3mo_PX[[#This Row],[Column1095]]</f>
        <v>44299</v>
      </c>
      <c r="APD2">
        <f>SOFR3mo_PX[[#This Row],[Column1096]]</f>
        <v>44298</v>
      </c>
      <c r="APE2">
        <f>SOFR3mo_PX[[#This Row],[Column1097]]</f>
        <v>44295</v>
      </c>
      <c r="APF2">
        <f>SOFR3mo_PX[[#This Row],[Column1098]]</f>
        <v>44294</v>
      </c>
      <c r="APG2">
        <f>SOFR3mo_PX[[#This Row],[Column1099]]</f>
        <v>44293</v>
      </c>
      <c r="APH2">
        <f>SOFR3mo_PX[[#This Row],[Column1100]]</f>
        <v>44292</v>
      </c>
      <c r="API2">
        <f>SOFR3mo_PX[[#This Row],[Column1101]]</f>
        <v>44291</v>
      </c>
      <c r="APJ2">
        <f>SOFR3mo_PX[[#This Row],[Column1102]]</f>
        <v>44288</v>
      </c>
      <c r="APK2">
        <f>SOFR3mo_PX[[#This Row],[Column1103]]</f>
        <v>44287</v>
      </c>
      <c r="APL2">
        <f>SOFR3mo_PX[[#This Row],[Column1104]]</f>
        <v>44286</v>
      </c>
      <c r="APM2">
        <f>SOFR3mo_PX[[#This Row],[Column1105]]</f>
        <v>44285</v>
      </c>
      <c r="APN2">
        <f>SOFR3mo_PX[[#This Row],[Column1106]]</f>
        <v>44284</v>
      </c>
      <c r="APO2">
        <f>SOFR3mo_PX[[#This Row],[Column1107]]</f>
        <v>44281</v>
      </c>
      <c r="APP2">
        <f>SOFR3mo_PX[[#This Row],[Column1108]]</f>
        <v>44280</v>
      </c>
      <c r="APQ2">
        <f>SOFR3mo_PX[[#This Row],[Column1109]]</f>
        <v>44279</v>
      </c>
      <c r="APR2">
        <f>SOFR3mo_PX[[#This Row],[Column1110]]</f>
        <v>44278</v>
      </c>
      <c r="APS2">
        <f>SOFR3mo_PX[[#This Row],[Column1111]]</f>
        <v>44277</v>
      </c>
      <c r="APT2">
        <f>SOFR3mo_PX[[#This Row],[Column1112]]</f>
        <v>44274</v>
      </c>
      <c r="APU2">
        <f>SOFR3mo_PX[[#This Row],[Column1113]]</f>
        <v>44273</v>
      </c>
      <c r="APV2">
        <f>SOFR3mo_PX[[#This Row],[Column1114]]</f>
        <v>44272</v>
      </c>
      <c r="APW2">
        <f>SOFR3mo_PX[[#This Row],[Column1115]]</f>
        <v>44271</v>
      </c>
      <c r="APX2">
        <f>SOFR3mo_PX[[#This Row],[Column1116]]</f>
        <v>44270</v>
      </c>
      <c r="APY2">
        <f>SOFR3mo_PX[[#This Row],[Column1117]]</f>
        <v>44267</v>
      </c>
      <c r="APZ2">
        <f>SOFR3mo_PX[[#This Row],[Column1118]]</f>
        <v>44266</v>
      </c>
      <c r="AQA2">
        <f>SOFR3mo_PX[[#This Row],[Column1119]]</f>
        <v>44265</v>
      </c>
      <c r="AQB2">
        <f>SOFR3mo_PX[[#This Row],[Column1120]]</f>
        <v>44264</v>
      </c>
      <c r="AQC2">
        <f>SOFR3mo_PX[[#This Row],[Column1121]]</f>
        <v>44263</v>
      </c>
      <c r="AQD2">
        <f>SOFR3mo_PX[[#This Row],[Column1122]]</f>
        <v>44260</v>
      </c>
      <c r="AQE2">
        <f>SOFR3mo_PX[[#This Row],[Column1123]]</f>
        <v>44259</v>
      </c>
      <c r="AQF2">
        <f>SOFR3mo_PX[[#This Row],[Column1124]]</f>
        <v>44258</v>
      </c>
      <c r="AQG2">
        <f>SOFR3mo_PX[[#This Row],[Column1125]]</f>
        <v>44257</v>
      </c>
      <c r="AQH2">
        <f>SOFR3mo_PX[[#This Row],[Column1126]]</f>
        <v>44256</v>
      </c>
      <c r="AQI2">
        <f>SOFR3mo_PX[[#This Row],[Column1127]]</f>
        <v>44253</v>
      </c>
      <c r="AQJ2">
        <f>SOFR3mo_PX[[#This Row],[Column1128]]</f>
        <v>44252</v>
      </c>
      <c r="AQK2">
        <f>SOFR3mo_PX[[#This Row],[Column1129]]</f>
        <v>44251</v>
      </c>
      <c r="AQL2">
        <f>SOFR3mo_PX[[#This Row],[Column1130]]</f>
        <v>44250</v>
      </c>
      <c r="AQM2">
        <f>SOFR3mo_PX[[#This Row],[Column1131]]</f>
        <v>44249</v>
      </c>
      <c r="AQN2">
        <f>SOFR3mo_PX[[#This Row],[Column1132]]</f>
        <v>44246</v>
      </c>
      <c r="AQO2">
        <f>SOFR3mo_PX[[#This Row],[Column1133]]</f>
        <v>44245</v>
      </c>
      <c r="AQP2">
        <f>SOFR3mo_PX[[#This Row],[Column1134]]</f>
        <v>44244</v>
      </c>
      <c r="AQQ2">
        <f>SOFR3mo_PX[[#This Row],[Column1135]]</f>
        <v>44243</v>
      </c>
      <c r="AQR2">
        <f>SOFR3mo_PX[[#This Row],[Column1136]]</f>
        <v>44242</v>
      </c>
      <c r="AQS2">
        <f>SOFR3mo_PX[[#This Row],[Column1137]]</f>
        <v>44239</v>
      </c>
      <c r="AQT2">
        <f>SOFR3mo_PX[[#This Row],[Column1138]]</f>
        <v>44238</v>
      </c>
      <c r="AQU2">
        <f>SOFR3mo_PX[[#This Row],[Column1139]]</f>
        <v>44237</v>
      </c>
      <c r="AQV2">
        <f>SOFR3mo_PX[[#This Row],[Column1140]]</f>
        <v>44236</v>
      </c>
      <c r="AQW2">
        <f>SOFR3mo_PX[[#This Row],[Column1141]]</f>
        <v>44235</v>
      </c>
      <c r="AQX2">
        <f>SOFR3mo_PX[[#This Row],[Column1142]]</f>
        <v>44232</v>
      </c>
      <c r="AQY2">
        <f>SOFR3mo_PX[[#This Row],[Column1143]]</f>
        <v>44231</v>
      </c>
      <c r="AQZ2">
        <f>SOFR3mo_PX[[#This Row],[Column1144]]</f>
        <v>44230</v>
      </c>
      <c r="ARA2">
        <f>SOFR3mo_PX[[#This Row],[Column1145]]</f>
        <v>44229</v>
      </c>
      <c r="ARB2">
        <f>SOFR3mo_PX[[#This Row],[Column1146]]</f>
        <v>44228</v>
      </c>
      <c r="ARC2">
        <f>SOFR3mo_PX[[#This Row],[Column1147]]</f>
        <v>44225</v>
      </c>
      <c r="ARD2">
        <f>SOFR3mo_PX[[#This Row],[Column1148]]</f>
        <v>44224</v>
      </c>
      <c r="ARE2">
        <f>SOFR3mo_PX[[#This Row],[Column1149]]</f>
        <v>44223</v>
      </c>
      <c r="ARF2">
        <f>SOFR3mo_PX[[#This Row],[Column1150]]</f>
        <v>44222</v>
      </c>
      <c r="ARG2">
        <f>SOFR3mo_PX[[#This Row],[Column1151]]</f>
        <v>44221</v>
      </c>
      <c r="ARH2">
        <f>SOFR3mo_PX[[#This Row],[Column1152]]</f>
        <v>44218</v>
      </c>
      <c r="ARI2">
        <f>SOFR3mo_PX[[#This Row],[Column1153]]</f>
        <v>44217</v>
      </c>
      <c r="ARJ2">
        <f>SOFR3mo_PX[[#This Row],[Column1154]]</f>
        <v>44216</v>
      </c>
      <c r="ARK2">
        <f>SOFR3mo_PX[[#This Row],[Column1155]]</f>
        <v>44215</v>
      </c>
      <c r="ARL2">
        <f>SOFR3mo_PX[[#This Row],[Column1156]]</f>
        <v>44214</v>
      </c>
      <c r="ARM2">
        <f>SOFR3mo_PX[[#This Row],[Column1157]]</f>
        <v>44211</v>
      </c>
      <c r="ARN2">
        <f>SOFR3mo_PX[[#This Row],[Column1158]]</f>
        <v>44210</v>
      </c>
      <c r="ARO2">
        <f>SOFR3mo_PX[[#This Row],[Column1159]]</f>
        <v>44209</v>
      </c>
      <c r="ARP2">
        <f>SOFR3mo_PX[[#This Row],[Column1160]]</f>
        <v>44208</v>
      </c>
      <c r="ARQ2">
        <f>SOFR3mo_PX[[#This Row],[Column1161]]</f>
        <v>44207</v>
      </c>
      <c r="ARR2">
        <f>SOFR3mo_PX[[#This Row],[Column1162]]</f>
        <v>44204</v>
      </c>
      <c r="ARS2">
        <f>SOFR3mo_PX[[#This Row],[Column1163]]</f>
        <v>44203</v>
      </c>
      <c r="ART2">
        <f>SOFR3mo_PX[[#This Row],[Column1164]]</f>
        <v>44202</v>
      </c>
      <c r="ARU2">
        <f>SOFR3mo_PX[[#This Row],[Column1165]]</f>
        <v>44201</v>
      </c>
      <c r="ARV2">
        <f>SOFR3mo_PX[[#This Row],[Column1166]]</f>
        <v>44200</v>
      </c>
      <c r="ARW2">
        <f>SOFR3mo_PX[[#This Row],[Column1167]]</f>
        <v>44197</v>
      </c>
      <c r="ARX2">
        <f>SOFR3mo_PX[[#This Row],[Column1168]]</f>
        <v>44196</v>
      </c>
      <c r="ARY2">
        <f>SOFR3mo_PX[[#This Row],[Column1169]]</f>
        <v>44195</v>
      </c>
      <c r="ARZ2">
        <f>SOFR3mo_PX[[#This Row],[Column1170]]</f>
        <v>44194</v>
      </c>
      <c r="ASA2">
        <f>SOFR3mo_PX[[#This Row],[Column1171]]</f>
        <v>44193</v>
      </c>
      <c r="ASB2">
        <f>SOFR3mo_PX[[#This Row],[Column1172]]</f>
        <v>44190</v>
      </c>
      <c r="ASC2">
        <f>SOFR3mo_PX[[#This Row],[Column1173]]</f>
        <v>44189</v>
      </c>
      <c r="ASD2">
        <f>SOFR3mo_PX[[#This Row],[Column1174]]</f>
        <v>44188</v>
      </c>
      <c r="ASE2">
        <f>SOFR3mo_PX[[#This Row],[Column1175]]</f>
        <v>44187</v>
      </c>
      <c r="ASF2">
        <f>SOFR3mo_PX[[#This Row],[Column1176]]</f>
        <v>44186</v>
      </c>
      <c r="ASG2">
        <f>SOFR3mo_PX[[#This Row],[Column1177]]</f>
        <v>44183</v>
      </c>
      <c r="ASH2">
        <f>SOFR3mo_PX[[#This Row],[Column1178]]</f>
        <v>44182</v>
      </c>
      <c r="ASI2">
        <f>SOFR3mo_PX[[#This Row],[Column1179]]</f>
        <v>44181</v>
      </c>
      <c r="ASJ2">
        <f>SOFR3mo_PX[[#This Row],[Column1180]]</f>
        <v>44180</v>
      </c>
      <c r="ASK2">
        <f>SOFR3mo_PX[[#This Row],[Column1181]]</f>
        <v>44179</v>
      </c>
      <c r="ASL2">
        <f>SOFR3mo_PX[[#This Row],[Column1182]]</f>
        <v>44176</v>
      </c>
      <c r="ASM2">
        <f>SOFR3mo_PX[[#This Row],[Column1183]]</f>
        <v>44175</v>
      </c>
      <c r="ASN2">
        <f>SOFR3mo_PX[[#This Row],[Column1184]]</f>
        <v>44174</v>
      </c>
      <c r="ASO2">
        <f>SOFR3mo_PX[[#This Row],[Column1185]]</f>
        <v>44173</v>
      </c>
      <c r="ASP2">
        <f>SOFR3mo_PX[[#This Row],[Column1186]]</f>
        <v>44172</v>
      </c>
      <c r="ASQ2">
        <f>SOFR3mo_PX[[#This Row],[Column1187]]</f>
        <v>44169</v>
      </c>
      <c r="ASR2">
        <f>SOFR3mo_PX[[#This Row],[Column1188]]</f>
        <v>44168</v>
      </c>
      <c r="ASS2">
        <f>SOFR3mo_PX[[#This Row],[Column1189]]</f>
        <v>44167</v>
      </c>
      <c r="AST2">
        <f>SOFR3mo_PX[[#This Row],[Column1190]]</f>
        <v>44166</v>
      </c>
      <c r="ASU2">
        <f>SOFR3mo_PX[[#This Row],[Column1191]]</f>
        <v>44165</v>
      </c>
      <c r="ASV2">
        <f>SOFR3mo_PX[[#This Row],[Column1192]]</f>
        <v>44162</v>
      </c>
      <c r="ASW2">
        <f>SOFR3mo_PX[[#This Row],[Column1193]]</f>
        <v>44161</v>
      </c>
      <c r="ASX2">
        <f>SOFR3mo_PX[[#This Row],[Column1194]]</f>
        <v>44160</v>
      </c>
      <c r="ASY2">
        <f>SOFR3mo_PX[[#This Row],[Column1195]]</f>
        <v>44159</v>
      </c>
      <c r="ASZ2">
        <f>SOFR3mo_PX[[#This Row],[Column1196]]</f>
        <v>44158</v>
      </c>
      <c r="ATA2">
        <f>SOFR3mo_PX[[#This Row],[Column1197]]</f>
        <v>44155</v>
      </c>
      <c r="ATB2">
        <f>SOFR3mo_PX[[#This Row],[Column1198]]</f>
        <v>44154</v>
      </c>
      <c r="ATC2">
        <f>SOFR3mo_PX[[#This Row],[Column1199]]</f>
        <v>44153</v>
      </c>
      <c r="ATD2">
        <f>SOFR3mo_PX[[#This Row],[Column1200]]</f>
        <v>44152</v>
      </c>
      <c r="ATE2">
        <f>SOFR3mo_PX[[#This Row],[Column1201]]</f>
        <v>44151</v>
      </c>
      <c r="ATF2">
        <f>SOFR3mo_PX[[#This Row],[Column1202]]</f>
        <v>44148</v>
      </c>
      <c r="ATG2">
        <f>SOFR3mo_PX[[#This Row],[Column1203]]</f>
        <v>44147</v>
      </c>
      <c r="ATH2">
        <f>SOFR3mo_PX[[#This Row],[Column1204]]</f>
        <v>44146</v>
      </c>
      <c r="ATI2">
        <f>SOFR3mo_PX[[#This Row],[Column1205]]</f>
        <v>44145</v>
      </c>
      <c r="ATJ2">
        <f>SOFR3mo_PX[[#This Row],[Column1206]]</f>
        <v>44144</v>
      </c>
      <c r="ATK2">
        <f>SOFR3mo_PX[[#This Row],[Column1207]]</f>
        <v>44141</v>
      </c>
      <c r="ATL2">
        <f>SOFR3mo_PX[[#This Row],[Column1208]]</f>
        <v>44140</v>
      </c>
      <c r="ATM2">
        <f>SOFR3mo_PX[[#This Row],[Column1209]]</f>
        <v>44139</v>
      </c>
      <c r="ATN2">
        <f>SOFR3mo_PX[[#This Row],[Column1210]]</f>
        <v>44138</v>
      </c>
      <c r="ATO2">
        <f>SOFR3mo_PX[[#This Row],[Column1211]]</f>
        <v>44137</v>
      </c>
      <c r="ATP2">
        <f>SOFR3mo_PX[[#This Row],[Column1212]]</f>
        <v>44134</v>
      </c>
      <c r="ATQ2">
        <f>SOFR3mo_PX[[#This Row],[Column1213]]</f>
        <v>44133</v>
      </c>
      <c r="ATR2">
        <f>SOFR3mo_PX[[#This Row],[Column1214]]</f>
        <v>44132</v>
      </c>
      <c r="ATS2">
        <f>SOFR3mo_PX[[#This Row],[Column1215]]</f>
        <v>44131</v>
      </c>
      <c r="ATT2">
        <f>SOFR3mo_PX[[#This Row],[Column1216]]</f>
        <v>44130</v>
      </c>
      <c r="ATU2">
        <f>SOFR3mo_PX[[#This Row],[Column1217]]</f>
        <v>44127</v>
      </c>
      <c r="ATV2">
        <f>SOFR3mo_PX[[#This Row],[Column1218]]</f>
        <v>44126</v>
      </c>
      <c r="ATW2">
        <f>SOFR3mo_PX[[#This Row],[Column1219]]</f>
        <v>44125</v>
      </c>
      <c r="ATX2">
        <f>SOFR3mo_PX[[#This Row],[Column1220]]</f>
        <v>44124</v>
      </c>
      <c r="ATY2">
        <f>SOFR3mo_PX[[#This Row],[Column1221]]</f>
        <v>44123</v>
      </c>
      <c r="ATZ2">
        <f>SOFR3mo_PX[[#This Row],[Column1222]]</f>
        <v>44120</v>
      </c>
      <c r="AUA2">
        <f>SOFR3mo_PX[[#This Row],[Column1223]]</f>
        <v>44119</v>
      </c>
      <c r="AUB2">
        <f>SOFR3mo_PX[[#This Row],[Column1224]]</f>
        <v>44118</v>
      </c>
      <c r="AUC2">
        <f>SOFR3mo_PX[[#This Row],[Column1225]]</f>
        <v>44117</v>
      </c>
      <c r="AUD2">
        <f>SOFR3mo_PX[[#This Row],[Column1226]]</f>
        <v>44116</v>
      </c>
      <c r="AUE2">
        <f>SOFR3mo_PX[[#This Row],[Column1227]]</f>
        <v>44113</v>
      </c>
      <c r="AUF2">
        <f>SOFR3mo_PX[[#This Row],[Column1228]]</f>
        <v>44112</v>
      </c>
      <c r="AUG2">
        <f>SOFR3mo_PX[[#This Row],[Column1229]]</f>
        <v>44111</v>
      </c>
      <c r="AUH2">
        <f>SOFR3mo_PX[[#This Row],[Column1230]]</f>
        <v>44110</v>
      </c>
      <c r="AUI2">
        <f>SOFR3mo_PX[[#This Row],[Column1231]]</f>
        <v>44109</v>
      </c>
      <c r="AUJ2">
        <f>SOFR3mo_PX[[#This Row],[Column1232]]</f>
        <v>44106</v>
      </c>
      <c r="AUK2">
        <f>SOFR3mo_PX[[#This Row],[Column1233]]</f>
        <v>44105</v>
      </c>
      <c r="AUL2">
        <f>SOFR3mo_PX[[#This Row],[Column1234]]</f>
        <v>44104</v>
      </c>
      <c r="AUM2">
        <f>SOFR3mo_PX[[#This Row],[Column1235]]</f>
        <v>44103</v>
      </c>
      <c r="AUN2">
        <f>SOFR3mo_PX[[#This Row],[Column1236]]</f>
        <v>44102</v>
      </c>
      <c r="AUO2">
        <f>SOFR3mo_PX[[#This Row],[Column1237]]</f>
        <v>44099</v>
      </c>
      <c r="AUP2">
        <f>SOFR3mo_PX[[#This Row],[Column1238]]</f>
        <v>44098</v>
      </c>
      <c r="AUQ2">
        <f>SOFR3mo_PX[[#This Row],[Column1239]]</f>
        <v>44097</v>
      </c>
      <c r="AUR2">
        <f>SOFR3mo_PX[[#This Row],[Column1240]]</f>
        <v>44096</v>
      </c>
      <c r="AUS2">
        <f>SOFR3mo_PX[[#This Row],[Column1241]]</f>
        <v>44095</v>
      </c>
      <c r="AUT2">
        <f>SOFR3mo_PX[[#This Row],[Column1242]]</f>
        <v>44092</v>
      </c>
      <c r="AUU2">
        <f>SOFR3mo_PX[[#This Row],[Column1243]]</f>
        <v>44091</v>
      </c>
      <c r="AUV2">
        <f>SOFR3mo_PX[[#This Row],[Column1244]]</f>
        <v>44090</v>
      </c>
      <c r="AUW2">
        <f>SOFR3mo_PX[[#This Row],[Column1245]]</f>
        <v>44089</v>
      </c>
      <c r="AUX2">
        <f>SOFR3mo_PX[[#This Row],[Column1246]]</f>
        <v>44088</v>
      </c>
      <c r="AUY2">
        <f>SOFR3mo_PX[[#This Row],[Column1247]]</f>
        <v>44085</v>
      </c>
      <c r="AUZ2">
        <f>SOFR3mo_PX[[#This Row],[Column1248]]</f>
        <v>44084</v>
      </c>
      <c r="AVA2">
        <f>SOFR3mo_PX[[#This Row],[Column1249]]</f>
        <v>44083</v>
      </c>
      <c r="AVB2">
        <f>SOFR3mo_PX[[#This Row],[Column1250]]</f>
        <v>44082</v>
      </c>
      <c r="AVC2">
        <f>SOFR3mo_PX[[#This Row],[Column1251]]</f>
        <v>44081</v>
      </c>
      <c r="AVD2">
        <f>SOFR3mo_PX[[#This Row],[Column1252]]</f>
        <v>44078</v>
      </c>
      <c r="AVE2">
        <f>SOFR3mo_PX[[#This Row],[Column1253]]</f>
        <v>44077</v>
      </c>
      <c r="AVF2">
        <f>SOFR3mo_PX[[#This Row],[Column1254]]</f>
        <v>44076</v>
      </c>
      <c r="AVG2">
        <f>SOFR3mo_PX[[#This Row],[Column1255]]</f>
        <v>44075</v>
      </c>
      <c r="AVH2">
        <f>SOFR3mo_PX[[#This Row],[Column1256]]</f>
        <v>44074</v>
      </c>
      <c r="AVI2">
        <f>SOFR3mo_PX[[#This Row],[Column1257]]</f>
        <v>44071</v>
      </c>
      <c r="AVJ2">
        <f>SOFR3mo_PX[[#This Row],[Column1258]]</f>
        <v>44070</v>
      </c>
      <c r="AVK2">
        <f>SOFR3mo_PX[[#This Row],[Column1259]]</f>
        <v>44069</v>
      </c>
      <c r="AVL2">
        <f>SOFR3mo_PX[[#This Row],[Column1260]]</f>
        <v>44068</v>
      </c>
      <c r="AVM2">
        <f>SOFR3mo_PX[[#This Row],[Column1261]]</f>
        <v>44067</v>
      </c>
      <c r="AVN2">
        <f>SOFR3mo_PX[[#This Row],[Column1262]]</f>
        <v>44064</v>
      </c>
      <c r="AVO2">
        <f>SOFR3mo_PX[[#This Row],[Column1263]]</f>
        <v>44063</v>
      </c>
      <c r="AVP2">
        <f>SOFR3mo_PX[[#This Row],[Column1264]]</f>
        <v>44062</v>
      </c>
      <c r="AVQ2">
        <f>SOFR3mo_PX[[#This Row],[Column1265]]</f>
        <v>44061</v>
      </c>
      <c r="AVR2">
        <f>SOFR3mo_PX[[#This Row],[Column1266]]</f>
        <v>44060</v>
      </c>
      <c r="AVS2">
        <f>SOFR3mo_PX[[#This Row],[Column1267]]</f>
        <v>44057</v>
      </c>
      <c r="AVT2">
        <f>SOFR3mo_PX[[#This Row],[Column1268]]</f>
        <v>44056</v>
      </c>
      <c r="AVU2">
        <f>SOFR3mo_PX[[#This Row],[Column1269]]</f>
        <v>44055</v>
      </c>
      <c r="AVV2">
        <f>SOFR3mo_PX[[#This Row],[Column1270]]</f>
        <v>44054</v>
      </c>
      <c r="AVW2">
        <f>SOFR3mo_PX[[#This Row],[Column1271]]</f>
        <v>44053</v>
      </c>
      <c r="AVX2">
        <f>SOFR3mo_PX[[#This Row],[Column1272]]</f>
        <v>44050</v>
      </c>
      <c r="AVY2">
        <f>SOFR3mo_PX[[#This Row],[Column1273]]</f>
        <v>44049</v>
      </c>
      <c r="AVZ2">
        <f>SOFR3mo_PX[[#This Row],[Column1274]]</f>
        <v>44048</v>
      </c>
      <c r="AWA2">
        <f>SOFR3mo_PX[[#This Row],[Column1275]]</f>
        <v>44047</v>
      </c>
      <c r="AWB2">
        <f>SOFR3mo_PX[[#This Row],[Column1276]]</f>
        <v>44046</v>
      </c>
      <c r="AWC2">
        <f>SOFR3mo_PX[[#This Row],[Column1277]]</f>
        <v>44043</v>
      </c>
      <c r="AWD2">
        <f>SOFR3mo_PX[[#This Row],[Column1278]]</f>
        <v>44042</v>
      </c>
      <c r="AWE2">
        <f>SOFR3mo_PX[[#This Row],[Column1279]]</f>
        <v>44041</v>
      </c>
      <c r="AWF2">
        <f>SOFR3mo_PX[[#This Row],[Column1280]]</f>
        <v>44040</v>
      </c>
      <c r="AWG2">
        <f>SOFR3mo_PX[[#This Row],[Column1281]]</f>
        <v>44039</v>
      </c>
      <c r="AWH2">
        <f>SOFR3mo_PX[[#This Row],[Column1282]]</f>
        <v>44036</v>
      </c>
      <c r="AWI2">
        <f>SOFR3mo_PX[[#This Row],[Column1283]]</f>
        <v>44035</v>
      </c>
      <c r="AWJ2">
        <f>SOFR3mo_PX[[#This Row],[Column1284]]</f>
        <v>44034</v>
      </c>
      <c r="AWK2">
        <f>SOFR3mo_PX[[#This Row],[Column1285]]</f>
        <v>44033</v>
      </c>
      <c r="AWL2">
        <f>SOFR3mo_PX[[#This Row],[Column1286]]</f>
        <v>44032</v>
      </c>
      <c r="AWM2">
        <f>SOFR3mo_PX[[#This Row],[Column1287]]</f>
        <v>44029</v>
      </c>
      <c r="AWN2">
        <f>SOFR3mo_PX[[#This Row],[Column1288]]</f>
        <v>44028</v>
      </c>
      <c r="AWO2">
        <f>SOFR3mo_PX[[#This Row],[Column1289]]</f>
        <v>44027</v>
      </c>
      <c r="AWP2">
        <f>SOFR3mo_PX[[#This Row],[Column1290]]</f>
        <v>44026</v>
      </c>
      <c r="AWQ2">
        <f>SOFR3mo_PX[[#This Row],[Column1291]]</f>
        <v>44025</v>
      </c>
      <c r="AWR2">
        <f>SOFR3mo_PX[[#This Row],[Column1292]]</f>
        <v>44022</v>
      </c>
      <c r="AWS2">
        <f>SOFR3mo_PX[[#This Row],[Column1293]]</f>
        <v>44021</v>
      </c>
      <c r="AWT2">
        <f>SOFR3mo_PX[[#This Row],[Column1294]]</f>
        <v>44020</v>
      </c>
      <c r="AWU2">
        <f>SOFR3mo_PX[[#This Row],[Column1295]]</f>
        <v>44019</v>
      </c>
      <c r="AWV2">
        <f>SOFR3mo_PX[[#This Row],[Column1296]]</f>
        <v>44018</v>
      </c>
      <c r="AWW2">
        <f>SOFR3mo_PX[[#This Row],[Column1297]]</f>
        <v>44015</v>
      </c>
      <c r="AWX2">
        <f>SOFR3mo_PX[[#This Row],[Column1298]]</f>
        <v>44014</v>
      </c>
      <c r="AWY2">
        <f>SOFR3mo_PX[[#This Row],[Column1299]]</f>
        <v>44013</v>
      </c>
      <c r="AWZ2">
        <f>SOFR3mo_PX[[#This Row],[Column1300]]</f>
        <v>44012</v>
      </c>
      <c r="AXA2">
        <f>SOFR3mo_PX[[#This Row],[Column1301]]</f>
        <v>44011</v>
      </c>
      <c r="AXB2">
        <f>SOFR3mo_PX[[#This Row],[Column1302]]</f>
        <v>44008</v>
      </c>
      <c r="AXC2">
        <f>SOFR3mo_PX[[#This Row],[Column1303]]</f>
        <v>44007</v>
      </c>
      <c r="AXD2">
        <f>SOFR3mo_PX[[#This Row],[Column1304]]</f>
        <v>44006</v>
      </c>
      <c r="AXE2">
        <f>SOFR3mo_PX[[#This Row],[Column1305]]</f>
        <v>44005</v>
      </c>
      <c r="AXF2">
        <f>SOFR3mo_PX[[#This Row],[Column1306]]</f>
        <v>44004</v>
      </c>
      <c r="AXG2">
        <f>SOFR3mo_PX[[#This Row],[Column1307]]</f>
        <v>44001</v>
      </c>
      <c r="AXH2">
        <f>SOFR3mo_PX[[#This Row],[Column1308]]</f>
        <v>44000</v>
      </c>
      <c r="AXI2">
        <f>SOFR3mo_PX[[#This Row],[Column1309]]</f>
        <v>43999</v>
      </c>
      <c r="AXJ2">
        <f>SOFR3mo_PX[[#This Row],[Column1310]]</f>
        <v>43998</v>
      </c>
      <c r="AXK2">
        <f>SOFR3mo_PX[[#This Row],[Column1311]]</f>
        <v>43997</v>
      </c>
      <c r="AXL2">
        <f>SOFR3mo_PX[[#This Row],[Column1312]]</f>
        <v>43994</v>
      </c>
      <c r="AXM2">
        <f>SOFR3mo_PX[[#This Row],[Column1313]]</f>
        <v>43993</v>
      </c>
      <c r="AXN2">
        <f>SOFR3mo_PX[[#This Row],[Column1314]]</f>
        <v>43992</v>
      </c>
      <c r="AXO2">
        <f>SOFR3mo_PX[[#This Row],[Column1315]]</f>
        <v>43991</v>
      </c>
      <c r="AXP2">
        <f>SOFR3mo_PX[[#This Row],[Column1316]]</f>
        <v>43990</v>
      </c>
      <c r="AXQ2">
        <f>SOFR3mo_PX[[#This Row],[Column1317]]</f>
        <v>43987</v>
      </c>
      <c r="AXR2">
        <f>SOFR3mo_PX[[#This Row],[Column1318]]</f>
        <v>43986</v>
      </c>
      <c r="AXS2">
        <f>SOFR3mo_PX[[#This Row],[Column1319]]</f>
        <v>43985</v>
      </c>
      <c r="AXT2">
        <f>SOFR3mo_PX[[#This Row],[Column1320]]</f>
        <v>43984</v>
      </c>
      <c r="AXU2">
        <f>SOFR3mo_PX[[#This Row],[Column1321]]</f>
        <v>43983</v>
      </c>
      <c r="AXV2">
        <f>SOFR3mo_PX[[#This Row],[Column1322]]</f>
        <v>43980</v>
      </c>
      <c r="AXW2">
        <f>SOFR3mo_PX[[#This Row],[Column1323]]</f>
        <v>43979</v>
      </c>
      <c r="AXX2">
        <f>SOFR3mo_PX[[#This Row],[Column1324]]</f>
        <v>43978</v>
      </c>
      <c r="AXY2">
        <f>SOFR3mo_PX[[#This Row],[Column1325]]</f>
        <v>43977</v>
      </c>
      <c r="AXZ2">
        <f>SOFR3mo_PX[[#This Row],[Column1326]]</f>
        <v>43976</v>
      </c>
      <c r="AYA2">
        <f>SOFR3mo_PX[[#This Row],[Column1327]]</f>
        <v>43973</v>
      </c>
      <c r="AYB2">
        <f>SOFR3mo_PX[[#This Row],[Column1328]]</f>
        <v>43972</v>
      </c>
      <c r="AYC2">
        <f>SOFR3mo_PX[[#This Row],[Column1329]]</f>
        <v>43971</v>
      </c>
      <c r="AYD2">
        <f>SOFR3mo_PX[[#This Row],[Column1330]]</f>
        <v>43970</v>
      </c>
      <c r="AYE2">
        <f>SOFR3mo_PX[[#This Row],[Column1331]]</f>
        <v>43969</v>
      </c>
      <c r="AYF2">
        <f>SOFR3mo_PX[[#This Row],[Column1332]]</f>
        <v>43966</v>
      </c>
      <c r="AYG2">
        <f>SOFR3mo_PX[[#This Row],[Column1333]]</f>
        <v>43965</v>
      </c>
      <c r="AYH2">
        <f>SOFR3mo_PX[[#This Row],[Column1334]]</f>
        <v>43964</v>
      </c>
      <c r="AYI2">
        <f>SOFR3mo_PX[[#This Row],[Column1335]]</f>
        <v>43963</v>
      </c>
      <c r="AYJ2">
        <f>SOFR3mo_PX[[#This Row],[Column1336]]</f>
        <v>43962</v>
      </c>
      <c r="AYK2">
        <f>SOFR3mo_PX[[#This Row],[Column1337]]</f>
        <v>43959</v>
      </c>
      <c r="AYL2">
        <f>SOFR3mo_PX[[#This Row],[Column1338]]</f>
        <v>43958</v>
      </c>
      <c r="AYM2">
        <f>SOFR3mo_PX[[#This Row],[Column1339]]</f>
        <v>43957</v>
      </c>
      <c r="AYN2">
        <f>SOFR3mo_PX[[#This Row],[Column1340]]</f>
        <v>43956</v>
      </c>
      <c r="AYO2">
        <f>SOFR3mo_PX[[#This Row],[Column1341]]</f>
        <v>43955</v>
      </c>
      <c r="AYP2">
        <f>SOFR3mo_PX[[#This Row],[Column1342]]</f>
        <v>43952</v>
      </c>
      <c r="AYQ2">
        <f>SOFR3mo_PX[[#This Row],[Column1343]]</f>
        <v>43951</v>
      </c>
      <c r="AYR2">
        <f>SOFR3mo_PX[[#This Row],[Column1344]]</f>
        <v>43950</v>
      </c>
      <c r="AYS2">
        <f>SOFR3mo_PX[[#This Row],[Column1345]]</f>
        <v>43949</v>
      </c>
      <c r="AYT2">
        <f>SOFR3mo_PX[[#This Row],[Column1346]]</f>
        <v>43948</v>
      </c>
      <c r="AYU2">
        <f>SOFR3mo_PX[[#This Row],[Column1347]]</f>
        <v>43945</v>
      </c>
      <c r="AYV2">
        <f>SOFR3mo_PX[[#This Row],[Column1348]]</f>
        <v>43944</v>
      </c>
      <c r="AYW2">
        <f>SOFR3mo_PX[[#This Row],[Column1349]]</f>
        <v>43943</v>
      </c>
      <c r="AYX2">
        <f>SOFR3mo_PX[[#This Row],[Column1350]]</f>
        <v>43942</v>
      </c>
      <c r="AYY2">
        <f>SOFR3mo_PX[[#This Row],[Column1351]]</f>
        <v>43941</v>
      </c>
      <c r="AYZ2">
        <f>SOFR3mo_PX[[#This Row],[Column1352]]</f>
        <v>43938</v>
      </c>
      <c r="AZA2">
        <f>SOFR3mo_PX[[#This Row],[Column1353]]</f>
        <v>43937</v>
      </c>
      <c r="AZB2">
        <f>SOFR3mo_PX[[#This Row],[Column1354]]</f>
        <v>43936</v>
      </c>
      <c r="AZC2">
        <f>SOFR3mo_PX[[#This Row],[Column1355]]</f>
        <v>43935</v>
      </c>
      <c r="AZD2">
        <f>SOFR3mo_PX[[#This Row],[Column1356]]</f>
        <v>43934</v>
      </c>
      <c r="AZE2">
        <f>SOFR3mo_PX[[#This Row],[Column1357]]</f>
        <v>43931</v>
      </c>
      <c r="AZF2">
        <f>SOFR3mo_PX[[#This Row],[Column1358]]</f>
        <v>43930</v>
      </c>
      <c r="AZG2">
        <f>SOFR3mo_PX[[#This Row],[Column1359]]</f>
        <v>43929</v>
      </c>
      <c r="AZH2">
        <f>SOFR3mo_PX[[#This Row],[Column1360]]</f>
        <v>43928</v>
      </c>
      <c r="AZI2">
        <f>SOFR3mo_PX[[#This Row],[Column1361]]</f>
        <v>43927</v>
      </c>
      <c r="AZJ2">
        <f>SOFR3mo_PX[[#This Row],[Column1362]]</f>
        <v>43924</v>
      </c>
      <c r="AZK2">
        <f>SOFR3mo_PX[[#This Row],[Column1363]]</f>
        <v>43923</v>
      </c>
      <c r="AZL2">
        <f>SOFR3mo_PX[[#This Row],[Column1364]]</f>
        <v>43922</v>
      </c>
      <c r="AZM2">
        <f>SOFR3mo_PX[[#This Row],[Column1365]]</f>
        <v>43921</v>
      </c>
      <c r="AZN2">
        <f>SOFR3mo_PX[[#This Row],[Column1366]]</f>
        <v>43920</v>
      </c>
      <c r="AZO2">
        <f>SOFR3mo_PX[[#This Row],[Column1367]]</f>
        <v>43917</v>
      </c>
      <c r="AZP2">
        <f>SOFR3mo_PX[[#This Row],[Column1368]]</f>
        <v>43916</v>
      </c>
      <c r="AZQ2">
        <f>SOFR3mo_PX[[#This Row],[Column1369]]</f>
        <v>43915</v>
      </c>
      <c r="AZR2">
        <f>SOFR3mo_PX[[#This Row],[Column1370]]</f>
        <v>43914</v>
      </c>
      <c r="AZS2">
        <f>SOFR3mo_PX[[#This Row],[Column1371]]</f>
        <v>43913</v>
      </c>
      <c r="AZT2">
        <f>SOFR3mo_PX[[#This Row],[Column1372]]</f>
        <v>43910</v>
      </c>
      <c r="AZU2">
        <f>SOFR3mo_PX[[#This Row],[Column1373]]</f>
        <v>43909</v>
      </c>
      <c r="AZV2">
        <f>SOFR3mo_PX[[#This Row],[Column1374]]</f>
        <v>43908</v>
      </c>
      <c r="AZW2">
        <f>SOFR3mo_PX[[#This Row],[Column1375]]</f>
        <v>43907</v>
      </c>
      <c r="AZX2">
        <f>SOFR3mo_PX[[#This Row],[Column1376]]</f>
        <v>43906</v>
      </c>
      <c r="AZY2">
        <f>SOFR3mo_PX[[#This Row],[Column1377]]</f>
        <v>43903</v>
      </c>
      <c r="AZZ2">
        <f>SOFR3mo_PX[[#This Row],[Column1378]]</f>
        <v>43902</v>
      </c>
      <c r="BAA2">
        <f>SOFR3mo_PX[[#This Row],[Column1379]]</f>
        <v>43901</v>
      </c>
      <c r="BAB2">
        <f>SOFR3mo_PX[[#This Row],[Column1380]]</f>
        <v>43900</v>
      </c>
      <c r="BAC2">
        <f>SOFR3mo_PX[[#This Row],[Column1381]]</f>
        <v>43899</v>
      </c>
      <c r="BAD2">
        <f>SOFR3mo_PX[[#This Row],[Column1382]]</f>
        <v>43896</v>
      </c>
      <c r="BAE2">
        <f>SOFR3mo_PX[[#This Row],[Column1383]]</f>
        <v>43895</v>
      </c>
      <c r="BAF2">
        <f>SOFR3mo_PX[[#This Row],[Column1384]]</f>
        <v>43894</v>
      </c>
      <c r="BAG2">
        <f>SOFR3mo_PX[[#This Row],[Column1385]]</f>
        <v>43893</v>
      </c>
      <c r="BAH2">
        <f>SOFR3mo_PX[[#This Row],[Column1386]]</f>
        <v>43892</v>
      </c>
      <c r="BAI2">
        <f>SOFR3mo_PX[[#This Row],[Column1387]]</f>
        <v>43889</v>
      </c>
      <c r="BAJ2">
        <f>SOFR3mo_PX[[#This Row],[Column1388]]</f>
        <v>43888</v>
      </c>
      <c r="BAK2">
        <f>SOFR3mo_PX[[#This Row],[Column1389]]</f>
        <v>43887</v>
      </c>
      <c r="BAL2">
        <f>SOFR3mo_PX[[#This Row],[Column1390]]</f>
        <v>43886</v>
      </c>
      <c r="BAM2">
        <f>SOFR3mo_PX[[#This Row],[Column1391]]</f>
        <v>43885</v>
      </c>
      <c r="BAN2">
        <f>SOFR3mo_PX[[#This Row],[Column1392]]</f>
        <v>43882</v>
      </c>
      <c r="BAO2">
        <f>SOFR3mo_PX[[#This Row],[Column1393]]</f>
        <v>43881</v>
      </c>
      <c r="BAP2">
        <f>SOFR3mo_PX[[#This Row],[Column1394]]</f>
        <v>43880</v>
      </c>
      <c r="BAQ2">
        <f>SOFR3mo_PX[[#This Row],[Column1395]]</f>
        <v>43879</v>
      </c>
      <c r="BAR2">
        <f>SOFR3mo_PX[[#This Row],[Column1396]]</f>
        <v>43878</v>
      </c>
      <c r="BAS2">
        <f>SOFR3mo_PX[[#This Row],[Column1397]]</f>
        <v>43875</v>
      </c>
      <c r="BAT2">
        <f>SOFR3mo_PX[[#This Row],[Column1398]]</f>
        <v>43874</v>
      </c>
      <c r="BAU2">
        <f>SOFR3mo_PX[[#This Row],[Column1399]]</f>
        <v>43873</v>
      </c>
      <c r="BAV2">
        <f>SOFR3mo_PX[[#This Row],[Column1400]]</f>
        <v>43872</v>
      </c>
      <c r="BAW2">
        <f>SOFR3mo_PX[[#This Row],[Column1401]]</f>
        <v>43871</v>
      </c>
      <c r="BAX2">
        <f>SOFR3mo_PX[[#This Row],[Column1402]]</f>
        <v>43868</v>
      </c>
      <c r="BAY2">
        <f>SOFR3mo_PX[[#This Row],[Column1403]]</f>
        <v>43867</v>
      </c>
      <c r="BAZ2">
        <f>SOFR3mo_PX[[#This Row],[Column1404]]</f>
        <v>43866</v>
      </c>
      <c r="BBA2">
        <f>SOFR3mo_PX[[#This Row],[Column1405]]</f>
        <v>43865</v>
      </c>
      <c r="BBB2">
        <f>SOFR3mo_PX[[#This Row],[Column1406]]</f>
        <v>43864</v>
      </c>
      <c r="BBC2">
        <f>SOFR3mo_PX[[#This Row],[Column1407]]</f>
        <v>43861</v>
      </c>
      <c r="BBD2">
        <f>SOFR3mo_PX[[#This Row],[Column1408]]</f>
        <v>43860</v>
      </c>
      <c r="BBE2">
        <f>SOFR3mo_PX[[#This Row],[Column1409]]</f>
        <v>43859</v>
      </c>
      <c r="BBF2">
        <f>SOFR3mo_PX[[#This Row],[Column1410]]</f>
        <v>43858</v>
      </c>
      <c r="BBG2">
        <f>SOFR3mo_PX[[#This Row],[Column1411]]</f>
        <v>43857</v>
      </c>
      <c r="BBH2">
        <f>SOFR3mo_PX[[#This Row],[Column1412]]</f>
        <v>43854</v>
      </c>
      <c r="BBI2">
        <f>SOFR3mo_PX[[#This Row],[Column1413]]</f>
        <v>43853</v>
      </c>
      <c r="BBJ2">
        <f>SOFR3mo_PX[[#This Row],[Column1414]]</f>
        <v>43852</v>
      </c>
      <c r="BBK2">
        <f>SOFR3mo_PX[[#This Row],[Column1415]]</f>
        <v>43851</v>
      </c>
      <c r="BBL2">
        <f>SOFR3mo_PX[[#This Row],[Column1416]]</f>
        <v>43850</v>
      </c>
      <c r="BBM2">
        <f>SOFR3mo_PX[[#This Row],[Column1417]]</f>
        <v>43847</v>
      </c>
      <c r="BBN2">
        <f>SOFR3mo_PX[[#This Row],[Column1418]]</f>
        <v>43846</v>
      </c>
      <c r="BBO2">
        <f>SOFR3mo_PX[[#This Row],[Column1419]]</f>
        <v>43845</v>
      </c>
      <c r="BBP2">
        <f>SOFR3mo_PX[[#This Row],[Column1420]]</f>
        <v>43844</v>
      </c>
      <c r="BBQ2">
        <f>SOFR3mo_PX[[#This Row],[Column1421]]</f>
        <v>43843</v>
      </c>
      <c r="BBR2">
        <f>SOFR3mo_PX[[#This Row],[Column1422]]</f>
        <v>43840</v>
      </c>
      <c r="BBS2">
        <f>SOFR3mo_PX[[#This Row],[Column1423]]</f>
        <v>43839</v>
      </c>
      <c r="BBT2">
        <f>SOFR3mo_PX[[#This Row],[Column1424]]</f>
        <v>43838</v>
      </c>
      <c r="BBU2">
        <f>SOFR3mo_PX[[#This Row],[Column1425]]</f>
        <v>43837</v>
      </c>
      <c r="BBV2">
        <f>SOFR3mo_PX[[#This Row],[Column1426]]</f>
        <v>43836</v>
      </c>
      <c r="BBW2">
        <f>SOFR3mo_PX[[#This Row],[Column1427]]</f>
        <v>43833</v>
      </c>
      <c r="BBX2">
        <f>SOFR3mo_PX[[#This Row],[Column1428]]</f>
        <v>43832</v>
      </c>
      <c r="BBY2">
        <f>SOFR3mo_PX[[#This Row],[Column1429]]</f>
        <v>43831</v>
      </c>
      <c r="BBZ2">
        <f>SOFR3mo_PX[[#This Row],[Column1430]]</f>
        <v>43830</v>
      </c>
      <c r="BCA2">
        <f>SOFR3mo_PX[[#This Row],[Column1431]]</f>
        <v>43829</v>
      </c>
      <c r="BCB2">
        <f>SOFR3mo_PX[[#This Row],[Column1432]]</f>
        <v>43826</v>
      </c>
      <c r="BCC2">
        <f>SOFR3mo_PX[[#This Row],[Column1433]]</f>
        <v>43825</v>
      </c>
      <c r="BCD2">
        <f>SOFR3mo_PX[[#This Row],[Column1434]]</f>
        <v>43824</v>
      </c>
      <c r="BCE2">
        <f>SOFR3mo_PX[[#This Row],[Column1435]]</f>
        <v>43823</v>
      </c>
      <c r="BCF2">
        <f>SOFR3mo_PX[[#This Row],[Column1436]]</f>
        <v>43822</v>
      </c>
      <c r="BCG2">
        <f>SOFR3mo_PX[[#This Row],[Column1437]]</f>
        <v>43819</v>
      </c>
      <c r="BCH2">
        <f>SOFR3mo_PX[[#This Row],[Column1438]]</f>
        <v>43818</v>
      </c>
      <c r="BCI2">
        <f>SOFR3mo_PX[[#This Row],[Column1439]]</f>
        <v>43817</v>
      </c>
      <c r="BCJ2">
        <f>SOFR3mo_PX[[#This Row],[Column1440]]</f>
        <v>43816</v>
      </c>
      <c r="BCK2">
        <f>SOFR3mo_PX[[#This Row],[Column1441]]</f>
        <v>43815</v>
      </c>
      <c r="BCL2">
        <f>SOFR3mo_PX[[#This Row],[Column1442]]</f>
        <v>43812</v>
      </c>
      <c r="BCM2">
        <f>SOFR3mo_PX[[#This Row],[Column1443]]</f>
        <v>43811</v>
      </c>
      <c r="BCN2">
        <f>SOFR3mo_PX[[#This Row],[Column1444]]</f>
        <v>43810</v>
      </c>
      <c r="BCO2">
        <f>SOFR3mo_PX[[#This Row],[Column1445]]</f>
        <v>43809</v>
      </c>
      <c r="BCP2">
        <f>SOFR3mo_PX[[#This Row],[Column1446]]</f>
        <v>43808</v>
      </c>
      <c r="BCQ2">
        <f>SOFR3mo_PX[[#This Row],[Column1447]]</f>
        <v>43805</v>
      </c>
      <c r="BCR2">
        <f>SOFR3mo_PX[[#This Row],[Column1448]]</f>
        <v>43804</v>
      </c>
      <c r="BCS2">
        <f>SOFR3mo_PX[[#This Row],[Column1449]]</f>
        <v>43803</v>
      </c>
      <c r="BCT2">
        <f>SOFR3mo_PX[[#This Row],[Column1450]]</f>
        <v>43802</v>
      </c>
      <c r="BCU2">
        <f>SOFR3mo_PX[[#This Row],[Column1451]]</f>
        <v>43801</v>
      </c>
      <c r="BCV2">
        <f>SOFR3mo_PX[[#This Row],[Column1452]]</f>
        <v>43798</v>
      </c>
      <c r="BCW2">
        <f>SOFR3mo_PX[[#This Row],[Column1453]]</f>
        <v>43797</v>
      </c>
      <c r="BCX2">
        <f>SOFR3mo_PX[[#This Row],[Column1454]]</f>
        <v>43796</v>
      </c>
      <c r="BCY2">
        <f>SOFR3mo_PX[[#This Row],[Column1455]]</f>
        <v>43795</v>
      </c>
      <c r="BCZ2">
        <f>SOFR3mo_PX[[#This Row],[Column1456]]</f>
        <v>43794</v>
      </c>
      <c r="BDA2">
        <f>SOFR3mo_PX[[#This Row],[Column1457]]</f>
        <v>43791</v>
      </c>
      <c r="BDB2">
        <f>SOFR3mo_PX[[#This Row],[Column1458]]</f>
        <v>43790</v>
      </c>
      <c r="BDC2">
        <f>SOFR3mo_PX[[#This Row],[Column1459]]</f>
        <v>43789</v>
      </c>
      <c r="BDD2">
        <f>SOFR3mo_PX[[#This Row],[Column1460]]</f>
        <v>43788</v>
      </c>
      <c r="BDE2">
        <f>SOFR3mo_PX[[#This Row],[Column1461]]</f>
        <v>43787</v>
      </c>
      <c r="BDF2">
        <f>SOFR3mo_PX[[#This Row],[Column1462]]</f>
        <v>43784</v>
      </c>
      <c r="BDG2">
        <f>SOFR3mo_PX[[#This Row],[Column1463]]</f>
        <v>43783</v>
      </c>
      <c r="BDH2">
        <f>SOFR3mo_PX[[#This Row],[Column1464]]</f>
        <v>43782</v>
      </c>
      <c r="BDI2">
        <f>SOFR3mo_PX[[#This Row],[Column1465]]</f>
        <v>43781</v>
      </c>
      <c r="BDJ2">
        <f>SOFR3mo_PX[[#This Row],[Column1466]]</f>
        <v>43780</v>
      </c>
      <c r="BDK2">
        <f>SOFR3mo_PX[[#This Row],[Column1467]]</f>
        <v>43777</v>
      </c>
      <c r="BDL2">
        <f>SOFR3mo_PX[[#This Row],[Column1468]]</f>
        <v>43776</v>
      </c>
      <c r="BDM2">
        <f>SOFR3mo_PX[[#This Row],[Column1469]]</f>
        <v>43775</v>
      </c>
      <c r="BDN2">
        <f>SOFR3mo_PX[[#This Row],[Column1470]]</f>
        <v>43774</v>
      </c>
      <c r="BDO2">
        <f>SOFR3mo_PX[[#This Row],[Column1471]]</f>
        <v>43773</v>
      </c>
      <c r="BDP2">
        <f>SOFR3mo_PX[[#This Row],[Column1472]]</f>
        <v>43770</v>
      </c>
      <c r="BDQ2">
        <f>SOFR3mo_PX[[#This Row],[Column1473]]</f>
        <v>43769</v>
      </c>
      <c r="BDR2">
        <f>SOFR3mo_PX[[#This Row],[Column1474]]</f>
        <v>43768</v>
      </c>
      <c r="BDS2">
        <f>SOFR3mo_PX[[#This Row],[Column1475]]</f>
        <v>43767</v>
      </c>
      <c r="BDT2">
        <f>SOFR3mo_PX[[#This Row],[Column1476]]</f>
        <v>43766</v>
      </c>
      <c r="BDU2">
        <f>SOFR3mo_PX[[#This Row],[Column1477]]</f>
        <v>43763</v>
      </c>
      <c r="BDV2">
        <f>SOFR3mo_PX[[#This Row],[Column1478]]</f>
        <v>43762</v>
      </c>
      <c r="BDW2">
        <f>SOFR3mo_PX[[#This Row],[Column1479]]</f>
        <v>43761</v>
      </c>
      <c r="BDX2">
        <f>SOFR3mo_PX[[#This Row],[Column1480]]</f>
        <v>43760</v>
      </c>
      <c r="BDY2">
        <f>SOFR3mo_PX[[#This Row],[Column1481]]</f>
        <v>43759</v>
      </c>
      <c r="BDZ2">
        <f>SOFR3mo_PX[[#This Row],[Column1482]]</f>
        <v>43756</v>
      </c>
      <c r="BEA2">
        <f>SOFR3mo_PX[[#This Row],[Column1483]]</f>
        <v>43755</v>
      </c>
      <c r="BEB2">
        <f>SOFR3mo_PX[[#This Row],[Column1484]]</f>
        <v>43754</v>
      </c>
      <c r="BEC2">
        <f>SOFR3mo_PX[[#This Row],[Column1485]]</f>
        <v>43753</v>
      </c>
      <c r="BED2">
        <f>SOFR3mo_PX[[#This Row],[Column1486]]</f>
        <v>43752</v>
      </c>
      <c r="BEE2">
        <f>SOFR3mo_PX[[#This Row],[Column1487]]</f>
        <v>43749</v>
      </c>
      <c r="BEF2">
        <f>SOFR3mo_PX[[#This Row],[Column1488]]</f>
        <v>43748</v>
      </c>
      <c r="BEG2">
        <f>SOFR3mo_PX[[#This Row],[Column1489]]</f>
        <v>43747</v>
      </c>
      <c r="BEH2">
        <f>SOFR3mo_PX[[#This Row],[Column1490]]</f>
        <v>43746</v>
      </c>
      <c r="BEI2">
        <f>SOFR3mo_PX[[#This Row],[Column1491]]</f>
        <v>43745</v>
      </c>
      <c r="BEJ2">
        <f>SOFR3mo_PX[[#This Row],[Column1492]]</f>
        <v>43742</v>
      </c>
      <c r="BEK2">
        <f>SOFR3mo_PX[[#This Row],[Column1493]]</f>
        <v>43741</v>
      </c>
      <c r="BEL2">
        <f>SOFR3mo_PX[[#This Row],[Column1494]]</f>
        <v>43740</v>
      </c>
      <c r="BEM2">
        <f>SOFR3mo_PX[[#This Row],[Column1495]]</f>
        <v>43739</v>
      </c>
      <c r="BEN2">
        <f>SOFR3mo_PX[[#This Row],[Column1496]]</f>
        <v>43738</v>
      </c>
      <c r="BEO2">
        <f>SOFR3mo_PX[[#This Row],[Column1497]]</f>
        <v>43735</v>
      </c>
      <c r="BEP2">
        <f>SOFR3mo_PX[[#This Row],[Column1498]]</f>
        <v>43734</v>
      </c>
      <c r="BEQ2">
        <f>SOFR3mo_PX[[#This Row],[Column1499]]</f>
        <v>43733</v>
      </c>
      <c r="BER2">
        <f>SOFR3mo_PX[[#This Row],[Column1500]]</f>
        <v>43732</v>
      </c>
      <c r="BES2">
        <f>SOFR3mo_PX[[#This Row],[Column1501]]</f>
        <v>43731</v>
      </c>
      <c r="BET2">
        <f>SOFR3mo_PX[[#This Row],[Column1502]]</f>
        <v>43728</v>
      </c>
      <c r="BEU2">
        <f>SOFR3mo_PX[[#This Row],[Column1503]]</f>
        <v>43727</v>
      </c>
      <c r="BEV2">
        <f>SOFR3mo_PX[[#This Row],[Column1504]]</f>
        <v>43726</v>
      </c>
      <c r="BEW2">
        <f>SOFR3mo_PX[[#This Row],[Column1505]]</f>
        <v>43725</v>
      </c>
      <c r="BEX2">
        <f>SOFR3mo_PX[[#This Row],[Column1506]]</f>
        <v>43724</v>
      </c>
      <c r="BEY2">
        <f>SOFR3mo_PX[[#This Row],[Column1507]]</f>
        <v>43721</v>
      </c>
      <c r="BEZ2">
        <f>SOFR3mo_PX[[#This Row],[Column1508]]</f>
        <v>43720</v>
      </c>
      <c r="BFA2">
        <f>SOFR3mo_PX[[#This Row],[Column1509]]</f>
        <v>43719</v>
      </c>
      <c r="BFB2">
        <f>SOFR3mo_PX[[#This Row],[Column1510]]</f>
        <v>43718</v>
      </c>
      <c r="BFC2">
        <f>SOFR3mo_PX[[#This Row],[Column1511]]</f>
        <v>43717</v>
      </c>
      <c r="BFD2">
        <f>SOFR3mo_PX[[#This Row],[Column1512]]</f>
        <v>43714</v>
      </c>
      <c r="BFE2">
        <f>SOFR3mo_PX[[#This Row],[Column1513]]</f>
        <v>43713</v>
      </c>
      <c r="BFF2">
        <f>SOFR3mo_PX[[#This Row],[Column1514]]</f>
        <v>43712</v>
      </c>
      <c r="BFG2">
        <f>SOFR3mo_PX[[#This Row],[Column1515]]</f>
        <v>43711</v>
      </c>
      <c r="BFH2">
        <f>SOFR3mo_PX[[#This Row],[Column1516]]</f>
        <v>43710</v>
      </c>
      <c r="BFI2">
        <f>SOFR3mo_PX[[#This Row],[Column1517]]</f>
        <v>43707</v>
      </c>
      <c r="BFJ2">
        <f>SOFR3mo_PX[[#This Row],[Column1518]]</f>
        <v>43706</v>
      </c>
      <c r="BFK2">
        <f>SOFR3mo_PX[[#This Row],[Column1519]]</f>
        <v>43705</v>
      </c>
      <c r="BFL2">
        <f>SOFR3mo_PX[[#This Row],[Column1520]]</f>
        <v>43704</v>
      </c>
      <c r="BFM2">
        <f>SOFR3mo_PX[[#This Row],[Column1521]]</f>
        <v>43703</v>
      </c>
      <c r="BFN2">
        <f>SOFR3mo_PX[[#This Row],[Column1522]]</f>
        <v>43700</v>
      </c>
      <c r="BFO2">
        <f>SOFR3mo_PX[[#This Row],[Column1523]]</f>
        <v>43699</v>
      </c>
      <c r="BFP2">
        <f>SOFR3mo_PX[[#This Row],[Column1524]]</f>
        <v>43698</v>
      </c>
      <c r="BFQ2">
        <f>SOFR3mo_PX[[#This Row],[Column1525]]</f>
        <v>43697</v>
      </c>
      <c r="BFR2">
        <f>SOFR3mo_PX[[#This Row],[Column1526]]</f>
        <v>43696</v>
      </c>
      <c r="BFS2">
        <f>SOFR3mo_PX[[#This Row],[Column1527]]</f>
        <v>43693</v>
      </c>
      <c r="BFT2">
        <f>SOFR3mo_PX[[#This Row],[Column1528]]</f>
        <v>43692</v>
      </c>
      <c r="BFU2">
        <f>SOFR3mo_PX[[#This Row],[Column1529]]</f>
        <v>43691</v>
      </c>
      <c r="BFV2">
        <f>SOFR3mo_PX[[#This Row],[Column1530]]</f>
        <v>43690</v>
      </c>
      <c r="BFW2">
        <f>SOFR3mo_PX[[#This Row],[Column1531]]</f>
        <v>43689</v>
      </c>
      <c r="BFX2">
        <f>SOFR3mo_PX[[#This Row],[Column1532]]</f>
        <v>43686</v>
      </c>
      <c r="BFY2">
        <f>SOFR3mo_PX[[#This Row],[Column1533]]</f>
        <v>43685</v>
      </c>
      <c r="BFZ2">
        <f>SOFR3mo_PX[[#This Row],[Column1534]]</f>
        <v>43684</v>
      </c>
      <c r="BGA2">
        <f>SOFR3mo_PX[[#This Row],[Column1535]]</f>
        <v>43683</v>
      </c>
      <c r="BGB2">
        <f>SOFR3mo_PX[[#This Row],[Column1536]]</f>
        <v>43682</v>
      </c>
      <c r="BGC2">
        <f>SOFR3mo_PX[[#This Row],[Column1537]]</f>
        <v>43679</v>
      </c>
      <c r="BGD2">
        <f>SOFR3mo_PX[[#This Row],[Column1538]]</f>
        <v>43678</v>
      </c>
      <c r="BGE2">
        <f>SOFR3mo_PX[[#This Row],[Column1539]]</f>
        <v>43677</v>
      </c>
      <c r="BGF2">
        <f>SOFR3mo_PX[[#This Row],[Column1540]]</f>
        <v>43676</v>
      </c>
      <c r="BGG2">
        <f>SOFR3mo_PX[[#This Row],[Column1541]]</f>
        <v>43675</v>
      </c>
      <c r="BGH2">
        <f>SOFR3mo_PX[[#This Row],[Column1542]]</f>
        <v>43672</v>
      </c>
      <c r="BGI2">
        <f>SOFR3mo_PX[[#This Row],[Column1543]]</f>
        <v>43671</v>
      </c>
      <c r="BGJ2">
        <f>SOFR3mo_PX[[#This Row],[Column1544]]</f>
        <v>43670</v>
      </c>
      <c r="BGK2">
        <f>SOFR3mo_PX[[#This Row],[Column1545]]</f>
        <v>43669</v>
      </c>
      <c r="BGL2">
        <f>SOFR3mo_PX[[#This Row],[Column1546]]</f>
        <v>43668</v>
      </c>
      <c r="BGM2">
        <f>SOFR3mo_PX[[#This Row],[Column1547]]</f>
        <v>43665</v>
      </c>
      <c r="BGN2">
        <f>SOFR3mo_PX[[#This Row],[Column1548]]</f>
        <v>43664</v>
      </c>
      <c r="BGO2">
        <f>SOFR3mo_PX[[#This Row],[Column1549]]</f>
        <v>43663</v>
      </c>
      <c r="BGP2">
        <f>SOFR3mo_PX[[#This Row],[Column1550]]</f>
        <v>43662</v>
      </c>
      <c r="BGQ2">
        <f>SOFR3mo_PX[[#This Row],[Column1551]]</f>
        <v>43661</v>
      </c>
      <c r="BGR2">
        <f>SOFR3mo_PX[[#This Row],[Column1552]]</f>
        <v>43658</v>
      </c>
      <c r="BGS2">
        <f>SOFR3mo_PX[[#This Row],[Column1553]]</f>
        <v>43657</v>
      </c>
      <c r="BGT2">
        <f>SOFR3mo_PX[[#This Row],[Column1554]]</f>
        <v>43656</v>
      </c>
      <c r="BGU2">
        <f>SOFR3mo_PX[[#This Row],[Column1555]]</f>
        <v>43655</v>
      </c>
      <c r="BGV2">
        <f>SOFR3mo_PX[[#This Row],[Column1556]]</f>
        <v>43654</v>
      </c>
      <c r="BGW2">
        <f>SOFR3mo_PX[[#This Row],[Column1557]]</f>
        <v>43651</v>
      </c>
      <c r="BGX2">
        <f>SOFR3mo_PX[[#This Row],[Column1558]]</f>
        <v>43650</v>
      </c>
      <c r="BGY2">
        <f>SOFR3mo_PX[[#This Row],[Column1559]]</f>
        <v>43649</v>
      </c>
      <c r="BGZ2">
        <f>SOFR3mo_PX[[#This Row],[Column1560]]</f>
        <v>43648</v>
      </c>
      <c r="BHA2">
        <f>SOFR3mo_PX[[#This Row],[Column1561]]</f>
        <v>43647</v>
      </c>
      <c r="BHB2">
        <f>SOFR3mo_PX[[#This Row],[Column1562]]</f>
        <v>43644</v>
      </c>
      <c r="BHC2">
        <f>SOFR3mo_PX[[#This Row],[Column1563]]</f>
        <v>43643</v>
      </c>
      <c r="BHD2">
        <f>SOFR3mo_PX[[#This Row],[Column1564]]</f>
        <v>43642</v>
      </c>
      <c r="BHE2">
        <f>SOFR3mo_PX[[#This Row],[Column1565]]</f>
        <v>43641</v>
      </c>
      <c r="BHF2">
        <f>SOFR3mo_PX[[#This Row],[Column1566]]</f>
        <v>43640</v>
      </c>
      <c r="BHG2">
        <f>SOFR3mo_PX[[#This Row],[Column1567]]</f>
        <v>43637</v>
      </c>
      <c r="BHH2">
        <f>SOFR3mo_PX[[#This Row],[Column1568]]</f>
        <v>43636</v>
      </c>
      <c r="BHI2">
        <f>SOFR3mo_PX[[#This Row],[Column1569]]</f>
        <v>43635</v>
      </c>
      <c r="BHJ2">
        <f>SOFR3mo_PX[[#This Row],[Column1570]]</f>
        <v>43634</v>
      </c>
      <c r="BHK2">
        <f>SOFR3mo_PX[[#This Row],[Column1571]]</f>
        <v>43633</v>
      </c>
      <c r="BHL2">
        <f>SOFR3mo_PX[[#This Row],[Column1572]]</f>
        <v>43630</v>
      </c>
      <c r="BHM2">
        <f>SOFR3mo_PX[[#This Row],[Column1573]]</f>
        <v>43629</v>
      </c>
      <c r="BHN2">
        <f>SOFR3mo_PX[[#This Row],[Column1574]]</f>
        <v>43628</v>
      </c>
      <c r="BHO2">
        <f>SOFR3mo_PX[[#This Row],[Column1575]]</f>
        <v>43627</v>
      </c>
      <c r="BHP2">
        <f>SOFR3mo_PX[[#This Row],[Column1576]]</f>
        <v>43626</v>
      </c>
      <c r="BHQ2">
        <f>SOFR3mo_PX[[#This Row],[Column1577]]</f>
        <v>43623</v>
      </c>
      <c r="BHR2">
        <f>SOFR3mo_PX[[#This Row],[Column1578]]</f>
        <v>43622</v>
      </c>
      <c r="BHS2">
        <f>SOFR3mo_PX[[#This Row],[Column1579]]</f>
        <v>43621</v>
      </c>
      <c r="BHT2">
        <f>SOFR3mo_PX[[#This Row],[Column1580]]</f>
        <v>43620</v>
      </c>
      <c r="BHU2">
        <f>SOFR3mo_PX[[#This Row],[Column1581]]</f>
        <v>43619</v>
      </c>
      <c r="BHV2">
        <f>SOFR3mo_PX[[#This Row],[Column1582]]</f>
        <v>43616</v>
      </c>
      <c r="BHW2">
        <f>SOFR3mo_PX[[#This Row],[Column1583]]</f>
        <v>43615</v>
      </c>
      <c r="BHX2">
        <f>SOFR3mo_PX[[#This Row],[Column1584]]</f>
        <v>43614</v>
      </c>
      <c r="BHY2">
        <f>SOFR3mo_PX[[#This Row],[Column1585]]</f>
        <v>43613</v>
      </c>
      <c r="BHZ2">
        <f>SOFR3mo_PX[[#This Row],[Column1586]]</f>
        <v>43612</v>
      </c>
      <c r="BIA2">
        <f>SOFR3mo_PX[[#This Row],[Column1587]]</f>
        <v>43609</v>
      </c>
      <c r="BIB2">
        <f>SOFR3mo_PX[[#This Row],[Column1588]]</f>
        <v>43608</v>
      </c>
      <c r="BIC2">
        <f>SOFR3mo_PX[[#This Row],[Column1589]]</f>
        <v>43607</v>
      </c>
      <c r="BID2">
        <f>SOFR3mo_PX[[#This Row],[Column1590]]</f>
        <v>43606</v>
      </c>
      <c r="BIE2">
        <f>SOFR3mo_PX[[#This Row],[Column1591]]</f>
        <v>43605</v>
      </c>
      <c r="BIF2">
        <f>SOFR3mo_PX[[#This Row],[Column1592]]</f>
        <v>43602</v>
      </c>
      <c r="BIG2">
        <f>SOFR3mo_PX[[#This Row],[Column1593]]</f>
        <v>43601</v>
      </c>
      <c r="BIH2">
        <f>SOFR3mo_PX[[#This Row],[Column1594]]</f>
        <v>43600</v>
      </c>
      <c r="BII2">
        <f>SOFR3mo_PX[[#This Row],[Column1595]]</f>
        <v>43599</v>
      </c>
      <c r="BIJ2">
        <f>SOFR3mo_PX[[#This Row],[Column1596]]</f>
        <v>43598</v>
      </c>
      <c r="BIK2">
        <f>SOFR3mo_PX[[#This Row],[Column1597]]</f>
        <v>43595</v>
      </c>
      <c r="BIL2">
        <f>SOFR3mo_PX[[#This Row],[Column1598]]</f>
        <v>43594</v>
      </c>
      <c r="BIM2">
        <f>SOFR3mo_PX[[#This Row],[Column1599]]</f>
        <v>43593</v>
      </c>
      <c r="BIN2">
        <f>SOFR3mo_PX[[#This Row],[Column1600]]</f>
        <v>43592</v>
      </c>
      <c r="BIO2">
        <f>SOFR3mo_PX[[#This Row],[Column1601]]</f>
        <v>43591</v>
      </c>
      <c r="BIP2">
        <f>SOFR3mo_PX[[#This Row],[Column1602]]</f>
        <v>43588</v>
      </c>
      <c r="BIQ2">
        <f>SOFR3mo_PX[[#This Row],[Column1603]]</f>
        <v>43587</v>
      </c>
      <c r="BIR2">
        <f>SOFR3mo_PX[[#This Row],[Column1604]]</f>
        <v>43586</v>
      </c>
      <c r="BIS2">
        <f>SOFR3mo_PX[[#This Row],[Column1605]]</f>
        <v>43585</v>
      </c>
      <c r="BIT2">
        <f>SOFR3mo_PX[[#This Row],[Column1606]]</f>
        <v>43584</v>
      </c>
      <c r="BIU2">
        <f>SOFR3mo_PX[[#This Row],[Column1607]]</f>
        <v>43581</v>
      </c>
      <c r="BIV2">
        <f>SOFR3mo_PX[[#This Row],[Column1608]]</f>
        <v>43580</v>
      </c>
      <c r="BIW2">
        <f>SOFR3mo_PX[[#This Row],[Column1609]]</f>
        <v>43579</v>
      </c>
      <c r="BIX2">
        <f>SOFR3mo_PX[[#This Row],[Column1610]]</f>
        <v>43578</v>
      </c>
      <c r="BIY2">
        <f>SOFR3mo_PX[[#This Row],[Column1611]]</f>
        <v>43577</v>
      </c>
      <c r="BIZ2">
        <f>SOFR3mo_PX[[#This Row],[Column1612]]</f>
        <v>43574</v>
      </c>
      <c r="BJA2">
        <f>SOFR3mo_PX[[#This Row],[Column1613]]</f>
        <v>43573</v>
      </c>
      <c r="BJB2">
        <f>SOFR3mo_PX[[#This Row],[Column1614]]</f>
        <v>43572</v>
      </c>
      <c r="BJC2">
        <f>SOFR3mo_PX[[#This Row],[Column1615]]</f>
        <v>43571</v>
      </c>
      <c r="BJD2">
        <f>SOFR3mo_PX[[#This Row],[Column1616]]</f>
        <v>43570</v>
      </c>
      <c r="BJE2">
        <f>SOFR3mo_PX[[#This Row],[Column1617]]</f>
        <v>43567</v>
      </c>
      <c r="BJF2">
        <f>SOFR3mo_PX[[#This Row],[Column1618]]</f>
        <v>43566</v>
      </c>
      <c r="BJG2">
        <f>SOFR3mo_PX[[#This Row],[Column1619]]</f>
        <v>43565</v>
      </c>
      <c r="BJH2">
        <f>SOFR3mo_PX[[#This Row],[Column1620]]</f>
        <v>43564</v>
      </c>
      <c r="BJI2">
        <f>SOFR3mo_PX[[#This Row],[Column1621]]</f>
        <v>43563</v>
      </c>
      <c r="BJJ2">
        <f>SOFR3mo_PX[[#This Row],[Column1622]]</f>
        <v>43560</v>
      </c>
      <c r="BJK2">
        <f>SOFR3mo_PX[[#This Row],[Column1623]]</f>
        <v>43559</v>
      </c>
      <c r="BJL2">
        <f>SOFR3mo_PX[[#This Row],[Column1624]]</f>
        <v>43558</v>
      </c>
      <c r="BJM2">
        <f>SOFR3mo_PX[[#This Row],[Column1625]]</f>
        <v>43557</v>
      </c>
      <c r="BJN2">
        <f>SOFR3mo_PX[[#This Row],[Column1626]]</f>
        <v>43556</v>
      </c>
      <c r="BJO2">
        <f>SOFR3mo_PX[[#This Row],[Column1627]]</f>
        <v>43553</v>
      </c>
      <c r="BJP2">
        <f>SOFR3mo_PX[[#This Row],[Column1628]]</f>
        <v>43552</v>
      </c>
      <c r="BJQ2">
        <f>SOFR3mo_PX[[#This Row],[Column1629]]</f>
        <v>43551</v>
      </c>
      <c r="BJR2">
        <f>SOFR3mo_PX[[#This Row],[Column1630]]</f>
        <v>43550</v>
      </c>
      <c r="BJS2">
        <f>SOFR3mo_PX[[#This Row],[Column1631]]</f>
        <v>43549</v>
      </c>
      <c r="BJT2">
        <f>SOFR3mo_PX[[#This Row],[Column1632]]</f>
        <v>43546</v>
      </c>
      <c r="BJU2">
        <f>SOFR3mo_PX[[#This Row],[Column1633]]</f>
        <v>43545</v>
      </c>
      <c r="BJV2">
        <f>SOFR3mo_PX[[#This Row],[Column1634]]</f>
        <v>43544</v>
      </c>
      <c r="BJW2">
        <f>SOFR3mo_PX[[#This Row],[Column1635]]</f>
        <v>43543</v>
      </c>
      <c r="BJX2">
        <f>SOFR3mo_PX[[#This Row],[Column1636]]</f>
        <v>43542</v>
      </c>
      <c r="BJY2">
        <f>SOFR3mo_PX[[#This Row],[Column1637]]</f>
        <v>43539</v>
      </c>
      <c r="BJZ2">
        <f>SOFR3mo_PX[[#This Row],[Column1638]]</f>
        <v>43538</v>
      </c>
      <c r="BKA2">
        <f>SOFR3mo_PX[[#This Row],[Column1639]]</f>
        <v>43537</v>
      </c>
      <c r="BKB2">
        <f>SOFR3mo_PX[[#This Row],[Column1640]]</f>
        <v>43536</v>
      </c>
      <c r="BKC2">
        <f>SOFR3mo_PX[[#This Row],[Column1641]]</f>
        <v>43535</v>
      </c>
      <c r="BKD2">
        <f>SOFR3mo_PX[[#This Row],[Column1642]]</f>
        <v>43532</v>
      </c>
      <c r="BKE2">
        <f>SOFR3mo_PX[[#This Row],[Column1643]]</f>
        <v>43531</v>
      </c>
      <c r="BKF2">
        <f>SOFR3mo_PX[[#This Row],[Column1644]]</f>
        <v>43530</v>
      </c>
      <c r="BKG2">
        <f>SOFR3mo_PX[[#This Row],[Column1645]]</f>
        <v>43529</v>
      </c>
      <c r="BKH2">
        <f>SOFR3mo_PX[[#This Row],[Column1646]]</f>
        <v>43528</v>
      </c>
      <c r="BKI2">
        <f>SOFR3mo_PX[[#This Row],[Column1647]]</f>
        <v>43525</v>
      </c>
      <c r="BKJ2">
        <f>SOFR3mo_PX[[#This Row],[Column1648]]</f>
        <v>43524</v>
      </c>
      <c r="BKK2">
        <f>SOFR3mo_PX[[#This Row],[Column1649]]</f>
        <v>43523</v>
      </c>
      <c r="BKL2">
        <f>SOFR3mo_PX[[#This Row],[Column1650]]</f>
        <v>43522</v>
      </c>
      <c r="BKM2">
        <f>SOFR3mo_PX[[#This Row],[Column1651]]</f>
        <v>43521</v>
      </c>
      <c r="BKN2">
        <f>SOFR3mo_PX[[#This Row],[Column1652]]</f>
        <v>43518</v>
      </c>
      <c r="BKO2">
        <f>SOFR3mo_PX[[#This Row],[Column1653]]</f>
        <v>43517</v>
      </c>
      <c r="BKP2">
        <f>SOFR3mo_PX[[#This Row],[Column1654]]</f>
        <v>43516</v>
      </c>
      <c r="BKQ2">
        <f>SOFR3mo_PX[[#This Row],[Column1655]]</f>
        <v>43515</v>
      </c>
      <c r="BKR2">
        <f>SOFR3mo_PX[[#This Row],[Column1656]]</f>
        <v>43514</v>
      </c>
      <c r="BKS2">
        <f>SOFR3mo_PX[[#This Row],[Column1657]]</f>
        <v>43511</v>
      </c>
      <c r="BKT2">
        <f>SOFR3mo_PX[[#This Row],[Column1658]]</f>
        <v>43510</v>
      </c>
      <c r="BKU2">
        <f>SOFR3mo_PX[[#This Row],[Column1659]]</f>
        <v>43509</v>
      </c>
      <c r="BKV2">
        <f>SOFR3mo_PX[[#This Row],[Column1660]]</f>
        <v>43508</v>
      </c>
      <c r="BKW2">
        <f>SOFR3mo_PX[[#This Row],[Column1661]]</f>
        <v>43507</v>
      </c>
      <c r="BKX2">
        <f>SOFR3mo_PX[[#This Row],[Column1662]]</f>
        <v>43504</v>
      </c>
      <c r="BKY2">
        <f>SOFR3mo_PX[[#This Row],[Column1663]]</f>
        <v>43503</v>
      </c>
      <c r="BKZ2">
        <f>SOFR3mo_PX[[#This Row],[Column1664]]</f>
        <v>43502</v>
      </c>
      <c r="BLA2">
        <f>SOFR3mo_PX[[#This Row],[Column1665]]</f>
        <v>43501</v>
      </c>
      <c r="BLB2">
        <f>SOFR3mo_PX[[#This Row],[Column1666]]</f>
        <v>43500</v>
      </c>
      <c r="BLC2">
        <f>SOFR3mo_PX[[#This Row],[Column1667]]</f>
        <v>43497</v>
      </c>
      <c r="BLD2">
        <f>SOFR3mo_PX[[#This Row],[Column1668]]</f>
        <v>43496</v>
      </c>
      <c r="BLE2">
        <f>SOFR3mo_PX[[#This Row],[Column1669]]</f>
        <v>43495</v>
      </c>
      <c r="BLF2">
        <f>SOFR3mo_PX[[#This Row],[Column1670]]</f>
        <v>43494</v>
      </c>
      <c r="BLG2">
        <f>SOFR3mo_PX[[#This Row],[Column1671]]</f>
        <v>43493</v>
      </c>
      <c r="BLH2">
        <f>SOFR3mo_PX[[#This Row],[Column1672]]</f>
        <v>43490</v>
      </c>
      <c r="BLI2">
        <f>SOFR3mo_PX[[#This Row],[Column1673]]</f>
        <v>43489</v>
      </c>
      <c r="BLJ2">
        <f>SOFR3mo_PX[[#This Row],[Column1674]]</f>
        <v>43488</v>
      </c>
      <c r="BLK2">
        <f>SOFR3mo_PX[[#This Row],[Column1675]]</f>
        <v>43487</v>
      </c>
      <c r="BLL2">
        <f>SOFR3mo_PX[[#This Row],[Column1676]]</f>
        <v>43486</v>
      </c>
      <c r="BLM2">
        <f>SOFR3mo_PX[[#This Row],[Column1677]]</f>
        <v>43483</v>
      </c>
      <c r="BLN2">
        <f>SOFR3mo_PX[[#This Row],[Column1678]]</f>
        <v>43482</v>
      </c>
      <c r="BLO2">
        <f>SOFR3mo_PX[[#This Row],[Column1679]]</f>
        <v>43481</v>
      </c>
      <c r="BLP2">
        <f>SOFR3mo_PX[[#This Row],[Column1680]]</f>
        <v>43480</v>
      </c>
      <c r="BLQ2">
        <f>SOFR3mo_PX[[#This Row],[Column1681]]</f>
        <v>43479</v>
      </c>
      <c r="BLR2">
        <f>SOFR3mo_PX[[#This Row],[Column1682]]</f>
        <v>43476</v>
      </c>
      <c r="BLS2">
        <f>SOFR3mo_PX[[#This Row],[Column1683]]</f>
        <v>43475</v>
      </c>
      <c r="BLT2">
        <f>SOFR3mo_PX[[#This Row],[Column1684]]</f>
        <v>43474</v>
      </c>
      <c r="BLU2">
        <f>SOFR3mo_PX[[#This Row],[Column1685]]</f>
        <v>43473</v>
      </c>
      <c r="BLV2">
        <f>SOFR3mo_PX[[#This Row],[Column1686]]</f>
        <v>43472</v>
      </c>
      <c r="BLW2">
        <f>SOFR3mo_PX[[#This Row],[Column1687]]</f>
        <v>43469</v>
      </c>
      <c r="BLX2">
        <f>SOFR3mo_PX[[#This Row],[Column1688]]</f>
        <v>43468</v>
      </c>
      <c r="BLY2">
        <f>SOFR3mo_PX[[#This Row],[Column1689]]</f>
        <v>43467</v>
      </c>
      <c r="BLZ2">
        <f>SOFR3mo_PX[[#This Row],[Column1690]]</f>
        <v>43466</v>
      </c>
      <c r="BMA2">
        <f>SOFR3mo_PX[[#This Row],[Column1691]]</f>
        <v>43465</v>
      </c>
      <c r="BMB2">
        <f>SOFR3mo_PX[[#This Row],[Column1692]]</f>
        <v>43462</v>
      </c>
      <c r="BMC2">
        <f>SOFR3mo_PX[[#This Row],[Column1693]]</f>
        <v>43461</v>
      </c>
      <c r="BMD2">
        <f>SOFR3mo_PX[[#This Row],[Column1694]]</f>
        <v>43460</v>
      </c>
      <c r="BME2">
        <f>SOFR3mo_PX[[#This Row],[Column1695]]</f>
        <v>43459</v>
      </c>
      <c r="BMF2">
        <f>SOFR3mo_PX[[#This Row],[Column1696]]</f>
        <v>43458</v>
      </c>
      <c r="BMG2">
        <f>SOFR3mo_PX[[#This Row],[Column1697]]</f>
        <v>43455</v>
      </c>
      <c r="BMH2">
        <f>SOFR3mo_PX[[#This Row],[Column1698]]</f>
        <v>43454</v>
      </c>
      <c r="BMI2">
        <f>SOFR3mo_PX[[#This Row],[Column1699]]</f>
        <v>43453</v>
      </c>
      <c r="BMJ2">
        <f>SOFR3mo_PX[[#This Row],[Column1700]]</f>
        <v>43452</v>
      </c>
      <c r="BMK2">
        <f>SOFR3mo_PX[[#This Row],[Column1701]]</f>
        <v>43451</v>
      </c>
      <c r="BML2">
        <f>SOFR3mo_PX[[#This Row],[Column1702]]</f>
        <v>43448</v>
      </c>
      <c r="BMM2">
        <f>SOFR3mo_PX[[#This Row],[Column1703]]</f>
        <v>43447</v>
      </c>
      <c r="BMN2">
        <f>SOFR3mo_PX[[#This Row],[Column1704]]</f>
        <v>43446</v>
      </c>
      <c r="BMO2">
        <f>SOFR3mo_PX[[#This Row],[Column1705]]</f>
        <v>43445</v>
      </c>
      <c r="BMP2">
        <f>SOFR3mo_PX[[#This Row],[Column1706]]</f>
        <v>43444</v>
      </c>
      <c r="BMQ2">
        <f>SOFR3mo_PX[[#This Row],[Column1707]]</f>
        <v>43441</v>
      </c>
      <c r="BMR2">
        <f>SOFR3mo_PX[[#This Row],[Column1708]]</f>
        <v>43440</v>
      </c>
      <c r="BMS2">
        <f>SOFR3mo_PX[[#This Row],[Column1709]]</f>
        <v>43439</v>
      </c>
      <c r="BMT2">
        <f>SOFR3mo_PX[[#This Row],[Column1710]]</f>
        <v>43438</v>
      </c>
      <c r="BMU2">
        <f>SOFR3mo_PX[[#This Row],[Column1711]]</f>
        <v>43437</v>
      </c>
      <c r="BMV2">
        <f>SOFR3mo_PX[[#This Row],[Column1712]]</f>
        <v>43434</v>
      </c>
      <c r="BMW2">
        <f>SOFR3mo_PX[[#This Row],[Column1713]]</f>
        <v>43433</v>
      </c>
      <c r="BMX2">
        <f>SOFR3mo_PX[[#This Row],[Column1714]]</f>
        <v>43432</v>
      </c>
      <c r="BMY2">
        <f>SOFR3mo_PX[[#This Row],[Column1715]]</f>
        <v>43431</v>
      </c>
      <c r="BMZ2">
        <f>SOFR3mo_PX[[#This Row],[Column1716]]</f>
        <v>43430</v>
      </c>
      <c r="BNA2">
        <f>SOFR3mo_PX[[#This Row],[Column1717]]</f>
        <v>43427</v>
      </c>
      <c r="BNB2">
        <f>SOFR3mo_PX[[#This Row],[Column1718]]</f>
        <v>43426</v>
      </c>
      <c r="BNC2">
        <f>SOFR3mo_PX[[#This Row],[Column1719]]</f>
        <v>43425</v>
      </c>
      <c r="BND2">
        <f>SOFR3mo_PX[[#This Row],[Column1720]]</f>
        <v>43424</v>
      </c>
      <c r="BNE2">
        <f>SOFR3mo_PX[[#This Row],[Column1721]]</f>
        <v>43423</v>
      </c>
      <c r="BNF2">
        <f>SOFR3mo_PX[[#This Row],[Column1722]]</f>
        <v>43420</v>
      </c>
      <c r="BNG2">
        <f>SOFR3mo_PX[[#This Row],[Column1723]]</f>
        <v>43419</v>
      </c>
      <c r="BNH2">
        <f>SOFR3mo_PX[[#This Row],[Column1724]]</f>
        <v>43418</v>
      </c>
      <c r="BNI2">
        <f>SOFR3mo_PX[[#This Row],[Column1725]]</f>
        <v>43417</v>
      </c>
      <c r="BNJ2">
        <f>SOFR3mo_PX[[#This Row],[Column1726]]</f>
        <v>43416</v>
      </c>
      <c r="BNK2">
        <f>SOFR3mo_PX[[#This Row],[Column1727]]</f>
        <v>43413</v>
      </c>
      <c r="BNL2">
        <f>SOFR3mo_PX[[#This Row],[Column1728]]</f>
        <v>43412</v>
      </c>
      <c r="BNM2">
        <f>SOFR3mo_PX[[#This Row],[Column1729]]</f>
        <v>43411</v>
      </c>
      <c r="BNN2">
        <f>SOFR3mo_PX[[#This Row],[Column1730]]</f>
        <v>43410</v>
      </c>
      <c r="BNO2">
        <f>SOFR3mo_PX[[#This Row],[Column1731]]</f>
        <v>43409</v>
      </c>
      <c r="BNP2">
        <f>SOFR3mo_PX[[#This Row],[Column1732]]</f>
        <v>43406</v>
      </c>
      <c r="BNQ2">
        <f>SOFR3mo_PX[[#This Row],[Column1733]]</f>
        <v>43405</v>
      </c>
      <c r="BNR2">
        <f>SOFR3mo_PX[[#This Row],[Column1734]]</f>
        <v>43404</v>
      </c>
      <c r="BNS2">
        <f>SOFR3mo_PX[[#This Row],[Column1735]]</f>
        <v>43403</v>
      </c>
      <c r="BNT2">
        <f>SOFR3mo_PX[[#This Row],[Column1736]]</f>
        <v>43402</v>
      </c>
      <c r="BNU2">
        <f>SOFR3mo_PX[[#This Row],[Column1737]]</f>
        <v>43399</v>
      </c>
      <c r="BNV2">
        <f>SOFR3mo_PX[[#This Row],[Column1738]]</f>
        <v>43398</v>
      </c>
      <c r="BNW2">
        <f>SOFR3mo_PX[[#This Row],[Column1739]]</f>
        <v>43397</v>
      </c>
      <c r="BNX2">
        <f>SOFR3mo_PX[[#This Row],[Column1740]]</f>
        <v>43396</v>
      </c>
      <c r="BNY2">
        <f>SOFR3mo_PX[[#This Row],[Column1741]]</f>
        <v>43395</v>
      </c>
      <c r="BNZ2">
        <f>SOFR3mo_PX[[#This Row],[Column1742]]</f>
        <v>43392</v>
      </c>
      <c r="BOA2">
        <f>SOFR3mo_PX[[#This Row],[Column1743]]</f>
        <v>43391</v>
      </c>
      <c r="BOB2">
        <f>SOFR3mo_PX[[#This Row],[Column1744]]</f>
        <v>43390</v>
      </c>
      <c r="BOC2">
        <f>SOFR3mo_PX[[#This Row],[Column1745]]</f>
        <v>43389</v>
      </c>
      <c r="BOD2">
        <f>SOFR3mo_PX[[#This Row],[Column1746]]</f>
        <v>43388</v>
      </c>
      <c r="BOE2">
        <f>SOFR3mo_PX[[#This Row],[Column1747]]</f>
        <v>43385</v>
      </c>
      <c r="BOF2">
        <f>SOFR3mo_PX[[#This Row],[Column1748]]</f>
        <v>43384</v>
      </c>
      <c r="BOG2">
        <f>SOFR3mo_PX[[#This Row],[Column1749]]</f>
        <v>43383</v>
      </c>
      <c r="BOH2">
        <f>SOFR3mo_PX[[#This Row],[Column1750]]</f>
        <v>43382</v>
      </c>
      <c r="BOI2">
        <f>SOFR3mo_PX[[#This Row],[Column1751]]</f>
        <v>43381</v>
      </c>
      <c r="BOJ2">
        <f>SOFR3mo_PX[[#This Row],[Column1752]]</f>
        <v>43378</v>
      </c>
      <c r="BOK2">
        <f>SOFR3mo_PX[[#This Row],[Column1753]]</f>
        <v>43377</v>
      </c>
      <c r="BOL2">
        <f>SOFR3mo_PX[[#This Row],[Column1754]]</f>
        <v>43376</v>
      </c>
      <c r="BOM2">
        <f>SOFR3mo_PX[[#This Row],[Column1755]]</f>
        <v>43375</v>
      </c>
      <c r="BON2">
        <f>SOFR3mo_PX[[#This Row],[Column1756]]</f>
        <v>43374</v>
      </c>
      <c r="BOO2">
        <f>SOFR3mo_PX[[#This Row],[Column1757]]</f>
        <v>43371</v>
      </c>
      <c r="BOP2">
        <f>SOFR3mo_PX[[#This Row],[Column1758]]</f>
        <v>43370</v>
      </c>
      <c r="BOQ2">
        <f>SOFR3mo_PX[[#This Row],[Column1759]]</f>
        <v>43369</v>
      </c>
      <c r="BOR2">
        <f>SOFR3mo_PX[[#This Row],[Column1760]]</f>
        <v>43368</v>
      </c>
      <c r="BOS2">
        <f>SOFR3mo_PX[[#This Row],[Column1761]]</f>
        <v>43367</v>
      </c>
      <c r="BOT2">
        <f>SOFR3mo_PX[[#This Row],[Column1762]]</f>
        <v>43364</v>
      </c>
      <c r="BOU2">
        <f>SOFR3mo_PX[[#This Row],[Column1763]]</f>
        <v>43363</v>
      </c>
      <c r="BOV2">
        <f>SOFR3mo_PX[[#This Row],[Column1764]]</f>
        <v>43362</v>
      </c>
      <c r="BOW2">
        <f>SOFR3mo_PX[[#This Row],[Column1765]]</f>
        <v>43361</v>
      </c>
      <c r="BOX2">
        <f>SOFR3mo_PX[[#This Row],[Column1766]]</f>
        <v>43360</v>
      </c>
      <c r="BOY2">
        <f>SOFR3mo_PX[[#This Row],[Column1767]]</f>
        <v>43357</v>
      </c>
      <c r="BOZ2">
        <f>SOFR3mo_PX[[#This Row],[Column1768]]</f>
        <v>43356</v>
      </c>
      <c r="BPA2">
        <f>SOFR3mo_PX[[#This Row],[Column1769]]</f>
        <v>43355</v>
      </c>
      <c r="BPB2">
        <f>SOFR3mo_PX[[#This Row],[Column1770]]</f>
        <v>43354</v>
      </c>
      <c r="BPC2">
        <f>SOFR3mo_PX[[#This Row],[Column1771]]</f>
        <v>43353</v>
      </c>
      <c r="BPD2">
        <f>SOFR3mo_PX[[#This Row],[Column1772]]</f>
        <v>43350</v>
      </c>
      <c r="BPE2">
        <f>SOFR3mo_PX[[#This Row],[Column1773]]</f>
        <v>43349</v>
      </c>
      <c r="BPF2">
        <f>SOFR3mo_PX[[#This Row],[Column1774]]</f>
        <v>43348</v>
      </c>
      <c r="BPG2">
        <f>SOFR3mo_PX[[#This Row],[Column1775]]</f>
        <v>43347</v>
      </c>
      <c r="BPH2">
        <f>SOFR3mo_PX[[#This Row],[Column1776]]</f>
        <v>43346</v>
      </c>
      <c r="BPI2">
        <f>SOFR3mo_PX[[#This Row],[Column1777]]</f>
        <v>43343</v>
      </c>
      <c r="BPJ2">
        <f>SOFR3mo_PX[[#This Row],[Column1778]]</f>
        <v>43342</v>
      </c>
      <c r="BPK2">
        <f>SOFR3mo_PX[[#This Row],[Column1779]]</f>
        <v>43341</v>
      </c>
      <c r="BPL2">
        <f>SOFR3mo_PX[[#This Row],[Column1780]]</f>
        <v>43340</v>
      </c>
      <c r="BPM2">
        <f>SOFR3mo_PX[[#This Row],[Column1781]]</f>
        <v>43339</v>
      </c>
      <c r="BPN2">
        <f>SOFR3mo_PX[[#This Row],[Column1782]]</f>
        <v>43336</v>
      </c>
      <c r="BPO2">
        <f>SOFR3mo_PX[[#This Row],[Column1783]]</f>
        <v>43335</v>
      </c>
      <c r="BPP2">
        <f>SOFR3mo_PX[[#This Row],[Column1784]]</f>
        <v>43334</v>
      </c>
      <c r="BPQ2">
        <f>SOFR3mo_PX[[#This Row],[Column1785]]</f>
        <v>43333</v>
      </c>
      <c r="BPR2">
        <f>SOFR3mo_PX[[#This Row],[Column1786]]</f>
        <v>43332</v>
      </c>
      <c r="BPS2">
        <f>SOFR3mo_PX[[#This Row],[Column1787]]</f>
        <v>43329</v>
      </c>
      <c r="BPT2">
        <f>SOFR3mo_PX[[#This Row],[Column1788]]</f>
        <v>43328</v>
      </c>
      <c r="BPU2">
        <f>SOFR3mo_PX[[#This Row],[Column1789]]</f>
        <v>43327</v>
      </c>
      <c r="BPV2">
        <f>SOFR3mo_PX[[#This Row],[Column1790]]</f>
        <v>43326</v>
      </c>
      <c r="BPW2">
        <f>SOFR3mo_PX[[#This Row],[Column1791]]</f>
        <v>43325</v>
      </c>
      <c r="BPX2">
        <f>SOFR3mo_PX[[#This Row],[Column1792]]</f>
        <v>43322</v>
      </c>
      <c r="BPY2">
        <f>SOFR3mo_PX[[#This Row],[Column1793]]</f>
        <v>43321</v>
      </c>
      <c r="BPZ2">
        <f>SOFR3mo_PX[[#This Row],[Column1794]]</f>
        <v>43320</v>
      </c>
      <c r="BQA2">
        <f>SOFR3mo_PX[[#This Row],[Column1795]]</f>
        <v>43319</v>
      </c>
      <c r="BQB2">
        <f>SOFR3mo_PX[[#This Row],[Column1796]]</f>
        <v>43318</v>
      </c>
      <c r="BQC2">
        <f>SOFR3mo_PX[[#This Row],[Column1797]]</f>
        <v>43315</v>
      </c>
      <c r="BQD2">
        <f>SOFR3mo_PX[[#This Row],[Column1798]]</f>
        <v>43314</v>
      </c>
      <c r="BQE2">
        <f>SOFR3mo_PX[[#This Row],[Column1799]]</f>
        <v>43313</v>
      </c>
      <c r="BQF2">
        <f>SOFR3mo_PX[[#This Row],[Column1800]]</f>
        <v>43312</v>
      </c>
      <c r="BQG2">
        <f>SOFR3mo_PX[[#This Row],[Column1801]]</f>
        <v>43311</v>
      </c>
      <c r="BQH2">
        <f>SOFR3mo_PX[[#This Row],[Column1802]]</f>
        <v>43308</v>
      </c>
      <c r="BQI2">
        <f>SOFR3mo_PX[[#This Row],[Column1803]]</f>
        <v>43307</v>
      </c>
      <c r="BQJ2">
        <f>SOFR3mo_PX[[#This Row],[Column1804]]</f>
        <v>43306</v>
      </c>
      <c r="BQK2">
        <f>SOFR3mo_PX[[#This Row],[Column1805]]</f>
        <v>43305</v>
      </c>
      <c r="BQL2">
        <f>SOFR3mo_PX[[#This Row],[Column1806]]</f>
        <v>43304</v>
      </c>
      <c r="BQM2">
        <f>SOFR3mo_PX[[#This Row],[Column1807]]</f>
        <v>43301</v>
      </c>
      <c r="BQN2">
        <f>SOFR3mo_PX[[#This Row],[Column1808]]</f>
        <v>43300</v>
      </c>
      <c r="BQO2">
        <f>SOFR3mo_PX[[#This Row],[Column1809]]</f>
        <v>43299</v>
      </c>
      <c r="BQP2">
        <f>SOFR3mo_PX[[#This Row],[Column1810]]</f>
        <v>43298</v>
      </c>
      <c r="BQQ2">
        <f>SOFR3mo_PX[[#This Row],[Column1811]]</f>
        <v>43297</v>
      </c>
      <c r="BQR2">
        <f>SOFR3mo_PX[[#This Row],[Column1812]]</f>
        <v>43294</v>
      </c>
      <c r="BQS2">
        <f>SOFR3mo_PX[[#This Row],[Column1813]]</f>
        <v>43293</v>
      </c>
      <c r="BQT2">
        <f>SOFR3mo_PX[[#This Row],[Column1814]]</f>
        <v>43292</v>
      </c>
      <c r="BQU2">
        <f>SOFR3mo_PX[[#This Row],[Column1815]]</f>
        <v>43291</v>
      </c>
      <c r="BQV2">
        <f>SOFR3mo_PX[[#This Row],[Column1816]]</f>
        <v>43290</v>
      </c>
      <c r="BQW2">
        <f>SOFR3mo_PX[[#This Row],[Column1817]]</f>
        <v>43287</v>
      </c>
      <c r="BQX2">
        <f>SOFR3mo_PX[[#This Row],[Column1818]]</f>
        <v>43286</v>
      </c>
      <c r="BQY2">
        <f>SOFR3mo_PX[[#This Row],[Column1819]]</f>
        <v>43285</v>
      </c>
      <c r="BQZ2">
        <f>SOFR3mo_PX[[#This Row],[Column1820]]</f>
        <v>43284</v>
      </c>
      <c r="BRA2">
        <f>SOFR3mo_PX[[#This Row],[Column1821]]</f>
        <v>43283</v>
      </c>
      <c r="BRB2">
        <f>SOFR3mo_PX[[#This Row],[Column1822]]</f>
        <v>43280</v>
      </c>
      <c r="BRC2">
        <f>SOFR3mo_PX[[#This Row],[Column1823]]</f>
        <v>43279</v>
      </c>
      <c r="BRD2">
        <f>SOFR3mo_PX[[#This Row],[Column1824]]</f>
        <v>43278</v>
      </c>
      <c r="BRE2">
        <f>SOFR3mo_PX[[#This Row],[Column1825]]</f>
        <v>43277</v>
      </c>
      <c r="BRF2">
        <f>SOFR3mo_PX[[#This Row],[Column1826]]</f>
        <v>43276</v>
      </c>
      <c r="BRG2">
        <f>SOFR3mo_PX[[#This Row],[Column1827]]</f>
        <v>43273</v>
      </c>
      <c r="BRH2">
        <f>SOFR3mo_PX[[#This Row],[Column1828]]</f>
        <v>43272</v>
      </c>
      <c r="BRI2">
        <f>SOFR3mo_PX[[#This Row],[Column1829]]</f>
        <v>43271</v>
      </c>
      <c r="BRJ2">
        <f>SOFR3mo_PX[[#This Row],[Column1830]]</f>
        <v>43270</v>
      </c>
      <c r="BRK2">
        <f>SOFR3mo_PX[[#This Row],[Column1831]]</f>
        <v>43269</v>
      </c>
      <c r="BRL2">
        <f>SOFR3mo_PX[[#This Row],[Column1832]]</f>
        <v>43266</v>
      </c>
      <c r="BRM2">
        <f>SOFR3mo_PX[[#This Row],[Column1833]]</f>
        <v>43265</v>
      </c>
      <c r="BRN2">
        <f>SOFR3mo_PX[[#This Row],[Column1834]]</f>
        <v>43264</v>
      </c>
      <c r="BRO2">
        <f>SOFR3mo_PX[[#This Row],[Column1835]]</f>
        <v>43263</v>
      </c>
      <c r="BRP2">
        <f>SOFR3mo_PX[[#This Row],[Column1836]]</f>
        <v>43262</v>
      </c>
      <c r="BRQ2">
        <f>SOFR3mo_PX[[#This Row],[Column1837]]</f>
        <v>43259</v>
      </c>
      <c r="BRR2">
        <f>SOFR3mo_PX[[#This Row],[Column1838]]</f>
        <v>43258</v>
      </c>
      <c r="BRS2">
        <f>SOFR3mo_PX[[#This Row],[Column1839]]</f>
        <v>43257</v>
      </c>
      <c r="BRT2">
        <f>SOFR3mo_PX[[#This Row],[Column1840]]</f>
        <v>43256</v>
      </c>
      <c r="BRU2">
        <f>SOFR3mo_PX[[#This Row],[Column1841]]</f>
        <v>43255</v>
      </c>
      <c r="BRV2">
        <f>SOFR3mo_PX[[#This Row],[Column1842]]</f>
        <v>43252</v>
      </c>
      <c r="BRW2">
        <f>SOFR3mo_PX[[#This Row],[Column1843]]</f>
        <v>43251</v>
      </c>
      <c r="BRX2">
        <f>SOFR3mo_PX[[#This Row],[Column1844]]</f>
        <v>43250</v>
      </c>
      <c r="BRY2">
        <f>SOFR3mo_PX[[#This Row],[Column1845]]</f>
        <v>43249</v>
      </c>
      <c r="BRZ2">
        <f>SOFR3mo_PX[[#This Row],[Column1846]]</f>
        <v>43248</v>
      </c>
      <c r="BSA2">
        <f>SOFR3mo_PX[[#This Row],[Column1847]]</f>
        <v>43245</v>
      </c>
      <c r="BSB2">
        <f>SOFR3mo_PX[[#This Row],[Column1848]]</f>
        <v>43244</v>
      </c>
      <c r="BSC2">
        <f>SOFR3mo_PX[[#This Row],[Column1849]]</f>
        <v>43243</v>
      </c>
      <c r="BSD2">
        <f>SOFR3mo_PX[[#This Row],[Column1850]]</f>
        <v>43242</v>
      </c>
      <c r="BSE2">
        <f>SOFR3mo_PX[[#This Row],[Column1851]]</f>
        <v>43241</v>
      </c>
      <c r="BSF2">
        <f>SOFR3mo_PX[[#This Row],[Column1852]]</f>
        <v>43238</v>
      </c>
      <c r="BSG2">
        <f>SOFR3mo_PX[[#This Row],[Column1853]]</f>
        <v>43237</v>
      </c>
      <c r="BSH2">
        <f>SOFR3mo_PX[[#This Row],[Column1854]]</f>
        <v>43236</v>
      </c>
      <c r="BSI2">
        <f>SOFR3mo_PX[[#This Row],[Column1855]]</f>
        <v>43235</v>
      </c>
      <c r="BSJ2">
        <f>SOFR3mo_PX[[#This Row],[Column1856]]</f>
        <v>43234</v>
      </c>
      <c r="BSK2">
        <f>SOFR3mo_PX[[#This Row],[Column1857]]</f>
        <v>43231</v>
      </c>
      <c r="BSL2">
        <f>SOFR3mo_PX[[#This Row],[Column1858]]</f>
        <v>43230</v>
      </c>
      <c r="BSM2">
        <f>SOFR3mo_PX[[#This Row],[Column1859]]</f>
        <v>43229</v>
      </c>
      <c r="BSN2">
        <f>SOFR3mo_PX[[#This Row],[Column1860]]</f>
        <v>43228</v>
      </c>
      <c r="BSO2">
        <f>SOFR3mo_PX[[#This Row],[Column1861]]</f>
        <v>43227</v>
      </c>
      <c r="BSP2">
        <f>SOFR3mo_PX[[#This Row],[Column1862]]</f>
        <v>43224</v>
      </c>
      <c r="BSQ2">
        <f>SOFR3mo_PX[[#This Row],[Column1863]]</f>
        <v>43223</v>
      </c>
      <c r="BSR2">
        <f>SOFR3mo_PX[[#This Row],[Column1864]]</f>
        <v>43222</v>
      </c>
      <c r="BSS2">
        <f>SOFR3mo_PX[[#This Row],[Column1865]]</f>
        <v>43221</v>
      </c>
      <c r="BST2">
        <f>SOFR3mo_PX[[#This Row],[Column1866]]</f>
        <v>43220</v>
      </c>
      <c r="BSU2">
        <f>SOFR3mo_PX[[#This Row],[Column1867]]</f>
        <v>43217</v>
      </c>
      <c r="BSV2">
        <f>SOFR3mo_PX[[#This Row],[Column1868]]</f>
        <v>43216</v>
      </c>
      <c r="BSW2">
        <f>SOFR3mo_PX[[#This Row],[Column1869]]</f>
        <v>43215</v>
      </c>
      <c r="BSX2">
        <f>SOFR3mo_PX[[#This Row],[Column1870]]</f>
        <v>43214</v>
      </c>
      <c r="BSY2">
        <f>SOFR3mo_PX[[#This Row],[Column1871]]</f>
        <v>43213</v>
      </c>
      <c r="BSZ2">
        <f>SOFR3mo_PX[[#This Row],[Column1872]]</f>
        <v>43210</v>
      </c>
      <c r="BTA2">
        <f>SOFR3mo_PX[[#This Row],[Column1873]]</f>
        <v>43209</v>
      </c>
      <c r="BTB2">
        <f>SOFR3mo_PX[[#This Row],[Column1874]]</f>
        <v>43208</v>
      </c>
      <c r="BTC2">
        <f>SOFR3mo_PX[[#This Row],[Column1875]]</f>
        <v>43207</v>
      </c>
      <c r="BTD2">
        <f>SOFR3mo_PX[[#This Row],[Column1876]]</f>
        <v>43206</v>
      </c>
      <c r="BTE2">
        <f>SOFR3mo_PX[[#This Row],[Column1877]]</f>
        <v>43203</v>
      </c>
      <c r="BTF2">
        <f>SOFR3mo_PX[[#This Row],[Column1878]]</f>
        <v>43202</v>
      </c>
      <c r="BTG2">
        <f>SOFR3mo_PX[[#This Row],[Column1879]]</f>
        <v>43201</v>
      </c>
      <c r="BTH2">
        <f>SOFR3mo_PX[[#This Row],[Column1880]]</f>
        <v>43200</v>
      </c>
      <c r="BTI2">
        <f>SOFR3mo_PX[[#This Row],[Column1881]]</f>
        <v>43199</v>
      </c>
      <c r="BTJ2">
        <f>SOFR3mo_PX[[#This Row],[Column1882]]</f>
        <v>43196</v>
      </c>
      <c r="BTK2">
        <f>SOFR3mo_PX[[#This Row],[Column1883]]</f>
        <v>43195</v>
      </c>
      <c r="BTL2">
        <f>SOFR3mo_PX[[#This Row],[Column1884]]</f>
        <v>43194</v>
      </c>
      <c r="BTM2">
        <f>SOFR3mo_PX[[#This Row],[Column1885]]</f>
        <v>43193</v>
      </c>
      <c r="BTN2">
        <f>SOFR3mo_PX[[#This Row],[Column1886]]</f>
        <v>43192</v>
      </c>
      <c r="BTO2">
        <f>SOFR3mo_PX[[#This Row],[Column1887]]</f>
        <v>43189</v>
      </c>
      <c r="BTP2">
        <f>SOFR3mo_PX[[#This Row],[Column1888]]</f>
        <v>43188</v>
      </c>
      <c r="BTQ2">
        <f>SOFR3mo_PX[[#This Row],[Column1889]]</f>
        <v>43187</v>
      </c>
      <c r="BTR2">
        <f>SOFR3mo_PX[[#This Row],[Column1890]]</f>
        <v>43186</v>
      </c>
      <c r="BTS2">
        <f>SOFR3mo_PX[[#This Row],[Column1891]]</f>
        <v>43185</v>
      </c>
      <c r="BTT2">
        <f>SOFR3mo_PX[[#This Row],[Column1892]]</f>
        <v>43182</v>
      </c>
      <c r="BTU2">
        <f>SOFR3mo_PX[[#This Row],[Column1893]]</f>
        <v>43181</v>
      </c>
      <c r="BTV2">
        <f>SOFR3mo_PX[[#This Row],[Column1894]]</f>
        <v>43180</v>
      </c>
      <c r="BTW2">
        <f>SOFR3mo_PX[[#This Row],[Column1895]]</f>
        <v>43179</v>
      </c>
      <c r="BTX2">
        <f>SOFR3mo_PX[[#This Row],[Column1896]]</f>
        <v>43178</v>
      </c>
      <c r="BTY2">
        <f>SOFR3mo_PX[[#This Row],[Column1897]]</f>
        <v>43175</v>
      </c>
      <c r="BTZ2">
        <f>SOFR3mo_PX[[#This Row],[Column1898]]</f>
        <v>43174</v>
      </c>
      <c r="BUA2">
        <f>SOFR3mo_PX[[#This Row],[Column1899]]</f>
        <v>43173</v>
      </c>
      <c r="BUB2">
        <f>SOFR3mo_PX[[#This Row],[Column1900]]</f>
        <v>43172</v>
      </c>
      <c r="BUC2">
        <f>SOFR3mo_PX[[#This Row],[Column1901]]</f>
        <v>43171</v>
      </c>
      <c r="BUD2">
        <f>SOFR3mo_PX[[#This Row],[Column1902]]</f>
        <v>43168</v>
      </c>
      <c r="BUE2">
        <f>SOFR3mo_PX[[#This Row],[Column1903]]</f>
        <v>43167</v>
      </c>
      <c r="BUF2">
        <f>SOFR3mo_PX[[#This Row],[Column1904]]</f>
        <v>43166</v>
      </c>
      <c r="BUG2">
        <f>SOFR3mo_PX[[#This Row],[Column1905]]</f>
        <v>43165</v>
      </c>
      <c r="BUH2">
        <f>SOFR3mo_PX[[#This Row],[Column1906]]</f>
        <v>43164</v>
      </c>
      <c r="BUI2">
        <f>SOFR3mo_PX[[#This Row],[Column1907]]</f>
        <v>43161</v>
      </c>
      <c r="BUJ2">
        <f>SOFR3mo_PX[[#This Row],[Column1908]]</f>
        <v>43160</v>
      </c>
      <c r="BUK2">
        <f>SOFR3mo_PX[[#This Row],[Column1909]]</f>
        <v>43159</v>
      </c>
      <c r="BUL2">
        <f>SOFR3mo_PX[[#This Row],[Column1910]]</f>
        <v>43158</v>
      </c>
      <c r="BUM2">
        <f>SOFR3mo_PX[[#This Row],[Column1911]]</f>
        <v>43157</v>
      </c>
      <c r="BUN2">
        <f>SOFR3mo_PX[[#This Row],[Column1912]]</f>
        <v>43154</v>
      </c>
      <c r="BUO2">
        <f>SOFR3mo_PX[[#This Row],[Column1913]]</f>
        <v>43153</v>
      </c>
      <c r="BUP2">
        <f>SOFR3mo_PX[[#This Row],[Column1914]]</f>
        <v>43152</v>
      </c>
      <c r="BUQ2">
        <f>SOFR3mo_PX[[#This Row],[Column1915]]</f>
        <v>43151</v>
      </c>
      <c r="BUR2">
        <f>SOFR3mo_PX[[#This Row],[Column1916]]</f>
        <v>43150</v>
      </c>
      <c r="BUS2">
        <f>SOFR3mo_PX[[#This Row],[Column1917]]</f>
        <v>43147</v>
      </c>
      <c r="BUT2">
        <f>SOFR3mo_PX[[#This Row],[Column1918]]</f>
        <v>43146</v>
      </c>
      <c r="BUU2">
        <f>SOFR3mo_PX[[#This Row],[Column1919]]</f>
        <v>43145</v>
      </c>
      <c r="BUV2">
        <f>SOFR3mo_PX[[#This Row],[Column1920]]</f>
        <v>43144</v>
      </c>
      <c r="BUW2">
        <f>SOFR3mo_PX[[#This Row],[Column1921]]</f>
        <v>43143</v>
      </c>
      <c r="BUX2">
        <f>SOFR3mo_PX[[#This Row],[Column1922]]</f>
        <v>43140</v>
      </c>
      <c r="BUY2">
        <f>SOFR3mo_PX[[#This Row],[Column1923]]</f>
        <v>43139</v>
      </c>
      <c r="BUZ2">
        <f>SOFR3mo_PX[[#This Row],[Column1924]]</f>
        <v>43138</v>
      </c>
      <c r="BVA2">
        <f>SOFR3mo_PX[[#This Row],[Column1925]]</f>
        <v>43137</v>
      </c>
      <c r="BVB2">
        <f>SOFR3mo_PX[[#This Row],[Column1926]]</f>
        <v>43136</v>
      </c>
      <c r="BVC2">
        <f>SOFR3mo_PX[[#This Row],[Column1927]]</f>
        <v>43133</v>
      </c>
      <c r="BVD2">
        <f>SOFR3mo_PX[[#This Row],[Column1928]]</f>
        <v>43132</v>
      </c>
      <c r="BVE2">
        <f>SOFR3mo_PX[[#This Row],[Column1929]]</f>
        <v>43131</v>
      </c>
      <c r="BVF2">
        <f>SOFR3mo_PX[[#This Row],[Column1930]]</f>
        <v>43130</v>
      </c>
      <c r="BVG2">
        <f>SOFR3mo_PX[[#This Row],[Column1931]]</f>
        <v>43129</v>
      </c>
      <c r="BVH2">
        <f>SOFR3mo_PX[[#This Row],[Column1932]]</f>
        <v>43126</v>
      </c>
      <c r="BVI2">
        <f>SOFR3mo_PX[[#This Row],[Column1933]]</f>
        <v>43125</v>
      </c>
      <c r="BVJ2">
        <f>SOFR3mo_PX[[#This Row],[Column1934]]</f>
        <v>43124</v>
      </c>
      <c r="BVK2">
        <f>SOFR3mo_PX[[#This Row],[Column1935]]</f>
        <v>43123</v>
      </c>
      <c r="BVL2">
        <f>SOFR3mo_PX[[#This Row],[Column1936]]</f>
        <v>43122</v>
      </c>
      <c r="BVM2">
        <f>SOFR3mo_PX[[#This Row],[Column1937]]</f>
        <v>43119</v>
      </c>
      <c r="BVN2">
        <f>SOFR3mo_PX[[#This Row],[Column1938]]</f>
        <v>43118</v>
      </c>
      <c r="BVO2">
        <f>SOFR3mo_PX[[#This Row],[Column1939]]</f>
        <v>43117</v>
      </c>
      <c r="BVP2">
        <f>SOFR3mo_PX[[#This Row],[Column1940]]</f>
        <v>43116</v>
      </c>
      <c r="BVQ2">
        <f>SOFR3mo_PX[[#This Row],[Column1941]]</f>
        <v>43115</v>
      </c>
      <c r="BVR2">
        <f>SOFR3mo_PX[[#This Row],[Column1942]]</f>
        <v>43112</v>
      </c>
      <c r="BVS2">
        <f>SOFR3mo_PX[[#This Row],[Column1943]]</f>
        <v>43111</v>
      </c>
      <c r="BVT2">
        <f>SOFR3mo_PX[[#This Row],[Column1944]]</f>
        <v>43110</v>
      </c>
      <c r="BVU2">
        <f>SOFR3mo_PX[[#This Row],[Column1945]]</f>
        <v>43109</v>
      </c>
      <c r="BVV2">
        <f>SOFR3mo_PX[[#This Row],[Column1946]]</f>
        <v>43108</v>
      </c>
      <c r="BVW2">
        <f>SOFR3mo_PX[[#This Row],[Column1947]]</f>
        <v>43105</v>
      </c>
      <c r="BVX2">
        <f>SOFR3mo_PX[[#This Row],[Column1948]]</f>
        <v>43104</v>
      </c>
      <c r="BVY2">
        <f>SOFR3mo_PX[[#This Row],[Column1949]]</f>
        <v>43103</v>
      </c>
      <c r="BVZ2">
        <f>SOFR3mo_PX[[#This Row],[Column1950]]</f>
        <v>43102</v>
      </c>
      <c r="BWA2">
        <f>SOFR3mo_PX[[#This Row],[Column1951]]</f>
        <v>43101</v>
      </c>
      <c r="BWB2">
        <f>SOFR3mo_PX[[#This Row],[Column1952]]</f>
        <v>43098</v>
      </c>
      <c r="BWC2">
        <f>SOFR3mo_PX[[#This Row],[Column1953]]</f>
        <v>43097</v>
      </c>
      <c r="BWD2">
        <f>SOFR3mo_PX[[#This Row],[Column1954]]</f>
        <v>43096</v>
      </c>
    </row>
    <row r="3" spans="1:1954" x14ac:dyDescent="0.25">
      <c r="A3" t="str">
        <f>SOFR3mo_PX[[#This Row],[Column1]]</f>
        <v>SFR1 Comdty</v>
      </c>
      <c r="B3">
        <f>IF(rtd!B1&lt;&gt;"",rtd!B1,SOFR3mo_PX[[#This Row],[Column2]])</f>
        <v>95.673749999999998</v>
      </c>
      <c r="C3">
        <f>SOFR3mo_PX[[#This Row],[Column3]]</f>
        <v>95.665000000000006</v>
      </c>
      <c r="D3">
        <f>SOFR3mo_PX[[#This Row],[Column4]]</f>
        <v>95.665000000000006</v>
      </c>
      <c r="E3">
        <f>SOFR3mo_PX[[#This Row],[Column5]]</f>
        <v>95.657499999999999</v>
      </c>
      <c r="F3">
        <f>SOFR3mo_PX[[#This Row],[Column6]]</f>
        <v>95.657499999999999</v>
      </c>
      <c r="G3">
        <f>SOFR3mo_PX[[#This Row],[Column7]]</f>
        <v>95.657499999999999</v>
      </c>
      <c r="H3">
        <f>SOFR3mo_PX[[#This Row],[Column8]]</f>
        <v>95.66</v>
      </c>
      <c r="I3">
        <f>SOFR3mo_PX[[#This Row],[Column9]]</f>
        <v>95.66</v>
      </c>
      <c r="J3">
        <f>SOFR3mo_PX[[#This Row],[Column10]]</f>
        <v>95.655000000000001</v>
      </c>
      <c r="K3">
        <f>SOFR3mo_PX[[#This Row],[Column11]]</f>
        <v>95.657499999999999</v>
      </c>
      <c r="L3">
        <f>SOFR3mo_PX[[#This Row],[Column12]]</f>
        <v>95.655000000000001</v>
      </c>
      <c r="M3">
        <f>SOFR3mo_PX[[#This Row],[Column13]]</f>
        <v>95.655000000000001</v>
      </c>
      <c r="N3">
        <f>SOFR3mo_PX[[#This Row],[Column14]]</f>
        <v>95.657499999999999</v>
      </c>
      <c r="O3">
        <f>SOFR3mo_PX[[#This Row],[Column15]]</f>
        <v>95.655000000000001</v>
      </c>
      <c r="P3">
        <f>SOFR3mo_PX[[#This Row],[Column16]]</f>
        <v>95.655000000000001</v>
      </c>
      <c r="Q3">
        <f>SOFR3mo_PX[[#This Row],[Column17]]</f>
        <v>95.655000000000001</v>
      </c>
      <c r="R3">
        <f>SOFR3mo_PX[[#This Row],[Column18]]</f>
        <v>95.655000000000001</v>
      </c>
      <c r="S3">
        <f>SOFR3mo_PX[[#This Row],[Column19]]</f>
        <v>95.652500000000003</v>
      </c>
      <c r="T3">
        <f>SOFR3mo_PX[[#This Row],[Column20]]</f>
        <v>95.655000000000001</v>
      </c>
      <c r="U3">
        <f>SOFR3mo_PX[[#This Row],[Column21]]</f>
        <v>95.652500000000003</v>
      </c>
      <c r="V3">
        <f>SOFR3mo_PX[[#This Row],[Column22]]</f>
        <v>95.652500000000003</v>
      </c>
      <c r="W3">
        <f>SOFR3mo_PX[[#This Row],[Column23]]</f>
        <v>95.652500000000003</v>
      </c>
      <c r="X3">
        <f>SOFR3mo_PX[[#This Row],[Column24]]</f>
        <v>95.652500000000003</v>
      </c>
      <c r="Y3">
        <f>SOFR3mo_PX[[#This Row],[Column25]]</f>
        <v>95.65</v>
      </c>
      <c r="Z3">
        <f>SOFR3mo_PX[[#This Row],[Column26]]</f>
        <v>95.652500000000003</v>
      </c>
      <c r="AA3">
        <f>SOFR3mo_PX[[#This Row],[Column27]]</f>
        <v>95.65</v>
      </c>
      <c r="AB3">
        <f>SOFR3mo_PX[[#This Row],[Column28]]</f>
        <v>95.652500000000003</v>
      </c>
      <c r="AC3">
        <f>SOFR3mo_PX[[#This Row],[Column29]]</f>
        <v>95.65</v>
      </c>
      <c r="AD3">
        <f>SOFR3mo_PX[[#This Row],[Column30]]</f>
        <v>95.647499999999994</v>
      </c>
      <c r="AE3">
        <f>SOFR3mo_PX[[#This Row],[Column31]]</f>
        <v>95.65</v>
      </c>
      <c r="AF3">
        <f>SOFR3mo_PX[[#This Row],[Column32]]</f>
        <v>95.65</v>
      </c>
      <c r="AG3">
        <f>SOFR3mo_PX[[#This Row],[Column33]]</f>
        <v>95.647499999999994</v>
      </c>
      <c r="AH3">
        <f>SOFR3mo_PX[[#This Row],[Column34]]</f>
        <v>95.642499999999998</v>
      </c>
      <c r="AI3">
        <f>SOFR3mo_PX[[#This Row],[Column35]]</f>
        <v>95.644999999999996</v>
      </c>
      <c r="AJ3">
        <f>SOFR3mo_PX[[#This Row],[Column36]]</f>
        <v>95.644999999999996</v>
      </c>
      <c r="AK3">
        <f>SOFR3mo_PX[[#This Row],[Column37]]</f>
        <v>95.644999999999996</v>
      </c>
      <c r="AL3">
        <f>SOFR3mo_PX[[#This Row],[Column38]]</f>
        <v>95.647499999999994</v>
      </c>
      <c r="AM3">
        <f>SOFR3mo_PX[[#This Row],[Column39]]</f>
        <v>95.65</v>
      </c>
      <c r="AN3">
        <f>SOFR3mo_PX[[#This Row],[Column40]]</f>
        <v>95.652500000000003</v>
      </c>
      <c r="AO3">
        <f>SOFR3mo_PX[[#This Row],[Column41]]</f>
        <v>95.65</v>
      </c>
      <c r="AP3">
        <f>SOFR3mo_PX[[#This Row],[Column42]]</f>
        <v>95.652500000000003</v>
      </c>
      <c r="AQ3">
        <f>SOFR3mo_PX[[#This Row],[Column43]]</f>
        <v>95.652500000000003</v>
      </c>
      <c r="AR3">
        <f>SOFR3mo_PX[[#This Row],[Column44]]</f>
        <v>95.655000000000001</v>
      </c>
      <c r="AS3">
        <f>SOFR3mo_PX[[#This Row],[Column45]]</f>
        <v>95.652500000000003</v>
      </c>
      <c r="AT3">
        <f>SOFR3mo_PX[[#This Row],[Column46]]</f>
        <v>95.657499999999999</v>
      </c>
      <c r="AU3">
        <f>SOFR3mo_PX[[#This Row],[Column47]]</f>
        <v>95.655000000000001</v>
      </c>
      <c r="AV3">
        <f>SOFR3mo_PX[[#This Row],[Column48]]</f>
        <v>95.655000000000001</v>
      </c>
      <c r="AW3">
        <f>SOFR3mo_PX[[#This Row],[Column49]]</f>
        <v>95.657499999999999</v>
      </c>
      <c r="AX3">
        <f>SOFR3mo_PX[[#This Row],[Column50]]</f>
        <v>95.657499999999999</v>
      </c>
      <c r="AY3">
        <f>SOFR3mo_PX[[#This Row],[Column51]]</f>
        <v>95.657499999999999</v>
      </c>
      <c r="AZ3">
        <f>SOFR3mo_PX[[#This Row],[Column52]]</f>
        <v>95.665000000000006</v>
      </c>
      <c r="BA3">
        <f>SOFR3mo_PX[[#This Row],[Column53]]</f>
        <v>95.677499999999995</v>
      </c>
      <c r="BB3">
        <f>SOFR3mo_PX[[#This Row],[Column54]]</f>
        <v>95.665000000000006</v>
      </c>
      <c r="BC3">
        <f>SOFR3mo_PX[[#This Row],[Column55]]</f>
        <v>95.707499999999996</v>
      </c>
      <c r="BD3">
        <f>SOFR3mo_PX[[#This Row],[Column56]]</f>
        <v>95.71</v>
      </c>
      <c r="BE3">
        <f>SOFR3mo_PX[[#This Row],[Column57]]</f>
        <v>95.71</v>
      </c>
      <c r="BF3">
        <f>SOFR3mo_PX[[#This Row],[Column58]]</f>
        <v>95.69</v>
      </c>
      <c r="BG3">
        <f>SOFR3mo_PX[[#This Row],[Column59]]</f>
        <v>95.68</v>
      </c>
      <c r="BH3">
        <f>SOFR3mo_PX[[#This Row],[Column60]]</f>
        <v>95.6875</v>
      </c>
      <c r="BI3">
        <f>SOFR3mo_PX[[#This Row],[Column61]]</f>
        <v>95.6875</v>
      </c>
      <c r="BJ3">
        <f>SOFR3mo_PX[[#This Row],[Column62]]</f>
        <v>95.69</v>
      </c>
      <c r="BK3">
        <f>SOFR3mo_PX[[#This Row],[Column63]]</f>
        <v>95.68</v>
      </c>
      <c r="BL3">
        <f>SOFR3mo_PX[[#This Row],[Column64]]</f>
        <v>95.68</v>
      </c>
      <c r="BM3">
        <f>SOFR3mo_PX[[#This Row],[Column65]]</f>
        <v>95.68</v>
      </c>
      <c r="BN3">
        <f>SOFR3mo_PX[[#This Row],[Column66]]</f>
        <v>95.682500000000005</v>
      </c>
      <c r="BO3">
        <f>SOFR3mo_PX[[#This Row],[Column67]]</f>
        <v>95.6875</v>
      </c>
      <c r="BP3">
        <f>SOFR3mo_PX[[#This Row],[Column68]]</f>
        <v>95.6875</v>
      </c>
      <c r="BQ3">
        <f>SOFR3mo_PX[[#This Row],[Column69]]</f>
        <v>95.6875</v>
      </c>
      <c r="BR3">
        <f>SOFR3mo_PX[[#This Row],[Column70]]</f>
        <v>95.632499999999993</v>
      </c>
      <c r="BS3">
        <f>SOFR3mo_PX[[#This Row],[Column71]]</f>
        <v>95.632499999999993</v>
      </c>
      <c r="BT3">
        <f>SOFR3mo_PX[[#This Row],[Column72]]</f>
        <v>95.632499999999993</v>
      </c>
      <c r="BU3">
        <f>SOFR3mo_PX[[#This Row],[Column73]]</f>
        <v>95.635000000000005</v>
      </c>
      <c r="BV3">
        <f>SOFR3mo_PX[[#This Row],[Column74]]</f>
        <v>95.632499999999993</v>
      </c>
      <c r="BW3">
        <f>SOFR3mo_PX[[#This Row],[Column75]]</f>
        <v>95.63</v>
      </c>
      <c r="BX3">
        <f>SOFR3mo_PX[[#This Row],[Column76]]</f>
        <v>95.632499999999993</v>
      </c>
      <c r="BY3">
        <f>SOFR3mo_PX[[#This Row],[Column77]]</f>
        <v>95.63</v>
      </c>
      <c r="BZ3">
        <f>SOFR3mo_PX[[#This Row],[Column78]]</f>
        <v>95.632499999999993</v>
      </c>
      <c r="CA3">
        <f>SOFR3mo_PX[[#This Row],[Column79]]</f>
        <v>95.632499999999993</v>
      </c>
      <c r="CB3">
        <f>SOFR3mo_PX[[#This Row],[Column80]]</f>
        <v>95.635000000000005</v>
      </c>
      <c r="CC3">
        <f>SOFR3mo_PX[[#This Row],[Column81]]</f>
        <v>95.635000000000005</v>
      </c>
      <c r="CD3">
        <f>SOFR3mo_PX[[#This Row],[Column82]]</f>
        <v>95.637500000000003</v>
      </c>
      <c r="CE3">
        <f>SOFR3mo_PX[[#This Row],[Column83]]</f>
        <v>95.635000000000005</v>
      </c>
      <c r="CF3">
        <f>SOFR3mo_PX[[#This Row],[Column84]]</f>
        <v>95.637500000000003</v>
      </c>
      <c r="CG3">
        <f>SOFR3mo_PX[[#This Row],[Column85]]</f>
        <v>95.637500000000003</v>
      </c>
      <c r="CH3">
        <f>SOFR3mo_PX[[#This Row],[Column86]]</f>
        <v>95.637500000000003</v>
      </c>
      <c r="CI3">
        <f>SOFR3mo_PX[[#This Row],[Column87]]</f>
        <v>95.64</v>
      </c>
      <c r="CJ3">
        <f>SOFR3mo_PX[[#This Row],[Column88]]</f>
        <v>95.642499999999998</v>
      </c>
      <c r="CK3">
        <f>SOFR3mo_PX[[#This Row],[Column89]]</f>
        <v>95.642499999999998</v>
      </c>
      <c r="CL3">
        <f>SOFR3mo_PX[[#This Row],[Column90]]</f>
        <v>95.64</v>
      </c>
      <c r="CM3">
        <f>SOFR3mo_PX[[#This Row],[Column91]]</f>
        <v>95.644999999999996</v>
      </c>
      <c r="CN3">
        <f>SOFR3mo_PX[[#This Row],[Column92]]</f>
        <v>95.644999999999996</v>
      </c>
      <c r="CO3">
        <f>SOFR3mo_PX[[#This Row],[Column93]]</f>
        <v>95.644999999999996</v>
      </c>
      <c r="CP3">
        <f>SOFR3mo_PX[[#This Row],[Column94]]</f>
        <v>95.642499999999998</v>
      </c>
      <c r="CQ3">
        <f>SOFR3mo_PX[[#This Row],[Column95]]</f>
        <v>95.642499999999998</v>
      </c>
      <c r="CR3">
        <f>SOFR3mo_PX[[#This Row],[Column96]]</f>
        <v>95.642499999999998</v>
      </c>
      <c r="CS3">
        <f>SOFR3mo_PX[[#This Row],[Column97]]</f>
        <v>95.644999999999996</v>
      </c>
      <c r="CT3">
        <f>SOFR3mo_PX[[#This Row],[Column98]]</f>
        <v>95.644999999999996</v>
      </c>
      <c r="CU3">
        <f>SOFR3mo_PX[[#This Row],[Column99]]</f>
        <v>95.647499999999994</v>
      </c>
      <c r="CV3">
        <f>SOFR3mo_PX[[#This Row],[Column100]]</f>
        <v>95.647499999999994</v>
      </c>
      <c r="CW3">
        <f>SOFR3mo_PX[[#This Row],[Column101]]</f>
        <v>95.65</v>
      </c>
      <c r="CX3">
        <f>SOFR3mo_PX[[#This Row],[Column102]]</f>
        <v>95.65</v>
      </c>
      <c r="CY3">
        <f>SOFR3mo_PX[[#This Row],[Column103]]</f>
        <v>95.65</v>
      </c>
      <c r="CZ3">
        <f>SOFR3mo_PX[[#This Row],[Column104]]</f>
        <v>95.652500000000003</v>
      </c>
      <c r="DA3">
        <f>SOFR3mo_PX[[#This Row],[Column105]]</f>
        <v>95.65</v>
      </c>
      <c r="DB3">
        <f>SOFR3mo_PX[[#This Row],[Column106]]</f>
        <v>95.652500000000003</v>
      </c>
      <c r="DC3">
        <f>SOFR3mo_PX[[#This Row],[Column107]]</f>
        <v>95.655000000000001</v>
      </c>
      <c r="DD3">
        <f>SOFR3mo_PX[[#This Row],[Column108]]</f>
        <v>95.655000000000001</v>
      </c>
      <c r="DE3">
        <f>SOFR3mo_PX[[#This Row],[Column109]]</f>
        <v>95.655000000000001</v>
      </c>
      <c r="DF3">
        <f>SOFR3mo_PX[[#This Row],[Column110]]</f>
        <v>95.657499999999999</v>
      </c>
      <c r="DG3">
        <f>SOFR3mo_PX[[#This Row],[Column111]]</f>
        <v>95.662499999999994</v>
      </c>
      <c r="DH3">
        <f>SOFR3mo_PX[[#This Row],[Column112]]</f>
        <v>95.662499999999994</v>
      </c>
      <c r="DI3">
        <f>SOFR3mo_PX[[#This Row],[Column113]]</f>
        <v>95.66</v>
      </c>
      <c r="DJ3">
        <f>SOFR3mo_PX[[#This Row],[Column114]]</f>
        <v>95.665000000000006</v>
      </c>
      <c r="DK3">
        <f>SOFR3mo_PX[[#This Row],[Column115]]</f>
        <v>95.662499999999994</v>
      </c>
      <c r="DL3">
        <f>SOFR3mo_PX[[#This Row],[Column116]]</f>
        <v>95.66</v>
      </c>
      <c r="DM3">
        <f>SOFR3mo_PX[[#This Row],[Column117]]</f>
        <v>95.66</v>
      </c>
      <c r="DN3">
        <f>SOFR3mo_PX[[#This Row],[Column118]]</f>
        <v>95.665000000000006</v>
      </c>
      <c r="DO3">
        <f>SOFR3mo_PX[[#This Row],[Column119]]</f>
        <v>95.665000000000006</v>
      </c>
      <c r="DP3">
        <f>SOFR3mo_PX[[#This Row],[Column120]]</f>
        <v>95.665000000000006</v>
      </c>
      <c r="DQ3">
        <f>SOFR3mo_PX[[#This Row],[Column121]]</f>
        <v>95.667500000000004</v>
      </c>
      <c r="DR3">
        <f>SOFR3mo_PX[[#This Row],[Column122]]</f>
        <v>95.662499999999994</v>
      </c>
      <c r="DS3">
        <f>SOFR3mo_PX[[#This Row],[Column123]]</f>
        <v>95.66</v>
      </c>
      <c r="DT3">
        <f>SOFR3mo_PX[[#This Row],[Column124]]</f>
        <v>95.657499999999999</v>
      </c>
      <c r="DU3">
        <f>SOFR3mo_PX[[#This Row],[Column125]]</f>
        <v>95.657499999999999</v>
      </c>
      <c r="DV3">
        <f>SOFR3mo_PX[[#This Row],[Column126]]</f>
        <v>95.655000000000001</v>
      </c>
      <c r="DW3">
        <f>SOFR3mo_PX[[#This Row],[Column127]]</f>
        <v>95.657499999999999</v>
      </c>
      <c r="DX3">
        <f>SOFR3mo_PX[[#This Row],[Column128]]</f>
        <v>95.647499999999994</v>
      </c>
      <c r="DY3">
        <f>SOFR3mo_PX[[#This Row],[Column129]]</f>
        <v>95.655000000000001</v>
      </c>
      <c r="DZ3">
        <f>SOFR3mo_PX[[#This Row],[Column130]]</f>
        <v>95.655000000000001</v>
      </c>
      <c r="EA3">
        <f>SOFR3mo_PX[[#This Row],[Column131]]</f>
        <v>95.657499999999999</v>
      </c>
      <c r="EB3">
        <f>SOFR3mo_PX[[#This Row],[Column132]]</f>
        <v>95.655000000000001</v>
      </c>
      <c r="EC3">
        <f>SOFR3mo_PX[[#This Row],[Column133]]</f>
        <v>95.655000000000001</v>
      </c>
      <c r="ED3">
        <f>SOFR3mo_PX[[#This Row],[Column134]]</f>
        <v>95.644999999999996</v>
      </c>
      <c r="EE3">
        <f>SOFR3mo_PX[[#This Row],[Column135]]</f>
        <v>95.232500000000002</v>
      </c>
      <c r="EF3">
        <f>SOFR3mo_PX[[#This Row],[Column136]]</f>
        <v>95.232500000000002</v>
      </c>
      <c r="EG3">
        <f>SOFR3mo_PX[[#This Row],[Column137]]</f>
        <v>95.232500000000002</v>
      </c>
      <c r="EH3">
        <f>SOFR3mo_PX[[#This Row],[Column138]]</f>
        <v>95.232500000000002</v>
      </c>
      <c r="EI3">
        <f>SOFR3mo_PX[[#This Row],[Column139]]</f>
        <v>95.234999999999999</v>
      </c>
      <c r="EJ3">
        <f>SOFR3mo_PX[[#This Row],[Column140]]</f>
        <v>95.232500000000002</v>
      </c>
      <c r="EK3">
        <f>SOFR3mo_PX[[#This Row],[Column141]]</f>
        <v>95.234999999999999</v>
      </c>
      <c r="EL3">
        <f>SOFR3mo_PX[[#This Row],[Column142]]</f>
        <v>95.237499999999997</v>
      </c>
      <c r="EM3">
        <f>SOFR3mo_PX[[#This Row],[Column143]]</f>
        <v>95.237499999999997</v>
      </c>
      <c r="EN3">
        <f>SOFR3mo_PX[[#This Row],[Column144]]</f>
        <v>95.24</v>
      </c>
      <c r="EO3">
        <f>SOFR3mo_PX[[#This Row],[Column145]]</f>
        <v>95.24</v>
      </c>
      <c r="EP3">
        <f>SOFR3mo_PX[[#This Row],[Column146]]</f>
        <v>95.237499999999997</v>
      </c>
      <c r="EQ3">
        <f>SOFR3mo_PX[[#This Row],[Column147]]</f>
        <v>95.24</v>
      </c>
      <c r="ER3">
        <f>SOFR3mo_PX[[#This Row],[Column148]]</f>
        <v>95.24</v>
      </c>
      <c r="ES3">
        <f>SOFR3mo_PX[[#This Row],[Column149]]</f>
        <v>95.24</v>
      </c>
      <c r="ET3">
        <f>SOFR3mo_PX[[#This Row],[Column150]]</f>
        <v>95.237499999999997</v>
      </c>
      <c r="EU3">
        <f>SOFR3mo_PX[[#This Row],[Column151]]</f>
        <v>95.24</v>
      </c>
      <c r="EV3">
        <f>SOFR3mo_PX[[#This Row],[Column152]]</f>
        <v>95.234999999999999</v>
      </c>
      <c r="EW3">
        <f>SOFR3mo_PX[[#This Row],[Column153]]</f>
        <v>95.234999999999999</v>
      </c>
      <c r="EX3">
        <f>SOFR3mo_PX[[#This Row],[Column154]]</f>
        <v>95.234999999999999</v>
      </c>
      <c r="EY3">
        <f>SOFR3mo_PX[[#This Row],[Column155]]</f>
        <v>95.234999999999999</v>
      </c>
      <c r="EZ3">
        <f>SOFR3mo_PX[[#This Row],[Column156]]</f>
        <v>95.232500000000002</v>
      </c>
      <c r="FA3">
        <f>SOFR3mo_PX[[#This Row],[Column157]]</f>
        <v>95.232500000000002</v>
      </c>
      <c r="FB3">
        <f>SOFR3mo_PX[[#This Row],[Column158]]</f>
        <v>95.232500000000002</v>
      </c>
      <c r="FC3">
        <f>SOFR3mo_PX[[#This Row],[Column159]]</f>
        <v>95.232500000000002</v>
      </c>
      <c r="FD3">
        <f>SOFR3mo_PX[[#This Row],[Column160]]</f>
        <v>95.232500000000002</v>
      </c>
      <c r="FE3">
        <f>SOFR3mo_PX[[#This Row],[Column161]]</f>
        <v>95.232500000000002</v>
      </c>
      <c r="FF3">
        <f>SOFR3mo_PX[[#This Row],[Column162]]</f>
        <v>95.232500000000002</v>
      </c>
      <c r="FG3">
        <f>SOFR3mo_PX[[#This Row],[Column163]]</f>
        <v>95.232500000000002</v>
      </c>
      <c r="FH3">
        <f>SOFR3mo_PX[[#This Row],[Column164]]</f>
        <v>95.23</v>
      </c>
      <c r="FI3">
        <f>SOFR3mo_PX[[#This Row],[Column165]]</f>
        <v>95.227500000000006</v>
      </c>
      <c r="FJ3">
        <f>SOFR3mo_PX[[#This Row],[Column166]]</f>
        <v>95.23</v>
      </c>
      <c r="FK3">
        <f>SOFR3mo_PX[[#This Row],[Column167]]</f>
        <v>95.227500000000006</v>
      </c>
      <c r="FL3">
        <f>SOFR3mo_PX[[#This Row],[Column168]]</f>
        <v>95.224999999999994</v>
      </c>
      <c r="FM3">
        <f>SOFR3mo_PX[[#This Row],[Column169]]</f>
        <v>95.224999999999994</v>
      </c>
      <c r="FN3">
        <f>SOFR3mo_PX[[#This Row],[Column170]]</f>
        <v>95.224999999999994</v>
      </c>
      <c r="FO3">
        <f>SOFR3mo_PX[[#This Row],[Column171]]</f>
        <v>95.22</v>
      </c>
      <c r="FP3">
        <f>SOFR3mo_PX[[#This Row],[Column172]]</f>
        <v>95.217500000000001</v>
      </c>
      <c r="FQ3">
        <f>SOFR3mo_PX[[#This Row],[Column173]]</f>
        <v>95.215000000000003</v>
      </c>
      <c r="FR3">
        <f>SOFR3mo_PX[[#This Row],[Column174]]</f>
        <v>95.21</v>
      </c>
      <c r="FS3">
        <f>SOFR3mo_PX[[#This Row],[Column175]]</f>
        <v>95.215000000000003</v>
      </c>
      <c r="FT3">
        <f>SOFR3mo_PX[[#This Row],[Column176]]</f>
        <v>95.212500000000006</v>
      </c>
      <c r="FU3">
        <f>SOFR3mo_PX[[#This Row],[Column177]]</f>
        <v>95.217500000000001</v>
      </c>
      <c r="FV3">
        <f>SOFR3mo_PX[[#This Row],[Column178]]</f>
        <v>95.212500000000006</v>
      </c>
      <c r="FW3">
        <f>SOFR3mo_PX[[#This Row],[Column179]]</f>
        <v>95.217500000000001</v>
      </c>
      <c r="FX3">
        <f>SOFR3mo_PX[[#This Row],[Column180]]</f>
        <v>95.222499999999997</v>
      </c>
      <c r="FY3">
        <f>SOFR3mo_PX[[#This Row],[Column181]]</f>
        <v>95.21</v>
      </c>
      <c r="FZ3">
        <f>SOFR3mo_PX[[#This Row],[Column182]]</f>
        <v>95.215000000000003</v>
      </c>
      <c r="GA3">
        <f>SOFR3mo_PX[[#This Row],[Column183]]</f>
        <v>95.207499999999996</v>
      </c>
      <c r="GB3">
        <f>SOFR3mo_PX[[#This Row],[Column184]]</f>
        <v>95.207499999999996</v>
      </c>
      <c r="GC3">
        <f>SOFR3mo_PX[[#This Row],[Column185]]</f>
        <v>95.21</v>
      </c>
      <c r="GD3">
        <f>SOFR3mo_PX[[#This Row],[Column186]]</f>
        <v>95.21</v>
      </c>
      <c r="GE3">
        <f>SOFR3mo_PX[[#This Row],[Column187]]</f>
        <v>95.227500000000006</v>
      </c>
      <c r="GF3">
        <f>SOFR3mo_PX[[#This Row],[Column188]]</f>
        <v>95.262500000000003</v>
      </c>
      <c r="GG3">
        <f>SOFR3mo_PX[[#This Row],[Column189]]</f>
        <v>95.262500000000003</v>
      </c>
      <c r="GH3">
        <f>SOFR3mo_PX[[#This Row],[Column190]]</f>
        <v>95.265000000000001</v>
      </c>
      <c r="GI3">
        <f>SOFR3mo_PX[[#This Row],[Column191]]</f>
        <v>95.27</v>
      </c>
      <c r="GJ3">
        <f>SOFR3mo_PX[[#This Row],[Column192]]</f>
        <v>95.292500000000004</v>
      </c>
      <c r="GK3">
        <f>SOFR3mo_PX[[#This Row],[Column193]]</f>
        <v>95.29</v>
      </c>
      <c r="GL3">
        <f>SOFR3mo_PX[[#This Row],[Column194]]</f>
        <v>95.297499999999999</v>
      </c>
      <c r="GM3">
        <f>SOFR3mo_PX[[#This Row],[Column195]]</f>
        <v>95.287499999999994</v>
      </c>
      <c r="GN3">
        <f>SOFR3mo_PX[[#This Row],[Column196]]</f>
        <v>95.28</v>
      </c>
      <c r="GO3">
        <f>SOFR3mo_PX[[#This Row],[Column197]]</f>
        <v>95.28</v>
      </c>
      <c r="GP3">
        <f>SOFR3mo_PX[[#This Row],[Column198]]</f>
        <v>95.265000000000001</v>
      </c>
      <c r="GQ3">
        <f>SOFR3mo_PX[[#This Row],[Column199]]</f>
        <v>95.25</v>
      </c>
      <c r="GR3">
        <f>SOFR3mo_PX[[#This Row],[Column200]]</f>
        <v>94.627499999999998</v>
      </c>
      <c r="GS3">
        <f>SOFR3mo_PX[[#This Row],[Column201]]</f>
        <v>94.63</v>
      </c>
      <c r="GT3">
        <f>SOFR3mo_PX[[#This Row],[Column202]]</f>
        <v>94.63</v>
      </c>
      <c r="GU3">
        <f>SOFR3mo_PX[[#This Row],[Column203]]</f>
        <v>94.63</v>
      </c>
      <c r="GV3">
        <f>SOFR3mo_PX[[#This Row],[Column204]]</f>
        <v>94.627499999999998</v>
      </c>
      <c r="GW3">
        <f>SOFR3mo_PX[[#This Row],[Column205]]</f>
        <v>94.63</v>
      </c>
      <c r="GX3">
        <f>SOFR3mo_PX[[#This Row],[Column206]]</f>
        <v>94.627499999999998</v>
      </c>
      <c r="GY3">
        <f>SOFR3mo_PX[[#This Row],[Column207]]</f>
        <v>94.63</v>
      </c>
      <c r="GZ3">
        <f>SOFR3mo_PX[[#This Row],[Column208]]</f>
        <v>94.627499999999998</v>
      </c>
      <c r="HA3">
        <f>SOFR3mo_PX[[#This Row],[Column209]]</f>
        <v>94.63</v>
      </c>
      <c r="HB3">
        <f>SOFR3mo_PX[[#This Row],[Column210]]</f>
        <v>94.63</v>
      </c>
      <c r="HC3">
        <f>SOFR3mo_PX[[#This Row],[Column211]]</f>
        <v>94.627499999999998</v>
      </c>
      <c r="HD3">
        <f>SOFR3mo_PX[[#This Row],[Column212]]</f>
        <v>94.627499999999998</v>
      </c>
      <c r="HE3">
        <f>SOFR3mo_PX[[#This Row],[Column213]]</f>
        <v>94.625</v>
      </c>
      <c r="HF3">
        <f>SOFR3mo_PX[[#This Row],[Column214]]</f>
        <v>94.625</v>
      </c>
      <c r="HG3">
        <f>SOFR3mo_PX[[#This Row],[Column215]]</f>
        <v>94.627499999999998</v>
      </c>
      <c r="HH3">
        <f>SOFR3mo_PX[[#This Row],[Column216]]</f>
        <v>94.627499999999998</v>
      </c>
      <c r="HI3">
        <f>SOFR3mo_PX[[#This Row],[Column217]]</f>
        <v>94.63</v>
      </c>
      <c r="HJ3">
        <f>SOFR3mo_PX[[#This Row],[Column218]]</f>
        <v>94.627499999999998</v>
      </c>
      <c r="HK3">
        <f>SOFR3mo_PX[[#This Row],[Column219]]</f>
        <v>94.63</v>
      </c>
      <c r="HL3">
        <f>SOFR3mo_PX[[#This Row],[Column220]]</f>
        <v>94.63</v>
      </c>
      <c r="HM3">
        <f>SOFR3mo_PX[[#This Row],[Column221]]</f>
        <v>94.63</v>
      </c>
      <c r="HN3">
        <f>SOFR3mo_PX[[#This Row],[Column222]]</f>
        <v>94.63</v>
      </c>
      <c r="HO3">
        <f>SOFR3mo_PX[[#This Row],[Column223]]</f>
        <v>94.63</v>
      </c>
      <c r="HP3">
        <f>SOFR3mo_PX[[#This Row],[Column224]]</f>
        <v>94.63</v>
      </c>
      <c r="HQ3">
        <f>SOFR3mo_PX[[#This Row],[Column225]]</f>
        <v>94.632499999999993</v>
      </c>
      <c r="HR3">
        <f>SOFR3mo_PX[[#This Row],[Column226]]</f>
        <v>94.635000000000005</v>
      </c>
      <c r="HS3">
        <f>SOFR3mo_PX[[#This Row],[Column227]]</f>
        <v>94.635000000000005</v>
      </c>
      <c r="HT3">
        <f>SOFR3mo_PX[[#This Row],[Column228]]</f>
        <v>94.635000000000005</v>
      </c>
      <c r="HU3">
        <f>SOFR3mo_PX[[#This Row],[Column229]]</f>
        <v>94.637500000000003</v>
      </c>
      <c r="HV3">
        <f>SOFR3mo_PX[[#This Row],[Column230]]</f>
        <v>94.637500000000003</v>
      </c>
      <c r="HW3">
        <f>SOFR3mo_PX[[#This Row],[Column231]]</f>
        <v>94.647499999999994</v>
      </c>
      <c r="HX3">
        <f>SOFR3mo_PX[[#This Row],[Column232]]</f>
        <v>94.644999999999996</v>
      </c>
      <c r="HY3">
        <f>SOFR3mo_PX[[#This Row],[Column233]]</f>
        <v>94.632499999999993</v>
      </c>
      <c r="HZ3">
        <f>SOFR3mo_PX[[#This Row],[Column234]]</f>
        <v>94.627499999999998</v>
      </c>
      <c r="IA3">
        <f>SOFR3mo_PX[[#This Row],[Column235]]</f>
        <v>94.632499999999993</v>
      </c>
      <c r="IB3">
        <f>SOFR3mo_PX[[#This Row],[Column236]]</f>
        <v>94.63</v>
      </c>
      <c r="IC3">
        <f>SOFR3mo_PX[[#This Row],[Column237]]</f>
        <v>94.63</v>
      </c>
      <c r="ID3">
        <f>SOFR3mo_PX[[#This Row],[Column238]]</f>
        <v>94.63</v>
      </c>
      <c r="IE3">
        <f>SOFR3mo_PX[[#This Row],[Column239]]</f>
        <v>94.63</v>
      </c>
      <c r="IF3">
        <f>SOFR3mo_PX[[#This Row],[Column240]]</f>
        <v>94.63</v>
      </c>
      <c r="IG3">
        <f>SOFR3mo_PX[[#This Row],[Column241]]</f>
        <v>94.63</v>
      </c>
      <c r="IH3">
        <f>SOFR3mo_PX[[#This Row],[Column242]]</f>
        <v>94.63</v>
      </c>
      <c r="II3">
        <f>SOFR3mo_PX[[#This Row],[Column243]]</f>
        <v>94.632499999999993</v>
      </c>
      <c r="IJ3">
        <f>SOFR3mo_PX[[#This Row],[Column244]]</f>
        <v>94.632499999999993</v>
      </c>
      <c r="IK3">
        <f>SOFR3mo_PX[[#This Row],[Column245]]</f>
        <v>94.637500000000003</v>
      </c>
      <c r="IL3">
        <f>SOFR3mo_PX[[#This Row],[Column246]]</f>
        <v>94.637500000000003</v>
      </c>
      <c r="IM3">
        <f>SOFR3mo_PX[[#This Row],[Column247]]</f>
        <v>94.642499999999998</v>
      </c>
      <c r="IN3">
        <f>SOFR3mo_PX[[#This Row],[Column248]]</f>
        <v>94.647499999999994</v>
      </c>
      <c r="IO3">
        <f>SOFR3mo_PX[[#This Row],[Column249]]</f>
        <v>94.647499999999994</v>
      </c>
      <c r="IP3">
        <f>SOFR3mo_PX[[#This Row],[Column250]]</f>
        <v>94.647499999999994</v>
      </c>
      <c r="IQ3">
        <f>SOFR3mo_PX[[#This Row],[Column251]]</f>
        <v>94.65</v>
      </c>
      <c r="IR3">
        <f>SOFR3mo_PX[[#This Row],[Column252]]</f>
        <v>94.652500000000003</v>
      </c>
      <c r="IS3">
        <f>SOFR3mo_PX[[#This Row],[Column253]]</f>
        <v>94.652500000000003</v>
      </c>
      <c r="IT3">
        <f>SOFR3mo_PX[[#This Row],[Column254]]</f>
        <v>94.652500000000003</v>
      </c>
      <c r="IU3">
        <f>SOFR3mo_PX[[#This Row],[Column255]]</f>
        <v>94.65</v>
      </c>
      <c r="IV3">
        <f>SOFR3mo_PX[[#This Row],[Column256]]</f>
        <v>94.65</v>
      </c>
      <c r="IW3">
        <f>SOFR3mo_PX[[#This Row],[Column257]]</f>
        <v>94.652500000000003</v>
      </c>
      <c r="IX3">
        <f>SOFR3mo_PX[[#This Row],[Column258]]</f>
        <v>94.65</v>
      </c>
      <c r="IY3">
        <f>SOFR3mo_PX[[#This Row],[Column259]]</f>
        <v>94.644999999999996</v>
      </c>
      <c r="IZ3">
        <f>SOFR3mo_PX[[#This Row],[Column260]]</f>
        <v>94.647499999999994</v>
      </c>
      <c r="JA3">
        <f>SOFR3mo_PX[[#This Row],[Column261]]</f>
        <v>94.644999999999996</v>
      </c>
      <c r="JB3">
        <f>SOFR3mo_PX[[#This Row],[Column262]]</f>
        <v>94.644999999999996</v>
      </c>
      <c r="JC3">
        <f>SOFR3mo_PX[[#This Row],[Column263]]</f>
        <v>94.642499999999998</v>
      </c>
      <c r="JD3">
        <f>SOFR3mo_PX[[#This Row],[Column264]]</f>
        <v>94.647499999999994</v>
      </c>
      <c r="JE3">
        <f>SOFR3mo_PX[[#This Row],[Column265]]</f>
        <v>94.647499999999994</v>
      </c>
      <c r="JF3">
        <f>SOFR3mo_PX[[#This Row],[Column266]]</f>
        <v>94.644999999999996</v>
      </c>
      <c r="JG3">
        <f>SOFR3mo_PX[[#This Row],[Column267]]</f>
        <v>94.647499999999994</v>
      </c>
      <c r="JH3">
        <f>SOFR3mo_PX[[#This Row],[Column268]]</f>
        <v>94.647499999999994</v>
      </c>
      <c r="JI3">
        <f>SOFR3mo_PX[[#This Row],[Column269]]</f>
        <v>94.647499999999994</v>
      </c>
      <c r="JJ3">
        <f>SOFR3mo_PX[[#This Row],[Column270]]</f>
        <v>94.647499999999994</v>
      </c>
      <c r="JK3">
        <f>SOFR3mo_PX[[#This Row],[Column271]]</f>
        <v>94.644999999999996</v>
      </c>
      <c r="JL3">
        <f>SOFR3mo_PX[[#This Row],[Column272]]</f>
        <v>94.644999999999996</v>
      </c>
      <c r="JM3">
        <f>SOFR3mo_PX[[#This Row],[Column273]]</f>
        <v>94.647499999999994</v>
      </c>
      <c r="JN3">
        <f>SOFR3mo_PX[[#This Row],[Column274]]</f>
        <v>94.647499999999994</v>
      </c>
      <c r="JO3">
        <f>SOFR3mo_PX[[#This Row],[Column275]]</f>
        <v>94.647499999999994</v>
      </c>
      <c r="JP3">
        <f>SOFR3mo_PX[[#This Row],[Column276]]</f>
        <v>94.65</v>
      </c>
      <c r="JQ3">
        <f>SOFR3mo_PX[[#This Row],[Column277]]</f>
        <v>94.65</v>
      </c>
      <c r="JR3">
        <f>SOFR3mo_PX[[#This Row],[Column278]]</f>
        <v>94.65</v>
      </c>
      <c r="JS3">
        <f>SOFR3mo_PX[[#This Row],[Column279]]</f>
        <v>94.65</v>
      </c>
      <c r="JT3">
        <f>SOFR3mo_PX[[#This Row],[Column280]]</f>
        <v>94.647499999999994</v>
      </c>
      <c r="JU3">
        <f>SOFR3mo_PX[[#This Row],[Column281]]</f>
        <v>94.65</v>
      </c>
      <c r="JV3">
        <f>SOFR3mo_PX[[#This Row],[Column282]]</f>
        <v>94.65</v>
      </c>
      <c r="JW3">
        <f>SOFR3mo_PX[[#This Row],[Column283]]</f>
        <v>94.65</v>
      </c>
      <c r="JX3">
        <f>SOFR3mo_PX[[#This Row],[Column284]]</f>
        <v>94.65</v>
      </c>
      <c r="JY3">
        <f>SOFR3mo_PX[[#This Row],[Column285]]</f>
        <v>94.652500000000003</v>
      </c>
      <c r="JZ3">
        <f>SOFR3mo_PX[[#This Row],[Column286]]</f>
        <v>94.65</v>
      </c>
      <c r="KA3">
        <f>SOFR3mo_PX[[#This Row],[Column287]]</f>
        <v>94.65</v>
      </c>
      <c r="KB3">
        <f>SOFR3mo_PX[[#This Row],[Column288]]</f>
        <v>94.652500000000003</v>
      </c>
      <c r="KC3">
        <f>SOFR3mo_PX[[#This Row],[Column289]]</f>
        <v>94.652500000000003</v>
      </c>
      <c r="KD3">
        <f>SOFR3mo_PX[[#This Row],[Column290]]</f>
        <v>94.652500000000003</v>
      </c>
      <c r="KE3">
        <f>SOFR3mo_PX[[#This Row],[Column291]]</f>
        <v>94.652500000000003</v>
      </c>
      <c r="KF3">
        <f>SOFR3mo_PX[[#This Row],[Column292]]</f>
        <v>94.652500000000003</v>
      </c>
      <c r="KG3">
        <f>SOFR3mo_PX[[#This Row],[Column293]]</f>
        <v>94.655000000000001</v>
      </c>
      <c r="KH3">
        <f>SOFR3mo_PX[[#This Row],[Column294]]</f>
        <v>94.652500000000003</v>
      </c>
      <c r="KI3">
        <f>SOFR3mo_PX[[#This Row],[Column295]]</f>
        <v>94.652500000000003</v>
      </c>
      <c r="KJ3">
        <f>SOFR3mo_PX[[#This Row],[Column296]]</f>
        <v>94.655000000000001</v>
      </c>
      <c r="KK3">
        <f>SOFR3mo_PX[[#This Row],[Column297]]</f>
        <v>94.655000000000001</v>
      </c>
      <c r="KL3">
        <f>SOFR3mo_PX[[#This Row],[Column298]]</f>
        <v>94.655000000000001</v>
      </c>
      <c r="KM3">
        <f>SOFR3mo_PX[[#This Row],[Column299]]</f>
        <v>94.655000000000001</v>
      </c>
      <c r="KN3">
        <f>SOFR3mo_PX[[#This Row],[Column300]]</f>
        <v>94.655000000000001</v>
      </c>
      <c r="KO3">
        <f>SOFR3mo_PX[[#This Row],[Column301]]</f>
        <v>94.655000000000001</v>
      </c>
      <c r="KP3">
        <f>SOFR3mo_PX[[#This Row],[Column302]]</f>
        <v>94.657499999999999</v>
      </c>
      <c r="KQ3">
        <f>SOFR3mo_PX[[#This Row],[Column303]]</f>
        <v>94.657499999999999</v>
      </c>
      <c r="KR3">
        <f>SOFR3mo_PX[[#This Row],[Column304]]</f>
        <v>94.655000000000001</v>
      </c>
      <c r="KS3">
        <f>SOFR3mo_PX[[#This Row],[Column305]]</f>
        <v>94.657499999999999</v>
      </c>
      <c r="KT3">
        <f>SOFR3mo_PX[[#This Row],[Column306]]</f>
        <v>94.657499999999999</v>
      </c>
      <c r="KU3">
        <f>SOFR3mo_PX[[#This Row],[Column307]]</f>
        <v>94.66</v>
      </c>
      <c r="KV3">
        <f>SOFR3mo_PX[[#This Row],[Column308]]</f>
        <v>94.657499999999999</v>
      </c>
      <c r="KW3">
        <f>SOFR3mo_PX[[#This Row],[Column309]]</f>
        <v>94.66</v>
      </c>
      <c r="KX3">
        <f>SOFR3mo_PX[[#This Row],[Column310]]</f>
        <v>94.657499999999999</v>
      </c>
      <c r="KY3">
        <f>SOFR3mo_PX[[#This Row],[Column311]]</f>
        <v>94.66</v>
      </c>
      <c r="KZ3">
        <f>SOFR3mo_PX[[#This Row],[Column312]]</f>
        <v>94.66</v>
      </c>
      <c r="LA3">
        <f>SOFR3mo_PX[[#This Row],[Column313]]</f>
        <v>94.66</v>
      </c>
      <c r="LB3">
        <f>SOFR3mo_PX[[#This Row],[Column314]]</f>
        <v>94.657499999999999</v>
      </c>
      <c r="LC3">
        <f>SOFR3mo_PX[[#This Row],[Column315]]</f>
        <v>94.665000000000006</v>
      </c>
      <c r="LD3">
        <f>SOFR3mo_PX[[#This Row],[Column316]]</f>
        <v>94.662499999999994</v>
      </c>
      <c r="LE3">
        <f>SOFR3mo_PX[[#This Row],[Column317]]</f>
        <v>94.667500000000004</v>
      </c>
      <c r="LF3">
        <f>SOFR3mo_PX[[#This Row],[Column318]]</f>
        <v>94.674999999999997</v>
      </c>
      <c r="LG3">
        <f>SOFR3mo_PX[[#This Row],[Column319]]</f>
        <v>94.67</v>
      </c>
      <c r="LH3">
        <f>SOFR3mo_PX[[#This Row],[Column320]]</f>
        <v>94.67</v>
      </c>
      <c r="LI3">
        <f>SOFR3mo_PX[[#This Row],[Column321]]</f>
        <v>94.667500000000004</v>
      </c>
      <c r="LJ3">
        <f>SOFR3mo_PX[[#This Row],[Column322]]</f>
        <v>94.672499999999999</v>
      </c>
      <c r="LK3">
        <f>SOFR3mo_PX[[#This Row],[Column323]]</f>
        <v>94.672499999999999</v>
      </c>
      <c r="LL3">
        <f>SOFR3mo_PX[[#This Row],[Column324]]</f>
        <v>94.674999999999997</v>
      </c>
      <c r="LM3">
        <f>SOFR3mo_PX[[#This Row],[Column325]]</f>
        <v>94.674999999999997</v>
      </c>
      <c r="LN3">
        <f>SOFR3mo_PX[[#This Row],[Column326]]</f>
        <v>94.67</v>
      </c>
      <c r="LO3">
        <f>SOFR3mo_PX[[#This Row],[Column327]]</f>
        <v>94.674999999999997</v>
      </c>
      <c r="LP3">
        <f>SOFR3mo_PX[[#This Row],[Column328]]</f>
        <v>94.67</v>
      </c>
      <c r="LQ3">
        <f>SOFR3mo_PX[[#This Row],[Column329]]</f>
        <v>94.674999999999997</v>
      </c>
      <c r="LR3">
        <f>SOFR3mo_PX[[#This Row],[Column330]]</f>
        <v>94.647499999999994</v>
      </c>
      <c r="LS3">
        <f>SOFR3mo_PX[[#This Row],[Column331]]</f>
        <v>94.644999999999996</v>
      </c>
      <c r="LT3">
        <f>SOFR3mo_PX[[#This Row],[Column332]]</f>
        <v>94.644999999999996</v>
      </c>
      <c r="LU3">
        <f>SOFR3mo_PX[[#This Row],[Column333]]</f>
        <v>94.644999999999996</v>
      </c>
      <c r="LV3">
        <f>SOFR3mo_PX[[#This Row],[Column334]]</f>
        <v>94.644999999999996</v>
      </c>
      <c r="LW3">
        <f>SOFR3mo_PX[[#This Row],[Column335]]</f>
        <v>94.644999999999996</v>
      </c>
      <c r="LX3">
        <f>SOFR3mo_PX[[#This Row],[Column336]]</f>
        <v>94.644999999999996</v>
      </c>
      <c r="LY3">
        <f>SOFR3mo_PX[[#This Row],[Column337]]</f>
        <v>94.647499999999994</v>
      </c>
      <c r="LZ3">
        <f>SOFR3mo_PX[[#This Row],[Column338]]</f>
        <v>94.647499999999994</v>
      </c>
      <c r="MA3">
        <f>SOFR3mo_PX[[#This Row],[Column339]]</f>
        <v>94.644999999999996</v>
      </c>
      <c r="MB3">
        <f>SOFR3mo_PX[[#This Row],[Column340]]</f>
        <v>94.647499999999994</v>
      </c>
      <c r="MC3">
        <f>SOFR3mo_PX[[#This Row],[Column341]]</f>
        <v>94.644999999999996</v>
      </c>
      <c r="MD3">
        <f>SOFR3mo_PX[[#This Row],[Column342]]</f>
        <v>94.647499999999994</v>
      </c>
      <c r="ME3">
        <f>SOFR3mo_PX[[#This Row],[Column343]]</f>
        <v>94.647499999999994</v>
      </c>
      <c r="MF3">
        <f>SOFR3mo_PX[[#This Row],[Column344]]</f>
        <v>94.647499999999994</v>
      </c>
      <c r="MG3">
        <f>SOFR3mo_PX[[#This Row],[Column345]]</f>
        <v>94.644999999999996</v>
      </c>
      <c r="MH3">
        <f>SOFR3mo_PX[[#This Row],[Column346]]</f>
        <v>94.644999999999996</v>
      </c>
      <c r="MI3">
        <f>SOFR3mo_PX[[#This Row],[Column347]]</f>
        <v>94.644999999999996</v>
      </c>
      <c r="MJ3">
        <f>SOFR3mo_PX[[#This Row],[Column348]]</f>
        <v>94.644999999999996</v>
      </c>
      <c r="MK3">
        <f>SOFR3mo_PX[[#This Row],[Column349]]</f>
        <v>94.644999999999996</v>
      </c>
      <c r="ML3">
        <f>SOFR3mo_PX[[#This Row],[Column350]]</f>
        <v>94.647499999999994</v>
      </c>
      <c r="MM3">
        <f>SOFR3mo_PX[[#This Row],[Column351]]</f>
        <v>94.644999999999996</v>
      </c>
      <c r="MN3">
        <f>SOFR3mo_PX[[#This Row],[Column352]]</f>
        <v>94.644999999999996</v>
      </c>
      <c r="MO3">
        <f>SOFR3mo_PX[[#This Row],[Column353]]</f>
        <v>94.644999999999996</v>
      </c>
      <c r="MP3">
        <f>SOFR3mo_PX[[#This Row],[Column354]]</f>
        <v>94.647499999999994</v>
      </c>
      <c r="MQ3">
        <f>SOFR3mo_PX[[#This Row],[Column355]]</f>
        <v>94.644999999999996</v>
      </c>
      <c r="MR3">
        <f>SOFR3mo_PX[[#This Row],[Column356]]</f>
        <v>94.644999999999996</v>
      </c>
      <c r="MS3">
        <f>SOFR3mo_PX[[#This Row],[Column357]]</f>
        <v>94.644999999999996</v>
      </c>
      <c r="MT3">
        <f>SOFR3mo_PX[[#This Row],[Column358]]</f>
        <v>94.644999999999996</v>
      </c>
      <c r="MU3">
        <f>SOFR3mo_PX[[#This Row],[Column359]]</f>
        <v>94.644999999999996</v>
      </c>
      <c r="MV3">
        <f>SOFR3mo_PX[[#This Row],[Column360]]</f>
        <v>94.647499999999994</v>
      </c>
      <c r="MW3">
        <f>SOFR3mo_PX[[#This Row],[Column361]]</f>
        <v>94.644999999999996</v>
      </c>
      <c r="MX3">
        <f>SOFR3mo_PX[[#This Row],[Column362]]</f>
        <v>94.644999999999996</v>
      </c>
      <c r="MY3">
        <f>SOFR3mo_PX[[#This Row],[Column363]]</f>
        <v>94.644999999999996</v>
      </c>
      <c r="MZ3">
        <f>SOFR3mo_PX[[#This Row],[Column364]]</f>
        <v>94.644999999999996</v>
      </c>
      <c r="NA3">
        <f>SOFR3mo_PX[[#This Row],[Column365]]</f>
        <v>94.64</v>
      </c>
      <c r="NB3">
        <f>SOFR3mo_PX[[#This Row],[Column366]]</f>
        <v>94.642499999999998</v>
      </c>
      <c r="NC3">
        <f>SOFR3mo_PX[[#This Row],[Column367]]</f>
        <v>94.64</v>
      </c>
      <c r="ND3">
        <f>SOFR3mo_PX[[#This Row],[Column368]]</f>
        <v>94.637500000000003</v>
      </c>
      <c r="NE3">
        <f>SOFR3mo_PX[[#This Row],[Column369]]</f>
        <v>94.635000000000005</v>
      </c>
      <c r="NF3">
        <f>SOFR3mo_PX[[#This Row],[Column370]]</f>
        <v>94.637500000000003</v>
      </c>
      <c r="NG3">
        <f>SOFR3mo_PX[[#This Row],[Column371]]</f>
        <v>94.635000000000005</v>
      </c>
      <c r="NH3">
        <f>SOFR3mo_PX[[#This Row],[Column372]]</f>
        <v>94.635000000000005</v>
      </c>
      <c r="NI3">
        <f>SOFR3mo_PX[[#This Row],[Column373]]</f>
        <v>94.637500000000003</v>
      </c>
      <c r="NJ3">
        <f>SOFR3mo_PX[[#This Row],[Column374]]</f>
        <v>94.637500000000003</v>
      </c>
      <c r="NK3">
        <f>SOFR3mo_PX[[#This Row],[Column375]]</f>
        <v>94.64</v>
      </c>
      <c r="NL3">
        <f>SOFR3mo_PX[[#This Row],[Column376]]</f>
        <v>94.64</v>
      </c>
      <c r="NM3">
        <f>SOFR3mo_PX[[#This Row],[Column377]]</f>
        <v>94.64</v>
      </c>
      <c r="NN3">
        <f>SOFR3mo_PX[[#This Row],[Column378]]</f>
        <v>94.637500000000003</v>
      </c>
      <c r="NO3">
        <f>SOFR3mo_PX[[#This Row],[Column379]]</f>
        <v>94.637500000000003</v>
      </c>
      <c r="NP3">
        <f>SOFR3mo_PX[[#This Row],[Column380]]</f>
        <v>94.635000000000005</v>
      </c>
      <c r="NQ3">
        <f>SOFR3mo_PX[[#This Row],[Column381]]</f>
        <v>94.635000000000005</v>
      </c>
      <c r="NR3">
        <f>SOFR3mo_PX[[#This Row],[Column382]]</f>
        <v>94.635000000000005</v>
      </c>
      <c r="NS3">
        <f>SOFR3mo_PX[[#This Row],[Column383]]</f>
        <v>94.635000000000005</v>
      </c>
      <c r="NT3">
        <f>SOFR3mo_PX[[#This Row],[Column384]]</f>
        <v>94.632499999999993</v>
      </c>
      <c r="NU3">
        <f>SOFR3mo_PX[[#This Row],[Column385]]</f>
        <v>94.637500000000003</v>
      </c>
      <c r="NV3">
        <f>SOFR3mo_PX[[#This Row],[Column386]]</f>
        <v>94.642499999999998</v>
      </c>
      <c r="NW3">
        <f>SOFR3mo_PX[[#This Row],[Column387]]</f>
        <v>94.642499999999998</v>
      </c>
      <c r="NX3">
        <f>SOFR3mo_PX[[#This Row],[Column388]]</f>
        <v>94.637500000000003</v>
      </c>
      <c r="NY3">
        <f>SOFR3mo_PX[[#This Row],[Column389]]</f>
        <v>94.642499999999998</v>
      </c>
      <c r="NZ3">
        <f>SOFR3mo_PX[[#This Row],[Column390]]</f>
        <v>94.637500000000003</v>
      </c>
      <c r="OA3">
        <f>SOFR3mo_PX[[#This Row],[Column391]]</f>
        <v>94.632499999999993</v>
      </c>
      <c r="OB3">
        <f>SOFR3mo_PX[[#This Row],[Column392]]</f>
        <v>94.632499999999993</v>
      </c>
      <c r="OC3">
        <f>SOFR3mo_PX[[#This Row],[Column393]]</f>
        <v>94.632499999999993</v>
      </c>
      <c r="OD3">
        <f>SOFR3mo_PX[[#This Row],[Column394]]</f>
        <v>94.63</v>
      </c>
      <c r="OE3">
        <f>SOFR3mo_PX[[#This Row],[Column395]]</f>
        <v>94.647499999999994</v>
      </c>
      <c r="OF3">
        <f>SOFR3mo_PX[[#This Row],[Column396]]</f>
        <v>94.647499999999994</v>
      </c>
      <c r="OG3">
        <f>SOFR3mo_PX[[#This Row],[Column397]]</f>
        <v>94.644999999999996</v>
      </c>
      <c r="OH3">
        <f>SOFR3mo_PX[[#This Row],[Column398]]</f>
        <v>94.647499999999994</v>
      </c>
      <c r="OI3">
        <f>SOFR3mo_PX[[#This Row],[Column399]]</f>
        <v>94.647499999999994</v>
      </c>
      <c r="OJ3">
        <f>SOFR3mo_PX[[#This Row],[Column400]]</f>
        <v>94.644999999999996</v>
      </c>
      <c r="OK3">
        <f>SOFR3mo_PX[[#This Row],[Column401]]</f>
        <v>94.647499999999994</v>
      </c>
      <c r="OL3">
        <f>SOFR3mo_PX[[#This Row],[Column402]]</f>
        <v>94.644999999999996</v>
      </c>
      <c r="OM3">
        <f>SOFR3mo_PX[[#This Row],[Column403]]</f>
        <v>94.647499999999994</v>
      </c>
      <c r="ON3">
        <f>SOFR3mo_PX[[#This Row],[Column404]]</f>
        <v>94.647499999999994</v>
      </c>
      <c r="OO3">
        <f>SOFR3mo_PX[[#This Row],[Column405]]</f>
        <v>94.644999999999996</v>
      </c>
      <c r="OP3">
        <f>SOFR3mo_PX[[#This Row],[Column406]]</f>
        <v>94.642499999999998</v>
      </c>
      <c r="OQ3">
        <f>SOFR3mo_PX[[#This Row],[Column407]]</f>
        <v>94.647499999999994</v>
      </c>
      <c r="OR3">
        <f>SOFR3mo_PX[[#This Row],[Column408]]</f>
        <v>94.647499999999994</v>
      </c>
      <c r="OS3">
        <f>SOFR3mo_PX[[#This Row],[Column409]]</f>
        <v>94.65</v>
      </c>
      <c r="OT3">
        <f>SOFR3mo_PX[[#This Row],[Column410]]</f>
        <v>94.65</v>
      </c>
      <c r="OU3">
        <f>SOFR3mo_PX[[#This Row],[Column411]]</f>
        <v>94.65</v>
      </c>
      <c r="OV3">
        <f>SOFR3mo_PX[[#This Row],[Column412]]</f>
        <v>94.65</v>
      </c>
      <c r="OW3">
        <f>SOFR3mo_PX[[#This Row],[Column413]]</f>
        <v>94.65</v>
      </c>
      <c r="OX3">
        <f>SOFR3mo_PX[[#This Row],[Column414]]</f>
        <v>94.65</v>
      </c>
      <c r="OY3">
        <f>SOFR3mo_PX[[#This Row],[Column415]]</f>
        <v>94.65</v>
      </c>
      <c r="OZ3">
        <f>SOFR3mo_PX[[#This Row],[Column416]]</f>
        <v>94.65</v>
      </c>
      <c r="PA3">
        <f>SOFR3mo_PX[[#This Row],[Column417]]</f>
        <v>94.652500000000003</v>
      </c>
      <c r="PB3">
        <f>SOFR3mo_PX[[#This Row],[Column418]]</f>
        <v>94.65</v>
      </c>
      <c r="PC3">
        <f>SOFR3mo_PX[[#This Row],[Column419]]</f>
        <v>94.65</v>
      </c>
      <c r="PD3">
        <f>SOFR3mo_PX[[#This Row],[Column420]]</f>
        <v>94.65</v>
      </c>
      <c r="PE3">
        <f>SOFR3mo_PX[[#This Row],[Column421]]</f>
        <v>94.652500000000003</v>
      </c>
      <c r="PF3">
        <f>SOFR3mo_PX[[#This Row],[Column422]]</f>
        <v>94.652500000000003</v>
      </c>
      <c r="PG3">
        <f>SOFR3mo_PX[[#This Row],[Column423]]</f>
        <v>94.65</v>
      </c>
      <c r="PH3">
        <f>SOFR3mo_PX[[#This Row],[Column424]]</f>
        <v>94.65</v>
      </c>
      <c r="PI3">
        <f>SOFR3mo_PX[[#This Row],[Column425]]</f>
        <v>94.65</v>
      </c>
      <c r="PJ3">
        <f>SOFR3mo_PX[[#This Row],[Column426]]</f>
        <v>94.65</v>
      </c>
      <c r="PK3">
        <f>SOFR3mo_PX[[#This Row],[Column427]]</f>
        <v>94.65</v>
      </c>
      <c r="PL3">
        <f>SOFR3mo_PX[[#This Row],[Column428]]</f>
        <v>94.65</v>
      </c>
      <c r="PM3">
        <f>SOFR3mo_PX[[#This Row],[Column429]]</f>
        <v>94.65</v>
      </c>
      <c r="PN3">
        <f>SOFR3mo_PX[[#This Row],[Column430]]</f>
        <v>94.65</v>
      </c>
      <c r="PO3">
        <f>SOFR3mo_PX[[#This Row],[Column431]]</f>
        <v>94.65</v>
      </c>
      <c r="PP3">
        <f>SOFR3mo_PX[[#This Row],[Column432]]</f>
        <v>94.652500000000003</v>
      </c>
      <c r="PQ3">
        <f>SOFR3mo_PX[[#This Row],[Column433]]</f>
        <v>94.65</v>
      </c>
      <c r="PR3">
        <f>SOFR3mo_PX[[#This Row],[Column434]]</f>
        <v>94.647499999999994</v>
      </c>
      <c r="PS3">
        <f>SOFR3mo_PX[[#This Row],[Column435]]</f>
        <v>94.65</v>
      </c>
      <c r="PT3">
        <f>SOFR3mo_PX[[#This Row],[Column436]]</f>
        <v>94.65</v>
      </c>
      <c r="PU3">
        <f>SOFR3mo_PX[[#This Row],[Column437]]</f>
        <v>94.652500000000003</v>
      </c>
      <c r="PV3">
        <f>SOFR3mo_PX[[#This Row],[Column438]]</f>
        <v>94.644999999999996</v>
      </c>
      <c r="PW3">
        <f>SOFR3mo_PX[[#This Row],[Column439]]</f>
        <v>94.64</v>
      </c>
      <c r="PX3">
        <f>SOFR3mo_PX[[#This Row],[Column440]]</f>
        <v>94.632499999999993</v>
      </c>
      <c r="PY3">
        <f>SOFR3mo_PX[[#This Row],[Column441]]</f>
        <v>94.64</v>
      </c>
      <c r="PZ3">
        <f>SOFR3mo_PX[[#This Row],[Column442]]</f>
        <v>94.637500000000003</v>
      </c>
      <c r="QA3">
        <f>SOFR3mo_PX[[#This Row],[Column443]]</f>
        <v>94.635000000000005</v>
      </c>
      <c r="QB3">
        <f>SOFR3mo_PX[[#This Row],[Column444]]</f>
        <v>94.637500000000003</v>
      </c>
      <c r="QC3">
        <f>SOFR3mo_PX[[#This Row],[Column445]]</f>
        <v>94.632499999999993</v>
      </c>
      <c r="QD3">
        <f>SOFR3mo_PX[[#This Row],[Column446]]</f>
        <v>94.635000000000005</v>
      </c>
      <c r="QE3">
        <f>SOFR3mo_PX[[#This Row],[Column447]]</f>
        <v>94.612499999999997</v>
      </c>
      <c r="QF3">
        <f>SOFR3mo_PX[[#This Row],[Column448]]</f>
        <v>94.625</v>
      </c>
      <c r="QG3">
        <f>SOFR3mo_PX[[#This Row],[Column449]]</f>
        <v>94.625</v>
      </c>
      <c r="QH3">
        <f>SOFR3mo_PX[[#This Row],[Column450]]</f>
        <v>94.61</v>
      </c>
      <c r="QI3">
        <f>SOFR3mo_PX[[#This Row],[Column451]]</f>
        <v>94.614999999999995</v>
      </c>
      <c r="QJ3">
        <f>SOFR3mo_PX[[#This Row],[Column452]]</f>
        <v>94.63</v>
      </c>
      <c r="QK3">
        <f>SOFR3mo_PX[[#This Row],[Column453]]</f>
        <v>94.625</v>
      </c>
      <c r="QL3">
        <f>SOFR3mo_PX[[#This Row],[Column454]]</f>
        <v>94.622500000000002</v>
      </c>
      <c r="QM3">
        <f>SOFR3mo_PX[[#This Row],[Column455]]</f>
        <v>94.627499999999998</v>
      </c>
      <c r="QN3">
        <f>SOFR3mo_PX[[#This Row],[Column456]]</f>
        <v>94.625</v>
      </c>
      <c r="QO3">
        <f>SOFR3mo_PX[[#This Row],[Column457]]</f>
        <v>94.622500000000002</v>
      </c>
      <c r="QP3">
        <f>SOFR3mo_PX[[#This Row],[Column458]]</f>
        <v>94.612499999999997</v>
      </c>
      <c r="QQ3">
        <f>SOFR3mo_PX[[#This Row],[Column459]]</f>
        <v>94.61</v>
      </c>
      <c r="QR3">
        <f>SOFR3mo_PX[[#This Row],[Column460]]</f>
        <v>94.76</v>
      </c>
      <c r="QS3">
        <f>SOFR3mo_PX[[#This Row],[Column461]]</f>
        <v>94.76</v>
      </c>
      <c r="QT3">
        <f>SOFR3mo_PX[[#This Row],[Column462]]</f>
        <v>94.762500000000003</v>
      </c>
      <c r="QU3">
        <f>SOFR3mo_PX[[#This Row],[Column463]]</f>
        <v>94.762500000000003</v>
      </c>
      <c r="QV3">
        <f>SOFR3mo_PX[[#This Row],[Column464]]</f>
        <v>94.762500000000003</v>
      </c>
      <c r="QW3">
        <f>SOFR3mo_PX[[#This Row],[Column465]]</f>
        <v>94.762500000000003</v>
      </c>
      <c r="QX3">
        <f>SOFR3mo_PX[[#This Row],[Column466]]</f>
        <v>94.76</v>
      </c>
      <c r="QY3">
        <f>SOFR3mo_PX[[#This Row],[Column467]]</f>
        <v>94.762500000000003</v>
      </c>
      <c r="QZ3">
        <f>SOFR3mo_PX[[#This Row],[Column468]]</f>
        <v>94.762500000000003</v>
      </c>
      <c r="RA3">
        <f>SOFR3mo_PX[[#This Row],[Column469]]</f>
        <v>94.76</v>
      </c>
      <c r="RB3">
        <f>SOFR3mo_PX[[#This Row],[Column470]]</f>
        <v>94.76</v>
      </c>
      <c r="RC3">
        <f>SOFR3mo_PX[[#This Row],[Column471]]</f>
        <v>94.762500000000003</v>
      </c>
      <c r="RD3">
        <f>SOFR3mo_PX[[#This Row],[Column472]]</f>
        <v>94.762500000000003</v>
      </c>
      <c r="RE3">
        <f>SOFR3mo_PX[[#This Row],[Column473]]</f>
        <v>94.762500000000003</v>
      </c>
      <c r="RF3">
        <f>SOFR3mo_PX[[#This Row],[Column474]]</f>
        <v>94.762500000000003</v>
      </c>
      <c r="RG3">
        <f>SOFR3mo_PX[[#This Row],[Column475]]</f>
        <v>94.762500000000003</v>
      </c>
      <c r="RH3">
        <f>SOFR3mo_PX[[#This Row],[Column476]]</f>
        <v>94.76</v>
      </c>
      <c r="RI3">
        <f>SOFR3mo_PX[[#This Row],[Column477]]</f>
        <v>94.76</v>
      </c>
      <c r="RJ3">
        <f>SOFR3mo_PX[[#This Row],[Column478]]</f>
        <v>94.76</v>
      </c>
      <c r="RK3">
        <f>SOFR3mo_PX[[#This Row],[Column479]]</f>
        <v>94.762500000000003</v>
      </c>
      <c r="RL3">
        <f>SOFR3mo_PX[[#This Row],[Column480]]</f>
        <v>94.76</v>
      </c>
      <c r="RM3">
        <f>SOFR3mo_PX[[#This Row],[Column481]]</f>
        <v>94.76</v>
      </c>
      <c r="RN3">
        <f>SOFR3mo_PX[[#This Row],[Column482]]</f>
        <v>94.762500000000003</v>
      </c>
      <c r="RO3">
        <f>SOFR3mo_PX[[#This Row],[Column483]]</f>
        <v>94.762500000000003</v>
      </c>
      <c r="RP3">
        <f>SOFR3mo_PX[[#This Row],[Column484]]</f>
        <v>94.76</v>
      </c>
      <c r="RQ3">
        <f>SOFR3mo_PX[[#This Row],[Column485]]</f>
        <v>94.762500000000003</v>
      </c>
      <c r="RR3">
        <f>SOFR3mo_PX[[#This Row],[Column486]]</f>
        <v>94.76</v>
      </c>
      <c r="RS3">
        <f>SOFR3mo_PX[[#This Row],[Column487]]</f>
        <v>94.76</v>
      </c>
      <c r="RT3">
        <f>SOFR3mo_PX[[#This Row],[Column488]]</f>
        <v>94.762500000000003</v>
      </c>
      <c r="RU3">
        <f>SOFR3mo_PX[[#This Row],[Column489]]</f>
        <v>94.762500000000003</v>
      </c>
      <c r="RV3">
        <f>SOFR3mo_PX[[#This Row],[Column490]]</f>
        <v>94.762500000000003</v>
      </c>
      <c r="RW3">
        <f>SOFR3mo_PX[[#This Row],[Column491]]</f>
        <v>94.762500000000003</v>
      </c>
      <c r="RX3">
        <f>SOFR3mo_PX[[#This Row],[Column492]]</f>
        <v>94.762500000000003</v>
      </c>
      <c r="RY3">
        <f>SOFR3mo_PX[[#This Row],[Column493]]</f>
        <v>94.76</v>
      </c>
      <c r="RZ3">
        <f>SOFR3mo_PX[[#This Row],[Column494]]</f>
        <v>94.76</v>
      </c>
      <c r="SA3">
        <f>SOFR3mo_PX[[#This Row],[Column495]]</f>
        <v>94.76</v>
      </c>
      <c r="SB3">
        <f>SOFR3mo_PX[[#This Row],[Column496]]</f>
        <v>94.76</v>
      </c>
      <c r="SC3">
        <f>SOFR3mo_PX[[#This Row],[Column497]]</f>
        <v>94.76</v>
      </c>
      <c r="SD3">
        <f>SOFR3mo_PX[[#This Row],[Column498]]</f>
        <v>94.76</v>
      </c>
      <c r="SE3">
        <f>SOFR3mo_PX[[#This Row],[Column499]]</f>
        <v>94.76</v>
      </c>
      <c r="SF3">
        <f>SOFR3mo_PX[[#This Row],[Column500]]</f>
        <v>94.762500000000003</v>
      </c>
      <c r="SG3">
        <f>SOFR3mo_PX[[#This Row],[Column501]]</f>
        <v>94.762500000000003</v>
      </c>
      <c r="SH3">
        <f>SOFR3mo_PX[[#This Row],[Column502]]</f>
        <v>94.762500000000003</v>
      </c>
      <c r="SI3">
        <f>SOFR3mo_PX[[#This Row],[Column503]]</f>
        <v>94.76</v>
      </c>
      <c r="SJ3">
        <f>SOFR3mo_PX[[#This Row],[Column504]]</f>
        <v>94.762500000000003</v>
      </c>
      <c r="SK3">
        <f>SOFR3mo_PX[[#This Row],[Column505]]</f>
        <v>94.762500000000003</v>
      </c>
      <c r="SL3">
        <f>SOFR3mo_PX[[#This Row],[Column506]]</f>
        <v>94.762500000000003</v>
      </c>
      <c r="SM3">
        <f>SOFR3mo_PX[[#This Row],[Column507]]</f>
        <v>94.767499999999998</v>
      </c>
      <c r="SN3">
        <f>SOFR3mo_PX[[#This Row],[Column508]]</f>
        <v>94.772499999999994</v>
      </c>
      <c r="SO3">
        <f>SOFR3mo_PX[[#This Row],[Column509]]</f>
        <v>94.77</v>
      </c>
      <c r="SP3">
        <f>SOFR3mo_PX[[#This Row],[Column510]]</f>
        <v>94.77</v>
      </c>
      <c r="SQ3">
        <f>SOFR3mo_PX[[#This Row],[Column511]]</f>
        <v>94.772499999999994</v>
      </c>
      <c r="SR3">
        <f>SOFR3mo_PX[[#This Row],[Column512]]</f>
        <v>94.775000000000006</v>
      </c>
      <c r="SS3">
        <f>SOFR3mo_PX[[#This Row],[Column513]]</f>
        <v>94.775000000000006</v>
      </c>
      <c r="ST3">
        <f>SOFR3mo_PX[[#This Row],[Column514]]</f>
        <v>94.78</v>
      </c>
      <c r="SU3">
        <f>SOFR3mo_PX[[#This Row],[Column515]]</f>
        <v>94.775000000000006</v>
      </c>
      <c r="SV3">
        <f>SOFR3mo_PX[[#This Row],[Column516]]</f>
        <v>94.775000000000006</v>
      </c>
      <c r="SW3">
        <f>SOFR3mo_PX[[#This Row],[Column517]]</f>
        <v>94.78</v>
      </c>
      <c r="SX3">
        <f>SOFR3mo_PX[[#This Row],[Column518]]</f>
        <v>94.777500000000003</v>
      </c>
      <c r="SY3">
        <f>SOFR3mo_PX[[#This Row],[Column519]]</f>
        <v>94.79</v>
      </c>
      <c r="SZ3">
        <f>SOFR3mo_PX[[#This Row],[Column520]]</f>
        <v>94.787499999999994</v>
      </c>
      <c r="TA3">
        <f>SOFR3mo_PX[[#This Row],[Column521]]</f>
        <v>94.782499999999999</v>
      </c>
      <c r="TB3">
        <f>SOFR3mo_PX[[#This Row],[Column522]]</f>
        <v>94.782499999999999</v>
      </c>
      <c r="TC3">
        <f>SOFR3mo_PX[[#This Row],[Column523]]</f>
        <v>94.775000000000006</v>
      </c>
      <c r="TD3">
        <f>SOFR3mo_PX[[#This Row],[Column524]]</f>
        <v>94.77</v>
      </c>
      <c r="TE3">
        <f>SOFR3mo_PX[[#This Row],[Column525]]</f>
        <v>95.055000000000007</v>
      </c>
      <c r="TF3">
        <f>SOFR3mo_PX[[#This Row],[Column526]]</f>
        <v>95.055000000000007</v>
      </c>
      <c r="TG3">
        <f>SOFR3mo_PX[[#This Row],[Column527]]</f>
        <v>95.055000000000007</v>
      </c>
      <c r="TH3">
        <f>SOFR3mo_PX[[#This Row],[Column528]]</f>
        <v>95.057500000000005</v>
      </c>
      <c r="TI3">
        <f>SOFR3mo_PX[[#This Row],[Column529]]</f>
        <v>95.055000000000007</v>
      </c>
      <c r="TJ3">
        <f>SOFR3mo_PX[[#This Row],[Column530]]</f>
        <v>95.052499999999995</v>
      </c>
      <c r="TK3">
        <f>SOFR3mo_PX[[#This Row],[Column531]]</f>
        <v>95.05</v>
      </c>
      <c r="TL3">
        <f>SOFR3mo_PX[[#This Row],[Column532]]</f>
        <v>95.05</v>
      </c>
      <c r="TM3">
        <f>SOFR3mo_PX[[#This Row],[Column533]]</f>
        <v>95.052499999999995</v>
      </c>
      <c r="TN3">
        <f>SOFR3mo_PX[[#This Row],[Column534]]</f>
        <v>95.05</v>
      </c>
      <c r="TO3">
        <f>SOFR3mo_PX[[#This Row],[Column535]]</f>
        <v>95.05</v>
      </c>
      <c r="TP3">
        <f>SOFR3mo_PX[[#This Row],[Column536]]</f>
        <v>95.05</v>
      </c>
      <c r="TQ3">
        <f>SOFR3mo_PX[[#This Row],[Column537]]</f>
        <v>95.047499999999999</v>
      </c>
      <c r="TR3">
        <f>SOFR3mo_PX[[#This Row],[Column538]]</f>
        <v>95.05</v>
      </c>
      <c r="TS3">
        <f>SOFR3mo_PX[[#This Row],[Column539]]</f>
        <v>95.05</v>
      </c>
      <c r="TT3">
        <f>SOFR3mo_PX[[#This Row],[Column540]]</f>
        <v>95.047499999999999</v>
      </c>
      <c r="TU3">
        <f>SOFR3mo_PX[[#This Row],[Column541]]</f>
        <v>95.045000000000002</v>
      </c>
      <c r="TV3">
        <f>SOFR3mo_PX[[#This Row],[Column542]]</f>
        <v>95.045000000000002</v>
      </c>
      <c r="TW3">
        <f>SOFR3mo_PX[[#This Row],[Column543]]</f>
        <v>95.042500000000004</v>
      </c>
      <c r="TX3">
        <f>SOFR3mo_PX[[#This Row],[Column544]]</f>
        <v>95.045000000000002</v>
      </c>
      <c r="TY3">
        <f>SOFR3mo_PX[[#This Row],[Column545]]</f>
        <v>95.047499999999999</v>
      </c>
      <c r="TZ3">
        <f>SOFR3mo_PX[[#This Row],[Column546]]</f>
        <v>95.05</v>
      </c>
      <c r="UA3">
        <f>SOFR3mo_PX[[#This Row],[Column547]]</f>
        <v>95.055000000000007</v>
      </c>
      <c r="UB3">
        <f>SOFR3mo_PX[[#This Row],[Column548]]</f>
        <v>95.052499999999995</v>
      </c>
      <c r="UC3">
        <f>SOFR3mo_PX[[#This Row],[Column549]]</f>
        <v>95.055000000000007</v>
      </c>
      <c r="UD3">
        <f>SOFR3mo_PX[[#This Row],[Column550]]</f>
        <v>95.057500000000005</v>
      </c>
      <c r="UE3">
        <f>SOFR3mo_PX[[#This Row],[Column551]]</f>
        <v>95.057500000000005</v>
      </c>
      <c r="UF3">
        <f>SOFR3mo_PX[[#This Row],[Column552]]</f>
        <v>95.057500000000005</v>
      </c>
      <c r="UG3">
        <f>SOFR3mo_PX[[#This Row],[Column553]]</f>
        <v>95.057500000000005</v>
      </c>
      <c r="UH3">
        <f>SOFR3mo_PX[[#This Row],[Column554]]</f>
        <v>95.06</v>
      </c>
      <c r="UI3">
        <f>SOFR3mo_PX[[#This Row],[Column555]]</f>
        <v>95.06</v>
      </c>
      <c r="UJ3">
        <f>SOFR3mo_PX[[#This Row],[Column556]]</f>
        <v>95.06</v>
      </c>
      <c r="UK3">
        <f>SOFR3mo_PX[[#This Row],[Column557]]</f>
        <v>95.064999999999998</v>
      </c>
      <c r="UL3">
        <f>SOFR3mo_PX[[#This Row],[Column558]]</f>
        <v>95.07</v>
      </c>
      <c r="UM3">
        <f>SOFR3mo_PX[[#This Row],[Column559]]</f>
        <v>95.0625</v>
      </c>
      <c r="UN3">
        <f>SOFR3mo_PX[[#This Row],[Column560]]</f>
        <v>95.072500000000005</v>
      </c>
      <c r="UO3">
        <f>SOFR3mo_PX[[#This Row],[Column561]]</f>
        <v>95.0625</v>
      </c>
      <c r="UP3">
        <f>SOFR3mo_PX[[#This Row],[Column562]]</f>
        <v>95.072500000000005</v>
      </c>
      <c r="UQ3">
        <f>SOFR3mo_PX[[#This Row],[Column563]]</f>
        <v>95.07</v>
      </c>
      <c r="UR3">
        <f>SOFR3mo_PX[[#This Row],[Column564]]</f>
        <v>95.087500000000006</v>
      </c>
      <c r="US3">
        <f>SOFR3mo_PX[[#This Row],[Column565]]</f>
        <v>95.084999999999994</v>
      </c>
      <c r="UT3">
        <f>SOFR3mo_PX[[#This Row],[Column566]]</f>
        <v>95.0625</v>
      </c>
      <c r="UU3">
        <f>SOFR3mo_PX[[#This Row],[Column567]]</f>
        <v>95.064999999999998</v>
      </c>
      <c r="UV3">
        <f>SOFR3mo_PX[[#This Row],[Column568]]</f>
        <v>95.067499999999995</v>
      </c>
      <c r="UW3">
        <f>SOFR3mo_PX[[#This Row],[Column569]]</f>
        <v>95.0625</v>
      </c>
      <c r="UX3">
        <f>SOFR3mo_PX[[#This Row],[Column570]]</f>
        <v>95.064999999999998</v>
      </c>
      <c r="UY3">
        <f>SOFR3mo_PX[[#This Row],[Column571]]</f>
        <v>95.067499999999995</v>
      </c>
      <c r="UZ3">
        <f>SOFR3mo_PX[[#This Row],[Column572]]</f>
        <v>95.077500000000001</v>
      </c>
      <c r="VA3">
        <f>SOFR3mo_PX[[#This Row],[Column573]]</f>
        <v>95.092500000000001</v>
      </c>
      <c r="VB3">
        <f>SOFR3mo_PX[[#This Row],[Column574]]</f>
        <v>95.087500000000006</v>
      </c>
      <c r="VC3">
        <f>SOFR3mo_PX[[#This Row],[Column575]]</f>
        <v>95.087500000000006</v>
      </c>
      <c r="VD3">
        <f>SOFR3mo_PX[[#This Row],[Column576]]</f>
        <v>95.09</v>
      </c>
      <c r="VE3">
        <f>SOFR3mo_PX[[#This Row],[Column577]]</f>
        <v>95.1</v>
      </c>
      <c r="VF3">
        <f>SOFR3mo_PX[[#This Row],[Column578]]</f>
        <v>95.13</v>
      </c>
      <c r="VG3">
        <f>SOFR3mo_PX[[#This Row],[Column579]]</f>
        <v>95.13</v>
      </c>
      <c r="VH3">
        <f>SOFR3mo_PX[[#This Row],[Column580]]</f>
        <v>95.125</v>
      </c>
      <c r="VI3">
        <f>SOFR3mo_PX[[#This Row],[Column581]]</f>
        <v>95.11</v>
      </c>
      <c r="VJ3">
        <f>SOFR3mo_PX[[#This Row],[Column582]]</f>
        <v>95.127499999999998</v>
      </c>
      <c r="VK3">
        <f>SOFR3mo_PX[[#This Row],[Column583]]</f>
        <v>95.135000000000005</v>
      </c>
      <c r="VL3">
        <f>SOFR3mo_PX[[#This Row],[Column584]]</f>
        <v>95.142499999999998</v>
      </c>
      <c r="VM3">
        <f>SOFR3mo_PX[[#This Row],[Column585]]</f>
        <v>95.14</v>
      </c>
      <c r="VN3">
        <f>SOFR3mo_PX[[#This Row],[Column586]]</f>
        <v>95.125</v>
      </c>
      <c r="VO3">
        <f>SOFR3mo_PX[[#This Row],[Column587]]</f>
        <v>95.18</v>
      </c>
      <c r="VP3">
        <f>SOFR3mo_PX[[#This Row],[Column588]]</f>
        <v>95.16</v>
      </c>
      <c r="VQ3">
        <f>SOFR3mo_PX[[#This Row],[Column589]]</f>
        <v>95.12</v>
      </c>
      <c r="VR3">
        <f>SOFR3mo_PX[[#This Row],[Column590]]</f>
        <v>95.135000000000005</v>
      </c>
      <c r="VS3">
        <f>SOFR3mo_PX[[#This Row],[Column591]]</f>
        <v>95.18</v>
      </c>
      <c r="VT3">
        <f>SOFR3mo_PX[[#This Row],[Column592]]</f>
        <v>95.234999999999999</v>
      </c>
      <c r="VU3">
        <f>SOFR3mo_PX[[#This Row],[Column593]]</f>
        <v>95.155000000000001</v>
      </c>
      <c r="VV3">
        <f>SOFR3mo_PX[[#This Row],[Column594]]</f>
        <v>95.227500000000006</v>
      </c>
      <c r="VW3">
        <f>SOFR3mo_PX[[#This Row],[Column595]]</f>
        <v>95.552499999999995</v>
      </c>
      <c r="VX3">
        <f>SOFR3mo_PX[[#This Row],[Column596]]</f>
        <v>95.555000000000007</v>
      </c>
      <c r="VY3">
        <f>SOFR3mo_PX[[#This Row],[Column597]]</f>
        <v>95.555000000000007</v>
      </c>
      <c r="VZ3">
        <f>SOFR3mo_PX[[#This Row],[Column598]]</f>
        <v>95.555000000000007</v>
      </c>
      <c r="WA3">
        <f>SOFR3mo_PX[[#This Row],[Column599]]</f>
        <v>95.552499999999995</v>
      </c>
      <c r="WB3">
        <f>SOFR3mo_PX[[#This Row],[Column600]]</f>
        <v>95.552499999999995</v>
      </c>
      <c r="WC3">
        <f>SOFR3mo_PX[[#This Row],[Column601]]</f>
        <v>95.552499999999995</v>
      </c>
      <c r="WD3">
        <f>SOFR3mo_PX[[#This Row],[Column602]]</f>
        <v>95.555000000000007</v>
      </c>
      <c r="WE3">
        <f>SOFR3mo_PX[[#This Row],[Column603]]</f>
        <v>95.555000000000007</v>
      </c>
      <c r="WF3">
        <f>SOFR3mo_PX[[#This Row],[Column604]]</f>
        <v>95.552499999999995</v>
      </c>
      <c r="WG3">
        <f>SOFR3mo_PX[[#This Row],[Column605]]</f>
        <v>95.552499999999995</v>
      </c>
      <c r="WH3">
        <f>SOFR3mo_PX[[#This Row],[Column606]]</f>
        <v>95.552499999999995</v>
      </c>
      <c r="WI3">
        <f>SOFR3mo_PX[[#This Row],[Column607]]</f>
        <v>95.552499999999995</v>
      </c>
      <c r="WJ3">
        <f>SOFR3mo_PX[[#This Row],[Column608]]</f>
        <v>95.555000000000007</v>
      </c>
      <c r="WK3">
        <f>SOFR3mo_PX[[#This Row],[Column609]]</f>
        <v>95.552499999999995</v>
      </c>
      <c r="WL3">
        <f>SOFR3mo_PX[[#This Row],[Column610]]</f>
        <v>95.555000000000007</v>
      </c>
      <c r="WM3">
        <f>SOFR3mo_PX[[#This Row],[Column611]]</f>
        <v>95.555000000000007</v>
      </c>
      <c r="WN3">
        <f>SOFR3mo_PX[[#This Row],[Column612]]</f>
        <v>95.555000000000007</v>
      </c>
      <c r="WO3">
        <f>SOFR3mo_PX[[#This Row],[Column613]]</f>
        <v>95.555000000000007</v>
      </c>
      <c r="WP3">
        <f>SOFR3mo_PX[[#This Row],[Column614]]</f>
        <v>95.555000000000007</v>
      </c>
      <c r="WQ3">
        <f>SOFR3mo_PX[[#This Row],[Column615]]</f>
        <v>95.555000000000007</v>
      </c>
      <c r="WR3">
        <f>SOFR3mo_PX[[#This Row],[Column616]]</f>
        <v>95.555000000000007</v>
      </c>
      <c r="WS3">
        <f>SOFR3mo_PX[[#This Row],[Column617]]</f>
        <v>95.555000000000007</v>
      </c>
      <c r="WT3">
        <f>SOFR3mo_PX[[#This Row],[Column618]]</f>
        <v>95.555000000000007</v>
      </c>
      <c r="WU3">
        <f>SOFR3mo_PX[[#This Row],[Column619]]</f>
        <v>95.555000000000007</v>
      </c>
      <c r="WV3">
        <f>SOFR3mo_PX[[#This Row],[Column620]]</f>
        <v>95.552499999999995</v>
      </c>
      <c r="WW3">
        <f>SOFR3mo_PX[[#This Row],[Column621]]</f>
        <v>95.55</v>
      </c>
      <c r="WX3">
        <f>SOFR3mo_PX[[#This Row],[Column622]]</f>
        <v>95.55</v>
      </c>
      <c r="WY3">
        <f>SOFR3mo_PX[[#This Row],[Column623]]</f>
        <v>95.55</v>
      </c>
      <c r="WZ3">
        <f>SOFR3mo_PX[[#This Row],[Column624]]</f>
        <v>95.55</v>
      </c>
      <c r="XA3">
        <f>SOFR3mo_PX[[#This Row],[Column625]]</f>
        <v>95.547499999999999</v>
      </c>
      <c r="XB3">
        <f>SOFR3mo_PX[[#This Row],[Column626]]</f>
        <v>95.545000000000002</v>
      </c>
      <c r="XC3">
        <f>SOFR3mo_PX[[#This Row],[Column627]]</f>
        <v>95.542500000000004</v>
      </c>
      <c r="XD3">
        <f>SOFR3mo_PX[[#This Row],[Column628]]</f>
        <v>95.54</v>
      </c>
      <c r="XE3">
        <f>SOFR3mo_PX[[#This Row],[Column629]]</f>
        <v>95.54</v>
      </c>
      <c r="XF3">
        <f>SOFR3mo_PX[[#This Row],[Column630]]</f>
        <v>95.537499999999994</v>
      </c>
      <c r="XG3">
        <f>SOFR3mo_PX[[#This Row],[Column631]]</f>
        <v>95.534999999999997</v>
      </c>
      <c r="XH3">
        <f>SOFR3mo_PX[[#This Row],[Column632]]</f>
        <v>95.532499999999999</v>
      </c>
      <c r="XI3">
        <f>SOFR3mo_PX[[#This Row],[Column633]]</f>
        <v>95.53</v>
      </c>
      <c r="XJ3">
        <f>SOFR3mo_PX[[#This Row],[Column634]]</f>
        <v>95.53</v>
      </c>
      <c r="XK3">
        <f>SOFR3mo_PX[[#This Row],[Column635]]</f>
        <v>95.532499999999999</v>
      </c>
      <c r="XL3">
        <f>SOFR3mo_PX[[#This Row],[Column636]]</f>
        <v>95.53</v>
      </c>
      <c r="XM3">
        <f>SOFR3mo_PX[[#This Row],[Column637]]</f>
        <v>95.53</v>
      </c>
      <c r="XN3">
        <f>SOFR3mo_PX[[#This Row],[Column638]]</f>
        <v>95.527500000000003</v>
      </c>
      <c r="XO3">
        <f>SOFR3mo_PX[[#This Row],[Column639]]</f>
        <v>95.51</v>
      </c>
      <c r="XP3">
        <f>SOFR3mo_PX[[#This Row],[Column640]]</f>
        <v>95.51</v>
      </c>
      <c r="XQ3">
        <f>SOFR3mo_PX[[#This Row],[Column641]]</f>
        <v>95.51</v>
      </c>
      <c r="XR3">
        <f>SOFR3mo_PX[[#This Row],[Column642]]</f>
        <v>95.504999999999995</v>
      </c>
      <c r="XS3">
        <f>SOFR3mo_PX[[#This Row],[Column643]]</f>
        <v>95.492500000000007</v>
      </c>
      <c r="XT3">
        <f>SOFR3mo_PX[[#This Row],[Column644]]</f>
        <v>95.5</v>
      </c>
      <c r="XU3">
        <f>SOFR3mo_PX[[#This Row],[Column645]]</f>
        <v>95.5</v>
      </c>
      <c r="XV3">
        <f>SOFR3mo_PX[[#This Row],[Column646]]</f>
        <v>95.502499999999998</v>
      </c>
      <c r="XW3">
        <f>SOFR3mo_PX[[#This Row],[Column647]]</f>
        <v>95.502499999999998</v>
      </c>
      <c r="XX3">
        <f>SOFR3mo_PX[[#This Row],[Column648]]</f>
        <v>95.5</v>
      </c>
      <c r="XY3">
        <f>SOFR3mo_PX[[#This Row],[Column649]]</f>
        <v>95.49</v>
      </c>
      <c r="XZ3">
        <f>SOFR3mo_PX[[#This Row],[Column650]]</f>
        <v>95.482500000000002</v>
      </c>
      <c r="YA3">
        <f>SOFR3mo_PX[[#This Row],[Column651]]</f>
        <v>95.49</v>
      </c>
      <c r="YB3">
        <f>SOFR3mo_PX[[#This Row],[Column652]]</f>
        <v>95.49</v>
      </c>
      <c r="YC3">
        <f>SOFR3mo_PX[[#This Row],[Column653]]</f>
        <v>95.492500000000007</v>
      </c>
      <c r="YD3">
        <f>SOFR3mo_PX[[#This Row],[Column654]]</f>
        <v>95.497500000000002</v>
      </c>
      <c r="YE3">
        <f>SOFR3mo_PX[[#This Row],[Column655]]</f>
        <v>96.525000000000006</v>
      </c>
      <c r="YF3">
        <f>SOFR3mo_PX[[#This Row],[Column656]]</f>
        <v>96.525000000000006</v>
      </c>
      <c r="YG3">
        <f>SOFR3mo_PX[[#This Row],[Column657]]</f>
        <v>96.527500000000003</v>
      </c>
      <c r="YH3">
        <f>SOFR3mo_PX[[#This Row],[Column658]]</f>
        <v>96.527500000000003</v>
      </c>
      <c r="YI3">
        <f>SOFR3mo_PX[[#This Row],[Column659]]</f>
        <v>96.53</v>
      </c>
      <c r="YJ3">
        <f>SOFR3mo_PX[[#This Row],[Column660]]</f>
        <v>96.527500000000003</v>
      </c>
      <c r="YK3">
        <f>SOFR3mo_PX[[#This Row],[Column661]]</f>
        <v>96.525000000000006</v>
      </c>
      <c r="YL3">
        <f>SOFR3mo_PX[[#This Row],[Column662]]</f>
        <v>96.525000000000006</v>
      </c>
      <c r="YM3">
        <f>SOFR3mo_PX[[#This Row],[Column663]]</f>
        <v>96.525000000000006</v>
      </c>
      <c r="YN3">
        <f>SOFR3mo_PX[[#This Row],[Column664]]</f>
        <v>96.527500000000003</v>
      </c>
      <c r="YO3">
        <f>SOFR3mo_PX[[#This Row],[Column665]]</f>
        <v>96.527500000000003</v>
      </c>
      <c r="YP3">
        <f>SOFR3mo_PX[[#This Row],[Column666]]</f>
        <v>96.522499999999994</v>
      </c>
      <c r="YQ3">
        <f>SOFR3mo_PX[[#This Row],[Column667]]</f>
        <v>96.522499999999994</v>
      </c>
      <c r="YR3">
        <f>SOFR3mo_PX[[#This Row],[Column668]]</f>
        <v>96.525000000000006</v>
      </c>
      <c r="YS3">
        <f>SOFR3mo_PX[[#This Row],[Column669]]</f>
        <v>96.525000000000006</v>
      </c>
      <c r="YT3">
        <f>SOFR3mo_PX[[#This Row],[Column670]]</f>
        <v>96.525000000000006</v>
      </c>
      <c r="YU3">
        <f>SOFR3mo_PX[[#This Row],[Column671]]</f>
        <v>96.522499999999994</v>
      </c>
      <c r="YV3">
        <f>SOFR3mo_PX[[#This Row],[Column672]]</f>
        <v>96.52</v>
      </c>
      <c r="YW3">
        <f>SOFR3mo_PX[[#This Row],[Column673]]</f>
        <v>96.517499999999998</v>
      </c>
      <c r="YX3">
        <f>SOFR3mo_PX[[#This Row],[Column674]]</f>
        <v>96.517499999999998</v>
      </c>
      <c r="YY3">
        <f>SOFR3mo_PX[[#This Row],[Column675]]</f>
        <v>96.517499999999998</v>
      </c>
      <c r="YZ3">
        <f>SOFR3mo_PX[[#This Row],[Column676]]</f>
        <v>96.517499999999998</v>
      </c>
      <c r="ZA3">
        <f>SOFR3mo_PX[[#This Row],[Column677]]</f>
        <v>96.522499999999994</v>
      </c>
      <c r="ZB3">
        <f>SOFR3mo_PX[[#This Row],[Column678]]</f>
        <v>96.522499999999994</v>
      </c>
      <c r="ZC3">
        <f>SOFR3mo_PX[[#This Row],[Column679]]</f>
        <v>96.525000000000006</v>
      </c>
      <c r="ZD3">
        <f>SOFR3mo_PX[[#This Row],[Column680]]</f>
        <v>96.525000000000006</v>
      </c>
      <c r="ZE3">
        <f>SOFR3mo_PX[[#This Row],[Column681]]</f>
        <v>96.527500000000003</v>
      </c>
      <c r="ZF3">
        <f>SOFR3mo_PX[[#This Row],[Column682]]</f>
        <v>96.527500000000003</v>
      </c>
      <c r="ZG3">
        <f>SOFR3mo_PX[[#This Row],[Column683]]</f>
        <v>96.527500000000003</v>
      </c>
      <c r="ZH3">
        <f>SOFR3mo_PX[[#This Row],[Column684]]</f>
        <v>96.525000000000006</v>
      </c>
      <c r="ZI3">
        <f>SOFR3mo_PX[[#This Row],[Column685]]</f>
        <v>96.525000000000006</v>
      </c>
      <c r="ZJ3">
        <f>SOFR3mo_PX[[#This Row],[Column686]]</f>
        <v>96.52</v>
      </c>
      <c r="ZK3">
        <f>SOFR3mo_PX[[#This Row],[Column687]]</f>
        <v>96.522499999999994</v>
      </c>
      <c r="ZL3">
        <f>SOFR3mo_PX[[#This Row],[Column688]]</f>
        <v>96.517499999999998</v>
      </c>
      <c r="ZM3">
        <f>SOFR3mo_PX[[#This Row],[Column689]]</f>
        <v>96.52</v>
      </c>
      <c r="ZN3">
        <f>SOFR3mo_PX[[#This Row],[Column690]]</f>
        <v>96.522499999999994</v>
      </c>
      <c r="ZO3">
        <f>SOFR3mo_PX[[#This Row],[Column691]]</f>
        <v>96.525000000000006</v>
      </c>
      <c r="ZP3">
        <f>SOFR3mo_PX[[#This Row],[Column692]]</f>
        <v>96.53</v>
      </c>
      <c r="ZQ3">
        <f>SOFR3mo_PX[[#This Row],[Column693]]</f>
        <v>96.53</v>
      </c>
      <c r="ZR3">
        <f>SOFR3mo_PX[[#This Row],[Column694]]</f>
        <v>96.522499999999994</v>
      </c>
      <c r="ZS3">
        <f>SOFR3mo_PX[[#This Row],[Column695]]</f>
        <v>96.512500000000003</v>
      </c>
      <c r="ZT3">
        <f>SOFR3mo_PX[[#This Row],[Column696]]</f>
        <v>96.507499999999993</v>
      </c>
      <c r="ZU3">
        <f>SOFR3mo_PX[[#This Row],[Column697]]</f>
        <v>96.517499999999998</v>
      </c>
      <c r="ZV3">
        <f>SOFR3mo_PX[[#This Row],[Column698]]</f>
        <v>96.502499999999998</v>
      </c>
      <c r="ZW3">
        <f>SOFR3mo_PX[[#This Row],[Column699]]</f>
        <v>96.504999999999995</v>
      </c>
      <c r="ZX3">
        <f>SOFR3mo_PX[[#This Row],[Column700]]</f>
        <v>96.512500000000003</v>
      </c>
      <c r="ZY3">
        <f>SOFR3mo_PX[[#This Row],[Column701]]</f>
        <v>96.512500000000003</v>
      </c>
      <c r="ZZ3">
        <f>SOFR3mo_PX[[#This Row],[Column702]]</f>
        <v>96.507499999999993</v>
      </c>
      <c r="AAA3">
        <f>SOFR3mo_PX[[#This Row],[Column703]]</f>
        <v>96.504999999999995</v>
      </c>
      <c r="AAB3">
        <f>SOFR3mo_PX[[#This Row],[Column704]]</f>
        <v>96.534999999999997</v>
      </c>
      <c r="AAC3">
        <f>SOFR3mo_PX[[#This Row],[Column705]]</f>
        <v>96.534999999999997</v>
      </c>
      <c r="AAD3">
        <f>SOFR3mo_PX[[#This Row],[Column706]]</f>
        <v>96.547499999999999</v>
      </c>
      <c r="AAE3">
        <f>SOFR3mo_PX[[#This Row],[Column707]]</f>
        <v>96.545000000000002</v>
      </c>
      <c r="AAF3">
        <f>SOFR3mo_PX[[#This Row],[Column708]]</f>
        <v>96.555000000000007</v>
      </c>
      <c r="AAG3">
        <f>SOFR3mo_PX[[#This Row],[Column709]]</f>
        <v>96.567499999999995</v>
      </c>
      <c r="AAH3">
        <f>SOFR3mo_PX[[#This Row],[Column710]]</f>
        <v>96.567499999999995</v>
      </c>
      <c r="AAI3">
        <f>SOFR3mo_PX[[#This Row],[Column711]]</f>
        <v>96.59</v>
      </c>
      <c r="AAJ3">
        <f>SOFR3mo_PX[[#This Row],[Column712]]</f>
        <v>96.597499999999997</v>
      </c>
      <c r="AAK3">
        <f>SOFR3mo_PX[[#This Row],[Column713]]</f>
        <v>96.605000000000004</v>
      </c>
      <c r="AAL3">
        <f>SOFR3mo_PX[[#This Row],[Column714]]</f>
        <v>96.6</v>
      </c>
      <c r="AAM3">
        <f>SOFR3mo_PX[[#This Row],[Column715]]</f>
        <v>96.575000000000003</v>
      </c>
      <c r="AAN3">
        <f>SOFR3mo_PX[[#This Row],[Column716]]</f>
        <v>96.545000000000002</v>
      </c>
      <c r="AAO3">
        <f>SOFR3mo_PX[[#This Row],[Column717]]</f>
        <v>96.552499999999995</v>
      </c>
      <c r="AAP3">
        <f>SOFR3mo_PX[[#This Row],[Column718]]</f>
        <v>96.5625</v>
      </c>
      <c r="AAQ3">
        <f>SOFR3mo_PX[[#This Row],[Column719]]</f>
        <v>96.557500000000005</v>
      </c>
      <c r="AAR3">
        <f>SOFR3mo_PX[[#This Row],[Column720]]</f>
        <v>98.0625</v>
      </c>
      <c r="AAS3">
        <f>SOFR3mo_PX[[#This Row],[Column721]]</f>
        <v>98.06</v>
      </c>
      <c r="AAT3">
        <f>SOFR3mo_PX[[#This Row],[Column722]]</f>
        <v>98.0625</v>
      </c>
      <c r="AAU3">
        <f>SOFR3mo_PX[[#This Row],[Column723]]</f>
        <v>98.0625</v>
      </c>
      <c r="AAV3">
        <f>SOFR3mo_PX[[#This Row],[Column724]]</f>
        <v>98.0625</v>
      </c>
      <c r="AAW3">
        <f>SOFR3mo_PX[[#This Row],[Column725]]</f>
        <v>98.06</v>
      </c>
      <c r="AAX3">
        <f>SOFR3mo_PX[[#This Row],[Column726]]</f>
        <v>98.06</v>
      </c>
      <c r="AAY3">
        <f>SOFR3mo_PX[[#This Row],[Column727]]</f>
        <v>98.057500000000005</v>
      </c>
      <c r="AAZ3">
        <f>SOFR3mo_PX[[#This Row],[Column728]]</f>
        <v>98.057500000000005</v>
      </c>
      <c r="ABA3">
        <f>SOFR3mo_PX[[#This Row],[Column729]]</f>
        <v>98.057500000000005</v>
      </c>
      <c r="ABB3">
        <f>SOFR3mo_PX[[#This Row],[Column730]]</f>
        <v>98.06</v>
      </c>
      <c r="ABC3">
        <f>SOFR3mo_PX[[#This Row],[Column731]]</f>
        <v>98.06</v>
      </c>
      <c r="ABD3">
        <f>SOFR3mo_PX[[#This Row],[Column732]]</f>
        <v>98.06</v>
      </c>
      <c r="ABE3">
        <f>SOFR3mo_PX[[#This Row],[Column733]]</f>
        <v>98.057500000000005</v>
      </c>
      <c r="ABF3">
        <f>SOFR3mo_PX[[#This Row],[Column734]]</f>
        <v>98.06</v>
      </c>
      <c r="ABG3">
        <f>SOFR3mo_PX[[#This Row],[Column735]]</f>
        <v>98.06</v>
      </c>
      <c r="ABH3">
        <f>SOFR3mo_PX[[#This Row],[Column736]]</f>
        <v>98.057500000000005</v>
      </c>
      <c r="ABI3">
        <f>SOFR3mo_PX[[#This Row],[Column737]]</f>
        <v>98.057500000000005</v>
      </c>
      <c r="ABJ3">
        <f>SOFR3mo_PX[[#This Row],[Column738]]</f>
        <v>98.055000000000007</v>
      </c>
      <c r="ABK3">
        <f>SOFR3mo_PX[[#This Row],[Column739]]</f>
        <v>98.055000000000007</v>
      </c>
      <c r="ABL3">
        <f>SOFR3mo_PX[[#This Row],[Column740]]</f>
        <v>98.057500000000005</v>
      </c>
      <c r="ABM3">
        <f>SOFR3mo_PX[[#This Row],[Column741]]</f>
        <v>98.055000000000007</v>
      </c>
      <c r="ABN3">
        <f>SOFR3mo_PX[[#This Row],[Column742]]</f>
        <v>98.057500000000005</v>
      </c>
      <c r="ABO3">
        <f>SOFR3mo_PX[[#This Row],[Column743]]</f>
        <v>98.057500000000005</v>
      </c>
      <c r="ABP3">
        <f>SOFR3mo_PX[[#This Row],[Column744]]</f>
        <v>98.057500000000005</v>
      </c>
      <c r="ABQ3">
        <f>SOFR3mo_PX[[#This Row],[Column745]]</f>
        <v>98.055000000000007</v>
      </c>
      <c r="ABR3">
        <f>SOFR3mo_PX[[#This Row],[Column746]]</f>
        <v>98.057500000000005</v>
      </c>
      <c r="ABS3">
        <f>SOFR3mo_PX[[#This Row],[Column747]]</f>
        <v>98.055000000000007</v>
      </c>
      <c r="ABT3">
        <f>SOFR3mo_PX[[#This Row],[Column748]]</f>
        <v>98.055000000000007</v>
      </c>
      <c r="ABU3">
        <f>SOFR3mo_PX[[#This Row],[Column749]]</f>
        <v>98.05</v>
      </c>
      <c r="ABV3">
        <f>SOFR3mo_PX[[#This Row],[Column750]]</f>
        <v>98.042500000000004</v>
      </c>
      <c r="ABW3">
        <f>SOFR3mo_PX[[#This Row],[Column751]]</f>
        <v>98.047499999999999</v>
      </c>
      <c r="ABX3">
        <f>SOFR3mo_PX[[#This Row],[Column752]]</f>
        <v>98.045000000000002</v>
      </c>
      <c r="ABY3">
        <f>SOFR3mo_PX[[#This Row],[Column753]]</f>
        <v>98.057500000000005</v>
      </c>
      <c r="ABZ3">
        <f>SOFR3mo_PX[[#This Row],[Column754]]</f>
        <v>98.055000000000007</v>
      </c>
      <c r="ACA3">
        <f>SOFR3mo_PX[[#This Row],[Column755]]</f>
        <v>98.057500000000005</v>
      </c>
      <c r="ACB3">
        <f>SOFR3mo_PX[[#This Row],[Column756]]</f>
        <v>98.06</v>
      </c>
      <c r="ACC3">
        <f>SOFR3mo_PX[[#This Row],[Column757]]</f>
        <v>98.06</v>
      </c>
      <c r="ACD3">
        <f>SOFR3mo_PX[[#This Row],[Column758]]</f>
        <v>98.0625</v>
      </c>
      <c r="ACE3">
        <f>SOFR3mo_PX[[#This Row],[Column759]]</f>
        <v>98.057500000000005</v>
      </c>
      <c r="ACF3">
        <f>SOFR3mo_PX[[#This Row],[Column760]]</f>
        <v>98.032499999999999</v>
      </c>
      <c r="ACG3">
        <f>SOFR3mo_PX[[#This Row],[Column761]]</f>
        <v>98.03</v>
      </c>
      <c r="ACH3">
        <f>SOFR3mo_PX[[#This Row],[Column762]]</f>
        <v>98.042500000000004</v>
      </c>
      <c r="ACI3">
        <f>SOFR3mo_PX[[#This Row],[Column763]]</f>
        <v>98.034999999999997</v>
      </c>
      <c r="ACJ3">
        <f>SOFR3mo_PX[[#This Row],[Column764]]</f>
        <v>98.025000000000006</v>
      </c>
      <c r="ACK3">
        <f>SOFR3mo_PX[[#This Row],[Column765]]</f>
        <v>98.025000000000006</v>
      </c>
      <c r="ACL3">
        <f>SOFR3mo_PX[[#This Row],[Column766]]</f>
        <v>98.032499999999999</v>
      </c>
      <c r="ACM3">
        <f>SOFR3mo_PX[[#This Row],[Column767]]</f>
        <v>98.032499999999999</v>
      </c>
      <c r="ACN3">
        <f>SOFR3mo_PX[[#This Row],[Column768]]</f>
        <v>98.012500000000003</v>
      </c>
      <c r="ACO3">
        <f>SOFR3mo_PX[[#This Row],[Column769]]</f>
        <v>97.97</v>
      </c>
      <c r="ACP3">
        <f>SOFR3mo_PX[[#This Row],[Column770]]</f>
        <v>98.064999999999998</v>
      </c>
      <c r="ACQ3">
        <f>SOFR3mo_PX[[#This Row],[Column771]]</f>
        <v>98.0625</v>
      </c>
      <c r="ACR3">
        <f>SOFR3mo_PX[[#This Row],[Column772]]</f>
        <v>98.0625</v>
      </c>
      <c r="ACS3">
        <f>SOFR3mo_PX[[#This Row],[Column773]]</f>
        <v>98.08</v>
      </c>
      <c r="ACT3">
        <f>SOFR3mo_PX[[#This Row],[Column774]]</f>
        <v>98.092500000000001</v>
      </c>
      <c r="ACU3">
        <f>SOFR3mo_PX[[#This Row],[Column775]]</f>
        <v>98.112499999999997</v>
      </c>
      <c r="ACV3">
        <f>SOFR3mo_PX[[#This Row],[Column776]]</f>
        <v>98.114999999999995</v>
      </c>
      <c r="ACW3">
        <f>SOFR3mo_PX[[#This Row],[Column777]]</f>
        <v>98.114999999999995</v>
      </c>
      <c r="ACX3">
        <f>SOFR3mo_PX[[#This Row],[Column778]]</f>
        <v>98.122500000000002</v>
      </c>
      <c r="ACY3">
        <f>SOFR3mo_PX[[#This Row],[Column779]]</f>
        <v>98.11</v>
      </c>
      <c r="ACZ3">
        <f>SOFR3mo_PX[[#This Row],[Column780]]</f>
        <v>98.102500000000006</v>
      </c>
      <c r="ADA3">
        <f>SOFR3mo_PX[[#This Row],[Column781]]</f>
        <v>98.094999999999999</v>
      </c>
      <c r="ADB3">
        <f>SOFR3mo_PX[[#This Row],[Column782]]</f>
        <v>98.117500000000007</v>
      </c>
      <c r="ADC3">
        <f>SOFR3mo_PX[[#This Row],[Column783]]</f>
        <v>98.112499999999997</v>
      </c>
      <c r="ADD3">
        <f>SOFR3mo_PX[[#This Row],[Column784]]</f>
        <v>98.122500000000002</v>
      </c>
      <c r="ADE3">
        <f>SOFR3mo_PX[[#This Row],[Column785]]</f>
        <v>98.087500000000006</v>
      </c>
      <c r="ADF3">
        <f>SOFR3mo_PX[[#This Row],[Column786]]</f>
        <v>98.102500000000006</v>
      </c>
      <c r="ADG3">
        <f>SOFR3mo_PX[[#This Row],[Column787]]</f>
        <v>98.102500000000006</v>
      </c>
      <c r="ADH3">
        <f>SOFR3mo_PX[[#This Row],[Column788]]</f>
        <v>98.107500000000002</v>
      </c>
      <c r="ADI3">
        <f>SOFR3mo_PX[[#This Row],[Column789]]</f>
        <v>98.105000000000004</v>
      </c>
      <c r="ADJ3">
        <f>SOFR3mo_PX[[#This Row],[Column790]]</f>
        <v>99.492500000000007</v>
      </c>
      <c r="ADK3">
        <f>SOFR3mo_PX[[#This Row],[Column791]]</f>
        <v>99.492500000000007</v>
      </c>
      <c r="ADL3">
        <f>SOFR3mo_PX[[#This Row],[Column792]]</f>
        <v>99.492500000000007</v>
      </c>
      <c r="ADM3">
        <f>SOFR3mo_PX[[#This Row],[Column793]]</f>
        <v>99.49</v>
      </c>
      <c r="ADN3">
        <f>SOFR3mo_PX[[#This Row],[Column794]]</f>
        <v>99.492500000000007</v>
      </c>
      <c r="ADO3">
        <f>SOFR3mo_PX[[#This Row],[Column795]]</f>
        <v>99.492500000000007</v>
      </c>
      <c r="ADP3">
        <f>SOFR3mo_PX[[#This Row],[Column796]]</f>
        <v>99.49</v>
      </c>
      <c r="ADQ3">
        <f>SOFR3mo_PX[[#This Row],[Column797]]</f>
        <v>99.492500000000007</v>
      </c>
      <c r="ADR3">
        <f>SOFR3mo_PX[[#This Row],[Column798]]</f>
        <v>99.492500000000007</v>
      </c>
      <c r="ADS3">
        <f>SOFR3mo_PX[[#This Row],[Column799]]</f>
        <v>99.49</v>
      </c>
      <c r="ADT3">
        <f>SOFR3mo_PX[[#This Row],[Column800]]</f>
        <v>99.49</v>
      </c>
      <c r="ADU3">
        <f>SOFR3mo_PX[[#This Row],[Column801]]</f>
        <v>99.492500000000007</v>
      </c>
      <c r="ADV3">
        <f>SOFR3mo_PX[[#This Row],[Column802]]</f>
        <v>99.492500000000007</v>
      </c>
      <c r="ADW3">
        <f>SOFR3mo_PX[[#This Row],[Column803]]</f>
        <v>99.492500000000007</v>
      </c>
      <c r="ADX3">
        <f>SOFR3mo_PX[[#This Row],[Column804]]</f>
        <v>99.492500000000007</v>
      </c>
      <c r="ADY3">
        <f>SOFR3mo_PX[[#This Row],[Column805]]</f>
        <v>99.492500000000007</v>
      </c>
      <c r="ADZ3">
        <f>SOFR3mo_PX[[#This Row],[Column806]]</f>
        <v>99.49</v>
      </c>
      <c r="AEA3">
        <f>SOFR3mo_PX[[#This Row],[Column807]]</f>
        <v>99.492500000000007</v>
      </c>
      <c r="AEB3">
        <f>SOFR3mo_PX[[#This Row],[Column808]]</f>
        <v>99.492500000000007</v>
      </c>
      <c r="AEC3">
        <f>SOFR3mo_PX[[#This Row],[Column809]]</f>
        <v>99.49</v>
      </c>
      <c r="AED3">
        <f>SOFR3mo_PX[[#This Row],[Column810]]</f>
        <v>99.487499999999997</v>
      </c>
      <c r="AEE3">
        <f>SOFR3mo_PX[[#This Row],[Column811]]</f>
        <v>99.49</v>
      </c>
      <c r="AEF3">
        <f>SOFR3mo_PX[[#This Row],[Column812]]</f>
        <v>99.49</v>
      </c>
      <c r="AEG3">
        <f>SOFR3mo_PX[[#This Row],[Column813]]</f>
        <v>99.492500000000007</v>
      </c>
      <c r="AEH3">
        <f>SOFR3mo_PX[[#This Row],[Column814]]</f>
        <v>99.49</v>
      </c>
      <c r="AEI3">
        <f>SOFR3mo_PX[[#This Row],[Column815]]</f>
        <v>99.49</v>
      </c>
      <c r="AEJ3">
        <f>SOFR3mo_PX[[#This Row],[Column816]]</f>
        <v>99.492500000000007</v>
      </c>
      <c r="AEK3">
        <f>SOFR3mo_PX[[#This Row],[Column817]]</f>
        <v>99.492500000000007</v>
      </c>
      <c r="AEL3">
        <f>SOFR3mo_PX[[#This Row],[Column818]]</f>
        <v>99.487499999999997</v>
      </c>
      <c r="AEM3">
        <f>SOFR3mo_PX[[#This Row],[Column819]]</f>
        <v>99.49</v>
      </c>
      <c r="AEN3">
        <f>SOFR3mo_PX[[#This Row],[Column820]]</f>
        <v>99.48</v>
      </c>
      <c r="AEO3">
        <f>SOFR3mo_PX[[#This Row],[Column821]]</f>
        <v>99.482500000000002</v>
      </c>
      <c r="AEP3">
        <f>SOFR3mo_PX[[#This Row],[Column822]]</f>
        <v>99.477500000000006</v>
      </c>
      <c r="AEQ3">
        <f>SOFR3mo_PX[[#This Row],[Column823]]</f>
        <v>99.484999999999999</v>
      </c>
      <c r="AER3">
        <f>SOFR3mo_PX[[#This Row],[Column824]]</f>
        <v>99.49</v>
      </c>
      <c r="AES3">
        <f>SOFR3mo_PX[[#This Row],[Column825]]</f>
        <v>99.487499999999997</v>
      </c>
      <c r="AET3">
        <f>SOFR3mo_PX[[#This Row],[Column826]]</f>
        <v>99.484999999999999</v>
      </c>
      <c r="AEU3">
        <f>SOFR3mo_PX[[#This Row],[Column827]]</f>
        <v>99.48</v>
      </c>
      <c r="AEV3">
        <f>SOFR3mo_PX[[#This Row],[Column828]]</f>
        <v>99.48</v>
      </c>
      <c r="AEW3">
        <f>SOFR3mo_PX[[#This Row],[Column829]]</f>
        <v>99.487499999999997</v>
      </c>
      <c r="AEX3">
        <f>SOFR3mo_PX[[#This Row],[Column830]]</f>
        <v>99.487499999999997</v>
      </c>
      <c r="AEY3">
        <f>SOFR3mo_PX[[#This Row],[Column831]]</f>
        <v>99.487499999999997</v>
      </c>
      <c r="AEZ3">
        <f>SOFR3mo_PX[[#This Row],[Column832]]</f>
        <v>99.487499999999997</v>
      </c>
      <c r="AFA3">
        <f>SOFR3mo_PX[[#This Row],[Column833]]</f>
        <v>99.487499999999997</v>
      </c>
      <c r="AFB3">
        <f>SOFR3mo_PX[[#This Row],[Column834]]</f>
        <v>99.49</v>
      </c>
      <c r="AFC3">
        <f>SOFR3mo_PX[[#This Row],[Column835]]</f>
        <v>99.49</v>
      </c>
      <c r="AFD3">
        <f>SOFR3mo_PX[[#This Row],[Column836]]</f>
        <v>99.477500000000006</v>
      </c>
      <c r="AFE3">
        <f>SOFR3mo_PX[[#This Row],[Column837]]</f>
        <v>99.487499999999997</v>
      </c>
      <c r="AFF3">
        <f>SOFR3mo_PX[[#This Row],[Column838]]</f>
        <v>99.487499999999997</v>
      </c>
      <c r="AFG3">
        <f>SOFR3mo_PX[[#This Row],[Column839]]</f>
        <v>99.487499999999997</v>
      </c>
      <c r="AFH3">
        <f>SOFR3mo_PX[[#This Row],[Column840]]</f>
        <v>99.49</v>
      </c>
      <c r="AFI3">
        <f>SOFR3mo_PX[[#This Row],[Column841]]</f>
        <v>99.495000000000005</v>
      </c>
      <c r="AFJ3">
        <f>SOFR3mo_PX[[#This Row],[Column842]]</f>
        <v>99.504999999999995</v>
      </c>
      <c r="AFK3">
        <f>SOFR3mo_PX[[#This Row],[Column843]]</f>
        <v>99.512500000000003</v>
      </c>
      <c r="AFL3">
        <f>SOFR3mo_PX[[#This Row],[Column844]]</f>
        <v>99.507499999999993</v>
      </c>
      <c r="AFM3">
        <f>SOFR3mo_PX[[#This Row],[Column845]]</f>
        <v>99.5</v>
      </c>
      <c r="AFN3">
        <f>SOFR3mo_PX[[#This Row],[Column846]]</f>
        <v>99.48</v>
      </c>
      <c r="AFO3">
        <f>SOFR3mo_PX[[#This Row],[Column847]]</f>
        <v>99.492500000000007</v>
      </c>
      <c r="AFP3">
        <f>SOFR3mo_PX[[#This Row],[Column848]]</f>
        <v>99.497500000000002</v>
      </c>
      <c r="AFQ3">
        <f>SOFR3mo_PX[[#This Row],[Column849]]</f>
        <v>99.495000000000005</v>
      </c>
      <c r="AFR3">
        <f>SOFR3mo_PX[[#This Row],[Column850]]</f>
        <v>99.49</v>
      </c>
      <c r="AFS3">
        <f>SOFR3mo_PX[[#This Row],[Column851]]</f>
        <v>99.487499999999997</v>
      </c>
      <c r="AFT3">
        <f>SOFR3mo_PX[[#This Row],[Column852]]</f>
        <v>99.522499999999994</v>
      </c>
      <c r="AFU3">
        <f>SOFR3mo_PX[[#This Row],[Column853]]</f>
        <v>99.534999999999997</v>
      </c>
      <c r="AFV3">
        <f>SOFR3mo_PX[[#This Row],[Column854]]</f>
        <v>99.495000000000005</v>
      </c>
      <c r="AFW3">
        <f>SOFR3mo_PX[[#This Row],[Column855]]</f>
        <v>99.952500000000001</v>
      </c>
      <c r="AFX3">
        <f>SOFR3mo_PX[[#This Row],[Column856]]</f>
        <v>99.95</v>
      </c>
      <c r="AFY3">
        <f>SOFR3mo_PX[[#This Row],[Column857]]</f>
        <v>99.95</v>
      </c>
      <c r="AFZ3">
        <f>SOFR3mo_PX[[#This Row],[Column858]]</f>
        <v>99.95</v>
      </c>
      <c r="AGA3">
        <f>SOFR3mo_PX[[#This Row],[Column859]]</f>
        <v>99.947500000000005</v>
      </c>
      <c r="AGB3">
        <f>SOFR3mo_PX[[#This Row],[Column860]]</f>
        <v>99.95</v>
      </c>
      <c r="AGC3">
        <f>SOFR3mo_PX[[#This Row],[Column861]]</f>
        <v>99.95</v>
      </c>
      <c r="AGD3">
        <f>SOFR3mo_PX[[#This Row],[Column862]]</f>
        <v>99.947500000000005</v>
      </c>
      <c r="AGE3">
        <f>SOFR3mo_PX[[#This Row],[Column863]]</f>
        <v>99.947500000000005</v>
      </c>
      <c r="AGF3">
        <f>SOFR3mo_PX[[#This Row],[Column864]]</f>
        <v>99.947500000000005</v>
      </c>
      <c r="AGG3">
        <f>SOFR3mo_PX[[#This Row],[Column865]]</f>
        <v>99.947500000000005</v>
      </c>
      <c r="AGH3">
        <f>SOFR3mo_PX[[#This Row],[Column866]]</f>
        <v>99.947500000000005</v>
      </c>
      <c r="AGI3">
        <f>SOFR3mo_PX[[#This Row],[Column867]]</f>
        <v>99.944999999999993</v>
      </c>
      <c r="AGJ3">
        <f>SOFR3mo_PX[[#This Row],[Column868]]</f>
        <v>99.947500000000005</v>
      </c>
      <c r="AGK3">
        <f>SOFR3mo_PX[[#This Row],[Column869]]</f>
        <v>99.947500000000005</v>
      </c>
      <c r="AGL3">
        <f>SOFR3mo_PX[[#This Row],[Column870]]</f>
        <v>99.944999999999993</v>
      </c>
      <c r="AGM3">
        <f>SOFR3mo_PX[[#This Row],[Column871]]</f>
        <v>99.947500000000005</v>
      </c>
      <c r="AGN3">
        <f>SOFR3mo_PX[[#This Row],[Column872]]</f>
        <v>99.947500000000005</v>
      </c>
      <c r="AGO3">
        <f>SOFR3mo_PX[[#This Row],[Column873]]</f>
        <v>99.947500000000005</v>
      </c>
      <c r="AGP3">
        <f>SOFR3mo_PX[[#This Row],[Column874]]</f>
        <v>99.947500000000005</v>
      </c>
      <c r="AGQ3">
        <f>SOFR3mo_PX[[#This Row],[Column875]]</f>
        <v>99.944999999999993</v>
      </c>
      <c r="AGR3">
        <f>SOFR3mo_PX[[#This Row],[Column876]]</f>
        <v>99.942499999999995</v>
      </c>
      <c r="AGS3">
        <f>SOFR3mo_PX[[#This Row],[Column877]]</f>
        <v>99.93</v>
      </c>
      <c r="AGT3">
        <f>SOFR3mo_PX[[#This Row],[Column878]]</f>
        <v>99.91</v>
      </c>
      <c r="AGU3">
        <f>SOFR3mo_PX[[#This Row],[Column879]]</f>
        <v>99.95</v>
      </c>
      <c r="AGV3">
        <f>SOFR3mo_PX[[#This Row],[Column880]]</f>
        <v>99.944999999999993</v>
      </c>
      <c r="AGW3">
        <f>SOFR3mo_PX[[#This Row],[Column881]]</f>
        <v>99.947500000000005</v>
      </c>
      <c r="AGX3">
        <f>SOFR3mo_PX[[#This Row],[Column882]]</f>
        <v>99.942499999999995</v>
      </c>
      <c r="AGY3">
        <f>SOFR3mo_PX[[#This Row],[Column883]]</f>
        <v>99.95</v>
      </c>
      <c r="AGZ3">
        <f>SOFR3mo_PX[[#This Row],[Column884]]</f>
        <v>99.952500000000001</v>
      </c>
      <c r="AHA3">
        <f>SOFR3mo_PX[[#This Row],[Column885]]</f>
        <v>99.952500000000001</v>
      </c>
      <c r="AHB3">
        <f>SOFR3mo_PX[[#This Row],[Column886]]</f>
        <v>99.952500000000001</v>
      </c>
      <c r="AHC3">
        <f>SOFR3mo_PX[[#This Row],[Column887]]</f>
        <v>99.952500000000001</v>
      </c>
      <c r="AHD3">
        <f>SOFR3mo_PX[[#This Row],[Column888]]</f>
        <v>99.95</v>
      </c>
      <c r="AHE3">
        <f>SOFR3mo_PX[[#This Row],[Column889]]</f>
        <v>99.947500000000005</v>
      </c>
      <c r="AHF3">
        <f>SOFR3mo_PX[[#This Row],[Column890]]</f>
        <v>99.944999999999993</v>
      </c>
      <c r="AHG3">
        <f>SOFR3mo_PX[[#This Row],[Column891]]</f>
        <v>99.947500000000005</v>
      </c>
      <c r="AHH3">
        <f>SOFR3mo_PX[[#This Row],[Column892]]</f>
        <v>99.947500000000005</v>
      </c>
      <c r="AHI3">
        <f>SOFR3mo_PX[[#This Row],[Column893]]</f>
        <v>99.944999999999993</v>
      </c>
      <c r="AHJ3">
        <f>SOFR3mo_PX[[#This Row],[Column894]]</f>
        <v>99.94</v>
      </c>
      <c r="AHK3">
        <f>SOFR3mo_PX[[#This Row],[Column895]]</f>
        <v>99.94</v>
      </c>
      <c r="AHL3">
        <f>SOFR3mo_PX[[#This Row],[Column896]]</f>
        <v>99.942499999999995</v>
      </c>
      <c r="AHM3">
        <f>SOFR3mo_PX[[#This Row],[Column897]]</f>
        <v>99.942499999999995</v>
      </c>
      <c r="AHN3">
        <f>SOFR3mo_PX[[#This Row],[Column898]]</f>
        <v>99.942499999999995</v>
      </c>
      <c r="AHO3">
        <f>SOFR3mo_PX[[#This Row],[Column899]]</f>
        <v>99.942499999999995</v>
      </c>
      <c r="AHP3">
        <f>SOFR3mo_PX[[#This Row],[Column900]]</f>
        <v>99.94</v>
      </c>
      <c r="AHQ3">
        <f>SOFR3mo_PX[[#This Row],[Column901]]</f>
        <v>99.932500000000005</v>
      </c>
      <c r="AHR3">
        <f>SOFR3mo_PX[[#This Row],[Column902]]</f>
        <v>99.9375</v>
      </c>
      <c r="AHS3">
        <f>SOFR3mo_PX[[#This Row],[Column903]]</f>
        <v>99.9375</v>
      </c>
      <c r="AHT3">
        <f>SOFR3mo_PX[[#This Row],[Column904]]</f>
        <v>99.94</v>
      </c>
      <c r="AHU3">
        <f>SOFR3mo_PX[[#This Row],[Column905]]</f>
        <v>99.94</v>
      </c>
      <c r="AHV3">
        <f>SOFR3mo_PX[[#This Row],[Column906]]</f>
        <v>99.94</v>
      </c>
      <c r="AHW3">
        <f>SOFR3mo_PX[[#This Row],[Column907]]</f>
        <v>99.942499999999995</v>
      </c>
      <c r="AHX3">
        <f>SOFR3mo_PX[[#This Row],[Column908]]</f>
        <v>99.942499999999995</v>
      </c>
      <c r="AHY3">
        <f>SOFR3mo_PX[[#This Row],[Column909]]</f>
        <v>99.942499999999995</v>
      </c>
      <c r="AHZ3">
        <f>SOFR3mo_PX[[#This Row],[Column910]]</f>
        <v>99.944999999999993</v>
      </c>
      <c r="AIA3">
        <f>SOFR3mo_PX[[#This Row],[Column911]]</f>
        <v>99.944999999999993</v>
      </c>
      <c r="AIB3">
        <f>SOFR3mo_PX[[#This Row],[Column912]]</f>
        <v>99.942499999999995</v>
      </c>
      <c r="AIC3">
        <f>SOFR3mo_PX[[#This Row],[Column913]]</f>
        <v>99.942499999999995</v>
      </c>
      <c r="AID3">
        <f>SOFR3mo_PX[[#This Row],[Column914]]</f>
        <v>99.942499999999995</v>
      </c>
      <c r="AIE3">
        <f>SOFR3mo_PX[[#This Row],[Column915]]</f>
        <v>99.94</v>
      </c>
      <c r="AIF3">
        <f>SOFR3mo_PX[[#This Row],[Column916]]</f>
        <v>99.94</v>
      </c>
      <c r="AIG3">
        <f>SOFR3mo_PX[[#This Row],[Column917]]</f>
        <v>99.94</v>
      </c>
      <c r="AIH3">
        <f>SOFR3mo_PX[[#This Row],[Column918]]</f>
        <v>99.94</v>
      </c>
      <c r="AII3">
        <f>SOFR3mo_PX[[#This Row],[Column919]]</f>
        <v>99.935000000000002</v>
      </c>
      <c r="AIJ3">
        <f>SOFR3mo_PX[[#This Row],[Column920]]</f>
        <v>99.95</v>
      </c>
      <c r="AIK3">
        <f>SOFR3mo_PX[[#This Row],[Column921]]</f>
        <v>99.952500000000001</v>
      </c>
      <c r="AIL3">
        <f>SOFR3mo_PX[[#This Row],[Column922]]</f>
        <v>99.952500000000001</v>
      </c>
      <c r="AIM3">
        <f>SOFR3mo_PX[[#This Row],[Column923]]</f>
        <v>99.952500000000001</v>
      </c>
      <c r="AIN3">
        <f>SOFR3mo_PX[[#This Row],[Column924]]</f>
        <v>99.952500000000001</v>
      </c>
      <c r="AIO3">
        <f>SOFR3mo_PX[[#This Row],[Column925]]</f>
        <v>99.95</v>
      </c>
      <c r="AIP3">
        <f>SOFR3mo_PX[[#This Row],[Column926]]</f>
        <v>99.95</v>
      </c>
      <c r="AIQ3">
        <f>SOFR3mo_PX[[#This Row],[Column927]]</f>
        <v>99.95</v>
      </c>
      <c r="AIR3">
        <f>SOFR3mo_PX[[#This Row],[Column928]]</f>
        <v>99.95</v>
      </c>
      <c r="AIS3">
        <f>SOFR3mo_PX[[#This Row],[Column929]]</f>
        <v>99.95</v>
      </c>
      <c r="AIT3">
        <f>SOFR3mo_PX[[#This Row],[Column930]]</f>
        <v>99.95</v>
      </c>
      <c r="AIU3">
        <f>SOFR3mo_PX[[#This Row],[Column931]]</f>
        <v>99.95</v>
      </c>
      <c r="AIV3">
        <f>SOFR3mo_PX[[#This Row],[Column932]]</f>
        <v>99.952500000000001</v>
      </c>
      <c r="AIW3">
        <f>SOFR3mo_PX[[#This Row],[Column933]]</f>
        <v>99.952500000000001</v>
      </c>
      <c r="AIX3">
        <f>SOFR3mo_PX[[#This Row],[Column934]]</f>
        <v>99.952500000000001</v>
      </c>
      <c r="AIY3">
        <f>SOFR3mo_PX[[#This Row],[Column935]]</f>
        <v>99.95</v>
      </c>
      <c r="AIZ3">
        <f>SOFR3mo_PX[[#This Row],[Column936]]</f>
        <v>99.95</v>
      </c>
      <c r="AJA3">
        <f>SOFR3mo_PX[[#This Row],[Column937]]</f>
        <v>99.95</v>
      </c>
      <c r="AJB3">
        <f>SOFR3mo_PX[[#This Row],[Column938]]</f>
        <v>99.952500000000001</v>
      </c>
      <c r="AJC3">
        <f>SOFR3mo_PX[[#This Row],[Column939]]</f>
        <v>99.952500000000001</v>
      </c>
      <c r="AJD3">
        <f>SOFR3mo_PX[[#This Row],[Column940]]</f>
        <v>99.952500000000001</v>
      </c>
      <c r="AJE3">
        <f>SOFR3mo_PX[[#This Row],[Column941]]</f>
        <v>99.952500000000001</v>
      </c>
      <c r="AJF3">
        <f>SOFR3mo_PX[[#This Row],[Column942]]</f>
        <v>99.952500000000001</v>
      </c>
      <c r="AJG3">
        <f>SOFR3mo_PX[[#This Row],[Column943]]</f>
        <v>99.95</v>
      </c>
      <c r="AJH3">
        <f>SOFR3mo_PX[[#This Row],[Column944]]</f>
        <v>99.95</v>
      </c>
      <c r="AJI3">
        <f>SOFR3mo_PX[[#This Row],[Column945]]</f>
        <v>99.954999999999998</v>
      </c>
      <c r="AJJ3">
        <f>SOFR3mo_PX[[#This Row],[Column946]]</f>
        <v>99.952500000000001</v>
      </c>
      <c r="AJK3">
        <f>SOFR3mo_PX[[#This Row],[Column947]]</f>
        <v>99.957499999999996</v>
      </c>
      <c r="AJL3">
        <f>SOFR3mo_PX[[#This Row],[Column948]]</f>
        <v>99.954999999999998</v>
      </c>
      <c r="AJM3">
        <f>SOFR3mo_PX[[#This Row],[Column949]]</f>
        <v>99.954999999999998</v>
      </c>
      <c r="AJN3">
        <f>SOFR3mo_PX[[#This Row],[Column950]]</f>
        <v>99.952500000000001</v>
      </c>
      <c r="AJO3">
        <f>SOFR3mo_PX[[#This Row],[Column951]]</f>
        <v>99.95</v>
      </c>
      <c r="AJP3">
        <f>SOFR3mo_PX[[#This Row],[Column952]]</f>
        <v>99.954999999999998</v>
      </c>
      <c r="AJQ3">
        <f>SOFR3mo_PX[[#This Row],[Column953]]</f>
        <v>99.954999999999998</v>
      </c>
      <c r="AJR3">
        <f>SOFR3mo_PX[[#This Row],[Column954]]</f>
        <v>99.952500000000001</v>
      </c>
      <c r="AJS3">
        <f>SOFR3mo_PX[[#This Row],[Column955]]</f>
        <v>99.952500000000001</v>
      </c>
      <c r="AJT3">
        <f>SOFR3mo_PX[[#This Row],[Column956]]</f>
        <v>99.952500000000001</v>
      </c>
      <c r="AJU3">
        <f>SOFR3mo_PX[[#This Row],[Column957]]</f>
        <v>99.954999999999998</v>
      </c>
      <c r="AJV3">
        <f>SOFR3mo_PX[[#This Row],[Column958]]</f>
        <v>99.952500000000001</v>
      </c>
      <c r="AJW3">
        <f>SOFR3mo_PX[[#This Row],[Column959]]</f>
        <v>99.954999999999998</v>
      </c>
      <c r="AJX3">
        <f>SOFR3mo_PX[[#This Row],[Column960]]</f>
        <v>99.952500000000001</v>
      </c>
      <c r="AJY3">
        <f>SOFR3mo_PX[[#This Row],[Column961]]</f>
        <v>99.947500000000005</v>
      </c>
      <c r="AJZ3">
        <f>SOFR3mo_PX[[#This Row],[Column962]]</f>
        <v>99.947500000000005</v>
      </c>
      <c r="AKA3">
        <f>SOFR3mo_PX[[#This Row],[Column963]]</f>
        <v>99.95</v>
      </c>
      <c r="AKB3">
        <f>SOFR3mo_PX[[#This Row],[Column964]]</f>
        <v>99.944999999999993</v>
      </c>
      <c r="AKC3">
        <f>SOFR3mo_PX[[#This Row],[Column965]]</f>
        <v>99.944999999999993</v>
      </c>
      <c r="AKD3">
        <f>SOFR3mo_PX[[#This Row],[Column966]]</f>
        <v>99.947500000000005</v>
      </c>
      <c r="AKE3">
        <f>SOFR3mo_PX[[#This Row],[Column967]]</f>
        <v>99.947500000000005</v>
      </c>
      <c r="AKF3">
        <f>SOFR3mo_PX[[#This Row],[Column968]]</f>
        <v>99.947500000000005</v>
      </c>
      <c r="AKG3">
        <f>SOFR3mo_PX[[#This Row],[Column969]]</f>
        <v>99.944999999999993</v>
      </c>
      <c r="AKH3">
        <f>SOFR3mo_PX[[#This Row],[Column970]]</f>
        <v>99.944999999999993</v>
      </c>
      <c r="AKI3">
        <f>SOFR3mo_PX[[#This Row],[Column971]]</f>
        <v>99.944999999999993</v>
      </c>
      <c r="AKJ3">
        <f>SOFR3mo_PX[[#This Row],[Column972]]</f>
        <v>99.942499999999995</v>
      </c>
      <c r="AKK3">
        <f>SOFR3mo_PX[[#This Row],[Column973]]</f>
        <v>99.947500000000005</v>
      </c>
      <c r="AKL3">
        <f>SOFR3mo_PX[[#This Row],[Column974]]</f>
        <v>99.942499999999995</v>
      </c>
      <c r="AKM3">
        <f>SOFR3mo_PX[[#This Row],[Column975]]</f>
        <v>99.942499999999995</v>
      </c>
      <c r="AKN3">
        <f>SOFR3mo_PX[[#This Row],[Column976]]</f>
        <v>99.942499999999995</v>
      </c>
      <c r="AKO3">
        <f>SOFR3mo_PX[[#This Row],[Column977]]</f>
        <v>99.942499999999995</v>
      </c>
      <c r="AKP3">
        <f>SOFR3mo_PX[[#This Row],[Column978]]</f>
        <v>99.94</v>
      </c>
      <c r="AKQ3">
        <f>SOFR3mo_PX[[#This Row],[Column979]]</f>
        <v>99.942499999999995</v>
      </c>
      <c r="AKR3">
        <f>SOFR3mo_PX[[#This Row],[Column980]]</f>
        <v>99.942499999999995</v>
      </c>
      <c r="AKS3">
        <f>SOFR3mo_PX[[#This Row],[Column981]]</f>
        <v>99.942499999999995</v>
      </c>
      <c r="AKT3">
        <f>SOFR3mo_PX[[#This Row],[Column982]]</f>
        <v>99.94</v>
      </c>
      <c r="AKU3">
        <f>SOFR3mo_PX[[#This Row],[Column983]]</f>
        <v>99.94</v>
      </c>
      <c r="AKV3">
        <f>SOFR3mo_PX[[#This Row],[Column984]]</f>
        <v>99.942499999999995</v>
      </c>
      <c r="AKW3">
        <f>SOFR3mo_PX[[#This Row],[Column985]]</f>
        <v>99.95</v>
      </c>
      <c r="AKX3">
        <f>SOFR3mo_PX[[#This Row],[Column986]]</f>
        <v>99.952500000000001</v>
      </c>
      <c r="AKY3">
        <f>SOFR3mo_PX[[#This Row],[Column987]]</f>
        <v>99.952500000000001</v>
      </c>
      <c r="AKZ3">
        <f>SOFR3mo_PX[[#This Row],[Column988]]</f>
        <v>99.95</v>
      </c>
      <c r="ALA3">
        <f>SOFR3mo_PX[[#This Row],[Column989]]</f>
        <v>99.95</v>
      </c>
      <c r="ALB3">
        <f>SOFR3mo_PX[[#This Row],[Column990]]</f>
        <v>99.95</v>
      </c>
      <c r="ALC3">
        <f>SOFR3mo_PX[[#This Row],[Column991]]</f>
        <v>99.95</v>
      </c>
      <c r="ALD3">
        <f>SOFR3mo_PX[[#This Row],[Column992]]</f>
        <v>99.95</v>
      </c>
      <c r="ALE3">
        <f>SOFR3mo_PX[[#This Row],[Column993]]</f>
        <v>99.95</v>
      </c>
      <c r="ALF3">
        <f>SOFR3mo_PX[[#This Row],[Column994]]</f>
        <v>99.952500000000001</v>
      </c>
      <c r="ALG3">
        <f>SOFR3mo_PX[[#This Row],[Column995]]</f>
        <v>99.952500000000001</v>
      </c>
      <c r="ALH3">
        <f>SOFR3mo_PX[[#This Row],[Column996]]</f>
        <v>99.952500000000001</v>
      </c>
      <c r="ALI3">
        <f>SOFR3mo_PX[[#This Row],[Column997]]</f>
        <v>99.952500000000001</v>
      </c>
      <c r="ALJ3">
        <f>SOFR3mo_PX[[#This Row],[Column998]]</f>
        <v>99.952500000000001</v>
      </c>
      <c r="ALK3">
        <f>SOFR3mo_PX[[#This Row],[Column999]]</f>
        <v>99.95</v>
      </c>
      <c r="ALL3">
        <f>SOFR3mo_PX[[#This Row],[Column1000]]</f>
        <v>99.95</v>
      </c>
      <c r="ALM3">
        <f>SOFR3mo_PX[[#This Row],[Column1001]]</f>
        <v>99.95</v>
      </c>
      <c r="ALN3">
        <f>SOFR3mo_PX[[#This Row],[Column1002]]</f>
        <v>99.952500000000001</v>
      </c>
      <c r="ALO3">
        <f>SOFR3mo_PX[[#This Row],[Column1003]]</f>
        <v>99.95</v>
      </c>
      <c r="ALP3">
        <f>SOFR3mo_PX[[#This Row],[Column1004]]</f>
        <v>99.952500000000001</v>
      </c>
      <c r="ALQ3">
        <f>SOFR3mo_PX[[#This Row],[Column1005]]</f>
        <v>99.95</v>
      </c>
      <c r="ALR3">
        <f>SOFR3mo_PX[[#This Row],[Column1006]]</f>
        <v>99.95</v>
      </c>
      <c r="ALS3">
        <f>SOFR3mo_PX[[#This Row],[Column1007]]</f>
        <v>99.952500000000001</v>
      </c>
      <c r="ALT3">
        <f>SOFR3mo_PX[[#This Row],[Column1008]]</f>
        <v>99.952500000000001</v>
      </c>
      <c r="ALU3">
        <f>SOFR3mo_PX[[#This Row],[Column1009]]</f>
        <v>99.947500000000005</v>
      </c>
      <c r="ALV3">
        <f>SOFR3mo_PX[[#This Row],[Column1010]]</f>
        <v>99.947500000000005</v>
      </c>
      <c r="ALW3">
        <f>SOFR3mo_PX[[#This Row],[Column1011]]</f>
        <v>99.95</v>
      </c>
      <c r="ALX3">
        <f>SOFR3mo_PX[[#This Row],[Column1012]]</f>
        <v>99.95</v>
      </c>
      <c r="ALY3">
        <f>SOFR3mo_PX[[#This Row],[Column1013]]</f>
        <v>99.95</v>
      </c>
      <c r="ALZ3">
        <f>SOFR3mo_PX[[#This Row],[Column1014]]</f>
        <v>99.952500000000001</v>
      </c>
      <c r="AMA3">
        <f>SOFR3mo_PX[[#This Row],[Column1015]]</f>
        <v>99.952500000000001</v>
      </c>
      <c r="AMB3">
        <f>SOFR3mo_PX[[#This Row],[Column1016]]</f>
        <v>99.952500000000001</v>
      </c>
      <c r="AMC3">
        <f>SOFR3mo_PX[[#This Row],[Column1017]]</f>
        <v>99.954999999999998</v>
      </c>
      <c r="AMD3">
        <f>SOFR3mo_PX[[#This Row],[Column1018]]</f>
        <v>99.954999999999998</v>
      </c>
      <c r="AME3">
        <f>SOFR3mo_PX[[#This Row],[Column1019]]</f>
        <v>99.952500000000001</v>
      </c>
      <c r="AMF3">
        <f>SOFR3mo_PX[[#This Row],[Column1020]]</f>
        <v>99.952500000000001</v>
      </c>
      <c r="AMG3">
        <f>SOFR3mo_PX[[#This Row],[Column1021]]</f>
        <v>99.947500000000005</v>
      </c>
      <c r="AMH3">
        <f>SOFR3mo_PX[[#This Row],[Column1022]]</f>
        <v>99.95</v>
      </c>
      <c r="AMI3">
        <f>SOFR3mo_PX[[#This Row],[Column1023]]</f>
        <v>99.952500000000001</v>
      </c>
      <c r="AMJ3">
        <f>SOFR3mo_PX[[#This Row],[Column1024]]</f>
        <v>99.952500000000001</v>
      </c>
      <c r="AMK3">
        <f>SOFR3mo_PX[[#This Row],[Column1025]]</f>
        <v>99.947500000000005</v>
      </c>
      <c r="AML3">
        <f>SOFR3mo_PX[[#This Row],[Column1026]]</f>
        <v>99.947500000000005</v>
      </c>
      <c r="AMM3">
        <f>SOFR3mo_PX[[#This Row],[Column1027]]</f>
        <v>99.954999999999998</v>
      </c>
      <c r="AMN3">
        <f>SOFR3mo_PX[[#This Row],[Column1028]]</f>
        <v>99.954999999999998</v>
      </c>
      <c r="AMO3">
        <f>SOFR3mo_PX[[#This Row],[Column1029]]</f>
        <v>99.95</v>
      </c>
      <c r="AMP3">
        <f>SOFR3mo_PX[[#This Row],[Column1030]]</f>
        <v>99.95</v>
      </c>
      <c r="AMQ3">
        <f>SOFR3mo_PX[[#This Row],[Column1031]]</f>
        <v>99.95</v>
      </c>
      <c r="AMR3">
        <f>SOFR3mo_PX[[#This Row],[Column1032]]</f>
        <v>99.95</v>
      </c>
      <c r="AMS3">
        <f>SOFR3mo_PX[[#This Row],[Column1033]]</f>
        <v>99.952500000000001</v>
      </c>
      <c r="AMT3">
        <f>SOFR3mo_PX[[#This Row],[Column1034]]</f>
        <v>99.954999999999998</v>
      </c>
      <c r="AMU3">
        <f>SOFR3mo_PX[[#This Row],[Column1035]]</f>
        <v>99.954999999999998</v>
      </c>
      <c r="AMV3">
        <f>SOFR3mo_PX[[#This Row],[Column1036]]</f>
        <v>99.952500000000001</v>
      </c>
      <c r="AMW3">
        <f>SOFR3mo_PX[[#This Row],[Column1037]]</f>
        <v>99.952500000000001</v>
      </c>
      <c r="AMX3">
        <f>SOFR3mo_PX[[#This Row],[Column1038]]</f>
        <v>99.952500000000001</v>
      </c>
      <c r="AMY3">
        <f>SOFR3mo_PX[[#This Row],[Column1039]]</f>
        <v>99.957499999999996</v>
      </c>
      <c r="AMZ3">
        <f>SOFR3mo_PX[[#This Row],[Column1040]]</f>
        <v>99.954999999999998</v>
      </c>
      <c r="ANA3">
        <f>SOFR3mo_PX[[#This Row],[Column1041]]</f>
        <v>99.954999999999998</v>
      </c>
      <c r="ANB3">
        <f>SOFR3mo_PX[[#This Row],[Column1042]]</f>
        <v>99.95</v>
      </c>
      <c r="ANC3">
        <f>SOFR3mo_PX[[#This Row],[Column1043]]</f>
        <v>99.954999999999998</v>
      </c>
      <c r="AND3">
        <f>SOFR3mo_PX[[#This Row],[Column1044]]</f>
        <v>99.954999999999998</v>
      </c>
      <c r="ANE3">
        <f>SOFR3mo_PX[[#This Row],[Column1045]]</f>
        <v>99.96</v>
      </c>
      <c r="ANF3">
        <f>SOFR3mo_PX[[#This Row],[Column1046]]</f>
        <v>99.95</v>
      </c>
      <c r="ANG3">
        <f>SOFR3mo_PX[[#This Row],[Column1047]]</f>
        <v>99.95</v>
      </c>
      <c r="ANH3">
        <f>SOFR3mo_PX[[#This Row],[Column1048]]</f>
        <v>99.952500000000001</v>
      </c>
      <c r="ANI3">
        <f>SOFR3mo_PX[[#This Row],[Column1049]]</f>
        <v>99.947500000000005</v>
      </c>
      <c r="ANJ3">
        <f>SOFR3mo_PX[[#This Row],[Column1050]]</f>
        <v>99.987499999999997</v>
      </c>
      <c r="ANK3">
        <f>SOFR3mo_PX[[#This Row],[Column1051]]</f>
        <v>99.987499999999997</v>
      </c>
      <c r="ANL3">
        <f>SOFR3mo_PX[[#This Row],[Column1052]]</f>
        <v>99.99</v>
      </c>
      <c r="ANM3">
        <f>SOFR3mo_PX[[#This Row],[Column1053]]</f>
        <v>99.99</v>
      </c>
      <c r="ANN3">
        <f>SOFR3mo_PX[[#This Row],[Column1054]]</f>
        <v>99.99</v>
      </c>
      <c r="ANO3">
        <f>SOFR3mo_PX[[#This Row],[Column1055]]</f>
        <v>99.992500000000007</v>
      </c>
      <c r="ANP3">
        <f>SOFR3mo_PX[[#This Row],[Column1056]]</f>
        <v>99.99</v>
      </c>
      <c r="ANQ3">
        <f>SOFR3mo_PX[[#This Row],[Column1057]]</f>
        <v>99.99</v>
      </c>
      <c r="ANR3">
        <f>SOFR3mo_PX[[#This Row],[Column1058]]</f>
        <v>99.99</v>
      </c>
      <c r="ANS3">
        <f>SOFR3mo_PX[[#This Row],[Column1059]]</f>
        <v>99.99</v>
      </c>
      <c r="ANT3">
        <f>SOFR3mo_PX[[#This Row],[Column1060]]</f>
        <v>99.99</v>
      </c>
      <c r="ANU3">
        <f>SOFR3mo_PX[[#This Row],[Column1061]]</f>
        <v>99.99</v>
      </c>
      <c r="ANV3">
        <f>SOFR3mo_PX[[#This Row],[Column1062]]</f>
        <v>99.99</v>
      </c>
      <c r="ANW3">
        <f>SOFR3mo_PX[[#This Row],[Column1063]]</f>
        <v>99.99</v>
      </c>
      <c r="ANX3">
        <f>SOFR3mo_PX[[#This Row],[Column1064]]</f>
        <v>99.99</v>
      </c>
      <c r="ANY3">
        <f>SOFR3mo_PX[[#This Row],[Column1065]]</f>
        <v>99.99</v>
      </c>
      <c r="ANZ3">
        <f>SOFR3mo_PX[[#This Row],[Column1066]]</f>
        <v>99.99</v>
      </c>
      <c r="AOA3">
        <f>SOFR3mo_PX[[#This Row],[Column1067]]</f>
        <v>99.987499999999997</v>
      </c>
      <c r="AOB3">
        <f>SOFR3mo_PX[[#This Row],[Column1068]]</f>
        <v>99.99</v>
      </c>
      <c r="AOC3">
        <f>SOFR3mo_PX[[#This Row],[Column1069]]</f>
        <v>99.987499999999997</v>
      </c>
      <c r="AOD3">
        <f>SOFR3mo_PX[[#This Row],[Column1070]]</f>
        <v>99.99</v>
      </c>
      <c r="AOE3">
        <f>SOFR3mo_PX[[#This Row],[Column1071]]</f>
        <v>99.99</v>
      </c>
      <c r="AOF3">
        <f>SOFR3mo_PX[[#This Row],[Column1072]]</f>
        <v>99.99</v>
      </c>
      <c r="AOG3">
        <f>SOFR3mo_PX[[#This Row],[Column1073]]</f>
        <v>99.99</v>
      </c>
      <c r="AOH3">
        <f>SOFR3mo_PX[[#This Row],[Column1074]]</f>
        <v>99.987499999999997</v>
      </c>
      <c r="AOI3">
        <f>SOFR3mo_PX[[#This Row],[Column1075]]</f>
        <v>99.982500000000002</v>
      </c>
      <c r="AOJ3">
        <f>SOFR3mo_PX[[#This Row],[Column1076]]</f>
        <v>99.982500000000002</v>
      </c>
      <c r="AOK3">
        <f>SOFR3mo_PX[[#This Row],[Column1077]]</f>
        <v>99.984999999999999</v>
      </c>
      <c r="AOL3">
        <f>SOFR3mo_PX[[#This Row],[Column1078]]</f>
        <v>99.984999999999999</v>
      </c>
      <c r="AOM3">
        <f>SOFR3mo_PX[[#This Row],[Column1079]]</f>
        <v>99.984999999999999</v>
      </c>
      <c r="AON3">
        <f>SOFR3mo_PX[[#This Row],[Column1080]]</f>
        <v>99.984999999999999</v>
      </c>
      <c r="AOO3">
        <f>SOFR3mo_PX[[#This Row],[Column1081]]</f>
        <v>99.982500000000002</v>
      </c>
      <c r="AOP3">
        <f>SOFR3mo_PX[[#This Row],[Column1082]]</f>
        <v>99.982500000000002</v>
      </c>
      <c r="AOQ3">
        <f>SOFR3mo_PX[[#This Row],[Column1083]]</f>
        <v>99.982500000000002</v>
      </c>
      <c r="AOR3">
        <f>SOFR3mo_PX[[#This Row],[Column1084]]</f>
        <v>99.987499999999997</v>
      </c>
      <c r="AOS3">
        <f>SOFR3mo_PX[[#This Row],[Column1085]]</f>
        <v>99.984999999999999</v>
      </c>
      <c r="AOT3">
        <f>SOFR3mo_PX[[#This Row],[Column1086]]</f>
        <v>99.984999999999999</v>
      </c>
      <c r="AOU3">
        <f>SOFR3mo_PX[[#This Row],[Column1087]]</f>
        <v>99.984999999999999</v>
      </c>
      <c r="AOV3">
        <f>SOFR3mo_PX[[#This Row],[Column1088]]</f>
        <v>99.984999999999999</v>
      </c>
      <c r="AOW3">
        <f>SOFR3mo_PX[[#This Row],[Column1089]]</f>
        <v>99.984999999999999</v>
      </c>
      <c r="AOX3">
        <f>SOFR3mo_PX[[#This Row],[Column1090]]</f>
        <v>99.982500000000002</v>
      </c>
      <c r="AOY3">
        <f>SOFR3mo_PX[[#This Row],[Column1091]]</f>
        <v>99.982500000000002</v>
      </c>
      <c r="AOZ3">
        <f>SOFR3mo_PX[[#This Row],[Column1092]]</f>
        <v>99.977500000000006</v>
      </c>
      <c r="APA3">
        <f>SOFR3mo_PX[[#This Row],[Column1093]]</f>
        <v>99.98</v>
      </c>
      <c r="APB3">
        <f>SOFR3mo_PX[[#This Row],[Column1094]]</f>
        <v>99.98</v>
      </c>
      <c r="APC3">
        <f>SOFR3mo_PX[[#This Row],[Column1095]]</f>
        <v>99.98</v>
      </c>
      <c r="APD3">
        <f>SOFR3mo_PX[[#This Row],[Column1096]]</f>
        <v>99.98</v>
      </c>
      <c r="APE3">
        <f>SOFR3mo_PX[[#This Row],[Column1097]]</f>
        <v>99.98</v>
      </c>
      <c r="APF3">
        <f>SOFR3mo_PX[[#This Row],[Column1098]]</f>
        <v>99.98</v>
      </c>
      <c r="APG3">
        <f>SOFR3mo_PX[[#This Row],[Column1099]]</f>
        <v>99.982500000000002</v>
      </c>
      <c r="APH3">
        <f>SOFR3mo_PX[[#This Row],[Column1100]]</f>
        <v>99.984999999999999</v>
      </c>
      <c r="API3">
        <f>SOFR3mo_PX[[#This Row],[Column1101]]</f>
        <v>99.987499999999997</v>
      </c>
      <c r="APJ3">
        <f>SOFR3mo_PX[[#This Row],[Column1102]]</f>
        <v>99.987499999999997</v>
      </c>
      <c r="APK3">
        <f>SOFR3mo_PX[[#This Row],[Column1103]]</f>
        <v>99.982500000000002</v>
      </c>
      <c r="APL3">
        <f>SOFR3mo_PX[[#This Row],[Column1104]]</f>
        <v>99.982500000000002</v>
      </c>
      <c r="APM3">
        <f>SOFR3mo_PX[[#This Row],[Column1105]]</f>
        <v>99.982500000000002</v>
      </c>
      <c r="APN3">
        <f>SOFR3mo_PX[[#This Row],[Column1106]]</f>
        <v>99.982500000000002</v>
      </c>
      <c r="APO3">
        <f>SOFR3mo_PX[[#This Row],[Column1107]]</f>
        <v>99.982500000000002</v>
      </c>
      <c r="APP3">
        <f>SOFR3mo_PX[[#This Row],[Column1108]]</f>
        <v>99.984999999999999</v>
      </c>
      <c r="APQ3">
        <f>SOFR3mo_PX[[#This Row],[Column1109]]</f>
        <v>99.984999999999999</v>
      </c>
      <c r="APR3">
        <f>SOFR3mo_PX[[#This Row],[Column1110]]</f>
        <v>99.984999999999999</v>
      </c>
      <c r="APS3">
        <f>SOFR3mo_PX[[#This Row],[Column1111]]</f>
        <v>99.987499999999997</v>
      </c>
      <c r="APT3">
        <f>SOFR3mo_PX[[#This Row],[Column1112]]</f>
        <v>99.987499999999997</v>
      </c>
      <c r="APU3">
        <f>SOFR3mo_PX[[#This Row],[Column1113]]</f>
        <v>99.977500000000006</v>
      </c>
      <c r="APV3">
        <f>SOFR3mo_PX[[#This Row],[Column1114]]</f>
        <v>99.974999999999994</v>
      </c>
      <c r="APW3">
        <f>SOFR3mo_PX[[#This Row],[Column1115]]</f>
        <v>99.947500000000005</v>
      </c>
      <c r="APX3">
        <f>SOFR3mo_PX[[#This Row],[Column1116]]</f>
        <v>99.947500000000005</v>
      </c>
      <c r="APY3">
        <f>SOFR3mo_PX[[#This Row],[Column1117]]</f>
        <v>99.944999999999993</v>
      </c>
      <c r="APZ3">
        <f>SOFR3mo_PX[[#This Row],[Column1118]]</f>
        <v>99.947500000000005</v>
      </c>
      <c r="AQA3">
        <f>SOFR3mo_PX[[#This Row],[Column1119]]</f>
        <v>99.944999999999993</v>
      </c>
      <c r="AQB3">
        <f>SOFR3mo_PX[[#This Row],[Column1120]]</f>
        <v>99.947500000000005</v>
      </c>
      <c r="AQC3">
        <f>SOFR3mo_PX[[#This Row],[Column1121]]</f>
        <v>99.944999999999993</v>
      </c>
      <c r="AQD3">
        <f>SOFR3mo_PX[[#This Row],[Column1122]]</f>
        <v>99.944999999999993</v>
      </c>
      <c r="AQE3">
        <f>SOFR3mo_PX[[#This Row],[Column1123]]</f>
        <v>99.944999999999993</v>
      </c>
      <c r="AQF3">
        <f>SOFR3mo_PX[[#This Row],[Column1124]]</f>
        <v>99.944999999999993</v>
      </c>
      <c r="AQG3">
        <f>SOFR3mo_PX[[#This Row],[Column1125]]</f>
        <v>99.942499999999995</v>
      </c>
      <c r="AQH3">
        <f>SOFR3mo_PX[[#This Row],[Column1126]]</f>
        <v>99.944999999999993</v>
      </c>
      <c r="AQI3">
        <f>SOFR3mo_PX[[#This Row],[Column1127]]</f>
        <v>99.947500000000005</v>
      </c>
      <c r="AQJ3">
        <f>SOFR3mo_PX[[#This Row],[Column1128]]</f>
        <v>99.942499999999995</v>
      </c>
      <c r="AQK3">
        <f>SOFR3mo_PX[[#This Row],[Column1129]]</f>
        <v>99.942499999999995</v>
      </c>
      <c r="AQL3">
        <f>SOFR3mo_PX[[#This Row],[Column1130]]</f>
        <v>99.942499999999995</v>
      </c>
      <c r="AQM3">
        <f>SOFR3mo_PX[[#This Row],[Column1131]]</f>
        <v>99.944999999999993</v>
      </c>
      <c r="AQN3">
        <f>SOFR3mo_PX[[#This Row],[Column1132]]</f>
        <v>99.942499999999995</v>
      </c>
      <c r="AQO3">
        <f>SOFR3mo_PX[[#This Row],[Column1133]]</f>
        <v>99.944999999999993</v>
      </c>
      <c r="AQP3">
        <f>SOFR3mo_PX[[#This Row],[Column1134]]</f>
        <v>99.942499999999995</v>
      </c>
      <c r="AQQ3">
        <f>SOFR3mo_PX[[#This Row],[Column1135]]</f>
        <v>99.942499999999995</v>
      </c>
      <c r="AQR3">
        <f>SOFR3mo_PX[[#This Row],[Column1136]]</f>
        <v>99.944999999999993</v>
      </c>
      <c r="AQS3">
        <f>SOFR3mo_PX[[#This Row],[Column1137]]</f>
        <v>99.944999999999993</v>
      </c>
      <c r="AQT3">
        <f>SOFR3mo_PX[[#This Row],[Column1138]]</f>
        <v>99.944999999999993</v>
      </c>
      <c r="AQU3">
        <f>SOFR3mo_PX[[#This Row],[Column1139]]</f>
        <v>99.944999999999993</v>
      </c>
      <c r="AQV3">
        <f>SOFR3mo_PX[[#This Row],[Column1140]]</f>
        <v>99.944999999999993</v>
      </c>
      <c r="AQW3">
        <f>SOFR3mo_PX[[#This Row],[Column1141]]</f>
        <v>99.944999999999993</v>
      </c>
      <c r="AQX3">
        <f>SOFR3mo_PX[[#This Row],[Column1142]]</f>
        <v>99.944999999999993</v>
      </c>
      <c r="AQY3">
        <f>SOFR3mo_PX[[#This Row],[Column1143]]</f>
        <v>99.942499999999995</v>
      </c>
      <c r="AQZ3">
        <f>SOFR3mo_PX[[#This Row],[Column1144]]</f>
        <v>99.9375</v>
      </c>
      <c r="ARA3">
        <f>SOFR3mo_PX[[#This Row],[Column1145]]</f>
        <v>99.9375</v>
      </c>
      <c r="ARB3">
        <f>SOFR3mo_PX[[#This Row],[Column1146]]</f>
        <v>99.94</v>
      </c>
      <c r="ARC3">
        <f>SOFR3mo_PX[[#This Row],[Column1147]]</f>
        <v>99.942499999999995</v>
      </c>
      <c r="ARD3">
        <f>SOFR3mo_PX[[#This Row],[Column1148]]</f>
        <v>99.9375</v>
      </c>
      <c r="ARE3">
        <f>SOFR3mo_PX[[#This Row],[Column1149]]</f>
        <v>99.9375</v>
      </c>
      <c r="ARF3">
        <f>SOFR3mo_PX[[#This Row],[Column1150]]</f>
        <v>99.935000000000002</v>
      </c>
      <c r="ARG3">
        <f>SOFR3mo_PX[[#This Row],[Column1151]]</f>
        <v>99.93</v>
      </c>
      <c r="ARH3">
        <f>SOFR3mo_PX[[#This Row],[Column1152]]</f>
        <v>99.93</v>
      </c>
      <c r="ARI3">
        <f>SOFR3mo_PX[[#This Row],[Column1153]]</f>
        <v>99.932500000000005</v>
      </c>
      <c r="ARJ3">
        <f>SOFR3mo_PX[[#This Row],[Column1154]]</f>
        <v>99.927499999999995</v>
      </c>
      <c r="ARK3">
        <f>SOFR3mo_PX[[#This Row],[Column1155]]</f>
        <v>99.924999999999997</v>
      </c>
      <c r="ARL3">
        <f>SOFR3mo_PX[[#This Row],[Column1156]]</f>
        <v>99.924999999999997</v>
      </c>
      <c r="ARM3">
        <f>SOFR3mo_PX[[#This Row],[Column1157]]</f>
        <v>99.924999999999997</v>
      </c>
      <c r="ARN3">
        <f>SOFR3mo_PX[[#This Row],[Column1158]]</f>
        <v>99.922499999999999</v>
      </c>
      <c r="ARO3">
        <f>SOFR3mo_PX[[#This Row],[Column1159]]</f>
        <v>99.924999999999997</v>
      </c>
      <c r="ARP3">
        <f>SOFR3mo_PX[[#This Row],[Column1160]]</f>
        <v>99.922499999999999</v>
      </c>
      <c r="ARQ3">
        <f>SOFR3mo_PX[[#This Row],[Column1161]]</f>
        <v>99.924999999999997</v>
      </c>
      <c r="ARR3">
        <f>SOFR3mo_PX[[#This Row],[Column1162]]</f>
        <v>99.924999999999997</v>
      </c>
      <c r="ARS3">
        <f>SOFR3mo_PX[[#This Row],[Column1163]]</f>
        <v>99.924999999999997</v>
      </c>
      <c r="ART3">
        <f>SOFR3mo_PX[[#This Row],[Column1164]]</f>
        <v>99.92</v>
      </c>
      <c r="ARU3">
        <f>SOFR3mo_PX[[#This Row],[Column1165]]</f>
        <v>99.927499999999995</v>
      </c>
      <c r="ARV3">
        <f>SOFR3mo_PX[[#This Row],[Column1166]]</f>
        <v>99.935000000000002</v>
      </c>
      <c r="ARW3">
        <f>SOFR3mo_PX[[#This Row],[Column1167]]</f>
        <v>99.93</v>
      </c>
      <c r="ARX3">
        <f>SOFR3mo_PX[[#This Row],[Column1168]]</f>
        <v>99.93</v>
      </c>
      <c r="ARY3">
        <f>SOFR3mo_PX[[#This Row],[Column1169]]</f>
        <v>99.93</v>
      </c>
      <c r="ARZ3">
        <f>SOFR3mo_PX[[#This Row],[Column1170]]</f>
        <v>99.927499999999995</v>
      </c>
      <c r="ASA3">
        <f>SOFR3mo_PX[[#This Row],[Column1171]]</f>
        <v>99.927499999999995</v>
      </c>
      <c r="ASB3">
        <f>SOFR3mo_PX[[#This Row],[Column1172]]</f>
        <v>99.93</v>
      </c>
      <c r="ASC3">
        <f>SOFR3mo_PX[[#This Row],[Column1173]]</f>
        <v>99.93</v>
      </c>
      <c r="ASD3">
        <f>SOFR3mo_PX[[#This Row],[Column1174]]</f>
        <v>99.93</v>
      </c>
      <c r="ASE3">
        <f>SOFR3mo_PX[[#This Row],[Column1175]]</f>
        <v>99.93</v>
      </c>
      <c r="ASF3">
        <f>SOFR3mo_PX[[#This Row],[Column1176]]</f>
        <v>99.932500000000005</v>
      </c>
      <c r="ASG3">
        <f>SOFR3mo_PX[[#This Row],[Column1177]]</f>
        <v>99.935000000000002</v>
      </c>
      <c r="ASH3">
        <f>SOFR3mo_PX[[#This Row],[Column1178]]</f>
        <v>99.932500000000005</v>
      </c>
      <c r="ASI3">
        <f>SOFR3mo_PX[[#This Row],[Column1179]]</f>
        <v>99.935000000000002</v>
      </c>
      <c r="ASJ3">
        <f>SOFR3mo_PX[[#This Row],[Column1180]]</f>
        <v>99.915000000000006</v>
      </c>
      <c r="ASK3">
        <f>SOFR3mo_PX[[#This Row],[Column1181]]</f>
        <v>99.915000000000006</v>
      </c>
      <c r="ASL3">
        <f>SOFR3mo_PX[[#This Row],[Column1182]]</f>
        <v>99.917500000000004</v>
      </c>
      <c r="ASM3">
        <f>SOFR3mo_PX[[#This Row],[Column1183]]</f>
        <v>99.915000000000006</v>
      </c>
      <c r="ASN3">
        <f>SOFR3mo_PX[[#This Row],[Column1184]]</f>
        <v>99.917500000000004</v>
      </c>
      <c r="ASO3">
        <f>SOFR3mo_PX[[#This Row],[Column1185]]</f>
        <v>99.917500000000004</v>
      </c>
      <c r="ASP3">
        <f>SOFR3mo_PX[[#This Row],[Column1186]]</f>
        <v>99.917500000000004</v>
      </c>
      <c r="ASQ3">
        <f>SOFR3mo_PX[[#This Row],[Column1187]]</f>
        <v>99.915000000000006</v>
      </c>
      <c r="ASR3">
        <f>SOFR3mo_PX[[#This Row],[Column1188]]</f>
        <v>99.915000000000006</v>
      </c>
      <c r="ASS3">
        <f>SOFR3mo_PX[[#This Row],[Column1189]]</f>
        <v>99.915000000000006</v>
      </c>
      <c r="AST3">
        <f>SOFR3mo_PX[[#This Row],[Column1190]]</f>
        <v>99.917500000000004</v>
      </c>
      <c r="ASU3">
        <f>SOFR3mo_PX[[#This Row],[Column1191]]</f>
        <v>99.917500000000004</v>
      </c>
      <c r="ASV3">
        <f>SOFR3mo_PX[[#This Row],[Column1192]]</f>
        <v>99.917500000000004</v>
      </c>
      <c r="ASW3">
        <f>SOFR3mo_PX[[#This Row],[Column1193]]</f>
        <v>99.917500000000004</v>
      </c>
      <c r="ASX3">
        <f>SOFR3mo_PX[[#This Row],[Column1194]]</f>
        <v>99.917500000000004</v>
      </c>
      <c r="ASY3">
        <f>SOFR3mo_PX[[#This Row],[Column1195]]</f>
        <v>99.917500000000004</v>
      </c>
      <c r="ASZ3">
        <f>SOFR3mo_PX[[#This Row],[Column1196]]</f>
        <v>99.917500000000004</v>
      </c>
      <c r="ATA3">
        <f>SOFR3mo_PX[[#This Row],[Column1197]]</f>
        <v>99.917500000000004</v>
      </c>
      <c r="ATB3">
        <f>SOFR3mo_PX[[#This Row],[Column1198]]</f>
        <v>99.92</v>
      </c>
      <c r="ATC3">
        <f>SOFR3mo_PX[[#This Row],[Column1199]]</f>
        <v>99.912499999999994</v>
      </c>
      <c r="ATD3">
        <f>SOFR3mo_PX[[#This Row],[Column1200]]</f>
        <v>99.912499999999994</v>
      </c>
      <c r="ATE3">
        <f>SOFR3mo_PX[[#This Row],[Column1201]]</f>
        <v>99.912499999999994</v>
      </c>
      <c r="ATF3">
        <f>SOFR3mo_PX[[#This Row],[Column1202]]</f>
        <v>99.912499999999994</v>
      </c>
      <c r="ATG3">
        <f>SOFR3mo_PX[[#This Row],[Column1203]]</f>
        <v>99.912499999999994</v>
      </c>
      <c r="ATH3">
        <f>SOFR3mo_PX[[#This Row],[Column1204]]</f>
        <v>99.912499999999994</v>
      </c>
      <c r="ATI3">
        <f>SOFR3mo_PX[[#This Row],[Column1205]]</f>
        <v>99.912499999999994</v>
      </c>
      <c r="ATJ3">
        <f>SOFR3mo_PX[[#This Row],[Column1206]]</f>
        <v>99.91</v>
      </c>
      <c r="ATK3">
        <f>SOFR3mo_PX[[#This Row],[Column1207]]</f>
        <v>99.91</v>
      </c>
      <c r="ATL3">
        <f>SOFR3mo_PX[[#This Row],[Column1208]]</f>
        <v>99.91</v>
      </c>
      <c r="ATM3">
        <f>SOFR3mo_PX[[#This Row],[Column1209]]</f>
        <v>99.915000000000006</v>
      </c>
      <c r="ATN3">
        <f>SOFR3mo_PX[[#This Row],[Column1210]]</f>
        <v>99.915000000000006</v>
      </c>
      <c r="ATO3">
        <f>SOFR3mo_PX[[#This Row],[Column1211]]</f>
        <v>99.915000000000006</v>
      </c>
      <c r="ATP3">
        <f>SOFR3mo_PX[[#This Row],[Column1212]]</f>
        <v>99.917500000000004</v>
      </c>
      <c r="ATQ3">
        <f>SOFR3mo_PX[[#This Row],[Column1213]]</f>
        <v>99.917500000000004</v>
      </c>
      <c r="ATR3">
        <f>SOFR3mo_PX[[#This Row],[Column1214]]</f>
        <v>99.917500000000004</v>
      </c>
      <c r="ATS3">
        <f>SOFR3mo_PX[[#This Row],[Column1215]]</f>
        <v>99.92</v>
      </c>
      <c r="ATT3">
        <f>SOFR3mo_PX[[#This Row],[Column1216]]</f>
        <v>99.92</v>
      </c>
      <c r="ATU3">
        <f>SOFR3mo_PX[[#This Row],[Column1217]]</f>
        <v>99.917500000000004</v>
      </c>
      <c r="ATV3">
        <f>SOFR3mo_PX[[#This Row],[Column1218]]</f>
        <v>99.917500000000004</v>
      </c>
      <c r="ATW3">
        <f>SOFR3mo_PX[[#This Row],[Column1219]]</f>
        <v>99.92</v>
      </c>
      <c r="ATX3">
        <f>SOFR3mo_PX[[#This Row],[Column1220]]</f>
        <v>99.917500000000004</v>
      </c>
      <c r="ATY3">
        <f>SOFR3mo_PX[[#This Row],[Column1221]]</f>
        <v>99.92</v>
      </c>
      <c r="ATZ3">
        <f>SOFR3mo_PX[[#This Row],[Column1222]]</f>
        <v>99.92</v>
      </c>
      <c r="AUA3">
        <f>SOFR3mo_PX[[#This Row],[Column1223]]</f>
        <v>99.92</v>
      </c>
      <c r="AUB3">
        <f>SOFR3mo_PX[[#This Row],[Column1224]]</f>
        <v>99.924999999999997</v>
      </c>
      <c r="AUC3">
        <f>SOFR3mo_PX[[#This Row],[Column1225]]</f>
        <v>99.924999999999997</v>
      </c>
      <c r="AUD3">
        <f>SOFR3mo_PX[[#This Row],[Column1226]]</f>
        <v>99.927499999999995</v>
      </c>
      <c r="AUE3">
        <f>SOFR3mo_PX[[#This Row],[Column1227]]</f>
        <v>99.927499999999995</v>
      </c>
      <c r="AUF3">
        <f>SOFR3mo_PX[[#This Row],[Column1228]]</f>
        <v>99.927499999999995</v>
      </c>
      <c r="AUG3">
        <f>SOFR3mo_PX[[#This Row],[Column1229]]</f>
        <v>99.927499999999995</v>
      </c>
      <c r="AUH3">
        <f>SOFR3mo_PX[[#This Row],[Column1230]]</f>
        <v>99.927499999999995</v>
      </c>
      <c r="AUI3">
        <f>SOFR3mo_PX[[#This Row],[Column1231]]</f>
        <v>99.927499999999995</v>
      </c>
      <c r="AUJ3">
        <f>SOFR3mo_PX[[#This Row],[Column1232]]</f>
        <v>99.932500000000005</v>
      </c>
      <c r="AUK3">
        <f>SOFR3mo_PX[[#This Row],[Column1233]]</f>
        <v>99.932500000000005</v>
      </c>
      <c r="AUL3">
        <f>SOFR3mo_PX[[#This Row],[Column1234]]</f>
        <v>99.932500000000005</v>
      </c>
      <c r="AUM3">
        <f>SOFR3mo_PX[[#This Row],[Column1235]]</f>
        <v>99.93</v>
      </c>
      <c r="AUN3">
        <f>SOFR3mo_PX[[#This Row],[Column1236]]</f>
        <v>99.93</v>
      </c>
      <c r="AUO3">
        <f>SOFR3mo_PX[[#This Row],[Column1237]]</f>
        <v>99.93</v>
      </c>
      <c r="AUP3">
        <f>SOFR3mo_PX[[#This Row],[Column1238]]</f>
        <v>99.93</v>
      </c>
      <c r="AUQ3">
        <f>SOFR3mo_PX[[#This Row],[Column1239]]</f>
        <v>99.927499999999995</v>
      </c>
      <c r="AUR3">
        <f>SOFR3mo_PX[[#This Row],[Column1240]]</f>
        <v>99.93</v>
      </c>
      <c r="AUS3">
        <f>SOFR3mo_PX[[#This Row],[Column1241]]</f>
        <v>99.924999999999997</v>
      </c>
      <c r="AUT3">
        <f>SOFR3mo_PX[[#This Row],[Column1242]]</f>
        <v>99.922499999999999</v>
      </c>
      <c r="AUU3">
        <f>SOFR3mo_PX[[#This Row],[Column1243]]</f>
        <v>99.927499999999995</v>
      </c>
      <c r="AUV3">
        <f>SOFR3mo_PX[[#This Row],[Column1244]]</f>
        <v>99.927499999999995</v>
      </c>
      <c r="AUW3">
        <f>SOFR3mo_PX[[#This Row],[Column1245]]</f>
        <v>99.907499999999999</v>
      </c>
      <c r="AUX3">
        <f>SOFR3mo_PX[[#This Row],[Column1246]]</f>
        <v>99.907499999999999</v>
      </c>
      <c r="AUY3">
        <f>SOFR3mo_PX[[#This Row],[Column1247]]</f>
        <v>99.907499999999999</v>
      </c>
      <c r="AUZ3">
        <f>SOFR3mo_PX[[#This Row],[Column1248]]</f>
        <v>99.907499999999999</v>
      </c>
      <c r="AVA3">
        <f>SOFR3mo_PX[[#This Row],[Column1249]]</f>
        <v>99.905000000000001</v>
      </c>
      <c r="AVB3">
        <f>SOFR3mo_PX[[#This Row],[Column1250]]</f>
        <v>99.907499999999999</v>
      </c>
      <c r="AVC3">
        <f>SOFR3mo_PX[[#This Row],[Column1251]]</f>
        <v>99.907499999999999</v>
      </c>
      <c r="AVD3">
        <f>SOFR3mo_PX[[#This Row],[Column1252]]</f>
        <v>99.907499999999999</v>
      </c>
      <c r="AVE3">
        <f>SOFR3mo_PX[[#This Row],[Column1253]]</f>
        <v>99.91</v>
      </c>
      <c r="AVF3">
        <f>SOFR3mo_PX[[#This Row],[Column1254]]</f>
        <v>99.91</v>
      </c>
      <c r="AVG3">
        <f>SOFR3mo_PX[[#This Row],[Column1255]]</f>
        <v>99.912499999999994</v>
      </c>
      <c r="AVH3">
        <f>SOFR3mo_PX[[#This Row],[Column1256]]</f>
        <v>99.91</v>
      </c>
      <c r="AVI3">
        <f>SOFR3mo_PX[[#This Row],[Column1257]]</f>
        <v>99.912499999999994</v>
      </c>
      <c r="AVJ3">
        <f>SOFR3mo_PX[[#This Row],[Column1258]]</f>
        <v>99.91</v>
      </c>
      <c r="AVK3">
        <f>SOFR3mo_PX[[#This Row],[Column1259]]</f>
        <v>99.907499999999999</v>
      </c>
      <c r="AVL3">
        <f>SOFR3mo_PX[[#This Row],[Column1260]]</f>
        <v>99.91</v>
      </c>
      <c r="AVM3">
        <f>SOFR3mo_PX[[#This Row],[Column1261]]</f>
        <v>99.912499999999994</v>
      </c>
      <c r="AVN3">
        <f>SOFR3mo_PX[[#This Row],[Column1262]]</f>
        <v>99.912499999999994</v>
      </c>
      <c r="AVO3">
        <f>SOFR3mo_PX[[#This Row],[Column1263]]</f>
        <v>99.91</v>
      </c>
      <c r="AVP3">
        <f>SOFR3mo_PX[[#This Row],[Column1264]]</f>
        <v>99.91</v>
      </c>
      <c r="AVQ3">
        <f>SOFR3mo_PX[[#This Row],[Column1265]]</f>
        <v>99.905000000000001</v>
      </c>
      <c r="AVR3">
        <f>SOFR3mo_PX[[#This Row],[Column1266]]</f>
        <v>99.907499999999999</v>
      </c>
      <c r="AVS3">
        <f>SOFR3mo_PX[[#This Row],[Column1267]]</f>
        <v>99.907499999999999</v>
      </c>
      <c r="AVT3">
        <f>SOFR3mo_PX[[#This Row],[Column1268]]</f>
        <v>99.907499999999999</v>
      </c>
      <c r="AVU3">
        <f>SOFR3mo_PX[[#This Row],[Column1269]]</f>
        <v>99.907499999999999</v>
      </c>
      <c r="AVV3">
        <f>SOFR3mo_PX[[#This Row],[Column1270]]</f>
        <v>99.91</v>
      </c>
      <c r="AVW3">
        <f>SOFR3mo_PX[[#This Row],[Column1271]]</f>
        <v>99.91</v>
      </c>
      <c r="AVX3">
        <f>SOFR3mo_PX[[#This Row],[Column1272]]</f>
        <v>99.91</v>
      </c>
      <c r="AVY3">
        <f>SOFR3mo_PX[[#This Row],[Column1273]]</f>
        <v>99.91</v>
      </c>
      <c r="AVZ3">
        <f>SOFR3mo_PX[[#This Row],[Column1274]]</f>
        <v>99.91</v>
      </c>
      <c r="AWA3">
        <f>SOFR3mo_PX[[#This Row],[Column1275]]</f>
        <v>99.91</v>
      </c>
      <c r="AWB3">
        <f>SOFR3mo_PX[[#This Row],[Column1276]]</f>
        <v>99.91</v>
      </c>
      <c r="AWC3">
        <f>SOFR3mo_PX[[#This Row],[Column1277]]</f>
        <v>99.912499999999994</v>
      </c>
      <c r="AWD3">
        <f>SOFR3mo_PX[[#This Row],[Column1278]]</f>
        <v>99.912499999999994</v>
      </c>
      <c r="AWE3">
        <f>SOFR3mo_PX[[#This Row],[Column1279]]</f>
        <v>99.912499999999994</v>
      </c>
      <c r="AWF3">
        <f>SOFR3mo_PX[[#This Row],[Column1280]]</f>
        <v>99.907499999999999</v>
      </c>
      <c r="AWG3">
        <f>SOFR3mo_PX[[#This Row],[Column1281]]</f>
        <v>99.907499999999999</v>
      </c>
      <c r="AWH3">
        <f>SOFR3mo_PX[[#This Row],[Column1282]]</f>
        <v>99.907499999999999</v>
      </c>
      <c r="AWI3">
        <f>SOFR3mo_PX[[#This Row],[Column1283]]</f>
        <v>99.91</v>
      </c>
      <c r="AWJ3">
        <f>SOFR3mo_PX[[#This Row],[Column1284]]</f>
        <v>99.905000000000001</v>
      </c>
      <c r="AWK3">
        <f>SOFR3mo_PX[[#This Row],[Column1285]]</f>
        <v>99.907499999999999</v>
      </c>
      <c r="AWL3">
        <f>SOFR3mo_PX[[#This Row],[Column1286]]</f>
        <v>99.912499999999994</v>
      </c>
      <c r="AWM3">
        <f>SOFR3mo_PX[[#This Row],[Column1287]]</f>
        <v>99.912499999999994</v>
      </c>
      <c r="AWN3">
        <f>SOFR3mo_PX[[#This Row],[Column1288]]</f>
        <v>99.915000000000006</v>
      </c>
      <c r="AWO3">
        <f>SOFR3mo_PX[[#This Row],[Column1289]]</f>
        <v>99.91</v>
      </c>
      <c r="AWP3">
        <f>SOFR3mo_PX[[#This Row],[Column1290]]</f>
        <v>99.91</v>
      </c>
      <c r="AWQ3">
        <f>SOFR3mo_PX[[#This Row],[Column1291]]</f>
        <v>99.91</v>
      </c>
      <c r="AWR3">
        <f>SOFR3mo_PX[[#This Row],[Column1292]]</f>
        <v>99.91</v>
      </c>
      <c r="AWS3">
        <f>SOFR3mo_PX[[#This Row],[Column1293]]</f>
        <v>99.912499999999994</v>
      </c>
      <c r="AWT3">
        <f>SOFR3mo_PX[[#This Row],[Column1294]]</f>
        <v>99.915000000000006</v>
      </c>
      <c r="AWU3">
        <f>SOFR3mo_PX[[#This Row],[Column1295]]</f>
        <v>99.915000000000006</v>
      </c>
      <c r="AWV3">
        <f>SOFR3mo_PX[[#This Row],[Column1296]]</f>
        <v>99.915000000000006</v>
      </c>
      <c r="AWW3">
        <f>SOFR3mo_PX[[#This Row],[Column1297]]</f>
        <v>99.922499999999999</v>
      </c>
      <c r="AWX3">
        <f>SOFR3mo_PX[[#This Row],[Column1298]]</f>
        <v>99.922499999999999</v>
      </c>
      <c r="AWY3">
        <f>SOFR3mo_PX[[#This Row],[Column1299]]</f>
        <v>99.93</v>
      </c>
      <c r="AWZ3">
        <f>SOFR3mo_PX[[#This Row],[Column1300]]</f>
        <v>99.935000000000002</v>
      </c>
      <c r="AXA3">
        <f>SOFR3mo_PX[[#This Row],[Column1301]]</f>
        <v>99.935000000000002</v>
      </c>
      <c r="AXB3">
        <f>SOFR3mo_PX[[#This Row],[Column1302]]</f>
        <v>99.935000000000002</v>
      </c>
      <c r="AXC3">
        <f>SOFR3mo_PX[[#This Row],[Column1303]]</f>
        <v>99.932500000000005</v>
      </c>
      <c r="AXD3">
        <f>SOFR3mo_PX[[#This Row],[Column1304]]</f>
        <v>99.93</v>
      </c>
      <c r="AXE3">
        <f>SOFR3mo_PX[[#This Row],[Column1305]]</f>
        <v>99.927499999999995</v>
      </c>
      <c r="AXF3">
        <f>SOFR3mo_PX[[#This Row],[Column1306]]</f>
        <v>99.927499999999995</v>
      </c>
      <c r="AXG3">
        <f>SOFR3mo_PX[[#This Row],[Column1307]]</f>
        <v>99.927499999999995</v>
      </c>
      <c r="AXH3">
        <f>SOFR3mo_PX[[#This Row],[Column1308]]</f>
        <v>99.922499999999999</v>
      </c>
      <c r="AXI3">
        <f>SOFR3mo_PX[[#This Row],[Column1309]]</f>
        <v>99.915000000000006</v>
      </c>
      <c r="AXJ3">
        <f>SOFR3mo_PX[[#This Row],[Column1310]]</f>
        <v>99.96</v>
      </c>
      <c r="AXK3">
        <f>SOFR3mo_PX[[#This Row],[Column1311]]</f>
        <v>99.96</v>
      </c>
      <c r="AXL3">
        <f>SOFR3mo_PX[[#This Row],[Column1312]]</f>
        <v>99.96</v>
      </c>
      <c r="AXM3">
        <f>SOFR3mo_PX[[#This Row],[Column1313]]</f>
        <v>99.962500000000006</v>
      </c>
      <c r="AXN3">
        <f>SOFR3mo_PX[[#This Row],[Column1314]]</f>
        <v>99.965000000000003</v>
      </c>
      <c r="AXO3">
        <f>SOFR3mo_PX[[#This Row],[Column1315]]</f>
        <v>99.962500000000006</v>
      </c>
      <c r="AXP3">
        <f>SOFR3mo_PX[[#This Row],[Column1316]]</f>
        <v>99.96</v>
      </c>
      <c r="AXQ3">
        <f>SOFR3mo_PX[[#This Row],[Column1317]]</f>
        <v>99.962500000000006</v>
      </c>
      <c r="AXR3">
        <f>SOFR3mo_PX[[#This Row],[Column1318]]</f>
        <v>99.962500000000006</v>
      </c>
      <c r="AXS3">
        <f>SOFR3mo_PX[[#This Row],[Column1319]]</f>
        <v>99.96</v>
      </c>
      <c r="AXT3">
        <f>SOFR3mo_PX[[#This Row],[Column1320]]</f>
        <v>99.965000000000003</v>
      </c>
      <c r="AXU3">
        <f>SOFR3mo_PX[[#This Row],[Column1321]]</f>
        <v>99.965000000000003</v>
      </c>
      <c r="AXV3">
        <f>SOFR3mo_PX[[#This Row],[Column1322]]</f>
        <v>99.965000000000003</v>
      </c>
      <c r="AXW3">
        <f>SOFR3mo_PX[[#This Row],[Column1323]]</f>
        <v>99.962500000000006</v>
      </c>
      <c r="AXX3">
        <f>SOFR3mo_PX[[#This Row],[Column1324]]</f>
        <v>99.96</v>
      </c>
      <c r="AXY3">
        <f>SOFR3mo_PX[[#This Row],[Column1325]]</f>
        <v>99.962500000000006</v>
      </c>
      <c r="AXZ3">
        <f>SOFR3mo_PX[[#This Row],[Column1326]]</f>
        <v>99.967500000000001</v>
      </c>
      <c r="AYA3">
        <f>SOFR3mo_PX[[#This Row],[Column1327]]</f>
        <v>99.967500000000001</v>
      </c>
      <c r="AYB3">
        <f>SOFR3mo_PX[[#This Row],[Column1328]]</f>
        <v>99.967500000000001</v>
      </c>
      <c r="AYC3">
        <f>SOFR3mo_PX[[#This Row],[Column1329]]</f>
        <v>99.967500000000001</v>
      </c>
      <c r="AYD3">
        <f>SOFR3mo_PX[[#This Row],[Column1330]]</f>
        <v>99.965000000000003</v>
      </c>
      <c r="AYE3">
        <f>SOFR3mo_PX[[#This Row],[Column1331]]</f>
        <v>99.96</v>
      </c>
      <c r="AYF3">
        <f>SOFR3mo_PX[[#This Row],[Column1332]]</f>
        <v>99.96</v>
      </c>
      <c r="AYG3">
        <f>SOFR3mo_PX[[#This Row],[Column1333]]</f>
        <v>99.96</v>
      </c>
      <c r="AYH3">
        <f>SOFR3mo_PX[[#This Row],[Column1334]]</f>
        <v>99.96</v>
      </c>
      <c r="AYI3">
        <f>SOFR3mo_PX[[#This Row],[Column1335]]</f>
        <v>99.952500000000001</v>
      </c>
      <c r="AYJ3">
        <f>SOFR3mo_PX[[#This Row],[Column1336]]</f>
        <v>99.952500000000001</v>
      </c>
      <c r="AYK3">
        <f>SOFR3mo_PX[[#This Row],[Column1337]]</f>
        <v>99.954999999999998</v>
      </c>
      <c r="AYL3">
        <f>SOFR3mo_PX[[#This Row],[Column1338]]</f>
        <v>99.96</v>
      </c>
      <c r="AYM3">
        <f>SOFR3mo_PX[[#This Row],[Column1339]]</f>
        <v>99.965000000000003</v>
      </c>
      <c r="AYN3">
        <f>SOFR3mo_PX[[#This Row],[Column1340]]</f>
        <v>99.965000000000003</v>
      </c>
      <c r="AYO3">
        <f>SOFR3mo_PX[[#This Row],[Column1341]]</f>
        <v>99.98</v>
      </c>
      <c r="AYP3">
        <f>SOFR3mo_PX[[#This Row],[Column1342]]</f>
        <v>99.974999999999994</v>
      </c>
      <c r="AYQ3">
        <f>SOFR3mo_PX[[#This Row],[Column1343]]</f>
        <v>99.982500000000002</v>
      </c>
      <c r="AYR3">
        <f>SOFR3mo_PX[[#This Row],[Column1344]]</f>
        <v>99.984999999999999</v>
      </c>
      <c r="AYS3">
        <f>SOFR3mo_PX[[#This Row],[Column1345]]</f>
        <v>99.967500000000001</v>
      </c>
      <c r="AYT3">
        <f>SOFR3mo_PX[[#This Row],[Column1346]]</f>
        <v>99.972499999999997</v>
      </c>
      <c r="AYU3">
        <f>SOFR3mo_PX[[#This Row],[Column1347]]</f>
        <v>99.967500000000001</v>
      </c>
      <c r="AYV3">
        <f>SOFR3mo_PX[[#This Row],[Column1348]]</f>
        <v>99.962500000000006</v>
      </c>
      <c r="AYW3">
        <f>SOFR3mo_PX[[#This Row],[Column1349]]</f>
        <v>99.962500000000006</v>
      </c>
      <c r="AYX3">
        <f>SOFR3mo_PX[[#This Row],[Column1350]]</f>
        <v>99.962500000000006</v>
      </c>
      <c r="AYY3">
        <f>SOFR3mo_PX[[#This Row],[Column1351]]</f>
        <v>99.95</v>
      </c>
      <c r="AYZ3">
        <f>SOFR3mo_PX[[#This Row],[Column1352]]</f>
        <v>99.95</v>
      </c>
      <c r="AZA3">
        <f>SOFR3mo_PX[[#This Row],[Column1353]]</f>
        <v>99.935000000000002</v>
      </c>
      <c r="AZB3">
        <f>SOFR3mo_PX[[#This Row],[Column1354]]</f>
        <v>99.94</v>
      </c>
      <c r="AZC3">
        <f>SOFR3mo_PX[[#This Row],[Column1355]]</f>
        <v>99.935000000000002</v>
      </c>
      <c r="AZD3">
        <f>SOFR3mo_PX[[#This Row],[Column1356]]</f>
        <v>99.95</v>
      </c>
      <c r="AZE3">
        <f>SOFR3mo_PX[[#This Row],[Column1357]]</f>
        <v>99.954999999999998</v>
      </c>
      <c r="AZF3">
        <f>SOFR3mo_PX[[#This Row],[Column1358]]</f>
        <v>99.954999999999998</v>
      </c>
      <c r="AZG3">
        <f>SOFR3mo_PX[[#This Row],[Column1359]]</f>
        <v>99.95</v>
      </c>
      <c r="AZH3">
        <f>SOFR3mo_PX[[#This Row],[Column1360]]</f>
        <v>99.944999999999993</v>
      </c>
      <c r="AZI3">
        <f>SOFR3mo_PX[[#This Row],[Column1361]]</f>
        <v>99.944999999999993</v>
      </c>
      <c r="AZJ3">
        <f>SOFR3mo_PX[[#This Row],[Column1362]]</f>
        <v>99.944999999999993</v>
      </c>
      <c r="AZK3">
        <f>SOFR3mo_PX[[#This Row],[Column1363]]</f>
        <v>99.95</v>
      </c>
      <c r="AZL3">
        <f>SOFR3mo_PX[[#This Row],[Column1364]]</f>
        <v>99.944999999999993</v>
      </c>
      <c r="AZM3">
        <f>SOFR3mo_PX[[#This Row],[Column1365]]</f>
        <v>99.9375</v>
      </c>
      <c r="AZN3">
        <f>SOFR3mo_PX[[#This Row],[Column1366]]</f>
        <v>99.942499999999995</v>
      </c>
      <c r="AZO3">
        <f>SOFR3mo_PX[[#This Row],[Column1367]]</f>
        <v>99.942499999999995</v>
      </c>
      <c r="AZP3">
        <f>SOFR3mo_PX[[#This Row],[Column1368]]</f>
        <v>99.9375</v>
      </c>
      <c r="AZQ3">
        <f>SOFR3mo_PX[[#This Row],[Column1369]]</f>
        <v>99.917500000000004</v>
      </c>
      <c r="AZR3">
        <f>SOFR3mo_PX[[#This Row],[Column1370]]</f>
        <v>99.917500000000004</v>
      </c>
      <c r="AZS3">
        <f>SOFR3mo_PX[[#This Row],[Column1371]]</f>
        <v>99.92</v>
      </c>
      <c r="AZT3">
        <f>SOFR3mo_PX[[#This Row],[Column1372]]</f>
        <v>99.9</v>
      </c>
      <c r="AZU3">
        <f>SOFR3mo_PX[[#This Row],[Column1373]]</f>
        <v>99.88</v>
      </c>
      <c r="AZV3">
        <f>SOFR3mo_PX[[#This Row],[Column1374]]</f>
        <v>99.864999999999995</v>
      </c>
      <c r="AZW3">
        <f>SOFR3mo_PX[[#This Row],[Column1375]]</f>
        <v>98.517499999999998</v>
      </c>
      <c r="AZX3">
        <f>SOFR3mo_PX[[#This Row],[Column1376]]</f>
        <v>98.52</v>
      </c>
      <c r="AZY3">
        <f>SOFR3mo_PX[[#This Row],[Column1377]]</f>
        <v>98.522499999999994</v>
      </c>
      <c r="AZZ3">
        <f>SOFR3mo_PX[[#This Row],[Column1378]]</f>
        <v>98.525000000000006</v>
      </c>
      <c r="BAA3">
        <f>SOFR3mo_PX[[#This Row],[Column1379]]</f>
        <v>98.532499999999999</v>
      </c>
      <c r="BAB3">
        <f>SOFR3mo_PX[[#This Row],[Column1380]]</f>
        <v>98.504999999999995</v>
      </c>
      <c r="BAC3">
        <f>SOFR3mo_PX[[#This Row],[Column1381]]</f>
        <v>98.52</v>
      </c>
      <c r="BAD3">
        <f>SOFR3mo_PX[[#This Row],[Column1382]]</f>
        <v>98.51</v>
      </c>
      <c r="BAE3">
        <f>SOFR3mo_PX[[#This Row],[Column1383]]</f>
        <v>98.502499999999998</v>
      </c>
      <c r="BAF3">
        <f>SOFR3mo_PX[[#This Row],[Column1384]]</f>
        <v>98.5</v>
      </c>
      <c r="BAG3">
        <f>SOFR3mo_PX[[#This Row],[Column1385]]</f>
        <v>98.51</v>
      </c>
      <c r="BAH3">
        <f>SOFR3mo_PX[[#This Row],[Column1386]]</f>
        <v>98.484999999999999</v>
      </c>
      <c r="BAI3">
        <f>SOFR3mo_PX[[#This Row],[Column1387]]</f>
        <v>98.47</v>
      </c>
      <c r="BAJ3">
        <f>SOFR3mo_PX[[#This Row],[Column1388]]</f>
        <v>98.442499999999995</v>
      </c>
      <c r="BAK3">
        <f>SOFR3mo_PX[[#This Row],[Column1389]]</f>
        <v>98.4375</v>
      </c>
      <c r="BAL3">
        <f>SOFR3mo_PX[[#This Row],[Column1390]]</f>
        <v>98.442499999999995</v>
      </c>
      <c r="BAM3">
        <f>SOFR3mo_PX[[#This Row],[Column1391]]</f>
        <v>98.4375</v>
      </c>
      <c r="BAN3">
        <f>SOFR3mo_PX[[#This Row],[Column1392]]</f>
        <v>98.435000000000002</v>
      </c>
      <c r="BAO3">
        <f>SOFR3mo_PX[[#This Row],[Column1393]]</f>
        <v>98.435000000000002</v>
      </c>
      <c r="BAP3">
        <f>SOFR3mo_PX[[#This Row],[Column1394]]</f>
        <v>98.432500000000005</v>
      </c>
      <c r="BAQ3">
        <f>SOFR3mo_PX[[#This Row],[Column1395]]</f>
        <v>98.4375</v>
      </c>
      <c r="BAR3">
        <f>SOFR3mo_PX[[#This Row],[Column1396]]</f>
        <v>98.435000000000002</v>
      </c>
      <c r="BAS3">
        <f>SOFR3mo_PX[[#This Row],[Column1397]]</f>
        <v>98.435000000000002</v>
      </c>
      <c r="BAT3">
        <f>SOFR3mo_PX[[#This Row],[Column1398]]</f>
        <v>98.435000000000002</v>
      </c>
      <c r="BAU3">
        <f>SOFR3mo_PX[[#This Row],[Column1399]]</f>
        <v>98.435000000000002</v>
      </c>
      <c r="BAV3">
        <f>SOFR3mo_PX[[#This Row],[Column1400]]</f>
        <v>98.432500000000005</v>
      </c>
      <c r="BAW3">
        <f>SOFR3mo_PX[[#This Row],[Column1401]]</f>
        <v>98.4375</v>
      </c>
      <c r="BAX3">
        <f>SOFR3mo_PX[[#This Row],[Column1402]]</f>
        <v>98.432500000000005</v>
      </c>
      <c r="BAY3">
        <f>SOFR3mo_PX[[#This Row],[Column1403]]</f>
        <v>98.43</v>
      </c>
      <c r="BAZ3">
        <f>SOFR3mo_PX[[#This Row],[Column1404]]</f>
        <v>98.43</v>
      </c>
      <c r="BBA3">
        <f>SOFR3mo_PX[[#This Row],[Column1405]]</f>
        <v>98.43</v>
      </c>
      <c r="BBB3">
        <f>SOFR3mo_PX[[#This Row],[Column1406]]</f>
        <v>98.432500000000005</v>
      </c>
      <c r="BBC3">
        <f>SOFR3mo_PX[[#This Row],[Column1407]]</f>
        <v>98.435000000000002</v>
      </c>
      <c r="BBD3">
        <f>SOFR3mo_PX[[#This Row],[Column1408]]</f>
        <v>98.432500000000005</v>
      </c>
      <c r="BBE3">
        <f>SOFR3mo_PX[[#This Row],[Column1409]]</f>
        <v>98.432500000000005</v>
      </c>
      <c r="BBF3">
        <f>SOFR3mo_PX[[#This Row],[Column1410]]</f>
        <v>98.432500000000005</v>
      </c>
      <c r="BBG3">
        <f>SOFR3mo_PX[[#This Row],[Column1411]]</f>
        <v>98.4375</v>
      </c>
      <c r="BBH3">
        <f>SOFR3mo_PX[[#This Row],[Column1412]]</f>
        <v>98.432500000000005</v>
      </c>
      <c r="BBI3">
        <f>SOFR3mo_PX[[#This Row],[Column1413]]</f>
        <v>98.43</v>
      </c>
      <c r="BBJ3">
        <f>SOFR3mo_PX[[#This Row],[Column1414]]</f>
        <v>98.43</v>
      </c>
      <c r="BBK3">
        <f>SOFR3mo_PX[[#This Row],[Column1415]]</f>
        <v>98.43</v>
      </c>
      <c r="BBL3">
        <f>SOFR3mo_PX[[#This Row],[Column1416]]</f>
        <v>98.427499999999995</v>
      </c>
      <c r="BBM3">
        <f>SOFR3mo_PX[[#This Row],[Column1417]]</f>
        <v>98.427499999999995</v>
      </c>
      <c r="BBN3">
        <f>SOFR3mo_PX[[#This Row],[Column1418]]</f>
        <v>98.43</v>
      </c>
      <c r="BBO3">
        <f>SOFR3mo_PX[[#This Row],[Column1419]]</f>
        <v>98.424999999999997</v>
      </c>
      <c r="BBP3">
        <f>SOFR3mo_PX[[#This Row],[Column1420]]</f>
        <v>98.422499999999999</v>
      </c>
      <c r="BBQ3">
        <f>SOFR3mo_PX[[#This Row],[Column1421]]</f>
        <v>98.422499999999999</v>
      </c>
      <c r="BBR3">
        <f>SOFR3mo_PX[[#This Row],[Column1422]]</f>
        <v>98.424999999999997</v>
      </c>
      <c r="BBS3">
        <f>SOFR3mo_PX[[#This Row],[Column1423]]</f>
        <v>98.43</v>
      </c>
      <c r="BBT3">
        <f>SOFR3mo_PX[[#This Row],[Column1424]]</f>
        <v>98.424999999999997</v>
      </c>
      <c r="BBU3">
        <f>SOFR3mo_PX[[#This Row],[Column1425]]</f>
        <v>98.422499999999999</v>
      </c>
      <c r="BBV3">
        <f>SOFR3mo_PX[[#This Row],[Column1426]]</f>
        <v>98.424999999999997</v>
      </c>
      <c r="BBW3">
        <f>SOFR3mo_PX[[#This Row],[Column1427]]</f>
        <v>98.427499999999995</v>
      </c>
      <c r="BBX3">
        <f>SOFR3mo_PX[[#This Row],[Column1428]]</f>
        <v>98.4375</v>
      </c>
      <c r="BBY3">
        <f>SOFR3mo_PX[[#This Row],[Column1429]]</f>
        <v>98.44</v>
      </c>
      <c r="BBZ3">
        <f>SOFR3mo_PX[[#This Row],[Column1430]]</f>
        <v>98.44</v>
      </c>
      <c r="BCA3">
        <f>SOFR3mo_PX[[#This Row],[Column1431]]</f>
        <v>98.435000000000002</v>
      </c>
      <c r="BCB3">
        <f>SOFR3mo_PX[[#This Row],[Column1432]]</f>
        <v>98.427499999999995</v>
      </c>
      <c r="BCC3">
        <f>SOFR3mo_PX[[#This Row],[Column1433]]</f>
        <v>98.417500000000004</v>
      </c>
      <c r="BCD3">
        <f>SOFR3mo_PX[[#This Row],[Column1434]]</f>
        <v>98.417500000000004</v>
      </c>
      <c r="BCE3">
        <f>SOFR3mo_PX[[#This Row],[Column1435]]</f>
        <v>98.417500000000004</v>
      </c>
      <c r="BCF3">
        <f>SOFR3mo_PX[[#This Row],[Column1436]]</f>
        <v>98.412499999999994</v>
      </c>
      <c r="BCG3">
        <f>SOFR3mo_PX[[#This Row],[Column1437]]</f>
        <v>98.41</v>
      </c>
      <c r="BCH3">
        <f>SOFR3mo_PX[[#This Row],[Column1438]]</f>
        <v>98.415000000000006</v>
      </c>
      <c r="BCI3">
        <f>SOFR3mo_PX[[#This Row],[Column1439]]</f>
        <v>98.41</v>
      </c>
      <c r="BCJ3">
        <f>SOFR3mo_PX[[#This Row],[Column1440]]</f>
        <v>98.272499999999994</v>
      </c>
      <c r="BCK3">
        <f>SOFR3mo_PX[[#This Row],[Column1441]]</f>
        <v>98.272499999999994</v>
      </c>
      <c r="BCL3">
        <f>SOFR3mo_PX[[#This Row],[Column1442]]</f>
        <v>98.272499999999994</v>
      </c>
      <c r="BCM3">
        <f>SOFR3mo_PX[[#This Row],[Column1443]]</f>
        <v>98.27</v>
      </c>
      <c r="BCN3">
        <f>SOFR3mo_PX[[#This Row],[Column1444]]</f>
        <v>98.27</v>
      </c>
      <c r="BCO3">
        <f>SOFR3mo_PX[[#This Row],[Column1445]]</f>
        <v>98.27</v>
      </c>
      <c r="BCP3">
        <f>SOFR3mo_PX[[#This Row],[Column1446]]</f>
        <v>98.272499999999994</v>
      </c>
      <c r="BCQ3">
        <f>SOFR3mo_PX[[#This Row],[Column1447]]</f>
        <v>98.267499999999998</v>
      </c>
      <c r="BCR3">
        <f>SOFR3mo_PX[[#This Row],[Column1448]]</f>
        <v>98.27</v>
      </c>
      <c r="BCS3">
        <f>SOFR3mo_PX[[#This Row],[Column1449]]</f>
        <v>98.267499999999998</v>
      </c>
      <c r="BCT3">
        <f>SOFR3mo_PX[[#This Row],[Column1450]]</f>
        <v>98.27</v>
      </c>
      <c r="BCU3">
        <f>SOFR3mo_PX[[#This Row],[Column1451]]</f>
        <v>98.27</v>
      </c>
      <c r="BCV3">
        <f>SOFR3mo_PX[[#This Row],[Column1452]]</f>
        <v>98.27</v>
      </c>
      <c r="BCW3">
        <f>SOFR3mo_PX[[#This Row],[Column1453]]</f>
        <v>98.265000000000001</v>
      </c>
      <c r="BCX3">
        <f>SOFR3mo_PX[[#This Row],[Column1454]]</f>
        <v>98.265000000000001</v>
      </c>
      <c r="BCY3">
        <f>SOFR3mo_PX[[#This Row],[Column1455]]</f>
        <v>98.262500000000003</v>
      </c>
      <c r="BCZ3">
        <f>SOFR3mo_PX[[#This Row],[Column1456]]</f>
        <v>98.262500000000003</v>
      </c>
      <c r="BDA3">
        <f>SOFR3mo_PX[[#This Row],[Column1457]]</f>
        <v>98.26</v>
      </c>
      <c r="BDB3">
        <f>SOFR3mo_PX[[#This Row],[Column1458]]</f>
        <v>98.26</v>
      </c>
      <c r="BDC3">
        <f>SOFR3mo_PX[[#This Row],[Column1459]]</f>
        <v>98.262500000000003</v>
      </c>
      <c r="BDD3">
        <f>SOFR3mo_PX[[#This Row],[Column1460]]</f>
        <v>98.265000000000001</v>
      </c>
      <c r="BDE3">
        <f>SOFR3mo_PX[[#This Row],[Column1461]]</f>
        <v>98.267499999999998</v>
      </c>
      <c r="BDF3">
        <f>SOFR3mo_PX[[#This Row],[Column1462]]</f>
        <v>98.267499999999998</v>
      </c>
      <c r="BDG3">
        <f>SOFR3mo_PX[[#This Row],[Column1463]]</f>
        <v>98.267499999999998</v>
      </c>
      <c r="BDH3">
        <f>SOFR3mo_PX[[#This Row],[Column1464]]</f>
        <v>98.262500000000003</v>
      </c>
      <c r="BDI3">
        <f>SOFR3mo_PX[[#This Row],[Column1465]]</f>
        <v>98.265000000000001</v>
      </c>
      <c r="BDJ3">
        <f>SOFR3mo_PX[[#This Row],[Column1466]]</f>
        <v>98.257499999999993</v>
      </c>
      <c r="BDK3">
        <f>SOFR3mo_PX[[#This Row],[Column1467]]</f>
        <v>98.262500000000003</v>
      </c>
      <c r="BDL3">
        <f>SOFR3mo_PX[[#This Row],[Column1468]]</f>
        <v>98.257499999999993</v>
      </c>
      <c r="BDM3">
        <f>SOFR3mo_PX[[#This Row],[Column1469]]</f>
        <v>98.262500000000003</v>
      </c>
      <c r="BDN3">
        <f>SOFR3mo_PX[[#This Row],[Column1470]]</f>
        <v>98.257499999999993</v>
      </c>
      <c r="BDO3">
        <f>SOFR3mo_PX[[#This Row],[Column1471]]</f>
        <v>98.254999999999995</v>
      </c>
      <c r="BDP3">
        <f>SOFR3mo_PX[[#This Row],[Column1472]]</f>
        <v>98.252499999999998</v>
      </c>
      <c r="BDQ3">
        <f>SOFR3mo_PX[[#This Row],[Column1473]]</f>
        <v>98.262500000000003</v>
      </c>
      <c r="BDR3">
        <f>SOFR3mo_PX[[#This Row],[Column1474]]</f>
        <v>98.247500000000002</v>
      </c>
      <c r="BDS3">
        <f>SOFR3mo_PX[[#This Row],[Column1475]]</f>
        <v>98.234999999999999</v>
      </c>
      <c r="BDT3">
        <f>SOFR3mo_PX[[#This Row],[Column1476]]</f>
        <v>98.227500000000006</v>
      </c>
      <c r="BDU3">
        <f>SOFR3mo_PX[[#This Row],[Column1477]]</f>
        <v>98.224999999999994</v>
      </c>
      <c r="BDV3">
        <f>SOFR3mo_PX[[#This Row],[Column1478]]</f>
        <v>98.23</v>
      </c>
      <c r="BDW3">
        <f>SOFR3mo_PX[[#This Row],[Column1479]]</f>
        <v>98.23</v>
      </c>
      <c r="BDX3">
        <f>SOFR3mo_PX[[#This Row],[Column1480]]</f>
        <v>98.232500000000002</v>
      </c>
      <c r="BDY3">
        <f>SOFR3mo_PX[[#This Row],[Column1481]]</f>
        <v>98.227500000000006</v>
      </c>
      <c r="BDZ3">
        <f>SOFR3mo_PX[[#This Row],[Column1482]]</f>
        <v>98.24</v>
      </c>
      <c r="BEA3">
        <f>SOFR3mo_PX[[#This Row],[Column1483]]</f>
        <v>98.224999999999994</v>
      </c>
      <c r="BEB3">
        <f>SOFR3mo_PX[[#This Row],[Column1484]]</f>
        <v>98.232500000000002</v>
      </c>
      <c r="BEC3">
        <f>SOFR3mo_PX[[#This Row],[Column1485]]</f>
        <v>98.222499999999997</v>
      </c>
      <c r="BED3">
        <f>SOFR3mo_PX[[#This Row],[Column1486]]</f>
        <v>98.23</v>
      </c>
      <c r="BEE3">
        <f>SOFR3mo_PX[[#This Row],[Column1487]]</f>
        <v>98.227500000000006</v>
      </c>
      <c r="BEF3">
        <f>SOFR3mo_PX[[#This Row],[Column1488]]</f>
        <v>98.227500000000006</v>
      </c>
      <c r="BEG3">
        <f>SOFR3mo_PX[[#This Row],[Column1489]]</f>
        <v>98.234999999999999</v>
      </c>
      <c r="BEH3">
        <f>SOFR3mo_PX[[#This Row],[Column1490]]</f>
        <v>98.245000000000005</v>
      </c>
      <c r="BEI3">
        <f>SOFR3mo_PX[[#This Row],[Column1491]]</f>
        <v>98.227500000000006</v>
      </c>
      <c r="BEJ3">
        <f>SOFR3mo_PX[[#This Row],[Column1492]]</f>
        <v>98.227500000000006</v>
      </c>
      <c r="BEK3">
        <f>SOFR3mo_PX[[#This Row],[Column1493]]</f>
        <v>98.224999999999994</v>
      </c>
      <c r="BEL3">
        <f>SOFR3mo_PX[[#This Row],[Column1494]]</f>
        <v>98.192499999999995</v>
      </c>
      <c r="BEM3">
        <f>SOFR3mo_PX[[#This Row],[Column1495]]</f>
        <v>98.16</v>
      </c>
      <c r="BEN3">
        <f>SOFR3mo_PX[[#This Row],[Column1496]]</f>
        <v>98.135000000000005</v>
      </c>
      <c r="BEO3">
        <f>SOFR3mo_PX[[#This Row],[Column1497]]</f>
        <v>98.132499999999993</v>
      </c>
      <c r="BEP3">
        <f>SOFR3mo_PX[[#This Row],[Column1498]]</f>
        <v>98.114999999999995</v>
      </c>
      <c r="BEQ3">
        <f>SOFR3mo_PX[[#This Row],[Column1499]]</f>
        <v>98.094999999999999</v>
      </c>
      <c r="BER3">
        <f>SOFR3mo_PX[[#This Row],[Column1500]]</f>
        <v>98.114999999999995</v>
      </c>
      <c r="BES3">
        <f>SOFR3mo_PX[[#This Row],[Column1501]]</f>
        <v>98.12</v>
      </c>
      <c r="BET3">
        <f>SOFR3mo_PX[[#This Row],[Column1502]]</f>
        <v>98.112499999999997</v>
      </c>
      <c r="BEU3">
        <f>SOFR3mo_PX[[#This Row],[Column1503]]</f>
        <v>98.007499999999993</v>
      </c>
      <c r="BEV3">
        <f>SOFR3mo_PX[[#This Row],[Column1504]]</f>
        <v>98.04</v>
      </c>
      <c r="BEW3">
        <f>SOFR3mo_PX[[#This Row],[Column1505]]</f>
        <v>97.682500000000005</v>
      </c>
      <c r="BEX3">
        <f>SOFR3mo_PX[[#This Row],[Column1506]]</f>
        <v>97.7</v>
      </c>
      <c r="BEY3">
        <f>SOFR3mo_PX[[#This Row],[Column1507]]</f>
        <v>97.707499999999996</v>
      </c>
      <c r="BEZ3">
        <f>SOFR3mo_PX[[#This Row],[Column1508]]</f>
        <v>97.707499999999996</v>
      </c>
      <c r="BFA3">
        <f>SOFR3mo_PX[[#This Row],[Column1509]]</f>
        <v>97.707499999999996</v>
      </c>
      <c r="BFB3">
        <f>SOFR3mo_PX[[#This Row],[Column1510]]</f>
        <v>97.707499999999996</v>
      </c>
      <c r="BFC3">
        <f>SOFR3mo_PX[[#This Row],[Column1511]]</f>
        <v>97.707499999999996</v>
      </c>
      <c r="BFD3">
        <f>SOFR3mo_PX[[#This Row],[Column1512]]</f>
        <v>97.704999999999998</v>
      </c>
      <c r="BFE3">
        <f>SOFR3mo_PX[[#This Row],[Column1513]]</f>
        <v>97.704999999999998</v>
      </c>
      <c r="BFF3">
        <f>SOFR3mo_PX[[#This Row],[Column1514]]</f>
        <v>97.71</v>
      </c>
      <c r="BFG3">
        <f>SOFR3mo_PX[[#This Row],[Column1515]]</f>
        <v>97.707499999999996</v>
      </c>
      <c r="BFH3">
        <f>SOFR3mo_PX[[#This Row],[Column1516]]</f>
        <v>97.712500000000006</v>
      </c>
      <c r="BFI3">
        <f>SOFR3mo_PX[[#This Row],[Column1517]]</f>
        <v>97.712500000000006</v>
      </c>
      <c r="BFJ3">
        <f>SOFR3mo_PX[[#This Row],[Column1518]]</f>
        <v>97.71</v>
      </c>
      <c r="BFK3">
        <f>SOFR3mo_PX[[#This Row],[Column1519]]</f>
        <v>97.707499999999996</v>
      </c>
      <c r="BFL3">
        <f>SOFR3mo_PX[[#This Row],[Column1520]]</f>
        <v>97.712500000000006</v>
      </c>
      <c r="BFM3">
        <f>SOFR3mo_PX[[#This Row],[Column1521]]</f>
        <v>97.707499999999996</v>
      </c>
      <c r="BFN3">
        <f>SOFR3mo_PX[[#This Row],[Column1522]]</f>
        <v>97.712500000000006</v>
      </c>
      <c r="BFO3">
        <f>SOFR3mo_PX[[#This Row],[Column1523]]</f>
        <v>97.697500000000005</v>
      </c>
      <c r="BFP3">
        <f>SOFR3mo_PX[[#This Row],[Column1524]]</f>
        <v>97.7</v>
      </c>
      <c r="BFQ3">
        <f>SOFR3mo_PX[[#This Row],[Column1525]]</f>
        <v>97.7</v>
      </c>
      <c r="BFR3">
        <f>SOFR3mo_PX[[#This Row],[Column1526]]</f>
        <v>97.692499999999995</v>
      </c>
      <c r="BFS3">
        <f>SOFR3mo_PX[[#This Row],[Column1527]]</f>
        <v>97.7</v>
      </c>
      <c r="BFT3">
        <f>SOFR3mo_PX[[#This Row],[Column1528]]</f>
        <v>97.704999999999998</v>
      </c>
      <c r="BFU3">
        <f>SOFR3mo_PX[[#This Row],[Column1529]]</f>
        <v>97.7</v>
      </c>
      <c r="BFV3">
        <f>SOFR3mo_PX[[#This Row],[Column1530]]</f>
        <v>97.692499999999995</v>
      </c>
      <c r="BFW3">
        <f>SOFR3mo_PX[[#This Row],[Column1531]]</f>
        <v>97.7</v>
      </c>
      <c r="BFX3">
        <f>SOFR3mo_PX[[#This Row],[Column1532]]</f>
        <v>97.692499999999995</v>
      </c>
      <c r="BFY3">
        <f>SOFR3mo_PX[[#This Row],[Column1533]]</f>
        <v>97.69</v>
      </c>
      <c r="BFZ3">
        <f>SOFR3mo_PX[[#This Row],[Column1534]]</f>
        <v>97.704999999999998</v>
      </c>
      <c r="BGA3">
        <f>SOFR3mo_PX[[#This Row],[Column1535]]</f>
        <v>97.682500000000005</v>
      </c>
      <c r="BGB3">
        <f>SOFR3mo_PX[[#This Row],[Column1536]]</f>
        <v>97.694999999999993</v>
      </c>
      <c r="BGC3">
        <f>SOFR3mo_PX[[#This Row],[Column1537]]</f>
        <v>97.685000000000002</v>
      </c>
      <c r="BGD3">
        <f>SOFR3mo_PX[[#This Row],[Column1538]]</f>
        <v>97.68</v>
      </c>
      <c r="BGE3">
        <f>SOFR3mo_PX[[#This Row],[Column1539]]</f>
        <v>97.66</v>
      </c>
      <c r="BGF3">
        <f>SOFR3mo_PX[[#This Row],[Column1540]]</f>
        <v>97.682500000000005</v>
      </c>
      <c r="BGG3">
        <f>SOFR3mo_PX[[#This Row],[Column1541]]</f>
        <v>97.692499999999995</v>
      </c>
      <c r="BGH3">
        <f>SOFR3mo_PX[[#This Row],[Column1542]]</f>
        <v>97.674999999999997</v>
      </c>
      <c r="BGI3">
        <f>SOFR3mo_PX[[#This Row],[Column1543]]</f>
        <v>97.68</v>
      </c>
      <c r="BGJ3">
        <f>SOFR3mo_PX[[#This Row],[Column1544]]</f>
        <v>97.6875</v>
      </c>
      <c r="BGK3">
        <f>SOFR3mo_PX[[#This Row],[Column1545]]</f>
        <v>97.685000000000002</v>
      </c>
      <c r="BGL3">
        <f>SOFR3mo_PX[[#This Row],[Column1546]]</f>
        <v>97.694999999999993</v>
      </c>
      <c r="BGM3">
        <f>SOFR3mo_PX[[#This Row],[Column1547]]</f>
        <v>97.7</v>
      </c>
      <c r="BGN3">
        <f>SOFR3mo_PX[[#This Row],[Column1548]]</f>
        <v>97.747500000000002</v>
      </c>
      <c r="BGO3">
        <f>SOFR3mo_PX[[#This Row],[Column1549]]</f>
        <v>97.707499999999996</v>
      </c>
      <c r="BGP3">
        <f>SOFR3mo_PX[[#This Row],[Column1550]]</f>
        <v>97.707499999999996</v>
      </c>
      <c r="BGQ3">
        <f>SOFR3mo_PX[[#This Row],[Column1551]]</f>
        <v>97.722499999999997</v>
      </c>
      <c r="BGR3">
        <f>SOFR3mo_PX[[#This Row],[Column1552]]</f>
        <v>97.722499999999997</v>
      </c>
      <c r="BGS3">
        <f>SOFR3mo_PX[[#This Row],[Column1553]]</f>
        <v>97.712500000000006</v>
      </c>
      <c r="BGT3">
        <f>SOFR3mo_PX[[#This Row],[Column1554]]</f>
        <v>97.734999999999999</v>
      </c>
      <c r="BGU3">
        <f>SOFR3mo_PX[[#This Row],[Column1555]]</f>
        <v>97.685000000000002</v>
      </c>
      <c r="BGV3">
        <f>SOFR3mo_PX[[#This Row],[Column1556]]</f>
        <v>97.692499999999995</v>
      </c>
      <c r="BGW3">
        <f>SOFR3mo_PX[[#This Row],[Column1557]]</f>
        <v>97.694999999999993</v>
      </c>
      <c r="BGX3">
        <f>SOFR3mo_PX[[#This Row],[Column1558]]</f>
        <v>97.737499999999997</v>
      </c>
      <c r="BGY3">
        <f>SOFR3mo_PX[[#This Row],[Column1559]]</f>
        <v>97.737499999999997</v>
      </c>
      <c r="BGZ3">
        <f>SOFR3mo_PX[[#This Row],[Column1560]]</f>
        <v>97.74</v>
      </c>
      <c r="BHA3">
        <f>SOFR3mo_PX[[#This Row],[Column1561]]</f>
        <v>97.734999999999999</v>
      </c>
      <c r="BHB3">
        <f>SOFR3mo_PX[[#This Row],[Column1562]]</f>
        <v>97.754999999999995</v>
      </c>
      <c r="BHC3">
        <f>SOFR3mo_PX[[#This Row],[Column1563]]</f>
        <v>97.74</v>
      </c>
      <c r="BHD3">
        <f>SOFR3mo_PX[[#This Row],[Column1564]]</f>
        <v>97.722499999999997</v>
      </c>
      <c r="BHE3">
        <f>SOFR3mo_PX[[#This Row],[Column1565]]</f>
        <v>97.752499999999998</v>
      </c>
      <c r="BHF3">
        <f>SOFR3mo_PX[[#This Row],[Column1566]]</f>
        <v>97.767499999999998</v>
      </c>
      <c r="BHG3">
        <f>SOFR3mo_PX[[#This Row],[Column1567]]</f>
        <v>97.742500000000007</v>
      </c>
      <c r="BHH3">
        <f>SOFR3mo_PX[[#This Row],[Column1568]]</f>
        <v>97.765000000000001</v>
      </c>
      <c r="BHI3">
        <f>SOFR3mo_PX[[#This Row],[Column1569]]</f>
        <v>97.745000000000005</v>
      </c>
      <c r="BHJ3">
        <f>SOFR3mo_PX[[#This Row],[Column1570]]</f>
        <v>97.555000000000007</v>
      </c>
      <c r="BHK3">
        <f>SOFR3mo_PX[[#This Row],[Column1571]]</f>
        <v>97.555000000000007</v>
      </c>
      <c r="BHL3">
        <f>SOFR3mo_PX[[#This Row],[Column1572]]</f>
        <v>97.552499999999995</v>
      </c>
      <c r="BHM3">
        <f>SOFR3mo_PX[[#This Row],[Column1573]]</f>
        <v>97.555000000000007</v>
      </c>
      <c r="BHN3">
        <f>SOFR3mo_PX[[#This Row],[Column1574]]</f>
        <v>97.555000000000007</v>
      </c>
      <c r="BHO3">
        <f>SOFR3mo_PX[[#This Row],[Column1575]]</f>
        <v>97.55</v>
      </c>
      <c r="BHP3">
        <f>SOFR3mo_PX[[#This Row],[Column1576]]</f>
        <v>97.552499999999995</v>
      </c>
      <c r="BHQ3">
        <f>SOFR3mo_PX[[#This Row],[Column1577]]</f>
        <v>97.555000000000007</v>
      </c>
      <c r="BHR3">
        <f>SOFR3mo_PX[[#This Row],[Column1578]]</f>
        <v>97.55</v>
      </c>
      <c r="BHS3">
        <f>SOFR3mo_PX[[#This Row],[Column1579]]</f>
        <v>97.557500000000005</v>
      </c>
      <c r="BHT3">
        <f>SOFR3mo_PX[[#This Row],[Column1580]]</f>
        <v>97.557500000000005</v>
      </c>
      <c r="BHU3">
        <f>SOFR3mo_PX[[#This Row],[Column1581]]</f>
        <v>97.557500000000005</v>
      </c>
      <c r="BHV3">
        <f>SOFR3mo_PX[[#This Row],[Column1582]]</f>
        <v>97.547499999999999</v>
      </c>
      <c r="BHW3">
        <f>SOFR3mo_PX[[#This Row],[Column1583]]</f>
        <v>97.542500000000004</v>
      </c>
      <c r="BHX3">
        <f>SOFR3mo_PX[[#This Row],[Column1584]]</f>
        <v>97.545000000000002</v>
      </c>
      <c r="BHY3">
        <f>SOFR3mo_PX[[#This Row],[Column1585]]</f>
        <v>97.545000000000002</v>
      </c>
      <c r="BHZ3">
        <f>SOFR3mo_PX[[#This Row],[Column1586]]</f>
        <v>97.542500000000004</v>
      </c>
      <c r="BIA3">
        <f>SOFR3mo_PX[[#This Row],[Column1587]]</f>
        <v>97.542500000000004</v>
      </c>
      <c r="BIB3">
        <f>SOFR3mo_PX[[#This Row],[Column1588]]</f>
        <v>97.545000000000002</v>
      </c>
      <c r="BIC3">
        <f>SOFR3mo_PX[[#This Row],[Column1589]]</f>
        <v>97.547499999999999</v>
      </c>
      <c r="BID3">
        <f>SOFR3mo_PX[[#This Row],[Column1590]]</f>
        <v>97.545000000000002</v>
      </c>
      <c r="BIE3">
        <f>SOFR3mo_PX[[#This Row],[Column1591]]</f>
        <v>97.542500000000004</v>
      </c>
      <c r="BIF3">
        <f>SOFR3mo_PX[[#This Row],[Column1592]]</f>
        <v>97.542500000000004</v>
      </c>
      <c r="BIG3">
        <f>SOFR3mo_PX[[#This Row],[Column1593]]</f>
        <v>97.542500000000004</v>
      </c>
      <c r="BIH3">
        <f>SOFR3mo_PX[[#This Row],[Column1594]]</f>
        <v>97.547499999999999</v>
      </c>
      <c r="BII3">
        <f>SOFR3mo_PX[[#This Row],[Column1595]]</f>
        <v>97.555000000000007</v>
      </c>
      <c r="BIJ3">
        <f>SOFR3mo_PX[[#This Row],[Column1596]]</f>
        <v>97.5625</v>
      </c>
      <c r="BIK3">
        <f>SOFR3mo_PX[[#This Row],[Column1597]]</f>
        <v>97.557500000000005</v>
      </c>
      <c r="BIL3">
        <f>SOFR3mo_PX[[#This Row],[Column1598]]</f>
        <v>97.55</v>
      </c>
      <c r="BIM3">
        <f>SOFR3mo_PX[[#This Row],[Column1599]]</f>
        <v>97.54</v>
      </c>
      <c r="BIN3">
        <f>SOFR3mo_PX[[#This Row],[Column1600]]</f>
        <v>97.547499999999999</v>
      </c>
      <c r="BIO3">
        <f>SOFR3mo_PX[[#This Row],[Column1601]]</f>
        <v>97.547499999999999</v>
      </c>
      <c r="BIP3">
        <f>SOFR3mo_PX[[#This Row],[Column1602]]</f>
        <v>97.545000000000002</v>
      </c>
      <c r="BIQ3">
        <f>SOFR3mo_PX[[#This Row],[Column1603]]</f>
        <v>97.534999999999997</v>
      </c>
      <c r="BIR3">
        <f>SOFR3mo_PX[[#This Row],[Column1604]]</f>
        <v>97.542500000000004</v>
      </c>
      <c r="BIS3">
        <f>SOFR3mo_PX[[#This Row],[Column1605]]</f>
        <v>97.542500000000004</v>
      </c>
      <c r="BIT3">
        <f>SOFR3mo_PX[[#This Row],[Column1606]]</f>
        <v>97.534999999999997</v>
      </c>
      <c r="BIU3">
        <f>SOFR3mo_PX[[#This Row],[Column1607]]</f>
        <v>97.545000000000002</v>
      </c>
      <c r="BIV3">
        <f>SOFR3mo_PX[[#This Row],[Column1608]]</f>
        <v>97.542500000000004</v>
      </c>
      <c r="BIW3">
        <f>SOFR3mo_PX[[#This Row],[Column1609]]</f>
        <v>97.547499999999999</v>
      </c>
      <c r="BIX3">
        <f>SOFR3mo_PX[[#This Row],[Column1610]]</f>
        <v>97.547499999999999</v>
      </c>
      <c r="BIY3">
        <f>SOFR3mo_PX[[#This Row],[Column1611]]</f>
        <v>97.547499999999999</v>
      </c>
      <c r="BIZ3">
        <f>SOFR3mo_PX[[#This Row],[Column1612]]</f>
        <v>97.545000000000002</v>
      </c>
      <c r="BJA3">
        <f>SOFR3mo_PX[[#This Row],[Column1613]]</f>
        <v>97.545000000000002</v>
      </c>
      <c r="BJB3">
        <f>SOFR3mo_PX[[#This Row],[Column1614]]</f>
        <v>97.547499999999999</v>
      </c>
      <c r="BJC3">
        <f>SOFR3mo_PX[[#This Row],[Column1615]]</f>
        <v>97.557500000000005</v>
      </c>
      <c r="BJD3">
        <f>SOFR3mo_PX[[#This Row],[Column1616]]</f>
        <v>97.5625</v>
      </c>
      <c r="BJE3">
        <f>SOFR3mo_PX[[#This Row],[Column1617]]</f>
        <v>97.5625</v>
      </c>
      <c r="BJF3">
        <f>SOFR3mo_PX[[#This Row],[Column1618]]</f>
        <v>97.5625</v>
      </c>
      <c r="BJG3">
        <f>SOFR3mo_PX[[#This Row],[Column1619]]</f>
        <v>97.564999999999998</v>
      </c>
      <c r="BJH3">
        <f>SOFR3mo_PX[[#This Row],[Column1620]]</f>
        <v>97.567499999999995</v>
      </c>
      <c r="BJI3">
        <f>SOFR3mo_PX[[#This Row],[Column1621]]</f>
        <v>97.5625</v>
      </c>
      <c r="BJJ3">
        <f>SOFR3mo_PX[[#This Row],[Column1622]]</f>
        <v>97.567499999999995</v>
      </c>
      <c r="BJK3">
        <f>SOFR3mo_PX[[#This Row],[Column1623]]</f>
        <v>97.572500000000005</v>
      </c>
      <c r="BJL3">
        <f>SOFR3mo_PX[[#This Row],[Column1624]]</f>
        <v>97.575000000000003</v>
      </c>
      <c r="BJM3">
        <f>SOFR3mo_PX[[#This Row],[Column1625]]</f>
        <v>97.584999999999994</v>
      </c>
      <c r="BJN3">
        <f>SOFR3mo_PX[[#This Row],[Column1626]]</f>
        <v>97.58</v>
      </c>
      <c r="BJO3">
        <f>SOFR3mo_PX[[#This Row],[Column1627]]</f>
        <v>97.577500000000001</v>
      </c>
      <c r="BJP3">
        <f>SOFR3mo_PX[[#This Row],[Column1628]]</f>
        <v>97.575000000000003</v>
      </c>
      <c r="BJQ3">
        <f>SOFR3mo_PX[[#This Row],[Column1629]]</f>
        <v>97.572500000000005</v>
      </c>
      <c r="BJR3">
        <f>SOFR3mo_PX[[#This Row],[Column1630]]</f>
        <v>97.564999999999998</v>
      </c>
      <c r="BJS3">
        <f>SOFR3mo_PX[[#This Row],[Column1631]]</f>
        <v>97.57</v>
      </c>
      <c r="BJT3">
        <f>SOFR3mo_PX[[#This Row],[Column1632]]</f>
        <v>97.567499999999995</v>
      </c>
      <c r="BJU3">
        <f>SOFR3mo_PX[[#This Row],[Column1633]]</f>
        <v>97.557500000000005</v>
      </c>
      <c r="BJV3">
        <f>SOFR3mo_PX[[#This Row],[Column1634]]</f>
        <v>97.5625</v>
      </c>
      <c r="BJW3">
        <f>SOFR3mo_PX[[#This Row],[Column1635]]</f>
        <v>97.555000000000007</v>
      </c>
      <c r="BJX3">
        <f>SOFR3mo_PX[[#This Row],[Column1636]]</f>
        <v>97.555000000000007</v>
      </c>
      <c r="BJY3">
        <f>SOFR3mo_PX[[#This Row],[Column1637]]</f>
        <v>97.56</v>
      </c>
      <c r="BJZ3">
        <f>SOFR3mo_PX[[#This Row],[Column1638]]</f>
        <v>97.56</v>
      </c>
      <c r="BKA3">
        <f>SOFR3mo_PX[[#This Row],[Column1639]]</f>
        <v>97.557500000000005</v>
      </c>
      <c r="BKB3">
        <f>SOFR3mo_PX[[#This Row],[Column1640]]</f>
        <v>97.557500000000005</v>
      </c>
      <c r="BKC3">
        <f>SOFR3mo_PX[[#This Row],[Column1641]]</f>
        <v>97.56</v>
      </c>
      <c r="BKD3">
        <f>SOFR3mo_PX[[#This Row],[Column1642]]</f>
        <v>97.56</v>
      </c>
      <c r="BKE3">
        <f>SOFR3mo_PX[[#This Row],[Column1643]]</f>
        <v>97.5625</v>
      </c>
      <c r="BKF3">
        <f>SOFR3mo_PX[[#This Row],[Column1644]]</f>
        <v>97.5625</v>
      </c>
      <c r="BKG3">
        <f>SOFR3mo_PX[[#This Row],[Column1645]]</f>
        <v>97.56</v>
      </c>
      <c r="BKH3">
        <f>SOFR3mo_PX[[#This Row],[Column1646]]</f>
        <v>97.557500000000005</v>
      </c>
      <c r="BKI3">
        <f>SOFR3mo_PX[[#This Row],[Column1647]]</f>
        <v>97.55</v>
      </c>
      <c r="BKJ3">
        <f>SOFR3mo_PX[[#This Row],[Column1648]]</f>
        <v>97.55</v>
      </c>
      <c r="BKK3">
        <f>SOFR3mo_PX[[#This Row],[Column1649]]</f>
        <v>97.55</v>
      </c>
      <c r="BKL3">
        <f>SOFR3mo_PX[[#This Row],[Column1650]]</f>
        <v>97.55</v>
      </c>
      <c r="BKM3">
        <f>SOFR3mo_PX[[#This Row],[Column1651]]</f>
        <v>97.55</v>
      </c>
      <c r="BKN3">
        <f>SOFR3mo_PX[[#This Row],[Column1652]]</f>
        <v>97.555000000000007</v>
      </c>
      <c r="BKO3">
        <f>SOFR3mo_PX[[#This Row],[Column1653]]</f>
        <v>97.55</v>
      </c>
      <c r="BKP3">
        <f>SOFR3mo_PX[[#This Row],[Column1654]]</f>
        <v>97.55</v>
      </c>
      <c r="BKQ3">
        <f>SOFR3mo_PX[[#This Row],[Column1655]]</f>
        <v>97.552499999999995</v>
      </c>
      <c r="BKR3">
        <f>SOFR3mo_PX[[#This Row],[Column1656]]</f>
        <v>97.545000000000002</v>
      </c>
      <c r="BKS3">
        <f>SOFR3mo_PX[[#This Row],[Column1657]]</f>
        <v>97.545000000000002</v>
      </c>
      <c r="BKT3">
        <f>SOFR3mo_PX[[#This Row],[Column1658]]</f>
        <v>97.55</v>
      </c>
      <c r="BKU3">
        <f>SOFR3mo_PX[[#This Row],[Column1659]]</f>
        <v>97.545000000000002</v>
      </c>
      <c r="BKV3">
        <f>SOFR3mo_PX[[#This Row],[Column1660]]</f>
        <v>97.547499999999999</v>
      </c>
      <c r="BKW3">
        <f>SOFR3mo_PX[[#This Row],[Column1661]]</f>
        <v>97.545000000000002</v>
      </c>
      <c r="BKX3">
        <f>SOFR3mo_PX[[#This Row],[Column1662]]</f>
        <v>97.545000000000002</v>
      </c>
      <c r="BKY3">
        <f>SOFR3mo_PX[[#This Row],[Column1663]]</f>
        <v>97.55</v>
      </c>
      <c r="BKZ3">
        <f>SOFR3mo_PX[[#This Row],[Column1664]]</f>
        <v>97.545000000000002</v>
      </c>
      <c r="BLA3">
        <f>SOFR3mo_PX[[#This Row],[Column1665]]</f>
        <v>97.545000000000002</v>
      </c>
      <c r="BLB3">
        <f>SOFR3mo_PX[[#This Row],[Column1666]]</f>
        <v>97.54</v>
      </c>
      <c r="BLC3">
        <f>SOFR3mo_PX[[#This Row],[Column1667]]</f>
        <v>97.54</v>
      </c>
      <c r="BLD3">
        <f>SOFR3mo_PX[[#This Row],[Column1668]]</f>
        <v>97.542500000000004</v>
      </c>
      <c r="BLE3">
        <f>SOFR3mo_PX[[#This Row],[Column1669]]</f>
        <v>97.542500000000004</v>
      </c>
      <c r="BLF3">
        <f>SOFR3mo_PX[[#This Row],[Column1670]]</f>
        <v>97.54</v>
      </c>
      <c r="BLG3">
        <f>SOFR3mo_PX[[#This Row],[Column1671]]</f>
        <v>97.54</v>
      </c>
      <c r="BLH3">
        <f>SOFR3mo_PX[[#This Row],[Column1672]]</f>
        <v>97.534999999999997</v>
      </c>
      <c r="BLI3">
        <f>SOFR3mo_PX[[#This Row],[Column1673]]</f>
        <v>97.537499999999994</v>
      </c>
      <c r="BLJ3">
        <f>SOFR3mo_PX[[#This Row],[Column1674]]</f>
        <v>97.537499999999994</v>
      </c>
      <c r="BLK3">
        <f>SOFR3mo_PX[[#This Row],[Column1675]]</f>
        <v>97.537499999999994</v>
      </c>
      <c r="BLL3">
        <f>SOFR3mo_PX[[#This Row],[Column1676]]</f>
        <v>97.532499999999999</v>
      </c>
      <c r="BLM3">
        <f>SOFR3mo_PX[[#This Row],[Column1677]]</f>
        <v>97.532499999999999</v>
      </c>
      <c r="BLN3">
        <f>SOFR3mo_PX[[#This Row],[Column1678]]</f>
        <v>97.542500000000004</v>
      </c>
      <c r="BLO3">
        <f>SOFR3mo_PX[[#This Row],[Column1679]]</f>
        <v>97.547499999999999</v>
      </c>
      <c r="BLP3">
        <f>SOFR3mo_PX[[#This Row],[Column1680]]</f>
        <v>97.547499999999999</v>
      </c>
      <c r="BLQ3">
        <f>SOFR3mo_PX[[#This Row],[Column1681]]</f>
        <v>97.54</v>
      </c>
      <c r="BLR3">
        <f>SOFR3mo_PX[[#This Row],[Column1682]]</f>
        <v>97.55</v>
      </c>
      <c r="BLS3">
        <f>SOFR3mo_PX[[#This Row],[Column1683]]</f>
        <v>97.542500000000004</v>
      </c>
      <c r="BLT3">
        <f>SOFR3mo_PX[[#This Row],[Column1684]]</f>
        <v>97.547499999999999</v>
      </c>
      <c r="BLU3">
        <f>SOFR3mo_PX[[#This Row],[Column1685]]</f>
        <v>97.545000000000002</v>
      </c>
      <c r="BLV3">
        <f>SOFR3mo_PX[[#This Row],[Column1686]]</f>
        <v>97.545000000000002</v>
      </c>
      <c r="BLW3">
        <f>SOFR3mo_PX[[#This Row],[Column1687]]</f>
        <v>97.542500000000004</v>
      </c>
      <c r="BLX3">
        <f>SOFR3mo_PX[[#This Row],[Column1688]]</f>
        <v>97.555000000000007</v>
      </c>
      <c r="BLY3">
        <f>SOFR3mo_PX[[#This Row],[Column1689]]</f>
        <v>97.552499999999995</v>
      </c>
      <c r="BLZ3">
        <f>SOFR3mo_PX[[#This Row],[Column1690]]</f>
        <v>97.567499999999995</v>
      </c>
      <c r="BMA3">
        <f>SOFR3mo_PX[[#This Row],[Column1691]]</f>
        <v>97.567499999999995</v>
      </c>
      <c r="BMB3">
        <f>SOFR3mo_PX[[#This Row],[Column1692]]</f>
        <v>97.58</v>
      </c>
      <c r="BMC3">
        <f>SOFR3mo_PX[[#This Row],[Column1693]]</f>
        <v>97.58</v>
      </c>
      <c r="BMD3">
        <f>SOFR3mo_PX[[#This Row],[Column1694]]</f>
        <v>97.582499999999996</v>
      </c>
      <c r="BME3">
        <f>SOFR3mo_PX[[#This Row],[Column1695]]</f>
        <v>97.594999999999999</v>
      </c>
      <c r="BMF3">
        <f>SOFR3mo_PX[[#This Row],[Column1696]]</f>
        <v>97.594999999999999</v>
      </c>
      <c r="BMG3">
        <f>SOFR3mo_PX[[#This Row],[Column1697]]</f>
        <v>97.57</v>
      </c>
      <c r="BMH3">
        <f>SOFR3mo_PX[[#This Row],[Column1698]]</f>
        <v>97.555000000000007</v>
      </c>
      <c r="BMI3">
        <f>SOFR3mo_PX[[#This Row],[Column1699]]</f>
        <v>97.56</v>
      </c>
      <c r="BMJ3">
        <f>SOFR3mo_PX[[#This Row],[Column1700]]</f>
        <v>97.805000000000007</v>
      </c>
      <c r="BMK3">
        <f>SOFR3mo_PX[[#This Row],[Column1701]]</f>
        <v>97.805000000000007</v>
      </c>
      <c r="BML3">
        <f>SOFR3mo_PX[[#This Row],[Column1702]]</f>
        <v>97.802499999999995</v>
      </c>
      <c r="BMM3">
        <f>SOFR3mo_PX[[#This Row],[Column1703]]</f>
        <v>97.802499999999995</v>
      </c>
      <c r="BMN3">
        <f>SOFR3mo_PX[[#This Row],[Column1704]]</f>
        <v>97.802499999999995</v>
      </c>
      <c r="BMO3">
        <f>SOFR3mo_PX[[#This Row],[Column1705]]</f>
        <v>97.802499999999995</v>
      </c>
      <c r="BMP3">
        <f>SOFR3mo_PX[[#This Row],[Column1706]]</f>
        <v>97.807500000000005</v>
      </c>
      <c r="BMQ3">
        <f>SOFR3mo_PX[[#This Row],[Column1707]]</f>
        <v>97.8125</v>
      </c>
      <c r="BMR3">
        <f>SOFR3mo_PX[[#This Row],[Column1708]]</f>
        <v>97.814999999999998</v>
      </c>
      <c r="BMS3">
        <f>SOFR3mo_PX[[#This Row],[Column1709]]</f>
        <v>97.817499999999995</v>
      </c>
      <c r="BMT3">
        <f>SOFR3mo_PX[[#This Row],[Column1710]]</f>
        <v>97.817499999999995</v>
      </c>
      <c r="BMU3">
        <f>SOFR3mo_PX[[#This Row],[Column1711]]</f>
        <v>97.8125</v>
      </c>
      <c r="BMV3">
        <f>SOFR3mo_PX[[#This Row],[Column1712]]</f>
        <v>97.814999999999998</v>
      </c>
      <c r="BMW3">
        <f>SOFR3mo_PX[[#This Row],[Column1713]]</f>
        <v>97.8125</v>
      </c>
      <c r="BMX3">
        <f>SOFR3mo_PX[[#This Row],[Column1714]]</f>
        <v>97.807500000000005</v>
      </c>
      <c r="BMY3">
        <f>SOFR3mo_PX[[#This Row],[Column1715]]</f>
        <v>97.807500000000005</v>
      </c>
      <c r="BMZ3">
        <f>SOFR3mo_PX[[#This Row],[Column1716]]</f>
        <v>97.805000000000007</v>
      </c>
      <c r="BNA3">
        <f>SOFR3mo_PX[[#This Row],[Column1717]]</f>
        <v>97.805000000000007</v>
      </c>
      <c r="BNB3">
        <f>SOFR3mo_PX[[#This Row],[Column1718]]</f>
        <v>97.805000000000007</v>
      </c>
      <c r="BNC3">
        <f>SOFR3mo_PX[[#This Row],[Column1719]]</f>
        <v>97.805000000000007</v>
      </c>
      <c r="BND3">
        <f>SOFR3mo_PX[[#This Row],[Column1720]]</f>
        <v>97.805000000000007</v>
      </c>
      <c r="BNE3">
        <f>SOFR3mo_PX[[#This Row],[Column1721]]</f>
        <v>97.81</v>
      </c>
      <c r="BNF3">
        <f>SOFR3mo_PX[[#This Row],[Column1722]]</f>
        <v>97.81</v>
      </c>
      <c r="BNG3">
        <f>SOFR3mo_PX[[#This Row],[Column1723]]</f>
        <v>97.81</v>
      </c>
      <c r="BNH3">
        <f>SOFR3mo_PX[[#This Row],[Column1724]]</f>
        <v>97.814999999999998</v>
      </c>
      <c r="BNI3">
        <f>SOFR3mo_PX[[#This Row],[Column1725]]</f>
        <v>97.814999999999998</v>
      </c>
      <c r="BNJ3">
        <f>SOFR3mo_PX[[#This Row],[Column1726]]</f>
        <v>97.814999999999998</v>
      </c>
      <c r="BNK3">
        <f>SOFR3mo_PX[[#This Row],[Column1727]]</f>
        <v>97.814999999999998</v>
      </c>
      <c r="BNL3">
        <f>SOFR3mo_PX[[#This Row],[Column1728]]</f>
        <v>97.807500000000005</v>
      </c>
      <c r="BNM3">
        <f>SOFR3mo_PX[[#This Row],[Column1729]]</f>
        <v>97.805000000000007</v>
      </c>
      <c r="BNN3">
        <f>SOFR3mo_PX[[#This Row],[Column1730]]</f>
        <v>97.805000000000007</v>
      </c>
      <c r="BNO3">
        <f>SOFR3mo_PX[[#This Row],[Column1731]]</f>
        <v>97.81</v>
      </c>
      <c r="BNP3">
        <f>SOFR3mo_PX[[#This Row],[Column1732]]</f>
        <v>97.807500000000005</v>
      </c>
      <c r="BNQ3">
        <f>SOFR3mo_PX[[#This Row],[Column1733]]</f>
        <v>97.8125</v>
      </c>
      <c r="BNR3">
        <f>SOFR3mo_PX[[#This Row],[Column1734]]</f>
        <v>97.807500000000005</v>
      </c>
      <c r="BNS3">
        <f>SOFR3mo_PX[[#This Row],[Column1735]]</f>
        <v>97.817499999999995</v>
      </c>
      <c r="BNT3">
        <f>SOFR3mo_PX[[#This Row],[Column1736]]</f>
        <v>97.817499999999995</v>
      </c>
      <c r="BNU3">
        <f>SOFR3mo_PX[[#This Row],[Column1737]]</f>
        <v>97.817499999999995</v>
      </c>
      <c r="BNV3">
        <f>SOFR3mo_PX[[#This Row],[Column1738]]</f>
        <v>97.814999999999998</v>
      </c>
      <c r="BNW3">
        <f>SOFR3mo_PX[[#This Row],[Column1739]]</f>
        <v>97.81</v>
      </c>
      <c r="BNX3">
        <f>SOFR3mo_PX[[#This Row],[Column1740]]</f>
        <v>97.805000000000007</v>
      </c>
      <c r="BNY3">
        <f>SOFR3mo_PX[[#This Row],[Column1741]]</f>
        <v>97.795000000000002</v>
      </c>
      <c r="BNZ3">
        <f>SOFR3mo_PX[[#This Row],[Column1742]]</f>
        <v>97.79</v>
      </c>
      <c r="BOA3">
        <f>SOFR3mo_PX[[#This Row],[Column1743]]</f>
        <v>97.797499999999999</v>
      </c>
      <c r="BOB3">
        <f>SOFR3mo_PX[[#This Row],[Column1744]]</f>
        <v>97.8125</v>
      </c>
      <c r="BOC3">
        <f>SOFR3mo_PX[[#This Row],[Column1745]]</f>
        <v>97.817499999999995</v>
      </c>
      <c r="BOD3">
        <f>SOFR3mo_PX[[#This Row],[Column1746]]</f>
        <v>97.8125</v>
      </c>
      <c r="BOE3">
        <f>SOFR3mo_PX[[#This Row],[Column1747]]</f>
        <v>97.82</v>
      </c>
      <c r="BOF3">
        <f>SOFR3mo_PX[[#This Row],[Column1748]]</f>
        <v>97.814999999999998</v>
      </c>
      <c r="BOG3">
        <f>SOFR3mo_PX[[#This Row],[Column1749]]</f>
        <v>97.814999999999998</v>
      </c>
      <c r="BOH3">
        <f>SOFR3mo_PX[[#This Row],[Column1750]]</f>
        <v>97.805000000000007</v>
      </c>
      <c r="BOI3">
        <f>SOFR3mo_PX[[#This Row],[Column1751]]</f>
        <v>97.805000000000007</v>
      </c>
      <c r="BOJ3">
        <f>SOFR3mo_PX[[#This Row],[Column1752]]</f>
        <v>97.81</v>
      </c>
      <c r="BOK3">
        <f>SOFR3mo_PX[[#This Row],[Column1753]]</f>
        <v>97.81</v>
      </c>
      <c r="BOL3">
        <f>SOFR3mo_PX[[#This Row],[Column1754]]</f>
        <v>97.81</v>
      </c>
      <c r="BOM3">
        <f>SOFR3mo_PX[[#This Row],[Column1755]]</f>
        <v>97.814999999999998</v>
      </c>
      <c r="BON3">
        <f>SOFR3mo_PX[[#This Row],[Column1756]]</f>
        <v>97.805000000000007</v>
      </c>
      <c r="BOO3">
        <f>SOFR3mo_PX[[#This Row],[Column1757]]</f>
        <v>97.81</v>
      </c>
      <c r="BOP3">
        <f>SOFR3mo_PX[[#This Row],[Column1758]]</f>
        <v>97.805000000000007</v>
      </c>
      <c r="BOQ3">
        <f>SOFR3mo_PX[[#This Row],[Column1759]]</f>
        <v>97.8</v>
      </c>
      <c r="BOR3">
        <f>SOFR3mo_PX[[#This Row],[Column1760]]</f>
        <v>97.79</v>
      </c>
      <c r="BOS3">
        <f>SOFR3mo_PX[[#This Row],[Column1761]]</f>
        <v>97.805000000000007</v>
      </c>
      <c r="BOT3">
        <f>SOFR3mo_PX[[#This Row],[Column1762]]</f>
        <v>97.805000000000007</v>
      </c>
      <c r="BOU3">
        <f>SOFR3mo_PX[[#This Row],[Column1763]]</f>
        <v>97.795000000000002</v>
      </c>
      <c r="BOV3">
        <f>SOFR3mo_PX[[#This Row],[Column1764]]</f>
        <v>97.805000000000007</v>
      </c>
      <c r="BOW3">
        <f>SOFR3mo_PX[[#This Row],[Column1765]]</f>
        <v>98.067499999999995</v>
      </c>
      <c r="BOX3">
        <f>SOFR3mo_PX[[#This Row],[Column1766]]</f>
        <v>98.067499999999995</v>
      </c>
      <c r="BOY3">
        <f>SOFR3mo_PX[[#This Row],[Column1767]]</f>
        <v>98.07</v>
      </c>
      <c r="BOZ3">
        <f>SOFR3mo_PX[[#This Row],[Column1768]]</f>
        <v>98.07</v>
      </c>
      <c r="BPA3">
        <f>SOFR3mo_PX[[#This Row],[Column1769]]</f>
        <v>98.072500000000005</v>
      </c>
      <c r="BPB3">
        <f>SOFR3mo_PX[[#This Row],[Column1770]]</f>
        <v>98.072500000000005</v>
      </c>
      <c r="BPC3">
        <f>SOFR3mo_PX[[#This Row],[Column1771]]</f>
        <v>98.072500000000005</v>
      </c>
      <c r="BPD3">
        <f>SOFR3mo_PX[[#This Row],[Column1772]]</f>
        <v>98.072500000000005</v>
      </c>
      <c r="BPE3">
        <f>SOFR3mo_PX[[#This Row],[Column1773]]</f>
        <v>98.075000000000003</v>
      </c>
      <c r="BPF3">
        <f>SOFR3mo_PX[[#This Row],[Column1774]]</f>
        <v>98.075000000000003</v>
      </c>
      <c r="BPG3">
        <f>SOFR3mo_PX[[#This Row],[Column1775]]</f>
        <v>98.072500000000005</v>
      </c>
      <c r="BPH3">
        <f>SOFR3mo_PX[[#This Row],[Column1776]]</f>
        <v>98.077500000000001</v>
      </c>
      <c r="BPI3">
        <f>SOFR3mo_PX[[#This Row],[Column1777]]</f>
        <v>98.077500000000001</v>
      </c>
      <c r="BPJ3">
        <f>SOFR3mo_PX[[#This Row],[Column1778]]</f>
        <v>98.077500000000001</v>
      </c>
      <c r="BPK3">
        <f>SOFR3mo_PX[[#This Row],[Column1779]]</f>
        <v>98.075000000000003</v>
      </c>
      <c r="BPL3">
        <f>SOFR3mo_PX[[#This Row],[Column1780]]</f>
        <v>98.072500000000005</v>
      </c>
      <c r="BPM3">
        <f>SOFR3mo_PX[[#This Row],[Column1781]]</f>
        <v>98.072500000000005</v>
      </c>
      <c r="BPN3">
        <f>SOFR3mo_PX[[#This Row],[Column1782]]</f>
        <v>98.075000000000003</v>
      </c>
      <c r="BPO3">
        <f>SOFR3mo_PX[[#This Row],[Column1783]]</f>
        <v>98.077500000000001</v>
      </c>
      <c r="BPP3">
        <f>SOFR3mo_PX[[#This Row],[Column1784]]</f>
        <v>98.08</v>
      </c>
      <c r="BPQ3">
        <f>SOFR3mo_PX[[#This Row],[Column1785]]</f>
        <v>98.08</v>
      </c>
      <c r="BPR3">
        <f>SOFR3mo_PX[[#This Row],[Column1786]]</f>
        <v>98.082499999999996</v>
      </c>
      <c r="BPS3">
        <f>SOFR3mo_PX[[#This Row],[Column1787]]</f>
        <v>98.082499999999996</v>
      </c>
      <c r="BPT3">
        <f>SOFR3mo_PX[[#This Row],[Column1788]]</f>
        <v>98.08</v>
      </c>
      <c r="BPU3">
        <f>SOFR3mo_PX[[#This Row],[Column1789]]</f>
        <v>98.08</v>
      </c>
      <c r="BPV3">
        <f>SOFR3mo_PX[[#This Row],[Column1790]]</f>
        <v>98.08</v>
      </c>
      <c r="BPW3">
        <f>SOFR3mo_PX[[#This Row],[Column1791]]</f>
        <v>98.08</v>
      </c>
      <c r="BPX3">
        <f>SOFR3mo_PX[[#This Row],[Column1792]]</f>
        <v>98.084999999999994</v>
      </c>
      <c r="BPY3">
        <f>SOFR3mo_PX[[#This Row],[Column1793]]</f>
        <v>98.077500000000001</v>
      </c>
      <c r="BPZ3">
        <f>SOFR3mo_PX[[#This Row],[Column1794]]</f>
        <v>98.08</v>
      </c>
      <c r="BQA3">
        <f>SOFR3mo_PX[[#This Row],[Column1795]]</f>
        <v>98.08</v>
      </c>
      <c r="BQB3">
        <f>SOFR3mo_PX[[#This Row],[Column1796]]</f>
        <v>98.075000000000003</v>
      </c>
      <c r="BQC3">
        <f>SOFR3mo_PX[[#This Row],[Column1797]]</f>
        <v>98.075000000000003</v>
      </c>
      <c r="BQD3">
        <f>SOFR3mo_PX[[#This Row],[Column1798]]</f>
        <v>98.067499999999995</v>
      </c>
      <c r="BQE3">
        <f>SOFR3mo_PX[[#This Row],[Column1799]]</f>
        <v>98.0625</v>
      </c>
      <c r="BQF3">
        <f>SOFR3mo_PX[[#This Row],[Column1800]]</f>
        <v>98.0625</v>
      </c>
      <c r="BQG3">
        <f>SOFR3mo_PX[[#This Row],[Column1801]]</f>
        <v>98.064999999999998</v>
      </c>
      <c r="BQH3">
        <f>SOFR3mo_PX[[#This Row],[Column1802]]</f>
        <v>98.064999999999998</v>
      </c>
      <c r="BQI3">
        <f>SOFR3mo_PX[[#This Row],[Column1803]]</f>
        <v>98.06</v>
      </c>
      <c r="BQJ3">
        <f>SOFR3mo_PX[[#This Row],[Column1804]]</f>
        <v>98.057500000000005</v>
      </c>
      <c r="BQK3">
        <f>SOFR3mo_PX[[#This Row],[Column1805]]</f>
        <v>98.057500000000005</v>
      </c>
      <c r="BQL3">
        <f>SOFR3mo_PX[[#This Row],[Column1806]]</f>
        <v>98.067499999999995</v>
      </c>
      <c r="BQM3">
        <f>SOFR3mo_PX[[#This Row],[Column1807]]</f>
        <v>98.067499999999995</v>
      </c>
      <c r="BQN3">
        <f>SOFR3mo_PX[[#This Row],[Column1808]]</f>
        <v>98.067499999999995</v>
      </c>
      <c r="BQO3">
        <f>SOFR3mo_PX[[#This Row],[Column1809]]</f>
        <v>98.067499999999995</v>
      </c>
      <c r="BQP3">
        <f>SOFR3mo_PX[[#This Row],[Column1810]]</f>
        <v>98.064999999999998</v>
      </c>
      <c r="BQQ3">
        <f>SOFR3mo_PX[[#This Row],[Column1811]]</f>
        <v>98.06</v>
      </c>
      <c r="BQR3">
        <f>SOFR3mo_PX[[#This Row],[Column1812]]</f>
        <v>98.05</v>
      </c>
      <c r="BQS3">
        <f>SOFR3mo_PX[[#This Row],[Column1813]]</f>
        <v>98.05</v>
      </c>
      <c r="BQT3">
        <f>SOFR3mo_PX[[#This Row],[Column1814]]</f>
        <v>98.055000000000007</v>
      </c>
      <c r="BQU3">
        <f>SOFR3mo_PX[[#This Row],[Column1815]]</f>
        <v>98.06</v>
      </c>
      <c r="BQV3">
        <f>SOFR3mo_PX[[#This Row],[Column1816]]</f>
        <v>98.064999999999998</v>
      </c>
      <c r="BQW3">
        <f>SOFR3mo_PX[[#This Row],[Column1817]]</f>
        <v>98.07</v>
      </c>
      <c r="BQX3">
        <f>SOFR3mo_PX[[#This Row],[Column1818]]</f>
        <v>98.07</v>
      </c>
      <c r="BQY3">
        <f>SOFR3mo_PX[[#This Row],[Column1819]]</f>
        <v>98.08</v>
      </c>
      <c r="BQZ3">
        <f>SOFR3mo_PX[[#This Row],[Column1820]]</f>
        <v>98.08</v>
      </c>
      <c r="BRA3">
        <f>SOFR3mo_PX[[#This Row],[Column1821]]</f>
        <v>98.075000000000003</v>
      </c>
      <c r="BRB3">
        <f>SOFR3mo_PX[[#This Row],[Column1822]]</f>
        <v>98.08</v>
      </c>
      <c r="BRC3">
        <f>SOFR3mo_PX[[#This Row],[Column1823]]</f>
        <v>98.08</v>
      </c>
      <c r="BRD3">
        <f>SOFR3mo_PX[[#This Row],[Column1824]]</f>
        <v>98.075000000000003</v>
      </c>
      <c r="BRE3">
        <f>SOFR3mo_PX[[#This Row],[Column1825]]</f>
        <v>98.08</v>
      </c>
      <c r="BRF3">
        <f>SOFR3mo_PX[[#This Row],[Column1826]]</f>
        <v>98.07</v>
      </c>
      <c r="BRG3">
        <f>SOFR3mo_PX[[#This Row],[Column1827]]</f>
        <v>98.064999999999998</v>
      </c>
      <c r="BRH3">
        <f>SOFR3mo_PX[[#This Row],[Column1828]]</f>
        <v>98.064999999999998</v>
      </c>
      <c r="BRI3">
        <f>SOFR3mo_PX[[#This Row],[Column1829]]</f>
        <v>98.057500000000005</v>
      </c>
      <c r="BRJ3">
        <f>SOFR3mo_PX[[#This Row],[Column1830]]</f>
        <v>98.075000000000003</v>
      </c>
      <c r="BRK3">
        <f>SOFR3mo_PX[[#This Row],[Column1831]]</f>
        <v>98.07</v>
      </c>
      <c r="BRL3">
        <f>SOFR3mo_PX[[#This Row],[Column1832]]</f>
        <v>98.064999999999998</v>
      </c>
      <c r="BRM3">
        <f>SOFR3mo_PX[[#This Row],[Column1833]]</f>
        <v>98.05</v>
      </c>
      <c r="BRN3">
        <f>SOFR3mo_PX[[#This Row],[Column1834]]</f>
        <v>98.03</v>
      </c>
      <c r="BRO3">
        <f>SOFR3mo_PX[[#This Row],[Column1835]]</f>
        <v>98.032499999999999</v>
      </c>
      <c r="BRP3">
        <f>SOFR3mo_PX[[#This Row],[Column1836]]</f>
        <v>98.03</v>
      </c>
      <c r="BRQ3">
        <f>SOFR3mo_PX[[#This Row],[Column1837]]</f>
        <v>98.03</v>
      </c>
      <c r="BRR3">
        <f>SOFR3mo_PX[[#This Row],[Column1838]]</f>
        <v>98.01</v>
      </c>
      <c r="BRS3">
        <f>SOFR3mo_PX[[#This Row],[Column1839]]</f>
        <v>98.007499999999993</v>
      </c>
      <c r="BRT3">
        <f>SOFR3mo_PX[[#This Row],[Column1840]]</f>
        <v>98.015000000000001</v>
      </c>
      <c r="BRU3">
        <f>SOFR3mo_PX[[#This Row],[Column1841]]</f>
        <v>98.01</v>
      </c>
      <c r="BRV3">
        <f>SOFR3mo_PX[[#This Row],[Column1842]]</f>
        <v>98.032499999999999</v>
      </c>
      <c r="BRW3">
        <f>SOFR3mo_PX[[#This Row],[Column1843]]</f>
        <v>98.047499999999999</v>
      </c>
      <c r="BRX3">
        <f>SOFR3mo_PX[[#This Row],[Column1844]]</f>
        <v>98.0625</v>
      </c>
      <c r="BRY3">
        <f>SOFR3mo_PX[[#This Row],[Column1845]]</f>
        <v>98.075000000000003</v>
      </c>
      <c r="BRZ3">
        <f>SOFR3mo_PX[[#This Row],[Column1846]]</f>
        <v>98.04</v>
      </c>
      <c r="BSA3">
        <f>SOFR3mo_PX[[#This Row],[Column1847]]</f>
        <v>98.04</v>
      </c>
      <c r="BSB3">
        <f>SOFR3mo_PX[[#This Row],[Column1848]]</f>
        <v>98.034999999999997</v>
      </c>
      <c r="BSC3">
        <f>SOFR3mo_PX[[#This Row],[Column1849]]</f>
        <v>98.034999999999997</v>
      </c>
      <c r="BSD3">
        <f>SOFR3mo_PX[[#This Row],[Column1850]]</f>
        <v>98</v>
      </c>
      <c r="BSE3">
        <f>SOFR3mo_PX[[#This Row],[Column1851]]</f>
        <v>97.99</v>
      </c>
      <c r="BSF3">
        <f>SOFR3mo_PX[[#This Row],[Column1852]]</f>
        <v>98</v>
      </c>
      <c r="BSG3">
        <f>SOFR3mo_PX[[#This Row],[Column1853]]</f>
        <v>97.997500000000002</v>
      </c>
      <c r="BSH3">
        <f>SOFR3mo_PX[[#This Row],[Column1854]]</f>
        <v>98</v>
      </c>
      <c r="BSI3">
        <f>SOFR3mo_PX[[#This Row],[Column1855]]</f>
        <v>98.004999999999995</v>
      </c>
      <c r="BSJ3">
        <f>SOFR3mo_PX[[#This Row],[Column1856]]</f>
        <v>98.015000000000001</v>
      </c>
      <c r="BSK3">
        <f>SOFR3mo_PX[[#This Row],[Column1857]]</f>
        <v>98.004999999999995</v>
      </c>
      <c r="BSL3">
        <f>SOFR3mo_PX[[#This Row],[Column1858]]</f>
        <v>98.01</v>
      </c>
      <c r="BSM3">
        <f>SOFR3mo_PX[[#This Row],[Column1859]]</f>
        <v>98.02</v>
      </c>
      <c r="BSN3">
        <f>SOFR3mo_PX[[#This Row],[Column1860]]</f>
        <v>98.02</v>
      </c>
      <c r="BSO3">
        <f>SOFR3mo_PX[[#This Row],[Column1861]]</f>
        <v>98.025000000000006</v>
      </c>
      <c r="BSP3">
        <f>SOFR3mo_PX[[#This Row],[Column1862]]</f>
        <v>97.91</v>
      </c>
      <c r="BSQ3" t="str">
        <f>SOFR3mo_PX[[#This Row],[Column1863]]</f>
        <v>#N/A N/A</v>
      </c>
      <c r="BSR3" t="str">
        <f>SOFR3mo_PX[[#This Row],[Column1864]]</f>
        <v>#N/A N/A</v>
      </c>
      <c r="BSS3" t="str">
        <f>SOFR3mo_PX[[#This Row],[Column1865]]</f>
        <v>#N/A N/A</v>
      </c>
      <c r="BST3" t="str">
        <f>SOFR3mo_PX[[#This Row],[Column1866]]</f>
        <v>#N/A N/A</v>
      </c>
      <c r="BSU3" t="str">
        <f>SOFR3mo_PX[[#This Row],[Column1867]]</f>
        <v>#N/A N/A</v>
      </c>
      <c r="BSV3" t="str">
        <f>SOFR3mo_PX[[#This Row],[Column1868]]</f>
        <v>#N/A N/A</v>
      </c>
      <c r="BSW3" t="str">
        <f>SOFR3mo_PX[[#This Row],[Column1869]]</f>
        <v>#N/A N/A</v>
      </c>
      <c r="BSX3" t="str">
        <f>SOFR3mo_PX[[#This Row],[Column1870]]</f>
        <v>#N/A N/A</v>
      </c>
      <c r="BSY3" t="str">
        <f>SOFR3mo_PX[[#This Row],[Column1871]]</f>
        <v>#N/A N/A</v>
      </c>
      <c r="BSZ3" t="str">
        <f>SOFR3mo_PX[[#This Row],[Column1872]]</f>
        <v>#N/A N/A</v>
      </c>
      <c r="BTA3" t="str">
        <f>SOFR3mo_PX[[#This Row],[Column1873]]</f>
        <v>#N/A N/A</v>
      </c>
      <c r="BTB3" t="str">
        <f>SOFR3mo_PX[[#This Row],[Column1874]]</f>
        <v>#N/A N/A</v>
      </c>
      <c r="BTC3" t="str">
        <f>SOFR3mo_PX[[#This Row],[Column1875]]</f>
        <v>#N/A N/A</v>
      </c>
      <c r="BTD3" t="str">
        <f>SOFR3mo_PX[[#This Row],[Column1876]]</f>
        <v>#N/A N/A</v>
      </c>
      <c r="BTE3" t="str">
        <f>SOFR3mo_PX[[#This Row],[Column1877]]</f>
        <v>#N/A N/A</v>
      </c>
      <c r="BTF3" t="str">
        <f>SOFR3mo_PX[[#This Row],[Column1878]]</f>
        <v>#N/A N/A</v>
      </c>
      <c r="BTG3" t="str">
        <f>SOFR3mo_PX[[#This Row],[Column1879]]</f>
        <v>#N/A N/A</v>
      </c>
      <c r="BTH3" t="str">
        <f>SOFR3mo_PX[[#This Row],[Column1880]]</f>
        <v>#N/A N/A</v>
      </c>
      <c r="BTI3" t="str">
        <f>SOFR3mo_PX[[#This Row],[Column1881]]</f>
        <v>#N/A N/A</v>
      </c>
      <c r="BTJ3" t="str">
        <f>SOFR3mo_PX[[#This Row],[Column1882]]</f>
        <v>#N/A N/A</v>
      </c>
      <c r="BTK3" t="str">
        <f>SOFR3mo_PX[[#This Row],[Column1883]]</f>
        <v>#N/A N/A</v>
      </c>
      <c r="BTL3" t="str">
        <f>SOFR3mo_PX[[#This Row],[Column1884]]</f>
        <v>#N/A N/A</v>
      </c>
      <c r="BTM3" t="str">
        <f>SOFR3mo_PX[[#This Row],[Column1885]]</f>
        <v>#N/A N/A</v>
      </c>
      <c r="BTN3" t="str">
        <f>SOFR3mo_PX[[#This Row],[Column1886]]</f>
        <v>#N/A N/A</v>
      </c>
      <c r="BTO3" t="str">
        <f>SOFR3mo_PX[[#This Row],[Column1887]]</f>
        <v>#N/A N/A</v>
      </c>
      <c r="BTP3" t="str">
        <f>SOFR3mo_PX[[#This Row],[Column1888]]</f>
        <v>#N/A N/A</v>
      </c>
      <c r="BTQ3" t="str">
        <f>SOFR3mo_PX[[#This Row],[Column1889]]</f>
        <v>#N/A N/A</v>
      </c>
      <c r="BTR3" t="str">
        <f>SOFR3mo_PX[[#This Row],[Column1890]]</f>
        <v>#N/A N/A</v>
      </c>
      <c r="BTS3" t="str">
        <f>SOFR3mo_PX[[#This Row],[Column1891]]</f>
        <v>#N/A N/A</v>
      </c>
      <c r="BTT3" t="str">
        <f>SOFR3mo_PX[[#This Row],[Column1892]]</f>
        <v>#N/A N/A</v>
      </c>
      <c r="BTU3" t="str">
        <f>SOFR3mo_PX[[#This Row],[Column1893]]</f>
        <v>#N/A N/A</v>
      </c>
      <c r="BTV3" t="str">
        <f>SOFR3mo_PX[[#This Row],[Column1894]]</f>
        <v>#N/A N/A</v>
      </c>
      <c r="BTW3" t="str">
        <f>SOFR3mo_PX[[#This Row],[Column1895]]</f>
        <v>#N/A N/A</v>
      </c>
      <c r="BTX3" t="str">
        <f>SOFR3mo_PX[[#This Row],[Column1896]]</f>
        <v>#N/A N/A</v>
      </c>
      <c r="BTY3" t="str">
        <f>SOFR3mo_PX[[#This Row],[Column1897]]</f>
        <v>#N/A N/A</v>
      </c>
      <c r="BTZ3" t="str">
        <f>SOFR3mo_PX[[#This Row],[Column1898]]</f>
        <v>#N/A N/A</v>
      </c>
      <c r="BUA3" t="str">
        <f>SOFR3mo_PX[[#This Row],[Column1899]]</f>
        <v>#N/A N/A</v>
      </c>
      <c r="BUB3" t="str">
        <f>SOFR3mo_PX[[#This Row],[Column1900]]</f>
        <v>#N/A N/A</v>
      </c>
      <c r="BUC3" t="str">
        <f>SOFR3mo_PX[[#This Row],[Column1901]]</f>
        <v>#N/A N/A</v>
      </c>
      <c r="BUD3" t="str">
        <f>SOFR3mo_PX[[#This Row],[Column1902]]</f>
        <v>#N/A N/A</v>
      </c>
      <c r="BUE3" t="str">
        <f>SOFR3mo_PX[[#This Row],[Column1903]]</f>
        <v>#N/A N/A</v>
      </c>
      <c r="BUF3" t="str">
        <f>SOFR3mo_PX[[#This Row],[Column1904]]</f>
        <v>#N/A N/A</v>
      </c>
      <c r="BUG3" t="str">
        <f>SOFR3mo_PX[[#This Row],[Column1905]]</f>
        <v>#N/A N/A</v>
      </c>
      <c r="BUH3" t="str">
        <f>SOFR3mo_PX[[#This Row],[Column1906]]</f>
        <v>#N/A N/A</v>
      </c>
      <c r="BUI3" t="str">
        <f>SOFR3mo_PX[[#This Row],[Column1907]]</f>
        <v>#N/A N/A</v>
      </c>
      <c r="BUJ3" t="str">
        <f>SOFR3mo_PX[[#This Row],[Column1908]]</f>
        <v>#N/A N/A</v>
      </c>
      <c r="BUK3" t="str">
        <f>SOFR3mo_PX[[#This Row],[Column1909]]</f>
        <v>#N/A N/A</v>
      </c>
      <c r="BUL3" t="str">
        <f>SOFR3mo_PX[[#This Row],[Column1910]]</f>
        <v>#N/A N/A</v>
      </c>
      <c r="BUM3" t="str">
        <f>SOFR3mo_PX[[#This Row],[Column1911]]</f>
        <v>#N/A N/A</v>
      </c>
      <c r="BUN3" t="str">
        <f>SOFR3mo_PX[[#This Row],[Column1912]]</f>
        <v>#N/A N/A</v>
      </c>
      <c r="BUO3" t="str">
        <f>SOFR3mo_PX[[#This Row],[Column1913]]</f>
        <v>#N/A N/A</v>
      </c>
      <c r="BUP3" t="str">
        <f>SOFR3mo_PX[[#This Row],[Column1914]]</f>
        <v>#N/A N/A</v>
      </c>
      <c r="BUQ3" t="str">
        <f>SOFR3mo_PX[[#This Row],[Column1915]]</f>
        <v>#N/A N/A</v>
      </c>
      <c r="BUR3" t="str">
        <f>SOFR3mo_PX[[#This Row],[Column1916]]</f>
        <v>#N/A N/A</v>
      </c>
      <c r="BUS3" t="str">
        <f>SOFR3mo_PX[[#This Row],[Column1917]]</f>
        <v>#N/A N/A</v>
      </c>
      <c r="BUT3" t="str">
        <f>SOFR3mo_PX[[#This Row],[Column1918]]</f>
        <v>#N/A N/A</v>
      </c>
      <c r="BUU3" t="str">
        <f>SOFR3mo_PX[[#This Row],[Column1919]]</f>
        <v>#N/A N/A</v>
      </c>
      <c r="BUV3" t="str">
        <f>SOFR3mo_PX[[#This Row],[Column1920]]</f>
        <v>#N/A N/A</v>
      </c>
      <c r="BUW3" t="str">
        <f>SOFR3mo_PX[[#This Row],[Column1921]]</f>
        <v>#N/A N/A</v>
      </c>
      <c r="BUX3" t="str">
        <f>SOFR3mo_PX[[#This Row],[Column1922]]</f>
        <v>#N/A N/A</v>
      </c>
      <c r="BUY3" t="str">
        <f>SOFR3mo_PX[[#This Row],[Column1923]]</f>
        <v>#N/A N/A</v>
      </c>
      <c r="BUZ3" t="str">
        <f>SOFR3mo_PX[[#This Row],[Column1924]]</f>
        <v>#N/A N/A</v>
      </c>
      <c r="BVA3" t="str">
        <f>SOFR3mo_PX[[#This Row],[Column1925]]</f>
        <v>#N/A N/A</v>
      </c>
      <c r="BVB3" t="str">
        <f>SOFR3mo_PX[[#This Row],[Column1926]]</f>
        <v>#N/A N/A</v>
      </c>
      <c r="BVC3" t="str">
        <f>SOFR3mo_PX[[#This Row],[Column1927]]</f>
        <v>#N/A N/A</v>
      </c>
      <c r="BVD3" t="str">
        <f>SOFR3mo_PX[[#This Row],[Column1928]]</f>
        <v>#N/A N/A</v>
      </c>
      <c r="BVE3" t="str">
        <f>SOFR3mo_PX[[#This Row],[Column1929]]</f>
        <v>#N/A N/A</v>
      </c>
      <c r="BVF3" t="str">
        <f>SOFR3mo_PX[[#This Row],[Column1930]]</f>
        <v>#N/A N/A</v>
      </c>
      <c r="BVG3" t="str">
        <f>SOFR3mo_PX[[#This Row],[Column1931]]</f>
        <v>#N/A N/A</v>
      </c>
      <c r="BVH3" t="str">
        <f>SOFR3mo_PX[[#This Row],[Column1932]]</f>
        <v>#N/A N/A</v>
      </c>
      <c r="BVI3" t="str">
        <f>SOFR3mo_PX[[#This Row],[Column1933]]</f>
        <v>#N/A N/A</v>
      </c>
      <c r="BVJ3" t="str">
        <f>SOFR3mo_PX[[#This Row],[Column1934]]</f>
        <v>#N/A N/A</v>
      </c>
      <c r="BVK3" t="str">
        <f>SOFR3mo_PX[[#This Row],[Column1935]]</f>
        <v>#N/A N/A</v>
      </c>
      <c r="BVL3" t="str">
        <f>SOFR3mo_PX[[#This Row],[Column1936]]</f>
        <v>#N/A N/A</v>
      </c>
      <c r="BVM3" t="str">
        <f>SOFR3mo_PX[[#This Row],[Column1937]]</f>
        <v>#N/A N/A</v>
      </c>
      <c r="BVN3" t="str">
        <f>SOFR3mo_PX[[#This Row],[Column1938]]</f>
        <v>#N/A N/A</v>
      </c>
      <c r="BVO3" t="str">
        <f>SOFR3mo_PX[[#This Row],[Column1939]]</f>
        <v>#N/A N/A</v>
      </c>
      <c r="BVP3" t="str">
        <f>SOFR3mo_PX[[#This Row],[Column1940]]</f>
        <v>#N/A N/A</v>
      </c>
      <c r="BVQ3" t="str">
        <f>SOFR3mo_PX[[#This Row],[Column1941]]</f>
        <v>#N/A N/A</v>
      </c>
      <c r="BVR3" t="str">
        <f>SOFR3mo_PX[[#This Row],[Column1942]]</f>
        <v>#N/A N/A</v>
      </c>
      <c r="BVS3" t="str">
        <f>SOFR3mo_PX[[#This Row],[Column1943]]</f>
        <v>#N/A N/A</v>
      </c>
      <c r="BVT3" t="str">
        <f>SOFR3mo_PX[[#This Row],[Column1944]]</f>
        <v>#N/A N/A</v>
      </c>
      <c r="BVU3" t="str">
        <f>SOFR3mo_PX[[#This Row],[Column1945]]</f>
        <v>#N/A N/A</v>
      </c>
      <c r="BVV3" t="str">
        <f>SOFR3mo_PX[[#This Row],[Column1946]]</f>
        <v>#N/A N/A</v>
      </c>
      <c r="BVW3" t="str">
        <f>SOFR3mo_PX[[#This Row],[Column1947]]</f>
        <v>#N/A N/A</v>
      </c>
      <c r="BVX3" t="str">
        <f>SOFR3mo_PX[[#This Row],[Column1948]]</f>
        <v>#N/A N/A</v>
      </c>
      <c r="BVY3" t="str">
        <f>SOFR3mo_PX[[#This Row],[Column1949]]</f>
        <v>#N/A N/A</v>
      </c>
      <c r="BVZ3" t="str">
        <f>SOFR3mo_PX[[#This Row],[Column1950]]</f>
        <v>#N/A N/A</v>
      </c>
      <c r="BWA3" t="str">
        <f>SOFR3mo_PX[[#This Row],[Column1951]]</f>
        <v>#N/A N/A</v>
      </c>
      <c r="BWB3" t="str">
        <f>SOFR3mo_PX[[#This Row],[Column1952]]</f>
        <v>#N/A N/A</v>
      </c>
      <c r="BWC3" t="str">
        <f>SOFR3mo_PX[[#This Row],[Column1953]]</f>
        <v>#N/A N/A</v>
      </c>
      <c r="BWD3" t="str">
        <f>SOFR3mo_PX[[#This Row],[Column1954]]</f>
        <v>#N/A N/A</v>
      </c>
    </row>
    <row r="4" spans="1:1954" x14ac:dyDescent="0.25">
      <c r="A4" t="str">
        <f>SOFR3mo_PX[[#This Row],[Column1]]</f>
        <v>SFR2 Comdty</v>
      </c>
      <c r="B4">
        <f>IF(rtd!B2&lt;&gt;"",rtd!B2,SOFR3mo_PX[[#This Row],[Column2]])</f>
        <v>95.892499999999998</v>
      </c>
      <c r="C4">
        <f>SOFR3mo_PX[[#This Row],[Column3]]</f>
        <v>95.86</v>
      </c>
      <c r="D4">
        <f>SOFR3mo_PX[[#This Row],[Column4]]</f>
        <v>95.86</v>
      </c>
      <c r="E4">
        <f>SOFR3mo_PX[[#This Row],[Column5]]</f>
        <v>95.67</v>
      </c>
      <c r="F4">
        <f>SOFR3mo_PX[[#This Row],[Column6]]</f>
        <v>95.67</v>
      </c>
      <c r="G4">
        <f>SOFR3mo_PX[[#This Row],[Column7]]</f>
        <v>95.6875</v>
      </c>
      <c r="H4">
        <f>SOFR3mo_PX[[#This Row],[Column8]]</f>
        <v>95.69</v>
      </c>
      <c r="I4">
        <f>SOFR3mo_PX[[#This Row],[Column9]]</f>
        <v>95.6875</v>
      </c>
      <c r="J4">
        <f>SOFR3mo_PX[[#This Row],[Column10]]</f>
        <v>95.677499999999995</v>
      </c>
      <c r="K4">
        <f>SOFR3mo_PX[[#This Row],[Column11]]</f>
        <v>95.677499999999995</v>
      </c>
      <c r="L4">
        <f>SOFR3mo_PX[[#This Row],[Column12]]</f>
        <v>95.677499999999995</v>
      </c>
      <c r="M4">
        <f>SOFR3mo_PX[[#This Row],[Column13]]</f>
        <v>95.692499999999995</v>
      </c>
      <c r="N4">
        <f>SOFR3mo_PX[[#This Row],[Column14]]</f>
        <v>95.692499999999995</v>
      </c>
      <c r="O4">
        <f>SOFR3mo_PX[[#This Row],[Column15]]</f>
        <v>95.6875</v>
      </c>
      <c r="P4">
        <f>SOFR3mo_PX[[#This Row],[Column16]]</f>
        <v>95.6875</v>
      </c>
      <c r="Q4">
        <f>SOFR3mo_PX[[#This Row],[Column17]]</f>
        <v>95.6875</v>
      </c>
      <c r="R4">
        <f>SOFR3mo_PX[[#This Row],[Column18]]</f>
        <v>95.6875</v>
      </c>
      <c r="S4">
        <f>SOFR3mo_PX[[#This Row],[Column19]]</f>
        <v>95.68</v>
      </c>
      <c r="T4">
        <f>SOFR3mo_PX[[#This Row],[Column20]]</f>
        <v>95.68</v>
      </c>
      <c r="U4">
        <f>SOFR3mo_PX[[#This Row],[Column21]]</f>
        <v>95.68</v>
      </c>
      <c r="V4">
        <f>SOFR3mo_PX[[#This Row],[Column22]]</f>
        <v>95.68</v>
      </c>
      <c r="W4">
        <f>SOFR3mo_PX[[#This Row],[Column23]]</f>
        <v>95.682500000000005</v>
      </c>
      <c r="X4">
        <f>SOFR3mo_PX[[#This Row],[Column24]]</f>
        <v>95.682500000000005</v>
      </c>
      <c r="Y4">
        <f>SOFR3mo_PX[[#This Row],[Column25]]</f>
        <v>95.685000000000002</v>
      </c>
      <c r="Z4">
        <f>SOFR3mo_PX[[#This Row],[Column26]]</f>
        <v>95.692499999999995</v>
      </c>
      <c r="AA4">
        <f>SOFR3mo_PX[[#This Row],[Column27]]</f>
        <v>95.694999999999993</v>
      </c>
      <c r="AB4">
        <f>SOFR3mo_PX[[#This Row],[Column28]]</f>
        <v>95.704999999999998</v>
      </c>
      <c r="AC4">
        <f>SOFR3mo_PX[[#This Row],[Column29]]</f>
        <v>95.7</v>
      </c>
      <c r="AD4">
        <f>SOFR3mo_PX[[#This Row],[Column30]]</f>
        <v>95.7</v>
      </c>
      <c r="AE4">
        <f>SOFR3mo_PX[[#This Row],[Column31]]</f>
        <v>95.704999999999998</v>
      </c>
      <c r="AF4">
        <f>SOFR3mo_PX[[#This Row],[Column32]]</f>
        <v>95.745000000000005</v>
      </c>
      <c r="AG4">
        <f>SOFR3mo_PX[[#This Row],[Column33]]</f>
        <v>95.745000000000005</v>
      </c>
      <c r="AH4">
        <f>SOFR3mo_PX[[#This Row],[Column34]]</f>
        <v>95.76</v>
      </c>
      <c r="AI4">
        <f>SOFR3mo_PX[[#This Row],[Column35]]</f>
        <v>95.795000000000002</v>
      </c>
      <c r="AJ4">
        <f>SOFR3mo_PX[[#This Row],[Column36]]</f>
        <v>95.78</v>
      </c>
      <c r="AK4">
        <f>SOFR3mo_PX[[#This Row],[Column37]]</f>
        <v>95.8</v>
      </c>
      <c r="AL4">
        <f>SOFR3mo_PX[[#This Row],[Column38]]</f>
        <v>95.885000000000005</v>
      </c>
      <c r="AM4">
        <f>SOFR3mo_PX[[#This Row],[Column39]]</f>
        <v>95.915000000000006</v>
      </c>
      <c r="AN4">
        <f>SOFR3mo_PX[[#This Row],[Column40]]</f>
        <v>95.905000000000001</v>
      </c>
      <c r="AO4">
        <f>SOFR3mo_PX[[#This Row],[Column41]]</f>
        <v>95.894999999999996</v>
      </c>
      <c r="AP4">
        <f>SOFR3mo_PX[[#This Row],[Column42]]</f>
        <v>95.885000000000005</v>
      </c>
      <c r="AQ4">
        <f>SOFR3mo_PX[[#This Row],[Column43]]</f>
        <v>95.875</v>
      </c>
      <c r="AR4">
        <f>SOFR3mo_PX[[#This Row],[Column44]]</f>
        <v>95.86</v>
      </c>
      <c r="AS4">
        <f>SOFR3mo_PX[[#This Row],[Column45]]</f>
        <v>95.905000000000001</v>
      </c>
      <c r="AT4">
        <f>SOFR3mo_PX[[#This Row],[Column46]]</f>
        <v>95.94</v>
      </c>
      <c r="AU4">
        <f>SOFR3mo_PX[[#This Row],[Column47]]</f>
        <v>95.905000000000001</v>
      </c>
      <c r="AV4">
        <f>SOFR3mo_PX[[#This Row],[Column48]]</f>
        <v>95.905000000000001</v>
      </c>
      <c r="AW4">
        <f>SOFR3mo_PX[[#This Row],[Column49]]</f>
        <v>95.924999999999997</v>
      </c>
      <c r="AX4">
        <f>SOFR3mo_PX[[#This Row],[Column50]]</f>
        <v>95.924999999999997</v>
      </c>
      <c r="AY4">
        <f>SOFR3mo_PX[[#This Row],[Column51]]</f>
        <v>95.935000000000002</v>
      </c>
      <c r="AZ4">
        <f>SOFR3mo_PX[[#This Row],[Column52]]</f>
        <v>95.94</v>
      </c>
      <c r="BA4">
        <f>SOFR3mo_PX[[#This Row],[Column53]]</f>
        <v>95.995000000000005</v>
      </c>
      <c r="BB4">
        <f>SOFR3mo_PX[[#This Row],[Column54]]</f>
        <v>95.915000000000006</v>
      </c>
      <c r="BC4">
        <f>SOFR3mo_PX[[#This Row],[Column55]]</f>
        <v>96.125</v>
      </c>
      <c r="BD4">
        <f>SOFR3mo_PX[[#This Row],[Column56]]</f>
        <v>96.084999999999994</v>
      </c>
      <c r="BE4">
        <f>SOFR3mo_PX[[#This Row],[Column57]]</f>
        <v>96.075000000000003</v>
      </c>
      <c r="BF4">
        <f>SOFR3mo_PX[[#This Row],[Column58]]</f>
        <v>95.97</v>
      </c>
      <c r="BG4">
        <f>SOFR3mo_PX[[#This Row],[Column59]]</f>
        <v>95.894999999999996</v>
      </c>
      <c r="BH4">
        <f>SOFR3mo_PX[[#This Row],[Column60]]</f>
        <v>95.94</v>
      </c>
      <c r="BI4">
        <f>SOFR3mo_PX[[#This Row],[Column61]]</f>
        <v>95.92</v>
      </c>
      <c r="BJ4">
        <f>SOFR3mo_PX[[#This Row],[Column62]]</f>
        <v>95.935000000000002</v>
      </c>
      <c r="BK4">
        <f>SOFR3mo_PX[[#This Row],[Column63]]</f>
        <v>95.87</v>
      </c>
      <c r="BL4">
        <f>SOFR3mo_PX[[#This Row],[Column64]]</f>
        <v>95.88</v>
      </c>
      <c r="BM4">
        <f>SOFR3mo_PX[[#This Row],[Column65]]</f>
        <v>95.88</v>
      </c>
      <c r="BN4">
        <f>SOFR3mo_PX[[#This Row],[Column66]]</f>
        <v>95.875</v>
      </c>
      <c r="BO4">
        <f>SOFR3mo_PX[[#This Row],[Column67]]</f>
        <v>95.924999999999997</v>
      </c>
      <c r="BP4">
        <f>SOFR3mo_PX[[#This Row],[Column68]]</f>
        <v>95.905000000000001</v>
      </c>
      <c r="BQ4">
        <f>SOFR3mo_PX[[#This Row],[Column69]]</f>
        <v>95.88</v>
      </c>
      <c r="BR4">
        <f>SOFR3mo_PX[[#This Row],[Column70]]</f>
        <v>95.682500000000005</v>
      </c>
      <c r="BS4">
        <f>SOFR3mo_PX[[#This Row],[Column71]]</f>
        <v>95.6875</v>
      </c>
      <c r="BT4">
        <f>SOFR3mo_PX[[#This Row],[Column72]]</f>
        <v>95.7</v>
      </c>
      <c r="BU4">
        <f>SOFR3mo_PX[[#This Row],[Column73]]</f>
        <v>95.707499999999996</v>
      </c>
      <c r="BV4">
        <f>SOFR3mo_PX[[#This Row],[Column74]]</f>
        <v>95.7</v>
      </c>
      <c r="BW4">
        <f>SOFR3mo_PX[[#This Row],[Column75]]</f>
        <v>95.71</v>
      </c>
      <c r="BX4">
        <f>SOFR3mo_PX[[#This Row],[Column76]]</f>
        <v>95.72</v>
      </c>
      <c r="BY4">
        <f>SOFR3mo_PX[[#This Row],[Column77]]</f>
        <v>95.704999999999998</v>
      </c>
      <c r="BZ4">
        <f>SOFR3mo_PX[[#This Row],[Column78]]</f>
        <v>95.73</v>
      </c>
      <c r="CA4">
        <f>SOFR3mo_PX[[#This Row],[Column79]]</f>
        <v>95.712500000000006</v>
      </c>
      <c r="CB4">
        <f>SOFR3mo_PX[[#This Row],[Column80]]</f>
        <v>95.722499999999997</v>
      </c>
      <c r="CC4">
        <f>SOFR3mo_PX[[#This Row],[Column81]]</f>
        <v>95.72</v>
      </c>
      <c r="CD4">
        <f>SOFR3mo_PX[[#This Row],[Column82]]</f>
        <v>95.712500000000006</v>
      </c>
      <c r="CE4">
        <f>SOFR3mo_PX[[#This Row],[Column83]]</f>
        <v>95.697500000000005</v>
      </c>
      <c r="CF4">
        <f>SOFR3mo_PX[[#This Row],[Column84]]</f>
        <v>95.702500000000001</v>
      </c>
      <c r="CG4">
        <f>SOFR3mo_PX[[#This Row],[Column85]]</f>
        <v>95.704999999999998</v>
      </c>
      <c r="CH4">
        <f>SOFR3mo_PX[[#This Row],[Column86]]</f>
        <v>95.702500000000001</v>
      </c>
      <c r="CI4">
        <f>SOFR3mo_PX[[#This Row],[Column87]]</f>
        <v>95.707499999999996</v>
      </c>
      <c r="CJ4">
        <f>SOFR3mo_PX[[#This Row],[Column88]]</f>
        <v>95.692499999999995</v>
      </c>
      <c r="CK4">
        <f>SOFR3mo_PX[[#This Row],[Column89]]</f>
        <v>95.682500000000005</v>
      </c>
      <c r="CL4">
        <f>SOFR3mo_PX[[#This Row],[Column90]]</f>
        <v>95.68</v>
      </c>
      <c r="CM4">
        <f>SOFR3mo_PX[[#This Row],[Column91]]</f>
        <v>95.692499999999995</v>
      </c>
      <c r="CN4">
        <f>SOFR3mo_PX[[#This Row],[Column92]]</f>
        <v>95.692499999999995</v>
      </c>
      <c r="CO4">
        <f>SOFR3mo_PX[[#This Row],[Column93]]</f>
        <v>95.69</v>
      </c>
      <c r="CP4">
        <f>SOFR3mo_PX[[#This Row],[Column94]]</f>
        <v>95.685000000000002</v>
      </c>
      <c r="CQ4">
        <f>SOFR3mo_PX[[#This Row],[Column95]]</f>
        <v>95.704999999999998</v>
      </c>
      <c r="CR4">
        <f>SOFR3mo_PX[[#This Row],[Column96]]</f>
        <v>95.71</v>
      </c>
      <c r="CS4">
        <f>SOFR3mo_PX[[#This Row],[Column97]]</f>
        <v>95.72</v>
      </c>
      <c r="CT4">
        <f>SOFR3mo_PX[[#This Row],[Column98]]</f>
        <v>95.74</v>
      </c>
      <c r="CU4">
        <f>SOFR3mo_PX[[#This Row],[Column99]]</f>
        <v>95.745000000000005</v>
      </c>
      <c r="CV4">
        <f>SOFR3mo_PX[[#This Row],[Column100]]</f>
        <v>95.745000000000005</v>
      </c>
      <c r="CW4">
        <f>SOFR3mo_PX[[#This Row],[Column101]]</f>
        <v>95.734999999999999</v>
      </c>
      <c r="CX4">
        <f>SOFR3mo_PX[[#This Row],[Column102]]</f>
        <v>95.75</v>
      </c>
      <c r="CY4">
        <f>SOFR3mo_PX[[#This Row],[Column103]]</f>
        <v>95.754999999999995</v>
      </c>
      <c r="CZ4">
        <f>SOFR3mo_PX[[#This Row],[Column104]]</f>
        <v>95.76</v>
      </c>
      <c r="DA4">
        <f>SOFR3mo_PX[[#This Row],[Column105]]</f>
        <v>95.784999999999997</v>
      </c>
      <c r="DB4">
        <f>SOFR3mo_PX[[#This Row],[Column106]]</f>
        <v>95.79</v>
      </c>
      <c r="DC4">
        <f>SOFR3mo_PX[[#This Row],[Column107]]</f>
        <v>95.78</v>
      </c>
      <c r="DD4">
        <f>SOFR3mo_PX[[#This Row],[Column108]]</f>
        <v>95.765000000000001</v>
      </c>
      <c r="DE4">
        <f>SOFR3mo_PX[[#This Row],[Column109]]</f>
        <v>95.75</v>
      </c>
      <c r="DF4">
        <f>SOFR3mo_PX[[#This Row],[Column110]]</f>
        <v>95.76</v>
      </c>
      <c r="DG4">
        <f>SOFR3mo_PX[[#This Row],[Column111]]</f>
        <v>95.775000000000006</v>
      </c>
      <c r="DH4">
        <f>SOFR3mo_PX[[#This Row],[Column112]]</f>
        <v>95.775000000000006</v>
      </c>
      <c r="DI4">
        <f>SOFR3mo_PX[[#This Row],[Column113]]</f>
        <v>95.775000000000006</v>
      </c>
      <c r="DJ4">
        <f>SOFR3mo_PX[[#This Row],[Column114]]</f>
        <v>95.775000000000006</v>
      </c>
      <c r="DK4">
        <f>SOFR3mo_PX[[#This Row],[Column115]]</f>
        <v>95.74</v>
      </c>
      <c r="DL4">
        <f>SOFR3mo_PX[[#This Row],[Column116]]</f>
        <v>95.73</v>
      </c>
      <c r="DM4">
        <f>SOFR3mo_PX[[#This Row],[Column117]]</f>
        <v>95.75</v>
      </c>
      <c r="DN4">
        <f>SOFR3mo_PX[[#This Row],[Column118]]</f>
        <v>95.8</v>
      </c>
      <c r="DO4">
        <f>SOFR3mo_PX[[#This Row],[Column119]]</f>
        <v>95.79</v>
      </c>
      <c r="DP4">
        <f>SOFR3mo_PX[[#This Row],[Column120]]</f>
        <v>95.79</v>
      </c>
      <c r="DQ4">
        <f>SOFR3mo_PX[[#This Row],[Column121]]</f>
        <v>95.805000000000007</v>
      </c>
      <c r="DR4">
        <f>SOFR3mo_PX[[#This Row],[Column122]]</f>
        <v>95.81</v>
      </c>
      <c r="DS4">
        <f>SOFR3mo_PX[[#This Row],[Column123]]</f>
        <v>95.814999999999998</v>
      </c>
      <c r="DT4">
        <f>SOFR3mo_PX[[#This Row],[Column124]]</f>
        <v>95.825000000000003</v>
      </c>
      <c r="DU4">
        <f>SOFR3mo_PX[[#This Row],[Column125]]</f>
        <v>95.825000000000003</v>
      </c>
      <c r="DV4">
        <f>SOFR3mo_PX[[#This Row],[Column126]]</f>
        <v>95.825000000000003</v>
      </c>
      <c r="DW4">
        <f>SOFR3mo_PX[[#This Row],[Column127]]</f>
        <v>95.814999999999998</v>
      </c>
      <c r="DX4">
        <f>SOFR3mo_PX[[#This Row],[Column128]]</f>
        <v>95.795000000000002</v>
      </c>
      <c r="DY4">
        <f>SOFR3mo_PX[[#This Row],[Column129]]</f>
        <v>95.805000000000007</v>
      </c>
      <c r="DZ4">
        <f>SOFR3mo_PX[[#This Row],[Column130]]</f>
        <v>95.805000000000007</v>
      </c>
      <c r="EA4">
        <f>SOFR3mo_PX[[#This Row],[Column131]]</f>
        <v>95.79</v>
      </c>
      <c r="EB4">
        <f>SOFR3mo_PX[[#This Row],[Column132]]</f>
        <v>95.81</v>
      </c>
      <c r="EC4">
        <f>SOFR3mo_PX[[#This Row],[Column133]]</f>
        <v>95.805000000000007</v>
      </c>
      <c r="ED4">
        <f>SOFR3mo_PX[[#This Row],[Column134]]</f>
        <v>95.78</v>
      </c>
      <c r="EE4">
        <f>SOFR3mo_PX[[#This Row],[Column135]]</f>
        <v>95.632499999999993</v>
      </c>
      <c r="EF4">
        <f>SOFR3mo_PX[[#This Row],[Column136]]</f>
        <v>95.635000000000005</v>
      </c>
      <c r="EG4">
        <f>SOFR3mo_PX[[#This Row],[Column137]]</f>
        <v>95.642499999999998</v>
      </c>
      <c r="EH4">
        <f>SOFR3mo_PX[[#This Row],[Column138]]</f>
        <v>95.647499999999994</v>
      </c>
      <c r="EI4">
        <f>SOFR3mo_PX[[#This Row],[Column139]]</f>
        <v>95.647499999999994</v>
      </c>
      <c r="EJ4">
        <f>SOFR3mo_PX[[#This Row],[Column140]]</f>
        <v>95.62</v>
      </c>
      <c r="EK4">
        <f>SOFR3mo_PX[[#This Row],[Column141]]</f>
        <v>95.625</v>
      </c>
      <c r="EL4">
        <f>SOFR3mo_PX[[#This Row],[Column142]]</f>
        <v>95.635000000000005</v>
      </c>
      <c r="EM4">
        <f>SOFR3mo_PX[[#This Row],[Column143]]</f>
        <v>95.597499999999997</v>
      </c>
      <c r="EN4">
        <f>SOFR3mo_PX[[#This Row],[Column144]]</f>
        <v>95.6</v>
      </c>
      <c r="EO4">
        <f>SOFR3mo_PX[[#This Row],[Column145]]</f>
        <v>95.59</v>
      </c>
      <c r="EP4">
        <f>SOFR3mo_PX[[#This Row],[Column146]]</f>
        <v>95.555000000000007</v>
      </c>
      <c r="EQ4">
        <f>SOFR3mo_PX[[#This Row],[Column147]]</f>
        <v>95.572500000000005</v>
      </c>
      <c r="ER4">
        <f>SOFR3mo_PX[[#This Row],[Column148]]</f>
        <v>95.572500000000005</v>
      </c>
      <c r="ES4">
        <f>SOFR3mo_PX[[#This Row],[Column149]]</f>
        <v>95.572500000000005</v>
      </c>
      <c r="ET4">
        <f>SOFR3mo_PX[[#This Row],[Column150]]</f>
        <v>95.552499999999995</v>
      </c>
      <c r="EU4">
        <f>SOFR3mo_PX[[#This Row],[Column151]]</f>
        <v>95.527500000000003</v>
      </c>
      <c r="EV4">
        <f>SOFR3mo_PX[[#This Row],[Column152]]</f>
        <v>95.525000000000006</v>
      </c>
      <c r="EW4">
        <f>SOFR3mo_PX[[#This Row],[Column153]]</f>
        <v>95.525000000000006</v>
      </c>
      <c r="EX4">
        <f>SOFR3mo_PX[[#This Row],[Column154]]</f>
        <v>95.525000000000006</v>
      </c>
      <c r="EY4">
        <f>SOFR3mo_PX[[#This Row],[Column155]]</f>
        <v>95.537499999999994</v>
      </c>
      <c r="EZ4">
        <f>SOFR3mo_PX[[#This Row],[Column156]]</f>
        <v>95.542500000000004</v>
      </c>
      <c r="FA4">
        <f>SOFR3mo_PX[[#This Row],[Column157]]</f>
        <v>95.545000000000002</v>
      </c>
      <c r="FB4">
        <f>SOFR3mo_PX[[#This Row],[Column158]]</f>
        <v>95.584999999999994</v>
      </c>
      <c r="FC4">
        <f>SOFR3mo_PX[[#This Row],[Column159]]</f>
        <v>95.614999999999995</v>
      </c>
      <c r="FD4">
        <f>SOFR3mo_PX[[#This Row],[Column160]]</f>
        <v>95.555000000000007</v>
      </c>
      <c r="FE4">
        <f>SOFR3mo_PX[[#This Row],[Column161]]</f>
        <v>95.564999999999998</v>
      </c>
      <c r="FF4">
        <f>SOFR3mo_PX[[#This Row],[Column162]]</f>
        <v>95.575000000000003</v>
      </c>
      <c r="FG4">
        <f>SOFR3mo_PX[[#This Row],[Column163]]</f>
        <v>95.594999999999999</v>
      </c>
      <c r="FH4">
        <f>SOFR3mo_PX[[#This Row],[Column164]]</f>
        <v>95.594999999999999</v>
      </c>
      <c r="FI4">
        <f>SOFR3mo_PX[[#This Row],[Column165]]</f>
        <v>95.614999999999995</v>
      </c>
      <c r="FJ4">
        <f>SOFR3mo_PX[[#This Row],[Column166]]</f>
        <v>95.635000000000005</v>
      </c>
      <c r="FK4">
        <f>SOFR3mo_PX[[#This Row],[Column167]]</f>
        <v>95.63</v>
      </c>
      <c r="FL4">
        <f>SOFR3mo_PX[[#This Row],[Column168]]</f>
        <v>95.62</v>
      </c>
      <c r="FM4">
        <f>SOFR3mo_PX[[#This Row],[Column169]]</f>
        <v>95.62</v>
      </c>
      <c r="FN4">
        <f>SOFR3mo_PX[[#This Row],[Column170]]</f>
        <v>95.625</v>
      </c>
      <c r="FO4">
        <f>SOFR3mo_PX[[#This Row],[Column171]]</f>
        <v>95.605000000000004</v>
      </c>
      <c r="FP4">
        <f>SOFR3mo_PX[[#This Row],[Column172]]</f>
        <v>95.625</v>
      </c>
      <c r="FQ4">
        <f>SOFR3mo_PX[[#This Row],[Column173]]</f>
        <v>95.614999999999995</v>
      </c>
      <c r="FR4">
        <f>SOFR3mo_PX[[#This Row],[Column174]]</f>
        <v>95.59</v>
      </c>
      <c r="FS4">
        <f>SOFR3mo_PX[[#This Row],[Column175]]</f>
        <v>95.605000000000004</v>
      </c>
      <c r="FT4">
        <f>SOFR3mo_PX[[#This Row],[Column176]]</f>
        <v>95.594999999999999</v>
      </c>
      <c r="FU4">
        <f>SOFR3mo_PX[[#This Row],[Column177]]</f>
        <v>95.635000000000005</v>
      </c>
      <c r="FV4">
        <f>SOFR3mo_PX[[#This Row],[Column178]]</f>
        <v>95.614999999999995</v>
      </c>
      <c r="FW4">
        <f>SOFR3mo_PX[[#This Row],[Column179]]</f>
        <v>95.665000000000006</v>
      </c>
      <c r="FX4">
        <f>SOFR3mo_PX[[#This Row],[Column180]]</f>
        <v>95.665000000000006</v>
      </c>
      <c r="FY4">
        <f>SOFR3mo_PX[[#This Row],[Column181]]</f>
        <v>95.64</v>
      </c>
      <c r="FZ4">
        <f>SOFR3mo_PX[[#This Row],[Column182]]</f>
        <v>95.674999999999997</v>
      </c>
      <c r="GA4">
        <f>SOFR3mo_PX[[#This Row],[Column183]]</f>
        <v>95.655000000000001</v>
      </c>
      <c r="GB4">
        <f>SOFR3mo_PX[[#This Row],[Column184]]</f>
        <v>95.66</v>
      </c>
      <c r="GC4">
        <f>SOFR3mo_PX[[#This Row],[Column185]]</f>
        <v>95.71</v>
      </c>
      <c r="GD4">
        <f>SOFR3mo_PX[[#This Row],[Column186]]</f>
        <v>95.69</v>
      </c>
      <c r="GE4">
        <f>SOFR3mo_PX[[#This Row],[Column187]]</f>
        <v>95.765000000000001</v>
      </c>
      <c r="GF4">
        <f>SOFR3mo_PX[[#This Row],[Column188]]</f>
        <v>95.92</v>
      </c>
      <c r="GG4">
        <f>SOFR3mo_PX[[#This Row],[Column189]]</f>
        <v>95.965000000000003</v>
      </c>
      <c r="GH4">
        <f>SOFR3mo_PX[[#This Row],[Column190]]</f>
        <v>95.974999999999994</v>
      </c>
      <c r="GI4">
        <f>SOFR3mo_PX[[#This Row],[Column191]]</f>
        <v>95.96</v>
      </c>
      <c r="GJ4">
        <f>SOFR3mo_PX[[#This Row],[Column192]]</f>
        <v>96.05</v>
      </c>
      <c r="GK4">
        <f>SOFR3mo_PX[[#This Row],[Column193]]</f>
        <v>96.004999999999995</v>
      </c>
      <c r="GL4">
        <f>SOFR3mo_PX[[#This Row],[Column194]]</f>
        <v>96.06</v>
      </c>
      <c r="GM4">
        <f>SOFR3mo_PX[[#This Row],[Column195]]</f>
        <v>96.075000000000003</v>
      </c>
      <c r="GN4">
        <f>SOFR3mo_PX[[#This Row],[Column196]]</f>
        <v>96.045000000000002</v>
      </c>
      <c r="GO4">
        <f>SOFR3mo_PX[[#This Row],[Column197]]</f>
        <v>96.034999999999997</v>
      </c>
      <c r="GP4">
        <f>SOFR3mo_PX[[#This Row],[Column198]]</f>
        <v>96.01</v>
      </c>
      <c r="GQ4">
        <f>SOFR3mo_PX[[#This Row],[Column199]]</f>
        <v>95.99</v>
      </c>
      <c r="GR4">
        <f>SOFR3mo_PX[[#This Row],[Column200]]</f>
        <v>95.17</v>
      </c>
      <c r="GS4">
        <f>SOFR3mo_PX[[#This Row],[Column201]]</f>
        <v>95.167500000000004</v>
      </c>
      <c r="GT4">
        <f>SOFR3mo_PX[[#This Row],[Column202]]</f>
        <v>95.144999999999996</v>
      </c>
      <c r="GU4">
        <f>SOFR3mo_PX[[#This Row],[Column203]]</f>
        <v>95.092500000000001</v>
      </c>
      <c r="GV4">
        <f>SOFR3mo_PX[[#This Row],[Column204]]</f>
        <v>95.052499999999995</v>
      </c>
      <c r="GW4">
        <f>SOFR3mo_PX[[#This Row],[Column205]]</f>
        <v>95.112499999999997</v>
      </c>
      <c r="GX4">
        <f>SOFR3mo_PX[[#This Row],[Column206]]</f>
        <v>95.105000000000004</v>
      </c>
      <c r="GY4">
        <f>SOFR3mo_PX[[#This Row],[Column207]]</f>
        <v>95.105000000000004</v>
      </c>
      <c r="GZ4">
        <f>SOFR3mo_PX[[#This Row],[Column208]]</f>
        <v>95.122500000000002</v>
      </c>
      <c r="HA4">
        <f>SOFR3mo_PX[[#This Row],[Column209]]</f>
        <v>95.132499999999993</v>
      </c>
      <c r="HB4">
        <f>SOFR3mo_PX[[#This Row],[Column210]]</f>
        <v>95.09</v>
      </c>
      <c r="HC4">
        <f>SOFR3mo_PX[[#This Row],[Column211]]</f>
        <v>95.082499999999996</v>
      </c>
      <c r="HD4">
        <f>SOFR3mo_PX[[#This Row],[Column212]]</f>
        <v>95.082499999999996</v>
      </c>
      <c r="HE4">
        <f>SOFR3mo_PX[[#This Row],[Column213]]</f>
        <v>95.084999999999994</v>
      </c>
      <c r="HF4">
        <f>SOFR3mo_PX[[#This Row],[Column214]]</f>
        <v>95.1</v>
      </c>
      <c r="HG4">
        <f>SOFR3mo_PX[[#This Row],[Column215]]</f>
        <v>95.094999999999999</v>
      </c>
      <c r="HH4">
        <f>SOFR3mo_PX[[#This Row],[Column216]]</f>
        <v>95.077500000000001</v>
      </c>
      <c r="HI4">
        <f>SOFR3mo_PX[[#This Row],[Column217]]</f>
        <v>95.094999999999999</v>
      </c>
      <c r="HJ4">
        <f>SOFR3mo_PX[[#This Row],[Column218]]</f>
        <v>95.06</v>
      </c>
      <c r="HK4">
        <f>SOFR3mo_PX[[#This Row],[Column219]]</f>
        <v>95.112499999999997</v>
      </c>
      <c r="HL4">
        <f>SOFR3mo_PX[[#This Row],[Column220]]</f>
        <v>95.067499999999995</v>
      </c>
      <c r="HM4">
        <f>SOFR3mo_PX[[#This Row],[Column221]]</f>
        <v>95.047499999999999</v>
      </c>
      <c r="HN4">
        <f>SOFR3mo_PX[[#This Row],[Column222]]</f>
        <v>95.05</v>
      </c>
      <c r="HO4">
        <f>SOFR3mo_PX[[#This Row],[Column223]]</f>
        <v>95.05</v>
      </c>
      <c r="HP4">
        <f>SOFR3mo_PX[[#This Row],[Column224]]</f>
        <v>95.11</v>
      </c>
      <c r="HQ4">
        <f>SOFR3mo_PX[[#This Row],[Column225]]</f>
        <v>95.155000000000001</v>
      </c>
      <c r="HR4">
        <f>SOFR3mo_PX[[#This Row],[Column226]]</f>
        <v>95.13</v>
      </c>
      <c r="HS4">
        <f>SOFR3mo_PX[[#This Row],[Column227]]</f>
        <v>95.135000000000005</v>
      </c>
      <c r="HT4">
        <f>SOFR3mo_PX[[#This Row],[Column228]]</f>
        <v>95.155000000000001</v>
      </c>
      <c r="HU4">
        <f>SOFR3mo_PX[[#This Row],[Column229]]</f>
        <v>95.2</v>
      </c>
      <c r="HV4">
        <f>SOFR3mo_PX[[#This Row],[Column230]]</f>
        <v>95.2</v>
      </c>
      <c r="HW4">
        <f>SOFR3mo_PX[[#This Row],[Column231]]</f>
        <v>95.284999999999997</v>
      </c>
      <c r="HX4">
        <f>SOFR3mo_PX[[#This Row],[Column232]]</f>
        <v>95.275000000000006</v>
      </c>
      <c r="HY4">
        <f>SOFR3mo_PX[[#This Row],[Column233]]</f>
        <v>95.045000000000002</v>
      </c>
      <c r="HZ4">
        <f>SOFR3mo_PX[[#This Row],[Column234]]</f>
        <v>94.965000000000003</v>
      </c>
      <c r="IA4">
        <f>SOFR3mo_PX[[#This Row],[Column235]]</f>
        <v>94.965000000000003</v>
      </c>
      <c r="IB4">
        <f>SOFR3mo_PX[[#This Row],[Column236]]</f>
        <v>94.954999999999998</v>
      </c>
      <c r="IC4">
        <f>SOFR3mo_PX[[#This Row],[Column237]]</f>
        <v>94.96</v>
      </c>
      <c r="ID4">
        <f>SOFR3mo_PX[[#This Row],[Column238]]</f>
        <v>94.95</v>
      </c>
      <c r="IE4">
        <f>SOFR3mo_PX[[#This Row],[Column239]]</f>
        <v>94.94</v>
      </c>
      <c r="IF4">
        <f>SOFR3mo_PX[[#This Row],[Column240]]</f>
        <v>94.924999999999997</v>
      </c>
      <c r="IG4">
        <f>SOFR3mo_PX[[#This Row],[Column241]]</f>
        <v>94.915000000000006</v>
      </c>
      <c r="IH4">
        <f>SOFR3mo_PX[[#This Row],[Column242]]</f>
        <v>94.935000000000002</v>
      </c>
      <c r="II4">
        <f>SOFR3mo_PX[[#This Row],[Column243]]</f>
        <v>94.94</v>
      </c>
      <c r="IJ4">
        <f>SOFR3mo_PX[[#This Row],[Column244]]</f>
        <v>94.95</v>
      </c>
      <c r="IK4">
        <f>SOFR3mo_PX[[#This Row],[Column245]]</f>
        <v>94.96</v>
      </c>
      <c r="IL4">
        <f>SOFR3mo_PX[[#This Row],[Column246]]</f>
        <v>94.965000000000003</v>
      </c>
      <c r="IM4">
        <f>SOFR3mo_PX[[#This Row],[Column247]]</f>
        <v>94.944999999999993</v>
      </c>
      <c r="IN4">
        <f>SOFR3mo_PX[[#This Row],[Column248]]</f>
        <v>94.935000000000002</v>
      </c>
      <c r="IO4">
        <f>SOFR3mo_PX[[#This Row],[Column249]]</f>
        <v>94.875</v>
      </c>
      <c r="IP4">
        <f>SOFR3mo_PX[[#This Row],[Column250]]</f>
        <v>94.87</v>
      </c>
      <c r="IQ4">
        <f>SOFR3mo_PX[[#This Row],[Column251]]</f>
        <v>94.88</v>
      </c>
      <c r="IR4">
        <f>SOFR3mo_PX[[#This Row],[Column252]]</f>
        <v>94.89</v>
      </c>
      <c r="IS4">
        <f>SOFR3mo_PX[[#This Row],[Column253]]</f>
        <v>94.87</v>
      </c>
      <c r="IT4">
        <f>SOFR3mo_PX[[#This Row],[Column254]]</f>
        <v>94.87</v>
      </c>
      <c r="IU4">
        <f>SOFR3mo_PX[[#This Row],[Column255]]</f>
        <v>94.85</v>
      </c>
      <c r="IV4">
        <f>SOFR3mo_PX[[#This Row],[Column256]]</f>
        <v>94.844999999999999</v>
      </c>
      <c r="IW4">
        <f>SOFR3mo_PX[[#This Row],[Column257]]</f>
        <v>94.85</v>
      </c>
      <c r="IX4">
        <f>SOFR3mo_PX[[#This Row],[Column258]]</f>
        <v>94.844999999999999</v>
      </c>
      <c r="IY4">
        <f>SOFR3mo_PX[[#This Row],[Column259]]</f>
        <v>94.83</v>
      </c>
      <c r="IZ4">
        <f>SOFR3mo_PX[[#This Row],[Column260]]</f>
        <v>94.855000000000004</v>
      </c>
      <c r="JA4">
        <f>SOFR3mo_PX[[#This Row],[Column261]]</f>
        <v>94.855000000000004</v>
      </c>
      <c r="JB4">
        <f>SOFR3mo_PX[[#This Row],[Column262]]</f>
        <v>94.85</v>
      </c>
      <c r="JC4">
        <f>SOFR3mo_PX[[#This Row],[Column263]]</f>
        <v>94.844999999999999</v>
      </c>
      <c r="JD4">
        <f>SOFR3mo_PX[[#This Row],[Column264]]</f>
        <v>94.642499999999998</v>
      </c>
      <c r="JE4">
        <f>SOFR3mo_PX[[#This Row],[Column265]]</f>
        <v>94.642499999999998</v>
      </c>
      <c r="JF4">
        <f>SOFR3mo_PX[[#This Row],[Column266]]</f>
        <v>94.644999999999996</v>
      </c>
      <c r="JG4">
        <f>SOFR3mo_PX[[#This Row],[Column267]]</f>
        <v>94.652500000000003</v>
      </c>
      <c r="JH4">
        <f>SOFR3mo_PX[[#This Row],[Column268]]</f>
        <v>94.655000000000001</v>
      </c>
      <c r="JI4">
        <f>SOFR3mo_PX[[#This Row],[Column269]]</f>
        <v>94.655000000000001</v>
      </c>
      <c r="JJ4">
        <f>SOFR3mo_PX[[#This Row],[Column270]]</f>
        <v>94.655000000000001</v>
      </c>
      <c r="JK4">
        <f>SOFR3mo_PX[[#This Row],[Column271]]</f>
        <v>94.652500000000003</v>
      </c>
      <c r="JL4">
        <f>SOFR3mo_PX[[#This Row],[Column272]]</f>
        <v>94.655000000000001</v>
      </c>
      <c r="JM4">
        <f>SOFR3mo_PX[[#This Row],[Column273]]</f>
        <v>94.677499999999995</v>
      </c>
      <c r="JN4">
        <f>SOFR3mo_PX[[#This Row],[Column274]]</f>
        <v>94.672499999999999</v>
      </c>
      <c r="JO4">
        <f>SOFR3mo_PX[[#This Row],[Column275]]</f>
        <v>94.667500000000004</v>
      </c>
      <c r="JP4">
        <f>SOFR3mo_PX[[#This Row],[Column276]]</f>
        <v>94.667500000000004</v>
      </c>
      <c r="JQ4">
        <f>SOFR3mo_PX[[#This Row],[Column277]]</f>
        <v>94.665000000000006</v>
      </c>
      <c r="JR4">
        <f>SOFR3mo_PX[[#This Row],[Column278]]</f>
        <v>94.662499999999994</v>
      </c>
      <c r="JS4">
        <f>SOFR3mo_PX[[#This Row],[Column279]]</f>
        <v>94.657499999999999</v>
      </c>
      <c r="JT4">
        <f>SOFR3mo_PX[[#This Row],[Column280]]</f>
        <v>94.655000000000001</v>
      </c>
      <c r="JU4">
        <f>SOFR3mo_PX[[#This Row],[Column281]]</f>
        <v>94.657499999999999</v>
      </c>
      <c r="JV4">
        <f>SOFR3mo_PX[[#This Row],[Column282]]</f>
        <v>94.657499999999999</v>
      </c>
      <c r="JW4">
        <f>SOFR3mo_PX[[#This Row],[Column283]]</f>
        <v>94.66</v>
      </c>
      <c r="JX4">
        <f>SOFR3mo_PX[[#This Row],[Column284]]</f>
        <v>94.672499999999999</v>
      </c>
      <c r="JY4">
        <f>SOFR3mo_PX[[#This Row],[Column285]]</f>
        <v>94.685000000000002</v>
      </c>
      <c r="JZ4">
        <f>SOFR3mo_PX[[#This Row],[Column286]]</f>
        <v>94.685000000000002</v>
      </c>
      <c r="KA4">
        <f>SOFR3mo_PX[[#This Row],[Column287]]</f>
        <v>94.692499999999995</v>
      </c>
      <c r="KB4">
        <f>SOFR3mo_PX[[#This Row],[Column288]]</f>
        <v>94.697500000000005</v>
      </c>
      <c r="KC4">
        <f>SOFR3mo_PX[[#This Row],[Column289]]</f>
        <v>94.702500000000001</v>
      </c>
      <c r="KD4">
        <f>SOFR3mo_PX[[#This Row],[Column290]]</f>
        <v>94.694999999999993</v>
      </c>
      <c r="KE4">
        <f>SOFR3mo_PX[[#This Row],[Column291]]</f>
        <v>94.694999999999993</v>
      </c>
      <c r="KF4">
        <f>SOFR3mo_PX[[#This Row],[Column292]]</f>
        <v>94.7</v>
      </c>
      <c r="KG4">
        <f>SOFR3mo_PX[[#This Row],[Column293]]</f>
        <v>94.71</v>
      </c>
      <c r="KH4">
        <f>SOFR3mo_PX[[#This Row],[Column294]]</f>
        <v>94.704999999999998</v>
      </c>
      <c r="KI4">
        <f>SOFR3mo_PX[[#This Row],[Column295]]</f>
        <v>94.704999999999998</v>
      </c>
      <c r="KJ4">
        <f>SOFR3mo_PX[[#This Row],[Column296]]</f>
        <v>94.715000000000003</v>
      </c>
      <c r="KK4">
        <f>SOFR3mo_PX[[#This Row],[Column297]]</f>
        <v>94.715000000000003</v>
      </c>
      <c r="KL4">
        <f>SOFR3mo_PX[[#This Row],[Column298]]</f>
        <v>94.715000000000003</v>
      </c>
      <c r="KM4">
        <f>SOFR3mo_PX[[#This Row],[Column299]]</f>
        <v>94.694999999999993</v>
      </c>
      <c r="KN4">
        <f>SOFR3mo_PX[[#This Row],[Column300]]</f>
        <v>94.69</v>
      </c>
      <c r="KO4">
        <f>SOFR3mo_PX[[#This Row],[Column301]]</f>
        <v>94.704999999999998</v>
      </c>
      <c r="KP4">
        <f>SOFR3mo_PX[[#This Row],[Column302]]</f>
        <v>94.71</v>
      </c>
      <c r="KQ4">
        <f>SOFR3mo_PX[[#This Row],[Column303]]</f>
        <v>94.71</v>
      </c>
      <c r="KR4">
        <f>SOFR3mo_PX[[#This Row],[Column304]]</f>
        <v>94.734999999999999</v>
      </c>
      <c r="KS4">
        <f>SOFR3mo_PX[[#This Row],[Column305]]</f>
        <v>94.745000000000005</v>
      </c>
      <c r="KT4">
        <f>SOFR3mo_PX[[#This Row],[Column306]]</f>
        <v>94.734999999999999</v>
      </c>
      <c r="KU4">
        <f>SOFR3mo_PX[[#This Row],[Column307]]</f>
        <v>94.74</v>
      </c>
      <c r="KV4">
        <f>SOFR3mo_PX[[#This Row],[Column308]]</f>
        <v>94.73</v>
      </c>
      <c r="KW4">
        <f>SOFR3mo_PX[[#This Row],[Column309]]</f>
        <v>94.74</v>
      </c>
      <c r="KX4">
        <f>SOFR3mo_PX[[#This Row],[Column310]]</f>
        <v>94.74</v>
      </c>
      <c r="KY4">
        <f>SOFR3mo_PX[[#This Row],[Column311]]</f>
        <v>94.75</v>
      </c>
      <c r="KZ4">
        <f>SOFR3mo_PX[[#This Row],[Column312]]</f>
        <v>94.77</v>
      </c>
      <c r="LA4">
        <f>SOFR3mo_PX[[#This Row],[Column313]]</f>
        <v>94.74</v>
      </c>
      <c r="LB4">
        <f>SOFR3mo_PX[[#This Row],[Column314]]</f>
        <v>94.72</v>
      </c>
      <c r="LC4">
        <f>SOFR3mo_PX[[#This Row],[Column315]]</f>
        <v>94.834999999999994</v>
      </c>
      <c r="LD4">
        <f>SOFR3mo_PX[[#This Row],[Column316]]</f>
        <v>94.814999999999998</v>
      </c>
      <c r="LE4">
        <f>SOFR3mo_PX[[#This Row],[Column317]]</f>
        <v>94.834999999999994</v>
      </c>
      <c r="LF4">
        <f>SOFR3mo_PX[[#This Row],[Column318]]</f>
        <v>94.885000000000005</v>
      </c>
      <c r="LG4">
        <f>SOFR3mo_PX[[#This Row],[Column319]]</f>
        <v>94.85</v>
      </c>
      <c r="LH4">
        <f>SOFR3mo_PX[[#This Row],[Column320]]</f>
        <v>94.85</v>
      </c>
      <c r="LI4">
        <f>SOFR3mo_PX[[#This Row],[Column321]]</f>
        <v>94.825000000000003</v>
      </c>
      <c r="LJ4">
        <f>SOFR3mo_PX[[#This Row],[Column322]]</f>
        <v>94.864999999999995</v>
      </c>
      <c r="LK4">
        <f>SOFR3mo_PX[[#This Row],[Column323]]</f>
        <v>94.864999999999995</v>
      </c>
      <c r="LL4">
        <f>SOFR3mo_PX[[#This Row],[Column324]]</f>
        <v>94.885000000000005</v>
      </c>
      <c r="LM4">
        <f>SOFR3mo_PX[[#This Row],[Column325]]</f>
        <v>94.885000000000005</v>
      </c>
      <c r="LN4">
        <f>SOFR3mo_PX[[#This Row],[Column326]]</f>
        <v>94.89</v>
      </c>
      <c r="LO4">
        <f>SOFR3mo_PX[[#This Row],[Column327]]</f>
        <v>94.91</v>
      </c>
      <c r="LP4">
        <f>SOFR3mo_PX[[#This Row],[Column328]]</f>
        <v>94.89</v>
      </c>
      <c r="LQ4">
        <f>SOFR3mo_PX[[#This Row],[Column329]]</f>
        <v>94.91</v>
      </c>
      <c r="LR4">
        <f>SOFR3mo_PX[[#This Row],[Column330]]</f>
        <v>94.665000000000006</v>
      </c>
      <c r="LS4">
        <f>SOFR3mo_PX[[#This Row],[Column331]]</f>
        <v>94.665000000000006</v>
      </c>
      <c r="LT4">
        <f>SOFR3mo_PX[[#This Row],[Column332]]</f>
        <v>94.665000000000006</v>
      </c>
      <c r="LU4">
        <f>SOFR3mo_PX[[#This Row],[Column333]]</f>
        <v>94.667500000000004</v>
      </c>
      <c r="LV4">
        <f>SOFR3mo_PX[[#This Row],[Column334]]</f>
        <v>94.67</v>
      </c>
      <c r="LW4">
        <f>SOFR3mo_PX[[#This Row],[Column335]]</f>
        <v>94.672499999999999</v>
      </c>
      <c r="LX4">
        <f>SOFR3mo_PX[[#This Row],[Column336]]</f>
        <v>94.685000000000002</v>
      </c>
      <c r="LY4">
        <f>SOFR3mo_PX[[#This Row],[Column337]]</f>
        <v>94.697500000000005</v>
      </c>
      <c r="LZ4">
        <f>SOFR3mo_PX[[#This Row],[Column338]]</f>
        <v>94.702500000000001</v>
      </c>
      <c r="MA4">
        <f>SOFR3mo_PX[[#This Row],[Column339]]</f>
        <v>94.694999999999993</v>
      </c>
      <c r="MB4">
        <f>SOFR3mo_PX[[#This Row],[Column340]]</f>
        <v>94.694999999999993</v>
      </c>
      <c r="MC4">
        <f>SOFR3mo_PX[[#This Row],[Column341]]</f>
        <v>94.6875</v>
      </c>
      <c r="MD4">
        <f>SOFR3mo_PX[[#This Row],[Column342]]</f>
        <v>94.704999999999998</v>
      </c>
      <c r="ME4">
        <f>SOFR3mo_PX[[#This Row],[Column343]]</f>
        <v>94.685000000000002</v>
      </c>
      <c r="MF4">
        <f>SOFR3mo_PX[[#This Row],[Column344]]</f>
        <v>94.682500000000005</v>
      </c>
      <c r="MG4">
        <f>SOFR3mo_PX[[#This Row],[Column345]]</f>
        <v>94.674999999999997</v>
      </c>
      <c r="MH4">
        <f>SOFR3mo_PX[[#This Row],[Column346]]</f>
        <v>94.67</v>
      </c>
      <c r="MI4">
        <f>SOFR3mo_PX[[#This Row],[Column347]]</f>
        <v>94.6875</v>
      </c>
      <c r="MJ4">
        <f>SOFR3mo_PX[[#This Row],[Column348]]</f>
        <v>94.697500000000005</v>
      </c>
      <c r="MK4">
        <f>SOFR3mo_PX[[#This Row],[Column349]]</f>
        <v>94.702500000000001</v>
      </c>
      <c r="ML4">
        <f>SOFR3mo_PX[[#This Row],[Column350]]</f>
        <v>94.712500000000006</v>
      </c>
      <c r="MM4">
        <f>SOFR3mo_PX[[#This Row],[Column351]]</f>
        <v>94.71</v>
      </c>
      <c r="MN4">
        <f>SOFR3mo_PX[[#This Row],[Column352]]</f>
        <v>94.71</v>
      </c>
      <c r="MO4">
        <f>SOFR3mo_PX[[#This Row],[Column353]]</f>
        <v>94.724999999999994</v>
      </c>
      <c r="MP4">
        <f>SOFR3mo_PX[[#This Row],[Column354]]</f>
        <v>94.73</v>
      </c>
      <c r="MQ4">
        <f>SOFR3mo_PX[[#This Row],[Column355]]</f>
        <v>94.72</v>
      </c>
      <c r="MR4">
        <f>SOFR3mo_PX[[#This Row],[Column356]]</f>
        <v>94.765000000000001</v>
      </c>
      <c r="MS4">
        <f>SOFR3mo_PX[[#This Row],[Column357]]</f>
        <v>94.775000000000006</v>
      </c>
      <c r="MT4">
        <f>SOFR3mo_PX[[#This Row],[Column358]]</f>
        <v>94.78</v>
      </c>
      <c r="MU4">
        <f>SOFR3mo_PX[[#This Row],[Column359]]</f>
        <v>94.784999999999997</v>
      </c>
      <c r="MV4">
        <f>SOFR3mo_PX[[#This Row],[Column360]]</f>
        <v>94.784999999999997</v>
      </c>
      <c r="MW4">
        <f>SOFR3mo_PX[[#This Row],[Column361]]</f>
        <v>94.77</v>
      </c>
      <c r="MX4">
        <f>SOFR3mo_PX[[#This Row],[Column362]]</f>
        <v>94.8</v>
      </c>
      <c r="MY4">
        <f>SOFR3mo_PX[[#This Row],[Column363]]</f>
        <v>94.89</v>
      </c>
      <c r="MZ4">
        <f>SOFR3mo_PX[[#This Row],[Column364]]</f>
        <v>94.915000000000006</v>
      </c>
      <c r="NA4">
        <f>SOFR3mo_PX[[#This Row],[Column365]]</f>
        <v>94.855000000000004</v>
      </c>
      <c r="NB4">
        <f>SOFR3mo_PX[[#This Row],[Column366]]</f>
        <v>94.875</v>
      </c>
      <c r="NC4">
        <f>SOFR3mo_PX[[#This Row],[Column367]]</f>
        <v>94.864999999999995</v>
      </c>
      <c r="ND4">
        <f>SOFR3mo_PX[[#This Row],[Column368]]</f>
        <v>94.88</v>
      </c>
      <c r="NE4">
        <f>SOFR3mo_PX[[#This Row],[Column369]]</f>
        <v>94.84</v>
      </c>
      <c r="NF4">
        <f>SOFR3mo_PX[[#This Row],[Column370]]</f>
        <v>94.86</v>
      </c>
      <c r="NG4">
        <f>SOFR3mo_PX[[#This Row],[Column371]]</f>
        <v>94.85</v>
      </c>
      <c r="NH4">
        <f>SOFR3mo_PX[[#This Row],[Column372]]</f>
        <v>94.86</v>
      </c>
      <c r="NI4">
        <f>SOFR3mo_PX[[#This Row],[Column373]]</f>
        <v>94.894999999999996</v>
      </c>
      <c r="NJ4">
        <f>SOFR3mo_PX[[#This Row],[Column374]]</f>
        <v>94.89</v>
      </c>
      <c r="NK4">
        <f>SOFR3mo_PX[[#This Row],[Column375]]</f>
        <v>94.944999999999993</v>
      </c>
      <c r="NL4">
        <f>SOFR3mo_PX[[#This Row],[Column376]]</f>
        <v>95.01</v>
      </c>
      <c r="NM4">
        <f>SOFR3mo_PX[[#This Row],[Column377]]</f>
        <v>95.01</v>
      </c>
      <c r="NN4">
        <f>SOFR3mo_PX[[#This Row],[Column378]]</f>
        <v>94.96</v>
      </c>
      <c r="NO4">
        <f>SOFR3mo_PX[[#This Row],[Column379]]</f>
        <v>94.93</v>
      </c>
      <c r="NP4">
        <f>SOFR3mo_PX[[#This Row],[Column380]]</f>
        <v>94.915000000000006</v>
      </c>
      <c r="NQ4">
        <f>SOFR3mo_PX[[#This Row],[Column381]]</f>
        <v>94.924999999999997</v>
      </c>
      <c r="NR4">
        <f>SOFR3mo_PX[[#This Row],[Column382]]</f>
        <v>94.93</v>
      </c>
      <c r="NS4">
        <f>SOFR3mo_PX[[#This Row],[Column383]]</f>
        <v>94.92</v>
      </c>
      <c r="NT4">
        <f>SOFR3mo_PX[[#This Row],[Column384]]</f>
        <v>94.94</v>
      </c>
      <c r="NU4">
        <f>SOFR3mo_PX[[#This Row],[Column385]]</f>
        <v>94.974999999999994</v>
      </c>
      <c r="NV4">
        <f>SOFR3mo_PX[[#This Row],[Column386]]</f>
        <v>95.015000000000001</v>
      </c>
      <c r="NW4">
        <f>SOFR3mo_PX[[#This Row],[Column387]]</f>
        <v>95.015000000000001</v>
      </c>
      <c r="NX4">
        <f>SOFR3mo_PX[[#This Row],[Column388]]</f>
        <v>95.004999999999995</v>
      </c>
      <c r="NY4">
        <f>SOFR3mo_PX[[#This Row],[Column389]]</f>
        <v>95.025000000000006</v>
      </c>
      <c r="NZ4">
        <f>SOFR3mo_PX[[#This Row],[Column390]]</f>
        <v>95</v>
      </c>
      <c r="OA4">
        <f>SOFR3mo_PX[[#This Row],[Column391]]</f>
        <v>95.015000000000001</v>
      </c>
      <c r="OB4">
        <f>SOFR3mo_PX[[#This Row],[Column392]]</f>
        <v>95.015000000000001</v>
      </c>
      <c r="OC4">
        <f>SOFR3mo_PX[[#This Row],[Column393]]</f>
        <v>94.995000000000005</v>
      </c>
      <c r="OD4">
        <f>SOFR3mo_PX[[#This Row],[Column394]]</f>
        <v>94.974999999999994</v>
      </c>
      <c r="OE4">
        <f>SOFR3mo_PX[[#This Row],[Column395]]</f>
        <v>94.625</v>
      </c>
      <c r="OF4">
        <f>SOFR3mo_PX[[#This Row],[Column396]]</f>
        <v>94.625</v>
      </c>
      <c r="OG4">
        <f>SOFR3mo_PX[[#This Row],[Column397]]</f>
        <v>94.627499999999998</v>
      </c>
      <c r="OH4">
        <f>SOFR3mo_PX[[#This Row],[Column398]]</f>
        <v>94.632499999999993</v>
      </c>
      <c r="OI4">
        <f>SOFR3mo_PX[[#This Row],[Column399]]</f>
        <v>94.622500000000002</v>
      </c>
      <c r="OJ4">
        <f>SOFR3mo_PX[[#This Row],[Column400]]</f>
        <v>94.61</v>
      </c>
      <c r="OK4">
        <f>SOFR3mo_PX[[#This Row],[Column401]]</f>
        <v>94.612499999999997</v>
      </c>
      <c r="OL4">
        <f>SOFR3mo_PX[[#This Row],[Column402]]</f>
        <v>94.614999999999995</v>
      </c>
      <c r="OM4">
        <f>SOFR3mo_PX[[#This Row],[Column403]]</f>
        <v>94.635000000000005</v>
      </c>
      <c r="ON4">
        <f>SOFR3mo_PX[[#This Row],[Column404]]</f>
        <v>94.63</v>
      </c>
      <c r="OO4">
        <f>SOFR3mo_PX[[#This Row],[Column405]]</f>
        <v>94.622500000000002</v>
      </c>
      <c r="OP4">
        <f>SOFR3mo_PX[[#This Row],[Column406]]</f>
        <v>94.62</v>
      </c>
      <c r="OQ4">
        <f>SOFR3mo_PX[[#This Row],[Column407]]</f>
        <v>94.64</v>
      </c>
      <c r="OR4">
        <f>SOFR3mo_PX[[#This Row],[Column408]]</f>
        <v>94.622500000000002</v>
      </c>
      <c r="OS4">
        <f>SOFR3mo_PX[[#This Row],[Column409]]</f>
        <v>94.625</v>
      </c>
      <c r="OT4">
        <f>SOFR3mo_PX[[#This Row],[Column410]]</f>
        <v>94.617500000000007</v>
      </c>
      <c r="OU4">
        <f>SOFR3mo_PX[[#This Row],[Column411]]</f>
        <v>94.605000000000004</v>
      </c>
      <c r="OV4">
        <f>SOFR3mo_PX[[#This Row],[Column412]]</f>
        <v>94.6</v>
      </c>
      <c r="OW4">
        <f>SOFR3mo_PX[[#This Row],[Column413]]</f>
        <v>94.605000000000004</v>
      </c>
      <c r="OX4">
        <f>SOFR3mo_PX[[#This Row],[Column414]]</f>
        <v>94.605000000000004</v>
      </c>
      <c r="OY4">
        <f>SOFR3mo_PX[[#This Row],[Column415]]</f>
        <v>94.614999999999995</v>
      </c>
      <c r="OZ4">
        <f>SOFR3mo_PX[[#This Row],[Column416]]</f>
        <v>94.617500000000007</v>
      </c>
      <c r="PA4">
        <f>SOFR3mo_PX[[#This Row],[Column417]]</f>
        <v>94.622500000000002</v>
      </c>
      <c r="PB4">
        <f>SOFR3mo_PX[[#This Row],[Column418]]</f>
        <v>94.627499999999998</v>
      </c>
      <c r="PC4">
        <f>SOFR3mo_PX[[#This Row],[Column419]]</f>
        <v>94.622500000000002</v>
      </c>
      <c r="PD4">
        <f>SOFR3mo_PX[[#This Row],[Column420]]</f>
        <v>94.635000000000005</v>
      </c>
      <c r="PE4">
        <f>SOFR3mo_PX[[#This Row],[Column421]]</f>
        <v>94.58</v>
      </c>
      <c r="PF4">
        <f>SOFR3mo_PX[[#This Row],[Column422]]</f>
        <v>94.594999999999999</v>
      </c>
      <c r="PG4">
        <f>SOFR3mo_PX[[#This Row],[Column423]]</f>
        <v>94.594999999999999</v>
      </c>
      <c r="PH4">
        <f>SOFR3mo_PX[[#This Row],[Column424]]</f>
        <v>94.61</v>
      </c>
      <c r="PI4">
        <f>SOFR3mo_PX[[#This Row],[Column425]]</f>
        <v>94.62</v>
      </c>
      <c r="PJ4">
        <f>SOFR3mo_PX[[#This Row],[Column426]]</f>
        <v>94.614999999999995</v>
      </c>
      <c r="PK4">
        <f>SOFR3mo_PX[[#This Row],[Column427]]</f>
        <v>94.62</v>
      </c>
      <c r="PL4">
        <f>SOFR3mo_PX[[#This Row],[Column428]]</f>
        <v>94.584999999999994</v>
      </c>
      <c r="PM4">
        <f>SOFR3mo_PX[[#This Row],[Column429]]</f>
        <v>94.58</v>
      </c>
      <c r="PN4">
        <f>SOFR3mo_PX[[#This Row],[Column430]]</f>
        <v>94.56</v>
      </c>
      <c r="PO4">
        <f>SOFR3mo_PX[[#This Row],[Column431]]</f>
        <v>94.57</v>
      </c>
      <c r="PP4">
        <f>SOFR3mo_PX[[#This Row],[Column432]]</f>
        <v>94.584999999999994</v>
      </c>
      <c r="PQ4">
        <f>SOFR3mo_PX[[#This Row],[Column433]]</f>
        <v>94.575000000000003</v>
      </c>
      <c r="PR4">
        <f>SOFR3mo_PX[[#This Row],[Column434]]</f>
        <v>94.555000000000007</v>
      </c>
      <c r="PS4">
        <f>SOFR3mo_PX[[#This Row],[Column435]]</f>
        <v>94.56</v>
      </c>
      <c r="PT4">
        <f>SOFR3mo_PX[[#This Row],[Column436]]</f>
        <v>94.564999999999998</v>
      </c>
      <c r="PU4">
        <f>SOFR3mo_PX[[#This Row],[Column437]]</f>
        <v>94.575000000000003</v>
      </c>
      <c r="PV4">
        <f>SOFR3mo_PX[[#This Row],[Column438]]</f>
        <v>94.55</v>
      </c>
      <c r="PW4">
        <f>SOFR3mo_PX[[#This Row],[Column439]]</f>
        <v>94.52</v>
      </c>
      <c r="PX4">
        <f>SOFR3mo_PX[[#This Row],[Column440]]</f>
        <v>94.51</v>
      </c>
      <c r="PY4">
        <f>SOFR3mo_PX[[#This Row],[Column441]]</f>
        <v>94.55</v>
      </c>
      <c r="PZ4">
        <f>SOFR3mo_PX[[#This Row],[Column442]]</f>
        <v>94.56</v>
      </c>
      <c r="QA4">
        <f>SOFR3mo_PX[[#This Row],[Column443]]</f>
        <v>94.545000000000002</v>
      </c>
      <c r="QB4">
        <f>SOFR3mo_PX[[#This Row],[Column444]]</f>
        <v>94.57</v>
      </c>
      <c r="QC4">
        <f>SOFR3mo_PX[[#This Row],[Column445]]</f>
        <v>94.58</v>
      </c>
      <c r="QD4">
        <f>SOFR3mo_PX[[#This Row],[Column446]]</f>
        <v>94.584999999999994</v>
      </c>
      <c r="QE4">
        <f>SOFR3mo_PX[[#This Row],[Column447]]</f>
        <v>94.53</v>
      </c>
      <c r="QF4">
        <f>SOFR3mo_PX[[#This Row],[Column448]]</f>
        <v>94.57</v>
      </c>
      <c r="QG4">
        <f>SOFR3mo_PX[[#This Row],[Column449]]</f>
        <v>94.56</v>
      </c>
      <c r="QH4">
        <f>SOFR3mo_PX[[#This Row],[Column450]]</f>
        <v>94.51</v>
      </c>
      <c r="QI4">
        <f>SOFR3mo_PX[[#This Row],[Column451]]</f>
        <v>94.515000000000001</v>
      </c>
      <c r="QJ4">
        <f>SOFR3mo_PX[[#This Row],[Column452]]</f>
        <v>94.55</v>
      </c>
      <c r="QK4">
        <f>SOFR3mo_PX[[#This Row],[Column453]]</f>
        <v>94.545000000000002</v>
      </c>
      <c r="QL4">
        <f>SOFR3mo_PX[[#This Row],[Column454]]</f>
        <v>94.515000000000001</v>
      </c>
      <c r="QM4">
        <f>SOFR3mo_PX[[#This Row],[Column455]]</f>
        <v>94.54</v>
      </c>
      <c r="QN4">
        <f>SOFR3mo_PX[[#This Row],[Column456]]</f>
        <v>94.53</v>
      </c>
      <c r="QO4">
        <f>SOFR3mo_PX[[#This Row],[Column457]]</f>
        <v>94.53</v>
      </c>
      <c r="QP4">
        <f>SOFR3mo_PX[[#This Row],[Column458]]</f>
        <v>94.52</v>
      </c>
      <c r="QQ4">
        <f>SOFR3mo_PX[[#This Row],[Column459]]</f>
        <v>94.52</v>
      </c>
      <c r="QR4">
        <f>SOFR3mo_PX[[#This Row],[Column460]]</f>
        <v>94.607500000000002</v>
      </c>
      <c r="QS4">
        <f>SOFR3mo_PX[[#This Row],[Column461]]</f>
        <v>94.605000000000004</v>
      </c>
      <c r="QT4">
        <f>SOFR3mo_PX[[#This Row],[Column462]]</f>
        <v>94.607500000000002</v>
      </c>
      <c r="QU4">
        <f>SOFR3mo_PX[[#This Row],[Column463]]</f>
        <v>94.6</v>
      </c>
      <c r="QV4">
        <f>SOFR3mo_PX[[#This Row],[Column464]]</f>
        <v>94.59</v>
      </c>
      <c r="QW4">
        <f>SOFR3mo_PX[[#This Row],[Column465]]</f>
        <v>94.582499999999996</v>
      </c>
      <c r="QX4">
        <f>SOFR3mo_PX[[#This Row],[Column466]]</f>
        <v>94.58</v>
      </c>
      <c r="QY4">
        <f>SOFR3mo_PX[[#This Row],[Column467]]</f>
        <v>94.584999999999994</v>
      </c>
      <c r="QZ4">
        <f>SOFR3mo_PX[[#This Row],[Column468]]</f>
        <v>94.582499999999996</v>
      </c>
      <c r="RA4">
        <f>SOFR3mo_PX[[#This Row],[Column469]]</f>
        <v>94.58</v>
      </c>
      <c r="RB4">
        <f>SOFR3mo_PX[[#This Row],[Column470]]</f>
        <v>94.58</v>
      </c>
      <c r="RC4">
        <f>SOFR3mo_PX[[#This Row],[Column471]]</f>
        <v>94.594999999999999</v>
      </c>
      <c r="RD4">
        <f>SOFR3mo_PX[[#This Row],[Column472]]</f>
        <v>94.594999999999999</v>
      </c>
      <c r="RE4">
        <f>SOFR3mo_PX[[#This Row],[Column473]]</f>
        <v>94.587500000000006</v>
      </c>
      <c r="RF4">
        <f>SOFR3mo_PX[[#This Row],[Column474]]</f>
        <v>94.577500000000001</v>
      </c>
      <c r="RG4">
        <f>SOFR3mo_PX[[#This Row],[Column475]]</f>
        <v>94.567499999999995</v>
      </c>
      <c r="RH4">
        <f>SOFR3mo_PX[[#This Row],[Column476]]</f>
        <v>94.54</v>
      </c>
      <c r="RI4">
        <f>SOFR3mo_PX[[#This Row],[Column477]]</f>
        <v>94.545000000000002</v>
      </c>
      <c r="RJ4">
        <f>SOFR3mo_PX[[#This Row],[Column478]]</f>
        <v>94.564999999999998</v>
      </c>
      <c r="RK4">
        <f>SOFR3mo_PX[[#This Row],[Column479]]</f>
        <v>94.587500000000006</v>
      </c>
      <c r="RL4">
        <f>SOFR3mo_PX[[#This Row],[Column480]]</f>
        <v>94.577500000000001</v>
      </c>
      <c r="RM4">
        <f>SOFR3mo_PX[[#This Row],[Column481]]</f>
        <v>94.584999999999994</v>
      </c>
      <c r="RN4">
        <f>SOFR3mo_PX[[#This Row],[Column482]]</f>
        <v>94.6</v>
      </c>
      <c r="RO4">
        <f>SOFR3mo_PX[[#This Row],[Column483]]</f>
        <v>94.587500000000006</v>
      </c>
      <c r="RP4">
        <f>SOFR3mo_PX[[#This Row],[Column484]]</f>
        <v>94.584999999999994</v>
      </c>
      <c r="RQ4">
        <f>SOFR3mo_PX[[#This Row],[Column485]]</f>
        <v>94.59</v>
      </c>
      <c r="RR4">
        <f>SOFR3mo_PX[[#This Row],[Column486]]</f>
        <v>94.587500000000006</v>
      </c>
      <c r="RS4">
        <f>SOFR3mo_PX[[#This Row],[Column487]]</f>
        <v>94.594999999999999</v>
      </c>
      <c r="RT4">
        <f>SOFR3mo_PX[[#This Row],[Column488]]</f>
        <v>94.61</v>
      </c>
      <c r="RU4">
        <f>SOFR3mo_PX[[#This Row],[Column489]]</f>
        <v>94.6</v>
      </c>
      <c r="RV4">
        <f>SOFR3mo_PX[[#This Row],[Column490]]</f>
        <v>94.6</v>
      </c>
      <c r="RW4">
        <f>SOFR3mo_PX[[#This Row],[Column491]]</f>
        <v>94.6</v>
      </c>
      <c r="RX4">
        <f>SOFR3mo_PX[[#This Row],[Column492]]</f>
        <v>94.6</v>
      </c>
      <c r="RY4">
        <f>SOFR3mo_PX[[#This Row],[Column493]]</f>
        <v>94.59</v>
      </c>
      <c r="RZ4">
        <f>SOFR3mo_PX[[#This Row],[Column494]]</f>
        <v>94.594999999999999</v>
      </c>
      <c r="SA4">
        <f>SOFR3mo_PX[[#This Row],[Column495]]</f>
        <v>94.59</v>
      </c>
      <c r="SB4">
        <f>SOFR3mo_PX[[#This Row],[Column496]]</f>
        <v>94.59</v>
      </c>
      <c r="SC4">
        <f>SOFR3mo_PX[[#This Row],[Column497]]</f>
        <v>94.59</v>
      </c>
      <c r="SD4">
        <f>SOFR3mo_PX[[#This Row],[Column498]]</f>
        <v>94.58</v>
      </c>
      <c r="SE4">
        <f>SOFR3mo_PX[[#This Row],[Column499]]</f>
        <v>94.575000000000003</v>
      </c>
      <c r="SF4">
        <f>SOFR3mo_PX[[#This Row],[Column500]]</f>
        <v>94.57</v>
      </c>
      <c r="SG4">
        <f>SOFR3mo_PX[[#This Row],[Column501]]</f>
        <v>94.584999999999994</v>
      </c>
      <c r="SH4">
        <f>SOFR3mo_PX[[#This Row],[Column502]]</f>
        <v>94.6</v>
      </c>
      <c r="SI4">
        <f>SOFR3mo_PX[[#This Row],[Column503]]</f>
        <v>94.59</v>
      </c>
      <c r="SJ4">
        <f>SOFR3mo_PX[[#This Row],[Column504]]</f>
        <v>94.605000000000004</v>
      </c>
      <c r="SK4">
        <f>SOFR3mo_PX[[#This Row],[Column505]]</f>
        <v>94.6</v>
      </c>
      <c r="SL4">
        <f>SOFR3mo_PX[[#This Row],[Column506]]</f>
        <v>94.6</v>
      </c>
      <c r="SM4">
        <f>SOFR3mo_PX[[#This Row],[Column507]]</f>
        <v>94.605000000000004</v>
      </c>
      <c r="SN4">
        <f>SOFR3mo_PX[[#This Row],[Column508]]</f>
        <v>94.63</v>
      </c>
      <c r="SO4">
        <f>SOFR3mo_PX[[#This Row],[Column509]]</f>
        <v>94.61</v>
      </c>
      <c r="SP4">
        <f>SOFR3mo_PX[[#This Row],[Column510]]</f>
        <v>94.57</v>
      </c>
      <c r="SQ4">
        <f>SOFR3mo_PX[[#This Row],[Column511]]</f>
        <v>94.584999999999994</v>
      </c>
      <c r="SR4">
        <f>SOFR3mo_PX[[#This Row],[Column512]]</f>
        <v>94.58</v>
      </c>
      <c r="SS4">
        <f>SOFR3mo_PX[[#This Row],[Column513]]</f>
        <v>94.564999999999998</v>
      </c>
      <c r="ST4">
        <f>SOFR3mo_PX[[#This Row],[Column514]]</f>
        <v>94.605000000000004</v>
      </c>
      <c r="SU4">
        <f>SOFR3mo_PX[[#This Row],[Column515]]</f>
        <v>94.594999999999999</v>
      </c>
      <c r="SV4">
        <f>SOFR3mo_PX[[#This Row],[Column516]]</f>
        <v>94.594999999999999</v>
      </c>
      <c r="SW4">
        <f>SOFR3mo_PX[[#This Row],[Column517]]</f>
        <v>94.6</v>
      </c>
      <c r="SX4">
        <f>SOFR3mo_PX[[#This Row],[Column518]]</f>
        <v>94.58</v>
      </c>
      <c r="SY4">
        <f>SOFR3mo_PX[[#This Row],[Column519]]</f>
        <v>94.635000000000005</v>
      </c>
      <c r="SZ4">
        <f>SOFR3mo_PX[[#This Row],[Column520]]</f>
        <v>94.635000000000005</v>
      </c>
      <c r="TA4">
        <f>SOFR3mo_PX[[#This Row],[Column521]]</f>
        <v>94.655000000000001</v>
      </c>
      <c r="TB4">
        <f>SOFR3mo_PX[[#This Row],[Column522]]</f>
        <v>94.665000000000006</v>
      </c>
      <c r="TC4">
        <f>SOFR3mo_PX[[#This Row],[Column523]]</f>
        <v>94.644999999999996</v>
      </c>
      <c r="TD4">
        <f>SOFR3mo_PX[[#This Row],[Column524]]</f>
        <v>94.66</v>
      </c>
      <c r="TE4">
        <f>SOFR3mo_PX[[#This Row],[Column525]]</f>
        <v>94.777500000000003</v>
      </c>
      <c r="TF4">
        <f>SOFR3mo_PX[[#This Row],[Column526]]</f>
        <v>94.784999999999997</v>
      </c>
      <c r="TG4">
        <f>SOFR3mo_PX[[#This Row],[Column527]]</f>
        <v>94.784999999999997</v>
      </c>
      <c r="TH4">
        <f>SOFR3mo_PX[[#This Row],[Column528]]</f>
        <v>94.795000000000002</v>
      </c>
      <c r="TI4">
        <f>SOFR3mo_PX[[#This Row],[Column529]]</f>
        <v>94.8</v>
      </c>
      <c r="TJ4">
        <f>SOFR3mo_PX[[#This Row],[Column530]]</f>
        <v>94.78</v>
      </c>
      <c r="TK4">
        <f>SOFR3mo_PX[[#This Row],[Column531]]</f>
        <v>94.73</v>
      </c>
      <c r="TL4">
        <f>SOFR3mo_PX[[#This Row],[Column532]]</f>
        <v>94.737499999999997</v>
      </c>
      <c r="TM4">
        <f>SOFR3mo_PX[[#This Row],[Column533]]</f>
        <v>94.745000000000005</v>
      </c>
      <c r="TN4">
        <f>SOFR3mo_PX[[#This Row],[Column534]]</f>
        <v>94.745000000000005</v>
      </c>
      <c r="TO4">
        <f>SOFR3mo_PX[[#This Row],[Column535]]</f>
        <v>94.745000000000005</v>
      </c>
      <c r="TP4">
        <f>SOFR3mo_PX[[#This Row],[Column536]]</f>
        <v>94.732500000000002</v>
      </c>
      <c r="TQ4">
        <f>SOFR3mo_PX[[#This Row],[Column537]]</f>
        <v>94.722499999999997</v>
      </c>
      <c r="TR4">
        <f>SOFR3mo_PX[[#This Row],[Column538]]</f>
        <v>94.757499999999993</v>
      </c>
      <c r="TS4">
        <f>SOFR3mo_PX[[#This Row],[Column539]]</f>
        <v>94.72</v>
      </c>
      <c r="TT4">
        <f>SOFR3mo_PX[[#This Row],[Column540]]</f>
        <v>94.662499999999994</v>
      </c>
      <c r="TU4">
        <f>SOFR3mo_PX[[#This Row],[Column541]]</f>
        <v>94.672499999999999</v>
      </c>
      <c r="TV4">
        <f>SOFR3mo_PX[[#This Row],[Column542]]</f>
        <v>94.672499999999999</v>
      </c>
      <c r="TW4">
        <f>SOFR3mo_PX[[#This Row],[Column543]]</f>
        <v>94.682500000000005</v>
      </c>
      <c r="TX4">
        <f>SOFR3mo_PX[[#This Row],[Column544]]</f>
        <v>94.737499999999997</v>
      </c>
      <c r="TY4">
        <f>SOFR3mo_PX[[#This Row],[Column545]]</f>
        <v>94.784999999999997</v>
      </c>
      <c r="TZ4">
        <f>SOFR3mo_PX[[#This Row],[Column546]]</f>
        <v>94.802499999999995</v>
      </c>
      <c r="UA4">
        <f>SOFR3mo_PX[[#This Row],[Column547]]</f>
        <v>94.842500000000001</v>
      </c>
      <c r="UB4">
        <f>SOFR3mo_PX[[#This Row],[Column548]]</f>
        <v>94.81</v>
      </c>
      <c r="UC4">
        <f>SOFR3mo_PX[[#This Row],[Column549]]</f>
        <v>94.864999999999995</v>
      </c>
      <c r="UD4">
        <f>SOFR3mo_PX[[#This Row],[Column550]]</f>
        <v>94.894999999999996</v>
      </c>
      <c r="UE4">
        <f>SOFR3mo_PX[[#This Row],[Column551]]</f>
        <v>94.907499999999999</v>
      </c>
      <c r="UF4">
        <f>SOFR3mo_PX[[#This Row],[Column552]]</f>
        <v>94.924999999999997</v>
      </c>
      <c r="UG4">
        <f>SOFR3mo_PX[[#This Row],[Column553]]</f>
        <v>94.944999999999993</v>
      </c>
      <c r="UH4">
        <f>SOFR3mo_PX[[#This Row],[Column554]]</f>
        <v>94.965000000000003</v>
      </c>
      <c r="UI4">
        <f>SOFR3mo_PX[[#This Row],[Column555]]</f>
        <v>94.915000000000006</v>
      </c>
      <c r="UJ4">
        <f>SOFR3mo_PX[[#This Row],[Column556]]</f>
        <v>94.93</v>
      </c>
      <c r="UK4">
        <f>SOFR3mo_PX[[#This Row],[Column557]]</f>
        <v>94.96</v>
      </c>
      <c r="UL4">
        <f>SOFR3mo_PX[[#This Row],[Column558]]</f>
        <v>95.04</v>
      </c>
      <c r="UM4">
        <f>SOFR3mo_PX[[#This Row],[Column559]]</f>
        <v>94.935000000000002</v>
      </c>
      <c r="UN4">
        <f>SOFR3mo_PX[[#This Row],[Column560]]</f>
        <v>94.984999999999999</v>
      </c>
      <c r="UO4">
        <f>SOFR3mo_PX[[#This Row],[Column561]]</f>
        <v>94.875</v>
      </c>
      <c r="UP4">
        <f>SOFR3mo_PX[[#This Row],[Column562]]</f>
        <v>94.915000000000006</v>
      </c>
      <c r="UQ4">
        <f>SOFR3mo_PX[[#This Row],[Column563]]</f>
        <v>94.9</v>
      </c>
      <c r="UR4">
        <f>SOFR3mo_PX[[#This Row],[Column564]]</f>
        <v>94.984999999999999</v>
      </c>
      <c r="US4">
        <f>SOFR3mo_PX[[#This Row],[Column565]]</f>
        <v>95</v>
      </c>
      <c r="UT4">
        <f>SOFR3mo_PX[[#This Row],[Column566]]</f>
        <v>94.905000000000001</v>
      </c>
      <c r="UU4">
        <f>SOFR3mo_PX[[#This Row],[Column567]]</f>
        <v>94.905000000000001</v>
      </c>
      <c r="UV4">
        <f>SOFR3mo_PX[[#This Row],[Column568]]</f>
        <v>94.915000000000006</v>
      </c>
      <c r="UW4">
        <f>SOFR3mo_PX[[#This Row],[Column569]]</f>
        <v>94.885000000000005</v>
      </c>
      <c r="UX4">
        <f>SOFR3mo_PX[[#This Row],[Column570]]</f>
        <v>94.915000000000006</v>
      </c>
      <c r="UY4">
        <f>SOFR3mo_PX[[#This Row],[Column571]]</f>
        <v>94.92</v>
      </c>
      <c r="UZ4">
        <f>SOFR3mo_PX[[#This Row],[Column572]]</f>
        <v>94.965000000000003</v>
      </c>
      <c r="VA4">
        <f>SOFR3mo_PX[[#This Row],[Column573]]</f>
        <v>95.07</v>
      </c>
      <c r="VB4">
        <f>SOFR3mo_PX[[#This Row],[Column574]]</f>
        <v>95.055000000000007</v>
      </c>
      <c r="VC4">
        <f>SOFR3mo_PX[[#This Row],[Column575]]</f>
        <v>95.025000000000006</v>
      </c>
      <c r="VD4">
        <f>SOFR3mo_PX[[#This Row],[Column576]]</f>
        <v>95.02</v>
      </c>
      <c r="VE4">
        <f>SOFR3mo_PX[[#This Row],[Column577]]</f>
        <v>95.055000000000007</v>
      </c>
      <c r="VF4">
        <f>SOFR3mo_PX[[#This Row],[Column578]]</f>
        <v>95.18</v>
      </c>
      <c r="VG4">
        <f>SOFR3mo_PX[[#This Row],[Column579]]</f>
        <v>95.224999999999994</v>
      </c>
      <c r="VH4">
        <f>SOFR3mo_PX[[#This Row],[Column580]]</f>
        <v>95.19</v>
      </c>
      <c r="VI4">
        <f>SOFR3mo_PX[[#This Row],[Column581]]</f>
        <v>95.07</v>
      </c>
      <c r="VJ4">
        <f>SOFR3mo_PX[[#This Row],[Column582]]</f>
        <v>95.125</v>
      </c>
      <c r="VK4">
        <f>SOFR3mo_PX[[#This Row],[Column583]]</f>
        <v>95.144999999999996</v>
      </c>
      <c r="VL4">
        <f>SOFR3mo_PX[[#This Row],[Column584]]</f>
        <v>95.18</v>
      </c>
      <c r="VM4">
        <f>SOFR3mo_PX[[#This Row],[Column585]]</f>
        <v>95.21</v>
      </c>
      <c r="VN4">
        <f>SOFR3mo_PX[[#This Row],[Column586]]</f>
        <v>95.204999999999998</v>
      </c>
      <c r="VO4">
        <f>SOFR3mo_PX[[#This Row],[Column587]]</f>
        <v>95.39</v>
      </c>
      <c r="VP4">
        <f>SOFR3mo_PX[[#This Row],[Column588]]</f>
        <v>95.394999999999996</v>
      </c>
      <c r="VQ4">
        <f>SOFR3mo_PX[[#This Row],[Column589]]</f>
        <v>95.24</v>
      </c>
      <c r="VR4">
        <f>SOFR3mo_PX[[#This Row],[Column590]]</f>
        <v>95.174999999999997</v>
      </c>
      <c r="VS4">
        <f>SOFR3mo_PX[[#This Row],[Column591]]</f>
        <v>95.51</v>
      </c>
      <c r="VT4">
        <f>SOFR3mo_PX[[#This Row],[Column592]]</f>
        <v>95.62</v>
      </c>
      <c r="VU4">
        <f>SOFR3mo_PX[[#This Row],[Column593]]</f>
        <v>95.29</v>
      </c>
      <c r="VV4">
        <f>SOFR3mo_PX[[#This Row],[Column594]]</f>
        <v>95.614999999999995</v>
      </c>
      <c r="VW4">
        <f>SOFR3mo_PX[[#This Row],[Column595]]</f>
        <v>95.16</v>
      </c>
      <c r="VX4">
        <f>SOFR3mo_PX[[#This Row],[Column596]]</f>
        <v>95.267499999999998</v>
      </c>
      <c r="VY4">
        <f>SOFR3mo_PX[[#This Row],[Column597]]</f>
        <v>94.96</v>
      </c>
      <c r="VZ4">
        <f>SOFR3mo_PX[[#This Row],[Column598]]</f>
        <v>94.86</v>
      </c>
      <c r="WA4">
        <f>SOFR3mo_PX[[#This Row],[Column599]]</f>
        <v>94.832499999999996</v>
      </c>
      <c r="WB4">
        <f>SOFR3mo_PX[[#This Row],[Column600]]</f>
        <v>94.864999999999995</v>
      </c>
      <c r="WC4">
        <f>SOFR3mo_PX[[#This Row],[Column601]]</f>
        <v>94.974999999999994</v>
      </c>
      <c r="WD4">
        <f>SOFR3mo_PX[[#This Row],[Column602]]</f>
        <v>94.987499999999997</v>
      </c>
      <c r="WE4">
        <f>SOFR3mo_PX[[#This Row],[Column603]]</f>
        <v>94.99</v>
      </c>
      <c r="WF4">
        <f>SOFR3mo_PX[[#This Row],[Column604]]</f>
        <v>94.99</v>
      </c>
      <c r="WG4">
        <f>SOFR3mo_PX[[#This Row],[Column605]]</f>
        <v>95.004999999999995</v>
      </c>
      <c r="WH4">
        <f>SOFR3mo_PX[[#This Row],[Column606]]</f>
        <v>95.002499999999998</v>
      </c>
      <c r="WI4">
        <f>SOFR3mo_PX[[#This Row],[Column607]]</f>
        <v>95</v>
      </c>
      <c r="WJ4">
        <f>SOFR3mo_PX[[#This Row],[Column608]]</f>
        <v>94.99</v>
      </c>
      <c r="WK4">
        <f>SOFR3mo_PX[[#This Row],[Column609]]</f>
        <v>94.987499999999997</v>
      </c>
      <c r="WL4">
        <f>SOFR3mo_PX[[#This Row],[Column610]]</f>
        <v>95.004999999999995</v>
      </c>
      <c r="WM4">
        <f>SOFR3mo_PX[[#This Row],[Column611]]</f>
        <v>95.03</v>
      </c>
      <c r="WN4">
        <f>SOFR3mo_PX[[#This Row],[Column612]]</f>
        <v>95.03</v>
      </c>
      <c r="WO4">
        <f>SOFR3mo_PX[[#This Row],[Column613]]</f>
        <v>95.06</v>
      </c>
      <c r="WP4">
        <f>SOFR3mo_PX[[#This Row],[Column614]]</f>
        <v>95.06</v>
      </c>
      <c r="WQ4">
        <f>SOFR3mo_PX[[#This Row],[Column615]]</f>
        <v>95.052499999999995</v>
      </c>
      <c r="WR4">
        <f>SOFR3mo_PX[[#This Row],[Column616]]</f>
        <v>95.064999999999998</v>
      </c>
      <c r="WS4">
        <f>SOFR3mo_PX[[#This Row],[Column617]]</f>
        <v>95.07</v>
      </c>
      <c r="WT4">
        <f>SOFR3mo_PX[[#This Row],[Column618]]</f>
        <v>95.07</v>
      </c>
      <c r="WU4">
        <f>SOFR3mo_PX[[#This Row],[Column619]]</f>
        <v>95.075000000000003</v>
      </c>
      <c r="WV4">
        <f>SOFR3mo_PX[[#This Row],[Column620]]</f>
        <v>95.08</v>
      </c>
      <c r="WW4">
        <f>SOFR3mo_PX[[#This Row],[Column621]]</f>
        <v>95.09</v>
      </c>
      <c r="WX4">
        <f>SOFR3mo_PX[[#This Row],[Column622]]</f>
        <v>95.12</v>
      </c>
      <c r="WY4">
        <f>SOFR3mo_PX[[#This Row],[Column623]]</f>
        <v>95.18</v>
      </c>
      <c r="WZ4">
        <f>SOFR3mo_PX[[#This Row],[Column624]]</f>
        <v>95.17</v>
      </c>
      <c r="XA4">
        <f>SOFR3mo_PX[[#This Row],[Column625]]</f>
        <v>95.165000000000006</v>
      </c>
      <c r="XB4">
        <f>SOFR3mo_PX[[#This Row],[Column626]]</f>
        <v>95.15</v>
      </c>
      <c r="XC4">
        <f>SOFR3mo_PX[[#This Row],[Column627]]</f>
        <v>95.16</v>
      </c>
      <c r="XD4">
        <f>SOFR3mo_PX[[#This Row],[Column628]]</f>
        <v>95.16</v>
      </c>
      <c r="XE4">
        <f>SOFR3mo_PX[[#This Row],[Column629]]</f>
        <v>95.17</v>
      </c>
      <c r="XF4">
        <f>SOFR3mo_PX[[#This Row],[Column630]]</f>
        <v>95.15</v>
      </c>
      <c r="XG4">
        <f>SOFR3mo_PX[[#This Row],[Column631]]</f>
        <v>95.14</v>
      </c>
      <c r="XH4">
        <f>SOFR3mo_PX[[#This Row],[Column632]]</f>
        <v>95.16</v>
      </c>
      <c r="XI4">
        <f>SOFR3mo_PX[[#This Row],[Column633]]</f>
        <v>95.165000000000006</v>
      </c>
      <c r="XJ4">
        <f>SOFR3mo_PX[[#This Row],[Column634]]</f>
        <v>95.18</v>
      </c>
      <c r="XK4">
        <f>SOFR3mo_PX[[#This Row],[Column635]]</f>
        <v>95.155000000000001</v>
      </c>
      <c r="XL4">
        <f>SOFR3mo_PX[[#This Row],[Column636]]</f>
        <v>95.144999999999996</v>
      </c>
      <c r="XM4">
        <f>SOFR3mo_PX[[#This Row],[Column637]]</f>
        <v>95.144999999999996</v>
      </c>
      <c r="XN4">
        <f>SOFR3mo_PX[[#This Row],[Column638]]</f>
        <v>95.155000000000001</v>
      </c>
      <c r="XO4">
        <f>SOFR3mo_PX[[#This Row],[Column639]]</f>
        <v>95.114999999999995</v>
      </c>
      <c r="XP4">
        <f>SOFR3mo_PX[[#This Row],[Column640]]</f>
        <v>95.114999999999995</v>
      </c>
      <c r="XQ4">
        <f>SOFR3mo_PX[[#This Row],[Column641]]</f>
        <v>95.12</v>
      </c>
      <c r="XR4">
        <f>SOFR3mo_PX[[#This Row],[Column642]]</f>
        <v>95.1</v>
      </c>
      <c r="XS4">
        <f>SOFR3mo_PX[[#This Row],[Column643]]</f>
        <v>95.05</v>
      </c>
      <c r="XT4">
        <f>SOFR3mo_PX[[#This Row],[Column644]]</f>
        <v>95.084999999999994</v>
      </c>
      <c r="XU4">
        <f>SOFR3mo_PX[[#This Row],[Column645]]</f>
        <v>95.084999999999994</v>
      </c>
      <c r="XV4">
        <f>SOFR3mo_PX[[#This Row],[Column646]]</f>
        <v>95.084999999999994</v>
      </c>
      <c r="XW4">
        <f>SOFR3mo_PX[[#This Row],[Column647]]</f>
        <v>95.084999999999994</v>
      </c>
      <c r="XX4">
        <f>SOFR3mo_PX[[#This Row],[Column648]]</f>
        <v>95.11</v>
      </c>
      <c r="XY4">
        <f>SOFR3mo_PX[[#This Row],[Column649]]</f>
        <v>95.105000000000004</v>
      </c>
      <c r="XZ4">
        <f>SOFR3mo_PX[[#This Row],[Column650]]</f>
        <v>95.064999999999998</v>
      </c>
      <c r="YA4">
        <f>SOFR3mo_PX[[#This Row],[Column651]]</f>
        <v>95.12</v>
      </c>
      <c r="YB4">
        <f>SOFR3mo_PX[[#This Row],[Column652]]</f>
        <v>95.12</v>
      </c>
      <c r="YC4">
        <f>SOFR3mo_PX[[#This Row],[Column653]]</f>
        <v>95.144999999999996</v>
      </c>
      <c r="YD4">
        <f>SOFR3mo_PX[[#This Row],[Column654]]</f>
        <v>95.18</v>
      </c>
      <c r="YE4">
        <f>SOFR3mo_PX[[#This Row],[Column655]]</f>
        <v>95.49</v>
      </c>
      <c r="YF4">
        <f>SOFR3mo_PX[[#This Row],[Column656]]</f>
        <v>95.49</v>
      </c>
      <c r="YG4">
        <f>SOFR3mo_PX[[#This Row],[Column657]]</f>
        <v>95.502499999999998</v>
      </c>
      <c r="YH4">
        <f>SOFR3mo_PX[[#This Row],[Column658]]</f>
        <v>95.502499999999998</v>
      </c>
      <c r="YI4">
        <f>SOFR3mo_PX[[#This Row],[Column659]]</f>
        <v>95.5</v>
      </c>
      <c r="YJ4">
        <f>SOFR3mo_PX[[#This Row],[Column660]]</f>
        <v>95.495000000000005</v>
      </c>
      <c r="YK4">
        <f>SOFR3mo_PX[[#This Row],[Column661]]</f>
        <v>95.462500000000006</v>
      </c>
      <c r="YL4">
        <f>SOFR3mo_PX[[#This Row],[Column662]]</f>
        <v>95.474999999999994</v>
      </c>
      <c r="YM4">
        <f>SOFR3mo_PX[[#This Row],[Column663]]</f>
        <v>95.474999999999994</v>
      </c>
      <c r="YN4">
        <f>SOFR3mo_PX[[#This Row],[Column664]]</f>
        <v>95.477500000000006</v>
      </c>
      <c r="YO4">
        <f>SOFR3mo_PX[[#This Row],[Column665]]</f>
        <v>95.467500000000001</v>
      </c>
      <c r="YP4">
        <f>SOFR3mo_PX[[#This Row],[Column666]]</f>
        <v>95.462500000000006</v>
      </c>
      <c r="YQ4">
        <f>SOFR3mo_PX[[#This Row],[Column667]]</f>
        <v>95.477500000000006</v>
      </c>
      <c r="YR4">
        <f>SOFR3mo_PX[[#This Row],[Column668]]</f>
        <v>95.48</v>
      </c>
      <c r="YS4">
        <f>SOFR3mo_PX[[#This Row],[Column669]]</f>
        <v>95.46</v>
      </c>
      <c r="YT4">
        <f>SOFR3mo_PX[[#This Row],[Column670]]</f>
        <v>95.442499999999995</v>
      </c>
      <c r="YU4">
        <f>SOFR3mo_PX[[#This Row],[Column671]]</f>
        <v>95.43</v>
      </c>
      <c r="YV4">
        <f>SOFR3mo_PX[[#This Row],[Column672]]</f>
        <v>95.432500000000005</v>
      </c>
      <c r="YW4">
        <f>SOFR3mo_PX[[#This Row],[Column673]]</f>
        <v>95.424999999999997</v>
      </c>
      <c r="YX4">
        <f>SOFR3mo_PX[[#This Row],[Column674]]</f>
        <v>95.424999999999997</v>
      </c>
      <c r="YY4">
        <f>SOFR3mo_PX[[#This Row],[Column675]]</f>
        <v>95.42</v>
      </c>
      <c r="YZ4">
        <f>SOFR3mo_PX[[#This Row],[Column676]]</f>
        <v>95.4375</v>
      </c>
      <c r="ZA4">
        <f>SOFR3mo_PX[[#This Row],[Column677]]</f>
        <v>95.45</v>
      </c>
      <c r="ZB4">
        <f>SOFR3mo_PX[[#This Row],[Column678]]</f>
        <v>95.467500000000001</v>
      </c>
      <c r="ZC4">
        <f>SOFR3mo_PX[[#This Row],[Column679]]</f>
        <v>95.482500000000002</v>
      </c>
      <c r="ZD4">
        <f>SOFR3mo_PX[[#This Row],[Column680]]</f>
        <v>95.482500000000002</v>
      </c>
      <c r="ZE4">
        <f>SOFR3mo_PX[[#This Row],[Column681]]</f>
        <v>95.477500000000006</v>
      </c>
      <c r="ZF4">
        <f>SOFR3mo_PX[[#This Row],[Column682]]</f>
        <v>95.49</v>
      </c>
      <c r="ZG4">
        <f>SOFR3mo_PX[[#This Row],[Column683]]</f>
        <v>95.495000000000005</v>
      </c>
      <c r="ZH4">
        <f>SOFR3mo_PX[[#This Row],[Column684]]</f>
        <v>95.41</v>
      </c>
      <c r="ZI4">
        <f>SOFR3mo_PX[[#This Row],[Column685]]</f>
        <v>95.394999999999996</v>
      </c>
      <c r="ZJ4">
        <f>SOFR3mo_PX[[#This Row],[Column686]]</f>
        <v>95.38</v>
      </c>
      <c r="ZK4">
        <f>SOFR3mo_PX[[#This Row],[Column687]]</f>
        <v>95.41</v>
      </c>
      <c r="ZL4">
        <f>SOFR3mo_PX[[#This Row],[Column688]]</f>
        <v>95.375</v>
      </c>
      <c r="ZM4">
        <f>SOFR3mo_PX[[#This Row],[Column689]]</f>
        <v>95.405000000000001</v>
      </c>
      <c r="ZN4">
        <f>SOFR3mo_PX[[#This Row],[Column690]]</f>
        <v>95.385000000000005</v>
      </c>
      <c r="ZO4">
        <f>SOFR3mo_PX[[#This Row],[Column691]]</f>
        <v>95.39</v>
      </c>
      <c r="ZP4">
        <f>SOFR3mo_PX[[#This Row],[Column692]]</f>
        <v>95.43</v>
      </c>
      <c r="ZQ4">
        <f>SOFR3mo_PX[[#This Row],[Column693]]</f>
        <v>95.47</v>
      </c>
      <c r="ZR4">
        <f>SOFR3mo_PX[[#This Row],[Column694]]</f>
        <v>95.444999999999993</v>
      </c>
      <c r="ZS4">
        <f>SOFR3mo_PX[[#This Row],[Column695]]</f>
        <v>95.39</v>
      </c>
      <c r="ZT4">
        <f>SOFR3mo_PX[[#This Row],[Column696]]</f>
        <v>95.375</v>
      </c>
      <c r="ZU4">
        <f>SOFR3mo_PX[[#This Row],[Column697]]</f>
        <v>95.41</v>
      </c>
      <c r="ZV4">
        <f>SOFR3mo_PX[[#This Row],[Column698]]</f>
        <v>95.305000000000007</v>
      </c>
      <c r="ZW4">
        <f>SOFR3mo_PX[[#This Row],[Column699]]</f>
        <v>95.32</v>
      </c>
      <c r="ZX4">
        <f>SOFR3mo_PX[[#This Row],[Column700]]</f>
        <v>95.364999999999995</v>
      </c>
      <c r="ZY4">
        <f>SOFR3mo_PX[[#This Row],[Column701]]</f>
        <v>95.355000000000004</v>
      </c>
      <c r="ZZ4">
        <f>SOFR3mo_PX[[#This Row],[Column702]]</f>
        <v>95.34</v>
      </c>
      <c r="AAA4">
        <f>SOFR3mo_PX[[#This Row],[Column703]]</f>
        <v>95.36</v>
      </c>
      <c r="AAB4">
        <f>SOFR3mo_PX[[#This Row],[Column704]]</f>
        <v>95.52</v>
      </c>
      <c r="AAC4">
        <f>SOFR3mo_PX[[#This Row],[Column705]]</f>
        <v>95.525000000000006</v>
      </c>
      <c r="AAD4">
        <f>SOFR3mo_PX[[#This Row],[Column706]]</f>
        <v>95.52</v>
      </c>
      <c r="AAE4">
        <f>SOFR3mo_PX[[#This Row],[Column707]]</f>
        <v>95.545000000000002</v>
      </c>
      <c r="AAF4">
        <f>SOFR3mo_PX[[#This Row],[Column708]]</f>
        <v>95.625</v>
      </c>
      <c r="AAG4">
        <f>SOFR3mo_PX[[#This Row],[Column709]]</f>
        <v>95.665000000000006</v>
      </c>
      <c r="AAH4">
        <f>SOFR3mo_PX[[#This Row],[Column710]]</f>
        <v>95.674999999999997</v>
      </c>
      <c r="AAI4">
        <f>SOFR3mo_PX[[#This Row],[Column711]]</f>
        <v>95.715000000000003</v>
      </c>
      <c r="AAJ4">
        <f>SOFR3mo_PX[[#This Row],[Column712]]</f>
        <v>95.704999999999998</v>
      </c>
      <c r="AAK4">
        <f>SOFR3mo_PX[[#This Row],[Column713]]</f>
        <v>95.734999999999999</v>
      </c>
      <c r="AAL4">
        <f>SOFR3mo_PX[[#This Row],[Column714]]</f>
        <v>95.75</v>
      </c>
      <c r="AAM4">
        <f>SOFR3mo_PX[[#This Row],[Column715]]</f>
        <v>95.68</v>
      </c>
      <c r="AAN4">
        <f>SOFR3mo_PX[[#This Row],[Column716]]</f>
        <v>95.635000000000005</v>
      </c>
      <c r="AAO4">
        <f>SOFR3mo_PX[[#This Row],[Column717]]</f>
        <v>95.605000000000004</v>
      </c>
      <c r="AAP4">
        <f>SOFR3mo_PX[[#This Row],[Column718]]</f>
        <v>95.63</v>
      </c>
      <c r="AAQ4">
        <f>SOFR3mo_PX[[#This Row],[Column719]]</f>
        <v>95.674999999999997</v>
      </c>
      <c r="AAR4">
        <f>SOFR3mo_PX[[#This Row],[Column720]]</f>
        <v>96.542500000000004</v>
      </c>
      <c r="AAS4">
        <f>SOFR3mo_PX[[#This Row],[Column721]]</f>
        <v>96.534999999999997</v>
      </c>
      <c r="AAT4">
        <f>SOFR3mo_PX[[#This Row],[Column722]]</f>
        <v>96.55</v>
      </c>
      <c r="AAU4">
        <f>SOFR3mo_PX[[#This Row],[Column723]]</f>
        <v>96.532499999999999</v>
      </c>
      <c r="AAV4">
        <f>SOFR3mo_PX[[#This Row],[Column724]]</f>
        <v>96.532499999999999</v>
      </c>
      <c r="AAW4">
        <f>SOFR3mo_PX[[#This Row],[Column725]]</f>
        <v>96.537499999999994</v>
      </c>
      <c r="AAX4">
        <f>SOFR3mo_PX[[#This Row],[Column726]]</f>
        <v>96.685000000000002</v>
      </c>
      <c r="AAY4">
        <f>SOFR3mo_PX[[#This Row],[Column727]]</f>
        <v>96.694999999999993</v>
      </c>
      <c r="AAZ4">
        <f>SOFR3mo_PX[[#This Row],[Column728]]</f>
        <v>96.712500000000006</v>
      </c>
      <c r="ABA4">
        <f>SOFR3mo_PX[[#This Row],[Column729]]</f>
        <v>96.742500000000007</v>
      </c>
      <c r="ABB4">
        <f>SOFR3mo_PX[[#This Row],[Column730]]</f>
        <v>96.745000000000005</v>
      </c>
      <c r="ABC4">
        <f>SOFR3mo_PX[[#This Row],[Column731]]</f>
        <v>96.82</v>
      </c>
      <c r="ABD4">
        <f>SOFR3mo_PX[[#This Row],[Column732]]</f>
        <v>96.82</v>
      </c>
      <c r="ABE4">
        <f>SOFR3mo_PX[[#This Row],[Column733]]</f>
        <v>96.754999999999995</v>
      </c>
      <c r="ABF4">
        <f>SOFR3mo_PX[[#This Row],[Column734]]</f>
        <v>96.777500000000003</v>
      </c>
      <c r="ABG4">
        <f>SOFR3mo_PX[[#This Row],[Column735]]</f>
        <v>96.767499999999998</v>
      </c>
      <c r="ABH4">
        <f>SOFR3mo_PX[[#This Row],[Column736]]</f>
        <v>96.775000000000006</v>
      </c>
      <c r="ABI4">
        <f>SOFR3mo_PX[[#This Row],[Column737]]</f>
        <v>96.817499999999995</v>
      </c>
      <c r="ABJ4">
        <f>SOFR3mo_PX[[#This Row],[Column738]]</f>
        <v>96.814999999999998</v>
      </c>
      <c r="ABK4">
        <f>SOFR3mo_PX[[#This Row],[Column739]]</f>
        <v>96.822500000000005</v>
      </c>
      <c r="ABL4">
        <f>SOFR3mo_PX[[#This Row],[Column740]]</f>
        <v>96.85</v>
      </c>
      <c r="ABM4">
        <f>SOFR3mo_PX[[#This Row],[Column741]]</f>
        <v>96.842500000000001</v>
      </c>
      <c r="ABN4">
        <f>SOFR3mo_PX[[#This Row],[Column742]]</f>
        <v>96.885000000000005</v>
      </c>
      <c r="ABO4">
        <f>SOFR3mo_PX[[#This Row],[Column743]]</f>
        <v>96.894999999999996</v>
      </c>
      <c r="ABP4">
        <f>SOFR3mo_PX[[#This Row],[Column744]]</f>
        <v>96.892499999999998</v>
      </c>
      <c r="ABQ4">
        <f>SOFR3mo_PX[[#This Row],[Column745]]</f>
        <v>96.887500000000003</v>
      </c>
      <c r="ABR4">
        <f>SOFR3mo_PX[[#This Row],[Column746]]</f>
        <v>96.89</v>
      </c>
      <c r="ABS4">
        <f>SOFR3mo_PX[[#This Row],[Column747]]</f>
        <v>96.88</v>
      </c>
      <c r="ABT4">
        <f>SOFR3mo_PX[[#This Row],[Column748]]</f>
        <v>96.88</v>
      </c>
      <c r="ABU4">
        <f>SOFR3mo_PX[[#This Row],[Column749]]</f>
        <v>96.885000000000005</v>
      </c>
      <c r="ABV4">
        <f>SOFR3mo_PX[[#This Row],[Column750]]</f>
        <v>96.81</v>
      </c>
      <c r="ABW4">
        <f>SOFR3mo_PX[[#This Row],[Column751]]</f>
        <v>96.82</v>
      </c>
      <c r="ABX4">
        <f>SOFR3mo_PX[[#This Row],[Column752]]</f>
        <v>96.82</v>
      </c>
      <c r="ABY4">
        <f>SOFR3mo_PX[[#This Row],[Column753]]</f>
        <v>96.94</v>
      </c>
      <c r="ABZ4">
        <f>SOFR3mo_PX[[#This Row],[Column754]]</f>
        <v>96.915000000000006</v>
      </c>
      <c r="ACA4">
        <f>SOFR3mo_PX[[#This Row],[Column755]]</f>
        <v>96.93</v>
      </c>
      <c r="ACB4">
        <f>SOFR3mo_PX[[#This Row],[Column756]]</f>
        <v>96.98</v>
      </c>
      <c r="ACC4">
        <f>SOFR3mo_PX[[#This Row],[Column757]]</f>
        <v>96.99</v>
      </c>
      <c r="ACD4">
        <f>SOFR3mo_PX[[#This Row],[Column758]]</f>
        <v>97</v>
      </c>
      <c r="ACE4">
        <f>SOFR3mo_PX[[#This Row],[Column759]]</f>
        <v>96.965000000000003</v>
      </c>
      <c r="ACF4">
        <f>SOFR3mo_PX[[#This Row],[Column760]]</f>
        <v>96.905000000000001</v>
      </c>
      <c r="ACG4">
        <f>SOFR3mo_PX[[#This Row],[Column761]]</f>
        <v>96.885000000000005</v>
      </c>
      <c r="ACH4">
        <f>SOFR3mo_PX[[#This Row],[Column762]]</f>
        <v>96.92</v>
      </c>
      <c r="ACI4">
        <f>SOFR3mo_PX[[#This Row],[Column763]]</f>
        <v>96.864999999999995</v>
      </c>
      <c r="ACJ4">
        <f>SOFR3mo_PX[[#This Row],[Column764]]</f>
        <v>96.805000000000007</v>
      </c>
      <c r="ACK4">
        <f>SOFR3mo_PX[[#This Row],[Column765]]</f>
        <v>96.81</v>
      </c>
      <c r="ACL4">
        <f>SOFR3mo_PX[[#This Row],[Column766]]</f>
        <v>96.84</v>
      </c>
      <c r="ACM4">
        <f>SOFR3mo_PX[[#This Row],[Column767]]</f>
        <v>96.84</v>
      </c>
      <c r="ACN4">
        <f>SOFR3mo_PX[[#This Row],[Column768]]</f>
        <v>96.74</v>
      </c>
      <c r="ACO4">
        <f>SOFR3mo_PX[[#This Row],[Column769]]</f>
        <v>96.64</v>
      </c>
      <c r="ACP4">
        <f>SOFR3mo_PX[[#This Row],[Column770]]</f>
        <v>96.935000000000002</v>
      </c>
      <c r="ACQ4">
        <f>SOFR3mo_PX[[#This Row],[Column771]]</f>
        <v>96.924999999999997</v>
      </c>
      <c r="ACR4">
        <f>SOFR3mo_PX[[#This Row],[Column772]]</f>
        <v>96.924999999999997</v>
      </c>
      <c r="ACS4">
        <f>SOFR3mo_PX[[#This Row],[Column773]]</f>
        <v>97</v>
      </c>
      <c r="ACT4">
        <f>SOFR3mo_PX[[#This Row],[Column774]]</f>
        <v>97.025000000000006</v>
      </c>
      <c r="ACU4">
        <f>SOFR3mo_PX[[#This Row],[Column775]]</f>
        <v>97.08</v>
      </c>
      <c r="ACV4">
        <f>SOFR3mo_PX[[#This Row],[Column776]]</f>
        <v>97.03</v>
      </c>
      <c r="ACW4">
        <f>SOFR3mo_PX[[#This Row],[Column777]]</f>
        <v>97.03</v>
      </c>
      <c r="ACX4">
        <f>SOFR3mo_PX[[#This Row],[Column778]]</f>
        <v>97.045000000000002</v>
      </c>
      <c r="ACY4">
        <f>SOFR3mo_PX[[#This Row],[Column779]]</f>
        <v>96.974999999999994</v>
      </c>
      <c r="ACZ4">
        <f>SOFR3mo_PX[[#This Row],[Column780]]</f>
        <v>96.974999999999994</v>
      </c>
      <c r="ADA4">
        <f>SOFR3mo_PX[[#This Row],[Column781]]</f>
        <v>96.97</v>
      </c>
      <c r="ADB4">
        <f>SOFR3mo_PX[[#This Row],[Column782]]</f>
        <v>97.004999999999995</v>
      </c>
      <c r="ADC4">
        <f>SOFR3mo_PX[[#This Row],[Column783]]</f>
        <v>96.95</v>
      </c>
      <c r="ADD4">
        <f>SOFR3mo_PX[[#This Row],[Column784]]</f>
        <v>96.944999999999993</v>
      </c>
      <c r="ADE4">
        <f>SOFR3mo_PX[[#This Row],[Column785]]</f>
        <v>96.875</v>
      </c>
      <c r="ADF4">
        <f>SOFR3mo_PX[[#This Row],[Column786]]</f>
        <v>96.91</v>
      </c>
      <c r="ADG4">
        <f>SOFR3mo_PX[[#This Row],[Column787]]</f>
        <v>96.91</v>
      </c>
      <c r="ADH4">
        <f>SOFR3mo_PX[[#This Row],[Column788]]</f>
        <v>96.915000000000006</v>
      </c>
      <c r="ADI4">
        <f>SOFR3mo_PX[[#This Row],[Column789]]</f>
        <v>96.95</v>
      </c>
      <c r="ADJ4">
        <f>SOFR3mo_PX[[#This Row],[Column790]]</f>
        <v>98.094999999999999</v>
      </c>
      <c r="ADK4">
        <f>SOFR3mo_PX[[#This Row],[Column791]]</f>
        <v>98.317499999999995</v>
      </c>
      <c r="ADL4">
        <f>SOFR3mo_PX[[#This Row],[Column792]]</f>
        <v>98.362499999999997</v>
      </c>
      <c r="ADM4">
        <f>SOFR3mo_PX[[#This Row],[Column793]]</f>
        <v>98.417500000000004</v>
      </c>
      <c r="ADN4">
        <f>SOFR3mo_PX[[#This Row],[Column794]]</f>
        <v>98.42</v>
      </c>
      <c r="ADO4">
        <f>SOFR3mo_PX[[#This Row],[Column795]]</f>
        <v>98.42</v>
      </c>
      <c r="ADP4">
        <f>SOFR3mo_PX[[#This Row],[Column796]]</f>
        <v>98.417500000000004</v>
      </c>
      <c r="ADQ4">
        <f>SOFR3mo_PX[[#This Row],[Column797]]</f>
        <v>98.43</v>
      </c>
      <c r="ADR4">
        <f>SOFR3mo_PX[[#This Row],[Column798]]</f>
        <v>98.427499999999995</v>
      </c>
      <c r="ADS4">
        <f>SOFR3mo_PX[[#This Row],[Column799]]</f>
        <v>98.424999999999997</v>
      </c>
      <c r="ADT4">
        <f>SOFR3mo_PX[[#This Row],[Column800]]</f>
        <v>98.4375</v>
      </c>
      <c r="ADU4">
        <f>SOFR3mo_PX[[#This Row],[Column801]]</f>
        <v>98.442499999999995</v>
      </c>
      <c r="ADV4">
        <f>SOFR3mo_PX[[#This Row],[Column802]]</f>
        <v>98.442499999999995</v>
      </c>
      <c r="ADW4">
        <f>SOFR3mo_PX[[#This Row],[Column803]]</f>
        <v>98.432500000000005</v>
      </c>
      <c r="ADX4">
        <f>SOFR3mo_PX[[#This Row],[Column804]]</f>
        <v>98.427499999999995</v>
      </c>
      <c r="ADY4">
        <f>SOFR3mo_PX[[#This Row],[Column805]]</f>
        <v>98.42</v>
      </c>
      <c r="ADZ4">
        <f>SOFR3mo_PX[[#This Row],[Column806]]</f>
        <v>98.4</v>
      </c>
      <c r="AEA4">
        <f>SOFR3mo_PX[[#This Row],[Column807]]</f>
        <v>98.42</v>
      </c>
      <c r="AEB4">
        <f>SOFR3mo_PX[[#This Row],[Column808]]</f>
        <v>98.407499999999999</v>
      </c>
      <c r="AEC4">
        <f>SOFR3mo_PX[[#This Row],[Column809]]</f>
        <v>98.392499999999998</v>
      </c>
      <c r="AED4">
        <f>SOFR3mo_PX[[#This Row],[Column810]]</f>
        <v>98.385000000000005</v>
      </c>
      <c r="AEE4">
        <f>SOFR3mo_PX[[#This Row],[Column811]]</f>
        <v>98.41</v>
      </c>
      <c r="AEF4">
        <f>SOFR3mo_PX[[#This Row],[Column812]]</f>
        <v>98.41</v>
      </c>
      <c r="AEG4">
        <f>SOFR3mo_PX[[#This Row],[Column813]]</f>
        <v>98.43</v>
      </c>
      <c r="AEH4">
        <f>SOFR3mo_PX[[#This Row],[Column814]]</f>
        <v>98.4</v>
      </c>
      <c r="AEI4">
        <f>SOFR3mo_PX[[#This Row],[Column815]]</f>
        <v>98.41</v>
      </c>
      <c r="AEJ4">
        <f>SOFR3mo_PX[[#This Row],[Column816]]</f>
        <v>98.424999999999997</v>
      </c>
      <c r="AEK4">
        <f>SOFR3mo_PX[[#This Row],[Column817]]</f>
        <v>98.405000000000001</v>
      </c>
      <c r="AEL4">
        <f>SOFR3mo_PX[[#This Row],[Column818]]</f>
        <v>98.39</v>
      </c>
      <c r="AEM4">
        <f>SOFR3mo_PX[[#This Row],[Column819]]</f>
        <v>98.405000000000001</v>
      </c>
      <c r="AEN4">
        <f>SOFR3mo_PX[[#This Row],[Column820]]</f>
        <v>98.355000000000004</v>
      </c>
      <c r="AEO4">
        <f>SOFR3mo_PX[[#This Row],[Column821]]</f>
        <v>98.364999999999995</v>
      </c>
      <c r="AEP4">
        <f>SOFR3mo_PX[[#This Row],[Column822]]</f>
        <v>98.34</v>
      </c>
      <c r="AEQ4">
        <f>SOFR3mo_PX[[#This Row],[Column823]]</f>
        <v>98.38</v>
      </c>
      <c r="AER4">
        <f>SOFR3mo_PX[[#This Row],[Column824]]</f>
        <v>98.415000000000006</v>
      </c>
      <c r="AES4">
        <f>SOFR3mo_PX[[#This Row],[Column825]]</f>
        <v>98.405000000000001</v>
      </c>
      <c r="AET4">
        <f>SOFR3mo_PX[[#This Row],[Column826]]</f>
        <v>98.38</v>
      </c>
      <c r="AEU4">
        <f>SOFR3mo_PX[[#This Row],[Column827]]</f>
        <v>98.34</v>
      </c>
      <c r="AEV4">
        <f>SOFR3mo_PX[[#This Row],[Column828]]</f>
        <v>98.424999999999997</v>
      </c>
      <c r="AEW4">
        <f>SOFR3mo_PX[[#This Row],[Column829]]</f>
        <v>98.484999999999999</v>
      </c>
      <c r="AEX4">
        <f>SOFR3mo_PX[[#This Row],[Column830]]</f>
        <v>98.52</v>
      </c>
      <c r="AEY4">
        <f>SOFR3mo_PX[[#This Row],[Column831]]</f>
        <v>98.56</v>
      </c>
      <c r="AEZ4">
        <f>SOFR3mo_PX[[#This Row],[Column832]]</f>
        <v>98.56</v>
      </c>
      <c r="AFA4">
        <f>SOFR3mo_PX[[#This Row],[Column833]]</f>
        <v>98.56</v>
      </c>
      <c r="AFB4">
        <f>SOFR3mo_PX[[#This Row],[Column834]]</f>
        <v>98.594999999999999</v>
      </c>
      <c r="AFC4">
        <f>SOFR3mo_PX[[#This Row],[Column835]]</f>
        <v>98.584999999999994</v>
      </c>
      <c r="AFD4">
        <f>SOFR3mo_PX[[#This Row],[Column836]]</f>
        <v>98.545000000000002</v>
      </c>
      <c r="AFE4">
        <f>SOFR3mo_PX[[#This Row],[Column837]]</f>
        <v>98.54</v>
      </c>
      <c r="AFF4">
        <f>SOFR3mo_PX[[#This Row],[Column838]]</f>
        <v>98.56</v>
      </c>
      <c r="AFG4">
        <f>SOFR3mo_PX[[#This Row],[Column839]]</f>
        <v>98.56</v>
      </c>
      <c r="AFH4">
        <f>SOFR3mo_PX[[#This Row],[Column840]]</f>
        <v>98.584999999999994</v>
      </c>
      <c r="AFI4">
        <f>SOFR3mo_PX[[#This Row],[Column841]]</f>
        <v>98.61</v>
      </c>
      <c r="AFJ4">
        <f>SOFR3mo_PX[[#This Row],[Column842]]</f>
        <v>98.625</v>
      </c>
      <c r="AFK4">
        <f>SOFR3mo_PX[[#This Row],[Column843]]</f>
        <v>98.665000000000006</v>
      </c>
      <c r="AFL4">
        <f>SOFR3mo_PX[[#This Row],[Column844]]</f>
        <v>98.66</v>
      </c>
      <c r="AFM4">
        <f>SOFR3mo_PX[[#This Row],[Column845]]</f>
        <v>98.63</v>
      </c>
      <c r="AFN4">
        <f>SOFR3mo_PX[[#This Row],[Column846]]</f>
        <v>98.584999999999994</v>
      </c>
      <c r="AFO4">
        <f>SOFR3mo_PX[[#This Row],[Column847]]</f>
        <v>98.61</v>
      </c>
      <c r="AFP4">
        <f>SOFR3mo_PX[[#This Row],[Column848]]</f>
        <v>98.67</v>
      </c>
      <c r="AFQ4">
        <f>SOFR3mo_PX[[#This Row],[Column849]]</f>
        <v>98.7</v>
      </c>
      <c r="AFR4">
        <f>SOFR3mo_PX[[#This Row],[Column850]]</f>
        <v>98.69</v>
      </c>
      <c r="AFS4">
        <f>SOFR3mo_PX[[#This Row],[Column851]]</f>
        <v>98.694999999999993</v>
      </c>
      <c r="AFT4">
        <f>SOFR3mo_PX[[#This Row],[Column852]]</f>
        <v>98.814999999999998</v>
      </c>
      <c r="AFU4">
        <f>SOFR3mo_PX[[#This Row],[Column853]]</f>
        <v>98.844999999999999</v>
      </c>
      <c r="AFV4">
        <f>SOFR3mo_PX[[#This Row],[Column854]]</f>
        <v>98.795000000000002</v>
      </c>
      <c r="AFW4">
        <f>SOFR3mo_PX[[#This Row],[Column855]]</f>
        <v>99.49</v>
      </c>
      <c r="AFX4">
        <f>SOFR3mo_PX[[#This Row],[Column856]]</f>
        <v>99.477500000000006</v>
      </c>
      <c r="AFY4">
        <f>SOFR3mo_PX[[#This Row],[Column857]]</f>
        <v>99.522499999999994</v>
      </c>
      <c r="AFZ4">
        <f>SOFR3mo_PX[[#This Row],[Column858]]</f>
        <v>99.525000000000006</v>
      </c>
      <c r="AGA4">
        <f>SOFR3mo_PX[[#This Row],[Column859]]</f>
        <v>99.527500000000003</v>
      </c>
      <c r="AGB4">
        <f>SOFR3mo_PX[[#This Row],[Column860]]</f>
        <v>99.545000000000002</v>
      </c>
      <c r="AGC4">
        <f>SOFR3mo_PX[[#This Row],[Column861]]</f>
        <v>99.545000000000002</v>
      </c>
      <c r="AGD4">
        <f>SOFR3mo_PX[[#This Row],[Column862]]</f>
        <v>99.542500000000004</v>
      </c>
      <c r="AGE4">
        <f>SOFR3mo_PX[[#This Row],[Column863]]</f>
        <v>99.542500000000004</v>
      </c>
      <c r="AGF4">
        <f>SOFR3mo_PX[[#This Row],[Column864]]</f>
        <v>99.542500000000004</v>
      </c>
      <c r="AGG4">
        <f>SOFR3mo_PX[[#This Row],[Column865]]</f>
        <v>99.594999999999999</v>
      </c>
      <c r="AGH4">
        <f>SOFR3mo_PX[[#This Row],[Column866]]</f>
        <v>99.55</v>
      </c>
      <c r="AGI4">
        <f>SOFR3mo_PX[[#This Row],[Column867]]</f>
        <v>99.492500000000007</v>
      </c>
      <c r="AGJ4">
        <f>SOFR3mo_PX[[#This Row],[Column868]]</f>
        <v>99.522499999999994</v>
      </c>
      <c r="AGK4">
        <f>SOFR3mo_PX[[#This Row],[Column869]]</f>
        <v>99.452500000000001</v>
      </c>
      <c r="AGL4">
        <f>SOFR3mo_PX[[#This Row],[Column870]]</f>
        <v>99.447500000000005</v>
      </c>
      <c r="AGM4">
        <f>SOFR3mo_PX[[#This Row],[Column871]]</f>
        <v>99.5</v>
      </c>
      <c r="AGN4">
        <f>SOFR3mo_PX[[#This Row],[Column872]]</f>
        <v>99.5</v>
      </c>
      <c r="AGO4">
        <f>SOFR3mo_PX[[#This Row],[Column873]]</f>
        <v>99.48</v>
      </c>
      <c r="AGP4">
        <f>SOFR3mo_PX[[#This Row],[Column874]]</f>
        <v>99.457499999999996</v>
      </c>
      <c r="AGQ4">
        <f>SOFR3mo_PX[[#This Row],[Column875]]</f>
        <v>99.424999999999997</v>
      </c>
      <c r="AGR4">
        <f>SOFR3mo_PX[[#This Row],[Column876]]</f>
        <v>99.402500000000003</v>
      </c>
      <c r="AGS4">
        <f>SOFR3mo_PX[[#This Row],[Column877]]</f>
        <v>99.435000000000002</v>
      </c>
      <c r="AGT4">
        <f>SOFR3mo_PX[[#This Row],[Column878]]</f>
        <v>99.38</v>
      </c>
      <c r="AGU4">
        <f>SOFR3mo_PX[[#This Row],[Column879]]</f>
        <v>99.504999999999995</v>
      </c>
      <c r="AGV4">
        <f>SOFR3mo_PX[[#This Row],[Column880]]</f>
        <v>99.5</v>
      </c>
      <c r="AGW4">
        <f>SOFR3mo_PX[[#This Row],[Column881]]</f>
        <v>99.51</v>
      </c>
      <c r="AGX4">
        <f>SOFR3mo_PX[[#This Row],[Column882]]</f>
        <v>99.49</v>
      </c>
      <c r="AGY4">
        <f>SOFR3mo_PX[[#This Row],[Column883]]</f>
        <v>99.564999999999998</v>
      </c>
      <c r="AGZ4">
        <f>SOFR3mo_PX[[#This Row],[Column884]]</f>
        <v>99.584999999999994</v>
      </c>
      <c r="AHA4">
        <f>SOFR3mo_PX[[#This Row],[Column885]]</f>
        <v>99.575000000000003</v>
      </c>
      <c r="AHB4">
        <f>SOFR3mo_PX[[#This Row],[Column886]]</f>
        <v>99.575000000000003</v>
      </c>
      <c r="AHC4">
        <f>SOFR3mo_PX[[#This Row],[Column887]]</f>
        <v>99.57</v>
      </c>
      <c r="AHD4">
        <f>SOFR3mo_PX[[#This Row],[Column888]]</f>
        <v>99.564999999999998</v>
      </c>
      <c r="AHE4">
        <f>SOFR3mo_PX[[#This Row],[Column889]]</f>
        <v>99.62</v>
      </c>
      <c r="AHF4">
        <f>SOFR3mo_PX[[#This Row],[Column890]]</f>
        <v>99.64</v>
      </c>
      <c r="AHG4">
        <f>SOFR3mo_PX[[#This Row],[Column891]]</f>
        <v>99.655000000000001</v>
      </c>
      <c r="AHH4">
        <f>SOFR3mo_PX[[#This Row],[Column892]]</f>
        <v>99.644999999999996</v>
      </c>
      <c r="AHI4">
        <f>SOFR3mo_PX[[#This Row],[Column893]]</f>
        <v>99.63</v>
      </c>
      <c r="AHJ4">
        <f>SOFR3mo_PX[[#This Row],[Column894]]</f>
        <v>99.625</v>
      </c>
      <c r="AHK4">
        <f>SOFR3mo_PX[[#This Row],[Column895]]</f>
        <v>99.625</v>
      </c>
      <c r="AHL4">
        <f>SOFR3mo_PX[[#This Row],[Column896]]</f>
        <v>99.665000000000006</v>
      </c>
      <c r="AHM4">
        <f>SOFR3mo_PX[[#This Row],[Column897]]</f>
        <v>99.665000000000006</v>
      </c>
      <c r="AHN4">
        <f>SOFR3mo_PX[[#This Row],[Column898]]</f>
        <v>99.685000000000002</v>
      </c>
      <c r="AHO4">
        <f>SOFR3mo_PX[[#This Row],[Column899]]</f>
        <v>99.685000000000002</v>
      </c>
      <c r="AHP4">
        <f>SOFR3mo_PX[[#This Row],[Column900]]</f>
        <v>99.694999999999993</v>
      </c>
      <c r="AHQ4">
        <f>SOFR3mo_PX[[#This Row],[Column901]]</f>
        <v>99.694999999999993</v>
      </c>
      <c r="AHR4">
        <f>SOFR3mo_PX[[#This Row],[Column902]]</f>
        <v>99.71</v>
      </c>
      <c r="AHS4">
        <f>SOFR3mo_PX[[#This Row],[Column903]]</f>
        <v>99.7</v>
      </c>
      <c r="AHT4">
        <f>SOFR3mo_PX[[#This Row],[Column904]]</f>
        <v>99.715000000000003</v>
      </c>
      <c r="AHU4">
        <f>SOFR3mo_PX[[#This Row],[Column905]]</f>
        <v>99.745000000000005</v>
      </c>
      <c r="AHV4">
        <f>SOFR3mo_PX[[#This Row],[Column906]]</f>
        <v>99.745000000000005</v>
      </c>
      <c r="AHW4">
        <f>SOFR3mo_PX[[#This Row],[Column907]]</f>
        <v>99.76</v>
      </c>
      <c r="AHX4">
        <f>SOFR3mo_PX[[#This Row],[Column908]]</f>
        <v>99.75</v>
      </c>
      <c r="AHY4">
        <f>SOFR3mo_PX[[#This Row],[Column909]]</f>
        <v>99.734999999999999</v>
      </c>
      <c r="AHZ4">
        <f>SOFR3mo_PX[[#This Row],[Column910]]</f>
        <v>99.74</v>
      </c>
      <c r="AIA4">
        <f>SOFR3mo_PX[[#This Row],[Column911]]</f>
        <v>99.74</v>
      </c>
      <c r="AIB4">
        <f>SOFR3mo_PX[[#This Row],[Column912]]</f>
        <v>99.754999999999995</v>
      </c>
      <c r="AIC4">
        <f>SOFR3mo_PX[[#This Row],[Column913]]</f>
        <v>99.754999999999995</v>
      </c>
      <c r="AID4">
        <f>SOFR3mo_PX[[#This Row],[Column914]]</f>
        <v>99.76</v>
      </c>
      <c r="AIE4">
        <f>SOFR3mo_PX[[#This Row],[Column915]]</f>
        <v>99.76</v>
      </c>
      <c r="AIF4">
        <f>SOFR3mo_PX[[#This Row],[Column916]]</f>
        <v>99.775000000000006</v>
      </c>
      <c r="AIG4">
        <f>SOFR3mo_PX[[#This Row],[Column917]]</f>
        <v>99.77</v>
      </c>
      <c r="AIH4">
        <f>SOFR3mo_PX[[#This Row],[Column918]]</f>
        <v>99.79</v>
      </c>
      <c r="AII4">
        <f>SOFR3mo_PX[[#This Row],[Column919]]</f>
        <v>99.78</v>
      </c>
      <c r="AIJ4">
        <f>SOFR3mo_PX[[#This Row],[Column920]]</f>
        <v>99.93</v>
      </c>
      <c r="AIK4">
        <f>SOFR3mo_PX[[#This Row],[Column921]]</f>
        <v>99.9375</v>
      </c>
      <c r="AIL4">
        <f>SOFR3mo_PX[[#This Row],[Column922]]</f>
        <v>99.94</v>
      </c>
      <c r="AIM4">
        <f>SOFR3mo_PX[[#This Row],[Column923]]</f>
        <v>99.94</v>
      </c>
      <c r="AIN4">
        <f>SOFR3mo_PX[[#This Row],[Column924]]</f>
        <v>99.94</v>
      </c>
      <c r="AIO4">
        <f>SOFR3mo_PX[[#This Row],[Column925]]</f>
        <v>99.9375</v>
      </c>
      <c r="AIP4">
        <f>SOFR3mo_PX[[#This Row],[Column926]]</f>
        <v>99.9375</v>
      </c>
      <c r="AIQ4">
        <f>SOFR3mo_PX[[#This Row],[Column927]]</f>
        <v>99.942499999999995</v>
      </c>
      <c r="AIR4">
        <f>SOFR3mo_PX[[#This Row],[Column928]]</f>
        <v>99.942499999999995</v>
      </c>
      <c r="AIS4">
        <f>SOFR3mo_PX[[#This Row],[Column929]]</f>
        <v>99.944999999999993</v>
      </c>
      <c r="AIT4">
        <f>SOFR3mo_PX[[#This Row],[Column930]]</f>
        <v>99.944999999999993</v>
      </c>
      <c r="AIU4">
        <f>SOFR3mo_PX[[#This Row],[Column931]]</f>
        <v>99.944999999999993</v>
      </c>
      <c r="AIV4">
        <f>SOFR3mo_PX[[#This Row],[Column932]]</f>
        <v>99.947500000000005</v>
      </c>
      <c r="AIW4">
        <f>SOFR3mo_PX[[#This Row],[Column933]]</f>
        <v>99.944999999999993</v>
      </c>
      <c r="AIX4">
        <f>SOFR3mo_PX[[#This Row],[Column934]]</f>
        <v>99.944999999999993</v>
      </c>
      <c r="AIY4">
        <f>SOFR3mo_PX[[#This Row],[Column935]]</f>
        <v>99.94</v>
      </c>
      <c r="AIZ4">
        <f>SOFR3mo_PX[[#This Row],[Column936]]</f>
        <v>99.942499999999995</v>
      </c>
      <c r="AJA4">
        <f>SOFR3mo_PX[[#This Row],[Column937]]</f>
        <v>99.942499999999995</v>
      </c>
      <c r="AJB4">
        <f>SOFR3mo_PX[[#This Row],[Column938]]</f>
        <v>99.944999999999993</v>
      </c>
      <c r="AJC4">
        <f>SOFR3mo_PX[[#This Row],[Column939]]</f>
        <v>99.944999999999993</v>
      </c>
      <c r="AJD4">
        <f>SOFR3mo_PX[[#This Row],[Column940]]</f>
        <v>99.942499999999995</v>
      </c>
      <c r="AJE4">
        <f>SOFR3mo_PX[[#This Row],[Column941]]</f>
        <v>99.942499999999995</v>
      </c>
      <c r="AJF4">
        <f>SOFR3mo_PX[[#This Row],[Column942]]</f>
        <v>99.944999999999993</v>
      </c>
      <c r="AJG4">
        <f>SOFR3mo_PX[[#This Row],[Column943]]</f>
        <v>99.94</v>
      </c>
      <c r="AJH4">
        <f>SOFR3mo_PX[[#This Row],[Column944]]</f>
        <v>99.94</v>
      </c>
      <c r="AJI4">
        <f>SOFR3mo_PX[[#This Row],[Column945]]</f>
        <v>99.95</v>
      </c>
      <c r="AJJ4">
        <f>SOFR3mo_PX[[#This Row],[Column946]]</f>
        <v>99.944999999999993</v>
      </c>
      <c r="AJK4">
        <f>SOFR3mo_PX[[#This Row],[Column947]]</f>
        <v>99.954999999999998</v>
      </c>
      <c r="AJL4">
        <f>SOFR3mo_PX[[#This Row],[Column948]]</f>
        <v>99.95</v>
      </c>
      <c r="AJM4">
        <f>SOFR3mo_PX[[#This Row],[Column949]]</f>
        <v>99.95</v>
      </c>
      <c r="AJN4">
        <f>SOFR3mo_PX[[#This Row],[Column950]]</f>
        <v>99.944999999999993</v>
      </c>
      <c r="AJO4">
        <f>SOFR3mo_PX[[#This Row],[Column951]]</f>
        <v>99.94</v>
      </c>
      <c r="AJP4">
        <f>SOFR3mo_PX[[#This Row],[Column952]]</f>
        <v>99.944999999999993</v>
      </c>
      <c r="AJQ4">
        <f>SOFR3mo_PX[[#This Row],[Column953]]</f>
        <v>99.944999999999993</v>
      </c>
      <c r="AJR4">
        <f>SOFR3mo_PX[[#This Row],[Column954]]</f>
        <v>99.94</v>
      </c>
      <c r="AJS4">
        <f>SOFR3mo_PX[[#This Row],[Column955]]</f>
        <v>99.94</v>
      </c>
      <c r="AJT4">
        <f>SOFR3mo_PX[[#This Row],[Column956]]</f>
        <v>99.944999999999993</v>
      </c>
      <c r="AJU4">
        <f>SOFR3mo_PX[[#This Row],[Column957]]</f>
        <v>99.944999999999993</v>
      </c>
      <c r="AJV4">
        <f>SOFR3mo_PX[[#This Row],[Column958]]</f>
        <v>99.94</v>
      </c>
      <c r="AJW4">
        <f>SOFR3mo_PX[[#This Row],[Column959]]</f>
        <v>99.944999999999993</v>
      </c>
      <c r="AJX4">
        <f>SOFR3mo_PX[[#This Row],[Column960]]</f>
        <v>99.94</v>
      </c>
      <c r="AJY4">
        <f>SOFR3mo_PX[[#This Row],[Column961]]</f>
        <v>99.935000000000002</v>
      </c>
      <c r="AJZ4">
        <f>SOFR3mo_PX[[#This Row],[Column962]]</f>
        <v>99.94</v>
      </c>
      <c r="AKA4">
        <f>SOFR3mo_PX[[#This Row],[Column963]]</f>
        <v>99.944999999999993</v>
      </c>
      <c r="AKB4">
        <f>SOFR3mo_PX[[#This Row],[Column964]]</f>
        <v>99.94</v>
      </c>
      <c r="AKC4">
        <f>SOFR3mo_PX[[#This Row],[Column965]]</f>
        <v>99.94</v>
      </c>
      <c r="AKD4">
        <f>SOFR3mo_PX[[#This Row],[Column966]]</f>
        <v>99.944999999999993</v>
      </c>
      <c r="AKE4">
        <f>SOFR3mo_PX[[#This Row],[Column967]]</f>
        <v>99.944999999999993</v>
      </c>
      <c r="AKF4">
        <f>SOFR3mo_PX[[#This Row],[Column968]]</f>
        <v>99.944999999999993</v>
      </c>
      <c r="AKG4">
        <f>SOFR3mo_PX[[#This Row],[Column969]]</f>
        <v>99.944999999999993</v>
      </c>
      <c r="AKH4">
        <f>SOFR3mo_PX[[#This Row],[Column970]]</f>
        <v>99.95</v>
      </c>
      <c r="AKI4">
        <f>SOFR3mo_PX[[#This Row],[Column971]]</f>
        <v>99.95</v>
      </c>
      <c r="AKJ4">
        <f>SOFR3mo_PX[[#This Row],[Column972]]</f>
        <v>99.944999999999993</v>
      </c>
      <c r="AKK4">
        <f>SOFR3mo_PX[[#This Row],[Column973]]</f>
        <v>99.95</v>
      </c>
      <c r="AKL4">
        <f>SOFR3mo_PX[[#This Row],[Column974]]</f>
        <v>99.944999999999993</v>
      </c>
      <c r="AKM4">
        <f>SOFR3mo_PX[[#This Row],[Column975]]</f>
        <v>99.944999999999993</v>
      </c>
      <c r="AKN4">
        <f>SOFR3mo_PX[[#This Row],[Column976]]</f>
        <v>99.944999999999993</v>
      </c>
      <c r="AKO4">
        <f>SOFR3mo_PX[[#This Row],[Column977]]</f>
        <v>99.944999999999993</v>
      </c>
      <c r="AKP4">
        <f>SOFR3mo_PX[[#This Row],[Column978]]</f>
        <v>99.94</v>
      </c>
      <c r="AKQ4">
        <f>SOFR3mo_PX[[#This Row],[Column979]]</f>
        <v>99.944999999999993</v>
      </c>
      <c r="AKR4">
        <f>SOFR3mo_PX[[#This Row],[Column980]]</f>
        <v>99.944999999999993</v>
      </c>
      <c r="AKS4">
        <f>SOFR3mo_PX[[#This Row],[Column981]]</f>
        <v>99.944999999999993</v>
      </c>
      <c r="AKT4">
        <f>SOFR3mo_PX[[#This Row],[Column982]]</f>
        <v>99.944999999999993</v>
      </c>
      <c r="AKU4">
        <f>SOFR3mo_PX[[#This Row],[Column983]]</f>
        <v>99.944999999999993</v>
      </c>
      <c r="AKV4">
        <f>SOFR3mo_PX[[#This Row],[Column984]]</f>
        <v>99.95</v>
      </c>
      <c r="AKW4">
        <f>SOFR3mo_PX[[#This Row],[Column985]]</f>
        <v>99.947500000000005</v>
      </c>
      <c r="AKX4">
        <f>SOFR3mo_PX[[#This Row],[Column986]]</f>
        <v>99.95</v>
      </c>
      <c r="AKY4">
        <f>SOFR3mo_PX[[#This Row],[Column987]]</f>
        <v>99.95</v>
      </c>
      <c r="AKZ4">
        <f>SOFR3mo_PX[[#This Row],[Column988]]</f>
        <v>99.944999999999993</v>
      </c>
      <c r="ALA4">
        <f>SOFR3mo_PX[[#This Row],[Column989]]</f>
        <v>99.944999999999993</v>
      </c>
      <c r="ALB4">
        <f>SOFR3mo_PX[[#This Row],[Column990]]</f>
        <v>99.944999999999993</v>
      </c>
      <c r="ALC4">
        <f>SOFR3mo_PX[[#This Row],[Column991]]</f>
        <v>99.947500000000005</v>
      </c>
      <c r="ALD4">
        <f>SOFR3mo_PX[[#This Row],[Column992]]</f>
        <v>99.947500000000005</v>
      </c>
      <c r="ALE4">
        <f>SOFR3mo_PX[[#This Row],[Column993]]</f>
        <v>99.947500000000005</v>
      </c>
      <c r="ALF4">
        <f>SOFR3mo_PX[[#This Row],[Column994]]</f>
        <v>99.95</v>
      </c>
      <c r="ALG4">
        <f>SOFR3mo_PX[[#This Row],[Column995]]</f>
        <v>99.95</v>
      </c>
      <c r="ALH4">
        <f>SOFR3mo_PX[[#This Row],[Column996]]</f>
        <v>99.95</v>
      </c>
      <c r="ALI4">
        <f>SOFR3mo_PX[[#This Row],[Column997]]</f>
        <v>99.95</v>
      </c>
      <c r="ALJ4">
        <f>SOFR3mo_PX[[#This Row],[Column998]]</f>
        <v>99.947500000000005</v>
      </c>
      <c r="ALK4">
        <f>SOFR3mo_PX[[#This Row],[Column999]]</f>
        <v>99.944999999999993</v>
      </c>
      <c r="ALL4">
        <f>SOFR3mo_PX[[#This Row],[Column1000]]</f>
        <v>99.947500000000005</v>
      </c>
      <c r="ALM4">
        <f>SOFR3mo_PX[[#This Row],[Column1001]]</f>
        <v>99.947500000000005</v>
      </c>
      <c r="ALN4">
        <f>SOFR3mo_PX[[#This Row],[Column1002]]</f>
        <v>99.95</v>
      </c>
      <c r="ALO4">
        <f>SOFR3mo_PX[[#This Row],[Column1003]]</f>
        <v>99.947500000000005</v>
      </c>
      <c r="ALP4">
        <f>SOFR3mo_PX[[#This Row],[Column1004]]</f>
        <v>99.95</v>
      </c>
      <c r="ALQ4">
        <f>SOFR3mo_PX[[#This Row],[Column1005]]</f>
        <v>99.947500000000005</v>
      </c>
      <c r="ALR4">
        <f>SOFR3mo_PX[[#This Row],[Column1006]]</f>
        <v>99.947500000000005</v>
      </c>
      <c r="ALS4">
        <f>SOFR3mo_PX[[#This Row],[Column1007]]</f>
        <v>99.95</v>
      </c>
      <c r="ALT4">
        <f>SOFR3mo_PX[[#This Row],[Column1008]]</f>
        <v>99.95</v>
      </c>
      <c r="ALU4">
        <f>SOFR3mo_PX[[#This Row],[Column1009]]</f>
        <v>99.944999999999993</v>
      </c>
      <c r="ALV4">
        <f>SOFR3mo_PX[[#This Row],[Column1010]]</f>
        <v>99.944999999999993</v>
      </c>
      <c r="ALW4">
        <f>SOFR3mo_PX[[#This Row],[Column1011]]</f>
        <v>99.95</v>
      </c>
      <c r="ALX4">
        <f>SOFR3mo_PX[[#This Row],[Column1012]]</f>
        <v>99.95</v>
      </c>
      <c r="ALY4">
        <f>SOFR3mo_PX[[#This Row],[Column1013]]</f>
        <v>99.95</v>
      </c>
      <c r="ALZ4">
        <f>SOFR3mo_PX[[#This Row],[Column1014]]</f>
        <v>99.954999999999998</v>
      </c>
      <c r="AMA4">
        <f>SOFR3mo_PX[[#This Row],[Column1015]]</f>
        <v>99.954999999999998</v>
      </c>
      <c r="AMB4">
        <f>SOFR3mo_PX[[#This Row],[Column1016]]</f>
        <v>99.954999999999998</v>
      </c>
      <c r="AMC4">
        <f>SOFR3mo_PX[[#This Row],[Column1017]]</f>
        <v>99.954999999999998</v>
      </c>
      <c r="AMD4">
        <f>SOFR3mo_PX[[#This Row],[Column1018]]</f>
        <v>99.954999999999998</v>
      </c>
      <c r="AME4">
        <f>SOFR3mo_PX[[#This Row],[Column1019]]</f>
        <v>99.95</v>
      </c>
      <c r="AMF4">
        <f>SOFR3mo_PX[[#This Row],[Column1020]]</f>
        <v>99.95</v>
      </c>
      <c r="AMG4">
        <f>SOFR3mo_PX[[#This Row],[Column1021]]</f>
        <v>99.944999999999993</v>
      </c>
      <c r="AMH4">
        <f>SOFR3mo_PX[[#This Row],[Column1022]]</f>
        <v>99.95</v>
      </c>
      <c r="AMI4">
        <f>SOFR3mo_PX[[#This Row],[Column1023]]</f>
        <v>99.954999999999998</v>
      </c>
      <c r="AMJ4">
        <f>SOFR3mo_PX[[#This Row],[Column1024]]</f>
        <v>99.954999999999998</v>
      </c>
      <c r="AMK4">
        <f>SOFR3mo_PX[[#This Row],[Column1025]]</f>
        <v>99.95</v>
      </c>
      <c r="AML4">
        <f>SOFR3mo_PX[[#This Row],[Column1026]]</f>
        <v>99.944999999999993</v>
      </c>
      <c r="AMM4">
        <f>SOFR3mo_PX[[#This Row],[Column1027]]</f>
        <v>99.954999999999998</v>
      </c>
      <c r="AMN4">
        <f>SOFR3mo_PX[[#This Row],[Column1028]]</f>
        <v>99.954999999999998</v>
      </c>
      <c r="AMO4">
        <f>SOFR3mo_PX[[#This Row],[Column1029]]</f>
        <v>99.95</v>
      </c>
      <c r="AMP4">
        <f>SOFR3mo_PX[[#This Row],[Column1030]]</f>
        <v>99.95</v>
      </c>
      <c r="AMQ4">
        <f>SOFR3mo_PX[[#This Row],[Column1031]]</f>
        <v>99.95</v>
      </c>
      <c r="AMR4">
        <f>SOFR3mo_PX[[#This Row],[Column1032]]</f>
        <v>99.95</v>
      </c>
      <c r="AMS4">
        <f>SOFR3mo_PX[[#This Row],[Column1033]]</f>
        <v>99.954999999999998</v>
      </c>
      <c r="AMT4">
        <f>SOFR3mo_PX[[#This Row],[Column1034]]</f>
        <v>99.954999999999998</v>
      </c>
      <c r="AMU4">
        <f>SOFR3mo_PX[[#This Row],[Column1035]]</f>
        <v>99.954999999999998</v>
      </c>
      <c r="AMV4">
        <f>SOFR3mo_PX[[#This Row],[Column1036]]</f>
        <v>99.95</v>
      </c>
      <c r="AMW4">
        <f>SOFR3mo_PX[[#This Row],[Column1037]]</f>
        <v>99.95</v>
      </c>
      <c r="AMX4">
        <f>SOFR3mo_PX[[#This Row],[Column1038]]</f>
        <v>99.95</v>
      </c>
      <c r="AMY4">
        <f>SOFR3mo_PX[[#This Row],[Column1039]]</f>
        <v>99.954999999999998</v>
      </c>
      <c r="AMZ4">
        <f>SOFR3mo_PX[[#This Row],[Column1040]]</f>
        <v>99.95</v>
      </c>
      <c r="ANA4">
        <f>SOFR3mo_PX[[#This Row],[Column1041]]</f>
        <v>99.95</v>
      </c>
      <c r="ANB4">
        <f>SOFR3mo_PX[[#This Row],[Column1042]]</f>
        <v>99.944999999999993</v>
      </c>
      <c r="ANC4">
        <f>SOFR3mo_PX[[#This Row],[Column1043]]</f>
        <v>99.95</v>
      </c>
      <c r="AND4">
        <f>SOFR3mo_PX[[#This Row],[Column1044]]</f>
        <v>99.95</v>
      </c>
      <c r="ANE4">
        <f>SOFR3mo_PX[[#This Row],[Column1045]]</f>
        <v>99.96</v>
      </c>
      <c r="ANF4">
        <f>SOFR3mo_PX[[#This Row],[Column1046]]</f>
        <v>99.944999999999993</v>
      </c>
      <c r="ANG4">
        <f>SOFR3mo_PX[[#This Row],[Column1047]]</f>
        <v>99.944999999999993</v>
      </c>
      <c r="ANH4">
        <f>SOFR3mo_PX[[#This Row],[Column1048]]</f>
        <v>99.95</v>
      </c>
      <c r="ANI4">
        <f>SOFR3mo_PX[[#This Row],[Column1049]]</f>
        <v>99.944999999999993</v>
      </c>
      <c r="ANJ4">
        <f>SOFR3mo_PX[[#This Row],[Column1050]]</f>
        <v>99.97</v>
      </c>
      <c r="ANK4">
        <f>SOFR3mo_PX[[#This Row],[Column1051]]</f>
        <v>99.97</v>
      </c>
      <c r="ANL4">
        <f>SOFR3mo_PX[[#This Row],[Column1052]]</f>
        <v>99.974999999999994</v>
      </c>
      <c r="ANM4">
        <f>SOFR3mo_PX[[#This Row],[Column1053]]</f>
        <v>99.972499999999997</v>
      </c>
      <c r="ANN4">
        <f>SOFR3mo_PX[[#This Row],[Column1054]]</f>
        <v>99.972499999999997</v>
      </c>
      <c r="ANO4">
        <f>SOFR3mo_PX[[#This Row],[Column1055]]</f>
        <v>99.972499999999997</v>
      </c>
      <c r="ANP4">
        <f>SOFR3mo_PX[[#This Row],[Column1056]]</f>
        <v>99.97</v>
      </c>
      <c r="ANQ4">
        <f>SOFR3mo_PX[[#This Row],[Column1057]]</f>
        <v>99.97</v>
      </c>
      <c r="ANR4">
        <f>SOFR3mo_PX[[#This Row],[Column1058]]</f>
        <v>99.97</v>
      </c>
      <c r="ANS4">
        <f>SOFR3mo_PX[[#This Row],[Column1059]]</f>
        <v>99.967500000000001</v>
      </c>
      <c r="ANT4">
        <f>SOFR3mo_PX[[#This Row],[Column1060]]</f>
        <v>99.97</v>
      </c>
      <c r="ANU4">
        <f>SOFR3mo_PX[[#This Row],[Column1061]]</f>
        <v>99.972499999999997</v>
      </c>
      <c r="ANV4">
        <f>SOFR3mo_PX[[#This Row],[Column1062]]</f>
        <v>99.972499999999997</v>
      </c>
      <c r="ANW4">
        <f>SOFR3mo_PX[[#This Row],[Column1063]]</f>
        <v>99.972499999999997</v>
      </c>
      <c r="ANX4">
        <f>SOFR3mo_PX[[#This Row],[Column1064]]</f>
        <v>99.972499999999997</v>
      </c>
      <c r="ANY4">
        <f>SOFR3mo_PX[[#This Row],[Column1065]]</f>
        <v>99.967500000000001</v>
      </c>
      <c r="ANZ4">
        <f>SOFR3mo_PX[[#This Row],[Column1066]]</f>
        <v>99.967500000000001</v>
      </c>
      <c r="AOA4">
        <f>SOFR3mo_PX[[#This Row],[Column1067]]</f>
        <v>99.965000000000003</v>
      </c>
      <c r="AOB4">
        <f>SOFR3mo_PX[[#This Row],[Column1068]]</f>
        <v>99.967500000000001</v>
      </c>
      <c r="AOC4">
        <f>SOFR3mo_PX[[#This Row],[Column1069]]</f>
        <v>99.967500000000001</v>
      </c>
      <c r="AOD4">
        <f>SOFR3mo_PX[[#This Row],[Column1070]]</f>
        <v>99.97</v>
      </c>
      <c r="AOE4">
        <f>SOFR3mo_PX[[#This Row],[Column1071]]</f>
        <v>99.97</v>
      </c>
      <c r="AOF4">
        <f>SOFR3mo_PX[[#This Row],[Column1072]]</f>
        <v>99.97</v>
      </c>
      <c r="AOG4">
        <f>SOFR3mo_PX[[#This Row],[Column1073]]</f>
        <v>99.97</v>
      </c>
      <c r="AOH4">
        <f>SOFR3mo_PX[[#This Row],[Column1074]]</f>
        <v>99.965000000000003</v>
      </c>
      <c r="AOI4">
        <f>SOFR3mo_PX[[#This Row],[Column1075]]</f>
        <v>99.96</v>
      </c>
      <c r="AOJ4">
        <f>SOFR3mo_PX[[#This Row],[Column1076]]</f>
        <v>99.96</v>
      </c>
      <c r="AOK4">
        <f>SOFR3mo_PX[[#This Row],[Column1077]]</f>
        <v>99.965000000000003</v>
      </c>
      <c r="AOL4">
        <f>SOFR3mo_PX[[#This Row],[Column1078]]</f>
        <v>99.96</v>
      </c>
      <c r="AOM4">
        <f>SOFR3mo_PX[[#This Row],[Column1079]]</f>
        <v>99.96</v>
      </c>
      <c r="AON4">
        <f>SOFR3mo_PX[[#This Row],[Column1080]]</f>
        <v>99.954999999999998</v>
      </c>
      <c r="AOO4">
        <f>SOFR3mo_PX[[#This Row],[Column1081]]</f>
        <v>99.96</v>
      </c>
      <c r="AOP4">
        <f>SOFR3mo_PX[[#This Row],[Column1082]]</f>
        <v>99.96</v>
      </c>
      <c r="AOQ4">
        <f>SOFR3mo_PX[[#This Row],[Column1083]]</f>
        <v>99.96</v>
      </c>
      <c r="AOR4">
        <f>SOFR3mo_PX[[#This Row],[Column1084]]</f>
        <v>99.965000000000003</v>
      </c>
      <c r="AOS4">
        <f>SOFR3mo_PX[[#This Row],[Column1085]]</f>
        <v>99.96</v>
      </c>
      <c r="AOT4">
        <f>SOFR3mo_PX[[#This Row],[Column1086]]</f>
        <v>99.96</v>
      </c>
      <c r="AOU4">
        <f>SOFR3mo_PX[[#This Row],[Column1087]]</f>
        <v>99.96</v>
      </c>
      <c r="AOV4">
        <f>SOFR3mo_PX[[#This Row],[Column1088]]</f>
        <v>99.96</v>
      </c>
      <c r="AOW4">
        <f>SOFR3mo_PX[[#This Row],[Column1089]]</f>
        <v>99.96</v>
      </c>
      <c r="AOX4">
        <f>SOFR3mo_PX[[#This Row],[Column1090]]</f>
        <v>99.954999999999998</v>
      </c>
      <c r="AOY4">
        <f>SOFR3mo_PX[[#This Row],[Column1091]]</f>
        <v>99.954999999999998</v>
      </c>
      <c r="AOZ4">
        <f>SOFR3mo_PX[[#This Row],[Column1092]]</f>
        <v>99.954999999999998</v>
      </c>
      <c r="APA4">
        <f>SOFR3mo_PX[[#This Row],[Column1093]]</f>
        <v>99.96</v>
      </c>
      <c r="APB4">
        <f>SOFR3mo_PX[[#This Row],[Column1094]]</f>
        <v>99.96</v>
      </c>
      <c r="APC4">
        <f>SOFR3mo_PX[[#This Row],[Column1095]]</f>
        <v>99.96</v>
      </c>
      <c r="APD4">
        <f>SOFR3mo_PX[[#This Row],[Column1096]]</f>
        <v>99.96</v>
      </c>
      <c r="APE4">
        <f>SOFR3mo_PX[[#This Row],[Column1097]]</f>
        <v>99.96</v>
      </c>
      <c r="APF4">
        <f>SOFR3mo_PX[[#This Row],[Column1098]]</f>
        <v>99.96</v>
      </c>
      <c r="APG4">
        <f>SOFR3mo_PX[[#This Row],[Column1099]]</f>
        <v>99.965000000000003</v>
      </c>
      <c r="APH4">
        <f>SOFR3mo_PX[[#This Row],[Column1100]]</f>
        <v>99.97</v>
      </c>
      <c r="API4">
        <f>SOFR3mo_PX[[#This Row],[Column1101]]</f>
        <v>99.97</v>
      </c>
      <c r="APJ4">
        <f>SOFR3mo_PX[[#This Row],[Column1102]]</f>
        <v>99.97</v>
      </c>
      <c r="APK4">
        <f>SOFR3mo_PX[[#This Row],[Column1103]]</f>
        <v>99.965000000000003</v>
      </c>
      <c r="APL4">
        <f>SOFR3mo_PX[[#This Row],[Column1104]]</f>
        <v>99.965000000000003</v>
      </c>
      <c r="APM4">
        <f>SOFR3mo_PX[[#This Row],[Column1105]]</f>
        <v>99.965000000000003</v>
      </c>
      <c r="APN4">
        <f>SOFR3mo_PX[[#This Row],[Column1106]]</f>
        <v>99.965000000000003</v>
      </c>
      <c r="APO4">
        <f>SOFR3mo_PX[[#This Row],[Column1107]]</f>
        <v>99.97</v>
      </c>
      <c r="APP4">
        <f>SOFR3mo_PX[[#This Row],[Column1108]]</f>
        <v>99.97</v>
      </c>
      <c r="APQ4">
        <f>SOFR3mo_PX[[#This Row],[Column1109]]</f>
        <v>99.97</v>
      </c>
      <c r="APR4">
        <f>SOFR3mo_PX[[#This Row],[Column1110]]</f>
        <v>99.974999999999994</v>
      </c>
      <c r="APS4">
        <f>SOFR3mo_PX[[#This Row],[Column1111]]</f>
        <v>99.974999999999994</v>
      </c>
      <c r="APT4">
        <f>SOFR3mo_PX[[#This Row],[Column1112]]</f>
        <v>99.97</v>
      </c>
      <c r="APU4">
        <f>SOFR3mo_PX[[#This Row],[Column1113]]</f>
        <v>99.96</v>
      </c>
      <c r="APV4">
        <f>SOFR3mo_PX[[#This Row],[Column1114]]</f>
        <v>99.954999999999998</v>
      </c>
      <c r="APW4">
        <f>SOFR3mo_PX[[#This Row],[Column1115]]</f>
        <v>99.962500000000006</v>
      </c>
      <c r="APX4">
        <f>SOFR3mo_PX[[#This Row],[Column1116]]</f>
        <v>99.962500000000006</v>
      </c>
      <c r="APY4">
        <f>SOFR3mo_PX[[#This Row],[Column1117]]</f>
        <v>99.96</v>
      </c>
      <c r="APZ4">
        <f>SOFR3mo_PX[[#This Row],[Column1118]]</f>
        <v>99.957499999999996</v>
      </c>
      <c r="AQA4">
        <f>SOFR3mo_PX[[#This Row],[Column1119]]</f>
        <v>99.954999999999998</v>
      </c>
      <c r="AQB4">
        <f>SOFR3mo_PX[[#This Row],[Column1120]]</f>
        <v>99.957499999999996</v>
      </c>
      <c r="AQC4">
        <f>SOFR3mo_PX[[#This Row],[Column1121]]</f>
        <v>99.954999999999998</v>
      </c>
      <c r="AQD4">
        <f>SOFR3mo_PX[[#This Row],[Column1122]]</f>
        <v>99.952500000000001</v>
      </c>
      <c r="AQE4">
        <f>SOFR3mo_PX[[#This Row],[Column1123]]</f>
        <v>99.952500000000001</v>
      </c>
      <c r="AQF4">
        <f>SOFR3mo_PX[[#This Row],[Column1124]]</f>
        <v>99.952500000000001</v>
      </c>
      <c r="AQG4">
        <f>SOFR3mo_PX[[#This Row],[Column1125]]</f>
        <v>99.944999999999993</v>
      </c>
      <c r="AQH4">
        <f>SOFR3mo_PX[[#This Row],[Column1126]]</f>
        <v>99.947500000000005</v>
      </c>
      <c r="AQI4">
        <f>SOFR3mo_PX[[#This Row],[Column1127]]</f>
        <v>99.952500000000001</v>
      </c>
      <c r="AQJ4">
        <f>SOFR3mo_PX[[#This Row],[Column1128]]</f>
        <v>99.947500000000005</v>
      </c>
      <c r="AQK4">
        <f>SOFR3mo_PX[[#This Row],[Column1129]]</f>
        <v>99.95</v>
      </c>
      <c r="AQL4">
        <f>SOFR3mo_PX[[#This Row],[Column1130]]</f>
        <v>99.96</v>
      </c>
      <c r="AQM4">
        <f>SOFR3mo_PX[[#This Row],[Column1131]]</f>
        <v>99.965000000000003</v>
      </c>
      <c r="AQN4">
        <f>SOFR3mo_PX[[#This Row],[Column1132]]</f>
        <v>99.962500000000006</v>
      </c>
      <c r="AQO4">
        <f>SOFR3mo_PX[[#This Row],[Column1133]]</f>
        <v>99.965000000000003</v>
      </c>
      <c r="AQP4">
        <f>SOFR3mo_PX[[#This Row],[Column1134]]</f>
        <v>99.96</v>
      </c>
      <c r="AQQ4">
        <f>SOFR3mo_PX[[#This Row],[Column1135]]</f>
        <v>99.96</v>
      </c>
      <c r="AQR4">
        <f>SOFR3mo_PX[[#This Row],[Column1136]]</f>
        <v>99.965000000000003</v>
      </c>
      <c r="AQS4">
        <f>SOFR3mo_PX[[#This Row],[Column1137]]</f>
        <v>99.965000000000003</v>
      </c>
      <c r="AQT4">
        <f>SOFR3mo_PX[[#This Row],[Column1138]]</f>
        <v>99.965000000000003</v>
      </c>
      <c r="AQU4">
        <f>SOFR3mo_PX[[#This Row],[Column1139]]</f>
        <v>99.965000000000003</v>
      </c>
      <c r="AQV4">
        <f>SOFR3mo_PX[[#This Row],[Column1140]]</f>
        <v>99.96</v>
      </c>
      <c r="AQW4">
        <f>SOFR3mo_PX[[#This Row],[Column1141]]</f>
        <v>99.96</v>
      </c>
      <c r="AQX4">
        <f>SOFR3mo_PX[[#This Row],[Column1142]]</f>
        <v>99.965000000000003</v>
      </c>
      <c r="AQY4">
        <f>SOFR3mo_PX[[#This Row],[Column1143]]</f>
        <v>99.965000000000003</v>
      </c>
      <c r="AQZ4">
        <f>SOFR3mo_PX[[#This Row],[Column1144]]</f>
        <v>99.96</v>
      </c>
      <c r="ARA4">
        <f>SOFR3mo_PX[[#This Row],[Column1145]]</f>
        <v>99.96</v>
      </c>
      <c r="ARB4">
        <f>SOFR3mo_PX[[#This Row],[Column1146]]</f>
        <v>99.965000000000003</v>
      </c>
      <c r="ARC4">
        <f>SOFR3mo_PX[[#This Row],[Column1147]]</f>
        <v>99.965000000000003</v>
      </c>
      <c r="ARD4">
        <f>SOFR3mo_PX[[#This Row],[Column1148]]</f>
        <v>99.954999999999998</v>
      </c>
      <c r="ARE4">
        <f>SOFR3mo_PX[[#This Row],[Column1149]]</f>
        <v>99.954999999999998</v>
      </c>
      <c r="ARF4">
        <f>SOFR3mo_PX[[#This Row],[Column1150]]</f>
        <v>99.95</v>
      </c>
      <c r="ARG4">
        <f>SOFR3mo_PX[[#This Row],[Column1151]]</f>
        <v>99.95</v>
      </c>
      <c r="ARH4">
        <f>SOFR3mo_PX[[#This Row],[Column1152]]</f>
        <v>99.95</v>
      </c>
      <c r="ARI4">
        <f>SOFR3mo_PX[[#This Row],[Column1153]]</f>
        <v>99.944999999999993</v>
      </c>
      <c r="ARJ4">
        <f>SOFR3mo_PX[[#This Row],[Column1154]]</f>
        <v>99.94</v>
      </c>
      <c r="ARK4">
        <f>SOFR3mo_PX[[#This Row],[Column1155]]</f>
        <v>99.935000000000002</v>
      </c>
      <c r="ARL4">
        <f>SOFR3mo_PX[[#This Row],[Column1156]]</f>
        <v>99.935000000000002</v>
      </c>
      <c r="ARM4">
        <f>SOFR3mo_PX[[#This Row],[Column1157]]</f>
        <v>99.935000000000002</v>
      </c>
      <c r="ARN4">
        <f>SOFR3mo_PX[[#This Row],[Column1158]]</f>
        <v>99.935000000000002</v>
      </c>
      <c r="ARO4">
        <f>SOFR3mo_PX[[#This Row],[Column1159]]</f>
        <v>99.94</v>
      </c>
      <c r="ARP4">
        <f>SOFR3mo_PX[[#This Row],[Column1160]]</f>
        <v>99.935000000000002</v>
      </c>
      <c r="ARQ4">
        <f>SOFR3mo_PX[[#This Row],[Column1161]]</f>
        <v>99.94</v>
      </c>
      <c r="ARR4">
        <f>SOFR3mo_PX[[#This Row],[Column1162]]</f>
        <v>99.94</v>
      </c>
      <c r="ARS4">
        <f>SOFR3mo_PX[[#This Row],[Column1163]]</f>
        <v>99.94</v>
      </c>
      <c r="ART4">
        <f>SOFR3mo_PX[[#This Row],[Column1164]]</f>
        <v>99.935000000000002</v>
      </c>
      <c r="ARU4">
        <f>SOFR3mo_PX[[#This Row],[Column1165]]</f>
        <v>99.95</v>
      </c>
      <c r="ARV4">
        <f>SOFR3mo_PX[[#This Row],[Column1166]]</f>
        <v>99.954999999999998</v>
      </c>
      <c r="ARW4">
        <f>SOFR3mo_PX[[#This Row],[Column1167]]</f>
        <v>99.95</v>
      </c>
      <c r="ARX4">
        <f>SOFR3mo_PX[[#This Row],[Column1168]]</f>
        <v>99.95</v>
      </c>
      <c r="ARY4">
        <f>SOFR3mo_PX[[#This Row],[Column1169]]</f>
        <v>99.95</v>
      </c>
      <c r="ARZ4">
        <f>SOFR3mo_PX[[#This Row],[Column1170]]</f>
        <v>99.95</v>
      </c>
      <c r="ASA4">
        <f>SOFR3mo_PX[[#This Row],[Column1171]]</f>
        <v>99.95</v>
      </c>
      <c r="ASB4">
        <f>SOFR3mo_PX[[#This Row],[Column1172]]</f>
        <v>99.95</v>
      </c>
      <c r="ASC4">
        <f>SOFR3mo_PX[[#This Row],[Column1173]]</f>
        <v>99.95</v>
      </c>
      <c r="ASD4">
        <f>SOFR3mo_PX[[#This Row],[Column1174]]</f>
        <v>99.95</v>
      </c>
      <c r="ASE4">
        <f>SOFR3mo_PX[[#This Row],[Column1175]]</f>
        <v>99.95</v>
      </c>
      <c r="ASF4">
        <f>SOFR3mo_PX[[#This Row],[Column1176]]</f>
        <v>99.95</v>
      </c>
      <c r="ASG4">
        <f>SOFR3mo_PX[[#This Row],[Column1177]]</f>
        <v>99.95</v>
      </c>
      <c r="ASH4">
        <f>SOFR3mo_PX[[#This Row],[Column1178]]</f>
        <v>99.95</v>
      </c>
      <c r="ASI4">
        <f>SOFR3mo_PX[[#This Row],[Column1179]]</f>
        <v>99.95</v>
      </c>
      <c r="ASJ4">
        <f>SOFR3mo_PX[[#This Row],[Column1180]]</f>
        <v>99.94</v>
      </c>
      <c r="ASK4">
        <f>SOFR3mo_PX[[#This Row],[Column1181]]</f>
        <v>99.942499999999995</v>
      </c>
      <c r="ASL4">
        <f>SOFR3mo_PX[[#This Row],[Column1182]]</f>
        <v>99.944999999999993</v>
      </c>
      <c r="ASM4">
        <f>SOFR3mo_PX[[#This Row],[Column1183]]</f>
        <v>99.94</v>
      </c>
      <c r="ASN4">
        <f>SOFR3mo_PX[[#This Row],[Column1184]]</f>
        <v>99.942499999999995</v>
      </c>
      <c r="ASO4">
        <f>SOFR3mo_PX[[#This Row],[Column1185]]</f>
        <v>99.9375</v>
      </c>
      <c r="ASP4">
        <f>SOFR3mo_PX[[#This Row],[Column1186]]</f>
        <v>99.9375</v>
      </c>
      <c r="ASQ4">
        <f>SOFR3mo_PX[[#This Row],[Column1187]]</f>
        <v>99.932500000000005</v>
      </c>
      <c r="ASR4">
        <f>SOFR3mo_PX[[#This Row],[Column1188]]</f>
        <v>99.932500000000005</v>
      </c>
      <c r="ASS4">
        <f>SOFR3mo_PX[[#This Row],[Column1189]]</f>
        <v>99.932500000000005</v>
      </c>
      <c r="AST4">
        <f>SOFR3mo_PX[[#This Row],[Column1190]]</f>
        <v>99.935000000000002</v>
      </c>
      <c r="ASU4">
        <f>SOFR3mo_PX[[#This Row],[Column1191]]</f>
        <v>99.932500000000005</v>
      </c>
      <c r="ASV4">
        <f>SOFR3mo_PX[[#This Row],[Column1192]]</f>
        <v>99.932500000000005</v>
      </c>
      <c r="ASW4">
        <f>SOFR3mo_PX[[#This Row],[Column1193]]</f>
        <v>99.932500000000005</v>
      </c>
      <c r="ASX4">
        <f>SOFR3mo_PX[[#This Row],[Column1194]]</f>
        <v>99.932500000000005</v>
      </c>
      <c r="ASY4">
        <f>SOFR3mo_PX[[#This Row],[Column1195]]</f>
        <v>99.935000000000002</v>
      </c>
      <c r="ASZ4">
        <f>SOFR3mo_PX[[#This Row],[Column1196]]</f>
        <v>99.932500000000005</v>
      </c>
      <c r="ATA4">
        <f>SOFR3mo_PX[[#This Row],[Column1197]]</f>
        <v>99.932500000000005</v>
      </c>
      <c r="ATB4">
        <f>SOFR3mo_PX[[#This Row],[Column1198]]</f>
        <v>99.927499999999995</v>
      </c>
      <c r="ATC4">
        <f>SOFR3mo_PX[[#This Row],[Column1199]]</f>
        <v>99.92</v>
      </c>
      <c r="ATD4">
        <f>SOFR3mo_PX[[#This Row],[Column1200]]</f>
        <v>99.92</v>
      </c>
      <c r="ATE4">
        <f>SOFR3mo_PX[[#This Row],[Column1201]]</f>
        <v>99.92</v>
      </c>
      <c r="ATF4">
        <f>SOFR3mo_PX[[#This Row],[Column1202]]</f>
        <v>99.92</v>
      </c>
      <c r="ATG4">
        <f>SOFR3mo_PX[[#This Row],[Column1203]]</f>
        <v>99.92</v>
      </c>
      <c r="ATH4">
        <f>SOFR3mo_PX[[#This Row],[Column1204]]</f>
        <v>99.92</v>
      </c>
      <c r="ATI4">
        <f>SOFR3mo_PX[[#This Row],[Column1205]]</f>
        <v>99.92</v>
      </c>
      <c r="ATJ4">
        <f>SOFR3mo_PX[[#This Row],[Column1206]]</f>
        <v>99.915000000000006</v>
      </c>
      <c r="ATK4">
        <f>SOFR3mo_PX[[#This Row],[Column1207]]</f>
        <v>99.92</v>
      </c>
      <c r="ATL4">
        <f>SOFR3mo_PX[[#This Row],[Column1208]]</f>
        <v>99.92</v>
      </c>
      <c r="ATM4">
        <f>SOFR3mo_PX[[#This Row],[Column1209]]</f>
        <v>99.924999999999997</v>
      </c>
      <c r="ATN4">
        <f>SOFR3mo_PX[[#This Row],[Column1210]]</f>
        <v>99.92</v>
      </c>
      <c r="ATO4">
        <f>SOFR3mo_PX[[#This Row],[Column1211]]</f>
        <v>99.92</v>
      </c>
      <c r="ATP4">
        <f>SOFR3mo_PX[[#This Row],[Column1212]]</f>
        <v>99.924999999999997</v>
      </c>
      <c r="ATQ4">
        <f>SOFR3mo_PX[[#This Row],[Column1213]]</f>
        <v>99.924999999999997</v>
      </c>
      <c r="ATR4">
        <f>SOFR3mo_PX[[#This Row],[Column1214]]</f>
        <v>99.924999999999997</v>
      </c>
      <c r="ATS4">
        <f>SOFR3mo_PX[[#This Row],[Column1215]]</f>
        <v>99.924999999999997</v>
      </c>
      <c r="ATT4">
        <f>SOFR3mo_PX[[#This Row],[Column1216]]</f>
        <v>99.924999999999997</v>
      </c>
      <c r="ATU4">
        <f>SOFR3mo_PX[[#This Row],[Column1217]]</f>
        <v>99.92</v>
      </c>
      <c r="ATV4">
        <f>SOFR3mo_PX[[#This Row],[Column1218]]</f>
        <v>99.92</v>
      </c>
      <c r="ATW4">
        <f>SOFR3mo_PX[[#This Row],[Column1219]]</f>
        <v>99.924999999999997</v>
      </c>
      <c r="ATX4">
        <f>SOFR3mo_PX[[#This Row],[Column1220]]</f>
        <v>99.924999999999997</v>
      </c>
      <c r="ATY4">
        <f>SOFR3mo_PX[[#This Row],[Column1221]]</f>
        <v>99.93</v>
      </c>
      <c r="ATZ4">
        <f>SOFR3mo_PX[[#This Row],[Column1222]]</f>
        <v>99.93</v>
      </c>
      <c r="AUA4">
        <f>SOFR3mo_PX[[#This Row],[Column1223]]</f>
        <v>99.924999999999997</v>
      </c>
      <c r="AUB4">
        <f>SOFR3mo_PX[[#This Row],[Column1224]]</f>
        <v>99.93</v>
      </c>
      <c r="AUC4">
        <f>SOFR3mo_PX[[#This Row],[Column1225]]</f>
        <v>99.93</v>
      </c>
      <c r="AUD4">
        <f>SOFR3mo_PX[[#This Row],[Column1226]]</f>
        <v>99.93</v>
      </c>
      <c r="AUE4">
        <f>SOFR3mo_PX[[#This Row],[Column1227]]</f>
        <v>99.93</v>
      </c>
      <c r="AUF4">
        <f>SOFR3mo_PX[[#This Row],[Column1228]]</f>
        <v>99.93</v>
      </c>
      <c r="AUG4">
        <f>SOFR3mo_PX[[#This Row],[Column1229]]</f>
        <v>99.93</v>
      </c>
      <c r="AUH4">
        <f>SOFR3mo_PX[[#This Row],[Column1230]]</f>
        <v>99.93</v>
      </c>
      <c r="AUI4">
        <f>SOFR3mo_PX[[#This Row],[Column1231]]</f>
        <v>99.93</v>
      </c>
      <c r="AUJ4">
        <f>SOFR3mo_PX[[#This Row],[Column1232]]</f>
        <v>99.935000000000002</v>
      </c>
      <c r="AUK4">
        <f>SOFR3mo_PX[[#This Row],[Column1233]]</f>
        <v>99.935000000000002</v>
      </c>
      <c r="AUL4">
        <f>SOFR3mo_PX[[#This Row],[Column1234]]</f>
        <v>99.935000000000002</v>
      </c>
      <c r="AUM4">
        <f>SOFR3mo_PX[[#This Row],[Column1235]]</f>
        <v>99.935000000000002</v>
      </c>
      <c r="AUN4">
        <f>SOFR3mo_PX[[#This Row],[Column1236]]</f>
        <v>99.935000000000002</v>
      </c>
      <c r="AUO4">
        <f>SOFR3mo_PX[[#This Row],[Column1237]]</f>
        <v>99.935000000000002</v>
      </c>
      <c r="AUP4">
        <f>SOFR3mo_PX[[#This Row],[Column1238]]</f>
        <v>99.935000000000002</v>
      </c>
      <c r="AUQ4">
        <f>SOFR3mo_PX[[#This Row],[Column1239]]</f>
        <v>99.93</v>
      </c>
      <c r="AUR4">
        <f>SOFR3mo_PX[[#This Row],[Column1240]]</f>
        <v>99.93</v>
      </c>
      <c r="AUS4">
        <f>SOFR3mo_PX[[#This Row],[Column1241]]</f>
        <v>99.924999999999997</v>
      </c>
      <c r="AUT4">
        <f>SOFR3mo_PX[[#This Row],[Column1242]]</f>
        <v>99.924999999999997</v>
      </c>
      <c r="AUU4">
        <f>SOFR3mo_PX[[#This Row],[Column1243]]</f>
        <v>99.93</v>
      </c>
      <c r="AUV4">
        <f>SOFR3mo_PX[[#This Row],[Column1244]]</f>
        <v>99.93</v>
      </c>
      <c r="AUW4">
        <f>SOFR3mo_PX[[#This Row],[Column1245]]</f>
        <v>99.927499999999995</v>
      </c>
      <c r="AUX4">
        <f>SOFR3mo_PX[[#This Row],[Column1246]]</f>
        <v>99.922499999999999</v>
      </c>
      <c r="AUY4">
        <f>SOFR3mo_PX[[#This Row],[Column1247]]</f>
        <v>99.922499999999999</v>
      </c>
      <c r="AUZ4">
        <f>SOFR3mo_PX[[#This Row],[Column1248]]</f>
        <v>99.922499999999999</v>
      </c>
      <c r="AVA4">
        <f>SOFR3mo_PX[[#This Row],[Column1249]]</f>
        <v>99.917500000000004</v>
      </c>
      <c r="AVB4">
        <f>SOFR3mo_PX[[#This Row],[Column1250]]</f>
        <v>99.92</v>
      </c>
      <c r="AVC4">
        <f>SOFR3mo_PX[[#This Row],[Column1251]]</f>
        <v>99.92</v>
      </c>
      <c r="AVD4">
        <f>SOFR3mo_PX[[#This Row],[Column1252]]</f>
        <v>99.92</v>
      </c>
      <c r="AVE4">
        <f>SOFR3mo_PX[[#This Row],[Column1253]]</f>
        <v>99.927499999999995</v>
      </c>
      <c r="AVF4">
        <f>SOFR3mo_PX[[#This Row],[Column1254]]</f>
        <v>99.924999999999997</v>
      </c>
      <c r="AVG4">
        <f>SOFR3mo_PX[[#This Row],[Column1255]]</f>
        <v>99.927499999999995</v>
      </c>
      <c r="AVH4">
        <f>SOFR3mo_PX[[#This Row],[Column1256]]</f>
        <v>99.924999999999997</v>
      </c>
      <c r="AVI4">
        <f>SOFR3mo_PX[[#This Row],[Column1257]]</f>
        <v>99.93</v>
      </c>
      <c r="AVJ4">
        <f>SOFR3mo_PX[[#This Row],[Column1258]]</f>
        <v>99.924999999999997</v>
      </c>
      <c r="AVK4">
        <f>SOFR3mo_PX[[#This Row],[Column1259]]</f>
        <v>99.922499999999999</v>
      </c>
      <c r="AVL4">
        <f>SOFR3mo_PX[[#This Row],[Column1260]]</f>
        <v>99.924999999999997</v>
      </c>
      <c r="AVM4">
        <f>SOFR3mo_PX[[#This Row],[Column1261]]</f>
        <v>99.927499999999995</v>
      </c>
      <c r="AVN4">
        <f>SOFR3mo_PX[[#This Row],[Column1262]]</f>
        <v>99.927499999999995</v>
      </c>
      <c r="AVO4">
        <f>SOFR3mo_PX[[#This Row],[Column1263]]</f>
        <v>99.924999999999997</v>
      </c>
      <c r="AVP4">
        <f>SOFR3mo_PX[[#This Row],[Column1264]]</f>
        <v>99.924999999999997</v>
      </c>
      <c r="AVQ4">
        <f>SOFR3mo_PX[[#This Row],[Column1265]]</f>
        <v>99.917500000000004</v>
      </c>
      <c r="AVR4">
        <f>SOFR3mo_PX[[#This Row],[Column1266]]</f>
        <v>99.92</v>
      </c>
      <c r="AVS4">
        <f>SOFR3mo_PX[[#This Row],[Column1267]]</f>
        <v>99.92</v>
      </c>
      <c r="AVT4">
        <f>SOFR3mo_PX[[#This Row],[Column1268]]</f>
        <v>99.92</v>
      </c>
      <c r="AVU4">
        <f>SOFR3mo_PX[[#This Row],[Column1269]]</f>
        <v>99.924999999999997</v>
      </c>
      <c r="AVV4">
        <f>SOFR3mo_PX[[#This Row],[Column1270]]</f>
        <v>99.93</v>
      </c>
      <c r="AVW4">
        <f>SOFR3mo_PX[[#This Row],[Column1271]]</f>
        <v>99.93</v>
      </c>
      <c r="AVX4">
        <f>SOFR3mo_PX[[#This Row],[Column1272]]</f>
        <v>99.93</v>
      </c>
      <c r="AVY4">
        <f>SOFR3mo_PX[[#This Row],[Column1273]]</f>
        <v>99.93</v>
      </c>
      <c r="AVZ4">
        <f>SOFR3mo_PX[[#This Row],[Column1274]]</f>
        <v>99.93</v>
      </c>
      <c r="AWA4">
        <f>SOFR3mo_PX[[#This Row],[Column1275]]</f>
        <v>99.935000000000002</v>
      </c>
      <c r="AWB4">
        <f>SOFR3mo_PX[[#This Row],[Column1276]]</f>
        <v>99.935000000000002</v>
      </c>
      <c r="AWC4">
        <f>SOFR3mo_PX[[#This Row],[Column1277]]</f>
        <v>99.94</v>
      </c>
      <c r="AWD4">
        <f>SOFR3mo_PX[[#This Row],[Column1278]]</f>
        <v>99.94</v>
      </c>
      <c r="AWE4">
        <f>SOFR3mo_PX[[#This Row],[Column1279]]</f>
        <v>99.94</v>
      </c>
      <c r="AWF4">
        <f>SOFR3mo_PX[[#This Row],[Column1280]]</f>
        <v>99.93</v>
      </c>
      <c r="AWG4">
        <f>SOFR3mo_PX[[#This Row],[Column1281]]</f>
        <v>99.93</v>
      </c>
      <c r="AWH4">
        <f>SOFR3mo_PX[[#This Row],[Column1282]]</f>
        <v>99.93</v>
      </c>
      <c r="AWI4">
        <f>SOFR3mo_PX[[#This Row],[Column1283]]</f>
        <v>99.935000000000002</v>
      </c>
      <c r="AWJ4">
        <f>SOFR3mo_PX[[#This Row],[Column1284]]</f>
        <v>99.93</v>
      </c>
      <c r="AWK4">
        <f>SOFR3mo_PX[[#This Row],[Column1285]]</f>
        <v>99.935000000000002</v>
      </c>
      <c r="AWL4">
        <f>SOFR3mo_PX[[#This Row],[Column1286]]</f>
        <v>99.935000000000002</v>
      </c>
      <c r="AWM4">
        <f>SOFR3mo_PX[[#This Row],[Column1287]]</f>
        <v>99.935000000000002</v>
      </c>
      <c r="AWN4">
        <f>SOFR3mo_PX[[#This Row],[Column1288]]</f>
        <v>99.935000000000002</v>
      </c>
      <c r="AWO4">
        <f>SOFR3mo_PX[[#This Row],[Column1289]]</f>
        <v>99.93</v>
      </c>
      <c r="AWP4">
        <f>SOFR3mo_PX[[#This Row],[Column1290]]</f>
        <v>99.93</v>
      </c>
      <c r="AWQ4">
        <f>SOFR3mo_PX[[#This Row],[Column1291]]</f>
        <v>99.93</v>
      </c>
      <c r="AWR4">
        <f>SOFR3mo_PX[[#This Row],[Column1292]]</f>
        <v>99.935000000000002</v>
      </c>
      <c r="AWS4">
        <f>SOFR3mo_PX[[#This Row],[Column1293]]</f>
        <v>99.935000000000002</v>
      </c>
      <c r="AWT4">
        <f>SOFR3mo_PX[[#This Row],[Column1294]]</f>
        <v>99.94</v>
      </c>
      <c r="AWU4">
        <f>SOFR3mo_PX[[#This Row],[Column1295]]</f>
        <v>99.94</v>
      </c>
      <c r="AWV4">
        <f>SOFR3mo_PX[[#This Row],[Column1296]]</f>
        <v>99.94</v>
      </c>
      <c r="AWW4">
        <f>SOFR3mo_PX[[#This Row],[Column1297]]</f>
        <v>99.94</v>
      </c>
      <c r="AWX4">
        <f>SOFR3mo_PX[[#This Row],[Column1298]]</f>
        <v>99.94</v>
      </c>
      <c r="AWY4">
        <f>SOFR3mo_PX[[#This Row],[Column1299]]</f>
        <v>99.944999999999993</v>
      </c>
      <c r="AWZ4">
        <f>SOFR3mo_PX[[#This Row],[Column1300]]</f>
        <v>99.95</v>
      </c>
      <c r="AXA4">
        <f>SOFR3mo_PX[[#This Row],[Column1301]]</f>
        <v>99.95</v>
      </c>
      <c r="AXB4">
        <f>SOFR3mo_PX[[#This Row],[Column1302]]</f>
        <v>99.95</v>
      </c>
      <c r="AXC4">
        <f>SOFR3mo_PX[[#This Row],[Column1303]]</f>
        <v>99.94</v>
      </c>
      <c r="AXD4">
        <f>SOFR3mo_PX[[#This Row],[Column1304]]</f>
        <v>99.935000000000002</v>
      </c>
      <c r="AXE4">
        <f>SOFR3mo_PX[[#This Row],[Column1305]]</f>
        <v>99.935000000000002</v>
      </c>
      <c r="AXF4">
        <f>SOFR3mo_PX[[#This Row],[Column1306]]</f>
        <v>99.935000000000002</v>
      </c>
      <c r="AXG4">
        <f>SOFR3mo_PX[[#This Row],[Column1307]]</f>
        <v>99.93</v>
      </c>
      <c r="AXH4">
        <f>SOFR3mo_PX[[#This Row],[Column1308]]</f>
        <v>99.924999999999997</v>
      </c>
      <c r="AXI4">
        <f>SOFR3mo_PX[[#This Row],[Column1309]]</f>
        <v>99.92</v>
      </c>
      <c r="AXJ4">
        <f>SOFR3mo_PX[[#This Row],[Column1310]]</f>
        <v>99.905000000000001</v>
      </c>
      <c r="AXK4">
        <f>SOFR3mo_PX[[#This Row],[Column1311]]</f>
        <v>99.905000000000001</v>
      </c>
      <c r="AXL4">
        <f>SOFR3mo_PX[[#This Row],[Column1312]]</f>
        <v>99.905000000000001</v>
      </c>
      <c r="AXM4">
        <f>SOFR3mo_PX[[#This Row],[Column1313]]</f>
        <v>99.924999999999997</v>
      </c>
      <c r="AXN4">
        <f>SOFR3mo_PX[[#This Row],[Column1314]]</f>
        <v>99.924999999999997</v>
      </c>
      <c r="AXO4">
        <f>SOFR3mo_PX[[#This Row],[Column1315]]</f>
        <v>99.922499999999999</v>
      </c>
      <c r="AXP4">
        <f>SOFR3mo_PX[[#This Row],[Column1316]]</f>
        <v>99.92</v>
      </c>
      <c r="AXQ4">
        <f>SOFR3mo_PX[[#This Row],[Column1317]]</f>
        <v>99.924999999999997</v>
      </c>
      <c r="AXR4">
        <f>SOFR3mo_PX[[#This Row],[Column1318]]</f>
        <v>99.924999999999997</v>
      </c>
      <c r="AXS4">
        <f>SOFR3mo_PX[[#This Row],[Column1319]]</f>
        <v>99.922499999999999</v>
      </c>
      <c r="AXT4">
        <f>SOFR3mo_PX[[#This Row],[Column1320]]</f>
        <v>99.93</v>
      </c>
      <c r="AXU4">
        <f>SOFR3mo_PX[[#This Row],[Column1321]]</f>
        <v>99.93</v>
      </c>
      <c r="AXV4">
        <f>SOFR3mo_PX[[#This Row],[Column1322]]</f>
        <v>99.93</v>
      </c>
      <c r="AXW4">
        <f>SOFR3mo_PX[[#This Row],[Column1323]]</f>
        <v>99.924999999999997</v>
      </c>
      <c r="AXX4">
        <f>SOFR3mo_PX[[#This Row],[Column1324]]</f>
        <v>99.93</v>
      </c>
      <c r="AXY4">
        <f>SOFR3mo_PX[[#This Row],[Column1325]]</f>
        <v>99.932500000000005</v>
      </c>
      <c r="AXZ4">
        <f>SOFR3mo_PX[[#This Row],[Column1326]]</f>
        <v>99.94</v>
      </c>
      <c r="AYA4">
        <f>SOFR3mo_PX[[#This Row],[Column1327]]</f>
        <v>99.94</v>
      </c>
      <c r="AYB4">
        <f>SOFR3mo_PX[[#This Row],[Column1328]]</f>
        <v>99.94</v>
      </c>
      <c r="AYC4">
        <f>SOFR3mo_PX[[#This Row],[Column1329]]</f>
        <v>99.94</v>
      </c>
      <c r="AYD4">
        <f>SOFR3mo_PX[[#This Row],[Column1330]]</f>
        <v>99.932500000000005</v>
      </c>
      <c r="AYE4">
        <f>SOFR3mo_PX[[#This Row],[Column1331]]</f>
        <v>99.927499999999995</v>
      </c>
      <c r="AYF4">
        <f>SOFR3mo_PX[[#This Row],[Column1332]]</f>
        <v>99.94</v>
      </c>
      <c r="AYG4">
        <f>SOFR3mo_PX[[#This Row],[Column1333]]</f>
        <v>99.94</v>
      </c>
      <c r="AYH4">
        <f>SOFR3mo_PX[[#This Row],[Column1334]]</f>
        <v>99.94</v>
      </c>
      <c r="AYI4">
        <f>SOFR3mo_PX[[#This Row],[Column1335]]</f>
        <v>99.93</v>
      </c>
      <c r="AYJ4">
        <f>SOFR3mo_PX[[#This Row],[Column1336]]</f>
        <v>99.94</v>
      </c>
      <c r="AYK4">
        <f>SOFR3mo_PX[[#This Row],[Column1337]]</f>
        <v>99.95</v>
      </c>
      <c r="AYL4">
        <f>SOFR3mo_PX[[#This Row],[Column1338]]</f>
        <v>99.96</v>
      </c>
      <c r="AYM4">
        <f>SOFR3mo_PX[[#This Row],[Column1339]]</f>
        <v>99.965000000000003</v>
      </c>
      <c r="AYN4">
        <f>SOFR3mo_PX[[#This Row],[Column1340]]</f>
        <v>99.96</v>
      </c>
      <c r="AYO4">
        <f>SOFR3mo_PX[[#This Row],[Column1341]]</f>
        <v>99.974999999999994</v>
      </c>
      <c r="AYP4">
        <f>SOFR3mo_PX[[#This Row],[Column1342]]</f>
        <v>99.97</v>
      </c>
      <c r="AYQ4">
        <f>SOFR3mo_PX[[#This Row],[Column1343]]</f>
        <v>99.974999999999994</v>
      </c>
      <c r="AYR4">
        <f>SOFR3mo_PX[[#This Row],[Column1344]]</f>
        <v>99.965000000000003</v>
      </c>
      <c r="AYS4">
        <f>SOFR3mo_PX[[#This Row],[Column1345]]</f>
        <v>99.944999999999993</v>
      </c>
      <c r="AYT4">
        <f>SOFR3mo_PX[[#This Row],[Column1346]]</f>
        <v>99.95</v>
      </c>
      <c r="AYU4">
        <f>SOFR3mo_PX[[#This Row],[Column1347]]</f>
        <v>99.944999999999993</v>
      </c>
      <c r="AYV4">
        <f>SOFR3mo_PX[[#This Row],[Column1348]]</f>
        <v>99.94</v>
      </c>
      <c r="AYW4">
        <f>SOFR3mo_PX[[#This Row],[Column1349]]</f>
        <v>99.94</v>
      </c>
      <c r="AYX4">
        <f>SOFR3mo_PX[[#This Row],[Column1350]]</f>
        <v>99.94</v>
      </c>
      <c r="AYY4">
        <f>SOFR3mo_PX[[#This Row],[Column1351]]</f>
        <v>99.93</v>
      </c>
      <c r="AYZ4">
        <f>SOFR3mo_PX[[#This Row],[Column1352]]</f>
        <v>99.93</v>
      </c>
      <c r="AZA4">
        <f>SOFR3mo_PX[[#This Row],[Column1353]]</f>
        <v>99.915000000000006</v>
      </c>
      <c r="AZB4">
        <f>SOFR3mo_PX[[#This Row],[Column1354]]</f>
        <v>99.924999999999997</v>
      </c>
      <c r="AZC4">
        <f>SOFR3mo_PX[[#This Row],[Column1355]]</f>
        <v>99.92</v>
      </c>
      <c r="AZD4">
        <f>SOFR3mo_PX[[#This Row],[Column1356]]</f>
        <v>99.935000000000002</v>
      </c>
      <c r="AZE4">
        <f>SOFR3mo_PX[[#This Row],[Column1357]]</f>
        <v>99.94</v>
      </c>
      <c r="AZF4">
        <f>SOFR3mo_PX[[#This Row],[Column1358]]</f>
        <v>99.94</v>
      </c>
      <c r="AZG4">
        <f>SOFR3mo_PX[[#This Row],[Column1359]]</f>
        <v>99.935000000000002</v>
      </c>
      <c r="AZH4">
        <f>SOFR3mo_PX[[#This Row],[Column1360]]</f>
        <v>99.93</v>
      </c>
      <c r="AZI4">
        <f>SOFR3mo_PX[[#This Row],[Column1361]]</f>
        <v>99.93</v>
      </c>
      <c r="AZJ4">
        <f>SOFR3mo_PX[[#This Row],[Column1362]]</f>
        <v>99.93</v>
      </c>
      <c r="AZK4">
        <f>SOFR3mo_PX[[#This Row],[Column1363]]</f>
        <v>99.935000000000002</v>
      </c>
      <c r="AZL4">
        <f>SOFR3mo_PX[[#This Row],[Column1364]]</f>
        <v>99.93</v>
      </c>
      <c r="AZM4">
        <f>SOFR3mo_PX[[#This Row],[Column1365]]</f>
        <v>99.944999999999993</v>
      </c>
      <c r="AZN4">
        <f>SOFR3mo_PX[[#This Row],[Column1366]]</f>
        <v>99.95</v>
      </c>
      <c r="AZO4">
        <f>SOFR3mo_PX[[#This Row],[Column1367]]</f>
        <v>99.95</v>
      </c>
      <c r="AZP4">
        <f>SOFR3mo_PX[[#This Row],[Column1368]]</f>
        <v>99.96</v>
      </c>
      <c r="AZQ4">
        <f>SOFR3mo_PX[[#This Row],[Column1369]]</f>
        <v>99.94</v>
      </c>
      <c r="AZR4">
        <f>SOFR3mo_PX[[#This Row],[Column1370]]</f>
        <v>99.94</v>
      </c>
      <c r="AZS4">
        <f>SOFR3mo_PX[[#This Row],[Column1371]]</f>
        <v>99.95</v>
      </c>
      <c r="AZT4">
        <f>SOFR3mo_PX[[#This Row],[Column1372]]</f>
        <v>99.93</v>
      </c>
      <c r="AZU4">
        <f>SOFR3mo_PX[[#This Row],[Column1373]]</f>
        <v>99.935000000000002</v>
      </c>
      <c r="AZV4">
        <f>SOFR3mo_PX[[#This Row],[Column1374]]</f>
        <v>99.92</v>
      </c>
      <c r="AZW4">
        <f>SOFR3mo_PX[[#This Row],[Column1375]]</f>
        <v>99.84</v>
      </c>
      <c r="AZX4">
        <f>SOFR3mo_PX[[#This Row],[Column1376]]</f>
        <v>99.864999999999995</v>
      </c>
      <c r="AZY4">
        <f>SOFR3mo_PX[[#This Row],[Column1377]]</f>
        <v>99.795000000000002</v>
      </c>
      <c r="AZZ4">
        <f>SOFR3mo_PX[[#This Row],[Column1378]]</f>
        <v>99.78</v>
      </c>
      <c r="BAA4">
        <f>SOFR3mo_PX[[#This Row],[Column1379]]</f>
        <v>99.71</v>
      </c>
      <c r="BAB4">
        <f>SOFR3mo_PX[[#This Row],[Column1380]]</f>
        <v>99.625</v>
      </c>
      <c r="BAC4">
        <f>SOFR3mo_PX[[#This Row],[Column1381]]</f>
        <v>99.694999999999993</v>
      </c>
      <c r="BAD4">
        <f>SOFR3mo_PX[[#This Row],[Column1382]]</f>
        <v>99.484999999999999</v>
      </c>
      <c r="BAE4">
        <f>SOFR3mo_PX[[#This Row],[Column1383]]</f>
        <v>99.39</v>
      </c>
      <c r="BAF4">
        <f>SOFR3mo_PX[[#This Row],[Column1384]]</f>
        <v>99.295000000000002</v>
      </c>
      <c r="BAG4">
        <f>SOFR3mo_PX[[#This Row],[Column1385]]</f>
        <v>99.242500000000007</v>
      </c>
      <c r="BAH4">
        <f>SOFR3mo_PX[[#This Row],[Column1386]]</f>
        <v>98.987499999999997</v>
      </c>
      <c r="BAI4">
        <f>SOFR3mo_PX[[#This Row],[Column1387]]</f>
        <v>98.885000000000005</v>
      </c>
      <c r="BAJ4">
        <f>SOFR3mo_PX[[#This Row],[Column1388]]</f>
        <v>98.644999999999996</v>
      </c>
      <c r="BAK4">
        <f>SOFR3mo_PX[[#This Row],[Column1389]]</f>
        <v>98.582499999999996</v>
      </c>
      <c r="BAL4">
        <f>SOFR3mo_PX[[#This Row],[Column1390]]</f>
        <v>98.5625</v>
      </c>
      <c r="BAM4">
        <f>SOFR3mo_PX[[#This Row],[Column1391]]</f>
        <v>98.52</v>
      </c>
      <c r="BAN4">
        <f>SOFR3mo_PX[[#This Row],[Column1392]]</f>
        <v>98.48</v>
      </c>
      <c r="BAO4">
        <f>SOFR3mo_PX[[#This Row],[Column1393]]</f>
        <v>98.472499999999997</v>
      </c>
      <c r="BAP4">
        <f>SOFR3mo_PX[[#This Row],[Column1394]]</f>
        <v>98.462500000000006</v>
      </c>
      <c r="BAQ4">
        <f>SOFR3mo_PX[[#This Row],[Column1395]]</f>
        <v>98.487499999999997</v>
      </c>
      <c r="BAR4">
        <f>SOFR3mo_PX[[#This Row],[Column1396]]</f>
        <v>98.484999999999999</v>
      </c>
      <c r="BAS4">
        <f>SOFR3mo_PX[[#This Row],[Column1397]]</f>
        <v>98.484999999999999</v>
      </c>
      <c r="BAT4">
        <f>SOFR3mo_PX[[#This Row],[Column1398]]</f>
        <v>98.48</v>
      </c>
      <c r="BAU4">
        <f>SOFR3mo_PX[[#This Row],[Column1399]]</f>
        <v>98.465000000000003</v>
      </c>
      <c r="BAV4">
        <f>SOFR3mo_PX[[#This Row],[Column1400]]</f>
        <v>98.47</v>
      </c>
      <c r="BAW4">
        <f>SOFR3mo_PX[[#This Row],[Column1401]]</f>
        <v>98.49</v>
      </c>
      <c r="BAX4">
        <f>SOFR3mo_PX[[#This Row],[Column1402]]</f>
        <v>98.474999999999994</v>
      </c>
      <c r="BAY4">
        <f>SOFR3mo_PX[[#This Row],[Column1403]]</f>
        <v>98.45</v>
      </c>
      <c r="BAZ4">
        <f>SOFR3mo_PX[[#This Row],[Column1404]]</f>
        <v>98.454999999999998</v>
      </c>
      <c r="BBA4">
        <f>SOFR3mo_PX[[#This Row],[Column1405]]</f>
        <v>98.454999999999998</v>
      </c>
      <c r="BBB4">
        <f>SOFR3mo_PX[[#This Row],[Column1406]]</f>
        <v>98.49</v>
      </c>
      <c r="BBC4">
        <f>SOFR3mo_PX[[#This Row],[Column1407]]</f>
        <v>98.51</v>
      </c>
      <c r="BBD4">
        <f>SOFR3mo_PX[[#This Row],[Column1408]]</f>
        <v>98.474999999999994</v>
      </c>
      <c r="BBE4">
        <f>SOFR3mo_PX[[#This Row],[Column1409]]</f>
        <v>98.45</v>
      </c>
      <c r="BBF4">
        <f>SOFR3mo_PX[[#This Row],[Column1410]]</f>
        <v>98.444999999999993</v>
      </c>
      <c r="BBG4">
        <f>SOFR3mo_PX[[#This Row],[Column1411]]</f>
        <v>98.465000000000003</v>
      </c>
      <c r="BBH4">
        <f>SOFR3mo_PX[[#This Row],[Column1412]]</f>
        <v>98.444999999999993</v>
      </c>
      <c r="BBI4">
        <f>SOFR3mo_PX[[#This Row],[Column1413]]</f>
        <v>98.435000000000002</v>
      </c>
      <c r="BBJ4">
        <f>SOFR3mo_PX[[#This Row],[Column1414]]</f>
        <v>98.435000000000002</v>
      </c>
      <c r="BBK4">
        <f>SOFR3mo_PX[[#This Row],[Column1415]]</f>
        <v>98.435000000000002</v>
      </c>
      <c r="BBL4">
        <f>SOFR3mo_PX[[#This Row],[Column1416]]</f>
        <v>98.42</v>
      </c>
      <c r="BBM4">
        <f>SOFR3mo_PX[[#This Row],[Column1417]]</f>
        <v>98.42</v>
      </c>
      <c r="BBN4">
        <f>SOFR3mo_PX[[#This Row],[Column1418]]</f>
        <v>98.424999999999997</v>
      </c>
      <c r="BBO4">
        <f>SOFR3mo_PX[[#This Row],[Column1419]]</f>
        <v>98.42</v>
      </c>
      <c r="BBP4">
        <f>SOFR3mo_PX[[#This Row],[Column1420]]</f>
        <v>98.42</v>
      </c>
      <c r="BBQ4">
        <f>SOFR3mo_PX[[#This Row],[Column1421]]</f>
        <v>98.42</v>
      </c>
      <c r="BBR4">
        <f>SOFR3mo_PX[[#This Row],[Column1422]]</f>
        <v>98.43</v>
      </c>
      <c r="BBS4">
        <f>SOFR3mo_PX[[#This Row],[Column1423]]</f>
        <v>98.435000000000002</v>
      </c>
      <c r="BBT4">
        <f>SOFR3mo_PX[[#This Row],[Column1424]]</f>
        <v>98.424999999999997</v>
      </c>
      <c r="BBU4">
        <f>SOFR3mo_PX[[#This Row],[Column1425]]</f>
        <v>98.44</v>
      </c>
      <c r="BBV4">
        <f>SOFR3mo_PX[[#This Row],[Column1426]]</f>
        <v>98.44</v>
      </c>
      <c r="BBW4">
        <f>SOFR3mo_PX[[#This Row],[Column1427]]</f>
        <v>98.444999999999993</v>
      </c>
      <c r="BBX4">
        <f>SOFR3mo_PX[[#This Row],[Column1428]]</f>
        <v>98.454999999999998</v>
      </c>
      <c r="BBY4">
        <f>SOFR3mo_PX[[#This Row],[Column1429]]</f>
        <v>98.454999999999998</v>
      </c>
      <c r="BBZ4">
        <f>SOFR3mo_PX[[#This Row],[Column1430]]</f>
        <v>98.454999999999998</v>
      </c>
      <c r="BCA4">
        <f>SOFR3mo_PX[[#This Row],[Column1431]]</f>
        <v>98.45</v>
      </c>
      <c r="BCB4">
        <f>SOFR3mo_PX[[#This Row],[Column1432]]</f>
        <v>98.454999999999998</v>
      </c>
      <c r="BCC4">
        <f>SOFR3mo_PX[[#This Row],[Column1433]]</f>
        <v>98.444999999999993</v>
      </c>
      <c r="BCD4">
        <f>SOFR3mo_PX[[#This Row],[Column1434]]</f>
        <v>98.444999999999993</v>
      </c>
      <c r="BCE4">
        <f>SOFR3mo_PX[[#This Row],[Column1435]]</f>
        <v>98.444999999999993</v>
      </c>
      <c r="BCF4">
        <f>SOFR3mo_PX[[#This Row],[Column1436]]</f>
        <v>98.44</v>
      </c>
      <c r="BCG4">
        <f>SOFR3mo_PX[[#This Row],[Column1437]]</f>
        <v>98.45</v>
      </c>
      <c r="BCH4">
        <f>SOFR3mo_PX[[#This Row],[Column1438]]</f>
        <v>98.46</v>
      </c>
      <c r="BCI4">
        <f>SOFR3mo_PX[[#This Row],[Column1439]]</f>
        <v>98.45</v>
      </c>
      <c r="BCJ4">
        <f>SOFR3mo_PX[[#This Row],[Column1440]]</f>
        <v>98.407499999999999</v>
      </c>
      <c r="BCK4">
        <f>SOFR3mo_PX[[#This Row],[Column1441]]</f>
        <v>98.407499999999999</v>
      </c>
      <c r="BCL4">
        <f>SOFR3mo_PX[[#This Row],[Column1442]]</f>
        <v>98.405000000000001</v>
      </c>
      <c r="BCM4">
        <f>SOFR3mo_PX[[#This Row],[Column1443]]</f>
        <v>98.394999999999996</v>
      </c>
      <c r="BCN4">
        <f>SOFR3mo_PX[[#This Row],[Column1444]]</f>
        <v>98.397499999999994</v>
      </c>
      <c r="BCO4">
        <f>SOFR3mo_PX[[#This Row],[Column1445]]</f>
        <v>98.397499999999994</v>
      </c>
      <c r="BCP4">
        <f>SOFR3mo_PX[[#This Row],[Column1446]]</f>
        <v>98.4</v>
      </c>
      <c r="BCQ4">
        <f>SOFR3mo_PX[[#This Row],[Column1447]]</f>
        <v>98.394999999999996</v>
      </c>
      <c r="BCR4">
        <f>SOFR3mo_PX[[#This Row],[Column1448]]</f>
        <v>98.412499999999994</v>
      </c>
      <c r="BCS4">
        <f>SOFR3mo_PX[[#This Row],[Column1449]]</f>
        <v>98.407499999999999</v>
      </c>
      <c r="BCT4">
        <f>SOFR3mo_PX[[#This Row],[Column1450]]</f>
        <v>98.412499999999994</v>
      </c>
      <c r="BCU4">
        <f>SOFR3mo_PX[[#This Row],[Column1451]]</f>
        <v>98.394999999999996</v>
      </c>
      <c r="BCV4">
        <f>SOFR3mo_PX[[#This Row],[Column1452]]</f>
        <v>98.394999999999996</v>
      </c>
      <c r="BCW4">
        <f>SOFR3mo_PX[[#This Row],[Column1453]]</f>
        <v>98.385000000000005</v>
      </c>
      <c r="BCX4">
        <f>SOFR3mo_PX[[#This Row],[Column1454]]</f>
        <v>98.385000000000005</v>
      </c>
      <c r="BCY4">
        <f>SOFR3mo_PX[[#This Row],[Column1455]]</f>
        <v>98.394999999999996</v>
      </c>
      <c r="BCZ4">
        <f>SOFR3mo_PX[[#This Row],[Column1456]]</f>
        <v>98.394999999999996</v>
      </c>
      <c r="BDA4">
        <f>SOFR3mo_PX[[#This Row],[Column1457]]</f>
        <v>98.394999999999996</v>
      </c>
      <c r="BDB4">
        <f>SOFR3mo_PX[[#This Row],[Column1458]]</f>
        <v>98.405000000000001</v>
      </c>
      <c r="BDC4">
        <f>SOFR3mo_PX[[#This Row],[Column1459]]</f>
        <v>98.422499999999999</v>
      </c>
      <c r="BDD4">
        <f>SOFR3mo_PX[[#This Row],[Column1460]]</f>
        <v>98.43</v>
      </c>
      <c r="BDE4">
        <f>SOFR3mo_PX[[#This Row],[Column1461]]</f>
        <v>98.4375</v>
      </c>
      <c r="BDF4">
        <f>SOFR3mo_PX[[#This Row],[Column1462]]</f>
        <v>98.44</v>
      </c>
      <c r="BDG4">
        <f>SOFR3mo_PX[[#This Row],[Column1463]]</f>
        <v>98.444999999999993</v>
      </c>
      <c r="BDH4">
        <f>SOFR3mo_PX[[#This Row],[Column1464]]</f>
        <v>98.44</v>
      </c>
      <c r="BDI4">
        <f>SOFR3mo_PX[[#This Row],[Column1465]]</f>
        <v>98.435000000000002</v>
      </c>
      <c r="BDJ4">
        <f>SOFR3mo_PX[[#This Row],[Column1466]]</f>
        <v>98.42</v>
      </c>
      <c r="BDK4">
        <f>SOFR3mo_PX[[#This Row],[Column1467]]</f>
        <v>98.424999999999997</v>
      </c>
      <c r="BDL4">
        <f>SOFR3mo_PX[[#This Row],[Column1468]]</f>
        <v>98.424999999999997</v>
      </c>
      <c r="BDM4">
        <f>SOFR3mo_PX[[#This Row],[Column1469]]</f>
        <v>98.45</v>
      </c>
      <c r="BDN4">
        <f>SOFR3mo_PX[[#This Row],[Column1470]]</f>
        <v>98.435000000000002</v>
      </c>
      <c r="BDO4">
        <f>SOFR3mo_PX[[#This Row],[Column1471]]</f>
        <v>98.44</v>
      </c>
      <c r="BDP4">
        <f>SOFR3mo_PX[[#This Row],[Column1472]]</f>
        <v>98.45</v>
      </c>
      <c r="BDQ4">
        <f>SOFR3mo_PX[[#This Row],[Column1473]]</f>
        <v>98.495000000000005</v>
      </c>
      <c r="BDR4">
        <f>SOFR3mo_PX[[#This Row],[Column1474]]</f>
        <v>98.454999999999998</v>
      </c>
      <c r="BDS4">
        <f>SOFR3mo_PX[[#This Row],[Column1475]]</f>
        <v>98.444999999999993</v>
      </c>
      <c r="BDT4">
        <f>SOFR3mo_PX[[#This Row],[Column1476]]</f>
        <v>98.444999999999993</v>
      </c>
      <c r="BDU4">
        <f>SOFR3mo_PX[[#This Row],[Column1477]]</f>
        <v>98.46</v>
      </c>
      <c r="BDV4">
        <f>SOFR3mo_PX[[#This Row],[Column1478]]</f>
        <v>98.474999999999994</v>
      </c>
      <c r="BDW4">
        <f>SOFR3mo_PX[[#This Row],[Column1479]]</f>
        <v>98.49</v>
      </c>
      <c r="BDX4">
        <f>SOFR3mo_PX[[#This Row],[Column1480]]</f>
        <v>98.48</v>
      </c>
      <c r="BDY4">
        <f>SOFR3mo_PX[[#This Row],[Column1481]]</f>
        <v>98.46</v>
      </c>
      <c r="BDZ4">
        <f>SOFR3mo_PX[[#This Row],[Column1482]]</f>
        <v>98.48</v>
      </c>
      <c r="BEA4">
        <f>SOFR3mo_PX[[#This Row],[Column1483]]</f>
        <v>98.45</v>
      </c>
      <c r="BEB4">
        <f>SOFR3mo_PX[[#This Row],[Column1484]]</f>
        <v>98.47</v>
      </c>
      <c r="BEC4">
        <f>SOFR3mo_PX[[#This Row],[Column1485]]</f>
        <v>98.435000000000002</v>
      </c>
      <c r="BED4">
        <f>SOFR3mo_PX[[#This Row],[Column1486]]</f>
        <v>98.47</v>
      </c>
      <c r="BEE4">
        <f>SOFR3mo_PX[[#This Row],[Column1487]]</f>
        <v>98.44</v>
      </c>
      <c r="BEF4">
        <f>SOFR3mo_PX[[#This Row],[Column1488]]</f>
        <v>98.5</v>
      </c>
      <c r="BEG4">
        <f>SOFR3mo_PX[[#This Row],[Column1489]]</f>
        <v>98.525000000000006</v>
      </c>
      <c r="BEH4">
        <f>SOFR3mo_PX[[#This Row],[Column1490]]</f>
        <v>98.55</v>
      </c>
      <c r="BEI4">
        <f>SOFR3mo_PX[[#This Row],[Column1491]]</f>
        <v>98.525000000000006</v>
      </c>
      <c r="BEJ4">
        <f>SOFR3mo_PX[[#This Row],[Column1492]]</f>
        <v>98.555000000000007</v>
      </c>
      <c r="BEK4">
        <f>SOFR3mo_PX[[#This Row],[Column1493]]</f>
        <v>98.575000000000003</v>
      </c>
      <c r="BEL4">
        <f>SOFR3mo_PX[[#This Row],[Column1494]]</f>
        <v>98.495000000000005</v>
      </c>
      <c r="BEM4">
        <f>SOFR3mo_PX[[#This Row],[Column1495]]</f>
        <v>98.44</v>
      </c>
      <c r="BEN4">
        <f>SOFR3mo_PX[[#This Row],[Column1496]]</f>
        <v>98.39</v>
      </c>
      <c r="BEO4">
        <f>SOFR3mo_PX[[#This Row],[Column1497]]</f>
        <v>98.394999999999996</v>
      </c>
      <c r="BEP4">
        <f>SOFR3mo_PX[[#This Row],[Column1498]]</f>
        <v>98.38</v>
      </c>
      <c r="BEQ4">
        <f>SOFR3mo_PX[[#This Row],[Column1499]]</f>
        <v>98.375</v>
      </c>
      <c r="BER4">
        <f>SOFR3mo_PX[[#This Row],[Column1500]]</f>
        <v>98.415000000000006</v>
      </c>
      <c r="BES4">
        <f>SOFR3mo_PX[[#This Row],[Column1501]]</f>
        <v>98.36</v>
      </c>
      <c r="BET4">
        <f>SOFR3mo_PX[[#This Row],[Column1502]]</f>
        <v>98.334999999999994</v>
      </c>
      <c r="BEU4">
        <f>SOFR3mo_PX[[#This Row],[Column1503]]</f>
        <v>98.325000000000003</v>
      </c>
      <c r="BEV4">
        <f>SOFR3mo_PX[[#This Row],[Column1504]]</f>
        <v>98.32</v>
      </c>
      <c r="BEW4">
        <f>SOFR3mo_PX[[#This Row],[Column1505]]</f>
        <v>98.06</v>
      </c>
      <c r="BEX4">
        <f>SOFR3mo_PX[[#This Row],[Column1506]]</f>
        <v>98.067499999999995</v>
      </c>
      <c r="BEY4">
        <f>SOFR3mo_PX[[#This Row],[Column1507]]</f>
        <v>98.08</v>
      </c>
      <c r="BEZ4">
        <f>SOFR3mo_PX[[#This Row],[Column1508]]</f>
        <v>98.102500000000006</v>
      </c>
      <c r="BFA4">
        <f>SOFR3mo_PX[[#This Row],[Column1509]]</f>
        <v>98.125</v>
      </c>
      <c r="BFB4">
        <f>SOFR3mo_PX[[#This Row],[Column1510]]</f>
        <v>98.13</v>
      </c>
      <c r="BFC4">
        <f>SOFR3mo_PX[[#This Row],[Column1511]]</f>
        <v>98.142499999999998</v>
      </c>
      <c r="BFD4">
        <f>SOFR3mo_PX[[#This Row],[Column1512]]</f>
        <v>98.142499999999998</v>
      </c>
      <c r="BFE4">
        <f>SOFR3mo_PX[[#This Row],[Column1513]]</f>
        <v>98.142499999999998</v>
      </c>
      <c r="BFF4">
        <f>SOFR3mo_PX[[#This Row],[Column1514]]</f>
        <v>98.2</v>
      </c>
      <c r="BFG4">
        <f>SOFR3mo_PX[[#This Row],[Column1515]]</f>
        <v>98.177499999999995</v>
      </c>
      <c r="BFH4">
        <f>SOFR3mo_PX[[#This Row],[Column1516]]</f>
        <v>98.157499999999999</v>
      </c>
      <c r="BFI4">
        <f>SOFR3mo_PX[[#This Row],[Column1517]]</f>
        <v>98.157499999999999</v>
      </c>
      <c r="BFJ4">
        <f>SOFR3mo_PX[[#This Row],[Column1518]]</f>
        <v>98.155000000000001</v>
      </c>
      <c r="BFK4">
        <f>SOFR3mo_PX[[#This Row],[Column1519]]</f>
        <v>98.162499999999994</v>
      </c>
      <c r="BFL4">
        <f>SOFR3mo_PX[[#This Row],[Column1520]]</f>
        <v>98.167500000000004</v>
      </c>
      <c r="BFM4">
        <f>SOFR3mo_PX[[#This Row],[Column1521]]</f>
        <v>98.162499999999994</v>
      </c>
      <c r="BFN4">
        <f>SOFR3mo_PX[[#This Row],[Column1522]]</f>
        <v>98.207499999999996</v>
      </c>
      <c r="BFO4">
        <f>SOFR3mo_PX[[#This Row],[Column1523]]</f>
        <v>98.152500000000003</v>
      </c>
      <c r="BFP4">
        <f>SOFR3mo_PX[[#This Row],[Column1524]]</f>
        <v>98.18</v>
      </c>
      <c r="BFQ4">
        <f>SOFR3mo_PX[[#This Row],[Column1525]]</f>
        <v>98.215000000000003</v>
      </c>
      <c r="BFR4">
        <f>SOFR3mo_PX[[#This Row],[Column1526]]</f>
        <v>98.207499999999996</v>
      </c>
      <c r="BFS4">
        <f>SOFR3mo_PX[[#This Row],[Column1527]]</f>
        <v>98.254999999999995</v>
      </c>
      <c r="BFT4">
        <f>SOFR3mo_PX[[#This Row],[Column1528]]</f>
        <v>98.26</v>
      </c>
      <c r="BFU4">
        <f>SOFR3mo_PX[[#This Row],[Column1529]]</f>
        <v>98.224999999999994</v>
      </c>
      <c r="BFV4">
        <f>SOFR3mo_PX[[#This Row],[Column1530]]</f>
        <v>98.174999999999997</v>
      </c>
      <c r="BFW4">
        <f>SOFR3mo_PX[[#This Row],[Column1531]]</f>
        <v>98.245000000000005</v>
      </c>
      <c r="BFX4">
        <f>SOFR3mo_PX[[#This Row],[Column1532]]</f>
        <v>98.204999999999998</v>
      </c>
      <c r="BFY4">
        <f>SOFR3mo_PX[[#This Row],[Column1533]]</f>
        <v>98.2</v>
      </c>
      <c r="BFZ4">
        <f>SOFR3mo_PX[[#This Row],[Column1534]]</f>
        <v>98.265000000000001</v>
      </c>
      <c r="BGA4">
        <f>SOFR3mo_PX[[#This Row],[Column1535]]</f>
        <v>98.185000000000002</v>
      </c>
      <c r="BGB4">
        <f>SOFR3mo_PX[[#This Row],[Column1536]]</f>
        <v>98.22</v>
      </c>
      <c r="BGC4">
        <f>SOFR3mo_PX[[#This Row],[Column1537]]</f>
        <v>98.1</v>
      </c>
      <c r="BGD4">
        <f>SOFR3mo_PX[[#This Row],[Column1538]]</f>
        <v>98.064999999999998</v>
      </c>
      <c r="BGE4">
        <f>SOFR3mo_PX[[#This Row],[Column1539]]</f>
        <v>97.954999999999998</v>
      </c>
      <c r="BGF4">
        <f>SOFR3mo_PX[[#This Row],[Column1540]]</f>
        <v>98.004999999999995</v>
      </c>
      <c r="BGG4">
        <f>SOFR3mo_PX[[#This Row],[Column1541]]</f>
        <v>98.015000000000001</v>
      </c>
      <c r="BGH4">
        <f>SOFR3mo_PX[[#This Row],[Column1542]]</f>
        <v>97.99</v>
      </c>
      <c r="BGI4">
        <f>SOFR3mo_PX[[#This Row],[Column1543]]</f>
        <v>98.015000000000001</v>
      </c>
      <c r="BGJ4">
        <f>SOFR3mo_PX[[#This Row],[Column1544]]</f>
        <v>98.03</v>
      </c>
      <c r="BGK4">
        <f>SOFR3mo_PX[[#This Row],[Column1545]]</f>
        <v>98.03</v>
      </c>
      <c r="BGL4">
        <f>SOFR3mo_PX[[#This Row],[Column1546]]</f>
        <v>98.055000000000007</v>
      </c>
      <c r="BGM4">
        <f>SOFR3mo_PX[[#This Row],[Column1547]]</f>
        <v>98.06</v>
      </c>
      <c r="BGN4">
        <f>SOFR3mo_PX[[#This Row],[Column1548]]</f>
        <v>98.13</v>
      </c>
      <c r="BGO4">
        <f>SOFR3mo_PX[[#This Row],[Column1549]]</f>
        <v>98.06</v>
      </c>
      <c r="BGP4">
        <f>SOFR3mo_PX[[#This Row],[Column1550]]</f>
        <v>98.04</v>
      </c>
      <c r="BGQ4">
        <f>SOFR3mo_PX[[#This Row],[Column1551]]</f>
        <v>98.06</v>
      </c>
      <c r="BGR4">
        <f>SOFR3mo_PX[[#This Row],[Column1552]]</f>
        <v>98.06</v>
      </c>
      <c r="BGS4">
        <f>SOFR3mo_PX[[#This Row],[Column1553]]</f>
        <v>98.04</v>
      </c>
      <c r="BGT4">
        <f>SOFR3mo_PX[[#This Row],[Column1554]]</f>
        <v>98.064999999999998</v>
      </c>
      <c r="BGU4">
        <f>SOFR3mo_PX[[#This Row],[Column1555]]</f>
        <v>97.99</v>
      </c>
      <c r="BGV4">
        <f>SOFR3mo_PX[[#This Row],[Column1556]]</f>
        <v>98.01</v>
      </c>
      <c r="BGW4">
        <f>SOFR3mo_PX[[#This Row],[Column1557]]</f>
        <v>98.004999999999995</v>
      </c>
      <c r="BGX4">
        <f>SOFR3mo_PX[[#This Row],[Column1558]]</f>
        <v>98.084999999999994</v>
      </c>
      <c r="BGY4">
        <f>SOFR3mo_PX[[#This Row],[Column1559]]</f>
        <v>98.084999999999994</v>
      </c>
      <c r="BGZ4">
        <f>SOFR3mo_PX[[#This Row],[Column1560]]</f>
        <v>98.08</v>
      </c>
      <c r="BHA4">
        <f>SOFR3mo_PX[[#This Row],[Column1561]]</f>
        <v>98.06</v>
      </c>
      <c r="BHB4">
        <f>SOFR3mo_PX[[#This Row],[Column1562]]</f>
        <v>98.114999999999995</v>
      </c>
      <c r="BHC4">
        <f>SOFR3mo_PX[[#This Row],[Column1563]]</f>
        <v>98.114999999999995</v>
      </c>
      <c r="BHD4">
        <f>SOFR3mo_PX[[#This Row],[Column1564]]</f>
        <v>98.1</v>
      </c>
      <c r="BHE4">
        <f>SOFR3mo_PX[[#This Row],[Column1565]]</f>
        <v>98.15</v>
      </c>
      <c r="BHF4">
        <f>SOFR3mo_PX[[#This Row],[Column1566]]</f>
        <v>98.165000000000006</v>
      </c>
      <c r="BHG4">
        <f>SOFR3mo_PX[[#This Row],[Column1567]]</f>
        <v>98.125</v>
      </c>
      <c r="BHH4">
        <f>SOFR3mo_PX[[#This Row],[Column1568]]</f>
        <v>98.155000000000001</v>
      </c>
      <c r="BHI4">
        <f>SOFR3mo_PX[[#This Row],[Column1569]]</f>
        <v>98.114999999999995</v>
      </c>
      <c r="BHJ4">
        <f>SOFR3mo_PX[[#This Row],[Column1570]]</f>
        <v>97.72</v>
      </c>
      <c r="BHK4">
        <f>SOFR3mo_PX[[#This Row],[Column1571]]</f>
        <v>97.707499999999996</v>
      </c>
      <c r="BHL4">
        <f>SOFR3mo_PX[[#This Row],[Column1572]]</f>
        <v>97.712500000000006</v>
      </c>
      <c r="BHM4">
        <f>SOFR3mo_PX[[#This Row],[Column1573]]</f>
        <v>97.727500000000006</v>
      </c>
      <c r="BHN4">
        <f>SOFR3mo_PX[[#This Row],[Column1574]]</f>
        <v>97.704999999999998</v>
      </c>
      <c r="BHO4">
        <f>SOFR3mo_PX[[#This Row],[Column1575]]</f>
        <v>97.682500000000005</v>
      </c>
      <c r="BHP4">
        <f>SOFR3mo_PX[[#This Row],[Column1576]]</f>
        <v>97.692499999999995</v>
      </c>
      <c r="BHQ4">
        <f>SOFR3mo_PX[[#This Row],[Column1577]]</f>
        <v>97.71</v>
      </c>
      <c r="BHR4">
        <f>SOFR3mo_PX[[#This Row],[Column1578]]</f>
        <v>97.665000000000006</v>
      </c>
      <c r="BHS4">
        <f>SOFR3mo_PX[[#This Row],[Column1579]]</f>
        <v>97.672499999999999</v>
      </c>
      <c r="BHT4">
        <f>SOFR3mo_PX[[#This Row],[Column1580]]</f>
        <v>97.665000000000006</v>
      </c>
      <c r="BHU4">
        <f>SOFR3mo_PX[[#This Row],[Column1581]]</f>
        <v>97.655000000000001</v>
      </c>
      <c r="BHV4">
        <f>SOFR3mo_PX[[#This Row],[Column1582]]</f>
        <v>97.62</v>
      </c>
      <c r="BHW4">
        <f>SOFR3mo_PX[[#This Row],[Column1583]]</f>
        <v>97.577500000000001</v>
      </c>
      <c r="BHX4">
        <f>SOFR3mo_PX[[#This Row],[Column1584]]</f>
        <v>97.582499999999996</v>
      </c>
      <c r="BHY4">
        <f>SOFR3mo_PX[[#This Row],[Column1585]]</f>
        <v>97.58</v>
      </c>
      <c r="BHZ4">
        <f>SOFR3mo_PX[[#This Row],[Column1586]]</f>
        <v>97.58</v>
      </c>
      <c r="BIA4">
        <f>SOFR3mo_PX[[#This Row],[Column1587]]</f>
        <v>97.58</v>
      </c>
      <c r="BIB4">
        <f>SOFR3mo_PX[[#This Row],[Column1588]]</f>
        <v>97.6</v>
      </c>
      <c r="BIC4">
        <f>SOFR3mo_PX[[#This Row],[Column1589]]</f>
        <v>97.592500000000001</v>
      </c>
      <c r="BID4">
        <f>SOFR3mo_PX[[#This Row],[Column1590]]</f>
        <v>97.594999999999999</v>
      </c>
      <c r="BIE4">
        <f>SOFR3mo_PX[[#This Row],[Column1591]]</f>
        <v>97.6</v>
      </c>
      <c r="BIF4">
        <f>SOFR3mo_PX[[#This Row],[Column1592]]</f>
        <v>97.61</v>
      </c>
      <c r="BIG4">
        <f>SOFR3mo_PX[[#This Row],[Column1593]]</f>
        <v>97.612499999999997</v>
      </c>
      <c r="BIH4">
        <f>SOFR3mo_PX[[#This Row],[Column1594]]</f>
        <v>97.627499999999998</v>
      </c>
      <c r="BII4">
        <f>SOFR3mo_PX[[#This Row],[Column1595]]</f>
        <v>97.632499999999993</v>
      </c>
      <c r="BIJ4">
        <f>SOFR3mo_PX[[#This Row],[Column1596]]</f>
        <v>97.635000000000005</v>
      </c>
      <c r="BIK4">
        <f>SOFR3mo_PX[[#This Row],[Column1597]]</f>
        <v>97.614999999999995</v>
      </c>
      <c r="BIL4">
        <f>SOFR3mo_PX[[#This Row],[Column1598]]</f>
        <v>97.605000000000004</v>
      </c>
      <c r="BIM4">
        <f>SOFR3mo_PX[[#This Row],[Column1599]]</f>
        <v>97.59</v>
      </c>
      <c r="BIN4">
        <f>SOFR3mo_PX[[#This Row],[Column1600]]</f>
        <v>97.6</v>
      </c>
      <c r="BIO4">
        <f>SOFR3mo_PX[[#This Row],[Column1601]]</f>
        <v>97.6</v>
      </c>
      <c r="BIP4">
        <f>SOFR3mo_PX[[#This Row],[Column1602]]</f>
        <v>97.584999999999994</v>
      </c>
      <c r="BIQ4">
        <f>SOFR3mo_PX[[#This Row],[Column1603]]</f>
        <v>97.575000000000003</v>
      </c>
      <c r="BIR4">
        <f>SOFR3mo_PX[[#This Row],[Column1604]]</f>
        <v>97.584999999999994</v>
      </c>
      <c r="BIS4">
        <f>SOFR3mo_PX[[#This Row],[Column1605]]</f>
        <v>97.61</v>
      </c>
      <c r="BIT4">
        <f>SOFR3mo_PX[[#This Row],[Column1606]]</f>
        <v>97.6</v>
      </c>
      <c r="BIU4">
        <f>SOFR3mo_PX[[#This Row],[Column1607]]</f>
        <v>97.61</v>
      </c>
      <c r="BIV4">
        <f>SOFR3mo_PX[[#This Row],[Column1608]]</f>
        <v>97.594999999999999</v>
      </c>
      <c r="BIW4">
        <f>SOFR3mo_PX[[#This Row],[Column1609]]</f>
        <v>97.61</v>
      </c>
      <c r="BIX4">
        <f>SOFR3mo_PX[[#This Row],[Column1610]]</f>
        <v>97.59</v>
      </c>
      <c r="BIY4">
        <f>SOFR3mo_PX[[#This Row],[Column1611]]</f>
        <v>97.584999999999994</v>
      </c>
      <c r="BIZ4">
        <f>SOFR3mo_PX[[#This Row],[Column1612]]</f>
        <v>97.575000000000003</v>
      </c>
      <c r="BJA4">
        <f>SOFR3mo_PX[[#This Row],[Column1613]]</f>
        <v>97.575000000000003</v>
      </c>
      <c r="BJB4">
        <f>SOFR3mo_PX[[#This Row],[Column1614]]</f>
        <v>97.58</v>
      </c>
      <c r="BJC4">
        <f>SOFR3mo_PX[[#This Row],[Column1615]]</f>
        <v>97.584999999999994</v>
      </c>
      <c r="BJD4">
        <f>SOFR3mo_PX[[#This Row],[Column1616]]</f>
        <v>97.584999999999994</v>
      </c>
      <c r="BJE4">
        <f>SOFR3mo_PX[[#This Row],[Column1617]]</f>
        <v>97.584999999999994</v>
      </c>
      <c r="BJF4">
        <f>SOFR3mo_PX[[#This Row],[Column1618]]</f>
        <v>97.59</v>
      </c>
      <c r="BJG4">
        <f>SOFR3mo_PX[[#This Row],[Column1619]]</f>
        <v>97.605000000000004</v>
      </c>
      <c r="BJH4">
        <f>SOFR3mo_PX[[#This Row],[Column1620]]</f>
        <v>97.605000000000004</v>
      </c>
      <c r="BJI4">
        <f>SOFR3mo_PX[[#This Row],[Column1621]]</f>
        <v>97.6</v>
      </c>
      <c r="BJJ4">
        <f>SOFR3mo_PX[[#This Row],[Column1622]]</f>
        <v>97.605000000000004</v>
      </c>
      <c r="BJK4">
        <f>SOFR3mo_PX[[#This Row],[Column1623]]</f>
        <v>97.61</v>
      </c>
      <c r="BJL4">
        <f>SOFR3mo_PX[[#This Row],[Column1624]]</f>
        <v>97.61</v>
      </c>
      <c r="BJM4">
        <f>SOFR3mo_PX[[#This Row],[Column1625]]</f>
        <v>97.625</v>
      </c>
      <c r="BJN4">
        <f>SOFR3mo_PX[[#This Row],[Column1626]]</f>
        <v>97.62</v>
      </c>
      <c r="BJO4">
        <f>SOFR3mo_PX[[#This Row],[Column1627]]</f>
        <v>97.64</v>
      </c>
      <c r="BJP4">
        <f>SOFR3mo_PX[[#This Row],[Column1628]]</f>
        <v>97.65</v>
      </c>
      <c r="BJQ4">
        <f>SOFR3mo_PX[[#This Row],[Column1629]]</f>
        <v>97.655000000000001</v>
      </c>
      <c r="BJR4">
        <f>SOFR3mo_PX[[#This Row],[Column1630]]</f>
        <v>97.635000000000005</v>
      </c>
      <c r="BJS4">
        <f>SOFR3mo_PX[[#This Row],[Column1631]]</f>
        <v>97.644999999999996</v>
      </c>
      <c r="BJT4">
        <f>SOFR3mo_PX[[#This Row],[Column1632]]</f>
        <v>97.625</v>
      </c>
      <c r="BJU4">
        <f>SOFR3mo_PX[[#This Row],[Column1633]]</f>
        <v>97.59</v>
      </c>
      <c r="BJV4">
        <f>SOFR3mo_PX[[#This Row],[Column1634]]</f>
        <v>97.6</v>
      </c>
      <c r="BJW4">
        <f>SOFR3mo_PX[[#This Row],[Column1635]]</f>
        <v>97.56</v>
      </c>
      <c r="BJX4">
        <f>SOFR3mo_PX[[#This Row],[Column1636]]</f>
        <v>97.564999999999998</v>
      </c>
      <c r="BJY4">
        <f>SOFR3mo_PX[[#This Row],[Column1637]]</f>
        <v>97.57</v>
      </c>
      <c r="BJZ4">
        <f>SOFR3mo_PX[[#This Row],[Column1638]]</f>
        <v>97.567499999999995</v>
      </c>
      <c r="BKA4">
        <f>SOFR3mo_PX[[#This Row],[Column1639]]</f>
        <v>97.564999999999998</v>
      </c>
      <c r="BKB4">
        <f>SOFR3mo_PX[[#This Row],[Column1640]]</f>
        <v>97.567499999999995</v>
      </c>
      <c r="BKC4">
        <f>SOFR3mo_PX[[#This Row],[Column1641]]</f>
        <v>97.57</v>
      </c>
      <c r="BKD4">
        <f>SOFR3mo_PX[[#This Row],[Column1642]]</f>
        <v>97.567499999999995</v>
      </c>
      <c r="BKE4">
        <f>SOFR3mo_PX[[#This Row],[Column1643]]</f>
        <v>97.57</v>
      </c>
      <c r="BKF4">
        <f>SOFR3mo_PX[[#This Row],[Column1644]]</f>
        <v>97.557500000000005</v>
      </c>
      <c r="BKG4">
        <f>SOFR3mo_PX[[#This Row],[Column1645]]</f>
        <v>97.55</v>
      </c>
      <c r="BKH4">
        <f>SOFR3mo_PX[[#This Row],[Column1646]]</f>
        <v>97.547499999999999</v>
      </c>
      <c r="BKI4">
        <f>SOFR3mo_PX[[#This Row],[Column1647]]</f>
        <v>97.54</v>
      </c>
      <c r="BKJ4">
        <f>SOFR3mo_PX[[#This Row],[Column1648]]</f>
        <v>97.545000000000002</v>
      </c>
      <c r="BKK4">
        <f>SOFR3mo_PX[[#This Row],[Column1649]]</f>
        <v>97.54</v>
      </c>
      <c r="BKL4">
        <f>SOFR3mo_PX[[#This Row],[Column1650]]</f>
        <v>97.55</v>
      </c>
      <c r="BKM4">
        <f>SOFR3mo_PX[[#This Row],[Column1651]]</f>
        <v>97.55</v>
      </c>
      <c r="BKN4">
        <f>SOFR3mo_PX[[#This Row],[Column1652]]</f>
        <v>97.555000000000007</v>
      </c>
      <c r="BKO4">
        <f>SOFR3mo_PX[[#This Row],[Column1653]]</f>
        <v>97.55</v>
      </c>
      <c r="BKP4">
        <f>SOFR3mo_PX[[#This Row],[Column1654]]</f>
        <v>97.5625</v>
      </c>
      <c r="BKQ4">
        <f>SOFR3mo_PX[[#This Row],[Column1655]]</f>
        <v>97.564999999999998</v>
      </c>
      <c r="BKR4">
        <f>SOFR3mo_PX[[#This Row],[Column1656]]</f>
        <v>97.555000000000007</v>
      </c>
      <c r="BKS4">
        <f>SOFR3mo_PX[[#This Row],[Column1657]]</f>
        <v>97.555000000000007</v>
      </c>
      <c r="BKT4">
        <f>SOFR3mo_PX[[#This Row],[Column1658]]</f>
        <v>97.56</v>
      </c>
      <c r="BKU4">
        <f>SOFR3mo_PX[[#This Row],[Column1659]]</f>
        <v>97.555000000000007</v>
      </c>
      <c r="BKV4">
        <f>SOFR3mo_PX[[#This Row],[Column1660]]</f>
        <v>97.56</v>
      </c>
      <c r="BKW4">
        <f>SOFR3mo_PX[[#This Row],[Column1661]]</f>
        <v>97.56</v>
      </c>
      <c r="BKX4">
        <f>SOFR3mo_PX[[#This Row],[Column1662]]</f>
        <v>97.564999999999998</v>
      </c>
      <c r="BKY4">
        <f>SOFR3mo_PX[[#This Row],[Column1663]]</f>
        <v>97.564999999999998</v>
      </c>
      <c r="BKZ4">
        <f>SOFR3mo_PX[[#This Row],[Column1664]]</f>
        <v>97.555000000000007</v>
      </c>
      <c r="BLA4">
        <f>SOFR3mo_PX[[#This Row],[Column1665]]</f>
        <v>97.564999999999998</v>
      </c>
      <c r="BLB4">
        <f>SOFR3mo_PX[[#This Row],[Column1666]]</f>
        <v>97.56</v>
      </c>
      <c r="BLC4">
        <f>SOFR3mo_PX[[#This Row],[Column1667]]</f>
        <v>97.564999999999998</v>
      </c>
      <c r="BLD4">
        <f>SOFR3mo_PX[[#This Row],[Column1668]]</f>
        <v>97.575000000000003</v>
      </c>
      <c r="BLE4">
        <f>SOFR3mo_PX[[#This Row],[Column1669]]</f>
        <v>97.57</v>
      </c>
      <c r="BLF4">
        <f>SOFR3mo_PX[[#This Row],[Column1670]]</f>
        <v>97.56</v>
      </c>
      <c r="BLG4">
        <f>SOFR3mo_PX[[#This Row],[Column1671]]</f>
        <v>97.56</v>
      </c>
      <c r="BLH4">
        <f>SOFR3mo_PX[[#This Row],[Column1672]]</f>
        <v>97.55</v>
      </c>
      <c r="BLI4">
        <f>SOFR3mo_PX[[#This Row],[Column1673]]</f>
        <v>97.555000000000007</v>
      </c>
      <c r="BLJ4">
        <f>SOFR3mo_PX[[#This Row],[Column1674]]</f>
        <v>97.545000000000002</v>
      </c>
      <c r="BLK4">
        <f>SOFR3mo_PX[[#This Row],[Column1675]]</f>
        <v>97.555000000000007</v>
      </c>
      <c r="BLL4">
        <f>SOFR3mo_PX[[#This Row],[Column1676]]</f>
        <v>97.534999999999997</v>
      </c>
      <c r="BLM4">
        <f>SOFR3mo_PX[[#This Row],[Column1677]]</f>
        <v>97.534999999999997</v>
      </c>
      <c r="BLN4">
        <f>SOFR3mo_PX[[#This Row],[Column1678]]</f>
        <v>97.56</v>
      </c>
      <c r="BLO4">
        <f>SOFR3mo_PX[[#This Row],[Column1679]]</f>
        <v>97.564999999999998</v>
      </c>
      <c r="BLP4">
        <f>SOFR3mo_PX[[#This Row],[Column1680]]</f>
        <v>97.56</v>
      </c>
      <c r="BLQ4">
        <f>SOFR3mo_PX[[#This Row],[Column1681]]</f>
        <v>97.55</v>
      </c>
      <c r="BLR4">
        <f>SOFR3mo_PX[[#This Row],[Column1682]]</f>
        <v>97.56</v>
      </c>
      <c r="BLS4">
        <f>SOFR3mo_PX[[#This Row],[Column1683]]</f>
        <v>97.55</v>
      </c>
      <c r="BLT4">
        <f>SOFR3mo_PX[[#This Row],[Column1684]]</f>
        <v>97.56</v>
      </c>
      <c r="BLU4">
        <f>SOFR3mo_PX[[#This Row],[Column1685]]</f>
        <v>97.55</v>
      </c>
      <c r="BLV4">
        <f>SOFR3mo_PX[[#This Row],[Column1686]]</f>
        <v>97.58</v>
      </c>
      <c r="BLW4">
        <f>SOFR3mo_PX[[#This Row],[Column1687]]</f>
        <v>97.58</v>
      </c>
      <c r="BLX4">
        <f>SOFR3mo_PX[[#This Row],[Column1688]]</f>
        <v>97.625</v>
      </c>
      <c r="BLY4">
        <f>SOFR3mo_PX[[#This Row],[Column1689]]</f>
        <v>97.57</v>
      </c>
      <c r="BLZ4">
        <f>SOFR3mo_PX[[#This Row],[Column1690]]</f>
        <v>97.584999999999994</v>
      </c>
      <c r="BMA4">
        <f>SOFR3mo_PX[[#This Row],[Column1691]]</f>
        <v>97.584999999999994</v>
      </c>
      <c r="BMB4">
        <f>SOFR3mo_PX[[#This Row],[Column1692]]</f>
        <v>97.58</v>
      </c>
      <c r="BMC4">
        <f>SOFR3mo_PX[[#This Row],[Column1693]]</f>
        <v>97.58</v>
      </c>
      <c r="BMD4">
        <f>SOFR3mo_PX[[#This Row],[Column1694]]</f>
        <v>97.55</v>
      </c>
      <c r="BME4">
        <f>SOFR3mo_PX[[#This Row],[Column1695]]</f>
        <v>97.56</v>
      </c>
      <c r="BMF4">
        <f>SOFR3mo_PX[[#This Row],[Column1696]]</f>
        <v>97.56</v>
      </c>
      <c r="BMG4">
        <f>SOFR3mo_PX[[#This Row],[Column1697]]</f>
        <v>97.525000000000006</v>
      </c>
      <c r="BMH4">
        <f>SOFR3mo_PX[[#This Row],[Column1698]]</f>
        <v>97.51</v>
      </c>
      <c r="BMI4">
        <f>SOFR3mo_PX[[#This Row],[Column1699]]</f>
        <v>97.525000000000006</v>
      </c>
      <c r="BMJ4">
        <f>SOFR3mo_PX[[#This Row],[Column1700]]</f>
        <v>97.584999999999994</v>
      </c>
      <c r="BMK4">
        <f>SOFR3mo_PX[[#This Row],[Column1701]]</f>
        <v>97.584999999999994</v>
      </c>
      <c r="BML4">
        <f>SOFR3mo_PX[[#This Row],[Column1702]]</f>
        <v>97.584999999999994</v>
      </c>
      <c r="BMM4">
        <f>SOFR3mo_PX[[#This Row],[Column1703]]</f>
        <v>97.587500000000006</v>
      </c>
      <c r="BMN4">
        <f>SOFR3mo_PX[[#This Row],[Column1704]]</f>
        <v>97.592500000000001</v>
      </c>
      <c r="BMO4">
        <f>SOFR3mo_PX[[#This Row],[Column1705]]</f>
        <v>97.6</v>
      </c>
      <c r="BMP4">
        <f>SOFR3mo_PX[[#This Row],[Column1706]]</f>
        <v>97.62</v>
      </c>
      <c r="BMQ4">
        <f>SOFR3mo_PX[[#This Row],[Column1707]]</f>
        <v>97.614999999999995</v>
      </c>
      <c r="BMR4">
        <f>SOFR3mo_PX[[#This Row],[Column1708]]</f>
        <v>97.61</v>
      </c>
      <c r="BMS4">
        <f>SOFR3mo_PX[[#This Row],[Column1709]]</f>
        <v>97.6</v>
      </c>
      <c r="BMT4">
        <f>SOFR3mo_PX[[#This Row],[Column1710]]</f>
        <v>97.6</v>
      </c>
      <c r="BMU4">
        <f>SOFR3mo_PX[[#This Row],[Column1711]]</f>
        <v>97.59</v>
      </c>
      <c r="BMV4">
        <f>SOFR3mo_PX[[#This Row],[Column1712]]</f>
        <v>97.6</v>
      </c>
      <c r="BMW4">
        <f>SOFR3mo_PX[[#This Row],[Column1713]]</f>
        <v>97.597499999999997</v>
      </c>
      <c r="BMX4">
        <f>SOFR3mo_PX[[#This Row],[Column1714]]</f>
        <v>97.597499999999997</v>
      </c>
      <c r="BMY4">
        <f>SOFR3mo_PX[[#This Row],[Column1715]]</f>
        <v>97.597499999999997</v>
      </c>
      <c r="BMZ4">
        <f>SOFR3mo_PX[[#This Row],[Column1716]]</f>
        <v>97.594999999999999</v>
      </c>
      <c r="BNA4">
        <f>SOFR3mo_PX[[#This Row],[Column1717]]</f>
        <v>97.6</v>
      </c>
      <c r="BNB4">
        <f>SOFR3mo_PX[[#This Row],[Column1718]]</f>
        <v>97.602500000000006</v>
      </c>
      <c r="BNC4">
        <f>SOFR3mo_PX[[#This Row],[Column1719]]</f>
        <v>97.602500000000006</v>
      </c>
      <c r="BND4">
        <f>SOFR3mo_PX[[#This Row],[Column1720]]</f>
        <v>97.612499999999997</v>
      </c>
      <c r="BNE4">
        <f>SOFR3mo_PX[[#This Row],[Column1721]]</f>
        <v>97.617500000000007</v>
      </c>
      <c r="BNF4">
        <f>SOFR3mo_PX[[#This Row],[Column1722]]</f>
        <v>97.614999999999995</v>
      </c>
      <c r="BNG4">
        <f>SOFR3mo_PX[[#This Row],[Column1723]]</f>
        <v>97.605000000000004</v>
      </c>
      <c r="BNH4">
        <f>SOFR3mo_PX[[#This Row],[Column1724]]</f>
        <v>97.605000000000004</v>
      </c>
      <c r="BNI4">
        <f>SOFR3mo_PX[[#This Row],[Column1725]]</f>
        <v>97.6</v>
      </c>
      <c r="BNJ4">
        <f>SOFR3mo_PX[[#This Row],[Column1726]]</f>
        <v>97.6</v>
      </c>
      <c r="BNK4">
        <f>SOFR3mo_PX[[#This Row],[Column1727]]</f>
        <v>97.594999999999999</v>
      </c>
      <c r="BNL4">
        <f>SOFR3mo_PX[[#This Row],[Column1728]]</f>
        <v>97.58</v>
      </c>
      <c r="BNM4">
        <f>SOFR3mo_PX[[#This Row],[Column1729]]</f>
        <v>97.59</v>
      </c>
      <c r="BNN4">
        <f>SOFR3mo_PX[[#This Row],[Column1730]]</f>
        <v>97.594999999999999</v>
      </c>
      <c r="BNO4">
        <f>SOFR3mo_PX[[#This Row],[Column1731]]</f>
        <v>97.6</v>
      </c>
      <c r="BNP4">
        <f>SOFR3mo_PX[[#This Row],[Column1732]]</f>
        <v>97.594999999999999</v>
      </c>
      <c r="BNQ4">
        <f>SOFR3mo_PX[[#This Row],[Column1733]]</f>
        <v>97.6</v>
      </c>
      <c r="BNR4">
        <f>SOFR3mo_PX[[#This Row],[Column1734]]</f>
        <v>97.59</v>
      </c>
      <c r="BNS4">
        <f>SOFR3mo_PX[[#This Row],[Column1735]]</f>
        <v>97.6</v>
      </c>
      <c r="BNT4">
        <f>SOFR3mo_PX[[#This Row],[Column1736]]</f>
        <v>97.6</v>
      </c>
      <c r="BNU4">
        <f>SOFR3mo_PX[[#This Row],[Column1737]]</f>
        <v>97.6</v>
      </c>
      <c r="BNV4">
        <f>SOFR3mo_PX[[#This Row],[Column1738]]</f>
        <v>97.58</v>
      </c>
      <c r="BNW4">
        <f>SOFR3mo_PX[[#This Row],[Column1739]]</f>
        <v>97.575000000000003</v>
      </c>
      <c r="BNX4">
        <f>SOFR3mo_PX[[#This Row],[Column1740]]</f>
        <v>97.57</v>
      </c>
      <c r="BNY4">
        <f>SOFR3mo_PX[[#This Row],[Column1741]]</f>
        <v>97.56</v>
      </c>
      <c r="BNZ4">
        <f>SOFR3mo_PX[[#This Row],[Column1742]]</f>
        <v>97.555000000000007</v>
      </c>
      <c r="BOA4">
        <f>SOFR3mo_PX[[#This Row],[Column1743]]</f>
        <v>97.564999999999998</v>
      </c>
      <c r="BOB4">
        <f>SOFR3mo_PX[[#This Row],[Column1744]]</f>
        <v>97.58</v>
      </c>
      <c r="BOC4">
        <f>SOFR3mo_PX[[#This Row],[Column1745]]</f>
        <v>97.584999999999994</v>
      </c>
      <c r="BOD4">
        <f>SOFR3mo_PX[[#This Row],[Column1746]]</f>
        <v>97.58</v>
      </c>
      <c r="BOE4">
        <f>SOFR3mo_PX[[#This Row],[Column1747]]</f>
        <v>97.59</v>
      </c>
      <c r="BOF4">
        <f>SOFR3mo_PX[[#This Row],[Column1748]]</f>
        <v>97.584999999999994</v>
      </c>
      <c r="BOG4">
        <f>SOFR3mo_PX[[#This Row],[Column1749]]</f>
        <v>97.584999999999994</v>
      </c>
      <c r="BOH4">
        <f>SOFR3mo_PX[[#This Row],[Column1750]]</f>
        <v>97.575000000000003</v>
      </c>
      <c r="BOI4">
        <f>SOFR3mo_PX[[#This Row],[Column1751]]</f>
        <v>97.58</v>
      </c>
      <c r="BOJ4">
        <f>SOFR3mo_PX[[#This Row],[Column1752]]</f>
        <v>97.584999999999994</v>
      </c>
      <c r="BOK4">
        <f>SOFR3mo_PX[[#This Row],[Column1753]]</f>
        <v>97.584999999999994</v>
      </c>
      <c r="BOL4">
        <f>SOFR3mo_PX[[#This Row],[Column1754]]</f>
        <v>97.584999999999994</v>
      </c>
      <c r="BOM4">
        <f>SOFR3mo_PX[[#This Row],[Column1755]]</f>
        <v>97.59</v>
      </c>
      <c r="BON4">
        <f>SOFR3mo_PX[[#This Row],[Column1756]]</f>
        <v>97.58</v>
      </c>
      <c r="BOO4">
        <f>SOFR3mo_PX[[#This Row],[Column1757]]</f>
        <v>97.584999999999994</v>
      </c>
      <c r="BOP4">
        <f>SOFR3mo_PX[[#This Row],[Column1758]]</f>
        <v>97.58</v>
      </c>
      <c r="BOQ4">
        <f>SOFR3mo_PX[[#This Row],[Column1759]]</f>
        <v>97.575000000000003</v>
      </c>
      <c r="BOR4">
        <f>SOFR3mo_PX[[#This Row],[Column1760]]</f>
        <v>97.564999999999998</v>
      </c>
      <c r="BOS4">
        <f>SOFR3mo_PX[[#This Row],[Column1761]]</f>
        <v>97.58</v>
      </c>
      <c r="BOT4">
        <f>SOFR3mo_PX[[#This Row],[Column1762]]</f>
        <v>97.58</v>
      </c>
      <c r="BOU4">
        <f>SOFR3mo_PX[[#This Row],[Column1763]]</f>
        <v>97.57</v>
      </c>
      <c r="BOV4">
        <f>SOFR3mo_PX[[#This Row],[Column1764]]</f>
        <v>97.58</v>
      </c>
      <c r="BOW4">
        <f>SOFR3mo_PX[[#This Row],[Column1765]]</f>
        <v>97.82</v>
      </c>
      <c r="BOX4">
        <f>SOFR3mo_PX[[#This Row],[Column1766]]</f>
        <v>97.82</v>
      </c>
      <c r="BOY4">
        <f>SOFR3mo_PX[[#This Row],[Column1767]]</f>
        <v>97.825000000000003</v>
      </c>
      <c r="BOZ4">
        <f>SOFR3mo_PX[[#This Row],[Column1768]]</f>
        <v>97.834999999999994</v>
      </c>
      <c r="BPA4">
        <f>SOFR3mo_PX[[#This Row],[Column1769]]</f>
        <v>97.84</v>
      </c>
      <c r="BPB4">
        <f>SOFR3mo_PX[[#This Row],[Column1770]]</f>
        <v>97.827500000000001</v>
      </c>
      <c r="BPC4">
        <f>SOFR3mo_PX[[#This Row],[Column1771]]</f>
        <v>97.827500000000001</v>
      </c>
      <c r="BPD4">
        <f>SOFR3mo_PX[[#This Row],[Column1772]]</f>
        <v>97.825000000000003</v>
      </c>
      <c r="BPE4">
        <f>SOFR3mo_PX[[#This Row],[Column1773]]</f>
        <v>97.837500000000006</v>
      </c>
      <c r="BPF4">
        <f>SOFR3mo_PX[[#This Row],[Column1774]]</f>
        <v>97.834999999999994</v>
      </c>
      <c r="BPG4">
        <f>SOFR3mo_PX[[#This Row],[Column1775]]</f>
        <v>97.837500000000006</v>
      </c>
      <c r="BPH4">
        <f>SOFR3mo_PX[[#This Row],[Column1776]]</f>
        <v>97.842500000000001</v>
      </c>
      <c r="BPI4">
        <f>SOFR3mo_PX[[#This Row],[Column1777]]</f>
        <v>97.842500000000001</v>
      </c>
      <c r="BPJ4">
        <f>SOFR3mo_PX[[#This Row],[Column1778]]</f>
        <v>97.84</v>
      </c>
      <c r="BPK4">
        <f>SOFR3mo_PX[[#This Row],[Column1779]]</f>
        <v>97.832499999999996</v>
      </c>
      <c r="BPL4">
        <f>SOFR3mo_PX[[#This Row],[Column1780]]</f>
        <v>97.83</v>
      </c>
      <c r="BPM4">
        <f>SOFR3mo_PX[[#This Row],[Column1781]]</f>
        <v>97.84</v>
      </c>
      <c r="BPN4">
        <f>SOFR3mo_PX[[#This Row],[Column1782]]</f>
        <v>97.847499999999997</v>
      </c>
      <c r="BPO4">
        <f>SOFR3mo_PX[[#This Row],[Column1783]]</f>
        <v>97.855000000000004</v>
      </c>
      <c r="BPP4">
        <f>SOFR3mo_PX[[#This Row],[Column1784]]</f>
        <v>97.87</v>
      </c>
      <c r="BPQ4">
        <f>SOFR3mo_PX[[#This Row],[Column1785]]</f>
        <v>97.864999999999995</v>
      </c>
      <c r="BPR4">
        <f>SOFR3mo_PX[[#This Row],[Column1786]]</f>
        <v>97.875</v>
      </c>
      <c r="BPS4">
        <f>SOFR3mo_PX[[#This Row],[Column1787]]</f>
        <v>97.867500000000007</v>
      </c>
      <c r="BPT4">
        <f>SOFR3mo_PX[[#This Row],[Column1788]]</f>
        <v>97.862499999999997</v>
      </c>
      <c r="BPU4">
        <f>SOFR3mo_PX[[#This Row],[Column1789]]</f>
        <v>97.87</v>
      </c>
      <c r="BPV4">
        <f>SOFR3mo_PX[[#This Row],[Column1790]]</f>
        <v>97.87</v>
      </c>
      <c r="BPW4">
        <f>SOFR3mo_PX[[#This Row],[Column1791]]</f>
        <v>97.87</v>
      </c>
      <c r="BPX4">
        <f>SOFR3mo_PX[[#This Row],[Column1792]]</f>
        <v>97.885000000000005</v>
      </c>
      <c r="BPY4">
        <f>SOFR3mo_PX[[#This Row],[Column1793]]</f>
        <v>97.87</v>
      </c>
      <c r="BPZ4">
        <f>SOFR3mo_PX[[#This Row],[Column1794]]</f>
        <v>97.87</v>
      </c>
      <c r="BQA4">
        <f>SOFR3mo_PX[[#This Row],[Column1795]]</f>
        <v>97.864999999999995</v>
      </c>
      <c r="BQB4">
        <f>SOFR3mo_PX[[#This Row],[Column1796]]</f>
        <v>97.864999999999995</v>
      </c>
      <c r="BQC4">
        <f>SOFR3mo_PX[[#This Row],[Column1797]]</f>
        <v>97.864999999999995</v>
      </c>
      <c r="BQD4">
        <f>SOFR3mo_PX[[#This Row],[Column1798]]</f>
        <v>97.855000000000004</v>
      </c>
      <c r="BQE4">
        <f>SOFR3mo_PX[[#This Row],[Column1799]]</f>
        <v>97.844999999999999</v>
      </c>
      <c r="BQF4">
        <f>SOFR3mo_PX[[#This Row],[Column1800]]</f>
        <v>97.85</v>
      </c>
      <c r="BQG4">
        <f>SOFR3mo_PX[[#This Row],[Column1801]]</f>
        <v>97.85</v>
      </c>
      <c r="BQH4">
        <f>SOFR3mo_PX[[#This Row],[Column1802]]</f>
        <v>97.85</v>
      </c>
      <c r="BQI4">
        <f>SOFR3mo_PX[[#This Row],[Column1803]]</f>
        <v>97.844999999999999</v>
      </c>
      <c r="BQJ4">
        <f>SOFR3mo_PX[[#This Row],[Column1804]]</f>
        <v>97.85</v>
      </c>
      <c r="BQK4">
        <f>SOFR3mo_PX[[#This Row],[Column1805]]</f>
        <v>97.855000000000004</v>
      </c>
      <c r="BQL4">
        <f>SOFR3mo_PX[[#This Row],[Column1806]]</f>
        <v>97.864999999999995</v>
      </c>
      <c r="BQM4">
        <f>SOFR3mo_PX[[#This Row],[Column1807]]</f>
        <v>97.864999999999995</v>
      </c>
      <c r="BQN4">
        <f>SOFR3mo_PX[[#This Row],[Column1808]]</f>
        <v>97.86</v>
      </c>
      <c r="BQO4">
        <f>SOFR3mo_PX[[#This Row],[Column1809]]</f>
        <v>97.85</v>
      </c>
      <c r="BQP4">
        <f>SOFR3mo_PX[[#This Row],[Column1810]]</f>
        <v>97.855000000000004</v>
      </c>
      <c r="BQQ4">
        <f>SOFR3mo_PX[[#This Row],[Column1811]]</f>
        <v>97.864999999999995</v>
      </c>
      <c r="BQR4">
        <f>SOFR3mo_PX[[#This Row],[Column1812]]</f>
        <v>97.875</v>
      </c>
      <c r="BQS4">
        <f>SOFR3mo_PX[[#This Row],[Column1813]]</f>
        <v>97.885000000000005</v>
      </c>
      <c r="BQT4">
        <f>SOFR3mo_PX[[#This Row],[Column1814]]</f>
        <v>97.894999999999996</v>
      </c>
      <c r="BQU4">
        <f>SOFR3mo_PX[[#This Row],[Column1815]]</f>
        <v>97.9</v>
      </c>
      <c r="BQV4">
        <f>SOFR3mo_PX[[#This Row],[Column1816]]</f>
        <v>97.915000000000006</v>
      </c>
      <c r="BQW4">
        <f>SOFR3mo_PX[[#This Row],[Column1817]]</f>
        <v>97.92</v>
      </c>
      <c r="BQX4">
        <f>SOFR3mo_PX[[#This Row],[Column1818]]</f>
        <v>97.915000000000006</v>
      </c>
      <c r="BQY4">
        <f>SOFR3mo_PX[[#This Row],[Column1819]]</f>
        <v>97.924999999999997</v>
      </c>
      <c r="BQZ4">
        <f>SOFR3mo_PX[[#This Row],[Column1820]]</f>
        <v>97.924999999999997</v>
      </c>
      <c r="BRA4">
        <f>SOFR3mo_PX[[#This Row],[Column1821]]</f>
        <v>97.915000000000006</v>
      </c>
      <c r="BRB4">
        <f>SOFR3mo_PX[[#This Row],[Column1822]]</f>
        <v>97.91</v>
      </c>
      <c r="BRC4">
        <f>SOFR3mo_PX[[#This Row],[Column1823]]</f>
        <v>97.91</v>
      </c>
      <c r="BRD4">
        <f>SOFR3mo_PX[[#This Row],[Column1824]]</f>
        <v>97.9</v>
      </c>
      <c r="BRE4">
        <f>SOFR3mo_PX[[#This Row],[Column1825]]</f>
        <v>97.894999999999996</v>
      </c>
      <c r="BRF4">
        <f>SOFR3mo_PX[[#This Row],[Column1826]]</f>
        <v>97.885000000000005</v>
      </c>
      <c r="BRG4">
        <f>SOFR3mo_PX[[#This Row],[Column1827]]</f>
        <v>97.88</v>
      </c>
      <c r="BRH4">
        <f>SOFR3mo_PX[[#This Row],[Column1828]]</f>
        <v>97.875</v>
      </c>
      <c r="BRI4">
        <f>SOFR3mo_PX[[#This Row],[Column1829]]</f>
        <v>97.864999999999995</v>
      </c>
      <c r="BRJ4">
        <f>SOFR3mo_PX[[#This Row],[Column1830]]</f>
        <v>97.87</v>
      </c>
      <c r="BRK4">
        <f>SOFR3mo_PX[[#This Row],[Column1831]]</f>
        <v>97.864999999999995</v>
      </c>
      <c r="BRL4">
        <f>SOFR3mo_PX[[#This Row],[Column1832]]</f>
        <v>97.86</v>
      </c>
      <c r="BRM4">
        <f>SOFR3mo_PX[[#This Row],[Column1833]]</f>
        <v>97.844999999999999</v>
      </c>
      <c r="BRN4">
        <f>SOFR3mo_PX[[#This Row],[Column1834]]</f>
        <v>97.834999999999994</v>
      </c>
      <c r="BRO4">
        <f>SOFR3mo_PX[[#This Row],[Column1835]]</f>
        <v>97.85</v>
      </c>
      <c r="BRP4">
        <f>SOFR3mo_PX[[#This Row],[Column1836]]</f>
        <v>97.85</v>
      </c>
      <c r="BRQ4">
        <f>SOFR3mo_PX[[#This Row],[Column1837]]</f>
        <v>97.864999999999995</v>
      </c>
      <c r="BRR4">
        <f>SOFR3mo_PX[[#This Row],[Column1838]]</f>
        <v>97.85</v>
      </c>
      <c r="BRS4">
        <f>SOFR3mo_PX[[#This Row],[Column1839]]</f>
        <v>97.85</v>
      </c>
      <c r="BRT4">
        <f>SOFR3mo_PX[[#This Row],[Column1840]]</f>
        <v>97.86</v>
      </c>
      <c r="BRU4">
        <f>SOFR3mo_PX[[#This Row],[Column1841]]</f>
        <v>97.85</v>
      </c>
      <c r="BRV4">
        <f>SOFR3mo_PX[[#This Row],[Column1842]]</f>
        <v>97.864999999999995</v>
      </c>
      <c r="BRW4">
        <f>SOFR3mo_PX[[#This Row],[Column1843]]</f>
        <v>97.89</v>
      </c>
      <c r="BRX4">
        <f>SOFR3mo_PX[[#This Row],[Column1844]]</f>
        <v>97.905000000000001</v>
      </c>
      <c r="BRY4">
        <f>SOFR3mo_PX[[#This Row],[Column1845]]</f>
        <v>97.94</v>
      </c>
      <c r="BRZ4">
        <f>SOFR3mo_PX[[#This Row],[Column1846]]</f>
        <v>97.885000000000005</v>
      </c>
      <c r="BSA4">
        <f>SOFR3mo_PX[[#This Row],[Column1847]]</f>
        <v>97.885000000000005</v>
      </c>
      <c r="BSB4">
        <f>SOFR3mo_PX[[#This Row],[Column1848]]</f>
        <v>97.87</v>
      </c>
      <c r="BSC4">
        <f>SOFR3mo_PX[[#This Row],[Column1849]]</f>
        <v>97.844999999999999</v>
      </c>
      <c r="BSD4">
        <f>SOFR3mo_PX[[#This Row],[Column1850]]</f>
        <v>97.81</v>
      </c>
      <c r="BSE4">
        <f>SOFR3mo_PX[[#This Row],[Column1851]]</f>
        <v>97.8</v>
      </c>
      <c r="BSF4">
        <f>SOFR3mo_PX[[#This Row],[Column1852]]</f>
        <v>97.814999999999998</v>
      </c>
      <c r="BSG4">
        <f>SOFR3mo_PX[[#This Row],[Column1853]]</f>
        <v>97.805000000000007</v>
      </c>
      <c r="BSH4">
        <f>SOFR3mo_PX[[#This Row],[Column1854]]</f>
        <v>97.805000000000007</v>
      </c>
      <c r="BSI4">
        <f>SOFR3mo_PX[[#This Row],[Column1855]]</f>
        <v>97.81</v>
      </c>
      <c r="BSJ4">
        <f>SOFR3mo_PX[[#This Row],[Column1856]]</f>
        <v>97.825000000000003</v>
      </c>
      <c r="BSK4">
        <f>SOFR3mo_PX[[#This Row],[Column1857]]</f>
        <v>97.814999999999998</v>
      </c>
      <c r="BSL4">
        <f>SOFR3mo_PX[[#This Row],[Column1858]]</f>
        <v>97.825000000000003</v>
      </c>
      <c r="BSM4">
        <f>SOFR3mo_PX[[#This Row],[Column1859]]</f>
        <v>97.84</v>
      </c>
      <c r="BSN4">
        <f>SOFR3mo_PX[[#This Row],[Column1860]]</f>
        <v>97.84</v>
      </c>
      <c r="BSO4">
        <f>SOFR3mo_PX[[#This Row],[Column1861]]</f>
        <v>97.84</v>
      </c>
      <c r="BSP4">
        <f>SOFR3mo_PX[[#This Row],[Column1862]]</f>
        <v>97.79</v>
      </c>
      <c r="BSQ4" t="str">
        <f>SOFR3mo_PX[[#This Row],[Column1863]]</f>
        <v>#N/A N/A</v>
      </c>
      <c r="BSR4" t="str">
        <f>SOFR3mo_PX[[#This Row],[Column1864]]</f>
        <v>#N/A N/A</v>
      </c>
      <c r="BSS4" t="str">
        <f>SOFR3mo_PX[[#This Row],[Column1865]]</f>
        <v>#N/A N/A</v>
      </c>
      <c r="BST4" t="str">
        <f>SOFR3mo_PX[[#This Row],[Column1866]]</f>
        <v>#N/A N/A</v>
      </c>
      <c r="BSU4" t="str">
        <f>SOFR3mo_PX[[#This Row],[Column1867]]</f>
        <v>#N/A N/A</v>
      </c>
      <c r="BSV4" t="str">
        <f>SOFR3mo_PX[[#This Row],[Column1868]]</f>
        <v>#N/A N/A</v>
      </c>
      <c r="BSW4" t="str">
        <f>SOFR3mo_PX[[#This Row],[Column1869]]</f>
        <v>#N/A N/A</v>
      </c>
      <c r="BSX4" t="str">
        <f>SOFR3mo_PX[[#This Row],[Column1870]]</f>
        <v>#N/A N/A</v>
      </c>
      <c r="BSY4" t="str">
        <f>SOFR3mo_PX[[#This Row],[Column1871]]</f>
        <v>#N/A N/A</v>
      </c>
      <c r="BSZ4" t="str">
        <f>SOFR3mo_PX[[#This Row],[Column1872]]</f>
        <v>#N/A N/A</v>
      </c>
      <c r="BTA4" t="str">
        <f>SOFR3mo_PX[[#This Row],[Column1873]]</f>
        <v>#N/A N/A</v>
      </c>
      <c r="BTB4" t="str">
        <f>SOFR3mo_PX[[#This Row],[Column1874]]</f>
        <v>#N/A N/A</v>
      </c>
      <c r="BTC4" t="str">
        <f>SOFR3mo_PX[[#This Row],[Column1875]]</f>
        <v>#N/A N/A</v>
      </c>
      <c r="BTD4" t="str">
        <f>SOFR3mo_PX[[#This Row],[Column1876]]</f>
        <v>#N/A N/A</v>
      </c>
      <c r="BTE4" t="str">
        <f>SOFR3mo_PX[[#This Row],[Column1877]]</f>
        <v>#N/A N/A</v>
      </c>
      <c r="BTF4" t="str">
        <f>SOFR3mo_PX[[#This Row],[Column1878]]</f>
        <v>#N/A N/A</v>
      </c>
      <c r="BTG4" t="str">
        <f>SOFR3mo_PX[[#This Row],[Column1879]]</f>
        <v>#N/A N/A</v>
      </c>
      <c r="BTH4" t="str">
        <f>SOFR3mo_PX[[#This Row],[Column1880]]</f>
        <v>#N/A N/A</v>
      </c>
      <c r="BTI4" t="str">
        <f>SOFR3mo_PX[[#This Row],[Column1881]]</f>
        <v>#N/A N/A</v>
      </c>
      <c r="BTJ4" t="str">
        <f>SOFR3mo_PX[[#This Row],[Column1882]]</f>
        <v>#N/A N/A</v>
      </c>
      <c r="BTK4" t="str">
        <f>SOFR3mo_PX[[#This Row],[Column1883]]</f>
        <v>#N/A N/A</v>
      </c>
      <c r="BTL4" t="str">
        <f>SOFR3mo_PX[[#This Row],[Column1884]]</f>
        <v>#N/A N/A</v>
      </c>
      <c r="BTM4" t="str">
        <f>SOFR3mo_PX[[#This Row],[Column1885]]</f>
        <v>#N/A N/A</v>
      </c>
      <c r="BTN4" t="str">
        <f>SOFR3mo_PX[[#This Row],[Column1886]]</f>
        <v>#N/A N/A</v>
      </c>
      <c r="BTO4" t="str">
        <f>SOFR3mo_PX[[#This Row],[Column1887]]</f>
        <v>#N/A N/A</v>
      </c>
      <c r="BTP4" t="str">
        <f>SOFR3mo_PX[[#This Row],[Column1888]]</f>
        <v>#N/A N/A</v>
      </c>
      <c r="BTQ4" t="str">
        <f>SOFR3mo_PX[[#This Row],[Column1889]]</f>
        <v>#N/A N/A</v>
      </c>
      <c r="BTR4" t="str">
        <f>SOFR3mo_PX[[#This Row],[Column1890]]</f>
        <v>#N/A N/A</v>
      </c>
      <c r="BTS4" t="str">
        <f>SOFR3mo_PX[[#This Row],[Column1891]]</f>
        <v>#N/A N/A</v>
      </c>
      <c r="BTT4" t="str">
        <f>SOFR3mo_PX[[#This Row],[Column1892]]</f>
        <v>#N/A N/A</v>
      </c>
      <c r="BTU4" t="str">
        <f>SOFR3mo_PX[[#This Row],[Column1893]]</f>
        <v>#N/A N/A</v>
      </c>
      <c r="BTV4" t="str">
        <f>SOFR3mo_PX[[#This Row],[Column1894]]</f>
        <v>#N/A N/A</v>
      </c>
      <c r="BTW4" t="str">
        <f>SOFR3mo_PX[[#This Row],[Column1895]]</f>
        <v>#N/A N/A</v>
      </c>
      <c r="BTX4" t="str">
        <f>SOFR3mo_PX[[#This Row],[Column1896]]</f>
        <v>#N/A N/A</v>
      </c>
      <c r="BTY4" t="str">
        <f>SOFR3mo_PX[[#This Row],[Column1897]]</f>
        <v>#N/A N/A</v>
      </c>
      <c r="BTZ4" t="str">
        <f>SOFR3mo_PX[[#This Row],[Column1898]]</f>
        <v>#N/A N/A</v>
      </c>
      <c r="BUA4" t="str">
        <f>SOFR3mo_PX[[#This Row],[Column1899]]</f>
        <v>#N/A N/A</v>
      </c>
      <c r="BUB4" t="str">
        <f>SOFR3mo_PX[[#This Row],[Column1900]]</f>
        <v>#N/A N/A</v>
      </c>
      <c r="BUC4" t="str">
        <f>SOFR3mo_PX[[#This Row],[Column1901]]</f>
        <v>#N/A N/A</v>
      </c>
      <c r="BUD4" t="str">
        <f>SOFR3mo_PX[[#This Row],[Column1902]]</f>
        <v>#N/A N/A</v>
      </c>
      <c r="BUE4" t="str">
        <f>SOFR3mo_PX[[#This Row],[Column1903]]</f>
        <v>#N/A N/A</v>
      </c>
      <c r="BUF4" t="str">
        <f>SOFR3mo_PX[[#This Row],[Column1904]]</f>
        <v>#N/A N/A</v>
      </c>
      <c r="BUG4" t="str">
        <f>SOFR3mo_PX[[#This Row],[Column1905]]</f>
        <v>#N/A N/A</v>
      </c>
      <c r="BUH4" t="str">
        <f>SOFR3mo_PX[[#This Row],[Column1906]]</f>
        <v>#N/A N/A</v>
      </c>
      <c r="BUI4" t="str">
        <f>SOFR3mo_PX[[#This Row],[Column1907]]</f>
        <v>#N/A N/A</v>
      </c>
      <c r="BUJ4" t="str">
        <f>SOFR3mo_PX[[#This Row],[Column1908]]</f>
        <v>#N/A N/A</v>
      </c>
      <c r="BUK4" t="str">
        <f>SOFR3mo_PX[[#This Row],[Column1909]]</f>
        <v>#N/A N/A</v>
      </c>
      <c r="BUL4" t="str">
        <f>SOFR3mo_PX[[#This Row],[Column1910]]</f>
        <v>#N/A N/A</v>
      </c>
      <c r="BUM4" t="str">
        <f>SOFR3mo_PX[[#This Row],[Column1911]]</f>
        <v>#N/A N/A</v>
      </c>
      <c r="BUN4" t="str">
        <f>SOFR3mo_PX[[#This Row],[Column1912]]</f>
        <v>#N/A N/A</v>
      </c>
      <c r="BUO4" t="str">
        <f>SOFR3mo_PX[[#This Row],[Column1913]]</f>
        <v>#N/A N/A</v>
      </c>
      <c r="BUP4" t="str">
        <f>SOFR3mo_PX[[#This Row],[Column1914]]</f>
        <v>#N/A N/A</v>
      </c>
      <c r="BUQ4" t="str">
        <f>SOFR3mo_PX[[#This Row],[Column1915]]</f>
        <v>#N/A N/A</v>
      </c>
      <c r="BUR4" t="str">
        <f>SOFR3mo_PX[[#This Row],[Column1916]]</f>
        <v>#N/A N/A</v>
      </c>
      <c r="BUS4" t="str">
        <f>SOFR3mo_PX[[#This Row],[Column1917]]</f>
        <v>#N/A N/A</v>
      </c>
      <c r="BUT4" t="str">
        <f>SOFR3mo_PX[[#This Row],[Column1918]]</f>
        <v>#N/A N/A</v>
      </c>
      <c r="BUU4" t="str">
        <f>SOFR3mo_PX[[#This Row],[Column1919]]</f>
        <v>#N/A N/A</v>
      </c>
      <c r="BUV4" t="str">
        <f>SOFR3mo_PX[[#This Row],[Column1920]]</f>
        <v>#N/A N/A</v>
      </c>
      <c r="BUW4" t="str">
        <f>SOFR3mo_PX[[#This Row],[Column1921]]</f>
        <v>#N/A N/A</v>
      </c>
      <c r="BUX4" t="str">
        <f>SOFR3mo_PX[[#This Row],[Column1922]]</f>
        <v>#N/A N/A</v>
      </c>
      <c r="BUY4" t="str">
        <f>SOFR3mo_PX[[#This Row],[Column1923]]</f>
        <v>#N/A N/A</v>
      </c>
      <c r="BUZ4" t="str">
        <f>SOFR3mo_PX[[#This Row],[Column1924]]</f>
        <v>#N/A N/A</v>
      </c>
      <c r="BVA4" t="str">
        <f>SOFR3mo_PX[[#This Row],[Column1925]]</f>
        <v>#N/A N/A</v>
      </c>
      <c r="BVB4" t="str">
        <f>SOFR3mo_PX[[#This Row],[Column1926]]</f>
        <v>#N/A N/A</v>
      </c>
      <c r="BVC4" t="str">
        <f>SOFR3mo_PX[[#This Row],[Column1927]]</f>
        <v>#N/A N/A</v>
      </c>
      <c r="BVD4" t="str">
        <f>SOFR3mo_PX[[#This Row],[Column1928]]</f>
        <v>#N/A N/A</v>
      </c>
      <c r="BVE4" t="str">
        <f>SOFR3mo_PX[[#This Row],[Column1929]]</f>
        <v>#N/A N/A</v>
      </c>
      <c r="BVF4" t="str">
        <f>SOFR3mo_PX[[#This Row],[Column1930]]</f>
        <v>#N/A N/A</v>
      </c>
      <c r="BVG4" t="str">
        <f>SOFR3mo_PX[[#This Row],[Column1931]]</f>
        <v>#N/A N/A</v>
      </c>
      <c r="BVH4" t="str">
        <f>SOFR3mo_PX[[#This Row],[Column1932]]</f>
        <v>#N/A N/A</v>
      </c>
      <c r="BVI4" t="str">
        <f>SOFR3mo_PX[[#This Row],[Column1933]]</f>
        <v>#N/A N/A</v>
      </c>
      <c r="BVJ4" t="str">
        <f>SOFR3mo_PX[[#This Row],[Column1934]]</f>
        <v>#N/A N/A</v>
      </c>
      <c r="BVK4" t="str">
        <f>SOFR3mo_PX[[#This Row],[Column1935]]</f>
        <v>#N/A N/A</v>
      </c>
      <c r="BVL4" t="str">
        <f>SOFR3mo_PX[[#This Row],[Column1936]]</f>
        <v>#N/A N/A</v>
      </c>
      <c r="BVM4" t="str">
        <f>SOFR3mo_PX[[#This Row],[Column1937]]</f>
        <v>#N/A N/A</v>
      </c>
      <c r="BVN4" t="str">
        <f>SOFR3mo_PX[[#This Row],[Column1938]]</f>
        <v>#N/A N/A</v>
      </c>
      <c r="BVO4" t="str">
        <f>SOFR3mo_PX[[#This Row],[Column1939]]</f>
        <v>#N/A N/A</v>
      </c>
      <c r="BVP4" t="str">
        <f>SOFR3mo_PX[[#This Row],[Column1940]]</f>
        <v>#N/A N/A</v>
      </c>
      <c r="BVQ4" t="str">
        <f>SOFR3mo_PX[[#This Row],[Column1941]]</f>
        <v>#N/A N/A</v>
      </c>
      <c r="BVR4" t="str">
        <f>SOFR3mo_PX[[#This Row],[Column1942]]</f>
        <v>#N/A N/A</v>
      </c>
      <c r="BVS4" t="str">
        <f>SOFR3mo_PX[[#This Row],[Column1943]]</f>
        <v>#N/A N/A</v>
      </c>
      <c r="BVT4" t="str">
        <f>SOFR3mo_PX[[#This Row],[Column1944]]</f>
        <v>#N/A N/A</v>
      </c>
      <c r="BVU4" t="str">
        <f>SOFR3mo_PX[[#This Row],[Column1945]]</f>
        <v>#N/A N/A</v>
      </c>
      <c r="BVV4" t="str">
        <f>SOFR3mo_PX[[#This Row],[Column1946]]</f>
        <v>#N/A N/A</v>
      </c>
      <c r="BVW4" t="str">
        <f>SOFR3mo_PX[[#This Row],[Column1947]]</f>
        <v>#N/A N/A</v>
      </c>
      <c r="BVX4" t="str">
        <f>SOFR3mo_PX[[#This Row],[Column1948]]</f>
        <v>#N/A N/A</v>
      </c>
      <c r="BVY4" t="str">
        <f>SOFR3mo_PX[[#This Row],[Column1949]]</f>
        <v>#N/A N/A</v>
      </c>
      <c r="BVZ4" t="str">
        <f>SOFR3mo_PX[[#This Row],[Column1950]]</f>
        <v>#N/A N/A</v>
      </c>
      <c r="BWA4" t="str">
        <f>SOFR3mo_PX[[#This Row],[Column1951]]</f>
        <v>#N/A N/A</v>
      </c>
      <c r="BWB4" t="str">
        <f>SOFR3mo_PX[[#This Row],[Column1952]]</f>
        <v>#N/A N/A</v>
      </c>
      <c r="BWC4" t="str">
        <f>SOFR3mo_PX[[#This Row],[Column1953]]</f>
        <v>#N/A N/A</v>
      </c>
      <c r="BWD4" t="str">
        <f>SOFR3mo_PX[[#This Row],[Column1954]]</f>
        <v>#N/A N/A</v>
      </c>
    </row>
    <row r="5" spans="1:1954" x14ac:dyDescent="0.25">
      <c r="A5" t="str">
        <f>SOFR3mo_PX[[#This Row],[Column1]]</f>
        <v>SFR3 Comdty</v>
      </c>
      <c r="B5">
        <f>IF(rtd!B3&lt;&gt;"",rtd!B3,SOFR3mo_PX[[#This Row],[Column2]])</f>
        <v>96.157499999999999</v>
      </c>
      <c r="C5">
        <f>SOFR3mo_PX[[#This Row],[Column3]]</f>
        <v>96.11</v>
      </c>
      <c r="D5">
        <f>SOFR3mo_PX[[#This Row],[Column4]]</f>
        <v>96.11</v>
      </c>
      <c r="E5">
        <f>SOFR3mo_PX[[#This Row],[Column5]]</f>
        <v>95.85</v>
      </c>
      <c r="F5">
        <f>SOFR3mo_PX[[#This Row],[Column6]]</f>
        <v>95.87</v>
      </c>
      <c r="G5">
        <f>SOFR3mo_PX[[#This Row],[Column7]]</f>
        <v>95.905000000000001</v>
      </c>
      <c r="H5">
        <f>SOFR3mo_PX[[#This Row],[Column8]]</f>
        <v>95.92</v>
      </c>
      <c r="I5">
        <f>SOFR3mo_PX[[#This Row],[Column9]]</f>
        <v>95.894999999999996</v>
      </c>
      <c r="J5">
        <f>SOFR3mo_PX[[#This Row],[Column10]]</f>
        <v>95.85</v>
      </c>
      <c r="K5">
        <f>SOFR3mo_PX[[#This Row],[Column11]]</f>
        <v>95.86</v>
      </c>
      <c r="L5">
        <f>SOFR3mo_PX[[#This Row],[Column12]]</f>
        <v>95.855000000000004</v>
      </c>
      <c r="M5">
        <f>SOFR3mo_PX[[#This Row],[Column13]]</f>
        <v>95.93</v>
      </c>
      <c r="N5">
        <f>SOFR3mo_PX[[#This Row],[Column14]]</f>
        <v>95.944999999999993</v>
      </c>
      <c r="O5">
        <f>SOFR3mo_PX[[#This Row],[Column15]]</f>
        <v>95.905000000000001</v>
      </c>
      <c r="P5">
        <f>SOFR3mo_PX[[#This Row],[Column16]]</f>
        <v>95.905000000000001</v>
      </c>
      <c r="Q5">
        <f>SOFR3mo_PX[[#This Row],[Column17]]</f>
        <v>95.92</v>
      </c>
      <c r="R5">
        <f>SOFR3mo_PX[[#This Row],[Column18]]</f>
        <v>95.9</v>
      </c>
      <c r="S5">
        <f>SOFR3mo_PX[[#This Row],[Column19]]</f>
        <v>95.86</v>
      </c>
      <c r="T5">
        <f>SOFR3mo_PX[[#This Row],[Column20]]</f>
        <v>95.88</v>
      </c>
      <c r="U5">
        <f>SOFR3mo_PX[[#This Row],[Column21]]</f>
        <v>95.875</v>
      </c>
      <c r="V5">
        <f>SOFR3mo_PX[[#This Row],[Column22]]</f>
        <v>95.875</v>
      </c>
      <c r="W5">
        <f>SOFR3mo_PX[[#This Row],[Column23]]</f>
        <v>95.89</v>
      </c>
      <c r="X5">
        <f>SOFR3mo_PX[[#This Row],[Column24]]</f>
        <v>95.9</v>
      </c>
      <c r="Y5">
        <f>SOFR3mo_PX[[#This Row],[Column25]]</f>
        <v>95.91</v>
      </c>
      <c r="Z5">
        <f>SOFR3mo_PX[[#This Row],[Column26]]</f>
        <v>95.92</v>
      </c>
      <c r="AA5">
        <f>SOFR3mo_PX[[#This Row],[Column27]]</f>
        <v>95.91</v>
      </c>
      <c r="AB5">
        <f>SOFR3mo_PX[[#This Row],[Column28]]</f>
        <v>95.94</v>
      </c>
      <c r="AC5">
        <f>SOFR3mo_PX[[#This Row],[Column29]]</f>
        <v>95.905000000000001</v>
      </c>
      <c r="AD5">
        <f>SOFR3mo_PX[[#This Row],[Column30]]</f>
        <v>95.93</v>
      </c>
      <c r="AE5">
        <f>SOFR3mo_PX[[#This Row],[Column31]]</f>
        <v>95.965000000000003</v>
      </c>
      <c r="AF5">
        <f>SOFR3mo_PX[[#This Row],[Column32]]</f>
        <v>96.055000000000007</v>
      </c>
      <c r="AG5">
        <f>SOFR3mo_PX[[#This Row],[Column33]]</f>
        <v>96.055000000000007</v>
      </c>
      <c r="AH5">
        <f>SOFR3mo_PX[[#This Row],[Column34]]</f>
        <v>96.125</v>
      </c>
      <c r="AI5">
        <f>SOFR3mo_PX[[#This Row],[Column35]]</f>
        <v>96.165000000000006</v>
      </c>
      <c r="AJ5">
        <f>SOFR3mo_PX[[#This Row],[Column36]]</f>
        <v>96.12</v>
      </c>
      <c r="AK5">
        <f>SOFR3mo_PX[[#This Row],[Column37]]</f>
        <v>96.155000000000001</v>
      </c>
      <c r="AL5">
        <f>SOFR3mo_PX[[#This Row],[Column38]]</f>
        <v>96.28</v>
      </c>
      <c r="AM5">
        <f>SOFR3mo_PX[[#This Row],[Column39]]</f>
        <v>96.364999999999995</v>
      </c>
      <c r="AN5">
        <f>SOFR3mo_PX[[#This Row],[Column40]]</f>
        <v>96.32</v>
      </c>
      <c r="AO5">
        <f>SOFR3mo_PX[[#This Row],[Column41]]</f>
        <v>96.29</v>
      </c>
      <c r="AP5">
        <f>SOFR3mo_PX[[#This Row],[Column42]]</f>
        <v>96.26</v>
      </c>
      <c r="AQ5">
        <f>SOFR3mo_PX[[#This Row],[Column43]]</f>
        <v>96.245000000000005</v>
      </c>
      <c r="AR5">
        <f>SOFR3mo_PX[[#This Row],[Column44]]</f>
        <v>96.204999999999998</v>
      </c>
      <c r="AS5">
        <f>SOFR3mo_PX[[#This Row],[Column45]]</f>
        <v>96.27</v>
      </c>
      <c r="AT5">
        <f>SOFR3mo_PX[[#This Row],[Column46]]</f>
        <v>96.334999999999994</v>
      </c>
      <c r="AU5">
        <f>SOFR3mo_PX[[#This Row],[Column47]]</f>
        <v>96.265000000000001</v>
      </c>
      <c r="AV5">
        <f>SOFR3mo_PX[[#This Row],[Column48]]</f>
        <v>96.265000000000001</v>
      </c>
      <c r="AW5">
        <f>SOFR3mo_PX[[#This Row],[Column49]]</f>
        <v>96.295000000000002</v>
      </c>
      <c r="AX5">
        <f>SOFR3mo_PX[[#This Row],[Column50]]</f>
        <v>96.275000000000006</v>
      </c>
      <c r="AY5">
        <f>SOFR3mo_PX[[#This Row],[Column51]]</f>
        <v>96.29</v>
      </c>
      <c r="AZ5">
        <f>SOFR3mo_PX[[#This Row],[Column52]]</f>
        <v>96.23</v>
      </c>
      <c r="BA5">
        <f>SOFR3mo_PX[[#This Row],[Column53]]</f>
        <v>96.32</v>
      </c>
      <c r="BB5">
        <f>SOFR3mo_PX[[#This Row],[Column54]]</f>
        <v>96.204999999999998</v>
      </c>
      <c r="BC5">
        <f>SOFR3mo_PX[[#This Row],[Column55]]</f>
        <v>96.465000000000003</v>
      </c>
      <c r="BD5">
        <f>SOFR3mo_PX[[#This Row],[Column56]]</f>
        <v>96.415000000000006</v>
      </c>
      <c r="BE5">
        <f>SOFR3mo_PX[[#This Row],[Column57]]</f>
        <v>96.42</v>
      </c>
      <c r="BF5">
        <f>SOFR3mo_PX[[#This Row],[Column58]]</f>
        <v>96.314999999999998</v>
      </c>
      <c r="BG5">
        <f>SOFR3mo_PX[[#This Row],[Column59]]</f>
        <v>96.18</v>
      </c>
      <c r="BH5">
        <f>SOFR3mo_PX[[#This Row],[Column60]]</f>
        <v>96.234999999999999</v>
      </c>
      <c r="BI5">
        <f>SOFR3mo_PX[[#This Row],[Column61]]</f>
        <v>96.19</v>
      </c>
      <c r="BJ5">
        <f>SOFR3mo_PX[[#This Row],[Column62]]</f>
        <v>96.194999999999993</v>
      </c>
      <c r="BK5">
        <f>SOFR3mo_PX[[#This Row],[Column63]]</f>
        <v>96.094999999999999</v>
      </c>
      <c r="BL5">
        <f>SOFR3mo_PX[[#This Row],[Column64]]</f>
        <v>96.1</v>
      </c>
      <c r="BM5">
        <f>SOFR3mo_PX[[#This Row],[Column65]]</f>
        <v>96.11</v>
      </c>
      <c r="BN5">
        <f>SOFR3mo_PX[[#This Row],[Column66]]</f>
        <v>96.094999999999999</v>
      </c>
      <c r="BO5">
        <f>SOFR3mo_PX[[#This Row],[Column67]]</f>
        <v>96.174999999999997</v>
      </c>
      <c r="BP5">
        <f>SOFR3mo_PX[[#This Row],[Column68]]</f>
        <v>96.15</v>
      </c>
      <c r="BQ5">
        <f>SOFR3mo_PX[[#This Row],[Column69]]</f>
        <v>96.114999999999995</v>
      </c>
      <c r="BR5">
        <f>SOFR3mo_PX[[#This Row],[Column70]]</f>
        <v>95.87</v>
      </c>
      <c r="BS5">
        <f>SOFR3mo_PX[[#This Row],[Column71]]</f>
        <v>95.885000000000005</v>
      </c>
      <c r="BT5">
        <f>SOFR3mo_PX[[#This Row],[Column72]]</f>
        <v>95.93</v>
      </c>
      <c r="BU5">
        <f>SOFR3mo_PX[[#This Row],[Column73]]</f>
        <v>95.96</v>
      </c>
      <c r="BV5">
        <f>SOFR3mo_PX[[#This Row],[Column74]]</f>
        <v>95.935000000000002</v>
      </c>
      <c r="BW5">
        <f>SOFR3mo_PX[[#This Row],[Column75]]</f>
        <v>95.99</v>
      </c>
      <c r="BX5">
        <f>SOFR3mo_PX[[#This Row],[Column76]]</f>
        <v>96.03</v>
      </c>
      <c r="BY5">
        <f>SOFR3mo_PX[[#This Row],[Column77]]</f>
        <v>95.965000000000003</v>
      </c>
      <c r="BZ5">
        <f>SOFR3mo_PX[[#This Row],[Column78]]</f>
        <v>96.004999999999995</v>
      </c>
      <c r="CA5">
        <f>SOFR3mo_PX[[#This Row],[Column79]]</f>
        <v>95.954999999999998</v>
      </c>
      <c r="CB5">
        <f>SOFR3mo_PX[[#This Row],[Column80]]</f>
        <v>95.98</v>
      </c>
      <c r="CC5">
        <f>SOFR3mo_PX[[#This Row],[Column81]]</f>
        <v>95.965000000000003</v>
      </c>
      <c r="CD5">
        <f>SOFR3mo_PX[[#This Row],[Column82]]</f>
        <v>95.954999999999998</v>
      </c>
      <c r="CE5">
        <f>SOFR3mo_PX[[#This Row],[Column83]]</f>
        <v>95.89</v>
      </c>
      <c r="CF5">
        <f>SOFR3mo_PX[[#This Row],[Column84]]</f>
        <v>95.894999999999996</v>
      </c>
      <c r="CG5">
        <f>SOFR3mo_PX[[#This Row],[Column85]]</f>
        <v>95.89</v>
      </c>
      <c r="CH5">
        <f>SOFR3mo_PX[[#This Row],[Column86]]</f>
        <v>95.864999999999995</v>
      </c>
      <c r="CI5">
        <f>SOFR3mo_PX[[#This Row],[Column87]]</f>
        <v>95.87</v>
      </c>
      <c r="CJ5">
        <f>SOFR3mo_PX[[#This Row],[Column88]]</f>
        <v>95.814999999999998</v>
      </c>
      <c r="CK5">
        <f>SOFR3mo_PX[[#This Row],[Column89]]</f>
        <v>95.8</v>
      </c>
      <c r="CL5">
        <f>SOFR3mo_PX[[#This Row],[Column90]]</f>
        <v>95.79</v>
      </c>
      <c r="CM5">
        <f>SOFR3mo_PX[[#This Row],[Column91]]</f>
        <v>95.82</v>
      </c>
      <c r="CN5">
        <f>SOFR3mo_PX[[#This Row],[Column92]]</f>
        <v>95.82</v>
      </c>
      <c r="CO5">
        <f>SOFR3mo_PX[[#This Row],[Column93]]</f>
        <v>95.78</v>
      </c>
      <c r="CP5">
        <f>SOFR3mo_PX[[#This Row],[Column94]]</f>
        <v>95.75</v>
      </c>
      <c r="CQ5">
        <f>SOFR3mo_PX[[#This Row],[Column95]]</f>
        <v>95.81</v>
      </c>
      <c r="CR5">
        <f>SOFR3mo_PX[[#This Row],[Column96]]</f>
        <v>95.83</v>
      </c>
      <c r="CS5">
        <f>SOFR3mo_PX[[#This Row],[Column97]]</f>
        <v>95.83</v>
      </c>
      <c r="CT5">
        <f>SOFR3mo_PX[[#This Row],[Column98]]</f>
        <v>95.89</v>
      </c>
      <c r="CU5">
        <f>SOFR3mo_PX[[#This Row],[Column99]]</f>
        <v>95.9</v>
      </c>
      <c r="CV5">
        <f>SOFR3mo_PX[[#This Row],[Column100]]</f>
        <v>95.89</v>
      </c>
      <c r="CW5">
        <f>SOFR3mo_PX[[#This Row],[Column101]]</f>
        <v>95.86</v>
      </c>
      <c r="CX5">
        <f>SOFR3mo_PX[[#This Row],[Column102]]</f>
        <v>95.894999999999996</v>
      </c>
      <c r="CY5">
        <f>SOFR3mo_PX[[#This Row],[Column103]]</f>
        <v>95.92</v>
      </c>
      <c r="CZ5">
        <f>SOFR3mo_PX[[#This Row],[Column104]]</f>
        <v>95.915000000000006</v>
      </c>
      <c r="DA5">
        <f>SOFR3mo_PX[[#This Row],[Column105]]</f>
        <v>95.95</v>
      </c>
      <c r="DB5">
        <f>SOFR3mo_PX[[#This Row],[Column106]]</f>
        <v>95.96</v>
      </c>
      <c r="DC5">
        <f>SOFR3mo_PX[[#This Row],[Column107]]</f>
        <v>95.915000000000006</v>
      </c>
      <c r="DD5">
        <f>SOFR3mo_PX[[#This Row],[Column108]]</f>
        <v>95.894999999999996</v>
      </c>
      <c r="DE5">
        <f>SOFR3mo_PX[[#This Row],[Column109]]</f>
        <v>95.885000000000005</v>
      </c>
      <c r="DF5">
        <f>SOFR3mo_PX[[#This Row],[Column110]]</f>
        <v>95.885000000000005</v>
      </c>
      <c r="DG5">
        <f>SOFR3mo_PX[[#This Row],[Column111]]</f>
        <v>95.894999999999996</v>
      </c>
      <c r="DH5">
        <f>SOFR3mo_PX[[#This Row],[Column112]]</f>
        <v>95.894999999999996</v>
      </c>
      <c r="DI5">
        <f>SOFR3mo_PX[[#This Row],[Column113]]</f>
        <v>95.91</v>
      </c>
      <c r="DJ5">
        <f>SOFR3mo_PX[[#This Row],[Column114]]</f>
        <v>95.9</v>
      </c>
      <c r="DK5">
        <f>SOFR3mo_PX[[#This Row],[Column115]]</f>
        <v>95.84</v>
      </c>
      <c r="DL5">
        <f>SOFR3mo_PX[[#This Row],[Column116]]</f>
        <v>95.82</v>
      </c>
      <c r="DM5">
        <f>SOFR3mo_PX[[#This Row],[Column117]]</f>
        <v>95.834999999999994</v>
      </c>
      <c r="DN5">
        <f>SOFR3mo_PX[[#This Row],[Column118]]</f>
        <v>95.935000000000002</v>
      </c>
      <c r="DO5">
        <f>SOFR3mo_PX[[#This Row],[Column119]]</f>
        <v>95.91</v>
      </c>
      <c r="DP5">
        <f>SOFR3mo_PX[[#This Row],[Column120]]</f>
        <v>95.9</v>
      </c>
      <c r="DQ5">
        <f>SOFR3mo_PX[[#This Row],[Column121]]</f>
        <v>95.924999999999997</v>
      </c>
      <c r="DR5">
        <f>SOFR3mo_PX[[#This Row],[Column122]]</f>
        <v>95.93</v>
      </c>
      <c r="DS5">
        <f>SOFR3mo_PX[[#This Row],[Column123]]</f>
        <v>95.944999999999993</v>
      </c>
      <c r="DT5">
        <f>SOFR3mo_PX[[#This Row],[Column124]]</f>
        <v>95.954999999999998</v>
      </c>
      <c r="DU5">
        <f>SOFR3mo_PX[[#This Row],[Column125]]</f>
        <v>95.954999999999998</v>
      </c>
      <c r="DV5">
        <f>SOFR3mo_PX[[#This Row],[Column126]]</f>
        <v>95.96</v>
      </c>
      <c r="DW5">
        <f>SOFR3mo_PX[[#This Row],[Column127]]</f>
        <v>95.92</v>
      </c>
      <c r="DX5">
        <f>SOFR3mo_PX[[#This Row],[Column128]]</f>
        <v>95.894999999999996</v>
      </c>
      <c r="DY5">
        <f>SOFR3mo_PX[[#This Row],[Column129]]</f>
        <v>95.894999999999996</v>
      </c>
      <c r="DZ5">
        <f>SOFR3mo_PX[[#This Row],[Column130]]</f>
        <v>95.894999999999996</v>
      </c>
      <c r="EA5">
        <f>SOFR3mo_PX[[#This Row],[Column131]]</f>
        <v>95.87</v>
      </c>
      <c r="EB5">
        <f>SOFR3mo_PX[[#This Row],[Column132]]</f>
        <v>95.9</v>
      </c>
      <c r="EC5">
        <f>SOFR3mo_PX[[#This Row],[Column133]]</f>
        <v>95.894999999999996</v>
      </c>
      <c r="ED5">
        <f>SOFR3mo_PX[[#This Row],[Column134]]</f>
        <v>95.855000000000004</v>
      </c>
      <c r="EE5">
        <f>SOFR3mo_PX[[#This Row],[Column135]]</f>
        <v>95.83</v>
      </c>
      <c r="EF5">
        <f>SOFR3mo_PX[[#This Row],[Column136]]</f>
        <v>95.84</v>
      </c>
      <c r="EG5">
        <f>SOFR3mo_PX[[#This Row],[Column137]]</f>
        <v>95.844999999999999</v>
      </c>
      <c r="EH5">
        <f>SOFR3mo_PX[[#This Row],[Column138]]</f>
        <v>95.864999999999995</v>
      </c>
      <c r="EI5">
        <f>SOFR3mo_PX[[#This Row],[Column139]]</f>
        <v>95.88</v>
      </c>
      <c r="EJ5">
        <f>SOFR3mo_PX[[#This Row],[Column140]]</f>
        <v>95.87</v>
      </c>
      <c r="EK5">
        <f>SOFR3mo_PX[[#This Row],[Column141]]</f>
        <v>95.885000000000005</v>
      </c>
      <c r="EL5">
        <f>SOFR3mo_PX[[#This Row],[Column142]]</f>
        <v>95.9</v>
      </c>
      <c r="EM5">
        <f>SOFR3mo_PX[[#This Row],[Column143]]</f>
        <v>95.844999999999999</v>
      </c>
      <c r="EN5">
        <f>SOFR3mo_PX[[#This Row],[Column144]]</f>
        <v>95.86</v>
      </c>
      <c r="EO5">
        <f>SOFR3mo_PX[[#This Row],[Column145]]</f>
        <v>95.825000000000003</v>
      </c>
      <c r="EP5">
        <f>SOFR3mo_PX[[#This Row],[Column146]]</f>
        <v>95.76</v>
      </c>
      <c r="EQ5">
        <f>SOFR3mo_PX[[#This Row],[Column147]]</f>
        <v>95.795000000000002</v>
      </c>
      <c r="ER5">
        <f>SOFR3mo_PX[[#This Row],[Column148]]</f>
        <v>95.775000000000006</v>
      </c>
      <c r="ES5">
        <f>SOFR3mo_PX[[#This Row],[Column149]]</f>
        <v>95.775000000000006</v>
      </c>
      <c r="ET5">
        <f>SOFR3mo_PX[[#This Row],[Column150]]</f>
        <v>95.745000000000005</v>
      </c>
      <c r="EU5">
        <f>SOFR3mo_PX[[#This Row],[Column151]]</f>
        <v>95.75</v>
      </c>
      <c r="EV5">
        <f>SOFR3mo_PX[[#This Row],[Column152]]</f>
        <v>95.724999999999994</v>
      </c>
      <c r="EW5">
        <f>SOFR3mo_PX[[#This Row],[Column153]]</f>
        <v>95.734999999999999</v>
      </c>
      <c r="EX5">
        <f>SOFR3mo_PX[[#This Row],[Column154]]</f>
        <v>95.754999999999995</v>
      </c>
      <c r="EY5">
        <f>SOFR3mo_PX[[#This Row],[Column155]]</f>
        <v>95.775000000000006</v>
      </c>
      <c r="EZ5">
        <f>SOFR3mo_PX[[#This Row],[Column156]]</f>
        <v>95.784999999999997</v>
      </c>
      <c r="FA5">
        <f>SOFR3mo_PX[[#This Row],[Column157]]</f>
        <v>95.79</v>
      </c>
      <c r="FB5">
        <f>SOFR3mo_PX[[#This Row],[Column158]]</f>
        <v>95.825000000000003</v>
      </c>
      <c r="FC5">
        <f>SOFR3mo_PX[[#This Row],[Column159]]</f>
        <v>95.85</v>
      </c>
      <c r="FD5">
        <f>SOFR3mo_PX[[#This Row],[Column160]]</f>
        <v>95.754999999999995</v>
      </c>
      <c r="FE5">
        <f>SOFR3mo_PX[[#This Row],[Column161]]</f>
        <v>95.78</v>
      </c>
      <c r="FF5">
        <f>SOFR3mo_PX[[#This Row],[Column162]]</f>
        <v>95.814999999999998</v>
      </c>
      <c r="FG5">
        <f>SOFR3mo_PX[[#This Row],[Column163]]</f>
        <v>95.864999999999995</v>
      </c>
      <c r="FH5">
        <f>SOFR3mo_PX[[#This Row],[Column164]]</f>
        <v>95.85</v>
      </c>
      <c r="FI5">
        <f>SOFR3mo_PX[[#This Row],[Column165]]</f>
        <v>95.91</v>
      </c>
      <c r="FJ5">
        <f>SOFR3mo_PX[[#This Row],[Column166]]</f>
        <v>95.93</v>
      </c>
      <c r="FK5">
        <f>SOFR3mo_PX[[#This Row],[Column167]]</f>
        <v>95.915000000000006</v>
      </c>
      <c r="FL5">
        <f>SOFR3mo_PX[[#This Row],[Column168]]</f>
        <v>95.935000000000002</v>
      </c>
      <c r="FM5">
        <f>SOFR3mo_PX[[#This Row],[Column169]]</f>
        <v>95.95</v>
      </c>
      <c r="FN5">
        <f>SOFR3mo_PX[[#This Row],[Column170]]</f>
        <v>95.965000000000003</v>
      </c>
      <c r="FO5">
        <f>SOFR3mo_PX[[#This Row],[Column171]]</f>
        <v>95.944999999999993</v>
      </c>
      <c r="FP5">
        <f>SOFR3mo_PX[[#This Row],[Column172]]</f>
        <v>95.965000000000003</v>
      </c>
      <c r="FQ5">
        <f>SOFR3mo_PX[[#This Row],[Column173]]</f>
        <v>95.984999999999999</v>
      </c>
      <c r="FR5">
        <f>SOFR3mo_PX[[#This Row],[Column174]]</f>
        <v>95.944999999999993</v>
      </c>
      <c r="FS5">
        <f>SOFR3mo_PX[[#This Row],[Column175]]</f>
        <v>95.98</v>
      </c>
      <c r="FT5">
        <f>SOFR3mo_PX[[#This Row],[Column176]]</f>
        <v>95.98</v>
      </c>
      <c r="FU5">
        <f>SOFR3mo_PX[[#This Row],[Column177]]</f>
        <v>96.05</v>
      </c>
      <c r="FV5">
        <f>SOFR3mo_PX[[#This Row],[Column178]]</f>
        <v>96.025000000000006</v>
      </c>
      <c r="FW5">
        <f>SOFR3mo_PX[[#This Row],[Column179]]</f>
        <v>96.084999999999994</v>
      </c>
      <c r="FX5">
        <f>SOFR3mo_PX[[#This Row],[Column180]]</f>
        <v>96.075000000000003</v>
      </c>
      <c r="FY5">
        <f>SOFR3mo_PX[[#This Row],[Column181]]</f>
        <v>96.04</v>
      </c>
      <c r="FZ5">
        <f>SOFR3mo_PX[[#This Row],[Column182]]</f>
        <v>96.105000000000004</v>
      </c>
      <c r="GA5">
        <f>SOFR3mo_PX[[#This Row],[Column183]]</f>
        <v>96.045000000000002</v>
      </c>
      <c r="GB5">
        <f>SOFR3mo_PX[[#This Row],[Column184]]</f>
        <v>96.025000000000006</v>
      </c>
      <c r="GC5">
        <f>SOFR3mo_PX[[#This Row],[Column185]]</f>
        <v>96.09</v>
      </c>
      <c r="GD5">
        <f>SOFR3mo_PX[[#This Row],[Column186]]</f>
        <v>96.06</v>
      </c>
      <c r="GE5">
        <f>SOFR3mo_PX[[#This Row],[Column187]]</f>
        <v>96.13</v>
      </c>
      <c r="GF5">
        <f>SOFR3mo_PX[[#This Row],[Column188]]</f>
        <v>96.394999999999996</v>
      </c>
      <c r="GG5">
        <f>SOFR3mo_PX[[#This Row],[Column189]]</f>
        <v>96.48</v>
      </c>
      <c r="GH5">
        <f>SOFR3mo_PX[[#This Row],[Column190]]</f>
        <v>96.5</v>
      </c>
      <c r="GI5">
        <f>SOFR3mo_PX[[#This Row],[Column191]]</f>
        <v>96.484999999999999</v>
      </c>
      <c r="GJ5">
        <f>SOFR3mo_PX[[#This Row],[Column192]]</f>
        <v>96.61</v>
      </c>
      <c r="GK5">
        <f>SOFR3mo_PX[[#This Row],[Column193]]</f>
        <v>96.545000000000002</v>
      </c>
      <c r="GL5">
        <f>SOFR3mo_PX[[#This Row],[Column194]]</f>
        <v>96.63</v>
      </c>
      <c r="GM5">
        <f>SOFR3mo_PX[[#This Row],[Column195]]</f>
        <v>96.655000000000001</v>
      </c>
      <c r="GN5">
        <f>SOFR3mo_PX[[#This Row],[Column196]]</f>
        <v>96.63</v>
      </c>
      <c r="GO5">
        <f>SOFR3mo_PX[[#This Row],[Column197]]</f>
        <v>96.625</v>
      </c>
      <c r="GP5">
        <f>SOFR3mo_PX[[#This Row],[Column198]]</f>
        <v>96.594999999999999</v>
      </c>
      <c r="GQ5">
        <f>SOFR3mo_PX[[#This Row],[Column199]]</f>
        <v>96.59</v>
      </c>
      <c r="GR5">
        <f>SOFR3mo_PX[[#This Row],[Column200]]</f>
        <v>95.965000000000003</v>
      </c>
      <c r="GS5">
        <f>SOFR3mo_PX[[#This Row],[Column201]]</f>
        <v>96</v>
      </c>
      <c r="GT5">
        <f>SOFR3mo_PX[[#This Row],[Column202]]</f>
        <v>95.965000000000003</v>
      </c>
      <c r="GU5">
        <f>SOFR3mo_PX[[#This Row],[Column203]]</f>
        <v>95.885000000000005</v>
      </c>
      <c r="GV5">
        <f>SOFR3mo_PX[[#This Row],[Column204]]</f>
        <v>95.85</v>
      </c>
      <c r="GW5">
        <f>SOFR3mo_PX[[#This Row],[Column205]]</f>
        <v>95.94</v>
      </c>
      <c r="GX5">
        <f>SOFR3mo_PX[[#This Row],[Column206]]</f>
        <v>95.91</v>
      </c>
      <c r="GY5">
        <f>SOFR3mo_PX[[#This Row],[Column207]]</f>
        <v>95.93</v>
      </c>
      <c r="GZ5">
        <f>SOFR3mo_PX[[#This Row],[Column208]]</f>
        <v>95.86</v>
      </c>
      <c r="HA5">
        <f>SOFR3mo_PX[[#This Row],[Column209]]</f>
        <v>95.875</v>
      </c>
      <c r="HB5">
        <f>SOFR3mo_PX[[#This Row],[Column210]]</f>
        <v>95.76</v>
      </c>
      <c r="HC5">
        <f>SOFR3mo_PX[[#This Row],[Column211]]</f>
        <v>95.745000000000005</v>
      </c>
      <c r="HD5">
        <f>SOFR3mo_PX[[#This Row],[Column212]]</f>
        <v>95.745000000000005</v>
      </c>
      <c r="HE5">
        <f>SOFR3mo_PX[[#This Row],[Column213]]</f>
        <v>95.76</v>
      </c>
      <c r="HF5">
        <f>SOFR3mo_PX[[#This Row],[Column214]]</f>
        <v>95.79</v>
      </c>
      <c r="HG5">
        <f>SOFR3mo_PX[[#This Row],[Column215]]</f>
        <v>95.8</v>
      </c>
      <c r="HH5">
        <f>SOFR3mo_PX[[#This Row],[Column216]]</f>
        <v>95.76</v>
      </c>
      <c r="HI5">
        <f>SOFR3mo_PX[[#This Row],[Column217]]</f>
        <v>95.784999999999997</v>
      </c>
      <c r="HJ5">
        <f>SOFR3mo_PX[[#This Row],[Column218]]</f>
        <v>95.71</v>
      </c>
      <c r="HK5">
        <f>SOFR3mo_PX[[#This Row],[Column219]]</f>
        <v>95.795000000000002</v>
      </c>
      <c r="HL5">
        <f>SOFR3mo_PX[[#This Row],[Column220]]</f>
        <v>95.715000000000003</v>
      </c>
      <c r="HM5">
        <f>SOFR3mo_PX[[#This Row],[Column221]]</f>
        <v>95.665000000000006</v>
      </c>
      <c r="HN5">
        <f>SOFR3mo_PX[[#This Row],[Column222]]</f>
        <v>95.67</v>
      </c>
      <c r="HO5">
        <f>SOFR3mo_PX[[#This Row],[Column223]]</f>
        <v>95.65</v>
      </c>
      <c r="HP5">
        <f>SOFR3mo_PX[[#This Row],[Column224]]</f>
        <v>95.79</v>
      </c>
      <c r="HQ5">
        <f>SOFR3mo_PX[[#This Row],[Column225]]</f>
        <v>95.82</v>
      </c>
      <c r="HR5">
        <f>SOFR3mo_PX[[#This Row],[Column226]]</f>
        <v>95.75</v>
      </c>
      <c r="HS5">
        <f>SOFR3mo_PX[[#This Row],[Column227]]</f>
        <v>95.74</v>
      </c>
      <c r="HT5">
        <f>SOFR3mo_PX[[#This Row],[Column228]]</f>
        <v>95.754999999999995</v>
      </c>
      <c r="HU5">
        <f>SOFR3mo_PX[[#This Row],[Column229]]</f>
        <v>95.82</v>
      </c>
      <c r="HV5">
        <f>SOFR3mo_PX[[#This Row],[Column230]]</f>
        <v>95.795000000000002</v>
      </c>
      <c r="HW5">
        <f>SOFR3mo_PX[[#This Row],[Column231]]</f>
        <v>95.924999999999997</v>
      </c>
      <c r="HX5">
        <f>SOFR3mo_PX[[#This Row],[Column232]]</f>
        <v>95.92</v>
      </c>
      <c r="HY5">
        <f>SOFR3mo_PX[[#This Row],[Column233]]</f>
        <v>95.555000000000007</v>
      </c>
      <c r="HZ5">
        <f>SOFR3mo_PX[[#This Row],[Column234]]</f>
        <v>95.394999999999996</v>
      </c>
      <c r="IA5">
        <f>SOFR3mo_PX[[#This Row],[Column235]]</f>
        <v>95.38</v>
      </c>
      <c r="IB5">
        <f>SOFR3mo_PX[[#This Row],[Column236]]</f>
        <v>95.36</v>
      </c>
      <c r="IC5">
        <f>SOFR3mo_PX[[#This Row],[Column237]]</f>
        <v>95.37</v>
      </c>
      <c r="ID5">
        <f>SOFR3mo_PX[[#This Row],[Column238]]</f>
        <v>95.344999999999999</v>
      </c>
      <c r="IE5">
        <f>SOFR3mo_PX[[#This Row],[Column239]]</f>
        <v>95.344999999999999</v>
      </c>
      <c r="IF5">
        <f>SOFR3mo_PX[[#This Row],[Column240]]</f>
        <v>95.32</v>
      </c>
      <c r="IG5">
        <f>SOFR3mo_PX[[#This Row],[Column241]]</f>
        <v>95.295000000000002</v>
      </c>
      <c r="IH5">
        <f>SOFR3mo_PX[[#This Row],[Column242]]</f>
        <v>95.32</v>
      </c>
      <c r="II5">
        <f>SOFR3mo_PX[[#This Row],[Column243]]</f>
        <v>95.344999999999999</v>
      </c>
      <c r="IJ5">
        <f>SOFR3mo_PX[[#This Row],[Column244]]</f>
        <v>95.36</v>
      </c>
      <c r="IK5">
        <f>SOFR3mo_PX[[#This Row],[Column245]]</f>
        <v>95.364999999999995</v>
      </c>
      <c r="IL5">
        <f>SOFR3mo_PX[[#This Row],[Column246]]</f>
        <v>95.37</v>
      </c>
      <c r="IM5">
        <f>SOFR3mo_PX[[#This Row],[Column247]]</f>
        <v>95.334999999999994</v>
      </c>
      <c r="IN5">
        <f>SOFR3mo_PX[[#This Row],[Column248]]</f>
        <v>95.31</v>
      </c>
      <c r="IO5">
        <f>SOFR3mo_PX[[#This Row],[Column249]]</f>
        <v>95.204999999999998</v>
      </c>
      <c r="IP5">
        <f>SOFR3mo_PX[[#This Row],[Column250]]</f>
        <v>95.2</v>
      </c>
      <c r="IQ5">
        <f>SOFR3mo_PX[[#This Row],[Column251]]</f>
        <v>95.21</v>
      </c>
      <c r="IR5">
        <f>SOFR3mo_PX[[#This Row],[Column252]]</f>
        <v>95.23</v>
      </c>
      <c r="IS5">
        <f>SOFR3mo_PX[[#This Row],[Column253]]</f>
        <v>95.165000000000006</v>
      </c>
      <c r="IT5">
        <f>SOFR3mo_PX[[#This Row],[Column254]]</f>
        <v>95.165000000000006</v>
      </c>
      <c r="IU5">
        <f>SOFR3mo_PX[[#This Row],[Column255]]</f>
        <v>95.14</v>
      </c>
      <c r="IV5">
        <f>SOFR3mo_PX[[#This Row],[Column256]]</f>
        <v>95.125</v>
      </c>
      <c r="IW5">
        <f>SOFR3mo_PX[[#This Row],[Column257]]</f>
        <v>95.144999999999996</v>
      </c>
      <c r="IX5">
        <f>SOFR3mo_PX[[#This Row],[Column258]]</f>
        <v>95.14</v>
      </c>
      <c r="IY5">
        <f>SOFR3mo_PX[[#This Row],[Column259]]</f>
        <v>95.12</v>
      </c>
      <c r="IZ5">
        <f>SOFR3mo_PX[[#This Row],[Column260]]</f>
        <v>95.165000000000006</v>
      </c>
      <c r="JA5">
        <f>SOFR3mo_PX[[#This Row],[Column261]]</f>
        <v>95.165000000000006</v>
      </c>
      <c r="JB5">
        <f>SOFR3mo_PX[[#This Row],[Column262]]</f>
        <v>95.16</v>
      </c>
      <c r="JC5">
        <f>SOFR3mo_PX[[#This Row],[Column263]]</f>
        <v>95.16</v>
      </c>
      <c r="JD5">
        <f>SOFR3mo_PX[[#This Row],[Column264]]</f>
        <v>94.85</v>
      </c>
      <c r="JE5">
        <f>SOFR3mo_PX[[#This Row],[Column265]]</f>
        <v>94.85</v>
      </c>
      <c r="JF5">
        <f>SOFR3mo_PX[[#This Row],[Column266]]</f>
        <v>94.84</v>
      </c>
      <c r="JG5">
        <f>SOFR3mo_PX[[#This Row],[Column267]]</f>
        <v>94.875</v>
      </c>
      <c r="JH5">
        <f>SOFR3mo_PX[[#This Row],[Column268]]</f>
        <v>94.864999999999995</v>
      </c>
      <c r="JI5">
        <f>SOFR3mo_PX[[#This Row],[Column269]]</f>
        <v>94.844999999999999</v>
      </c>
      <c r="JJ5">
        <f>SOFR3mo_PX[[#This Row],[Column270]]</f>
        <v>94.814999999999998</v>
      </c>
      <c r="JK5">
        <f>SOFR3mo_PX[[#This Row],[Column271]]</f>
        <v>94.805000000000007</v>
      </c>
      <c r="JL5">
        <f>SOFR3mo_PX[[#This Row],[Column272]]</f>
        <v>94.81</v>
      </c>
      <c r="JM5">
        <f>SOFR3mo_PX[[#This Row],[Column273]]</f>
        <v>94.894999999999996</v>
      </c>
      <c r="JN5">
        <f>SOFR3mo_PX[[#This Row],[Column274]]</f>
        <v>94.894999999999996</v>
      </c>
      <c r="JO5">
        <f>SOFR3mo_PX[[#This Row],[Column275]]</f>
        <v>94.87</v>
      </c>
      <c r="JP5">
        <f>SOFR3mo_PX[[#This Row],[Column276]]</f>
        <v>94.844999999999999</v>
      </c>
      <c r="JQ5">
        <f>SOFR3mo_PX[[#This Row],[Column277]]</f>
        <v>94.82</v>
      </c>
      <c r="JR5">
        <f>SOFR3mo_PX[[#This Row],[Column278]]</f>
        <v>94.814999999999998</v>
      </c>
      <c r="JS5">
        <f>SOFR3mo_PX[[#This Row],[Column279]]</f>
        <v>94.79</v>
      </c>
      <c r="JT5">
        <f>SOFR3mo_PX[[#This Row],[Column280]]</f>
        <v>94.784999999999997</v>
      </c>
      <c r="JU5">
        <f>SOFR3mo_PX[[#This Row],[Column281]]</f>
        <v>94.8</v>
      </c>
      <c r="JV5">
        <f>SOFR3mo_PX[[#This Row],[Column282]]</f>
        <v>94.8</v>
      </c>
      <c r="JW5">
        <f>SOFR3mo_PX[[#This Row],[Column283]]</f>
        <v>94.81</v>
      </c>
      <c r="JX5">
        <f>SOFR3mo_PX[[#This Row],[Column284]]</f>
        <v>94.844999999999999</v>
      </c>
      <c r="JY5">
        <f>SOFR3mo_PX[[#This Row],[Column285]]</f>
        <v>94.87</v>
      </c>
      <c r="JZ5">
        <f>SOFR3mo_PX[[#This Row],[Column286]]</f>
        <v>94.86</v>
      </c>
      <c r="KA5">
        <f>SOFR3mo_PX[[#This Row],[Column287]]</f>
        <v>94.875</v>
      </c>
      <c r="KB5">
        <f>SOFR3mo_PX[[#This Row],[Column288]]</f>
        <v>94.89</v>
      </c>
      <c r="KC5">
        <f>SOFR3mo_PX[[#This Row],[Column289]]</f>
        <v>94.924999999999997</v>
      </c>
      <c r="KD5">
        <f>SOFR3mo_PX[[#This Row],[Column290]]</f>
        <v>94.885000000000005</v>
      </c>
      <c r="KE5">
        <f>SOFR3mo_PX[[#This Row],[Column291]]</f>
        <v>94.875</v>
      </c>
      <c r="KF5">
        <f>SOFR3mo_PX[[#This Row],[Column292]]</f>
        <v>94.88</v>
      </c>
      <c r="KG5">
        <f>SOFR3mo_PX[[#This Row],[Column293]]</f>
        <v>94.91</v>
      </c>
      <c r="KH5">
        <f>SOFR3mo_PX[[#This Row],[Column294]]</f>
        <v>94.89</v>
      </c>
      <c r="KI5">
        <f>SOFR3mo_PX[[#This Row],[Column295]]</f>
        <v>94.89</v>
      </c>
      <c r="KJ5">
        <f>SOFR3mo_PX[[#This Row],[Column296]]</f>
        <v>94.905000000000001</v>
      </c>
      <c r="KK5">
        <f>SOFR3mo_PX[[#This Row],[Column297]]</f>
        <v>94.915000000000006</v>
      </c>
      <c r="KL5">
        <f>SOFR3mo_PX[[#This Row],[Column298]]</f>
        <v>94.875</v>
      </c>
      <c r="KM5">
        <f>SOFR3mo_PX[[#This Row],[Column299]]</f>
        <v>94.834999999999994</v>
      </c>
      <c r="KN5">
        <f>SOFR3mo_PX[[#This Row],[Column300]]</f>
        <v>94.795000000000002</v>
      </c>
      <c r="KO5">
        <f>SOFR3mo_PX[[#This Row],[Column301]]</f>
        <v>94.844999999999999</v>
      </c>
      <c r="KP5">
        <f>SOFR3mo_PX[[#This Row],[Column302]]</f>
        <v>94.844999999999999</v>
      </c>
      <c r="KQ5">
        <f>SOFR3mo_PX[[#This Row],[Column303]]</f>
        <v>94.844999999999999</v>
      </c>
      <c r="KR5">
        <f>SOFR3mo_PX[[#This Row],[Column304]]</f>
        <v>94.905000000000001</v>
      </c>
      <c r="KS5">
        <f>SOFR3mo_PX[[#This Row],[Column305]]</f>
        <v>94.92</v>
      </c>
      <c r="KT5">
        <f>SOFR3mo_PX[[#This Row],[Column306]]</f>
        <v>94.89</v>
      </c>
      <c r="KU5">
        <f>SOFR3mo_PX[[#This Row],[Column307]]</f>
        <v>94.89</v>
      </c>
      <c r="KV5">
        <f>SOFR3mo_PX[[#This Row],[Column308]]</f>
        <v>94.87</v>
      </c>
      <c r="KW5">
        <f>SOFR3mo_PX[[#This Row],[Column309]]</f>
        <v>94.905000000000001</v>
      </c>
      <c r="KX5">
        <f>SOFR3mo_PX[[#This Row],[Column310]]</f>
        <v>94.9</v>
      </c>
      <c r="KY5">
        <f>SOFR3mo_PX[[#This Row],[Column311]]</f>
        <v>94.905000000000001</v>
      </c>
      <c r="KZ5">
        <f>SOFR3mo_PX[[#This Row],[Column312]]</f>
        <v>94.94</v>
      </c>
      <c r="LA5">
        <f>SOFR3mo_PX[[#This Row],[Column313]]</f>
        <v>94.89</v>
      </c>
      <c r="LB5">
        <f>SOFR3mo_PX[[#This Row],[Column314]]</f>
        <v>94.87</v>
      </c>
      <c r="LC5">
        <f>SOFR3mo_PX[[#This Row],[Column315]]</f>
        <v>95.075000000000003</v>
      </c>
      <c r="LD5">
        <f>SOFR3mo_PX[[#This Row],[Column316]]</f>
        <v>95.04</v>
      </c>
      <c r="LE5">
        <f>SOFR3mo_PX[[#This Row],[Column317]]</f>
        <v>95.075000000000003</v>
      </c>
      <c r="LF5">
        <f>SOFR3mo_PX[[#This Row],[Column318]]</f>
        <v>95.144999999999996</v>
      </c>
      <c r="LG5">
        <f>SOFR3mo_PX[[#This Row],[Column319]]</f>
        <v>95.1</v>
      </c>
      <c r="LH5">
        <f>SOFR3mo_PX[[#This Row],[Column320]]</f>
        <v>95.09</v>
      </c>
      <c r="LI5">
        <f>SOFR3mo_PX[[#This Row],[Column321]]</f>
        <v>95.06</v>
      </c>
      <c r="LJ5">
        <f>SOFR3mo_PX[[#This Row],[Column322]]</f>
        <v>95.135000000000005</v>
      </c>
      <c r="LK5">
        <f>SOFR3mo_PX[[#This Row],[Column323]]</f>
        <v>95.135000000000005</v>
      </c>
      <c r="LL5">
        <f>SOFR3mo_PX[[#This Row],[Column324]]</f>
        <v>95.18</v>
      </c>
      <c r="LM5">
        <f>SOFR3mo_PX[[#This Row],[Column325]]</f>
        <v>95.17</v>
      </c>
      <c r="LN5">
        <f>SOFR3mo_PX[[#This Row],[Column326]]</f>
        <v>95.185000000000002</v>
      </c>
      <c r="LO5">
        <f>SOFR3mo_PX[[#This Row],[Column327]]</f>
        <v>95.215000000000003</v>
      </c>
      <c r="LP5">
        <f>SOFR3mo_PX[[#This Row],[Column328]]</f>
        <v>95.194999999999993</v>
      </c>
      <c r="LQ5">
        <f>SOFR3mo_PX[[#This Row],[Column329]]</f>
        <v>95.21</v>
      </c>
      <c r="LR5">
        <f>SOFR3mo_PX[[#This Row],[Column330]]</f>
        <v>94.855000000000004</v>
      </c>
      <c r="LS5">
        <f>SOFR3mo_PX[[#This Row],[Column331]]</f>
        <v>94.834999999999994</v>
      </c>
      <c r="LT5">
        <f>SOFR3mo_PX[[#This Row],[Column332]]</f>
        <v>94.85</v>
      </c>
      <c r="LU5">
        <f>SOFR3mo_PX[[#This Row],[Column333]]</f>
        <v>94.864999999999995</v>
      </c>
      <c r="LV5">
        <f>SOFR3mo_PX[[#This Row],[Column334]]</f>
        <v>94.885000000000005</v>
      </c>
      <c r="LW5">
        <f>SOFR3mo_PX[[#This Row],[Column335]]</f>
        <v>94.9</v>
      </c>
      <c r="LX5">
        <f>SOFR3mo_PX[[#This Row],[Column336]]</f>
        <v>94.935000000000002</v>
      </c>
      <c r="LY5">
        <f>SOFR3mo_PX[[#This Row],[Column337]]</f>
        <v>94.954999999999998</v>
      </c>
      <c r="LZ5">
        <f>SOFR3mo_PX[[#This Row],[Column338]]</f>
        <v>94.954999999999998</v>
      </c>
      <c r="MA5">
        <f>SOFR3mo_PX[[#This Row],[Column339]]</f>
        <v>94.93</v>
      </c>
      <c r="MB5">
        <f>SOFR3mo_PX[[#This Row],[Column340]]</f>
        <v>94.935000000000002</v>
      </c>
      <c r="MC5">
        <f>SOFR3mo_PX[[#This Row],[Column341]]</f>
        <v>94.905000000000001</v>
      </c>
      <c r="MD5">
        <f>SOFR3mo_PX[[#This Row],[Column342]]</f>
        <v>94.96</v>
      </c>
      <c r="ME5">
        <f>SOFR3mo_PX[[#This Row],[Column343]]</f>
        <v>94.89</v>
      </c>
      <c r="MF5">
        <f>SOFR3mo_PX[[#This Row],[Column344]]</f>
        <v>94.89</v>
      </c>
      <c r="MG5">
        <f>SOFR3mo_PX[[#This Row],[Column345]]</f>
        <v>94.86</v>
      </c>
      <c r="MH5">
        <f>SOFR3mo_PX[[#This Row],[Column346]]</f>
        <v>94.86</v>
      </c>
      <c r="MI5">
        <f>SOFR3mo_PX[[#This Row],[Column347]]</f>
        <v>94.9</v>
      </c>
      <c r="MJ5">
        <f>SOFR3mo_PX[[#This Row],[Column348]]</f>
        <v>94.9</v>
      </c>
      <c r="MK5">
        <f>SOFR3mo_PX[[#This Row],[Column349]]</f>
        <v>94.94</v>
      </c>
      <c r="ML5">
        <f>SOFR3mo_PX[[#This Row],[Column350]]</f>
        <v>94.97</v>
      </c>
      <c r="MM5">
        <f>SOFR3mo_PX[[#This Row],[Column351]]</f>
        <v>94.95</v>
      </c>
      <c r="MN5">
        <f>SOFR3mo_PX[[#This Row],[Column352]]</f>
        <v>94.95</v>
      </c>
      <c r="MO5">
        <f>SOFR3mo_PX[[#This Row],[Column353]]</f>
        <v>95</v>
      </c>
      <c r="MP5">
        <f>SOFR3mo_PX[[#This Row],[Column354]]</f>
        <v>95.004999999999995</v>
      </c>
      <c r="MQ5">
        <f>SOFR3mo_PX[[#This Row],[Column355]]</f>
        <v>94.96</v>
      </c>
      <c r="MR5">
        <f>SOFR3mo_PX[[#This Row],[Column356]]</f>
        <v>95.105000000000004</v>
      </c>
      <c r="MS5">
        <f>SOFR3mo_PX[[#This Row],[Column357]]</f>
        <v>95.114999999999995</v>
      </c>
      <c r="MT5">
        <f>SOFR3mo_PX[[#This Row],[Column358]]</f>
        <v>95.144999999999996</v>
      </c>
      <c r="MU5">
        <f>SOFR3mo_PX[[#This Row],[Column359]]</f>
        <v>95.17</v>
      </c>
      <c r="MV5">
        <f>SOFR3mo_PX[[#This Row],[Column360]]</f>
        <v>95.17</v>
      </c>
      <c r="MW5">
        <f>SOFR3mo_PX[[#This Row],[Column361]]</f>
        <v>95.12</v>
      </c>
      <c r="MX5">
        <f>SOFR3mo_PX[[#This Row],[Column362]]</f>
        <v>95.185000000000002</v>
      </c>
      <c r="MY5">
        <f>SOFR3mo_PX[[#This Row],[Column363]]</f>
        <v>95.38</v>
      </c>
      <c r="MZ5">
        <f>SOFR3mo_PX[[#This Row],[Column364]]</f>
        <v>95.39</v>
      </c>
      <c r="NA5">
        <f>SOFR3mo_PX[[#This Row],[Column365]]</f>
        <v>95.254999999999995</v>
      </c>
      <c r="NB5">
        <f>SOFR3mo_PX[[#This Row],[Column366]]</f>
        <v>95.295000000000002</v>
      </c>
      <c r="NC5">
        <f>SOFR3mo_PX[[#This Row],[Column367]]</f>
        <v>95.28</v>
      </c>
      <c r="ND5">
        <f>SOFR3mo_PX[[#This Row],[Column368]]</f>
        <v>95.32</v>
      </c>
      <c r="NE5">
        <f>SOFR3mo_PX[[#This Row],[Column369]]</f>
        <v>95.26</v>
      </c>
      <c r="NF5">
        <f>SOFR3mo_PX[[#This Row],[Column370]]</f>
        <v>95.275000000000006</v>
      </c>
      <c r="NG5">
        <f>SOFR3mo_PX[[#This Row],[Column371]]</f>
        <v>95.27</v>
      </c>
      <c r="NH5">
        <f>SOFR3mo_PX[[#This Row],[Column372]]</f>
        <v>95.27</v>
      </c>
      <c r="NI5">
        <f>SOFR3mo_PX[[#This Row],[Column373]]</f>
        <v>95.34</v>
      </c>
      <c r="NJ5">
        <f>SOFR3mo_PX[[#This Row],[Column374]]</f>
        <v>95.33</v>
      </c>
      <c r="NK5">
        <f>SOFR3mo_PX[[#This Row],[Column375]]</f>
        <v>95.46</v>
      </c>
      <c r="NL5">
        <f>SOFR3mo_PX[[#This Row],[Column376]]</f>
        <v>95.575000000000003</v>
      </c>
      <c r="NM5">
        <f>SOFR3mo_PX[[#This Row],[Column377]]</f>
        <v>95.575000000000003</v>
      </c>
      <c r="NN5">
        <f>SOFR3mo_PX[[#This Row],[Column378]]</f>
        <v>95.44</v>
      </c>
      <c r="NO5">
        <f>SOFR3mo_PX[[#This Row],[Column379]]</f>
        <v>95.355000000000004</v>
      </c>
      <c r="NP5">
        <f>SOFR3mo_PX[[#This Row],[Column380]]</f>
        <v>95.334999999999994</v>
      </c>
      <c r="NQ5">
        <f>SOFR3mo_PX[[#This Row],[Column381]]</f>
        <v>95.355000000000004</v>
      </c>
      <c r="NR5">
        <f>SOFR3mo_PX[[#This Row],[Column382]]</f>
        <v>95.34</v>
      </c>
      <c r="NS5">
        <f>SOFR3mo_PX[[#This Row],[Column383]]</f>
        <v>95.33</v>
      </c>
      <c r="NT5">
        <f>SOFR3mo_PX[[#This Row],[Column384]]</f>
        <v>95.38</v>
      </c>
      <c r="NU5">
        <f>SOFR3mo_PX[[#This Row],[Column385]]</f>
        <v>95.42</v>
      </c>
      <c r="NV5">
        <f>SOFR3mo_PX[[#This Row],[Column386]]</f>
        <v>95.484999999999999</v>
      </c>
      <c r="NW5">
        <f>SOFR3mo_PX[[#This Row],[Column387]]</f>
        <v>95.484999999999999</v>
      </c>
      <c r="NX5">
        <f>SOFR3mo_PX[[#This Row],[Column388]]</f>
        <v>95.465000000000003</v>
      </c>
      <c r="NY5">
        <f>SOFR3mo_PX[[#This Row],[Column389]]</f>
        <v>95.504999999999995</v>
      </c>
      <c r="NZ5">
        <f>SOFR3mo_PX[[#This Row],[Column390]]</f>
        <v>95.465000000000003</v>
      </c>
      <c r="OA5">
        <f>SOFR3mo_PX[[#This Row],[Column391]]</f>
        <v>95.504999999999995</v>
      </c>
      <c r="OB5">
        <f>SOFR3mo_PX[[#This Row],[Column392]]</f>
        <v>95.504999999999995</v>
      </c>
      <c r="OC5">
        <f>SOFR3mo_PX[[#This Row],[Column393]]</f>
        <v>95.474999999999994</v>
      </c>
      <c r="OD5">
        <f>SOFR3mo_PX[[#This Row],[Column394]]</f>
        <v>95.444999999999993</v>
      </c>
      <c r="OE5">
        <f>SOFR3mo_PX[[#This Row],[Column395]]</f>
        <v>94.944999999999993</v>
      </c>
      <c r="OF5">
        <f>SOFR3mo_PX[[#This Row],[Column396]]</f>
        <v>94.924999999999997</v>
      </c>
      <c r="OG5">
        <f>SOFR3mo_PX[[#This Row],[Column397]]</f>
        <v>94.92</v>
      </c>
      <c r="OH5">
        <f>SOFR3mo_PX[[#This Row],[Column398]]</f>
        <v>94.965000000000003</v>
      </c>
      <c r="OI5">
        <f>SOFR3mo_PX[[#This Row],[Column399]]</f>
        <v>94.94</v>
      </c>
      <c r="OJ5">
        <f>SOFR3mo_PX[[#This Row],[Column400]]</f>
        <v>94.795000000000002</v>
      </c>
      <c r="OK5">
        <f>SOFR3mo_PX[[#This Row],[Column401]]</f>
        <v>94.805000000000007</v>
      </c>
      <c r="OL5">
        <f>SOFR3mo_PX[[#This Row],[Column402]]</f>
        <v>94.81</v>
      </c>
      <c r="OM5">
        <f>SOFR3mo_PX[[#This Row],[Column403]]</f>
        <v>94.894999999999996</v>
      </c>
      <c r="ON5">
        <f>SOFR3mo_PX[[#This Row],[Column404]]</f>
        <v>94.885000000000005</v>
      </c>
      <c r="OO5">
        <f>SOFR3mo_PX[[#This Row],[Column405]]</f>
        <v>94.894999999999996</v>
      </c>
      <c r="OP5">
        <f>SOFR3mo_PX[[#This Row],[Column406]]</f>
        <v>94.86</v>
      </c>
      <c r="OQ5">
        <f>SOFR3mo_PX[[#This Row],[Column407]]</f>
        <v>94.91</v>
      </c>
      <c r="OR5">
        <f>SOFR3mo_PX[[#This Row],[Column408]]</f>
        <v>94.82</v>
      </c>
      <c r="OS5">
        <f>SOFR3mo_PX[[#This Row],[Column409]]</f>
        <v>94.84</v>
      </c>
      <c r="OT5">
        <f>SOFR3mo_PX[[#This Row],[Column410]]</f>
        <v>94.775000000000006</v>
      </c>
      <c r="OU5">
        <f>SOFR3mo_PX[[#This Row],[Column411]]</f>
        <v>94.72</v>
      </c>
      <c r="OV5">
        <f>SOFR3mo_PX[[#This Row],[Column412]]</f>
        <v>94.71</v>
      </c>
      <c r="OW5">
        <f>SOFR3mo_PX[[#This Row],[Column413]]</f>
        <v>94.73</v>
      </c>
      <c r="OX5">
        <f>SOFR3mo_PX[[#This Row],[Column414]]</f>
        <v>94.73</v>
      </c>
      <c r="OY5">
        <f>SOFR3mo_PX[[#This Row],[Column415]]</f>
        <v>94.754999999999995</v>
      </c>
      <c r="OZ5">
        <f>SOFR3mo_PX[[#This Row],[Column416]]</f>
        <v>94.75</v>
      </c>
      <c r="PA5">
        <f>SOFR3mo_PX[[#This Row],[Column417]]</f>
        <v>94.76</v>
      </c>
      <c r="PB5">
        <f>SOFR3mo_PX[[#This Row],[Column418]]</f>
        <v>94.775000000000006</v>
      </c>
      <c r="PC5">
        <f>SOFR3mo_PX[[#This Row],[Column419]]</f>
        <v>94.745000000000005</v>
      </c>
      <c r="PD5">
        <f>SOFR3mo_PX[[#This Row],[Column420]]</f>
        <v>94.795000000000002</v>
      </c>
      <c r="PE5">
        <f>SOFR3mo_PX[[#This Row],[Column421]]</f>
        <v>94.65</v>
      </c>
      <c r="PF5">
        <f>SOFR3mo_PX[[#This Row],[Column422]]</f>
        <v>94.66</v>
      </c>
      <c r="PG5">
        <f>SOFR3mo_PX[[#This Row],[Column423]]</f>
        <v>94.665000000000006</v>
      </c>
      <c r="PH5">
        <f>SOFR3mo_PX[[#This Row],[Column424]]</f>
        <v>94.715000000000003</v>
      </c>
      <c r="PI5">
        <f>SOFR3mo_PX[[#This Row],[Column425]]</f>
        <v>94.74</v>
      </c>
      <c r="PJ5">
        <f>SOFR3mo_PX[[#This Row],[Column426]]</f>
        <v>94.734999999999999</v>
      </c>
      <c r="PK5">
        <f>SOFR3mo_PX[[#This Row],[Column427]]</f>
        <v>94.775000000000006</v>
      </c>
      <c r="PL5">
        <f>SOFR3mo_PX[[#This Row],[Column428]]</f>
        <v>94.685000000000002</v>
      </c>
      <c r="PM5">
        <f>SOFR3mo_PX[[#This Row],[Column429]]</f>
        <v>94.68</v>
      </c>
      <c r="PN5">
        <f>SOFR3mo_PX[[#This Row],[Column430]]</f>
        <v>94.625</v>
      </c>
      <c r="PO5">
        <f>SOFR3mo_PX[[#This Row],[Column431]]</f>
        <v>94.655000000000001</v>
      </c>
      <c r="PP5">
        <f>SOFR3mo_PX[[#This Row],[Column432]]</f>
        <v>94.674999999999997</v>
      </c>
      <c r="PQ5">
        <f>SOFR3mo_PX[[#This Row],[Column433]]</f>
        <v>94.665000000000006</v>
      </c>
      <c r="PR5">
        <f>SOFR3mo_PX[[#This Row],[Column434]]</f>
        <v>94.62</v>
      </c>
      <c r="PS5">
        <f>SOFR3mo_PX[[#This Row],[Column435]]</f>
        <v>94.635000000000005</v>
      </c>
      <c r="PT5">
        <f>SOFR3mo_PX[[#This Row],[Column436]]</f>
        <v>94.65</v>
      </c>
      <c r="PU5">
        <f>SOFR3mo_PX[[#This Row],[Column437]]</f>
        <v>94.665000000000006</v>
      </c>
      <c r="PV5">
        <f>SOFR3mo_PX[[#This Row],[Column438]]</f>
        <v>94.625</v>
      </c>
      <c r="PW5">
        <f>SOFR3mo_PX[[#This Row],[Column439]]</f>
        <v>94.58</v>
      </c>
      <c r="PX5">
        <f>SOFR3mo_PX[[#This Row],[Column440]]</f>
        <v>94.575000000000003</v>
      </c>
      <c r="PY5">
        <f>SOFR3mo_PX[[#This Row],[Column441]]</f>
        <v>94.644999999999996</v>
      </c>
      <c r="PZ5">
        <f>SOFR3mo_PX[[#This Row],[Column442]]</f>
        <v>94.67</v>
      </c>
      <c r="QA5">
        <f>SOFR3mo_PX[[#This Row],[Column443]]</f>
        <v>94.65</v>
      </c>
      <c r="QB5">
        <f>SOFR3mo_PX[[#This Row],[Column444]]</f>
        <v>94.694999999999993</v>
      </c>
      <c r="QC5">
        <f>SOFR3mo_PX[[#This Row],[Column445]]</f>
        <v>94.715000000000003</v>
      </c>
      <c r="QD5">
        <f>SOFR3mo_PX[[#This Row],[Column446]]</f>
        <v>94.724999999999994</v>
      </c>
      <c r="QE5">
        <f>SOFR3mo_PX[[#This Row],[Column447]]</f>
        <v>94.625</v>
      </c>
      <c r="QF5">
        <f>SOFR3mo_PX[[#This Row],[Column448]]</f>
        <v>94.69</v>
      </c>
      <c r="QG5">
        <f>SOFR3mo_PX[[#This Row],[Column449]]</f>
        <v>94.67</v>
      </c>
      <c r="QH5">
        <f>SOFR3mo_PX[[#This Row],[Column450]]</f>
        <v>94.58</v>
      </c>
      <c r="QI5">
        <f>SOFR3mo_PX[[#This Row],[Column451]]</f>
        <v>94.584999999999994</v>
      </c>
      <c r="QJ5">
        <f>SOFR3mo_PX[[#This Row],[Column452]]</f>
        <v>94.625</v>
      </c>
      <c r="QK5">
        <f>SOFR3mo_PX[[#This Row],[Column453]]</f>
        <v>94.62</v>
      </c>
      <c r="QL5">
        <f>SOFR3mo_PX[[#This Row],[Column454]]</f>
        <v>94.564999999999998</v>
      </c>
      <c r="QM5">
        <f>SOFR3mo_PX[[#This Row],[Column455]]</f>
        <v>94.61</v>
      </c>
      <c r="QN5">
        <f>SOFR3mo_PX[[#This Row],[Column456]]</f>
        <v>94.61</v>
      </c>
      <c r="QO5">
        <f>SOFR3mo_PX[[#This Row],[Column457]]</f>
        <v>94.61</v>
      </c>
      <c r="QP5">
        <f>SOFR3mo_PX[[#This Row],[Column458]]</f>
        <v>94.594999999999999</v>
      </c>
      <c r="QQ5">
        <f>SOFR3mo_PX[[#This Row],[Column459]]</f>
        <v>94.584999999999994</v>
      </c>
      <c r="QR5">
        <f>SOFR3mo_PX[[#This Row],[Column460]]</f>
        <v>94.53</v>
      </c>
      <c r="QS5">
        <f>SOFR3mo_PX[[#This Row],[Column461]]</f>
        <v>94.534999999999997</v>
      </c>
      <c r="QT5">
        <f>SOFR3mo_PX[[#This Row],[Column462]]</f>
        <v>94.55</v>
      </c>
      <c r="QU5">
        <f>SOFR3mo_PX[[#This Row],[Column463]]</f>
        <v>94.55</v>
      </c>
      <c r="QV5">
        <f>SOFR3mo_PX[[#This Row],[Column464]]</f>
        <v>94.545000000000002</v>
      </c>
      <c r="QW5">
        <f>SOFR3mo_PX[[#This Row],[Column465]]</f>
        <v>94.545000000000002</v>
      </c>
      <c r="QX5">
        <f>SOFR3mo_PX[[#This Row],[Column466]]</f>
        <v>94.54</v>
      </c>
      <c r="QY5">
        <f>SOFR3mo_PX[[#This Row],[Column467]]</f>
        <v>94.555000000000007</v>
      </c>
      <c r="QZ5">
        <f>SOFR3mo_PX[[#This Row],[Column468]]</f>
        <v>94.555000000000007</v>
      </c>
      <c r="RA5">
        <f>SOFR3mo_PX[[#This Row],[Column469]]</f>
        <v>94.545000000000002</v>
      </c>
      <c r="RB5">
        <f>SOFR3mo_PX[[#This Row],[Column470]]</f>
        <v>94.555000000000007</v>
      </c>
      <c r="RC5">
        <f>SOFR3mo_PX[[#This Row],[Column471]]</f>
        <v>94.605000000000004</v>
      </c>
      <c r="RD5">
        <f>SOFR3mo_PX[[#This Row],[Column472]]</f>
        <v>94.605000000000004</v>
      </c>
      <c r="RE5">
        <f>SOFR3mo_PX[[#This Row],[Column473]]</f>
        <v>94.6</v>
      </c>
      <c r="RF5">
        <f>SOFR3mo_PX[[#This Row],[Column474]]</f>
        <v>94.575000000000003</v>
      </c>
      <c r="RG5">
        <f>SOFR3mo_PX[[#This Row],[Column475]]</f>
        <v>94.564999999999998</v>
      </c>
      <c r="RH5">
        <f>SOFR3mo_PX[[#This Row],[Column476]]</f>
        <v>94.504999999999995</v>
      </c>
      <c r="RI5">
        <f>SOFR3mo_PX[[#This Row],[Column477]]</f>
        <v>94.51</v>
      </c>
      <c r="RJ5">
        <f>SOFR3mo_PX[[#This Row],[Column478]]</f>
        <v>94.555000000000007</v>
      </c>
      <c r="RK5">
        <f>SOFR3mo_PX[[#This Row],[Column479]]</f>
        <v>94.594999999999999</v>
      </c>
      <c r="RL5">
        <f>SOFR3mo_PX[[#This Row],[Column480]]</f>
        <v>94.564999999999998</v>
      </c>
      <c r="RM5">
        <f>SOFR3mo_PX[[#This Row],[Column481]]</f>
        <v>94.584999999999994</v>
      </c>
      <c r="RN5">
        <f>SOFR3mo_PX[[#This Row],[Column482]]</f>
        <v>94.62</v>
      </c>
      <c r="RO5">
        <f>SOFR3mo_PX[[#This Row],[Column483]]</f>
        <v>94.605000000000004</v>
      </c>
      <c r="RP5">
        <f>SOFR3mo_PX[[#This Row],[Column484]]</f>
        <v>94.584999999999994</v>
      </c>
      <c r="RQ5">
        <f>SOFR3mo_PX[[#This Row],[Column485]]</f>
        <v>94.605000000000004</v>
      </c>
      <c r="RR5">
        <f>SOFR3mo_PX[[#This Row],[Column486]]</f>
        <v>94.584999999999994</v>
      </c>
      <c r="RS5">
        <f>SOFR3mo_PX[[#This Row],[Column487]]</f>
        <v>94.614999999999995</v>
      </c>
      <c r="RT5">
        <f>SOFR3mo_PX[[#This Row],[Column488]]</f>
        <v>94.644999999999996</v>
      </c>
      <c r="RU5">
        <f>SOFR3mo_PX[[#This Row],[Column489]]</f>
        <v>94.644999999999996</v>
      </c>
      <c r="RV5">
        <f>SOFR3mo_PX[[#This Row],[Column490]]</f>
        <v>94.65</v>
      </c>
      <c r="RW5">
        <f>SOFR3mo_PX[[#This Row],[Column491]]</f>
        <v>94.655000000000001</v>
      </c>
      <c r="RX5">
        <f>SOFR3mo_PX[[#This Row],[Column492]]</f>
        <v>94.655000000000001</v>
      </c>
      <c r="RY5">
        <f>SOFR3mo_PX[[#This Row],[Column493]]</f>
        <v>94.62</v>
      </c>
      <c r="RZ5">
        <f>SOFR3mo_PX[[#This Row],[Column494]]</f>
        <v>94.64</v>
      </c>
      <c r="SA5">
        <f>SOFR3mo_PX[[#This Row],[Column495]]</f>
        <v>94.62</v>
      </c>
      <c r="SB5">
        <f>SOFR3mo_PX[[#This Row],[Column496]]</f>
        <v>94.625</v>
      </c>
      <c r="SC5">
        <f>SOFR3mo_PX[[#This Row],[Column497]]</f>
        <v>94.62</v>
      </c>
      <c r="SD5">
        <f>SOFR3mo_PX[[#This Row],[Column498]]</f>
        <v>94.594999999999999</v>
      </c>
      <c r="SE5">
        <f>SOFR3mo_PX[[#This Row],[Column499]]</f>
        <v>94.62</v>
      </c>
      <c r="SF5">
        <f>SOFR3mo_PX[[#This Row],[Column500]]</f>
        <v>94.59</v>
      </c>
      <c r="SG5">
        <f>SOFR3mo_PX[[#This Row],[Column501]]</f>
        <v>94.62</v>
      </c>
      <c r="SH5">
        <f>SOFR3mo_PX[[#This Row],[Column502]]</f>
        <v>94.644999999999996</v>
      </c>
      <c r="SI5">
        <f>SOFR3mo_PX[[#This Row],[Column503]]</f>
        <v>94.64</v>
      </c>
      <c r="SJ5">
        <f>SOFR3mo_PX[[#This Row],[Column504]]</f>
        <v>94.68</v>
      </c>
      <c r="SK5">
        <f>SOFR3mo_PX[[#This Row],[Column505]]</f>
        <v>94.68</v>
      </c>
      <c r="SL5">
        <f>SOFR3mo_PX[[#This Row],[Column506]]</f>
        <v>94.694999999999993</v>
      </c>
      <c r="SM5">
        <f>SOFR3mo_PX[[#This Row],[Column507]]</f>
        <v>94.68</v>
      </c>
      <c r="SN5">
        <f>SOFR3mo_PX[[#This Row],[Column508]]</f>
        <v>94.745000000000005</v>
      </c>
      <c r="SO5">
        <f>SOFR3mo_PX[[#This Row],[Column509]]</f>
        <v>94.68</v>
      </c>
      <c r="SP5">
        <f>SOFR3mo_PX[[#This Row],[Column510]]</f>
        <v>94.594999999999999</v>
      </c>
      <c r="SQ5">
        <f>SOFR3mo_PX[[#This Row],[Column511]]</f>
        <v>94.635000000000005</v>
      </c>
      <c r="SR5">
        <f>SOFR3mo_PX[[#This Row],[Column512]]</f>
        <v>94.614999999999995</v>
      </c>
      <c r="SS5">
        <f>SOFR3mo_PX[[#This Row],[Column513]]</f>
        <v>94.575000000000003</v>
      </c>
      <c r="ST5">
        <f>SOFR3mo_PX[[#This Row],[Column514]]</f>
        <v>94.635000000000005</v>
      </c>
      <c r="SU5">
        <f>SOFR3mo_PX[[#This Row],[Column515]]</f>
        <v>94.62</v>
      </c>
      <c r="SV5">
        <f>SOFR3mo_PX[[#This Row],[Column516]]</f>
        <v>94.62</v>
      </c>
      <c r="SW5">
        <f>SOFR3mo_PX[[#This Row],[Column517]]</f>
        <v>94.64</v>
      </c>
      <c r="SX5">
        <f>SOFR3mo_PX[[#This Row],[Column518]]</f>
        <v>94.605000000000004</v>
      </c>
      <c r="SY5">
        <f>SOFR3mo_PX[[#This Row],[Column519]]</f>
        <v>94.724999999999994</v>
      </c>
      <c r="SZ5">
        <f>SOFR3mo_PX[[#This Row],[Column520]]</f>
        <v>94.71</v>
      </c>
      <c r="TA5">
        <f>SOFR3mo_PX[[#This Row],[Column521]]</f>
        <v>94.77</v>
      </c>
      <c r="TB5">
        <f>SOFR3mo_PX[[#This Row],[Column522]]</f>
        <v>94.784999999999997</v>
      </c>
      <c r="TC5">
        <f>SOFR3mo_PX[[#This Row],[Column523]]</f>
        <v>94.74</v>
      </c>
      <c r="TD5">
        <f>SOFR3mo_PX[[#This Row],[Column524]]</f>
        <v>94.79</v>
      </c>
      <c r="TE5">
        <f>SOFR3mo_PX[[#This Row],[Column525]]</f>
        <v>94.67</v>
      </c>
      <c r="TF5">
        <f>SOFR3mo_PX[[#This Row],[Column526]]</f>
        <v>94.69</v>
      </c>
      <c r="TG5">
        <f>SOFR3mo_PX[[#This Row],[Column527]]</f>
        <v>94.69</v>
      </c>
      <c r="TH5">
        <f>SOFR3mo_PX[[#This Row],[Column528]]</f>
        <v>94.71</v>
      </c>
      <c r="TI5">
        <f>SOFR3mo_PX[[#This Row],[Column529]]</f>
        <v>94.7</v>
      </c>
      <c r="TJ5">
        <f>SOFR3mo_PX[[#This Row],[Column530]]</f>
        <v>94.73</v>
      </c>
      <c r="TK5">
        <f>SOFR3mo_PX[[#This Row],[Column531]]</f>
        <v>94.734999999999999</v>
      </c>
      <c r="TL5">
        <f>SOFR3mo_PX[[#This Row],[Column532]]</f>
        <v>94.76</v>
      </c>
      <c r="TM5">
        <f>SOFR3mo_PX[[#This Row],[Column533]]</f>
        <v>94.795000000000002</v>
      </c>
      <c r="TN5">
        <f>SOFR3mo_PX[[#This Row],[Column534]]</f>
        <v>94.78</v>
      </c>
      <c r="TO5">
        <f>SOFR3mo_PX[[#This Row],[Column535]]</f>
        <v>94.784999999999997</v>
      </c>
      <c r="TP5">
        <f>SOFR3mo_PX[[#This Row],[Column536]]</f>
        <v>94.784999999999997</v>
      </c>
      <c r="TQ5">
        <f>SOFR3mo_PX[[#This Row],[Column537]]</f>
        <v>94.77</v>
      </c>
      <c r="TR5">
        <f>SOFR3mo_PX[[#This Row],[Column538]]</f>
        <v>94.875</v>
      </c>
      <c r="TS5">
        <f>SOFR3mo_PX[[#This Row],[Column539]]</f>
        <v>94.83</v>
      </c>
      <c r="TT5">
        <f>SOFR3mo_PX[[#This Row],[Column540]]</f>
        <v>94.775000000000006</v>
      </c>
      <c r="TU5">
        <f>SOFR3mo_PX[[#This Row],[Column541]]</f>
        <v>94.754999999999995</v>
      </c>
      <c r="TV5">
        <f>SOFR3mo_PX[[#This Row],[Column542]]</f>
        <v>94.754999999999995</v>
      </c>
      <c r="TW5">
        <f>SOFR3mo_PX[[#This Row],[Column543]]</f>
        <v>94.784999999999997</v>
      </c>
      <c r="TX5">
        <f>SOFR3mo_PX[[#This Row],[Column544]]</f>
        <v>94.885000000000005</v>
      </c>
      <c r="TY5">
        <f>SOFR3mo_PX[[#This Row],[Column545]]</f>
        <v>94.96</v>
      </c>
      <c r="TZ5">
        <f>SOFR3mo_PX[[#This Row],[Column546]]</f>
        <v>94.984999999999999</v>
      </c>
      <c r="UA5">
        <f>SOFR3mo_PX[[#This Row],[Column547]]</f>
        <v>95.04</v>
      </c>
      <c r="UB5">
        <f>SOFR3mo_PX[[#This Row],[Column548]]</f>
        <v>95.02</v>
      </c>
      <c r="UC5">
        <f>SOFR3mo_PX[[#This Row],[Column549]]</f>
        <v>95.114999999999995</v>
      </c>
      <c r="UD5">
        <f>SOFR3mo_PX[[#This Row],[Column550]]</f>
        <v>95.15</v>
      </c>
      <c r="UE5">
        <f>SOFR3mo_PX[[#This Row],[Column551]]</f>
        <v>95.21</v>
      </c>
      <c r="UF5">
        <f>SOFR3mo_PX[[#This Row],[Column552]]</f>
        <v>95.224999999999994</v>
      </c>
      <c r="UG5">
        <f>SOFR3mo_PX[[#This Row],[Column553]]</f>
        <v>95.305000000000007</v>
      </c>
      <c r="UH5">
        <f>SOFR3mo_PX[[#This Row],[Column554]]</f>
        <v>95.32</v>
      </c>
      <c r="UI5">
        <f>SOFR3mo_PX[[#This Row],[Column555]]</f>
        <v>95.224999999999994</v>
      </c>
      <c r="UJ5">
        <f>SOFR3mo_PX[[#This Row],[Column556]]</f>
        <v>95.24</v>
      </c>
      <c r="UK5">
        <f>SOFR3mo_PX[[#This Row],[Column557]]</f>
        <v>95.31</v>
      </c>
      <c r="UL5">
        <f>SOFR3mo_PX[[#This Row],[Column558]]</f>
        <v>95.474999999999994</v>
      </c>
      <c r="UM5">
        <f>SOFR3mo_PX[[#This Row],[Column559]]</f>
        <v>95.245000000000005</v>
      </c>
      <c r="UN5">
        <f>SOFR3mo_PX[[#This Row],[Column560]]</f>
        <v>95.254999999999995</v>
      </c>
      <c r="UO5">
        <f>SOFR3mo_PX[[#This Row],[Column561]]</f>
        <v>95.094999999999999</v>
      </c>
      <c r="UP5">
        <f>SOFR3mo_PX[[#This Row],[Column562]]</f>
        <v>95.155000000000001</v>
      </c>
      <c r="UQ5">
        <f>SOFR3mo_PX[[#This Row],[Column563]]</f>
        <v>95.14</v>
      </c>
      <c r="UR5">
        <f>SOFR3mo_PX[[#This Row],[Column564]]</f>
        <v>95.3</v>
      </c>
      <c r="US5">
        <f>SOFR3mo_PX[[#This Row],[Column565]]</f>
        <v>95.314999999999998</v>
      </c>
      <c r="UT5">
        <f>SOFR3mo_PX[[#This Row],[Column566]]</f>
        <v>95.144999999999996</v>
      </c>
      <c r="UU5">
        <f>SOFR3mo_PX[[#This Row],[Column567]]</f>
        <v>95.12</v>
      </c>
      <c r="UV5">
        <f>SOFR3mo_PX[[#This Row],[Column568]]</f>
        <v>95.144999999999996</v>
      </c>
      <c r="UW5">
        <f>SOFR3mo_PX[[#This Row],[Column569]]</f>
        <v>95.084999999999994</v>
      </c>
      <c r="UX5">
        <f>SOFR3mo_PX[[#This Row],[Column570]]</f>
        <v>95.135000000000005</v>
      </c>
      <c r="UY5">
        <f>SOFR3mo_PX[[#This Row],[Column571]]</f>
        <v>95.16</v>
      </c>
      <c r="UZ5">
        <f>SOFR3mo_PX[[#This Row],[Column572]]</f>
        <v>95.224999999999994</v>
      </c>
      <c r="VA5">
        <f>SOFR3mo_PX[[#This Row],[Column573]]</f>
        <v>95.375</v>
      </c>
      <c r="VB5">
        <f>SOFR3mo_PX[[#This Row],[Column574]]</f>
        <v>95.375</v>
      </c>
      <c r="VC5">
        <f>SOFR3mo_PX[[#This Row],[Column575]]</f>
        <v>95.305000000000007</v>
      </c>
      <c r="VD5">
        <f>SOFR3mo_PX[[#This Row],[Column576]]</f>
        <v>95.305000000000007</v>
      </c>
      <c r="VE5">
        <f>SOFR3mo_PX[[#This Row],[Column577]]</f>
        <v>95.35</v>
      </c>
      <c r="VF5">
        <f>SOFR3mo_PX[[#This Row],[Column578]]</f>
        <v>95.54</v>
      </c>
      <c r="VG5">
        <f>SOFR3mo_PX[[#This Row],[Column579]]</f>
        <v>95.635000000000005</v>
      </c>
      <c r="VH5">
        <f>SOFR3mo_PX[[#This Row],[Column580]]</f>
        <v>95.55</v>
      </c>
      <c r="VI5">
        <f>SOFR3mo_PX[[#This Row],[Column581]]</f>
        <v>95.38</v>
      </c>
      <c r="VJ5">
        <f>SOFR3mo_PX[[#This Row],[Column582]]</f>
        <v>95.394999999999996</v>
      </c>
      <c r="VK5">
        <f>SOFR3mo_PX[[#This Row],[Column583]]</f>
        <v>95.4</v>
      </c>
      <c r="VL5">
        <f>SOFR3mo_PX[[#This Row],[Column584]]</f>
        <v>95.44</v>
      </c>
      <c r="VM5">
        <f>SOFR3mo_PX[[#This Row],[Column585]]</f>
        <v>95.484999999999999</v>
      </c>
      <c r="VN5">
        <f>SOFR3mo_PX[[#This Row],[Column586]]</f>
        <v>95.545000000000002</v>
      </c>
      <c r="VO5">
        <f>SOFR3mo_PX[[#This Row],[Column587]]</f>
        <v>95.784999999999997</v>
      </c>
      <c r="VP5">
        <f>SOFR3mo_PX[[#This Row],[Column588]]</f>
        <v>95.76</v>
      </c>
      <c r="VQ5">
        <f>SOFR3mo_PX[[#This Row],[Column589]]</f>
        <v>95.504999999999995</v>
      </c>
      <c r="VR5">
        <f>SOFR3mo_PX[[#This Row],[Column590]]</f>
        <v>95.4</v>
      </c>
      <c r="VS5">
        <f>SOFR3mo_PX[[#This Row],[Column591]]</f>
        <v>95.83</v>
      </c>
      <c r="VT5">
        <f>SOFR3mo_PX[[#This Row],[Column592]]</f>
        <v>95.96</v>
      </c>
      <c r="VU5">
        <f>SOFR3mo_PX[[#This Row],[Column593]]</f>
        <v>95.614999999999995</v>
      </c>
      <c r="VV5">
        <f>SOFR3mo_PX[[#This Row],[Column594]]</f>
        <v>95.984999999999999</v>
      </c>
      <c r="VW5">
        <f>SOFR3mo_PX[[#This Row],[Column595]]</f>
        <v>95.334999999999994</v>
      </c>
      <c r="VX5">
        <f>SOFR3mo_PX[[#This Row],[Column596]]</f>
        <v>95.58</v>
      </c>
      <c r="VY5">
        <f>SOFR3mo_PX[[#This Row],[Column597]]</f>
        <v>94.715000000000003</v>
      </c>
      <c r="VZ5">
        <f>SOFR3mo_PX[[#This Row],[Column598]]</f>
        <v>94.435000000000002</v>
      </c>
      <c r="WA5">
        <f>SOFR3mo_PX[[#This Row],[Column599]]</f>
        <v>94.355000000000004</v>
      </c>
      <c r="WB5">
        <f>SOFR3mo_PX[[#This Row],[Column600]]</f>
        <v>94.4</v>
      </c>
      <c r="WC5">
        <f>SOFR3mo_PX[[#This Row],[Column601]]</f>
        <v>94.57</v>
      </c>
      <c r="WD5">
        <f>SOFR3mo_PX[[#This Row],[Column602]]</f>
        <v>94.594999999999999</v>
      </c>
      <c r="WE5">
        <f>SOFR3mo_PX[[#This Row],[Column603]]</f>
        <v>94.594999999999999</v>
      </c>
      <c r="WF5">
        <f>SOFR3mo_PX[[#This Row],[Column604]]</f>
        <v>94.584999999999994</v>
      </c>
      <c r="WG5">
        <f>SOFR3mo_PX[[#This Row],[Column605]]</f>
        <v>94.625</v>
      </c>
      <c r="WH5">
        <f>SOFR3mo_PX[[#This Row],[Column606]]</f>
        <v>94.63</v>
      </c>
      <c r="WI5">
        <f>SOFR3mo_PX[[#This Row],[Column607]]</f>
        <v>94.63</v>
      </c>
      <c r="WJ5">
        <f>SOFR3mo_PX[[#This Row],[Column608]]</f>
        <v>94.665000000000006</v>
      </c>
      <c r="WK5">
        <f>SOFR3mo_PX[[#This Row],[Column609]]</f>
        <v>94.64</v>
      </c>
      <c r="WL5">
        <f>SOFR3mo_PX[[#This Row],[Column610]]</f>
        <v>94.655000000000001</v>
      </c>
      <c r="WM5">
        <f>SOFR3mo_PX[[#This Row],[Column611]]</f>
        <v>94.72</v>
      </c>
      <c r="WN5">
        <f>SOFR3mo_PX[[#This Row],[Column612]]</f>
        <v>94.72</v>
      </c>
      <c r="WO5">
        <f>SOFR3mo_PX[[#This Row],[Column613]]</f>
        <v>94.78</v>
      </c>
      <c r="WP5">
        <f>SOFR3mo_PX[[#This Row],[Column614]]</f>
        <v>94.765000000000001</v>
      </c>
      <c r="WQ5">
        <f>SOFR3mo_PX[[#This Row],[Column615]]</f>
        <v>94.724999999999994</v>
      </c>
      <c r="WR5">
        <f>SOFR3mo_PX[[#This Row],[Column616]]</f>
        <v>94.795000000000002</v>
      </c>
      <c r="WS5">
        <f>SOFR3mo_PX[[#This Row],[Column617]]</f>
        <v>94.82</v>
      </c>
      <c r="WT5">
        <f>SOFR3mo_PX[[#This Row],[Column618]]</f>
        <v>94.834999999999994</v>
      </c>
      <c r="WU5">
        <f>SOFR3mo_PX[[#This Row],[Column619]]</f>
        <v>94.85</v>
      </c>
      <c r="WV5">
        <f>SOFR3mo_PX[[#This Row],[Column620]]</f>
        <v>94.844999999999999</v>
      </c>
      <c r="WW5">
        <f>SOFR3mo_PX[[#This Row],[Column621]]</f>
        <v>94.88</v>
      </c>
      <c r="WX5">
        <f>SOFR3mo_PX[[#This Row],[Column622]]</f>
        <v>94.99</v>
      </c>
      <c r="WY5">
        <f>SOFR3mo_PX[[#This Row],[Column623]]</f>
        <v>95.14</v>
      </c>
      <c r="WZ5">
        <f>SOFR3mo_PX[[#This Row],[Column624]]</f>
        <v>95.125</v>
      </c>
      <c r="XA5">
        <f>SOFR3mo_PX[[#This Row],[Column625]]</f>
        <v>95.105000000000004</v>
      </c>
      <c r="XB5">
        <f>SOFR3mo_PX[[#This Row],[Column626]]</f>
        <v>95.08</v>
      </c>
      <c r="XC5">
        <f>SOFR3mo_PX[[#This Row],[Column627]]</f>
        <v>95.11</v>
      </c>
      <c r="XD5">
        <f>SOFR3mo_PX[[#This Row],[Column628]]</f>
        <v>95.114999999999995</v>
      </c>
      <c r="XE5">
        <f>SOFR3mo_PX[[#This Row],[Column629]]</f>
        <v>95.14</v>
      </c>
      <c r="XF5">
        <f>SOFR3mo_PX[[#This Row],[Column630]]</f>
        <v>95.094999999999999</v>
      </c>
      <c r="XG5">
        <f>SOFR3mo_PX[[#This Row],[Column631]]</f>
        <v>95.08</v>
      </c>
      <c r="XH5">
        <f>SOFR3mo_PX[[#This Row],[Column632]]</f>
        <v>95.11</v>
      </c>
      <c r="XI5">
        <f>SOFR3mo_PX[[#This Row],[Column633]]</f>
        <v>95.13</v>
      </c>
      <c r="XJ5">
        <f>SOFR3mo_PX[[#This Row],[Column634]]</f>
        <v>95.165000000000006</v>
      </c>
      <c r="XK5">
        <f>SOFR3mo_PX[[#This Row],[Column635]]</f>
        <v>95.12</v>
      </c>
      <c r="XL5">
        <f>SOFR3mo_PX[[#This Row],[Column636]]</f>
        <v>95.084999999999994</v>
      </c>
      <c r="XM5">
        <f>SOFR3mo_PX[[#This Row],[Column637]]</f>
        <v>95.084999999999994</v>
      </c>
      <c r="XN5">
        <f>SOFR3mo_PX[[#This Row],[Column638]]</f>
        <v>95.12</v>
      </c>
      <c r="XO5">
        <f>SOFR3mo_PX[[#This Row],[Column639]]</f>
        <v>95.08</v>
      </c>
      <c r="XP5">
        <f>SOFR3mo_PX[[#This Row],[Column640]]</f>
        <v>95.084999999999994</v>
      </c>
      <c r="XQ5">
        <f>SOFR3mo_PX[[#This Row],[Column641]]</f>
        <v>95.1</v>
      </c>
      <c r="XR5">
        <f>SOFR3mo_PX[[#This Row],[Column642]]</f>
        <v>95.064999999999998</v>
      </c>
      <c r="XS5">
        <f>SOFR3mo_PX[[#This Row],[Column643]]</f>
        <v>94.98</v>
      </c>
      <c r="XT5">
        <f>SOFR3mo_PX[[#This Row],[Column644]]</f>
        <v>95.03</v>
      </c>
      <c r="XU5">
        <f>SOFR3mo_PX[[#This Row],[Column645]]</f>
        <v>95.04</v>
      </c>
      <c r="XV5">
        <f>SOFR3mo_PX[[#This Row],[Column646]]</f>
        <v>95.04</v>
      </c>
      <c r="XW5">
        <f>SOFR3mo_PX[[#This Row],[Column647]]</f>
        <v>95.04</v>
      </c>
      <c r="XX5">
        <f>SOFR3mo_PX[[#This Row],[Column648]]</f>
        <v>95.075000000000003</v>
      </c>
      <c r="XY5">
        <f>SOFR3mo_PX[[#This Row],[Column649]]</f>
        <v>95.075000000000003</v>
      </c>
      <c r="XZ5">
        <f>SOFR3mo_PX[[#This Row],[Column650]]</f>
        <v>95.04</v>
      </c>
      <c r="YA5">
        <f>SOFR3mo_PX[[#This Row],[Column651]]</f>
        <v>95.125</v>
      </c>
      <c r="YB5">
        <f>SOFR3mo_PX[[#This Row],[Column652]]</f>
        <v>95.125</v>
      </c>
      <c r="YC5">
        <f>SOFR3mo_PX[[#This Row],[Column653]]</f>
        <v>95.15</v>
      </c>
      <c r="YD5">
        <f>SOFR3mo_PX[[#This Row],[Column654]]</f>
        <v>95.2</v>
      </c>
      <c r="YE5">
        <f>SOFR3mo_PX[[#This Row],[Column655]]</f>
        <v>95.155000000000001</v>
      </c>
      <c r="YF5">
        <f>SOFR3mo_PX[[#This Row],[Column656]]</f>
        <v>95.155000000000001</v>
      </c>
      <c r="YG5">
        <f>SOFR3mo_PX[[#This Row],[Column657]]</f>
        <v>95.194999999999993</v>
      </c>
      <c r="YH5">
        <f>SOFR3mo_PX[[#This Row],[Column658]]</f>
        <v>95.144999999999996</v>
      </c>
      <c r="YI5">
        <f>SOFR3mo_PX[[#This Row],[Column659]]</f>
        <v>95.18</v>
      </c>
      <c r="YJ5">
        <f>SOFR3mo_PX[[#This Row],[Column660]]</f>
        <v>95.17</v>
      </c>
      <c r="YK5">
        <f>SOFR3mo_PX[[#This Row],[Column661]]</f>
        <v>95.055000000000007</v>
      </c>
      <c r="YL5">
        <f>SOFR3mo_PX[[#This Row],[Column662]]</f>
        <v>95.084999999999994</v>
      </c>
      <c r="YM5">
        <f>SOFR3mo_PX[[#This Row],[Column663]]</f>
        <v>95.09</v>
      </c>
      <c r="YN5">
        <f>SOFR3mo_PX[[#This Row],[Column664]]</f>
        <v>95.114999999999995</v>
      </c>
      <c r="YO5">
        <f>SOFR3mo_PX[[#This Row],[Column665]]</f>
        <v>95.07</v>
      </c>
      <c r="YP5">
        <f>SOFR3mo_PX[[#This Row],[Column666]]</f>
        <v>95.045000000000002</v>
      </c>
      <c r="YQ5">
        <f>SOFR3mo_PX[[#This Row],[Column667]]</f>
        <v>95.114999999999995</v>
      </c>
      <c r="YR5">
        <f>SOFR3mo_PX[[#This Row],[Column668]]</f>
        <v>95.16</v>
      </c>
      <c r="YS5">
        <f>SOFR3mo_PX[[#This Row],[Column669]]</f>
        <v>95.084999999999994</v>
      </c>
      <c r="YT5">
        <f>SOFR3mo_PX[[#This Row],[Column670]]</f>
        <v>95.05</v>
      </c>
      <c r="YU5">
        <f>SOFR3mo_PX[[#This Row],[Column671]]</f>
        <v>95.034999999999997</v>
      </c>
      <c r="YV5">
        <f>SOFR3mo_PX[[#This Row],[Column672]]</f>
        <v>95.03</v>
      </c>
      <c r="YW5">
        <f>SOFR3mo_PX[[#This Row],[Column673]]</f>
        <v>95.02</v>
      </c>
      <c r="YX5">
        <f>SOFR3mo_PX[[#This Row],[Column674]]</f>
        <v>95.02</v>
      </c>
      <c r="YY5">
        <f>SOFR3mo_PX[[#This Row],[Column675]]</f>
        <v>94.974999999999994</v>
      </c>
      <c r="YZ5">
        <f>SOFR3mo_PX[[#This Row],[Column676]]</f>
        <v>95</v>
      </c>
      <c r="ZA5">
        <f>SOFR3mo_PX[[#This Row],[Column677]]</f>
        <v>95.015000000000001</v>
      </c>
      <c r="ZB5">
        <f>SOFR3mo_PX[[#This Row],[Column678]]</f>
        <v>95.07</v>
      </c>
      <c r="ZC5">
        <f>SOFR3mo_PX[[#This Row],[Column679]]</f>
        <v>95.125</v>
      </c>
      <c r="ZD5">
        <f>SOFR3mo_PX[[#This Row],[Column680]]</f>
        <v>95.14</v>
      </c>
      <c r="ZE5">
        <f>SOFR3mo_PX[[#This Row],[Column681]]</f>
        <v>95.11</v>
      </c>
      <c r="ZF5">
        <f>SOFR3mo_PX[[#This Row],[Column682]]</f>
        <v>95.144999999999996</v>
      </c>
      <c r="ZG5">
        <f>SOFR3mo_PX[[#This Row],[Column683]]</f>
        <v>95.155000000000001</v>
      </c>
      <c r="ZH5">
        <f>SOFR3mo_PX[[#This Row],[Column684]]</f>
        <v>94.98</v>
      </c>
      <c r="ZI5">
        <f>SOFR3mo_PX[[#This Row],[Column685]]</f>
        <v>94.97</v>
      </c>
      <c r="ZJ5">
        <f>SOFR3mo_PX[[#This Row],[Column686]]</f>
        <v>94.93</v>
      </c>
      <c r="ZK5">
        <f>SOFR3mo_PX[[#This Row],[Column687]]</f>
        <v>94.974999999999994</v>
      </c>
      <c r="ZL5">
        <f>SOFR3mo_PX[[#This Row],[Column688]]</f>
        <v>94.92</v>
      </c>
      <c r="ZM5">
        <f>SOFR3mo_PX[[#This Row],[Column689]]</f>
        <v>94.98</v>
      </c>
      <c r="ZN5">
        <f>SOFR3mo_PX[[#This Row],[Column690]]</f>
        <v>94.995000000000005</v>
      </c>
      <c r="ZO5">
        <f>SOFR3mo_PX[[#This Row],[Column691]]</f>
        <v>95.06</v>
      </c>
      <c r="ZP5">
        <f>SOFR3mo_PX[[#This Row],[Column692]]</f>
        <v>95.125</v>
      </c>
      <c r="ZQ5">
        <f>SOFR3mo_PX[[#This Row],[Column693]]</f>
        <v>95.215000000000003</v>
      </c>
      <c r="ZR5">
        <f>SOFR3mo_PX[[#This Row],[Column694]]</f>
        <v>95.174999999999997</v>
      </c>
      <c r="ZS5">
        <f>SOFR3mo_PX[[#This Row],[Column695]]</f>
        <v>95.11</v>
      </c>
      <c r="ZT5">
        <f>SOFR3mo_PX[[#This Row],[Column696]]</f>
        <v>95.1</v>
      </c>
      <c r="ZU5">
        <f>SOFR3mo_PX[[#This Row],[Column697]]</f>
        <v>95.15</v>
      </c>
      <c r="ZV5">
        <f>SOFR3mo_PX[[#This Row],[Column698]]</f>
        <v>95.02</v>
      </c>
      <c r="ZW5">
        <f>SOFR3mo_PX[[#This Row],[Column699]]</f>
        <v>95.055000000000007</v>
      </c>
      <c r="ZX5">
        <f>SOFR3mo_PX[[#This Row],[Column700]]</f>
        <v>95.13</v>
      </c>
      <c r="ZY5">
        <f>SOFR3mo_PX[[#This Row],[Column701]]</f>
        <v>95.09</v>
      </c>
      <c r="ZZ5">
        <f>SOFR3mo_PX[[#This Row],[Column702]]</f>
        <v>95.07</v>
      </c>
      <c r="AAA5">
        <f>SOFR3mo_PX[[#This Row],[Column703]]</f>
        <v>95.155000000000001</v>
      </c>
      <c r="AAB5">
        <f>SOFR3mo_PX[[#This Row],[Column704]]</f>
        <v>95.375</v>
      </c>
      <c r="AAC5">
        <f>SOFR3mo_PX[[#This Row],[Column705]]</f>
        <v>95.364999999999995</v>
      </c>
      <c r="AAD5">
        <f>SOFR3mo_PX[[#This Row],[Column706]]</f>
        <v>95.334999999999994</v>
      </c>
      <c r="AAE5">
        <f>SOFR3mo_PX[[#This Row],[Column707]]</f>
        <v>95.385000000000005</v>
      </c>
      <c r="AAF5">
        <f>SOFR3mo_PX[[#This Row],[Column708]]</f>
        <v>95.49</v>
      </c>
      <c r="AAG5">
        <f>SOFR3mo_PX[[#This Row],[Column709]]</f>
        <v>95.56</v>
      </c>
      <c r="AAH5">
        <f>SOFR3mo_PX[[#This Row],[Column710]]</f>
        <v>95.575000000000003</v>
      </c>
      <c r="AAI5">
        <f>SOFR3mo_PX[[#This Row],[Column711]]</f>
        <v>95.62</v>
      </c>
      <c r="AAJ5">
        <f>SOFR3mo_PX[[#This Row],[Column712]]</f>
        <v>95.58</v>
      </c>
      <c r="AAK5">
        <f>SOFR3mo_PX[[#This Row],[Column713]]</f>
        <v>95.605000000000004</v>
      </c>
      <c r="AAL5">
        <f>SOFR3mo_PX[[#This Row],[Column714]]</f>
        <v>95.644999999999996</v>
      </c>
      <c r="AAM5">
        <f>SOFR3mo_PX[[#This Row],[Column715]]</f>
        <v>95.49</v>
      </c>
      <c r="AAN5">
        <f>SOFR3mo_PX[[#This Row],[Column716]]</f>
        <v>95.39</v>
      </c>
      <c r="AAO5">
        <f>SOFR3mo_PX[[#This Row],[Column717]]</f>
        <v>95.32</v>
      </c>
      <c r="AAP5">
        <f>SOFR3mo_PX[[#This Row],[Column718]]</f>
        <v>95.364999999999995</v>
      </c>
      <c r="AAQ5">
        <f>SOFR3mo_PX[[#This Row],[Column719]]</f>
        <v>95.504999999999995</v>
      </c>
      <c r="AAR5">
        <f>SOFR3mo_PX[[#This Row],[Column720]]</f>
        <v>95.74</v>
      </c>
      <c r="AAS5">
        <f>SOFR3mo_PX[[#This Row],[Column721]]</f>
        <v>95.734999999999999</v>
      </c>
      <c r="AAT5">
        <f>SOFR3mo_PX[[#This Row],[Column722]]</f>
        <v>95.784999999999997</v>
      </c>
      <c r="AAU5">
        <f>SOFR3mo_PX[[#This Row],[Column723]]</f>
        <v>95.73</v>
      </c>
      <c r="AAV5">
        <f>SOFR3mo_PX[[#This Row],[Column724]]</f>
        <v>95.78</v>
      </c>
      <c r="AAW5">
        <f>SOFR3mo_PX[[#This Row],[Column725]]</f>
        <v>95.82</v>
      </c>
      <c r="AAX5">
        <f>SOFR3mo_PX[[#This Row],[Column726]]</f>
        <v>96.105000000000004</v>
      </c>
      <c r="AAY5">
        <f>SOFR3mo_PX[[#This Row],[Column727]]</f>
        <v>96.11</v>
      </c>
      <c r="AAZ5">
        <f>SOFR3mo_PX[[#This Row],[Column728]]</f>
        <v>96.185000000000002</v>
      </c>
      <c r="ABA5">
        <f>SOFR3mo_PX[[#This Row],[Column729]]</f>
        <v>96.204999999999998</v>
      </c>
      <c r="ABB5">
        <f>SOFR3mo_PX[[#This Row],[Column730]]</f>
        <v>96.19</v>
      </c>
      <c r="ABC5">
        <f>SOFR3mo_PX[[#This Row],[Column731]]</f>
        <v>96.31</v>
      </c>
      <c r="ABD5">
        <f>SOFR3mo_PX[[#This Row],[Column732]]</f>
        <v>96.31</v>
      </c>
      <c r="ABE5">
        <f>SOFR3mo_PX[[#This Row],[Column733]]</f>
        <v>96.21</v>
      </c>
      <c r="ABF5">
        <f>SOFR3mo_PX[[#This Row],[Column734]]</f>
        <v>96.254999999999995</v>
      </c>
      <c r="ABG5">
        <f>SOFR3mo_PX[[#This Row],[Column735]]</f>
        <v>96.254999999999995</v>
      </c>
      <c r="ABH5">
        <f>SOFR3mo_PX[[#This Row],[Column736]]</f>
        <v>96.284999999999997</v>
      </c>
      <c r="ABI5">
        <f>SOFR3mo_PX[[#This Row],[Column737]]</f>
        <v>96.344999999999999</v>
      </c>
      <c r="ABJ5">
        <f>SOFR3mo_PX[[#This Row],[Column738]]</f>
        <v>96.35</v>
      </c>
      <c r="ABK5">
        <f>SOFR3mo_PX[[#This Row],[Column739]]</f>
        <v>96.355000000000004</v>
      </c>
      <c r="ABL5">
        <f>SOFR3mo_PX[[#This Row],[Column740]]</f>
        <v>96.394999999999996</v>
      </c>
      <c r="ABM5">
        <f>SOFR3mo_PX[[#This Row],[Column741]]</f>
        <v>96.38</v>
      </c>
      <c r="ABN5">
        <f>SOFR3mo_PX[[#This Row],[Column742]]</f>
        <v>96.454999999999998</v>
      </c>
      <c r="ABO5">
        <f>SOFR3mo_PX[[#This Row],[Column743]]</f>
        <v>96.47</v>
      </c>
      <c r="ABP5">
        <f>SOFR3mo_PX[[#This Row],[Column744]]</f>
        <v>96.44</v>
      </c>
      <c r="ABQ5">
        <f>SOFR3mo_PX[[#This Row],[Column745]]</f>
        <v>96.46</v>
      </c>
      <c r="ABR5">
        <f>SOFR3mo_PX[[#This Row],[Column746]]</f>
        <v>96.484999999999999</v>
      </c>
      <c r="ABS5">
        <f>SOFR3mo_PX[[#This Row],[Column747]]</f>
        <v>96.45</v>
      </c>
      <c r="ABT5">
        <f>SOFR3mo_PX[[#This Row],[Column748]]</f>
        <v>96.454999999999998</v>
      </c>
      <c r="ABU5">
        <f>SOFR3mo_PX[[#This Row],[Column749]]</f>
        <v>96.474999999999994</v>
      </c>
      <c r="ABV5">
        <f>SOFR3mo_PX[[#This Row],[Column750]]</f>
        <v>96.394999999999996</v>
      </c>
      <c r="ABW5">
        <f>SOFR3mo_PX[[#This Row],[Column751]]</f>
        <v>96.44</v>
      </c>
      <c r="ABX5">
        <f>SOFR3mo_PX[[#This Row],[Column752]]</f>
        <v>96.424999999999997</v>
      </c>
      <c r="ABY5">
        <f>SOFR3mo_PX[[#This Row],[Column753]]</f>
        <v>96.625</v>
      </c>
      <c r="ABZ5">
        <f>SOFR3mo_PX[[#This Row],[Column754]]</f>
        <v>96.59</v>
      </c>
      <c r="ACA5">
        <f>SOFR3mo_PX[[#This Row],[Column755]]</f>
        <v>96.62</v>
      </c>
      <c r="ACB5">
        <f>SOFR3mo_PX[[#This Row],[Column756]]</f>
        <v>96.74</v>
      </c>
      <c r="ACC5">
        <f>SOFR3mo_PX[[#This Row],[Column757]]</f>
        <v>96.745000000000005</v>
      </c>
      <c r="ACD5">
        <f>SOFR3mo_PX[[#This Row],[Column758]]</f>
        <v>96.78</v>
      </c>
      <c r="ACE5">
        <f>SOFR3mo_PX[[#This Row],[Column759]]</f>
        <v>96.73</v>
      </c>
      <c r="ACF5">
        <f>SOFR3mo_PX[[#This Row],[Column760]]</f>
        <v>96.65</v>
      </c>
      <c r="ACG5">
        <f>SOFR3mo_PX[[#This Row],[Column761]]</f>
        <v>96.625</v>
      </c>
      <c r="ACH5">
        <f>SOFR3mo_PX[[#This Row],[Column762]]</f>
        <v>96.685000000000002</v>
      </c>
      <c r="ACI5">
        <f>SOFR3mo_PX[[#This Row],[Column763]]</f>
        <v>96.594999999999999</v>
      </c>
      <c r="ACJ5">
        <f>SOFR3mo_PX[[#This Row],[Column764]]</f>
        <v>96.45</v>
      </c>
      <c r="ACK5">
        <f>SOFR3mo_PX[[#This Row],[Column765]]</f>
        <v>96.46</v>
      </c>
      <c r="ACL5">
        <f>SOFR3mo_PX[[#This Row],[Column766]]</f>
        <v>96.515000000000001</v>
      </c>
      <c r="ACM5">
        <f>SOFR3mo_PX[[#This Row],[Column767]]</f>
        <v>96.51</v>
      </c>
      <c r="ACN5">
        <f>SOFR3mo_PX[[#This Row],[Column768]]</f>
        <v>96.45</v>
      </c>
      <c r="ACO5">
        <f>SOFR3mo_PX[[#This Row],[Column769]]</f>
        <v>96.39</v>
      </c>
      <c r="ACP5">
        <f>SOFR3mo_PX[[#This Row],[Column770]]</f>
        <v>96.61</v>
      </c>
      <c r="ACQ5">
        <f>SOFR3mo_PX[[#This Row],[Column771]]</f>
        <v>96.564999999999998</v>
      </c>
      <c r="ACR5">
        <f>SOFR3mo_PX[[#This Row],[Column772]]</f>
        <v>96.51</v>
      </c>
      <c r="ACS5">
        <f>SOFR3mo_PX[[#This Row],[Column773]]</f>
        <v>96.61</v>
      </c>
      <c r="ACT5">
        <f>SOFR3mo_PX[[#This Row],[Column774]]</f>
        <v>96.685000000000002</v>
      </c>
      <c r="ACU5">
        <f>SOFR3mo_PX[[#This Row],[Column775]]</f>
        <v>96.775000000000006</v>
      </c>
      <c r="ACV5">
        <f>SOFR3mo_PX[[#This Row],[Column776]]</f>
        <v>96.685000000000002</v>
      </c>
      <c r="ACW5">
        <f>SOFR3mo_PX[[#This Row],[Column777]]</f>
        <v>96.685000000000002</v>
      </c>
      <c r="ACX5">
        <f>SOFR3mo_PX[[#This Row],[Column778]]</f>
        <v>96.67</v>
      </c>
      <c r="ACY5">
        <f>SOFR3mo_PX[[#This Row],[Column779]]</f>
        <v>96.525000000000006</v>
      </c>
      <c r="ACZ5">
        <f>SOFR3mo_PX[[#This Row],[Column780]]</f>
        <v>96.545000000000002</v>
      </c>
      <c r="ADA5">
        <f>SOFR3mo_PX[[#This Row],[Column781]]</f>
        <v>96.57</v>
      </c>
      <c r="ADB5">
        <f>SOFR3mo_PX[[#This Row],[Column782]]</f>
        <v>96.614999999999995</v>
      </c>
      <c r="ADC5">
        <f>SOFR3mo_PX[[#This Row],[Column783]]</f>
        <v>96.57</v>
      </c>
      <c r="ADD5">
        <f>SOFR3mo_PX[[#This Row],[Column784]]</f>
        <v>96.53</v>
      </c>
      <c r="ADE5">
        <f>SOFR3mo_PX[[#This Row],[Column785]]</f>
        <v>96.38</v>
      </c>
      <c r="ADF5">
        <f>SOFR3mo_PX[[#This Row],[Column786]]</f>
        <v>96.41</v>
      </c>
      <c r="ADG5">
        <f>SOFR3mo_PX[[#This Row],[Column787]]</f>
        <v>96.41</v>
      </c>
      <c r="ADH5">
        <f>SOFR3mo_PX[[#This Row],[Column788]]</f>
        <v>96.375</v>
      </c>
      <c r="ADI5">
        <f>SOFR3mo_PX[[#This Row],[Column789]]</f>
        <v>96.37</v>
      </c>
      <c r="ADJ5">
        <f>SOFR3mo_PX[[#This Row],[Column790]]</f>
        <v>96.87</v>
      </c>
      <c r="ADK5">
        <f>SOFR3mo_PX[[#This Row],[Column791]]</f>
        <v>97.185000000000002</v>
      </c>
      <c r="ADL5">
        <f>SOFR3mo_PX[[#This Row],[Column792]]</f>
        <v>97.334999999999994</v>
      </c>
      <c r="ADM5">
        <f>SOFR3mo_PX[[#This Row],[Column793]]</f>
        <v>97.564999999999998</v>
      </c>
      <c r="ADN5">
        <f>SOFR3mo_PX[[#This Row],[Column794]]</f>
        <v>97.584999999999994</v>
      </c>
      <c r="ADO5">
        <f>SOFR3mo_PX[[#This Row],[Column795]]</f>
        <v>97.605000000000004</v>
      </c>
      <c r="ADP5">
        <f>SOFR3mo_PX[[#This Row],[Column796]]</f>
        <v>97.584999999999994</v>
      </c>
      <c r="ADQ5">
        <f>SOFR3mo_PX[[#This Row],[Column797]]</f>
        <v>97.61</v>
      </c>
      <c r="ADR5">
        <f>SOFR3mo_PX[[#This Row],[Column798]]</f>
        <v>97.61</v>
      </c>
      <c r="ADS5">
        <f>SOFR3mo_PX[[#This Row],[Column799]]</f>
        <v>97.614999999999995</v>
      </c>
      <c r="ADT5">
        <f>SOFR3mo_PX[[#This Row],[Column800]]</f>
        <v>97.67</v>
      </c>
      <c r="ADU5">
        <f>SOFR3mo_PX[[#This Row],[Column801]]</f>
        <v>97.74</v>
      </c>
      <c r="ADV5">
        <f>SOFR3mo_PX[[#This Row],[Column802]]</f>
        <v>97.74</v>
      </c>
      <c r="ADW5">
        <f>SOFR3mo_PX[[#This Row],[Column803]]</f>
        <v>97.74</v>
      </c>
      <c r="ADX5">
        <f>SOFR3mo_PX[[#This Row],[Column804]]</f>
        <v>97.734999999999999</v>
      </c>
      <c r="ADY5">
        <f>SOFR3mo_PX[[#This Row],[Column805]]</f>
        <v>97.724999999999994</v>
      </c>
      <c r="ADZ5">
        <f>SOFR3mo_PX[[#This Row],[Column806]]</f>
        <v>97.63</v>
      </c>
      <c r="AEA5">
        <f>SOFR3mo_PX[[#This Row],[Column807]]</f>
        <v>97.66</v>
      </c>
      <c r="AEB5">
        <f>SOFR3mo_PX[[#This Row],[Column808]]</f>
        <v>97.63</v>
      </c>
      <c r="AEC5">
        <f>SOFR3mo_PX[[#This Row],[Column809]]</f>
        <v>97.59</v>
      </c>
      <c r="AED5">
        <f>SOFR3mo_PX[[#This Row],[Column810]]</f>
        <v>97.575000000000003</v>
      </c>
      <c r="AEE5">
        <f>SOFR3mo_PX[[#This Row],[Column811]]</f>
        <v>97.66</v>
      </c>
      <c r="AEF5">
        <f>SOFR3mo_PX[[#This Row],[Column812]]</f>
        <v>97.655000000000001</v>
      </c>
      <c r="AEG5">
        <f>SOFR3mo_PX[[#This Row],[Column813]]</f>
        <v>97.724999999999994</v>
      </c>
      <c r="AEH5">
        <f>SOFR3mo_PX[[#This Row],[Column814]]</f>
        <v>97.64</v>
      </c>
      <c r="AEI5">
        <f>SOFR3mo_PX[[#This Row],[Column815]]</f>
        <v>97.68</v>
      </c>
      <c r="AEJ5">
        <f>SOFR3mo_PX[[#This Row],[Column816]]</f>
        <v>97.7</v>
      </c>
      <c r="AEK5">
        <f>SOFR3mo_PX[[#This Row],[Column817]]</f>
        <v>97.62</v>
      </c>
      <c r="AEL5">
        <f>SOFR3mo_PX[[#This Row],[Column818]]</f>
        <v>97.59</v>
      </c>
      <c r="AEM5">
        <f>SOFR3mo_PX[[#This Row],[Column819]]</f>
        <v>97.625</v>
      </c>
      <c r="AEN5">
        <f>SOFR3mo_PX[[#This Row],[Column820]]</f>
        <v>97.5</v>
      </c>
      <c r="AEO5">
        <f>SOFR3mo_PX[[#This Row],[Column821]]</f>
        <v>97.56</v>
      </c>
      <c r="AEP5">
        <f>SOFR3mo_PX[[#This Row],[Column822]]</f>
        <v>97.55</v>
      </c>
      <c r="AEQ5">
        <f>SOFR3mo_PX[[#This Row],[Column823]]</f>
        <v>97.62</v>
      </c>
      <c r="AER5">
        <f>SOFR3mo_PX[[#This Row],[Column824]]</f>
        <v>97.655000000000001</v>
      </c>
      <c r="AES5">
        <f>SOFR3mo_PX[[#This Row],[Column825]]</f>
        <v>97.655000000000001</v>
      </c>
      <c r="AET5">
        <f>SOFR3mo_PX[[#This Row],[Column826]]</f>
        <v>97.614999999999995</v>
      </c>
      <c r="AEU5">
        <f>SOFR3mo_PX[[#This Row],[Column827]]</f>
        <v>97.555000000000007</v>
      </c>
      <c r="AEV5">
        <f>SOFR3mo_PX[[#This Row],[Column828]]</f>
        <v>97.67</v>
      </c>
      <c r="AEW5">
        <f>SOFR3mo_PX[[#This Row],[Column829]]</f>
        <v>97.79</v>
      </c>
      <c r="AEX5">
        <f>SOFR3mo_PX[[#This Row],[Column830]]</f>
        <v>97.834999999999994</v>
      </c>
      <c r="AEY5">
        <f>SOFR3mo_PX[[#This Row],[Column831]]</f>
        <v>97.91</v>
      </c>
      <c r="AEZ5">
        <f>SOFR3mo_PX[[#This Row],[Column832]]</f>
        <v>97.92</v>
      </c>
      <c r="AFA5">
        <f>SOFR3mo_PX[[#This Row],[Column833]]</f>
        <v>97.92</v>
      </c>
      <c r="AFB5">
        <f>SOFR3mo_PX[[#This Row],[Column834]]</f>
        <v>97.99</v>
      </c>
      <c r="AFC5">
        <f>SOFR3mo_PX[[#This Row],[Column835]]</f>
        <v>97.954999999999998</v>
      </c>
      <c r="AFD5">
        <f>SOFR3mo_PX[[#This Row],[Column836]]</f>
        <v>97.87</v>
      </c>
      <c r="AFE5">
        <f>SOFR3mo_PX[[#This Row],[Column837]]</f>
        <v>97.864999999999995</v>
      </c>
      <c r="AFF5">
        <f>SOFR3mo_PX[[#This Row],[Column838]]</f>
        <v>97.885000000000005</v>
      </c>
      <c r="AFG5">
        <f>SOFR3mo_PX[[#This Row],[Column839]]</f>
        <v>97.864999999999995</v>
      </c>
      <c r="AFH5">
        <f>SOFR3mo_PX[[#This Row],[Column840]]</f>
        <v>97.864999999999995</v>
      </c>
      <c r="AFI5">
        <f>SOFR3mo_PX[[#This Row],[Column841]]</f>
        <v>97.915000000000006</v>
      </c>
      <c r="AFJ5">
        <f>SOFR3mo_PX[[#This Row],[Column842]]</f>
        <v>97.92</v>
      </c>
      <c r="AFK5">
        <f>SOFR3mo_PX[[#This Row],[Column843]]</f>
        <v>98.015000000000001</v>
      </c>
      <c r="AFL5">
        <f>SOFR3mo_PX[[#This Row],[Column844]]</f>
        <v>97.98</v>
      </c>
      <c r="AFM5">
        <f>SOFR3mo_PX[[#This Row],[Column845]]</f>
        <v>97.954999999999998</v>
      </c>
      <c r="AFN5">
        <f>SOFR3mo_PX[[#This Row],[Column846]]</f>
        <v>97.894999999999996</v>
      </c>
      <c r="AFO5">
        <f>SOFR3mo_PX[[#This Row],[Column847]]</f>
        <v>97.935000000000002</v>
      </c>
      <c r="AFP5">
        <f>SOFR3mo_PX[[#This Row],[Column848]]</f>
        <v>98.064999999999998</v>
      </c>
      <c r="AFQ5">
        <f>SOFR3mo_PX[[#This Row],[Column849]]</f>
        <v>98.12</v>
      </c>
      <c r="AFR5">
        <f>SOFR3mo_PX[[#This Row],[Column850]]</f>
        <v>98.1</v>
      </c>
      <c r="AFS5">
        <f>SOFR3mo_PX[[#This Row],[Column851]]</f>
        <v>98.13</v>
      </c>
      <c r="AFT5">
        <f>SOFR3mo_PX[[#This Row],[Column852]]</f>
        <v>98.32</v>
      </c>
      <c r="AFU5">
        <f>SOFR3mo_PX[[#This Row],[Column853]]</f>
        <v>98.35</v>
      </c>
      <c r="AFV5">
        <f>SOFR3mo_PX[[#This Row],[Column854]]</f>
        <v>98.32</v>
      </c>
      <c r="AFW5">
        <f>SOFR3mo_PX[[#This Row],[Column855]]</f>
        <v>98.87</v>
      </c>
      <c r="AFX5">
        <f>SOFR3mo_PX[[#This Row],[Column856]]</f>
        <v>98.855000000000004</v>
      </c>
      <c r="AFY5">
        <f>SOFR3mo_PX[[#This Row],[Column857]]</f>
        <v>98.93</v>
      </c>
      <c r="AFZ5">
        <f>SOFR3mo_PX[[#This Row],[Column858]]</f>
        <v>98.944999999999993</v>
      </c>
      <c r="AGA5">
        <f>SOFR3mo_PX[[#This Row],[Column859]]</f>
        <v>98.965000000000003</v>
      </c>
      <c r="AGB5">
        <f>SOFR3mo_PX[[#This Row],[Column860]]</f>
        <v>99</v>
      </c>
      <c r="AGC5">
        <f>SOFR3mo_PX[[#This Row],[Column861]]</f>
        <v>99.015000000000001</v>
      </c>
      <c r="AGD5">
        <f>SOFR3mo_PX[[#This Row],[Column862]]</f>
        <v>99.055000000000007</v>
      </c>
      <c r="AGE5">
        <f>SOFR3mo_PX[[#This Row],[Column863]]</f>
        <v>99.03</v>
      </c>
      <c r="AGF5">
        <f>SOFR3mo_PX[[#This Row],[Column864]]</f>
        <v>99.034999999999997</v>
      </c>
      <c r="AGG5">
        <f>SOFR3mo_PX[[#This Row],[Column865]]</f>
        <v>99.25</v>
      </c>
      <c r="AGH5">
        <f>SOFR3mo_PX[[#This Row],[Column866]]</f>
        <v>99.13</v>
      </c>
      <c r="AGI5">
        <f>SOFR3mo_PX[[#This Row],[Column867]]</f>
        <v>99</v>
      </c>
      <c r="AGJ5">
        <f>SOFR3mo_PX[[#This Row],[Column868]]</f>
        <v>99.02</v>
      </c>
      <c r="AGK5">
        <f>SOFR3mo_PX[[#This Row],[Column869]]</f>
        <v>98.915000000000006</v>
      </c>
      <c r="AGL5">
        <f>SOFR3mo_PX[[#This Row],[Column870]]</f>
        <v>98.91</v>
      </c>
      <c r="AGM5">
        <f>SOFR3mo_PX[[#This Row],[Column871]]</f>
        <v>99.01</v>
      </c>
      <c r="AGN5">
        <f>SOFR3mo_PX[[#This Row],[Column872]]</f>
        <v>99.01</v>
      </c>
      <c r="AGO5">
        <f>SOFR3mo_PX[[#This Row],[Column873]]</f>
        <v>98.98</v>
      </c>
      <c r="AGP5">
        <f>SOFR3mo_PX[[#This Row],[Column874]]</f>
        <v>98.944999999999993</v>
      </c>
      <c r="AGQ5">
        <f>SOFR3mo_PX[[#This Row],[Column875]]</f>
        <v>98.905000000000001</v>
      </c>
      <c r="AGR5">
        <f>SOFR3mo_PX[[#This Row],[Column876]]</f>
        <v>98.85</v>
      </c>
      <c r="AGS5">
        <f>SOFR3mo_PX[[#This Row],[Column877]]</f>
        <v>98.89</v>
      </c>
      <c r="AGT5">
        <f>SOFR3mo_PX[[#This Row],[Column878]]</f>
        <v>98.864999999999995</v>
      </c>
      <c r="AGU5">
        <f>SOFR3mo_PX[[#This Row],[Column879]]</f>
        <v>99.075000000000003</v>
      </c>
      <c r="AGV5">
        <f>SOFR3mo_PX[[#This Row],[Column880]]</f>
        <v>99.075000000000003</v>
      </c>
      <c r="AGW5">
        <f>SOFR3mo_PX[[#This Row],[Column881]]</f>
        <v>99.094999999999999</v>
      </c>
      <c r="AGX5">
        <f>SOFR3mo_PX[[#This Row],[Column882]]</f>
        <v>99.08</v>
      </c>
      <c r="AGY5">
        <f>SOFR3mo_PX[[#This Row],[Column883]]</f>
        <v>99.194999999999993</v>
      </c>
      <c r="AGZ5">
        <f>SOFR3mo_PX[[#This Row],[Column884]]</f>
        <v>99.23</v>
      </c>
      <c r="AHA5">
        <f>SOFR3mo_PX[[#This Row],[Column885]]</f>
        <v>99.21</v>
      </c>
      <c r="AHB5">
        <f>SOFR3mo_PX[[#This Row],[Column886]]</f>
        <v>99.194999999999993</v>
      </c>
      <c r="AHC5">
        <f>SOFR3mo_PX[[#This Row],[Column887]]</f>
        <v>99.21</v>
      </c>
      <c r="AHD5">
        <f>SOFR3mo_PX[[#This Row],[Column888]]</f>
        <v>99.204999999999998</v>
      </c>
      <c r="AHE5">
        <f>SOFR3mo_PX[[#This Row],[Column889]]</f>
        <v>99.29</v>
      </c>
      <c r="AHF5">
        <f>SOFR3mo_PX[[#This Row],[Column890]]</f>
        <v>99.334999999999994</v>
      </c>
      <c r="AHG5">
        <f>SOFR3mo_PX[[#This Row],[Column891]]</f>
        <v>99.375</v>
      </c>
      <c r="AHH5">
        <f>SOFR3mo_PX[[#This Row],[Column892]]</f>
        <v>99.35</v>
      </c>
      <c r="AHI5">
        <f>SOFR3mo_PX[[#This Row],[Column893]]</f>
        <v>99.314999999999998</v>
      </c>
      <c r="AHJ5">
        <f>SOFR3mo_PX[[#This Row],[Column894]]</f>
        <v>99.33</v>
      </c>
      <c r="AHK5">
        <f>SOFR3mo_PX[[#This Row],[Column895]]</f>
        <v>99.314999999999998</v>
      </c>
      <c r="AHL5">
        <f>SOFR3mo_PX[[#This Row],[Column896]]</f>
        <v>99.39</v>
      </c>
      <c r="AHM5">
        <f>SOFR3mo_PX[[#This Row],[Column897]]</f>
        <v>99.39</v>
      </c>
      <c r="AHN5">
        <f>SOFR3mo_PX[[#This Row],[Column898]]</f>
        <v>99.435000000000002</v>
      </c>
      <c r="AHO5">
        <f>SOFR3mo_PX[[#This Row],[Column899]]</f>
        <v>99.435000000000002</v>
      </c>
      <c r="AHP5">
        <f>SOFR3mo_PX[[#This Row],[Column900]]</f>
        <v>99.45</v>
      </c>
      <c r="AHQ5">
        <f>SOFR3mo_PX[[#This Row],[Column901]]</f>
        <v>99.444999999999993</v>
      </c>
      <c r="AHR5">
        <f>SOFR3mo_PX[[#This Row],[Column902]]</f>
        <v>99.47</v>
      </c>
      <c r="AHS5">
        <f>SOFR3mo_PX[[#This Row],[Column903]]</f>
        <v>99.44</v>
      </c>
      <c r="AHT5">
        <f>SOFR3mo_PX[[#This Row],[Column904]]</f>
        <v>99.474999999999994</v>
      </c>
      <c r="AHU5">
        <f>SOFR3mo_PX[[#This Row],[Column905]]</f>
        <v>99.53</v>
      </c>
      <c r="AHV5">
        <f>SOFR3mo_PX[[#This Row],[Column906]]</f>
        <v>99.515000000000001</v>
      </c>
      <c r="AHW5">
        <f>SOFR3mo_PX[[#This Row],[Column907]]</f>
        <v>99.53</v>
      </c>
      <c r="AHX5">
        <f>SOFR3mo_PX[[#This Row],[Column908]]</f>
        <v>99.52</v>
      </c>
      <c r="AHY5">
        <f>SOFR3mo_PX[[#This Row],[Column909]]</f>
        <v>99.5</v>
      </c>
      <c r="AHZ5">
        <f>SOFR3mo_PX[[#This Row],[Column910]]</f>
        <v>99.51</v>
      </c>
      <c r="AIA5">
        <f>SOFR3mo_PX[[#This Row],[Column911]]</f>
        <v>99.515000000000001</v>
      </c>
      <c r="AIB5">
        <f>SOFR3mo_PX[[#This Row],[Column912]]</f>
        <v>99.534999999999997</v>
      </c>
      <c r="AIC5">
        <f>SOFR3mo_PX[[#This Row],[Column913]]</f>
        <v>99.534999999999997</v>
      </c>
      <c r="AID5">
        <f>SOFR3mo_PX[[#This Row],[Column914]]</f>
        <v>99.55</v>
      </c>
      <c r="AIE5">
        <f>SOFR3mo_PX[[#This Row],[Column915]]</f>
        <v>99.55</v>
      </c>
      <c r="AIF5">
        <f>SOFR3mo_PX[[#This Row],[Column916]]</f>
        <v>99.575000000000003</v>
      </c>
      <c r="AIG5">
        <f>SOFR3mo_PX[[#This Row],[Column917]]</f>
        <v>99.564999999999998</v>
      </c>
      <c r="AIH5">
        <f>SOFR3mo_PX[[#This Row],[Column918]]</f>
        <v>99.594999999999999</v>
      </c>
      <c r="AII5">
        <f>SOFR3mo_PX[[#This Row],[Column919]]</f>
        <v>99.584999999999994</v>
      </c>
      <c r="AIJ5">
        <f>SOFR3mo_PX[[#This Row],[Column920]]</f>
        <v>99.814999999999998</v>
      </c>
      <c r="AIK5">
        <f>SOFR3mo_PX[[#This Row],[Column921]]</f>
        <v>99.83</v>
      </c>
      <c r="AIL5">
        <f>SOFR3mo_PX[[#This Row],[Column922]]</f>
        <v>99.814999999999998</v>
      </c>
      <c r="AIM5">
        <f>SOFR3mo_PX[[#This Row],[Column923]]</f>
        <v>99.82</v>
      </c>
      <c r="AIN5">
        <f>SOFR3mo_PX[[#This Row],[Column924]]</f>
        <v>99.82</v>
      </c>
      <c r="AIO5">
        <f>SOFR3mo_PX[[#This Row],[Column925]]</f>
        <v>99.81</v>
      </c>
      <c r="AIP5">
        <f>SOFR3mo_PX[[#This Row],[Column926]]</f>
        <v>99.83</v>
      </c>
      <c r="AIQ5">
        <f>SOFR3mo_PX[[#This Row],[Column927]]</f>
        <v>99.85</v>
      </c>
      <c r="AIR5">
        <f>SOFR3mo_PX[[#This Row],[Column928]]</f>
        <v>99.84</v>
      </c>
      <c r="AIS5">
        <f>SOFR3mo_PX[[#This Row],[Column929]]</f>
        <v>99.86</v>
      </c>
      <c r="AIT5">
        <f>SOFR3mo_PX[[#This Row],[Column930]]</f>
        <v>99.864999999999995</v>
      </c>
      <c r="AIU5">
        <f>SOFR3mo_PX[[#This Row],[Column931]]</f>
        <v>99.885000000000005</v>
      </c>
      <c r="AIV5">
        <f>SOFR3mo_PX[[#This Row],[Column932]]</f>
        <v>99.885000000000005</v>
      </c>
      <c r="AIW5">
        <f>SOFR3mo_PX[[#This Row],[Column933]]</f>
        <v>99.84</v>
      </c>
      <c r="AIX5">
        <f>SOFR3mo_PX[[#This Row],[Column934]]</f>
        <v>99.84</v>
      </c>
      <c r="AIY5">
        <f>SOFR3mo_PX[[#This Row],[Column935]]</f>
        <v>99.855000000000004</v>
      </c>
      <c r="AIZ5">
        <f>SOFR3mo_PX[[#This Row],[Column936]]</f>
        <v>99.86</v>
      </c>
      <c r="AJA5">
        <f>SOFR3mo_PX[[#This Row],[Column937]]</f>
        <v>99.885000000000005</v>
      </c>
      <c r="AJB5">
        <f>SOFR3mo_PX[[#This Row],[Column938]]</f>
        <v>99.894999999999996</v>
      </c>
      <c r="AJC5">
        <f>SOFR3mo_PX[[#This Row],[Column939]]</f>
        <v>99.89</v>
      </c>
      <c r="AJD5">
        <f>SOFR3mo_PX[[#This Row],[Column940]]</f>
        <v>99.88</v>
      </c>
      <c r="AJE5">
        <f>SOFR3mo_PX[[#This Row],[Column941]]</f>
        <v>99.885000000000005</v>
      </c>
      <c r="AJF5">
        <f>SOFR3mo_PX[[#This Row],[Column942]]</f>
        <v>99.88</v>
      </c>
      <c r="AJG5">
        <f>SOFR3mo_PX[[#This Row],[Column943]]</f>
        <v>99.885000000000005</v>
      </c>
      <c r="AJH5">
        <f>SOFR3mo_PX[[#This Row],[Column944]]</f>
        <v>99.894999999999996</v>
      </c>
      <c r="AJI5">
        <f>SOFR3mo_PX[[#This Row],[Column945]]</f>
        <v>99.915000000000006</v>
      </c>
      <c r="AJJ5">
        <f>SOFR3mo_PX[[#This Row],[Column946]]</f>
        <v>99.905000000000001</v>
      </c>
      <c r="AJK5">
        <f>SOFR3mo_PX[[#This Row],[Column947]]</f>
        <v>99.92</v>
      </c>
      <c r="AJL5">
        <f>SOFR3mo_PX[[#This Row],[Column948]]</f>
        <v>99.91</v>
      </c>
      <c r="AJM5">
        <f>SOFR3mo_PX[[#This Row],[Column949]]</f>
        <v>99.894999999999996</v>
      </c>
      <c r="AJN5">
        <f>SOFR3mo_PX[[#This Row],[Column950]]</f>
        <v>99.905000000000001</v>
      </c>
      <c r="AJO5">
        <f>SOFR3mo_PX[[#This Row],[Column951]]</f>
        <v>99.885000000000005</v>
      </c>
      <c r="AJP5">
        <f>SOFR3mo_PX[[#This Row],[Column952]]</f>
        <v>99.88</v>
      </c>
      <c r="AJQ5">
        <f>SOFR3mo_PX[[#This Row],[Column953]]</f>
        <v>99.885000000000005</v>
      </c>
      <c r="AJR5">
        <f>SOFR3mo_PX[[#This Row],[Column954]]</f>
        <v>99.89</v>
      </c>
      <c r="AJS5">
        <f>SOFR3mo_PX[[#This Row],[Column955]]</f>
        <v>99.894999999999996</v>
      </c>
      <c r="AJT5">
        <f>SOFR3mo_PX[[#This Row],[Column956]]</f>
        <v>99.9</v>
      </c>
      <c r="AJU5">
        <f>SOFR3mo_PX[[#This Row],[Column957]]</f>
        <v>99.885000000000005</v>
      </c>
      <c r="AJV5">
        <f>SOFR3mo_PX[[#This Row],[Column958]]</f>
        <v>99.9</v>
      </c>
      <c r="AJW5">
        <f>SOFR3mo_PX[[#This Row],[Column959]]</f>
        <v>99.915000000000006</v>
      </c>
      <c r="AJX5">
        <f>SOFR3mo_PX[[#This Row],[Column960]]</f>
        <v>99.91</v>
      </c>
      <c r="AJY5">
        <f>SOFR3mo_PX[[#This Row],[Column961]]</f>
        <v>99.905000000000001</v>
      </c>
      <c r="AJZ5">
        <f>SOFR3mo_PX[[#This Row],[Column962]]</f>
        <v>99.905000000000001</v>
      </c>
      <c r="AKA5">
        <f>SOFR3mo_PX[[#This Row],[Column963]]</f>
        <v>99.924999999999997</v>
      </c>
      <c r="AKB5">
        <f>SOFR3mo_PX[[#This Row],[Column964]]</f>
        <v>99.92</v>
      </c>
      <c r="AKC5">
        <f>SOFR3mo_PX[[#This Row],[Column965]]</f>
        <v>99.93</v>
      </c>
      <c r="AKD5">
        <f>SOFR3mo_PX[[#This Row],[Column966]]</f>
        <v>99.935000000000002</v>
      </c>
      <c r="AKE5">
        <f>SOFR3mo_PX[[#This Row],[Column967]]</f>
        <v>99.94</v>
      </c>
      <c r="AKF5">
        <f>SOFR3mo_PX[[#This Row],[Column968]]</f>
        <v>99.944999999999993</v>
      </c>
      <c r="AKG5">
        <f>SOFR3mo_PX[[#This Row],[Column969]]</f>
        <v>99.94</v>
      </c>
      <c r="AKH5">
        <f>SOFR3mo_PX[[#This Row],[Column970]]</f>
        <v>99.944999999999993</v>
      </c>
      <c r="AKI5">
        <f>SOFR3mo_PX[[#This Row],[Column971]]</f>
        <v>99.95</v>
      </c>
      <c r="AKJ5">
        <f>SOFR3mo_PX[[#This Row],[Column972]]</f>
        <v>99.944999999999993</v>
      </c>
      <c r="AKK5">
        <f>SOFR3mo_PX[[#This Row],[Column973]]</f>
        <v>99.944999999999993</v>
      </c>
      <c r="AKL5">
        <f>SOFR3mo_PX[[#This Row],[Column974]]</f>
        <v>99.94</v>
      </c>
      <c r="AKM5">
        <f>SOFR3mo_PX[[#This Row],[Column975]]</f>
        <v>99.944999999999993</v>
      </c>
      <c r="AKN5">
        <f>SOFR3mo_PX[[#This Row],[Column976]]</f>
        <v>99.944999999999993</v>
      </c>
      <c r="AKO5">
        <f>SOFR3mo_PX[[#This Row],[Column977]]</f>
        <v>99.944999999999993</v>
      </c>
      <c r="AKP5">
        <f>SOFR3mo_PX[[#This Row],[Column978]]</f>
        <v>99.944999999999993</v>
      </c>
      <c r="AKQ5">
        <f>SOFR3mo_PX[[#This Row],[Column979]]</f>
        <v>99.944999999999993</v>
      </c>
      <c r="AKR5">
        <f>SOFR3mo_PX[[#This Row],[Column980]]</f>
        <v>99.95</v>
      </c>
      <c r="AKS5">
        <f>SOFR3mo_PX[[#This Row],[Column981]]</f>
        <v>99.95</v>
      </c>
      <c r="AKT5">
        <f>SOFR3mo_PX[[#This Row],[Column982]]</f>
        <v>99.944999999999993</v>
      </c>
      <c r="AKU5">
        <f>SOFR3mo_PX[[#This Row],[Column983]]</f>
        <v>99.95</v>
      </c>
      <c r="AKV5">
        <f>SOFR3mo_PX[[#This Row],[Column984]]</f>
        <v>99.95</v>
      </c>
      <c r="AKW5">
        <f>SOFR3mo_PX[[#This Row],[Column985]]</f>
        <v>99.95</v>
      </c>
      <c r="AKX5">
        <f>SOFR3mo_PX[[#This Row],[Column986]]</f>
        <v>99.95</v>
      </c>
      <c r="AKY5">
        <f>SOFR3mo_PX[[#This Row],[Column987]]</f>
        <v>99.95</v>
      </c>
      <c r="AKZ5">
        <f>SOFR3mo_PX[[#This Row],[Column988]]</f>
        <v>99.944999999999993</v>
      </c>
      <c r="ALA5">
        <f>SOFR3mo_PX[[#This Row],[Column989]]</f>
        <v>99.944999999999993</v>
      </c>
      <c r="ALB5">
        <f>SOFR3mo_PX[[#This Row],[Column990]]</f>
        <v>99.944999999999993</v>
      </c>
      <c r="ALC5">
        <f>SOFR3mo_PX[[#This Row],[Column991]]</f>
        <v>99.944999999999993</v>
      </c>
      <c r="ALD5">
        <f>SOFR3mo_PX[[#This Row],[Column992]]</f>
        <v>99.944999999999993</v>
      </c>
      <c r="ALE5">
        <f>SOFR3mo_PX[[#This Row],[Column993]]</f>
        <v>99.944999999999993</v>
      </c>
      <c r="ALF5">
        <f>SOFR3mo_PX[[#This Row],[Column994]]</f>
        <v>99.95</v>
      </c>
      <c r="ALG5">
        <f>SOFR3mo_PX[[#This Row],[Column995]]</f>
        <v>99.95</v>
      </c>
      <c r="ALH5">
        <f>SOFR3mo_PX[[#This Row],[Column996]]</f>
        <v>99.95</v>
      </c>
      <c r="ALI5">
        <f>SOFR3mo_PX[[#This Row],[Column997]]</f>
        <v>99.95</v>
      </c>
      <c r="ALJ5">
        <f>SOFR3mo_PX[[#This Row],[Column998]]</f>
        <v>99.944999999999993</v>
      </c>
      <c r="ALK5">
        <f>SOFR3mo_PX[[#This Row],[Column999]]</f>
        <v>99.94</v>
      </c>
      <c r="ALL5">
        <f>SOFR3mo_PX[[#This Row],[Column1000]]</f>
        <v>99.944999999999993</v>
      </c>
      <c r="ALM5">
        <f>SOFR3mo_PX[[#This Row],[Column1001]]</f>
        <v>99.944999999999993</v>
      </c>
      <c r="ALN5">
        <f>SOFR3mo_PX[[#This Row],[Column1002]]</f>
        <v>99.944999999999993</v>
      </c>
      <c r="ALO5">
        <f>SOFR3mo_PX[[#This Row],[Column1003]]</f>
        <v>99.944999999999993</v>
      </c>
      <c r="ALP5">
        <f>SOFR3mo_PX[[#This Row],[Column1004]]</f>
        <v>99.95</v>
      </c>
      <c r="ALQ5">
        <f>SOFR3mo_PX[[#This Row],[Column1005]]</f>
        <v>99.944999999999993</v>
      </c>
      <c r="ALR5">
        <f>SOFR3mo_PX[[#This Row],[Column1006]]</f>
        <v>99.944999999999993</v>
      </c>
      <c r="ALS5">
        <f>SOFR3mo_PX[[#This Row],[Column1007]]</f>
        <v>99.95</v>
      </c>
      <c r="ALT5">
        <f>SOFR3mo_PX[[#This Row],[Column1008]]</f>
        <v>99.95</v>
      </c>
      <c r="ALU5">
        <f>SOFR3mo_PX[[#This Row],[Column1009]]</f>
        <v>99.944999999999993</v>
      </c>
      <c r="ALV5">
        <f>SOFR3mo_PX[[#This Row],[Column1010]]</f>
        <v>99.944999999999993</v>
      </c>
      <c r="ALW5">
        <f>SOFR3mo_PX[[#This Row],[Column1011]]</f>
        <v>99.95</v>
      </c>
      <c r="ALX5">
        <f>SOFR3mo_PX[[#This Row],[Column1012]]</f>
        <v>99.95</v>
      </c>
      <c r="ALY5">
        <f>SOFR3mo_PX[[#This Row],[Column1013]]</f>
        <v>99.95</v>
      </c>
      <c r="ALZ5">
        <f>SOFR3mo_PX[[#This Row],[Column1014]]</f>
        <v>99.954999999999998</v>
      </c>
      <c r="AMA5">
        <f>SOFR3mo_PX[[#This Row],[Column1015]]</f>
        <v>99.954999999999998</v>
      </c>
      <c r="AMB5">
        <f>SOFR3mo_PX[[#This Row],[Column1016]]</f>
        <v>99.954999999999998</v>
      </c>
      <c r="AMC5">
        <f>SOFR3mo_PX[[#This Row],[Column1017]]</f>
        <v>99.954999999999998</v>
      </c>
      <c r="AMD5">
        <f>SOFR3mo_PX[[#This Row],[Column1018]]</f>
        <v>99.95</v>
      </c>
      <c r="AME5">
        <f>SOFR3mo_PX[[#This Row],[Column1019]]</f>
        <v>99.95</v>
      </c>
      <c r="AMF5">
        <f>SOFR3mo_PX[[#This Row],[Column1020]]</f>
        <v>99.95</v>
      </c>
      <c r="AMG5">
        <f>SOFR3mo_PX[[#This Row],[Column1021]]</f>
        <v>99.944999999999993</v>
      </c>
      <c r="AMH5">
        <f>SOFR3mo_PX[[#This Row],[Column1022]]</f>
        <v>99.944999999999993</v>
      </c>
      <c r="AMI5">
        <f>SOFR3mo_PX[[#This Row],[Column1023]]</f>
        <v>99.95</v>
      </c>
      <c r="AMJ5">
        <f>SOFR3mo_PX[[#This Row],[Column1024]]</f>
        <v>99.95</v>
      </c>
      <c r="AMK5">
        <f>SOFR3mo_PX[[#This Row],[Column1025]]</f>
        <v>99.95</v>
      </c>
      <c r="AML5">
        <f>SOFR3mo_PX[[#This Row],[Column1026]]</f>
        <v>99.944999999999993</v>
      </c>
      <c r="AMM5">
        <f>SOFR3mo_PX[[#This Row],[Column1027]]</f>
        <v>99.95</v>
      </c>
      <c r="AMN5">
        <f>SOFR3mo_PX[[#This Row],[Column1028]]</f>
        <v>99.95</v>
      </c>
      <c r="AMO5">
        <f>SOFR3mo_PX[[#This Row],[Column1029]]</f>
        <v>99.944999999999993</v>
      </c>
      <c r="AMP5">
        <f>SOFR3mo_PX[[#This Row],[Column1030]]</f>
        <v>99.95</v>
      </c>
      <c r="AMQ5">
        <f>SOFR3mo_PX[[#This Row],[Column1031]]</f>
        <v>99.95</v>
      </c>
      <c r="AMR5">
        <f>SOFR3mo_PX[[#This Row],[Column1032]]</f>
        <v>99.95</v>
      </c>
      <c r="AMS5">
        <f>SOFR3mo_PX[[#This Row],[Column1033]]</f>
        <v>99.954999999999998</v>
      </c>
      <c r="AMT5">
        <f>SOFR3mo_PX[[#This Row],[Column1034]]</f>
        <v>99.95</v>
      </c>
      <c r="AMU5">
        <f>SOFR3mo_PX[[#This Row],[Column1035]]</f>
        <v>99.95</v>
      </c>
      <c r="AMV5">
        <f>SOFR3mo_PX[[#This Row],[Column1036]]</f>
        <v>99.944999999999993</v>
      </c>
      <c r="AMW5">
        <f>SOFR3mo_PX[[#This Row],[Column1037]]</f>
        <v>99.944999999999993</v>
      </c>
      <c r="AMX5">
        <f>SOFR3mo_PX[[#This Row],[Column1038]]</f>
        <v>99.944999999999993</v>
      </c>
      <c r="AMY5">
        <f>SOFR3mo_PX[[#This Row],[Column1039]]</f>
        <v>99.95</v>
      </c>
      <c r="AMZ5">
        <f>SOFR3mo_PX[[#This Row],[Column1040]]</f>
        <v>99.944999999999993</v>
      </c>
      <c r="ANA5">
        <f>SOFR3mo_PX[[#This Row],[Column1041]]</f>
        <v>99.944999999999993</v>
      </c>
      <c r="ANB5">
        <f>SOFR3mo_PX[[#This Row],[Column1042]]</f>
        <v>99.94</v>
      </c>
      <c r="ANC5">
        <f>SOFR3mo_PX[[#This Row],[Column1043]]</f>
        <v>99.94</v>
      </c>
      <c r="AND5">
        <f>SOFR3mo_PX[[#This Row],[Column1044]]</f>
        <v>99.94</v>
      </c>
      <c r="ANE5">
        <f>SOFR3mo_PX[[#This Row],[Column1045]]</f>
        <v>99.95</v>
      </c>
      <c r="ANF5">
        <f>SOFR3mo_PX[[#This Row],[Column1046]]</f>
        <v>99.935000000000002</v>
      </c>
      <c r="ANG5">
        <f>SOFR3mo_PX[[#This Row],[Column1047]]</f>
        <v>99.935000000000002</v>
      </c>
      <c r="ANH5">
        <f>SOFR3mo_PX[[#This Row],[Column1048]]</f>
        <v>99.944999999999993</v>
      </c>
      <c r="ANI5">
        <f>SOFR3mo_PX[[#This Row],[Column1049]]</f>
        <v>99.944999999999993</v>
      </c>
      <c r="ANJ5">
        <f>SOFR3mo_PX[[#This Row],[Column1050]]</f>
        <v>99.96</v>
      </c>
      <c r="ANK5">
        <f>SOFR3mo_PX[[#This Row],[Column1051]]</f>
        <v>99.96</v>
      </c>
      <c r="ANL5">
        <f>SOFR3mo_PX[[#This Row],[Column1052]]</f>
        <v>99.965000000000003</v>
      </c>
      <c r="ANM5">
        <f>SOFR3mo_PX[[#This Row],[Column1053]]</f>
        <v>99.965000000000003</v>
      </c>
      <c r="ANN5">
        <f>SOFR3mo_PX[[#This Row],[Column1054]]</f>
        <v>99.965000000000003</v>
      </c>
      <c r="ANO5">
        <f>SOFR3mo_PX[[#This Row],[Column1055]]</f>
        <v>99.965000000000003</v>
      </c>
      <c r="ANP5">
        <f>SOFR3mo_PX[[#This Row],[Column1056]]</f>
        <v>99.965000000000003</v>
      </c>
      <c r="ANQ5">
        <f>SOFR3mo_PX[[#This Row],[Column1057]]</f>
        <v>99.965000000000003</v>
      </c>
      <c r="ANR5">
        <f>SOFR3mo_PX[[#This Row],[Column1058]]</f>
        <v>99.965000000000003</v>
      </c>
      <c r="ANS5">
        <f>SOFR3mo_PX[[#This Row],[Column1059]]</f>
        <v>99.965000000000003</v>
      </c>
      <c r="ANT5">
        <f>SOFR3mo_PX[[#This Row],[Column1060]]</f>
        <v>99.965000000000003</v>
      </c>
      <c r="ANU5">
        <f>SOFR3mo_PX[[#This Row],[Column1061]]</f>
        <v>99.97</v>
      </c>
      <c r="ANV5">
        <f>SOFR3mo_PX[[#This Row],[Column1062]]</f>
        <v>99.97</v>
      </c>
      <c r="ANW5">
        <f>SOFR3mo_PX[[#This Row],[Column1063]]</f>
        <v>99.97</v>
      </c>
      <c r="ANX5">
        <f>SOFR3mo_PX[[#This Row],[Column1064]]</f>
        <v>99.97</v>
      </c>
      <c r="ANY5">
        <f>SOFR3mo_PX[[#This Row],[Column1065]]</f>
        <v>99.965000000000003</v>
      </c>
      <c r="ANZ5">
        <f>SOFR3mo_PX[[#This Row],[Column1066]]</f>
        <v>99.965000000000003</v>
      </c>
      <c r="AOA5">
        <f>SOFR3mo_PX[[#This Row],[Column1067]]</f>
        <v>99.96</v>
      </c>
      <c r="AOB5">
        <f>SOFR3mo_PX[[#This Row],[Column1068]]</f>
        <v>99.965000000000003</v>
      </c>
      <c r="AOC5">
        <f>SOFR3mo_PX[[#This Row],[Column1069]]</f>
        <v>99.965000000000003</v>
      </c>
      <c r="AOD5">
        <f>SOFR3mo_PX[[#This Row],[Column1070]]</f>
        <v>99.965000000000003</v>
      </c>
      <c r="AOE5">
        <f>SOFR3mo_PX[[#This Row],[Column1071]]</f>
        <v>99.965000000000003</v>
      </c>
      <c r="AOF5">
        <f>SOFR3mo_PX[[#This Row],[Column1072]]</f>
        <v>99.96</v>
      </c>
      <c r="AOG5">
        <f>SOFR3mo_PX[[#This Row],[Column1073]]</f>
        <v>99.965000000000003</v>
      </c>
      <c r="AOH5">
        <f>SOFR3mo_PX[[#This Row],[Column1074]]</f>
        <v>99.96</v>
      </c>
      <c r="AOI5">
        <f>SOFR3mo_PX[[#This Row],[Column1075]]</f>
        <v>99.954999999999998</v>
      </c>
      <c r="AOJ5">
        <f>SOFR3mo_PX[[#This Row],[Column1076]]</f>
        <v>99.954999999999998</v>
      </c>
      <c r="AOK5">
        <f>SOFR3mo_PX[[#This Row],[Column1077]]</f>
        <v>99.96</v>
      </c>
      <c r="AOL5">
        <f>SOFR3mo_PX[[#This Row],[Column1078]]</f>
        <v>99.96</v>
      </c>
      <c r="AOM5">
        <f>SOFR3mo_PX[[#This Row],[Column1079]]</f>
        <v>99.954999999999998</v>
      </c>
      <c r="AON5">
        <f>SOFR3mo_PX[[#This Row],[Column1080]]</f>
        <v>99.95</v>
      </c>
      <c r="AOO5">
        <f>SOFR3mo_PX[[#This Row],[Column1081]]</f>
        <v>99.95</v>
      </c>
      <c r="AOP5">
        <f>SOFR3mo_PX[[#This Row],[Column1082]]</f>
        <v>99.95</v>
      </c>
      <c r="AOQ5">
        <f>SOFR3mo_PX[[#This Row],[Column1083]]</f>
        <v>99.95</v>
      </c>
      <c r="AOR5">
        <f>SOFR3mo_PX[[#This Row],[Column1084]]</f>
        <v>99.954999999999998</v>
      </c>
      <c r="AOS5">
        <f>SOFR3mo_PX[[#This Row],[Column1085]]</f>
        <v>99.95</v>
      </c>
      <c r="AOT5">
        <f>SOFR3mo_PX[[#This Row],[Column1086]]</f>
        <v>99.95</v>
      </c>
      <c r="AOU5">
        <f>SOFR3mo_PX[[#This Row],[Column1087]]</f>
        <v>99.95</v>
      </c>
      <c r="AOV5">
        <f>SOFR3mo_PX[[#This Row],[Column1088]]</f>
        <v>99.95</v>
      </c>
      <c r="AOW5">
        <f>SOFR3mo_PX[[#This Row],[Column1089]]</f>
        <v>99.95</v>
      </c>
      <c r="AOX5">
        <f>SOFR3mo_PX[[#This Row],[Column1090]]</f>
        <v>99.944999999999993</v>
      </c>
      <c r="AOY5">
        <f>SOFR3mo_PX[[#This Row],[Column1091]]</f>
        <v>99.944999999999993</v>
      </c>
      <c r="AOZ5">
        <f>SOFR3mo_PX[[#This Row],[Column1092]]</f>
        <v>99.944999999999993</v>
      </c>
      <c r="APA5">
        <f>SOFR3mo_PX[[#This Row],[Column1093]]</f>
        <v>99.95</v>
      </c>
      <c r="APB5">
        <f>SOFR3mo_PX[[#This Row],[Column1094]]</f>
        <v>99.954999999999998</v>
      </c>
      <c r="APC5">
        <f>SOFR3mo_PX[[#This Row],[Column1095]]</f>
        <v>99.954999999999998</v>
      </c>
      <c r="APD5">
        <f>SOFR3mo_PX[[#This Row],[Column1096]]</f>
        <v>99.954999999999998</v>
      </c>
      <c r="APE5">
        <f>SOFR3mo_PX[[#This Row],[Column1097]]</f>
        <v>99.954999999999998</v>
      </c>
      <c r="APF5">
        <f>SOFR3mo_PX[[#This Row],[Column1098]]</f>
        <v>99.95</v>
      </c>
      <c r="APG5">
        <f>SOFR3mo_PX[[#This Row],[Column1099]]</f>
        <v>99.954999999999998</v>
      </c>
      <c r="APH5">
        <f>SOFR3mo_PX[[#This Row],[Column1100]]</f>
        <v>99.96</v>
      </c>
      <c r="API5">
        <f>SOFR3mo_PX[[#This Row],[Column1101]]</f>
        <v>99.96</v>
      </c>
      <c r="APJ5">
        <f>SOFR3mo_PX[[#This Row],[Column1102]]</f>
        <v>99.954999999999998</v>
      </c>
      <c r="APK5">
        <f>SOFR3mo_PX[[#This Row],[Column1103]]</f>
        <v>99.954999999999998</v>
      </c>
      <c r="APL5">
        <f>SOFR3mo_PX[[#This Row],[Column1104]]</f>
        <v>99.954999999999998</v>
      </c>
      <c r="APM5">
        <f>SOFR3mo_PX[[#This Row],[Column1105]]</f>
        <v>99.95</v>
      </c>
      <c r="APN5">
        <f>SOFR3mo_PX[[#This Row],[Column1106]]</f>
        <v>99.954999999999998</v>
      </c>
      <c r="APO5">
        <f>SOFR3mo_PX[[#This Row],[Column1107]]</f>
        <v>99.954999999999998</v>
      </c>
      <c r="APP5">
        <f>SOFR3mo_PX[[#This Row],[Column1108]]</f>
        <v>99.954999999999998</v>
      </c>
      <c r="APQ5">
        <f>SOFR3mo_PX[[#This Row],[Column1109]]</f>
        <v>99.954999999999998</v>
      </c>
      <c r="APR5">
        <f>SOFR3mo_PX[[#This Row],[Column1110]]</f>
        <v>99.96</v>
      </c>
      <c r="APS5">
        <f>SOFR3mo_PX[[#This Row],[Column1111]]</f>
        <v>99.96</v>
      </c>
      <c r="APT5">
        <f>SOFR3mo_PX[[#This Row],[Column1112]]</f>
        <v>99.954999999999998</v>
      </c>
      <c r="APU5">
        <f>SOFR3mo_PX[[#This Row],[Column1113]]</f>
        <v>99.944999999999993</v>
      </c>
      <c r="APV5">
        <f>SOFR3mo_PX[[#This Row],[Column1114]]</f>
        <v>99.944999999999993</v>
      </c>
      <c r="APW5">
        <f>SOFR3mo_PX[[#This Row],[Column1115]]</f>
        <v>99.94</v>
      </c>
      <c r="APX5">
        <f>SOFR3mo_PX[[#This Row],[Column1116]]</f>
        <v>99.944999999999993</v>
      </c>
      <c r="APY5">
        <f>SOFR3mo_PX[[#This Row],[Column1117]]</f>
        <v>99.944999999999993</v>
      </c>
      <c r="APZ5">
        <f>SOFR3mo_PX[[#This Row],[Column1118]]</f>
        <v>99.944999999999993</v>
      </c>
      <c r="AQA5">
        <f>SOFR3mo_PX[[#This Row],[Column1119]]</f>
        <v>99.944999999999993</v>
      </c>
      <c r="AQB5">
        <f>SOFR3mo_PX[[#This Row],[Column1120]]</f>
        <v>99.95</v>
      </c>
      <c r="AQC5">
        <f>SOFR3mo_PX[[#This Row],[Column1121]]</f>
        <v>99.944999999999993</v>
      </c>
      <c r="AQD5">
        <f>SOFR3mo_PX[[#This Row],[Column1122]]</f>
        <v>99.944999999999993</v>
      </c>
      <c r="AQE5">
        <f>SOFR3mo_PX[[#This Row],[Column1123]]</f>
        <v>99.944999999999993</v>
      </c>
      <c r="AQF5">
        <f>SOFR3mo_PX[[#This Row],[Column1124]]</f>
        <v>99.944999999999993</v>
      </c>
      <c r="AQG5">
        <f>SOFR3mo_PX[[#This Row],[Column1125]]</f>
        <v>99.935000000000002</v>
      </c>
      <c r="AQH5">
        <f>SOFR3mo_PX[[#This Row],[Column1126]]</f>
        <v>99.94</v>
      </c>
      <c r="AQI5">
        <f>SOFR3mo_PX[[#This Row],[Column1127]]</f>
        <v>99.944999999999993</v>
      </c>
      <c r="AQJ5">
        <f>SOFR3mo_PX[[#This Row],[Column1128]]</f>
        <v>99.94</v>
      </c>
      <c r="AQK5">
        <f>SOFR3mo_PX[[#This Row],[Column1129]]</f>
        <v>99.94</v>
      </c>
      <c r="AQL5">
        <f>SOFR3mo_PX[[#This Row],[Column1130]]</f>
        <v>99.95</v>
      </c>
      <c r="AQM5">
        <f>SOFR3mo_PX[[#This Row],[Column1131]]</f>
        <v>99.954999999999998</v>
      </c>
      <c r="AQN5">
        <f>SOFR3mo_PX[[#This Row],[Column1132]]</f>
        <v>99.954999999999998</v>
      </c>
      <c r="AQO5">
        <f>SOFR3mo_PX[[#This Row],[Column1133]]</f>
        <v>99.96</v>
      </c>
      <c r="AQP5">
        <f>SOFR3mo_PX[[#This Row],[Column1134]]</f>
        <v>99.954999999999998</v>
      </c>
      <c r="AQQ5">
        <f>SOFR3mo_PX[[#This Row],[Column1135]]</f>
        <v>99.954999999999998</v>
      </c>
      <c r="AQR5">
        <f>SOFR3mo_PX[[#This Row],[Column1136]]</f>
        <v>99.96</v>
      </c>
      <c r="AQS5">
        <f>SOFR3mo_PX[[#This Row],[Column1137]]</f>
        <v>99.96</v>
      </c>
      <c r="AQT5">
        <f>SOFR3mo_PX[[#This Row],[Column1138]]</f>
        <v>99.96</v>
      </c>
      <c r="AQU5">
        <f>SOFR3mo_PX[[#This Row],[Column1139]]</f>
        <v>99.954999999999998</v>
      </c>
      <c r="AQV5">
        <f>SOFR3mo_PX[[#This Row],[Column1140]]</f>
        <v>99.954999999999998</v>
      </c>
      <c r="AQW5">
        <f>SOFR3mo_PX[[#This Row],[Column1141]]</f>
        <v>99.954999999999998</v>
      </c>
      <c r="AQX5">
        <f>SOFR3mo_PX[[#This Row],[Column1142]]</f>
        <v>99.96</v>
      </c>
      <c r="AQY5">
        <f>SOFR3mo_PX[[#This Row],[Column1143]]</f>
        <v>99.954999999999998</v>
      </c>
      <c r="AQZ5">
        <f>SOFR3mo_PX[[#This Row],[Column1144]]</f>
        <v>99.95</v>
      </c>
      <c r="ARA5">
        <f>SOFR3mo_PX[[#This Row],[Column1145]]</f>
        <v>99.954999999999998</v>
      </c>
      <c r="ARB5">
        <f>SOFR3mo_PX[[#This Row],[Column1146]]</f>
        <v>99.954999999999998</v>
      </c>
      <c r="ARC5">
        <f>SOFR3mo_PX[[#This Row],[Column1147]]</f>
        <v>99.954999999999998</v>
      </c>
      <c r="ARD5">
        <f>SOFR3mo_PX[[#This Row],[Column1148]]</f>
        <v>99.95</v>
      </c>
      <c r="ARE5">
        <f>SOFR3mo_PX[[#This Row],[Column1149]]</f>
        <v>99.954999999999998</v>
      </c>
      <c r="ARF5">
        <f>SOFR3mo_PX[[#This Row],[Column1150]]</f>
        <v>99.95</v>
      </c>
      <c r="ARG5">
        <f>SOFR3mo_PX[[#This Row],[Column1151]]</f>
        <v>99.95</v>
      </c>
      <c r="ARH5">
        <f>SOFR3mo_PX[[#This Row],[Column1152]]</f>
        <v>99.95</v>
      </c>
      <c r="ARI5">
        <f>SOFR3mo_PX[[#This Row],[Column1153]]</f>
        <v>99.944999999999993</v>
      </c>
      <c r="ARJ5">
        <f>SOFR3mo_PX[[#This Row],[Column1154]]</f>
        <v>99.94</v>
      </c>
      <c r="ARK5">
        <f>SOFR3mo_PX[[#This Row],[Column1155]]</f>
        <v>99.94</v>
      </c>
      <c r="ARL5">
        <f>SOFR3mo_PX[[#This Row],[Column1156]]</f>
        <v>99.94</v>
      </c>
      <c r="ARM5">
        <f>SOFR3mo_PX[[#This Row],[Column1157]]</f>
        <v>99.94</v>
      </c>
      <c r="ARN5">
        <f>SOFR3mo_PX[[#This Row],[Column1158]]</f>
        <v>99.94</v>
      </c>
      <c r="ARO5">
        <f>SOFR3mo_PX[[#This Row],[Column1159]]</f>
        <v>99.94</v>
      </c>
      <c r="ARP5">
        <f>SOFR3mo_PX[[#This Row],[Column1160]]</f>
        <v>99.935000000000002</v>
      </c>
      <c r="ARQ5">
        <f>SOFR3mo_PX[[#This Row],[Column1161]]</f>
        <v>99.94</v>
      </c>
      <c r="ARR5">
        <f>SOFR3mo_PX[[#This Row],[Column1162]]</f>
        <v>99.94</v>
      </c>
      <c r="ARS5">
        <f>SOFR3mo_PX[[#This Row],[Column1163]]</f>
        <v>99.94</v>
      </c>
      <c r="ART5">
        <f>SOFR3mo_PX[[#This Row],[Column1164]]</f>
        <v>99.935000000000002</v>
      </c>
      <c r="ARU5">
        <f>SOFR3mo_PX[[#This Row],[Column1165]]</f>
        <v>99.95</v>
      </c>
      <c r="ARV5">
        <f>SOFR3mo_PX[[#This Row],[Column1166]]</f>
        <v>99.954999999999998</v>
      </c>
      <c r="ARW5">
        <f>SOFR3mo_PX[[#This Row],[Column1167]]</f>
        <v>99.95</v>
      </c>
      <c r="ARX5">
        <f>SOFR3mo_PX[[#This Row],[Column1168]]</f>
        <v>99.95</v>
      </c>
      <c r="ARY5">
        <f>SOFR3mo_PX[[#This Row],[Column1169]]</f>
        <v>99.95</v>
      </c>
      <c r="ARZ5">
        <f>SOFR3mo_PX[[#This Row],[Column1170]]</f>
        <v>99.95</v>
      </c>
      <c r="ASA5">
        <f>SOFR3mo_PX[[#This Row],[Column1171]]</f>
        <v>99.95</v>
      </c>
      <c r="ASB5">
        <f>SOFR3mo_PX[[#This Row],[Column1172]]</f>
        <v>99.95</v>
      </c>
      <c r="ASC5">
        <f>SOFR3mo_PX[[#This Row],[Column1173]]</f>
        <v>99.95</v>
      </c>
      <c r="ASD5">
        <f>SOFR3mo_PX[[#This Row],[Column1174]]</f>
        <v>99.944999999999993</v>
      </c>
      <c r="ASE5">
        <f>SOFR3mo_PX[[#This Row],[Column1175]]</f>
        <v>99.944999999999993</v>
      </c>
      <c r="ASF5">
        <f>SOFR3mo_PX[[#This Row],[Column1176]]</f>
        <v>99.95</v>
      </c>
      <c r="ASG5">
        <f>SOFR3mo_PX[[#This Row],[Column1177]]</f>
        <v>99.95</v>
      </c>
      <c r="ASH5">
        <f>SOFR3mo_PX[[#This Row],[Column1178]]</f>
        <v>99.95</v>
      </c>
      <c r="ASI5">
        <f>SOFR3mo_PX[[#This Row],[Column1179]]</f>
        <v>99.95</v>
      </c>
      <c r="ASJ5">
        <f>SOFR3mo_PX[[#This Row],[Column1180]]</f>
        <v>99.95</v>
      </c>
      <c r="ASK5">
        <f>SOFR3mo_PX[[#This Row],[Column1181]]</f>
        <v>99.95</v>
      </c>
      <c r="ASL5">
        <f>SOFR3mo_PX[[#This Row],[Column1182]]</f>
        <v>99.95</v>
      </c>
      <c r="ASM5">
        <f>SOFR3mo_PX[[#This Row],[Column1183]]</f>
        <v>99.944999999999993</v>
      </c>
      <c r="ASN5">
        <f>SOFR3mo_PX[[#This Row],[Column1184]]</f>
        <v>99.944999999999993</v>
      </c>
      <c r="ASO5">
        <f>SOFR3mo_PX[[#This Row],[Column1185]]</f>
        <v>99.94</v>
      </c>
      <c r="ASP5">
        <f>SOFR3mo_PX[[#This Row],[Column1186]]</f>
        <v>99.944999999999993</v>
      </c>
      <c r="ASQ5">
        <f>SOFR3mo_PX[[#This Row],[Column1187]]</f>
        <v>99.94</v>
      </c>
      <c r="ASR5">
        <f>SOFR3mo_PX[[#This Row],[Column1188]]</f>
        <v>99.94</v>
      </c>
      <c r="ASS5">
        <f>SOFR3mo_PX[[#This Row],[Column1189]]</f>
        <v>99.94</v>
      </c>
      <c r="AST5">
        <f>SOFR3mo_PX[[#This Row],[Column1190]]</f>
        <v>99.94</v>
      </c>
      <c r="ASU5">
        <f>SOFR3mo_PX[[#This Row],[Column1191]]</f>
        <v>99.94</v>
      </c>
      <c r="ASV5">
        <f>SOFR3mo_PX[[#This Row],[Column1192]]</f>
        <v>99.94</v>
      </c>
      <c r="ASW5">
        <f>SOFR3mo_PX[[#This Row],[Column1193]]</f>
        <v>99.94</v>
      </c>
      <c r="ASX5">
        <f>SOFR3mo_PX[[#This Row],[Column1194]]</f>
        <v>99.94</v>
      </c>
      <c r="ASY5">
        <f>SOFR3mo_PX[[#This Row],[Column1195]]</f>
        <v>99.94</v>
      </c>
      <c r="ASZ5">
        <f>SOFR3mo_PX[[#This Row],[Column1196]]</f>
        <v>99.94</v>
      </c>
      <c r="ATA5">
        <f>SOFR3mo_PX[[#This Row],[Column1197]]</f>
        <v>99.94</v>
      </c>
      <c r="ATB5">
        <f>SOFR3mo_PX[[#This Row],[Column1198]]</f>
        <v>99.935000000000002</v>
      </c>
      <c r="ATC5">
        <f>SOFR3mo_PX[[#This Row],[Column1199]]</f>
        <v>99.924999999999997</v>
      </c>
      <c r="ATD5">
        <f>SOFR3mo_PX[[#This Row],[Column1200]]</f>
        <v>99.924999999999997</v>
      </c>
      <c r="ATE5">
        <f>SOFR3mo_PX[[#This Row],[Column1201]]</f>
        <v>99.924999999999997</v>
      </c>
      <c r="ATF5">
        <f>SOFR3mo_PX[[#This Row],[Column1202]]</f>
        <v>99.924999999999997</v>
      </c>
      <c r="ATG5">
        <f>SOFR3mo_PX[[#This Row],[Column1203]]</f>
        <v>99.924999999999997</v>
      </c>
      <c r="ATH5">
        <f>SOFR3mo_PX[[#This Row],[Column1204]]</f>
        <v>99.92</v>
      </c>
      <c r="ATI5">
        <f>SOFR3mo_PX[[#This Row],[Column1205]]</f>
        <v>99.92</v>
      </c>
      <c r="ATJ5">
        <f>SOFR3mo_PX[[#This Row],[Column1206]]</f>
        <v>99.915000000000006</v>
      </c>
      <c r="ATK5">
        <f>SOFR3mo_PX[[#This Row],[Column1207]]</f>
        <v>99.93</v>
      </c>
      <c r="ATL5">
        <f>SOFR3mo_PX[[#This Row],[Column1208]]</f>
        <v>99.93</v>
      </c>
      <c r="ATM5">
        <f>SOFR3mo_PX[[#This Row],[Column1209]]</f>
        <v>99.93</v>
      </c>
      <c r="ATN5">
        <f>SOFR3mo_PX[[#This Row],[Column1210]]</f>
        <v>99.924999999999997</v>
      </c>
      <c r="ATO5">
        <f>SOFR3mo_PX[[#This Row],[Column1211]]</f>
        <v>99.93</v>
      </c>
      <c r="ATP5">
        <f>SOFR3mo_PX[[#This Row],[Column1212]]</f>
        <v>99.935000000000002</v>
      </c>
      <c r="ATQ5">
        <f>SOFR3mo_PX[[#This Row],[Column1213]]</f>
        <v>99.935000000000002</v>
      </c>
      <c r="ATR5">
        <f>SOFR3mo_PX[[#This Row],[Column1214]]</f>
        <v>99.935000000000002</v>
      </c>
      <c r="ATS5">
        <f>SOFR3mo_PX[[#This Row],[Column1215]]</f>
        <v>99.93</v>
      </c>
      <c r="ATT5">
        <f>SOFR3mo_PX[[#This Row],[Column1216]]</f>
        <v>99.93</v>
      </c>
      <c r="ATU5">
        <f>SOFR3mo_PX[[#This Row],[Column1217]]</f>
        <v>99.924999999999997</v>
      </c>
      <c r="ATV5">
        <f>SOFR3mo_PX[[#This Row],[Column1218]]</f>
        <v>99.93</v>
      </c>
      <c r="ATW5">
        <f>SOFR3mo_PX[[#This Row],[Column1219]]</f>
        <v>99.935000000000002</v>
      </c>
      <c r="ATX5">
        <f>SOFR3mo_PX[[#This Row],[Column1220]]</f>
        <v>99.935000000000002</v>
      </c>
      <c r="ATY5">
        <f>SOFR3mo_PX[[#This Row],[Column1221]]</f>
        <v>99.935000000000002</v>
      </c>
      <c r="ATZ5">
        <f>SOFR3mo_PX[[#This Row],[Column1222]]</f>
        <v>99.935000000000002</v>
      </c>
      <c r="AUA5">
        <f>SOFR3mo_PX[[#This Row],[Column1223]]</f>
        <v>99.93</v>
      </c>
      <c r="AUB5">
        <f>SOFR3mo_PX[[#This Row],[Column1224]]</f>
        <v>99.935000000000002</v>
      </c>
      <c r="AUC5">
        <f>SOFR3mo_PX[[#This Row],[Column1225]]</f>
        <v>99.935000000000002</v>
      </c>
      <c r="AUD5">
        <f>SOFR3mo_PX[[#This Row],[Column1226]]</f>
        <v>99.935000000000002</v>
      </c>
      <c r="AUE5">
        <f>SOFR3mo_PX[[#This Row],[Column1227]]</f>
        <v>99.935000000000002</v>
      </c>
      <c r="AUF5">
        <f>SOFR3mo_PX[[#This Row],[Column1228]]</f>
        <v>99.935000000000002</v>
      </c>
      <c r="AUG5">
        <f>SOFR3mo_PX[[#This Row],[Column1229]]</f>
        <v>99.935000000000002</v>
      </c>
      <c r="AUH5">
        <f>SOFR3mo_PX[[#This Row],[Column1230]]</f>
        <v>99.94</v>
      </c>
      <c r="AUI5">
        <f>SOFR3mo_PX[[#This Row],[Column1231]]</f>
        <v>99.94</v>
      </c>
      <c r="AUJ5">
        <f>SOFR3mo_PX[[#This Row],[Column1232]]</f>
        <v>99.944999999999993</v>
      </c>
      <c r="AUK5">
        <f>SOFR3mo_PX[[#This Row],[Column1233]]</f>
        <v>99.944999999999993</v>
      </c>
      <c r="AUL5">
        <f>SOFR3mo_PX[[#This Row],[Column1234]]</f>
        <v>99.95</v>
      </c>
      <c r="AUM5">
        <f>SOFR3mo_PX[[#This Row],[Column1235]]</f>
        <v>99.954999999999998</v>
      </c>
      <c r="AUN5">
        <f>SOFR3mo_PX[[#This Row],[Column1236]]</f>
        <v>99.954999999999998</v>
      </c>
      <c r="AUO5">
        <f>SOFR3mo_PX[[#This Row],[Column1237]]</f>
        <v>99.954999999999998</v>
      </c>
      <c r="AUP5">
        <f>SOFR3mo_PX[[#This Row],[Column1238]]</f>
        <v>99.95</v>
      </c>
      <c r="AUQ5">
        <f>SOFR3mo_PX[[#This Row],[Column1239]]</f>
        <v>99.944999999999993</v>
      </c>
      <c r="AUR5">
        <f>SOFR3mo_PX[[#This Row],[Column1240]]</f>
        <v>99.944999999999993</v>
      </c>
      <c r="AUS5">
        <f>SOFR3mo_PX[[#This Row],[Column1241]]</f>
        <v>99.944999999999993</v>
      </c>
      <c r="AUT5">
        <f>SOFR3mo_PX[[#This Row],[Column1242]]</f>
        <v>99.944999999999993</v>
      </c>
      <c r="AUU5">
        <f>SOFR3mo_PX[[#This Row],[Column1243]]</f>
        <v>99.954999999999998</v>
      </c>
      <c r="AUV5">
        <f>SOFR3mo_PX[[#This Row],[Column1244]]</f>
        <v>99.954999999999998</v>
      </c>
      <c r="AUW5">
        <f>SOFR3mo_PX[[#This Row],[Column1245]]</f>
        <v>99.93</v>
      </c>
      <c r="AUX5">
        <f>SOFR3mo_PX[[#This Row],[Column1246]]</f>
        <v>99.93</v>
      </c>
      <c r="AUY5">
        <f>SOFR3mo_PX[[#This Row],[Column1247]]</f>
        <v>99.93</v>
      </c>
      <c r="AUZ5">
        <f>SOFR3mo_PX[[#This Row],[Column1248]]</f>
        <v>99.93</v>
      </c>
      <c r="AVA5">
        <f>SOFR3mo_PX[[#This Row],[Column1249]]</f>
        <v>99.924999999999997</v>
      </c>
      <c r="AVB5">
        <f>SOFR3mo_PX[[#This Row],[Column1250]]</f>
        <v>99.93</v>
      </c>
      <c r="AVC5">
        <f>SOFR3mo_PX[[#This Row],[Column1251]]</f>
        <v>99.93</v>
      </c>
      <c r="AVD5">
        <f>SOFR3mo_PX[[#This Row],[Column1252]]</f>
        <v>99.93</v>
      </c>
      <c r="AVE5">
        <f>SOFR3mo_PX[[#This Row],[Column1253]]</f>
        <v>99.94</v>
      </c>
      <c r="AVF5">
        <f>SOFR3mo_PX[[#This Row],[Column1254]]</f>
        <v>99.935000000000002</v>
      </c>
      <c r="AVG5">
        <f>SOFR3mo_PX[[#This Row],[Column1255]]</f>
        <v>99.94</v>
      </c>
      <c r="AVH5">
        <f>SOFR3mo_PX[[#This Row],[Column1256]]</f>
        <v>99.94</v>
      </c>
      <c r="AVI5">
        <f>SOFR3mo_PX[[#This Row],[Column1257]]</f>
        <v>99.94</v>
      </c>
      <c r="AVJ5">
        <f>SOFR3mo_PX[[#This Row],[Column1258]]</f>
        <v>99.93</v>
      </c>
      <c r="AVK5">
        <f>SOFR3mo_PX[[#This Row],[Column1259]]</f>
        <v>99.93</v>
      </c>
      <c r="AVL5">
        <f>SOFR3mo_PX[[#This Row],[Column1260]]</f>
        <v>99.935000000000002</v>
      </c>
      <c r="AVM5">
        <f>SOFR3mo_PX[[#This Row],[Column1261]]</f>
        <v>99.935000000000002</v>
      </c>
      <c r="AVN5">
        <f>SOFR3mo_PX[[#This Row],[Column1262]]</f>
        <v>99.935000000000002</v>
      </c>
      <c r="AVO5">
        <f>SOFR3mo_PX[[#This Row],[Column1263]]</f>
        <v>99.935000000000002</v>
      </c>
      <c r="AVP5">
        <f>SOFR3mo_PX[[#This Row],[Column1264]]</f>
        <v>99.935000000000002</v>
      </c>
      <c r="AVQ5">
        <f>SOFR3mo_PX[[#This Row],[Column1265]]</f>
        <v>99.93</v>
      </c>
      <c r="AVR5">
        <f>SOFR3mo_PX[[#This Row],[Column1266]]</f>
        <v>99.94</v>
      </c>
      <c r="AVS5">
        <f>SOFR3mo_PX[[#This Row],[Column1267]]</f>
        <v>99.935000000000002</v>
      </c>
      <c r="AVT5">
        <f>SOFR3mo_PX[[#This Row],[Column1268]]</f>
        <v>99.935000000000002</v>
      </c>
      <c r="AVU5">
        <f>SOFR3mo_PX[[#This Row],[Column1269]]</f>
        <v>99.94</v>
      </c>
      <c r="AVV5">
        <f>SOFR3mo_PX[[#This Row],[Column1270]]</f>
        <v>99.94</v>
      </c>
      <c r="AVW5">
        <f>SOFR3mo_PX[[#This Row],[Column1271]]</f>
        <v>99.94</v>
      </c>
      <c r="AVX5">
        <f>SOFR3mo_PX[[#This Row],[Column1272]]</f>
        <v>99.94</v>
      </c>
      <c r="AVY5">
        <f>SOFR3mo_PX[[#This Row],[Column1273]]</f>
        <v>99.95</v>
      </c>
      <c r="AVZ5">
        <f>SOFR3mo_PX[[#This Row],[Column1274]]</f>
        <v>99.95</v>
      </c>
      <c r="AWA5">
        <f>SOFR3mo_PX[[#This Row],[Column1275]]</f>
        <v>99.954999999999998</v>
      </c>
      <c r="AWB5">
        <f>SOFR3mo_PX[[#This Row],[Column1276]]</f>
        <v>99.954999999999998</v>
      </c>
      <c r="AWC5">
        <f>SOFR3mo_PX[[#This Row],[Column1277]]</f>
        <v>99.96</v>
      </c>
      <c r="AWD5">
        <f>SOFR3mo_PX[[#This Row],[Column1278]]</f>
        <v>99.96</v>
      </c>
      <c r="AWE5">
        <f>SOFR3mo_PX[[#This Row],[Column1279]]</f>
        <v>99.96</v>
      </c>
      <c r="AWF5">
        <f>SOFR3mo_PX[[#This Row],[Column1280]]</f>
        <v>99.95</v>
      </c>
      <c r="AWG5">
        <f>SOFR3mo_PX[[#This Row],[Column1281]]</f>
        <v>99.95</v>
      </c>
      <c r="AWH5">
        <f>SOFR3mo_PX[[#This Row],[Column1282]]</f>
        <v>99.95</v>
      </c>
      <c r="AWI5">
        <f>SOFR3mo_PX[[#This Row],[Column1283]]</f>
        <v>99.954999999999998</v>
      </c>
      <c r="AWJ5">
        <f>SOFR3mo_PX[[#This Row],[Column1284]]</f>
        <v>99.95</v>
      </c>
      <c r="AWK5">
        <f>SOFR3mo_PX[[#This Row],[Column1285]]</f>
        <v>99.954999999999998</v>
      </c>
      <c r="AWL5">
        <f>SOFR3mo_PX[[#This Row],[Column1286]]</f>
        <v>99.954999999999998</v>
      </c>
      <c r="AWM5">
        <f>SOFR3mo_PX[[#This Row],[Column1287]]</f>
        <v>99.954999999999998</v>
      </c>
      <c r="AWN5">
        <f>SOFR3mo_PX[[#This Row],[Column1288]]</f>
        <v>99.954999999999998</v>
      </c>
      <c r="AWO5">
        <f>SOFR3mo_PX[[#This Row],[Column1289]]</f>
        <v>99.95</v>
      </c>
      <c r="AWP5">
        <f>SOFR3mo_PX[[#This Row],[Column1290]]</f>
        <v>99.954999999999998</v>
      </c>
      <c r="AWQ5">
        <f>SOFR3mo_PX[[#This Row],[Column1291]]</f>
        <v>99.954999999999998</v>
      </c>
      <c r="AWR5">
        <f>SOFR3mo_PX[[#This Row],[Column1292]]</f>
        <v>99.96</v>
      </c>
      <c r="AWS5">
        <f>SOFR3mo_PX[[#This Row],[Column1293]]</f>
        <v>99.96</v>
      </c>
      <c r="AWT5">
        <f>SOFR3mo_PX[[#This Row],[Column1294]]</f>
        <v>99.965000000000003</v>
      </c>
      <c r="AWU5">
        <f>SOFR3mo_PX[[#This Row],[Column1295]]</f>
        <v>99.965000000000003</v>
      </c>
      <c r="AWV5">
        <f>SOFR3mo_PX[[#This Row],[Column1296]]</f>
        <v>99.965000000000003</v>
      </c>
      <c r="AWW5">
        <f>SOFR3mo_PX[[#This Row],[Column1297]]</f>
        <v>99.965000000000003</v>
      </c>
      <c r="AWX5">
        <f>SOFR3mo_PX[[#This Row],[Column1298]]</f>
        <v>99.965000000000003</v>
      </c>
      <c r="AWY5">
        <f>SOFR3mo_PX[[#This Row],[Column1299]]</f>
        <v>99.97</v>
      </c>
      <c r="AWZ5">
        <f>SOFR3mo_PX[[#This Row],[Column1300]]</f>
        <v>99.98</v>
      </c>
      <c r="AXA5">
        <f>SOFR3mo_PX[[#This Row],[Column1301]]</f>
        <v>99.974999999999994</v>
      </c>
      <c r="AXB5">
        <f>SOFR3mo_PX[[#This Row],[Column1302]]</f>
        <v>99.97</v>
      </c>
      <c r="AXC5">
        <f>SOFR3mo_PX[[#This Row],[Column1303]]</f>
        <v>99.95</v>
      </c>
      <c r="AXD5">
        <f>SOFR3mo_PX[[#This Row],[Column1304]]</f>
        <v>99.95</v>
      </c>
      <c r="AXE5">
        <f>SOFR3mo_PX[[#This Row],[Column1305]]</f>
        <v>99.95</v>
      </c>
      <c r="AXF5">
        <f>SOFR3mo_PX[[#This Row],[Column1306]]</f>
        <v>99.95</v>
      </c>
      <c r="AXG5">
        <f>SOFR3mo_PX[[#This Row],[Column1307]]</f>
        <v>99.944999999999993</v>
      </c>
      <c r="AXH5">
        <f>SOFR3mo_PX[[#This Row],[Column1308]]</f>
        <v>99.94</v>
      </c>
      <c r="AXI5">
        <f>SOFR3mo_PX[[#This Row],[Column1309]]</f>
        <v>99.935000000000002</v>
      </c>
      <c r="AXJ5">
        <f>SOFR3mo_PX[[#This Row],[Column1310]]</f>
        <v>99.91</v>
      </c>
      <c r="AXK5">
        <f>SOFR3mo_PX[[#This Row],[Column1311]]</f>
        <v>99.915000000000006</v>
      </c>
      <c r="AXL5">
        <f>SOFR3mo_PX[[#This Row],[Column1312]]</f>
        <v>99.92</v>
      </c>
      <c r="AXM5">
        <f>SOFR3mo_PX[[#This Row],[Column1313]]</f>
        <v>99.94</v>
      </c>
      <c r="AXN5">
        <f>SOFR3mo_PX[[#This Row],[Column1314]]</f>
        <v>99.935000000000002</v>
      </c>
      <c r="AXO5">
        <f>SOFR3mo_PX[[#This Row],[Column1315]]</f>
        <v>99.924999999999997</v>
      </c>
      <c r="AXP5">
        <f>SOFR3mo_PX[[#This Row],[Column1316]]</f>
        <v>99.92</v>
      </c>
      <c r="AXQ5">
        <f>SOFR3mo_PX[[#This Row],[Column1317]]</f>
        <v>99.924999999999997</v>
      </c>
      <c r="AXR5">
        <f>SOFR3mo_PX[[#This Row],[Column1318]]</f>
        <v>99.93</v>
      </c>
      <c r="AXS5">
        <f>SOFR3mo_PX[[#This Row],[Column1319]]</f>
        <v>99.93</v>
      </c>
      <c r="AXT5">
        <f>SOFR3mo_PX[[#This Row],[Column1320]]</f>
        <v>99.944999999999993</v>
      </c>
      <c r="AXU5">
        <f>SOFR3mo_PX[[#This Row],[Column1321]]</f>
        <v>99.944999999999993</v>
      </c>
      <c r="AXV5">
        <f>SOFR3mo_PX[[#This Row],[Column1322]]</f>
        <v>99.94</v>
      </c>
      <c r="AXW5">
        <f>SOFR3mo_PX[[#This Row],[Column1323]]</f>
        <v>99.935000000000002</v>
      </c>
      <c r="AXX5">
        <f>SOFR3mo_PX[[#This Row],[Column1324]]</f>
        <v>99.94</v>
      </c>
      <c r="AXY5">
        <f>SOFR3mo_PX[[#This Row],[Column1325]]</f>
        <v>99.94</v>
      </c>
      <c r="AXZ5">
        <f>SOFR3mo_PX[[#This Row],[Column1326]]</f>
        <v>99.944999999999993</v>
      </c>
      <c r="AYA5">
        <f>SOFR3mo_PX[[#This Row],[Column1327]]</f>
        <v>99.944999999999993</v>
      </c>
      <c r="AYB5">
        <f>SOFR3mo_PX[[#This Row],[Column1328]]</f>
        <v>99.944999999999993</v>
      </c>
      <c r="AYC5">
        <f>SOFR3mo_PX[[#This Row],[Column1329]]</f>
        <v>99.944999999999993</v>
      </c>
      <c r="AYD5">
        <f>SOFR3mo_PX[[#This Row],[Column1330]]</f>
        <v>99.94</v>
      </c>
      <c r="AYE5">
        <f>SOFR3mo_PX[[#This Row],[Column1331]]</f>
        <v>99.935000000000002</v>
      </c>
      <c r="AYF5">
        <f>SOFR3mo_PX[[#This Row],[Column1332]]</f>
        <v>99.95</v>
      </c>
      <c r="AYG5">
        <f>SOFR3mo_PX[[#This Row],[Column1333]]</f>
        <v>99.95</v>
      </c>
      <c r="AYH5">
        <f>SOFR3mo_PX[[#This Row],[Column1334]]</f>
        <v>99.95</v>
      </c>
      <c r="AYI5">
        <f>SOFR3mo_PX[[#This Row],[Column1335]]</f>
        <v>99.94</v>
      </c>
      <c r="AYJ5">
        <f>SOFR3mo_PX[[#This Row],[Column1336]]</f>
        <v>99.954999999999998</v>
      </c>
      <c r="AYK5">
        <f>SOFR3mo_PX[[#This Row],[Column1337]]</f>
        <v>99.97</v>
      </c>
      <c r="AYL5">
        <f>SOFR3mo_PX[[#This Row],[Column1338]]</f>
        <v>99.995000000000005</v>
      </c>
      <c r="AYM5">
        <f>SOFR3mo_PX[[#This Row],[Column1339]]</f>
        <v>99.97</v>
      </c>
      <c r="AYN5">
        <f>SOFR3mo_PX[[#This Row],[Column1340]]</f>
        <v>99.96</v>
      </c>
      <c r="AYO5">
        <f>SOFR3mo_PX[[#This Row],[Column1341]]</f>
        <v>99.97</v>
      </c>
      <c r="AYP5">
        <f>SOFR3mo_PX[[#This Row],[Column1342]]</f>
        <v>99.965000000000003</v>
      </c>
      <c r="AYQ5">
        <f>SOFR3mo_PX[[#This Row],[Column1343]]</f>
        <v>99.97</v>
      </c>
      <c r="AYR5">
        <f>SOFR3mo_PX[[#This Row],[Column1344]]</f>
        <v>99.96</v>
      </c>
      <c r="AYS5">
        <f>SOFR3mo_PX[[#This Row],[Column1345]]</f>
        <v>99.944999999999993</v>
      </c>
      <c r="AYT5">
        <f>SOFR3mo_PX[[#This Row],[Column1346]]</f>
        <v>99.95</v>
      </c>
      <c r="AYU5">
        <f>SOFR3mo_PX[[#This Row],[Column1347]]</f>
        <v>99.95</v>
      </c>
      <c r="AYV5">
        <f>SOFR3mo_PX[[#This Row],[Column1348]]</f>
        <v>99.944999999999993</v>
      </c>
      <c r="AYW5">
        <f>SOFR3mo_PX[[#This Row],[Column1349]]</f>
        <v>99.944999999999993</v>
      </c>
      <c r="AYX5">
        <f>SOFR3mo_PX[[#This Row],[Column1350]]</f>
        <v>99.944999999999993</v>
      </c>
      <c r="AYY5">
        <f>SOFR3mo_PX[[#This Row],[Column1351]]</f>
        <v>99.935000000000002</v>
      </c>
      <c r="AYZ5">
        <f>SOFR3mo_PX[[#This Row],[Column1352]]</f>
        <v>99.944999999999993</v>
      </c>
      <c r="AZA5">
        <f>SOFR3mo_PX[[#This Row],[Column1353]]</f>
        <v>99.935000000000002</v>
      </c>
      <c r="AZB5">
        <f>SOFR3mo_PX[[#This Row],[Column1354]]</f>
        <v>99.944999999999993</v>
      </c>
      <c r="AZC5">
        <f>SOFR3mo_PX[[#This Row],[Column1355]]</f>
        <v>99.94</v>
      </c>
      <c r="AZD5">
        <f>SOFR3mo_PX[[#This Row],[Column1356]]</f>
        <v>99.954999999999998</v>
      </c>
      <c r="AZE5">
        <f>SOFR3mo_PX[[#This Row],[Column1357]]</f>
        <v>99.954999999999998</v>
      </c>
      <c r="AZF5">
        <f>SOFR3mo_PX[[#This Row],[Column1358]]</f>
        <v>99.954999999999998</v>
      </c>
      <c r="AZG5">
        <f>SOFR3mo_PX[[#This Row],[Column1359]]</f>
        <v>99.94</v>
      </c>
      <c r="AZH5">
        <f>SOFR3mo_PX[[#This Row],[Column1360]]</f>
        <v>99.93</v>
      </c>
      <c r="AZI5">
        <f>SOFR3mo_PX[[#This Row],[Column1361]]</f>
        <v>99.935000000000002</v>
      </c>
      <c r="AZJ5">
        <f>SOFR3mo_PX[[#This Row],[Column1362]]</f>
        <v>99.93</v>
      </c>
      <c r="AZK5">
        <f>SOFR3mo_PX[[#This Row],[Column1363]]</f>
        <v>99.95</v>
      </c>
      <c r="AZL5">
        <f>SOFR3mo_PX[[#This Row],[Column1364]]</f>
        <v>99.94</v>
      </c>
      <c r="AZM5">
        <f>SOFR3mo_PX[[#This Row],[Column1365]]</f>
        <v>99.95</v>
      </c>
      <c r="AZN5">
        <f>SOFR3mo_PX[[#This Row],[Column1366]]</f>
        <v>99.95</v>
      </c>
      <c r="AZO5">
        <f>SOFR3mo_PX[[#This Row],[Column1367]]</f>
        <v>99.95</v>
      </c>
      <c r="AZP5">
        <f>SOFR3mo_PX[[#This Row],[Column1368]]</f>
        <v>99.96</v>
      </c>
      <c r="AZQ5">
        <f>SOFR3mo_PX[[#This Row],[Column1369]]</f>
        <v>99.94</v>
      </c>
      <c r="AZR5">
        <f>SOFR3mo_PX[[#This Row],[Column1370]]</f>
        <v>99.935000000000002</v>
      </c>
      <c r="AZS5">
        <f>SOFR3mo_PX[[#This Row],[Column1371]]</f>
        <v>99.944999999999993</v>
      </c>
      <c r="AZT5">
        <f>SOFR3mo_PX[[#This Row],[Column1372]]</f>
        <v>99.924999999999997</v>
      </c>
      <c r="AZU5">
        <f>SOFR3mo_PX[[#This Row],[Column1373]]</f>
        <v>99.9</v>
      </c>
      <c r="AZV5">
        <f>SOFR3mo_PX[[#This Row],[Column1374]]</f>
        <v>99.85</v>
      </c>
      <c r="AZW5">
        <f>SOFR3mo_PX[[#This Row],[Column1375]]</f>
        <v>99.894999999999996</v>
      </c>
      <c r="AZX5">
        <f>SOFR3mo_PX[[#This Row],[Column1376]]</f>
        <v>99.94</v>
      </c>
      <c r="AZY5">
        <f>SOFR3mo_PX[[#This Row],[Column1377]]</f>
        <v>99.894999999999996</v>
      </c>
      <c r="AZZ5">
        <f>SOFR3mo_PX[[#This Row],[Column1378]]</f>
        <v>99.89</v>
      </c>
      <c r="BAA5">
        <f>SOFR3mo_PX[[#This Row],[Column1379]]</f>
        <v>99.85</v>
      </c>
      <c r="BAB5">
        <f>SOFR3mo_PX[[#This Row],[Column1380]]</f>
        <v>99.8</v>
      </c>
      <c r="BAC5">
        <f>SOFR3mo_PX[[#This Row],[Column1381]]</f>
        <v>99.87</v>
      </c>
      <c r="BAD5">
        <f>SOFR3mo_PX[[#This Row],[Column1382]]</f>
        <v>99.694999999999993</v>
      </c>
      <c r="BAE5">
        <f>SOFR3mo_PX[[#This Row],[Column1383]]</f>
        <v>99.6</v>
      </c>
      <c r="BAF5">
        <f>SOFR3mo_PX[[#This Row],[Column1384]]</f>
        <v>99.52</v>
      </c>
      <c r="BAG5">
        <f>SOFR3mo_PX[[#This Row],[Column1385]]</f>
        <v>99.4</v>
      </c>
      <c r="BAH5">
        <f>SOFR3mo_PX[[#This Row],[Column1386]]</f>
        <v>99.254999999999995</v>
      </c>
      <c r="BAI5">
        <f>SOFR3mo_PX[[#This Row],[Column1387]]</f>
        <v>99.155000000000001</v>
      </c>
      <c r="BAJ5">
        <f>SOFR3mo_PX[[#This Row],[Column1388]]</f>
        <v>98.915000000000006</v>
      </c>
      <c r="BAK5">
        <f>SOFR3mo_PX[[#This Row],[Column1389]]</f>
        <v>98.84</v>
      </c>
      <c r="BAL5">
        <f>SOFR3mo_PX[[#This Row],[Column1390]]</f>
        <v>98.784999999999997</v>
      </c>
      <c r="BAM5">
        <f>SOFR3mo_PX[[#This Row],[Column1391]]</f>
        <v>98.74</v>
      </c>
      <c r="BAN5">
        <f>SOFR3mo_PX[[#This Row],[Column1392]]</f>
        <v>98.655000000000001</v>
      </c>
      <c r="BAO5">
        <f>SOFR3mo_PX[[#This Row],[Column1393]]</f>
        <v>98.614999999999995</v>
      </c>
      <c r="BAP5">
        <f>SOFR3mo_PX[[#This Row],[Column1394]]</f>
        <v>98.584999999999994</v>
      </c>
      <c r="BAQ5">
        <f>SOFR3mo_PX[[#This Row],[Column1395]]</f>
        <v>98.61</v>
      </c>
      <c r="BAR5">
        <f>SOFR3mo_PX[[#This Row],[Column1396]]</f>
        <v>98.59</v>
      </c>
      <c r="BAS5">
        <f>SOFR3mo_PX[[#This Row],[Column1397]]</f>
        <v>98.59</v>
      </c>
      <c r="BAT5">
        <f>SOFR3mo_PX[[#This Row],[Column1398]]</f>
        <v>98.57</v>
      </c>
      <c r="BAU5">
        <f>SOFR3mo_PX[[#This Row],[Column1399]]</f>
        <v>98.555000000000007</v>
      </c>
      <c r="BAV5">
        <f>SOFR3mo_PX[[#This Row],[Column1400]]</f>
        <v>98.57</v>
      </c>
      <c r="BAW5">
        <f>SOFR3mo_PX[[#This Row],[Column1401]]</f>
        <v>98.605000000000004</v>
      </c>
      <c r="BAX5">
        <f>SOFR3mo_PX[[#This Row],[Column1402]]</f>
        <v>98.575000000000003</v>
      </c>
      <c r="BAY5">
        <f>SOFR3mo_PX[[#This Row],[Column1403]]</f>
        <v>98.54</v>
      </c>
      <c r="BAZ5">
        <f>SOFR3mo_PX[[#This Row],[Column1404]]</f>
        <v>98.545000000000002</v>
      </c>
      <c r="BBA5">
        <f>SOFR3mo_PX[[#This Row],[Column1405]]</f>
        <v>98.56</v>
      </c>
      <c r="BBB5">
        <f>SOFR3mo_PX[[#This Row],[Column1406]]</f>
        <v>98.625</v>
      </c>
      <c r="BBC5">
        <f>SOFR3mo_PX[[#This Row],[Column1407]]</f>
        <v>98.644999999999996</v>
      </c>
      <c r="BBD5">
        <f>SOFR3mo_PX[[#This Row],[Column1408]]</f>
        <v>98.59</v>
      </c>
      <c r="BBE5">
        <f>SOFR3mo_PX[[#This Row],[Column1409]]</f>
        <v>98.56</v>
      </c>
      <c r="BBF5">
        <f>SOFR3mo_PX[[#This Row],[Column1410]]</f>
        <v>98.54</v>
      </c>
      <c r="BBG5">
        <f>SOFR3mo_PX[[#This Row],[Column1411]]</f>
        <v>98.575000000000003</v>
      </c>
      <c r="BBH5">
        <f>SOFR3mo_PX[[#This Row],[Column1412]]</f>
        <v>98.54</v>
      </c>
      <c r="BBI5">
        <f>SOFR3mo_PX[[#This Row],[Column1413]]</f>
        <v>98.525000000000006</v>
      </c>
      <c r="BBJ5">
        <f>SOFR3mo_PX[[#This Row],[Column1414]]</f>
        <v>98.51</v>
      </c>
      <c r="BBK5">
        <f>SOFR3mo_PX[[#This Row],[Column1415]]</f>
        <v>98.504999999999995</v>
      </c>
      <c r="BBL5">
        <f>SOFR3mo_PX[[#This Row],[Column1416]]</f>
        <v>98.48</v>
      </c>
      <c r="BBM5">
        <f>SOFR3mo_PX[[#This Row],[Column1417]]</f>
        <v>98.48</v>
      </c>
      <c r="BBN5">
        <f>SOFR3mo_PX[[#This Row],[Column1418]]</f>
        <v>98.49</v>
      </c>
      <c r="BBO5">
        <f>SOFR3mo_PX[[#This Row],[Column1419]]</f>
        <v>98.484999999999999</v>
      </c>
      <c r="BBP5">
        <f>SOFR3mo_PX[[#This Row],[Column1420]]</f>
        <v>98.484999999999999</v>
      </c>
      <c r="BBQ5">
        <f>SOFR3mo_PX[[#This Row],[Column1421]]</f>
        <v>98.484999999999999</v>
      </c>
      <c r="BBR5">
        <f>SOFR3mo_PX[[#This Row],[Column1422]]</f>
        <v>98.495000000000005</v>
      </c>
      <c r="BBS5">
        <f>SOFR3mo_PX[[#This Row],[Column1423]]</f>
        <v>98.5</v>
      </c>
      <c r="BBT5">
        <f>SOFR3mo_PX[[#This Row],[Column1424]]</f>
        <v>98.495000000000005</v>
      </c>
      <c r="BBU5">
        <f>SOFR3mo_PX[[#This Row],[Column1425]]</f>
        <v>98.52</v>
      </c>
      <c r="BBV5">
        <f>SOFR3mo_PX[[#This Row],[Column1426]]</f>
        <v>98.52</v>
      </c>
      <c r="BBW5">
        <f>SOFR3mo_PX[[#This Row],[Column1427]]</f>
        <v>98.525000000000006</v>
      </c>
      <c r="BBX5">
        <f>SOFR3mo_PX[[#This Row],[Column1428]]</f>
        <v>98.504999999999995</v>
      </c>
      <c r="BBY5">
        <f>SOFR3mo_PX[[#This Row],[Column1429]]</f>
        <v>98.495000000000005</v>
      </c>
      <c r="BBZ5">
        <f>SOFR3mo_PX[[#This Row],[Column1430]]</f>
        <v>98.495000000000005</v>
      </c>
      <c r="BCA5">
        <f>SOFR3mo_PX[[#This Row],[Column1431]]</f>
        <v>98.5</v>
      </c>
      <c r="BCB5">
        <f>SOFR3mo_PX[[#This Row],[Column1432]]</f>
        <v>98.504999999999995</v>
      </c>
      <c r="BCC5">
        <f>SOFR3mo_PX[[#This Row],[Column1433]]</f>
        <v>98.49</v>
      </c>
      <c r="BCD5">
        <f>SOFR3mo_PX[[#This Row],[Column1434]]</f>
        <v>98.49</v>
      </c>
      <c r="BCE5">
        <f>SOFR3mo_PX[[#This Row],[Column1435]]</f>
        <v>98.49</v>
      </c>
      <c r="BCF5">
        <f>SOFR3mo_PX[[#This Row],[Column1436]]</f>
        <v>98.484999999999999</v>
      </c>
      <c r="BCG5">
        <f>SOFR3mo_PX[[#This Row],[Column1437]]</f>
        <v>98.5</v>
      </c>
      <c r="BCH5">
        <f>SOFR3mo_PX[[#This Row],[Column1438]]</f>
        <v>98.51</v>
      </c>
      <c r="BCI5">
        <f>SOFR3mo_PX[[#This Row],[Column1439]]</f>
        <v>98.5</v>
      </c>
      <c r="BCJ5">
        <f>SOFR3mo_PX[[#This Row],[Column1440]]</f>
        <v>98.45</v>
      </c>
      <c r="BCK5">
        <f>SOFR3mo_PX[[#This Row],[Column1441]]</f>
        <v>98.45</v>
      </c>
      <c r="BCL5">
        <f>SOFR3mo_PX[[#This Row],[Column1442]]</f>
        <v>98.465000000000003</v>
      </c>
      <c r="BCM5">
        <f>SOFR3mo_PX[[#This Row],[Column1443]]</f>
        <v>98.45</v>
      </c>
      <c r="BCN5">
        <f>SOFR3mo_PX[[#This Row],[Column1444]]</f>
        <v>98.474999999999994</v>
      </c>
      <c r="BCO5">
        <f>SOFR3mo_PX[[#This Row],[Column1445]]</f>
        <v>98.474999999999994</v>
      </c>
      <c r="BCP5">
        <f>SOFR3mo_PX[[#This Row],[Column1446]]</f>
        <v>98.49</v>
      </c>
      <c r="BCQ5">
        <f>SOFR3mo_PX[[#This Row],[Column1447]]</f>
        <v>98.484999999999999</v>
      </c>
      <c r="BCR5">
        <f>SOFR3mo_PX[[#This Row],[Column1448]]</f>
        <v>98.51</v>
      </c>
      <c r="BCS5">
        <f>SOFR3mo_PX[[#This Row],[Column1449]]</f>
        <v>98.495000000000005</v>
      </c>
      <c r="BCT5">
        <f>SOFR3mo_PX[[#This Row],[Column1450]]</f>
        <v>98.52</v>
      </c>
      <c r="BCU5">
        <f>SOFR3mo_PX[[#This Row],[Column1451]]</f>
        <v>98.47</v>
      </c>
      <c r="BCV5">
        <f>SOFR3mo_PX[[#This Row],[Column1452]]</f>
        <v>98.47</v>
      </c>
      <c r="BCW5">
        <f>SOFR3mo_PX[[#This Row],[Column1453]]</f>
        <v>98.46</v>
      </c>
      <c r="BCX5">
        <f>SOFR3mo_PX[[#This Row],[Column1454]]</f>
        <v>98.46</v>
      </c>
      <c r="BCY5">
        <f>SOFR3mo_PX[[#This Row],[Column1455]]</f>
        <v>98.484999999999999</v>
      </c>
      <c r="BCZ5">
        <f>SOFR3mo_PX[[#This Row],[Column1456]]</f>
        <v>98.474999999999994</v>
      </c>
      <c r="BDA5">
        <f>SOFR3mo_PX[[#This Row],[Column1457]]</f>
        <v>98.484999999999999</v>
      </c>
      <c r="BDB5">
        <f>SOFR3mo_PX[[#This Row],[Column1458]]</f>
        <v>98.51</v>
      </c>
      <c r="BDC5">
        <f>SOFR3mo_PX[[#This Row],[Column1459]]</f>
        <v>98.545000000000002</v>
      </c>
      <c r="BDD5">
        <f>SOFR3mo_PX[[#This Row],[Column1460]]</f>
        <v>98.54</v>
      </c>
      <c r="BDE5">
        <f>SOFR3mo_PX[[#This Row],[Column1461]]</f>
        <v>98.534999999999997</v>
      </c>
      <c r="BDF5">
        <f>SOFR3mo_PX[[#This Row],[Column1462]]</f>
        <v>98.534999999999997</v>
      </c>
      <c r="BDG5">
        <f>SOFR3mo_PX[[#This Row],[Column1463]]</f>
        <v>98.54</v>
      </c>
      <c r="BDH5">
        <f>SOFR3mo_PX[[#This Row],[Column1464]]</f>
        <v>98.525000000000006</v>
      </c>
      <c r="BDI5">
        <f>SOFR3mo_PX[[#This Row],[Column1465]]</f>
        <v>98.51</v>
      </c>
      <c r="BDJ5">
        <f>SOFR3mo_PX[[#This Row],[Column1466]]</f>
        <v>98.49</v>
      </c>
      <c r="BDK5">
        <f>SOFR3mo_PX[[#This Row],[Column1467]]</f>
        <v>98.495000000000005</v>
      </c>
      <c r="BDL5">
        <f>SOFR3mo_PX[[#This Row],[Column1468]]</f>
        <v>98.495000000000005</v>
      </c>
      <c r="BDM5">
        <f>SOFR3mo_PX[[#This Row],[Column1469]]</f>
        <v>98.534999999999997</v>
      </c>
      <c r="BDN5">
        <f>SOFR3mo_PX[[#This Row],[Column1470]]</f>
        <v>98.515000000000001</v>
      </c>
      <c r="BDO5">
        <f>SOFR3mo_PX[[#This Row],[Column1471]]</f>
        <v>98.545000000000002</v>
      </c>
      <c r="BDP5">
        <f>SOFR3mo_PX[[#This Row],[Column1472]]</f>
        <v>98.564999999999998</v>
      </c>
      <c r="BDQ5">
        <f>SOFR3mo_PX[[#This Row],[Column1473]]</f>
        <v>98.62</v>
      </c>
      <c r="BDR5">
        <f>SOFR3mo_PX[[#This Row],[Column1474]]</f>
        <v>98.55</v>
      </c>
      <c r="BDS5">
        <f>SOFR3mo_PX[[#This Row],[Column1475]]</f>
        <v>98.54</v>
      </c>
      <c r="BDT5">
        <f>SOFR3mo_PX[[#This Row],[Column1476]]</f>
        <v>98.545000000000002</v>
      </c>
      <c r="BDU5">
        <f>SOFR3mo_PX[[#This Row],[Column1477]]</f>
        <v>98.56</v>
      </c>
      <c r="BDV5">
        <f>SOFR3mo_PX[[#This Row],[Column1478]]</f>
        <v>98.59</v>
      </c>
      <c r="BDW5">
        <f>SOFR3mo_PX[[#This Row],[Column1479]]</f>
        <v>98.605000000000004</v>
      </c>
      <c r="BDX5">
        <f>SOFR3mo_PX[[#This Row],[Column1480]]</f>
        <v>98.59</v>
      </c>
      <c r="BDY5">
        <f>SOFR3mo_PX[[#This Row],[Column1481]]</f>
        <v>98.56</v>
      </c>
      <c r="BDZ5">
        <f>SOFR3mo_PX[[#This Row],[Column1482]]</f>
        <v>98.59</v>
      </c>
      <c r="BEA5">
        <f>SOFR3mo_PX[[#This Row],[Column1483]]</f>
        <v>98.555000000000007</v>
      </c>
      <c r="BEB5">
        <f>SOFR3mo_PX[[#This Row],[Column1484]]</f>
        <v>98.57</v>
      </c>
      <c r="BEC5">
        <f>SOFR3mo_PX[[#This Row],[Column1485]]</f>
        <v>98.525000000000006</v>
      </c>
      <c r="BED5">
        <f>SOFR3mo_PX[[#This Row],[Column1486]]</f>
        <v>98.555000000000007</v>
      </c>
      <c r="BEE5">
        <f>SOFR3mo_PX[[#This Row],[Column1487]]</f>
        <v>98.534999999999997</v>
      </c>
      <c r="BEF5">
        <f>SOFR3mo_PX[[#This Row],[Column1488]]</f>
        <v>98.63</v>
      </c>
      <c r="BEG5">
        <f>SOFR3mo_PX[[#This Row],[Column1489]]</f>
        <v>98.674999999999997</v>
      </c>
      <c r="BEH5">
        <f>SOFR3mo_PX[[#This Row],[Column1490]]</f>
        <v>98.724999999999994</v>
      </c>
      <c r="BEI5">
        <f>SOFR3mo_PX[[#This Row],[Column1491]]</f>
        <v>98.7</v>
      </c>
      <c r="BEJ5">
        <f>SOFR3mo_PX[[#This Row],[Column1492]]</f>
        <v>98.754999999999995</v>
      </c>
      <c r="BEK5">
        <f>SOFR3mo_PX[[#This Row],[Column1493]]</f>
        <v>98.77</v>
      </c>
      <c r="BEL5">
        <f>SOFR3mo_PX[[#This Row],[Column1494]]</f>
        <v>98.665000000000006</v>
      </c>
      <c r="BEM5">
        <f>SOFR3mo_PX[[#This Row],[Column1495]]</f>
        <v>98.6</v>
      </c>
      <c r="BEN5">
        <f>SOFR3mo_PX[[#This Row],[Column1496]]</f>
        <v>98.534999999999997</v>
      </c>
      <c r="BEO5">
        <f>SOFR3mo_PX[[#This Row],[Column1497]]</f>
        <v>98.54</v>
      </c>
      <c r="BEP5">
        <f>SOFR3mo_PX[[#This Row],[Column1498]]</f>
        <v>98.525000000000006</v>
      </c>
      <c r="BEQ5">
        <f>SOFR3mo_PX[[#This Row],[Column1499]]</f>
        <v>98.52</v>
      </c>
      <c r="BER5">
        <f>SOFR3mo_PX[[#This Row],[Column1500]]</f>
        <v>98.58</v>
      </c>
      <c r="BES5">
        <f>SOFR3mo_PX[[#This Row],[Column1501]]</f>
        <v>98.504999999999995</v>
      </c>
      <c r="BET5">
        <f>SOFR3mo_PX[[#This Row],[Column1502]]</f>
        <v>98.48</v>
      </c>
      <c r="BEU5">
        <f>SOFR3mo_PX[[#This Row],[Column1503]]</f>
        <v>98.49</v>
      </c>
      <c r="BEV5">
        <f>SOFR3mo_PX[[#This Row],[Column1504]]</f>
        <v>98.484999999999999</v>
      </c>
      <c r="BEW5">
        <f>SOFR3mo_PX[[#This Row],[Column1505]]</f>
        <v>98.34</v>
      </c>
      <c r="BEX5">
        <f>SOFR3mo_PX[[#This Row],[Column1506]]</f>
        <v>98.325000000000003</v>
      </c>
      <c r="BEY5">
        <f>SOFR3mo_PX[[#This Row],[Column1507]]</f>
        <v>98.295000000000002</v>
      </c>
      <c r="BEZ5">
        <f>SOFR3mo_PX[[#This Row],[Column1508]]</f>
        <v>98.355000000000004</v>
      </c>
      <c r="BFA5">
        <f>SOFR3mo_PX[[#This Row],[Column1509]]</f>
        <v>98.394999999999996</v>
      </c>
      <c r="BFB5">
        <f>SOFR3mo_PX[[#This Row],[Column1510]]</f>
        <v>98.4</v>
      </c>
      <c r="BFC5">
        <f>SOFR3mo_PX[[#This Row],[Column1511]]</f>
        <v>98.44</v>
      </c>
      <c r="BFD5">
        <f>SOFR3mo_PX[[#This Row],[Column1512]]</f>
        <v>98.46</v>
      </c>
      <c r="BFE5">
        <f>SOFR3mo_PX[[#This Row],[Column1513]]</f>
        <v>98.454999999999998</v>
      </c>
      <c r="BFF5">
        <f>SOFR3mo_PX[[#This Row],[Column1514]]</f>
        <v>98.534999999999997</v>
      </c>
      <c r="BFG5">
        <f>SOFR3mo_PX[[#This Row],[Column1515]]</f>
        <v>98.495000000000005</v>
      </c>
      <c r="BFH5">
        <f>SOFR3mo_PX[[#This Row],[Column1516]]</f>
        <v>98.444999999999993</v>
      </c>
      <c r="BFI5">
        <f>SOFR3mo_PX[[#This Row],[Column1517]]</f>
        <v>98.444999999999993</v>
      </c>
      <c r="BFJ5">
        <f>SOFR3mo_PX[[#This Row],[Column1518]]</f>
        <v>98.43</v>
      </c>
      <c r="BFK5">
        <f>SOFR3mo_PX[[#This Row],[Column1519]]</f>
        <v>98.47</v>
      </c>
      <c r="BFL5">
        <f>SOFR3mo_PX[[#This Row],[Column1520]]</f>
        <v>98.474999999999994</v>
      </c>
      <c r="BFM5">
        <f>SOFR3mo_PX[[#This Row],[Column1521]]</f>
        <v>98.47</v>
      </c>
      <c r="BFN5">
        <f>SOFR3mo_PX[[#This Row],[Column1522]]</f>
        <v>98.52</v>
      </c>
      <c r="BFO5">
        <f>SOFR3mo_PX[[#This Row],[Column1523]]</f>
        <v>98.44</v>
      </c>
      <c r="BFP5">
        <f>SOFR3mo_PX[[#This Row],[Column1524]]</f>
        <v>98.48</v>
      </c>
      <c r="BFQ5">
        <f>SOFR3mo_PX[[#This Row],[Column1525]]</f>
        <v>98.53</v>
      </c>
      <c r="BFR5">
        <f>SOFR3mo_PX[[#This Row],[Column1526]]</f>
        <v>98.504999999999995</v>
      </c>
      <c r="BFS5">
        <f>SOFR3mo_PX[[#This Row],[Column1527]]</f>
        <v>98.564999999999998</v>
      </c>
      <c r="BFT5">
        <f>SOFR3mo_PX[[#This Row],[Column1528]]</f>
        <v>98.56</v>
      </c>
      <c r="BFU5">
        <f>SOFR3mo_PX[[#This Row],[Column1529]]</f>
        <v>98.5</v>
      </c>
      <c r="BFV5">
        <f>SOFR3mo_PX[[#This Row],[Column1530]]</f>
        <v>98.424999999999997</v>
      </c>
      <c r="BFW5">
        <f>SOFR3mo_PX[[#This Row],[Column1531]]</f>
        <v>98.51</v>
      </c>
      <c r="BFX5">
        <f>SOFR3mo_PX[[#This Row],[Column1532]]</f>
        <v>98.454999999999998</v>
      </c>
      <c r="BFY5">
        <f>SOFR3mo_PX[[#This Row],[Column1533]]</f>
        <v>98.46</v>
      </c>
      <c r="BFZ5">
        <f>SOFR3mo_PX[[#This Row],[Column1534]]</f>
        <v>98.53</v>
      </c>
      <c r="BGA5">
        <f>SOFR3mo_PX[[#This Row],[Column1535]]</f>
        <v>98.43</v>
      </c>
      <c r="BGB5">
        <f>SOFR3mo_PX[[#This Row],[Column1536]]</f>
        <v>98.474999999999994</v>
      </c>
      <c r="BGC5">
        <f>SOFR3mo_PX[[#This Row],[Column1537]]</f>
        <v>98.3</v>
      </c>
      <c r="BGD5">
        <f>SOFR3mo_PX[[#This Row],[Column1538]]</f>
        <v>98.28</v>
      </c>
      <c r="BGE5">
        <f>SOFR3mo_PX[[#This Row],[Column1539]]</f>
        <v>98.11</v>
      </c>
      <c r="BGF5">
        <f>SOFR3mo_PX[[#This Row],[Column1540]]</f>
        <v>98.17</v>
      </c>
      <c r="BGG5">
        <f>SOFR3mo_PX[[#This Row],[Column1541]]</f>
        <v>98.18</v>
      </c>
      <c r="BGH5">
        <f>SOFR3mo_PX[[#This Row],[Column1542]]</f>
        <v>98.165000000000006</v>
      </c>
      <c r="BGI5">
        <f>SOFR3mo_PX[[#This Row],[Column1543]]</f>
        <v>98.194999999999993</v>
      </c>
      <c r="BGJ5">
        <f>SOFR3mo_PX[[#This Row],[Column1544]]</f>
        <v>98.22</v>
      </c>
      <c r="BGK5">
        <f>SOFR3mo_PX[[#This Row],[Column1545]]</f>
        <v>98.22</v>
      </c>
      <c r="BGL5">
        <f>SOFR3mo_PX[[#This Row],[Column1546]]</f>
        <v>98.245000000000005</v>
      </c>
      <c r="BGM5">
        <f>SOFR3mo_PX[[#This Row],[Column1547]]</f>
        <v>98.25</v>
      </c>
      <c r="BGN5">
        <f>SOFR3mo_PX[[#This Row],[Column1548]]</f>
        <v>98.305000000000007</v>
      </c>
      <c r="BGO5">
        <f>SOFR3mo_PX[[#This Row],[Column1549]]</f>
        <v>98.23</v>
      </c>
      <c r="BGP5">
        <f>SOFR3mo_PX[[#This Row],[Column1550]]</f>
        <v>98.215000000000003</v>
      </c>
      <c r="BGQ5">
        <f>SOFR3mo_PX[[#This Row],[Column1551]]</f>
        <v>98.234999999999999</v>
      </c>
      <c r="BGR5">
        <f>SOFR3mo_PX[[#This Row],[Column1552]]</f>
        <v>98.234999999999999</v>
      </c>
      <c r="BGS5">
        <f>SOFR3mo_PX[[#This Row],[Column1553]]</f>
        <v>98.21</v>
      </c>
      <c r="BGT5">
        <f>SOFR3mo_PX[[#This Row],[Column1554]]</f>
        <v>98.234999999999999</v>
      </c>
      <c r="BGU5">
        <f>SOFR3mo_PX[[#This Row],[Column1555]]</f>
        <v>98.15</v>
      </c>
      <c r="BGV5">
        <f>SOFR3mo_PX[[#This Row],[Column1556]]</f>
        <v>98.17</v>
      </c>
      <c r="BGW5">
        <f>SOFR3mo_PX[[#This Row],[Column1557]]</f>
        <v>98.155000000000001</v>
      </c>
      <c r="BGX5">
        <f>SOFR3mo_PX[[#This Row],[Column1558]]</f>
        <v>98.26</v>
      </c>
      <c r="BGY5">
        <f>SOFR3mo_PX[[#This Row],[Column1559]]</f>
        <v>98.26</v>
      </c>
      <c r="BGZ5">
        <f>SOFR3mo_PX[[#This Row],[Column1560]]</f>
        <v>98.26</v>
      </c>
      <c r="BHA5">
        <f>SOFR3mo_PX[[#This Row],[Column1561]]</f>
        <v>98.23</v>
      </c>
      <c r="BHB5">
        <f>SOFR3mo_PX[[#This Row],[Column1562]]</f>
        <v>98.295000000000002</v>
      </c>
      <c r="BHC5">
        <f>SOFR3mo_PX[[#This Row],[Column1563]]</f>
        <v>98.305000000000007</v>
      </c>
      <c r="BHD5">
        <f>SOFR3mo_PX[[#This Row],[Column1564]]</f>
        <v>98.29</v>
      </c>
      <c r="BHE5">
        <f>SOFR3mo_PX[[#This Row],[Column1565]]</f>
        <v>98.36</v>
      </c>
      <c r="BHF5">
        <f>SOFR3mo_PX[[#This Row],[Column1566]]</f>
        <v>98.37</v>
      </c>
      <c r="BHG5">
        <f>SOFR3mo_PX[[#This Row],[Column1567]]</f>
        <v>98.325000000000003</v>
      </c>
      <c r="BHH5">
        <f>SOFR3mo_PX[[#This Row],[Column1568]]</f>
        <v>98.364999999999995</v>
      </c>
      <c r="BHI5">
        <f>SOFR3mo_PX[[#This Row],[Column1569]]</f>
        <v>98.33</v>
      </c>
      <c r="BHJ5">
        <f>SOFR3mo_PX[[#This Row],[Column1570]]</f>
        <v>98.015000000000001</v>
      </c>
      <c r="BHK5">
        <f>SOFR3mo_PX[[#This Row],[Column1571]]</f>
        <v>98.02</v>
      </c>
      <c r="BHL5">
        <f>SOFR3mo_PX[[#This Row],[Column1572]]</f>
        <v>98.045000000000002</v>
      </c>
      <c r="BHM5">
        <f>SOFR3mo_PX[[#This Row],[Column1573]]</f>
        <v>98.06</v>
      </c>
      <c r="BHN5">
        <f>SOFR3mo_PX[[#This Row],[Column1574]]</f>
        <v>97.995000000000005</v>
      </c>
      <c r="BHO5">
        <f>SOFR3mo_PX[[#This Row],[Column1575]]</f>
        <v>97.974999999999994</v>
      </c>
      <c r="BHP5">
        <f>SOFR3mo_PX[[#This Row],[Column1576]]</f>
        <v>98.01</v>
      </c>
      <c r="BHQ5">
        <f>SOFR3mo_PX[[#This Row],[Column1577]]</f>
        <v>98.04</v>
      </c>
      <c r="BHR5">
        <f>SOFR3mo_PX[[#This Row],[Column1578]]</f>
        <v>97.99</v>
      </c>
      <c r="BHS5">
        <f>SOFR3mo_PX[[#This Row],[Column1579]]</f>
        <v>98.004999999999995</v>
      </c>
      <c r="BHT5">
        <f>SOFR3mo_PX[[#This Row],[Column1580]]</f>
        <v>97.984999999999999</v>
      </c>
      <c r="BHU5">
        <f>SOFR3mo_PX[[#This Row],[Column1581]]</f>
        <v>97.974999999999994</v>
      </c>
      <c r="BHV5">
        <f>SOFR3mo_PX[[#This Row],[Column1582]]</f>
        <v>97.86</v>
      </c>
      <c r="BHW5">
        <f>SOFR3mo_PX[[#This Row],[Column1583]]</f>
        <v>97.76</v>
      </c>
      <c r="BHX5">
        <f>SOFR3mo_PX[[#This Row],[Column1584]]</f>
        <v>97.765000000000001</v>
      </c>
      <c r="BHY5">
        <f>SOFR3mo_PX[[#This Row],[Column1585]]</f>
        <v>97.745000000000005</v>
      </c>
      <c r="BHZ5">
        <f>SOFR3mo_PX[[#This Row],[Column1586]]</f>
        <v>97.73</v>
      </c>
      <c r="BIA5">
        <f>SOFR3mo_PX[[#This Row],[Column1587]]</f>
        <v>97.73</v>
      </c>
      <c r="BIB5">
        <f>SOFR3mo_PX[[#This Row],[Column1588]]</f>
        <v>97.765000000000001</v>
      </c>
      <c r="BIC5">
        <f>SOFR3mo_PX[[#This Row],[Column1589]]</f>
        <v>97.694999999999993</v>
      </c>
      <c r="BID5">
        <f>SOFR3mo_PX[[#This Row],[Column1590]]</f>
        <v>97.694999999999993</v>
      </c>
      <c r="BIE5">
        <f>SOFR3mo_PX[[#This Row],[Column1591]]</f>
        <v>97.72</v>
      </c>
      <c r="BIF5">
        <f>SOFR3mo_PX[[#This Row],[Column1592]]</f>
        <v>97.734999999999999</v>
      </c>
      <c r="BIG5">
        <f>SOFR3mo_PX[[#This Row],[Column1593]]</f>
        <v>97.74</v>
      </c>
      <c r="BIH5">
        <f>SOFR3mo_PX[[#This Row],[Column1594]]</f>
        <v>97.76</v>
      </c>
      <c r="BII5">
        <f>SOFR3mo_PX[[#This Row],[Column1595]]</f>
        <v>97.75</v>
      </c>
      <c r="BIJ5">
        <f>SOFR3mo_PX[[#This Row],[Column1596]]</f>
        <v>97.75</v>
      </c>
      <c r="BIK5">
        <f>SOFR3mo_PX[[#This Row],[Column1597]]</f>
        <v>97.7</v>
      </c>
      <c r="BIL5">
        <f>SOFR3mo_PX[[#This Row],[Column1598]]</f>
        <v>97.685000000000002</v>
      </c>
      <c r="BIM5">
        <f>SOFR3mo_PX[[#This Row],[Column1599]]</f>
        <v>97.67</v>
      </c>
      <c r="BIN5">
        <f>SOFR3mo_PX[[#This Row],[Column1600]]</f>
        <v>97.685000000000002</v>
      </c>
      <c r="BIO5">
        <f>SOFR3mo_PX[[#This Row],[Column1601]]</f>
        <v>97.68</v>
      </c>
      <c r="BIP5">
        <f>SOFR3mo_PX[[#This Row],[Column1602]]</f>
        <v>97.66</v>
      </c>
      <c r="BIQ5">
        <f>SOFR3mo_PX[[#This Row],[Column1603]]</f>
        <v>97.65</v>
      </c>
      <c r="BIR5">
        <f>SOFR3mo_PX[[#This Row],[Column1604]]</f>
        <v>97.68</v>
      </c>
      <c r="BIS5">
        <f>SOFR3mo_PX[[#This Row],[Column1605]]</f>
        <v>97.704999999999998</v>
      </c>
      <c r="BIT5">
        <f>SOFR3mo_PX[[#This Row],[Column1606]]</f>
        <v>97.694999999999993</v>
      </c>
      <c r="BIU5">
        <f>SOFR3mo_PX[[#This Row],[Column1607]]</f>
        <v>97.7</v>
      </c>
      <c r="BIV5">
        <f>SOFR3mo_PX[[#This Row],[Column1608]]</f>
        <v>97.67</v>
      </c>
      <c r="BIW5">
        <f>SOFR3mo_PX[[#This Row],[Column1609]]</f>
        <v>97.69</v>
      </c>
      <c r="BIX5">
        <f>SOFR3mo_PX[[#This Row],[Column1610]]</f>
        <v>97.655000000000001</v>
      </c>
      <c r="BIY5">
        <f>SOFR3mo_PX[[#This Row],[Column1611]]</f>
        <v>97.65</v>
      </c>
      <c r="BIZ5">
        <f>SOFR3mo_PX[[#This Row],[Column1612]]</f>
        <v>97.63</v>
      </c>
      <c r="BJA5">
        <f>SOFR3mo_PX[[#This Row],[Column1613]]</f>
        <v>97.63</v>
      </c>
      <c r="BJB5">
        <f>SOFR3mo_PX[[#This Row],[Column1614]]</f>
        <v>97.625</v>
      </c>
      <c r="BJC5">
        <f>SOFR3mo_PX[[#This Row],[Column1615]]</f>
        <v>97.63</v>
      </c>
      <c r="BJD5">
        <f>SOFR3mo_PX[[#This Row],[Column1616]]</f>
        <v>97.63</v>
      </c>
      <c r="BJE5">
        <f>SOFR3mo_PX[[#This Row],[Column1617]]</f>
        <v>97.63</v>
      </c>
      <c r="BJF5">
        <f>SOFR3mo_PX[[#This Row],[Column1618]]</f>
        <v>97.65</v>
      </c>
      <c r="BJG5">
        <f>SOFR3mo_PX[[#This Row],[Column1619]]</f>
        <v>97.665000000000006</v>
      </c>
      <c r="BJH5">
        <f>SOFR3mo_PX[[#This Row],[Column1620]]</f>
        <v>97.665000000000006</v>
      </c>
      <c r="BJI5">
        <f>SOFR3mo_PX[[#This Row],[Column1621]]</f>
        <v>97.66</v>
      </c>
      <c r="BJJ5">
        <f>SOFR3mo_PX[[#This Row],[Column1622]]</f>
        <v>97.67</v>
      </c>
      <c r="BJK5">
        <f>SOFR3mo_PX[[#This Row],[Column1623]]</f>
        <v>97.685000000000002</v>
      </c>
      <c r="BJL5">
        <f>SOFR3mo_PX[[#This Row],[Column1624]]</f>
        <v>97.69</v>
      </c>
      <c r="BJM5">
        <f>SOFR3mo_PX[[#This Row],[Column1625]]</f>
        <v>97.704999999999998</v>
      </c>
      <c r="BJN5">
        <f>SOFR3mo_PX[[#This Row],[Column1626]]</f>
        <v>97.7</v>
      </c>
      <c r="BJO5">
        <f>SOFR3mo_PX[[#This Row],[Column1627]]</f>
        <v>97.734999999999999</v>
      </c>
      <c r="BJP5">
        <f>SOFR3mo_PX[[#This Row],[Column1628]]</f>
        <v>97.754999999999995</v>
      </c>
      <c r="BJQ5">
        <f>SOFR3mo_PX[[#This Row],[Column1629]]</f>
        <v>97.765000000000001</v>
      </c>
      <c r="BJR5">
        <f>SOFR3mo_PX[[#This Row],[Column1630]]</f>
        <v>97.734999999999999</v>
      </c>
      <c r="BJS5">
        <f>SOFR3mo_PX[[#This Row],[Column1631]]</f>
        <v>97.765000000000001</v>
      </c>
      <c r="BJT5">
        <f>SOFR3mo_PX[[#This Row],[Column1632]]</f>
        <v>97.694999999999993</v>
      </c>
      <c r="BJU5">
        <f>SOFR3mo_PX[[#This Row],[Column1633]]</f>
        <v>97.63</v>
      </c>
      <c r="BJV5">
        <f>SOFR3mo_PX[[#This Row],[Column1634]]</f>
        <v>97.63</v>
      </c>
      <c r="BJW5">
        <f>SOFR3mo_PX[[#This Row],[Column1635]]</f>
        <v>97.59</v>
      </c>
      <c r="BJX5">
        <f>SOFR3mo_PX[[#This Row],[Column1636]]</f>
        <v>97.59</v>
      </c>
      <c r="BJY5">
        <f>SOFR3mo_PX[[#This Row],[Column1637]]</f>
        <v>97.594999999999999</v>
      </c>
      <c r="BJZ5">
        <f>SOFR3mo_PX[[#This Row],[Column1638]]</f>
        <v>97.584999999999994</v>
      </c>
      <c r="BKA5">
        <f>SOFR3mo_PX[[#This Row],[Column1639]]</f>
        <v>97.584999999999994</v>
      </c>
      <c r="BKB5">
        <f>SOFR3mo_PX[[#This Row],[Column1640]]</f>
        <v>97.59</v>
      </c>
      <c r="BKC5">
        <f>SOFR3mo_PX[[#This Row],[Column1641]]</f>
        <v>97.58</v>
      </c>
      <c r="BKD5">
        <f>SOFR3mo_PX[[#This Row],[Column1642]]</f>
        <v>97.575000000000003</v>
      </c>
      <c r="BKE5">
        <f>SOFR3mo_PX[[#This Row],[Column1643]]</f>
        <v>97.575000000000003</v>
      </c>
      <c r="BKF5">
        <f>SOFR3mo_PX[[#This Row],[Column1644]]</f>
        <v>97.555000000000007</v>
      </c>
      <c r="BKG5">
        <f>SOFR3mo_PX[[#This Row],[Column1645]]</f>
        <v>97.54</v>
      </c>
      <c r="BKH5">
        <f>SOFR3mo_PX[[#This Row],[Column1646]]</f>
        <v>97.54</v>
      </c>
      <c r="BKI5">
        <f>SOFR3mo_PX[[#This Row],[Column1647]]</f>
        <v>97.53</v>
      </c>
      <c r="BKJ5">
        <f>SOFR3mo_PX[[#This Row],[Column1648]]</f>
        <v>97.545000000000002</v>
      </c>
      <c r="BKK5">
        <f>SOFR3mo_PX[[#This Row],[Column1649]]</f>
        <v>97.555000000000007</v>
      </c>
      <c r="BKL5">
        <f>SOFR3mo_PX[[#This Row],[Column1650]]</f>
        <v>97.57</v>
      </c>
      <c r="BKM5">
        <f>SOFR3mo_PX[[#This Row],[Column1651]]</f>
        <v>97.555000000000007</v>
      </c>
      <c r="BKN5">
        <f>SOFR3mo_PX[[#This Row],[Column1652]]</f>
        <v>97.56</v>
      </c>
      <c r="BKO5">
        <f>SOFR3mo_PX[[#This Row],[Column1653]]</f>
        <v>97.55</v>
      </c>
      <c r="BKP5">
        <f>SOFR3mo_PX[[#This Row],[Column1654]]</f>
        <v>97.564999999999998</v>
      </c>
      <c r="BKQ5">
        <f>SOFR3mo_PX[[#This Row],[Column1655]]</f>
        <v>97.56</v>
      </c>
      <c r="BKR5">
        <f>SOFR3mo_PX[[#This Row],[Column1656]]</f>
        <v>97.545000000000002</v>
      </c>
      <c r="BKS5">
        <f>SOFR3mo_PX[[#This Row],[Column1657]]</f>
        <v>97.545000000000002</v>
      </c>
      <c r="BKT5">
        <f>SOFR3mo_PX[[#This Row],[Column1658]]</f>
        <v>97.55</v>
      </c>
      <c r="BKU5">
        <f>SOFR3mo_PX[[#This Row],[Column1659]]</f>
        <v>97.54</v>
      </c>
      <c r="BKV5">
        <f>SOFR3mo_PX[[#This Row],[Column1660]]</f>
        <v>97.555000000000007</v>
      </c>
      <c r="BKW5">
        <f>SOFR3mo_PX[[#This Row],[Column1661]]</f>
        <v>97.564999999999998</v>
      </c>
      <c r="BKX5">
        <f>SOFR3mo_PX[[#This Row],[Column1662]]</f>
        <v>97.575000000000003</v>
      </c>
      <c r="BKY5">
        <f>SOFR3mo_PX[[#This Row],[Column1663]]</f>
        <v>97.564999999999998</v>
      </c>
      <c r="BKZ5">
        <f>SOFR3mo_PX[[#This Row],[Column1664]]</f>
        <v>97.545000000000002</v>
      </c>
      <c r="BLA5">
        <f>SOFR3mo_PX[[#This Row],[Column1665]]</f>
        <v>97.555000000000007</v>
      </c>
      <c r="BLB5">
        <f>SOFR3mo_PX[[#This Row],[Column1666]]</f>
        <v>97.55</v>
      </c>
      <c r="BLC5">
        <f>SOFR3mo_PX[[#This Row],[Column1667]]</f>
        <v>97.56</v>
      </c>
      <c r="BLD5">
        <f>SOFR3mo_PX[[#This Row],[Column1668]]</f>
        <v>97.575000000000003</v>
      </c>
      <c r="BLE5">
        <f>SOFR3mo_PX[[#This Row],[Column1669]]</f>
        <v>97.545000000000002</v>
      </c>
      <c r="BLF5">
        <f>SOFR3mo_PX[[#This Row],[Column1670]]</f>
        <v>97.515000000000001</v>
      </c>
      <c r="BLG5">
        <f>SOFR3mo_PX[[#This Row],[Column1671]]</f>
        <v>97.515000000000001</v>
      </c>
      <c r="BLH5">
        <f>SOFR3mo_PX[[#This Row],[Column1672]]</f>
        <v>97.504999999999995</v>
      </c>
      <c r="BLI5">
        <f>SOFR3mo_PX[[#This Row],[Column1673]]</f>
        <v>97.515000000000001</v>
      </c>
      <c r="BLJ5">
        <f>SOFR3mo_PX[[#This Row],[Column1674]]</f>
        <v>97.5</v>
      </c>
      <c r="BLK5">
        <f>SOFR3mo_PX[[#This Row],[Column1675]]</f>
        <v>97.51</v>
      </c>
      <c r="BLL5">
        <f>SOFR3mo_PX[[#This Row],[Column1676]]</f>
        <v>97.484999999999999</v>
      </c>
      <c r="BLM5">
        <f>SOFR3mo_PX[[#This Row],[Column1677]]</f>
        <v>97.484999999999999</v>
      </c>
      <c r="BLN5">
        <f>SOFR3mo_PX[[#This Row],[Column1678]]</f>
        <v>97.525000000000006</v>
      </c>
      <c r="BLO5">
        <f>SOFR3mo_PX[[#This Row],[Column1679]]</f>
        <v>97.53</v>
      </c>
      <c r="BLP5">
        <f>SOFR3mo_PX[[#This Row],[Column1680]]</f>
        <v>97.534999999999997</v>
      </c>
      <c r="BLQ5">
        <f>SOFR3mo_PX[[#This Row],[Column1681]]</f>
        <v>97.525000000000006</v>
      </c>
      <c r="BLR5">
        <f>SOFR3mo_PX[[#This Row],[Column1682]]</f>
        <v>97.515000000000001</v>
      </c>
      <c r="BLS5">
        <f>SOFR3mo_PX[[#This Row],[Column1683]]</f>
        <v>97.51</v>
      </c>
      <c r="BLT5">
        <f>SOFR3mo_PX[[#This Row],[Column1684]]</f>
        <v>97.52</v>
      </c>
      <c r="BLU5">
        <f>SOFR3mo_PX[[#This Row],[Column1685]]</f>
        <v>97.51</v>
      </c>
      <c r="BLV5">
        <f>SOFR3mo_PX[[#This Row],[Column1686]]</f>
        <v>97.56</v>
      </c>
      <c r="BLW5">
        <f>SOFR3mo_PX[[#This Row],[Column1687]]</f>
        <v>97.575000000000003</v>
      </c>
      <c r="BLX5">
        <f>SOFR3mo_PX[[#This Row],[Column1688]]</f>
        <v>97.65</v>
      </c>
      <c r="BLY5">
        <f>SOFR3mo_PX[[#This Row],[Column1689]]</f>
        <v>97.555000000000007</v>
      </c>
      <c r="BLZ5">
        <f>SOFR3mo_PX[[#This Row],[Column1690]]</f>
        <v>97.57</v>
      </c>
      <c r="BMA5">
        <f>SOFR3mo_PX[[#This Row],[Column1691]]</f>
        <v>97.57</v>
      </c>
      <c r="BMB5">
        <f>SOFR3mo_PX[[#This Row],[Column1692]]</f>
        <v>97.564999999999998</v>
      </c>
      <c r="BMC5">
        <f>SOFR3mo_PX[[#This Row],[Column1693]]</f>
        <v>97.56</v>
      </c>
      <c r="BMD5">
        <f>SOFR3mo_PX[[#This Row],[Column1694]]</f>
        <v>97.515000000000001</v>
      </c>
      <c r="BME5">
        <f>SOFR3mo_PX[[#This Row],[Column1695]]</f>
        <v>97.525000000000006</v>
      </c>
      <c r="BMF5">
        <f>SOFR3mo_PX[[#This Row],[Column1696]]</f>
        <v>97.525000000000006</v>
      </c>
      <c r="BMG5">
        <f>SOFR3mo_PX[[#This Row],[Column1697]]</f>
        <v>97.474999999999994</v>
      </c>
      <c r="BMH5">
        <f>SOFR3mo_PX[[#This Row],[Column1698]]</f>
        <v>97.454999999999998</v>
      </c>
      <c r="BMI5">
        <f>SOFR3mo_PX[[#This Row],[Column1699]]</f>
        <v>97.474999999999994</v>
      </c>
      <c r="BMJ5">
        <f>SOFR3mo_PX[[#This Row],[Column1700]]</f>
        <v>97.55</v>
      </c>
      <c r="BMK5">
        <f>SOFR3mo_PX[[#This Row],[Column1701]]</f>
        <v>97.534999999999997</v>
      </c>
      <c r="BML5">
        <f>SOFR3mo_PX[[#This Row],[Column1702]]</f>
        <v>97.515000000000001</v>
      </c>
      <c r="BMM5">
        <f>SOFR3mo_PX[[#This Row],[Column1703]]</f>
        <v>97.5</v>
      </c>
      <c r="BMN5">
        <f>SOFR3mo_PX[[#This Row],[Column1704]]</f>
        <v>97.504999999999995</v>
      </c>
      <c r="BMO5">
        <f>SOFR3mo_PX[[#This Row],[Column1705]]</f>
        <v>97.52</v>
      </c>
      <c r="BMP5">
        <f>SOFR3mo_PX[[#This Row],[Column1706]]</f>
        <v>97.55</v>
      </c>
      <c r="BMQ5">
        <f>SOFR3mo_PX[[#This Row],[Column1707]]</f>
        <v>97.53</v>
      </c>
      <c r="BMR5">
        <f>SOFR3mo_PX[[#This Row],[Column1708]]</f>
        <v>97.5</v>
      </c>
      <c r="BMS5">
        <f>SOFR3mo_PX[[#This Row],[Column1709]]</f>
        <v>97.46</v>
      </c>
      <c r="BMT5">
        <f>SOFR3mo_PX[[#This Row],[Column1710]]</f>
        <v>97.46</v>
      </c>
      <c r="BMU5">
        <f>SOFR3mo_PX[[#This Row],[Column1711]]</f>
        <v>97.444999999999993</v>
      </c>
      <c r="BMV5">
        <f>SOFR3mo_PX[[#This Row],[Column1712]]</f>
        <v>97.46</v>
      </c>
      <c r="BMW5">
        <f>SOFR3mo_PX[[#This Row],[Column1713]]</f>
        <v>97.46</v>
      </c>
      <c r="BMX5">
        <f>SOFR3mo_PX[[#This Row],[Column1714]]</f>
        <v>97.46</v>
      </c>
      <c r="BMY5">
        <f>SOFR3mo_PX[[#This Row],[Column1715]]</f>
        <v>97.45</v>
      </c>
      <c r="BMZ5">
        <f>SOFR3mo_PX[[#This Row],[Column1716]]</f>
        <v>97.444999999999993</v>
      </c>
      <c r="BNA5">
        <f>SOFR3mo_PX[[#This Row],[Column1717]]</f>
        <v>97.454999999999998</v>
      </c>
      <c r="BNB5">
        <f>SOFR3mo_PX[[#This Row],[Column1718]]</f>
        <v>97.46</v>
      </c>
      <c r="BNC5">
        <f>SOFR3mo_PX[[#This Row],[Column1719]]</f>
        <v>97.46</v>
      </c>
      <c r="BND5">
        <f>SOFR3mo_PX[[#This Row],[Column1720]]</f>
        <v>97.47</v>
      </c>
      <c r="BNE5">
        <f>SOFR3mo_PX[[#This Row],[Column1721]]</f>
        <v>97.474999999999994</v>
      </c>
      <c r="BNF5">
        <f>SOFR3mo_PX[[#This Row],[Column1722]]</f>
        <v>97.465000000000003</v>
      </c>
      <c r="BNG5">
        <f>SOFR3mo_PX[[#This Row],[Column1723]]</f>
        <v>97.435000000000002</v>
      </c>
      <c r="BNH5">
        <f>SOFR3mo_PX[[#This Row],[Column1724]]</f>
        <v>97.435000000000002</v>
      </c>
      <c r="BNI5">
        <f>SOFR3mo_PX[[#This Row],[Column1725]]</f>
        <v>97.424999999999997</v>
      </c>
      <c r="BNJ5">
        <f>SOFR3mo_PX[[#This Row],[Column1726]]</f>
        <v>97.415000000000006</v>
      </c>
      <c r="BNK5">
        <f>SOFR3mo_PX[[#This Row],[Column1727]]</f>
        <v>97.405000000000001</v>
      </c>
      <c r="BNL5">
        <f>SOFR3mo_PX[[#This Row],[Column1728]]</f>
        <v>97.39</v>
      </c>
      <c r="BNM5">
        <f>SOFR3mo_PX[[#This Row],[Column1729]]</f>
        <v>97.4</v>
      </c>
      <c r="BNN5">
        <f>SOFR3mo_PX[[#This Row],[Column1730]]</f>
        <v>97.405000000000001</v>
      </c>
      <c r="BNO5">
        <f>SOFR3mo_PX[[#This Row],[Column1731]]</f>
        <v>97.415000000000006</v>
      </c>
      <c r="BNP5">
        <f>SOFR3mo_PX[[#This Row],[Column1732]]</f>
        <v>97.4</v>
      </c>
      <c r="BNQ5">
        <f>SOFR3mo_PX[[#This Row],[Column1733]]</f>
        <v>97.42</v>
      </c>
      <c r="BNR5">
        <f>SOFR3mo_PX[[#This Row],[Column1734]]</f>
        <v>97.415000000000006</v>
      </c>
      <c r="BNS5">
        <f>SOFR3mo_PX[[#This Row],[Column1735]]</f>
        <v>97.435000000000002</v>
      </c>
      <c r="BNT5">
        <f>SOFR3mo_PX[[#This Row],[Column1736]]</f>
        <v>97.44</v>
      </c>
      <c r="BNU5">
        <f>SOFR3mo_PX[[#This Row],[Column1737]]</f>
        <v>97.44</v>
      </c>
      <c r="BNV5">
        <f>SOFR3mo_PX[[#This Row],[Column1738]]</f>
        <v>97.41</v>
      </c>
      <c r="BNW5">
        <f>SOFR3mo_PX[[#This Row],[Column1739]]</f>
        <v>97.41</v>
      </c>
      <c r="BNX5">
        <f>SOFR3mo_PX[[#This Row],[Column1740]]</f>
        <v>97.4</v>
      </c>
      <c r="BNY5">
        <f>SOFR3mo_PX[[#This Row],[Column1741]]</f>
        <v>97.385000000000005</v>
      </c>
      <c r="BNZ5">
        <f>SOFR3mo_PX[[#This Row],[Column1742]]</f>
        <v>97.38</v>
      </c>
      <c r="BOA5">
        <f>SOFR3mo_PX[[#This Row],[Column1743]]</f>
        <v>97.39</v>
      </c>
      <c r="BOB5">
        <f>SOFR3mo_PX[[#This Row],[Column1744]]</f>
        <v>97.39</v>
      </c>
      <c r="BOC5">
        <f>SOFR3mo_PX[[#This Row],[Column1745]]</f>
        <v>97.39</v>
      </c>
      <c r="BOD5">
        <f>SOFR3mo_PX[[#This Row],[Column1746]]</f>
        <v>97.385000000000005</v>
      </c>
      <c r="BOE5">
        <f>SOFR3mo_PX[[#This Row],[Column1747]]</f>
        <v>97.394999999999996</v>
      </c>
      <c r="BOF5">
        <f>SOFR3mo_PX[[#This Row],[Column1748]]</f>
        <v>97.39</v>
      </c>
      <c r="BOG5">
        <f>SOFR3mo_PX[[#This Row],[Column1749]]</f>
        <v>97.38</v>
      </c>
      <c r="BOH5">
        <f>SOFR3mo_PX[[#This Row],[Column1750]]</f>
        <v>97.37</v>
      </c>
      <c r="BOI5">
        <f>SOFR3mo_PX[[#This Row],[Column1751]]</f>
        <v>97.375</v>
      </c>
      <c r="BOJ5">
        <f>SOFR3mo_PX[[#This Row],[Column1752]]</f>
        <v>97.38</v>
      </c>
      <c r="BOK5">
        <f>SOFR3mo_PX[[#This Row],[Column1753]]</f>
        <v>97.375</v>
      </c>
      <c r="BOL5">
        <f>SOFR3mo_PX[[#This Row],[Column1754]]</f>
        <v>97.39</v>
      </c>
      <c r="BOM5">
        <f>SOFR3mo_PX[[#This Row],[Column1755]]</f>
        <v>97.4</v>
      </c>
      <c r="BON5">
        <f>SOFR3mo_PX[[#This Row],[Column1756]]</f>
        <v>97.394999999999996</v>
      </c>
      <c r="BOO5">
        <f>SOFR3mo_PX[[#This Row],[Column1757]]</f>
        <v>97.4</v>
      </c>
      <c r="BOP5">
        <f>SOFR3mo_PX[[#This Row],[Column1758]]</f>
        <v>97.385000000000005</v>
      </c>
      <c r="BOQ5">
        <f>SOFR3mo_PX[[#This Row],[Column1759]]</f>
        <v>97.385000000000005</v>
      </c>
      <c r="BOR5">
        <f>SOFR3mo_PX[[#This Row],[Column1760]]</f>
        <v>97.38</v>
      </c>
      <c r="BOS5">
        <f>SOFR3mo_PX[[#This Row],[Column1761]]</f>
        <v>97.394999999999996</v>
      </c>
      <c r="BOT5">
        <f>SOFR3mo_PX[[#This Row],[Column1762]]</f>
        <v>97.394999999999996</v>
      </c>
      <c r="BOU5">
        <f>SOFR3mo_PX[[#This Row],[Column1763]]</f>
        <v>97.38</v>
      </c>
      <c r="BOV5">
        <f>SOFR3mo_PX[[#This Row],[Column1764]]</f>
        <v>97.4</v>
      </c>
      <c r="BOW5">
        <f>SOFR3mo_PX[[#This Row],[Column1765]]</f>
        <v>97.6</v>
      </c>
      <c r="BOX5">
        <f>SOFR3mo_PX[[#This Row],[Column1766]]</f>
        <v>97.6</v>
      </c>
      <c r="BOY5">
        <f>SOFR3mo_PX[[#This Row],[Column1767]]</f>
        <v>97.605000000000004</v>
      </c>
      <c r="BOZ5">
        <f>SOFR3mo_PX[[#This Row],[Column1768]]</f>
        <v>97.614999999999995</v>
      </c>
      <c r="BPA5">
        <f>SOFR3mo_PX[[#This Row],[Column1769]]</f>
        <v>97.62</v>
      </c>
      <c r="BPB5">
        <f>SOFR3mo_PX[[#This Row],[Column1770]]</f>
        <v>97.605000000000004</v>
      </c>
      <c r="BPC5">
        <f>SOFR3mo_PX[[#This Row],[Column1771]]</f>
        <v>97.614999999999995</v>
      </c>
      <c r="BPD5">
        <f>SOFR3mo_PX[[#This Row],[Column1772]]</f>
        <v>97.62</v>
      </c>
      <c r="BPE5">
        <f>SOFR3mo_PX[[#This Row],[Column1773]]</f>
        <v>97.644999999999996</v>
      </c>
      <c r="BPF5">
        <f>SOFR3mo_PX[[#This Row],[Column1774]]</f>
        <v>97.64</v>
      </c>
      <c r="BPG5">
        <f>SOFR3mo_PX[[#This Row],[Column1775]]</f>
        <v>97.644999999999996</v>
      </c>
      <c r="BPH5">
        <f>SOFR3mo_PX[[#This Row],[Column1776]]</f>
        <v>97.65</v>
      </c>
      <c r="BPI5">
        <f>SOFR3mo_PX[[#This Row],[Column1777]]</f>
        <v>97.65</v>
      </c>
      <c r="BPJ5">
        <f>SOFR3mo_PX[[#This Row],[Column1778]]</f>
        <v>97.644999999999996</v>
      </c>
      <c r="BPK5">
        <f>SOFR3mo_PX[[#This Row],[Column1779]]</f>
        <v>97.635000000000005</v>
      </c>
      <c r="BPL5">
        <f>SOFR3mo_PX[[#This Row],[Column1780]]</f>
        <v>97.64</v>
      </c>
      <c r="BPM5">
        <f>SOFR3mo_PX[[#This Row],[Column1781]]</f>
        <v>97.65</v>
      </c>
      <c r="BPN5">
        <f>SOFR3mo_PX[[#This Row],[Column1782]]</f>
        <v>97.665000000000006</v>
      </c>
      <c r="BPO5">
        <f>SOFR3mo_PX[[#This Row],[Column1783]]</f>
        <v>97.674999999999997</v>
      </c>
      <c r="BPP5">
        <f>SOFR3mo_PX[[#This Row],[Column1784]]</f>
        <v>97.694999999999993</v>
      </c>
      <c r="BPQ5">
        <f>SOFR3mo_PX[[#This Row],[Column1785]]</f>
        <v>97.69</v>
      </c>
      <c r="BPR5">
        <f>SOFR3mo_PX[[#This Row],[Column1786]]</f>
        <v>97.7</v>
      </c>
      <c r="BPS5">
        <f>SOFR3mo_PX[[#This Row],[Column1787]]</f>
        <v>97.685000000000002</v>
      </c>
      <c r="BPT5">
        <f>SOFR3mo_PX[[#This Row],[Column1788]]</f>
        <v>97.674999999999997</v>
      </c>
      <c r="BPU5">
        <f>SOFR3mo_PX[[#This Row],[Column1789]]</f>
        <v>97.685000000000002</v>
      </c>
      <c r="BPV5">
        <f>SOFR3mo_PX[[#This Row],[Column1790]]</f>
        <v>97.67</v>
      </c>
      <c r="BPW5">
        <f>SOFR3mo_PX[[#This Row],[Column1791]]</f>
        <v>97.69</v>
      </c>
      <c r="BPX5">
        <f>SOFR3mo_PX[[#This Row],[Column1792]]</f>
        <v>97.704999999999998</v>
      </c>
      <c r="BPY5">
        <f>SOFR3mo_PX[[#This Row],[Column1793]]</f>
        <v>97.67</v>
      </c>
      <c r="BPZ5">
        <f>SOFR3mo_PX[[#This Row],[Column1794]]</f>
        <v>97.665000000000006</v>
      </c>
      <c r="BQA5">
        <f>SOFR3mo_PX[[#This Row],[Column1795]]</f>
        <v>97.655000000000001</v>
      </c>
      <c r="BQB5">
        <f>SOFR3mo_PX[[#This Row],[Column1796]]</f>
        <v>97.655000000000001</v>
      </c>
      <c r="BQC5">
        <f>SOFR3mo_PX[[#This Row],[Column1797]]</f>
        <v>97.655000000000001</v>
      </c>
      <c r="BQD5">
        <f>SOFR3mo_PX[[#This Row],[Column1798]]</f>
        <v>97.644999999999996</v>
      </c>
      <c r="BQE5">
        <f>SOFR3mo_PX[[#This Row],[Column1799]]</f>
        <v>97.635000000000005</v>
      </c>
      <c r="BQF5">
        <f>SOFR3mo_PX[[#This Row],[Column1800]]</f>
        <v>97.64</v>
      </c>
      <c r="BQG5">
        <f>SOFR3mo_PX[[#This Row],[Column1801]]</f>
        <v>97.644999999999996</v>
      </c>
      <c r="BQH5">
        <f>SOFR3mo_PX[[#This Row],[Column1802]]</f>
        <v>97.644999999999996</v>
      </c>
      <c r="BQI5">
        <f>SOFR3mo_PX[[#This Row],[Column1803]]</f>
        <v>97.64</v>
      </c>
      <c r="BQJ5">
        <f>SOFR3mo_PX[[#This Row],[Column1804]]</f>
        <v>97.644999999999996</v>
      </c>
      <c r="BQK5">
        <f>SOFR3mo_PX[[#This Row],[Column1805]]</f>
        <v>97.644999999999996</v>
      </c>
      <c r="BQL5">
        <f>SOFR3mo_PX[[#This Row],[Column1806]]</f>
        <v>97.655000000000001</v>
      </c>
      <c r="BQM5">
        <f>SOFR3mo_PX[[#This Row],[Column1807]]</f>
        <v>97.665000000000006</v>
      </c>
      <c r="BQN5">
        <f>SOFR3mo_PX[[#This Row],[Column1808]]</f>
        <v>97.665000000000006</v>
      </c>
      <c r="BQO5">
        <f>SOFR3mo_PX[[#This Row],[Column1809]]</f>
        <v>97.66</v>
      </c>
      <c r="BQP5">
        <f>SOFR3mo_PX[[#This Row],[Column1810]]</f>
        <v>97.665000000000006</v>
      </c>
      <c r="BQQ5">
        <f>SOFR3mo_PX[[#This Row],[Column1811]]</f>
        <v>97.69</v>
      </c>
      <c r="BQR5">
        <f>SOFR3mo_PX[[#This Row],[Column1812]]</f>
        <v>97.7</v>
      </c>
      <c r="BQS5">
        <f>SOFR3mo_PX[[#This Row],[Column1813]]</f>
        <v>97.704999999999998</v>
      </c>
      <c r="BQT5">
        <f>SOFR3mo_PX[[#This Row],[Column1814]]</f>
        <v>97.72</v>
      </c>
      <c r="BQU5">
        <f>SOFR3mo_PX[[#This Row],[Column1815]]</f>
        <v>97.72</v>
      </c>
      <c r="BQV5">
        <f>SOFR3mo_PX[[#This Row],[Column1816]]</f>
        <v>97.734999999999999</v>
      </c>
      <c r="BQW5">
        <f>SOFR3mo_PX[[#This Row],[Column1817]]</f>
        <v>97.75</v>
      </c>
      <c r="BQX5">
        <f>SOFR3mo_PX[[#This Row],[Column1818]]</f>
        <v>97.74</v>
      </c>
      <c r="BQY5">
        <f>SOFR3mo_PX[[#This Row],[Column1819]]</f>
        <v>97.76</v>
      </c>
      <c r="BQZ5">
        <f>SOFR3mo_PX[[#This Row],[Column1820]]</f>
        <v>97.76</v>
      </c>
      <c r="BRA5">
        <f>SOFR3mo_PX[[#This Row],[Column1821]]</f>
        <v>97.745000000000005</v>
      </c>
      <c r="BRB5">
        <f>SOFR3mo_PX[[#This Row],[Column1822]]</f>
        <v>97.745000000000005</v>
      </c>
      <c r="BRC5">
        <f>SOFR3mo_PX[[#This Row],[Column1823]]</f>
        <v>97.745000000000005</v>
      </c>
      <c r="BRD5">
        <f>SOFR3mo_PX[[#This Row],[Column1824]]</f>
        <v>97.74</v>
      </c>
      <c r="BRE5">
        <f>SOFR3mo_PX[[#This Row],[Column1825]]</f>
        <v>97.72</v>
      </c>
      <c r="BRF5">
        <f>SOFR3mo_PX[[#This Row],[Column1826]]</f>
        <v>97.7</v>
      </c>
      <c r="BRG5">
        <f>SOFR3mo_PX[[#This Row],[Column1827]]</f>
        <v>97.694999999999993</v>
      </c>
      <c r="BRH5">
        <f>SOFR3mo_PX[[#This Row],[Column1828]]</f>
        <v>97.694999999999993</v>
      </c>
      <c r="BRI5">
        <f>SOFR3mo_PX[[#This Row],[Column1829]]</f>
        <v>97.685000000000002</v>
      </c>
      <c r="BRJ5">
        <f>SOFR3mo_PX[[#This Row],[Column1830]]</f>
        <v>97.69</v>
      </c>
      <c r="BRK5">
        <f>SOFR3mo_PX[[#This Row],[Column1831]]</f>
        <v>97.685000000000002</v>
      </c>
      <c r="BRL5">
        <f>SOFR3mo_PX[[#This Row],[Column1832]]</f>
        <v>97.685000000000002</v>
      </c>
      <c r="BRM5">
        <f>SOFR3mo_PX[[#This Row],[Column1833]]</f>
        <v>97.67</v>
      </c>
      <c r="BRN5">
        <f>SOFR3mo_PX[[#This Row],[Column1834]]</f>
        <v>97.66</v>
      </c>
      <c r="BRO5">
        <f>SOFR3mo_PX[[#This Row],[Column1835]]</f>
        <v>97.69</v>
      </c>
      <c r="BRP5">
        <f>SOFR3mo_PX[[#This Row],[Column1836]]</f>
        <v>97.69</v>
      </c>
      <c r="BRQ5">
        <f>SOFR3mo_PX[[#This Row],[Column1837]]</f>
        <v>97.704999999999998</v>
      </c>
      <c r="BRR5">
        <f>SOFR3mo_PX[[#This Row],[Column1838]]</f>
        <v>97.685000000000002</v>
      </c>
      <c r="BRS5">
        <f>SOFR3mo_PX[[#This Row],[Column1839]]</f>
        <v>97.685000000000002</v>
      </c>
      <c r="BRT5">
        <f>SOFR3mo_PX[[#This Row],[Column1840]]</f>
        <v>97.704999999999998</v>
      </c>
      <c r="BRU5">
        <f>SOFR3mo_PX[[#This Row],[Column1841]]</f>
        <v>97.7</v>
      </c>
      <c r="BRV5">
        <f>SOFR3mo_PX[[#This Row],[Column1842]]</f>
        <v>97.724999999999994</v>
      </c>
      <c r="BRW5">
        <f>SOFR3mo_PX[[#This Row],[Column1843]]</f>
        <v>97.784999999999997</v>
      </c>
      <c r="BRX5">
        <f>SOFR3mo_PX[[#This Row],[Column1844]]</f>
        <v>97.79</v>
      </c>
      <c r="BRY5">
        <f>SOFR3mo_PX[[#This Row],[Column1845]]</f>
        <v>97.864999999999995</v>
      </c>
      <c r="BRZ5">
        <f>SOFR3mo_PX[[#This Row],[Column1846]]</f>
        <v>97.73</v>
      </c>
      <c r="BSA5">
        <f>SOFR3mo_PX[[#This Row],[Column1847]]</f>
        <v>97.73</v>
      </c>
      <c r="BSB5">
        <f>SOFR3mo_PX[[#This Row],[Column1848]]</f>
        <v>97.71</v>
      </c>
      <c r="BSC5">
        <f>SOFR3mo_PX[[#This Row],[Column1849]]</f>
        <v>97.694999999999993</v>
      </c>
      <c r="BSD5">
        <f>SOFR3mo_PX[[#This Row],[Column1850]]</f>
        <v>97.644999999999996</v>
      </c>
      <c r="BSE5">
        <f>SOFR3mo_PX[[#This Row],[Column1851]]</f>
        <v>97.635000000000005</v>
      </c>
      <c r="BSF5">
        <f>SOFR3mo_PX[[#This Row],[Column1852]]</f>
        <v>97.644999999999996</v>
      </c>
      <c r="BSG5">
        <f>SOFR3mo_PX[[#This Row],[Column1853]]</f>
        <v>97.635000000000005</v>
      </c>
      <c r="BSH5">
        <f>SOFR3mo_PX[[#This Row],[Column1854]]</f>
        <v>97.635000000000005</v>
      </c>
      <c r="BSI5">
        <f>SOFR3mo_PX[[#This Row],[Column1855]]</f>
        <v>97.635000000000005</v>
      </c>
      <c r="BSJ5">
        <f>SOFR3mo_PX[[#This Row],[Column1856]]</f>
        <v>97.644999999999996</v>
      </c>
      <c r="BSK5">
        <f>SOFR3mo_PX[[#This Row],[Column1857]]</f>
        <v>97.64</v>
      </c>
      <c r="BSL5">
        <f>SOFR3mo_PX[[#This Row],[Column1858]]</f>
        <v>97.66</v>
      </c>
      <c r="BSM5">
        <f>SOFR3mo_PX[[#This Row],[Column1859]]</f>
        <v>97.68</v>
      </c>
      <c r="BSN5">
        <f>SOFR3mo_PX[[#This Row],[Column1860]]</f>
        <v>97.685000000000002</v>
      </c>
      <c r="BSO5">
        <f>SOFR3mo_PX[[#This Row],[Column1861]]</f>
        <v>97.69</v>
      </c>
      <c r="BSP5">
        <f>SOFR3mo_PX[[#This Row],[Column1862]]</f>
        <v>97.644999999999996</v>
      </c>
      <c r="BSQ5" t="str">
        <f>SOFR3mo_PX[[#This Row],[Column1863]]</f>
        <v>#N/A N/A</v>
      </c>
      <c r="BSR5" t="str">
        <f>SOFR3mo_PX[[#This Row],[Column1864]]</f>
        <v>#N/A N/A</v>
      </c>
      <c r="BSS5" t="str">
        <f>SOFR3mo_PX[[#This Row],[Column1865]]</f>
        <v>#N/A N/A</v>
      </c>
      <c r="BST5" t="str">
        <f>SOFR3mo_PX[[#This Row],[Column1866]]</f>
        <v>#N/A N/A</v>
      </c>
      <c r="BSU5" t="str">
        <f>SOFR3mo_PX[[#This Row],[Column1867]]</f>
        <v>#N/A N/A</v>
      </c>
      <c r="BSV5" t="str">
        <f>SOFR3mo_PX[[#This Row],[Column1868]]</f>
        <v>#N/A N/A</v>
      </c>
      <c r="BSW5" t="str">
        <f>SOFR3mo_PX[[#This Row],[Column1869]]</f>
        <v>#N/A N/A</v>
      </c>
      <c r="BSX5" t="str">
        <f>SOFR3mo_PX[[#This Row],[Column1870]]</f>
        <v>#N/A N/A</v>
      </c>
      <c r="BSY5" t="str">
        <f>SOFR3mo_PX[[#This Row],[Column1871]]</f>
        <v>#N/A N/A</v>
      </c>
      <c r="BSZ5" t="str">
        <f>SOFR3mo_PX[[#This Row],[Column1872]]</f>
        <v>#N/A N/A</v>
      </c>
      <c r="BTA5" t="str">
        <f>SOFR3mo_PX[[#This Row],[Column1873]]</f>
        <v>#N/A N/A</v>
      </c>
      <c r="BTB5" t="str">
        <f>SOFR3mo_PX[[#This Row],[Column1874]]</f>
        <v>#N/A N/A</v>
      </c>
      <c r="BTC5" t="str">
        <f>SOFR3mo_PX[[#This Row],[Column1875]]</f>
        <v>#N/A N/A</v>
      </c>
      <c r="BTD5" t="str">
        <f>SOFR3mo_PX[[#This Row],[Column1876]]</f>
        <v>#N/A N/A</v>
      </c>
      <c r="BTE5" t="str">
        <f>SOFR3mo_PX[[#This Row],[Column1877]]</f>
        <v>#N/A N/A</v>
      </c>
      <c r="BTF5" t="str">
        <f>SOFR3mo_PX[[#This Row],[Column1878]]</f>
        <v>#N/A N/A</v>
      </c>
      <c r="BTG5" t="str">
        <f>SOFR3mo_PX[[#This Row],[Column1879]]</f>
        <v>#N/A N/A</v>
      </c>
      <c r="BTH5" t="str">
        <f>SOFR3mo_PX[[#This Row],[Column1880]]</f>
        <v>#N/A N/A</v>
      </c>
      <c r="BTI5" t="str">
        <f>SOFR3mo_PX[[#This Row],[Column1881]]</f>
        <v>#N/A N/A</v>
      </c>
      <c r="BTJ5" t="str">
        <f>SOFR3mo_PX[[#This Row],[Column1882]]</f>
        <v>#N/A N/A</v>
      </c>
      <c r="BTK5" t="str">
        <f>SOFR3mo_PX[[#This Row],[Column1883]]</f>
        <v>#N/A N/A</v>
      </c>
      <c r="BTL5" t="str">
        <f>SOFR3mo_PX[[#This Row],[Column1884]]</f>
        <v>#N/A N/A</v>
      </c>
      <c r="BTM5" t="str">
        <f>SOFR3mo_PX[[#This Row],[Column1885]]</f>
        <v>#N/A N/A</v>
      </c>
      <c r="BTN5" t="str">
        <f>SOFR3mo_PX[[#This Row],[Column1886]]</f>
        <v>#N/A N/A</v>
      </c>
      <c r="BTO5" t="str">
        <f>SOFR3mo_PX[[#This Row],[Column1887]]</f>
        <v>#N/A N/A</v>
      </c>
      <c r="BTP5" t="str">
        <f>SOFR3mo_PX[[#This Row],[Column1888]]</f>
        <v>#N/A N/A</v>
      </c>
      <c r="BTQ5" t="str">
        <f>SOFR3mo_PX[[#This Row],[Column1889]]</f>
        <v>#N/A N/A</v>
      </c>
      <c r="BTR5" t="str">
        <f>SOFR3mo_PX[[#This Row],[Column1890]]</f>
        <v>#N/A N/A</v>
      </c>
      <c r="BTS5" t="str">
        <f>SOFR3mo_PX[[#This Row],[Column1891]]</f>
        <v>#N/A N/A</v>
      </c>
      <c r="BTT5" t="str">
        <f>SOFR3mo_PX[[#This Row],[Column1892]]</f>
        <v>#N/A N/A</v>
      </c>
      <c r="BTU5" t="str">
        <f>SOFR3mo_PX[[#This Row],[Column1893]]</f>
        <v>#N/A N/A</v>
      </c>
      <c r="BTV5" t="str">
        <f>SOFR3mo_PX[[#This Row],[Column1894]]</f>
        <v>#N/A N/A</v>
      </c>
      <c r="BTW5" t="str">
        <f>SOFR3mo_PX[[#This Row],[Column1895]]</f>
        <v>#N/A N/A</v>
      </c>
      <c r="BTX5" t="str">
        <f>SOFR3mo_PX[[#This Row],[Column1896]]</f>
        <v>#N/A N/A</v>
      </c>
      <c r="BTY5" t="str">
        <f>SOFR3mo_PX[[#This Row],[Column1897]]</f>
        <v>#N/A N/A</v>
      </c>
      <c r="BTZ5" t="str">
        <f>SOFR3mo_PX[[#This Row],[Column1898]]</f>
        <v>#N/A N/A</v>
      </c>
      <c r="BUA5" t="str">
        <f>SOFR3mo_PX[[#This Row],[Column1899]]</f>
        <v>#N/A N/A</v>
      </c>
      <c r="BUB5" t="str">
        <f>SOFR3mo_PX[[#This Row],[Column1900]]</f>
        <v>#N/A N/A</v>
      </c>
      <c r="BUC5" t="str">
        <f>SOFR3mo_PX[[#This Row],[Column1901]]</f>
        <v>#N/A N/A</v>
      </c>
      <c r="BUD5" t="str">
        <f>SOFR3mo_PX[[#This Row],[Column1902]]</f>
        <v>#N/A N/A</v>
      </c>
      <c r="BUE5" t="str">
        <f>SOFR3mo_PX[[#This Row],[Column1903]]</f>
        <v>#N/A N/A</v>
      </c>
      <c r="BUF5" t="str">
        <f>SOFR3mo_PX[[#This Row],[Column1904]]</f>
        <v>#N/A N/A</v>
      </c>
      <c r="BUG5" t="str">
        <f>SOFR3mo_PX[[#This Row],[Column1905]]</f>
        <v>#N/A N/A</v>
      </c>
      <c r="BUH5" t="str">
        <f>SOFR3mo_PX[[#This Row],[Column1906]]</f>
        <v>#N/A N/A</v>
      </c>
      <c r="BUI5" t="str">
        <f>SOFR3mo_PX[[#This Row],[Column1907]]</f>
        <v>#N/A N/A</v>
      </c>
      <c r="BUJ5" t="str">
        <f>SOFR3mo_PX[[#This Row],[Column1908]]</f>
        <v>#N/A N/A</v>
      </c>
      <c r="BUK5" t="str">
        <f>SOFR3mo_PX[[#This Row],[Column1909]]</f>
        <v>#N/A N/A</v>
      </c>
      <c r="BUL5" t="str">
        <f>SOFR3mo_PX[[#This Row],[Column1910]]</f>
        <v>#N/A N/A</v>
      </c>
      <c r="BUM5" t="str">
        <f>SOFR3mo_PX[[#This Row],[Column1911]]</f>
        <v>#N/A N/A</v>
      </c>
      <c r="BUN5" t="str">
        <f>SOFR3mo_PX[[#This Row],[Column1912]]</f>
        <v>#N/A N/A</v>
      </c>
      <c r="BUO5" t="str">
        <f>SOFR3mo_PX[[#This Row],[Column1913]]</f>
        <v>#N/A N/A</v>
      </c>
      <c r="BUP5" t="str">
        <f>SOFR3mo_PX[[#This Row],[Column1914]]</f>
        <v>#N/A N/A</v>
      </c>
      <c r="BUQ5" t="str">
        <f>SOFR3mo_PX[[#This Row],[Column1915]]</f>
        <v>#N/A N/A</v>
      </c>
      <c r="BUR5" t="str">
        <f>SOFR3mo_PX[[#This Row],[Column1916]]</f>
        <v>#N/A N/A</v>
      </c>
      <c r="BUS5" t="str">
        <f>SOFR3mo_PX[[#This Row],[Column1917]]</f>
        <v>#N/A N/A</v>
      </c>
      <c r="BUT5" t="str">
        <f>SOFR3mo_PX[[#This Row],[Column1918]]</f>
        <v>#N/A N/A</v>
      </c>
      <c r="BUU5" t="str">
        <f>SOFR3mo_PX[[#This Row],[Column1919]]</f>
        <v>#N/A N/A</v>
      </c>
      <c r="BUV5" t="str">
        <f>SOFR3mo_PX[[#This Row],[Column1920]]</f>
        <v>#N/A N/A</v>
      </c>
      <c r="BUW5" t="str">
        <f>SOFR3mo_PX[[#This Row],[Column1921]]</f>
        <v>#N/A N/A</v>
      </c>
      <c r="BUX5" t="str">
        <f>SOFR3mo_PX[[#This Row],[Column1922]]</f>
        <v>#N/A N/A</v>
      </c>
      <c r="BUY5" t="str">
        <f>SOFR3mo_PX[[#This Row],[Column1923]]</f>
        <v>#N/A N/A</v>
      </c>
      <c r="BUZ5" t="str">
        <f>SOFR3mo_PX[[#This Row],[Column1924]]</f>
        <v>#N/A N/A</v>
      </c>
      <c r="BVA5" t="str">
        <f>SOFR3mo_PX[[#This Row],[Column1925]]</f>
        <v>#N/A N/A</v>
      </c>
      <c r="BVB5" t="str">
        <f>SOFR3mo_PX[[#This Row],[Column1926]]</f>
        <v>#N/A N/A</v>
      </c>
      <c r="BVC5" t="str">
        <f>SOFR3mo_PX[[#This Row],[Column1927]]</f>
        <v>#N/A N/A</v>
      </c>
      <c r="BVD5" t="str">
        <f>SOFR3mo_PX[[#This Row],[Column1928]]</f>
        <v>#N/A N/A</v>
      </c>
      <c r="BVE5" t="str">
        <f>SOFR3mo_PX[[#This Row],[Column1929]]</f>
        <v>#N/A N/A</v>
      </c>
      <c r="BVF5" t="str">
        <f>SOFR3mo_PX[[#This Row],[Column1930]]</f>
        <v>#N/A N/A</v>
      </c>
      <c r="BVG5" t="str">
        <f>SOFR3mo_PX[[#This Row],[Column1931]]</f>
        <v>#N/A N/A</v>
      </c>
      <c r="BVH5" t="str">
        <f>SOFR3mo_PX[[#This Row],[Column1932]]</f>
        <v>#N/A N/A</v>
      </c>
      <c r="BVI5" t="str">
        <f>SOFR3mo_PX[[#This Row],[Column1933]]</f>
        <v>#N/A N/A</v>
      </c>
      <c r="BVJ5" t="str">
        <f>SOFR3mo_PX[[#This Row],[Column1934]]</f>
        <v>#N/A N/A</v>
      </c>
      <c r="BVK5" t="str">
        <f>SOFR3mo_PX[[#This Row],[Column1935]]</f>
        <v>#N/A N/A</v>
      </c>
      <c r="BVL5" t="str">
        <f>SOFR3mo_PX[[#This Row],[Column1936]]</f>
        <v>#N/A N/A</v>
      </c>
      <c r="BVM5" t="str">
        <f>SOFR3mo_PX[[#This Row],[Column1937]]</f>
        <v>#N/A N/A</v>
      </c>
      <c r="BVN5" t="str">
        <f>SOFR3mo_PX[[#This Row],[Column1938]]</f>
        <v>#N/A N/A</v>
      </c>
      <c r="BVO5" t="str">
        <f>SOFR3mo_PX[[#This Row],[Column1939]]</f>
        <v>#N/A N/A</v>
      </c>
      <c r="BVP5" t="str">
        <f>SOFR3mo_PX[[#This Row],[Column1940]]</f>
        <v>#N/A N/A</v>
      </c>
      <c r="BVQ5" t="str">
        <f>SOFR3mo_PX[[#This Row],[Column1941]]</f>
        <v>#N/A N/A</v>
      </c>
      <c r="BVR5" t="str">
        <f>SOFR3mo_PX[[#This Row],[Column1942]]</f>
        <v>#N/A N/A</v>
      </c>
      <c r="BVS5" t="str">
        <f>SOFR3mo_PX[[#This Row],[Column1943]]</f>
        <v>#N/A N/A</v>
      </c>
      <c r="BVT5" t="str">
        <f>SOFR3mo_PX[[#This Row],[Column1944]]</f>
        <v>#N/A N/A</v>
      </c>
      <c r="BVU5" t="str">
        <f>SOFR3mo_PX[[#This Row],[Column1945]]</f>
        <v>#N/A N/A</v>
      </c>
      <c r="BVV5" t="str">
        <f>SOFR3mo_PX[[#This Row],[Column1946]]</f>
        <v>#N/A N/A</v>
      </c>
      <c r="BVW5" t="str">
        <f>SOFR3mo_PX[[#This Row],[Column1947]]</f>
        <v>#N/A N/A</v>
      </c>
      <c r="BVX5" t="str">
        <f>SOFR3mo_PX[[#This Row],[Column1948]]</f>
        <v>#N/A N/A</v>
      </c>
      <c r="BVY5" t="str">
        <f>SOFR3mo_PX[[#This Row],[Column1949]]</f>
        <v>#N/A N/A</v>
      </c>
      <c r="BVZ5" t="str">
        <f>SOFR3mo_PX[[#This Row],[Column1950]]</f>
        <v>#N/A N/A</v>
      </c>
      <c r="BWA5" t="str">
        <f>SOFR3mo_PX[[#This Row],[Column1951]]</f>
        <v>#N/A N/A</v>
      </c>
      <c r="BWB5" t="str">
        <f>SOFR3mo_PX[[#This Row],[Column1952]]</f>
        <v>#N/A N/A</v>
      </c>
      <c r="BWC5" t="str">
        <f>SOFR3mo_PX[[#This Row],[Column1953]]</f>
        <v>#N/A N/A</v>
      </c>
      <c r="BWD5" t="str">
        <f>SOFR3mo_PX[[#This Row],[Column1954]]</f>
        <v>#N/A N/A</v>
      </c>
    </row>
    <row r="6" spans="1:1954" x14ac:dyDescent="0.25">
      <c r="A6" t="str">
        <f>SOFR3mo_PX[[#This Row],[Column1]]</f>
        <v>SFR4 Comdty</v>
      </c>
      <c r="B6">
        <f>IF(rtd!B4&lt;&gt;"",rtd!B4,SOFR3mo_PX[[#This Row],[Column2]])</f>
        <v>96.382499999999993</v>
      </c>
      <c r="C6">
        <f>SOFR3mo_PX[[#This Row],[Column3]]</f>
        <v>96.325000000000003</v>
      </c>
      <c r="D6">
        <f>SOFR3mo_PX[[#This Row],[Column4]]</f>
        <v>96.325000000000003</v>
      </c>
      <c r="E6">
        <f>SOFR3mo_PX[[#This Row],[Column5]]</f>
        <v>96.09</v>
      </c>
      <c r="F6">
        <f>SOFR3mo_PX[[#This Row],[Column6]]</f>
        <v>96.114999999999995</v>
      </c>
      <c r="G6">
        <f>SOFR3mo_PX[[#This Row],[Column7]]</f>
        <v>96.15</v>
      </c>
      <c r="H6">
        <f>SOFR3mo_PX[[#This Row],[Column8]]</f>
        <v>96.185000000000002</v>
      </c>
      <c r="I6">
        <f>SOFR3mo_PX[[#This Row],[Column9]]</f>
        <v>96.155000000000001</v>
      </c>
      <c r="J6">
        <f>SOFR3mo_PX[[#This Row],[Column10]]</f>
        <v>96.09</v>
      </c>
      <c r="K6">
        <f>SOFR3mo_PX[[#This Row],[Column11]]</f>
        <v>96.105000000000004</v>
      </c>
      <c r="L6">
        <f>SOFR3mo_PX[[#This Row],[Column12]]</f>
        <v>96.09</v>
      </c>
      <c r="M6">
        <f>SOFR3mo_PX[[#This Row],[Column13]]</f>
        <v>96.2</v>
      </c>
      <c r="N6">
        <f>SOFR3mo_PX[[#This Row],[Column14]]</f>
        <v>96.23</v>
      </c>
      <c r="O6">
        <f>SOFR3mo_PX[[#This Row],[Column15]]</f>
        <v>96.155000000000001</v>
      </c>
      <c r="P6">
        <f>SOFR3mo_PX[[#This Row],[Column16]]</f>
        <v>96.17</v>
      </c>
      <c r="Q6">
        <f>SOFR3mo_PX[[#This Row],[Column17]]</f>
        <v>96.194999999999993</v>
      </c>
      <c r="R6">
        <f>SOFR3mo_PX[[#This Row],[Column18]]</f>
        <v>96.17</v>
      </c>
      <c r="S6">
        <f>SOFR3mo_PX[[#This Row],[Column19]]</f>
        <v>96.114999999999995</v>
      </c>
      <c r="T6">
        <f>SOFR3mo_PX[[#This Row],[Column20]]</f>
        <v>96.15</v>
      </c>
      <c r="U6">
        <f>SOFR3mo_PX[[#This Row],[Column21]]</f>
        <v>96.144999999999996</v>
      </c>
      <c r="V6">
        <f>SOFR3mo_PX[[#This Row],[Column22]]</f>
        <v>96.144999999999996</v>
      </c>
      <c r="W6">
        <f>SOFR3mo_PX[[#This Row],[Column23]]</f>
        <v>96.16</v>
      </c>
      <c r="X6">
        <f>SOFR3mo_PX[[#This Row],[Column24]]</f>
        <v>96.165000000000006</v>
      </c>
      <c r="Y6">
        <f>SOFR3mo_PX[[#This Row],[Column25]]</f>
        <v>96.194999999999993</v>
      </c>
      <c r="Z6">
        <f>SOFR3mo_PX[[#This Row],[Column26]]</f>
        <v>96.194999999999993</v>
      </c>
      <c r="AA6">
        <f>SOFR3mo_PX[[#This Row],[Column27]]</f>
        <v>96.174999999999997</v>
      </c>
      <c r="AB6">
        <f>SOFR3mo_PX[[#This Row],[Column28]]</f>
        <v>96.21</v>
      </c>
      <c r="AC6">
        <f>SOFR3mo_PX[[#This Row],[Column29]]</f>
        <v>96.14</v>
      </c>
      <c r="AD6">
        <f>SOFR3mo_PX[[#This Row],[Column30]]</f>
        <v>96.18</v>
      </c>
      <c r="AE6">
        <f>SOFR3mo_PX[[#This Row],[Column31]]</f>
        <v>96.215000000000003</v>
      </c>
      <c r="AF6">
        <f>SOFR3mo_PX[[#This Row],[Column32]]</f>
        <v>96.33</v>
      </c>
      <c r="AG6">
        <f>SOFR3mo_PX[[#This Row],[Column33]]</f>
        <v>96.33</v>
      </c>
      <c r="AH6">
        <f>SOFR3mo_PX[[#This Row],[Column34]]</f>
        <v>96.444999999999993</v>
      </c>
      <c r="AI6">
        <f>SOFR3mo_PX[[#This Row],[Column35]]</f>
        <v>96.474999999999994</v>
      </c>
      <c r="AJ6">
        <f>SOFR3mo_PX[[#This Row],[Column36]]</f>
        <v>96.415000000000006</v>
      </c>
      <c r="AK6">
        <f>SOFR3mo_PX[[#This Row],[Column37]]</f>
        <v>96.44</v>
      </c>
      <c r="AL6">
        <f>SOFR3mo_PX[[#This Row],[Column38]]</f>
        <v>96.584999999999994</v>
      </c>
      <c r="AM6">
        <f>SOFR3mo_PX[[#This Row],[Column39]]</f>
        <v>96.694999999999993</v>
      </c>
      <c r="AN6">
        <f>SOFR3mo_PX[[#This Row],[Column40]]</f>
        <v>96.644999999999996</v>
      </c>
      <c r="AO6">
        <f>SOFR3mo_PX[[#This Row],[Column41]]</f>
        <v>96.605000000000004</v>
      </c>
      <c r="AP6">
        <f>SOFR3mo_PX[[#This Row],[Column42]]</f>
        <v>96.54</v>
      </c>
      <c r="AQ6">
        <f>SOFR3mo_PX[[#This Row],[Column43]]</f>
        <v>96.52</v>
      </c>
      <c r="AR6">
        <f>SOFR3mo_PX[[#This Row],[Column44]]</f>
        <v>96.465000000000003</v>
      </c>
      <c r="AS6">
        <f>SOFR3mo_PX[[#This Row],[Column45]]</f>
        <v>96.54</v>
      </c>
      <c r="AT6">
        <f>SOFR3mo_PX[[#This Row],[Column46]]</f>
        <v>96.62</v>
      </c>
      <c r="AU6">
        <f>SOFR3mo_PX[[#This Row],[Column47]]</f>
        <v>96.534999999999997</v>
      </c>
      <c r="AV6">
        <f>SOFR3mo_PX[[#This Row],[Column48]]</f>
        <v>96.534999999999997</v>
      </c>
      <c r="AW6">
        <f>SOFR3mo_PX[[#This Row],[Column49]]</f>
        <v>96.555000000000007</v>
      </c>
      <c r="AX6">
        <f>SOFR3mo_PX[[#This Row],[Column50]]</f>
        <v>96.515000000000001</v>
      </c>
      <c r="AY6">
        <f>SOFR3mo_PX[[#This Row],[Column51]]</f>
        <v>96.52</v>
      </c>
      <c r="AZ6">
        <f>SOFR3mo_PX[[#This Row],[Column52]]</f>
        <v>96.42</v>
      </c>
      <c r="BA6">
        <f>SOFR3mo_PX[[#This Row],[Column53]]</f>
        <v>96.515000000000001</v>
      </c>
      <c r="BB6">
        <f>SOFR3mo_PX[[#This Row],[Column54]]</f>
        <v>96.38</v>
      </c>
      <c r="BC6">
        <f>SOFR3mo_PX[[#This Row],[Column55]]</f>
        <v>96.665000000000006</v>
      </c>
      <c r="BD6">
        <f>SOFR3mo_PX[[#This Row],[Column56]]</f>
        <v>96.625</v>
      </c>
      <c r="BE6">
        <f>SOFR3mo_PX[[#This Row],[Column57]]</f>
        <v>96.655000000000001</v>
      </c>
      <c r="BF6">
        <f>SOFR3mo_PX[[#This Row],[Column58]]</f>
        <v>96.564999999999998</v>
      </c>
      <c r="BG6">
        <f>SOFR3mo_PX[[#This Row],[Column59]]</f>
        <v>96.375</v>
      </c>
      <c r="BH6">
        <f>SOFR3mo_PX[[#This Row],[Column60]]</f>
        <v>96.43</v>
      </c>
      <c r="BI6">
        <f>SOFR3mo_PX[[#This Row],[Column61]]</f>
        <v>96.375</v>
      </c>
      <c r="BJ6">
        <f>SOFR3mo_PX[[#This Row],[Column62]]</f>
        <v>96.375</v>
      </c>
      <c r="BK6">
        <f>SOFR3mo_PX[[#This Row],[Column63]]</f>
        <v>96.265000000000001</v>
      </c>
      <c r="BL6">
        <f>SOFR3mo_PX[[#This Row],[Column64]]</f>
        <v>96.26</v>
      </c>
      <c r="BM6">
        <f>SOFR3mo_PX[[#This Row],[Column65]]</f>
        <v>96.28</v>
      </c>
      <c r="BN6">
        <f>SOFR3mo_PX[[#This Row],[Column66]]</f>
        <v>96.254999999999995</v>
      </c>
      <c r="BO6">
        <f>SOFR3mo_PX[[#This Row],[Column67]]</f>
        <v>96.35</v>
      </c>
      <c r="BP6">
        <f>SOFR3mo_PX[[#This Row],[Column68]]</f>
        <v>96.325000000000003</v>
      </c>
      <c r="BQ6">
        <f>SOFR3mo_PX[[#This Row],[Column69]]</f>
        <v>96.295000000000002</v>
      </c>
      <c r="BR6">
        <f>SOFR3mo_PX[[#This Row],[Column70]]</f>
        <v>96.08</v>
      </c>
      <c r="BS6">
        <f>SOFR3mo_PX[[#This Row],[Column71]]</f>
        <v>96.094999999999999</v>
      </c>
      <c r="BT6">
        <f>SOFR3mo_PX[[#This Row],[Column72]]</f>
        <v>96.144999999999996</v>
      </c>
      <c r="BU6">
        <f>SOFR3mo_PX[[#This Row],[Column73]]</f>
        <v>96.21</v>
      </c>
      <c r="BV6">
        <f>SOFR3mo_PX[[#This Row],[Column74]]</f>
        <v>96.18</v>
      </c>
      <c r="BW6">
        <f>SOFR3mo_PX[[#This Row],[Column75]]</f>
        <v>96.245000000000005</v>
      </c>
      <c r="BX6">
        <f>SOFR3mo_PX[[#This Row],[Column76]]</f>
        <v>96.295000000000002</v>
      </c>
      <c r="BY6">
        <f>SOFR3mo_PX[[#This Row],[Column77]]</f>
        <v>96.194999999999993</v>
      </c>
      <c r="BZ6">
        <f>SOFR3mo_PX[[#This Row],[Column78]]</f>
        <v>96.245000000000005</v>
      </c>
      <c r="CA6">
        <f>SOFR3mo_PX[[#This Row],[Column79]]</f>
        <v>96.2</v>
      </c>
      <c r="CB6">
        <f>SOFR3mo_PX[[#This Row],[Column80]]</f>
        <v>96.215000000000003</v>
      </c>
      <c r="CC6">
        <f>SOFR3mo_PX[[#This Row],[Column81]]</f>
        <v>96.19</v>
      </c>
      <c r="CD6">
        <f>SOFR3mo_PX[[#This Row],[Column82]]</f>
        <v>96.174999999999997</v>
      </c>
      <c r="CE6">
        <f>SOFR3mo_PX[[#This Row],[Column83]]</f>
        <v>96.084999999999994</v>
      </c>
      <c r="CF6">
        <f>SOFR3mo_PX[[#This Row],[Column84]]</f>
        <v>96.09</v>
      </c>
      <c r="CG6">
        <f>SOFR3mo_PX[[#This Row],[Column85]]</f>
        <v>96.08</v>
      </c>
      <c r="CH6">
        <f>SOFR3mo_PX[[#This Row],[Column86]]</f>
        <v>96.025000000000006</v>
      </c>
      <c r="CI6">
        <f>SOFR3mo_PX[[#This Row],[Column87]]</f>
        <v>96.015000000000001</v>
      </c>
      <c r="CJ6">
        <f>SOFR3mo_PX[[#This Row],[Column88]]</f>
        <v>95.93</v>
      </c>
      <c r="CK6">
        <f>SOFR3mo_PX[[#This Row],[Column89]]</f>
        <v>95.915000000000006</v>
      </c>
      <c r="CL6">
        <f>SOFR3mo_PX[[#This Row],[Column90]]</f>
        <v>95.9</v>
      </c>
      <c r="CM6">
        <f>SOFR3mo_PX[[#This Row],[Column91]]</f>
        <v>95.94</v>
      </c>
      <c r="CN6">
        <f>SOFR3mo_PX[[#This Row],[Column92]]</f>
        <v>95.94</v>
      </c>
      <c r="CO6">
        <f>SOFR3mo_PX[[#This Row],[Column93]]</f>
        <v>95.875</v>
      </c>
      <c r="CP6">
        <f>SOFR3mo_PX[[#This Row],[Column94]]</f>
        <v>95.825000000000003</v>
      </c>
      <c r="CQ6">
        <f>SOFR3mo_PX[[#This Row],[Column95]]</f>
        <v>95.905000000000001</v>
      </c>
      <c r="CR6">
        <f>SOFR3mo_PX[[#This Row],[Column96]]</f>
        <v>95.935000000000002</v>
      </c>
      <c r="CS6">
        <f>SOFR3mo_PX[[#This Row],[Column97]]</f>
        <v>95.93</v>
      </c>
      <c r="CT6">
        <f>SOFR3mo_PX[[#This Row],[Column98]]</f>
        <v>96.01</v>
      </c>
      <c r="CU6">
        <f>SOFR3mo_PX[[#This Row],[Column99]]</f>
        <v>96.025000000000006</v>
      </c>
      <c r="CV6">
        <f>SOFR3mo_PX[[#This Row],[Column100]]</f>
        <v>96.004999999999995</v>
      </c>
      <c r="CW6">
        <f>SOFR3mo_PX[[#This Row],[Column101]]</f>
        <v>95.965000000000003</v>
      </c>
      <c r="CX6">
        <f>SOFR3mo_PX[[#This Row],[Column102]]</f>
        <v>96.004999999999995</v>
      </c>
      <c r="CY6">
        <f>SOFR3mo_PX[[#This Row],[Column103]]</f>
        <v>96.045000000000002</v>
      </c>
      <c r="CZ6">
        <f>SOFR3mo_PX[[#This Row],[Column104]]</f>
        <v>96.025000000000006</v>
      </c>
      <c r="DA6">
        <f>SOFR3mo_PX[[#This Row],[Column105]]</f>
        <v>96.06</v>
      </c>
      <c r="DB6">
        <f>SOFR3mo_PX[[#This Row],[Column106]]</f>
        <v>96.075000000000003</v>
      </c>
      <c r="DC6">
        <f>SOFR3mo_PX[[#This Row],[Column107]]</f>
        <v>96</v>
      </c>
      <c r="DD6">
        <f>SOFR3mo_PX[[#This Row],[Column108]]</f>
        <v>95.98</v>
      </c>
      <c r="DE6">
        <f>SOFR3mo_PX[[#This Row],[Column109]]</f>
        <v>95.965000000000003</v>
      </c>
      <c r="DF6">
        <f>SOFR3mo_PX[[#This Row],[Column110]]</f>
        <v>95.96</v>
      </c>
      <c r="DG6">
        <f>SOFR3mo_PX[[#This Row],[Column111]]</f>
        <v>95.97</v>
      </c>
      <c r="DH6">
        <f>SOFR3mo_PX[[#This Row],[Column112]]</f>
        <v>95.97</v>
      </c>
      <c r="DI6">
        <f>SOFR3mo_PX[[#This Row],[Column113]]</f>
        <v>96</v>
      </c>
      <c r="DJ6">
        <f>SOFR3mo_PX[[#This Row],[Column114]]</f>
        <v>95.98</v>
      </c>
      <c r="DK6">
        <f>SOFR3mo_PX[[#This Row],[Column115]]</f>
        <v>95.894999999999996</v>
      </c>
      <c r="DL6">
        <f>SOFR3mo_PX[[#This Row],[Column116]]</f>
        <v>95.864999999999995</v>
      </c>
      <c r="DM6">
        <f>SOFR3mo_PX[[#This Row],[Column117]]</f>
        <v>95.875</v>
      </c>
      <c r="DN6">
        <f>SOFR3mo_PX[[#This Row],[Column118]]</f>
        <v>96.015000000000001</v>
      </c>
      <c r="DO6">
        <f>SOFR3mo_PX[[#This Row],[Column119]]</f>
        <v>95.98</v>
      </c>
      <c r="DP6">
        <f>SOFR3mo_PX[[#This Row],[Column120]]</f>
        <v>95.965000000000003</v>
      </c>
      <c r="DQ6">
        <f>SOFR3mo_PX[[#This Row],[Column121]]</f>
        <v>95.99</v>
      </c>
      <c r="DR6">
        <f>SOFR3mo_PX[[#This Row],[Column122]]</f>
        <v>95.99</v>
      </c>
      <c r="DS6">
        <f>SOFR3mo_PX[[#This Row],[Column123]]</f>
        <v>96.015000000000001</v>
      </c>
      <c r="DT6">
        <f>SOFR3mo_PX[[#This Row],[Column124]]</f>
        <v>96.02</v>
      </c>
      <c r="DU6">
        <f>SOFR3mo_PX[[#This Row],[Column125]]</f>
        <v>96.02</v>
      </c>
      <c r="DV6">
        <f>SOFR3mo_PX[[#This Row],[Column126]]</f>
        <v>96.03</v>
      </c>
      <c r="DW6">
        <f>SOFR3mo_PX[[#This Row],[Column127]]</f>
        <v>95.97</v>
      </c>
      <c r="DX6">
        <f>SOFR3mo_PX[[#This Row],[Column128]]</f>
        <v>95.954999999999998</v>
      </c>
      <c r="DY6">
        <f>SOFR3mo_PX[[#This Row],[Column129]]</f>
        <v>95.954999999999998</v>
      </c>
      <c r="DZ6">
        <f>SOFR3mo_PX[[#This Row],[Column130]]</f>
        <v>95.954999999999998</v>
      </c>
      <c r="EA6">
        <f>SOFR3mo_PX[[#This Row],[Column131]]</f>
        <v>95.924999999999997</v>
      </c>
      <c r="EB6">
        <f>SOFR3mo_PX[[#This Row],[Column132]]</f>
        <v>95.96</v>
      </c>
      <c r="EC6">
        <f>SOFR3mo_PX[[#This Row],[Column133]]</f>
        <v>95.95</v>
      </c>
      <c r="ED6">
        <f>SOFR3mo_PX[[#This Row],[Column134]]</f>
        <v>95.91</v>
      </c>
      <c r="EE6">
        <f>SOFR3mo_PX[[#This Row],[Column135]]</f>
        <v>95.96</v>
      </c>
      <c r="EF6">
        <f>SOFR3mo_PX[[#This Row],[Column136]]</f>
        <v>95.97</v>
      </c>
      <c r="EG6">
        <f>SOFR3mo_PX[[#This Row],[Column137]]</f>
        <v>95.98</v>
      </c>
      <c r="EH6">
        <f>SOFR3mo_PX[[#This Row],[Column138]]</f>
        <v>96.02</v>
      </c>
      <c r="EI6">
        <f>SOFR3mo_PX[[#This Row],[Column139]]</f>
        <v>96.05</v>
      </c>
      <c r="EJ6">
        <f>SOFR3mo_PX[[#This Row],[Column140]]</f>
        <v>96.05</v>
      </c>
      <c r="EK6">
        <f>SOFR3mo_PX[[#This Row],[Column141]]</f>
        <v>96.08</v>
      </c>
      <c r="EL6">
        <f>SOFR3mo_PX[[#This Row],[Column142]]</f>
        <v>96.094999999999999</v>
      </c>
      <c r="EM6">
        <f>SOFR3mo_PX[[#This Row],[Column143]]</f>
        <v>96.04</v>
      </c>
      <c r="EN6">
        <f>SOFR3mo_PX[[#This Row],[Column144]]</f>
        <v>96.064999999999998</v>
      </c>
      <c r="EO6">
        <f>SOFR3mo_PX[[#This Row],[Column145]]</f>
        <v>96.01</v>
      </c>
      <c r="EP6">
        <f>SOFR3mo_PX[[#This Row],[Column146]]</f>
        <v>95.944999999999993</v>
      </c>
      <c r="EQ6">
        <f>SOFR3mo_PX[[#This Row],[Column147]]</f>
        <v>95.974999999999994</v>
      </c>
      <c r="ER6">
        <f>SOFR3mo_PX[[#This Row],[Column148]]</f>
        <v>95.944999999999993</v>
      </c>
      <c r="ES6">
        <f>SOFR3mo_PX[[#This Row],[Column149]]</f>
        <v>95.944999999999993</v>
      </c>
      <c r="ET6">
        <f>SOFR3mo_PX[[#This Row],[Column150]]</f>
        <v>95.9</v>
      </c>
      <c r="EU6">
        <f>SOFR3mo_PX[[#This Row],[Column151]]</f>
        <v>95.924999999999997</v>
      </c>
      <c r="EV6">
        <f>SOFR3mo_PX[[#This Row],[Column152]]</f>
        <v>95.87</v>
      </c>
      <c r="EW6">
        <f>SOFR3mo_PX[[#This Row],[Column153]]</f>
        <v>95.9</v>
      </c>
      <c r="EX6">
        <f>SOFR3mo_PX[[#This Row],[Column154]]</f>
        <v>95.94</v>
      </c>
      <c r="EY6">
        <f>SOFR3mo_PX[[#This Row],[Column155]]</f>
        <v>95.97</v>
      </c>
      <c r="EZ6">
        <f>SOFR3mo_PX[[#This Row],[Column156]]</f>
        <v>95.98</v>
      </c>
      <c r="FA6">
        <f>SOFR3mo_PX[[#This Row],[Column157]]</f>
        <v>95.97</v>
      </c>
      <c r="FB6">
        <f>SOFR3mo_PX[[#This Row],[Column158]]</f>
        <v>95.995000000000005</v>
      </c>
      <c r="FC6">
        <f>SOFR3mo_PX[[#This Row],[Column159]]</f>
        <v>96.015000000000001</v>
      </c>
      <c r="FD6">
        <f>SOFR3mo_PX[[#This Row],[Column160]]</f>
        <v>95.91</v>
      </c>
      <c r="FE6">
        <f>SOFR3mo_PX[[#This Row],[Column161]]</f>
        <v>95.944999999999993</v>
      </c>
      <c r="FF6">
        <f>SOFR3mo_PX[[#This Row],[Column162]]</f>
        <v>96</v>
      </c>
      <c r="FG6">
        <f>SOFR3mo_PX[[#This Row],[Column163]]</f>
        <v>96.06</v>
      </c>
      <c r="FH6">
        <f>SOFR3mo_PX[[#This Row],[Column164]]</f>
        <v>96.025000000000006</v>
      </c>
      <c r="FI6">
        <f>SOFR3mo_PX[[#This Row],[Column165]]</f>
        <v>96.105000000000004</v>
      </c>
      <c r="FJ6">
        <f>SOFR3mo_PX[[#This Row],[Column166]]</f>
        <v>96.144999999999996</v>
      </c>
      <c r="FK6">
        <f>SOFR3mo_PX[[#This Row],[Column167]]</f>
        <v>96.125</v>
      </c>
      <c r="FL6">
        <f>SOFR3mo_PX[[#This Row],[Column168]]</f>
        <v>96.155000000000001</v>
      </c>
      <c r="FM6">
        <f>SOFR3mo_PX[[#This Row],[Column169]]</f>
        <v>96.174999999999997</v>
      </c>
      <c r="FN6">
        <f>SOFR3mo_PX[[#This Row],[Column170]]</f>
        <v>96.204999999999998</v>
      </c>
      <c r="FO6">
        <f>SOFR3mo_PX[[#This Row],[Column171]]</f>
        <v>96.174999999999997</v>
      </c>
      <c r="FP6">
        <f>SOFR3mo_PX[[#This Row],[Column172]]</f>
        <v>96.204999999999998</v>
      </c>
      <c r="FQ6">
        <f>SOFR3mo_PX[[#This Row],[Column173]]</f>
        <v>96.245000000000005</v>
      </c>
      <c r="FR6">
        <f>SOFR3mo_PX[[#This Row],[Column174]]</f>
        <v>96.204999999999998</v>
      </c>
      <c r="FS6">
        <f>SOFR3mo_PX[[#This Row],[Column175]]</f>
        <v>96.254999999999995</v>
      </c>
      <c r="FT6">
        <f>SOFR3mo_PX[[#This Row],[Column176]]</f>
        <v>96.27</v>
      </c>
      <c r="FU6">
        <f>SOFR3mo_PX[[#This Row],[Column177]]</f>
        <v>96.355000000000004</v>
      </c>
      <c r="FV6">
        <f>SOFR3mo_PX[[#This Row],[Column178]]</f>
        <v>96.33</v>
      </c>
      <c r="FW6">
        <f>SOFR3mo_PX[[#This Row],[Column179]]</f>
        <v>96.385000000000005</v>
      </c>
      <c r="FX6">
        <f>SOFR3mo_PX[[#This Row],[Column180]]</f>
        <v>96.364999999999995</v>
      </c>
      <c r="FY6">
        <f>SOFR3mo_PX[[#This Row],[Column181]]</f>
        <v>96.32</v>
      </c>
      <c r="FZ6">
        <f>SOFR3mo_PX[[#This Row],[Column182]]</f>
        <v>96.394999999999996</v>
      </c>
      <c r="GA6">
        <f>SOFR3mo_PX[[#This Row],[Column183]]</f>
        <v>96.314999999999998</v>
      </c>
      <c r="GB6">
        <f>SOFR3mo_PX[[#This Row],[Column184]]</f>
        <v>96.284999999999997</v>
      </c>
      <c r="GC6">
        <f>SOFR3mo_PX[[#This Row],[Column185]]</f>
        <v>96.344999999999999</v>
      </c>
      <c r="GD6">
        <f>SOFR3mo_PX[[#This Row],[Column186]]</f>
        <v>96.32</v>
      </c>
      <c r="GE6">
        <f>SOFR3mo_PX[[#This Row],[Column187]]</f>
        <v>96.394999999999996</v>
      </c>
      <c r="GF6">
        <f>SOFR3mo_PX[[#This Row],[Column188]]</f>
        <v>96.68</v>
      </c>
      <c r="GG6">
        <f>SOFR3mo_PX[[#This Row],[Column189]]</f>
        <v>96.784999999999997</v>
      </c>
      <c r="GH6">
        <f>SOFR3mo_PX[[#This Row],[Column190]]</f>
        <v>96.814999999999998</v>
      </c>
      <c r="GI6">
        <f>SOFR3mo_PX[[#This Row],[Column191]]</f>
        <v>96.79</v>
      </c>
      <c r="GJ6">
        <f>SOFR3mo_PX[[#This Row],[Column192]]</f>
        <v>96.92</v>
      </c>
      <c r="GK6">
        <f>SOFR3mo_PX[[#This Row],[Column193]]</f>
        <v>96.85</v>
      </c>
      <c r="GL6">
        <f>SOFR3mo_PX[[#This Row],[Column194]]</f>
        <v>96.94</v>
      </c>
      <c r="GM6">
        <f>SOFR3mo_PX[[#This Row],[Column195]]</f>
        <v>96.974999999999994</v>
      </c>
      <c r="GN6">
        <f>SOFR3mo_PX[[#This Row],[Column196]]</f>
        <v>96.944999999999993</v>
      </c>
      <c r="GO6">
        <f>SOFR3mo_PX[[#This Row],[Column197]]</f>
        <v>96.94</v>
      </c>
      <c r="GP6">
        <f>SOFR3mo_PX[[#This Row],[Column198]]</f>
        <v>96.905000000000001</v>
      </c>
      <c r="GQ6">
        <f>SOFR3mo_PX[[#This Row],[Column199]]</f>
        <v>96.91</v>
      </c>
      <c r="GR6">
        <f>SOFR3mo_PX[[#This Row],[Column200]]</f>
        <v>96.605000000000004</v>
      </c>
      <c r="GS6">
        <f>SOFR3mo_PX[[#This Row],[Column201]]</f>
        <v>96.67</v>
      </c>
      <c r="GT6">
        <f>SOFR3mo_PX[[#This Row],[Column202]]</f>
        <v>96.625</v>
      </c>
      <c r="GU6">
        <f>SOFR3mo_PX[[#This Row],[Column203]]</f>
        <v>96.534999999999997</v>
      </c>
      <c r="GV6">
        <f>SOFR3mo_PX[[#This Row],[Column204]]</f>
        <v>96.525000000000006</v>
      </c>
      <c r="GW6">
        <f>SOFR3mo_PX[[#This Row],[Column205]]</f>
        <v>96.594999999999999</v>
      </c>
      <c r="GX6">
        <f>SOFR3mo_PX[[#This Row],[Column206]]</f>
        <v>96.545000000000002</v>
      </c>
      <c r="GY6">
        <f>SOFR3mo_PX[[#This Row],[Column207]]</f>
        <v>96.564999999999998</v>
      </c>
      <c r="GZ6">
        <f>SOFR3mo_PX[[#This Row],[Column208]]</f>
        <v>96.43</v>
      </c>
      <c r="HA6">
        <f>SOFR3mo_PX[[#This Row],[Column209]]</f>
        <v>96.424999999999997</v>
      </c>
      <c r="HB6">
        <f>SOFR3mo_PX[[#This Row],[Column210]]</f>
        <v>96.265000000000001</v>
      </c>
      <c r="HC6">
        <f>SOFR3mo_PX[[#This Row],[Column211]]</f>
        <v>96.245000000000005</v>
      </c>
      <c r="HD6">
        <f>SOFR3mo_PX[[#This Row],[Column212]]</f>
        <v>96.245000000000005</v>
      </c>
      <c r="HE6">
        <f>SOFR3mo_PX[[#This Row],[Column213]]</f>
        <v>96.275000000000006</v>
      </c>
      <c r="HF6">
        <f>SOFR3mo_PX[[#This Row],[Column214]]</f>
        <v>96.305000000000007</v>
      </c>
      <c r="HG6">
        <f>SOFR3mo_PX[[#This Row],[Column215]]</f>
        <v>96.314999999999998</v>
      </c>
      <c r="HH6">
        <f>SOFR3mo_PX[[#This Row],[Column216]]</f>
        <v>96.27</v>
      </c>
      <c r="HI6">
        <f>SOFR3mo_PX[[#This Row],[Column217]]</f>
        <v>96.3</v>
      </c>
      <c r="HJ6">
        <f>SOFR3mo_PX[[#This Row],[Column218]]</f>
        <v>96.204999999999998</v>
      </c>
      <c r="HK6">
        <f>SOFR3mo_PX[[#This Row],[Column219]]</f>
        <v>96.31</v>
      </c>
      <c r="HL6">
        <f>SOFR3mo_PX[[#This Row],[Column220]]</f>
        <v>96.21</v>
      </c>
      <c r="HM6">
        <f>SOFR3mo_PX[[#This Row],[Column221]]</f>
        <v>96.135000000000005</v>
      </c>
      <c r="HN6">
        <f>SOFR3mo_PX[[#This Row],[Column222]]</f>
        <v>96.135000000000005</v>
      </c>
      <c r="HO6">
        <f>SOFR3mo_PX[[#This Row],[Column223]]</f>
        <v>96.105000000000004</v>
      </c>
      <c r="HP6">
        <f>SOFR3mo_PX[[#This Row],[Column224]]</f>
        <v>96.295000000000002</v>
      </c>
      <c r="HQ6">
        <f>SOFR3mo_PX[[#This Row],[Column225]]</f>
        <v>96.305000000000007</v>
      </c>
      <c r="HR6">
        <f>SOFR3mo_PX[[#This Row],[Column226]]</f>
        <v>96.204999999999998</v>
      </c>
      <c r="HS6">
        <f>SOFR3mo_PX[[#This Row],[Column227]]</f>
        <v>96.18</v>
      </c>
      <c r="HT6">
        <f>SOFR3mo_PX[[#This Row],[Column228]]</f>
        <v>96.21</v>
      </c>
      <c r="HU6">
        <f>SOFR3mo_PX[[#This Row],[Column229]]</f>
        <v>96.28</v>
      </c>
      <c r="HV6">
        <f>SOFR3mo_PX[[#This Row],[Column230]]</f>
        <v>96.265000000000001</v>
      </c>
      <c r="HW6">
        <f>SOFR3mo_PX[[#This Row],[Column231]]</f>
        <v>96.41</v>
      </c>
      <c r="HX6">
        <f>SOFR3mo_PX[[#This Row],[Column232]]</f>
        <v>96.424999999999997</v>
      </c>
      <c r="HY6">
        <f>SOFR3mo_PX[[#This Row],[Column233]]</f>
        <v>96.015000000000001</v>
      </c>
      <c r="HZ6">
        <f>SOFR3mo_PX[[#This Row],[Column234]]</f>
        <v>95.8</v>
      </c>
      <c r="IA6">
        <f>SOFR3mo_PX[[#This Row],[Column235]]</f>
        <v>95.775000000000006</v>
      </c>
      <c r="IB6">
        <f>SOFR3mo_PX[[#This Row],[Column236]]</f>
        <v>95.745000000000005</v>
      </c>
      <c r="IC6">
        <f>SOFR3mo_PX[[#This Row],[Column237]]</f>
        <v>95.75</v>
      </c>
      <c r="ID6">
        <f>SOFR3mo_PX[[#This Row],[Column238]]</f>
        <v>95.715000000000003</v>
      </c>
      <c r="IE6">
        <f>SOFR3mo_PX[[#This Row],[Column239]]</f>
        <v>95.73</v>
      </c>
      <c r="IF6">
        <f>SOFR3mo_PX[[#This Row],[Column240]]</f>
        <v>95.694999999999993</v>
      </c>
      <c r="IG6">
        <f>SOFR3mo_PX[[#This Row],[Column241]]</f>
        <v>95.655000000000001</v>
      </c>
      <c r="IH6">
        <f>SOFR3mo_PX[[#This Row],[Column242]]</f>
        <v>95.68</v>
      </c>
      <c r="II6">
        <f>SOFR3mo_PX[[#This Row],[Column243]]</f>
        <v>95.724999999999994</v>
      </c>
      <c r="IJ6">
        <f>SOFR3mo_PX[[#This Row],[Column244]]</f>
        <v>95.745000000000005</v>
      </c>
      <c r="IK6">
        <f>SOFR3mo_PX[[#This Row],[Column245]]</f>
        <v>95.745000000000005</v>
      </c>
      <c r="IL6">
        <f>SOFR3mo_PX[[#This Row],[Column246]]</f>
        <v>95.745000000000005</v>
      </c>
      <c r="IM6">
        <f>SOFR3mo_PX[[#This Row],[Column247]]</f>
        <v>95.71</v>
      </c>
      <c r="IN6">
        <f>SOFR3mo_PX[[#This Row],[Column248]]</f>
        <v>95.674999999999997</v>
      </c>
      <c r="IO6">
        <f>SOFR3mo_PX[[#This Row],[Column249]]</f>
        <v>95.53</v>
      </c>
      <c r="IP6">
        <f>SOFR3mo_PX[[#This Row],[Column250]]</f>
        <v>95.525000000000006</v>
      </c>
      <c r="IQ6">
        <f>SOFR3mo_PX[[#This Row],[Column251]]</f>
        <v>95.534999999999997</v>
      </c>
      <c r="IR6">
        <f>SOFR3mo_PX[[#This Row],[Column252]]</f>
        <v>95.555000000000007</v>
      </c>
      <c r="IS6">
        <f>SOFR3mo_PX[[#This Row],[Column253]]</f>
        <v>95.454999999999998</v>
      </c>
      <c r="IT6">
        <f>SOFR3mo_PX[[#This Row],[Column254]]</f>
        <v>95.454999999999998</v>
      </c>
      <c r="IU6">
        <f>SOFR3mo_PX[[#This Row],[Column255]]</f>
        <v>95.415000000000006</v>
      </c>
      <c r="IV6">
        <f>SOFR3mo_PX[[#This Row],[Column256]]</f>
        <v>95.394999999999996</v>
      </c>
      <c r="IW6">
        <f>SOFR3mo_PX[[#This Row],[Column257]]</f>
        <v>95.435000000000002</v>
      </c>
      <c r="IX6">
        <f>SOFR3mo_PX[[#This Row],[Column258]]</f>
        <v>95.43</v>
      </c>
      <c r="IY6">
        <f>SOFR3mo_PX[[#This Row],[Column259]]</f>
        <v>95.4</v>
      </c>
      <c r="IZ6">
        <f>SOFR3mo_PX[[#This Row],[Column260]]</f>
        <v>95.465000000000003</v>
      </c>
      <c r="JA6">
        <f>SOFR3mo_PX[[#This Row],[Column261]]</f>
        <v>95.47</v>
      </c>
      <c r="JB6">
        <f>SOFR3mo_PX[[#This Row],[Column262]]</f>
        <v>95.465000000000003</v>
      </c>
      <c r="JC6">
        <f>SOFR3mo_PX[[#This Row],[Column263]]</f>
        <v>95.465000000000003</v>
      </c>
      <c r="JD6">
        <f>SOFR3mo_PX[[#This Row],[Column264]]</f>
        <v>95.18</v>
      </c>
      <c r="JE6">
        <f>SOFR3mo_PX[[#This Row],[Column265]]</f>
        <v>95.18</v>
      </c>
      <c r="JF6">
        <f>SOFR3mo_PX[[#This Row],[Column266]]</f>
        <v>95.14</v>
      </c>
      <c r="JG6">
        <f>SOFR3mo_PX[[#This Row],[Column267]]</f>
        <v>95.21</v>
      </c>
      <c r="JH6">
        <f>SOFR3mo_PX[[#This Row],[Column268]]</f>
        <v>95.19</v>
      </c>
      <c r="JI6">
        <f>SOFR3mo_PX[[#This Row],[Column269]]</f>
        <v>95.13</v>
      </c>
      <c r="JJ6">
        <f>SOFR3mo_PX[[#This Row],[Column270]]</f>
        <v>95.07</v>
      </c>
      <c r="JK6">
        <f>SOFR3mo_PX[[#This Row],[Column271]]</f>
        <v>95.045000000000002</v>
      </c>
      <c r="JL6">
        <f>SOFR3mo_PX[[#This Row],[Column272]]</f>
        <v>95.05</v>
      </c>
      <c r="JM6">
        <f>SOFR3mo_PX[[#This Row],[Column273]]</f>
        <v>95.185000000000002</v>
      </c>
      <c r="JN6">
        <f>SOFR3mo_PX[[#This Row],[Column274]]</f>
        <v>95.17</v>
      </c>
      <c r="JO6">
        <f>SOFR3mo_PX[[#This Row],[Column275]]</f>
        <v>95.125</v>
      </c>
      <c r="JP6">
        <f>SOFR3mo_PX[[#This Row],[Column276]]</f>
        <v>95.084999999999994</v>
      </c>
      <c r="JQ6">
        <f>SOFR3mo_PX[[#This Row],[Column277]]</f>
        <v>95.03</v>
      </c>
      <c r="JR6">
        <f>SOFR3mo_PX[[#This Row],[Column278]]</f>
        <v>95.01</v>
      </c>
      <c r="JS6">
        <f>SOFR3mo_PX[[#This Row],[Column279]]</f>
        <v>94.97</v>
      </c>
      <c r="JT6">
        <f>SOFR3mo_PX[[#This Row],[Column280]]</f>
        <v>94.97</v>
      </c>
      <c r="JU6">
        <f>SOFR3mo_PX[[#This Row],[Column281]]</f>
        <v>94.995000000000005</v>
      </c>
      <c r="JV6">
        <f>SOFR3mo_PX[[#This Row],[Column282]]</f>
        <v>94.995000000000005</v>
      </c>
      <c r="JW6">
        <f>SOFR3mo_PX[[#This Row],[Column283]]</f>
        <v>95.01</v>
      </c>
      <c r="JX6">
        <f>SOFR3mo_PX[[#This Row],[Column284]]</f>
        <v>95.06</v>
      </c>
      <c r="JY6">
        <f>SOFR3mo_PX[[#This Row],[Column285]]</f>
        <v>95.1</v>
      </c>
      <c r="JZ6">
        <f>SOFR3mo_PX[[#This Row],[Column286]]</f>
        <v>95.084999999999994</v>
      </c>
      <c r="KA6">
        <f>SOFR3mo_PX[[#This Row],[Column287]]</f>
        <v>95.105000000000004</v>
      </c>
      <c r="KB6">
        <f>SOFR3mo_PX[[#This Row],[Column288]]</f>
        <v>95.13</v>
      </c>
      <c r="KC6">
        <f>SOFR3mo_PX[[#This Row],[Column289]]</f>
        <v>95.19</v>
      </c>
      <c r="KD6">
        <f>SOFR3mo_PX[[#This Row],[Column290]]</f>
        <v>95.114999999999995</v>
      </c>
      <c r="KE6">
        <f>SOFR3mo_PX[[#This Row],[Column291]]</f>
        <v>95.094999999999999</v>
      </c>
      <c r="KF6">
        <f>SOFR3mo_PX[[#This Row],[Column292]]</f>
        <v>95.094999999999999</v>
      </c>
      <c r="KG6">
        <f>SOFR3mo_PX[[#This Row],[Column293]]</f>
        <v>95.15</v>
      </c>
      <c r="KH6">
        <f>SOFR3mo_PX[[#This Row],[Column294]]</f>
        <v>95.114999999999995</v>
      </c>
      <c r="KI6">
        <f>SOFR3mo_PX[[#This Row],[Column295]]</f>
        <v>95.125</v>
      </c>
      <c r="KJ6">
        <f>SOFR3mo_PX[[#This Row],[Column296]]</f>
        <v>95.135000000000005</v>
      </c>
      <c r="KK6">
        <f>SOFR3mo_PX[[#This Row],[Column297]]</f>
        <v>95.155000000000001</v>
      </c>
      <c r="KL6">
        <f>SOFR3mo_PX[[#This Row],[Column298]]</f>
        <v>95.08</v>
      </c>
      <c r="KM6">
        <f>SOFR3mo_PX[[#This Row],[Column299]]</f>
        <v>95.02</v>
      </c>
      <c r="KN6">
        <f>SOFR3mo_PX[[#This Row],[Column300]]</f>
        <v>94.94</v>
      </c>
      <c r="KO6">
        <f>SOFR3mo_PX[[#This Row],[Column301]]</f>
        <v>95.015000000000001</v>
      </c>
      <c r="KP6">
        <f>SOFR3mo_PX[[#This Row],[Column302]]</f>
        <v>95</v>
      </c>
      <c r="KQ6">
        <f>SOFR3mo_PX[[#This Row],[Column303]]</f>
        <v>95.004999999999995</v>
      </c>
      <c r="KR6">
        <f>SOFR3mo_PX[[#This Row],[Column304]]</f>
        <v>95.084999999999994</v>
      </c>
      <c r="KS6">
        <f>SOFR3mo_PX[[#This Row],[Column305]]</f>
        <v>95.11</v>
      </c>
      <c r="KT6">
        <f>SOFR3mo_PX[[#This Row],[Column306]]</f>
        <v>95.064999999999998</v>
      </c>
      <c r="KU6">
        <f>SOFR3mo_PX[[#This Row],[Column307]]</f>
        <v>95.064999999999998</v>
      </c>
      <c r="KV6">
        <f>SOFR3mo_PX[[#This Row],[Column308]]</f>
        <v>95.04</v>
      </c>
      <c r="KW6">
        <f>SOFR3mo_PX[[#This Row],[Column309]]</f>
        <v>95.105000000000004</v>
      </c>
      <c r="KX6">
        <f>SOFR3mo_PX[[#This Row],[Column310]]</f>
        <v>95.09</v>
      </c>
      <c r="KY6">
        <f>SOFR3mo_PX[[#This Row],[Column311]]</f>
        <v>95.09</v>
      </c>
      <c r="KZ6">
        <f>SOFR3mo_PX[[#This Row],[Column312]]</f>
        <v>95.14</v>
      </c>
      <c r="LA6">
        <f>SOFR3mo_PX[[#This Row],[Column313]]</f>
        <v>95.075000000000003</v>
      </c>
      <c r="LB6">
        <f>SOFR3mo_PX[[#This Row],[Column314]]</f>
        <v>95.07</v>
      </c>
      <c r="LC6">
        <f>SOFR3mo_PX[[#This Row],[Column315]]</f>
        <v>95.33</v>
      </c>
      <c r="LD6">
        <f>SOFR3mo_PX[[#This Row],[Column316]]</f>
        <v>95.29</v>
      </c>
      <c r="LE6">
        <f>SOFR3mo_PX[[#This Row],[Column317]]</f>
        <v>95.334999999999994</v>
      </c>
      <c r="LF6">
        <f>SOFR3mo_PX[[#This Row],[Column318]]</f>
        <v>95.42</v>
      </c>
      <c r="LG6">
        <f>SOFR3mo_PX[[#This Row],[Column319]]</f>
        <v>95.38</v>
      </c>
      <c r="LH6">
        <f>SOFR3mo_PX[[#This Row],[Column320]]</f>
        <v>95.36</v>
      </c>
      <c r="LI6">
        <f>SOFR3mo_PX[[#This Row],[Column321]]</f>
        <v>95.334999999999994</v>
      </c>
      <c r="LJ6">
        <f>SOFR3mo_PX[[#This Row],[Column322]]</f>
        <v>95.43</v>
      </c>
      <c r="LK6">
        <f>SOFR3mo_PX[[#This Row],[Column323]]</f>
        <v>95.43</v>
      </c>
      <c r="LL6">
        <f>SOFR3mo_PX[[#This Row],[Column324]]</f>
        <v>95.484999999999999</v>
      </c>
      <c r="LM6">
        <f>SOFR3mo_PX[[#This Row],[Column325]]</f>
        <v>95.465000000000003</v>
      </c>
      <c r="LN6">
        <f>SOFR3mo_PX[[#This Row],[Column326]]</f>
        <v>95.48</v>
      </c>
      <c r="LO6">
        <f>SOFR3mo_PX[[#This Row],[Column327]]</f>
        <v>95.515000000000001</v>
      </c>
      <c r="LP6">
        <f>SOFR3mo_PX[[#This Row],[Column328]]</f>
        <v>95.49</v>
      </c>
      <c r="LQ6">
        <f>SOFR3mo_PX[[#This Row],[Column329]]</f>
        <v>95.515000000000001</v>
      </c>
      <c r="LR6">
        <f>SOFR3mo_PX[[#This Row],[Column330]]</f>
        <v>95.12</v>
      </c>
      <c r="LS6">
        <f>SOFR3mo_PX[[#This Row],[Column331]]</f>
        <v>95.1</v>
      </c>
      <c r="LT6">
        <f>SOFR3mo_PX[[#This Row],[Column332]]</f>
        <v>95.12</v>
      </c>
      <c r="LU6">
        <f>SOFR3mo_PX[[#This Row],[Column333]]</f>
        <v>95.14</v>
      </c>
      <c r="LV6">
        <f>SOFR3mo_PX[[#This Row],[Column334]]</f>
        <v>95.185000000000002</v>
      </c>
      <c r="LW6">
        <f>SOFR3mo_PX[[#This Row],[Column335]]</f>
        <v>95.21</v>
      </c>
      <c r="LX6">
        <f>SOFR3mo_PX[[#This Row],[Column336]]</f>
        <v>95.265000000000001</v>
      </c>
      <c r="LY6">
        <f>SOFR3mo_PX[[#This Row],[Column337]]</f>
        <v>95.295000000000002</v>
      </c>
      <c r="LZ6">
        <f>SOFR3mo_PX[[#This Row],[Column338]]</f>
        <v>95.284999999999997</v>
      </c>
      <c r="MA6">
        <f>SOFR3mo_PX[[#This Row],[Column339]]</f>
        <v>95.24</v>
      </c>
      <c r="MB6">
        <f>SOFR3mo_PX[[#This Row],[Column340]]</f>
        <v>95.25</v>
      </c>
      <c r="MC6">
        <f>SOFR3mo_PX[[#This Row],[Column341]]</f>
        <v>95.204999999999998</v>
      </c>
      <c r="MD6">
        <f>SOFR3mo_PX[[#This Row],[Column342]]</f>
        <v>95.28</v>
      </c>
      <c r="ME6">
        <f>SOFR3mo_PX[[#This Row],[Column343]]</f>
        <v>95.185000000000002</v>
      </c>
      <c r="MF6">
        <f>SOFR3mo_PX[[#This Row],[Column344]]</f>
        <v>95.194999999999993</v>
      </c>
      <c r="MG6">
        <f>SOFR3mo_PX[[#This Row],[Column345]]</f>
        <v>95.135000000000005</v>
      </c>
      <c r="MH6">
        <f>SOFR3mo_PX[[#This Row],[Column346]]</f>
        <v>95.144999999999996</v>
      </c>
      <c r="MI6">
        <f>SOFR3mo_PX[[#This Row],[Column347]]</f>
        <v>95.194999999999993</v>
      </c>
      <c r="MJ6">
        <f>SOFR3mo_PX[[#This Row],[Column348]]</f>
        <v>95.185000000000002</v>
      </c>
      <c r="MK6">
        <f>SOFR3mo_PX[[#This Row],[Column349]]</f>
        <v>95.25</v>
      </c>
      <c r="ML6">
        <f>SOFR3mo_PX[[#This Row],[Column350]]</f>
        <v>95.29</v>
      </c>
      <c r="MM6">
        <f>SOFR3mo_PX[[#This Row],[Column351]]</f>
        <v>95.265000000000001</v>
      </c>
      <c r="MN6">
        <f>SOFR3mo_PX[[#This Row],[Column352]]</f>
        <v>95.265000000000001</v>
      </c>
      <c r="MO6">
        <f>SOFR3mo_PX[[#This Row],[Column353]]</f>
        <v>95.334999999999994</v>
      </c>
      <c r="MP6">
        <f>SOFR3mo_PX[[#This Row],[Column354]]</f>
        <v>95.34</v>
      </c>
      <c r="MQ6">
        <f>SOFR3mo_PX[[#This Row],[Column355]]</f>
        <v>95.265000000000001</v>
      </c>
      <c r="MR6">
        <f>SOFR3mo_PX[[#This Row],[Column356]]</f>
        <v>95.474999999999994</v>
      </c>
      <c r="MS6">
        <f>SOFR3mo_PX[[#This Row],[Column357]]</f>
        <v>95.48</v>
      </c>
      <c r="MT6">
        <f>SOFR3mo_PX[[#This Row],[Column358]]</f>
        <v>95.525000000000006</v>
      </c>
      <c r="MU6">
        <f>SOFR3mo_PX[[#This Row],[Column359]]</f>
        <v>95.56</v>
      </c>
      <c r="MV6">
        <f>SOFR3mo_PX[[#This Row],[Column360]]</f>
        <v>95.57</v>
      </c>
      <c r="MW6">
        <f>SOFR3mo_PX[[#This Row],[Column361]]</f>
        <v>95.504999999999995</v>
      </c>
      <c r="MX6">
        <f>SOFR3mo_PX[[#This Row],[Column362]]</f>
        <v>95.594999999999999</v>
      </c>
      <c r="MY6">
        <f>SOFR3mo_PX[[#This Row],[Column363]]</f>
        <v>95.82</v>
      </c>
      <c r="MZ6">
        <f>SOFR3mo_PX[[#This Row],[Column364]]</f>
        <v>95.814999999999998</v>
      </c>
      <c r="NA6">
        <f>SOFR3mo_PX[[#This Row],[Column365]]</f>
        <v>95.65</v>
      </c>
      <c r="NB6">
        <f>SOFR3mo_PX[[#This Row],[Column366]]</f>
        <v>95.71</v>
      </c>
      <c r="NC6">
        <f>SOFR3mo_PX[[#This Row],[Column367]]</f>
        <v>95.685000000000002</v>
      </c>
      <c r="ND6">
        <f>SOFR3mo_PX[[#This Row],[Column368]]</f>
        <v>95.745000000000005</v>
      </c>
      <c r="NE6">
        <f>SOFR3mo_PX[[#This Row],[Column369]]</f>
        <v>95.67</v>
      </c>
      <c r="NF6">
        <f>SOFR3mo_PX[[#This Row],[Column370]]</f>
        <v>95.685000000000002</v>
      </c>
      <c r="NG6">
        <f>SOFR3mo_PX[[#This Row],[Column371]]</f>
        <v>95.685000000000002</v>
      </c>
      <c r="NH6">
        <f>SOFR3mo_PX[[#This Row],[Column372]]</f>
        <v>95.67</v>
      </c>
      <c r="NI6">
        <f>SOFR3mo_PX[[#This Row],[Column373]]</f>
        <v>95.75</v>
      </c>
      <c r="NJ6">
        <f>SOFR3mo_PX[[#This Row],[Column374]]</f>
        <v>95.74</v>
      </c>
      <c r="NK6">
        <f>SOFR3mo_PX[[#This Row],[Column375]]</f>
        <v>95.91</v>
      </c>
      <c r="NL6">
        <f>SOFR3mo_PX[[#This Row],[Column376]]</f>
        <v>96.025000000000006</v>
      </c>
      <c r="NM6">
        <f>SOFR3mo_PX[[#This Row],[Column377]]</f>
        <v>96.025000000000006</v>
      </c>
      <c r="NN6">
        <f>SOFR3mo_PX[[#This Row],[Column378]]</f>
        <v>95.87</v>
      </c>
      <c r="NO6">
        <f>SOFR3mo_PX[[#This Row],[Column379]]</f>
        <v>95.745000000000005</v>
      </c>
      <c r="NP6">
        <f>SOFR3mo_PX[[#This Row],[Column380]]</f>
        <v>95.724999999999994</v>
      </c>
      <c r="NQ6">
        <f>SOFR3mo_PX[[#This Row],[Column381]]</f>
        <v>95.75</v>
      </c>
      <c r="NR6">
        <f>SOFR3mo_PX[[#This Row],[Column382]]</f>
        <v>95.724999999999994</v>
      </c>
      <c r="NS6">
        <f>SOFR3mo_PX[[#This Row],[Column383]]</f>
        <v>95.73</v>
      </c>
      <c r="NT6">
        <f>SOFR3mo_PX[[#This Row],[Column384]]</f>
        <v>95.795000000000002</v>
      </c>
      <c r="NU6">
        <f>SOFR3mo_PX[[#This Row],[Column385]]</f>
        <v>95.825000000000003</v>
      </c>
      <c r="NV6">
        <f>SOFR3mo_PX[[#This Row],[Column386]]</f>
        <v>95.905000000000001</v>
      </c>
      <c r="NW6">
        <f>SOFR3mo_PX[[#This Row],[Column387]]</f>
        <v>95.905000000000001</v>
      </c>
      <c r="NX6">
        <f>SOFR3mo_PX[[#This Row],[Column388]]</f>
        <v>95.875</v>
      </c>
      <c r="NY6">
        <f>SOFR3mo_PX[[#This Row],[Column389]]</f>
        <v>95.924999999999997</v>
      </c>
      <c r="NZ6">
        <f>SOFR3mo_PX[[#This Row],[Column390]]</f>
        <v>95.864999999999995</v>
      </c>
      <c r="OA6">
        <f>SOFR3mo_PX[[#This Row],[Column391]]</f>
        <v>95.905000000000001</v>
      </c>
      <c r="OB6">
        <f>SOFR3mo_PX[[#This Row],[Column392]]</f>
        <v>95.905000000000001</v>
      </c>
      <c r="OC6">
        <f>SOFR3mo_PX[[#This Row],[Column393]]</f>
        <v>95.88</v>
      </c>
      <c r="OD6">
        <f>SOFR3mo_PX[[#This Row],[Column394]]</f>
        <v>95.85</v>
      </c>
      <c r="OE6">
        <f>SOFR3mo_PX[[#This Row],[Column395]]</f>
        <v>95.375</v>
      </c>
      <c r="OF6">
        <f>SOFR3mo_PX[[#This Row],[Column396]]</f>
        <v>95.34</v>
      </c>
      <c r="OG6">
        <f>SOFR3mo_PX[[#This Row],[Column397]]</f>
        <v>95.33</v>
      </c>
      <c r="OH6">
        <f>SOFR3mo_PX[[#This Row],[Column398]]</f>
        <v>95.405000000000001</v>
      </c>
      <c r="OI6">
        <f>SOFR3mo_PX[[#This Row],[Column399]]</f>
        <v>95.355000000000004</v>
      </c>
      <c r="OJ6">
        <f>SOFR3mo_PX[[#This Row],[Column400]]</f>
        <v>95.105000000000004</v>
      </c>
      <c r="OK6">
        <f>SOFR3mo_PX[[#This Row],[Column401]]</f>
        <v>95.12</v>
      </c>
      <c r="OL6">
        <f>SOFR3mo_PX[[#This Row],[Column402]]</f>
        <v>95.114999999999995</v>
      </c>
      <c r="OM6">
        <f>SOFR3mo_PX[[#This Row],[Column403]]</f>
        <v>95.254999999999995</v>
      </c>
      <c r="ON6">
        <f>SOFR3mo_PX[[#This Row],[Column404]]</f>
        <v>95.23</v>
      </c>
      <c r="OO6">
        <f>SOFR3mo_PX[[#This Row],[Column405]]</f>
        <v>95.265000000000001</v>
      </c>
      <c r="OP6">
        <f>SOFR3mo_PX[[#This Row],[Column406]]</f>
        <v>95.215000000000003</v>
      </c>
      <c r="OQ6">
        <f>SOFR3mo_PX[[#This Row],[Column407]]</f>
        <v>95.29</v>
      </c>
      <c r="OR6">
        <f>SOFR3mo_PX[[#This Row],[Column408]]</f>
        <v>95.13</v>
      </c>
      <c r="OS6">
        <f>SOFR3mo_PX[[#This Row],[Column409]]</f>
        <v>95.174999999999997</v>
      </c>
      <c r="OT6">
        <f>SOFR3mo_PX[[#This Row],[Column410]]</f>
        <v>95.05</v>
      </c>
      <c r="OU6">
        <f>SOFR3mo_PX[[#This Row],[Column411]]</f>
        <v>94.95</v>
      </c>
      <c r="OV6">
        <f>SOFR3mo_PX[[#This Row],[Column412]]</f>
        <v>94.924999999999997</v>
      </c>
      <c r="OW6">
        <f>SOFR3mo_PX[[#This Row],[Column413]]</f>
        <v>94.965000000000003</v>
      </c>
      <c r="OX6">
        <f>SOFR3mo_PX[[#This Row],[Column414]]</f>
        <v>94.965000000000003</v>
      </c>
      <c r="OY6">
        <f>SOFR3mo_PX[[#This Row],[Column415]]</f>
        <v>95</v>
      </c>
      <c r="OZ6">
        <f>SOFR3mo_PX[[#This Row],[Column416]]</f>
        <v>94.984999999999999</v>
      </c>
      <c r="PA6">
        <f>SOFR3mo_PX[[#This Row],[Column417]]</f>
        <v>95</v>
      </c>
      <c r="PB6">
        <f>SOFR3mo_PX[[#This Row],[Column418]]</f>
        <v>95.045000000000002</v>
      </c>
      <c r="PC6">
        <f>SOFR3mo_PX[[#This Row],[Column419]]</f>
        <v>94.99</v>
      </c>
      <c r="PD6">
        <f>SOFR3mo_PX[[#This Row],[Column420]]</f>
        <v>95.084999999999994</v>
      </c>
      <c r="PE6">
        <f>SOFR3mo_PX[[#This Row],[Column421]]</f>
        <v>94.875</v>
      </c>
      <c r="PF6">
        <f>SOFR3mo_PX[[#This Row],[Column422]]</f>
        <v>94.864999999999995</v>
      </c>
      <c r="PG6">
        <f>SOFR3mo_PX[[#This Row],[Column423]]</f>
        <v>94.885000000000005</v>
      </c>
      <c r="PH6">
        <f>SOFR3mo_PX[[#This Row],[Column424]]</f>
        <v>94.96</v>
      </c>
      <c r="PI6">
        <f>SOFR3mo_PX[[#This Row],[Column425]]</f>
        <v>94.995000000000005</v>
      </c>
      <c r="PJ6">
        <f>SOFR3mo_PX[[#This Row],[Column426]]</f>
        <v>94.974999999999994</v>
      </c>
      <c r="PK6">
        <f>SOFR3mo_PX[[#This Row],[Column427]]</f>
        <v>95.064999999999998</v>
      </c>
      <c r="PL6">
        <f>SOFR3mo_PX[[#This Row],[Column428]]</f>
        <v>94.935000000000002</v>
      </c>
      <c r="PM6">
        <f>SOFR3mo_PX[[#This Row],[Column429]]</f>
        <v>94.92</v>
      </c>
      <c r="PN6">
        <f>SOFR3mo_PX[[#This Row],[Column430]]</f>
        <v>94.825000000000003</v>
      </c>
      <c r="PO6">
        <f>SOFR3mo_PX[[#This Row],[Column431]]</f>
        <v>94.875</v>
      </c>
      <c r="PP6">
        <f>SOFR3mo_PX[[#This Row],[Column432]]</f>
        <v>94.9</v>
      </c>
      <c r="PQ6">
        <f>SOFR3mo_PX[[#This Row],[Column433]]</f>
        <v>94.88</v>
      </c>
      <c r="PR6">
        <f>SOFR3mo_PX[[#This Row],[Column434]]</f>
        <v>94.814999999999998</v>
      </c>
      <c r="PS6">
        <f>SOFR3mo_PX[[#This Row],[Column435]]</f>
        <v>94.844999999999999</v>
      </c>
      <c r="PT6">
        <f>SOFR3mo_PX[[#This Row],[Column436]]</f>
        <v>94.875</v>
      </c>
      <c r="PU6">
        <f>SOFR3mo_PX[[#This Row],[Column437]]</f>
        <v>94.875</v>
      </c>
      <c r="PV6">
        <f>SOFR3mo_PX[[#This Row],[Column438]]</f>
        <v>94.814999999999998</v>
      </c>
      <c r="PW6">
        <f>SOFR3mo_PX[[#This Row],[Column439]]</f>
        <v>94.754999999999995</v>
      </c>
      <c r="PX6">
        <f>SOFR3mo_PX[[#This Row],[Column440]]</f>
        <v>94.75</v>
      </c>
      <c r="PY6">
        <f>SOFR3mo_PX[[#This Row],[Column441]]</f>
        <v>94.84</v>
      </c>
      <c r="PZ6">
        <f>SOFR3mo_PX[[#This Row],[Column442]]</f>
        <v>94.87</v>
      </c>
      <c r="QA6">
        <f>SOFR3mo_PX[[#This Row],[Column443]]</f>
        <v>94.85</v>
      </c>
      <c r="QB6">
        <f>SOFR3mo_PX[[#This Row],[Column444]]</f>
        <v>94.91</v>
      </c>
      <c r="QC6">
        <f>SOFR3mo_PX[[#This Row],[Column445]]</f>
        <v>94.94</v>
      </c>
      <c r="QD6">
        <f>SOFR3mo_PX[[#This Row],[Column446]]</f>
        <v>94.965000000000003</v>
      </c>
      <c r="QE6">
        <f>SOFR3mo_PX[[#This Row],[Column447]]</f>
        <v>94.825000000000003</v>
      </c>
      <c r="QF6">
        <f>SOFR3mo_PX[[#This Row],[Column448]]</f>
        <v>94.9</v>
      </c>
      <c r="QG6">
        <f>SOFR3mo_PX[[#This Row],[Column449]]</f>
        <v>94.864999999999995</v>
      </c>
      <c r="QH6">
        <f>SOFR3mo_PX[[#This Row],[Column450]]</f>
        <v>94.754999999999995</v>
      </c>
      <c r="QI6">
        <f>SOFR3mo_PX[[#This Row],[Column451]]</f>
        <v>94.76</v>
      </c>
      <c r="QJ6">
        <f>SOFR3mo_PX[[#This Row],[Column452]]</f>
        <v>94.814999999999998</v>
      </c>
      <c r="QK6">
        <f>SOFR3mo_PX[[#This Row],[Column453]]</f>
        <v>94.805000000000007</v>
      </c>
      <c r="QL6">
        <f>SOFR3mo_PX[[#This Row],[Column454]]</f>
        <v>94.74</v>
      </c>
      <c r="QM6">
        <f>SOFR3mo_PX[[#This Row],[Column455]]</f>
        <v>94.79</v>
      </c>
      <c r="QN6">
        <f>SOFR3mo_PX[[#This Row],[Column456]]</f>
        <v>94.78</v>
      </c>
      <c r="QO6">
        <f>SOFR3mo_PX[[#This Row],[Column457]]</f>
        <v>94.78</v>
      </c>
      <c r="QP6">
        <f>SOFR3mo_PX[[#This Row],[Column458]]</f>
        <v>94.765000000000001</v>
      </c>
      <c r="QQ6">
        <f>SOFR3mo_PX[[#This Row],[Column459]]</f>
        <v>94.76</v>
      </c>
      <c r="QR6">
        <f>SOFR3mo_PX[[#This Row],[Column460]]</f>
        <v>94.61</v>
      </c>
      <c r="QS6">
        <f>SOFR3mo_PX[[#This Row],[Column461]]</f>
        <v>94.635000000000005</v>
      </c>
      <c r="QT6">
        <f>SOFR3mo_PX[[#This Row],[Column462]]</f>
        <v>94.65</v>
      </c>
      <c r="QU6">
        <f>SOFR3mo_PX[[#This Row],[Column463]]</f>
        <v>94.674999999999997</v>
      </c>
      <c r="QV6">
        <f>SOFR3mo_PX[[#This Row],[Column464]]</f>
        <v>94.68</v>
      </c>
      <c r="QW6">
        <f>SOFR3mo_PX[[#This Row],[Column465]]</f>
        <v>94.68</v>
      </c>
      <c r="QX6">
        <f>SOFR3mo_PX[[#This Row],[Column466]]</f>
        <v>94.685000000000002</v>
      </c>
      <c r="QY6">
        <f>SOFR3mo_PX[[#This Row],[Column467]]</f>
        <v>94.694999999999993</v>
      </c>
      <c r="QZ6">
        <f>SOFR3mo_PX[[#This Row],[Column468]]</f>
        <v>94.715000000000003</v>
      </c>
      <c r="RA6">
        <f>SOFR3mo_PX[[#This Row],[Column469]]</f>
        <v>94.674999999999997</v>
      </c>
      <c r="RB6">
        <f>SOFR3mo_PX[[#This Row],[Column470]]</f>
        <v>94.7</v>
      </c>
      <c r="RC6">
        <f>SOFR3mo_PX[[#This Row],[Column471]]</f>
        <v>94.795000000000002</v>
      </c>
      <c r="RD6">
        <f>SOFR3mo_PX[[#This Row],[Column472]]</f>
        <v>94.795000000000002</v>
      </c>
      <c r="RE6">
        <f>SOFR3mo_PX[[#This Row],[Column473]]</f>
        <v>94.8</v>
      </c>
      <c r="RF6">
        <f>SOFR3mo_PX[[#This Row],[Column474]]</f>
        <v>94.77</v>
      </c>
      <c r="RG6">
        <f>SOFR3mo_PX[[#This Row],[Column475]]</f>
        <v>94.75</v>
      </c>
      <c r="RH6">
        <f>SOFR3mo_PX[[#This Row],[Column476]]</f>
        <v>94.64</v>
      </c>
      <c r="RI6">
        <f>SOFR3mo_PX[[#This Row],[Column477]]</f>
        <v>94.644999999999996</v>
      </c>
      <c r="RJ6">
        <f>SOFR3mo_PX[[#This Row],[Column478]]</f>
        <v>94.715000000000003</v>
      </c>
      <c r="RK6">
        <f>SOFR3mo_PX[[#This Row],[Column479]]</f>
        <v>94.795000000000002</v>
      </c>
      <c r="RL6">
        <f>SOFR3mo_PX[[#This Row],[Column480]]</f>
        <v>94.73</v>
      </c>
      <c r="RM6">
        <f>SOFR3mo_PX[[#This Row],[Column481]]</f>
        <v>94.765000000000001</v>
      </c>
      <c r="RN6">
        <f>SOFR3mo_PX[[#This Row],[Column482]]</f>
        <v>94.814999999999998</v>
      </c>
      <c r="RO6">
        <f>SOFR3mo_PX[[#This Row],[Column483]]</f>
        <v>94.795000000000002</v>
      </c>
      <c r="RP6">
        <f>SOFR3mo_PX[[#This Row],[Column484]]</f>
        <v>94.77</v>
      </c>
      <c r="RQ6">
        <f>SOFR3mo_PX[[#This Row],[Column485]]</f>
        <v>94.79</v>
      </c>
      <c r="RR6">
        <f>SOFR3mo_PX[[#This Row],[Column486]]</f>
        <v>94.775000000000006</v>
      </c>
      <c r="RS6">
        <f>SOFR3mo_PX[[#This Row],[Column487]]</f>
        <v>94.84</v>
      </c>
      <c r="RT6">
        <f>SOFR3mo_PX[[#This Row],[Column488]]</f>
        <v>94.89</v>
      </c>
      <c r="RU6">
        <f>SOFR3mo_PX[[#This Row],[Column489]]</f>
        <v>94.9</v>
      </c>
      <c r="RV6">
        <f>SOFR3mo_PX[[#This Row],[Column490]]</f>
        <v>94.924999999999997</v>
      </c>
      <c r="RW6">
        <f>SOFR3mo_PX[[#This Row],[Column491]]</f>
        <v>94.94</v>
      </c>
      <c r="RX6">
        <f>SOFR3mo_PX[[#This Row],[Column492]]</f>
        <v>94.924999999999997</v>
      </c>
      <c r="RY6">
        <f>SOFR3mo_PX[[#This Row],[Column493]]</f>
        <v>94.86</v>
      </c>
      <c r="RZ6">
        <f>SOFR3mo_PX[[#This Row],[Column494]]</f>
        <v>94.875</v>
      </c>
      <c r="SA6">
        <f>SOFR3mo_PX[[#This Row],[Column495]]</f>
        <v>94.83</v>
      </c>
      <c r="SB6">
        <f>SOFR3mo_PX[[#This Row],[Column496]]</f>
        <v>94.84</v>
      </c>
      <c r="SC6">
        <f>SOFR3mo_PX[[#This Row],[Column497]]</f>
        <v>94.82</v>
      </c>
      <c r="SD6">
        <f>SOFR3mo_PX[[#This Row],[Column498]]</f>
        <v>94.784999999999997</v>
      </c>
      <c r="SE6">
        <f>SOFR3mo_PX[[#This Row],[Column499]]</f>
        <v>94.88</v>
      </c>
      <c r="SF6">
        <f>SOFR3mo_PX[[#This Row],[Column500]]</f>
        <v>94.84</v>
      </c>
      <c r="SG6">
        <f>SOFR3mo_PX[[#This Row],[Column501]]</f>
        <v>94.875</v>
      </c>
      <c r="SH6">
        <f>SOFR3mo_PX[[#This Row],[Column502]]</f>
        <v>94.91</v>
      </c>
      <c r="SI6">
        <f>SOFR3mo_PX[[#This Row],[Column503]]</f>
        <v>94.924999999999997</v>
      </c>
      <c r="SJ6">
        <f>SOFR3mo_PX[[#This Row],[Column504]]</f>
        <v>94.995000000000005</v>
      </c>
      <c r="SK6">
        <f>SOFR3mo_PX[[#This Row],[Column505]]</f>
        <v>95.004999999999995</v>
      </c>
      <c r="SL6">
        <f>SOFR3mo_PX[[#This Row],[Column506]]</f>
        <v>95.034999999999997</v>
      </c>
      <c r="SM6">
        <f>SOFR3mo_PX[[#This Row],[Column507]]</f>
        <v>95.01</v>
      </c>
      <c r="SN6">
        <f>SOFR3mo_PX[[#This Row],[Column508]]</f>
        <v>95.12</v>
      </c>
      <c r="SO6">
        <f>SOFR3mo_PX[[#This Row],[Column509]]</f>
        <v>94.99</v>
      </c>
      <c r="SP6">
        <f>SOFR3mo_PX[[#This Row],[Column510]]</f>
        <v>94.844999999999999</v>
      </c>
      <c r="SQ6">
        <f>SOFR3mo_PX[[#This Row],[Column511]]</f>
        <v>94.885000000000005</v>
      </c>
      <c r="SR6">
        <f>SOFR3mo_PX[[#This Row],[Column512]]</f>
        <v>94.83</v>
      </c>
      <c r="SS6">
        <f>SOFR3mo_PX[[#This Row],[Column513]]</f>
        <v>94.77</v>
      </c>
      <c r="ST6">
        <f>SOFR3mo_PX[[#This Row],[Column514]]</f>
        <v>94.84</v>
      </c>
      <c r="SU6">
        <f>SOFR3mo_PX[[#This Row],[Column515]]</f>
        <v>94.834999999999994</v>
      </c>
      <c r="SV6">
        <f>SOFR3mo_PX[[#This Row],[Column516]]</f>
        <v>94.834999999999994</v>
      </c>
      <c r="SW6">
        <f>SOFR3mo_PX[[#This Row],[Column517]]</f>
        <v>94.885000000000005</v>
      </c>
      <c r="SX6">
        <f>SOFR3mo_PX[[#This Row],[Column518]]</f>
        <v>94.86</v>
      </c>
      <c r="SY6">
        <f>SOFR3mo_PX[[#This Row],[Column519]]</f>
        <v>95.03</v>
      </c>
      <c r="SZ6">
        <f>SOFR3mo_PX[[#This Row],[Column520]]</f>
        <v>94.984999999999999</v>
      </c>
      <c r="TA6">
        <f>SOFR3mo_PX[[#This Row],[Column521]]</f>
        <v>95.08</v>
      </c>
      <c r="TB6">
        <f>SOFR3mo_PX[[#This Row],[Column522]]</f>
        <v>95.094999999999999</v>
      </c>
      <c r="TC6">
        <f>SOFR3mo_PX[[#This Row],[Column523]]</f>
        <v>95.02</v>
      </c>
      <c r="TD6">
        <f>SOFR3mo_PX[[#This Row],[Column524]]</f>
        <v>95.114999999999995</v>
      </c>
      <c r="TE6">
        <f>SOFR3mo_PX[[#This Row],[Column525]]</f>
        <v>94.805000000000007</v>
      </c>
      <c r="TF6">
        <f>SOFR3mo_PX[[#This Row],[Column526]]</f>
        <v>94.814999999999998</v>
      </c>
      <c r="TG6">
        <f>SOFR3mo_PX[[#This Row],[Column527]]</f>
        <v>94.814999999999998</v>
      </c>
      <c r="TH6">
        <f>SOFR3mo_PX[[#This Row],[Column528]]</f>
        <v>94.844999999999999</v>
      </c>
      <c r="TI6">
        <f>SOFR3mo_PX[[#This Row],[Column529]]</f>
        <v>94.805000000000007</v>
      </c>
      <c r="TJ6">
        <f>SOFR3mo_PX[[#This Row],[Column530]]</f>
        <v>94.864999999999995</v>
      </c>
      <c r="TK6">
        <f>SOFR3mo_PX[[#This Row],[Column531]]</f>
        <v>94.954999999999998</v>
      </c>
      <c r="TL6">
        <f>SOFR3mo_PX[[#This Row],[Column532]]</f>
        <v>94.965000000000003</v>
      </c>
      <c r="TM6">
        <f>SOFR3mo_PX[[#This Row],[Column533]]</f>
        <v>95.034999999999997</v>
      </c>
      <c r="TN6">
        <f>SOFR3mo_PX[[#This Row],[Column534]]</f>
        <v>95.015000000000001</v>
      </c>
      <c r="TO6">
        <f>SOFR3mo_PX[[#This Row],[Column535]]</f>
        <v>95.045000000000002</v>
      </c>
      <c r="TP6">
        <f>SOFR3mo_PX[[#This Row],[Column536]]</f>
        <v>95.08</v>
      </c>
      <c r="TQ6">
        <f>SOFR3mo_PX[[#This Row],[Column537]]</f>
        <v>95.045000000000002</v>
      </c>
      <c r="TR6">
        <f>SOFR3mo_PX[[#This Row],[Column538]]</f>
        <v>95.21</v>
      </c>
      <c r="TS6">
        <f>SOFR3mo_PX[[#This Row],[Column539]]</f>
        <v>95.155000000000001</v>
      </c>
      <c r="TT6">
        <f>SOFR3mo_PX[[#This Row],[Column540]]</f>
        <v>95.084999999999994</v>
      </c>
      <c r="TU6">
        <f>SOFR3mo_PX[[#This Row],[Column541]]</f>
        <v>95.015000000000001</v>
      </c>
      <c r="TV6">
        <f>SOFR3mo_PX[[#This Row],[Column542]]</f>
        <v>95.015000000000001</v>
      </c>
      <c r="TW6">
        <f>SOFR3mo_PX[[#This Row],[Column543]]</f>
        <v>95.08</v>
      </c>
      <c r="TX6">
        <f>SOFR3mo_PX[[#This Row],[Column544]]</f>
        <v>95.23</v>
      </c>
      <c r="TY6">
        <f>SOFR3mo_PX[[#This Row],[Column545]]</f>
        <v>95.314999999999998</v>
      </c>
      <c r="TZ6">
        <f>SOFR3mo_PX[[#This Row],[Column546]]</f>
        <v>95.344999999999999</v>
      </c>
      <c r="UA6">
        <f>SOFR3mo_PX[[#This Row],[Column547]]</f>
        <v>95.4</v>
      </c>
      <c r="UB6">
        <f>SOFR3mo_PX[[#This Row],[Column548]]</f>
        <v>95.394999999999996</v>
      </c>
      <c r="UC6">
        <f>SOFR3mo_PX[[#This Row],[Column549]]</f>
        <v>95.52</v>
      </c>
      <c r="UD6">
        <f>SOFR3mo_PX[[#This Row],[Column550]]</f>
        <v>95.58</v>
      </c>
      <c r="UE6">
        <f>SOFR3mo_PX[[#This Row],[Column551]]</f>
        <v>95.665000000000006</v>
      </c>
      <c r="UF6">
        <f>SOFR3mo_PX[[#This Row],[Column552]]</f>
        <v>95.674999999999997</v>
      </c>
      <c r="UG6">
        <f>SOFR3mo_PX[[#This Row],[Column553]]</f>
        <v>95.775000000000006</v>
      </c>
      <c r="UH6">
        <f>SOFR3mo_PX[[#This Row],[Column554]]</f>
        <v>95.795000000000002</v>
      </c>
      <c r="UI6">
        <f>SOFR3mo_PX[[#This Row],[Column555]]</f>
        <v>95.66</v>
      </c>
      <c r="UJ6">
        <f>SOFR3mo_PX[[#This Row],[Column556]]</f>
        <v>95.67</v>
      </c>
      <c r="UK6">
        <f>SOFR3mo_PX[[#This Row],[Column557]]</f>
        <v>95.765000000000001</v>
      </c>
      <c r="UL6">
        <f>SOFR3mo_PX[[#This Row],[Column558]]</f>
        <v>95.974999999999994</v>
      </c>
      <c r="UM6">
        <f>SOFR3mo_PX[[#This Row],[Column559]]</f>
        <v>95.69</v>
      </c>
      <c r="UN6">
        <f>SOFR3mo_PX[[#This Row],[Column560]]</f>
        <v>95.65</v>
      </c>
      <c r="UO6">
        <f>SOFR3mo_PX[[#This Row],[Column561]]</f>
        <v>95.465000000000003</v>
      </c>
      <c r="UP6">
        <f>SOFR3mo_PX[[#This Row],[Column562]]</f>
        <v>95.55</v>
      </c>
      <c r="UQ6">
        <f>SOFR3mo_PX[[#This Row],[Column563]]</f>
        <v>95.54</v>
      </c>
      <c r="UR6">
        <f>SOFR3mo_PX[[#This Row],[Column564]]</f>
        <v>95.734999999999999</v>
      </c>
      <c r="US6">
        <f>SOFR3mo_PX[[#This Row],[Column565]]</f>
        <v>95.745000000000005</v>
      </c>
      <c r="UT6">
        <f>SOFR3mo_PX[[#This Row],[Column566]]</f>
        <v>95.525000000000006</v>
      </c>
      <c r="UU6">
        <f>SOFR3mo_PX[[#This Row],[Column567]]</f>
        <v>95.48</v>
      </c>
      <c r="UV6">
        <f>SOFR3mo_PX[[#This Row],[Column568]]</f>
        <v>95.504999999999995</v>
      </c>
      <c r="UW6">
        <f>SOFR3mo_PX[[#This Row],[Column569]]</f>
        <v>95.41</v>
      </c>
      <c r="UX6">
        <f>SOFR3mo_PX[[#This Row],[Column570]]</f>
        <v>95.48</v>
      </c>
      <c r="UY6">
        <f>SOFR3mo_PX[[#This Row],[Column571]]</f>
        <v>95.51</v>
      </c>
      <c r="UZ6">
        <f>SOFR3mo_PX[[#This Row],[Column572]]</f>
        <v>95.59</v>
      </c>
      <c r="VA6">
        <f>SOFR3mo_PX[[#This Row],[Column573]]</f>
        <v>95.74</v>
      </c>
      <c r="VB6">
        <f>SOFR3mo_PX[[#This Row],[Column574]]</f>
        <v>95.74</v>
      </c>
      <c r="VC6">
        <f>SOFR3mo_PX[[#This Row],[Column575]]</f>
        <v>95.665000000000006</v>
      </c>
      <c r="VD6">
        <f>SOFR3mo_PX[[#This Row],[Column576]]</f>
        <v>95.674999999999997</v>
      </c>
      <c r="VE6">
        <f>SOFR3mo_PX[[#This Row],[Column577]]</f>
        <v>95.71</v>
      </c>
      <c r="VF6">
        <f>SOFR3mo_PX[[#This Row],[Column578]]</f>
        <v>95.905000000000001</v>
      </c>
      <c r="VG6">
        <f>SOFR3mo_PX[[#This Row],[Column579]]</f>
        <v>96.02</v>
      </c>
      <c r="VH6">
        <f>SOFR3mo_PX[[#This Row],[Column580]]</f>
        <v>95.93</v>
      </c>
      <c r="VI6">
        <f>SOFR3mo_PX[[#This Row],[Column581]]</f>
        <v>95.74</v>
      </c>
      <c r="VJ6">
        <f>SOFR3mo_PX[[#This Row],[Column582]]</f>
        <v>95.7</v>
      </c>
      <c r="VK6">
        <f>SOFR3mo_PX[[#This Row],[Column583]]</f>
        <v>95.68</v>
      </c>
      <c r="VL6">
        <f>SOFR3mo_PX[[#This Row],[Column584]]</f>
        <v>95.715000000000003</v>
      </c>
      <c r="VM6">
        <f>SOFR3mo_PX[[#This Row],[Column585]]</f>
        <v>95.765000000000001</v>
      </c>
      <c r="VN6">
        <f>SOFR3mo_PX[[#This Row],[Column586]]</f>
        <v>95.87</v>
      </c>
      <c r="VO6">
        <f>SOFR3mo_PX[[#This Row],[Column587]]</f>
        <v>96.135000000000005</v>
      </c>
      <c r="VP6">
        <f>SOFR3mo_PX[[#This Row],[Column588]]</f>
        <v>96.105000000000004</v>
      </c>
      <c r="VQ6">
        <f>SOFR3mo_PX[[#This Row],[Column589]]</f>
        <v>95.83</v>
      </c>
      <c r="VR6">
        <f>SOFR3mo_PX[[#This Row],[Column590]]</f>
        <v>95.65</v>
      </c>
      <c r="VS6">
        <f>SOFR3mo_PX[[#This Row],[Column591]]</f>
        <v>96.055000000000007</v>
      </c>
      <c r="VT6">
        <f>SOFR3mo_PX[[#This Row],[Column592]]</f>
        <v>96.165000000000006</v>
      </c>
      <c r="VU6">
        <f>SOFR3mo_PX[[#This Row],[Column593]]</f>
        <v>95.834999999999994</v>
      </c>
      <c r="VV6">
        <f>SOFR3mo_PX[[#This Row],[Column594]]</f>
        <v>96.13</v>
      </c>
      <c r="VW6">
        <f>SOFR3mo_PX[[#This Row],[Column595]]</f>
        <v>95.635000000000005</v>
      </c>
      <c r="VX6">
        <f>SOFR3mo_PX[[#This Row],[Column596]]</f>
        <v>95.885000000000005</v>
      </c>
      <c r="VY6">
        <f>SOFR3mo_PX[[#This Row],[Column597]]</f>
        <v>94.875</v>
      </c>
      <c r="VZ6">
        <f>SOFR3mo_PX[[#This Row],[Column598]]</f>
        <v>94.43</v>
      </c>
      <c r="WA6">
        <f>SOFR3mo_PX[[#This Row],[Column599]]</f>
        <v>94.305000000000007</v>
      </c>
      <c r="WB6">
        <f>SOFR3mo_PX[[#This Row],[Column600]]</f>
        <v>94.355000000000004</v>
      </c>
      <c r="WC6">
        <f>SOFR3mo_PX[[#This Row],[Column601]]</f>
        <v>94.534999999999997</v>
      </c>
      <c r="WD6">
        <f>SOFR3mo_PX[[#This Row],[Column602]]</f>
        <v>94.564999999999998</v>
      </c>
      <c r="WE6">
        <f>SOFR3mo_PX[[#This Row],[Column603]]</f>
        <v>94.55</v>
      </c>
      <c r="WF6">
        <f>SOFR3mo_PX[[#This Row],[Column604]]</f>
        <v>94.534999999999997</v>
      </c>
      <c r="WG6">
        <f>SOFR3mo_PX[[#This Row],[Column605]]</f>
        <v>94.594999999999999</v>
      </c>
      <c r="WH6">
        <f>SOFR3mo_PX[[#This Row],[Column606]]</f>
        <v>94.594999999999999</v>
      </c>
      <c r="WI6">
        <f>SOFR3mo_PX[[#This Row],[Column607]]</f>
        <v>94.594999999999999</v>
      </c>
      <c r="WJ6">
        <f>SOFR3mo_PX[[#This Row],[Column608]]</f>
        <v>94.665000000000006</v>
      </c>
      <c r="WK6">
        <f>SOFR3mo_PX[[#This Row],[Column609]]</f>
        <v>94.644999999999996</v>
      </c>
      <c r="WL6">
        <f>SOFR3mo_PX[[#This Row],[Column610]]</f>
        <v>94.65</v>
      </c>
      <c r="WM6">
        <f>SOFR3mo_PX[[#This Row],[Column611]]</f>
        <v>94.74</v>
      </c>
      <c r="WN6">
        <f>SOFR3mo_PX[[#This Row],[Column612]]</f>
        <v>94.74</v>
      </c>
      <c r="WO6">
        <f>SOFR3mo_PX[[#This Row],[Column613]]</f>
        <v>94.8</v>
      </c>
      <c r="WP6">
        <f>SOFR3mo_PX[[#This Row],[Column614]]</f>
        <v>94.78</v>
      </c>
      <c r="WQ6">
        <f>SOFR3mo_PX[[#This Row],[Column615]]</f>
        <v>94.74</v>
      </c>
      <c r="WR6">
        <f>SOFR3mo_PX[[#This Row],[Column616]]</f>
        <v>94.85</v>
      </c>
      <c r="WS6">
        <f>SOFR3mo_PX[[#This Row],[Column617]]</f>
        <v>94.87</v>
      </c>
      <c r="WT6">
        <f>SOFR3mo_PX[[#This Row],[Column618]]</f>
        <v>94.9</v>
      </c>
      <c r="WU6">
        <f>SOFR3mo_PX[[#This Row],[Column619]]</f>
        <v>94.94</v>
      </c>
      <c r="WV6">
        <f>SOFR3mo_PX[[#This Row],[Column620]]</f>
        <v>94.935000000000002</v>
      </c>
      <c r="WW6">
        <f>SOFR3mo_PX[[#This Row],[Column621]]</f>
        <v>94.96</v>
      </c>
      <c r="WX6">
        <f>SOFR3mo_PX[[#This Row],[Column622]]</f>
        <v>95.114999999999995</v>
      </c>
      <c r="WY6">
        <f>SOFR3mo_PX[[#This Row],[Column623]]</f>
        <v>95.33</v>
      </c>
      <c r="WZ6">
        <f>SOFR3mo_PX[[#This Row],[Column624]]</f>
        <v>95.314999999999998</v>
      </c>
      <c r="XA6">
        <f>SOFR3mo_PX[[#This Row],[Column625]]</f>
        <v>95.26</v>
      </c>
      <c r="XB6">
        <f>SOFR3mo_PX[[#This Row],[Column626]]</f>
        <v>95.224999999999994</v>
      </c>
      <c r="XC6">
        <f>SOFR3mo_PX[[#This Row],[Column627]]</f>
        <v>95.265000000000001</v>
      </c>
      <c r="XD6">
        <f>SOFR3mo_PX[[#This Row],[Column628]]</f>
        <v>95.284999999999997</v>
      </c>
      <c r="XE6">
        <f>SOFR3mo_PX[[#This Row],[Column629]]</f>
        <v>95.314999999999998</v>
      </c>
      <c r="XF6">
        <f>SOFR3mo_PX[[#This Row],[Column630]]</f>
        <v>95.254999999999995</v>
      </c>
      <c r="XG6">
        <f>SOFR3mo_PX[[#This Row],[Column631]]</f>
        <v>95.24</v>
      </c>
      <c r="XH6">
        <f>SOFR3mo_PX[[#This Row],[Column632]]</f>
        <v>95.284999999999997</v>
      </c>
      <c r="XI6">
        <f>SOFR3mo_PX[[#This Row],[Column633]]</f>
        <v>95.314999999999998</v>
      </c>
      <c r="XJ6">
        <f>SOFR3mo_PX[[#This Row],[Column634]]</f>
        <v>95.36</v>
      </c>
      <c r="XK6">
        <f>SOFR3mo_PX[[#This Row],[Column635]]</f>
        <v>95.295000000000002</v>
      </c>
      <c r="XL6">
        <f>SOFR3mo_PX[[#This Row],[Column636]]</f>
        <v>95.24</v>
      </c>
      <c r="XM6">
        <f>SOFR3mo_PX[[#This Row],[Column637]]</f>
        <v>95.24</v>
      </c>
      <c r="XN6">
        <f>SOFR3mo_PX[[#This Row],[Column638]]</f>
        <v>95.314999999999998</v>
      </c>
      <c r="XO6">
        <f>SOFR3mo_PX[[#This Row],[Column639]]</f>
        <v>95.275000000000006</v>
      </c>
      <c r="XP6">
        <f>SOFR3mo_PX[[#This Row],[Column640]]</f>
        <v>95.26</v>
      </c>
      <c r="XQ6">
        <f>SOFR3mo_PX[[#This Row],[Column641]]</f>
        <v>95.295000000000002</v>
      </c>
      <c r="XR6">
        <f>SOFR3mo_PX[[#This Row],[Column642]]</f>
        <v>95.24</v>
      </c>
      <c r="XS6">
        <f>SOFR3mo_PX[[#This Row],[Column643]]</f>
        <v>95.105000000000004</v>
      </c>
      <c r="XT6">
        <f>SOFR3mo_PX[[#This Row],[Column644]]</f>
        <v>95.185000000000002</v>
      </c>
      <c r="XU6">
        <f>SOFR3mo_PX[[#This Row],[Column645]]</f>
        <v>95.2</v>
      </c>
      <c r="XV6">
        <f>SOFR3mo_PX[[#This Row],[Column646]]</f>
        <v>95.185000000000002</v>
      </c>
      <c r="XW6">
        <f>SOFR3mo_PX[[#This Row],[Column647]]</f>
        <v>95.185000000000002</v>
      </c>
      <c r="XX6">
        <f>SOFR3mo_PX[[#This Row],[Column648]]</f>
        <v>95.23</v>
      </c>
      <c r="XY6">
        <f>SOFR3mo_PX[[#This Row],[Column649]]</f>
        <v>95.23</v>
      </c>
      <c r="XZ6">
        <f>SOFR3mo_PX[[#This Row],[Column650]]</f>
        <v>95.21</v>
      </c>
      <c r="YA6">
        <f>SOFR3mo_PX[[#This Row],[Column651]]</f>
        <v>95.305000000000007</v>
      </c>
      <c r="YB6">
        <f>SOFR3mo_PX[[#This Row],[Column652]]</f>
        <v>95.305000000000007</v>
      </c>
      <c r="YC6">
        <f>SOFR3mo_PX[[#This Row],[Column653]]</f>
        <v>95.355000000000004</v>
      </c>
      <c r="YD6">
        <f>SOFR3mo_PX[[#This Row],[Column654]]</f>
        <v>95.4</v>
      </c>
      <c r="YE6">
        <f>SOFR3mo_PX[[#This Row],[Column655]]</f>
        <v>95.165000000000006</v>
      </c>
      <c r="YF6">
        <f>SOFR3mo_PX[[#This Row],[Column656]]</f>
        <v>95.16</v>
      </c>
      <c r="YG6">
        <f>SOFR3mo_PX[[#This Row],[Column657]]</f>
        <v>95.204999999999998</v>
      </c>
      <c r="YH6">
        <f>SOFR3mo_PX[[#This Row],[Column658]]</f>
        <v>95.125</v>
      </c>
      <c r="YI6">
        <f>SOFR3mo_PX[[#This Row],[Column659]]</f>
        <v>95.17</v>
      </c>
      <c r="YJ6">
        <f>SOFR3mo_PX[[#This Row],[Column660]]</f>
        <v>95.18</v>
      </c>
      <c r="YK6">
        <f>SOFR3mo_PX[[#This Row],[Column661]]</f>
        <v>95.034999999999997</v>
      </c>
      <c r="YL6">
        <f>SOFR3mo_PX[[#This Row],[Column662]]</f>
        <v>95.07</v>
      </c>
      <c r="YM6">
        <f>SOFR3mo_PX[[#This Row],[Column663]]</f>
        <v>95.08</v>
      </c>
      <c r="YN6">
        <f>SOFR3mo_PX[[#This Row],[Column664]]</f>
        <v>95.125</v>
      </c>
      <c r="YO6">
        <f>SOFR3mo_PX[[#This Row],[Column665]]</f>
        <v>95.06</v>
      </c>
      <c r="YP6">
        <f>SOFR3mo_PX[[#This Row],[Column666]]</f>
        <v>95.02</v>
      </c>
      <c r="YQ6">
        <f>SOFR3mo_PX[[#This Row],[Column667]]</f>
        <v>95.12</v>
      </c>
      <c r="YR6">
        <f>SOFR3mo_PX[[#This Row],[Column668]]</f>
        <v>95.174999999999997</v>
      </c>
      <c r="YS6">
        <f>SOFR3mo_PX[[#This Row],[Column669]]</f>
        <v>95.084999999999994</v>
      </c>
      <c r="YT6">
        <f>SOFR3mo_PX[[#This Row],[Column670]]</f>
        <v>95.004999999999995</v>
      </c>
      <c r="YU6">
        <f>SOFR3mo_PX[[#This Row],[Column671]]</f>
        <v>95.01</v>
      </c>
      <c r="YV6">
        <f>SOFR3mo_PX[[#This Row],[Column672]]</f>
        <v>95</v>
      </c>
      <c r="YW6">
        <f>SOFR3mo_PX[[#This Row],[Column673]]</f>
        <v>94.984999999999999</v>
      </c>
      <c r="YX6">
        <f>SOFR3mo_PX[[#This Row],[Column674]]</f>
        <v>94.984999999999999</v>
      </c>
      <c r="YY6">
        <f>SOFR3mo_PX[[#This Row],[Column675]]</f>
        <v>94.935000000000002</v>
      </c>
      <c r="YZ6">
        <f>SOFR3mo_PX[[#This Row],[Column676]]</f>
        <v>94.95</v>
      </c>
      <c r="ZA6">
        <f>SOFR3mo_PX[[#This Row],[Column677]]</f>
        <v>94.974999999999994</v>
      </c>
      <c r="ZB6">
        <f>SOFR3mo_PX[[#This Row],[Column678]]</f>
        <v>95.05</v>
      </c>
      <c r="ZC6">
        <f>SOFR3mo_PX[[#This Row],[Column679]]</f>
        <v>95.12</v>
      </c>
      <c r="ZD6">
        <f>SOFR3mo_PX[[#This Row],[Column680]]</f>
        <v>95.135000000000005</v>
      </c>
      <c r="ZE6">
        <f>SOFR3mo_PX[[#This Row],[Column681]]</f>
        <v>95.11</v>
      </c>
      <c r="ZF6">
        <f>SOFR3mo_PX[[#This Row],[Column682]]</f>
        <v>95.17</v>
      </c>
      <c r="ZG6">
        <f>SOFR3mo_PX[[#This Row],[Column683]]</f>
        <v>95.204999999999998</v>
      </c>
      <c r="ZH6">
        <f>SOFR3mo_PX[[#This Row],[Column684]]</f>
        <v>94.965000000000003</v>
      </c>
      <c r="ZI6">
        <f>SOFR3mo_PX[[#This Row],[Column685]]</f>
        <v>94.94</v>
      </c>
      <c r="ZJ6">
        <f>SOFR3mo_PX[[#This Row],[Column686]]</f>
        <v>94.89</v>
      </c>
      <c r="ZK6">
        <f>SOFR3mo_PX[[#This Row],[Column687]]</f>
        <v>94.94</v>
      </c>
      <c r="ZL6">
        <f>SOFR3mo_PX[[#This Row],[Column688]]</f>
        <v>94.875</v>
      </c>
      <c r="ZM6">
        <f>SOFR3mo_PX[[#This Row],[Column689]]</f>
        <v>94.98</v>
      </c>
      <c r="ZN6">
        <f>SOFR3mo_PX[[#This Row],[Column690]]</f>
        <v>95.03</v>
      </c>
      <c r="ZO6">
        <f>SOFR3mo_PX[[#This Row],[Column691]]</f>
        <v>95.105000000000004</v>
      </c>
      <c r="ZP6">
        <f>SOFR3mo_PX[[#This Row],[Column692]]</f>
        <v>95.19</v>
      </c>
      <c r="ZQ6">
        <f>SOFR3mo_PX[[#This Row],[Column693]]</f>
        <v>95.314999999999998</v>
      </c>
      <c r="ZR6">
        <f>SOFR3mo_PX[[#This Row],[Column694]]</f>
        <v>95.234999999999999</v>
      </c>
      <c r="ZS6">
        <f>SOFR3mo_PX[[#This Row],[Column695]]</f>
        <v>95.16</v>
      </c>
      <c r="ZT6">
        <f>SOFR3mo_PX[[#This Row],[Column696]]</f>
        <v>95.15</v>
      </c>
      <c r="ZU6">
        <f>SOFR3mo_PX[[#This Row],[Column697]]</f>
        <v>95.174999999999997</v>
      </c>
      <c r="ZV6">
        <f>SOFR3mo_PX[[#This Row],[Column698]]</f>
        <v>95.04</v>
      </c>
      <c r="ZW6">
        <f>SOFR3mo_PX[[#This Row],[Column699]]</f>
        <v>95.1</v>
      </c>
      <c r="ZX6">
        <f>SOFR3mo_PX[[#This Row],[Column700]]</f>
        <v>95.194999999999993</v>
      </c>
      <c r="ZY6">
        <f>SOFR3mo_PX[[#This Row],[Column701]]</f>
        <v>95.15</v>
      </c>
      <c r="ZZ6">
        <f>SOFR3mo_PX[[#This Row],[Column702]]</f>
        <v>95.114999999999995</v>
      </c>
      <c r="AAA6">
        <f>SOFR3mo_PX[[#This Row],[Column703]]</f>
        <v>95.204999999999998</v>
      </c>
      <c r="AAB6">
        <f>SOFR3mo_PX[[#This Row],[Column704]]</f>
        <v>95.43</v>
      </c>
      <c r="AAC6">
        <f>SOFR3mo_PX[[#This Row],[Column705]]</f>
        <v>95.415000000000006</v>
      </c>
      <c r="AAD6">
        <f>SOFR3mo_PX[[#This Row],[Column706]]</f>
        <v>95.364999999999995</v>
      </c>
      <c r="AAE6">
        <f>SOFR3mo_PX[[#This Row],[Column707]]</f>
        <v>95.415000000000006</v>
      </c>
      <c r="AAF6">
        <f>SOFR3mo_PX[[#This Row],[Column708]]</f>
        <v>95.515000000000001</v>
      </c>
      <c r="AAG6">
        <f>SOFR3mo_PX[[#This Row],[Column709]]</f>
        <v>95.61</v>
      </c>
      <c r="AAH6">
        <f>SOFR3mo_PX[[#This Row],[Column710]]</f>
        <v>95.65</v>
      </c>
      <c r="AAI6">
        <f>SOFR3mo_PX[[#This Row],[Column711]]</f>
        <v>95.68</v>
      </c>
      <c r="AAJ6">
        <f>SOFR3mo_PX[[#This Row],[Column712]]</f>
        <v>95.614999999999995</v>
      </c>
      <c r="AAK6">
        <f>SOFR3mo_PX[[#This Row],[Column713]]</f>
        <v>95.64</v>
      </c>
      <c r="AAL6">
        <f>SOFR3mo_PX[[#This Row],[Column714]]</f>
        <v>95.685000000000002</v>
      </c>
      <c r="AAM6">
        <f>SOFR3mo_PX[[#This Row],[Column715]]</f>
        <v>95.49</v>
      </c>
      <c r="AAN6">
        <f>SOFR3mo_PX[[#This Row],[Column716]]</f>
        <v>95.364999999999995</v>
      </c>
      <c r="AAO6">
        <f>SOFR3mo_PX[[#This Row],[Column717]]</f>
        <v>95.334999999999994</v>
      </c>
      <c r="AAP6">
        <f>SOFR3mo_PX[[#This Row],[Column718]]</f>
        <v>95.405000000000001</v>
      </c>
      <c r="AAQ6">
        <f>SOFR3mo_PX[[#This Row],[Column719]]</f>
        <v>95.564999999999998</v>
      </c>
      <c r="AAR6">
        <f>SOFR3mo_PX[[#This Row],[Column720]]</f>
        <v>95.564999999999998</v>
      </c>
      <c r="AAS6">
        <f>SOFR3mo_PX[[#This Row],[Column721]]</f>
        <v>95.58</v>
      </c>
      <c r="AAT6">
        <f>SOFR3mo_PX[[#This Row],[Column722]]</f>
        <v>95.655000000000001</v>
      </c>
      <c r="AAU6">
        <f>SOFR3mo_PX[[#This Row],[Column723]]</f>
        <v>95.6</v>
      </c>
      <c r="AAV6">
        <f>SOFR3mo_PX[[#This Row],[Column724]]</f>
        <v>95.674999999999997</v>
      </c>
      <c r="AAW6">
        <f>SOFR3mo_PX[[#This Row],[Column725]]</f>
        <v>95.734999999999999</v>
      </c>
      <c r="AAX6">
        <f>SOFR3mo_PX[[#This Row],[Column726]]</f>
        <v>96.03</v>
      </c>
      <c r="AAY6">
        <f>SOFR3mo_PX[[#This Row],[Column727]]</f>
        <v>96.034999999999997</v>
      </c>
      <c r="AAZ6">
        <f>SOFR3mo_PX[[#This Row],[Column728]]</f>
        <v>96.12</v>
      </c>
      <c r="ABA6">
        <f>SOFR3mo_PX[[#This Row],[Column729]]</f>
        <v>96.135000000000005</v>
      </c>
      <c r="ABB6">
        <f>SOFR3mo_PX[[#This Row],[Column730]]</f>
        <v>96.084999999999994</v>
      </c>
      <c r="ABC6">
        <f>SOFR3mo_PX[[#This Row],[Column731]]</f>
        <v>96.215000000000003</v>
      </c>
      <c r="ABD6">
        <f>SOFR3mo_PX[[#This Row],[Column732]]</f>
        <v>96.215000000000003</v>
      </c>
      <c r="ABE6">
        <f>SOFR3mo_PX[[#This Row],[Column733]]</f>
        <v>96.07</v>
      </c>
      <c r="ABF6">
        <f>SOFR3mo_PX[[#This Row],[Column734]]</f>
        <v>96.13</v>
      </c>
      <c r="ABG6">
        <f>SOFR3mo_PX[[#This Row],[Column735]]</f>
        <v>96.14</v>
      </c>
      <c r="ABH6">
        <f>SOFR3mo_PX[[#This Row],[Column736]]</f>
        <v>96.185000000000002</v>
      </c>
      <c r="ABI6">
        <f>SOFR3mo_PX[[#This Row],[Column737]]</f>
        <v>96.234999999999999</v>
      </c>
      <c r="ABJ6">
        <f>SOFR3mo_PX[[#This Row],[Column738]]</f>
        <v>96.23</v>
      </c>
      <c r="ABK6">
        <f>SOFR3mo_PX[[#This Row],[Column739]]</f>
        <v>96.23</v>
      </c>
      <c r="ABL6">
        <f>SOFR3mo_PX[[#This Row],[Column740]]</f>
        <v>96.27</v>
      </c>
      <c r="ABM6">
        <f>SOFR3mo_PX[[#This Row],[Column741]]</f>
        <v>96.234999999999999</v>
      </c>
      <c r="ABN6">
        <f>SOFR3mo_PX[[#This Row],[Column742]]</f>
        <v>96.35</v>
      </c>
      <c r="ABO6">
        <f>SOFR3mo_PX[[#This Row],[Column743]]</f>
        <v>96.375</v>
      </c>
      <c r="ABP6">
        <f>SOFR3mo_PX[[#This Row],[Column744]]</f>
        <v>96.325000000000003</v>
      </c>
      <c r="ABQ6">
        <f>SOFR3mo_PX[[#This Row],[Column745]]</f>
        <v>96.37</v>
      </c>
      <c r="ABR6">
        <f>SOFR3mo_PX[[#This Row],[Column746]]</f>
        <v>96.405000000000001</v>
      </c>
      <c r="ABS6">
        <f>SOFR3mo_PX[[#This Row],[Column747]]</f>
        <v>96.355000000000004</v>
      </c>
      <c r="ABT6">
        <f>SOFR3mo_PX[[#This Row],[Column748]]</f>
        <v>96.385000000000005</v>
      </c>
      <c r="ABU6">
        <f>SOFR3mo_PX[[#This Row],[Column749]]</f>
        <v>96.424999999999997</v>
      </c>
      <c r="ABV6">
        <f>SOFR3mo_PX[[#This Row],[Column750]]</f>
        <v>96.344999999999999</v>
      </c>
      <c r="ABW6">
        <f>SOFR3mo_PX[[#This Row],[Column751]]</f>
        <v>96.41</v>
      </c>
      <c r="ABX6">
        <f>SOFR3mo_PX[[#This Row],[Column752]]</f>
        <v>96.39</v>
      </c>
      <c r="ABY6">
        <f>SOFR3mo_PX[[#This Row],[Column753]]</f>
        <v>96.64</v>
      </c>
      <c r="ABZ6">
        <f>SOFR3mo_PX[[#This Row],[Column754]]</f>
        <v>96.58</v>
      </c>
      <c r="ACA6">
        <f>SOFR3mo_PX[[#This Row],[Column755]]</f>
        <v>96.64</v>
      </c>
      <c r="ACB6">
        <f>SOFR3mo_PX[[#This Row],[Column756]]</f>
        <v>96.814999999999998</v>
      </c>
      <c r="ACC6">
        <f>SOFR3mo_PX[[#This Row],[Column757]]</f>
        <v>96.83</v>
      </c>
      <c r="ACD6">
        <f>SOFR3mo_PX[[#This Row],[Column758]]</f>
        <v>96.885000000000005</v>
      </c>
      <c r="ACE6">
        <f>SOFR3mo_PX[[#This Row],[Column759]]</f>
        <v>96.814999999999998</v>
      </c>
      <c r="ACF6">
        <f>SOFR3mo_PX[[#This Row],[Column760]]</f>
        <v>96.74</v>
      </c>
      <c r="ACG6">
        <f>SOFR3mo_PX[[#This Row],[Column761]]</f>
        <v>96.734999999999999</v>
      </c>
      <c r="ACH6">
        <f>SOFR3mo_PX[[#This Row],[Column762]]</f>
        <v>96.8</v>
      </c>
      <c r="ACI6">
        <f>SOFR3mo_PX[[#This Row],[Column763]]</f>
        <v>96.68</v>
      </c>
      <c r="ACJ6">
        <f>SOFR3mo_PX[[#This Row],[Column764]]</f>
        <v>96.49</v>
      </c>
      <c r="ACK6">
        <f>SOFR3mo_PX[[#This Row],[Column765]]</f>
        <v>96.515000000000001</v>
      </c>
      <c r="ACL6">
        <f>SOFR3mo_PX[[#This Row],[Column766]]</f>
        <v>96.58</v>
      </c>
      <c r="ACM6">
        <f>SOFR3mo_PX[[#This Row],[Column767]]</f>
        <v>96.56</v>
      </c>
      <c r="ACN6">
        <f>SOFR3mo_PX[[#This Row],[Column768]]</f>
        <v>96.51</v>
      </c>
      <c r="ACO6">
        <f>SOFR3mo_PX[[#This Row],[Column769]]</f>
        <v>96.54</v>
      </c>
      <c r="ACP6">
        <f>SOFR3mo_PX[[#This Row],[Column770]]</f>
        <v>96.635000000000005</v>
      </c>
      <c r="ACQ6">
        <f>SOFR3mo_PX[[#This Row],[Column771]]</f>
        <v>96.56</v>
      </c>
      <c r="ACR6">
        <f>SOFR3mo_PX[[#This Row],[Column772]]</f>
        <v>96.45</v>
      </c>
      <c r="ACS6">
        <f>SOFR3mo_PX[[#This Row],[Column773]]</f>
        <v>96.564999999999998</v>
      </c>
      <c r="ACT6">
        <f>SOFR3mo_PX[[#This Row],[Column774]]</f>
        <v>96.674999999999997</v>
      </c>
      <c r="ACU6">
        <f>SOFR3mo_PX[[#This Row],[Column775]]</f>
        <v>96.795000000000002</v>
      </c>
      <c r="ACV6">
        <f>SOFR3mo_PX[[#This Row],[Column776]]</f>
        <v>96.71</v>
      </c>
      <c r="ACW6">
        <f>SOFR3mo_PX[[#This Row],[Column777]]</f>
        <v>96.71</v>
      </c>
      <c r="ACX6">
        <f>SOFR3mo_PX[[#This Row],[Column778]]</f>
        <v>96.63</v>
      </c>
      <c r="ACY6">
        <f>SOFR3mo_PX[[#This Row],[Column779]]</f>
        <v>96.44</v>
      </c>
      <c r="ACZ6">
        <f>SOFR3mo_PX[[#This Row],[Column780]]</f>
        <v>96.444999999999993</v>
      </c>
      <c r="ADA6">
        <f>SOFR3mo_PX[[#This Row],[Column781]]</f>
        <v>96.465000000000003</v>
      </c>
      <c r="ADB6">
        <f>SOFR3mo_PX[[#This Row],[Column782]]</f>
        <v>96.525000000000006</v>
      </c>
      <c r="ADC6">
        <f>SOFR3mo_PX[[#This Row],[Column783]]</f>
        <v>96.52</v>
      </c>
      <c r="ADD6">
        <f>SOFR3mo_PX[[#This Row],[Column784]]</f>
        <v>96.45</v>
      </c>
      <c r="ADE6">
        <f>SOFR3mo_PX[[#This Row],[Column785]]</f>
        <v>96.254999999999995</v>
      </c>
      <c r="ADF6">
        <f>SOFR3mo_PX[[#This Row],[Column786]]</f>
        <v>96.27</v>
      </c>
      <c r="ADG6">
        <f>SOFR3mo_PX[[#This Row],[Column787]]</f>
        <v>96.27</v>
      </c>
      <c r="ADH6">
        <f>SOFR3mo_PX[[#This Row],[Column788]]</f>
        <v>96.224999999999994</v>
      </c>
      <c r="ADI6">
        <f>SOFR3mo_PX[[#This Row],[Column789]]</f>
        <v>96.15</v>
      </c>
      <c r="ADJ6">
        <f>SOFR3mo_PX[[#This Row],[Column790]]</f>
        <v>96.245000000000005</v>
      </c>
      <c r="ADK6">
        <f>SOFR3mo_PX[[#This Row],[Column791]]</f>
        <v>96.454999999999998</v>
      </c>
      <c r="ADL6">
        <f>SOFR3mo_PX[[#This Row],[Column792]]</f>
        <v>96.74</v>
      </c>
      <c r="ADM6">
        <f>SOFR3mo_PX[[#This Row],[Column793]]</f>
        <v>97.03</v>
      </c>
      <c r="ADN6">
        <f>SOFR3mo_PX[[#This Row],[Column794]]</f>
        <v>97.075000000000003</v>
      </c>
      <c r="ADO6">
        <f>SOFR3mo_PX[[#This Row],[Column795]]</f>
        <v>97.11</v>
      </c>
      <c r="ADP6">
        <f>SOFR3mo_PX[[#This Row],[Column796]]</f>
        <v>97.09</v>
      </c>
      <c r="ADQ6">
        <f>SOFR3mo_PX[[#This Row],[Column797]]</f>
        <v>97.13</v>
      </c>
      <c r="ADR6">
        <f>SOFR3mo_PX[[#This Row],[Column798]]</f>
        <v>97.144999999999996</v>
      </c>
      <c r="ADS6">
        <f>SOFR3mo_PX[[#This Row],[Column799]]</f>
        <v>97.155000000000001</v>
      </c>
      <c r="ADT6">
        <f>SOFR3mo_PX[[#This Row],[Column800]]</f>
        <v>97.245000000000005</v>
      </c>
      <c r="ADU6">
        <f>SOFR3mo_PX[[#This Row],[Column801]]</f>
        <v>97.325000000000003</v>
      </c>
      <c r="ADV6">
        <f>SOFR3mo_PX[[#This Row],[Column802]]</f>
        <v>97.325000000000003</v>
      </c>
      <c r="ADW6">
        <f>SOFR3mo_PX[[#This Row],[Column803]]</f>
        <v>97.33</v>
      </c>
      <c r="ADX6">
        <f>SOFR3mo_PX[[#This Row],[Column804]]</f>
        <v>97.32</v>
      </c>
      <c r="ADY6">
        <f>SOFR3mo_PX[[#This Row],[Column805]]</f>
        <v>97.314999999999998</v>
      </c>
      <c r="ADZ6">
        <f>SOFR3mo_PX[[#This Row],[Column806]]</f>
        <v>97.185000000000002</v>
      </c>
      <c r="AEA6">
        <f>SOFR3mo_PX[[#This Row],[Column807]]</f>
        <v>97.215000000000003</v>
      </c>
      <c r="AEB6">
        <f>SOFR3mo_PX[[#This Row],[Column808]]</f>
        <v>97.194999999999993</v>
      </c>
      <c r="AEC6">
        <f>SOFR3mo_PX[[#This Row],[Column809]]</f>
        <v>97.155000000000001</v>
      </c>
      <c r="AED6">
        <f>SOFR3mo_PX[[#This Row],[Column810]]</f>
        <v>97.13</v>
      </c>
      <c r="AEE6">
        <f>SOFR3mo_PX[[#This Row],[Column811]]</f>
        <v>97.26</v>
      </c>
      <c r="AEF6">
        <f>SOFR3mo_PX[[#This Row],[Column812]]</f>
        <v>97.25</v>
      </c>
      <c r="AEG6">
        <f>SOFR3mo_PX[[#This Row],[Column813]]</f>
        <v>97.334999999999994</v>
      </c>
      <c r="AEH6">
        <f>SOFR3mo_PX[[#This Row],[Column814]]</f>
        <v>97.23</v>
      </c>
      <c r="AEI6">
        <f>SOFR3mo_PX[[#This Row],[Column815]]</f>
        <v>97.27</v>
      </c>
      <c r="AEJ6">
        <f>SOFR3mo_PX[[#This Row],[Column816]]</f>
        <v>97.275000000000006</v>
      </c>
      <c r="AEK6">
        <f>SOFR3mo_PX[[#This Row],[Column817]]</f>
        <v>97.155000000000001</v>
      </c>
      <c r="AEL6">
        <f>SOFR3mo_PX[[#This Row],[Column818]]</f>
        <v>97.125</v>
      </c>
      <c r="AEM6">
        <f>SOFR3mo_PX[[#This Row],[Column819]]</f>
        <v>97.22</v>
      </c>
      <c r="AEN6">
        <f>SOFR3mo_PX[[#This Row],[Column820]]</f>
        <v>97.07</v>
      </c>
      <c r="AEO6">
        <f>SOFR3mo_PX[[#This Row],[Column821]]</f>
        <v>97.13</v>
      </c>
      <c r="AEP6">
        <f>SOFR3mo_PX[[#This Row],[Column822]]</f>
        <v>97.14</v>
      </c>
      <c r="AEQ6">
        <f>SOFR3mo_PX[[#This Row],[Column823]]</f>
        <v>97.224999999999994</v>
      </c>
      <c r="AER6">
        <f>SOFR3mo_PX[[#This Row],[Column824]]</f>
        <v>97.275000000000006</v>
      </c>
      <c r="AES6">
        <f>SOFR3mo_PX[[#This Row],[Column825]]</f>
        <v>97.29</v>
      </c>
      <c r="AET6">
        <f>SOFR3mo_PX[[#This Row],[Column826]]</f>
        <v>97.234999999999999</v>
      </c>
      <c r="AEU6">
        <f>SOFR3mo_PX[[#This Row],[Column827]]</f>
        <v>97.125</v>
      </c>
      <c r="AEV6">
        <f>SOFR3mo_PX[[#This Row],[Column828]]</f>
        <v>97.2</v>
      </c>
      <c r="AEW6">
        <f>SOFR3mo_PX[[#This Row],[Column829]]</f>
        <v>97.34</v>
      </c>
      <c r="AEX6">
        <f>SOFR3mo_PX[[#This Row],[Column830]]</f>
        <v>97.37</v>
      </c>
      <c r="AEY6">
        <f>SOFR3mo_PX[[#This Row],[Column831]]</f>
        <v>97.47</v>
      </c>
      <c r="AEZ6">
        <f>SOFR3mo_PX[[#This Row],[Column832]]</f>
        <v>97.48</v>
      </c>
      <c r="AFA6">
        <f>SOFR3mo_PX[[#This Row],[Column833]]</f>
        <v>97.48</v>
      </c>
      <c r="AFB6">
        <f>SOFR3mo_PX[[#This Row],[Column834]]</f>
        <v>97.575000000000003</v>
      </c>
      <c r="AFC6">
        <f>SOFR3mo_PX[[#This Row],[Column835]]</f>
        <v>97.52</v>
      </c>
      <c r="AFD6">
        <f>SOFR3mo_PX[[#This Row],[Column836]]</f>
        <v>97.394999999999996</v>
      </c>
      <c r="AFE6">
        <f>SOFR3mo_PX[[#This Row],[Column837]]</f>
        <v>97.39</v>
      </c>
      <c r="AFF6">
        <f>SOFR3mo_PX[[#This Row],[Column838]]</f>
        <v>97.44</v>
      </c>
      <c r="AFG6">
        <f>SOFR3mo_PX[[#This Row],[Column839]]</f>
        <v>97.405000000000001</v>
      </c>
      <c r="AFH6">
        <f>SOFR3mo_PX[[#This Row],[Column840]]</f>
        <v>97.4</v>
      </c>
      <c r="AFI6">
        <f>SOFR3mo_PX[[#This Row],[Column841]]</f>
        <v>97.47</v>
      </c>
      <c r="AFJ6">
        <f>SOFR3mo_PX[[#This Row],[Column842]]</f>
        <v>97.465000000000003</v>
      </c>
      <c r="AFK6">
        <f>SOFR3mo_PX[[#This Row],[Column843]]</f>
        <v>97.6</v>
      </c>
      <c r="AFL6">
        <f>SOFR3mo_PX[[#This Row],[Column844]]</f>
        <v>97.555000000000007</v>
      </c>
      <c r="AFM6">
        <f>SOFR3mo_PX[[#This Row],[Column845]]</f>
        <v>97.534999999999997</v>
      </c>
      <c r="AFN6">
        <f>SOFR3mo_PX[[#This Row],[Column846]]</f>
        <v>97.48</v>
      </c>
      <c r="AFO6">
        <f>SOFR3mo_PX[[#This Row],[Column847]]</f>
        <v>97.53</v>
      </c>
      <c r="AFP6">
        <f>SOFR3mo_PX[[#This Row],[Column848]]</f>
        <v>97.69</v>
      </c>
      <c r="AFQ6">
        <f>SOFR3mo_PX[[#This Row],[Column849]]</f>
        <v>97.745000000000005</v>
      </c>
      <c r="AFR6">
        <f>SOFR3mo_PX[[#This Row],[Column850]]</f>
        <v>97.715000000000003</v>
      </c>
      <c r="AFS6">
        <f>SOFR3mo_PX[[#This Row],[Column851]]</f>
        <v>97.74</v>
      </c>
      <c r="AFT6">
        <f>SOFR3mo_PX[[#This Row],[Column852]]</f>
        <v>97.94</v>
      </c>
      <c r="AFU6">
        <f>SOFR3mo_PX[[#This Row],[Column853]]</f>
        <v>97.984999999999999</v>
      </c>
      <c r="AFV6">
        <f>SOFR3mo_PX[[#This Row],[Column854]]</f>
        <v>97.97</v>
      </c>
      <c r="AFW6">
        <f>SOFR3mo_PX[[#This Row],[Column855]]</f>
        <v>98.45</v>
      </c>
      <c r="AFX6">
        <f>SOFR3mo_PX[[#This Row],[Column856]]</f>
        <v>98.444999999999993</v>
      </c>
      <c r="AFY6">
        <f>SOFR3mo_PX[[#This Row],[Column857]]</f>
        <v>98.52</v>
      </c>
      <c r="AFZ6">
        <f>SOFR3mo_PX[[#This Row],[Column858]]</f>
        <v>98.545000000000002</v>
      </c>
      <c r="AGA6">
        <f>SOFR3mo_PX[[#This Row],[Column859]]</f>
        <v>98.575000000000003</v>
      </c>
      <c r="AGB6">
        <f>SOFR3mo_PX[[#This Row],[Column860]]</f>
        <v>98.62</v>
      </c>
      <c r="AGC6">
        <f>SOFR3mo_PX[[#This Row],[Column861]]</f>
        <v>98.685000000000002</v>
      </c>
      <c r="AGD6">
        <f>SOFR3mo_PX[[#This Row],[Column862]]</f>
        <v>98.724999999999994</v>
      </c>
      <c r="AGE6">
        <f>SOFR3mo_PX[[#This Row],[Column863]]</f>
        <v>98.685000000000002</v>
      </c>
      <c r="AGF6">
        <f>SOFR3mo_PX[[#This Row],[Column864]]</f>
        <v>98.71</v>
      </c>
      <c r="AGG6">
        <f>SOFR3mo_PX[[#This Row],[Column865]]</f>
        <v>98.99</v>
      </c>
      <c r="AGH6">
        <f>SOFR3mo_PX[[#This Row],[Column866]]</f>
        <v>98.82</v>
      </c>
      <c r="AGI6">
        <f>SOFR3mo_PX[[#This Row],[Column867]]</f>
        <v>98.62</v>
      </c>
      <c r="AGJ6">
        <f>SOFR3mo_PX[[#This Row],[Column868]]</f>
        <v>98.64</v>
      </c>
      <c r="AGK6">
        <f>SOFR3mo_PX[[#This Row],[Column869]]</f>
        <v>98.55</v>
      </c>
      <c r="AGL6">
        <f>SOFR3mo_PX[[#This Row],[Column870]]</f>
        <v>98.555000000000007</v>
      </c>
      <c r="AGM6">
        <f>SOFR3mo_PX[[#This Row],[Column871]]</f>
        <v>98.67</v>
      </c>
      <c r="AGN6">
        <f>SOFR3mo_PX[[#This Row],[Column872]]</f>
        <v>98.67</v>
      </c>
      <c r="AGO6">
        <f>SOFR3mo_PX[[#This Row],[Column873]]</f>
        <v>98.635000000000005</v>
      </c>
      <c r="AGP6">
        <f>SOFR3mo_PX[[#This Row],[Column874]]</f>
        <v>98.59</v>
      </c>
      <c r="AGQ6">
        <f>SOFR3mo_PX[[#This Row],[Column875]]</f>
        <v>98.534999999999997</v>
      </c>
      <c r="AGR6">
        <f>SOFR3mo_PX[[#This Row],[Column876]]</f>
        <v>98.474999999999994</v>
      </c>
      <c r="AGS6">
        <f>SOFR3mo_PX[[#This Row],[Column877]]</f>
        <v>98.545000000000002</v>
      </c>
      <c r="AGT6">
        <f>SOFR3mo_PX[[#This Row],[Column878]]</f>
        <v>98.51</v>
      </c>
      <c r="AGU6">
        <f>SOFR3mo_PX[[#This Row],[Column879]]</f>
        <v>98.78</v>
      </c>
      <c r="AGV6">
        <f>SOFR3mo_PX[[#This Row],[Column880]]</f>
        <v>98.784999999999997</v>
      </c>
      <c r="AGW6">
        <f>SOFR3mo_PX[[#This Row],[Column881]]</f>
        <v>98.82</v>
      </c>
      <c r="AGX6">
        <f>SOFR3mo_PX[[#This Row],[Column882]]</f>
        <v>98.79</v>
      </c>
      <c r="AGY6">
        <f>SOFR3mo_PX[[#This Row],[Column883]]</f>
        <v>98.915000000000006</v>
      </c>
      <c r="AGZ6">
        <f>SOFR3mo_PX[[#This Row],[Column884]]</f>
        <v>98.944999999999993</v>
      </c>
      <c r="AHA6">
        <f>SOFR3mo_PX[[#This Row],[Column885]]</f>
        <v>98.924999999999997</v>
      </c>
      <c r="AHB6">
        <f>SOFR3mo_PX[[#This Row],[Column886]]</f>
        <v>98.91</v>
      </c>
      <c r="AHC6">
        <f>SOFR3mo_PX[[#This Row],[Column887]]</f>
        <v>98.93</v>
      </c>
      <c r="AHD6">
        <f>SOFR3mo_PX[[#This Row],[Column888]]</f>
        <v>98.93</v>
      </c>
      <c r="AHE6">
        <f>SOFR3mo_PX[[#This Row],[Column889]]</f>
        <v>99.045000000000002</v>
      </c>
      <c r="AHF6">
        <f>SOFR3mo_PX[[#This Row],[Column890]]</f>
        <v>99.12</v>
      </c>
      <c r="AHG6">
        <f>SOFR3mo_PX[[#This Row],[Column891]]</f>
        <v>99.165000000000006</v>
      </c>
      <c r="AHH6">
        <f>SOFR3mo_PX[[#This Row],[Column892]]</f>
        <v>99.125</v>
      </c>
      <c r="AHI6">
        <f>SOFR3mo_PX[[#This Row],[Column893]]</f>
        <v>99.07</v>
      </c>
      <c r="AHJ6">
        <f>SOFR3mo_PX[[#This Row],[Column894]]</f>
        <v>99.105000000000004</v>
      </c>
      <c r="AHK6">
        <f>SOFR3mo_PX[[#This Row],[Column895]]</f>
        <v>99.084999999999994</v>
      </c>
      <c r="AHL6">
        <f>SOFR3mo_PX[[#This Row],[Column896]]</f>
        <v>99.17</v>
      </c>
      <c r="AHM6">
        <f>SOFR3mo_PX[[#This Row],[Column897]]</f>
        <v>99.17</v>
      </c>
      <c r="AHN6">
        <f>SOFR3mo_PX[[#This Row],[Column898]]</f>
        <v>99.23</v>
      </c>
      <c r="AHO6">
        <f>SOFR3mo_PX[[#This Row],[Column899]]</f>
        <v>99.23</v>
      </c>
      <c r="AHP6">
        <f>SOFR3mo_PX[[#This Row],[Column900]]</f>
        <v>99.245000000000005</v>
      </c>
      <c r="AHQ6">
        <f>SOFR3mo_PX[[#This Row],[Column901]]</f>
        <v>99.24</v>
      </c>
      <c r="AHR6">
        <f>SOFR3mo_PX[[#This Row],[Column902]]</f>
        <v>99.275000000000006</v>
      </c>
      <c r="AHS6">
        <f>SOFR3mo_PX[[#This Row],[Column903]]</f>
        <v>99.245000000000005</v>
      </c>
      <c r="AHT6">
        <f>SOFR3mo_PX[[#This Row],[Column904]]</f>
        <v>99.28</v>
      </c>
      <c r="AHU6">
        <f>SOFR3mo_PX[[#This Row],[Column905]]</f>
        <v>99.344999999999999</v>
      </c>
      <c r="AHV6">
        <f>SOFR3mo_PX[[#This Row],[Column906]]</f>
        <v>99.32</v>
      </c>
      <c r="AHW6">
        <f>SOFR3mo_PX[[#This Row],[Column907]]</f>
        <v>99.344999999999999</v>
      </c>
      <c r="AHX6">
        <f>SOFR3mo_PX[[#This Row],[Column908]]</f>
        <v>99.34</v>
      </c>
      <c r="AHY6">
        <f>SOFR3mo_PX[[#This Row],[Column909]]</f>
        <v>99.32</v>
      </c>
      <c r="AHZ6">
        <f>SOFR3mo_PX[[#This Row],[Column910]]</f>
        <v>99.334999999999994</v>
      </c>
      <c r="AIA6">
        <f>SOFR3mo_PX[[#This Row],[Column911]]</f>
        <v>99.34</v>
      </c>
      <c r="AIB6">
        <f>SOFR3mo_PX[[#This Row],[Column912]]</f>
        <v>99.36</v>
      </c>
      <c r="AIC6">
        <f>SOFR3mo_PX[[#This Row],[Column913]]</f>
        <v>99.36</v>
      </c>
      <c r="AID6">
        <f>SOFR3mo_PX[[#This Row],[Column914]]</f>
        <v>99.38</v>
      </c>
      <c r="AIE6">
        <f>SOFR3mo_PX[[#This Row],[Column915]]</f>
        <v>99.38</v>
      </c>
      <c r="AIF6">
        <f>SOFR3mo_PX[[#This Row],[Column916]]</f>
        <v>99.415000000000006</v>
      </c>
      <c r="AIG6">
        <f>SOFR3mo_PX[[#This Row],[Column917]]</f>
        <v>99.4</v>
      </c>
      <c r="AIH6">
        <f>SOFR3mo_PX[[#This Row],[Column918]]</f>
        <v>99.43</v>
      </c>
      <c r="AII6">
        <f>SOFR3mo_PX[[#This Row],[Column919]]</f>
        <v>99.394999999999996</v>
      </c>
      <c r="AIJ6">
        <f>SOFR3mo_PX[[#This Row],[Column920]]</f>
        <v>99.63</v>
      </c>
      <c r="AIK6">
        <f>SOFR3mo_PX[[#This Row],[Column921]]</f>
        <v>99.655000000000001</v>
      </c>
      <c r="AIL6">
        <f>SOFR3mo_PX[[#This Row],[Column922]]</f>
        <v>99.64</v>
      </c>
      <c r="AIM6">
        <f>SOFR3mo_PX[[#This Row],[Column923]]</f>
        <v>99.64</v>
      </c>
      <c r="AIN6">
        <f>SOFR3mo_PX[[#This Row],[Column924]]</f>
        <v>99.644999999999996</v>
      </c>
      <c r="AIO6">
        <f>SOFR3mo_PX[[#This Row],[Column925]]</f>
        <v>99.63</v>
      </c>
      <c r="AIP6">
        <f>SOFR3mo_PX[[#This Row],[Column926]]</f>
        <v>99.665000000000006</v>
      </c>
      <c r="AIQ6">
        <f>SOFR3mo_PX[[#This Row],[Column927]]</f>
        <v>99.694999999999993</v>
      </c>
      <c r="AIR6">
        <f>SOFR3mo_PX[[#This Row],[Column928]]</f>
        <v>99.674999999999997</v>
      </c>
      <c r="AIS6">
        <f>SOFR3mo_PX[[#This Row],[Column929]]</f>
        <v>99.704999999999998</v>
      </c>
      <c r="AIT6">
        <f>SOFR3mo_PX[[#This Row],[Column930]]</f>
        <v>99.724999999999994</v>
      </c>
      <c r="AIU6">
        <f>SOFR3mo_PX[[#This Row],[Column931]]</f>
        <v>99.754999999999995</v>
      </c>
      <c r="AIV6">
        <f>SOFR3mo_PX[[#This Row],[Column932]]</f>
        <v>99.75</v>
      </c>
      <c r="AIW6">
        <f>SOFR3mo_PX[[#This Row],[Column933]]</f>
        <v>99.644999999999996</v>
      </c>
      <c r="AIX6">
        <f>SOFR3mo_PX[[#This Row],[Column934]]</f>
        <v>99.644999999999996</v>
      </c>
      <c r="AIY6">
        <f>SOFR3mo_PX[[#This Row],[Column935]]</f>
        <v>99.674999999999997</v>
      </c>
      <c r="AIZ6">
        <f>SOFR3mo_PX[[#This Row],[Column936]]</f>
        <v>99.67</v>
      </c>
      <c r="AJA6">
        <f>SOFR3mo_PX[[#This Row],[Column937]]</f>
        <v>99.73</v>
      </c>
      <c r="AJB6">
        <f>SOFR3mo_PX[[#This Row],[Column938]]</f>
        <v>99.74</v>
      </c>
      <c r="AJC6">
        <f>SOFR3mo_PX[[#This Row],[Column939]]</f>
        <v>99.734999999999999</v>
      </c>
      <c r="AJD6">
        <f>SOFR3mo_PX[[#This Row],[Column940]]</f>
        <v>99.72</v>
      </c>
      <c r="AJE6">
        <f>SOFR3mo_PX[[#This Row],[Column941]]</f>
        <v>99.715000000000003</v>
      </c>
      <c r="AJF6">
        <f>SOFR3mo_PX[[#This Row],[Column942]]</f>
        <v>99.71</v>
      </c>
      <c r="AJG6">
        <f>SOFR3mo_PX[[#This Row],[Column943]]</f>
        <v>99.71</v>
      </c>
      <c r="AJH6">
        <f>SOFR3mo_PX[[#This Row],[Column944]]</f>
        <v>99.74</v>
      </c>
      <c r="AJI6">
        <f>SOFR3mo_PX[[#This Row],[Column945]]</f>
        <v>99.79</v>
      </c>
      <c r="AJJ6">
        <f>SOFR3mo_PX[[#This Row],[Column946]]</f>
        <v>99.765000000000001</v>
      </c>
      <c r="AJK6">
        <f>SOFR3mo_PX[[#This Row],[Column947]]</f>
        <v>99.795000000000002</v>
      </c>
      <c r="AJL6">
        <f>SOFR3mo_PX[[#This Row],[Column948]]</f>
        <v>99.775000000000006</v>
      </c>
      <c r="AJM6">
        <f>SOFR3mo_PX[[#This Row],[Column949]]</f>
        <v>99.74</v>
      </c>
      <c r="AJN6">
        <f>SOFR3mo_PX[[#This Row],[Column950]]</f>
        <v>99.76</v>
      </c>
      <c r="AJO6">
        <f>SOFR3mo_PX[[#This Row],[Column951]]</f>
        <v>99.715000000000003</v>
      </c>
      <c r="AJP6">
        <f>SOFR3mo_PX[[#This Row],[Column952]]</f>
        <v>99.72</v>
      </c>
      <c r="AJQ6">
        <f>SOFR3mo_PX[[#This Row],[Column953]]</f>
        <v>99.72</v>
      </c>
      <c r="AJR6">
        <f>SOFR3mo_PX[[#This Row],[Column954]]</f>
        <v>99.734999999999999</v>
      </c>
      <c r="AJS6">
        <f>SOFR3mo_PX[[#This Row],[Column955]]</f>
        <v>99.754999999999995</v>
      </c>
      <c r="AJT6">
        <f>SOFR3mo_PX[[#This Row],[Column956]]</f>
        <v>99.765000000000001</v>
      </c>
      <c r="AJU6">
        <f>SOFR3mo_PX[[#This Row],[Column957]]</f>
        <v>99.74</v>
      </c>
      <c r="AJV6">
        <f>SOFR3mo_PX[[#This Row],[Column958]]</f>
        <v>99.775000000000006</v>
      </c>
      <c r="AJW6">
        <f>SOFR3mo_PX[[#This Row],[Column959]]</f>
        <v>99.814999999999998</v>
      </c>
      <c r="AJX6">
        <f>SOFR3mo_PX[[#This Row],[Column960]]</f>
        <v>99.814999999999998</v>
      </c>
      <c r="AJY6">
        <f>SOFR3mo_PX[[#This Row],[Column961]]</f>
        <v>99.8</v>
      </c>
      <c r="AJZ6">
        <f>SOFR3mo_PX[[#This Row],[Column962]]</f>
        <v>99.805000000000007</v>
      </c>
      <c r="AKA6">
        <f>SOFR3mo_PX[[#This Row],[Column963]]</f>
        <v>99.834999999999994</v>
      </c>
      <c r="AKB6">
        <f>SOFR3mo_PX[[#This Row],[Column964]]</f>
        <v>99.83</v>
      </c>
      <c r="AKC6">
        <f>SOFR3mo_PX[[#This Row],[Column965]]</f>
        <v>99.85</v>
      </c>
      <c r="AKD6">
        <f>SOFR3mo_PX[[#This Row],[Column966]]</f>
        <v>99.855000000000004</v>
      </c>
      <c r="AKE6">
        <f>SOFR3mo_PX[[#This Row],[Column967]]</f>
        <v>99.875</v>
      </c>
      <c r="AKF6">
        <f>SOFR3mo_PX[[#This Row],[Column968]]</f>
        <v>99.89</v>
      </c>
      <c r="AKG6">
        <f>SOFR3mo_PX[[#This Row],[Column969]]</f>
        <v>99.894999999999996</v>
      </c>
      <c r="AKH6">
        <f>SOFR3mo_PX[[#This Row],[Column970]]</f>
        <v>99.9</v>
      </c>
      <c r="AKI6">
        <f>SOFR3mo_PX[[#This Row],[Column971]]</f>
        <v>99.905000000000001</v>
      </c>
      <c r="AKJ6">
        <f>SOFR3mo_PX[[#This Row],[Column972]]</f>
        <v>99.905000000000001</v>
      </c>
      <c r="AKK6">
        <f>SOFR3mo_PX[[#This Row],[Column973]]</f>
        <v>99.9</v>
      </c>
      <c r="AKL6">
        <f>SOFR3mo_PX[[#This Row],[Column974]]</f>
        <v>99.894999999999996</v>
      </c>
      <c r="AKM6">
        <f>SOFR3mo_PX[[#This Row],[Column975]]</f>
        <v>99.894999999999996</v>
      </c>
      <c r="AKN6">
        <f>SOFR3mo_PX[[#This Row],[Column976]]</f>
        <v>99.894999999999996</v>
      </c>
      <c r="AKO6">
        <f>SOFR3mo_PX[[#This Row],[Column977]]</f>
        <v>99.905000000000001</v>
      </c>
      <c r="AKP6">
        <f>SOFR3mo_PX[[#This Row],[Column978]]</f>
        <v>99.915000000000006</v>
      </c>
      <c r="AKQ6">
        <f>SOFR3mo_PX[[#This Row],[Column979]]</f>
        <v>99.92</v>
      </c>
      <c r="AKR6">
        <f>SOFR3mo_PX[[#This Row],[Column980]]</f>
        <v>99.93</v>
      </c>
      <c r="AKS6">
        <f>SOFR3mo_PX[[#This Row],[Column981]]</f>
        <v>99.93</v>
      </c>
      <c r="AKT6">
        <f>SOFR3mo_PX[[#This Row],[Column982]]</f>
        <v>99.924999999999997</v>
      </c>
      <c r="AKU6">
        <f>SOFR3mo_PX[[#This Row],[Column983]]</f>
        <v>99.93</v>
      </c>
      <c r="AKV6">
        <f>SOFR3mo_PX[[#This Row],[Column984]]</f>
        <v>99.93</v>
      </c>
      <c r="AKW6">
        <f>SOFR3mo_PX[[#This Row],[Column985]]</f>
        <v>99.95</v>
      </c>
      <c r="AKX6">
        <f>SOFR3mo_PX[[#This Row],[Column986]]</f>
        <v>99.95</v>
      </c>
      <c r="AKY6">
        <f>SOFR3mo_PX[[#This Row],[Column987]]</f>
        <v>99.95</v>
      </c>
      <c r="AKZ6">
        <f>SOFR3mo_PX[[#This Row],[Column988]]</f>
        <v>99.944999999999993</v>
      </c>
      <c r="ALA6">
        <f>SOFR3mo_PX[[#This Row],[Column989]]</f>
        <v>99.944999999999993</v>
      </c>
      <c r="ALB6">
        <f>SOFR3mo_PX[[#This Row],[Column990]]</f>
        <v>99.944999999999993</v>
      </c>
      <c r="ALC6">
        <f>SOFR3mo_PX[[#This Row],[Column991]]</f>
        <v>99.95</v>
      </c>
      <c r="ALD6">
        <f>SOFR3mo_PX[[#This Row],[Column992]]</f>
        <v>99.95</v>
      </c>
      <c r="ALE6">
        <f>SOFR3mo_PX[[#This Row],[Column993]]</f>
        <v>99.944999999999993</v>
      </c>
      <c r="ALF6">
        <f>SOFR3mo_PX[[#This Row],[Column994]]</f>
        <v>99.95</v>
      </c>
      <c r="ALG6">
        <f>SOFR3mo_PX[[#This Row],[Column995]]</f>
        <v>99.95</v>
      </c>
      <c r="ALH6">
        <f>SOFR3mo_PX[[#This Row],[Column996]]</f>
        <v>99.95</v>
      </c>
      <c r="ALI6">
        <f>SOFR3mo_PX[[#This Row],[Column997]]</f>
        <v>99.95</v>
      </c>
      <c r="ALJ6">
        <f>SOFR3mo_PX[[#This Row],[Column998]]</f>
        <v>99.94</v>
      </c>
      <c r="ALK6">
        <f>SOFR3mo_PX[[#This Row],[Column999]]</f>
        <v>99.935000000000002</v>
      </c>
      <c r="ALL6">
        <f>SOFR3mo_PX[[#This Row],[Column1000]]</f>
        <v>99.94</v>
      </c>
      <c r="ALM6">
        <f>SOFR3mo_PX[[#This Row],[Column1001]]</f>
        <v>99.94</v>
      </c>
      <c r="ALN6">
        <f>SOFR3mo_PX[[#This Row],[Column1002]]</f>
        <v>99.94</v>
      </c>
      <c r="ALO6">
        <f>SOFR3mo_PX[[#This Row],[Column1003]]</f>
        <v>99.94</v>
      </c>
      <c r="ALP6">
        <f>SOFR3mo_PX[[#This Row],[Column1004]]</f>
        <v>99.944999999999993</v>
      </c>
      <c r="ALQ6">
        <f>SOFR3mo_PX[[#This Row],[Column1005]]</f>
        <v>99.94</v>
      </c>
      <c r="ALR6">
        <f>SOFR3mo_PX[[#This Row],[Column1006]]</f>
        <v>99.935000000000002</v>
      </c>
      <c r="ALS6">
        <f>SOFR3mo_PX[[#This Row],[Column1007]]</f>
        <v>99.94</v>
      </c>
      <c r="ALT6">
        <f>SOFR3mo_PX[[#This Row],[Column1008]]</f>
        <v>99.94</v>
      </c>
      <c r="ALU6">
        <f>SOFR3mo_PX[[#This Row],[Column1009]]</f>
        <v>99.94</v>
      </c>
      <c r="ALV6">
        <f>SOFR3mo_PX[[#This Row],[Column1010]]</f>
        <v>99.935000000000002</v>
      </c>
      <c r="ALW6">
        <f>SOFR3mo_PX[[#This Row],[Column1011]]</f>
        <v>99.944999999999993</v>
      </c>
      <c r="ALX6">
        <f>SOFR3mo_PX[[#This Row],[Column1012]]</f>
        <v>99.944999999999993</v>
      </c>
      <c r="ALY6">
        <f>SOFR3mo_PX[[#This Row],[Column1013]]</f>
        <v>99.944999999999993</v>
      </c>
      <c r="ALZ6">
        <f>SOFR3mo_PX[[#This Row],[Column1014]]</f>
        <v>99.95</v>
      </c>
      <c r="AMA6">
        <f>SOFR3mo_PX[[#This Row],[Column1015]]</f>
        <v>99.95</v>
      </c>
      <c r="AMB6">
        <f>SOFR3mo_PX[[#This Row],[Column1016]]</f>
        <v>99.95</v>
      </c>
      <c r="AMC6">
        <f>SOFR3mo_PX[[#This Row],[Column1017]]</f>
        <v>99.944999999999993</v>
      </c>
      <c r="AMD6">
        <f>SOFR3mo_PX[[#This Row],[Column1018]]</f>
        <v>99.94</v>
      </c>
      <c r="AME6">
        <f>SOFR3mo_PX[[#This Row],[Column1019]]</f>
        <v>99.94</v>
      </c>
      <c r="AMF6">
        <f>SOFR3mo_PX[[#This Row],[Column1020]]</f>
        <v>99.94</v>
      </c>
      <c r="AMG6">
        <f>SOFR3mo_PX[[#This Row],[Column1021]]</f>
        <v>99.93</v>
      </c>
      <c r="AMH6">
        <f>SOFR3mo_PX[[#This Row],[Column1022]]</f>
        <v>99.93</v>
      </c>
      <c r="AMI6">
        <f>SOFR3mo_PX[[#This Row],[Column1023]]</f>
        <v>99.935000000000002</v>
      </c>
      <c r="AMJ6">
        <f>SOFR3mo_PX[[#This Row],[Column1024]]</f>
        <v>99.93</v>
      </c>
      <c r="AMK6">
        <f>SOFR3mo_PX[[#This Row],[Column1025]]</f>
        <v>99.935000000000002</v>
      </c>
      <c r="AML6">
        <f>SOFR3mo_PX[[#This Row],[Column1026]]</f>
        <v>99.924999999999997</v>
      </c>
      <c r="AMM6">
        <f>SOFR3mo_PX[[#This Row],[Column1027]]</f>
        <v>99.93</v>
      </c>
      <c r="AMN6">
        <f>SOFR3mo_PX[[#This Row],[Column1028]]</f>
        <v>99.93</v>
      </c>
      <c r="AMO6">
        <f>SOFR3mo_PX[[#This Row],[Column1029]]</f>
        <v>99.924999999999997</v>
      </c>
      <c r="AMP6">
        <f>SOFR3mo_PX[[#This Row],[Column1030]]</f>
        <v>99.92</v>
      </c>
      <c r="AMQ6">
        <f>SOFR3mo_PX[[#This Row],[Column1031]]</f>
        <v>99.93</v>
      </c>
      <c r="AMR6">
        <f>SOFR3mo_PX[[#This Row],[Column1032]]</f>
        <v>99.935000000000002</v>
      </c>
      <c r="AMS6">
        <f>SOFR3mo_PX[[#This Row],[Column1033]]</f>
        <v>99.94</v>
      </c>
      <c r="AMT6">
        <f>SOFR3mo_PX[[#This Row],[Column1034]]</f>
        <v>99.935000000000002</v>
      </c>
      <c r="AMU6">
        <f>SOFR3mo_PX[[#This Row],[Column1035]]</f>
        <v>99.935000000000002</v>
      </c>
      <c r="AMV6">
        <f>SOFR3mo_PX[[#This Row],[Column1036]]</f>
        <v>99.924999999999997</v>
      </c>
      <c r="AMW6">
        <f>SOFR3mo_PX[[#This Row],[Column1037]]</f>
        <v>99.924999999999997</v>
      </c>
      <c r="AMX6">
        <f>SOFR3mo_PX[[#This Row],[Column1038]]</f>
        <v>99.915000000000006</v>
      </c>
      <c r="AMY6">
        <f>SOFR3mo_PX[[#This Row],[Column1039]]</f>
        <v>99.92</v>
      </c>
      <c r="AMZ6">
        <f>SOFR3mo_PX[[#This Row],[Column1040]]</f>
        <v>99.92</v>
      </c>
      <c r="ANA6">
        <f>SOFR3mo_PX[[#This Row],[Column1041]]</f>
        <v>99.92</v>
      </c>
      <c r="ANB6">
        <f>SOFR3mo_PX[[#This Row],[Column1042]]</f>
        <v>99.91</v>
      </c>
      <c r="ANC6">
        <f>SOFR3mo_PX[[#This Row],[Column1043]]</f>
        <v>99.91</v>
      </c>
      <c r="AND6">
        <f>SOFR3mo_PX[[#This Row],[Column1044]]</f>
        <v>99.915000000000006</v>
      </c>
      <c r="ANE6">
        <f>SOFR3mo_PX[[#This Row],[Column1045]]</f>
        <v>99.924999999999997</v>
      </c>
      <c r="ANF6">
        <f>SOFR3mo_PX[[#This Row],[Column1046]]</f>
        <v>99.91</v>
      </c>
      <c r="ANG6">
        <f>SOFR3mo_PX[[#This Row],[Column1047]]</f>
        <v>99.915000000000006</v>
      </c>
      <c r="ANH6">
        <f>SOFR3mo_PX[[#This Row],[Column1048]]</f>
        <v>99.935000000000002</v>
      </c>
      <c r="ANI6">
        <f>SOFR3mo_PX[[#This Row],[Column1049]]</f>
        <v>99.935000000000002</v>
      </c>
      <c r="ANJ6">
        <f>SOFR3mo_PX[[#This Row],[Column1050]]</f>
        <v>99.954999999999998</v>
      </c>
      <c r="ANK6">
        <f>SOFR3mo_PX[[#This Row],[Column1051]]</f>
        <v>99.954999999999998</v>
      </c>
      <c r="ANL6">
        <f>SOFR3mo_PX[[#This Row],[Column1052]]</f>
        <v>99.96</v>
      </c>
      <c r="ANM6">
        <f>SOFR3mo_PX[[#This Row],[Column1053]]</f>
        <v>99.96</v>
      </c>
      <c r="ANN6">
        <f>SOFR3mo_PX[[#This Row],[Column1054]]</f>
        <v>99.96</v>
      </c>
      <c r="ANO6">
        <f>SOFR3mo_PX[[#This Row],[Column1055]]</f>
        <v>99.96</v>
      </c>
      <c r="ANP6">
        <f>SOFR3mo_PX[[#This Row],[Column1056]]</f>
        <v>99.96</v>
      </c>
      <c r="ANQ6">
        <f>SOFR3mo_PX[[#This Row],[Column1057]]</f>
        <v>99.96</v>
      </c>
      <c r="ANR6">
        <f>SOFR3mo_PX[[#This Row],[Column1058]]</f>
        <v>99.96</v>
      </c>
      <c r="ANS6">
        <f>SOFR3mo_PX[[#This Row],[Column1059]]</f>
        <v>99.96</v>
      </c>
      <c r="ANT6">
        <f>SOFR3mo_PX[[#This Row],[Column1060]]</f>
        <v>99.96</v>
      </c>
      <c r="ANU6">
        <f>SOFR3mo_PX[[#This Row],[Column1061]]</f>
        <v>99.965000000000003</v>
      </c>
      <c r="ANV6">
        <f>SOFR3mo_PX[[#This Row],[Column1062]]</f>
        <v>99.965000000000003</v>
      </c>
      <c r="ANW6">
        <f>SOFR3mo_PX[[#This Row],[Column1063]]</f>
        <v>99.965000000000003</v>
      </c>
      <c r="ANX6">
        <f>SOFR3mo_PX[[#This Row],[Column1064]]</f>
        <v>99.965000000000003</v>
      </c>
      <c r="ANY6">
        <f>SOFR3mo_PX[[#This Row],[Column1065]]</f>
        <v>99.96</v>
      </c>
      <c r="ANZ6">
        <f>SOFR3mo_PX[[#This Row],[Column1066]]</f>
        <v>99.96</v>
      </c>
      <c r="AOA6">
        <f>SOFR3mo_PX[[#This Row],[Column1067]]</f>
        <v>99.954999999999998</v>
      </c>
      <c r="AOB6">
        <f>SOFR3mo_PX[[#This Row],[Column1068]]</f>
        <v>99.954999999999998</v>
      </c>
      <c r="AOC6">
        <f>SOFR3mo_PX[[#This Row],[Column1069]]</f>
        <v>99.954999999999998</v>
      </c>
      <c r="AOD6">
        <f>SOFR3mo_PX[[#This Row],[Column1070]]</f>
        <v>99.954999999999998</v>
      </c>
      <c r="AOE6">
        <f>SOFR3mo_PX[[#This Row],[Column1071]]</f>
        <v>99.954999999999998</v>
      </c>
      <c r="AOF6">
        <f>SOFR3mo_PX[[#This Row],[Column1072]]</f>
        <v>99.95</v>
      </c>
      <c r="AOG6">
        <f>SOFR3mo_PX[[#This Row],[Column1073]]</f>
        <v>99.954999999999998</v>
      </c>
      <c r="AOH6">
        <f>SOFR3mo_PX[[#This Row],[Column1074]]</f>
        <v>99.95</v>
      </c>
      <c r="AOI6">
        <f>SOFR3mo_PX[[#This Row],[Column1075]]</f>
        <v>99.944999999999993</v>
      </c>
      <c r="AOJ6">
        <f>SOFR3mo_PX[[#This Row],[Column1076]]</f>
        <v>99.944999999999993</v>
      </c>
      <c r="AOK6">
        <f>SOFR3mo_PX[[#This Row],[Column1077]]</f>
        <v>99.95</v>
      </c>
      <c r="AOL6">
        <f>SOFR3mo_PX[[#This Row],[Column1078]]</f>
        <v>99.95</v>
      </c>
      <c r="AOM6">
        <f>SOFR3mo_PX[[#This Row],[Column1079]]</f>
        <v>99.95</v>
      </c>
      <c r="AON6">
        <f>SOFR3mo_PX[[#This Row],[Column1080]]</f>
        <v>99.944999999999993</v>
      </c>
      <c r="AOO6">
        <f>SOFR3mo_PX[[#This Row],[Column1081]]</f>
        <v>99.94</v>
      </c>
      <c r="AOP6">
        <f>SOFR3mo_PX[[#This Row],[Column1082]]</f>
        <v>99.94</v>
      </c>
      <c r="AOQ6">
        <f>SOFR3mo_PX[[#This Row],[Column1083]]</f>
        <v>99.94</v>
      </c>
      <c r="AOR6">
        <f>SOFR3mo_PX[[#This Row],[Column1084]]</f>
        <v>99.94</v>
      </c>
      <c r="AOS6">
        <f>SOFR3mo_PX[[#This Row],[Column1085]]</f>
        <v>99.94</v>
      </c>
      <c r="AOT6">
        <f>SOFR3mo_PX[[#This Row],[Column1086]]</f>
        <v>99.94</v>
      </c>
      <c r="AOU6">
        <f>SOFR3mo_PX[[#This Row],[Column1087]]</f>
        <v>99.94</v>
      </c>
      <c r="AOV6">
        <f>SOFR3mo_PX[[#This Row],[Column1088]]</f>
        <v>99.935000000000002</v>
      </c>
      <c r="AOW6">
        <f>SOFR3mo_PX[[#This Row],[Column1089]]</f>
        <v>99.935000000000002</v>
      </c>
      <c r="AOX6">
        <f>SOFR3mo_PX[[#This Row],[Column1090]]</f>
        <v>99.935000000000002</v>
      </c>
      <c r="AOY6">
        <f>SOFR3mo_PX[[#This Row],[Column1091]]</f>
        <v>99.935000000000002</v>
      </c>
      <c r="AOZ6">
        <f>SOFR3mo_PX[[#This Row],[Column1092]]</f>
        <v>99.935000000000002</v>
      </c>
      <c r="APA6">
        <f>SOFR3mo_PX[[#This Row],[Column1093]]</f>
        <v>99.94</v>
      </c>
      <c r="APB6">
        <f>SOFR3mo_PX[[#This Row],[Column1094]]</f>
        <v>99.94</v>
      </c>
      <c r="APC6">
        <f>SOFR3mo_PX[[#This Row],[Column1095]]</f>
        <v>99.94</v>
      </c>
      <c r="APD6">
        <f>SOFR3mo_PX[[#This Row],[Column1096]]</f>
        <v>99.94</v>
      </c>
      <c r="APE6">
        <f>SOFR3mo_PX[[#This Row],[Column1097]]</f>
        <v>99.94</v>
      </c>
      <c r="APF6">
        <f>SOFR3mo_PX[[#This Row],[Column1098]]</f>
        <v>99.94</v>
      </c>
      <c r="APG6">
        <f>SOFR3mo_PX[[#This Row],[Column1099]]</f>
        <v>99.935000000000002</v>
      </c>
      <c r="APH6">
        <f>SOFR3mo_PX[[#This Row],[Column1100]]</f>
        <v>99.94</v>
      </c>
      <c r="API6">
        <f>SOFR3mo_PX[[#This Row],[Column1101]]</f>
        <v>99.94</v>
      </c>
      <c r="APJ6">
        <f>SOFR3mo_PX[[#This Row],[Column1102]]</f>
        <v>99.93</v>
      </c>
      <c r="APK6">
        <f>SOFR3mo_PX[[#This Row],[Column1103]]</f>
        <v>99.935000000000002</v>
      </c>
      <c r="APL6">
        <f>SOFR3mo_PX[[#This Row],[Column1104]]</f>
        <v>99.935000000000002</v>
      </c>
      <c r="APM6">
        <f>SOFR3mo_PX[[#This Row],[Column1105]]</f>
        <v>99.935000000000002</v>
      </c>
      <c r="APN6">
        <f>SOFR3mo_PX[[#This Row],[Column1106]]</f>
        <v>99.94</v>
      </c>
      <c r="APO6">
        <f>SOFR3mo_PX[[#This Row],[Column1107]]</f>
        <v>99.94</v>
      </c>
      <c r="APP6">
        <f>SOFR3mo_PX[[#This Row],[Column1108]]</f>
        <v>99.94</v>
      </c>
      <c r="APQ6">
        <f>SOFR3mo_PX[[#This Row],[Column1109]]</f>
        <v>99.94</v>
      </c>
      <c r="APR6">
        <f>SOFR3mo_PX[[#This Row],[Column1110]]</f>
        <v>99.94</v>
      </c>
      <c r="APS6">
        <f>SOFR3mo_PX[[#This Row],[Column1111]]</f>
        <v>99.94</v>
      </c>
      <c r="APT6">
        <f>SOFR3mo_PX[[#This Row],[Column1112]]</f>
        <v>99.94</v>
      </c>
      <c r="APU6">
        <f>SOFR3mo_PX[[#This Row],[Column1113]]</f>
        <v>99.93</v>
      </c>
      <c r="APV6">
        <f>SOFR3mo_PX[[#This Row],[Column1114]]</f>
        <v>99.93</v>
      </c>
      <c r="APW6">
        <f>SOFR3mo_PX[[#This Row],[Column1115]]</f>
        <v>99.93</v>
      </c>
      <c r="APX6">
        <f>SOFR3mo_PX[[#This Row],[Column1116]]</f>
        <v>99.935000000000002</v>
      </c>
      <c r="APY6">
        <f>SOFR3mo_PX[[#This Row],[Column1117]]</f>
        <v>99.93</v>
      </c>
      <c r="APZ6">
        <f>SOFR3mo_PX[[#This Row],[Column1118]]</f>
        <v>99.93</v>
      </c>
      <c r="AQA6">
        <f>SOFR3mo_PX[[#This Row],[Column1119]]</f>
        <v>99.935000000000002</v>
      </c>
      <c r="AQB6">
        <f>SOFR3mo_PX[[#This Row],[Column1120]]</f>
        <v>99.94</v>
      </c>
      <c r="AQC6">
        <f>SOFR3mo_PX[[#This Row],[Column1121]]</f>
        <v>99.935000000000002</v>
      </c>
      <c r="AQD6">
        <f>SOFR3mo_PX[[#This Row],[Column1122]]</f>
        <v>99.94</v>
      </c>
      <c r="AQE6">
        <f>SOFR3mo_PX[[#This Row],[Column1123]]</f>
        <v>99.935000000000002</v>
      </c>
      <c r="AQF6">
        <f>SOFR3mo_PX[[#This Row],[Column1124]]</f>
        <v>99.935000000000002</v>
      </c>
      <c r="AQG6">
        <f>SOFR3mo_PX[[#This Row],[Column1125]]</f>
        <v>99.924999999999997</v>
      </c>
      <c r="AQH6">
        <f>SOFR3mo_PX[[#This Row],[Column1126]]</f>
        <v>99.93</v>
      </c>
      <c r="AQI6">
        <f>SOFR3mo_PX[[#This Row],[Column1127]]</f>
        <v>99.935000000000002</v>
      </c>
      <c r="AQJ6">
        <f>SOFR3mo_PX[[#This Row],[Column1128]]</f>
        <v>99.93</v>
      </c>
      <c r="AQK6">
        <f>SOFR3mo_PX[[#This Row],[Column1129]]</f>
        <v>99.93</v>
      </c>
      <c r="AQL6">
        <f>SOFR3mo_PX[[#This Row],[Column1130]]</f>
        <v>99.935000000000002</v>
      </c>
      <c r="AQM6">
        <f>SOFR3mo_PX[[#This Row],[Column1131]]</f>
        <v>99.94</v>
      </c>
      <c r="AQN6">
        <f>SOFR3mo_PX[[#This Row],[Column1132]]</f>
        <v>99.94</v>
      </c>
      <c r="AQO6">
        <f>SOFR3mo_PX[[#This Row],[Column1133]]</f>
        <v>99.944999999999993</v>
      </c>
      <c r="AQP6">
        <f>SOFR3mo_PX[[#This Row],[Column1134]]</f>
        <v>99.944999999999993</v>
      </c>
      <c r="AQQ6">
        <f>SOFR3mo_PX[[#This Row],[Column1135]]</f>
        <v>99.94</v>
      </c>
      <c r="AQR6">
        <f>SOFR3mo_PX[[#This Row],[Column1136]]</f>
        <v>99.944999999999993</v>
      </c>
      <c r="AQS6">
        <f>SOFR3mo_PX[[#This Row],[Column1137]]</f>
        <v>99.944999999999993</v>
      </c>
      <c r="AQT6">
        <f>SOFR3mo_PX[[#This Row],[Column1138]]</f>
        <v>99.944999999999993</v>
      </c>
      <c r="AQU6">
        <f>SOFR3mo_PX[[#This Row],[Column1139]]</f>
        <v>99.944999999999993</v>
      </c>
      <c r="AQV6">
        <f>SOFR3mo_PX[[#This Row],[Column1140]]</f>
        <v>99.944999999999993</v>
      </c>
      <c r="AQW6">
        <f>SOFR3mo_PX[[#This Row],[Column1141]]</f>
        <v>99.944999999999993</v>
      </c>
      <c r="AQX6">
        <f>SOFR3mo_PX[[#This Row],[Column1142]]</f>
        <v>99.944999999999993</v>
      </c>
      <c r="AQY6">
        <f>SOFR3mo_PX[[#This Row],[Column1143]]</f>
        <v>99.944999999999993</v>
      </c>
      <c r="AQZ6">
        <f>SOFR3mo_PX[[#This Row],[Column1144]]</f>
        <v>99.935000000000002</v>
      </c>
      <c r="ARA6">
        <f>SOFR3mo_PX[[#This Row],[Column1145]]</f>
        <v>99.94</v>
      </c>
      <c r="ARB6">
        <f>SOFR3mo_PX[[#This Row],[Column1146]]</f>
        <v>99.94</v>
      </c>
      <c r="ARC6">
        <f>SOFR3mo_PX[[#This Row],[Column1147]]</f>
        <v>99.94</v>
      </c>
      <c r="ARD6">
        <f>SOFR3mo_PX[[#This Row],[Column1148]]</f>
        <v>99.935000000000002</v>
      </c>
      <c r="ARE6">
        <f>SOFR3mo_PX[[#This Row],[Column1149]]</f>
        <v>99.94</v>
      </c>
      <c r="ARF6">
        <f>SOFR3mo_PX[[#This Row],[Column1150]]</f>
        <v>99.935000000000002</v>
      </c>
      <c r="ARG6">
        <f>SOFR3mo_PX[[#This Row],[Column1151]]</f>
        <v>99.94</v>
      </c>
      <c r="ARH6">
        <f>SOFR3mo_PX[[#This Row],[Column1152]]</f>
        <v>99.94</v>
      </c>
      <c r="ARI6">
        <f>SOFR3mo_PX[[#This Row],[Column1153]]</f>
        <v>99.94</v>
      </c>
      <c r="ARJ6">
        <f>SOFR3mo_PX[[#This Row],[Column1154]]</f>
        <v>99.935000000000002</v>
      </c>
      <c r="ARK6">
        <f>SOFR3mo_PX[[#This Row],[Column1155]]</f>
        <v>99.935000000000002</v>
      </c>
      <c r="ARL6">
        <f>SOFR3mo_PX[[#This Row],[Column1156]]</f>
        <v>99.935000000000002</v>
      </c>
      <c r="ARM6">
        <f>SOFR3mo_PX[[#This Row],[Column1157]]</f>
        <v>99.935000000000002</v>
      </c>
      <c r="ARN6">
        <f>SOFR3mo_PX[[#This Row],[Column1158]]</f>
        <v>99.93</v>
      </c>
      <c r="ARO6">
        <f>SOFR3mo_PX[[#This Row],[Column1159]]</f>
        <v>99.93</v>
      </c>
      <c r="ARP6">
        <f>SOFR3mo_PX[[#This Row],[Column1160]]</f>
        <v>99.924999999999997</v>
      </c>
      <c r="ARQ6">
        <f>SOFR3mo_PX[[#This Row],[Column1161]]</f>
        <v>99.93</v>
      </c>
      <c r="ARR6">
        <f>SOFR3mo_PX[[#This Row],[Column1162]]</f>
        <v>99.93</v>
      </c>
      <c r="ARS6">
        <f>SOFR3mo_PX[[#This Row],[Column1163]]</f>
        <v>99.93</v>
      </c>
      <c r="ART6">
        <f>SOFR3mo_PX[[#This Row],[Column1164]]</f>
        <v>99.93</v>
      </c>
      <c r="ARU6">
        <f>SOFR3mo_PX[[#This Row],[Column1165]]</f>
        <v>99.94</v>
      </c>
      <c r="ARV6">
        <f>SOFR3mo_PX[[#This Row],[Column1166]]</f>
        <v>99.944999999999993</v>
      </c>
      <c r="ARW6">
        <f>SOFR3mo_PX[[#This Row],[Column1167]]</f>
        <v>99.94</v>
      </c>
      <c r="ARX6">
        <f>SOFR3mo_PX[[#This Row],[Column1168]]</f>
        <v>99.94</v>
      </c>
      <c r="ARY6">
        <f>SOFR3mo_PX[[#This Row],[Column1169]]</f>
        <v>99.935000000000002</v>
      </c>
      <c r="ARZ6">
        <f>SOFR3mo_PX[[#This Row],[Column1170]]</f>
        <v>99.935000000000002</v>
      </c>
      <c r="ASA6">
        <f>SOFR3mo_PX[[#This Row],[Column1171]]</f>
        <v>99.935000000000002</v>
      </c>
      <c r="ASB6">
        <f>SOFR3mo_PX[[#This Row],[Column1172]]</f>
        <v>99.94</v>
      </c>
      <c r="ASC6">
        <f>SOFR3mo_PX[[#This Row],[Column1173]]</f>
        <v>99.94</v>
      </c>
      <c r="ASD6">
        <f>SOFR3mo_PX[[#This Row],[Column1174]]</f>
        <v>99.935000000000002</v>
      </c>
      <c r="ASE6">
        <f>SOFR3mo_PX[[#This Row],[Column1175]]</f>
        <v>99.935000000000002</v>
      </c>
      <c r="ASF6">
        <f>SOFR3mo_PX[[#This Row],[Column1176]]</f>
        <v>99.94</v>
      </c>
      <c r="ASG6">
        <f>SOFR3mo_PX[[#This Row],[Column1177]]</f>
        <v>99.94</v>
      </c>
      <c r="ASH6">
        <f>SOFR3mo_PX[[#This Row],[Column1178]]</f>
        <v>99.94</v>
      </c>
      <c r="ASI6">
        <f>SOFR3mo_PX[[#This Row],[Column1179]]</f>
        <v>99.944999999999993</v>
      </c>
      <c r="ASJ6">
        <f>SOFR3mo_PX[[#This Row],[Column1180]]</f>
        <v>99.95</v>
      </c>
      <c r="ASK6">
        <f>SOFR3mo_PX[[#This Row],[Column1181]]</f>
        <v>99.95</v>
      </c>
      <c r="ASL6">
        <f>SOFR3mo_PX[[#This Row],[Column1182]]</f>
        <v>99.95</v>
      </c>
      <c r="ASM6">
        <f>SOFR3mo_PX[[#This Row],[Column1183]]</f>
        <v>99.94</v>
      </c>
      <c r="ASN6">
        <f>SOFR3mo_PX[[#This Row],[Column1184]]</f>
        <v>99.94</v>
      </c>
      <c r="ASO6">
        <f>SOFR3mo_PX[[#This Row],[Column1185]]</f>
        <v>99.94</v>
      </c>
      <c r="ASP6">
        <f>SOFR3mo_PX[[#This Row],[Column1186]]</f>
        <v>99.94</v>
      </c>
      <c r="ASQ6">
        <f>SOFR3mo_PX[[#This Row],[Column1187]]</f>
        <v>99.94</v>
      </c>
      <c r="ASR6">
        <f>SOFR3mo_PX[[#This Row],[Column1188]]</f>
        <v>99.935000000000002</v>
      </c>
      <c r="ASS6">
        <f>SOFR3mo_PX[[#This Row],[Column1189]]</f>
        <v>99.935000000000002</v>
      </c>
      <c r="AST6">
        <f>SOFR3mo_PX[[#This Row],[Column1190]]</f>
        <v>99.935000000000002</v>
      </c>
      <c r="ASU6">
        <f>SOFR3mo_PX[[#This Row],[Column1191]]</f>
        <v>99.935000000000002</v>
      </c>
      <c r="ASV6">
        <f>SOFR3mo_PX[[#This Row],[Column1192]]</f>
        <v>99.94</v>
      </c>
      <c r="ASW6">
        <f>SOFR3mo_PX[[#This Row],[Column1193]]</f>
        <v>99.94</v>
      </c>
      <c r="ASX6">
        <f>SOFR3mo_PX[[#This Row],[Column1194]]</f>
        <v>99.94</v>
      </c>
      <c r="ASY6">
        <f>SOFR3mo_PX[[#This Row],[Column1195]]</f>
        <v>99.94</v>
      </c>
      <c r="ASZ6">
        <f>SOFR3mo_PX[[#This Row],[Column1196]]</f>
        <v>99.94</v>
      </c>
      <c r="ATA6">
        <f>SOFR3mo_PX[[#This Row],[Column1197]]</f>
        <v>99.944999999999993</v>
      </c>
      <c r="ATB6">
        <f>SOFR3mo_PX[[#This Row],[Column1198]]</f>
        <v>99.935000000000002</v>
      </c>
      <c r="ATC6">
        <f>SOFR3mo_PX[[#This Row],[Column1199]]</f>
        <v>99.93</v>
      </c>
      <c r="ATD6">
        <f>SOFR3mo_PX[[#This Row],[Column1200]]</f>
        <v>99.93</v>
      </c>
      <c r="ATE6">
        <f>SOFR3mo_PX[[#This Row],[Column1201]]</f>
        <v>99.93</v>
      </c>
      <c r="ATF6">
        <f>SOFR3mo_PX[[#This Row],[Column1202]]</f>
        <v>99.924999999999997</v>
      </c>
      <c r="ATG6">
        <f>SOFR3mo_PX[[#This Row],[Column1203]]</f>
        <v>99.924999999999997</v>
      </c>
      <c r="ATH6">
        <f>SOFR3mo_PX[[#This Row],[Column1204]]</f>
        <v>99.92</v>
      </c>
      <c r="ATI6">
        <f>SOFR3mo_PX[[#This Row],[Column1205]]</f>
        <v>99.924999999999997</v>
      </c>
      <c r="ATJ6">
        <f>SOFR3mo_PX[[#This Row],[Column1206]]</f>
        <v>99.92</v>
      </c>
      <c r="ATK6">
        <f>SOFR3mo_PX[[#This Row],[Column1207]]</f>
        <v>99.935000000000002</v>
      </c>
      <c r="ATL6">
        <f>SOFR3mo_PX[[#This Row],[Column1208]]</f>
        <v>99.94</v>
      </c>
      <c r="ATM6">
        <f>SOFR3mo_PX[[#This Row],[Column1209]]</f>
        <v>99.94</v>
      </c>
      <c r="ATN6">
        <f>SOFR3mo_PX[[#This Row],[Column1210]]</f>
        <v>99.935000000000002</v>
      </c>
      <c r="ATO6">
        <f>SOFR3mo_PX[[#This Row],[Column1211]]</f>
        <v>99.94</v>
      </c>
      <c r="ATP6">
        <f>SOFR3mo_PX[[#This Row],[Column1212]]</f>
        <v>99.944999999999993</v>
      </c>
      <c r="ATQ6">
        <f>SOFR3mo_PX[[#This Row],[Column1213]]</f>
        <v>99.944999999999993</v>
      </c>
      <c r="ATR6">
        <f>SOFR3mo_PX[[#This Row],[Column1214]]</f>
        <v>99.94</v>
      </c>
      <c r="ATS6">
        <f>SOFR3mo_PX[[#This Row],[Column1215]]</f>
        <v>99.94</v>
      </c>
      <c r="ATT6">
        <f>SOFR3mo_PX[[#This Row],[Column1216]]</f>
        <v>99.94</v>
      </c>
      <c r="ATU6">
        <f>SOFR3mo_PX[[#This Row],[Column1217]]</f>
        <v>99.935000000000002</v>
      </c>
      <c r="ATV6">
        <f>SOFR3mo_PX[[#This Row],[Column1218]]</f>
        <v>99.935000000000002</v>
      </c>
      <c r="ATW6">
        <f>SOFR3mo_PX[[#This Row],[Column1219]]</f>
        <v>99.94</v>
      </c>
      <c r="ATX6">
        <f>SOFR3mo_PX[[#This Row],[Column1220]]</f>
        <v>99.94</v>
      </c>
      <c r="ATY6">
        <f>SOFR3mo_PX[[#This Row],[Column1221]]</f>
        <v>99.94</v>
      </c>
      <c r="ATZ6">
        <f>SOFR3mo_PX[[#This Row],[Column1222]]</f>
        <v>99.94</v>
      </c>
      <c r="AUA6">
        <f>SOFR3mo_PX[[#This Row],[Column1223]]</f>
        <v>99.935000000000002</v>
      </c>
      <c r="AUB6">
        <f>SOFR3mo_PX[[#This Row],[Column1224]]</f>
        <v>99.94</v>
      </c>
      <c r="AUC6">
        <f>SOFR3mo_PX[[#This Row],[Column1225]]</f>
        <v>99.94</v>
      </c>
      <c r="AUD6">
        <f>SOFR3mo_PX[[#This Row],[Column1226]]</f>
        <v>99.935000000000002</v>
      </c>
      <c r="AUE6">
        <f>SOFR3mo_PX[[#This Row],[Column1227]]</f>
        <v>99.935000000000002</v>
      </c>
      <c r="AUF6">
        <f>SOFR3mo_PX[[#This Row],[Column1228]]</f>
        <v>99.94</v>
      </c>
      <c r="AUG6">
        <f>SOFR3mo_PX[[#This Row],[Column1229]]</f>
        <v>99.935000000000002</v>
      </c>
      <c r="AUH6">
        <f>SOFR3mo_PX[[#This Row],[Column1230]]</f>
        <v>99.944999999999993</v>
      </c>
      <c r="AUI6">
        <f>SOFR3mo_PX[[#This Row],[Column1231]]</f>
        <v>99.944999999999993</v>
      </c>
      <c r="AUJ6">
        <f>SOFR3mo_PX[[#This Row],[Column1232]]</f>
        <v>99.95</v>
      </c>
      <c r="AUK6">
        <f>SOFR3mo_PX[[#This Row],[Column1233]]</f>
        <v>99.95</v>
      </c>
      <c r="AUL6">
        <f>SOFR3mo_PX[[#This Row],[Column1234]]</f>
        <v>99.96</v>
      </c>
      <c r="AUM6">
        <f>SOFR3mo_PX[[#This Row],[Column1235]]</f>
        <v>99.96</v>
      </c>
      <c r="AUN6">
        <f>SOFR3mo_PX[[#This Row],[Column1236]]</f>
        <v>99.965000000000003</v>
      </c>
      <c r="AUO6">
        <f>SOFR3mo_PX[[#This Row],[Column1237]]</f>
        <v>99.965000000000003</v>
      </c>
      <c r="AUP6">
        <f>SOFR3mo_PX[[#This Row],[Column1238]]</f>
        <v>99.96</v>
      </c>
      <c r="AUQ6">
        <f>SOFR3mo_PX[[#This Row],[Column1239]]</f>
        <v>99.954999999999998</v>
      </c>
      <c r="AUR6">
        <f>SOFR3mo_PX[[#This Row],[Column1240]]</f>
        <v>99.96</v>
      </c>
      <c r="AUS6">
        <f>SOFR3mo_PX[[#This Row],[Column1241]]</f>
        <v>99.954999999999998</v>
      </c>
      <c r="AUT6">
        <f>SOFR3mo_PX[[#This Row],[Column1242]]</f>
        <v>99.954999999999998</v>
      </c>
      <c r="AUU6">
        <f>SOFR3mo_PX[[#This Row],[Column1243]]</f>
        <v>99.965000000000003</v>
      </c>
      <c r="AUV6">
        <f>SOFR3mo_PX[[#This Row],[Column1244]]</f>
        <v>99.965000000000003</v>
      </c>
      <c r="AUW6">
        <f>SOFR3mo_PX[[#This Row],[Column1245]]</f>
        <v>99.954999999999998</v>
      </c>
      <c r="AUX6">
        <f>SOFR3mo_PX[[#This Row],[Column1246]]</f>
        <v>99.954999999999998</v>
      </c>
      <c r="AUY6">
        <f>SOFR3mo_PX[[#This Row],[Column1247]]</f>
        <v>99.96</v>
      </c>
      <c r="AUZ6">
        <f>SOFR3mo_PX[[#This Row],[Column1248]]</f>
        <v>99.95</v>
      </c>
      <c r="AVA6">
        <f>SOFR3mo_PX[[#This Row],[Column1249]]</f>
        <v>99.95</v>
      </c>
      <c r="AVB6">
        <f>SOFR3mo_PX[[#This Row],[Column1250]]</f>
        <v>99.954999999999998</v>
      </c>
      <c r="AVC6">
        <f>SOFR3mo_PX[[#This Row],[Column1251]]</f>
        <v>99.954999999999998</v>
      </c>
      <c r="AVD6">
        <f>SOFR3mo_PX[[#This Row],[Column1252]]</f>
        <v>99.954999999999998</v>
      </c>
      <c r="AVE6">
        <f>SOFR3mo_PX[[#This Row],[Column1253]]</f>
        <v>99.965000000000003</v>
      </c>
      <c r="AVF6">
        <f>SOFR3mo_PX[[#This Row],[Column1254]]</f>
        <v>99.954999999999998</v>
      </c>
      <c r="AVG6">
        <f>SOFR3mo_PX[[#This Row],[Column1255]]</f>
        <v>99.96</v>
      </c>
      <c r="AVH6">
        <f>SOFR3mo_PX[[#This Row],[Column1256]]</f>
        <v>99.965000000000003</v>
      </c>
      <c r="AVI6">
        <f>SOFR3mo_PX[[#This Row],[Column1257]]</f>
        <v>99.965000000000003</v>
      </c>
      <c r="AVJ6">
        <f>SOFR3mo_PX[[#This Row],[Column1258]]</f>
        <v>99.954999999999998</v>
      </c>
      <c r="AVK6">
        <f>SOFR3mo_PX[[#This Row],[Column1259]]</f>
        <v>99.954999999999998</v>
      </c>
      <c r="AVL6">
        <f>SOFR3mo_PX[[#This Row],[Column1260]]</f>
        <v>99.96</v>
      </c>
      <c r="AVM6">
        <f>SOFR3mo_PX[[#This Row],[Column1261]]</f>
        <v>99.965000000000003</v>
      </c>
      <c r="AVN6">
        <f>SOFR3mo_PX[[#This Row],[Column1262]]</f>
        <v>99.965000000000003</v>
      </c>
      <c r="AVO6">
        <f>SOFR3mo_PX[[#This Row],[Column1263]]</f>
        <v>99.965000000000003</v>
      </c>
      <c r="AVP6">
        <f>SOFR3mo_PX[[#This Row],[Column1264]]</f>
        <v>99.965000000000003</v>
      </c>
      <c r="AVQ6">
        <f>SOFR3mo_PX[[#This Row],[Column1265]]</f>
        <v>99.96</v>
      </c>
      <c r="AVR6">
        <f>SOFR3mo_PX[[#This Row],[Column1266]]</f>
        <v>99.96</v>
      </c>
      <c r="AVS6">
        <f>SOFR3mo_PX[[#This Row],[Column1267]]</f>
        <v>99.954999999999998</v>
      </c>
      <c r="AVT6">
        <f>SOFR3mo_PX[[#This Row],[Column1268]]</f>
        <v>99.954999999999998</v>
      </c>
      <c r="AVU6">
        <f>SOFR3mo_PX[[#This Row],[Column1269]]</f>
        <v>99.96</v>
      </c>
      <c r="AVV6">
        <f>SOFR3mo_PX[[#This Row],[Column1270]]</f>
        <v>99.96</v>
      </c>
      <c r="AVW6">
        <f>SOFR3mo_PX[[#This Row],[Column1271]]</f>
        <v>99.97</v>
      </c>
      <c r="AVX6">
        <f>SOFR3mo_PX[[#This Row],[Column1272]]</f>
        <v>99.97</v>
      </c>
      <c r="AVY6">
        <f>SOFR3mo_PX[[#This Row],[Column1273]]</f>
        <v>99.98</v>
      </c>
      <c r="AVZ6">
        <f>SOFR3mo_PX[[#This Row],[Column1274]]</f>
        <v>99.98</v>
      </c>
      <c r="AWA6">
        <f>SOFR3mo_PX[[#This Row],[Column1275]]</f>
        <v>99.984999999999999</v>
      </c>
      <c r="AWB6">
        <f>SOFR3mo_PX[[#This Row],[Column1276]]</f>
        <v>99.984999999999999</v>
      </c>
      <c r="AWC6">
        <f>SOFR3mo_PX[[#This Row],[Column1277]]</f>
        <v>99.984999999999999</v>
      </c>
      <c r="AWD6">
        <f>SOFR3mo_PX[[#This Row],[Column1278]]</f>
        <v>99.984999999999999</v>
      </c>
      <c r="AWE6">
        <f>SOFR3mo_PX[[#This Row],[Column1279]]</f>
        <v>99.98</v>
      </c>
      <c r="AWF6">
        <f>SOFR3mo_PX[[#This Row],[Column1280]]</f>
        <v>99.974999999999994</v>
      </c>
      <c r="AWG6">
        <f>SOFR3mo_PX[[#This Row],[Column1281]]</f>
        <v>99.974999999999994</v>
      </c>
      <c r="AWH6">
        <f>SOFR3mo_PX[[#This Row],[Column1282]]</f>
        <v>99.98</v>
      </c>
      <c r="AWI6">
        <f>SOFR3mo_PX[[#This Row],[Column1283]]</f>
        <v>99.984999999999999</v>
      </c>
      <c r="AWJ6">
        <f>SOFR3mo_PX[[#This Row],[Column1284]]</f>
        <v>99.98</v>
      </c>
      <c r="AWK6">
        <f>SOFR3mo_PX[[#This Row],[Column1285]]</f>
        <v>99.98</v>
      </c>
      <c r="AWL6">
        <f>SOFR3mo_PX[[#This Row],[Column1286]]</f>
        <v>99.98</v>
      </c>
      <c r="AWM6">
        <f>SOFR3mo_PX[[#This Row],[Column1287]]</f>
        <v>99.98</v>
      </c>
      <c r="AWN6">
        <f>SOFR3mo_PX[[#This Row],[Column1288]]</f>
        <v>99.984999999999999</v>
      </c>
      <c r="AWO6">
        <f>SOFR3mo_PX[[#This Row],[Column1289]]</f>
        <v>99.98</v>
      </c>
      <c r="AWP6">
        <f>SOFR3mo_PX[[#This Row],[Column1290]]</f>
        <v>99.984999999999999</v>
      </c>
      <c r="AWQ6">
        <f>SOFR3mo_PX[[#This Row],[Column1291]]</f>
        <v>99.984999999999999</v>
      </c>
      <c r="AWR6">
        <f>SOFR3mo_PX[[#This Row],[Column1292]]</f>
        <v>99.99</v>
      </c>
      <c r="AWS6">
        <f>SOFR3mo_PX[[#This Row],[Column1293]]</f>
        <v>99.99</v>
      </c>
      <c r="AWT6">
        <f>SOFR3mo_PX[[#This Row],[Column1294]]</f>
        <v>99.99</v>
      </c>
      <c r="AWU6">
        <f>SOFR3mo_PX[[#This Row],[Column1295]]</f>
        <v>99.99</v>
      </c>
      <c r="AWV6">
        <f>SOFR3mo_PX[[#This Row],[Column1296]]</f>
        <v>99.99</v>
      </c>
      <c r="AWW6">
        <f>SOFR3mo_PX[[#This Row],[Column1297]]</f>
        <v>99.99</v>
      </c>
      <c r="AWX6">
        <f>SOFR3mo_PX[[#This Row],[Column1298]]</f>
        <v>99.99</v>
      </c>
      <c r="AWY6">
        <f>SOFR3mo_PX[[#This Row],[Column1299]]</f>
        <v>99.99</v>
      </c>
      <c r="AWZ6">
        <f>SOFR3mo_PX[[#This Row],[Column1300]]</f>
        <v>100</v>
      </c>
      <c r="AXA6">
        <f>SOFR3mo_PX[[#This Row],[Column1301]]</f>
        <v>99.99</v>
      </c>
      <c r="AXB6">
        <f>SOFR3mo_PX[[#This Row],[Column1302]]</f>
        <v>99.984999999999999</v>
      </c>
      <c r="AXC6">
        <f>SOFR3mo_PX[[#This Row],[Column1303]]</f>
        <v>99.97</v>
      </c>
      <c r="AXD6">
        <f>SOFR3mo_PX[[#This Row],[Column1304]]</f>
        <v>99.97</v>
      </c>
      <c r="AXE6">
        <f>SOFR3mo_PX[[#This Row],[Column1305]]</f>
        <v>99.97</v>
      </c>
      <c r="AXF6">
        <f>SOFR3mo_PX[[#This Row],[Column1306]]</f>
        <v>99.97</v>
      </c>
      <c r="AXG6">
        <f>SOFR3mo_PX[[#This Row],[Column1307]]</f>
        <v>99.965000000000003</v>
      </c>
      <c r="AXH6">
        <f>SOFR3mo_PX[[#This Row],[Column1308]]</f>
        <v>99.96</v>
      </c>
      <c r="AXI6">
        <f>SOFR3mo_PX[[#This Row],[Column1309]]</f>
        <v>99.954999999999998</v>
      </c>
      <c r="AXJ6">
        <f>SOFR3mo_PX[[#This Row],[Column1310]]</f>
        <v>99.93</v>
      </c>
      <c r="AXK6">
        <f>SOFR3mo_PX[[#This Row],[Column1311]]</f>
        <v>99.935000000000002</v>
      </c>
      <c r="AXL6">
        <f>SOFR3mo_PX[[#This Row],[Column1312]]</f>
        <v>99.935000000000002</v>
      </c>
      <c r="AXM6">
        <f>SOFR3mo_PX[[#This Row],[Column1313]]</f>
        <v>99.954999999999998</v>
      </c>
      <c r="AXN6">
        <f>SOFR3mo_PX[[#This Row],[Column1314]]</f>
        <v>99.944999999999993</v>
      </c>
      <c r="AXO6">
        <f>SOFR3mo_PX[[#This Row],[Column1315]]</f>
        <v>99.93</v>
      </c>
      <c r="AXP6">
        <f>SOFR3mo_PX[[#This Row],[Column1316]]</f>
        <v>99.924999999999997</v>
      </c>
      <c r="AXQ6">
        <f>SOFR3mo_PX[[#This Row],[Column1317]]</f>
        <v>99.93</v>
      </c>
      <c r="AXR6">
        <f>SOFR3mo_PX[[#This Row],[Column1318]]</f>
        <v>99.935000000000002</v>
      </c>
      <c r="AXS6">
        <f>SOFR3mo_PX[[#This Row],[Column1319]]</f>
        <v>99.94</v>
      </c>
      <c r="AXT6">
        <f>SOFR3mo_PX[[#This Row],[Column1320]]</f>
        <v>99.96</v>
      </c>
      <c r="AXU6">
        <f>SOFR3mo_PX[[#This Row],[Column1321]]</f>
        <v>99.954999999999998</v>
      </c>
      <c r="AXV6">
        <f>SOFR3mo_PX[[#This Row],[Column1322]]</f>
        <v>99.95</v>
      </c>
      <c r="AXW6">
        <f>SOFR3mo_PX[[#This Row],[Column1323]]</f>
        <v>99.95</v>
      </c>
      <c r="AXX6">
        <f>SOFR3mo_PX[[#This Row],[Column1324]]</f>
        <v>99.95</v>
      </c>
      <c r="AXY6">
        <f>SOFR3mo_PX[[#This Row],[Column1325]]</f>
        <v>99.954999999999998</v>
      </c>
      <c r="AXZ6">
        <f>SOFR3mo_PX[[#This Row],[Column1326]]</f>
        <v>99.96</v>
      </c>
      <c r="AYA6">
        <f>SOFR3mo_PX[[#This Row],[Column1327]]</f>
        <v>99.96</v>
      </c>
      <c r="AYB6">
        <f>SOFR3mo_PX[[#This Row],[Column1328]]</f>
        <v>99.96</v>
      </c>
      <c r="AYC6">
        <f>SOFR3mo_PX[[#This Row],[Column1329]]</f>
        <v>99.96</v>
      </c>
      <c r="AYD6">
        <f>SOFR3mo_PX[[#This Row],[Column1330]]</f>
        <v>99.96</v>
      </c>
      <c r="AYE6">
        <f>SOFR3mo_PX[[#This Row],[Column1331]]</f>
        <v>99.96</v>
      </c>
      <c r="AYF6">
        <f>SOFR3mo_PX[[#This Row],[Column1332]]</f>
        <v>99.974999999999994</v>
      </c>
      <c r="AYG6">
        <f>SOFR3mo_PX[[#This Row],[Column1333]]</f>
        <v>99.974999999999994</v>
      </c>
      <c r="AYH6">
        <f>SOFR3mo_PX[[#This Row],[Column1334]]</f>
        <v>99.974999999999994</v>
      </c>
      <c r="AYI6">
        <f>SOFR3mo_PX[[#This Row],[Column1335]]</f>
        <v>99.97</v>
      </c>
      <c r="AYJ6">
        <f>SOFR3mo_PX[[#This Row],[Column1336]]</f>
        <v>99.974999999999994</v>
      </c>
      <c r="AYK6">
        <f>SOFR3mo_PX[[#This Row],[Column1337]]</f>
        <v>99.995000000000005</v>
      </c>
      <c r="AYL6">
        <f>SOFR3mo_PX[[#This Row],[Column1338]]</f>
        <v>100.02</v>
      </c>
      <c r="AYM6">
        <f>SOFR3mo_PX[[#This Row],[Column1339]]</f>
        <v>99.97</v>
      </c>
      <c r="AYN6">
        <f>SOFR3mo_PX[[#This Row],[Column1340]]</f>
        <v>99.954999999999998</v>
      </c>
      <c r="AYO6">
        <f>SOFR3mo_PX[[#This Row],[Column1341]]</f>
        <v>99.96</v>
      </c>
      <c r="AYP6">
        <f>SOFR3mo_PX[[#This Row],[Column1342]]</f>
        <v>99.954999999999998</v>
      </c>
      <c r="AYQ6">
        <f>SOFR3mo_PX[[#This Row],[Column1343]]</f>
        <v>99.96</v>
      </c>
      <c r="AYR6">
        <f>SOFR3mo_PX[[#This Row],[Column1344]]</f>
        <v>99.954999999999998</v>
      </c>
      <c r="AYS6">
        <f>SOFR3mo_PX[[#This Row],[Column1345]]</f>
        <v>99.935000000000002</v>
      </c>
      <c r="AYT6">
        <f>SOFR3mo_PX[[#This Row],[Column1346]]</f>
        <v>99.935000000000002</v>
      </c>
      <c r="AYU6">
        <f>SOFR3mo_PX[[#This Row],[Column1347]]</f>
        <v>99.93</v>
      </c>
      <c r="AYV6">
        <f>SOFR3mo_PX[[#This Row],[Column1348]]</f>
        <v>99.924999999999997</v>
      </c>
      <c r="AYW6">
        <f>SOFR3mo_PX[[#This Row],[Column1349]]</f>
        <v>99.93</v>
      </c>
      <c r="AYX6">
        <f>SOFR3mo_PX[[#This Row],[Column1350]]</f>
        <v>99.93</v>
      </c>
      <c r="AYY6">
        <f>SOFR3mo_PX[[#This Row],[Column1351]]</f>
        <v>99.924999999999997</v>
      </c>
      <c r="AYZ6">
        <f>SOFR3mo_PX[[#This Row],[Column1352]]</f>
        <v>99.92</v>
      </c>
      <c r="AZA6">
        <f>SOFR3mo_PX[[#This Row],[Column1353]]</f>
        <v>99.915000000000006</v>
      </c>
      <c r="AZB6">
        <f>SOFR3mo_PX[[#This Row],[Column1354]]</f>
        <v>99.92</v>
      </c>
      <c r="AZC6">
        <f>SOFR3mo_PX[[#This Row],[Column1355]]</f>
        <v>99.91</v>
      </c>
      <c r="AZD6">
        <f>SOFR3mo_PX[[#This Row],[Column1356]]</f>
        <v>99.92</v>
      </c>
      <c r="AZE6">
        <f>SOFR3mo_PX[[#This Row],[Column1357]]</f>
        <v>99.924999999999997</v>
      </c>
      <c r="AZF6">
        <f>SOFR3mo_PX[[#This Row],[Column1358]]</f>
        <v>99.924999999999997</v>
      </c>
      <c r="AZG6">
        <f>SOFR3mo_PX[[#This Row],[Column1359]]</f>
        <v>99.915000000000006</v>
      </c>
      <c r="AZH6">
        <f>SOFR3mo_PX[[#This Row],[Column1360]]</f>
        <v>99.91</v>
      </c>
      <c r="AZI6">
        <f>SOFR3mo_PX[[#This Row],[Column1361]]</f>
        <v>99.92</v>
      </c>
      <c r="AZJ6">
        <f>SOFR3mo_PX[[#This Row],[Column1362]]</f>
        <v>99.92</v>
      </c>
      <c r="AZK6">
        <f>SOFR3mo_PX[[#This Row],[Column1363]]</f>
        <v>99.93</v>
      </c>
      <c r="AZL6">
        <f>SOFR3mo_PX[[#This Row],[Column1364]]</f>
        <v>99.924999999999997</v>
      </c>
      <c r="AZM6">
        <f>SOFR3mo_PX[[#This Row],[Column1365]]</f>
        <v>99.92</v>
      </c>
      <c r="AZN6">
        <f>SOFR3mo_PX[[#This Row],[Column1366]]</f>
        <v>99.92</v>
      </c>
      <c r="AZO6">
        <f>SOFR3mo_PX[[#This Row],[Column1367]]</f>
        <v>99.92</v>
      </c>
      <c r="AZP6">
        <f>SOFR3mo_PX[[#This Row],[Column1368]]</f>
        <v>99.915000000000006</v>
      </c>
      <c r="AZQ6">
        <f>SOFR3mo_PX[[#This Row],[Column1369]]</f>
        <v>99.894999999999996</v>
      </c>
      <c r="AZR6">
        <f>SOFR3mo_PX[[#This Row],[Column1370]]</f>
        <v>99.88</v>
      </c>
      <c r="AZS6">
        <f>SOFR3mo_PX[[#This Row],[Column1371]]</f>
        <v>99.894999999999996</v>
      </c>
      <c r="AZT6">
        <f>SOFR3mo_PX[[#This Row],[Column1372]]</f>
        <v>99.875</v>
      </c>
      <c r="AZU6">
        <f>SOFR3mo_PX[[#This Row],[Column1373]]</f>
        <v>99.844999999999999</v>
      </c>
      <c r="AZV6">
        <f>SOFR3mo_PX[[#This Row],[Column1374]]</f>
        <v>99.81</v>
      </c>
      <c r="AZW6">
        <f>SOFR3mo_PX[[#This Row],[Column1375]]</f>
        <v>99.85</v>
      </c>
      <c r="AZX6">
        <f>SOFR3mo_PX[[#This Row],[Column1376]]</f>
        <v>99.9</v>
      </c>
      <c r="AZY6">
        <f>SOFR3mo_PX[[#This Row],[Column1377]]</f>
        <v>99.87</v>
      </c>
      <c r="AZZ6">
        <f>SOFR3mo_PX[[#This Row],[Column1378]]</f>
        <v>99.85</v>
      </c>
      <c r="BAA6">
        <f>SOFR3mo_PX[[#This Row],[Column1379]]</f>
        <v>99.82</v>
      </c>
      <c r="BAB6">
        <f>SOFR3mo_PX[[#This Row],[Column1380]]</f>
        <v>99.765000000000001</v>
      </c>
      <c r="BAC6">
        <f>SOFR3mo_PX[[#This Row],[Column1381]]</f>
        <v>99.844999999999999</v>
      </c>
      <c r="BAD6">
        <f>SOFR3mo_PX[[#This Row],[Column1382]]</f>
        <v>99.724999999999994</v>
      </c>
      <c r="BAE6">
        <f>SOFR3mo_PX[[#This Row],[Column1383]]</f>
        <v>99.644999999999996</v>
      </c>
      <c r="BAF6">
        <f>SOFR3mo_PX[[#This Row],[Column1384]]</f>
        <v>99.58</v>
      </c>
      <c r="BAG6">
        <f>SOFR3mo_PX[[#This Row],[Column1385]]</f>
        <v>99.46</v>
      </c>
      <c r="BAH6">
        <f>SOFR3mo_PX[[#This Row],[Column1386]]</f>
        <v>99.344999999999999</v>
      </c>
      <c r="BAI6">
        <f>SOFR3mo_PX[[#This Row],[Column1387]]</f>
        <v>99.27</v>
      </c>
      <c r="BAJ6">
        <f>SOFR3mo_PX[[#This Row],[Column1388]]</f>
        <v>99.034999999999997</v>
      </c>
      <c r="BAK6">
        <f>SOFR3mo_PX[[#This Row],[Column1389]]</f>
        <v>98.96</v>
      </c>
      <c r="BAL6">
        <f>SOFR3mo_PX[[#This Row],[Column1390]]</f>
        <v>98.905000000000001</v>
      </c>
      <c r="BAM6">
        <f>SOFR3mo_PX[[#This Row],[Column1391]]</f>
        <v>98.86</v>
      </c>
      <c r="BAN6">
        <f>SOFR3mo_PX[[#This Row],[Column1392]]</f>
        <v>98.775000000000006</v>
      </c>
      <c r="BAO6">
        <f>SOFR3mo_PX[[#This Row],[Column1393]]</f>
        <v>98.724999999999994</v>
      </c>
      <c r="BAP6">
        <f>SOFR3mo_PX[[#This Row],[Column1394]]</f>
        <v>98.69</v>
      </c>
      <c r="BAQ6">
        <f>SOFR3mo_PX[[#This Row],[Column1395]]</f>
        <v>98.72</v>
      </c>
      <c r="BAR6">
        <f>SOFR3mo_PX[[#This Row],[Column1396]]</f>
        <v>98.69</v>
      </c>
      <c r="BAS6">
        <f>SOFR3mo_PX[[#This Row],[Column1397]]</f>
        <v>98.69</v>
      </c>
      <c r="BAT6">
        <f>SOFR3mo_PX[[#This Row],[Column1398]]</f>
        <v>98.66</v>
      </c>
      <c r="BAU6">
        <f>SOFR3mo_PX[[#This Row],[Column1399]]</f>
        <v>98.655000000000001</v>
      </c>
      <c r="BAV6">
        <f>SOFR3mo_PX[[#This Row],[Column1400]]</f>
        <v>98.674999999999997</v>
      </c>
      <c r="BAW6">
        <f>SOFR3mo_PX[[#This Row],[Column1401]]</f>
        <v>98.71</v>
      </c>
      <c r="BAX6">
        <f>SOFR3mo_PX[[#This Row],[Column1402]]</f>
        <v>98.68</v>
      </c>
      <c r="BAY6">
        <f>SOFR3mo_PX[[#This Row],[Column1403]]</f>
        <v>98.644999999999996</v>
      </c>
      <c r="BAZ6">
        <f>SOFR3mo_PX[[#This Row],[Column1404]]</f>
        <v>98.65</v>
      </c>
      <c r="BBA6">
        <f>SOFR3mo_PX[[#This Row],[Column1405]]</f>
        <v>98.68</v>
      </c>
      <c r="BBB6">
        <f>SOFR3mo_PX[[#This Row],[Column1406]]</f>
        <v>98.754999999999995</v>
      </c>
      <c r="BBC6">
        <f>SOFR3mo_PX[[#This Row],[Column1407]]</f>
        <v>98.78</v>
      </c>
      <c r="BBD6">
        <f>SOFR3mo_PX[[#This Row],[Column1408]]</f>
        <v>98.724999999999994</v>
      </c>
      <c r="BBE6">
        <f>SOFR3mo_PX[[#This Row],[Column1409]]</f>
        <v>98.69</v>
      </c>
      <c r="BBF6">
        <f>SOFR3mo_PX[[#This Row],[Column1410]]</f>
        <v>98.655000000000001</v>
      </c>
      <c r="BBG6">
        <f>SOFR3mo_PX[[#This Row],[Column1411]]</f>
        <v>98.69</v>
      </c>
      <c r="BBH6">
        <f>SOFR3mo_PX[[#This Row],[Column1412]]</f>
        <v>98.644999999999996</v>
      </c>
      <c r="BBI6">
        <f>SOFR3mo_PX[[#This Row],[Column1413]]</f>
        <v>98.62</v>
      </c>
      <c r="BBJ6">
        <f>SOFR3mo_PX[[#This Row],[Column1414]]</f>
        <v>98.605000000000004</v>
      </c>
      <c r="BBK6">
        <f>SOFR3mo_PX[[#This Row],[Column1415]]</f>
        <v>98.594999999999999</v>
      </c>
      <c r="BBL6">
        <f>SOFR3mo_PX[[#This Row],[Column1416]]</f>
        <v>98.564999999999998</v>
      </c>
      <c r="BBM6">
        <f>SOFR3mo_PX[[#This Row],[Column1417]]</f>
        <v>98.564999999999998</v>
      </c>
      <c r="BBN6">
        <f>SOFR3mo_PX[[#This Row],[Column1418]]</f>
        <v>98.575000000000003</v>
      </c>
      <c r="BBO6">
        <f>SOFR3mo_PX[[#This Row],[Column1419]]</f>
        <v>98.57</v>
      </c>
      <c r="BBP6">
        <f>SOFR3mo_PX[[#This Row],[Column1420]]</f>
        <v>98.57</v>
      </c>
      <c r="BBQ6">
        <f>SOFR3mo_PX[[#This Row],[Column1421]]</f>
        <v>98.57</v>
      </c>
      <c r="BBR6">
        <f>SOFR3mo_PX[[#This Row],[Column1422]]</f>
        <v>98.575000000000003</v>
      </c>
      <c r="BBS6">
        <f>SOFR3mo_PX[[#This Row],[Column1423]]</f>
        <v>98.58</v>
      </c>
      <c r="BBT6">
        <f>SOFR3mo_PX[[#This Row],[Column1424]]</f>
        <v>98.575000000000003</v>
      </c>
      <c r="BBU6">
        <f>SOFR3mo_PX[[#This Row],[Column1425]]</f>
        <v>98.6</v>
      </c>
      <c r="BBV6">
        <f>SOFR3mo_PX[[#This Row],[Column1426]]</f>
        <v>98.6</v>
      </c>
      <c r="BBW6">
        <f>SOFR3mo_PX[[#This Row],[Column1427]]</f>
        <v>98.605000000000004</v>
      </c>
      <c r="BBX6">
        <f>SOFR3mo_PX[[#This Row],[Column1428]]</f>
        <v>98.564999999999998</v>
      </c>
      <c r="BBY6">
        <f>SOFR3mo_PX[[#This Row],[Column1429]]</f>
        <v>98.56</v>
      </c>
      <c r="BBZ6">
        <f>SOFR3mo_PX[[#This Row],[Column1430]]</f>
        <v>98.56</v>
      </c>
      <c r="BCA6">
        <f>SOFR3mo_PX[[#This Row],[Column1431]]</f>
        <v>98.564999999999998</v>
      </c>
      <c r="BCB6">
        <f>SOFR3mo_PX[[#This Row],[Column1432]]</f>
        <v>98.564999999999998</v>
      </c>
      <c r="BCC6">
        <f>SOFR3mo_PX[[#This Row],[Column1433]]</f>
        <v>98.545000000000002</v>
      </c>
      <c r="BCD6">
        <f>SOFR3mo_PX[[#This Row],[Column1434]]</f>
        <v>98.545000000000002</v>
      </c>
      <c r="BCE6">
        <f>SOFR3mo_PX[[#This Row],[Column1435]]</f>
        <v>98.545000000000002</v>
      </c>
      <c r="BCF6">
        <f>SOFR3mo_PX[[#This Row],[Column1436]]</f>
        <v>98.54</v>
      </c>
      <c r="BCG6">
        <f>SOFR3mo_PX[[#This Row],[Column1437]]</f>
        <v>98.564999999999998</v>
      </c>
      <c r="BCH6">
        <f>SOFR3mo_PX[[#This Row],[Column1438]]</f>
        <v>98.575000000000003</v>
      </c>
      <c r="BCI6">
        <f>SOFR3mo_PX[[#This Row],[Column1439]]</f>
        <v>98.555000000000007</v>
      </c>
      <c r="BCJ6">
        <f>SOFR3mo_PX[[#This Row],[Column1440]]</f>
        <v>98.504999999999995</v>
      </c>
      <c r="BCK6">
        <f>SOFR3mo_PX[[#This Row],[Column1441]]</f>
        <v>98.504999999999995</v>
      </c>
      <c r="BCL6">
        <f>SOFR3mo_PX[[#This Row],[Column1442]]</f>
        <v>98.54</v>
      </c>
      <c r="BCM6">
        <f>SOFR3mo_PX[[#This Row],[Column1443]]</f>
        <v>98.51</v>
      </c>
      <c r="BCN6">
        <f>SOFR3mo_PX[[#This Row],[Column1444]]</f>
        <v>98.55</v>
      </c>
      <c r="BCO6">
        <f>SOFR3mo_PX[[#This Row],[Column1445]]</f>
        <v>98.54</v>
      </c>
      <c r="BCP6">
        <f>SOFR3mo_PX[[#This Row],[Column1446]]</f>
        <v>98.56</v>
      </c>
      <c r="BCQ6">
        <f>SOFR3mo_PX[[#This Row],[Column1447]]</f>
        <v>98.555000000000007</v>
      </c>
      <c r="BCR6">
        <f>SOFR3mo_PX[[#This Row],[Column1448]]</f>
        <v>98.584999999999994</v>
      </c>
      <c r="BCS6">
        <f>SOFR3mo_PX[[#This Row],[Column1449]]</f>
        <v>98.575000000000003</v>
      </c>
      <c r="BCT6">
        <f>SOFR3mo_PX[[#This Row],[Column1450]]</f>
        <v>98.62</v>
      </c>
      <c r="BCU6">
        <f>SOFR3mo_PX[[#This Row],[Column1451]]</f>
        <v>98.545000000000002</v>
      </c>
      <c r="BCV6">
        <f>SOFR3mo_PX[[#This Row],[Column1452]]</f>
        <v>98.55</v>
      </c>
      <c r="BCW6">
        <f>SOFR3mo_PX[[#This Row],[Column1453]]</f>
        <v>98.54</v>
      </c>
      <c r="BCX6">
        <f>SOFR3mo_PX[[#This Row],[Column1454]]</f>
        <v>98.54</v>
      </c>
      <c r="BCY6">
        <f>SOFR3mo_PX[[#This Row],[Column1455]]</f>
        <v>98.57</v>
      </c>
      <c r="BCZ6">
        <f>SOFR3mo_PX[[#This Row],[Column1456]]</f>
        <v>98.56</v>
      </c>
      <c r="BDA6">
        <f>SOFR3mo_PX[[#This Row],[Column1457]]</f>
        <v>98.575000000000003</v>
      </c>
      <c r="BDB6">
        <f>SOFR3mo_PX[[#This Row],[Column1458]]</f>
        <v>98.605000000000004</v>
      </c>
      <c r="BDC6">
        <f>SOFR3mo_PX[[#This Row],[Column1459]]</f>
        <v>98.64</v>
      </c>
      <c r="BDD6">
        <f>SOFR3mo_PX[[#This Row],[Column1460]]</f>
        <v>98.614999999999995</v>
      </c>
      <c r="BDE6">
        <f>SOFR3mo_PX[[#This Row],[Column1461]]</f>
        <v>98.605000000000004</v>
      </c>
      <c r="BDF6">
        <f>SOFR3mo_PX[[#This Row],[Column1462]]</f>
        <v>98.594999999999999</v>
      </c>
      <c r="BDG6">
        <f>SOFR3mo_PX[[#This Row],[Column1463]]</f>
        <v>98.6</v>
      </c>
      <c r="BDH6">
        <f>SOFR3mo_PX[[#This Row],[Column1464]]</f>
        <v>98.575000000000003</v>
      </c>
      <c r="BDI6">
        <f>SOFR3mo_PX[[#This Row],[Column1465]]</f>
        <v>98.55</v>
      </c>
      <c r="BDJ6">
        <f>SOFR3mo_PX[[#This Row],[Column1466]]</f>
        <v>98.53</v>
      </c>
      <c r="BDK6">
        <f>SOFR3mo_PX[[#This Row],[Column1467]]</f>
        <v>98.534999999999997</v>
      </c>
      <c r="BDL6">
        <f>SOFR3mo_PX[[#This Row],[Column1468]]</f>
        <v>98.534999999999997</v>
      </c>
      <c r="BDM6">
        <f>SOFR3mo_PX[[#This Row],[Column1469]]</f>
        <v>98.584999999999994</v>
      </c>
      <c r="BDN6">
        <f>SOFR3mo_PX[[#This Row],[Column1470]]</f>
        <v>98.56</v>
      </c>
      <c r="BDO6">
        <f>SOFR3mo_PX[[#This Row],[Column1471]]</f>
        <v>98.6</v>
      </c>
      <c r="BDP6">
        <f>SOFR3mo_PX[[#This Row],[Column1472]]</f>
        <v>98.63</v>
      </c>
      <c r="BDQ6">
        <f>SOFR3mo_PX[[#This Row],[Column1473]]</f>
        <v>98.685000000000002</v>
      </c>
      <c r="BDR6">
        <f>SOFR3mo_PX[[#This Row],[Column1474]]</f>
        <v>98.594999999999999</v>
      </c>
      <c r="BDS6">
        <f>SOFR3mo_PX[[#This Row],[Column1475]]</f>
        <v>98.584999999999994</v>
      </c>
      <c r="BDT6">
        <f>SOFR3mo_PX[[#This Row],[Column1476]]</f>
        <v>98.59</v>
      </c>
      <c r="BDU6">
        <f>SOFR3mo_PX[[#This Row],[Column1477]]</f>
        <v>98.61</v>
      </c>
      <c r="BDV6">
        <f>SOFR3mo_PX[[#This Row],[Column1478]]</f>
        <v>98.655000000000001</v>
      </c>
      <c r="BDW6">
        <f>SOFR3mo_PX[[#This Row],[Column1479]]</f>
        <v>98.66</v>
      </c>
      <c r="BDX6">
        <f>SOFR3mo_PX[[#This Row],[Column1480]]</f>
        <v>98.64</v>
      </c>
      <c r="BDY6">
        <f>SOFR3mo_PX[[#This Row],[Column1481]]</f>
        <v>98.614999999999995</v>
      </c>
      <c r="BDZ6">
        <f>SOFR3mo_PX[[#This Row],[Column1482]]</f>
        <v>98.644999999999996</v>
      </c>
      <c r="BEA6">
        <f>SOFR3mo_PX[[#This Row],[Column1483]]</f>
        <v>98.61</v>
      </c>
      <c r="BEB6">
        <f>SOFR3mo_PX[[#This Row],[Column1484]]</f>
        <v>98.63</v>
      </c>
      <c r="BEC6">
        <f>SOFR3mo_PX[[#This Row],[Column1485]]</f>
        <v>98.584999999999994</v>
      </c>
      <c r="BED6">
        <f>SOFR3mo_PX[[#This Row],[Column1486]]</f>
        <v>98.614999999999995</v>
      </c>
      <c r="BEE6">
        <f>SOFR3mo_PX[[#This Row],[Column1487]]</f>
        <v>98.6</v>
      </c>
      <c r="BEF6">
        <f>SOFR3mo_PX[[#This Row],[Column1488]]</f>
        <v>98.71</v>
      </c>
      <c r="BEG6">
        <f>SOFR3mo_PX[[#This Row],[Column1489]]</f>
        <v>98.765000000000001</v>
      </c>
      <c r="BEH6">
        <f>SOFR3mo_PX[[#This Row],[Column1490]]</f>
        <v>98.825000000000003</v>
      </c>
      <c r="BEI6">
        <f>SOFR3mo_PX[[#This Row],[Column1491]]</f>
        <v>98.795000000000002</v>
      </c>
      <c r="BEJ6">
        <f>SOFR3mo_PX[[#This Row],[Column1492]]</f>
        <v>98.86</v>
      </c>
      <c r="BEK6">
        <f>SOFR3mo_PX[[#This Row],[Column1493]]</f>
        <v>98.87</v>
      </c>
      <c r="BEL6">
        <f>SOFR3mo_PX[[#This Row],[Column1494]]</f>
        <v>98.76</v>
      </c>
      <c r="BEM6">
        <f>SOFR3mo_PX[[#This Row],[Column1495]]</f>
        <v>98.69</v>
      </c>
      <c r="BEN6">
        <f>SOFR3mo_PX[[#This Row],[Column1496]]</f>
        <v>98.62</v>
      </c>
      <c r="BEO6">
        <f>SOFR3mo_PX[[#This Row],[Column1497]]</f>
        <v>98.625</v>
      </c>
      <c r="BEP6">
        <f>SOFR3mo_PX[[#This Row],[Column1498]]</f>
        <v>98.61</v>
      </c>
      <c r="BEQ6">
        <f>SOFR3mo_PX[[#This Row],[Column1499]]</f>
        <v>98.6</v>
      </c>
      <c r="BER6">
        <f>SOFR3mo_PX[[#This Row],[Column1500]]</f>
        <v>98.674999999999997</v>
      </c>
      <c r="BES6">
        <f>SOFR3mo_PX[[#This Row],[Column1501]]</f>
        <v>98.584999999999994</v>
      </c>
      <c r="BET6">
        <f>SOFR3mo_PX[[#This Row],[Column1502]]</f>
        <v>98.56</v>
      </c>
      <c r="BEU6">
        <f>SOFR3mo_PX[[#This Row],[Column1503]]</f>
        <v>98.575000000000003</v>
      </c>
      <c r="BEV6">
        <f>SOFR3mo_PX[[#This Row],[Column1504]]</f>
        <v>98.555000000000007</v>
      </c>
      <c r="BEW6">
        <f>SOFR3mo_PX[[#This Row],[Column1505]]</f>
        <v>98.5</v>
      </c>
      <c r="BEX6">
        <f>SOFR3mo_PX[[#This Row],[Column1506]]</f>
        <v>98.474999999999994</v>
      </c>
      <c r="BEY6">
        <f>SOFR3mo_PX[[#This Row],[Column1507]]</f>
        <v>98.44</v>
      </c>
      <c r="BEZ6">
        <f>SOFR3mo_PX[[#This Row],[Column1508]]</f>
        <v>98.504999999999995</v>
      </c>
      <c r="BFA6">
        <f>SOFR3mo_PX[[#This Row],[Column1509]]</f>
        <v>98.56</v>
      </c>
      <c r="BFB6">
        <f>SOFR3mo_PX[[#This Row],[Column1510]]</f>
        <v>98.564999999999998</v>
      </c>
      <c r="BFC6">
        <f>SOFR3mo_PX[[#This Row],[Column1511]]</f>
        <v>98.635000000000005</v>
      </c>
      <c r="BFD6">
        <f>SOFR3mo_PX[[#This Row],[Column1512]]</f>
        <v>98.685000000000002</v>
      </c>
      <c r="BFE6">
        <f>SOFR3mo_PX[[#This Row],[Column1513]]</f>
        <v>98.685000000000002</v>
      </c>
      <c r="BFF6">
        <f>SOFR3mo_PX[[#This Row],[Column1514]]</f>
        <v>98.765000000000001</v>
      </c>
      <c r="BFG6">
        <f>SOFR3mo_PX[[#This Row],[Column1515]]</f>
        <v>98.724999999999994</v>
      </c>
      <c r="BFH6">
        <f>SOFR3mo_PX[[#This Row],[Column1516]]</f>
        <v>98.66</v>
      </c>
      <c r="BFI6">
        <f>SOFR3mo_PX[[#This Row],[Column1517]]</f>
        <v>98.66</v>
      </c>
      <c r="BFJ6">
        <f>SOFR3mo_PX[[#This Row],[Column1518]]</f>
        <v>98.64</v>
      </c>
      <c r="BFK6">
        <f>SOFR3mo_PX[[#This Row],[Column1519]]</f>
        <v>98.69</v>
      </c>
      <c r="BFL6">
        <f>SOFR3mo_PX[[#This Row],[Column1520]]</f>
        <v>98.68</v>
      </c>
      <c r="BFM6">
        <f>SOFR3mo_PX[[#This Row],[Column1521]]</f>
        <v>98.67</v>
      </c>
      <c r="BFN6">
        <f>SOFR3mo_PX[[#This Row],[Column1522]]</f>
        <v>98.704999999999998</v>
      </c>
      <c r="BFO6">
        <f>SOFR3mo_PX[[#This Row],[Column1523]]</f>
        <v>98.614999999999995</v>
      </c>
      <c r="BFP6">
        <f>SOFR3mo_PX[[#This Row],[Column1524]]</f>
        <v>98.66</v>
      </c>
      <c r="BFQ6">
        <f>SOFR3mo_PX[[#This Row],[Column1525]]</f>
        <v>98.71</v>
      </c>
      <c r="BFR6">
        <f>SOFR3mo_PX[[#This Row],[Column1526]]</f>
        <v>98.685000000000002</v>
      </c>
      <c r="BFS6">
        <f>SOFR3mo_PX[[#This Row],[Column1527]]</f>
        <v>98.74</v>
      </c>
      <c r="BFT6">
        <f>SOFR3mo_PX[[#This Row],[Column1528]]</f>
        <v>98.734999999999999</v>
      </c>
      <c r="BFU6">
        <f>SOFR3mo_PX[[#This Row],[Column1529]]</f>
        <v>98.665000000000006</v>
      </c>
      <c r="BFV6">
        <f>SOFR3mo_PX[[#This Row],[Column1530]]</f>
        <v>98.584999999999994</v>
      </c>
      <c r="BFW6">
        <f>SOFR3mo_PX[[#This Row],[Column1531]]</f>
        <v>98.68</v>
      </c>
      <c r="BFX6">
        <f>SOFR3mo_PX[[#This Row],[Column1532]]</f>
        <v>98.62</v>
      </c>
      <c r="BFY6">
        <f>SOFR3mo_PX[[#This Row],[Column1533]]</f>
        <v>98.64</v>
      </c>
      <c r="BFZ6">
        <f>SOFR3mo_PX[[#This Row],[Column1534]]</f>
        <v>98.715000000000003</v>
      </c>
      <c r="BGA6">
        <f>SOFR3mo_PX[[#This Row],[Column1535]]</f>
        <v>98.625</v>
      </c>
      <c r="BGB6">
        <f>SOFR3mo_PX[[#This Row],[Column1536]]</f>
        <v>98.665000000000006</v>
      </c>
      <c r="BGC6">
        <f>SOFR3mo_PX[[#This Row],[Column1537]]</f>
        <v>98.465000000000003</v>
      </c>
      <c r="BGD6">
        <f>SOFR3mo_PX[[#This Row],[Column1538]]</f>
        <v>98.444999999999993</v>
      </c>
      <c r="BGE6">
        <f>SOFR3mo_PX[[#This Row],[Column1539]]</f>
        <v>98.284999999999997</v>
      </c>
      <c r="BGF6">
        <f>SOFR3mo_PX[[#This Row],[Column1540]]</f>
        <v>98.35</v>
      </c>
      <c r="BGG6">
        <f>SOFR3mo_PX[[#This Row],[Column1541]]</f>
        <v>98.36</v>
      </c>
      <c r="BGH6">
        <f>SOFR3mo_PX[[#This Row],[Column1542]]</f>
        <v>98.344999999999999</v>
      </c>
      <c r="BGI6">
        <f>SOFR3mo_PX[[#This Row],[Column1543]]</f>
        <v>98.375</v>
      </c>
      <c r="BGJ6">
        <f>SOFR3mo_PX[[#This Row],[Column1544]]</f>
        <v>98.4</v>
      </c>
      <c r="BGK6">
        <f>SOFR3mo_PX[[#This Row],[Column1545]]</f>
        <v>98.4</v>
      </c>
      <c r="BGL6">
        <f>SOFR3mo_PX[[#This Row],[Column1546]]</f>
        <v>98.43</v>
      </c>
      <c r="BGM6">
        <f>SOFR3mo_PX[[#This Row],[Column1547]]</f>
        <v>98.424999999999997</v>
      </c>
      <c r="BGN6">
        <f>SOFR3mo_PX[[#This Row],[Column1548]]</f>
        <v>98.474999999999994</v>
      </c>
      <c r="BGO6">
        <f>SOFR3mo_PX[[#This Row],[Column1549]]</f>
        <v>98.385000000000005</v>
      </c>
      <c r="BGP6">
        <f>SOFR3mo_PX[[#This Row],[Column1550]]</f>
        <v>98.36</v>
      </c>
      <c r="BGQ6">
        <f>SOFR3mo_PX[[#This Row],[Column1551]]</f>
        <v>98.38</v>
      </c>
      <c r="BGR6">
        <f>SOFR3mo_PX[[#This Row],[Column1552]]</f>
        <v>98.375</v>
      </c>
      <c r="BGS6">
        <f>SOFR3mo_PX[[#This Row],[Column1553]]</f>
        <v>98.355000000000004</v>
      </c>
      <c r="BGT6">
        <f>SOFR3mo_PX[[#This Row],[Column1554]]</f>
        <v>98.38</v>
      </c>
      <c r="BGU6">
        <f>SOFR3mo_PX[[#This Row],[Column1555]]</f>
        <v>98.295000000000002</v>
      </c>
      <c r="BGV6">
        <f>SOFR3mo_PX[[#This Row],[Column1556]]</f>
        <v>98.314999999999998</v>
      </c>
      <c r="BGW6">
        <f>SOFR3mo_PX[[#This Row],[Column1557]]</f>
        <v>98.31</v>
      </c>
      <c r="BGX6">
        <f>SOFR3mo_PX[[#This Row],[Column1558]]</f>
        <v>98.424999999999997</v>
      </c>
      <c r="BGY6">
        <f>SOFR3mo_PX[[#This Row],[Column1559]]</f>
        <v>98.424999999999997</v>
      </c>
      <c r="BGZ6">
        <f>SOFR3mo_PX[[#This Row],[Column1560]]</f>
        <v>98.424999999999997</v>
      </c>
      <c r="BHA6">
        <f>SOFR3mo_PX[[#This Row],[Column1561]]</f>
        <v>98.4</v>
      </c>
      <c r="BHB6">
        <f>SOFR3mo_PX[[#This Row],[Column1562]]</f>
        <v>98.46</v>
      </c>
      <c r="BHC6">
        <f>SOFR3mo_PX[[#This Row],[Column1563]]</f>
        <v>98.47</v>
      </c>
      <c r="BHD6">
        <f>SOFR3mo_PX[[#This Row],[Column1564]]</f>
        <v>98.45</v>
      </c>
      <c r="BHE6">
        <f>SOFR3mo_PX[[#This Row],[Column1565]]</f>
        <v>98.525000000000006</v>
      </c>
      <c r="BHF6">
        <f>SOFR3mo_PX[[#This Row],[Column1566]]</f>
        <v>98.53</v>
      </c>
      <c r="BHG6">
        <f>SOFR3mo_PX[[#This Row],[Column1567]]</f>
        <v>98.48</v>
      </c>
      <c r="BHH6">
        <f>SOFR3mo_PX[[#This Row],[Column1568]]</f>
        <v>98.53</v>
      </c>
      <c r="BHI6">
        <f>SOFR3mo_PX[[#This Row],[Column1569]]</f>
        <v>98.504999999999995</v>
      </c>
      <c r="BHJ6">
        <f>SOFR3mo_PX[[#This Row],[Column1570]]</f>
        <v>98.21</v>
      </c>
      <c r="BHK6">
        <f>SOFR3mo_PX[[#This Row],[Column1571]]</f>
        <v>98.23</v>
      </c>
      <c r="BHL6">
        <f>SOFR3mo_PX[[#This Row],[Column1572]]</f>
        <v>98.27</v>
      </c>
      <c r="BHM6">
        <f>SOFR3mo_PX[[#This Row],[Column1573]]</f>
        <v>98.28</v>
      </c>
      <c r="BHN6">
        <f>SOFR3mo_PX[[#This Row],[Column1574]]</f>
        <v>98.21</v>
      </c>
      <c r="BHO6">
        <f>SOFR3mo_PX[[#This Row],[Column1575]]</f>
        <v>98.18</v>
      </c>
      <c r="BHP6">
        <f>SOFR3mo_PX[[#This Row],[Column1576]]</f>
        <v>98.215000000000003</v>
      </c>
      <c r="BHQ6">
        <f>SOFR3mo_PX[[#This Row],[Column1577]]</f>
        <v>98.26</v>
      </c>
      <c r="BHR6">
        <f>SOFR3mo_PX[[#This Row],[Column1578]]</f>
        <v>98.22</v>
      </c>
      <c r="BHS6">
        <f>SOFR3mo_PX[[#This Row],[Column1579]]</f>
        <v>98.254999999999995</v>
      </c>
      <c r="BHT6">
        <f>SOFR3mo_PX[[#This Row],[Column1580]]</f>
        <v>98.224999999999994</v>
      </c>
      <c r="BHU6">
        <f>SOFR3mo_PX[[#This Row],[Column1581]]</f>
        <v>98.234999999999999</v>
      </c>
      <c r="BHV6">
        <f>SOFR3mo_PX[[#This Row],[Column1582]]</f>
        <v>98.1</v>
      </c>
      <c r="BHW6">
        <f>SOFR3mo_PX[[#This Row],[Column1583]]</f>
        <v>97.965000000000003</v>
      </c>
      <c r="BHX6">
        <f>SOFR3mo_PX[[#This Row],[Column1584]]</f>
        <v>97.965000000000003</v>
      </c>
      <c r="BHY6">
        <f>SOFR3mo_PX[[#This Row],[Column1585]]</f>
        <v>97.935000000000002</v>
      </c>
      <c r="BHZ6">
        <f>SOFR3mo_PX[[#This Row],[Column1586]]</f>
        <v>97.905000000000001</v>
      </c>
      <c r="BIA6">
        <f>SOFR3mo_PX[[#This Row],[Column1587]]</f>
        <v>97.905000000000001</v>
      </c>
      <c r="BIB6">
        <f>SOFR3mo_PX[[#This Row],[Column1588]]</f>
        <v>97.94</v>
      </c>
      <c r="BIC6">
        <f>SOFR3mo_PX[[#This Row],[Column1589]]</f>
        <v>97.84</v>
      </c>
      <c r="BID6">
        <f>SOFR3mo_PX[[#This Row],[Column1590]]</f>
        <v>97.83</v>
      </c>
      <c r="BIE6">
        <f>SOFR3mo_PX[[#This Row],[Column1591]]</f>
        <v>97.86</v>
      </c>
      <c r="BIF6">
        <f>SOFR3mo_PX[[#This Row],[Column1592]]</f>
        <v>97.875</v>
      </c>
      <c r="BIG6">
        <f>SOFR3mo_PX[[#This Row],[Column1593]]</f>
        <v>97.875</v>
      </c>
      <c r="BIH6">
        <f>SOFR3mo_PX[[#This Row],[Column1594]]</f>
        <v>97.905000000000001</v>
      </c>
      <c r="BII6">
        <f>SOFR3mo_PX[[#This Row],[Column1595]]</f>
        <v>97.875</v>
      </c>
      <c r="BIJ6">
        <f>SOFR3mo_PX[[#This Row],[Column1596]]</f>
        <v>97.885000000000005</v>
      </c>
      <c r="BIK6">
        <f>SOFR3mo_PX[[#This Row],[Column1597]]</f>
        <v>97.81</v>
      </c>
      <c r="BIL6">
        <f>SOFR3mo_PX[[#This Row],[Column1598]]</f>
        <v>97.79</v>
      </c>
      <c r="BIM6">
        <f>SOFR3mo_PX[[#This Row],[Column1599]]</f>
        <v>97.77</v>
      </c>
      <c r="BIN6">
        <f>SOFR3mo_PX[[#This Row],[Column1600]]</f>
        <v>97.78</v>
      </c>
      <c r="BIO6">
        <f>SOFR3mo_PX[[#This Row],[Column1601]]</f>
        <v>97.765000000000001</v>
      </c>
      <c r="BIP6">
        <f>SOFR3mo_PX[[#This Row],[Column1602]]</f>
        <v>97.734999999999999</v>
      </c>
      <c r="BIQ6">
        <f>SOFR3mo_PX[[#This Row],[Column1603]]</f>
        <v>97.724999999999994</v>
      </c>
      <c r="BIR6">
        <f>SOFR3mo_PX[[#This Row],[Column1604]]</f>
        <v>97.765000000000001</v>
      </c>
      <c r="BIS6">
        <f>SOFR3mo_PX[[#This Row],[Column1605]]</f>
        <v>97.795000000000002</v>
      </c>
      <c r="BIT6">
        <f>SOFR3mo_PX[[#This Row],[Column1606]]</f>
        <v>97.78</v>
      </c>
      <c r="BIU6">
        <f>SOFR3mo_PX[[#This Row],[Column1607]]</f>
        <v>97.784999999999997</v>
      </c>
      <c r="BIV6">
        <f>SOFR3mo_PX[[#This Row],[Column1608]]</f>
        <v>97.75</v>
      </c>
      <c r="BIW6">
        <f>SOFR3mo_PX[[#This Row],[Column1609]]</f>
        <v>97.77</v>
      </c>
      <c r="BIX6">
        <f>SOFR3mo_PX[[#This Row],[Column1610]]</f>
        <v>97.724999999999994</v>
      </c>
      <c r="BIY6">
        <f>SOFR3mo_PX[[#This Row],[Column1611]]</f>
        <v>97.715000000000003</v>
      </c>
      <c r="BIZ6">
        <f>SOFR3mo_PX[[#This Row],[Column1612]]</f>
        <v>97.694999999999993</v>
      </c>
      <c r="BJA6">
        <f>SOFR3mo_PX[[#This Row],[Column1613]]</f>
        <v>97.694999999999993</v>
      </c>
      <c r="BJB6">
        <f>SOFR3mo_PX[[#This Row],[Column1614]]</f>
        <v>97.69</v>
      </c>
      <c r="BJC6">
        <f>SOFR3mo_PX[[#This Row],[Column1615]]</f>
        <v>97.685000000000002</v>
      </c>
      <c r="BJD6">
        <f>SOFR3mo_PX[[#This Row],[Column1616]]</f>
        <v>97.694999999999993</v>
      </c>
      <c r="BJE6">
        <f>SOFR3mo_PX[[#This Row],[Column1617]]</f>
        <v>97.69</v>
      </c>
      <c r="BJF6">
        <f>SOFR3mo_PX[[#This Row],[Column1618]]</f>
        <v>97.734999999999999</v>
      </c>
      <c r="BJG6">
        <f>SOFR3mo_PX[[#This Row],[Column1619]]</f>
        <v>97.754999999999995</v>
      </c>
      <c r="BJH6">
        <f>SOFR3mo_PX[[#This Row],[Column1620]]</f>
        <v>97.754999999999995</v>
      </c>
      <c r="BJI6">
        <f>SOFR3mo_PX[[#This Row],[Column1621]]</f>
        <v>97.745000000000005</v>
      </c>
      <c r="BJJ6">
        <f>SOFR3mo_PX[[#This Row],[Column1622]]</f>
        <v>97.754999999999995</v>
      </c>
      <c r="BJK6">
        <f>SOFR3mo_PX[[#This Row],[Column1623]]</f>
        <v>97.77</v>
      </c>
      <c r="BJL6">
        <f>SOFR3mo_PX[[#This Row],[Column1624]]</f>
        <v>97.775000000000006</v>
      </c>
      <c r="BJM6">
        <f>SOFR3mo_PX[[#This Row],[Column1625]]</f>
        <v>97.795000000000002</v>
      </c>
      <c r="BJN6">
        <f>SOFR3mo_PX[[#This Row],[Column1626]]</f>
        <v>97.79</v>
      </c>
      <c r="BJO6">
        <f>SOFR3mo_PX[[#This Row],[Column1627]]</f>
        <v>97.834999999999994</v>
      </c>
      <c r="BJP6">
        <f>SOFR3mo_PX[[#This Row],[Column1628]]</f>
        <v>97.87</v>
      </c>
      <c r="BJQ6">
        <f>SOFR3mo_PX[[#This Row],[Column1629]]</f>
        <v>97.88</v>
      </c>
      <c r="BJR6">
        <f>SOFR3mo_PX[[#This Row],[Column1630]]</f>
        <v>97.84</v>
      </c>
      <c r="BJS6">
        <f>SOFR3mo_PX[[#This Row],[Column1631]]</f>
        <v>97.87</v>
      </c>
      <c r="BJT6">
        <f>SOFR3mo_PX[[#This Row],[Column1632]]</f>
        <v>97.78</v>
      </c>
      <c r="BJU6">
        <f>SOFR3mo_PX[[#This Row],[Column1633]]</f>
        <v>97.69</v>
      </c>
      <c r="BJV6">
        <f>SOFR3mo_PX[[#This Row],[Column1634]]</f>
        <v>97.68</v>
      </c>
      <c r="BJW6">
        <f>SOFR3mo_PX[[#This Row],[Column1635]]</f>
        <v>97.61</v>
      </c>
      <c r="BJX6">
        <f>SOFR3mo_PX[[#This Row],[Column1636]]</f>
        <v>97.614999999999995</v>
      </c>
      <c r="BJY6">
        <f>SOFR3mo_PX[[#This Row],[Column1637]]</f>
        <v>97.62</v>
      </c>
      <c r="BJZ6">
        <f>SOFR3mo_PX[[#This Row],[Column1638]]</f>
        <v>97.605000000000004</v>
      </c>
      <c r="BKA6">
        <f>SOFR3mo_PX[[#This Row],[Column1639]]</f>
        <v>97.605000000000004</v>
      </c>
      <c r="BKB6">
        <f>SOFR3mo_PX[[#This Row],[Column1640]]</f>
        <v>97.605000000000004</v>
      </c>
      <c r="BKC6">
        <f>SOFR3mo_PX[[#This Row],[Column1641]]</f>
        <v>97.584999999999994</v>
      </c>
      <c r="BKD6">
        <f>SOFR3mo_PX[[#This Row],[Column1642]]</f>
        <v>97.58</v>
      </c>
      <c r="BKE6">
        <f>SOFR3mo_PX[[#This Row],[Column1643]]</f>
        <v>97.58</v>
      </c>
      <c r="BKF6">
        <f>SOFR3mo_PX[[#This Row],[Column1644]]</f>
        <v>97.54</v>
      </c>
      <c r="BKG6">
        <f>SOFR3mo_PX[[#This Row],[Column1645]]</f>
        <v>97.52</v>
      </c>
      <c r="BKH6">
        <f>SOFR3mo_PX[[#This Row],[Column1646]]</f>
        <v>97.525000000000006</v>
      </c>
      <c r="BKI6">
        <f>SOFR3mo_PX[[#This Row],[Column1647]]</f>
        <v>97.515000000000001</v>
      </c>
      <c r="BKJ6">
        <f>SOFR3mo_PX[[#This Row],[Column1648]]</f>
        <v>97.545000000000002</v>
      </c>
      <c r="BKK6">
        <f>SOFR3mo_PX[[#This Row],[Column1649]]</f>
        <v>97.555000000000007</v>
      </c>
      <c r="BKL6">
        <f>SOFR3mo_PX[[#This Row],[Column1650]]</f>
        <v>97.57</v>
      </c>
      <c r="BKM6">
        <f>SOFR3mo_PX[[#This Row],[Column1651]]</f>
        <v>97.555000000000007</v>
      </c>
      <c r="BKN6">
        <f>SOFR3mo_PX[[#This Row],[Column1652]]</f>
        <v>97.56</v>
      </c>
      <c r="BKO6">
        <f>SOFR3mo_PX[[#This Row],[Column1653]]</f>
        <v>97.545000000000002</v>
      </c>
      <c r="BKP6">
        <f>SOFR3mo_PX[[#This Row],[Column1654]]</f>
        <v>97.56</v>
      </c>
      <c r="BKQ6">
        <f>SOFR3mo_PX[[#This Row],[Column1655]]</f>
        <v>97.55</v>
      </c>
      <c r="BKR6">
        <f>SOFR3mo_PX[[#This Row],[Column1656]]</f>
        <v>97.54</v>
      </c>
      <c r="BKS6">
        <f>SOFR3mo_PX[[#This Row],[Column1657]]</f>
        <v>97.54</v>
      </c>
      <c r="BKT6">
        <f>SOFR3mo_PX[[#This Row],[Column1658]]</f>
        <v>97.545000000000002</v>
      </c>
      <c r="BKU6">
        <f>SOFR3mo_PX[[#This Row],[Column1659]]</f>
        <v>97.525000000000006</v>
      </c>
      <c r="BKV6">
        <f>SOFR3mo_PX[[#This Row],[Column1660]]</f>
        <v>97.55</v>
      </c>
      <c r="BKW6">
        <f>SOFR3mo_PX[[#This Row],[Column1661]]</f>
        <v>97.57</v>
      </c>
      <c r="BKX6">
        <f>SOFR3mo_PX[[#This Row],[Column1662]]</f>
        <v>97.58</v>
      </c>
      <c r="BKY6">
        <f>SOFR3mo_PX[[#This Row],[Column1663]]</f>
        <v>97.57</v>
      </c>
      <c r="BKZ6">
        <f>SOFR3mo_PX[[#This Row],[Column1664]]</f>
        <v>97.55</v>
      </c>
      <c r="BLA6">
        <f>SOFR3mo_PX[[#This Row],[Column1665]]</f>
        <v>97.555000000000007</v>
      </c>
      <c r="BLB6">
        <f>SOFR3mo_PX[[#This Row],[Column1666]]</f>
        <v>97.55</v>
      </c>
      <c r="BLC6">
        <f>SOFR3mo_PX[[#This Row],[Column1667]]</f>
        <v>97.57</v>
      </c>
      <c r="BLD6">
        <f>SOFR3mo_PX[[#This Row],[Column1668]]</f>
        <v>97.584999999999994</v>
      </c>
      <c r="BLE6">
        <f>SOFR3mo_PX[[#This Row],[Column1669]]</f>
        <v>97.534999999999997</v>
      </c>
      <c r="BLF6">
        <f>SOFR3mo_PX[[#This Row],[Column1670]]</f>
        <v>97.504999999999995</v>
      </c>
      <c r="BLG6">
        <f>SOFR3mo_PX[[#This Row],[Column1671]]</f>
        <v>97.504999999999995</v>
      </c>
      <c r="BLH6">
        <f>SOFR3mo_PX[[#This Row],[Column1672]]</f>
        <v>97.495000000000005</v>
      </c>
      <c r="BLI6">
        <f>SOFR3mo_PX[[#This Row],[Column1673]]</f>
        <v>97.515000000000001</v>
      </c>
      <c r="BLJ6">
        <f>SOFR3mo_PX[[#This Row],[Column1674]]</f>
        <v>97.504999999999995</v>
      </c>
      <c r="BLK6">
        <f>SOFR3mo_PX[[#This Row],[Column1675]]</f>
        <v>97.51</v>
      </c>
      <c r="BLL6">
        <f>SOFR3mo_PX[[#This Row],[Column1676]]</f>
        <v>97.48</v>
      </c>
      <c r="BLM6">
        <f>SOFR3mo_PX[[#This Row],[Column1677]]</f>
        <v>97.48</v>
      </c>
      <c r="BLN6">
        <f>SOFR3mo_PX[[#This Row],[Column1678]]</f>
        <v>97.525000000000006</v>
      </c>
      <c r="BLO6">
        <f>SOFR3mo_PX[[#This Row],[Column1679]]</f>
        <v>97.545000000000002</v>
      </c>
      <c r="BLP6">
        <f>SOFR3mo_PX[[#This Row],[Column1680]]</f>
        <v>97.555000000000007</v>
      </c>
      <c r="BLQ6">
        <f>SOFR3mo_PX[[#This Row],[Column1681]]</f>
        <v>97.54</v>
      </c>
      <c r="BLR6">
        <f>SOFR3mo_PX[[#This Row],[Column1682]]</f>
        <v>97.54</v>
      </c>
      <c r="BLS6">
        <f>SOFR3mo_PX[[#This Row],[Column1683]]</f>
        <v>97.53</v>
      </c>
      <c r="BLT6">
        <f>SOFR3mo_PX[[#This Row],[Column1684]]</f>
        <v>97.534999999999997</v>
      </c>
      <c r="BLU6">
        <f>SOFR3mo_PX[[#This Row],[Column1685]]</f>
        <v>97.53</v>
      </c>
      <c r="BLV6">
        <f>SOFR3mo_PX[[#This Row],[Column1686]]</f>
        <v>97.59</v>
      </c>
      <c r="BLW6">
        <f>SOFR3mo_PX[[#This Row],[Column1687]]</f>
        <v>97.625</v>
      </c>
      <c r="BLX6">
        <f>SOFR3mo_PX[[#This Row],[Column1688]]</f>
        <v>97.694999999999993</v>
      </c>
      <c r="BLY6">
        <f>SOFR3mo_PX[[#This Row],[Column1689]]</f>
        <v>97.57</v>
      </c>
      <c r="BLZ6">
        <f>SOFR3mo_PX[[#This Row],[Column1690]]</f>
        <v>97.584999999999994</v>
      </c>
      <c r="BMA6">
        <f>SOFR3mo_PX[[#This Row],[Column1691]]</f>
        <v>97.584999999999994</v>
      </c>
      <c r="BMB6">
        <f>SOFR3mo_PX[[#This Row],[Column1692]]</f>
        <v>97.58</v>
      </c>
      <c r="BMC6">
        <f>SOFR3mo_PX[[#This Row],[Column1693]]</f>
        <v>97.564999999999998</v>
      </c>
      <c r="BMD6">
        <f>SOFR3mo_PX[[#This Row],[Column1694]]</f>
        <v>97.51</v>
      </c>
      <c r="BME6">
        <f>SOFR3mo_PX[[#This Row],[Column1695]]</f>
        <v>97.51</v>
      </c>
      <c r="BMF6">
        <f>SOFR3mo_PX[[#This Row],[Column1696]]</f>
        <v>97.51</v>
      </c>
      <c r="BMG6">
        <f>SOFR3mo_PX[[#This Row],[Column1697]]</f>
        <v>97.46</v>
      </c>
      <c r="BMH6">
        <f>SOFR3mo_PX[[#This Row],[Column1698]]</f>
        <v>97.43</v>
      </c>
      <c r="BMI6">
        <f>SOFR3mo_PX[[#This Row],[Column1699]]</f>
        <v>97.45</v>
      </c>
      <c r="BMJ6">
        <f>SOFR3mo_PX[[#This Row],[Column1700]]</f>
        <v>97.49</v>
      </c>
      <c r="BMK6">
        <f>SOFR3mo_PX[[#This Row],[Column1701]]</f>
        <v>97.465000000000003</v>
      </c>
      <c r="BML6">
        <f>SOFR3mo_PX[[#This Row],[Column1702]]</f>
        <v>97.44</v>
      </c>
      <c r="BMM6">
        <f>SOFR3mo_PX[[#This Row],[Column1703]]</f>
        <v>97.415000000000006</v>
      </c>
      <c r="BMN6">
        <f>SOFR3mo_PX[[#This Row],[Column1704]]</f>
        <v>97.42</v>
      </c>
      <c r="BMO6">
        <f>SOFR3mo_PX[[#This Row],[Column1705]]</f>
        <v>97.435000000000002</v>
      </c>
      <c r="BMP6">
        <f>SOFR3mo_PX[[#This Row],[Column1706]]</f>
        <v>97.47</v>
      </c>
      <c r="BMQ6">
        <f>SOFR3mo_PX[[#This Row],[Column1707]]</f>
        <v>97.454999999999998</v>
      </c>
      <c r="BMR6">
        <f>SOFR3mo_PX[[#This Row],[Column1708]]</f>
        <v>97.424999999999997</v>
      </c>
      <c r="BMS6">
        <f>SOFR3mo_PX[[#This Row],[Column1709]]</f>
        <v>97.364999999999995</v>
      </c>
      <c r="BMT6">
        <f>SOFR3mo_PX[[#This Row],[Column1710]]</f>
        <v>97.364999999999995</v>
      </c>
      <c r="BMU6">
        <f>SOFR3mo_PX[[#This Row],[Column1711]]</f>
        <v>97.355000000000004</v>
      </c>
      <c r="BMV6">
        <f>SOFR3mo_PX[[#This Row],[Column1712]]</f>
        <v>97.375</v>
      </c>
      <c r="BMW6">
        <f>SOFR3mo_PX[[#This Row],[Column1713]]</f>
        <v>97.375</v>
      </c>
      <c r="BMX6">
        <f>SOFR3mo_PX[[#This Row],[Column1714]]</f>
        <v>97.37</v>
      </c>
      <c r="BMY6">
        <f>SOFR3mo_PX[[#This Row],[Column1715]]</f>
        <v>97.35</v>
      </c>
      <c r="BMZ6">
        <f>SOFR3mo_PX[[#This Row],[Column1716]]</f>
        <v>97.34</v>
      </c>
      <c r="BNA6">
        <f>SOFR3mo_PX[[#This Row],[Column1717]]</f>
        <v>97.355000000000004</v>
      </c>
      <c r="BNB6">
        <f>SOFR3mo_PX[[#This Row],[Column1718]]</f>
        <v>97.355000000000004</v>
      </c>
      <c r="BNC6">
        <f>SOFR3mo_PX[[#This Row],[Column1719]]</f>
        <v>97.355000000000004</v>
      </c>
      <c r="BND6">
        <f>SOFR3mo_PX[[#This Row],[Column1720]]</f>
        <v>97.355000000000004</v>
      </c>
      <c r="BNE6">
        <f>SOFR3mo_PX[[#This Row],[Column1721]]</f>
        <v>97.36</v>
      </c>
      <c r="BNF6">
        <f>SOFR3mo_PX[[#This Row],[Column1722]]</f>
        <v>97.33</v>
      </c>
      <c r="BNG6">
        <f>SOFR3mo_PX[[#This Row],[Column1723]]</f>
        <v>97.295000000000002</v>
      </c>
      <c r="BNH6">
        <f>SOFR3mo_PX[[#This Row],[Column1724]]</f>
        <v>97.29</v>
      </c>
      <c r="BNI6">
        <f>SOFR3mo_PX[[#This Row],[Column1725]]</f>
        <v>97.265000000000001</v>
      </c>
      <c r="BNJ6">
        <f>SOFR3mo_PX[[#This Row],[Column1726]]</f>
        <v>97.245000000000005</v>
      </c>
      <c r="BNK6">
        <f>SOFR3mo_PX[[#This Row],[Column1727]]</f>
        <v>97.23</v>
      </c>
      <c r="BNL6">
        <f>SOFR3mo_PX[[#This Row],[Column1728]]</f>
        <v>97.215000000000003</v>
      </c>
      <c r="BNM6">
        <f>SOFR3mo_PX[[#This Row],[Column1729]]</f>
        <v>97.234999999999999</v>
      </c>
      <c r="BNN6">
        <f>SOFR3mo_PX[[#This Row],[Column1730]]</f>
        <v>97.24</v>
      </c>
      <c r="BNO6">
        <f>SOFR3mo_PX[[#This Row],[Column1731]]</f>
        <v>97.25</v>
      </c>
      <c r="BNP6">
        <f>SOFR3mo_PX[[#This Row],[Column1732]]</f>
        <v>97.245000000000005</v>
      </c>
      <c r="BNQ6">
        <f>SOFR3mo_PX[[#This Row],[Column1733]]</f>
        <v>97.275000000000006</v>
      </c>
      <c r="BNR6">
        <f>SOFR3mo_PX[[#This Row],[Column1734]]</f>
        <v>97.27</v>
      </c>
      <c r="BNS6">
        <f>SOFR3mo_PX[[#This Row],[Column1735]]</f>
        <v>97.295000000000002</v>
      </c>
      <c r="BNT6">
        <f>SOFR3mo_PX[[#This Row],[Column1736]]</f>
        <v>97.295000000000002</v>
      </c>
      <c r="BNU6">
        <f>SOFR3mo_PX[[#This Row],[Column1737]]</f>
        <v>97.295000000000002</v>
      </c>
      <c r="BNV6">
        <f>SOFR3mo_PX[[#This Row],[Column1738]]</f>
        <v>97.265000000000001</v>
      </c>
      <c r="BNW6">
        <f>SOFR3mo_PX[[#This Row],[Column1739]]</f>
        <v>97.265000000000001</v>
      </c>
      <c r="BNX6">
        <f>SOFR3mo_PX[[#This Row],[Column1740]]</f>
        <v>97.254999999999995</v>
      </c>
      <c r="BNY6">
        <f>SOFR3mo_PX[[#This Row],[Column1741]]</f>
        <v>97.23</v>
      </c>
      <c r="BNZ6">
        <f>SOFR3mo_PX[[#This Row],[Column1742]]</f>
        <v>97.224999999999994</v>
      </c>
      <c r="BOA6">
        <f>SOFR3mo_PX[[#This Row],[Column1743]]</f>
        <v>97.24</v>
      </c>
      <c r="BOB6">
        <f>SOFR3mo_PX[[#This Row],[Column1744]]</f>
        <v>97.23</v>
      </c>
      <c r="BOC6">
        <f>SOFR3mo_PX[[#This Row],[Column1745]]</f>
        <v>97.234999999999999</v>
      </c>
      <c r="BOD6">
        <f>SOFR3mo_PX[[#This Row],[Column1746]]</f>
        <v>97.234999999999999</v>
      </c>
      <c r="BOE6">
        <f>SOFR3mo_PX[[#This Row],[Column1747]]</f>
        <v>97.245000000000005</v>
      </c>
      <c r="BOF6">
        <f>SOFR3mo_PX[[#This Row],[Column1748]]</f>
        <v>97.24</v>
      </c>
      <c r="BOG6">
        <f>SOFR3mo_PX[[#This Row],[Column1749]]</f>
        <v>97.215000000000003</v>
      </c>
      <c r="BOH6">
        <f>SOFR3mo_PX[[#This Row],[Column1750]]</f>
        <v>97.204999999999998</v>
      </c>
      <c r="BOI6">
        <f>SOFR3mo_PX[[#This Row],[Column1751]]</f>
        <v>97.204999999999998</v>
      </c>
      <c r="BOJ6">
        <f>SOFR3mo_PX[[#This Row],[Column1752]]</f>
        <v>97.21</v>
      </c>
      <c r="BOK6">
        <f>SOFR3mo_PX[[#This Row],[Column1753]]</f>
        <v>97.21</v>
      </c>
      <c r="BOL6">
        <f>SOFR3mo_PX[[#This Row],[Column1754]]</f>
        <v>97.234999999999999</v>
      </c>
      <c r="BOM6">
        <f>SOFR3mo_PX[[#This Row],[Column1755]]</f>
        <v>97.254999999999995</v>
      </c>
      <c r="BON6">
        <f>SOFR3mo_PX[[#This Row],[Column1756]]</f>
        <v>97.245000000000005</v>
      </c>
      <c r="BOO6">
        <f>SOFR3mo_PX[[#This Row],[Column1757]]</f>
        <v>97.245000000000005</v>
      </c>
      <c r="BOP6">
        <f>SOFR3mo_PX[[#This Row],[Column1758]]</f>
        <v>97.234999999999999</v>
      </c>
      <c r="BOQ6">
        <f>SOFR3mo_PX[[#This Row],[Column1759]]</f>
        <v>97.234999999999999</v>
      </c>
      <c r="BOR6">
        <f>SOFR3mo_PX[[#This Row],[Column1760]]</f>
        <v>97.224999999999994</v>
      </c>
      <c r="BOS6">
        <f>SOFR3mo_PX[[#This Row],[Column1761]]</f>
        <v>97.24</v>
      </c>
      <c r="BOT6">
        <f>SOFR3mo_PX[[#This Row],[Column1762]]</f>
        <v>97.24</v>
      </c>
      <c r="BOU6">
        <f>SOFR3mo_PX[[#This Row],[Column1763]]</f>
        <v>97.23</v>
      </c>
      <c r="BOV6">
        <f>SOFR3mo_PX[[#This Row],[Column1764]]</f>
        <v>97.24</v>
      </c>
      <c r="BOW6">
        <f>SOFR3mo_PX[[#This Row],[Column1765]]</f>
        <v>97.42</v>
      </c>
      <c r="BOX6">
        <f>SOFR3mo_PX[[#This Row],[Column1766]]</f>
        <v>97.42</v>
      </c>
      <c r="BOY6">
        <f>SOFR3mo_PX[[#This Row],[Column1767]]</f>
        <v>97.424999999999997</v>
      </c>
      <c r="BOZ6">
        <f>SOFR3mo_PX[[#This Row],[Column1768]]</f>
        <v>97.435000000000002</v>
      </c>
      <c r="BPA6">
        <f>SOFR3mo_PX[[#This Row],[Column1769]]</f>
        <v>97.444999999999993</v>
      </c>
      <c r="BPB6">
        <f>SOFR3mo_PX[[#This Row],[Column1770]]</f>
        <v>97.435000000000002</v>
      </c>
      <c r="BPC6">
        <f>SOFR3mo_PX[[#This Row],[Column1771]]</f>
        <v>97.454999999999998</v>
      </c>
      <c r="BPD6">
        <f>SOFR3mo_PX[[#This Row],[Column1772]]</f>
        <v>97.454999999999998</v>
      </c>
      <c r="BPE6">
        <f>SOFR3mo_PX[[#This Row],[Column1773]]</f>
        <v>97.495000000000005</v>
      </c>
      <c r="BPF6">
        <f>SOFR3mo_PX[[#This Row],[Column1774]]</f>
        <v>97.49</v>
      </c>
      <c r="BPG6">
        <f>SOFR3mo_PX[[#This Row],[Column1775]]</f>
        <v>97.495000000000005</v>
      </c>
      <c r="BPH6">
        <f>SOFR3mo_PX[[#This Row],[Column1776]]</f>
        <v>97.504999999999995</v>
      </c>
      <c r="BPI6">
        <f>SOFR3mo_PX[[#This Row],[Column1777]]</f>
        <v>97.504999999999995</v>
      </c>
      <c r="BPJ6">
        <f>SOFR3mo_PX[[#This Row],[Column1778]]</f>
        <v>97.49</v>
      </c>
      <c r="BPK6">
        <f>SOFR3mo_PX[[#This Row],[Column1779]]</f>
        <v>97.48</v>
      </c>
      <c r="BPL6">
        <f>SOFR3mo_PX[[#This Row],[Column1780]]</f>
        <v>97.49</v>
      </c>
      <c r="BPM6">
        <f>SOFR3mo_PX[[#This Row],[Column1781]]</f>
        <v>97.504999999999995</v>
      </c>
      <c r="BPN6">
        <f>SOFR3mo_PX[[#This Row],[Column1782]]</f>
        <v>97.525000000000006</v>
      </c>
      <c r="BPO6">
        <f>SOFR3mo_PX[[#This Row],[Column1783]]</f>
        <v>97.534999999999997</v>
      </c>
      <c r="BPP6">
        <f>SOFR3mo_PX[[#This Row],[Column1784]]</f>
        <v>97.555000000000007</v>
      </c>
      <c r="BPQ6">
        <f>SOFR3mo_PX[[#This Row],[Column1785]]</f>
        <v>97.55</v>
      </c>
      <c r="BPR6">
        <f>SOFR3mo_PX[[#This Row],[Column1786]]</f>
        <v>97.56</v>
      </c>
      <c r="BPS6">
        <f>SOFR3mo_PX[[#This Row],[Column1787]]</f>
        <v>97.54</v>
      </c>
      <c r="BPT6">
        <f>SOFR3mo_PX[[#This Row],[Column1788]]</f>
        <v>97.534999999999997</v>
      </c>
      <c r="BPU6">
        <f>SOFR3mo_PX[[#This Row],[Column1789]]</f>
        <v>97.545000000000002</v>
      </c>
      <c r="BPV6">
        <f>SOFR3mo_PX[[#This Row],[Column1790]]</f>
        <v>97.52</v>
      </c>
      <c r="BPW6">
        <f>SOFR3mo_PX[[#This Row],[Column1791]]</f>
        <v>97.545000000000002</v>
      </c>
      <c r="BPX6">
        <f>SOFR3mo_PX[[#This Row],[Column1792]]</f>
        <v>97.555000000000007</v>
      </c>
      <c r="BPY6">
        <f>SOFR3mo_PX[[#This Row],[Column1793]]</f>
        <v>97.504999999999995</v>
      </c>
      <c r="BPZ6">
        <f>SOFR3mo_PX[[#This Row],[Column1794]]</f>
        <v>97.495000000000005</v>
      </c>
      <c r="BQA6">
        <f>SOFR3mo_PX[[#This Row],[Column1795]]</f>
        <v>97.49</v>
      </c>
      <c r="BQB6">
        <f>SOFR3mo_PX[[#This Row],[Column1796]]</f>
        <v>97.49</v>
      </c>
      <c r="BQC6">
        <f>SOFR3mo_PX[[#This Row],[Column1797]]</f>
        <v>97.484999999999999</v>
      </c>
      <c r="BQD6">
        <f>SOFR3mo_PX[[#This Row],[Column1798]]</f>
        <v>97.474999999999994</v>
      </c>
      <c r="BQE6">
        <f>SOFR3mo_PX[[#This Row],[Column1799]]</f>
        <v>97.47</v>
      </c>
      <c r="BQF6">
        <f>SOFR3mo_PX[[#This Row],[Column1800]]</f>
        <v>97.474999999999994</v>
      </c>
      <c r="BQG6">
        <f>SOFR3mo_PX[[#This Row],[Column1801]]</f>
        <v>97.48</v>
      </c>
      <c r="BQH6">
        <f>SOFR3mo_PX[[#This Row],[Column1802]]</f>
        <v>97.474999999999994</v>
      </c>
      <c r="BQI6">
        <f>SOFR3mo_PX[[#This Row],[Column1803]]</f>
        <v>97.47</v>
      </c>
      <c r="BQJ6">
        <f>SOFR3mo_PX[[#This Row],[Column1804]]</f>
        <v>97.49</v>
      </c>
      <c r="BQK6">
        <f>SOFR3mo_PX[[#This Row],[Column1805]]</f>
        <v>97.49</v>
      </c>
      <c r="BQL6">
        <f>SOFR3mo_PX[[#This Row],[Column1806]]</f>
        <v>97.495000000000005</v>
      </c>
      <c r="BQM6">
        <f>SOFR3mo_PX[[#This Row],[Column1807]]</f>
        <v>97.515000000000001</v>
      </c>
      <c r="BQN6">
        <f>SOFR3mo_PX[[#This Row],[Column1808]]</f>
        <v>97.515000000000001</v>
      </c>
      <c r="BQO6">
        <f>SOFR3mo_PX[[#This Row],[Column1809]]</f>
        <v>97.515000000000001</v>
      </c>
      <c r="BQP6">
        <f>SOFR3mo_PX[[#This Row],[Column1810]]</f>
        <v>97.52</v>
      </c>
      <c r="BQQ6">
        <f>SOFR3mo_PX[[#This Row],[Column1811]]</f>
        <v>97.545000000000002</v>
      </c>
      <c r="BQR6">
        <f>SOFR3mo_PX[[#This Row],[Column1812]]</f>
        <v>97.56</v>
      </c>
      <c r="BQS6">
        <f>SOFR3mo_PX[[#This Row],[Column1813]]</f>
        <v>97.564999999999998</v>
      </c>
      <c r="BQT6">
        <f>SOFR3mo_PX[[#This Row],[Column1814]]</f>
        <v>97.58</v>
      </c>
      <c r="BQU6">
        <f>SOFR3mo_PX[[#This Row],[Column1815]]</f>
        <v>97.58</v>
      </c>
      <c r="BQV6">
        <f>SOFR3mo_PX[[#This Row],[Column1816]]</f>
        <v>97.594999999999999</v>
      </c>
      <c r="BQW6">
        <f>SOFR3mo_PX[[#This Row],[Column1817]]</f>
        <v>97.614999999999995</v>
      </c>
      <c r="BQX6">
        <f>SOFR3mo_PX[[#This Row],[Column1818]]</f>
        <v>97.6</v>
      </c>
      <c r="BQY6">
        <f>SOFR3mo_PX[[#This Row],[Column1819]]</f>
        <v>97.62</v>
      </c>
      <c r="BQZ6">
        <f>SOFR3mo_PX[[#This Row],[Column1820]]</f>
        <v>97.62</v>
      </c>
      <c r="BRA6">
        <f>SOFR3mo_PX[[#This Row],[Column1821]]</f>
        <v>97.61</v>
      </c>
      <c r="BRB6">
        <f>SOFR3mo_PX[[#This Row],[Column1822]]</f>
        <v>97.61</v>
      </c>
      <c r="BRC6">
        <f>SOFR3mo_PX[[#This Row],[Column1823]]</f>
        <v>97.61</v>
      </c>
      <c r="BRD6">
        <f>SOFR3mo_PX[[#This Row],[Column1824]]</f>
        <v>97.61</v>
      </c>
      <c r="BRE6">
        <f>SOFR3mo_PX[[#This Row],[Column1825]]</f>
        <v>97.58</v>
      </c>
      <c r="BRF6">
        <f>SOFR3mo_PX[[#This Row],[Column1826]]</f>
        <v>97.564999999999998</v>
      </c>
      <c r="BRG6">
        <f>SOFR3mo_PX[[#This Row],[Column1827]]</f>
        <v>97.545000000000002</v>
      </c>
      <c r="BRH6">
        <f>SOFR3mo_PX[[#This Row],[Column1828]]</f>
        <v>97.545000000000002</v>
      </c>
      <c r="BRI6">
        <f>SOFR3mo_PX[[#This Row],[Column1829]]</f>
        <v>97.534999999999997</v>
      </c>
      <c r="BRJ6">
        <f>SOFR3mo_PX[[#This Row],[Column1830]]</f>
        <v>97.54</v>
      </c>
      <c r="BRK6">
        <f>SOFR3mo_PX[[#This Row],[Column1831]]</f>
        <v>97.52</v>
      </c>
      <c r="BRL6">
        <f>SOFR3mo_PX[[#This Row],[Column1832]]</f>
        <v>97.52</v>
      </c>
      <c r="BRM6">
        <f>SOFR3mo_PX[[#This Row],[Column1833]]</f>
        <v>97.504999999999995</v>
      </c>
      <c r="BRN6">
        <f>SOFR3mo_PX[[#This Row],[Column1834]]</f>
        <v>97.504999999999995</v>
      </c>
      <c r="BRO6">
        <f>SOFR3mo_PX[[#This Row],[Column1835]]</f>
        <v>97.534999999999997</v>
      </c>
      <c r="BRP6">
        <f>SOFR3mo_PX[[#This Row],[Column1836]]</f>
        <v>97.545000000000002</v>
      </c>
      <c r="BRQ6">
        <f>SOFR3mo_PX[[#This Row],[Column1837]]</f>
        <v>97.56</v>
      </c>
      <c r="BRR6">
        <f>SOFR3mo_PX[[#This Row],[Column1838]]</f>
        <v>97.545000000000002</v>
      </c>
      <c r="BRS6">
        <f>SOFR3mo_PX[[#This Row],[Column1839]]</f>
        <v>97.54</v>
      </c>
      <c r="BRT6">
        <f>SOFR3mo_PX[[#This Row],[Column1840]]</f>
        <v>97.57</v>
      </c>
      <c r="BRU6">
        <f>SOFR3mo_PX[[#This Row],[Column1841]]</f>
        <v>97.56</v>
      </c>
      <c r="BRV6">
        <f>SOFR3mo_PX[[#This Row],[Column1842]]</f>
        <v>97.614999999999995</v>
      </c>
      <c r="BRW6">
        <f>SOFR3mo_PX[[#This Row],[Column1843]]</f>
        <v>97.685000000000002</v>
      </c>
      <c r="BRX6">
        <f>SOFR3mo_PX[[#This Row],[Column1844]]</f>
        <v>97.69</v>
      </c>
      <c r="BRY6">
        <f>SOFR3mo_PX[[#This Row],[Column1845]]</f>
        <v>97.78</v>
      </c>
      <c r="BRZ6">
        <f>SOFR3mo_PX[[#This Row],[Column1846]]</f>
        <v>97.6</v>
      </c>
      <c r="BSA6">
        <f>SOFR3mo_PX[[#This Row],[Column1847]]</f>
        <v>97.6</v>
      </c>
      <c r="BSB6">
        <f>SOFR3mo_PX[[#This Row],[Column1848]]</f>
        <v>97.575000000000003</v>
      </c>
      <c r="BSC6">
        <f>SOFR3mo_PX[[#This Row],[Column1849]]</f>
        <v>97.545000000000002</v>
      </c>
      <c r="BSD6">
        <f>SOFR3mo_PX[[#This Row],[Column1850]]</f>
        <v>97.495000000000005</v>
      </c>
      <c r="BSE6">
        <f>SOFR3mo_PX[[#This Row],[Column1851]]</f>
        <v>97.484999999999999</v>
      </c>
      <c r="BSF6">
        <f>SOFR3mo_PX[[#This Row],[Column1852]]</f>
        <v>97.495000000000005</v>
      </c>
      <c r="BSG6">
        <f>SOFR3mo_PX[[#This Row],[Column1853]]</f>
        <v>97.48</v>
      </c>
      <c r="BSH6">
        <f>SOFR3mo_PX[[#This Row],[Column1854]]</f>
        <v>97.48</v>
      </c>
      <c r="BSI6">
        <f>SOFR3mo_PX[[#This Row],[Column1855]]</f>
        <v>97.48</v>
      </c>
      <c r="BSJ6">
        <f>SOFR3mo_PX[[#This Row],[Column1856]]</f>
        <v>97.5</v>
      </c>
      <c r="BSK6">
        <f>SOFR3mo_PX[[#This Row],[Column1857]]</f>
        <v>97.5</v>
      </c>
      <c r="BSL6">
        <f>SOFR3mo_PX[[#This Row],[Column1858]]</f>
        <v>97.515000000000001</v>
      </c>
      <c r="BSM6">
        <f>SOFR3mo_PX[[#This Row],[Column1859]]</f>
        <v>97.534999999999997</v>
      </c>
      <c r="BSN6">
        <f>SOFR3mo_PX[[#This Row],[Column1860]]</f>
        <v>97.55</v>
      </c>
      <c r="BSO6">
        <f>SOFR3mo_PX[[#This Row],[Column1861]]</f>
        <v>97.56</v>
      </c>
      <c r="BSP6">
        <f>SOFR3mo_PX[[#This Row],[Column1862]]</f>
        <v>97.534999999999997</v>
      </c>
      <c r="BSQ6" t="str">
        <f>SOFR3mo_PX[[#This Row],[Column1863]]</f>
        <v>#N/A N/A</v>
      </c>
      <c r="BSR6" t="str">
        <f>SOFR3mo_PX[[#This Row],[Column1864]]</f>
        <v>#N/A N/A</v>
      </c>
      <c r="BSS6" t="str">
        <f>SOFR3mo_PX[[#This Row],[Column1865]]</f>
        <v>#N/A N/A</v>
      </c>
      <c r="BST6" t="str">
        <f>SOFR3mo_PX[[#This Row],[Column1866]]</f>
        <v>#N/A N/A</v>
      </c>
      <c r="BSU6" t="str">
        <f>SOFR3mo_PX[[#This Row],[Column1867]]</f>
        <v>#N/A N/A</v>
      </c>
      <c r="BSV6" t="str">
        <f>SOFR3mo_PX[[#This Row],[Column1868]]</f>
        <v>#N/A N/A</v>
      </c>
      <c r="BSW6" t="str">
        <f>SOFR3mo_PX[[#This Row],[Column1869]]</f>
        <v>#N/A N/A</v>
      </c>
      <c r="BSX6" t="str">
        <f>SOFR3mo_PX[[#This Row],[Column1870]]</f>
        <v>#N/A N/A</v>
      </c>
      <c r="BSY6" t="str">
        <f>SOFR3mo_PX[[#This Row],[Column1871]]</f>
        <v>#N/A N/A</v>
      </c>
      <c r="BSZ6" t="str">
        <f>SOFR3mo_PX[[#This Row],[Column1872]]</f>
        <v>#N/A N/A</v>
      </c>
      <c r="BTA6" t="str">
        <f>SOFR3mo_PX[[#This Row],[Column1873]]</f>
        <v>#N/A N/A</v>
      </c>
      <c r="BTB6" t="str">
        <f>SOFR3mo_PX[[#This Row],[Column1874]]</f>
        <v>#N/A N/A</v>
      </c>
      <c r="BTC6" t="str">
        <f>SOFR3mo_PX[[#This Row],[Column1875]]</f>
        <v>#N/A N/A</v>
      </c>
      <c r="BTD6" t="str">
        <f>SOFR3mo_PX[[#This Row],[Column1876]]</f>
        <v>#N/A N/A</v>
      </c>
      <c r="BTE6" t="str">
        <f>SOFR3mo_PX[[#This Row],[Column1877]]</f>
        <v>#N/A N/A</v>
      </c>
      <c r="BTF6" t="str">
        <f>SOFR3mo_PX[[#This Row],[Column1878]]</f>
        <v>#N/A N/A</v>
      </c>
      <c r="BTG6" t="str">
        <f>SOFR3mo_PX[[#This Row],[Column1879]]</f>
        <v>#N/A N/A</v>
      </c>
      <c r="BTH6" t="str">
        <f>SOFR3mo_PX[[#This Row],[Column1880]]</f>
        <v>#N/A N/A</v>
      </c>
      <c r="BTI6" t="str">
        <f>SOFR3mo_PX[[#This Row],[Column1881]]</f>
        <v>#N/A N/A</v>
      </c>
      <c r="BTJ6" t="str">
        <f>SOFR3mo_PX[[#This Row],[Column1882]]</f>
        <v>#N/A N/A</v>
      </c>
      <c r="BTK6" t="str">
        <f>SOFR3mo_PX[[#This Row],[Column1883]]</f>
        <v>#N/A N/A</v>
      </c>
      <c r="BTL6" t="str">
        <f>SOFR3mo_PX[[#This Row],[Column1884]]</f>
        <v>#N/A N/A</v>
      </c>
      <c r="BTM6" t="str">
        <f>SOFR3mo_PX[[#This Row],[Column1885]]</f>
        <v>#N/A N/A</v>
      </c>
      <c r="BTN6" t="str">
        <f>SOFR3mo_PX[[#This Row],[Column1886]]</f>
        <v>#N/A N/A</v>
      </c>
      <c r="BTO6" t="str">
        <f>SOFR3mo_PX[[#This Row],[Column1887]]</f>
        <v>#N/A N/A</v>
      </c>
      <c r="BTP6" t="str">
        <f>SOFR3mo_PX[[#This Row],[Column1888]]</f>
        <v>#N/A N/A</v>
      </c>
      <c r="BTQ6" t="str">
        <f>SOFR3mo_PX[[#This Row],[Column1889]]</f>
        <v>#N/A N/A</v>
      </c>
      <c r="BTR6" t="str">
        <f>SOFR3mo_PX[[#This Row],[Column1890]]</f>
        <v>#N/A N/A</v>
      </c>
      <c r="BTS6" t="str">
        <f>SOFR3mo_PX[[#This Row],[Column1891]]</f>
        <v>#N/A N/A</v>
      </c>
      <c r="BTT6" t="str">
        <f>SOFR3mo_PX[[#This Row],[Column1892]]</f>
        <v>#N/A N/A</v>
      </c>
      <c r="BTU6" t="str">
        <f>SOFR3mo_PX[[#This Row],[Column1893]]</f>
        <v>#N/A N/A</v>
      </c>
      <c r="BTV6" t="str">
        <f>SOFR3mo_PX[[#This Row],[Column1894]]</f>
        <v>#N/A N/A</v>
      </c>
      <c r="BTW6" t="str">
        <f>SOFR3mo_PX[[#This Row],[Column1895]]</f>
        <v>#N/A N/A</v>
      </c>
      <c r="BTX6" t="str">
        <f>SOFR3mo_PX[[#This Row],[Column1896]]</f>
        <v>#N/A N/A</v>
      </c>
      <c r="BTY6" t="str">
        <f>SOFR3mo_PX[[#This Row],[Column1897]]</f>
        <v>#N/A N/A</v>
      </c>
      <c r="BTZ6" t="str">
        <f>SOFR3mo_PX[[#This Row],[Column1898]]</f>
        <v>#N/A N/A</v>
      </c>
      <c r="BUA6" t="str">
        <f>SOFR3mo_PX[[#This Row],[Column1899]]</f>
        <v>#N/A N/A</v>
      </c>
      <c r="BUB6" t="str">
        <f>SOFR3mo_PX[[#This Row],[Column1900]]</f>
        <v>#N/A N/A</v>
      </c>
      <c r="BUC6" t="str">
        <f>SOFR3mo_PX[[#This Row],[Column1901]]</f>
        <v>#N/A N/A</v>
      </c>
      <c r="BUD6" t="str">
        <f>SOFR3mo_PX[[#This Row],[Column1902]]</f>
        <v>#N/A N/A</v>
      </c>
      <c r="BUE6" t="str">
        <f>SOFR3mo_PX[[#This Row],[Column1903]]</f>
        <v>#N/A N/A</v>
      </c>
      <c r="BUF6" t="str">
        <f>SOFR3mo_PX[[#This Row],[Column1904]]</f>
        <v>#N/A N/A</v>
      </c>
      <c r="BUG6" t="str">
        <f>SOFR3mo_PX[[#This Row],[Column1905]]</f>
        <v>#N/A N/A</v>
      </c>
      <c r="BUH6" t="str">
        <f>SOFR3mo_PX[[#This Row],[Column1906]]</f>
        <v>#N/A N/A</v>
      </c>
      <c r="BUI6" t="str">
        <f>SOFR3mo_PX[[#This Row],[Column1907]]</f>
        <v>#N/A N/A</v>
      </c>
      <c r="BUJ6" t="str">
        <f>SOFR3mo_PX[[#This Row],[Column1908]]</f>
        <v>#N/A N/A</v>
      </c>
      <c r="BUK6" t="str">
        <f>SOFR3mo_PX[[#This Row],[Column1909]]</f>
        <v>#N/A N/A</v>
      </c>
      <c r="BUL6" t="str">
        <f>SOFR3mo_PX[[#This Row],[Column1910]]</f>
        <v>#N/A N/A</v>
      </c>
      <c r="BUM6" t="str">
        <f>SOFR3mo_PX[[#This Row],[Column1911]]</f>
        <v>#N/A N/A</v>
      </c>
      <c r="BUN6" t="str">
        <f>SOFR3mo_PX[[#This Row],[Column1912]]</f>
        <v>#N/A N/A</v>
      </c>
      <c r="BUO6" t="str">
        <f>SOFR3mo_PX[[#This Row],[Column1913]]</f>
        <v>#N/A N/A</v>
      </c>
      <c r="BUP6" t="str">
        <f>SOFR3mo_PX[[#This Row],[Column1914]]</f>
        <v>#N/A N/A</v>
      </c>
      <c r="BUQ6" t="str">
        <f>SOFR3mo_PX[[#This Row],[Column1915]]</f>
        <v>#N/A N/A</v>
      </c>
      <c r="BUR6" t="str">
        <f>SOFR3mo_PX[[#This Row],[Column1916]]</f>
        <v>#N/A N/A</v>
      </c>
      <c r="BUS6" t="str">
        <f>SOFR3mo_PX[[#This Row],[Column1917]]</f>
        <v>#N/A N/A</v>
      </c>
      <c r="BUT6" t="str">
        <f>SOFR3mo_PX[[#This Row],[Column1918]]</f>
        <v>#N/A N/A</v>
      </c>
      <c r="BUU6" t="str">
        <f>SOFR3mo_PX[[#This Row],[Column1919]]</f>
        <v>#N/A N/A</v>
      </c>
      <c r="BUV6" t="str">
        <f>SOFR3mo_PX[[#This Row],[Column1920]]</f>
        <v>#N/A N/A</v>
      </c>
      <c r="BUW6" t="str">
        <f>SOFR3mo_PX[[#This Row],[Column1921]]</f>
        <v>#N/A N/A</v>
      </c>
      <c r="BUX6" t="str">
        <f>SOFR3mo_PX[[#This Row],[Column1922]]</f>
        <v>#N/A N/A</v>
      </c>
      <c r="BUY6" t="str">
        <f>SOFR3mo_PX[[#This Row],[Column1923]]</f>
        <v>#N/A N/A</v>
      </c>
      <c r="BUZ6" t="str">
        <f>SOFR3mo_PX[[#This Row],[Column1924]]</f>
        <v>#N/A N/A</v>
      </c>
      <c r="BVA6" t="str">
        <f>SOFR3mo_PX[[#This Row],[Column1925]]</f>
        <v>#N/A N/A</v>
      </c>
      <c r="BVB6" t="str">
        <f>SOFR3mo_PX[[#This Row],[Column1926]]</f>
        <v>#N/A N/A</v>
      </c>
      <c r="BVC6" t="str">
        <f>SOFR3mo_PX[[#This Row],[Column1927]]</f>
        <v>#N/A N/A</v>
      </c>
      <c r="BVD6" t="str">
        <f>SOFR3mo_PX[[#This Row],[Column1928]]</f>
        <v>#N/A N/A</v>
      </c>
      <c r="BVE6" t="str">
        <f>SOFR3mo_PX[[#This Row],[Column1929]]</f>
        <v>#N/A N/A</v>
      </c>
      <c r="BVF6" t="str">
        <f>SOFR3mo_PX[[#This Row],[Column1930]]</f>
        <v>#N/A N/A</v>
      </c>
      <c r="BVG6" t="str">
        <f>SOFR3mo_PX[[#This Row],[Column1931]]</f>
        <v>#N/A N/A</v>
      </c>
      <c r="BVH6" t="str">
        <f>SOFR3mo_PX[[#This Row],[Column1932]]</f>
        <v>#N/A N/A</v>
      </c>
      <c r="BVI6" t="str">
        <f>SOFR3mo_PX[[#This Row],[Column1933]]</f>
        <v>#N/A N/A</v>
      </c>
      <c r="BVJ6" t="str">
        <f>SOFR3mo_PX[[#This Row],[Column1934]]</f>
        <v>#N/A N/A</v>
      </c>
      <c r="BVK6" t="str">
        <f>SOFR3mo_PX[[#This Row],[Column1935]]</f>
        <v>#N/A N/A</v>
      </c>
      <c r="BVL6" t="str">
        <f>SOFR3mo_PX[[#This Row],[Column1936]]</f>
        <v>#N/A N/A</v>
      </c>
      <c r="BVM6" t="str">
        <f>SOFR3mo_PX[[#This Row],[Column1937]]</f>
        <v>#N/A N/A</v>
      </c>
      <c r="BVN6" t="str">
        <f>SOFR3mo_PX[[#This Row],[Column1938]]</f>
        <v>#N/A N/A</v>
      </c>
      <c r="BVO6" t="str">
        <f>SOFR3mo_PX[[#This Row],[Column1939]]</f>
        <v>#N/A N/A</v>
      </c>
      <c r="BVP6" t="str">
        <f>SOFR3mo_PX[[#This Row],[Column1940]]</f>
        <v>#N/A N/A</v>
      </c>
      <c r="BVQ6" t="str">
        <f>SOFR3mo_PX[[#This Row],[Column1941]]</f>
        <v>#N/A N/A</v>
      </c>
      <c r="BVR6" t="str">
        <f>SOFR3mo_PX[[#This Row],[Column1942]]</f>
        <v>#N/A N/A</v>
      </c>
      <c r="BVS6" t="str">
        <f>SOFR3mo_PX[[#This Row],[Column1943]]</f>
        <v>#N/A N/A</v>
      </c>
      <c r="BVT6" t="str">
        <f>SOFR3mo_PX[[#This Row],[Column1944]]</f>
        <v>#N/A N/A</v>
      </c>
      <c r="BVU6" t="str">
        <f>SOFR3mo_PX[[#This Row],[Column1945]]</f>
        <v>#N/A N/A</v>
      </c>
      <c r="BVV6" t="str">
        <f>SOFR3mo_PX[[#This Row],[Column1946]]</f>
        <v>#N/A N/A</v>
      </c>
      <c r="BVW6" t="str">
        <f>SOFR3mo_PX[[#This Row],[Column1947]]</f>
        <v>#N/A N/A</v>
      </c>
      <c r="BVX6" t="str">
        <f>SOFR3mo_PX[[#This Row],[Column1948]]</f>
        <v>#N/A N/A</v>
      </c>
      <c r="BVY6" t="str">
        <f>SOFR3mo_PX[[#This Row],[Column1949]]</f>
        <v>#N/A N/A</v>
      </c>
      <c r="BVZ6" t="str">
        <f>SOFR3mo_PX[[#This Row],[Column1950]]</f>
        <v>#N/A N/A</v>
      </c>
      <c r="BWA6" t="str">
        <f>SOFR3mo_PX[[#This Row],[Column1951]]</f>
        <v>#N/A N/A</v>
      </c>
      <c r="BWB6" t="str">
        <f>SOFR3mo_PX[[#This Row],[Column1952]]</f>
        <v>#N/A N/A</v>
      </c>
      <c r="BWC6" t="str">
        <f>SOFR3mo_PX[[#This Row],[Column1953]]</f>
        <v>#N/A N/A</v>
      </c>
      <c r="BWD6" t="str">
        <f>SOFR3mo_PX[[#This Row],[Column1954]]</f>
        <v>#N/A N/A</v>
      </c>
    </row>
    <row r="7" spans="1:1954" x14ac:dyDescent="0.25">
      <c r="A7" t="str">
        <f>SOFR3mo_PX[[#This Row],[Column1]]</f>
        <v>SFR5 Comdty</v>
      </c>
      <c r="B7">
        <f>IF(rtd!B5&lt;&gt;"",rtd!B5,SOFR3mo_PX[[#This Row],[Column2]])</f>
        <v>96.592500000000001</v>
      </c>
      <c r="C7">
        <f>SOFR3mo_PX[[#This Row],[Column3]]</f>
        <v>96.534999999999997</v>
      </c>
      <c r="D7">
        <f>SOFR3mo_PX[[#This Row],[Column4]]</f>
        <v>96.534999999999997</v>
      </c>
      <c r="E7">
        <f>SOFR3mo_PX[[#This Row],[Column5]]</f>
        <v>96.314999999999998</v>
      </c>
      <c r="F7">
        <f>SOFR3mo_PX[[#This Row],[Column6]]</f>
        <v>96.325000000000003</v>
      </c>
      <c r="G7">
        <f>SOFR3mo_PX[[#This Row],[Column7]]</f>
        <v>96.355000000000004</v>
      </c>
      <c r="H7">
        <f>SOFR3mo_PX[[#This Row],[Column8]]</f>
        <v>96.405000000000001</v>
      </c>
      <c r="I7">
        <f>SOFR3mo_PX[[#This Row],[Column9]]</f>
        <v>96.37</v>
      </c>
      <c r="J7">
        <f>SOFR3mo_PX[[#This Row],[Column10]]</f>
        <v>96.3</v>
      </c>
      <c r="K7">
        <f>SOFR3mo_PX[[#This Row],[Column11]]</f>
        <v>96.314999999999998</v>
      </c>
      <c r="L7">
        <f>SOFR3mo_PX[[#This Row],[Column12]]</f>
        <v>96.284999999999997</v>
      </c>
      <c r="M7">
        <f>SOFR3mo_PX[[#This Row],[Column13]]</f>
        <v>96.42</v>
      </c>
      <c r="N7">
        <f>SOFR3mo_PX[[#This Row],[Column14]]</f>
        <v>96.454999999999998</v>
      </c>
      <c r="O7">
        <f>SOFR3mo_PX[[#This Row],[Column15]]</f>
        <v>96.364999999999995</v>
      </c>
      <c r="P7">
        <f>SOFR3mo_PX[[#This Row],[Column16]]</f>
        <v>96.394999999999996</v>
      </c>
      <c r="Q7">
        <f>SOFR3mo_PX[[#This Row],[Column17]]</f>
        <v>96.424999999999997</v>
      </c>
      <c r="R7">
        <f>SOFR3mo_PX[[#This Row],[Column18]]</f>
        <v>96.405000000000001</v>
      </c>
      <c r="S7">
        <f>SOFR3mo_PX[[#This Row],[Column19]]</f>
        <v>96.34</v>
      </c>
      <c r="T7">
        <f>SOFR3mo_PX[[#This Row],[Column20]]</f>
        <v>96.385000000000005</v>
      </c>
      <c r="U7">
        <f>SOFR3mo_PX[[#This Row],[Column21]]</f>
        <v>96.375</v>
      </c>
      <c r="V7">
        <f>SOFR3mo_PX[[#This Row],[Column22]]</f>
        <v>96.375</v>
      </c>
      <c r="W7">
        <f>SOFR3mo_PX[[#This Row],[Column23]]</f>
        <v>96.37</v>
      </c>
      <c r="X7">
        <f>SOFR3mo_PX[[#This Row],[Column24]]</f>
        <v>96.37</v>
      </c>
      <c r="Y7">
        <f>SOFR3mo_PX[[#This Row],[Column25]]</f>
        <v>96.41</v>
      </c>
      <c r="Z7">
        <f>SOFR3mo_PX[[#This Row],[Column26]]</f>
        <v>96.394999999999996</v>
      </c>
      <c r="AA7">
        <f>SOFR3mo_PX[[#This Row],[Column27]]</f>
        <v>96.375</v>
      </c>
      <c r="AB7">
        <f>SOFR3mo_PX[[#This Row],[Column28]]</f>
        <v>96.41</v>
      </c>
      <c r="AC7">
        <f>SOFR3mo_PX[[#This Row],[Column29]]</f>
        <v>96.314999999999998</v>
      </c>
      <c r="AD7">
        <f>SOFR3mo_PX[[#This Row],[Column30]]</f>
        <v>96.37</v>
      </c>
      <c r="AE7">
        <f>SOFR3mo_PX[[#This Row],[Column31]]</f>
        <v>96.394999999999996</v>
      </c>
      <c r="AF7">
        <f>SOFR3mo_PX[[#This Row],[Column32]]</f>
        <v>96.534999999999997</v>
      </c>
      <c r="AG7">
        <f>SOFR3mo_PX[[#This Row],[Column33]]</f>
        <v>96.53</v>
      </c>
      <c r="AH7">
        <f>SOFR3mo_PX[[#This Row],[Column34]]</f>
        <v>96.674999999999997</v>
      </c>
      <c r="AI7">
        <f>SOFR3mo_PX[[#This Row],[Column35]]</f>
        <v>96.685000000000002</v>
      </c>
      <c r="AJ7">
        <f>SOFR3mo_PX[[#This Row],[Column36]]</f>
        <v>96.62</v>
      </c>
      <c r="AK7">
        <f>SOFR3mo_PX[[#This Row],[Column37]]</f>
        <v>96.63</v>
      </c>
      <c r="AL7">
        <f>SOFR3mo_PX[[#This Row],[Column38]]</f>
        <v>96.795000000000002</v>
      </c>
      <c r="AM7">
        <f>SOFR3mo_PX[[#This Row],[Column39]]</f>
        <v>96.91</v>
      </c>
      <c r="AN7">
        <f>SOFR3mo_PX[[#This Row],[Column40]]</f>
        <v>96.864999999999995</v>
      </c>
      <c r="AO7">
        <f>SOFR3mo_PX[[#This Row],[Column41]]</f>
        <v>96.814999999999998</v>
      </c>
      <c r="AP7">
        <f>SOFR3mo_PX[[#This Row],[Column42]]</f>
        <v>96.73</v>
      </c>
      <c r="AQ7">
        <f>SOFR3mo_PX[[#This Row],[Column43]]</f>
        <v>96.7</v>
      </c>
      <c r="AR7">
        <f>SOFR3mo_PX[[#This Row],[Column44]]</f>
        <v>96.63</v>
      </c>
      <c r="AS7">
        <f>SOFR3mo_PX[[#This Row],[Column45]]</f>
        <v>96.715000000000003</v>
      </c>
      <c r="AT7">
        <f>SOFR3mo_PX[[#This Row],[Column46]]</f>
        <v>96.8</v>
      </c>
      <c r="AU7">
        <f>SOFR3mo_PX[[#This Row],[Column47]]</f>
        <v>96.71</v>
      </c>
      <c r="AV7">
        <f>SOFR3mo_PX[[#This Row],[Column48]]</f>
        <v>96.71</v>
      </c>
      <c r="AW7">
        <f>SOFR3mo_PX[[#This Row],[Column49]]</f>
        <v>96.715000000000003</v>
      </c>
      <c r="AX7">
        <f>SOFR3mo_PX[[#This Row],[Column50]]</f>
        <v>96.655000000000001</v>
      </c>
      <c r="AY7">
        <f>SOFR3mo_PX[[#This Row],[Column51]]</f>
        <v>96.655000000000001</v>
      </c>
      <c r="AZ7">
        <f>SOFR3mo_PX[[#This Row],[Column52]]</f>
        <v>96.53</v>
      </c>
      <c r="BA7">
        <f>SOFR3mo_PX[[#This Row],[Column53]]</f>
        <v>96.635000000000005</v>
      </c>
      <c r="BB7">
        <f>SOFR3mo_PX[[#This Row],[Column54]]</f>
        <v>96.495000000000005</v>
      </c>
      <c r="BC7">
        <f>SOFR3mo_PX[[#This Row],[Column55]]</f>
        <v>96.795000000000002</v>
      </c>
      <c r="BD7">
        <f>SOFR3mo_PX[[#This Row],[Column56]]</f>
        <v>96.76</v>
      </c>
      <c r="BE7">
        <f>SOFR3mo_PX[[#This Row],[Column57]]</f>
        <v>96.81</v>
      </c>
      <c r="BF7">
        <f>SOFR3mo_PX[[#This Row],[Column58]]</f>
        <v>96.734999999999999</v>
      </c>
      <c r="BG7">
        <f>SOFR3mo_PX[[#This Row],[Column59]]</f>
        <v>96.504999999999995</v>
      </c>
      <c r="BH7">
        <f>SOFR3mo_PX[[#This Row],[Column60]]</f>
        <v>96.55</v>
      </c>
      <c r="BI7">
        <f>SOFR3mo_PX[[#This Row],[Column61]]</f>
        <v>96.495000000000005</v>
      </c>
      <c r="BJ7">
        <f>SOFR3mo_PX[[#This Row],[Column62]]</f>
        <v>96.495000000000005</v>
      </c>
      <c r="BK7">
        <f>SOFR3mo_PX[[#This Row],[Column63]]</f>
        <v>96.38</v>
      </c>
      <c r="BL7">
        <f>SOFR3mo_PX[[#This Row],[Column64]]</f>
        <v>96.37</v>
      </c>
      <c r="BM7">
        <f>SOFR3mo_PX[[#This Row],[Column65]]</f>
        <v>96.394999999999996</v>
      </c>
      <c r="BN7">
        <f>SOFR3mo_PX[[#This Row],[Column66]]</f>
        <v>96.36</v>
      </c>
      <c r="BO7">
        <f>SOFR3mo_PX[[#This Row],[Column67]]</f>
        <v>96.46</v>
      </c>
      <c r="BP7">
        <f>SOFR3mo_PX[[#This Row],[Column68]]</f>
        <v>96.44</v>
      </c>
      <c r="BQ7">
        <f>SOFR3mo_PX[[#This Row],[Column69]]</f>
        <v>96.415000000000006</v>
      </c>
      <c r="BR7">
        <f>SOFR3mo_PX[[#This Row],[Column70]]</f>
        <v>96.23</v>
      </c>
      <c r="BS7">
        <f>SOFR3mo_PX[[#This Row],[Column71]]</f>
        <v>96.234999999999999</v>
      </c>
      <c r="BT7">
        <f>SOFR3mo_PX[[#This Row],[Column72]]</f>
        <v>96.28</v>
      </c>
      <c r="BU7">
        <f>SOFR3mo_PX[[#This Row],[Column73]]</f>
        <v>96.36</v>
      </c>
      <c r="BV7">
        <f>SOFR3mo_PX[[#This Row],[Column74]]</f>
        <v>96.32</v>
      </c>
      <c r="BW7">
        <f>SOFR3mo_PX[[#This Row],[Column75]]</f>
        <v>96.39</v>
      </c>
      <c r="BX7">
        <f>SOFR3mo_PX[[#This Row],[Column76]]</f>
        <v>96.45</v>
      </c>
      <c r="BY7">
        <f>SOFR3mo_PX[[#This Row],[Column77]]</f>
        <v>96.325000000000003</v>
      </c>
      <c r="BZ7">
        <f>SOFR3mo_PX[[#This Row],[Column78]]</f>
        <v>96.37</v>
      </c>
      <c r="CA7">
        <f>SOFR3mo_PX[[#This Row],[Column79]]</f>
        <v>96.334999999999994</v>
      </c>
      <c r="CB7">
        <f>SOFR3mo_PX[[#This Row],[Column80]]</f>
        <v>96.355000000000004</v>
      </c>
      <c r="CC7">
        <f>SOFR3mo_PX[[#This Row],[Column81]]</f>
        <v>96.325000000000003</v>
      </c>
      <c r="CD7">
        <f>SOFR3mo_PX[[#This Row],[Column82]]</f>
        <v>96.314999999999998</v>
      </c>
      <c r="CE7">
        <f>SOFR3mo_PX[[#This Row],[Column83]]</f>
        <v>96.21</v>
      </c>
      <c r="CF7">
        <f>SOFR3mo_PX[[#This Row],[Column84]]</f>
        <v>96.224999999999994</v>
      </c>
      <c r="CG7">
        <f>SOFR3mo_PX[[#This Row],[Column85]]</f>
        <v>96.204999999999998</v>
      </c>
      <c r="CH7">
        <f>SOFR3mo_PX[[#This Row],[Column86]]</f>
        <v>96.13</v>
      </c>
      <c r="CI7">
        <f>SOFR3mo_PX[[#This Row],[Column87]]</f>
        <v>96.1</v>
      </c>
      <c r="CJ7">
        <f>SOFR3mo_PX[[#This Row],[Column88]]</f>
        <v>96</v>
      </c>
      <c r="CK7">
        <f>SOFR3mo_PX[[#This Row],[Column89]]</f>
        <v>95.99</v>
      </c>
      <c r="CL7">
        <f>SOFR3mo_PX[[#This Row],[Column90]]</f>
        <v>95.97</v>
      </c>
      <c r="CM7">
        <f>SOFR3mo_PX[[#This Row],[Column91]]</f>
        <v>96.02</v>
      </c>
      <c r="CN7">
        <f>SOFR3mo_PX[[#This Row],[Column92]]</f>
        <v>96.02</v>
      </c>
      <c r="CO7">
        <f>SOFR3mo_PX[[#This Row],[Column93]]</f>
        <v>95.944999999999993</v>
      </c>
      <c r="CP7">
        <f>SOFR3mo_PX[[#This Row],[Column94]]</f>
        <v>95.88</v>
      </c>
      <c r="CQ7">
        <f>SOFR3mo_PX[[#This Row],[Column95]]</f>
        <v>95.974999999999994</v>
      </c>
      <c r="CR7">
        <f>SOFR3mo_PX[[#This Row],[Column96]]</f>
        <v>96.004999999999995</v>
      </c>
      <c r="CS7">
        <f>SOFR3mo_PX[[#This Row],[Column97]]</f>
        <v>95.995000000000005</v>
      </c>
      <c r="CT7">
        <f>SOFR3mo_PX[[#This Row],[Column98]]</f>
        <v>96.084999999999994</v>
      </c>
      <c r="CU7">
        <f>SOFR3mo_PX[[#This Row],[Column99]]</f>
        <v>96.105000000000004</v>
      </c>
      <c r="CV7">
        <f>SOFR3mo_PX[[#This Row],[Column100]]</f>
        <v>96.075000000000003</v>
      </c>
      <c r="CW7">
        <f>SOFR3mo_PX[[#This Row],[Column101]]</f>
        <v>96.025000000000006</v>
      </c>
      <c r="CX7">
        <f>SOFR3mo_PX[[#This Row],[Column102]]</f>
        <v>96.064999999999998</v>
      </c>
      <c r="CY7">
        <f>SOFR3mo_PX[[#This Row],[Column103]]</f>
        <v>96.11</v>
      </c>
      <c r="CZ7">
        <f>SOFR3mo_PX[[#This Row],[Column104]]</f>
        <v>96.084999999999994</v>
      </c>
      <c r="DA7">
        <f>SOFR3mo_PX[[#This Row],[Column105]]</f>
        <v>96.114999999999995</v>
      </c>
      <c r="DB7">
        <f>SOFR3mo_PX[[#This Row],[Column106]]</f>
        <v>96.135000000000005</v>
      </c>
      <c r="DC7">
        <f>SOFR3mo_PX[[#This Row],[Column107]]</f>
        <v>96.034999999999997</v>
      </c>
      <c r="DD7">
        <f>SOFR3mo_PX[[#This Row],[Column108]]</f>
        <v>96.02</v>
      </c>
      <c r="DE7">
        <f>SOFR3mo_PX[[#This Row],[Column109]]</f>
        <v>96</v>
      </c>
      <c r="DF7">
        <f>SOFR3mo_PX[[#This Row],[Column110]]</f>
        <v>96</v>
      </c>
      <c r="DG7">
        <f>SOFR3mo_PX[[#This Row],[Column111]]</f>
        <v>96.004999999999995</v>
      </c>
      <c r="DH7">
        <f>SOFR3mo_PX[[#This Row],[Column112]]</f>
        <v>96.004999999999995</v>
      </c>
      <c r="DI7">
        <f>SOFR3mo_PX[[#This Row],[Column113]]</f>
        <v>96.05</v>
      </c>
      <c r="DJ7">
        <f>SOFR3mo_PX[[#This Row],[Column114]]</f>
        <v>96.02</v>
      </c>
      <c r="DK7">
        <f>SOFR3mo_PX[[#This Row],[Column115]]</f>
        <v>95.915000000000006</v>
      </c>
      <c r="DL7">
        <f>SOFR3mo_PX[[#This Row],[Column116]]</f>
        <v>95.875</v>
      </c>
      <c r="DM7">
        <f>SOFR3mo_PX[[#This Row],[Column117]]</f>
        <v>95.885000000000005</v>
      </c>
      <c r="DN7">
        <f>SOFR3mo_PX[[#This Row],[Column118]]</f>
        <v>96.05</v>
      </c>
      <c r="DO7">
        <f>SOFR3mo_PX[[#This Row],[Column119]]</f>
        <v>96.015000000000001</v>
      </c>
      <c r="DP7">
        <f>SOFR3mo_PX[[#This Row],[Column120]]</f>
        <v>95.995000000000005</v>
      </c>
      <c r="DQ7">
        <f>SOFR3mo_PX[[#This Row],[Column121]]</f>
        <v>96.02</v>
      </c>
      <c r="DR7">
        <f>SOFR3mo_PX[[#This Row],[Column122]]</f>
        <v>96.02</v>
      </c>
      <c r="DS7">
        <f>SOFR3mo_PX[[#This Row],[Column123]]</f>
        <v>96.055000000000007</v>
      </c>
      <c r="DT7">
        <f>SOFR3mo_PX[[#This Row],[Column124]]</f>
        <v>96.055000000000007</v>
      </c>
      <c r="DU7">
        <f>SOFR3mo_PX[[#This Row],[Column125]]</f>
        <v>96.055000000000007</v>
      </c>
      <c r="DV7">
        <f>SOFR3mo_PX[[#This Row],[Column126]]</f>
        <v>96.06</v>
      </c>
      <c r="DW7">
        <f>SOFR3mo_PX[[#This Row],[Column127]]</f>
        <v>95.99</v>
      </c>
      <c r="DX7">
        <f>SOFR3mo_PX[[#This Row],[Column128]]</f>
        <v>95.984999999999999</v>
      </c>
      <c r="DY7">
        <f>SOFR3mo_PX[[#This Row],[Column129]]</f>
        <v>95.984999999999999</v>
      </c>
      <c r="DZ7">
        <f>SOFR3mo_PX[[#This Row],[Column130]]</f>
        <v>95.984999999999999</v>
      </c>
      <c r="EA7">
        <f>SOFR3mo_PX[[#This Row],[Column131]]</f>
        <v>95.96</v>
      </c>
      <c r="EB7">
        <f>SOFR3mo_PX[[#This Row],[Column132]]</f>
        <v>95.995000000000005</v>
      </c>
      <c r="EC7">
        <f>SOFR3mo_PX[[#This Row],[Column133]]</f>
        <v>95.984999999999999</v>
      </c>
      <c r="ED7">
        <f>SOFR3mo_PX[[#This Row],[Column134]]</f>
        <v>95.95</v>
      </c>
      <c r="EE7">
        <f>SOFR3mo_PX[[#This Row],[Column135]]</f>
        <v>96.045000000000002</v>
      </c>
      <c r="EF7">
        <f>SOFR3mo_PX[[#This Row],[Column136]]</f>
        <v>96.055000000000007</v>
      </c>
      <c r="EG7">
        <f>SOFR3mo_PX[[#This Row],[Column137]]</f>
        <v>96.064999999999998</v>
      </c>
      <c r="EH7">
        <f>SOFR3mo_PX[[#This Row],[Column138]]</f>
        <v>96.114999999999995</v>
      </c>
      <c r="EI7">
        <f>SOFR3mo_PX[[#This Row],[Column139]]</f>
        <v>96.15</v>
      </c>
      <c r="EJ7">
        <f>SOFR3mo_PX[[#This Row],[Column140]]</f>
        <v>96.155000000000001</v>
      </c>
      <c r="EK7">
        <f>SOFR3mo_PX[[#This Row],[Column141]]</f>
        <v>96.19</v>
      </c>
      <c r="EL7">
        <f>SOFR3mo_PX[[#This Row],[Column142]]</f>
        <v>96.215000000000003</v>
      </c>
      <c r="EM7">
        <f>SOFR3mo_PX[[#This Row],[Column143]]</f>
        <v>96.155000000000001</v>
      </c>
      <c r="EN7">
        <f>SOFR3mo_PX[[#This Row],[Column144]]</f>
        <v>96.19</v>
      </c>
      <c r="EO7">
        <f>SOFR3mo_PX[[#This Row],[Column145]]</f>
        <v>96.13</v>
      </c>
      <c r="EP7">
        <f>SOFR3mo_PX[[#This Row],[Column146]]</f>
        <v>96.08</v>
      </c>
      <c r="EQ7">
        <f>SOFR3mo_PX[[#This Row],[Column147]]</f>
        <v>96.11</v>
      </c>
      <c r="ER7">
        <f>SOFR3mo_PX[[#This Row],[Column148]]</f>
        <v>96.08</v>
      </c>
      <c r="ES7">
        <f>SOFR3mo_PX[[#This Row],[Column149]]</f>
        <v>96.08</v>
      </c>
      <c r="ET7">
        <f>SOFR3mo_PX[[#This Row],[Column150]]</f>
        <v>96.02</v>
      </c>
      <c r="EU7">
        <f>SOFR3mo_PX[[#This Row],[Column151]]</f>
        <v>96.045000000000002</v>
      </c>
      <c r="EV7">
        <f>SOFR3mo_PX[[#This Row],[Column152]]</f>
        <v>95.965000000000003</v>
      </c>
      <c r="EW7">
        <f>SOFR3mo_PX[[#This Row],[Column153]]</f>
        <v>96</v>
      </c>
      <c r="EX7">
        <f>SOFR3mo_PX[[#This Row],[Column154]]</f>
        <v>96.045000000000002</v>
      </c>
      <c r="EY7">
        <f>SOFR3mo_PX[[#This Row],[Column155]]</f>
        <v>96.09</v>
      </c>
      <c r="EZ7">
        <f>SOFR3mo_PX[[#This Row],[Column156]]</f>
        <v>96.08</v>
      </c>
      <c r="FA7">
        <f>SOFR3mo_PX[[#This Row],[Column157]]</f>
        <v>96.064999999999998</v>
      </c>
      <c r="FB7">
        <f>SOFR3mo_PX[[#This Row],[Column158]]</f>
        <v>96.08</v>
      </c>
      <c r="FC7">
        <f>SOFR3mo_PX[[#This Row],[Column159]]</f>
        <v>96.094999999999999</v>
      </c>
      <c r="FD7">
        <f>SOFR3mo_PX[[#This Row],[Column160]]</f>
        <v>96.004999999999995</v>
      </c>
      <c r="FE7">
        <f>SOFR3mo_PX[[#This Row],[Column161]]</f>
        <v>96.045000000000002</v>
      </c>
      <c r="FF7">
        <f>SOFR3mo_PX[[#This Row],[Column162]]</f>
        <v>96.114999999999995</v>
      </c>
      <c r="FG7">
        <f>SOFR3mo_PX[[#This Row],[Column163]]</f>
        <v>96.165000000000006</v>
      </c>
      <c r="FH7">
        <f>SOFR3mo_PX[[#This Row],[Column164]]</f>
        <v>96.114999999999995</v>
      </c>
      <c r="FI7">
        <f>SOFR3mo_PX[[#This Row],[Column165]]</f>
        <v>96.21</v>
      </c>
      <c r="FJ7">
        <f>SOFR3mo_PX[[#This Row],[Column166]]</f>
        <v>96.26</v>
      </c>
      <c r="FK7">
        <f>SOFR3mo_PX[[#This Row],[Column167]]</f>
        <v>96.24</v>
      </c>
      <c r="FL7">
        <f>SOFR3mo_PX[[#This Row],[Column168]]</f>
        <v>96.28</v>
      </c>
      <c r="FM7">
        <f>SOFR3mo_PX[[#This Row],[Column169]]</f>
        <v>96.295000000000002</v>
      </c>
      <c r="FN7">
        <f>SOFR3mo_PX[[#This Row],[Column170]]</f>
        <v>96.344999999999999</v>
      </c>
      <c r="FO7">
        <f>SOFR3mo_PX[[#This Row],[Column171]]</f>
        <v>96.314999999999998</v>
      </c>
      <c r="FP7">
        <f>SOFR3mo_PX[[#This Row],[Column172]]</f>
        <v>96.355000000000004</v>
      </c>
      <c r="FQ7">
        <f>SOFR3mo_PX[[#This Row],[Column173]]</f>
        <v>96.405000000000001</v>
      </c>
      <c r="FR7">
        <f>SOFR3mo_PX[[#This Row],[Column174]]</f>
        <v>96.364999999999995</v>
      </c>
      <c r="FS7">
        <f>SOFR3mo_PX[[#This Row],[Column175]]</f>
        <v>96.424999999999997</v>
      </c>
      <c r="FT7">
        <f>SOFR3mo_PX[[#This Row],[Column176]]</f>
        <v>96.444999999999993</v>
      </c>
      <c r="FU7">
        <f>SOFR3mo_PX[[#This Row],[Column177]]</f>
        <v>96.53</v>
      </c>
      <c r="FV7">
        <f>SOFR3mo_PX[[#This Row],[Column178]]</f>
        <v>96.504999999999995</v>
      </c>
      <c r="FW7">
        <f>SOFR3mo_PX[[#This Row],[Column179]]</f>
        <v>96.56</v>
      </c>
      <c r="FX7">
        <f>SOFR3mo_PX[[#This Row],[Column180]]</f>
        <v>96.534999999999997</v>
      </c>
      <c r="FY7">
        <f>SOFR3mo_PX[[#This Row],[Column181]]</f>
        <v>96.484999999999999</v>
      </c>
      <c r="FZ7">
        <f>SOFR3mo_PX[[#This Row],[Column182]]</f>
        <v>96.555000000000007</v>
      </c>
      <c r="GA7">
        <f>SOFR3mo_PX[[#This Row],[Column183]]</f>
        <v>96.474999999999994</v>
      </c>
      <c r="GB7">
        <f>SOFR3mo_PX[[#This Row],[Column184]]</f>
        <v>96.45</v>
      </c>
      <c r="GC7">
        <f>SOFR3mo_PX[[#This Row],[Column185]]</f>
        <v>96.504999999999995</v>
      </c>
      <c r="GD7">
        <f>SOFR3mo_PX[[#This Row],[Column186]]</f>
        <v>96.48</v>
      </c>
      <c r="GE7">
        <f>SOFR3mo_PX[[#This Row],[Column187]]</f>
        <v>96.564999999999998</v>
      </c>
      <c r="GF7">
        <f>SOFR3mo_PX[[#This Row],[Column188]]</f>
        <v>96.84</v>
      </c>
      <c r="GG7">
        <f>SOFR3mo_PX[[#This Row],[Column189]]</f>
        <v>96.94</v>
      </c>
      <c r="GH7">
        <f>SOFR3mo_PX[[#This Row],[Column190]]</f>
        <v>96.974999999999994</v>
      </c>
      <c r="GI7">
        <f>SOFR3mo_PX[[#This Row],[Column191]]</f>
        <v>96.935000000000002</v>
      </c>
      <c r="GJ7">
        <f>SOFR3mo_PX[[#This Row],[Column192]]</f>
        <v>97.045000000000002</v>
      </c>
      <c r="GK7">
        <f>SOFR3mo_PX[[#This Row],[Column193]]</f>
        <v>96.984999999999999</v>
      </c>
      <c r="GL7">
        <f>SOFR3mo_PX[[#This Row],[Column194]]</f>
        <v>97.064999999999998</v>
      </c>
      <c r="GM7">
        <f>SOFR3mo_PX[[#This Row],[Column195]]</f>
        <v>97.105000000000004</v>
      </c>
      <c r="GN7">
        <f>SOFR3mo_PX[[#This Row],[Column196]]</f>
        <v>97.07</v>
      </c>
      <c r="GO7">
        <f>SOFR3mo_PX[[#This Row],[Column197]]</f>
        <v>97.07</v>
      </c>
      <c r="GP7">
        <f>SOFR3mo_PX[[#This Row],[Column198]]</f>
        <v>97.034999999999997</v>
      </c>
      <c r="GQ7">
        <f>SOFR3mo_PX[[#This Row],[Column199]]</f>
        <v>97.04</v>
      </c>
      <c r="GR7">
        <f>SOFR3mo_PX[[#This Row],[Column200]]</f>
        <v>96.94</v>
      </c>
      <c r="GS7">
        <f>SOFR3mo_PX[[#This Row],[Column201]]</f>
        <v>97.004999999999995</v>
      </c>
      <c r="GT7">
        <f>SOFR3mo_PX[[#This Row],[Column202]]</f>
        <v>96.974999999999994</v>
      </c>
      <c r="GU7">
        <f>SOFR3mo_PX[[#This Row],[Column203]]</f>
        <v>96.894999999999996</v>
      </c>
      <c r="GV7">
        <f>SOFR3mo_PX[[#This Row],[Column204]]</f>
        <v>96.905000000000001</v>
      </c>
      <c r="GW7">
        <f>SOFR3mo_PX[[#This Row],[Column205]]</f>
        <v>96.95</v>
      </c>
      <c r="GX7">
        <f>SOFR3mo_PX[[#This Row],[Column206]]</f>
        <v>96.885000000000005</v>
      </c>
      <c r="GY7">
        <f>SOFR3mo_PX[[#This Row],[Column207]]</f>
        <v>96.91</v>
      </c>
      <c r="GZ7">
        <f>SOFR3mo_PX[[#This Row],[Column208]]</f>
        <v>96.75</v>
      </c>
      <c r="HA7">
        <f>SOFR3mo_PX[[#This Row],[Column209]]</f>
        <v>96.74</v>
      </c>
      <c r="HB7">
        <f>SOFR3mo_PX[[#This Row],[Column210]]</f>
        <v>96.58</v>
      </c>
      <c r="HC7">
        <f>SOFR3mo_PX[[#This Row],[Column211]]</f>
        <v>96.55</v>
      </c>
      <c r="HD7">
        <f>SOFR3mo_PX[[#This Row],[Column212]]</f>
        <v>96.55</v>
      </c>
      <c r="HE7">
        <f>SOFR3mo_PX[[#This Row],[Column213]]</f>
        <v>96.584999999999994</v>
      </c>
      <c r="HF7">
        <f>SOFR3mo_PX[[#This Row],[Column214]]</f>
        <v>96.61</v>
      </c>
      <c r="HG7">
        <f>SOFR3mo_PX[[#This Row],[Column215]]</f>
        <v>96.62</v>
      </c>
      <c r="HH7">
        <f>SOFR3mo_PX[[#This Row],[Column216]]</f>
        <v>96.58</v>
      </c>
      <c r="HI7">
        <f>SOFR3mo_PX[[#This Row],[Column217]]</f>
        <v>96.605000000000004</v>
      </c>
      <c r="HJ7">
        <f>SOFR3mo_PX[[#This Row],[Column218]]</f>
        <v>96.5</v>
      </c>
      <c r="HK7">
        <f>SOFR3mo_PX[[#This Row],[Column219]]</f>
        <v>96.61</v>
      </c>
      <c r="HL7">
        <f>SOFR3mo_PX[[#This Row],[Column220]]</f>
        <v>96.51</v>
      </c>
      <c r="HM7">
        <f>SOFR3mo_PX[[#This Row],[Column221]]</f>
        <v>96.43</v>
      </c>
      <c r="HN7">
        <f>SOFR3mo_PX[[#This Row],[Column222]]</f>
        <v>96.424999999999997</v>
      </c>
      <c r="HO7">
        <f>SOFR3mo_PX[[#This Row],[Column223]]</f>
        <v>96.394999999999996</v>
      </c>
      <c r="HP7">
        <f>SOFR3mo_PX[[#This Row],[Column224]]</f>
        <v>96.6</v>
      </c>
      <c r="HQ7">
        <f>SOFR3mo_PX[[#This Row],[Column225]]</f>
        <v>96.61</v>
      </c>
      <c r="HR7">
        <f>SOFR3mo_PX[[#This Row],[Column226]]</f>
        <v>96.504999999999995</v>
      </c>
      <c r="HS7">
        <f>SOFR3mo_PX[[#This Row],[Column227]]</f>
        <v>96.465000000000003</v>
      </c>
      <c r="HT7">
        <f>SOFR3mo_PX[[#This Row],[Column228]]</f>
        <v>96.484999999999999</v>
      </c>
      <c r="HU7">
        <f>SOFR3mo_PX[[#This Row],[Column229]]</f>
        <v>96.545000000000002</v>
      </c>
      <c r="HV7">
        <f>SOFR3mo_PX[[#This Row],[Column230]]</f>
        <v>96.55</v>
      </c>
      <c r="HW7">
        <f>SOFR3mo_PX[[#This Row],[Column231]]</f>
        <v>96.67</v>
      </c>
      <c r="HX7">
        <f>SOFR3mo_PX[[#This Row],[Column232]]</f>
        <v>96.71</v>
      </c>
      <c r="HY7">
        <f>SOFR3mo_PX[[#This Row],[Column233]]</f>
        <v>96.334999999999994</v>
      </c>
      <c r="HZ7">
        <f>SOFR3mo_PX[[#This Row],[Column234]]</f>
        <v>96.1</v>
      </c>
      <c r="IA7">
        <f>SOFR3mo_PX[[#This Row],[Column235]]</f>
        <v>96.075000000000003</v>
      </c>
      <c r="IB7">
        <f>SOFR3mo_PX[[#This Row],[Column236]]</f>
        <v>96.04</v>
      </c>
      <c r="IC7">
        <f>SOFR3mo_PX[[#This Row],[Column237]]</f>
        <v>96.04</v>
      </c>
      <c r="ID7">
        <f>SOFR3mo_PX[[#This Row],[Column238]]</f>
        <v>95.995000000000005</v>
      </c>
      <c r="IE7">
        <f>SOFR3mo_PX[[#This Row],[Column239]]</f>
        <v>96.025000000000006</v>
      </c>
      <c r="IF7">
        <f>SOFR3mo_PX[[#This Row],[Column240]]</f>
        <v>95.984999999999999</v>
      </c>
      <c r="IG7">
        <f>SOFR3mo_PX[[#This Row],[Column241]]</f>
        <v>95.94</v>
      </c>
      <c r="IH7">
        <f>SOFR3mo_PX[[#This Row],[Column242]]</f>
        <v>95.965000000000003</v>
      </c>
      <c r="II7">
        <f>SOFR3mo_PX[[#This Row],[Column243]]</f>
        <v>96.02</v>
      </c>
      <c r="IJ7">
        <f>SOFR3mo_PX[[#This Row],[Column244]]</f>
        <v>96.05</v>
      </c>
      <c r="IK7">
        <f>SOFR3mo_PX[[#This Row],[Column245]]</f>
        <v>96.04</v>
      </c>
      <c r="IL7">
        <f>SOFR3mo_PX[[#This Row],[Column246]]</f>
        <v>96.04</v>
      </c>
      <c r="IM7">
        <f>SOFR3mo_PX[[#This Row],[Column247]]</f>
        <v>96.01</v>
      </c>
      <c r="IN7">
        <f>SOFR3mo_PX[[#This Row],[Column248]]</f>
        <v>95.97</v>
      </c>
      <c r="IO7">
        <f>SOFR3mo_PX[[#This Row],[Column249]]</f>
        <v>95.805000000000007</v>
      </c>
      <c r="IP7">
        <f>SOFR3mo_PX[[#This Row],[Column250]]</f>
        <v>95.8</v>
      </c>
      <c r="IQ7">
        <f>SOFR3mo_PX[[#This Row],[Column251]]</f>
        <v>95.81</v>
      </c>
      <c r="IR7">
        <f>SOFR3mo_PX[[#This Row],[Column252]]</f>
        <v>95.83</v>
      </c>
      <c r="IS7">
        <f>SOFR3mo_PX[[#This Row],[Column253]]</f>
        <v>95.704999999999998</v>
      </c>
      <c r="IT7">
        <f>SOFR3mo_PX[[#This Row],[Column254]]</f>
        <v>95.704999999999998</v>
      </c>
      <c r="IU7">
        <f>SOFR3mo_PX[[#This Row],[Column255]]</f>
        <v>95.65</v>
      </c>
      <c r="IV7">
        <f>SOFR3mo_PX[[#This Row],[Column256]]</f>
        <v>95.62</v>
      </c>
      <c r="IW7">
        <f>SOFR3mo_PX[[#This Row],[Column257]]</f>
        <v>95.685000000000002</v>
      </c>
      <c r="IX7">
        <f>SOFR3mo_PX[[#This Row],[Column258]]</f>
        <v>95.674999999999997</v>
      </c>
      <c r="IY7">
        <f>SOFR3mo_PX[[#This Row],[Column259]]</f>
        <v>95.644999999999996</v>
      </c>
      <c r="IZ7">
        <f>SOFR3mo_PX[[#This Row],[Column260]]</f>
        <v>95.724999999999994</v>
      </c>
      <c r="JA7">
        <f>SOFR3mo_PX[[#This Row],[Column261]]</f>
        <v>95.73</v>
      </c>
      <c r="JB7">
        <f>SOFR3mo_PX[[#This Row],[Column262]]</f>
        <v>95.73</v>
      </c>
      <c r="JC7">
        <f>SOFR3mo_PX[[#This Row],[Column263]]</f>
        <v>95.73</v>
      </c>
      <c r="JD7">
        <f>SOFR3mo_PX[[#This Row],[Column264]]</f>
        <v>95.495000000000005</v>
      </c>
      <c r="JE7">
        <f>SOFR3mo_PX[[#This Row],[Column265]]</f>
        <v>95.495000000000005</v>
      </c>
      <c r="JF7">
        <f>SOFR3mo_PX[[#This Row],[Column266]]</f>
        <v>95.43</v>
      </c>
      <c r="JG7">
        <f>SOFR3mo_PX[[#This Row],[Column267]]</f>
        <v>95.525000000000006</v>
      </c>
      <c r="JH7">
        <f>SOFR3mo_PX[[#This Row],[Column268]]</f>
        <v>95.504999999999995</v>
      </c>
      <c r="JI7">
        <f>SOFR3mo_PX[[#This Row],[Column269]]</f>
        <v>95.42</v>
      </c>
      <c r="JJ7">
        <f>SOFR3mo_PX[[#This Row],[Column270]]</f>
        <v>95.325000000000003</v>
      </c>
      <c r="JK7">
        <f>SOFR3mo_PX[[#This Row],[Column271]]</f>
        <v>95.284999999999997</v>
      </c>
      <c r="JL7">
        <f>SOFR3mo_PX[[#This Row],[Column272]]</f>
        <v>95.284999999999997</v>
      </c>
      <c r="JM7">
        <f>SOFR3mo_PX[[#This Row],[Column273]]</f>
        <v>95.46</v>
      </c>
      <c r="JN7">
        <f>SOFR3mo_PX[[#This Row],[Column274]]</f>
        <v>95.44</v>
      </c>
      <c r="JO7">
        <f>SOFR3mo_PX[[#This Row],[Column275]]</f>
        <v>95.385000000000005</v>
      </c>
      <c r="JP7">
        <f>SOFR3mo_PX[[#This Row],[Column276]]</f>
        <v>95.325000000000003</v>
      </c>
      <c r="JQ7">
        <f>SOFR3mo_PX[[#This Row],[Column277]]</f>
        <v>95.245000000000005</v>
      </c>
      <c r="JR7">
        <f>SOFR3mo_PX[[#This Row],[Column278]]</f>
        <v>95.21</v>
      </c>
      <c r="JS7">
        <f>SOFR3mo_PX[[#This Row],[Column279]]</f>
        <v>95.155000000000001</v>
      </c>
      <c r="JT7">
        <f>SOFR3mo_PX[[#This Row],[Column280]]</f>
        <v>95.17</v>
      </c>
      <c r="JU7">
        <f>SOFR3mo_PX[[#This Row],[Column281]]</f>
        <v>95.2</v>
      </c>
      <c r="JV7">
        <f>SOFR3mo_PX[[#This Row],[Column282]]</f>
        <v>95.2</v>
      </c>
      <c r="JW7">
        <f>SOFR3mo_PX[[#This Row],[Column283]]</f>
        <v>95.22</v>
      </c>
      <c r="JX7">
        <f>SOFR3mo_PX[[#This Row],[Column284]]</f>
        <v>95.29</v>
      </c>
      <c r="JY7">
        <f>SOFR3mo_PX[[#This Row],[Column285]]</f>
        <v>95.344999999999999</v>
      </c>
      <c r="JZ7">
        <f>SOFR3mo_PX[[#This Row],[Column286]]</f>
        <v>95.33</v>
      </c>
      <c r="KA7">
        <f>SOFR3mo_PX[[#This Row],[Column287]]</f>
        <v>95.35</v>
      </c>
      <c r="KB7">
        <f>SOFR3mo_PX[[#This Row],[Column288]]</f>
        <v>95.39</v>
      </c>
      <c r="KC7">
        <f>SOFR3mo_PX[[#This Row],[Column289]]</f>
        <v>95.465000000000003</v>
      </c>
      <c r="KD7">
        <f>SOFR3mo_PX[[#This Row],[Column290]]</f>
        <v>95.364999999999995</v>
      </c>
      <c r="KE7">
        <f>SOFR3mo_PX[[#This Row],[Column291]]</f>
        <v>95.33</v>
      </c>
      <c r="KF7">
        <f>SOFR3mo_PX[[#This Row],[Column292]]</f>
        <v>95.325000000000003</v>
      </c>
      <c r="KG7">
        <f>SOFR3mo_PX[[#This Row],[Column293]]</f>
        <v>95.394999999999996</v>
      </c>
      <c r="KH7">
        <f>SOFR3mo_PX[[#This Row],[Column294]]</f>
        <v>95.355000000000004</v>
      </c>
      <c r="KI7">
        <f>SOFR3mo_PX[[#This Row],[Column295]]</f>
        <v>95.38</v>
      </c>
      <c r="KJ7">
        <f>SOFR3mo_PX[[#This Row],[Column296]]</f>
        <v>95.385000000000005</v>
      </c>
      <c r="KK7">
        <f>SOFR3mo_PX[[#This Row],[Column297]]</f>
        <v>95.405000000000001</v>
      </c>
      <c r="KL7">
        <f>SOFR3mo_PX[[#This Row],[Column298]]</f>
        <v>95.3</v>
      </c>
      <c r="KM7">
        <f>SOFR3mo_PX[[#This Row],[Column299]]</f>
        <v>95.22</v>
      </c>
      <c r="KN7">
        <f>SOFR3mo_PX[[#This Row],[Column300]]</f>
        <v>95.11</v>
      </c>
      <c r="KO7">
        <f>SOFR3mo_PX[[#This Row],[Column301]]</f>
        <v>95.2</v>
      </c>
      <c r="KP7">
        <f>SOFR3mo_PX[[#This Row],[Column302]]</f>
        <v>95.174999999999997</v>
      </c>
      <c r="KQ7">
        <f>SOFR3mo_PX[[#This Row],[Column303]]</f>
        <v>95.18</v>
      </c>
      <c r="KR7">
        <f>SOFR3mo_PX[[#This Row],[Column304]]</f>
        <v>95.27</v>
      </c>
      <c r="KS7">
        <f>SOFR3mo_PX[[#This Row],[Column305]]</f>
        <v>95.305000000000007</v>
      </c>
      <c r="KT7">
        <f>SOFR3mo_PX[[#This Row],[Column306]]</f>
        <v>95.25</v>
      </c>
      <c r="KU7">
        <f>SOFR3mo_PX[[#This Row],[Column307]]</f>
        <v>95.245000000000005</v>
      </c>
      <c r="KV7">
        <f>SOFR3mo_PX[[#This Row],[Column308]]</f>
        <v>95.22</v>
      </c>
      <c r="KW7">
        <f>SOFR3mo_PX[[#This Row],[Column309]]</f>
        <v>95.3</v>
      </c>
      <c r="KX7">
        <f>SOFR3mo_PX[[#This Row],[Column310]]</f>
        <v>95.27</v>
      </c>
      <c r="KY7">
        <f>SOFR3mo_PX[[#This Row],[Column311]]</f>
        <v>95.28</v>
      </c>
      <c r="KZ7">
        <f>SOFR3mo_PX[[#This Row],[Column312]]</f>
        <v>95.344999999999999</v>
      </c>
      <c r="LA7">
        <f>SOFR3mo_PX[[#This Row],[Column313]]</f>
        <v>95.265000000000001</v>
      </c>
      <c r="LB7">
        <f>SOFR3mo_PX[[#This Row],[Column314]]</f>
        <v>95.265000000000001</v>
      </c>
      <c r="LC7">
        <f>SOFR3mo_PX[[#This Row],[Column315]]</f>
        <v>95.555000000000007</v>
      </c>
      <c r="LD7">
        <f>SOFR3mo_PX[[#This Row],[Column316]]</f>
        <v>95.51</v>
      </c>
      <c r="LE7">
        <f>SOFR3mo_PX[[#This Row],[Column317]]</f>
        <v>95.57</v>
      </c>
      <c r="LF7">
        <f>SOFR3mo_PX[[#This Row],[Column318]]</f>
        <v>95.67</v>
      </c>
      <c r="LG7">
        <f>SOFR3mo_PX[[#This Row],[Column319]]</f>
        <v>95.635000000000005</v>
      </c>
      <c r="LH7">
        <f>SOFR3mo_PX[[#This Row],[Column320]]</f>
        <v>95.61</v>
      </c>
      <c r="LI7">
        <f>SOFR3mo_PX[[#This Row],[Column321]]</f>
        <v>95.59</v>
      </c>
      <c r="LJ7">
        <f>SOFR3mo_PX[[#This Row],[Column322]]</f>
        <v>95.7</v>
      </c>
      <c r="LK7">
        <f>SOFR3mo_PX[[#This Row],[Column323]]</f>
        <v>95.7</v>
      </c>
      <c r="LL7">
        <f>SOFR3mo_PX[[#This Row],[Column324]]</f>
        <v>95.76</v>
      </c>
      <c r="LM7">
        <f>SOFR3mo_PX[[#This Row],[Column325]]</f>
        <v>95.734999999999999</v>
      </c>
      <c r="LN7">
        <f>SOFR3mo_PX[[#This Row],[Column326]]</f>
        <v>95.745000000000005</v>
      </c>
      <c r="LO7">
        <f>SOFR3mo_PX[[#This Row],[Column327]]</f>
        <v>95.78</v>
      </c>
      <c r="LP7">
        <f>SOFR3mo_PX[[#This Row],[Column328]]</f>
        <v>95.75</v>
      </c>
      <c r="LQ7">
        <f>SOFR3mo_PX[[#This Row],[Column329]]</f>
        <v>95.78</v>
      </c>
      <c r="LR7">
        <f>SOFR3mo_PX[[#This Row],[Column330]]</f>
        <v>95.41</v>
      </c>
      <c r="LS7">
        <f>SOFR3mo_PX[[#This Row],[Column331]]</f>
        <v>95.38</v>
      </c>
      <c r="LT7">
        <f>SOFR3mo_PX[[#This Row],[Column332]]</f>
        <v>95.405000000000001</v>
      </c>
      <c r="LU7">
        <f>SOFR3mo_PX[[#This Row],[Column333]]</f>
        <v>95.43</v>
      </c>
      <c r="LV7">
        <f>SOFR3mo_PX[[#This Row],[Column334]]</f>
        <v>95.5</v>
      </c>
      <c r="LW7">
        <f>SOFR3mo_PX[[#This Row],[Column335]]</f>
        <v>95.53</v>
      </c>
      <c r="LX7">
        <f>SOFR3mo_PX[[#This Row],[Column336]]</f>
        <v>95.605000000000004</v>
      </c>
      <c r="LY7">
        <f>SOFR3mo_PX[[#This Row],[Column337]]</f>
        <v>95.644999999999996</v>
      </c>
      <c r="LZ7">
        <f>SOFR3mo_PX[[#This Row],[Column338]]</f>
        <v>95.614999999999995</v>
      </c>
      <c r="MA7">
        <f>SOFR3mo_PX[[#This Row],[Column339]]</f>
        <v>95.564999999999998</v>
      </c>
      <c r="MB7">
        <f>SOFR3mo_PX[[#This Row],[Column340]]</f>
        <v>95.58</v>
      </c>
      <c r="MC7">
        <f>SOFR3mo_PX[[#This Row],[Column341]]</f>
        <v>95.52</v>
      </c>
      <c r="MD7">
        <f>SOFR3mo_PX[[#This Row],[Column342]]</f>
        <v>95.605000000000004</v>
      </c>
      <c r="ME7">
        <f>SOFR3mo_PX[[#This Row],[Column343]]</f>
        <v>95.5</v>
      </c>
      <c r="MF7">
        <f>SOFR3mo_PX[[#This Row],[Column344]]</f>
        <v>95.515000000000001</v>
      </c>
      <c r="MG7">
        <f>SOFR3mo_PX[[#This Row],[Column345]]</f>
        <v>95.444999999999993</v>
      </c>
      <c r="MH7">
        <f>SOFR3mo_PX[[#This Row],[Column346]]</f>
        <v>95.46</v>
      </c>
      <c r="MI7">
        <f>SOFR3mo_PX[[#This Row],[Column347]]</f>
        <v>95.51</v>
      </c>
      <c r="MJ7">
        <f>SOFR3mo_PX[[#This Row],[Column348]]</f>
        <v>95.495000000000005</v>
      </c>
      <c r="MK7">
        <f>SOFR3mo_PX[[#This Row],[Column349]]</f>
        <v>95.57</v>
      </c>
      <c r="ML7">
        <f>SOFR3mo_PX[[#This Row],[Column350]]</f>
        <v>95.614999999999995</v>
      </c>
      <c r="MM7">
        <f>SOFR3mo_PX[[#This Row],[Column351]]</f>
        <v>95.584999999999994</v>
      </c>
      <c r="MN7">
        <f>SOFR3mo_PX[[#This Row],[Column352]]</f>
        <v>95.584999999999994</v>
      </c>
      <c r="MO7">
        <f>SOFR3mo_PX[[#This Row],[Column353]]</f>
        <v>95.67</v>
      </c>
      <c r="MP7">
        <f>SOFR3mo_PX[[#This Row],[Column354]]</f>
        <v>95.67</v>
      </c>
      <c r="MQ7">
        <f>SOFR3mo_PX[[#This Row],[Column355]]</f>
        <v>95.584999999999994</v>
      </c>
      <c r="MR7">
        <f>SOFR3mo_PX[[#This Row],[Column356]]</f>
        <v>95.82</v>
      </c>
      <c r="MS7">
        <f>SOFR3mo_PX[[#This Row],[Column357]]</f>
        <v>95.814999999999998</v>
      </c>
      <c r="MT7">
        <f>SOFR3mo_PX[[#This Row],[Column358]]</f>
        <v>95.864999999999995</v>
      </c>
      <c r="MU7">
        <f>SOFR3mo_PX[[#This Row],[Column359]]</f>
        <v>95.905000000000001</v>
      </c>
      <c r="MV7">
        <f>SOFR3mo_PX[[#This Row],[Column360]]</f>
        <v>95.92</v>
      </c>
      <c r="MW7">
        <f>SOFR3mo_PX[[#This Row],[Column361]]</f>
        <v>95.844999999999999</v>
      </c>
      <c r="MX7">
        <f>SOFR3mo_PX[[#This Row],[Column362]]</f>
        <v>95.954999999999998</v>
      </c>
      <c r="MY7">
        <f>SOFR3mo_PX[[#This Row],[Column363]]</f>
        <v>96.19</v>
      </c>
      <c r="MZ7">
        <f>SOFR3mo_PX[[#This Row],[Column364]]</f>
        <v>96.174999999999997</v>
      </c>
      <c r="NA7">
        <f>SOFR3mo_PX[[#This Row],[Column365]]</f>
        <v>96</v>
      </c>
      <c r="NB7">
        <f>SOFR3mo_PX[[#This Row],[Column366]]</f>
        <v>96.07</v>
      </c>
      <c r="NC7">
        <f>SOFR3mo_PX[[#This Row],[Column367]]</f>
        <v>96.025000000000006</v>
      </c>
      <c r="ND7">
        <f>SOFR3mo_PX[[#This Row],[Column368]]</f>
        <v>96.094999999999999</v>
      </c>
      <c r="NE7">
        <f>SOFR3mo_PX[[#This Row],[Column369]]</f>
        <v>96.02</v>
      </c>
      <c r="NF7">
        <f>SOFR3mo_PX[[#This Row],[Column370]]</f>
        <v>96.04</v>
      </c>
      <c r="NG7">
        <f>SOFR3mo_PX[[#This Row],[Column371]]</f>
        <v>96.045000000000002</v>
      </c>
      <c r="NH7">
        <f>SOFR3mo_PX[[#This Row],[Column372]]</f>
        <v>96.02</v>
      </c>
      <c r="NI7">
        <f>SOFR3mo_PX[[#This Row],[Column373]]</f>
        <v>96.1</v>
      </c>
      <c r="NJ7">
        <f>SOFR3mo_PX[[#This Row],[Column374]]</f>
        <v>96.09</v>
      </c>
      <c r="NK7">
        <f>SOFR3mo_PX[[#This Row],[Column375]]</f>
        <v>96.27</v>
      </c>
      <c r="NL7">
        <f>SOFR3mo_PX[[#This Row],[Column376]]</f>
        <v>96.375</v>
      </c>
      <c r="NM7">
        <f>SOFR3mo_PX[[#This Row],[Column377]]</f>
        <v>96.375</v>
      </c>
      <c r="NN7">
        <f>SOFR3mo_PX[[#This Row],[Column378]]</f>
        <v>96.224999999999994</v>
      </c>
      <c r="NO7">
        <f>SOFR3mo_PX[[#This Row],[Column379]]</f>
        <v>96.08</v>
      </c>
      <c r="NP7">
        <f>SOFR3mo_PX[[#This Row],[Column380]]</f>
        <v>96.07</v>
      </c>
      <c r="NQ7">
        <f>SOFR3mo_PX[[#This Row],[Column381]]</f>
        <v>96.1</v>
      </c>
      <c r="NR7">
        <f>SOFR3mo_PX[[#This Row],[Column382]]</f>
        <v>96.064999999999998</v>
      </c>
      <c r="NS7">
        <f>SOFR3mo_PX[[#This Row],[Column383]]</f>
        <v>96.08</v>
      </c>
      <c r="NT7">
        <f>SOFR3mo_PX[[#This Row],[Column384]]</f>
        <v>96.165000000000006</v>
      </c>
      <c r="NU7">
        <f>SOFR3mo_PX[[#This Row],[Column385]]</f>
        <v>96.174999999999997</v>
      </c>
      <c r="NV7">
        <f>SOFR3mo_PX[[#This Row],[Column386]]</f>
        <v>96.27</v>
      </c>
      <c r="NW7">
        <f>SOFR3mo_PX[[#This Row],[Column387]]</f>
        <v>96.27</v>
      </c>
      <c r="NX7">
        <f>SOFR3mo_PX[[#This Row],[Column388]]</f>
        <v>96.234999999999999</v>
      </c>
      <c r="NY7">
        <f>SOFR3mo_PX[[#This Row],[Column389]]</f>
        <v>96.284999999999997</v>
      </c>
      <c r="NZ7">
        <f>SOFR3mo_PX[[#This Row],[Column390]]</f>
        <v>96.22</v>
      </c>
      <c r="OA7">
        <f>SOFR3mo_PX[[#This Row],[Column391]]</f>
        <v>96.245000000000005</v>
      </c>
      <c r="OB7">
        <f>SOFR3mo_PX[[#This Row],[Column392]]</f>
        <v>96.245000000000005</v>
      </c>
      <c r="OC7">
        <f>SOFR3mo_PX[[#This Row],[Column393]]</f>
        <v>96.234999999999999</v>
      </c>
      <c r="OD7">
        <f>SOFR3mo_PX[[#This Row],[Column394]]</f>
        <v>96.204999999999998</v>
      </c>
      <c r="OE7">
        <f>SOFR3mo_PX[[#This Row],[Column395]]</f>
        <v>95.76</v>
      </c>
      <c r="OF7">
        <f>SOFR3mo_PX[[#This Row],[Column396]]</f>
        <v>95.734999999999999</v>
      </c>
      <c r="OG7">
        <f>SOFR3mo_PX[[#This Row],[Column397]]</f>
        <v>95.72</v>
      </c>
      <c r="OH7">
        <f>SOFR3mo_PX[[#This Row],[Column398]]</f>
        <v>95.805000000000007</v>
      </c>
      <c r="OI7">
        <f>SOFR3mo_PX[[#This Row],[Column399]]</f>
        <v>95.734999999999999</v>
      </c>
      <c r="OJ7">
        <f>SOFR3mo_PX[[#This Row],[Column400]]</f>
        <v>95.435000000000002</v>
      </c>
      <c r="OK7">
        <f>SOFR3mo_PX[[#This Row],[Column401]]</f>
        <v>95.454999999999998</v>
      </c>
      <c r="OL7">
        <f>SOFR3mo_PX[[#This Row],[Column402]]</f>
        <v>95.444999999999993</v>
      </c>
      <c r="OM7">
        <f>SOFR3mo_PX[[#This Row],[Column403]]</f>
        <v>95.625</v>
      </c>
      <c r="ON7">
        <f>SOFR3mo_PX[[#This Row],[Column404]]</f>
        <v>95.59</v>
      </c>
      <c r="OO7">
        <f>SOFR3mo_PX[[#This Row],[Column405]]</f>
        <v>95.644999999999996</v>
      </c>
      <c r="OP7">
        <f>SOFR3mo_PX[[#This Row],[Column406]]</f>
        <v>95.584999999999994</v>
      </c>
      <c r="OQ7">
        <f>SOFR3mo_PX[[#This Row],[Column407]]</f>
        <v>95.674999999999997</v>
      </c>
      <c r="OR7">
        <f>SOFR3mo_PX[[#This Row],[Column408]]</f>
        <v>95.47</v>
      </c>
      <c r="OS7">
        <f>SOFR3mo_PX[[#This Row],[Column409]]</f>
        <v>95.54</v>
      </c>
      <c r="OT7">
        <f>SOFR3mo_PX[[#This Row],[Column410]]</f>
        <v>95.385000000000005</v>
      </c>
      <c r="OU7">
        <f>SOFR3mo_PX[[#This Row],[Column411]]</f>
        <v>95.25</v>
      </c>
      <c r="OV7">
        <f>SOFR3mo_PX[[#This Row],[Column412]]</f>
        <v>95.204999999999998</v>
      </c>
      <c r="OW7">
        <f>SOFR3mo_PX[[#This Row],[Column413]]</f>
        <v>95.25</v>
      </c>
      <c r="OX7">
        <f>SOFR3mo_PX[[#This Row],[Column414]]</f>
        <v>95.25</v>
      </c>
      <c r="OY7">
        <f>SOFR3mo_PX[[#This Row],[Column415]]</f>
        <v>95.295000000000002</v>
      </c>
      <c r="OZ7">
        <f>SOFR3mo_PX[[#This Row],[Column416]]</f>
        <v>95.27</v>
      </c>
      <c r="PA7">
        <f>SOFR3mo_PX[[#This Row],[Column417]]</f>
        <v>95.29</v>
      </c>
      <c r="PB7">
        <f>SOFR3mo_PX[[#This Row],[Column418]]</f>
        <v>95.355000000000004</v>
      </c>
      <c r="PC7">
        <f>SOFR3mo_PX[[#This Row],[Column419]]</f>
        <v>95.28</v>
      </c>
      <c r="PD7">
        <f>SOFR3mo_PX[[#This Row],[Column420]]</f>
        <v>95.4</v>
      </c>
      <c r="PE7">
        <f>SOFR3mo_PX[[#This Row],[Column421]]</f>
        <v>95.15</v>
      </c>
      <c r="PF7">
        <f>SOFR3mo_PX[[#This Row],[Column422]]</f>
        <v>95.13</v>
      </c>
      <c r="PG7">
        <f>SOFR3mo_PX[[#This Row],[Column423]]</f>
        <v>95.165000000000006</v>
      </c>
      <c r="PH7">
        <f>SOFR3mo_PX[[#This Row],[Column424]]</f>
        <v>95.254999999999995</v>
      </c>
      <c r="PI7">
        <f>SOFR3mo_PX[[#This Row],[Column425]]</f>
        <v>95.295000000000002</v>
      </c>
      <c r="PJ7">
        <f>SOFR3mo_PX[[#This Row],[Column426]]</f>
        <v>95.26</v>
      </c>
      <c r="PK7">
        <f>SOFR3mo_PX[[#This Row],[Column427]]</f>
        <v>95.39</v>
      </c>
      <c r="PL7">
        <f>SOFR3mo_PX[[#This Row],[Column428]]</f>
        <v>95.22</v>
      </c>
      <c r="PM7">
        <f>SOFR3mo_PX[[#This Row],[Column429]]</f>
        <v>95.21</v>
      </c>
      <c r="PN7">
        <f>SOFR3mo_PX[[#This Row],[Column430]]</f>
        <v>95.084999999999994</v>
      </c>
      <c r="PO7">
        <f>SOFR3mo_PX[[#This Row],[Column431]]</f>
        <v>95.14</v>
      </c>
      <c r="PP7">
        <f>SOFR3mo_PX[[#This Row],[Column432]]</f>
        <v>95.17</v>
      </c>
      <c r="PQ7">
        <f>SOFR3mo_PX[[#This Row],[Column433]]</f>
        <v>95.144999999999996</v>
      </c>
      <c r="PR7">
        <f>SOFR3mo_PX[[#This Row],[Column434]]</f>
        <v>95.06</v>
      </c>
      <c r="PS7">
        <f>SOFR3mo_PX[[#This Row],[Column435]]</f>
        <v>95.105000000000004</v>
      </c>
      <c r="PT7">
        <f>SOFR3mo_PX[[#This Row],[Column436]]</f>
        <v>95.15</v>
      </c>
      <c r="PU7">
        <f>SOFR3mo_PX[[#This Row],[Column437]]</f>
        <v>95.12</v>
      </c>
      <c r="PV7">
        <f>SOFR3mo_PX[[#This Row],[Column438]]</f>
        <v>95.03</v>
      </c>
      <c r="PW7">
        <f>SOFR3mo_PX[[#This Row],[Column439]]</f>
        <v>94.97</v>
      </c>
      <c r="PX7">
        <f>SOFR3mo_PX[[#This Row],[Column440]]</f>
        <v>94.97</v>
      </c>
      <c r="PY7">
        <f>SOFR3mo_PX[[#This Row],[Column441]]</f>
        <v>95.08</v>
      </c>
      <c r="PZ7">
        <f>SOFR3mo_PX[[#This Row],[Column442]]</f>
        <v>95.114999999999995</v>
      </c>
      <c r="QA7">
        <f>SOFR3mo_PX[[#This Row],[Column443]]</f>
        <v>95.105000000000004</v>
      </c>
      <c r="QB7">
        <f>SOFR3mo_PX[[#This Row],[Column444]]</f>
        <v>95.174999999999997</v>
      </c>
      <c r="QC7">
        <f>SOFR3mo_PX[[#This Row],[Column445]]</f>
        <v>95.215000000000003</v>
      </c>
      <c r="QD7">
        <f>SOFR3mo_PX[[#This Row],[Column446]]</f>
        <v>95.254999999999995</v>
      </c>
      <c r="QE7">
        <f>SOFR3mo_PX[[#This Row],[Column447]]</f>
        <v>95.09</v>
      </c>
      <c r="QF7">
        <f>SOFR3mo_PX[[#This Row],[Column448]]</f>
        <v>95.16</v>
      </c>
      <c r="QG7">
        <f>SOFR3mo_PX[[#This Row],[Column449]]</f>
        <v>95.12</v>
      </c>
      <c r="QH7">
        <f>SOFR3mo_PX[[#This Row],[Column450]]</f>
        <v>95</v>
      </c>
      <c r="QI7">
        <f>SOFR3mo_PX[[#This Row],[Column451]]</f>
        <v>95.015000000000001</v>
      </c>
      <c r="QJ7">
        <f>SOFR3mo_PX[[#This Row],[Column452]]</f>
        <v>95.09</v>
      </c>
      <c r="QK7">
        <f>SOFR3mo_PX[[#This Row],[Column453]]</f>
        <v>95.07</v>
      </c>
      <c r="QL7">
        <f>SOFR3mo_PX[[#This Row],[Column454]]</f>
        <v>94.99</v>
      </c>
      <c r="QM7">
        <f>SOFR3mo_PX[[#This Row],[Column455]]</f>
        <v>95.05</v>
      </c>
      <c r="QN7">
        <f>SOFR3mo_PX[[#This Row],[Column456]]</f>
        <v>95.034999999999997</v>
      </c>
      <c r="QO7">
        <f>SOFR3mo_PX[[#This Row],[Column457]]</f>
        <v>95.04</v>
      </c>
      <c r="QP7">
        <f>SOFR3mo_PX[[#This Row],[Column458]]</f>
        <v>95.02</v>
      </c>
      <c r="QQ7">
        <f>SOFR3mo_PX[[#This Row],[Column459]]</f>
        <v>95.04</v>
      </c>
      <c r="QR7">
        <f>SOFR3mo_PX[[#This Row],[Column460]]</f>
        <v>94.8</v>
      </c>
      <c r="QS7">
        <f>SOFR3mo_PX[[#This Row],[Column461]]</f>
        <v>94.85</v>
      </c>
      <c r="QT7">
        <f>SOFR3mo_PX[[#This Row],[Column462]]</f>
        <v>94.87</v>
      </c>
      <c r="QU7">
        <f>SOFR3mo_PX[[#This Row],[Column463]]</f>
        <v>94.91</v>
      </c>
      <c r="QV7">
        <f>SOFR3mo_PX[[#This Row],[Column464]]</f>
        <v>94.935000000000002</v>
      </c>
      <c r="QW7">
        <f>SOFR3mo_PX[[#This Row],[Column465]]</f>
        <v>94.924999999999997</v>
      </c>
      <c r="QX7">
        <f>SOFR3mo_PX[[#This Row],[Column466]]</f>
        <v>94.944999999999993</v>
      </c>
      <c r="QY7">
        <f>SOFR3mo_PX[[#This Row],[Column467]]</f>
        <v>94.954999999999998</v>
      </c>
      <c r="QZ7">
        <f>SOFR3mo_PX[[#This Row],[Column468]]</f>
        <v>94.995000000000005</v>
      </c>
      <c r="RA7">
        <f>SOFR3mo_PX[[#This Row],[Column469]]</f>
        <v>94.924999999999997</v>
      </c>
      <c r="RB7">
        <f>SOFR3mo_PX[[#This Row],[Column470]]</f>
        <v>94.974999999999994</v>
      </c>
      <c r="RC7">
        <f>SOFR3mo_PX[[#This Row],[Column471]]</f>
        <v>95.105000000000004</v>
      </c>
      <c r="RD7">
        <f>SOFR3mo_PX[[#This Row],[Column472]]</f>
        <v>95.105000000000004</v>
      </c>
      <c r="RE7">
        <f>SOFR3mo_PX[[#This Row],[Column473]]</f>
        <v>95.114999999999995</v>
      </c>
      <c r="RF7">
        <f>SOFR3mo_PX[[#This Row],[Column474]]</f>
        <v>95.08</v>
      </c>
      <c r="RG7">
        <f>SOFR3mo_PX[[#This Row],[Column475]]</f>
        <v>95.055000000000007</v>
      </c>
      <c r="RH7">
        <f>SOFR3mo_PX[[#This Row],[Column476]]</f>
        <v>94.915000000000006</v>
      </c>
      <c r="RI7">
        <f>SOFR3mo_PX[[#This Row],[Column477]]</f>
        <v>94.924999999999997</v>
      </c>
      <c r="RJ7">
        <f>SOFR3mo_PX[[#This Row],[Column478]]</f>
        <v>95</v>
      </c>
      <c r="RK7">
        <f>SOFR3mo_PX[[#This Row],[Column479]]</f>
        <v>95.1</v>
      </c>
      <c r="RL7">
        <f>SOFR3mo_PX[[#This Row],[Column480]]</f>
        <v>95.004999999999995</v>
      </c>
      <c r="RM7">
        <f>SOFR3mo_PX[[#This Row],[Column481]]</f>
        <v>95.055000000000007</v>
      </c>
      <c r="RN7">
        <f>SOFR3mo_PX[[#This Row],[Column482]]</f>
        <v>95.114999999999995</v>
      </c>
      <c r="RO7">
        <f>SOFR3mo_PX[[#This Row],[Column483]]</f>
        <v>95.094999999999999</v>
      </c>
      <c r="RP7">
        <f>SOFR3mo_PX[[#This Row],[Column484]]</f>
        <v>95.064999999999998</v>
      </c>
      <c r="RQ7">
        <f>SOFR3mo_PX[[#This Row],[Column485]]</f>
        <v>95.094999999999999</v>
      </c>
      <c r="RR7">
        <f>SOFR3mo_PX[[#This Row],[Column486]]</f>
        <v>95.084999999999994</v>
      </c>
      <c r="RS7">
        <f>SOFR3mo_PX[[#This Row],[Column487]]</f>
        <v>95.174999999999997</v>
      </c>
      <c r="RT7">
        <f>SOFR3mo_PX[[#This Row],[Column488]]</f>
        <v>95.245000000000005</v>
      </c>
      <c r="RU7">
        <f>SOFR3mo_PX[[#This Row],[Column489]]</f>
        <v>95.27</v>
      </c>
      <c r="RV7">
        <f>SOFR3mo_PX[[#This Row],[Column490]]</f>
        <v>95.31</v>
      </c>
      <c r="RW7">
        <f>SOFR3mo_PX[[#This Row],[Column491]]</f>
        <v>95.32</v>
      </c>
      <c r="RX7">
        <f>SOFR3mo_PX[[#This Row],[Column492]]</f>
        <v>95.29</v>
      </c>
      <c r="RY7">
        <f>SOFR3mo_PX[[#This Row],[Column493]]</f>
        <v>95.194999999999993</v>
      </c>
      <c r="RZ7">
        <f>SOFR3mo_PX[[#This Row],[Column494]]</f>
        <v>95.204999999999998</v>
      </c>
      <c r="SA7">
        <f>SOFR3mo_PX[[#This Row],[Column495]]</f>
        <v>95.14</v>
      </c>
      <c r="SB7">
        <f>SOFR3mo_PX[[#This Row],[Column496]]</f>
        <v>95.16</v>
      </c>
      <c r="SC7">
        <f>SOFR3mo_PX[[#This Row],[Column497]]</f>
        <v>95.13</v>
      </c>
      <c r="SD7">
        <f>SOFR3mo_PX[[#This Row],[Column498]]</f>
        <v>95.09</v>
      </c>
      <c r="SE7">
        <f>SOFR3mo_PX[[#This Row],[Column499]]</f>
        <v>95.24</v>
      </c>
      <c r="SF7">
        <f>SOFR3mo_PX[[#This Row],[Column500]]</f>
        <v>95.18</v>
      </c>
      <c r="SG7">
        <f>SOFR3mo_PX[[#This Row],[Column501]]</f>
        <v>95.22</v>
      </c>
      <c r="SH7">
        <f>SOFR3mo_PX[[#This Row],[Column502]]</f>
        <v>95.265000000000001</v>
      </c>
      <c r="SI7">
        <f>SOFR3mo_PX[[#This Row],[Column503]]</f>
        <v>95.295000000000002</v>
      </c>
      <c r="SJ7">
        <f>SOFR3mo_PX[[#This Row],[Column504]]</f>
        <v>95.39</v>
      </c>
      <c r="SK7">
        <f>SOFR3mo_PX[[#This Row],[Column505]]</f>
        <v>95.405000000000001</v>
      </c>
      <c r="SL7">
        <f>SOFR3mo_PX[[#This Row],[Column506]]</f>
        <v>95.44</v>
      </c>
      <c r="SM7">
        <f>SOFR3mo_PX[[#This Row],[Column507]]</f>
        <v>95.424999999999997</v>
      </c>
      <c r="SN7">
        <f>SOFR3mo_PX[[#This Row],[Column508]]</f>
        <v>95.584999999999994</v>
      </c>
      <c r="SO7">
        <f>SOFR3mo_PX[[#This Row],[Column509]]</f>
        <v>95.415000000000006</v>
      </c>
      <c r="SP7">
        <f>SOFR3mo_PX[[#This Row],[Column510]]</f>
        <v>95.22</v>
      </c>
      <c r="SQ7">
        <f>SOFR3mo_PX[[#This Row],[Column511]]</f>
        <v>95.254999999999995</v>
      </c>
      <c r="SR7">
        <f>SOFR3mo_PX[[#This Row],[Column512]]</f>
        <v>95.17</v>
      </c>
      <c r="SS7">
        <f>SOFR3mo_PX[[#This Row],[Column513]]</f>
        <v>95.09</v>
      </c>
      <c r="ST7">
        <f>SOFR3mo_PX[[#This Row],[Column514]]</f>
        <v>95.155000000000001</v>
      </c>
      <c r="SU7">
        <f>SOFR3mo_PX[[#This Row],[Column515]]</f>
        <v>95.174999999999997</v>
      </c>
      <c r="SV7">
        <f>SOFR3mo_PX[[#This Row],[Column516]]</f>
        <v>95.174999999999997</v>
      </c>
      <c r="SW7">
        <f>SOFR3mo_PX[[#This Row],[Column517]]</f>
        <v>95.24</v>
      </c>
      <c r="SX7">
        <f>SOFR3mo_PX[[#This Row],[Column518]]</f>
        <v>95.245000000000005</v>
      </c>
      <c r="SY7">
        <f>SOFR3mo_PX[[#This Row],[Column519]]</f>
        <v>95.44</v>
      </c>
      <c r="SZ7">
        <f>SOFR3mo_PX[[#This Row],[Column520]]</f>
        <v>95.38</v>
      </c>
      <c r="TA7">
        <f>SOFR3mo_PX[[#This Row],[Column521]]</f>
        <v>95.5</v>
      </c>
      <c r="TB7">
        <f>SOFR3mo_PX[[#This Row],[Column522]]</f>
        <v>95.5</v>
      </c>
      <c r="TC7">
        <f>SOFR3mo_PX[[#This Row],[Column523]]</f>
        <v>95.415000000000006</v>
      </c>
      <c r="TD7">
        <f>SOFR3mo_PX[[#This Row],[Column524]]</f>
        <v>95.55</v>
      </c>
      <c r="TE7">
        <f>SOFR3mo_PX[[#This Row],[Column525]]</f>
        <v>95.12</v>
      </c>
      <c r="TF7">
        <f>SOFR3mo_PX[[#This Row],[Column526]]</f>
        <v>95.11</v>
      </c>
      <c r="TG7">
        <f>SOFR3mo_PX[[#This Row],[Column527]]</f>
        <v>95.11</v>
      </c>
      <c r="TH7">
        <f>SOFR3mo_PX[[#This Row],[Column528]]</f>
        <v>95.18</v>
      </c>
      <c r="TI7">
        <f>SOFR3mo_PX[[#This Row],[Column529]]</f>
        <v>95.125</v>
      </c>
      <c r="TJ7">
        <f>SOFR3mo_PX[[#This Row],[Column530]]</f>
        <v>95.18</v>
      </c>
      <c r="TK7">
        <f>SOFR3mo_PX[[#This Row],[Column531]]</f>
        <v>95.325000000000003</v>
      </c>
      <c r="TL7">
        <f>SOFR3mo_PX[[#This Row],[Column532]]</f>
        <v>95.314999999999998</v>
      </c>
      <c r="TM7">
        <f>SOFR3mo_PX[[#This Row],[Column533]]</f>
        <v>95.424999999999997</v>
      </c>
      <c r="TN7">
        <f>SOFR3mo_PX[[#This Row],[Column534]]</f>
        <v>95.405000000000001</v>
      </c>
      <c r="TO7">
        <f>SOFR3mo_PX[[#This Row],[Column535]]</f>
        <v>95.465000000000003</v>
      </c>
      <c r="TP7">
        <f>SOFR3mo_PX[[#This Row],[Column536]]</f>
        <v>95.534999999999997</v>
      </c>
      <c r="TQ7">
        <f>SOFR3mo_PX[[#This Row],[Column537]]</f>
        <v>95.484999999999999</v>
      </c>
      <c r="TR7">
        <f>SOFR3mo_PX[[#This Row],[Column538]]</f>
        <v>95.694999999999993</v>
      </c>
      <c r="TS7">
        <f>SOFR3mo_PX[[#This Row],[Column539]]</f>
        <v>95.62</v>
      </c>
      <c r="TT7">
        <f>SOFR3mo_PX[[#This Row],[Column540]]</f>
        <v>95.525000000000006</v>
      </c>
      <c r="TU7">
        <f>SOFR3mo_PX[[#This Row],[Column541]]</f>
        <v>95.41</v>
      </c>
      <c r="TV7">
        <f>SOFR3mo_PX[[#This Row],[Column542]]</f>
        <v>95.41</v>
      </c>
      <c r="TW7">
        <f>SOFR3mo_PX[[#This Row],[Column543]]</f>
        <v>95.51</v>
      </c>
      <c r="TX7">
        <f>SOFR3mo_PX[[#This Row],[Column544]]</f>
        <v>95.704999999999998</v>
      </c>
      <c r="TY7">
        <f>SOFR3mo_PX[[#This Row],[Column545]]</f>
        <v>95.784999999999997</v>
      </c>
      <c r="TZ7">
        <f>SOFR3mo_PX[[#This Row],[Column546]]</f>
        <v>95.81</v>
      </c>
      <c r="UA7">
        <f>SOFR3mo_PX[[#This Row],[Column547]]</f>
        <v>95.855000000000004</v>
      </c>
      <c r="UB7">
        <f>SOFR3mo_PX[[#This Row],[Column548]]</f>
        <v>95.87</v>
      </c>
      <c r="UC7">
        <f>SOFR3mo_PX[[#This Row],[Column549]]</f>
        <v>96.025000000000006</v>
      </c>
      <c r="UD7">
        <f>SOFR3mo_PX[[#This Row],[Column550]]</f>
        <v>96.114999999999995</v>
      </c>
      <c r="UE7">
        <f>SOFR3mo_PX[[#This Row],[Column551]]</f>
        <v>96.204999999999998</v>
      </c>
      <c r="UF7">
        <f>SOFR3mo_PX[[#This Row],[Column552]]</f>
        <v>96.21</v>
      </c>
      <c r="UG7">
        <f>SOFR3mo_PX[[#This Row],[Column553]]</f>
        <v>96.325000000000003</v>
      </c>
      <c r="UH7">
        <f>SOFR3mo_PX[[#This Row],[Column554]]</f>
        <v>96.34</v>
      </c>
      <c r="UI7">
        <f>SOFR3mo_PX[[#This Row],[Column555]]</f>
        <v>96.185000000000002</v>
      </c>
      <c r="UJ7">
        <f>SOFR3mo_PX[[#This Row],[Column556]]</f>
        <v>96.19</v>
      </c>
      <c r="UK7">
        <f>SOFR3mo_PX[[#This Row],[Column557]]</f>
        <v>96.295000000000002</v>
      </c>
      <c r="UL7">
        <f>SOFR3mo_PX[[#This Row],[Column558]]</f>
        <v>96.534999999999997</v>
      </c>
      <c r="UM7">
        <f>SOFR3mo_PX[[#This Row],[Column559]]</f>
        <v>96.224999999999994</v>
      </c>
      <c r="UN7">
        <f>SOFR3mo_PX[[#This Row],[Column560]]</f>
        <v>96.15</v>
      </c>
      <c r="UO7">
        <f>SOFR3mo_PX[[#This Row],[Column561]]</f>
        <v>95.954999999999998</v>
      </c>
      <c r="UP7">
        <f>SOFR3mo_PX[[#This Row],[Column562]]</f>
        <v>96.05</v>
      </c>
      <c r="UQ7">
        <f>SOFR3mo_PX[[#This Row],[Column563]]</f>
        <v>96.034999999999997</v>
      </c>
      <c r="UR7">
        <f>SOFR3mo_PX[[#This Row],[Column564]]</f>
        <v>96.234999999999999</v>
      </c>
      <c r="US7">
        <f>SOFR3mo_PX[[#This Row],[Column565]]</f>
        <v>96.254999999999995</v>
      </c>
      <c r="UT7">
        <f>SOFR3mo_PX[[#This Row],[Column566]]</f>
        <v>96</v>
      </c>
      <c r="UU7">
        <f>SOFR3mo_PX[[#This Row],[Column567]]</f>
        <v>95.944999999999993</v>
      </c>
      <c r="UV7">
        <f>SOFR3mo_PX[[#This Row],[Column568]]</f>
        <v>95.965000000000003</v>
      </c>
      <c r="UW7">
        <f>SOFR3mo_PX[[#This Row],[Column569]]</f>
        <v>95.834999999999994</v>
      </c>
      <c r="UX7">
        <f>SOFR3mo_PX[[#This Row],[Column570]]</f>
        <v>95.92</v>
      </c>
      <c r="UY7">
        <f>SOFR3mo_PX[[#This Row],[Column571]]</f>
        <v>95.944999999999993</v>
      </c>
      <c r="UZ7">
        <f>SOFR3mo_PX[[#This Row],[Column572]]</f>
        <v>96.045000000000002</v>
      </c>
      <c r="VA7">
        <f>SOFR3mo_PX[[#This Row],[Column573]]</f>
        <v>96.19</v>
      </c>
      <c r="VB7">
        <f>SOFR3mo_PX[[#This Row],[Column574]]</f>
        <v>96.194999999999993</v>
      </c>
      <c r="VC7">
        <f>SOFR3mo_PX[[#This Row],[Column575]]</f>
        <v>96.11</v>
      </c>
      <c r="VD7">
        <f>SOFR3mo_PX[[#This Row],[Column576]]</f>
        <v>96.14</v>
      </c>
      <c r="VE7">
        <f>SOFR3mo_PX[[#This Row],[Column577]]</f>
        <v>96.174999999999997</v>
      </c>
      <c r="VF7">
        <f>SOFR3mo_PX[[#This Row],[Column578]]</f>
        <v>96.36</v>
      </c>
      <c r="VG7">
        <f>SOFR3mo_PX[[#This Row],[Column579]]</f>
        <v>96.474999999999994</v>
      </c>
      <c r="VH7">
        <f>SOFR3mo_PX[[#This Row],[Column580]]</f>
        <v>96.385000000000005</v>
      </c>
      <c r="VI7">
        <f>SOFR3mo_PX[[#This Row],[Column581]]</f>
        <v>96.18</v>
      </c>
      <c r="VJ7">
        <f>SOFR3mo_PX[[#This Row],[Column582]]</f>
        <v>96.094999999999999</v>
      </c>
      <c r="VK7">
        <f>SOFR3mo_PX[[#This Row],[Column583]]</f>
        <v>96.045000000000002</v>
      </c>
      <c r="VL7">
        <f>SOFR3mo_PX[[#This Row],[Column584]]</f>
        <v>96.08</v>
      </c>
      <c r="VM7">
        <f>SOFR3mo_PX[[#This Row],[Column585]]</f>
        <v>96.135000000000005</v>
      </c>
      <c r="VN7">
        <f>SOFR3mo_PX[[#This Row],[Column586]]</f>
        <v>96.254999999999995</v>
      </c>
      <c r="VO7">
        <f>SOFR3mo_PX[[#This Row],[Column587]]</f>
        <v>96.525000000000006</v>
      </c>
      <c r="VP7">
        <f>SOFR3mo_PX[[#This Row],[Column588]]</f>
        <v>96.5</v>
      </c>
      <c r="VQ7">
        <f>SOFR3mo_PX[[#This Row],[Column589]]</f>
        <v>96.245000000000005</v>
      </c>
      <c r="VR7">
        <f>SOFR3mo_PX[[#This Row],[Column590]]</f>
        <v>95.995000000000005</v>
      </c>
      <c r="VS7">
        <f>SOFR3mo_PX[[#This Row],[Column591]]</f>
        <v>96.355000000000004</v>
      </c>
      <c r="VT7">
        <f>SOFR3mo_PX[[#This Row],[Column592]]</f>
        <v>96.43</v>
      </c>
      <c r="VU7">
        <f>SOFR3mo_PX[[#This Row],[Column593]]</f>
        <v>96.13</v>
      </c>
      <c r="VV7">
        <f>SOFR3mo_PX[[#This Row],[Column594]]</f>
        <v>96.31</v>
      </c>
      <c r="VW7">
        <f>SOFR3mo_PX[[#This Row],[Column595]]</f>
        <v>95.834999999999994</v>
      </c>
      <c r="VX7">
        <f>SOFR3mo_PX[[#This Row],[Column596]]</f>
        <v>96.09</v>
      </c>
      <c r="VY7">
        <f>SOFR3mo_PX[[#This Row],[Column597]]</f>
        <v>95.16</v>
      </c>
      <c r="VZ7">
        <f>SOFR3mo_PX[[#This Row],[Column598]]</f>
        <v>94.635000000000005</v>
      </c>
      <c r="WA7">
        <f>SOFR3mo_PX[[#This Row],[Column599]]</f>
        <v>94.465000000000003</v>
      </c>
      <c r="WB7">
        <f>SOFR3mo_PX[[#This Row],[Column600]]</f>
        <v>94.51</v>
      </c>
      <c r="WC7">
        <f>SOFR3mo_PX[[#This Row],[Column601]]</f>
        <v>94.68</v>
      </c>
      <c r="WD7">
        <f>SOFR3mo_PX[[#This Row],[Column602]]</f>
        <v>94.715000000000003</v>
      </c>
      <c r="WE7">
        <f>SOFR3mo_PX[[#This Row],[Column603]]</f>
        <v>94.69</v>
      </c>
      <c r="WF7">
        <f>SOFR3mo_PX[[#This Row],[Column604]]</f>
        <v>94.67</v>
      </c>
      <c r="WG7">
        <f>SOFR3mo_PX[[#This Row],[Column605]]</f>
        <v>94.75</v>
      </c>
      <c r="WH7">
        <f>SOFR3mo_PX[[#This Row],[Column606]]</f>
        <v>94.745000000000005</v>
      </c>
      <c r="WI7">
        <f>SOFR3mo_PX[[#This Row],[Column607]]</f>
        <v>94.745000000000005</v>
      </c>
      <c r="WJ7">
        <f>SOFR3mo_PX[[#This Row],[Column608]]</f>
        <v>94.864999999999995</v>
      </c>
      <c r="WK7">
        <f>SOFR3mo_PX[[#This Row],[Column609]]</f>
        <v>94.86</v>
      </c>
      <c r="WL7">
        <f>SOFR3mo_PX[[#This Row],[Column610]]</f>
        <v>94.864999999999995</v>
      </c>
      <c r="WM7">
        <f>SOFR3mo_PX[[#This Row],[Column611]]</f>
        <v>94.98</v>
      </c>
      <c r="WN7">
        <f>SOFR3mo_PX[[#This Row],[Column612]]</f>
        <v>94.98</v>
      </c>
      <c r="WO7">
        <f>SOFR3mo_PX[[#This Row],[Column613]]</f>
        <v>95.02</v>
      </c>
      <c r="WP7">
        <f>SOFR3mo_PX[[#This Row],[Column614]]</f>
        <v>94.984999999999999</v>
      </c>
      <c r="WQ7">
        <f>SOFR3mo_PX[[#This Row],[Column615]]</f>
        <v>94.965000000000003</v>
      </c>
      <c r="WR7">
        <f>SOFR3mo_PX[[#This Row],[Column616]]</f>
        <v>95.125</v>
      </c>
      <c r="WS7">
        <f>SOFR3mo_PX[[#This Row],[Column617]]</f>
        <v>95.14</v>
      </c>
      <c r="WT7">
        <f>SOFR3mo_PX[[#This Row],[Column618]]</f>
        <v>95.185000000000002</v>
      </c>
      <c r="WU7">
        <f>SOFR3mo_PX[[#This Row],[Column619]]</f>
        <v>95.245000000000005</v>
      </c>
      <c r="WV7">
        <f>SOFR3mo_PX[[#This Row],[Column620]]</f>
        <v>95.24</v>
      </c>
      <c r="WW7">
        <f>SOFR3mo_PX[[#This Row],[Column621]]</f>
        <v>95.27</v>
      </c>
      <c r="WX7">
        <f>SOFR3mo_PX[[#This Row],[Column622]]</f>
        <v>95.444999999999993</v>
      </c>
      <c r="WY7">
        <f>SOFR3mo_PX[[#This Row],[Column623]]</f>
        <v>95.7</v>
      </c>
      <c r="WZ7">
        <f>SOFR3mo_PX[[#This Row],[Column624]]</f>
        <v>95.68</v>
      </c>
      <c r="XA7">
        <f>SOFR3mo_PX[[#This Row],[Column625]]</f>
        <v>95.584999999999994</v>
      </c>
      <c r="XB7">
        <f>SOFR3mo_PX[[#This Row],[Column626]]</f>
        <v>95.534999999999997</v>
      </c>
      <c r="XC7">
        <f>SOFR3mo_PX[[#This Row],[Column627]]</f>
        <v>95.59</v>
      </c>
      <c r="XD7">
        <f>SOFR3mo_PX[[#This Row],[Column628]]</f>
        <v>95.62</v>
      </c>
      <c r="XE7">
        <f>SOFR3mo_PX[[#This Row],[Column629]]</f>
        <v>95.655000000000001</v>
      </c>
      <c r="XF7">
        <f>SOFR3mo_PX[[#This Row],[Column630]]</f>
        <v>95.6</v>
      </c>
      <c r="XG7">
        <f>SOFR3mo_PX[[#This Row],[Column631]]</f>
        <v>95.58</v>
      </c>
      <c r="XH7">
        <f>SOFR3mo_PX[[#This Row],[Column632]]</f>
        <v>95.655000000000001</v>
      </c>
      <c r="XI7">
        <f>SOFR3mo_PX[[#This Row],[Column633]]</f>
        <v>95.7</v>
      </c>
      <c r="XJ7">
        <f>SOFR3mo_PX[[#This Row],[Column634]]</f>
        <v>95.754999999999995</v>
      </c>
      <c r="XK7">
        <f>SOFR3mo_PX[[#This Row],[Column635]]</f>
        <v>95.66</v>
      </c>
      <c r="XL7">
        <f>SOFR3mo_PX[[#This Row],[Column636]]</f>
        <v>95.6</v>
      </c>
      <c r="XM7">
        <f>SOFR3mo_PX[[#This Row],[Column637]]</f>
        <v>95.6</v>
      </c>
      <c r="XN7">
        <f>SOFR3mo_PX[[#This Row],[Column638]]</f>
        <v>95.715000000000003</v>
      </c>
      <c r="XO7">
        <f>SOFR3mo_PX[[#This Row],[Column639]]</f>
        <v>95.655000000000001</v>
      </c>
      <c r="XP7">
        <f>SOFR3mo_PX[[#This Row],[Column640]]</f>
        <v>95.62</v>
      </c>
      <c r="XQ7">
        <f>SOFR3mo_PX[[#This Row],[Column641]]</f>
        <v>95.665000000000006</v>
      </c>
      <c r="XR7">
        <f>SOFR3mo_PX[[#This Row],[Column642]]</f>
        <v>95.594999999999999</v>
      </c>
      <c r="XS7">
        <f>SOFR3mo_PX[[#This Row],[Column643]]</f>
        <v>95.394999999999996</v>
      </c>
      <c r="XT7">
        <f>SOFR3mo_PX[[#This Row],[Column644]]</f>
        <v>95.48</v>
      </c>
      <c r="XU7">
        <f>SOFR3mo_PX[[#This Row],[Column645]]</f>
        <v>95.49</v>
      </c>
      <c r="XV7">
        <f>SOFR3mo_PX[[#This Row],[Column646]]</f>
        <v>95.47</v>
      </c>
      <c r="XW7">
        <f>SOFR3mo_PX[[#This Row],[Column647]]</f>
        <v>95.47</v>
      </c>
      <c r="XX7">
        <f>SOFR3mo_PX[[#This Row],[Column648]]</f>
        <v>95.515000000000001</v>
      </c>
      <c r="XY7">
        <f>SOFR3mo_PX[[#This Row],[Column649]]</f>
        <v>95.515000000000001</v>
      </c>
      <c r="XZ7">
        <f>SOFR3mo_PX[[#This Row],[Column650]]</f>
        <v>95.51</v>
      </c>
      <c r="YA7">
        <f>SOFR3mo_PX[[#This Row],[Column651]]</f>
        <v>95.61</v>
      </c>
      <c r="YB7">
        <f>SOFR3mo_PX[[#This Row],[Column652]]</f>
        <v>95.61</v>
      </c>
      <c r="YC7">
        <f>SOFR3mo_PX[[#This Row],[Column653]]</f>
        <v>95.674999999999997</v>
      </c>
      <c r="YD7">
        <f>SOFR3mo_PX[[#This Row],[Column654]]</f>
        <v>95.715000000000003</v>
      </c>
      <c r="YE7">
        <f>SOFR3mo_PX[[#This Row],[Column655]]</f>
        <v>95.35</v>
      </c>
      <c r="YF7">
        <f>SOFR3mo_PX[[#This Row],[Column656]]</f>
        <v>95.344999999999999</v>
      </c>
      <c r="YG7">
        <f>SOFR3mo_PX[[#This Row],[Column657]]</f>
        <v>95.405000000000001</v>
      </c>
      <c r="YH7">
        <f>SOFR3mo_PX[[#This Row],[Column658]]</f>
        <v>95.32</v>
      </c>
      <c r="YI7">
        <f>SOFR3mo_PX[[#This Row],[Column659]]</f>
        <v>95.36</v>
      </c>
      <c r="YJ7">
        <f>SOFR3mo_PX[[#This Row],[Column660]]</f>
        <v>95.37</v>
      </c>
      <c r="YK7">
        <f>SOFR3mo_PX[[#This Row],[Column661]]</f>
        <v>95.19</v>
      </c>
      <c r="YL7">
        <f>SOFR3mo_PX[[#This Row],[Column662]]</f>
        <v>95.234999999999999</v>
      </c>
      <c r="YM7">
        <f>SOFR3mo_PX[[#This Row],[Column663]]</f>
        <v>95.254999999999995</v>
      </c>
      <c r="YN7">
        <f>SOFR3mo_PX[[#This Row],[Column664]]</f>
        <v>95.314999999999998</v>
      </c>
      <c r="YO7">
        <f>SOFR3mo_PX[[#This Row],[Column665]]</f>
        <v>95.224999999999994</v>
      </c>
      <c r="YP7">
        <f>SOFR3mo_PX[[#This Row],[Column666]]</f>
        <v>95.17</v>
      </c>
      <c r="YQ7">
        <f>SOFR3mo_PX[[#This Row],[Column667]]</f>
        <v>95.31</v>
      </c>
      <c r="YR7">
        <f>SOFR3mo_PX[[#This Row],[Column668]]</f>
        <v>95.355000000000004</v>
      </c>
      <c r="YS7">
        <f>SOFR3mo_PX[[#This Row],[Column669]]</f>
        <v>95.26</v>
      </c>
      <c r="YT7">
        <f>SOFR3mo_PX[[#This Row],[Column670]]</f>
        <v>95.144999999999996</v>
      </c>
      <c r="YU7">
        <f>SOFR3mo_PX[[#This Row],[Column671]]</f>
        <v>95.155000000000001</v>
      </c>
      <c r="YV7">
        <f>SOFR3mo_PX[[#This Row],[Column672]]</f>
        <v>95.144999999999996</v>
      </c>
      <c r="YW7">
        <f>SOFR3mo_PX[[#This Row],[Column673]]</f>
        <v>95.14</v>
      </c>
      <c r="YX7">
        <f>SOFR3mo_PX[[#This Row],[Column674]]</f>
        <v>95.14</v>
      </c>
      <c r="YY7">
        <f>SOFR3mo_PX[[#This Row],[Column675]]</f>
        <v>95.105000000000004</v>
      </c>
      <c r="YZ7">
        <f>SOFR3mo_PX[[#This Row],[Column676]]</f>
        <v>95.11</v>
      </c>
      <c r="ZA7">
        <f>SOFR3mo_PX[[#This Row],[Column677]]</f>
        <v>95.155000000000001</v>
      </c>
      <c r="ZB7">
        <f>SOFR3mo_PX[[#This Row],[Column678]]</f>
        <v>95.234999999999999</v>
      </c>
      <c r="ZC7">
        <f>SOFR3mo_PX[[#This Row],[Column679]]</f>
        <v>95.33</v>
      </c>
      <c r="ZD7">
        <f>SOFR3mo_PX[[#This Row],[Column680]]</f>
        <v>95.344999999999999</v>
      </c>
      <c r="ZE7">
        <f>SOFR3mo_PX[[#This Row],[Column681]]</f>
        <v>95.3</v>
      </c>
      <c r="ZF7">
        <f>SOFR3mo_PX[[#This Row],[Column682]]</f>
        <v>95.37</v>
      </c>
      <c r="ZG7">
        <f>SOFR3mo_PX[[#This Row],[Column683]]</f>
        <v>95.415000000000006</v>
      </c>
      <c r="ZH7">
        <f>SOFR3mo_PX[[#This Row],[Column684]]</f>
        <v>95.1</v>
      </c>
      <c r="ZI7">
        <f>SOFR3mo_PX[[#This Row],[Column685]]</f>
        <v>95.055000000000007</v>
      </c>
      <c r="ZJ7">
        <f>SOFR3mo_PX[[#This Row],[Column686]]</f>
        <v>94.99</v>
      </c>
      <c r="ZK7">
        <f>SOFR3mo_PX[[#This Row],[Column687]]</f>
        <v>95.055000000000007</v>
      </c>
      <c r="ZL7">
        <f>SOFR3mo_PX[[#This Row],[Column688]]</f>
        <v>94.98</v>
      </c>
      <c r="ZM7">
        <f>SOFR3mo_PX[[#This Row],[Column689]]</f>
        <v>95.114999999999995</v>
      </c>
      <c r="ZN7">
        <f>SOFR3mo_PX[[#This Row],[Column690]]</f>
        <v>95.19</v>
      </c>
      <c r="ZO7">
        <f>SOFR3mo_PX[[#This Row],[Column691]]</f>
        <v>95.26</v>
      </c>
      <c r="ZP7">
        <f>SOFR3mo_PX[[#This Row],[Column692]]</f>
        <v>95.355000000000004</v>
      </c>
      <c r="ZQ7">
        <f>SOFR3mo_PX[[#This Row],[Column693]]</f>
        <v>95.495000000000005</v>
      </c>
      <c r="ZR7">
        <f>SOFR3mo_PX[[#This Row],[Column694]]</f>
        <v>95.375</v>
      </c>
      <c r="ZS7">
        <f>SOFR3mo_PX[[#This Row],[Column695]]</f>
        <v>95.29</v>
      </c>
      <c r="ZT7">
        <f>SOFR3mo_PX[[#This Row],[Column696]]</f>
        <v>95.26</v>
      </c>
      <c r="ZU7">
        <f>SOFR3mo_PX[[#This Row],[Column697]]</f>
        <v>95.265000000000001</v>
      </c>
      <c r="ZV7">
        <f>SOFR3mo_PX[[#This Row],[Column698]]</f>
        <v>95.114999999999995</v>
      </c>
      <c r="ZW7">
        <f>SOFR3mo_PX[[#This Row],[Column699]]</f>
        <v>95.21</v>
      </c>
      <c r="ZX7">
        <f>SOFR3mo_PX[[#This Row],[Column700]]</f>
        <v>95.325000000000003</v>
      </c>
      <c r="ZY7">
        <f>SOFR3mo_PX[[#This Row],[Column701]]</f>
        <v>95.28</v>
      </c>
      <c r="ZZ7">
        <f>SOFR3mo_PX[[#This Row],[Column702]]</f>
        <v>95.23</v>
      </c>
      <c r="AAA7">
        <f>SOFR3mo_PX[[#This Row],[Column703]]</f>
        <v>95.32</v>
      </c>
      <c r="AAB7">
        <f>SOFR3mo_PX[[#This Row],[Column704]]</f>
        <v>95.534999999999997</v>
      </c>
      <c r="AAC7">
        <f>SOFR3mo_PX[[#This Row],[Column705]]</f>
        <v>95.5</v>
      </c>
      <c r="AAD7">
        <f>SOFR3mo_PX[[#This Row],[Column706]]</f>
        <v>95.444999999999993</v>
      </c>
      <c r="AAE7">
        <f>SOFR3mo_PX[[#This Row],[Column707]]</f>
        <v>95.49</v>
      </c>
      <c r="AAF7">
        <f>SOFR3mo_PX[[#This Row],[Column708]]</f>
        <v>95.59</v>
      </c>
      <c r="AAG7">
        <f>SOFR3mo_PX[[#This Row],[Column709]]</f>
        <v>95.704999999999998</v>
      </c>
      <c r="AAH7">
        <f>SOFR3mo_PX[[#This Row],[Column710]]</f>
        <v>95.78</v>
      </c>
      <c r="AAI7">
        <f>SOFR3mo_PX[[#This Row],[Column711]]</f>
        <v>95.765000000000001</v>
      </c>
      <c r="AAJ7">
        <f>SOFR3mo_PX[[#This Row],[Column712]]</f>
        <v>95.68</v>
      </c>
      <c r="AAK7">
        <f>SOFR3mo_PX[[#This Row],[Column713]]</f>
        <v>95.704999999999998</v>
      </c>
      <c r="AAL7">
        <f>SOFR3mo_PX[[#This Row],[Column714]]</f>
        <v>95.765000000000001</v>
      </c>
      <c r="AAM7">
        <f>SOFR3mo_PX[[#This Row],[Column715]]</f>
        <v>95.525000000000006</v>
      </c>
      <c r="AAN7">
        <f>SOFR3mo_PX[[#This Row],[Column716]]</f>
        <v>95.405000000000001</v>
      </c>
      <c r="AAO7">
        <f>SOFR3mo_PX[[#This Row],[Column717]]</f>
        <v>95.444999999999993</v>
      </c>
      <c r="AAP7">
        <f>SOFR3mo_PX[[#This Row],[Column718]]</f>
        <v>95.54</v>
      </c>
      <c r="AAQ7">
        <f>SOFR3mo_PX[[#This Row],[Column719]]</f>
        <v>95.72</v>
      </c>
      <c r="AAR7">
        <f>SOFR3mo_PX[[#This Row],[Column720]]</f>
        <v>95.64</v>
      </c>
      <c r="AAS7">
        <f>SOFR3mo_PX[[#This Row],[Column721]]</f>
        <v>95.65</v>
      </c>
      <c r="AAT7">
        <f>SOFR3mo_PX[[#This Row],[Column722]]</f>
        <v>95.74</v>
      </c>
      <c r="AAU7">
        <f>SOFR3mo_PX[[#This Row],[Column723]]</f>
        <v>95.69</v>
      </c>
      <c r="AAV7">
        <f>SOFR3mo_PX[[#This Row],[Column724]]</f>
        <v>95.78</v>
      </c>
      <c r="AAW7">
        <f>SOFR3mo_PX[[#This Row],[Column725]]</f>
        <v>95.84</v>
      </c>
      <c r="AAX7">
        <f>SOFR3mo_PX[[#This Row],[Column726]]</f>
        <v>96.1</v>
      </c>
      <c r="AAY7">
        <f>SOFR3mo_PX[[#This Row],[Column727]]</f>
        <v>96.1</v>
      </c>
      <c r="AAZ7">
        <f>SOFR3mo_PX[[#This Row],[Column728]]</f>
        <v>96.19</v>
      </c>
      <c r="ABA7">
        <f>SOFR3mo_PX[[#This Row],[Column729]]</f>
        <v>96.215000000000003</v>
      </c>
      <c r="ABB7">
        <f>SOFR3mo_PX[[#This Row],[Column730]]</f>
        <v>96.144999999999996</v>
      </c>
      <c r="ABC7">
        <f>SOFR3mo_PX[[#This Row],[Column731]]</f>
        <v>96.275000000000006</v>
      </c>
      <c r="ABD7">
        <f>SOFR3mo_PX[[#This Row],[Column732]]</f>
        <v>96.275000000000006</v>
      </c>
      <c r="ABE7">
        <f>SOFR3mo_PX[[#This Row],[Column733]]</f>
        <v>96.11</v>
      </c>
      <c r="ABF7">
        <f>SOFR3mo_PX[[#This Row],[Column734]]</f>
        <v>96.174999999999997</v>
      </c>
      <c r="ABG7">
        <f>SOFR3mo_PX[[#This Row],[Column735]]</f>
        <v>96.18</v>
      </c>
      <c r="ABH7">
        <f>SOFR3mo_PX[[#This Row],[Column736]]</f>
        <v>96.24</v>
      </c>
      <c r="ABI7">
        <f>SOFR3mo_PX[[#This Row],[Column737]]</f>
        <v>96.29</v>
      </c>
      <c r="ABJ7">
        <f>SOFR3mo_PX[[#This Row],[Column738]]</f>
        <v>96.31</v>
      </c>
      <c r="ABK7">
        <f>SOFR3mo_PX[[#This Row],[Column739]]</f>
        <v>96.31</v>
      </c>
      <c r="ABL7">
        <f>SOFR3mo_PX[[#This Row],[Column740]]</f>
        <v>96.35</v>
      </c>
      <c r="ABM7">
        <f>SOFR3mo_PX[[#This Row],[Column741]]</f>
        <v>96.305000000000007</v>
      </c>
      <c r="ABN7">
        <f>SOFR3mo_PX[[#This Row],[Column742]]</f>
        <v>96.435000000000002</v>
      </c>
      <c r="ABO7">
        <f>SOFR3mo_PX[[#This Row],[Column743]]</f>
        <v>96.465000000000003</v>
      </c>
      <c r="ABP7">
        <f>SOFR3mo_PX[[#This Row],[Column744]]</f>
        <v>96.415000000000006</v>
      </c>
      <c r="ABQ7">
        <f>SOFR3mo_PX[[#This Row],[Column745]]</f>
        <v>96.484999999999999</v>
      </c>
      <c r="ABR7">
        <f>SOFR3mo_PX[[#This Row],[Column746]]</f>
        <v>96.52</v>
      </c>
      <c r="ABS7">
        <f>SOFR3mo_PX[[#This Row],[Column747]]</f>
        <v>96.46</v>
      </c>
      <c r="ABT7">
        <f>SOFR3mo_PX[[#This Row],[Column748]]</f>
        <v>96.515000000000001</v>
      </c>
      <c r="ABU7">
        <f>SOFR3mo_PX[[#This Row],[Column749]]</f>
        <v>96.564999999999998</v>
      </c>
      <c r="ABV7">
        <f>SOFR3mo_PX[[#This Row],[Column750]]</f>
        <v>96.51</v>
      </c>
      <c r="ABW7">
        <f>SOFR3mo_PX[[#This Row],[Column751]]</f>
        <v>96.59</v>
      </c>
      <c r="ABX7">
        <f>SOFR3mo_PX[[#This Row],[Column752]]</f>
        <v>96.57</v>
      </c>
      <c r="ABY7">
        <f>SOFR3mo_PX[[#This Row],[Column753]]</f>
        <v>96.82</v>
      </c>
      <c r="ABZ7">
        <f>SOFR3mo_PX[[#This Row],[Column754]]</f>
        <v>96.745000000000005</v>
      </c>
      <c r="ACA7">
        <f>SOFR3mo_PX[[#This Row],[Column755]]</f>
        <v>96.81</v>
      </c>
      <c r="ACB7">
        <f>SOFR3mo_PX[[#This Row],[Column756]]</f>
        <v>97.01</v>
      </c>
      <c r="ACC7">
        <f>SOFR3mo_PX[[#This Row],[Column757]]</f>
        <v>97.034999999999997</v>
      </c>
      <c r="ACD7">
        <f>SOFR3mo_PX[[#This Row],[Column758]]</f>
        <v>97.075000000000003</v>
      </c>
      <c r="ACE7">
        <f>SOFR3mo_PX[[#This Row],[Column759]]</f>
        <v>96.974999999999994</v>
      </c>
      <c r="ACF7">
        <f>SOFR3mo_PX[[#This Row],[Column760]]</f>
        <v>96.91</v>
      </c>
      <c r="ACG7">
        <f>SOFR3mo_PX[[#This Row],[Column761]]</f>
        <v>96.915000000000006</v>
      </c>
      <c r="ACH7">
        <f>SOFR3mo_PX[[#This Row],[Column762]]</f>
        <v>96.984999999999999</v>
      </c>
      <c r="ACI7">
        <f>SOFR3mo_PX[[#This Row],[Column763]]</f>
        <v>96.844999999999999</v>
      </c>
      <c r="ACJ7">
        <f>SOFR3mo_PX[[#This Row],[Column764]]</f>
        <v>96.644999999999996</v>
      </c>
      <c r="ACK7">
        <f>SOFR3mo_PX[[#This Row],[Column765]]</f>
        <v>96.665000000000006</v>
      </c>
      <c r="ACL7">
        <f>SOFR3mo_PX[[#This Row],[Column766]]</f>
        <v>96.754999999999995</v>
      </c>
      <c r="ACM7">
        <f>SOFR3mo_PX[[#This Row],[Column767]]</f>
        <v>96.75</v>
      </c>
      <c r="ACN7">
        <f>SOFR3mo_PX[[#This Row],[Column768]]</f>
        <v>96.715000000000003</v>
      </c>
      <c r="ACO7">
        <f>SOFR3mo_PX[[#This Row],[Column769]]</f>
        <v>96.77</v>
      </c>
      <c r="ACP7">
        <f>SOFR3mo_PX[[#This Row],[Column770]]</f>
        <v>96.825000000000003</v>
      </c>
      <c r="ACQ7">
        <f>SOFR3mo_PX[[#This Row],[Column771]]</f>
        <v>96.75</v>
      </c>
      <c r="ACR7">
        <f>SOFR3mo_PX[[#This Row],[Column772]]</f>
        <v>96.625</v>
      </c>
      <c r="ACS7">
        <f>SOFR3mo_PX[[#This Row],[Column773]]</f>
        <v>96.745000000000005</v>
      </c>
      <c r="ACT7">
        <f>SOFR3mo_PX[[#This Row],[Column774]]</f>
        <v>96.864999999999995</v>
      </c>
      <c r="ACU7">
        <f>SOFR3mo_PX[[#This Row],[Column775]]</f>
        <v>97.025000000000006</v>
      </c>
      <c r="ACV7">
        <f>SOFR3mo_PX[[#This Row],[Column776]]</f>
        <v>96.94</v>
      </c>
      <c r="ACW7">
        <f>SOFR3mo_PX[[#This Row],[Column777]]</f>
        <v>96.94</v>
      </c>
      <c r="ACX7">
        <f>SOFR3mo_PX[[#This Row],[Column778]]</f>
        <v>96.825000000000003</v>
      </c>
      <c r="ACY7">
        <f>SOFR3mo_PX[[#This Row],[Column779]]</f>
        <v>96.61</v>
      </c>
      <c r="ACZ7">
        <f>SOFR3mo_PX[[#This Row],[Column780]]</f>
        <v>96.564999999999998</v>
      </c>
      <c r="ADA7">
        <f>SOFR3mo_PX[[#This Row],[Column781]]</f>
        <v>96.575000000000003</v>
      </c>
      <c r="ADB7">
        <f>SOFR3mo_PX[[#This Row],[Column782]]</f>
        <v>96.63</v>
      </c>
      <c r="ADC7">
        <f>SOFR3mo_PX[[#This Row],[Column783]]</f>
        <v>96.655000000000001</v>
      </c>
      <c r="ADD7">
        <f>SOFR3mo_PX[[#This Row],[Column784]]</f>
        <v>96.555000000000007</v>
      </c>
      <c r="ADE7">
        <f>SOFR3mo_PX[[#This Row],[Column785]]</f>
        <v>96.36</v>
      </c>
      <c r="ADF7">
        <f>SOFR3mo_PX[[#This Row],[Column786]]</f>
        <v>96.344999999999999</v>
      </c>
      <c r="ADG7">
        <f>SOFR3mo_PX[[#This Row],[Column787]]</f>
        <v>96.344999999999999</v>
      </c>
      <c r="ADH7">
        <f>SOFR3mo_PX[[#This Row],[Column788]]</f>
        <v>96.325000000000003</v>
      </c>
      <c r="ADI7">
        <f>SOFR3mo_PX[[#This Row],[Column789]]</f>
        <v>96.234999999999999</v>
      </c>
      <c r="ADJ7">
        <f>SOFR3mo_PX[[#This Row],[Column790]]</f>
        <v>95.99</v>
      </c>
      <c r="ADK7">
        <f>SOFR3mo_PX[[#This Row],[Column791]]</f>
        <v>96.09</v>
      </c>
      <c r="ADL7">
        <f>SOFR3mo_PX[[#This Row],[Column792]]</f>
        <v>96.41</v>
      </c>
      <c r="ADM7">
        <f>SOFR3mo_PX[[#This Row],[Column793]]</f>
        <v>96.71</v>
      </c>
      <c r="ADN7">
        <f>SOFR3mo_PX[[#This Row],[Column794]]</f>
        <v>96.79</v>
      </c>
      <c r="ADO7">
        <f>SOFR3mo_PX[[#This Row],[Column795]]</f>
        <v>96.825000000000003</v>
      </c>
      <c r="ADP7">
        <f>SOFR3mo_PX[[#This Row],[Column796]]</f>
        <v>96.805000000000007</v>
      </c>
      <c r="ADQ7">
        <f>SOFR3mo_PX[[#This Row],[Column797]]</f>
        <v>96.86</v>
      </c>
      <c r="ADR7">
        <f>SOFR3mo_PX[[#This Row],[Column798]]</f>
        <v>96.894999999999996</v>
      </c>
      <c r="ADS7">
        <f>SOFR3mo_PX[[#This Row],[Column799]]</f>
        <v>96.894999999999996</v>
      </c>
      <c r="ADT7">
        <f>SOFR3mo_PX[[#This Row],[Column800]]</f>
        <v>97.03</v>
      </c>
      <c r="ADU7">
        <f>SOFR3mo_PX[[#This Row],[Column801]]</f>
        <v>97.11</v>
      </c>
      <c r="ADV7">
        <f>SOFR3mo_PX[[#This Row],[Column802]]</f>
        <v>97.11</v>
      </c>
      <c r="ADW7">
        <f>SOFR3mo_PX[[#This Row],[Column803]]</f>
        <v>97.125</v>
      </c>
      <c r="ADX7">
        <f>SOFR3mo_PX[[#This Row],[Column804]]</f>
        <v>97.12</v>
      </c>
      <c r="ADY7">
        <f>SOFR3mo_PX[[#This Row],[Column805]]</f>
        <v>97.105000000000004</v>
      </c>
      <c r="ADZ7">
        <f>SOFR3mo_PX[[#This Row],[Column806]]</f>
        <v>96.954999999999998</v>
      </c>
      <c r="AEA7">
        <f>SOFR3mo_PX[[#This Row],[Column807]]</f>
        <v>96.99</v>
      </c>
      <c r="AEB7">
        <f>SOFR3mo_PX[[#This Row],[Column808]]</f>
        <v>96.965000000000003</v>
      </c>
      <c r="AEC7">
        <f>SOFR3mo_PX[[#This Row],[Column809]]</f>
        <v>96.924999999999997</v>
      </c>
      <c r="AED7">
        <f>SOFR3mo_PX[[#This Row],[Column810]]</f>
        <v>96.885000000000005</v>
      </c>
      <c r="AEE7">
        <f>SOFR3mo_PX[[#This Row],[Column811]]</f>
        <v>97.05</v>
      </c>
      <c r="AEF7">
        <f>SOFR3mo_PX[[#This Row],[Column812]]</f>
        <v>97.03</v>
      </c>
      <c r="AEG7">
        <f>SOFR3mo_PX[[#This Row],[Column813]]</f>
        <v>97.12</v>
      </c>
      <c r="AEH7">
        <f>SOFR3mo_PX[[#This Row],[Column814]]</f>
        <v>96.98</v>
      </c>
      <c r="AEI7">
        <f>SOFR3mo_PX[[#This Row],[Column815]]</f>
        <v>96.995000000000005</v>
      </c>
      <c r="AEJ7">
        <f>SOFR3mo_PX[[#This Row],[Column816]]</f>
        <v>96.97</v>
      </c>
      <c r="AEK7">
        <f>SOFR3mo_PX[[#This Row],[Column817]]</f>
        <v>96.825000000000003</v>
      </c>
      <c r="AEL7">
        <f>SOFR3mo_PX[[#This Row],[Column818]]</f>
        <v>96.795000000000002</v>
      </c>
      <c r="AEM7">
        <f>SOFR3mo_PX[[#This Row],[Column819]]</f>
        <v>96.93</v>
      </c>
      <c r="AEN7">
        <f>SOFR3mo_PX[[#This Row],[Column820]]</f>
        <v>96.765000000000001</v>
      </c>
      <c r="AEO7">
        <f>SOFR3mo_PX[[#This Row],[Column821]]</f>
        <v>96.82</v>
      </c>
      <c r="AEP7">
        <f>SOFR3mo_PX[[#This Row],[Column822]]</f>
        <v>96.855000000000004</v>
      </c>
      <c r="AEQ7">
        <f>SOFR3mo_PX[[#This Row],[Column823]]</f>
        <v>96.935000000000002</v>
      </c>
      <c r="AER7">
        <f>SOFR3mo_PX[[#This Row],[Column824]]</f>
        <v>97.01</v>
      </c>
      <c r="AES7">
        <f>SOFR3mo_PX[[#This Row],[Column825]]</f>
        <v>97.03</v>
      </c>
      <c r="AET7">
        <f>SOFR3mo_PX[[#This Row],[Column826]]</f>
        <v>96.95</v>
      </c>
      <c r="AEU7">
        <f>SOFR3mo_PX[[#This Row],[Column827]]</f>
        <v>96.814999999999998</v>
      </c>
      <c r="AEV7">
        <f>SOFR3mo_PX[[#This Row],[Column828]]</f>
        <v>96.84</v>
      </c>
      <c r="AEW7">
        <f>SOFR3mo_PX[[#This Row],[Column829]]</f>
        <v>96.984999999999999</v>
      </c>
      <c r="AEX7">
        <f>SOFR3mo_PX[[#This Row],[Column830]]</f>
        <v>97</v>
      </c>
      <c r="AEY7">
        <f>SOFR3mo_PX[[#This Row],[Column831]]</f>
        <v>97.125</v>
      </c>
      <c r="AEZ7">
        <f>SOFR3mo_PX[[#This Row],[Column832]]</f>
        <v>97.144999999999996</v>
      </c>
      <c r="AFA7">
        <f>SOFR3mo_PX[[#This Row],[Column833]]</f>
        <v>97.144999999999996</v>
      </c>
      <c r="AFB7">
        <f>SOFR3mo_PX[[#This Row],[Column834]]</f>
        <v>97.26</v>
      </c>
      <c r="AFC7">
        <f>SOFR3mo_PX[[#This Row],[Column835]]</f>
        <v>97.194999999999993</v>
      </c>
      <c r="AFD7">
        <f>SOFR3mo_PX[[#This Row],[Column836]]</f>
        <v>97.034999999999997</v>
      </c>
      <c r="AFE7">
        <f>SOFR3mo_PX[[#This Row],[Column837]]</f>
        <v>97.02</v>
      </c>
      <c r="AFF7">
        <f>SOFR3mo_PX[[#This Row],[Column838]]</f>
        <v>97.1</v>
      </c>
      <c r="AFG7">
        <f>SOFR3mo_PX[[#This Row],[Column839]]</f>
        <v>97.05</v>
      </c>
      <c r="AFH7">
        <f>SOFR3mo_PX[[#This Row],[Column840]]</f>
        <v>97.034999999999997</v>
      </c>
      <c r="AFI7">
        <f>SOFR3mo_PX[[#This Row],[Column841]]</f>
        <v>97.12</v>
      </c>
      <c r="AFJ7">
        <f>SOFR3mo_PX[[#This Row],[Column842]]</f>
        <v>97.11</v>
      </c>
      <c r="AFK7">
        <f>SOFR3mo_PX[[#This Row],[Column843]]</f>
        <v>97.275000000000006</v>
      </c>
      <c r="AFL7">
        <f>SOFR3mo_PX[[#This Row],[Column844]]</f>
        <v>97.224999999999994</v>
      </c>
      <c r="AFM7">
        <f>SOFR3mo_PX[[#This Row],[Column845]]</f>
        <v>97.204999999999998</v>
      </c>
      <c r="AFN7">
        <f>SOFR3mo_PX[[#This Row],[Column846]]</f>
        <v>97.17</v>
      </c>
      <c r="AFO7">
        <f>SOFR3mo_PX[[#This Row],[Column847]]</f>
        <v>97.23</v>
      </c>
      <c r="AFP7">
        <f>SOFR3mo_PX[[#This Row],[Column848]]</f>
        <v>97.41</v>
      </c>
      <c r="AFQ7">
        <f>SOFR3mo_PX[[#This Row],[Column849]]</f>
        <v>97.454999999999998</v>
      </c>
      <c r="AFR7">
        <f>SOFR3mo_PX[[#This Row],[Column850]]</f>
        <v>97.415000000000006</v>
      </c>
      <c r="AFS7">
        <f>SOFR3mo_PX[[#This Row],[Column851]]</f>
        <v>97.435000000000002</v>
      </c>
      <c r="AFT7">
        <f>SOFR3mo_PX[[#This Row],[Column852]]</f>
        <v>97.644999999999996</v>
      </c>
      <c r="AFU7">
        <f>SOFR3mo_PX[[#This Row],[Column853]]</f>
        <v>97.685000000000002</v>
      </c>
      <c r="AFV7">
        <f>SOFR3mo_PX[[#This Row],[Column854]]</f>
        <v>97.674999999999997</v>
      </c>
      <c r="AFW7">
        <f>SOFR3mo_PX[[#This Row],[Column855]]</f>
        <v>98.13</v>
      </c>
      <c r="AFX7">
        <f>SOFR3mo_PX[[#This Row],[Column856]]</f>
        <v>98.125</v>
      </c>
      <c r="AFY7">
        <f>SOFR3mo_PX[[#This Row],[Column857]]</f>
        <v>98.21</v>
      </c>
      <c r="AFZ7">
        <f>SOFR3mo_PX[[#This Row],[Column858]]</f>
        <v>98.25</v>
      </c>
      <c r="AGA7">
        <f>SOFR3mo_PX[[#This Row],[Column859]]</f>
        <v>98.284999999999997</v>
      </c>
      <c r="AGB7">
        <f>SOFR3mo_PX[[#This Row],[Column860]]</f>
        <v>98.35</v>
      </c>
      <c r="AGC7">
        <f>SOFR3mo_PX[[#This Row],[Column861]]</f>
        <v>98.44</v>
      </c>
      <c r="AGD7">
        <f>SOFR3mo_PX[[#This Row],[Column862]]</f>
        <v>98.474999999999994</v>
      </c>
      <c r="AGE7">
        <f>SOFR3mo_PX[[#This Row],[Column863]]</f>
        <v>98.424999999999997</v>
      </c>
      <c r="AGF7">
        <f>SOFR3mo_PX[[#This Row],[Column864]]</f>
        <v>98.454999999999998</v>
      </c>
      <c r="AGG7">
        <f>SOFR3mo_PX[[#This Row],[Column865]]</f>
        <v>98.75</v>
      </c>
      <c r="AGH7">
        <f>SOFR3mo_PX[[#This Row],[Column866]]</f>
        <v>98.555000000000007</v>
      </c>
      <c r="AGI7">
        <f>SOFR3mo_PX[[#This Row],[Column867]]</f>
        <v>98.33</v>
      </c>
      <c r="AGJ7">
        <f>SOFR3mo_PX[[#This Row],[Column868]]</f>
        <v>98.36</v>
      </c>
      <c r="AGK7">
        <f>SOFR3mo_PX[[#This Row],[Column869]]</f>
        <v>98.29</v>
      </c>
      <c r="AGL7">
        <f>SOFR3mo_PX[[#This Row],[Column870]]</f>
        <v>98.314999999999998</v>
      </c>
      <c r="AGM7">
        <f>SOFR3mo_PX[[#This Row],[Column871]]</f>
        <v>98.435000000000002</v>
      </c>
      <c r="AGN7">
        <f>SOFR3mo_PX[[#This Row],[Column872]]</f>
        <v>98.435000000000002</v>
      </c>
      <c r="AGO7">
        <f>SOFR3mo_PX[[#This Row],[Column873]]</f>
        <v>98.4</v>
      </c>
      <c r="AGP7">
        <f>SOFR3mo_PX[[#This Row],[Column874]]</f>
        <v>98.344999999999999</v>
      </c>
      <c r="AGQ7">
        <f>SOFR3mo_PX[[#This Row],[Column875]]</f>
        <v>98.29</v>
      </c>
      <c r="AGR7">
        <f>SOFR3mo_PX[[#This Row],[Column876]]</f>
        <v>98.245000000000005</v>
      </c>
      <c r="AGS7">
        <f>SOFR3mo_PX[[#This Row],[Column877]]</f>
        <v>98.33</v>
      </c>
      <c r="AGT7">
        <f>SOFR3mo_PX[[#This Row],[Column878]]</f>
        <v>98.28</v>
      </c>
      <c r="AGU7">
        <f>SOFR3mo_PX[[#This Row],[Column879]]</f>
        <v>98.55</v>
      </c>
      <c r="AGV7">
        <f>SOFR3mo_PX[[#This Row],[Column880]]</f>
        <v>98.555000000000007</v>
      </c>
      <c r="AGW7">
        <f>SOFR3mo_PX[[#This Row],[Column881]]</f>
        <v>98.59</v>
      </c>
      <c r="AGX7">
        <f>SOFR3mo_PX[[#This Row],[Column882]]</f>
        <v>98.56</v>
      </c>
      <c r="AGY7">
        <f>SOFR3mo_PX[[#This Row],[Column883]]</f>
        <v>98.694999999999993</v>
      </c>
      <c r="AGZ7">
        <f>SOFR3mo_PX[[#This Row],[Column884]]</f>
        <v>98.734999999999999</v>
      </c>
      <c r="AHA7">
        <f>SOFR3mo_PX[[#This Row],[Column885]]</f>
        <v>98.72</v>
      </c>
      <c r="AHB7">
        <f>SOFR3mo_PX[[#This Row],[Column886]]</f>
        <v>98.71</v>
      </c>
      <c r="AHC7">
        <f>SOFR3mo_PX[[#This Row],[Column887]]</f>
        <v>98.72</v>
      </c>
      <c r="AHD7">
        <f>SOFR3mo_PX[[#This Row],[Column888]]</f>
        <v>98.72</v>
      </c>
      <c r="AHE7">
        <f>SOFR3mo_PX[[#This Row],[Column889]]</f>
        <v>98.855000000000004</v>
      </c>
      <c r="AHF7">
        <f>SOFR3mo_PX[[#This Row],[Column890]]</f>
        <v>98.944999999999993</v>
      </c>
      <c r="AHG7">
        <f>SOFR3mo_PX[[#This Row],[Column891]]</f>
        <v>98.99</v>
      </c>
      <c r="AHH7">
        <f>SOFR3mo_PX[[#This Row],[Column892]]</f>
        <v>98.93</v>
      </c>
      <c r="AHI7">
        <f>SOFR3mo_PX[[#This Row],[Column893]]</f>
        <v>98.86</v>
      </c>
      <c r="AHJ7">
        <f>SOFR3mo_PX[[#This Row],[Column894]]</f>
        <v>98.905000000000001</v>
      </c>
      <c r="AHK7">
        <f>SOFR3mo_PX[[#This Row],[Column895]]</f>
        <v>98.88</v>
      </c>
      <c r="AHL7">
        <f>SOFR3mo_PX[[#This Row],[Column896]]</f>
        <v>98.965000000000003</v>
      </c>
      <c r="AHM7">
        <f>SOFR3mo_PX[[#This Row],[Column897]]</f>
        <v>98.965000000000003</v>
      </c>
      <c r="AHN7">
        <f>SOFR3mo_PX[[#This Row],[Column898]]</f>
        <v>99.034999999999997</v>
      </c>
      <c r="AHO7">
        <f>SOFR3mo_PX[[#This Row],[Column899]]</f>
        <v>99.03</v>
      </c>
      <c r="AHP7">
        <f>SOFR3mo_PX[[#This Row],[Column900]]</f>
        <v>99.045000000000002</v>
      </c>
      <c r="AHQ7">
        <f>SOFR3mo_PX[[#This Row],[Column901]]</f>
        <v>99.03</v>
      </c>
      <c r="AHR7">
        <f>SOFR3mo_PX[[#This Row],[Column902]]</f>
        <v>99.075000000000003</v>
      </c>
      <c r="AHS7">
        <f>SOFR3mo_PX[[#This Row],[Column903]]</f>
        <v>99.055000000000007</v>
      </c>
      <c r="AHT7">
        <f>SOFR3mo_PX[[#This Row],[Column904]]</f>
        <v>99.094999999999999</v>
      </c>
      <c r="AHU7">
        <f>SOFR3mo_PX[[#This Row],[Column905]]</f>
        <v>99.17</v>
      </c>
      <c r="AHV7">
        <f>SOFR3mo_PX[[#This Row],[Column906]]</f>
        <v>99.144999999999996</v>
      </c>
      <c r="AHW7">
        <f>SOFR3mo_PX[[#This Row],[Column907]]</f>
        <v>99.185000000000002</v>
      </c>
      <c r="AHX7">
        <f>SOFR3mo_PX[[#This Row],[Column908]]</f>
        <v>99.18</v>
      </c>
      <c r="AHY7">
        <f>SOFR3mo_PX[[#This Row],[Column909]]</f>
        <v>99.155000000000001</v>
      </c>
      <c r="AHZ7">
        <f>SOFR3mo_PX[[#This Row],[Column910]]</f>
        <v>99.17</v>
      </c>
      <c r="AIA7">
        <f>SOFR3mo_PX[[#This Row],[Column911]]</f>
        <v>99.165000000000006</v>
      </c>
      <c r="AIB7">
        <f>SOFR3mo_PX[[#This Row],[Column912]]</f>
        <v>99.185000000000002</v>
      </c>
      <c r="AIC7">
        <f>SOFR3mo_PX[[#This Row],[Column913]]</f>
        <v>99.185000000000002</v>
      </c>
      <c r="AID7">
        <f>SOFR3mo_PX[[#This Row],[Column914]]</f>
        <v>99.21</v>
      </c>
      <c r="AIE7">
        <f>SOFR3mo_PX[[#This Row],[Column915]]</f>
        <v>99.215000000000003</v>
      </c>
      <c r="AIF7">
        <f>SOFR3mo_PX[[#This Row],[Column916]]</f>
        <v>99.26</v>
      </c>
      <c r="AIG7">
        <f>SOFR3mo_PX[[#This Row],[Column917]]</f>
        <v>99.234999999999999</v>
      </c>
      <c r="AIH7">
        <f>SOFR3mo_PX[[#This Row],[Column918]]</f>
        <v>99.254999999999995</v>
      </c>
      <c r="AII7">
        <f>SOFR3mo_PX[[#This Row],[Column919]]</f>
        <v>99.19</v>
      </c>
      <c r="AIJ7">
        <f>SOFR3mo_PX[[#This Row],[Column920]]</f>
        <v>99.435000000000002</v>
      </c>
      <c r="AIK7">
        <f>SOFR3mo_PX[[#This Row],[Column921]]</f>
        <v>99.465000000000003</v>
      </c>
      <c r="AIL7">
        <f>SOFR3mo_PX[[#This Row],[Column922]]</f>
        <v>99.45</v>
      </c>
      <c r="AIM7">
        <f>SOFR3mo_PX[[#This Row],[Column923]]</f>
        <v>99.43</v>
      </c>
      <c r="AIN7">
        <f>SOFR3mo_PX[[#This Row],[Column924]]</f>
        <v>99.444999999999993</v>
      </c>
      <c r="AIO7">
        <f>SOFR3mo_PX[[#This Row],[Column925]]</f>
        <v>99.42</v>
      </c>
      <c r="AIP7">
        <f>SOFR3mo_PX[[#This Row],[Column926]]</f>
        <v>99.47</v>
      </c>
      <c r="AIQ7">
        <f>SOFR3mo_PX[[#This Row],[Column927]]</f>
        <v>99.504999999999995</v>
      </c>
      <c r="AIR7">
        <f>SOFR3mo_PX[[#This Row],[Column928]]</f>
        <v>99.47</v>
      </c>
      <c r="AIS7">
        <f>SOFR3mo_PX[[#This Row],[Column929]]</f>
        <v>99.52</v>
      </c>
      <c r="AIT7">
        <f>SOFR3mo_PX[[#This Row],[Column930]]</f>
        <v>99.55</v>
      </c>
      <c r="AIU7">
        <f>SOFR3mo_PX[[#This Row],[Column931]]</f>
        <v>99.58</v>
      </c>
      <c r="AIV7">
        <f>SOFR3mo_PX[[#This Row],[Column932]]</f>
        <v>99.575000000000003</v>
      </c>
      <c r="AIW7">
        <f>SOFR3mo_PX[[#This Row],[Column933]]</f>
        <v>99.424999999999997</v>
      </c>
      <c r="AIX7">
        <f>SOFR3mo_PX[[#This Row],[Column934]]</f>
        <v>99.424999999999997</v>
      </c>
      <c r="AIY7">
        <f>SOFR3mo_PX[[#This Row],[Column935]]</f>
        <v>99.465000000000003</v>
      </c>
      <c r="AIZ7">
        <f>SOFR3mo_PX[[#This Row],[Column936]]</f>
        <v>99.44</v>
      </c>
      <c r="AJA7">
        <f>SOFR3mo_PX[[#This Row],[Column937]]</f>
        <v>99.515000000000001</v>
      </c>
      <c r="AJB7">
        <f>SOFR3mo_PX[[#This Row],[Column938]]</f>
        <v>99.525000000000006</v>
      </c>
      <c r="AJC7">
        <f>SOFR3mo_PX[[#This Row],[Column939]]</f>
        <v>99.525000000000006</v>
      </c>
      <c r="AJD7">
        <f>SOFR3mo_PX[[#This Row],[Column940]]</f>
        <v>99.504999999999995</v>
      </c>
      <c r="AJE7">
        <f>SOFR3mo_PX[[#This Row],[Column941]]</f>
        <v>99.504999999999995</v>
      </c>
      <c r="AJF7">
        <f>SOFR3mo_PX[[#This Row],[Column942]]</f>
        <v>99.495000000000005</v>
      </c>
      <c r="AJG7">
        <f>SOFR3mo_PX[[#This Row],[Column943]]</f>
        <v>99.495000000000005</v>
      </c>
      <c r="AJH7">
        <f>SOFR3mo_PX[[#This Row],[Column944]]</f>
        <v>99.54</v>
      </c>
      <c r="AJI7">
        <f>SOFR3mo_PX[[#This Row],[Column945]]</f>
        <v>99.63</v>
      </c>
      <c r="AJJ7">
        <f>SOFR3mo_PX[[#This Row],[Column946]]</f>
        <v>99.594999999999999</v>
      </c>
      <c r="AJK7">
        <f>SOFR3mo_PX[[#This Row],[Column947]]</f>
        <v>99.64</v>
      </c>
      <c r="AJL7">
        <f>SOFR3mo_PX[[#This Row],[Column948]]</f>
        <v>99.61</v>
      </c>
      <c r="AJM7">
        <f>SOFR3mo_PX[[#This Row],[Column949]]</f>
        <v>99.555000000000007</v>
      </c>
      <c r="AJN7">
        <f>SOFR3mo_PX[[#This Row],[Column950]]</f>
        <v>99.584999999999994</v>
      </c>
      <c r="AJO7">
        <f>SOFR3mo_PX[[#This Row],[Column951]]</f>
        <v>99.525000000000006</v>
      </c>
      <c r="AJP7">
        <f>SOFR3mo_PX[[#This Row],[Column952]]</f>
        <v>99.53</v>
      </c>
      <c r="AJQ7">
        <f>SOFR3mo_PX[[#This Row],[Column953]]</f>
        <v>99.534999999999997</v>
      </c>
      <c r="AJR7">
        <f>SOFR3mo_PX[[#This Row],[Column954]]</f>
        <v>99.55</v>
      </c>
      <c r="AJS7">
        <f>SOFR3mo_PX[[#This Row],[Column955]]</f>
        <v>99.584999999999994</v>
      </c>
      <c r="AJT7">
        <f>SOFR3mo_PX[[#This Row],[Column956]]</f>
        <v>99.6</v>
      </c>
      <c r="AJU7">
        <f>SOFR3mo_PX[[#This Row],[Column957]]</f>
        <v>99.564999999999998</v>
      </c>
      <c r="AJV7">
        <f>SOFR3mo_PX[[#This Row],[Column958]]</f>
        <v>99.61</v>
      </c>
      <c r="AJW7">
        <f>SOFR3mo_PX[[#This Row],[Column959]]</f>
        <v>99.67</v>
      </c>
      <c r="AJX7">
        <f>SOFR3mo_PX[[#This Row],[Column960]]</f>
        <v>99.665000000000006</v>
      </c>
      <c r="AJY7">
        <f>SOFR3mo_PX[[#This Row],[Column961]]</f>
        <v>99.635000000000005</v>
      </c>
      <c r="AJZ7">
        <f>SOFR3mo_PX[[#This Row],[Column962]]</f>
        <v>99.644999999999996</v>
      </c>
      <c r="AKA7">
        <f>SOFR3mo_PX[[#This Row],[Column963]]</f>
        <v>99.704999999999998</v>
      </c>
      <c r="AKB7">
        <f>SOFR3mo_PX[[#This Row],[Column964]]</f>
        <v>99.694999999999993</v>
      </c>
      <c r="AKC7">
        <f>SOFR3mo_PX[[#This Row],[Column965]]</f>
        <v>99.724999999999994</v>
      </c>
      <c r="AKD7">
        <f>SOFR3mo_PX[[#This Row],[Column966]]</f>
        <v>99.734999999999999</v>
      </c>
      <c r="AKE7">
        <f>SOFR3mo_PX[[#This Row],[Column967]]</f>
        <v>99.76</v>
      </c>
      <c r="AKF7">
        <f>SOFR3mo_PX[[#This Row],[Column968]]</f>
        <v>99.78</v>
      </c>
      <c r="AKG7">
        <f>SOFR3mo_PX[[#This Row],[Column969]]</f>
        <v>99.79</v>
      </c>
      <c r="AKH7">
        <f>SOFR3mo_PX[[#This Row],[Column970]]</f>
        <v>99.8</v>
      </c>
      <c r="AKI7">
        <f>SOFR3mo_PX[[#This Row],[Column971]]</f>
        <v>99.81</v>
      </c>
      <c r="AKJ7">
        <f>SOFR3mo_PX[[#This Row],[Column972]]</f>
        <v>99.81</v>
      </c>
      <c r="AKK7">
        <f>SOFR3mo_PX[[#This Row],[Column973]]</f>
        <v>99.8</v>
      </c>
      <c r="AKL7">
        <f>SOFR3mo_PX[[#This Row],[Column974]]</f>
        <v>99.79</v>
      </c>
      <c r="AKM7">
        <f>SOFR3mo_PX[[#This Row],[Column975]]</f>
        <v>99.784999999999997</v>
      </c>
      <c r="AKN7">
        <f>SOFR3mo_PX[[#This Row],[Column976]]</f>
        <v>99.784999999999997</v>
      </c>
      <c r="AKO7">
        <f>SOFR3mo_PX[[#This Row],[Column977]]</f>
        <v>99.795000000000002</v>
      </c>
      <c r="AKP7">
        <f>SOFR3mo_PX[[#This Row],[Column978]]</f>
        <v>99.814999999999998</v>
      </c>
      <c r="AKQ7">
        <f>SOFR3mo_PX[[#This Row],[Column979]]</f>
        <v>99.83</v>
      </c>
      <c r="AKR7">
        <f>SOFR3mo_PX[[#This Row],[Column980]]</f>
        <v>99.855000000000004</v>
      </c>
      <c r="AKS7">
        <f>SOFR3mo_PX[[#This Row],[Column981]]</f>
        <v>99.855000000000004</v>
      </c>
      <c r="AKT7">
        <f>SOFR3mo_PX[[#This Row],[Column982]]</f>
        <v>99.844999999999999</v>
      </c>
      <c r="AKU7">
        <f>SOFR3mo_PX[[#This Row],[Column983]]</f>
        <v>99.85</v>
      </c>
      <c r="AKV7">
        <f>SOFR3mo_PX[[#This Row],[Column984]]</f>
        <v>99.855000000000004</v>
      </c>
      <c r="AKW7">
        <f>SOFR3mo_PX[[#This Row],[Column985]]</f>
        <v>99.93</v>
      </c>
      <c r="AKX7">
        <f>SOFR3mo_PX[[#This Row],[Column986]]</f>
        <v>99.924999999999997</v>
      </c>
      <c r="AKY7">
        <f>SOFR3mo_PX[[#This Row],[Column987]]</f>
        <v>99.924999999999997</v>
      </c>
      <c r="AKZ7">
        <f>SOFR3mo_PX[[#This Row],[Column988]]</f>
        <v>99.924999999999997</v>
      </c>
      <c r="ALA7">
        <f>SOFR3mo_PX[[#This Row],[Column989]]</f>
        <v>99.924999999999997</v>
      </c>
      <c r="ALB7">
        <f>SOFR3mo_PX[[#This Row],[Column990]]</f>
        <v>99.924999999999997</v>
      </c>
      <c r="ALC7">
        <f>SOFR3mo_PX[[#This Row],[Column991]]</f>
        <v>99.93</v>
      </c>
      <c r="ALD7">
        <f>SOFR3mo_PX[[#This Row],[Column992]]</f>
        <v>99.93</v>
      </c>
      <c r="ALE7">
        <f>SOFR3mo_PX[[#This Row],[Column993]]</f>
        <v>99.924999999999997</v>
      </c>
      <c r="ALF7">
        <f>SOFR3mo_PX[[#This Row],[Column994]]</f>
        <v>99.924999999999997</v>
      </c>
      <c r="ALG7">
        <f>SOFR3mo_PX[[#This Row],[Column995]]</f>
        <v>99.924999999999997</v>
      </c>
      <c r="ALH7">
        <f>SOFR3mo_PX[[#This Row],[Column996]]</f>
        <v>99.924999999999997</v>
      </c>
      <c r="ALI7">
        <f>SOFR3mo_PX[[#This Row],[Column997]]</f>
        <v>99.92</v>
      </c>
      <c r="ALJ7">
        <f>SOFR3mo_PX[[#This Row],[Column998]]</f>
        <v>99.91</v>
      </c>
      <c r="ALK7">
        <f>SOFR3mo_PX[[#This Row],[Column999]]</f>
        <v>99.905000000000001</v>
      </c>
      <c r="ALL7">
        <f>SOFR3mo_PX[[#This Row],[Column1000]]</f>
        <v>99.905000000000001</v>
      </c>
      <c r="ALM7">
        <f>SOFR3mo_PX[[#This Row],[Column1001]]</f>
        <v>99.905000000000001</v>
      </c>
      <c r="ALN7">
        <f>SOFR3mo_PX[[#This Row],[Column1002]]</f>
        <v>99.91</v>
      </c>
      <c r="ALO7">
        <f>SOFR3mo_PX[[#This Row],[Column1003]]</f>
        <v>99.905000000000001</v>
      </c>
      <c r="ALP7">
        <f>SOFR3mo_PX[[#This Row],[Column1004]]</f>
        <v>99.905000000000001</v>
      </c>
      <c r="ALQ7">
        <f>SOFR3mo_PX[[#This Row],[Column1005]]</f>
        <v>99.905000000000001</v>
      </c>
      <c r="ALR7">
        <f>SOFR3mo_PX[[#This Row],[Column1006]]</f>
        <v>99.9</v>
      </c>
      <c r="ALS7">
        <f>SOFR3mo_PX[[#This Row],[Column1007]]</f>
        <v>99.9</v>
      </c>
      <c r="ALT7">
        <f>SOFR3mo_PX[[#This Row],[Column1008]]</f>
        <v>99.894999999999996</v>
      </c>
      <c r="ALU7">
        <f>SOFR3mo_PX[[#This Row],[Column1009]]</f>
        <v>99.9</v>
      </c>
      <c r="ALV7">
        <f>SOFR3mo_PX[[#This Row],[Column1010]]</f>
        <v>99.89</v>
      </c>
      <c r="ALW7">
        <f>SOFR3mo_PX[[#This Row],[Column1011]]</f>
        <v>99.905000000000001</v>
      </c>
      <c r="ALX7">
        <f>SOFR3mo_PX[[#This Row],[Column1012]]</f>
        <v>99.905000000000001</v>
      </c>
      <c r="ALY7">
        <f>SOFR3mo_PX[[#This Row],[Column1013]]</f>
        <v>99.91</v>
      </c>
      <c r="ALZ7">
        <f>SOFR3mo_PX[[#This Row],[Column1014]]</f>
        <v>99.924999999999997</v>
      </c>
      <c r="AMA7">
        <f>SOFR3mo_PX[[#This Row],[Column1015]]</f>
        <v>99.924999999999997</v>
      </c>
      <c r="AMB7">
        <f>SOFR3mo_PX[[#This Row],[Column1016]]</f>
        <v>99.924999999999997</v>
      </c>
      <c r="AMC7">
        <f>SOFR3mo_PX[[#This Row],[Column1017]]</f>
        <v>99.91</v>
      </c>
      <c r="AMD7">
        <f>SOFR3mo_PX[[#This Row],[Column1018]]</f>
        <v>99.905000000000001</v>
      </c>
      <c r="AME7">
        <f>SOFR3mo_PX[[#This Row],[Column1019]]</f>
        <v>99.894999999999996</v>
      </c>
      <c r="AMF7">
        <f>SOFR3mo_PX[[#This Row],[Column1020]]</f>
        <v>99.9</v>
      </c>
      <c r="AMG7">
        <f>SOFR3mo_PX[[#This Row],[Column1021]]</f>
        <v>99.89</v>
      </c>
      <c r="AMH7">
        <f>SOFR3mo_PX[[#This Row],[Column1022]]</f>
        <v>99.885000000000005</v>
      </c>
      <c r="AMI7">
        <f>SOFR3mo_PX[[#This Row],[Column1023]]</f>
        <v>99.89</v>
      </c>
      <c r="AMJ7">
        <f>SOFR3mo_PX[[#This Row],[Column1024]]</f>
        <v>99.885000000000005</v>
      </c>
      <c r="AMK7">
        <f>SOFR3mo_PX[[#This Row],[Column1025]]</f>
        <v>99.894999999999996</v>
      </c>
      <c r="AML7">
        <f>SOFR3mo_PX[[#This Row],[Column1026]]</f>
        <v>99.885000000000005</v>
      </c>
      <c r="AMM7">
        <f>SOFR3mo_PX[[#This Row],[Column1027]]</f>
        <v>99.875</v>
      </c>
      <c r="AMN7">
        <f>SOFR3mo_PX[[#This Row],[Column1028]]</f>
        <v>99.88</v>
      </c>
      <c r="AMO7">
        <f>SOFR3mo_PX[[#This Row],[Column1029]]</f>
        <v>99.87</v>
      </c>
      <c r="AMP7">
        <f>SOFR3mo_PX[[#This Row],[Column1030]]</f>
        <v>99.85</v>
      </c>
      <c r="AMQ7">
        <f>SOFR3mo_PX[[#This Row],[Column1031]]</f>
        <v>99.875</v>
      </c>
      <c r="AMR7">
        <f>SOFR3mo_PX[[#This Row],[Column1032]]</f>
        <v>99.885000000000005</v>
      </c>
      <c r="AMS7">
        <f>SOFR3mo_PX[[#This Row],[Column1033]]</f>
        <v>99.894999999999996</v>
      </c>
      <c r="AMT7">
        <f>SOFR3mo_PX[[#This Row],[Column1034]]</f>
        <v>99.885000000000005</v>
      </c>
      <c r="AMU7">
        <f>SOFR3mo_PX[[#This Row],[Column1035]]</f>
        <v>99.88</v>
      </c>
      <c r="AMV7">
        <f>SOFR3mo_PX[[#This Row],[Column1036]]</f>
        <v>99.864999999999995</v>
      </c>
      <c r="AMW7">
        <f>SOFR3mo_PX[[#This Row],[Column1037]]</f>
        <v>99.864999999999995</v>
      </c>
      <c r="AMX7">
        <f>SOFR3mo_PX[[#This Row],[Column1038]]</f>
        <v>99.844999999999999</v>
      </c>
      <c r="AMY7">
        <f>SOFR3mo_PX[[#This Row],[Column1039]]</f>
        <v>99.855000000000004</v>
      </c>
      <c r="AMZ7">
        <f>SOFR3mo_PX[[#This Row],[Column1040]]</f>
        <v>99.85</v>
      </c>
      <c r="ANA7">
        <f>SOFR3mo_PX[[#This Row],[Column1041]]</f>
        <v>99.85</v>
      </c>
      <c r="ANB7">
        <f>SOFR3mo_PX[[#This Row],[Column1042]]</f>
        <v>99.84</v>
      </c>
      <c r="ANC7">
        <f>SOFR3mo_PX[[#This Row],[Column1043]]</f>
        <v>99.84</v>
      </c>
      <c r="AND7">
        <f>SOFR3mo_PX[[#This Row],[Column1044]]</f>
        <v>99.844999999999999</v>
      </c>
      <c r="ANE7">
        <f>SOFR3mo_PX[[#This Row],[Column1045]]</f>
        <v>99.86</v>
      </c>
      <c r="ANF7">
        <f>SOFR3mo_PX[[#This Row],[Column1046]]</f>
        <v>99.84</v>
      </c>
      <c r="ANG7">
        <f>SOFR3mo_PX[[#This Row],[Column1047]]</f>
        <v>99.834999999999994</v>
      </c>
      <c r="ANH7">
        <f>SOFR3mo_PX[[#This Row],[Column1048]]</f>
        <v>99.88</v>
      </c>
      <c r="ANI7">
        <f>SOFR3mo_PX[[#This Row],[Column1049]]</f>
        <v>99.885000000000005</v>
      </c>
      <c r="ANJ7">
        <f>SOFR3mo_PX[[#This Row],[Column1050]]</f>
        <v>99.94</v>
      </c>
      <c r="ANK7">
        <f>SOFR3mo_PX[[#This Row],[Column1051]]</f>
        <v>99.94</v>
      </c>
      <c r="ANL7">
        <f>SOFR3mo_PX[[#This Row],[Column1052]]</f>
        <v>99.944999999999993</v>
      </c>
      <c r="ANM7">
        <f>SOFR3mo_PX[[#This Row],[Column1053]]</f>
        <v>99.95</v>
      </c>
      <c r="ANN7">
        <f>SOFR3mo_PX[[#This Row],[Column1054]]</f>
        <v>99.95</v>
      </c>
      <c r="ANO7">
        <f>SOFR3mo_PX[[#This Row],[Column1055]]</f>
        <v>99.95</v>
      </c>
      <c r="ANP7">
        <f>SOFR3mo_PX[[#This Row],[Column1056]]</f>
        <v>99.95</v>
      </c>
      <c r="ANQ7">
        <f>SOFR3mo_PX[[#This Row],[Column1057]]</f>
        <v>99.954999999999998</v>
      </c>
      <c r="ANR7">
        <f>SOFR3mo_PX[[#This Row],[Column1058]]</f>
        <v>99.95</v>
      </c>
      <c r="ANS7">
        <f>SOFR3mo_PX[[#This Row],[Column1059]]</f>
        <v>99.95</v>
      </c>
      <c r="ANT7">
        <f>SOFR3mo_PX[[#This Row],[Column1060]]</f>
        <v>99.95</v>
      </c>
      <c r="ANU7">
        <f>SOFR3mo_PX[[#This Row],[Column1061]]</f>
        <v>99.954999999999998</v>
      </c>
      <c r="ANV7">
        <f>SOFR3mo_PX[[#This Row],[Column1062]]</f>
        <v>99.954999999999998</v>
      </c>
      <c r="ANW7">
        <f>SOFR3mo_PX[[#This Row],[Column1063]]</f>
        <v>99.954999999999998</v>
      </c>
      <c r="ANX7">
        <f>SOFR3mo_PX[[#This Row],[Column1064]]</f>
        <v>99.95</v>
      </c>
      <c r="ANY7">
        <f>SOFR3mo_PX[[#This Row],[Column1065]]</f>
        <v>99.944999999999993</v>
      </c>
      <c r="ANZ7">
        <f>SOFR3mo_PX[[#This Row],[Column1066]]</f>
        <v>99.94</v>
      </c>
      <c r="AOA7">
        <f>SOFR3mo_PX[[#This Row],[Column1067]]</f>
        <v>99.94</v>
      </c>
      <c r="AOB7">
        <f>SOFR3mo_PX[[#This Row],[Column1068]]</f>
        <v>99.94</v>
      </c>
      <c r="AOC7">
        <f>SOFR3mo_PX[[#This Row],[Column1069]]</f>
        <v>99.935000000000002</v>
      </c>
      <c r="AOD7">
        <f>SOFR3mo_PX[[#This Row],[Column1070]]</f>
        <v>99.935000000000002</v>
      </c>
      <c r="AOE7">
        <f>SOFR3mo_PX[[#This Row],[Column1071]]</f>
        <v>99.935000000000002</v>
      </c>
      <c r="AOF7">
        <f>SOFR3mo_PX[[#This Row],[Column1072]]</f>
        <v>99.935000000000002</v>
      </c>
      <c r="AOG7">
        <f>SOFR3mo_PX[[#This Row],[Column1073]]</f>
        <v>99.935000000000002</v>
      </c>
      <c r="AOH7">
        <f>SOFR3mo_PX[[#This Row],[Column1074]]</f>
        <v>99.93</v>
      </c>
      <c r="AOI7">
        <f>SOFR3mo_PX[[#This Row],[Column1075]]</f>
        <v>99.93</v>
      </c>
      <c r="AOJ7">
        <f>SOFR3mo_PX[[#This Row],[Column1076]]</f>
        <v>99.93</v>
      </c>
      <c r="AOK7">
        <f>SOFR3mo_PX[[#This Row],[Column1077]]</f>
        <v>99.935000000000002</v>
      </c>
      <c r="AOL7">
        <f>SOFR3mo_PX[[#This Row],[Column1078]]</f>
        <v>99.935000000000002</v>
      </c>
      <c r="AOM7">
        <f>SOFR3mo_PX[[#This Row],[Column1079]]</f>
        <v>99.93</v>
      </c>
      <c r="AON7">
        <f>SOFR3mo_PX[[#This Row],[Column1080]]</f>
        <v>99.924999999999997</v>
      </c>
      <c r="AOO7">
        <f>SOFR3mo_PX[[#This Row],[Column1081]]</f>
        <v>99.924999999999997</v>
      </c>
      <c r="AOP7">
        <f>SOFR3mo_PX[[#This Row],[Column1082]]</f>
        <v>99.924999999999997</v>
      </c>
      <c r="AOQ7">
        <f>SOFR3mo_PX[[#This Row],[Column1083]]</f>
        <v>99.92</v>
      </c>
      <c r="AOR7">
        <f>SOFR3mo_PX[[#This Row],[Column1084]]</f>
        <v>99.92</v>
      </c>
      <c r="AOS7">
        <f>SOFR3mo_PX[[#This Row],[Column1085]]</f>
        <v>99.92</v>
      </c>
      <c r="AOT7">
        <f>SOFR3mo_PX[[#This Row],[Column1086]]</f>
        <v>99.92</v>
      </c>
      <c r="AOU7">
        <f>SOFR3mo_PX[[#This Row],[Column1087]]</f>
        <v>99.924999999999997</v>
      </c>
      <c r="AOV7">
        <f>SOFR3mo_PX[[#This Row],[Column1088]]</f>
        <v>99.92</v>
      </c>
      <c r="AOW7">
        <f>SOFR3mo_PX[[#This Row],[Column1089]]</f>
        <v>99.92</v>
      </c>
      <c r="AOX7">
        <f>SOFR3mo_PX[[#This Row],[Column1090]]</f>
        <v>99.92</v>
      </c>
      <c r="AOY7">
        <f>SOFR3mo_PX[[#This Row],[Column1091]]</f>
        <v>99.92</v>
      </c>
      <c r="AOZ7">
        <f>SOFR3mo_PX[[#This Row],[Column1092]]</f>
        <v>99.92</v>
      </c>
      <c r="APA7">
        <f>SOFR3mo_PX[[#This Row],[Column1093]]</f>
        <v>99.924999999999997</v>
      </c>
      <c r="APB7">
        <f>SOFR3mo_PX[[#This Row],[Column1094]]</f>
        <v>99.924999999999997</v>
      </c>
      <c r="APC7">
        <f>SOFR3mo_PX[[#This Row],[Column1095]]</f>
        <v>99.924999999999997</v>
      </c>
      <c r="APD7">
        <f>SOFR3mo_PX[[#This Row],[Column1096]]</f>
        <v>99.92</v>
      </c>
      <c r="APE7">
        <f>SOFR3mo_PX[[#This Row],[Column1097]]</f>
        <v>99.92</v>
      </c>
      <c r="APF7">
        <f>SOFR3mo_PX[[#This Row],[Column1098]]</f>
        <v>99.924999999999997</v>
      </c>
      <c r="APG7">
        <f>SOFR3mo_PX[[#This Row],[Column1099]]</f>
        <v>99.92</v>
      </c>
      <c r="APH7">
        <f>SOFR3mo_PX[[#This Row],[Column1100]]</f>
        <v>99.92</v>
      </c>
      <c r="API7">
        <f>SOFR3mo_PX[[#This Row],[Column1101]]</f>
        <v>99.915000000000006</v>
      </c>
      <c r="APJ7">
        <f>SOFR3mo_PX[[#This Row],[Column1102]]</f>
        <v>99.9</v>
      </c>
      <c r="APK7">
        <f>SOFR3mo_PX[[#This Row],[Column1103]]</f>
        <v>99.915000000000006</v>
      </c>
      <c r="APL7">
        <f>SOFR3mo_PX[[#This Row],[Column1104]]</f>
        <v>99.915000000000006</v>
      </c>
      <c r="APM7">
        <f>SOFR3mo_PX[[#This Row],[Column1105]]</f>
        <v>99.92</v>
      </c>
      <c r="APN7">
        <f>SOFR3mo_PX[[#This Row],[Column1106]]</f>
        <v>99.924999999999997</v>
      </c>
      <c r="APO7">
        <f>SOFR3mo_PX[[#This Row],[Column1107]]</f>
        <v>99.93</v>
      </c>
      <c r="APP7">
        <f>SOFR3mo_PX[[#This Row],[Column1108]]</f>
        <v>99.93</v>
      </c>
      <c r="APQ7">
        <f>SOFR3mo_PX[[#This Row],[Column1109]]</f>
        <v>99.924999999999997</v>
      </c>
      <c r="APR7">
        <f>SOFR3mo_PX[[#This Row],[Column1110]]</f>
        <v>99.924999999999997</v>
      </c>
      <c r="APS7">
        <f>SOFR3mo_PX[[#This Row],[Column1111]]</f>
        <v>99.924999999999997</v>
      </c>
      <c r="APT7">
        <f>SOFR3mo_PX[[#This Row],[Column1112]]</f>
        <v>99.924999999999997</v>
      </c>
      <c r="APU7">
        <f>SOFR3mo_PX[[#This Row],[Column1113]]</f>
        <v>99.92</v>
      </c>
      <c r="APV7">
        <f>SOFR3mo_PX[[#This Row],[Column1114]]</f>
        <v>99.93</v>
      </c>
      <c r="APW7">
        <f>SOFR3mo_PX[[#This Row],[Column1115]]</f>
        <v>99.915000000000006</v>
      </c>
      <c r="APX7">
        <f>SOFR3mo_PX[[#This Row],[Column1116]]</f>
        <v>99.92</v>
      </c>
      <c r="APY7">
        <f>SOFR3mo_PX[[#This Row],[Column1117]]</f>
        <v>99.92</v>
      </c>
      <c r="APZ7">
        <f>SOFR3mo_PX[[#This Row],[Column1118]]</f>
        <v>99.92</v>
      </c>
      <c r="AQA7">
        <f>SOFR3mo_PX[[#This Row],[Column1119]]</f>
        <v>99.924999999999997</v>
      </c>
      <c r="AQB7">
        <f>SOFR3mo_PX[[#This Row],[Column1120]]</f>
        <v>99.93</v>
      </c>
      <c r="AQC7">
        <f>SOFR3mo_PX[[#This Row],[Column1121]]</f>
        <v>99.924999999999997</v>
      </c>
      <c r="AQD7">
        <f>SOFR3mo_PX[[#This Row],[Column1122]]</f>
        <v>99.93</v>
      </c>
      <c r="AQE7">
        <f>SOFR3mo_PX[[#This Row],[Column1123]]</f>
        <v>99.924999999999997</v>
      </c>
      <c r="AQF7">
        <f>SOFR3mo_PX[[#This Row],[Column1124]]</f>
        <v>99.924999999999997</v>
      </c>
      <c r="AQG7">
        <f>SOFR3mo_PX[[#This Row],[Column1125]]</f>
        <v>99.924999999999997</v>
      </c>
      <c r="AQH7">
        <f>SOFR3mo_PX[[#This Row],[Column1126]]</f>
        <v>99.93</v>
      </c>
      <c r="AQI7">
        <f>SOFR3mo_PX[[#This Row],[Column1127]]</f>
        <v>99.93</v>
      </c>
      <c r="AQJ7">
        <f>SOFR3mo_PX[[#This Row],[Column1128]]</f>
        <v>99.924999999999997</v>
      </c>
      <c r="AQK7">
        <f>SOFR3mo_PX[[#This Row],[Column1129]]</f>
        <v>99.924999999999997</v>
      </c>
      <c r="AQL7">
        <f>SOFR3mo_PX[[#This Row],[Column1130]]</f>
        <v>99.93</v>
      </c>
      <c r="AQM7">
        <f>SOFR3mo_PX[[#This Row],[Column1131]]</f>
        <v>99.935000000000002</v>
      </c>
      <c r="AQN7">
        <f>SOFR3mo_PX[[#This Row],[Column1132]]</f>
        <v>99.935000000000002</v>
      </c>
      <c r="AQO7">
        <f>SOFR3mo_PX[[#This Row],[Column1133]]</f>
        <v>99.94</v>
      </c>
      <c r="AQP7">
        <f>SOFR3mo_PX[[#This Row],[Column1134]]</f>
        <v>99.94</v>
      </c>
      <c r="AQQ7">
        <f>SOFR3mo_PX[[#This Row],[Column1135]]</f>
        <v>99.935000000000002</v>
      </c>
      <c r="AQR7">
        <f>SOFR3mo_PX[[#This Row],[Column1136]]</f>
        <v>99.94</v>
      </c>
      <c r="AQS7">
        <f>SOFR3mo_PX[[#This Row],[Column1137]]</f>
        <v>99.94</v>
      </c>
      <c r="AQT7">
        <f>SOFR3mo_PX[[#This Row],[Column1138]]</f>
        <v>99.94</v>
      </c>
      <c r="AQU7">
        <f>SOFR3mo_PX[[#This Row],[Column1139]]</f>
        <v>99.94</v>
      </c>
      <c r="AQV7">
        <f>SOFR3mo_PX[[#This Row],[Column1140]]</f>
        <v>99.94</v>
      </c>
      <c r="AQW7">
        <f>SOFR3mo_PX[[#This Row],[Column1141]]</f>
        <v>99.94</v>
      </c>
      <c r="AQX7">
        <f>SOFR3mo_PX[[#This Row],[Column1142]]</f>
        <v>99.94</v>
      </c>
      <c r="AQY7">
        <f>SOFR3mo_PX[[#This Row],[Column1143]]</f>
        <v>99.94</v>
      </c>
      <c r="AQZ7">
        <f>SOFR3mo_PX[[#This Row],[Column1144]]</f>
        <v>99.935000000000002</v>
      </c>
      <c r="ARA7">
        <f>SOFR3mo_PX[[#This Row],[Column1145]]</f>
        <v>99.935000000000002</v>
      </c>
      <c r="ARB7">
        <f>SOFR3mo_PX[[#This Row],[Column1146]]</f>
        <v>99.94</v>
      </c>
      <c r="ARC7">
        <f>SOFR3mo_PX[[#This Row],[Column1147]]</f>
        <v>99.94</v>
      </c>
      <c r="ARD7">
        <f>SOFR3mo_PX[[#This Row],[Column1148]]</f>
        <v>99.935000000000002</v>
      </c>
      <c r="ARE7">
        <f>SOFR3mo_PX[[#This Row],[Column1149]]</f>
        <v>99.94</v>
      </c>
      <c r="ARF7">
        <f>SOFR3mo_PX[[#This Row],[Column1150]]</f>
        <v>99.935000000000002</v>
      </c>
      <c r="ARG7">
        <f>SOFR3mo_PX[[#This Row],[Column1151]]</f>
        <v>99.935000000000002</v>
      </c>
      <c r="ARH7">
        <f>SOFR3mo_PX[[#This Row],[Column1152]]</f>
        <v>99.935000000000002</v>
      </c>
      <c r="ARI7">
        <f>SOFR3mo_PX[[#This Row],[Column1153]]</f>
        <v>99.935000000000002</v>
      </c>
      <c r="ARJ7">
        <f>SOFR3mo_PX[[#This Row],[Column1154]]</f>
        <v>99.935000000000002</v>
      </c>
      <c r="ARK7">
        <f>SOFR3mo_PX[[#This Row],[Column1155]]</f>
        <v>99.935000000000002</v>
      </c>
      <c r="ARL7">
        <f>SOFR3mo_PX[[#This Row],[Column1156]]</f>
        <v>99.935000000000002</v>
      </c>
      <c r="ARM7">
        <f>SOFR3mo_PX[[#This Row],[Column1157]]</f>
        <v>99.935000000000002</v>
      </c>
      <c r="ARN7">
        <f>SOFR3mo_PX[[#This Row],[Column1158]]</f>
        <v>99.93</v>
      </c>
      <c r="ARO7">
        <f>SOFR3mo_PX[[#This Row],[Column1159]]</f>
        <v>99.924999999999997</v>
      </c>
      <c r="ARP7">
        <f>SOFR3mo_PX[[#This Row],[Column1160]]</f>
        <v>99.92</v>
      </c>
      <c r="ARQ7">
        <f>SOFR3mo_PX[[#This Row],[Column1161]]</f>
        <v>99.924999999999997</v>
      </c>
      <c r="ARR7">
        <f>SOFR3mo_PX[[#This Row],[Column1162]]</f>
        <v>99.924999999999997</v>
      </c>
      <c r="ARS7">
        <f>SOFR3mo_PX[[#This Row],[Column1163]]</f>
        <v>99.92</v>
      </c>
      <c r="ART7">
        <f>SOFR3mo_PX[[#This Row],[Column1164]]</f>
        <v>99.924999999999997</v>
      </c>
      <c r="ARU7">
        <f>SOFR3mo_PX[[#This Row],[Column1165]]</f>
        <v>99.935000000000002</v>
      </c>
      <c r="ARV7">
        <f>SOFR3mo_PX[[#This Row],[Column1166]]</f>
        <v>99.94</v>
      </c>
      <c r="ARW7">
        <f>SOFR3mo_PX[[#This Row],[Column1167]]</f>
        <v>99.935000000000002</v>
      </c>
      <c r="ARX7">
        <f>SOFR3mo_PX[[#This Row],[Column1168]]</f>
        <v>99.935000000000002</v>
      </c>
      <c r="ARY7">
        <f>SOFR3mo_PX[[#This Row],[Column1169]]</f>
        <v>99.924999999999997</v>
      </c>
      <c r="ARZ7">
        <f>SOFR3mo_PX[[#This Row],[Column1170]]</f>
        <v>99.924999999999997</v>
      </c>
      <c r="ASA7">
        <f>SOFR3mo_PX[[#This Row],[Column1171]]</f>
        <v>99.924999999999997</v>
      </c>
      <c r="ASB7">
        <f>SOFR3mo_PX[[#This Row],[Column1172]]</f>
        <v>99.935000000000002</v>
      </c>
      <c r="ASC7">
        <f>SOFR3mo_PX[[#This Row],[Column1173]]</f>
        <v>99.935000000000002</v>
      </c>
      <c r="ASD7">
        <f>SOFR3mo_PX[[#This Row],[Column1174]]</f>
        <v>99.93</v>
      </c>
      <c r="ASE7">
        <f>SOFR3mo_PX[[#This Row],[Column1175]]</f>
        <v>99.93</v>
      </c>
      <c r="ASF7">
        <f>SOFR3mo_PX[[#This Row],[Column1176]]</f>
        <v>99.935000000000002</v>
      </c>
      <c r="ASG7">
        <f>SOFR3mo_PX[[#This Row],[Column1177]]</f>
        <v>99.935000000000002</v>
      </c>
      <c r="ASH7">
        <f>SOFR3mo_PX[[#This Row],[Column1178]]</f>
        <v>99.935000000000002</v>
      </c>
      <c r="ASI7">
        <f>SOFR3mo_PX[[#This Row],[Column1179]]</f>
        <v>99.94</v>
      </c>
      <c r="ASJ7">
        <f>SOFR3mo_PX[[#This Row],[Column1180]]</f>
        <v>99.944999999999993</v>
      </c>
      <c r="ASK7">
        <f>SOFR3mo_PX[[#This Row],[Column1181]]</f>
        <v>99.94</v>
      </c>
      <c r="ASL7">
        <f>SOFR3mo_PX[[#This Row],[Column1182]]</f>
        <v>99.94</v>
      </c>
      <c r="ASM7">
        <f>SOFR3mo_PX[[#This Row],[Column1183]]</f>
        <v>99.935000000000002</v>
      </c>
      <c r="ASN7">
        <f>SOFR3mo_PX[[#This Row],[Column1184]]</f>
        <v>99.93</v>
      </c>
      <c r="ASO7">
        <f>SOFR3mo_PX[[#This Row],[Column1185]]</f>
        <v>99.93</v>
      </c>
      <c r="ASP7">
        <f>SOFR3mo_PX[[#This Row],[Column1186]]</f>
        <v>99.93</v>
      </c>
      <c r="ASQ7">
        <f>SOFR3mo_PX[[#This Row],[Column1187]]</f>
        <v>99.93</v>
      </c>
      <c r="ASR7">
        <f>SOFR3mo_PX[[#This Row],[Column1188]]</f>
        <v>99.924999999999997</v>
      </c>
      <c r="ASS7">
        <f>SOFR3mo_PX[[#This Row],[Column1189]]</f>
        <v>99.924999999999997</v>
      </c>
      <c r="AST7">
        <f>SOFR3mo_PX[[#This Row],[Column1190]]</f>
        <v>99.924999999999997</v>
      </c>
      <c r="ASU7">
        <f>SOFR3mo_PX[[#This Row],[Column1191]]</f>
        <v>99.93</v>
      </c>
      <c r="ASV7">
        <f>SOFR3mo_PX[[#This Row],[Column1192]]</f>
        <v>99.935000000000002</v>
      </c>
      <c r="ASW7">
        <f>SOFR3mo_PX[[#This Row],[Column1193]]</f>
        <v>99.93</v>
      </c>
      <c r="ASX7">
        <f>SOFR3mo_PX[[#This Row],[Column1194]]</f>
        <v>99.93</v>
      </c>
      <c r="ASY7">
        <f>SOFR3mo_PX[[#This Row],[Column1195]]</f>
        <v>99.935000000000002</v>
      </c>
      <c r="ASZ7">
        <f>SOFR3mo_PX[[#This Row],[Column1196]]</f>
        <v>99.935000000000002</v>
      </c>
      <c r="ATA7">
        <f>SOFR3mo_PX[[#This Row],[Column1197]]</f>
        <v>99.94</v>
      </c>
      <c r="ATB7">
        <f>SOFR3mo_PX[[#This Row],[Column1198]]</f>
        <v>99.93</v>
      </c>
      <c r="ATC7">
        <f>SOFR3mo_PX[[#This Row],[Column1199]]</f>
        <v>99.924999999999997</v>
      </c>
      <c r="ATD7">
        <f>SOFR3mo_PX[[#This Row],[Column1200]]</f>
        <v>99.924999999999997</v>
      </c>
      <c r="ATE7">
        <f>SOFR3mo_PX[[#This Row],[Column1201]]</f>
        <v>99.924999999999997</v>
      </c>
      <c r="ATF7">
        <f>SOFR3mo_PX[[#This Row],[Column1202]]</f>
        <v>99.92</v>
      </c>
      <c r="ATG7">
        <f>SOFR3mo_PX[[#This Row],[Column1203]]</f>
        <v>99.924999999999997</v>
      </c>
      <c r="ATH7">
        <f>SOFR3mo_PX[[#This Row],[Column1204]]</f>
        <v>99.92</v>
      </c>
      <c r="ATI7">
        <f>SOFR3mo_PX[[#This Row],[Column1205]]</f>
        <v>99.924999999999997</v>
      </c>
      <c r="ATJ7">
        <f>SOFR3mo_PX[[#This Row],[Column1206]]</f>
        <v>99.92</v>
      </c>
      <c r="ATK7">
        <f>SOFR3mo_PX[[#This Row],[Column1207]]</f>
        <v>99.94</v>
      </c>
      <c r="ATL7">
        <f>SOFR3mo_PX[[#This Row],[Column1208]]</f>
        <v>99.944999999999993</v>
      </c>
      <c r="ATM7">
        <f>SOFR3mo_PX[[#This Row],[Column1209]]</f>
        <v>99.95</v>
      </c>
      <c r="ATN7">
        <f>SOFR3mo_PX[[#This Row],[Column1210]]</f>
        <v>99.94</v>
      </c>
      <c r="ATO7">
        <f>SOFR3mo_PX[[#This Row],[Column1211]]</f>
        <v>99.944999999999993</v>
      </c>
      <c r="ATP7">
        <f>SOFR3mo_PX[[#This Row],[Column1212]]</f>
        <v>99.95</v>
      </c>
      <c r="ATQ7">
        <f>SOFR3mo_PX[[#This Row],[Column1213]]</f>
        <v>99.95</v>
      </c>
      <c r="ATR7">
        <f>SOFR3mo_PX[[#This Row],[Column1214]]</f>
        <v>99.944999999999993</v>
      </c>
      <c r="ATS7">
        <f>SOFR3mo_PX[[#This Row],[Column1215]]</f>
        <v>99.944999999999993</v>
      </c>
      <c r="ATT7">
        <f>SOFR3mo_PX[[#This Row],[Column1216]]</f>
        <v>99.944999999999993</v>
      </c>
      <c r="ATU7">
        <f>SOFR3mo_PX[[#This Row],[Column1217]]</f>
        <v>99.94</v>
      </c>
      <c r="ATV7">
        <f>SOFR3mo_PX[[#This Row],[Column1218]]</f>
        <v>99.935000000000002</v>
      </c>
      <c r="ATW7">
        <f>SOFR3mo_PX[[#This Row],[Column1219]]</f>
        <v>99.94</v>
      </c>
      <c r="ATX7">
        <f>SOFR3mo_PX[[#This Row],[Column1220]]</f>
        <v>99.94</v>
      </c>
      <c r="ATY7">
        <f>SOFR3mo_PX[[#This Row],[Column1221]]</f>
        <v>99.944999999999993</v>
      </c>
      <c r="ATZ7">
        <f>SOFR3mo_PX[[#This Row],[Column1222]]</f>
        <v>99.944999999999993</v>
      </c>
      <c r="AUA7">
        <f>SOFR3mo_PX[[#This Row],[Column1223]]</f>
        <v>99.94</v>
      </c>
      <c r="AUB7">
        <f>SOFR3mo_PX[[#This Row],[Column1224]]</f>
        <v>99.944999999999993</v>
      </c>
      <c r="AUC7">
        <f>SOFR3mo_PX[[#This Row],[Column1225]]</f>
        <v>99.944999999999993</v>
      </c>
      <c r="AUD7">
        <f>SOFR3mo_PX[[#This Row],[Column1226]]</f>
        <v>99.935000000000002</v>
      </c>
      <c r="AUE7">
        <f>SOFR3mo_PX[[#This Row],[Column1227]]</f>
        <v>99.935000000000002</v>
      </c>
      <c r="AUF7">
        <f>SOFR3mo_PX[[#This Row],[Column1228]]</f>
        <v>99.944999999999993</v>
      </c>
      <c r="AUG7">
        <f>SOFR3mo_PX[[#This Row],[Column1229]]</f>
        <v>99.94</v>
      </c>
      <c r="AUH7">
        <f>SOFR3mo_PX[[#This Row],[Column1230]]</f>
        <v>99.95</v>
      </c>
      <c r="AUI7">
        <f>SOFR3mo_PX[[#This Row],[Column1231]]</f>
        <v>99.95</v>
      </c>
      <c r="AUJ7">
        <f>SOFR3mo_PX[[#This Row],[Column1232]]</f>
        <v>99.954999999999998</v>
      </c>
      <c r="AUK7">
        <f>SOFR3mo_PX[[#This Row],[Column1233]]</f>
        <v>99.954999999999998</v>
      </c>
      <c r="AUL7">
        <f>SOFR3mo_PX[[#This Row],[Column1234]]</f>
        <v>99.965000000000003</v>
      </c>
      <c r="AUM7">
        <f>SOFR3mo_PX[[#This Row],[Column1235]]</f>
        <v>99.965000000000003</v>
      </c>
      <c r="AUN7">
        <f>SOFR3mo_PX[[#This Row],[Column1236]]</f>
        <v>99.965000000000003</v>
      </c>
      <c r="AUO7">
        <f>SOFR3mo_PX[[#This Row],[Column1237]]</f>
        <v>99.965000000000003</v>
      </c>
      <c r="AUP7">
        <f>SOFR3mo_PX[[#This Row],[Column1238]]</f>
        <v>99.965000000000003</v>
      </c>
      <c r="AUQ7">
        <f>SOFR3mo_PX[[#This Row],[Column1239]]</f>
        <v>99.96</v>
      </c>
      <c r="AUR7">
        <f>SOFR3mo_PX[[#This Row],[Column1240]]</f>
        <v>99.965000000000003</v>
      </c>
      <c r="AUS7">
        <f>SOFR3mo_PX[[#This Row],[Column1241]]</f>
        <v>99.96</v>
      </c>
      <c r="AUT7">
        <f>SOFR3mo_PX[[#This Row],[Column1242]]</f>
        <v>99.954999999999998</v>
      </c>
      <c r="AUU7">
        <f>SOFR3mo_PX[[#This Row],[Column1243]]</f>
        <v>99.97</v>
      </c>
      <c r="AUV7">
        <f>SOFR3mo_PX[[#This Row],[Column1244]]</f>
        <v>99.965000000000003</v>
      </c>
      <c r="AUW7">
        <f>SOFR3mo_PX[[#This Row],[Column1245]]</f>
        <v>99.965000000000003</v>
      </c>
      <c r="AUX7">
        <f>SOFR3mo_PX[[#This Row],[Column1246]]</f>
        <v>99.965000000000003</v>
      </c>
      <c r="AUY7">
        <f>SOFR3mo_PX[[#This Row],[Column1247]]</f>
        <v>99.97</v>
      </c>
      <c r="AUZ7">
        <f>SOFR3mo_PX[[#This Row],[Column1248]]</f>
        <v>99.96</v>
      </c>
      <c r="AVA7">
        <f>SOFR3mo_PX[[#This Row],[Column1249]]</f>
        <v>99.954999999999998</v>
      </c>
      <c r="AVB7">
        <f>SOFR3mo_PX[[#This Row],[Column1250]]</f>
        <v>99.96</v>
      </c>
      <c r="AVC7">
        <f>SOFR3mo_PX[[#This Row],[Column1251]]</f>
        <v>99.96</v>
      </c>
      <c r="AVD7">
        <f>SOFR3mo_PX[[#This Row],[Column1252]]</f>
        <v>99.96</v>
      </c>
      <c r="AVE7">
        <f>SOFR3mo_PX[[#This Row],[Column1253]]</f>
        <v>99.97</v>
      </c>
      <c r="AVF7">
        <f>SOFR3mo_PX[[#This Row],[Column1254]]</f>
        <v>99.96</v>
      </c>
      <c r="AVG7">
        <f>SOFR3mo_PX[[#This Row],[Column1255]]</f>
        <v>99.97</v>
      </c>
      <c r="AVH7">
        <f>SOFR3mo_PX[[#This Row],[Column1256]]</f>
        <v>99.97</v>
      </c>
      <c r="AVI7">
        <f>SOFR3mo_PX[[#This Row],[Column1257]]</f>
        <v>99.97</v>
      </c>
      <c r="AVJ7">
        <f>SOFR3mo_PX[[#This Row],[Column1258]]</f>
        <v>99.96</v>
      </c>
      <c r="AVK7">
        <f>SOFR3mo_PX[[#This Row],[Column1259]]</f>
        <v>99.96</v>
      </c>
      <c r="AVL7">
        <f>SOFR3mo_PX[[#This Row],[Column1260]]</f>
        <v>99.965000000000003</v>
      </c>
      <c r="AVM7">
        <f>SOFR3mo_PX[[#This Row],[Column1261]]</f>
        <v>99.974999999999994</v>
      </c>
      <c r="AVN7">
        <f>SOFR3mo_PX[[#This Row],[Column1262]]</f>
        <v>99.974999999999994</v>
      </c>
      <c r="AVO7">
        <f>SOFR3mo_PX[[#This Row],[Column1263]]</f>
        <v>99.974999999999994</v>
      </c>
      <c r="AVP7">
        <f>SOFR3mo_PX[[#This Row],[Column1264]]</f>
        <v>99.974999999999994</v>
      </c>
      <c r="AVQ7">
        <f>SOFR3mo_PX[[#This Row],[Column1265]]</f>
        <v>99.97</v>
      </c>
      <c r="AVR7">
        <f>SOFR3mo_PX[[#This Row],[Column1266]]</f>
        <v>99.965000000000003</v>
      </c>
      <c r="AVS7">
        <f>SOFR3mo_PX[[#This Row],[Column1267]]</f>
        <v>99.96</v>
      </c>
      <c r="AVT7">
        <f>SOFR3mo_PX[[#This Row],[Column1268]]</f>
        <v>99.96</v>
      </c>
      <c r="AVU7">
        <f>SOFR3mo_PX[[#This Row],[Column1269]]</f>
        <v>99.965000000000003</v>
      </c>
      <c r="AVV7">
        <f>SOFR3mo_PX[[#This Row],[Column1270]]</f>
        <v>99.965000000000003</v>
      </c>
      <c r="AVW7">
        <f>SOFR3mo_PX[[#This Row],[Column1271]]</f>
        <v>99.98</v>
      </c>
      <c r="AVX7">
        <f>SOFR3mo_PX[[#This Row],[Column1272]]</f>
        <v>99.984999999999999</v>
      </c>
      <c r="AVY7">
        <f>SOFR3mo_PX[[#This Row],[Column1273]]</f>
        <v>99.995000000000005</v>
      </c>
      <c r="AVZ7">
        <f>SOFR3mo_PX[[#This Row],[Column1274]]</f>
        <v>99.995000000000005</v>
      </c>
      <c r="AWA7">
        <f>SOFR3mo_PX[[#This Row],[Column1275]]</f>
        <v>100.005</v>
      </c>
      <c r="AWB7">
        <f>SOFR3mo_PX[[#This Row],[Column1276]]</f>
        <v>100.005</v>
      </c>
      <c r="AWC7">
        <f>SOFR3mo_PX[[#This Row],[Column1277]]</f>
        <v>100.01</v>
      </c>
      <c r="AWD7">
        <f>SOFR3mo_PX[[#This Row],[Column1278]]</f>
        <v>100.01</v>
      </c>
      <c r="AWE7">
        <f>SOFR3mo_PX[[#This Row],[Column1279]]</f>
        <v>100</v>
      </c>
      <c r="AWF7">
        <f>SOFR3mo_PX[[#This Row],[Column1280]]</f>
        <v>99.995000000000005</v>
      </c>
      <c r="AWG7">
        <f>SOFR3mo_PX[[#This Row],[Column1281]]</f>
        <v>99.995000000000005</v>
      </c>
      <c r="AWH7">
        <f>SOFR3mo_PX[[#This Row],[Column1282]]</f>
        <v>100</v>
      </c>
      <c r="AWI7">
        <f>SOFR3mo_PX[[#This Row],[Column1283]]</f>
        <v>100.005</v>
      </c>
      <c r="AWJ7">
        <f>SOFR3mo_PX[[#This Row],[Column1284]]</f>
        <v>100.005</v>
      </c>
      <c r="AWK7">
        <f>SOFR3mo_PX[[#This Row],[Column1285]]</f>
        <v>100.005</v>
      </c>
      <c r="AWL7">
        <f>SOFR3mo_PX[[#This Row],[Column1286]]</f>
        <v>100</v>
      </c>
      <c r="AWM7">
        <f>SOFR3mo_PX[[#This Row],[Column1287]]</f>
        <v>100</v>
      </c>
      <c r="AWN7">
        <f>SOFR3mo_PX[[#This Row],[Column1288]]</f>
        <v>100.01</v>
      </c>
      <c r="AWO7">
        <f>SOFR3mo_PX[[#This Row],[Column1289]]</f>
        <v>100.005</v>
      </c>
      <c r="AWP7">
        <f>SOFR3mo_PX[[#This Row],[Column1290]]</f>
        <v>100.01</v>
      </c>
      <c r="AWQ7">
        <f>SOFR3mo_PX[[#This Row],[Column1291]]</f>
        <v>100.01</v>
      </c>
      <c r="AWR7">
        <f>SOFR3mo_PX[[#This Row],[Column1292]]</f>
        <v>100.015</v>
      </c>
      <c r="AWS7">
        <f>SOFR3mo_PX[[#This Row],[Column1293]]</f>
        <v>100.015</v>
      </c>
      <c r="AWT7">
        <f>SOFR3mo_PX[[#This Row],[Column1294]]</f>
        <v>100.01</v>
      </c>
      <c r="AWU7">
        <f>SOFR3mo_PX[[#This Row],[Column1295]]</f>
        <v>100.01</v>
      </c>
      <c r="AWV7">
        <f>SOFR3mo_PX[[#This Row],[Column1296]]</f>
        <v>100.01</v>
      </c>
      <c r="AWW7">
        <f>SOFR3mo_PX[[#This Row],[Column1297]]</f>
        <v>100.01</v>
      </c>
      <c r="AWX7">
        <f>SOFR3mo_PX[[#This Row],[Column1298]]</f>
        <v>100.01</v>
      </c>
      <c r="AWY7">
        <f>SOFR3mo_PX[[#This Row],[Column1299]]</f>
        <v>100.01</v>
      </c>
      <c r="AWZ7">
        <f>SOFR3mo_PX[[#This Row],[Column1300]]</f>
        <v>100.02</v>
      </c>
      <c r="AXA7">
        <f>SOFR3mo_PX[[#This Row],[Column1301]]</f>
        <v>100.01</v>
      </c>
      <c r="AXB7">
        <f>SOFR3mo_PX[[#This Row],[Column1302]]</f>
        <v>100.005</v>
      </c>
      <c r="AXC7">
        <f>SOFR3mo_PX[[#This Row],[Column1303]]</f>
        <v>99.99</v>
      </c>
      <c r="AXD7">
        <f>SOFR3mo_PX[[#This Row],[Column1304]]</f>
        <v>99.995000000000005</v>
      </c>
      <c r="AXE7">
        <f>SOFR3mo_PX[[#This Row],[Column1305]]</f>
        <v>99.995000000000005</v>
      </c>
      <c r="AXF7">
        <f>SOFR3mo_PX[[#This Row],[Column1306]]</f>
        <v>99.99</v>
      </c>
      <c r="AXG7">
        <f>SOFR3mo_PX[[#This Row],[Column1307]]</f>
        <v>99.984999999999999</v>
      </c>
      <c r="AXH7">
        <f>SOFR3mo_PX[[#This Row],[Column1308]]</f>
        <v>99.98</v>
      </c>
      <c r="AXI7">
        <f>SOFR3mo_PX[[#This Row],[Column1309]]</f>
        <v>99.974999999999994</v>
      </c>
      <c r="AXJ7">
        <f>SOFR3mo_PX[[#This Row],[Column1310]]</f>
        <v>99.95</v>
      </c>
      <c r="AXK7">
        <f>SOFR3mo_PX[[#This Row],[Column1311]]</f>
        <v>99.96</v>
      </c>
      <c r="AXL7">
        <f>SOFR3mo_PX[[#This Row],[Column1312]]</f>
        <v>99.954999999999998</v>
      </c>
      <c r="AXM7">
        <f>SOFR3mo_PX[[#This Row],[Column1313]]</f>
        <v>99.974999999999994</v>
      </c>
      <c r="AXN7">
        <f>SOFR3mo_PX[[#This Row],[Column1314]]</f>
        <v>99.96</v>
      </c>
      <c r="AXO7">
        <f>SOFR3mo_PX[[#This Row],[Column1315]]</f>
        <v>99.944999999999993</v>
      </c>
      <c r="AXP7">
        <f>SOFR3mo_PX[[#This Row],[Column1316]]</f>
        <v>99.93</v>
      </c>
      <c r="AXQ7">
        <f>SOFR3mo_PX[[#This Row],[Column1317]]</f>
        <v>99.94</v>
      </c>
      <c r="AXR7">
        <f>SOFR3mo_PX[[#This Row],[Column1318]]</f>
        <v>99.95</v>
      </c>
      <c r="AXS7">
        <f>SOFR3mo_PX[[#This Row],[Column1319]]</f>
        <v>99.954999999999998</v>
      </c>
      <c r="AXT7">
        <f>SOFR3mo_PX[[#This Row],[Column1320]]</f>
        <v>99.974999999999994</v>
      </c>
      <c r="AXU7">
        <f>SOFR3mo_PX[[#This Row],[Column1321]]</f>
        <v>99.974999999999994</v>
      </c>
      <c r="AXV7">
        <f>SOFR3mo_PX[[#This Row],[Column1322]]</f>
        <v>99.97</v>
      </c>
      <c r="AXW7">
        <f>SOFR3mo_PX[[#This Row],[Column1323]]</f>
        <v>99.965000000000003</v>
      </c>
      <c r="AXX7">
        <f>SOFR3mo_PX[[#This Row],[Column1324]]</f>
        <v>99.965000000000003</v>
      </c>
      <c r="AXY7">
        <f>SOFR3mo_PX[[#This Row],[Column1325]]</f>
        <v>99.97</v>
      </c>
      <c r="AXZ7">
        <f>SOFR3mo_PX[[#This Row],[Column1326]]</f>
        <v>99.974999999999994</v>
      </c>
      <c r="AYA7">
        <f>SOFR3mo_PX[[#This Row],[Column1327]]</f>
        <v>99.974999999999994</v>
      </c>
      <c r="AYB7">
        <f>SOFR3mo_PX[[#This Row],[Column1328]]</f>
        <v>99.974999999999994</v>
      </c>
      <c r="AYC7">
        <f>SOFR3mo_PX[[#This Row],[Column1329]]</f>
        <v>99.974999999999994</v>
      </c>
      <c r="AYD7">
        <f>SOFR3mo_PX[[#This Row],[Column1330]]</f>
        <v>99.974999999999994</v>
      </c>
      <c r="AYE7">
        <f>SOFR3mo_PX[[#This Row],[Column1331]]</f>
        <v>99.98</v>
      </c>
      <c r="AYF7">
        <f>SOFR3mo_PX[[#This Row],[Column1332]]</f>
        <v>99.995000000000005</v>
      </c>
      <c r="AYG7">
        <f>SOFR3mo_PX[[#This Row],[Column1333]]</f>
        <v>99.995000000000005</v>
      </c>
      <c r="AYH7">
        <f>SOFR3mo_PX[[#This Row],[Column1334]]</f>
        <v>99.99</v>
      </c>
      <c r="AYI7">
        <f>SOFR3mo_PX[[#This Row],[Column1335]]</f>
        <v>99.984999999999999</v>
      </c>
      <c r="AYJ7">
        <f>SOFR3mo_PX[[#This Row],[Column1336]]</f>
        <v>99.984999999999999</v>
      </c>
      <c r="AYK7">
        <f>SOFR3mo_PX[[#This Row],[Column1337]]</f>
        <v>100.005</v>
      </c>
      <c r="AYL7">
        <f>SOFR3mo_PX[[#This Row],[Column1338]]</f>
        <v>100.02500000000001</v>
      </c>
      <c r="AYM7">
        <f>SOFR3mo_PX[[#This Row],[Column1339]]</f>
        <v>99.97</v>
      </c>
      <c r="AYN7">
        <f>SOFR3mo_PX[[#This Row],[Column1340]]</f>
        <v>99.95</v>
      </c>
      <c r="AYO7">
        <f>SOFR3mo_PX[[#This Row],[Column1341]]</f>
        <v>99.95</v>
      </c>
      <c r="AYP7">
        <f>SOFR3mo_PX[[#This Row],[Column1342]]</f>
        <v>99.944999999999993</v>
      </c>
      <c r="AYQ7">
        <f>SOFR3mo_PX[[#This Row],[Column1343]]</f>
        <v>99.95</v>
      </c>
      <c r="AYR7">
        <f>SOFR3mo_PX[[#This Row],[Column1344]]</f>
        <v>99.944999999999993</v>
      </c>
      <c r="AYS7">
        <f>SOFR3mo_PX[[#This Row],[Column1345]]</f>
        <v>99.93</v>
      </c>
      <c r="AYT7">
        <f>SOFR3mo_PX[[#This Row],[Column1346]]</f>
        <v>99.93</v>
      </c>
      <c r="AYU7">
        <f>SOFR3mo_PX[[#This Row],[Column1347]]</f>
        <v>99.93</v>
      </c>
      <c r="AYV7">
        <f>SOFR3mo_PX[[#This Row],[Column1348]]</f>
        <v>99.924999999999997</v>
      </c>
      <c r="AYW7">
        <f>SOFR3mo_PX[[#This Row],[Column1349]]</f>
        <v>99.915000000000006</v>
      </c>
      <c r="AYX7">
        <f>SOFR3mo_PX[[#This Row],[Column1350]]</f>
        <v>99.915000000000006</v>
      </c>
      <c r="AYY7">
        <f>SOFR3mo_PX[[#This Row],[Column1351]]</f>
        <v>99.91</v>
      </c>
      <c r="AYZ7">
        <f>SOFR3mo_PX[[#This Row],[Column1352]]</f>
        <v>99.905000000000001</v>
      </c>
      <c r="AZA7">
        <f>SOFR3mo_PX[[#This Row],[Column1353]]</f>
        <v>99.894999999999996</v>
      </c>
      <c r="AZB7">
        <f>SOFR3mo_PX[[#This Row],[Column1354]]</f>
        <v>99.894999999999996</v>
      </c>
      <c r="AZC7">
        <f>SOFR3mo_PX[[#This Row],[Column1355]]</f>
        <v>99.885000000000005</v>
      </c>
      <c r="AZD7">
        <f>SOFR3mo_PX[[#This Row],[Column1356]]</f>
        <v>99.885000000000005</v>
      </c>
      <c r="AZE7">
        <f>SOFR3mo_PX[[#This Row],[Column1357]]</f>
        <v>99.894999999999996</v>
      </c>
      <c r="AZF7">
        <f>SOFR3mo_PX[[#This Row],[Column1358]]</f>
        <v>99.894999999999996</v>
      </c>
      <c r="AZG7">
        <f>SOFR3mo_PX[[#This Row],[Column1359]]</f>
        <v>99.88</v>
      </c>
      <c r="AZH7">
        <f>SOFR3mo_PX[[#This Row],[Column1360]]</f>
        <v>99.875</v>
      </c>
      <c r="AZI7">
        <f>SOFR3mo_PX[[#This Row],[Column1361]]</f>
        <v>99.9</v>
      </c>
      <c r="AZJ7">
        <f>SOFR3mo_PX[[#This Row],[Column1362]]</f>
        <v>99.92</v>
      </c>
      <c r="AZK7">
        <f>SOFR3mo_PX[[#This Row],[Column1363]]</f>
        <v>99.924999999999997</v>
      </c>
      <c r="AZL7">
        <f>SOFR3mo_PX[[#This Row],[Column1364]]</f>
        <v>99.91</v>
      </c>
      <c r="AZM7">
        <f>SOFR3mo_PX[[#This Row],[Column1365]]</f>
        <v>99.9</v>
      </c>
      <c r="AZN7">
        <f>SOFR3mo_PX[[#This Row],[Column1366]]</f>
        <v>99.9</v>
      </c>
      <c r="AZO7">
        <f>SOFR3mo_PX[[#This Row],[Column1367]]</f>
        <v>99.9</v>
      </c>
      <c r="AZP7">
        <f>SOFR3mo_PX[[#This Row],[Column1368]]</f>
        <v>99.89</v>
      </c>
      <c r="AZQ7">
        <f>SOFR3mo_PX[[#This Row],[Column1369]]</f>
        <v>99.864999999999995</v>
      </c>
      <c r="AZR7">
        <f>SOFR3mo_PX[[#This Row],[Column1370]]</f>
        <v>99.85</v>
      </c>
      <c r="AZS7">
        <f>SOFR3mo_PX[[#This Row],[Column1371]]</f>
        <v>99.864999999999995</v>
      </c>
      <c r="AZT7">
        <f>SOFR3mo_PX[[#This Row],[Column1372]]</f>
        <v>99.834999999999994</v>
      </c>
      <c r="AZU7">
        <f>SOFR3mo_PX[[#This Row],[Column1373]]</f>
        <v>99.795000000000002</v>
      </c>
      <c r="AZV7">
        <f>SOFR3mo_PX[[#This Row],[Column1374]]</f>
        <v>99.77</v>
      </c>
      <c r="AZW7">
        <f>SOFR3mo_PX[[#This Row],[Column1375]]</f>
        <v>99.81</v>
      </c>
      <c r="AZX7">
        <f>SOFR3mo_PX[[#This Row],[Column1376]]</f>
        <v>99.87</v>
      </c>
      <c r="AZY7">
        <f>SOFR3mo_PX[[#This Row],[Column1377]]</f>
        <v>99.855000000000004</v>
      </c>
      <c r="AZZ7">
        <f>SOFR3mo_PX[[#This Row],[Column1378]]</f>
        <v>99.834999999999994</v>
      </c>
      <c r="BAA7">
        <f>SOFR3mo_PX[[#This Row],[Column1379]]</f>
        <v>99.79</v>
      </c>
      <c r="BAB7">
        <f>SOFR3mo_PX[[#This Row],[Column1380]]</f>
        <v>99.75</v>
      </c>
      <c r="BAC7">
        <f>SOFR3mo_PX[[#This Row],[Column1381]]</f>
        <v>99.834999999999994</v>
      </c>
      <c r="BAD7">
        <f>SOFR3mo_PX[[#This Row],[Column1382]]</f>
        <v>99.745000000000005</v>
      </c>
      <c r="BAE7">
        <f>SOFR3mo_PX[[#This Row],[Column1383]]</f>
        <v>99.665000000000006</v>
      </c>
      <c r="BAF7">
        <f>SOFR3mo_PX[[#This Row],[Column1384]]</f>
        <v>99.6</v>
      </c>
      <c r="BAG7">
        <f>SOFR3mo_PX[[#This Row],[Column1385]]</f>
        <v>99.51</v>
      </c>
      <c r="BAH7">
        <f>SOFR3mo_PX[[#This Row],[Column1386]]</f>
        <v>99.4</v>
      </c>
      <c r="BAI7">
        <f>SOFR3mo_PX[[#This Row],[Column1387]]</f>
        <v>99.364999999999995</v>
      </c>
      <c r="BAJ7">
        <f>SOFR3mo_PX[[#This Row],[Column1388]]</f>
        <v>99.15</v>
      </c>
      <c r="BAK7">
        <f>SOFR3mo_PX[[#This Row],[Column1389]]</f>
        <v>99.075000000000003</v>
      </c>
      <c r="BAL7">
        <f>SOFR3mo_PX[[#This Row],[Column1390]]</f>
        <v>99.025000000000006</v>
      </c>
      <c r="BAM7">
        <f>SOFR3mo_PX[[#This Row],[Column1391]]</f>
        <v>98.98</v>
      </c>
      <c r="BAN7">
        <f>SOFR3mo_PX[[#This Row],[Column1392]]</f>
        <v>98.89</v>
      </c>
      <c r="BAO7">
        <f>SOFR3mo_PX[[#This Row],[Column1393]]</f>
        <v>98.834999999999994</v>
      </c>
      <c r="BAP7">
        <f>SOFR3mo_PX[[#This Row],[Column1394]]</f>
        <v>98.795000000000002</v>
      </c>
      <c r="BAQ7">
        <f>SOFR3mo_PX[[#This Row],[Column1395]]</f>
        <v>98.825000000000003</v>
      </c>
      <c r="BAR7">
        <f>SOFR3mo_PX[[#This Row],[Column1396]]</f>
        <v>98.795000000000002</v>
      </c>
      <c r="BAS7">
        <f>SOFR3mo_PX[[#This Row],[Column1397]]</f>
        <v>98.795000000000002</v>
      </c>
      <c r="BAT7">
        <f>SOFR3mo_PX[[#This Row],[Column1398]]</f>
        <v>98.765000000000001</v>
      </c>
      <c r="BAU7">
        <f>SOFR3mo_PX[[#This Row],[Column1399]]</f>
        <v>98.76</v>
      </c>
      <c r="BAV7">
        <f>SOFR3mo_PX[[#This Row],[Column1400]]</f>
        <v>98.784999999999997</v>
      </c>
      <c r="BAW7">
        <f>SOFR3mo_PX[[#This Row],[Column1401]]</f>
        <v>98.82</v>
      </c>
      <c r="BAX7">
        <f>SOFR3mo_PX[[#This Row],[Column1402]]</f>
        <v>98.79</v>
      </c>
      <c r="BAY7">
        <f>SOFR3mo_PX[[#This Row],[Column1403]]</f>
        <v>98.745000000000005</v>
      </c>
      <c r="BAZ7">
        <f>SOFR3mo_PX[[#This Row],[Column1404]]</f>
        <v>98.76</v>
      </c>
      <c r="BBA7">
        <f>SOFR3mo_PX[[#This Row],[Column1405]]</f>
        <v>98.79</v>
      </c>
      <c r="BBB7">
        <f>SOFR3mo_PX[[#This Row],[Column1406]]</f>
        <v>98.87</v>
      </c>
      <c r="BBC7">
        <f>SOFR3mo_PX[[#This Row],[Column1407]]</f>
        <v>98.9</v>
      </c>
      <c r="BBD7">
        <f>SOFR3mo_PX[[#This Row],[Column1408]]</f>
        <v>98.844999999999999</v>
      </c>
      <c r="BBE7">
        <f>SOFR3mo_PX[[#This Row],[Column1409]]</f>
        <v>98.81</v>
      </c>
      <c r="BBF7">
        <f>SOFR3mo_PX[[#This Row],[Column1410]]</f>
        <v>98.765000000000001</v>
      </c>
      <c r="BBG7">
        <f>SOFR3mo_PX[[#This Row],[Column1411]]</f>
        <v>98.8</v>
      </c>
      <c r="BBH7">
        <f>SOFR3mo_PX[[#This Row],[Column1412]]</f>
        <v>98.74</v>
      </c>
      <c r="BBI7">
        <f>SOFR3mo_PX[[#This Row],[Column1413]]</f>
        <v>98.7</v>
      </c>
      <c r="BBJ7">
        <f>SOFR3mo_PX[[#This Row],[Column1414]]</f>
        <v>98.685000000000002</v>
      </c>
      <c r="BBK7">
        <f>SOFR3mo_PX[[#This Row],[Column1415]]</f>
        <v>98.674999999999997</v>
      </c>
      <c r="BBL7">
        <f>SOFR3mo_PX[[#This Row],[Column1416]]</f>
        <v>98.63</v>
      </c>
      <c r="BBM7">
        <f>SOFR3mo_PX[[#This Row],[Column1417]]</f>
        <v>98.63</v>
      </c>
      <c r="BBN7">
        <f>SOFR3mo_PX[[#This Row],[Column1418]]</f>
        <v>98.64</v>
      </c>
      <c r="BBO7">
        <f>SOFR3mo_PX[[#This Row],[Column1419]]</f>
        <v>98.64</v>
      </c>
      <c r="BBP7">
        <f>SOFR3mo_PX[[#This Row],[Column1420]]</f>
        <v>98.635000000000005</v>
      </c>
      <c r="BBQ7">
        <f>SOFR3mo_PX[[#This Row],[Column1421]]</f>
        <v>98.63</v>
      </c>
      <c r="BBR7">
        <f>SOFR3mo_PX[[#This Row],[Column1422]]</f>
        <v>98.635000000000005</v>
      </c>
      <c r="BBS7">
        <f>SOFR3mo_PX[[#This Row],[Column1423]]</f>
        <v>98.635000000000005</v>
      </c>
      <c r="BBT7">
        <f>SOFR3mo_PX[[#This Row],[Column1424]]</f>
        <v>98.63</v>
      </c>
      <c r="BBU7">
        <f>SOFR3mo_PX[[#This Row],[Column1425]]</f>
        <v>98.665000000000006</v>
      </c>
      <c r="BBV7">
        <f>SOFR3mo_PX[[#This Row],[Column1426]]</f>
        <v>98.665000000000006</v>
      </c>
      <c r="BBW7">
        <f>SOFR3mo_PX[[#This Row],[Column1427]]</f>
        <v>98.67</v>
      </c>
      <c r="BBX7">
        <f>SOFR3mo_PX[[#This Row],[Column1428]]</f>
        <v>98.61</v>
      </c>
      <c r="BBY7">
        <f>SOFR3mo_PX[[#This Row],[Column1429]]</f>
        <v>98.61</v>
      </c>
      <c r="BBZ7">
        <f>SOFR3mo_PX[[#This Row],[Column1430]]</f>
        <v>98.61</v>
      </c>
      <c r="BCA7">
        <f>SOFR3mo_PX[[#This Row],[Column1431]]</f>
        <v>98.614999999999995</v>
      </c>
      <c r="BCB7">
        <f>SOFR3mo_PX[[#This Row],[Column1432]]</f>
        <v>98.614999999999995</v>
      </c>
      <c r="BCC7">
        <f>SOFR3mo_PX[[#This Row],[Column1433]]</f>
        <v>98.59</v>
      </c>
      <c r="BCD7">
        <f>SOFR3mo_PX[[#This Row],[Column1434]]</f>
        <v>98.59</v>
      </c>
      <c r="BCE7">
        <f>SOFR3mo_PX[[#This Row],[Column1435]]</f>
        <v>98.59</v>
      </c>
      <c r="BCF7">
        <f>SOFR3mo_PX[[#This Row],[Column1436]]</f>
        <v>98.58</v>
      </c>
      <c r="BCG7">
        <f>SOFR3mo_PX[[#This Row],[Column1437]]</f>
        <v>98.605000000000004</v>
      </c>
      <c r="BCH7">
        <f>SOFR3mo_PX[[#This Row],[Column1438]]</f>
        <v>98.62</v>
      </c>
      <c r="BCI7">
        <f>SOFR3mo_PX[[#This Row],[Column1439]]</f>
        <v>98.6</v>
      </c>
      <c r="BCJ7">
        <f>SOFR3mo_PX[[#This Row],[Column1440]]</f>
        <v>98.57</v>
      </c>
      <c r="BCK7">
        <f>SOFR3mo_PX[[#This Row],[Column1441]]</f>
        <v>98.57</v>
      </c>
      <c r="BCL7">
        <f>SOFR3mo_PX[[#This Row],[Column1442]]</f>
        <v>98.62</v>
      </c>
      <c r="BCM7">
        <f>SOFR3mo_PX[[#This Row],[Column1443]]</f>
        <v>98.57</v>
      </c>
      <c r="BCN7">
        <f>SOFR3mo_PX[[#This Row],[Column1444]]</f>
        <v>98.62</v>
      </c>
      <c r="BCO7">
        <f>SOFR3mo_PX[[#This Row],[Column1445]]</f>
        <v>98.6</v>
      </c>
      <c r="BCP7">
        <f>SOFR3mo_PX[[#This Row],[Column1446]]</f>
        <v>98.625</v>
      </c>
      <c r="BCQ7">
        <f>SOFR3mo_PX[[#This Row],[Column1447]]</f>
        <v>98.625</v>
      </c>
      <c r="BCR7">
        <f>SOFR3mo_PX[[#This Row],[Column1448]]</f>
        <v>98.66</v>
      </c>
      <c r="BCS7">
        <f>SOFR3mo_PX[[#This Row],[Column1449]]</f>
        <v>98.66</v>
      </c>
      <c r="BCT7">
        <f>SOFR3mo_PX[[#This Row],[Column1450]]</f>
        <v>98.715000000000003</v>
      </c>
      <c r="BCU7">
        <f>SOFR3mo_PX[[#This Row],[Column1451]]</f>
        <v>98.625</v>
      </c>
      <c r="BCV7">
        <f>SOFR3mo_PX[[#This Row],[Column1452]]</f>
        <v>98.635000000000005</v>
      </c>
      <c r="BCW7">
        <f>SOFR3mo_PX[[#This Row],[Column1453]]</f>
        <v>98.62</v>
      </c>
      <c r="BCX7">
        <f>SOFR3mo_PX[[#This Row],[Column1454]]</f>
        <v>98.62</v>
      </c>
      <c r="BCY7">
        <f>SOFR3mo_PX[[#This Row],[Column1455]]</f>
        <v>98.655000000000001</v>
      </c>
      <c r="BCZ7">
        <f>SOFR3mo_PX[[#This Row],[Column1456]]</f>
        <v>98.65</v>
      </c>
      <c r="BDA7">
        <f>SOFR3mo_PX[[#This Row],[Column1457]]</f>
        <v>98.655000000000001</v>
      </c>
      <c r="BDB7">
        <f>SOFR3mo_PX[[#This Row],[Column1458]]</f>
        <v>98.685000000000002</v>
      </c>
      <c r="BDC7">
        <f>SOFR3mo_PX[[#This Row],[Column1459]]</f>
        <v>98.715000000000003</v>
      </c>
      <c r="BDD7">
        <f>SOFR3mo_PX[[#This Row],[Column1460]]</f>
        <v>98.685000000000002</v>
      </c>
      <c r="BDE7">
        <f>SOFR3mo_PX[[#This Row],[Column1461]]</f>
        <v>98.67</v>
      </c>
      <c r="BDF7">
        <f>SOFR3mo_PX[[#This Row],[Column1462]]</f>
        <v>98.655000000000001</v>
      </c>
      <c r="BDG7">
        <f>SOFR3mo_PX[[#This Row],[Column1463]]</f>
        <v>98.665000000000006</v>
      </c>
      <c r="BDH7">
        <f>SOFR3mo_PX[[#This Row],[Column1464]]</f>
        <v>98.63</v>
      </c>
      <c r="BDI7">
        <f>SOFR3mo_PX[[#This Row],[Column1465]]</f>
        <v>98.6</v>
      </c>
      <c r="BDJ7">
        <f>SOFR3mo_PX[[#This Row],[Column1466]]</f>
        <v>98.57</v>
      </c>
      <c r="BDK7">
        <f>SOFR3mo_PX[[#This Row],[Column1467]]</f>
        <v>98.58</v>
      </c>
      <c r="BDL7">
        <f>SOFR3mo_PX[[#This Row],[Column1468]]</f>
        <v>98.57</v>
      </c>
      <c r="BDM7">
        <f>SOFR3mo_PX[[#This Row],[Column1469]]</f>
        <v>98.64</v>
      </c>
      <c r="BDN7">
        <f>SOFR3mo_PX[[#This Row],[Column1470]]</f>
        <v>98.61</v>
      </c>
      <c r="BDO7">
        <f>SOFR3mo_PX[[#This Row],[Column1471]]</f>
        <v>98.65</v>
      </c>
      <c r="BDP7">
        <f>SOFR3mo_PX[[#This Row],[Column1472]]</f>
        <v>98.69</v>
      </c>
      <c r="BDQ7">
        <f>SOFR3mo_PX[[#This Row],[Column1473]]</f>
        <v>98.754999999999995</v>
      </c>
      <c r="BDR7">
        <f>SOFR3mo_PX[[#This Row],[Column1474]]</f>
        <v>98.644999999999996</v>
      </c>
      <c r="BDS7">
        <f>SOFR3mo_PX[[#This Row],[Column1475]]</f>
        <v>98.635000000000005</v>
      </c>
      <c r="BDT7">
        <f>SOFR3mo_PX[[#This Row],[Column1476]]</f>
        <v>98.64</v>
      </c>
      <c r="BDU7">
        <f>SOFR3mo_PX[[#This Row],[Column1477]]</f>
        <v>98.66</v>
      </c>
      <c r="BDV7">
        <f>SOFR3mo_PX[[#This Row],[Column1478]]</f>
        <v>98.71</v>
      </c>
      <c r="BDW7">
        <f>SOFR3mo_PX[[#This Row],[Column1479]]</f>
        <v>98.715000000000003</v>
      </c>
      <c r="BDX7">
        <f>SOFR3mo_PX[[#This Row],[Column1480]]</f>
        <v>98.694999999999993</v>
      </c>
      <c r="BDY7">
        <f>SOFR3mo_PX[[#This Row],[Column1481]]</f>
        <v>98.67</v>
      </c>
      <c r="BDZ7">
        <f>SOFR3mo_PX[[#This Row],[Column1482]]</f>
        <v>98.7</v>
      </c>
      <c r="BEA7">
        <f>SOFR3mo_PX[[#This Row],[Column1483]]</f>
        <v>98.665000000000006</v>
      </c>
      <c r="BEB7">
        <f>SOFR3mo_PX[[#This Row],[Column1484]]</f>
        <v>98.685000000000002</v>
      </c>
      <c r="BEC7">
        <f>SOFR3mo_PX[[#This Row],[Column1485]]</f>
        <v>98.64</v>
      </c>
      <c r="BED7">
        <f>SOFR3mo_PX[[#This Row],[Column1486]]</f>
        <v>98.67</v>
      </c>
      <c r="BEE7">
        <f>SOFR3mo_PX[[#This Row],[Column1487]]</f>
        <v>98.655000000000001</v>
      </c>
      <c r="BEF7">
        <f>SOFR3mo_PX[[#This Row],[Column1488]]</f>
        <v>98.775000000000006</v>
      </c>
      <c r="BEG7">
        <f>SOFR3mo_PX[[#This Row],[Column1489]]</f>
        <v>98.84</v>
      </c>
      <c r="BEH7">
        <f>SOFR3mo_PX[[#This Row],[Column1490]]</f>
        <v>98.91</v>
      </c>
      <c r="BEI7">
        <f>SOFR3mo_PX[[#This Row],[Column1491]]</f>
        <v>98.864999999999995</v>
      </c>
      <c r="BEJ7">
        <f>SOFR3mo_PX[[#This Row],[Column1492]]</f>
        <v>98.935000000000002</v>
      </c>
      <c r="BEK7">
        <f>SOFR3mo_PX[[#This Row],[Column1493]]</f>
        <v>98.944999999999993</v>
      </c>
      <c r="BEL7">
        <f>SOFR3mo_PX[[#This Row],[Column1494]]</f>
        <v>98.834999999999994</v>
      </c>
      <c r="BEM7">
        <f>SOFR3mo_PX[[#This Row],[Column1495]]</f>
        <v>98.76</v>
      </c>
      <c r="BEN7">
        <f>SOFR3mo_PX[[#This Row],[Column1496]]</f>
        <v>98.69</v>
      </c>
      <c r="BEO7">
        <f>SOFR3mo_PX[[#This Row],[Column1497]]</f>
        <v>98.7</v>
      </c>
      <c r="BEP7">
        <f>SOFR3mo_PX[[#This Row],[Column1498]]</f>
        <v>98.685000000000002</v>
      </c>
      <c r="BEQ7">
        <f>SOFR3mo_PX[[#This Row],[Column1499]]</f>
        <v>98.674999999999997</v>
      </c>
      <c r="BER7">
        <f>SOFR3mo_PX[[#This Row],[Column1500]]</f>
        <v>98.76</v>
      </c>
      <c r="BES7">
        <f>SOFR3mo_PX[[#This Row],[Column1501]]</f>
        <v>98.665000000000006</v>
      </c>
      <c r="BET7">
        <f>SOFR3mo_PX[[#This Row],[Column1502]]</f>
        <v>98.635000000000005</v>
      </c>
      <c r="BEU7">
        <f>SOFR3mo_PX[[#This Row],[Column1503]]</f>
        <v>98.65</v>
      </c>
      <c r="BEV7">
        <f>SOFR3mo_PX[[#This Row],[Column1504]]</f>
        <v>98.63</v>
      </c>
      <c r="BEW7">
        <f>SOFR3mo_PX[[#This Row],[Column1505]]</f>
        <v>98.575000000000003</v>
      </c>
      <c r="BEX7">
        <f>SOFR3mo_PX[[#This Row],[Column1506]]</f>
        <v>98.55</v>
      </c>
      <c r="BEY7">
        <f>SOFR3mo_PX[[#This Row],[Column1507]]</f>
        <v>98.5</v>
      </c>
      <c r="BEZ7">
        <f>SOFR3mo_PX[[#This Row],[Column1508]]</f>
        <v>98.57</v>
      </c>
      <c r="BFA7">
        <f>SOFR3mo_PX[[#This Row],[Column1509]]</f>
        <v>98.644999999999996</v>
      </c>
      <c r="BFB7">
        <f>SOFR3mo_PX[[#This Row],[Column1510]]</f>
        <v>98.655000000000001</v>
      </c>
      <c r="BFC7">
        <f>SOFR3mo_PX[[#This Row],[Column1511]]</f>
        <v>98.745000000000005</v>
      </c>
      <c r="BFD7">
        <f>SOFR3mo_PX[[#This Row],[Column1512]]</f>
        <v>98.805000000000007</v>
      </c>
      <c r="BFE7">
        <f>SOFR3mo_PX[[#This Row],[Column1513]]</f>
        <v>98.805000000000007</v>
      </c>
      <c r="BFF7">
        <f>SOFR3mo_PX[[#This Row],[Column1514]]</f>
        <v>98.9</v>
      </c>
      <c r="BFG7">
        <f>SOFR3mo_PX[[#This Row],[Column1515]]</f>
        <v>98.86</v>
      </c>
      <c r="BFH7">
        <f>SOFR3mo_PX[[#This Row],[Column1516]]</f>
        <v>98.79</v>
      </c>
      <c r="BFI7">
        <f>SOFR3mo_PX[[#This Row],[Column1517]]</f>
        <v>98.79</v>
      </c>
      <c r="BFJ7">
        <f>SOFR3mo_PX[[#This Row],[Column1518]]</f>
        <v>98.765000000000001</v>
      </c>
      <c r="BFK7">
        <f>SOFR3mo_PX[[#This Row],[Column1519]]</f>
        <v>98.814999999999998</v>
      </c>
      <c r="BFL7">
        <f>SOFR3mo_PX[[#This Row],[Column1520]]</f>
        <v>98.795000000000002</v>
      </c>
      <c r="BFM7">
        <f>SOFR3mo_PX[[#This Row],[Column1521]]</f>
        <v>98.775000000000006</v>
      </c>
      <c r="BFN7">
        <f>SOFR3mo_PX[[#This Row],[Column1522]]</f>
        <v>98.805000000000007</v>
      </c>
      <c r="BFO7">
        <f>SOFR3mo_PX[[#This Row],[Column1523]]</f>
        <v>98.71</v>
      </c>
      <c r="BFP7">
        <f>SOFR3mo_PX[[#This Row],[Column1524]]</f>
        <v>98.754999999999995</v>
      </c>
      <c r="BFQ7">
        <f>SOFR3mo_PX[[#This Row],[Column1525]]</f>
        <v>98.805000000000007</v>
      </c>
      <c r="BFR7">
        <f>SOFR3mo_PX[[#This Row],[Column1526]]</f>
        <v>98.775000000000006</v>
      </c>
      <c r="BFS7">
        <f>SOFR3mo_PX[[#This Row],[Column1527]]</f>
        <v>98.834999999999994</v>
      </c>
      <c r="BFT7">
        <f>SOFR3mo_PX[[#This Row],[Column1528]]</f>
        <v>98.825000000000003</v>
      </c>
      <c r="BFU7">
        <f>SOFR3mo_PX[[#This Row],[Column1529]]</f>
        <v>98.75</v>
      </c>
      <c r="BFV7">
        <f>SOFR3mo_PX[[#This Row],[Column1530]]</f>
        <v>98.665000000000006</v>
      </c>
      <c r="BFW7">
        <f>SOFR3mo_PX[[#This Row],[Column1531]]</f>
        <v>98.77</v>
      </c>
      <c r="BFX7">
        <f>SOFR3mo_PX[[#This Row],[Column1532]]</f>
        <v>98.7</v>
      </c>
      <c r="BFY7">
        <f>SOFR3mo_PX[[#This Row],[Column1533]]</f>
        <v>98.734999999999999</v>
      </c>
      <c r="BFZ7">
        <f>SOFR3mo_PX[[#This Row],[Column1534]]</f>
        <v>98.814999999999998</v>
      </c>
      <c r="BGA7">
        <f>SOFR3mo_PX[[#This Row],[Column1535]]</f>
        <v>98.734999999999999</v>
      </c>
      <c r="BGB7">
        <f>SOFR3mo_PX[[#This Row],[Column1536]]</f>
        <v>98.79</v>
      </c>
      <c r="BGC7">
        <f>SOFR3mo_PX[[#This Row],[Column1537]]</f>
        <v>98.57</v>
      </c>
      <c r="BGD7">
        <f>SOFR3mo_PX[[#This Row],[Column1538]]</f>
        <v>98.55</v>
      </c>
      <c r="BGE7">
        <f>SOFR3mo_PX[[#This Row],[Column1539]]</f>
        <v>98.375</v>
      </c>
      <c r="BGF7">
        <f>SOFR3mo_PX[[#This Row],[Column1540]]</f>
        <v>98.444999999999993</v>
      </c>
      <c r="BGG7">
        <f>SOFR3mo_PX[[#This Row],[Column1541]]</f>
        <v>98.454999999999998</v>
      </c>
      <c r="BGH7">
        <f>SOFR3mo_PX[[#This Row],[Column1542]]</f>
        <v>98.44</v>
      </c>
      <c r="BGI7">
        <f>SOFR3mo_PX[[#This Row],[Column1543]]</f>
        <v>98.474999999999994</v>
      </c>
      <c r="BGJ7">
        <f>SOFR3mo_PX[[#This Row],[Column1544]]</f>
        <v>98.504999999999995</v>
      </c>
      <c r="BGK7">
        <f>SOFR3mo_PX[[#This Row],[Column1545]]</f>
        <v>98.5</v>
      </c>
      <c r="BGL7">
        <f>SOFR3mo_PX[[#This Row],[Column1546]]</f>
        <v>98.53</v>
      </c>
      <c r="BGM7">
        <f>SOFR3mo_PX[[#This Row],[Column1547]]</f>
        <v>98.52</v>
      </c>
      <c r="BGN7">
        <f>SOFR3mo_PX[[#This Row],[Column1548]]</f>
        <v>98.57</v>
      </c>
      <c r="BGO7">
        <f>SOFR3mo_PX[[#This Row],[Column1549]]</f>
        <v>98.484999999999999</v>
      </c>
      <c r="BGP7">
        <f>SOFR3mo_PX[[#This Row],[Column1550]]</f>
        <v>98.444999999999993</v>
      </c>
      <c r="BGQ7">
        <f>SOFR3mo_PX[[#This Row],[Column1551]]</f>
        <v>98.47</v>
      </c>
      <c r="BGR7">
        <f>SOFR3mo_PX[[#This Row],[Column1552]]</f>
        <v>98.46</v>
      </c>
      <c r="BGS7">
        <f>SOFR3mo_PX[[#This Row],[Column1553]]</f>
        <v>98.44</v>
      </c>
      <c r="BGT7">
        <f>SOFR3mo_PX[[#This Row],[Column1554]]</f>
        <v>98.47</v>
      </c>
      <c r="BGU7">
        <f>SOFR3mo_PX[[#This Row],[Column1555]]</f>
        <v>98.394999999999996</v>
      </c>
      <c r="BGV7">
        <f>SOFR3mo_PX[[#This Row],[Column1556]]</f>
        <v>98.415000000000006</v>
      </c>
      <c r="BGW7">
        <f>SOFR3mo_PX[[#This Row],[Column1557]]</f>
        <v>98.41</v>
      </c>
      <c r="BGX7">
        <f>SOFR3mo_PX[[#This Row],[Column1558]]</f>
        <v>98.53</v>
      </c>
      <c r="BGY7">
        <f>SOFR3mo_PX[[#This Row],[Column1559]]</f>
        <v>98.53</v>
      </c>
      <c r="BGZ7">
        <f>SOFR3mo_PX[[#This Row],[Column1560]]</f>
        <v>98.53</v>
      </c>
      <c r="BHA7">
        <f>SOFR3mo_PX[[#This Row],[Column1561]]</f>
        <v>98.495000000000005</v>
      </c>
      <c r="BHB7">
        <f>SOFR3mo_PX[[#This Row],[Column1562]]</f>
        <v>98.555000000000007</v>
      </c>
      <c r="BHC7">
        <f>SOFR3mo_PX[[#This Row],[Column1563]]</f>
        <v>98.57</v>
      </c>
      <c r="BHD7">
        <f>SOFR3mo_PX[[#This Row],[Column1564]]</f>
        <v>98.545000000000002</v>
      </c>
      <c r="BHE7">
        <f>SOFR3mo_PX[[#This Row],[Column1565]]</f>
        <v>98.62</v>
      </c>
      <c r="BHF7">
        <f>SOFR3mo_PX[[#This Row],[Column1566]]</f>
        <v>98.614999999999995</v>
      </c>
      <c r="BHG7">
        <f>SOFR3mo_PX[[#This Row],[Column1567]]</f>
        <v>98.564999999999998</v>
      </c>
      <c r="BHH7">
        <f>SOFR3mo_PX[[#This Row],[Column1568]]</f>
        <v>98.62</v>
      </c>
      <c r="BHI7">
        <f>SOFR3mo_PX[[#This Row],[Column1569]]</f>
        <v>98.594999999999999</v>
      </c>
      <c r="BHJ7">
        <f>SOFR3mo_PX[[#This Row],[Column1570]]</f>
        <v>98.375</v>
      </c>
      <c r="BHK7">
        <f>SOFR3mo_PX[[#This Row],[Column1571]]</f>
        <v>98.39</v>
      </c>
      <c r="BHL7">
        <f>SOFR3mo_PX[[#This Row],[Column1572]]</f>
        <v>98.424999999999997</v>
      </c>
      <c r="BHM7">
        <f>SOFR3mo_PX[[#This Row],[Column1573]]</f>
        <v>98.43</v>
      </c>
      <c r="BHN7">
        <f>SOFR3mo_PX[[#This Row],[Column1574]]</f>
        <v>98.36</v>
      </c>
      <c r="BHO7">
        <f>SOFR3mo_PX[[#This Row],[Column1575]]</f>
        <v>98.325000000000003</v>
      </c>
      <c r="BHP7">
        <f>SOFR3mo_PX[[#This Row],[Column1576]]</f>
        <v>98.35</v>
      </c>
      <c r="BHQ7">
        <f>SOFR3mo_PX[[#This Row],[Column1577]]</f>
        <v>98.4</v>
      </c>
      <c r="BHR7">
        <f>SOFR3mo_PX[[#This Row],[Column1578]]</f>
        <v>98.375</v>
      </c>
      <c r="BHS7">
        <f>SOFR3mo_PX[[#This Row],[Column1579]]</f>
        <v>98.42</v>
      </c>
      <c r="BHT7">
        <f>SOFR3mo_PX[[#This Row],[Column1580]]</f>
        <v>98.39</v>
      </c>
      <c r="BHU7">
        <f>SOFR3mo_PX[[#This Row],[Column1581]]</f>
        <v>98.415000000000006</v>
      </c>
      <c r="BHV7">
        <f>SOFR3mo_PX[[#This Row],[Column1582]]</f>
        <v>98.28</v>
      </c>
      <c r="BHW7">
        <f>SOFR3mo_PX[[#This Row],[Column1583]]</f>
        <v>98.13</v>
      </c>
      <c r="BHX7">
        <f>SOFR3mo_PX[[#This Row],[Column1584]]</f>
        <v>98.13</v>
      </c>
      <c r="BHY7">
        <f>SOFR3mo_PX[[#This Row],[Column1585]]</f>
        <v>98.09</v>
      </c>
      <c r="BHZ7">
        <f>SOFR3mo_PX[[#This Row],[Column1586]]</f>
        <v>98.05</v>
      </c>
      <c r="BIA7">
        <f>SOFR3mo_PX[[#This Row],[Column1587]]</f>
        <v>98.05</v>
      </c>
      <c r="BIB7">
        <f>SOFR3mo_PX[[#This Row],[Column1588]]</f>
        <v>98.084999999999994</v>
      </c>
      <c r="BIC7">
        <f>SOFR3mo_PX[[#This Row],[Column1589]]</f>
        <v>97.965000000000003</v>
      </c>
      <c r="BID7">
        <f>SOFR3mo_PX[[#This Row],[Column1590]]</f>
        <v>97.94</v>
      </c>
      <c r="BIE7">
        <f>SOFR3mo_PX[[#This Row],[Column1591]]</f>
        <v>97.98</v>
      </c>
      <c r="BIF7">
        <f>SOFR3mo_PX[[#This Row],[Column1592]]</f>
        <v>97.995000000000005</v>
      </c>
      <c r="BIG7">
        <f>SOFR3mo_PX[[#This Row],[Column1593]]</f>
        <v>97.99</v>
      </c>
      <c r="BIH7">
        <f>SOFR3mo_PX[[#This Row],[Column1594]]</f>
        <v>98.03</v>
      </c>
      <c r="BII7">
        <f>SOFR3mo_PX[[#This Row],[Column1595]]</f>
        <v>97.984999999999999</v>
      </c>
      <c r="BIJ7">
        <f>SOFR3mo_PX[[#This Row],[Column1596]]</f>
        <v>97.99</v>
      </c>
      <c r="BIK7">
        <f>SOFR3mo_PX[[#This Row],[Column1597]]</f>
        <v>97.905000000000001</v>
      </c>
      <c r="BIL7">
        <f>SOFR3mo_PX[[#This Row],[Column1598]]</f>
        <v>97.885000000000005</v>
      </c>
      <c r="BIM7">
        <f>SOFR3mo_PX[[#This Row],[Column1599]]</f>
        <v>97.855000000000004</v>
      </c>
      <c r="BIN7">
        <f>SOFR3mo_PX[[#This Row],[Column1600]]</f>
        <v>97.87</v>
      </c>
      <c r="BIO7">
        <f>SOFR3mo_PX[[#This Row],[Column1601]]</f>
        <v>97.844999999999999</v>
      </c>
      <c r="BIP7">
        <f>SOFR3mo_PX[[#This Row],[Column1602]]</f>
        <v>97.81</v>
      </c>
      <c r="BIQ7">
        <f>SOFR3mo_PX[[#This Row],[Column1603]]</f>
        <v>97.8</v>
      </c>
      <c r="BIR7">
        <f>SOFR3mo_PX[[#This Row],[Column1604]]</f>
        <v>97.85</v>
      </c>
      <c r="BIS7">
        <f>SOFR3mo_PX[[#This Row],[Column1605]]</f>
        <v>97.885000000000005</v>
      </c>
      <c r="BIT7">
        <f>SOFR3mo_PX[[#This Row],[Column1606]]</f>
        <v>97.864999999999995</v>
      </c>
      <c r="BIU7">
        <f>SOFR3mo_PX[[#This Row],[Column1607]]</f>
        <v>97.864999999999995</v>
      </c>
      <c r="BIV7">
        <f>SOFR3mo_PX[[#This Row],[Column1608]]</f>
        <v>97.83</v>
      </c>
      <c r="BIW7">
        <f>SOFR3mo_PX[[#This Row],[Column1609]]</f>
        <v>97.85</v>
      </c>
      <c r="BIX7">
        <f>SOFR3mo_PX[[#This Row],[Column1610]]</f>
        <v>97.805000000000007</v>
      </c>
      <c r="BIY7">
        <f>SOFR3mo_PX[[#This Row],[Column1611]]</f>
        <v>97.784999999999997</v>
      </c>
      <c r="BIZ7">
        <f>SOFR3mo_PX[[#This Row],[Column1612]]</f>
        <v>97.775000000000006</v>
      </c>
      <c r="BJA7">
        <f>SOFR3mo_PX[[#This Row],[Column1613]]</f>
        <v>97.775000000000006</v>
      </c>
      <c r="BJB7">
        <f>SOFR3mo_PX[[#This Row],[Column1614]]</f>
        <v>97.76</v>
      </c>
      <c r="BJC7">
        <f>SOFR3mo_PX[[#This Row],[Column1615]]</f>
        <v>97.75</v>
      </c>
      <c r="BJD7">
        <f>SOFR3mo_PX[[#This Row],[Column1616]]</f>
        <v>97.77</v>
      </c>
      <c r="BJE7">
        <f>SOFR3mo_PX[[#This Row],[Column1617]]</f>
        <v>97.765000000000001</v>
      </c>
      <c r="BJF7">
        <f>SOFR3mo_PX[[#This Row],[Column1618]]</f>
        <v>97.82</v>
      </c>
      <c r="BJG7">
        <f>SOFR3mo_PX[[#This Row],[Column1619]]</f>
        <v>97.85</v>
      </c>
      <c r="BJH7">
        <f>SOFR3mo_PX[[#This Row],[Column1620]]</f>
        <v>97.84</v>
      </c>
      <c r="BJI7">
        <f>SOFR3mo_PX[[#This Row],[Column1621]]</f>
        <v>97.825000000000003</v>
      </c>
      <c r="BJJ7">
        <f>SOFR3mo_PX[[#This Row],[Column1622]]</f>
        <v>97.834999999999994</v>
      </c>
      <c r="BJK7">
        <f>SOFR3mo_PX[[#This Row],[Column1623]]</f>
        <v>97.844999999999999</v>
      </c>
      <c r="BJL7">
        <f>SOFR3mo_PX[[#This Row],[Column1624]]</f>
        <v>97.855000000000004</v>
      </c>
      <c r="BJM7">
        <f>SOFR3mo_PX[[#This Row],[Column1625]]</f>
        <v>97.875</v>
      </c>
      <c r="BJN7">
        <f>SOFR3mo_PX[[#This Row],[Column1626]]</f>
        <v>97.864999999999995</v>
      </c>
      <c r="BJO7">
        <f>SOFR3mo_PX[[#This Row],[Column1627]]</f>
        <v>97.93</v>
      </c>
      <c r="BJP7">
        <f>SOFR3mo_PX[[#This Row],[Column1628]]</f>
        <v>97.984999999999999</v>
      </c>
      <c r="BJQ7">
        <f>SOFR3mo_PX[[#This Row],[Column1629]]</f>
        <v>98.004999999999995</v>
      </c>
      <c r="BJR7">
        <f>SOFR3mo_PX[[#This Row],[Column1630]]</f>
        <v>97.954999999999998</v>
      </c>
      <c r="BJS7">
        <f>SOFR3mo_PX[[#This Row],[Column1631]]</f>
        <v>97.984999999999999</v>
      </c>
      <c r="BJT7">
        <f>SOFR3mo_PX[[#This Row],[Column1632]]</f>
        <v>97.88</v>
      </c>
      <c r="BJU7">
        <f>SOFR3mo_PX[[#This Row],[Column1633]]</f>
        <v>97.765000000000001</v>
      </c>
      <c r="BJV7">
        <f>SOFR3mo_PX[[#This Row],[Column1634]]</f>
        <v>97.754999999999995</v>
      </c>
      <c r="BJW7">
        <f>SOFR3mo_PX[[#This Row],[Column1635]]</f>
        <v>97.64</v>
      </c>
      <c r="BJX7">
        <f>SOFR3mo_PX[[#This Row],[Column1636]]</f>
        <v>97.655000000000001</v>
      </c>
      <c r="BJY7">
        <f>SOFR3mo_PX[[#This Row],[Column1637]]</f>
        <v>97.66</v>
      </c>
      <c r="BJZ7">
        <f>SOFR3mo_PX[[#This Row],[Column1638]]</f>
        <v>97.64</v>
      </c>
      <c r="BKA7">
        <f>SOFR3mo_PX[[#This Row],[Column1639]]</f>
        <v>97.64</v>
      </c>
      <c r="BKB7">
        <f>SOFR3mo_PX[[#This Row],[Column1640]]</f>
        <v>97.635000000000005</v>
      </c>
      <c r="BKC7">
        <f>SOFR3mo_PX[[#This Row],[Column1641]]</f>
        <v>97.614999999999995</v>
      </c>
      <c r="BKD7">
        <f>SOFR3mo_PX[[#This Row],[Column1642]]</f>
        <v>97.62</v>
      </c>
      <c r="BKE7">
        <f>SOFR3mo_PX[[#This Row],[Column1643]]</f>
        <v>97.614999999999995</v>
      </c>
      <c r="BKF7">
        <f>SOFR3mo_PX[[#This Row],[Column1644]]</f>
        <v>97.56</v>
      </c>
      <c r="BKG7">
        <f>SOFR3mo_PX[[#This Row],[Column1645]]</f>
        <v>97.53</v>
      </c>
      <c r="BKH7">
        <f>SOFR3mo_PX[[#This Row],[Column1646]]</f>
        <v>97.534999999999997</v>
      </c>
      <c r="BKI7">
        <f>SOFR3mo_PX[[#This Row],[Column1647]]</f>
        <v>97.525000000000006</v>
      </c>
      <c r="BKJ7">
        <f>SOFR3mo_PX[[#This Row],[Column1648]]</f>
        <v>97.57</v>
      </c>
      <c r="BKK7">
        <f>SOFR3mo_PX[[#This Row],[Column1649]]</f>
        <v>97.584999999999994</v>
      </c>
      <c r="BKL7">
        <f>SOFR3mo_PX[[#This Row],[Column1650]]</f>
        <v>97.605000000000004</v>
      </c>
      <c r="BKM7">
        <f>SOFR3mo_PX[[#This Row],[Column1651]]</f>
        <v>97.59</v>
      </c>
      <c r="BKN7">
        <f>SOFR3mo_PX[[#This Row],[Column1652]]</f>
        <v>97.594999999999999</v>
      </c>
      <c r="BKO7">
        <f>SOFR3mo_PX[[#This Row],[Column1653]]</f>
        <v>97.57</v>
      </c>
      <c r="BKP7">
        <f>SOFR3mo_PX[[#This Row],[Column1654]]</f>
        <v>97.59</v>
      </c>
      <c r="BKQ7">
        <f>SOFR3mo_PX[[#This Row],[Column1655]]</f>
        <v>97.58</v>
      </c>
      <c r="BKR7">
        <f>SOFR3mo_PX[[#This Row],[Column1656]]</f>
        <v>97.57</v>
      </c>
      <c r="BKS7">
        <f>SOFR3mo_PX[[#This Row],[Column1657]]</f>
        <v>97.57</v>
      </c>
      <c r="BKT7">
        <f>SOFR3mo_PX[[#This Row],[Column1658]]</f>
        <v>97.575000000000003</v>
      </c>
      <c r="BKU7">
        <f>SOFR3mo_PX[[#This Row],[Column1659]]</f>
        <v>97.545000000000002</v>
      </c>
      <c r="BKV7">
        <f>SOFR3mo_PX[[#This Row],[Column1660]]</f>
        <v>97.59</v>
      </c>
      <c r="BKW7">
        <f>SOFR3mo_PX[[#This Row],[Column1661]]</f>
        <v>97.614999999999995</v>
      </c>
      <c r="BKX7">
        <f>SOFR3mo_PX[[#This Row],[Column1662]]</f>
        <v>97.63</v>
      </c>
      <c r="BKY7">
        <f>SOFR3mo_PX[[#This Row],[Column1663]]</f>
        <v>97.614999999999995</v>
      </c>
      <c r="BKZ7">
        <f>SOFR3mo_PX[[#This Row],[Column1664]]</f>
        <v>97.584999999999994</v>
      </c>
      <c r="BLA7">
        <f>SOFR3mo_PX[[#This Row],[Column1665]]</f>
        <v>97.584999999999994</v>
      </c>
      <c r="BLB7">
        <f>SOFR3mo_PX[[#This Row],[Column1666]]</f>
        <v>97.58</v>
      </c>
      <c r="BLC7">
        <f>SOFR3mo_PX[[#This Row],[Column1667]]</f>
        <v>97.605000000000004</v>
      </c>
      <c r="BLD7">
        <f>SOFR3mo_PX[[#This Row],[Column1668]]</f>
        <v>97.63</v>
      </c>
      <c r="BLE7">
        <f>SOFR3mo_PX[[#This Row],[Column1669]]</f>
        <v>97.564999999999998</v>
      </c>
      <c r="BLF7">
        <f>SOFR3mo_PX[[#This Row],[Column1670]]</f>
        <v>97.53</v>
      </c>
      <c r="BLG7">
        <f>SOFR3mo_PX[[#This Row],[Column1671]]</f>
        <v>97.53</v>
      </c>
      <c r="BLH7">
        <f>SOFR3mo_PX[[#This Row],[Column1672]]</f>
        <v>97.52</v>
      </c>
      <c r="BLI7">
        <f>SOFR3mo_PX[[#This Row],[Column1673]]</f>
        <v>97.545000000000002</v>
      </c>
      <c r="BLJ7">
        <f>SOFR3mo_PX[[#This Row],[Column1674]]</f>
        <v>97.534999999999997</v>
      </c>
      <c r="BLK7">
        <f>SOFR3mo_PX[[#This Row],[Column1675]]</f>
        <v>97.54</v>
      </c>
      <c r="BLL7">
        <f>SOFR3mo_PX[[#This Row],[Column1676]]</f>
        <v>97.5</v>
      </c>
      <c r="BLM7">
        <f>SOFR3mo_PX[[#This Row],[Column1677]]</f>
        <v>97.5</v>
      </c>
      <c r="BLN7">
        <f>SOFR3mo_PX[[#This Row],[Column1678]]</f>
        <v>97.555000000000007</v>
      </c>
      <c r="BLO7">
        <f>SOFR3mo_PX[[#This Row],[Column1679]]</f>
        <v>97.584999999999994</v>
      </c>
      <c r="BLP7">
        <f>SOFR3mo_PX[[#This Row],[Column1680]]</f>
        <v>97.605000000000004</v>
      </c>
      <c r="BLQ7">
        <f>SOFR3mo_PX[[#This Row],[Column1681]]</f>
        <v>97.59</v>
      </c>
      <c r="BLR7">
        <f>SOFR3mo_PX[[#This Row],[Column1682]]</f>
        <v>97.594999999999999</v>
      </c>
      <c r="BLS7">
        <f>SOFR3mo_PX[[#This Row],[Column1683]]</f>
        <v>97.58</v>
      </c>
      <c r="BLT7">
        <f>SOFR3mo_PX[[#This Row],[Column1684]]</f>
        <v>97.584999999999994</v>
      </c>
      <c r="BLU7">
        <f>SOFR3mo_PX[[#This Row],[Column1685]]</f>
        <v>97.58</v>
      </c>
      <c r="BLV7">
        <f>SOFR3mo_PX[[#This Row],[Column1686]]</f>
        <v>97.644999999999996</v>
      </c>
      <c r="BLW7">
        <f>SOFR3mo_PX[[#This Row],[Column1687]]</f>
        <v>97.685000000000002</v>
      </c>
      <c r="BLX7">
        <f>SOFR3mo_PX[[#This Row],[Column1688]]</f>
        <v>97.754999999999995</v>
      </c>
      <c r="BLY7">
        <f>SOFR3mo_PX[[#This Row],[Column1689]]</f>
        <v>97.605000000000004</v>
      </c>
      <c r="BLZ7">
        <f>SOFR3mo_PX[[#This Row],[Column1690]]</f>
        <v>97.614999999999995</v>
      </c>
      <c r="BMA7">
        <f>SOFR3mo_PX[[#This Row],[Column1691]]</f>
        <v>97.614999999999995</v>
      </c>
      <c r="BMB7">
        <f>SOFR3mo_PX[[#This Row],[Column1692]]</f>
        <v>97.61</v>
      </c>
      <c r="BMC7">
        <f>SOFR3mo_PX[[#This Row],[Column1693]]</f>
        <v>97.6</v>
      </c>
      <c r="BMD7">
        <f>SOFR3mo_PX[[#This Row],[Column1694]]</f>
        <v>97.545000000000002</v>
      </c>
      <c r="BME7">
        <f>SOFR3mo_PX[[#This Row],[Column1695]]</f>
        <v>97.525000000000006</v>
      </c>
      <c r="BMF7">
        <f>SOFR3mo_PX[[#This Row],[Column1696]]</f>
        <v>97.525000000000006</v>
      </c>
      <c r="BMG7">
        <f>SOFR3mo_PX[[#This Row],[Column1697]]</f>
        <v>97.47</v>
      </c>
      <c r="BMH7">
        <f>SOFR3mo_PX[[#This Row],[Column1698]]</f>
        <v>97.435000000000002</v>
      </c>
      <c r="BMI7">
        <f>SOFR3mo_PX[[#This Row],[Column1699]]</f>
        <v>97.45</v>
      </c>
      <c r="BMJ7">
        <f>SOFR3mo_PX[[#This Row],[Column1700]]</f>
        <v>97.465000000000003</v>
      </c>
      <c r="BMK7">
        <f>SOFR3mo_PX[[#This Row],[Column1701]]</f>
        <v>97.43</v>
      </c>
      <c r="BML7">
        <f>SOFR3mo_PX[[#This Row],[Column1702]]</f>
        <v>97.405000000000001</v>
      </c>
      <c r="BMM7">
        <f>SOFR3mo_PX[[#This Row],[Column1703]]</f>
        <v>97.38</v>
      </c>
      <c r="BMN7">
        <f>SOFR3mo_PX[[#This Row],[Column1704]]</f>
        <v>97.385000000000005</v>
      </c>
      <c r="BMO7">
        <f>SOFR3mo_PX[[#This Row],[Column1705]]</f>
        <v>97.405000000000001</v>
      </c>
      <c r="BMP7">
        <f>SOFR3mo_PX[[#This Row],[Column1706]]</f>
        <v>97.444999999999993</v>
      </c>
      <c r="BMQ7">
        <f>SOFR3mo_PX[[#This Row],[Column1707]]</f>
        <v>97.424999999999997</v>
      </c>
      <c r="BMR7">
        <f>SOFR3mo_PX[[#This Row],[Column1708]]</f>
        <v>97.394999999999996</v>
      </c>
      <c r="BMS7">
        <f>SOFR3mo_PX[[#This Row],[Column1709]]</f>
        <v>97.31</v>
      </c>
      <c r="BMT7">
        <f>SOFR3mo_PX[[#This Row],[Column1710]]</f>
        <v>97.31</v>
      </c>
      <c r="BMU7">
        <f>SOFR3mo_PX[[#This Row],[Column1711]]</f>
        <v>97.295000000000002</v>
      </c>
      <c r="BMV7">
        <f>SOFR3mo_PX[[#This Row],[Column1712]]</f>
        <v>97.314999999999998</v>
      </c>
      <c r="BMW7">
        <f>SOFR3mo_PX[[#This Row],[Column1713]]</f>
        <v>97.314999999999998</v>
      </c>
      <c r="BMX7">
        <f>SOFR3mo_PX[[#This Row],[Column1714]]</f>
        <v>97.314999999999998</v>
      </c>
      <c r="BMY7">
        <f>SOFR3mo_PX[[#This Row],[Column1715]]</f>
        <v>97.28</v>
      </c>
      <c r="BMZ7">
        <f>SOFR3mo_PX[[#This Row],[Column1716]]</f>
        <v>97.27</v>
      </c>
      <c r="BNA7">
        <f>SOFR3mo_PX[[#This Row],[Column1717]]</f>
        <v>97.28</v>
      </c>
      <c r="BNB7">
        <f>SOFR3mo_PX[[#This Row],[Column1718]]</f>
        <v>97.28</v>
      </c>
      <c r="BNC7">
        <f>SOFR3mo_PX[[#This Row],[Column1719]]</f>
        <v>97.28</v>
      </c>
      <c r="BND7">
        <f>SOFR3mo_PX[[#This Row],[Column1720]]</f>
        <v>97.28</v>
      </c>
      <c r="BNE7">
        <f>SOFR3mo_PX[[#This Row],[Column1721]]</f>
        <v>97.284999999999997</v>
      </c>
      <c r="BNF7">
        <f>SOFR3mo_PX[[#This Row],[Column1722]]</f>
        <v>97.254999999999995</v>
      </c>
      <c r="BNG7">
        <f>SOFR3mo_PX[[#This Row],[Column1723]]</f>
        <v>97.21</v>
      </c>
      <c r="BNH7">
        <f>SOFR3mo_PX[[#This Row],[Column1724]]</f>
        <v>97.204999999999998</v>
      </c>
      <c r="BNI7">
        <f>SOFR3mo_PX[[#This Row],[Column1725]]</f>
        <v>97.165000000000006</v>
      </c>
      <c r="BNJ7">
        <f>SOFR3mo_PX[[#This Row],[Column1726]]</f>
        <v>97.144999999999996</v>
      </c>
      <c r="BNK7">
        <f>SOFR3mo_PX[[#This Row],[Column1727]]</f>
        <v>97.125</v>
      </c>
      <c r="BNL7">
        <f>SOFR3mo_PX[[#This Row],[Column1728]]</f>
        <v>97.11</v>
      </c>
      <c r="BNM7">
        <f>SOFR3mo_PX[[#This Row],[Column1729]]</f>
        <v>97.135000000000005</v>
      </c>
      <c r="BNN7">
        <f>SOFR3mo_PX[[#This Row],[Column1730]]</f>
        <v>97.144999999999996</v>
      </c>
      <c r="BNO7">
        <f>SOFR3mo_PX[[#This Row],[Column1731]]</f>
        <v>97.155000000000001</v>
      </c>
      <c r="BNP7">
        <f>SOFR3mo_PX[[#This Row],[Column1732]]</f>
        <v>97.16</v>
      </c>
      <c r="BNQ7">
        <f>SOFR3mo_PX[[#This Row],[Column1733]]</f>
        <v>97.194999999999993</v>
      </c>
      <c r="BNR7">
        <f>SOFR3mo_PX[[#This Row],[Column1734]]</f>
        <v>97.185000000000002</v>
      </c>
      <c r="BNS7">
        <f>SOFR3mo_PX[[#This Row],[Column1735]]</f>
        <v>97.215000000000003</v>
      </c>
      <c r="BNT7">
        <f>SOFR3mo_PX[[#This Row],[Column1736]]</f>
        <v>97.215000000000003</v>
      </c>
      <c r="BNU7">
        <f>SOFR3mo_PX[[#This Row],[Column1737]]</f>
        <v>97.22</v>
      </c>
      <c r="BNV7">
        <f>SOFR3mo_PX[[#This Row],[Column1738]]</f>
        <v>97.174999999999997</v>
      </c>
      <c r="BNW7">
        <f>SOFR3mo_PX[[#This Row],[Column1739]]</f>
        <v>97.174999999999997</v>
      </c>
      <c r="BNX7">
        <f>SOFR3mo_PX[[#This Row],[Column1740]]</f>
        <v>97.16</v>
      </c>
      <c r="BNY7">
        <f>SOFR3mo_PX[[#This Row],[Column1741]]</f>
        <v>97.13</v>
      </c>
      <c r="BNZ7">
        <f>SOFR3mo_PX[[#This Row],[Column1742]]</f>
        <v>97.125</v>
      </c>
      <c r="BOA7">
        <f>SOFR3mo_PX[[#This Row],[Column1743]]</f>
        <v>97.144999999999996</v>
      </c>
      <c r="BOB7">
        <f>SOFR3mo_PX[[#This Row],[Column1744]]</f>
        <v>97.135000000000005</v>
      </c>
      <c r="BOC7">
        <f>SOFR3mo_PX[[#This Row],[Column1745]]</f>
        <v>97.135000000000005</v>
      </c>
      <c r="BOD7">
        <f>SOFR3mo_PX[[#This Row],[Column1746]]</f>
        <v>97.14</v>
      </c>
      <c r="BOE7">
        <f>SOFR3mo_PX[[#This Row],[Column1747]]</f>
        <v>97.15</v>
      </c>
      <c r="BOF7">
        <f>SOFR3mo_PX[[#This Row],[Column1748]]</f>
        <v>97.14</v>
      </c>
      <c r="BOG7">
        <f>SOFR3mo_PX[[#This Row],[Column1749]]</f>
        <v>97.1</v>
      </c>
      <c r="BOH7">
        <f>SOFR3mo_PX[[#This Row],[Column1750]]</f>
        <v>97.09</v>
      </c>
      <c r="BOI7">
        <f>SOFR3mo_PX[[#This Row],[Column1751]]</f>
        <v>97.09</v>
      </c>
      <c r="BOJ7">
        <f>SOFR3mo_PX[[#This Row],[Column1752]]</f>
        <v>97.094999999999999</v>
      </c>
      <c r="BOK7">
        <f>SOFR3mo_PX[[#This Row],[Column1753]]</f>
        <v>97.11</v>
      </c>
      <c r="BOL7">
        <f>SOFR3mo_PX[[#This Row],[Column1754]]</f>
        <v>97.135000000000005</v>
      </c>
      <c r="BOM7">
        <f>SOFR3mo_PX[[#This Row],[Column1755]]</f>
        <v>97.174999999999997</v>
      </c>
      <c r="BON7">
        <f>SOFR3mo_PX[[#This Row],[Column1756]]</f>
        <v>97.165000000000006</v>
      </c>
      <c r="BOO7">
        <f>SOFR3mo_PX[[#This Row],[Column1757]]</f>
        <v>97.165000000000006</v>
      </c>
      <c r="BOP7">
        <f>SOFR3mo_PX[[#This Row],[Column1758]]</f>
        <v>97.15</v>
      </c>
      <c r="BOQ7">
        <f>SOFR3mo_PX[[#This Row],[Column1759]]</f>
        <v>97.15</v>
      </c>
      <c r="BOR7">
        <f>SOFR3mo_PX[[#This Row],[Column1760]]</f>
        <v>97.14</v>
      </c>
      <c r="BOS7">
        <f>SOFR3mo_PX[[#This Row],[Column1761]]</f>
        <v>97.15</v>
      </c>
      <c r="BOT7">
        <f>SOFR3mo_PX[[#This Row],[Column1762]]</f>
        <v>97.15</v>
      </c>
      <c r="BOU7">
        <f>SOFR3mo_PX[[#This Row],[Column1763]]</f>
        <v>97.14</v>
      </c>
      <c r="BOV7">
        <f>SOFR3mo_PX[[#This Row],[Column1764]]</f>
        <v>97.15</v>
      </c>
      <c r="BOW7">
        <f>SOFR3mo_PX[[#This Row],[Column1765]]</f>
        <v>97.254999999999995</v>
      </c>
      <c r="BOX7">
        <f>SOFR3mo_PX[[#This Row],[Column1766]]</f>
        <v>97.265000000000001</v>
      </c>
      <c r="BOY7">
        <f>SOFR3mo_PX[[#This Row],[Column1767]]</f>
        <v>97.27</v>
      </c>
      <c r="BOZ7">
        <f>SOFR3mo_PX[[#This Row],[Column1768]]</f>
        <v>97.295000000000002</v>
      </c>
      <c r="BPA7">
        <f>SOFR3mo_PX[[#This Row],[Column1769]]</f>
        <v>97.314999999999998</v>
      </c>
      <c r="BPB7">
        <f>SOFR3mo_PX[[#This Row],[Column1770]]</f>
        <v>97.31</v>
      </c>
      <c r="BPC7">
        <f>SOFR3mo_PX[[#This Row],[Column1771]]</f>
        <v>97.34</v>
      </c>
      <c r="BPD7">
        <f>SOFR3mo_PX[[#This Row],[Column1772]]</f>
        <v>97.34</v>
      </c>
      <c r="BPE7">
        <f>SOFR3mo_PX[[#This Row],[Column1773]]</f>
        <v>97.394999999999996</v>
      </c>
      <c r="BPF7">
        <f>SOFR3mo_PX[[#This Row],[Column1774]]</f>
        <v>97.385000000000005</v>
      </c>
      <c r="BPG7">
        <f>SOFR3mo_PX[[#This Row],[Column1775]]</f>
        <v>97.39</v>
      </c>
      <c r="BPH7">
        <f>SOFR3mo_PX[[#This Row],[Column1776]]</f>
        <v>97.405000000000001</v>
      </c>
      <c r="BPI7">
        <f>SOFR3mo_PX[[#This Row],[Column1777]]</f>
        <v>97.405000000000001</v>
      </c>
      <c r="BPJ7">
        <f>SOFR3mo_PX[[#This Row],[Column1778]]</f>
        <v>97.38</v>
      </c>
      <c r="BPK7">
        <f>SOFR3mo_PX[[#This Row],[Column1779]]</f>
        <v>97.37</v>
      </c>
      <c r="BPL7">
        <f>SOFR3mo_PX[[#This Row],[Column1780]]</f>
        <v>97.385000000000005</v>
      </c>
      <c r="BPM7">
        <f>SOFR3mo_PX[[#This Row],[Column1781]]</f>
        <v>97.4</v>
      </c>
      <c r="BPN7">
        <f>SOFR3mo_PX[[#This Row],[Column1782]]</f>
        <v>97.42</v>
      </c>
      <c r="BPO7">
        <f>SOFR3mo_PX[[#This Row],[Column1783]]</f>
        <v>97.43</v>
      </c>
      <c r="BPP7">
        <f>SOFR3mo_PX[[#This Row],[Column1784]]</f>
        <v>97.45</v>
      </c>
      <c r="BPQ7">
        <f>SOFR3mo_PX[[#This Row],[Column1785]]</f>
        <v>97.444999999999993</v>
      </c>
      <c r="BPR7">
        <f>SOFR3mo_PX[[#This Row],[Column1786]]</f>
        <v>97.454999999999998</v>
      </c>
      <c r="BPS7">
        <f>SOFR3mo_PX[[#This Row],[Column1787]]</f>
        <v>97.43</v>
      </c>
      <c r="BPT7">
        <f>SOFR3mo_PX[[#This Row],[Column1788]]</f>
        <v>97.424999999999997</v>
      </c>
      <c r="BPU7">
        <f>SOFR3mo_PX[[#This Row],[Column1789]]</f>
        <v>97.444999999999993</v>
      </c>
      <c r="BPV7">
        <f>SOFR3mo_PX[[#This Row],[Column1790]]</f>
        <v>97.41</v>
      </c>
      <c r="BPW7">
        <f>SOFR3mo_PX[[#This Row],[Column1791]]</f>
        <v>97.44</v>
      </c>
      <c r="BPX7">
        <f>SOFR3mo_PX[[#This Row],[Column1792]]</f>
        <v>97.45</v>
      </c>
      <c r="BPY7">
        <f>SOFR3mo_PX[[#This Row],[Column1793]]</f>
        <v>97.39</v>
      </c>
      <c r="BPZ7">
        <f>SOFR3mo_PX[[#This Row],[Column1794]]</f>
        <v>97.375</v>
      </c>
      <c r="BQA7">
        <f>SOFR3mo_PX[[#This Row],[Column1795]]</f>
        <v>97.37</v>
      </c>
      <c r="BQB7">
        <f>SOFR3mo_PX[[#This Row],[Column1796]]</f>
        <v>97.375</v>
      </c>
      <c r="BQC7">
        <f>SOFR3mo_PX[[#This Row],[Column1797]]</f>
        <v>97.364999999999995</v>
      </c>
      <c r="BQD7">
        <f>SOFR3mo_PX[[#This Row],[Column1798]]</f>
        <v>97.355000000000004</v>
      </c>
      <c r="BQE7">
        <f>SOFR3mo_PX[[#This Row],[Column1799]]</f>
        <v>97.35</v>
      </c>
      <c r="BQF7">
        <f>SOFR3mo_PX[[#This Row],[Column1800]]</f>
        <v>97.355000000000004</v>
      </c>
      <c r="BQG7">
        <f>SOFR3mo_PX[[#This Row],[Column1801]]</f>
        <v>97.355000000000004</v>
      </c>
      <c r="BQH7">
        <f>SOFR3mo_PX[[#This Row],[Column1802]]</f>
        <v>97.355000000000004</v>
      </c>
      <c r="BQI7">
        <f>SOFR3mo_PX[[#This Row],[Column1803]]</f>
        <v>97.35</v>
      </c>
      <c r="BQJ7">
        <f>SOFR3mo_PX[[#This Row],[Column1804]]</f>
        <v>97.38</v>
      </c>
      <c r="BQK7">
        <f>SOFR3mo_PX[[#This Row],[Column1805]]</f>
        <v>97.38</v>
      </c>
      <c r="BQL7">
        <f>SOFR3mo_PX[[#This Row],[Column1806]]</f>
        <v>97.39</v>
      </c>
      <c r="BQM7">
        <f>SOFR3mo_PX[[#This Row],[Column1807]]</f>
        <v>97.42</v>
      </c>
      <c r="BQN7">
        <f>SOFR3mo_PX[[#This Row],[Column1808]]</f>
        <v>97.424999999999997</v>
      </c>
      <c r="BQO7">
        <f>SOFR3mo_PX[[#This Row],[Column1809]]</f>
        <v>97.424999999999997</v>
      </c>
      <c r="BQP7">
        <f>SOFR3mo_PX[[#This Row],[Column1810]]</f>
        <v>97.43</v>
      </c>
      <c r="BQQ7">
        <f>SOFR3mo_PX[[#This Row],[Column1811]]</f>
        <v>97.454999999999998</v>
      </c>
      <c r="BQR7">
        <f>SOFR3mo_PX[[#This Row],[Column1812]]</f>
        <v>97.47</v>
      </c>
      <c r="BQS7">
        <f>SOFR3mo_PX[[#This Row],[Column1813]]</f>
        <v>97.465000000000003</v>
      </c>
      <c r="BQT7">
        <f>SOFR3mo_PX[[#This Row],[Column1814]]</f>
        <v>97.48</v>
      </c>
      <c r="BQU7">
        <f>SOFR3mo_PX[[#This Row],[Column1815]]</f>
        <v>97.48</v>
      </c>
      <c r="BQV7">
        <f>SOFR3mo_PX[[#This Row],[Column1816]]</f>
        <v>97.495000000000005</v>
      </c>
      <c r="BQW7">
        <f>SOFR3mo_PX[[#This Row],[Column1817]]</f>
        <v>97.515000000000001</v>
      </c>
      <c r="BQX7">
        <f>SOFR3mo_PX[[#This Row],[Column1818]]</f>
        <v>97.5</v>
      </c>
      <c r="BQY7">
        <f>SOFR3mo_PX[[#This Row],[Column1819]]</f>
        <v>97.52</v>
      </c>
      <c r="BQZ7">
        <f>SOFR3mo_PX[[#This Row],[Column1820]]</f>
        <v>97.52</v>
      </c>
      <c r="BRA7">
        <f>SOFR3mo_PX[[#This Row],[Column1821]]</f>
        <v>97.515000000000001</v>
      </c>
      <c r="BRB7">
        <f>SOFR3mo_PX[[#This Row],[Column1822]]</f>
        <v>97.515000000000001</v>
      </c>
      <c r="BRC7">
        <f>SOFR3mo_PX[[#This Row],[Column1823]]</f>
        <v>97.515000000000001</v>
      </c>
      <c r="BRD7">
        <f>SOFR3mo_PX[[#This Row],[Column1824]]</f>
        <v>97.515000000000001</v>
      </c>
      <c r="BRE7">
        <f>SOFR3mo_PX[[#This Row],[Column1825]]</f>
        <v>97.48</v>
      </c>
      <c r="BRF7">
        <f>SOFR3mo_PX[[#This Row],[Column1826]]</f>
        <v>97.465000000000003</v>
      </c>
      <c r="BRG7">
        <f>SOFR3mo_PX[[#This Row],[Column1827]]</f>
        <v>97.444999999999993</v>
      </c>
      <c r="BRH7">
        <f>SOFR3mo_PX[[#This Row],[Column1828]]</f>
        <v>97.444999999999993</v>
      </c>
      <c r="BRI7">
        <f>SOFR3mo_PX[[#This Row],[Column1829]]</f>
        <v>97.435000000000002</v>
      </c>
      <c r="BRJ7">
        <f>SOFR3mo_PX[[#This Row],[Column1830]]</f>
        <v>97.44</v>
      </c>
      <c r="BRK7">
        <f>SOFR3mo_PX[[#This Row],[Column1831]]</f>
        <v>97.41</v>
      </c>
      <c r="BRL7">
        <f>SOFR3mo_PX[[#This Row],[Column1832]]</f>
        <v>97.42</v>
      </c>
      <c r="BRM7">
        <f>SOFR3mo_PX[[#This Row],[Column1833]]</f>
        <v>97.405000000000001</v>
      </c>
      <c r="BRN7">
        <f>SOFR3mo_PX[[#This Row],[Column1834]]</f>
        <v>97.405000000000001</v>
      </c>
      <c r="BRO7">
        <f>SOFR3mo_PX[[#This Row],[Column1835]]</f>
        <v>97.44</v>
      </c>
      <c r="BRP7">
        <f>SOFR3mo_PX[[#This Row],[Column1836]]</f>
        <v>97.45</v>
      </c>
      <c r="BRQ7">
        <f>SOFR3mo_PX[[#This Row],[Column1837]]</f>
        <v>97.465000000000003</v>
      </c>
      <c r="BRR7">
        <f>SOFR3mo_PX[[#This Row],[Column1838]]</f>
        <v>97.45</v>
      </c>
      <c r="BRS7">
        <f>SOFR3mo_PX[[#This Row],[Column1839]]</f>
        <v>97.44</v>
      </c>
      <c r="BRT7">
        <f>SOFR3mo_PX[[#This Row],[Column1840]]</f>
        <v>97.48</v>
      </c>
      <c r="BRU7">
        <f>SOFR3mo_PX[[#This Row],[Column1841]]</f>
        <v>97.47</v>
      </c>
      <c r="BRV7">
        <f>SOFR3mo_PX[[#This Row],[Column1842]]</f>
        <v>97.53</v>
      </c>
      <c r="BRW7">
        <f>SOFR3mo_PX[[#This Row],[Column1843]]</f>
        <v>97.605000000000004</v>
      </c>
      <c r="BRX7">
        <f>SOFR3mo_PX[[#This Row],[Column1844]]</f>
        <v>97.614999999999995</v>
      </c>
      <c r="BRY7">
        <f>SOFR3mo_PX[[#This Row],[Column1845]]</f>
        <v>97.71</v>
      </c>
      <c r="BRZ7">
        <f>SOFR3mo_PX[[#This Row],[Column1846]]</f>
        <v>97.495000000000005</v>
      </c>
      <c r="BSA7">
        <f>SOFR3mo_PX[[#This Row],[Column1847]]</f>
        <v>97.495000000000005</v>
      </c>
      <c r="BSB7">
        <f>SOFR3mo_PX[[#This Row],[Column1848]]</f>
        <v>97.465000000000003</v>
      </c>
      <c r="BSC7">
        <f>SOFR3mo_PX[[#This Row],[Column1849]]</f>
        <v>97.435000000000002</v>
      </c>
      <c r="BSD7">
        <f>SOFR3mo_PX[[#This Row],[Column1850]]</f>
        <v>97.385000000000005</v>
      </c>
      <c r="BSE7">
        <f>SOFR3mo_PX[[#This Row],[Column1851]]</f>
        <v>97.375</v>
      </c>
      <c r="BSF7">
        <f>SOFR3mo_PX[[#This Row],[Column1852]]</f>
        <v>97.385000000000005</v>
      </c>
      <c r="BSG7">
        <f>SOFR3mo_PX[[#This Row],[Column1853]]</f>
        <v>97.364999999999995</v>
      </c>
      <c r="BSH7">
        <f>SOFR3mo_PX[[#This Row],[Column1854]]</f>
        <v>97.364999999999995</v>
      </c>
      <c r="BSI7">
        <f>SOFR3mo_PX[[#This Row],[Column1855]]</f>
        <v>97.37</v>
      </c>
      <c r="BSJ7">
        <f>SOFR3mo_PX[[#This Row],[Column1856]]</f>
        <v>97.4</v>
      </c>
      <c r="BSK7">
        <f>SOFR3mo_PX[[#This Row],[Column1857]]</f>
        <v>97.4</v>
      </c>
      <c r="BSL7">
        <f>SOFR3mo_PX[[#This Row],[Column1858]]</f>
        <v>97.415000000000006</v>
      </c>
      <c r="BSM7">
        <f>SOFR3mo_PX[[#This Row],[Column1859]]</f>
        <v>97.435000000000002</v>
      </c>
      <c r="BSN7">
        <f>SOFR3mo_PX[[#This Row],[Column1860]]</f>
        <v>97.45</v>
      </c>
      <c r="BSO7">
        <f>SOFR3mo_PX[[#This Row],[Column1861]]</f>
        <v>97.46</v>
      </c>
      <c r="BSP7">
        <f>SOFR3mo_PX[[#This Row],[Column1862]]</f>
        <v>97.435000000000002</v>
      </c>
      <c r="BSQ7" t="str">
        <f>SOFR3mo_PX[[#This Row],[Column1863]]</f>
        <v>#N/A N/A</v>
      </c>
      <c r="BSR7" t="str">
        <f>SOFR3mo_PX[[#This Row],[Column1864]]</f>
        <v>#N/A N/A</v>
      </c>
      <c r="BSS7" t="str">
        <f>SOFR3mo_PX[[#This Row],[Column1865]]</f>
        <v>#N/A N/A</v>
      </c>
      <c r="BST7" t="str">
        <f>SOFR3mo_PX[[#This Row],[Column1866]]</f>
        <v>#N/A N/A</v>
      </c>
      <c r="BSU7" t="str">
        <f>SOFR3mo_PX[[#This Row],[Column1867]]</f>
        <v>#N/A N/A</v>
      </c>
      <c r="BSV7" t="str">
        <f>SOFR3mo_PX[[#This Row],[Column1868]]</f>
        <v>#N/A N/A</v>
      </c>
      <c r="BSW7" t="str">
        <f>SOFR3mo_PX[[#This Row],[Column1869]]</f>
        <v>#N/A N/A</v>
      </c>
      <c r="BSX7" t="str">
        <f>SOFR3mo_PX[[#This Row],[Column1870]]</f>
        <v>#N/A N/A</v>
      </c>
      <c r="BSY7" t="str">
        <f>SOFR3mo_PX[[#This Row],[Column1871]]</f>
        <v>#N/A N/A</v>
      </c>
      <c r="BSZ7" t="str">
        <f>SOFR3mo_PX[[#This Row],[Column1872]]</f>
        <v>#N/A N/A</v>
      </c>
      <c r="BTA7" t="str">
        <f>SOFR3mo_PX[[#This Row],[Column1873]]</f>
        <v>#N/A N/A</v>
      </c>
      <c r="BTB7" t="str">
        <f>SOFR3mo_PX[[#This Row],[Column1874]]</f>
        <v>#N/A N/A</v>
      </c>
      <c r="BTC7" t="str">
        <f>SOFR3mo_PX[[#This Row],[Column1875]]</f>
        <v>#N/A N/A</v>
      </c>
      <c r="BTD7" t="str">
        <f>SOFR3mo_PX[[#This Row],[Column1876]]</f>
        <v>#N/A N/A</v>
      </c>
      <c r="BTE7" t="str">
        <f>SOFR3mo_PX[[#This Row],[Column1877]]</f>
        <v>#N/A N/A</v>
      </c>
      <c r="BTF7" t="str">
        <f>SOFR3mo_PX[[#This Row],[Column1878]]</f>
        <v>#N/A N/A</v>
      </c>
      <c r="BTG7" t="str">
        <f>SOFR3mo_PX[[#This Row],[Column1879]]</f>
        <v>#N/A N/A</v>
      </c>
      <c r="BTH7" t="str">
        <f>SOFR3mo_PX[[#This Row],[Column1880]]</f>
        <v>#N/A N/A</v>
      </c>
      <c r="BTI7" t="str">
        <f>SOFR3mo_PX[[#This Row],[Column1881]]</f>
        <v>#N/A N/A</v>
      </c>
      <c r="BTJ7" t="str">
        <f>SOFR3mo_PX[[#This Row],[Column1882]]</f>
        <v>#N/A N/A</v>
      </c>
      <c r="BTK7" t="str">
        <f>SOFR3mo_PX[[#This Row],[Column1883]]</f>
        <v>#N/A N/A</v>
      </c>
      <c r="BTL7" t="str">
        <f>SOFR3mo_PX[[#This Row],[Column1884]]</f>
        <v>#N/A N/A</v>
      </c>
      <c r="BTM7" t="str">
        <f>SOFR3mo_PX[[#This Row],[Column1885]]</f>
        <v>#N/A N/A</v>
      </c>
      <c r="BTN7" t="str">
        <f>SOFR3mo_PX[[#This Row],[Column1886]]</f>
        <v>#N/A N/A</v>
      </c>
      <c r="BTO7" t="str">
        <f>SOFR3mo_PX[[#This Row],[Column1887]]</f>
        <v>#N/A N/A</v>
      </c>
      <c r="BTP7" t="str">
        <f>SOFR3mo_PX[[#This Row],[Column1888]]</f>
        <v>#N/A N/A</v>
      </c>
      <c r="BTQ7" t="str">
        <f>SOFR3mo_PX[[#This Row],[Column1889]]</f>
        <v>#N/A N/A</v>
      </c>
      <c r="BTR7" t="str">
        <f>SOFR3mo_PX[[#This Row],[Column1890]]</f>
        <v>#N/A N/A</v>
      </c>
      <c r="BTS7" t="str">
        <f>SOFR3mo_PX[[#This Row],[Column1891]]</f>
        <v>#N/A N/A</v>
      </c>
      <c r="BTT7" t="str">
        <f>SOFR3mo_PX[[#This Row],[Column1892]]</f>
        <v>#N/A N/A</v>
      </c>
      <c r="BTU7" t="str">
        <f>SOFR3mo_PX[[#This Row],[Column1893]]</f>
        <v>#N/A N/A</v>
      </c>
      <c r="BTV7" t="str">
        <f>SOFR3mo_PX[[#This Row],[Column1894]]</f>
        <v>#N/A N/A</v>
      </c>
      <c r="BTW7" t="str">
        <f>SOFR3mo_PX[[#This Row],[Column1895]]</f>
        <v>#N/A N/A</v>
      </c>
      <c r="BTX7" t="str">
        <f>SOFR3mo_PX[[#This Row],[Column1896]]</f>
        <v>#N/A N/A</v>
      </c>
      <c r="BTY7" t="str">
        <f>SOFR3mo_PX[[#This Row],[Column1897]]</f>
        <v>#N/A N/A</v>
      </c>
      <c r="BTZ7" t="str">
        <f>SOFR3mo_PX[[#This Row],[Column1898]]</f>
        <v>#N/A N/A</v>
      </c>
      <c r="BUA7" t="str">
        <f>SOFR3mo_PX[[#This Row],[Column1899]]</f>
        <v>#N/A N/A</v>
      </c>
      <c r="BUB7" t="str">
        <f>SOFR3mo_PX[[#This Row],[Column1900]]</f>
        <v>#N/A N/A</v>
      </c>
      <c r="BUC7" t="str">
        <f>SOFR3mo_PX[[#This Row],[Column1901]]</f>
        <v>#N/A N/A</v>
      </c>
      <c r="BUD7" t="str">
        <f>SOFR3mo_PX[[#This Row],[Column1902]]</f>
        <v>#N/A N/A</v>
      </c>
      <c r="BUE7" t="str">
        <f>SOFR3mo_PX[[#This Row],[Column1903]]</f>
        <v>#N/A N/A</v>
      </c>
      <c r="BUF7" t="str">
        <f>SOFR3mo_PX[[#This Row],[Column1904]]</f>
        <v>#N/A N/A</v>
      </c>
      <c r="BUG7" t="str">
        <f>SOFR3mo_PX[[#This Row],[Column1905]]</f>
        <v>#N/A N/A</v>
      </c>
      <c r="BUH7" t="str">
        <f>SOFR3mo_PX[[#This Row],[Column1906]]</f>
        <v>#N/A N/A</v>
      </c>
      <c r="BUI7" t="str">
        <f>SOFR3mo_PX[[#This Row],[Column1907]]</f>
        <v>#N/A N/A</v>
      </c>
      <c r="BUJ7" t="str">
        <f>SOFR3mo_PX[[#This Row],[Column1908]]</f>
        <v>#N/A N/A</v>
      </c>
      <c r="BUK7" t="str">
        <f>SOFR3mo_PX[[#This Row],[Column1909]]</f>
        <v>#N/A N/A</v>
      </c>
      <c r="BUL7" t="str">
        <f>SOFR3mo_PX[[#This Row],[Column1910]]</f>
        <v>#N/A N/A</v>
      </c>
      <c r="BUM7" t="str">
        <f>SOFR3mo_PX[[#This Row],[Column1911]]</f>
        <v>#N/A N/A</v>
      </c>
      <c r="BUN7" t="str">
        <f>SOFR3mo_PX[[#This Row],[Column1912]]</f>
        <v>#N/A N/A</v>
      </c>
      <c r="BUO7" t="str">
        <f>SOFR3mo_PX[[#This Row],[Column1913]]</f>
        <v>#N/A N/A</v>
      </c>
      <c r="BUP7" t="str">
        <f>SOFR3mo_PX[[#This Row],[Column1914]]</f>
        <v>#N/A N/A</v>
      </c>
      <c r="BUQ7" t="str">
        <f>SOFR3mo_PX[[#This Row],[Column1915]]</f>
        <v>#N/A N/A</v>
      </c>
      <c r="BUR7" t="str">
        <f>SOFR3mo_PX[[#This Row],[Column1916]]</f>
        <v>#N/A N/A</v>
      </c>
      <c r="BUS7" t="str">
        <f>SOFR3mo_PX[[#This Row],[Column1917]]</f>
        <v>#N/A N/A</v>
      </c>
      <c r="BUT7" t="str">
        <f>SOFR3mo_PX[[#This Row],[Column1918]]</f>
        <v>#N/A N/A</v>
      </c>
      <c r="BUU7" t="str">
        <f>SOFR3mo_PX[[#This Row],[Column1919]]</f>
        <v>#N/A N/A</v>
      </c>
      <c r="BUV7" t="str">
        <f>SOFR3mo_PX[[#This Row],[Column1920]]</f>
        <v>#N/A N/A</v>
      </c>
      <c r="BUW7" t="str">
        <f>SOFR3mo_PX[[#This Row],[Column1921]]</f>
        <v>#N/A N/A</v>
      </c>
      <c r="BUX7" t="str">
        <f>SOFR3mo_PX[[#This Row],[Column1922]]</f>
        <v>#N/A N/A</v>
      </c>
      <c r="BUY7" t="str">
        <f>SOFR3mo_PX[[#This Row],[Column1923]]</f>
        <v>#N/A N/A</v>
      </c>
      <c r="BUZ7" t="str">
        <f>SOFR3mo_PX[[#This Row],[Column1924]]</f>
        <v>#N/A N/A</v>
      </c>
      <c r="BVA7" t="str">
        <f>SOFR3mo_PX[[#This Row],[Column1925]]</f>
        <v>#N/A N/A</v>
      </c>
      <c r="BVB7" t="str">
        <f>SOFR3mo_PX[[#This Row],[Column1926]]</f>
        <v>#N/A N/A</v>
      </c>
      <c r="BVC7" t="str">
        <f>SOFR3mo_PX[[#This Row],[Column1927]]</f>
        <v>#N/A N/A</v>
      </c>
      <c r="BVD7" t="str">
        <f>SOFR3mo_PX[[#This Row],[Column1928]]</f>
        <v>#N/A N/A</v>
      </c>
      <c r="BVE7" t="str">
        <f>SOFR3mo_PX[[#This Row],[Column1929]]</f>
        <v>#N/A N/A</v>
      </c>
      <c r="BVF7" t="str">
        <f>SOFR3mo_PX[[#This Row],[Column1930]]</f>
        <v>#N/A N/A</v>
      </c>
      <c r="BVG7" t="str">
        <f>SOFR3mo_PX[[#This Row],[Column1931]]</f>
        <v>#N/A N/A</v>
      </c>
      <c r="BVH7" t="str">
        <f>SOFR3mo_PX[[#This Row],[Column1932]]</f>
        <v>#N/A N/A</v>
      </c>
      <c r="BVI7" t="str">
        <f>SOFR3mo_PX[[#This Row],[Column1933]]</f>
        <v>#N/A N/A</v>
      </c>
      <c r="BVJ7" t="str">
        <f>SOFR3mo_PX[[#This Row],[Column1934]]</f>
        <v>#N/A N/A</v>
      </c>
      <c r="BVK7" t="str">
        <f>SOFR3mo_PX[[#This Row],[Column1935]]</f>
        <v>#N/A N/A</v>
      </c>
      <c r="BVL7" t="str">
        <f>SOFR3mo_PX[[#This Row],[Column1936]]</f>
        <v>#N/A N/A</v>
      </c>
      <c r="BVM7" t="str">
        <f>SOFR3mo_PX[[#This Row],[Column1937]]</f>
        <v>#N/A N/A</v>
      </c>
      <c r="BVN7" t="str">
        <f>SOFR3mo_PX[[#This Row],[Column1938]]</f>
        <v>#N/A N/A</v>
      </c>
      <c r="BVO7" t="str">
        <f>SOFR3mo_PX[[#This Row],[Column1939]]</f>
        <v>#N/A N/A</v>
      </c>
      <c r="BVP7" t="str">
        <f>SOFR3mo_PX[[#This Row],[Column1940]]</f>
        <v>#N/A N/A</v>
      </c>
      <c r="BVQ7" t="str">
        <f>SOFR3mo_PX[[#This Row],[Column1941]]</f>
        <v>#N/A N/A</v>
      </c>
      <c r="BVR7" t="str">
        <f>SOFR3mo_PX[[#This Row],[Column1942]]</f>
        <v>#N/A N/A</v>
      </c>
      <c r="BVS7" t="str">
        <f>SOFR3mo_PX[[#This Row],[Column1943]]</f>
        <v>#N/A N/A</v>
      </c>
      <c r="BVT7" t="str">
        <f>SOFR3mo_PX[[#This Row],[Column1944]]</f>
        <v>#N/A N/A</v>
      </c>
      <c r="BVU7" t="str">
        <f>SOFR3mo_PX[[#This Row],[Column1945]]</f>
        <v>#N/A N/A</v>
      </c>
      <c r="BVV7" t="str">
        <f>SOFR3mo_PX[[#This Row],[Column1946]]</f>
        <v>#N/A N/A</v>
      </c>
      <c r="BVW7" t="str">
        <f>SOFR3mo_PX[[#This Row],[Column1947]]</f>
        <v>#N/A N/A</v>
      </c>
      <c r="BVX7" t="str">
        <f>SOFR3mo_PX[[#This Row],[Column1948]]</f>
        <v>#N/A N/A</v>
      </c>
      <c r="BVY7" t="str">
        <f>SOFR3mo_PX[[#This Row],[Column1949]]</f>
        <v>#N/A N/A</v>
      </c>
      <c r="BVZ7" t="str">
        <f>SOFR3mo_PX[[#This Row],[Column1950]]</f>
        <v>#N/A N/A</v>
      </c>
      <c r="BWA7" t="str">
        <f>SOFR3mo_PX[[#This Row],[Column1951]]</f>
        <v>#N/A N/A</v>
      </c>
      <c r="BWB7" t="str">
        <f>SOFR3mo_PX[[#This Row],[Column1952]]</f>
        <v>#N/A N/A</v>
      </c>
      <c r="BWC7" t="str">
        <f>SOFR3mo_PX[[#This Row],[Column1953]]</f>
        <v>#N/A N/A</v>
      </c>
      <c r="BWD7" t="str">
        <f>SOFR3mo_PX[[#This Row],[Column1954]]</f>
        <v>#N/A N/A</v>
      </c>
    </row>
    <row r="8" spans="1:1954" x14ac:dyDescent="0.25">
      <c r="A8" t="str">
        <f>SOFR3mo_PX[[#This Row],[Column1]]</f>
        <v>SFR6 Comdty</v>
      </c>
      <c r="B8">
        <f>IF(rtd!B6&lt;&gt;"",rtd!B6,SOFR3mo_PX[[#This Row],[Column2]])</f>
        <v>96.722499999999997</v>
      </c>
      <c r="C8">
        <f>SOFR3mo_PX[[#This Row],[Column3]]</f>
        <v>96.665000000000006</v>
      </c>
      <c r="D8">
        <f>SOFR3mo_PX[[#This Row],[Column4]]</f>
        <v>96.665000000000006</v>
      </c>
      <c r="E8">
        <f>SOFR3mo_PX[[#This Row],[Column5]]</f>
        <v>96.53</v>
      </c>
      <c r="F8">
        <f>SOFR3mo_PX[[#This Row],[Column6]]</f>
        <v>96.52</v>
      </c>
      <c r="G8">
        <f>SOFR3mo_PX[[#This Row],[Column7]]</f>
        <v>96.534999999999997</v>
      </c>
      <c r="H8">
        <f>SOFR3mo_PX[[#This Row],[Column8]]</f>
        <v>96.59</v>
      </c>
      <c r="I8">
        <f>SOFR3mo_PX[[#This Row],[Column9]]</f>
        <v>96.54</v>
      </c>
      <c r="J8">
        <f>SOFR3mo_PX[[#This Row],[Column10]]</f>
        <v>96.465000000000003</v>
      </c>
      <c r="K8">
        <f>SOFR3mo_PX[[#This Row],[Column11]]</f>
        <v>96.48</v>
      </c>
      <c r="L8">
        <f>SOFR3mo_PX[[#This Row],[Column12]]</f>
        <v>96.435000000000002</v>
      </c>
      <c r="M8">
        <f>SOFR3mo_PX[[#This Row],[Column13]]</f>
        <v>96.58</v>
      </c>
      <c r="N8">
        <f>SOFR3mo_PX[[#This Row],[Column14]]</f>
        <v>96.625</v>
      </c>
      <c r="O8">
        <f>SOFR3mo_PX[[#This Row],[Column15]]</f>
        <v>96.53</v>
      </c>
      <c r="P8">
        <f>SOFR3mo_PX[[#This Row],[Column16]]</f>
        <v>96.564999999999998</v>
      </c>
      <c r="Q8">
        <f>SOFR3mo_PX[[#This Row],[Column17]]</f>
        <v>96.6</v>
      </c>
      <c r="R8">
        <f>SOFR3mo_PX[[#This Row],[Column18]]</f>
        <v>96.58</v>
      </c>
      <c r="S8">
        <f>SOFR3mo_PX[[#This Row],[Column19]]</f>
        <v>96.515000000000001</v>
      </c>
      <c r="T8">
        <f>SOFR3mo_PX[[#This Row],[Column20]]</f>
        <v>96.564999999999998</v>
      </c>
      <c r="U8">
        <f>SOFR3mo_PX[[#This Row],[Column21]]</f>
        <v>96.545000000000002</v>
      </c>
      <c r="V8">
        <f>SOFR3mo_PX[[#This Row],[Column22]]</f>
        <v>96.545000000000002</v>
      </c>
      <c r="W8">
        <f>SOFR3mo_PX[[#This Row],[Column23]]</f>
        <v>96.52</v>
      </c>
      <c r="X8">
        <f>SOFR3mo_PX[[#This Row],[Column24]]</f>
        <v>96.51</v>
      </c>
      <c r="Y8">
        <f>SOFR3mo_PX[[#This Row],[Column25]]</f>
        <v>96.56</v>
      </c>
      <c r="Z8">
        <f>SOFR3mo_PX[[#This Row],[Column26]]</f>
        <v>96.534999999999997</v>
      </c>
      <c r="AA8">
        <f>SOFR3mo_PX[[#This Row],[Column27]]</f>
        <v>96.515000000000001</v>
      </c>
      <c r="AB8">
        <f>SOFR3mo_PX[[#This Row],[Column28]]</f>
        <v>96.54</v>
      </c>
      <c r="AC8">
        <f>SOFR3mo_PX[[#This Row],[Column29]]</f>
        <v>96.435000000000002</v>
      </c>
      <c r="AD8">
        <f>SOFR3mo_PX[[#This Row],[Column30]]</f>
        <v>96.49</v>
      </c>
      <c r="AE8">
        <f>SOFR3mo_PX[[#This Row],[Column31]]</f>
        <v>96.51</v>
      </c>
      <c r="AF8">
        <f>SOFR3mo_PX[[#This Row],[Column32]]</f>
        <v>96.67</v>
      </c>
      <c r="AG8">
        <f>SOFR3mo_PX[[#This Row],[Column33]]</f>
        <v>96.66</v>
      </c>
      <c r="AH8">
        <f>SOFR3mo_PX[[#This Row],[Column34]]</f>
        <v>96.82</v>
      </c>
      <c r="AI8">
        <f>SOFR3mo_PX[[#This Row],[Column35]]</f>
        <v>96.814999999999998</v>
      </c>
      <c r="AJ8">
        <f>SOFR3mo_PX[[#This Row],[Column36]]</f>
        <v>96.75</v>
      </c>
      <c r="AK8">
        <f>SOFR3mo_PX[[#This Row],[Column37]]</f>
        <v>96.745000000000005</v>
      </c>
      <c r="AL8">
        <f>SOFR3mo_PX[[#This Row],[Column38]]</f>
        <v>96.915000000000006</v>
      </c>
      <c r="AM8">
        <f>SOFR3mo_PX[[#This Row],[Column39]]</f>
        <v>97.025000000000006</v>
      </c>
      <c r="AN8">
        <f>SOFR3mo_PX[[#This Row],[Column40]]</f>
        <v>96.984999999999999</v>
      </c>
      <c r="AO8">
        <f>SOFR3mo_PX[[#This Row],[Column41]]</f>
        <v>96.94</v>
      </c>
      <c r="AP8">
        <f>SOFR3mo_PX[[#This Row],[Column42]]</f>
        <v>96.84</v>
      </c>
      <c r="AQ8">
        <f>SOFR3mo_PX[[#This Row],[Column43]]</f>
        <v>96.805000000000007</v>
      </c>
      <c r="AR8">
        <f>SOFR3mo_PX[[#This Row],[Column44]]</f>
        <v>96.724999999999994</v>
      </c>
      <c r="AS8">
        <f>SOFR3mo_PX[[#This Row],[Column45]]</f>
        <v>96.814999999999998</v>
      </c>
      <c r="AT8">
        <f>SOFR3mo_PX[[#This Row],[Column46]]</f>
        <v>96.9</v>
      </c>
      <c r="AU8">
        <f>SOFR3mo_PX[[#This Row],[Column47]]</f>
        <v>96.81</v>
      </c>
      <c r="AV8">
        <f>SOFR3mo_PX[[#This Row],[Column48]]</f>
        <v>96.81</v>
      </c>
      <c r="AW8">
        <f>SOFR3mo_PX[[#This Row],[Column49]]</f>
        <v>96.8</v>
      </c>
      <c r="AX8">
        <f>SOFR3mo_PX[[#This Row],[Column50]]</f>
        <v>96.734999999999999</v>
      </c>
      <c r="AY8">
        <f>SOFR3mo_PX[[#This Row],[Column51]]</f>
        <v>96.724999999999994</v>
      </c>
      <c r="AZ8">
        <f>SOFR3mo_PX[[#This Row],[Column52]]</f>
        <v>96.584999999999994</v>
      </c>
      <c r="BA8">
        <f>SOFR3mo_PX[[#This Row],[Column53]]</f>
        <v>96.704999999999998</v>
      </c>
      <c r="BB8">
        <f>SOFR3mo_PX[[#This Row],[Column54]]</f>
        <v>96.564999999999998</v>
      </c>
      <c r="BC8">
        <f>SOFR3mo_PX[[#This Row],[Column55]]</f>
        <v>96.87</v>
      </c>
      <c r="BD8">
        <f>SOFR3mo_PX[[#This Row],[Column56]]</f>
        <v>96.834999999999994</v>
      </c>
      <c r="BE8">
        <f>SOFR3mo_PX[[#This Row],[Column57]]</f>
        <v>96.9</v>
      </c>
      <c r="BF8">
        <f>SOFR3mo_PX[[#This Row],[Column58]]</f>
        <v>96.83</v>
      </c>
      <c r="BG8">
        <f>SOFR3mo_PX[[#This Row],[Column59]]</f>
        <v>96.58</v>
      </c>
      <c r="BH8">
        <f>SOFR3mo_PX[[#This Row],[Column60]]</f>
        <v>96.614999999999995</v>
      </c>
      <c r="BI8">
        <f>SOFR3mo_PX[[#This Row],[Column61]]</f>
        <v>96.555000000000007</v>
      </c>
      <c r="BJ8">
        <f>SOFR3mo_PX[[#This Row],[Column62]]</f>
        <v>96.56</v>
      </c>
      <c r="BK8">
        <f>SOFR3mo_PX[[#This Row],[Column63]]</f>
        <v>96.444999999999993</v>
      </c>
      <c r="BL8">
        <f>SOFR3mo_PX[[#This Row],[Column64]]</f>
        <v>96.43</v>
      </c>
      <c r="BM8">
        <f>SOFR3mo_PX[[#This Row],[Column65]]</f>
        <v>96.46</v>
      </c>
      <c r="BN8">
        <f>SOFR3mo_PX[[#This Row],[Column66]]</f>
        <v>96.42</v>
      </c>
      <c r="BO8">
        <f>SOFR3mo_PX[[#This Row],[Column67]]</f>
        <v>96.52</v>
      </c>
      <c r="BP8">
        <f>SOFR3mo_PX[[#This Row],[Column68]]</f>
        <v>96.5</v>
      </c>
      <c r="BQ8">
        <f>SOFR3mo_PX[[#This Row],[Column69]]</f>
        <v>96.474999999999994</v>
      </c>
      <c r="BR8">
        <f>SOFR3mo_PX[[#This Row],[Column70]]</f>
        <v>96.334999999999994</v>
      </c>
      <c r="BS8">
        <f>SOFR3mo_PX[[#This Row],[Column71]]</f>
        <v>96.325000000000003</v>
      </c>
      <c r="BT8">
        <f>SOFR3mo_PX[[#This Row],[Column72]]</f>
        <v>96.364999999999995</v>
      </c>
      <c r="BU8">
        <f>SOFR3mo_PX[[#This Row],[Column73]]</f>
        <v>96.45</v>
      </c>
      <c r="BV8">
        <f>SOFR3mo_PX[[#This Row],[Column74]]</f>
        <v>96.405000000000001</v>
      </c>
      <c r="BW8">
        <f>SOFR3mo_PX[[#This Row],[Column75]]</f>
        <v>96.474999999999994</v>
      </c>
      <c r="BX8">
        <f>SOFR3mo_PX[[#This Row],[Column76]]</f>
        <v>96.534999999999997</v>
      </c>
      <c r="BY8">
        <f>SOFR3mo_PX[[#This Row],[Column77]]</f>
        <v>96.4</v>
      </c>
      <c r="BZ8">
        <f>SOFR3mo_PX[[#This Row],[Column78]]</f>
        <v>96.435000000000002</v>
      </c>
      <c r="CA8">
        <f>SOFR3mo_PX[[#This Row],[Column79]]</f>
        <v>96.41</v>
      </c>
      <c r="CB8">
        <f>SOFR3mo_PX[[#This Row],[Column80]]</f>
        <v>96.44</v>
      </c>
      <c r="CC8">
        <f>SOFR3mo_PX[[#This Row],[Column81]]</f>
        <v>96.405000000000001</v>
      </c>
      <c r="CD8">
        <f>SOFR3mo_PX[[#This Row],[Column82]]</f>
        <v>96.394999999999996</v>
      </c>
      <c r="CE8">
        <f>SOFR3mo_PX[[#This Row],[Column83]]</f>
        <v>96.29</v>
      </c>
      <c r="CF8">
        <f>SOFR3mo_PX[[#This Row],[Column84]]</f>
        <v>96.31</v>
      </c>
      <c r="CG8">
        <f>SOFR3mo_PX[[#This Row],[Column85]]</f>
        <v>96.28</v>
      </c>
      <c r="CH8">
        <f>SOFR3mo_PX[[#This Row],[Column86]]</f>
        <v>96.185000000000002</v>
      </c>
      <c r="CI8">
        <f>SOFR3mo_PX[[#This Row],[Column87]]</f>
        <v>96.144999999999996</v>
      </c>
      <c r="CJ8">
        <f>SOFR3mo_PX[[#This Row],[Column88]]</f>
        <v>96.04</v>
      </c>
      <c r="CK8">
        <f>SOFR3mo_PX[[#This Row],[Column89]]</f>
        <v>96.03</v>
      </c>
      <c r="CL8">
        <f>SOFR3mo_PX[[#This Row],[Column90]]</f>
        <v>96.01</v>
      </c>
      <c r="CM8">
        <f>SOFR3mo_PX[[#This Row],[Column91]]</f>
        <v>96.06</v>
      </c>
      <c r="CN8">
        <f>SOFR3mo_PX[[#This Row],[Column92]]</f>
        <v>96.06</v>
      </c>
      <c r="CO8">
        <f>SOFR3mo_PX[[#This Row],[Column93]]</f>
        <v>95.984999999999999</v>
      </c>
      <c r="CP8">
        <f>SOFR3mo_PX[[#This Row],[Column94]]</f>
        <v>95.91</v>
      </c>
      <c r="CQ8">
        <f>SOFR3mo_PX[[#This Row],[Column95]]</f>
        <v>96.015000000000001</v>
      </c>
      <c r="CR8">
        <f>SOFR3mo_PX[[#This Row],[Column96]]</f>
        <v>96.05</v>
      </c>
      <c r="CS8">
        <f>SOFR3mo_PX[[#This Row],[Column97]]</f>
        <v>96.034999999999997</v>
      </c>
      <c r="CT8">
        <f>SOFR3mo_PX[[#This Row],[Column98]]</f>
        <v>96.125</v>
      </c>
      <c r="CU8">
        <f>SOFR3mo_PX[[#This Row],[Column99]]</f>
        <v>96.155000000000001</v>
      </c>
      <c r="CV8">
        <f>SOFR3mo_PX[[#This Row],[Column100]]</f>
        <v>96.11</v>
      </c>
      <c r="CW8">
        <f>SOFR3mo_PX[[#This Row],[Column101]]</f>
        <v>96.055000000000007</v>
      </c>
      <c r="CX8">
        <f>SOFR3mo_PX[[#This Row],[Column102]]</f>
        <v>96.084999999999994</v>
      </c>
      <c r="CY8">
        <f>SOFR3mo_PX[[#This Row],[Column103]]</f>
        <v>96.13</v>
      </c>
      <c r="CZ8">
        <f>SOFR3mo_PX[[#This Row],[Column104]]</f>
        <v>96.1</v>
      </c>
      <c r="DA8">
        <f>SOFR3mo_PX[[#This Row],[Column105]]</f>
        <v>96.13</v>
      </c>
      <c r="DB8">
        <f>SOFR3mo_PX[[#This Row],[Column106]]</f>
        <v>96.15</v>
      </c>
      <c r="DC8">
        <f>SOFR3mo_PX[[#This Row],[Column107]]</f>
        <v>96.04</v>
      </c>
      <c r="DD8">
        <f>SOFR3mo_PX[[#This Row],[Column108]]</f>
        <v>96.025000000000006</v>
      </c>
      <c r="DE8">
        <f>SOFR3mo_PX[[#This Row],[Column109]]</f>
        <v>96.004999999999995</v>
      </c>
      <c r="DF8">
        <f>SOFR3mo_PX[[#This Row],[Column110]]</f>
        <v>96.01</v>
      </c>
      <c r="DG8">
        <f>SOFR3mo_PX[[#This Row],[Column111]]</f>
        <v>96.015000000000001</v>
      </c>
      <c r="DH8">
        <f>SOFR3mo_PX[[#This Row],[Column112]]</f>
        <v>96.015000000000001</v>
      </c>
      <c r="DI8">
        <f>SOFR3mo_PX[[#This Row],[Column113]]</f>
        <v>96.06</v>
      </c>
      <c r="DJ8">
        <f>SOFR3mo_PX[[#This Row],[Column114]]</f>
        <v>96.025000000000006</v>
      </c>
      <c r="DK8">
        <f>SOFR3mo_PX[[#This Row],[Column115]]</f>
        <v>95.9</v>
      </c>
      <c r="DL8">
        <f>SOFR3mo_PX[[#This Row],[Column116]]</f>
        <v>95.86</v>
      </c>
      <c r="DM8">
        <f>SOFR3mo_PX[[#This Row],[Column117]]</f>
        <v>95.875</v>
      </c>
      <c r="DN8">
        <f>SOFR3mo_PX[[#This Row],[Column118]]</f>
        <v>96.055000000000007</v>
      </c>
      <c r="DO8">
        <f>SOFR3mo_PX[[#This Row],[Column119]]</f>
        <v>96.015000000000001</v>
      </c>
      <c r="DP8">
        <f>SOFR3mo_PX[[#This Row],[Column120]]</f>
        <v>95.995000000000005</v>
      </c>
      <c r="DQ8">
        <f>SOFR3mo_PX[[#This Row],[Column121]]</f>
        <v>96.02</v>
      </c>
      <c r="DR8">
        <f>SOFR3mo_PX[[#This Row],[Column122]]</f>
        <v>96.025000000000006</v>
      </c>
      <c r="DS8">
        <f>SOFR3mo_PX[[#This Row],[Column123]]</f>
        <v>96.064999999999998</v>
      </c>
      <c r="DT8">
        <f>SOFR3mo_PX[[#This Row],[Column124]]</f>
        <v>96.064999999999998</v>
      </c>
      <c r="DU8">
        <f>SOFR3mo_PX[[#This Row],[Column125]]</f>
        <v>96.064999999999998</v>
      </c>
      <c r="DV8">
        <f>SOFR3mo_PX[[#This Row],[Column126]]</f>
        <v>96.07</v>
      </c>
      <c r="DW8">
        <f>SOFR3mo_PX[[#This Row],[Column127]]</f>
        <v>95.99</v>
      </c>
      <c r="DX8">
        <f>SOFR3mo_PX[[#This Row],[Column128]]</f>
        <v>95.99</v>
      </c>
      <c r="DY8">
        <f>SOFR3mo_PX[[#This Row],[Column129]]</f>
        <v>95.99</v>
      </c>
      <c r="DZ8">
        <f>SOFR3mo_PX[[#This Row],[Column130]]</f>
        <v>95.99</v>
      </c>
      <c r="EA8">
        <f>SOFR3mo_PX[[#This Row],[Column131]]</f>
        <v>95.97</v>
      </c>
      <c r="EB8">
        <f>SOFR3mo_PX[[#This Row],[Column132]]</f>
        <v>96.015000000000001</v>
      </c>
      <c r="EC8">
        <f>SOFR3mo_PX[[#This Row],[Column133]]</f>
        <v>95.995000000000005</v>
      </c>
      <c r="ED8">
        <f>SOFR3mo_PX[[#This Row],[Column134]]</f>
        <v>95.98</v>
      </c>
      <c r="EE8">
        <f>SOFR3mo_PX[[#This Row],[Column135]]</f>
        <v>96.1</v>
      </c>
      <c r="EF8">
        <f>SOFR3mo_PX[[#This Row],[Column136]]</f>
        <v>96.1</v>
      </c>
      <c r="EG8">
        <f>SOFR3mo_PX[[#This Row],[Column137]]</f>
        <v>96.114999999999995</v>
      </c>
      <c r="EH8">
        <f>SOFR3mo_PX[[#This Row],[Column138]]</f>
        <v>96.17</v>
      </c>
      <c r="EI8">
        <f>SOFR3mo_PX[[#This Row],[Column139]]</f>
        <v>96.21</v>
      </c>
      <c r="EJ8">
        <f>SOFR3mo_PX[[#This Row],[Column140]]</f>
        <v>96.224999999999994</v>
      </c>
      <c r="EK8">
        <f>SOFR3mo_PX[[#This Row],[Column141]]</f>
        <v>96.26</v>
      </c>
      <c r="EL8">
        <f>SOFR3mo_PX[[#This Row],[Column142]]</f>
        <v>96.29</v>
      </c>
      <c r="EM8">
        <f>SOFR3mo_PX[[#This Row],[Column143]]</f>
        <v>96.234999999999999</v>
      </c>
      <c r="EN8">
        <f>SOFR3mo_PX[[#This Row],[Column144]]</f>
        <v>96.27</v>
      </c>
      <c r="EO8">
        <f>SOFR3mo_PX[[#This Row],[Column145]]</f>
        <v>96.21</v>
      </c>
      <c r="EP8">
        <f>SOFR3mo_PX[[#This Row],[Column146]]</f>
        <v>96.174999999999997</v>
      </c>
      <c r="EQ8">
        <f>SOFR3mo_PX[[#This Row],[Column147]]</f>
        <v>96.21</v>
      </c>
      <c r="ER8">
        <f>SOFR3mo_PX[[#This Row],[Column148]]</f>
        <v>96.174999999999997</v>
      </c>
      <c r="ES8">
        <f>SOFR3mo_PX[[#This Row],[Column149]]</f>
        <v>96.174999999999997</v>
      </c>
      <c r="ET8">
        <f>SOFR3mo_PX[[#This Row],[Column150]]</f>
        <v>96.11</v>
      </c>
      <c r="EU8">
        <f>SOFR3mo_PX[[#This Row],[Column151]]</f>
        <v>96.135000000000005</v>
      </c>
      <c r="EV8">
        <f>SOFR3mo_PX[[#This Row],[Column152]]</f>
        <v>96.034999999999997</v>
      </c>
      <c r="EW8">
        <f>SOFR3mo_PX[[#This Row],[Column153]]</f>
        <v>96.06</v>
      </c>
      <c r="EX8">
        <f>SOFR3mo_PX[[#This Row],[Column154]]</f>
        <v>96.105000000000004</v>
      </c>
      <c r="EY8">
        <f>SOFR3mo_PX[[#This Row],[Column155]]</f>
        <v>96.155000000000001</v>
      </c>
      <c r="EZ8">
        <f>SOFR3mo_PX[[#This Row],[Column156]]</f>
        <v>96.13</v>
      </c>
      <c r="FA8">
        <f>SOFR3mo_PX[[#This Row],[Column157]]</f>
        <v>96.114999999999995</v>
      </c>
      <c r="FB8">
        <f>SOFR3mo_PX[[#This Row],[Column158]]</f>
        <v>96.125</v>
      </c>
      <c r="FC8">
        <f>SOFR3mo_PX[[#This Row],[Column159]]</f>
        <v>96.13</v>
      </c>
      <c r="FD8">
        <f>SOFR3mo_PX[[#This Row],[Column160]]</f>
        <v>96.064999999999998</v>
      </c>
      <c r="FE8">
        <f>SOFR3mo_PX[[#This Row],[Column161]]</f>
        <v>96.105000000000004</v>
      </c>
      <c r="FF8">
        <f>SOFR3mo_PX[[#This Row],[Column162]]</f>
        <v>96.18</v>
      </c>
      <c r="FG8">
        <f>SOFR3mo_PX[[#This Row],[Column163]]</f>
        <v>96.22</v>
      </c>
      <c r="FH8">
        <f>SOFR3mo_PX[[#This Row],[Column164]]</f>
        <v>96.165000000000006</v>
      </c>
      <c r="FI8">
        <f>SOFR3mo_PX[[#This Row],[Column165]]</f>
        <v>96.265000000000001</v>
      </c>
      <c r="FJ8">
        <f>SOFR3mo_PX[[#This Row],[Column166]]</f>
        <v>96.314999999999998</v>
      </c>
      <c r="FK8">
        <f>SOFR3mo_PX[[#This Row],[Column167]]</f>
        <v>96.3</v>
      </c>
      <c r="FL8">
        <f>SOFR3mo_PX[[#This Row],[Column168]]</f>
        <v>96.34</v>
      </c>
      <c r="FM8">
        <f>SOFR3mo_PX[[#This Row],[Column169]]</f>
        <v>96.355000000000004</v>
      </c>
      <c r="FN8">
        <f>SOFR3mo_PX[[#This Row],[Column170]]</f>
        <v>96.415000000000006</v>
      </c>
      <c r="FO8">
        <f>SOFR3mo_PX[[#This Row],[Column171]]</f>
        <v>96.39</v>
      </c>
      <c r="FP8">
        <f>SOFR3mo_PX[[#This Row],[Column172]]</f>
        <v>96.435000000000002</v>
      </c>
      <c r="FQ8">
        <f>SOFR3mo_PX[[#This Row],[Column173]]</f>
        <v>96.484999999999999</v>
      </c>
      <c r="FR8">
        <f>SOFR3mo_PX[[#This Row],[Column174]]</f>
        <v>96.444999999999993</v>
      </c>
      <c r="FS8">
        <f>SOFR3mo_PX[[#This Row],[Column175]]</f>
        <v>96.51</v>
      </c>
      <c r="FT8">
        <f>SOFR3mo_PX[[#This Row],[Column176]]</f>
        <v>96.534999999999997</v>
      </c>
      <c r="FU8">
        <f>SOFR3mo_PX[[#This Row],[Column177]]</f>
        <v>96.625</v>
      </c>
      <c r="FV8">
        <f>SOFR3mo_PX[[#This Row],[Column178]]</f>
        <v>96.594999999999999</v>
      </c>
      <c r="FW8">
        <f>SOFR3mo_PX[[#This Row],[Column179]]</f>
        <v>96.655000000000001</v>
      </c>
      <c r="FX8">
        <f>SOFR3mo_PX[[#This Row],[Column180]]</f>
        <v>96.63</v>
      </c>
      <c r="FY8">
        <f>SOFR3mo_PX[[#This Row],[Column181]]</f>
        <v>96.575000000000003</v>
      </c>
      <c r="FZ8">
        <f>SOFR3mo_PX[[#This Row],[Column182]]</f>
        <v>96.64</v>
      </c>
      <c r="GA8">
        <f>SOFR3mo_PX[[#This Row],[Column183]]</f>
        <v>96.564999999999998</v>
      </c>
      <c r="GB8">
        <f>SOFR3mo_PX[[#This Row],[Column184]]</f>
        <v>96.55</v>
      </c>
      <c r="GC8">
        <f>SOFR3mo_PX[[#This Row],[Column185]]</f>
        <v>96.6</v>
      </c>
      <c r="GD8">
        <f>SOFR3mo_PX[[#This Row],[Column186]]</f>
        <v>96.575000000000003</v>
      </c>
      <c r="GE8">
        <f>SOFR3mo_PX[[#This Row],[Column187]]</f>
        <v>96.665000000000006</v>
      </c>
      <c r="GF8">
        <f>SOFR3mo_PX[[#This Row],[Column188]]</f>
        <v>96.924999999999997</v>
      </c>
      <c r="GG8">
        <f>SOFR3mo_PX[[#This Row],[Column189]]</f>
        <v>97.01</v>
      </c>
      <c r="GH8">
        <f>SOFR3mo_PX[[#This Row],[Column190]]</f>
        <v>97.05</v>
      </c>
      <c r="GI8">
        <f>SOFR3mo_PX[[#This Row],[Column191]]</f>
        <v>97</v>
      </c>
      <c r="GJ8">
        <f>SOFR3mo_PX[[#This Row],[Column192]]</f>
        <v>97.09</v>
      </c>
      <c r="GK8">
        <f>SOFR3mo_PX[[#This Row],[Column193]]</f>
        <v>97.03</v>
      </c>
      <c r="GL8">
        <f>SOFR3mo_PX[[#This Row],[Column194]]</f>
        <v>97.1</v>
      </c>
      <c r="GM8">
        <f>SOFR3mo_PX[[#This Row],[Column195]]</f>
        <v>97.14</v>
      </c>
      <c r="GN8">
        <f>SOFR3mo_PX[[#This Row],[Column196]]</f>
        <v>97.105000000000004</v>
      </c>
      <c r="GO8">
        <f>SOFR3mo_PX[[#This Row],[Column197]]</f>
        <v>97.105000000000004</v>
      </c>
      <c r="GP8">
        <f>SOFR3mo_PX[[#This Row],[Column198]]</f>
        <v>97.08</v>
      </c>
      <c r="GQ8">
        <f>SOFR3mo_PX[[#This Row],[Column199]]</f>
        <v>97.084999999999994</v>
      </c>
      <c r="GR8">
        <f>SOFR3mo_PX[[#This Row],[Column200]]</f>
        <v>97.075000000000003</v>
      </c>
      <c r="GS8">
        <f>SOFR3mo_PX[[#This Row],[Column201]]</f>
        <v>97.135000000000005</v>
      </c>
      <c r="GT8">
        <f>SOFR3mo_PX[[#This Row],[Column202]]</f>
        <v>97.12</v>
      </c>
      <c r="GU8">
        <f>SOFR3mo_PX[[#This Row],[Column203]]</f>
        <v>97.07</v>
      </c>
      <c r="GV8">
        <f>SOFR3mo_PX[[#This Row],[Column204]]</f>
        <v>97.084999999999994</v>
      </c>
      <c r="GW8">
        <f>SOFR3mo_PX[[#This Row],[Column205]]</f>
        <v>97.12</v>
      </c>
      <c r="GX8">
        <f>SOFR3mo_PX[[#This Row],[Column206]]</f>
        <v>97.05</v>
      </c>
      <c r="GY8">
        <f>SOFR3mo_PX[[#This Row],[Column207]]</f>
        <v>97.075000000000003</v>
      </c>
      <c r="GZ8">
        <f>SOFR3mo_PX[[#This Row],[Column208]]</f>
        <v>96.924999999999997</v>
      </c>
      <c r="HA8">
        <f>SOFR3mo_PX[[#This Row],[Column209]]</f>
        <v>96.91</v>
      </c>
      <c r="HB8">
        <f>SOFR3mo_PX[[#This Row],[Column210]]</f>
        <v>96.765000000000001</v>
      </c>
      <c r="HC8">
        <f>SOFR3mo_PX[[#This Row],[Column211]]</f>
        <v>96.724999999999994</v>
      </c>
      <c r="HD8">
        <f>SOFR3mo_PX[[#This Row],[Column212]]</f>
        <v>96.724999999999994</v>
      </c>
      <c r="HE8">
        <f>SOFR3mo_PX[[#This Row],[Column213]]</f>
        <v>96.765000000000001</v>
      </c>
      <c r="HF8">
        <f>SOFR3mo_PX[[#This Row],[Column214]]</f>
        <v>96.784999999999997</v>
      </c>
      <c r="HG8">
        <f>SOFR3mo_PX[[#This Row],[Column215]]</f>
        <v>96.795000000000002</v>
      </c>
      <c r="HH8">
        <f>SOFR3mo_PX[[#This Row],[Column216]]</f>
        <v>96.765000000000001</v>
      </c>
      <c r="HI8">
        <f>SOFR3mo_PX[[#This Row],[Column217]]</f>
        <v>96.78</v>
      </c>
      <c r="HJ8">
        <f>SOFR3mo_PX[[#This Row],[Column218]]</f>
        <v>96.674999999999997</v>
      </c>
      <c r="HK8">
        <f>SOFR3mo_PX[[#This Row],[Column219]]</f>
        <v>96.78</v>
      </c>
      <c r="HL8">
        <f>SOFR3mo_PX[[#This Row],[Column220]]</f>
        <v>96.69</v>
      </c>
      <c r="HM8">
        <f>SOFR3mo_PX[[#This Row],[Column221]]</f>
        <v>96.61</v>
      </c>
      <c r="HN8">
        <f>SOFR3mo_PX[[#This Row],[Column222]]</f>
        <v>96.605000000000004</v>
      </c>
      <c r="HO8">
        <f>SOFR3mo_PX[[#This Row],[Column223]]</f>
        <v>96.575000000000003</v>
      </c>
      <c r="HP8">
        <f>SOFR3mo_PX[[#This Row],[Column224]]</f>
        <v>96.775000000000006</v>
      </c>
      <c r="HQ8">
        <f>SOFR3mo_PX[[#This Row],[Column225]]</f>
        <v>96.78</v>
      </c>
      <c r="HR8">
        <f>SOFR3mo_PX[[#This Row],[Column226]]</f>
        <v>96.685000000000002</v>
      </c>
      <c r="HS8">
        <f>SOFR3mo_PX[[#This Row],[Column227]]</f>
        <v>96.635000000000005</v>
      </c>
      <c r="HT8">
        <f>SOFR3mo_PX[[#This Row],[Column228]]</f>
        <v>96.644999999999996</v>
      </c>
      <c r="HU8">
        <f>SOFR3mo_PX[[#This Row],[Column229]]</f>
        <v>96.694999999999993</v>
      </c>
      <c r="HV8">
        <f>SOFR3mo_PX[[#This Row],[Column230]]</f>
        <v>96.72</v>
      </c>
      <c r="HW8">
        <f>SOFR3mo_PX[[#This Row],[Column231]]</f>
        <v>96.814999999999998</v>
      </c>
      <c r="HX8">
        <f>SOFR3mo_PX[[#This Row],[Column232]]</f>
        <v>96.855000000000004</v>
      </c>
      <c r="HY8">
        <f>SOFR3mo_PX[[#This Row],[Column233]]</f>
        <v>96.53</v>
      </c>
      <c r="HZ8">
        <f>SOFR3mo_PX[[#This Row],[Column234]]</f>
        <v>96.305000000000007</v>
      </c>
      <c r="IA8">
        <f>SOFR3mo_PX[[#This Row],[Column235]]</f>
        <v>96.28</v>
      </c>
      <c r="IB8">
        <f>SOFR3mo_PX[[#This Row],[Column236]]</f>
        <v>96.24</v>
      </c>
      <c r="IC8">
        <f>SOFR3mo_PX[[#This Row],[Column237]]</f>
        <v>96.234999999999999</v>
      </c>
      <c r="ID8">
        <f>SOFR3mo_PX[[#This Row],[Column238]]</f>
        <v>96.185000000000002</v>
      </c>
      <c r="IE8">
        <f>SOFR3mo_PX[[#This Row],[Column239]]</f>
        <v>96.22</v>
      </c>
      <c r="IF8">
        <f>SOFR3mo_PX[[#This Row],[Column240]]</f>
        <v>96.185000000000002</v>
      </c>
      <c r="IG8">
        <f>SOFR3mo_PX[[#This Row],[Column241]]</f>
        <v>96.14</v>
      </c>
      <c r="IH8">
        <f>SOFR3mo_PX[[#This Row],[Column242]]</f>
        <v>96.16</v>
      </c>
      <c r="II8">
        <f>SOFR3mo_PX[[#This Row],[Column243]]</f>
        <v>96.224999999999994</v>
      </c>
      <c r="IJ8">
        <f>SOFR3mo_PX[[#This Row],[Column244]]</f>
        <v>96.26</v>
      </c>
      <c r="IK8">
        <f>SOFR3mo_PX[[#This Row],[Column245]]</f>
        <v>96.24</v>
      </c>
      <c r="IL8">
        <f>SOFR3mo_PX[[#This Row],[Column246]]</f>
        <v>96.24</v>
      </c>
      <c r="IM8">
        <f>SOFR3mo_PX[[#This Row],[Column247]]</f>
        <v>96.224999999999994</v>
      </c>
      <c r="IN8">
        <f>SOFR3mo_PX[[#This Row],[Column248]]</f>
        <v>96.18</v>
      </c>
      <c r="IO8">
        <f>SOFR3mo_PX[[#This Row],[Column249]]</f>
        <v>96.015000000000001</v>
      </c>
      <c r="IP8">
        <f>SOFR3mo_PX[[#This Row],[Column250]]</f>
        <v>96.01</v>
      </c>
      <c r="IQ8">
        <f>SOFR3mo_PX[[#This Row],[Column251]]</f>
        <v>96.015000000000001</v>
      </c>
      <c r="IR8">
        <f>SOFR3mo_PX[[#This Row],[Column252]]</f>
        <v>96.034999999999997</v>
      </c>
      <c r="IS8">
        <f>SOFR3mo_PX[[#This Row],[Column253]]</f>
        <v>95.9</v>
      </c>
      <c r="IT8">
        <f>SOFR3mo_PX[[#This Row],[Column254]]</f>
        <v>95.9</v>
      </c>
      <c r="IU8">
        <f>SOFR3mo_PX[[#This Row],[Column255]]</f>
        <v>95.834999999999994</v>
      </c>
      <c r="IV8">
        <f>SOFR3mo_PX[[#This Row],[Column256]]</f>
        <v>95.795000000000002</v>
      </c>
      <c r="IW8">
        <f>SOFR3mo_PX[[#This Row],[Column257]]</f>
        <v>95.88</v>
      </c>
      <c r="IX8">
        <f>SOFR3mo_PX[[#This Row],[Column258]]</f>
        <v>95.875</v>
      </c>
      <c r="IY8">
        <f>SOFR3mo_PX[[#This Row],[Column259]]</f>
        <v>95.84</v>
      </c>
      <c r="IZ8">
        <f>SOFR3mo_PX[[#This Row],[Column260]]</f>
        <v>95.924999999999997</v>
      </c>
      <c r="JA8">
        <f>SOFR3mo_PX[[#This Row],[Column261]]</f>
        <v>95.93</v>
      </c>
      <c r="JB8">
        <f>SOFR3mo_PX[[#This Row],[Column262]]</f>
        <v>95.935000000000002</v>
      </c>
      <c r="JC8">
        <f>SOFR3mo_PX[[#This Row],[Column263]]</f>
        <v>95.935000000000002</v>
      </c>
      <c r="JD8">
        <f>SOFR3mo_PX[[#This Row],[Column264]]</f>
        <v>95.765000000000001</v>
      </c>
      <c r="JE8">
        <f>SOFR3mo_PX[[#This Row],[Column265]]</f>
        <v>95.765000000000001</v>
      </c>
      <c r="JF8">
        <f>SOFR3mo_PX[[#This Row],[Column266]]</f>
        <v>95.69</v>
      </c>
      <c r="JG8">
        <f>SOFR3mo_PX[[#This Row],[Column267]]</f>
        <v>95.79</v>
      </c>
      <c r="JH8">
        <f>SOFR3mo_PX[[#This Row],[Column268]]</f>
        <v>95.775000000000006</v>
      </c>
      <c r="JI8">
        <f>SOFR3mo_PX[[#This Row],[Column269]]</f>
        <v>95.68</v>
      </c>
      <c r="JJ8">
        <f>SOFR3mo_PX[[#This Row],[Column270]]</f>
        <v>95.56</v>
      </c>
      <c r="JK8">
        <f>SOFR3mo_PX[[#This Row],[Column271]]</f>
        <v>95.5</v>
      </c>
      <c r="JL8">
        <f>SOFR3mo_PX[[#This Row],[Column272]]</f>
        <v>95.504999999999995</v>
      </c>
      <c r="JM8">
        <f>SOFR3mo_PX[[#This Row],[Column273]]</f>
        <v>95.694999999999993</v>
      </c>
      <c r="JN8">
        <f>SOFR3mo_PX[[#This Row],[Column274]]</f>
        <v>95.674999999999997</v>
      </c>
      <c r="JO8">
        <f>SOFR3mo_PX[[#This Row],[Column275]]</f>
        <v>95.62</v>
      </c>
      <c r="JP8">
        <f>SOFR3mo_PX[[#This Row],[Column276]]</f>
        <v>95.55</v>
      </c>
      <c r="JQ8">
        <f>SOFR3mo_PX[[#This Row],[Column277]]</f>
        <v>95.45</v>
      </c>
      <c r="JR8">
        <f>SOFR3mo_PX[[#This Row],[Column278]]</f>
        <v>95.4</v>
      </c>
      <c r="JS8">
        <f>SOFR3mo_PX[[#This Row],[Column279]]</f>
        <v>95.334999999999994</v>
      </c>
      <c r="JT8">
        <f>SOFR3mo_PX[[#This Row],[Column280]]</f>
        <v>95.37</v>
      </c>
      <c r="JU8">
        <f>SOFR3mo_PX[[#This Row],[Column281]]</f>
        <v>95.4</v>
      </c>
      <c r="JV8">
        <f>SOFR3mo_PX[[#This Row],[Column282]]</f>
        <v>95.4</v>
      </c>
      <c r="JW8">
        <f>SOFR3mo_PX[[#This Row],[Column283]]</f>
        <v>95.42</v>
      </c>
      <c r="JX8">
        <f>SOFR3mo_PX[[#This Row],[Column284]]</f>
        <v>95.5</v>
      </c>
      <c r="JY8">
        <f>SOFR3mo_PX[[#This Row],[Column285]]</f>
        <v>95.57</v>
      </c>
      <c r="JZ8">
        <f>SOFR3mo_PX[[#This Row],[Column286]]</f>
        <v>95.555000000000007</v>
      </c>
      <c r="KA8">
        <f>SOFR3mo_PX[[#This Row],[Column287]]</f>
        <v>95.575000000000003</v>
      </c>
      <c r="KB8">
        <f>SOFR3mo_PX[[#This Row],[Column288]]</f>
        <v>95.625</v>
      </c>
      <c r="KC8">
        <f>SOFR3mo_PX[[#This Row],[Column289]]</f>
        <v>95.704999999999998</v>
      </c>
      <c r="KD8">
        <f>SOFR3mo_PX[[#This Row],[Column290]]</f>
        <v>95.584999999999994</v>
      </c>
      <c r="KE8">
        <f>SOFR3mo_PX[[#This Row],[Column291]]</f>
        <v>95.534999999999997</v>
      </c>
      <c r="KF8">
        <f>SOFR3mo_PX[[#This Row],[Column292]]</f>
        <v>95.525000000000006</v>
      </c>
      <c r="KG8">
        <f>SOFR3mo_PX[[#This Row],[Column293]]</f>
        <v>95.61</v>
      </c>
      <c r="KH8">
        <f>SOFR3mo_PX[[#This Row],[Column294]]</f>
        <v>95.564999999999998</v>
      </c>
      <c r="KI8">
        <f>SOFR3mo_PX[[#This Row],[Column295]]</f>
        <v>95.594999999999999</v>
      </c>
      <c r="KJ8">
        <f>SOFR3mo_PX[[#This Row],[Column296]]</f>
        <v>95.6</v>
      </c>
      <c r="KK8">
        <f>SOFR3mo_PX[[#This Row],[Column297]]</f>
        <v>95.62</v>
      </c>
      <c r="KL8">
        <f>SOFR3mo_PX[[#This Row],[Column298]]</f>
        <v>95.5</v>
      </c>
      <c r="KM8">
        <f>SOFR3mo_PX[[#This Row],[Column299]]</f>
        <v>95.41</v>
      </c>
      <c r="KN8">
        <f>SOFR3mo_PX[[#This Row],[Column300]]</f>
        <v>95.28</v>
      </c>
      <c r="KO8">
        <f>SOFR3mo_PX[[#This Row],[Column301]]</f>
        <v>95.38</v>
      </c>
      <c r="KP8">
        <f>SOFR3mo_PX[[#This Row],[Column302]]</f>
        <v>95.35</v>
      </c>
      <c r="KQ8">
        <f>SOFR3mo_PX[[#This Row],[Column303]]</f>
        <v>95.35</v>
      </c>
      <c r="KR8">
        <f>SOFR3mo_PX[[#This Row],[Column304]]</f>
        <v>95.44</v>
      </c>
      <c r="KS8">
        <f>SOFR3mo_PX[[#This Row],[Column305]]</f>
        <v>95.484999999999999</v>
      </c>
      <c r="KT8">
        <f>SOFR3mo_PX[[#This Row],[Column306]]</f>
        <v>95.424999999999997</v>
      </c>
      <c r="KU8">
        <f>SOFR3mo_PX[[#This Row],[Column307]]</f>
        <v>95.42</v>
      </c>
      <c r="KV8">
        <f>SOFR3mo_PX[[#This Row],[Column308]]</f>
        <v>95.39</v>
      </c>
      <c r="KW8">
        <f>SOFR3mo_PX[[#This Row],[Column309]]</f>
        <v>95.48</v>
      </c>
      <c r="KX8">
        <f>SOFR3mo_PX[[#This Row],[Column310]]</f>
        <v>95.43</v>
      </c>
      <c r="KY8">
        <f>SOFR3mo_PX[[#This Row],[Column311]]</f>
        <v>95.46</v>
      </c>
      <c r="KZ8">
        <f>SOFR3mo_PX[[#This Row],[Column312]]</f>
        <v>95.53</v>
      </c>
      <c r="LA8">
        <f>SOFR3mo_PX[[#This Row],[Column313]]</f>
        <v>95.44</v>
      </c>
      <c r="LB8">
        <f>SOFR3mo_PX[[#This Row],[Column314]]</f>
        <v>95.444999999999993</v>
      </c>
      <c r="LC8">
        <f>SOFR3mo_PX[[#This Row],[Column315]]</f>
        <v>95.745000000000005</v>
      </c>
      <c r="LD8">
        <f>SOFR3mo_PX[[#This Row],[Column316]]</f>
        <v>95.694999999999993</v>
      </c>
      <c r="LE8">
        <f>SOFR3mo_PX[[#This Row],[Column317]]</f>
        <v>95.77</v>
      </c>
      <c r="LF8">
        <f>SOFR3mo_PX[[#This Row],[Column318]]</f>
        <v>95.885000000000005</v>
      </c>
      <c r="LG8">
        <f>SOFR3mo_PX[[#This Row],[Column319]]</f>
        <v>95.85</v>
      </c>
      <c r="LH8">
        <f>SOFR3mo_PX[[#This Row],[Column320]]</f>
        <v>95.825000000000003</v>
      </c>
      <c r="LI8">
        <f>SOFR3mo_PX[[#This Row],[Column321]]</f>
        <v>95.81</v>
      </c>
      <c r="LJ8">
        <f>SOFR3mo_PX[[#This Row],[Column322]]</f>
        <v>95.935000000000002</v>
      </c>
      <c r="LK8">
        <f>SOFR3mo_PX[[#This Row],[Column323]]</f>
        <v>95.935000000000002</v>
      </c>
      <c r="LL8">
        <f>SOFR3mo_PX[[#This Row],[Column324]]</f>
        <v>95.995000000000005</v>
      </c>
      <c r="LM8">
        <f>SOFR3mo_PX[[#This Row],[Column325]]</f>
        <v>95.96</v>
      </c>
      <c r="LN8">
        <f>SOFR3mo_PX[[#This Row],[Column326]]</f>
        <v>95.965000000000003</v>
      </c>
      <c r="LO8">
        <f>SOFR3mo_PX[[#This Row],[Column327]]</f>
        <v>96</v>
      </c>
      <c r="LP8">
        <f>SOFR3mo_PX[[#This Row],[Column328]]</f>
        <v>95.96</v>
      </c>
      <c r="LQ8">
        <f>SOFR3mo_PX[[#This Row],[Column329]]</f>
        <v>95.995000000000005</v>
      </c>
      <c r="LR8">
        <f>SOFR3mo_PX[[#This Row],[Column330]]</f>
        <v>95.674999999999997</v>
      </c>
      <c r="LS8">
        <f>SOFR3mo_PX[[#This Row],[Column331]]</f>
        <v>95.63</v>
      </c>
      <c r="LT8">
        <f>SOFR3mo_PX[[#This Row],[Column332]]</f>
        <v>95.655000000000001</v>
      </c>
      <c r="LU8">
        <f>SOFR3mo_PX[[#This Row],[Column333]]</f>
        <v>95.694999999999993</v>
      </c>
      <c r="LV8">
        <f>SOFR3mo_PX[[#This Row],[Column334]]</f>
        <v>95.79</v>
      </c>
      <c r="LW8">
        <f>SOFR3mo_PX[[#This Row],[Column335]]</f>
        <v>95.825000000000003</v>
      </c>
      <c r="LX8">
        <f>SOFR3mo_PX[[#This Row],[Column336]]</f>
        <v>95.915000000000006</v>
      </c>
      <c r="LY8">
        <f>SOFR3mo_PX[[#This Row],[Column337]]</f>
        <v>95.96</v>
      </c>
      <c r="LZ8">
        <f>SOFR3mo_PX[[#This Row],[Column338]]</f>
        <v>95.92</v>
      </c>
      <c r="MA8">
        <f>SOFR3mo_PX[[#This Row],[Column339]]</f>
        <v>95.864999999999995</v>
      </c>
      <c r="MB8">
        <f>SOFR3mo_PX[[#This Row],[Column340]]</f>
        <v>95.875</v>
      </c>
      <c r="MC8">
        <f>SOFR3mo_PX[[#This Row],[Column341]]</f>
        <v>95.81</v>
      </c>
      <c r="MD8">
        <f>SOFR3mo_PX[[#This Row],[Column342]]</f>
        <v>95.894999999999996</v>
      </c>
      <c r="ME8">
        <f>SOFR3mo_PX[[#This Row],[Column343]]</f>
        <v>95.784999999999997</v>
      </c>
      <c r="MF8">
        <f>SOFR3mo_PX[[#This Row],[Column344]]</f>
        <v>95.795000000000002</v>
      </c>
      <c r="MG8">
        <f>SOFR3mo_PX[[#This Row],[Column345]]</f>
        <v>95.724999999999994</v>
      </c>
      <c r="MH8">
        <f>SOFR3mo_PX[[#This Row],[Column346]]</f>
        <v>95.74</v>
      </c>
      <c r="MI8">
        <f>SOFR3mo_PX[[#This Row],[Column347]]</f>
        <v>95.79</v>
      </c>
      <c r="MJ8">
        <f>SOFR3mo_PX[[#This Row],[Column348]]</f>
        <v>95.765000000000001</v>
      </c>
      <c r="MK8">
        <f>SOFR3mo_PX[[#This Row],[Column349]]</f>
        <v>95.844999999999999</v>
      </c>
      <c r="ML8">
        <f>SOFR3mo_PX[[#This Row],[Column350]]</f>
        <v>95.9</v>
      </c>
      <c r="MM8">
        <f>SOFR3mo_PX[[#This Row],[Column351]]</f>
        <v>95.86</v>
      </c>
      <c r="MN8">
        <f>SOFR3mo_PX[[#This Row],[Column352]]</f>
        <v>95.86</v>
      </c>
      <c r="MO8">
        <f>SOFR3mo_PX[[#This Row],[Column353]]</f>
        <v>95.954999999999998</v>
      </c>
      <c r="MP8">
        <f>SOFR3mo_PX[[#This Row],[Column354]]</f>
        <v>95.95</v>
      </c>
      <c r="MQ8">
        <f>SOFR3mo_PX[[#This Row],[Column355]]</f>
        <v>95.86</v>
      </c>
      <c r="MR8">
        <f>SOFR3mo_PX[[#This Row],[Column356]]</f>
        <v>96.11</v>
      </c>
      <c r="MS8">
        <f>SOFR3mo_PX[[#This Row],[Column357]]</f>
        <v>96.094999999999999</v>
      </c>
      <c r="MT8">
        <f>SOFR3mo_PX[[#This Row],[Column358]]</f>
        <v>96.15</v>
      </c>
      <c r="MU8">
        <f>SOFR3mo_PX[[#This Row],[Column359]]</f>
        <v>96.194999999999993</v>
      </c>
      <c r="MV8">
        <f>SOFR3mo_PX[[#This Row],[Column360]]</f>
        <v>96.215000000000003</v>
      </c>
      <c r="MW8">
        <f>SOFR3mo_PX[[#This Row],[Column361]]</f>
        <v>96.135000000000005</v>
      </c>
      <c r="MX8">
        <f>SOFR3mo_PX[[#This Row],[Column362]]</f>
        <v>96.26</v>
      </c>
      <c r="MY8">
        <f>SOFR3mo_PX[[#This Row],[Column363]]</f>
        <v>96.495000000000005</v>
      </c>
      <c r="MZ8">
        <f>SOFR3mo_PX[[#This Row],[Column364]]</f>
        <v>96.46</v>
      </c>
      <c r="NA8">
        <f>SOFR3mo_PX[[#This Row],[Column365]]</f>
        <v>96.29</v>
      </c>
      <c r="NB8">
        <f>SOFR3mo_PX[[#This Row],[Column366]]</f>
        <v>96.36</v>
      </c>
      <c r="NC8">
        <f>SOFR3mo_PX[[#This Row],[Column367]]</f>
        <v>96.295000000000002</v>
      </c>
      <c r="ND8">
        <f>SOFR3mo_PX[[#This Row],[Column368]]</f>
        <v>96.375</v>
      </c>
      <c r="NE8">
        <f>SOFR3mo_PX[[#This Row],[Column369]]</f>
        <v>96.3</v>
      </c>
      <c r="NF8">
        <f>SOFR3mo_PX[[#This Row],[Column370]]</f>
        <v>96.325000000000003</v>
      </c>
      <c r="NG8">
        <f>SOFR3mo_PX[[#This Row],[Column371]]</f>
        <v>96.334999999999994</v>
      </c>
      <c r="NH8">
        <f>SOFR3mo_PX[[#This Row],[Column372]]</f>
        <v>96.3</v>
      </c>
      <c r="NI8">
        <f>SOFR3mo_PX[[#This Row],[Column373]]</f>
        <v>96.37</v>
      </c>
      <c r="NJ8">
        <f>SOFR3mo_PX[[#This Row],[Column374]]</f>
        <v>96.37</v>
      </c>
      <c r="NK8">
        <f>SOFR3mo_PX[[#This Row],[Column375]]</f>
        <v>96.545000000000002</v>
      </c>
      <c r="NL8">
        <f>SOFR3mo_PX[[#This Row],[Column376]]</f>
        <v>96.644999999999996</v>
      </c>
      <c r="NM8">
        <f>SOFR3mo_PX[[#This Row],[Column377]]</f>
        <v>96.644999999999996</v>
      </c>
      <c r="NN8">
        <f>SOFR3mo_PX[[#This Row],[Column378]]</f>
        <v>96.51</v>
      </c>
      <c r="NO8">
        <f>SOFR3mo_PX[[#This Row],[Column379]]</f>
        <v>96.364999999999995</v>
      </c>
      <c r="NP8">
        <f>SOFR3mo_PX[[#This Row],[Column380]]</f>
        <v>96.36</v>
      </c>
      <c r="NQ8">
        <f>SOFR3mo_PX[[#This Row],[Column381]]</f>
        <v>96.39</v>
      </c>
      <c r="NR8">
        <f>SOFR3mo_PX[[#This Row],[Column382]]</f>
        <v>96.355000000000004</v>
      </c>
      <c r="NS8">
        <f>SOFR3mo_PX[[#This Row],[Column383]]</f>
        <v>96.375</v>
      </c>
      <c r="NT8">
        <f>SOFR3mo_PX[[#This Row],[Column384]]</f>
        <v>96.474999999999994</v>
      </c>
      <c r="NU8">
        <f>SOFR3mo_PX[[#This Row],[Column385]]</f>
        <v>96.47</v>
      </c>
      <c r="NV8">
        <f>SOFR3mo_PX[[#This Row],[Column386]]</f>
        <v>96.58</v>
      </c>
      <c r="NW8">
        <f>SOFR3mo_PX[[#This Row],[Column387]]</f>
        <v>96.58</v>
      </c>
      <c r="NX8">
        <f>SOFR3mo_PX[[#This Row],[Column388]]</f>
        <v>96.54</v>
      </c>
      <c r="NY8">
        <f>SOFR3mo_PX[[#This Row],[Column389]]</f>
        <v>96.59</v>
      </c>
      <c r="NZ8">
        <f>SOFR3mo_PX[[#This Row],[Column390]]</f>
        <v>96.52</v>
      </c>
      <c r="OA8">
        <f>SOFR3mo_PX[[#This Row],[Column391]]</f>
        <v>96.525000000000006</v>
      </c>
      <c r="OB8">
        <f>SOFR3mo_PX[[#This Row],[Column392]]</f>
        <v>96.525000000000006</v>
      </c>
      <c r="OC8">
        <f>SOFR3mo_PX[[#This Row],[Column393]]</f>
        <v>96.53</v>
      </c>
      <c r="OD8">
        <f>SOFR3mo_PX[[#This Row],[Column394]]</f>
        <v>96.5</v>
      </c>
      <c r="OE8">
        <f>SOFR3mo_PX[[#This Row],[Column395]]</f>
        <v>96.11</v>
      </c>
      <c r="OF8">
        <f>SOFR3mo_PX[[#This Row],[Column396]]</f>
        <v>96.094999999999999</v>
      </c>
      <c r="OG8">
        <f>SOFR3mo_PX[[#This Row],[Column397]]</f>
        <v>96.09</v>
      </c>
      <c r="OH8">
        <f>SOFR3mo_PX[[#This Row],[Column398]]</f>
        <v>96.17</v>
      </c>
      <c r="OI8">
        <f>SOFR3mo_PX[[#This Row],[Column399]]</f>
        <v>96.075000000000003</v>
      </c>
      <c r="OJ8">
        <f>SOFR3mo_PX[[#This Row],[Column400]]</f>
        <v>95.765000000000001</v>
      </c>
      <c r="OK8">
        <f>SOFR3mo_PX[[#This Row],[Column401]]</f>
        <v>95.78</v>
      </c>
      <c r="OL8">
        <f>SOFR3mo_PX[[#This Row],[Column402]]</f>
        <v>95.765000000000001</v>
      </c>
      <c r="OM8">
        <f>SOFR3mo_PX[[#This Row],[Column403]]</f>
        <v>95.97</v>
      </c>
      <c r="ON8">
        <f>SOFR3mo_PX[[#This Row],[Column404]]</f>
        <v>95.935000000000002</v>
      </c>
      <c r="OO8">
        <f>SOFR3mo_PX[[#This Row],[Column405]]</f>
        <v>95.995000000000005</v>
      </c>
      <c r="OP8">
        <f>SOFR3mo_PX[[#This Row],[Column406]]</f>
        <v>95.915000000000006</v>
      </c>
      <c r="OQ8">
        <f>SOFR3mo_PX[[#This Row],[Column407]]</f>
        <v>96.01</v>
      </c>
      <c r="OR8">
        <f>SOFR3mo_PX[[#This Row],[Column408]]</f>
        <v>95.795000000000002</v>
      </c>
      <c r="OS8">
        <f>SOFR3mo_PX[[#This Row],[Column409]]</f>
        <v>95.88</v>
      </c>
      <c r="OT8">
        <f>SOFR3mo_PX[[#This Row],[Column410]]</f>
        <v>95.734999999999999</v>
      </c>
      <c r="OU8">
        <f>SOFR3mo_PX[[#This Row],[Column411]]</f>
        <v>95.58</v>
      </c>
      <c r="OV8">
        <f>SOFR3mo_PX[[#This Row],[Column412]]</f>
        <v>95.515000000000001</v>
      </c>
      <c r="OW8">
        <f>SOFR3mo_PX[[#This Row],[Column413]]</f>
        <v>95.57</v>
      </c>
      <c r="OX8">
        <f>SOFR3mo_PX[[#This Row],[Column414]]</f>
        <v>95.57</v>
      </c>
      <c r="OY8">
        <f>SOFR3mo_PX[[#This Row],[Column415]]</f>
        <v>95.614999999999995</v>
      </c>
      <c r="OZ8">
        <f>SOFR3mo_PX[[#This Row],[Column416]]</f>
        <v>95.58</v>
      </c>
      <c r="PA8">
        <f>SOFR3mo_PX[[#This Row],[Column417]]</f>
        <v>95.594999999999999</v>
      </c>
      <c r="PB8">
        <f>SOFR3mo_PX[[#This Row],[Column418]]</f>
        <v>95.67</v>
      </c>
      <c r="PC8">
        <f>SOFR3mo_PX[[#This Row],[Column419]]</f>
        <v>95.58</v>
      </c>
      <c r="PD8">
        <f>SOFR3mo_PX[[#This Row],[Column420]]</f>
        <v>95.704999999999998</v>
      </c>
      <c r="PE8">
        <f>SOFR3mo_PX[[#This Row],[Column421]]</f>
        <v>95.435000000000002</v>
      </c>
      <c r="PF8">
        <f>SOFR3mo_PX[[#This Row],[Column422]]</f>
        <v>95.405000000000001</v>
      </c>
      <c r="PG8">
        <f>SOFR3mo_PX[[#This Row],[Column423]]</f>
        <v>95.46</v>
      </c>
      <c r="PH8">
        <f>SOFR3mo_PX[[#This Row],[Column424]]</f>
        <v>95.56</v>
      </c>
      <c r="PI8">
        <f>SOFR3mo_PX[[#This Row],[Column425]]</f>
        <v>95.59</v>
      </c>
      <c r="PJ8">
        <f>SOFR3mo_PX[[#This Row],[Column426]]</f>
        <v>95.54</v>
      </c>
      <c r="PK8">
        <f>SOFR3mo_PX[[#This Row],[Column427]]</f>
        <v>95.685000000000002</v>
      </c>
      <c r="PL8">
        <f>SOFR3mo_PX[[#This Row],[Column428]]</f>
        <v>95.495000000000005</v>
      </c>
      <c r="PM8">
        <f>SOFR3mo_PX[[#This Row],[Column429]]</f>
        <v>95.495000000000005</v>
      </c>
      <c r="PN8">
        <f>SOFR3mo_PX[[#This Row],[Column430]]</f>
        <v>95.355000000000004</v>
      </c>
      <c r="PO8">
        <f>SOFR3mo_PX[[#This Row],[Column431]]</f>
        <v>95.405000000000001</v>
      </c>
      <c r="PP8">
        <f>SOFR3mo_PX[[#This Row],[Column432]]</f>
        <v>95.435000000000002</v>
      </c>
      <c r="PQ8">
        <f>SOFR3mo_PX[[#This Row],[Column433]]</f>
        <v>95.405000000000001</v>
      </c>
      <c r="PR8">
        <f>SOFR3mo_PX[[#This Row],[Column434]]</f>
        <v>95.3</v>
      </c>
      <c r="PS8">
        <f>SOFR3mo_PX[[#This Row],[Column435]]</f>
        <v>95.36</v>
      </c>
      <c r="PT8">
        <f>SOFR3mo_PX[[#This Row],[Column436]]</f>
        <v>95.42</v>
      </c>
      <c r="PU8">
        <f>SOFR3mo_PX[[#This Row],[Column437]]</f>
        <v>95.36</v>
      </c>
      <c r="PV8">
        <f>SOFR3mo_PX[[#This Row],[Column438]]</f>
        <v>95.245000000000005</v>
      </c>
      <c r="PW8">
        <f>SOFR3mo_PX[[#This Row],[Column439]]</f>
        <v>95.194999999999993</v>
      </c>
      <c r="PX8">
        <f>SOFR3mo_PX[[#This Row],[Column440]]</f>
        <v>95.21</v>
      </c>
      <c r="PY8">
        <f>SOFR3mo_PX[[#This Row],[Column441]]</f>
        <v>95.35</v>
      </c>
      <c r="PZ8">
        <f>SOFR3mo_PX[[#This Row],[Column442]]</f>
        <v>95.394999999999996</v>
      </c>
      <c r="QA8">
        <f>SOFR3mo_PX[[#This Row],[Column443]]</f>
        <v>95.39</v>
      </c>
      <c r="QB8">
        <f>SOFR3mo_PX[[#This Row],[Column444]]</f>
        <v>95.474999999999994</v>
      </c>
      <c r="QC8">
        <f>SOFR3mo_PX[[#This Row],[Column445]]</f>
        <v>95.515000000000001</v>
      </c>
      <c r="QD8">
        <f>SOFR3mo_PX[[#This Row],[Column446]]</f>
        <v>95.564999999999998</v>
      </c>
      <c r="QE8">
        <f>SOFR3mo_PX[[#This Row],[Column447]]</f>
        <v>95.385000000000005</v>
      </c>
      <c r="QF8">
        <f>SOFR3mo_PX[[#This Row],[Column448]]</f>
        <v>95.45</v>
      </c>
      <c r="QG8">
        <f>SOFR3mo_PX[[#This Row],[Column449]]</f>
        <v>95.405000000000001</v>
      </c>
      <c r="QH8">
        <f>SOFR3mo_PX[[#This Row],[Column450]]</f>
        <v>95.284999999999997</v>
      </c>
      <c r="QI8">
        <f>SOFR3mo_PX[[#This Row],[Column451]]</f>
        <v>95.314999999999998</v>
      </c>
      <c r="QJ8">
        <f>SOFR3mo_PX[[#This Row],[Column452]]</f>
        <v>95.41</v>
      </c>
      <c r="QK8">
        <f>SOFR3mo_PX[[#This Row],[Column453]]</f>
        <v>95.385000000000005</v>
      </c>
      <c r="QL8">
        <f>SOFR3mo_PX[[#This Row],[Column454]]</f>
        <v>95.284999999999997</v>
      </c>
      <c r="QM8">
        <f>SOFR3mo_PX[[#This Row],[Column455]]</f>
        <v>95.35</v>
      </c>
      <c r="QN8">
        <f>SOFR3mo_PX[[#This Row],[Column456]]</f>
        <v>95.34</v>
      </c>
      <c r="QO8">
        <f>SOFR3mo_PX[[#This Row],[Column457]]</f>
        <v>95.355000000000004</v>
      </c>
      <c r="QP8">
        <f>SOFR3mo_PX[[#This Row],[Column458]]</f>
        <v>95.32</v>
      </c>
      <c r="QQ8">
        <f>SOFR3mo_PX[[#This Row],[Column459]]</f>
        <v>95.38</v>
      </c>
      <c r="QR8">
        <f>SOFR3mo_PX[[#This Row],[Column460]]</f>
        <v>95.07</v>
      </c>
      <c r="QS8">
        <f>SOFR3mo_PX[[#This Row],[Column461]]</f>
        <v>95.144999999999996</v>
      </c>
      <c r="QT8">
        <f>SOFR3mo_PX[[#This Row],[Column462]]</f>
        <v>95.185000000000002</v>
      </c>
      <c r="QU8">
        <f>SOFR3mo_PX[[#This Row],[Column463]]</f>
        <v>95.23</v>
      </c>
      <c r="QV8">
        <f>SOFR3mo_PX[[#This Row],[Column464]]</f>
        <v>95.275000000000006</v>
      </c>
      <c r="QW8">
        <f>SOFR3mo_PX[[#This Row],[Column465]]</f>
        <v>95.254999999999995</v>
      </c>
      <c r="QX8">
        <f>SOFR3mo_PX[[#This Row],[Column466]]</f>
        <v>95.284999999999997</v>
      </c>
      <c r="QY8">
        <f>SOFR3mo_PX[[#This Row],[Column467]]</f>
        <v>95.295000000000002</v>
      </c>
      <c r="QZ8">
        <f>SOFR3mo_PX[[#This Row],[Column468]]</f>
        <v>95.35</v>
      </c>
      <c r="RA8">
        <f>SOFR3mo_PX[[#This Row],[Column469]]</f>
        <v>95.254999999999995</v>
      </c>
      <c r="RB8">
        <f>SOFR3mo_PX[[#This Row],[Column470]]</f>
        <v>95.33</v>
      </c>
      <c r="RC8">
        <f>SOFR3mo_PX[[#This Row],[Column471]]</f>
        <v>95.474999999999994</v>
      </c>
      <c r="RD8">
        <f>SOFR3mo_PX[[#This Row],[Column472]]</f>
        <v>95.474999999999994</v>
      </c>
      <c r="RE8">
        <f>SOFR3mo_PX[[#This Row],[Column473]]</f>
        <v>95.484999999999999</v>
      </c>
      <c r="RF8">
        <f>SOFR3mo_PX[[#This Row],[Column474]]</f>
        <v>95.454999999999998</v>
      </c>
      <c r="RG8">
        <f>SOFR3mo_PX[[#This Row],[Column475]]</f>
        <v>95.435000000000002</v>
      </c>
      <c r="RH8">
        <f>SOFR3mo_PX[[#This Row],[Column476]]</f>
        <v>95.28</v>
      </c>
      <c r="RI8">
        <f>SOFR3mo_PX[[#This Row],[Column477]]</f>
        <v>95.295000000000002</v>
      </c>
      <c r="RJ8">
        <f>SOFR3mo_PX[[#This Row],[Column478]]</f>
        <v>95.355000000000004</v>
      </c>
      <c r="RK8">
        <f>SOFR3mo_PX[[#This Row],[Column479]]</f>
        <v>95.46</v>
      </c>
      <c r="RL8">
        <f>SOFR3mo_PX[[#This Row],[Column480]]</f>
        <v>95.34</v>
      </c>
      <c r="RM8">
        <f>SOFR3mo_PX[[#This Row],[Column481]]</f>
        <v>95.4</v>
      </c>
      <c r="RN8">
        <f>SOFR3mo_PX[[#This Row],[Column482]]</f>
        <v>95.465000000000003</v>
      </c>
      <c r="RO8">
        <f>SOFR3mo_PX[[#This Row],[Column483]]</f>
        <v>95.44</v>
      </c>
      <c r="RP8">
        <f>SOFR3mo_PX[[#This Row],[Column484]]</f>
        <v>95.42</v>
      </c>
      <c r="RQ8">
        <f>SOFR3mo_PX[[#This Row],[Column485]]</f>
        <v>95.454999999999998</v>
      </c>
      <c r="RR8">
        <f>SOFR3mo_PX[[#This Row],[Column486]]</f>
        <v>95.45</v>
      </c>
      <c r="RS8">
        <f>SOFR3mo_PX[[#This Row],[Column487]]</f>
        <v>95.545000000000002</v>
      </c>
      <c r="RT8">
        <f>SOFR3mo_PX[[#This Row],[Column488]]</f>
        <v>95.64</v>
      </c>
      <c r="RU8">
        <f>SOFR3mo_PX[[#This Row],[Column489]]</f>
        <v>95.68</v>
      </c>
      <c r="RV8">
        <f>SOFR3mo_PX[[#This Row],[Column490]]</f>
        <v>95.73</v>
      </c>
      <c r="RW8">
        <f>SOFR3mo_PX[[#This Row],[Column491]]</f>
        <v>95.73</v>
      </c>
      <c r="RX8">
        <f>SOFR3mo_PX[[#This Row],[Column492]]</f>
        <v>95.68</v>
      </c>
      <c r="RY8">
        <f>SOFR3mo_PX[[#This Row],[Column493]]</f>
        <v>95.56</v>
      </c>
      <c r="RZ8">
        <f>SOFR3mo_PX[[#This Row],[Column494]]</f>
        <v>95.57</v>
      </c>
      <c r="SA8">
        <f>SOFR3mo_PX[[#This Row],[Column495]]</f>
        <v>95.5</v>
      </c>
      <c r="SB8">
        <f>SOFR3mo_PX[[#This Row],[Column496]]</f>
        <v>95.534999999999997</v>
      </c>
      <c r="SC8">
        <f>SOFR3mo_PX[[#This Row],[Column497]]</f>
        <v>95.5</v>
      </c>
      <c r="SD8">
        <f>SOFR3mo_PX[[#This Row],[Column498]]</f>
        <v>95.46</v>
      </c>
      <c r="SE8">
        <f>SOFR3mo_PX[[#This Row],[Column499]]</f>
        <v>95.635000000000005</v>
      </c>
      <c r="SF8">
        <f>SOFR3mo_PX[[#This Row],[Column500]]</f>
        <v>95.555000000000007</v>
      </c>
      <c r="SG8">
        <f>SOFR3mo_PX[[#This Row],[Column501]]</f>
        <v>95.61</v>
      </c>
      <c r="SH8">
        <f>SOFR3mo_PX[[#This Row],[Column502]]</f>
        <v>95.665000000000006</v>
      </c>
      <c r="SI8">
        <f>SOFR3mo_PX[[#This Row],[Column503]]</f>
        <v>95.7</v>
      </c>
      <c r="SJ8">
        <f>SOFR3mo_PX[[#This Row],[Column504]]</f>
        <v>95.81</v>
      </c>
      <c r="SK8">
        <f>SOFR3mo_PX[[#This Row],[Column505]]</f>
        <v>95.82</v>
      </c>
      <c r="SL8">
        <f>SOFR3mo_PX[[#This Row],[Column506]]</f>
        <v>95.85</v>
      </c>
      <c r="SM8">
        <f>SOFR3mo_PX[[#This Row],[Column507]]</f>
        <v>95.84</v>
      </c>
      <c r="SN8">
        <f>SOFR3mo_PX[[#This Row],[Column508]]</f>
        <v>96.03</v>
      </c>
      <c r="SO8">
        <f>SOFR3mo_PX[[#This Row],[Column509]]</f>
        <v>95.834999999999994</v>
      </c>
      <c r="SP8">
        <f>SOFR3mo_PX[[#This Row],[Column510]]</f>
        <v>95.62</v>
      </c>
      <c r="SQ8">
        <f>SOFR3mo_PX[[#This Row],[Column511]]</f>
        <v>95.65</v>
      </c>
      <c r="SR8">
        <f>SOFR3mo_PX[[#This Row],[Column512]]</f>
        <v>95.54</v>
      </c>
      <c r="SS8">
        <f>SOFR3mo_PX[[#This Row],[Column513]]</f>
        <v>95.46</v>
      </c>
      <c r="ST8">
        <f>SOFR3mo_PX[[#This Row],[Column514]]</f>
        <v>95.52</v>
      </c>
      <c r="SU8">
        <f>SOFR3mo_PX[[#This Row],[Column515]]</f>
        <v>95.555000000000007</v>
      </c>
      <c r="SV8">
        <f>SOFR3mo_PX[[#This Row],[Column516]]</f>
        <v>95.555000000000007</v>
      </c>
      <c r="SW8">
        <f>SOFR3mo_PX[[#This Row],[Column517]]</f>
        <v>95.63</v>
      </c>
      <c r="SX8">
        <f>SOFR3mo_PX[[#This Row],[Column518]]</f>
        <v>95.665000000000006</v>
      </c>
      <c r="SY8">
        <f>SOFR3mo_PX[[#This Row],[Column519]]</f>
        <v>95.87</v>
      </c>
      <c r="SZ8">
        <f>SOFR3mo_PX[[#This Row],[Column520]]</f>
        <v>95.8</v>
      </c>
      <c r="TA8">
        <f>SOFR3mo_PX[[#This Row],[Column521]]</f>
        <v>95.924999999999997</v>
      </c>
      <c r="TB8">
        <f>SOFR3mo_PX[[#This Row],[Column522]]</f>
        <v>95.905000000000001</v>
      </c>
      <c r="TC8">
        <f>SOFR3mo_PX[[#This Row],[Column523]]</f>
        <v>95.825000000000003</v>
      </c>
      <c r="TD8">
        <f>SOFR3mo_PX[[#This Row],[Column524]]</f>
        <v>95.974999999999994</v>
      </c>
      <c r="TE8">
        <f>SOFR3mo_PX[[#This Row],[Column525]]</f>
        <v>95.55</v>
      </c>
      <c r="TF8">
        <f>SOFR3mo_PX[[#This Row],[Column526]]</f>
        <v>95.525000000000006</v>
      </c>
      <c r="TG8">
        <f>SOFR3mo_PX[[#This Row],[Column527]]</f>
        <v>95.525000000000006</v>
      </c>
      <c r="TH8">
        <f>SOFR3mo_PX[[#This Row],[Column528]]</f>
        <v>95.62</v>
      </c>
      <c r="TI8">
        <f>SOFR3mo_PX[[#This Row],[Column529]]</f>
        <v>95.56</v>
      </c>
      <c r="TJ8">
        <f>SOFR3mo_PX[[#This Row],[Column530]]</f>
        <v>95.584999999999994</v>
      </c>
      <c r="TK8">
        <f>SOFR3mo_PX[[#This Row],[Column531]]</f>
        <v>95.76</v>
      </c>
      <c r="TL8">
        <f>SOFR3mo_PX[[#This Row],[Column532]]</f>
        <v>95.73</v>
      </c>
      <c r="TM8">
        <f>SOFR3mo_PX[[#This Row],[Column533]]</f>
        <v>95.86</v>
      </c>
      <c r="TN8">
        <f>SOFR3mo_PX[[#This Row],[Column534]]</f>
        <v>95.834999999999994</v>
      </c>
      <c r="TO8">
        <f>SOFR3mo_PX[[#This Row],[Column535]]</f>
        <v>95.915000000000006</v>
      </c>
      <c r="TP8">
        <f>SOFR3mo_PX[[#This Row],[Column536]]</f>
        <v>96.004999999999995</v>
      </c>
      <c r="TQ8">
        <f>SOFR3mo_PX[[#This Row],[Column537]]</f>
        <v>95.944999999999993</v>
      </c>
      <c r="TR8">
        <f>SOFR3mo_PX[[#This Row],[Column538]]</f>
        <v>96.174999999999997</v>
      </c>
      <c r="TS8">
        <f>SOFR3mo_PX[[#This Row],[Column539]]</f>
        <v>96.094999999999999</v>
      </c>
      <c r="TT8">
        <f>SOFR3mo_PX[[#This Row],[Column540]]</f>
        <v>95.984999999999999</v>
      </c>
      <c r="TU8">
        <f>SOFR3mo_PX[[#This Row],[Column541]]</f>
        <v>95.825000000000003</v>
      </c>
      <c r="TV8">
        <f>SOFR3mo_PX[[#This Row],[Column542]]</f>
        <v>95.825000000000003</v>
      </c>
      <c r="TW8">
        <f>SOFR3mo_PX[[#This Row],[Column543]]</f>
        <v>95.944999999999993</v>
      </c>
      <c r="TX8">
        <f>SOFR3mo_PX[[#This Row],[Column544]]</f>
        <v>96.16</v>
      </c>
      <c r="TY8">
        <f>SOFR3mo_PX[[#This Row],[Column545]]</f>
        <v>96.224999999999994</v>
      </c>
      <c r="TZ8">
        <f>SOFR3mo_PX[[#This Row],[Column546]]</f>
        <v>96.234999999999999</v>
      </c>
      <c r="UA8">
        <f>SOFR3mo_PX[[#This Row],[Column547]]</f>
        <v>96.265000000000001</v>
      </c>
      <c r="UB8">
        <f>SOFR3mo_PX[[#This Row],[Column548]]</f>
        <v>96.3</v>
      </c>
      <c r="UC8">
        <f>SOFR3mo_PX[[#This Row],[Column549]]</f>
        <v>96.47</v>
      </c>
      <c r="UD8">
        <f>SOFR3mo_PX[[#This Row],[Column550]]</f>
        <v>96.58</v>
      </c>
      <c r="UE8">
        <f>SOFR3mo_PX[[#This Row],[Column551]]</f>
        <v>96.655000000000001</v>
      </c>
      <c r="UF8">
        <f>SOFR3mo_PX[[#This Row],[Column552]]</f>
        <v>96.655000000000001</v>
      </c>
      <c r="UG8">
        <f>SOFR3mo_PX[[#This Row],[Column553]]</f>
        <v>96.78</v>
      </c>
      <c r="UH8">
        <f>SOFR3mo_PX[[#This Row],[Column554]]</f>
        <v>96.79</v>
      </c>
      <c r="UI8">
        <f>SOFR3mo_PX[[#This Row],[Column555]]</f>
        <v>96.63</v>
      </c>
      <c r="UJ8">
        <f>SOFR3mo_PX[[#This Row],[Column556]]</f>
        <v>96.625</v>
      </c>
      <c r="UK8">
        <f>SOFR3mo_PX[[#This Row],[Column557]]</f>
        <v>96.72</v>
      </c>
      <c r="UL8">
        <f>SOFR3mo_PX[[#This Row],[Column558]]</f>
        <v>96.96</v>
      </c>
      <c r="UM8">
        <f>SOFR3mo_PX[[#This Row],[Column559]]</f>
        <v>96.68</v>
      </c>
      <c r="UN8">
        <f>SOFR3mo_PX[[#This Row],[Column560]]</f>
        <v>96.6</v>
      </c>
      <c r="UO8">
        <f>SOFR3mo_PX[[#This Row],[Column561]]</f>
        <v>96.4</v>
      </c>
      <c r="UP8">
        <f>SOFR3mo_PX[[#This Row],[Column562]]</f>
        <v>96.495000000000005</v>
      </c>
      <c r="UQ8">
        <f>SOFR3mo_PX[[#This Row],[Column563]]</f>
        <v>96.465000000000003</v>
      </c>
      <c r="UR8">
        <f>SOFR3mo_PX[[#This Row],[Column564]]</f>
        <v>96.66</v>
      </c>
      <c r="US8">
        <f>SOFR3mo_PX[[#This Row],[Column565]]</f>
        <v>96.694999999999993</v>
      </c>
      <c r="UT8">
        <f>SOFR3mo_PX[[#This Row],[Column566]]</f>
        <v>96.42</v>
      </c>
      <c r="UU8">
        <f>SOFR3mo_PX[[#This Row],[Column567]]</f>
        <v>96.355000000000004</v>
      </c>
      <c r="UV8">
        <f>SOFR3mo_PX[[#This Row],[Column568]]</f>
        <v>96.37</v>
      </c>
      <c r="UW8">
        <f>SOFR3mo_PX[[#This Row],[Column569]]</f>
        <v>96.22</v>
      </c>
      <c r="UX8">
        <f>SOFR3mo_PX[[#This Row],[Column570]]</f>
        <v>96.31</v>
      </c>
      <c r="UY8">
        <f>SOFR3mo_PX[[#This Row],[Column571]]</f>
        <v>96.325000000000003</v>
      </c>
      <c r="UZ8">
        <f>SOFR3mo_PX[[#This Row],[Column572]]</f>
        <v>96.444999999999993</v>
      </c>
      <c r="VA8">
        <f>SOFR3mo_PX[[#This Row],[Column573]]</f>
        <v>96.59</v>
      </c>
      <c r="VB8">
        <f>SOFR3mo_PX[[#This Row],[Column574]]</f>
        <v>96.594999999999999</v>
      </c>
      <c r="VC8">
        <f>SOFR3mo_PX[[#This Row],[Column575]]</f>
        <v>96.484999999999999</v>
      </c>
      <c r="VD8">
        <f>SOFR3mo_PX[[#This Row],[Column576]]</f>
        <v>96.545000000000002</v>
      </c>
      <c r="VE8">
        <f>SOFR3mo_PX[[#This Row],[Column577]]</f>
        <v>96.58</v>
      </c>
      <c r="VF8">
        <f>SOFR3mo_PX[[#This Row],[Column578]]</f>
        <v>96.765000000000001</v>
      </c>
      <c r="VG8">
        <f>SOFR3mo_PX[[#This Row],[Column579]]</f>
        <v>96.85</v>
      </c>
      <c r="VH8">
        <f>SOFR3mo_PX[[#This Row],[Column580]]</f>
        <v>96.77</v>
      </c>
      <c r="VI8">
        <f>SOFR3mo_PX[[#This Row],[Column581]]</f>
        <v>96.564999999999998</v>
      </c>
      <c r="VJ8">
        <f>SOFR3mo_PX[[#This Row],[Column582]]</f>
        <v>96.435000000000002</v>
      </c>
      <c r="VK8">
        <f>SOFR3mo_PX[[#This Row],[Column583]]</f>
        <v>96.375</v>
      </c>
      <c r="VL8">
        <f>SOFR3mo_PX[[#This Row],[Column584]]</f>
        <v>96.41</v>
      </c>
      <c r="VM8">
        <f>SOFR3mo_PX[[#This Row],[Column585]]</f>
        <v>96.46</v>
      </c>
      <c r="VN8">
        <f>SOFR3mo_PX[[#This Row],[Column586]]</f>
        <v>96.58</v>
      </c>
      <c r="VO8">
        <f>SOFR3mo_PX[[#This Row],[Column587]]</f>
        <v>96.84</v>
      </c>
      <c r="VP8">
        <f>SOFR3mo_PX[[#This Row],[Column588]]</f>
        <v>96.825000000000003</v>
      </c>
      <c r="VQ8">
        <f>SOFR3mo_PX[[#This Row],[Column589]]</f>
        <v>96.61</v>
      </c>
      <c r="VR8">
        <f>SOFR3mo_PX[[#This Row],[Column590]]</f>
        <v>96.33</v>
      </c>
      <c r="VS8">
        <f>SOFR3mo_PX[[#This Row],[Column591]]</f>
        <v>96.625</v>
      </c>
      <c r="VT8">
        <f>SOFR3mo_PX[[#This Row],[Column592]]</f>
        <v>96.694999999999993</v>
      </c>
      <c r="VU8">
        <f>SOFR3mo_PX[[#This Row],[Column593]]</f>
        <v>96.375</v>
      </c>
      <c r="VV8">
        <f>SOFR3mo_PX[[#This Row],[Column594]]</f>
        <v>96.46</v>
      </c>
      <c r="VW8">
        <f>SOFR3mo_PX[[#This Row],[Column595]]</f>
        <v>96.075000000000003</v>
      </c>
      <c r="VX8">
        <f>SOFR3mo_PX[[#This Row],[Column596]]</f>
        <v>96.325000000000003</v>
      </c>
      <c r="VY8">
        <f>SOFR3mo_PX[[#This Row],[Column597]]</f>
        <v>95.55</v>
      </c>
      <c r="VZ8">
        <f>SOFR3mo_PX[[#This Row],[Column598]]</f>
        <v>95.01</v>
      </c>
      <c r="WA8">
        <f>SOFR3mo_PX[[#This Row],[Column599]]</f>
        <v>94.805000000000007</v>
      </c>
      <c r="WB8">
        <f>SOFR3mo_PX[[#This Row],[Column600]]</f>
        <v>94.85</v>
      </c>
      <c r="WC8">
        <f>SOFR3mo_PX[[#This Row],[Column601]]</f>
        <v>94.99</v>
      </c>
      <c r="WD8">
        <f>SOFR3mo_PX[[#This Row],[Column602]]</f>
        <v>95.01</v>
      </c>
      <c r="WE8">
        <f>SOFR3mo_PX[[#This Row],[Column603]]</f>
        <v>94.965000000000003</v>
      </c>
      <c r="WF8">
        <f>SOFR3mo_PX[[#This Row],[Column604]]</f>
        <v>94.965000000000003</v>
      </c>
      <c r="WG8">
        <f>SOFR3mo_PX[[#This Row],[Column605]]</f>
        <v>95.07</v>
      </c>
      <c r="WH8">
        <f>SOFR3mo_PX[[#This Row],[Column606]]</f>
        <v>95.075000000000003</v>
      </c>
      <c r="WI8">
        <f>SOFR3mo_PX[[#This Row],[Column607]]</f>
        <v>95.08</v>
      </c>
      <c r="WJ8">
        <f>SOFR3mo_PX[[#This Row],[Column608]]</f>
        <v>95.254999999999995</v>
      </c>
      <c r="WK8">
        <f>SOFR3mo_PX[[#This Row],[Column609]]</f>
        <v>95.27</v>
      </c>
      <c r="WL8">
        <f>SOFR3mo_PX[[#This Row],[Column610]]</f>
        <v>95.28</v>
      </c>
      <c r="WM8">
        <f>SOFR3mo_PX[[#This Row],[Column611]]</f>
        <v>95.42</v>
      </c>
      <c r="WN8">
        <f>SOFR3mo_PX[[#This Row],[Column612]]</f>
        <v>95.42</v>
      </c>
      <c r="WO8">
        <f>SOFR3mo_PX[[#This Row],[Column613]]</f>
        <v>95.415000000000006</v>
      </c>
      <c r="WP8">
        <f>SOFR3mo_PX[[#This Row],[Column614]]</f>
        <v>95.36</v>
      </c>
      <c r="WQ8">
        <f>SOFR3mo_PX[[#This Row],[Column615]]</f>
        <v>95.385000000000005</v>
      </c>
      <c r="WR8">
        <f>SOFR3mo_PX[[#This Row],[Column616]]</f>
        <v>95.58</v>
      </c>
      <c r="WS8">
        <f>SOFR3mo_PX[[#This Row],[Column617]]</f>
        <v>95.594999999999999</v>
      </c>
      <c r="WT8">
        <f>SOFR3mo_PX[[#This Row],[Column618]]</f>
        <v>95.64</v>
      </c>
      <c r="WU8">
        <f>SOFR3mo_PX[[#This Row],[Column619]]</f>
        <v>95.724999999999994</v>
      </c>
      <c r="WV8">
        <f>SOFR3mo_PX[[#This Row],[Column620]]</f>
        <v>95.72</v>
      </c>
      <c r="WW8">
        <f>SOFR3mo_PX[[#This Row],[Column621]]</f>
        <v>95.76</v>
      </c>
      <c r="WX8">
        <f>SOFR3mo_PX[[#This Row],[Column622]]</f>
        <v>95.954999999999998</v>
      </c>
      <c r="WY8">
        <f>SOFR3mo_PX[[#This Row],[Column623]]</f>
        <v>96.22</v>
      </c>
      <c r="WZ8">
        <f>SOFR3mo_PX[[#This Row],[Column624]]</f>
        <v>96.19</v>
      </c>
      <c r="XA8">
        <f>SOFR3mo_PX[[#This Row],[Column625]]</f>
        <v>96.06</v>
      </c>
      <c r="XB8">
        <f>SOFR3mo_PX[[#This Row],[Column626]]</f>
        <v>95.995000000000005</v>
      </c>
      <c r="XC8">
        <f>SOFR3mo_PX[[#This Row],[Column627]]</f>
        <v>96.08</v>
      </c>
      <c r="XD8">
        <f>SOFR3mo_PX[[#This Row],[Column628]]</f>
        <v>96.125</v>
      </c>
      <c r="XE8">
        <f>SOFR3mo_PX[[#This Row],[Column629]]</f>
        <v>96.174999999999997</v>
      </c>
      <c r="XF8">
        <f>SOFR3mo_PX[[#This Row],[Column630]]</f>
        <v>96.14</v>
      </c>
      <c r="XG8">
        <f>SOFR3mo_PX[[#This Row],[Column631]]</f>
        <v>96.11</v>
      </c>
      <c r="XH8">
        <f>SOFR3mo_PX[[#This Row],[Column632]]</f>
        <v>96.2</v>
      </c>
      <c r="XI8">
        <f>SOFR3mo_PX[[#This Row],[Column633]]</f>
        <v>96.28</v>
      </c>
      <c r="XJ8">
        <f>SOFR3mo_PX[[#This Row],[Column634]]</f>
        <v>96.334999999999994</v>
      </c>
      <c r="XK8">
        <f>SOFR3mo_PX[[#This Row],[Column635]]</f>
        <v>96.19</v>
      </c>
      <c r="XL8">
        <f>SOFR3mo_PX[[#This Row],[Column636]]</f>
        <v>96.12</v>
      </c>
      <c r="XM8">
        <f>SOFR3mo_PX[[#This Row],[Column637]]</f>
        <v>96.12</v>
      </c>
      <c r="XN8">
        <f>SOFR3mo_PX[[#This Row],[Column638]]</f>
        <v>96.245000000000005</v>
      </c>
      <c r="XO8">
        <f>SOFR3mo_PX[[#This Row],[Column639]]</f>
        <v>96.155000000000001</v>
      </c>
      <c r="XP8">
        <f>SOFR3mo_PX[[#This Row],[Column640]]</f>
        <v>96.094999999999999</v>
      </c>
      <c r="XQ8">
        <f>SOFR3mo_PX[[#This Row],[Column641]]</f>
        <v>96.15</v>
      </c>
      <c r="XR8">
        <f>SOFR3mo_PX[[#This Row],[Column642]]</f>
        <v>96.064999999999998</v>
      </c>
      <c r="XS8">
        <f>SOFR3mo_PX[[#This Row],[Column643]]</f>
        <v>95.805000000000007</v>
      </c>
      <c r="XT8">
        <f>SOFR3mo_PX[[#This Row],[Column644]]</f>
        <v>95.89</v>
      </c>
      <c r="XU8">
        <f>SOFR3mo_PX[[#This Row],[Column645]]</f>
        <v>95.875</v>
      </c>
      <c r="XV8">
        <f>SOFR3mo_PX[[#This Row],[Column646]]</f>
        <v>95.86</v>
      </c>
      <c r="XW8">
        <f>SOFR3mo_PX[[#This Row],[Column647]]</f>
        <v>95.86</v>
      </c>
      <c r="XX8">
        <f>SOFR3mo_PX[[#This Row],[Column648]]</f>
        <v>95.89</v>
      </c>
      <c r="XY8">
        <f>SOFR3mo_PX[[#This Row],[Column649]]</f>
        <v>95.894999999999996</v>
      </c>
      <c r="XZ8">
        <f>SOFR3mo_PX[[#This Row],[Column650]]</f>
        <v>95.9</v>
      </c>
      <c r="YA8">
        <f>SOFR3mo_PX[[#This Row],[Column651]]</f>
        <v>96</v>
      </c>
      <c r="YB8">
        <f>SOFR3mo_PX[[#This Row],[Column652]]</f>
        <v>96</v>
      </c>
      <c r="YC8">
        <f>SOFR3mo_PX[[#This Row],[Column653]]</f>
        <v>96.075000000000003</v>
      </c>
      <c r="YD8">
        <f>SOFR3mo_PX[[#This Row],[Column654]]</f>
        <v>96.125</v>
      </c>
      <c r="YE8">
        <f>SOFR3mo_PX[[#This Row],[Column655]]</f>
        <v>95.665000000000006</v>
      </c>
      <c r="YF8">
        <f>SOFR3mo_PX[[#This Row],[Column656]]</f>
        <v>95.68</v>
      </c>
      <c r="YG8">
        <f>SOFR3mo_PX[[#This Row],[Column657]]</f>
        <v>95.75</v>
      </c>
      <c r="YH8">
        <f>SOFR3mo_PX[[#This Row],[Column658]]</f>
        <v>95.685000000000002</v>
      </c>
      <c r="YI8">
        <f>SOFR3mo_PX[[#This Row],[Column659]]</f>
        <v>95.71</v>
      </c>
      <c r="YJ8">
        <f>SOFR3mo_PX[[#This Row],[Column660]]</f>
        <v>95.715000000000003</v>
      </c>
      <c r="YK8">
        <f>SOFR3mo_PX[[#This Row],[Column661]]</f>
        <v>95.51</v>
      </c>
      <c r="YL8">
        <f>SOFR3mo_PX[[#This Row],[Column662]]</f>
        <v>95.57</v>
      </c>
      <c r="YM8">
        <f>SOFR3mo_PX[[#This Row],[Column663]]</f>
        <v>95.59</v>
      </c>
      <c r="YN8">
        <f>SOFR3mo_PX[[#This Row],[Column664]]</f>
        <v>95.67</v>
      </c>
      <c r="YO8">
        <f>SOFR3mo_PX[[#This Row],[Column665]]</f>
        <v>95.55</v>
      </c>
      <c r="YP8">
        <f>SOFR3mo_PX[[#This Row],[Column666]]</f>
        <v>95.49</v>
      </c>
      <c r="YQ8">
        <f>SOFR3mo_PX[[#This Row],[Column667]]</f>
        <v>95.65</v>
      </c>
      <c r="YR8">
        <f>SOFR3mo_PX[[#This Row],[Column668]]</f>
        <v>95.68</v>
      </c>
      <c r="YS8">
        <f>SOFR3mo_PX[[#This Row],[Column669]]</f>
        <v>95.58</v>
      </c>
      <c r="YT8">
        <f>SOFR3mo_PX[[#This Row],[Column670]]</f>
        <v>95.44</v>
      </c>
      <c r="YU8">
        <f>SOFR3mo_PX[[#This Row],[Column671]]</f>
        <v>95.444999999999993</v>
      </c>
      <c r="YV8">
        <f>SOFR3mo_PX[[#This Row],[Column672]]</f>
        <v>95.44</v>
      </c>
      <c r="YW8">
        <f>SOFR3mo_PX[[#This Row],[Column673]]</f>
        <v>95.444999999999993</v>
      </c>
      <c r="YX8">
        <f>SOFR3mo_PX[[#This Row],[Column674]]</f>
        <v>95.444999999999993</v>
      </c>
      <c r="YY8">
        <f>SOFR3mo_PX[[#This Row],[Column675]]</f>
        <v>95.435000000000002</v>
      </c>
      <c r="YZ8">
        <f>SOFR3mo_PX[[#This Row],[Column676]]</f>
        <v>95.405000000000001</v>
      </c>
      <c r="ZA8">
        <f>SOFR3mo_PX[[#This Row],[Column677]]</f>
        <v>95.444999999999993</v>
      </c>
      <c r="ZB8">
        <f>SOFR3mo_PX[[#This Row],[Column678]]</f>
        <v>95.53</v>
      </c>
      <c r="ZC8">
        <f>SOFR3mo_PX[[#This Row],[Column679]]</f>
        <v>95.665000000000006</v>
      </c>
      <c r="ZD8">
        <f>SOFR3mo_PX[[#This Row],[Column680]]</f>
        <v>95.674999999999997</v>
      </c>
      <c r="ZE8">
        <f>SOFR3mo_PX[[#This Row],[Column681]]</f>
        <v>95.594999999999999</v>
      </c>
      <c r="ZF8">
        <f>SOFR3mo_PX[[#This Row],[Column682]]</f>
        <v>95.67</v>
      </c>
      <c r="ZG8">
        <f>SOFR3mo_PX[[#This Row],[Column683]]</f>
        <v>95.69</v>
      </c>
      <c r="ZH8">
        <f>SOFR3mo_PX[[#This Row],[Column684]]</f>
        <v>95.32</v>
      </c>
      <c r="ZI8">
        <f>SOFR3mo_PX[[#This Row],[Column685]]</f>
        <v>95.25</v>
      </c>
      <c r="ZJ8">
        <f>SOFR3mo_PX[[#This Row],[Column686]]</f>
        <v>95.17</v>
      </c>
      <c r="ZK8">
        <f>SOFR3mo_PX[[#This Row],[Column687]]</f>
        <v>95.245000000000005</v>
      </c>
      <c r="ZL8">
        <f>SOFR3mo_PX[[#This Row],[Column688]]</f>
        <v>95.17</v>
      </c>
      <c r="ZM8">
        <f>SOFR3mo_PX[[#This Row],[Column689]]</f>
        <v>95.325000000000003</v>
      </c>
      <c r="ZN8">
        <f>SOFR3mo_PX[[#This Row],[Column690]]</f>
        <v>95.41</v>
      </c>
      <c r="ZO8">
        <f>SOFR3mo_PX[[#This Row],[Column691]]</f>
        <v>95.46</v>
      </c>
      <c r="ZP8">
        <f>SOFR3mo_PX[[#This Row],[Column692]]</f>
        <v>95.555000000000007</v>
      </c>
      <c r="ZQ8">
        <f>SOFR3mo_PX[[#This Row],[Column693]]</f>
        <v>95.694999999999993</v>
      </c>
      <c r="ZR8">
        <f>SOFR3mo_PX[[#This Row],[Column694]]</f>
        <v>95.555000000000007</v>
      </c>
      <c r="ZS8">
        <f>SOFR3mo_PX[[#This Row],[Column695]]</f>
        <v>95.47</v>
      </c>
      <c r="ZT8">
        <f>SOFR3mo_PX[[#This Row],[Column696]]</f>
        <v>95.424999999999997</v>
      </c>
      <c r="ZU8">
        <f>SOFR3mo_PX[[#This Row],[Column697]]</f>
        <v>95.41</v>
      </c>
      <c r="ZV8">
        <f>SOFR3mo_PX[[#This Row],[Column698]]</f>
        <v>95.25</v>
      </c>
      <c r="ZW8">
        <f>SOFR3mo_PX[[#This Row],[Column699]]</f>
        <v>95.364999999999995</v>
      </c>
      <c r="ZX8">
        <f>SOFR3mo_PX[[#This Row],[Column700]]</f>
        <v>95.495000000000005</v>
      </c>
      <c r="ZY8">
        <f>SOFR3mo_PX[[#This Row],[Column701]]</f>
        <v>95.465000000000003</v>
      </c>
      <c r="ZZ8">
        <f>SOFR3mo_PX[[#This Row],[Column702]]</f>
        <v>95.405000000000001</v>
      </c>
      <c r="AAA8">
        <f>SOFR3mo_PX[[#This Row],[Column703]]</f>
        <v>95.49</v>
      </c>
      <c r="AAB8">
        <f>SOFR3mo_PX[[#This Row],[Column704]]</f>
        <v>95.68</v>
      </c>
      <c r="AAC8">
        <f>SOFR3mo_PX[[#This Row],[Column705]]</f>
        <v>95.625</v>
      </c>
      <c r="AAD8">
        <f>SOFR3mo_PX[[#This Row],[Column706]]</f>
        <v>95.58</v>
      </c>
      <c r="AAE8">
        <f>SOFR3mo_PX[[#This Row],[Column707]]</f>
        <v>95.62</v>
      </c>
      <c r="AAF8">
        <f>SOFR3mo_PX[[#This Row],[Column708]]</f>
        <v>95.715000000000003</v>
      </c>
      <c r="AAG8">
        <f>SOFR3mo_PX[[#This Row],[Column709]]</f>
        <v>95.834999999999994</v>
      </c>
      <c r="AAH8">
        <f>SOFR3mo_PX[[#This Row],[Column710]]</f>
        <v>95.93</v>
      </c>
      <c r="AAI8">
        <f>SOFR3mo_PX[[#This Row],[Column711]]</f>
        <v>95.88</v>
      </c>
      <c r="AAJ8">
        <f>SOFR3mo_PX[[#This Row],[Column712]]</f>
        <v>95.77</v>
      </c>
      <c r="AAK8">
        <f>SOFR3mo_PX[[#This Row],[Column713]]</f>
        <v>95.805000000000007</v>
      </c>
      <c r="AAL8">
        <f>SOFR3mo_PX[[#This Row],[Column714]]</f>
        <v>95.86</v>
      </c>
      <c r="AAM8">
        <f>SOFR3mo_PX[[#This Row],[Column715]]</f>
        <v>95.594999999999999</v>
      </c>
      <c r="AAN8">
        <f>SOFR3mo_PX[[#This Row],[Column716]]</f>
        <v>95.52</v>
      </c>
      <c r="AAO8">
        <f>SOFR3mo_PX[[#This Row],[Column717]]</f>
        <v>95.62</v>
      </c>
      <c r="AAP8">
        <f>SOFR3mo_PX[[#This Row],[Column718]]</f>
        <v>95.734999999999999</v>
      </c>
      <c r="AAQ8">
        <f>SOFR3mo_PX[[#This Row],[Column719]]</f>
        <v>95.924999999999997</v>
      </c>
      <c r="AAR8">
        <f>SOFR3mo_PX[[#This Row],[Column720]]</f>
        <v>95.795000000000002</v>
      </c>
      <c r="AAS8">
        <f>SOFR3mo_PX[[#This Row],[Column721]]</f>
        <v>95.805000000000007</v>
      </c>
      <c r="AAT8">
        <f>SOFR3mo_PX[[#This Row],[Column722]]</f>
        <v>95.905000000000001</v>
      </c>
      <c r="AAU8">
        <f>SOFR3mo_PX[[#This Row],[Column723]]</f>
        <v>95.86</v>
      </c>
      <c r="AAV8">
        <f>SOFR3mo_PX[[#This Row],[Column724]]</f>
        <v>95.98</v>
      </c>
      <c r="AAW8">
        <f>SOFR3mo_PX[[#This Row],[Column725]]</f>
        <v>96.045000000000002</v>
      </c>
      <c r="AAX8">
        <f>SOFR3mo_PX[[#This Row],[Column726]]</f>
        <v>96.254999999999995</v>
      </c>
      <c r="AAY8">
        <f>SOFR3mo_PX[[#This Row],[Column727]]</f>
        <v>96.25</v>
      </c>
      <c r="AAZ8">
        <f>SOFR3mo_PX[[#This Row],[Column728]]</f>
        <v>96.33</v>
      </c>
      <c r="ABA8">
        <f>SOFR3mo_PX[[#This Row],[Column729]]</f>
        <v>96.37</v>
      </c>
      <c r="ABB8">
        <f>SOFR3mo_PX[[#This Row],[Column730]]</f>
        <v>96.295000000000002</v>
      </c>
      <c r="ABC8">
        <f>SOFR3mo_PX[[#This Row],[Column731]]</f>
        <v>96.42</v>
      </c>
      <c r="ABD8">
        <f>SOFR3mo_PX[[#This Row],[Column732]]</f>
        <v>96.42</v>
      </c>
      <c r="ABE8">
        <f>SOFR3mo_PX[[#This Row],[Column733]]</f>
        <v>96.265000000000001</v>
      </c>
      <c r="ABF8">
        <f>SOFR3mo_PX[[#This Row],[Column734]]</f>
        <v>96.334999999999994</v>
      </c>
      <c r="ABG8">
        <f>SOFR3mo_PX[[#This Row],[Column735]]</f>
        <v>96.32</v>
      </c>
      <c r="ABH8">
        <f>SOFR3mo_PX[[#This Row],[Column736]]</f>
        <v>96.38</v>
      </c>
      <c r="ABI8">
        <f>SOFR3mo_PX[[#This Row],[Column737]]</f>
        <v>96.44</v>
      </c>
      <c r="ABJ8">
        <f>SOFR3mo_PX[[#This Row],[Column738]]</f>
        <v>96.474999999999994</v>
      </c>
      <c r="ABK8">
        <f>SOFR3mo_PX[[#This Row],[Column739]]</f>
        <v>96.465000000000003</v>
      </c>
      <c r="ABL8">
        <f>SOFR3mo_PX[[#This Row],[Column740]]</f>
        <v>96.51</v>
      </c>
      <c r="ABM8">
        <f>SOFR3mo_PX[[#This Row],[Column741]]</f>
        <v>96.45</v>
      </c>
      <c r="ABN8">
        <f>SOFR3mo_PX[[#This Row],[Column742]]</f>
        <v>96.58</v>
      </c>
      <c r="ABO8">
        <f>SOFR3mo_PX[[#This Row],[Column743]]</f>
        <v>96.625</v>
      </c>
      <c r="ABP8">
        <f>SOFR3mo_PX[[#This Row],[Column744]]</f>
        <v>96.58</v>
      </c>
      <c r="ABQ8">
        <f>SOFR3mo_PX[[#This Row],[Column745]]</f>
        <v>96.665000000000006</v>
      </c>
      <c r="ABR8">
        <f>SOFR3mo_PX[[#This Row],[Column746]]</f>
        <v>96.71</v>
      </c>
      <c r="ABS8">
        <f>SOFR3mo_PX[[#This Row],[Column747]]</f>
        <v>96.644999999999996</v>
      </c>
      <c r="ABT8">
        <f>SOFR3mo_PX[[#This Row],[Column748]]</f>
        <v>96.704999999999998</v>
      </c>
      <c r="ABU8">
        <f>SOFR3mo_PX[[#This Row],[Column749]]</f>
        <v>96.765000000000001</v>
      </c>
      <c r="ABV8">
        <f>SOFR3mo_PX[[#This Row],[Column750]]</f>
        <v>96.72</v>
      </c>
      <c r="ABW8">
        <f>SOFR3mo_PX[[#This Row],[Column751]]</f>
        <v>96.805000000000007</v>
      </c>
      <c r="ABX8">
        <f>SOFR3mo_PX[[#This Row],[Column752]]</f>
        <v>96.77</v>
      </c>
      <c r="ABY8">
        <f>SOFR3mo_PX[[#This Row],[Column753]]</f>
        <v>97.01</v>
      </c>
      <c r="ABZ8">
        <f>SOFR3mo_PX[[#This Row],[Column754]]</f>
        <v>96.905000000000001</v>
      </c>
      <c r="ACA8">
        <f>SOFR3mo_PX[[#This Row],[Column755]]</f>
        <v>96.97</v>
      </c>
      <c r="ACB8">
        <f>SOFR3mo_PX[[#This Row],[Column756]]</f>
        <v>97.185000000000002</v>
      </c>
      <c r="ACC8">
        <f>SOFR3mo_PX[[#This Row],[Column757]]</f>
        <v>97.21</v>
      </c>
      <c r="ACD8">
        <f>SOFR3mo_PX[[#This Row],[Column758]]</f>
        <v>97.234999999999999</v>
      </c>
      <c r="ACE8">
        <f>SOFR3mo_PX[[#This Row],[Column759]]</f>
        <v>97.12</v>
      </c>
      <c r="ACF8">
        <f>SOFR3mo_PX[[#This Row],[Column760]]</f>
        <v>97.064999999999998</v>
      </c>
      <c r="ACG8">
        <f>SOFR3mo_PX[[#This Row],[Column761]]</f>
        <v>97.084999999999994</v>
      </c>
      <c r="ACH8">
        <f>SOFR3mo_PX[[#This Row],[Column762]]</f>
        <v>97.155000000000001</v>
      </c>
      <c r="ACI8">
        <f>SOFR3mo_PX[[#This Row],[Column763]]</f>
        <v>97</v>
      </c>
      <c r="ACJ8">
        <f>SOFR3mo_PX[[#This Row],[Column764]]</f>
        <v>96.795000000000002</v>
      </c>
      <c r="ACK8">
        <f>SOFR3mo_PX[[#This Row],[Column765]]</f>
        <v>96.8</v>
      </c>
      <c r="ACL8">
        <f>SOFR3mo_PX[[#This Row],[Column766]]</f>
        <v>96.9</v>
      </c>
      <c r="ACM8">
        <f>SOFR3mo_PX[[#This Row],[Column767]]</f>
        <v>96.92</v>
      </c>
      <c r="ACN8">
        <f>SOFR3mo_PX[[#This Row],[Column768]]</f>
        <v>96.905000000000001</v>
      </c>
      <c r="ACO8">
        <f>SOFR3mo_PX[[#This Row],[Column769]]</f>
        <v>96.954999999999998</v>
      </c>
      <c r="ACP8">
        <f>SOFR3mo_PX[[#This Row],[Column770]]</f>
        <v>97</v>
      </c>
      <c r="ACQ8">
        <f>SOFR3mo_PX[[#This Row],[Column771]]</f>
        <v>96.935000000000002</v>
      </c>
      <c r="ACR8">
        <f>SOFR3mo_PX[[#This Row],[Column772]]</f>
        <v>96.825000000000003</v>
      </c>
      <c r="ACS8">
        <f>SOFR3mo_PX[[#This Row],[Column773]]</f>
        <v>96.935000000000002</v>
      </c>
      <c r="ACT8">
        <f>SOFR3mo_PX[[#This Row],[Column774]]</f>
        <v>97.045000000000002</v>
      </c>
      <c r="ACU8">
        <f>SOFR3mo_PX[[#This Row],[Column775]]</f>
        <v>97.23</v>
      </c>
      <c r="ACV8">
        <f>SOFR3mo_PX[[#This Row],[Column776]]</f>
        <v>97.16</v>
      </c>
      <c r="ACW8">
        <f>SOFR3mo_PX[[#This Row],[Column777]]</f>
        <v>97.16</v>
      </c>
      <c r="ACX8">
        <f>SOFR3mo_PX[[#This Row],[Column778]]</f>
        <v>97.015000000000001</v>
      </c>
      <c r="ACY8">
        <f>SOFR3mo_PX[[#This Row],[Column779]]</f>
        <v>96.805000000000007</v>
      </c>
      <c r="ACZ8">
        <f>SOFR3mo_PX[[#This Row],[Column780]]</f>
        <v>96.704999999999998</v>
      </c>
      <c r="ADA8">
        <f>SOFR3mo_PX[[#This Row],[Column781]]</f>
        <v>96.71</v>
      </c>
      <c r="ADB8">
        <f>SOFR3mo_PX[[#This Row],[Column782]]</f>
        <v>96.765000000000001</v>
      </c>
      <c r="ADC8">
        <f>SOFR3mo_PX[[#This Row],[Column783]]</f>
        <v>96.795000000000002</v>
      </c>
      <c r="ADD8">
        <f>SOFR3mo_PX[[#This Row],[Column784]]</f>
        <v>96.68</v>
      </c>
      <c r="ADE8">
        <f>SOFR3mo_PX[[#This Row],[Column785]]</f>
        <v>96.495000000000005</v>
      </c>
      <c r="ADF8">
        <f>SOFR3mo_PX[[#This Row],[Column786]]</f>
        <v>96.47</v>
      </c>
      <c r="ADG8">
        <f>SOFR3mo_PX[[#This Row],[Column787]]</f>
        <v>96.47</v>
      </c>
      <c r="ADH8">
        <f>SOFR3mo_PX[[#This Row],[Column788]]</f>
        <v>96.465000000000003</v>
      </c>
      <c r="ADI8">
        <f>SOFR3mo_PX[[#This Row],[Column789]]</f>
        <v>96.385000000000005</v>
      </c>
      <c r="ADJ8">
        <f>SOFR3mo_PX[[#This Row],[Column790]]</f>
        <v>96.04</v>
      </c>
      <c r="ADK8">
        <f>SOFR3mo_PX[[#This Row],[Column791]]</f>
        <v>96.075000000000003</v>
      </c>
      <c r="ADL8">
        <f>SOFR3mo_PX[[#This Row],[Column792]]</f>
        <v>96.37</v>
      </c>
      <c r="ADM8">
        <f>SOFR3mo_PX[[#This Row],[Column793]]</f>
        <v>96.644999999999996</v>
      </c>
      <c r="ADN8">
        <f>SOFR3mo_PX[[#This Row],[Column794]]</f>
        <v>96.73</v>
      </c>
      <c r="ADO8">
        <f>SOFR3mo_PX[[#This Row],[Column795]]</f>
        <v>96.765000000000001</v>
      </c>
      <c r="ADP8">
        <f>SOFR3mo_PX[[#This Row],[Column796]]</f>
        <v>96.74</v>
      </c>
      <c r="ADQ8">
        <f>SOFR3mo_PX[[#This Row],[Column797]]</f>
        <v>96.814999999999998</v>
      </c>
      <c r="ADR8">
        <f>SOFR3mo_PX[[#This Row],[Column798]]</f>
        <v>96.86</v>
      </c>
      <c r="ADS8">
        <f>SOFR3mo_PX[[#This Row],[Column799]]</f>
        <v>96.844999999999999</v>
      </c>
      <c r="ADT8">
        <f>SOFR3mo_PX[[#This Row],[Column800]]</f>
        <v>97.02</v>
      </c>
      <c r="ADU8">
        <f>SOFR3mo_PX[[#This Row],[Column801]]</f>
        <v>97.09</v>
      </c>
      <c r="ADV8">
        <f>SOFR3mo_PX[[#This Row],[Column802]]</f>
        <v>97.09</v>
      </c>
      <c r="ADW8">
        <f>SOFR3mo_PX[[#This Row],[Column803]]</f>
        <v>97.114999999999995</v>
      </c>
      <c r="ADX8">
        <f>SOFR3mo_PX[[#This Row],[Column804]]</f>
        <v>97.12</v>
      </c>
      <c r="ADY8">
        <f>SOFR3mo_PX[[#This Row],[Column805]]</f>
        <v>97.105000000000004</v>
      </c>
      <c r="ADZ8">
        <f>SOFR3mo_PX[[#This Row],[Column806]]</f>
        <v>96.94</v>
      </c>
      <c r="AEA8">
        <f>SOFR3mo_PX[[#This Row],[Column807]]</f>
        <v>96.98</v>
      </c>
      <c r="AEB8">
        <f>SOFR3mo_PX[[#This Row],[Column808]]</f>
        <v>96.93</v>
      </c>
      <c r="AEC8">
        <f>SOFR3mo_PX[[#This Row],[Column809]]</f>
        <v>96.88</v>
      </c>
      <c r="AED8">
        <f>SOFR3mo_PX[[#This Row],[Column810]]</f>
        <v>96.834999999999994</v>
      </c>
      <c r="AEE8">
        <f>SOFR3mo_PX[[#This Row],[Column811]]</f>
        <v>97.01</v>
      </c>
      <c r="AEF8">
        <f>SOFR3mo_PX[[#This Row],[Column812]]</f>
        <v>96.97</v>
      </c>
      <c r="AEG8">
        <f>SOFR3mo_PX[[#This Row],[Column813]]</f>
        <v>97.055000000000007</v>
      </c>
      <c r="AEH8">
        <f>SOFR3mo_PX[[#This Row],[Column814]]</f>
        <v>96.894999999999996</v>
      </c>
      <c r="AEI8">
        <f>SOFR3mo_PX[[#This Row],[Column815]]</f>
        <v>96.88</v>
      </c>
      <c r="AEJ8">
        <f>SOFR3mo_PX[[#This Row],[Column816]]</f>
        <v>96.84</v>
      </c>
      <c r="AEK8">
        <f>SOFR3mo_PX[[#This Row],[Column817]]</f>
        <v>96.694999999999993</v>
      </c>
      <c r="AEL8">
        <f>SOFR3mo_PX[[#This Row],[Column818]]</f>
        <v>96.665000000000006</v>
      </c>
      <c r="AEM8">
        <f>SOFR3mo_PX[[#This Row],[Column819]]</f>
        <v>96.805000000000007</v>
      </c>
      <c r="AEN8">
        <f>SOFR3mo_PX[[#This Row],[Column820]]</f>
        <v>96.635000000000005</v>
      </c>
      <c r="AEO8">
        <f>SOFR3mo_PX[[#This Row],[Column821]]</f>
        <v>96.67</v>
      </c>
      <c r="AEP8">
        <f>SOFR3mo_PX[[#This Row],[Column822]]</f>
        <v>96.72</v>
      </c>
      <c r="AEQ8">
        <f>SOFR3mo_PX[[#This Row],[Column823]]</f>
        <v>96.79</v>
      </c>
      <c r="AER8">
        <f>SOFR3mo_PX[[#This Row],[Column824]]</f>
        <v>96.89</v>
      </c>
      <c r="AES8">
        <f>SOFR3mo_PX[[#This Row],[Column825]]</f>
        <v>96.92</v>
      </c>
      <c r="AET8">
        <f>SOFR3mo_PX[[#This Row],[Column826]]</f>
        <v>96.81</v>
      </c>
      <c r="AEU8">
        <f>SOFR3mo_PX[[#This Row],[Column827]]</f>
        <v>96.674999999999997</v>
      </c>
      <c r="AEV8">
        <f>SOFR3mo_PX[[#This Row],[Column828]]</f>
        <v>96.665000000000006</v>
      </c>
      <c r="AEW8">
        <f>SOFR3mo_PX[[#This Row],[Column829]]</f>
        <v>96.805000000000007</v>
      </c>
      <c r="AEX8">
        <f>SOFR3mo_PX[[#This Row],[Column830]]</f>
        <v>96.805000000000007</v>
      </c>
      <c r="AEY8">
        <f>SOFR3mo_PX[[#This Row],[Column831]]</f>
        <v>96.954999999999998</v>
      </c>
      <c r="AEZ8">
        <f>SOFR3mo_PX[[#This Row],[Column832]]</f>
        <v>96.98</v>
      </c>
      <c r="AFA8">
        <f>SOFR3mo_PX[[#This Row],[Column833]]</f>
        <v>96.98</v>
      </c>
      <c r="AFB8">
        <f>SOFR3mo_PX[[#This Row],[Column834]]</f>
        <v>97.105000000000004</v>
      </c>
      <c r="AFC8">
        <f>SOFR3mo_PX[[#This Row],[Column835]]</f>
        <v>97.045000000000002</v>
      </c>
      <c r="AFD8">
        <f>SOFR3mo_PX[[#This Row],[Column836]]</f>
        <v>96.855000000000004</v>
      </c>
      <c r="AFE8">
        <f>SOFR3mo_PX[[#This Row],[Column837]]</f>
        <v>96.82</v>
      </c>
      <c r="AFF8">
        <f>SOFR3mo_PX[[#This Row],[Column838]]</f>
        <v>96.92</v>
      </c>
      <c r="AFG8">
        <f>SOFR3mo_PX[[#This Row],[Column839]]</f>
        <v>96.864999999999995</v>
      </c>
      <c r="AFH8">
        <f>SOFR3mo_PX[[#This Row],[Column840]]</f>
        <v>96.855000000000004</v>
      </c>
      <c r="AFI8">
        <f>SOFR3mo_PX[[#This Row],[Column841]]</f>
        <v>96.95</v>
      </c>
      <c r="AFJ8">
        <f>SOFR3mo_PX[[#This Row],[Column842]]</f>
        <v>96.944999999999993</v>
      </c>
      <c r="AFK8">
        <f>SOFR3mo_PX[[#This Row],[Column843]]</f>
        <v>97.125</v>
      </c>
      <c r="AFL8">
        <f>SOFR3mo_PX[[#This Row],[Column844]]</f>
        <v>97.075000000000003</v>
      </c>
      <c r="AFM8">
        <f>SOFR3mo_PX[[#This Row],[Column845]]</f>
        <v>97.05</v>
      </c>
      <c r="AFN8">
        <f>SOFR3mo_PX[[#This Row],[Column846]]</f>
        <v>97.034999999999997</v>
      </c>
      <c r="AFO8">
        <f>SOFR3mo_PX[[#This Row],[Column847]]</f>
        <v>97.105000000000004</v>
      </c>
      <c r="AFP8">
        <f>SOFR3mo_PX[[#This Row],[Column848]]</f>
        <v>97.3</v>
      </c>
      <c r="AFQ8">
        <f>SOFR3mo_PX[[#This Row],[Column849]]</f>
        <v>97.33</v>
      </c>
      <c r="AFR8">
        <f>SOFR3mo_PX[[#This Row],[Column850]]</f>
        <v>97.284999999999997</v>
      </c>
      <c r="AFS8">
        <f>SOFR3mo_PX[[#This Row],[Column851]]</f>
        <v>97.29</v>
      </c>
      <c r="AFT8">
        <f>SOFR3mo_PX[[#This Row],[Column852]]</f>
        <v>97.495000000000005</v>
      </c>
      <c r="AFU8">
        <f>SOFR3mo_PX[[#This Row],[Column853]]</f>
        <v>97.525000000000006</v>
      </c>
      <c r="AFV8">
        <f>SOFR3mo_PX[[#This Row],[Column854]]</f>
        <v>97.51</v>
      </c>
      <c r="AFW8">
        <f>SOFR3mo_PX[[#This Row],[Column855]]</f>
        <v>97.85</v>
      </c>
      <c r="AFX8">
        <f>SOFR3mo_PX[[#This Row],[Column856]]</f>
        <v>97.844999999999999</v>
      </c>
      <c r="AFY8">
        <f>SOFR3mo_PX[[#This Row],[Column857]]</f>
        <v>97.954999999999998</v>
      </c>
      <c r="AFZ8">
        <f>SOFR3mo_PX[[#This Row],[Column858]]</f>
        <v>98.004999999999995</v>
      </c>
      <c r="AGA8">
        <f>SOFR3mo_PX[[#This Row],[Column859]]</f>
        <v>98.045000000000002</v>
      </c>
      <c r="AGB8">
        <f>SOFR3mo_PX[[#This Row],[Column860]]</f>
        <v>98.125</v>
      </c>
      <c r="AGC8">
        <f>SOFR3mo_PX[[#This Row],[Column861]]</f>
        <v>98.234999999999999</v>
      </c>
      <c r="AGD8">
        <f>SOFR3mo_PX[[#This Row],[Column862]]</f>
        <v>98.275000000000006</v>
      </c>
      <c r="AGE8">
        <f>SOFR3mo_PX[[#This Row],[Column863]]</f>
        <v>98.215000000000003</v>
      </c>
      <c r="AGF8">
        <f>SOFR3mo_PX[[#This Row],[Column864]]</f>
        <v>98.245000000000005</v>
      </c>
      <c r="AGG8">
        <f>SOFR3mo_PX[[#This Row],[Column865]]</f>
        <v>98.54</v>
      </c>
      <c r="AGH8">
        <f>SOFR3mo_PX[[#This Row],[Column866]]</f>
        <v>98.32</v>
      </c>
      <c r="AGI8">
        <f>SOFR3mo_PX[[#This Row],[Column867]]</f>
        <v>98.09</v>
      </c>
      <c r="AGJ8">
        <f>SOFR3mo_PX[[#This Row],[Column868]]</f>
        <v>98.125</v>
      </c>
      <c r="AGK8">
        <f>SOFR3mo_PX[[#This Row],[Column869]]</f>
        <v>98.075000000000003</v>
      </c>
      <c r="AGL8">
        <f>SOFR3mo_PX[[#This Row],[Column870]]</f>
        <v>98.11</v>
      </c>
      <c r="AGM8">
        <f>SOFR3mo_PX[[#This Row],[Column871]]</f>
        <v>98.22</v>
      </c>
      <c r="AGN8">
        <f>SOFR3mo_PX[[#This Row],[Column872]]</f>
        <v>98.22</v>
      </c>
      <c r="AGO8">
        <f>SOFR3mo_PX[[#This Row],[Column873]]</f>
        <v>98.19</v>
      </c>
      <c r="AGP8">
        <f>SOFR3mo_PX[[#This Row],[Column874]]</f>
        <v>98.125</v>
      </c>
      <c r="AGQ8">
        <f>SOFR3mo_PX[[#This Row],[Column875]]</f>
        <v>98.07</v>
      </c>
      <c r="AGR8">
        <f>SOFR3mo_PX[[#This Row],[Column876]]</f>
        <v>98.04</v>
      </c>
      <c r="AGS8">
        <f>SOFR3mo_PX[[#This Row],[Column877]]</f>
        <v>98.135000000000005</v>
      </c>
      <c r="AGT8">
        <f>SOFR3mo_PX[[#This Row],[Column878]]</f>
        <v>98.07</v>
      </c>
      <c r="AGU8">
        <f>SOFR3mo_PX[[#This Row],[Column879]]</f>
        <v>98.334999999999994</v>
      </c>
      <c r="AGV8">
        <f>SOFR3mo_PX[[#This Row],[Column880]]</f>
        <v>98.34</v>
      </c>
      <c r="AGW8">
        <f>SOFR3mo_PX[[#This Row],[Column881]]</f>
        <v>98.38</v>
      </c>
      <c r="AGX8">
        <f>SOFR3mo_PX[[#This Row],[Column882]]</f>
        <v>98.35</v>
      </c>
      <c r="AGY8">
        <f>SOFR3mo_PX[[#This Row],[Column883]]</f>
        <v>98.5</v>
      </c>
      <c r="AGZ8">
        <f>SOFR3mo_PX[[#This Row],[Column884]]</f>
        <v>98.54</v>
      </c>
      <c r="AHA8">
        <f>SOFR3mo_PX[[#This Row],[Column885]]</f>
        <v>98.534999999999997</v>
      </c>
      <c r="AHB8">
        <f>SOFR3mo_PX[[#This Row],[Column886]]</f>
        <v>98.534999999999997</v>
      </c>
      <c r="AHC8">
        <f>SOFR3mo_PX[[#This Row],[Column887]]</f>
        <v>98.525000000000006</v>
      </c>
      <c r="AHD8">
        <f>SOFR3mo_PX[[#This Row],[Column888]]</f>
        <v>98.52</v>
      </c>
      <c r="AHE8">
        <f>SOFR3mo_PX[[#This Row],[Column889]]</f>
        <v>98.66</v>
      </c>
      <c r="AHF8">
        <f>SOFR3mo_PX[[#This Row],[Column890]]</f>
        <v>98.754999999999995</v>
      </c>
      <c r="AHG8">
        <f>SOFR3mo_PX[[#This Row],[Column891]]</f>
        <v>98.8</v>
      </c>
      <c r="AHH8">
        <f>SOFR3mo_PX[[#This Row],[Column892]]</f>
        <v>98.724999999999994</v>
      </c>
      <c r="AHI8">
        <f>SOFR3mo_PX[[#This Row],[Column893]]</f>
        <v>98.644999999999996</v>
      </c>
      <c r="AHJ8">
        <f>SOFR3mo_PX[[#This Row],[Column894]]</f>
        <v>98.69</v>
      </c>
      <c r="AHK8">
        <f>SOFR3mo_PX[[#This Row],[Column895]]</f>
        <v>98.655000000000001</v>
      </c>
      <c r="AHL8">
        <f>SOFR3mo_PX[[#This Row],[Column896]]</f>
        <v>98.74</v>
      </c>
      <c r="AHM8">
        <f>SOFR3mo_PX[[#This Row],[Column897]]</f>
        <v>98.74</v>
      </c>
      <c r="AHN8">
        <f>SOFR3mo_PX[[#This Row],[Column898]]</f>
        <v>98.825000000000003</v>
      </c>
      <c r="AHO8">
        <f>SOFR3mo_PX[[#This Row],[Column899]]</f>
        <v>98.82</v>
      </c>
      <c r="AHP8">
        <f>SOFR3mo_PX[[#This Row],[Column900]]</f>
        <v>98.825000000000003</v>
      </c>
      <c r="AHQ8">
        <f>SOFR3mo_PX[[#This Row],[Column901]]</f>
        <v>98.81</v>
      </c>
      <c r="AHR8">
        <f>SOFR3mo_PX[[#This Row],[Column902]]</f>
        <v>98.855000000000004</v>
      </c>
      <c r="AHS8">
        <f>SOFR3mo_PX[[#This Row],[Column903]]</f>
        <v>98.85</v>
      </c>
      <c r="AHT8">
        <f>SOFR3mo_PX[[#This Row],[Column904]]</f>
        <v>98.894999999999996</v>
      </c>
      <c r="AHU8">
        <f>SOFR3mo_PX[[#This Row],[Column905]]</f>
        <v>98.974999999999994</v>
      </c>
      <c r="AHV8">
        <f>SOFR3mo_PX[[#This Row],[Column906]]</f>
        <v>98.95</v>
      </c>
      <c r="AHW8">
        <f>SOFR3mo_PX[[#This Row],[Column907]]</f>
        <v>99.004999999999995</v>
      </c>
      <c r="AHX8">
        <f>SOFR3mo_PX[[#This Row],[Column908]]</f>
        <v>99</v>
      </c>
      <c r="AHY8">
        <f>SOFR3mo_PX[[#This Row],[Column909]]</f>
        <v>98.974999999999994</v>
      </c>
      <c r="AHZ8">
        <f>SOFR3mo_PX[[#This Row],[Column910]]</f>
        <v>98.99</v>
      </c>
      <c r="AIA8">
        <f>SOFR3mo_PX[[#This Row],[Column911]]</f>
        <v>98.98</v>
      </c>
      <c r="AIB8">
        <f>SOFR3mo_PX[[#This Row],[Column912]]</f>
        <v>99.004999999999995</v>
      </c>
      <c r="AIC8">
        <f>SOFR3mo_PX[[#This Row],[Column913]]</f>
        <v>99.004999999999995</v>
      </c>
      <c r="AID8">
        <f>SOFR3mo_PX[[#This Row],[Column914]]</f>
        <v>99.03</v>
      </c>
      <c r="AIE8">
        <f>SOFR3mo_PX[[#This Row],[Column915]]</f>
        <v>99.03</v>
      </c>
      <c r="AIF8">
        <f>SOFR3mo_PX[[#This Row],[Column916]]</f>
        <v>99.084999999999994</v>
      </c>
      <c r="AIG8">
        <f>SOFR3mo_PX[[#This Row],[Column917]]</f>
        <v>99.055000000000007</v>
      </c>
      <c r="AIH8">
        <f>SOFR3mo_PX[[#This Row],[Column918]]</f>
        <v>99.06</v>
      </c>
      <c r="AII8">
        <f>SOFR3mo_PX[[#This Row],[Column919]]</f>
        <v>98.974999999999994</v>
      </c>
      <c r="AIJ8">
        <f>SOFR3mo_PX[[#This Row],[Column920]]</f>
        <v>99.23</v>
      </c>
      <c r="AIK8">
        <f>SOFR3mo_PX[[#This Row],[Column921]]</f>
        <v>99.265000000000001</v>
      </c>
      <c r="AIL8">
        <f>SOFR3mo_PX[[#This Row],[Column922]]</f>
        <v>99.245000000000005</v>
      </c>
      <c r="AIM8">
        <f>SOFR3mo_PX[[#This Row],[Column923]]</f>
        <v>99.215000000000003</v>
      </c>
      <c r="AIN8">
        <f>SOFR3mo_PX[[#This Row],[Column924]]</f>
        <v>99.234999999999999</v>
      </c>
      <c r="AIO8">
        <f>SOFR3mo_PX[[#This Row],[Column925]]</f>
        <v>99.21</v>
      </c>
      <c r="AIP8">
        <f>SOFR3mo_PX[[#This Row],[Column926]]</f>
        <v>99.265000000000001</v>
      </c>
      <c r="AIQ8">
        <f>SOFR3mo_PX[[#This Row],[Column927]]</f>
        <v>99.31</v>
      </c>
      <c r="AIR8">
        <f>SOFR3mo_PX[[#This Row],[Column928]]</f>
        <v>99.265000000000001</v>
      </c>
      <c r="AIS8">
        <f>SOFR3mo_PX[[#This Row],[Column929]]</f>
        <v>99.33</v>
      </c>
      <c r="AIT8">
        <f>SOFR3mo_PX[[#This Row],[Column930]]</f>
        <v>99.36</v>
      </c>
      <c r="AIU8">
        <f>SOFR3mo_PX[[#This Row],[Column931]]</f>
        <v>99.39</v>
      </c>
      <c r="AIV8">
        <f>SOFR3mo_PX[[#This Row],[Column932]]</f>
        <v>99.39</v>
      </c>
      <c r="AIW8">
        <f>SOFR3mo_PX[[#This Row],[Column933]]</f>
        <v>99.215000000000003</v>
      </c>
      <c r="AIX8">
        <f>SOFR3mo_PX[[#This Row],[Column934]]</f>
        <v>99.215000000000003</v>
      </c>
      <c r="AIY8">
        <f>SOFR3mo_PX[[#This Row],[Column935]]</f>
        <v>99.26</v>
      </c>
      <c r="AIZ8">
        <f>SOFR3mo_PX[[#This Row],[Column936]]</f>
        <v>99.224999999999994</v>
      </c>
      <c r="AJA8">
        <f>SOFR3mo_PX[[#This Row],[Column937]]</f>
        <v>99.32</v>
      </c>
      <c r="AJB8">
        <f>SOFR3mo_PX[[#This Row],[Column938]]</f>
        <v>99.325000000000003</v>
      </c>
      <c r="AJC8">
        <f>SOFR3mo_PX[[#This Row],[Column939]]</f>
        <v>99.32</v>
      </c>
      <c r="AJD8">
        <f>SOFR3mo_PX[[#This Row],[Column940]]</f>
        <v>99.295000000000002</v>
      </c>
      <c r="AJE8">
        <f>SOFR3mo_PX[[#This Row],[Column941]]</f>
        <v>99.295000000000002</v>
      </c>
      <c r="AJF8">
        <f>SOFR3mo_PX[[#This Row],[Column942]]</f>
        <v>99.284999999999997</v>
      </c>
      <c r="AJG8">
        <f>SOFR3mo_PX[[#This Row],[Column943]]</f>
        <v>99.28</v>
      </c>
      <c r="AJH8">
        <f>SOFR3mo_PX[[#This Row],[Column944]]</f>
        <v>99.34</v>
      </c>
      <c r="AJI8">
        <f>SOFR3mo_PX[[#This Row],[Column945]]</f>
        <v>99.47</v>
      </c>
      <c r="AJJ8">
        <f>SOFR3mo_PX[[#This Row],[Column946]]</f>
        <v>99.43</v>
      </c>
      <c r="AJK8">
        <f>SOFR3mo_PX[[#This Row],[Column947]]</f>
        <v>99.49</v>
      </c>
      <c r="AJL8">
        <f>SOFR3mo_PX[[#This Row],[Column948]]</f>
        <v>99.454999999999998</v>
      </c>
      <c r="AJM8">
        <f>SOFR3mo_PX[[#This Row],[Column949]]</f>
        <v>99.38</v>
      </c>
      <c r="AJN8">
        <f>SOFR3mo_PX[[#This Row],[Column950]]</f>
        <v>99.41</v>
      </c>
      <c r="AJO8">
        <f>SOFR3mo_PX[[#This Row],[Column951]]</f>
        <v>99.34</v>
      </c>
      <c r="AJP8">
        <f>SOFR3mo_PX[[#This Row],[Column952]]</f>
        <v>99.34</v>
      </c>
      <c r="AJQ8">
        <f>SOFR3mo_PX[[#This Row],[Column953]]</f>
        <v>99.355000000000004</v>
      </c>
      <c r="AJR8">
        <f>SOFR3mo_PX[[#This Row],[Column954]]</f>
        <v>99.37</v>
      </c>
      <c r="AJS8">
        <f>SOFR3mo_PX[[#This Row],[Column955]]</f>
        <v>99.405000000000001</v>
      </c>
      <c r="AJT8">
        <f>SOFR3mo_PX[[#This Row],[Column956]]</f>
        <v>99.42</v>
      </c>
      <c r="AJU8">
        <f>SOFR3mo_PX[[#This Row],[Column957]]</f>
        <v>99.38</v>
      </c>
      <c r="AJV8">
        <f>SOFR3mo_PX[[#This Row],[Column958]]</f>
        <v>99.42</v>
      </c>
      <c r="AJW8">
        <f>SOFR3mo_PX[[#This Row],[Column959]]</f>
        <v>99.5</v>
      </c>
      <c r="AJX8">
        <f>SOFR3mo_PX[[#This Row],[Column960]]</f>
        <v>99.49</v>
      </c>
      <c r="AJY8">
        <f>SOFR3mo_PX[[#This Row],[Column961]]</f>
        <v>99.454999999999998</v>
      </c>
      <c r="AJZ8">
        <f>SOFR3mo_PX[[#This Row],[Column962]]</f>
        <v>99.474999999999994</v>
      </c>
      <c r="AKA8">
        <f>SOFR3mo_PX[[#This Row],[Column963]]</f>
        <v>99.555000000000007</v>
      </c>
      <c r="AKB8">
        <f>SOFR3mo_PX[[#This Row],[Column964]]</f>
        <v>99.534999999999997</v>
      </c>
      <c r="AKC8">
        <f>SOFR3mo_PX[[#This Row],[Column965]]</f>
        <v>99.575000000000003</v>
      </c>
      <c r="AKD8">
        <f>SOFR3mo_PX[[#This Row],[Column966]]</f>
        <v>99.59</v>
      </c>
      <c r="AKE8">
        <f>SOFR3mo_PX[[#This Row],[Column967]]</f>
        <v>99.625</v>
      </c>
      <c r="AKF8">
        <f>SOFR3mo_PX[[#This Row],[Column968]]</f>
        <v>99.644999999999996</v>
      </c>
      <c r="AKG8">
        <f>SOFR3mo_PX[[#This Row],[Column969]]</f>
        <v>99.665000000000006</v>
      </c>
      <c r="AKH8">
        <f>SOFR3mo_PX[[#This Row],[Column970]]</f>
        <v>99.68</v>
      </c>
      <c r="AKI8">
        <f>SOFR3mo_PX[[#This Row],[Column971]]</f>
        <v>99.694999999999993</v>
      </c>
      <c r="AKJ8">
        <f>SOFR3mo_PX[[#This Row],[Column972]]</f>
        <v>99.694999999999993</v>
      </c>
      <c r="AKK8">
        <f>SOFR3mo_PX[[#This Row],[Column973]]</f>
        <v>99.67</v>
      </c>
      <c r="AKL8">
        <f>SOFR3mo_PX[[#This Row],[Column974]]</f>
        <v>99.66</v>
      </c>
      <c r="AKM8">
        <f>SOFR3mo_PX[[#This Row],[Column975]]</f>
        <v>99.65</v>
      </c>
      <c r="AKN8">
        <f>SOFR3mo_PX[[#This Row],[Column976]]</f>
        <v>99.65</v>
      </c>
      <c r="AKO8">
        <f>SOFR3mo_PX[[#This Row],[Column977]]</f>
        <v>99.66</v>
      </c>
      <c r="AKP8">
        <f>SOFR3mo_PX[[#This Row],[Column978]]</f>
        <v>99.685000000000002</v>
      </c>
      <c r="AKQ8">
        <f>SOFR3mo_PX[[#This Row],[Column979]]</f>
        <v>99.71</v>
      </c>
      <c r="AKR8">
        <f>SOFR3mo_PX[[#This Row],[Column980]]</f>
        <v>99.75</v>
      </c>
      <c r="AKS8">
        <f>SOFR3mo_PX[[#This Row],[Column981]]</f>
        <v>99.75</v>
      </c>
      <c r="AKT8">
        <f>SOFR3mo_PX[[#This Row],[Column982]]</f>
        <v>99.734999999999999</v>
      </c>
      <c r="AKU8">
        <f>SOFR3mo_PX[[#This Row],[Column983]]</f>
        <v>99.74</v>
      </c>
      <c r="AKV8">
        <f>SOFR3mo_PX[[#This Row],[Column984]]</f>
        <v>99.75</v>
      </c>
      <c r="AKW8">
        <f>SOFR3mo_PX[[#This Row],[Column985]]</f>
        <v>99.855000000000004</v>
      </c>
      <c r="AKX8">
        <f>SOFR3mo_PX[[#This Row],[Column986]]</f>
        <v>99.85</v>
      </c>
      <c r="AKY8">
        <f>SOFR3mo_PX[[#This Row],[Column987]]</f>
        <v>99.85</v>
      </c>
      <c r="AKZ8">
        <f>SOFR3mo_PX[[#This Row],[Column988]]</f>
        <v>99.85</v>
      </c>
      <c r="ALA8">
        <f>SOFR3mo_PX[[#This Row],[Column989]]</f>
        <v>99.85</v>
      </c>
      <c r="ALB8">
        <f>SOFR3mo_PX[[#This Row],[Column990]]</f>
        <v>99.85</v>
      </c>
      <c r="ALC8">
        <f>SOFR3mo_PX[[#This Row],[Column991]]</f>
        <v>99.86</v>
      </c>
      <c r="ALD8">
        <f>SOFR3mo_PX[[#This Row],[Column992]]</f>
        <v>99.86</v>
      </c>
      <c r="ALE8">
        <f>SOFR3mo_PX[[#This Row],[Column993]]</f>
        <v>99.855000000000004</v>
      </c>
      <c r="ALF8">
        <f>SOFR3mo_PX[[#This Row],[Column994]]</f>
        <v>99.85</v>
      </c>
      <c r="ALG8">
        <f>SOFR3mo_PX[[#This Row],[Column995]]</f>
        <v>99.855000000000004</v>
      </c>
      <c r="ALH8">
        <f>SOFR3mo_PX[[#This Row],[Column996]]</f>
        <v>99.85</v>
      </c>
      <c r="ALI8">
        <f>SOFR3mo_PX[[#This Row],[Column997]]</f>
        <v>99.844999999999999</v>
      </c>
      <c r="ALJ8">
        <f>SOFR3mo_PX[[#This Row],[Column998]]</f>
        <v>99.825000000000003</v>
      </c>
      <c r="ALK8">
        <f>SOFR3mo_PX[[#This Row],[Column999]]</f>
        <v>99.82</v>
      </c>
      <c r="ALL8">
        <f>SOFR3mo_PX[[#This Row],[Column1000]]</f>
        <v>99.82</v>
      </c>
      <c r="ALM8">
        <f>SOFR3mo_PX[[#This Row],[Column1001]]</f>
        <v>99.82</v>
      </c>
      <c r="ALN8">
        <f>SOFR3mo_PX[[#This Row],[Column1002]]</f>
        <v>99.82</v>
      </c>
      <c r="ALO8">
        <f>SOFR3mo_PX[[#This Row],[Column1003]]</f>
        <v>99.82</v>
      </c>
      <c r="ALP8">
        <f>SOFR3mo_PX[[#This Row],[Column1004]]</f>
        <v>99.82</v>
      </c>
      <c r="ALQ8">
        <f>SOFR3mo_PX[[#This Row],[Column1005]]</f>
        <v>99.82</v>
      </c>
      <c r="ALR8">
        <f>SOFR3mo_PX[[#This Row],[Column1006]]</f>
        <v>99.82</v>
      </c>
      <c r="ALS8">
        <f>SOFR3mo_PX[[#This Row],[Column1007]]</f>
        <v>99.814999999999998</v>
      </c>
      <c r="ALT8">
        <f>SOFR3mo_PX[[#This Row],[Column1008]]</f>
        <v>99.805000000000007</v>
      </c>
      <c r="ALU8">
        <f>SOFR3mo_PX[[#This Row],[Column1009]]</f>
        <v>99.814999999999998</v>
      </c>
      <c r="ALV8">
        <f>SOFR3mo_PX[[#This Row],[Column1010]]</f>
        <v>99.8</v>
      </c>
      <c r="ALW8">
        <f>SOFR3mo_PX[[#This Row],[Column1011]]</f>
        <v>99.82</v>
      </c>
      <c r="ALX8">
        <f>SOFR3mo_PX[[#This Row],[Column1012]]</f>
        <v>99.825000000000003</v>
      </c>
      <c r="ALY8">
        <f>SOFR3mo_PX[[#This Row],[Column1013]]</f>
        <v>99.834999999999994</v>
      </c>
      <c r="ALZ8">
        <f>SOFR3mo_PX[[#This Row],[Column1014]]</f>
        <v>99.86</v>
      </c>
      <c r="AMA8">
        <f>SOFR3mo_PX[[#This Row],[Column1015]]</f>
        <v>99.87</v>
      </c>
      <c r="AMB8">
        <f>SOFR3mo_PX[[#This Row],[Column1016]]</f>
        <v>99.864999999999995</v>
      </c>
      <c r="AMC8">
        <f>SOFR3mo_PX[[#This Row],[Column1017]]</f>
        <v>99.85</v>
      </c>
      <c r="AMD8">
        <f>SOFR3mo_PX[[#This Row],[Column1018]]</f>
        <v>99.84</v>
      </c>
      <c r="AME8">
        <f>SOFR3mo_PX[[#This Row],[Column1019]]</f>
        <v>99.825000000000003</v>
      </c>
      <c r="AMF8">
        <f>SOFR3mo_PX[[#This Row],[Column1020]]</f>
        <v>99.834999999999994</v>
      </c>
      <c r="AMG8">
        <f>SOFR3mo_PX[[#This Row],[Column1021]]</f>
        <v>99.825000000000003</v>
      </c>
      <c r="AMH8">
        <f>SOFR3mo_PX[[#This Row],[Column1022]]</f>
        <v>99.82</v>
      </c>
      <c r="AMI8">
        <f>SOFR3mo_PX[[#This Row],[Column1023]]</f>
        <v>99.825000000000003</v>
      </c>
      <c r="AMJ8">
        <f>SOFR3mo_PX[[#This Row],[Column1024]]</f>
        <v>99.82</v>
      </c>
      <c r="AMK8">
        <f>SOFR3mo_PX[[#This Row],[Column1025]]</f>
        <v>99.84</v>
      </c>
      <c r="AML8">
        <f>SOFR3mo_PX[[#This Row],[Column1026]]</f>
        <v>99.814999999999998</v>
      </c>
      <c r="AMM8">
        <f>SOFR3mo_PX[[#This Row],[Column1027]]</f>
        <v>99.79</v>
      </c>
      <c r="AMN8">
        <f>SOFR3mo_PX[[#This Row],[Column1028]]</f>
        <v>99.795000000000002</v>
      </c>
      <c r="AMO8">
        <f>SOFR3mo_PX[[#This Row],[Column1029]]</f>
        <v>99.784999999999997</v>
      </c>
      <c r="AMP8">
        <f>SOFR3mo_PX[[#This Row],[Column1030]]</f>
        <v>99.754999999999995</v>
      </c>
      <c r="AMQ8">
        <f>SOFR3mo_PX[[#This Row],[Column1031]]</f>
        <v>99.795000000000002</v>
      </c>
      <c r="AMR8">
        <f>SOFR3mo_PX[[#This Row],[Column1032]]</f>
        <v>99.81</v>
      </c>
      <c r="AMS8">
        <f>SOFR3mo_PX[[#This Row],[Column1033]]</f>
        <v>99.83</v>
      </c>
      <c r="AMT8">
        <f>SOFR3mo_PX[[#This Row],[Column1034]]</f>
        <v>99.805000000000007</v>
      </c>
      <c r="AMU8">
        <f>SOFR3mo_PX[[#This Row],[Column1035]]</f>
        <v>99.8</v>
      </c>
      <c r="AMV8">
        <f>SOFR3mo_PX[[#This Row],[Column1036]]</f>
        <v>99.78</v>
      </c>
      <c r="AMW8">
        <f>SOFR3mo_PX[[#This Row],[Column1037]]</f>
        <v>99.78</v>
      </c>
      <c r="AMX8">
        <f>SOFR3mo_PX[[#This Row],[Column1038]]</f>
        <v>99.75</v>
      </c>
      <c r="AMY8">
        <f>SOFR3mo_PX[[#This Row],[Column1039]]</f>
        <v>99.76</v>
      </c>
      <c r="AMZ8">
        <f>SOFR3mo_PX[[#This Row],[Column1040]]</f>
        <v>99.754999999999995</v>
      </c>
      <c r="ANA8">
        <f>SOFR3mo_PX[[#This Row],[Column1041]]</f>
        <v>99.76</v>
      </c>
      <c r="ANB8">
        <f>SOFR3mo_PX[[#This Row],[Column1042]]</f>
        <v>99.745000000000005</v>
      </c>
      <c r="ANC8">
        <f>SOFR3mo_PX[[#This Row],[Column1043]]</f>
        <v>99.745000000000005</v>
      </c>
      <c r="AND8">
        <f>SOFR3mo_PX[[#This Row],[Column1044]]</f>
        <v>99.754999999999995</v>
      </c>
      <c r="ANE8">
        <f>SOFR3mo_PX[[#This Row],[Column1045]]</f>
        <v>99.775000000000006</v>
      </c>
      <c r="ANF8">
        <f>SOFR3mo_PX[[#This Row],[Column1046]]</f>
        <v>99.754999999999995</v>
      </c>
      <c r="ANG8">
        <f>SOFR3mo_PX[[#This Row],[Column1047]]</f>
        <v>99.745000000000005</v>
      </c>
      <c r="ANH8">
        <f>SOFR3mo_PX[[#This Row],[Column1048]]</f>
        <v>99.795000000000002</v>
      </c>
      <c r="ANI8">
        <f>SOFR3mo_PX[[#This Row],[Column1049]]</f>
        <v>99.814999999999998</v>
      </c>
      <c r="ANJ8">
        <f>SOFR3mo_PX[[#This Row],[Column1050]]</f>
        <v>99.91</v>
      </c>
      <c r="ANK8">
        <f>SOFR3mo_PX[[#This Row],[Column1051]]</f>
        <v>99.91</v>
      </c>
      <c r="ANL8">
        <f>SOFR3mo_PX[[#This Row],[Column1052]]</f>
        <v>99.915000000000006</v>
      </c>
      <c r="ANM8">
        <f>SOFR3mo_PX[[#This Row],[Column1053]]</f>
        <v>99.92</v>
      </c>
      <c r="ANN8">
        <f>SOFR3mo_PX[[#This Row],[Column1054]]</f>
        <v>99.92</v>
      </c>
      <c r="ANO8">
        <f>SOFR3mo_PX[[#This Row],[Column1055]]</f>
        <v>99.92</v>
      </c>
      <c r="ANP8">
        <f>SOFR3mo_PX[[#This Row],[Column1056]]</f>
        <v>99.92</v>
      </c>
      <c r="ANQ8">
        <f>SOFR3mo_PX[[#This Row],[Column1057]]</f>
        <v>99.924999999999997</v>
      </c>
      <c r="ANR8">
        <f>SOFR3mo_PX[[#This Row],[Column1058]]</f>
        <v>99.92</v>
      </c>
      <c r="ANS8">
        <f>SOFR3mo_PX[[#This Row],[Column1059]]</f>
        <v>99.92</v>
      </c>
      <c r="ANT8">
        <f>SOFR3mo_PX[[#This Row],[Column1060]]</f>
        <v>99.92</v>
      </c>
      <c r="ANU8">
        <f>SOFR3mo_PX[[#This Row],[Column1061]]</f>
        <v>99.92</v>
      </c>
      <c r="ANV8">
        <f>SOFR3mo_PX[[#This Row],[Column1062]]</f>
        <v>99.92</v>
      </c>
      <c r="ANW8">
        <f>SOFR3mo_PX[[#This Row],[Column1063]]</f>
        <v>99.92</v>
      </c>
      <c r="ANX8">
        <f>SOFR3mo_PX[[#This Row],[Column1064]]</f>
        <v>99.915000000000006</v>
      </c>
      <c r="ANY8">
        <f>SOFR3mo_PX[[#This Row],[Column1065]]</f>
        <v>99.915000000000006</v>
      </c>
      <c r="ANZ8">
        <f>SOFR3mo_PX[[#This Row],[Column1066]]</f>
        <v>99.905000000000001</v>
      </c>
      <c r="AOA8">
        <f>SOFR3mo_PX[[#This Row],[Column1067]]</f>
        <v>99.9</v>
      </c>
      <c r="AOB8">
        <f>SOFR3mo_PX[[#This Row],[Column1068]]</f>
        <v>99.9</v>
      </c>
      <c r="AOC8">
        <f>SOFR3mo_PX[[#This Row],[Column1069]]</f>
        <v>99.894999999999996</v>
      </c>
      <c r="AOD8">
        <f>SOFR3mo_PX[[#This Row],[Column1070]]</f>
        <v>99.9</v>
      </c>
      <c r="AOE8">
        <f>SOFR3mo_PX[[#This Row],[Column1071]]</f>
        <v>99.9</v>
      </c>
      <c r="AOF8">
        <f>SOFR3mo_PX[[#This Row],[Column1072]]</f>
        <v>99.9</v>
      </c>
      <c r="AOG8">
        <f>SOFR3mo_PX[[#This Row],[Column1073]]</f>
        <v>99.9</v>
      </c>
      <c r="AOH8">
        <f>SOFR3mo_PX[[#This Row],[Column1074]]</f>
        <v>99.89</v>
      </c>
      <c r="AOI8">
        <f>SOFR3mo_PX[[#This Row],[Column1075]]</f>
        <v>99.9</v>
      </c>
      <c r="AOJ8">
        <f>SOFR3mo_PX[[#This Row],[Column1076]]</f>
        <v>99.905000000000001</v>
      </c>
      <c r="AOK8">
        <f>SOFR3mo_PX[[#This Row],[Column1077]]</f>
        <v>99.91</v>
      </c>
      <c r="AOL8">
        <f>SOFR3mo_PX[[#This Row],[Column1078]]</f>
        <v>99.905000000000001</v>
      </c>
      <c r="AOM8">
        <f>SOFR3mo_PX[[#This Row],[Column1079]]</f>
        <v>99.894999999999996</v>
      </c>
      <c r="AON8">
        <f>SOFR3mo_PX[[#This Row],[Column1080]]</f>
        <v>99.89</v>
      </c>
      <c r="AOO8">
        <f>SOFR3mo_PX[[#This Row],[Column1081]]</f>
        <v>99.89</v>
      </c>
      <c r="AOP8">
        <f>SOFR3mo_PX[[#This Row],[Column1082]]</f>
        <v>99.885000000000005</v>
      </c>
      <c r="AOQ8">
        <f>SOFR3mo_PX[[#This Row],[Column1083]]</f>
        <v>99.885000000000005</v>
      </c>
      <c r="AOR8">
        <f>SOFR3mo_PX[[#This Row],[Column1084]]</f>
        <v>99.88</v>
      </c>
      <c r="AOS8">
        <f>SOFR3mo_PX[[#This Row],[Column1085]]</f>
        <v>99.88</v>
      </c>
      <c r="AOT8">
        <f>SOFR3mo_PX[[#This Row],[Column1086]]</f>
        <v>99.88</v>
      </c>
      <c r="AOU8">
        <f>SOFR3mo_PX[[#This Row],[Column1087]]</f>
        <v>99.885000000000005</v>
      </c>
      <c r="AOV8">
        <f>SOFR3mo_PX[[#This Row],[Column1088]]</f>
        <v>99.885000000000005</v>
      </c>
      <c r="AOW8">
        <f>SOFR3mo_PX[[#This Row],[Column1089]]</f>
        <v>99.89</v>
      </c>
      <c r="AOX8">
        <f>SOFR3mo_PX[[#This Row],[Column1090]]</f>
        <v>99.89</v>
      </c>
      <c r="AOY8">
        <f>SOFR3mo_PX[[#This Row],[Column1091]]</f>
        <v>99.885000000000005</v>
      </c>
      <c r="AOZ8">
        <f>SOFR3mo_PX[[#This Row],[Column1092]]</f>
        <v>99.885000000000005</v>
      </c>
      <c r="APA8">
        <f>SOFR3mo_PX[[#This Row],[Column1093]]</f>
        <v>99.89</v>
      </c>
      <c r="APB8">
        <f>SOFR3mo_PX[[#This Row],[Column1094]]</f>
        <v>99.885000000000005</v>
      </c>
      <c r="APC8">
        <f>SOFR3mo_PX[[#This Row],[Column1095]]</f>
        <v>99.89</v>
      </c>
      <c r="APD8">
        <f>SOFR3mo_PX[[#This Row],[Column1096]]</f>
        <v>99.875</v>
      </c>
      <c r="APE8">
        <f>SOFR3mo_PX[[#This Row],[Column1097]]</f>
        <v>99.88</v>
      </c>
      <c r="APF8">
        <f>SOFR3mo_PX[[#This Row],[Column1098]]</f>
        <v>99.885000000000005</v>
      </c>
      <c r="APG8">
        <f>SOFR3mo_PX[[#This Row],[Column1099]]</f>
        <v>99.88</v>
      </c>
      <c r="APH8">
        <f>SOFR3mo_PX[[#This Row],[Column1100]]</f>
        <v>99.875</v>
      </c>
      <c r="API8">
        <f>SOFR3mo_PX[[#This Row],[Column1101]]</f>
        <v>99.86</v>
      </c>
      <c r="APJ8">
        <f>SOFR3mo_PX[[#This Row],[Column1102]]</f>
        <v>99.84</v>
      </c>
      <c r="APK8">
        <f>SOFR3mo_PX[[#This Row],[Column1103]]</f>
        <v>99.87</v>
      </c>
      <c r="APL8">
        <f>SOFR3mo_PX[[#This Row],[Column1104]]</f>
        <v>99.87</v>
      </c>
      <c r="APM8">
        <f>SOFR3mo_PX[[#This Row],[Column1105]]</f>
        <v>99.88</v>
      </c>
      <c r="APN8">
        <f>SOFR3mo_PX[[#This Row],[Column1106]]</f>
        <v>99.89</v>
      </c>
      <c r="APO8">
        <f>SOFR3mo_PX[[#This Row],[Column1107]]</f>
        <v>99.894999999999996</v>
      </c>
      <c r="APP8">
        <f>SOFR3mo_PX[[#This Row],[Column1108]]</f>
        <v>99.894999999999996</v>
      </c>
      <c r="APQ8">
        <f>SOFR3mo_PX[[#This Row],[Column1109]]</f>
        <v>99.89</v>
      </c>
      <c r="APR8">
        <f>SOFR3mo_PX[[#This Row],[Column1110]]</f>
        <v>99.89</v>
      </c>
      <c r="APS8">
        <f>SOFR3mo_PX[[#This Row],[Column1111]]</f>
        <v>99.89</v>
      </c>
      <c r="APT8">
        <f>SOFR3mo_PX[[#This Row],[Column1112]]</f>
        <v>99.885000000000005</v>
      </c>
      <c r="APU8">
        <f>SOFR3mo_PX[[#This Row],[Column1113]]</f>
        <v>99.88</v>
      </c>
      <c r="APV8">
        <f>SOFR3mo_PX[[#This Row],[Column1114]]</f>
        <v>99.894999999999996</v>
      </c>
      <c r="APW8">
        <f>SOFR3mo_PX[[#This Row],[Column1115]]</f>
        <v>99.915000000000006</v>
      </c>
      <c r="APX8">
        <f>SOFR3mo_PX[[#This Row],[Column1116]]</f>
        <v>99.915000000000006</v>
      </c>
      <c r="APY8">
        <f>SOFR3mo_PX[[#This Row],[Column1117]]</f>
        <v>99.915000000000006</v>
      </c>
      <c r="APZ8">
        <f>SOFR3mo_PX[[#This Row],[Column1118]]</f>
        <v>99.92</v>
      </c>
      <c r="AQA8">
        <f>SOFR3mo_PX[[#This Row],[Column1119]]</f>
        <v>99.92</v>
      </c>
      <c r="AQB8">
        <f>SOFR3mo_PX[[#This Row],[Column1120]]</f>
        <v>99.924999999999997</v>
      </c>
      <c r="AQC8">
        <f>SOFR3mo_PX[[#This Row],[Column1121]]</f>
        <v>99.92</v>
      </c>
      <c r="AQD8">
        <f>SOFR3mo_PX[[#This Row],[Column1122]]</f>
        <v>99.93</v>
      </c>
      <c r="AQE8">
        <f>SOFR3mo_PX[[#This Row],[Column1123]]</f>
        <v>99.92</v>
      </c>
      <c r="AQF8">
        <f>SOFR3mo_PX[[#This Row],[Column1124]]</f>
        <v>99.92</v>
      </c>
      <c r="AQG8">
        <f>SOFR3mo_PX[[#This Row],[Column1125]]</f>
        <v>99.924999999999997</v>
      </c>
      <c r="AQH8">
        <f>SOFR3mo_PX[[#This Row],[Column1126]]</f>
        <v>99.93</v>
      </c>
      <c r="AQI8">
        <f>SOFR3mo_PX[[#This Row],[Column1127]]</f>
        <v>99.92</v>
      </c>
      <c r="AQJ8">
        <f>SOFR3mo_PX[[#This Row],[Column1128]]</f>
        <v>99.915000000000006</v>
      </c>
      <c r="AQK8">
        <f>SOFR3mo_PX[[#This Row],[Column1129]]</f>
        <v>99.924999999999997</v>
      </c>
      <c r="AQL8">
        <f>SOFR3mo_PX[[#This Row],[Column1130]]</f>
        <v>99.924999999999997</v>
      </c>
      <c r="AQM8">
        <f>SOFR3mo_PX[[#This Row],[Column1131]]</f>
        <v>99.93</v>
      </c>
      <c r="AQN8">
        <f>SOFR3mo_PX[[#This Row],[Column1132]]</f>
        <v>99.93</v>
      </c>
      <c r="AQO8">
        <f>SOFR3mo_PX[[#This Row],[Column1133]]</f>
        <v>99.93</v>
      </c>
      <c r="AQP8">
        <f>SOFR3mo_PX[[#This Row],[Column1134]]</f>
        <v>99.93</v>
      </c>
      <c r="AQQ8">
        <f>SOFR3mo_PX[[#This Row],[Column1135]]</f>
        <v>99.924999999999997</v>
      </c>
      <c r="AQR8">
        <f>SOFR3mo_PX[[#This Row],[Column1136]]</f>
        <v>99.935000000000002</v>
      </c>
      <c r="AQS8">
        <f>SOFR3mo_PX[[#This Row],[Column1137]]</f>
        <v>99.935000000000002</v>
      </c>
      <c r="AQT8">
        <f>SOFR3mo_PX[[#This Row],[Column1138]]</f>
        <v>99.935000000000002</v>
      </c>
      <c r="AQU8">
        <f>SOFR3mo_PX[[#This Row],[Column1139]]</f>
        <v>99.935000000000002</v>
      </c>
      <c r="AQV8">
        <f>SOFR3mo_PX[[#This Row],[Column1140]]</f>
        <v>99.935000000000002</v>
      </c>
      <c r="AQW8">
        <f>SOFR3mo_PX[[#This Row],[Column1141]]</f>
        <v>99.935000000000002</v>
      </c>
      <c r="AQX8">
        <f>SOFR3mo_PX[[#This Row],[Column1142]]</f>
        <v>99.94</v>
      </c>
      <c r="AQY8">
        <f>SOFR3mo_PX[[#This Row],[Column1143]]</f>
        <v>99.94</v>
      </c>
      <c r="AQZ8">
        <f>SOFR3mo_PX[[#This Row],[Column1144]]</f>
        <v>99.935000000000002</v>
      </c>
      <c r="ARA8">
        <f>SOFR3mo_PX[[#This Row],[Column1145]]</f>
        <v>99.935000000000002</v>
      </c>
      <c r="ARB8">
        <f>SOFR3mo_PX[[#This Row],[Column1146]]</f>
        <v>99.94</v>
      </c>
      <c r="ARC8">
        <f>SOFR3mo_PX[[#This Row],[Column1147]]</f>
        <v>99.94</v>
      </c>
      <c r="ARD8">
        <f>SOFR3mo_PX[[#This Row],[Column1148]]</f>
        <v>99.935000000000002</v>
      </c>
      <c r="ARE8">
        <f>SOFR3mo_PX[[#This Row],[Column1149]]</f>
        <v>99.935000000000002</v>
      </c>
      <c r="ARF8">
        <f>SOFR3mo_PX[[#This Row],[Column1150]]</f>
        <v>99.935000000000002</v>
      </c>
      <c r="ARG8">
        <f>SOFR3mo_PX[[#This Row],[Column1151]]</f>
        <v>99.935000000000002</v>
      </c>
      <c r="ARH8">
        <f>SOFR3mo_PX[[#This Row],[Column1152]]</f>
        <v>99.935000000000002</v>
      </c>
      <c r="ARI8">
        <f>SOFR3mo_PX[[#This Row],[Column1153]]</f>
        <v>99.935000000000002</v>
      </c>
      <c r="ARJ8">
        <f>SOFR3mo_PX[[#This Row],[Column1154]]</f>
        <v>99.93</v>
      </c>
      <c r="ARK8">
        <f>SOFR3mo_PX[[#This Row],[Column1155]]</f>
        <v>99.93</v>
      </c>
      <c r="ARL8">
        <f>SOFR3mo_PX[[#This Row],[Column1156]]</f>
        <v>99.93</v>
      </c>
      <c r="ARM8">
        <f>SOFR3mo_PX[[#This Row],[Column1157]]</f>
        <v>99.93</v>
      </c>
      <c r="ARN8">
        <f>SOFR3mo_PX[[#This Row],[Column1158]]</f>
        <v>99.924999999999997</v>
      </c>
      <c r="ARO8">
        <f>SOFR3mo_PX[[#This Row],[Column1159]]</f>
        <v>99.915000000000006</v>
      </c>
      <c r="ARP8">
        <f>SOFR3mo_PX[[#This Row],[Column1160]]</f>
        <v>99.91</v>
      </c>
      <c r="ARQ8">
        <f>SOFR3mo_PX[[#This Row],[Column1161]]</f>
        <v>99.915000000000006</v>
      </c>
      <c r="ARR8">
        <f>SOFR3mo_PX[[#This Row],[Column1162]]</f>
        <v>99.92</v>
      </c>
      <c r="ARS8">
        <f>SOFR3mo_PX[[#This Row],[Column1163]]</f>
        <v>99.915000000000006</v>
      </c>
      <c r="ART8">
        <f>SOFR3mo_PX[[#This Row],[Column1164]]</f>
        <v>99.924999999999997</v>
      </c>
      <c r="ARU8">
        <f>SOFR3mo_PX[[#This Row],[Column1165]]</f>
        <v>99.935000000000002</v>
      </c>
      <c r="ARV8">
        <f>SOFR3mo_PX[[#This Row],[Column1166]]</f>
        <v>99.94</v>
      </c>
      <c r="ARW8">
        <f>SOFR3mo_PX[[#This Row],[Column1167]]</f>
        <v>99.935000000000002</v>
      </c>
      <c r="ARX8">
        <f>SOFR3mo_PX[[#This Row],[Column1168]]</f>
        <v>99.935000000000002</v>
      </c>
      <c r="ARY8">
        <f>SOFR3mo_PX[[#This Row],[Column1169]]</f>
        <v>99.924999999999997</v>
      </c>
      <c r="ARZ8">
        <f>SOFR3mo_PX[[#This Row],[Column1170]]</f>
        <v>99.924999999999997</v>
      </c>
      <c r="ASA8">
        <f>SOFR3mo_PX[[#This Row],[Column1171]]</f>
        <v>99.924999999999997</v>
      </c>
      <c r="ASB8">
        <f>SOFR3mo_PX[[#This Row],[Column1172]]</f>
        <v>99.93</v>
      </c>
      <c r="ASC8">
        <f>SOFR3mo_PX[[#This Row],[Column1173]]</f>
        <v>99.93</v>
      </c>
      <c r="ASD8">
        <f>SOFR3mo_PX[[#This Row],[Column1174]]</f>
        <v>99.93</v>
      </c>
      <c r="ASE8">
        <f>SOFR3mo_PX[[#This Row],[Column1175]]</f>
        <v>99.93</v>
      </c>
      <c r="ASF8">
        <f>SOFR3mo_PX[[#This Row],[Column1176]]</f>
        <v>99.93</v>
      </c>
      <c r="ASG8">
        <f>SOFR3mo_PX[[#This Row],[Column1177]]</f>
        <v>99.93</v>
      </c>
      <c r="ASH8">
        <f>SOFR3mo_PX[[#This Row],[Column1178]]</f>
        <v>99.93</v>
      </c>
      <c r="ASI8">
        <f>SOFR3mo_PX[[#This Row],[Column1179]]</f>
        <v>99.935000000000002</v>
      </c>
      <c r="ASJ8">
        <f>SOFR3mo_PX[[#This Row],[Column1180]]</f>
        <v>99.94</v>
      </c>
      <c r="ASK8">
        <f>SOFR3mo_PX[[#This Row],[Column1181]]</f>
        <v>99.935000000000002</v>
      </c>
      <c r="ASL8">
        <f>SOFR3mo_PX[[#This Row],[Column1182]]</f>
        <v>99.935000000000002</v>
      </c>
      <c r="ASM8">
        <f>SOFR3mo_PX[[#This Row],[Column1183]]</f>
        <v>99.93</v>
      </c>
      <c r="ASN8">
        <f>SOFR3mo_PX[[#This Row],[Column1184]]</f>
        <v>99.924999999999997</v>
      </c>
      <c r="ASO8">
        <f>SOFR3mo_PX[[#This Row],[Column1185]]</f>
        <v>99.92</v>
      </c>
      <c r="ASP8">
        <f>SOFR3mo_PX[[#This Row],[Column1186]]</f>
        <v>99.92</v>
      </c>
      <c r="ASQ8">
        <f>SOFR3mo_PX[[#This Row],[Column1187]]</f>
        <v>99.92</v>
      </c>
      <c r="ASR8">
        <f>SOFR3mo_PX[[#This Row],[Column1188]]</f>
        <v>99.915000000000006</v>
      </c>
      <c r="ASS8">
        <f>SOFR3mo_PX[[#This Row],[Column1189]]</f>
        <v>99.92</v>
      </c>
      <c r="AST8">
        <f>SOFR3mo_PX[[#This Row],[Column1190]]</f>
        <v>99.92</v>
      </c>
      <c r="ASU8">
        <f>SOFR3mo_PX[[#This Row],[Column1191]]</f>
        <v>99.924999999999997</v>
      </c>
      <c r="ASV8">
        <f>SOFR3mo_PX[[#This Row],[Column1192]]</f>
        <v>99.93</v>
      </c>
      <c r="ASW8">
        <f>SOFR3mo_PX[[#This Row],[Column1193]]</f>
        <v>99.924999999999997</v>
      </c>
      <c r="ASX8">
        <f>SOFR3mo_PX[[#This Row],[Column1194]]</f>
        <v>99.924999999999997</v>
      </c>
      <c r="ASY8">
        <f>SOFR3mo_PX[[#This Row],[Column1195]]</f>
        <v>99.93</v>
      </c>
      <c r="ASZ8">
        <f>SOFR3mo_PX[[#This Row],[Column1196]]</f>
        <v>99.93</v>
      </c>
      <c r="ATA8">
        <f>SOFR3mo_PX[[#This Row],[Column1197]]</f>
        <v>99.935000000000002</v>
      </c>
      <c r="ATB8">
        <f>SOFR3mo_PX[[#This Row],[Column1198]]</f>
        <v>99.924999999999997</v>
      </c>
      <c r="ATC8">
        <f>SOFR3mo_PX[[#This Row],[Column1199]]</f>
        <v>99.915000000000006</v>
      </c>
      <c r="ATD8">
        <f>SOFR3mo_PX[[#This Row],[Column1200]]</f>
        <v>99.915000000000006</v>
      </c>
      <c r="ATE8">
        <f>SOFR3mo_PX[[#This Row],[Column1201]]</f>
        <v>99.915000000000006</v>
      </c>
      <c r="ATF8">
        <f>SOFR3mo_PX[[#This Row],[Column1202]]</f>
        <v>99.915000000000006</v>
      </c>
      <c r="ATG8">
        <f>SOFR3mo_PX[[#This Row],[Column1203]]</f>
        <v>99.92</v>
      </c>
      <c r="ATH8">
        <f>SOFR3mo_PX[[#This Row],[Column1204]]</f>
        <v>99.915000000000006</v>
      </c>
      <c r="ATI8">
        <f>SOFR3mo_PX[[#This Row],[Column1205]]</f>
        <v>99.92</v>
      </c>
      <c r="ATJ8">
        <f>SOFR3mo_PX[[#This Row],[Column1206]]</f>
        <v>99.92</v>
      </c>
      <c r="ATK8">
        <f>SOFR3mo_PX[[#This Row],[Column1207]]</f>
        <v>99.944999999999993</v>
      </c>
      <c r="ATL8">
        <f>SOFR3mo_PX[[#This Row],[Column1208]]</f>
        <v>99.95</v>
      </c>
      <c r="ATM8">
        <f>SOFR3mo_PX[[#This Row],[Column1209]]</f>
        <v>99.954999999999998</v>
      </c>
      <c r="ATN8">
        <f>SOFR3mo_PX[[#This Row],[Column1210]]</f>
        <v>99.94</v>
      </c>
      <c r="ATO8">
        <f>SOFR3mo_PX[[#This Row],[Column1211]]</f>
        <v>99.944999999999993</v>
      </c>
      <c r="ATP8">
        <f>SOFR3mo_PX[[#This Row],[Column1212]]</f>
        <v>99.95</v>
      </c>
      <c r="ATQ8">
        <f>SOFR3mo_PX[[#This Row],[Column1213]]</f>
        <v>99.95</v>
      </c>
      <c r="ATR8">
        <f>SOFR3mo_PX[[#This Row],[Column1214]]</f>
        <v>99.95</v>
      </c>
      <c r="ATS8">
        <f>SOFR3mo_PX[[#This Row],[Column1215]]</f>
        <v>99.95</v>
      </c>
      <c r="ATT8">
        <f>SOFR3mo_PX[[#This Row],[Column1216]]</f>
        <v>99.95</v>
      </c>
      <c r="ATU8">
        <f>SOFR3mo_PX[[#This Row],[Column1217]]</f>
        <v>99.944999999999993</v>
      </c>
      <c r="ATV8">
        <f>SOFR3mo_PX[[#This Row],[Column1218]]</f>
        <v>99.94</v>
      </c>
      <c r="ATW8">
        <f>SOFR3mo_PX[[#This Row],[Column1219]]</f>
        <v>99.944999999999993</v>
      </c>
      <c r="ATX8">
        <f>SOFR3mo_PX[[#This Row],[Column1220]]</f>
        <v>99.944999999999993</v>
      </c>
      <c r="ATY8">
        <f>SOFR3mo_PX[[#This Row],[Column1221]]</f>
        <v>99.95</v>
      </c>
      <c r="ATZ8">
        <f>SOFR3mo_PX[[#This Row],[Column1222]]</f>
        <v>99.95</v>
      </c>
      <c r="AUA8">
        <f>SOFR3mo_PX[[#This Row],[Column1223]]</f>
        <v>99.944999999999993</v>
      </c>
      <c r="AUB8">
        <f>SOFR3mo_PX[[#This Row],[Column1224]]</f>
        <v>99.954999999999998</v>
      </c>
      <c r="AUC8">
        <f>SOFR3mo_PX[[#This Row],[Column1225]]</f>
        <v>99.954999999999998</v>
      </c>
      <c r="AUD8">
        <f>SOFR3mo_PX[[#This Row],[Column1226]]</f>
        <v>99.944999999999993</v>
      </c>
      <c r="AUE8">
        <f>SOFR3mo_PX[[#This Row],[Column1227]]</f>
        <v>99.944999999999993</v>
      </c>
      <c r="AUF8">
        <f>SOFR3mo_PX[[#This Row],[Column1228]]</f>
        <v>99.954999999999998</v>
      </c>
      <c r="AUG8">
        <f>SOFR3mo_PX[[#This Row],[Column1229]]</f>
        <v>99.95</v>
      </c>
      <c r="AUH8">
        <f>SOFR3mo_PX[[#This Row],[Column1230]]</f>
        <v>99.96</v>
      </c>
      <c r="AUI8">
        <f>SOFR3mo_PX[[#This Row],[Column1231]]</f>
        <v>99.96</v>
      </c>
      <c r="AUJ8">
        <f>SOFR3mo_PX[[#This Row],[Column1232]]</f>
        <v>99.97</v>
      </c>
      <c r="AUK8">
        <f>SOFR3mo_PX[[#This Row],[Column1233]]</f>
        <v>99.97</v>
      </c>
      <c r="AUL8">
        <f>SOFR3mo_PX[[#This Row],[Column1234]]</f>
        <v>99.98</v>
      </c>
      <c r="AUM8">
        <f>SOFR3mo_PX[[#This Row],[Column1235]]</f>
        <v>99.98</v>
      </c>
      <c r="AUN8">
        <f>SOFR3mo_PX[[#This Row],[Column1236]]</f>
        <v>99.98</v>
      </c>
      <c r="AUO8">
        <f>SOFR3mo_PX[[#This Row],[Column1237]]</f>
        <v>99.98</v>
      </c>
      <c r="AUP8">
        <f>SOFR3mo_PX[[#This Row],[Column1238]]</f>
        <v>99.98</v>
      </c>
      <c r="AUQ8">
        <f>SOFR3mo_PX[[#This Row],[Column1239]]</f>
        <v>99.974999999999994</v>
      </c>
      <c r="AUR8">
        <f>SOFR3mo_PX[[#This Row],[Column1240]]</f>
        <v>99.974999999999994</v>
      </c>
      <c r="AUS8">
        <f>SOFR3mo_PX[[#This Row],[Column1241]]</f>
        <v>99.97</v>
      </c>
      <c r="AUT8">
        <f>SOFR3mo_PX[[#This Row],[Column1242]]</f>
        <v>99.965000000000003</v>
      </c>
      <c r="AUU8">
        <f>SOFR3mo_PX[[#This Row],[Column1243]]</f>
        <v>99.98</v>
      </c>
      <c r="AUV8">
        <f>SOFR3mo_PX[[#This Row],[Column1244]]</f>
        <v>99.974999999999994</v>
      </c>
      <c r="AUW8">
        <f>SOFR3mo_PX[[#This Row],[Column1245]]</f>
        <v>99.97</v>
      </c>
      <c r="AUX8">
        <f>SOFR3mo_PX[[#This Row],[Column1246]]</f>
        <v>99.97</v>
      </c>
      <c r="AUY8">
        <f>SOFR3mo_PX[[#This Row],[Column1247]]</f>
        <v>99.974999999999994</v>
      </c>
      <c r="AUZ8">
        <f>SOFR3mo_PX[[#This Row],[Column1248]]</f>
        <v>99.96</v>
      </c>
      <c r="AVA8">
        <f>SOFR3mo_PX[[#This Row],[Column1249]]</f>
        <v>99.954999999999998</v>
      </c>
      <c r="AVB8">
        <f>SOFR3mo_PX[[#This Row],[Column1250]]</f>
        <v>99.96</v>
      </c>
      <c r="AVC8">
        <f>SOFR3mo_PX[[#This Row],[Column1251]]</f>
        <v>99.96</v>
      </c>
      <c r="AVD8">
        <f>SOFR3mo_PX[[#This Row],[Column1252]]</f>
        <v>99.96</v>
      </c>
      <c r="AVE8">
        <f>SOFR3mo_PX[[#This Row],[Column1253]]</f>
        <v>99.974999999999994</v>
      </c>
      <c r="AVF8">
        <f>SOFR3mo_PX[[#This Row],[Column1254]]</f>
        <v>99.965000000000003</v>
      </c>
      <c r="AVG8">
        <f>SOFR3mo_PX[[#This Row],[Column1255]]</f>
        <v>99.974999999999994</v>
      </c>
      <c r="AVH8">
        <f>SOFR3mo_PX[[#This Row],[Column1256]]</f>
        <v>99.974999999999994</v>
      </c>
      <c r="AVI8">
        <f>SOFR3mo_PX[[#This Row],[Column1257]]</f>
        <v>99.974999999999994</v>
      </c>
      <c r="AVJ8">
        <f>SOFR3mo_PX[[#This Row],[Column1258]]</f>
        <v>99.96</v>
      </c>
      <c r="AVK8">
        <f>SOFR3mo_PX[[#This Row],[Column1259]]</f>
        <v>99.965000000000003</v>
      </c>
      <c r="AVL8">
        <f>SOFR3mo_PX[[#This Row],[Column1260]]</f>
        <v>99.97</v>
      </c>
      <c r="AVM8">
        <f>SOFR3mo_PX[[#This Row],[Column1261]]</f>
        <v>99.98</v>
      </c>
      <c r="AVN8">
        <f>SOFR3mo_PX[[#This Row],[Column1262]]</f>
        <v>99.98</v>
      </c>
      <c r="AVO8">
        <f>SOFR3mo_PX[[#This Row],[Column1263]]</f>
        <v>99.98</v>
      </c>
      <c r="AVP8">
        <f>SOFR3mo_PX[[#This Row],[Column1264]]</f>
        <v>99.98</v>
      </c>
      <c r="AVQ8">
        <f>SOFR3mo_PX[[#This Row],[Column1265]]</f>
        <v>99.974999999999994</v>
      </c>
      <c r="AVR8">
        <f>SOFR3mo_PX[[#This Row],[Column1266]]</f>
        <v>99.97</v>
      </c>
      <c r="AVS8">
        <f>SOFR3mo_PX[[#This Row],[Column1267]]</f>
        <v>99.965000000000003</v>
      </c>
      <c r="AVT8">
        <f>SOFR3mo_PX[[#This Row],[Column1268]]</f>
        <v>99.965000000000003</v>
      </c>
      <c r="AVU8">
        <f>SOFR3mo_PX[[#This Row],[Column1269]]</f>
        <v>99.97</v>
      </c>
      <c r="AVV8">
        <f>SOFR3mo_PX[[#This Row],[Column1270]]</f>
        <v>99.97</v>
      </c>
      <c r="AVW8">
        <f>SOFR3mo_PX[[#This Row],[Column1271]]</f>
        <v>99.99</v>
      </c>
      <c r="AVX8">
        <f>SOFR3mo_PX[[#This Row],[Column1272]]</f>
        <v>99.995000000000005</v>
      </c>
      <c r="AVY8">
        <f>SOFR3mo_PX[[#This Row],[Column1273]]</f>
        <v>100.01</v>
      </c>
      <c r="AVZ8">
        <f>SOFR3mo_PX[[#This Row],[Column1274]]</f>
        <v>100.01</v>
      </c>
      <c r="AWA8">
        <f>SOFR3mo_PX[[#This Row],[Column1275]]</f>
        <v>100.02</v>
      </c>
      <c r="AWB8">
        <f>SOFR3mo_PX[[#This Row],[Column1276]]</f>
        <v>100.02</v>
      </c>
      <c r="AWC8">
        <f>SOFR3mo_PX[[#This Row],[Column1277]]</f>
        <v>100.02500000000001</v>
      </c>
      <c r="AWD8">
        <f>SOFR3mo_PX[[#This Row],[Column1278]]</f>
        <v>100.02500000000001</v>
      </c>
      <c r="AWE8">
        <f>SOFR3mo_PX[[#This Row],[Column1279]]</f>
        <v>100.02</v>
      </c>
      <c r="AWF8">
        <f>SOFR3mo_PX[[#This Row],[Column1280]]</f>
        <v>100.01</v>
      </c>
      <c r="AWG8">
        <f>SOFR3mo_PX[[#This Row],[Column1281]]</f>
        <v>100.01</v>
      </c>
      <c r="AWH8">
        <f>SOFR3mo_PX[[#This Row],[Column1282]]</f>
        <v>100.02</v>
      </c>
      <c r="AWI8">
        <f>SOFR3mo_PX[[#This Row],[Column1283]]</f>
        <v>100.02500000000001</v>
      </c>
      <c r="AWJ8">
        <f>SOFR3mo_PX[[#This Row],[Column1284]]</f>
        <v>100.02500000000001</v>
      </c>
      <c r="AWK8">
        <f>SOFR3mo_PX[[#This Row],[Column1285]]</f>
        <v>100.02</v>
      </c>
      <c r="AWL8">
        <f>SOFR3mo_PX[[#This Row],[Column1286]]</f>
        <v>100.015</v>
      </c>
      <c r="AWM8">
        <f>SOFR3mo_PX[[#This Row],[Column1287]]</f>
        <v>100.015</v>
      </c>
      <c r="AWN8">
        <f>SOFR3mo_PX[[#This Row],[Column1288]]</f>
        <v>100.02</v>
      </c>
      <c r="AWO8">
        <f>SOFR3mo_PX[[#This Row],[Column1289]]</f>
        <v>100.02</v>
      </c>
      <c r="AWP8">
        <f>SOFR3mo_PX[[#This Row],[Column1290]]</f>
        <v>100.02500000000001</v>
      </c>
      <c r="AWQ8">
        <f>SOFR3mo_PX[[#This Row],[Column1291]]</f>
        <v>100.02500000000001</v>
      </c>
      <c r="AWR8">
        <f>SOFR3mo_PX[[#This Row],[Column1292]]</f>
        <v>100.03</v>
      </c>
      <c r="AWS8">
        <f>SOFR3mo_PX[[#This Row],[Column1293]]</f>
        <v>100.03</v>
      </c>
      <c r="AWT8">
        <f>SOFR3mo_PX[[#This Row],[Column1294]]</f>
        <v>100.02500000000001</v>
      </c>
      <c r="AWU8">
        <f>SOFR3mo_PX[[#This Row],[Column1295]]</f>
        <v>100.02500000000001</v>
      </c>
      <c r="AWV8">
        <f>SOFR3mo_PX[[#This Row],[Column1296]]</f>
        <v>100.02500000000001</v>
      </c>
      <c r="AWW8">
        <f>SOFR3mo_PX[[#This Row],[Column1297]]</f>
        <v>100.02500000000001</v>
      </c>
      <c r="AWX8">
        <f>SOFR3mo_PX[[#This Row],[Column1298]]</f>
        <v>100.02500000000001</v>
      </c>
      <c r="AWY8">
        <f>SOFR3mo_PX[[#This Row],[Column1299]]</f>
        <v>100.02</v>
      </c>
      <c r="AWZ8">
        <f>SOFR3mo_PX[[#This Row],[Column1300]]</f>
        <v>100.03</v>
      </c>
      <c r="AXA8">
        <f>SOFR3mo_PX[[#This Row],[Column1301]]</f>
        <v>100.02500000000001</v>
      </c>
      <c r="AXB8">
        <f>SOFR3mo_PX[[#This Row],[Column1302]]</f>
        <v>100.015</v>
      </c>
      <c r="AXC8">
        <f>SOFR3mo_PX[[#This Row],[Column1303]]</f>
        <v>100</v>
      </c>
      <c r="AXD8">
        <f>SOFR3mo_PX[[#This Row],[Column1304]]</f>
        <v>100.005</v>
      </c>
      <c r="AXE8">
        <f>SOFR3mo_PX[[#This Row],[Column1305]]</f>
        <v>100.005</v>
      </c>
      <c r="AXF8">
        <f>SOFR3mo_PX[[#This Row],[Column1306]]</f>
        <v>100</v>
      </c>
      <c r="AXG8">
        <f>SOFR3mo_PX[[#This Row],[Column1307]]</f>
        <v>99.995000000000005</v>
      </c>
      <c r="AXH8">
        <f>SOFR3mo_PX[[#This Row],[Column1308]]</f>
        <v>99.984999999999999</v>
      </c>
      <c r="AXI8">
        <f>SOFR3mo_PX[[#This Row],[Column1309]]</f>
        <v>99.98</v>
      </c>
      <c r="AXJ8">
        <f>SOFR3mo_PX[[#This Row],[Column1310]]</f>
        <v>99.965000000000003</v>
      </c>
      <c r="AXK8">
        <f>SOFR3mo_PX[[#This Row],[Column1311]]</f>
        <v>99.974999999999994</v>
      </c>
      <c r="AXL8">
        <f>SOFR3mo_PX[[#This Row],[Column1312]]</f>
        <v>99.97</v>
      </c>
      <c r="AXM8">
        <f>SOFR3mo_PX[[#This Row],[Column1313]]</f>
        <v>99.99</v>
      </c>
      <c r="AXN8">
        <f>SOFR3mo_PX[[#This Row],[Column1314]]</f>
        <v>99.974999999999994</v>
      </c>
      <c r="AXO8">
        <f>SOFR3mo_PX[[#This Row],[Column1315]]</f>
        <v>99.954999999999998</v>
      </c>
      <c r="AXP8">
        <f>SOFR3mo_PX[[#This Row],[Column1316]]</f>
        <v>99.94</v>
      </c>
      <c r="AXQ8">
        <f>SOFR3mo_PX[[#This Row],[Column1317]]</f>
        <v>99.944999999999993</v>
      </c>
      <c r="AXR8">
        <f>SOFR3mo_PX[[#This Row],[Column1318]]</f>
        <v>99.965000000000003</v>
      </c>
      <c r="AXS8">
        <f>SOFR3mo_PX[[#This Row],[Column1319]]</f>
        <v>99.974999999999994</v>
      </c>
      <c r="AXT8">
        <f>SOFR3mo_PX[[#This Row],[Column1320]]</f>
        <v>100</v>
      </c>
      <c r="AXU8">
        <f>SOFR3mo_PX[[#This Row],[Column1321]]</f>
        <v>100</v>
      </c>
      <c r="AXV8">
        <f>SOFR3mo_PX[[#This Row],[Column1322]]</f>
        <v>99.99</v>
      </c>
      <c r="AXW8">
        <f>SOFR3mo_PX[[#This Row],[Column1323]]</f>
        <v>99.984999999999999</v>
      </c>
      <c r="AXX8">
        <f>SOFR3mo_PX[[#This Row],[Column1324]]</f>
        <v>99.984999999999999</v>
      </c>
      <c r="AXY8">
        <f>SOFR3mo_PX[[#This Row],[Column1325]]</f>
        <v>99.99</v>
      </c>
      <c r="AXZ8">
        <f>SOFR3mo_PX[[#This Row],[Column1326]]</f>
        <v>99.995000000000005</v>
      </c>
      <c r="AYA8">
        <f>SOFR3mo_PX[[#This Row],[Column1327]]</f>
        <v>99.995000000000005</v>
      </c>
      <c r="AYB8">
        <f>SOFR3mo_PX[[#This Row],[Column1328]]</f>
        <v>99.995000000000005</v>
      </c>
      <c r="AYC8">
        <f>SOFR3mo_PX[[#This Row],[Column1329]]</f>
        <v>99.995000000000005</v>
      </c>
      <c r="AYD8">
        <f>SOFR3mo_PX[[#This Row],[Column1330]]</f>
        <v>99.99</v>
      </c>
      <c r="AYE8">
        <f>SOFR3mo_PX[[#This Row],[Column1331]]</f>
        <v>99.99</v>
      </c>
      <c r="AYF8">
        <f>SOFR3mo_PX[[#This Row],[Column1332]]</f>
        <v>100.01</v>
      </c>
      <c r="AYG8">
        <f>SOFR3mo_PX[[#This Row],[Column1333]]</f>
        <v>100.005</v>
      </c>
      <c r="AYH8">
        <f>SOFR3mo_PX[[#This Row],[Column1334]]</f>
        <v>100</v>
      </c>
      <c r="AYI8">
        <f>SOFR3mo_PX[[#This Row],[Column1335]]</f>
        <v>99.995000000000005</v>
      </c>
      <c r="AYJ8">
        <f>SOFR3mo_PX[[#This Row],[Column1336]]</f>
        <v>99.99</v>
      </c>
      <c r="AYK8">
        <f>SOFR3mo_PX[[#This Row],[Column1337]]</f>
        <v>100.01</v>
      </c>
      <c r="AYL8">
        <f>SOFR3mo_PX[[#This Row],[Column1338]]</f>
        <v>100.02500000000001</v>
      </c>
      <c r="AYM8">
        <f>SOFR3mo_PX[[#This Row],[Column1339]]</f>
        <v>99.97</v>
      </c>
      <c r="AYN8">
        <f>SOFR3mo_PX[[#This Row],[Column1340]]</f>
        <v>99.95</v>
      </c>
      <c r="AYO8">
        <f>SOFR3mo_PX[[#This Row],[Column1341]]</f>
        <v>99.95</v>
      </c>
      <c r="AYP8">
        <f>SOFR3mo_PX[[#This Row],[Column1342]]</f>
        <v>99.94</v>
      </c>
      <c r="AYQ8">
        <f>SOFR3mo_PX[[#This Row],[Column1343]]</f>
        <v>99.944999999999993</v>
      </c>
      <c r="AYR8">
        <f>SOFR3mo_PX[[#This Row],[Column1344]]</f>
        <v>99.94</v>
      </c>
      <c r="AYS8">
        <f>SOFR3mo_PX[[#This Row],[Column1345]]</f>
        <v>99.93</v>
      </c>
      <c r="AYT8">
        <f>SOFR3mo_PX[[#This Row],[Column1346]]</f>
        <v>99.93</v>
      </c>
      <c r="AYU8">
        <f>SOFR3mo_PX[[#This Row],[Column1347]]</f>
        <v>99.93</v>
      </c>
      <c r="AYV8">
        <f>SOFR3mo_PX[[#This Row],[Column1348]]</f>
        <v>99.93</v>
      </c>
      <c r="AYW8">
        <f>SOFR3mo_PX[[#This Row],[Column1349]]</f>
        <v>99.92</v>
      </c>
      <c r="AYX8">
        <f>SOFR3mo_PX[[#This Row],[Column1350]]</f>
        <v>99.924999999999997</v>
      </c>
      <c r="AYY8">
        <f>SOFR3mo_PX[[#This Row],[Column1351]]</f>
        <v>99.915000000000006</v>
      </c>
      <c r="AYZ8">
        <f>SOFR3mo_PX[[#This Row],[Column1352]]</f>
        <v>99.91</v>
      </c>
      <c r="AZA8">
        <f>SOFR3mo_PX[[#This Row],[Column1353]]</f>
        <v>99.9</v>
      </c>
      <c r="AZB8">
        <f>SOFR3mo_PX[[#This Row],[Column1354]]</f>
        <v>99.9</v>
      </c>
      <c r="AZC8">
        <f>SOFR3mo_PX[[#This Row],[Column1355]]</f>
        <v>99.885000000000005</v>
      </c>
      <c r="AZD8">
        <f>SOFR3mo_PX[[#This Row],[Column1356]]</f>
        <v>99.885000000000005</v>
      </c>
      <c r="AZE8">
        <f>SOFR3mo_PX[[#This Row],[Column1357]]</f>
        <v>99.894999999999996</v>
      </c>
      <c r="AZF8">
        <f>SOFR3mo_PX[[#This Row],[Column1358]]</f>
        <v>99.894999999999996</v>
      </c>
      <c r="AZG8">
        <f>SOFR3mo_PX[[#This Row],[Column1359]]</f>
        <v>99.875</v>
      </c>
      <c r="AZH8">
        <f>SOFR3mo_PX[[#This Row],[Column1360]]</f>
        <v>99.87</v>
      </c>
      <c r="AZI8">
        <f>SOFR3mo_PX[[#This Row],[Column1361]]</f>
        <v>99.894999999999996</v>
      </c>
      <c r="AZJ8">
        <f>SOFR3mo_PX[[#This Row],[Column1362]]</f>
        <v>99.92</v>
      </c>
      <c r="AZK8">
        <f>SOFR3mo_PX[[#This Row],[Column1363]]</f>
        <v>99.92</v>
      </c>
      <c r="AZL8">
        <f>SOFR3mo_PX[[#This Row],[Column1364]]</f>
        <v>99.91</v>
      </c>
      <c r="AZM8">
        <f>SOFR3mo_PX[[#This Row],[Column1365]]</f>
        <v>99.9</v>
      </c>
      <c r="AZN8">
        <f>SOFR3mo_PX[[#This Row],[Column1366]]</f>
        <v>99.9</v>
      </c>
      <c r="AZO8">
        <f>SOFR3mo_PX[[#This Row],[Column1367]]</f>
        <v>99.9</v>
      </c>
      <c r="AZP8">
        <f>SOFR3mo_PX[[#This Row],[Column1368]]</f>
        <v>99.89</v>
      </c>
      <c r="AZQ8">
        <f>SOFR3mo_PX[[#This Row],[Column1369]]</f>
        <v>99.855000000000004</v>
      </c>
      <c r="AZR8">
        <f>SOFR3mo_PX[[#This Row],[Column1370]]</f>
        <v>99.84</v>
      </c>
      <c r="AZS8">
        <f>SOFR3mo_PX[[#This Row],[Column1371]]</f>
        <v>99.875</v>
      </c>
      <c r="AZT8">
        <f>SOFR3mo_PX[[#This Row],[Column1372]]</f>
        <v>99.834999999999994</v>
      </c>
      <c r="AZU8">
        <f>SOFR3mo_PX[[#This Row],[Column1373]]</f>
        <v>99.78</v>
      </c>
      <c r="AZV8">
        <f>SOFR3mo_PX[[#This Row],[Column1374]]</f>
        <v>99.75</v>
      </c>
      <c r="AZW8">
        <f>SOFR3mo_PX[[#This Row],[Column1375]]</f>
        <v>99.79</v>
      </c>
      <c r="AZX8">
        <f>SOFR3mo_PX[[#This Row],[Column1376]]</f>
        <v>99.84</v>
      </c>
      <c r="AZY8">
        <f>SOFR3mo_PX[[#This Row],[Column1377]]</f>
        <v>99.825000000000003</v>
      </c>
      <c r="AZZ8">
        <f>SOFR3mo_PX[[#This Row],[Column1378]]</f>
        <v>99.805000000000007</v>
      </c>
      <c r="BAA8">
        <f>SOFR3mo_PX[[#This Row],[Column1379]]</f>
        <v>99.76</v>
      </c>
      <c r="BAB8">
        <f>SOFR3mo_PX[[#This Row],[Column1380]]</f>
        <v>99.724999999999994</v>
      </c>
      <c r="BAC8">
        <f>SOFR3mo_PX[[#This Row],[Column1381]]</f>
        <v>99.82</v>
      </c>
      <c r="BAD8">
        <f>SOFR3mo_PX[[#This Row],[Column1382]]</f>
        <v>99.74</v>
      </c>
      <c r="BAE8">
        <f>SOFR3mo_PX[[#This Row],[Column1383]]</f>
        <v>99.66</v>
      </c>
      <c r="BAF8">
        <f>SOFR3mo_PX[[#This Row],[Column1384]]</f>
        <v>99.594999999999999</v>
      </c>
      <c r="BAG8">
        <f>SOFR3mo_PX[[#This Row],[Column1385]]</f>
        <v>99.515000000000001</v>
      </c>
      <c r="BAH8">
        <f>SOFR3mo_PX[[#This Row],[Column1386]]</f>
        <v>99.424999999999997</v>
      </c>
      <c r="BAI8">
        <f>SOFR3mo_PX[[#This Row],[Column1387]]</f>
        <v>99.415000000000006</v>
      </c>
      <c r="BAJ8">
        <f>SOFR3mo_PX[[#This Row],[Column1388]]</f>
        <v>99.2</v>
      </c>
      <c r="BAK8">
        <f>SOFR3mo_PX[[#This Row],[Column1389]]</f>
        <v>99.125</v>
      </c>
      <c r="BAL8">
        <f>SOFR3mo_PX[[#This Row],[Column1390]]</f>
        <v>99.08</v>
      </c>
      <c r="BAM8">
        <f>SOFR3mo_PX[[#This Row],[Column1391]]</f>
        <v>99.03</v>
      </c>
      <c r="BAN8">
        <f>SOFR3mo_PX[[#This Row],[Column1392]]</f>
        <v>98.94</v>
      </c>
      <c r="BAO8">
        <f>SOFR3mo_PX[[#This Row],[Column1393]]</f>
        <v>98.88</v>
      </c>
      <c r="BAP8">
        <f>SOFR3mo_PX[[#This Row],[Column1394]]</f>
        <v>98.84</v>
      </c>
      <c r="BAQ8">
        <f>SOFR3mo_PX[[#This Row],[Column1395]]</f>
        <v>98.864999999999995</v>
      </c>
      <c r="BAR8">
        <f>SOFR3mo_PX[[#This Row],[Column1396]]</f>
        <v>98.834999999999994</v>
      </c>
      <c r="BAS8">
        <f>SOFR3mo_PX[[#This Row],[Column1397]]</f>
        <v>98.834999999999994</v>
      </c>
      <c r="BAT8">
        <f>SOFR3mo_PX[[#This Row],[Column1398]]</f>
        <v>98.805000000000007</v>
      </c>
      <c r="BAU8">
        <f>SOFR3mo_PX[[#This Row],[Column1399]]</f>
        <v>98.8</v>
      </c>
      <c r="BAV8">
        <f>SOFR3mo_PX[[#This Row],[Column1400]]</f>
        <v>98.83</v>
      </c>
      <c r="BAW8">
        <f>SOFR3mo_PX[[#This Row],[Column1401]]</f>
        <v>98.864999999999995</v>
      </c>
      <c r="BAX8">
        <f>SOFR3mo_PX[[#This Row],[Column1402]]</f>
        <v>98.83</v>
      </c>
      <c r="BAY8">
        <f>SOFR3mo_PX[[#This Row],[Column1403]]</f>
        <v>98.784999999999997</v>
      </c>
      <c r="BAZ8">
        <f>SOFR3mo_PX[[#This Row],[Column1404]]</f>
        <v>98.8</v>
      </c>
      <c r="BBA8">
        <f>SOFR3mo_PX[[#This Row],[Column1405]]</f>
        <v>98.834999999999994</v>
      </c>
      <c r="BBB8">
        <f>SOFR3mo_PX[[#This Row],[Column1406]]</f>
        <v>98.92</v>
      </c>
      <c r="BBC8">
        <f>SOFR3mo_PX[[#This Row],[Column1407]]</f>
        <v>98.95</v>
      </c>
      <c r="BBD8">
        <f>SOFR3mo_PX[[#This Row],[Column1408]]</f>
        <v>98.894999999999996</v>
      </c>
      <c r="BBE8">
        <f>SOFR3mo_PX[[#This Row],[Column1409]]</f>
        <v>98.855000000000004</v>
      </c>
      <c r="BBF8">
        <f>SOFR3mo_PX[[#This Row],[Column1410]]</f>
        <v>98.81</v>
      </c>
      <c r="BBG8">
        <f>SOFR3mo_PX[[#This Row],[Column1411]]</f>
        <v>98.844999999999999</v>
      </c>
      <c r="BBH8">
        <f>SOFR3mo_PX[[#This Row],[Column1412]]</f>
        <v>98.775000000000006</v>
      </c>
      <c r="BBI8">
        <f>SOFR3mo_PX[[#This Row],[Column1413]]</f>
        <v>98.724999999999994</v>
      </c>
      <c r="BBJ8">
        <f>SOFR3mo_PX[[#This Row],[Column1414]]</f>
        <v>98.71</v>
      </c>
      <c r="BBK8">
        <f>SOFR3mo_PX[[#This Row],[Column1415]]</f>
        <v>98.7</v>
      </c>
      <c r="BBL8">
        <f>SOFR3mo_PX[[#This Row],[Column1416]]</f>
        <v>98.65</v>
      </c>
      <c r="BBM8">
        <f>SOFR3mo_PX[[#This Row],[Column1417]]</f>
        <v>98.65</v>
      </c>
      <c r="BBN8">
        <f>SOFR3mo_PX[[#This Row],[Column1418]]</f>
        <v>98.665000000000006</v>
      </c>
      <c r="BBO8">
        <f>SOFR3mo_PX[[#This Row],[Column1419]]</f>
        <v>98.665000000000006</v>
      </c>
      <c r="BBP8">
        <f>SOFR3mo_PX[[#This Row],[Column1420]]</f>
        <v>98.66</v>
      </c>
      <c r="BBQ8">
        <f>SOFR3mo_PX[[#This Row],[Column1421]]</f>
        <v>98.655000000000001</v>
      </c>
      <c r="BBR8">
        <f>SOFR3mo_PX[[#This Row],[Column1422]]</f>
        <v>98.66</v>
      </c>
      <c r="BBS8">
        <f>SOFR3mo_PX[[#This Row],[Column1423]]</f>
        <v>98.655000000000001</v>
      </c>
      <c r="BBT8">
        <f>SOFR3mo_PX[[#This Row],[Column1424]]</f>
        <v>98.65</v>
      </c>
      <c r="BBU8">
        <f>SOFR3mo_PX[[#This Row],[Column1425]]</f>
        <v>98.694999999999993</v>
      </c>
      <c r="BBV8">
        <f>SOFR3mo_PX[[#This Row],[Column1426]]</f>
        <v>98.694999999999993</v>
      </c>
      <c r="BBW8">
        <f>SOFR3mo_PX[[#This Row],[Column1427]]</f>
        <v>98.7</v>
      </c>
      <c r="BBX8">
        <f>SOFR3mo_PX[[#This Row],[Column1428]]</f>
        <v>98.63</v>
      </c>
      <c r="BBY8">
        <f>SOFR3mo_PX[[#This Row],[Column1429]]</f>
        <v>98.625</v>
      </c>
      <c r="BBZ8">
        <f>SOFR3mo_PX[[#This Row],[Column1430]]</f>
        <v>98.625</v>
      </c>
      <c r="BCA8">
        <f>SOFR3mo_PX[[#This Row],[Column1431]]</f>
        <v>98.63</v>
      </c>
      <c r="BCB8">
        <f>SOFR3mo_PX[[#This Row],[Column1432]]</f>
        <v>98.63</v>
      </c>
      <c r="BCC8">
        <f>SOFR3mo_PX[[#This Row],[Column1433]]</f>
        <v>98.6</v>
      </c>
      <c r="BCD8">
        <f>SOFR3mo_PX[[#This Row],[Column1434]]</f>
        <v>98.6</v>
      </c>
      <c r="BCE8">
        <f>SOFR3mo_PX[[#This Row],[Column1435]]</f>
        <v>98.6</v>
      </c>
      <c r="BCF8">
        <f>SOFR3mo_PX[[#This Row],[Column1436]]</f>
        <v>98.584999999999994</v>
      </c>
      <c r="BCG8">
        <f>SOFR3mo_PX[[#This Row],[Column1437]]</f>
        <v>98.62</v>
      </c>
      <c r="BCH8">
        <f>SOFR3mo_PX[[#This Row],[Column1438]]</f>
        <v>98.635000000000005</v>
      </c>
      <c r="BCI8">
        <f>SOFR3mo_PX[[#This Row],[Column1439]]</f>
        <v>98.61</v>
      </c>
      <c r="BCJ8">
        <f>SOFR3mo_PX[[#This Row],[Column1440]]</f>
        <v>98.614999999999995</v>
      </c>
      <c r="BCK8">
        <f>SOFR3mo_PX[[#This Row],[Column1441]]</f>
        <v>98.614999999999995</v>
      </c>
      <c r="BCL8">
        <f>SOFR3mo_PX[[#This Row],[Column1442]]</f>
        <v>98.67</v>
      </c>
      <c r="BCM8">
        <f>SOFR3mo_PX[[#This Row],[Column1443]]</f>
        <v>98.61</v>
      </c>
      <c r="BCN8">
        <f>SOFR3mo_PX[[#This Row],[Column1444]]</f>
        <v>98.67</v>
      </c>
      <c r="BCO8">
        <f>SOFR3mo_PX[[#This Row],[Column1445]]</f>
        <v>98.64</v>
      </c>
      <c r="BCP8">
        <f>SOFR3mo_PX[[#This Row],[Column1446]]</f>
        <v>98.665000000000006</v>
      </c>
      <c r="BCQ8">
        <f>SOFR3mo_PX[[#This Row],[Column1447]]</f>
        <v>98.67</v>
      </c>
      <c r="BCR8">
        <f>SOFR3mo_PX[[#This Row],[Column1448]]</f>
        <v>98.71</v>
      </c>
      <c r="BCS8">
        <f>SOFR3mo_PX[[#This Row],[Column1449]]</f>
        <v>98.715000000000003</v>
      </c>
      <c r="BCT8">
        <f>SOFR3mo_PX[[#This Row],[Column1450]]</f>
        <v>98.78</v>
      </c>
      <c r="BCU8">
        <f>SOFR3mo_PX[[#This Row],[Column1451]]</f>
        <v>98.674999999999997</v>
      </c>
      <c r="BCV8">
        <f>SOFR3mo_PX[[#This Row],[Column1452]]</f>
        <v>98.694999999999993</v>
      </c>
      <c r="BCW8">
        <f>SOFR3mo_PX[[#This Row],[Column1453]]</f>
        <v>98.68</v>
      </c>
      <c r="BCX8">
        <f>SOFR3mo_PX[[#This Row],[Column1454]]</f>
        <v>98.68</v>
      </c>
      <c r="BCY8">
        <f>SOFR3mo_PX[[#This Row],[Column1455]]</f>
        <v>98.715000000000003</v>
      </c>
      <c r="BCZ8">
        <f>SOFR3mo_PX[[#This Row],[Column1456]]</f>
        <v>98.71</v>
      </c>
      <c r="BDA8">
        <f>SOFR3mo_PX[[#This Row],[Column1457]]</f>
        <v>98.704999999999998</v>
      </c>
      <c r="BDB8">
        <f>SOFR3mo_PX[[#This Row],[Column1458]]</f>
        <v>98.734999999999999</v>
      </c>
      <c r="BDC8">
        <f>SOFR3mo_PX[[#This Row],[Column1459]]</f>
        <v>98.765000000000001</v>
      </c>
      <c r="BDD8">
        <f>SOFR3mo_PX[[#This Row],[Column1460]]</f>
        <v>98.734999999999999</v>
      </c>
      <c r="BDE8">
        <f>SOFR3mo_PX[[#This Row],[Column1461]]</f>
        <v>98.72</v>
      </c>
      <c r="BDF8">
        <f>SOFR3mo_PX[[#This Row],[Column1462]]</f>
        <v>98.7</v>
      </c>
      <c r="BDG8">
        <f>SOFR3mo_PX[[#This Row],[Column1463]]</f>
        <v>98.71</v>
      </c>
      <c r="BDH8">
        <f>SOFR3mo_PX[[#This Row],[Column1464]]</f>
        <v>98.665000000000006</v>
      </c>
      <c r="BDI8">
        <f>SOFR3mo_PX[[#This Row],[Column1465]]</f>
        <v>98.63</v>
      </c>
      <c r="BDJ8">
        <f>SOFR3mo_PX[[#This Row],[Column1466]]</f>
        <v>98.6</v>
      </c>
      <c r="BDK8">
        <f>SOFR3mo_PX[[#This Row],[Column1467]]</f>
        <v>98.61</v>
      </c>
      <c r="BDL8">
        <f>SOFR3mo_PX[[#This Row],[Column1468]]</f>
        <v>98.594999999999999</v>
      </c>
      <c r="BDM8">
        <f>SOFR3mo_PX[[#This Row],[Column1469]]</f>
        <v>98.68</v>
      </c>
      <c r="BDN8">
        <f>SOFR3mo_PX[[#This Row],[Column1470]]</f>
        <v>98.65</v>
      </c>
      <c r="BDO8">
        <f>SOFR3mo_PX[[#This Row],[Column1471]]</f>
        <v>98.69</v>
      </c>
      <c r="BDP8">
        <f>SOFR3mo_PX[[#This Row],[Column1472]]</f>
        <v>98.734999999999999</v>
      </c>
      <c r="BDQ8">
        <f>SOFR3mo_PX[[#This Row],[Column1473]]</f>
        <v>98.805000000000007</v>
      </c>
      <c r="BDR8">
        <f>SOFR3mo_PX[[#This Row],[Column1474]]</f>
        <v>98.685000000000002</v>
      </c>
      <c r="BDS8">
        <f>SOFR3mo_PX[[#This Row],[Column1475]]</f>
        <v>98.67</v>
      </c>
      <c r="BDT8">
        <f>SOFR3mo_PX[[#This Row],[Column1476]]</f>
        <v>98.674999999999997</v>
      </c>
      <c r="BDU8">
        <f>SOFR3mo_PX[[#This Row],[Column1477]]</f>
        <v>98.7</v>
      </c>
      <c r="BDV8">
        <f>SOFR3mo_PX[[#This Row],[Column1478]]</f>
        <v>98.754999999999995</v>
      </c>
      <c r="BDW8">
        <f>SOFR3mo_PX[[#This Row],[Column1479]]</f>
        <v>98.76</v>
      </c>
      <c r="BDX8">
        <f>SOFR3mo_PX[[#This Row],[Column1480]]</f>
        <v>98.74</v>
      </c>
      <c r="BDY8">
        <f>SOFR3mo_PX[[#This Row],[Column1481]]</f>
        <v>98.715000000000003</v>
      </c>
      <c r="BDZ8">
        <f>SOFR3mo_PX[[#This Row],[Column1482]]</f>
        <v>98.74</v>
      </c>
      <c r="BEA8">
        <f>SOFR3mo_PX[[#This Row],[Column1483]]</f>
        <v>98.71</v>
      </c>
      <c r="BEB8">
        <f>SOFR3mo_PX[[#This Row],[Column1484]]</f>
        <v>98.734999999999999</v>
      </c>
      <c r="BEC8">
        <f>SOFR3mo_PX[[#This Row],[Column1485]]</f>
        <v>98.69</v>
      </c>
      <c r="BED8">
        <f>SOFR3mo_PX[[#This Row],[Column1486]]</f>
        <v>98.724999999999994</v>
      </c>
      <c r="BEE8">
        <f>SOFR3mo_PX[[#This Row],[Column1487]]</f>
        <v>98.704999999999998</v>
      </c>
      <c r="BEF8">
        <f>SOFR3mo_PX[[#This Row],[Column1488]]</f>
        <v>98.83</v>
      </c>
      <c r="BEG8">
        <f>SOFR3mo_PX[[#This Row],[Column1489]]</f>
        <v>98.894999999999996</v>
      </c>
      <c r="BEH8">
        <f>SOFR3mo_PX[[#This Row],[Column1490]]</f>
        <v>98.965000000000003</v>
      </c>
      <c r="BEI8">
        <f>SOFR3mo_PX[[#This Row],[Column1491]]</f>
        <v>98.915000000000006</v>
      </c>
      <c r="BEJ8">
        <f>SOFR3mo_PX[[#This Row],[Column1492]]</f>
        <v>98.984999999999999</v>
      </c>
      <c r="BEK8">
        <f>SOFR3mo_PX[[#This Row],[Column1493]]</f>
        <v>98.995000000000005</v>
      </c>
      <c r="BEL8">
        <f>SOFR3mo_PX[[#This Row],[Column1494]]</f>
        <v>98.885000000000005</v>
      </c>
      <c r="BEM8">
        <f>SOFR3mo_PX[[#This Row],[Column1495]]</f>
        <v>98.81</v>
      </c>
      <c r="BEN8">
        <f>SOFR3mo_PX[[#This Row],[Column1496]]</f>
        <v>98.74</v>
      </c>
      <c r="BEO8">
        <f>SOFR3mo_PX[[#This Row],[Column1497]]</f>
        <v>98.75</v>
      </c>
      <c r="BEP8">
        <f>SOFR3mo_PX[[#This Row],[Column1498]]</f>
        <v>98.74</v>
      </c>
      <c r="BEQ8">
        <f>SOFR3mo_PX[[#This Row],[Column1499]]</f>
        <v>98.73</v>
      </c>
      <c r="BER8">
        <f>SOFR3mo_PX[[#This Row],[Column1500]]</f>
        <v>98.82</v>
      </c>
      <c r="BES8">
        <f>SOFR3mo_PX[[#This Row],[Column1501]]</f>
        <v>98.724999999999994</v>
      </c>
      <c r="BET8">
        <f>SOFR3mo_PX[[#This Row],[Column1502]]</f>
        <v>98.69</v>
      </c>
      <c r="BEU8">
        <f>SOFR3mo_PX[[#This Row],[Column1503]]</f>
        <v>98.7</v>
      </c>
      <c r="BEV8">
        <f>SOFR3mo_PX[[#This Row],[Column1504]]</f>
        <v>98.674999999999997</v>
      </c>
      <c r="BEW8">
        <f>SOFR3mo_PX[[#This Row],[Column1505]]</f>
        <v>98.644999999999996</v>
      </c>
      <c r="BEX8">
        <f>SOFR3mo_PX[[#This Row],[Column1506]]</f>
        <v>98.614999999999995</v>
      </c>
      <c r="BEY8">
        <f>SOFR3mo_PX[[#This Row],[Column1507]]</f>
        <v>98.555000000000007</v>
      </c>
      <c r="BEZ8">
        <f>SOFR3mo_PX[[#This Row],[Column1508]]</f>
        <v>98.635000000000005</v>
      </c>
      <c r="BFA8">
        <f>SOFR3mo_PX[[#This Row],[Column1509]]</f>
        <v>98.715000000000003</v>
      </c>
      <c r="BFB8">
        <f>SOFR3mo_PX[[#This Row],[Column1510]]</f>
        <v>98.73</v>
      </c>
      <c r="BFC8">
        <f>SOFR3mo_PX[[#This Row],[Column1511]]</f>
        <v>98.834999999999994</v>
      </c>
      <c r="BFD8">
        <f>SOFR3mo_PX[[#This Row],[Column1512]]</f>
        <v>98.894999999999996</v>
      </c>
      <c r="BFE8">
        <f>SOFR3mo_PX[[#This Row],[Column1513]]</f>
        <v>98.894999999999996</v>
      </c>
      <c r="BFF8">
        <f>SOFR3mo_PX[[#This Row],[Column1514]]</f>
        <v>99.01</v>
      </c>
      <c r="BFG8">
        <f>SOFR3mo_PX[[#This Row],[Column1515]]</f>
        <v>98.97</v>
      </c>
      <c r="BFH8">
        <f>SOFR3mo_PX[[#This Row],[Column1516]]</f>
        <v>98.894999999999996</v>
      </c>
      <c r="BFI8">
        <f>SOFR3mo_PX[[#This Row],[Column1517]]</f>
        <v>98.894999999999996</v>
      </c>
      <c r="BFJ8">
        <f>SOFR3mo_PX[[#This Row],[Column1518]]</f>
        <v>98.87</v>
      </c>
      <c r="BFK8">
        <f>SOFR3mo_PX[[#This Row],[Column1519]]</f>
        <v>98.915000000000006</v>
      </c>
      <c r="BFL8">
        <f>SOFR3mo_PX[[#This Row],[Column1520]]</f>
        <v>98.885000000000005</v>
      </c>
      <c r="BFM8">
        <f>SOFR3mo_PX[[#This Row],[Column1521]]</f>
        <v>98.86</v>
      </c>
      <c r="BFN8">
        <f>SOFR3mo_PX[[#This Row],[Column1522]]</f>
        <v>98.89</v>
      </c>
      <c r="BFO8">
        <f>SOFR3mo_PX[[#This Row],[Column1523]]</f>
        <v>98.795000000000002</v>
      </c>
      <c r="BFP8">
        <f>SOFR3mo_PX[[#This Row],[Column1524]]</f>
        <v>98.834999999999994</v>
      </c>
      <c r="BFQ8">
        <f>SOFR3mo_PX[[#This Row],[Column1525]]</f>
        <v>98.88</v>
      </c>
      <c r="BFR8">
        <f>SOFR3mo_PX[[#This Row],[Column1526]]</f>
        <v>98.844999999999999</v>
      </c>
      <c r="BFS8">
        <f>SOFR3mo_PX[[#This Row],[Column1527]]</f>
        <v>98.905000000000001</v>
      </c>
      <c r="BFT8">
        <f>SOFR3mo_PX[[#This Row],[Column1528]]</f>
        <v>98.894999999999996</v>
      </c>
      <c r="BFU8">
        <f>SOFR3mo_PX[[#This Row],[Column1529]]</f>
        <v>98.82</v>
      </c>
      <c r="BFV8">
        <f>SOFR3mo_PX[[#This Row],[Column1530]]</f>
        <v>98.734999999999999</v>
      </c>
      <c r="BFW8">
        <f>SOFR3mo_PX[[#This Row],[Column1531]]</f>
        <v>98.84</v>
      </c>
      <c r="BFX8">
        <f>SOFR3mo_PX[[#This Row],[Column1532]]</f>
        <v>98.77</v>
      </c>
      <c r="BFY8">
        <f>SOFR3mo_PX[[#This Row],[Column1533]]</f>
        <v>98.814999999999998</v>
      </c>
      <c r="BFZ8">
        <f>SOFR3mo_PX[[#This Row],[Column1534]]</f>
        <v>98.89</v>
      </c>
      <c r="BGA8">
        <f>SOFR3mo_PX[[#This Row],[Column1535]]</f>
        <v>98.81</v>
      </c>
      <c r="BGB8">
        <f>SOFR3mo_PX[[#This Row],[Column1536]]</f>
        <v>98.87</v>
      </c>
      <c r="BGC8">
        <f>SOFR3mo_PX[[#This Row],[Column1537]]</f>
        <v>98.65</v>
      </c>
      <c r="BGD8">
        <f>SOFR3mo_PX[[#This Row],[Column1538]]</f>
        <v>98.63</v>
      </c>
      <c r="BGE8">
        <f>SOFR3mo_PX[[#This Row],[Column1539]]</f>
        <v>98.444999999999993</v>
      </c>
      <c r="BGF8">
        <f>SOFR3mo_PX[[#This Row],[Column1540]]</f>
        <v>98.515000000000001</v>
      </c>
      <c r="BGG8">
        <f>SOFR3mo_PX[[#This Row],[Column1541]]</f>
        <v>98.525000000000006</v>
      </c>
      <c r="BGH8">
        <f>SOFR3mo_PX[[#This Row],[Column1542]]</f>
        <v>98.51</v>
      </c>
      <c r="BGI8">
        <f>SOFR3mo_PX[[#This Row],[Column1543]]</f>
        <v>98.545000000000002</v>
      </c>
      <c r="BGJ8">
        <f>SOFR3mo_PX[[#This Row],[Column1544]]</f>
        <v>98.575000000000003</v>
      </c>
      <c r="BGK8">
        <f>SOFR3mo_PX[[#This Row],[Column1545]]</f>
        <v>98.57</v>
      </c>
      <c r="BGL8">
        <f>SOFR3mo_PX[[#This Row],[Column1546]]</f>
        <v>98.6</v>
      </c>
      <c r="BGM8">
        <f>SOFR3mo_PX[[#This Row],[Column1547]]</f>
        <v>98.584999999999994</v>
      </c>
      <c r="BGN8">
        <f>SOFR3mo_PX[[#This Row],[Column1548]]</f>
        <v>98.635000000000005</v>
      </c>
      <c r="BGO8">
        <f>SOFR3mo_PX[[#This Row],[Column1549]]</f>
        <v>98.55</v>
      </c>
      <c r="BGP8">
        <f>SOFR3mo_PX[[#This Row],[Column1550]]</f>
        <v>98.504999999999995</v>
      </c>
      <c r="BGQ8">
        <f>SOFR3mo_PX[[#This Row],[Column1551]]</f>
        <v>98.534999999999997</v>
      </c>
      <c r="BGR8">
        <f>SOFR3mo_PX[[#This Row],[Column1552]]</f>
        <v>98.525000000000006</v>
      </c>
      <c r="BGS8">
        <f>SOFR3mo_PX[[#This Row],[Column1553]]</f>
        <v>98.504999999999995</v>
      </c>
      <c r="BGT8">
        <f>SOFR3mo_PX[[#This Row],[Column1554]]</f>
        <v>98.534999999999997</v>
      </c>
      <c r="BGU8">
        <f>SOFR3mo_PX[[#This Row],[Column1555]]</f>
        <v>98.47</v>
      </c>
      <c r="BGV8">
        <f>SOFR3mo_PX[[#This Row],[Column1556]]</f>
        <v>98.49</v>
      </c>
      <c r="BGW8">
        <f>SOFR3mo_PX[[#This Row],[Column1557]]</f>
        <v>98.484999999999999</v>
      </c>
      <c r="BGX8">
        <f>SOFR3mo_PX[[#This Row],[Column1558]]</f>
        <v>98.605000000000004</v>
      </c>
      <c r="BGY8">
        <f>SOFR3mo_PX[[#This Row],[Column1559]]</f>
        <v>98.605000000000004</v>
      </c>
      <c r="BGZ8">
        <f>SOFR3mo_PX[[#This Row],[Column1560]]</f>
        <v>98.6</v>
      </c>
      <c r="BHA8">
        <f>SOFR3mo_PX[[#This Row],[Column1561]]</f>
        <v>98.564999999999998</v>
      </c>
      <c r="BHB8">
        <f>SOFR3mo_PX[[#This Row],[Column1562]]</f>
        <v>98.62</v>
      </c>
      <c r="BHC8">
        <f>SOFR3mo_PX[[#This Row],[Column1563]]</f>
        <v>98.635000000000005</v>
      </c>
      <c r="BHD8">
        <f>SOFR3mo_PX[[#This Row],[Column1564]]</f>
        <v>98.605000000000004</v>
      </c>
      <c r="BHE8">
        <f>SOFR3mo_PX[[#This Row],[Column1565]]</f>
        <v>98.69</v>
      </c>
      <c r="BHF8">
        <f>SOFR3mo_PX[[#This Row],[Column1566]]</f>
        <v>98.674999999999997</v>
      </c>
      <c r="BHG8">
        <f>SOFR3mo_PX[[#This Row],[Column1567]]</f>
        <v>98.625</v>
      </c>
      <c r="BHH8">
        <f>SOFR3mo_PX[[#This Row],[Column1568]]</f>
        <v>98.68</v>
      </c>
      <c r="BHI8">
        <f>SOFR3mo_PX[[#This Row],[Column1569]]</f>
        <v>98.66</v>
      </c>
      <c r="BHJ8">
        <f>SOFR3mo_PX[[#This Row],[Column1570]]</f>
        <v>98.47</v>
      </c>
      <c r="BHK8">
        <f>SOFR3mo_PX[[#This Row],[Column1571]]</f>
        <v>98.48</v>
      </c>
      <c r="BHL8">
        <f>SOFR3mo_PX[[#This Row],[Column1572]]</f>
        <v>98.51</v>
      </c>
      <c r="BHM8">
        <f>SOFR3mo_PX[[#This Row],[Column1573]]</f>
        <v>98.515000000000001</v>
      </c>
      <c r="BHN8">
        <f>SOFR3mo_PX[[#This Row],[Column1574]]</f>
        <v>98.444999999999993</v>
      </c>
      <c r="BHO8">
        <f>SOFR3mo_PX[[#This Row],[Column1575]]</f>
        <v>98.4</v>
      </c>
      <c r="BHP8">
        <f>SOFR3mo_PX[[#This Row],[Column1576]]</f>
        <v>98.415000000000006</v>
      </c>
      <c r="BHQ8">
        <f>SOFR3mo_PX[[#This Row],[Column1577]]</f>
        <v>98.47</v>
      </c>
      <c r="BHR8">
        <f>SOFR3mo_PX[[#This Row],[Column1578]]</f>
        <v>98.454999999999998</v>
      </c>
      <c r="BHS8">
        <f>SOFR3mo_PX[[#This Row],[Column1579]]</f>
        <v>98.52</v>
      </c>
      <c r="BHT8">
        <f>SOFR3mo_PX[[#This Row],[Column1580]]</f>
        <v>98.49</v>
      </c>
      <c r="BHU8">
        <f>SOFR3mo_PX[[#This Row],[Column1581]]</f>
        <v>98.525000000000006</v>
      </c>
      <c r="BHV8">
        <f>SOFR3mo_PX[[#This Row],[Column1582]]</f>
        <v>98.4</v>
      </c>
      <c r="BHW8">
        <f>SOFR3mo_PX[[#This Row],[Column1583]]</f>
        <v>98.25</v>
      </c>
      <c r="BHX8">
        <f>SOFR3mo_PX[[#This Row],[Column1584]]</f>
        <v>98.25</v>
      </c>
      <c r="BHY8">
        <f>SOFR3mo_PX[[#This Row],[Column1585]]</f>
        <v>98.21</v>
      </c>
      <c r="BHZ8">
        <f>SOFR3mo_PX[[#This Row],[Column1586]]</f>
        <v>98.16</v>
      </c>
      <c r="BIA8">
        <f>SOFR3mo_PX[[#This Row],[Column1587]]</f>
        <v>98.16</v>
      </c>
      <c r="BIB8">
        <f>SOFR3mo_PX[[#This Row],[Column1588]]</f>
        <v>98.194999999999993</v>
      </c>
      <c r="BIC8">
        <f>SOFR3mo_PX[[#This Row],[Column1589]]</f>
        <v>98.064999999999998</v>
      </c>
      <c r="BID8">
        <f>SOFR3mo_PX[[#This Row],[Column1590]]</f>
        <v>98.034999999999997</v>
      </c>
      <c r="BIE8">
        <f>SOFR3mo_PX[[#This Row],[Column1591]]</f>
        <v>98.075000000000003</v>
      </c>
      <c r="BIF8">
        <f>SOFR3mo_PX[[#This Row],[Column1592]]</f>
        <v>98.09</v>
      </c>
      <c r="BIG8">
        <f>SOFR3mo_PX[[#This Row],[Column1593]]</f>
        <v>98.084999999999994</v>
      </c>
      <c r="BIH8">
        <f>SOFR3mo_PX[[#This Row],[Column1594]]</f>
        <v>98.13</v>
      </c>
      <c r="BII8">
        <f>SOFR3mo_PX[[#This Row],[Column1595]]</f>
        <v>98.075000000000003</v>
      </c>
      <c r="BIJ8">
        <f>SOFR3mo_PX[[#This Row],[Column1596]]</f>
        <v>98.08</v>
      </c>
      <c r="BIK8">
        <f>SOFR3mo_PX[[#This Row],[Column1597]]</f>
        <v>97.99</v>
      </c>
      <c r="BIL8">
        <f>SOFR3mo_PX[[#This Row],[Column1598]]</f>
        <v>97.97</v>
      </c>
      <c r="BIM8">
        <f>SOFR3mo_PX[[#This Row],[Column1599]]</f>
        <v>97.935000000000002</v>
      </c>
      <c r="BIN8">
        <f>SOFR3mo_PX[[#This Row],[Column1600]]</f>
        <v>97.954999999999998</v>
      </c>
      <c r="BIO8">
        <f>SOFR3mo_PX[[#This Row],[Column1601]]</f>
        <v>97.92</v>
      </c>
      <c r="BIP8">
        <f>SOFR3mo_PX[[#This Row],[Column1602]]</f>
        <v>97.885000000000005</v>
      </c>
      <c r="BIQ8">
        <f>SOFR3mo_PX[[#This Row],[Column1603]]</f>
        <v>97.875</v>
      </c>
      <c r="BIR8">
        <f>SOFR3mo_PX[[#This Row],[Column1604]]</f>
        <v>97.935000000000002</v>
      </c>
      <c r="BIS8">
        <f>SOFR3mo_PX[[#This Row],[Column1605]]</f>
        <v>97.974999999999994</v>
      </c>
      <c r="BIT8">
        <f>SOFR3mo_PX[[#This Row],[Column1606]]</f>
        <v>97.95</v>
      </c>
      <c r="BIU8">
        <f>SOFR3mo_PX[[#This Row],[Column1607]]</f>
        <v>97.95</v>
      </c>
      <c r="BIV8">
        <f>SOFR3mo_PX[[#This Row],[Column1608]]</f>
        <v>97.91</v>
      </c>
      <c r="BIW8">
        <f>SOFR3mo_PX[[#This Row],[Column1609]]</f>
        <v>97.93</v>
      </c>
      <c r="BIX8">
        <f>SOFR3mo_PX[[#This Row],[Column1610]]</f>
        <v>97.88</v>
      </c>
      <c r="BIY8">
        <f>SOFR3mo_PX[[#This Row],[Column1611]]</f>
        <v>97.86</v>
      </c>
      <c r="BIZ8">
        <f>SOFR3mo_PX[[#This Row],[Column1612]]</f>
        <v>97.85</v>
      </c>
      <c r="BJA8">
        <f>SOFR3mo_PX[[#This Row],[Column1613]]</f>
        <v>97.85</v>
      </c>
      <c r="BJB8">
        <f>SOFR3mo_PX[[#This Row],[Column1614]]</f>
        <v>97.83</v>
      </c>
      <c r="BJC8">
        <f>SOFR3mo_PX[[#This Row],[Column1615]]</f>
        <v>97.82</v>
      </c>
      <c r="BJD8">
        <f>SOFR3mo_PX[[#This Row],[Column1616]]</f>
        <v>97.844999999999999</v>
      </c>
      <c r="BJE8">
        <f>SOFR3mo_PX[[#This Row],[Column1617]]</f>
        <v>97.84</v>
      </c>
      <c r="BJF8">
        <f>SOFR3mo_PX[[#This Row],[Column1618]]</f>
        <v>97.905000000000001</v>
      </c>
      <c r="BJG8">
        <f>SOFR3mo_PX[[#This Row],[Column1619]]</f>
        <v>97.94</v>
      </c>
      <c r="BJH8">
        <f>SOFR3mo_PX[[#This Row],[Column1620]]</f>
        <v>97.92</v>
      </c>
      <c r="BJI8">
        <f>SOFR3mo_PX[[#This Row],[Column1621]]</f>
        <v>97.9</v>
      </c>
      <c r="BJJ8">
        <f>SOFR3mo_PX[[#This Row],[Column1622]]</f>
        <v>97.91</v>
      </c>
      <c r="BJK8">
        <f>SOFR3mo_PX[[#This Row],[Column1623]]</f>
        <v>97.92</v>
      </c>
      <c r="BJL8">
        <f>SOFR3mo_PX[[#This Row],[Column1624]]</f>
        <v>97.93</v>
      </c>
      <c r="BJM8">
        <f>SOFR3mo_PX[[#This Row],[Column1625]]</f>
        <v>97.95</v>
      </c>
      <c r="BJN8">
        <f>SOFR3mo_PX[[#This Row],[Column1626]]</f>
        <v>97.94</v>
      </c>
      <c r="BJO8">
        <f>SOFR3mo_PX[[#This Row],[Column1627]]</f>
        <v>98.015000000000001</v>
      </c>
      <c r="BJP8">
        <f>SOFR3mo_PX[[#This Row],[Column1628]]</f>
        <v>98.084999999999994</v>
      </c>
      <c r="BJQ8">
        <f>SOFR3mo_PX[[#This Row],[Column1629]]</f>
        <v>98.11</v>
      </c>
      <c r="BJR8">
        <f>SOFR3mo_PX[[#This Row],[Column1630]]</f>
        <v>98.05</v>
      </c>
      <c r="BJS8">
        <f>SOFR3mo_PX[[#This Row],[Column1631]]</f>
        <v>98.08</v>
      </c>
      <c r="BJT8">
        <f>SOFR3mo_PX[[#This Row],[Column1632]]</f>
        <v>97.965000000000003</v>
      </c>
      <c r="BJU8">
        <f>SOFR3mo_PX[[#This Row],[Column1633]]</f>
        <v>97.834999999999994</v>
      </c>
      <c r="BJV8">
        <f>SOFR3mo_PX[[#This Row],[Column1634]]</f>
        <v>97.825000000000003</v>
      </c>
      <c r="BJW8">
        <f>SOFR3mo_PX[[#This Row],[Column1635]]</f>
        <v>97.694999999999993</v>
      </c>
      <c r="BJX8">
        <f>SOFR3mo_PX[[#This Row],[Column1636]]</f>
        <v>97.71</v>
      </c>
      <c r="BJY8">
        <f>SOFR3mo_PX[[#This Row],[Column1637]]</f>
        <v>97.715000000000003</v>
      </c>
      <c r="BJZ8">
        <f>SOFR3mo_PX[[#This Row],[Column1638]]</f>
        <v>97.69</v>
      </c>
      <c r="BKA8">
        <f>SOFR3mo_PX[[#This Row],[Column1639]]</f>
        <v>97.69</v>
      </c>
      <c r="BKB8">
        <f>SOFR3mo_PX[[#This Row],[Column1640]]</f>
        <v>97.685000000000002</v>
      </c>
      <c r="BKC8">
        <f>SOFR3mo_PX[[#This Row],[Column1641]]</f>
        <v>97.665000000000006</v>
      </c>
      <c r="BKD8">
        <f>SOFR3mo_PX[[#This Row],[Column1642]]</f>
        <v>97.674999999999997</v>
      </c>
      <c r="BKE8">
        <f>SOFR3mo_PX[[#This Row],[Column1643]]</f>
        <v>97.665000000000006</v>
      </c>
      <c r="BKF8">
        <f>SOFR3mo_PX[[#This Row],[Column1644]]</f>
        <v>97.605000000000004</v>
      </c>
      <c r="BKG8">
        <f>SOFR3mo_PX[[#This Row],[Column1645]]</f>
        <v>97.57</v>
      </c>
      <c r="BKH8">
        <f>SOFR3mo_PX[[#This Row],[Column1646]]</f>
        <v>97.575000000000003</v>
      </c>
      <c r="BKI8">
        <f>SOFR3mo_PX[[#This Row],[Column1647]]</f>
        <v>97.564999999999998</v>
      </c>
      <c r="BKJ8">
        <f>SOFR3mo_PX[[#This Row],[Column1648]]</f>
        <v>97.625</v>
      </c>
      <c r="BKK8">
        <f>SOFR3mo_PX[[#This Row],[Column1649]]</f>
        <v>97.644999999999996</v>
      </c>
      <c r="BKL8">
        <f>SOFR3mo_PX[[#This Row],[Column1650]]</f>
        <v>97.665000000000006</v>
      </c>
      <c r="BKM8">
        <f>SOFR3mo_PX[[#This Row],[Column1651]]</f>
        <v>97.644999999999996</v>
      </c>
      <c r="BKN8">
        <f>SOFR3mo_PX[[#This Row],[Column1652]]</f>
        <v>97.65</v>
      </c>
      <c r="BKO8">
        <f>SOFR3mo_PX[[#This Row],[Column1653]]</f>
        <v>97.62</v>
      </c>
      <c r="BKP8">
        <f>SOFR3mo_PX[[#This Row],[Column1654]]</f>
        <v>97.644999999999996</v>
      </c>
      <c r="BKQ8">
        <f>SOFR3mo_PX[[#This Row],[Column1655]]</f>
        <v>97.64</v>
      </c>
      <c r="BKR8">
        <f>SOFR3mo_PX[[#This Row],[Column1656]]</f>
        <v>97.63</v>
      </c>
      <c r="BKS8">
        <f>SOFR3mo_PX[[#This Row],[Column1657]]</f>
        <v>97.63</v>
      </c>
      <c r="BKT8">
        <f>SOFR3mo_PX[[#This Row],[Column1658]]</f>
        <v>97.635000000000005</v>
      </c>
      <c r="BKU8">
        <f>SOFR3mo_PX[[#This Row],[Column1659]]</f>
        <v>97.6</v>
      </c>
      <c r="BKV8">
        <f>SOFR3mo_PX[[#This Row],[Column1660]]</f>
        <v>97.65</v>
      </c>
      <c r="BKW8">
        <f>SOFR3mo_PX[[#This Row],[Column1661]]</f>
        <v>97.68</v>
      </c>
      <c r="BKX8">
        <f>SOFR3mo_PX[[#This Row],[Column1662]]</f>
        <v>97.7</v>
      </c>
      <c r="BKY8">
        <f>SOFR3mo_PX[[#This Row],[Column1663]]</f>
        <v>97.68</v>
      </c>
      <c r="BKZ8">
        <f>SOFR3mo_PX[[#This Row],[Column1664]]</f>
        <v>97.64</v>
      </c>
      <c r="BLA8">
        <f>SOFR3mo_PX[[#This Row],[Column1665]]</f>
        <v>97.635000000000005</v>
      </c>
      <c r="BLB8">
        <f>SOFR3mo_PX[[#This Row],[Column1666]]</f>
        <v>97.635000000000005</v>
      </c>
      <c r="BLC8">
        <f>SOFR3mo_PX[[#This Row],[Column1667]]</f>
        <v>97.66</v>
      </c>
      <c r="BLD8">
        <f>SOFR3mo_PX[[#This Row],[Column1668]]</f>
        <v>97.685000000000002</v>
      </c>
      <c r="BLE8">
        <f>SOFR3mo_PX[[#This Row],[Column1669]]</f>
        <v>97.614999999999995</v>
      </c>
      <c r="BLF8">
        <f>SOFR3mo_PX[[#This Row],[Column1670]]</f>
        <v>97.575000000000003</v>
      </c>
      <c r="BLG8">
        <f>SOFR3mo_PX[[#This Row],[Column1671]]</f>
        <v>97.575000000000003</v>
      </c>
      <c r="BLH8">
        <f>SOFR3mo_PX[[#This Row],[Column1672]]</f>
        <v>97.564999999999998</v>
      </c>
      <c r="BLI8">
        <f>SOFR3mo_PX[[#This Row],[Column1673]]</f>
        <v>97.59</v>
      </c>
      <c r="BLJ8">
        <f>SOFR3mo_PX[[#This Row],[Column1674]]</f>
        <v>97.58</v>
      </c>
      <c r="BLK8">
        <f>SOFR3mo_PX[[#This Row],[Column1675]]</f>
        <v>97.584999999999994</v>
      </c>
      <c r="BLL8">
        <f>SOFR3mo_PX[[#This Row],[Column1676]]</f>
        <v>97.545000000000002</v>
      </c>
      <c r="BLM8">
        <f>SOFR3mo_PX[[#This Row],[Column1677]]</f>
        <v>97.545000000000002</v>
      </c>
      <c r="BLN8">
        <f>SOFR3mo_PX[[#This Row],[Column1678]]</f>
        <v>97.61</v>
      </c>
      <c r="BLO8">
        <f>SOFR3mo_PX[[#This Row],[Column1679]]</f>
        <v>97.64</v>
      </c>
      <c r="BLP8">
        <f>SOFR3mo_PX[[#This Row],[Column1680]]</f>
        <v>97.665000000000006</v>
      </c>
      <c r="BLQ8">
        <f>SOFR3mo_PX[[#This Row],[Column1681]]</f>
        <v>97.65</v>
      </c>
      <c r="BLR8">
        <f>SOFR3mo_PX[[#This Row],[Column1682]]</f>
        <v>97.655000000000001</v>
      </c>
      <c r="BLS8">
        <f>SOFR3mo_PX[[#This Row],[Column1683]]</f>
        <v>97.64</v>
      </c>
      <c r="BLT8">
        <f>SOFR3mo_PX[[#This Row],[Column1684]]</f>
        <v>97.644999999999996</v>
      </c>
      <c r="BLU8">
        <f>SOFR3mo_PX[[#This Row],[Column1685]]</f>
        <v>97.644999999999996</v>
      </c>
      <c r="BLV8">
        <f>SOFR3mo_PX[[#This Row],[Column1686]]</f>
        <v>97.715000000000003</v>
      </c>
      <c r="BLW8">
        <f>SOFR3mo_PX[[#This Row],[Column1687]]</f>
        <v>97.754999999999995</v>
      </c>
      <c r="BLX8">
        <f>SOFR3mo_PX[[#This Row],[Column1688]]</f>
        <v>97.82</v>
      </c>
      <c r="BLY8">
        <f>SOFR3mo_PX[[#This Row],[Column1689]]</f>
        <v>97.65</v>
      </c>
      <c r="BLZ8">
        <f>SOFR3mo_PX[[#This Row],[Column1690]]</f>
        <v>97.66</v>
      </c>
      <c r="BMA8">
        <f>SOFR3mo_PX[[#This Row],[Column1691]]</f>
        <v>97.66</v>
      </c>
      <c r="BMB8">
        <f>SOFR3mo_PX[[#This Row],[Column1692]]</f>
        <v>97.655000000000001</v>
      </c>
      <c r="BMC8">
        <f>SOFR3mo_PX[[#This Row],[Column1693]]</f>
        <v>97.644999999999996</v>
      </c>
      <c r="BMD8">
        <f>SOFR3mo_PX[[#This Row],[Column1694]]</f>
        <v>97.59</v>
      </c>
      <c r="BME8">
        <f>SOFR3mo_PX[[#This Row],[Column1695]]</f>
        <v>97.564999999999998</v>
      </c>
      <c r="BMF8">
        <f>SOFR3mo_PX[[#This Row],[Column1696]]</f>
        <v>97.564999999999998</v>
      </c>
      <c r="BMG8">
        <f>SOFR3mo_PX[[#This Row],[Column1697]]</f>
        <v>97.504999999999995</v>
      </c>
      <c r="BMH8">
        <f>SOFR3mo_PX[[#This Row],[Column1698]]</f>
        <v>97.47</v>
      </c>
      <c r="BMI8">
        <f>SOFR3mo_PX[[#This Row],[Column1699]]</f>
        <v>97.48</v>
      </c>
      <c r="BMJ8">
        <f>SOFR3mo_PX[[#This Row],[Column1700]]</f>
        <v>97.46</v>
      </c>
      <c r="BMK8">
        <f>SOFR3mo_PX[[#This Row],[Column1701]]</f>
        <v>97.42</v>
      </c>
      <c r="BML8">
        <f>SOFR3mo_PX[[#This Row],[Column1702]]</f>
        <v>97.39</v>
      </c>
      <c r="BMM8">
        <f>SOFR3mo_PX[[#This Row],[Column1703]]</f>
        <v>97.36</v>
      </c>
      <c r="BMN8">
        <f>SOFR3mo_PX[[#This Row],[Column1704]]</f>
        <v>97.364999999999995</v>
      </c>
      <c r="BMO8">
        <f>SOFR3mo_PX[[#This Row],[Column1705]]</f>
        <v>97.39</v>
      </c>
      <c r="BMP8">
        <f>SOFR3mo_PX[[#This Row],[Column1706]]</f>
        <v>97.43</v>
      </c>
      <c r="BMQ8">
        <f>SOFR3mo_PX[[#This Row],[Column1707]]</f>
        <v>97.405000000000001</v>
      </c>
      <c r="BMR8">
        <f>SOFR3mo_PX[[#This Row],[Column1708]]</f>
        <v>97.37</v>
      </c>
      <c r="BMS8">
        <f>SOFR3mo_PX[[#This Row],[Column1709]]</f>
        <v>97.275000000000006</v>
      </c>
      <c r="BMT8">
        <f>SOFR3mo_PX[[#This Row],[Column1710]]</f>
        <v>97.275000000000006</v>
      </c>
      <c r="BMU8">
        <f>SOFR3mo_PX[[#This Row],[Column1711]]</f>
        <v>97.254999999999995</v>
      </c>
      <c r="BMV8">
        <f>SOFR3mo_PX[[#This Row],[Column1712]]</f>
        <v>97.275000000000006</v>
      </c>
      <c r="BMW8">
        <f>SOFR3mo_PX[[#This Row],[Column1713]]</f>
        <v>97.275000000000006</v>
      </c>
      <c r="BMX8">
        <f>SOFR3mo_PX[[#This Row],[Column1714]]</f>
        <v>97.275000000000006</v>
      </c>
      <c r="BMY8">
        <f>SOFR3mo_PX[[#This Row],[Column1715]]</f>
        <v>97.234999999999999</v>
      </c>
      <c r="BMZ8">
        <f>SOFR3mo_PX[[#This Row],[Column1716]]</f>
        <v>97.224999999999994</v>
      </c>
      <c r="BNA8">
        <f>SOFR3mo_PX[[#This Row],[Column1717]]</f>
        <v>97.234999999999999</v>
      </c>
      <c r="BNB8">
        <f>SOFR3mo_PX[[#This Row],[Column1718]]</f>
        <v>97.234999999999999</v>
      </c>
      <c r="BNC8">
        <f>SOFR3mo_PX[[#This Row],[Column1719]]</f>
        <v>97.234999999999999</v>
      </c>
      <c r="BND8">
        <f>SOFR3mo_PX[[#This Row],[Column1720]]</f>
        <v>97.234999999999999</v>
      </c>
      <c r="BNE8">
        <f>SOFR3mo_PX[[#This Row],[Column1721]]</f>
        <v>97.24</v>
      </c>
      <c r="BNF8">
        <f>SOFR3mo_PX[[#This Row],[Column1722]]</f>
        <v>97.204999999999998</v>
      </c>
      <c r="BNG8">
        <f>SOFR3mo_PX[[#This Row],[Column1723]]</f>
        <v>97.16</v>
      </c>
      <c r="BNH8">
        <f>SOFR3mo_PX[[#This Row],[Column1724]]</f>
        <v>97.15</v>
      </c>
      <c r="BNI8">
        <f>SOFR3mo_PX[[#This Row],[Column1725]]</f>
        <v>97.105000000000004</v>
      </c>
      <c r="BNJ8">
        <f>SOFR3mo_PX[[#This Row],[Column1726]]</f>
        <v>97.084999999999994</v>
      </c>
      <c r="BNK8">
        <f>SOFR3mo_PX[[#This Row],[Column1727]]</f>
        <v>97.064999999999998</v>
      </c>
      <c r="BNL8">
        <f>SOFR3mo_PX[[#This Row],[Column1728]]</f>
        <v>97.05</v>
      </c>
      <c r="BNM8">
        <f>SOFR3mo_PX[[#This Row],[Column1729]]</f>
        <v>97.08</v>
      </c>
      <c r="BNN8">
        <f>SOFR3mo_PX[[#This Row],[Column1730]]</f>
        <v>97.09</v>
      </c>
      <c r="BNO8">
        <f>SOFR3mo_PX[[#This Row],[Column1731]]</f>
        <v>97.1</v>
      </c>
      <c r="BNP8">
        <f>SOFR3mo_PX[[#This Row],[Column1732]]</f>
        <v>97.105000000000004</v>
      </c>
      <c r="BNQ8">
        <f>SOFR3mo_PX[[#This Row],[Column1733]]</f>
        <v>97.14</v>
      </c>
      <c r="BNR8">
        <f>SOFR3mo_PX[[#This Row],[Column1734]]</f>
        <v>97.13</v>
      </c>
      <c r="BNS8">
        <f>SOFR3mo_PX[[#This Row],[Column1735]]</f>
        <v>97.165000000000006</v>
      </c>
      <c r="BNT8">
        <f>SOFR3mo_PX[[#This Row],[Column1736]]</f>
        <v>97.165000000000006</v>
      </c>
      <c r="BNU8">
        <f>SOFR3mo_PX[[#This Row],[Column1737]]</f>
        <v>97.17</v>
      </c>
      <c r="BNV8">
        <f>SOFR3mo_PX[[#This Row],[Column1738]]</f>
        <v>97.114999999999995</v>
      </c>
      <c r="BNW8">
        <f>SOFR3mo_PX[[#This Row],[Column1739]]</f>
        <v>97.114999999999995</v>
      </c>
      <c r="BNX8">
        <f>SOFR3mo_PX[[#This Row],[Column1740]]</f>
        <v>97.094999999999999</v>
      </c>
      <c r="BNY8">
        <f>SOFR3mo_PX[[#This Row],[Column1741]]</f>
        <v>97.064999999999998</v>
      </c>
      <c r="BNZ8">
        <f>SOFR3mo_PX[[#This Row],[Column1742]]</f>
        <v>97.06</v>
      </c>
      <c r="BOA8">
        <f>SOFR3mo_PX[[#This Row],[Column1743]]</f>
        <v>97.08</v>
      </c>
      <c r="BOB8">
        <f>SOFR3mo_PX[[#This Row],[Column1744]]</f>
        <v>97.07</v>
      </c>
      <c r="BOC8">
        <f>SOFR3mo_PX[[#This Row],[Column1745]]</f>
        <v>97.07</v>
      </c>
      <c r="BOD8">
        <f>SOFR3mo_PX[[#This Row],[Column1746]]</f>
        <v>97.075000000000003</v>
      </c>
      <c r="BOE8">
        <f>SOFR3mo_PX[[#This Row],[Column1747]]</f>
        <v>97.084999999999994</v>
      </c>
      <c r="BOF8">
        <f>SOFR3mo_PX[[#This Row],[Column1748]]</f>
        <v>97.075000000000003</v>
      </c>
      <c r="BOG8">
        <f>SOFR3mo_PX[[#This Row],[Column1749]]</f>
        <v>97.03</v>
      </c>
      <c r="BOH8">
        <f>SOFR3mo_PX[[#This Row],[Column1750]]</f>
        <v>97.02</v>
      </c>
      <c r="BOI8">
        <f>SOFR3mo_PX[[#This Row],[Column1751]]</f>
        <v>97.02</v>
      </c>
      <c r="BOJ8">
        <f>SOFR3mo_PX[[#This Row],[Column1752]]</f>
        <v>97.025000000000006</v>
      </c>
      <c r="BOK8">
        <f>SOFR3mo_PX[[#This Row],[Column1753]]</f>
        <v>97.05</v>
      </c>
      <c r="BOL8">
        <f>SOFR3mo_PX[[#This Row],[Column1754]]</f>
        <v>97.08</v>
      </c>
      <c r="BOM8">
        <f>SOFR3mo_PX[[#This Row],[Column1755]]</f>
        <v>97.125</v>
      </c>
      <c r="BON8">
        <f>SOFR3mo_PX[[#This Row],[Column1756]]</f>
        <v>97.114999999999995</v>
      </c>
      <c r="BOO8">
        <f>SOFR3mo_PX[[#This Row],[Column1757]]</f>
        <v>97.114999999999995</v>
      </c>
      <c r="BOP8">
        <f>SOFR3mo_PX[[#This Row],[Column1758]]</f>
        <v>97.094999999999999</v>
      </c>
      <c r="BOQ8">
        <f>SOFR3mo_PX[[#This Row],[Column1759]]</f>
        <v>97.094999999999999</v>
      </c>
      <c r="BOR8">
        <f>SOFR3mo_PX[[#This Row],[Column1760]]</f>
        <v>97.084999999999994</v>
      </c>
      <c r="BOS8">
        <f>SOFR3mo_PX[[#This Row],[Column1761]]</f>
        <v>97.094999999999999</v>
      </c>
      <c r="BOT8">
        <f>SOFR3mo_PX[[#This Row],[Column1762]]</f>
        <v>97.094999999999999</v>
      </c>
      <c r="BOU8">
        <f>SOFR3mo_PX[[#This Row],[Column1763]]</f>
        <v>97.084999999999994</v>
      </c>
      <c r="BOV8">
        <f>SOFR3mo_PX[[#This Row],[Column1764]]</f>
        <v>97.094999999999999</v>
      </c>
      <c r="BOW8">
        <f>SOFR3mo_PX[[#This Row],[Column1765]]</f>
        <v>97.165000000000006</v>
      </c>
      <c r="BOX8">
        <f>SOFR3mo_PX[[#This Row],[Column1766]]</f>
        <v>97.185000000000002</v>
      </c>
      <c r="BOY8">
        <f>SOFR3mo_PX[[#This Row],[Column1767]]</f>
        <v>97.19</v>
      </c>
      <c r="BOZ8">
        <f>SOFR3mo_PX[[#This Row],[Column1768]]</f>
        <v>97.22</v>
      </c>
      <c r="BPA8">
        <f>SOFR3mo_PX[[#This Row],[Column1769]]</f>
        <v>97.245000000000005</v>
      </c>
      <c r="BPB8">
        <f>SOFR3mo_PX[[#This Row],[Column1770]]</f>
        <v>97.24</v>
      </c>
      <c r="BPC8">
        <f>SOFR3mo_PX[[#This Row],[Column1771]]</f>
        <v>97.28</v>
      </c>
      <c r="BPD8">
        <f>SOFR3mo_PX[[#This Row],[Column1772]]</f>
        <v>97.28</v>
      </c>
      <c r="BPE8">
        <f>SOFR3mo_PX[[#This Row],[Column1773]]</f>
        <v>97.34</v>
      </c>
      <c r="BPF8">
        <f>SOFR3mo_PX[[#This Row],[Column1774]]</f>
        <v>97.325000000000003</v>
      </c>
      <c r="BPG8">
        <f>SOFR3mo_PX[[#This Row],[Column1775]]</f>
        <v>97.33</v>
      </c>
      <c r="BPH8">
        <f>SOFR3mo_PX[[#This Row],[Column1776]]</f>
        <v>97.35</v>
      </c>
      <c r="BPI8">
        <f>SOFR3mo_PX[[#This Row],[Column1777]]</f>
        <v>97.35</v>
      </c>
      <c r="BPJ8">
        <f>SOFR3mo_PX[[#This Row],[Column1778]]</f>
        <v>97.325000000000003</v>
      </c>
      <c r="BPK8">
        <f>SOFR3mo_PX[[#This Row],[Column1779]]</f>
        <v>97.314999999999998</v>
      </c>
      <c r="BPL8">
        <f>SOFR3mo_PX[[#This Row],[Column1780]]</f>
        <v>97.33</v>
      </c>
      <c r="BPM8">
        <f>SOFR3mo_PX[[#This Row],[Column1781]]</f>
        <v>97.344999999999999</v>
      </c>
      <c r="BPN8">
        <f>SOFR3mo_PX[[#This Row],[Column1782]]</f>
        <v>97.364999999999995</v>
      </c>
      <c r="BPO8">
        <f>SOFR3mo_PX[[#This Row],[Column1783]]</f>
        <v>97.37</v>
      </c>
      <c r="BPP8">
        <f>SOFR3mo_PX[[#This Row],[Column1784]]</f>
        <v>97.39</v>
      </c>
      <c r="BPQ8">
        <f>SOFR3mo_PX[[#This Row],[Column1785]]</f>
        <v>97.38</v>
      </c>
      <c r="BPR8">
        <f>SOFR3mo_PX[[#This Row],[Column1786]]</f>
        <v>97.39</v>
      </c>
      <c r="BPS8">
        <f>SOFR3mo_PX[[#This Row],[Column1787]]</f>
        <v>97.364999999999995</v>
      </c>
      <c r="BPT8">
        <f>SOFR3mo_PX[[#This Row],[Column1788]]</f>
        <v>97.36</v>
      </c>
      <c r="BPU8">
        <f>SOFR3mo_PX[[#This Row],[Column1789]]</f>
        <v>97.38</v>
      </c>
      <c r="BPV8">
        <f>SOFR3mo_PX[[#This Row],[Column1790]]</f>
        <v>97.344999999999999</v>
      </c>
      <c r="BPW8">
        <f>SOFR3mo_PX[[#This Row],[Column1791]]</f>
        <v>97.375</v>
      </c>
      <c r="BPX8">
        <f>SOFR3mo_PX[[#This Row],[Column1792]]</f>
        <v>97.385000000000005</v>
      </c>
      <c r="BPY8">
        <f>SOFR3mo_PX[[#This Row],[Column1793]]</f>
        <v>97.32</v>
      </c>
      <c r="BPZ8">
        <f>SOFR3mo_PX[[#This Row],[Column1794]]</f>
        <v>97.305000000000007</v>
      </c>
      <c r="BQA8">
        <f>SOFR3mo_PX[[#This Row],[Column1795]]</f>
        <v>97.3</v>
      </c>
      <c r="BQB8">
        <f>SOFR3mo_PX[[#This Row],[Column1796]]</f>
        <v>97.305000000000007</v>
      </c>
      <c r="BQC8">
        <f>SOFR3mo_PX[[#This Row],[Column1797]]</f>
        <v>97.295000000000002</v>
      </c>
      <c r="BQD8">
        <f>SOFR3mo_PX[[#This Row],[Column1798]]</f>
        <v>97.284999999999997</v>
      </c>
      <c r="BQE8">
        <f>SOFR3mo_PX[[#This Row],[Column1799]]</f>
        <v>97.284999999999997</v>
      </c>
      <c r="BQF8">
        <f>SOFR3mo_PX[[#This Row],[Column1800]]</f>
        <v>97.29</v>
      </c>
      <c r="BQG8">
        <f>SOFR3mo_PX[[#This Row],[Column1801]]</f>
        <v>97.29</v>
      </c>
      <c r="BQH8">
        <f>SOFR3mo_PX[[#This Row],[Column1802]]</f>
        <v>97.29</v>
      </c>
      <c r="BQI8">
        <f>SOFR3mo_PX[[#This Row],[Column1803]]</f>
        <v>97.284999999999997</v>
      </c>
      <c r="BQJ8">
        <f>SOFR3mo_PX[[#This Row],[Column1804]]</f>
        <v>97.325000000000003</v>
      </c>
      <c r="BQK8">
        <f>SOFR3mo_PX[[#This Row],[Column1805]]</f>
        <v>97.325000000000003</v>
      </c>
      <c r="BQL8">
        <f>SOFR3mo_PX[[#This Row],[Column1806]]</f>
        <v>97.334999999999994</v>
      </c>
      <c r="BQM8">
        <f>SOFR3mo_PX[[#This Row],[Column1807]]</f>
        <v>97.37</v>
      </c>
      <c r="BQN8">
        <f>SOFR3mo_PX[[#This Row],[Column1808]]</f>
        <v>97.375</v>
      </c>
      <c r="BQO8">
        <f>SOFR3mo_PX[[#This Row],[Column1809]]</f>
        <v>97.37</v>
      </c>
      <c r="BQP8">
        <f>SOFR3mo_PX[[#This Row],[Column1810]]</f>
        <v>97.375</v>
      </c>
      <c r="BQQ8">
        <f>SOFR3mo_PX[[#This Row],[Column1811]]</f>
        <v>97.4</v>
      </c>
      <c r="BQR8">
        <f>SOFR3mo_PX[[#This Row],[Column1812]]</f>
        <v>97.415000000000006</v>
      </c>
      <c r="BQS8">
        <f>SOFR3mo_PX[[#This Row],[Column1813]]</f>
        <v>97.41</v>
      </c>
      <c r="BQT8">
        <f>SOFR3mo_PX[[#This Row],[Column1814]]</f>
        <v>97.42</v>
      </c>
      <c r="BQU8">
        <f>SOFR3mo_PX[[#This Row],[Column1815]]</f>
        <v>97.42</v>
      </c>
      <c r="BQV8">
        <f>SOFR3mo_PX[[#This Row],[Column1816]]</f>
        <v>97.435000000000002</v>
      </c>
      <c r="BQW8">
        <f>SOFR3mo_PX[[#This Row],[Column1817]]</f>
        <v>97.454999999999998</v>
      </c>
      <c r="BQX8">
        <f>SOFR3mo_PX[[#This Row],[Column1818]]</f>
        <v>97.435000000000002</v>
      </c>
      <c r="BQY8">
        <f>SOFR3mo_PX[[#This Row],[Column1819]]</f>
        <v>97.454999999999998</v>
      </c>
      <c r="BQZ8">
        <f>SOFR3mo_PX[[#This Row],[Column1820]]</f>
        <v>97.454999999999998</v>
      </c>
      <c r="BRA8">
        <f>SOFR3mo_PX[[#This Row],[Column1821]]</f>
        <v>97.45</v>
      </c>
      <c r="BRB8">
        <f>SOFR3mo_PX[[#This Row],[Column1822]]</f>
        <v>97.45</v>
      </c>
      <c r="BRC8">
        <f>SOFR3mo_PX[[#This Row],[Column1823]]</f>
        <v>97.454999999999998</v>
      </c>
      <c r="BRD8">
        <f>SOFR3mo_PX[[#This Row],[Column1824]]</f>
        <v>97.454999999999998</v>
      </c>
      <c r="BRE8">
        <f>SOFR3mo_PX[[#This Row],[Column1825]]</f>
        <v>97.41</v>
      </c>
      <c r="BRF8">
        <f>SOFR3mo_PX[[#This Row],[Column1826]]</f>
        <v>97.394999999999996</v>
      </c>
      <c r="BRG8">
        <f>SOFR3mo_PX[[#This Row],[Column1827]]</f>
        <v>97.375</v>
      </c>
      <c r="BRH8">
        <f>SOFR3mo_PX[[#This Row],[Column1828]]</f>
        <v>97.375</v>
      </c>
      <c r="BRI8">
        <f>SOFR3mo_PX[[#This Row],[Column1829]]</f>
        <v>97.364999999999995</v>
      </c>
      <c r="BRJ8">
        <f>SOFR3mo_PX[[#This Row],[Column1830]]</f>
        <v>97.37</v>
      </c>
      <c r="BRK8">
        <f>SOFR3mo_PX[[#This Row],[Column1831]]</f>
        <v>97.34</v>
      </c>
      <c r="BRL8">
        <f>SOFR3mo_PX[[#This Row],[Column1832]]</f>
        <v>97.35</v>
      </c>
      <c r="BRM8">
        <f>SOFR3mo_PX[[#This Row],[Column1833]]</f>
        <v>97.334999999999994</v>
      </c>
      <c r="BRN8">
        <f>SOFR3mo_PX[[#This Row],[Column1834]]</f>
        <v>97.334999999999994</v>
      </c>
      <c r="BRO8">
        <f>SOFR3mo_PX[[#This Row],[Column1835]]</f>
        <v>97.37</v>
      </c>
      <c r="BRP8">
        <f>SOFR3mo_PX[[#This Row],[Column1836]]</f>
        <v>97.385000000000005</v>
      </c>
      <c r="BRQ8">
        <f>SOFR3mo_PX[[#This Row],[Column1837]]</f>
        <v>97.4</v>
      </c>
      <c r="BRR8">
        <f>SOFR3mo_PX[[#This Row],[Column1838]]</f>
        <v>97.375</v>
      </c>
      <c r="BRS8">
        <f>SOFR3mo_PX[[#This Row],[Column1839]]</f>
        <v>97.364999999999995</v>
      </c>
      <c r="BRT8">
        <f>SOFR3mo_PX[[#This Row],[Column1840]]</f>
        <v>97.405000000000001</v>
      </c>
      <c r="BRU8">
        <f>SOFR3mo_PX[[#This Row],[Column1841]]</f>
        <v>97.394999999999996</v>
      </c>
      <c r="BRV8">
        <f>SOFR3mo_PX[[#This Row],[Column1842]]</f>
        <v>97.444999999999993</v>
      </c>
      <c r="BRW8">
        <f>SOFR3mo_PX[[#This Row],[Column1843]]</f>
        <v>97.52</v>
      </c>
      <c r="BRX8">
        <f>SOFR3mo_PX[[#This Row],[Column1844]]</f>
        <v>97.53</v>
      </c>
      <c r="BRY8">
        <f>SOFR3mo_PX[[#This Row],[Column1845]]</f>
        <v>97.625</v>
      </c>
      <c r="BRZ8">
        <f>SOFR3mo_PX[[#This Row],[Column1846]]</f>
        <v>97.41</v>
      </c>
      <c r="BSA8">
        <f>SOFR3mo_PX[[#This Row],[Column1847]]</f>
        <v>97.41</v>
      </c>
      <c r="BSB8">
        <f>SOFR3mo_PX[[#This Row],[Column1848]]</f>
        <v>97.38</v>
      </c>
      <c r="BSC8">
        <f>SOFR3mo_PX[[#This Row],[Column1849]]</f>
        <v>97.35</v>
      </c>
      <c r="BSD8">
        <f>SOFR3mo_PX[[#This Row],[Column1850]]</f>
        <v>97.3</v>
      </c>
      <c r="BSE8">
        <f>SOFR3mo_PX[[#This Row],[Column1851]]</f>
        <v>97.29</v>
      </c>
      <c r="BSF8">
        <f>SOFR3mo_PX[[#This Row],[Column1852]]</f>
        <v>97.3</v>
      </c>
      <c r="BSG8">
        <f>SOFR3mo_PX[[#This Row],[Column1853]]</f>
        <v>97.275000000000006</v>
      </c>
      <c r="BSH8">
        <f>SOFR3mo_PX[[#This Row],[Column1854]]</f>
        <v>97.28</v>
      </c>
      <c r="BSI8">
        <f>SOFR3mo_PX[[#This Row],[Column1855]]</f>
        <v>97.29</v>
      </c>
      <c r="BSJ8">
        <f>SOFR3mo_PX[[#This Row],[Column1856]]</f>
        <v>97.32</v>
      </c>
      <c r="BSK8">
        <f>SOFR3mo_PX[[#This Row],[Column1857]]</f>
        <v>97.32</v>
      </c>
      <c r="BSL8">
        <f>SOFR3mo_PX[[#This Row],[Column1858]]</f>
        <v>97.334999999999994</v>
      </c>
      <c r="BSM8">
        <f>SOFR3mo_PX[[#This Row],[Column1859]]</f>
        <v>97.355000000000004</v>
      </c>
      <c r="BSN8">
        <f>SOFR3mo_PX[[#This Row],[Column1860]]</f>
        <v>97.375</v>
      </c>
      <c r="BSO8">
        <f>SOFR3mo_PX[[#This Row],[Column1861]]</f>
        <v>97.385000000000005</v>
      </c>
      <c r="BSP8">
        <f>SOFR3mo_PX[[#This Row],[Column1862]]</f>
        <v>97.375</v>
      </c>
      <c r="BSQ8" t="str">
        <f>SOFR3mo_PX[[#This Row],[Column1863]]</f>
        <v>#N/A N/A</v>
      </c>
      <c r="BSR8" t="str">
        <f>SOFR3mo_PX[[#This Row],[Column1864]]</f>
        <v>#N/A N/A</v>
      </c>
      <c r="BSS8" t="str">
        <f>SOFR3mo_PX[[#This Row],[Column1865]]</f>
        <v>#N/A N/A</v>
      </c>
      <c r="BST8" t="str">
        <f>SOFR3mo_PX[[#This Row],[Column1866]]</f>
        <v>#N/A N/A</v>
      </c>
      <c r="BSU8" t="str">
        <f>SOFR3mo_PX[[#This Row],[Column1867]]</f>
        <v>#N/A N/A</v>
      </c>
      <c r="BSV8" t="str">
        <f>SOFR3mo_PX[[#This Row],[Column1868]]</f>
        <v>#N/A N/A</v>
      </c>
      <c r="BSW8" t="str">
        <f>SOFR3mo_PX[[#This Row],[Column1869]]</f>
        <v>#N/A N/A</v>
      </c>
      <c r="BSX8" t="str">
        <f>SOFR3mo_PX[[#This Row],[Column1870]]</f>
        <v>#N/A N/A</v>
      </c>
      <c r="BSY8" t="str">
        <f>SOFR3mo_PX[[#This Row],[Column1871]]</f>
        <v>#N/A N/A</v>
      </c>
      <c r="BSZ8" t="str">
        <f>SOFR3mo_PX[[#This Row],[Column1872]]</f>
        <v>#N/A N/A</v>
      </c>
      <c r="BTA8" t="str">
        <f>SOFR3mo_PX[[#This Row],[Column1873]]</f>
        <v>#N/A N/A</v>
      </c>
      <c r="BTB8" t="str">
        <f>SOFR3mo_PX[[#This Row],[Column1874]]</f>
        <v>#N/A N/A</v>
      </c>
      <c r="BTC8" t="str">
        <f>SOFR3mo_PX[[#This Row],[Column1875]]</f>
        <v>#N/A N/A</v>
      </c>
      <c r="BTD8" t="str">
        <f>SOFR3mo_PX[[#This Row],[Column1876]]</f>
        <v>#N/A N/A</v>
      </c>
      <c r="BTE8" t="str">
        <f>SOFR3mo_PX[[#This Row],[Column1877]]</f>
        <v>#N/A N/A</v>
      </c>
      <c r="BTF8" t="str">
        <f>SOFR3mo_PX[[#This Row],[Column1878]]</f>
        <v>#N/A N/A</v>
      </c>
      <c r="BTG8" t="str">
        <f>SOFR3mo_PX[[#This Row],[Column1879]]</f>
        <v>#N/A N/A</v>
      </c>
      <c r="BTH8" t="str">
        <f>SOFR3mo_PX[[#This Row],[Column1880]]</f>
        <v>#N/A N/A</v>
      </c>
      <c r="BTI8" t="str">
        <f>SOFR3mo_PX[[#This Row],[Column1881]]</f>
        <v>#N/A N/A</v>
      </c>
      <c r="BTJ8" t="str">
        <f>SOFR3mo_PX[[#This Row],[Column1882]]</f>
        <v>#N/A N/A</v>
      </c>
      <c r="BTK8" t="str">
        <f>SOFR3mo_PX[[#This Row],[Column1883]]</f>
        <v>#N/A N/A</v>
      </c>
      <c r="BTL8" t="str">
        <f>SOFR3mo_PX[[#This Row],[Column1884]]</f>
        <v>#N/A N/A</v>
      </c>
      <c r="BTM8" t="str">
        <f>SOFR3mo_PX[[#This Row],[Column1885]]</f>
        <v>#N/A N/A</v>
      </c>
      <c r="BTN8" t="str">
        <f>SOFR3mo_PX[[#This Row],[Column1886]]</f>
        <v>#N/A N/A</v>
      </c>
      <c r="BTO8" t="str">
        <f>SOFR3mo_PX[[#This Row],[Column1887]]</f>
        <v>#N/A N/A</v>
      </c>
      <c r="BTP8" t="str">
        <f>SOFR3mo_PX[[#This Row],[Column1888]]</f>
        <v>#N/A N/A</v>
      </c>
      <c r="BTQ8" t="str">
        <f>SOFR3mo_PX[[#This Row],[Column1889]]</f>
        <v>#N/A N/A</v>
      </c>
      <c r="BTR8" t="str">
        <f>SOFR3mo_PX[[#This Row],[Column1890]]</f>
        <v>#N/A N/A</v>
      </c>
      <c r="BTS8" t="str">
        <f>SOFR3mo_PX[[#This Row],[Column1891]]</f>
        <v>#N/A N/A</v>
      </c>
      <c r="BTT8" t="str">
        <f>SOFR3mo_PX[[#This Row],[Column1892]]</f>
        <v>#N/A N/A</v>
      </c>
      <c r="BTU8" t="str">
        <f>SOFR3mo_PX[[#This Row],[Column1893]]</f>
        <v>#N/A N/A</v>
      </c>
      <c r="BTV8" t="str">
        <f>SOFR3mo_PX[[#This Row],[Column1894]]</f>
        <v>#N/A N/A</v>
      </c>
      <c r="BTW8" t="str">
        <f>SOFR3mo_PX[[#This Row],[Column1895]]</f>
        <v>#N/A N/A</v>
      </c>
      <c r="BTX8" t="str">
        <f>SOFR3mo_PX[[#This Row],[Column1896]]</f>
        <v>#N/A N/A</v>
      </c>
      <c r="BTY8" t="str">
        <f>SOFR3mo_PX[[#This Row],[Column1897]]</f>
        <v>#N/A N/A</v>
      </c>
      <c r="BTZ8" t="str">
        <f>SOFR3mo_PX[[#This Row],[Column1898]]</f>
        <v>#N/A N/A</v>
      </c>
      <c r="BUA8" t="str">
        <f>SOFR3mo_PX[[#This Row],[Column1899]]</f>
        <v>#N/A N/A</v>
      </c>
      <c r="BUB8" t="str">
        <f>SOFR3mo_PX[[#This Row],[Column1900]]</f>
        <v>#N/A N/A</v>
      </c>
      <c r="BUC8" t="str">
        <f>SOFR3mo_PX[[#This Row],[Column1901]]</f>
        <v>#N/A N/A</v>
      </c>
      <c r="BUD8" t="str">
        <f>SOFR3mo_PX[[#This Row],[Column1902]]</f>
        <v>#N/A N/A</v>
      </c>
      <c r="BUE8" t="str">
        <f>SOFR3mo_PX[[#This Row],[Column1903]]</f>
        <v>#N/A N/A</v>
      </c>
      <c r="BUF8" t="str">
        <f>SOFR3mo_PX[[#This Row],[Column1904]]</f>
        <v>#N/A N/A</v>
      </c>
      <c r="BUG8" t="str">
        <f>SOFR3mo_PX[[#This Row],[Column1905]]</f>
        <v>#N/A N/A</v>
      </c>
      <c r="BUH8" t="str">
        <f>SOFR3mo_PX[[#This Row],[Column1906]]</f>
        <v>#N/A N/A</v>
      </c>
      <c r="BUI8" t="str">
        <f>SOFR3mo_PX[[#This Row],[Column1907]]</f>
        <v>#N/A N/A</v>
      </c>
      <c r="BUJ8" t="str">
        <f>SOFR3mo_PX[[#This Row],[Column1908]]</f>
        <v>#N/A N/A</v>
      </c>
      <c r="BUK8" t="str">
        <f>SOFR3mo_PX[[#This Row],[Column1909]]</f>
        <v>#N/A N/A</v>
      </c>
      <c r="BUL8" t="str">
        <f>SOFR3mo_PX[[#This Row],[Column1910]]</f>
        <v>#N/A N/A</v>
      </c>
      <c r="BUM8" t="str">
        <f>SOFR3mo_PX[[#This Row],[Column1911]]</f>
        <v>#N/A N/A</v>
      </c>
      <c r="BUN8" t="str">
        <f>SOFR3mo_PX[[#This Row],[Column1912]]</f>
        <v>#N/A N/A</v>
      </c>
      <c r="BUO8" t="str">
        <f>SOFR3mo_PX[[#This Row],[Column1913]]</f>
        <v>#N/A N/A</v>
      </c>
      <c r="BUP8" t="str">
        <f>SOFR3mo_PX[[#This Row],[Column1914]]</f>
        <v>#N/A N/A</v>
      </c>
      <c r="BUQ8" t="str">
        <f>SOFR3mo_PX[[#This Row],[Column1915]]</f>
        <v>#N/A N/A</v>
      </c>
      <c r="BUR8" t="str">
        <f>SOFR3mo_PX[[#This Row],[Column1916]]</f>
        <v>#N/A N/A</v>
      </c>
      <c r="BUS8" t="str">
        <f>SOFR3mo_PX[[#This Row],[Column1917]]</f>
        <v>#N/A N/A</v>
      </c>
      <c r="BUT8" t="str">
        <f>SOFR3mo_PX[[#This Row],[Column1918]]</f>
        <v>#N/A N/A</v>
      </c>
      <c r="BUU8" t="str">
        <f>SOFR3mo_PX[[#This Row],[Column1919]]</f>
        <v>#N/A N/A</v>
      </c>
      <c r="BUV8" t="str">
        <f>SOFR3mo_PX[[#This Row],[Column1920]]</f>
        <v>#N/A N/A</v>
      </c>
      <c r="BUW8" t="str">
        <f>SOFR3mo_PX[[#This Row],[Column1921]]</f>
        <v>#N/A N/A</v>
      </c>
      <c r="BUX8" t="str">
        <f>SOFR3mo_PX[[#This Row],[Column1922]]</f>
        <v>#N/A N/A</v>
      </c>
      <c r="BUY8" t="str">
        <f>SOFR3mo_PX[[#This Row],[Column1923]]</f>
        <v>#N/A N/A</v>
      </c>
      <c r="BUZ8" t="str">
        <f>SOFR3mo_PX[[#This Row],[Column1924]]</f>
        <v>#N/A N/A</v>
      </c>
      <c r="BVA8" t="str">
        <f>SOFR3mo_PX[[#This Row],[Column1925]]</f>
        <v>#N/A N/A</v>
      </c>
      <c r="BVB8" t="str">
        <f>SOFR3mo_PX[[#This Row],[Column1926]]</f>
        <v>#N/A N/A</v>
      </c>
      <c r="BVC8" t="str">
        <f>SOFR3mo_PX[[#This Row],[Column1927]]</f>
        <v>#N/A N/A</v>
      </c>
      <c r="BVD8" t="str">
        <f>SOFR3mo_PX[[#This Row],[Column1928]]</f>
        <v>#N/A N/A</v>
      </c>
      <c r="BVE8" t="str">
        <f>SOFR3mo_PX[[#This Row],[Column1929]]</f>
        <v>#N/A N/A</v>
      </c>
      <c r="BVF8" t="str">
        <f>SOFR3mo_PX[[#This Row],[Column1930]]</f>
        <v>#N/A N/A</v>
      </c>
      <c r="BVG8" t="str">
        <f>SOFR3mo_PX[[#This Row],[Column1931]]</f>
        <v>#N/A N/A</v>
      </c>
      <c r="BVH8" t="str">
        <f>SOFR3mo_PX[[#This Row],[Column1932]]</f>
        <v>#N/A N/A</v>
      </c>
      <c r="BVI8" t="str">
        <f>SOFR3mo_PX[[#This Row],[Column1933]]</f>
        <v>#N/A N/A</v>
      </c>
      <c r="BVJ8" t="str">
        <f>SOFR3mo_PX[[#This Row],[Column1934]]</f>
        <v>#N/A N/A</v>
      </c>
      <c r="BVK8" t="str">
        <f>SOFR3mo_PX[[#This Row],[Column1935]]</f>
        <v>#N/A N/A</v>
      </c>
      <c r="BVL8" t="str">
        <f>SOFR3mo_PX[[#This Row],[Column1936]]</f>
        <v>#N/A N/A</v>
      </c>
      <c r="BVM8" t="str">
        <f>SOFR3mo_PX[[#This Row],[Column1937]]</f>
        <v>#N/A N/A</v>
      </c>
      <c r="BVN8" t="str">
        <f>SOFR3mo_PX[[#This Row],[Column1938]]</f>
        <v>#N/A N/A</v>
      </c>
      <c r="BVO8" t="str">
        <f>SOFR3mo_PX[[#This Row],[Column1939]]</f>
        <v>#N/A N/A</v>
      </c>
      <c r="BVP8" t="str">
        <f>SOFR3mo_PX[[#This Row],[Column1940]]</f>
        <v>#N/A N/A</v>
      </c>
      <c r="BVQ8" t="str">
        <f>SOFR3mo_PX[[#This Row],[Column1941]]</f>
        <v>#N/A N/A</v>
      </c>
      <c r="BVR8" t="str">
        <f>SOFR3mo_PX[[#This Row],[Column1942]]</f>
        <v>#N/A N/A</v>
      </c>
      <c r="BVS8" t="str">
        <f>SOFR3mo_PX[[#This Row],[Column1943]]</f>
        <v>#N/A N/A</v>
      </c>
      <c r="BVT8" t="str">
        <f>SOFR3mo_PX[[#This Row],[Column1944]]</f>
        <v>#N/A N/A</v>
      </c>
      <c r="BVU8" t="str">
        <f>SOFR3mo_PX[[#This Row],[Column1945]]</f>
        <v>#N/A N/A</v>
      </c>
      <c r="BVV8" t="str">
        <f>SOFR3mo_PX[[#This Row],[Column1946]]</f>
        <v>#N/A N/A</v>
      </c>
      <c r="BVW8" t="str">
        <f>SOFR3mo_PX[[#This Row],[Column1947]]</f>
        <v>#N/A N/A</v>
      </c>
      <c r="BVX8" t="str">
        <f>SOFR3mo_PX[[#This Row],[Column1948]]</f>
        <v>#N/A N/A</v>
      </c>
      <c r="BVY8" t="str">
        <f>SOFR3mo_PX[[#This Row],[Column1949]]</f>
        <v>#N/A N/A</v>
      </c>
      <c r="BVZ8" t="str">
        <f>SOFR3mo_PX[[#This Row],[Column1950]]</f>
        <v>#N/A N/A</v>
      </c>
      <c r="BWA8" t="str">
        <f>SOFR3mo_PX[[#This Row],[Column1951]]</f>
        <v>#N/A N/A</v>
      </c>
      <c r="BWB8" t="str">
        <f>SOFR3mo_PX[[#This Row],[Column1952]]</f>
        <v>#N/A N/A</v>
      </c>
      <c r="BWC8" t="str">
        <f>SOFR3mo_PX[[#This Row],[Column1953]]</f>
        <v>#N/A N/A</v>
      </c>
      <c r="BWD8" t="str">
        <f>SOFR3mo_PX[[#This Row],[Column1954]]</f>
        <v>#N/A N/A</v>
      </c>
    </row>
    <row r="9" spans="1:1954" x14ac:dyDescent="0.25">
      <c r="A9" t="str">
        <f>SOFR3mo_PX[[#This Row],[Column1]]</f>
        <v>SFR7 Comdty</v>
      </c>
      <c r="B9">
        <f>IF(rtd!B7&lt;&gt;"",rtd!B7,SOFR3mo_PX[[#This Row],[Column2]])</f>
        <v>96.772500000000008</v>
      </c>
      <c r="C9">
        <f>SOFR3mo_PX[[#This Row],[Column3]]</f>
        <v>96.72</v>
      </c>
      <c r="D9">
        <f>SOFR3mo_PX[[#This Row],[Column4]]</f>
        <v>96.72</v>
      </c>
      <c r="E9">
        <f>SOFR3mo_PX[[#This Row],[Column5]]</f>
        <v>96.66</v>
      </c>
      <c r="F9">
        <f>SOFR3mo_PX[[#This Row],[Column6]]</f>
        <v>96.635000000000005</v>
      </c>
      <c r="G9">
        <f>SOFR3mo_PX[[#This Row],[Column7]]</f>
        <v>96.64</v>
      </c>
      <c r="H9">
        <f>SOFR3mo_PX[[#This Row],[Column8]]</f>
        <v>96.694999999999993</v>
      </c>
      <c r="I9">
        <f>SOFR3mo_PX[[#This Row],[Column9]]</f>
        <v>96.64</v>
      </c>
      <c r="J9">
        <f>SOFR3mo_PX[[#This Row],[Column10]]</f>
        <v>96.564999999999998</v>
      </c>
      <c r="K9">
        <f>SOFR3mo_PX[[#This Row],[Column11]]</f>
        <v>96.58</v>
      </c>
      <c r="L9">
        <f>SOFR3mo_PX[[#This Row],[Column12]]</f>
        <v>96.525000000000006</v>
      </c>
      <c r="M9">
        <f>SOFR3mo_PX[[#This Row],[Column13]]</f>
        <v>96.674999999999997</v>
      </c>
      <c r="N9">
        <f>SOFR3mo_PX[[#This Row],[Column14]]</f>
        <v>96.73</v>
      </c>
      <c r="O9">
        <f>SOFR3mo_PX[[#This Row],[Column15]]</f>
        <v>96.635000000000005</v>
      </c>
      <c r="P9">
        <f>SOFR3mo_PX[[#This Row],[Column16]]</f>
        <v>96.67</v>
      </c>
      <c r="Q9">
        <f>SOFR3mo_PX[[#This Row],[Column17]]</f>
        <v>96.71</v>
      </c>
      <c r="R9">
        <f>SOFR3mo_PX[[#This Row],[Column18]]</f>
        <v>96.69</v>
      </c>
      <c r="S9">
        <f>SOFR3mo_PX[[#This Row],[Column19]]</f>
        <v>96.63</v>
      </c>
      <c r="T9">
        <f>SOFR3mo_PX[[#This Row],[Column20]]</f>
        <v>96.685000000000002</v>
      </c>
      <c r="U9">
        <f>SOFR3mo_PX[[#This Row],[Column21]]</f>
        <v>96.644999999999996</v>
      </c>
      <c r="V9">
        <f>SOFR3mo_PX[[#This Row],[Column22]]</f>
        <v>96.644999999999996</v>
      </c>
      <c r="W9">
        <f>SOFR3mo_PX[[#This Row],[Column23]]</f>
        <v>96.605000000000004</v>
      </c>
      <c r="X9">
        <f>SOFR3mo_PX[[#This Row],[Column24]]</f>
        <v>96.584999999999994</v>
      </c>
      <c r="Y9">
        <f>SOFR3mo_PX[[#This Row],[Column25]]</f>
        <v>96.64</v>
      </c>
      <c r="Z9">
        <f>SOFR3mo_PX[[#This Row],[Column26]]</f>
        <v>96.614999999999995</v>
      </c>
      <c r="AA9">
        <f>SOFR3mo_PX[[#This Row],[Column27]]</f>
        <v>96.6</v>
      </c>
      <c r="AB9">
        <f>SOFR3mo_PX[[#This Row],[Column28]]</f>
        <v>96.61</v>
      </c>
      <c r="AC9">
        <f>SOFR3mo_PX[[#This Row],[Column29]]</f>
        <v>96.5</v>
      </c>
      <c r="AD9">
        <f>SOFR3mo_PX[[#This Row],[Column30]]</f>
        <v>96.55</v>
      </c>
      <c r="AE9">
        <f>SOFR3mo_PX[[#This Row],[Column31]]</f>
        <v>96.564999999999998</v>
      </c>
      <c r="AF9">
        <f>SOFR3mo_PX[[#This Row],[Column32]]</f>
        <v>96.74</v>
      </c>
      <c r="AG9">
        <f>SOFR3mo_PX[[#This Row],[Column33]]</f>
        <v>96.724999999999994</v>
      </c>
      <c r="AH9">
        <f>SOFR3mo_PX[[#This Row],[Column34]]</f>
        <v>96.885000000000005</v>
      </c>
      <c r="AI9">
        <f>SOFR3mo_PX[[#This Row],[Column35]]</f>
        <v>96.875</v>
      </c>
      <c r="AJ9">
        <f>SOFR3mo_PX[[#This Row],[Column36]]</f>
        <v>96.81</v>
      </c>
      <c r="AK9">
        <f>SOFR3mo_PX[[#This Row],[Column37]]</f>
        <v>96.795000000000002</v>
      </c>
      <c r="AL9">
        <f>SOFR3mo_PX[[#This Row],[Column38]]</f>
        <v>96.954999999999998</v>
      </c>
      <c r="AM9">
        <f>SOFR3mo_PX[[#This Row],[Column39]]</f>
        <v>97.06</v>
      </c>
      <c r="AN9">
        <f>SOFR3mo_PX[[#This Row],[Column40]]</f>
        <v>97.025000000000006</v>
      </c>
      <c r="AO9">
        <f>SOFR3mo_PX[[#This Row],[Column41]]</f>
        <v>96.984999999999999</v>
      </c>
      <c r="AP9">
        <f>SOFR3mo_PX[[#This Row],[Column42]]</f>
        <v>96.875</v>
      </c>
      <c r="AQ9">
        <f>SOFR3mo_PX[[#This Row],[Column43]]</f>
        <v>96.84</v>
      </c>
      <c r="AR9">
        <f>SOFR3mo_PX[[#This Row],[Column44]]</f>
        <v>96.75</v>
      </c>
      <c r="AS9">
        <f>SOFR3mo_PX[[#This Row],[Column45]]</f>
        <v>96.844999999999999</v>
      </c>
      <c r="AT9">
        <f>SOFR3mo_PX[[#This Row],[Column46]]</f>
        <v>96.924999999999997</v>
      </c>
      <c r="AU9">
        <f>SOFR3mo_PX[[#This Row],[Column47]]</f>
        <v>96.844999999999999</v>
      </c>
      <c r="AV9">
        <f>SOFR3mo_PX[[#This Row],[Column48]]</f>
        <v>96.844999999999999</v>
      </c>
      <c r="AW9">
        <f>SOFR3mo_PX[[#This Row],[Column49]]</f>
        <v>96.834999999999994</v>
      </c>
      <c r="AX9">
        <f>SOFR3mo_PX[[#This Row],[Column50]]</f>
        <v>96.765000000000001</v>
      </c>
      <c r="AY9">
        <f>SOFR3mo_PX[[#This Row],[Column51]]</f>
        <v>96.745000000000005</v>
      </c>
      <c r="AZ9">
        <f>SOFR3mo_PX[[#This Row],[Column52]]</f>
        <v>96.6</v>
      </c>
      <c r="BA9">
        <f>SOFR3mo_PX[[#This Row],[Column53]]</f>
        <v>96.724999999999994</v>
      </c>
      <c r="BB9">
        <f>SOFR3mo_PX[[#This Row],[Column54]]</f>
        <v>96.594999999999999</v>
      </c>
      <c r="BC9">
        <f>SOFR3mo_PX[[#This Row],[Column55]]</f>
        <v>96.89</v>
      </c>
      <c r="BD9">
        <f>SOFR3mo_PX[[#This Row],[Column56]]</f>
        <v>96.86</v>
      </c>
      <c r="BE9">
        <f>SOFR3mo_PX[[#This Row],[Column57]]</f>
        <v>96.935000000000002</v>
      </c>
      <c r="BF9">
        <f>SOFR3mo_PX[[#This Row],[Column58]]</f>
        <v>96.864999999999995</v>
      </c>
      <c r="BG9">
        <f>SOFR3mo_PX[[#This Row],[Column59]]</f>
        <v>96.605000000000004</v>
      </c>
      <c r="BH9">
        <f>SOFR3mo_PX[[#This Row],[Column60]]</f>
        <v>96.635000000000005</v>
      </c>
      <c r="BI9">
        <f>SOFR3mo_PX[[#This Row],[Column61]]</f>
        <v>96.575000000000003</v>
      </c>
      <c r="BJ9">
        <f>SOFR3mo_PX[[#This Row],[Column62]]</f>
        <v>96.584999999999994</v>
      </c>
      <c r="BK9">
        <f>SOFR3mo_PX[[#This Row],[Column63]]</f>
        <v>96.47</v>
      </c>
      <c r="BL9">
        <f>SOFR3mo_PX[[#This Row],[Column64]]</f>
        <v>96.454999999999998</v>
      </c>
      <c r="BM9">
        <f>SOFR3mo_PX[[#This Row],[Column65]]</f>
        <v>96.484999999999999</v>
      </c>
      <c r="BN9">
        <f>SOFR3mo_PX[[#This Row],[Column66]]</f>
        <v>96.44</v>
      </c>
      <c r="BO9">
        <f>SOFR3mo_PX[[#This Row],[Column67]]</f>
        <v>96.54</v>
      </c>
      <c r="BP9">
        <f>SOFR3mo_PX[[#This Row],[Column68]]</f>
        <v>96.52</v>
      </c>
      <c r="BQ9">
        <f>SOFR3mo_PX[[#This Row],[Column69]]</f>
        <v>96.495000000000005</v>
      </c>
      <c r="BR9">
        <f>SOFR3mo_PX[[#This Row],[Column70]]</f>
        <v>96.394999999999996</v>
      </c>
      <c r="BS9">
        <f>SOFR3mo_PX[[#This Row],[Column71]]</f>
        <v>96.375</v>
      </c>
      <c r="BT9">
        <f>SOFR3mo_PX[[#This Row],[Column72]]</f>
        <v>96.405000000000001</v>
      </c>
      <c r="BU9">
        <f>SOFR3mo_PX[[#This Row],[Column73]]</f>
        <v>96.49</v>
      </c>
      <c r="BV9">
        <f>SOFR3mo_PX[[#This Row],[Column74]]</f>
        <v>96.44</v>
      </c>
      <c r="BW9">
        <f>SOFR3mo_PX[[#This Row],[Column75]]</f>
        <v>96.51</v>
      </c>
      <c r="BX9">
        <f>SOFR3mo_PX[[#This Row],[Column76]]</f>
        <v>96.57</v>
      </c>
      <c r="BY9">
        <f>SOFR3mo_PX[[#This Row],[Column77]]</f>
        <v>96.43</v>
      </c>
      <c r="BZ9">
        <f>SOFR3mo_PX[[#This Row],[Column78]]</f>
        <v>96.46</v>
      </c>
      <c r="CA9">
        <f>SOFR3mo_PX[[#This Row],[Column79]]</f>
        <v>96.444999999999993</v>
      </c>
      <c r="CB9">
        <f>SOFR3mo_PX[[#This Row],[Column80]]</f>
        <v>96.484999999999999</v>
      </c>
      <c r="CC9">
        <f>SOFR3mo_PX[[#This Row],[Column81]]</f>
        <v>96.45</v>
      </c>
      <c r="CD9">
        <f>SOFR3mo_PX[[#This Row],[Column82]]</f>
        <v>96.435000000000002</v>
      </c>
      <c r="CE9">
        <f>SOFR3mo_PX[[#This Row],[Column83]]</f>
        <v>96.334999999999994</v>
      </c>
      <c r="CF9">
        <f>SOFR3mo_PX[[#This Row],[Column84]]</f>
        <v>96.355000000000004</v>
      </c>
      <c r="CG9">
        <f>SOFR3mo_PX[[#This Row],[Column85]]</f>
        <v>96.314999999999998</v>
      </c>
      <c r="CH9">
        <f>SOFR3mo_PX[[#This Row],[Column86]]</f>
        <v>96.21</v>
      </c>
      <c r="CI9">
        <f>SOFR3mo_PX[[#This Row],[Column87]]</f>
        <v>96.165000000000006</v>
      </c>
      <c r="CJ9">
        <f>SOFR3mo_PX[[#This Row],[Column88]]</f>
        <v>96.06</v>
      </c>
      <c r="CK9">
        <f>SOFR3mo_PX[[#This Row],[Column89]]</f>
        <v>96.045000000000002</v>
      </c>
      <c r="CL9">
        <f>SOFR3mo_PX[[#This Row],[Column90]]</f>
        <v>96.025000000000006</v>
      </c>
      <c r="CM9">
        <f>SOFR3mo_PX[[#This Row],[Column91]]</f>
        <v>96.08</v>
      </c>
      <c r="CN9">
        <f>SOFR3mo_PX[[#This Row],[Column92]]</f>
        <v>96.08</v>
      </c>
      <c r="CO9">
        <f>SOFR3mo_PX[[#This Row],[Column93]]</f>
        <v>96.004999999999995</v>
      </c>
      <c r="CP9">
        <f>SOFR3mo_PX[[#This Row],[Column94]]</f>
        <v>95.92</v>
      </c>
      <c r="CQ9">
        <f>SOFR3mo_PX[[#This Row],[Column95]]</f>
        <v>96.034999999999997</v>
      </c>
      <c r="CR9">
        <f>SOFR3mo_PX[[#This Row],[Column96]]</f>
        <v>96.07</v>
      </c>
      <c r="CS9">
        <f>SOFR3mo_PX[[#This Row],[Column97]]</f>
        <v>96.055000000000007</v>
      </c>
      <c r="CT9">
        <f>SOFR3mo_PX[[#This Row],[Column98]]</f>
        <v>96.14</v>
      </c>
      <c r="CU9">
        <f>SOFR3mo_PX[[#This Row],[Column99]]</f>
        <v>96.174999999999997</v>
      </c>
      <c r="CV9">
        <f>SOFR3mo_PX[[#This Row],[Column100]]</f>
        <v>96.12</v>
      </c>
      <c r="CW9">
        <f>SOFR3mo_PX[[#This Row],[Column101]]</f>
        <v>96.06</v>
      </c>
      <c r="CX9">
        <f>SOFR3mo_PX[[#This Row],[Column102]]</f>
        <v>96.08</v>
      </c>
      <c r="CY9">
        <f>SOFR3mo_PX[[#This Row],[Column103]]</f>
        <v>96.13</v>
      </c>
      <c r="CZ9">
        <f>SOFR3mo_PX[[#This Row],[Column104]]</f>
        <v>96.094999999999999</v>
      </c>
      <c r="DA9">
        <f>SOFR3mo_PX[[#This Row],[Column105]]</f>
        <v>96.12</v>
      </c>
      <c r="DB9">
        <f>SOFR3mo_PX[[#This Row],[Column106]]</f>
        <v>96.14</v>
      </c>
      <c r="DC9">
        <f>SOFR3mo_PX[[#This Row],[Column107]]</f>
        <v>96.03</v>
      </c>
      <c r="DD9">
        <f>SOFR3mo_PX[[#This Row],[Column108]]</f>
        <v>96.015000000000001</v>
      </c>
      <c r="DE9">
        <f>SOFR3mo_PX[[#This Row],[Column109]]</f>
        <v>95.995000000000005</v>
      </c>
      <c r="DF9">
        <f>SOFR3mo_PX[[#This Row],[Column110]]</f>
        <v>96.004999999999995</v>
      </c>
      <c r="DG9">
        <f>SOFR3mo_PX[[#This Row],[Column111]]</f>
        <v>96.004999999999995</v>
      </c>
      <c r="DH9">
        <f>SOFR3mo_PX[[#This Row],[Column112]]</f>
        <v>96.004999999999995</v>
      </c>
      <c r="DI9">
        <f>SOFR3mo_PX[[#This Row],[Column113]]</f>
        <v>96.05</v>
      </c>
      <c r="DJ9">
        <f>SOFR3mo_PX[[#This Row],[Column114]]</f>
        <v>96.01</v>
      </c>
      <c r="DK9">
        <f>SOFR3mo_PX[[#This Row],[Column115]]</f>
        <v>95.87</v>
      </c>
      <c r="DL9">
        <f>SOFR3mo_PX[[#This Row],[Column116]]</f>
        <v>95.834999999999994</v>
      </c>
      <c r="DM9">
        <f>SOFR3mo_PX[[#This Row],[Column117]]</f>
        <v>95.85</v>
      </c>
      <c r="DN9">
        <f>SOFR3mo_PX[[#This Row],[Column118]]</f>
        <v>96.04</v>
      </c>
      <c r="DO9">
        <f>SOFR3mo_PX[[#This Row],[Column119]]</f>
        <v>95.995000000000005</v>
      </c>
      <c r="DP9">
        <f>SOFR3mo_PX[[#This Row],[Column120]]</f>
        <v>95.974999999999994</v>
      </c>
      <c r="DQ9">
        <f>SOFR3mo_PX[[#This Row],[Column121]]</f>
        <v>96.004999999999995</v>
      </c>
      <c r="DR9">
        <f>SOFR3mo_PX[[#This Row],[Column122]]</f>
        <v>96.02</v>
      </c>
      <c r="DS9">
        <f>SOFR3mo_PX[[#This Row],[Column123]]</f>
        <v>96.064999999999998</v>
      </c>
      <c r="DT9">
        <f>SOFR3mo_PX[[#This Row],[Column124]]</f>
        <v>96.06</v>
      </c>
      <c r="DU9">
        <f>SOFR3mo_PX[[#This Row],[Column125]]</f>
        <v>96.06</v>
      </c>
      <c r="DV9">
        <f>SOFR3mo_PX[[#This Row],[Column126]]</f>
        <v>96.064999999999998</v>
      </c>
      <c r="DW9">
        <f>SOFR3mo_PX[[#This Row],[Column127]]</f>
        <v>95.974999999999994</v>
      </c>
      <c r="DX9">
        <f>SOFR3mo_PX[[#This Row],[Column128]]</f>
        <v>95.984999999999999</v>
      </c>
      <c r="DY9">
        <f>SOFR3mo_PX[[#This Row],[Column129]]</f>
        <v>95.984999999999999</v>
      </c>
      <c r="DZ9">
        <f>SOFR3mo_PX[[#This Row],[Column130]]</f>
        <v>95.984999999999999</v>
      </c>
      <c r="EA9">
        <f>SOFR3mo_PX[[#This Row],[Column131]]</f>
        <v>95.97</v>
      </c>
      <c r="EB9">
        <f>SOFR3mo_PX[[#This Row],[Column132]]</f>
        <v>96.025000000000006</v>
      </c>
      <c r="EC9">
        <f>SOFR3mo_PX[[#This Row],[Column133]]</f>
        <v>95.995000000000005</v>
      </c>
      <c r="ED9">
        <f>SOFR3mo_PX[[#This Row],[Column134]]</f>
        <v>95.995000000000005</v>
      </c>
      <c r="EE9">
        <f>SOFR3mo_PX[[#This Row],[Column135]]</f>
        <v>96.13</v>
      </c>
      <c r="EF9">
        <f>SOFR3mo_PX[[#This Row],[Column136]]</f>
        <v>96.125</v>
      </c>
      <c r="EG9">
        <f>SOFR3mo_PX[[#This Row],[Column137]]</f>
        <v>96.144999999999996</v>
      </c>
      <c r="EH9">
        <f>SOFR3mo_PX[[#This Row],[Column138]]</f>
        <v>96.204999999999998</v>
      </c>
      <c r="EI9">
        <f>SOFR3mo_PX[[#This Row],[Column139]]</f>
        <v>96.25</v>
      </c>
      <c r="EJ9">
        <f>SOFR3mo_PX[[#This Row],[Column140]]</f>
        <v>96.275000000000006</v>
      </c>
      <c r="EK9">
        <f>SOFR3mo_PX[[#This Row],[Column141]]</f>
        <v>96.31</v>
      </c>
      <c r="EL9">
        <f>SOFR3mo_PX[[#This Row],[Column142]]</f>
        <v>96.344999999999999</v>
      </c>
      <c r="EM9">
        <f>SOFR3mo_PX[[#This Row],[Column143]]</f>
        <v>96.295000000000002</v>
      </c>
      <c r="EN9">
        <f>SOFR3mo_PX[[#This Row],[Column144]]</f>
        <v>96.33</v>
      </c>
      <c r="EO9">
        <f>SOFR3mo_PX[[#This Row],[Column145]]</f>
        <v>96.27</v>
      </c>
      <c r="EP9">
        <f>SOFR3mo_PX[[#This Row],[Column146]]</f>
        <v>96.254999999999995</v>
      </c>
      <c r="EQ9">
        <f>SOFR3mo_PX[[#This Row],[Column147]]</f>
        <v>96.284999999999997</v>
      </c>
      <c r="ER9">
        <f>SOFR3mo_PX[[#This Row],[Column148]]</f>
        <v>96.245000000000005</v>
      </c>
      <c r="ES9">
        <f>SOFR3mo_PX[[#This Row],[Column149]]</f>
        <v>96.245000000000005</v>
      </c>
      <c r="ET9">
        <f>SOFR3mo_PX[[#This Row],[Column150]]</f>
        <v>96.174999999999997</v>
      </c>
      <c r="EU9">
        <f>SOFR3mo_PX[[#This Row],[Column151]]</f>
        <v>96.2</v>
      </c>
      <c r="EV9">
        <f>SOFR3mo_PX[[#This Row],[Column152]]</f>
        <v>96.09</v>
      </c>
      <c r="EW9">
        <f>SOFR3mo_PX[[#This Row],[Column153]]</f>
        <v>96.1</v>
      </c>
      <c r="EX9">
        <f>SOFR3mo_PX[[#This Row],[Column154]]</f>
        <v>96.144999999999996</v>
      </c>
      <c r="EY9">
        <f>SOFR3mo_PX[[#This Row],[Column155]]</f>
        <v>96.194999999999993</v>
      </c>
      <c r="EZ9">
        <f>SOFR3mo_PX[[#This Row],[Column156]]</f>
        <v>96.165000000000006</v>
      </c>
      <c r="FA9">
        <f>SOFR3mo_PX[[#This Row],[Column157]]</f>
        <v>96.144999999999996</v>
      </c>
      <c r="FB9">
        <f>SOFR3mo_PX[[#This Row],[Column158]]</f>
        <v>96.155000000000001</v>
      </c>
      <c r="FC9">
        <f>SOFR3mo_PX[[#This Row],[Column159]]</f>
        <v>96.155000000000001</v>
      </c>
      <c r="FD9">
        <f>SOFR3mo_PX[[#This Row],[Column160]]</f>
        <v>96.11</v>
      </c>
      <c r="FE9">
        <f>SOFR3mo_PX[[#This Row],[Column161]]</f>
        <v>96.144999999999996</v>
      </c>
      <c r="FF9">
        <f>SOFR3mo_PX[[#This Row],[Column162]]</f>
        <v>96.22</v>
      </c>
      <c r="FG9">
        <f>SOFR3mo_PX[[#This Row],[Column163]]</f>
        <v>96.25</v>
      </c>
      <c r="FH9">
        <f>SOFR3mo_PX[[#This Row],[Column164]]</f>
        <v>96.194999999999993</v>
      </c>
      <c r="FI9">
        <f>SOFR3mo_PX[[#This Row],[Column165]]</f>
        <v>96.3</v>
      </c>
      <c r="FJ9">
        <f>SOFR3mo_PX[[#This Row],[Column166]]</f>
        <v>96.34</v>
      </c>
      <c r="FK9">
        <f>SOFR3mo_PX[[#This Row],[Column167]]</f>
        <v>96.325000000000003</v>
      </c>
      <c r="FL9">
        <f>SOFR3mo_PX[[#This Row],[Column168]]</f>
        <v>96.364999999999995</v>
      </c>
      <c r="FM9">
        <f>SOFR3mo_PX[[#This Row],[Column169]]</f>
        <v>96.385000000000005</v>
      </c>
      <c r="FN9">
        <f>SOFR3mo_PX[[#This Row],[Column170]]</f>
        <v>96.444999999999993</v>
      </c>
      <c r="FO9">
        <f>SOFR3mo_PX[[#This Row],[Column171]]</f>
        <v>96.42</v>
      </c>
      <c r="FP9">
        <f>SOFR3mo_PX[[#This Row],[Column172]]</f>
        <v>96.47</v>
      </c>
      <c r="FQ9">
        <f>SOFR3mo_PX[[#This Row],[Column173]]</f>
        <v>96.515000000000001</v>
      </c>
      <c r="FR9">
        <f>SOFR3mo_PX[[#This Row],[Column174]]</f>
        <v>96.48</v>
      </c>
      <c r="FS9">
        <f>SOFR3mo_PX[[#This Row],[Column175]]</f>
        <v>96.545000000000002</v>
      </c>
      <c r="FT9">
        <f>SOFR3mo_PX[[#This Row],[Column176]]</f>
        <v>96.575000000000003</v>
      </c>
      <c r="FU9">
        <f>SOFR3mo_PX[[#This Row],[Column177]]</f>
        <v>96.67</v>
      </c>
      <c r="FV9">
        <f>SOFR3mo_PX[[#This Row],[Column178]]</f>
        <v>96.64</v>
      </c>
      <c r="FW9">
        <f>SOFR3mo_PX[[#This Row],[Column179]]</f>
        <v>96.7</v>
      </c>
      <c r="FX9">
        <f>SOFR3mo_PX[[#This Row],[Column180]]</f>
        <v>96.674999999999997</v>
      </c>
      <c r="FY9">
        <f>SOFR3mo_PX[[#This Row],[Column181]]</f>
        <v>96.62</v>
      </c>
      <c r="FZ9">
        <f>SOFR3mo_PX[[#This Row],[Column182]]</f>
        <v>96.68</v>
      </c>
      <c r="GA9">
        <f>SOFR3mo_PX[[#This Row],[Column183]]</f>
        <v>96.61</v>
      </c>
      <c r="GB9">
        <f>SOFR3mo_PX[[#This Row],[Column184]]</f>
        <v>96.6</v>
      </c>
      <c r="GC9">
        <f>SOFR3mo_PX[[#This Row],[Column185]]</f>
        <v>96.644999999999996</v>
      </c>
      <c r="GD9">
        <f>SOFR3mo_PX[[#This Row],[Column186]]</f>
        <v>96.625</v>
      </c>
      <c r="GE9">
        <f>SOFR3mo_PX[[#This Row],[Column187]]</f>
        <v>96.715000000000003</v>
      </c>
      <c r="GF9">
        <f>SOFR3mo_PX[[#This Row],[Column188]]</f>
        <v>96.96</v>
      </c>
      <c r="GG9">
        <f>SOFR3mo_PX[[#This Row],[Column189]]</f>
        <v>97.04</v>
      </c>
      <c r="GH9">
        <f>SOFR3mo_PX[[#This Row],[Column190]]</f>
        <v>97.08</v>
      </c>
      <c r="GI9">
        <f>SOFR3mo_PX[[#This Row],[Column191]]</f>
        <v>97.025000000000006</v>
      </c>
      <c r="GJ9">
        <f>SOFR3mo_PX[[#This Row],[Column192]]</f>
        <v>97.1</v>
      </c>
      <c r="GK9">
        <f>SOFR3mo_PX[[#This Row],[Column193]]</f>
        <v>97.04</v>
      </c>
      <c r="GL9">
        <f>SOFR3mo_PX[[#This Row],[Column194]]</f>
        <v>97.1</v>
      </c>
      <c r="GM9">
        <f>SOFR3mo_PX[[#This Row],[Column195]]</f>
        <v>97.14</v>
      </c>
      <c r="GN9">
        <f>SOFR3mo_PX[[#This Row],[Column196]]</f>
        <v>97.1</v>
      </c>
      <c r="GO9">
        <f>SOFR3mo_PX[[#This Row],[Column197]]</f>
        <v>97.105000000000004</v>
      </c>
      <c r="GP9">
        <f>SOFR3mo_PX[[#This Row],[Column198]]</f>
        <v>97.09</v>
      </c>
      <c r="GQ9">
        <f>SOFR3mo_PX[[#This Row],[Column199]]</f>
        <v>97.094999999999999</v>
      </c>
      <c r="GR9">
        <f>SOFR3mo_PX[[#This Row],[Column200]]</f>
        <v>97.13</v>
      </c>
      <c r="GS9">
        <f>SOFR3mo_PX[[#This Row],[Column201]]</f>
        <v>97.18</v>
      </c>
      <c r="GT9">
        <f>SOFR3mo_PX[[#This Row],[Column202]]</f>
        <v>97.18</v>
      </c>
      <c r="GU9">
        <f>SOFR3mo_PX[[#This Row],[Column203]]</f>
        <v>97.144999999999996</v>
      </c>
      <c r="GV9">
        <f>SOFR3mo_PX[[#This Row],[Column204]]</f>
        <v>97.17</v>
      </c>
      <c r="GW9">
        <f>SOFR3mo_PX[[#This Row],[Column205]]</f>
        <v>97.2</v>
      </c>
      <c r="GX9">
        <f>SOFR3mo_PX[[#This Row],[Column206]]</f>
        <v>97.13</v>
      </c>
      <c r="GY9">
        <f>SOFR3mo_PX[[#This Row],[Column207]]</f>
        <v>97.15</v>
      </c>
      <c r="GZ9">
        <f>SOFR3mo_PX[[#This Row],[Column208]]</f>
        <v>97.02</v>
      </c>
      <c r="HA9">
        <f>SOFR3mo_PX[[#This Row],[Column209]]</f>
        <v>97</v>
      </c>
      <c r="HB9">
        <f>SOFR3mo_PX[[#This Row],[Column210]]</f>
        <v>96.875</v>
      </c>
      <c r="HC9">
        <f>SOFR3mo_PX[[#This Row],[Column211]]</f>
        <v>96.825000000000003</v>
      </c>
      <c r="HD9">
        <f>SOFR3mo_PX[[#This Row],[Column212]]</f>
        <v>96.825000000000003</v>
      </c>
      <c r="HE9">
        <f>SOFR3mo_PX[[#This Row],[Column213]]</f>
        <v>96.87</v>
      </c>
      <c r="HF9">
        <f>SOFR3mo_PX[[#This Row],[Column214]]</f>
        <v>96.89</v>
      </c>
      <c r="HG9">
        <f>SOFR3mo_PX[[#This Row],[Column215]]</f>
        <v>96.894999999999996</v>
      </c>
      <c r="HH9">
        <f>SOFR3mo_PX[[#This Row],[Column216]]</f>
        <v>96.875</v>
      </c>
      <c r="HI9">
        <f>SOFR3mo_PX[[#This Row],[Column217]]</f>
        <v>96.88</v>
      </c>
      <c r="HJ9">
        <f>SOFR3mo_PX[[#This Row],[Column218]]</f>
        <v>96.78</v>
      </c>
      <c r="HK9">
        <f>SOFR3mo_PX[[#This Row],[Column219]]</f>
        <v>96.88</v>
      </c>
      <c r="HL9">
        <f>SOFR3mo_PX[[#This Row],[Column220]]</f>
        <v>96.795000000000002</v>
      </c>
      <c r="HM9">
        <f>SOFR3mo_PX[[#This Row],[Column221]]</f>
        <v>96.72</v>
      </c>
      <c r="HN9">
        <f>SOFR3mo_PX[[#This Row],[Column222]]</f>
        <v>96.715000000000003</v>
      </c>
      <c r="HO9">
        <f>SOFR3mo_PX[[#This Row],[Column223]]</f>
        <v>96.685000000000002</v>
      </c>
      <c r="HP9">
        <f>SOFR3mo_PX[[#This Row],[Column224]]</f>
        <v>96.875</v>
      </c>
      <c r="HQ9">
        <f>SOFR3mo_PX[[#This Row],[Column225]]</f>
        <v>96.875</v>
      </c>
      <c r="HR9">
        <f>SOFR3mo_PX[[#This Row],[Column226]]</f>
        <v>96.795000000000002</v>
      </c>
      <c r="HS9">
        <f>SOFR3mo_PX[[#This Row],[Column227]]</f>
        <v>96.73</v>
      </c>
      <c r="HT9">
        <f>SOFR3mo_PX[[#This Row],[Column228]]</f>
        <v>96.73</v>
      </c>
      <c r="HU9">
        <f>SOFR3mo_PX[[#This Row],[Column229]]</f>
        <v>96.775000000000006</v>
      </c>
      <c r="HV9">
        <f>SOFR3mo_PX[[#This Row],[Column230]]</f>
        <v>96.82</v>
      </c>
      <c r="HW9">
        <f>SOFR3mo_PX[[#This Row],[Column231]]</f>
        <v>96.894999999999996</v>
      </c>
      <c r="HX9">
        <f>SOFR3mo_PX[[#This Row],[Column232]]</f>
        <v>96.935000000000002</v>
      </c>
      <c r="HY9">
        <f>SOFR3mo_PX[[#This Row],[Column233]]</f>
        <v>96.65</v>
      </c>
      <c r="HZ9">
        <f>SOFR3mo_PX[[#This Row],[Column234]]</f>
        <v>96.44</v>
      </c>
      <c r="IA9">
        <f>SOFR3mo_PX[[#This Row],[Column235]]</f>
        <v>96.415000000000006</v>
      </c>
      <c r="IB9">
        <f>SOFR3mo_PX[[#This Row],[Column236]]</f>
        <v>96.375</v>
      </c>
      <c r="IC9">
        <f>SOFR3mo_PX[[#This Row],[Column237]]</f>
        <v>96.364999999999995</v>
      </c>
      <c r="ID9">
        <f>SOFR3mo_PX[[#This Row],[Column238]]</f>
        <v>96.314999999999998</v>
      </c>
      <c r="IE9">
        <f>SOFR3mo_PX[[#This Row],[Column239]]</f>
        <v>96.344999999999999</v>
      </c>
      <c r="IF9">
        <f>SOFR3mo_PX[[#This Row],[Column240]]</f>
        <v>96.314999999999998</v>
      </c>
      <c r="IG9">
        <f>SOFR3mo_PX[[#This Row],[Column241]]</f>
        <v>96.27</v>
      </c>
      <c r="IH9">
        <f>SOFR3mo_PX[[#This Row],[Column242]]</f>
        <v>96.29</v>
      </c>
      <c r="II9">
        <f>SOFR3mo_PX[[#This Row],[Column243]]</f>
        <v>96.36</v>
      </c>
      <c r="IJ9">
        <f>SOFR3mo_PX[[#This Row],[Column244]]</f>
        <v>96.4</v>
      </c>
      <c r="IK9">
        <f>SOFR3mo_PX[[#This Row],[Column245]]</f>
        <v>96.37</v>
      </c>
      <c r="IL9">
        <f>SOFR3mo_PX[[#This Row],[Column246]]</f>
        <v>96.364999999999995</v>
      </c>
      <c r="IM9">
        <f>SOFR3mo_PX[[#This Row],[Column247]]</f>
        <v>96.364999999999995</v>
      </c>
      <c r="IN9">
        <f>SOFR3mo_PX[[#This Row],[Column248]]</f>
        <v>96.325000000000003</v>
      </c>
      <c r="IO9">
        <f>SOFR3mo_PX[[#This Row],[Column249]]</f>
        <v>96.165000000000006</v>
      </c>
      <c r="IP9">
        <f>SOFR3mo_PX[[#This Row],[Column250]]</f>
        <v>96.155000000000001</v>
      </c>
      <c r="IQ9">
        <f>SOFR3mo_PX[[#This Row],[Column251]]</f>
        <v>96.165000000000006</v>
      </c>
      <c r="IR9">
        <f>SOFR3mo_PX[[#This Row],[Column252]]</f>
        <v>96.18</v>
      </c>
      <c r="IS9">
        <f>SOFR3mo_PX[[#This Row],[Column253]]</f>
        <v>96.05</v>
      </c>
      <c r="IT9">
        <f>SOFR3mo_PX[[#This Row],[Column254]]</f>
        <v>96.05</v>
      </c>
      <c r="IU9">
        <f>SOFR3mo_PX[[#This Row],[Column255]]</f>
        <v>95.974999999999994</v>
      </c>
      <c r="IV9">
        <f>SOFR3mo_PX[[#This Row],[Column256]]</f>
        <v>95.924999999999997</v>
      </c>
      <c r="IW9">
        <f>SOFR3mo_PX[[#This Row],[Column257]]</f>
        <v>96.03</v>
      </c>
      <c r="IX9">
        <f>SOFR3mo_PX[[#This Row],[Column258]]</f>
        <v>96.03</v>
      </c>
      <c r="IY9">
        <f>SOFR3mo_PX[[#This Row],[Column259]]</f>
        <v>95.99</v>
      </c>
      <c r="IZ9">
        <f>SOFR3mo_PX[[#This Row],[Column260]]</f>
        <v>96.08</v>
      </c>
      <c r="JA9">
        <f>SOFR3mo_PX[[#This Row],[Column261]]</f>
        <v>96.084999999999994</v>
      </c>
      <c r="JB9">
        <f>SOFR3mo_PX[[#This Row],[Column262]]</f>
        <v>96.09</v>
      </c>
      <c r="JC9">
        <f>SOFR3mo_PX[[#This Row],[Column263]]</f>
        <v>96.09</v>
      </c>
      <c r="JD9">
        <f>SOFR3mo_PX[[#This Row],[Column264]]</f>
        <v>95.974999999999994</v>
      </c>
      <c r="JE9">
        <f>SOFR3mo_PX[[#This Row],[Column265]]</f>
        <v>95.974999999999994</v>
      </c>
      <c r="JF9">
        <f>SOFR3mo_PX[[#This Row],[Column266]]</f>
        <v>95.894999999999996</v>
      </c>
      <c r="JG9">
        <f>SOFR3mo_PX[[#This Row],[Column267]]</f>
        <v>95.995000000000005</v>
      </c>
      <c r="JH9">
        <f>SOFR3mo_PX[[#This Row],[Column268]]</f>
        <v>95.98</v>
      </c>
      <c r="JI9">
        <f>SOFR3mo_PX[[#This Row],[Column269]]</f>
        <v>95.885000000000005</v>
      </c>
      <c r="JJ9">
        <f>SOFR3mo_PX[[#This Row],[Column270]]</f>
        <v>95.754999999999995</v>
      </c>
      <c r="JK9">
        <f>SOFR3mo_PX[[#This Row],[Column271]]</f>
        <v>95.685000000000002</v>
      </c>
      <c r="JL9">
        <f>SOFR3mo_PX[[#This Row],[Column272]]</f>
        <v>95.694999999999993</v>
      </c>
      <c r="JM9">
        <f>SOFR3mo_PX[[#This Row],[Column273]]</f>
        <v>95.885000000000005</v>
      </c>
      <c r="JN9">
        <f>SOFR3mo_PX[[#This Row],[Column274]]</f>
        <v>95.87</v>
      </c>
      <c r="JO9">
        <f>SOFR3mo_PX[[#This Row],[Column275]]</f>
        <v>95.814999999999998</v>
      </c>
      <c r="JP9">
        <f>SOFR3mo_PX[[#This Row],[Column276]]</f>
        <v>95.745000000000005</v>
      </c>
      <c r="JQ9">
        <f>SOFR3mo_PX[[#This Row],[Column277]]</f>
        <v>95.635000000000005</v>
      </c>
      <c r="JR9">
        <f>SOFR3mo_PX[[#This Row],[Column278]]</f>
        <v>95.58</v>
      </c>
      <c r="JS9">
        <f>SOFR3mo_PX[[#This Row],[Column279]]</f>
        <v>95.51</v>
      </c>
      <c r="JT9">
        <f>SOFR3mo_PX[[#This Row],[Column280]]</f>
        <v>95.555000000000007</v>
      </c>
      <c r="JU9">
        <f>SOFR3mo_PX[[#This Row],[Column281]]</f>
        <v>95.584999999999994</v>
      </c>
      <c r="JV9">
        <f>SOFR3mo_PX[[#This Row],[Column282]]</f>
        <v>95.584999999999994</v>
      </c>
      <c r="JW9">
        <f>SOFR3mo_PX[[#This Row],[Column283]]</f>
        <v>95.6</v>
      </c>
      <c r="JX9">
        <f>SOFR3mo_PX[[#This Row],[Column284]]</f>
        <v>95.685000000000002</v>
      </c>
      <c r="JY9">
        <f>SOFR3mo_PX[[#This Row],[Column285]]</f>
        <v>95.754999999999995</v>
      </c>
      <c r="JZ9">
        <f>SOFR3mo_PX[[#This Row],[Column286]]</f>
        <v>95.74</v>
      </c>
      <c r="KA9">
        <f>SOFR3mo_PX[[#This Row],[Column287]]</f>
        <v>95.754999999999995</v>
      </c>
      <c r="KB9">
        <f>SOFR3mo_PX[[#This Row],[Column288]]</f>
        <v>95.81</v>
      </c>
      <c r="KC9">
        <f>SOFR3mo_PX[[#This Row],[Column289]]</f>
        <v>95.89</v>
      </c>
      <c r="KD9">
        <f>SOFR3mo_PX[[#This Row],[Column290]]</f>
        <v>95.76</v>
      </c>
      <c r="KE9">
        <f>SOFR3mo_PX[[#This Row],[Column291]]</f>
        <v>95.704999999999998</v>
      </c>
      <c r="KF9">
        <f>SOFR3mo_PX[[#This Row],[Column292]]</f>
        <v>95.69</v>
      </c>
      <c r="KG9">
        <f>SOFR3mo_PX[[#This Row],[Column293]]</f>
        <v>95.78</v>
      </c>
      <c r="KH9">
        <f>SOFR3mo_PX[[#This Row],[Column294]]</f>
        <v>95.734999999999999</v>
      </c>
      <c r="KI9">
        <f>SOFR3mo_PX[[#This Row],[Column295]]</f>
        <v>95.77</v>
      </c>
      <c r="KJ9">
        <f>SOFR3mo_PX[[#This Row],[Column296]]</f>
        <v>95.775000000000006</v>
      </c>
      <c r="KK9">
        <f>SOFR3mo_PX[[#This Row],[Column297]]</f>
        <v>95.79</v>
      </c>
      <c r="KL9">
        <f>SOFR3mo_PX[[#This Row],[Column298]]</f>
        <v>95.67</v>
      </c>
      <c r="KM9">
        <f>SOFR3mo_PX[[#This Row],[Column299]]</f>
        <v>95.58</v>
      </c>
      <c r="KN9">
        <f>SOFR3mo_PX[[#This Row],[Column300]]</f>
        <v>95.444999999999993</v>
      </c>
      <c r="KO9">
        <f>SOFR3mo_PX[[#This Row],[Column301]]</f>
        <v>95.54</v>
      </c>
      <c r="KP9">
        <f>SOFR3mo_PX[[#This Row],[Column302]]</f>
        <v>95.504999999999995</v>
      </c>
      <c r="KQ9">
        <f>SOFR3mo_PX[[#This Row],[Column303]]</f>
        <v>95.5</v>
      </c>
      <c r="KR9">
        <f>SOFR3mo_PX[[#This Row],[Column304]]</f>
        <v>95.59</v>
      </c>
      <c r="KS9">
        <f>SOFR3mo_PX[[#This Row],[Column305]]</f>
        <v>95.635000000000005</v>
      </c>
      <c r="KT9">
        <f>SOFR3mo_PX[[#This Row],[Column306]]</f>
        <v>95.575000000000003</v>
      </c>
      <c r="KU9">
        <f>SOFR3mo_PX[[#This Row],[Column307]]</f>
        <v>95.575000000000003</v>
      </c>
      <c r="KV9">
        <f>SOFR3mo_PX[[#This Row],[Column308]]</f>
        <v>95.545000000000002</v>
      </c>
      <c r="KW9">
        <f>SOFR3mo_PX[[#This Row],[Column309]]</f>
        <v>95.635000000000005</v>
      </c>
      <c r="KX9">
        <f>SOFR3mo_PX[[#This Row],[Column310]]</f>
        <v>95.564999999999998</v>
      </c>
      <c r="KY9">
        <f>SOFR3mo_PX[[#This Row],[Column311]]</f>
        <v>95.614999999999995</v>
      </c>
      <c r="KZ9">
        <f>SOFR3mo_PX[[#This Row],[Column312]]</f>
        <v>95.694999999999993</v>
      </c>
      <c r="LA9">
        <f>SOFR3mo_PX[[#This Row],[Column313]]</f>
        <v>95.6</v>
      </c>
      <c r="LB9">
        <f>SOFR3mo_PX[[#This Row],[Column314]]</f>
        <v>95.6</v>
      </c>
      <c r="LC9">
        <f>SOFR3mo_PX[[#This Row],[Column315]]</f>
        <v>95.894999999999996</v>
      </c>
      <c r="LD9">
        <f>SOFR3mo_PX[[#This Row],[Column316]]</f>
        <v>95.844999999999999</v>
      </c>
      <c r="LE9">
        <f>SOFR3mo_PX[[#This Row],[Column317]]</f>
        <v>95.935000000000002</v>
      </c>
      <c r="LF9">
        <f>SOFR3mo_PX[[#This Row],[Column318]]</f>
        <v>96.05</v>
      </c>
      <c r="LG9">
        <f>SOFR3mo_PX[[#This Row],[Column319]]</f>
        <v>96.015000000000001</v>
      </c>
      <c r="LH9">
        <f>SOFR3mo_PX[[#This Row],[Column320]]</f>
        <v>95.995000000000005</v>
      </c>
      <c r="LI9">
        <f>SOFR3mo_PX[[#This Row],[Column321]]</f>
        <v>95.984999999999999</v>
      </c>
      <c r="LJ9">
        <f>SOFR3mo_PX[[#This Row],[Column322]]</f>
        <v>96.12</v>
      </c>
      <c r="LK9">
        <f>SOFR3mo_PX[[#This Row],[Column323]]</f>
        <v>96.12</v>
      </c>
      <c r="LL9">
        <f>SOFR3mo_PX[[#This Row],[Column324]]</f>
        <v>96.174999999999997</v>
      </c>
      <c r="LM9">
        <f>SOFR3mo_PX[[#This Row],[Column325]]</f>
        <v>96.135000000000005</v>
      </c>
      <c r="LN9">
        <f>SOFR3mo_PX[[#This Row],[Column326]]</f>
        <v>96.135000000000005</v>
      </c>
      <c r="LO9">
        <f>SOFR3mo_PX[[#This Row],[Column327]]</f>
        <v>96.17</v>
      </c>
      <c r="LP9">
        <f>SOFR3mo_PX[[#This Row],[Column328]]</f>
        <v>96.12</v>
      </c>
      <c r="LQ9">
        <f>SOFR3mo_PX[[#This Row],[Column329]]</f>
        <v>96.15</v>
      </c>
      <c r="LR9">
        <f>SOFR3mo_PX[[#This Row],[Column330]]</f>
        <v>95.894999999999996</v>
      </c>
      <c r="LS9">
        <f>SOFR3mo_PX[[#This Row],[Column331]]</f>
        <v>95.834999999999994</v>
      </c>
      <c r="LT9">
        <f>SOFR3mo_PX[[#This Row],[Column332]]</f>
        <v>95.864999999999995</v>
      </c>
      <c r="LU9">
        <f>SOFR3mo_PX[[#This Row],[Column333]]</f>
        <v>95.915000000000006</v>
      </c>
      <c r="LV9">
        <f>SOFR3mo_PX[[#This Row],[Column334]]</f>
        <v>96.034999999999997</v>
      </c>
      <c r="LW9">
        <f>SOFR3mo_PX[[#This Row],[Column335]]</f>
        <v>96.07</v>
      </c>
      <c r="LX9">
        <f>SOFR3mo_PX[[#This Row],[Column336]]</f>
        <v>96.165000000000006</v>
      </c>
      <c r="LY9">
        <f>SOFR3mo_PX[[#This Row],[Column337]]</f>
        <v>96.21</v>
      </c>
      <c r="LZ9">
        <f>SOFR3mo_PX[[#This Row],[Column338]]</f>
        <v>96.165000000000006</v>
      </c>
      <c r="MA9">
        <f>SOFR3mo_PX[[#This Row],[Column339]]</f>
        <v>96.11</v>
      </c>
      <c r="MB9">
        <f>SOFR3mo_PX[[#This Row],[Column340]]</f>
        <v>96.12</v>
      </c>
      <c r="MC9">
        <f>SOFR3mo_PX[[#This Row],[Column341]]</f>
        <v>96.05</v>
      </c>
      <c r="MD9">
        <f>SOFR3mo_PX[[#This Row],[Column342]]</f>
        <v>96.13</v>
      </c>
      <c r="ME9">
        <f>SOFR3mo_PX[[#This Row],[Column343]]</f>
        <v>96.02</v>
      </c>
      <c r="MF9">
        <f>SOFR3mo_PX[[#This Row],[Column344]]</f>
        <v>96.025000000000006</v>
      </c>
      <c r="MG9">
        <f>SOFR3mo_PX[[#This Row],[Column345]]</f>
        <v>95.954999999999998</v>
      </c>
      <c r="MH9">
        <f>SOFR3mo_PX[[#This Row],[Column346]]</f>
        <v>95.965000000000003</v>
      </c>
      <c r="MI9">
        <f>SOFR3mo_PX[[#This Row],[Column347]]</f>
        <v>96.015000000000001</v>
      </c>
      <c r="MJ9">
        <f>SOFR3mo_PX[[#This Row],[Column348]]</f>
        <v>95.984999999999999</v>
      </c>
      <c r="MK9">
        <f>SOFR3mo_PX[[#This Row],[Column349]]</f>
        <v>96.06</v>
      </c>
      <c r="ML9">
        <f>SOFR3mo_PX[[#This Row],[Column350]]</f>
        <v>96.12</v>
      </c>
      <c r="MM9">
        <f>SOFR3mo_PX[[#This Row],[Column351]]</f>
        <v>96.07</v>
      </c>
      <c r="MN9">
        <f>SOFR3mo_PX[[#This Row],[Column352]]</f>
        <v>96.07</v>
      </c>
      <c r="MO9">
        <f>SOFR3mo_PX[[#This Row],[Column353]]</f>
        <v>96.17</v>
      </c>
      <c r="MP9">
        <f>SOFR3mo_PX[[#This Row],[Column354]]</f>
        <v>96.155000000000001</v>
      </c>
      <c r="MQ9">
        <f>SOFR3mo_PX[[#This Row],[Column355]]</f>
        <v>96.064999999999998</v>
      </c>
      <c r="MR9">
        <f>SOFR3mo_PX[[#This Row],[Column356]]</f>
        <v>96.32</v>
      </c>
      <c r="MS9">
        <f>SOFR3mo_PX[[#This Row],[Column357]]</f>
        <v>96.295000000000002</v>
      </c>
      <c r="MT9">
        <f>SOFR3mo_PX[[#This Row],[Column358]]</f>
        <v>96.35</v>
      </c>
      <c r="MU9">
        <f>SOFR3mo_PX[[#This Row],[Column359]]</f>
        <v>96.405000000000001</v>
      </c>
      <c r="MV9">
        <f>SOFR3mo_PX[[#This Row],[Column360]]</f>
        <v>96.43</v>
      </c>
      <c r="MW9">
        <f>SOFR3mo_PX[[#This Row],[Column361]]</f>
        <v>96.344999999999999</v>
      </c>
      <c r="MX9">
        <f>SOFR3mo_PX[[#This Row],[Column362]]</f>
        <v>96.48</v>
      </c>
      <c r="MY9">
        <f>SOFR3mo_PX[[#This Row],[Column363]]</f>
        <v>96.704999999999998</v>
      </c>
      <c r="MZ9">
        <f>SOFR3mo_PX[[#This Row],[Column364]]</f>
        <v>96.655000000000001</v>
      </c>
      <c r="NA9">
        <f>SOFR3mo_PX[[#This Row],[Column365]]</f>
        <v>96.49</v>
      </c>
      <c r="NB9">
        <f>SOFR3mo_PX[[#This Row],[Column366]]</f>
        <v>96.555000000000007</v>
      </c>
      <c r="NC9">
        <f>SOFR3mo_PX[[#This Row],[Column367]]</f>
        <v>96.484999999999999</v>
      </c>
      <c r="ND9">
        <f>SOFR3mo_PX[[#This Row],[Column368]]</f>
        <v>96.564999999999998</v>
      </c>
      <c r="NE9">
        <f>SOFR3mo_PX[[#This Row],[Column369]]</f>
        <v>96.49</v>
      </c>
      <c r="NF9">
        <f>SOFR3mo_PX[[#This Row],[Column370]]</f>
        <v>96.52</v>
      </c>
      <c r="NG9">
        <f>SOFR3mo_PX[[#This Row],[Column371]]</f>
        <v>96.534999999999997</v>
      </c>
      <c r="NH9">
        <f>SOFR3mo_PX[[#This Row],[Column372]]</f>
        <v>96.49</v>
      </c>
      <c r="NI9">
        <f>SOFR3mo_PX[[#This Row],[Column373]]</f>
        <v>96.545000000000002</v>
      </c>
      <c r="NJ9">
        <f>SOFR3mo_PX[[#This Row],[Column374]]</f>
        <v>96.56</v>
      </c>
      <c r="NK9">
        <f>SOFR3mo_PX[[#This Row],[Column375]]</f>
        <v>96.72</v>
      </c>
      <c r="NL9">
        <f>SOFR3mo_PX[[#This Row],[Column376]]</f>
        <v>96.814999999999998</v>
      </c>
      <c r="NM9">
        <f>SOFR3mo_PX[[#This Row],[Column377]]</f>
        <v>96.814999999999998</v>
      </c>
      <c r="NN9">
        <f>SOFR3mo_PX[[#This Row],[Column378]]</f>
        <v>96.694999999999993</v>
      </c>
      <c r="NO9">
        <f>SOFR3mo_PX[[#This Row],[Column379]]</f>
        <v>96.56</v>
      </c>
      <c r="NP9">
        <f>SOFR3mo_PX[[#This Row],[Column380]]</f>
        <v>96.56</v>
      </c>
      <c r="NQ9">
        <f>SOFR3mo_PX[[#This Row],[Column381]]</f>
        <v>96.59</v>
      </c>
      <c r="NR9">
        <f>SOFR3mo_PX[[#This Row],[Column382]]</f>
        <v>96.555000000000007</v>
      </c>
      <c r="NS9">
        <f>SOFR3mo_PX[[#This Row],[Column383]]</f>
        <v>96.58</v>
      </c>
      <c r="NT9">
        <f>SOFR3mo_PX[[#This Row],[Column384]]</f>
        <v>96.694999999999993</v>
      </c>
      <c r="NU9">
        <f>SOFR3mo_PX[[#This Row],[Column385]]</f>
        <v>96.674999999999997</v>
      </c>
      <c r="NV9">
        <f>SOFR3mo_PX[[#This Row],[Column386]]</f>
        <v>96.79</v>
      </c>
      <c r="NW9">
        <f>SOFR3mo_PX[[#This Row],[Column387]]</f>
        <v>96.79</v>
      </c>
      <c r="NX9">
        <f>SOFR3mo_PX[[#This Row],[Column388]]</f>
        <v>96.75</v>
      </c>
      <c r="NY9">
        <f>SOFR3mo_PX[[#This Row],[Column389]]</f>
        <v>96.795000000000002</v>
      </c>
      <c r="NZ9">
        <f>SOFR3mo_PX[[#This Row],[Column390]]</f>
        <v>96.724999999999994</v>
      </c>
      <c r="OA9">
        <f>SOFR3mo_PX[[#This Row],[Column391]]</f>
        <v>96.715000000000003</v>
      </c>
      <c r="OB9">
        <f>SOFR3mo_PX[[#This Row],[Column392]]</f>
        <v>96.715000000000003</v>
      </c>
      <c r="OC9">
        <f>SOFR3mo_PX[[#This Row],[Column393]]</f>
        <v>96.73</v>
      </c>
      <c r="OD9">
        <f>SOFR3mo_PX[[#This Row],[Column394]]</f>
        <v>96.7</v>
      </c>
      <c r="OE9">
        <f>SOFR3mo_PX[[#This Row],[Column395]]</f>
        <v>96.405000000000001</v>
      </c>
      <c r="OF9">
        <f>SOFR3mo_PX[[#This Row],[Column396]]</f>
        <v>96.4</v>
      </c>
      <c r="OG9">
        <f>SOFR3mo_PX[[#This Row],[Column397]]</f>
        <v>96.4</v>
      </c>
      <c r="OH9">
        <f>SOFR3mo_PX[[#This Row],[Column398]]</f>
        <v>96.474999999999994</v>
      </c>
      <c r="OI9">
        <f>SOFR3mo_PX[[#This Row],[Column399]]</f>
        <v>96.355000000000004</v>
      </c>
      <c r="OJ9">
        <f>SOFR3mo_PX[[#This Row],[Column400]]</f>
        <v>96.06</v>
      </c>
      <c r="OK9">
        <f>SOFR3mo_PX[[#This Row],[Column401]]</f>
        <v>96.064999999999998</v>
      </c>
      <c r="OL9">
        <f>SOFR3mo_PX[[#This Row],[Column402]]</f>
        <v>96.06</v>
      </c>
      <c r="OM9">
        <f>SOFR3mo_PX[[#This Row],[Column403]]</f>
        <v>96.265000000000001</v>
      </c>
      <c r="ON9">
        <f>SOFR3mo_PX[[#This Row],[Column404]]</f>
        <v>96.234999999999999</v>
      </c>
      <c r="OO9">
        <f>SOFR3mo_PX[[#This Row],[Column405]]</f>
        <v>96.29</v>
      </c>
      <c r="OP9">
        <f>SOFR3mo_PX[[#This Row],[Column406]]</f>
        <v>96.19</v>
      </c>
      <c r="OQ9">
        <f>SOFR3mo_PX[[#This Row],[Column407]]</f>
        <v>96.284999999999997</v>
      </c>
      <c r="OR9">
        <f>SOFR3mo_PX[[#This Row],[Column408]]</f>
        <v>96.08</v>
      </c>
      <c r="OS9">
        <f>SOFR3mo_PX[[#This Row],[Column409]]</f>
        <v>96.17</v>
      </c>
      <c r="OT9">
        <f>SOFR3mo_PX[[#This Row],[Column410]]</f>
        <v>96.045000000000002</v>
      </c>
      <c r="OU9">
        <f>SOFR3mo_PX[[#This Row],[Column411]]</f>
        <v>95.885000000000005</v>
      </c>
      <c r="OV9">
        <f>SOFR3mo_PX[[#This Row],[Column412]]</f>
        <v>95.81</v>
      </c>
      <c r="OW9">
        <f>SOFR3mo_PX[[#This Row],[Column413]]</f>
        <v>95.87</v>
      </c>
      <c r="OX9">
        <f>SOFR3mo_PX[[#This Row],[Column414]]</f>
        <v>95.87</v>
      </c>
      <c r="OY9">
        <f>SOFR3mo_PX[[#This Row],[Column415]]</f>
        <v>95.91</v>
      </c>
      <c r="OZ9">
        <f>SOFR3mo_PX[[#This Row],[Column416]]</f>
        <v>95.864999999999995</v>
      </c>
      <c r="PA9">
        <f>SOFR3mo_PX[[#This Row],[Column417]]</f>
        <v>95.864999999999995</v>
      </c>
      <c r="PB9">
        <f>SOFR3mo_PX[[#This Row],[Column418]]</f>
        <v>95.944999999999993</v>
      </c>
      <c r="PC9">
        <f>SOFR3mo_PX[[#This Row],[Column419]]</f>
        <v>95.84</v>
      </c>
      <c r="PD9">
        <f>SOFR3mo_PX[[#This Row],[Column420]]</f>
        <v>95.97</v>
      </c>
      <c r="PE9">
        <f>SOFR3mo_PX[[#This Row],[Column421]]</f>
        <v>95.685000000000002</v>
      </c>
      <c r="PF9">
        <f>SOFR3mo_PX[[#This Row],[Column422]]</f>
        <v>95.655000000000001</v>
      </c>
      <c r="PG9">
        <f>SOFR3mo_PX[[#This Row],[Column423]]</f>
        <v>95.72</v>
      </c>
      <c r="PH9">
        <f>SOFR3mo_PX[[#This Row],[Column424]]</f>
        <v>95.83</v>
      </c>
      <c r="PI9">
        <f>SOFR3mo_PX[[#This Row],[Column425]]</f>
        <v>95.844999999999999</v>
      </c>
      <c r="PJ9">
        <f>SOFR3mo_PX[[#This Row],[Column426]]</f>
        <v>95.784999999999997</v>
      </c>
      <c r="PK9">
        <f>SOFR3mo_PX[[#This Row],[Column427]]</f>
        <v>95.935000000000002</v>
      </c>
      <c r="PL9">
        <f>SOFR3mo_PX[[#This Row],[Column428]]</f>
        <v>95.734999999999999</v>
      </c>
      <c r="PM9">
        <f>SOFR3mo_PX[[#This Row],[Column429]]</f>
        <v>95.745000000000005</v>
      </c>
      <c r="PN9">
        <f>SOFR3mo_PX[[#This Row],[Column430]]</f>
        <v>95.594999999999999</v>
      </c>
      <c r="PO9">
        <f>SOFR3mo_PX[[#This Row],[Column431]]</f>
        <v>95.64</v>
      </c>
      <c r="PP9">
        <f>SOFR3mo_PX[[#This Row],[Column432]]</f>
        <v>95.665000000000006</v>
      </c>
      <c r="PQ9">
        <f>SOFR3mo_PX[[#This Row],[Column433]]</f>
        <v>95.62</v>
      </c>
      <c r="PR9">
        <f>SOFR3mo_PX[[#This Row],[Column434]]</f>
        <v>95.504999999999995</v>
      </c>
      <c r="PS9">
        <f>SOFR3mo_PX[[#This Row],[Column435]]</f>
        <v>95.575000000000003</v>
      </c>
      <c r="PT9">
        <f>SOFR3mo_PX[[#This Row],[Column436]]</f>
        <v>95.65</v>
      </c>
      <c r="PU9">
        <f>SOFR3mo_PX[[#This Row],[Column437]]</f>
        <v>95.575000000000003</v>
      </c>
      <c r="PV9">
        <f>SOFR3mo_PX[[#This Row],[Column438]]</f>
        <v>95.44</v>
      </c>
      <c r="PW9">
        <f>SOFR3mo_PX[[#This Row],[Column439]]</f>
        <v>95.405000000000001</v>
      </c>
      <c r="PX9">
        <f>SOFR3mo_PX[[#This Row],[Column440]]</f>
        <v>95.435000000000002</v>
      </c>
      <c r="PY9">
        <f>SOFR3mo_PX[[#This Row],[Column441]]</f>
        <v>95.6</v>
      </c>
      <c r="PZ9">
        <f>SOFR3mo_PX[[#This Row],[Column442]]</f>
        <v>95.66</v>
      </c>
      <c r="QA9">
        <f>SOFR3mo_PX[[#This Row],[Column443]]</f>
        <v>95.644999999999996</v>
      </c>
      <c r="QB9">
        <f>SOFR3mo_PX[[#This Row],[Column444]]</f>
        <v>95.734999999999999</v>
      </c>
      <c r="QC9">
        <f>SOFR3mo_PX[[#This Row],[Column445]]</f>
        <v>95.77</v>
      </c>
      <c r="QD9">
        <f>SOFR3mo_PX[[#This Row],[Column446]]</f>
        <v>95.82</v>
      </c>
      <c r="QE9">
        <f>SOFR3mo_PX[[#This Row],[Column447]]</f>
        <v>95.635000000000005</v>
      </c>
      <c r="QF9">
        <f>SOFR3mo_PX[[#This Row],[Column448]]</f>
        <v>95.7</v>
      </c>
      <c r="QG9">
        <f>SOFR3mo_PX[[#This Row],[Column449]]</f>
        <v>95.66</v>
      </c>
      <c r="QH9">
        <f>SOFR3mo_PX[[#This Row],[Column450]]</f>
        <v>95.545000000000002</v>
      </c>
      <c r="QI9">
        <f>SOFR3mo_PX[[#This Row],[Column451]]</f>
        <v>95.594999999999999</v>
      </c>
      <c r="QJ9">
        <f>SOFR3mo_PX[[#This Row],[Column452]]</f>
        <v>95.694999999999993</v>
      </c>
      <c r="QK9">
        <f>SOFR3mo_PX[[#This Row],[Column453]]</f>
        <v>95.66</v>
      </c>
      <c r="QL9">
        <f>SOFR3mo_PX[[#This Row],[Column454]]</f>
        <v>95.555000000000007</v>
      </c>
      <c r="QM9">
        <f>SOFR3mo_PX[[#This Row],[Column455]]</f>
        <v>95.63</v>
      </c>
      <c r="QN9">
        <f>SOFR3mo_PX[[#This Row],[Column456]]</f>
        <v>95.625</v>
      </c>
      <c r="QO9">
        <f>SOFR3mo_PX[[#This Row],[Column457]]</f>
        <v>95.64</v>
      </c>
      <c r="QP9">
        <f>SOFR3mo_PX[[#This Row],[Column458]]</f>
        <v>95.594999999999999</v>
      </c>
      <c r="QQ9">
        <f>SOFR3mo_PX[[#This Row],[Column459]]</f>
        <v>95.68</v>
      </c>
      <c r="QR9">
        <f>SOFR3mo_PX[[#This Row],[Column460]]</f>
        <v>95.39</v>
      </c>
      <c r="QS9">
        <f>SOFR3mo_PX[[#This Row],[Column461]]</f>
        <v>95.474999999999994</v>
      </c>
      <c r="QT9">
        <f>SOFR3mo_PX[[#This Row],[Column462]]</f>
        <v>95.52</v>
      </c>
      <c r="QU9">
        <f>SOFR3mo_PX[[#This Row],[Column463]]</f>
        <v>95.564999999999998</v>
      </c>
      <c r="QV9">
        <f>SOFR3mo_PX[[#This Row],[Column464]]</f>
        <v>95.614999999999995</v>
      </c>
      <c r="QW9">
        <f>SOFR3mo_PX[[#This Row],[Column465]]</f>
        <v>95.59</v>
      </c>
      <c r="QX9">
        <f>SOFR3mo_PX[[#This Row],[Column466]]</f>
        <v>95.625</v>
      </c>
      <c r="QY9">
        <f>SOFR3mo_PX[[#This Row],[Column467]]</f>
        <v>95.635000000000005</v>
      </c>
      <c r="QZ9">
        <f>SOFR3mo_PX[[#This Row],[Column468]]</f>
        <v>95.694999999999993</v>
      </c>
      <c r="RA9">
        <f>SOFR3mo_PX[[#This Row],[Column469]]</f>
        <v>95.59</v>
      </c>
      <c r="RB9">
        <f>SOFR3mo_PX[[#This Row],[Column470]]</f>
        <v>95.674999999999997</v>
      </c>
      <c r="RC9">
        <f>SOFR3mo_PX[[#This Row],[Column471]]</f>
        <v>95.814999999999998</v>
      </c>
      <c r="RD9">
        <f>SOFR3mo_PX[[#This Row],[Column472]]</f>
        <v>95.814999999999998</v>
      </c>
      <c r="RE9">
        <f>SOFR3mo_PX[[#This Row],[Column473]]</f>
        <v>95.83</v>
      </c>
      <c r="RF9">
        <f>SOFR3mo_PX[[#This Row],[Column474]]</f>
        <v>95.805000000000007</v>
      </c>
      <c r="RG9">
        <f>SOFR3mo_PX[[#This Row],[Column475]]</f>
        <v>95.795000000000002</v>
      </c>
      <c r="RH9">
        <f>SOFR3mo_PX[[#This Row],[Column476]]</f>
        <v>95.644999999999996</v>
      </c>
      <c r="RI9">
        <f>SOFR3mo_PX[[#This Row],[Column477]]</f>
        <v>95.644999999999996</v>
      </c>
      <c r="RJ9">
        <f>SOFR3mo_PX[[#This Row],[Column478]]</f>
        <v>95.685000000000002</v>
      </c>
      <c r="RK9">
        <f>SOFR3mo_PX[[#This Row],[Column479]]</f>
        <v>95.77</v>
      </c>
      <c r="RL9">
        <f>SOFR3mo_PX[[#This Row],[Column480]]</f>
        <v>95.64</v>
      </c>
      <c r="RM9">
        <f>SOFR3mo_PX[[#This Row],[Column481]]</f>
        <v>95.694999999999993</v>
      </c>
      <c r="RN9">
        <f>SOFR3mo_PX[[#This Row],[Column482]]</f>
        <v>95.765000000000001</v>
      </c>
      <c r="RO9">
        <f>SOFR3mo_PX[[#This Row],[Column483]]</f>
        <v>95.734999999999999</v>
      </c>
      <c r="RP9">
        <f>SOFR3mo_PX[[#This Row],[Column484]]</f>
        <v>95.73</v>
      </c>
      <c r="RQ9">
        <f>SOFR3mo_PX[[#This Row],[Column485]]</f>
        <v>95.765000000000001</v>
      </c>
      <c r="RR9">
        <f>SOFR3mo_PX[[#This Row],[Column486]]</f>
        <v>95.765000000000001</v>
      </c>
      <c r="RS9">
        <f>SOFR3mo_PX[[#This Row],[Column487]]</f>
        <v>95.855000000000004</v>
      </c>
      <c r="RT9">
        <f>SOFR3mo_PX[[#This Row],[Column488]]</f>
        <v>95.97</v>
      </c>
      <c r="RU9">
        <f>SOFR3mo_PX[[#This Row],[Column489]]</f>
        <v>96.02</v>
      </c>
      <c r="RV9">
        <f>SOFR3mo_PX[[#This Row],[Column490]]</f>
        <v>96.07</v>
      </c>
      <c r="RW9">
        <f>SOFR3mo_PX[[#This Row],[Column491]]</f>
        <v>96.06</v>
      </c>
      <c r="RX9">
        <f>SOFR3mo_PX[[#This Row],[Column492]]</f>
        <v>96</v>
      </c>
      <c r="RY9">
        <f>SOFR3mo_PX[[#This Row],[Column493]]</f>
        <v>95.87</v>
      </c>
      <c r="RZ9">
        <f>SOFR3mo_PX[[#This Row],[Column494]]</f>
        <v>95.89</v>
      </c>
      <c r="SA9">
        <f>SOFR3mo_PX[[#This Row],[Column495]]</f>
        <v>95.82</v>
      </c>
      <c r="SB9">
        <f>SOFR3mo_PX[[#This Row],[Column496]]</f>
        <v>95.87</v>
      </c>
      <c r="SC9">
        <f>SOFR3mo_PX[[#This Row],[Column497]]</f>
        <v>95.834999999999994</v>
      </c>
      <c r="SD9">
        <f>SOFR3mo_PX[[#This Row],[Column498]]</f>
        <v>95.795000000000002</v>
      </c>
      <c r="SE9">
        <f>SOFR3mo_PX[[#This Row],[Column499]]</f>
        <v>95.98</v>
      </c>
      <c r="SF9">
        <f>SOFR3mo_PX[[#This Row],[Column500]]</f>
        <v>95.88</v>
      </c>
      <c r="SG9">
        <f>SOFR3mo_PX[[#This Row],[Column501]]</f>
        <v>95.95</v>
      </c>
      <c r="SH9">
        <f>SOFR3mo_PX[[#This Row],[Column502]]</f>
        <v>96.01</v>
      </c>
      <c r="SI9">
        <f>SOFR3mo_PX[[#This Row],[Column503]]</f>
        <v>96.034999999999997</v>
      </c>
      <c r="SJ9">
        <f>SOFR3mo_PX[[#This Row],[Column504]]</f>
        <v>96.155000000000001</v>
      </c>
      <c r="SK9">
        <f>SOFR3mo_PX[[#This Row],[Column505]]</f>
        <v>96.16</v>
      </c>
      <c r="SL9">
        <f>SOFR3mo_PX[[#This Row],[Column506]]</f>
        <v>96.18</v>
      </c>
      <c r="SM9">
        <f>SOFR3mo_PX[[#This Row],[Column507]]</f>
        <v>96.165000000000006</v>
      </c>
      <c r="SN9">
        <f>SOFR3mo_PX[[#This Row],[Column508]]</f>
        <v>96.37</v>
      </c>
      <c r="SO9">
        <f>SOFR3mo_PX[[#This Row],[Column509]]</f>
        <v>96.155000000000001</v>
      </c>
      <c r="SP9">
        <f>SOFR3mo_PX[[#This Row],[Column510]]</f>
        <v>95.94</v>
      </c>
      <c r="SQ9">
        <f>SOFR3mo_PX[[#This Row],[Column511]]</f>
        <v>95.96</v>
      </c>
      <c r="SR9">
        <f>SOFR3mo_PX[[#This Row],[Column512]]</f>
        <v>95.844999999999999</v>
      </c>
      <c r="SS9">
        <f>SOFR3mo_PX[[#This Row],[Column513]]</f>
        <v>95.775000000000006</v>
      </c>
      <c r="ST9">
        <f>SOFR3mo_PX[[#This Row],[Column514]]</f>
        <v>95.84</v>
      </c>
      <c r="SU9">
        <f>SOFR3mo_PX[[#This Row],[Column515]]</f>
        <v>95.89</v>
      </c>
      <c r="SV9">
        <f>SOFR3mo_PX[[#This Row],[Column516]]</f>
        <v>95.89</v>
      </c>
      <c r="SW9">
        <f>SOFR3mo_PX[[#This Row],[Column517]]</f>
        <v>95.974999999999994</v>
      </c>
      <c r="SX9">
        <f>SOFR3mo_PX[[#This Row],[Column518]]</f>
        <v>96.015000000000001</v>
      </c>
      <c r="SY9">
        <f>SOFR3mo_PX[[#This Row],[Column519]]</f>
        <v>96.22</v>
      </c>
      <c r="SZ9">
        <f>SOFR3mo_PX[[#This Row],[Column520]]</f>
        <v>96.144999999999996</v>
      </c>
      <c r="TA9">
        <f>SOFR3mo_PX[[#This Row],[Column521]]</f>
        <v>96.265000000000001</v>
      </c>
      <c r="TB9">
        <f>SOFR3mo_PX[[#This Row],[Column522]]</f>
        <v>96.224999999999994</v>
      </c>
      <c r="TC9">
        <f>SOFR3mo_PX[[#This Row],[Column523]]</f>
        <v>96.15</v>
      </c>
      <c r="TD9">
        <f>SOFR3mo_PX[[#This Row],[Column524]]</f>
        <v>96.295000000000002</v>
      </c>
      <c r="TE9">
        <f>SOFR3mo_PX[[#This Row],[Column525]]</f>
        <v>95.965000000000003</v>
      </c>
      <c r="TF9">
        <f>SOFR3mo_PX[[#This Row],[Column526]]</f>
        <v>95.93</v>
      </c>
      <c r="TG9">
        <f>SOFR3mo_PX[[#This Row],[Column527]]</f>
        <v>95.93</v>
      </c>
      <c r="TH9">
        <f>SOFR3mo_PX[[#This Row],[Column528]]</f>
        <v>96.034999999999997</v>
      </c>
      <c r="TI9">
        <f>SOFR3mo_PX[[#This Row],[Column529]]</f>
        <v>95.974999999999994</v>
      </c>
      <c r="TJ9">
        <f>SOFR3mo_PX[[#This Row],[Column530]]</f>
        <v>95.98</v>
      </c>
      <c r="TK9">
        <f>SOFR3mo_PX[[#This Row],[Column531]]</f>
        <v>96.16</v>
      </c>
      <c r="TL9">
        <f>SOFR3mo_PX[[#This Row],[Column532]]</f>
        <v>96.12</v>
      </c>
      <c r="TM9">
        <f>SOFR3mo_PX[[#This Row],[Column533]]</f>
        <v>96.245000000000005</v>
      </c>
      <c r="TN9">
        <f>SOFR3mo_PX[[#This Row],[Column534]]</f>
        <v>96.215000000000003</v>
      </c>
      <c r="TO9">
        <f>SOFR3mo_PX[[#This Row],[Column535]]</f>
        <v>96.29</v>
      </c>
      <c r="TP9">
        <f>SOFR3mo_PX[[#This Row],[Column536]]</f>
        <v>96.385000000000005</v>
      </c>
      <c r="TQ9">
        <f>SOFR3mo_PX[[#This Row],[Column537]]</f>
        <v>96.33</v>
      </c>
      <c r="TR9">
        <f>SOFR3mo_PX[[#This Row],[Column538]]</f>
        <v>96.56</v>
      </c>
      <c r="TS9">
        <f>SOFR3mo_PX[[#This Row],[Column539]]</f>
        <v>96.484999999999999</v>
      </c>
      <c r="TT9">
        <f>SOFR3mo_PX[[#This Row],[Column540]]</f>
        <v>96.38</v>
      </c>
      <c r="TU9">
        <f>SOFR3mo_PX[[#This Row],[Column541]]</f>
        <v>96.19</v>
      </c>
      <c r="TV9">
        <f>SOFR3mo_PX[[#This Row],[Column542]]</f>
        <v>96.19</v>
      </c>
      <c r="TW9">
        <f>SOFR3mo_PX[[#This Row],[Column543]]</f>
        <v>96.305000000000007</v>
      </c>
      <c r="TX9">
        <f>SOFR3mo_PX[[#This Row],[Column544]]</f>
        <v>96.504999999999995</v>
      </c>
      <c r="TY9">
        <f>SOFR3mo_PX[[#This Row],[Column545]]</f>
        <v>96.55</v>
      </c>
      <c r="TZ9">
        <f>SOFR3mo_PX[[#This Row],[Column546]]</f>
        <v>96.545000000000002</v>
      </c>
      <c r="UA9">
        <f>SOFR3mo_PX[[#This Row],[Column547]]</f>
        <v>96.564999999999998</v>
      </c>
      <c r="UB9">
        <f>SOFR3mo_PX[[#This Row],[Column548]]</f>
        <v>96.614999999999995</v>
      </c>
      <c r="UC9">
        <f>SOFR3mo_PX[[#This Row],[Column549]]</f>
        <v>96.795000000000002</v>
      </c>
      <c r="UD9">
        <f>SOFR3mo_PX[[#This Row],[Column550]]</f>
        <v>96.894999999999996</v>
      </c>
      <c r="UE9">
        <f>SOFR3mo_PX[[#This Row],[Column551]]</f>
        <v>96.95</v>
      </c>
      <c r="UF9">
        <f>SOFR3mo_PX[[#This Row],[Column552]]</f>
        <v>96.95</v>
      </c>
      <c r="UG9">
        <f>SOFR3mo_PX[[#This Row],[Column553]]</f>
        <v>97.075000000000003</v>
      </c>
      <c r="UH9">
        <f>SOFR3mo_PX[[#This Row],[Column554]]</f>
        <v>97.08</v>
      </c>
      <c r="UI9">
        <f>SOFR3mo_PX[[#This Row],[Column555]]</f>
        <v>96.924999999999997</v>
      </c>
      <c r="UJ9">
        <f>SOFR3mo_PX[[#This Row],[Column556]]</f>
        <v>96.91</v>
      </c>
      <c r="UK9">
        <f>SOFR3mo_PX[[#This Row],[Column557]]</f>
        <v>96.99</v>
      </c>
      <c r="UL9">
        <f>SOFR3mo_PX[[#This Row],[Column558]]</f>
        <v>97.22</v>
      </c>
      <c r="UM9">
        <f>SOFR3mo_PX[[#This Row],[Column559]]</f>
        <v>96.99</v>
      </c>
      <c r="UN9">
        <f>SOFR3mo_PX[[#This Row],[Column560]]</f>
        <v>96.915000000000006</v>
      </c>
      <c r="UO9">
        <f>SOFR3mo_PX[[#This Row],[Column561]]</f>
        <v>96.72</v>
      </c>
      <c r="UP9">
        <f>SOFR3mo_PX[[#This Row],[Column562]]</f>
        <v>96.81</v>
      </c>
      <c r="UQ9">
        <f>SOFR3mo_PX[[#This Row],[Column563]]</f>
        <v>96.765000000000001</v>
      </c>
      <c r="UR9">
        <f>SOFR3mo_PX[[#This Row],[Column564]]</f>
        <v>96.944999999999993</v>
      </c>
      <c r="US9">
        <f>SOFR3mo_PX[[#This Row],[Column565]]</f>
        <v>97</v>
      </c>
      <c r="UT9">
        <f>SOFR3mo_PX[[#This Row],[Column566]]</f>
        <v>96.73</v>
      </c>
      <c r="UU9">
        <f>SOFR3mo_PX[[#This Row],[Column567]]</f>
        <v>96.665000000000006</v>
      </c>
      <c r="UV9">
        <f>SOFR3mo_PX[[#This Row],[Column568]]</f>
        <v>96.67</v>
      </c>
      <c r="UW9">
        <f>SOFR3mo_PX[[#This Row],[Column569]]</f>
        <v>96.525000000000006</v>
      </c>
      <c r="UX9">
        <f>SOFR3mo_PX[[#This Row],[Column570]]</f>
        <v>96.614999999999995</v>
      </c>
      <c r="UY9">
        <f>SOFR3mo_PX[[#This Row],[Column571]]</f>
        <v>96.62</v>
      </c>
      <c r="UZ9">
        <f>SOFR3mo_PX[[#This Row],[Column572]]</f>
        <v>96.745000000000005</v>
      </c>
      <c r="VA9">
        <f>SOFR3mo_PX[[#This Row],[Column573]]</f>
        <v>96.885000000000005</v>
      </c>
      <c r="VB9">
        <f>SOFR3mo_PX[[#This Row],[Column574]]</f>
        <v>96.9</v>
      </c>
      <c r="VC9">
        <f>SOFR3mo_PX[[#This Row],[Column575]]</f>
        <v>96.77</v>
      </c>
      <c r="VD9">
        <f>SOFR3mo_PX[[#This Row],[Column576]]</f>
        <v>96.84</v>
      </c>
      <c r="VE9">
        <f>SOFR3mo_PX[[#This Row],[Column577]]</f>
        <v>96.875</v>
      </c>
      <c r="VF9">
        <f>SOFR3mo_PX[[#This Row],[Column578]]</f>
        <v>97.05</v>
      </c>
      <c r="VG9">
        <f>SOFR3mo_PX[[#This Row],[Column579]]</f>
        <v>97.12</v>
      </c>
      <c r="VH9">
        <f>SOFR3mo_PX[[#This Row],[Column580]]</f>
        <v>97.04</v>
      </c>
      <c r="VI9">
        <f>SOFR3mo_PX[[#This Row],[Column581]]</f>
        <v>96.86</v>
      </c>
      <c r="VJ9">
        <f>SOFR3mo_PX[[#This Row],[Column582]]</f>
        <v>96.71</v>
      </c>
      <c r="VK9">
        <f>SOFR3mo_PX[[#This Row],[Column583]]</f>
        <v>96.644999999999996</v>
      </c>
      <c r="VL9">
        <f>SOFR3mo_PX[[#This Row],[Column584]]</f>
        <v>96.67</v>
      </c>
      <c r="VM9">
        <f>SOFR3mo_PX[[#This Row],[Column585]]</f>
        <v>96.71</v>
      </c>
      <c r="VN9">
        <f>SOFR3mo_PX[[#This Row],[Column586]]</f>
        <v>96.82</v>
      </c>
      <c r="VO9">
        <f>SOFR3mo_PX[[#This Row],[Column587]]</f>
        <v>97.055000000000007</v>
      </c>
      <c r="VP9">
        <f>SOFR3mo_PX[[#This Row],[Column588]]</f>
        <v>97.034999999999997</v>
      </c>
      <c r="VQ9">
        <f>SOFR3mo_PX[[#This Row],[Column589]]</f>
        <v>96.85</v>
      </c>
      <c r="VR9">
        <f>SOFR3mo_PX[[#This Row],[Column590]]</f>
        <v>96.58</v>
      </c>
      <c r="VS9">
        <f>SOFR3mo_PX[[#This Row],[Column591]]</f>
        <v>96.8</v>
      </c>
      <c r="VT9">
        <f>SOFR3mo_PX[[#This Row],[Column592]]</f>
        <v>96.885000000000005</v>
      </c>
      <c r="VU9">
        <f>SOFR3mo_PX[[#This Row],[Column593]]</f>
        <v>96.545000000000002</v>
      </c>
      <c r="VV9">
        <f>SOFR3mo_PX[[#This Row],[Column594]]</f>
        <v>96.605000000000004</v>
      </c>
      <c r="VW9">
        <f>SOFR3mo_PX[[#This Row],[Column595]]</f>
        <v>96.265000000000001</v>
      </c>
      <c r="VX9">
        <f>SOFR3mo_PX[[#This Row],[Column596]]</f>
        <v>96.515000000000001</v>
      </c>
      <c r="VY9">
        <f>SOFR3mo_PX[[#This Row],[Column597]]</f>
        <v>95.96</v>
      </c>
      <c r="VZ9">
        <f>SOFR3mo_PX[[#This Row],[Column598]]</f>
        <v>95.484999999999999</v>
      </c>
      <c r="WA9">
        <f>SOFR3mo_PX[[#This Row],[Column599]]</f>
        <v>95.265000000000001</v>
      </c>
      <c r="WB9">
        <f>SOFR3mo_PX[[#This Row],[Column600]]</f>
        <v>95.284999999999997</v>
      </c>
      <c r="WC9">
        <f>SOFR3mo_PX[[#This Row],[Column601]]</f>
        <v>95.39</v>
      </c>
      <c r="WD9">
        <f>SOFR3mo_PX[[#This Row],[Column602]]</f>
        <v>95.405000000000001</v>
      </c>
      <c r="WE9">
        <f>SOFR3mo_PX[[#This Row],[Column603]]</f>
        <v>95.33</v>
      </c>
      <c r="WF9">
        <f>SOFR3mo_PX[[#This Row],[Column604]]</f>
        <v>95.364999999999995</v>
      </c>
      <c r="WG9">
        <f>SOFR3mo_PX[[#This Row],[Column605]]</f>
        <v>95.484999999999999</v>
      </c>
      <c r="WH9">
        <f>SOFR3mo_PX[[#This Row],[Column606]]</f>
        <v>95.504999999999995</v>
      </c>
      <c r="WI9">
        <f>SOFR3mo_PX[[#This Row],[Column607]]</f>
        <v>95.51</v>
      </c>
      <c r="WJ9">
        <f>SOFR3mo_PX[[#This Row],[Column608]]</f>
        <v>95.72</v>
      </c>
      <c r="WK9">
        <f>SOFR3mo_PX[[#This Row],[Column609]]</f>
        <v>95.73</v>
      </c>
      <c r="WL9">
        <f>SOFR3mo_PX[[#This Row],[Column610]]</f>
        <v>95.74</v>
      </c>
      <c r="WM9">
        <f>SOFR3mo_PX[[#This Row],[Column611]]</f>
        <v>95.89</v>
      </c>
      <c r="WN9">
        <f>SOFR3mo_PX[[#This Row],[Column612]]</f>
        <v>95.89</v>
      </c>
      <c r="WO9">
        <f>SOFR3mo_PX[[#This Row],[Column613]]</f>
        <v>95.85</v>
      </c>
      <c r="WP9">
        <f>SOFR3mo_PX[[#This Row],[Column614]]</f>
        <v>95.79</v>
      </c>
      <c r="WQ9">
        <f>SOFR3mo_PX[[#This Row],[Column615]]</f>
        <v>95.844999999999999</v>
      </c>
      <c r="WR9">
        <f>SOFR3mo_PX[[#This Row],[Column616]]</f>
        <v>96.05</v>
      </c>
      <c r="WS9">
        <f>SOFR3mo_PX[[#This Row],[Column617]]</f>
        <v>96.07</v>
      </c>
      <c r="WT9">
        <f>SOFR3mo_PX[[#This Row],[Column618]]</f>
        <v>96.1</v>
      </c>
      <c r="WU9">
        <f>SOFR3mo_PX[[#This Row],[Column619]]</f>
        <v>96.21</v>
      </c>
      <c r="WV9">
        <f>SOFR3mo_PX[[#This Row],[Column620]]</f>
        <v>96.19</v>
      </c>
      <c r="WW9">
        <f>SOFR3mo_PX[[#This Row],[Column621]]</f>
        <v>96.224999999999994</v>
      </c>
      <c r="WX9">
        <f>SOFR3mo_PX[[#This Row],[Column622]]</f>
        <v>96.43</v>
      </c>
      <c r="WY9">
        <f>SOFR3mo_PX[[#This Row],[Column623]]</f>
        <v>96.69</v>
      </c>
      <c r="WZ9">
        <f>SOFR3mo_PX[[#This Row],[Column624]]</f>
        <v>96.65</v>
      </c>
      <c r="XA9">
        <f>SOFR3mo_PX[[#This Row],[Column625]]</f>
        <v>96.504999999999995</v>
      </c>
      <c r="XB9">
        <f>SOFR3mo_PX[[#This Row],[Column626]]</f>
        <v>96.424999999999997</v>
      </c>
      <c r="XC9">
        <f>SOFR3mo_PX[[#This Row],[Column627]]</f>
        <v>96.525000000000006</v>
      </c>
      <c r="XD9">
        <f>SOFR3mo_PX[[#This Row],[Column628]]</f>
        <v>96.584999999999994</v>
      </c>
      <c r="XE9">
        <f>SOFR3mo_PX[[#This Row],[Column629]]</f>
        <v>96.644999999999996</v>
      </c>
      <c r="XF9">
        <f>SOFR3mo_PX[[#This Row],[Column630]]</f>
        <v>96.63</v>
      </c>
      <c r="XG9">
        <f>SOFR3mo_PX[[#This Row],[Column631]]</f>
        <v>96.594999999999999</v>
      </c>
      <c r="XH9">
        <f>SOFR3mo_PX[[#This Row],[Column632]]</f>
        <v>96.69</v>
      </c>
      <c r="XI9">
        <f>SOFR3mo_PX[[#This Row],[Column633]]</f>
        <v>96.784999999999997</v>
      </c>
      <c r="XJ9">
        <f>SOFR3mo_PX[[#This Row],[Column634]]</f>
        <v>96.834999999999994</v>
      </c>
      <c r="XK9">
        <f>SOFR3mo_PX[[#This Row],[Column635]]</f>
        <v>96.655000000000001</v>
      </c>
      <c r="XL9">
        <f>SOFR3mo_PX[[#This Row],[Column636]]</f>
        <v>96.584999999999994</v>
      </c>
      <c r="XM9">
        <f>SOFR3mo_PX[[#This Row],[Column637]]</f>
        <v>96.584999999999994</v>
      </c>
      <c r="XN9">
        <f>SOFR3mo_PX[[#This Row],[Column638]]</f>
        <v>96.704999999999998</v>
      </c>
      <c r="XO9">
        <f>SOFR3mo_PX[[#This Row],[Column639]]</f>
        <v>96.6</v>
      </c>
      <c r="XP9">
        <f>SOFR3mo_PX[[#This Row],[Column640]]</f>
        <v>96.525000000000006</v>
      </c>
      <c r="XQ9">
        <f>SOFR3mo_PX[[#This Row],[Column641]]</f>
        <v>96.594999999999999</v>
      </c>
      <c r="XR9">
        <f>SOFR3mo_PX[[#This Row],[Column642]]</f>
        <v>96.504999999999995</v>
      </c>
      <c r="XS9">
        <f>SOFR3mo_PX[[#This Row],[Column643]]</f>
        <v>96.21</v>
      </c>
      <c r="XT9">
        <f>SOFR3mo_PX[[#This Row],[Column644]]</f>
        <v>96.284999999999997</v>
      </c>
      <c r="XU9">
        <f>SOFR3mo_PX[[#This Row],[Column645]]</f>
        <v>96.25</v>
      </c>
      <c r="XV9">
        <f>SOFR3mo_PX[[#This Row],[Column646]]</f>
        <v>96.23</v>
      </c>
      <c r="XW9">
        <f>SOFR3mo_PX[[#This Row],[Column647]]</f>
        <v>96.23</v>
      </c>
      <c r="XX9">
        <f>SOFR3mo_PX[[#This Row],[Column648]]</f>
        <v>96.24</v>
      </c>
      <c r="XY9">
        <f>SOFR3mo_PX[[#This Row],[Column649]]</f>
        <v>96.245000000000005</v>
      </c>
      <c r="XZ9">
        <f>SOFR3mo_PX[[#This Row],[Column650]]</f>
        <v>96.254999999999995</v>
      </c>
      <c r="YA9">
        <f>SOFR3mo_PX[[#This Row],[Column651]]</f>
        <v>96.35</v>
      </c>
      <c r="YB9">
        <f>SOFR3mo_PX[[#This Row],[Column652]]</f>
        <v>96.35</v>
      </c>
      <c r="YC9">
        <f>SOFR3mo_PX[[#This Row],[Column653]]</f>
        <v>96.435000000000002</v>
      </c>
      <c r="YD9">
        <f>SOFR3mo_PX[[#This Row],[Column654]]</f>
        <v>96.49</v>
      </c>
      <c r="YE9">
        <f>SOFR3mo_PX[[#This Row],[Column655]]</f>
        <v>96.075000000000003</v>
      </c>
      <c r="YF9">
        <f>SOFR3mo_PX[[#This Row],[Column656]]</f>
        <v>96.12</v>
      </c>
      <c r="YG9">
        <f>SOFR3mo_PX[[#This Row],[Column657]]</f>
        <v>96.2</v>
      </c>
      <c r="YH9">
        <f>SOFR3mo_PX[[#This Row],[Column658]]</f>
        <v>96.144999999999996</v>
      </c>
      <c r="YI9">
        <f>SOFR3mo_PX[[#This Row],[Column659]]</f>
        <v>96.155000000000001</v>
      </c>
      <c r="YJ9">
        <f>SOFR3mo_PX[[#This Row],[Column660]]</f>
        <v>96.16</v>
      </c>
      <c r="YK9">
        <f>SOFR3mo_PX[[#This Row],[Column661]]</f>
        <v>95.944999999999993</v>
      </c>
      <c r="YL9">
        <f>SOFR3mo_PX[[#This Row],[Column662]]</f>
        <v>96.015000000000001</v>
      </c>
      <c r="YM9">
        <f>SOFR3mo_PX[[#This Row],[Column663]]</f>
        <v>96.04</v>
      </c>
      <c r="YN9">
        <f>SOFR3mo_PX[[#This Row],[Column664]]</f>
        <v>96.13</v>
      </c>
      <c r="YO9">
        <f>SOFR3mo_PX[[#This Row],[Column665]]</f>
        <v>95.995000000000005</v>
      </c>
      <c r="YP9">
        <f>SOFR3mo_PX[[#This Row],[Column666]]</f>
        <v>95.944999999999993</v>
      </c>
      <c r="YQ9">
        <f>SOFR3mo_PX[[#This Row],[Column667]]</f>
        <v>96.114999999999995</v>
      </c>
      <c r="YR9">
        <f>SOFR3mo_PX[[#This Row],[Column668]]</f>
        <v>96.12</v>
      </c>
      <c r="YS9">
        <f>SOFR3mo_PX[[#This Row],[Column669]]</f>
        <v>96</v>
      </c>
      <c r="YT9">
        <f>SOFR3mo_PX[[#This Row],[Column670]]</f>
        <v>95.844999999999999</v>
      </c>
      <c r="YU9">
        <f>SOFR3mo_PX[[#This Row],[Column671]]</f>
        <v>95.85</v>
      </c>
      <c r="YV9">
        <f>SOFR3mo_PX[[#This Row],[Column672]]</f>
        <v>95.844999999999999</v>
      </c>
      <c r="YW9">
        <f>SOFR3mo_PX[[#This Row],[Column673]]</f>
        <v>95.86</v>
      </c>
      <c r="YX9">
        <f>SOFR3mo_PX[[#This Row],[Column674]]</f>
        <v>95.86</v>
      </c>
      <c r="YY9">
        <f>SOFR3mo_PX[[#This Row],[Column675]]</f>
        <v>95.855000000000004</v>
      </c>
      <c r="YZ9">
        <f>SOFR3mo_PX[[#This Row],[Column676]]</f>
        <v>95.78</v>
      </c>
      <c r="ZA9">
        <f>SOFR3mo_PX[[#This Row],[Column677]]</f>
        <v>95.81</v>
      </c>
      <c r="ZB9">
        <f>SOFR3mo_PX[[#This Row],[Column678]]</f>
        <v>95.9</v>
      </c>
      <c r="ZC9">
        <f>SOFR3mo_PX[[#This Row],[Column679]]</f>
        <v>96.05</v>
      </c>
      <c r="ZD9">
        <f>SOFR3mo_PX[[#This Row],[Column680]]</f>
        <v>96.045000000000002</v>
      </c>
      <c r="ZE9">
        <f>SOFR3mo_PX[[#This Row],[Column681]]</f>
        <v>95.924999999999997</v>
      </c>
      <c r="ZF9">
        <f>SOFR3mo_PX[[#This Row],[Column682]]</f>
        <v>96</v>
      </c>
      <c r="ZG9">
        <f>SOFR3mo_PX[[#This Row],[Column683]]</f>
        <v>95.995000000000005</v>
      </c>
      <c r="ZH9">
        <f>SOFR3mo_PX[[#This Row],[Column684]]</f>
        <v>95.584999999999994</v>
      </c>
      <c r="ZI9">
        <f>SOFR3mo_PX[[#This Row],[Column685]]</f>
        <v>95.5</v>
      </c>
      <c r="ZJ9">
        <f>SOFR3mo_PX[[#This Row],[Column686]]</f>
        <v>95.415000000000006</v>
      </c>
      <c r="ZK9">
        <f>SOFR3mo_PX[[#This Row],[Column687]]</f>
        <v>95.495000000000005</v>
      </c>
      <c r="ZL9">
        <f>SOFR3mo_PX[[#This Row],[Column688]]</f>
        <v>95.43</v>
      </c>
      <c r="ZM9">
        <f>SOFR3mo_PX[[#This Row],[Column689]]</f>
        <v>95.59</v>
      </c>
      <c r="ZN9">
        <f>SOFR3mo_PX[[#This Row],[Column690]]</f>
        <v>95.674999999999997</v>
      </c>
      <c r="ZO9">
        <f>SOFR3mo_PX[[#This Row],[Column691]]</f>
        <v>95.704999999999998</v>
      </c>
      <c r="ZP9">
        <f>SOFR3mo_PX[[#This Row],[Column692]]</f>
        <v>95.795000000000002</v>
      </c>
      <c r="ZQ9">
        <f>SOFR3mo_PX[[#This Row],[Column693]]</f>
        <v>95.935000000000002</v>
      </c>
      <c r="ZR9">
        <f>SOFR3mo_PX[[#This Row],[Column694]]</f>
        <v>95.79</v>
      </c>
      <c r="ZS9">
        <f>SOFR3mo_PX[[#This Row],[Column695]]</f>
        <v>95.71</v>
      </c>
      <c r="ZT9">
        <f>SOFR3mo_PX[[#This Row],[Column696]]</f>
        <v>95.655000000000001</v>
      </c>
      <c r="ZU9">
        <f>SOFR3mo_PX[[#This Row],[Column697]]</f>
        <v>95.625</v>
      </c>
      <c r="ZV9">
        <f>SOFR3mo_PX[[#This Row],[Column698]]</f>
        <v>95.454999999999998</v>
      </c>
      <c r="ZW9">
        <f>SOFR3mo_PX[[#This Row],[Column699]]</f>
        <v>95.584999999999994</v>
      </c>
      <c r="ZX9">
        <f>SOFR3mo_PX[[#This Row],[Column700]]</f>
        <v>95.73</v>
      </c>
      <c r="ZY9">
        <f>SOFR3mo_PX[[#This Row],[Column701]]</f>
        <v>95.71</v>
      </c>
      <c r="ZZ9">
        <f>SOFR3mo_PX[[#This Row],[Column702]]</f>
        <v>95.644999999999996</v>
      </c>
      <c r="AAA9">
        <f>SOFR3mo_PX[[#This Row],[Column703]]</f>
        <v>95.724999999999994</v>
      </c>
      <c r="AAB9">
        <f>SOFR3mo_PX[[#This Row],[Column704]]</f>
        <v>95.885000000000005</v>
      </c>
      <c r="AAC9">
        <f>SOFR3mo_PX[[#This Row],[Column705]]</f>
        <v>95.81</v>
      </c>
      <c r="AAD9">
        <f>SOFR3mo_PX[[#This Row],[Column706]]</f>
        <v>95.784999999999997</v>
      </c>
      <c r="AAE9">
        <f>SOFR3mo_PX[[#This Row],[Column707]]</f>
        <v>95.814999999999998</v>
      </c>
      <c r="AAF9">
        <f>SOFR3mo_PX[[#This Row],[Column708]]</f>
        <v>95.905000000000001</v>
      </c>
      <c r="AAG9">
        <f>SOFR3mo_PX[[#This Row],[Column709]]</f>
        <v>96.025000000000006</v>
      </c>
      <c r="AAH9">
        <f>SOFR3mo_PX[[#This Row],[Column710]]</f>
        <v>96.135000000000005</v>
      </c>
      <c r="AAI9">
        <f>SOFR3mo_PX[[#This Row],[Column711]]</f>
        <v>96.06</v>
      </c>
      <c r="AAJ9">
        <f>SOFR3mo_PX[[#This Row],[Column712]]</f>
        <v>95.93</v>
      </c>
      <c r="AAK9">
        <f>SOFR3mo_PX[[#This Row],[Column713]]</f>
        <v>95.98</v>
      </c>
      <c r="AAL9">
        <f>SOFR3mo_PX[[#This Row],[Column714]]</f>
        <v>96.05</v>
      </c>
      <c r="AAM9">
        <f>SOFR3mo_PX[[#This Row],[Column715]]</f>
        <v>95.765000000000001</v>
      </c>
      <c r="AAN9">
        <f>SOFR3mo_PX[[#This Row],[Column716]]</f>
        <v>95.724999999999994</v>
      </c>
      <c r="AAO9">
        <f>SOFR3mo_PX[[#This Row],[Column717]]</f>
        <v>95.855000000000004</v>
      </c>
      <c r="AAP9">
        <f>SOFR3mo_PX[[#This Row],[Column718]]</f>
        <v>95.974999999999994</v>
      </c>
      <c r="AAQ9">
        <f>SOFR3mo_PX[[#This Row],[Column719]]</f>
        <v>96.155000000000001</v>
      </c>
      <c r="AAR9">
        <f>SOFR3mo_PX[[#This Row],[Column720]]</f>
        <v>95.974999999999994</v>
      </c>
      <c r="AAS9">
        <f>SOFR3mo_PX[[#This Row],[Column721]]</f>
        <v>96</v>
      </c>
      <c r="AAT9">
        <f>SOFR3mo_PX[[#This Row],[Column722]]</f>
        <v>96.1</v>
      </c>
      <c r="AAU9">
        <f>SOFR3mo_PX[[#This Row],[Column723]]</f>
        <v>96.055000000000007</v>
      </c>
      <c r="AAV9">
        <f>SOFR3mo_PX[[#This Row],[Column724]]</f>
        <v>96.19</v>
      </c>
      <c r="AAW9">
        <f>SOFR3mo_PX[[#This Row],[Column725]]</f>
        <v>96.26</v>
      </c>
      <c r="AAX9">
        <f>SOFR3mo_PX[[#This Row],[Column726]]</f>
        <v>96.435000000000002</v>
      </c>
      <c r="AAY9">
        <f>SOFR3mo_PX[[#This Row],[Column727]]</f>
        <v>96.435000000000002</v>
      </c>
      <c r="AAZ9">
        <f>SOFR3mo_PX[[#This Row],[Column728]]</f>
        <v>96.5</v>
      </c>
      <c r="ABA9">
        <f>SOFR3mo_PX[[#This Row],[Column729]]</f>
        <v>96.545000000000002</v>
      </c>
      <c r="ABB9">
        <f>SOFR3mo_PX[[#This Row],[Column730]]</f>
        <v>96.454999999999998</v>
      </c>
      <c r="ABC9">
        <f>SOFR3mo_PX[[#This Row],[Column731]]</f>
        <v>96.584999999999994</v>
      </c>
      <c r="ABD9">
        <f>SOFR3mo_PX[[#This Row],[Column732]]</f>
        <v>96.584999999999994</v>
      </c>
      <c r="ABE9">
        <f>SOFR3mo_PX[[#This Row],[Column733]]</f>
        <v>96.444999999999993</v>
      </c>
      <c r="ABF9">
        <f>SOFR3mo_PX[[#This Row],[Column734]]</f>
        <v>96.525000000000006</v>
      </c>
      <c r="ABG9">
        <f>SOFR3mo_PX[[#This Row],[Column735]]</f>
        <v>96.504999999999995</v>
      </c>
      <c r="ABH9">
        <f>SOFR3mo_PX[[#This Row],[Column736]]</f>
        <v>96.555000000000007</v>
      </c>
      <c r="ABI9">
        <f>SOFR3mo_PX[[#This Row],[Column737]]</f>
        <v>96.61</v>
      </c>
      <c r="ABJ9">
        <f>SOFR3mo_PX[[#This Row],[Column738]]</f>
        <v>96.65</v>
      </c>
      <c r="ABK9">
        <f>SOFR3mo_PX[[#This Row],[Column739]]</f>
        <v>96.63</v>
      </c>
      <c r="ABL9">
        <f>SOFR3mo_PX[[#This Row],[Column740]]</f>
        <v>96.68</v>
      </c>
      <c r="ABM9">
        <f>SOFR3mo_PX[[#This Row],[Column741]]</f>
        <v>96.62</v>
      </c>
      <c r="ABN9">
        <f>SOFR3mo_PX[[#This Row],[Column742]]</f>
        <v>96.745000000000005</v>
      </c>
      <c r="ABO9">
        <f>SOFR3mo_PX[[#This Row],[Column743]]</f>
        <v>96.795000000000002</v>
      </c>
      <c r="ABP9">
        <f>SOFR3mo_PX[[#This Row],[Column744]]</f>
        <v>96.754999999999995</v>
      </c>
      <c r="ABQ9">
        <f>SOFR3mo_PX[[#This Row],[Column745]]</f>
        <v>96.855000000000004</v>
      </c>
      <c r="ABR9">
        <f>SOFR3mo_PX[[#This Row],[Column746]]</f>
        <v>96.92</v>
      </c>
      <c r="ABS9">
        <f>SOFR3mo_PX[[#This Row],[Column747]]</f>
        <v>96.844999999999999</v>
      </c>
      <c r="ABT9">
        <f>SOFR3mo_PX[[#This Row],[Column748]]</f>
        <v>96.905000000000001</v>
      </c>
      <c r="ABU9">
        <f>SOFR3mo_PX[[#This Row],[Column749]]</f>
        <v>96.965000000000003</v>
      </c>
      <c r="ABV9">
        <f>SOFR3mo_PX[[#This Row],[Column750]]</f>
        <v>96.915000000000006</v>
      </c>
      <c r="ABW9">
        <f>SOFR3mo_PX[[#This Row],[Column751]]</f>
        <v>97.01</v>
      </c>
      <c r="ABX9">
        <f>SOFR3mo_PX[[#This Row],[Column752]]</f>
        <v>96.954999999999998</v>
      </c>
      <c r="ABY9">
        <f>SOFR3mo_PX[[#This Row],[Column753]]</f>
        <v>97.18</v>
      </c>
      <c r="ABZ9">
        <f>SOFR3mo_PX[[#This Row],[Column754]]</f>
        <v>97.055000000000007</v>
      </c>
      <c r="ACA9">
        <f>SOFR3mo_PX[[#This Row],[Column755]]</f>
        <v>97.11</v>
      </c>
      <c r="ACB9">
        <f>SOFR3mo_PX[[#This Row],[Column756]]</f>
        <v>97.334999999999994</v>
      </c>
      <c r="ACC9">
        <f>SOFR3mo_PX[[#This Row],[Column757]]</f>
        <v>97.36</v>
      </c>
      <c r="ACD9">
        <f>SOFR3mo_PX[[#This Row],[Column758]]</f>
        <v>97.37</v>
      </c>
      <c r="ACE9">
        <f>SOFR3mo_PX[[#This Row],[Column759]]</f>
        <v>97.26</v>
      </c>
      <c r="ACF9">
        <f>SOFR3mo_PX[[#This Row],[Column760]]</f>
        <v>97.204999999999998</v>
      </c>
      <c r="ACG9">
        <f>SOFR3mo_PX[[#This Row],[Column761]]</f>
        <v>97.24</v>
      </c>
      <c r="ACH9">
        <f>SOFR3mo_PX[[#This Row],[Column762]]</f>
        <v>97.295000000000002</v>
      </c>
      <c r="ACI9">
        <f>SOFR3mo_PX[[#This Row],[Column763]]</f>
        <v>97.135000000000005</v>
      </c>
      <c r="ACJ9">
        <f>SOFR3mo_PX[[#This Row],[Column764]]</f>
        <v>96.935000000000002</v>
      </c>
      <c r="ACK9">
        <f>SOFR3mo_PX[[#This Row],[Column765]]</f>
        <v>96.935000000000002</v>
      </c>
      <c r="ACL9">
        <f>SOFR3mo_PX[[#This Row],[Column766]]</f>
        <v>97.034999999999997</v>
      </c>
      <c r="ACM9">
        <f>SOFR3mo_PX[[#This Row],[Column767]]</f>
        <v>97.064999999999998</v>
      </c>
      <c r="ACN9">
        <f>SOFR3mo_PX[[#This Row],[Column768]]</f>
        <v>97.07</v>
      </c>
      <c r="ACO9">
        <f>SOFR3mo_PX[[#This Row],[Column769]]</f>
        <v>97.12</v>
      </c>
      <c r="ACP9">
        <f>SOFR3mo_PX[[#This Row],[Column770]]</f>
        <v>97.15</v>
      </c>
      <c r="ACQ9">
        <f>SOFR3mo_PX[[#This Row],[Column771]]</f>
        <v>97.11</v>
      </c>
      <c r="ACR9">
        <f>SOFR3mo_PX[[#This Row],[Column772]]</f>
        <v>97.02</v>
      </c>
      <c r="ACS9">
        <f>SOFR3mo_PX[[#This Row],[Column773]]</f>
        <v>97.12</v>
      </c>
      <c r="ACT9">
        <f>SOFR3mo_PX[[#This Row],[Column774]]</f>
        <v>97.204999999999998</v>
      </c>
      <c r="ACU9">
        <f>SOFR3mo_PX[[#This Row],[Column775]]</f>
        <v>97.4</v>
      </c>
      <c r="ACV9">
        <f>SOFR3mo_PX[[#This Row],[Column776]]</f>
        <v>97.334999999999994</v>
      </c>
      <c r="ACW9">
        <f>SOFR3mo_PX[[#This Row],[Column777]]</f>
        <v>97.334999999999994</v>
      </c>
      <c r="ACX9">
        <f>SOFR3mo_PX[[#This Row],[Column778]]</f>
        <v>97.165000000000006</v>
      </c>
      <c r="ACY9">
        <f>SOFR3mo_PX[[#This Row],[Column779]]</f>
        <v>96.96</v>
      </c>
      <c r="ACZ9">
        <f>SOFR3mo_PX[[#This Row],[Column780]]</f>
        <v>96.82</v>
      </c>
      <c r="ADA9">
        <f>SOFR3mo_PX[[#This Row],[Column781]]</f>
        <v>96.82</v>
      </c>
      <c r="ADB9">
        <f>SOFR3mo_PX[[#This Row],[Column782]]</f>
        <v>96.885000000000005</v>
      </c>
      <c r="ADC9">
        <f>SOFR3mo_PX[[#This Row],[Column783]]</f>
        <v>96.92</v>
      </c>
      <c r="ADD9">
        <f>SOFR3mo_PX[[#This Row],[Column784]]</f>
        <v>96.814999999999998</v>
      </c>
      <c r="ADE9">
        <f>SOFR3mo_PX[[#This Row],[Column785]]</f>
        <v>96.614999999999995</v>
      </c>
      <c r="ADF9">
        <f>SOFR3mo_PX[[#This Row],[Column786]]</f>
        <v>96.594999999999999</v>
      </c>
      <c r="ADG9">
        <f>SOFR3mo_PX[[#This Row],[Column787]]</f>
        <v>96.594999999999999</v>
      </c>
      <c r="ADH9">
        <f>SOFR3mo_PX[[#This Row],[Column788]]</f>
        <v>96.594999999999999</v>
      </c>
      <c r="ADI9">
        <f>SOFR3mo_PX[[#This Row],[Column789]]</f>
        <v>96.525000000000006</v>
      </c>
      <c r="ADJ9">
        <f>SOFR3mo_PX[[#This Row],[Column790]]</f>
        <v>96.174999999999997</v>
      </c>
      <c r="ADK9">
        <f>SOFR3mo_PX[[#This Row],[Column791]]</f>
        <v>96.19</v>
      </c>
      <c r="ADL9">
        <f>SOFR3mo_PX[[#This Row],[Column792]]</f>
        <v>96.46</v>
      </c>
      <c r="ADM9">
        <f>SOFR3mo_PX[[#This Row],[Column793]]</f>
        <v>96.71</v>
      </c>
      <c r="ADN9">
        <f>SOFR3mo_PX[[#This Row],[Column794]]</f>
        <v>96.795000000000002</v>
      </c>
      <c r="ADO9">
        <f>SOFR3mo_PX[[#This Row],[Column795]]</f>
        <v>96.834999999999994</v>
      </c>
      <c r="ADP9">
        <f>SOFR3mo_PX[[#This Row],[Column796]]</f>
        <v>96.805000000000007</v>
      </c>
      <c r="ADQ9">
        <f>SOFR3mo_PX[[#This Row],[Column797]]</f>
        <v>96.89</v>
      </c>
      <c r="ADR9">
        <f>SOFR3mo_PX[[#This Row],[Column798]]</f>
        <v>96.95</v>
      </c>
      <c r="ADS9">
        <f>SOFR3mo_PX[[#This Row],[Column799]]</f>
        <v>96.93</v>
      </c>
      <c r="ADT9">
        <f>SOFR3mo_PX[[#This Row],[Column800]]</f>
        <v>97.105000000000004</v>
      </c>
      <c r="ADU9">
        <f>SOFR3mo_PX[[#This Row],[Column801]]</f>
        <v>97.165000000000006</v>
      </c>
      <c r="ADV9">
        <f>SOFR3mo_PX[[#This Row],[Column802]]</f>
        <v>97.165000000000006</v>
      </c>
      <c r="ADW9">
        <f>SOFR3mo_PX[[#This Row],[Column803]]</f>
        <v>97.194999999999993</v>
      </c>
      <c r="ADX9">
        <f>SOFR3mo_PX[[#This Row],[Column804]]</f>
        <v>97.215000000000003</v>
      </c>
      <c r="ADY9">
        <f>SOFR3mo_PX[[#This Row],[Column805]]</f>
        <v>97.204999999999998</v>
      </c>
      <c r="ADZ9">
        <f>SOFR3mo_PX[[#This Row],[Column806]]</f>
        <v>97.045000000000002</v>
      </c>
      <c r="AEA9">
        <f>SOFR3mo_PX[[#This Row],[Column807]]</f>
        <v>97.09</v>
      </c>
      <c r="AEB9">
        <f>SOFR3mo_PX[[#This Row],[Column808]]</f>
        <v>97.02</v>
      </c>
      <c r="AEC9">
        <f>SOFR3mo_PX[[#This Row],[Column809]]</f>
        <v>96.95</v>
      </c>
      <c r="AED9">
        <f>SOFR3mo_PX[[#This Row],[Column810]]</f>
        <v>96.905000000000001</v>
      </c>
      <c r="AEE9">
        <f>SOFR3mo_PX[[#This Row],[Column811]]</f>
        <v>97.084999999999994</v>
      </c>
      <c r="AEF9">
        <f>SOFR3mo_PX[[#This Row],[Column812]]</f>
        <v>97.025000000000006</v>
      </c>
      <c r="AEG9">
        <f>SOFR3mo_PX[[#This Row],[Column813]]</f>
        <v>97.105000000000004</v>
      </c>
      <c r="AEH9">
        <f>SOFR3mo_PX[[#This Row],[Column814]]</f>
        <v>96.944999999999993</v>
      </c>
      <c r="AEI9">
        <f>SOFR3mo_PX[[#This Row],[Column815]]</f>
        <v>96.924999999999997</v>
      </c>
      <c r="AEJ9">
        <f>SOFR3mo_PX[[#This Row],[Column816]]</f>
        <v>96.885000000000005</v>
      </c>
      <c r="AEK9">
        <f>SOFR3mo_PX[[#This Row],[Column817]]</f>
        <v>96.75</v>
      </c>
      <c r="AEL9">
        <f>SOFR3mo_PX[[#This Row],[Column818]]</f>
        <v>96.704999999999998</v>
      </c>
      <c r="AEM9">
        <f>SOFR3mo_PX[[#This Row],[Column819]]</f>
        <v>96.84</v>
      </c>
      <c r="AEN9">
        <f>SOFR3mo_PX[[#This Row],[Column820]]</f>
        <v>96.674999999999997</v>
      </c>
      <c r="AEO9">
        <f>SOFR3mo_PX[[#This Row],[Column821]]</f>
        <v>96.685000000000002</v>
      </c>
      <c r="AEP9">
        <f>SOFR3mo_PX[[#This Row],[Column822]]</f>
        <v>96.75</v>
      </c>
      <c r="AEQ9">
        <f>SOFR3mo_PX[[#This Row],[Column823]]</f>
        <v>96.805000000000007</v>
      </c>
      <c r="AER9">
        <f>SOFR3mo_PX[[#This Row],[Column824]]</f>
        <v>96.91</v>
      </c>
      <c r="AES9">
        <f>SOFR3mo_PX[[#This Row],[Column825]]</f>
        <v>96.944999999999993</v>
      </c>
      <c r="AET9">
        <f>SOFR3mo_PX[[#This Row],[Column826]]</f>
        <v>96.82</v>
      </c>
      <c r="AEU9">
        <f>SOFR3mo_PX[[#This Row],[Column827]]</f>
        <v>96.69</v>
      </c>
      <c r="AEV9">
        <f>SOFR3mo_PX[[#This Row],[Column828]]</f>
        <v>96.665000000000006</v>
      </c>
      <c r="AEW9">
        <f>SOFR3mo_PX[[#This Row],[Column829]]</f>
        <v>96.795000000000002</v>
      </c>
      <c r="AEX9">
        <f>SOFR3mo_PX[[#This Row],[Column830]]</f>
        <v>96.775000000000006</v>
      </c>
      <c r="AEY9">
        <f>SOFR3mo_PX[[#This Row],[Column831]]</f>
        <v>96.93</v>
      </c>
      <c r="AEZ9">
        <f>SOFR3mo_PX[[#This Row],[Column832]]</f>
        <v>96.96</v>
      </c>
      <c r="AFA9">
        <f>SOFR3mo_PX[[#This Row],[Column833]]</f>
        <v>96.96</v>
      </c>
      <c r="AFB9">
        <f>SOFR3mo_PX[[#This Row],[Column834]]</f>
        <v>97.09</v>
      </c>
      <c r="AFC9">
        <f>SOFR3mo_PX[[#This Row],[Column835]]</f>
        <v>97.045000000000002</v>
      </c>
      <c r="AFD9">
        <f>SOFR3mo_PX[[#This Row],[Column836]]</f>
        <v>96.85</v>
      </c>
      <c r="AFE9">
        <f>SOFR3mo_PX[[#This Row],[Column837]]</f>
        <v>96.79</v>
      </c>
      <c r="AFF9">
        <f>SOFR3mo_PX[[#This Row],[Column838]]</f>
        <v>96.91</v>
      </c>
      <c r="AFG9">
        <f>SOFR3mo_PX[[#This Row],[Column839]]</f>
        <v>96.85</v>
      </c>
      <c r="AFH9">
        <f>SOFR3mo_PX[[#This Row],[Column840]]</f>
        <v>96.844999999999999</v>
      </c>
      <c r="AFI9">
        <f>SOFR3mo_PX[[#This Row],[Column841]]</f>
        <v>96.95</v>
      </c>
      <c r="AFJ9">
        <f>SOFR3mo_PX[[#This Row],[Column842]]</f>
        <v>96.95</v>
      </c>
      <c r="AFK9">
        <f>SOFR3mo_PX[[#This Row],[Column843]]</f>
        <v>97.14</v>
      </c>
      <c r="AFL9">
        <f>SOFR3mo_PX[[#This Row],[Column844]]</f>
        <v>97.094999999999999</v>
      </c>
      <c r="AFM9">
        <f>SOFR3mo_PX[[#This Row],[Column845]]</f>
        <v>97.055000000000007</v>
      </c>
      <c r="AFN9">
        <f>SOFR3mo_PX[[#This Row],[Column846]]</f>
        <v>97.045000000000002</v>
      </c>
      <c r="AFO9">
        <f>SOFR3mo_PX[[#This Row],[Column847]]</f>
        <v>97.114999999999995</v>
      </c>
      <c r="AFP9">
        <f>SOFR3mo_PX[[#This Row],[Column848]]</f>
        <v>97.325000000000003</v>
      </c>
      <c r="AFQ9">
        <f>SOFR3mo_PX[[#This Row],[Column849]]</f>
        <v>97.344999999999999</v>
      </c>
      <c r="AFR9">
        <f>SOFR3mo_PX[[#This Row],[Column850]]</f>
        <v>97.284999999999997</v>
      </c>
      <c r="AFS9">
        <f>SOFR3mo_PX[[#This Row],[Column851]]</f>
        <v>97.29</v>
      </c>
      <c r="AFT9">
        <f>SOFR3mo_PX[[#This Row],[Column852]]</f>
        <v>97.49</v>
      </c>
      <c r="AFU9">
        <f>SOFR3mo_PX[[#This Row],[Column853]]</f>
        <v>97.504999999999995</v>
      </c>
      <c r="AFV9">
        <f>SOFR3mo_PX[[#This Row],[Column854]]</f>
        <v>97.495000000000005</v>
      </c>
      <c r="AFW9">
        <f>SOFR3mo_PX[[#This Row],[Column855]]</f>
        <v>97.685000000000002</v>
      </c>
      <c r="AFX9">
        <f>SOFR3mo_PX[[#This Row],[Column856]]</f>
        <v>97.685000000000002</v>
      </c>
      <c r="AFY9">
        <f>SOFR3mo_PX[[#This Row],[Column857]]</f>
        <v>97.82</v>
      </c>
      <c r="AFZ9">
        <f>SOFR3mo_PX[[#This Row],[Column858]]</f>
        <v>97.87</v>
      </c>
      <c r="AGA9">
        <f>SOFR3mo_PX[[#This Row],[Column859]]</f>
        <v>97.915000000000006</v>
      </c>
      <c r="AGB9">
        <f>SOFR3mo_PX[[#This Row],[Column860]]</f>
        <v>98</v>
      </c>
      <c r="AGC9">
        <f>SOFR3mo_PX[[#This Row],[Column861]]</f>
        <v>98.125</v>
      </c>
      <c r="AGD9">
        <f>SOFR3mo_PX[[#This Row],[Column862]]</f>
        <v>98.174999999999997</v>
      </c>
      <c r="AGE9">
        <f>SOFR3mo_PX[[#This Row],[Column863]]</f>
        <v>98.094999999999999</v>
      </c>
      <c r="AGF9">
        <f>SOFR3mo_PX[[#This Row],[Column864]]</f>
        <v>98.12</v>
      </c>
      <c r="AGG9">
        <f>SOFR3mo_PX[[#This Row],[Column865]]</f>
        <v>98.41</v>
      </c>
      <c r="AGH9">
        <f>SOFR3mo_PX[[#This Row],[Column866]]</f>
        <v>98.18</v>
      </c>
      <c r="AGI9">
        <f>SOFR3mo_PX[[#This Row],[Column867]]</f>
        <v>97.95</v>
      </c>
      <c r="AGJ9">
        <f>SOFR3mo_PX[[#This Row],[Column868]]</f>
        <v>97.99</v>
      </c>
      <c r="AGK9">
        <f>SOFR3mo_PX[[#This Row],[Column869]]</f>
        <v>97.95</v>
      </c>
      <c r="AGL9">
        <f>SOFR3mo_PX[[#This Row],[Column870]]</f>
        <v>97.984999999999999</v>
      </c>
      <c r="AGM9">
        <f>SOFR3mo_PX[[#This Row],[Column871]]</f>
        <v>98.08</v>
      </c>
      <c r="AGN9">
        <f>SOFR3mo_PX[[#This Row],[Column872]]</f>
        <v>98.08</v>
      </c>
      <c r="AGO9">
        <f>SOFR3mo_PX[[#This Row],[Column873]]</f>
        <v>98.055000000000007</v>
      </c>
      <c r="AGP9">
        <f>SOFR3mo_PX[[#This Row],[Column874]]</f>
        <v>97.99</v>
      </c>
      <c r="AGQ9">
        <f>SOFR3mo_PX[[#This Row],[Column875]]</f>
        <v>97.944999999999993</v>
      </c>
      <c r="AGR9">
        <f>SOFR3mo_PX[[#This Row],[Column876]]</f>
        <v>97.93</v>
      </c>
      <c r="AGS9">
        <f>SOFR3mo_PX[[#This Row],[Column877]]</f>
        <v>98.025000000000006</v>
      </c>
      <c r="AGT9">
        <f>SOFR3mo_PX[[#This Row],[Column878]]</f>
        <v>97.95</v>
      </c>
      <c r="AGU9">
        <f>SOFR3mo_PX[[#This Row],[Column879]]</f>
        <v>98.19</v>
      </c>
      <c r="AGV9">
        <f>SOFR3mo_PX[[#This Row],[Column880]]</f>
        <v>98.194999999999993</v>
      </c>
      <c r="AGW9">
        <f>SOFR3mo_PX[[#This Row],[Column881]]</f>
        <v>98.245000000000005</v>
      </c>
      <c r="AGX9">
        <f>SOFR3mo_PX[[#This Row],[Column882]]</f>
        <v>98.22</v>
      </c>
      <c r="AGY9">
        <f>SOFR3mo_PX[[#This Row],[Column883]]</f>
        <v>98.37</v>
      </c>
      <c r="AGZ9">
        <f>SOFR3mo_PX[[#This Row],[Column884]]</f>
        <v>98.415000000000006</v>
      </c>
      <c r="AHA9">
        <f>SOFR3mo_PX[[#This Row],[Column885]]</f>
        <v>98.42</v>
      </c>
      <c r="AHB9">
        <f>SOFR3mo_PX[[#This Row],[Column886]]</f>
        <v>98.424999999999997</v>
      </c>
      <c r="AHC9">
        <f>SOFR3mo_PX[[#This Row],[Column887]]</f>
        <v>98.394999999999996</v>
      </c>
      <c r="AHD9">
        <f>SOFR3mo_PX[[#This Row],[Column888]]</f>
        <v>98.38</v>
      </c>
      <c r="AHE9">
        <f>SOFR3mo_PX[[#This Row],[Column889]]</f>
        <v>98.51</v>
      </c>
      <c r="AHF9">
        <f>SOFR3mo_PX[[#This Row],[Column890]]</f>
        <v>98.605000000000004</v>
      </c>
      <c r="AHG9">
        <f>SOFR3mo_PX[[#This Row],[Column891]]</f>
        <v>98.65</v>
      </c>
      <c r="AHH9">
        <f>SOFR3mo_PX[[#This Row],[Column892]]</f>
        <v>98.564999999999998</v>
      </c>
      <c r="AHI9">
        <f>SOFR3mo_PX[[#This Row],[Column893]]</f>
        <v>98.48</v>
      </c>
      <c r="AHJ9">
        <f>SOFR3mo_PX[[#This Row],[Column894]]</f>
        <v>98.515000000000001</v>
      </c>
      <c r="AHK9">
        <f>SOFR3mo_PX[[#This Row],[Column895]]</f>
        <v>98.474999999999994</v>
      </c>
      <c r="AHL9">
        <f>SOFR3mo_PX[[#This Row],[Column896]]</f>
        <v>98.56</v>
      </c>
      <c r="AHM9">
        <f>SOFR3mo_PX[[#This Row],[Column897]]</f>
        <v>98.56</v>
      </c>
      <c r="AHN9">
        <f>SOFR3mo_PX[[#This Row],[Column898]]</f>
        <v>98.655000000000001</v>
      </c>
      <c r="AHO9">
        <f>SOFR3mo_PX[[#This Row],[Column899]]</f>
        <v>98.644999999999996</v>
      </c>
      <c r="AHP9">
        <f>SOFR3mo_PX[[#This Row],[Column900]]</f>
        <v>98.644999999999996</v>
      </c>
      <c r="AHQ9">
        <f>SOFR3mo_PX[[#This Row],[Column901]]</f>
        <v>98.62</v>
      </c>
      <c r="AHR9">
        <f>SOFR3mo_PX[[#This Row],[Column902]]</f>
        <v>98.665000000000006</v>
      </c>
      <c r="AHS9">
        <f>SOFR3mo_PX[[#This Row],[Column903]]</f>
        <v>98.674999999999997</v>
      </c>
      <c r="AHT9">
        <f>SOFR3mo_PX[[#This Row],[Column904]]</f>
        <v>98.73</v>
      </c>
      <c r="AHU9">
        <f>SOFR3mo_PX[[#This Row],[Column905]]</f>
        <v>98.81</v>
      </c>
      <c r="AHV9">
        <f>SOFR3mo_PX[[#This Row],[Column906]]</f>
        <v>98.784999999999997</v>
      </c>
      <c r="AHW9">
        <f>SOFR3mo_PX[[#This Row],[Column907]]</f>
        <v>98.864999999999995</v>
      </c>
      <c r="AHX9">
        <f>SOFR3mo_PX[[#This Row],[Column908]]</f>
        <v>98.855000000000004</v>
      </c>
      <c r="AHY9">
        <f>SOFR3mo_PX[[#This Row],[Column909]]</f>
        <v>98.83</v>
      </c>
      <c r="AHZ9">
        <f>SOFR3mo_PX[[#This Row],[Column910]]</f>
        <v>98.84</v>
      </c>
      <c r="AIA9">
        <f>SOFR3mo_PX[[#This Row],[Column911]]</f>
        <v>98.83</v>
      </c>
      <c r="AIB9">
        <f>SOFR3mo_PX[[#This Row],[Column912]]</f>
        <v>98.855000000000004</v>
      </c>
      <c r="AIC9">
        <f>SOFR3mo_PX[[#This Row],[Column913]]</f>
        <v>98.855000000000004</v>
      </c>
      <c r="AID9">
        <f>SOFR3mo_PX[[#This Row],[Column914]]</f>
        <v>98.875</v>
      </c>
      <c r="AIE9">
        <f>SOFR3mo_PX[[#This Row],[Column915]]</f>
        <v>98.875</v>
      </c>
      <c r="AIF9">
        <f>SOFR3mo_PX[[#This Row],[Column916]]</f>
        <v>98.94</v>
      </c>
      <c r="AIG9">
        <f>SOFR3mo_PX[[#This Row],[Column917]]</f>
        <v>98.91</v>
      </c>
      <c r="AIH9">
        <f>SOFR3mo_PX[[#This Row],[Column918]]</f>
        <v>98.915000000000006</v>
      </c>
      <c r="AII9">
        <f>SOFR3mo_PX[[#This Row],[Column919]]</f>
        <v>98.81</v>
      </c>
      <c r="AIJ9">
        <f>SOFR3mo_PX[[#This Row],[Column920]]</f>
        <v>99.01</v>
      </c>
      <c r="AIK9">
        <f>SOFR3mo_PX[[#This Row],[Column921]]</f>
        <v>99.045000000000002</v>
      </c>
      <c r="AIL9">
        <f>SOFR3mo_PX[[#This Row],[Column922]]</f>
        <v>99.02</v>
      </c>
      <c r="AIM9">
        <f>SOFR3mo_PX[[#This Row],[Column923]]</f>
        <v>98.98</v>
      </c>
      <c r="AIN9">
        <f>SOFR3mo_PX[[#This Row],[Column924]]</f>
        <v>99</v>
      </c>
      <c r="AIO9">
        <f>SOFR3mo_PX[[#This Row],[Column925]]</f>
        <v>98.97</v>
      </c>
      <c r="AIP9">
        <f>SOFR3mo_PX[[#This Row],[Column926]]</f>
        <v>99.03</v>
      </c>
      <c r="AIQ9">
        <f>SOFR3mo_PX[[#This Row],[Column927]]</f>
        <v>99.084999999999994</v>
      </c>
      <c r="AIR9">
        <f>SOFR3mo_PX[[#This Row],[Column928]]</f>
        <v>99.034999999999997</v>
      </c>
      <c r="AIS9">
        <f>SOFR3mo_PX[[#This Row],[Column929]]</f>
        <v>99.105000000000004</v>
      </c>
      <c r="AIT9">
        <f>SOFR3mo_PX[[#This Row],[Column930]]</f>
        <v>99.144999999999996</v>
      </c>
      <c r="AIU9">
        <f>SOFR3mo_PX[[#This Row],[Column931]]</f>
        <v>99.174999999999997</v>
      </c>
      <c r="AIV9">
        <f>SOFR3mo_PX[[#This Row],[Column932]]</f>
        <v>99.18</v>
      </c>
      <c r="AIW9">
        <f>SOFR3mo_PX[[#This Row],[Column933]]</f>
        <v>98.984999999999999</v>
      </c>
      <c r="AIX9">
        <f>SOFR3mo_PX[[#This Row],[Column934]]</f>
        <v>98.984999999999999</v>
      </c>
      <c r="AIY9">
        <f>SOFR3mo_PX[[#This Row],[Column935]]</f>
        <v>99.03</v>
      </c>
      <c r="AIZ9">
        <f>SOFR3mo_PX[[#This Row],[Column936]]</f>
        <v>98.99</v>
      </c>
      <c r="AJA9">
        <f>SOFR3mo_PX[[#This Row],[Column937]]</f>
        <v>99.1</v>
      </c>
      <c r="AJB9">
        <f>SOFR3mo_PX[[#This Row],[Column938]]</f>
        <v>99.1</v>
      </c>
      <c r="AJC9">
        <f>SOFR3mo_PX[[#This Row],[Column939]]</f>
        <v>99.084999999999994</v>
      </c>
      <c r="AJD9">
        <f>SOFR3mo_PX[[#This Row],[Column940]]</f>
        <v>99.055000000000007</v>
      </c>
      <c r="AJE9">
        <f>SOFR3mo_PX[[#This Row],[Column941]]</f>
        <v>99.055000000000007</v>
      </c>
      <c r="AJF9">
        <f>SOFR3mo_PX[[#This Row],[Column942]]</f>
        <v>99.05</v>
      </c>
      <c r="AJG9">
        <f>SOFR3mo_PX[[#This Row],[Column943]]</f>
        <v>99.04</v>
      </c>
      <c r="AJH9">
        <f>SOFR3mo_PX[[#This Row],[Column944]]</f>
        <v>99.114999999999995</v>
      </c>
      <c r="AJI9">
        <f>SOFR3mo_PX[[#This Row],[Column945]]</f>
        <v>99.275000000000006</v>
      </c>
      <c r="AJJ9">
        <f>SOFR3mo_PX[[#This Row],[Column946]]</f>
        <v>99.24</v>
      </c>
      <c r="AJK9">
        <f>SOFR3mo_PX[[#This Row],[Column947]]</f>
        <v>99.31</v>
      </c>
      <c r="AJL9">
        <f>SOFR3mo_PX[[#This Row],[Column948]]</f>
        <v>99.27</v>
      </c>
      <c r="AJM9">
        <f>SOFR3mo_PX[[#This Row],[Column949]]</f>
        <v>99.17</v>
      </c>
      <c r="AJN9">
        <f>SOFR3mo_PX[[#This Row],[Column950]]</f>
        <v>99.2</v>
      </c>
      <c r="AJO9">
        <f>SOFR3mo_PX[[#This Row],[Column951]]</f>
        <v>99.12</v>
      </c>
      <c r="AJP9">
        <f>SOFR3mo_PX[[#This Row],[Column952]]</f>
        <v>99.125</v>
      </c>
      <c r="AJQ9">
        <f>SOFR3mo_PX[[#This Row],[Column953]]</f>
        <v>99.15</v>
      </c>
      <c r="AJR9">
        <f>SOFR3mo_PX[[#This Row],[Column954]]</f>
        <v>99.165000000000006</v>
      </c>
      <c r="AJS9">
        <f>SOFR3mo_PX[[#This Row],[Column955]]</f>
        <v>99.2</v>
      </c>
      <c r="AJT9">
        <f>SOFR3mo_PX[[#This Row],[Column956]]</f>
        <v>99.22</v>
      </c>
      <c r="AJU9">
        <f>SOFR3mo_PX[[#This Row],[Column957]]</f>
        <v>99.17</v>
      </c>
      <c r="AJV9">
        <f>SOFR3mo_PX[[#This Row],[Column958]]</f>
        <v>99.21</v>
      </c>
      <c r="AJW9">
        <f>SOFR3mo_PX[[#This Row],[Column959]]</f>
        <v>99.3</v>
      </c>
      <c r="AJX9">
        <f>SOFR3mo_PX[[#This Row],[Column960]]</f>
        <v>99.29</v>
      </c>
      <c r="AJY9">
        <f>SOFR3mo_PX[[#This Row],[Column961]]</f>
        <v>99.25</v>
      </c>
      <c r="AJZ9">
        <f>SOFR3mo_PX[[#This Row],[Column962]]</f>
        <v>99.284999999999997</v>
      </c>
      <c r="AKA9">
        <f>SOFR3mo_PX[[#This Row],[Column963]]</f>
        <v>99.38</v>
      </c>
      <c r="AKB9">
        <f>SOFR3mo_PX[[#This Row],[Column964]]</f>
        <v>99.35</v>
      </c>
      <c r="AKC9">
        <f>SOFR3mo_PX[[#This Row],[Column965]]</f>
        <v>99.405000000000001</v>
      </c>
      <c r="AKD9">
        <f>SOFR3mo_PX[[#This Row],[Column966]]</f>
        <v>99.42</v>
      </c>
      <c r="AKE9">
        <f>SOFR3mo_PX[[#This Row],[Column967]]</f>
        <v>99.465000000000003</v>
      </c>
      <c r="AKF9">
        <f>SOFR3mo_PX[[#This Row],[Column968]]</f>
        <v>99.495000000000005</v>
      </c>
      <c r="AKG9">
        <f>SOFR3mo_PX[[#This Row],[Column969]]</f>
        <v>99.52</v>
      </c>
      <c r="AKH9">
        <f>SOFR3mo_PX[[#This Row],[Column970]]</f>
        <v>99.54</v>
      </c>
      <c r="AKI9">
        <f>SOFR3mo_PX[[#This Row],[Column971]]</f>
        <v>99.56</v>
      </c>
      <c r="AKJ9">
        <f>SOFR3mo_PX[[#This Row],[Column972]]</f>
        <v>99.564999999999998</v>
      </c>
      <c r="AKK9">
        <f>SOFR3mo_PX[[#This Row],[Column973]]</f>
        <v>99.525000000000006</v>
      </c>
      <c r="AKL9">
        <f>SOFR3mo_PX[[#This Row],[Column974]]</f>
        <v>99.515000000000001</v>
      </c>
      <c r="AKM9">
        <f>SOFR3mo_PX[[#This Row],[Column975]]</f>
        <v>99.495000000000005</v>
      </c>
      <c r="AKN9">
        <f>SOFR3mo_PX[[#This Row],[Column976]]</f>
        <v>99.495000000000005</v>
      </c>
      <c r="AKO9">
        <f>SOFR3mo_PX[[#This Row],[Column977]]</f>
        <v>99.51</v>
      </c>
      <c r="AKP9">
        <f>SOFR3mo_PX[[#This Row],[Column978]]</f>
        <v>99.534999999999997</v>
      </c>
      <c r="AKQ9">
        <f>SOFR3mo_PX[[#This Row],[Column979]]</f>
        <v>99.575000000000003</v>
      </c>
      <c r="AKR9">
        <f>SOFR3mo_PX[[#This Row],[Column980]]</f>
        <v>99.625</v>
      </c>
      <c r="AKS9">
        <f>SOFR3mo_PX[[#This Row],[Column981]]</f>
        <v>99.625</v>
      </c>
      <c r="AKT9">
        <f>SOFR3mo_PX[[#This Row],[Column982]]</f>
        <v>99.605000000000004</v>
      </c>
      <c r="AKU9">
        <f>SOFR3mo_PX[[#This Row],[Column983]]</f>
        <v>99.614999999999995</v>
      </c>
      <c r="AKV9">
        <f>SOFR3mo_PX[[#This Row],[Column984]]</f>
        <v>99.63</v>
      </c>
      <c r="AKW9">
        <f>SOFR3mo_PX[[#This Row],[Column985]]</f>
        <v>99.754999999999995</v>
      </c>
      <c r="AKX9">
        <f>SOFR3mo_PX[[#This Row],[Column986]]</f>
        <v>99.75</v>
      </c>
      <c r="AKY9">
        <f>SOFR3mo_PX[[#This Row],[Column987]]</f>
        <v>99.745000000000005</v>
      </c>
      <c r="AKZ9">
        <f>SOFR3mo_PX[[#This Row],[Column988]]</f>
        <v>99.754999999999995</v>
      </c>
      <c r="ALA9">
        <f>SOFR3mo_PX[[#This Row],[Column989]]</f>
        <v>99.75</v>
      </c>
      <c r="ALB9">
        <f>SOFR3mo_PX[[#This Row],[Column990]]</f>
        <v>99.75</v>
      </c>
      <c r="ALC9">
        <f>SOFR3mo_PX[[#This Row],[Column991]]</f>
        <v>99.765000000000001</v>
      </c>
      <c r="ALD9">
        <f>SOFR3mo_PX[[#This Row],[Column992]]</f>
        <v>99.765000000000001</v>
      </c>
      <c r="ALE9">
        <f>SOFR3mo_PX[[#This Row],[Column993]]</f>
        <v>99.754999999999995</v>
      </c>
      <c r="ALF9">
        <f>SOFR3mo_PX[[#This Row],[Column994]]</f>
        <v>99.745000000000005</v>
      </c>
      <c r="ALG9">
        <f>SOFR3mo_PX[[#This Row],[Column995]]</f>
        <v>99.75</v>
      </c>
      <c r="ALH9">
        <f>SOFR3mo_PX[[#This Row],[Column996]]</f>
        <v>99.75</v>
      </c>
      <c r="ALI9">
        <f>SOFR3mo_PX[[#This Row],[Column997]]</f>
        <v>99.74</v>
      </c>
      <c r="ALJ9">
        <f>SOFR3mo_PX[[#This Row],[Column998]]</f>
        <v>99.71</v>
      </c>
      <c r="ALK9">
        <f>SOFR3mo_PX[[#This Row],[Column999]]</f>
        <v>99.704999999999998</v>
      </c>
      <c r="ALL9">
        <f>SOFR3mo_PX[[#This Row],[Column1000]]</f>
        <v>99.71</v>
      </c>
      <c r="ALM9">
        <f>SOFR3mo_PX[[#This Row],[Column1001]]</f>
        <v>99.71</v>
      </c>
      <c r="ALN9">
        <f>SOFR3mo_PX[[#This Row],[Column1002]]</f>
        <v>99.704999999999998</v>
      </c>
      <c r="ALO9">
        <f>SOFR3mo_PX[[#This Row],[Column1003]]</f>
        <v>99.71</v>
      </c>
      <c r="ALP9">
        <f>SOFR3mo_PX[[#This Row],[Column1004]]</f>
        <v>99.71</v>
      </c>
      <c r="ALQ9">
        <f>SOFR3mo_PX[[#This Row],[Column1005]]</f>
        <v>99.71</v>
      </c>
      <c r="ALR9">
        <f>SOFR3mo_PX[[#This Row],[Column1006]]</f>
        <v>99.72</v>
      </c>
      <c r="ALS9">
        <f>SOFR3mo_PX[[#This Row],[Column1007]]</f>
        <v>99.704999999999998</v>
      </c>
      <c r="ALT9">
        <f>SOFR3mo_PX[[#This Row],[Column1008]]</f>
        <v>99.69</v>
      </c>
      <c r="ALU9">
        <f>SOFR3mo_PX[[#This Row],[Column1009]]</f>
        <v>99.7</v>
      </c>
      <c r="ALV9">
        <f>SOFR3mo_PX[[#This Row],[Column1010]]</f>
        <v>99.68</v>
      </c>
      <c r="ALW9">
        <f>SOFR3mo_PX[[#This Row],[Column1011]]</f>
        <v>99.704999999999998</v>
      </c>
      <c r="ALX9">
        <f>SOFR3mo_PX[[#This Row],[Column1012]]</f>
        <v>99.715000000000003</v>
      </c>
      <c r="ALY9">
        <f>SOFR3mo_PX[[#This Row],[Column1013]]</f>
        <v>99.734999999999999</v>
      </c>
      <c r="ALZ9">
        <f>SOFR3mo_PX[[#This Row],[Column1014]]</f>
        <v>99.77</v>
      </c>
      <c r="AMA9">
        <f>SOFR3mo_PX[[#This Row],[Column1015]]</f>
        <v>99.79</v>
      </c>
      <c r="AMB9">
        <f>SOFR3mo_PX[[#This Row],[Column1016]]</f>
        <v>99.784999999999997</v>
      </c>
      <c r="AMC9">
        <f>SOFR3mo_PX[[#This Row],[Column1017]]</f>
        <v>99.765000000000001</v>
      </c>
      <c r="AMD9">
        <f>SOFR3mo_PX[[#This Row],[Column1018]]</f>
        <v>99.745000000000005</v>
      </c>
      <c r="AME9">
        <f>SOFR3mo_PX[[#This Row],[Column1019]]</f>
        <v>99.73</v>
      </c>
      <c r="AMF9">
        <f>SOFR3mo_PX[[#This Row],[Column1020]]</f>
        <v>99.754999999999995</v>
      </c>
      <c r="AMG9">
        <f>SOFR3mo_PX[[#This Row],[Column1021]]</f>
        <v>99.74</v>
      </c>
      <c r="AMH9">
        <f>SOFR3mo_PX[[#This Row],[Column1022]]</f>
        <v>99.734999999999999</v>
      </c>
      <c r="AMI9">
        <f>SOFR3mo_PX[[#This Row],[Column1023]]</f>
        <v>99.74</v>
      </c>
      <c r="AMJ9">
        <f>SOFR3mo_PX[[#This Row],[Column1024]]</f>
        <v>99.734999999999999</v>
      </c>
      <c r="AMK9">
        <f>SOFR3mo_PX[[#This Row],[Column1025]]</f>
        <v>99.765000000000001</v>
      </c>
      <c r="AML9">
        <f>SOFR3mo_PX[[#This Row],[Column1026]]</f>
        <v>99.734999999999999</v>
      </c>
      <c r="AMM9">
        <f>SOFR3mo_PX[[#This Row],[Column1027]]</f>
        <v>99.685000000000002</v>
      </c>
      <c r="AMN9">
        <f>SOFR3mo_PX[[#This Row],[Column1028]]</f>
        <v>99.685000000000002</v>
      </c>
      <c r="AMO9">
        <f>SOFR3mo_PX[[#This Row],[Column1029]]</f>
        <v>99.68</v>
      </c>
      <c r="AMP9">
        <f>SOFR3mo_PX[[#This Row],[Column1030]]</f>
        <v>99.64</v>
      </c>
      <c r="AMQ9">
        <f>SOFR3mo_PX[[#This Row],[Column1031]]</f>
        <v>99.7</v>
      </c>
      <c r="AMR9">
        <f>SOFR3mo_PX[[#This Row],[Column1032]]</f>
        <v>99.715000000000003</v>
      </c>
      <c r="AMS9">
        <f>SOFR3mo_PX[[#This Row],[Column1033]]</f>
        <v>99.75</v>
      </c>
      <c r="AMT9">
        <f>SOFR3mo_PX[[#This Row],[Column1034]]</f>
        <v>99.71</v>
      </c>
      <c r="AMU9">
        <f>SOFR3mo_PX[[#This Row],[Column1035]]</f>
        <v>99.7</v>
      </c>
      <c r="AMV9">
        <f>SOFR3mo_PX[[#This Row],[Column1036]]</f>
        <v>99.674999999999997</v>
      </c>
      <c r="AMW9">
        <f>SOFR3mo_PX[[#This Row],[Column1037]]</f>
        <v>99.674999999999997</v>
      </c>
      <c r="AMX9">
        <f>SOFR3mo_PX[[#This Row],[Column1038]]</f>
        <v>99.635000000000005</v>
      </c>
      <c r="AMY9">
        <f>SOFR3mo_PX[[#This Row],[Column1039]]</f>
        <v>99.65</v>
      </c>
      <c r="AMZ9">
        <f>SOFR3mo_PX[[#This Row],[Column1040]]</f>
        <v>99.644999999999996</v>
      </c>
      <c r="ANA9">
        <f>SOFR3mo_PX[[#This Row],[Column1041]]</f>
        <v>99.65</v>
      </c>
      <c r="ANB9">
        <f>SOFR3mo_PX[[#This Row],[Column1042]]</f>
        <v>99.63</v>
      </c>
      <c r="ANC9">
        <f>SOFR3mo_PX[[#This Row],[Column1043]]</f>
        <v>99.64</v>
      </c>
      <c r="AND9">
        <f>SOFR3mo_PX[[#This Row],[Column1044]]</f>
        <v>99.65</v>
      </c>
      <c r="ANE9">
        <f>SOFR3mo_PX[[#This Row],[Column1045]]</f>
        <v>99.68</v>
      </c>
      <c r="ANF9">
        <f>SOFR3mo_PX[[#This Row],[Column1046]]</f>
        <v>99.655000000000001</v>
      </c>
      <c r="ANG9">
        <f>SOFR3mo_PX[[#This Row],[Column1047]]</f>
        <v>99.65</v>
      </c>
      <c r="ANH9">
        <f>SOFR3mo_PX[[#This Row],[Column1048]]</f>
        <v>99.7</v>
      </c>
      <c r="ANI9">
        <f>SOFR3mo_PX[[#This Row],[Column1049]]</f>
        <v>99.73</v>
      </c>
      <c r="ANJ9">
        <f>SOFR3mo_PX[[#This Row],[Column1050]]</f>
        <v>99.855000000000004</v>
      </c>
      <c r="ANK9">
        <f>SOFR3mo_PX[[#This Row],[Column1051]]</f>
        <v>99.855000000000004</v>
      </c>
      <c r="ANL9">
        <f>SOFR3mo_PX[[#This Row],[Column1052]]</f>
        <v>99.864999999999995</v>
      </c>
      <c r="ANM9">
        <f>SOFR3mo_PX[[#This Row],[Column1053]]</f>
        <v>99.87</v>
      </c>
      <c r="ANN9">
        <f>SOFR3mo_PX[[#This Row],[Column1054]]</f>
        <v>99.87</v>
      </c>
      <c r="ANO9">
        <f>SOFR3mo_PX[[#This Row],[Column1055]]</f>
        <v>99.864999999999995</v>
      </c>
      <c r="ANP9">
        <f>SOFR3mo_PX[[#This Row],[Column1056]]</f>
        <v>99.87</v>
      </c>
      <c r="ANQ9">
        <f>SOFR3mo_PX[[#This Row],[Column1057]]</f>
        <v>99.875</v>
      </c>
      <c r="ANR9">
        <f>SOFR3mo_PX[[#This Row],[Column1058]]</f>
        <v>99.86</v>
      </c>
      <c r="ANS9">
        <f>SOFR3mo_PX[[#This Row],[Column1059]]</f>
        <v>99.864999999999995</v>
      </c>
      <c r="ANT9">
        <f>SOFR3mo_PX[[#This Row],[Column1060]]</f>
        <v>99.864999999999995</v>
      </c>
      <c r="ANU9">
        <f>SOFR3mo_PX[[#This Row],[Column1061]]</f>
        <v>99.864999999999995</v>
      </c>
      <c r="ANV9">
        <f>SOFR3mo_PX[[#This Row],[Column1062]]</f>
        <v>99.864999999999995</v>
      </c>
      <c r="ANW9">
        <f>SOFR3mo_PX[[#This Row],[Column1063]]</f>
        <v>99.864999999999995</v>
      </c>
      <c r="ANX9">
        <f>SOFR3mo_PX[[#This Row],[Column1064]]</f>
        <v>99.864999999999995</v>
      </c>
      <c r="ANY9">
        <f>SOFR3mo_PX[[#This Row],[Column1065]]</f>
        <v>99.864999999999995</v>
      </c>
      <c r="ANZ9">
        <f>SOFR3mo_PX[[#This Row],[Column1066]]</f>
        <v>99.85</v>
      </c>
      <c r="AOA9">
        <f>SOFR3mo_PX[[#This Row],[Column1067]]</f>
        <v>99.844999999999999</v>
      </c>
      <c r="AOB9">
        <f>SOFR3mo_PX[[#This Row],[Column1068]]</f>
        <v>99.844999999999999</v>
      </c>
      <c r="AOC9">
        <f>SOFR3mo_PX[[#This Row],[Column1069]]</f>
        <v>99.83</v>
      </c>
      <c r="AOD9">
        <f>SOFR3mo_PX[[#This Row],[Column1070]]</f>
        <v>99.844999999999999</v>
      </c>
      <c r="AOE9">
        <f>SOFR3mo_PX[[#This Row],[Column1071]]</f>
        <v>99.844999999999999</v>
      </c>
      <c r="AOF9">
        <f>SOFR3mo_PX[[#This Row],[Column1072]]</f>
        <v>99.844999999999999</v>
      </c>
      <c r="AOG9">
        <f>SOFR3mo_PX[[#This Row],[Column1073]]</f>
        <v>99.84</v>
      </c>
      <c r="AOH9">
        <f>SOFR3mo_PX[[#This Row],[Column1074]]</f>
        <v>99.83</v>
      </c>
      <c r="AOI9">
        <f>SOFR3mo_PX[[#This Row],[Column1075]]</f>
        <v>99.85</v>
      </c>
      <c r="AOJ9">
        <f>SOFR3mo_PX[[#This Row],[Column1076]]</f>
        <v>99.864999999999995</v>
      </c>
      <c r="AOK9">
        <f>SOFR3mo_PX[[#This Row],[Column1077]]</f>
        <v>99.87</v>
      </c>
      <c r="AOL9">
        <f>SOFR3mo_PX[[#This Row],[Column1078]]</f>
        <v>99.85</v>
      </c>
      <c r="AOM9">
        <f>SOFR3mo_PX[[#This Row],[Column1079]]</f>
        <v>99.844999999999999</v>
      </c>
      <c r="AON9">
        <f>SOFR3mo_PX[[#This Row],[Column1080]]</f>
        <v>99.84</v>
      </c>
      <c r="AOO9">
        <f>SOFR3mo_PX[[#This Row],[Column1081]]</f>
        <v>99.834999999999994</v>
      </c>
      <c r="AOP9">
        <f>SOFR3mo_PX[[#This Row],[Column1082]]</f>
        <v>99.83</v>
      </c>
      <c r="AOQ9">
        <f>SOFR3mo_PX[[#This Row],[Column1083]]</f>
        <v>99.83</v>
      </c>
      <c r="AOR9">
        <f>SOFR3mo_PX[[#This Row],[Column1084]]</f>
        <v>99.825000000000003</v>
      </c>
      <c r="AOS9">
        <f>SOFR3mo_PX[[#This Row],[Column1085]]</f>
        <v>99.82</v>
      </c>
      <c r="AOT9">
        <f>SOFR3mo_PX[[#This Row],[Column1086]]</f>
        <v>99.825000000000003</v>
      </c>
      <c r="AOU9">
        <f>SOFR3mo_PX[[#This Row],[Column1087]]</f>
        <v>99.83</v>
      </c>
      <c r="AOV9">
        <f>SOFR3mo_PX[[#This Row],[Column1088]]</f>
        <v>99.834999999999994</v>
      </c>
      <c r="AOW9">
        <f>SOFR3mo_PX[[#This Row],[Column1089]]</f>
        <v>99.84</v>
      </c>
      <c r="AOX9">
        <f>SOFR3mo_PX[[#This Row],[Column1090]]</f>
        <v>99.844999999999999</v>
      </c>
      <c r="AOY9">
        <f>SOFR3mo_PX[[#This Row],[Column1091]]</f>
        <v>99.84</v>
      </c>
      <c r="AOZ9">
        <f>SOFR3mo_PX[[#This Row],[Column1092]]</f>
        <v>99.834999999999994</v>
      </c>
      <c r="APA9">
        <f>SOFR3mo_PX[[#This Row],[Column1093]]</f>
        <v>99.844999999999999</v>
      </c>
      <c r="APB9">
        <f>SOFR3mo_PX[[#This Row],[Column1094]]</f>
        <v>99.83</v>
      </c>
      <c r="APC9">
        <f>SOFR3mo_PX[[#This Row],[Column1095]]</f>
        <v>99.834999999999994</v>
      </c>
      <c r="APD9">
        <f>SOFR3mo_PX[[#This Row],[Column1096]]</f>
        <v>99.814999999999998</v>
      </c>
      <c r="APE9">
        <f>SOFR3mo_PX[[#This Row],[Column1097]]</f>
        <v>99.825000000000003</v>
      </c>
      <c r="APF9">
        <f>SOFR3mo_PX[[#This Row],[Column1098]]</f>
        <v>99.83</v>
      </c>
      <c r="APG9">
        <f>SOFR3mo_PX[[#This Row],[Column1099]]</f>
        <v>99.825000000000003</v>
      </c>
      <c r="APH9">
        <f>SOFR3mo_PX[[#This Row],[Column1100]]</f>
        <v>99.805000000000007</v>
      </c>
      <c r="API9">
        <f>SOFR3mo_PX[[#This Row],[Column1101]]</f>
        <v>99.784999999999997</v>
      </c>
      <c r="APJ9">
        <f>SOFR3mo_PX[[#This Row],[Column1102]]</f>
        <v>99.76</v>
      </c>
      <c r="APK9">
        <f>SOFR3mo_PX[[#This Row],[Column1103]]</f>
        <v>99.8</v>
      </c>
      <c r="APL9">
        <f>SOFR3mo_PX[[#This Row],[Column1104]]</f>
        <v>99.805000000000007</v>
      </c>
      <c r="APM9">
        <f>SOFR3mo_PX[[#This Row],[Column1105]]</f>
        <v>99.814999999999998</v>
      </c>
      <c r="APN9">
        <f>SOFR3mo_PX[[#This Row],[Column1106]]</f>
        <v>99.825000000000003</v>
      </c>
      <c r="APO9">
        <f>SOFR3mo_PX[[#This Row],[Column1107]]</f>
        <v>99.834999999999994</v>
      </c>
      <c r="APP9">
        <f>SOFR3mo_PX[[#This Row],[Column1108]]</f>
        <v>99.84</v>
      </c>
      <c r="APQ9">
        <f>SOFR3mo_PX[[#This Row],[Column1109]]</f>
        <v>99.834999999999994</v>
      </c>
      <c r="APR9">
        <f>SOFR3mo_PX[[#This Row],[Column1110]]</f>
        <v>99.83</v>
      </c>
      <c r="APS9">
        <f>SOFR3mo_PX[[#This Row],[Column1111]]</f>
        <v>99.83</v>
      </c>
      <c r="APT9">
        <f>SOFR3mo_PX[[#This Row],[Column1112]]</f>
        <v>99.825000000000003</v>
      </c>
      <c r="APU9">
        <f>SOFR3mo_PX[[#This Row],[Column1113]]</f>
        <v>99.82</v>
      </c>
      <c r="APV9">
        <f>SOFR3mo_PX[[#This Row],[Column1114]]</f>
        <v>99.844999999999999</v>
      </c>
      <c r="APW9">
        <f>SOFR3mo_PX[[#This Row],[Column1115]]</f>
        <v>99.885000000000005</v>
      </c>
      <c r="APX9">
        <f>SOFR3mo_PX[[#This Row],[Column1116]]</f>
        <v>99.88</v>
      </c>
      <c r="APY9">
        <f>SOFR3mo_PX[[#This Row],[Column1117]]</f>
        <v>99.88</v>
      </c>
      <c r="APZ9">
        <f>SOFR3mo_PX[[#This Row],[Column1118]]</f>
        <v>99.89</v>
      </c>
      <c r="AQA9">
        <f>SOFR3mo_PX[[#This Row],[Column1119]]</f>
        <v>99.89</v>
      </c>
      <c r="AQB9">
        <f>SOFR3mo_PX[[#This Row],[Column1120]]</f>
        <v>99.885000000000005</v>
      </c>
      <c r="AQC9">
        <f>SOFR3mo_PX[[#This Row],[Column1121]]</f>
        <v>99.885000000000005</v>
      </c>
      <c r="AQD9">
        <f>SOFR3mo_PX[[#This Row],[Column1122]]</f>
        <v>99.9</v>
      </c>
      <c r="AQE9">
        <f>SOFR3mo_PX[[#This Row],[Column1123]]</f>
        <v>99.894999999999996</v>
      </c>
      <c r="AQF9">
        <f>SOFR3mo_PX[[#This Row],[Column1124]]</f>
        <v>99.89</v>
      </c>
      <c r="AQG9">
        <f>SOFR3mo_PX[[#This Row],[Column1125]]</f>
        <v>99.9</v>
      </c>
      <c r="AQH9">
        <f>SOFR3mo_PX[[#This Row],[Column1126]]</f>
        <v>99.9</v>
      </c>
      <c r="AQI9">
        <f>SOFR3mo_PX[[#This Row],[Column1127]]</f>
        <v>99.885000000000005</v>
      </c>
      <c r="AQJ9">
        <f>SOFR3mo_PX[[#This Row],[Column1128]]</f>
        <v>99.88</v>
      </c>
      <c r="AQK9">
        <f>SOFR3mo_PX[[#This Row],[Column1129]]</f>
        <v>99.915000000000006</v>
      </c>
      <c r="AQL9">
        <f>SOFR3mo_PX[[#This Row],[Column1130]]</f>
        <v>99.915000000000006</v>
      </c>
      <c r="AQM9">
        <f>SOFR3mo_PX[[#This Row],[Column1131]]</f>
        <v>99.915000000000006</v>
      </c>
      <c r="AQN9">
        <f>SOFR3mo_PX[[#This Row],[Column1132]]</f>
        <v>99.915000000000006</v>
      </c>
      <c r="AQO9">
        <f>SOFR3mo_PX[[#This Row],[Column1133]]</f>
        <v>99.915000000000006</v>
      </c>
      <c r="AQP9">
        <f>SOFR3mo_PX[[#This Row],[Column1134]]</f>
        <v>99.915000000000006</v>
      </c>
      <c r="AQQ9">
        <f>SOFR3mo_PX[[#This Row],[Column1135]]</f>
        <v>99.905000000000001</v>
      </c>
      <c r="AQR9">
        <f>SOFR3mo_PX[[#This Row],[Column1136]]</f>
        <v>99.92</v>
      </c>
      <c r="AQS9">
        <f>SOFR3mo_PX[[#This Row],[Column1137]]</f>
        <v>99.92</v>
      </c>
      <c r="AQT9">
        <f>SOFR3mo_PX[[#This Row],[Column1138]]</f>
        <v>99.924999999999997</v>
      </c>
      <c r="AQU9">
        <f>SOFR3mo_PX[[#This Row],[Column1139]]</f>
        <v>99.924999999999997</v>
      </c>
      <c r="AQV9">
        <f>SOFR3mo_PX[[#This Row],[Column1140]]</f>
        <v>99.92</v>
      </c>
      <c r="AQW9">
        <f>SOFR3mo_PX[[#This Row],[Column1141]]</f>
        <v>99.92</v>
      </c>
      <c r="AQX9">
        <f>SOFR3mo_PX[[#This Row],[Column1142]]</f>
        <v>99.93</v>
      </c>
      <c r="AQY9">
        <f>SOFR3mo_PX[[#This Row],[Column1143]]</f>
        <v>99.93</v>
      </c>
      <c r="AQZ9">
        <f>SOFR3mo_PX[[#This Row],[Column1144]]</f>
        <v>99.924999999999997</v>
      </c>
      <c r="ARA9">
        <f>SOFR3mo_PX[[#This Row],[Column1145]]</f>
        <v>99.93</v>
      </c>
      <c r="ARB9">
        <f>SOFR3mo_PX[[#This Row],[Column1146]]</f>
        <v>99.935000000000002</v>
      </c>
      <c r="ARC9">
        <f>SOFR3mo_PX[[#This Row],[Column1147]]</f>
        <v>99.93</v>
      </c>
      <c r="ARD9">
        <f>SOFR3mo_PX[[#This Row],[Column1148]]</f>
        <v>99.924999999999997</v>
      </c>
      <c r="ARE9">
        <f>SOFR3mo_PX[[#This Row],[Column1149]]</f>
        <v>99.93</v>
      </c>
      <c r="ARF9">
        <f>SOFR3mo_PX[[#This Row],[Column1150]]</f>
        <v>99.93</v>
      </c>
      <c r="ARG9">
        <f>SOFR3mo_PX[[#This Row],[Column1151]]</f>
        <v>99.93</v>
      </c>
      <c r="ARH9">
        <f>SOFR3mo_PX[[#This Row],[Column1152]]</f>
        <v>99.924999999999997</v>
      </c>
      <c r="ARI9">
        <f>SOFR3mo_PX[[#This Row],[Column1153]]</f>
        <v>99.924999999999997</v>
      </c>
      <c r="ARJ9">
        <f>SOFR3mo_PX[[#This Row],[Column1154]]</f>
        <v>99.92</v>
      </c>
      <c r="ARK9">
        <f>SOFR3mo_PX[[#This Row],[Column1155]]</f>
        <v>99.92</v>
      </c>
      <c r="ARL9">
        <f>SOFR3mo_PX[[#This Row],[Column1156]]</f>
        <v>99.92</v>
      </c>
      <c r="ARM9">
        <f>SOFR3mo_PX[[#This Row],[Column1157]]</f>
        <v>99.92</v>
      </c>
      <c r="ARN9">
        <f>SOFR3mo_PX[[#This Row],[Column1158]]</f>
        <v>99.915000000000006</v>
      </c>
      <c r="ARO9">
        <f>SOFR3mo_PX[[#This Row],[Column1159]]</f>
        <v>99.905000000000001</v>
      </c>
      <c r="ARP9">
        <f>SOFR3mo_PX[[#This Row],[Column1160]]</f>
        <v>99.9</v>
      </c>
      <c r="ARQ9">
        <f>SOFR3mo_PX[[#This Row],[Column1161]]</f>
        <v>99.905000000000001</v>
      </c>
      <c r="ARR9">
        <f>SOFR3mo_PX[[#This Row],[Column1162]]</f>
        <v>99.905000000000001</v>
      </c>
      <c r="ARS9">
        <f>SOFR3mo_PX[[#This Row],[Column1163]]</f>
        <v>99.905000000000001</v>
      </c>
      <c r="ART9">
        <f>SOFR3mo_PX[[#This Row],[Column1164]]</f>
        <v>99.92</v>
      </c>
      <c r="ARU9">
        <f>SOFR3mo_PX[[#This Row],[Column1165]]</f>
        <v>99.93</v>
      </c>
      <c r="ARV9">
        <f>SOFR3mo_PX[[#This Row],[Column1166]]</f>
        <v>99.935000000000002</v>
      </c>
      <c r="ARW9">
        <f>SOFR3mo_PX[[#This Row],[Column1167]]</f>
        <v>99.93</v>
      </c>
      <c r="ARX9">
        <f>SOFR3mo_PX[[#This Row],[Column1168]]</f>
        <v>99.93</v>
      </c>
      <c r="ARY9">
        <f>SOFR3mo_PX[[#This Row],[Column1169]]</f>
        <v>99.92</v>
      </c>
      <c r="ARZ9">
        <f>SOFR3mo_PX[[#This Row],[Column1170]]</f>
        <v>99.92</v>
      </c>
      <c r="ASA9">
        <f>SOFR3mo_PX[[#This Row],[Column1171]]</f>
        <v>99.92</v>
      </c>
      <c r="ASB9">
        <f>SOFR3mo_PX[[#This Row],[Column1172]]</f>
        <v>99.924999999999997</v>
      </c>
      <c r="ASC9">
        <f>SOFR3mo_PX[[#This Row],[Column1173]]</f>
        <v>99.924999999999997</v>
      </c>
      <c r="ASD9">
        <f>SOFR3mo_PX[[#This Row],[Column1174]]</f>
        <v>99.924999999999997</v>
      </c>
      <c r="ASE9">
        <f>SOFR3mo_PX[[#This Row],[Column1175]]</f>
        <v>99.924999999999997</v>
      </c>
      <c r="ASF9">
        <f>SOFR3mo_PX[[#This Row],[Column1176]]</f>
        <v>99.924999999999997</v>
      </c>
      <c r="ASG9">
        <f>SOFR3mo_PX[[#This Row],[Column1177]]</f>
        <v>99.924999999999997</v>
      </c>
      <c r="ASH9">
        <f>SOFR3mo_PX[[#This Row],[Column1178]]</f>
        <v>99.924999999999997</v>
      </c>
      <c r="ASI9">
        <f>SOFR3mo_PX[[#This Row],[Column1179]]</f>
        <v>99.924999999999997</v>
      </c>
      <c r="ASJ9">
        <f>SOFR3mo_PX[[#This Row],[Column1180]]</f>
        <v>99.935000000000002</v>
      </c>
      <c r="ASK9">
        <f>SOFR3mo_PX[[#This Row],[Column1181]]</f>
        <v>99.93</v>
      </c>
      <c r="ASL9">
        <f>SOFR3mo_PX[[#This Row],[Column1182]]</f>
        <v>99.93</v>
      </c>
      <c r="ASM9">
        <f>SOFR3mo_PX[[#This Row],[Column1183]]</f>
        <v>99.92</v>
      </c>
      <c r="ASN9">
        <f>SOFR3mo_PX[[#This Row],[Column1184]]</f>
        <v>99.915000000000006</v>
      </c>
      <c r="ASO9">
        <f>SOFR3mo_PX[[#This Row],[Column1185]]</f>
        <v>99.915000000000006</v>
      </c>
      <c r="ASP9">
        <f>SOFR3mo_PX[[#This Row],[Column1186]]</f>
        <v>99.915000000000006</v>
      </c>
      <c r="ASQ9">
        <f>SOFR3mo_PX[[#This Row],[Column1187]]</f>
        <v>99.91</v>
      </c>
      <c r="ASR9">
        <f>SOFR3mo_PX[[#This Row],[Column1188]]</f>
        <v>99.905000000000001</v>
      </c>
      <c r="ASS9">
        <f>SOFR3mo_PX[[#This Row],[Column1189]]</f>
        <v>99.91</v>
      </c>
      <c r="AST9">
        <f>SOFR3mo_PX[[#This Row],[Column1190]]</f>
        <v>99.91</v>
      </c>
      <c r="ASU9">
        <f>SOFR3mo_PX[[#This Row],[Column1191]]</f>
        <v>99.92</v>
      </c>
      <c r="ASV9">
        <f>SOFR3mo_PX[[#This Row],[Column1192]]</f>
        <v>99.93</v>
      </c>
      <c r="ASW9">
        <f>SOFR3mo_PX[[#This Row],[Column1193]]</f>
        <v>99.924999999999997</v>
      </c>
      <c r="ASX9">
        <f>SOFR3mo_PX[[#This Row],[Column1194]]</f>
        <v>99.924999999999997</v>
      </c>
      <c r="ASY9">
        <f>SOFR3mo_PX[[#This Row],[Column1195]]</f>
        <v>99.924999999999997</v>
      </c>
      <c r="ASZ9">
        <f>SOFR3mo_PX[[#This Row],[Column1196]]</f>
        <v>99.924999999999997</v>
      </c>
      <c r="ATA9">
        <f>SOFR3mo_PX[[#This Row],[Column1197]]</f>
        <v>99.93</v>
      </c>
      <c r="ATB9">
        <f>SOFR3mo_PX[[#This Row],[Column1198]]</f>
        <v>99.924999999999997</v>
      </c>
      <c r="ATC9">
        <f>SOFR3mo_PX[[#This Row],[Column1199]]</f>
        <v>99.92</v>
      </c>
      <c r="ATD9">
        <f>SOFR3mo_PX[[#This Row],[Column1200]]</f>
        <v>99.924999999999997</v>
      </c>
      <c r="ATE9">
        <f>SOFR3mo_PX[[#This Row],[Column1201]]</f>
        <v>99.924999999999997</v>
      </c>
      <c r="ATF9">
        <f>SOFR3mo_PX[[#This Row],[Column1202]]</f>
        <v>99.924999999999997</v>
      </c>
      <c r="ATG9">
        <f>SOFR3mo_PX[[#This Row],[Column1203]]</f>
        <v>99.93</v>
      </c>
      <c r="ATH9">
        <f>SOFR3mo_PX[[#This Row],[Column1204]]</f>
        <v>99.924999999999997</v>
      </c>
      <c r="ATI9">
        <f>SOFR3mo_PX[[#This Row],[Column1205]]</f>
        <v>99.924999999999997</v>
      </c>
      <c r="ATJ9">
        <f>SOFR3mo_PX[[#This Row],[Column1206]]</f>
        <v>99.93</v>
      </c>
      <c r="ATK9">
        <f>SOFR3mo_PX[[#This Row],[Column1207]]</f>
        <v>99.96</v>
      </c>
      <c r="ATL9">
        <f>SOFR3mo_PX[[#This Row],[Column1208]]</f>
        <v>99.965000000000003</v>
      </c>
      <c r="ATM9">
        <f>SOFR3mo_PX[[#This Row],[Column1209]]</f>
        <v>99.98</v>
      </c>
      <c r="ATN9">
        <f>SOFR3mo_PX[[#This Row],[Column1210]]</f>
        <v>99.954999999999998</v>
      </c>
      <c r="ATO9">
        <f>SOFR3mo_PX[[#This Row],[Column1211]]</f>
        <v>99.965000000000003</v>
      </c>
      <c r="ATP9">
        <f>SOFR3mo_PX[[#This Row],[Column1212]]</f>
        <v>99.965000000000003</v>
      </c>
      <c r="ATQ9">
        <f>SOFR3mo_PX[[#This Row],[Column1213]]</f>
        <v>99.97</v>
      </c>
      <c r="ATR9">
        <f>SOFR3mo_PX[[#This Row],[Column1214]]</f>
        <v>99.97</v>
      </c>
      <c r="ATS9">
        <f>SOFR3mo_PX[[#This Row],[Column1215]]</f>
        <v>99.97</v>
      </c>
      <c r="ATT9">
        <f>SOFR3mo_PX[[#This Row],[Column1216]]</f>
        <v>99.97</v>
      </c>
      <c r="ATU9">
        <f>SOFR3mo_PX[[#This Row],[Column1217]]</f>
        <v>99.965000000000003</v>
      </c>
      <c r="ATV9">
        <f>SOFR3mo_PX[[#This Row],[Column1218]]</f>
        <v>99.96</v>
      </c>
      <c r="ATW9">
        <f>SOFR3mo_PX[[#This Row],[Column1219]]</f>
        <v>99.97</v>
      </c>
      <c r="ATX9">
        <f>SOFR3mo_PX[[#This Row],[Column1220]]</f>
        <v>99.97</v>
      </c>
      <c r="ATY9">
        <f>SOFR3mo_PX[[#This Row],[Column1221]]</f>
        <v>99.974999999999994</v>
      </c>
      <c r="ATZ9">
        <f>SOFR3mo_PX[[#This Row],[Column1222]]</f>
        <v>99.98</v>
      </c>
      <c r="AUA9">
        <f>SOFR3mo_PX[[#This Row],[Column1223]]</f>
        <v>99.974999999999994</v>
      </c>
      <c r="AUB9">
        <f>SOFR3mo_PX[[#This Row],[Column1224]]</f>
        <v>99.984999999999999</v>
      </c>
      <c r="AUC9">
        <f>SOFR3mo_PX[[#This Row],[Column1225]]</f>
        <v>99.984999999999999</v>
      </c>
      <c r="AUD9">
        <f>SOFR3mo_PX[[#This Row],[Column1226]]</f>
        <v>99.974999999999994</v>
      </c>
      <c r="AUE9">
        <f>SOFR3mo_PX[[#This Row],[Column1227]]</f>
        <v>99.974999999999994</v>
      </c>
      <c r="AUF9">
        <f>SOFR3mo_PX[[#This Row],[Column1228]]</f>
        <v>99.98</v>
      </c>
      <c r="AUG9">
        <f>SOFR3mo_PX[[#This Row],[Column1229]]</f>
        <v>99.98</v>
      </c>
      <c r="AUH9">
        <f>SOFR3mo_PX[[#This Row],[Column1230]]</f>
        <v>99.99</v>
      </c>
      <c r="AUI9">
        <f>SOFR3mo_PX[[#This Row],[Column1231]]</f>
        <v>99.99</v>
      </c>
      <c r="AUJ9">
        <f>SOFR3mo_PX[[#This Row],[Column1232]]</f>
        <v>100</v>
      </c>
      <c r="AUK9">
        <f>SOFR3mo_PX[[#This Row],[Column1233]]</f>
        <v>100</v>
      </c>
      <c r="AUL9">
        <f>SOFR3mo_PX[[#This Row],[Column1234]]</f>
        <v>100.01</v>
      </c>
      <c r="AUM9">
        <f>SOFR3mo_PX[[#This Row],[Column1235]]</f>
        <v>100.01</v>
      </c>
      <c r="AUN9">
        <f>SOFR3mo_PX[[#This Row],[Column1236]]</f>
        <v>100.01</v>
      </c>
      <c r="AUO9">
        <f>SOFR3mo_PX[[#This Row],[Column1237]]</f>
        <v>100.01</v>
      </c>
      <c r="AUP9">
        <f>SOFR3mo_PX[[#This Row],[Column1238]]</f>
        <v>100.01</v>
      </c>
      <c r="AUQ9">
        <f>SOFR3mo_PX[[#This Row],[Column1239]]</f>
        <v>100.01</v>
      </c>
      <c r="AUR9">
        <f>SOFR3mo_PX[[#This Row],[Column1240]]</f>
        <v>100.01</v>
      </c>
      <c r="AUS9">
        <f>SOFR3mo_PX[[#This Row],[Column1241]]</f>
        <v>100.005</v>
      </c>
      <c r="AUT9">
        <f>SOFR3mo_PX[[#This Row],[Column1242]]</f>
        <v>100</v>
      </c>
      <c r="AUU9">
        <f>SOFR3mo_PX[[#This Row],[Column1243]]</f>
        <v>100.01</v>
      </c>
      <c r="AUV9">
        <f>SOFR3mo_PX[[#This Row],[Column1244]]</f>
        <v>100.005</v>
      </c>
      <c r="AUW9">
        <f>SOFR3mo_PX[[#This Row],[Column1245]]</f>
        <v>99.98</v>
      </c>
      <c r="AUX9">
        <f>SOFR3mo_PX[[#This Row],[Column1246]]</f>
        <v>99.984999999999999</v>
      </c>
      <c r="AUY9">
        <f>SOFR3mo_PX[[#This Row],[Column1247]]</f>
        <v>99.99</v>
      </c>
      <c r="AUZ9">
        <f>SOFR3mo_PX[[#This Row],[Column1248]]</f>
        <v>99.97</v>
      </c>
      <c r="AVA9">
        <f>SOFR3mo_PX[[#This Row],[Column1249]]</f>
        <v>99.965000000000003</v>
      </c>
      <c r="AVB9">
        <f>SOFR3mo_PX[[#This Row],[Column1250]]</f>
        <v>99.97</v>
      </c>
      <c r="AVC9">
        <f>SOFR3mo_PX[[#This Row],[Column1251]]</f>
        <v>99.965000000000003</v>
      </c>
      <c r="AVD9">
        <f>SOFR3mo_PX[[#This Row],[Column1252]]</f>
        <v>99.965000000000003</v>
      </c>
      <c r="AVE9">
        <f>SOFR3mo_PX[[#This Row],[Column1253]]</f>
        <v>99.984999999999999</v>
      </c>
      <c r="AVF9">
        <f>SOFR3mo_PX[[#This Row],[Column1254]]</f>
        <v>99.974999999999994</v>
      </c>
      <c r="AVG9">
        <f>SOFR3mo_PX[[#This Row],[Column1255]]</f>
        <v>99.984999999999999</v>
      </c>
      <c r="AVH9">
        <f>SOFR3mo_PX[[#This Row],[Column1256]]</f>
        <v>99.98</v>
      </c>
      <c r="AVI9">
        <f>SOFR3mo_PX[[#This Row],[Column1257]]</f>
        <v>99.98</v>
      </c>
      <c r="AVJ9">
        <f>SOFR3mo_PX[[#This Row],[Column1258]]</f>
        <v>99.965000000000003</v>
      </c>
      <c r="AVK9">
        <f>SOFR3mo_PX[[#This Row],[Column1259]]</f>
        <v>99.97</v>
      </c>
      <c r="AVL9">
        <f>SOFR3mo_PX[[#This Row],[Column1260]]</f>
        <v>99.974999999999994</v>
      </c>
      <c r="AVM9">
        <f>SOFR3mo_PX[[#This Row],[Column1261]]</f>
        <v>99.984999999999999</v>
      </c>
      <c r="AVN9">
        <f>SOFR3mo_PX[[#This Row],[Column1262]]</f>
        <v>99.984999999999999</v>
      </c>
      <c r="AVO9">
        <f>SOFR3mo_PX[[#This Row],[Column1263]]</f>
        <v>99.99</v>
      </c>
      <c r="AVP9">
        <f>SOFR3mo_PX[[#This Row],[Column1264]]</f>
        <v>99.99</v>
      </c>
      <c r="AVQ9">
        <f>SOFR3mo_PX[[#This Row],[Column1265]]</f>
        <v>99.984999999999999</v>
      </c>
      <c r="AVR9">
        <f>SOFR3mo_PX[[#This Row],[Column1266]]</f>
        <v>99.974999999999994</v>
      </c>
      <c r="AVS9">
        <f>SOFR3mo_PX[[#This Row],[Column1267]]</f>
        <v>99.97</v>
      </c>
      <c r="AVT9">
        <f>SOFR3mo_PX[[#This Row],[Column1268]]</f>
        <v>99.97</v>
      </c>
      <c r="AVU9">
        <f>SOFR3mo_PX[[#This Row],[Column1269]]</f>
        <v>99.974999999999994</v>
      </c>
      <c r="AVV9">
        <f>SOFR3mo_PX[[#This Row],[Column1270]]</f>
        <v>99.974999999999994</v>
      </c>
      <c r="AVW9">
        <f>SOFR3mo_PX[[#This Row],[Column1271]]</f>
        <v>100</v>
      </c>
      <c r="AVX9">
        <f>SOFR3mo_PX[[#This Row],[Column1272]]</f>
        <v>100.01</v>
      </c>
      <c r="AVY9">
        <f>SOFR3mo_PX[[#This Row],[Column1273]]</f>
        <v>100.02500000000001</v>
      </c>
      <c r="AVZ9">
        <f>SOFR3mo_PX[[#This Row],[Column1274]]</f>
        <v>100.03</v>
      </c>
      <c r="AWA9">
        <f>SOFR3mo_PX[[#This Row],[Column1275]]</f>
        <v>100.04</v>
      </c>
      <c r="AWB9">
        <f>SOFR3mo_PX[[#This Row],[Column1276]]</f>
        <v>100.04</v>
      </c>
      <c r="AWC9">
        <f>SOFR3mo_PX[[#This Row],[Column1277]]</f>
        <v>100.045</v>
      </c>
      <c r="AWD9">
        <f>SOFR3mo_PX[[#This Row],[Column1278]]</f>
        <v>100.04</v>
      </c>
      <c r="AWE9">
        <f>SOFR3mo_PX[[#This Row],[Column1279]]</f>
        <v>100.035</v>
      </c>
      <c r="AWF9">
        <f>SOFR3mo_PX[[#This Row],[Column1280]]</f>
        <v>100.02500000000001</v>
      </c>
      <c r="AWG9">
        <f>SOFR3mo_PX[[#This Row],[Column1281]]</f>
        <v>100.02500000000001</v>
      </c>
      <c r="AWH9">
        <f>SOFR3mo_PX[[#This Row],[Column1282]]</f>
        <v>100.035</v>
      </c>
      <c r="AWI9">
        <f>SOFR3mo_PX[[#This Row],[Column1283]]</f>
        <v>100.04</v>
      </c>
      <c r="AWJ9">
        <f>SOFR3mo_PX[[#This Row],[Column1284]]</f>
        <v>100.04</v>
      </c>
      <c r="AWK9">
        <f>SOFR3mo_PX[[#This Row],[Column1285]]</f>
        <v>100.035</v>
      </c>
      <c r="AWL9">
        <f>SOFR3mo_PX[[#This Row],[Column1286]]</f>
        <v>100.03</v>
      </c>
      <c r="AWM9">
        <f>SOFR3mo_PX[[#This Row],[Column1287]]</f>
        <v>100.02500000000001</v>
      </c>
      <c r="AWN9">
        <f>SOFR3mo_PX[[#This Row],[Column1288]]</f>
        <v>100.03</v>
      </c>
      <c r="AWO9">
        <f>SOFR3mo_PX[[#This Row],[Column1289]]</f>
        <v>100.03</v>
      </c>
      <c r="AWP9">
        <f>SOFR3mo_PX[[#This Row],[Column1290]]</f>
        <v>100.035</v>
      </c>
      <c r="AWQ9">
        <f>SOFR3mo_PX[[#This Row],[Column1291]]</f>
        <v>100.035</v>
      </c>
      <c r="AWR9">
        <f>SOFR3mo_PX[[#This Row],[Column1292]]</f>
        <v>100.04</v>
      </c>
      <c r="AWS9">
        <f>SOFR3mo_PX[[#This Row],[Column1293]]</f>
        <v>100.045</v>
      </c>
      <c r="AWT9">
        <f>SOFR3mo_PX[[#This Row],[Column1294]]</f>
        <v>100.035</v>
      </c>
      <c r="AWU9">
        <f>SOFR3mo_PX[[#This Row],[Column1295]]</f>
        <v>100.03</v>
      </c>
      <c r="AWV9">
        <f>SOFR3mo_PX[[#This Row],[Column1296]]</f>
        <v>100.03</v>
      </c>
      <c r="AWW9">
        <f>SOFR3mo_PX[[#This Row],[Column1297]]</f>
        <v>100.03</v>
      </c>
      <c r="AWX9">
        <f>SOFR3mo_PX[[#This Row],[Column1298]]</f>
        <v>100.03</v>
      </c>
      <c r="AWY9">
        <f>SOFR3mo_PX[[#This Row],[Column1299]]</f>
        <v>100.02500000000001</v>
      </c>
      <c r="AWZ9">
        <f>SOFR3mo_PX[[#This Row],[Column1300]]</f>
        <v>100.04</v>
      </c>
      <c r="AXA9">
        <f>SOFR3mo_PX[[#This Row],[Column1301]]</f>
        <v>100.035</v>
      </c>
      <c r="AXB9">
        <f>SOFR3mo_PX[[#This Row],[Column1302]]</f>
        <v>100.02500000000001</v>
      </c>
      <c r="AXC9">
        <f>SOFR3mo_PX[[#This Row],[Column1303]]</f>
        <v>100.01</v>
      </c>
      <c r="AXD9">
        <f>SOFR3mo_PX[[#This Row],[Column1304]]</f>
        <v>100.015</v>
      </c>
      <c r="AXE9">
        <f>SOFR3mo_PX[[#This Row],[Column1305]]</f>
        <v>100.015</v>
      </c>
      <c r="AXF9">
        <f>SOFR3mo_PX[[#This Row],[Column1306]]</f>
        <v>100.01</v>
      </c>
      <c r="AXG9">
        <f>SOFR3mo_PX[[#This Row],[Column1307]]</f>
        <v>100</v>
      </c>
      <c r="AXH9">
        <f>SOFR3mo_PX[[#This Row],[Column1308]]</f>
        <v>99.99</v>
      </c>
      <c r="AXI9">
        <f>SOFR3mo_PX[[#This Row],[Column1309]]</f>
        <v>99.984999999999999</v>
      </c>
      <c r="AXJ9">
        <f>SOFR3mo_PX[[#This Row],[Column1310]]</f>
        <v>99.97</v>
      </c>
      <c r="AXK9">
        <f>SOFR3mo_PX[[#This Row],[Column1311]]</f>
        <v>99.98</v>
      </c>
      <c r="AXL9">
        <f>SOFR3mo_PX[[#This Row],[Column1312]]</f>
        <v>99.97</v>
      </c>
      <c r="AXM9">
        <f>SOFR3mo_PX[[#This Row],[Column1313]]</f>
        <v>99.99</v>
      </c>
      <c r="AXN9">
        <f>SOFR3mo_PX[[#This Row],[Column1314]]</f>
        <v>99.974999999999994</v>
      </c>
      <c r="AXO9">
        <f>SOFR3mo_PX[[#This Row],[Column1315]]</f>
        <v>99.95</v>
      </c>
      <c r="AXP9">
        <f>SOFR3mo_PX[[#This Row],[Column1316]]</f>
        <v>99.93</v>
      </c>
      <c r="AXQ9">
        <f>SOFR3mo_PX[[#This Row],[Column1317]]</f>
        <v>99.93</v>
      </c>
      <c r="AXR9">
        <f>SOFR3mo_PX[[#This Row],[Column1318]]</f>
        <v>99.96</v>
      </c>
      <c r="AXS9">
        <f>SOFR3mo_PX[[#This Row],[Column1319]]</f>
        <v>99.97</v>
      </c>
      <c r="AXT9">
        <f>SOFR3mo_PX[[#This Row],[Column1320]]</f>
        <v>100</v>
      </c>
      <c r="AXU9">
        <f>SOFR3mo_PX[[#This Row],[Column1321]]</f>
        <v>100.005</v>
      </c>
      <c r="AXV9">
        <f>SOFR3mo_PX[[#This Row],[Column1322]]</f>
        <v>99.995000000000005</v>
      </c>
      <c r="AXW9">
        <f>SOFR3mo_PX[[#This Row],[Column1323]]</f>
        <v>99.984999999999999</v>
      </c>
      <c r="AXX9">
        <f>SOFR3mo_PX[[#This Row],[Column1324]]</f>
        <v>99.984999999999999</v>
      </c>
      <c r="AXY9">
        <f>SOFR3mo_PX[[#This Row],[Column1325]]</f>
        <v>99.99</v>
      </c>
      <c r="AXZ9">
        <f>SOFR3mo_PX[[#This Row],[Column1326]]</f>
        <v>100</v>
      </c>
      <c r="AYA9">
        <f>SOFR3mo_PX[[#This Row],[Column1327]]</f>
        <v>100</v>
      </c>
      <c r="AYB9">
        <f>SOFR3mo_PX[[#This Row],[Column1328]]</f>
        <v>99.995000000000005</v>
      </c>
      <c r="AYC9">
        <f>SOFR3mo_PX[[#This Row],[Column1329]]</f>
        <v>99.995000000000005</v>
      </c>
      <c r="AYD9">
        <f>SOFR3mo_PX[[#This Row],[Column1330]]</f>
        <v>99.995000000000005</v>
      </c>
      <c r="AYE9">
        <f>SOFR3mo_PX[[#This Row],[Column1331]]</f>
        <v>99.995000000000005</v>
      </c>
      <c r="AYF9">
        <f>SOFR3mo_PX[[#This Row],[Column1332]]</f>
        <v>100.015</v>
      </c>
      <c r="AYG9">
        <f>SOFR3mo_PX[[#This Row],[Column1333]]</f>
        <v>100.01</v>
      </c>
      <c r="AYH9">
        <f>SOFR3mo_PX[[#This Row],[Column1334]]</f>
        <v>100</v>
      </c>
      <c r="AYI9">
        <f>SOFR3mo_PX[[#This Row],[Column1335]]</f>
        <v>99.995000000000005</v>
      </c>
      <c r="AYJ9">
        <f>SOFR3mo_PX[[#This Row],[Column1336]]</f>
        <v>99.99</v>
      </c>
      <c r="AYK9">
        <f>SOFR3mo_PX[[#This Row],[Column1337]]</f>
        <v>100.01</v>
      </c>
      <c r="AYL9">
        <f>SOFR3mo_PX[[#This Row],[Column1338]]</f>
        <v>100.02500000000001</v>
      </c>
      <c r="AYM9">
        <f>SOFR3mo_PX[[#This Row],[Column1339]]</f>
        <v>99.97</v>
      </c>
      <c r="AYN9">
        <f>SOFR3mo_PX[[#This Row],[Column1340]]</f>
        <v>99.95</v>
      </c>
      <c r="AYO9">
        <f>SOFR3mo_PX[[#This Row],[Column1341]]</f>
        <v>99.95</v>
      </c>
      <c r="AYP9">
        <f>SOFR3mo_PX[[#This Row],[Column1342]]</f>
        <v>99.935000000000002</v>
      </c>
      <c r="AYQ9">
        <f>SOFR3mo_PX[[#This Row],[Column1343]]</f>
        <v>99.94</v>
      </c>
      <c r="AYR9">
        <f>SOFR3mo_PX[[#This Row],[Column1344]]</f>
        <v>99.935000000000002</v>
      </c>
      <c r="AYS9">
        <f>SOFR3mo_PX[[#This Row],[Column1345]]</f>
        <v>99.924999999999997</v>
      </c>
      <c r="AYT9">
        <f>SOFR3mo_PX[[#This Row],[Column1346]]</f>
        <v>99.924999999999997</v>
      </c>
      <c r="AYU9">
        <f>SOFR3mo_PX[[#This Row],[Column1347]]</f>
        <v>99.93</v>
      </c>
      <c r="AYV9">
        <f>SOFR3mo_PX[[#This Row],[Column1348]]</f>
        <v>99.93</v>
      </c>
      <c r="AYW9">
        <f>SOFR3mo_PX[[#This Row],[Column1349]]</f>
        <v>99.924999999999997</v>
      </c>
      <c r="AYX9">
        <f>SOFR3mo_PX[[#This Row],[Column1350]]</f>
        <v>99.93</v>
      </c>
      <c r="AYY9">
        <f>SOFR3mo_PX[[#This Row],[Column1351]]</f>
        <v>99.92</v>
      </c>
      <c r="AYZ9">
        <f>SOFR3mo_PX[[#This Row],[Column1352]]</f>
        <v>99.915000000000006</v>
      </c>
      <c r="AZA9">
        <f>SOFR3mo_PX[[#This Row],[Column1353]]</f>
        <v>99.905000000000001</v>
      </c>
      <c r="AZB9">
        <f>SOFR3mo_PX[[#This Row],[Column1354]]</f>
        <v>99.905000000000001</v>
      </c>
      <c r="AZC9">
        <f>SOFR3mo_PX[[#This Row],[Column1355]]</f>
        <v>99.885000000000005</v>
      </c>
      <c r="AZD9">
        <f>SOFR3mo_PX[[#This Row],[Column1356]]</f>
        <v>99.88</v>
      </c>
      <c r="AZE9">
        <f>SOFR3mo_PX[[#This Row],[Column1357]]</f>
        <v>99.89</v>
      </c>
      <c r="AZF9">
        <f>SOFR3mo_PX[[#This Row],[Column1358]]</f>
        <v>99.89</v>
      </c>
      <c r="AZG9">
        <f>SOFR3mo_PX[[#This Row],[Column1359]]</f>
        <v>99.87</v>
      </c>
      <c r="AZH9">
        <f>SOFR3mo_PX[[#This Row],[Column1360]]</f>
        <v>99.864999999999995</v>
      </c>
      <c r="AZI9">
        <f>SOFR3mo_PX[[#This Row],[Column1361]]</f>
        <v>99.89</v>
      </c>
      <c r="AZJ9">
        <f>SOFR3mo_PX[[#This Row],[Column1362]]</f>
        <v>99.92</v>
      </c>
      <c r="AZK9">
        <f>SOFR3mo_PX[[#This Row],[Column1363]]</f>
        <v>99.92</v>
      </c>
      <c r="AZL9">
        <f>SOFR3mo_PX[[#This Row],[Column1364]]</f>
        <v>99.915000000000006</v>
      </c>
      <c r="AZM9">
        <f>SOFR3mo_PX[[#This Row],[Column1365]]</f>
        <v>99.905000000000001</v>
      </c>
      <c r="AZN9">
        <f>SOFR3mo_PX[[#This Row],[Column1366]]</f>
        <v>99.91</v>
      </c>
      <c r="AZO9">
        <f>SOFR3mo_PX[[#This Row],[Column1367]]</f>
        <v>99.9</v>
      </c>
      <c r="AZP9">
        <f>SOFR3mo_PX[[#This Row],[Column1368]]</f>
        <v>99.89</v>
      </c>
      <c r="AZQ9">
        <f>SOFR3mo_PX[[#This Row],[Column1369]]</f>
        <v>99.855000000000004</v>
      </c>
      <c r="AZR9">
        <f>SOFR3mo_PX[[#This Row],[Column1370]]</f>
        <v>99.84</v>
      </c>
      <c r="AZS9">
        <f>SOFR3mo_PX[[#This Row],[Column1371]]</f>
        <v>99.894999999999996</v>
      </c>
      <c r="AZT9">
        <f>SOFR3mo_PX[[#This Row],[Column1372]]</f>
        <v>99.85</v>
      </c>
      <c r="AZU9">
        <f>SOFR3mo_PX[[#This Row],[Column1373]]</f>
        <v>99.795000000000002</v>
      </c>
      <c r="AZV9">
        <f>SOFR3mo_PX[[#This Row],[Column1374]]</f>
        <v>99.734999999999999</v>
      </c>
      <c r="AZW9">
        <f>SOFR3mo_PX[[#This Row],[Column1375]]</f>
        <v>99.805000000000007</v>
      </c>
      <c r="AZX9">
        <f>SOFR3mo_PX[[#This Row],[Column1376]]</f>
        <v>99.85</v>
      </c>
      <c r="AZY9">
        <f>SOFR3mo_PX[[#This Row],[Column1377]]</f>
        <v>99.805000000000007</v>
      </c>
      <c r="AZZ9">
        <f>SOFR3mo_PX[[#This Row],[Column1378]]</f>
        <v>99.805000000000007</v>
      </c>
      <c r="BAA9">
        <f>SOFR3mo_PX[[#This Row],[Column1379]]</f>
        <v>99.734999999999999</v>
      </c>
      <c r="BAB9">
        <f>SOFR3mo_PX[[#This Row],[Column1380]]</f>
        <v>99.704999999999998</v>
      </c>
      <c r="BAC9">
        <f>SOFR3mo_PX[[#This Row],[Column1381]]</f>
        <v>99.8</v>
      </c>
      <c r="BAD9">
        <f>SOFR3mo_PX[[#This Row],[Column1382]]</f>
        <v>99.73</v>
      </c>
      <c r="BAE9">
        <f>SOFR3mo_PX[[#This Row],[Column1383]]</f>
        <v>99.65</v>
      </c>
      <c r="BAF9">
        <f>SOFR3mo_PX[[#This Row],[Column1384]]</f>
        <v>99.584999999999994</v>
      </c>
      <c r="BAG9">
        <f>SOFR3mo_PX[[#This Row],[Column1385]]</f>
        <v>99.504999999999995</v>
      </c>
      <c r="BAH9">
        <f>SOFR3mo_PX[[#This Row],[Column1386]]</f>
        <v>99.435000000000002</v>
      </c>
      <c r="BAI9">
        <f>SOFR3mo_PX[[#This Row],[Column1387]]</f>
        <v>99.43</v>
      </c>
      <c r="BAJ9">
        <f>SOFR3mo_PX[[#This Row],[Column1388]]</f>
        <v>99.22</v>
      </c>
      <c r="BAK9">
        <f>SOFR3mo_PX[[#This Row],[Column1389]]</f>
        <v>99.155000000000001</v>
      </c>
      <c r="BAL9">
        <f>SOFR3mo_PX[[#This Row],[Column1390]]</f>
        <v>99.114999999999995</v>
      </c>
      <c r="BAM9">
        <f>SOFR3mo_PX[[#This Row],[Column1391]]</f>
        <v>99.064999999999998</v>
      </c>
      <c r="BAN9">
        <f>SOFR3mo_PX[[#This Row],[Column1392]]</f>
        <v>98.97</v>
      </c>
      <c r="BAO9">
        <f>SOFR3mo_PX[[#This Row],[Column1393]]</f>
        <v>98.905000000000001</v>
      </c>
      <c r="BAP9">
        <f>SOFR3mo_PX[[#This Row],[Column1394]]</f>
        <v>98.864999999999995</v>
      </c>
      <c r="BAQ9">
        <f>SOFR3mo_PX[[#This Row],[Column1395]]</f>
        <v>98.89</v>
      </c>
      <c r="BAR9">
        <f>SOFR3mo_PX[[#This Row],[Column1396]]</f>
        <v>98.86</v>
      </c>
      <c r="BAS9">
        <f>SOFR3mo_PX[[#This Row],[Column1397]]</f>
        <v>98.86</v>
      </c>
      <c r="BAT9">
        <f>SOFR3mo_PX[[#This Row],[Column1398]]</f>
        <v>98.83</v>
      </c>
      <c r="BAU9">
        <f>SOFR3mo_PX[[#This Row],[Column1399]]</f>
        <v>98.825000000000003</v>
      </c>
      <c r="BAV9">
        <f>SOFR3mo_PX[[#This Row],[Column1400]]</f>
        <v>98.86</v>
      </c>
      <c r="BAW9">
        <f>SOFR3mo_PX[[#This Row],[Column1401]]</f>
        <v>98.89</v>
      </c>
      <c r="BAX9">
        <f>SOFR3mo_PX[[#This Row],[Column1402]]</f>
        <v>98.855000000000004</v>
      </c>
      <c r="BAY9">
        <f>SOFR3mo_PX[[#This Row],[Column1403]]</f>
        <v>98.805000000000007</v>
      </c>
      <c r="BAZ9">
        <f>SOFR3mo_PX[[#This Row],[Column1404]]</f>
        <v>98.825000000000003</v>
      </c>
      <c r="BBA9">
        <f>SOFR3mo_PX[[#This Row],[Column1405]]</f>
        <v>98.86</v>
      </c>
      <c r="BBB9">
        <f>SOFR3mo_PX[[#This Row],[Column1406]]</f>
        <v>98.944999999999993</v>
      </c>
      <c r="BBC9">
        <f>SOFR3mo_PX[[#This Row],[Column1407]]</f>
        <v>98.974999999999994</v>
      </c>
      <c r="BBD9">
        <f>SOFR3mo_PX[[#This Row],[Column1408]]</f>
        <v>98.92</v>
      </c>
      <c r="BBE9">
        <f>SOFR3mo_PX[[#This Row],[Column1409]]</f>
        <v>98.875</v>
      </c>
      <c r="BBF9">
        <f>SOFR3mo_PX[[#This Row],[Column1410]]</f>
        <v>98.83</v>
      </c>
      <c r="BBG9">
        <f>SOFR3mo_PX[[#This Row],[Column1411]]</f>
        <v>98.864999999999995</v>
      </c>
      <c r="BBH9">
        <f>SOFR3mo_PX[[#This Row],[Column1412]]</f>
        <v>98.79</v>
      </c>
      <c r="BBI9">
        <f>SOFR3mo_PX[[#This Row],[Column1413]]</f>
        <v>98.734999999999999</v>
      </c>
      <c r="BBJ9">
        <f>SOFR3mo_PX[[#This Row],[Column1414]]</f>
        <v>98.72</v>
      </c>
      <c r="BBK9">
        <f>SOFR3mo_PX[[#This Row],[Column1415]]</f>
        <v>98.704999999999998</v>
      </c>
      <c r="BBL9">
        <f>SOFR3mo_PX[[#This Row],[Column1416]]</f>
        <v>98.65</v>
      </c>
      <c r="BBM9">
        <f>SOFR3mo_PX[[#This Row],[Column1417]]</f>
        <v>98.65</v>
      </c>
      <c r="BBN9">
        <f>SOFR3mo_PX[[#This Row],[Column1418]]</f>
        <v>98.665000000000006</v>
      </c>
      <c r="BBO9">
        <f>SOFR3mo_PX[[#This Row],[Column1419]]</f>
        <v>98.674999999999997</v>
      </c>
      <c r="BBP9">
        <f>SOFR3mo_PX[[#This Row],[Column1420]]</f>
        <v>98.67</v>
      </c>
      <c r="BBQ9">
        <f>SOFR3mo_PX[[#This Row],[Column1421]]</f>
        <v>98.66</v>
      </c>
      <c r="BBR9">
        <f>SOFR3mo_PX[[#This Row],[Column1422]]</f>
        <v>98.665000000000006</v>
      </c>
      <c r="BBS9">
        <f>SOFR3mo_PX[[#This Row],[Column1423]]</f>
        <v>98.655000000000001</v>
      </c>
      <c r="BBT9">
        <f>SOFR3mo_PX[[#This Row],[Column1424]]</f>
        <v>98.65</v>
      </c>
      <c r="BBU9">
        <f>SOFR3mo_PX[[#This Row],[Column1425]]</f>
        <v>98.694999999999993</v>
      </c>
      <c r="BBV9">
        <f>SOFR3mo_PX[[#This Row],[Column1426]]</f>
        <v>98.7</v>
      </c>
      <c r="BBW9">
        <f>SOFR3mo_PX[[#This Row],[Column1427]]</f>
        <v>98.704999999999998</v>
      </c>
      <c r="BBX9">
        <f>SOFR3mo_PX[[#This Row],[Column1428]]</f>
        <v>98.625</v>
      </c>
      <c r="BBY9">
        <f>SOFR3mo_PX[[#This Row],[Column1429]]</f>
        <v>98.62</v>
      </c>
      <c r="BBZ9">
        <f>SOFR3mo_PX[[#This Row],[Column1430]]</f>
        <v>98.62</v>
      </c>
      <c r="BCA9">
        <f>SOFR3mo_PX[[#This Row],[Column1431]]</f>
        <v>98.625</v>
      </c>
      <c r="BCB9">
        <f>SOFR3mo_PX[[#This Row],[Column1432]]</f>
        <v>98.625</v>
      </c>
      <c r="BCC9">
        <f>SOFR3mo_PX[[#This Row],[Column1433]]</f>
        <v>98.59</v>
      </c>
      <c r="BCD9">
        <f>SOFR3mo_PX[[#This Row],[Column1434]]</f>
        <v>98.59</v>
      </c>
      <c r="BCE9">
        <f>SOFR3mo_PX[[#This Row],[Column1435]]</f>
        <v>98.59</v>
      </c>
      <c r="BCF9">
        <f>SOFR3mo_PX[[#This Row],[Column1436]]</f>
        <v>98.575000000000003</v>
      </c>
      <c r="BCG9">
        <f>SOFR3mo_PX[[#This Row],[Column1437]]</f>
        <v>98.61</v>
      </c>
      <c r="BCH9">
        <f>SOFR3mo_PX[[#This Row],[Column1438]]</f>
        <v>98.625</v>
      </c>
      <c r="BCI9">
        <f>SOFR3mo_PX[[#This Row],[Column1439]]</f>
        <v>98.6</v>
      </c>
      <c r="BCJ9">
        <f>SOFR3mo_PX[[#This Row],[Column1440]]</f>
        <v>98.625</v>
      </c>
      <c r="BCK9">
        <f>SOFR3mo_PX[[#This Row],[Column1441]]</f>
        <v>98.62</v>
      </c>
      <c r="BCL9">
        <f>SOFR3mo_PX[[#This Row],[Column1442]]</f>
        <v>98.685000000000002</v>
      </c>
      <c r="BCM9">
        <f>SOFR3mo_PX[[#This Row],[Column1443]]</f>
        <v>98.62</v>
      </c>
      <c r="BCN9">
        <f>SOFR3mo_PX[[#This Row],[Column1444]]</f>
        <v>98.69</v>
      </c>
      <c r="BCO9">
        <f>SOFR3mo_PX[[#This Row],[Column1445]]</f>
        <v>98.655000000000001</v>
      </c>
      <c r="BCP9">
        <f>SOFR3mo_PX[[#This Row],[Column1446]]</f>
        <v>98.68</v>
      </c>
      <c r="BCQ9">
        <f>SOFR3mo_PX[[#This Row],[Column1447]]</f>
        <v>98.685000000000002</v>
      </c>
      <c r="BCR9">
        <f>SOFR3mo_PX[[#This Row],[Column1448]]</f>
        <v>98.73</v>
      </c>
      <c r="BCS9">
        <f>SOFR3mo_PX[[#This Row],[Column1449]]</f>
        <v>98.74</v>
      </c>
      <c r="BCT9">
        <f>SOFR3mo_PX[[#This Row],[Column1450]]</f>
        <v>98.81</v>
      </c>
      <c r="BCU9">
        <f>SOFR3mo_PX[[#This Row],[Column1451]]</f>
        <v>98.694999999999993</v>
      </c>
      <c r="BCV9">
        <f>SOFR3mo_PX[[#This Row],[Column1452]]</f>
        <v>98.72</v>
      </c>
      <c r="BCW9">
        <f>SOFR3mo_PX[[#This Row],[Column1453]]</f>
        <v>98.704999999999998</v>
      </c>
      <c r="BCX9">
        <f>SOFR3mo_PX[[#This Row],[Column1454]]</f>
        <v>98.704999999999998</v>
      </c>
      <c r="BCY9">
        <f>SOFR3mo_PX[[#This Row],[Column1455]]</f>
        <v>98.745000000000005</v>
      </c>
      <c r="BCZ9">
        <f>SOFR3mo_PX[[#This Row],[Column1456]]</f>
        <v>98.734999999999999</v>
      </c>
      <c r="BDA9">
        <f>SOFR3mo_PX[[#This Row],[Column1457]]</f>
        <v>98.724999999999994</v>
      </c>
      <c r="BDB9">
        <f>SOFR3mo_PX[[#This Row],[Column1458]]</f>
        <v>98.754999999999995</v>
      </c>
      <c r="BDC9">
        <f>SOFR3mo_PX[[#This Row],[Column1459]]</f>
        <v>98.784999999999997</v>
      </c>
      <c r="BDD9">
        <f>SOFR3mo_PX[[#This Row],[Column1460]]</f>
        <v>98.75</v>
      </c>
      <c r="BDE9">
        <f>SOFR3mo_PX[[#This Row],[Column1461]]</f>
        <v>98.73</v>
      </c>
      <c r="BDF9">
        <f>SOFR3mo_PX[[#This Row],[Column1462]]</f>
        <v>98.71</v>
      </c>
      <c r="BDG9">
        <f>SOFR3mo_PX[[#This Row],[Column1463]]</f>
        <v>98.72</v>
      </c>
      <c r="BDH9">
        <f>SOFR3mo_PX[[#This Row],[Column1464]]</f>
        <v>98.67</v>
      </c>
      <c r="BDI9">
        <f>SOFR3mo_PX[[#This Row],[Column1465]]</f>
        <v>98.63</v>
      </c>
      <c r="BDJ9">
        <f>SOFR3mo_PX[[#This Row],[Column1466]]</f>
        <v>98.6</v>
      </c>
      <c r="BDK9">
        <f>SOFR3mo_PX[[#This Row],[Column1467]]</f>
        <v>98.61</v>
      </c>
      <c r="BDL9">
        <f>SOFR3mo_PX[[#This Row],[Column1468]]</f>
        <v>98.594999999999999</v>
      </c>
      <c r="BDM9">
        <f>SOFR3mo_PX[[#This Row],[Column1469]]</f>
        <v>98.69</v>
      </c>
      <c r="BDN9">
        <f>SOFR3mo_PX[[#This Row],[Column1470]]</f>
        <v>98.66</v>
      </c>
      <c r="BDO9">
        <f>SOFR3mo_PX[[#This Row],[Column1471]]</f>
        <v>98.704999999999998</v>
      </c>
      <c r="BDP9">
        <f>SOFR3mo_PX[[#This Row],[Column1472]]</f>
        <v>98.754999999999995</v>
      </c>
      <c r="BDQ9">
        <f>SOFR3mo_PX[[#This Row],[Column1473]]</f>
        <v>98.825000000000003</v>
      </c>
      <c r="BDR9">
        <f>SOFR3mo_PX[[#This Row],[Column1474]]</f>
        <v>98.704999999999998</v>
      </c>
      <c r="BDS9">
        <f>SOFR3mo_PX[[#This Row],[Column1475]]</f>
        <v>98.685000000000002</v>
      </c>
      <c r="BDT9">
        <f>SOFR3mo_PX[[#This Row],[Column1476]]</f>
        <v>98.69</v>
      </c>
      <c r="BDU9">
        <f>SOFR3mo_PX[[#This Row],[Column1477]]</f>
        <v>98.72</v>
      </c>
      <c r="BDV9">
        <f>SOFR3mo_PX[[#This Row],[Column1478]]</f>
        <v>98.775000000000006</v>
      </c>
      <c r="BDW9">
        <f>SOFR3mo_PX[[#This Row],[Column1479]]</f>
        <v>98.78</v>
      </c>
      <c r="BDX9">
        <f>SOFR3mo_PX[[#This Row],[Column1480]]</f>
        <v>98.76</v>
      </c>
      <c r="BDY9">
        <f>SOFR3mo_PX[[#This Row],[Column1481]]</f>
        <v>98.734999999999999</v>
      </c>
      <c r="BDZ9">
        <f>SOFR3mo_PX[[#This Row],[Column1482]]</f>
        <v>98.765000000000001</v>
      </c>
      <c r="BEA9">
        <f>SOFR3mo_PX[[#This Row],[Column1483]]</f>
        <v>98.74</v>
      </c>
      <c r="BEB9">
        <f>SOFR3mo_PX[[#This Row],[Column1484]]</f>
        <v>98.765000000000001</v>
      </c>
      <c r="BEC9">
        <f>SOFR3mo_PX[[#This Row],[Column1485]]</f>
        <v>98.72</v>
      </c>
      <c r="BED9">
        <f>SOFR3mo_PX[[#This Row],[Column1486]]</f>
        <v>98.76</v>
      </c>
      <c r="BEE9">
        <f>SOFR3mo_PX[[#This Row],[Column1487]]</f>
        <v>98.74</v>
      </c>
      <c r="BEF9">
        <f>SOFR3mo_PX[[#This Row],[Column1488]]</f>
        <v>98.875</v>
      </c>
      <c r="BEG9">
        <f>SOFR3mo_PX[[#This Row],[Column1489]]</f>
        <v>98.94</v>
      </c>
      <c r="BEH9">
        <f>SOFR3mo_PX[[#This Row],[Column1490]]</f>
        <v>99.004999999999995</v>
      </c>
      <c r="BEI9">
        <f>SOFR3mo_PX[[#This Row],[Column1491]]</f>
        <v>98.954999999999998</v>
      </c>
      <c r="BEJ9">
        <f>SOFR3mo_PX[[#This Row],[Column1492]]</f>
        <v>99.025000000000006</v>
      </c>
      <c r="BEK9">
        <f>SOFR3mo_PX[[#This Row],[Column1493]]</f>
        <v>99.034999999999997</v>
      </c>
      <c r="BEL9">
        <f>SOFR3mo_PX[[#This Row],[Column1494]]</f>
        <v>98.93</v>
      </c>
      <c r="BEM9">
        <f>SOFR3mo_PX[[#This Row],[Column1495]]</f>
        <v>98.855000000000004</v>
      </c>
      <c r="BEN9">
        <f>SOFR3mo_PX[[#This Row],[Column1496]]</f>
        <v>98.784999999999997</v>
      </c>
      <c r="BEO9">
        <f>SOFR3mo_PX[[#This Row],[Column1497]]</f>
        <v>98.795000000000002</v>
      </c>
      <c r="BEP9">
        <f>SOFR3mo_PX[[#This Row],[Column1498]]</f>
        <v>98.784999999999997</v>
      </c>
      <c r="BEQ9">
        <f>SOFR3mo_PX[[#This Row],[Column1499]]</f>
        <v>98.77</v>
      </c>
      <c r="BER9">
        <f>SOFR3mo_PX[[#This Row],[Column1500]]</f>
        <v>98.864999999999995</v>
      </c>
      <c r="BES9">
        <f>SOFR3mo_PX[[#This Row],[Column1501]]</f>
        <v>98.77</v>
      </c>
      <c r="BET9">
        <f>SOFR3mo_PX[[#This Row],[Column1502]]</f>
        <v>98.734999999999999</v>
      </c>
      <c r="BEU9">
        <f>SOFR3mo_PX[[#This Row],[Column1503]]</f>
        <v>98.75</v>
      </c>
      <c r="BEV9">
        <f>SOFR3mo_PX[[#This Row],[Column1504]]</f>
        <v>98.715000000000003</v>
      </c>
      <c r="BEW9">
        <f>SOFR3mo_PX[[#This Row],[Column1505]]</f>
        <v>98.685000000000002</v>
      </c>
      <c r="BEX9">
        <f>SOFR3mo_PX[[#This Row],[Column1506]]</f>
        <v>98.644999999999996</v>
      </c>
      <c r="BEY9">
        <f>SOFR3mo_PX[[#This Row],[Column1507]]</f>
        <v>98.584999999999994</v>
      </c>
      <c r="BEZ9">
        <f>SOFR3mo_PX[[#This Row],[Column1508]]</f>
        <v>98.665000000000006</v>
      </c>
      <c r="BFA9">
        <f>SOFR3mo_PX[[#This Row],[Column1509]]</f>
        <v>98.75</v>
      </c>
      <c r="BFB9">
        <f>SOFR3mo_PX[[#This Row],[Column1510]]</f>
        <v>98.77</v>
      </c>
      <c r="BFC9">
        <f>SOFR3mo_PX[[#This Row],[Column1511]]</f>
        <v>98.88</v>
      </c>
      <c r="BFD9">
        <f>SOFR3mo_PX[[#This Row],[Column1512]]</f>
        <v>98.944999999999993</v>
      </c>
      <c r="BFE9">
        <f>SOFR3mo_PX[[#This Row],[Column1513]]</f>
        <v>98.95</v>
      </c>
      <c r="BFF9">
        <f>SOFR3mo_PX[[#This Row],[Column1514]]</f>
        <v>99.075000000000003</v>
      </c>
      <c r="BFG9">
        <f>SOFR3mo_PX[[#This Row],[Column1515]]</f>
        <v>99.034999999999997</v>
      </c>
      <c r="BFH9">
        <f>SOFR3mo_PX[[#This Row],[Column1516]]</f>
        <v>98.954999999999998</v>
      </c>
      <c r="BFI9">
        <f>SOFR3mo_PX[[#This Row],[Column1517]]</f>
        <v>98.954999999999998</v>
      </c>
      <c r="BFJ9">
        <f>SOFR3mo_PX[[#This Row],[Column1518]]</f>
        <v>98.93</v>
      </c>
      <c r="BFK9">
        <f>SOFR3mo_PX[[#This Row],[Column1519]]</f>
        <v>98.974999999999994</v>
      </c>
      <c r="BFL9">
        <f>SOFR3mo_PX[[#This Row],[Column1520]]</f>
        <v>98.94</v>
      </c>
      <c r="BFM9">
        <f>SOFR3mo_PX[[#This Row],[Column1521]]</f>
        <v>98.91</v>
      </c>
      <c r="BFN9">
        <f>SOFR3mo_PX[[#This Row],[Column1522]]</f>
        <v>98.94</v>
      </c>
      <c r="BFO9">
        <f>SOFR3mo_PX[[#This Row],[Column1523]]</f>
        <v>98.84</v>
      </c>
      <c r="BFP9">
        <f>SOFR3mo_PX[[#This Row],[Column1524]]</f>
        <v>98.875</v>
      </c>
      <c r="BFQ9">
        <f>SOFR3mo_PX[[#This Row],[Column1525]]</f>
        <v>98.92</v>
      </c>
      <c r="BFR9">
        <f>SOFR3mo_PX[[#This Row],[Column1526]]</f>
        <v>98.88</v>
      </c>
      <c r="BFS9">
        <f>SOFR3mo_PX[[#This Row],[Column1527]]</f>
        <v>98.94</v>
      </c>
      <c r="BFT9">
        <f>SOFR3mo_PX[[#This Row],[Column1528]]</f>
        <v>98.935000000000002</v>
      </c>
      <c r="BFU9">
        <f>SOFR3mo_PX[[#This Row],[Column1529]]</f>
        <v>98.86</v>
      </c>
      <c r="BFV9">
        <f>SOFR3mo_PX[[#This Row],[Column1530]]</f>
        <v>98.775000000000006</v>
      </c>
      <c r="BFW9">
        <f>SOFR3mo_PX[[#This Row],[Column1531]]</f>
        <v>98.88</v>
      </c>
      <c r="BFX9">
        <f>SOFR3mo_PX[[#This Row],[Column1532]]</f>
        <v>98.81</v>
      </c>
      <c r="BFY9">
        <f>SOFR3mo_PX[[#This Row],[Column1533]]</f>
        <v>98.855000000000004</v>
      </c>
      <c r="BFZ9">
        <f>SOFR3mo_PX[[#This Row],[Column1534]]</f>
        <v>98.93</v>
      </c>
      <c r="BGA9">
        <f>SOFR3mo_PX[[#This Row],[Column1535]]</f>
        <v>98.85</v>
      </c>
      <c r="BGB9">
        <f>SOFR3mo_PX[[#This Row],[Column1536]]</f>
        <v>98.915000000000006</v>
      </c>
      <c r="BGC9">
        <f>SOFR3mo_PX[[#This Row],[Column1537]]</f>
        <v>98.694999999999993</v>
      </c>
      <c r="BGD9">
        <f>SOFR3mo_PX[[#This Row],[Column1538]]</f>
        <v>98.674999999999997</v>
      </c>
      <c r="BGE9">
        <f>SOFR3mo_PX[[#This Row],[Column1539]]</f>
        <v>98.484999999999999</v>
      </c>
      <c r="BGF9">
        <f>SOFR3mo_PX[[#This Row],[Column1540]]</f>
        <v>98.55</v>
      </c>
      <c r="BGG9">
        <f>SOFR3mo_PX[[#This Row],[Column1541]]</f>
        <v>98.56</v>
      </c>
      <c r="BGH9">
        <f>SOFR3mo_PX[[#This Row],[Column1542]]</f>
        <v>98.545000000000002</v>
      </c>
      <c r="BGI9">
        <f>SOFR3mo_PX[[#This Row],[Column1543]]</f>
        <v>98.58</v>
      </c>
      <c r="BGJ9">
        <f>SOFR3mo_PX[[#This Row],[Column1544]]</f>
        <v>98.605000000000004</v>
      </c>
      <c r="BGK9">
        <f>SOFR3mo_PX[[#This Row],[Column1545]]</f>
        <v>98.6</v>
      </c>
      <c r="BGL9">
        <f>SOFR3mo_PX[[#This Row],[Column1546]]</f>
        <v>98.63</v>
      </c>
      <c r="BGM9">
        <f>SOFR3mo_PX[[#This Row],[Column1547]]</f>
        <v>98.614999999999995</v>
      </c>
      <c r="BGN9">
        <f>SOFR3mo_PX[[#This Row],[Column1548]]</f>
        <v>98.665000000000006</v>
      </c>
      <c r="BGO9">
        <f>SOFR3mo_PX[[#This Row],[Column1549]]</f>
        <v>98.58</v>
      </c>
      <c r="BGP9">
        <f>SOFR3mo_PX[[#This Row],[Column1550]]</f>
        <v>98.53</v>
      </c>
      <c r="BGQ9">
        <f>SOFR3mo_PX[[#This Row],[Column1551]]</f>
        <v>98.56</v>
      </c>
      <c r="BGR9">
        <f>SOFR3mo_PX[[#This Row],[Column1552]]</f>
        <v>98.55</v>
      </c>
      <c r="BGS9">
        <f>SOFR3mo_PX[[#This Row],[Column1553]]</f>
        <v>98.53</v>
      </c>
      <c r="BGT9">
        <f>SOFR3mo_PX[[#This Row],[Column1554]]</f>
        <v>98.564999999999998</v>
      </c>
      <c r="BGU9">
        <f>SOFR3mo_PX[[#This Row],[Column1555]]</f>
        <v>98.51</v>
      </c>
      <c r="BGV9">
        <f>SOFR3mo_PX[[#This Row],[Column1556]]</f>
        <v>98.53</v>
      </c>
      <c r="BGW9">
        <f>SOFR3mo_PX[[#This Row],[Column1557]]</f>
        <v>98.525000000000006</v>
      </c>
      <c r="BGX9">
        <f>SOFR3mo_PX[[#This Row],[Column1558]]</f>
        <v>98.64</v>
      </c>
      <c r="BGY9">
        <f>SOFR3mo_PX[[#This Row],[Column1559]]</f>
        <v>98.64</v>
      </c>
      <c r="BGZ9">
        <f>SOFR3mo_PX[[#This Row],[Column1560]]</f>
        <v>98.635000000000005</v>
      </c>
      <c r="BHA9">
        <f>SOFR3mo_PX[[#This Row],[Column1561]]</f>
        <v>98.594999999999999</v>
      </c>
      <c r="BHB9">
        <f>SOFR3mo_PX[[#This Row],[Column1562]]</f>
        <v>98.65</v>
      </c>
      <c r="BHC9">
        <f>SOFR3mo_PX[[#This Row],[Column1563]]</f>
        <v>98.665000000000006</v>
      </c>
      <c r="BHD9">
        <f>SOFR3mo_PX[[#This Row],[Column1564]]</f>
        <v>98.635000000000005</v>
      </c>
      <c r="BHE9">
        <f>SOFR3mo_PX[[#This Row],[Column1565]]</f>
        <v>98.72</v>
      </c>
      <c r="BHF9">
        <f>SOFR3mo_PX[[#This Row],[Column1566]]</f>
        <v>98.7</v>
      </c>
      <c r="BHG9">
        <f>SOFR3mo_PX[[#This Row],[Column1567]]</f>
        <v>98.65</v>
      </c>
      <c r="BHH9">
        <f>SOFR3mo_PX[[#This Row],[Column1568]]</f>
        <v>98.704999999999998</v>
      </c>
      <c r="BHI9">
        <f>SOFR3mo_PX[[#This Row],[Column1569]]</f>
        <v>98.694999999999993</v>
      </c>
      <c r="BHJ9">
        <f>SOFR3mo_PX[[#This Row],[Column1570]]</f>
        <v>98.54</v>
      </c>
      <c r="BHK9">
        <f>SOFR3mo_PX[[#This Row],[Column1571]]</f>
        <v>98.545000000000002</v>
      </c>
      <c r="BHL9">
        <f>SOFR3mo_PX[[#This Row],[Column1572]]</f>
        <v>98.575000000000003</v>
      </c>
      <c r="BHM9">
        <f>SOFR3mo_PX[[#This Row],[Column1573]]</f>
        <v>98.58</v>
      </c>
      <c r="BHN9">
        <f>SOFR3mo_PX[[#This Row],[Column1574]]</f>
        <v>98.51</v>
      </c>
      <c r="BHO9">
        <f>SOFR3mo_PX[[#This Row],[Column1575]]</f>
        <v>98.46</v>
      </c>
      <c r="BHP9">
        <f>SOFR3mo_PX[[#This Row],[Column1576]]</f>
        <v>98.47</v>
      </c>
      <c r="BHQ9">
        <f>SOFR3mo_PX[[#This Row],[Column1577]]</f>
        <v>98.52</v>
      </c>
      <c r="BHR9">
        <f>SOFR3mo_PX[[#This Row],[Column1578]]</f>
        <v>98.51</v>
      </c>
      <c r="BHS9">
        <f>SOFR3mo_PX[[#This Row],[Column1579]]</f>
        <v>98.584999999999994</v>
      </c>
      <c r="BHT9">
        <f>SOFR3mo_PX[[#This Row],[Column1580]]</f>
        <v>98.555000000000007</v>
      </c>
      <c r="BHU9">
        <f>SOFR3mo_PX[[#This Row],[Column1581]]</f>
        <v>98.6</v>
      </c>
      <c r="BHV9">
        <f>SOFR3mo_PX[[#This Row],[Column1582]]</f>
        <v>98.48</v>
      </c>
      <c r="BHW9">
        <f>SOFR3mo_PX[[#This Row],[Column1583]]</f>
        <v>98.33</v>
      </c>
      <c r="BHX9">
        <f>SOFR3mo_PX[[#This Row],[Column1584]]</f>
        <v>98.334999999999994</v>
      </c>
      <c r="BHY9">
        <f>SOFR3mo_PX[[#This Row],[Column1585]]</f>
        <v>98.295000000000002</v>
      </c>
      <c r="BHZ9">
        <f>SOFR3mo_PX[[#This Row],[Column1586]]</f>
        <v>98.234999999999999</v>
      </c>
      <c r="BIA9">
        <f>SOFR3mo_PX[[#This Row],[Column1587]]</f>
        <v>98.234999999999999</v>
      </c>
      <c r="BIB9">
        <f>SOFR3mo_PX[[#This Row],[Column1588]]</f>
        <v>98.265000000000001</v>
      </c>
      <c r="BIC9">
        <f>SOFR3mo_PX[[#This Row],[Column1589]]</f>
        <v>98.13</v>
      </c>
      <c r="BID9">
        <f>SOFR3mo_PX[[#This Row],[Column1590]]</f>
        <v>98.1</v>
      </c>
      <c r="BIE9">
        <f>SOFR3mo_PX[[#This Row],[Column1591]]</f>
        <v>98.135000000000005</v>
      </c>
      <c r="BIF9">
        <f>SOFR3mo_PX[[#This Row],[Column1592]]</f>
        <v>98.155000000000001</v>
      </c>
      <c r="BIG9">
        <f>SOFR3mo_PX[[#This Row],[Column1593]]</f>
        <v>98.15</v>
      </c>
      <c r="BIH9">
        <f>SOFR3mo_PX[[#This Row],[Column1594]]</f>
        <v>98.194999999999993</v>
      </c>
      <c r="BII9">
        <f>SOFR3mo_PX[[#This Row],[Column1595]]</f>
        <v>98.14</v>
      </c>
      <c r="BIJ9">
        <f>SOFR3mo_PX[[#This Row],[Column1596]]</f>
        <v>98.144999999999996</v>
      </c>
      <c r="BIK9">
        <f>SOFR3mo_PX[[#This Row],[Column1597]]</f>
        <v>98.055000000000007</v>
      </c>
      <c r="BIL9">
        <f>SOFR3mo_PX[[#This Row],[Column1598]]</f>
        <v>98.04</v>
      </c>
      <c r="BIM9">
        <f>SOFR3mo_PX[[#This Row],[Column1599]]</f>
        <v>98.004999999999995</v>
      </c>
      <c r="BIN9">
        <f>SOFR3mo_PX[[#This Row],[Column1600]]</f>
        <v>98.025000000000006</v>
      </c>
      <c r="BIO9">
        <f>SOFR3mo_PX[[#This Row],[Column1601]]</f>
        <v>97.984999999999999</v>
      </c>
      <c r="BIP9">
        <f>SOFR3mo_PX[[#This Row],[Column1602]]</f>
        <v>97.944999999999993</v>
      </c>
      <c r="BIQ9">
        <f>SOFR3mo_PX[[#This Row],[Column1603]]</f>
        <v>97.94</v>
      </c>
      <c r="BIR9">
        <f>SOFR3mo_PX[[#This Row],[Column1604]]</f>
        <v>98.004999999999995</v>
      </c>
      <c r="BIS9">
        <f>SOFR3mo_PX[[#This Row],[Column1605]]</f>
        <v>98.045000000000002</v>
      </c>
      <c r="BIT9">
        <f>SOFR3mo_PX[[#This Row],[Column1606]]</f>
        <v>98.015000000000001</v>
      </c>
      <c r="BIU9">
        <f>SOFR3mo_PX[[#This Row],[Column1607]]</f>
        <v>98.02</v>
      </c>
      <c r="BIV9">
        <f>SOFR3mo_PX[[#This Row],[Column1608]]</f>
        <v>97.974999999999994</v>
      </c>
      <c r="BIW9">
        <f>SOFR3mo_PX[[#This Row],[Column1609]]</f>
        <v>97.99</v>
      </c>
      <c r="BIX9">
        <f>SOFR3mo_PX[[#This Row],[Column1610]]</f>
        <v>97.94</v>
      </c>
      <c r="BIY9">
        <f>SOFR3mo_PX[[#This Row],[Column1611]]</f>
        <v>97.92</v>
      </c>
      <c r="BIZ9">
        <f>SOFR3mo_PX[[#This Row],[Column1612]]</f>
        <v>97.91</v>
      </c>
      <c r="BJA9">
        <f>SOFR3mo_PX[[#This Row],[Column1613]]</f>
        <v>97.91</v>
      </c>
      <c r="BJB9">
        <f>SOFR3mo_PX[[#This Row],[Column1614]]</f>
        <v>97.89</v>
      </c>
      <c r="BJC9">
        <f>SOFR3mo_PX[[#This Row],[Column1615]]</f>
        <v>97.88</v>
      </c>
      <c r="BJD9">
        <f>SOFR3mo_PX[[#This Row],[Column1616]]</f>
        <v>97.91</v>
      </c>
      <c r="BJE9">
        <f>SOFR3mo_PX[[#This Row],[Column1617]]</f>
        <v>97.905000000000001</v>
      </c>
      <c r="BJF9">
        <f>SOFR3mo_PX[[#This Row],[Column1618]]</f>
        <v>97.974999999999994</v>
      </c>
      <c r="BJG9">
        <f>SOFR3mo_PX[[#This Row],[Column1619]]</f>
        <v>98.01</v>
      </c>
      <c r="BJH9">
        <f>SOFR3mo_PX[[#This Row],[Column1620]]</f>
        <v>97.98</v>
      </c>
      <c r="BJI9">
        <f>SOFR3mo_PX[[#This Row],[Column1621]]</f>
        <v>97.96</v>
      </c>
      <c r="BJJ9">
        <f>SOFR3mo_PX[[#This Row],[Column1622]]</f>
        <v>97.97</v>
      </c>
      <c r="BJK9">
        <f>SOFR3mo_PX[[#This Row],[Column1623]]</f>
        <v>97.98</v>
      </c>
      <c r="BJL9">
        <f>SOFR3mo_PX[[#This Row],[Column1624]]</f>
        <v>97.99</v>
      </c>
      <c r="BJM9">
        <f>SOFR3mo_PX[[#This Row],[Column1625]]</f>
        <v>98.01</v>
      </c>
      <c r="BJN9">
        <f>SOFR3mo_PX[[#This Row],[Column1626]]</f>
        <v>98</v>
      </c>
      <c r="BJO9">
        <f>SOFR3mo_PX[[#This Row],[Column1627]]</f>
        <v>98.08</v>
      </c>
      <c r="BJP9">
        <f>SOFR3mo_PX[[#This Row],[Column1628]]</f>
        <v>98.155000000000001</v>
      </c>
      <c r="BJQ9">
        <f>SOFR3mo_PX[[#This Row],[Column1629]]</f>
        <v>98.18</v>
      </c>
      <c r="BJR9">
        <f>SOFR3mo_PX[[#This Row],[Column1630]]</f>
        <v>98.12</v>
      </c>
      <c r="BJS9">
        <f>SOFR3mo_PX[[#This Row],[Column1631]]</f>
        <v>98.15</v>
      </c>
      <c r="BJT9">
        <f>SOFR3mo_PX[[#This Row],[Column1632]]</f>
        <v>98.03</v>
      </c>
      <c r="BJU9">
        <f>SOFR3mo_PX[[#This Row],[Column1633]]</f>
        <v>97.9</v>
      </c>
      <c r="BJV9">
        <f>SOFR3mo_PX[[#This Row],[Column1634]]</f>
        <v>97.885000000000005</v>
      </c>
      <c r="BJW9">
        <f>SOFR3mo_PX[[#This Row],[Column1635]]</f>
        <v>97.75</v>
      </c>
      <c r="BJX9">
        <f>SOFR3mo_PX[[#This Row],[Column1636]]</f>
        <v>97.765000000000001</v>
      </c>
      <c r="BJY9">
        <f>SOFR3mo_PX[[#This Row],[Column1637]]</f>
        <v>97.77</v>
      </c>
      <c r="BJZ9">
        <f>SOFR3mo_PX[[#This Row],[Column1638]]</f>
        <v>97.74</v>
      </c>
      <c r="BKA9">
        <f>SOFR3mo_PX[[#This Row],[Column1639]]</f>
        <v>97.745000000000005</v>
      </c>
      <c r="BKB9">
        <f>SOFR3mo_PX[[#This Row],[Column1640]]</f>
        <v>97.74</v>
      </c>
      <c r="BKC9">
        <f>SOFR3mo_PX[[#This Row],[Column1641]]</f>
        <v>97.715000000000003</v>
      </c>
      <c r="BKD9">
        <f>SOFR3mo_PX[[#This Row],[Column1642]]</f>
        <v>97.724999999999994</v>
      </c>
      <c r="BKE9">
        <f>SOFR3mo_PX[[#This Row],[Column1643]]</f>
        <v>97.715000000000003</v>
      </c>
      <c r="BKF9">
        <f>SOFR3mo_PX[[#This Row],[Column1644]]</f>
        <v>97.65</v>
      </c>
      <c r="BKG9">
        <f>SOFR3mo_PX[[#This Row],[Column1645]]</f>
        <v>97.614999999999995</v>
      </c>
      <c r="BKH9">
        <f>SOFR3mo_PX[[#This Row],[Column1646]]</f>
        <v>97.62</v>
      </c>
      <c r="BKI9">
        <f>SOFR3mo_PX[[#This Row],[Column1647]]</f>
        <v>97.61</v>
      </c>
      <c r="BKJ9">
        <f>SOFR3mo_PX[[#This Row],[Column1648]]</f>
        <v>97.68</v>
      </c>
      <c r="BKK9">
        <f>SOFR3mo_PX[[#This Row],[Column1649]]</f>
        <v>97.7</v>
      </c>
      <c r="BKL9">
        <f>SOFR3mo_PX[[#This Row],[Column1650]]</f>
        <v>97.72</v>
      </c>
      <c r="BKM9">
        <f>SOFR3mo_PX[[#This Row],[Column1651]]</f>
        <v>97.7</v>
      </c>
      <c r="BKN9">
        <f>SOFR3mo_PX[[#This Row],[Column1652]]</f>
        <v>97.704999999999998</v>
      </c>
      <c r="BKO9">
        <f>SOFR3mo_PX[[#This Row],[Column1653]]</f>
        <v>97.665000000000006</v>
      </c>
      <c r="BKP9">
        <f>SOFR3mo_PX[[#This Row],[Column1654]]</f>
        <v>97.7</v>
      </c>
      <c r="BKQ9">
        <f>SOFR3mo_PX[[#This Row],[Column1655]]</f>
        <v>97.694999999999993</v>
      </c>
      <c r="BKR9">
        <f>SOFR3mo_PX[[#This Row],[Column1656]]</f>
        <v>97.68</v>
      </c>
      <c r="BKS9">
        <f>SOFR3mo_PX[[#This Row],[Column1657]]</f>
        <v>97.68</v>
      </c>
      <c r="BKT9">
        <f>SOFR3mo_PX[[#This Row],[Column1658]]</f>
        <v>97.69</v>
      </c>
      <c r="BKU9">
        <f>SOFR3mo_PX[[#This Row],[Column1659]]</f>
        <v>97.65</v>
      </c>
      <c r="BKV9">
        <f>SOFR3mo_PX[[#This Row],[Column1660]]</f>
        <v>97.704999999999998</v>
      </c>
      <c r="BKW9">
        <f>SOFR3mo_PX[[#This Row],[Column1661]]</f>
        <v>97.734999999999999</v>
      </c>
      <c r="BKX9">
        <f>SOFR3mo_PX[[#This Row],[Column1662]]</f>
        <v>97.76</v>
      </c>
      <c r="BKY9">
        <f>SOFR3mo_PX[[#This Row],[Column1663]]</f>
        <v>97.734999999999999</v>
      </c>
      <c r="BKZ9">
        <f>SOFR3mo_PX[[#This Row],[Column1664]]</f>
        <v>97.69</v>
      </c>
      <c r="BLA9">
        <f>SOFR3mo_PX[[#This Row],[Column1665]]</f>
        <v>97.68</v>
      </c>
      <c r="BLB9">
        <f>SOFR3mo_PX[[#This Row],[Column1666]]</f>
        <v>97.68</v>
      </c>
      <c r="BLC9">
        <f>SOFR3mo_PX[[#This Row],[Column1667]]</f>
        <v>97.7</v>
      </c>
      <c r="BLD9">
        <f>SOFR3mo_PX[[#This Row],[Column1668]]</f>
        <v>97.724999999999994</v>
      </c>
      <c r="BLE9">
        <f>SOFR3mo_PX[[#This Row],[Column1669]]</f>
        <v>97.655000000000001</v>
      </c>
      <c r="BLF9">
        <f>SOFR3mo_PX[[#This Row],[Column1670]]</f>
        <v>97.61</v>
      </c>
      <c r="BLG9">
        <f>SOFR3mo_PX[[#This Row],[Column1671]]</f>
        <v>97.61</v>
      </c>
      <c r="BLH9">
        <f>SOFR3mo_PX[[#This Row],[Column1672]]</f>
        <v>97.6</v>
      </c>
      <c r="BLI9">
        <f>SOFR3mo_PX[[#This Row],[Column1673]]</f>
        <v>97.625</v>
      </c>
      <c r="BLJ9">
        <f>SOFR3mo_PX[[#This Row],[Column1674]]</f>
        <v>97.614999999999995</v>
      </c>
      <c r="BLK9">
        <f>SOFR3mo_PX[[#This Row],[Column1675]]</f>
        <v>97.62</v>
      </c>
      <c r="BLL9">
        <f>SOFR3mo_PX[[#This Row],[Column1676]]</f>
        <v>97.58</v>
      </c>
      <c r="BLM9">
        <f>SOFR3mo_PX[[#This Row],[Column1677]]</f>
        <v>97.58</v>
      </c>
      <c r="BLN9">
        <f>SOFR3mo_PX[[#This Row],[Column1678]]</f>
        <v>97.65</v>
      </c>
      <c r="BLO9">
        <f>SOFR3mo_PX[[#This Row],[Column1679]]</f>
        <v>97.68</v>
      </c>
      <c r="BLP9">
        <f>SOFR3mo_PX[[#This Row],[Column1680]]</f>
        <v>97.704999999999998</v>
      </c>
      <c r="BLQ9">
        <f>SOFR3mo_PX[[#This Row],[Column1681]]</f>
        <v>97.694999999999993</v>
      </c>
      <c r="BLR9">
        <f>SOFR3mo_PX[[#This Row],[Column1682]]</f>
        <v>97.7</v>
      </c>
      <c r="BLS9">
        <f>SOFR3mo_PX[[#This Row],[Column1683]]</f>
        <v>97.685000000000002</v>
      </c>
      <c r="BLT9">
        <f>SOFR3mo_PX[[#This Row],[Column1684]]</f>
        <v>97.69</v>
      </c>
      <c r="BLU9">
        <f>SOFR3mo_PX[[#This Row],[Column1685]]</f>
        <v>97.69</v>
      </c>
      <c r="BLV9">
        <f>SOFR3mo_PX[[#This Row],[Column1686]]</f>
        <v>97.76</v>
      </c>
      <c r="BLW9">
        <f>SOFR3mo_PX[[#This Row],[Column1687]]</f>
        <v>97.805000000000007</v>
      </c>
      <c r="BLX9">
        <f>SOFR3mo_PX[[#This Row],[Column1688]]</f>
        <v>97.87</v>
      </c>
      <c r="BLY9">
        <f>SOFR3mo_PX[[#This Row],[Column1689]]</f>
        <v>97.69</v>
      </c>
      <c r="BLZ9">
        <f>SOFR3mo_PX[[#This Row],[Column1690]]</f>
        <v>97.7</v>
      </c>
      <c r="BMA9">
        <f>SOFR3mo_PX[[#This Row],[Column1691]]</f>
        <v>97.7</v>
      </c>
      <c r="BMB9">
        <f>SOFR3mo_PX[[#This Row],[Column1692]]</f>
        <v>97.694999999999993</v>
      </c>
      <c r="BMC9">
        <f>SOFR3mo_PX[[#This Row],[Column1693]]</f>
        <v>97.685000000000002</v>
      </c>
      <c r="BMD9">
        <f>SOFR3mo_PX[[#This Row],[Column1694]]</f>
        <v>97.63</v>
      </c>
      <c r="BME9">
        <f>SOFR3mo_PX[[#This Row],[Column1695]]</f>
        <v>97.605000000000004</v>
      </c>
      <c r="BMF9">
        <f>SOFR3mo_PX[[#This Row],[Column1696]]</f>
        <v>97.605000000000004</v>
      </c>
      <c r="BMG9">
        <f>SOFR3mo_PX[[#This Row],[Column1697]]</f>
        <v>97.545000000000002</v>
      </c>
      <c r="BMH9">
        <f>SOFR3mo_PX[[#This Row],[Column1698]]</f>
        <v>97.51</v>
      </c>
      <c r="BMI9">
        <f>SOFR3mo_PX[[#This Row],[Column1699]]</f>
        <v>97.51</v>
      </c>
      <c r="BMJ9">
        <f>SOFR3mo_PX[[#This Row],[Column1700]]</f>
        <v>97.484999999999999</v>
      </c>
      <c r="BMK9">
        <f>SOFR3mo_PX[[#This Row],[Column1701]]</f>
        <v>97.44</v>
      </c>
      <c r="BML9">
        <f>SOFR3mo_PX[[#This Row],[Column1702]]</f>
        <v>97.405000000000001</v>
      </c>
      <c r="BMM9">
        <f>SOFR3mo_PX[[#This Row],[Column1703]]</f>
        <v>97.375</v>
      </c>
      <c r="BMN9">
        <f>SOFR3mo_PX[[#This Row],[Column1704]]</f>
        <v>97.38</v>
      </c>
      <c r="BMO9">
        <f>SOFR3mo_PX[[#This Row],[Column1705]]</f>
        <v>97.41</v>
      </c>
      <c r="BMP9">
        <f>SOFR3mo_PX[[#This Row],[Column1706]]</f>
        <v>97.45</v>
      </c>
      <c r="BMQ9">
        <f>SOFR3mo_PX[[#This Row],[Column1707]]</f>
        <v>97.42</v>
      </c>
      <c r="BMR9">
        <f>SOFR3mo_PX[[#This Row],[Column1708]]</f>
        <v>97.38</v>
      </c>
      <c r="BMS9">
        <f>SOFR3mo_PX[[#This Row],[Column1709]]</f>
        <v>97.28</v>
      </c>
      <c r="BMT9">
        <f>SOFR3mo_PX[[#This Row],[Column1710]]</f>
        <v>97.28</v>
      </c>
      <c r="BMU9">
        <f>SOFR3mo_PX[[#This Row],[Column1711]]</f>
        <v>97.254999999999995</v>
      </c>
      <c r="BMV9">
        <f>SOFR3mo_PX[[#This Row],[Column1712]]</f>
        <v>97.275000000000006</v>
      </c>
      <c r="BMW9">
        <f>SOFR3mo_PX[[#This Row],[Column1713]]</f>
        <v>97.27</v>
      </c>
      <c r="BMX9">
        <f>SOFR3mo_PX[[#This Row],[Column1714]]</f>
        <v>97.27</v>
      </c>
      <c r="BMY9">
        <f>SOFR3mo_PX[[#This Row],[Column1715]]</f>
        <v>97.23</v>
      </c>
      <c r="BMZ9">
        <f>SOFR3mo_PX[[#This Row],[Column1716]]</f>
        <v>97.22</v>
      </c>
      <c r="BNA9">
        <f>SOFR3mo_PX[[#This Row],[Column1717]]</f>
        <v>97.23</v>
      </c>
      <c r="BNB9">
        <f>SOFR3mo_PX[[#This Row],[Column1718]]</f>
        <v>97.23</v>
      </c>
      <c r="BNC9">
        <f>SOFR3mo_PX[[#This Row],[Column1719]]</f>
        <v>97.23</v>
      </c>
      <c r="BND9">
        <f>SOFR3mo_PX[[#This Row],[Column1720]]</f>
        <v>97.23</v>
      </c>
      <c r="BNE9">
        <f>SOFR3mo_PX[[#This Row],[Column1721]]</f>
        <v>97.234999999999999</v>
      </c>
      <c r="BNF9">
        <f>SOFR3mo_PX[[#This Row],[Column1722]]</f>
        <v>97.2</v>
      </c>
      <c r="BNG9">
        <f>SOFR3mo_PX[[#This Row],[Column1723]]</f>
        <v>97.15</v>
      </c>
      <c r="BNH9">
        <f>SOFR3mo_PX[[#This Row],[Column1724]]</f>
        <v>97.14</v>
      </c>
      <c r="BNI9">
        <f>SOFR3mo_PX[[#This Row],[Column1725]]</f>
        <v>97.09</v>
      </c>
      <c r="BNJ9">
        <f>SOFR3mo_PX[[#This Row],[Column1726]]</f>
        <v>97.07</v>
      </c>
      <c r="BNK9">
        <f>SOFR3mo_PX[[#This Row],[Column1727]]</f>
        <v>97.05</v>
      </c>
      <c r="BNL9">
        <f>SOFR3mo_PX[[#This Row],[Column1728]]</f>
        <v>97.034999999999997</v>
      </c>
      <c r="BNM9">
        <f>SOFR3mo_PX[[#This Row],[Column1729]]</f>
        <v>97.07</v>
      </c>
      <c r="BNN9">
        <f>SOFR3mo_PX[[#This Row],[Column1730]]</f>
        <v>97.08</v>
      </c>
      <c r="BNO9">
        <f>SOFR3mo_PX[[#This Row],[Column1731]]</f>
        <v>97.09</v>
      </c>
      <c r="BNP9">
        <f>SOFR3mo_PX[[#This Row],[Column1732]]</f>
        <v>97.094999999999999</v>
      </c>
      <c r="BNQ9">
        <f>SOFR3mo_PX[[#This Row],[Column1733]]</f>
        <v>97.13</v>
      </c>
      <c r="BNR9">
        <f>SOFR3mo_PX[[#This Row],[Column1734]]</f>
        <v>97.12</v>
      </c>
      <c r="BNS9">
        <f>SOFR3mo_PX[[#This Row],[Column1735]]</f>
        <v>97.155000000000001</v>
      </c>
      <c r="BNT9">
        <f>SOFR3mo_PX[[#This Row],[Column1736]]</f>
        <v>97.155000000000001</v>
      </c>
      <c r="BNU9">
        <f>SOFR3mo_PX[[#This Row],[Column1737]]</f>
        <v>97.16</v>
      </c>
      <c r="BNV9">
        <f>SOFR3mo_PX[[#This Row],[Column1738]]</f>
        <v>97.094999999999999</v>
      </c>
      <c r="BNW9">
        <f>SOFR3mo_PX[[#This Row],[Column1739]]</f>
        <v>97.094999999999999</v>
      </c>
      <c r="BNX9">
        <f>SOFR3mo_PX[[#This Row],[Column1740]]</f>
        <v>97.07</v>
      </c>
      <c r="BNY9">
        <f>SOFR3mo_PX[[#This Row],[Column1741]]</f>
        <v>97.04</v>
      </c>
      <c r="BNZ9">
        <f>SOFR3mo_PX[[#This Row],[Column1742]]</f>
        <v>97.034999999999997</v>
      </c>
      <c r="BOA9">
        <f>SOFR3mo_PX[[#This Row],[Column1743]]</f>
        <v>97.055000000000007</v>
      </c>
      <c r="BOB9">
        <f>SOFR3mo_PX[[#This Row],[Column1744]]</f>
        <v>97.045000000000002</v>
      </c>
      <c r="BOC9">
        <f>SOFR3mo_PX[[#This Row],[Column1745]]</f>
        <v>97.045000000000002</v>
      </c>
      <c r="BOD9">
        <f>SOFR3mo_PX[[#This Row],[Column1746]]</f>
        <v>97.05</v>
      </c>
      <c r="BOE9">
        <f>SOFR3mo_PX[[#This Row],[Column1747]]</f>
        <v>97.06</v>
      </c>
      <c r="BOF9">
        <f>SOFR3mo_PX[[#This Row],[Column1748]]</f>
        <v>97.045000000000002</v>
      </c>
      <c r="BOG9">
        <f>SOFR3mo_PX[[#This Row],[Column1749]]</f>
        <v>97</v>
      </c>
      <c r="BOH9">
        <f>SOFR3mo_PX[[#This Row],[Column1750]]</f>
        <v>96.99</v>
      </c>
      <c r="BOI9">
        <f>SOFR3mo_PX[[#This Row],[Column1751]]</f>
        <v>96.99</v>
      </c>
      <c r="BOJ9">
        <f>SOFR3mo_PX[[#This Row],[Column1752]]</f>
        <v>96.995000000000005</v>
      </c>
      <c r="BOK9">
        <f>SOFR3mo_PX[[#This Row],[Column1753]]</f>
        <v>97.02</v>
      </c>
      <c r="BOL9">
        <f>SOFR3mo_PX[[#This Row],[Column1754]]</f>
        <v>97.055000000000007</v>
      </c>
      <c r="BOM9">
        <f>SOFR3mo_PX[[#This Row],[Column1755]]</f>
        <v>97.1</v>
      </c>
      <c r="BON9">
        <f>SOFR3mo_PX[[#This Row],[Column1756]]</f>
        <v>97.09</v>
      </c>
      <c r="BOO9">
        <f>SOFR3mo_PX[[#This Row],[Column1757]]</f>
        <v>97.09</v>
      </c>
      <c r="BOP9">
        <f>SOFR3mo_PX[[#This Row],[Column1758]]</f>
        <v>97.07</v>
      </c>
      <c r="BOQ9">
        <f>SOFR3mo_PX[[#This Row],[Column1759]]</f>
        <v>97.07</v>
      </c>
      <c r="BOR9">
        <f>SOFR3mo_PX[[#This Row],[Column1760]]</f>
        <v>97.06</v>
      </c>
      <c r="BOS9">
        <f>SOFR3mo_PX[[#This Row],[Column1761]]</f>
        <v>97.075000000000003</v>
      </c>
      <c r="BOT9">
        <f>SOFR3mo_PX[[#This Row],[Column1762]]</f>
        <v>97.075000000000003</v>
      </c>
      <c r="BOU9">
        <f>SOFR3mo_PX[[#This Row],[Column1763]]</f>
        <v>97.064999999999998</v>
      </c>
      <c r="BOV9">
        <f>SOFR3mo_PX[[#This Row],[Column1764]]</f>
        <v>97.08</v>
      </c>
      <c r="BOW9">
        <f>SOFR3mo_PX[[#This Row],[Column1765]]</f>
        <v>97.114999999999995</v>
      </c>
      <c r="BOX9">
        <f>SOFR3mo_PX[[#This Row],[Column1766]]</f>
        <v>97.14</v>
      </c>
      <c r="BOY9">
        <f>SOFR3mo_PX[[#This Row],[Column1767]]</f>
        <v>97.144999999999996</v>
      </c>
      <c r="BOZ9">
        <f>SOFR3mo_PX[[#This Row],[Column1768]]</f>
        <v>97.18</v>
      </c>
      <c r="BPA9">
        <f>SOFR3mo_PX[[#This Row],[Column1769]]</f>
        <v>97.204999999999998</v>
      </c>
      <c r="BPB9">
        <f>SOFR3mo_PX[[#This Row],[Column1770]]</f>
        <v>97.204999999999998</v>
      </c>
      <c r="BPC9">
        <f>SOFR3mo_PX[[#This Row],[Column1771]]</f>
        <v>97.245000000000005</v>
      </c>
      <c r="BPD9">
        <f>SOFR3mo_PX[[#This Row],[Column1772]]</f>
        <v>97.245000000000005</v>
      </c>
      <c r="BPE9">
        <f>SOFR3mo_PX[[#This Row],[Column1773]]</f>
        <v>97.305000000000007</v>
      </c>
      <c r="BPF9">
        <f>SOFR3mo_PX[[#This Row],[Column1774]]</f>
        <v>97.29</v>
      </c>
      <c r="BPG9">
        <f>SOFR3mo_PX[[#This Row],[Column1775]]</f>
        <v>97.295000000000002</v>
      </c>
      <c r="BPH9">
        <f>SOFR3mo_PX[[#This Row],[Column1776]]</f>
        <v>97.314999999999998</v>
      </c>
      <c r="BPI9">
        <f>SOFR3mo_PX[[#This Row],[Column1777]]</f>
        <v>97.314999999999998</v>
      </c>
      <c r="BPJ9">
        <f>SOFR3mo_PX[[#This Row],[Column1778]]</f>
        <v>97.29</v>
      </c>
      <c r="BPK9">
        <f>SOFR3mo_PX[[#This Row],[Column1779]]</f>
        <v>97.28</v>
      </c>
      <c r="BPL9">
        <f>SOFR3mo_PX[[#This Row],[Column1780]]</f>
        <v>97.295000000000002</v>
      </c>
      <c r="BPM9">
        <f>SOFR3mo_PX[[#This Row],[Column1781]]</f>
        <v>97.31</v>
      </c>
      <c r="BPN9">
        <f>SOFR3mo_PX[[#This Row],[Column1782]]</f>
        <v>97.33</v>
      </c>
      <c r="BPO9">
        <f>SOFR3mo_PX[[#This Row],[Column1783]]</f>
        <v>97.334999999999994</v>
      </c>
      <c r="BPP9">
        <f>SOFR3mo_PX[[#This Row],[Column1784]]</f>
        <v>97.355000000000004</v>
      </c>
      <c r="BPQ9">
        <f>SOFR3mo_PX[[#This Row],[Column1785]]</f>
        <v>97.344999999999999</v>
      </c>
      <c r="BPR9">
        <f>SOFR3mo_PX[[#This Row],[Column1786]]</f>
        <v>97.355000000000004</v>
      </c>
      <c r="BPS9">
        <f>SOFR3mo_PX[[#This Row],[Column1787]]</f>
        <v>97.33</v>
      </c>
      <c r="BPT9">
        <f>SOFR3mo_PX[[#This Row],[Column1788]]</f>
        <v>97.325000000000003</v>
      </c>
      <c r="BPU9">
        <f>SOFR3mo_PX[[#This Row],[Column1789]]</f>
        <v>97.344999999999999</v>
      </c>
      <c r="BPV9">
        <f>SOFR3mo_PX[[#This Row],[Column1790]]</f>
        <v>97.31</v>
      </c>
      <c r="BPW9">
        <f>SOFR3mo_PX[[#This Row],[Column1791]]</f>
        <v>97.34</v>
      </c>
      <c r="BPX9">
        <f>SOFR3mo_PX[[#This Row],[Column1792]]</f>
        <v>97.35</v>
      </c>
      <c r="BPY9">
        <f>SOFR3mo_PX[[#This Row],[Column1793]]</f>
        <v>97.284999999999997</v>
      </c>
      <c r="BPZ9">
        <f>SOFR3mo_PX[[#This Row],[Column1794]]</f>
        <v>97.27</v>
      </c>
      <c r="BQA9">
        <f>SOFR3mo_PX[[#This Row],[Column1795]]</f>
        <v>97.265000000000001</v>
      </c>
      <c r="BQB9">
        <f>SOFR3mo_PX[[#This Row],[Column1796]]</f>
        <v>97.27</v>
      </c>
      <c r="BQC9">
        <f>SOFR3mo_PX[[#This Row],[Column1797]]</f>
        <v>97.26</v>
      </c>
      <c r="BQD9">
        <f>SOFR3mo_PX[[#This Row],[Column1798]]</f>
        <v>97.25</v>
      </c>
      <c r="BQE9">
        <f>SOFR3mo_PX[[#This Row],[Column1799]]</f>
        <v>97.25</v>
      </c>
      <c r="BQF9">
        <f>SOFR3mo_PX[[#This Row],[Column1800]]</f>
        <v>97.254999999999995</v>
      </c>
      <c r="BQG9">
        <f>SOFR3mo_PX[[#This Row],[Column1801]]</f>
        <v>97.254999999999995</v>
      </c>
      <c r="BQH9">
        <f>SOFR3mo_PX[[#This Row],[Column1802]]</f>
        <v>97.254999999999995</v>
      </c>
      <c r="BQI9">
        <f>SOFR3mo_PX[[#This Row],[Column1803]]</f>
        <v>97.25</v>
      </c>
      <c r="BQJ9">
        <f>SOFR3mo_PX[[#This Row],[Column1804]]</f>
        <v>97.29</v>
      </c>
      <c r="BQK9">
        <f>SOFR3mo_PX[[#This Row],[Column1805]]</f>
        <v>97.29</v>
      </c>
      <c r="BQL9">
        <f>SOFR3mo_PX[[#This Row],[Column1806]]</f>
        <v>97.3</v>
      </c>
      <c r="BQM9">
        <f>SOFR3mo_PX[[#This Row],[Column1807]]</f>
        <v>97.334999999999994</v>
      </c>
      <c r="BQN9">
        <f>SOFR3mo_PX[[#This Row],[Column1808]]</f>
        <v>97.34</v>
      </c>
      <c r="BQO9">
        <f>SOFR3mo_PX[[#This Row],[Column1809]]</f>
        <v>97.33</v>
      </c>
      <c r="BQP9">
        <f>SOFR3mo_PX[[#This Row],[Column1810]]</f>
        <v>97.334999999999994</v>
      </c>
      <c r="BQQ9">
        <f>SOFR3mo_PX[[#This Row],[Column1811]]</f>
        <v>97.36</v>
      </c>
      <c r="BQR9">
        <f>SOFR3mo_PX[[#This Row],[Column1812]]</f>
        <v>97.375</v>
      </c>
      <c r="BQS9">
        <f>SOFR3mo_PX[[#This Row],[Column1813]]</f>
        <v>97.37</v>
      </c>
      <c r="BQT9">
        <f>SOFR3mo_PX[[#This Row],[Column1814]]</f>
        <v>97.38</v>
      </c>
      <c r="BQU9">
        <f>SOFR3mo_PX[[#This Row],[Column1815]]</f>
        <v>97.38</v>
      </c>
      <c r="BQV9">
        <f>SOFR3mo_PX[[#This Row],[Column1816]]</f>
        <v>97.394999999999996</v>
      </c>
      <c r="BQW9">
        <f>SOFR3mo_PX[[#This Row],[Column1817]]</f>
        <v>97.405000000000001</v>
      </c>
      <c r="BQX9">
        <f>SOFR3mo_PX[[#This Row],[Column1818]]</f>
        <v>97.385000000000005</v>
      </c>
      <c r="BQY9">
        <f>SOFR3mo_PX[[#This Row],[Column1819]]</f>
        <v>97.405000000000001</v>
      </c>
      <c r="BQZ9">
        <f>SOFR3mo_PX[[#This Row],[Column1820]]</f>
        <v>97.405000000000001</v>
      </c>
      <c r="BRA9">
        <f>SOFR3mo_PX[[#This Row],[Column1821]]</f>
        <v>97.4</v>
      </c>
      <c r="BRB9">
        <f>SOFR3mo_PX[[#This Row],[Column1822]]</f>
        <v>97.4</v>
      </c>
      <c r="BRC9">
        <f>SOFR3mo_PX[[#This Row],[Column1823]]</f>
        <v>97.405000000000001</v>
      </c>
      <c r="BRD9">
        <f>SOFR3mo_PX[[#This Row],[Column1824]]</f>
        <v>97.405000000000001</v>
      </c>
      <c r="BRE9">
        <f>SOFR3mo_PX[[#This Row],[Column1825]]</f>
        <v>97.36</v>
      </c>
      <c r="BRF9">
        <f>SOFR3mo_PX[[#This Row],[Column1826]]</f>
        <v>97.344999999999999</v>
      </c>
      <c r="BRG9">
        <f>SOFR3mo_PX[[#This Row],[Column1827]]</f>
        <v>97.325000000000003</v>
      </c>
      <c r="BRH9">
        <f>SOFR3mo_PX[[#This Row],[Column1828]]</f>
        <v>97.325000000000003</v>
      </c>
      <c r="BRI9">
        <f>SOFR3mo_PX[[#This Row],[Column1829]]</f>
        <v>97.314999999999998</v>
      </c>
      <c r="BRJ9">
        <f>SOFR3mo_PX[[#This Row],[Column1830]]</f>
        <v>97.32</v>
      </c>
      <c r="BRK9">
        <f>SOFR3mo_PX[[#This Row],[Column1831]]</f>
        <v>97.29</v>
      </c>
      <c r="BRL9">
        <f>SOFR3mo_PX[[#This Row],[Column1832]]</f>
        <v>97.3</v>
      </c>
      <c r="BRM9">
        <f>SOFR3mo_PX[[#This Row],[Column1833]]</f>
        <v>97.284999999999997</v>
      </c>
      <c r="BRN9">
        <f>SOFR3mo_PX[[#This Row],[Column1834]]</f>
        <v>97.284999999999997</v>
      </c>
      <c r="BRO9">
        <f>SOFR3mo_PX[[#This Row],[Column1835]]</f>
        <v>97.32</v>
      </c>
      <c r="BRP9">
        <f>SOFR3mo_PX[[#This Row],[Column1836]]</f>
        <v>97.334999999999994</v>
      </c>
      <c r="BRQ9">
        <f>SOFR3mo_PX[[#This Row],[Column1837]]</f>
        <v>97.35</v>
      </c>
      <c r="BRR9">
        <f>SOFR3mo_PX[[#This Row],[Column1838]]</f>
        <v>97.314999999999998</v>
      </c>
      <c r="BRS9">
        <f>SOFR3mo_PX[[#This Row],[Column1839]]</f>
        <v>97.305000000000007</v>
      </c>
      <c r="BRT9">
        <f>SOFR3mo_PX[[#This Row],[Column1840]]</f>
        <v>97.344999999999999</v>
      </c>
      <c r="BRU9">
        <f>SOFR3mo_PX[[#This Row],[Column1841]]</f>
        <v>97.334999999999994</v>
      </c>
      <c r="BRV9">
        <f>SOFR3mo_PX[[#This Row],[Column1842]]</f>
        <v>97.385000000000005</v>
      </c>
      <c r="BRW9">
        <f>SOFR3mo_PX[[#This Row],[Column1843]]</f>
        <v>97.46</v>
      </c>
      <c r="BRX9">
        <f>SOFR3mo_PX[[#This Row],[Column1844]]</f>
        <v>97.465000000000003</v>
      </c>
      <c r="BRY9">
        <f>SOFR3mo_PX[[#This Row],[Column1845]]</f>
        <v>97.56</v>
      </c>
      <c r="BRZ9">
        <f>SOFR3mo_PX[[#This Row],[Column1846]]</f>
        <v>97.344999999999999</v>
      </c>
      <c r="BSA9">
        <f>SOFR3mo_PX[[#This Row],[Column1847]]</f>
        <v>97.344999999999999</v>
      </c>
      <c r="BSB9">
        <f>SOFR3mo_PX[[#This Row],[Column1848]]</f>
        <v>97.314999999999998</v>
      </c>
      <c r="BSC9">
        <f>SOFR3mo_PX[[#This Row],[Column1849]]</f>
        <v>97.284999999999997</v>
      </c>
      <c r="BSD9">
        <f>SOFR3mo_PX[[#This Row],[Column1850]]</f>
        <v>97.234999999999999</v>
      </c>
      <c r="BSE9">
        <f>SOFR3mo_PX[[#This Row],[Column1851]]</f>
        <v>97.224999999999994</v>
      </c>
      <c r="BSF9">
        <f>SOFR3mo_PX[[#This Row],[Column1852]]</f>
        <v>97.234999999999999</v>
      </c>
      <c r="BSG9">
        <f>SOFR3mo_PX[[#This Row],[Column1853]]</f>
        <v>97.21</v>
      </c>
      <c r="BSH9">
        <f>SOFR3mo_PX[[#This Row],[Column1854]]</f>
        <v>97.215000000000003</v>
      </c>
      <c r="BSI9">
        <f>SOFR3mo_PX[[#This Row],[Column1855]]</f>
        <v>97.224999999999994</v>
      </c>
      <c r="BSJ9">
        <f>SOFR3mo_PX[[#This Row],[Column1856]]</f>
        <v>97.254999999999995</v>
      </c>
      <c r="BSK9">
        <f>SOFR3mo_PX[[#This Row],[Column1857]]</f>
        <v>97.254999999999995</v>
      </c>
      <c r="BSL9">
        <f>SOFR3mo_PX[[#This Row],[Column1858]]</f>
        <v>97.27</v>
      </c>
      <c r="BSM9">
        <f>SOFR3mo_PX[[#This Row],[Column1859]]</f>
        <v>97.29</v>
      </c>
      <c r="BSN9">
        <f>SOFR3mo_PX[[#This Row],[Column1860]]</f>
        <v>97.314999999999998</v>
      </c>
      <c r="BSO9">
        <f>SOFR3mo_PX[[#This Row],[Column1861]]</f>
        <v>97.325000000000003</v>
      </c>
      <c r="BSP9">
        <f>SOFR3mo_PX[[#This Row],[Column1862]]</f>
        <v>97.32</v>
      </c>
      <c r="BSQ9" t="str">
        <f>SOFR3mo_PX[[#This Row],[Column1863]]</f>
        <v>#N/A N/A</v>
      </c>
      <c r="BSR9" t="str">
        <f>SOFR3mo_PX[[#This Row],[Column1864]]</f>
        <v>#N/A N/A</v>
      </c>
      <c r="BSS9" t="str">
        <f>SOFR3mo_PX[[#This Row],[Column1865]]</f>
        <v>#N/A N/A</v>
      </c>
      <c r="BST9" t="str">
        <f>SOFR3mo_PX[[#This Row],[Column1866]]</f>
        <v>#N/A N/A</v>
      </c>
      <c r="BSU9" t="str">
        <f>SOFR3mo_PX[[#This Row],[Column1867]]</f>
        <v>#N/A N/A</v>
      </c>
      <c r="BSV9" t="str">
        <f>SOFR3mo_PX[[#This Row],[Column1868]]</f>
        <v>#N/A N/A</v>
      </c>
      <c r="BSW9" t="str">
        <f>SOFR3mo_PX[[#This Row],[Column1869]]</f>
        <v>#N/A N/A</v>
      </c>
      <c r="BSX9" t="str">
        <f>SOFR3mo_PX[[#This Row],[Column1870]]</f>
        <v>#N/A N/A</v>
      </c>
      <c r="BSY9" t="str">
        <f>SOFR3mo_PX[[#This Row],[Column1871]]</f>
        <v>#N/A N/A</v>
      </c>
      <c r="BSZ9" t="str">
        <f>SOFR3mo_PX[[#This Row],[Column1872]]</f>
        <v>#N/A N/A</v>
      </c>
      <c r="BTA9" t="str">
        <f>SOFR3mo_PX[[#This Row],[Column1873]]</f>
        <v>#N/A N/A</v>
      </c>
      <c r="BTB9" t="str">
        <f>SOFR3mo_PX[[#This Row],[Column1874]]</f>
        <v>#N/A N/A</v>
      </c>
      <c r="BTC9" t="str">
        <f>SOFR3mo_PX[[#This Row],[Column1875]]</f>
        <v>#N/A N/A</v>
      </c>
      <c r="BTD9" t="str">
        <f>SOFR3mo_PX[[#This Row],[Column1876]]</f>
        <v>#N/A N/A</v>
      </c>
      <c r="BTE9" t="str">
        <f>SOFR3mo_PX[[#This Row],[Column1877]]</f>
        <v>#N/A N/A</v>
      </c>
      <c r="BTF9" t="str">
        <f>SOFR3mo_PX[[#This Row],[Column1878]]</f>
        <v>#N/A N/A</v>
      </c>
      <c r="BTG9" t="str">
        <f>SOFR3mo_PX[[#This Row],[Column1879]]</f>
        <v>#N/A N/A</v>
      </c>
      <c r="BTH9" t="str">
        <f>SOFR3mo_PX[[#This Row],[Column1880]]</f>
        <v>#N/A N/A</v>
      </c>
      <c r="BTI9" t="str">
        <f>SOFR3mo_PX[[#This Row],[Column1881]]</f>
        <v>#N/A N/A</v>
      </c>
      <c r="BTJ9" t="str">
        <f>SOFR3mo_PX[[#This Row],[Column1882]]</f>
        <v>#N/A N/A</v>
      </c>
      <c r="BTK9" t="str">
        <f>SOFR3mo_PX[[#This Row],[Column1883]]</f>
        <v>#N/A N/A</v>
      </c>
      <c r="BTL9" t="str">
        <f>SOFR3mo_PX[[#This Row],[Column1884]]</f>
        <v>#N/A N/A</v>
      </c>
      <c r="BTM9" t="str">
        <f>SOFR3mo_PX[[#This Row],[Column1885]]</f>
        <v>#N/A N/A</v>
      </c>
      <c r="BTN9" t="str">
        <f>SOFR3mo_PX[[#This Row],[Column1886]]</f>
        <v>#N/A N/A</v>
      </c>
      <c r="BTO9" t="str">
        <f>SOFR3mo_PX[[#This Row],[Column1887]]</f>
        <v>#N/A N/A</v>
      </c>
      <c r="BTP9" t="str">
        <f>SOFR3mo_PX[[#This Row],[Column1888]]</f>
        <v>#N/A N/A</v>
      </c>
      <c r="BTQ9" t="str">
        <f>SOFR3mo_PX[[#This Row],[Column1889]]</f>
        <v>#N/A N/A</v>
      </c>
      <c r="BTR9" t="str">
        <f>SOFR3mo_PX[[#This Row],[Column1890]]</f>
        <v>#N/A N/A</v>
      </c>
      <c r="BTS9" t="str">
        <f>SOFR3mo_PX[[#This Row],[Column1891]]</f>
        <v>#N/A N/A</v>
      </c>
      <c r="BTT9" t="str">
        <f>SOFR3mo_PX[[#This Row],[Column1892]]</f>
        <v>#N/A N/A</v>
      </c>
      <c r="BTU9" t="str">
        <f>SOFR3mo_PX[[#This Row],[Column1893]]</f>
        <v>#N/A N/A</v>
      </c>
      <c r="BTV9" t="str">
        <f>SOFR3mo_PX[[#This Row],[Column1894]]</f>
        <v>#N/A N/A</v>
      </c>
      <c r="BTW9" t="str">
        <f>SOFR3mo_PX[[#This Row],[Column1895]]</f>
        <v>#N/A N/A</v>
      </c>
      <c r="BTX9" t="str">
        <f>SOFR3mo_PX[[#This Row],[Column1896]]</f>
        <v>#N/A N/A</v>
      </c>
      <c r="BTY9" t="str">
        <f>SOFR3mo_PX[[#This Row],[Column1897]]</f>
        <v>#N/A N/A</v>
      </c>
      <c r="BTZ9" t="str">
        <f>SOFR3mo_PX[[#This Row],[Column1898]]</f>
        <v>#N/A N/A</v>
      </c>
      <c r="BUA9" t="str">
        <f>SOFR3mo_PX[[#This Row],[Column1899]]</f>
        <v>#N/A N/A</v>
      </c>
      <c r="BUB9" t="str">
        <f>SOFR3mo_PX[[#This Row],[Column1900]]</f>
        <v>#N/A N/A</v>
      </c>
      <c r="BUC9" t="str">
        <f>SOFR3mo_PX[[#This Row],[Column1901]]</f>
        <v>#N/A N/A</v>
      </c>
      <c r="BUD9" t="str">
        <f>SOFR3mo_PX[[#This Row],[Column1902]]</f>
        <v>#N/A N/A</v>
      </c>
      <c r="BUE9" t="str">
        <f>SOFR3mo_PX[[#This Row],[Column1903]]</f>
        <v>#N/A N/A</v>
      </c>
      <c r="BUF9" t="str">
        <f>SOFR3mo_PX[[#This Row],[Column1904]]</f>
        <v>#N/A N/A</v>
      </c>
      <c r="BUG9" t="str">
        <f>SOFR3mo_PX[[#This Row],[Column1905]]</f>
        <v>#N/A N/A</v>
      </c>
      <c r="BUH9" t="str">
        <f>SOFR3mo_PX[[#This Row],[Column1906]]</f>
        <v>#N/A N/A</v>
      </c>
      <c r="BUI9" t="str">
        <f>SOFR3mo_PX[[#This Row],[Column1907]]</f>
        <v>#N/A N/A</v>
      </c>
      <c r="BUJ9" t="str">
        <f>SOFR3mo_PX[[#This Row],[Column1908]]</f>
        <v>#N/A N/A</v>
      </c>
      <c r="BUK9" t="str">
        <f>SOFR3mo_PX[[#This Row],[Column1909]]</f>
        <v>#N/A N/A</v>
      </c>
      <c r="BUL9" t="str">
        <f>SOFR3mo_PX[[#This Row],[Column1910]]</f>
        <v>#N/A N/A</v>
      </c>
      <c r="BUM9" t="str">
        <f>SOFR3mo_PX[[#This Row],[Column1911]]</f>
        <v>#N/A N/A</v>
      </c>
      <c r="BUN9" t="str">
        <f>SOFR3mo_PX[[#This Row],[Column1912]]</f>
        <v>#N/A N/A</v>
      </c>
      <c r="BUO9" t="str">
        <f>SOFR3mo_PX[[#This Row],[Column1913]]</f>
        <v>#N/A N/A</v>
      </c>
      <c r="BUP9" t="str">
        <f>SOFR3mo_PX[[#This Row],[Column1914]]</f>
        <v>#N/A N/A</v>
      </c>
      <c r="BUQ9" t="str">
        <f>SOFR3mo_PX[[#This Row],[Column1915]]</f>
        <v>#N/A N/A</v>
      </c>
      <c r="BUR9" t="str">
        <f>SOFR3mo_PX[[#This Row],[Column1916]]</f>
        <v>#N/A N/A</v>
      </c>
      <c r="BUS9" t="str">
        <f>SOFR3mo_PX[[#This Row],[Column1917]]</f>
        <v>#N/A N/A</v>
      </c>
      <c r="BUT9" t="str">
        <f>SOFR3mo_PX[[#This Row],[Column1918]]</f>
        <v>#N/A N/A</v>
      </c>
      <c r="BUU9" t="str">
        <f>SOFR3mo_PX[[#This Row],[Column1919]]</f>
        <v>#N/A N/A</v>
      </c>
      <c r="BUV9" t="str">
        <f>SOFR3mo_PX[[#This Row],[Column1920]]</f>
        <v>#N/A N/A</v>
      </c>
      <c r="BUW9" t="str">
        <f>SOFR3mo_PX[[#This Row],[Column1921]]</f>
        <v>#N/A N/A</v>
      </c>
      <c r="BUX9" t="str">
        <f>SOFR3mo_PX[[#This Row],[Column1922]]</f>
        <v>#N/A N/A</v>
      </c>
      <c r="BUY9" t="str">
        <f>SOFR3mo_PX[[#This Row],[Column1923]]</f>
        <v>#N/A N/A</v>
      </c>
      <c r="BUZ9" t="str">
        <f>SOFR3mo_PX[[#This Row],[Column1924]]</f>
        <v>#N/A N/A</v>
      </c>
      <c r="BVA9" t="str">
        <f>SOFR3mo_PX[[#This Row],[Column1925]]</f>
        <v>#N/A N/A</v>
      </c>
      <c r="BVB9" t="str">
        <f>SOFR3mo_PX[[#This Row],[Column1926]]</f>
        <v>#N/A N/A</v>
      </c>
      <c r="BVC9" t="str">
        <f>SOFR3mo_PX[[#This Row],[Column1927]]</f>
        <v>#N/A N/A</v>
      </c>
      <c r="BVD9" t="str">
        <f>SOFR3mo_PX[[#This Row],[Column1928]]</f>
        <v>#N/A N/A</v>
      </c>
      <c r="BVE9" t="str">
        <f>SOFR3mo_PX[[#This Row],[Column1929]]</f>
        <v>#N/A N/A</v>
      </c>
      <c r="BVF9" t="str">
        <f>SOFR3mo_PX[[#This Row],[Column1930]]</f>
        <v>#N/A N/A</v>
      </c>
      <c r="BVG9" t="str">
        <f>SOFR3mo_PX[[#This Row],[Column1931]]</f>
        <v>#N/A N/A</v>
      </c>
      <c r="BVH9" t="str">
        <f>SOFR3mo_PX[[#This Row],[Column1932]]</f>
        <v>#N/A N/A</v>
      </c>
      <c r="BVI9" t="str">
        <f>SOFR3mo_PX[[#This Row],[Column1933]]</f>
        <v>#N/A N/A</v>
      </c>
      <c r="BVJ9" t="str">
        <f>SOFR3mo_PX[[#This Row],[Column1934]]</f>
        <v>#N/A N/A</v>
      </c>
      <c r="BVK9" t="str">
        <f>SOFR3mo_PX[[#This Row],[Column1935]]</f>
        <v>#N/A N/A</v>
      </c>
      <c r="BVL9" t="str">
        <f>SOFR3mo_PX[[#This Row],[Column1936]]</f>
        <v>#N/A N/A</v>
      </c>
      <c r="BVM9" t="str">
        <f>SOFR3mo_PX[[#This Row],[Column1937]]</f>
        <v>#N/A N/A</v>
      </c>
      <c r="BVN9" t="str">
        <f>SOFR3mo_PX[[#This Row],[Column1938]]</f>
        <v>#N/A N/A</v>
      </c>
      <c r="BVO9" t="str">
        <f>SOFR3mo_PX[[#This Row],[Column1939]]</f>
        <v>#N/A N/A</v>
      </c>
      <c r="BVP9" t="str">
        <f>SOFR3mo_PX[[#This Row],[Column1940]]</f>
        <v>#N/A N/A</v>
      </c>
      <c r="BVQ9" t="str">
        <f>SOFR3mo_PX[[#This Row],[Column1941]]</f>
        <v>#N/A N/A</v>
      </c>
      <c r="BVR9" t="str">
        <f>SOFR3mo_PX[[#This Row],[Column1942]]</f>
        <v>#N/A N/A</v>
      </c>
      <c r="BVS9" t="str">
        <f>SOFR3mo_PX[[#This Row],[Column1943]]</f>
        <v>#N/A N/A</v>
      </c>
      <c r="BVT9" t="str">
        <f>SOFR3mo_PX[[#This Row],[Column1944]]</f>
        <v>#N/A N/A</v>
      </c>
      <c r="BVU9" t="str">
        <f>SOFR3mo_PX[[#This Row],[Column1945]]</f>
        <v>#N/A N/A</v>
      </c>
      <c r="BVV9" t="str">
        <f>SOFR3mo_PX[[#This Row],[Column1946]]</f>
        <v>#N/A N/A</v>
      </c>
      <c r="BVW9" t="str">
        <f>SOFR3mo_PX[[#This Row],[Column1947]]</f>
        <v>#N/A N/A</v>
      </c>
      <c r="BVX9" t="str">
        <f>SOFR3mo_PX[[#This Row],[Column1948]]</f>
        <v>#N/A N/A</v>
      </c>
      <c r="BVY9" t="str">
        <f>SOFR3mo_PX[[#This Row],[Column1949]]</f>
        <v>#N/A N/A</v>
      </c>
      <c r="BVZ9" t="str">
        <f>SOFR3mo_PX[[#This Row],[Column1950]]</f>
        <v>#N/A N/A</v>
      </c>
      <c r="BWA9" t="str">
        <f>SOFR3mo_PX[[#This Row],[Column1951]]</f>
        <v>#N/A N/A</v>
      </c>
      <c r="BWB9" t="str">
        <f>SOFR3mo_PX[[#This Row],[Column1952]]</f>
        <v>#N/A N/A</v>
      </c>
      <c r="BWC9" t="str">
        <f>SOFR3mo_PX[[#This Row],[Column1953]]</f>
        <v>#N/A N/A</v>
      </c>
      <c r="BWD9" t="str">
        <f>SOFR3mo_PX[[#This Row],[Column1954]]</f>
        <v>#N/A N/A</v>
      </c>
    </row>
    <row r="10" spans="1:1954" x14ac:dyDescent="0.25">
      <c r="A10" t="str">
        <f>SOFR3mo_PX[[#This Row],[Column1]]</f>
        <v>SFR8 Comdty</v>
      </c>
      <c r="B10">
        <f>IF(rtd!B8&lt;&gt;"",rtd!B8,SOFR3mo_PX[[#This Row],[Column2]])</f>
        <v>96.767499999999998</v>
      </c>
      <c r="C10">
        <f>SOFR3mo_PX[[#This Row],[Column3]]</f>
        <v>96.72</v>
      </c>
      <c r="D10">
        <f>SOFR3mo_PX[[#This Row],[Column4]]</f>
        <v>96.72</v>
      </c>
      <c r="E10">
        <f>SOFR3mo_PX[[#This Row],[Column5]]</f>
        <v>96.72</v>
      </c>
      <c r="F10">
        <f>SOFR3mo_PX[[#This Row],[Column6]]</f>
        <v>96.68</v>
      </c>
      <c r="G10">
        <f>SOFR3mo_PX[[#This Row],[Column7]]</f>
        <v>96.68</v>
      </c>
      <c r="H10">
        <f>SOFR3mo_PX[[#This Row],[Column8]]</f>
        <v>96.74</v>
      </c>
      <c r="I10">
        <f>SOFR3mo_PX[[#This Row],[Column9]]</f>
        <v>96.685000000000002</v>
      </c>
      <c r="J10">
        <f>SOFR3mo_PX[[#This Row],[Column10]]</f>
        <v>96.61</v>
      </c>
      <c r="K10">
        <f>SOFR3mo_PX[[#This Row],[Column11]]</f>
        <v>96.625</v>
      </c>
      <c r="L10">
        <f>SOFR3mo_PX[[#This Row],[Column12]]</f>
        <v>96.564999999999998</v>
      </c>
      <c r="M10">
        <f>SOFR3mo_PX[[#This Row],[Column13]]</f>
        <v>96.715000000000003</v>
      </c>
      <c r="N10">
        <f>SOFR3mo_PX[[#This Row],[Column14]]</f>
        <v>96.775000000000006</v>
      </c>
      <c r="O10">
        <f>SOFR3mo_PX[[#This Row],[Column15]]</f>
        <v>96.685000000000002</v>
      </c>
      <c r="P10">
        <f>SOFR3mo_PX[[#This Row],[Column16]]</f>
        <v>96.715000000000003</v>
      </c>
      <c r="Q10">
        <f>SOFR3mo_PX[[#This Row],[Column17]]</f>
        <v>96.76</v>
      </c>
      <c r="R10">
        <f>SOFR3mo_PX[[#This Row],[Column18]]</f>
        <v>96.74</v>
      </c>
      <c r="S10">
        <f>SOFR3mo_PX[[#This Row],[Column19]]</f>
        <v>96.685000000000002</v>
      </c>
      <c r="T10">
        <f>SOFR3mo_PX[[#This Row],[Column20]]</f>
        <v>96.74</v>
      </c>
      <c r="U10">
        <f>SOFR3mo_PX[[#This Row],[Column21]]</f>
        <v>96.685000000000002</v>
      </c>
      <c r="V10">
        <f>SOFR3mo_PX[[#This Row],[Column22]]</f>
        <v>96.685000000000002</v>
      </c>
      <c r="W10">
        <f>SOFR3mo_PX[[#This Row],[Column23]]</f>
        <v>96.635000000000005</v>
      </c>
      <c r="X10">
        <f>SOFR3mo_PX[[#This Row],[Column24]]</f>
        <v>96.605000000000004</v>
      </c>
      <c r="Y10">
        <f>SOFR3mo_PX[[#This Row],[Column25]]</f>
        <v>96.665000000000006</v>
      </c>
      <c r="Z10">
        <f>SOFR3mo_PX[[#This Row],[Column26]]</f>
        <v>96.64</v>
      </c>
      <c r="AA10">
        <f>SOFR3mo_PX[[#This Row],[Column27]]</f>
        <v>96.63</v>
      </c>
      <c r="AB10">
        <f>SOFR3mo_PX[[#This Row],[Column28]]</f>
        <v>96.625</v>
      </c>
      <c r="AC10">
        <f>SOFR3mo_PX[[#This Row],[Column29]]</f>
        <v>96.515000000000001</v>
      </c>
      <c r="AD10">
        <f>SOFR3mo_PX[[#This Row],[Column30]]</f>
        <v>96.555000000000007</v>
      </c>
      <c r="AE10">
        <f>SOFR3mo_PX[[#This Row],[Column31]]</f>
        <v>96.57</v>
      </c>
      <c r="AF10">
        <f>SOFR3mo_PX[[#This Row],[Column32]]</f>
        <v>96.745000000000005</v>
      </c>
      <c r="AG10">
        <f>SOFR3mo_PX[[#This Row],[Column33]]</f>
        <v>96.73</v>
      </c>
      <c r="AH10">
        <f>SOFR3mo_PX[[#This Row],[Column34]]</f>
        <v>96.89</v>
      </c>
      <c r="AI10">
        <f>SOFR3mo_PX[[#This Row],[Column35]]</f>
        <v>96.875</v>
      </c>
      <c r="AJ10">
        <f>SOFR3mo_PX[[#This Row],[Column36]]</f>
        <v>96.81</v>
      </c>
      <c r="AK10">
        <f>SOFR3mo_PX[[#This Row],[Column37]]</f>
        <v>96.795000000000002</v>
      </c>
      <c r="AL10">
        <f>SOFR3mo_PX[[#This Row],[Column38]]</f>
        <v>96.944999999999993</v>
      </c>
      <c r="AM10">
        <f>SOFR3mo_PX[[#This Row],[Column39]]</f>
        <v>97.04</v>
      </c>
      <c r="AN10">
        <f>SOFR3mo_PX[[#This Row],[Column40]]</f>
        <v>97.004999999999995</v>
      </c>
      <c r="AO10">
        <f>SOFR3mo_PX[[#This Row],[Column41]]</f>
        <v>96.965000000000003</v>
      </c>
      <c r="AP10">
        <f>SOFR3mo_PX[[#This Row],[Column42]]</f>
        <v>96.855000000000004</v>
      </c>
      <c r="AQ10">
        <f>SOFR3mo_PX[[#This Row],[Column43]]</f>
        <v>96.82</v>
      </c>
      <c r="AR10">
        <f>SOFR3mo_PX[[#This Row],[Column44]]</f>
        <v>96.73</v>
      </c>
      <c r="AS10">
        <f>SOFR3mo_PX[[#This Row],[Column45]]</f>
        <v>96.82</v>
      </c>
      <c r="AT10">
        <f>SOFR3mo_PX[[#This Row],[Column46]]</f>
        <v>96.89</v>
      </c>
      <c r="AU10">
        <f>SOFR3mo_PX[[#This Row],[Column47]]</f>
        <v>96.825000000000003</v>
      </c>
      <c r="AV10">
        <f>SOFR3mo_PX[[#This Row],[Column48]]</f>
        <v>96.825000000000003</v>
      </c>
      <c r="AW10">
        <f>SOFR3mo_PX[[#This Row],[Column49]]</f>
        <v>96.82</v>
      </c>
      <c r="AX10">
        <f>SOFR3mo_PX[[#This Row],[Column50]]</f>
        <v>96.75</v>
      </c>
      <c r="AY10">
        <f>SOFR3mo_PX[[#This Row],[Column51]]</f>
        <v>96.73</v>
      </c>
      <c r="AZ10">
        <f>SOFR3mo_PX[[#This Row],[Column52]]</f>
        <v>96.58</v>
      </c>
      <c r="BA10">
        <f>SOFR3mo_PX[[#This Row],[Column53]]</f>
        <v>96.71</v>
      </c>
      <c r="BB10">
        <f>SOFR3mo_PX[[#This Row],[Column54]]</f>
        <v>96.59</v>
      </c>
      <c r="BC10">
        <f>SOFR3mo_PX[[#This Row],[Column55]]</f>
        <v>96.864999999999995</v>
      </c>
      <c r="BD10">
        <f>SOFR3mo_PX[[#This Row],[Column56]]</f>
        <v>96.844999999999999</v>
      </c>
      <c r="BE10">
        <f>SOFR3mo_PX[[#This Row],[Column57]]</f>
        <v>96.924999999999997</v>
      </c>
      <c r="BF10">
        <f>SOFR3mo_PX[[#This Row],[Column58]]</f>
        <v>96.86</v>
      </c>
      <c r="BG10">
        <f>SOFR3mo_PX[[#This Row],[Column59]]</f>
        <v>96.6</v>
      </c>
      <c r="BH10">
        <f>SOFR3mo_PX[[#This Row],[Column60]]</f>
        <v>96.63</v>
      </c>
      <c r="BI10">
        <f>SOFR3mo_PX[[#This Row],[Column61]]</f>
        <v>96.564999999999998</v>
      </c>
      <c r="BJ10">
        <f>SOFR3mo_PX[[#This Row],[Column62]]</f>
        <v>96.58</v>
      </c>
      <c r="BK10">
        <f>SOFR3mo_PX[[#This Row],[Column63]]</f>
        <v>96.465000000000003</v>
      </c>
      <c r="BL10">
        <f>SOFR3mo_PX[[#This Row],[Column64]]</f>
        <v>96.454999999999998</v>
      </c>
      <c r="BM10">
        <f>SOFR3mo_PX[[#This Row],[Column65]]</f>
        <v>96.48</v>
      </c>
      <c r="BN10">
        <f>SOFR3mo_PX[[#This Row],[Column66]]</f>
        <v>96.435000000000002</v>
      </c>
      <c r="BO10">
        <f>SOFR3mo_PX[[#This Row],[Column67]]</f>
        <v>96.53</v>
      </c>
      <c r="BP10">
        <f>SOFR3mo_PX[[#This Row],[Column68]]</f>
        <v>96.515000000000001</v>
      </c>
      <c r="BQ10">
        <f>SOFR3mo_PX[[#This Row],[Column69]]</f>
        <v>96.484999999999999</v>
      </c>
      <c r="BR10">
        <f>SOFR3mo_PX[[#This Row],[Column70]]</f>
        <v>96.415000000000006</v>
      </c>
      <c r="BS10">
        <f>SOFR3mo_PX[[#This Row],[Column71]]</f>
        <v>96.39</v>
      </c>
      <c r="BT10">
        <f>SOFR3mo_PX[[#This Row],[Column72]]</f>
        <v>96.415000000000006</v>
      </c>
      <c r="BU10">
        <f>SOFR3mo_PX[[#This Row],[Column73]]</f>
        <v>96.495000000000005</v>
      </c>
      <c r="BV10">
        <f>SOFR3mo_PX[[#This Row],[Column74]]</f>
        <v>96.444999999999993</v>
      </c>
      <c r="BW10">
        <f>SOFR3mo_PX[[#This Row],[Column75]]</f>
        <v>96.504999999999995</v>
      </c>
      <c r="BX10">
        <f>SOFR3mo_PX[[#This Row],[Column76]]</f>
        <v>96.564999999999998</v>
      </c>
      <c r="BY10">
        <f>SOFR3mo_PX[[#This Row],[Column77]]</f>
        <v>96.424999999999997</v>
      </c>
      <c r="BZ10">
        <f>SOFR3mo_PX[[#This Row],[Column78]]</f>
        <v>96.454999999999998</v>
      </c>
      <c r="CA10">
        <f>SOFR3mo_PX[[#This Row],[Column79]]</f>
        <v>96.444999999999993</v>
      </c>
      <c r="CB10">
        <f>SOFR3mo_PX[[#This Row],[Column80]]</f>
        <v>96.495000000000005</v>
      </c>
      <c r="CC10">
        <f>SOFR3mo_PX[[#This Row],[Column81]]</f>
        <v>96.465000000000003</v>
      </c>
      <c r="CD10">
        <f>SOFR3mo_PX[[#This Row],[Column82]]</f>
        <v>96.444999999999993</v>
      </c>
      <c r="CE10">
        <f>SOFR3mo_PX[[#This Row],[Column83]]</f>
        <v>96.355000000000004</v>
      </c>
      <c r="CF10">
        <f>SOFR3mo_PX[[#This Row],[Column84]]</f>
        <v>96.375</v>
      </c>
      <c r="CG10">
        <f>SOFR3mo_PX[[#This Row],[Column85]]</f>
        <v>96.33</v>
      </c>
      <c r="CH10">
        <f>SOFR3mo_PX[[#This Row],[Column86]]</f>
        <v>96.215000000000003</v>
      </c>
      <c r="CI10">
        <f>SOFR3mo_PX[[#This Row],[Column87]]</f>
        <v>96.174999999999997</v>
      </c>
      <c r="CJ10">
        <f>SOFR3mo_PX[[#This Row],[Column88]]</f>
        <v>96.07</v>
      </c>
      <c r="CK10">
        <f>SOFR3mo_PX[[#This Row],[Column89]]</f>
        <v>96.05</v>
      </c>
      <c r="CL10">
        <f>SOFR3mo_PX[[#This Row],[Column90]]</f>
        <v>96.03</v>
      </c>
      <c r="CM10">
        <f>SOFR3mo_PX[[#This Row],[Column91]]</f>
        <v>96.084999999999994</v>
      </c>
      <c r="CN10">
        <f>SOFR3mo_PX[[#This Row],[Column92]]</f>
        <v>96.084999999999994</v>
      </c>
      <c r="CO10">
        <f>SOFR3mo_PX[[#This Row],[Column93]]</f>
        <v>96.01</v>
      </c>
      <c r="CP10">
        <f>SOFR3mo_PX[[#This Row],[Column94]]</f>
        <v>95.92</v>
      </c>
      <c r="CQ10">
        <f>SOFR3mo_PX[[#This Row],[Column95]]</f>
        <v>96.04</v>
      </c>
      <c r="CR10">
        <f>SOFR3mo_PX[[#This Row],[Column96]]</f>
        <v>96.075000000000003</v>
      </c>
      <c r="CS10">
        <f>SOFR3mo_PX[[#This Row],[Column97]]</f>
        <v>96.064999999999998</v>
      </c>
      <c r="CT10">
        <f>SOFR3mo_PX[[#This Row],[Column98]]</f>
        <v>96.144999999999996</v>
      </c>
      <c r="CU10">
        <f>SOFR3mo_PX[[#This Row],[Column99]]</f>
        <v>96.18</v>
      </c>
      <c r="CV10">
        <f>SOFR3mo_PX[[#This Row],[Column100]]</f>
        <v>96.12</v>
      </c>
      <c r="CW10">
        <f>SOFR3mo_PX[[#This Row],[Column101]]</f>
        <v>96.055000000000007</v>
      </c>
      <c r="CX10">
        <f>SOFR3mo_PX[[#This Row],[Column102]]</f>
        <v>96.07</v>
      </c>
      <c r="CY10">
        <f>SOFR3mo_PX[[#This Row],[Column103]]</f>
        <v>96.12</v>
      </c>
      <c r="CZ10">
        <f>SOFR3mo_PX[[#This Row],[Column104]]</f>
        <v>96.084999999999994</v>
      </c>
      <c r="DA10">
        <f>SOFR3mo_PX[[#This Row],[Column105]]</f>
        <v>96.105000000000004</v>
      </c>
      <c r="DB10">
        <f>SOFR3mo_PX[[#This Row],[Column106]]</f>
        <v>96.125</v>
      </c>
      <c r="DC10">
        <f>SOFR3mo_PX[[#This Row],[Column107]]</f>
        <v>96.01</v>
      </c>
      <c r="DD10">
        <f>SOFR3mo_PX[[#This Row],[Column108]]</f>
        <v>96</v>
      </c>
      <c r="DE10">
        <f>SOFR3mo_PX[[#This Row],[Column109]]</f>
        <v>95.98</v>
      </c>
      <c r="DF10">
        <f>SOFR3mo_PX[[#This Row],[Column110]]</f>
        <v>95.995000000000005</v>
      </c>
      <c r="DG10">
        <f>SOFR3mo_PX[[#This Row],[Column111]]</f>
        <v>95.995000000000005</v>
      </c>
      <c r="DH10">
        <f>SOFR3mo_PX[[#This Row],[Column112]]</f>
        <v>95.995000000000005</v>
      </c>
      <c r="DI10">
        <f>SOFR3mo_PX[[#This Row],[Column113]]</f>
        <v>96.034999999999997</v>
      </c>
      <c r="DJ10">
        <f>SOFR3mo_PX[[#This Row],[Column114]]</f>
        <v>95.99</v>
      </c>
      <c r="DK10">
        <f>SOFR3mo_PX[[#This Row],[Column115]]</f>
        <v>95.84</v>
      </c>
      <c r="DL10">
        <f>SOFR3mo_PX[[#This Row],[Column116]]</f>
        <v>95.805000000000007</v>
      </c>
      <c r="DM10">
        <f>SOFR3mo_PX[[#This Row],[Column117]]</f>
        <v>95.825000000000003</v>
      </c>
      <c r="DN10">
        <f>SOFR3mo_PX[[#This Row],[Column118]]</f>
        <v>96.015000000000001</v>
      </c>
      <c r="DO10">
        <f>SOFR3mo_PX[[#This Row],[Column119]]</f>
        <v>95.97</v>
      </c>
      <c r="DP10">
        <f>SOFR3mo_PX[[#This Row],[Column120]]</f>
        <v>95.954999999999998</v>
      </c>
      <c r="DQ10">
        <f>SOFR3mo_PX[[#This Row],[Column121]]</f>
        <v>95.99</v>
      </c>
      <c r="DR10">
        <f>SOFR3mo_PX[[#This Row],[Column122]]</f>
        <v>96.015000000000001</v>
      </c>
      <c r="DS10">
        <f>SOFR3mo_PX[[#This Row],[Column123]]</f>
        <v>96.06</v>
      </c>
      <c r="DT10">
        <f>SOFR3mo_PX[[#This Row],[Column124]]</f>
        <v>96.05</v>
      </c>
      <c r="DU10">
        <f>SOFR3mo_PX[[#This Row],[Column125]]</f>
        <v>96.05</v>
      </c>
      <c r="DV10">
        <f>SOFR3mo_PX[[#This Row],[Column126]]</f>
        <v>96.06</v>
      </c>
      <c r="DW10">
        <f>SOFR3mo_PX[[#This Row],[Column127]]</f>
        <v>95.965000000000003</v>
      </c>
      <c r="DX10">
        <f>SOFR3mo_PX[[#This Row],[Column128]]</f>
        <v>95.984999999999999</v>
      </c>
      <c r="DY10">
        <f>SOFR3mo_PX[[#This Row],[Column129]]</f>
        <v>95.98</v>
      </c>
      <c r="DZ10">
        <f>SOFR3mo_PX[[#This Row],[Column130]]</f>
        <v>95.98</v>
      </c>
      <c r="EA10">
        <f>SOFR3mo_PX[[#This Row],[Column131]]</f>
        <v>95.97</v>
      </c>
      <c r="EB10">
        <f>SOFR3mo_PX[[#This Row],[Column132]]</f>
        <v>96.03</v>
      </c>
      <c r="EC10">
        <f>SOFR3mo_PX[[#This Row],[Column133]]</f>
        <v>95.99</v>
      </c>
      <c r="ED10">
        <f>SOFR3mo_PX[[#This Row],[Column134]]</f>
        <v>96.01</v>
      </c>
      <c r="EE10">
        <f>SOFR3mo_PX[[#This Row],[Column135]]</f>
        <v>96.144999999999996</v>
      </c>
      <c r="EF10">
        <f>SOFR3mo_PX[[#This Row],[Column136]]</f>
        <v>96.135000000000005</v>
      </c>
      <c r="EG10">
        <f>SOFR3mo_PX[[#This Row],[Column137]]</f>
        <v>96.16</v>
      </c>
      <c r="EH10">
        <f>SOFR3mo_PX[[#This Row],[Column138]]</f>
        <v>96.224999999999994</v>
      </c>
      <c r="EI10">
        <f>SOFR3mo_PX[[#This Row],[Column139]]</f>
        <v>96.27</v>
      </c>
      <c r="EJ10">
        <f>SOFR3mo_PX[[#This Row],[Column140]]</f>
        <v>96.305000000000007</v>
      </c>
      <c r="EK10">
        <f>SOFR3mo_PX[[#This Row],[Column141]]</f>
        <v>96.34</v>
      </c>
      <c r="EL10">
        <f>SOFR3mo_PX[[#This Row],[Column142]]</f>
        <v>96.375</v>
      </c>
      <c r="EM10">
        <f>SOFR3mo_PX[[#This Row],[Column143]]</f>
        <v>96.334999999999994</v>
      </c>
      <c r="EN10">
        <f>SOFR3mo_PX[[#This Row],[Column144]]</f>
        <v>96.364999999999995</v>
      </c>
      <c r="EO10">
        <f>SOFR3mo_PX[[#This Row],[Column145]]</f>
        <v>96.31</v>
      </c>
      <c r="EP10">
        <f>SOFR3mo_PX[[#This Row],[Column146]]</f>
        <v>96.31</v>
      </c>
      <c r="EQ10">
        <f>SOFR3mo_PX[[#This Row],[Column147]]</f>
        <v>96.334999999999994</v>
      </c>
      <c r="ER10">
        <f>SOFR3mo_PX[[#This Row],[Column148]]</f>
        <v>96.29</v>
      </c>
      <c r="ES10">
        <f>SOFR3mo_PX[[#This Row],[Column149]]</f>
        <v>96.29</v>
      </c>
      <c r="ET10">
        <f>SOFR3mo_PX[[#This Row],[Column150]]</f>
        <v>96.215000000000003</v>
      </c>
      <c r="EU10">
        <f>SOFR3mo_PX[[#This Row],[Column151]]</f>
        <v>96.245000000000005</v>
      </c>
      <c r="EV10">
        <f>SOFR3mo_PX[[#This Row],[Column152]]</f>
        <v>96.125</v>
      </c>
      <c r="EW10">
        <f>SOFR3mo_PX[[#This Row],[Column153]]</f>
        <v>96.13</v>
      </c>
      <c r="EX10">
        <f>SOFR3mo_PX[[#This Row],[Column154]]</f>
        <v>96.17</v>
      </c>
      <c r="EY10">
        <f>SOFR3mo_PX[[#This Row],[Column155]]</f>
        <v>96.215000000000003</v>
      </c>
      <c r="EZ10">
        <f>SOFR3mo_PX[[#This Row],[Column156]]</f>
        <v>96.18</v>
      </c>
      <c r="FA10">
        <f>SOFR3mo_PX[[#This Row],[Column157]]</f>
        <v>96.165000000000006</v>
      </c>
      <c r="FB10">
        <f>SOFR3mo_PX[[#This Row],[Column158]]</f>
        <v>96.17</v>
      </c>
      <c r="FC10">
        <f>SOFR3mo_PX[[#This Row],[Column159]]</f>
        <v>96.165000000000006</v>
      </c>
      <c r="FD10">
        <f>SOFR3mo_PX[[#This Row],[Column160]]</f>
        <v>96.135000000000005</v>
      </c>
      <c r="FE10">
        <f>SOFR3mo_PX[[#This Row],[Column161]]</f>
        <v>96.165000000000006</v>
      </c>
      <c r="FF10">
        <f>SOFR3mo_PX[[#This Row],[Column162]]</f>
        <v>96.24</v>
      </c>
      <c r="FG10">
        <f>SOFR3mo_PX[[#This Row],[Column163]]</f>
        <v>96.265000000000001</v>
      </c>
      <c r="FH10">
        <f>SOFR3mo_PX[[#This Row],[Column164]]</f>
        <v>96.204999999999998</v>
      </c>
      <c r="FI10">
        <f>SOFR3mo_PX[[#This Row],[Column165]]</f>
        <v>96.314999999999998</v>
      </c>
      <c r="FJ10">
        <f>SOFR3mo_PX[[#This Row],[Column166]]</f>
        <v>96.344999999999999</v>
      </c>
      <c r="FK10">
        <f>SOFR3mo_PX[[#This Row],[Column167]]</f>
        <v>96.325000000000003</v>
      </c>
      <c r="FL10">
        <f>SOFR3mo_PX[[#This Row],[Column168]]</f>
        <v>96.364999999999995</v>
      </c>
      <c r="FM10">
        <f>SOFR3mo_PX[[#This Row],[Column169]]</f>
        <v>96.385000000000005</v>
      </c>
      <c r="FN10">
        <f>SOFR3mo_PX[[#This Row],[Column170]]</f>
        <v>96.444999999999993</v>
      </c>
      <c r="FO10">
        <f>SOFR3mo_PX[[#This Row],[Column171]]</f>
        <v>96.42</v>
      </c>
      <c r="FP10">
        <f>SOFR3mo_PX[[#This Row],[Column172]]</f>
        <v>96.474999999999994</v>
      </c>
      <c r="FQ10">
        <f>SOFR3mo_PX[[#This Row],[Column173]]</f>
        <v>96.515000000000001</v>
      </c>
      <c r="FR10">
        <f>SOFR3mo_PX[[#This Row],[Column174]]</f>
        <v>96.48</v>
      </c>
      <c r="FS10">
        <f>SOFR3mo_PX[[#This Row],[Column175]]</f>
        <v>96.55</v>
      </c>
      <c r="FT10">
        <f>SOFR3mo_PX[[#This Row],[Column176]]</f>
        <v>96.584999999999994</v>
      </c>
      <c r="FU10">
        <f>SOFR3mo_PX[[#This Row],[Column177]]</f>
        <v>96.685000000000002</v>
      </c>
      <c r="FV10">
        <f>SOFR3mo_PX[[#This Row],[Column178]]</f>
        <v>96.655000000000001</v>
      </c>
      <c r="FW10">
        <f>SOFR3mo_PX[[#This Row],[Column179]]</f>
        <v>96.715000000000003</v>
      </c>
      <c r="FX10">
        <f>SOFR3mo_PX[[#This Row],[Column180]]</f>
        <v>96.69</v>
      </c>
      <c r="FY10">
        <f>SOFR3mo_PX[[#This Row],[Column181]]</f>
        <v>96.63</v>
      </c>
      <c r="FZ10">
        <f>SOFR3mo_PX[[#This Row],[Column182]]</f>
        <v>96.69</v>
      </c>
      <c r="GA10">
        <f>SOFR3mo_PX[[#This Row],[Column183]]</f>
        <v>96.625</v>
      </c>
      <c r="GB10">
        <f>SOFR3mo_PX[[#This Row],[Column184]]</f>
        <v>96.62</v>
      </c>
      <c r="GC10">
        <f>SOFR3mo_PX[[#This Row],[Column185]]</f>
        <v>96.66</v>
      </c>
      <c r="GD10">
        <f>SOFR3mo_PX[[#This Row],[Column186]]</f>
        <v>96.644999999999996</v>
      </c>
      <c r="GE10">
        <f>SOFR3mo_PX[[#This Row],[Column187]]</f>
        <v>96.73</v>
      </c>
      <c r="GF10">
        <f>SOFR3mo_PX[[#This Row],[Column188]]</f>
        <v>96.96</v>
      </c>
      <c r="GG10">
        <f>SOFR3mo_PX[[#This Row],[Column189]]</f>
        <v>97.04</v>
      </c>
      <c r="GH10">
        <f>SOFR3mo_PX[[#This Row],[Column190]]</f>
        <v>97.08</v>
      </c>
      <c r="GI10">
        <f>SOFR3mo_PX[[#This Row],[Column191]]</f>
        <v>97.02</v>
      </c>
      <c r="GJ10">
        <f>SOFR3mo_PX[[#This Row],[Column192]]</f>
        <v>97.084999999999994</v>
      </c>
      <c r="GK10">
        <f>SOFR3mo_PX[[#This Row],[Column193]]</f>
        <v>97.025000000000006</v>
      </c>
      <c r="GL10">
        <f>SOFR3mo_PX[[#This Row],[Column194]]</f>
        <v>97.08</v>
      </c>
      <c r="GM10">
        <f>SOFR3mo_PX[[#This Row],[Column195]]</f>
        <v>97.12</v>
      </c>
      <c r="GN10">
        <f>SOFR3mo_PX[[#This Row],[Column196]]</f>
        <v>97.08</v>
      </c>
      <c r="GO10">
        <f>SOFR3mo_PX[[#This Row],[Column197]]</f>
        <v>97.09</v>
      </c>
      <c r="GP10">
        <f>SOFR3mo_PX[[#This Row],[Column198]]</f>
        <v>97.084999999999994</v>
      </c>
      <c r="GQ10">
        <f>SOFR3mo_PX[[#This Row],[Column199]]</f>
        <v>97.09</v>
      </c>
      <c r="GR10">
        <f>SOFR3mo_PX[[#This Row],[Column200]]</f>
        <v>97.144999999999996</v>
      </c>
      <c r="GS10">
        <f>SOFR3mo_PX[[#This Row],[Column201]]</f>
        <v>97.194999999999993</v>
      </c>
      <c r="GT10">
        <f>SOFR3mo_PX[[#This Row],[Column202]]</f>
        <v>97.2</v>
      </c>
      <c r="GU10">
        <f>SOFR3mo_PX[[#This Row],[Column203]]</f>
        <v>97.18</v>
      </c>
      <c r="GV10">
        <f>SOFR3mo_PX[[#This Row],[Column204]]</f>
        <v>97.204999999999998</v>
      </c>
      <c r="GW10">
        <f>SOFR3mo_PX[[#This Row],[Column205]]</f>
        <v>97.23</v>
      </c>
      <c r="GX10">
        <f>SOFR3mo_PX[[#This Row],[Column206]]</f>
        <v>97.165000000000006</v>
      </c>
      <c r="GY10">
        <f>SOFR3mo_PX[[#This Row],[Column207]]</f>
        <v>97.18</v>
      </c>
      <c r="GZ10">
        <f>SOFR3mo_PX[[#This Row],[Column208]]</f>
        <v>97.064999999999998</v>
      </c>
      <c r="HA10">
        <f>SOFR3mo_PX[[#This Row],[Column209]]</f>
        <v>97.045000000000002</v>
      </c>
      <c r="HB10">
        <f>SOFR3mo_PX[[#This Row],[Column210]]</f>
        <v>96.935000000000002</v>
      </c>
      <c r="HC10">
        <f>SOFR3mo_PX[[#This Row],[Column211]]</f>
        <v>96.88</v>
      </c>
      <c r="HD10">
        <f>SOFR3mo_PX[[#This Row],[Column212]]</f>
        <v>96.88</v>
      </c>
      <c r="HE10">
        <f>SOFR3mo_PX[[#This Row],[Column213]]</f>
        <v>96.93</v>
      </c>
      <c r="HF10">
        <f>SOFR3mo_PX[[#This Row],[Column214]]</f>
        <v>96.95</v>
      </c>
      <c r="HG10">
        <f>SOFR3mo_PX[[#This Row],[Column215]]</f>
        <v>96.954999999999998</v>
      </c>
      <c r="HH10">
        <f>SOFR3mo_PX[[#This Row],[Column216]]</f>
        <v>96.94</v>
      </c>
      <c r="HI10">
        <f>SOFR3mo_PX[[#This Row],[Column217]]</f>
        <v>96.94</v>
      </c>
      <c r="HJ10">
        <f>SOFR3mo_PX[[#This Row],[Column218]]</f>
        <v>96.844999999999999</v>
      </c>
      <c r="HK10">
        <f>SOFR3mo_PX[[#This Row],[Column219]]</f>
        <v>96.94</v>
      </c>
      <c r="HL10">
        <f>SOFR3mo_PX[[#This Row],[Column220]]</f>
        <v>96.86</v>
      </c>
      <c r="HM10">
        <f>SOFR3mo_PX[[#This Row],[Column221]]</f>
        <v>96.784999999999997</v>
      </c>
      <c r="HN10">
        <f>SOFR3mo_PX[[#This Row],[Column222]]</f>
        <v>96.78</v>
      </c>
      <c r="HO10">
        <f>SOFR3mo_PX[[#This Row],[Column223]]</f>
        <v>96.75</v>
      </c>
      <c r="HP10">
        <f>SOFR3mo_PX[[#This Row],[Column224]]</f>
        <v>96.93</v>
      </c>
      <c r="HQ10">
        <f>SOFR3mo_PX[[#This Row],[Column225]]</f>
        <v>96.924999999999997</v>
      </c>
      <c r="HR10">
        <f>SOFR3mo_PX[[#This Row],[Column226]]</f>
        <v>96.85</v>
      </c>
      <c r="HS10">
        <f>SOFR3mo_PX[[#This Row],[Column227]]</f>
        <v>96.78</v>
      </c>
      <c r="HT10">
        <f>SOFR3mo_PX[[#This Row],[Column228]]</f>
        <v>96.77</v>
      </c>
      <c r="HU10">
        <f>SOFR3mo_PX[[#This Row],[Column229]]</f>
        <v>96.81</v>
      </c>
      <c r="HV10">
        <f>SOFR3mo_PX[[#This Row],[Column230]]</f>
        <v>96.875</v>
      </c>
      <c r="HW10">
        <f>SOFR3mo_PX[[#This Row],[Column231]]</f>
        <v>96.94</v>
      </c>
      <c r="HX10">
        <f>SOFR3mo_PX[[#This Row],[Column232]]</f>
        <v>96.974999999999994</v>
      </c>
      <c r="HY10">
        <f>SOFR3mo_PX[[#This Row],[Column233]]</f>
        <v>96.72</v>
      </c>
      <c r="HZ10">
        <f>SOFR3mo_PX[[#This Row],[Column234]]</f>
        <v>96.53</v>
      </c>
      <c r="IA10">
        <f>SOFR3mo_PX[[#This Row],[Column235]]</f>
        <v>96.504999999999995</v>
      </c>
      <c r="IB10">
        <f>SOFR3mo_PX[[#This Row],[Column236]]</f>
        <v>96.465000000000003</v>
      </c>
      <c r="IC10">
        <f>SOFR3mo_PX[[#This Row],[Column237]]</f>
        <v>96.454999999999998</v>
      </c>
      <c r="ID10">
        <f>SOFR3mo_PX[[#This Row],[Column238]]</f>
        <v>96.4</v>
      </c>
      <c r="IE10">
        <f>SOFR3mo_PX[[#This Row],[Column239]]</f>
        <v>96.424999999999997</v>
      </c>
      <c r="IF10">
        <f>SOFR3mo_PX[[#This Row],[Column240]]</f>
        <v>96.4</v>
      </c>
      <c r="IG10">
        <f>SOFR3mo_PX[[#This Row],[Column241]]</f>
        <v>96.355000000000004</v>
      </c>
      <c r="IH10">
        <f>SOFR3mo_PX[[#This Row],[Column242]]</f>
        <v>96.375</v>
      </c>
      <c r="II10">
        <f>SOFR3mo_PX[[#This Row],[Column243]]</f>
        <v>96.45</v>
      </c>
      <c r="IJ10">
        <f>SOFR3mo_PX[[#This Row],[Column244]]</f>
        <v>96.49</v>
      </c>
      <c r="IK10">
        <f>SOFR3mo_PX[[#This Row],[Column245]]</f>
        <v>96.46</v>
      </c>
      <c r="IL10">
        <f>SOFR3mo_PX[[#This Row],[Column246]]</f>
        <v>96.45</v>
      </c>
      <c r="IM10">
        <f>SOFR3mo_PX[[#This Row],[Column247]]</f>
        <v>96.454999999999998</v>
      </c>
      <c r="IN10">
        <f>SOFR3mo_PX[[#This Row],[Column248]]</f>
        <v>96.42</v>
      </c>
      <c r="IO10">
        <f>SOFR3mo_PX[[#This Row],[Column249]]</f>
        <v>96.265000000000001</v>
      </c>
      <c r="IP10">
        <f>SOFR3mo_PX[[#This Row],[Column250]]</f>
        <v>96.254999999999995</v>
      </c>
      <c r="IQ10">
        <f>SOFR3mo_PX[[#This Row],[Column251]]</f>
        <v>96.265000000000001</v>
      </c>
      <c r="IR10">
        <f>SOFR3mo_PX[[#This Row],[Column252]]</f>
        <v>96.28</v>
      </c>
      <c r="IS10">
        <f>SOFR3mo_PX[[#This Row],[Column253]]</f>
        <v>96.155000000000001</v>
      </c>
      <c r="IT10">
        <f>SOFR3mo_PX[[#This Row],[Column254]]</f>
        <v>96.155000000000001</v>
      </c>
      <c r="IU10">
        <f>SOFR3mo_PX[[#This Row],[Column255]]</f>
        <v>96.07</v>
      </c>
      <c r="IV10">
        <f>SOFR3mo_PX[[#This Row],[Column256]]</f>
        <v>96.02</v>
      </c>
      <c r="IW10">
        <f>SOFR3mo_PX[[#This Row],[Column257]]</f>
        <v>96.135000000000005</v>
      </c>
      <c r="IX10">
        <f>SOFR3mo_PX[[#This Row],[Column258]]</f>
        <v>96.14</v>
      </c>
      <c r="IY10">
        <f>SOFR3mo_PX[[#This Row],[Column259]]</f>
        <v>96.105000000000004</v>
      </c>
      <c r="IZ10">
        <f>SOFR3mo_PX[[#This Row],[Column260]]</f>
        <v>96.194999999999993</v>
      </c>
      <c r="JA10">
        <f>SOFR3mo_PX[[#This Row],[Column261]]</f>
        <v>96.2</v>
      </c>
      <c r="JB10">
        <f>SOFR3mo_PX[[#This Row],[Column262]]</f>
        <v>96.2</v>
      </c>
      <c r="JC10">
        <f>SOFR3mo_PX[[#This Row],[Column263]]</f>
        <v>96.2</v>
      </c>
      <c r="JD10">
        <f>SOFR3mo_PX[[#This Row],[Column264]]</f>
        <v>96.13</v>
      </c>
      <c r="JE10">
        <f>SOFR3mo_PX[[#This Row],[Column265]]</f>
        <v>96.13</v>
      </c>
      <c r="JF10">
        <f>SOFR3mo_PX[[#This Row],[Column266]]</f>
        <v>96.05</v>
      </c>
      <c r="JG10">
        <f>SOFR3mo_PX[[#This Row],[Column267]]</f>
        <v>96.15</v>
      </c>
      <c r="JH10">
        <f>SOFR3mo_PX[[#This Row],[Column268]]</f>
        <v>96.135000000000005</v>
      </c>
      <c r="JI10">
        <f>SOFR3mo_PX[[#This Row],[Column269]]</f>
        <v>96.04</v>
      </c>
      <c r="JJ10">
        <f>SOFR3mo_PX[[#This Row],[Column270]]</f>
        <v>95.9</v>
      </c>
      <c r="JK10">
        <f>SOFR3mo_PX[[#This Row],[Column271]]</f>
        <v>95.825000000000003</v>
      </c>
      <c r="JL10">
        <f>SOFR3mo_PX[[#This Row],[Column272]]</f>
        <v>95.844999999999999</v>
      </c>
      <c r="JM10">
        <f>SOFR3mo_PX[[#This Row],[Column273]]</f>
        <v>96.03</v>
      </c>
      <c r="JN10">
        <f>SOFR3mo_PX[[#This Row],[Column274]]</f>
        <v>96.015000000000001</v>
      </c>
      <c r="JO10">
        <f>SOFR3mo_PX[[#This Row],[Column275]]</f>
        <v>95.965000000000003</v>
      </c>
      <c r="JP10">
        <f>SOFR3mo_PX[[#This Row],[Column276]]</f>
        <v>95.894999999999996</v>
      </c>
      <c r="JQ10">
        <f>SOFR3mo_PX[[#This Row],[Column277]]</f>
        <v>95.784999999999997</v>
      </c>
      <c r="JR10">
        <f>SOFR3mo_PX[[#This Row],[Column278]]</f>
        <v>95.724999999999994</v>
      </c>
      <c r="JS10">
        <f>SOFR3mo_PX[[#This Row],[Column279]]</f>
        <v>95.655000000000001</v>
      </c>
      <c r="JT10">
        <f>SOFR3mo_PX[[#This Row],[Column280]]</f>
        <v>95.704999999999998</v>
      </c>
      <c r="JU10">
        <f>SOFR3mo_PX[[#This Row],[Column281]]</f>
        <v>95.74</v>
      </c>
      <c r="JV10">
        <f>SOFR3mo_PX[[#This Row],[Column282]]</f>
        <v>95.74</v>
      </c>
      <c r="JW10">
        <f>SOFR3mo_PX[[#This Row],[Column283]]</f>
        <v>95.75</v>
      </c>
      <c r="JX10">
        <f>SOFR3mo_PX[[#This Row],[Column284]]</f>
        <v>95.83</v>
      </c>
      <c r="JY10">
        <f>SOFR3mo_PX[[#This Row],[Column285]]</f>
        <v>95.894999999999996</v>
      </c>
      <c r="JZ10">
        <f>SOFR3mo_PX[[#This Row],[Column286]]</f>
        <v>95.88</v>
      </c>
      <c r="KA10">
        <f>SOFR3mo_PX[[#This Row],[Column287]]</f>
        <v>95.89</v>
      </c>
      <c r="KB10">
        <f>SOFR3mo_PX[[#This Row],[Column288]]</f>
        <v>95.95</v>
      </c>
      <c r="KC10">
        <f>SOFR3mo_PX[[#This Row],[Column289]]</f>
        <v>96.02</v>
      </c>
      <c r="KD10">
        <f>SOFR3mo_PX[[#This Row],[Column290]]</f>
        <v>95.89</v>
      </c>
      <c r="KE10">
        <f>SOFR3mo_PX[[#This Row],[Column291]]</f>
        <v>95.83</v>
      </c>
      <c r="KF10">
        <f>SOFR3mo_PX[[#This Row],[Column292]]</f>
        <v>95.81</v>
      </c>
      <c r="KG10">
        <f>SOFR3mo_PX[[#This Row],[Column293]]</f>
        <v>95.9</v>
      </c>
      <c r="KH10">
        <f>SOFR3mo_PX[[#This Row],[Column294]]</f>
        <v>95.855000000000004</v>
      </c>
      <c r="KI10">
        <f>SOFR3mo_PX[[#This Row],[Column295]]</f>
        <v>95.89</v>
      </c>
      <c r="KJ10">
        <f>SOFR3mo_PX[[#This Row],[Column296]]</f>
        <v>95.89</v>
      </c>
      <c r="KK10">
        <f>SOFR3mo_PX[[#This Row],[Column297]]</f>
        <v>95.9</v>
      </c>
      <c r="KL10">
        <f>SOFR3mo_PX[[#This Row],[Column298]]</f>
        <v>95.784999999999997</v>
      </c>
      <c r="KM10">
        <f>SOFR3mo_PX[[#This Row],[Column299]]</f>
        <v>95.704999999999998</v>
      </c>
      <c r="KN10">
        <f>SOFR3mo_PX[[#This Row],[Column300]]</f>
        <v>95.57</v>
      </c>
      <c r="KO10">
        <f>SOFR3mo_PX[[#This Row],[Column301]]</f>
        <v>95.665000000000006</v>
      </c>
      <c r="KP10">
        <f>SOFR3mo_PX[[#This Row],[Column302]]</f>
        <v>95.625</v>
      </c>
      <c r="KQ10">
        <f>SOFR3mo_PX[[#This Row],[Column303]]</f>
        <v>95.61</v>
      </c>
      <c r="KR10">
        <f>SOFR3mo_PX[[#This Row],[Column304]]</f>
        <v>95.694999999999993</v>
      </c>
      <c r="KS10">
        <f>SOFR3mo_PX[[#This Row],[Column305]]</f>
        <v>95.74</v>
      </c>
      <c r="KT10">
        <f>SOFR3mo_PX[[#This Row],[Column306]]</f>
        <v>95.685000000000002</v>
      </c>
      <c r="KU10">
        <f>SOFR3mo_PX[[#This Row],[Column307]]</f>
        <v>95.685000000000002</v>
      </c>
      <c r="KV10">
        <f>SOFR3mo_PX[[#This Row],[Column308]]</f>
        <v>95.655000000000001</v>
      </c>
      <c r="KW10">
        <f>SOFR3mo_PX[[#This Row],[Column309]]</f>
        <v>95.745000000000005</v>
      </c>
      <c r="KX10">
        <f>SOFR3mo_PX[[#This Row],[Column310]]</f>
        <v>95.665000000000006</v>
      </c>
      <c r="KY10">
        <f>SOFR3mo_PX[[#This Row],[Column311]]</f>
        <v>95.724999999999994</v>
      </c>
      <c r="KZ10">
        <f>SOFR3mo_PX[[#This Row],[Column312]]</f>
        <v>95.814999999999998</v>
      </c>
      <c r="LA10">
        <f>SOFR3mo_PX[[#This Row],[Column313]]</f>
        <v>95.715000000000003</v>
      </c>
      <c r="LB10">
        <f>SOFR3mo_PX[[#This Row],[Column314]]</f>
        <v>95.71</v>
      </c>
      <c r="LC10">
        <f>SOFR3mo_PX[[#This Row],[Column315]]</f>
        <v>96.004999999999995</v>
      </c>
      <c r="LD10">
        <f>SOFR3mo_PX[[#This Row],[Column316]]</f>
        <v>95.954999999999998</v>
      </c>
      <c r="LE10">
        <f>SOFR3mo_PX[[#This Row],[Column317]]</f>
        <v>96.05</v>
      </c>
      <c r="LF10">
        <f>SOFR3mo_PX[[#This Row],[Column318]]</f>
        <v>96.16</v>
      </c>
      <c r="LG10">
        <f>SOFR3mo_PX[[#This Row],[Column319]]</f>
        <v>96.125</v>
      </c>
      <c r="LH10">
        <f>SOFR3mo_PX[[#This Row],[Column320]]</f>
        <v>96.105000000000004</v>
      </c>
      <c r="LI10">
        <f>SOFR3mo_PX[[#This Row],[Column321]]</f>
        <v>96.105000000000004</v>
      </c>
      <c r="LJ10">
        <f>SOFR3mo_PX[[#This Row],[Column322]]</f>
        <v>96.245000000000005</v>
      </c>
      <c r="LK10">
        <f>SOFR3mo_PX[[#This Row],[Column323]]</f>
        <v>96.245000000000005</v>
      </c>
      <c r="LL10">
        <f>SOFR3mo_PX[[#This Row],[Column324]]</f>
        <v>96.29</v>
      </c>
      <c r="LM10">
        <f>SOFR3mo_PX[[#This Row],[Column325]]</f>
        <v>96.25</v>
      </c>
      <c r="LN10">
        <f>SOFR3mo_PX[[#This Row],[Column326]]</f>
        <v>96.24</v>
      </c>
      <c r="LO10">
        <f>SOFR3mo_PX[[#This Row],[Column327]]</f>
        <v>96.28</v>
      </c>
      <c r="LP10">
        <f>SOFR3mo_PX[[#This Row],[Column328]]</f>
        <v>96.224999999999994</v>
      </c>
      <c r="LQ10">
        <f>SOFR3mo_PX[[#This Row],[Column329]]</f>
        <v>96.24</v>
      </c>
      <c r="LR10">
        <f>SOFR3mo_PX[[#This Row],[Column330]]</f>
        <v>96.064999999999998</v>
      </c>
      <c r="LS10">
        <f>SOFR3mo_PX[[#This Row],[Column331]]</f>
        <v>95.995000000000005</v>
      </c>
      <c r="LT10">
        <f>SOFR3mo_PX[[#This Row],[Column332]]</f>
        <v>96.025000000000006</v>
      </c>
      <c r="LU10">
        <f>SOFR3mo_PX[[#This Row],[Column333]]</f>
        <v>96.08</v>
      </c>
      <c r="LV10">
        <f>SOFR3mo_PX[[#This Row],[Column334]]</f>
        <v>96.22</v>
      </c>
      <c r="LW10">
        <f>SOFR3mo_PX[[#This Row],[Column335]]</f>
        <v>96.254999999999995</v>
      </c>
      <c r="LX10">
        <f>SOFR3mo_PX[[#This Row],[Column336]]</f>
        <v>96.344999999999999</v>
      </c>
      <c r="LY10">
        <f>SOFR3mo_PX[[#This Row],[Column337]]</f>
        <v>96.39</v>
      </c>
      <c r="LZ10">
        <f>SOFR3mo_PX[[#This Row],[Column338]]</f>
        <v>96.344999999999999</v>
      </c>
      <c r="MA10">
        <f>SOFR3mo_PX[[#This Row],[Column339]]</f>
        <v>96.295000000000002</v>
      </c>
      <c r="MB10">
        <f>SOFR3mo_PX[[#This Row],[Column340]]</f>
        <v>96.3</v>
      </c>
      <c r="MC10">
        <f>SOFR3mo_PX[[#This Row],[Column341]]</f>
        <v>96.224999999999994</v>
      </c>
      <c r="MD10">
        <f>SOFR3mo_PX[[#This Row],[Column342]]</f>
        <v>96.3</v>
      </c>
      <c r="ME10">
        <f>SOFR3mo_PX[[#This Row],[Column343]]</f>
        <v>96.19</v>
      </c>
      <c r="MF10">
        <f>SOFR3mo_PX[[#This Row],[Column344]]</f>
        <v>96.194999999999993</v>
      </c>
      <c r="MG10">
        <f>SOFR3mo_PX[[#This Row],[Column345]]</f>
        <v>96.125</v>
      </c>
      <c r="MH10">
        <f>SOFR3mo_PX[[#This Row],[Column346]]</f>
        <v>96.13</v>
      </c>
      <c r="MI10">
        <f>SOFR3mo_PX[[#This Row],[Column347]]</f>
        <v>96.18</v>
      </c>
      <c r="MJ10">
        <f>SOFR3mo_PX[[#This Row],[Column348]]</f>
        <v>96.15</v>
      </c>
      <c r="MK10">
        <f>SOFR3mo_PX[[#This Row],[Column349]]</f>
        <v>96.21</v>
      </c>
      <c r="ML10">
        <f>SOFR3mo_PX[[#This Row],[Column350]]</f>
        <v>96.27</v>
      </c>
      <c r="MM10">
        <f>SOFR3mo_PX[[#This Row],[Column351]]</f>
        <v>96.215000000000003</v>
      </c>
      <c r="MN10">
        <f>SOFR3mo_PX[[#This Row],[Column352]]</f>
        <v>96.215000000000003</v>
      </c>
      <c r="MO10">
        <f>SOFR3mo_PX[[#This Row],[Column353]]</f>
        <v>96.31</v>
      </c>
      <c r="MP10">
        <f>SOFR3mo_PX[[#This Row],[Column354]]</f>
        <v>96.29</v>
      </c>
      <c r="MQ10">
        <f>SOFR3mo_PX[[#This Row],[Column355]]</f>
        <v>96.2</v>
      </c>
      <c r="MR10">
        <f>SOFR3mo_PX[[#This Row],[Column356]]</f>
        <v>96.45</v>
      </c>
      <c r="MS10">
        <f>SOFR3mo_PX[[#This Row],[Column357]]</f>
        <v>96.42</v>
      </c>
      <c r="MT10">
        <f>SOFR3mo_PX[[#This Row],[Column358]]</f>
        <v>96.47</v>
      </c>
      <c r="MU10">
        <f>SOFR3mo_PX[[#This Row],[Column359]]</f>
        <v>96.53</v>
      </c>
      <c r="MV10">
        <f>SOFR3mo_PX[[#This Row],[Column360]]</f>
        <v>96.555000000000007</v>
      </c>
      <c r="MW10">
        <f>SOFR3mo_PX[[#This Row],[Column361]]</f>
        <v>96.47</v>
      </c>
      <c r="MX10">
        <f>SOFR3mo_PX[[#This Row],[Column362]]</f>
        <v>96.61</v>
      </c>
      <c r="MY10">
        <f>SOFR3mo_PX[[#This Row],[Column363]]</f>
        <v>96.825000000000003</v>
      </c>
      <c r="MZ10">
        <f>SOFR3mo_PX[[#This Row],[Column364]]</f>
        <v>96.765000000000001</v>
      </c>
      <c r="NA10">
        <f>SOFR3mo_PX[[#This Row],[Column365]]</f>
        <v>96.61</v>
      </c>
      <c r="NB10">
        <f>SOFR3mo_PX[[#This Row],[Column366]]</f>
        <v>96.66</v>
      </c>
      <c r="NC10">
        <f>SOFR3mo_PX[[#This Row],[Column367]]</f>
        <v>96.584999999999994</v>
      </c>
      <c r="ND10">
        <f>SOFR3mo_PX[[#This Row],[Column368]]</f>
        <v>96.66</v>
      </c>
      <c r="NE10">
        <f>SOFR3mo_PX[[#This Row],[Column369]]</f>
        <v>96.584999999999994</v>
      </c>
      <c r="NF10">
        <f>SOFR3mo_PX[[#This Row],[Column370]]</f>
        <v>96.62</v>
      </c>
      <c r="NG10">
        <f>SOFR3mo_PX[[#This Row],[Column371]]</f>
        <v>96.64</v>
      </c>
      <c r="NH10">
        <f>SOFR3mo_PX[[#This Row],[Column372]]</f>
        <v>96.584999999999994</v>
      </c>
      <c r="NI10">
        <f>SOFR3mo_PX[[#This Row],[Column373]]</f>
        <v>96.63</v>
      </c>
      <c r="NJ10">
        <f>SOFR3mo_PX[[#This Row],[Column374]]</f>
        <v>96.65</v>
      </c>
      <c r="NK10">
        <f>SOFR3mo_PX[[#This Row],[Column375]]</f>
        <v>96.795000000000002</v>
      </c>
      <c r="NL10">
        <f>SOFR3mo_PX[[#This Row],[Column376]]</f>
        <v>96.885000000000005</v>
      </c>
      <c r="NM10">
        <f>SOFR3mo_PX[[#This Row],[Column377]]</f>
        <v>96.885000000000005</v>
      </c>
      <c r="NN10">
        <f>SOFR3mo_PX[[#This Row],[Column378]]</f>
        <v>96.79</v>
      </c>
      <c r="NO10">
        <f>SOFR3mo_PX[[#This Row],[Column379]]</f>
        <v>96.67</v>
      </c>
      <c r="NP10">
        <f>SOFR3mo_PX[[#This Row],[Column380]]</f>
        <v>96.674999999999997</v>
      </c>
      <c r="NQ10">
        <f>SOFR3mo_PX[[#This Row],[Column381]]</f>
        <v>96.7</v>
      </c>
      <c r="NR10">
        <f>SOFR3mo_PX[[#This Row],[Column382]]</f>
        <v>96.665000000000006</v>
      </c>
      <c r="NS10">
        <f>SOFR3mo_PX[[#This Row],[Column383]]</f>
        <v>96.694999999999993</v>
      </c>
      <c r="NT10">
        <f>SOFR3mo_PX[[#This Row],[Column384]]</f>
        <v>96.81</v>
      </c>
      <c r="NU10">
        <f>SOFR3mo_PX[[#This Row],[Column385]]</f>
        <v>96.78</v>
      </c>
      <c r="NV10">
        <f>SOFR3mo_PX[[#This Row],[Column386]]</f>
        <v>96.9</v>
      </c>
      <c r="NW10">
        <f>SOFR3mo_PX[[#This Row],[Column387]]</f>
        <v>96.9</v>
      </c>
      <c r="NX10">
        <f>SOFR3mo_PX[[#This Row],[Column388]]</f>
        <v>96.86</v>
      </c>
      <c r="NY10">
        <f>SOFR3mo_PX[[#This Row],[Column389]]</f>
        <v>96.905000000000001</v>
      </c>
      <c r="NZ10">
        <f>SOFR3mo_PX[[#This Row],[Column390]]</f>
        <v>96.83</v>
      </c>
      <c r="OA10">
        <f>SOFR3mo_PX[[#This Row],[Column391]]</f>
        <v>96.814999999999998</v>
      </c>
      <c r="OB10">
        <f>SOFR3mo_PX[[#This Row],[Column392]]</f>
        <v>96.814999999999998</v>
      </c>
      <c r="OC10">
        <f>SOFR3mo_PX[[#This Row],[Column393]]</f>
        <v>96.83</v>
      </c>
      <c r="OD10">
        <f>SOFR3mo_PX[[#This Row],[Column394]]</f>
        <v>96.805000000000007</v>
      </c>
      <c r="OE10">
        <f>SOFR3mo_PX[[#This Row],[Column395]]</f>
        <v>96.61</v>
      </c>
      <c r="OF10">
        <f>SOFR3mo_PX[[#This Row],[Column396]]</f>
        <v>96.605000000000004</v>
      </c>
      <c r="OG10">
        <f>SOFR3mo_PX[[#This Row],[Column397]]</f>
        <v>96.62</v>
      </c>
      <c r="OH10">
        <f>SOFR3mo_PX[[#This Row],[Column398]]</f>
        <v>96.674999999999997</v>
      </c>
      <c r="OI10">
        <f>SOFR3mo_PX[[#This Row],[Column399]]</f>
        <v>96.545000000000002</v>
      </c>
      <c r="OJ10">
        <f>SOFR3mo_PX[[#This Row],[Column400]]</f>
        <v>96.28</v>
      </c>
      <c r="OK10">
        <f>SOFR3mo_PX[[#This Row],[Column401]]</f>
        <v>96.27</v>
      </c>
      <c r="OL10">
        <f>SOFR3mo_PX[[#This Row],[Column402]]</f>
        <v>96.28</v>
      </c>
      <c r="OM10">
        <f>SOFR3mo_PX[[#This Row],[Column403]]</f>
        <v>96.474999999999994</v>
      </c>
      <c r="ON10">
        <f>SOFR3mo_PX[[#This Row],[Column404]]</f>
        <v>96.45</v>
      </c>
      <c r="OO10">
        <f>SOFR3mo_PX[[#This Row],[Column405]]</f>
        <v>96.484999999999999</v>
      </c>
      <c r="OP10">
        <f>SOFR3mo_PX[[#This Row],[Column406]]</f>
        <v>96.375</v>
      </c>
      <c r="OQ10">
        <f>SOFR3mo_PX[[#This Row],[Column407]]</f>
        <v>96.46</v>
      </c>
      <c r="OR10">
        <f>SOFR3mo_PX[[#This Row],[Column408]]</f>
        <v>96.28</v>
      </c>
      <c r="OS10">
        <f>SOFR3mo_PX[[#This Row],[Column409]]</f>
        <v>96.37</v>
      </c>
      <c r="OT10">
        <f>SOFR3mo_PX[[#This Row],[Column410]]</f>
        <v>96.27</v>
      </c>
      <c r="OU10">
        <f>SOFR3mo_PX[[#This Row],[Column411]]</f>
        <v>96.114999999999995</v>
      </c>
      <c r="OV10">
        <f>SOFR3mo_PX[[#This Row],[Column412]]</f>
        <v>96.03</v>
      </c>
      <c r="OW10">
        <f>SOFR3mo_PX[[#This Row],[Column413]]</f>
        <v>96.09</v>
      </c>
      <c r="OX10">
        <f>SOFR3mo_PX[[#This Row],[Column414]]</f>
        <v>96.09</v>
      </c>
      <c r="OY10">
        <f>SOFR3mo_PX[[#This Row],[Column415]]</f>
        <v>96.125</v>
      </c>
      <c r="OZ10">
        <f>SOFR3mo_PX[[#This Row],[Column416]]</f>
        <v>96.07</v>
      </c>
      <c r="PA10">
        <f>SOFR3mo_PX[[#This Row],[Column417]]</f>
        <v>96.06</v>
      </c>
      <c r="PB10">
        <f>SOFR3mo_PX[[#This Row],[Column418]]</f>
        <v>96.135000000000005</v>
      </c>
      <c r="PC10">
        <f>SOFR3mo_PX[[#This Row],[Column419]]</f>
        <v>96.02</v>
      </c>
      <c r="PD10">
        <f>SOFR3mo_PX[[#This Row],[Column420]]</f>
        <v>96.15</v>
      </c>
      <c r="PE10">
        <f>SOFR3mo_PX[[#This Row],[Column421]]</f>
        <v>95.86</v>
      </c>
      <c r="PF10">
        <f>SOFR3mo_PX[[#This Row],[Column422]]</f>
        <v>95.84</v>
      </c>
      <c r="PG10">
        <f>SOFR3mo_PX[[#This Row],[Column423]]</f>
        <v>95.9</v>
      </c>
      <c r="PH10">
        <f>SOFR3mo_PX[[#This Row],[Column424]]</f>
        <v>96.015000000000001</v>
      </c>
      <c r="PI10">
        <f>SOFR3mo_PX[[#This Row],[Column425]]</f>
        <v>96.02</v>
      </c>
      <c r="PJ10">
        <f>SOFR3mo_PX[[#This Row],[Column426]]</f>
        <v>95.95</v>
      </c>
      <c r="PK10">
        <f>SOFR3mo_PX[[#This Row],[Column427]]</f>
        <v>96.1</v>
      </c>
      <c r="PL10">
        <f>SOFR3mo_PX[[#This Row],[Column428]]</f>
        <v>95.9</v>
      </c>
      <c r="PM10">
        <f>SOFR3mo_PX[[#This Row],[Column429]]</f>
        <v>95.91</v>
      </c>
      <c r="PN10">
        <f>SOFR3mo_PX[[#This Row],[Column430]]</f>
        <v>95.76</v>
      </c>
      <c r="PO10">
        <f>SOFR3mo_PX[[#This Row],[Column431]]</f>
        <v>95.795000000000002</v>
      </c>
      <c r="PP10">
        <f>SOFR3mo_PX[[#This Row],[Column432]]</f>
        <v>95.814999999999998</v>
      </c>
      <c r="PQ10">
        <f>SOFR3mo_PX[[#This Row],[Column433]]</f>
        <v>95.76</v>
      </c>
      <c r="PR10">
        <f>SOFR3mo_PX[[#This Row],[Column434]]</f>
        <v>95.63</v>
      </c>
      <c r="PS10">
        <f>SOFR3mo_PX[[#This Row],[Column435]]</f>
        <v>95.71</v>
      </c>
      <c r="PT10">
        <f>SOFR3mo_PX[[#This Row],[Column436]]</f>
        <v>95.795000000000002</v>
      </c>
      <c r="PU10">
        <f>SOFR3mo_PX[[#This Row],[Column437]]</f>
        <v>95.704999999999998</v>
      </c>
      <c r="PV10">
        <f>SOFR3mo_PX[[#This Row],[Column438]]</f>
        <v>95.555000000000007</v>
      </c>
      <c r="PW10">
        <f>SOFR3mo_PX[[#This Row],[Column439]]</f>
        <v>95.534999999999997</v>
      </c>
      <c r="PX10">
        <f>SOFR3mo_PX[[#This Row],[Column440]]</f>
        <v>95.58</v>
      </c>
      <c r="PY10">
        <f>SOFR3mo_PX[[#This Row],[Column441]]</f>
        <v>95.77</v>
      </c>
      <c r="PZ10">
        <f>SOFR3mo_PX[[#This Row],[Column442]]</f>
        <v>95.834999999999994</v>
      </c>
      <c r="QA10">
        <f>SOFR3mo_PX[[#This Row],[Column443]]</f>
        <v>95.81</v>
      </c>
      <c r="QB10">
        <f>SOFR3mo_PX[[#This Row],[Column444]]</f>
        <v>95.905000000000001</v>
      </c>
      <c r="QC10">
        <f>SOFR3mo_PX[[#This Row],[Column445]]</f>
        <v>95.924999999999997</v>
      </c>
      <c r="QD10">
        <f>SOFR3mo_PX[[#This Row],[Column446]]</f>
        <v>95.974999999999994</v>
      </c>
      <c r="QE10">
        <f>SOFR3mo_PX[[#This Row],[Column447]]</f>
        <v>95.795000000000002</v>
      </c>
      <c r="QF10">
        <f>SOFR3mo_PX[[#This Row],[Column448]]</f>
        <v>95.86</v>
      </c>
      <c r="QG10">
        <f>SOFR3mo_PX[[#This Row],[Column449]]</f>
        <v>95.82</v>
      </c>
      <c r="QH10">
        <f>SOFR3mo_PX[[#This Row],[Column450]]</f>
        <v>95.72</v>
      </c>
      <c r="QI10">
        <f>SOFR3mo_PX[[#This Row],[Column451]]</f>
        <v>95.784999999999997</v>
      </c>
      <c r="QJ10">
        <f>SOFR3mo_PX[[#This Row],[Column452]]</f>
        <v>95.885000000000005</v>
      </c>
      <c r="QK10">
        <f>SOFR3mo_PX[[#This Row],[Column453]]</f>
        <v>95.84</v>
      </c>
      <c r="QL10">
        <f>SOFR3mo_PX[[#This Row],[Column454]]</f>
        <v>95.75</v>
      </c>
      <c r="QM10">
        <f>SOFR3mo_PX[[#This Row],[Column455]]</f>
        <v>95.83</v>
      </c>
      <c r="QN10">
        <f>SOFR3mo_PX[[#This Row],[Column456]]</f>
        <v>95.825000000000003</v>
      </c>
      <c r="QO10">
        <f>SOFR3mo_PX[[#This Row],[Column457]]</f>
        <v>95.844999999999999</v>
      </c>
      <c r="QP10">
        <f>SOFR3mo_PX[[#This Row],[Column458]]</f>
        <v>95.795000000000002</v>
      </c>
      <c r="QQ10">
        <f>SOFR3mo_PX[[#This Row],[Column459]]</f>
        <v>95.894999999999996</v>
      </c>
      <c r="QR10">
        <f>SOFR3mo_PX[[#This Row],[Column460]]</f>
        <v>95.674999999999997</v>
      </c>
      <c r="QS10">
        <f>SOFR3mo_PX[[#This Row],[Column461]]</f>
        <v>95.765000000000001</v>
      </c>
      <c r="QT10">
        <f>SOFR3mo_PX[[#This Row],[Column462]]</f>
        <v>95.805000000000007</v>
      </c>
      <c r="QU10">
        <f>SOFR3mo_PX[[#This Row],[Column463]]</f>
        <v>95.85</v>
      </c>
      <c r="QV10">
        <f>SOFR3mo_PX[[#This Row],[Column464]]</f>
        <v>95.894999999999996</v>
      </c>
      <c r="QW10">
        <f>SOFR3mo_PX[[#This Row],[Column465]]</f>
        <v>95.87</v>
      </c>
      <c r="QX10">
        <f>SOFR3mo_PX[[#This Row],[Column466]]</f>
        <v>95.9</v>
      </c>
      <c r="QY10">
        <f>SOFR3mo_PX[[#This Row],[Column467]]</f>
        <v>95.915000000000006</v>
      </c>
      <c r="QZ10">
        <f>SOFR3mo_PX[[#This Row],[Column468]]</f>
        <v>95.97</v>
      </c>
      <c r="RA10">
        <f>SOFR3mo_PX[[#This Row],[Column469]]</f>
        <v>95.864999999999995</v>
      </c>
      <c r="RB10">
        <f>SOFR3mo_PX[[#This Row],[Column470]]</f>
        <v>95.954999999999998</v>
      </c>
      <c r="RC10">
        <f>SOFR3mo_PX[[#This Row],[Column471]]</f>
        <v>96.084999999999994</v>
      </c>
      <c r="RD10">
        <f>SOFR3mo_PX[[#This Row],[Column472]]</f>
        <v>96.084999999999994</v>
      </c>
      <c r="RE10">
        <f>SOFR3mo_PX[[#This Row],[Column473]]</f>
        <v>96.1</v>
      </c>
      <c r="RF10">
        <f>SOFR3mo_PX[[#This Row],[Column474]]</f>
        <v>96.08</v>
      </c>
      <c r="RG10">
        <f>SOFR3mo_PX[[#This Row],[Column475]]</f>
        <v>96.075000000000003</v>
      </c>
      <c r="RH10">
        <f>SOFR3mo_PX[[#This Row],[Column476]]</f>
        <v>95.935000000000002</v>
      </c>
      <c r="RI10">
        <f>SOFR3mo_PX[[#This Row],[Column477]]</f>
        <v>95.91</v>
      </c>
      <c r="RJ10">
        <f>SOFR3mo_PX[[#This Row],[Column478]]</f>
        <v>95.93</v>
      </c>
      <c r="RK10">
        <f>SOFR3mo_PX[[#This Row],[Column479]]</f>
        <v>95.984999999999999</v>
      </c>
      <c r="RL10">
        <f>SOFR3mo_PX[[#This Row],[Column480]]</f>
        <v>95.855000000000004</v>
      </c>
      <c r="RM10">
        <f>SOFR3mo_PX[[#This Row],[Column481]]</f>
        <v>95.905000000000001</v>
      </c>
      <c r="RN10">
        <f>SOFR3mo_PX[[#This Row],[Column482]]</f>
        <v>95.98</v>
      </c>
      <c r="RO10">
        <f>SOFR3mo_PX[[#This Row],[Column483]]</f>
        <v>95.94</v>
      </c>
      <c r="RP10">
        <f>SOFR3mo_PX[[#This Row],[Column484]]</f>
        <v>95.95</v>
      </c>
      <c r="RQ10">
        <f>SOFR3mo_PX[[#This Row],[Column485]]</f>
        <v>95.984999999999999</v>
      </c>
      <c r="RR10">
        <f>SOFR3mo_PX[[#This Row],[Column486]]</f>
        <v>95.995000000000005</v>
      </c>
      <c r="RS10">
        <f>SOFR3mo_PX[[#This Row],[Column487]]</f>
        <v>96.075000000000003</v>
      </c>
      <c r="RT10">
        <f>SOFR3mo_PX[[#This Row],[Column488]]</f>
        <v>96.204999999999998</v>
      </c>
      <c r="RU10">
        <f>SOFR3mo_PX[[#This Row],[Column489]]</f>
        <v>96.265000000000001</v>
      </c>
      <c r="RV10">
        <f>SOFR3mo_PX[[#This Row],[Column490]]</f>
        <v>96.314999999999998</v>
      </c>
      <c r="RW10">
        <f>SOFR3mo_PX[[#This Row],[Column491]]</f>
        <v>96.295000000000002</v>
      </c>
      <c r="RX10">
        <f>SOFR3mo_PX[[#This Row],[Column492]]</f>
        <v>96.24</v>
      </c>
      <c r="RY10">
        <f>SOFR3mo_PX[[#This Row],[Column493]]</f>
        <v>96.1</v>
      </c>
      <c r="RZ10">
        <f>SOFR3mo_PX[[#This Row],[Column494]]</f>
        <v>96.135000000000005</v>
      </c>
      <c r="SA10">
        <f>SOFR3mo_PX[[#This Row],[Column495]]</f>
        <v>96.07</v>
      </c>
      <c r="SB10">
        <f>SOFR3mo_PX[[#This Row],[Column496]]</f>
        <v>96.13</v>
      </c>
      <c r="SC10">
        <f>SOFR3mo_PX[[#This Row],[Column497]]</f>
        <v>96.094999999999999</v>
      </c>
      <c r="SD10">
        <f>SOFR3mo_PX[[#This Row],[Column498]]</f>
        <v>96.045000000000002</v>
      </c>
      <c r="SE10">
        <f>SOFR3mo_PX[[#This Row],[Column499]]</f>
        <v>96.23</v>
      </c>
      <c r="SF10">
        <f>SOFR3mo_PX[[#This Row],[Column500]]</f>
        <v>96.114999999999995</v>
      </c>
      <c r="SG10">
        <f>SOFR3mo_PX[[#This Row],[Column501]]</f>
        <v>96.194999999999993</v>
      </c>
      <c r="SH10">
        <f>SOFR3mo_PX[[#This Row],[Column502]]</f>
        <v>96.26</v>
      </c>
      <c r="SI10">
        <f>SOFR3mo_PX[[#This Row],[Column503]]</f>
        <v>96.275000000000006</v>
      </c>
      <c r="SJ10">
        <f>SOFR3mo_PX[[#This Row],[Column504]]</f>
        <v>96.41</v>
      </c>
      <c r="SK10">
        <f>SOFR3mo_PX[[#This Row],[Column505]]</f>
        <v>96.405000000000001</v>
      </c>
      <c r="SL10">
        <f>SOFR3mo_PX[[#This Row],[Column506]]</f>
        <v>96.415000000000006</v>
      </c>
      <c r="SM10">
        <f>SOFR3mo_PX[[#This Row],[Column507]]</f>
        <v>96.39</v>
      </c>
      <c r="SN10">
        <f>SOFR3mo_PX[[#This Row],[Column508]]</f>
        <v>96.59</v>
      </c>
      <c r="SO10">
        <f>SOFR3mo_PX[[#This Row],[Column509]]</f>
        <v>96.37</v>
      </c>
      <c r="SP10">
        <f>SOFR3mo_PX[[#This Row],[Column510]]</f>
        <v>96.16</v>
      </c>
      <c r="SQ10">
        <f>SOFR3mo_PX[[#This Row],[Column511]]</f>
        <v>96.165000000000006</v>
      </c>
      <c r="SR10">
        <f>SOFR3mo_PX[[#This Row],[Column512]]</f>
        <v>96.045000000000002</v>
      </c>
      <c r="SS10">
        <f>SOFR3mo_PX[[#This Row],[Column513]]</f>
        <v>95.984999999999999</v>
      </c>
      <c r="ST10">
        <f>SOFR3mo_PX[[#This Row],[Column514]]</f>
        <v>96.07</v>
      </c>
      <c r="SU10">
        <f>SOFR3mo_PX[[#This Row],[Column515]]</f>
        <v>96.125</v>
      </c>
      <c r="SV10">
        <f>SOFR3mo_PX[[#This Row],[Column516]]</f>
        <v>96.125</v>
      </c>
      <c r="SW10">
        <f>SOFR3mo_PX[[#This Row],[Column517]]</f>
        <v>96.21</v>
      </c>
      <c r="SX10">
        <f>SOFR3mo_PX[[#This Row],[Column518]]</f>
        <v>96.245000000000005</v>
      </c>
      <c r="SY10">
        <f>SOFR3mo_PX[[#This Row],[Column519]]</f>
        <v>96.454999999999998</v>
      </c>
      <c r="SZ10">
        <f>SOFR3mo_PX[[#This Row],[Column520]]</f>
        <v>96.38</v>
      </c>
      <c r="TA10">
        <f>SOFR3mo_PX[[#This Row],[Column521]]</f>
        <v>96.49</v>
      </c>
      <c r="TB10">
        <f>SOFR3mo_PX[[#This Row],[Column522]]</f>
        <v>96.435000000000002</v>
      </c>
      <c r="TC10">
        <f>SOFR3mo_PX[[#This Row],[Column523]]</f>
        <v>96.375</v>
      </c>
      <c r="TD10">
        <f>SOFR3mo_PX[[#This Row],[Column524]]</f>
        <v>96.504999999999995</v>
      </c>
      <c r="TE10">
        <f>SOFR3mo_PX[[#This Row],[Column525]]</f>
        <v>96.28</v>
      </c>
      <c r="TF10">
        <f>SOFR3mo_PX[[#This Row],[Column526]]</f>
        <v>96.24</v>
      </c>
      <c r="TG10">
        <f>SOFR3mo_PX[[#This Row],[Column527]]</f>
        <v>96.24</v>
      </c>
      <c r="TH10">
        <f>SOFR3mo_PX[[#This Row],[Column528]]</f>
        <v>96.35</v>
      </c>
      <c r="TI10">
        <f>SOFR3mo_PX[[#This Row],[Column529]]</f>
        <v>96.284999999999997</v>
      </c>
      <c r="TJ10">
        <f>SOFR3mo_PX[[#This Row],[Column530]]</f>
        <v>96.275000000000006</v>
      </c>
      <c r="TK10">
        <f>SOFR3mo_PX[[#This Row],[Column531]]</f>
        <v>96.45</v>
      </c>
      <c r="TL10">
        <f>SOFR3mo_PX[[#This Row],[Column532]]</f>
        <v>96.42</v>
      </c>
      <c r="TM10">
        <f>SOFR3mo_PX[[#This Row],[Column533]]</f>
        <v>96.53</v>
      </c>
      <c r="TN10">
        <f>SOFR3mo_PX[[#This Row],[Column534]]</f>
        <v>96.495000000000005</v>
      </c>
      <c r="TO10">
        <f>SOFR3mo_PX[[#This Row],[Column535]]</f>
        <v>96.564999999999998</v>
      </c>
      <c r="TP10">
        <f>SOFR3mo_PX[[#This Row],[Column536]]</f>
        <v>96.644999999999996</v>
      </c>
      <c r="TQ10">
        <f>SOFR3mo_PX[[#This Row],[Column537]]</f>
        <v>96.605000000000004</v>
      </c>
      <c r="TR10">
        <f>SOFR3mo_PX[[#This Row],[Column538]]</f>
        <v>96.82</v>
      </c>
      <c r="TS10">
        <f>SOFR3mo_PX[[#This Row],[Column539]]</f>
        <v>96.754999999999995</v>
      </c>
      <c r="TT10">
        <f>SOFR3mo_PX[[#This Row],[Column540]]</f>
        <v>96.66</v>
      </c>
      <c r="TU10">
        <f>SOFR3mo_PX[[#This Row],[Column541]]</f>
        <v>96.47</v>
      </c>
      <c r="TV10">
        <f>SOFR3mo_PX[[#This Row],[Column542]]</f>
        <v>96.47</v>
      </c>
      <c r="TW10">
        <f>SOFR3mo_PX[[#This Row],[Column543]]</f>
        <v>96.57</v>
      </c>
      <c r="TX10">
        <f>SOFR3mo_PX[[#This Row],[Column544]]</f>
        <v>96.75</v>
      </c>
      <c r="TY10">
        <f>SOFR3mo_PX[[#This Row],[Column545]]</f>
        <v>96.77</v>
      </c>
      <c r="TZ10">
        <f>SOFR3mo_PX[[#This Row],[Column546]]</f>
        <v>96.75</v>
      </c>
      <c r="UA10">
        <f>SOFR3mo_PX[[#This Row],[Column547]]</f>
        <v>96.765000000000001</v>
      </c>
      <c r="UB10">
        <f>SOFR3mo_PX[[#This Row],[Column548]]</f>
        <v>96.825000000000003</v>
      </c>
      <c r="UC10">
        <f>SOFR3mo_PX[[#This Row],[Column549]]</f>
        <v>96.995000000000005</v>
      </c>
      <c r="UD10">
        <f>SOFR3mo_PX[[#This Row],[Column550]]</f>
        <v>97.08</v>
      </c>
      <c r="UE10">
        <f>SOFR3mo_PX[[#This Row],[Column551]]</f>
        <v>97.12</v>
      </c>
      <c r="UF10">
        <f>SOFR3mo_PX[[#This Row],[Column552]]</f>
        <v>97.114999999999995</v>
      </c>
      <c r="UG10">
        <f>SOFR3mo_PX[[#This Row],[Column553]]</f>
        <v>97.234999999999999</v>
      </c>
      <c r="UH10">
        <f>SOFR3mo_PX[[#This Row],[Column554]]</f>
        <v>97.23</v>
      </c>
      <c r="UI10">
        <f>SOFR3mo_PX[[#This Row],[Column555]]</f>
        <v>97.084999999999994</v>
      </c>
      <c r="UJ10">
        <f>SOFR3mo_PX[[#This Row],[Column556]]</f>
        <v>97.064999999999998</v>
      </c>
      <c r="UK10">
        <f>SOFR3mo_PX[[#This Row],[Column557]]</f>
        <v>97.14</v>
      </c>
      <c r="UL10">
        <f>SOFR3mo_PX[[#This Row],[Column558]]</f>
        <v>97.344999999999999</v>
      </c>
      <c r="UM10">
        <f>SOFR3mo_PX[[#This Row],[Column559]]</f>
        <v>97.16</v>
      </c>
      <c r="UN10">
        <f>SOFR3mo_PX[[#This Row],[Column560]]</f>
        <v>97.094999999999999</v>
      </c>
      <c r="UO10">
        <f>SOFR3mo_PX[[#This Row],[Column561]]</f>
        <v>96.9</v>
      </c>
      <c r="UP10">
        <f>SOFR3mo_PX[[#This Row],[Column562]]</f>
        <v>96.99</v>
      </c>
      <c r="UQ10">
        <f>SOFR3mo_PX[[#This Row],[Column563]]</f>
        <v>96.93</v>
      </c>
      <c r="UR10">
        <f>SOFR3mo_PX[[#This Row],[Column564]]</f>
        <v>97.094999999999999</v>
      </c>
      <c r="US10">
        <f>SOFR3mo_PX[[#This Row],[Column565]]</f>
        <v>97.16</v>
      </c>
      <c r="UT10">
        <f>SOFR3mo_PX[[#This Row],[Column566]]</f>
        <v>96.905000000000001</v>
      </c>
      <c r="UU10">
        <f>SOFR3mo_PX[[#This Row],[Column567]]</f>
        <v>96.844999999999999</v>
      </c>
      <c r="UV10">
        <f>SOFR3mo_PX[[#This Row],[Column568]]</f>
        <v>96.85</v>
      </c>
      <c r="UW10">
        <f>SOFR3mo_PX[[#This Row],[Column569]]</f>
        <v>96.72</v>
      </c>
      <c r="UX10">
        <f>SOFR3mo_PX[[#This Row],[Column570]]</f>
        <v>96.8</v>
      </c>
      <c r="UY10">
        <f>SOFR3mo_PX[[#This Row],[Column571]]</f>
        <v>96.795000000000002</v>
      </c>
      <c r="UZ10">
        <f>SOFR3mo_PX[[#This Row],[Column572]]</f>
        <v>96.91</v>
      </c>
      <c r="VA10">
        <f>SOFR3mo_PX[[#This Row],[Column573]]</f>
        <v>97.04</v>
      </c>
      <c r="VB10">
        <f>SOFR3mo_PX[[#This Row],[Column574]]</f>
        <v>97.064999999999998</v>
      </c>
      <c r="VC10">
        <f>SOFR3mo_PX[[#This Row],[Column575]]</f>
        <v>96.93</v>
      </c>
      <c r="VD10">
        <f>SOFR3mo_PX[[#This Row],[Column576]]</f>
        <v>97.004999999999995</v>
      </c>
      <c r="VE10">
        <f>SOFR3mo_PX[[#This Row],[Column577]]</f>
        <v>97.04</v>
      </c>
      <c r="VF10">
        <f>SOFR3mo_PX[[#This Row],[Column578]]</f>
        <v>97.204999999999998</v>
      </c>
      <c r="VG10">
        <f>SOFR3mo_PX[[#This Row],[Column579]]</f>
        <v>97.254999999999995</v>
      </c>
      <c r="VH10">
        <f>SOFR3mo_PX[[#This Row],[Column580]]</f>
        <v>97.18</v>
      </c>
      <c r="VI10">
        <f>SOFR3mo_PX[[#This Row],[Column581]]</f>
        <v>97.02</v>
      </c>
      <c r="VJ10">
        <f>SOFR3mo_PX[[#This Row],[Column582]]</f>
        <v>96.875</v>
      </c>
      <c r="VK10">
        <f>SOFR3mo_PX[[#This Row],[Column583]]</f>
        <v>96.805000000000007</v>
      </c>
      <c r="VL10">
        <f>SOFR3mo_PX[[#This Row],[Column584]]</f>
        <v>96.814999999999998</v>
      </c>
      <c r="VM10">
        <f>SOFR3mo_PX[[#This Row],[Column585]]</f>
        <v>96.844999999999999</v>
      </c>
      <c r="VN10">
        <f>SOFR3mo_PX[[#This Row],[Column586]]</f>
        <v>96.94</v>
      </c>
      <c r="VO10">
        <f>SOFR3mo_PX[[#This Row],[Column587]]</f>
        <v>97.135000000000005</v>
      </c>
      <c r="VP10">
        <f>SOFR3mo_PX[[#This Row],[Column588]]</f>
        <v>97.114999999999995</v>
      </c>
      <c r="VQ10">
        <f>SOFR3mo_PX[[#This Row],[Column589]]</f>
        <v>96.944999999999993</v>
      </c>
      <c r="VR10">
        <f>SOFR3mo_PX[[#This Row],[Column590]]</f>
        <v>96.694999999999993</v>
      </c>
      <c r="VS10">
        <f>SOFR3mo_PX[[#This Row],[Column591]]</f>
        <v>96.86</v>
      </c>
      <c r="VT10">
        <f>SOFR3mo_PX[[#This Row],[Column592]]</f>
        <v>96.954999999999998</v>
      </c>
      <c r="VU10">
        <f>SOFR3mo_PX[[#This Row],[Column593]]</f>
        <v>96.625</v>
      </c>
      <c r="VV10">
        <f>SOFR3mo_PX[[#This Row],[Column594]]</f>
        <v>96.69</v>
      </c>
      <c r="VW10">
        <f>SOFR3mo_PX[[#This Row],[Column595]]</f>
        <v>96.44</v>
      </c>
      <c r="VX10">
        <f>SOFR3mo_PX[[#This Row],[Column596]]</f>
        <v>96.65</v>
      </c>
      <c r="VY10">
        <f>SOFR3mo_PX[[#This Row],[Column597]]</f>
        <v>96.284999999999997</v>
      </c>
      <c r="VZ10">
        <f>SOFR3mo_PX[[#This Row],[Column598]]</f>
        <v>95.915000000000006</v>
      </c>
      <c r="WA10">
        <f>SOFR3mo_PX[[#This Row],[Column599]]</f>
        <v>95.69</v>
      </c>
      <c r="WB10">
        <f>SOFR3mo_PX[[#This Row],[Column600]]</f>
        <v>95.694999999999993</v>
      </c>
      <c r="WC10">
        <f>SOFR3mo_PX[[#This Row],[Column601]]</f>
        <v>95.78</v>
      </c>
      <c r="WD10">
        <f>SOFR3mo_PX[[#This Row],[Column602]]</f>
        <v>95.79</v>
      </c>
      <c r="WE10">
        <f>SOFR3mo_PX[[#This Row],[Column603]]</f>
        <v>95.69</v>
      </c>
      <c r="WF10">
        <f>SOFR3mo_PX[[#This Row],[Column604]]</f>
        <v>95.76</v>
      </c>
      <c r="WG10">
        <f>SOFR3mo_PX[[#This Row],[Column605]]</f>
        <v>95.885000000000005</v>
      </c>
      <c r="WH10">
        <f>SOFR3mo_PX[[#This Row],[Column606]]</f>
        <v>95.915000000000006</v>
      </c>
      <c r="WI10">
        <f>SOFR3mo_PX[[#This Row],[Column607]]</f>
        <v>95.9</v>
      </c>
      <c r="WJ10">
        <f>SOFR3mo_PX[[#This Row],[Column608]]</f>
        <v>96.114999999999995</v>
      </c>
      <c r="WK10">
        <f>SOFR3mo_PX[[#This Row],[Column609]]</f>
        <v>96.094999999999999</v>
      </c>
      <c r="WL10">
        <f>SOFR3mo_PX[[#This Row],[Column610]]</f>
        <v>96.08</v>
      </c>
      <c r="WM10">
        <f>SOFR3mo_PX[[#This Row],[Column611]]</f>
        <v>96.224999999999994</v>
      </c>
      <c r="WN10">
        <f>SOFR3mo_PX[[#This Row],[Column612]]</f>
        <v>96.224999999999994</v>
      </c>
      <c r="WO10">
        <f>SOFR3mo_PX[[#This Row],[Column613]]</f>
        <v>96.174999999999997</v>
      </c>
      <c r="WP10">
        <f>SOFR3mo_PX[[#This Row],[Column614]]</f>
        <v>96.14</v>
      </c>
      <c r="WQ10">
        <f>SOFR3mo_PX[[#This Row],[Column615]]</f>
        <v>96.204999999999998</v>
      </c>
      <c r="WR10">
        <f>SOFR3mo_PX[[#This Row],[Column616]]</f>
        <v>96.394999999999996</v>
      </c>
      <c r="WS10">
        <f>SOFR3mo_PX[[#This Row],[Column617]]</f>
        <v>96.424999999999997</v>
      </c>
      <c r="WT10">
        <f>SOFR3mo_PX[[#This Row],[Column618]]</f>
        <v>96.44</v>
      </c>
      <c r="WU10">
        <f>SOFR3mo_PX[[#This Row],[Column619]]</f>
        <v>96.555000000000007</v>
      </c>
      <c r="WV10">
        <f>SOFR3mo_PX[[#This Row],[Column620]]</f>
        <v>96.525000000000006</v>
      </c>
      <c r="WW10">
        <f>SOFR3mo_PX[[#This Row],[Column621]]</f>
        <v>96.55</v>
      </c>
      <c r="WX10">
        <f>SOFR3mo_PX[[#This Row],[Column622]]</f>
        <v>96.754999999999995</v>
      </c>
      <c r="WY10">
        <f>SOFR3mo_PX[[#This Row],[Column623]]</f>
        <v>96.995000000000005</v>
      </c>
      <c r="WZ10">
        <f>SOFR3mo_PX[[#This Row],[Column624]]</f>
        <v>96.96</v>
      </c>
      <c r="XA10">
        <f>SOFR3mo_PX[[#This Row],[Column625]]</f>
        <v>96.81</v>
      </c>
      <c r="XB10">
        <f>SOFR3mo_PX[[#This Row],[Column626]]</f>
        <v>96.72</v>
      </c>
      <c r="XC10">
        <f>SOFR3mo_PX[[#This Row],[Column627]]</f>
        <v>96.82</v>
      </c>
      <c r="XD10">
        <f>SOFR3mo_PX[[#This Row],[Column628]]</f>
        <v>96.875</v>
      </c>
      <c r="XE10">
        <f>SOFR3mo_PX[[#This Row],[Column629]]</f>
        <v>96.94</v>
      </c>
      <c r="XF10">
        <f>SOFR3mo_PX[[#This Row],[Column630]]</f>
        <v>96.935000000000002</v>
      </c>
      <c r="XG10">
        <f>SOFR3mo_PX[[#This Row],[Column631]]</f>
        <v>96.89</v>
      </c>
      <c r="XH10">
        <f>SOFR3mo_PX[[#This Row],[Column632]]</f>
        <v>96.98</v>
      </c>
      <c r="XI10">
        <f>SOFR3mo_PX[[#This Row],[Column633]]</f>
        <v>97.084999999999994</v>
      </c>
      <c r="XJ10">
        <f>SOFR3mo_PX[[#This Row],[Column634]]</f>
        <v>97.13</v>
      </c>
      <c r="XK10">
        <f>SOFR3mo_PX[[#This Row],[Column635]]</f>
        <v>96.95</v>
      </c>
      <c r="XL10">
        <f>SOFR3mo_PX[[#This Row],[Column636]]</f>
        <v>96.89</v>
      </c>
      <c r="XM10">
        <f>SOFR3mo_PX[[#This Row],[Column637]]</f>
        <v>96.89</v>
      </c>
      <c r="XN10">
        <f>SOFR3mo_PX[[#This Row],[Column638]]</f>
        <v>97</v>
      </c>
      <c r="XO10">
        <f>SOFR3mo_PX[[#This Row],[Column639]]</f>
        <v>96.9</v>
      </c>
      <c r="XP10">
        <f>SOFR3mo_PX[[#This Row],[Column640]]</f>
        <v>96.814999999999998</v>
      </c>
      <c r="XQ10">
        <f>SOFR3mo_PX[[#This Row],[Column641]]</f>
        <v>96.894999999999996</v>
      </c>
      <c r="XR10">
        <f>SOFR3mo_PX[[#This Row],[Column642]]</f>
        <v>96.814999999999998</v>
      </c>
      <c r="XS10">
        <f>SOFR3mo_PX[[#This Row],[Column643]]</f>
        <v>96.51</v>
      </c>
      <c r="XT10">
        <f>SOFR3mo_PX[[#This Row],[Column644]]</f>
        <v>96.58</v>
      </c>
      <c r="XU10">
        <f>SOFR3mo_PX[[#This Row],[Column645]]</f>
        <v>96.52</v>
      </c>
      <c r="XV10">
        <f>SOFR3mo_PX[[#This Row],[Column646]]</f>
        <v>96.5</v>
      </c>
      <c r="XW10">
        <f>SOFR3mo_PX[[#This Row],[Column647]]</f>
        <v>96.5</v>
      </c>
      <c r="XX10">
        <f>SOFR3mo_PX[[#This Row],[Column648]]</f>
        <v>96.484999999999999</v>
      </c>
      <c r="XY10">
        <f>SOFR3mo_PX[[#This Row],[Column649]]</f>
        <v>96.49</v>
      </c>
      <c r="XZ10">
        <f>SOFR3mo_PX[[#This Row],[Column650]]</f>
        <v>96.5</v>
      </c>
      <c r="YA10">
        <f>SOFR3mo_PX[[#This Row],[Column651]]</f>
        <v>96.594999999999999</v>
      </c>
      <c r="YB10">
        <f>SOFR3mo_PX[[#This Row],[Column652]]</f>
        <v>96.594999999999999</v>
      </c>
      <c r="YC10">
        <f>SOFR3mo_PX[[#This Row],[Column653]]</f>
        <v>96.685000000000002</v>
      </c>
      <c r="YD10">
        <f>SOFR3mo_PX[[#This Row],[Column654]]</f>
        <v>96.74</v>
      </c>
      <c r="YE10">
        <f>SOFR3mo_PX[[#This Row],[Column655]]</f>
        <v>96.454999999999998</v>
      </c>
      <c r="YF10">
        <f>SOFR3mo_PX[[#This Row],[Column656]]</f>
        <v>96.515000000000001</v>
      </c>
      <c r="YG10">
        <f>SOFR3mo_PX[[#This Row],[Column657]]</f>
        <v>96.6</v>
      </c>
      <c r="YH10">
        <f>SOFR3mo_PX[[#This Row],[Column658]]</f>
        <v>96.555000000000007</v>
      </c>
      <c r="YI10">
        <f>SOFR3mo_PX[[#This Row],[Column659]]</f>
        <v>96.56</v>
      </c>
      <c r="YJ10">
        <f>SOFR3mo_PX[[#This Row],[Column660]]</f>
        <v>96.56</v>
      </c>
      <c r="YK10">
        <f>SOFR3mo_PX[[#This Row],[Column661]]</f>
        <v>96.355000000000004</v>
      </c>
      <c r="YL10">
        <f>SOFR3mo_PX[[#This Row],[Column662]]</f>
        <v>96.435000000000002</v>
      </c>
      <c r="YM10">
        <f>SOFR3mo_PX[[#This Row],[Column663]]</f>
        <v>96.46</v>
      </c>
      <c r="YN10">
        <f>SOFR3mo_PX[[#This Row],[Column664]]</f>
        <v>96.555000000000007</v>
      </c>
      <c r="YO10">
        <f>SOFR3mo_PX[[#This Row],[Column665]]</f>
        <v>96.42</v>
      </c>
      <c r="YP10">
        <f>SOFR3mo_PX[[#This Row],[Column666]]</f>
        <v>96.38</v>
      </c>
      <c r="YQ10">
        <f>SOFR3mo_PX[[#This Row],[Column667]]</f>
        <v>96.545000000000002</v>
      </c>
      <c r="YR10">
        <f>SOFR3mo_PX[[#This Row],[Column668]]</f>
        <v>96.525000000000006</v>
      </c>
      <c r="YS10">
        <f>SOFR3mo_PX[[#This Row],[Column669]]</f>
        <v>96.385000000000005</v>
      </c>
      <c r="YT10">
        <f>SOFR3mo_PX[[#This Row],[Column670]]</f>
        <v>96.224999999999994</v>
      </c>
      <c r="YU10">
        <f>SOFR3mo_PX[[#This Row],[Column671]]</f>
        <v>96.23</v>
      </c>
      <c r="YV10">
        <f>SOFR3mo_PX[[#This Row],[Column672]]</f>
        <v>96.224999999999994</v>
      </c>
      <c r="YW10">
        <f>SOFR3mo_PX[[#This Row],[Column673]]</f>
        <v>96.25</v>
      </c>
      <c r="YX10">
        <f>SOFR3mo_PX[[#This Row],[Column674]]</f>
        <v>96.25</v>
      </c>
      <c r="YY10">
        <f>SOFR3mo_PX[[#This Row],[Column675]]</f>
        <v>96.24</v>
      </c>
      <c r="YZ10">
        <f>SOFR3mo_PX[[#This Row],[Column676]]</f>
        <v>96.12</v>
      </c>
      <c r="ZA10">
        <f>SOFR3mo_PX[[#This Row],[Column677]]</f>
        <v>96.135000000000005</v>
      </c>
      <c r="ZB10">
        <f>SOFR3mo_PX[[#This Row],[Column678]]</f>
        <v>96.224999999999994</v>
      </c>
      <c r="ZC10">
        <f>SOFR3mo_PX[[#This Row],[Column679]]</f>
        <v>96.375</v>
      </c>
      <c r="ZD10">
        <f>SOFR3mo_PX[[#This Row],[Column680]]</f>
        <v>96.34</v>
      </c>
      <c r="ZE10">
        <f>SOFR3mo_PX[[#This Row],[Column681]]</f>
        <v>96.194999999999993</v>
      </c>
      <c r="ZF10">
        <f>SOFR3mo_PX[[#This Row],[Column682]]</f>
        <v>96.26</v>
      </c>
      <c r="ZG10">
        <f>SOFR3mo_PX[[#This Row],[Column683]]</f>
        <v>96.234999999999999</v>
      </c>
      <c r="ZH10">
        <f>SOFR3mo_PX[[#This Row],[Column684]]</f>
        <v>95.814999999999998</v>
      </c>
      <c r="ZI10">
        <f>SOFR3mo_PX[[#This Row],[Column685]]</f>
        <v>95.724999999999994</v>
      </c>
      <c r="ZJ10">
        <f>SOFR3mo_PX[[#This Row],[Column686]]</f>
        <v>95.64</v>
      </c>
      <c r="ZK10">
        <f>SOFR3mo_PX[[#This Row],[Column687]]</f>
        <v>95.72</v>
      </c>
      <c r="ZL10">
        <f>SOFR3mo_PX[[#This Row],[Column688]]</f>
        <v>95.66</v>
      </c>
      <c r="ZM10">
        <f>SOFR3mo_PX[[#This Row],[Column689]]</f>
        <v>95.814999999999998</v>
      </c>
      <c r="ZN10">
        <f>SOFR3mo_PX[[#This Row],[Column690]]</f>
        <v>95.885000000000005</v>
      </c>
      <c r="ZO10">
        <f>SOFR3mo_PX[[#This Row],[Column691]]</f>
        <v>95.91</v>
      </c>
      <c r="ZP10">
        <f>SOFR3mo_PX[[#This Row],[Column692]]</f>
        <v>95.99</v>
      </c>
      <c r="ZQ10">
        <f>SOFR3mo_PX[[#This Row],[Column693]]</f>
        <v>96.125</v>
      </c>
      <c r="ZR10">
        <f>SOFR3mo_PX[[#This Row],[Column694]]</f>
        <v>95.984999999999999</v>
      </c>
      <c r="ZS10">
        <f>SOFR3mo_PX[[#This Row],[Column695]]</f>
        <v>95.91</v>
      </c>
      <c r="ZT10">
        <f>SOFR3mo_PX[[#This Row],[Column696]]</f>
        <v>95.85</v>
      </c>
      <c r="ZU10">
        <f>SOFR3mo_PX[[#This Row],[Column697]]</f>
        <v>95.814999999999998</v>
      </c>
      <c r="ZV10">
        <f>SOFR3mo_PX[[#This Row],[Column698]]</f>
        <v>95.65</v>
      </c>
      <c r="ZW10">
        <f>SOFR3mo_PX[[#This Row],[Column699]]</f>
        <v>95.784999999999997</v>
      </c>
      <c r="ZX10">
        <f>SOFR3mo_PX[[#This Row],[Column700]]</f>
        <v>95.94</v>
      </c>
      <c r="ZY10">
        <f>SOFR3mo_PX[[#This Row],[Column701]]</f>
        <v>95.92</v>
      </c>
      <c r="ZZ10">
        <f>SOFR3mo_PX[[#This Row],[Column702]]</f>
        <v>95.86</v>
      </c>
      <c r="AAA10">
        <f>SOFR3mo_PX[[#This Row],[Column703]]</f>
        <v>95.935000000000002</v>
      </c>
      <c r="AAB10">
        <f>SOFR3mo_PX[[#This Row],[Column704]]</f>
        <v>96.055000000000007</v>
      </c>
      <c r="AAC10">
        <f>SOFR3mo_PX[[#This Row],[Column705]]</f>
        <v>95.974999999999994</v>
      </c>
      <c r="AAD10">
        <f>SOFR3mo_PX[[#This Row],[Column706]]</f>
        <v>95.97</v>
      </c>
      <c r="AAE10">
        <f>SOFR3mo_PX[[#This Row],[Column707]]</f>
        <v>95.995000000000005</v>
      </c>
      <c r="AAF10">
        <f>SOFR3mo_PX[[#This Row],[Column708]]</f>
        <v>96.08</v>
      </c>
      <c r="AAG10">
        <f>SOFR3mo_PX[[#This Row],[Column709]]</f>
        <v>96.19</v>
      </c>
      <c r="AAH10">
        <f>SOFR3mo_PX[[#This Row],[Column710]]</f>
        <v>96.314999999999998</v>
      </c>
      <c r="AAI10">
        <f>SOFR3mo_PX[[#This Row],[Column711]]</f>
        <v>96.23</v>
      </c>
      <c r="AAJ10">
        <f>SOFR3mo_PX[[#This Row],[Column712]]</f>
        <v>96.09</v>
      </c>
      <c r="AAK10">
        <f>SOFR3mo_PX[[#This Row],[Column713]]</f>
        <v>96.155000000000001</v>
      </c>
      <c r="AAL10">
        <f>SOFR3mo_PX[[#This Row],[Column714]]</f>
        <v>96.23</v>
      </c>
      <c r="AAM10">
        <f>SOFR3mo_PX[[#This Row],[Column715]]</f>
        <v>95.935000000000002</v>
      </c>
      <c r="AAN10">
        <f>SOFR3mo_PX[[#This Row],[Column716]]</f>
        <v>95.91</v>
      </c>
      <c r="AAO10">
        <f>SOFR3mo_PX[[#This Row],[Column717]]</f>
        <v>96.06</v>
      </c>
      <c r="AAP10">
        <f>SOFR3mo_PX[[#This Row],[Column718]]</f>
        <v>96.17</v>
      </c>
      <c r="AAQ10">
        <f>SOFR3mo_PX[[#This Row],[Column719]]</f>
        <v>96.35</v>
      </c>
      <c r="AAR10">
        <f>SOFR3mo_PX[[#This Row],[Column720]]</f>
        <v>96.19</v>
      </c>
      <c r="AAS10">
        <f>SOFR3mo_PX[[#This Row],[Column721]]</f>
        <v>96.23</v>
      </c>
      <c r="AAT10">
        <f>SOFR3mo_PX[[#This Row],[Column722]]</f>
        <v>96.325000000000003</v>
      </c>
      <c r="AAU10">
        <f>SOFR3mo_PX[[#This Row],[Column723]]</f>
        <v>96.275000000000006</v>
      </c>
      <c r="AAV10">
        <f>SOFR3mo_PX[[#This Row],[Column724]]</f>
        <v>96.41</v>
      </c>
      <c r="AAW10">
        <f>SOFR3mo_PX[[#This Row],[Column725]]</f>
        <v>96.47</v>
      </c>
      <c r="AAX10">
        <f>SOFR3mo_PX[[#This Row],[Column726]]</f>
        <v>96.625</v>
      </c>
      <c r="AAY10">
        <f>SOFR3mo_PX[[#This Row],[Column727]]</f>
        <v>96.625</v>
      </c>
      <c r="AAZ10">
        <f>SOFR3mo_PX[[#This Row],[Column728]]</f>
        <v>96.685000000000002</v>
      </c>
      <c r="ABA10">
        <f>SOFR3mo_PX[[#This Row],[Column729]]</f>
        <v>96.724999999999994</v>
      </c>
      <c r="ABB10">
        <f>SOFR3mo_PX[[#This Row],[Column730]]</f>
        <v>96.63</v>
      </c>
      <c r="ABC10">
        <f>SOFR3mo_PX[[#This Row],[Column731]]</f>
        <v>96.76</v>
      </c>
      <c r="ABD10">
        <f>SOFR3mo_PX[[#This Row],[Column732]]</f>
        <v>96.76</v>
      </c>
      <c r="ABE10">
        <f>SOFR3mo_PX[[#This Row],[Column733]]</f>
        <v>96.635000000000005</v>
      </c>
      <c r="ABF10">
        <f>SOFR3mo_PX[[#This Row],[Column734]]</f>
        <v>96.72</v>
      </c>
      <c r="ABG10">
        <f>SOFR3mo_PX[[#This Row],[Column735]]</f>
        <v>96.7</v>
      </c>
      <c r="ABH10">
        <f>SOFR3mo_PX[[#This Row],[Column736]]</f>
        <v>96.74</v>
      </c>
      <c r="ABI10">
        <f>SOFR3mo_PX[[#This Row],[Column737]]</f>
        <v>96.79</v>
      </c>
      <c r="ABJ10">
        <f>SOFR3mo_PX[[#This Row],[Column738]]</f>
        <v>96.825000000000003</v>
      </c>
      <c r="ABK10">
        <f>SOFR3mo_PX[[#This Row],[Column739]]</f>
        <v>96.795000000000002</v>
      </c>
      <c r="ABL10">
        <f>SOFR3mo_PX[[#This Row],[Column740]]</f>
        <v>96.84</v>
      </c>
      <c r="ABM10">
        <f>SOFR3mo_PX[[#This Row],[Column741]]</f>
        <v>96.79</v>
      </c>
      <c r="ABN10">
        <f>SOFR3mo_PX[[#This Row],[Column742]]</f>
        <v>96.905000000000001</v>
      </c>
      <c r="ABO10">
        <f>SOFR3mo_PX[[#This Row],[Column743]]</f>
        <v>96.965000000000003</v>
      </c>
      <c r="ABP10">
        <f>SOFR3mo_PX[[#This Row],[Column744]]</f>
        <v>96.935000000000002</v>
      </c>
      <c r="ABQ10">
        <f>SOFR3mo_PX[[#This Row],[Column745]]</f>
        <v>97.05</v>
      </c>
      <c r="ABR10">
        <f>SOFR3mo_PX[[#This Row],[Column746]]</f>
        <v>97.125</v>
      </c>
      <c r="ABS10">
        <f>SOFR3mo_PX[[#This Row],[Column747]]</f>
        <v>97.045000000000002</v>
      </c>
      <c r="ABT10">
        <f>SOFR3mo_PX[[#This Row],[Column748]]</f>
        <v>97.094999999999999</v>
      </c>
      <c r="ABU10">
        <f>SOFR3mo_PX[[#This Row],[Column749]]</f>
        <v>97.15</v>
      </c>
      <c r="ABV10">
        <f>SOFR3mo_PX[[#This Row],[Column750]]</f>
        <v>97.09</v>
      </c>
      <c r="ABW10">
        <f>SOFR3mo_PX[[#This Row],[Column751]]</f>
        <v>97.194999999999993</v>
      </c>
      <c r="ABX10">
        <f>SOFR3mo_PX[[#This Row],[Column752]]</f>
        <v>97.12</v>
      </c>
      <c r="ABY10">
        <f>SOFR3mo_PX[[#This Row],[Column753]]</f>
        <v>97.34</v>
      </c>
      <c r="ABZ10">
        <f>SOFR3mo_PX[[#This Row],[Column754]]</f>
        <v>97.21</v>
      </c>
      <c r="ACA10">
        <f>SOFR3mo_PX[[#This Row],[Column755]]</f>
        <v>97.254999999999995</v>
      </c>
      <c r="ACB10">
        <f>SOFR3mo_PX[[#This Row],[Column756]]</f>
        <v>97.495000000000005</v>
      </c>
      <c r="ACC10">
        <f>SOFR3mo_PX[[#This Row],[Column757]]</f>
        <v>97.5</v>
      </c>
      <c r="ACD10">
        <f>SOFR3mo_PX[[#This Row],[Column758]]</f>
        <v>97.495000000000005</v>
      </c>
      <c r="ACE10">
        <f>SOFR3mo_PX[[#This Row],[Column759]]</f>
        <v>97.39</v>
      </c>
      <c r="ACF10">
        <f>SOFR3mo_PX[[#This Row],[Column760]]</f>
        <v>97.334999999999994</v>
      </c>
      <c r="ACG10">
        <f>SOFR3mo_PX[[#This Row],[Column761]]</f>
        <v>97.37</v>
      </c>
      <c r="ACH10">
        <f>SOFR3mo_PX[[#This Row],[Column762]]</f>
        <v>97.415000000000006</v>
      </c>
      <c r="ACI10">
        <f>SOFR3mo_PX[[#This Row],[Column763]]</f>
        <v>97.254999999999995</v>
      </c>
      <c r="ACJ10">
        <f>SOFR3mo_PX[[#This Row],[Column764]]</f>
        <v>97.05</v>
      </c>
      <c r="ACK10">
        <f>SOFR3mo_PX[[#This Row],[Column765]]</f>
        <v>97.055000000000007</v>
      </c>
      <c r="ACL10">
        <f>SOFR3mo_PX[[#This Row],[Column766]]</f>
        <v>97.155000000000001</v>
      </c>
      <c r="ACM10">
        <f>SOFR3mo_PX[[#This Row],[Column767]]</f>
        <v>97.185000000000002</v>
      </c>
      <c r="ACN10">
        <f>SOFR3mo_PX[[#This Row],[Column768]]</f>
        <v>97.204999999999998</v>
      </c>
      <c r="ACO10">
        <f>SOFR3mo_PX[[#This Row],[Column769]]</f>
        <v>97.26</v>
      </c>
      <c r="ACP10">
        <f>SOFR3mo_PX[[#This Row],[Column770]]</f>
        <v>97.265000000000001</v>
      </c>
      <c r="ACQ10">
        <f>SOFR3mo_PX[[#This Row],[Column771]]</f>
        <v>97.234999999999999</v>
      </c>
      <c r="ACR10">
        <f>SOFR3mo_PX[[#This Row],[Column772]]</f>
        <v>97.155000000000001</v>
      </c>
      <c r="ACS10">
        <f>SOFR3mo_PX[[#This Row],[Column773]]</f>
        <v>97.254999999999995</v>
      </c>
      <c r="ACT10">
        <f>SOFR3mo_PX[[#This Row],[Column774]]</f>
        <v>97.33</v>
      </c>
      <c r="ACU10">
        <f>SOFR3mo_PX[[#This Row],[Column775]]</f>
        <v>97.53</v>
      </c>
      <c r="ACV10">
        <f>SOFR3mo_PX[[#This Row],[Column776]]</f>
        <v>97.46</v>
      </c>
      <c r="ACW10">
        <f>SOFR3mo_PX[[#This Row],[Column777]]</f>
        <v>97.46</v>
      </c>
      <c r="ACX10">
        <f>SOFR3mo_PX[[#This Row],[Column778]]</f>
        <v>97.28</v>
      </c>
      <c r="ACY10">
        <f>SOFR3mo_PX[[#This Row],[Column779]]</f>
        <v>97.07</v>
      </c>
      <c r="ACZ10">
        <f>SOFR3mo_PX[[#This Row],[Column780]]</f>
        <v>96.915000000000006</v>
      </c>
      <c r="ADA10">
        <f>SOFR3mo_PX[[#This Row],[Column781]]</f>
        <v>96.91</v>
      </c>
      <c r="ADB10">
        <f>SOFR3mo_PX[[#This Row],[Column782]]</f>
        <v>96.984999999999999</v>
      </c>
      <c r="ADC10">
        <f>SOFR3mo_PX[[#This Row],[Column783]]</f>
        <v>97.034999999999997</v>
      </c>
      <c r="ADD10">
        <f>SOFR3mo_PX[[#This Row],[Column784]]</f>
        <v>96.92</v>
      </c>
      <c r="ADE10">
        <f>SOFR3mo_PX[[#This Row],[Column785]]</f>
        <v>96.71</v>
      </c>
      <c r="ADF10">
        <f>SOFR3mo_PX[[#This Row],[Column786]]</f>
        <v>96.694999999999993</v>
      </c>
      <c r="ADG10">
        <f>SOFR3mo_PX[[#This Row],[Column787]]</f>
        <v>96.694999999999993</v>
      </c>
      <c r="ADH10">
        <f>SOFR3mo_PX[[#This Row],[Column788]]</f>
        <v>96.685000000000002</v>
      </c>
      <c r="ADI10">
        <f>SOFR3mo_PX[[#This Row],[Column789]]</f>
        <v>96.614999999999995</v>
      </c>
      <c r="ADJ10">
        <f>SOFR3mo_PX[[#This Row],[Column790]]</f>
        <v>96.32</v>
      </c>
      <c r="ADK10">
        <f>SOFR3mo_PX[[#This Row],[Column791]]</f>
        <v>96.344999999999999</v>
      </c>
      <c r="ADL10">
        <f>SOFR3mo_PX[[#This Row],[Column792]]</f>
        <v>96.59</v>
      </c>
      <c r="ADM10">
        <f>SOFR3mo_PX[[#This Row],[Column793]]</f>
        <v>96.83</v>
      </c>
      <c r="ADN10">
        <f>SOFR3mo_PX[[#This Row],[Column794]]</f>
        <v>96.9</v>
      </c>
      <c r="ADO10">
        <f>SOFR3mo_PX[[#This Row],[Column795]]</f>
        <v>96.935000000000002</v>
      </c>
      <c r="ADP10">
        <f>SOFR3mo_PX[[#This Row],[Column796]]</f>
        <v>96.905000000000001</v>
      </c>
      <c r="ADQ10">
        <f>SOFR3mo_PX[[#This Row],[Column797]]</f>
        <v>97.004999999999995</v>
      </c>
      <c r="ADR10">
        <f>SOFR3mo_PX[[#This Row],[Column798]]</f>
        <v>97.06</v>
      </c>
      <c r="ADS10">
        <f>SOFR3mo_PX[[#This Row],[Column799]]</f>
        <v>97.03</v>
      </c>
      <c r="ADT10">
        <f>SOFR3mo_PX[[#This Row],[Column800]]</f>
        <v>97.2</v>
      </c>
      <c r="ADU10">
        <f>SOFR3mo_PX[[#This Row],[Column801]]</f>
        <v>97.254999999999995</v>
      </c>
      <c r="ADV10">
        <f>SOFR3mo_PX[[#This Row],[Column802]]</f>
        <v>97.254999999999995</v>
      </c>
      <c r="ADW10">
        <f>SOFR3mo_PX[[#This Row],[Column803]]</f>
        <v>97.29</v>
      </c>
      <c r="ADX10">
        <f>SOFR3mo_PX[[#This Row],[Column804]]</f>
        <v>97.305000000000007</v>
      </c>
      <c r="ADY10">
        <f>SOFR3mo_PX[[#This Row],[Column805]]</f>
        <v>97.29</v>
      </c>
      <c r="ADZ10">
        <f>SOFR3mo_PX[[#This Row],[Column806]]</f>
        <v>97.15</v>
      </c>
      <c r="AEA10">
        <f>SOFR3mo_PX[[#This Row],[Column807]]</f>
        <v>97.21</v>
      </c>
      <c r="AEB10">
        <f>SOFR3mo_PX[[#This Row],[Column808]]</f>
        <v>97.125</v>
      </c>
      <c r="AEC10">
        <f>SOFR3mo_PX[[#This Row],[Column809]]</f>
        <v>97.045000000000002</v>
      </c>
      <c r="AED10">
        <f>SOFR3mo_PX[[#This Row],[Column810]]</f>
        <v>97</v>
      </c>
      <c r="AEE10">
        <f>SOFR3mo_PX[[#This Row],[Column811]]</f>
        <v>97.174999999999997</v>
      </c>
      <c r="AEF10">
        <f>SOFR3mo_PX[[#This Row],[Column812]]</f>
        <v>97.1</v>
      </c>
      <c r="AEG10">
        <f>SOFR3mo_PX[[#This Row],[Column813]]</f>
        <v>97.18</v>
      </c>
      <c r="AEH10">
        <f>SOFR3mo_PX[[#This Row],[Column814]]</f>
        <v>97.03</v>
      </c>
      <c r="AEI10">
        <f>SOFR3mo_PX[[#This Row],[Column815]]</f>
        <v>97.004999999999995</v>
      </c>
      <c r="AEJ10">
        <f>SOFR3mo_PX[[#This Row],[Column816]]</f>
        <v>96.974999999999994</v>
      </c>
      <c r="AEK10">
        <f>SOFR3mo_PX[[#This Row],[Column817]]</f>
        <v>96.85</v>
      </c>
      <c r="AEL10">
        <f>SOFR3mo_PX[[#This Row],[Column818]]</f>
        <v>96.814999999999998</v>
      </c>
      <c r="AEM10">
        <f>SOFR3mo_PX[[#This Row],[Column819]]</f>
        <v>96.94</v>
      </c>
      <c r="AEN10">
        <f>SOFR3mo_PX[[#This Row],[Column820]]</f>
        <v>96.79</v>
      </c>
      <c r="AEO10">
        <f>SOFR3mo_PX[[#This Row],[Column821]]</f>
        <v>96.79</v>
      </c>
      <c r="AEP10">
        <f>SOFR3mo_PX[[#This Row],[Column822]]</f>
        <v>96.87</v>
      </c>
      <c r="AEQ10">
        <f>SOFR3mo_PX[[#This Row],[Column823]]</f>
        <v>96.91</v>
      </c>
      <c r="AER10">
        <f>SOFR3mo_PX[[#This Row],[Column824]]</f>
        <v>97.01</v>
      </c>
      <c r="AES10">
        <f>SOFR3mo_PX[[#This Row],[Column825]]</f>
        <v>97.04</v>
      </c>
      <c r="AET10">
        <f>SOFR3mo_PX[[#This Row],[Column826]]</f>
        <v>96.92</v>
      </c>
      <c r="AEU10">
        <f>SOFR3mo_PX[[#This Row],[Column827]]</f>
        <v>96.805000000000007</v>
      </c>
      <c r="AEV10">
        <f>SOFR3mo_PX[[#This Row],[Column828]]</f>
        <v>96.77</v>
      </c>
      <c r="AEW10">
        <f>SOFR3mo_PX[[#This Row],[Column829]]</f>
        <v>96.9</v>
      </c>
      <c r="AEX10">
        <f>SOFR3mo_PX[[#This Row],[Column830]]</f>
        <v>96.88</v>
      </c>
      <c r="AEY10">
        <f>SOFR3mo_PX[[#This Row],[Column831]]</f>
        <v>97.03</v>
      </c>
      <c r="AEZ10">
        <f>SOFR3mo_PX[[#This Row],[Column832]]</f>
        <v>97.055000000000007</v>
      </c>
      <c r="AFA10">
        <f>SOFR3mo_PX[[#This Row],[Column833]]</f>
        <v>97.055000000000007</v>
      </c>
      <c r="AFB10">
        <f>SOFR3mo_PX[[#This Row],[Column834]]</f>
        <v>97.19</v>
      </c>
      <c r="AFC10">
        <f>SOFR3mo_PX[[#This Row],[Column835]]</f>
        <v>97.135000000000005</v>
      </c>
      <c r="AFD10">
        <f>SOFR3mo_PX[[#This Row],[Column836]]</f>
        <v>96.944999999999993</v>
      </c>
      <c r="AFE10">
        <f>SOFR3mo_PX[[#This Row],[Column837]]</f>
        <v>96.894999999999996</v>
      </c>
      <c r="AFF10">
        <f>SOFR3mo_PX[[#This Row],[Column838]]</f>
        <v>97.02</v>
      </c>
      <c r="AFG10">
        <f>SOFR3mo_PX[[#This Row],[Column839]]</f>
        <v>96.954999999999998</v>
      </c>
      <c r="AFH10">
        <f>SOFR3mo_PX[[#This Row],[Column840]]</f>
        <v>96.95</v>
      </c>
      <c r="AFI10">
        <f>SOFR3mo_PX[[#This Row],[Column841]]</f>
        <v>97.05</v>
      </c>
      <c r="AFJ10">
        <f>SOFR3mo_PX[[#This Row],[Column842]]</f>
        <v>97.045000000000002</v>
      </c>
      <c r="AFK10">
        <f>SOFR3mo_PX[[#This Row],[Column843]]</f>
        <v>97.23</v>
      </c>
      <c r="AFL10">
        <f>SOFR3mo_PX[[#This Row],[Column844]]</f>
        <v>97.19</v>
      </c>
      <c r="AFM10">
        <f>SOFR3mo_PX[[#This Row],[Column845]]</f>
        <v>97.144999999999996</v>
      </c>
      <c r="AFN10">
        <f>SOFR3mo_PX[[#This Row],[Column846]]</f>
        <v>97.12</v>
      </c>
      <c r="AFO10">
        <f>SOFR3mo_PX[[#This Row],[Column847]]</f>
        <v>97.18</v>
      </c>
      <c r="AFP10">
        <f>SOFR3mo_PX[[#This Row],[Column848]]</f>
        <v>97.39</v>
      </c>
      <c r="AFQ10">
        <f>SOFR3mo_PX[[#This Row],[Column849]]</f>
        <v>97.405000000000001</v>
      </c>
      <c r="AFR10">
        <f>SOFR3mo_PX[[#This Row],[Column850]]</f>
        <v>97.34</v>
      </c>
      <c r="AFS10">
        <f>SOFR3mo_PX[[#This Row],[Column851]]</f>
        <v>97.35</v>
      </c>
      <c r="AFT10">
        <f>SOFR3mo_PX[[#This Row],[Column852]]</f>
        <v>97.545000000000002</v>
      </c>
      <c r="AFU10">
        <f>SOFR3mo_PX[[#This Row],[Column853]]</f>
        <v>97.55</v>
      </c>
      <c r="AFV10">
        <f>SOFR3mo_PX[[#This Row],[Column854]]</f>
        <v>97.545000000000002</v>
      </c>
      <c r="AFW10">
        <f>SOFR3mo_PX[[#This Row],[Column855]]</f>
        <v>97.64</v>
      </c>
      <c r="AFX10">
        <f>SOFR3mo_PX[[#This Row],[Column856]]</f>
        <v>97.66</v>
      </c>
      <c r="AFY10">
        <f>SOFR3mo_PX[[#This Row],[Column857]]</f>
        <v>97.814999999999998</v>
      </c>
      <c r="AFZ10">
        <f>SOFR3mo_PX[[#This Row],[Column858]]</f>
        <v>97.86</v>
      </c>
      <c r="AGA10">
        <f>SOFR3mo_PX[[#This Row],[Column859]]</f>
        <v>97.905000000000001</v>
      </c>
      <c r="AGB10">
        <f>SOFR3mo_PX[[#This Row],[Column860]]</f>
        <v>97.99</v>
      </c>
      <c r="AGC10">
        <f>SOFR3mo_PX[[#This Row],[Column861]]</f>
        <v>98.114999999999995</v>
      </c>
      <c r="AGD10">
        <f>SOFR3mo_PX[[#This Row],[Column862]]</f>
        <v>98.174999999999997</v>
      </c>
      <c r="AGE10">
        <f>SOFR3mo_PX[[#This Row],[Column863]]</f>
        <v>98.07</v>
      </c>
      <c r="AGF10">
        <f>SOFR3mo_PX[[#This Row],[Column864]]</f>
        <v>98.094999999999999</v>
      </c>
      <c r="AGG10">
        <f>SOFR3mo_PX[[#This Row],[Column865]]</f>
        <v>98.364999999999995</v>
      </c>
      <c r="AGH10">
        <f>SOFR3mo_PX[[#This Row],[Column866]]</f>
        <v>98.125</v>
      </c>
      <c r="AGI10">
        <f>SOFR3mo_PX[[#This Row],[Column867]]</f>
        <v>97.91</v>
      </c>
      <c r="AGJ10">
        <f>SOFR3mo_PX[[#This Row],[Column868]]</f>
        <v>97.96</v>
      </c>
      <c r="AGK10">
        <f>SOFR3mo_PX[[#This Row],[Column869]]</f>
        <v>97.93</v>
      </c>
      <c r="AGL10">
        <f>SOFR3mo_PX[[#This Row],[Column870]]</f>
        <v>97.965000000000003</v>
      </c>
      <c r="AGM10">
        <f>SOFR3mo_PX[[#This Row],[Column871]]</f>
        <v>98.03</v>
      </c>
      <c r="AGN10">
        <f>SOFR3mo_PX[[#This Row],[Column872]]</f>
        <v>98.03</v>
      </c>
      <c r="AGO10">
        <f>SOFR3mo_PX[[#This Row],[Column873]]</f>
        <v>98.01</v>
      </c>
      <c r="AGP10">
        <f>SOFR3mo_PX[[#This Row],[Column874]]</f>
        <v>97.94</v>
      </c>
      <c r="AGQ10">
        <f>SOFR3mo_PX[[#This Row],[Column875]]</f>
        <v>97.9</v>
      </c>
      <c r="AGR10">
        <f>SOFR3mo_PX[[#This Row],[Column876]]</f>
        <v>97.91</v>
      </c>
      <c r="AGS10">
        <f>SOFR3mo_PX[[#This Row],[Column877]]</f>
        <v>97.99</v>
      </c>
      <c r="AGT10">
        <f>SOFR3mo_PX[[#This Row],[Column878]]</f>
        <v>97.915000000000006</v>
      </c>
      <c r="AGU10">
        <f>SOFR3mo_PX[[#This Row],[Column879]]</f>
        <v>98.13</v>
      </c>
      <c r="AGV10">
        <f>SOFR3mo_PX[[#This Row],[Column880]]</f>
        <v>98.125</v>
      </c>
      <c r="AGW10">
        <f>SOFR3mo_PX[[#This Row],[Column881]]</f>
        <v>98.185000000000002</v>
      </c>
      <c r="AGX10">
        <f>SOFR3mo_PX[[#This Row],[Column882]]</f>
        <v>98.17</v>
      </c>
      <c r="AGY10">
        <f>SOFR3mo_PX[[#This Row],[Column883]]</f>
        <v>98.314999999999998</v>
      </c>
      <c r="AGZ10">
        <f>SOFR3mo_PX[[#This Row],[Column884]]</f>
        <v>98.36</v>
      </c>
      <c r="AHA10">
        <f>SOFR3mo_PX[[#This Row],[Column885]]</f>
        <v>98.36</v>
      </c>
      <c r="AHB10">
        <f>SOFR3mo_PX[[#This Row],[Column886]]</f>
        <v>98.37</v>
      </c>
      <c r="AHC10">
        <f>SOFR3mo_PX[[#This Row],[Column887]]</f>
        <v>98.34</v>
      </c>
      <c r="AHD10">
        <f>SOFR3mo_PX[[#This Row],[Column888]]</f>
        <v>98.31</v>
      </c>
      <c r="AHE10">
        <f>SOFR3mo_PX[[#This Row],[Column889]]</f>
        <v>98.4</v>
      </c>
      <c r="AHF10">
        <f>SOFR3mo_PX[[#This Row],[Column890]]</f>
        <v>98.5</v>
      </c>
      <c r="AHG10">
        <f>SOFR3mo_PX[[#This Row],[Column891]]</f>
        <v>98.55</v>
      </c>
      <c r="AHH10">
        <f>SOFR3mo_PX[[#This Row],[Column892]]</f>
        <v>98.454999999999998</v>
      </c>
      <c r="AHI10">
        <f>SOFR3mo_PX[[#This Row],[Column893]]</f>
        <v>98.364999999999995</v>
      </c>
      <c r="AHJ10">
        <f>SOFR3mo_PX[[#This Row],[Column894]]</f>
        <v>98.39</v>
      </c>
      <c r="AHK10">
        <f>SOFR3mo_PX[[#This Row],[Column895]]</f>
        <v>98.35</v>
      </c>
      <c r="AHL10">
        <f>SOFR3mo_PX[[#This Row],[Column896]]</f>
        <v>98.424999999999997</v>
      </c>
      <c r="AHM10">
        <f>SOFR3mo_PX[[#This Row],[Column897]]</f>
        <v>98.424999999999997</v>
      </c>
      <c r="AHN10">
        <f>SOFR3mo_PX[[#This Row],[Column898]]</f>
        <v>98.53</v>
      </c>
      <c r="AHO10">
        <f>SOFR3mo_PX[[#This Row],[Column899]]</f>
        <v>98.51</v>
      </c>
      <c r="AHP10">
        <f>SOFR3mo_PX[[#This Row],[Column900]]</f>
        <v>98.49</v>
      </c>
      <c r="AHQ10">
        <f>SOFR3mo_PX[[#This Row],[Column901]]</f>
        <v>98.46</v>
      </c>
      <c r="AHR10">
        <f>SOFR3mo_PX[[#This Row],[Column902]]</f>
        <v>98.51</v>
      </c>
      <c r="AHS10">
        <f>SOFR3mo_PX[[#This Row],[Column903]]</f>
        <v>98.54</v>
      </c>
      <c r="AHT10">
        <f>SOFR3mo_PX[[#This Row],[Column904]]</f>
        <v>98.59</v>
      </c>
      <c r="AHU10">
        <f>SOFR3mo_PX[[#This Row],[Column905]]</f>
        <v>98.68</v>
      </c>
      <c r="AHV10">
        <f>SOFR3mo_PX[[#This Row],[Column906]]</f>
        <v>98.65</v>
      </c>
      <c r="AHW10">
        <f>SOFR3mo_PX[[#This Row],[Column907]]</f>
        <v>98.75</v>
      </c>
      <c r="AHX10">
        <f>SOFR3mo_PX[[#This Row],[Column908]]</f>
        <v>98.734999999999999</v>
      </c>
      <c r="AHY10">
        <f>SOFR3mo_PX[[#This Row],[Column909]]</f>
        <v>98.71</v>
      </c>
      <c r="AHZ10">
        <f>SOFR3mo_PX[[#This Row],[Column910]]</f>
        <v>98.724999999999994</v>
      </c>
      <c r="AIA10">
        <f>SOFR3mo_PX[[#This Row],[Column911]]</f>
        <v>98.71</v>
      </c>
      <c r="AIB10">
        <f>SOFR3mo_PX[[#This Row],[Column912]]</f>
        <v>98.73</v>
      </c>
      <c r="AIC10">
        <f>SOFR3mo_PX[[#This Row],[Column913]]</f>
        <v>98.73</v>
      </c>
      <c r="AID10">
        <f>SOFR3mo_PX[[#This Row],[Column914]]</f>
        <v>98.745000000000005</v>
      </c>
      <c r="AIE10">
        <f>SOFR3mo_PX[[#This Row],[Column915]]</f>
        <v>98.734999999999999</v>
      </c>
      <c r="AIF10">
        <f>SOFR3mo_PX[[#This Row],[Column916]]</f>
        <v>98.81</v>
      </c>
      <c r="AIG10">
        <f>SOFR3mo_PX[[#This Row],[Column917]]</f>
        <v>98.79</v>
      </c>
      <c r="AIH10">
        <f>SOFR3mo_PX[[#This Row],[Column918]]</f>
        <v>98.805000000000007</v>
      </c>
      <c r="AII10">
        <f>SOFR3mo_PX[[#This Row],[Column919]]</f>
        <v>98.69</v>
      </c>
      <c r="AIJ10">
        <f>SOFR3mo_PX[[#This Row],[Column920]]</f>
        <v>98.844999999999999</v>
      </c>
      <c r="AIK10">
        <f>SOFR3mo_PX[[#This Row],[Column921]]</f>
        <v>98.87</v>
      </c>
      <c r="AIL10">
        <f>SOFR3mo_PX[[#This Row],[Column922]]</f>
        <v>98.83</v>
      </c>
      <c r="AIM10">
        <f>SOFR3mo_PX[[#This Row],[Column923]]</f>
        <v>98.784999999999997</v>
      </c>
      <c r="AIN10">
        <f>SOFR3mo_PX[[#This Row],[Column924]]</f>
        <v>98.8</v>
      </c>
      <c r="AIO10">
        <f>SOFR3mo_PX[[#This Row],[Column925]]</f>
        <v>98.765000000000001</v>
      </c>
      <c r="AIP10">
        <f>SOFR3mo_PX[[#This Row],[Column926]]</f>
        <v>98.83</v>
      </c>
      <c r="AIQ10">
        <f>SOFR3mo_PX[[#This Row],[Column927]]</f>
        <v>98.894999999999996</v>
      </c>
      <c r="AIR10">
        <f>SOFR3mo_PX[[#This Row],[Column928]]</f>
        <v>98.84</v>
      </c>
      <c r="AIS10">
        <f>SOFR3mo_PX[[#This Row],[Column929]]</f>
        <v>98.91</v>
      </c>
      <c r="AIT10">
        <f>SOFR3mo_PX[[#This Row],[Column930]]</f>
        <v>98.95</v>
      </c>
      <c r="AIU10">
        <f>SOFR3mo_PX[[#This Row],[Column931]]</f>
        <v>98.974999999999994</v>
      </c>
      <c r="AIV10">
        <f>SOFR3mo_PX[[#This Row],[Column932]]</f>
        <v>98.98</v>
      </c>
      <c r="AIW10">
        <f>SOFR3mo_PX[[#This Row],[Column933]]</f>
        <v>98.775000000000006</v>
      </c>
      <c r="AIX10">
        <f>SOFR3mo_PX[[#This Row],[Column934]]</f>
        <v>98.775000000000006</v>
      </c>
      <c r="AIY10">
        <f>SOFR3mo_PX[[#This Row],[Column935]]</f>
        <v>98.82</v>
      </c>
      <c r="AIZ10">
        <f>SOFR3mo_PX[[#This Row],[Column936]]</f>
        <v>98.784999999999997</v>
      </c>
      <c r="AJA10">
        <f>SOFR3mo_PX[[#This Row],[Column937]]</f>
        <v>98.915000000000006</v>
      </c>
      <c r="AJB10">
        <f>SOFR3mo_PX[[#This Row],[Column938]]</f>
        <v>98.91</v>
      </c>
      <c r="AJC10">
        <f>SOFR3mo_PX[[#This Row],[Column939]]</f>
        <v>98.885000000000005</v>
      </c>
      <c r="AJD10">
        <f>SOFR3mo_PX[[#This Row],[Column940]]</f>
        <v>98.855000000000004</v>
      </c>
      <c r="AJE10">
        <f>SOFR3mo_PX[[#This Row],[Column941]]</f>
        <v>98.86</v>
      </c>
      <c r="AJF10">
        <f>SOFR3mo_PX[[#This Row],[Column942]]</f>
        <v>98.86</v>
      </c>
      <c r="AJG10">
        <f>SOFR3mo_PX[[#This Row],[Column943]]</f>
        <v>98.844999999999999</v>
      </c>
      <c r="AJH10">
        <f>SOFR3mo_PX[[#This Row],[Column944]]</f>
        <v>98.92</v>
      </c>
      <c r="AJI10">
        <f>SOFR3mo_PX[[#This Row],[Column945]]</f>
        <v>99.1</v>
      </c>
      <c r="AJJ10">
        <f>SOFR3mo_PX[[#This Row],[Column946]]</f>
        <v>99.064999999999998</v>
      </c>
      <c r="AJK10">
        <f>SOFR3mo_PX[[#This Row],[Column947]]</f>
        <v>99.15</v>
      </c>
      <c r="AJL10">
        <f>SOFR3mo_PX[[#This Row],[Column948]]</f>
        <v>99.094999999999999</v>
      </c>
      <c r="AJM10">
        <f>SOFR3mo_PX[[#This Row],[Column949]]</f>
        <v>98.98</v>
      </c>
      <c r="AJN10">
        <f>SOFR3mo_PX[[#This Row],[Column950]]</f>
        <v>99.025000000000006</v>
      </c>
      <c r="AJO10">
        <f>SOFR3mo_PX[[#This Row],[Column951]]</f>
        <v>98.94</v>
      </c>
      <c r="AJP10">
        <f>SOFR3mo_PX[[#This Row],[Column952]]</f>
        <v>98.95</v>
      </c>
      <c r="AJQ10">
        <f>SOFR3mo_PX[[#This Row],[Column953]]</f>
        <v>98.974999999999994</v>
      </c>
      <c r="AJR10">
        <f>SOFR3mo_PX[[#This Row],[Column954]]</f>
        <v>98.995000000000005</v>
      </c>
      <c r="AJS10">
        <f>SOFR3mo_PX[[#This Row],[Column955]]</f>
        <v>99.02</v>
      </c>
      <c r="AJT10">
        <f>SOFR3mo_PX[[#This Row],[Column956]]</f>
        <v>99.04</v>
      </c>
      <c r="AJU10">
        <f>SOFR3mo_PX[[#This Row],[Column957]]</f>
        <v>98.99</v>
      </c>
      <c r="AJV10">
        <f>SOFR3mo_PX[[#This Row],[Column958]]</f>
        <v>99.025000000000006</v>
      </c>
      <c r="AJW10">
        <f>SOFR3mo_PX[[#This Row],[Column959]]</f>
        <v>99.12</v>
      </c>
      <c r="AJX10">
        <f>SOFR3mo_PX[[#This Row],[Column960]]</f>
        <v>99.105000000000004</v>
      </c>
      <c r="AJY10">
        <f>SOFR3mo_PX[[#This Row],[Column961]]</f>
        <v>99.064999999999998</v>
      </c>
      <c r="AJZ10">
        <f>SOFR3mo_PX[[#This Row],[Column962]]</f>
        <v>99.114999999999995</v>
      </c>
      <c r="AKA10">
        <f>SOFR3mo_PX[[#This Row],[Column963]]</f>
        <v>99.215000000000003</v>
      </c>
      <c r="AKB10">
        <f>SOFR3mo_PX[[#This Row],[Column964]]</f>
        <v>99.174999999999997</v>
      </c>
      <c r="AKC10">
        <f>SOFR3mo_PX[[#This Row],[Column965]]</f>
        <v>99.24</v>
      </c>
      <c r="AKD10">
        <f>SOFR3mo_PX[[#This Row],[Column966]]</f>
        <v>99.26</v>
      </c>
      <c r="AKE10">
        <f>SOFR3mo_PX[[#This Row],[Column967]]</f>
        <v>99.31</v>
      </c>
      <c r="AKF10">
        <f>SOFR3mo_PX[[#This Row],[Column968]]</f>
        <v>99.344999999999999</v>
      </c>
      <c r="AKG10">
        <f>SOFR3mo_PX[[#This Row],[Column969]]</f>
        <v>99.375</v>
      </c>
      <c r="AKH10">
        <f>SOFR3mo_PX[[#This Row],[Column970]]</f>
        <v>99.4</v>
      </c>
      <c r="AKI10">
        <f>SOFR3mo_PX[[#This Row],[Column971]]</f>
        <v>99.424999999999997</v>
      </c>
      <c r="AKJ10">
        <f>SOFR3mo_PX[[#This Row],[Column972]]</f>
        <v>99.435000000000002</v>
      </c>
      <c r="AKK10">
        <f>SOFR3mo_PX[[#This Row],[Column973]]</f>
        <v>99.385000000000005</v>
      </c>
      <c r="AKL10">
        <f>SOFR3mo_PX[[#This Row],[Column974]]</f>
        <v>99.37</v>
      </c>
      <c r="AKM10">
        <f>SOFR3mo_PX[[#This Row],[Column975]]</f>
        <v>99.344999999999999</v>
      </c>
      <c r="AKN10">
        <f>SOFR3mo_PX[[#This Row],[Column976]]</f>
        <v>99.344999999999999</v>
      </c>
      <c r="AKO10">
        <f>SOFR3mo_PX[[#This Row],[Column977]]</f>
        <v>99.36</v>
      </c>
      <c r="AKP10">
        <f>SOFR3mo_PX[[#This Row],[Column978]]</f>
        <v>99.385000000000005</v>
      </c>
      <c r="AKQ10">
        <f>SOFR3mo_PX[[#This Row],[Column979]]</f>
        <v>99.435000000000002</v>
      </c>
      <c r="AKR10">
        <f>SOFR3mo_PX[[#This Row],[Column980]]</f>
        <v>99.495000000000005</v>
      </c>
      <c r="AKS10">
        <f>SOFR3mo_PX[[#This Row],[Column981]]</f>
        <v>99.495000000000005</v>
      </c>
      <c r="AKT10">
        <f>SOFR3mo_PX[[#This Row],[Column982]]</f>
        <v>99.465000000000003</v>
      </c>
      <c r="AKU10">
        <f>SOFR3mo_PX[[#This Row],[Column983]]</f>
        <v>99.48</v>
      </c>
      <c r="AKV10">
        <f>SOFR3mo_PX[[#This Row],[Column984]]</f>
        <v>99.504999999999995</v>
      </c>
      <c r="AKW10">
        <f>SOFR3mo_PX[[#This Row],[Column985]]</f>
        <v>99.64</v>
      </c>
      <c r="AKX10">
        <f>SOFR3mo_PX[[#This Row],[Column986]]</f>
        <v>99.63</v>
      </c>
      <c r="AKY10">
        <f>SOFR3mo_PX[[#This Row],[Column987]]</f>
        <v>99.625</v>
      </c>
      <c r="AKZ10">
        <f>SOFR3mo_PX[[#This Row],[Column988]]</f>
        <v>99.64</v>
      </c>
      <c r="ALA10">
        <f>SOFR3mo_PX[[#This Row],[Column989]]</f>
        <v>99.635000000000005</v>
      </c>
      <c r="ALB10">
        <f>SOFR3mo_PX[[#This Row],[Column990]]</f>
        <v>99.635000000000005</v>
      </c>
      <c r="ALC10">
        <f>SOFR3mo_PX[[#This Row],[Column991]]</f>
        <v>99.655000000000001</v>
      </c>
      <c r="ALD10">
        <f>SOFR3mo_PX[[#This Row],[Column992]]</f>
        <v>99.655000000000001</v>
      </c>
      <c r="ALE10">
        <f>SOFR3mo_PX[[#This Row],[Column993]]</f>
        <v>99.644999999999996</v>
      </c>
      <c r="ALF10">
        <f>SOFR3mo_PX[[#This Row],[Column994]]</f>
        <v>99.635000000000005</v>
      </c>
      <c r="ALG10">
        <f>SOFR3mo_PX[[#This Row],[Column995]]</f>
        <v>99.64</v>
      </c>
      <c r="ALH10">
        <f>SOFR3mo_PX[[#This Row],[Column996]]</f>
        <v>99.635000000000005</v>
      </c>
      <c r="ALI10">
        <f>SOFR3mo_PX[[#This Row],[Column997]]</f>
        <v>99.614999999999995</v>
      </c>
      <c r="ALJ10">
        <f>SOFR3mo_PX[[#This Row],[Column998]]</f>
        <v>99.584999999999994</v>
      </c>
      <c r="ALK10">
        <f>SOFR3mo_PX[[#This Row],[Column999]]</f>
        <v>99.584999999999994</v>
      </c>
      <c r="ALL10">
        <f>SOFR3mo_PX[[#This Row],[Column1000]]</f>
        <v>99.594999999999999</v>
      </c>
      <c r="ALM10">
        <f>SOFR3mo_PX[[#This Row],[Column1001]]</f>
        <v>99.6</v>
      </c>
      <c r="ALN10">
        <f>SOFR3mo_PX[[#This Row],[Column1002]]</f>
        <v>99.59</v>
      </c>
      <c r="ALO10">
        <f>SOFR3mo_PX[[#This Row],[Column1003]]</f>
        <v>99.594999999999999</v>
      </c>
      <c r="ALP10">
        <f>SOFR3mo_PX[[#This Row],[Column1004]]</f>
        <v>99.594999999999999</v>
      </c>
      <c r="ALQ10">
        <f>SOFR3mo_PX[[#This Row],[Column1005]]</f>
        <v>99.594999999999999</v>
      </c>
      <c r="ALR10">
        <f>SOFR3mo_PX[[#This Row],[Column1006]]</f>
        <v>99.61</v>
      </c>
      <c r="ALS10">
        <f>SOFR3mo_PX[[#This Row],[Column1007]]</f>
        <v>99.59</v>
      </c>
      <c r="ALT10">
        <f>SOFR3mo_PX[[#This Row],[Column1008]]</f>
        <v>99.564999999999998</v>
      </c>
      <c r="ALU10">
        <f>SOFR3mo_PX[[#This Row],[Column1009]]</f>
        <v>99.58</v>
      </c>
      <c r="ALV10">
        <f>SOFR3mo_PX[[#This Row],[Column1010]]</f>
        <v>99.55</v>
      </c>
      <c r="ALW10">
        <f>SOFR3mo_PX[[#This Row],[Column1011]]</f>
        <v>99.58</v>
      </c>
      <c r="ALX10">
        <f>SOFR3mo_PX[[#This Row],[Column1012]]</f>
        <v>99.594999999999999</v>
      </c>
      <c r="ALY10">
        <f>SOFR3mo_PX[[#This Row],[Column1013]]</f>
        <v>99.635000000000005</v>
      </c>
      <c r="ALZ10">
        <f>SOFR3mo_PX[[#This Row],[Column1014]]</f>
        <v>99.674999999999997</v>
      </c>
      <c r="AMA10">
        <f>SOFR3mo_PX[[#This Row],[Column1015]]</f>
        <v>99.71</v>
      </c>
      <c r="AMB10">
        <f>SOFR3mo_PX[[#This Row],[Column1016]]</f>
        <v>99.704999999999998</v>
      </c>
      <c r="AMC10">
        <f>SOFR3mo_PX[[#This Row],[Column1017]]</f>
        <v>99.67</v>
      </c>
      <c r="AMD10">
        <f>SOFR3mo_PX[[#This Row],[Column1018]]</f>
        <v>99.644999999999996</v>
      </c>
      <c r="AME10">
        <f>SOFR3mo_PX[[#This Row],[Column1019]]</f>
        <v>99.625</v>
      </c>
      <c r="AMF10">
        <f>SOFR3mo_PX[[#This Row],[Column1020]]</f>
        <v>99.665000000000006</v>
      </c>
      <c r="AMG10">
        <f>SOFR3mo_PX[[#This Row],[Column1021]]</f>
        <v>99.644999999999996</v>
      </c>
      <c r="AMH10">
        <f>SOFR3mo_PX[[#This Row],[Column1022]]</f>
        <v>99.644999999999996</v>
      </c>
      <c r="AMI10">
        <f>SOFR3mo_PX[[#This Row],[Column1023]]</f>
        <v>99.655000000000001</v>
      </c>
      <c r="AMJ10">
        <f>SOFR3mo_PX[[#This Row],[Column1024]]</f>
        <v>99.64</v>
      </c>
      <c r="AMK10">
        <f>SOFR3mo_PX[[#This Row],[Column1025]]</f>
        <v>99.685000000000002</v>
      </c>
      <c r="AML10">
        <f>SOFR3mo_PX[[#This Row],[Column1026]]</f>
        <v>99.65</v>
      </c>
      <c r="AMM10">
        <f>SOFR3mo_PX[[#This Row],[Column1027]]</f>
        <v>99.564999999999998</v>
      </c>
      <c r="AMN10">
        <f>SOFR3mo_PX[[#This Row],[Column1028]]</f>
        <v>99.564999999999998</v>
      </c>
      <c r="AMO10">
        <f>SOFR3mo_PX[[#This Row],[Column1029]]</f>
        <v>99.56</v>
      </c>
      <c r="AMP10">
        <f>SOFR3mo_PX[[#This Row],[Column1030]]</f>
        <v>99.52</v>
      </c>
      <c r="AMQ10">
        <f>SOFR3mo_PX[[#This Row],[Column1031]]</f>
        <v>99.594999999999999</v>
      </c>
      <c r="AMR10">
        <f>SOFR3mo_PX[[#This Row],[Column1032]]</f>
        <v>99.61</v>
      </c>
      <c r="AMS10">
        <f>SOFR3mo_PX[[#This Row],[Column1033]]</f>
        <v>99.655000000000001</v>
      </c>
      <c r="AMT10">
        <f>SOFR3mo_PX[[#This Row],[Column1034]]</f>
        <v>99.6</v>
      </c>
      <c r="AMU10">
        <f>SOFR3mo_PX[[#This Row],[Column1035]]</f>
        <v>99.584999999999994</v>
      </c>
      <c r="AMV10">
        <f>SOFR3mo_PX[[#This Row],[Column1036]]</f>
        <v>99.55</v>
      </c>
      <c r="AMW10">
        <f>SOFR3mo_PX[[#This Row],[Column1037]]</f>
        <v>99.55</v>
      </c>
      <c r="AMX10">
        <f>SOFR3mo_PX[[#This Row],[Column1038]]</f>
        <v>99.504999999999995</v>
      </c>
      <c r="AMY10">
        <f>SOFR3mo_PX[[#This Row],[Column1039]]</f>
        <v>99.525000000000006</v>
      </c>
      <c r="AMZ10">
        <f>SOFR3mo_PX[[#This Row],[Column1040]]</f>
        <v>99.52</v>
      </c>
      <c r="ANA10">
        <f>SOFR3mo_PX[[#This Row],[Column1041]]</f>
        <v>99.525000000000006</v>
      </c>
      <c r="ANB10">
        <f>SOFR3mo_PX[[#This Row],[Column1042]]</f>
        <v>99.504999999999995</v>
      </c>
      <c r="ANC10">
        <f>SOFR3mo_PX[[#This Row],[Column1043]]</f>
        <v>99.52</v>
      </c>
      <c r="AND10">
        <f>SOFR3mo_PX[[#This Row],[Column1044]]</f>
        <v>99.53</v>
      </c>
      <c r="ANE10">
        <f>SOFR3mo_PX[[#This Row],[Column1045]]</f>
        <v>99.564999999999998</v>
      </c>
      <c r="ANF10">
        <f>SOFR3mo_PX[[#This Row],[Column1046]]</f>
        <v>99.534999999999997</v>
      </c>
      <c r="ANG10">
        <f>SOFR3mo_PX[[#This Row],[Column1047]]</f>
        <v>99.53</v>
      </c>
      <c r="ANH10">
        <f>SOFR3mo_PX[[#This Row],[Column1048]]</f>
        <v>99.584999999999994</v>
      </c>
      <c r="ANI10">
        <f>SOFR3mo_PX[[#This Row],[Column1049]]</f>
        <v>99.625</v>
      </c>
      <c r="ANJ10">
        <f>SOFR3mo_PX[[#This Row],[Column1050]]</f>
        <v>99.784999999999997</v>
      </c>
      <c r="ANK10">
        <f>SOFR3mo_PX[[#This Row],[Column1051]]</f>
        <v>99.784999999999997</v>
      </c>
      <c r="ANL10">
        <f>SOFR3mo_PX[[#This Row],[Column1052]]</f>
        <v>99.8</v>
      </c>
      <c r="ANM10">
        <f>SOFR3mo_PX[[#This Row],[Column1053]]</f>
        <v>99.81</v>
      </c>
      <c r="ANN10">
        <f>SOFR3mo_PX[[#This Row],[Column1054]]</f>
        <v>99.81</v>
      </c>
      <c r="ANO10">
        <f>SOFR3mo_PX[[#This Row],[Column1055]]</f>
        <v>99.8</v>
      </c>
      <c r="ANP10">
        <f>SOFR3mo_PX[[#This Row],[Column1056]]</f>
        <v>99.8</v>
      </c>
      <c r="ANQ10">
        <f>SOFR3mo_PX[[#This Row],[Column1057]]</f>
        <v>99.8</v>
      </c>
      <c r="ANR10">
        <f>SOFR3mo_PX[[#This Row],[Column1058]]</f>
        <v>99.78</v>
      </c>
      <c r="ANS10">
        <f>SOFR3mo_PX[[#This Row],[Column1059]]</f>
        <v>99.79</v>
      </c>
      <c r="ANT10">
        <f>SOFR3mo_PX[[#This Row],[Column1060]]</f>
        <v>99.784999999999997</v>
      </c>
      <c r="ANU10">
        <f>SOFR3mo_PX[[#This Row],[Column1061]]</f>
        <v>99.79</v>
      </c>
      <c r="ANV10">
        <f>SOFR3mo_PX[[#This Row],[Column1062]]</f>
        <v>99.79</v>
      </c>
      <c r="ANW10">
        <f>SOFR3mo_PX[[#This Row],[Column1063]]</f>
        <v>99.79</v>
      </c>
      <c r="ANX10">
        <f>SOFR3mo_PX[[#This Row],[Column1064]]</f>
        <v>99.795000000000002</v>
      </c>
      <c r="ANY10">
        <f>SOFR3mo_PX[[#This Row],[Column1065]]</f>
        <v>99.795000000000002</v>
      </c>
      <c r="ANZ10">
        <f>SOFR3mo_PX[[#This Row],[Column1066]]</f>
        <v>99.775000000000006</v>
      </c>
      <c r="AOA10">
        <f>SOFR3mo_PX[[#This Row],[Column1067]]</f>
        <v>99.77</v>
      </c>
      <c r="AOB10">
        <f>SOFR3mo_PX[[#This Row],[Column1068]]</f>
        <v>99.77</v>
      </c>
      <c r="AOC10">
        <f>SOFR3mo_PX[[#This Row],[Column1069]]</f>
        <v>99.745000000000005</v>
      </c>
      <c r="AOD10">
        <f>SOFR3mo_PX[[#This Row],[Column1070]]</f>
        <v>99.765000000000001</v>
      </c>
      <c r="AOE10">
        <f>SOFR3mo_PX[[#This Row],[Column1071]]</f>
        <v>99.765000000000001</v>
      </c>
      <c r="AOF10">
        <f>SOFR3mo_PX[[#This Row],[Column1072]]</f>
        <v>99.765000000000001</v>
      </c>
      <c r="AOG10">
        <f>SOFR3mo_PX[[#This Row],[Column1073]]</f>
        <v>99.765000000000001</v>
      </c>
      <c r="AOH10">
        <f>SOFR3mo_PX[[#This Row],[Column1074]]</f>
        <v>99.75</v>
      </c>
      <c r="AOI10">
        <f>SOFR3mo_PX[[#This Row],[Column1075]]</f>
        <v>99.784999999999997</v>
      </c>
      <c r="AOJ10">
        <f>SOFR3mo_PX[[#This Row],[Column1076]]</f>
        <v>99.8</v>
      </c>
      <c r="AOK10">
        <f>SOFR3mo_PX[[#This Row],[Column1077]]</f>
        <v>99.81</v>
      </c>
      <c r="AOL10">
        <f>SOFR3mo_PX[[#This Row],[Column1078]]</f>
        <v>99.775000000000006</v>
      </c>
      <c r="AOM10">
        <f>SOFR3mo_PX[[#This Row],[Column1079]]</f>
        <v>99.77</v>
      </c>
      <c r="AON10">
        <f>SOFR3mo_PX[[#This Row],[Column1080]]</f>
        <v>99.765000000000001</v>
      </c>
      <c r="AOO10">
        <f>SOFR3mo_PX[[#This Row],[Column1081]]</f>
        <v>99.76</v>
      </c>
      <c r="AOP10">
        <f>SOFR3mo_PX[[#This Row],[Column1082]]</f>
        <v>99.75</v>
      </c>
      <c r="AOQ10">
        <f>SOFR3mo_PX[[#This Row],[Column1083]]</f>
        <v>99.75</v>
      </c>
      <c r="AOR10">
        <f>SOFR3mo_PX[[#This Row],[Column1084]]</f>
        <v>99.75</v>
      </c>
      <c r="AOS10">
        <f>SOFR3mo_PX[[#This Row],[Column1085]]</f>
        <v>99.74</v>
      </c>
      <c r="AOT10">
        <f>SOFR3mo_PX[[#This Row],[Column1086]]</f>
        <v>99.75</v>
      </c>
      <c r="AOU10">
        <f>SOFR3mo_PX[[#This Row],[Column1087]]</f>
        <v>99.754999999999995</v>
      </c>
      <c r="AOV10">
        <f>SOFR3mo_PX[[#This Row],[Column1088]]</f>
        <v>99.765000000000001</v>
      </c>
      <c r="AOW10">
        <f>SOFR3mo_PX[[#This Row],[Column1089]]</f>
        <v>99.77</v>
      </c>
      <c r="AOX10">
        <f>SOFR3mo_PX[[#This Row],[Column1090]]</f>
        <v>99.78</v>
      </c>
      <c r="AOY10">
        <f>SOFR3mo_PX[[#This Row],[Column1091]]</f>
        <v>99.77</v>
      </c>
      <c r="AOZ10">
        <f>SOFR3mo_PX[[#This Row],[Column1092]]</f>
        <v>99.76</v>
      </c>
      <c r="APA10">
        <f>SOFR3mo_PX[[#This Row],[Column1093]]</f>
        <v>99.775000000000006</v>
      </c>
      <c r="APB10">
        <f>SOFR3mo_PX[[#This Row],[Column1094]]</f>
        <v>99.75</v>
      </c>
      <c r="APC10">
        <f>SOFR3mo_PX[[#This Row],[Column1095]]</f>
        <v>99.76</v>
      </c>
      <c r="APD10">
        <f>SOFR3mo_PX[[#This Row],[Column1096]]</f>
        <v>99.724999999999994</v>
      </c>
      <c r="APE10">
        <f>SOFR3mo_PX[[#This Row],[Column1097]]</f>
        <v>99.74</v>
      </c>
      <c r="APF10">
        <f>SOFR3mo_PX[[#This Row],[Column1098]]</f>
        <v>99.75</v>
      </c>
      <c r="APG10">
        <f>SOFR3mo_PX[[#This Row],[Column1099]]</f>
        <v>99.74</v>
      </c>
      <c r="APH10">
        <f>SOFR3mo_PX[[#This Row],[Column1100]]</f>
        <v>99.71</v>
      </c>
      <c r="API10">
        <f>SOFR3mo_PX[[#This Row],[Column1101]]</f>
        <v>99.68</v>
      </c>
      <c r="APJ10">
        <f>SOFR3mo_PX[[#This Row],[Column1102]]</f>
        <v>99.655000000000001</v>
      </c>
      <c r="APK10">
        <f>SOFR3mo_PX[[#This Row],[Column1103]]</f>
        <v>99.71</v>
      </c>
      <c r="APL10">
        <f>SOFR3mo_PX[[#This Row],[Column1104]]</f>
        <v>99.71</v>
      </c>
      <c r="APM10">
        <f>SOFR3mo_PX[[#This Row],[Column1105]]</f>
        <v>99.724999999999994</v>
      </c>
      <c r="APN10">
        <f>SOFR3mo_PX[[#This Row],[Column1106]]</f>
        <v>99.734999999999999</v>
      </c>
      <c r="APO10">
        <f>SOFR3mo_PX[[#This Row],[Column1107]]</f>
        <v>99.754999999999995</v>
      </c>
      <c r="APP10">
        <f>SOFR3mo_PX[[#This Row],[Column1108]]</f>
        <v>99.765000000000001</v>
      </c>
      <c r="APQ10">
        <f>SOFR3mo_PX[[#This Row],[Column1109]]</f>
        <v>99.754999999999995</v>
      </c>
      <c r="APR10">
        <f>SOFR3mo_PX[[#This Row],[Column1110]]</f>
        <v>99.745000000000005</v>
      </c>
      <c r="APS10">
        <f>SOFR3mo_PX[[#This Row],[Column1111]]</f>
        <v>99.74</v>
      </c>
      <c r="APT10">
        <f>SOFR3mo_PX[[#This Row],[Column1112]]</f>
        <v>99.734999999999999</v>
      </c>
      <c r="APU10">
        <f>SOFR3mo_PX[[#This Row],[Column1113]]</f>
        <v>99.74</v>
      </c>
      <c r="APV10">
        <f>SOFR3mo_PX[[#This Row],[Column1114]]</f>
        <v>99.775000000000006</v>
      </c>
      <c r="APW10">
        <f>SOFR3mo_PX[[#This Row],[Column1115]]</f>
        <v>99.83</v>
      </c>
      <c r="APX10">
        <f>SOFR3mo_PX[[#This Row],[Column1116]]</f>
        <v>99.825000000000003</v>
      </c>
      <c r="APY10">
        <f>SOFR3mo_PX[[#This Row],[Column1117]]</f>
        <v>99.82</v>
      </c>
      <c r="APZ10">
        <f>SOFR3mo_PX[[#This Row],[Column1118]]</f>
        <v>99.84</v>
      </c>
      <c r="AQA10">
        <f>SOFR3mo_PX[[#This Row],[Column1119]]</f>
        <v>99.834999999999994</v>
      </c>
      <c r="AQB10">
        <f>SOFR3mo_PX[[#This Row],[Column1120]]</f>
        <v>99.825000000000003</v>
      </c>
      <c r="AQC10">
        <f>SOFR3mo_PX[[#This Row],[Column1121]]</f>
        <v>99.82</v>
      </c>
      <c r="AQD10">
        <f>SOFR3mo_PX[[#This Row],[Column1122]]</f>
        <v>99.844999999999999</v>
      </c>
      <c r="AQE10">
        <f>SOFR3mo_PX[[#This Row],[Column1123]]</f>
        <v>99.84</v>
      </c>
      <c r="AQF10">
        <f>SOFR3mo_PX[[#This Row],[Column1124]]</f>
        <v>99.84</v>
      </c>
      <c r="AQG10">
        <f>SOFR3mo_PX[[#This Row],[Column1125]]</f>
        <v>99.855000000000004</v>
      </c>
      <c r="AQH10">
        <f>SOFR3mo_PX[[#This Row],[Column1126]]</f>
        <v>99.855000000000004</v>
      </c>
      <c r="AQI10">
        <f>SOFR3mo_PX[[#This Row],[Column1127]]</f>
        <v>99.83</v>
      </c>
      <c r="AQJ10">
        <f>SOFR3mo_PX[[#This Row],[Column1128]]</f>
        <v>99.825000000000003</v>
      </c>
      <c r="AQK10">
        <f>SOFR3mo_PX[[#This Row],[Column1129]]</f>
        <v>99.885000000000005</v>
      </c>
      <c r="AQL10">
        <f>SOFR3mo_PX[[#This Row],[Column1130]]</f>
        <v>99.885000000000005</v>
      </c>
      <c r="AQM10">
        <f>SOFR3mo_PX[[#This Row],[Column1131]]</f>
        <v>99.885000000000005</v>
      </c>
      <c r="AQN10">
        <f>SOFR3mo_PX[[#This Row],[Column1132]]</f>
        <v>99.885000000000005</v>
      </c>
      <c r="AQO10">
        <f>SOFR3mo_PX[[#This Row],[Column1133]]</f>
        <v>99.89</v>
      </c>
      <c r="AQP10">
        <f>SOFR3mo_PX[[#This Row],[Column1134]]</f>
        <v>99.89</v>
      </c>
      <c r="AQQ10">
        <f>SOFR3mo_PX[[#This Row],[Column1135]]</f>
        <v>99.88</v>
      </c>
      <c r="AQR10">
        <f>SOFR3mo_PX[[#This Row],[Column1136]]</f>
        <v>99.9</v>
      </c>
      <c r="AQS10">
        <f>SOFR3mo_PX[[#This Row],[Column1137]]</f>
        <v>99.9</v>
      </c>
      <c r="AQT10">
        <f>SOFR3mo_PX[[#This Row],[Column1138]]</f>
        <v>99.905000000000001</v>
      </c>
      <c r="AQU10">
        <f>SOFR3mo_PX[[#This Row],[Column1139]]</f>
        <v>99.905000000000001</v>
      </c>
      <c r="AQV10">
        <f>SOFR3mo_PX[[#This Row],[Column1140]]</f>
        <v>99.9</v>
      </c>
      <c r="AQW10">
        <f>SOFR3mo_PX[[#This Row],[Column1141]]</f>
        <v>99.9</v>
      </c>
      <c r="AQX10">
        <f>SOFR3mo_PX[[#This Row],[Column1142]]</f>
        <v>99.91</v>
      </c>
      <c r="AQY10">
        <f>SOFR3mo_PX[[#This Row],[Column1143]]</f>
        <v>99.91</v>
      </c>
      <c r="AQZ10">
        <f>SOFR3mo_PX[[#This Row],[Column1144]]</f>
        <v>99.91</v>
      </c>
      <c r="ARA10">
        <f>SOFR3mo_PX[[#This Row],[Column1145]]</f>
        <v>99.915000000000006</v>
      </c>
      <c r="ARB10">
        <f>SOFR3mo_PX[[#This Row],[Column1146]]</f>
        <v>99.92</v>
      </c>
      <c r="ARC10">
        <f>SOFR3mo_PX[[#This Row],[Column1147]]</f>
        <v>99.915000000000006</v>
      </c>
      <c r="ARD10">
        <f>SOFR3mo_PX[[#This Row],[Column1148]]</f>
        <v>99.91</v>
      </c>
      <c r="ARE10">
        <f>SOFR3mo_PX[[#This Row],[Column1149]]</f>
        <v>99.915000000000006</v>
      </c>
      <c r="ARF10">
        <f>SOFR3mo_PX[[#This Row],[Column1150]]</f>
        <v>99.915000000000006</v>
      </c>
      <c r="ARG10">
        <f>SOFR3mo_PX[[#This Row],[Column1151]]</f>
        <v>99.915000000000006</v>
      </c>
      <c r="ARH10">
        <f>SOFR3mo_PX[[#This Row],[Column1152]]</f>
        <v>99.91</v>
      </c>
      <c r="ARI10">
        <f>SOFR3mo_PX[[#This Row],[Column1153]]</f>
        <v>99.91</v>
      </c>
      <c r="ARJ10">
        <f>SOFR3mo_PX[[#This Row],[Column1154]]</f>
        <v>99.905000000000001</v>
      </c>
      <c r="ARK10">
        <f>SOFR3mo_PX[[#This Row],[Column1155]]</f>
        <v>99.905000000000001</v>
      </c>
      <c r="ARL10">
        <f>SOFR3mo_PX[[#This Row],[Column1156]]</f>
        <v>99.905000000000001</v>
      </c>
      <c r="ARM10">
        <f>SOFR3mo_PX[[#This Row],[Column1157]]</f>
        <v>99.905000000000001</v>
      </c>
      <c r="ARN10">
        <f>SOFR3mo_PX[[#This Row],[Column1158]]</f>
        <v>99.9</v>
      </c>
      <c r="ARO10">
        <f>SOFR3mo_PX[[#This Row],[Column1159]]</f>
        <v>99.885000000000005</v>
      </c>
      <c r="ARP10">
        <f>SOFR3mo_PX[[#This Row],[Column1160]]</f>
        <v>99.88</v>
      </c>
      <c r="ARQ10">
        <f>SOFR3mo_PX[[#This Row],[Column1161]]</f>
        <v>99.88</v>
      </c>
      <c r="ARR10">
        <f>SOFR3mo_PX[[#This Row],[Column1162]]</f>
        <v>99.88</v>
      </c>
      <c r="ARS10">
        <f>SOFR3mo_PX[[#This Row],[Column1163]]</f>
        <v>99.89</v>
      </c>
      <c r="ART10">
        <f>SOFR3mo_PX[[#This Row],[Column1164]]</f>
        <v>99.91</v>
      </c>
      <c r="ARU10">
        <f>SOFR3mo_PX[[#This Row],[Column1165]]</f>
        <v>99.92</v>
      </c>
      <c r="ARV10">
        <f>SOFR3mo_PX[[#This Row],[Column1166]]</f>
        <v>99.924999999999997</v>
      </c>
      <c r="ARW10">
        <f>SOFR3mo_PX[[#This Row],[Column1167]]</f>
        <v>99.915000000000006</v>
      </c>
      <c r="ARX10">
        <f>SOFR3mo_PX[[#This Row],[Column1168]]</f>
        <v>99.915000000000006</v>
      </c>
      <c r="ARY10">
        <f>SOFR3mo_PX[[#This Row],[Column1169]]</f>
        <v>99.905000000000001</v>
      </c>
      <c r="ARZ10">
        <f>SOFR3mo_PX[[#This Row],[Column1170]]</f>
        <v>99.905000000000001</v>
      </c>
      <c r="ASA10">
        <f>SOFR3mo_PX[[#This Row],[Column1171]]</f>
        <v>99.905000000000001</v>
      </c>
      <c r="ASB10">
        <f>SOFR3mo_PX[[#This Row],[Column1172]]</f>
        <v>99.91</v>
      </c>
      <c r="ASC10">
        <f>SOFR3mo_PX[[#This Row],[Column1173]]</f>
        <v>99.91</v>
      </c>
      <c r="ASD10">
        <f>SOFR3mo_PX[[#This Row],[Column1174]]</f>
        <v>99.91</v>
      </c>
      <c r="ASE10">
        <f>SOFR3mo_PX[[#This Row],[Column1175]]</f>
        <v>99.915000000000006</v>
      </c>
      <c r="ASF10">
        <f>SOFR3mo_PX[[#This Row],[Column1176]]</f>
        <v>99.91</v>
      </c>
      <c r="ASG10">
        <f>SOFR3mo_PX[[#This Row],[Column1177]]</f>
        <v>99.91</v>
      </c>
      <c r="ASH10">
        <f>SOFR3mo_PX[[#This Row],[Column1178]]</f>
        <v>99.91</v>
      </c>
      <c r="ASI10">
        <f>SOFR3mo_PX[[#This Row],[Column1179]]</f>
        <v>99.91</v>
      </c>
      <c r="ASJ10">
        <f>SOFR3mo_PX[[#This Row],[Column1180]]</f>
        <v>99.924999999999997</v>
      </c>
      <c r="ASK10">
        <f>SOFR3mo_PX[[#This Row],[Column1181]]</f>
        <v>99.924999999999997</v>
      </c>
      <c r="ASL10">
        <f>SOFR3mo_PX[[#This Row],[Column1182]]</f>
        <v>99.92</v>
      </c>
      <c r="ASM10">
        <f>SOFR3mo_PX[[#This Row],[Column1183]]</f>
        <v>99.91</v>
      </c>
      <c r="ASN10">
        <f>SOFR3mo_PX[[#This Row],[Column1184]]</f>
        <v>99.905000000000001</v>
      </c>
      <c r="ASO10">
        <f>SOFR3mo_PX[[#This Row],[Column1185]]</f>
        <v>99.905000000000001</v>
      </c>
      <c r="ASP10">
        <f>SOFR3mo_PX[[#This Row],[Column1186]]</f>
        <v>99.905000000000001</v>
      </c>
      <c r="ASQ10">
        <f>SOFR3mo_PX[[#This Row],[Column1187]]</f>
        <v>99.894999999999996</v>
      </c>
      <c r="ASR10">
        <f>SOFR3mo_PX[[#This Row],[Column1188]]</f>
        <v>99.894999999999996</v>
      </c>
      <c r="ASS10">
        <f>SOFR3mo_PX[[#This Row],[Column1189]]</f>
        <v>99.9</v>
      </c>
      <c r="AST10">
        <f>SOFR3mo_PX[[#This Row],[Column1190]]</f>
        <v>99.9</v>
      </c>
      <c r="ASU10">
        <f>SOFR3mo_PX[[#This Row],[Column1191]]</f>
        <v>99.915000000000006</v>
      </c>
      <c r="ASV10">
        <f>SOFR3mo_PX[[#This Row],[Column1192]]</f>
        <v>99.924999999999997</v>
      </c>
      <c r="ASW10">
        <f>SOFR3mo_PX[[#This Row],[Column1193]]</f>
        <v>99.92</v>
      </c>
      <c r="ASX10">
        <f>SOFR3mo_PX[[#This Row],[Column1194]]</f>
        <v>99.92</v>
      </c>
      <c r="ASY10">
        <f>SOFR3mo_PX[[#This Row],[Column1195]]</f>
        <v>99.915000000000006</v>
      </c>
      <c r="ASZ10">
        <f>SOFR3mo_PX[[#This Row],[Column1196]]</f>
        <v>99.915000000000006</v>
      </c>
      <c r="ATA10">
        <f>SOFR3mo_PX[[#This Row],[Column1197]]</f>
        <v>99.92</v>
      </c>
      <c r="ATB10">
        <f>SOFR3mo_PX[[#This Row],[Column1198]]</f>
        <v>99.92</v>
      </c>
      <c r="ATC10">
        <f>SOFR3mo_PX[[#This Row],[Column1199]]</f>
        <v>99.915000000000006</v>
      </c>
      <c r="ATD10">
        <f>SOFR3mo_PX[[#This Row],[Column1200]]</f>
        <v>99.92</v>
      </c>
      <c r="ATE10">
        <f>SOFR3mo_PX[[#This Row],[Column1201]]</f>
        <v>99.915000000000006</v>
      </c>
      <c r="ATF10">
        <f>SOFR3mo_PX[[#This Row],[Column1202]]</f>
        <v>99.915000000000006</v>
      </c>
      <c r="ATG10">
        <f>SOFR3mo_PX[[#This Row],[Column1203]]</f>
        <v>99.92</v>
      </c>
      <c r="ATH10">
        <f>SOFR3mo_PX[[#This Row],[Column1204]]</f>
        <v>99.915000000000006</v>
      </c>
      <c r="ATI10">
        <f>SOFR3mo_PX[[#This Row],[Column1205]]</f>
        <v>99.915000000000006</v>
      </c>
      <c r="ATJ10">
        <f>SOFR3mo_PX[[#This Row],[Column1206]]</f>
        <v>99.92</v>
      </c>
      <c r="ATK10">
        <f>SOFR3mo_PX[[#This Row],[Column1207]]</f>
        <v>99.954999999999998</v>
      </c>
      <c r="ATL10">
        <f>SOFR3mo_PX[[#This Row],[Column1208]]</f>
        <v>99.96</v>
      </c>
      <c r="ATM10">
        <f>SOFR3mo_PX[[#This Row],[Column1209]]</f>
        <v>99.98</v>
      </c>
      <c r="ATN10">
        <f>SOFR3mo_PX[[#This Row],[Column1210]]</f>
        <v>99.95</v>
      </c>
      <c r="ATO10">
        <f>SOFR3mo_PX[[#This Row],[Column1211]]</f>
        <v>99.96</v>
      </c>
      <c r="ATP10">
        <f>SOFR3mo_PX[[#This Row],[Column1212]]</f>
        <v>99.954999999999998</v>
      </c>
      <c r="ATQ10">
        <f>SOFR3mo_PX[[#This Row],[Column1213]]</f>
        <v>99.96</v>
      </c>
      <c r="ATR10">
        <f>SOFR3mo_PX[[#This Row],[Column1214]]</f>
        <v>99.965000000000003</v>
      </c>
      <c r="ATS10">
        <f>SOFR3mo_PX[[#This Row],[Column1215]]</f>
        <v>99.965000000000003</v>
      </c>
      <c r="ATT10">
        <f>SOFR3mo_PX[[#This Row],[Column1216]]</f>
        <v>99.965000000000003</v>
      </c>
      <c r="ATU10">
        <f>SOFR3mo_PX[[#This Row],[Column1217]]</f>
        <v>99.954999999999998</v>
      </c>
      <c r="ATV10">
        <f>SOFR3mo_PX[[#This Row],[Column1218]]</f>
        <v>99.95</v>
      </c>
      <c r="ATW10">
        <f>SOFR3mo_PX[[#This Row],[Column1219]]</f>
        <v>99.96</v>
      </c>
      <c r="ATX10">
        <f>SOFR3mo_PX[[#This Row],[Column1220]]</f>
        <v>99.96</v>
      </c>
      <c r="ATY10">
        <f>SOFR3mo_PX[[#This Row],[Column1221]]</f>
        <v>99.965000000000003</v>
      </c>
      <c r="ATZ10">
        <f>SOFR3mo_PX[[#This Row],[Column1222]]</f>
        <v>99.97</v>
      </c>
      <c r="AUA10">
        <f>SOFR3mo_PX[[#This Row],[Column1223]]</f>
        <v>99.97</v>
      </c>
      <c r="AUB10">
        <f>SOFR3mo_PX[[#This Row],[Column1224]]</f>
        <v>99.98</v>
      </c>
      <c r="AUC10">
        <f>SOFR3mo_PX[[#This Row],[Column1225]]</f>
        <v>99.974999999999994</v>
      </c>
      <c r="AUD10">
        <f>SOFR3mo_PX[[#This Row],[Column1226]]</f>
        <v>99.965000000000003</v>
      </c>
      <c r="AUE10">
        <f>SOFR3mo_PX[[#This Row],[Column1227]]</f>
        <v>99.965000000000003</v>
      </c>
      <c r="AUF10">
        <f>SOFR3mo_PX[[#This Row],[Column1228]]</f>
        <v>99.97</v>
      </c>
      <c r="AUG10">
        <f>SOFR3mo_PX[[#This Row],[Column1229]]</f>
        <v>99.97</v>
      </c>
      <c r="AUH10">
        <f>SOFR3mo_PX[[#This Row],[Column1230]]</f>
        <v>99.98</v>
      </c>
      <c r="AUI10">
        <f>SOFR3mo_PX[[#This Row],[Column1231]]</f>
        <v>99.98</v>
      </c>
      <c r="AUJ10">
        <f>SOFR3mo_PX[[#This Row],[Column1232]]</f>
        <v>99.995000000000005</v>
      </c>
      <c r="AUK10">
        <f>SOFR3mo_PX[[#This Row],[Column1233]]</f>
        <v>99.995000000000005</v>
      </c>
      <c r="AUL10">
        <f>SOFR3mo_PX[[#This Row],[Column1234]]</f>
        <v>100</v>
      </c>
      <c r="AUM10">
        <f>SOFR3mo_PX[[#This Row],[Column1235]]</f>
        <v>100.005</v>
      </c>
      <c r="AUN10">
        <f>SOFR3mo_PX[[#This Row],[Column1236]]</f>
        <v>100.005</v>
      </c>
      <c r="AUO10">
        <f>SOFR3mo_PX[[#This Row],[Column1237]]</f>
        <v>100.01</v>
      </c>
      <c r="AUP10">
        <f>SOFR3mo_PX[[#This Row],[Column1238]]</f>
        <v>100.01</v>
      </c>
      <c r="AUQ10">
        <f>SOFR3mo_PX[[#This Row],[Column1239]]</f>
        <v>100.015</v>
      </c>
      <c r="AUR10">
        <f>SOFR3mo_PX[[#This Row],[Column1240]]</f>
        <v>100.015</v>
      </c>
      <c r="AUS10">
        <f>SOFR3mo_PX[[#This Row],[Column1241]]</f>
        <v>100.005</v>
      </c>
      <c r="AUT10">
        <f>SOFR3mo_PX[[#This Row],[Column1242]]</f>
        <v>100</v>
      </c>
      <c r="AUU10">
        <f>SOFR3mo_PX[[#This Row],[Column1243]]</f>
        <v>100.01</v>
      </c>
      <c r="AUV10">
        <f>SOFR3mo_PX[[#This Row],[Column1244]]</f>
        <v>100.005</v>
      </c>
      <c r="AUW10">
        <f>SOFR3mo_PX[[#This Row],[Column1245]]</f>
        <v>100.01</v>
      </c>
      <c r="AUX10">
        <f>SOFR3mo_PX[[#This Row],[Column1246]]</f>
        <v>100.015</v>
      </c>
      <c r="AUY10">
        <f>SOFR3mo_PX[[#This Row],[Column1247]]</f>
        <v>100.02</v>
      </c>
      <c r="AUZ10">
        <f>SOFR3mo_PX[[#This Row],[Column1248]]</f>
        <v>100</v>
      </c>
      <c r="AVA10">
        <f>SOFR3mo_PX[[#This Row],[Column1249]]</f>
        <v>99.995000000000005</v>
      </c>
      <c r="AVB10">
        <f>SOFR3mo_PX[[#This Row],[Column1250]]</f>
        <v>100</v>
      </c>
      <c r="AVC10">
        <f>SOFR3mo_PX[[#This Row],[Column1251]]</f>
        <v>99.99</v>
      </c>
      <c r="AVD10">
        <f>SOFR3mo_PX[[#This Row],[Column1252]]</f>
        <v>99.99</v>
      </c>
      <c r="AVE10">
        <f>SOFR3mo_PX[[#This Row],[Column1253]]</f>
        <v>100.015</v>
      </c>
      <c r="AVF10">
        <f>SOFR3mo_PX[[#This Row],[Column1254]]</f>
        <v>100.005</v>
      </c>
      <c r="AVG10">
        <f>SOFR3mo_PX[[#This Row],[Column1255]]</f>
        <v>100.015</v>
      </c>
      <c r="AVH10">
        <f>SOFR3mo_PX[[#This Row],[Column1256]]</f>
        <v>100.01</v>
      </c>
      <c r="AVI10">
        <f>SOFR3mo_PX[[#This Row],[Column1257]]</f>
        <v>100.01</v>
      </c>
      <c r="AVJ10">
        <f>SOFR3mo_PX[[#This Row],[Column1258]]</f>
        <v>99.99</v>
      </c>
      <c r="AVK10">
        <f>SOFR3mo_PX[[#This Row],[Column1259]]</f>
        <v>100</v>
      </c>
      <c r="AVL10">
        <f>SOFR3mo_PX[[#This Row],[Column1260]]</f>
        <v>100.005</v>
      </c>
      <c r="AVM10">
        <f>SOFR3mo_PX[[#This Row],[Column1261]]</f>
        <v>100.015</v>
      </c>
      <c r="AVN10">
        <f>SOFR3mo_PX[[#This Row],[Column1262]]</f>
        <v>100.015</v>
      </c>
      <c r="AVO10">
        <f>SOFR3mo_PX[[#This Row],[Column1263]]</f>
        <v>100.02500000000001</v>
      </c>
      <c r="AVP10">
        <f>SOFR3mo_PX[[#This Row],[Column1264]]</f>
        <v>100.02500000000001</v>
      </c>
      <c r="AVQ10">
        <f>SOFR3mo_PX[[#This Row],[Column1265]]</f>
        <v>100.015</v>
      </c>
      <c r="AVR10">
        <f>SOFR3mo_PX[[#This Row],[Column1266]]</f>
        <v>100.005</v>
      </c>
      <c r="AVS10">
        <f>SOFR3mo_PX[[#This Row],[Column1267]]</f>
        <v>99.995000000000005</v>
      </c>
      <c r="AVT10">
        <f>SOFR3mo_PX[[#This Row],[Column1268]]</f>
        <v>99.995000000000005</v>
      </c>
      <c r="AVU10">
        <f>SOFR3mo_PX[[#This Row],[Column1269]]</f>
        <v>100</v>
      </c>
      <c r="AVV10">
        <f>SOFR3mo_PX[[#This Row],[Column1270]]</f>
        <v>100</v>
      </c>
      <c r="AVW10">
        <f>SOFR3mo_PX[[#This Row],[Column1271]]</f>
        <v>100.03</v>
      </c>
      <c r="AVX10">
        <f>SOFR3mo_PX[[#This Row],[Column1272]]</f>
        <v>100.04</v>
      </c>
      <c r="AVY10">
        <f>SOFR3mo_PX[[#This Row],[Column1273]]</f>
        <v>100.06</v>
      </c>
      <c r="AVZ10">
        <f>SOFR3mo_PX[[#This Row],[Column1274]]</f>
        <v>100.065</v>
      </c>
      <c r="AWA10">
        <f>SOFR3mo_PX[[#This Row],[Column1275]]</f>
        <v>100.075</v>
      </c>
      <c r="AWB10">
        <f>SOFR3mo_PX[[#This Row],[Column1276]]</f>
        <v>100.07</v>
      </c>
      <c r="AWC10">
        <f>SOFR3mo_PX[[#This Row],[Column1277]]</f>
        <v>100.065</v>
      </c>
      <c r="AWD10">
        <f>SOFR3mo_PX[[#This Row],[Column1278]]</f>
        <v>100.06</v>
      </c>
      <c r="AWE10">
        <f>SOFR3mo_PX[[#This Row],[Column1279]]</f>
        <v>100.05</v>
      </c>
      <c r="AWF10">
        <f>SOFR3mo_PX[[#This Row],[Column1280]]</f>
        <v>100.04</v>
      </c>
      <c r="AWG10">
        <f>SOFR3mo_PX[[#This Row],[Column1281]]</f>
        <v>100.035</v>
      </c>
      <c r="AWH10">
        <f>SOFR3mo_PX[[#This Row],[Column1282]]</f>
        <v>100.045</v>
      </c>
      <c r="AWI10">
        <f>SOFR3mo_PX[[#This Row],[Column1283]]</f>
        <v>100.05</v>
      </c>
      <c r="AWJ10">
        <f>SOFR3mo_PX[[#This Row],[Column1284]]</f>
        <v>100.05</v>
      </c>
      <c r="AWK10">
        <f>SOFR3mo_PX[[#This Row],[Column1285]]</f>
        <v>100.045</v>
      </c>
      <c r="AWL10">
        <f>SOFR3mo_PX[[#This Row],[Column1286]]</f>
        <v>100.04</v>
      </c>
      <c r="AWM10">
        <f>SOFR3mo_PX[[#This Row],[Column1287]]</f>
        <v>100.035</v>
      </c>
      <c r="AWN10">
        <f>SOFR3mo_PX[[#This Row],[Column1288]]</f>
        <v>100.035</v>
      </c>
      <c r="AWO10">
        <f>SOFR3mo_PX[[#This Row],[Column1289]]</f>
        <v>100.035</v>
      </c>
      <c r="AWP10">
        <f>SOFR3mo_PX[[#This Row],[Column1290]]</f>
        <v>100.045</v>
      </c>
      <c r="AWQ10">
        <f>SOFR3mo_PX[[#This Row],[Column1291]]</f>
        <v>100.045</v>
      </c>
      <c r="AWR10">
        <f>SOFR3mo_PX[[#This Row],[Column1292]]</f>
        <v>100.05</v>
      </c>
      <c r="AWS10">
        <f>SOFR3mo_PX[[#This Row],[Column1293]]</f>
        <v>100.05500000000001</v>
      </c>
      <c r="AWT10">
        <f>SOFR3mo_PX[[#This Row],[Column1294]]</f>
        <v>100.04</v>
      </c>
      <c r="AWU10">
        <f>SOFR3mo_PX[[#This Row],[Column1295]]</f>
        <v>100.035</v>
      </c>
      <c r="AWV10">
        <f>SOFR3mo_PX[[#This Row],[Column1296]]</f>
        <v>100.035</v>
      </c>
      <c r="AWW10">
        <f>SOFR3mo_PX[[#This Row],[Column1297]]</f>
        <v>100.035</v>
      </c>
      <c r="AWX10">
        <f>SOFR3mo_PX[[#This Row],[Column1298]]</f>
        <v>100.035</v>
      </c>
      <c r="AWY10">
        <f>SOFR3mo_PX[[#This Row],[Column1299]]</f>
        <v>100.03</v>
      </c>
      <c r="AWZ10">
        <f>SOFR3mo_PX[[#This Row],[Column1300]]</f>
        <v>100.045</v>
      </c>
      <c r="AXA10">
        <f>SOFR3mo_PX[[#This Row],[Column1301]]</f>
        <v>100.045</v>
      </c>
      <c r="AXB10">
        <f>SOFR3mo_PX[[#This Row],[Column1302]]</f>
        <v>100.035</v>
      </c>
      <c r="AXC10">
        <f>SOFR3mo_PX[[#This Row],[Column1303]]</f>
        <v>100.015</v>
      </c>
      <c r="AXD10">
        <f>SOFR3mo_PX[[#This Row],[Column1304]]</f>
        <v>100.015</v>
      </c>
      <c r="AXE10">
        <f>SOFR3mo_PX[[#This Row],[Column1305]]</f>
        <v>100.015</v>
      </c>
      <c r="AXF10">
        <f>SOFR3mo_PX[[#This Row],[Column1306]]</f>
        <v>100.01</v>
      </c>
      <c r="AXG10">
        <f>SOFR3mo_PX[[#This Row],[Column1307]]</f>
        <v>100</v>
      </c>
      <c r="AXH10">
        <f>SOFR3mo_PX[[#This Row],[Column1308]]</f>
        <v>99.99</v>
      </c>
      <c r="AXI10">
        <f>SOFR3mo_PX[[#This Row],[Column1309]]</f>
        <v>99.984999999999999</v>
      </c>
      <c r="AXJ10">
        <f>SOFR3mo_PX[[#This Row],[Column1310]]</f>
        <v>99.974999999999994</v>
      </c>
      <c r="AXK10">
        <f>SOFR3mo_PX[[#This Row],[Column1311]]</f>
        <v>99.984999999999999</v>
      </c>
      <c r="AXL10">
        <f>SOFR3mo_PX[[#This Row],[Column1312]]</f>
        <v>99.97</v>
      </c>
      <c r="AXM10">
        <f>SOFR3mo_PX[[#This Row],[Column1313]]</f>
        <v>99.984999999999999</v>
      </c>
      <c r="AXN10">
        <f>SOFR3mo_PX[[#This Row],[Column1314]]</f>
        <v>99.97</v>
      </c>
      <c r="AXO10">
        <f>SOFR3mo_PX[[#This Row],[Column1315]]</f>
        <v>99.94</v>
      </c>
      <c r="AXP10">
        <f>SOFR3mo_PX[[#This Row],[Column1316]]</f>
        <v>99.915000000000006</v>
      </c>
      <c r="AXQ10">
        <f>SOFR3mo_PX[[#This Row],[Column1317]]</f>
        <v>99.915000000000006</v>
      </c>
      <c r="AXR10">
        <f>SOFR3mo_PX[[#This Row],[Column1318]]</f>
        <v>99.954999999999998</v>
      </c>
      <c r="AXS10">
        <f>SOFR3mo_PX[[#This Row],[Column1319]]</f>
        <v>99.965000000000003</v>
      </c>
      <c r="AXT10">
        <f>SOFR3mo_PX[[#This Row],[Column1320]]</f>
        <v>100</v>
      </c>
      <c r="AXU10">
        <f>SOFR3mo_PX[[#This Row],[Column1321]]</f>
        <v>100.005</v>
      </c>
      <c r="AXV10">
        <f>SOFR3mo_PX[[#This Row],[Column1322]]</f>
        <v>99.995000000000005</v>
      </c>
      <c r="AXW10">
        <f>SOFR3mo_PX[[#This Row],[Column1323]]</f>
        <v>99.974999999999994</v>
      </c>
      <c r="AXX10">
        <f>SOFR3mo_PX[[#This Row],[Column1324]]</f>
        <v>99.98</v>
      </c>
      <c r="AXY10">
        <f>SOFR3mo_PX[[#This Row],[Column1325]]</f>
        <v>99.984999999999999</v>
      </c>
      <c r="AXZ10">
        <f>SOFR3mo_PX[[#This Row],[Column1326]]</f>
        <v>99.995000000000005</v>
      </c>
      <c r="AYA10">
        <f>SOFR3mo_PX[[#This Row],[Column1327]]</f>
        <v>99.995000000000005</v>
      </c>
      <c r="AYB10">
        <f>SOFR3mo_PX[[#This Row],[Column1328]]</f>
        <v>99.99</v>
      </c>
      <c r="AYC10">
        <f>SOFR3mo_PX[[#This Row],[Column1329]]</f>
        <v>99.99</v>
      </c>
      <c r="AYD10">
        <f>SOFR3mo_PX[[#This Row],[Column1330]]</f>
        <v>99.99</v>
      </c>
      <c r="AYE10">
        <f>SOFR3mo_PX[[#This Row],[Column1331]]</f>
        <v>99.99</v>
      </c>
      <c r="AYF10">
        <f>SOFR3mo_PX[[#This Row],[Column1332]]</f>
        <v>100.015</v>
      </c>
      <c r="AYG10">
        <f>SOFR3mo_PX[[#This Row],[Column1333]]</f>
        <v>100.01</v>
      </c>
      <c r="AYH10">
        <f>SOFR3mo_PX[[#This Row],[Column1334]]</f>
        <v>100</v>
      </c>
      <c r="AYI10">
        <f>SOFR3mo_PX[[#This Row],[Column1335]]</f>
        <v>99.99</v>
      </c>
      <c r="AYJ10">
        <f>SOFR3mo_PX[[#This Row],[Column1336]]</f>
        <v>99.984999999999999</v>
      </c>
      <c r="AYK10">
        <f>SOFR3mo_PX[[#This Row],[Column1337]]</f>
        <v>100.005</v>
      </c>
      <c r="AYL10">
        <f>SOFR3mo_PX[[#This Row],[Column1338]]</f>
        <v>100.015</v>
      </c>
      <c r="AYM10">
        <f>SOFR3mo_PX[[#This Row],[Column1339]]</f>
        <v>99.96</v>
      </c>
      <c r="AYN10">
        <f>SOFR3mo_PX[[#This Row],[Column1340]]</f>
        <v>99.94</v>
      </c>
      <c r="AYO10">
        <f>SOFR3mo_PX[[#This Row],[Column1341]]</f>
        <v>99.94</v>
      </c>
      <c r="AYP10">
        <f>SOFR3mo_PX[[#This Row],[Column1342]]</f>
        <v>99.924999999999997</v>
      </c>
      <c r="AYQ10">
        <f>SOFR3mo_PX[[#This Row],[Column1343]]</f>
        <v>99.93</v>
      </c>
      <c r="AYR10">
        <f>SOFR3mo_PX[[#This Row],[Column1344]]</f>
        <v>99.924999999999997</v>
      </c>
      <c r="AYS10">
        <f>SOFR3mo_PX[[#This Row],[Column1345]]</f>
        <v>99.915000000000006</v>
      </c>
      <c r="AYT10">
        <f>SOFR3mo_PX[[#This Row],[Column1346]]</f>
        <v>99.915000000000006</v>
      </c>
      <c r="AYU10">
        <f>SOFR3mo_PX[[#This Row],[Column1347]]</f>
        <v>99.924999999999997</v>
      </c>
      <c r="AYV10">
        <f>SOFR3mo_PX[[#This Row],[Column1348]]</f>
        <v>99.924999999999997</v>
      </c>
      <c r="AYW10">
        <f>SOFR3mo_PX[[#This Row],[Column1349]]</f>
        <v>99.92</v>
      </c>
      <c r="AYX10">
        <f>SOFR3mo_PX[[#This Row],[Column1350]]</f>
        <v>99.93</v>
      </c>
      <c r="AYY10">
        <f>SOFR3mo_PX[[#This Row],[Column1351]]</f>
        <v>99.92</v>
      </c>
      <c r="AYZ10">
        <f>SOFR3mo_PX[[#This Row],[Column1352]]</f>
        <v>99.91</v>
      </c>
      <c r="AZA10">
        <f>SOFR3mo_PX[[#This Row],[Column1353]]</f>
        <v>99.9</v>
      </c>
      <c r="AZB10">
        <f>SOFR3mo_PX[[#This Row],[Column1354]]</f>
        <v>99.9</v>
      </c>
      <c r="AZC10">
        <f>SOFR3mo_PX[[#This Row],[Column1355]]</f>
        <v>99.88</v>
      </c>
      <c r="AZD10">
        <f>SOFR3mo_PX[[#This Row],[Column1356]]</f>
        <v>99.864999999999995</v>
      </c>
      <c r="AZE10">
        <f>SOFR3mo_PX[[#This Row],[Column1357]]</f>
        <v>99.875</v>
      </c>
      <c r="AZF10">
        <f>SOFR3mo_PX[[#This Row],[Column1358]]</f>
        <v>99.875</v>
      </c>
      <c r="AZG10">
        <f>SOFR3mo_PX[[#This Row],[Column1359]]</f>
        <v>99.855000000000004</v>
      </c>
      <c r="AZH10">
        <f>SOFR3mo_PX[[#This Row],[Column1360]]</f>
        <v>99.844999999999999</v>
      </c>
      <c r="AZI10">
        <f>SOFR3mo_PX[[#This Row],[Column1361]]</f>
        <v>99.87</v>
      </c>
      <c r="AZJ10">
        <f>SOFR3mo_PX[[#This Row],[Column1362]]</f>
        <v>99.924999999999997</v>
      </c>
      <c r="AZK10">
        <f>SOFR3mo_PX[[#This Row],[Column1363]]</f>
        <v>99.924999999999997</v>
      </c>
      <c r="AZL10">
        <f>SOFR3mo_PX[[#This Row],[Column1364]]</f>
        <v>99.924999999999997</v>
      </c>
      <c r="AZM10">
        <f>SOFR3mo_PX[[#This Row],[Column1365]]</f>
        <v>99.91</v>
      </c>
      <c r="AZN10">
        <f>SOFR3mo_PX[[#This Row],[Column1366]]</f>
        <v>99.93</v>
      </c>
      <c r="AZO10">
        <f>SOFR3mo_PX[[#This Row],[Column1367]]</f>
        <v>99.905000000000001</v>
      </c>
      <c r="AZP10">
        <f>SOFR3mo_PX[[#This Row],[Column1368]]</f>
        <v>99.894999999999996</v>
      </c>
      <c r="AZQ10">
        <f>SOFR3mo_PX[[#This Row],[Column1369]]</f>
        <v>99.864999999999995</v>
      </c>
      <c r="AZR10">
        <f>SOFR3mo_PX[[#This Row],[Column1370]]</f>
        <v>99.855000000000004</v>
      </c>
      <c r="AZS10">
        <f>SOFR3mo_PX[[#This Row],[Column1371]]</f>
        <v>99.92</v>
      </c>
      <c r="AZT10">
        <f>SOFR3mo_PX[[#This Row],[Column1372]]</f>
        <v>99.85</v>
      </c>
      <c r="AZU10">
        <f>SOFR3mo_PX[[#This Row],[Column1373]]</f>
        <v>99.795000000000002</v>
      </c>
      <c r="AZV10">
        <f>SOFR3mo_PX[[#This Row],[Column1374]]</f>
        <v>99.715000000000003</v>
      </c>
      <c r="AZW10">
        <f>SOFR3mo_PX[[#This Row],[Column1375]]</f>
        <v>99.82</v>
      </c>
      <c r="AZX10">
        <f>SOFR3mo_PX[[#This Row],[Column1376]]</f>
        <v>99.875</v>
      </c>
      <c r="AZY10">
        <f>SOFR3mo_PX[[#This Row],[Column1377]]</f>
        <v>99.8</v>
      </c>
      <c r="AZZ10">
        <f>SOFR3mo_PX[[#This Row],[Column1378]]</f>
        <v>99.8</v>
      </c>
      <c r="BAA10">
        <f>SOFR3mo_PX[[#This Row],[Column1379]]</f>
        <v>99.73</v>
      </c>
      <c r="BAB10">
        <f>SOFR3mo_PX[[#This Row],[Column1380]]</f>
        <v>99.704999999999998</v>
      </c>
      <c r="BAC10">
        <f>SOFR3mo_PX[[#This Row],[Column1381]]</f>
        <v>99.8</v>
      </c>
      <c r="BAD10">
        <f>SOFR3mo_PX[[#This Row],[Column1382]]</f>
        <v>99.724999999999994</v>
      </c>
      <c r="BAE10">
        <f>SOFR3mo_PX[[#This Row],[Column1383]]</f>
        <v>99.644999999999996</v>
      </c>
      <c r="BAF10">
        <f>SOFR3mo_PX[[#This Row],[Column1384]]</f>
        <v>99.584999999999994</v>
      </c>
      <c r="BAG10">
        <f>SOFR3mo_PX[[#This Row],[Column1385]]</f>
        <v>99.51</v>
      </c>
      <c r="BAH10">
        <f>SOFR3mo_PX[[#This Row],[Column1386]]</f>
        <v>99.44</v>
      </c>
      <c r="BAI10">
        <f>SOFR3mo_PX[[#This Row],[Column1387]]</f>
        <v>99.44</v>
      </c>
      <c r="BAJ10">
        <f>SOFR3mo_PX[[#This Row],[Column1388]]</f>
        <v>99.234999999999999</v>
      </c>
      <c r="BAK10">
        <f>SOFR3mo_PX[[#This Row],[Column1389]]</f>
        <v>99.174999999999997</v>
      </c>
      <c r="BAL10">
        <f>SOFR3mo_PX[[#This Row],[Column1390]]</f>
        <v>99.144999999999996</v>
      </c>
      <c r="BAM10">
        <f>SOFR3mo_PX[[#This Row],[Column1391]]</f>
        <v>99.094999999999999</v>
      </c>
      <c r="BAN10">
        <f>SOFR3mo_PX[[#This Row],[Column1392]]</f>
        <v>98.99</v>
      </c>
      <c r="BAO10">
        <f>SOFR3mo_PX[[#This Row],[Column1393]]</f>
        <v>98.924999999999997</v>
      </c>
      <c r="BAP10">
        <f>SOFR3mo_PX[[#This Row],[Column1394]]</f>
        <v>98.88</v>
      </c>
      <c r="BAQ10">
        <f>SOFR3mo_PX[[#This Row],[Column1395]]</f>
        <v>98.905000000000001</v>
      </c>
      <c r="BAR10">
        <f>SOFR3mo_PX[[#This Row],[Column1396]]</f>
        <v>98.875</v>
      </c>
      <c r="BAS10">
        <f>SOFR3mo_PX[[#This Row],[Column1397]]</f>
        <v>98.875</v>
      </c>
      <c r="BAT10">
        <f>SOFR3mo_PX[[#This Row],[Column1398]]</f>
        <v>98.844999999999999</v>
      </c>
      <c r="BAU10">
        <f>SOFR3mo_PX[[#This Row],[Column1399]]</f>
        <v>98.844999999999999</v>
      </c>
      <c r="BAV10">
        <f>SOFR3mo_PX[[#This Row],[Column1400]]</f>
        <v>98.88</v>
      </c>
      <c r="BAW10">
        <f>SOFR3mo_PX[[#This Row],[Column1401]]</f>
        <v>98.91</v>
      </c>
      <c r="BAX10">
        <f>SOFR3mo_PX[[#This Row],[Column1402]]</f>
        <v>98.88</v>
      </c>
      <c r="BAY10">
        <f>SOFR3mo_PX[[#This Row],[Column1403]]</f>
        <v>98.825000000000003</v>
      </c>
      <c r="BAZ10">
        <f>SOFR3mo_PX[[#This Row],[Column1404]]</f>
        <v>98.844999999999999</v>
      </c>
      <c r="BBA10">
        <f>SOFR3mo_PX[[#This Row],[Column1405]]</f>
        <v>98.885000000000005</v>
      </c>
      <c r="BBB10">
        <f>SOFR3mo_PX[[#This Row],[Column1406]]</f>
        <v>98.97</v>
      </c>
      <c r="BBC10">
        <f>SOFR3mo_PX[[#This Row],[Column1407]]</f>
        <v>98.995000000000005</v>
      </c>
      <c r="BBD10">
        <f>SOFR3mo_PX[[#This Row],[Column1408]]</f>
        <v>98.94</v>
      </c>
      <c r="BBE10">
        <f>SOFR3mo_PX[[#This Row],[Column1409]]</f>
        <v>98.894999999999996</v>
      </c>
      <c r="BBF10">
        <f>SOFR3mo_PX[[#This Row],[Column1410]]</f>
        <v>98.844999999999999</v>
      </c>
      <c r="BBG10">
        <f>SOFR3mo_PX[[#This Row],[Column1411]]</f>
        <v>98.88</v>
      </c>
      <c r="BBH10">
        <f>SOFR3mo_PX[[#This Row],[Column1412]]</f>
        <v>98.805000000000007</v>
      </c>
      <c r="BBI10">
        <f>SOFR3mo_PX[[#This Row],[Column1413]]</f>
        <v>98.745000000000005</v>
      </c>
      <c r="BBJ10">
        <f>SOFR3mo_PX[[#This Row],[Column1414]]</f>
        <v>98.724999999999994</v>
      </c>
      <c r="BBK10">
        <f>SOFR3mo_PX[[#This Row],[Column1415]]</f>
        <v>98.71</v>
      </c>
      <c r="BBL10">
        <f>SOFR3mo_PX[[#This Row],[Column1416]]</f>
        <v>98.655000000000001</v>
      </c>
      <c r="BBM10">
        <f>SOFR3mo_PX[[#This Row],[Column1417]]</f>
        <v>98.655000000000001</v>
      </c>
      <c r="BBN10">
        <f>SOFR3mo_PX[[#This Row],[Column1418]]</f>
        <v>98.67</v>
      </c>
      <c r="BBO10">
        <f>SOFR3mo_PX[[#This Row],[Column1419]]</f>
        <v>98.68</v>
      </c>
      <c r="BBP10">
        <f>SOFR3mo_PX[[#This Row],[Column1420]]</f>
        <v>98.674999999999997</v>
      </c>
      <c r="BBQ10">
        <f>SOFR3mo_PX[[#This Row],[Column1421]]</f>
        <v>98.66</v>
      </c>
      <c r="BBR10">
        <f>SOFR3mo_PX[[#This Row],[Column1422]]</f>
        <v>98.67</v>
      </c>
      <c r="BBS10">
        <f>SOFR3mo_PX[[#This Row],[Column1423]]</f>
        <v>98.655000000000001</v>
      </c>
      <c r="BBT10">
        <f>SOFR3mo_PX[[#This Row],[Column1424]]</f>
        <v>98.65</v>
      </c>
      <c r="BBU10">
        <f>SOFR3mo_PX[[#This Row],[Column1425]]</f>
        <v>98.694999999999993</v>
      </c>
      <c r="BBV10">
        <f>SOFR3mo_PX[[#This Row],[Column1426]]</f>
        <v>98.704999999999998</v>
      </c>
      <c r="BBW10">
        <f>SOFR3mo_PX[[#This Row],[Column1427]]</f>
        <v>98.71</v>
      </c>
      <c r="BBX10">
        <f>SOFR3mo_PX[[#This Row],[Column1428]]</f>
        <v>98.625</v>
      </c>
      <c r="BBY10">
        <f>SOFR3mo_PX[[#This Row],[Column1429]]</f>
        <v>98.62</v>
      </c>
      <c r="BBZ10">
        <f>SOFR3mo_PX[[#This Row],[Column1430]]</f>
        <v>98.62</v>
      </c>
      <c r="BCA10">
        <f>SOFR3mo_PX[[#This Row],[Column1431]]</f>
        <v>98.625</v>
      </c>
      <c r="BCB10">
        <f>SOFR3mo_PX[[#This Row],[Column1432]]</f>
        <v>98.625</v>
      </c>
      <c r="BCC10">
        <f>SOFR3mo_PX[[#This Row],[Column1433]]</f>
        <v>98.584999999999994</v>
      </c>
      <c r="BCD10">
        <f>SOFR3mo_PX[[#This Row],[Column1434]]</f>
        <v>98.584999999999994</v>
      </c>
      <c r="BCE10">
        <f>SOFR3mo_PX[[#This Row],[Column1435]]</f>
        <v>98.584999999999994</v>
      </c>
      <c r="BCF10">
        <f>SOFR3mo_PX[[#This Row],[Column1436]]</f>
        <v>98.564999999999998</v>
      </c>
      <c r="BCG10">
        <f>SOFR3mo_PX[[#This Row],[Column1437]]</f>
        <v>98.6</v>
      </c>
      <c r="BCH10">
        <f>SOFR3mo_PX[[#This Row],[Column1438]]</f>
        <v>98.614999999999995</v>
      </c>
      <c r="BCI10">
        <f>SOFR3mo_PX[[#This Row],[Column1439]]</f>
        <v>98.59</v>
      </c>
      <c r="BCJ10">
        <f>SOFR3mo_PX[[#This Row],[Column1440]]</f>
        <v>98.614999999999995</v>
      </c>
      <c r="BCK10">
        <f>SOFR3mo_PX[[#This Row],[Column1441]]</f>
        <v>98.61</v>
      </c>
      <c r="BCL10">
        <f>SOFR3mo_PX[[#This Row],[Column1442]]</f>
        <v>98.68</v>
      </c>
      <c r="BCM10">
        <f>SOFR3mo_PX[[#This Row],[Column1443]]</f>
        <v>98.61</v>
      </c>
      <c r="BCN10">
        <f>SOFR3mo_PX[[#This Row],[Column1444]]</f>
        <v>98.69</v>
      </c>
      <c r="BCO10">
        <f>SOFR3mo_PX[[#This Row],[Column1445]]</f>
        <v>98.65</v>
      </c>
      <c r="BCP10">
        <f>SOFR3mo_PX[[#This Row],[Column1446]]</f>
        <v>98.67</v>
      </c>
      <c r="BCQ10">
        <f>SOFR3mo_PX[[#This Row],[Column1447]]</f>
        <v>98.674999999999997</v>
      </c>
      <c r="BCR10">
        <f>SOFR3mo_PX[[#This Row],[Column1448]]</f>
        <v>98.73</v>
      </c>
      <c r="BCS10">
        <f>SOFR3mo_PX[[#This Row],[Column1449]]</f>
        <v>98.74</v>
      </c>
      <c r="BCT10">
        <f>SOFR3mo_PX[[#This Row],[Column1450]]</f>
        <v>98.814999999999998</v>
      </c>
      <c r="BCU10">
        <f>SOFR3mo_PX[[#This Row],[Column1451]]</f>
        <v>98.694999999999993</v>
      </c>
      <c r="BCV10">
        <f>SOFR3mo_PX[[#This Row],[Column1452]]</f>
        <v>98.724999999999994</v>
      </c>
      <c r="BCW10">
        <f>SOFR3mo_PX[[#This Row],[Column1453]]</f>
        <v>98.715000000000003</v>
      </c>
      <c r="BCX10">
        <f>SOFR3mo_PX[[#This Row],[Column1454]]</f>
        <v>98.715000000000003</v>
      </c>
      <c r="BCY10">
        <f>SOFR3mo_PX[[#This Row],[Column1455]]</f>
        <v>98.754999999999995</v>
      </c>
      <c r="BCZ10">
        <f>SOFR3mo_PX[[#This Row],[Column1456]]</f>
        <v>98.745000000000005</v>
      </c>
      <c r="BDA10">
        <f>SOFR3mo_PX[[#This Row],[Column1457]]</f>
        <v>98.73</v>
      </c>
      <c r="BDB10">
        <f>SOFR3mo_PX[[#This Row],[Column1458]]</f>
        <v>98.76</v>
      </c>
      <c r="BDC10">
        <f>SOFR3mo_PX[[#This Row],[Column1459]]</f>
        <v>98.79</v>
      </c>
      <c r="BDD10">
        <f>SOFR3mo_PX[[#This Row],[Column1460]]</f>
        <v>98.754999999999995</v>
      </c>
      <c r="BDE10">
        <f>SOFR3mo_PX[[#This Row],[Column1461]]</f>
        <v>98.73</v>
      </c>
      <c r="BDF10">
        <f>SOFR3mo_PX[[#This Row],[Column1462]]</f>
        <v>98.704999999999998</v>
      </c>
      <c r="BDG10">
        <f>SOFR3mo_PX[[#This Row],[Column1463]]</f>
        <v>98.715000000000003</v>
      </c>
      <c r="BDH10">
        <f>SOFR3mo_PX[[#This Row],[Column1464]]</f>
        <v>98.665000000000006</v>
      </c>
      <c r="BDI10">
        <f>SOFR3mo_PX[[#This Row],[Column1465]]</f>
        <v>98.62</v>
      </c>
      <c r="BDJ10">
        <f>SOFR3mo_PX[[#This Row],[Column1466]]</f>
        <v>98.584999999999994</v>
      </c>
      <c r="BDK10">
        <f>SOFR3mo_PX[[#This Row],[Column1467]]</f>
        <v>98.594999999999999</v>
      </c>
      <c r="BDL10">
        <f>SOFR3mo_PX[[#This Row],[Column1468]]</f>
        <v>98.58</v>
      </c>
      <c r="BDM10">
        <f>SOFR3mo_PX[[#This Row],[Column1469]]</f>
        <v>98.685000000000002</v>
      </c>
      <c r="BDN10">
        <f>SOFR3mo_PX[[#This Row],[Column1470]]</f>
        <v>98.655000000000001</v>
      </c>
      <c r="BDO10">
        <f>SOFR3mo_PX[[#This Row],[Column1471]]</f>
        <v>98.704999999999998</v>
      </c>
      <c r="BDP10">
        <f>SOFR3mo_PX[[#This Row],[Column1472]]</f>
        <v>98.754999999999995</v>
      </c>
      <c r="BDQ10">
        <f>SOFR3mo_PX[[#This Row],[Column1473]]</f>
        <v>98.83</v>
      </c>
      <c r="BDR10">
        <f>SOFR3mo_PX[[#This Row],[Column1474]]</f>
        <v>98.704999999999998</v>
      </c>
      <c r="BDS10">
        <f>SOFR3mo_PX[[#This Row],[Column1475]]</f>
        <v>98.685000000000002</v>
      </c>
      <c r="BDT10">
        <f>SOFR3mo_PX[[#This Row],[Column1476]]</f>
        <v>98.69</v>
      </c>
      <c r="BDU10">
        <f>SOFR3mo_PX[[#This Row],[Column1477]]</f>
        <v>98.72</v>
      </c>
      <c r="BDV10">
        <f>SOFR3mo_PX[[#This Row],[Column1478]]</f>
        <v>98.77</v>
      </c>
      <c r="BDW10">
        <f>SOFR3mo_PX[[#This Row],[Column1479]]</f>
        <v>98.78</v>
      </c>
      <c r="BDX10">
        <f>SOFR3mo_PX[[#This Row],[Column1480]]</f>
        <v>98.76</v>
      </c>
      <c r="BDY10">
        <f>SOFR3mo_PX[[#This Row],[Column1481]]</f>
        <v>98.734999999999999</v>
      </c>
      <c r="BDZ10">
        <f>SOFR3mo_PX[[#This Row],[Column1482]]</f>
        <v>98.77</v>
      </c>
      <c r="BEA10">
        <f>SOFR3mo_PX[[#This Row],[Column1483]]</f>
        <v>98.745000000000005</v>
      </c>
      <c r="BEB10">
        <f>SOFR3mo_PX[[#This Row],[Column1484]]</f>
        <v>98.77</v>
      </c>
      <c r="BEC10">
        <f>SOFR3mo_PX[[#This Row],[Column1485]]</f>
        <v>98.73</v>
      </c>
      <c r="BED10">
        <f>SOFR3mo_PX[[#This Row],[Column1486]]</f>
        <v>98.775000000000006</v>
      </c>
      <c r="BEE10">
        <f>SOFR3mo_PX[[#This Row],[Column1487]]</f>
        <v>98.754999999999995</v>
      </c>
      <c r="BEF10">
        <f>SOFR3mo_PX[[#This Row],[Column1488]]</f>
        <v>98.89</v>
      </c>
      <c r="BEG10">
        <f>SOFR3mo_PX[[#This Row],[Column1489]]</f>
        <v>98.954999999999998</v>
      </c>
      <c r="BEH10">
        <f>SOFR3mo_PX[[#This Row],[Column1490]]</f>
        <v>99.015000000000001</v>
      </c>
      <c r="BEI10">
        <f>SOFR3mo_PX[[#This Row],[Column1491]]</f>
        <v>98.965000000000003</v>
      </c>
      <c r="BEJ10">
        <f>SOFR3mo_PX[[#This Row],[Column1492]]</f>
        <v>99.034999999999997</v>
      </c>
      <c r="BEK10">
        <f>SOFR3mo_PX[[#This Row],[Column1493]]</f>
        <v>99.045000000000002</v>
      </c>
      <c r="BEL10">
        <f>SOFR3mo_PX[[#This Row],[Column1494]]</f>
        <v>98.944999999999993</v>
      </c>
      <c r="BEM10">
        <f>SOFR3mo_PX[[#This Row],[Column1495]]</f>
        <v>98.87</v>
      </c>
      <c r="BEN10">
        <f>SOFR3mo_PX[[#This Row],[Column1496]]</f>
        <v>98.8</v>
      </c>
      <c r="BEO10">
        <f>SOFR3mo_PX[[#This Row],[Column1497]]</f>
        <v>98.81</v>
      </c>
      <c r="BEP10">
        <f>SOFR3mo_PX[[#This Row],[Column1498]]</f>
        <v>98.8</v>
      </c>
      <c r="BEQ10">
        <f>SOFR3mo_PX[[#This Row],[Column1499]]</f>
        <v>98.784999999999997</v>
      </c>
      <c r="BER10">
        <f>SOFR3mo_PX[[#This Row],[Column1500]]</f>
        <v>98.885000000000005</v>
      </c>
      <c r="BES10">
        <f>SOFR3mo_PX[[#This Row],[Column1501]]</f>
        <v>98.79</v>
      </c>
      <c r="BET10">
        <f>SOFR3mo_PX[[#This Row],[Column1502]]</f>
        <v>98.75</v>
      </c>
      <c r="BEU10">
        <f>SOFR3mo_PX[[#This Row],[Column1503]]</f>
        <v>98.765000000000001</v>
      </c>
      <c r="BEV10">
        <f>SOFR3mo_PX[[#This Row],[Column1504]]</f>
        <v>98.73</v>
      </c>
      <c r="BEW10">
        <f>SOFR3mo_PX[[#This Row],[Column1505]]</f>
        <v>98.724999999999994</v>
      </c>
      <c r="BEX10">
        <f>SOFR3mo_PX[[#This Row],[Column1506]]</f>
        <v>98.685000000000002</v>
      </c>
      <c r="BEY10">
        <f>SOFR3mo_PX[[#This Row],[Column1507]]</f>
        <v>98.625</v>
      </c>
      <c r="BEZ10">
        <f>SOFR3mo_PX[[#This Row],[Column1508]]</f>
        <v>98.715000000000003</v>
      </c>
      <c r="BFA10">
        <f>SOFR3mo_PX[[#This Row],[Column1509]]</f>
        <v>98.8</v>
      </c>
      <c r="BFB10">
        <f>SOFR3mo_PX[[#This Row],[Column1510]]</f>
        <v>98.825000000000003</v>
      </c>
      <c r="BFC10">
        <f>SOFR3mo_PX[[#This Row],[Column1511]]</f>
        <v>98.93</v>
      </c>
      <c r="BFD10">
        <f>SOFR3mo_PX[[#This Row],[Column1512]]</f>
        <v>99</v>
      </c>
      <c r="BFE10">
        <f>SOFR3mo_PX[[#This Row],[Column1513]]</f>
        <v>99.004999999999995</v>
      </c>
      <c r="BFF10">
        <f>SOFR3mo_PX[[#This Row],[Column1514]]</f>
        <v>99.135000000000005</v>
      </c>
      <c r="BFG10">
        <f>SOFR3mo_PX[[#This Row],[Column1515]]</f>
        <v>99.094999999999999</v>
      </c>
      <c r="BFH10">
        <f>SOFR3mo_PX[[#This Row],[Column1516]]</f>
        <v>99.015000000000001</v>
      </c>
      <c r="BFI10">
        <f>SOFR3mo_PX[[#This Row],[Column1517]]</f>
        <v>99.015000000000001</v>
      </c>
      <c r="BFJ10">
        <f>SOFR3mo_PX[[#This Row],[Column1518]]</f>
        <v>98.99</v>
      </c>
      <c r="BFK10">
        <f>SOFR3mo_PX[[#This Row],[Column1519]]</f>
        <v>99.03</v>
      </c>
      <c r="BFL10">
        <f>SOFR3mo_PX[[#This Row],[Column1520]]</f>
        <v>98.99</v>
      </c>
      <c r="BFM10">
        <f>SOFR3mo_PX[[#This Row],[Column1521]]</f>
        <v>98.95</v>
      </c>
      <c r="BFN10">
        <f>SOFR3mo_PX[[#This Row],[Column1522]]</f>
        <v>98.98</v>
      </c>
      <c r="BFO10">
        <f>SOFR3mo_PX[[#This Row],[Column1523]]</f>
        <v>98.875</v>
      </c>
      <c r="BFP10">
        <f>SOFR3mo_PX[[#This Row],[Column1524]]</f>
        <v>98.91</v>
      </c>
      <c r="BFQ10">
        <f>SOFR3mo_PX[[#This Row],[Column1525]]</f>
        <v>98.95</v>
      </c>
      <c r="BFR10">
        <f>SOFR3mo_PX[[#This Row],[Column1526]]</f>
        <v>98.91</v>
      </c>
      <c r="BFS10">
        <f>SOFR3mo_PX[[#This Row],[Column1527]]</f>
        <v>98.97</v>
      </c>
      <c r="BFT10">
        <f>SOFR3mo_PX[[#This Row],[Column1528]]</f>
        <v>98.965000000000003</v>
      </c>
      <c r="BFU10">
        <f>SOFR3mo_PX[[#This Row],[Column1529]]</f>
        <v>98.89</v>
      </c>
      <c r="BFV10">
        <f>SOFR3mo_PX[[#This Row],[Column1530]]</f>
        <v>98.805000000000007</v>
      </c>
      <c r="BFW10">
        <f>SOFR3mo_PX[[#This Row],[Column1531]]</f>
        <v>98.91</v>
      </c>
      <c r="BFX10">
        <f>SOFR3mo_PX[[#This Row],[Column1532]]</f>
        <v>98.834999999999994</v>
      </c>
      <c r="BFY10">
        <f>SOFR3mo_PX[[#This Row],[Column1533]]</f>
        <v>98.88</v>
      </c>
      <c r="BFZ10">
        <f>SOFR3mo_PX[[#This Row],[Column1534]]</f>
        <v>98.954999999999998</v>
      </c>
      <c r="BGA10">
        <f>SOFR3mo_PX[[#This Row],[Column1535]]</f>
        <v>98.87</v>
      </c>
      <c r="BGB10">
        <f>SOFR3mo_PX[[#This Row],[Column1536]]</f>
        <v>98.935000000000002</v>
      </c>
      <c r="BGC10">
        <f>SOFR3mo_PX[[#This Row],[Column1537]]</f>
        <v>98.715000000000003</v>
      </c>
      <c r="BGD10">
        <f>SOFR3mo_PX[[#This Row],[Column1538]]</f>
        <v>98.694999999999993</v>
      </c>
      <c r="BGE10">
        <f>SOFR3mo_PX[[#This Row],[Column1539]]</f>
        <v>98.504999999999995</v>
      </c>
      <c r="BGF10">
        <f>SOFR3mo_PX[[#This Row],[Column1540]]</f>
        <v>98.564999999999998</v>
      </c>
      <c r="BGG10">
        <f>SOFR3mo_PX[[#This Row],[Column1541]]</f>
        <v>98.575000000000003</v>
      </c>
      <c r="BGH10">
        <f>SOFR3mo_PX[[#This Row],[Column1542]]</f>
        <v>98.56</v>
      </c>
      <c r="BGI10">
        <f>SOFR3mo_PX[[#This Row],[Column1543]]</f>
        <v>98.59</v>
      </c>
      <c r="BGJ10">
        <f>SOFR3mo_PX[[#This Row],[Column1544]]</f>
        <v>98.614999999999995</v>
      </c>
      <c r="BGK10">
        <f>SOFR3mo_PX[[#This Row],[Column1545]]</f>
        <v>98.61</v>
      </c>
      <c r="BGL10">
        <f>SOFR3mo_PX[[#This Row],[Column1546]]</f>
        <v>98.64</v>
      </c>
      <c r="BGM10">
        <f>SOFR3mo_PX[[#This Row],[Column1547]]</f>
        <v>98.62</v>
      </c>
      <c r="BGN10">
        <f>SOFR3mo_PX[[#This Row],[Column1548]]</f>
        <v>98.67</v>
      </c>
      <c r="BGO10">
        <f>SOFR3mo_PX[[#This Row],[Column1549]]</f>
        <v>98.584999999999994</v>
      </c>
      <c r="BGP10">
        <f>SOFR3mo_PX[[#This Row],[Column1550]]</f>
        <v>98.534999999999997</v>
      </c>
      <c r="BGQ10">
        <f>SOFR3mo_PX[[#This Row],[Column1551]]</f>
        <v>98.564999999999998</v>
      </c>
      <c r="BGR10">
        <f>SOFR3mo_PX[[#This Row],[Column1552]]</f>
        <v>98.555000000000007</v>
      </c>
      <c r="BGS10">
        <f>SOFR3mo_PX[[#This Row],[Column1553]]</f>
        <v>98.534999999999997</v>
      </c>
      <c r="BGT10">
        <f>SOFR3mo_PX[[#This Row],[Column1554]]</f>
        <v>98.575000000000003</v>
      </c>
      <c r="BGU10">
        <f>SOFR3mo_PX[[#This Row],[Column1555]]</f>
        <v>98.53</v>
      </c>
      <c r="BGV10">
        <f>SOFR3mo_PX[[#This Row],[Column1556]]</f>
        <v>98.55</v>
      </c>
      <c r="BGW10">
        <f>SOFR3mo_PX[[#This Row],[Column1557]]</f>
        <v>98.545000000000002</v>
      </c>
      <c r="BGX10">
        <f>SOFR3mo_PX[[#This Row],[Column1558]]</f>
        <v>98.65</v>
      </c>
      <c r="BGY10">
        <f>SOFR3mo_PX[[#This Row],[Column1559]]</f>
        <v>98.65</v>
      </c>
      <c r="BGZ10">
        <f>SOFR3mo_PX[[#This Row],[Column1560]]</f>
        <v>98.644999999999996</v>
      </c>
      <c r="BHA10">
        <f>SOFR3mo_PX[[#This Row],[Column1561]]</f>
        <v>98.6</v>
      </c>
      <c r="BHB10">
        <f>SOFR3mo_PX[[#This Row],[Column1562]]</f>
        <v>98.655000000000001</v>
      </c>
      <c r="BHC10">
        <f>SOFR3mo_PX[[#This Row],[Column1563]]</f>
        <v>98.67</v>
      </c>
      <c r="BHD10">
        <f>SOFR3mo_PX[[#This Row],[Column1564]]</f>
        <v>98.64</v>
      </c>
      <c r="BHE10">
        <f>SOFR3mo_PX[[#This Row],[Column1565]]</f>
        <v>98.724999999999994</v>
      </c>
      <c r="BHF10">
        <f>SOFR3mo_PX[[#This Row],[Column1566]]</f>
        <v>98.7</v>
      </c>
      <c r="BHG10">
        <f>SOFR3mo_PX[[#This Row],[Column1567]]</f>
        <v>98.65</v>
      </c>
      <c r="BHH10">
        <f>SOFR3mo_PX[[#This Row],[Column1568]]</f>
        <v>98.704999999999998</v>
      </c>
      <c r="BHI10">
        <f>SOFR3mo_PX[[#This Row],[Column1569]]</f>
        <v>98.704999999999998</v>
      </c>
      <c r="BHJ10">
        <f>SOFR3mo_PX[[#This Row],[Column1570]]</f>
        <v>98.575000000000003</v>
      </c>
      <c r="BHK10">
        <f>SOFR3mo_PX[[#This Row],[Column1571]]</f>
        <v>98.58</v>
      </c>
      <c r="BHL10">
        <f>SOFR3mo_PX[[#This Row],[Column1572]]</f>
        <v>98.61</v>
      </c>
      <c r="BHM10">
        <f>SOFR3mo_PX[[#This Row],[Column1573]]</f>
        <v>98.614999999999995</v>
      </c>
      <c r="BHN10">
        <f>SOFR3mo_PX[[#This Row],[Column1574]]</f>
        <v>98.545000000000002</v>
      </c>
      <c r="BHO10">
        <f>SOFR3mo_PX[[#This Row],[Column1575]]</f>
        <v>98.495000000000005</v>
      </c>
      <c r="BHP10">
        <f>SOFR3mo_PX[[#This Row],[Column1576]]</f>
        <v>98.5</v>
      </c>
      <c r="BHQ10">
        <f>SOFR3mo_PX[[#This Row],[Column1577]]</f>
        <v>98.55</v>
      </c>
      <c r="BHR10">
        <f>SOFR3mo_PX[[#This Row],[Column1578]]</f>
        <v>98.54</v>
      </c>
      <c r="BHS10">
        <f>SOFR3mo_PX[[#This Row],[Column1579]]</f>
        <v>98.614999999999995</v>
      </c>
      <c r="BHT10">
        <f>SOFR3mo_PX[[#This Row],[Column1580]]</f>
        <v>98.59</v>
      </c>
      <c r="BHU10">
        <f>SOFR3mo_PX[[#This Row],[Column1581]]</f>
        <v>98.635000000000005</v>
      </c>
      <c r="BHV10">
        <f>SOFR3mo_PX[[#This Row],[Column1582]]</f>
        <v>98.52</v>
      </c>
      <c r="BHW10">
        <f>SOFR3mo_PX[[#This Row],[Column1583]]</f>
        <v>98.37</v>
      </c>
      <c r="BHX10">
        <f>SOFR3mo_PX[[#This Row],[Column1584]]</f>
        <v>98.375</v>
      </c>
      <c r="BHY10">
        <f>SOFR3mo_PX[[#This Row],[Column1585]]</f>
        <v>98.334999999999994</v>
      </c>
      <c r="BHZ10">
        <f>SOFR3mo_PX[[#This Row],[Column1586]]</f>
        <v>98.27</v>
      </c>
      <c r="BIA10">
        <f>SOFR3mo_PX[[#This Row],[Column1587]]</f>
        <v>98.27</v>
      </c>
      <c r="BIB10">
        <f>SOFR3mo_PX[[#This Row],[Column1588]]</f>
        <v>98.3</v>
      </c>
      <c r="BIC10">
        <f>SOFR3mo_PX[[#This Row],[Column1589]]</f>
        <v>98.165000000000006</v>
      </c>
      <c r="BID10">
        <f>SOFR3mo_PX[[#This Row],[Column1590]]</f>
        <v>98.135000000000005</v>
      </c>
      <c r="BIE10">
        <f>SOFR3mo_PX[[#This Row],[Column1591]]</f>
        <v>98.165000000000006</v>
      </c>
      <c r="BIF10">
        <f>SOFR3mo_PX[[#This Row],[Column1592]]</f>
        <v>98.19</v>
      </c>
      <c r="BIG10">
        <f>SOFR3mo_PX[[#This Row],[Column1593]]</f>
        <v>98.185000000000002</v>
      </c>
      <c r="BIH10">
        <f>SOFR3mo_PX[[#This Row],[Column1594]]</f>
        <v>98.23</v>
      </c>
      <c r="BII10">
        <f>SOFR3mo_PX[[#This Row],[Column1595]]</f>
        <v>98.174999999999997</v>
      </c>
      <c r="BIJ10">
        <f>SOFR3mo_PX[[#This Row],[Column1596]]</f>
        <v>98.18</v>
      </c>
      <c r="BIK10">
        <f>SOFR3mo_PX[[#This Row],[Column1597]]</f>
        <v>98.094999999999999</v>
      </c>
      <c r="BIL10">
        <f>SOFR3mo_PX[[#This Row],[Column1598]]</f>
        <v>98.08</v>
      </c>
      <c r="BIM10">
        <f>SOFR3mo_PX[[#This Row],[Column1599]]</f>
        <v>98.045000000000002</v>
      </c>
      <c r="BIN10">
        <f>SOFR3mo_PX[[#This Row],[Column1600]]</f>
        <v>98.07</v>
      </c>
      <c r="BIO10">
        <f>SOFR3mo_PX[[#This Row],[Column1601]]</f>
        <v>98.025000000000006</v>
      </c>
      <c r="BIP10">
        <f>SOFR3mo_PX[[#This Row],[Column1602]]</f>
        <v>97.984999999999999</v>
      </c>
      <c r="BIQ10">
        <f>SOFR3mo_PX[[#This Row],[Column1603]]</f>
        <v>97.98</v>
      </c>
      <c r="BIR10">
        <f>SOFR3mo_PX[[#This Row],[Column1604]]</f>
        <v>98.045000000000002</v>
      </c>
      <c r="BIS10">
        <f>SOFR3mo_PX[[#This Row],[Column1605]]</f>
        <v>98.084999999999994</v>
      </c>
      <c r="BIT10">
        <f>SOFR3mo_PX[[#This Row],[Column1606]]</f>
        <v>98.055000000000007</v>
      </c>
      <c r="BIU10">
        <f>SOFR3mo_PX[[#This Row],[Column1607]]</f>
        <v>98.06</v>
      </c>
      <c r="BIV10">
        <f>SOFR3mo_PX[[#This Row],[Column1608]]</f>
        <v>98.015000000000001</v>
      </c>
      <c r="BIW10">
        <f>SOFR3mo_PX[[#This Row],[Column1609]]</f>
        <v>98.03</v>
      </c>
      <c r="BIX10">
        <f>SOFR3mo_PX[[#This Row],[Column1610]]</f>
        <v>97.974999999999994</v>
      </c>
      <c r="BIY10">
        <f>SOFR3mo_PX[[#This Row],[Column1611]]</f>
        <v>97.954999999999998</v>
      </c>
      <c r="BIZ10">
        <f>SOFR3mo_PX[[#This Row],[Column1612]]</f>
        <v>97.95</v>
      </c>
      <c r="BJA10">
        <f>SOFR3mo_PX[[#This Row],[Column1613]]</f>
        <v>97.95</v>
      </c>
      <c r="BJB10">
        <f>SOFR3mo_PX[[#This Row],[Column1614]]</f>
        <v>97.93</v>
      </c>
      <c r="BJC10">
        <f>SOFR3mo_PX[[#This Row],[Column1615]]</f>
        <v>97.92</v>
      </c>
      <c r="BJD10">
        <f>SOFR3mo_PX[[#This Row],[Column1616]]</f>
        <v>97.95</v>
      </c>
      <c r="BJE10">
        <f>SOFR3mo_PX[[#This Row],[Column1617]]</f>
        <v>97.944999999999993</v>
      </c>
      <c r="BJF10">
        <f>SOFR3mo_PX[[#This Row],[Column1618]]</f>
        <v>98.02</v>
      </c>
      <c r="BJG10">
        <f>SOFR3mo_PX[[#This Row],[Column1619]]</f>
        <v>98.055000000000007</v>
      </c>
      <c r="BJH10">
        <f>SOFR3mo_PX[[#This Row],[Column1620]]</f>
        <v>98.02</v>
      </c>
      <c r="BJI10">
        <f>SOFR3mo_PX[[#This Row],[Column1621]]</f>
        <v>97.995000000000005</v>
      </c>
      <c r="BJJ10">
        <f>SOFR3mo_PX[[#This Row],[Column1622]]</f>
        <v>98.004999999999995</v>
      </c>
      <c r="BJK10">
        <f>SOFR3mo_PX[[#This Row],[Column1623]]</f>
        <v>98.015000000000001</v>
      </c>
      <c r="BJL10">
        <f>SOFR3mo_PX[[#This Row],[Column1624]]</f>
        <v>98.025000000000006</v>
      </c>
      <c r="BJM10">
        <f>SOFR3mo_PX[[#This Row],[Column1625]]</f>
        <v>98.045000000000002</v>
      </c>
      <c r="BJN10">
        <f>SOFR3mo_PX[[#This Row],[Column1626]]</f>
        <v>98.034999999999997</v>
      </c>
      <c r="BJO10">
        <f>SOFR3mo_PX[[#This Row],[Column1627]]</f>
        <v>98.114999999999995</v>
      </c>
      <c r="BJP10">
        <f>SOFR3mo_PX[[#This Row],[Column1628]]</f>
        <v>98.19</v>
      </c>
      <c r="BJQ10">
        <f>SOFR3mo_PX[[#This Row],[Column1629]]</f>
        <v>98.22</v>
      </c>
      <c r="BJR10">
        <f>SOFR3mo_PX[[#This Row],[Column1630]]</f>
        <v>98.16</v>
      </c>
      <c r="BJS10">
        <f>SOFR3mo_PX[[#This Row],[Column1631]]</f>
        <v>98.19</v>
      </c>
      <c r="BJT10">
        <f>SOFR3mo_PX[[#This Row],[Column1632]]</f>
        <v>98.07</v>
      </c>
      <c r="BJU10">
        <f>SOFR3mo_PX[[#This Row],[Column1633]]</f>
        <v>97.944999999999993</v>
      </c>
      <c r="BJV10">
        <f>SOFR3mo_PX[[#This Row],[Column1634]]</f>
        <v>97.924999999999997</v>
      </c>
      <c r="BJW10">
        <f>SOFR3mo_PX[[#This Row],[Column1635]]</f>
        <v>97.8</v>
      </c>
      <c r="BJX10">
        <f>SOFR3mo_PX[[#This Row],[Column1636]]</f>
        <v>97.814999999999998</v>
      </c>
      <c r="BJY10">
        <f>SOFR3mo_PX[[#This Row],[Column1637]]</f>
        <v>97.82</v>
      </c>
      <c r="BJZ10">
        <f>SOFR3mo_PX[[#This Row],[Column1638]]</f>
        <v>97.79</v>
      </c>
      <c r="BKA10">
        <f>SOFR3mo_PX[[#This Row],[Column1639]]</f>
        <v>97.795000000000002</v>
      </c>
      <c r="BKB10">
        <f>SOFR3mo_PX[[#This Row],[Column1640]]</f>
        <v>97.79</v>
      </c>
      <c r="BKC10">
        <f>SOFR3mo_PX[[#This Row],[Column1641]]</f>
        <v>97.76</v>
      </c>
      <c r="BKD10">
        <f>SOFR3mo_PX[[#This Row],[Column1642]]</f>
        <v>97.77</v>
      </c>
      <c r="BKE10">
        <f>SOFR3mo_PX[[#This Row],[Column1643]]</f>
        <v>97.76</v>
      </c>
      <c r="BKF10">
        <f>SOFR3mo_PX[[#This Row],[Column1644]]</f>
        <v>97.69</v>
      </c>
      <c r="BKG10">
        <f>SOFR3mo_PX[[#This Row],[Column1645]]</f>
        <v>97.655000000000001</v>
      </c>
      <c r="BKH10">
        <f>SOFR3mo_PX[[#This Row],[Column1646]]</f>
        <v>97.66</v>
      </c>
      <c r="BKI10">
        <f>SOFR3mo_PX[[#This Row],[Column1647]]</f>
        <v>97.65</v>
      </c>
      <c r="BKJ10">
        <f>SOFR3mo_PX[[#This Row],[Column1648]]</f>
        <v>97.72</v>
      </c>
      <c r="BKK10">
        <f>SOFR3mo_PX[[#This Row],[Column1649]]</f>
        <v>97.74</v>
      </c>
      <c r="BKL10">
        <f>SOFR3mo_PX[[#This Row],[Column1650]]</f>
        <v>97.765000000000001</v>
      </c>
      <c r="BKM10">
        <f>SOFR3mo_PX[[#This Row],[Column1651]]</f>
        <v>97.74</v>
      </c>
      <c r="BKN10">
        <f>SOFR3mo_PX[[#This Row],[Column1652]]</f>
        <v>97.745000000000005</v>
      </c>
      <c r="BKO10">
        <f>SOFR3mo_PX[[#This Row],[Column1653]]</f>
        <v>97.7</v>
      </c>
      <c r="BKP10">
        <f>SOFR3mo_PX[[#This Row],[Column1654]]</f>
        <v>97.74</v>
      </c>
      <c r="BKQ10">
        <f>SOFR3mo_PX[[#This Row],[Column1655]]</f>
        <v>97.734999999999999</v>
      </c>
      <c r="BKR10">
        <f>SOFR3mo_PX[[#This Row],[Column1656]]</f>
        <v>97.72</v>
      </c>
      <c r="BKS10">
        <f>SOFR3mo_PX[[#This Row],[Column1657]]</f>
        <v>97.72</v>
      </c>
      <c r="BKT10">
        <f>SOFR3mo_PX[[#This Row],[Column1658]]</f>
        <v>97.73</v>
      </c>
      <c r="BKU10">
        <f>SOFR3mo_PX[[#This Row],[Column1659]]</f>
        <v>97.69</v>
      </c>
      <c r="BKV10">
        <f>SOFR3mo_PX[[#This Row],[Column1660]]</f>
        <v>97.75</v>
      </c>
      <c r="BKW10">
        <f>SOFR3mo_PX[[#This Row],[Column1661]]</f>
        <v>97.78</v>
      </c>
      <c r="BKX10">
        <f>SOFR3mo_PX[[#This Row],[Column1662]]</f>
        <v>97.805000000000007</v>
      </c>
      <c r="BKY10">
        <f>SOFR3mo_PX[[#This Row],[Column1663]]</f>
        <v>97.775000000000006</v>
      </c>
      <c r="BKZ10">
        <f>SOFR3mo_PX[[#This Row],[Column1664]]</f>
        <v>97.724999999999994</v>
      </c>
      <c r="BLA10">
        <f>SOFR3mo_PX[[#This Row],[Column1665]]</f>
        <v>97.715000000000003</v>
      </c>
      <c r="BLB10">
        <f>SOFR3mo_PX[[#This Row],[Column1666]]</f>
        <v>97.71</v>
      </c>
      <c r="BLC10">
        <f>SOFR3mo_PX[[#This Row],[Column1667]]</f>
        <v>97.73</v>
      </c>
      <c r="BLD10">
        <f>SOFR3mo_PX[[#This Row],[Column1668]]</f>
        <v>97.754999999999995</v>
      </c>
      <c r="BLE10">
        <f>SOFR3mo_PX[[#This Row],[Column1669]]</f>
        <v>97.685000000000002</v>
      </c>
      <c r="BLF10">
        <f>SOFR3mo_PX[[#This Row],[Column1670]]</f>
        <v>97.64</v>
      </c>
      <c r="BLG10">
        <f>SOFR3mo_PX[[#This Row],[Column1671]]</f>
        <v>97.635000000000005</v>
      </c>
      <c r="BLH10">
        <f>SOFR3mo_PX[[#This Row],[Column1672]]</f>
        <v>97.625</v>
      </c>
      <c r="BLI10">
        <f>SOFR3mo_PX[[#This Row],[Column1673]]</f>
        <v>97.65</v>
      </c>
      <c r="BLJ10">
        <f>SOFR3mo_PX[[#This Row],[Column1674]]</f>
        <v>97.64</v>
      </c>
      <c r="BLK10">
        <f>SOFR3mo_PX[[#This Row],[Column1675]]</f>
        <v>97.644999999999996</v>
      </c>
      <c r="BLL10">
        <f>SOFR3mo_PX[[#This Row],[Column1676]]</f>
        <v>97.605000000000004</v>
      </c>
      <c r="BLM10">
        <f>SOFR3mo_PX[[#This Row],[Column1677]]</f>
        <v>97.605000000000004</v>
      </c>
      <c r="BLN10">
        <f>SOFR3mo_PX[[#This Row],[Column1678]]</f>
        <v>97.674999999999997</v>
      </c>
      <c r="BLO10">
        <f>SOFR3mo_PX[[#This Row],[Column1679]]</f>
        <v>97.704999999999998</v>
      </c>
      <c r="BLP10">
        <f>SOFR3mo_PX[[#This Row],[Column1680]]</f>
        <v>97.73</v>
      </c>
      <c r="BLQ10">
        <f>SOFR3mo_PX[[#This Row],[Column1681]]</f>
        <v>97.72</v>
      </c>
      <c r="BLR10">
        <f>SOFR3mo_PX[[#This Row],[Column1682]]</f>
        <v>97.724999999999994</v>
      </c>
      <c r="BLS10">
        <f>SOFR3mo_PX[[#This Row],[Column1683]]</f>
        <v>97.71</v>
      </c>
      <c r="BLT10">
        <f>SOFR3mo_PX[[#This Row],[Column1684]]</f>
        <v>97.715000000000003</v>
      </c>
      <c r="BLU10">
        <f>SOFR3mo_PX[[#This Row],[Column1685]]</f>
        <v>97.71</v>
      </c>
      <c r="BLV10">
        <f>SOFR3mo_PX[[#This Row],[Column1686]]</f>
        <v>97.78</v>
      </c>
      <c r="BLW10">
        <f>SOFR3mo_PX[[#This Row],[Column1687]]</f>
        <v>97.825000000000003</v>
      </c>
      <c r="BLX10">
        <f>SOFR3mo_PX[[#This Row],[Column1688]]</f>
        <v>97.89</v>
      </c>
      <c r="BLY10">
        <f>SOFR3mo_PX[[#This Row],[Column1689]]</f>
        <v>97.704999999999998</v>
      </c>
      <c r="BLZ10">
        <f>SOFR3mo_PX[[#This Row],[Column1690]]</f>
        <v>97.715000000000003</v>
      </c>
      <c r="BMA10">
        <f>SOFR3mo_PX[[#This Row],[Column1691]]</f>
        <v>97.715000000000003</v>
      </c>
      <c r="BMB10">
        <f>SOFR3mo_PX[[#This Row],[Column1692]]</f>
        <v>97.71</v>
      </c>
      <c r="BMC10">
        <f>SOFR3mo_PX[[#This Row],[Column1693]]</f>
        <v>97.7</v>
      </c>
      <c r="BMD10">
        <f>SOFR3mo_PX[[#This Row],[Column1694]]</f>
        <v>97.644999999999996</v>
      </c>
      <c r="BME10">
        <f>SOFR3mo_PX[[#This Row],[Column1695]]</f>
        <v>97.62</v>
      </c>
      <c r="BMF10">
        <f>SOFR3mo_PX[[#This Row],[Column1696]]</f>
        <v>97.62</v>
      </c>
      <c r="BMG10">
        <f>SOFR3mo_PX[[#This Row],[Column1697]]</f>
        <v>97.56</v>
      </c>
      <c r="BMH10">
        <f>SOFR3mo_PX[[#This Row],[Column1698]]</f>
        <v>97.525000000000006</v>
      </c>
      <c r="BMI10">
        <f>SOFR3mo_PX[[#This Row],[Column1699]]</f>
        <v>97.52</v>
      </c>
      <c r="BMJ10">
        <f>SOFR3mo_PX[[#This Row],[Column1700]]</f>
        <v>97.504999999999995</v>
      </c>
      <c r="BMK10">
        <f>SOFR3mo_PX[[#This Row],[Column1701]]</f>
        <v>97.46</v>
      </c>
      <c r="BML10">
        <f>SOFR3mo_PX[[#This Row],[Column1702]]</f>
        <v>97.424999999999997</v>
      </c>
      <c r="BMM10">
        <f>SOFR3mo_PX[[#This Row],[Column1703]]</f>
        <v>97.394999999999996</v>
      </c>
      <c r="BMN10">
        <f>SOFR3mo_PX[[#This Row],[Column1704]]</f>
        <v>97.4</v>
      </c>
      <c r="BMO10">
        <f>SOFR3mo_PX[[#This Row],[Column1705]]</f>
        <v>97.43</v>
      </c>
      <c r="BMP10">
        <f>SOFR3mo_PX[[#This Row],[Column1706]]</f>
        <v>97.47</v>
      </c>
      <c r="BMQ10">
        <f>SOFR3mo_PX[[#This Row],[Column1707]]</f>
        <v>97.435000000000002</v>
      </c>
      <c r="BMR10">
        <f>SOFR3mo_PX[[#This Row],[Column1708]]</f>
        <v>97.394999999999996</v>
      </c>
      <c r="BMS10">
        <f>SOFR3mo_PX[[#This Row],[Column1709]]</f>
        <v>97.29</v>
      </c>
      <c r="BMT10">
        <f>SOFR3mo_PX[[#This Row],[Column1710]]</f>
        <v>97.29</v>
      </c>
      <c r="BMU10">
        <f>SOFR3mo_PX[[#This Row],[Column1711]]</f>
        <v>97.265000000000001</v>
      </c>
      <c r="BMV10">
        <f>SOFR3mo_PX[[#This Row],[Column1712]]</f>
        <v>97.284999999999997</v>
      </c>
      <c r="BMW10">
        <f>SOFR3mo_PX[[#This Row],[Column1713]]</f>
        <v>97.28</v>
      </c>
      <c r="BMX10">
        <f>SOFR3mo_PX[[#This Row],[Column1714]]</f>
        <v>97.275000000000006</v>
      </c>
      <c r="BMY10">
        <f>SOFR3mo_PX[[#This Row],[Column1715]]</f>
        <v>97.234999999999999</v>
      </c>
      <c r="BMZ10">
        <f>SOFR3mo_PX[[#This Row],[Column1716]]</f>
        <v>97.224999999999994</v>
      </c>
      <c r="BNA10">
        <f>SOFR3mo_PX[[#This Row],[Column1717]]</f>
        <v>97.234999999999999</v>
      </c>
      <c r="BNB10">
        <f>SOFR3mo_PX[[#This Row],[Column1718]]</f>
        <v>97.234999999999999</v>
      </c>
      <c r="BNC10">
        <f>SOFR3mo_PX[[#This Row],[Column1719]]</f>
        <v>97.234999999999999</v>
      </c>
      <c r="BND10">
        <f>SOFR3mo_PX[[#This Row],[Column1720]]</f>
        <v>97.234999999999999</v>
      </c>
      <c r="BNE10">
        <f>SOFR3mo_PX[[#This Row],[Column1721]]</f>
        <v>97.24</v>
      </c>
      <c r="BNF10">
        <f>SOFR3mo_PX[[#This Row],[Column1722]]</f>
        <v>97.204999999999998</v>
      </c>
      <c r="BNG10">
        <f>SOFR3mo_PX[[#This Row],[Column1723]]</f>
        <v>97.155000000000001</v>
      </c>
      <c r="BNH10">
        <f>SOFR3mo_PX[[#This Row],[Column1724]]</f>
        <v>97.144999999999996</v>
      </c>
      <c r="BNI10">
        <f>SOFR3mo_PX[[#This Row],[Column1725]]</f>
        <v>97.09</v>
      </c>
      <c r="BNJ10">
        <f>SOFR3mo_PX[[#This Row],[Column1726]]</f>
        <v>97.07</v>
      </c>
      <c r="BNK10">
        <f>SOFR3mo_PX[[#This Row],[Column1727]]</f>
        <v>97.05</v>
      </c>
      <c r="BNL10">
        <f>SOFR3mo_PX[[#This Row],[Column1728]]</f>
        <v>97.034999999999997</v>
      </c>
      <c r="BNM10">
        <f>SOFR3mo_PX[[#This Row],[Column1729]]</f>
        <v>97.07</v>
      </c>
      <c r="BNN10">
        <f>SOFR3mo_PX[[#This Row],[Column1730]]</f>
        <v>97.08</v>
      </c>
      <c r="BNO10">
        <f>SOFR3mo_PX[[#This Row],[Column1731]]</f>
        <v>97.09</v>
      </c>
      <c r="BNP10">
        <f>SOFR3mo_PX[[#This Row],[Column1732]]</f>
        <v>97.094999999999999</v>
      </c>
      <c r="BNQ10">
        <f>SOFR3mo_PX[[#This Row],[Column1733]]</f>
        <v>97.135000000000005</v>
      </c>
      <c r="BNR10">
        <f>SOFR3mo_PX[[#This Row],[Column1734]]</f>
        <v>97.125</v>
      </c>
      <c r="BNS10">
        <f>SOFR3mo_PX[[#This Row],[Column1735]]</f>
        <v>97.16</v>
      </c>
      <c r="BNT10">
        <f>SOFR3mo_PX[[#This Row],[Column1736]]</f>
        <v>97.16</v>
      </c>
      <c r="BNU10">
        <f>SOFR3mo_PX[[#This Row],[Column1737]]</f>
        <v>97.165000000000006</v>
      </c>
      <c r="BNV10">
        <f>SOFR3mo_PX[[#This Row],[Column1738]]</f>
        <v>97.094999999999999</v>
      </c>
      <c r="BNW10">
        <f>SOFR3mo_PX[[#This Row],[Column1739]]</f>
        <v>97.094999999999999</v>
      </c>
      <c r="BNX10">
        <f>SOFR3mo_PX[[#This Row],[Column1740]]</f>
        <v>97.07</v>
      </c>
      <c r="BNY10">
        <f>SOFR3mo_PX[[#This Row],[Column1741]]</f>
        <v>97.034999999999997</v>
      </c>
      <c r="BNZ10">
        <f>SOFR3mo_PX[[#This Row],[Column1742]]</f>
        <v>97.03</v>
      </c>
      <c r="BOA10">
        <f>SOFR3mo_PX[[#This Row],[Column1743]]</f>
        <v>97.05</v>
      </c>
      <c r="BOB10">
        <f>SOFR3mo_PX[[#This Row],[Column1744]]</f>
        <v>97.04</v>
      </c>
      <c r="BOC10">
        <f>SOFR3mo_PX[[#This Row],[Column1745]]</f>
        <v>97.04</v>
      </c>
      <c r="BOD10">
        <f>SOFR3mo_PX[[#This Row],[Column1746]]</f>
        <v>97.045000000000002</v>
      </c>
      <c r="BOE10">
        <f>SOFR3mo_PX[[#This Row],[Column1747]]</f>
        <v>97.055000000000007</v>
      </c>
      <c r="BOF10">
        <f>SOFR3mo_PX[[#This Row],[Column1748]]</f>
        <v>97.04</v>
      </c>
      <c r="BOG10">
        <f>SOFR3mo_PX[[#This Row],[Column1749]]</f>
        <v>96.99</v>
      </c>
      <c r="BOH10">
        <f>SOFR3mo_PX[[#This Row],[Column1750]]</f>
        <v>96.98</v>
      </c>
      <c r="BOI10">
        <f>SOFR3mo_PX[[#This Row],[Column1751]]</f>
        <v>96.984999999999999</v>
      </c>
      <c r="BOJ10">
        <f>SOFR3mo_PX[[#This Row],[Column1752]]</f>
        <v>96.99</v>
      </c>
      <c r="BOK10">
        <f>SOFR3mo_PX[[#This Row],[Column1753]]</f>
        <v>97.015000000000001</v>
      </c>
      <c r="BOL10">
        <f>SOFR3mo_PX[[#This Row],[Column1754]]</f>
        <v>97.05</v>
      </c>
      <c r="BOM10">
        <f>SOFR3mo_PX[[#This Row],[Column1755]]</f>
        <v>97.094999999999999</v>
      </c>
      <c r="BON10">
        <f>SOFR3mo_PX[[#This Row],[Column1756]]</f>
        <v>97.084999999999994</v>
      </c>
      <c r="BOO10">
        <f>SOFR3mo_PX[[#This Row],[Column1757]]</f>
        <v>97.09</v>
      </c>
      <c r="BOP10">
        <f>SOFR3mo_PX[[#This Row],[Column1758]]</f>
        <v>97.07</v>
      </c>
      <c r="BOQ10">
        <f>SOFR3mo_PX[[#This Row],[Column1759]]</f>
        <v>97.07</v>
      </c>
      <c r="BOR10">
        <f>SOFR3mo_PX[[#This Row],[Column1760]]</f>
        <v>97.06</v>
      </c>
      <c r="BOS10">
        <f>SOFR3mo_PX[[#This Row],[Column1761]]</f>
        <v>97.075000000000003</v>
      </c>
      <c r="BOT10">
        <f>SOFR3mo_PX[[#This Row],[Column1762]]</f>
        <v>97.075000000000003</v>
      </c>
      <c r="BOU10">
        <f>SOFR3mo_PX[[#This Row],[Column1763]]</f>
        <v>97.064999999999998</v>
      </c>
      <c r="BOV10">
        <f>SOFR3mo_PX[[#This Row],[Column1764]]</f>
        <v>97.084999999999994</v>
      </c>
      <c r="BOW10">
        <f>SOFR3mo_PX[[#This Row],[Column1765]]</f>
        <v>97.105000000000004</v>
      </c>
      <c r="BOX10">
        <f>SOFR3mo_PX[[#This Row],[Column1766]]</f>
        <v>97.135000000000005</v>
      </c>
      <c r="BOY10">
        <f>SOFR3mo_PX[[#This Row],[Column1767]]</f>
        <v>97.14</v>
      </c>
      <c r="BOZ10">
        <f>SOFR3mo_PX[[#This Row],[Column1768]]</f>
        <v>97.174999999999997</v>
      </c>
      <c r="BPA10">
        <f>SOFR3mo_PX[[#This Row],[Column1769]]</f>
        <v>97.2</v>
      </c>
      <c r="BPB10">
        <f>SOFR3mo_PX[[#This Row],[Column1770]]</f>
        <v>97.2</v>
      </c>
      <c r="BPC10">
        <f>SOFR3mo_PX[[#This Row],[Column1771]]</f>
        <v>97.245000000000005</v>
      </c>
      <c r="BPD10">
        <f>SOFR3mo_PX[[#This Row],[Column1772]]</f>
        <v>97.245000000000005</v>
      </c>
      <c r="BPE10">
        <f>SOFR3mo_PX[[#This Row],[Column1773]]</f>
        <v>97.305000000000007</v>
      </c>
      <c r="BPF10">
        <f>SOFR3mo_PX[[#This Row],[Column1774]]</f>
        <v>97.29</v>
      </c>
      <c r="BPG10">
        <f>SOFR3mo_PX[[#This Row],[Column1775]]</f>
        <v>97.295000000000002</v>
      </c>
      <c r="BPH10">
        <f>SOFR3mo_PX[[#This Row],[Column1776]]</f>
        <v>97.314999999999998</v>
      </c>
      <c r="BPI10">
        <f>SOFR3mo_PX[[#This Row],[Column1777]]</f>
        <v>97.314999999999998</v>
      </c>
      <c r="BPJ10">
        <f>SOFR3mo_PX[[#This Row],[Column1778]]</f>
        <v>97.29</v>
      </c>
      <c r="BPK10">
        <f>SOFR3mo_PX[[#This Row],[Column1779]]</f>
        <v>97.28</v>
      </c>
      <c r="BPL10">
        <f>SOFR3mo_PX[[#This Row],[Column1780]]</f>
        <v>97.295000000000002</v>
      </c>
      <c r="BPM10">
        <f>SOFR3mo_PX[[#This Row],[Column1781]]</f>
        <v>97.31</v>
      </c>
      <c r="BPN10">
        <f>SOFR3mo_PX[[#This Row],[Column1782]]</f>
        <v>97.33</v>
      </c>
      <c r="BPO10">
        <f>SOFR3mo_PX[[#This Row],[Column1783]]</f>
        <v>97.33</v>
      </c>
      <c r="BPP10">
        <f>SOFR3mo_PX[[#This Row],[Column1784]]</f>
        <v>97.35</v>
      </c>
      <c r="BPQ10">
        <f>SOFR3mo_PX[[#This Row],[Column1785]]</f>
        <v>97.34</v>
      </c>
      <c r="BPR10">
        <f>SOFR3mo_PX[[#This Row],[Column1786]]</f>
        <v>97.35</v>
      </c>
      <c r="BPS10">
        <f>SOFR3mo_PX[[#This Row],[Column1787]]</f>
        <v>97.325000000000003</v>
      </c>
      <c r="BPT10">
        <f>SOFR3mo_PX[[#This Row],[Column1788]]</f>
        <v>97.32</v>
      </c>
      <c r="BPU10">
        <f>SOFR3mo_PX[[#This Row],[Column1789]]</f>
        <v>97.34</v>
      </c>
      <c r="BPV10">
        <f>SOFR3mo_PX[[#This Row],[Column1790]]</f>
        <v>97.305000000000007</v>
      </c>
      <c r="BPW10">
        <f>SOFR3mo_PX[[#This Row],[Column1791]]</f>
        <v>97.334999999999994</v>
      </c>
      <c r="BPX10">
        <f>SOFR3mo_PX[[#This Row],[Column1792]]</f>
        <v>97.34</v>
      </c>
      <c r="BPY10">
        <f>SOFR3mo_PX[[#This Row],[Column1793]]</f>
        <v>97.275000000000006</v>
      </c>
      <c r="BPZ10">
        <f>SOFR3mo_PX[[#This Row],[Column1794]]</f>
        <v>97.26</v>
      </c>
      <c r="BQA10">
        <f>SOFR3mo_PX[[#This Row],[Column1795]]</f>
        <v>97.254999999999995</v>
      </c>
      <c r="BQB10">
        <f>SOFR3mo_PX[[#This Row],[Column1796]]</f>
        <v>97.26</v>
      </c>
      <c r="BQC10">
        <f>SOFR3mo_PX[[#This Row],[Column1797]]</f>
        <v>97.25</v>
      </c>
      <c r="BQD10">
        <f>SOFR3mo_PX[[#This Row],[Column1798]]</f>
        <v>97.24</v>
      </c>
      <c r="BQE10">
        <f>SOFR3mo_PX[[#This Row],[Column1799]]</f>
        <v>97.24</v>
      </c>
      <c r="BQF10">
        <f>SOFR3mo_PX[[#This Row],[Column1800]]</f>
        <v>97.245000000000005</v>
      </c>
      <c r="BQG10">
        <f>SOFR3mo_PX[[#This Row],[Column1801]]</f>
        <v>97.245000000000005</v>
      </c>
      <c r="BQH10">
        <f>SOFR3mo_PX[[#This Row],[Column1802]]</f>
        <v>97.245000000000005</v>
      </c>
      <c r="BQI10">
        <f>SOFR3mo_PX[[#This Row],[Column1803]]</f>
        <v>97.24</v>
      </c>
      <c r="BQJ10">
        <f>SOFR3mo_PX[[#This Row],[Column1804]]</f>
        <v>97.284999999999997</v>
      </c>
      <c r="BQK10">
        <f>SOFR3mo_PX[[#This Row],[Column1805]]</f>
        <v>97.284999999999997</v>
      </c>
      <c r="BQL10">
        <f>SOFR3mo_PX[[#This Row],[Column1806]]</f>
        <v>97.295000000000002</v>
      </c>
      <c r="BQM10">
        <f>SOFR3mo_PX[[#This Row],[Column1807]]</f>
        <v>97.33</v>
      </c>
      <c r="BQN10">
        <f>SOFR3mo_PX[[#This Row],[Column1808]]</f>
        <v>97.334999999999994</v>
      </c>
      <c r="BQO10">
        <f>SOFR3mo_PX[[#This Row],[Column1809]]</f>
        <v>97.32</v>
      </c>
      <c r="BQP10">
        <f>SOFR3mo_PX[[#This Row],[Column1810]]</f>
        <v>97.325000000000003</v>
      </c>
      <c r="BQQ10">
        <f>SOFR3mo_PX[[#This Row],[Column1811]]</f>
        <v>97.35</v>
      </c>
      <c r="BQR10">
        <f>SOFR3mo_PX[[#This Row],[Column1812]]</f>
        <v>97.364999999999995</v>
      </c>
      <c r="BQS10">
        <f>SOFR3mo_PX[[#This Row],[Column1813]]</f>
        <v>97.355000000000004</v>
      </c>
      <c r="BQT10">
        <f>SOFR3mo_PX[[#This Row],[Column1814]]</f>
        <v>97.364999999999995</v>
      </c>
      <c r="BQU10">
        <f>SOFR3mo_PX[[#This Row],[Column1815]]</f>
        <v>97.36</v>
      </c>
      <c r="BQV10">
        <f>SOFR3mo_PX[[#This Row],[Column1816]]</f>
        <v>97.375</v>
      </c>
      <c r="BQW10">
        <f>SOFR3mo_PX[[#This Row],[Column1817]]</f>
        <v>97.385000000000005</v>
      </c>
      <c r="BQX10">
        <f>SOFR3mo_PX[[#This Row],[Column1818]]</f>
        <v>97.364999999999995</v>
      </c>
      <c r="BQY10">
        <f>SOFR3mo_PX[[#This Row],[Column1819]]</f>
        <v>97.385000000000005</v>
      </c>
      <c r="BQZ10">
        <f>SOFR3mo_PX[[#This Row],[Column1820]]</f>
        <v>97.385000000000005</v>
      </c>
      <c r="BRA10">
        <f>SOFR3mo_PX[[#This Row],[Column1821]]</f>
        <v>97.38</v>
      </c>
      <c r="BRB10">
        <f>SOFR3mo_PX[[#This Row],[Column1822]]</f>
        <v>97.38</v>
      </c>
      <c r="BRC10">
        <f>SOFR3mo_PX[[#This Row],[Column1823]]</f>
        <v>97.385000000000005</v>
      </c>
      <c r="BRD10">
        <f>SOFR3mo_PX[[#This Row],[Column1824]]</f>
        <v>97.38</v>
      </c>
      <c r="BRE10">
        <f>SOFR3mo_PX[[#This Row],[Column1825]]</f>
        <v>97.334999999999994</v>
      </c>
      <c r="BRF10">
        <f>SOFR3mo_PX[[#This Row],[Column1826]]</f>
        <v>97.32</v>
      </c>
      <c r="BRG10">
        <f>SOFR3mo_PX[[#This Row],[Column1827]]</f>
        <v>97.295000000000002</v>
      </c>
      <c r="BRH10">
        <f>SOFR3mo_PX[[#This Row],[Column1828]]</f>
        <v>97.295000000000002</v>
      </c>
      <c r="BRI10">
        <f>SOFR3mo_PX[[#This Row],[Column1829]]</f>
        <v>97.284999999999997</v>
      </c>
      <c r="BRJ10">
        <f>SOFR3mo_PX[[#This Row],[Column1830]]</f>
        <v>97.29</v>
      </c>
      <c r="BRK10">
        <f>SOFR3mo_PX[[#This Row],[Column1831]]</f>
        <v>97.26</v>
      </c>
      <c r="BRL10">
        <f>SOFR3mo_PX[[#This Row],[Column1832]]</f>
        <v>97.27</v>
      </c>
      <c r="BRM10">
        <f>SOFR3mo_PX[[#This Row],[Column1833]]</f>
        <v>97.254999999999995</v>
      </c>
      <c r="BRN10">
        <f>SOFR3mo_PX[[#This Row],[Column1834]]</f>
        <v>97.254999999999995</v>
      </c>
      <c r="BRO10">
        <f>SOFR3mo_PX[[#This Row],[Column1835]]</f>
        <v>97.29</v>
      </c>
      <c r="BRP10">
        <f>SOFR3mo_PX[[#This Row],[Column1836]]</f>
        <v>97.305000000000007</v>
      </c>
      <c r="BRQ10">
        <f>SOFR3mo_PX[[#This Row],[Column1837]]</f>
        <v>97.32</v>
      </c>
      <c r="BRR10">
        <f>SOFR3mo_PX[[#This Row],[Column1838]]</f>
        <v>97.284999999999997</v>
      </c>
      <c r="BRS10">
        <f>SOFR3mo_PX[[#This Row],[Column1839]]</f>
        <v>97.275000000000006</v>
      </c>
      <c r="BRT10">
        <f>SOFR3mo_PX[[#This Row],[Column1840]]</f>
        <v>97.314999999999998</v>
      </c>
      <c r="BRU10">
        <f>SOFR3mo_PX[[#This Row],[Column1841]]</f>
        <v>97.305000000000007</v>
      </c>
      <c r="BRV10">
        <f>SOFR3mo_PX[[#This Row],[Column1842]]</f>
        <v>97.35</v>
      </c>
      <c r="BRW10">
        <f>SOFR3mo_PX[[#This Row],[Column1843]]</f>
        <v>97.424999999999997</v>
      </c>
      <c r="BRX10">
        <f>SOFR3mo_PX[[#This Row],[Column1844]]</f>
        <v>97.42</v>
      </c>
      <c r="BRY10">
        <f>SOFR3mo_PX[[#This Row],[Column1845]]</f>
        <v>97.515000000000001</v>
      </c>
      <c r="BRZ10">
        <f>SOFR3mo_PX[[#This Row],[Column1846]]</f>
        <v>97.3</v>
      </c>
      <c r="BSA10">
        <f>SOFR3mo_PX[[#This Row],[Column1847]]</f>
        <v>97.3</v>
      </c>
      <c r="BSB10">
        <f>SOFR3mo_PX[[#This Row],[Column1848]]</f>
        <v>97.27</v>
      </c>
      <c r="BSC10">
        <f>SOFR3mo_PX[[#This Row],[Column1849]]</f>
        <v>97.24</v>
      </c>
      <c r="BSD10">
        <f>SOFR3mo_PX[[#This Row],[Column1850]]</f>
        <v>97.19</v>
      </c>
      <c r="BSE10">
        <f>SOFR3mo_PX[[#This Row],[Column1851]]</f>
        <v>97.18</v>
      </c>
      <c r="BSF10">
        <f>SOFR3mo_PX[[#This Row],[Column1852]]</f>
        <v>97.194999999999993</v>
      </c>
      <c r="BSG10">
        <f>SOFR3mo_PX[[#This Row],[Column1853]]</f>
        <v>97.17</v>
      </c>
      <c r="BSH10">
        <f>SOFR3mo_PX[[#This Row],[Column1854]]</f>
        <v>97.18</v>
      </c>
      <c r="BSI10">
        <f>SOFR3mo_PX[[#This Row],[Column1855]]</f>
        <v>97.19</v>
      </c>
      <c r="BSJ10">
        <f>SOFR3mo_PX[[#This Row],[Column1856]]</f>
        <v>97.22</v>
      </c>
      <c r="BSK10">
        <f>SOFR3mo_PX[[#This Row],[Column1857]]</f>
        <v>97.22</v>
      </c>
      <c r="BSL10">
        <f>SOFR3mo_PX[[#This Row],[Column1858]]</f>
        <v>97.234999999999999</v>
      </c>
      <c r="BSM10">
        <f>SOFR3mo_PX[[#This Row],[Column1859]]</f>
        <v>97.254999999999995</v>
      </c>
      <c r="BSN10">
        <f>SOFR3mo_PX[[#This Row],[Column1860]]</f>
        <v>97.28</v>
      </c>
      <c r="BSO10">
        <f>SOFR3mo_PX[[#This Row],[Column1861]]</f>
        <v>97.29</v>
      </c>
      <c r="BSP10">
        <f>SOFR3mo_PX[[#This Row],[Column1862]]</f>
        <v>97.3</v>
      </c>
      <c r="BSQ10" t="str">
        <f>SOFR3mo_PX[[#This Row],[Column1863]]</f>
        <v>#N/A N/A</v>
      </c>
      <c r="BSR10" t="str">
        <f>SOFR3mo_PX[[#This Row],[Column1864]]</f>
        <v>#N/A N/A</v>
      </c>
      <c r="BSS10" t="str">
        <f>SOFR3mo_PX[[#This Row],[Column1865]]</f>
        <v>#N/A N/A</v>
      </c>
      <c r="BST10" t="str">
        <f>SOFR3mo_PX[[#This Row],[Column1866]]</f>
        <v>#N/A N/A</v>
      </c>
      <c r="BSU10" t="str">
        <f>SOFR3mo_PX[[#This Row],[Column1867]]</f>
        <v>#N/A N/A</v>
      </c>
      <c r="BSV10" t="str">
        <f>SOFR3mo_PX[[#This Row],[Column1868]]</f>
        <v>#N/A N/A</v>
      </c>
      <c r="BSW10" t="str">
        <f>SOFR3mo_PX[[#This Row],[Column1869]]</f>
        <v>#N/A N/A</v>
      </c>
      <c r="BSX10" t="str">
        <f>SOFR3mo_PX[[#This Row],[Column1870]]</f>
        <v>#N/A N/A</v>
      </c>
      <c r="BSY10" t="str">
        <f>SOFR3mo_PX[[#This Row],[Column1871]]</f>
        <v>#N/A N/A</v>
      </c>
      <c r="BSZ10" t="str">
        <f>SOFR3mo_PX[[#This Row],[Column1872]]</f>
        <v>#N/A N/A</v>
      </c>
      <c r="BTA10" t="str">
        <f>SOFR3mo_PX[[#This Row],[Column1873]]</f>
        <v>#N/A N/A</v>
      </c>
      <c r="BTB10" t="str">
        <f>SOFR3mo_PX[[#This Row],[Column1874]]</f>
        <v>#N/A N/A</v>
      </c>
      <c r="BTC10" t="str">
        <f>SOFR3mo_PX[[#This Row],[Column1875]]</f>
        <v>#N/A N/A</v>
      </c>
      <c r="BTD10" t="str">
        <f>SOFR3mo_PX[[#This Row],[Column1876]]</f>
        <v>#N/A N/A</v>
      </c>
      <c r="BTE10" t="str">
        <f>SOFR3mo_PX[[#This Row],[Column1877]]</f>
        <v>#N/A N/A</v>
      </c>
      <c r="BTF10" t="str">
        <f>SOFR3mo_PX[[#This Row],[Column1878]]</f>
        <v>#N/A N/A</v>
      </c>
      <c r="BTG10" t="str">
        <f>SOFR3mo_PX[[#This Row],[Column1879]]</f>
        <v>#N/A N/A</v>
      </c>
      <c r="BTH10" t="str">
        <f>SOFR3mo_PX[[#This Row],[Column1880]]</f>
        <v>#N/A N/A</v>
      </c>
      <c r="BTI10" t="str">
        <f>SOFR3mo_PX[[#This Row],[Column1881]]</f>
        <v>#N/A N/A</v>
      </c>
      <c r="BTJ10" t="str">
        <f>SOFR3mo_PX[[#This Row],[Column1882]]</f>
        <v>#N/A N/A</v>
      </c>
      <c r="BTK10" t="str">
        <f>SOFR3mo_PX[[#This Row],[Column1883]]</f>
        <v>#N/A N/A</v>
      </c>
      <c r="BTL10" t="str">
        <f>SOFR3mo_PX[[#This Row],[Column1884]]</f>
        <v>#N/A N/A</v>
      </c>
      <c r="BTM10" t="str">
        <f>SOFR3mo_PX[[#This Row],[Column1885]]</f>
        <v>#N/A N/A</v>
      </c>
      <c r="BTN10" t="str">
        <f>SOFR3mo_PX[[#This Row],[Column1886]]</f>
        <v>#N/A N/A</v>
      </c>
      <c r="BTO10" t="str">
        <f>SOFR3mo_PX[[#This Row],[Column1887]]</f>
        <v>#N/A N/A</v>
      </c>
      <c r="BTP10" t="str">
        <f>SOFR3mo_PX[[#This Row],[Column1888]]</f>
        <v>#N/A N/A</v>
      </c>
      <c r="BTQ10" t="str">
        <f>SOFR3mo_PX[[#This Row],[Column1889]]</f>
        <v>#N/A N/A</v>
      </c>
      <c r="BTR10" t="str">
        <f>SOFR3mo_PX[[#This Row],[Column1890]]</f>
        <v>#N/A N/A</v>
      </c>
      <c r="BTS10" t="str">
        <f>SOFR3mo_PX[[#This Row],[Column1891]]</f>
        <v>#N/A N/A</v>
      </c>
      <c r="BTT10" t="str">
        <f>SOFR3mo_PX[[#This Row],[Column1892]]</f>
        <v>#N/A N/A</v>
      </c>
      <c r="BTU10" t="str">
        <f>SOFR3mo_PX[[#This Row],[Column1893]]</f>
        <v>#N/A N/A</v>
      </c>
      <c r="BTV10" t="str">
        <f>SOFR3mo_PX[[#This Row],[Column1894]]</f>
        <v>#N/A N/A</v>
      </c>
      <c r="BTW10" t="str">
        <f>SOFR3mo_PX[[#This Row],[Column1895]]</f>
        <v>#N/A N/A</v>
      </c>
      <c r="BTX10" t="str">
        <f>SOFR3mo_PX[[#This Row],[Column1896]]</f>
        <v>#N/A N/A</v>
      </c>
      <c r="BTY10" t="str">
        <f>SOFR3mo_PX[[#This Row],[Column1897]]</f>
        <v>#N/A N/A</v>
      </c>
      <c r="BTZ10" t="str">
        <f>SOFR3mo_PX[[#This Row],[Column1898]]</f>
        <v>#N/A N/A</v>
      </c>
      <c r="BUA10" t="str">
        <f>SOFR3mo_PX[[#This Row],[Column1899]]</f>
        <v>#N/A N/A</v>
      </c>
      <c r="BUB10" t="str">
        <f>SOFR3mo_PX[[#This Row],[Column1900]]</f>
        <v>#N/A N/A</v>
      </c>
      <c r="BUC10" t="str">
        <f>SOFR3mo_PX[[#This Row],[Column1901]]</f>
        <v>#N/A N/A</v>
      </c>
      <c r="BUD10" t="str">
        <f>SOFR3mo_PX[[#This Row],[Column1902]]</f>
        <v>#N/A N/A</v>
      </c>
      <c r="BUE10" t="str">
        <f>SOFR3mo_PX[[#This Row],[Column1903]]</f>
        <v>#N/A N/A</v>
      </c>
      <c r="BUF10" t="str">
        <f>SOFR3mo_PX[[#This Row],[Column1904]]</f>
        <v>#N/A N/A</v>
      </c>
      <c r="BUG10" t="str">
        <f>SOFR3mo_PX[[#This Row],[Column1905]]</f>
        <v>#N/A N/A</v>
      </c>
      <c r="BUH10" t="str">
        <f>SOFR3mo_PX[[#This Row],[Column1906]]</f>
        <v>#N/A N/A</v>
      </c>
      <c r="BUI10" t="str">
        <f>SOFR3mo_PX[[#This Row],[Column1907]]</f>
        <v>#N/A N/A</v>
      </c>
      <c r="BUJ10" t="str">
        <f>SOFR3mo_PX[[#This Row],[Column1908]]</f>
        <v>#N/A N/A</v>
      </c>
      <c r="BUK10" t="str">
        <f>SOFR3mo_PX[[#This Row],[Column1909]]</f>
        <v>#N/A N/A</v>
      </c>
      <c r="BUL10" t="str">
        <f>SOFR3mo_PX[[#This Row],[Column1910]]</f>
        <v>#N/A N/A</v>
      </c>
      <c r="BUM10" t="str">
        <f>SOFR3mo_PX[[#This Row],[Column1911]]</f>
        <v>#N/A N/A</v>
      </c>
      <c r="BUN10" t="str">
        <f>SOFR3mo_PX[[#This Row],[Column1912]]</f>
        <v>#N/A N/A</v>
      </c>
      <c r="BUO10" t="str">
        <f>SOFR3mo_PX[[#This Row],[Column1913]]</f>
        <v>#N/A N/A</v>
      </c>
      <c r="BUP10" t="str">
        <f>SOFR3mo_PX[[#This Row],[Column1914]]</f>
        <v>#N/A N/A</v>
      </c>
      <c r="BUQ10" t="str">
        <f>SOFR3mo_PX[[#This Row],[Column1915]]</f>
        <v>#N/A N/A</v>
      </c>
      <c r="BUR10" t="str">
        <f>SOFR3mo_PX[[#This Row],[Column1916]]</f>
        <v>#N/A N/A</v>
      </c>
      <c r="BUS10" t="str">
        <f>SOFR3mo_PX[[#This Row],[Column1917]]</f>
        <v>#N/A N/A</v>
      </c>
      <c r="BUT10" t="str">
        <f>SOFR3mo_PX[[#This Row],[Column1918]]</f>
        <v>#N/A N/A</v>
      </c>
      <c r="BUU10" t="str">
        <f>SOFR3mo_PX[[#This Row],[Column1919]]</f>
        <v>#N/A N/A</v>
      </c>
      <c r="BUV10" t="str">
        <f>SOFR3mo_PX[[#This Row],[Column1920]]</f>
        <v>#N/A N/A</v>
      </c>
      <c r="BUW10" t="str">
        <f>SOFR3mo_PX[[#This Row],[Column1921]]</f>
        <v>#N/A N/A</v>
      </c>
      <c r="BUX10" t="str">
        <f>SOFR3mo_PX[[#This Row],[Column1922]]</f>
        <v>#N/A N/A</v>
      </c>
      <c r="BUY10" t="str">
        <f>SOFR3mo_PX[[#This Row],[Column1923]]</f>
        <v>#N/A N/A</v>
      </c>
      <c r="BUZ10" t="str">
        <f>SOFR3mo_PX[[#This Row],[Column1924]]</f>
        <v>#N/A N/A</v>
      </c>
      <c r="BVA10" t="str">
        <f>SOFR3mo_PX[[#This Row],[Column1925]]</f>
        <v>#N/A N/A</v>
      </c>
      <c r="BVB10" t="str">
        <f>SOFR3mo_PX[[#This Row],[Column1926]]</f>
        <v>#N/A N/A</v>
      </c>
      <c r="BVC10" t="str">
        <f>SOFR3mo_PX[[#This Row],[Column1927]]</f>
        <v>#N/A N/A</v>
      </c>
      <c r="BVD10" t="str">
        <f>SOFR3mo_PX[[#This Row],[Column1928]]</f>
        <v>#N/A N/A</v>
      </c>
      <c r="BVE10" t="str">
        <f>SOFR3mo_PX[[#This Row],[Column1929]]</f>
        <v>#N/A N/A</v>
      </c>
      <c r="BVF10" t="str">
        <f>SOFR3mo_PX[[#This Row],[Column1930]]</f>
        <v>#N/A N/A</v>
      </c>
      <c r="BVG10" t="str">
        <f>SOFR3mo_PX[[#This Row],[Column1931]]</f>
        <v>#N/A N/A</v>
      </c>
      <c r="BVH10" t="str">
        <f>SOFR3mo_PX[[#This Row],[Column1932]]</f>
        <v>#N/A N/A</v>
      </c>
      <c r="BVI10" t="str">
        <f>SOFR3mo_PX[[#This Row],[Column1933]]</f>
        <v>#N/A N/A</v>
      </c>
      <c r="BVJ10" t="str">
        <f>SOFR3mo_PX[[#This Row],[Column1934]]</f>
        <v>#N/A N/A</v>
      </c>
      <c r="BVK10" t="str">
        <f>SOFR3mo_PX[[#This Row],[Column1935]]</f>
        <v>#N/A N/A</v>
      </c>
      <c r="BVL10" t="str">
        <f>SOFR3mo_PX[[#This Row],[Column1936]]</f>
        <v>#N/A N/A</v>
      </c>
      <c r="BVM10" t="str">
        <f>SOFR3mo_PX[[#This Row],[Column1937]]</f>
        <v>#N/A N/A</v>
      </c>
      <c r="BVN10" t="str">
        <f>SOFR3mo_PX[[#This Row],[Column1938]]</f>
        <v>#N/A N/A</v>
      </c>
      <c r="BVO10" t="str">
        <f>SOFR3mo_PX[[#This Row],[Column1939]]</f>
        <v>#N/A N/A</v>
      </c>
      <c r="BVP10" t="str">
        <f>SOFR3mo_PX[[#This Row],[Column1940]]</f>
        <v>#N/A N/A</v>
      </c>
      <c r="BVQ10" t="str">
        <f>SOFR3mo_PX[[#This Row],[Column1941]]</f>
        <v>#N/A N/A</v>
      </c>
      <c r="BVR10" t="str">
        <f>SOFR3mo_PX[[#This Row],[Column1942]]</f>
        <v>#N/A N/A</v>
      </c>
      <c r="BVS10" t="str">
        <f>SOFR3mo_PX[[#This Row],[Column1943]]</f>
        <v>#N/A N/A</v>
      </c>
      <c r="BVT10" t="str">
        <f>SOFR3mo_PX[[#This Row],[Column1944]]</f>
        <v>#N/A N/A</v>
      </c>
      <c r="BVU10" t="str">
        <f>SOFR3mo_PX[[#This Row],[Column1945]]</f>
        <v>#N/A N/A</v>
      </c>
      <c r="BVV10" t="str">
        <f>SOFR3mo_PX[[#This Row],[Column1946]]</f>
        <v>#N/A N/A</v>
      </c>
      <c r="BVW10" t="str">
        <f>SOFR3mo_PX[[#This Row],[Column1947]]</f>
        <v>#N/A N/A</v>
      </c>
      <c r="BVX10" t="str">
        <f>SOFR3mo_PX[[#This Row],[Column1948]]</f>
        <v>#N/A N/A</v>
      </c>
      <c r="BVY10" t="str">
        <f>SOFR3mo_PX[[#This Row],[Column1949]]</f>
        <v>#N/A N/A</v>
      </c>
      <c r="BVZ10" t="str">
        <f>SOFR3mo_PX[[#This Row],[Column1950]]</f>
        <v>#N/A N/A</v>
      </c>
      <c r="BWA10" t="str">
        <f>SOFR3mo_PX[[#This Row],[Column1951]]</f>
        <v>#N/A N/A</v>
      </c>
      <c r="BWB10" t="str">
        <f>SOFR3mo_PX[[#This Row],[Column1952]]</f>
        <v>#N/A N/A</v>
      </c>
      <c r="BWC10" t="str">
        <f>SOFR3mo_PX[[#This Row],[Column1953]]</f>
        <v>#N/A N/A</v>
      </c>
      <c r="BWD10" t="str">
        <f>SOFR3mo_PX[[#This Row],[Column1954]]</f>
        <v>#N/A N/A</v>
      </c>
    </row>
    <row r="11" spans="1:1954" x14ac:dyDescent="0.25">
      <c r="A11" t="str">
        <f>SOFR3mo_PX[[#This Row],[Column1]]</f>
        <v>SFR9 Comdty</v>
      </c>
      <c r="B11">
        <f>IF(rtd!B9&lt;&gt;"",rtd!B9,SOFR3mo_PX[[#This Row],[Column2]])</f>
        <v>96.727499999999992</v>
      </c>
      <c r="C11">
        <f>SOFR3mo_PX[[#This Row],[Column3]]</f>
        <v>96.68</v>
      </c>
      <c r="D11">
        <f>SOFR3mo_PX[[#This Row],[Column4]]</f>
        <v>96.68</v>
      </c>
      <c r="E11">
        <f>SOFR3mo_PX[[#This Row],[Column5]]</f>
        <v>96.72</v>
      </c>
      <c r="F11">
        <f>SOFR3mo_PX[[#This Row],[Column6]]</f>
        <v>96.674999999999997</v>
      </c>
      <c r="G11">
        <f>SOFR3mo_PX[[#This Row],[Column7]]</f>
        <v>96.674999999999997</v>
      </c>
      <c r="H11">
        <f>SOFR3mo_PX[[#This Row],[Column8]]</f>
        <v>96.734999999999999</v>
      </c>
      <c r="I11">
        <f>SOFR3mo_PX[[#This Row],[Column9]]</f>
        <v>96.68</v>
      </c>
      <c r="J11">
        <f>SOFR3mo_PX[[#This Row],[Column10]]</f>
        <v>96.605000000000004</v>
      </c>
      <c r="K11">
        <f>SOFR3mo_PX[[#This Row],[Column11]]</f>
        <v>96.614999999999995</v>
      </c>
      <c r="L11">
        <f>SOFR3mo_PX[[#This Row],[Column12]]</f>
        <v>96.555000000000007</v>
      </c>
      <c r="M11">
        <f>SOFR3mo_PX[[#This Row],[Column13]]</f>
        <v>96.71</v>
      </c>
      <c r="N11">
        <f>SOFR3mo_PX[[#This Row],[Column14]]</f>
        <v>96.775000000000006</v>
      </c>
      <c r="O11">
        <f>SOFR3mo_PX[[#This Row],[Column15]]</f>
        <v>96.685000000000002</v>
      </c>
      <c r="P11">
        <f>SOFR3mo_PX[[#This Row],[Column16]]</f>
        <v>96.71</v>
      </c>
      <c r="Q11">
        <f>SOFR3mo_PX[[#This Row],[Column17]]</f>
        <v>96.754999999999995</v>
      </c>
      <c r="R11">
        <f>SOFR3mo_PX[[#This Row],[Column18]]</f>
        <v>96.74</v>
      </c>
      <c r="S11">
        <f>SOFR3mo_PX[[#This Row],[Column19]]</f>
        <v>96.68</v>
      </c>
      <c r="T11">
        <f>SOFR3mo_PX[[#This Row],[Column20]]</f>
        <v>96.734999999999999</v>
      </c>
      <c r="U11">
        <f>SOFR3mo_PX[[#This Row],[Column21]]</f>
        <v>96.67</v>
      </c>
      <c r="V11">
        <f>SOFR3mo_PX[[#This Row],[Column22]]</f>
        <v>96.67</v>
      </c>
      <c r="W11">
        <f>SOFR3mo_PX[[#This Row],[Column23]]</f>
        <v>96.62</v>
      </c>
      <c r="X11">
        <f>SOFR3mo_PX[[#This Row],[Column24]]</f>
        <v>96.58</v>
      </c>
      <c r="Y11">
        <f>SOFR3mo_PX[[#This Row],[Column25]]</f>
        <v>96.644999999999996</v>
      </c>
      <c r="Z11">
        <f>SOFR3mo_PX[[#This Row],[Column26]]</f>
        <v>96.62</v>
      </c>
      <c r="AA11">
        <f>SOFR3mo_PX[[#This Row],[Column27]]</f>
        <v>96.61</v>
      </c>
      <c r="AB11">
        <f>SOFR3mo_PX[[#This Row],[Column28]]</f>
        <v>96.594999999999999</v>
      </c>
      <c r="AC11">
        <f>SOFR3mo_PX[[#This Row],[Column29]]</f>
        <v>96.49</v>
      </c>
      <c r="AD11">
        <f>SOFR3mo_PX[[#This Row],[Column30]]</f>
        <v>96.525000000000006</v>
      </c>
      <c r="AE11">
        <f>SOFR3mo_PX[[#This Row],[Column31]]</f>
        <v>96.54</v>
      </c>
      <c r="AF11">
        <f>SOFR3mo_PX[[#This Row],[Column32]]</f>
        <v>96.704999999999998</v>
      </c>
      <c r="AG11">
        <f>SOFR3mo_PX[[#This Row],[Column33]]</f>
        <v>96.694999999999993</v>
      </c>
      <c r="AH11">
        <f>SOFR3mo_PX[[#This Row],[Column34]]</f>
        <v>96.855000000000004</v>
      </c>
      <c r="AI11">
        <f>SOFR3mo_PX[[#This Row],[Column35]]</f>
        <v>96.84</v>
      </c>
      <c r="AJ11">
        <f>SOFR3mo_PX[[#This Row],[Column36]]</f>
        <v>96.78</v>
      </c>
      <c r="AK11">
        <f>SOFR3mo_PX[[#This Row],[Column37]]</f>
        <v>96.765000000000001</v>
      </c>
      <c r="AL11">
        <f>SOFR3mo_PX[[#This Row],[Column38]]</f>
        <v>96.91</v>
      </c>
      <c r="AM11">
        <f>SOFR3mo_PX[[#This Row],[Column39]]</f>
        <v>96.99</v>
      </c>
      <c r="AN11">
        <f>SOFR3mo_PX[[#This Row],[Column40]]</f>
        <v>96.954999999999998</v>
      </c>
      <c r="AO11">
        <f>SOFR3mo_PX[[#This Row],[Column41]]</f>
        <v>96.91</v>
      </c>
      <c r="AP11">
        <f>SOFR3mo_PX[[#This Row],[Column42]]</f>
        <v>96.81</v>
      </c>
      <c r="AQ11">
        <f>SOFR3mo_PX[[#This Row],[Column43]]</f>
        <v>96.77</v>
      </c>
      <c r="AR11">
        <f>SOFR3mo_PX[[#This Row],[Column44]]</f>
        <v>96.68</v>
      </c>
      <c r="AS11">
        <f>SOFR3mo_PX[[#This Row],[Column45]]</f>
        <v>96.765000000000001</v>
      </c>
      <c r="AT11">
        <f>SOFR3mo_PX[[#This Row],[Column46]]</f>
        <v>96.82</v>
      </c>
      <c r="AU11">
        <f>SOFR3mo_PX[[#This Row],[Column47]]</f>
        <v>96.775000000000006</v>
      </c>
      <c r="AV11">
        <f>SOFR3mo_PX[[#This Row],[Column48]]</f>
        <v>96.775000000000006</v>
      </c>
      <c r="AW11">
        <f>SOFR3mo_PX[[#This Row],[Column49]]</f>
        <v>96.775000000000006</v>
      </c>
      <c r="AX11">
        <f>SOFR3mo_PX[[#This Row],[Column50]]</f>
        <v>96.704999999999998</v>
      </c>
      <c r="AY11">
        <f>SOFR3mo_PX[[#This Row],[Column51]]</f>
        <v>96.68</v>
      </c>
      <c r="AZ11">
        <f>SOFR3mo_PX[[#This Row],[Column52]]</f>
        <v>96.525000000000006</v>
      </c>
      <c r="BA11">
        <f>SOFR3mo_PX[[#This Row],[Column53]]</f>
        <v>96.66</v>
      </c>
      <c r="BB11">
        <f>SOFR3mo_PX[[#This Row],[Column54]]</f>
        <v>96.545000000000002</v>
      </c>
      <c r="BC11">
        <f>SOFR3mo_PX[[#This Row],[Column55]]</f>
        <v>96.8</v>
      </c>
      <c r="BD11">
        <f>SOFR3mo_PX[[#This Row],[Column56]]</f>
        <v>96.8</v>
      </c>
      <c r="BE11">
        <f>SOFR3mo_PX[[#This Row],[Column57]]</f>
        <v>96.89</v>
      </c>
      <c r="BF11">
        <f>SOFR3mo_PX[[#This Row],[Column58]]</f>
        <v>96.83</v>
      </c>
      <c r="BG11">
        <f>SOFR3mo_PX[[#This Row],[Column59]]</f>
        <v>96.58</v>
      </c>
      <c r="BH11">
        <f>SOFR3mo_PX[[#This Row],[Column60]]</f>
        <v>96.61</v>
      </c>
      <c r="BI11">
        <f>SOFR3mo_PX[[#This Row],[Column61]]</f>
        <v>96.545000000000002</v>
      </c>
      <c r="BJ11">
        <f>SOFR3mo_PX[[#This Row],[Column62]]</f>
        <v>96.56</v>
      </c>
      <c r="BK11">
        <f>SOFR3mo_PX[[#This Row],[Column63]]</f>
        <v>96.44</v>
      </c>
      <c r="BL11">
        <f>SOFR3mo_PX[[#This Row],[Column64]]</f>
        <v>96.435000000000002</v>
      </c>
      <c r="BM11">
        <f>SOFR3mo_PX[[#This Row],[Column65]]</f>
        <v>96.46</v>
      </c>
      <c r="BN11">
        <f>SOFR3mo_PX[[#This Row],[Column66]]</f>
        <v>96.415000000000006</v>
      </c>
      <c r="BO11">
        <f>SOFR3mo_PX[[#This Row],[Column67]]</f>
        <v>96.504999999999995</v>
      </c>
      <c r="BP11">
        <f>SOFR3mo_PX[[#This Row],[Column68]]</f>
        <v>96.49</v>
      </c>
      <c r="BQ11">
        <f>SOFR3mo_PX[[#This Row],[Column69]]</f>
        <v>96.465000000000003</v>
      </c>
      <c r="BR11">
        <f>SOFR3mo_PX[[#This Row],[Column70]]</f>
        <v>96.415000000000006</v>
      </c>
      <c r="BS11">
        <f>SOFR3mo_PX[[#This Row],[Column71]]</f>
        <v>96.385000000000005</v>
      </c>
      <c r="BT11">
        <f>SOFR3mo_PX[[#This Row],[Column72]]</f>
        <v>96.41</v>
      </c>
      <c r="BU11">
        <f>SOFR3mo_PX[[#This Row],[Column73]]</f>
        <v>96.48</v>
      </c>
      <c r="BV11">
        <f>SOFR3mo_PX[[#This Row],[Column74]]</f>
        <v>96.43</v>
      </c>
      <c r="BW11">
        <f>SOFR3mo_PX[[#This Row],[Column75]]</f>
        <v>96.484999999999999</v>
      </c>
      <c r="BX11">
        <f>SOFR3mo_PX[[#This Row],[Column76]]</f>
        <v>96.545000000000002</v>
      </c>
      <c r="BY11">
        <f>SOFR3mo_PX[[#This Row],[Column77]]</f>
        <v>96.405000000000001</v>
      </c>
      <c r="BZ11">
        <f>SOFR3mo_PX[[#This Row],[Column78]]</f>
        <v>96.435000000000002</v>
      </c>
      <c r="CA11">
        <f>SOFR3mo_PX[[#This Row],[Column79]]</f>
        <v>96.43</v>
      </c>
      <c r="CB11">
        <f>SOFR3mo_PX[[#This Row],[Column80]]</f>
        <v>96.484999999999999</v>
      </c>
      <c r="CC11">
        <f>SOFR3mo_PX[[#This Row],[Column81]]</f>
        <v>96.465000000000003</v>
      </c>
      <c r="CD11">
        <f>SOFR3mo_PX[[#This Row],[Column82]]</f>
        <v>96.44</v>
      </c>
      <c r="CE11">
        <f>SOFR3mo_PX[[#This Row],[Column83]]</f>
        <v>96.355000000000004</v>
      </c>
      <c r="CF11">
        <f>SOFR3mo_PX[[#This Row],[Column84]]</f>
        <v>96.38</v>
      </c>
      <c r="CG11">
        <f>SOFR3mo_PX[[#This Row],[Column85]]</f>
        <v>96.33</v>
      </c>
      <c r="CH11">
        <f>SOFR3mo_PX[[#This Row],[Column86]]</f>
        <v>96.21</v>
      </c>
      <c r="CI11">
        <f>SOFR3mo_PX[[#This Row],[Column87]]</f>
        <v>96.17</v>
      </c>
      <c r="CJ11">
        <f>SOFR3mo_PX[[#This Row],[Column88]]</f>
        <v>96.07</v>
      </c>
      <c r="CK11">
        <f>SOFR3mo_PX[[#This Row],[Column89]]</f>
        <v>96.045000000000002</v>
      </c>
      <c r="CL11">
        <f>SOFR3mo_PX[[#This Row],[Column90]]</f>
        <v>96.025000000000006</v>
      </c>
      <c r="CM11">
        <f>SOFR3mo_PX[[#This Row],[Column91]]</f>
        <v>96.08</v>
      </c>
      <c r="CN11">
        <f>SOFR3mo_PX[[#This Row],[Column92]]</f>
        <v>96.08</v>
      </c>
      <c r="CO11">
        <f>SOFR3mo_PX[[#This Row],[Column93]]</f>
        <v>96.004999999999995</v>
      </c>
      <c r="CP11">
        <f>SOFR3mo_PX[[#This Row],[Column94]]</f>
        <v>95.91</v>
      </c>
      <c r="CQ11">
        <f>SOFR3mo_PX[[#This Row],[Column95]]</f>
        <v>96.034999999999997</v>
      </c>
      <c r="CR11">
        <f>SOFR3mo_PX[[#This Row],[Column96]]</f>
        <v>96.075000000000003</v>
      </c>
      <c r="CS11">
        <f>SOFR3mo_PX[[#This Row],[Column97]]</f>
        <v>96.064999999999998</v>
      </c>
      <c r="CT11">
        <f>SOFR3mo_PX[[#This Row],[Column98]]</f>
        <v>96.14</v>
      </c>
      <c r="CU11">
        <f>SOFR3mo_PX[[#This Row],[Column99]]</f>
        <v>96.18</v>
      </c>
      <c r="CV11">
        <f>SOFR3mo_PX[[#This Row],[Column100]]</f>
        <v>96.11</v>
      </c>
      <c r="CW11">
        <f>SOFR3mo_PX[[#This Row],[Column101]]</f>
        <v>96.045000000000002</v>
      </c>
      <c r="CX11">
        <f>SOFR3mo_PX[[#This Row],[Column102]]</f>
        <v>96.05</v>
      </c>
      <c r="CY11">
        <f>SOFR3mo_PX[[#This Row],[Column103]]</f>
        <v>96.105000000000004</v>
      </c>
      <c r="CZ11">
        <f>SOFR3mo_PX[[#This Row],[Column104]]</f>
        <v>96.064999999999998</v>
      </c>
      <c r="DA11">
        <f>SOFR3mo_PX[[#This Row],[Column105]]</f>
        <v>96.08</v>
      </c>
      <c r="DB11">
        <f>SOFR3mo_PX[[#This Row],[Column106]]</f>
        <v>96.1</v>
      </c>
      <c r="DC11">
        <f>SOFR3mo_PX[[#This Row],[Column107]]</f>
        <v>95.99</v>
      </c>
      <c r="DD11">
        <f>SOFR3mo_PX[[#This Row],[Column108]]</f>
        <v>95.98</v>
      </c>
      <c r="DE11">
        <f>SOFR3mo_PX[[#This Row],[Column109]]</f>
        <v>95.965000000000003</v>
      </c>
      <c r="DF11">
        <f>SOFR3mo_PX[[#This Row],[Column110]]</f>
        <v>95.984999999999999</v>
      </c>
      <c r="DG11">
        <f>SOFR3mo_PX[[#This Row],[Column111]]</f>
        <v>95.98</v>
      </c>
      <c r="DH11">
        <f>SOFR3mo_PX[[#This Row],[Column112]]</f>
        <v>95.98</v>
      </c>
      <c r="DI11">
        <f>SOFR3mo_PX[[#This Row],[Column113]]</f>
        <v>96.015000000000001</v>
      </c>
      <c r="DJ11">
        <f>SOFR3mo_PX[[#This Row],[Column114]]</f>
        <v>95.965000000000003</v>
      </c>
      <c r="DK11">
        <f>SOFR3mo_PX[[#This Row],[Column115]]</f>
        <v>95.805000000000007</v>
      </c>
      <c r="DL11">
        <f>SOFR3mo_PX[[#This Row],[Column116]]</f>
        <v>95.775000000000006</v>
      </c>
      <c r="DM11">
        <f>SOFR3mo_PX[[#This Row],[Column117]]</f>
        <v>95.795000000000002</v>
      </c>
      <c r="DN11">
        <f>SOFR3mo_PX[[#This Row],[Column118]]</f>
        <v>95.98</v>
      </c>
      <c r="DO11">
        <f>SOFR3mo_PX[[#This Row],[Column119]]</f>
        <v>95.944999999999993</v>
      </c>
      <c r="DP11">
        <f>SOFR3mo_PX[[#This Row],[Column120]]</f>
        <v>95.935000000000002</v>
      </c>
      <c r="DQ11">
        <f>SOFR3mo_PX[[#This Row],[Column121]]</f>
        <v>95.974999999999994</v>
      </c>
      <c r="DR11">
        <f>SOFR3mo_PX[[#This Row],[Column122]]</f>
        <v>96.004999999999995</v>
      </c>
      <c r="DS11">
        <f>SOFR3mo_PX[[#This Row],[Column123]]</f>
        <v>96.045000000000002</v>
      </c>
      <c r="DT11">
        <f>SOFR3mo_PX[[#This Row],[Column124]]</f>
        <v>96.034999999999997</v>
      </c>
      <c r="DU11">
        <f>SOFR3mo_PX[[#This Row],[Column125]]</f>
        <v>96.034999999999997</v>
      </c>
      <c r="DV11">
        <f>SOFR3mo_PX[[#This Row],[Column126]]</f>
        <v>96.05</v>
      </c>
      <c r="DW11">
        <f>SOFR3mo_PX[[#This Row],[Column127]]</f>
        <v>95.954999999999998</v>
      </c>
      <c r="DX11">
        <f>SOFR3mo_PX[[#This Row],[Column128]]</f>
        <v>95.98</v>
      </c>
      <c r="DY11">
        <f>SOFR3mo_PX[[#This Row],[Column129]]</f>
        <v>95.97</v>
      </c>
      <c r="DZ11">
        <f>SOFR3mo_PX[[#This Row],[Column130]]</f>
        <v>95.97</v>
      </c>
      <c r="EA11">
        <f>SOFR3mo_PX[[#This Row],[Column131]]</f>
        <v>95.96</v>
      </c>
      <c r="EB11">
        <f>SOFR3mo_PX[[#This Row],[Column132]]</f>
        <v>96.025000000000006</v>
      </c>
      <c r="EC11">
        <f>SOFR3mo_PX[[#This Row],[Column133]]</f>
        <v>95.98</v>
      </c>
      <c r="ED11">
        <f>SOFR3mo_PX[[#This Row],[Column134]]</f>
        <v>96.015000000000001</v>
      </c>
      <c r="EE11">
        <f>SOFR3mo_PX[[#This Row],[Column135]]</f>
        <v>96.155000000000001</v>
      </c>
      <c r="EF11">
        <f>SOFR3mo_PX[[#This Row],[Column136]]</f>
        <v>96.144999999999996</v>
      </c>
      <c r="EG11">
        <f>SOFR3mo_PX[[#This Row],[Column137]]</f>
        <v>96.17</v>
      </c>
      <c r="EH11">
        <f>SOFR3mo_PX[[#This Row],[Column138]]</f>
        <v>96.24</v>
      </c>
      <c r="EI11">
        <f>SOFR3mo_PX[[#This Row],[Column139]]</f>
        <v>96.284999999999997</v>
      </c>
      <c r="EJ11">
        <f>SOFR3mo_PX[[#This Row],[Column140]]</f>
        <v>96.33</v>
      </c>
      <c r="EK11">
        <f>SOFR3mo_PX[[#This Row],[Column141]]</f>
        <v>96.36</v>
      </c>
      <c r="EL11">
        <f>SOFR3mo_PX[[#This Row],[Column142]]</f>
        <v>96.394999999999996</v>
      </c>
      <c r="EM11">
        <f>SOFR3mo_PX[[#This Row],[Column143]]</f>
        <v>96.355000000000004</v>
      </c>
      <c r="EN11">
        <f>SOFR3mo_PX[[#This Row],[Column144]]</f>
        <v>96.385000000000005</v>
      </c>
      <c r="EO11">
        <f>SOFR3mo_PX[[#This Row],[Column145]]</f>
        <v>96.33</v>
      </c>
      <c r="EP11">
        <f>SOFR3mo_PX[[#This Row],[Column146]]</f>
        <v>96.344999999999999</v>
      </c>
      <c r="EQ11">
        <f>SOFR3mo_PX[[#This Row],[Column147]]</f>
        <v>96.364999999999995</v>
      </c>
      <c r="ER11">
        <f>SOFR3mo_PX[[#This Row],[Column148]]</f>
        <v>96.32</v>
      </c>
      <c r="ES11">
        <f>SOFR3mo_PX[[#This Row],[Column149]]</f>
        <v>96.32</v>
      </c>
      <c r="ET11">
        <f>SOFR3mo_PX[[#This Row],[Column150]]</f>
        <v>96.24</v>
      </c>
      <c r="EU11">
        <f>SOFR3mo_PX[[#This Row],[Column151]]</f>
        <v>96.27</v>
      </c>
      <c r="EV11">
        <f>SOFR3mo_PX[[#This Row],[Column152]]</f>
        <v>96.15</v>
      </c>
      <c r="EW11">
        <f>SOFR3mo_PX[[#This Row],[Column153]]</f>
        <v>96.144999999999996</v>
      </c>
      <c r="EX11">
        <f>SOFR3mo_PX[[#This Row],[Column154]]</f>
        <v>96.185000000000002</v>
      </c>
      <c r="EY11">
        <f>SOFR3mo_PX[[#This Row],[Column155]]</f>
        <v>96.224999999999994</v>
      </c>
      <c r="EZ11">
        <f>SOFR3mo_PX[[#This Row],[Column156]]</f>
        <v>96.19</v>
      </c>
      <c r="FA11">
        <f>SOFR3mo_PX[[#This Row],[Column157]]</f>
        <v>96.174999999999997</v>
      </c>
      <c r="FB11">
        <f>SOFR3mo_PX[[#This Row],[Column158]]</f>
        <v>96.174999999999997</v>
      </c>
      <c r="FC11">
        <f>SOFR3mo_PX[[#This Row],[Column159]]</f>
        <v>96.165000000000006</v>
      </c>
      <c r="FD11">
        <f>SOFR3mo_PX[[#This Row],[Column160]]</f>
        <v>96.144999999999996</v>
      </c>
      <c r="FE11">
        <f>SOFR3mo_PX[[#This Row],[Column161]]</f>
        <v>96.174999999999997</v>
      </c>
      <c r="FF11">
        <f>SOFR3mo_PX[[#This Row],[Column162]]</f>
        <v>96.25</v>
      </c>
      <c r="FG11">
        <f>SOFR3mo_PX[[#This Row],[Column163]]</f>
        <v>96.265000000000001</v>
      </c>
      <c r="FH11">
        <f>SOFR3mo_PX[[#This Row],[Column164]]</f>
        <v>96.2</v>
      </c>
      <c r="FI11">
        <f>SOFR3mo_PX[[#This Row],[Column165]]</f>
        <v>96.314999999999998</v>
      </c>
      <c r="FJ11">
        <f>SOFR3mo_PX[[#This Row],[Column166]]</f>
        <v>96.334999999999994</v>
      </c>
      <c r="FK11">
        <f>SOFR3mo_PX[[#This Row],[Column167]]</f>
        <v>96.31</v>
      </c>
      <c r="FL11">
        <f>SOFR3mo_PX[[#This Row],[Column168]]</f>
        <v>96.35</v>
      </c>
      <c r="FM11">
        <f>SOFR3mo_PX[[#This Row],[Column169]]</f>
        <v>96.37</v>
      </c>
      <c r="FN11">
        <f>SOFR3mo_PX[[#This Row],[Column170]]</f>
        <v>96.424999999999997</v>
      </c>
      <c r="FO11">
        <f>SOFR3mo_PX[[#This Row],[Column171]]</f>
        <v>96.405000000000001</v>
      </c>
      <c r="FP11">
        <f>SOFR3mo_PX[[#This Row],[Column172]]</f>
        <v>96.46</v>
      </c>
      <c r="FQ11">
        <f>SOFR3mo_PX[[#This Row],[Column173]]</f>
        <v>96.495000000000005</v>
      </c>
      <c r="FR11">
        <f>SOFR3mo_PX[[#This Row],[Column174]]</f>
        <v>96.46</v>
      </c>
      <c r="FS11">
        <f>SOFR3mo_PX[[#This Row],[Column175]]</f>
        <v>96.534999999999997</v>
      </c>
      <c r="FT11">
        <f>SOFR3mo_PX[[#This Row],[Column176]]</f>
        <v>96.57</v>
      </c>
      <c r="FU11">
        <f>SOFR3mo_PX[[#This Row],[Column177]]</f>
        <v>96.674999999999997</v>
      </c>
      <c r="FV11">
        <f>SOFR3mo_PX[[#This Row],[Column178]]</f>
        <v>96.644999999999996</v>
      </c>
      <c r="FW11">
        <f>SOFR3mo_PX[[#This Row],[Column179]]</f>
        <v>96.704999999999998</v>
      </c>
      <c r="FX11">
        <f>SOFR3mo_PX[[#This Row],[Column180]]</f>
        <v>96.685000000000002</v>
      </c>
      <c r="FY11">
        <f>SOFR3mo_PX[[#This Row],[Column181]]</f>
        <v>96.62</v>
      </c>
      <c r="FZ11">
        <f>SOFR3mo_PX[[#This Row],[Column182]]</f>
        <v>96.68</v>
      </c>
      <c r="GA11">
        <f>SOFR3mo_PX[[#This Row],[Column183]]</f>
        <v>96.62</v>
      </c>
      <c r="GB11">
        <f>SOFR3mo_PX[[#This Row],[Column184]]</f>
        <v>96.62</v>
      </c>
      <c r="GC11">
        <f>SOFR3mo_PX[[#This Row],[Column185]]</f>
        <v>96.655000000000001</v>
      </c>
      <c r="GD11">
        <f>SOFR3mo_PX[[#This Row],[Column186]]</f>
        <v>96.644999999999996</v>
      </c>
      <c r="GE11">
        <f>SOFR3mo_PX[[#This Row],[Column187]]</f>
        <v>96.72</v>
      </c>
      <c r="GF11">
        <f>SOFR3mo_PX[[#This Row],[Column188]]</f>
        <v>96.94</v>
      </c>
      <c r="GG11">
        <f>SOFR3mo_PX[[#This Row],[Column189]]</f>
        <v>97.02</v>
      </c>
      <c r="GH11">
        <f>SOFR3mo_PX[[#This Row],[Column190]]</f>
        <v>97.06</v>
      </c>
      <c r="GI11">
        <f>SOFR3mo_PX[[#This Row],[Column191]]</f>
        <v>96.995000000000005</v>
      </c>
      <c r="GJ11">
        <f>SOFR3mo_PX[[#This Row],[Column192]]</f>
        <v>97.05</v>
      </c>
      <c r="GK11">
        <f>SOFR3mo_PX[[#This Row],[Column193]]</f>
        <v>96.995000000000005</v>
      </c>
      <c r="GL11">
        <f>SOFR3mo_PX[[#This Row],[Column194]]</f>
        <v>97.04</v>
      </c>
      <c r="GM11">
        <f>SOFR3mo_PX[[#This Row],[Column195]]</f>
        <v>97.084999999999994</v>
      </c>
      <c r="GN11">
        <f>SOFR3mo_PX[[#This Row],[Column196]]</f>
        <v>97.05</v>
      </c>
      <c r="GO11">
        <f>SOFR3mo_PX[[#This Row],[Column197]]</f>
        <v>97.064999999999998</v>
      </c>
      <c r="GP11">
        <f>SOFR3mo_PX[[#This Row],[Column198]]</f>
        <v>97.06</v>
      </c>
      <c r="GQ11">
        <f>SOFR3mo_PX[[#This Row],[Column199]]</f>
        <v>97.075000000000003</v>
      </c>
      <c r="GR11">
        <f>SOFR3mo_PX[[#This Row],[Column200]]</f>
        <v>97.144999999999996</v>
      </c>
      <c r="GS11">
        <f>SOFR3mo_PX[[#This Row],[Column201]]</f>
        <v>97.19</v>
      </c>
      <c r="GT11">
        <f>SOFR3mo_PX[[#This Row],[Column202]]</f>
        <v>97.194999999999993</v>
      </c>
      <c r="GU11">
        <f>SOFR3mo_PX[[#This Row],[Column203]]</f>
        <v>97.185000000000002</v>
      </c>
      <c r="GV11">
        <f>SOFR3mo_PX[[#This Row],[Column204]]</f>
        <v>97.21</v>
      </c>
      <c r="GW11">
        <f>SOFR3mo_PX[[#This Row],[Column205]]</f>
        <v>97.23</v>
      </c>
      <c r="GX11">
        <f>SOFR3mo_PX[[#This Row],[Column206]]</f>
        <v>97.165000000000006</v>
      </c>
      <c r="GY11">
        <f>SOFR3mo_PX[[#This Row],[Column207]]</f>
        <v>97.174999999999997</v>
      </c>
      <c r="GZ11">
        <f>SOFR3mo_PX[[#This Row],[Column208]]</f>
        <v>97.08</v>
      </c>
      <c r="HA11">
        <f>SOFR3mo_PX[[#This Row],[Column209]]</f>
        <v>97.06</v>
      </c>
      <c r="HB11">
        <f>SOFR3mo_PX[[#This Row],[Column210]]</f>
        <v>96.96</v>
      </c>
      <c r="HC11">
        <f>SOFR3mo_PX[[#This Row],[Column211]]</f>
        <v>96.905000000000001</v>
      </c>
      <c r="HD11">
        <f>SOFR3mo_PX[[#This Row],[Column212]]</f>
        <v>96.905000000000001</v>
      </c>
      <c r="HE11">
        <f>SOFR3mo_PX[[#This Row],[Column213]]</f>
        <v>96.954999999999998</v>
      </c>
      <c r="HF11">
        <f>SOFR3mo_PX[[#This Row],[Column214]]</f>
        <v>96.974999999999994</v>
      </c>
      <c r="HG11">
        <f>SOFR3mo_PX[[#This Row],[Column215]]</f>
        <v>96.98</v>
      </c>
      <c r="HH11">
        <f>SOFR3mo_PX[[#This Row],[Column216]]</f>
        <v>96.97</v>
      </c>
      <c r="HI11">
        <f>SOFR3mo_PX[[#This Row],[Column217]]</f>
        <v>96.97</v>
      </c>
      <c r="HJ11">
        <f>SOFR3mo_PX[[#This Row],[Column218]]</f>
        <v>96.88</v>
      </c>
      <c r="HK11">
        <f>SOFR3mo_PX[[#This Row],[Column219]]</f>
        <v>96.97</v>
      </c>
      <c r="HL11">
        <f>SOFR3mo_PX[[#This Row],[Column220]]</f>
        <v>96.894999999999996</v>
      </c>
      <c r="HM11">
        <f>SOFR3mo_PX[[#This Row],[Column221]]</f>
        <v>96.825000000000003</v>
      </c>
      <c r="HN11">
        <f>SOFR3mo_PX[[#This Row],[Column222]]</f>
        <v>96.814999999999998</v>
      </c>
      <c r="HO11">
        <f>SOFR3mo_PX[[#This Row],[Column223]]</f>
        <v>96.79</v>
      </c>
      <c r="HP11">
        <f>SOFR3mo_PX[[#This Row],[Column224]]</f>
        <v>96.954999999999998</v>
      </c>
      <c r="HQ11">
        <f>SOFR3mo_PX[[#This Row],[Column225]]</f>
        <v>96.94</v>
      </c>
      <c r="HR11">
        <f>SOFR3mo_PX[[#This Row],[Column226]]</f>
        <v>96.87</v>
      </c>
      <c r="HS11">
        <f>SOFR3mo_PX[[#This Row],[Column227]]</f>
        <v>96.805000000000007</v>
      </c>
      <c r="HT11">
        <f>SOFR3mo_PX[[#This Row],[Column228]]</f>
        <v>96.784999999999997</v>
      </c>
      <c r="HU11">
        <f>SOFR3mo_PX[[#This Row],[Column229]]</f>
        <v>96.82</v>
      </c>
      <c r="HV11">
        <f>SOFR3mo_PX[[#This Row],[Column230]]</f>
        <v>96.894999999999996</v>
      </c>
      <c r="HW11">
        <f>SOFR3mo_PX[[#This Row],[Column231]]</f>
        <v>96.96</v>
      </c>
      <c r="HX11">
        <f>SOFR3mo_PX[[#This Row],[Column232]]</f>
        <v>96.99</v>
      </c>
      <c r="HY11">
        <f>SOFR3mo_PX[[#This Row],[Column233]]</f>
        <v>96.76</v>
      </c>
      <c r="HZ11">
        <f>SOFR3mo_PX[[#This Row],[Column234]]</f>
        <v>96.584999999999994</v>
      </c>
      <c r="IA11">
        <f>SOFR3mo_PX[[#This Row],[Column235]]</f>
        <v>96.56</v>
      </c>
      <c r="IB11">
        <f>SOFR3mo_PX[[#This Row],[Column236]]</f>
        <v>96.52</v>
      </c>
      <c r="IC11">
        <f>SOFR3mo_PX[[#This Row],[Column237]]</f>
        <v>96.51</v>
      </c>
      <c r="ID11">
        <f>SOFR3mo_PX[[#This Row],[Column238]]</f>
        <v>96.45</v>
      </c>
      <c r="IE11">
        <f>SOFR3mo_PX[[#This Row],[Column239]]</f>
        <v>96.465000000000003</v>
      </c>
      <c r="IF11">
        <f>SOFR3mo_PX[[#This Row],[Column240]]</f>
        <v>96.45</v>
      </c>
      <c r="IG11">
        <f>SOFR3mo_PX[[#This Row],[Column241]]</f>
        <v>96.41</v>
      </c>
      <c r="IH11">
        <f>SOFR3mo_PX[[#This Row],[Column242]]</f>
        <v>96.424999999999997</v>
      </c>
      <c r="II11">
        <f>SOFR3mo_PX[[#This Row],[Column243]]</f>
        <v>96.5</v>
      </c>
      <c r="IJ11">
        <f>SOFR3mo_PX[[#This Row],[Column244]]</f>
        <v>96.545000000000002</v>
      </c>
      <c r="IK11">
        <f>SOFR3mo_PX[[#This Row],[Column245]]</f>
        <v>96.515000000000001</v>
      </c>
      <c r="IL11">
        <f>SOFR3mo_PX[[#This Row],[Column246]]</f>
        <v>96.495000000000005</v>
      </c>
      <c r="IM11">
        <f>SOFR3mo_PX[[#This Row],[Column247]]</f>
        <v>96.504999999999995</v>
      </c>
      <c r="IN11">
        <f>SOFR3mo_PX[[#This Row],[Column248]]</f>
        <v>96.474999999999994</v>
      </c>
      <c r="IO11">
        <f>SOFR3mo_PX[[#This Row],[Column249]]</f>
        <v>96.33</v>
      </c>
      <c r="IP11">
        <f>SOFR3mo_PX[[#This Row],[Column250]]</f>
        <v>96.32</v>
      </c>
      <c r="IQ11">
        <f>SOFR3mo_PX[[#This Row],[Column251]]</f>
        <v>96.33</v>
      </c>
      <c r="IR11">
        <f>SOFR3mo_PX[[#This Row],[Column252]]</f>
        <v>96.34</v>
      </c>
      <c r="IS11">
        <f>SOFR3mo_PX[[#This Row],[Column253]]</f>
        <v>96.224999999999994</v>
      </c>
      <c r="IT11">
        <f>SOFR3mo_PX[[#This Row],[Column254]]</f>
        <v>96.224999999999994</v>
      </c>
      <c r="IU11">
        <f>SOFR3mo_PX[[#This Row],[Column255]]</f>
        <v>96.135000000000005</v>
      </c>
      <c r="IV11">
        <f>SOFR3mo_PX[[#This Row],[Column256]]</f>
        <v>96.08</v>
      </c>
      <c r="IW11">
        <f>SOFR3mo_PX[[#This Row],[Column257]]</f>
        <v>96.204999999999998</v>
      </c>
      <c r="IX11">
        <f>SOFR3mo_PX[[#This Row],[Column258]]</f>
        <v>96.22</v>
      </c>
      <c r="IY11">
        <f>SOFR3mo_PX[[#This Row],[Column259]]</f>
        <v>96.185000000000002</v>
      </c>
      <c r="IZ11">
        <f>SOFR3mo_PX[[#This Row],[Column260]]</f>
        <v>96.275000000000006</v>
      </c>
      <c r="JA11">
        <f>SOFR3mo_PX[[#This Row],[Column261]]</f>
        <v>96.28</v>
      </c>
      <c r="JB11">
        <f>SOFR3mo_PX[[#This Row],[Column262]]</f>
        <v>96.28</v>
      </c>
      <c r="JC11">
        <f>SOFR3mo_PX[[#This Row],[Column263]]</f>
        <v>96.275000000000006</v>
      </c>
      <c r="JD11">
        <f>SOFR3mo_PX[[#This Row],[Column264]]</f>
        <v>96.245000000000005</v>
      </c>
      <c r="JE11">
        <f>SOFR3mo_PX[[#This Row],[Column265]]</f>
        <v>96.245000000000005</v>
      </c>
      <c r="JF11">
        <f>SOFR3mo_PX[[#This Row],[Column266]]</f>
        <v>96.165000000000006</v>
      </c>
      <c r="JG11">
        <f>SOFR3mo_PX[[#This Row],[Column267]]</f>
        <v>96.26</v>
      </c>
      <c r="JH11">
        <f>SOFR3mo_PX[[#This Row],[Column268]]</f>
        <v>96.245000000000005</v>
      </c>
      <c r="JI11">
        <f>SOFR3mo_PX[[#This Row],[Column269]]</f>
        <v>96.155000000000001</v>
      </c>
      <c r="JJ11">
        <f>SOFR3mo_PX[[#This Row],[Column270]]</f>
        <v>96.01</v>
      </c>
      <c r="JK11">
        <f>SOFR3mo_PX[[#This Row],[Column271]]</f>
        <v>95.93</v>
      </c>
      <c r="JL11">
        <f>SOFR3mo_PX[[#This Row],[Column272]]</f>
        <v>95.96</v>
      </c>
      <c r="JM11">
        <f>SOFR3mo_PX[[#This Row],[Column273]]</f>
        <v>96.14</v>
      </c>
      <c r="JN11">
        <f>SOFR3mo_PX[[#This Row],[Column274]]</f>
        <v>96.125</v>
      </c>
      <c r="JO11">
        <f>SOFR3mo_PX[[#This Row],[Column275]]</f>
        <v>96.08</v>
      </c>
      <c r="JP11">
        <f>SOFR3mo_PX[[#This Row],[Column276]]</f>
        <v>96.004999999999995</v>
      </c>
      <c r="JQ11">
        <f>SOFR3mo_PX[[#This Row],[Column277]]</f>
        <v>95.894999999999996</v>
      </c>
      <c r="JR11">
        <f>SOFR3mo_PX[[#This Row],[Column278]]</f>
        <v>95.834999999999994</v>
      </c>
      <c r="JS11">
        <f>SOFR3mo_PX[[#This Row],[Column279]]</f>
        <v>95.76</v>
      </c>
      <c r="JT11">
        <f>SOFR3mo_PX[[#This Row],[Column280]]</f>
        <v>95.82</v>
      </c>
      <c r="JU11">
        <f>SOFR3mo_PX[[#This Row],[Column281]]</f>
        <v>95.86</v>
      </c>
      <c r="JV11">
        <f>SOFR3mo_PX[[#This Row],[Column282]]</f>
        <v>95.86</v>
      </c>
      <c r="JW11">
        <f>SOFR3mo_PX[[#This Row],[Column283]]</f>
        <v>95.864999999999995</v>
      </c>
      <c r="JX11">
        <f>SOFR3mo_PX[[#This Row],[Column284]]</f>
        <v>95.94</v>
      </c>
      <c r="JY11">
        <f>SOFR3mo_PX[[#This Row],[Column285]]</f>
        <v>96</v>
      </c>
      <c r="JZ11">
        <f>SOFR3mo_PX[[#This Row],[Column286]]</f>
        <v>95.984999999999999</v>
      </c>
      <c r="KA11">
        <f>SOFR3mo_PX[[#This Row],[Column287]]</f>
        <v>95.99</v>
      </c>
      <c r="KB11">
        <f>SOFR3mo_PX[[#This Row],[Column288]]</f>
        <v>96.05</v>
      </c>
      <c r="KC11">
        <f>SOFR3mo_PX[[#This Row],[Column289]]</f>
        <v>96.114999999999995</v>
      </c>
      <c r="KD11">
        <f>SOFR3mo_PX[[#This Row],[Column290]]</f>
        <v>95.98</v>
      </c>
      <c r="KE11">
        <f>SOFR3mo_PX[[#This Row],[Column291]]</f>
        <v>95.924999999999997</v>
      </c>
      <c r="KF11">
        <f>SOFR3mo_PX[[#This Row],[Column292]]</f>
        <v>95.9</v>
      </c>
      <c r="KG11">
        <f>SOFR3mo_PX[[#This Row],[Column293]]</f>
        <v>95.98</v>
      </c>
      <c r="KH11">
        <f>SOFR3mo_PX[[#This Row],[Column294]]</f>
        <v>95.935000000000002</v>
      </c>
      <c r="KI11">
        <f>SOFR3mo_PX[[#This Row],[Column295]]</f>
        <v>95.974999999999994</v>
      </c>
      <c r="KJ11">
        <f>SOFR3mo_PX[[#This Row],[Column296]]</f>
        <v>95.97</v>
      </c>
      <c r="KK11">
        <f>SOFR3mo_PX[[#This Row],[Column297]]</f>
        <v>95.97</v>
      </c>
      <c r="KL11">
        <f>SOFR3mo_PX[[#This Row],[Column298]]</f>
        <v>95.864999999999995</v>
      </c>
      <c r="KM11">
        <f>SOFR3mo_PX[[#This Row],[Column299]]</f>
        <v>95.79</v>
      </c>
      <c r="KN11">
        <f>SOFR3mo_PX[[#This Row],[Column300]]</f>
        <v>95.665000000000006</v>
      </c>
      <c r="KO11">
        <f>SOFR3mo_PX[[#This Row],[Column301]]</f>
        <v>95.754999999999995</v>
      </c>
      <c r="KP11">
        <f>SOFR3mo_PX[[#This Row],[Column302]]</f>
        <v>95.71</v>
      </c>
      <c r="KQ11">
        <f>SOFR3mo_PX[[#This Row],[Column303]]</f>
        <v>95.685000000000002</v>
      </c>
      <c r="KR11">
        <f>SOFR3mo_PX[[#This Row],[Column304]]</f>
        <v>95.765000000000001</v>
      </c>
      <c r="KS11">
        <f>SOFR3mo_PX[[#This Row],[Column305]]</f>
        <v>95.81</v>
      </c>
      <c r="KT11">
        <f>SOFR3mo_PX[[#This Row],[Column306]]</f>
        <v>95.76</v>
      </c>
      <c r="KU11">
        <f>SOFR3mo_PX[[#This Row],[Column307]]</f>
        <v>95.76</v>
      </c>
      <c r="KV11">
        <f>SOFR3mo_PX[[#This Row],[Column308]]</f>
        <v>95.73</v>
      </c>
      <c r="KW11">
        <f>SOFR3mo_PX[[#This Row],[Column309]]</f>
        <v>95.82</v>
      </c>
      <c r="KX11">
        <f>SOFR3mo_PX[[#This Row],[Column310]]</f>
        <v>95.74</v>
      </c>
      <c r="KY11">
        <f>SOFR3mo_PX[[#This Row],[Column311]]</f>
        <v>95.795000000000002</v>
      </c>
      <c r="KZ11">
        <f>SOFR3mo_PX[[#This Row],[Column312]]</f>
        <v>95.894999999999996</v>
      </c>
      <c r="LA11">
        <f>SOFR3mo_PX[[#This Row],[Column313]]</f>
        <v>95.795000000000002</v>
      </c>
      <c r="LB11">
        <f>SOFR3mo_PX[[#This Row],[Column314]]</f>
        <v>95.79</v>
      </c>
      <c r="LC11">
        <f>SOFR3mo_PX[[#This Row],[Column315]]</f>
        <v>96.08</v>
      </c>
      <c r="LD11">
        <f>SOFR3mo_PX[[#This Row],[Column316]]</f>
        <v>96.03</v>
      </c>
      <c r="LE11">
        <f>SOFR3mo_PX[[#This Row],[Column317]]</f>
        <v>96.125</v>
      </c>
      <c r="LF11">
        <f>SOFR3mo_PX[[#This Row],[Column318]]</f>
        <v>96.224999999999994</v>
      </c>
      <c r="LG11">
        <f>SOFR3mo_PX[[#This Row],[Column319]]</f>
        <v>96.19</v>
      </c>
      <c r="LH11">
        <f>SOFR3mo_PX[[#This Row],[Column320]]</f>
        <v>96.17</v>
      </c>
      <c r="LI11">
        <f>SOFR3mo_PX[[#This Row],[Column321]]</f>
        <v>96.18</v>
      </c>
      <c r="LJ11">
        <f>SOFR3mo_PX[[#This Row],[Column322]]</f>
        <v>96.325000000000003</v>
      </c>
      <c r="LK11">
        <f>SOFR3mo_PX[[#This Row],[Column323]]</f>
        <v>96.325000000000003</v>
      </c>
      <c r="LL11">
        <f>SOFR3mo_PX[[#This Row],[Column324]]</f>
        <v>96.36</v>
      </c>
      <c r="LM11">
        <f>SOFR3mo_PX[[#This Row],[Column325]]</f>
        <v>96.314999999999998</v>
      </c>
      <c r="LN11">
        <f>SOFR3mo_PX[[#This Row],[Column326]]</f>
        <v>96.3</v>
      </c>
      <c r="LO11">
        <f>SOFR3mo_PX[[#This Row],[Column327]]</f>
        <v>96.34</v>
      </c>
      <c r="LP11">
        <f>SOFR3mo_PX[[#This Row],[Column328]]</f>
        <v>96.28</v>
      </c>
      <c r="LQ11">
        <f>SOFR3mo_PX[[#This Row],[Column329]]</f>
        <v>96.29</v>
      </c>
      <c r="LR11">
        <f>SOFR3mo_PX[[#This Row],[Column330]]</f>
        <v>96.17</v>
      </c>
      <c r="LS11">
        <f>SOFR3mo_PX[[#This Row],[Column331]]</f>
        <v>96.1</v>
      </c>
      <c r="LT11">
        <f>SOFR3mo_PX[[#This Row],[Column332]]</f>
        <v>96.13</v>
      </c>
      <c r="LU11">
        <f>SOFR3mo_PX[[#This Row],[Column333]]</f>
        <v>96.19</v>
      </c>
      <c r="LV11">
        <f>SOFR3mo_PX[[#This Row],[Column334]]</f>
        <v>96.334999999999994</v>
      </c>
      <c r="LW11">
        <f>SOFR3mo_PX[[#This Row],[Column335]]</f>
        <v>96.37</v>
      </c>
      <c r="LX11">
        <f>SOFR3mo_PX[[#This Row],[Column336]]</f>
        <v>96.454999999999998</v>
      </c>
      <c r="LY11">
        <f>SOFR3mo_PX[[#This Row],[Column337]]</f>
        <v>96.495000000000005</v>
      </c>
      <c r="LZ11">
        <f>SOFR3mo_PX[[#This Row],[Column338]]</f>
        <v>96.454999999999998</v>
      </c>
      <c r="MA11">
        <f>SOFR3mo_PX[[#This Row],[Column339]]</f>
        <v>96.41</v>
      </c>
      <c r="MB11">
        <f>SOFR3mo_PX[[#This Row],[Column340]]</f>
        <v>96.405000000000001</v>
      </c>
      <c r="MC11">
        <f>SOFR3mo_PX[[#This Row],[Column341]]</f>
        <v>96.33</v>
      </c>
      <c r="MD11">
        <f>SOFR3mo_PX[[#This Row],[Column342]]</f>
        <v>96.394999999999996</v>
      </c>
      <c r="ME11">
        <f>SOFR3mo_PX[[#This Row],[Column343]]</f>
        <v>96.284999999999997</v>
      </c>
      <c r="MF11">
        <f>SOFR3mo_PX[[#This Row],[Column344]]</f>
        <v>96.29</v>
      </c>
      <c r="MG11">
        <f>SOFR3mo_PX[[#This Row],[Column345]]</f>
        <v>96.23</v>
      </c>
      <c r="MH11">
        <f>SOFR3mo_PX[[#This Row],[Column346]]</f>
        <v>96.23</v>
      </c>
      <c r="MI11">
        <f>SOFR3mo_PX[[#This Row],[Column347]]</f>
        <v>96.28</v>
      </c>
      <c r="MJ11">
        <f>SOFR3mo_PX[[#This Row],[Column348]]</f>
        <v>96.245000000000005</v>
      </c>
      <c r="MK11">
        <f>SOFR3mo_PX[[#This Row],[Column349]]</f>
        <v>96.295000000000002</v>
      </c>
      <c r="ML11">
        <f>SOFR3mo_PX[[#This Row],[Column350]]</f>
        <v>96.35</v>
      </c>
      <c r="MM11">
        <f>SOFR3mo_PX[[#This Row],[Column351]]</f>
        <v>96.295000000000002</v>
      </c>
      <c r="MN11">
        <f>SOFR3mo_PX[[#This Row],[Column352]]</f>
        <v>96.295000000000002</v>
      </c>
      <c r="MO11">
        <f>SOFR3mo_PX[[#This Row],[Column353]]</f>
        <v>96.38</v>
      </c>
      <c r="MP11">
        <f>SOFR3mo_PX[[#This Row],[Column354]]</f>
        <v>96.355000000000004</v>
      </c>
      <c r="MQ11">
        <f>SOFR3mo_PX[[#This Row],[Column355]]</f>
        <v>96.27</v>
      </c>
      <c r="MR11">
        <f>SOFR3mo_PX[[#This Row],[Column356]]</f>
        <v>96.51</v>
      </c>
      <c r="MS11">
        <f>SOFR3mo_PX[[#This Row],[Column357]]</f>
        <v>96.474999999999994</v>
      </c>
      <c r="MT11">
        <f>SOFR3mo_PX[[#This Row],[Column358]]</f>
        <v>96.52</v>
      </c>
      <c r="MU11">
        <f>SOFR3mo_PX[[#This Row],[Column359]]</f>
        <v>96.584999999999994</v>
      </c>
      <c r="MV11">
        <f>SOFR3mo_PX[[#This Row],[Column360]]</f>
        <v>96.61</v>
      </c>
      <c r="MW11">
        <f>SOFR3mo_PX[[#This Row],[Column361]]</f>
        <v>96.525000000000006</v>
      </c>
      <c r="MX11">
        <f>SOFR3mo_PX[[#This Row],[Column362]]</f>
        <v>96.665000000000006</v>
      </c>
      <c r="MY11">
        <f>SOFR3mo_PX[[#This Row],[Column363]]</f>
        <v>96.87</v>
      </c>
      <c r="MZ11">
        <f>SOFR3mo_PX[[#This Row],[Column364]]</f>
        <v>96.8</v>
      </c>
      <c r="NA11">
        <f>SOFR3mo_PX[[#This Row],[Column365]]</f>
        <v>96.655000000000001</v>
      </c>
      <c r="NB11">
        <f>SOFR3mo_PX[[#This Row],[Column366]]</f>
        <v>96.694999999999993</v>
      </c>
      <c r="NC11">
        <f>SOFR3mo_PX[[#This Row],[Column367]]</f>
        <v>96.614999999999995</v>
      </c>
      <c r="ND11">
        <f>SOFR3mo_PX[[#This Row],[Column368]]</f>
        <v>96.68</v>
      </c>
      <c r="NE11">
        <f>SOFR3mo_PX[[#This Row],[Column369]]</f>
        <v>96.61</v>
      </c>
      <c r="NF11">
        <f>SOFR3mo_PX[[#This Row],[Column370]]</f>
        <v>96.65</v>
      </c>
      <c r="NG11">
        <f>SOFR3mo_PX[[#This Row],[Column371]]</f>
        <v>96.67</v>
      </c>
      <c r="NH11">
        <f>SOFR3mo_PX[[#This Row],[Column372]]</f>
        <v>96.61</v>
      </c>
      <c r="NI11">
        <f>SOFR3mo_PX[[#This Row],[Column373]]</f>
        <v>96.644999999999996</v>
      </c>
      <c r="NJ11">
        <f>SOFR3mo_PX[[#This Row],[Column374]]</f>
        <v>96.67</v>
      </c>
      <c r="NK11">
        <f>SOFR3mo_PX[[#This Row],[Column375]]</f>
        <v>96.8</v>
      </c>
      <c r="NL11">
        <f>SOFR3mo_PX[[#This Row],[Column376]]</f>
        <v>96.89</v>
      </c>
      <c r="NM11">
        <f>SOFR3mo_PX[[#This Row],[Column377]]</f>
        <v>96.89</v>
      </c>
      <c r="NN11">
        <f>SOFR3mo_PX[[#This Row],[Column378]]</f>
        <v>96.814999999999998</v>
      </c>
      <c r="NO11">
        <f>SOFR3mo_PX[[#This Row],[Column379]]</f>
        <v>96.704999999999998</v>
      </c>
      <c r="NP11">
        <f>SOFR3mo_PX[[#This Row],[Column380]]</f>
        <v>96.71</v>
      </c>
      <c r="NQ11">
        <f>SOFR3mo_PX[[#This Row],[Column381]]</f>
        <v>96.734999999999999</v>
      </c>
      <c r="NR11">
        <f>SOFR3mo_PX[[#This Row],[Column382]]</f>
        <v>96.7</v>
      </c>
      <c r="NS11">
        <f>SOFR3mo_PX[[#This Row],[Column383]]</f>
        <v>96.734999999999999</v>
      </c>
      <c r="NT11">
        <f>SOFR3mo_PX[[#This Row],[Column384]]</f>
        <v>96.85</v>
      </c>
      <c r="NU11">
        <f>SOFR3mo_PX[[#This Row],[Column385]]</f>
        <v>96.814999999999998</v>
      </c>
      <c r="NV11">
        <f>SOFR3mo_PX[[#This Row],[Column386]]</f>
        <v>96.935000000000002</v>
      </c>
      <c r="NW11">
        <f>SOFR3mo_PX[[#This Row],[Column387]]</f>
        <v>96.935000000000002</v>
      </c>
      <c r="NX11">
        <f>SOFR3mo_PX[[#This Row],[Column388]]</f>
        <v>96.9</v>
      </c>
      <c r="NY11">
        <f>SOFR3mo_PX[[#This Row],[Column389]]</f>
        <v>96.944999999999993</v>
      </c>
      <c r="NZ11">
        <f>SOFR3mo_PX[[#This Row],[Column390]]</f>
        <v>96.864999999999995</v>
      </c>
      <c r="OA11">
        <f>SOFR3mo_PX[[#This Row],[Column391]]</f>
        <v>96.844999999999999</v>
      </c>
      <c r="OB11">
        <f>SOFR3mo_PX[[#This Row],[Column392]]</f>
        <v>96.844999999999999</v>
      </c>
      <c r="OC11">
        <f>SOFR3mo_PX[[#This Row],[Column393]]</f>
        <v>96.86</v>
      </c>
      <c r="OD11">
        <f>SOFR3mo_PX[[#This Row],[Column394]]</f>
        <v>96.84</v>
      </c>
      <c r="OE11">
        <f>SOFR3mo_PX[[#This Row],[Column395]]</f>
        <v>96.72</v>
      </c>
      <c r="OF11">
        <f>SOFR3mo_PX[[#This Row],[Column396]]</f>
        <v>96.715000000000003</v>
      </c>
      <c r="OG11">
        <f>SOFR3mo_PX[[#This Row],[Column397]]</f>
        <v>96.74</v>
      </c>
      <c r="OH11">
        <f>SOFR3mo_PX[[#This Row],[Column398]]</f>
        <v>96.775000000000006</v>
      </c>
      <c r="OI11">
        <f>SOFR3mo_PX[[#This Row],[Column399]]</f>
        <v>96.65</v>
      </c>
      <c r="OJ11">
        <f>SOFR3mo_PX[[#This Row],[Column400]]</f>
        <v>96.415000000000006</v>
      </c>
      <c r="OK11">
        <f>SOFR3mo_PX[[#This Row],[Column401]]</f>
        <v>96.394999999999996</v>
      </c>
      <c r="OL11">
        <f>SOFR3mo_PX[[#This Row],[Column402]]</f>
        <v>96.405000000000001</v>
      </c>
      <c r="OM11">
        <f>SOFR3mo_PX[[#This Row],[Column403]]</f>
        <v>96.59</v>
      </c>
      <c r="ON11">
        <f>SOFR3mo_PX[[#This Row],[Column404]]</f>
        <v>96.57</v>
      </c>
      <c r="OO11">
        <f>SOFR3mo_PX[[#This Row],[Column405]]</f>
        <v>96.584999999999994</v>
      </c>
      <c r="OP11">
        <f>SOFR3mo_PX[[#This Row],[Column406]]</f>
        <v>96.474999999999994</v>
      </c>
      <c r="OQ11">
        <f>SOFR3mo_PX[[#This Row],[Column407]]</f>
        <v>96.545000000000002</v>
      </c>
      <c r="OR11">
        <f>SOFR3mo_PX[[#This Row],[Column408]]</f>
        <v>96.39</v>
      </c>
      <c r="OS11">
        <f>SOFR3mo_PX[[#This Row],[Column409]]</f>
        <v>96.474999999999994</v>
      </c>
      <c r="OT11">
        <f>SOFR3mo_PX[[#This Row],[Column410]]</f>
        <v>96.405000000000001</v>
      </c>
      <c r="OU11">
        <f>SOFR3mo_PX[[#This Row],[Column411]]</f>
        <v>96.25</v>
      </c>
      <c r="OV11">
        <f>SOFR3mo_PX[[#This Row],[Column412]]</f>
        <v>96.16</v>
      </c>
      <c r="OW11">
        <f>SOFR3mo_PX[[#This Row],[Column413]]</f>
        <v>96.22</v>
      </c>
      <c r="OX11">
        <f>SOFR3mo_PX[[#This Row],[Column414]]</f>
        <v>96.22</v>
      </c>
      <c r="OY11">
        <f>SOFR3mo_PX[[#This Row],[Column415]]</f>
        <v>96.245000000000005</v>
      </c>
      <c r="OZ11">
        <f>SOFR3mo_PX[[#This Row],[Column416]]</f>
        <v>96.194999999999993</v>
      </c>
      <c r="PA11">
        <f>SOFR3mo_PX[[#This Row],[Column417]]</f>
        <v>96.174999999999997</v>
      </c>
      <c r="PB11">
        <f>SOFR3mo_PX[[#This Row],[Column418]]</f>
        <v>96.234999999999999</v>
      </c>
      <c r="PC11">
        <f>SOFR3mo_PX[[#This Row],[Column419]]</f>
        <v>96.114999999999995</v>
      </c>
      <c r="PD11">
        <f>SOFR3mo_PX[[#This Row],[Column420]]</f>
        <v>96.24</v>
      </c>
      <c r="PE11">
        <f>SOFR3mo_PX[[#This Row],[Column421]]</f>
        <v>95.954999999999998</v>
      </c>
      <c r="PF11">
        <f>SOFR3mo_PX[[#This Row],[Column422]]</f>
        <v>95.944999999999993</v>
      </c>
      <c r="PG11">
        <f>SOFR3mo_PX[[#This Row],[Column423]]</f>
        <v>96</v>
      </c>
      <c r="PH11">
        <f>SOFR3mo_PX[[#This Row],[Column424]]</f>
        <v>96.11</v>
      </c>
      <c r="PI11">
        <f>SOFR3mo_PX[[#This Row],[Column425]]</f>
        <v>96.11</v>
      </c>
      <c r="PJ11">
        <f>SOFR3mo_PX[[#This Row],[Column426]]</f>
        <v>96.04</v>
      </c>
      <c r="PK11">
        <f>SOFR3mo_PX[[#This Row],[Column427]]</f>
        <v>96.18</v>
      </c>
      <c r="PL11">
        <f>SOFR3mo_PX[[#This Row],[Column428]]</f>
        <v>95.984999999999999</v>
      </c>
      <c r="PM11">
        <f>SOFR3mo_PX[[#This Row],[Column429]]</f>
        <v>95.98</v>
      </c>
      <c r="PN11">
        <f>SOFR3mo_PX[[#This Row],[Column430]]</f>
        <v>95.84</v>
      </c>
      <c r="PO11">
        <f>SOFR3mo_PX[[#This Row],[Column431]]</f>
        <v>95.87</v>
      </c>
      <c r="PP11">
        <f>SOFR3mo_PX[[#This Row],[Column432]]</f>
        <v>95.885000000000005</v>
      </c>
      <c r="PQ11">
        <f>SOFR3mo_PX[[#This Row],[Column433]]</f>
        <v>95.825000000000003</v>
      </c>
      <c r="PR11">
        <f>SOFR3mo_PX[[#This Row],[Column434]]</f>
        <v>95.69</v>
      </c>
      <c r="PS11">
        <f>SOFR3mo_PX[[#This Row],[Column435]]</f>
        <v>95.78</v>
      </c>
      <c r="PT11">
        <f>SOFR3mo_PX[[#This Row],[Column436]]</f>
        <v>95.855000000000004</v>
      </c>
      <c r="PU11">
        <f>SOFR3mo_PX[[#This Row],[Column437]]</f>
        <v>95.754999999999995</v>
      </c>
      <c r="PV11">
        <f>SOFR3mo_PX[[#This Row],[Column438]]</f>
        <v>95.605000000000004</v>
      </c>
      <c r="PW11">
        <f>SOFR3mo_PX[[#This Row],[Column439]]</f>
        <v>95.605000000000004</v>
      </c>
      <c r="PX11">
        <f>SOFR3mo_PX[[#This Row],[Column440]]</f>
        <v>95.665000000000006</v>
      </c>
      <c r="PY11">
        <f>SOFR3mo_PX[[#This Row],[Column441]]</f>
        <v>95.855000000000004</v>
      </c>
      <c r="PZ11">
        <f>SOFR3mo_PX[[#This Row],[Column442]]</f>
        <v>95.924999999999997</v>
      </c>
      <c r="QA11">
        <f>SOFR3mo_PX[[#This Row],[Column443]]</f>
        <v>95.89</v>
      </c>
      <c r="QB11">
        <f>SOFR3mo_PX[[#This Row],[Column444]]</f>
        <v>95.99</v>
      </c>
      <c r="QC11">
        <f>SOFR3mo_PX[[#This Row],[Column445]]</f>
        <v>96</v>
      </c>
      <c r="QD11">
        <f>SOFR3mo_PX[[#This Row],[Column446]]</f>
        <v>96.045000000000002</v>
      </c>
      <c r="QE11">
        <f>SOFR3mo_PX[[#This Row],[Column447]]</f>
        <v>95.87</v>
      </c>
      <c r="QF11">
        <f>SOFR3mo_PX[[#This Row],[Column448]]</f>
        <v>95.935000000000002</v>
      </c>
      <c r="QG11">
        <f>SOFR3mo_PX[[#This Row],[Column449]]</f>
        <v>95.89</v>
      </c>
      <c r="QH11">
        <f>SOFR3mo_PX[[#This Row],[Column450]]</f>
        <v>95.805000000000007</v>
      </c>
      <c r="QI11">
        <f>SOFR3mo_PX[[#This Row],[Column451]]</f>
        <v>95.885000000000005</v>
      </c>
      <c r="QJ11">
        <f>SOFR3mo_PX[[#This Row],[Column452]]</f>
        <v>95.995000000000005</v>
      </c>
      <c r="QK11">
        <f>SOFR3mo_PX[[#This Row],[Column453]]</f>
        <v>95.94</v>
      </c>
      <c r="QL11">
        <f>SOFR3mo_PX[[#This Row],[Column454]]</f>
        <v>95.864999999999995</v>
      </c>
      <c r="QM11">
        <f>SOFR3mo_PX[[#This Row],[Column455]]</f>
        <v>95.944999999999993</v>
      </c>
      <c r="QN11">
        <f>SOFR3mo_PX[[#This Row],[Column456]]</f>
        <v>95.944999999999993</v>
      </c>
      <c r="QO11">
        <f>SOFR3mo_PX[[#This Row],[Column457]]</f>
        <v>95.97</v>
      </c>
      <c r="QP11">
        <f>SOFR3mo_PX[[#This Row],[Column458]]</f>
        <v>95.915000000000006</v>
      </c>
      <c r="QQ11">
        <f>SOFR3mo_PX[[#This Row],[Column459]]</f>
        <v>96.015000000000001</v>
      </c>
      <c r="QR11">
        <f>SOFR3mo_PX[[#This Row],[Column460]]</f>
        <v>95.88</v>
      </c>
      <c r="QS11">
        <f>SOFR3mo_PX[[#This Row],[Column461]]</f>
        <v>95.97</v>
      </c>
      <c r="QT11">
        <f>SOFR3mo_PX[[#This Row],[Column462]]</f>
        <v>96</v>
      </c>
      <c r="QU11">
        <f>SOFR3mo_PX[[#This Row],[Column463]]</f>
        <v>96.04</v>
      </c>
      <c r="QV11">
        <f>SOFR3mo_PX[[#This Row],[Column464]]</f>
        <v>96.08</v>
      </c>
      <c r="QW11">
        <f>SOFR3mo_PX[[#This Row],[Column465]]</f>
        <v>96.055000000000007</v>
      </c>
      <c r="QX11">
        <f>SOFR3mo_PX[[#This Row],[Column466]]</f>
        <v>96.08</v>
      </c>
      <c r="QY11">
        <f>SOFR3mo_PX[[#This Row],[Column467]]</f>
        <v>96.094999999999999</v>
      </c>
      <c r="QZ11">
        <f>SOFR3mo_PX[[#This Row],[Column468]]</f>
        <v>96.14</v>
      </c>
      <c r="RA11">
        <f>SOFR3mo_PX[[#This Row],[Column469]]</f>
        <v>96.04</v>
      </c>
      <c r="RB11">
        <f>SOFR3mo_PX[[#This Row],[Column470]]</f>
        <v>96.135000000000005</v>
      </c>
      <c r="RC11">
        <f>SOFR3mo_PX[[#This Row],[Column471]]</f>
        <v>96.25</v>
      </c>
      <c r="RD11">
        <f>SOFR3mo_PX[[#This Row],[Column472]]</f>
        <v>96.25</v>
      </c>
      <c r="RE11">
        <f>SOFR3mo_PX[[#This Row],[Column473]]</f>
        <v>96.275000000000006</v>
      </c>
      <c r="RF11">
        <f>SOFR3mo_PX[[#This Row],[Column474]]</f>
        <v>96.254999999999995</v>
      </c>
      <c r="RG11">
        <f>SOFR3mo_PX[[#This Row],[Column475]]</f>
        <v>96.245000000000005</v>
      </c>
      <c r="RH11">
        <f>SOFR3mo_PX[[#This Row],[Column476]]</f>
        <v>96.114999999999995</v>
      </c>
      <c r="RI11">
        <f>SOFR3mo_PX[[#This Row],[Column477]]</f>
        <v>96.075000000000003</v>
      </c>
      <c r="RJ11">
        <f>SOFR3mo_PX[[#This Row],[Column478]]</f>
        <v>96.084999999999994</v>
      </c>
      <c r="RK11">
        <f>SOFR3mo_PX[[#This Row],[Column479]]</f>
        <v>96.12</v>
      </c>
      <c r="RL11">
        <f>SOFR3mo_PX[[#This Row],[Column480]]</f>
        <v>95.99</v>
      </c>
      <c r="RM11">
        <f>SOFR3mo_PX[[#This Row],[Column481]]</f>
        <v>96.03</v>
      </c>
      <c r="RN11">
        <f>SOFR3mo_PX[[#This Row],[Column482]]</f>
        <v>96.11</v>
      </c>
      <c r="RO11">
        <f>SOFR3mo_PX[[#This Row],[Column483]]</f>
        <v>96.06</v>
      </c>
      <c r="RP11">
        <f>SOFR3mo_PX[[#This Row],[Column484]]</f>
        <v>96.09</v>
      </c>
      <c r="RQ11">
        <f>SOFR3mo_PX[[#This Row],[Column485]]</f>
        <v>96.125</v>
      </c>
      <c r="RR11">
        <f>SOFR3mo_PX[[#This Row],[Column486]]</f>
        <v>96.14</v>
      </c>
      <c r="RS11">
        <f>SOFR3mo_PX[[#This Row],[Column487]]</f>
        <v>96.215000000000003</v>
      </c>
      <c r="RT11">
        <f>SOFR3mo_PX[[#This Row],[Column488]]</f>
        <v>96.35</v>
      </c>
      <c r="RU11">
        <f>SOFR3mo_PX[[#This Row],[Column489]]</f>
        <v>96.42</v>
      </c>
      <c r="RV11">
        <f>SOFR3mo_PX[[#This Row],[Column490]]</f>
        <v>96.465000000000003</v>
      </c>
      <c r="RW11">
        <f>SOFR3mo_PX[[#This Row],[Column491]]</f>
        <v>96.44</v>
      </c>
      <c r="RX11">
        <f>SOFR3mo_PX[[#This Row],[Column492]]</f>
        <v>96.39</v>
      </c>
      <c r="RY11">
        <f>SOFR3mo_PX[[#This Row],[Column493]]</f>
        <v>96.245000000000005</v>
      </c>
      <c r="RZ11">
        <f>SOFR3mo_PX[[#This Row],[Column494]]</f>
        <v>96.3</v>
      </c>
      <c r="SA11">
        <f>SOFR3mo_PX[[#This Row],[Column495]]</f>
        <v>96.234999999999999</v>
      </c>
      <c r="SB11">
        <f>SOFR3mo_PX[[#This Row],[Column496]]</f>
        <v>96.3</v>
      </c>
      <c r="SC11">
        <f>SOFR3mo_PX[[#This Row],[Column497]]</f>
        <v>96.26</v>
      </c>
      <c r="SD11">
        <f>SOFR3mo_PX[[#This Row],[Column498]]</f>
        <v>96.204999999999998</v>
      </c>
      <c r="SE11">
        <f>SOFR3mo_PX[[#This Row],[Column499]]</f>
        <v>96.39</v>
      </c>
      <c r="SF11">
        <f>SOFR3mo_PX[[#This Row],[Column500]]</f>
        <v>96.265000000000001</v>
      </c>
      <c r="SG11">
        <f>SOFR3mo_PX[[#This Row],[Column501]]</f>
        <v>96.35</v>
      </c>
      <c r="SH11">
        <f>SOFR3mo_PX[[#This Row],[Column502]]</f>
        <v>96.41</v>
      </c>
      <c r="SI11">
        <f>SOFR3mo_PX[[#This Row],[Column503]]</f>
        <v>96.424999999999997</v>
      </c>
      <c r="SJ11">
        <f>SOFR3mo_PX[[#This Row],[Column504]]</f>
        <v>96.575000000000003</v>
      </c>
      <c r="SK11">
        <f>SOFR3mo_PX[[#This Row],[Column505]]</f>
        <v>96.555000000000007</v>
      </c>
      <c r="SL11">
        <f>SOFR3mo_PX[[#This Row],[Column506]]</f>
        <v>96.56</v>
      </c>
      <c r="SM11">
        <f>SOFR3mo_PX[[#This Row],[Column507]]</f>
        <v>96.525000000000006</v>
      </c>
      <c r="SN11">
        <f>SOFR3mo_PX[[#This Row],[Column508]]</f>
        <v>96.704999999999998</v>
      </c>
      <c r="SO11">
        <f>SOFR3mo_PX[[#This Row],[Column509]]</f>
        <v>96.484999999999999</v>
      </c>
      <c r="SP11">
        <f>SOFR3mo_PX[[#This Row],[Column510]]</f>
        <v>96.28</v>
      </c>
      <c r="SQ11">
        <f>SOFR3mo_PX[[#This Row],[Column511]]</f>
        <v>96.275000000000006</v>
      </c>
      <c r="SR11">
        <f>SOFR3mo_PX[[#This Row],[Column512]]</f>
        <v>96.144999999999996</v>
      </c>
      <c r="SS11">
        <f>SOFR3mo_PX[[#This Row],[Column513]]</f>
        <v>96.1</v>
      </c>
      <c r="ST11">
        <f>SOFR3mo_PX[[#This Row],[Column514]]</f>
        <v>96.21</v>
      </c>
      <c r="SU11">
        <f>SOFR3mo_PX[[#This Row],[Column515]]</f>
        <v>96.275000000000006</v>
      </c>
      <c r="SV11">
        <f>SOFR3mo_PX[[#This Row],[Column516]]</f>
        <v>96.275000000000006</v>
      </c>
      <c r="SW11">
        <f>SOFR3mo_PX[[#This Row],[Column517]]</f>
        <v>96.36</v>
      </c>
      <c r="SX11">
        <f>SOFR3mo_PX[[#This Row],[Column518]]</f>
        <v>96.385000000000005</v>
      </c>
      <c r="SY11">
        <f>SOFR3mo_PX[[#This Row],[Column519]]</f>
        <v>96.594999999999999</v>
      </c>
      <c r="SZ11">
        <f>SOFR3mo_PX[[#This Row],[Column520]]</f>
        <v>96.52</v>
      </c>
      <c r="TA11">
        <f>SOFR3mo_PX[[#This Row],[Column521]]</f>
        <v>96.625</v>
      </c>
      <c r="TB11">
        <f>SOFR3mo_PX[[#This Row],[Column522]]</f>
        <v>96.56</v>
      </c>
      <c r="TC11">
        <f>SOFR3mo_PX[[#This Row],[Column523]]</f>
        <v>96.51</v>
      </c>
      <c r="TD11">
        <f>SOFR3mo_PX[[#This Row],[Column524]]</f>
        <v>96.625</v>
      </c>
      <c r="TE11">
        <f>SOFR3mo_PX[[#This Row],[Column525]]</f>
        <v>96.49</v>
      </c>
      <c r="TF11">
        <f>SOFR3mo_PX[[#This Row],[Column526]]</f>
        <v>96.44</v>
      </c>
      <c r="TG11">
        <f>SOFR3mo_PX[[#This Row],[Column527]]</f>
        <v>96.44</v>
      </c>
      <c r="TH11">
        <f>SOFR3mo_PX[[#This Row],[Column528]]</f>
        <v>96.555000000000007</v>
      </c>
      <c r="TI11">
        <f>SOFR3mo_PX[[#This Row],[Column529]]</f>
        <v>96.48</v>
      </c>
      <c r="TJ11">
        <f>SOFR3mo_PX[[#This Row],[Column530]]</f>
        <v>96.465000000000003</v>
      </c>
      <c r="TK11">
        <f>SOFR3mo_PX[[#This Row],[Column531]]</f>
        <v>96.635000000000005</v>
      </c>
      <c r="TL11">
        <f>SOFR3mo_PX[[#This Row],[Column532]]</f>
        <v>96.614999999999995</v>
      </c>
      <c r="TM11">
        <f>SOFR3mo_PX[[#This Row],[Column533]]</f>
        <v>96.71</v>
      </c>
      <c r="TN11">
        <f>SOFR3mo_PX[[#This Row],[Column534]]</f>
        <v>96.67</v>
      </c>
      <c r="TO11">
        <f>SOFR3mo_PX[[#This Row],[Column535]]</f>
        <v>96.73</v>
      </c>
      <c r="TP11">
        <f>SOFR3mo_PX[[#This Row],[Column536]]</f>
        <v>96.79</v>
      </c>
      <c r="TQ11">
        <f>SOFR3mo_PX[[#This Row],[Column537]]</f>
        <v>96.76</v>
      </c>
      <c r="TR11">
        <f>SOFR3mo_PX[[#This Row],[Column538]]</f>
        <v>96.954999999999998</v>
      </c>
      <c r="TS11">
        <f>SOFR3mo_PX[[#This Row],[Column539]]</f>
        <v>96.905000000000001</v>
      </c>
      <c r="TT11">
        <f>SOFR3mo_PX[[#This Row],[Column540]]</f>
        <v>96.82</v>
      </c>
      <c r="TU11">
        <f>SOFR3mo_PX[[#This Row],[Column541]]</f>
        <v>96.635000000000005</v>
      </c>
      <c r="TV11">
        <f>SOFR3mo_PX[[#This Row],[Column542]]</f>
        <v>96.635000000000005</v>
      </c>
      <c r="TW11">
        <f>SOFR3mo_PX[[#This Row],[Column543]]</f>
        <v>96.724999999999994</v>
      </c>
      <c r="TX11">
        <f>SOFR3mo_PX[[#This Row],[Column544]]</f>
        <v>96.89</v>
      </c>
      <c r="TY11">
        <f>SOFR3mo_PX[[#This Row],[Column545]]</f>
        <v>96.89</v>
      </c>
      <c r="TZ11">
        <f>SOFR3mo_PX[[#This Row],[Column546]]</f>
        <v>96.86</v>
      </c>
      <c r="UA11">
        <f>SOFR3mo_PX[[#This Row],[Column547]]</f>
        <v>96.875</v>
      </c>
      <c r="UB11">
        <f>SOFR3mo_PX[[#This Row],[Column548]]</f>
        <v>96.94</v>
      </c>
      <c r="UC11">
        <f>SOFR3mo_PX[[#This Row],[Column549]]</f>
        <v>97.094999999999999</v>
      </c>
      <c r="UD11">
        <f>SOFR3mo_PX[[#This Row],[Column550]]</f>
        <v>97.17</v>
      </c>
      <c r="UE11">
        <f>SOFR3mo_PX[[#This Row],[Column551]]</f>
        <v>97.204999999999998</v>
      </c>
      <c r="UF11">
        <f>SOFR3mo_PX[[#This Row],[Column552]]</f>
        <v>97.194999999999993</v>
      </c>
      <c r="UG11">
        <f>SOFR3mo_PX[[#This Row],[Column553]]</f>
        <v>97.31</v>
      </c>
      <c r="UH11">
        <f>SOFR3mo_PX[[#This Row],[Column554]]</f>
        <v>97.295000000000002</v>
      </c>
      <c r="UI11">
        <f>SOFR3mo_PX[[#This Row],[Column555]]</f>
        <v>97.155000000000001</v>
      </c>
      <c r="UJ11">
        <f>SOFR3mo_PX[[#This Row],[Column556]]</f>
        <v>97.14</v>
      </c>
      <c r="UK11">
        <f>SOFR3mo_PX[[#This Row],[Column557]]</f>
        <v>97.21</v>
      </c>
      <c r="UL11">
        <f>SOFR3mo_PX[[#This Row],[Column558]]</f>
        <v>97.394999999999996</v>
      </c>
      <c r="UM11">
        <f>SOFR3mo_PX[[#This Row],[Column559]]</f>
        <v>97.24</v>
      </c>
      <c r="UN11">
        <f>SOFR3mo_PX[[#This Row],[Column560]]</f>
        <v>97.18</v>
      </c>
      <c r="UO11">
        <f>SOFR3mo_PX[[#This Row],[Column561]]</f>
        <v>96.995000000000005</v>
      </c>
      <c r="UP11">
        <f>SOFR3mo_PX[[#This Row],[Column562]]</f>
        <v>97.08</v>
      </c>
      <c r="UQ11">
        <f>SOFR3mo_PX[[#This Row],[Column563]]</f>
        <v>97.015000000000001</v>
      </c>
      <c r="UR11">
        <f>SOFR3mo_PX[[#This Row],[Column564]]</f>
        <v>97.165000000000006</v>
      </c>
      <c r="US11">
        <f>SOFR3mo_PX[[#This Row],[Column565]]</f>
        <v>97.23</v>
      </c>
      <c r="UT11">
        <f>SOFR3mo_PX[[#This Row],[Column566]]</f>
        <v>96.995000000000005</v>
      </c>
      <c r="UU11">
        <f>SOFR3mo_PX[[#This Row],[Column567]]</f>
        <v>96.935000000000002</v>
      </c>
      <c r="UV11">
        <f>SOFR3mo_PX[[#This Row],[Column568]]</f>
        <v>96.944999999999993</v>
      </c>
      <c r="UW11">
        <f>SOFR3mo_PX[[#This Row],[Column569]]</f>
        <v>96.825000000000003</v>
      </c>
      <c r="UX11">
        <f>SOFR3mo_PX[[#This Row],[Column570]]</f>
        <v>96.89</v>
      </c>
      <c r="UY11">
        <f>SOFR3mo_PX[[#This Row],[Column571]]</f>
        <v>96.875</v>
      </c>
      <c r="UZ11">
        <f>SOFR3mo_PX[[#This Row],[Column572]]</f>
        <v>96.984999999999999</v>
      </c>
      <c r="VA11">
        <f>SOFR3mo_PX[[#This Row],[Column573]]</f>
        <v>97.105000000000004</v>
      </c>
      <c r="VB11">
        <f>SOFR3mo_PX[[#This Row],[Column574]]</f>
        <v>97.135000000000005</v>
      </c>
      <c r="VC11">
        <f>SOFR3mo_PX[[#This Row],[Column575]]</f>
        <v>97.01</v>
      </c>
      <c r="VD11">
        <f>SOFR3mo_PX[[#This Row],[Column576]]</f>
        <v>97.08</v>
      </c>
      <c r="VE11">
        <f>SOFR3mo_PX[[#This Row],[Column577]]</f>
        <v>97.12</v>
      </c>
      <c r="VF11">
        <f>SOFR3mo_PX[[#This Row],[Column578]]</f>
        <v>97.275000000000006</v>
      </c>
      <c r="VG11">
        <f>SOFR3mo_PX[[#This Row],[Column579]]</f>
        <v>97.31</v>
      </c>
      <c r="VH11">
        <f>SOFR3mo_PX[[#This Row],[Column580]]</f>
        <v>97.245000000000005</v>
      </c>
      <c r="VI11">
        <f>SOFR3mo_PX[[#This Row],[Column581]]</f>
        <v>97.1</v>
      </c>
      <c r="VJ11">
        <f>SOFR3mo_PX[[#This Row],[Column582]]</f>
        <v>96.965000000000003</v>
      </c>
      <c r="VK11">
        <f>SOFR3mo_PX[[#This Row],[Column583]]</f>
        <v>96.894999999999996</v>
      </c>
      <c r="VL11">
        <f>SOFR3mo_PX[[#This Row],[Column584]]</f>
        <v>96.885000000000005</v>
      </c>
      <c r="VM11">
        <f>SOFR3mo_PX[[#This Row],[Column585]]</f>
        <v>96.91</v>
      </c>
      <c r="VN11">
        <f>SOFR3mo_PX[[#This Row],[Column586]]</f>
        <v>96.99</v>
      </c>
      <c r="VO11">
        <f>SOFR3mo_PX[[#This Row],[Column587]]</f>
        <v>97.155000000000001</v>
      </c>
      <c r="VP11">
        <f>SOFR3mo_PX[[#This Row],[Column588]]</f>
        <v>97.144999999999996</v>
      </c>
      <c r="VQ11">
        <f>SOFR3mo_PX[[#This Row],[Column589]]</f>
        <v>96.98</v>
      </c>
      <c r="VR11">
        <f>SOFR3mo_PX[[#This Row],[Column590]]</f>
        <v>96.745000000000005</v>
      </c>
      <c r="VS11">
        <f>SOFR3mo_PX[[#This Row],[Column591]]</f>
        <v>96.875</v>
      </c>
      <c r="VT11">
        <f>SOFR3mo_PX[[#This Row],[Column592]]</f>
        <v>96.97</v>
      </c>
      <c r="VU11">
        <f>SOFR3mo_PX[[#This Row],[Column593]]</f>
        <v>96.644999999999996</v>
      </c>
      <c r="VV11">
        <f>SOFR3mo_PX[[#This Row],[Column594]]</f>
        <v>96.71</v>
      </c>
      <c r="VW11">
        <f>SOFR3mo_PX[[#This Row],[Column595]]</f>
        <v>96.534999999999997</v>
      </c>
      <c r="VX11">
        <f>SOFR3mo_PX[[#This Row],[Column596]]</f>
        <v>96.694999999999993</v>
      </c>
      <c r="VY11">
        <f>SOFR3mo_PX[[#This Row],[Column597]]</f>
        <v>96.495000000000005</v>
      </c>
      <c r="VZ11">
        <f>SOFR3mo_PX[[#This Row],[Column598]]</f>
        <v>96.22</v>
      </c>
      <c r="WA11">
        <f>SOFR3mo_PX[[#This Row],[Column599]]</f>
        <v>96.01</v>
      </c>
      <c r="WB11">
        <f>SOFR3mo_PX[[#This Row],[Column600]]</f>
        <v>96</v>
      </c>
      <c r="WC11">
        <f>SOFR3mo_PX[[#This Row],[Column601]]</f>
        <v>96.07</v>
      </c>
      <c r="WD11">
        <f>SOFR3mo_PX[[#This Row],[Column602]]</f>
        <v>96.075000000000003</v>
      </c>
      <c r="WE11">
        <f>SOFR3mo_PX[[#This Row],[Column603]]</f>
        <v>95.965000000000003</v>
      </c>
      <c r="WF11">
        <f>SOFR3mo_PX[[#This Row],[Column604]]</f>
        <v>96.055000000000007</v>
      </c>
      <c r="WG11">
        <f>SOFR3mo_PX[[#This Row],[Column605]]</f>
        <v>96.18</v>
      </c>
      <c r="WH11">
        <f>SOFR3mo_PX[[#This Row],[Column606]]</f>
        <v>96.204999999999998</v>
      </c>
      <c r="WI11">
        <f>SOFR3mo_PX[[#This Row],[Column607]]</f>
        <v>96.17</v>
      </c>
      <c r="WJ11">
        <f>SOFR3mo_PX[[#This Row],[Column608]]</f>
        <v>96.375</v>
      </c>
      <c r="WK11">
        <f>SOFR3mo_PX[[#This Row],[Column609]]</f>
        <v>96.325000000000003</v>
      </c>
      <c r="WL11">
        <f>SOFR3mo_PX[[#This Row],[Column610]]</f>
        <v>96.284999999999997</v>
      </c>
      <c r="WM11">
        <f>SOFR3mo_PX[[#This Row],[Column611]]</f>
        <v>96.42</v>
      </c>
      <c r="WN11">
        <f>SOFR3mo_PX[[#This Row],[Column612]]</f>
        <v>96.42</v>
      </c>
      <c r="WO11">
        <f>SOFR3mo_PX[[#This Row],[Column613]]</f>
        <v>96.37</v>
      </c>
      <c r="WP11">
        <f>SOFR3mo_PX[[#This Row],[Column614]]</f>
        <v>96.35</v>
      </c>
      <c r="WQ11">
        <f>SOFR3mo_PX[[#This Row],[Column615]]</f>
        <v>96.415000000000006</v>
      </c>
      <c r="WR11">
        <f>SOFR3mo_PX[[#This Row],[Column616]]</f>
        <v>96.584999999999994</v>
      </c>
      <c r="WS11">
        <f>SOFR3mo_PX[[#This Row],[Column617]]</f>
        <v>96.62</v>
      </c>
      <c r="WT11">
        <f>SOFR3mo_PX[[#This Row],[Column618]]</f>
        <v>96.63</v>
      </c>
      <c r="WU11">
        <f>SOFR3mo_PX[[#This Row],[Column619]]</f>
        <v>96.74</v>
      </c>
      <c r="WV11">
        <f>SOFR3mo_PX[[#This Row],[Column620]]</f>
        <v>96.704999999999998</v>
      </c>
      <c r="WW11">
        <f>SOFR3mo_PX[[#This Row],[Column621]]</f>
        <v>96.73</v>
      </c>
      <c r="WX11">
        <f>SOFR3mo_PX[[#This Row],[Column622]]</f>
        <v>96.924999999999997</v>
      </c>
      <c r="WY11">
        <f>SOFR3mo_PX[[#This Row],[Column623]]</f>
        <v>97.15</v>
      </c>
      <c r="WZ11">
        <f>SOFR3mo_PX[[#This Row],[Column624]]</f>
        <v>97.135000000000005</v>
      </c>
      <c r="XA11">
        <f>SOFR3mo_PX[[#This Row],[Column625]]</f>
        <v>96.98</v>
      </c>
      <c r="XB11">
        <f>SOFR3mo_PX[[#This Row],[Column626]]</f>
        <v>96.885000000000005</v>
      </c>
      <c r="XC11">
        <f>SOFR3mo_PX[[#This Row],[Column627]]</f>
        <v>96.98</v>
      </c>
      <c r="XD11">
        <f>SOFR3mo_PX[[#This Row],[Column628]]</f>
        <v>97.025000000000006</v>
      </c>
      <c r="XE11">
        <f>SOFR3mo_PX[[#This Row],[Column629]]</f>
        <v>97.09</v>
      </c>
      <c r="XF11">
        <f>SOFR3mo_PX[[#This Row],[Column630]]</f>
        <v>97.094999999999999</v>
      </c>
      <c r="XG11">
        <f>SOFR3mo_PX[[#This Row],[Column631]]</f>
        <v>97.04</v>
      </c>
      <c r="XH11">
        <f>SOFR3mo_PX[[#This Row],[Column632]]</f>
        <v>97.125</v>
      </c>
      <c r="XI11">
        <f>SOFR3mo_PX[[#This Row],[Column633]]</f>
        <v>97.224999999999994</v>
      </c>
      <c r="XJ11">
        <f>SOFR3mo_PX[[#This Row],[Column634]]</f>
        <v>97.27</v>
      </c>
      <c r="XK11">
        <f>SOFR3mo_PX[[#This Row],[Column635]]</f>
        <v>97.09</v>
      </c>
      <c r="XL11">
        <f>SOFR3mo_PX[[#This Row],[Column636]]</f>
        <v>97.045000000000002</v>
      </c>
      <c r="XM11">
        <f>SOFR3mo_PX[[#This Row],[Column637]]</f>
        <v>97.045000000000002</v>
      </c>
      <c r="XN11">
        <f>SOFR3mo_PX[[#This Row],[Column638]]</f>
        <v>97.14</v>
      </c>
      <c r="XO11">
        <f>SOFR3mo_PX[[#This Row],[Column639]]</f>
        <v>97.045000000000002</v>
      </c>
      <c r="XP11">
        <f>SOFR3mo_PX[[#This Row],[Column640]]</f>
        <v>96.96</v>
      </c>
      <c r="XQ11">
        <f>SOFR3mo_PX[[#This Row],[Column641]]</f>
        <v>97.05</v>
      </c>
      <c r="XR11">
        <f>SOFR3mo_PX[[#This Row],[Column642]]</f>
        <v>96.99</v>
      </c>
      <c r="XS11">
        <f>SOFR3mo_PX[[#This Row],[Column643]]</f>
        <v>96.7</v>
      </c>
      <c r="XT11">
        <f>SOFR3mo_PX[[#This Row],[Column644]]</f>
        <v>96.76</v>
      </c>
      <c r="XU11">
        <f>SOFR3mo_PX[[#This Row],[Column645]]</f>
        <v>96.685000000000002</v>
      </c>
      <c r="XV11">
        <f>SOFR3mo_PX[[#This Row],[Column646]]</f>
        <v>96.66</v>
      </c>
      <c r="XW11">
        <f>SOFR3mo_PX[[#This Row],[Column647]]</f>
        <v>96.66</v>
      </c>
      <c r="XX11">
        <f>SOFR3mo_PX[[#This Row],[Column648]]</f>
        <v>96.625</v>
      </c>
      <c r="XY11">
        <f>SOFR3mo_PX[[#This Row],[Column649]]</f>
        <v>96.625</v>
      </c>
      <c r="XZ11">
        <f>SOFR3mo_PX[[#This Row],[Column650]]</f>
        <v>96.635000000000005</v>
      </c>
      <c r="YA11">
        <f>SOFR3mo_PX[[#This Row],[Column651]]</f>
        <v>96.73</v>
      </c>
      <c r="YB11">
        <f>SOFR3mo_PX[[#This Row],[Column652]]</f>
        <v>96.73</v>
      </c>
      <c r="YC11">
        <f>SOFR3mo_PX[[#This Row],[Column653]]</f>
        <v>96.825000000000003</v>
      </c>
      <c r="YD11">
        <f>SOFR3mo_PX[[#This Row],[Column654]]</f>
        <v>96.87</v>
      </c>
      <c r="YE11">
        <f>SOFR3mo_PX[[#This Row],[Column655]]</f>
        <v>96.72</v>
      </c>
      <c r="YF11">
        <f>SOFR3mo_PX[[#This Row],[Column656]]</f>
        <v>96.784999999999997</v>
      </c>
      <c r="YG11">
        <f>SOFR3mo_PX[[#This Row],[Column657]]</f>
        <v>96.875</v>
      </c>
      <c r="YH11">
        <f>SOFR3mo_PX[[#This Row],[Column658]]</f>
        <v>96.844999999999999</v>
      </c>
      <c r="YI11">
        <f>SOFR3mo_PX[[#This Row],[Column659]]</f>
        <v>96.834999999999994</v>
      </c>
      <c r="YJ11">
        <f>SOFR3mo_PX[[#This Row],[Column660]]</f>
        <v>96.834999999999994</v>
      </c>
      <c r="YK11">
        <f>SOFR3mo_PX[[#This Row],[Column661]]</f>
        <v>96.65</v>
      </c>
      <c r="YL11">
        <f>SOFR3mo_PX[[#This Row],[Column662]]</f>
        <v>96.734999999999999</v>
      </c>
      <c r="YM11">
        <f>SOFR3mo_PX[[#This Row],[Column663]]</f>
        <v>96.77</v>
      </c>
      <c r="YN11">
        <f>SOFR3mo_PX[[#This Row],[Column664]]</f>
        <v>96.864999999999995</v>
      </c>
      <c r="YO11">
        <f>SOFR3mo_PX[[#This Row],[Column665]]</f>
        <v>96.74</v>
      </c>
      <c r="YP11">
        <f>SOFR3mo_PX[[#This Row],[Column666]]</f>
        <v>96.7</v>
      </c>
      <c r="YQ11">
        <f>SOFR3mo_PX[[#This Row],[Column667]]</f>
        <v>96.844999999999999</v>
      </c>
      <c r="YR11">
        <f>SOFR3mo_PX[[#This Row],[Column668]]</f>
        <v>96.814999999999998</v>
      </c>
      <c r="YS11">
        <f>SOFR3mo_PX[[#This Row],[Column669]]</f>
        <v>96.66</v>
      </c>
      <c r="YT11">
        <f>SOFR3mo_PX[[#This Row],[Column670]]</f>
        <v>96.5</v>
      </c>
      <c r="YU11">
        <f>SOFR3mo_PX[[#This Row],[Column671]]</f>
        <v>96.504999999999995</v>
      </c>
      <c r="YV11">
        <f>SOFR3mo_PX[[#This Row],[Column672]]</f>
        <v>96.504999999999995</v>
      </c>
      <c r="YW11">
        <f>SOFR3mo_PX[[#This Row],[Column673]]</f>
        <v>96.52</v>
      </c>
      <c r="YX11">
        <f>SOFR3mo_PX[[#This Row],[Column674]]</f>
        <v>96.52</v>
      </c>
      <c r="YY11">
        <f>SOFR3mo_PX[[#This Row],[Column675]]</f>
        <v>96.5</v>
      </c>
      <c r="YZ11">
        <f>SOFR3mo_PX[[#This Row],[Column676]]</f>
        <v>96.355000000000004</v>
      </c>
      <c r="ZA11">
        <f>SOFR3mo_PX[[#This Row],[Column677]]</f>
        <v>96.36</v>
      </c>
      <c r="ZB11">
        <f>SOFR3mo_PX[[#This Row],[Column678]]</f>
        <v>96.454999999999998</v>
      </c>
      <c r="ZC11">
        <f>SOFR3mo_PX[[#This Row],[Column679]]</f>
        <v>96.59</v>
      </c>
      <c r="ZD11">
        <f>SOFR3mo_PX[[#This Row],[Column680]]</f>
        <v>96.53</v>
      </c>
      <c r="ZE11">
        <f>SOFR3mo_PX[[#This Row],[Column681]]</f>
        <v>96.375</v>
      </c>
      <c r="ZF11">
        <f>SOFR3mo_PX[[#This Row],[Column682]]</f>
        <v>96.435000000000002</v>
      </c>
      <c r="ZG11">
        <f>SOFR3mo_PX[[#This Row],[Column683]]</f>
        <v>96.394999999999996</v>
      </c>
      <c r="ZH11">
        <f>SOFR3mo_PX[[#This Row],[Column684]]</f>
        <v>95.984999999999999</v>
      </c>
      <c r="ZI11">
        <f>SOFR3mo_PX[[#This Row],[Column685]]</f>
        <v>95.9</v>
      </c>
      <c r="ZJ11">
        <f>SOFR3mo_PX[[#This Row],[Column686]]</f>
        <v>95.814999999999998</v>
      </c>
      <c r="ZK11">
        <f>SOFR3mo_PX[[#This Row],[Column687]]</f>
        <v>95.885000000000005</v>
      </c>
      <c r="ZL11">
        <f>SOFR3mo_PX[[#This Row],[Column688]]</f>
        <v>95.834999999999994</v>
      </c>
      <c r="ZM11">
        <f>SOFR3mo_PX[[#This Row],[Column689]]</f>
        <v>95.974999999999994</v>
      </c>
      <c r="ZN11">
        <f>SOFR3mo_PX[[#This Row],[Column690]]</f>
        <v>96.03</v>
      </c>
      <c r="ZO11">
        <f>SOFR3mo_PX[[#This Row],[Column691]]</f>
        <v>96.05</v>
      </c>
      <c r="ZP11">
        <f>SOFR3mo_PX[[#This Row],[Column692]]</f>
        <v>96.12</v>
      </c>
      <c r="ZQ11">
        <f>SOFR3mo_PX[[#This Row],[Column693]]</f>
        <v>96.25</v>
      </c>
      <c r="ZR11">
        <f>SOFR3mo_PX[[#This Row],[Column694]]</f>
        <v>96.12</v>
      </c>
      <c r="ZS11">
        <f>SOFR3mo_PX[[#This Row],[Column695]]</f>
        <v>96.05</v>
      </c>
      <c r="ZT11">
        <f>SOFR3mo_PX[[#This Row],[Column696]]</f>
        <v>95.984999999999999</v>
      </c>
      <c r="ZU11">
        <f>SOFR3mo_PX[[#This Row],[Column697]]</f>
        <v>95.944999999999993</v>
      </c>
      <c r="ZV11">
        <f>SOFR3mo_PX[[#This Row],[Column698]]</f>
        <v>95.795000000000002</v>
      </c>
      <c r="ZW11">
        <f>SOFR3mo_PX[[#This Row],[Column699]]</f>
        <v>95.93</v>
      </c>
      <c r="ZX11">
        <f>SOFR3mo_PX[[#This Row],[Column700]]</f>
        <v>96.09</v>
      </c>
      <c r="ZY11">
        <f>SOFR3mo_PX[[#This Row],[Column701]]</f>
        <v>96.07</v>
      </c>
      <c r="ZZ11">
        <f>SOFR3mo_PX[[#This Row],[Column702]]</f>
        <v>96.015000000000001</v>
      </c>
      <c r="AAA11">
        <f>SOFR3mo_PX[[#This Row],[Column703]]</f>
        <v>96.084999999999994</v>
      </c>
      <c r="AAB11">
        <f>SOFR3mo_PX[[#This Row],[Column704]]</f>
        <v>96.174999999999997</v>
      </c>
      <c r="AAC11">
        <f>SOFR3mo_PX[[#This Row],[Column705]]</f>
        <v>96.094999999999999</v>
      </c>
      <c r="AAD11">
        <f>SOFR3mo_PX[[#This Row],[Column706]]</f>
        <v>96.1</v>
      </c>
      <c r="AAE11">
        <f>SOFR3mo_PX[[#This Row],[Column707]]</f>
        <v>96.13</v>
      </c>
      <c r="AAF11">
        <f>SOFR3mo_PX[[#This Row],[Column708]]</f>
        <v>96.21</v>
      </c>
      <c r="AAG11">
        <f>SOFR3mo_PX[[#This Row],[Column709]]</f>
        <v>96.305000000000007</v>
      </c>
      <c r="AAH11">
        <f>SOFR3mo_PX[[#This Row],[Column710]]</f>
        <v>96.44</v>
      </c>
      <c r="AAI11">
        <f>SOFR3mo_PX[[#This Row],[Column711]]</f>
        <v>96.35</v>
      </c>
      <c r="AAJ11">
        <f>SOFR3mo_PX[[#This Row],[Column712]]</f>
        <v>96.21</v>
      </c>
      <c r="AAK11">
        <f>SOFR3mo_PX[[#This Row],[Column713]]</f>
        <v>96.28</v>
      </c>
      <c r="AAL11">
        <f>SOFR3mo_PX[[#This Row],[Column714]]</f>
        <v>96.355000000000004</v>
      </c>
      <c r="AAM11">
        <f>SOFR3mo_PX[[#This Row],[Column715]]</f>
        <v>96.06</v>
      </c>
      <c r="AAN11">
        <f>SOFR3mo_PX[[#This Row],[Column716]]</f>
        <v>96.045000000000002</v>
      </c>
      <c r="AAO11">
        <f>SOFR3mo_PX[[#This Row],[Column717]]</f>
        <v>96.215000000000003</v>
      </c>
      <c r="AAP11">
        <f>SOFR3mo_PX[[#This Row],[Column718]]</f>
        <v>96.314999999999998</v>
      </c>
      <c r="AAQ11">
        <f>SOFR3mo_PX[[#This Row],[Column719]]</f>
        <v>96.495000000000005</v>
      </c>
      <c r="AAR11">
        <f>SOFR3mo_PX[[#This Row],[Column720]]</f>
        <v>96.364999999999995</v>
      </c>
      <c r="AAS11">
        <f>SOFR3mo_PX[[#This Row],[Column721]]</f>
        <v>96.42</v>
      </c>
      <c r="AAT11">
        <f>SOFR3mo_PX[[#This Row],[Column722]]</f>
        <v>96.51</v>
      </c>
      <c r="AAU11">
        <f>SOFR3mo_PX[[#This Row],[Column723]]</f>
        <v>96.45</v>
      </c>
      <c r="AAV11">
        <f>SOFR3mo_PX[[#This Row],[Column724]]</f>
        <v>96.575000000000003</v>
      </c>
      <c r="AAW11">
        <f>SOFR3mo_PX[[#This Row],[Column725]]</f>
        <v>96.62</v>
      </c>
      <c r="AAX11">
        <f>SOFR3mo_PX[[#This Row],[Column726]]</f>
        <v>96.765000000000001</v>
      </c>
      <c r="AAY11">
        <f>SOFR3mo_PX[[#This Row],[Column727]]</f>
        <v>96.77</v>
      </c>
      <c r="AAZ11">
        <f>SOFR3mo_PX[[#This Row],[Column728]]</f>
        <v>96.825000000000003</v>
      </c>
      <c r="ABA11">
        <f>SOFR3mo_PX[[#This Row],[Column729]]</f>
        <v>96.86</v>
      </c>
      <c r="ABB11">
        <f>SOFR3mo_PX[[#This Row],[Column730]]</f>
        <v>96.765000000000001</v>
      </c>
      <c r="ABC11">
        <f>SOFR3mo_PX[[#This Row],[Column731]]</f>
        <v>96.894999999999996</v>
      </c>
      <c r="ABD11">
        <f>SOFR3mo_PX[[#This Row],[Column732]]</f>
        <v>96.894999999999996</v>
      </c>
      <c r="ABE11">
        <f>SOFR3mo_PX[[#This Row],[Column733]]</f>
        <v>96.78</v>
      </c>
      <c r="ABF11">
        <f>SOFR3mo_PX[[#This Row],[Column734]]</f>
        <v>96.875</v>
      </c>
      <c r="ABG11">
        <f>SOFR3mo_PX[[#This Row],[Column735]]</f>
        <v>96.85</v>
      </c>
      <c r="ABH11">
        <f>SOFR3mo_PX[[#This Row],[Column736]]</f>
        <v>96.88</v>
      </c>
      <c r="ABI11">
        <f>SOFR3mo_PX[[#This Row],[Column737]]</f>
        <v>96.924999999999997</v>
      </c>
      <c r="ABJ11">
        <f>SOFR3mo_PX[[#This Row],[Column738]]</f>
        <v>96.96</v>
      </c>
      <c r="ABK11">
        <f>SOFR3mo_PX[[#This Row],[Column739]]</f>
        <v>96.92</v>
      </c>
      <c r="ABL11">
        <f>SOFR3mo_PX[[#This Row],[Column740]]</f>
        <v>96.965000000000003</v>
      </c>
      <c r="ABM11">
        <f>SOFR3mo_PX[[#This Row],[Column741]]</f>
        <v>96.93</v>
      </c>
      <c r="ABN11">
        <f>SOFR3mo_PX[[#This Row],[Column742]]</f>
        <v>97.04</v>
      </c>
      <c r="ABO11">
        <f>SOFR3mo_PX[[#This Row],[Column743]]</f>
        <v>97.11</v>
      </c>
      <c r="ABP11">
        <f>SOFR3mo_PX[[#This Row],[Column744]]</f>
        <v>97.084999999999994</v>
      </c>
      <c r="ABQ11">
        <f>SOFR3mo_PX[[#This Row],[Column745]]</f>
        <v>97.215000000000003</v>
      </c>
      <c r="ABR11">
        <f>SOFR3mo_PX[[#This Row],[Column746]]</f>
        <v>97.3</v>
      </c>
      <c r="ABS11">
        <f>SOFR3mo_PX[[#This Row],[Column747]]</f>
        <v>97.215000000000003</v>
      </c>
      <c r="ABT11">
        <f>SOFR3mo_PX[[#This Row],[Column748]]</f>
        <v>97.254999999999995</v>
      </c>
      <c r="ABU11">
        <f>SOFR3mo_PX[[#This Row],[Column749]]</f>
        <v>97.31</v>
      </c>
      <c r="ABV11">
        <f>SOFR3mo_PX[[#This Row],[Column750]]</f>
        <v>97.24</v>
      </c>
      <c r="ABW11">
        <f>SOFR3mo_PX[[#This Row],[Column751]]</f>
        <v>97.35</v>
      </c>
      <c r="ABX11">
        <f>SOFR3mo_PX[[#This Row],[Column752]]</f>
        <v>97.265000000000001</v>
      </c>
      <c r="ABY11">
        <f>SOFR3mo_PX[[#This Row],[Column753]]</f>
        <v>97.484999999999999</v>
      </c>
      <c r="ABZ11">
        <f>SOFR3mo_PX[[#This Row],[Column754]]</f>
        <v>97.344999999999999</v>
      </c>
      <c r="ACA11">
        <f>SOFR3mo_PX[[#This Row],[Column755]]</f>
        <v>97.39</v>
      </c>
      <c r="ACB11">
        <f>SOFR3mo_PX[[#This Row],[Column756]]</f>
        <v>97.64</v>
      </c>
      <c r="ACC11">
        <f>SOFR3mo_PX[[#This Row],[Column757]]</f>
        <v>97.625</v>
      </c>
      <c r="ACD11">
        <f>SOFR3mo_PX[[#This Row],[Column758]]</f>
        <v>97.61</v>
      </c>
      <c r="ACE11">
        <f>SOFR3mo_PX[[#This Row],[Column759]]</f>
        <v>97.515000000000001</v>
      </c>
      <c r="ACF11">
        <f>SOFR3mo_PX[[#This Row],[Column760]]</f>
        <v>97.454999999999998</v>
      </c>
      <c r="ACG11">
        <f>SOFR3mo_PX[[#This Row],[Column761]]</f>
        <v>97.49</v>
      </c>
      <c r="ACH11">
        <f>SOFR3mo_PX[[#This Row],[Column762]]</f>
        <v>97.52</v>
      </c>
      <c r="ACI11">
        <f>SOFR3mo_PX[[#This Row],[Column763]]</f>
        <v>97.36</v>
      </c>
      <c r="ACJ11">
        <f>SOFR3mo_PX[[#This Row],[Column764]]</f>
        <v>97.155000000000001</v>
      </c>
      <c r="ACK11">
        <f>SOFR3mo_PX[[#This Row],[Column765]]</f>
        <v>97.165000000000006</v>
      </c>
      <c r="ACL11">
        <f>SOFR3mo_PX[[#This Row],[Column766]]</f>
        <v>97.265000000000001</v>
      </c>
      <c r="ACM11">
        <f>SOFR3mo_PX[[#This Row],[Column767]]</f>
        <v>97.3</v>
      </c>
      <c r="ACN11">
        <f>SOFR3mo_PX[[#This Row],[Column768]]</f>
        <v>97.325000000000003</v>
      </c>
      <c r="ACO11">
        <f>SOFR3mo_PX[[#This Row],[Column769]]</f>
        <v>97.38</v>
      </c>
      <c r="ACP11">
        <f>SOFR3mo_PX[[#This Row],[Column770]]</f>
        <v>97.364999999999995</v>
      </c>
      <c r="ACQ11">
        <f>SOFR3mo_PX[[#This Row],[Column771]]</f>
        <v>97.334999999999994</v>
      </c>
      <c r="ACR11">
        <f>SOFR3mo_PX[[#This Row],[Column772]]</f>
        <v>97.254999999999995</v>
      </c>
      <c r="ACS11">
        <f>SOFR3mo_PX[[#This Row],[Column773]]</f>
        <v>97.35</v>
      </c>
      <c r="ACT11">
        <f>SOFR3mo_PX[[#This Row],[Column774]]</f>
        <v>97.424999999999997</v>
      </c>
      <c r="ACU11">
        <f>SOFR3mo_PX[[#This Row],[Column775]]</f>
        <v>97.625</v>
      </c>
      <c r="ACV11">
        <f>SOFR3mo_PX[[#This Row],[Column776]]</f>
        <v>97.55</v>
      </c>
      <c r="ACW11">
        <f>SOFR3mo_PX[[#This Row],[Column777]]</f>
        <v>97.55</v>
      </c>
      <c r="ACX11">
        <f>SOFR3mo_PX[[#This Row],[Column778]]</f>
        <v>97.37</v>
      </c>
      <c r="ACY11">
        <f>SOFR3mo_PX[[#This Row],[Column779]]</f>
        <v>97.16</v>
      </c>
      <c r="ACZ11">
        <f>SOFR3mo_PX[[#This Row],[Column780]]</f>
        <v>96.995000000000005</v>
      </c>
      <c r="ADA11">
        <f>SOFR3mo_PX[[#This Row],[Column781]]</f>
        <v>96.99</v>
      </c>
      <c r="ADB11">
        <f>SOFR3mo_PX[[#This Row],[Column782]]</f>
        <v>97.075000000000003</v>
      </c>
      <c r="ADC11">
        <f>SOFR3mo_PX[[#This Row],[Column783]]</f>
        <v>97.135000000000005</v>
      </c>
      <c r="ADD11">
        <f>SOFR3mo_PX[[#This Row],[Column784]]</f>
        <v>97.015000000000001</v>
      </c>
      <c r="ADE11">
        <f>SOFR3mo_PX[[#This Row],[Column785]]</f>
        <v>96.8</v>
      </c>
      <c r="ADF11">
        <f>SOFR3mo_PX[[#This Row],[Column786]]</f>
        <v>96.784999999999997</v>
      </c>
      <c r="ADG11">
        <f>SOFR3mo_PX[[#This Row],[Column787]]</f>
        <v>96.784999999999997</v>
      </c>
      <c r="ADH11">
        <f>SOFR3mo_PX[[#This Row],[Column788]]</f>
        <v>96.765000000000001</v>
      </c>
      <c r="ADI11">
        <f>SOFR3mo_PX[[#This Row],[Column789]]</f>
        <v>96.69</v>
      </c>
      <c r="ADJ11">
        <f>SOFR3mo_PX[[#This Row],[Column790]]</f>
        <v>96.415000000000006</v>
      </c>
      <c r="ADK11">
        <f>SOFR3mo_PX[[#This Row],[Column791]]</f>
        <v>96.454999999999998</v>
      </c>
      <c r="ADL11">
        <f>SOFR3mo_PX[[#This Row],[Column792]]</f>
        <v>96.694999999999993</v>
      </c>
      <c r="ADM11">
        <f>SOFR3mo_PX[[#This Row],[Column793]]</f>
        <v>96.92</v>
      </c>
      <c r="ADN11">
        <f>SOFR3mo_PX[[#This Row],[Column794]]</f>
        <v>96.98</v>
      </c>
      <c r="ADO11">
        <f>SOFR3mo_PX[[#This Row],[Column795]]</f>
        <v>97.015000000000001</v>
      </c>
      <c r="ADP11">
        <f>SOFR3mo_PX[[#This Row],[Column796]]</f>
        <v>96.98</v>
      </c>
      <c r="ADQ11">
        <f>SOFR3mo_PX[[#This Row],[Column797]]</f>
        <v>97.09</v>
      </c>
      <c r="ADR11">
        <f>SOFR3mo_PX[[#This Row],[Column798]]</f>
        <v>97.14</v>
      </c>
      <c r="ADS11">
        <f>SOFR3mo_PX[[#This Row],[Column799]]</f>
        <v>97.105000000000004</v>
      </c>
      <c r="ADT11">
        <f>SOFR3mo_PX[[#This Row],[Column800]]</f>
        <v>97.265000000000001</v>
      </c>
      <c r="ADU11">
        <f>SOFR3mo_PX[[#This Row],[Column801]]</f>
        <v>97.314999999999998</v>
      </c>
      <c r="ADV11">
        <f>SOFR3mo_PX[[#This Row],[Column802]]</f>
        <v>97.314999999999998</v>
      </c>
      <c r="ADW11">
        <f>SOFR3mo_PX[[#This Row],[Column803]]</f>
        <v>97.355000000000004</v>
      </c>
      <c r="ADX11">
        <f>SOFR3mo_PX[[#This Row],[Column804]]</f>
        <v>97.375</v>
      </c>
      <c r="ADY11">
        <f>SOFR3mo_PX[[#This Row],[Column805]]</f>
        <v>97.364999999999995</v>
      </c>
      <c r="ADZ11">
        <f>SOFR3mo_PX[[#This Row],[Column806]]</f>
        <v>97.24</v>
      </c>
      <c r="AEA11">
        <f>SOFR3mo_PX[[#This Row],[Column807]]</f>
        <v>97.314999999999998</v>
      </c>
      <c r="AEB11">
        <f>SOFR3mo_PX[[#This Row],[Column808]]</f>
        <v>97.224999999999994</v>
      </c>
      <c r="AEC11">
        <f>SOFR3mo_PX[[#This Row],[Column809]]</f>
        <v>97.14</v>
      </c>
      <c r="AED11">
        <f>SOFR3mo_PX[[#This Row],[Column810]]</f>
        <v>97.09</v>
      </c>
      <c r="AEE11">
        <f>SOFR3mo_PX[[#This Row],[Column811]]</f>
        <v>97.26</v>
      </c>
      <c r="AEF11">
        <f>SOFR3mo_PX[[#This Row],[Column812]]</f>
        <v>97.17</v>
      </c>
      <c r="AEG11">
        <f>SOFR3mo_PX[[#This Row],[Column813]]</f>
        <v>97.254999999999995</v>
      </c>
      <c r="AEH11">
        <f>SOFR3mo_PX[[#This Row],[Column814]]</f>
        <v>97.114999999999995</v>
      </c>
      <c r="AEI11">
        <f>SOFR3mo_PX[[#This Row],[Column815]]</f>
        <v>97.08</v>
      </c>
      <c r="AEJ11">
        <f>SOFR3mo_PX[[#This Row],[Column816]]</f>
        <v>97.05</v>
      </c>
      <c r="AEK11">
        <f>SOFR3mo_PX[[#This Row],[Column817]]</f>
        <v>96.93</v>
      </c>
      <c r="AEL11">
        <f>SOFR3mo_PX[[#This Row],[Column818]]</f>
        <v>96.905000000000001</v>
      </c>
      <c r="AEM11">
        <f>SOFR3mo_PX[[#This Row],[Column819]]</f>
        <v>97.025000000000006</v>
      </c>
      <c r="AEN11">
        <f>SOFR3mo_PX[[#This Row],[Column820]]</f>
        <v>96.89</v>
      </c>
      <c r="AEO11">
        <f>SOFR3mo_PX[[#This Row],[Column821]]</f>
        <v>96.88</v>
      </c>
      <c r="AEP11">
        <f>SOFR3mo_PX[[#This Row],[Column822]]</f>
        <v>96.974999999999994</v>
      </c>
      <c r="AEQ11">
        <f>SOFR3mo_PX[[#This Row],[Column823]]</f>
        <v>97.004999999999995</v>
      </c>
      <c r="AER11">
        <f>SOFR3mo_PX[[#This Row],[Column824]]</f>
        <v>97.11</v>
      </c>
      <c r="AES11">
        <f>SOFR3mo_PX[[#This Row],[Column825]]</f>
        <v>97.135000000000005</v>
      </c>
      <c r="AET11">
        <f>SOFR3mo_PX[[#This Row],[Column826]]</f>
        <v>97.025000000000006</v>
      </c>
      <c r="AEU11">
        <f>SOFR3mo_PX[[#This Row],[Column827]]</f>
        <v>96.924999999999997</v>
      </c>
      <c r="AEV11">
        <f>SOFR3mo_PX[[#This Row],[Column828]]</f>
        <v>96.89</v>
      </c>
      <c r="AEW11">
        <f>SOFR3mo_PX[[#This Row],[Column829]]</f>
        <v>97.02</v>
      </c>
      <c r="AEX11">
        <f>SOFR3mo_PX[[#This Row],[Column830]]</f>
        <v>96.995000000000005</v>
      </c>
      <c r="AEY11">
        <f>SOFR3mo_PX[[#This Row],[Column831]]</f>
        <v>97.14</v>
      </c>
      <c r="AEZ11">
        <f>SOFR3mo_PX[[#This Row],[Column832]]</f>
        <v>97.16</v>
      </c>
      <c r="AFA11">
        <f>SOFR3mo_PX[[#This Row],[Column833]]</f>
        <v>97.16</v>
      </c>
      <c r="AFB11">
        <f>SOFR3mo_PX[[#This Row],[Column834]]</f>
        <v>97.3</v>
      </c>
      <c r="AFC11">
        <f>SOFR3mo_PX[[#This Row],[Column835]]</f>
        <v>97.24</v>
      </c>
      <c r="AFD11">
        <f>SOFR3mo_PX[[#This Row],[Column836]]</f>
        <v>97.055000000000007</v>
      </c>
      <c r="AFE11">
        <f>SOFR3mo_PX[[#This Row],[Column837]]</f>
        <v>97.025000000000006</v>
      </c>
      <c r="AFF11">
        <f>SOFR3mo_PX[[#This Row],[Column838]]</f>
        <v>97.14</v>
      </c>
      <c r="AFG11">
        <f>SOFR3mo_PX[[#This Row],[Column839]]</f>
        <v>97.075000000000003</v>
      </c>
      <c r="AFH11">
        <f>SOFR3mo_PX[[#This Row],[Column840]]</f>
        <v>97.07</v>
      </c>
      <c r="AFI11">
        <f>SOFR3mo_PX[[#This Row],[Column841]]</f>
        <v>97.17</v>
      </c>
      <c r="AFJ11">
        <f>SOFR3mo_PX[[#This Row],[Column842]]</f>
        <v>97.155000000000001</v>
      </c>
      <c r="AFK11">
        <f>SOFR3mo_PX[[#This Row],[Column843]]</f>
        <v>97.334999999999994</v>
      </c>
      <c r="AFL11">
        <f>SOFR3mo_PX[[#This Row],[Column844]]</f>
        <v>97.295000000000002</v>
      </c>
      <c r="AFM11">
        <f>SOFR3mo_PX[[#This Row],[Column845]]</f>
        <v>97.254999999999995</v>
      </c>
      <c r="AFN11">
        <f>SOFR3mo_PX[[#This Row],[Column846]]</f>
        <v>97.22</v>
      </c>
      <c r="AFO11">
        <f>SOFR3mo_PX[[#This Row],[Column847]]</f>
        <v>97.27</v>
      </c>
      <c r="AFP11">
        <f>SOFR3mo_PX[[#This Row],[Column848]]</f>
        <v>97.49</v>
      </c>
      <c r="AFQ11">
        <f>SOFR3mo_PX[[#This Row],[Column849]]</f>
        <v>97.51</v>
      </c>
      <c r="AFR11">
        <f>SOFR3mo_PX[[#This Row],[Column850]]</f>
        <v>97.44</v>
      </c>
      <c r="AFS11">
        <f>SOFR3mo_PX[[#This Row],[Column851]]</f>
        <v>97.46</v>
      </c>
      <c r="AFT11">
        <f>SOFR3mo_PX[[#This Row],[Column852]]</f>
        <v>97.66</v>
      </c>
      <c r="AFU11">
        <f>SOFR3mo_PX[[#This Row],[Column853]]</f>
        <v>97.66</v>
      </c>
      <c r="AFV11">
        <f>SOFR3mo_PX[[#This Row],[Column854]]</f>
        <v>97.644999999999996</v>
      </c>
      <c r="AFW11">
        <f>SOFR3mo_PX[[#This Row],[Column855]]</f>
        <v>97.68</v>
      </c>
      <c r="AFX11">
        <f>SOFR3mo_PX[[#This Row],[Column856]]</f>
        <v>97.704999999999998</v>
      </c>
      <c r="AFY11">
        <f>SOFR3mo_PX[[#This Row],[Column857]]</f>
        <v>97.864999999999995</v>
      </c>
      <c r="AFZ11">
        <f>SOFR3mo_PX[[#This Row],[Column858]]</f>
        <v>97.9</v>
      </c>
      <c r="AGA11">
        <f>SOFR3mo_PX[[#This Row],[Column859]]</f>
        <v>97.94</v>
      </c>
      <c r="AGB11">
        <f>SOFR3mo_PX[[#This Row],[Column860]]</f>
        <v>98.03</v>
      </c>
      <c r="AGC11">
        <f>SOFR3mo_PX[[#This Row],[Column861]]</f>
        <v>98.15</v>
      </c>
      <c r="AGD11">
        <f>SOFR3mo_PX[[#This Row],[Column862]]</f>
        <v>98.22</v>
      </c>
      <c r="AGE11">
        <f>SOFR3mo_PX[[#This Row],[Column863]]</f>
        <v>98.09</v>
      </c>
      <c r="AGF11">
        <f>SOFR3mo_PX[[#This Row],[Column864]]</f>
        <v>98.11</v>
      </c>
      <c r="AGG11">
        <f>SOFR3mo_PX[[#This Row],[Column865]]</f>
        <v>98.35</v>
      </c>
      <c r="AGH11">
        <f>SOFR3mo_PX[[#This Row],[Column866]]</f>
        <v>98.114999999999995</v>
      </c>
      <c r="AGI11">
        <f>SOFR3mo_PX[[#This Row],[Column867]]</f>
        <v>97.915000000000006</v>
      </c>
      <c r="AGJ11">
        <f>SOFR3mo_PX[[#This Row],[Column868]]</f>
        <v>97.954999999999998</v>
      </c>
      <c r="AGK11">
        <f>SOFR3mo_PX[[#This Row],[Column869]]</f>
        <v>97.935000000000002</v>
      </c>
      <c r="AGL11">
        <f>SOFR3mo_PX[[#This Row],[Column870]]</f>
        <v>97.97</v>
      </c>
      <c r="AGM11">
        <f>SOFR3mo_PX[[#This Row],[Column871]]</f>
        <v>98.025000000000006</v>
      </c>
      <c r="AGN11">
        <f>SOFR3mo_PX[[#This Row],[Column872]]</f>
        <v>98.025000000000006</v>
      </c>
      <c r="AGO11">
        <f>SOFR3mo_PX[[#This Row],[Column873]]</f>
        <v>98</v>
      </c>
      <c r="AGP11">
        <f>SOFR3mo_PX[[#This Row],[Column874]]</f>
        <v>97.924999999999997</v>
      </c>
      <c r="AGQ11">
        <f>SOFR3mo_PX[[#This Row],[Column875]]</f>
        <v>97.89</v>
      </c>
      <c r="AGR11">
        <f>SOFR3mo_PX[[#This Row],[Column876]]</f>
        <v>97.9</v>
      </c>
      <c r="AGS11">
        <f>SOFR3mo_PX[[#This Row],[Column877]]</f>
        <v>97.984999999999999</v>
      </c>
      <c r="AGT11">
        <f>SOFR3mo_PX[[#This Row],[Column878]]</f>
        <v>97.91</v>
      </c>
      <c r="AGU11">
        <f>SOFR3mo_PX[[#This Row],[Column879]]</f>
        <v>98.094999999999999</v>
      </c>
      <c r="AGV11">
        <f>SOFR3mo_PX[[#This Row],[Column880]]</f>
        <v>98.094999999999999</v>
      </c>
      <c r="AGW11">
        <f>SOFR3mo_PX[[#This Row],[Column881]]</f>
        <v>98.15</v>
      </c>
      <c r="AGX11">
        <f>SOFR3mo_PX[[#This Row],[Column882]]</f>
        <v>98.13</v>
      </c>
      <c r="AGY11">
        <f>SOFR3mo_PX[[#This Row],[Column883]]</f>
        <v>98.27</v>
      </c>
      <c r="AGZ11">
        <f>SOFR3mo_PX[[#This Row],[Column884]]</f>
        <v>98.314999999999998</v>
      </c>
      <c r="AHA11">
        <f>SOFR3mo_PX[[#This Row],[Column885]]</f>
        <v>98.314999999999998</v>
      </c>
      <c r="AHB11">
        <f>SOFR3mo_PX[[#This Row],[Column886]]</f>
        <v>98.32</v>
      </c>
      <c r="AHC11">
        <f>SOFR3mo_PX[[#This Row],[Column887]]</f>
        <v>98.295000000000002</v>
      </c>
      <c r="AHD11">
        <f>SOFR3mo_PX[[#This Row],[Column888]]</f>
        <v>98.254999999999995</v>
      </c>
      <c r="AHE11">
        <f>SOFR3mo_PX[[#This Row],[Column889]]</f>
        <v>98.314999999999998</v>
      </c>
      <c r="AHF11">
        <f>SOFR3mo_PX[[#This Row],[Column890]]</f>
        <v>98.41</v>
      </c>
      <c r="AHG11">
        <f>SOFR3mo_PX[[#This Row],[Column891]]</f>
        <v>98.46</v>
      </c>
      <c r="AHH11">
        <f>SOFR3mo_PX[[#This Row],[Column892]]</f>
        <v>98.37</v>
      </c>
      <c r="AHI11">
        <f>SOFR3mo_PX[[#This Row],[Column893]]</f>
        <v>98.28</v>
      </c>
      <c r="AHJ11">
        <f>SOFR3mo_PX[[#This Row],[Column894]]</f>
        <v>98.3</v>
      </c>
      <c r="AHK11">
        <f>SOFR3mo_PX[[#This Row],[Column895]]</f>
        <v>98.26</v>
      </c>
      <c r="AHL11">
        <f>SOFR3mo_PX[[#This Row],[Column896]]</f>
        <v>98.334999999999994</v>
      </c>
      <c r="AHM11">
        <f>SOFR3mo_PX[[#This Row],[Column897]]</f>
        <v>98.334999999999994</v>
      </c>
      <c r="AHN11">
        <f>SOFR3mo_PX[[#This Row],[Column898]]</f>
        <v>98.44</v>
      </c>
      <c r="AHO11">
        <f>SOFR3mo_PX[[#This Row],[Column899]]</f>
        <v>98.415000000000006</v>
      </c>
      <c r="AHP11">
        <f>SOFR3mo_PX[[#This Row],[Column900]]</f>
        <v>98.39</v>
      </c>
      <c r="AHQ11">
        <f>SOFR3mo_PX[[#This Row],[Column901]]</f>
        <v>98.355000000000004</v>
      </c>
      <c r="AHR11">
        <f>SOFR3mo_PX[[#This Row],[Column902]]</f>
        <v>98.41</v>
      </c>
      <c r="AHS11">
        <f>SOFR3mo_PX[[#This Row],[Column903]]</f>
        <v>98.454999999999998</v>
      </c>
      <c r="AHT11">
        <f>SOFR3mo_PX[[#This Row],[Column904]]</f>
        <v>98.504999999999995</v>
      </c>
      <c r="AHU11">
        <f>SOFR3mo_PX[[#This Row],[Column905]]</f>
        <v>98.584999999999994</v>
      </c>
      <c r="AHV11">
        <f>SOFR3mo_PX[[#This Row],[Column906]]</f>
        <v>98.564999999999998</v>
      </c>
      <c r="AHW11">
        <f>SOFR3mo_PX[[#This Row],[Column907]]</f>
        <v>98.67</v>
      </c>
      <c r="AHX11">
        <f>SOFR3mo_PX[[#This Row],[Column908]]</f>
        <v>98.655000000000001</v>
      </c>
      <c r="AHY11">
        <f>SOFR3mo_PX[[#This Row],[Column909]]</f>
        <v>98.63</v>
      </c>
      <c r="AHZ11">
        <f>SOFR3mo_PX[[#This Row],[Column910]]</f>
        <v>98.65</v>
      </c>
      <c r="AIA11">
        <f>SOFR3mo_PX[[#This Row],[Column911]]</f>
        <v>98.63</v>
      </c>
      <c r="AIB11">
        <f>SOFR3mo_PX[[#This Row],[Column912]]</f>
        <v>98.65</v>
      </c>
      <c r="AIC11">
        <f>SOFR3mo_PX[[#This Row],[Column913]]</f>
        <v>98.65</v>
      </c>
      <c r="AID11">
        <f>SOFR3mo_PX[[#This Row],[Column914]]</f>
        <v>98.665000000000006</v>
      </c>
      <c r="AIE11">
        <f>SOFR3mo_PX[[#This Row],[Column915]]</f>
        <v>98.655000000000001</v>
      </c>
      <c r="AIF11">
        <f>SOFR3mo_PX[[#This Row],[Column916]]</f>
        <v>98.734999999999999</v>
      </c>
      <c r="AIG11">
        <f>SOFR3mo_PX[[#This Row],[Column917]]</f>
        <v>98.72</v>
      </c>
      <c r="AIH11">
        <f>SOFR3mo_PX[[#This Row],[Column918]]</f>
        <v>98.74</v>
      </c>
      <c r="AII11">
        <f>SOFR3mo_PX[[#This Row],[Column919]]</f>
        <v>98.62</v>
      </c>
      <c r="AIJ11">
        <f>SOFR3mo_PX[[#This Row],[Column920]]</f>
        <v>98.715000000000003</v>
      </c>
      <c r="AIK11">
        <f>SOFR3mo_PX[[#This Row],[Column921]]</f>
        <v>98.74</v>
      </c>
      <c r="AIL11">
        <f>SOFR3mo_PX[[#This Row],[Column922]]</f>
        <v>98.68</v>
      </c>
      <c r="AIM11">
        <f>SOFR3mo_PX[[#This Row],[Column923]]</f>
        <v>98.64</v>
      </c>
      <c r="AIN11">
        <f>SOFR3mo_PX[[#This Row],[Column924]]</f>
        <v>98.64</v>
      </c>
      <c r="AIO11">
        <f>SOFR3mo_PX[[#This Row],[Column925]]</f>
        <v>98.614999999999995</v>
      </c>
      <c r="AIP11">
        <f>SOFR3mo_PX[[#This Row],[Column926]]</f>
        <v>98.674999999999997</v>
      </c>
      <c r="AIQ11">
        <f>SOFR3mo_PX[[#This Row],[Column927]]</f>
        <v>98.75</v>
      </c>
      <c r="AIR11">
        <f>SOFR3mo_PX[[#This Row],[Column928]]</f>
        <v>98.69</v>
      </c>
      <c r="AIS11">
        <f>SOFR3mo_PX[[#This Row],[Column929]]</f>
        <v>98.754999999999995</v>
      </c>
      <c r="AIT11">
        <f>SOFR3mo_PX[[#This Row],[Column930]]</f>
        <v>98.784999999999997</v>
      </c>
      <c r="AIU11">
        <f>SOFR3mo_PX[[#This Row],[Column931]]</f>
        <v>98.79</v>
      </c>
      <c r="AIV11">
        <f>SOFR3mo_PX[[#This Row],[Column932]]</f>
        <v>98.795000000000002</v>
      </c>
      <c r="AIW11">
        <f>SOFR3mo_PX[[#This Row],[Column933]]</f>
        <v>98.584999999999994</v>
      </c>
      <c r="AIX11">
        <f>SOFR3mo_PX[[#This Row],[Column934]]</f>
        <v>98.584999999999994</v>
      </c>
      <c r="AIY11">
        <f>SOFR3mo_PX[[#This Row],[Column935]]</f>
        <v>98.635000000000005</v>
      </c>
      <c r="AIZ11">
        <f>SOFR3mo_PX[[#This Row],[Column936]]</f>
        <v>98.62</v>
      </c>
      <c r="AJA11">
        <f>SOFR3mo_PX[[#This Row],[Column937]]</f>
        <v>98.765000000000001</v>
      </c>
      <c r="AJB11">
        <f>SOFR3mo_PX[[#This Row],[Column938]]</f>
        <v>98.765000000000001</v>
      </c>
      <c r="AJC11">
        <f>SOFR3mo_PX[[#This Row],[Column939]]</f>
        <v>98.745000000000005</v>
      </c>
      <c r="AJD11">
        <f>SOFR3mo_PX[[#This Row],[Column940]]</f>
        <v>98.704999999999998</v>
      </c>
      <c r="AJE11">
        <f>SOFR3mo_PX[[#This Row],[Column941]]</f>
        <v>98.715000000000003</v>
      </c>
      <c r="AJF11">
        <f>SOFR3mo_PX[[#This Row],[Column942]]</f>
        <v>98.724999999999994</v>
      </c>
      <c r="AJG11">
        <f>SOFR3mo_PX[[#This Row],[Column943]]</f>
        <v>98.704999999999998</v>
      </c>
      <c r="AJH11">
        <f>SOFR3mo_PX[[#This Row],[Column944]]</f>
        <v>98.78</v>
      </c>
      <c r="AJI11">
        <f>SOFR3mo_PX[[#This Row],[Column945]]</f>
        <v>98.965000000000003</v>
      </c>
      <c r="AJJ11">
        <f>SOFR3mo_PX[[#This Row],[Column946]]</f>
        <v>98.924999999999997</v>
      </c>
      <c r="AJK11">
        <f>SOFR3mo_PX[[#This Row],[Column947]]</f>
        <v>99.025000000000006</v>
      </c>
      <c r="AJL11">
        <f>SOFR3mo_PX[[#This Row],[Column948]]</f>
        <v>98.954999999999998</v>
      </c>
      <c r="AJM11">
        <f>SOFR3mo_PX[[#This Row],[Column949]]</f>
        <v>98.84</v>
      </c>
      <c r="AJN11">
        <f>SOFR3mo_PX[[#This Row],[Column950]]</f>
        <v>98.89</v>
      </c>
      <c r="AJO11">
        <f>SOFR3mo_PX[[#This Row],[Column951]]</f>
        <v>98.805000000000007</v>
      </c>
      <c r="AJP11">
        <f>SOFR3mo_PX[[#This Row],[Column952]]</f>
        <v>98.844999999999999</v>
      </c>
      <c r="AJQ11">
        <f>SOFR3mo_PX[[#This Row],[Column953]]</f>
        <v>98.87</v>
      </c>
      <c r="AJR11">
        <f>SOFR3mo_PX[[#This Row],[Column954]]</f>
        <v>98.88</v>
      </c>
      <c r="AJS11">
        <f>SOFR3mo_PX[[#This Row],[Column955]]</f>
        <v>98.89</v>
      </c>
      <c r="AJT11">
        <f>SOFR3mo_PX[[#This Row],[Column956]]</f>
        <v>98.9</v>
      </c>
      <c r="AJU11">
        <f>SOFR3mo_PX[[#This Row],[Column957]]</f>
        <v>98.855000000000004</v>
      </c>
      <c r="AJV11">
        <f>SOFR3mo_PX[[#This Row],[Column958]]</f>
        <v>98.88</v>
      </c>
      <c r="AJW11">
        <f>SOFR3mo_PX[[#This Row],[Column959]]</f>
        <v>98.974999999999994</v>
      </c>
      <c r="AJX11">
        <f>SOFR3mo_PX[[#This Row],[Column960]]</f>
        <v>98.95</v>
      </c>
      <c r="AJY11">
        <f>SOFR3mo_PX[[#This Row],[Column961]]</f>
        <v>98.91</v>
      </c>
      <c r="AJZ11">
        <f>SOFR3mo_PX[[#This Row],[Column962]]</f>
        <v>98.974999999999994</v>
      </c>
      <c r="AKA11">
        <f>SOFR3mo_PX[[#This Row],[Column963]]</f>
        <v>99.08</v>
      </c>
      <c r="AKB11">
        <f>SOFR3mo_PX[[#This Row],[Column964]]</f>
        <v>99.034999999999997</v>
      </c>
      <c r="AKC11">
        <f>SOFR3mo_PX[[#This Row],[Column965]]</f>
        <v>99.094999999999999</v>
      </c>
      <c r="AKD11">
        <f>SOFR3mo_PX[[#This Row],[Column966]]</f>
        <v>99.11</v>
      </c>
      <c r="AKE11">
        <f>SOFR3mo_PX[[#This Row],[Column967]]</f>
        <v>99.165000000000006</v>
      </c>
      <c r="AKF11">
        <f>SOFR3mo_PX[[#This Row],[Column968]]</f>
        <v>99.21</v>
      </c>
      <c r="AKG11">
        <f>SOFR3mo_PX[[#This Row],[Column969]]</f>
        <v>99.245000000000005</v>
      </c>
      <c r="AKH11">
        <f>SOFR3mo_PX[[#This Row],[Column970]]</f>
        <v>99.265000000000001</v>
      </c>
      <c r="AKI11">
        <f>SOFR3mo_PX[[#This Row],[Column971]]</f>
        <v>99.3</v>
      </c>
      <c r="AKJ11">
        <f>SOFR3mo_PX[[#This Row],[Column972]]</f>
        <v>99.3</v>
      </c>
      <c r="AKK11">
        <f>SOFR3mo_PX[[#This Row],[Column973]]</f>
        <v>99.25</v>
      </c>
      <c r="AKL11">
        <f>SOFR3mo_PX[[#This Row],[Column974]]</f>
        <v>99.234999999999999</v>
      </c>
      <c r="AKM11">
        <f>SOFR3mo_PX[[#This Row],[Column975]]</f>
        <v>99.2</v>
      </c>
      <c r="AKN11">
        <f>SOFR3mo_PX[[#This Row],[Column976]]</f>
        <v>99.204999999999998</v>
      </c>
      <c r="AKO11">
        <f>SOFR3mo_PX[[#This Row],[Column977]]</f>
        <v>99.22</v>
      </c>
      <c r="AKP11">
        <f>SOFR3mo_PX[[#This Row],[Column978]]</f>
        <v>99.234999999999999</v>
      </c>
      <c r="AKQ11">
        <f>SOFR3mo_PX[[#This Row],[Column979]]</f>
        <v>99.284999999999997</v>
      </c>
      <c r="AKR11">
        <f>SOFR3mo_PX[[#This Row],[Column980]]</f>
        <v>99.36</v>
      </c>
      <c r="AKS11">
        <f>SOFR3mo_PX[[#This Row],[Column981]]</f>
        <v>99.36</v>
      </c>
      <c r="AKT11">
        <f>SOFR3mo_PX[[#This Row],[Column982]]</f>
        <v>99.314999999999998</v>
      </c>
      <c r="AKU11">
        <f>SOFR3mo_PX[[#This Row],[Column983]]</f>
        <v>99.34</v>
      </c>
      <c r="AKV11">
        <f>SOFR3mo_PX[[#This Row],[Column984]]</f>
        <v>99.375</v>
      </c>
      <c r="AKW11">
        <f>SOFR3mo_PX[[#This Row],[Column985]]</f>
        <v>99.52</v>
      </c>
      <c r="AKX11">
        <f>SOFR3mo_PX[[#This Row],[Column986]]</f>
        <v>99.51</v>
      </c>
      <c r="AKY11">
        <f>SOFR3mo_PX[[#This Row],[Column987]]</f>
        <v>99.5</v>
      </c>
      <c r="AKZ11">
        <f>SOFR3mo_PX[[#This Row],[Column988]]</f>
        <v>99.515000000000001</v>
      </c>
      <c r="ALA11">
        <f>SOFR3mo_PX[[#This Row],[Column989]]</f>
        <v>99.51</v>
      </c>
      <c r="ALB11">
        <f>SOFR3mo_PX[[#This Row],[Column990]]</f>
        <v>99.51</v>
      </c>
      <c r="ALC11">
        <f>SOFR3mo_PX[[#This Row],[Column991]]</f>
        <v>99.54</v>
      </c>
      <c r="ALD11">
        <f>SOFR3mo_PX[[#This Row],[Column992]]</f>
        <v>99.54</v>
      </c>
      <c r="ALE11">
        <f>SOFR3mo_PX[[#This Row],[Column993]]</f>
        <v>99.525000000000006</v>
      </c>
      <c r="ALF11">
        <f>SOFR3mo_PX[[#This Row],[Column994]]</f>
        <v>99.515000000000001</v>
      </c>
      <c r="ALG11">
        <f>SOFR3mo_PX[[#This Row],[Column995]]</f>
        <v>99.525000000000006</v>
      </c>
      <c r="ALH11">
        <f>SOFR3mo_PX[[#This Row],[Column996]]</f>
        <v>99.515000000000001</v>
      </c>
      <c r="ALI11">
        <f>SOFR3mo_PX[[#This Row],[Column997]]</f>
        <v>99.484999999999999</v>
      </c>
      <c r="ALJ11">
        <f>SOFR3mo_PX[[#This Row],[Column998]]</f>
        <v>99.454999999999998</v>
      </c>
      <c r="ALK11">
        <f>SOFR3mo_PX[[#This Row],[Column999]]</f>
        <v>99.46</v>
      </c>
      <c r="ALL11">
        <f>SOFR3mo_PX[[#This Row],[Column1000]]</f>
        <v>99.474999999999994</v>
      </c>
      <c r="ALM11">
        <f>SOFR3mo_PX[[#This Row],[Column1001]]</f>
        <v>99.484999999999999</v>
      </c>
      <c r="ALN11">
        <f>SOFR3mo_PX[[#This Row],[Column1002]]</f>
        <v>99.47</v>
      </c>
      <c r="ALO11">
        <f>SOFR3mo_PX[[#This Row],[Column1003]]</f>
        <v>99.48</v>
      </c>
      <c r="ALP11">
        <f>SOFR3mo_PX[[#This Row],[Column1004]]</f>
        <v>99.474999999999994</v>
      </c>
      <c r="ALQ11">
        <f>SOFR3mo_PX[[#This Row],[Column1005]]</f>
        <v>99.48</v>
      </c>
      <c r="ALR11">
        <f>SOFR3mo_PX[[#This Row],[Column1006]]</f>
        <v>99.5</v>
      </c>
      <c r="ALS11">
        <f>SOFR3mo_PX[[#This Row],[Column1007]]</f>
        <v>99.47</v>
      </c>
      <c r="ALT11">
        <f>SOFR3mo_PX[[#This Row],[Column1008]]</f>
        <v>99.44</v>
      </c>
      <c r="ALU11">
        <f>SOFR3mo_PX[[#This Row],[Column1009]]</f>
        <v>99.454999999999998</v>
      </c>
      <c r="ALV11">
        <f>SOFR3mo_PX[[#This Row],[Column1010]]</f>
        <v>99.42</v>
      </c>
      <c r="ALW11">
        <f>SOFR3mo_PX[[#This Row],[Column1011]]</f>
        <v>99.454999999999998</v>
      </c>
      <c r="ALX11">
        <f>SOFR3mo_PX[[#This Row],[Column1012]]</f>
        <v>99.474999999999994</v>
      </c>
      <c r="ALY11">
        <f>SOFR3mo_PX[[#This Row],[Column1013]]</f>
        <v>99.525000000000006</v>
      </c>
      <c r="ALZ11">
        <f>SOFR3mo_PX[[#This Row],[Column1014]]</f>
        <v>99.58</v>
      </c>
      <c r="AMA11">
        <f>SOFR3mo_PX[[#This Row],[Column1015]]</f>
        <v>99.62</v>
      </c>
      <c r="AMB11">
        <f>SOFR3mo_PX[[#This Row],[Column1016]]</f>
        <v>99.614999999999995</v>
      </c>
      <c r="AMC11">
        <f>SOFR3mo_PX[[#This Row],[Column1017]]</f>
        <v>99.564999999999998</v>
      </c>
      <c r="AMD11">
        <f>SOFR3mo_PX[[#This Row],[Column1018]]</f>
        <v>99.534999999999997</v>
      </c>
      <c r="AME11">
        <f>SOFR3mo_PX[[#This Row],[Column1019]]</f>
        <v>99.515000000000001</v>
      </c>
      <c r="AMF11">
        <f>SOFR3mo_PX[[#This Row],[Column1020]]</f>
        <v>99.564999999999998</v>
      </c>
      <c r="AMG11">
        <f>SOFR3mo_PX[[#This Row],[Column1021]]</f>
        <v>99.545000000000002</v>
      </c>
      <c r="AMH11">
        <f>SOFR3mo_PX[[#This Row],[Column1022]]</f>
        <v>99.55</v>
      </c>
      <c r="AMI11">
        <f>SOFR3mo_PX[[#This Row],[Column1023]]</f>
        <v>99.56</v>
      </c>
      <c r="AMJ11">
        <f>SOFR3mo_PX[[#This Row],[Column1024]]</f>
        <v>99.54</v>
      </c>
      <c r="AMK11">
        <f>SOFR3mo_PX[[#This Row],[Column1025]]</f>
        <v>99.6</v>
      </c>
      <c r="AML11">
        <f>SOFR3mo_PX[[#This Row],[Column1026]]</f>
        <v>99.564999999999998</v>
      </c>
      <c r="AMM11">
        <f>SOFR3mo_PX[[#This Row],[Column1027]]</f>
        <v>99.444999999999993</v>
      </c>
      <c r="AMN11">
        <f>SOFR3mo_PX[[#This Row],[Column1028]]</f>
        <v>99.444999999999993</v>
      </c>
      <c r="AMO11">
        <f>SOFR3mo_PX[[#This Row],[Column1029]]</f>
        <v>99.44</v>
      </c>
      <c r="AMP11">
        <f>SOFR3mo_PX[[#This Row],[Column1030]]</f>
        <v>99.4</v>
      </c>
      <c r="AMQ11">
        <f>SOFR3mo_PX[[#This Row],[Column1031]]</f>
        <v>99.48</v>
      </c>
      <c r="AMR11">
        <f>SOFR3mo_PX[[#This Row],[Column1032]]</f>
        <v>99.495000000000005</v>
      </c>
      <c r="AMS11">
        <f>SOFR3mo_PX[[#This Row],[Column1033]]</f>
        <v>99.55</v>
      </c>
      <c r="AMT11">
        <f>SOFR3mo_PX[[#This Row],[Column1034]]</f>
        <v>99.48</v>
      </c>
      <c r="AMU11">
        <f>SOFR3mo_PX[[#This Row],[Column1035]]</f>
        <v>99.465000000000003</v>
      </c>
      <c r="AMV11">
        <f>SOFR3mo_PX[[#This Row],[Column1036]]</f>
        <v>99.42</v>
      </c>
      <c r="AMW11">
        <f>SOFR3mo_PX[[#This Row],[Column1037]]</f>
        <v>99.42</v>
      </c>
      <c r="AMX11">
        <f>SOFR3mo_PX[[#This Row],[Column1038]]</f>
        <v>99.37</v>
      </c>
      <c r="AMY11">
        <f>SOFR3mo_PX[[#This Row],[Column1039]]</f>
        <v>99.394999999999996</v>
      </c>
      <c r="AMZ11">
        <f>SOFR3mo_PX[[#This Row],[Column1040]]</f>
        <v>99.39</v>
      </c>
      <c r="ANA11">
        <f>SOFR3mo_PX[[#This Row],[Column1041]]</f>
        <v>99.394999999999996</v>
      </c>
      <c r="ANB11">
        <f>SOFR3mo_PX[[#This Row],[Column1042]]</f>
        <v>99.375</v>
      </c>
      <c r="ANC11">
        <f>SOFR3mo_PX[[#This Row],[Column1043]]</f>
        <v>99.394999999999996</v>
      </c>
      <c r="AND11">
        <f>SOFR3mo_PX[[#This Row],[Column1044]]</f>
        <v>99.405000000000001</v>
      </c>
      <c r="ANE11">
        <f>SOFR3mo_PX[[#This Row],[Column1045]]</f>
        <v>99.44</v>
      </c>
      <c r="ANF11">
        <f>SOFR3mo_PX[[#This Row],[Column1046]]</f>
        <v>99.41</v>
      </c>
      <c r="ANG11">
        <f>SOFR3mo_PX[[#This Row],[Column1047]]</f>
        <v>99.394999999999996</v>
      </c>
      <c r="ANH11">
        <f>SOFR3mo_PX[[#This Row],[Column1048]]</f>
        <v>99.444999999999993</v>
      </c>
      <c r="ANI11">
        <f>SOFR3mo_PX[[#This Row],[Column1049]]</f>
        <v>99.495000000000005</v>
      </c>
      <c r="ANJ11">
        <f>SOFR3mo_PX[[#This Row],[Column1050]]</f>
        <v>99.7</v>
      </c>
      <c r="ANK11">
        <f>SOFR3mo_PX[[#This Row],[Column1051]]</f>
        <v>99.704999999999998</v>
      </c>
      <c r="ANL11">
        <f>SOFR3mo_PX[[#This Row],[Column1052]]</f>
        <v>99.72</v>
      </c>
      <c r="ANM11">
        <f>SOFR3mo_PX[[#This Row],[Column1053]]</f>
        <v>99.734999999999999</v>
      </c>
      <c r="ANN11">
        <f>SOFR3mo_PX[[#This Row],[Column1054]]</f>
        <v>99.73</v>
      </c>
      <c r="ANO11">
        <f>SOFR3mo_PX[[#This Row],[Column1055]]</f>
        <v>99.715000000000003</v>
      </c>
      <c r="ANP11">
        <f>SOFR3mo_PX[[#This Row],[Column1056]]</f>
        <v>99.71</v>
      </c>
      <c r="ANQ11">
        <f>SOFR3mo_PX[[#This Row],[Column1057]]</f>
        <v>99.71</v>
      </c>
      <c r="ANR11">
        <f>SOFR3mo_PX[[#This Row],[Column1058]]</f>
        <v>99.685000000000002</v>
      </c>
      <c r="ANS11">
        <f>SOFR3mo_PX[[#This Row],[Column1059]]</f>
        <v>99.704999999999998</v>
      </c>
      <c r="ANT11">
        <f>SOFR3mo_PX[[#This Row],[Column1060]]</f>
        <v>99.7</v>
      </c>
      <c r="ANU11">
        <f>SOFR3mo_PX[[#This Row],[Column1061]]</f>
        <v>99.704999999999998</v>
      </c>
      <c r="ANV11">
        <f>SOFR3mo_PX[[#This Row],[Column1062]]</f>
        <v>99.704999999999998</v>
      </c>
      <c r="ANW11">
        <f>SOFR3mo_PX[[#This Row],[Column1063]]</f>
        <v>99.704999999999998</v>
      </c>
      <c r="ANX11">
        <f>SOFR3mo_PX[[#This Row],[Column1064]]</f>
        <v>99.715000000000003</v>
      </c>
      <c r="ANY11">
        <f>SOFR3mo_PX[[#This Row],[Column1065]]</f>
        <v>99.71</v>
      </c>
      <c r="ANZ11">
        <f>SOFR3mo_PX[[#This Row],[Column1066]]</f>
        <v>99.685000000000002</v>
      </c>
      <c r="AOA11">
        <f>SOFR3mo_PX[[#This Row],[Column1067]]</f>
        <v>99.674999999999997</v>
      </c>
      <c r="AOB11">
        <f>SOFR3mo_PX[[#This Row],[Column1068]]</f>
        <v>99.674999999999997</v>
      </c>
      <c r="AOC11">
        <f>SOFR3mo_PX[[#This Row],[Column1069]]</f>
        <v>99.644999999999996</v>
      </c>
      <c r="AOD11">
        <f>SOFR3mo_PX[[#This Row],[Column1070]]</f>
        <v>99.67</v>
      </c>
      <c r="AOE11">
        <f>SOFR3mo_PX[[#This Row],[Column1071]]</f>
        <v>99.67</v>
      </c>
      <c r="AOF11">
        <f>SOFR3mo_PX[[#This Row],[Column1072]]</f>
        <v>99.67</v>
      </c>
      <c r="AOG11">
        <f>SOFR3mo_PX[[#This Row],[Column1073]]</f>
        <v>99.67</v>
      </c>
      <c r="AOH11">
        <f>SOFR3mo_PX[[#This Row],[Column1074]]</f>
        <v>99.65</v>
      </c>
      <c r="AOI11">
        <f>SOFR3mo_PX[[#This Row],[Column1075]]</f>
        <v>99.7</v>
      </c>
      <c r="AOJ11">
        <f>SOFR3mo_PX[[#This Row],[Column1076]]</f>
        <v>99.72</v>
      </c>
      <c r="AOK11">
        <f>SOFR3mo_PX[[#This Row],[Column1077]]</f>
        <v>99.73</v>
      </c>
      <c r="AOL11">
        <f>SOFR3mo_PX[[#This Row],[Column1078]]</f>
        <v>99.68</v>
      </c>
      <c r="AOM11">
        <f>SOFR3mo_PX[[#This Row],[Column1079]]</f>
        <v>99.674999999999997</v>
      </c>
      <c r="AON11">
        <f>SOFR3mo_PX[[#This Row],[Column1080]]</f>
        <v>99.67</v>
      </c>
      <c r="AOO11">
        <f>SOFR3mo_PX[[#This Row],[Column1081]]</f>
        <v>99.66</v>
      </c>
      <c r="AOP11">
        <f>SOFR3mo_PX[[#This Row],[Column1082]]</f>
        <v>99.644999999999996</v>
      </c>
      <c r="AOQ11">
        <f>SOFR3mo_PX[[#This Row],[Column1083]]</f>
        <v>99.644999999999996</v>
      </c>
      <c r="AOR11">
        <f>SOFR3mo_PX[[#This Row],[Column1084]]</f>
        <v>99.644999999999996</v>
      </c>
      <c r="AOS11">
        <f>SOFR3mo_PX[[#This Row],[Column1085]]</f>
        <v>99.63</v>
      </c>
      <c r="AOT11">
        <f>SOFR3mo_PX[[#This Row],[Column1086]]</f>
        <v>99.644999999999996</v>
      </c>
      <c r="AOU11">
        <f>SOFR3mo_PX[[#This Row],[Column1087]]</f>
        <v>99.655000000000001</v>
      </c>
      <c r="AOV11">
        <f>SOFR3mo_PX[[#This Row],[Column1088]]</f>
        <v>99.67</v>
      </c>
      <c r="AOW11">
        <f>SOFR3mo_PX[[#This Row],[Column1089]]</f>
        <v>99.674999999999997</v>
      </c>
      <c r="AOX11">
        <f>SOFR3mo_PX[[#This Row],[Column1090]]</f>
        <v>99.685000000000002</v>
      </c>
      <c r="AOY11">
        <f>SOFR3mo_PX[[#This Row],[Column1091]]</f>
        <v>99.67</v>
      </c>
      <c r="AOZ11">
        <f>SOFR3mo_PX[[#This Row],[Column1092]]</f>
        <v>99.655000000000001</v>
      </c>
      <c r="APA11">
        <f>SOFR3mo_PX[[#This Row],[Column1093]]</f>
        <v>99.674999999999997</v>
      </c>
      <c r="APB11">
        <f>SOFR3mo_PX[[#This Row],[Column1094]]</f>
        <v>99.635000000000005</v>
      </c>
      <c r="APC11">
        <f>SOFR3mo_PX[[#This Row],[Column1095]]</f>
        <v>99.65</v>
      </c>
      <c r="APD11">
        <f>SOFR3mo_PX[[#This Row],[Column1096]]</f>
        <v>99.6</v>
      </c>
      <c r="APE11">
        <f>SOFR3mo_PX[[#This Row],[Column1097]]</f>
        <v>99.625</v>
      </c>
      <c r="APF11">
        <f>SOFR3mo_PX[[#This Row],[Column1098]]</f>
        <v>99.64</v>
      </c>
      <c r="APG11">
        <f>SOFR3mo_PX[[#This Row],[Column1099]]</f>
        <v>99.62</v>
      </c>
      <c r="APH11">
        <f>SOFR3mo_PX[[#This Row],[Column1100]]</f>
        <v>99.59</v>
      </c>
      <c r="API11">
        <f>SOFR3mo_PX[[#This Row],[Column1101]]</f>
        <v>99.545000000000002</v>
      </c>
      <c r="APJ11">
        <f>SOFR3mo_PX[[#This Row],[Column1102]]</f>
        <v>99.515000000000001</v>
      </c>
      <c r="APK11">
        <f>SOFR3mo_PX[[#This Row],[Column1103]]</f>
        <v>99.584999999999994</v>
      </c>
      <c r="APL11">
        <f>SOFR3mo_PX[[#This Row],[Column1104]]</f>
        <v>99.58</v>
      </c>
      <c r="APM11">
        <f>SOFR3mo_PX[[#This Row],[Column1105]]</f>
        <v>99.594999999999999</v>
      </c>
      <c r="APN11">
        <f>SOFR3mo_PX[[#This Row],[Column1106]]</f>
        <v>99.605000000000004</v>
      </c>
      <c r="APO11">
        <f>SOFR3mo_PX[[#This Row],[Column1107]]</f>
        <v>99.644999999999996</v>
      </c>
      <c r="APP11">
        <f>SOFR3mo_PX[[#This Row],[Column1108]]</f>
        <v>99.66</v>
      </c>
      <c r="APQ11">
        <f>SOFR3mo_PX[[#This Row],[Column1109]]</f>
        <v>99.65</v>
      </c>
      <c r="APR11">
        <f>SOFR3mo_PX[[#This Row],[Column1110]]</f>
        <v>99.64</v>
      </c>
      <c r="APS11">
        <f>SOFR3mo_PX[[#This Row],[Column1111]]</f>
        <v>99.625</v>
      </c>
      <c r="APT11">
        <f>SOFR3mo_PX[[#This Row],[Column1112]]</f>
        <v>99.614999999999995</v>
      </c>
      <c r="APU11">
        <f>SOFR3mo_PX[[#This Row],[Column1113]]</f>
        <v>99.63</v>
      </c>
      <c r="APV11">
        <f>SOFR3mo_PX[[#This Row],[Column1114]]</f>
        <v>99.67</v>
      </c>
      <c r="APW11">
        <f>SOFR3mo_PX[[#This Row],[Column1115]]</f>
        <v>99.745000000000005</v>
      </c>
      <c r="APX11">
        <f>SOFR3mo_PX[[#This Row],[Column1116]]</f>
        <v>99.74</v>
      </c>
      <c r="APY11">
        <f>SOFR3mo_PX[[#This Row],[Column1117]]</f>
        <v>99.724999999999994</v>
      </c>
      <c r="APZ11">
        <f>SOFR3mo_PX[[#This Row],[Column1118]]</f>
        <v>99.754999999999995</v>
      </c>
      <c r="AQA11">
        <f>SOFR3mo_PX[[#This Row],[Column1119]]</f>
        <v>99.75</v>
      </c>
      <c r="AQB11">
        <f>SOFR3mo_PX[[#This Row],[Column1120]]</f>
        <v>99.73</v>
      </c>
      <c r="AQC11">
        <f>SOFR3mo_PX[[#This Row],[Column1121]]</f>
        <v>99.72</v>
      </c>
      <c r="AQD11">
        <f>SOFR3mo_PX[[#This Row],[Column1122]]</f>
        <v>99.745000000000005</v>
      </c>
      <c r="AQE11">
        <f>SOFR3mo_PX[[#This Row],[Column1123]]</f>
        <v>99.74</v>
      </c>
      <c r="AQF11">
        <f>SOFR3mo_PX[[#This Row],[Column1124]]</f>
        <v>99.754999999999995</v>
      </c>
      <c r="AQG11">
        <f>SOFR3mo_PX[[#This Row],[Column1125]]</f>
        <v>99.78</v>
      </c>
      <c r="AQH11">
        <f>SOFR3mo_PX[[#This Row],[Column1126]]</f>
        <v>99.78</v>
      </c>
      <c r="AQI11">
        <f>SOFR3mo_PX[[#This Row],[Column1127]]</f>
        <v>99.745000000000005</v>
      </c>
      <c r="AQJ11">
        <f>SOFR3mo_PX[[#This Row],[Column1128]]</f>
        <v>99.74</v>
      </c>
      <c r="AQK11">
        <f>SOFR3mo_PX[[#This Row],[Column1129]]</f>
        <v>99.834999999999994</v>
      </c>
      <c r="AQL11">
        <f>SOFR3mo_PX[[#This Row],[Column1130]]</f>
        <v>99.844999999999999</v>
      </c>
      <c r="AQM11">
        <f>SOFR3mo_PX[[#This Row],[Column1131]]</f>
        <v>99.84</v>
      </c>
      <c r="AQN11">
        <f>SOFR3mo_PX[[#This Row],[Column1132]]</f>
        <v>99.84</v>
      </c>
      <c r="AQO11">
        <f>SOFR3mo_PX[[#This Row],[Column1133]]</f>
        <v>99.85</v>
      </c>
      <c r="AQP11">
        <f>SOFR3mo_PX[[#This Row],[Column1134]]</f>
        <v>99.85</v>
      </c>
      <c r="AQQ11">
        <f>SOFR3mo_PX[[#This Row],[Column1135]]</f>
        <v>99.84</v>
      </c>
      <c r="AQR11">
        <f>SOFR3mo_PX[[#This Row],[Column1136]]</f>
        <v>99.864999999999995</v>
      </c>
      <c r="AQS11">
        <f>SOFR3mo_PX[[#This Row],[Column1137]]</f>
        <v>99.864999999999995</v>
      </c>
      <c r="AQT11">
        <f>SOFR3mo_PX[[#This Row],[Column1138]]</f>
        <v>99.875</v>
      </c>
      <c r="AQU11">
        <f>SOFR3mo_PX[[#This Row],[Column1139]]</f>
        <v>99.875</v>
      </c>
      <c r="AQV11">
        <f>SOFR3mo_PX[[#This Row],[Column1140]]</f>
        <v>99.87</v>
      </c>
      <c r="AQW11">
        <f>SOFR3mo_PX[[#This Row],[Column1141]]</f>
        <v>99.864999999999995</v>
      </c>
      <c r="AQX11">
        <f>SOFR3mo_PX[[#This Row],[Column1142]]</f>
        <v>99.875</v>
      </c>
      <c r="AQY11">
        <f>SOFR3mo_PX[[#This Row],[Column1143]]</f>
        <v>99.875</v>
      </c>
      <c r="AQZ11">
        <f>SOFR3mo_PX[[#This Row],[Column1144]]</f>
        <v>99.875</v>
      </c>
      <c r="ARA11">
        <f>SOFR3mo_PX[[#This Row],[Column1145]]</f>
        <v>99.885000000000005</v>
      </c>
      <c r="ARB11">
        <f>SOFR3mo_PX[[#This Row],[Column1146]]</f>
        <v>99.89</v>
      </c>
      <c r="ARC11">
        <f>SOFR3mo_PX[[#This Row],[Column1147]]</f>
        <v>99.885000000000005</v>
      </c>
      <c r="ARD11">
        <f>SOFR3mo_PX[[#This Row],[Column1148]]</f>
        <v>99.88</v>
      </c>
      <c r="ARE11">
        <f>SOFR3mo_PX[[#This Row],[Column1149]]</f>
        <v>99.89</v>
      </c>
      <c r="ARF11">
        <f>SOFR3mo_PX[[#This Row],[Column1150]]</f>
        <v>99.89</v>
      </c>
      <c r="ARG11">
        <f>SOFR3mo_PX[[#This Row],[Column1151]]</f>
        <v>99.894999999999996</v>
      </c>
      <c r="ARH11">
        <f>SOFR3mo_PX[[#This Row],[Column1152]]</f>
        <v>99.89</v>
      </c>
      <c r="ARI11">
        <f>SOFR3mo_PX[[#This Row],[Column1153]]</f>
        <v>99.885000000000005</v>
      </c>
      <c r="ARJ11">
        <f>SOFR3mo_PX[[#This Row],[Column1154]]</f>
        <v>99.885000000000005</v>
      </c>
      <c r="ARK11">
        <f>SOFR3mo_PX[[#This Row],[Column1155]]</f>
        <v>99.885000000000005</v>
      </c>
      <c r="ARL11">
        <f>SOFR3mo_PX[[#This Row],[Column1156]]</f>
        <v>99.88</v>
      </c>
      <c r="ARM11">
        <f>SOFR3mo_PX[[#This Row],[Column1157]]</f>
        <v>99.88</v>
      </c>
      <c r="ARN11">
        <f>SOFR3mo_PX[[#This Row],[Column1158]]</f>
        <v>99.875</v>
      </c>
      <c r="ARO11">
        <f>SOFR3mo_PX[[#This Row],[Column1159]]</f>
        <v>99.855000000000004</v>
      </c>
      <c r="ARP11">
        <f>SOFR3mo_PX[[#This Row],[Column1160]]</f>
        <v>99.84</v>
      </c>
      <c r="ARQ11">
        <f>SOFR3mo_PX[[#This Row],[Column1161]]</f>
        <v>99.84</v>
      </c>
      <c r="ARR11">
        <f>SOFR3mo_PX[[#This Row],[Column1162]]</f>
        <v>99.844999999999999</v>
      </c>
      <c r="ARS11">
        <f>SOFR3mo_PX[[#This Row],[Column1163]]</f>
        <v>99.864999999999995</v>
      </c>
      <c r="ART11">
        <f>SOFR3mo_PX[[#This Row],[Column1164]]</f>
        <v>99.885000000000005</v>
      </c>
      <c r="ARU11">
        <f>SOFR3mo_PX[[#This Row],[Column1165]]</f>
        <v>99.9</v>
      </c>
      <c r="ARV11">
        <f>SOFR3mo_PX[[#This Row],[Column1166]]</f>
        <v>99.905000000000001</v>
      </c>
      <c r="ARW11">
        <f>SOFR3mo_PX[[#This Row],[Column1167]]</f>
        <v>99.894999999999996</v>
      </c>
      <c r="ARX11">
        <f>SOFR3mo_PX[[#This Row],[Column1168]]</f>
        <v>99.894999999999996</v>
      </c>
      <c r="ARY11">
        <f>SOFR3mo_PX[[#This Row],[Column1169]]</f>
        <v>99.885000000000005</v>
      </c>
      <c r="ARZ11">
        <f>SOFR3mo_PX[[#This Row],[Column1170]]</f>
        <v>99.88</v>
      </c>
      <c r="ASA11">
        <f>SOFR3mo_PX[[#This Row],[Column1171]]</f>
        <v>99.88</v>
      </c>
      <c r="ASB11">
        <f>SOFR3mo_PX[[#This Row],[Column1172]]</f>
        <v>99.885000000000005</v>
      </c>
      <c r="ASC11">
        <f>SOFR3mo_PX[[#This Row],[Column1173]]</f>
        <v>99.885000000000005</v>
      </c>
      <c r="ASD11">
        <f>SOFR3mo_PX[[#This Row],[Column1174]]</f>
        <v>99.885000000000005</v>
      </c>
      <c r="ASE11">
        <f>SOFR3mo_PX[[#This Row],[Column1175]]</f>
        <v>99.89</v>
      </c>
      <c r="ASF11">
        <f>SOFR3mo_PX[[#This Row],[Column1176]]</f>
        <v>99.885000000000005</v>
      </c>
      <c r="ASG11">
        <f>SOFR3mo_PX[[#This Row],[Column1177]]</f>
        <v>99.885000000000005</v>
      </c>
      <c r="ASH11">
        <f>SOFR3mo_PX[[#This Row],[Column1178]]</f>
        <v>99.885000000000005</v>
      </c>
      <c r="ASI11">
        <f>SOFR3mo_PX[[#This Row],[Column1179]]</f>
        <v>99.885000000000005</v>
      </c>
      <c r="ASJ11">
        <f>SOFR3mo_PX[[#This Row],[Column1180]]</f>
        <v>99.91</v>
      </c>
      <c r="ASK11">
        <f>SOFR3mo_PX[[#This Row],[Column1181]]</f>
        <v>99.91</v>
      </c>
      <c r="ASL11">
        <f>SOFR3mo_PX[[#This Row],[Column1182]]</f>
        <v>99.905000000000001</v>
      </c>
      <c r="ASM11">
        <f>SOFR3mo_PX[[#This Row],[Column1183]]</f>
        <v>99.894999999999996</v>
      </c>
      <c r="ASN11">
        <f>SOFR3mo_PX[[#This Row],[Column1184]]</f>
        <v>99.89</v>
      </c>
      <c r="ASO11">
        <f>SOFR3mo_PX[[#This Row],[Column1185]]</f>
        <v>99.89</v>
      </c>
      <c r="ASP11">
        <f>SOFR3mo_PX[[#This Row],[Column1186]]</f>
        <v>99.89</v>
      </c>
      <c r="ASQ11">
        <f>SOFR3mo_PX[[#This Row],[Column1187]]</f>
        <v>99.88</v>
      </c>
      <c r="ASR11">
        <f>SOFR3mo_PX[[#This Row],[Column1188]]</f>
        <v>99.885000000000005</v>
      </c>
      <c r="ASS11">
        <f>SOFR3mo_PX[[#This Row],[Column1189]]</f>
        <v>99.89</v>
      </c>
      <c r="AST11">
        <f>SOFR3mo_PX[[#This Row],[Column1190]]</f>
        <v>99.89</v>
      </c>
      <c r="ASU11">
        <f>SOFR3mo_PX[[#This Row],[Column1191]]</f>
        <v>99.905000000000001</v>
      </c>
      <c r="ASV11">
        <f>SOFR3mo_PX[[#This Row],[Column1192]]</f>
        <v>99.91</v>
      </c>
      <c r="ASW11">
        <f>SOFR3mo_PX[[#This Row],[Column1193]]</f>
        <v>99.905000000000001</v>
      </c>
      <c r="ASX11">
        <f>SOFR3mo_PX[[#This Row],[Column1194]]</f>
        <v>99.905000000000001</v>
      </c>
      <c r="ASY11">
        <f>SOFR3mo_PX[[#This Row],[Column1195]]</f>
        <v>99.9</v>
      </c>
      <c r="ASZ11">
        <f>SOFR3mo_PX[[#This Row],[Column1196]]</f>
        <v>99.894999999999996</v>
      </c>
      <c r="ATA11">
        <f>SOFR3mo_PX[[#This Row],[Column1197]]</f>
        <v>99.905000000000001</v>
      </c>
      <c r="ATB11">
        <f>SOFR3mo_PX[[#This Row],[Column1198]]</f>
        <v>99.905000000000001</v>
      </c>
      <c r="ATC11">
        <f>SOFR3mo_PX[[#This Row],[Column1199]]</f>
        <v>99.9</v>
      </c>
      <c r="ATD11">
        <f>SOFR3mo_PX[[#This Row],[Column1200]]</f>
        <v>99.905000000000001</v>
      </c>
      <c r="ATE11">
        <f>SOFR3mo_PX[[#This Row],[Column1201]]</f>
        <v>99.9</v>
      </c>
      <c r="ATF11">
        <f>SOFR3mo_PX[[#This Row],[Column1202]]</f>
        <v>99.9</v>
      </c>
      <c r="ATG11">
        <f>SOFR3mo_PX[[#This Row],[Column1203]]</f>
        <v>99.905000000000001</v>
      </c>
      <c r="ATH11">
        <f>SOFR3mo_PX[[#This Row],[Column1204]]</f>
        <v>99.894999999999996</v>
      </c>
      <c r="ATI11">
        <f>SOFR3mo_PX[[#This Row],[Column1205]]</f>
        <v>99.894999999999996</v>
      </c>
      <c r="ATJ11">
        <f>SOFR3mo_PX[[#This Row],[Column1206]]</f>
        <v>99.905000000000001</v>
      </c>
      <c r="ATK11">
        <f>SOFR3mo_PX[[#This Row],[Column1207]]</f>
        <v>99.944999999999993</v>
      </c>
      <c r="ATL11">
        <f>SOFR3mo_PX[[#This Row],[Column1208]]</f>
        <v>99.95</v>
      </c>
      <c r="ATM11">
        <f>SOFR3mo_PX[[#This Row],[Column1209]]</f>
        <v>99.97</v>
      </c>
      <c r="ATN11">
        <f>SOFR3mo_PX[[#This Row],[Column1210]]</f>
        <v>99.94</v>
      </c>
      <c r="ATO11">
        <f>SOFR3mo_PX[[#This Row],[Column1211]]</f>
        <v>99.95</v>
      </c>
      <c r="ATP11">
        <f>SOFR3mo_PX[[#This Row],[Column1212]]</f>
        <v>99.944999999999993</v>
      </c>
      <c r="ATQ11">
        <f>SOFR3mo_PX[[#This Row],[Column1213]]</f>
        <v>99.95</v>
      </c>
      <c r="ATR11">
        <f>SOFR3mo_PX[[#This Row],[Column1214]]</f>
        <v>99.96</v>
      </c>
      <c r="ATS11">
        <f>SOFR3mo_PX[[#This Row],[Column1215]]</f>
        <v>99.96</v>
      </c>
      <c r="ATT11">
        <f>SOFR3mo_PX[[#This Row],[Column1216]]</f>
        <v>99.954999999999998</v>
      </c>
      <c r="ATU11">
        <f>SOFR3mo_PX[[#This Row],[Column1217]]</f>
        <v>99.944999999999993</v>
      </c>
      <c r="ATV11">
        <f>SOFR3mo_PX[[#This Row],[Column1218]]</f>
        <v>99.935000000000002</v>
      </c>
      <c r="ATW11">
        <f>SOFR3mo_PX[[#This Row],[Column1219]]</f>
        <v>99.944999999999993</v>
      </c>
      <c r="ATX11">
        <f>SOFR3mo_PX[[#This Row],[Column1220]]</f>
        <v>99.944999999999993</v>
      </c>
      <c r="ATY11">
        <f>SOFR3mo_PX[[#This Row],[Column1221]]</f>
        <v>99.954999999999998</v>
      </c>
      <c r="ATZ11">
        <f>SOFR3mo_PX[[#This Row],[Column1222]]</f>
        <v>99.96</v>
      </c>
      <c r="AUA11">
        <f>SOFR3mo_PX[[#This Row],[Column1223]]</f>
        <v>99.954999999999998</v>
      </c>
      <c r="AUB11">
        <f>SOFR3mo_PX[[#This Row],[Column1224]]</f>
        <v>99.965000000000003</v>
      </c>
      <c r="AUC11">
        <f>SOFR3mo_PX[[#This Row],[Column1225]]</f>
        <v>99.96</v>
      </c>
      <c r="AUD11">
        <f>SOFR3mo_PX[[#This Row],[Column1226]]</f>
        <v>99.95</v>
      </c>
      <c r="AUE11">
        <f>SOFR3mo_PX[[#This Row],[Column1227]]</f>
        <v>99.944999999999993</v>
      </c>
      <c r="AUF11">
        <f>SOFR3mo_PX[[#This Row],[Column1228]]</f>
        <v>99.954999999999998</v>
      </c>
      <c r="AUG11">
        <f>SOFR3mo_PX[[#This Row],[Column1229]]</f>
        <v>99.95</v>
      </c>
      <c r="AUH11">
        <f>SOFR3mo_PX[[#This Row],[Column1230]]</f>
        <v>99.97</v>
      </c>
      <c r="AUI11">
        <f>SOFR3mo_PX[[#This Row],[Column1231]]</f>
        <v>99.97</v>
      </c>
      <c r="AUJ11">
        <f>SOFR3mo_PX[[#This Row],[Column1232]]</f>
        <v>99.984999999999999</v>
      </c>
      <c r="AUK11">
        <f>SOFR3mo_PX[[#This Row],[Column1233]]</f>
        <v>99.984999999999999</v>
      </c>
      <c r="AUL11">
        <f>SOFR3mo_PX[[#This Row],[Column1234]]</f>
        <v>99.984999999999999</v>
      </c>
      <c r="AUM11">
        <f>SOFR3mo_PX[[#This Row],[Column1235]]</f>
        <v>99.99</v>
      </c>
      <c r="AUN11">
        <f>SOFR3mo_PX[[#This Row],[Column1236]]</f>
        <v>99.99</v>
      </c>
      <c r="AUO11">
        <f>SOFR3mo_PX[[#This Row],[Column1237]]</f>
        <v>100</v>
      </c>
      <c r="AUP11">
        <f>SOFR3mo_PX[[#This Row],[Column1238]]</f>
        <v>100</v>
      </c>
      <c r="AUQ11">
        <f>SOFR3mo_PX[[#This Row],[Column1239]]</f>
        <v>100.005</v>
      </c>
      <c r="AUR11">
        <f>SOFR3mo_PX[[#This Row],[Column1240]]</f>
        <v>100.005</v>
      </c>
      <c r="AUS11">
        <f>SOFR3mo_PX[[#This Row],[Column1241]]</f>
        <v>99.995000000000005</v>
      </c>
      <c r="AUT11">
        <f>SOFR3mo_PX[[#This Row],[Column1242]]</f>
        <v>99.984999999999999</v>
      </c>
      <c r="AUU11">
        <f>SOFR3mo_PX[[#This Row],[Column1243]]</f>
        <v>100</v>
      </c>
      <c r="AUV11">
        <f>SOFR3mo_PX[[#This Row],[Column1244]]</f>
        <v>99.995000000000005</v>
      </c>
      <c r="AUW11">
        <f>SOFR3mo_PX[[#This Row],[Column1245]]</f>
        <v>100.01</v>
      </c>
      <c r="AUX11">
        <f>SOFR3mo_PX[[#This Row],[Column1246]]</f>
        <v>100.015</v>
      </c>
      <c r="AUY11">
        <f>SOFR3mo_PX[[#This Row],[Column1247]]</f>
        <v>100.02</v>
      </c>
      <c r="AUZ11">
        <f>SOFR3mo_PX[[#This Row],[Column1248]]</f>
        <v>100</v>
      </c>
      <c r="AVA11">
        <f>SOFR3mo_PX[[#This Row],[Column1249]]</f>
        <v>99.995000000000005</v>
      </c>
      <c r="AVB11">
        <f>SOFR3mo_PX[[#This Row],[Column1250]]</f>
        <v>100</v>
      </c>
      <c r="AVC11">
        <f>SOFR3mo_PX[[#This Row],[Column1251]]</f>
        <v>99.99</v>
      </c>
      <c r="AVD11">
        <f>SOFR3mo_PX[[#This Row],[Column1252]]</f>
        <v>99.99</v>
      </c>
      <c r="AVE11">
        <f>SOFR3mo_PX[[#This Row],[Column1253]]</f>
        <v>100.015</v>
      </c>
      <c r="AVF11">
        <f>SOFR3mo_PX[[#This Row],[Column1254]]</f>
        <v>100.005</v>
      </c>
      <c r="AVG11">
        <f>SOFR3mo_PX[[#This Row],[Column1255]]</f>
        <v>100.015</v>
      </c>
      <c r="AVH11">
        <f>SOFR3mo_PX[[#This Row],[Column1256]]</f>
        <v>100.01</v>
      </c>
      <c r="AVI11">
        <f>SOFR3mo_PX[[#This Row],[Column1257]]</f>
        <v>100.005</v>
      </c>
      <c r="AVJ11">
        <f>SOFR3mo_PX[[#This Row],[Column1258]]</f>
        <v>99.984999999999999</v>
      </c>
      <c r="AVK11">
        <f>SOFR3mo_PX[[#This Row],[Column1259]]</f>
        <v>99.995000000000005</v>
      </c>
      <c r="AVL11">
        <f>SOFR3mo_PX[[#This Row],[Column1260]]</f>
        <v>100</v>
      </c>
      <c r="AVM11">
        <f>SOFR3mo_PX[[#This Row],[Column1261]]</f>
        <v>100.01</v>
      </c>
      <c r="AVN11">
        <f>SOFR3mo_PX[[#This Row],[Column1262]]</f>
        <v>100.01</v>
      </c>
      <c r="AVO11">
        <f>SOFR3mo_PX[[#This Row],[Column1263]]</f>
        <v>100.02</v>
      </c>
      <c r="AVP11">
        <f>SOFR3mo_PX[[#This Row],[Column1264]]</f>
        <v>100.02</v>
      </c>
      <c r="AVQ11">
        <f>SOFR3mo_PX[[#This Row],[Column1265]]</f>
        <v>100.01</v>
      </c>
      <c r="AVR11">
        <f>SOFR3mo_PX[[#This Row],[Column1266]]</f>
        <v>100</v>
      </c>
      <c r="AVS11">
        <f>SOFR3mo_PX[[#This Row],[Column1267]]</f>
        <v>99.99</v>
      </c>
      <c r="AVT11">
        <f>SOFR3mo_PX[[#This Row],[Column1268]]</f>
        <v>99.99</v>
      </c>
      <c r="AVU11">
        <f>SOFR3mo_PX[[#This Row],[Column1269]]</f>
        <v>99.995000000000005</v>
      </c>
      <c r="AVV11">
        <f>SOFR3mo_PX[[#This Row],[Column1270]]</f>
        <v>99.995000000000005</v>
      </c>
      <c r="AVW11">
        <f>SOFR3mo_PX[[#This Row],[Column1271]]</f>
        <v>100.02500000000001</v>
      </c>
      <c r="AVX11">
        <f>SOFR3mo_PX[[#This Row],[Column1272]]</f>
        <v>100.035</v>
      </c>
      <c r="AVY11">
        <f>SOFR3mo_PX[[#This Row],[Column1273]]</f>
        <v>100.05500000000001</v>
      </c>
      <c r="AVZ11">
        <f>SOFR3mo_PX[[#This Row],[Column1274]]</f>
        <v>100.06</v>
      </c>
      <c r="AWA11">
        <f>SOFR3mo_PX[[#This Row],[Column1275]]</f>
        <v>100.07</v>
      </c>
      <c r="AWB11">
        <f>SOFR3mo_PX[[#This Row],[Column1276]]</f>
        <v>100.065</v>
      </c>
      <c r="AWC11">
        <f>SOFR3mo_PX[[#This Row],[Column1277]]</f>
        <v>100.06</v>
      </c>
      <c r="AWD11">
        <f>SOFR3mo_PX[[#This Row],[Column1278]]</f>
        <v>100.05500000000001</v>
      </c>
      <c r="AWE11">
        <f>SOFR3mo_PX[[#This Row],[Column1279]]</f>
        <v>100.04</v>
      </c>
      <c r="AWF11">
        <f>SOFR3mo_PX[[#This Row],[Column1280]]</f>
        <v>100.03</v>
      </c>
      <c r="AWG11">
        <f>SOFR3mo_PX[[#This Row],[Column1281]]</f>
        <v>100.02500000000001</v>
      </c>
      <c r="AWH11">
        <f>SOFR3mo_PX[[#This Row],[Column1282]]</f>
        <v>100.035</v>
      </c>
      <c r="AWI11">
        <f>SOFR3mo_PX[[#This Row],[Column1283]]</f>
        <v>100.04</v>
      </c>
      <c r="AWJ11">
        <f>SOFR3mo_PX[[#This Row],[Column1284]]</f>
        <v>100.04</v>
      </c>
      <c r="AWK11">
        <f>SOFR3mo_PX[[#This Row],[Column1285]]</f>
        <v>100.035</v>
      </c>
      <c r="AWL11">
        <f>SOFR3mo_PX[[#This Row],[Column1286]]</f>
        <v>100.03</v>
      </c>
      <c r="AWM11">
        <f>SOFR3mo_PX[[#This Row],[Column1287]]</f>
        <v>100.02500000000001</v>
      </c>
      <c r="AWN11">
        <f>SOFR3mo_PX[[#This Row],[Column1288]]</f>
        <v>100.02500000000001</v>
      </c>
      <c r="AWO11">
        <f>SOFR3mo_PX[[#This Row],[Column1289]]</f>
        <v>100.02</v>
      </c>
      <c r="AWP11">
        <f>SOFR3mo_PX[[#This Row],[Column1290]]</f>
        <v>100.03</v>
      </c>
      <c r="AWQ11">
        <f>SOFR3mo_PX[[#This Row],[Column1291]]</f>
        <v>100.03</v>
      </c>
      <c r="AWR11">
        <f>SOFR3mo_PX[[#This Row],[Column1292]]</f>
        <v>100.03</v>
      </c>
      <c r="AWS11">
        <f>SOFR3mo_PX[[#This Row],[Column1293]]</f>
        <v>100.045</v>
      </c>
      <c r="AWT11">
        <f>SOFR3mo_PX[[#This Row],[Column1294]]</f>
        <v>100.03</v>
      </c>
      <c r="AWU11">
        <f>SOFR3mo_PX[[#This Row],[Column1295]]</f>
        <v>100.02500000000001</v>
      </c>
      <c r="AWV11">
        <f>SOFR3mo_PX[[#This Row],[Column1296]]</f>
        <v>100.02</v>
      </c>
      <c r="AWW11">
        <f>SOFR3mo_PX[[#This Row],[Column1297]]</f>
        <v>100.02</v>
      </c>
      <c r="AWX11">
        <f>SOFR3mo_PX[[#This Row],[Column1298]]</f>
        <v>100.02</v>
      </c>
      <c r="AWY11">
        <f>SOFR3mo_PX[[#This Row],[Column1299]]</f>
        <v>100.01</v>
      </c>
      <c r="AWZ11">
        <f>SOFR3mo_PX[[#This Row],[Column1300]]</f>
        <v>100.03</v>
      </c>
      <c r="AXA11">
        <f>SOFR3mo_PX[[#This Row],[Column1301]]</f>
        <v>100.03</v>
      </c>
      <c r="AXB11">
        <f>SOFR3mo_PX[[#This Row],[Column1302]]</f>
        <v>100.02</v>
      </c>
      <c r="AXC11">
        <f>SOFR3mo_PX[[#This Row],[Column1303]]</f>
        <v>100</v>
      </c>
      <c r="AXD11">
        <f>SOFR3mo_PX[[#This Row],[Column1304]]</f>
        <v>100</v>
      </c>
      <c r="AXE11">
        <f>SOFR3mo_PX[[#This Row],[Column1305]]</f>
        <v>100</v>
      </c>
      <c r="AXF11">
        <f>SOFR3mo_PX[[#This Row],[Column1306]]</f>
        <v>99.995000000000005</v>
      </c>
      <c r="AXG11">
        <f>SOFR3mo_PX[[#This Row],[Column1307]]</f>
        <v>99.984999999999999</v>
      </c>
      <c r="AXH11">
        <f>SOFR3mo_PX[[#This Row],[Column1308]]</f>
        <v>99.97</v>
      </c>
      <c r="AXI11">
        <f>SOFR3mo_PX[[#This Row],[Column1309]]</f>
        <v>99.965000000000003</v>
      </c>
      <c r="AXJ11">
        <f>SOFR3mo_PX[[#This Row],[Column1310]]</f>
        <v>99.97</v>
      </c>
      <c r="AXK11">
        <f>SOFR3mo_PX[[#This Row],[Column1311]]</f>
        <v>99.98</v>
      </c>
      <c r="AXL11">
        <f>SOFR3mo_PX[[#This Row],[Column1312]]</f>
        <v>99.97</v>
      </c>
      <c r="AXM11">
        <f>SOFR3mo_PX[[#This Row],[Column1313]]</f>
        <v>99.98</v>
      </c>
      <c r="AXN11">
        <f>SOFR3mo_PX[[#This Row],[Column1314]]</f>
        <v>99.965000000000003</v>
      </c>
      <c r="AXO11">
        <f>SOFR3mo_PX[[#This Row],[Column1315]]</f>
        <v>99.924999999999997</v>
      </c>
      <c r="AXP11">
        <f>SOFR3mo_PX[[#This Row],[Column1316]]</f>
        <v>99.894999999999996</v>
      </c>
      <c r="AXQ11">
        <f>SOFR3mo_PX[[#This Row],[Column1317]]</f>
        <v>99.894999999999996</v>
      </c>
      <c r="AXR11">
        <f>SOFR3mo_PX[[#This Row],[Column1318]]</f>
        <v>99.944999999999993</v>
      </c>
      <c r="AXS11">
        <f>SOFR3mo_PX[[#This Row],[Column1319]]</f>
        <v>99.954999999999998</v>
      </c>
      <c r="AXT11">
        <f>SOFR3mo_PX[[#This Row],[Column1320]]</f>
        <v>99.99</v>
      </c>
      <c r="AXU11">
        <f>SOFR3mo_PX[[#This Row],[Column1321]]</f>
        <v>99.995000000000005</v>
      </c>
      <c r="AXV11">
        <f>SOFR3mo_PX[[#This Row],[Column1322]]</f>
        <v>99.984999999999999</v>
      </c>
      <c r="AXW11">
        <f>SOFR3mo_PX[[#This Row],[Column1323]]</f>
        <v>99.965000000000003</v>
      </c>
      <c r="AXX11">
        <f>SOFR3mo_PX[[#This Row],[Column1324]]</f>
        <v>99.965000000000003</v>
      </c>
      <c r="AXY11">
        <f>SOFR3mo_PX[[#This Row],[Column1325]]</f>
        <v>99.97</v>
      </c>
      <c r="AXZ11">
        <f>SOFR3mo_PX[[#This Row],[Column1326]]</f>
        <v>99.974999999999994</v>
      </c>
      <c r="AYA11">
        <f>SOFR3mo_PX[[#This Row],[Column1327]]</f>
        <v>99.974999999999994</v>
      </c>
      <c r="AYB11">
        <f>SOFR3mo_PX[[#This Row],[Column1328]]</f>
        <v>99.97</v>
      </c>
      <c r="AYC11">
        <f>SOFR3mo_PX[[#This Row],[Column1329]]</f>
        <v>99.97</v>
      </c>
      <c r="AYD11">
        <f>SOFR3mo_PX[[#This Row],[Column1330]]</f>
        <v>99.97</v>
      </c>
      <c r="AYE11">
        <f>SOFR3mo_PX[[#This Row],[Column1331]]</f>
        <v>99.97</v>
      </c>
      <c r="AYF11">
        <f>SOFR3mo_PX[[#This Row],[Column1332]]</f>
        <v>100</v>
      </c>
      <c r="AYG11">
        <f>SOFR3mo_PX[[#This Row],[Column1333]]</f>
        <v>99.99</v>
      </c>
      <c r="AYH11">
        <f>SOFR3mo_PX[[#This Row],[Column1334]]</f>
        <v>99.98</v>
      </c>
      <c r="AYI11">
        <f>SOFR3mo_PX[[#This Row],[Column1335]]</f>
        <v>99.965000000000003</v>
      </c>
      <c r="AYJ11">
        <f>SOFR3mo_PX[[#This Row],[Column1336]]</f>
        <v>99.96</v>
      </c>
      <c r="AYK11">
        <f>SOFR3mo_PX[[#This Row],[Column1337]]</f>
        <v>99.98</v>
      </c>
      <c r="AYL11">
        <f>SOFR3mo_PX[[#This Row],[Column1338]]</f>
        <v>99.99</v>
      </c>
      <c r="AYM11">
        <f>SOFR3mo_PX[[#This Row],[Column1339]]</f>
        <v>99.935000000000002</v>
      </c>
      <c r="AYN11">
        <f>SOFR3mo_PX[[#This Row],[Column1340]]</f>
        <v>99.915000000000006</v>
      </c>
      <c r="AYO11">
        <f>SOFR3mo_PX[[#This Row],[Column1341]]</f>
        <v>99.915000000000006</v>
      </c>
      <c r="AYP11">
        <f>SOFR3mo_PX[[#This Row],[Column1342]]</f>
        <v>99.9</v>
      </c>
      <c r="AYQ11">
        <f>SOFR3mo_PX[[#This Row],[Column1343]]</f>
        <v>99.905000000000001</v>
      </c>
      <c r="AYR11">
        <f>SOFR3mo_PX[[#This Row],[Column1344]]</f>
        <v>99.9</v>
      </c>
      <c r="AYS11">
        <f>SOFR3mo_PX[[#This Row],[Column1345]]</f>
        <v>99.89</v>
      </c>
      <c r="AYT11">
        <f>SOFR3mo_PX[[#This Row],[Column1346]]</f>
        <v>99.89</v>
      </c>
      <c r="AYU11">
        <f>SOFR3mo_PX[[#This Row],[Column1347]]</f>
        <v>99.9</v>
      </c>
      <c r="AYV11">
        <f>SOFR3mo_PX[[#This Row],[Column1348]]</f>
        <v>99.9</v>
      </c>
      <c r="AYW11">
        <f>SOFR3mo_PX[[#This Row],[Column1349]]</f>
        <v>99.894999999999996</v>
      </c>
      <c r="AYX11">
        <f>SOFR3mo_PX[[#This Row],[Column1350]]</f>
        <v>99.905000000000001</v>
      </c>
      <c r="AYY11">
        <f>SOFR3mo_PX[[#This Row],[Column1351]]</f>
        <v>99.89</v>
      </c>
      <c r="AYZ11">
        <f>SOFR3mo_PX[[#This Row],[Column1352]]</f>
        <v>99.88</v>
      </c>
      <c r="AZA11">
        <f>SOFR3mo_PX[[#This Row],[Column1353]]</f>
        <v>99.864999999999995</v>
      </c>
      <c r="AZB11">
        <f>SOFR3mo_PX[[#This Row],[Column1354]]</f>
        <v>99.864999999999995</v>
      </c>
      <c r="AZC11">
        <f>SOFR3mo_PX[[#This Row],[Column1355]]</f>
        <v>99.84</v>
      </c>
      <c r="AZD11">
        <f>SOFR3mo_PX[[#This Row],[Column1356]]</f>
        <v>99.825000000000003</v>
      </c>
      <c r="AZE11">
        <f>SOFR3mo_PX[[#This Row],[Column1357]]</f>
        <v>99.834999999999994</v>
      </c>
      <c r="AZF11">
        <f>SOFR3mo_PX[[#This Row],[Column1358]]</f>
        <v>99.834999999999994</v>
      </c>
      <c r="AZG11">
        <f>SOFR3mo_PX[[#This Row],[Column1359]]</f>
        <v>99.814999999999998</v>
      </c>
      <c r="AZH11">
        <f>SOFR3mo_PX[[#This Row],[Column1360]]</f>
        <v>99.8</v>
      </c>
      <c r="AZI11">
        <f>SOFR3mo_PX[[#This Row],[Column1361]]</f>
        <v>99.834999999999994</v>
      </c>
      <c r="AZJ11">
        <f>SOFR3mo_PX[[#This Row],[Column1362]]</f>
        <v>99.894999999999996</v>
      </c>
      <c r="AZK11">
        <f>SOFR3mo_PX[[#This Row],[Column1363]]</f>
        <v>99.89</v>
      </c>
      <c r="AZL11">
        <f>SOFR3mo_PX[[#This Row],[Column1364]]</f>
        <v>99.905000000000001</v>
      </c>
      <c r="AZM11">
        <f>SOFR3mo_PX[[#This Row],[Column1365]]</f>
        <v>99.88</v>
      </c>
      <c r="AZN11">
        <f>SOFR3mo_PX[[#This Row],[Column1366]]</f>
        <v>99.91</v>
      </c>
      <c r="AZO11">
        <f>SOFR3mo_PX[[#This Row],[Column1367]]</f>
        <v>99.875</v>
      </c>
      <c r="AZP11">
        <f>SOFR3mo_PX[[#This Row],[Column1368]]</f>
        <v>99.86</v>
      </c>
      <c r="AZQ11">
        <f>SOFR3mo_PX[[#This Row],[Column1369]]</f>
        <v>99.83</v>
      </c>
      <c r="AZR11">
        <f>SOFR3mo_PX[[#This Row],[Column1370]]</f>
        <v>99.825000000000003</v>
      </c>
      <c r="AZS11">
        <f>SOFR3mo_PX[[#This Row],[Column1371]]</f>
        <v>99.894999999999996</v>
      </c>
      <c r="AZT11">
        <f>SOFR3mo_PX[[#This Row],[Column1372]]</f>
        <v>99.814999999999998</v>
      </c>
      <c r="AZU11">
        <f>SOFR3mo_PX[[#This Row],[Column1373]]</f>
        <v>99.754999999999995</v>
      </c>
      <c r="AZV11">
        <f>SOFR3mo_PX[[#This Row],[Column1374]]</f>
        <v>99.65</v>
      </c>
      <c r="AZW11">
        <f>SOFR3mo_PX[[#This Row],[Column1375]]</f>
        <v>99.814999999999998</v>
      </c>
      <c r="AZX11">
        <f>SOFR3mo_PX[[#This Row],[Column1376]]</f>
        <v>99.87</v>
      </c>
      <c r="AZY11">
        <f>SOFR3mo_PX[[#This Row],[Column1377]]</f>
        <v>99.795000000000002</v>
      </c>
      <c r="AZZ11">
        <f>SOFR3mo_PX[[#This Row],[Column1378]]</f>
        <v>99.8</v>
      </c>
      <c r="BAA11">
        <f>SOFR3mo_PX[[#This Row],[Column1379]]</f>
        <v>99.73</v>
      </c>
      <c r="BAB11">
        <f>SOFR3mo_PX[[#This Row],[Column1380]]</f>
        <v>99.71</v>
      </c>
      <c r="BAC11">
        <f>SOFR3mo_PX[[#This Row],[Column1381]]</f>
        <v>99.805000000000007</v>
      </c>
      <c r="BAD11">
        <f>SOFR3mo_PX[[#This Row],[Column1382]]</f>
        <v>99.73</v>
      </c>
      <c r="BAE11">
        <f>SOFR3mo_PX[[#This Row],[Column1383]]</f>
        <v>99.644999999999996</v>
      </c>
      <c r="BAF11">
        <f>SOFR3mo_PX[[#This Row],[Column1384]]</f>
        <v>99.584999999999994</v>
      </c>
      <c r="BAG11">
        <f>SOFR3mo_PX[[#This Row],[Column1385]]</f>
        <v>99.52</v>
      </c>
      <c r="BAH11">
        <f>SOFR3mo_PX[[#This Row],[Column1386]]</f>
        <v>99.45</v>
      </c>
      <c r="BAI11">
        <f>SOFR3mo_PX[[#This Row],[Column1387]]</f>
        <v>99.45</v>
      </c>
      <c r="BAJ11">
        <f>SOFR3mo_PX[[#This Row],[Column1388]]</f>
        <v>99.245000000000005</v>
      </c>
      <c r="BAK11">
        <f>SOFR3mo_PX[[#This Row],[Column1389]]</f>
        <v>99.18</v>
      </c>
      <c r="BAL11">
        <f>SOFR3mo_PX[[#This Row],[Column1390]]</f>
        <v>99.16</v>
      </c>
      <c r="BAM11">
        <f>SOFR3mo_PX[[#This Row],[Column1391]]</f>
        <v>99.105000000000004</v>
      </c>
      <c r="BAN11">
        <f>SOFR3mo_PX[[#This Row],[Column1392]]</f>
        <v>98.995000000000005</v>
      </c>
      <c r="BAO11">
        <f>SOFR3mo_PX[[#This Row],[Column1393]]</f>
        <v>98.93</v>
      </c>
      <c r="BAP11">
        <f>SOFR3mo_PX[[#This Row],[Column1394]]</f>
        <v>98.885000000000005</v>
      </c>
      <c r="BAQ11">
        <f>SOFR3mo_PX[[#This Row],[Column1395]]</f>
        <v>98.91</v>
      </c>
      <c r="BAR11">
        <f>SOFR3mo_PX[[#This Row],[Column1396]]</f>
        <v>98.88</v>
      </c>
      <c r="BAS11">
        <f>SOFR3mo_PX[[#This Row],[Column1397]]</f>
        <v>98.88</v>
      </c>
      <c r="BAT11">
        <f>SOFR3mo_PX[[#This Row],[Column1398]]</f>
        <v>98.844999999999999</v>
      </c>
      <c r="BAU11">
        <f>SOFR3mo_PX[[#This Row],[Column1399]]</f>
        <v>98.844999999999999</v>
      </c>
      <c r="BAV11">
        <f>SOFR3mo_PX[[#This Row],[Column1400]]</f>
        <v>98.885000000000005</v>
      </c>
      <c r="BAW11">
        <f>SOFR3mo_PX[[#This Row],[Column1401]]</f>
        <v>98.915000000000006</v>
      </c>
      <c r="BAX11">
        <f>SOFR3mo_PX[[#This Row],[Column1402]]</f>
        <v>98.88</v>
      </c>
      <c r="BAY11">
        <f>SOFR3mo_PX[[#This Row],[Column1403]]</f>
        <v>98.825000000000003</v>
      </c>
      <c r="BAZ11">
        <f>SOFR3mo_PX[[#This Row],[Column1404]]</f>
        <v>98.844999999999999</v>
      </c>
      <c r="BBA11">
        <f>SOFR3mo_PX[[#This Row],[Column1405]]</f>
        <v>98.885000000000005</v>
      </c>
      <c r="BBB11">
        <f>SOFR3mo_PX[[#This Row],[Column1406]]</f>
        <v>98.97</v>
      </c>
      <c r="BBC11">
        <f>SOFR3mo_PX[[#This Row],[Column1407]]</f>
        <v>98.995000000000005</v>
      </c>
      <c r="BBD11">
        <f>SOFR3mo_PX[[#This Row],[Column1408]]</f>
        <v>98.94</v>
      </c>
      <c r="BBE11">
        <f>SOFR3mo_PX[[#This Row],[Column1409]]</f>
        <v>98.894999999999996</v>
      </c>
      <c r="BBF11">
        <f>SOFR3mo_PX[[#This Row],[Column1410]]</f>
        <v>98.844999999999999</v>
      </c>
      <c r="BBG11">
        <f>SOFR3mo_PX[[#This Row],[Column1411]]</f>
        <v>98.88</v>
      </c>
      <c r="BBH11">
        <f>SOFR3mo_PX[[#This Row],[Column1412]]</f>
        <v>98.795000000000002</v>
      </c>
      <c r="BBI11">
        <f>SOFR3mo_PX[[#This Row],[Column1413]]</f>
        <v>98.734999999999999</v>
      </c>
      <c r="BBJ11">
        <f>SOFR3mo_PX[[#This Row],[Column1414]]</f>
        <v>98.715000000000003</v>
      </c>
      <c r="BBK11">
        <f>SOFR3mo_PX[[#This Row],[Column1415]]</f>
        <v>98.7</v>
      </c>
      <c r="BBL11">
        <f>SOFR3mo_PX[[#This Row],[Column1416]]</f>
        <v>98.644999999999996</v>
      </c>
      <c r="BBM11">
        <f>SOFR3mo_PX[[#This Row],[Column1417]]</f>
        <v>98.644999999999996</v>
      </c>
      <c r="BBN11">
        <f>SOFR3mo_PX[[#This Row],[Column1418]]</f>
        <v>98.66</v>
      </c>
      <c r="BBO11">
        <f>SOFR3mo_PX[[#This Row],[Column1419]]</f>
        <v>98.67</v>
      </c>
      <c r="BBP11">
        <f>SOFR3mo_PX[[#This Row],[Column1420]]</f>
        <v>98.66</v>
      </c>
      <c r="BBQ11">
        <f>SOFR3mo_PX[[#This Row],[Column1421]]</f>
        <v>98.644999999999996</v>
      </c>
      <c r="BBR11">
        <f>SOFR3mo_PX[[#This Row],[Column1422]]</f>
        <v>98.655000000000001</v>
      </c>
      <c r="BBS11">
        <f>SOFR3mo_PX[[#This Row],[Column1423]]</f>
        <v>98.64</v>
      </c>
      <c r="BBT11">
        <f>SOFR3mo_PX[[#This Row],[Column1424]]</f>
        <v>98.635000000000005</v>
      </c>
      <c r="BBU11">
        <f>SOFR3mo_PX[[#This Row],[Column1425]]</f>
        <v>98.68</v>
      </c>
      <c r="BBV11">
        <f>SOFR3mo_PX[[#This Row],[Column1426]]</f>
        <v>98.69</v>
      </c>
      <c r="BBW11">
        <f>SOFR3mo_PX[[#This Row],[Column1427]]</f>
        <v>98.694999999999993</v>
      </c>
      <c r="BBX11">
        <f>SOFR3mo_PX[[#This Row],[Column1428]]</f>
        <v>98.61</v>
      </c>
      <c r="BBY11">
        <f>SOFR3mo_PX[[#This Row],[Column1429]]</f>
        <v>98.605000000000004</v>
      </c>
      <c r="BBZ11">
        <f>SOFR3mo_PX[[#This Row],[Column1430]]</f>
        <v>98.605000000000004</v>
      </c>
      <c r="BCA11">
        <f>SOFR3mo_PX[[#This Row],[Column1431]]</f>
        <v>98.61</v>
      </c>
      <c r="BCB11">
        <f>SOFR3mo_PX[[#This Row],[Column1432]]</f>
        <v>98.61</v>
      </c>
      <c r="BCC11">
        <f>SOFR3mo_PX[[#This Row],[Column1433]]</f>
        <v>98.57</v>
      </c>
      <c r="BCD11">
        <f>SOFR3mo_PX[[#This Row],[Column1434]]</f>
        <v>98.57</v>
      </c>
      <c r="BCE11">
        <f>SOFR3mo_PX[[#This Row],[Column1435]]</f>
        <v>98.57</v>
      </c>
      <c r="BCF11">
        <f>SOFR3mo_PX[[#This Row],[Column1436]]</f>
        <v>98.55</v>
      </c>
      <c r="BCG11">
        <f>SOFR3mo_PX[[#This Row],[Column1437]]</f>
        <v>98.59</v>
      </c>
      <c r="BCH11">
        <f>SOFR3mo_PX[[#This Row],[Column1438]]</f>
        <v>98.605000000000004</v>
      </c>
      <c r="BCI11">
        <f>SOFR3mo_PX[[#This Row],[Column1439]]</f>
        <v>98.58</v>
      </c>
      <c r="BCJ11">
        <f>SOFR3mo_PX[[#This Row],[Column1440]]</f>
        <v>98.605000000000004</v>
      </c>
      <c r="BCK11">
        <f>SOFR3mo_PX[[#This Row],[Column1441]]</f>
        <v>98.605000000000004</v>
      </c>
      <c r="BCL11">
        <f>SOFR3mo_PX[[#This Row],[Column1442]]</f>
        <v>98.68</v>
      </c>
      <c r="BCM11">
        <f>SOFR3mo_PX[[#This Row],[Column1443]]</f>
        <v>98.6</v>
      </c>
      <c r="BCN11">
        <f>SOFR3mo_PX[[#This Row],[Column1444]]</f>
        <v>98.685000000000002</v>
      </c>
      <c r="BCO11">
        <f>SOFR3mo_PX[[#This Row],[Column1445]]</f>
        <v>98.644999999999996</v>
      </c>
      <c r="BCP11">
        <f>SOFR3mo_PX[[#This Row],[Column1446]]</f>
        <v>98.66</v>
      </c>
      <c r="BCQ11">
        <f>SOFR3mo_PX[[#This Row],[Column1447]]</f>
        <v>98.665000000000006</v>
      </c>
      <c r="BCR11">
        <f>SOFR3mo_PX[[#This Row],[Column1448]]</f>
        <v>98.724999999999994</v>
      </c>
      <c r="BCS11">
        <f>SOFR3mo_PX[[#This Row],[Column1449]]</f>
        <v>98.74</v>
      </c>
      <c r="BCT11">
        <f>SOFR3mo_PX[[#This Row],[Column1450]]</f>
        <v>98.814999999999998</v>
      </c>
      <c r="BCU11">
        <f>SOFR3mo_PX[[#This Row],[Column1451]]</f>
        <v>98.694999999999993</v>
      </c>
      <c r="BCV11">
        <f>SOFR3mo_PX[[#This Row],[Column1452]]</f>
        <v>98.73</v>
      </c>
      <c r="BCW11">
        <f>SOFR3mo_PX[[#This Row],[Column1453]]</f>
        <v>98.72</v>
      </c>
      <c r="BCX11">
        <f>SOFR3mo_PX[[#This Row],[Column1454]]</f>
        <v>98.72</v>
      </c>
      <c r="BCY11">
        <f>SOFR3mo_PX[[#This Row],[Column1455]]</f>
        <v>98.76</v>
      </c>
      <c r="BCZ11">
        <f>SOFR3mo_PX[[#This Row],[Column1456]]</f>
        <v>98.75</v>
      </c>
      <c r="BDA11">
        <f>SOFR3mo_PX[[#This Row],[Column1457]]</f>
        <v>98.734999999999999</v>
      </c>
      <c r="BDB11">
        <f>SOFR3mo_PX[[#This Row],[Column1458]]</f>
        <v>98.754999999999995</v>
      </c>
      <c r="BDC11">
        <f>SOFR3mo_PX[[#This Row],[Column1459]]</f>
        <v>98.784999999999997</v>
      </c>
      <c r="BDD11">
        <f>SOFR3mo_PX[[#This Row],[Column1460]]</f>
        <v>98.75</v>
      </c>
      <c r="BDE11">
        <f>SOFR3mo_PX[[#This Row],[Column1461]]</f>
        <v>98.724999999999994</v>
      </c>
      <c r="BDF11">
        <f>SOFR3mo_PX[[#This Row],[Column1462]]</f>
        <v>98.7</v>
      </c>
      <c r="BDG11">
        <f>SOFR3mo_PX[[#This Row],[Column1463]]</f>
        <v>98.71</v>
      </c>
      <c r="BDH11">
        <f>SOFR3mo_PX[[#This Row],[Column1464]]</f>
        <v>98.66</v>
      </c>
      <c r="BDI11">
        <f>SOFR3mo_PX[[#This Row],[Column1465]]</f>
        <v>98.61</v>
      </c>
      <c r="BDJ11">
        <f>SOFR3mo_PX[[#This Row],[Column1466]]</f>
        <v>98.575000000000003</v>
      </c>
      <c r="BDK11">
        <f>SOFR3mo_PX[[#This Row],[Column1467]]</f>
        <v>98.584999999999994</v>
      </c>
      <c r="BDL11">
        <f>SOFR3mo_PX[[#This Row],[Column1468]]</f>
        <v>98.57</v>
      </c>
      <c r="BDM11">
        <f>SOFR3mo_PX[[#This Row],[Column1469]]</f>
        <v>98.674999999999997</v>
      </c>
      <c r="BDN11">
        <f>SOFR3mo_PX[[#This Row],[Column1470]]</f>
        <v>98.644999999999996</v>
      </c>
      <c r="BDO11">
        <f>SOFR3mo_PX[[#This Row],[Column1471]]</f>
        <v>98.704999999999998</v>
      </c>
      <c r="BDP11">
        <f>SOFR3mo_PX[[#This Row],[Column1472]]</f>
        <v>98.754999999999995</v>
      </c>
      <c r="BDQ11">
        <f>SOFR3mo_PX[[#This Row],[Column1473]]</f>
        <v>98.825000000000003</v>
      </c>
      <c r="BDR11">
        <f>SOFR3mo_PX[[#This Row],[Column1474]]</f>
        <v>98.7</v>
      </c>
      <c r="BDS11">
        <f>SOFR3mo_PX[[#This Row],[Column1475]]</f>
        <v>98.68</v>
      </c>
      <c r="BDT11">
        <f>SOFR3mo_PX[[#This Row],[Column1476]]</f>
        <v>98.685000000000002</v>
      </c>
      <c r="BDU11">
        <f>SOFR3mo_PX[[#This Row],[Column1477]]</f>
        <v>98.715000000000003</v>
      </c>
      <c r="BDV11">
        <f>SOFR3mo_PX[[#This Row],[Column1478]]</f>
        <v>98.76</v>
      </c>
      <c r="BDW11">
        <f>SOFR3mo_PX[[#This Row],[Column1479]]</f>
        <v>98.77</v>
      </c>
      <c r="BDX11">
        <f>SOFR3mo_PX[[#This Row],[Column1480]]</f>
        <v>98.75</v>
      </c>
      <c r="BDY11">
        <f>SOFR3mo_PX[[#This Row],[Column1481]]</f>
        <v>98.724999999999994</v>
      </c>
      <c r="BDZ11">
        <f>SOFR3mo_PX[[#This Row],[Column1482]]</f>
        <v>98.765000000000001</v>
      </c>
      <c r="BEA11">
        <f>SOFR3mo_PX[[#This Row],[Column1483]]</f>
        <v>98.745000000000005</v>
      </c>
      <c r="BEB11">
        <f>SOFR3mo_PX[[#This Row],[Column1484]]</f>
        <v>98.77</v>
      </c>
      <c r="BEC11">
        <f>SOFR3mo_PX[[#This Row],[Column1485]]</f>
        <v>98.73</v>
      </c>
      <c r="BED11">
        <f>SOFR3mo_PX[[#This Row],[Column1486]]</f>
        <v>98.78</v>
      </c>
      <c r="BEE11">
        <f>SOFR3mo_PX[[#This Row],[Column1487]]</f>
        <v>98.76</v>
      </c>
      <c r="BEF11">
        <f>SOFR3mo_PX[[#This Row],[Column1488]]</f>
        <v>98.89</v>
      </c>
      <c r="BEG11">
        <f>SOFR3mo_PX[[#This Row],[Column1489]]</f>
        <v>98.954999999999998</v>
      </c>
      <c r="BEH11">
        <f>SOFR3mo_PX[[#This Row],[Column1490]]</f>
        <v>99.015000000000001</v>
      </c>
      <c r="BEI11">
        <f>SOFR3mo_PX[[#This Row],[Column1491]]</f>
        <v>98.965000000000003</v>
      </c>
      <c r="BEJ11">
        <f>SOFR3mo_PX[[#This Row],[Column1492]]</f>
        <v>99.034999999999997</v>
      </c>
      <c r="BEK11">
        <f>SOFR3mo_PX[[#This Row],[Column1493]]</f>
        <v>99.045000000000002</v>
      </c>
      <c r="BEL11">
        <f>SOFR3mo_PX[[#This Row],[Column1494]]</f>
        <v>98.944999999999993</v>
      </c>
      <c r="BEM11">
        <f>SOFR3mo_PX[[#This Row],[Column1495]]</f>
        <v>98.87</v>
      </c>
      <c r="BEN11">
        <f>SOFR3mo_PX[[#This Row],[Column1496]]</f>
        <v>98.8</v>
      </c>
      <c r="BEO11">
        <f>SOFR3mo_PX[[#This Row],[Column1497]]</f>
        <v>98.81</v>
      </c>
      <c r="BEP11">
        <f>SOFR3mo_PX[[#This Row],[Column1498]]</f>
        <v>98.8</v>
      </c>
      <c r="BEQ11">
        <f>SOFR3mo_PX[[#This Row],[Column1499]]</f>
        <v>98.784999999999997</v>
      </c>
      <c r="BER11">
        <f>SOFR3mo_PX[[#This Row],[Column1500]]</f>
        <v>98.885000000000005</v>
      </c>
      <c r="BES11">
        <f>SOFR3mo_PX[[#This Row],[Column1501]]</f>
        <v>98.79</v>
      </c>
      <c r="BET11">
        <f>SOFR3mo_PX[[#This Row],[Column1502]]</f>
        <v>98.75</v>
      </c>
      <c r="BEU11">
        <f>SOFR3mo_PX[[#This Row],[Column1503]]</f>
        <v>98.765000000000001</v>
      </c>
      <c r="BEV11">
        <f>SOFR3mo_PX[[#This Row],[Column1504]]</f>
        <v>98.73</v>
      </c>
      <c r="BEW11">
        <f>SOFR3mo_PX[[#This Row],[Column1505]]</f>
        <v>98.734999999999999</v>
      </c>
      <c r="BEX11">
        <f>SOFR3mo_PX[[#This Row],[Column1506]]</f>
        <v>98.694999999999993</v>
      </c>
      <c r="BEY11">
        <f>SOFR3mo_PX[[#This Row],[Column1507]]</f>
        <v>98.635000000000005</v>
      </c>
      <c r="BEZ11">
        <f>SOFR3mo_PX[[#This Row],[Column1508]]</f>
        <v>98.73</v>
      </c>
      <c r="BFA11">
        <f>SOFR3mo_PX[[#This Row],[Column1509]]</f>
        <v>98.814999999999998</v>
      </c>
      <c r="BFB11">
        <f>SOFR3mo_PX[[#This Row],[Column1510]]</f>
        <v>98.84</v>
      </c>
      <c r="BFC11">
        <f>SOFR3mo_PX[[#This Row],[Column1511]]</f>
        <v>98.944999999999993</v>
      </c>
      <c r="BFD11">
        <f>SOFR3mo_PX[[#This Row],[Column1512]]</f>
        <v>99.02</v>
      </c>
      <c r="BFE11">
        <f>SOFR3mo_PX[[#This Row],[Column1513]]</f>
        <v>99.025000000000006</v>
      </c>
      <c r="BFF11">
        <f>SOFR3mo_PX[[#This Row],[Column1514]]</f>
        <v>99.155000000000001</v>
      </c>
      <c r="BFG11">
        <f>SOFR3mo_PX[[#This Row],[Column1515]]</f>
        <v>99.114999999999995</v>
      </c>
      <c r="BFH11">
        <f>SOFR3mo_PX[[#This Row],[Column1516]]</f>
        <v>99.034999999999997</v>
      </c>
      <c r="BFI11">
        <f>SOFR3mo_PX[[#This Row],[Column1517]]</f>
        <v>99.034999999999997</v>
      </c>
      <c r="BFJ11">
        <f>SOFR3mo_PX[[#This Row],[Column1518]]</f>
        <v>99.01</v>
      </c>
      <c r="BFK11">
        <f>SOFR3mo_PX[[#This Row],[Column1519]]</f>
        <v>99.05</v>
      </c>
      <c r="BFL11">
        <f>SOFR3mo_PX[[#This Row],[Column1520]]</f>
        <v>99.004999999999995</v>
      </c>
      <c r="BFM11">
        <f>SOFR3mo_PX[[#This Row],[Column1521]]</f>
        <v>98.96</v>
      </c>
      <c r="BFN11">
        <f>SOFR3mo_PX[[#This Row],[Column1522]]</f>
        <v>98.984999999999999</v>
      </c>
      <c r="BFO11">
        <f>SOFR3mo_PX[[#This Row],[Column1523]]</f>
        <v>98.88</v>
      </c>
      <c r="BFP11">
        <f>SOFR3mo_PX[[#This Row],[Column1524]]</f>
        <v>98.91</v>
      </c>
      <c r="BFQ11">
        <f>SOFR3mo_PX[[#This Row],[Column1525]]</f>
        <v>98.944999999999993</v>
      </c>
      <c r="BFR11">
        <f>SOFR3mo_PX[[#This Row],[Column1526]]</f>
        <v>98.905000000000001</v>
      </c>
      <c r="BFS11">
        <f>SOFR3mo_PX[[#This Row],[Column1527]]</f>
        <v>98.965000000000003</v>
      </c>
      <c r="BFT11">
        <f>SOFR3mo_PX[[#This Row],[Column1528]]</f>
        <v>98.96</v>
      </c>
      <c r="BFU11">
        <f>SOFR3mo_PX[[#This Row],[Column1529]]</f>
        <v>98.89</v>
      </c>
      <c r="BFV11">
        <f>SOFR3mo_PX[[#This Row],[Column1530]]</f>
        <v>98.805000000000007</v>
      </c>
      <c r="BFW11">
        <f>SOFR3mo_PX[[#This Row],[Column1531]]</f>
        <v>98.91</v>
      </c>
      <c r="BFX11">
        <f>SOFR3mo_PX[[#This Row],[Column1532]]</f>
        <v>98.83</v>
      </c>
      <c r="BFY11">
        <f>SOFR3mo_PX[[#This Row],[Column1533]]</f>
        <v>98.875</v>
      </c>
      <c r="BFZ11">
        <f>SOFR3mo_PX[[#This Row],[Column1534]]</f>
        <v>98.95</v>
      </c>
      <c r="BGA11">
        <f>SOFR3mo_PX[[#This Row],[Column1535]]</f>
        <v>98.86</v>
      </c>
      <c r="BGB11">
        <f>SOFR3mo_PX[[#This Row],[Column1536]]</f>
        <v>98.924999999999997</v>
      </c>
      <c r="BGC11">
        <f>SOFR3mo_PX[[#This Row],[Column1537]]</f>
        <v>98.71</v>
      </c>
      <c r="BGD11">
        <f>SOFR3mo_PX[[#This Row],[Column1538]]</f>
        <v>98.69</v>
      </c>
      <c r="BGE11">
        <f>SOFR3mo_PX[[#This Row],[Column1539]]</f>
        <v>98.5</v>
      </c>
      <c r="BGF11">
        <f>SOFR3mo_PX[[#This Row],[Column1540]]</f>
        <v>98.55</v>
      </c>
      <c r="BGG11">
        <f>SOFR3mo_PX[[#This Row],[Column1541]]</f>
        <v>98.56</v>
      </c>
      <c r="BGH11">
        <f>SOFR3mo_PX[[#This Row],[Column1542]]</f>
        <v>98.545000000000002</v>
      </c>
      <c r="BGI11">
        <f>SOFR3mo_PX[[#This Row],[Column1543]]</f>
        <v>98.57</v>
      </c>
      <c r="BGJ11">
        <f>SOFR3mo_PX[[#This Row],[Column1544]]</f>
        <v>98.594999999999999</v>
      </c>
      <c r="BGK11">
        <f>SOFR3mo_PX[[#This Row],[Column1545]]</f>
        <v>98.59</v>
      </c>
      <c r="BGL11">
        <f>SOFR3mo_PX[[#This Row],[Column1546]]</f>
        <v>98.62</v>
      </c>
      <c r="BGM11">
        <f>SOFR3mo_PX[[#This Row],[Column1547]]</f>
        <v>98.6</v>
      </c>
      <c r="BGN11">
        <f>SOFR3mo_PX[[#This Row],[Column1548]]</f>
        <v>98.65</v>
      </c>
      <c r="BGO11">
        <f>SOFR3mo_PX[[#This Row],[Column1549]]</f>
        <v>98.564999999999998</v>
      </c>
      <c r="BGP11">
        <f>SOFR3mo_PX[[#This Row],[Column1550]]</f>
        <v>98.51</v>
      </c>
      <c r="BGQ11">
        <f>SOFR3mo_PX[[#This Row],[Column1551]]</f>
        <v>98.54</v>
      </c>
      <c r="BGR11">
        <f>SOFR3mo_PX[[#This Row],[Column1552]]</f>
        <v>98.53</v>
      </c>
      <c r="BGS11">
        <f>SOFR3mo_PX[[#This Row],[Column1553]]</f>
        <v>98.515000000000001</v>
      </c>
      <c r="BGT11">
        <f>SOFR3mo_PX[[#This Row],[Column1554]]</f>
        <v>98.56</v>
      </c>
      <c r="BGU11">
        <f>SOFR3mo_PX[[#This Row],[Column1555]]</f>
        <v>98.52</v>
      </c>
      <c r="BGV11">
        <f>SOFR3mo_PX[[#This Row],[Column1556]]</f>
        <v>98.54</v>
      </c>
      <c r="BGW11">
        <f>SOFR3mo_PX[[#This Row],[Column1557]]</f>
        <v>98.534999999999997</v>
      </c>
      <c r="BGX11">
        <f>SOFR3mo_PX[[#This Row],[Column1558]]</f>
        <v>98.63</v>
      </c>
      <c r="BGY11">
        <f>SOFR3mo_PX[[#This Row],[Column1559]]</f>
        <v>98.63</v>
      </c>
      <c r="BGZ11">
        <f>SOFR3mo_PX[[#This Row],[Column1560]]</f>
        <v>98.625</v>
      </c>
      <c r="BHA11">
        <f>SOFR3mo_PX[[#This Row],[Column1561]]</f>
        <v>98.575000000000003</v>
      </c>
      <c r="BHB11">
        <f>SOFR3mo_PX[[#This Row],[Column1562]]</f>
        <v>98.625</v>
      </c>
      <c r="BHC11">
        <f>SOFR3mo_PX[[#This Row],[Column1563]]</f>
        <v>98.64</v>
      </c>
      <c r="BHD11">
        <f>SOFR3mo_PX[[#This Row],[Column1564]]</f>
        <v>98.61</v>
      </c>
      <c r="BHE11">
        <f>SOFR3mo_PX[[#This Row],[Column1565]]</f>
        <v>98.694999999999993</v>
      </c>
      <c r="BHF11">
        <f>SOFR3mo_PX[[#This Row],[Column1566]]</f>
        <v>98.67</v>
      </c>
      <c r="BHG11">
        <f>SOFR3mo_PX[[#This Row],[Column1567]]</f>
        <v>98.62</v>
      </c>
      <c r="BHH11">
        <f>SOFR3mo_PX[[#This Row],[Column1568]]</f>
        <v>98.674999999999997</v>
      </c>
      <c r="BHI11">
        <f>SOFR3mo_PX[[#This Row],[Column1569]]</f>
        <v>98.68</v>
      </c>
      <c r="BHJ11">
        <f>SOFR3mo_PX[[#This Row],[Column1570]]</f>
        <v>98.59</v>
      </c>
      <c r="BHK11">
        <f>SOFR3mo_PX[[#This Row],[Column1571]]</f>
        <v>98.594999999999999</v>
      </c>
      <c r="BHL11">
        <f>SOFR3mo_PX[[#This Row],[Column1572]]</f>
        <v>98.62</v>
      </c>
      <c r="BHM11">
        <f>SOFR3mo_PX[[#This Row],[Column1573]]</f>
        <v>98.625</v>
      </c>
      <c r="BHN11">
        <f>SOFR3mo_PX[[#This Row],[Column1574]]</f>
        <v>98.555000000000007</v>
      </c>
      <c r="BHO11">
        <f>SOFR3mo_PX[[#This Row],[Column1575]]</f>
        <v>98.504999999999995</v>
      </c>
      <c r="BHP11">
        <f>SOFR3mo_PX[[#This Row],[Column1576]]</f>
        <v>98.504999999999995</v>
      </c>
      <c r="BHQ11">
        <f>SOFR3mo_PX[[#This Row],[Column1577]]</f>
        <v>98.555000000000007</v>
      </c>
      <c r="BHR11">
        <f>SOFR3mo_PX[[#This Row],[Column1578]]</f>
        <v>98.54</v>
      </c>
      <c r="BHS11">
        <f>SOFR3mo_PX[[#This Row],[Column1579]]</f>
        <v>98.614999999999995</v>
      </c>
      <c r="BHT11">
        <f>SOFR3mo_PX[[#This Row],[Column1580]]</f>
        <v>98.594999999999999</v>
      </c>
      <c r="BHU11">
        <f>SOFR3mo_PX[[#This Row],[Column1581]]</f>
        <v>98.64</v>
      </c>
      <c r="BHV11">
        <f>SOFR3mo_PX[[#This Row],[Column1582]]</f>
        <v>98.534999999999997</v>
      </c>
      <c r="BHW11">
        <f>SOFR3mo_PX[[#This Row],[Column1583]]</f>
        <v>98.39</v>
      </c>
      <c r="BHX11">
        <f>SOFR3mo_PX[[#This Row],[Column1584]]</f>
        <v>98.394999999999996</v>
      </c>
      <c r="BHY11">
        <f>SOFR3mo_PX[[#This Row],[Column1585]]</f>
        <v>98.355000000000004</v>
      </c>
      <c r="BHZ11">
        <f>SOFR3mo_PX[[#This Row],[Column1586]]</f>
        <v>98.29</v>
      </c>
      <c r="BIA11">
        <f>SOFR3mo_PX[[#This Row],[Column1587]]</f>
        <v>98.29</v>
      </c>
      <c r="BIB11">
        <f>SOFR3mo_PX[[#This Row],[Column1588]]</f>
        <v>98.32</v>
      </c>
      <c r="BIC11">
        <f>SOFR3mo_PX[[#This Row],[Column1589]]</f>
        <v>98.185000000000002</v>
      </c>
      <c r="BID11">
        <f>SOFR3mo_PX[[#This Row],[Column1590]]</f>
        <v>98.15</v>
      </c>
      <c r="BIE11">
        <f>SOFR3mo_PX[[#This Row],[Column1591]]</f>
        <v>98.18</v>
      </c>
      <c r="BIF11">
        <f>SOFR3mo_PX[[#This Row],[Column1592]]</f>
        <v>98.204999999999998</v>
      </c>
      <c r="BIG11">
        <f>SOFR3mo_PX[[#This Row],[Column1593]]</f>
        <v>98.2</v>
      </c>
      <c r="BIH11">
        <f>SOFR3mo_PX[[#This Row],[Column1594]]</f>
        <v>98.245000000000005</v>
      </c>
      <c r="BII11">
        <f>SOFR3mo_PX[[#This Row],[Column1595]]</f>
        <v>98.19</v>
      </c>
      <c r="BIJ11">
        <f>SOFR3mo_PX[[#This Row],[Column1596]]</f>
        <v>98.2</v>
      </c>
      <c r="BIK11">
        <f>SOFR3mo_PX[[#This Row],[Column1597]]</f>
        <v>98.114999999999995</v>
      </c>
      <c r="BIL11">
        <f>SOFR3mo_PX[[#This Row],[Column1598]]</f>
        <v>98.1</v>
      </c>
      <c r="BIM11">
        <f>SOFR3mo_PX[[#This Row],[Column1599]]</f>
        <v>98.064999999999998</v>
      </c>
      <c r="BIN11">
        <f>SOFR3mo_PX[[#This Row],[Column1600]]</f>
        <v>98.094999999999999</v>
      </c>
      <c r="BIO11">
        <f>SOFR3mo_PX[[#This Row],[Column1601]]</f>
        <v>98.045000000000002</v>
      </c>
      <c r="BIP11">
        <f>SOFR3mo_PX[[#This Row],[Column1602]]</f>
        <v>98.004999999999995</v>
      </c>
      <c r="BIQ11">
        <f>SOFR3mo_PX[[#This Row],[Column1603]]</f>
        <v>98</v>
      </c>
      <c r="BIR11">
        <f>SOFR3mo_PX[[#This Row],[Column1604]]</f>
        <v>98.06</v>
      </c>
      <c r="BIS11">
        <f>SOFR3mo_PX[[#This Row],[Column1605]]</f>
        <v>98.1</v>
      </c>
      <c r="BIT11">
        <f>SOFR3mo_PX[[#This Row],[Column1606]]</f>
        <v>98.07</v>
      </c>
      <c r="BIU11">
        <f>SOFR3mo_PX[[#This Row],[Column1607]]</f>
        <v>98.075000000000003</v>
      </c>
      <c r="BIV11">
        <f>SOFR3mo_PX[[#This Row],[Column1608]]</f>
        <v>98.03</v>
      </c>
      <c r="BIW11">
        <f>SOFR3mo_PX[[#This Row],[Column1609]]</f>
        <v>98.045000000000002</v>
      </c>
      <c r="BIX11">
        <f>SOFR3mo_PX[[#This Row],[Column1610]]</f>
        <v>97.99</v>
      </c>
      <c r="BIY11">
        <f>SOFR3mo_PX[[#This Row],[Column1611]]</f>
        <v>97.97</v>
      </c>
      <c r="BIZ11">
        <f>SOFR3mo_PX[[#This Row],[Column1612]]</f>
        <v>97.97</v>
      </c>
      <c r="BJA11">
        <f>SOFR3mo_PX[[#This Row],[Column1613]]</f>
        <v>97.97</v>
      </c>
      <c r="BJB11">
        <f>SOFR3mo_PX[[#This Row],[Column1614]]</f>
        <v>97.944999999999993</v>
      </c>
      <c r="BJC11">
        <f>SOFR3mo_PX[[#This Row],[Column1615]]</f>
        <v>97.94</v>
      </c>
      <c r="BJD11">
        <f>SOFR3mo_PX[[#This Row],[Column1616]]</f>
        <v>97.97</v>
      </c>
      <c r="BJE11">
        <f>SOFR3mo_PX[[#This Row],[Column1617]]</f>
        <v>97.965000000000003</v>
      </c>
      <c r="BJF11">
        <f>SOFR3mo_PX[[#This Row],[Column1618]]</f>
        <v>98.04</v>
      </c>
      <c r="BJG11">
        <f>SOFR3mo_PX[[#This Row],[Column1619]]</f>
        <v>98.075000000000003</v>
      </c>
      <c r="BJH11">
        <f>SOFR3mo_PX[[#This Row],[Column1620]]</f>
        <v>98.04</v>
      </c>
      <c r="BJI11">
        <f>SOFR3mo_PX[[#This Row],[Column1621]]</f>
        <v>98.01</v>
      </c>
      <c r="BJJ11">
        <f>SOFR3mo_PX[[#This Row],[Column1622]]</f>
        <v>98.02</v>
      </c>
      <c r="BJK11">
        <f>SOFR3mo_PX[[#This Row],[Column1623]]</f>
        <v>98.03</v>
      </c>
      <c r="BJL11">
        <f>SOFR3mo_PX[[#This Row],[Column1624]]</f>
        <v>98.04</v>
      </c>
      <c r="BJM11">
        <f>SOFR3mo_PX[[#This Row],[Column1625]]</f>
        <v>98.06</v>
      </c>
      <c r="BJN11">
        <f>SOFR3mo_PX[[#This Row],[Column1626]]</f>
        <v>98.05</v>
      </c>
      <c r="BJO11">
        <f>SOFR3mo_PX[[#This Row],[Column1627]]</f>
        <v>98.13</v>
      </c>
      <c r="BJP11">
        <f>SOFR3mo_PX[[#This Row],[Column1628]]</f>
        <v>98.204999999999998</v>
      </c>
      <c r="BJQ11">
        <f>SOFR3mo_PX[[#This Row],[Column1629]]</f>
        <v>98.24</v>
      </c>
      <c r="BJR11">
        <f>SOFR3mo_PX[[#This Row],[Column1630]]</f>
        <v>98.185000000000002</v>
      </c>
      <c r="BJS11">
        <f>SOFR3mo_PX[[#This Row],[Column1631]]</f>
        <v>98.215000000000003</v>
      </c>
      <c r="BJT11">
        <f>SOFR3mo_PX[[#This Row],[Column1632]]</f>
        <v>98.1</v>
      </c>
      <c r="BJU11">
        <f>SOFR3mo_PX[[#This Row],[Column1633]]</f>
        <v>97.98</v>
      </c>
      <c r="BJV11">
        <f>SOFR3mo_PX[[#This Row],[Column1634]]</f>
        <v>97.96</v>
      </c>
      <c r="BJW11">
        <f>SOFR3mo_PX[[#This Row],[Column1635]]</f>
        <v>97.834999999999994</v>
      </c>
      <c r="BJX11">
        <f>SOFR3mo_PX[[#This Row],[Column1636]]</f>
        <v>97.85</v>
      </c>
      <c r="BJY11">
        <f>SOFR3mo_PX[[#This Row],[Column1637]]</f>
        <v>97.855000000000004</v>
      </c>
      <c r="BJZ11">
        <f>SOFR3mo_PX[[#This Row],[Column1638]]</f>
        <v>97.825000000000003</v>
      </c>
      <c r="BKA11">
        <f>SOFR3mo_PX[[#This Row],[Column1639]]</f>
        <v>97.83</v>
      </c>
      <c r="BKB11">
        <f>SOFR3mo_PX[[#This Row],[Column1640]]</f>
        <v>97.82</v>
      </c>
      <c r="BKC11">
        <f>SOFR3mo_PX[[#This Row],[Column1641]]</f>
        <v>97.79</v>
      </c>
      <c r="BKD11">
        <f>SOFR3mo_PX[[#This Row],[Column1642]]</f>
        <v>97.8</v>
      </c>
      <c r="BKE11">
        <f>SOFR3mo_PX[[#This Row],[Column1643]]</f>
        <v>97.784999999999997</v>
      </c>
      <c r="BKF11">
        <f>SOFR3mo_PX[[#This Row],[Column1644]]</f>
        <v>97.715000000000003</v>
      </c>
      <c r="BKG11">
        <f>SOFR3mo_PX[[#This Row],[Column1645]]</f>
        <v>97.68</v>
      </c>
      <c r="BKH11">
        <f>SOFR3mo_PX[[#This Row],[Column1646]]</f>
        <v>97.685000000000002</v>
      </c>
      <c r="BKI11">
        <f>SOFR3mo_PX[[#This Row],[Column1647]]</f>
        <v>97.674999999999997</v>
      </c>
      <c r="BKJ11">
        <f>SOFR3mo_PX[[#This Row],[Column1648]]</f>
        <v>97.745000000000005</v>
      </c>
      <c r="BKK11">
        <f>SOFR3mo_PX[[#This Row],[Column1649]]</f>
        <v>97.765000000000001</v>
      </c>
      <c r="BKL11">
        <f>SOFR3mo_PX[[#This Row],[Column1650]]</f>
        <v>97.79</v>
      </c>
      <c r="BKM11">
        <f>SOFR3mo_PX[[#This Row],[Column1651]]</f>
        <v>97.76</v>
      </c>
      <c r="BKN11">
        <f>SOFR3mo_PX[[#This Row],[Column1652]]</f>
        <v>97.765000000000001</v>
      </c>
      <c r="BKO11">
        <f>SOFR3mo_PX[[#This Row],[Column1653]]</f>
        <v>97.72</v>
      </c>
      <c r="BKP11">
        <f>SOFR3mo_PX[[#This Row],[Column1654]]</f>
        <v>97.76</v>
      </c>
      <c r="BKQ11">
        <f>SOFR3mo_PX[[#This Row],[Column1655]]</f>
        <v>97.754999999999995</v>
      </c>
      <c r="BKR11">
        <f>SOFR3mo_PX[[#This Row],[Column1656]]</f>
        <v>97.74</v>
      </c>
      <c r="BKS11">
        <f>SOFR3mo_PX[[#This Row],[Column1657]]</f>
        <v>97.74</v>
      </c>
      <c r="BKT11">
        <f>SOFR3mo_PX[[#This Row],[Column1658]]</f>
        <v>97.75</v>
      </c>
      <c r="BKU11">
        <f>SOFR3mo_PX[[#This Row],[Column1659]]</f>
        <v>97.71</v>
      </c>
      <c r="BKV11">
        <f>SOFR3mo_PX[[#This Row],[Column1660]]</f>
        <v>97.77</v>
      </c>
      <c r="BKW11">
        <f>SOFR3mo_PX[[#This Row],[Column1661]]</f>
        <v>97.8</v>
      </c>
      <c r="BKX11">
        <f>SOFR3mo_PX[[#This Row],[Column1662]]</f>
        <v>97.825000000000003</v>
      </c>
      <c r="BKY11">
        <f>SOFR3mo_PX[[#This Row],[Column1663]]</f>
        <v>97.795000000000002</v>
      </c>
      <c r="BKZ11">
        <f>SOFR3mo_PX[[#This Row],[Column1664]]</f>
        <v>97.74</v>
      </c>
      <c r="BLA11">
        <f>SOFR3mo_PX[[#This Row],[Column1665]]</f>
        <v>97.73</v>
      </c>
      <c r="BLB11">
        <f>SOFR3mo_PX[[#This Row],[Column1666]]</f>
        <v>97.724999999999994</v>
      </c>
      <c r="BLC11">
        <f>SOFR3mo_PX[[#This Row],[Column1667]]</f>
        <v>97.745000000000005</v>
      </c>
      <c r="BLD11">
        <f>SOFR3mo_PX[[#This Row],[Column1668]]</f>
        <v>97.77</v>
      </c>
      <c r="BLE11">
        <f>SOFR3mo_PX[[#This Row],[Column1669]]</f>
        <v>97.7</v>
      </c>
      <c r="BLF11">
        <f>SOFR3mo_PX[[#This Row],[Column1670]]</f>
        <v>97.65</v>
      </c>
      <c r="BLG11">
        <f>SOFR3mo_PX[[#This Row],[Column1671]]</f>
        <v>97.644999999999996</v>
      </c>
      <c r="BLH11">
        <f>SOFR3mo_PX[[#This Row],[Column1672]]</f>
        <v>97.635000000000005</v>
      </c>
      <c r="BLI11">
        <f>SOFR3mo_PX[[#This Row],[Column1673]]</f>
        <v>97.66</v>
      </c>
      <c r="BLJ11">
        <f>SOFR3mo_PX[[#This Row],[Column1674]]</f>
        <v>97.644999999999996</v>
      </c>
      <c r="BLK11">
        <f>SOFR3mo_PX[[#This Row],[Column1675]]</f>
        <v>97.65</v>
      </c>
      <c r="BLL11">
        <f>SOFR3mo_PX[[#This Row],[Column1676]]</f>
        <v>97.61</v>
      </c>
      <c r="BLM11">
        <f>SOFR3mo_PX[[#This Row],[Column1677]]</f>
        <v>97.61</v>
      </c>
      <c r="BLN11">
        <f>SOFR3mo_PX[[#This Row],[Column1678]]</f>
        <v>97.68</v>
      </c>
      <c r="BLO11">
        <f>SOFR3mo_PX[[#This Row],[Column1679]]</f>
        <v>97.71</v>
      </c>
      <c r="BLP11">
        <f>SOFR3mo_PX[[#This Row],[Column1680]]</f>
        <v>97.734999999999999</v>
      </c>
      <c r="BLQ11">
        <f>SOFR3mo_PX[[#This Row],[Column1681]]</f>
        <v>97.724999999999994</v>
      </c>
      <c r="BLR11">
        <f>SOFR3mo_PX[[#This Row],[Column1682]]</f>
        <v>97.73</v>
      </c>
      <c r="BLS11">
        <f>SOFR3mo_PX[[#This Row],[Column1683]]</f>
        <v>97.715000000000003</v>
      </c>
      <c r="BLT11">
        <f>SOFR3mo_PX[[#This Row],[Column1684]]</f>
        <v>97.72</v>
      </c>
      <c r="BLU11">
        <f>SOFR3mo_PX[[#This Row],[Column1685]]</f>
        <v>97.71</v>
      </c>
      <c r="BLV11">
        <f>SOFR3mo_PX[[#This Row],[Column1686]]</f>
        <v>97.78</v>
      </c>
      <c r="BLW11">
        <f>SOFR3mo_PX[[#This Row],[Column1687]]</f>
        <v>97.825000000000003</v>
      </c>
      <c r="BLX11">
        <f>SOFR3mo_PX[[#This Row],[Column1688]]</f>
        <v>97.89</v>
      </c>
      <c r="BLY11">
        <f>SOFR3mo_PX[[#This Row],[Column1689]]</f>
        <v>97.704999999999998</v>
      </c>
      <c r="BLZ11">
        <f>SOFR3mo_PX[[#This Row],[Column1690]]</f>
        <v>97.715000000000003</v>
      </c>
      <c r="BMA11">
        <f>SOFR3mo_PX[[#This Row],[Column1691]]</f>
        <v>97.715000000000003</v>
      </c>
      <c r="BMB11">
        <f>SOFR3mo_PX[[#This Row],[Column1692]]</f>
        <v>97.71</v>
      </c>
      <c r="BMC11">
        <f>SOFR3mo_PX[[#This Row],[Column1693]]</f>
        <v>97.7</v>
      </c>
      <c r="BMD11">
        <f>SOFR3mo_PX[[#This Row],[Column1694]]</f>
        <v>97.644999999999996</v>
      </c>
      <c r="BME11">
        <f>SOFR3mo_PX[[#This Row],[Column1695]]</f>
        <v>97.62</v>
      </c>
      <c r="BMF11">
        <f>SOFR3mo_PX[[#This Row],[Column1696]]</f>
        <v>97.62</v>
      </c>
      <c r="BMG11">
        <f>SOFR3mo_PX[[#This Row],[Column1697]]</f>
        <v>97.56</v>
      </c>
      <c r="BMH11">
        <f>SOFR3mo_PX[[#This Row],[Column1698]]</f>
        <v>97.525000000000006</v>
      </c>
      <c r="BMI11">
        <f>SOFR3mo_PX[[#This Row],[Column1699]]</f>
        <v>97.515000000000001</v>
      </c>
      <c r="BMJ11">
        <f>SOFR3mo_PX[[#This Row],[Column1700]]</f>
        <v>97.515000000000001</v>
      </c>
      <c r="BMK11">
        <f>SOFR3mo_PX[[#This Row],[Column1701]]</f>
        <v>97.465000000000003</v>
      </c>
      <c r="BML11">
        <f>SOFR3mo_PX[[#This Row],[Column1702]]</f>
        <v>97.43</v>
      </c>
      <c r="BMM11">
        <f>SOFR3mo_PX[[#This Row],[Column1703]]</f>
        <v>97.4</v>
      </c>
      <c r="BMN11">
        <f>SOFR3mo_PX[[#This Row],[Column1704]]</f>
        <v>97.405000000000001</v>
      </c>
      <c r="BMO11">
        <f>SOFR3mo_PX[[#This Row],[Column1705]]</f>
        <v>97.44</v>
      </c>
      <c r="BMP11">
        <f>SOFR3mo_PX[[#This Row],[Column1706]]</f>
        <v>97.48</v>
      </c>
      <c r="BMQ11">
        <f>SOFR3mo_PX[[#This Row],[Column1707]]</f>
        <v>97.444999999999993</v>
      </c>
      <c r="BMR11">
        <f>SOFR3mo_PX[[#This Row],[Column1708]]</f>
        <v>97.405000000000001</v>
      </c>
      <c r="BMS11">
        <f>SOFR3mo_PX[[#This Row],[Column1709]]</f>
        <v>97.3</v>
      </c>
      <c r="BMT11">
        <f>SOFR3mo_PX[[#This Row],[Column1710]]</f>
        <v>97.3</v>
      </c>
      <c r="BMU11">
        <f>SOFR3mo_PX[[#This Row],[Column1711]]</f>
        <v>97.27</v>
      </c>
      <c r="BMV11">
        <f>SOFR3mo_PX[[#This Row],[Column1712]]</f>
        <v>97.29</v>
      </c>
      <c r="BMW11">
        <f>SOFR3mo_PX[[#This Row],[Column1713]]</f>
        <v>97.284999999999997</v>
      </c>
      <c r="BMX11">
        <f>SOFR3mo_PX[[#This Row],[Column1714]]</f>
        <v>97.28</v>
      </c>
      <c r="BMY11">
        <f>SOFR3mo_PX[[#This Row],[Column1715]]</f>
        <v>97.245000000000005</v>
      </c>
      <c r="BMZ11">
        <f>SOFR3mo_PX[[#This Row],[Column1716]]</f>
        <v>97.23</v>
      </c>
      <c r="BNA11">
        <f>SOFR3mo_PX[[#This Row],[Column1717]]</f>
        <v>97.24</v>
      </c>
      <c r="BNB11">
        <f>SOFR3mo_PX[[#This Row],[Column1718]]</f>
        <v>97.24</v>
      </c>
      <c r="BNC11">
        <f>SOFR3mo_PX[[#This Row],[Column1719]]</f>
        <v>97.24</v>
      </c>
      <c r="BND11">
        <f>SOFR3mo_PX[[#This Row],[Column1720]]</f>
        <v>97.24</v>
      </c>
      <c r="BNE11">
        <f>SOFR3mo_PX[[#This Row],[Column1721]]</f>
        <v>97.245000000000005</v>
      </c>
      <c r="BNF11">
        <f>SOFR3mo_PX[[#This Row],[Column1722]]</f>
        <v>97.21</v>
      </c>
      <c r="BNG11">
        <f>SOFR3mo_PX[[#This Row],[Column1723]]</f>
        <v>97.16</v>
      </c>
      <c r="BNH11">
        <f>SOFR3mo_PX[[#This Row],[Column1724]]</f>
        <v>97.15</v>
      </c>
      <c r="BNI11">
        <f>SOFR3mo_PX[[#This Row],[Column1725]]</f>
        <v>97.094999999999999</v>
      </c>
      <c r="BNJ11">
        <f>SOFR3mo_PX[[#This Row],[Column1726]]</f>
        <v>97.075000000000003</v>
      </c>
      <c r="BNK11">
        <f>SOFR3mo_PX[[#This Row],[Column1727]]</f>
        <v>97.055000000000007</v>
      </c>
      <c r="BNL11">
        <f>SOFR3mo_PX[[#This Row],[Column1728]]</f>
        <v>97.04</v>
      </c>
      <c r="BNM11">
        <f>SOFR3mo_PX[[#This Row],[Column1729]]</f>
        <v>97.075000000000003</v>
      </c>
      <c r="BNN11">
        <f>SOFR3mo_PX[[#This Row],[Column1730]]</f>
        <v>97.084999999999994</v>
      </c>
      <c r="BNO11">
        <f>SOFR3mo_PX[[#This Row],[Column1731]]</f>
        <v>97.094999999999999</v>
      </c>
      <c r="BNP11">
        <f>SOFR3mo_PX[[#This Row],[Column1732]]</f>
        <v>97.1</v>
      </c>
      <c r="BNQ11">
        <f>SOFR3mo_PX[[#This Row],[Column1733]]</f>
        <v>97.144999999999996</v>
      </c>
      <c r="BNR11">
        <f>SOFR3mo_PX[[#This Row],[Column1734]]</f>
        <v>97.135000000000005</v>
      </c>
      <c r="BNS11">
        <f>SOFR3mo_PX[[#This Row],[Column1735]]</f>
        <v>97.17</v>
      </c>
      <c r="BNT11">
        <f>SOFR3mo_PX[[#This Row],[Column1736]]</f>
        <v>97.17</v>
      </c>
      <c r="BNU11">
        <f>SOFR3mo_PX[[#This Row],[Column1737]]</f>
        <v>97.174999999999997</v>
      </c>
      <c r="BNV11">
        <f>SOFR3mo_PX[[#This Row],[Column1738]]</f>
        <v>97.105000000000004</v>
      </c>
      <c r="BNW11">
        <f>SOFR3mo_PX[[#This Row],[Column1739]]</f>
        <v>97.105000000000004</v>
      </c>
      <c r="BNX11">
        <f>SOFR3mo_PX[[#This Row],[Column1740]]</f>
        <v>97.075000000000003</v>
      </c>
      <c r="BNY11">
        <f>SOFR3mo_PX[[#This Row],[Column1741]]</f>
        <v>97.04</v>
      </c>
      <c r="BNZ11">
        <f>SOFR3mo_PX[[#This Row],[Column1742]]</f>
        <v>97.034999999999997</v>
      </c>
      <c r="BOA11">
        <f>SOFR3mo_PX[[#This Row],[Column1743]]</f>
        <v>97.055000000000007</v>
      </c>
      <c r="BOB11">
        <f>SOFR3mo_PX[[#This Row],[Column1744]]</f>
        <v>97.045000000000002</v>
      </c>
      <c r="BOC11">
        <f>SOFR3mo_PX[[#This Row],[Column1745]]</f>
        <v>97.045000000000002</v>
      </c>
      <c r="BOD11">
        <f>SOFR3mo_PX[[#This Row],[Column1746]]</f>
        <v>97.05</v>
      </c>
      <c r="BOE11">
        <f>SOFR3mo_PX[[#This Row],[Column1747]]</f>
        <v>97.06</v>
      </c>
      <c r="BOF11">
        <f>SOFR3mo_PX[[#This Row],[Column1748]]</f>
        <v>97.04</v>
      </c>
      <c r="BOG11">
        <f>SOFR3mo_PX[[#This Row],[Column1749]]</f>
        <v>96.99</v>
      </c>
      <c r="BOH11">
        <f>SOFR3mo_PX[[#This Row],[Column1750]]</f>
        <v>96.98</v>
      </c>
      <c r="BOI11">
        <f>SOFR3mo_PX[[#This Row],[Column1751]]</f>
        <v>96.984999999999999</v>
      </c>
      <c r="BOJ11">
        <f>SOFR3mo_PX[[#This Row],[Column1752]]</f>
        <v>96.99</v>
      </c>
      <c r="BOK11">
        <f>SOFR3mo_PX[[#This Row],[Column1753]]</f>
        <v>97.015000000000001</v>
      </c>
      <c r="BOL11">
        <f>SOFR3mo_PX[[#This Row],[Column1754]]</f>
        <v>97.05</v>
      </c>
      <c r="BOM11">
        <f>SOFR3mo_PX[[#This Row],[Column1755]]</f>
        <v>97.1</v>
      </c>
      <c r="BON11">
        <f>SOFR3mo_PX[[#This Row],[Column1756]]</f>
        <v>97.09</v>
      </c>
      <c r="BOO11">
        <f>SOFR3mo_PX[[#This Row],[Column1757]]</f>
        <v>97.094999999999999</v>
      </c>
      <c r="BOP11">
        <f>SOFR3mo_PX[[#This Row],[Column1758]]</f>
        <v>97.075000000000003</v>
      </c>
      <c r="BOQ11">
        <f>SOFR3mo_PX[[#This Row],[Column1759]]</f>
        <v>97.075000000000003</v>
      </c>
      <c r="BOR11">
        <f>SOFR3mo_PX[[#This Row],[Column1760]]</f>
        <v>97.064999999999998</v>
      </c>
      <c r="BOS11">
        <f>SOFR3mo_PX[[#This Row],[Column1761]]</f>
        <v>97.08</v>
      </c>
      <c r="BOT11">
        <f>SOFR3mo_PX[[#This Row],[Column1762]]</f>
        <v>97.084999999999994</v>
      </c>
      <c r="BOU11">
        <f>SOFR3mo_PX[[#This Row],[Column1763]]</f>
        <v>97.075000000000003</v>
      </c>
      <c r="BOV11">
        <f>SOFR3mo_PX[[#This Row],[Column1764]]</f>
        <v>97.094999999999999</v>
      </c>
      <c r="BOW11">
        <f>SOFR3mo_PX[[#This Row],[Column1765]]</f>
        <v>97.11</v>
      </c>
      <c r="BOX11">
        <f>SOFR3mo_PX[[#This Row],[Column1766]]</f>
        <v>97.14</v>
      </c>
      <c r="BOY11">
        <f>SOFR3mo_PX[[#This Row],[Column1767]]</f>
        <v>97.144999999999996</v>
      </c>
      <c r="BOZ11">
        <f>SOFR3mo_PX[[#This Row],[Column1768]]</f>
        <v>97.18</v>
      </c>
      <c r="BPA11">
        <f>SOFR3mo_PX[[#This Row],[Column1769]]</f>
        <v>97.204999999999998</v>
      </c>
      <c r="BPB11">
        <f>SOFR3mo_PX[[#This Row],[Column1770]]</f>
        <v>97.204999999999998</v>
      </c>
      <c r="BPC11">
        <f>SOFR3mo_PX[[#This Row],[Column1771]]</f>
        <v>97.254999999999995</v>
      </c>
      <c r="BPD11">
        <f>SOFR3mo_PX[[#This Row],[Column1772]]</f>
        <v>97.254999999999995</v>
      </c>
      <c r="BPE11">
        <f>SOFR3mo_PX[[#This Row],[Column1773]]</f>
        <v>97.314999999999998</v>
      </c>
      <c r="BPF11">
        <f>SOFR3mo_PX[[#This Row],[Column1774]]</f>
        <v>97.3</v>
      </c>
      <c r="BPG11">
        <f>SOFR3mo_PX[[#This Row],[Column1775]]</f>
        <v>97.305000000000007</v>
      </c>
      <c r="BPH11">
        <f>SOFR3mo_PX[[#This Row],[Column1776]]</f>
        <v>97.325000000000003</v>
      </c>
      <c r="BPI11">
        <f>SOFR3mo_PX[[#This Row],[Column1777]]</f>
        <v>97.325000000000003</v>
      </c>
      <c r="BPJ11">
        <f>SOFR3mo_PX[[#This Row],[Column1778]]</f>
        <v>97.295000000000002</v>
      </c>
      <c r="BPK11">
        <f>SOFR3mo_PX[[#This Row],[Column1779]]</f>
        <v>97.284999999999997</v>
      </c>
      <c r="BPL11">
        <f>SOFR3mo_PX[[#This Row],[Column1780]]</f>
        <v>97.3</v>
      </c>
      <c r="BPM11">
        <f>SOFR3mo_PX[[#This Row],[Column1781]]</f>
        <v>97.314999999999998</v>
      </c>
      <c r="BPN11">
        <f>SOFR3mo_PX[[#This Row],[Column1782]]</f>
        <v>97.334999999999994</v>
      </c>
      <c r="BPO11">
        <f>SOFR3mo_PX[[#This Row],[Column1783]]</f>
        <v>97.334999999999994</v>
      </c>
      <c r="BPP11">
        <f>SOFR3mo_PX[[#This Row],[Column1784]]</f>
        <v>97.355000000000004</v>
      </c>
      <c r="BPQ11">
        <f>SOFR3mo_PX[[#This Row],[Column1785]]</f>
        <v>97.344999999999999</v>
      </c>
      <c r="BPR11">
        <f>SOFR3mo_PX[[#This Row],[Column1786]]</f>
        <v>97.355000000000004</v>
      </c>
      <c r="BPS11">
        <f>SOFR3mo_PX[[#This Row],[Column1787]]</f>
        <v>97.33</v>
      </c>
      <c r="BPT11">
        <f>SOFR3mo_PX[[#This Row],[Column1788]]</f>
        <v>97.325000000000003</v>
      </c>
      <c r="BPU11">
        <f>SOFR3mo_PX[[#This Row],[Column1789]]</f>
        <v>97.344999999999999</v>
      </c>
      <c r="BPV11">
        <f>SOFR3mo_PX[[#This Row],[Column1790]]</f>
        <v>97.31</v>
      </c>
      <c r="BPW11">
        <f>SOFR3mo_PX[[#This Row],[Column1791]]</f>
        <v>97.334999999999994</v>
      </c>
      <c r="BPX11">
        <f>SOFR3mo_PX[[#This Row],[Column1792]]</f>
        <v>97.34</v>
      </c>
      <c r="BPY11">
        <f>SOFR3mo_PX[[#This Row],[Column1793]]</f>
        <v>97.275000000000006</v>
      </c>
      <c r="BPZ11">
        <f>SOFR3mo_PX[[#This Row],[Column1794]]</f>
        <v>97.26</v>
      </c>
      <c r="BQA11">
        <f>SOFR3mo_PX[[#This Row],[Column1795]]</f>
        <v>97.254999999999995</v>
      </c>
      <c r="BQB11">
        <f>SOFR3mo_PX[[#This Row],[Column1796]]</f>
        <v>97.26</v>
      </c>
      <c r="BQC11">
        <f>SOFR3mo_PX[[#This Row],[Column1797]]</f>
        <v>97.25</v>
      </c>
      <c r="BQD11">
        <f>SOFR3mo_PX[[#This Row],[Column1798]]</f>
        <v>97.24</v>
      </c>
      <c r="BQE11">
        <f>SOFR3mo_PX[[#This Row],[Column1799]]</f>
        <v>97.245000000000005</v>
      </c>
      <c r="BQF11">
        <f>SOFR3mo_PX[[#This Row],[Column1800]]</f>
        <v>97.25</v>
      </c>
      <c r="BQG11">
        <f>SOFR3mo_PX[[#This Row],[Column1801]]</f>
        <v>97.25</v>
      </c>
      <c r="BQH11">
        <f>SOFR3mo_PX[[#This Row],[Column1802]]</f>
        <v>97.25</v>
      </c>
      <c r="BQI11">
        <f>SOFR3mo_PX[[#This Row],[Column1803]]</f>
        <v>97.245000000000005</v>
      </c>
      <c r="BQJ11">
        <f>SOFR3mo_PX[[#This Row],[Column1804]]</f>
        <v>97.29</v>
      </c>
      <c r="BQK11">
        <f>SOFR3mo_PX[[#This Row],[Column1805]]</f>
        <v>97.29</v>
      </c>
      <c r="BQL11">
        <f>SOFR3mo_PX[[#This Row],[Column1806]]</f>
        <v>97.3</v>
      </c>
      <c r="BQM11">
        <f>SOFR3mo_PX[[#This Row],[Column1807]]</f>
        <v>97.334999999999994</v>
      </c>
      <c r="BQN11">
        <f>SOFR3mo_PX[[#This Row],[Column1808]]</f>
        <v>97.34</v>
      </c>
      <c r="BQO11">
        <f>SOFR3mo_PX[[#This Row],[Column1809]]</f>
        <v>97.325000000000003</v>
      </c>
      <c r="BQP11">
        <f>SOFR3mo_PX[[#This Row],[Column1810]]</f>
        <v>97.33</v>
      </c>
      <c r="BQQ11">
        <f>SOFR3mo_PX[[#This Row],[Column1811]]</f>
        <v>97.355000000000004</v>
      </c>
      <c r="BQR11">
        <f>SOFR3mo_PX[[#This Row],[Column1812]]</f>
        <v>97.37</v>
      </c>
      <c r="BQS11">
        <f>SOFR3mo_PX[[#This Row],[Column1813]]</f>
        <v>97.355000000000004</v>
      </c>
      <c r="BQT11">
        <f>SOFR3mo_PX[[#This Row],[Column1814]]</f>
        <v>97.364999999999995</v>
      </c>
      <c r="BQU11">
        <f>SOFR3mo_PX[[#This Row],[Column1815]]</f>
        <v>97.36</v>
      </c>
      <c r="BQV11">
        <f>SOFR3mo_PX[[#This Row],[Column1816]]</f>
        <v>97.37</v>
      </c>
      <c r="BQW11">
        <f>SOFR3mo_PX[[#This Row],[Column1817]]</f>
        <v>97.38</v>
      </c>
      <c r="BQX11">
        <f>SOFR3mo_PX[[#This Row],[Column1818]]</f>
        <v>97.36</v>
      </c>
      <c r="BQY11">
        <f>SOFR3mo_PX[[#This Row],[Column1819]]</f>
        <v>97.38</v>
      </c>
      <c r="BQZ11">
        <f>SOFR3mo_PX[[#This Row],[Column1820]]</f>
        <v>97.38</v>
      </c>
      <c r="BRA11">
        <f>SOFR3mo_PX[[#This Row],[Column1821]]</f>
        <v>97.375</v>
      </c>
      <c r="BRB11">
        <f>SOFR3mo_PX[[#This Row],[Column1822]]</f>
        <v>97.375</v>
      </c>
      <c r="BRC11">
        <f>SOFR3mo_PX[[#This Row],[Column1823]]</f>
        <v>97.38</v>
      </c>
      <c r="BRD11">
        <f>SOFR3mo_PX[[#This Row],[Column1824]]</f>
        <v>97.375</v>
      </c>
      <c r="BRE11">
        <f>SOFR3mo_PX[[#This Row],[Column1825]]</f>
        <v>97.33</v>
      </c>
      <c r="BRF11">
        <f>SOFR3mo_PX[[#This Row],[Column1826]]</f>
        <v>97.314999999999998</v>
      </c>
      <c r="BRG11">
        <f>SOFR3mo_PX[[#This Row],[Column1827]]</f>
        <v>97.284999999999997</v>
      </c>
      <c r="BRH11">
        <f>SOFR3mo_PX[[#This Row],[Column1828]]</f>
        <v>97.284999999999997</v>
      </c>
      <c r="BRI11">
        <f>SOFR3mo_PX[[#This Row],[Column1829]]</f>
        <v>97.275000000000006</v>
      </c>
      <c r="BRJ11">
        <f>SOFR3mo_PX[[#This Row],[Column1830]]</f>
        <v>97.28</v>
      </c>
      <c r="BRK11">
        <f>SOFR3mo_PX[[#This Row],[Column1831]]</f>
        <v>97.25</v>
      </c>
      <c r="BRL11">
        <f>SOFR3mo_PX[[#This Row],[Column1832]]</f>
        <v>97.26</v>
      </c>
      <c r="BRM11">
        <f>SOFR3mo_PX[[#This Row],[Column1833]]</f>
        <v>97.245000000000005</v>
      </c>
      <c r="BRN11">
        <f>SOFR3mo_PX[[#This Row],[Column1834]]</f>
        <v>97.245000000000005</v>
      </c>
      <c r="BRO11">
        <f>SOFR3mo_PX[[#This Row],[Column1835]]</f>
        <v>97.28</v>
      </c>
      <c r="BRP11">
        <f>SOFR3mo_PX[[#This Row],[Column1836]]</f>
        <v>97.295000000000002</v>
      </c>
      <c r="BRQ11">
        <f>SOFR3mo_PX[[#This Row],[Column1837]]</f>
        <v>97.305000000000007</v>
      </c>
      <c r="BRR11">
        <f>SOFR3mo_PX[[#This Row],[Column1838]]</f>
        <v>97.27</v>
      </c>
      <c r="BRS11">
        <f>SOFR3mo_PX[[#This Row],[Column1839]]</f>
        <v>97.26</v>
      </c>
      <c r="BRT11">
        <f>SOFR3mo_PX[[#This Row],[Column1840]]</f>
        <v>97.3</v>
      </c>
      <c r="BRU11">
        <f>SOFR3mo_PX[[#This Row],[Column1841]]</f>
        <v>97.28</v>
      </c>
      <c r="BRV11">
        <f>SOFR3mo_PX[[#This Row],[Column1842]]</f>
        <v>97.32</v>
      </c>
      <c r="BRW11">
        <f>SOFR3mo_PX[[#This Row],[Column1843]]</f>
        <v>97.39</v>
      </c>
      <c r="BRX11">
        <f>SOFR3mo_PX[[#This Row],[Column1844]]</f>
        <v>97.385000000000005</v>
      </c>
      <c r="BRY11">
        <f>SOFR3mo_PX[[#This Row],[Column1845]]</f>
        <v>97.48</v>
      </c>
      <c r="BRZ11">
        <f>SOFR3mo_PX[[#This Row],[Column1846]]</f>
        <v>97.265000000000001</v>
      </c>
      <c r="BSA11">
        <f>SOFR3mo_PX[[#This Row],[Column1847]]</f>
        <v>97.265000000000001</v>
      </c>
      <c r="BSB11">
        <f>SOFR3mo_PX[[#This Row],[Column1848]]</f>
        <v>97.234999999999999</v>
      </c>
      <c r="BSC11">
        <f>SOFR3mo_PX[[#This Row],[Column1849]]</f>
        <v>97.204999999999998</v>
      </c>
      <c r="BSD11">
        <f>SOFR3mo_PX[[#This Row],[Column1850]]</f>
        <v>97.155000000000001</v>
      </c>
      <c r="BSE11">
        <f>SOFR3mo_PX[[#This Row],[Column1851]]</f>
        <v>97.144999999999996</v>
      </c>
      <c r="BSF11">
        <f>SOFR3mo_PX[[#This Row],[Column1852]]</f>
        <v>97.16</v>
      </c>
      <c r="BSG11">
        <f>SOFR3mo_PX[[#This Row],[Column1853]]</f>
        <v>97.135000000000005</v>
      </c>
      <c r="BSH11">
        <f>SOFR3mo_PX[[#This Row],[Column1854]]</f>
        <v>97.15</v>
      </c>
      <c r="BSI11">
        <f>SOFR3mo_PX[[#This Row],[Column1855]]</f>
        <v>97.16</v>
      </c>
      <c r="BSJ11">
        <f>SOFR3mo_PX[[#This Row],[Column1856]]</f>
        <v>97.19</v>
      </c>
      <c r="BSK11">
        <f>SOFR3mo_PX[[#This Row],[Column1857]]</f>
        <v>97.194999999999993</v>
      </c>
      <c r="BSL11">
        <f>SOFR3mo_PX[[#This Row],[Column1858]]</f>
        <v>97.21</v>
      </c>
      <c r="BSM11">
        <f>SOFR3mo_PX[[#This Row],[Column1859]]</f>
        <v>97.23</v>
      </c>
      <c r="BSN11">
        <f>SOFR3mo_PX[[#This Row],[Column1860]]</f>
        <v>97.254999999999995</v>
      </c>
      <c r="BSO11">
        <f>SOFR3mo_PX[[#This Row],[Column1861]]</f>
        <v>97.265000000000001</v>
      </c>
      <c r="BSP11">
        <f>SOFR3mo_PX[[#This Row],[Column1862]]</f>
        <v>97.29</v>
      </c>
      <c r="BSQ11" t="str">
        <f>SOFR3mo_PX[[#This Row],[Column1863]]</f>
        <v>#N/A N/A</v>
      </c>
      <c r="BSR11" t="str">
        <f>SOFR3mo_PX[[#This Row],[Column1864]]</f>
        <v>#N/A N/A</v>
      </c>
      <c r="BSS11" t="str">
        <f>SOFR3mo_PX[[#This Row],[Column1865]]</f>
        <v>#N/A N/A</v>
      </c>
      <c r="BST11" t="str">
        <f>SOFR3mo_PX[[#This Row],[Column1866]]</f>
        <v>#N/A N/A</v>
      </c>
      <c r="BSU11" t="str">
        <f>SOFR3mo_PX[[#This Row],[Column1867]]</f>
        <v>#N/A N/A</v>
      </c>
      <c r="BSV11" t="str">
        <f>SOFR3mo_PX[[#This Row],[Column1868]]</f>
        <v>#N/A N/A</v>
      </c>
      <c r="BSW11" t="str">
        <f>SOFR3mo_PX[[#This Row],[Column1869]]</f>
        <v>#N/A N/A</v>
      </c>
      <c r="BSX11" t="str">
        <f>SOFR3mo_PX[[#This Row],[Column1870]]</f>
        <v>#N/A N/A</v>
      </c>
      <c r="BSY11" t="str">
        <f>SOFR3mo_PX[[#This Row],[Column1871]]</f>
        <v>#N/A N/A</v>
      </c>
      <c r="BSZ11" t="str">
        <f>SOFR3mo_PX[[#This Row],[Column1872]]</f>
        <v>#N/A N/A</v>
      </c>
      <c r="BTA11" t="str">
        <f>SOFR3mo_PX[[#This Row],[Column1873]]</f>
        <v>#N/A N/A</v>
      </c>
      <c r="BTB11" t="str">
        <f>SOFR3mo_PX[[#This Row],[Column1874]]</f>
        <v>#N/A N/A</v>
      </c>
      <c r="BTC11" t="str">
        <f>SOFR3mo_PX[[#This Row],[Column1875]]</f>
        <v>#N/A N/A</v>
      </c>
      <c r="BTD11" t="str">
        <f>SOFR3mo_PX[[#This Row],[Column1876]]</f>
        <v>#N/A N/A</v>
      </c>
      <c r="BTE11" t="str">
        <f>SOFR3mo_PX[[#This Row],[Column1877]]</f>
        <v>#N/A N/A</v>
      </c>
      <c r="BTF11" t="str">
        <f>SOFR3mo_PX[[#This Row],[Column1878]]</f>
        <v>#N/A N/A</v>
      </c>
      <c r="BTG11" t="str">
        <f>SOFR3mo_PX[[#This Row],[Column1879]]</f>
        <v>#N/A N/A</v>
      </c>
      <c r="BTH11" t="str">
        <f>SOFR3mo_PX[[#This Row],[Column1880]]</f>
        <v>#N/A N/A</v>
      </c>
      <c r="BTI11" t="str">
        <f>SOFR3mo_PX[[#This Row],[Column1881]]</f>
        <v>#N/A N/A</v>
      </c>
      <c r="BTJ11" t="str">
        <f>SOFR3mo_PX[[#This Row],[Column1882]]</f>
        <v>#N/A N/A</v>
      </c>
      <c r="BTK11" t="str">
        <f>SOFR3mo_PX[[#This Row],[Column1883]]</f>
        <v>#N/A N/A</v>
      </c>
      <c r="BTL11" t="str">
        <f>SOFR3mo_PX[[#This Row],[Column1884]]</f>
        <v>#N/A N/A</v>
      </c>
      <c r="BTM11" t="str">
        <f>SOFR3mo_PX[[#This Row],[Column1885]]</f>
        <v>#N/A N/A</v>
      </c>
      <c r="BTN11" t="str">
        <f>SOFR3mo_PX[[#This Row],[Column1886]]</f>
        <v>#N/A N/A</v>
      </c>
      <c r="BTO11" t="str">
        <f>SOFR3mo_PX[[#This Row],[Column1887]]</f>
        <v>#N/A N/A</v>
      </c>
      <c r="BTP11" t="str">
        <f>SOFR3mo_PX[[#This Row],[Column1888]]</f>
        <v>#N/A N/A</v>
      </c>
      <c r="BTQ11" t="str">
        <f>SOFR3mo_PX[[#This Row],[Column1889]]</f>
        <v>#N/A N/A</v>
      </c>
      <c r="BTR11" t="str">
        <f>SOFR3mo_PX[[#This Row],[Column1890]]</f>
        <v>#N/A N/A</v>
      </c>
      <c r="BTS11" t="str">
        <f>SOFR3mo_PX[[#This Row],[Column1891]]</f>
        <v>#N/A N/A</v>
      </c>
      <c r="BTT11" t="str">
        <f>SOFR3mo_PX[[#This Row],[Column1892]]</f>
        <v>#N/A N/A</v>
      </c>
      <c r="BTU11" t="str">
        <f>SOFR3mo_PX[[#This Row],[Column1893]]</f>
        <v>#N/A N/A</v>
      </c>
      <c r="BTV11" t="str">
        <f>SOFR3mo_PX[[#This Row],[Column1894]]</f>
        <v>#N/A N/A</v>
      </c>
      <c r="BTW11" t="str">
        <f>SOFR3mo_PX[[#This Row],[Column1895]]</f>
        <v>#N/A N/A</v>
      </c>
      <c r="BTX11" t="str">
        <f>SOFR3mo_PX[[#This Row],[Column1896]]</f>
        <v>#N/A N/A</v>
      </c>
      <c r="BTY11" t="str">
        <f>SOFR3mo_PX[[#This Row],[Column1897]]</f>
        <v>#N/A N/A</v>
      </c>
      <c r="BTZ11" t="str">
        <f>SOFR3mo_PX[[#This Row],[Column1898]]</f>
        <v>#N/A N/A</v>
      </c>
      <c r="BUA11" t="str">
        <f>SOFR3mo_PX[[#This Row],[Column1899]]</f>
        <v>#N/A N/A</v>
      </c>
      <c r="BUB11" t="str">
        <f>SOFR3mo_PX[[#This Row],[Column1900]]</f>
        <v>#N/A N/A</v>
      </c>
      <c r="BUC11" t="str">
        <f>SOFR3mo_PX[[#This Row],[Column1901]]</f>
        <v>#N/A N/A</v>
      </c>
      <c r="BUD11" t="str">
        <f>SOFR3mo_PX[[#This Row],[Column1902]]</f>
        <v>#N/A N/A</v>
      </c>
      <c r="BUE11" t="str">
        <f>SOFR3mo_PX[[#This Row],[Column1903]]</f>
        <v>#N/A N/A</v>
      </c>
      <c r="BUF11" t="str">
        <f>SOFR3mo_PX[[#This Row],[Column1904]]</f>
        <v>#N/A N/A</v>
      </c>
      <c r="BUG11" t="str">
        <f>SOFR3mo_PX[[#This Row],[Column1905]]</f>
        <v>#N/A N/A</v>
      </c>
      <c r="BUH11" t="str">
        <f>SOFR3mo_PX[[#This Row],[Column1906]]</f>
        <v>#N/A N/A</v>
      </c>
      <c r="BUI11" t="str">
        <f>SOFR3mo_PX[[#This Row],[Column1907]]</f>
        <v>#N/A N/A</v>
      </c>
      <c r="BUJ11" t="str">
        <f>SOFR3mo_PX[[#This Row],[Column1908]]</f>
        <v>#N/A N/A</v>
      </c>
      <c r="BUK11" t="str">
        <f>SOFR3mo_PX[[#This Row],[Column1909]]</f>
        <v>#N/A N/A</v>
      </c>
      <c r="BUL11" t="str">
        <f>SOFR3mo_PX[[#This Row],[Column1910]]</f>
        <v>#N/A N/A</v>
      </c>
      <c r="BUM11" t="str">
        <f>SOFR3mo_PX[[#This Row],[Column1911]]</f>
        <v>#N/A N/A</v>
      </c>
      <c r="BUN11" t="str">
        <f>SOFR3mo_PX[[#This Row],[Column1912]]</f>
        <v>#N/A N/A</v>
      </c>
      <c r="BUO11" t="str">
        <f>SOFR3mo_PX[[#This Row],[Column1913]]</f>
        <v>#N/A N/A</v>
      </c>
      <c r="BUP11" t="str">
        <f>SOFR3mo_PX[[#This Row],[Column1914]]</f>
        <v>#N/A N/A</v>
      </c>
      <c r="BUQ11" t="str">
        <f>SOFR3mo_PX[[#This Row],[Column1915]]</f>
        <v>#N/A N/A</v>
      </c>
      <c r="BUR11" t="str">
        <f>SOFR3mo_PX[[#This Row],[Column1916]]</f>
        <v>#N/A N/A</v>
      </c>
      <c r="BUS11" t="str">
        <f>SOFR3mo_PX[[#This Row],[Column1917]]</f>
        <v>#N/A N/A</v>
      </c>
      <c r="BUT11" t="str">
        <f>SOFR3mo_PX[[#This Row],[Column1918]]</f>
        <v>#N/A N/A</v>
      </c>
      <c r="BUU11" t="str">
        <f>SOFR3mo_PX[[#This Row],[Column1919]]</f>
        <v>#N/A N/A</v>
      </c>
      <c r="BUV11" t="str">
        <f>SOFR3mo_PX[[#This Row],[Column1920]]</f>
        <v>#N/A N/A</v>
      </c>
      <c r="BUW11" t="str">
        <f>SOFR3mo_PX[[#This Row],[Column1921]]</f>
        <v>#N/A N/A</v>
      </c>
      <c r="BUX11" t="str">
        <f>SOFR3mo_PX[[#This Row],[Column1922]]</f>
        <v>#N/A N/A</v>
      </c>
      <c r="BUY11" t="str">
        <f>SOFR3mo_PX[[#This Row],[Column1923]]</f>
        <v>#N/A N/A</v>
      </c>
      <c r="BUZ11" t="str">
        <f>SOFR3mo_PX[[#This Row],[Column1924]]</f>
        <v>#N/A N/A</v>
      </c>
      <c r="BVA11" t="str">
        <f>SOFR3mo_PX[[#This Row],[Column1925]]</f>
        <v>#N/A N/A</v>
      </c>
      <c r="BVB11" t="str">
        <f>SOFR3mo_PX[[#This Row],[Column1926]]</f>
        <v>#N/A N/A</v>
      </c>
      <c r="BVC11" t="str">
        <f>SOFR3mo_PX[[#This Row],[Column1927]]</f>
        <v>#N/A N/A</v>
      </c>
      <c r="BVD11" t="str">
        <f>SOFR3mo_PX[[#This Row],[Column1928]]</f>
        <v>#N/A N/A</v>
      </c>
      <c r="BVE11" t="str">
        <f>SOFR3mo_PX[[#This Row],[Column1929]]</f>
        <v>#N/A N/A</v>
      </c>
      <c r="BVF11" t="str">
        <f>SOFR3mo_PX[[#This Row],[Column1930]]</f>
        <v>#N/A N/A</v>
      </c>
      <c r="BVG11" t="str">
        <f>SOFR3mo_PX[[#This Row],[Column1931]]</f>
        <v>#N/A N/A</v>
      </c>
      <c r="BVH11" t="str">
        <f>SOFR3mo_PX[[#This Row],[Column1932]]</f>
        <v>#N/A N/A</v>
      </c>
      <c r="BVI11" t="str">
        <f>SOFR3mo_PX[[#This Row],[Column1933]]</f>
        <v>#N/A N/A</v>
      </c>
      <c r="BVJ11" t="str">
        <f>SOFR3mo_PX[[#This Row],[Column1934]]</f>
        <v>#N/A N/A</v>
      </c>
      <c r="BVK11" t="str">
        <f>SOFR3mo_PX[[#This Row],[Column1935]]</f>
        <v>#N/A N/A</v>
      </c>
      <c r="BVL11" t="str">
        <f>SOFR3mo_PX[[#This Row],[Column1936]]</f>
        <v>#N/A N/A</v>
      </c>
      <c r="BVM11" t="str">
        <f>SOFR3mo_PX[[#This Row],[Column1937]]</f>
        <v>#N/A N/A</v>
      </c>
      <c r="BVN11" t="str">
        <f>SOFR3mo_PX[[#This Row],[Column1938]]</f>
        <v>#N/A N/A</v>
      </c>
      <c r="BVO11" t="str">
        <f>SOFR3mo_PX[[#This Row],[Column1939]]</f>
        <v>#N/A N/A</v>
      </c>
      <c r="BVP11" t="str">
        <f>SOFR3mo_PX[[#This Row],[Column1940]]</f>
        <v>#N/A N/A</v>
      </c>
      <c r="BVQ11" t="str">
        <f>SOFR3mo_PX[[#This Row],[Column1941]]</f>
        <v>#N/A N/A</v>
      </c>
      <c r="BVR11" t="str">
        <f>SOFR3mo_PX[[#This Row],[Column1942]]</f>
        <v>#N/A N/A</v>
      </c>
      <c r="BVS11" t="str">
        <f>SOFR3mo_PX[[#This Row],[Column1943]]</f>
        <v>#N/A N/A</v>
      </c>
      <c r="BVT11" t="str">
        <f>SOFR3mo_PX[[#This Row],[Column1944]]</f>
        <v>#N/A N/A</v>
      </c>
      <c r="BVU11" t="str">
        <f>SOFR3mo_PX[[#This Row],[Column1945]]</f>
        <v>#N/A N/A</v>
      </c>
      <c r="BVV11" t="str">
        <f>SOFR3mo_PX[[#This Row],[Column1946]]</f>
        <v>#N/A N/A</v>
      </c>
      <c r="BVW11" t="str">
        <f>SOFR3mo_PX[[#This Row],[Column1947]]</f>
        <v>#N/A N/A</v>
      </c>
      <c r="BVX11" t="str">
        <f>SOFR3mo_PX[[#This Row],[Column1948]]</f>
        <v>#N/A N/A</v>
      </c>
      <c r="BVY11" t="str">
        <f>SOFR3mo_PX[[#This Row],[Column1949]]</f>
        <v>#N/A N/A</v>
      </c>
      <c r="BVZ11" t="str">
        <f>SOFR3mo_PX[[#This Row],[Column1950]]</f>
        <v>#N/A N/A</v>
      </c>
      <c r="BWA11" t="str">
        <f>SOFR3mo_PX[[#This Row],[Column1951]]</f>
        <v>#N/A N/A</v>
      </c>
      <c r="BWB11" t="str">
        <f>SOFR3mo_PX[[#This Row],[Column1952]]</f>
        <v>#N/A N/A</v>
      </c>
      <c r="BWC11" t="str">
        <f>SOFR3mo_PX[[#This Row],[Column1953]]</f>
        <v>#N/A N/A</v>
      </c>
      <c r="BWD11" t="str">
        <f>SOFR3mo_PX[[#This Row],[Column1954]]</f>
        <v>#N/A N/A</v>
      </c>
    </row>
    <row r="12" spans="1:1954" x14ac:dyDescent="0.25">
      <c r="A12" t="str">
        <f>SOFR3mo_PX[[#This Row],[Column1]]</f>
        <v>SFR10 Comdty</v>
      </c>
      <c r="B12">
        <f>IF(rtd!B10&lt;&gt;"",rtd!B10,SOFR3mo_PX[[#This Row],[Column2]])</f>
        <v>96.672499999999999</v>
      </c>
      <c r="C12">
        <f>SOFR3mo_PX[[#This Row],[Column3]]</f>
        <v>96.625</v>
      </c>
      <c r="D12">
        <f>SOFR3mo_PX[[#This Row],[Column4]]</f>
        <v>96.625</v>
      </c>
      <c r="E12">
        <f>SOFR3mo_PX[[#This Row],[Column5]]</f>
        <v>96.68</v>
      </c>
      <c r="F12">
        <f>SOFR3mo_PX[[#This Row],[Column6]]</f>
        <v>96.63</v>
      </c>
      <c r="G12">
        <f>SOFR3mo_PX[[#This Row],[Column7]]</f>
        <v>96.63</v>
      </c>
      <c r="H12">
        <f>SOFR3mo_PX[[#This Row],[Column8]]</f>
        <v>96.69</v>
      </c>
      <c r="I12">
        <f>SOFR3mo_PX[[#This Row],[Column9]]</f>
        <v>96.64</v>
      </c>
      <c r="J12">
        <f>SOFR3mo_PX[[#This Row],[Column10]]</f>
        <v>96.564999999999998</v>
      </c>
      <c r="K12">
        <f>SOFR3mo_PX[[#This Row],[Column11]]</f>
        <v>96.564999999999998</v>
      </c>
      <c r="L12">
        <f>SOFR3mo_PX[[#This Row],[Column12]]</f>
        <v>96.515000000000001</v>
      </c>
      <c r="M12">
        <f>SOFR3mo_PX[[#This Row],[Column13]]</f>
        <v>96.665000000000006</v>
      </c>
      <c r="N12">
        <f>SOFR3mo_PX[[#This Row],[Column14]]</f>
        <v>96.73</v>
      </c>
      <c r="O12">
        <f>SOFR3mo_PX[[#This Row],[Column15]]</f>
        <v>96.644999999999996</v>
      </c>
      <c r="P12">
        <f>SOFR3mo_PX[[#This Row],[Column16]]</f>
        <v>96.665000000000006</v>
      </c>
      <c r="Q12">
        <f>SOFR3mo_PX[[#This Row],[Column17]]</f>
        <v>96.71</v>
      </c>
      <c r="R12">
        <f>SOFR3mo_PX[[#This Row],[Column18]]</f>
        <v>96.694999999999993</v>
      </c>
      <c r="S12">
        <f>SOFR3mo_PX[[#This Row],[Column19]]</f>
        <v>96.635000000000005</v>
      </c>
      <c r="T12">
        <f>SOFR3mo_PX[[#This Row],[Column20]]</f>
        <v>96.685000000000002</v>
      </c>
      <c r="U12">
        <f>SOFR3mo_PX[[#This Row],[Column21]]</f>
        <v>96.61</v>
      </c>
      <c r="V12">
        <f>SOFR3mo_PX[[#This Row],[Column22]]</f>
        <v>96.61</v>
      </c>
      <c r="W12">
        <f>SOFR3mo_PX[[#This Row],[Column23]]</f>
        <v>96.564999999999998</v>
      </c>
      <c r="X12">
        <f>SOFR3mo_PX[[#This Row],[Column24]]</f>
        <v>96.52</v>
      </c>
      <c r="Y12">
        <f>SOFR3mo_PX[[#This Row],[Column25]]</f>
        <v>96.594999999999999</v>
      </c>
      <c r="Z12">
        <f>SOFR3mo_PX[[#This Row],[Column26]]</f>
        <v>96.57</v>
      </c>
      <c r="AA12">
        <f>SOFR3mo_PX[[#This Row],[Column27]]</f>
        <v>96.56</v>
      </c>
      <c r="AB12">
        <f>SOFR3mo_PX[[#This Row],[Column28]]</f>
        <v>96.54</v>
      </c>
      <c r="AC12">
        <f>SOFR3mo_PX[[#This Row],[Column29]]</f>
        <v>96.44</v>
      </c>
      <c r="AD12">
        <f>SOFR3mo_PX[[#This Row],[Column30]]</f>
        <v>96.474999999999994</v>
      </c>
      <c r="AE12">
        <f>SOFR3mo_PX[[#This Row],[Column31]]</f>
        <v>96.49</v>
      </c>
      <c r="AF12">
        <f>SOFR3mo_PX[[#This Row],[Column32]]</f>
        <v>96.644999999999996</v>
      </c>
      <c r="AG12">
        <f>SOFR3mo_PX[[#This Row],[Column33]]</f>
        <v>96.64</v>
      </c>
      <c r="AH12">
        <f>SOFR3mo_PX[[#This Row],[Column34]]</f>
        <v>96.795000000000002</v>
      </c>
      <c r="AI12">
        <f>SOFR3mo_PX[[#This Row],[Column35]]</f>
        <v>96.78</v>
      </c>
      <c r="AJ12">
        <f>SOFR3mo_PX[[#This Row],[Column36]]</f>
        <v>96.724999999999994</v>
      </c>
      <c r="AK12">
        <f>SOFR3mo_PX[[#This Row],[Column37]]</f>
        <v>96.715000000000003</v>
      </c>
      <c r="AL12">
        <f>SOFR3mo_PX[[#This Row],[Column38]]</f>
        <v>96.85</v>
      </c>
      <c r="AM12">
        <f>SOFR3mo_PX[[#This Row],[Column39]]</f>
        <v>96.92</v>
      </c>
      <c r="AN12">
        <f>SOFR3mo_PX[[#This Row],[Column40]]</f>
        <v>96.88</v>
      </c>
      <c r="AO12">
        <f>SOFR3mo_PX[[#This Row],[Column41]]</f>
        <v>96.84</v>
      </c>
      <c r="AP12">
        <f>SOFR3mo_PX[[#This Row],[Column42]]</f>
        <v>96.75</v>
      </c>
      <c r="AQ12">
        <f>SOFR3mo_PX[[#This Row],[Column43]]</f>
        <v>96.704999999999998</v>
      </c>
      <c r="AR12">
        <f>SOFR3mo_PX[[#This Row],[Column44]]</f>
        <v>96.614999999999995</v>
      </c>
      <c r="AS12">
        <f>SOFR3mo_PX[[#This Row],[Column45]]</f>
        <v>96.69</v>
      </c>
      <c r="AT12">
        <f>SOFR3mo_PX[[#This Row],[Column46]]</f>
        <v>96.73</v>
      </c>
      <c r="AU12">
        <f>SOFR3mo_PX[[#This Row],[Column47]]</f>
        <v>96.704999999999998</v>
      </c>
      <c r="AV12">
        <f>SOFR3mo_PX[[#This Row],[Column48]]</f>
        <v>96.704999999999998</v>
      </c>
      <c r="AW12">
        <f>SOFR3mo_PX[[#This Row],[Column49]]</f>
        <v>96.71</v>
      </c>
      <c r="AX12">
        <f>SOFR3mo_PX[[#This Row],[Column50]]</f>
        <v>96.64</v>
      </c>
      <c r="AY12">
        <f>SOFR3mo_PX[[#This Row],[Column51]]</f>
        <v>96.61</v>
      </c>
      <c r="AZ12">
        <f>SOFR3mo_PX[[#This Row],[Column52]]</f>
        <v>96.45</v>
      </c>
      <c r="BA12">
        <f>SOFR3mo_PX[[#This Row],[Column53]]</f>
        <v>96.59</v>
      </c>
      <c r="BB12">
        <f>SOFR3mo_PX[[#This Row],[Column54]]</f>
        <v>96.48</v>
      </c>
      <c r="BC12">
        <f>SOFR3mo_PX[[#This Row],[Column55]]</f>
        <v>96.724999999999994</v>
      </c>
      <c r="BD12">
        <f>SOFR3mo_PX[[#This Row],[Column56]]</f>
        <v>96.74</v>
      </c>
      <c r="BE12">
        <f>SOFR3mo_PX[[#This Row],[Column57]]</f>
        <v>96.844999999999999</v>
      </c>
      <c r="BF12">
        <f>SOFR3mo_PX[[#This Row],[Column58]]</f>
        <v>96.79</v>
      </c>
      <c r="BG12">
        <f>SOFR3mo_PX[[#This Row],[Column59]]</f>
        <v>96.55</v>
      </c>
      <c r="BH12">
        <f>SOFR3mo_PX[[#This Row],[Column60]]</f>
        <v>96.584999999999994</v>
      </c>
      <c r="BI12">
        <f>SOFR3mo_PX[[#This Row],[Column61]]</f>
        <v>96.515000000000001</v>
      </c>
      <c r="BJ12">
        <f>SOFR3mo_PX[[#This Row],[Column62]]</f>
        <v>96.53</v>
      </c>
      <c r="BK12">
        <f>SOFR3mo_PX[[#This Row],[Column63]]</f>
        <v>96.41</v>
      </c>
      <c r="BL12">
        <f>SOFR3mo_PX[[#This Row],[Column64]]</f>
        <v>96.41</v>
      </c>
      <c r="BM12">
        <f>SOFR3mo_PX[[#This Row],[Column65]]</f>
        <v>96.43</v>
      </c>
      <c r="BN12">
        <f>SOFR3mo_PX[[#This Row],[Column66]]</f>
        <v>96.385000000000005</v>
      </c>
      <c r="BO12">
        <f>SOFR3mo_PX[[#This Row],[Column67]]</f>
        <v>96.47</v>
      </c>
      <c r="BP12">
        <f>SOFR3mo_PX[[#This Row],[Column68]]</f>
        <v>96.46</v>
      </c>
      <c r="BQ12">
        <f>SOFR3mo_PX[[#This Row],[Column69]]</f>
        <v>96.435000000000002</v>
      </c>
      <c r="BR12">
        <f>SOFR3mo_PX[[#This Row],[Column70]]</f>
        <v>96.405000000000001</v>
      </c>
      <c r="BS12">
        <f>SOFR3mo_PX[[#This Row],[Column71]]</f>
        <v>96.37</v>
      </c>
      <c r="BT12">
        <f>SOFR3mo_PX[[#This Row],[Column72]]</f>
        <v>96.39</v>
      </c>
      <c r="BU12">
        <f>SOFR3mo_PX[[#This Row],[Column73]]</f>
        <v>96.454999999999998</v>
      </c>
      <c r="BV12">
        <f>SOFR3mo_PX[[#This Row],[Column74]]</f>
        <v>96.4</v>
      </c>
      <c r="BW12">
        <f>SOFR3mo_PX[[#This Row],[Column75]]</f>
        <v>96.45</v>
      </c>
      <c r="BX12">
        <f>SOFR3mo_PX[[#This Row],[Column76]]</f>
        <v>96.51</v>
      </c>
      <c r="BY12">
        <f>SOFR3mo_PX[[#This Row],[Column77]]</f>
        <v>96.37</v>
      </c>
      <c r="BZ12">
        <f>SOFR3mo_PX[[#This Row],[Column78]]</f>
        <v>96.405000000000001</v>
      </c>
      <c r="CA12">
        <f>SOFR3mo_PX[[#This Row],[Column79]]</f>
        <v>96.4</v>
      </c>
      <c r="CB12">
        <f>SOFR3mo_PX[[#This Row],[Column80]]</f>
        <v>96.465000000000003</v>
      </c>
      <c r="CC12">
        <f>SOFR3mo_PX[[#This Row],[Column81]]</f>
        <v>96.46</v>
      </c>
      <c r="CD12">
        <f>SOFR3mo_PX[[#This Row],[Column82]]</f>
        <v>96.43</v>
      </c>
      <c r="CE12">
        <f>SOFR3mo_PX[[#This Row],[Column83]]</f>
        <v>96.35</v>
      </c>
      <c r="CF12">
        <f>SOFR3mo_PX[[#This Row],[Column84]]</f>
        <v>96.38</v>
      </c>
      <c r="CG12">
        <f>SOFR3mo_PX[[#This Row],[Column85]]</f>
        <v>96.32</v>
      </c>
      <c r="CH12">
        <f>SOFR3mo_PX[[#This Row],[Column86]]</f>
        <v>96.194999999999993</v>
      </c>
      <c r="CI12">
        <f>SOFR3mo_PX[[#This Row],[Column87]]</f>
        <v>96.155000000000001</v>
      </c>
      <c r="CJ12">
        <f>SOFR3mo_PX[[#This Row],[Column88]]</f>
        <v>96.06</v>
      </c>
      <c r="CK12">
        <f>SOFR3mo_PX[[#This Row],[Column89]]</f>
        <v>96.03</v>
      </c>
      <c r="CL12">
        <f>SOFR3mo_PX[[#This Row],[Column90]]</f>
        <v>96.01</v>
      </c>
      <c r="CM12">
        <f>SOFR3mo_PX[[#This Row],[Column91]]</f>
        <v>96.07</v>
      </c>
      <c r="CN12">
        <f>SOFR3mo_PX[[#This Row],[Column92]]</f>
        <v>96.07</v>
      </c>
      <c r="CO12">
        <f>SOFR3mo_PX[[#This Row],[Column93]]</f>
        <v>95.995000000000005</v>
      </c>
      <c r="CP12">
        <f>SOFR3mo_PX[[#This Row],[Column94]]</f>
        <v>95.89</v>
      </c>
      <c r="CQ12">
        <f>SOFR3mo_PX[[#This Row],[Column95]]</f>
        <v>96.025000000000006</v>
      </c>
      <c r="CR12">
        <f>SOFR3mo_PX[[#This Row],[Column96]]</f>
        <v>96.064999999999998</v>
      </c>
      <c r="CS12">
        <f>SOFR3mo_PX[[#This Row],[Column97]]</f>
        <v>96.055000000000007</v>
      </c>
      <c r="CT12">
        <f>SOFR3mo_PX[[#This Row],[Column98]]</f>
        <v>96.13</v>
      </c>
      <c r="CU12">
        <f>SOFR3mo_PX[[#This Row],[Column99]]</f>
        <v>96.174999999999997</v>
      </c>
      <c r="CV12">
        <f>SOFR3mo_PX[[#This Row],[Column100]]</f>
        <v>96.094999999999999</v>
      </c>
      <c r="CW12">
        <f>SOFR3mo_PX[[#This Row],[Column101]]</f>
        <v>96.034999999999997</v>
      </c>
      <c r="CX12">
        <f>SOFR3mo_PX[[#This Row],[Column102]]</f>
        <v>96.03</v>
      </c>
      <c r="CY12">
        <f>SOFR3mo_PX[[#This Row],[Column103]]</f>
        <v>96.084999999999994</v>
      </c>
      <c r="CZ12">
        <f>SOFR3mo_PX[[#This Row],[Column104]]</f>
        <v>96.045000000000002</v>
      </c>
      <c r="DA12">
        <f>SOFR3mo_PX[[#This Row],[Column105]]</f>
        <v>96.055000000000007</v>
      </c>
      <c r="DB12">
        <f>SOFR3mo_PX[[#This Row],[Column106]]</f>
        <v>96.075000000000003</v>
      </c>
      <c r="DC12">
        <f>SOFR3mo_PX[[#This Row],[Column107]]</f>
        <v>95.965000000000003</v>
      </c>
      <c r="DD12">
        <f>SOFR3mo_PX[[#This Row],[Column108]]</f>
        <v>95.954999999999998</v>
      </c>
      <c r="DE12">
        <f>SOFR3mo_PX[[#This Row],[Column109]]</f>
        <v>95.95</v>
      </c>
      <c r="DF12">
        <f>SOFR3mo_PX[[#This Row],[Column110]]</f>
        <v>95.97</v>
      </c>
      <c r="DG12">
        <f>SOFR3mo_PX[[#This Row],[Column111]]</f>
        <v>95.96</v>
      </c>
      <c r="DH12">
        <f>SOFR3mo_PX[[#This Row],[Column112]]</f>
        <v>95.96</v>
      </c>
      <c r="DI12">
        <f>SOFR3mo_PX[[#This Row],[Column113]]</f>
        <v>95.99</v>
      </c>
      <c r="DJ12">
        <f>SOFR3mo_PX[[#This Row],[Column114]]</f>
        <v>95.94</v>
      </c>
      <c r="DK12">
        <f>SOFR3mo_PX[[#This Row],[Column115]]</f>
        <v>95.775000000000006</v>
      </c>
      <c r="DL12">
        <f>SOFR3mo_PX[[#This Row],[Column116]]</f>
        <v>95.75</v>
      </c>
      <c r="DM12">
        <f>SOFR3mo_PX[[#This Row],[Column117]]</f>
        <v>95.775000000000006</v>
      </c>
      <c r="DN12">
        <f>SOFR3mo_PX[[#This Row],[Column118]]</f>
        <v>95.95</v>
      </c>
      <c r="DO12">
        <f>SOFR3mo_PX[[#This Row],[Column119]]</f>
        <v>95.92</v>
      </c>
      <c r="DP12">
        <f>SOFR3mo_PX[[#This Row],[Column120]]</f>
        <v>95.915000000000006</v>
      </c>
      <c r="DQ12">
        <f>SOFR3mo_PX[[#This Row],[Column121]]</f>
        <v>95.96</v>
      </c>
      <c r="DR12">
        <f>SOFR3mo_PX[[#This Row],[Column122]]</f>
        <v>95.995000000000005</v>
      </c>
      <c r="DS12">
        <f>SOFR3mo_PX[[#This Row],[Column123]]</f>
        <v>96.034999999999997</v>
      </c>
      <c r="DT12">
        <f>SOFR3mo_PX[[#This Row],[Column124]]</f>
        <v>96.025000000000006</v>
      </c>
      <c r="DU12">
        <f>SOFR3mo_PX[[#This Row],[Column125]]</f>
        <v>96.025000000000006</v>
      </c>
      <c r="DV12">
        <f>SOFR3mo_PX[[#This Row],[Column126]]</f>
        <v>96.04</v>
      </c>
      <c r="DW12">
        <f>SOFR3mo_PX[[#This Row],[Column127]]</f>
        <v>95.95</v>
      </c>
      <c r="DX12">
        <f>SOFR3mo_PX[[#This Row],[Column128]]</f>
        <v>95.98</v>
      </c>
      <c r="DY12">
        <f>SOFR3mo_PX[[#This Row],[Column129]]</f>
        <v>95.965000000000003</v>
      </c>
      <c r="DZ12">
        <f>SOFR3mo_PX[[#This Row],[Column130]]</f>
        <v>95.965000000000003</v>
      </c>
      <c r="EA12">
        <f>SOFR3mo_PX[[#This Row],[Column131]]</f>
        <v>95.954999999999998</v>
      </c>
      <c r="EB12">
        <f>SOFR3mo_PX[[#This Row],[Column132]]</f>
        <v>96.025000000000006</v>
      </c>
      <c r="EC12">
        <f>SOFR3mo_PX[[#This Row],[Column133]]</f>
        <v>95.974999999999994</v>
      </c>
      <c r="ED12">
        <f>SOFR3mo_PX[[#This Row],[Column134]]</f>
        <v>96.03</v>
      </c>
      <c r="EE12">
        <f>SOFR3mo_PX[[#This Row],[Column135]]</f>
        <v>96.16</v>
      </c>
      <c r="EF12">
        <f>SOFR3mo_PX[[#This Row],[Column136]]</f>
        <v>96.144999999999996</v>
      </c>
      <c r="EG12">
        <f>SOFR3mo_PX[[#This Row],[Column137]]</f>
        <v>96.17</v>
      </c>
      <c r="EH12">
        <f>SOFR3mo_PX[[#This Row],[Column138]]</f>
        <v>96.24</v>
      </c>
      <c r="EI12">
        <f>SOFR3mo_PX[[#This Row],[Column139]]</f>
        <v>96.29</v>
      </c>
      <c r="EJ12">
        <f>SOFR3mo_PX[[#This Row],[Column140]]</f>
        <v>96.34</v>
      </c>
      <c r="EK12">
        <f>SOFR3mo_PX[[#This Row],[Column141]]</f>
        <v>96.364999999999995</v>
      </c>
      <c r="EL12">
        <f>SOFR3mo_PX[[#This Row],[Column142]]</f>
        <v>96.4</v>
      </c>
      <c r="EM12">
        <f>SOFR3mo_PX[[#This Row],[Column143]]</f>
        <v>96.36</v>
      </c>
      <c r="EN12">
        <f>SOFR3mo_PX[[#This Row],[Column144]]</f>
        <v>96.385000000000005</v>
      </c>
      <c r="EO12">
        <f>SOFR3mo_PX[[#This Row],[Column145]]</f>
        <v>96.334999999999994</v>
      </c>
      <c r="EP12">
        <f>SOFR3mo_PX[[#This Row],[Column146]]</f>
        <v>96.36</v>
      </c>
      <c r="EQ12">
        <f>SOFR3mo_PX[[#This Row],[Column147]]</f>
        <v>96.375</v>
      </c>
      <c r="ER12">
        <f>SOFR3mo_PX[[#This Row],[Column148]]</f>
        <v>96.33</v>
      </c>
      <c r="ES12">
        <f>SOFR3mo_PX[[#This Row],[Column149]]</f>
        <v>96.33</v>
      </c>
      <c r="ET12">
        <f>SOFR3mo_PX[[#This Row],[Column150]]</f>
        <v>96.25</v>
      </c>
      <c r="EU12">
        <f>SOFR3mo_PX[[#This Row],[Column151]]</f>
        <v>96.284999999999997</v>
      </c>
      <c r="EV12">
        <f>SOFR3mo_PX[[#This Row],[Column152]]</f>
        <v>96.16</v>
      </c>
      <c r="EW12">
        <f>SOFR3mo_PX[[#This Row],[Column153]]</f>
        <v>96.15</v>
      </c>
      <c r="EX12">
        <f>SOFR3mo_PX[[#This Row],[Column154]]</f>
        <v>96.19</v>
      </c>
      <c r="EY12">
        <f>SOFR3mo_PX[[#This Row],[Column155]]</f>
        <v>96.22</v>
      </c>
      <c r="EZ12">
        <f>SOFR3mo_PX[[#This Row],[Column156]]</f>
        <v>96.185000000000002</v>
      </c>
      <c r="FA12">
        <f>SOFR3mo_PX[[#This Row],[Column157]]</f>
        <v>96.17</v>
      </c>
      <c r="FB12">
        <f>SOFR3mo_PX[[#This Row],[Column158]]</f>
        <v>96.17</v>
      </c>
      <c r="FC12">
        <f>SOFR3mo_PX[[#This Row],[Column159]]</f>
        <v>96.155000000000001</v>
      </c>
      <c r="FD12">
        <f>SOFR3mo_PX[[#This Row],[Column160]]</f>
        <v>96.144999999999996</v>
      </c>
      <c r="FE12">
        <f>SOFR3mo_PX[[#This Row],[Column161]]</f>
        <v>96.18</v>
      </c>
      <c r="FF12">
        <f>SOFR3mo_PX[[#This Row],[Column162]]</f>
        <v>96.254999999999995</v>
      </c>
      <c r="FG12">
        <f>SOFR3mo_PX[[#This Row],[Column163]]</f>
        <v>96.26</v>
      </c>
      <c r="FH12">
        <f>SOFR3mo_PX[[#This Row],[Column164]]</f>
        <v>96.19</v>
      </c>
      <c r="FI12">
        <f>SOFR3mo_PX[[#This Row],[Column165]]</f>
        <v>96.31</v>
      </c>
      <c r="FJ12">
        <f>SOFR3mo_PX[[#This Row],[Column166]]</f>
        <v>96.32</v>
      </c>
      <c r="FK12">
        <f>SOFR3mo_PX[[#This Row],[Column167]]</f>
        <v>96.29</v>
      </c>
      <c r="FL12">
        <f>SOFR3mo_PX[[#This Row],[Column168]]</f>
        <v>96.33</v>
      </c>
      <c r="FM12">
        <f>SOFR3mo_PX[[#This Row],[Column169]]</f>
        <v>96.355000000000004</v>
      </c>
      <c r="FN12">
        <f>SOFR3mo_PX[[#This Row],[Column170]]</f>
        <v>96.4</v>
      </c>
      <c r="FO12">
        <f>SOFR3mo_PX[[#This Row],[Column171]]</f>
        <v>96.385000000000005</v>
      </c>
      <c r="FP12">
        <f>SOFR3mo_PX[[#This Row],[Column172]]</f>
        <v>96.44</v>
      </c>
      <c r="FQ12">
        <f>SOFR3mo_PX[[#This Row],[Column173]]</f>
        <v>96.47</v>
      </c>
      <c r="FR12">
        <f>SOFR3mo_PX[[#This Row],[Column174]]</f>
        <v>96.435000000000002</v>
      </c>
      <c r="FS12">
        <f>SOFR3mo_PX[[#This Row],[Column175]]</f>
        <v>96.51</v>
      </c>
      <c r="FT12">
        <f>SOFR3mo_PX[[#This Row],[Column176]]</f>
        <v>96.545000000000002</v>
      </c>
      <c r="FU12">
        <f>SOFR3mo_PX[[#This Row],[Column177]]</f>
        <v>96.655000000000001</v>
      </c>
      <c r="FV12">
        <f>SOFR3mo_PX[[#This Row],[Column178]]</f>
        <v>96.63</v>
      </c>
      <c r="FW12">
        <f>SOFR3mo_PX[[#This Row],[Column179]]</f>
        <v>96.69</v>
      </c>
      <c r="FX12">
        <f>SOFR3mo_PX[[#This Row],[Column180]]</f>
        <v>96.67</v>
      </c>
      <c r="FY12">
        <f>SOFR3mo_PX[[#This Row],[Column181]]</f>
        <v>96.605000000000004</v>
      </c>
      <c r="FZ12">
        <f>SOFR3mo_PX[[#This Row],[Column182]]</f>
        <v>96.66</v>
      </c>
      <c r="GA12">
        <f>SOFR3mo_PX[[#This Row],[Column183]]</f>
        <v>96.605000000000004</v>
      </c>
      <c r="GB12">
        <f>SOFR3mo_PX[[#This Row],[Column184]]</f>
        <v>96.61</v>
      </c>
      <c r="GC12">
        <f>SOFR3mo_PX[[#This Row],[Column185]]</f>
        <v>96.644999999999996</v>
      </c>
      <c r="GD12">
        <f>SOFR3mo_PX[[#This Row],[Column186]]</f>
        <v>96.64</v>
      </c>
      <c r="GE12">
        <f>SOFR3mo_PX[[#This Row],[Column187]]</f>
        <v>96.704999999999998</v>
      </c>
      <c r="GF12">
        <f>SOFR3mo_PX[[#This Row],[Column188]]</f>
        <v>96.91</v>
      </c>
      <c r="GG12">
        <f>SOFR3mo_PX[[#This Row],[Column189]]</f>
        <v>96.99</v>
      </c>
      <c r="GH12">
        <f>SOFR3mo_PX[[#This Row],[Column190]]</f>
        <v>97.025000000000006</v>
      </c>
      <c r="GI12">
        <f>SOFR3mo_PX[[#This Row],[Column191]]</f>
        <v>96.96</v>
      </c>
      <c r="GJ12">
        <f>SOFR3mo_PX[[#This Row],[Column192]]</f>
        <v>97.01</v>
      </c>
      <c r="GK12">
        <f>SOFR3mo_PX[[#This Row],[Column193]]</f>
        <v>96.96</v>
      </c>
      <c r="GL12">
        <f>SOFR3mo_PX[[#This Row],[Column194]]</f>
        <v>96.995000000000005</v>
      </c>
      <c r="GM12">
        <f>SOFR3mo_PX[[#This Row],[Column195]]</f>
        <v>97.04</v>
      </c>
      <c r="GN12">
        <f>SOFR3mo_PX[[#This Row],[Column196]]</f>
        <v>97.015000000000001</v>
      </c>
      <c r="GO12">
        <f>SOFR3mo_PX[[#This Row],[Column197]]</f>
        <v>97.03</v>
      </c>
      <c r="GP12">
        <f>SOFR3mo_PX[[#This Row],[Column198]]</f>
        <v>97.025000000000006</v>
      </c>
      <c r="GQ12">
        <f>SOFR3mo_PX[[#This Row],[Column199]]</f>
        <v>97.055000000000007</v>
      </c>
      <c r="GR12">
        <f>SOFR3mo_PX[[#This Row],[Column200]]</f>
        <v>97.135000000000005</v>
      </c>
      <c r="GS12">
        <f>SOFR3mo_PX[[#This Row],[Column201]]</f>
        <v>97.17</v>
      </c>
      <c r="GT12">
        <f>SOFR3mo_PX[[#This Row],[Column202]]</f>
        <v>97.174999999999997</v>
      </c>
      <c r="GU12">
        <f>SOFR3mo_PX[[#This Row],[Column203]]</f>
        <v>97.165000000000006</v>
      </c>
      <c r="GV12">
        <f>SOFR3mo_PX[[#This Row],[Column204]]</f>
        <v>97.194999999999993</v>
      </c>
      <c r="GW12">
        <f>SOFR3mo_PX[[#This Row],[Column205]]</f>
        <v>97.204999999999998</v>
      </c>
      <c r="GX12">
        <f>SOFR3mo_PX[[#This Row],[Column206]]</f>
        <v>97.144999999999996</v>
      </c>
      <c r="GY12">
        <f>SOFR3mo_PX[[#This Row],[Column207]]</f>
        <v>97.15</v>
      </c>
      <c r="GZ12">
        <f>SOFR3mo_PX[[#This Row],[Column208]]</f>
        <v>97.07</v>
      </c>
      <c r="HA12">
        <f>SOFR3mo_PX[[#This Row],[Column209]]</f>
        <v>97.055000000000007</v>
      </c>
      <c r="HB12">
        <f>SOFR3mo_PX[[#This Row],[Column210]]</f>
        <v>96.965000000000003</v>
      </c>
      <c r="HC12">
        <f>SOFR3mo_PX[[#This Row],[Column211]]</f>
        <v>96.905000000000001</v>
      </c>
      <c r="HD12">
        <f>SOFR3mo_PX[[#This Row],[Column212]]</f>
        <v>96.905000000000001</v>
      </c>
      <c r="HE12">
        <f>SOFR3mo_PX[[#This Row],[Column213]]</f>
        <v>96.954999999999998</v>
      </c>
      <c r="HF12">
        <f>SOFR3mo_PX[[#This Row],[Column214]]</f>
        <v>96.974999999999994</v>
      </c>
      <c r="HG12">
        <f>SOFR3mo_PX[[#This Row],[Column215]]</f>
        <v>96.974999999999994</v>
      </c>
      <c r="HH12">
        <f>SOFR3mo_PX[[#This Row],[Column216]]</f>
        <v>96.97</v>
      </c>
      <c r="HI12">
        <f>SOFR3mo_PX[[#This Row],[Column217]]</f>
        <v>96.97</v>
      </c>
      <c r="HJ12">
        <f>SOFR3mo_PX[[#This Row],[Column218]]</f>
        <v>96.885000000000005</v>
      </c>
      <c r="HK12">
        <f>SOFR3mo_PX[[#This Row],[Column219]]</f>
        <v>96.97</v>
      </c>
      <c r="HL12">
        <f>SOFR3mo_PX[[#This Row],[Column220]]</f>
        <v>96.905000000000001</v>
      </c>
      <c r="HM12">
        <f>SOFR3mo_PX[[#This Row],[Column221]]</f>
        <v>96.84</v>
      </c>
      <c r="HN12">
        <f>SOFR3mo_PX[[#This Row],[Column222]]</f>
        <v>96.825000000000003</v>
      </c>
      <c r="HO12">
        <f>SOFR3mo_PX[[#This Row],[Column223]]</f>
        <v>96.8</v>
      </c>
      <c r="HP12">
        <f>SOFR3mo_PX[[#This Row],[Column224]]</f>
        <v>96.954999999999998</v>
      </c>
      <c r="HQ12">
        <f>SOFR3mo_PX[[#This Row],[Column225]]</f>
        <v>96.935000000000002</v>
      </c>
      <c r="HR12">
        <f>SOFR3mo_PX[[#This Row],[Column226]]</f>
        <v>96.87</v>
      </c>
      <c r="HS12">
        <f>SOFR3mo_PX[[#This Row],[Column227]]</f>
        <v>96.805000000000007</v>
      </c>
      <c r="HT12">
        <f>SOFR3mo_PX[[#This Row],[Column228]]</f>
        <v>96.78</v>
      </c>
      <c r="HU12">
        <f>SOFR3mo_PX[[#This Row],[Column229]]</f>
        <v>96.814999999999998</v>
      </c>
      <c r="HV12">
        <f>SOFR3mo_PX[[#This Row],[Column230]]</f>
        <v>96.89</v>
      </c>
      <c r="HW12">
        <f>SOFR3mo_PX[[#This Row],[Column231]]</f>
        <v>96.965000000000003</v>
      </c>
      <c r="HX12">
        <f>SOFR3mo_PX[[#This Row],[Column232]]</f>
        <v>96.99</v>
      </c>
      <c r="HY12">
        <f>SOFR3mo_PX[[#This Row],[Column233]]</f>
        <v>96.775000000000006</v>
      </c>
      <c r="HZ12">
        <f>SOFR3mo_PX[[#This Row],[Column234]]</f>
        <v>96.614999999999995</v>
      </c>
      <c r="IA12">
        <f>SOFR3mo_PX[[#This Row],[Column235]]</f>
        <v>96.584999999999994</v>
      </c>
      <c r="IB12">
        <f>SOFR3mo_PX[[#This Row],[Column236]]</f>
        <v>96.55</v>
      </c>
      <c r="IC12">
        <f>SOFR3mo_PX[[#This Row],[Column237]]</f>
        <v>96.534999999999997</v>
      </c>
      <c r="ID12">
        <f>SOFR3mo_PX[[#This Row],[Column238]]</f>
        <v>96.474999999999994</v>
      </c>
      <c r="IE12">
        <f>SOFR3mo_PX[[#This Row],[Column239]]</f>
        <v>96.48</v>
      </c>
      <c r="IF12">
        <f>SOFR3mo_PX[[#This Row],[Column240]]</f>
        <v>96.474999999999994</v>
      </c>
      <c r="IG12">
        <f>SOFR3mo_PX[[#This Row],[Column241]]</f>
        <v>96.44</v>
      </c>
      <c r="IH12">
        <f>SOFR3mo_PX[[#This Row],[Column242]]</f>
        <v>96.45</v>
      </c>
      <c r="II12">
        <f>SOFR3mo_PX[[#This Row],[Column243]]</f>
        <v>96.525000000000006</v>
      </c>
      <c r="IJ12">
        <f>SOFR3mo_PX[[#This Row],[Column244]]</f>
        <v>96.57</v>
      </c>
      <c r="IK12">
        <f>SOFR3mo_PX[[#This Row],[Column245]]</f>
        <v>96.54</v>
      </c>
      <c r="IL12">
        <f>SOFR3mo_PX[[#This Row],[Column246]]</f>
        <v>96.51</v>
      </c>
      <c r="IM12">
        <f>SOFR3mo_PX[[#This Row],[Column247]]</f>
        <v>96.53</v>
      </c>
      <c r="IN12">
        <f>SOFR3mo_PX[[#This Row],[Column248]]</f>
        <v>96.504999999999995</v>
      </c>
      <c r="IO12">
        <f>SOFR3mo_PX[[#This Row],[Column249]]</f>
        <v>96.364999999999995</v>
      </c>
      <c r="IP12">
        <f>SOFR3mo_PX[[#This Row],[Column250]]</f>
        <v>96.355000000000004</v>
      </c>
      <c r="IQ12">
        <f>SOFR3mo_PX[[#This Row],[Column251]]</f>
        <v>96.37</v>
      </c>
      <c r="IR12">
        <f>SOFR3mo_PX[[#This Row],[Column252]]</f>
        <v>96.38</v>
      </c>
      <c r="IS12">
        <f>SOFR3mo_PX[[#This Row],[Column253]]</f>
        <v>96.27</v>
      </c>
      <c r="IT12">
        <f>SOFR3mo_PX[[#This Row],[Column254]]</f>
        <v>96.27</v>
      </c>
      <c r="IU12">
        <f>SOFR3mo_PX[[#This Row],[Column255]]</f>
        <v>96.174999999999997</v>
      </c>
      <c r="IV12">
        <f>SOFR3mo_PX[[#This Row],[Column256]]</f>
        <v>96.12</v>
      </c>
      <c r="IW12">
        <f>SOFR3mo_PX[[#This Row],[Column257]]</f>
        <v>96.254999999999995</v>
      </c>
      <c r="IX12">
        <f>SOFR3mo_PX[[#This Row],[Column258]]</f>
        <v>96.275000000000006</v>
      </c>
      <c r="IY12">
        <f>SOFR3mo_PX[[#This Row],[Column259]]</f>
        <v>96.24</v>
      </c>
      <c r="IZ12">
        <f>SOFR3mo_PX[[#This Row],[Column260]]</f>
        <v>96.33</v>
      </c>
      <c r="JA12">
        <f>SOFR3mo_PX[[#This Row],[Column261]]</f>
        <v>96.334999999999994</v>
      </c>
      <c r="JB12">
        <f>SOFR3mo_PX[[#This Row],[Column262]]</f>
        <v>96.33</v>
      </c>
      <c r="JC12">
        <f>SOFR3mo_PX[[#This Row],[Column263]]</f>
        <v>96.325000000000003</v>
      </c>
      <c r="JD12">
        <f>SOFR3mo_PX[[#This Row],[Column264]]</f>
        <v>96.32</v>
      </c>
      <c r="JE12">
        <f>SOFR3mo_PX[[#This Row],[Column265]]</f>
        <v>96.32</v>
      </c>
      <c r="JF12">
        <f>SOFR3mo_PX[[#This Row],[Column266]]</f>
        <v>96.245000000000005</v>
      </c>
      <c r="JG12">
        <f>SOFR3mo_PX[[#This Row],[Column267]]</f>
        <v>96.334999999999994</v>
      </c>
      <c r="JH12">
        <f>SOFR3mo_PX[[#This Row],[Column268]]</f>
        <v>96.314999999999998</v>
      </c>
      <c r="JI12">
        <f>SOFR3mo_PX[[#This Row],[Column269]]</f>
        <v>96.23</v>
      </c>
      <c r="JJ12">
        <f>SOFR3mo_PX[[#This Row],[Column270]]</f>
        <v>96.084999999999994</v>
      </c>
      <c r="JK12">
        <f>SOFR3mo_PX[[#This Row],[Column271]]</f>
        <v>96.004999999999995</v>
      </c>
      <c r="JL12">
        <f>SOFR3mo_PX[[#This Row],[Column272]]</f>
        <v>96.045000000000002</v>
      </c>
      <c r="JM12">
        <f>SOFR3mo_PX[[#This Row],[Column273]]</f>
        <v>96.22</v>
      </c>
      <c r="JN12">
        <f>SOFR3mo_PX[[#This Row],[Column274]]</f>
        <v>96.2</v>
      </c>
      <c r="JO12">
        <f>SOFR3mo_PX[[#This Row],[Column275]]</f>
        <v>96.16</v>
      </c>
      <c r="JP12">
        <f>SOFR3mo_PX[[#This Row],[Column276]]</f>
        <v>96.08</v>
      </c>
      <c r="JQ12">
        <f>SOFR3mo_PX[[#This Row],[Column277]]</f>
        <v>95.97</v>
      </c>
      <c r="JR12">
        <f>SOFR3mo_PX[[#This Row],[Column278]]</f>
        <v>95.91</v>
      </c>
      <c r="JS12">
        <f>SOFR3mo_PX[[#This Row],[Column279]]</f>
        <v>95.83</v>
      </c>
      <c r="JT12">
        <f>SOFR3mo_PX[[#This Row],[Column280]]</f>
        <v>95.9</v>
      </c>
      <c r="JU12">
        <f>SOFR3mo_PX[[#This Row],[Column281]]</f>
        <v>95.944999999999993</v>
      </c>
      <c r="JV12">
        <f>SOFR3mo_PX[[#This Row],[Column282]]</f>
        <v>95.944999999999993</v>
      </c>
      <c r="JW12">
        <f>SOFR3mo_PX[[#This Row],[Column283]]</f>
        <v>95.95</v>
      </c>
      <c r="JX12">
        <f>SOFR3mo_PX[[#This Row],[Column284]]</f>
        <v>96.02</v>
      </c>
      <c r="JY12">
        <f>SOFR3mo_PX[[#This Row],[Column285]]</f>
        <v>96.07</v>
      </c>
      <c r="JZ12">
        <f>SOFR3mo_PX[[#This Row],[Column286]]</f>
        <v>96.05</v>
      </c>
      <c r="KA12">
        <f>SOFR3mo_PX[[#This Row],[Column287]]</f>
        <v>96.055000000000007</v>
      </c>
      <c r="KB12">
        <f>SOFR3mo_PX[[#This Row],[Column288]]</f>
        <v>96.114999999999995</v>
      </c>
      <c r="KC12">
        <f>SOFR3mo_PX[[#This Row],[Column289]]</f>
        <v>96.17</v>
      </c>
      <c r="KD12">
        <f>SOFR3mo_PX[[#This Row],[Column290]]</f>
        <v>96.04</v>
      </c>
      <c r="KE12">
        <f>SOFR3mo_PX[[#This Row],[Column291]]</f>
        <v>95.984999999999999</v>
      </c>
      <c r="KF12">
        <f>SOFR3mo_PX[[#This Row],[Column292]]</f>
        <v>95.954999999999998</v>
      </c>
      <c r="KG12">
        <f>SOFR3mo_PX[[#This Row],[Column293]]</f>
        <v>96.03</v>
      </c>
      <c r="KH12">
        <f>SOFR3mo_PX[[#This Row],[Column294]]</f>
        <v>95.984999999999999</v>
      </c>
      <c r="KI12">
        <f>SOFR3mo_PX[[#This Row],[Column295]]</f>
        <v>96.025000000000006</v>
      </c>
      <c r="KJ12">
        <f>SOFR3mo_PX[[#This Row],[Column296]]</f>
        <v>96.015000000000001</v>
      </c>
      <c r="KK12">
        <f>SOFR3mo_PX[[#This Row],[Column297]]</f>
        <v>96.015000000000001</v>
      </c>
      <c r="KL12">
        <f>SOFR3mo_PX[[#This Row],[Column298]]</f>
        <v>95.91</v>
      </c>
      <c r="KM12">
        <f>SOFR3mo_PX[[#This Row],[Column299]]</f>
        <v>95.85</v>
      </c>
      <c r="KN12">
        <f>SOFR3mo_PX[[#This Row],[Column300]]</f>
        <v>95.73</v>
      </c>
      <c r="KO12">
        <f>SOFR3mo_PX[[#This Row],[Column301]]</f>
        <v>95.82</v>
      </c>
      <c r="KP12">
        <f>SOFR3mo_PX[[#This Row],[Column302]]</f>
        <v>95.765000000000001</v>
      </c>
      <c r="KQ12">
        <f>SOFR3mo_PX[[#This Row],[Column303]]</f>
        <v>95.734999999999999</v>
      </c>
      <c r="KR12">
        <f>SOFR3mo_PX[[#This Row],[Column304]]</f>
        <v>95.81</v>
      </c>
      <c r="KS12">
        <f>SOFR3mo_PX[[#This Row],[Column305]]</f>
        <v>95.86</v>
      </c>
      <c r="KT12">
        <f>SOFR3mo_PX[[#This Row],[Column306]]</f>
        <v>95.814999999999998</v>
      </c>
      <c r="KU12">
        <f>SOFR3mo_PX[[#This Row],[Column307]]</f>
        <v>95.814999999999998</v>
      </c>
      <c r="KV12">
        <f>SOFR3mo_PX[[#This Row],[Column308]]</f>
        <v>95.784999999999997</v>
      </c>
      <c r="KW12">
        <f>SOFR3mo_PX[[#This Row],[Column309]]</f>
        <v>95.875</v>
      </c>
      <c r="KX12">
        <f>SOFR3mo_PX[[#This Row],[Column310]]</f>
        <v>95.79</v>
      </c>
      <c r="KY12">
        <f>SOFR3mo_PX[[#This Row],[Column311]]</f>
        <v>95.84</v>
      </c>
      <c r="KZ12">
        <f>SOFR3mo_PX[[#This Row],[Column312]]</f>
        <v>95.954999999999998</v>
      </c>
      <c r="LA12">
        <f>SOFR3mo_PX[[#This Row],[Column313]]</f>
        <v>95.85</v>
      </c>
      <c r="LB12">
        <f>SOFR3mo_PX[[#This Row],[Column314]]</f>
        <v>95.855000000000004</v>
      </c>
      <c r="LC12">
        <f>SOFR3mo_PX[[#This Row],[Column315]]</f>
        <v>96.135000000000005</v>
      </c>
      <c r="LD12">
        <f>SOFR3mo_PX[[#This Row],[Column316]]</f>
        <v>96.08</v>
      </c>
      <c r="LE12">
        <f>SOFR3mo_PX[[#This Row],[Column317]]</f>
        <v>96.174999999999997</v>
      </c>
      <c r="LF12">
        <f>SOFR3mo_PX[[#This Row],[Column318]]</f>
        <v>96.265000000000001</v>
      </c>
      <c r="LG12">
        <f>SOFR3mo_PX[[#This Row],[Column319]]</f>
        <v>96.224999999999994</v>
      </c>
      <c r="LH12">
        <f>SOFR3mo_PX[[#This Row],[Column320]]</f>
        <v>96.204999999999998</v>
      </c>
      <c r="LI12">
        <f>SOFR3mo_PX[[#This Row],[Column321]]</f>
        <v>96.22</v>
      </c>
      <c r="LJ12">
        <f>SOFR3mo_PX[[#This Row],[Column322]]</f>
        <v>96.375</v>
      </c>
      <c r="LK12">
        <f>SOFR3mo_PX[[#This Row],[Column323]]</f>
        <v>96.375</v>
      </c>
      <c r="LL12">
        <f>SOFR3mo_PX[[#This Row],[Column324]]</f>
        <v>96.394999999999996</v>
      </c>
      <c r="LM12">
        <f>SOFR3mo_PX[[#This Row],[Column325]]</f>
        <v>96.35</v>
      </c>
      <c r="LN12">
        <f>SOFR3mo_PX[[#This Row],[Column326]]</f>
        <v>96.33</v>
      </c>
      <c r="LO12">
        <f>SOFR3mo_PX[[#This Row],[Column327]]</f>
        <v>96.37</v>
      </c>
      <c r="LP12">
        <f>SOFR3mo_PX[[#This Row],[Column328]]</f>
        <v>96.305000000000007</v>
      </c>
      <c r="LQ12">
        <f>SOFR3mo_PX[[#This Row],[Column329]]</f>
        <v>96.314999999999998</v>
      </c>
      <c r="LR12">
        <f>SOFR3mo_PX[[#This Row],[Column330]]</f>
        <v>96.23</v>
      </c>
      <c r="LS12">
        <f>SOFR3mo_PX[[#This Row],[Column331]]</f>
        <v>96.16</v>
      </c>
      <c r="LT12">
        <f>SOFR3mo_PX[[#This Row],[Column332]]</f>
        <v>96.194999999999993</v>
      </c>
      <c r="LU12">
        <f>SOFR3mo_PX[[#This Row],[Column333]]</f>
        <v>96.25</v>
      </c>
      <c r="LV12">
        <f>SOFR3mo_PX[[#This Row],[Column334]]</f>
        <v>96.4</v>
      </c>
      <c r="LW12">
        <f>SOFR3mo_PX[[#This Row],[Column335]]</f>
        <v>96.43</v>
      </c>
      <c r="LX12">
        <f>SOFR3mo_PX[[#This Row],[Column336]]</f>
        <v>96.51</v>
      </c>
      <c r="LY12">
        <f>SOFR3mo_PX[[#This Row],[Column337]]</f>
        <v>96.545000000000002</v>
      </c>
      <c r="LZ12">
        <f>SOFR3mo_PX[[#This Row],[Column338]]</f>
        <v>96.515000000000001</v>
      </c>
      <c r="MA12">
        <f>SOFR3mo_PX[[#This Row],[Column339]]</f>
        <v>96.47</v>
      </c>
      <c r="MB12">
        <f>SOFR3mo_PX[[#This Row],[Column340]]</f>
        <v>96.46</v>
      </c>
      <c r="MC12">
        <f>SOFR3mo_PX[[#This Row],[Column341]]</f>
        <v>96.38</v>
      </c>
      <c r="MD12">
        <f>SOFR3mo_PX[[#This Row],[Column342]]</f>
        <v>96.435000000000002</v>
      </c>
      <c r="ME12">
        <f>SOFR3mo_PX[[#This Row],[Column343]]</f>
        <v>96.33</v>
      </c>
      <c r="MF12">
        <f>SOFR3mo_PX[[#This Row],[Column344]]</f>
        <v>96.33</v>
      </c>
      <c r="MG12">
        <f>SOFR3mo_PX[[#This Row],[Column345]]</f>
        <v>96.28</v>
      </c>
      <c r="MH12">
        <f>SOFR3mo_PX[[#This Row],[Column346]]</f>
        <v>96.28</v>
      </c>
      <c r="MI12">
        <f>SOFR3mo_PX[[#This Row],[Column347]]</f>
        <v>96.32</v>
      </c>
      <c r="MJ12">
        <f>SOFR3mo_PX[[#This Row],[Column348]]</f>
        <v>96.28</v>
      </c>
      <c r="MK12">
        <f>SOFR3mo_PX[[#This Row],[Column349]]</f>
        <v>96.314999999999998</v>
      </c>
      <c r="ML12">
        <f>SOFR3mo_PX[[#This Row],[Column350]]</f>
        <v>96.364999999999995</v>
      </c>
      <c r="MM12">
        <f>SOFR3mo_PX[[#This Row],[Column351]]</f>
        <v>96.314999999999998</v>
      </c>
      <c r="MN12">
        <f>SOFR3mo_PX[[#This Row],[Column352]]</f>
        <v>96.314999999999998</v>
      </c>
      <c r="MO12">
        <f>SOFR3mo_PX[[#This Row],[Column353]]</f>
        <v>96.394999999999996</v>
      </c>
      <c r="MP12">
        <f>SOFR3mo_PX[[#This Row],[Column354]]</f>
        <v>96.364999999999995</v>
      </c>
      <c r="MQ12">
        <f>SOFR3mo_PX[[#This Row],[Column355]]</f>
        <v>96.284999999999997</v>
      </c>
      <c r="MR12">
        <f>SOFR3mo_PX[[#This Row],[Column356]]</f>
        <v>96.515000000000001</v>
      </c>
      <c r="MS12">
        <f>SOFR3mo_PX[[#This Row],[Column357]]</f>
        <v>96.474999999999994</v>
      </c>
      <c r="MT12">
        <f>SOFR3mo_PX[[#This Row],[Column358]]</f>
        <v>96.52</v>
      </c>
      <c r="MU12">
        <f>SOFR3mo_PX[[#This Row],[Column359]]</f>
        <v>96.59</v>
      </c>
      <c r="MV12">
        <f>SOFR3mo_PX[[#This Row],[Column360]]</f>
        <v>96.614999999999995</v>
      </c>
      <c r="MW12">
        <f>SOFR3mo_PX[[#This Row],[Column361]]</f>
        <v>96.53</v>
      </c>
      <c r="MX12">
        <f>SOFR3mo_PX[[#This Row],[Column362]]</f>
        <v>96.665000000000006</v>
      </c>
      <c r="MY12">
        <f>SOFR3mo_PX[[#This Row],[Column363]]</f>
        <v>96.864999999999995</v>
      </c>
      <c r="MZ12">
        <f>SOFR3mo_PX[[#This Row],[Column364]]</f>
        <v>96.784999999999997</v>
      </c>
      <c r="NA12">
        <f>SOFR3mo_PX[[#This Row],[Column365]]</f>
        <v>96.655000000000001</v>
      </c>
      <c r="NB12">
        <f>SOFR3mo_PX[[#This Row],[Column366]]</f>
        <v>96.68</v>
      </c>
      <c r="NC12">
        <f>SOFR3mo_PX[[#This Row],[Column367]]</f>
        <v>96.6</v>
      </c>
      <c r="ND12">
        <f>SOFR3mo_PX[[#This Row],[Column368]]</f>
        <v>96.655000000000001</v>
      </c>
      <c r="NE12">
        <f>SOFR3mo_PX[[#This Row],[Column369]]</f>
        <v>96.59</v>
      </c>
      <c r="NF12">
        <f>SOFR3mo_PX[[#This Row],[Column370]]</f>
        <v>96.63</v>
      </c>
      <c r="NG12">
        <f>SOFR3mo_PX[[#This Row],[Column371]]</f>
        <v>96.655000000000001</v>
      </c>
      <c r="NH12">
        <f>SOFR3mo_PX[[#This Row],[Column372]]</f>
        <v>96.59</v>
      </c>
      <c r="NI12">
        <f>SOFR3mo_PX[[#This Row],[Column373]]</f>
        <v>96.62</v>
      </c>
      <c r="NJ12">
        <f>SOFR3mo_PX[[#This Row],[Column374]]</f>
        <v>96.65</v>
      </c>
      <c r="NK12">
        <f>SOFR3mo_PX[[#This Row],[Column375]]</f>
        <v>96.76</v>
      </c>
      <c r="NL12">
        <f>SOFR3mo_PX[[#This Row],[Column376]]</f>
        <v>96.855000000000004</v>
      </c>
      <c r="NM12">
        <f>SOFR3mo_PX[[#This Row],[Column377]]</f>
        <v>96.855000000000004</v>
      </c>
      <c r="NN12">
        <f>SOFR3mo_PX[[#This Row],[Column378]]</f>
        <v>96.8</v>
      </c>
      <c r="NO12">
        <f>SOFR3mo_PX[[#This Row],[Column379]]</f>
        <v>96.7</v>
      </c>
      <c r="NP12">
        <f>SOFR3mo_PX[[#This Row],[Column380]]</f>
        <v>96.704999999999998</v>
      </c>
      <c r="NQ12">
        <f>SOFR3mo_PX[[#This Row],[Column381]]</f>
        <v>96.724999999999994</v>
      </c>
      <c r="NR12">
        <f>SOFR3mo_PX[[#This Row],[Column382]]</f>
        <v>96.694999999999993</v>
      </c>
      <c r="NS12">
        <f>SOFR3mo_PX[[#This Row],[Column383]]</f>
        <v>96.73</v>
      </c>
      <c r="NT12">
        <f>SOFR3mo_PX[[#This Row],[Column384]]</f>
        <v>96.844999999999999</v>
      </c>
      <c r="NU12">
        <f>SOFR3mo_PX[[#This Row],[Column385]]</f>
        <v>96.81</v>
      </c>
      <c r="NV12">
        <f>SOFR3mo_PX[[#This Row],[Column386]]</f>
        <v>96.93</v>
      </c>
      <c r="NW12">
        <f>SOFR3mo_PX[[#This Row],[Column387]]</f>
        <v>96.93</v>
      </c>
      <c r="NX12">
        <f>SOFR3mo_PX[[#This Row],[Column388]]</f>
        <v>96.9</v>
      </c>
      <c r="NY12">
        <f>SOFR3mo_PX[[#This Row],[Column389]]</f>
        <v>96.944999999999993</v>
      </c>
      <c r="NZ12">
        <f>SOFR3mo_PX[[#This Row],[Column390]]</f>
        <v>96.86</v>
      </c>
      <c r="OA12">
        <f>SOFR3mo_PX[[#This Row],[Column391]]</f>
        <v>96.834999999999994</v>
      </c>
      <c r="OB12">
        <f>SOFR3mo_PX[[#This Row],[Column392]]</f>
        <v>96.834999999999994</v>
      </c>
      <c r="OC12">
        <f>SOFR3mo_PX[[#This Row],[Column393]]</f>
        <v>96.85</v>
      </c>
      <c r="OD12">
        <f>SOFR3mo_PX[[#This Row],[Column394]]</f>
        <v>96.834999999999994</v>
      </c>
      <c r="OE12">
        <f>SOFR3mo_PX[[#This Row],[Column395]]</f>
        <v>96.76</v>
      </c>
      <c r="OF12">
        <f>SOFR3mo_PX[[#This Row],[Column396]]</f>
        <v>96.75</v>
      </c>
      <c r="OG12">
        <f>SOFR3mo_PX[[#This Row],[Column397]]</f>
        <v>96.78</v>
      </c>
      <c r="OH12">
        <f>SOFR3mo_PX[[#This Row],[Column398]]</f>
        <v>96.8</v>
      </c>
      <c r="OI12">
        <f>SOFR3mo_PX[[#This Row],[Column399]]</f>
        <v>96.685000000000002</v>
      </c>
      <c r="OJ12">
        <f>SOFR3mo_PX[[#This Row],[Column400]]</f>
        <v>96.474999999999994</v>
      </c>
      <c r="OK12">
        <f>SOFR3mo_PX[[#This Row],[Column401]]</f>
        <v>96.44</v>
      </c>
      <c r="OL12">
        <f>SOFR3mo_PX[[#This Row],[Column402]]</f>
        <v>96.454999999999998</v>
      </c>
      <c r="OM12">
        <f>SOFR3mo_PX[[#This Row],[Column403]]</f>
        <v>96.625</v>
      </c>
      <c r="ON12">
        <f>SOFR3mo_PX[[#This Row],[Column404]]</f>
        <v>96.614999999999995</v>
      </c>
      <c r="OO12">
        <f>SOFR3mo_PX[[#This Row],[Column405]]</f>
        <v>96.614999999999995</v>
      </c>
      <c r="OP12">
        <f>SOFR3mo_PX[[#This Row],[Column406]]</f>
        <v>96.5</v>
      </c>
      <c r="OQ12">
        <f>SOFR3mo_PX[[#This Row],[Column407]]</f>
        <v>96.56</v>
      </c>
      <c r="OR12">
        <f>SOFR3mo_PX[[#This Row],[Column408]]</f>
        <v>96.42</v>
      </c>
      <c r="OS12">
        <f>SOFR3mo_PX[[#This Row],[Column409]]</f>
        <v>96.504999999999995</v>
      </c>
      <c r="OT12">
        <f>SOFR3mo_PX[[#This Row],[Column410]]</f>
        <v>96.45</v>
      </c>
      <c r="OU12">
        <f>SOFR3mo_PX[[#This Row],[Column411]]</f>
        <v>96.305000000000007</v>
      </c>
      <c r="OV12">
        <f>SOFR3mo_PX[[#This Row],[Column412]]</f>
        <v>96.204999999999998</v>
      </c>
      <c r="OW12">
        <f>SOFR3mo_PX[[#This Row],[Column413]]</f>
        <v>96.265000000000001</v>
      </c>
      <c r="OX12">
        <f>SOFR3mo_PX[[#This Row],[Column414]]</f>
        <v>96.265000000000001</v>
      </c>
      <c r="OY12">
        <f>SOFR3mo_PX[[#This Row],[Column415]]</f>
        <v>96.29</v>
      </c>
      <c r="OZ12">
        <f>SOFR3mo_PX[[#This Row],[Column416]]</f>
        <v>96.245000000000005</v>
      </c>
      <c r="PA12">
        <f>SOFR3mo_PX[[#This Row],[Column417]]</f>
        <v>96.22</v>
      </c>
      <c r="PB12">
        <f>SOFR3mo_PX[[#This Row],[Column418]]</f>
        <v>96.27</v>
      </c>
      <c r="PC12">
        <f>SOFR3mo_PX[[#This Row],[Column419]]</f>
        <v>96.144999999999996</v>
      </c>
      <c r="PD12">
        <f>SOFR3mo_PX[[#This Row],[Column420]]</f>
        <v>96.265000000000001</v>
      </c>
      <c r="PE12">
        <f>SOFR3mo_PX[[#This Row],[Column421]]</f>
        <v>95.984999999999999</v>
      </c>
      <c r="PF12">
        <f>SOFR3mo_PX[[#This Row],[Column422]]</f>
        <v>95.98</v>
      </c>
      <c r="PG12">
        <f>SOFR3mo_PX[[#This Row],[Column423]]</f>
        <v>96.03</v>
      </c>
      <c r="PH12">
        <f>SOFR3mo_PX[[#This Row],[Column424]]</f>
        <v>96.14</v>
      </c>
      <c r="PI12">
        <f>SOFR3mo_PX[[#This Row],[Column425]]</f>
        <v>96.14</v>
      </c>
      <c r="PJ12">
        <f>SOFR3mo_PX[[#This Row],[Column426]]</f>
        <v>96.064999999999998</v>
      </c>
      <c r="PK12">
        <f>SOFR3mo_PX[[#This Row],[Column427]]</f>
        <v>96.194999999999993</v>
      </c>
      <c r="PL12">
        <f>SOFR3mo_PX[[#This Row],[Column428]]</f>
        <v>96.015000000000001</v>
      </c>
      <c r="PM12">
        <f>SOFR3mo_PX[[#This Row],[Column429]]</f>
        <v>95.99</v>
      </c>
      <c r="PN12">
        <f>SOFR3mo_PX[[#This Row],[Column430]]</f>
        <v>95.86</v>
      </c>
      <c r="PO12">
        <f>SOFR3mo_PX[[#This Row],[Column431]]</f>
        <v>95.88</v>
      </c>
      <c r="PP12">
        <f>SOFR3mo_PX[[#This Row],[Column432]]</f>
        <v>95.9</v>
      </c>
      <c r="PQ12">
        <f>SOFR3mo_PX[[#This Row],[Column433]]</f>
        <v>95.84</v>
      </c>
      <c r="PR12">
        <f>SOFR3mo_PX[[#This Row],[Column434]]</f>
        <v>95.7</v>
      </c>
      <c r="PS12">
        <f>SOFR3mo_PX[[#This Row],[Column435]]</f>
        <v>95.795000000000002</v>
      </c>
      <c r="PT12">
        <f>SOFR3mo_PX[[#This Row],[Column436]]</f>
        <v>95.86</v>
      </c>
      <c r="PU12">
        <f>SOFR3mo_PX[[#This Row],[Column437]]</f>
        <v>95.754999999999995</v>
      </c>
      <c r="PV12">
        <f>SOFR3mo_PX[[#This Row],[Column438]]</f>
        <v>95.605000000000004</v>
      </c>
      <c r="PW12">
        <f>SOFR3mo_PX[[#This Row],[Column439]]</f>
        <v>95.63</v>
      </c>
      <c r="PX12">
        <f>SOFR3mo_PX[[#This Row],[Column440]]</f>
        <v>95.704999999999998</v>
      </c>
      <c r="PY12">
        <f>SOFR3mo_PX[[#This Row],[Column441]]</f>
        <v>95.89</v>
      </c>
      <c r="PZ12">
        <f>SOFR3mo_PX[[#This Row],[Column442]]</f>
        <v>95.965000000000003</v>
      </c>
      <c r="QA12">
        <f>SOFR3mo_PX[[#This Row],[Column443]]</f>
        <v>95.92</v>
      </c>
      <c r="QB12">
        <f>SOFR3mo_PX[[#This Row],[Column444]]</f>
        <v>96.025000000000006</v>
      </c>
      <c r="QC12">
        <f>SOFR3mo_PX[[#This Row],[Column445]]</f>
        <v>96.02</v>
      </c>
      <c r="QD12">
        <f>SOFR3mo_PX[[#This Row],[Column446]]</f>
        <v>96.064999999999998</v>
      </c>
      <c r="QE12">
        <f>SOFR3mo_PX[[#This Row],[Column447]]</f>
        <v>95.89</v>
      </c>
      <c r="QF12">
        <f>SOFR3mo_PX[[#This Row],[Column448]]</f>
        <v>95.954999999999998</v>
      </c>
      <c r="QG12">
        <f>SOFR3mo_PX[[#This Row],[Column449]]</f>
        <v>95.91</v>
      </c>
      <c r="QH12">
        <f>SOFR3mo_PX[[#This Row],[Column450]]</f>
        <v>95.834999999999994</v>
      </c>
      <c r="QI12">
        <f>SOFR3mo_PX[[#This Row],[Column451]]</f>
        <v>95.93</v>
      </c>
      <c r="QJ12">
        <f>SOFR3mo_PX[[#This Row],[Column452]]</f>
        <v>96.045000000000002</v>
      </c>
      <c r="QK12">
        <f>SOFR3mo_PX[[#This Row],[Column453]]</f>
        <v>95.984999999999999</v>
      </c>
      <c r="QL12">
        <f>SOFR3mo_PX[[#This Row],[Column454]]</f>
        <v>95.92</v>
      </c>
      <c r="QM12">
        <f>SOFR3mo_PX[[#This Row],[Column455]]</f>
        <v>96</v>
      </c>
      <c r="QN12">
        <f>SOFR3mo_PX[[#This Row],[Column456]]</f>
        <v>96</v>
      </c>
      <c r="QO12">
        <f>SOFR3mo_PX[[#This Row],[Column457]]</f>
        <v>96.034999999999997</v>
      </c>
      <c r="QP12">
        <f>SOFR3mo_PX[[#This Row],[Column458]]</f>
        <v>95.98</v>
      </c>
      <c r="QQ12">
        <f>SOFR3mo_PX[[#This Row],[Column459]]</f>
        <v>96.08</v>
      </c>
      <c r="QR12">
        <f>SOFR3mo_PX[[#This Row],[Column460]]</f>
        <v>95.995000000000005</v>
      </c>
      <c r="QS12">
        <f>SOFR3mo_PX[[#This Row],[Column461]]</f>
        <v>96.084999999999994</v>
      </c>
      <c r="QT12">
        <f>SOFR3mo_PX[[#This Row],[Column462]]</f>
        <v>96.105000000000004</v>
      </c>
      <c r="QU12">
        <f>SOFR3mo_PX[[#This Row],[Column463]]</f>
        <v>96.144999999999996</v>
      </c>
      <c r="QV12">
        <f>SOFR3mo_PX[[#This Row],[Column464]]</f>
        <v>96.18</v>
      </c>
      <c r="QW12">
        <f>SOFR3mo_PX[[#This Row],[Column465]]</f>
        <v>96.15</v>
      </c>
      <c r="QX12">
        <f>SOFR3mo_PX[[#This Row],[Column466]]</f>
        <v>96.17</v>
      </c>
      <c r="QY12">
        <f>SOFR3mo_PX[[#This Row],[Column467]]</f>
        <v>96.185000000000002</v>
      </c>
      <c r="QZ12">
        <f>SOFR3mo_PX[[#This Row],[Column468]]</f>
        <v>96.22</v>
      </c>
      <c r="RA12">
        <f>SOFR3mo_PX[[#This Row],[Column469]]</f>
        <v>96.135000000000005</v>
      </c>
      <c r="RB12">
        <f>SOFR3mo_PX[[#This Row],[Column470]]</f>
        <v>96.224999999999994</v>
      </c>
      <c r="RC12">
        <f>SOFR3mo_PX[[#This Row],[Column471]]</f>
        <v>96.33</v>
      </c>
      <c r="RD12">
        <f>SOFR3mo_PX[[#This Row],[Column472]]</f>
        <v>96.33</v>
      </c>
      <c r="RE12">
        <f>SOFR3mo_PX[[#This Row],[Column473]]</f>
        <v>96.364999999999995</v>
      </c>
      <c r="RF12">
        <f>SOFR3mo_PX[[#This Row],[Column474]]</f>
        <v>96.34</v>
      </c>
      <c r="RG12">
        <f>SOFR3mo_PX[[#This Row],[Column475]]</f>
        <v>96.33</v>
      </c>
      <c r="RH12">
        <f>SOFR3mo_PX[[#This Row],[Column476]]</f>
        <v>96.204999999999998</v>
      </c>
      <c r="RI12">
        <f>SOFR3mo_PX[[#This Row],[Column477]]</f>
        <v>96.16</v>
      </c>
      <c r="RJ12">
        <f>SOFR3mo_PX[[#This Row],[Column478]]</f>
        <v>96.16</v>
      </c>
      <c r="RK12">
        <f>SOFR3mo_PX[[#This Row],[Column479]]</f>
        <v>96.185000000000002</v>
      </c>
      <c r="RL12">
        <f>SOFR3mo_PX[[#This Row],[Column480]]</f>
        <v>96.05</v>
      </c>
      <c r="RM12">
        <f>SOFR3mo_PX[[#This Row],[Column481]]</f>
        <v>96.084999999999994</v>
      </c>
      <c r="RN12">
        <f>SOFR3mo_PX[[#This Row],[Column482]]</f>
        <v>96.17</v>
      </c>
      <c r="RO12">
        <f>SOFR3mo_PX[[#This Row],[Column483]]</f>
        <v>96.11</v>
      </c>
      <c r="RP12">
        <f>SOFR3mo_PX[[#This Row],[Column484]]</f>
        <v>96.155000000000001</v>
      </c>
      <c r="RQ12">
        <f>SOFR3mo_PX[[#This Row],[Column485]]</f>
        <v>96.19</v>
      </c>
      <c r="RR12">
        <f>SOFR3mo_PX[[#This Row],[Column486]]</f>
        <v>96.215000000000003</v>
      </c>
      <c r="RS12">
        <f>SOFR3mo_PX[[#This Row],[Column487]]</f>
        <v>96.28</v>
      </c>
      <c r="RT12">
        <f>SOFR3mo_PX[[#This Row],[Column488]]</f>
        <v>96.42</v>
      </c>
      <c r="RU12">
        <f>SOFR3mo_PX[[#This Row],[Column489]]</f>
        <v>96.495000000000005</v>
      </c>
      <c r="RV12">
        <f>SOFR3mo_PX[[#This Row],[Column490]]</f>
        <v>96.53</v>
      </c>
      <c r="RW12">
        <f>SOFR3mo_PX[[#This Row],[Column491]]</f>
        <v>96.5</v>
      </c>
      <c r="RX12">
        <f>SOFR3mo_PX[[#This Row],[Column492]]</f>
        <v>96.454999999999998</v>
      </c>
      <c r="RY12">
        <f>SOFR3mo_PX[[#This Row],[Column493]]</f>
        <v>96.31</v>
      </c>
      <c r="RZ12">
        <f>SOFR3mo_PX[[#This Row],[Column494]]</f>
        <v>96.38</v>
      </c>
      <c r="SA12">
        <f>SOFR3mo_PX[[#This Row],[Column495]]</f>
        <v>96.325000000000003</v>
      </c>
      <c r="SB12">
        <f>SOFR3mo_PX[[#This Row],[Column496]]</f>
        <v>96.4</v>
      </c>
      <c r="SC12">
        <f>SOFR3mo_PX[[#This Row],[Column497]]</f>
        <v>96.36</v>
      </c>
      <c r="SD12">
        <f>SOFR3mo_PX[[#This Row],[Column498]]</f>
        <v>96.3</v>
      </c>
      <c r="SE12">
        <f>SOFR3mo_PX[[#This Row],[Column499]]</f>
        <v>96.484999999999999</v>
      </c>
      <c r="SF12">
        <f>SOFR3mo_PX[[#This Row],[Column500]]</f>
        <v>96.36</v>
      </c>
      <c r="SG12">
        <f>SOFR3mo_PX[[#This Row],[Column501]]</f>
        <v>96.444999999999993</v>
      </c>
      <c r="SH12">
        <f>SOFR3mo_PX[[#This Row],[Column502]]</f>
        <v>96.504999999999995</v>
      </c>
      <c r="SI12">
        <f>SOFR3mo_PX[[#This Row],[Column503]]</f>
        <v>96.515000000000001</v>
      </c>
      <c r="SJ12">
        <f>SOFR3mo_PX[[#This Row],[Column504]]</f>
        <v>96.674999999999997</v>
      </c>
      <c r="SK12">
        <f>SOFR3mo_PX[[#This Row],[Column505]]</f>
        <v>96.644999999999996</v>
      </c>
      <c r="SL12">
        <f>SOFR3mo_PX[[#This Row],[Column506]]</f>
        <v>96.64</v>
      </c>
      <c r="SM12">
        <f>SOFR3mo_PX[[#This Row],[Column507]]</f>
        <v>96.6</v>
      </c>
      <c r="SN12">
        <f>SOFR3mo_PX[[#This Row],[Column508]]</f>
        <v>96.754999999999995</v>
      </c>
      <c r="SO12">
        <f>SOFR3mo_PX[[#This Row],[Column509]]</f>
        <v>96.55</v>
      </c>
      <c r="SP12">
        <f>SOFR3mo_PX[[#This Row],[Column510]]</f>
        <v>96.35</v>
      </c>
      <c r="SQ12">
        <f>SOFR3mo_PX[[#This Row],[Column511]]</f>
        <v>96.334999999999994</v>
      </c>
      <c r="SR12">
        <f>SOFR3mo_PX[[#This Row],[Column512]]</f>
        <v>96.204999999999998</v>
      </c>
      <c r="SS12">
        <f>SOFR3mo_PX[[#This Row],[Column513]]</f>
        <v>96.17</v>
      </c>
      <c r="ST12">
        <f>SOFR3mo_PX[[#This Row],[Column514]]</f>
        <v>96.295000000000002</v>
      </c>
      <c r="SU12">
        <f>SOFR3mo_PX[[#This Row],[Column515]]</f>
        <v>96.375</v>
      </c>
      <c r="SV12">
        <f>SOFR3mo_PX[[#This Row],[Column516]]</f>
        <v>96.375</v>
      </c>
      <c r="SW12">
        <f>SOFR3mo_PX[[#This Row],[Column517]]</f>
        <v>96.46</v>
      </c>
      <c r="SX12">
        <f>SOFR3mo_PX[[#This Row],[Column518]]</f>
        <v>96.474999999999994</v>
      </c>
      <c r="SY12">
        <f>SOFR3mo_PX[[#This Row],[Column519]]</f>
        <v>96.674999999999997</v>
      </c>
      <c r="SZ12">
        <f>SOFR3mo_PX[[#This Row],[Column520]]</f>
        <v>96.605000000000004</v>
      </c>
      <c r="TA12">
        <f>SOFR3mo_PX[[#This Row],[Column521]]</f>
        <v>96.7</v>
      </c>
      <c r="TB12">
        <f>SOFR3mo_PX[[#This Row],[Column522]]</f>
        <v>96.64</v>
      </c>
      <c r="TC12">
        <f>SOFR3mo_PX[[#This Row],[Column523]]</f>
        <v>96.594999999999999</v>
      </c>
      <c r="TD12">
        <f>SOFR3mo_PX[[#This Row],[Column524]]</f>
        <v>96.694999999999993</v>
      </c>
      <c r="TE12">
        <f>SOFR3mo_PX[[#This Row],[Column525]]</f>
        <v>96.61</v>
      </c>
      <c r="TF12">
        <f>SOFR3mo_PX[[#This Row],[Column526]]</f>
        <v>96.56</v>
      </c>
      <c r="TG12">
        <f>SOFR3mo_PX[[#This Row],[Column527]]</f>
        <v>96.56</v>
      </c>
      <c r="TH12">
        <f>SOFR3mo_PX[[#This Row],[Column528]]</f>
        <v>96.67</v>
      </c>
      <c r="TI12">
        <f>SOFR3mo_PX[[#This Row],[Column529]]</f>
        <v>96.584999999999994</v>
      </c>
      <c r="TJ12">
        <f>SOFR3mo_PX[[#This Row],[Column530]]</f>
        <v>96.564999999999998</v>
      </c>
      <c r="TK12">
        <f>SOFR3mo_PX[[#This Row],[Column531]]</f>
        <v>96.724999999999994</v>
      </c>
      <c r="TL12">
        <f>SOFR3mo_PX[[#This Row],[Column532]]</f>
        <v>96.715000000000003</v>
      </c>
      <c r="TM12">
        <f>SOFR3mo_PX[[#This Row],[Column533]]</f>
        <v>96.805000000000007</v>
      </c>
      <c r="TN12">
        <f>SOFR3mo_PX[[#This Row],[Column534]]</f>
        <v>96.754999999999995</v>
      </c>
      <c r="TO12">
        <f>SOFR3mo_PX[[#This Row],[Column535]]</f>
        <v>96.814999999999998</v>
      </c>
      <c r="TP12">
        <f>SOFR3mo_PX[[#This Row],[Column536]]</f>
        <v>96.855000000000004</v>
      </c>
      <c r="TQ12">
        <f>SOFR3mo_PX[[#This Row],[Column537]]</f>
        <v>96.825000000000003</v>
      </c>
      <c r="TR12">
        <f>SOFR3mo_PX[[#This Row],[Column538]]</f>
        <v>97.004999999999995</v>
      </c>
      <c r="TS12">
        <f>SOFR3mo_PX[[#This Row],[Column539]]</f>
        <v>96.96</v>
      </c>
      <c r="TT12">
        <f>SOFR3mo_PX[[#This Row],[Column540]]</f>
        <v>96.88</v>
      </c>
      <c r="TU12">
        <f>SOFR3mo_PX[[#This Row],[Column541]]</f>
        <v>96.7</v>
      </c>
      <c r="TV12">
        <f>SOFR3mo_PX[[#This Row],[Column542]]</f>
        <v>96.7</v>
      </c>
      <c r="TW12">
        <f>SOFR3mo_PX[[#This Row],[Column543]]</f>
        <v>96.784999999999997</v>
      </c>
      <c r="TX12">
        <f>SOFR3mo_PX[[#This Row],[Column544]]</f>
        <v>96.935000000000002</v>
      </c>
      <c r="TY12">
        <f>SOFR3mo_PX[[#This Row],[Column545]]</f>
        <v>96.924999999999997</v>
      </c>
      <c r="TZ12">
        <f>SOFR3mo_PX[[#This Row],[Column546]]</f>
        <v>96.89</v>
      </c>
      <c r="UA12">
        <f>SOFR3mo_PX[[#This Row],[Column547]]</f>
        <v>96.905000000000001</v>
      </c>
      <c r="UB12">
        <f>SOFR3mo_PX[[#This Row],[Column548]]</f>
        <v>96.98</v>
      </c>
      <c r="UC12">
        <f>SOFR3mo_PX[[#This Row],[Column549]]</f>
        <v>97.12</v>
      </c>
      <c r="UD12">
        <f>SOFR3mo_PX[[#This Row],[Column550]]</f>
        <v>97.185000000000002</v>
      </c>
      <c r="UE12">
        <f>SOFR3mo_PX[[#This Row],[Column551]]</f>
        <v>97.22</v>
      </c>
      <c r="UF12">
        <f>SOFR3mo_PX[[#This Row],[Column552]]</f>
        <v>97.21</v>
      </c>
      <c r="UG12">
        <f>SOFR3mo_PX[[#This Row],[Column553]]</f>
        <v>97.314999999999998</v>
      </c>
      <c r="UH12">
        <f>SOFR3mo_PX[[#This Row],[Column554]]</f>
        <v>97.3</v>
      </c>
      <c r="UI12">
        <f>SOFR3mo_PX[[#This Row],[Column555]]</f>
        <v>97.17</v>
      </c>
      <c r="UJ12">
        <f>SOFR3mo_PX[[#This Row],[Column556]]</f>
        <v>97.16</v>
      </c>
      <c r="UK12">
        <f>SOFR3mo_PX[[#This Row],[Column557]]</f>
        <v>97.224999999999994</v>
      </c>
      <c r="UL12">
        <f>SOFR3mo_PX[[#This Row],[Column558]]</f>
        <v>97.39</v>
      </c>
      <c r="UM12">
        <f>SOFR3mo_PX[[#This Row],[Column559]]</f>
        <v>97.265000000000001</v>
      </c>
      <c r="UN12">
        <f>SOFR3mo_PX[[#This Row],[Column560]]</f>
        <v>97.21</v>
      </c>
      <c r="UO12">
        <f>SOFR3mo_PX[[#This Row],[Column561]]</f>
        <v>97.034999999999997</v>
      </c>
      <c r="UP12">
        <f>SOFR3mo_PX[[#This Row],[Column562]]</f>
        <v>97.12</v>
      </c>
      <c r="UQ12">
        <f>SOFR3mo_PX[[#This Row],[Column563]]</f>
        <v>97.055000000000007</v>
      </c>
      <c r="UR12">
        <f>SOFR3mo_PX[[#This Row],[Column564]]</f>
        <v>97.194999999999993</v>
      </c>
      <c r="US12">
        <f>SOFR3mo_PX[[#This Row],[Column565]]</f>
        <v>97.25</v>
      </c>
      <c r="UT12">
        <f>SOFR3mo_PX[[#This Row],[Column566]]</f>
        <v>97.04</v>
      </c>
      <c r="UU12">
        <f>SOFR3mo_PX[[#This Row],[Column567]]</f>
        <v>96.98</v>
      </c>
      <c r="UV12">
        <f>SOFR3mo_PX[[#This Row],[Column568]]</f>
        <v>96.995000000000005</v>
      </c>
      <c r="UW12">
        <f>SOFR3mo_PX[[#This Row],[Column569]]</f>
        <v>96.885000000000005</v>
      </c>
      <c r="UX12">
        <f>SOFR3mo_PX[[#This Row],[Column570]]</f>
        <v>96.935000000000002</v>
      </c>
      <c r="UY12">
        <f>SOFR3mo_PX[[#This Row],[Column571]]</f>
        <v>96.915000000000006</v>
      </c>
      <c r="UZ12">
        <f>SOFR3mo_PX[[#This Row],[Column572]]</f>
        <v>97.01</v>
      </c>
      <c r="VA12">
        <f>SOFR3mo_PX[[#This Row],[Column573]]</f>
        <v>97.125</v>
      </c>
      <c r="VB12">
        <f>SOFR3mo_PX[[#This Row],[Column574]]</f>
        <v>97.155000000000001</v>
      </c>
      <c r="VC12">
        <f>SOFR3mo_PX[[#This Row],[Column575]]</f>
        <v>97.05</v>
      </c>
      <c r="VD12">
        <f>SOFR3mo_PX[[#This Row],[Column576]]</f>
        <v>97.11</v>
      </c>
      <c r="VE12">
        <f>SOFR3mo_PX[[#This Row],[Column577]]</f>
        <v>97.155000000000001</v>
      </c>
      <c r="VF12">
        <f>SOFR3mo_PX[[#This Row],[Column578]]</f>
        <v>97.295000000000002</v>
      </c>
      <c r="VG12">
        <f>SOFR3mo_PX[[#This Row],[Column579]]</f>
        <v>97.314999999999998</v>
      </c>
      <c r="VH12">
        <f>SOFR3mo_PX[[#This Row],[Column580]]</f>
        <v>97.27</v>
      </c>
      <c r="VI12">
        <f>SOFR3mo_PX[[#This Row],[Column581]]</f>
        <v>97.125</v>
      </c>
      <c r="VJ12">
        <f>SOFR3mo_PX[[#This Row],[Column582]]</f>
        <v>97.01</v>
      </c>
      <c r="VK12">
        <f>SOFR3mo_PX[[#This Row],[Column583]]</f>
        <v>96.944999999999993</v>
      </c>
      <c r="VL12">
        <f>SOFR3mo_PX[[#This Row],[Column584]]</f>
        <v>96.92</v>
      </c>
      <c r="VM12">
        <f>SOFR3mo_PX[[#This Row],[Column585]]</f>
        <v>96.935000000000002</v>
      </c>
      <c r="VN12">
        <f>SOFR3mo_PX[[#This Row],[Column586]]</f>
        <v>97.004999999999995</v>
      </c>
      <c r="VO12">
        <f>SOFR3mo_PX[[#This Row],[Column587]]</f>
        <v>97.15</v>
      </c>
      <c r="VP12">
        <f>SOFR3mo_PX[[#This Row],[Column588]]</f>
        <v>97.144999999999996</v>
      </c>
      <c r="VQ12">
        <f>SOFR3mo_PX[[#This Row],[Column589]]</f>
        <v>96.98</v>
      </c>
      <c r="VR12">
        <f>SOFR3mo_PX[[#This Row],[Column590]]</f>
        <v>96.76</v>
      </c>
      <c r="VS12">
        <f>SOFR3mo_PX[[#This Row],[Column591]]</f>
        <v>96.864999999999995</v>
      </c>
      <c r="VT12">
        <f>SOFR3mo_PX[[#This Row],[Column592]]</f>
        <v>96.94</v>
      </c>
      <c r="VU12">
        <f>SOFR3mo_PX[[#This Row],[Column593]]</f>
        <v>96.644999999999996</v>
      </c>
      <c r="VV12">
        <f>SOFR3mo_PX[[#This Row],[Column594]]</f>
        <v>96.704999999999998</v>
      </c>
      <c r="VW12">
        <f>SOFR3mo_PX[[#This Row],[Column595]]</f>
        <v>96.575000000000003</v>
      </c>
      <c r="VX12">
        <f>SOFR3mo_PX[[#This Row],[Column596]]</f>
        <v>96.704999999999998</v>
      </c>
      <c r="VY12">
        <f>SOFR3mo_PX[[#This Row],[Column597]]</f>
        <v>96.61</v>
      </c>
      <c r="VZ12">
        <f>SOFR3mo_PX[[#This Row],[Column598]]</f>
        <v>96.394999999999996</v>
      </c>
      <c r="WA12">
        <f>SOFR3mo_PX[[#This Row],[Column599]]</f>
        <v>96.21</v>
      </c>
      <c r="WB12">
        <f>SOFR3mo_PX[[#This Row],[Column600]]</f>
        <v>96.194999999999993</v>
      </c>
      <c r="WC12">
        <f>SOFR3mo_PX[[#This Row],[Column601]]</f>
        <v>96.25</v>
      </c>
      <c r="WD12">
        <f>SOFR3mo_PX[[#This Row],[Column602]]</f>
        <v>96.25</v>
      </c>
      <c r="WE12">
        <f>SOFR3mo_PX[[#This Row],[Column603]]</f>
        <v>96.15</v>
      </c>
      <c r="WF12">
        <f>SOFR3mo_PX[[#This Row],[Column604]]</f>
        <v>96.24</v>
      </c>
      <c r="WG12">
        <f>SOFR3mo_PX[[#This Row],[Column605]]</f>
        <v>96.36</v>
      </c>
      <c r="WH12">
        <f>SOFR3mo_PX[[#This Row],[Column606]]</f>
        <v>96.37</v>
      </c>
      <c r="WI12">
        <f>SOFR3mo_PX[[#This Row],[Column607]]</f>
        <v>96.32</v>
      </c>
      <c r="WJ12">
        <f>SOFR3mo_PX[[#This Row],[Column608]]</f>
        <v>96.504999999999995</v>
      </c>
      <c r="WK12">
        <f>SOFR3mo_PX[[#This Row],[Column609]]</f>
        <v>96.444999999999993</v>
      </c>
      <c r="WL12">
        <f>SOFR3mo_PX[[#This Row],[Column610]]</f>
        <v>96.405000000000001</v>
      </c>
      <c r="WM12">
        <f>SOFR3mo_PX[[#This Row],[Column611]]</f>
        <v>96.54</v>
      </c>
      <c r="WN12">
        <f>SOFR3mo_PX[[#This Row],[Column612]]</f>
        <v>96.54</v>
      </c>
      <c r="WO12">
        <f>SOFR3mo_PX[[#This Row],[Column613]]</f>
        <v>96.495000000000005</v>
      </c>
      <c r="WP12">
        <f>SOFR3mo_PX[[#This Row],[Column614]]</f>
        <v>96.49</v>
      </c>
      <c r="WQ12">
        <f>SOFR3mo_PX[[#This Row],[Column615]]</f>
        <v>96.55</v>
      </c>
      <c r="WR12">
        <f>SOFR3mo_PX[[#This Row],[Column616]]</f>
        <v>96.7</v>
      </c>
      <c r="WS12">
        <f>SOFR3mo_PX[[#This Row],[Column617]]</f>
        <v>96.734999999999999</v>
      </c>
      <c r="WT12">
        <f>SOFR3mo_PX[[#This Row],[Column618]]</f>
        <v>96.75</v>
      </c>
      <c r="WU12">
        <f>SOFR3mo_PX[[#This Row],[Column619]]</f>
        <v>96.855000000000004</v>
      </c>
      <c r="WV12">
        <f>SOFR3mo_PX[[#This Row],[Column620]]</f>
        <v>96.825000000000003</v>
      </c>
      <c r="WW12">
        <f>SOFR3mo_PX[[#This Row],[Column621]]</f>
        <v>96.844999999999999</v>
      </c>
      <c r="WX12">
        <f>SOFR3mo_PX[[#This Row],[Column622]]</f>
        <v>97.025000000000006</v>
      </c>
      <c r="WY12">
        <f>SOFR3mo_PX[[#This Row],[Column623]]</f>
        <v>97.234999999999999</v>
      </c>
      <c r="WZ12">
        <f>SOFR3mo_PX[[#This Row],[Column624]]</f>
        <v>97.23</v>
      </c>
      <c r="XA12">
        <f>SOFR3mo_PX[[#This Row],[Column625]]</f>
        <v>97.075000000000003</v>
      </c>
      <c r="XB12">
        <f>SOFR3mo_PX[[#This Row],[Column626]]</f>
        <v>96.984999999999999</v>
      </c>
      <c r="XC12">
        <f>SOFR3mo_PX[[#This Row],[Column627]]</f>
        <v>97.07</v>
      </c>
      <c r="XD12">
        <f>SOFR3mo_PX[[#This Row],[Column628]]</f>
        <v>97.11</v>
      </c>
      <c r="XE12">
        <f>SOFR3mo_PX[[#This Row],[Column629]]</f>
        <v>97.165000000000006</v>
      </c>
      <c r="XF12">
        <f>SOFR3mo_PX[[#This Row],[Column630]]</f>
        <v>97.17</v>
      </c>
      <c r="XG12">
        <f>SOFR3mo_PX[[#This Row],[Column631]]</f>
        <v>97.114999999999995</v>
      </c>
      <c r="XH12">
        <f>SOFR3mo_PX[[#This Row],[Column632]]</f>
        <v>97.2</v>
      </c>
      <c r="XI12">
        <f>SOFR3mo_PX[[#This Row],[Column633]]</f>
        <v>97.295000000000002</v>
      </c>
      <c r="XJ12">
        <f>SOFR3mo_PX[[#This Row],[Column634]]</f>
        <v>97.34</v>
      </c>
      <c r="XK12">
        <f>SOFR3mo_PX[[#This Row],[Column635]]</f>
        <v>97.16</v>
      </c>
      <c r="XL12">
        <f>SOFR3mo_PX[[#This Row],[Column636]]</f>
        <v>97.135000000000005</v>
      </c>
      <c r="XM12">
        <f>SOFR3mo_PX[[#This Row],[Column637]]</f>
        <v>97.135000000000005</v>
      </c>
      <c r="XN12">
        <f>SOFR3mo_PX[[#This Row],[Column638]]</f>
        <v>97.21</v>
      </c>
      <c r="XO12">
        <f>SOFR3mo_PX[[#This Row],[Column639]]</f>
        <v>97.105000000000004</v>
      </c>
      <c r="XP12">
        <f>SOFR3mo_PX[[#This Row],[Column640]]</f>
        <v>97.03</v>
      </c>
      <c r="XQ12">
        <f>SOFR3mo_PX[[#This Row],[Column641]]</f>
        <v>97.125</v>
      </c>
      <c r="XR12">
        <f>SOFR3mo_PX[[#This Row],[Column642]]</f>
        <v>97.075000000000003</v>
      </c>
      <c r="XS12">
        <f>SOFR3mo_PX[[#This Row],[Column643]]</f>
        <v>96.814999999999998</v>
      </c>
      <c r="XT12">
        <f>SOFR3mo_PX[[#This Row],[Column644]]</f>
        <v>96.86</v>
      </c>
      <c r="XU12">
        <f>SOFR3mo_PX[[#This Row],[Column645]]</f>
        <v>96.78</v>
      </c>
      <c r="XV12">
        <f>SOFR3mo_PX[[#This Row],[Column646]]</f>
        <v>96.745000000000005</v>
      </c>
      <c r="XW12">
        <f>SOFR3mo_PX[[#This Row],[Column647]]</f>
        <v>96.745000000000005</v>
      </c>
      <c r="XX12">
        <f>SOFR3mo_PX[[#This Row],[Column648]]</f>
        <v>96.704999999999998</v>
      </c>
      <c r="XY12">
        <f>SOFR3mo_PX[[#This Row],[Column649]]</f>
        <v>96.694999999999993</v>
      </c>
      <c r="XZ12">
        <f>SOFR3mo_PX[[#This Row],[Column650]]</f>
        <v>96.71</v>
      </c>
      <c r="YA12">
        <f>SOFR3mo_PX[[#This Row],[Column651]]</f>
        <v>96.805000000000007</v>
      </c>
      <c r="YB12">
        <f>SOFR3mo_PX[[#This Row],[Column652]]</f>
        <v>96.805000000000007</v>
      </c>
      <c r="YC12">
        <f>SOFR3mo_PX[[#This Row],[Column653]]</f>
        <v>96.905000000000001</v>
      </c>
      <c r="YD12">
        <f>SOFR3mo_PX[[#This Row],[Column654]]</f>
        <v>96.935000000000002</v>
      </c>
      <c r="YE12">
        <f>SOFR3mo_PX[[#This Row],[Column655]]</f>
        <v>96.864999999999995</v>
      </c>
      <c r="YF12">
        <f>SOFR3mo_PX[[#This Row],[Column656]]</f>
        <v>96.93</v>
      </c>
      <c r="YG12">
        <f>SOFR3mo_PX[[#This Row],[Column657]]</f>
        <v>97.02</v>
      </c>
      <c r="YH12">
        <f>SOFR3mo_PX[[#This Row],[Column658]]</f>
        <v>97</v>
      </c>
      <c r="YI12">
        <f>SOFR3mo_PX[[#This Row],[Column659]]</f>
        <v>96.98</v>
      </c>
      <c r="YJ12">
        <f>SOFR3mo_PX[[#This Row],[Column660]]</f>
        <v>96.974999999999994</v>
      </c>
      <c r="YK12">
        <f>SOFR3mo_PX[[#This Row],[Column661]]</f>
        <v>96.82</v>
      </c>
      <c r="YL12">
        <f>SOFR3mo_PX[[#This Row],[Column662]]</f>
        <v>96.9</v>
      </c>
      <c r="YM12">
        <f>SOFR3mo_PX[[#This Row],[Column663]]</f>
        <v>96.944999999999993</v>
      </c>
      <c r="YN12">
        <f>SOFR3mo_PX[[#This Row],[Column664]]</f>
        <v>97.045000000000002</v>
      </c>
      <c r="YO12">
        <f>SOFR3mo_PX[[#This Row],[Column665]]</f>
        <v>96.93</v>
      </c>
      <c r="YP12">
        <f>SOFR3mo_PX[[#This Row],[Column666]]</f>
        <v>96.89</v>
      </c>
      <c r="YQ12">
        <f>SOFR3mo_PX[[#This Row],[Column667]]</f>
        <v>97.025000000000006</v>
      </c>
      <c r="YR12">
        <f>SOFR3mo_PX[[#This Row],[Column668]]</f>
        <v>96.99</v>
      </c>
      <c r="YS12">
        <f>SOFR3mo_PX[[#This Row],[Column669]]</f>
        <v>96.83</v>
      </c>
      <c r="YT12">
        <f>SOFR3mo_PX[[#This Row],[Column670]]</f>
        <v>96.674999999999997</v>
      </c>
      <c r="YU12">
        <f>SOFR3mo_PX[[#This Row],[Column671]]</f>
        <v>96.68</v>
      </c>
      <c r="YV12">
        <f>SOFR3mo_PX[[#This Row],[Column672]]</f>
        <v>96.685000000000002</v>
      </c>
      <c r="YW12">
        <f>SOFR3mo_PX[[#This Row],[Column673]]</f>
        <v>96.69</v>
      </c>
      <c r="YX12">
        <f>SOFR3mo_PX[[#This Row],[Column674]]</f>
        <v>96.69</v>
      </c>
      <c r="YY12">
        <f>SOFR3mo_PX[[#This Row],[Column675]]</f>
        <v>96.65</v>
      </c>
      <c r="YZ12">
        <f>SOFR3mo_PX[[#This Row],[Column676]]</f>
        <v>96.504999999999995</v>
      </c>
      <c r="ZA12">
        <f>SOFR3mo_PX[[#This Row],[Column677]]</f>
        <v>96.52</v>
      </c>
      <c r="ZB12">
        <f>SOFR3mo_PX[[#This Row],[Column678]]</f>
        <v>96.62</v>
      </c>
      <c r="ZC12">
        <f>SOFR3mo_PX[[#This Row],[Column679]]</f>
        <v>96.74</v>
      </c>
      <c r="ZD12">
        <f>SOFR3mo_PX[[#This Row],[Column680]]</f>
        <v>96.66</v>
      </c>
      <c r="ZE12">
        <f>SOFR3mo_PX[[#This Row],[Column681]]</f>
        <v>96.51</v>
      </c>
      <c r="ZF12">
        <f>SOFR3mo_PX[[#This Row],[Column682]]</f>
        <v>96.564999999999998</v>
      </c>
      <c r="ZG12">
        <f>SOFR3mo_PX[[#This Row],[Column683]]</f>
        <v>96.52</v>
      </c>
      <c r="ZH12">
        <f>SOFR3mo_PX[[#This Row],[Column684]]</f>
        <v>96.13</v>
      </c>
      <c r="ZI12">
        <f>SOFR3mo_PX[[#This Row],[Column685]]</f>
        <v>96.05</v>
      </c>
      <c r="ZJ12">
        <f>SOFR3mo_PX[[#This Row],[Column686]]</f>
        <v>95.97</v>
      </c>
      <c r="ZK12">
        <f>SOFR3mo_PX[[#This Row],[Column687]]</f>
        <v>96.025000000000006</v>
      </c>
      <c r="ZL12">
        <f>SOFR3mo_PX[[#This Row],[Column688]]</f>
        <v>95.984999999999999</v>
      </c>
      <c r="ZM12">
        <f>SOFR3mo_PX[[#This Row],[Column689]]</f>
        <v>96.11</v>
      </c>
      <c r="ZN12">
        <f>SOFR3mo_PX[[#This Row],[Column690]]</f>
        <v>96.15</v>
      </c>
      <c r="ZO12">
        <f>SOFR3mo_PX[[#This Row],[Column691]]</f>
        <v>96.17</v>
      </c>
      <c r="ZP12">
        <f>SOFR3mo_PX[[#This Row],[Column692]]</f>
        <v>96.224999999999994</v>
      </c>
      <c r="ZQ12">
        <f>SOFR3mo_PX[[#This Row],[Column693]]</f>
        <v>96.355000000000004</v>
      </c>
      <c r="ZR12">
        <f>SOFR3mo_PX[[#This Row],[Column694]]</f>
        <v>96.234999999999999</v>
      </c>
      <c r="ZS12">
        <f>SOFR3mo_PX[[#This Row],[Column695]]</f>
        <v>96.165000000000006</v>
      </c>
      <c r="ZT12">
        <f>SOFR3mo_PX[[#This Row],[Column696]]</f>
        <v>96.094999999999999</v>
      </c>
      <c r="ZU12">
        <f>SOFR3mo_PX[[#This Row],[Column697]]</f>
        <v>96.055000000000007</v>
      </c>
      <c r="ZV12">
        <f>SOFR3mo_PX[[#This Row],[Column698]]</f>
        <v>95.92</v>
      </c>
      <c r="ZW12">
        <f>SOFR3mo_PX[[#This Row],[Column699]]</f>
        <v>96.055000000000007</v>
      </c>
      <c r="ZX12">
        <f>SOFR3mo_PX[[#This Row],[Column700]]</f>
        <v>96.215000000000003</v>
      </c>
      <c r="ZY12">
        <f>SOFR3mo_PX[[#This Row],[Column701]]</f>
        <v>96.2</v>
      </c>
      <c r="ZZ12">
        <f>SOFR3mo_PX[[#This Row],[Column702]]</f>
        <v>96.15</v>
      </c>
      <c r="AAA12">
        <f>SOFR3mo_PX[[#This Row],[Column703]]</f>
        <v>96.21</v>
      </c>
      <c r="AAB12">
        <f>SOFR3mo_PX[[#This Row],[Column704]]</f>
        <v>96.275000000000006</v>
      </c>
      <c r="AAC12">
        <f>SOFR3mo_PX[[#This Row],[Column705]]</f>
        <v>96.2</v>
      </c>
      <c r="AAD12">
        <f>SOFR3mo_PX[[#This Row],[Column706]]</f>
        <v>96.215000000000003</v>
      </c>
      <c r="AAE12">
        <f>SOFR3mo_PX[[#This Row],[Column707]]</f>
        <v>96.245000000000005</v>
      </c>
      <c r="AAF12">
        <f>SOFR3mo_PX[[#This Row],[Column708]]</f>
        <v>96.32</v>
      </c>
      <c r="AAG12">
        <f>SOFR3mo_PX[[#This Row],[Column709]]</f>
        <v>96.4</v>
      </c>
      <c r="AAH12">
        <f>SOFR3mo_PX[[#This Row],[Column710]]</f>
        <v>96.545000000000002</v>
      </c>
      <c r="AAI12">
        <f>SOFR3mo_PX[[#This Row],[Column711]]</f>
        <v>96.454999999999998</v>
      </c>
      <c r="AAJ12">
        <f>SOFR3mo_PX[[#This Row],[Column712]]</f>
        <v>96.314999999999998</v>
      </c>
      <c r="AAK12">
        <f>SOFR3mo_PX[[#This Row],[Column713]]</f>
        <v>96.39</v>
      </c>
      <c r="AAL12">
        <f>SOFR3mo_PX[[#This Row],[Column714]]</f>
        <v>96.45</v>
      </c>
      <c r="AAM12">
        <f>SOFR3mo_PX[[#This Row],[Column715]]</f>
        <v>96.16</v>
      </c>
      <c r="AAN12">
        <f>SOFR3mo_PX[[#This Row],[Column716]]</f>
        <v>96.155000000000001</v>
      </c>
      <c r="AAO12">
        <f>SOFR3mo_PX[[#This Row],[Column717]]</f>
        <v>96.344999999999999</v>
      </c>
      <c r="AAP12">
        <f>SOFR3mo_PX[[#This Row],[Column718]]</f>
        <v>96.43</v>
      </c>
      <c r="AAQ12">
        <f>SOFR3mo_PX[[#This Row],[Column719]]</f>
        <v>96.614999999999995</v>
      </c>
      <c r="AAR12">
        <f>SOFR3mo_PX[[#This Row],[Column720]]</f>
        <v>96.49</v>
      </c>
      <c r="AAS12">
        <f>SOFR3mo_PX[[#This Row],[Column721]]</f>
        <v>96.555000000000007</v>
      </c>
      <c r="AAT12">
        <f>SOFR3mo_PX[[#This Row],[Column722]]</f>
        <v>96.644999999999996</v>
      </c>
      <c r="AAU12">
        <f>SOFR3mo_PX[[#This Row],[Column723]]</f>
        <v>96.58</v>
      </c>
      <c r="AAV12">
        <f>SOFR3mo_PX[[#This Row],[Column724]]</f>
        <v>96.69</v>
      </c>
      <c r="AAW12">
        <f>SOFR3mo_PX[[#This Row],[Column725]]</f>
        <v>96.72</v>
      </c>
      <c r="AAX12">
        <f>SOFR3mo_PX[[#This Row],[Column726]]</f>
        <v>96.855000000000004</v>
      </c>
      <c r="AAY12">
        <f>SOFR3mo_PX[[#This Row],[Column727]]</f>
        <v>96.86</v>
      </c>
      <c r="AAZ12">
        <f>SOFR3mo_PX[[#This Row],[Column728]]</f>
        <v>96.915000000000006</v>
      </c>
      <c r="ABA12">
        <f>SOFR3mo_PX[[#This Row],[Column729]]</f>
        <v>96.95</v>
      </c>
      <c r="ABB12">
        <f>SOFR3mo_PX[[#This Row],[Column730]]</f>
        <v>96.85</v>
      </c>
      <c r="ABC12">
        <f>SOFR3mo_PX[[#This Row],[Column731]]</f>
        <v>96.974999999999994</v>
      </c>
      <c r="ABD12">
        <f>SOFR3mo_PX[[#This Row],[Column732]]</f>
        <v>96.974999999999994</v>
      </c>
      <c r="ABE12">
        <f>SOFR3mo_PX[[#This Row],[Column733]]</f>
        <v>96.87</v>
      </c>
      <c r="ABF12">
        <f>SOFR3mo_PX[[#This Row],[Column734]]</f>
        <v>96.974999999999994</v>
      </c>
      <c r="ABG12">
        <f>SOFR3mo_PX[[#This Row],[Column735]]</f>
        <v>96.944999999999993</v>
      </c>
      <c r="ABH12">
        <f>SOFR3mo_PX[[#This Row],[Column736]]</f>
        <v>96.965000000000003</v>
      </c>
      <c r="ABI12">
        <f>SOFR3mo_PX[[#This Row],[Column737]]</f>
        <v>97.02</v>
      </c>
      <c r="ABJ12">
        <f>SOFR3mo_PX[[#This Row],[Column738]]</f>
        <v>97.055000000000007</v>
      </c>
      <c r="ABK12">
        <f>SOFR3mo_PX[[#This Row],[Column739]]</f>
        <v>97.015000000000001</v>
      </c>
      <c r="ABL12">
        <f>SOFR3mo_PX[[#This Row],[Column740]]</f>
        <v>97.06</v>
      </c>
      <c r="ABM12">
        <f>SOFR3mo_PX[[#This Row],[Column741]]</f>
        <v>97.04</v>
      </c>
      <c r="ABN12">
        <f>SOFR3mo_PX[[#This Row],[Column742]]</f>
        <v>97.14</v>
      </c>
      <c r="ABO12">
        <f>SOFR3mo_PX[[#This Row],[Column743]]</f>
        <v>97.224999999999994</v>
      </c>
      <c r="ABP12">
        <f>SOFR3mo_PX[[#This Row],[Column744]]</f>
        <v>97.204999999999998</v>
      </c>
      <c r="ABQ12">
        <f>SOFR3mo_PX[[#This Row],[Column745]]</f>
        <v>97.34</v>
      </c>
      <c r="ABR12">
        <f>SOFR3mo_PX[[#This Row],[Column746]]</f>
        <v>97.424999999999997</v>
      </c>
      <c r="ABS12">
        <f>SOFR3mo_PX[[#This Row],[Column747]]</f>
        <v>97.34</v>
      </c>
      <c r="ABT12">
        <f>SOFR3mo_PX[[#This Row],[Column748]]</f>
        <v>97.364999999999995</v>
      </c>
      <c r="ABU12">
        <f>SOFR3mo_PX[[#This Row],[Column749]]</f>
        <v>97.42</v>
      </c>
      <c r="ABV12">
        <f>SOFR3mo_PX[[#This Row],[Column750]]</f>
        <v>97.35</v>
      </c>
      <c r="ABW12">
        <f>SOFR3mo_PX[[#This Row],[Column751]]</f>
        <v>97.46</v>
      </c>
      <c r="ABX12">
        <f>SOFR3mo_PX[[#This Row],[Column752]]</f>
        <v>97.364999999999995</v>
      </c>
      <c r="ABY12">
        <f>SOFR3mo_PX[[#This Row],[Column753]]</f>
        <v>97.584999999999994</v>
      </c>
      <c r="ABZ12">
        <f>SOFR3mo_PX[[#This Row],[Column754]]</f>
        <v>97.444999999999993</v>
      </c>
      <c r="ACA12">
        <f>SOFR3mo_PX[[#This Row],[Column755]]</f>
        <v>97.484999999999999</v>
      </c>
      <c r="ACB12">
        <f>SOFR3mo_PX[[#This Row],[Column756]]</f>
        <v>97.74</v>
      </c>
      <c r="ACC12">
        <f>SOFR3mo_PX[[#This Row],[Column757]]</f>
        <v>97.715000000000003</v>
      </c>
      <c r="ACD12">
        <f>SOFR3mo_PX[[#This Row],[Column758]]</f>
        <v>97.694999999999993</v>
      </c>
      <c r="ACE12">
        <f>SOFR3mo_PX[[#This Row],[Column759]]</f>
        <v>97.605000000000004</v>
      </c>
      <c r="ACF12">
        <f>SOFR3mo_PX[[#This Row],[Column760]]</f>
        <v>97.54</v>
      </c>
      <c r="ACG12">
        <f>SOFR3mo_PX[[#This Row],[Column761]]</f>
        <v>97.564999999999998</v>
      </c>
      <c r="ACH12">
        <f>SOFR3mo_PX[[#This Row],[Column762]]</f>
        <v>97.59</v>
      </c>
      <c r="ACI12">
        <f>SOFR3mo_PX[[#This Row],[Column763]]</f>
        <v>97.43</v>
      </c>
      <c r="ACJ12">
        <f>SOFR3mo_PX[[#This Row],[Column764]]</f>
        <v>97.224999999999994</v>
      </c>
      <c r="ACK12">
        <f>SOFR3mo_PX[[#This Row],[Column765]]</f>
        <v>97.24</v>
      </c>
      <c r="ACL12">
        <f>SOFR3mo_PX[[#This Row],[Column766]]</f>
        <v>97.334999999999994</v>
      </c>
      <c r="ACM12">
        <f>SOFR3mo_PX[[#This Row],[Column767]]</f>
        <v>97.375</v>
      </c>
      <c r="ACN12">
        <f>SOFR3mo_PX[[#This Row],[Column768]]</f>
        <v>97.4</v>
      </c>
      <c r="ACO12">
        <f>SOFR3mo_PX[[#This Row],[Column769]]</f>
        <v>97.454999999999998</v>
      </c>
      <c r="ACP12">
        <f>SOFR3mo_PX[[#This Row],[Column770]]</f>
        <v>97.42</v>
      </c>
      <c r="ACQ12">
        <f>SOFR3mo_PX[[#This Row],[Column771]]</f>
        <v>97.385000000000005</v>
      </c>
      <c r="ACR12">
        <f>SOFR3mo_PX[[#This Row],[Column772]]</f>
        <v>97.3</v>
      </c>
      <c r="ACS12">
        <f>SOFR3mo_PX[[#This Row],[Column773]]</f>
        <v>97.394999999999996</v>
      </c>
      <c r="ACT12">
        <f>SOFR3mo_PX[[#This Row],[Column774]]</f>
        <v>97.474999999999994</v>
      </c>
      <c r="ACU12">
        <f>SOFR3mo_PX[[#This Row],[Column775]]</f>
        <v>97.665000000000006</v>
      </c>
      <c r="ACV12">
        <f>SOFR3mo_PX[[#This Row],[Column776]]</f>
        <v>97.584999999999994</v>
      </c>
      <c r="ACW12">
        <f>SOFR3mo_PX[[#This Row],[Column777]]</f>
        <v>97.584999999999994</v>
      </c>
      <c r="ACX12">
        <f>SOFR3mo_PX[[#This Row],[Column778]]</f>
        <v>97.415000000000006</v>
      </c>
      <c r="ACY12">
        <f>SOFR3mo_PX[[#This Row],[Column779]]</f>
        <v>97.21</v>
      </c>
      <c r="ACZ12">
        <f>SOFR3mo_PX[[#This Row],[Column780]]</f>
        <v>97.04</v>
      </c>
      <c r="ADA12">
        <f>SOFR3mo_PX[[#This Row],[Column781]]</f>
        <v>97.04</v>
      </c>
      <c r="ADB12">
        <f>SOFR3mo_PX[[#This Row],[Column782]]</f>
        <v>97.13</v>
      </c>
      <c r="ADC12">
        <f>SOFR3mo_PX[[#This Row],[Column783]]</f>
        <v>97.194999999999993</v>
      </c>
      <c r="ADD12">
        <f>SOFR3mo_PX[[#This Row],[Column784]]</f>
        <v>97.075000000000003</v>
      </c>
      <c r="ADE12">
        <f>SOFR3mo_PX[[#This Row],[Column785]]</f>
        <v>96.864999999999995</v>
      </c>
      <c r="ADF12">
        <f>SOFR3mo_PX[[#This Row],[Column786]]</f>
        <v>96.855000000000004</v>
      </c>
      <c r="ADG12">
        <f>SOFR3mo_PX[[#This Row],[Column787]]</f>
        <v>96.855000000000004</v>
      </c>
      <c r="ADH12">
        <f>SOFR3mo_PX[[#This Row],[Column788]]</f>
        <v>96.825000000000003</v>
      </c>
      <c r="ADI12">
        <f>SOFR3mo_PX[[#This Row],[Column789]]</f>
        <v>96.745000000000005</v>
      </c>
      <c r="ADJ12">
        <f>SOFR3mo_PX[[#This Row],[Column790]]</f>
        <v>96.5</v>
      </c>
      <c r="ADK12">
        <f>SOFR3mo_PX[[#This Row],[Column791]]</f>
        <v>96.555000000000007</v>
      </c>
      <c r="ADL12">
        <f>SOFR3mo_PX[[#This Row],[Column792]]</f>
        <v>96.784999999999997</v>
      </c>
      <c r="ADM12">
        <f>SOFR3mo_PX[[#This Row],[Column793]]</f>
        <v>97</v>
      </c>
      <c r="ADN12">
        <f>SOFR3mo_PX[[#This Row],[Column794]]</f>
        <v>97.05</v>
      </c>
      <c r="ADO12">
        <f>SOFR3mo_PX[[#This Row],[Column795]]</f>
        <v>97.084999999999994</v>
      </c>
      <c r="ADP12">
        <f>SOFR3mo_PX[[#This Row],[Column796]]</f>
        <v>97.05</v>
      </c>
      <c r="ADQ12">
        <f>SOFR3mo_PX[[#This Row],[Column797]]</f>
        <v>97.165000000000006</v>
      </c>
      <c r="ADR12">
        <f>SOFR3mo_PX[[#This Row],[Column798]]</f>
        <v>97.215000000000003</v>
      </c>
      <c r="ADS12">
        <f>SOFR3mo_PX[[#This Row],[Column799]]</f>
        <v>97.174999999999997</v>
      </c>
      <c r="ADT12">
        <f>SOFR3mo_PX[[#This Row],[Column800]]</f>
        <v>97.325000000000003</v>
      </c>
      <c r="ADU12">
        <f>SOFR3mo_PX[[#This Row],[Column801]]</f>
        <v>97.375</v>
      </c>
      <c r="ADV12">
        <f>SOFR3mo_PX[[#This Row],[Column802]]</f>
        <v>97.375</v>
      </c>
      <c r="ADW12">
        <f>SOFR3mo_PX[[#This Row],[Column803]]</f>
        <v>97.41</v>
      </c>
      <c r="ADX12">
        <f>SOFR3mo_PX[[#This Row],[Column804]]</f>
        <v>97.43</v>
      </c>
      <c r="ADY12">
        <f>SOFR3mo_PX[[#This Row],[Column805]]</f>
        <v>97.415000000000006</v>
      </c>
      <c r="ADZ12">
        <f>SOFR3mo_PX[[#This Row],[Column806]]</f>
        <v>97.29</v>
      </c>
      <c r="AEA12">
        <f>SOFR3mo_PX[[#This Row],[Column807]]</f>
        <v>97.37</v>
      </c>
      <c r="AEB12">
        <f>SOFR3mo_PX[[#This Row],[Column808]]</f>
        <v>97.284999999999997</v>
      </c>
      <c r="AEC12">
        <f>SOFR3mo_PX[[#This Row],[Column809]]</f>
        <v>97.2</v>
      </c>
      <c r="AED12">
        <f>SOFR3mo_PX[[#This Row],[Column810]]</f>
        <v>97.15</v>
      </c>
      <c r="AEE12">
        <f>SOFR3mo_PX[[#This Row],[Column811]]</f>
        <v>97.314999999999998</v>
      </c>
      <c r="AEF12">
        <f>SOFR3mo_PX[[#This Row],[Column812]]</f>
        <v>97.215000000000003</v>
      </c>
      <c r="AEG12">
        <f>SOFR3mo_PX[[#This Row],[Column813]]</f>
        <v>97.3</v>
      </c>
      <c r="AEH12">
        <f>SOFR3mo_PX[[#This Row],[Column814]]</f>
        <v>97.165000000000006</v>
      </c>
      <c r="AEI12">
        <f>SOFR3mo_PX[[#This Row],[Column815]]</f>
        <v>97.12</v>
      </c>
      <c r="AEJ12">
        <f>SOFR3mo_PX[[#This Row],[Column816]]</f>
        <v>97.084999999999994</v>
      </c>
      <c r="AEK12">
        <f>SOFR3mo_PX[[#This Row],[Column817]]</f>
        <v>96.974999999999994</v>
      </c>
      <c r="AEL12">
        <f>SOFR3mo_PX[[#This Row],[Column818]]</f>
        <v>96.96</v>
      </c>
      <c r="AEM12">
        <f>SOFR3mo_PX[[#This Row],[Column819]]</f>
        <v>97.08</v>
      </c>
      <c r="AEN12">
        <f>SOFR3mo_PX[[#This Row],[Column820]]</f>
        <v>96.954999999999998</v>
      </c>
      <c r="AEO12">
        <f>SOFR3mo_PX[[#This Row],[Column821]]</f>
        <v>96.935000000000002</v>
      </c>
      <c r="AEP12">
        <f>SOFR3mo_PX[[#This Row],[Column822]]</f>
        <v>97.04</v>
      </c>
      <c r="AEQ12">
        <f>SOFR3mo_PX[[#This Row],[Column823]]</f>
        <v>97.06</v>
      </c>
      <c r="AER12">
        <f>SOFR3mo_PX[[#This Row],[Column824]]</f>
        <v>97.165000000000006</v>
      </c>
      <c r="AES12">
        <f>SOFR3mo_PX[[#This Row],[Column825]]</f>
        <v>97.19</v>
      </c>
      <c r="AET12">
        <f>SOFR3mo_PX[[#This Row],[Column826]]</f>
        <v>97.084999999999994</v>
      </c>
      <c r="AEU12">
        <f>SOFR3mo_PX[[#This Row],[Column827]]</f>
        <v>97</v>
      </c>
      <c r="AEV12">
        <f>SOFR3mo_PX[[#This Row],[Column828]]</f>
        <v>96.954999999999998</v>
      </c>
      <c r="AEW12">
        <f>SOFR3mo_PX[[#This Row],[Column829]]</f>
        <v>97.084999999999994</v>
      </c>
      <c r="AEX12">
        <f>SOFR3mo_PX[[#This Row],[Column830]]</f>
        <v>97.06</v>
      </c>
      <c r="AEY12">
        <f>SOFR3mo_PX[[#This Row],[Column831]]</f>
        <v>97.2</v>
      </c>
      <c r="AEZ12">
        <f>SOFR3mo_PX[[#This Row],[Column832]]</f>
        <v>97.224999999999994</v>
      </c>
      <c r="AFA12">
        <f>SOFR3mo_PX[[#This Row],[Column833]]</f>
        <v>97.224999999999994</v>
      </c>
      <c r="AFB12">
        <f>SOFR3mo_PX[[#This Row],[Column834]]</f>
        <v>97.36</v>
      </c>
      <c r="AFC12">
        <f>SOFR3mo_PX[[#This Row],[Column835]]</f>
        <v>97.31</v>
      </c>
      <c r="AFD12">
        <f>SOFR3mo_PX[[#This Row],[Column836]]</f>
        <v>97.13</v>
      </c>
      <c r="AFE12">
        <f>SOFR3mo_PX[[#This Row],[Column837]]</f>
        <v>97.12</v>
      </c>
      <c r="AFF12">
        <f>SOFR3mo_PX[[#This Row],[Column838]]</f>
        <v>97.224999999999994</v>
      </c>
      <c r="AFG12">
        <f>SOFR3mo_PX[[#This Row],[Column839]]</f>
        <v>97.174999999999997</v>
      </c>
      <c r="AFH12">
        <f>SOFR3mo_PX[[#This Row],[Column840]]</f>
        <v>97.165000000000006</v>
      </c>
      <c r="AFI12">
        <f>SOFR3mo_PX[[#This Row],[Column841]]</f>
        <v>97.27</v>
      </c>
      <c r="AFJ12">
        <f>SOFR3mo_PX[[#This Row],[Column842]]</f>
        <v>97.25</v>
      </c>
      <c r="AFK12">
        <f>SOFR3mo_PX[[#This Row],[Column843]]</f>
        <v>97.424999999999997</v>
      </c>
      <c r="AFL12">
        <f>SOFR3mo_PX[[#This Row],[Column844]]</f>
        <v>97.38</v>
      </c>
      <c r="AFM12">
        <f>SOFR3mo_PX[[#This Row],[Column845]]</f>
        <v>97.35</v>
      </c>
      <c r="AFN12">
        <f>SOFR3mo_PX[[#This Row],[Column846]]</f>
        <v>97.305000000000007</v>
      </c>
      <c r="AFO12">
        <f>SOFR3mo_PX[[#This Row],[Column847]]</f>
        <v>97.34</v>
      </c>
      <c r="AFP12">
        <f>SOFR3mo_PX[[#This Row],[Column848]]</f>
        <v>97.58</v>
      </c>
      <c r="AFQ12">
        <f>SOFR3mo_PX[[#This Row],[Column849]]</f>
        <v>97.6</v>
      </c>
      <c r="AFR12">
        <f>SOFR3mo_PX[[#This Row],[Column850]]</f>
        <v>97.53</v>
      </c>
      <c r="AFS12">
        <f>SOFR3mo_PX[[#This Row],[Column851]]</f>
        <v>97.564999999999998</v>
      </c>
      <c r="AFT12">
        <f>SOFR3mo_PX[[#This Row],[Column852]]</f>
        <v>97.765000000000001</v>
      </c>
      <c r="AFU12">
        <f>SOFR3mo_PX[[#This Row],[Column853]]</f>
        <v>97.754999999999995</v>
      </c>
      <c r="AFV12">
        <f>SOFR3mo_PX[[#This Row],[Column854]]</f>
        <v>97.734999999999999</v>
      </c>
      <c r="AFW12">
        <f>SOFR3mo_PX[[#This Row],[Column855]]</f>
        <v>97.77</v>
      </c>
      <c r="AFX12">
        <f>SOFR3mo_PX[[#This Row],[Column856]]</f>
        <v>97.8</v>
      </c>
      <c r="AFY12">
        <f>SOFR3mo_PX[[#This Row],[Column857]]</f>
        <v>97.96</v>
      </c>
      <c r="AFZ12">
        <f>SOFR3mo_PX[[#This Row],[Column858]]</f>
        <v>97.995000000000005</v>
      </c>
      <c r="AGA12">
        <f>SOFR3mo_PX[[#This Row],[Column859]]</f>
        <v>98.04</v>
      </c>
      <c r="AGB12">
        <f>SOFR3mo_PX[[#This Row],[Column860]]</f>
        <v>98.135000000000005</v>
      </c>
      <c r="AGC12">
        <f>SOFR3mo_PX[[#This Row],[Column861]]</f>
        <v>98.254999999999995</v>
      </c>
      <c r="AGD12">
        <f>SOFR3mo_PX[[#This Row],[Column862]]</f>
        <v>98.334999999999994</v>
      </c>
      <c r="AGE12">
        <f>SOFR3mo_PX[[#This Row],[Column863]]</f>
        <v>98.185000000000002</v>
      </c>
      <c r="AGF12">
        <f>SOFR3mo_PX[[#This Row],[Column864]]</f>
        <v>98.19</v>
      </c>
      <c r="AGG12">
        <f>SOFR3mo_PX[[#This Row],[Column865]]</f>
        <v>98.42</v>
      </c>
      <c r="AGH12">
        <f>SOFR3mo_PX[[#This Row],[Column866]]</f>
        <v>98.174999999999997</v>
      </c>
      <c r="AGI12">
        <f>SOFR3mo_PX[[#This Row],[Column867]]</f>
        <v>97.98</v>
      </c>
      <c r="AGJ12">
        <f>SOFR3mo_PX[[#This Row],[Column868]]</f>
        <v>98.015000000000001</v>
      </c>
      <c r="AGK12">
        <f>SOFR3mo_PX[[#This Row],[Column869]]</f>
        <v>97.995000000000005</v>
      </c>
      <c r="AGL12">
        <f>SOFR3mo_PX[[#This Row],[Column870]]</f>
        <v>98.034999999999997</v>
      </c>
      <c r="AGM12">
        <f>SOFR3mo_PX[[#This Row],[Column871]]</f>
        <v>98.075000000000003</v>
      </c>
      <c r="AGN12">
        <f>SOFR3mo_PX[[#This Row],[Column872]]</f>
        <v>98.075000000000003</v>
      </c>
      <c r="AGO12">
        <f>SOFR3mo_PX[[#This Row],[Column873]]</f>
        <v>98.045000000000002</v>
      </c>
      <c r="AGP12">
        <f>SOFR3mo_PX[[#This Row],[Column874]]</f>
        <v>97.97</v>
      </c>
      <c r="AGQ12">
        <f>SOFR3mo_PX[[#This Row],[Column875]]</f>
        <v>97.94</v>
      </c>
      <c r="AGR12">
        <f>SOFR3mo_PX[[#This Row],[Column876]]</f>
        <v>97.95</v>
      </c>
      <c r="AGS12">
        <f>SOFR3mo_PX[[#This Row],[Column877]]</f>
        <v>98.034999999999997</v>
      </c>
      <c r="AGT12">
        <f>SOFR3mo_PX[[#This Row],[Column878]]</f>
        <v>97.94</v>
      </c>
      <c r="AGU12">
        <f>SOFR3mo_PX[[#This Row],[Column879]]</f>
        <v>98.09</v>
      </c>
      <c r="AGV12">
        <f>SOFR3mo_PX[[#This Row],[Column880]]</f>
        <v>98.09</v>
      </c>
      <c r="AGW12">
        <f>SOFR3mo_PX[[#This Row],[Column881]]</f>
        <v>98.144999999999996</v>
      </c>
      <c r="AGX12">
        <f>SOFR3mo_PX[[#This Row],[Column882]]</f>
        <v>98.13</v>
      </c>
      <c r="AGY12">
        <f>SOFR3mo_PX[[#This Row],[Column883]]</f>
        <v>98.265000000000001</v>
      </c>
      <c r="AGZ12">
        <f>SOFR3mo_PX[[#This Row],[Column884]]</f>
        <v>98.314999999999998</v>
      </c>
      <c r="AHA12">
        <f>SOFR3mo_PX[[#This Row],[Column885]]</f>
        <v>98.31</v>
      </c>
      <c r="AHB12">
        <f>SOFR3mo_PX[[#This Row],[Column886]]</f>
        <v>98.314999999999998</v>
      </c>
      <c r="AHC12">
        <f>SOFR3mo_PX[[#This Row],[Column887]]</f>
        <v>98.284999999999997</v>
      </c>
      <c r="AHD12">
        <f>SOFR3mo_PX[[#This Row],[Column888]]</f>
        <v>98.245000000000005</v>
      </c>
      <c r="AHE12">
        <f>SOFR3mo_PX[[#This Row],[Column889]]</f>
        <v>98.275000000000006</v>
      </c>
      <c r="AHF12">
        <f>SOFR3mo_PX[[#This Row],[Column890]]</f>
        <v>98.364999999999995</v>
      </c>
      <c r="AHG12">
        <f>SOFR3mo_PX[[#This Row],[Column891]]</f>
        <v>98.415000000000006</v>
      </c>
      <c r="AHH12">
        <f>SOFR3mo_PX[[#This Row],[Column892]]</f>
        <v>98.33</v>
      </c>
      <c r="AHI12">
        <f>SOFR3mo_PX[[#This Row],[Column893]]</f>
        <v>98.24</v>
      </c>
      <c r="AHJ12">
        <f>SOFR3mo_PX[[#This Row],[Column894]]</f>
        <v>98.254999999999995</v>
      </c>
      <c r="AHK12">
        <f>SOFR3mo_PX[[#This Row],[Column895]]</f>
        <v>98.215000000000003</v>
      </c>
      <c r="AHL12">
        <f>SOFR3mo_PX[[#This Row],[Column896]]</f>
        <v>98.3</v>
      </c>
      <c r="AHM12">
        <f>SOFR3mo_PX[[#This Row],[Column897]]</f>
        <v>98.3</v>
      </c>
      <c r="AHN12">
        <f>SOFR3mo_PX[[#This Row],[Column898]]</f>
        <v>98.4</v>
      </c>
      <c r="AHO12">
        <f>SOFR3mo_PX[[#This Row],[Column899]]</f>
        <v>98.37</v>
      </c>
      <c r="AHP12">
        <f>SOFR3mo_PX[[#This Row],[Column900]]</f>
        <v>98.34</v>
      </c>
      <c r="AHQ12">
        <f>SOFR3mo_PX[[#This Row],[Column901]]</f>
        <v>98.3</v>
      </c>
      <c r="AHR12">
        <f>SOFR3mo_PX[[#This Row],[Column902]]</f>
        <v>98.35</v>
      </c>
      <c r="AHS12">
        <f>SOFR3mo_PX[[#This Row],[Column903]]</f>
        <v>98.405000000000001</v>
      </c>
      <c r="AHT12">
        <f>SOFR3mo_PX[[#This Row],[Column904]]</f>
        <v>98.46</v>
      </c>
      <c r="AHU12">
        <f>SOFR3mo_PX[[#This Row],[Column905]]</f>
        <v>98.534999999999997</v>
      </c>
      <c r="AHV12">
        <f>SOFR3mo_PX[[#This Row],[Column906]]</f>
        <v>98.53</v>
      </c>
      <c r="AHW12">
        <f>SOFR3mo_PX[[#This Row],[Column907]]</f>
        <v>98.64</v>
      </c>
      <c r="AHX12">
        <f>SOFR3mo_PX[[#This Row],[Column908]]</f>
        <v>98.625</v>
      </c>
      <c r="AHY12">
        <f>SOFR3mo_PX[[#This Row],[Column909]]</f>
        <v>98.605000000000004</v>
      </c>
      <c r="AHZ12">
        <f>SOFR3mo_PX[[#This Row],[Column910]]</f>
        <v>98.63</v>
      </c>
      <c r="AIA12">
        <f>SOFR3mo_PX[[#This Row],[Column911]]</f>
        <v>98.61</v>
      </c>
      <c r="AIB12">
        <f>SOFR3mo_PX[[#This Row],[Column912]]</f>
        <v>98.625</v>
      </c>
      <c r="AIC12">
        <f>SOFR3mo_PX[[#This Row],[Column913]]</f>
        <v>98.625</v>
      </c>
      <c r="AID12">
        <f>SOFR3mo_PX[[#This Row],[Column914]]</f>
        <v>98.64</v>
      </c>
      <c r="AIE12">
        <f>SOFR3mo_PX[[#This Row],[Column915]]</f>
        <v>98.635000000000005</v>
      </c>
      <c r="AIF12">
        <f>SOFR3mo_PX[[#This Row],[Column916]]</f>
        <v>98.704999999999998</v>
      </c>
      <c r="AIG12">
        <f>SOFR3mo_PX[[#This Row],[Column917]]</f>
        <v>98.694999999999993</v>
      </c>
      <c r="AIH12">
        <f>SOFR3mo_PX[[#This Row],[Column918]]</f>
        <v>98.715000000000003</v>
      </c>
      <c r="AII12">
        <f>SOFR3mo_PX[[#This Row],[Column919]]</f>
        <v>98.59</v>
      </c>
      <c r="AIJ12">
        <f>SOFR3mo_PX[[#This Row],[Column920]]</f>
        <v>98.63</v>
      </c>
      <c r="AIK12">
        <f>SOFR3mo_PX[[#This Row],[Column921]]</f>
        <v>98.644999999999996</v>
      </c>
      <c r="AIL12">
        <f>SOFR3mo_PX[[#This Row],[Column922]]</f>
        <v>98.59</v>
      </c>
      <c r="AIM12">
        <f>SOFR3mo_PX[[#This Row],[Column923]]</f>
        <v>98.555000000000007</v>
      </c>
      <c r="AIN12">
        <f>SOFR3mo_PX[[#This Row],[Column924]]</f>
        <v>98.55</v>
      </c>
      <c r="AIO12">
        <f>SOFR3mo_PX[[#This Row],[Column925]]</f>
        <v>98.54</v>
      </c>
      <c r="AIP12">
        <f>SOFR3mo_PX[[#This Row],[Column926]]</f>
        <v>98.594999999999999</v>
      </c>
      <c r="AIQ12">
        <f>SOFR3mo_PX[[#This Row],[Column927]]</f>
        <v>98.674999999999997</v>
      </c>
      <c r="AIR12">
        <f>SOFR3mo_PX[[#This Row],[Column928]]</f>
        <v>98.614999999999995</v>
      </c>
      <c r="AIS12">
        <f>SOFR3mo_PX[[#This Row],[Column929]]</f>
        <v>98.674999999999997</v>
      </c>
      <c r="AIT12">
        <f>SOFR3mo_PX[[#This Row],[Column930]]</f>
        <v>98.7</v>
      </c>
      <c r="AIU12">
        <f>SOFR3mo_PX[[#This Row],[Column931]]</f>
        <v>98.69</v>
      </c>
      <c r="AIV12">
        <f>SOFR3mo_PX[[#This Row],[Column932]]</f>
        <v>98.694999999999993</v>
      </c>
      <c r="AIW12">
        <f>SOFR3mo_PX[[#This Row],[Column933]]</f>
        <v>98.484999999999999</v>
      </c>
      <c r="AIX12">
        <f>SOFR3mo_PX[[#This Row],[Column934]]</f>
        <v>98.484999999999999</v>
      </c>
      <c r="AIY12">
        <f>SOFR3mo_PX[[#This Row],[Column935]]</f>
        <v>98.53</v>
      </c>
      <c r="AIZ12">
        <f>SOFR3mo_PX[[#This Row],[Column936]]</f>
        <v>98.53</v>
      </c>
      <c r="AJA12">
        <f>SOFR3mo_PX[[#This Row],[Column937]]</f>
        <v>98.674999999999997</v>
      </c>
      <c r="AJB12">
        <f>SOFR3mo_PX[[#This Row],[Column938]]</f>
        <v>98.674999999999997</v>
      </c>
      <c r="AJC12">
        <f>SOFR3mo_PX[[#This Row],[Column939]]</f>
        <v>98.655000000000001</v>
      </c>
      <c r="AJD12">
        <f>SOFR3mo_PX[[#This Row],[Column940]]</f>
        <v>98.614999999999995</v>
      </c>
      <c r="AJE12">
        <f>SOFR3mo_PX[[#This Row],[Column941]]</f>
        <v>98.635000000000005</v>
      </c>
      <c r="AJF12">
        <f>SOFR3mo_PX[[#This Row],[Column942]]</f>
        <v>98.65</v>
      </c>
      <c r="AJG12">
        <f>SOFR3mo_PX[[#This Row],[Column943]]</f>
        <v>98.64</v>
      </c>
      <c r="AJH12">
        <f>SOFR3mo_PX[[#This Row],[Column944]]</f>
        <v>98.704999999999998</v>
      </c>
      <c r="AJI12">
        <f>SOFR3mo_PX[[#This Row],[Column945]]</f>
        <v>98.885000000000005</v>
      </c>
      <c r="AJJ12">
        <f>SOFR3mo_PX[[#This Row],[Column946]]</f>
        <v>98.84</v>
      </c>
      <c r="AJK12">
        <f>SOFR3mo_PX[[#This Row],[Column947]]</f>
        <v>98.935000000000002</v>
      </c>
      <c r="AJL12">
        <f>SOFR3mo_PX[[#This Row],[Column948]]</f>
        <v>98.864999999999995</v>
      </c>
      <c r="AJM12">
        <f>SOFR3mo_PX[[#This Row],[Column949]]</f>
        <v>98.76</v>
      </c>
      <c r="AJN12">
        <f>SOFR3mo_PX[[#This Row],[Column950]]</f>
        <v>98.805000000000007</v>
      </c>
      <c r="AJO12">
        <f>SOFR3mo_PX[[#This Row],[Column951]]</f>
        <v>98.74</v>
      </c>
      <c r="AJP12">
        <f>SOFR3mo_PX[[#This Row],[Column952]]</f>
        <v>98.78</v>
      </c>
      <c r="AJQ12">
        <f>SOFR3mo_PX[[#This Row],[Column953]]</f>
        <v>98.795000000000002</v>
      </c>
      <c r="AJR12">
        <f>SOFR3mo_PX[[#This Row],[Column954]]</f>
        <v>98.805000000000007</v>
      </c>
      <c r="AJS12">
        <f>SOFR3mo_PX[[#This Row],[Column955]]</f>
        <v>98.79</v>
      </c>
      <c r="AJT12">
        <f>SOFR3mo_PX[[#This Row],[Column956]]</f>
        <v>98.8</v>
      </c>
      <c r="AJU12">
        <f>SOFR3mo_PX[[#This Row],[Column957]]</f>
        <v>98.76</v>
      </c>
      <c r="AJV12">
        <f>SOFR3mo_PX[[#This Row],[Column958]]</f>
        <v>98.77</v>
      </c>
      <c r="AJW12">
        <f>SOFR3mo_PX[[#This Row],[Column959]]</f>
        <v>98.864999999999995</v>
      </c>
      <c r="AJX12">
        <f>SOFR3mo_PX[[#This Row],[Column960]]</f>
        <v>98.84</v>
      </c>
      <c r="AJY12">
        <f>SOFR3mo_PX[[#This Row],[Column961]]</f>
        <v>98.805000000000007</v>
      </c>
      <c r="AJZ12">
        <f>SOFR3mo_PX[[#This Row],[Column962]]</f>
        <v>98.87</v>
      </c>
      <c r="AKA12">
        <f>SOFR3mo_PX[[#This Row],[Column963]]</f>
        <v>98.97</v>
      </c>
      <c r="AKB12">
        <f>SOFR3mo_PX[[#This Row],[Column964]]</f>
        <v>98.92</v>
      </c>
      <c r="AKC12">
        <f>SOFR3mo_PX[[#This Row],[Column965]]</f>
        <v>98.965000000000003</v>
      </c>
      <c r="AKD12">
        <f>SOFR3mo_PX[[#This Row],[Column966]]</f>
        <v>98.974999999999994</v>
      </c>
      <c r="AKE12">
        <f>SOFR3mo_PX[[#This Row],[Column967]]</f>
        <v>99.025000000000006</v>
      </c>
      <c r="AKF12">
        <f>SOFR3mo_PX[[#This Row],[Column968]]</f>
        <v>99.075000000000003</v>
      </c>
      <c r="AKG12">
        <f>SOFR3mo_PX[[#This Row],[Column969]]</f>
        <v>99.114999999999995</v>
      </c>
      <c r="AKH12">
        <f>SOFR3mo_PX[[#This Row],[Column970]]</f>
        <v>99.13</v>
      </c>
      <c r="AKI12">
        <f>SOFR3mo_PX[[#This Row],[Column971]]</f>
        <v>99.17</v>
      </c>
      <c r="AKJ12">
        <f>SOFR3mo_PX[[#This Row],[Column972]]</f>
        <v>99.17</v>
      </c>
      <c r="AKK12">
        <f>SOFR3mo_PX[[#This Row],[Column973]]</f>
        <v>99.114999999999995</v>
      </c>
      <c r="AKL12">
        <f>SOFR3mo_PX[[#This Row],[Column974]]</f>
        <v>99.1</v>
      </c>
      <c r="AKM12">
        <f>SOFR3mo_PX[[#This Row],[Column975]]</f>
        <v>99.06</v>
      </c>
      <c r="AKN12">
        <f>SOFR3mo_PX[[#This Row],[Column976]]</f>
        <v>99.07</v>
      </c>
      <c r="AKO12">
        <f>SOFR3mo_PX[[#This Row],[Column977]]</f>
        <v>99.084999999999994</v>
      </c>
      <c r="AKP12">
        <f>SOFR3mo_PX[[#This Row],[Column978]]</f>
        <v>99.1</v>
      </c>
      <c r="AKQ12">
        <f>SOFR3mo_PX[[#This Row],[Column979]]</f>
        <v>99.15</v>
      </c>
      <c r="AKR12">
        <f>SOFR3mo_PX[[#This Row],[Column980]]</f>
        <v>99.23</v>
      </c>
      <c r="AKS12">
        <f>SOFR3mo_PX[[#This Row],[Column981]]</f>
        <v>99.23</v>
      </c>
      <c r="AKT12">
        <f>SOFR3mo_PX[[#This Row],[Column982]]</f>
        <v>99.18</v>
      </c>
      <c r="AKU12">
        <f>SOFR3mo_PX[[#This Row],[Column983]]</f>
        <v>99.215000000000003</v>
      </c>
      <c r="AKV12">
        <f>SOFR3mo_PX[[#This Row],[Column984]]</f>
        <v>99.25</v>
      </c>
      <c r="AKW12">
        <f>SOFR3mo_PX[[#This Row],[Column985]]</f>
        <v>99.39</v>
      </c>
      <c r="AKX12">
        <f>SOFR3mo_PX[[#This Row],[Column986]]</f>
        <v>99.38</v>
      </c>
      <c r="AKY12">
        <f>SOFR3mo_PX[[#This Row],[Column987]]</f>
        <v>99.375</v>
      </c>
      <c r="AKZ12">
        <f>SOFR3mo_PX[[#This Row],[Column988]]</f>
        <v>99.39</v>
      </c>
      <c r="ALA12">
        <f>SOFR3mo_PX[[#This Row],[Column989]]</f>
        <v>99.38</v>
      </c>
      <c r="ALB12">
        <f>SOFR3mo_PX[[#This Row],[Column990]]</f>
        <v>99.375</v>
      </c>
      <c r="ALC12">
        <f>SOFR3mo_PX[[#This Row],[Column991]]</f>
        <v>99.415000000000006</v>
      </c>
      <c r="ALD12">
        <f>SOFR3mo_PX[[#This Row],[Column992]]</f>
        <v>99.415000000000006</v>
      </c>
      <c r="ALE12">
        <f>SOFR3mo_PX[[#This Row],[Column993]]</f>
        <v>99.41</v>
      </c>
      <c r="ALF12">
        <f>SOFR3mo_PX[[#This Row],[Column994]]</f>
        <v>99.4</v>
      </c>
      <c r="ALG12">
        <f>SOFR3mo_PX[[#This Row],[Column995]]</f>
        <v>99.41</v>
      </c>
      <c r="ALH12">
        <f>SOFR3mo_PX[[#This Row],[Column996]]</f>
        <v>99.405000000000001</v>
      </c>
      <c r="ALI12">
        <f>SOFR3mo_PX[[#This Row],[Column997]]</f>
        <v>99.364999999999995</v>
      </c>
      <c r="ALJ12">
        <f>SOFR3mo_PX[[#This Row],[Column998]]</f>
        <v>99.325000000000003</v>
      </c>
      <c r="ALK12">
        <f>SOFR3mo_PX[[#This Row],[Column999]]</f>
        <v>99.33</v>
      </c>
      <c r="ALL12">
        <f>SOFR3mo_PX[[#This Row],[Column1000]]</f>
        <v>99.36</v>
      </c>
      <c r="ALM12">
        <f>SOFR3mo_PX[[#This Row],[Column1001]]</f>
        <v>99.38</v>
      </c>
      <c r="ALN12">
        <f>SOFR3mo_PX[[#This Row],[Column1002]]</f>
        <v>99.36</v>
      </c>
      <c r="ALO12">
        <f>SOFR3mo_PX[[#This Row],[Column1003]]</f>
        <v>99.37</v>
      </c>
      <c r="ALP12">
        <f>SOFR3mo_PX[[#This Row],[Column1004]]</f>
        <v>99.364999999999995</v>
      </c>
      <c r="ALQ12">
        <f>SOFR3mo_PX[[#This Row],[Column1005]]</f>
        <v>99.375</v>
      </c>
      <c r="ALR12">
        <f>SOFR3mo_PX[[#This Row],[Column1006]]</f>
        <v>99.4</v>
      </c>
      <c r="ALS12">
        <f>SOFR3mo_PX[[#This Row],[Column1007]]</f>
        <v>99.355000000000004</v>
      </c>
      <c r="ALT12">
        <f>SOFR3mo_PX[[#This Row],[Column1008]]</f>
        <v>99.32</v>
      </c>
      <c r="ALU12">
        <f>SOFR3mo_PX[[#This Row],[Column1009]]</f>
        <v>99.334999999999994</v>
      </c>
      <c r="ALV12">
        <f>SOFR3mo_PX[[#This Row],[Column1010]]</f>
        <v>99.305000000000007</v>
      </c>
      <c r="ALW12">
        <f>SOFR3mo_PX[[#This Row],[Column1011]]</f>
        <v>99.334999999999994</v>
      </c>
      <c r="ALX12">
        <f>SOFR3mo_PX[[#This Row],[Column1012]]</f>
        <v>99.364999999999995</v>
      </c>
      <c r="ALY12">
        <f>SOFR3mo_PX[[#This Row],[Column1013]]</f>
        <v>99.42</v>
      </c>
      <c r="ALZ12">
        <f>SOFR3mo_PX[[#This Row],[Column1014]]</f>
        <v>99.48</v>
      </c>
      <c r="AMA12">
        <f>SOFR3mo_PX[[#This Row],[Column1015]]</f>
        <v>99.53</v>
      </c>
      <c r="AMB12">
        <f>SOFR3mo_PX[[#This Row],[Column1016]]</f>
        <v>99.52</v>
      </c>
      <c r="AMC12">
        <f>SOFR3mo_PX[[#This Row],[Column1017]]</f>
        <v>99.46</v>
      </c>
      <c r="AMD12">
        <f>SOFR3mo_PX[[#This Row],[Column1018]]</f>
        <v>99.424999999999997</v>
      </c>
      <c r="AME12">
        <f>SOFR3mo_PX[[#This Row],[Column1019]]</f>
        <v>99.405000000000001</v>
      </c>
      <c r="AMF12">
        <f>SOFR3mo_PX[[#This Row],[Column1020]]</f>
        <v>99.47</v>
      </c>
      <c r="AMG12">
        <f>SOFR3mo_PX[[#This Row],[Column1021]]</f>
        <v>99.444999999999993</v>
      </c>
      <c r="AMH12">
        <f>SOFR3mo_PX[[#This Row],[Column1022]]</f>
        <v>99.454999999999998</v>
      </c>
      <c r="AMI12">
        <f>SOFR3mo_PX[[#This Row],[Column1023]]</f>
        <v>99.46</v>
      </c>
      <c r="AMJ12">
        <f>SOFR3mo_PX[[#This Row],[Column1024]]</f>
        <v>99.444999999999993</v>
      </c>
      <c r="AMK12">
        <f>SOFR3mo_PX[[#This Row],[Column1025]]</f>
        <v>99.51</v>
      </c>
      <c r="AML12">
        <f>SOFR3mo_PX[[#This Row],[Column1026]]</f>
        <v>99.48</v>
      </c>
      <c r="AMM12">
        <f>SOFR3mo_PX[[#This Row],[Column1027]]</f>
        <v>99.34</v>
      </c>
      <c r="AMN12">
        <f>SOFR3mo_PX[[#This Row],[Column1028]]</f>
        <v>99.334999999999994</v>
      </c>
      <c r="AMO12">
        <f>SOFR3mo_PX[[#This Row],[Column1029]]</f>
        <v>99.33</v>
      </c>
      <c r="AMP12">
        <f>SOFR3mo_PX[[#This Row],[Column1030]]</f>
        <v>99.284999999999997</v>
      </c>
      <c r="AMQ12">
        <f>SOFR3mo_PX[[#This Row],[Column1031]]</f>
        <v>99.364999999999995</v>
      </c>
      <c r="AMR12">
        <f>SOFR3mo_PX[[#This Row],[Column1032]]</f>
        <v>99.37</v>
      </c>
      <c r="AMS12">
        <f>SOFR3mo_PX[[#This Row],[Column1033]]</f>
        <v>99.435000000000002</v>
      </c>
      <c r="AMT12">
        <f>SOFR3mo_PX[[#This Row],[Column1034]]</f>
        <v>99.355000000000004</v>
      </c>
      <c r="AMU12">
        <f>SOFR3mo_PX[[#This Row],[Column1035]]</f>
        <v>99.34</v>
      </c>
      <c r="AMV12">
        <f>SOFR3mo_PX[[#This Row],[Column1036]]</f>
        <v>99.284999999999997</v>
      </c>
      <c r="AMW12">
        <f>SOFR3mo_PX[[#This Row],[Column1037]]</f>
        <v>99.284999999999997</v>
      </c>
      <c r="AMX12">
        <f>SOFR3mo_PX[[#This Row],[Column1038]]</f>
        <v>99.224999999999994</v>
      </c>
      <c r="AMY12">
        <f>SOFR3mo_PX[[#This Row],[Column1039]]</f>
        <v>99.26</v>
      </c>
      <c r="AMZ12">
        <f>SOFR3mo_PX[[#This Row],[Column1040]]</f>
        <v>99.25</v>
      </c>
      <c r="ANA12">
        <f>SOFR3mo_PX[[#This Row],[Column1041]]</f>
        <v>99.254999999999995</v>
      </c>
      <c r="ANB12">
        <f>SOFR3mo_PX[[#This Row],[Column1042]]</f>
        <v>99.23</v>
      </c>
      <c r="ANC12">
        <f>SOFR3mo_PX[[#This Row],[Column1043]]</f>
        <v>99.254999999999995</v>
      </c>
      <c r="AND12">
        <f>SOFR3mo_PX[[#This Row],[Column1044]]</f>
        <v>99.265000000000001</v>
      </c>
      <c r="ANE12">
        <f>SOFR3mo_PX[[#This Row],[Column1045]]</f>
        <v>99.31</v>
      </c>
      <c r="ANF12">
        <f>SOFR3mo_PX[[#This Row],[Column1046]]</f>
        <v>99.284999999999997</v>
      </c>
      <c r="ANG12">
        <f>SOFR3mo_PX[[#This Row],[Column1047]]</f>
        <v>99.26</v>
      </c>
      <c r="ANH12">
        <f>SOFR3mo_PX[[#This Row],[Column1048]]</f>
        <v>99.295000000000002</v>
      </c>
      <c r="ANI12">
        <f>SOFR3mo_PX[[#This Row],[Column1049]]</f>
        <v>99.35</v>
      </c>
      <c r="ANJ12">
        <f>SOFR3mo_PX[[#This Row],[Column1050]]</f>
        <v>99.59</v>
      </c>
      <c r="ANK12">
        <f>SOFR3mo_PX[[#This Row],[Column1051]]</f>
        <v>99.594999999999999</v>
      </c>
      <c r="ANL12">
        <f>SOFR3mo_PX[[#This Row],[Column1052]]</f>
        <v>99.614999999999995</v>
      </c>
      <c r="ANM12">
        <f>SOFR3mo_PX[[#This Row],[Column1053]]</f>
        <v>99.635000000000005</v>
      </c>
      <c r="ANN12">
        <f>SOFR3mo_PX[[#This Row],[Column1054]]</f>
        <v>99.625</v>
      </c>
      <c r="ANO12">
        <f>SOFR3mo_PX[[#This Row],[Column1055]]</f>
        <v>99.605000000000004</v>
      </c>
      <c r="ANP12">
        <f>SOFR3mo_PX[[#This Row],[Column1056]]</f>
        <v>99.594999999999999</v>
      </c>
      <c r="ANQ12">
        <f>SOFR3mo_PX[[#This Row],[Column1057]]</f>
        <v>99.6</v>
      </c>
      <c r="ANR12">
        <f>SOFR3mo_PX[[#This Row],[Column1058]]</f>
        <v>99.564999999999998</v>
      </c>
      <c r="ANS12">
        <f>SOFR3mo_PX[[#This Row],[Column1059]]</f>
        <v>99.59</v>
      </c>
      <c r="ANT12">
        <f>SOFR3mo_PX[[#This Row],[Column1060]]</f>
        <v>99.58</v>
      </c>
      <c r="ANU12">
        <f>SOFR3mo_PX[[#This Row],[Column1061]]</f>
        <v>99.59</v>
      </c>
      <c r="ANV12">
        <f>SOFR3mo_PX[[#This Row],[Column1062]]</f>
        <v>99.59</v>
      </c>
      <c r="ANW12">
        <f>SOFR3mo_PX[[#This Row],[Column1063]]</f>
        <v>99.584999999999994</v>
      </c>
      <c r="ANX12">
        <f>SOFR3mo_PX[[#This Row],[Column1064]]</f>
        <v>99.605000000000004</v>
      </c>
      <c r="ANY12">
        <f>SOFR3mo_PX[[#This Row],[Column1065]]</f>
        <v>99.6</v>
      </c>
      <c r="ANZ12">
        <f>SOFR3mo_PX[[#This Row],[Column1066]]</f>
        <v>99.57</v>
      </c>
      <c r="AOA12">
        <f>SOFR3mo_PX[[#This Row],[Column1067]]</f>
        <v>99.555000000000007</v>
      </c>
      <c r="AOB12">
        <f>SOFR3mo_PX[[#This Row],[Column1068]]</f>
        <v>99.56</v>
      </c>
      <c r="AOC12">
        <f>SOFR3mo_PX[[#This Row],[Column1069]]</f>
        <v>99.525000000000006</v>
      </c>
      <c r="AOD12">
        <f>SOFR3mo_PX[[#This Row],[Column1070]]</f>
        <v>99.56</v>
      </c>
      <c r="AOE12">
        <f>SOFR3mo_PX[[#This Row],[Column1071]]</f>
        <v>99.56</v>
      </c>
      <c r="AOF12">
        <f>SOFR3mo_PX[[#This Row],[Column1072]]</f>
        <v>99.56</v>
      </c>
      <c r="AOG12">
        <f>SOFR3mo_PX[[#This Row],[Column1073]]</f>
        <v>99.555000000000007</v>
      </c>
      <c r="AOH12">
        <f>SOFR3mo_PX[[#This Row],[Column1074]]</f>
        <v>99.53</v>
      </c>
      <c r="AOI12">
        <f>SOFR3mo_PX[[#This Row],[Column1075]]</f>
        <v>99.594999999999999</v>
      </c>
      <c r="AOJ12">
        <f>SOFR3mo_PX[[#This Row],[Column1076]]</f>
        <v>99.614999999999995</v>
      </c>
      <c r="AOK12">
        <f>SOFR3mo_PX[[#This Row],[Column1077]]</f>
        <v>99.62</v>
      </c>
      <c r="AOL12">
        <f>SOFR3mo_PX[[#This Row],[Column1078]]</f>
        <v>99.564999999999998</v>
      </c>
      <c r="AOM12">
        <f>SOFR3mo_PX[[#This Row],[Column1079]]</f>
        <v>99.56</v>
      </c>
      <c r="AON12">
        <f>SOFR3mo_PX[[#This Row],[Column1080]]</f>
        <v>99.55</v>
      </c>
      <c r="AOO12">
        <f>SOFR3mo_PX[[#This Row],[Column1081]]</f>
        <v>99.534999999999997</v>
      </c>
      <c r="AOP12">
        <f>SOFR3mo_PX[[#This Row],[Column1082]]</f>
        <v>99.515000000000001</v>
      </c>
      <c r="AOQ12">
        <f>SOFR3mo_PX[[#This Row],[Column1083]]</f>
        <v>99.51</v>
      </c>
      <c r="AOR12">
        <f>SOFR3mo_PX[[#This Row],[Column1084]]</f>
        <v>99.51</v>
      </c>
      <c r="AOS12">
        <f>SOFR3mo_PX[[#This Row],[Column1085]]</f>
        <v>99.49</v>
      </c>
      <c r="AOT12">
        <f>SOFR3mo_PX[[#This Row],[Column1086]]</f>
        <v>99.51</v>
      </c>
      <c r="AOU12">
        <f>SOFR3mo_PX[[#This Row],[Column1087]]</f>
        <v>99.52</v>
      </c>
      <c r="AOV12">
        <f>SOFR3mo_PX[[#This Row],[Column1088]]</f>
        <v>99.545000000000002</v>
      </c>
      <c r="AOW12">
        <f>SOFR3mo_PX[[#This Row],[Column1089]]</f>
        <v>99.55</v>
      </c>
      <c r="AOX12">
        <f>SOFR3mo_PX[[#This Row],[Column1090]]</f>
        <v>99.56</v>
      </c>
      <c r="AOY12">
        <f>SOFR3mo_PX[[#This Row],[Column1091]]</f>
        <v>99.54</v>
      </c>
      <c r="AOZ12">
        <f>SOFR3mo_PX[[#This Row],[Column1092]]</f>
        <v>99.525000000000006</v>
      </c>
      <c r="APA12">
        <f>SOFR3mo_PX[[#This Row],[Column1093]]</f>
        <v>99.545000000000002</v>
      </c>
      <c r="APB12">
        <f>SOFR3mo_PX[[#This Row],[Column1094]]</f>
        <v>99.49</v>
      </c>
      <c r="APC12">
        <f>SOFR3mo_PX[[#This Row],[Column1095]]</f>
        <v>99.51</v>
      </c>
      <c r="APD12">
        <f>SOFR3mo_PX[[#This Row],[Column1096]]</f>
        <v>99.444999999999993</v>
      </c>
      <c r="APE12">
        <f>SOFR3mo_PX[[#This Row],[Column1097]]</f>
        <v>99.474999999999994</v>
      </c>
      <c r="APF12">
        <f>SOFR3mo_PX[[#This Row],[Column1098]]</f>
        <v>99.495000000000005</v>
      </c>
      <c r="APG12">
        <f>SOFR3mo_PX[[#This Row],[Column1099]]</f>
        <v>99.48</v>
      </c>
      <c r="APH12">
        <f>SOFR3mo_PX[[#This Row],[Column1100]]</f>
        <v>99.45</v>
      </c>
      <c r="API12">
        <f>SOFR3mo_PX[[#This Row],[Column1101]]</f>
        <v>99.38</v>
      </c>
      <c r="APJ12">
        <f>SOFR3mo_PX[[#This Row],[Column1102]]</f>
        <v>99.344999999999999</v>
      </c>
      <c r="APK12">
        <f>SOFR3mo_PX[[#This Row],[Column1103]]</f>
        <v>99.424999999999997</v>
      </c>
      <c r="APL12">
        <f>SOFR3mo_PX[[#This Row],[Column1104]]</f>
        <v>99.415000000000006</v>
      </c>
      <c r="APM12">
        <f>SOFR3mo_PX[[#This Row],[Column1105]]</f>
        <v>99.435000000000002</v>
      </c>
      <c r="APN12">
        <f>SOFR3mo_PX[[#This Row],[Column1106]]</f>
        <v>99.444999999999993</v>
      </c>
      <c r="APO12">
        <f>SOFR3mo_PX[[#This Row],[Column1107]]</f>
        <v>99.5</v>
      </c>
      <c r="APP12">
        <f>SOFR3mo_PX[[#This Row],[Column1108]]</f>
        <v>99.53</v>
      </c>
      <c r="APQ12">
        <f>SOFR3mo_PX[[#This Row],[Column1109]]</f>
        <v>99.515000000000001</v>
      </c>
      <c r="APR12">
        <f>SOFR3mo_PX[[#This Row],[Column1110]]</f>
        <v>99.5</v>
      </c>
      <c r="APS12">
        <f>SOFR3mo_PX[[#This Row],[Column1111]]</f>
        <v>99.484999999999999</v>
      </c>
      <c r="APT12">
        <f>SOFR3mo_PX[[#This Row],[Column1112]]</f>
        <v>99.47</v>
      </c>
      <c r="APU12">
        <f>SOFR3mo_PX[[#This Row],[Column1113]]</f>
        <v>99.49</v>
      </c>
      <c r="APV12">
        <f>SOFR3mo_PX[[#This Row],[Column1114]]</f>
        <v>99.534999999999997</v>
      </c>
      <c r="APW12">
        <f>SOFR3mo_PX[[#This Row],[Column1115]]</f>
        <v>99.63</v>
      </c>
      <c r="APX12">
        <f>SOFR3mo_PX[[#This Row],[Column1116]]</f>
        <v>99.62</v>
      </c>
      <c r="APY12">
        <f>SOFR3mo_PX[[#This Row],[Column1117]]</f>
        <v>99.6</v>
      </c>
      <c r="APZ12">
        <f>SOFR3mo_PX[[#This Row],[Column1118]]</f>
        <v>99.64</v>
      </c>
      <c r="AQA12">
        <f>SOFR3mo_PX[[#This Row],[Column1119]]</f>
        <v>99.64</v>
      </c>
      <c r="AQB12">
        <f>SOFR3mo_PX[[#This Row],[Column1120]]</f>
        <v>99.61</v>
      </c>
      <c r="AQC12">
        <f>SOFR3mo_PX[[#This Row],[Column1121]]</f>
        <v>99.59</v>
      </c>
      <c r="AQD12">
        <f>SOFR3mo_PX[[#This Row],[Column1122]]</f>
        <v>99.62</v>
      </c>
      <c r="AQE12">
        <f>SOFR3mo_PX[[#This Row],[Column1123]]</f>
        <v>99.61</v>
      </c>
      <c r="AQF12">
        <f>SOFR3mo_PX[[#This Row],[Column1124]]</f>
        <v>99.644999999999996</v>
      </c>
      <c r="AQG12">
        <f>SOFR3mo_PX[[#This Row],[Column1125]]</f>
        <v>99.68</v>
      </c>
      <c r="AQH12">
        <f>SOFR3mo_PX[[#This Row],[Column1126]]</f>
        <v>99.674999999999997</v>
      </c>
      <c r="AQI12">
        <f>SOFR3mo_PX[[#This Row],[Column1127]]</f>
        <v>99.62</v>
      </c>
      <c r="AQJ12">
        <f>SOFR3mo_PX[[#This Row],[Column1128]]</f>
        <v>99.614999999999995</v>
      </c>
      <c r="AQK12">
        <f>SOFR3mo_PX[[#This Row],[Column1129]]</f>
        <v>99.75</v>
      </c>
      <c r="AQL12">
        <f>SOFR3mo_PX[[#This Row],[Column1130]]</f>
        <v>99.765000000000001</v>
      </c>
      <c r="AQM12">
        <f>SOFR3mo_PX[[#This Row],[Column1131]]</f>
        <v>99.754999999999995</v>
      </c>
      <c r="AQN12">
        <f>SOFR3mo_PX[[#This Row],[Column1132]]</f>
        <v>99.77</v>
      </c>
      <c r="AQO12">
        <f>SOFR3mo_PX[[#This Row],[Column1133]]</f>
        <v>99.784999999999997</v>
      </c>
      <c r="AQP12">
        <f>SOFR3mo_PX[[#This Row],[Column1134]]</f>
        <v>99.79</v>
      </c>
      <c r="AQQ12">
        <f>SOFR3mo_PX[[#This Row],[Column1135]]</f>
        <v>99.78</v>
      </c>
      <c r="AQR12">
        <f>SOFR3mo_PX[[#This Row],[Column1136]]</f>
        <v>99.82</v>
      </c>
      <c r="AQS12">
        <f>SOFR3mo_PX[[#This Row],[Column1137]]</f>
        <v>99.82</v>
      </c>
      <c r="AQT12">
        <f>SOFR3mo_PX[[#This Row],[Column1138]]</f>
        <v>99.83</v>
      </c>
      <c r="AQU12">
        <f>SOFR3mo_PX[[#This Row],[Column1139]]</f>
        <v>99.834999999999994</v>
      </c>
      <c r="AQV12">
        <f>SOFR3mo_PX[[#This Row],[Column1140]]</f>
        <v>99.825000000000003</v>
      </c>
      <c r="AQW12">
        <f>SOFR3mo_PX[[#This Row],[Column1141]]</f>
        <v>99.82</v>
      </c>
      <c r="AQX12">
        <f>SOFR3mo_PX[[#This Row],[Column1142]]</f>
        <v>99.83</v>
      </c>
      <c r="AQY12">
        <f>SOFR3mo_PX[[#This Row],[Column1143]]</f>
        <v>99.834999999999994</v>
      </c>
      <c r="AQZ12">
        <f>SOFR3mo_PX[[#This Row],[Column1144]]</f>
        <v>99.834999999999994</v>
      </c>
      <c r="ARA12">
        <f>SOFR3mo_PX[[#This Row],[Column1145]]</f>
        <v>99.85</v>
      </c>
      <c r="ARB12">
        <f>SOFR3mo_PX[[#This Row],[Column1146]]</f>
        <v>99.855000000000004</v>
      </c>
      <c r="ARC12">
        <f>SOFR3mo_PX[[#This Row],[Column1147]]</f>
        <v>99.85</v>
      </c>
      <c r="ARD12">
        <f>SOFR3mo_PX[[#This Row],[Column1148]]</f>
        <v>99.844999999999999</v>
      </c>
      <c r="ARE12">
        <f>SOFR3mo_PX[[#This Row],[Column1149]]</f>
        <v>99.86</v>
      </c>
      <c r="ARF12">
        <f>SOFR3mo_PX[[#This Row],[Column1150]]</f>
        <v>99.855000000000004</v>
      </c>
      <c r="ARG12">
        <f>SOFR3mo_PX[[#This Row],[Column1151]]</f>
        <v>99.86</v>
      </c>
      <c r="ARH12">
        <f>SOFR3mo_PX[[#This Row],[Column1152]]</f>
        <v>99.85</v>
      </c>
      <c r="ARI12">
        <f>SOFR3mo_PX[[#This Row],[Column1153]]</f>
        <v>99.844999999999999</v>
      </c>
      <c r="ARJ12">
        <f>SOFR3mo_PX[[#This Row],[Column1154]]</f>
        <v>99.85</v>
      </c>
      <c r="ARK12">
        <f>SOFR3mo_PX[[#This Row],[Column1155]]</f>
        <v>99.85</v>
      </c>
      <c r="ARL12">
        <f>SOFR3mo_PX[[#This Row],[Column1156]]</f>
        <v>99.84</v>
      </c>
      <c r="ARM12">
        <f>SOFR3mo_PX[[#This Row],[Column1157]]</f>
        <v>99.84</v>
      </c>
      <c r="ARN12">
        <f>SOFR3mo_PX[[#This Row],[Column1158]]</f>
        <v>99.83</v>
      </c>
      <c r="ARO12">
        <f>SOFR3mo_PX[[#This Row],[Column1159]]</f>
        <v>99.81</v>
      </c>
      <c r="ARP12">
        <f>SOFR3mo_PX[[#This Row],[Column1160]]</f>
        <v>99.784999999999997</v>
      </c>
      <c r="ARQ12">
        <f>SOFR3mo_PX[[#This Row],[Column1161]]</f>
        <v>99.784999999999997</v>
      </c>
      <c r="ARR12">
        <f>SOFR3mo_PX[[#This Row],[Column1162]]</f>
        <v>99.79</v>
      </c>
      <c r="ARS12">
        <f>SOFR3mo_PX[[#This Row],[Column1163]]</f>
        <v>99.82</v>
      </c>
      <c r="ART12">
        <f>SOFR3mo_PX[[#This Row],[Column1164]]</f>
        <v>99.844999999999999</v>
      </c>
      <c r="ARU12">
        <f>SOFR3mo_PX[[#This Row],[Column1165]]</f>
        <v>99.864999999999995</v>
      </c>
      <c r="ARV12">
        <f>SOFR3mo_PX[[#This Row],[Column1166]]</f>
        <v>99.87</v>
      </c>
      <c r="ARW12">
        <f>SOFR3mo_PX[[#This Row],[Column1167]]</f>
        <v>99.86</v>
      </c>
      <c r="ARX12">
        <f>SOFR3mo_PX[[#This Row],[Column1168]]</f>
        <v>99.86</v>
      </c>
      <c r="ARY12">
        <f>SOFR3mo_PX[[#This Row],[Column1169]]</f>
        <v>99.85</v>
      </c>
      <c r="ARZ12">
        <f>SOFR3mo_PX[[#This Row],[Column1170]]</f>
        <v>99.844999999999999</v>
      </c>
      <c r="ASA12">
        <f>SOFR3mo_PX[[#This Row],[Column1171]]</f>
        <v>99.85</v>
      </c>
      <c r="ASB12">
        <f>SOFR3mo_PX[[#This Row],[Column1172]]</f>
        <v>99.855000000000004</v>
      </c>
      <c r="ASC12">
        <f>SOFR3mo_PX[[#This Row],[Column1173]]</f>
        <v>99.855000000000004</v>
      </c>
      <c r="ASD12">
        <f>SOFR3mo_PX[[#This Row],[Column1174]]</f>
        <v>99.855000000000004</v>
      </c>
      <c r="ASE12">
        <f>SOFR3mo_PX[[#This Row],[Column1175]]</f>
        <v>99.86</v>
      </c>
      <c r="ASF12">
        <f>SOFR3mo_PX[[#This Row],[Column1176]]</f>
        <v>99.855000000000004</v>
      </c>
      <c r="ASG12">
        <f>SOFR3mo_PX[[#This Row],[Column1177]]</f>
        <v>99.855000000000004</v>
      </c>
      <c r="ASH12">
        <f>SOFR3mo_PX[[#This Row],[Column1178]]</f>
        <v>99.855000000000004</v>
      </c>
      <c r="ASI12">
        <f>SOFR3mo_PX[[#This Row],[Column1179]]</f>
        <v>99.864999999999995</v>
      </c>
      <c r="ASJ12">
        <f>SOFR3mo_PX[[#This Row],[Column1180]]</f>
        <v>99.885000000000005</v>
      </c>
      <c r="ASK12">
        <f>SOFR3mo_PX[[#This Row],[Column1181]]</f>
        <v>99.885000000000005</v>
      </c>
      <c r="ASL12">
        <f>SOFR3mo_PX[[#This Row],[Column1182]]</f>
        <v>99.88</v>
      </c>
      <c r="ASM12">
        <f>SOFR3mo_PX[[#This Row],[Column1183]]</f>
        <v>99.87</v>
      </c>
      <c r="ASN12">
        <f>SOFR3mo_PX[[#This Row],[Column1184]]</f>
        <v>99.864999999999995</v>
      </c>
      <c r="ASO12">
        <f>SOFR3mo_PX[[#This Row],[Column1185]]</f>
        <v>99.87</v>
      </c>
      <c r="ASP12">
        <f>SOFR3mo_PX[[#This Row],[Column1186]]</f>
        <v>99.87</v>
      </c>
      <c r="ASQ12">
        <f>SOFR3mo_PX[[#This Row],[Column1187]]</f>
        <v>99.855000000000004</v>
      </c>
      <c r="ASR12">
        <f>SOFR3mo_PX[[#This Row],[Column1188]]</f>
        <v>99.86</v>
      </c>
      <c r="ASS12">
        <f>SOFR3mo_PX[[#This Row],[Column1189]]</f>
        <v>99.86</v>
      </c>
      <c r="AST12">
        <f>SOFR3mo_PX[[#This Row],[Column1190]]</f>
        <v>99.86</v>
      </c>
      <c r="ASU12">
        <f>SOFR3mo_PX[[#This Row],[Column1191]]</f>
        <v>99.88</v>
      </c>
      <c r="ASV12">
        <f>SOFR3mo_PX[[#This Row],[Column1192]]</f>
        <v>99.885000000000005</v>
      </c>
      <c r="ASW12">
        <f>SOFR3mo_PX[[#This Row],[Column1193]]</f>
        <v>99.88</v>
      </c>
      <c r="ASX12">
        <f>SOFR3mo_PX[[#This Row],[Column1194]]</f>
        <v>99.88</v>
      </c>
      <c r="ASY12">
        <f>SOFR3mo_PX[[#This Row],[Column1195]]</f>
        <v>99.875</v>
      </c>
      <c r="ASZ12">
        <f>SOFR3mo_PX[[#This Row],[Column1196]]</f>
        <v>99.87</v>
      </c>
      <c r="ATA12">
        <f>SOFR3mo_PX[[#This Row],[Column1197]]</f>
        <v>99.885000000000005</v>
      </c>
      <c r="ATB12">
        <f>SOFR3mo_PX[[#This Row],[Column1198]]</f>
        <v>99.88</v>
      </c>
      <c r="ATC12">
        <f>SOFR3mo_PX[[#This Row],[Column1199]]</f>
        <v>99.88</v>
      </c>
      <c r="ATD12">
        <f>SOFR3mo_PX[[#This Row],[Column1200]]</f>
        <v>99.885000000000005</v>
      </c>
      <c r="ATE12">
        <f>SOFR3mo_PX[[#This Row],[Column1201]]</f>
        <v>99.875</v>
      </c>
      <c r="ATF12">
        <f>SOFR3mo_PX[[#This Row],[Column1202]]</f>
        <v>99.875</v>
      </c>
      <c r="ATG12">
        <f>SOFR3mo_PX[[#This Row],[Column1203]]</f>
        <v>99.88</v>
      </c>
      <c r="ATH12">
        <f>SOFR3mo_PX[[#This Row],[Column1204]]</f>
        <v>99.864999999999995</v>
      </c>
      <c r="ATI12">
        <f>SOFR3mo_PX[[#This Row],[Column1205]]</f>
        <v>99.864999999999995</v>
      </c>
      <c r="ATJ12">
        <f>SOFR3mo_PX[[#This Row],[Column1206]]</f>
        <v>99.875</v>
      </c>
      <c r="ATK12">
        <f>SOFR3mo_PX[[#This Row],[Column1207]]</f>
        <v>99.92</v>
      </c>
      <c r="ATL12">
        <f>SOFR3mo_PX[[#This Row],[Column1208]]</f>
        <v>99.924999999999997</v>
      </c>
      <c r="ATM12">
        <f>SOFR3mo_PX[[#This Row],[Column1209]]</f>
        <v>99.944999999999993</v>
      </c>
      <c r="ATN12">
        <f>SOFR3mo_PX[[#This Row],[Column1210]]</f>
        <v>99.915000000000006</v>
      </c>
      <c r="ATO12">
        <f>SOFR3mo_PX[[#This Row],[Column1211]]</f>
        <v>99.924999999999997</v>
      </c>
      <c r="ATP12">
        <f>SOFR3mo_PX[[#This Row],[Column1212]]</f>
        <v>99.92</v>
      </c>
      <c r="ATQ12">
        <f>SOFR3mo_PX[[#This Row],[Column1213]]</f>
        <v>99.924999999999997</v>
      </c>
      <c r="ATR12">
        <f>SOFR3mo_PX[[#This Row],[Column1214]]</f>
        <v>99.935000000000002</v>
      </c>
      <c r="ATS12">
        <f>SOFR3mo_PX[[#This Row],[Column1215]]</f>
        <v>99.935000000000002</v>
      </c>
      <c r="ATT12">
        <f>SOFR3mo_PX[[#This Row],[Column1216]]</f>
        <v>99.93</v>
      </c>
      <c r="ATU12">
        <f>SOFR3mo_PX[[#This Row],[Column1217]]</f>
        <v>99.92</v>
      </c>
      <c r="ATV12">
        <f>SOFR3mo_PX[[#This Row],[Column1218]]</f>
        <v>99.91</v>
      </c>
      <c r="ATW12">
        <f>SOFR3mo_PX[[#This Row],[Column1219]]</f>
        <v>99.92</v>
      </c>
      <c r="ATX12">
        <f>SOFR3mo_PX[[#This Row],[Column1220]]</f>
        <v>99.92</v>
      </c>
      <c r="ATY12">
        <f>SOFR3mo_PX[[#This Row],[Column1221]]</f>
        <v>99.93</v>
      </c>
      <c r="ATZ12">
        <f>SOFR3mo_PX[[#This Row],[Column1222]]</f>
        <v>99.94</v>
      </c>
      <c r="AUA12">
        <f>SOFR3mo_PX[[#This Row],[Column1223]]</f>
        <v>99.935000000000002</v>
      </c>
      <c r="AUB12">
        <f>SOFR3mo_PX[[#This Row],[Column1224]]</f>
        <v>99.94</v>
      </c>
      <c r="AUC12">
        <f>SOFR3mo_PX[[#This Row],[Column1225]]</f>
        <v>99.935000000000002</v>
      </c>
      <c r="AUD12">
        <f>SOFR3mo_PX[[#This Row],[Column1226]]</f>
        <v>99.92</v>
      </c>
      <c r="AUE12">
        <f>SOFR3mo_PX[[#This Row],[Column1227]]</f>
        <v>99.915000000000006</v>
      </c>
      <c r="AUF12">
        <f>SOFR3mo_PX[[#This Row],[Column1228]]</f>
        <v>99.924999999999997</v>
      </c>
      <c r="AUG12">
        <f>SOFR3mo_PX[[#This Row],[Column1229]]</f>
        <v>99.92</v>
      </c>
      <c r="AUH12">
        <f>SOFR3mo_PX[[#This Row],[Column1230]]</f>
        <v>99.944999999999993</v>
      </c>
      <c r="AUI12">
        <f>SOFR3mo_PX[[#This Row],[Column1231]]</f>
        <v>99.944999999999993</v>
      </c>
      <c r="AUJ12">
        <f>SOFR3mo_PX[[#This Row],[Column1232]]</f>
        <v>99.965000000000003</v>
      </c>
      <c r="AUK12">
        <f>SOFR3mo_PX[[#This Row],[Column1233]]</f>
        <v>99.965000000000003</v>
      </c>
      <c r="AUL12">
        <f>SOFR3mo_PX[[#This Row],[Column1234]]</f>
        <v>99.965000000000003</v>
      </c>
      <c r="AUM12">
        <f>SOFR3mo_PX[[#This Row],[Column1235]]</f>
        <v>99.97</v>
      </c>
      <c r="AUN12">
        <f>SOFR3mo_PX[[#This Row],[Column1236]]</f>
        <v>99.97</v>
      </c>
      <c r="AUO12">
        <f>SOFR3mo_PX[[#This Row],[Column1237]]</f>
        <v>99.98</v>
      </c>
      <c r="AUP12">
        <f>SOFR3mo_PX[[#This Row],[Column1238]]</f>
        <v>99.98</v>
      </c>
      <c r="AUQ12">
        <f>SOFR3mo_PX[[#This Row],[Column1239]]</f>
        <v>99.984999999999999</v>
      </c>
      <c r="AUR12">
        <f>SOFR3mo_PX[[#This Row],[Column1240]]</f>
        <v>99.984999999999999</v>
      </c>
      <c r="AUS12">
        <f>SOFR3mo_PX[[#This Row],[Column1241]]</f>
        <v>99.974999999999994</v>
      </c>
      <c r="AUT12">
        <f>SOFR3mo_PX[[#This Row],[Column1242]]</f>
        <v>99.965000000000003</v>
      </c>
      <c r="AUU12">
        <f>SOFR3mo_PX[[#This Row],[Column1243]]</f>
        <v>99.98</v>
      </c>
      <c r="AUV12">
        <f>SOFR3mo_PX[[#This Row],[Column1244]]</f>
        <v>99.974999999999994</v>
      </c>
      <c r="AUW12">
        <f>SOFR3mo_PX[[#This Row],[Column1245]]</f>
        <v>100.005</v>
      </c>
      <c r="AUX12">
        <f>SOFR3mo_PX[[#This Row],[Column1246]]</f>
        <v>100.01</v>
      </c>
      <c r="AUY12">
        <f>SOFR3mo_PX[[#This Row],[Column1247]]</f>
        <v>100.015</v>
      </c>
      <c r="AUZ12">
        <f>SOFR3mo_PX[[#This Row],[Column1248]]</f>
        <v>99.99</v>
      </c>
      <c r="AVA12">
        <f>SOFR3mo_PX[[#This Row],[Column1249]]</f>
        <v>99.984999999999999</v>
      </c>
      <c r="AVB12">
        <f>SOFR3mo_PX[[#This Row],[Column1250]]</f>
        <v>99.99</v>
      </c>
      <c r="AVC12">
        <f>SOFR3mo_PX[[#This Row],[Column1251]]</f>
        <v>99.98</v>
      </c>
      <c r="AVD12">
        <f>SOFR3mo_PX[[#This Row],[Column1252]]</f>
        <v>99.98</v>
      </c>
      <c r="AVE12">
        <f>SOFR3mo_PX[[#This Row],[Column1253]]</f>
        <v>100.01</v>
      </c>
      <c r="AVF12">
        <f>SOFR3mo_PX[[#This Row],[Column1254]]</f>
        <v>100</v>
      </c>
      <c r="AVG12">
        <f>SOFR3mo_PX[[#This Row],[Column1255]]</f>
        <v>100.01</v>
      </c>
      <c r="AVH12">
        <f>SOFR3mo_PX[[#This Row],[Column1256]]</f>
        <v>100.005</v>
      </c>
      <c r="AVI12">
        <f>SOFR3mo_PX[[#This Row],[Column1257]]</f>
        <v>100</v>
      </c>
      <c r="AVJ12">
        <f>SOFR3mo_PX[[#This Row],[Column1258]]</f>
        <v>99.98</v>
      </c>
      <c r="AVK12">
        <f>SOFR3mo_PX[[#This Row],[Column1259]]</f>
        <v>99.99</v>
      </c>
      <c r="AVL12">
        <f>SOFR3mo_PX[[#This Row],[Column1260]]</f>
        <v>99.995000000000005</v>
      </c>
      <c r="AVM12">
        <f>SOFR3mo_PX[[#This Row],[Column1261]]</f>
        <v>100.005</v>
      </c>
      <c r="AVN12">
        <f>SOFR3mo_PX[[#This Row],[Column1262]]</f>
        <v>100</v>
      </c>
      <c r="AVO12">
        <f>SOFR3mo_PX[[#This Row],[Column1263]]</f>
        <v>100.01</v>
      </c>
      <c r="AVP12">
        <f>SOFR3mo_PX[[#This Row],[Column1264]]</f>
        <v>100.01</v>
      </c>
      <c r="AVQ12">
        <f>SOFR3mo_PX[[#This Row],[Column1265]]</f>
        <v>100</v>
      </c>
      <c r="AVR12">
        <f>SOFR3mo_PX[[#This Row],[Column1266]]</f>
        <v>99.984999999999999</v>
      </c>
      <c r="AVS12">
        <f>SOFR3mo_PX[[#This Row],[Column1267]]</f>
        <v>99.974999999999994</v>
      </c>
      <c r="AVT12">
        <f>SOFR3mo_PX[[#This Row],[Column1268]]</f>
        <v>99.974999999999994</v>
      </c>
      <c r="AVU12">
        <f>SOFR3mo_PX[[#This Row],[Column1269]]</f>
        <v>99.98</v>
      </c>
      <c r="AVV12">
        <f>SOFR3mo_PX[[#This Row],[Column1270]]</f>
        <v>99.98</v>
      </c>
      <c r="AVW12">
        <f>SOFR3mo_PX[[#This Row],[Column1271]]</f>
        <v>100.015</v>
      </c>
      <c r="AVX12">
        <f>SOFR3mo_PX[[#This Row],[Column1272]]</f>
        <v>100.02500000000001</v>
      </c>
      <c r="AVY12">
        <f>SOFR3mo_PX[[#This Row],[Column1273]]</f>
        <v>100.045</v>
      </c>
      <c r="AVZ12">
        <f>SOFR3mo_PX[[#This Row],[Column1274]]</f>
        <v>100.05</v>
      </c>
      <c r="AWA12">
        <f>SOFR3mo_PX[[#This Row],[Column1275]]</f>
        <v>100.06</v>
      </c>
      <c r="AWB12">
        <f>SOFR3mo_PX[[#This Row],[Column1276]]</f>
        <v>100.05</v>
      </c>
      <c r="AWC12">
        <f>SOFR3mo_PX[[#This Row],[Column1277]]</f>
        <v>100.045</v>
      </c>
      <c r="AWD12">
        <f>SOFR3mo_PX[[#This Row],[Column1278]]</f>
        <v>100.04</v>
      </c>
      <c r="AWE12">
        <f>SOFR3mo_PX[[#This Row],[Column1279]]</f>
        <v>100.02</v>
      </c>
      <c r="AWF12">
        <f>SOFR3mo_PX[[#This Row],[Column1280]]</f>
        <v>100.01</v>
      </c>
      <c r="AWG12">
        <f>SOFR3mo_PX[[#This Row],[Column1281]]</f>
        <v>100.005</v>
      </c>
      <c r="AWH12">
        <f>SOFR3mo_PX[[#This Row],[Column1282]]</f>
        <v>100.015</v>
      </c>
      <c r="AWI12">
        <f>SOFR3mo_PX[[#This Row],[Column1283]]</f>
        <v>100.02</v>
      </c>
      <c r="AWJ12">
        <f>SOFR3mo_PX[[#This Row],[Column1284]]</f>
        <v>100.02</v>
      </c>
      <c r="AWK12">
        <f>SOFR3mo_PX[[#This Row],[Column1285]]</f>
        <v>100.015</v>
      </c>
      <c r="AWL12">
        <f>SOFR3mo_PX[[#This Row],[Column1286]]</f>
        <v>100.01</v>
      </c>
      <c r="AWM12">
        <f>SOFR3mo_PX[[#This Row],[Column1287]]</f>
        <v>100.005</v>
      </c>
      <c r="AWN12">
        <f>SOFR3mo_PX[[#This Row],[Column1288]]</f>
        <v>100.005</v>
      </c>
      <c r="AWO12">
        <f>SOFR3mo_PX[[#This Row],[Column1289]]</f>
        <v>100</v>
      </c>
      <c r="AWP12">
        <f>SOFR3mo_PX[[#This Row],[Column1290]]</f>
        <v>100.01</v>
      </c>
      <c r="AWQ12">
        <f>SOFR3mo_PX[[#This Row],[Column1291]]</f>
        <v>100.01</v>
      </c>
      <c r="AWR12">
        <f>SOFR3mo_PX[[#This Row],[Column1292]]</f>
        <v>100.01</v>
      </c>
      <c r="AWS12">
        <f>SOFR3mo_PX[[#This Row],[Column1293]]</f>
        <v>100.02500000000001</v>
      </c>
      <c r="AWT12">
        <f>SOFR3mo_PX[[#This Row],[Column1294]]</f>
        <v>100.01</v>
      </c>
      <c r="AWU12">
        <f>SOFR3mo_PX[[#This Row],[Column1295]]</f>
        <v>100.005</v>
      </c>
      <c r="AWV12">
        <f>SOFR3mo_PX[[#This Row],[Column1296]]</f>
        <v>100</v>
      </c>
      <c r="AWW12">
        <f>SOFR3mo_PX[[#This Row],[Column1297]]</f>
        <v>100</v>
      </c>
      <c r="AWX12">
        <f>SOFR3mo_PX[[#This Row],[Column1298]]</f>
        <v>100</v>
      </c>
      <c r="AWY12">
        <f>SOFR3mo_PX[[#This Row],[Column1299]]</f>
        <v>99.99</v>
      </c>
      <c r="AWZ12">
        <f>SOFR3mo_PX[[#This Row],[Column1300]]</f>
        <v>100.01</v>
      </c>
      <c r="AXA12">
        <f>SOFR3mo_PX[[#This Row],[Column1301]]</f>
        <v>100.01</v>
      </c>
      <c r="AXB12">
        <f>SOFR3mo_PX[[#This Row],[Column1302]]</f>
        <v>100</v>
      </c>
      <c r="AXC12">
        <f>SOFR3mo_PX[[#This Row],[Column1303]]</f>
        <v>99.98</v>
      </c>
      <c r="AXD12">
        <f>SOFR3mo_PX[[#This Row],[Column1304]]</f>
        <v>99.98</v>
      </c>
      <c r="AXE12">
        <f>SOFR3mo_PX[[#This Row],[Column1305]]</f>
        <v>99.98</v>
      </c>
      <c r="AXF12">
        <f>SOFR3mo_PX[[#This Row],[Column1306]]</f>
        <v>99.974999999999994</v>
      </c>
      <c r="AXG12">
        <f>SOFR3mo_PX[[#This Row],[Column1307]]</f>
        <v>99.965000000000003</v>
      </c>
      <c r="AXH12">
        <f>SOFR3mo_PX[[#This Row],[Column1308]]</f>
        <v>99.944999999999993</v>
      </c>
      <c r="AXI12">
        <f>SOFR3mo_PX[[#This Row],[Column1309]]</f>
        <v>99.94</v>
      </c>
      <c r="AXJ12">
        <f>SOFR3mo_PX[[#This Row],[Column1310]]</f>
        <v>99.944999999999993</v>
      </c>
      <c r="AXK12">
        <f>SOFR3mo_PX[[#This Row],[Column1311]]</f>
        <v>99.96</v>
      </c>
      <c r="AXL12">
        <f>SOFR3mo_PX[[#This Row],[Column1312]]</f>
        <v>99.95</v>
      </c>
      <c r="AXM12">
        <f>SOFR3mo_PX[[#This Row],[Column1313]]</f>
        <v>99.96</v>
      </c>
      <c r="AXN12">
        <f>SOFR3mo_PX[[#This Row],[Column1314]]</f>
        <v>99.94</v>
      </c>
      <c r="AXO12">
        <f>SOFR3mo_PX[[#This Row],[Column1315]]</f>
        <v>99.89</v>
      </c>
      <c r="AXP12">
        <f>SOFR3mo_PX[[#This Row],[Column1316]]</f>
        <v>99.855000000000004</v>
      </c>
      <c r="AXQ12">
        <f>SOFR3mo_PX[[#This Row],[Column1317]]</f>
        <v>99.85</v>
      </c>
      <c r="AXR12">
        <f>SOFR3mo_PX[[#This Row],[Column1318]]</f>
        <v>99.915000000000006</v>
      </c>
      <c r="AXS12">
        <f>SOFR3mo_PX[[#This Row],[Column1319]]</f>
        <v>99.924999999999997</v>
      </c>
      <c r="AXT12">
        <f>SOFR3mo_PX[[#This Row],[Column1320]]</f>
        <v>99.96</v>
      </c>
      <c r="AXU12">
        <f>SOFR3mo_PX[[#This Row],[Column1321]]</f>
        <v>99.965000000000003</v>
      </c>
      <c r="AXV12">
        <f>SOFR3mo_PX[[#This Row],[Column1322]]</f>
        <v>99.954999999999998</v>
      </c>
      <c r="AXW12">
        <f>SOFR3mo_PX[[#This Row],[Column1323]]</f>
        <v>99.935000000000002</v>
      </c>
      <c r="AXX12">
        <f>SOFR3mo_PX[[#This Row],[Column1324]]</f>
        <v>99.94</v>
      </c>
      <c r="AXY12">
        <f>SOFR3mo_PX[[#This Row],[Column1325]]</f>
        <v>99.944999999999993</v>
      </c>
      <c r="AXZ12">
        <f>SOFR3mo_PX[[#This Row],[Column1326]]</f>
        <v>99.95</v>
      </c>
      <c r="AYA12">
        <f>SOFR3mo_PX[[#This Row],[Column1327]]</f>
        <v>99.95</v>
      </c>
      <c r="AYB12">
        <f>SOFR3mo_PX[[#This Row],[Column1328]]</f>
        <v>99.944999999999993</v>
      </c>
      <c r="AYC12">
        <f>SOFR3mo_PX[[#This Row],[Column1329]]</f>
        <v>99.944999999999993</v>
      </c>
      <c r="AYD12">
        <f>SOFR3mo_PX[[#This Row],[Column1330]]</f>
        <v>99.944999999999993</v>
      </c>
      <c r="AYE12">
        <f>SOFR3mo_PX[[#This Row],[Column1331]]</f>
        <v>99.944999999999993</v>
      </c>
      <c r="AYF12">
        <f>SOFR3mo_PX[[#This Row],[Column1332]]</f>
        <v>99.98</v>
      </c>
      <c r="AYG12">
        <f>SOFR3mo_PX[[#This Row],[Column1333]]</f>
        <v>99.97</v>
      </c>
      <c r="AYH12">
        <f>SOFR3mo_PX[[#This Row],[Column1334]]</f>
        <v>99.96</v>
      </c>
      <c r="AYI12">
        <f>SOFR3mo_PX[[#This Row],[Column1335]]</f>
        <v>99.94</v>
      </c>
      <c r="AYJ12">
        <f>SOFR3mo_PX[[#This Row],[Column1336]]</f>
        <v>99.935000000000002</v>
      </c>
      <c r="AYK12">
        <f>SOFR3mo_PX[[#This Row],[Column1337]]</f>
        <v>99.954999999999998</v>
      </c>
      <c r="AYL12">
        <f>SOFR3mo_PX[[#This Row],[Column1338]]</f>
        <v>99.965000000000003</v>
      </c>
      <c r="AYM12">
        <f>SOFR3mo_PX[[#This Row],[Column1339]]</f>
        <v>99.91</v>
      </c>
      <c r="AYN12">
        <f>SOFR3mo_PX[[#This Row],[Column1340]]</f>
        <v>99.89</v>
      </c>
      <c r="AYO12">
        <f>SOFR3mo_PX[[#This Row],[Column1341]]</f>
        <v>99.89</v>
      </c>
      <c r="AYP12">
        <f>SOFR3mo_PX[[#This Row],[Column1342]]</f>
        <v>99.875</v>
      </c>
      <c r="AYQ12">
        <f>SOFR3mo_PX[[#This Row],[Column1343]]</f>
        <v>99.88</v>
      </c>
      <c r="AYR12">
        <f>SOFR3mo_PX[[#This Row],[Column1344]]</f>
        <v>99.87</v>
      </c>
      <c r="AYS12">
        <f>SOFR3mo_PX[[#This Row],[Column1345]]</f>
        <v>99.855000000000004</v>
      </c>
      <c r="AYT12">
        <f>SOFR3mo_PX[[#This Row],[Column1346]]</f>
        <v>99.85</v>
      </c>
      <c r="AYU12">
        <f>SOFR3mo_PX[[#This Row],[Column1347]]</f>
        <v>99.86</v>
      </c>
      <c r="AYV12">
        <f>SOFR3mo_PX[[#This Row],[Column1348]]</f>
        <v>99.86</v>
      </c>
      <c r="AYW12">
        <f>SOFR3mo_PX[[#This Row],[Column1349]]</f>
        <v>99.855000000000004</v>
      </c>
      <c r="AYX12">
        <f>SOFR3mo_PX[[#This Row],[Column1350]]</f>
        <v>99.864999999999995</v>
      </c>
      <c r="AYY12">
        <f>SOFR3mo_PX[[#This Row],[Column1351]]</f>
        <v>99.844999999999999</v>
      </c>
      <c r="AYZ12">
        <f>SOFR3mo_PX[[#This Row],[Column1352]]</f>
        <v>99.834999999999994</v>
      </c>
      <c r="AZA12">
        <f>SOFR3mo_PX[[#This Row],[Column1353]]</f>
        <v>99.82</v>
      </c>
      <c r="AZB12">
        <f>SOFR3mo_PX[[#This Row],[Column1354]]</f>
        <v>99.82</v>
      </c>
      <c r="AZC12">
        <f>SOFR3mo_PX[[#This Row],[Column1355]]</f>
        <v>99.79</v>
      </c>
      <c r="AZD12">
        <f>SOFR3mo_PX[[#This Row],[Column1356]]</f>
        <v>99.775000000000006</v>
      </c>
      <c r="AZE12">
        <f>SOFR3mo_PX[[#This Row],[Column1357]]</f>
        <v>99.784999999999997</v>
      </c>
      <c r="AZF12">
        <f>SOFR3mo_PX[[#This Row],[Column1358]]</f>
        <v>99.784999999999997</v>
      </c>
      <c r="AZG12">
        <f>SOFR3mo_PX[[#This Row],[Column1359]]</f>
        <v>99.765000000000001</v>
      </c>
      <c r="AZH12">
        <f>SOFR3mo_PX[[#This Row],[Column1360]]</f>
        <v>99.75</v>
      </c>
      <c r="AZI12">
        <f>SOFR3mo_PX[[#This Row],[Column1361]]</f>
        <v>99.795000000000002</v>
      </c>
      <c r="AZJ12">
        <f>SOFR3mo_PX[[#This Row],[Column1362]]</f>
        <v>99.855000000000004</v>
      </c>
      <c r="AZK12">
        <f>SOFR3mo_PX[[#This Row],[Column1363]]</f>
        <v>99.85</v>
      </c>
      <c r="AZL12">
        <f>SOFR3mo_PX[[#This Row],[Column1364]]</f>
        <v>99.864999999999995</v>
      </c>
      <c r="AZM12">
        <f>SOFR3mo_PX[[#This Row],[Column1365]]</f>
        <v>99.84</v>
      </c>
      <c r="AZN12">
        <f>SOFR3mo_PX[[#This Row],[Column1366]]</f>
        <v>99.87</v>
      </c>
      <c r="AZO12">
        <f>SOFR3mo_PX[[#This Row],[Column1367]]</f>
        <v>99.825000000000003</v>
      </c>
      <c r="AZP12">
        <f>SOFR3mo_PX[[#This Row],[Column1368]]</f>
        <v>99.805000000000007</v>
      </c>
      <c r="AZQ12">
        <f>SOFR3mo_PX[[#This Row],[Column1369]]</f>
        <v>99.775000000000006</v>
      </c>
      <c r="AZR12">
        <f>SOFR3mo_PX[[#This Row],[Column1370]]</f>
        <v>99.77</v>
      </c>
      <c r="AZS12">
        <f>SOFR3mo_PX[[#This Row],[Column1371]]</f>
        <v>99.83</v>
      </c>
      <c r="AZT12">
        <f>SOFR3mo_PX[[#This Row],[Column1372]]</f>
        <v>99.75</v>
      </c>
      <c r="AZU12">
        <f>SOFR3mo_PX[[#This Row],[Column1373]]</f>
        <v>99.69</v>
      </c>
      <c r="AZV12">
        <f>SOFR3mo_PX[[#This Row],[Column1374]]</f>
        <v>99.584999999999994</v>
      </c>
      <c r="AZW12">
        <f>SOFR3mo_PX[[#This Row],[Column1375]]</f>
        <v>99.754999999999995</v>
      </c>
      <c r="AZX12">
        <f>SOFR3mo_PX[[#This Row],[Column1376]]</f>
        <v>99.805000000000007</v>
      </c>
      <c r="AZY12">
        <f>SOFR3mo_PX[[#This Row],[Column1377]]</f>
        <v>99.73</v>
      </c>
      <c r="AZZ12">
        <f>SOFR3mo_PX[[#This Row],[Column1378]]</f>
        <v>99.745000000000005</v>
      </c>
      <c r="BAA12">
        <f>SOFR3mo_PX[[#This Row],[Column1379]]</f>
        <v>99.674999999999997</v>
      </c>
      <c r="BAB12">
        <f>SOFR3mo_PX[[#This Row],[Column1380]]</f>
        <v>99.655000000000001</v>
      </c>
      <c r="BAC12">
        <f>SOFR3mo_PX[[#This Row],[Column1381]]</f>
        <v>99.765000000000001</v>
      </c>
      <c r="BAD12">
        <f>SOFR3mo_PX[[#This Row],[Column1382]]</f>
        <v>99.69</v>
      </c>
      <c r="BAE12">
        <f>SOFR3mo_PX[[#This Row],[Column1383]]</f>
        <v>99.605000000000004</v>
      </c>
      <c r="BAF12">
        <f>SOFR3mo_PX[[#This Row],[Column1384]]</f>
        <v>99.55</v>
      </c>
      <c r="BAG12">
        <f>SOFR3mo_PX[[#This Row],[Column1385]]</f>
        <v>99.484999999999999</v>
      </c>
      <c r="BAH12">
        <f>SOFR3mo_PX[[#This Row],[Column1386]]</f>
        <v>99.415000000000006</v>
      </c>
      <c r="BAI12">
        <f>SOFR3mo_PX[[#This Row],[Column1387]]</f>
        <v>99.415000000000006</v>
      </c>
      <c r="BAJ12">
        <f>SOFR3mo_PX[[#This Row],[Column1388]]</f>
        <v>99.21</v>
      </c>
      <c r="BAK12">
        <f>SOFR3mo_PX[[#This Row],[Column1389]]</f>
        <v>99.144999999999996</v>
      </c>
      <c r="BAL12">
        <f>SOFR3mo_PX[[#This Row],[Column1390]]</f>
        <v>99.155000000000001</v>
      </c>
      <c r="BAM12">
        <f>SOFR3mo_PX[[#This Row],[Column1391]]</f>
        <v>99.1</v>
      </c>
      <c r="BAN12">
        <f>SOFR3mo_PX[[#This Row],[Column1392]]</f>
        <v>98.99</v>
      </c>
      <c r="BAO12">
        <f>SOFR3mo_PX[[#This Row],[Column1393]]</f>
        <v>98.924999999999997</v>
      </c>
      <c r="BAP12">
        <f>SOFR3mo_PX[[#This Row],[Column1394]]</f>
        <v>98.88</v>
      </c>
      <c r="BAQ12">
        <f>SOFR3mo_PX[[#This Row],[Column1395]]</f>
        <v>98.905000000000001</v>
      </c>
      <c r="BAR12">
        <f>SOFR3mo_PX[[#This Row],[Column1396]]</f>
        <v>98.875</v>
      </c>
      <c r="BAS12">
        <f>SOFR3mo_PX[[#This Row],[Column1397]]</f>
        <v>98.875</v>
      </c>
      <c r="BAT12">
        <f>SOFR3mo_PX[[#This Row],[Column1398]]</f>
        <v>98.84</v>
      </c>
      <c r="BAU12">
        <f>SOFR3mo_PX[[#This Row],[Column1399]]</f>
        <v>98.84</v>
      </c>
      <c r="BAV12">
        <f>SOFR3mo_PX[[#This Row],[Column1400]]</f>
        <v>98.88</v>
      </c>
      <c r="BAW12">
        <f>SOFR3mo_PX[[#This Row],[Column1401]]</f>
        <v>98.91</v>
      </c>
      <c r="BAX12">
        <f>SOFR3mo_PX[[#This Row],[Column1402]]</f>
        <v>98.875</v>
      </c>
      <c r="BAY12">
        <f>SOFR3mo_PX[[#This Row],[Column1403]]</f>
        <v>98.82</v>
      </c>
      <c r="BAZ12">
        <f>SOFR3mo_PX[[#This Row],[Column1404]]</f>
        <v>98.84</v>
      </c>
      <c r="BBA12">
        <f>SOFR3mo_PX[[#This Row],[Column1405]]</f>
        <v>98.88</v>
      </c>
      <c r="BBB12">
        <f>SOFR3mo_PX[[#This Row],[Column1406]]</f>
        <v>98.965000000000003</v>
      </c>
      <c r="BBC12">
        <f>SOFR3mo_PX[[#This Row],[Column1407]]</f>
        <v>98.98</v>
      </c>
      <c r="BBD12">
        <f>SOFR3mo_PX[[#This Row],[Column1408]]</f>
        <v>98.924999999999997</v>
      </c>
      <c r="BBE12">
        <f>SOFR3mo_PX[[#This Row],[Column1409]]</f>
        <v>98.88</v>
      </c>
      <c r="BBF12">
        <f>SOFR3mo_PX[[#This Row],[Column1410]]</f>
        <v>98.83</v>
      </c>
      <c r="BBG12">
        <f>SOFR3mo_PX[[#This Row],[Column1411]]</f>
        <v>98.864999999999995</v>
      </c>
      <c r="BBH12">
        <f>SOFR3mo_PX[[#This Row],[Column1412]]</f>
        <v>98.78</v>
      </c>
      <c r="BBI12">
        <f>SOFR3mo_PX[[#This Row],[Column1413]]</f>
        <v>98.724999999999994</v>
      </c>
      <c r="BBJ12">
        <f>SOFR3mo_PX[[#This Row],[Column1414]]</f>
        <v>98.704999999999998</v>
      </c>
      <c r="BBK12">
        <f>SOFR3mo_PX[[#This Row],[Column1415]]</f>
        <v>98.69</v>
      </c>
      <c r="BBL12">
        <f>SOFR3mo_PX[[#This Row],[Column1416]]</f>
        <v>98.635000000000005</v>
      </c>
      <c r="BBM12">
        <f>SOFR3mo_PX[[#This Row],[Column1417]]</f>
        <v>98.635000000000005</v>
      </c>
      <c r="BBN12">
        <f>SOFR3mo_PX[[#This Row],[Column1418]]</f>
        <v>98.65</v>
      </c>
      <c r="BBO12">
        <f>SOFR3mo_PX[[#This Row],[Column1419]]</f>
        <v>98.66</v>
      </c>
      <c r="BBP12">
        <f>SOFR3mo_PX[[#This Row],[Column1420]]</f>
        <v>98.65</v>
      </c>
      <c r="BBQ12">
        <f>SOFR3mo_PX[[#This Row],[Column1421]]</f>
        <v>98.635000000000005</v>
      </c>
      <c r="BBR12">
        <f>SOFR3mo_PX[[#This Row],[Column1422]]</f>
        <v>98.64</v>
      </c>
      <c r="BBS12">
        <f>SOFR3mo_PX[[#This Row],[Column1423]]</f>
        <v>98.625</v>
      </c>
      <c r="BBT12">
        <f>SOFR3mo_PX[[#This Row],[Column1424]]</f>
        <v>98.62</v>
      </c>
      <c r="BBU12">
        <f>SOFR3mo_PX[[#This Row],[Column1425]]</f>
        <v>98.665000000000006</v>
      </c>
      <c r="BBV12">
        <f>SOFR3mo_PX[[#This Row],[Column1426]]</f>
        <v>98.674999999999997</v>
      </c>
      <c r="BBW12">
        <f>SOFR3mo_PX[[#This Row],[Column1427]]</f>
        <v>98.68</v>
      </c>
      <c r="BBX12">
        <f>SOFR3mo_PX[[#This Row],[Column1428]]</f>
        <v>98.59</v>
      </c>
      <c r="BBY12">
        <f>SOFR3mo_PX[[#This Row],[Column1429]]</f>
        <v>98.58</v>
      </c>
      <c r="BBZ12">
        <f>SOFR3mo_PX[[#This Row],[Column1430]]</f>
        <v>98.58</v>
      </c>
      <c r="BCA12">
        <f>SOFR3mo_PX[[#This Row],[Column1431]]</f>
        <v>98.584999999999994</v>
      </c>
      <c r="BCB12">
        <f>SOFR3mo_PX[[#This Row],[Column1432]]</f>
        <v>98.584999999999994</v>
      </c>
      <c r="BCC12">
        <f>SOFR3mo_PX[[#This Row],[Column1433]]</f>
        <v>98.545000000000002</v>
      </c>
      <c r="BCD12">
        <f>SOFR3mo_PX[[#This Row],[Column1434]]</f>
        <v>98.545000000000002</v>
      </c>
      <c r="BCE12">
        <f>SOFR3mo_PX[[#This Row],[Column1435]]</f>
        <v>98.545000000000002</v>
      </c>
      <c r="BCF12">
        <f>SOFR3mo_PX[[#This Row],[Column1436]]</f>
        <v>98.525000000000006</v>
      </c>
      <c r="BCG12">
        <f>SOFR3mo_PX[[#This Row],[Column1437]]</f>
        <v>98.564999999999998</v>
      </c>
      <c r="BCH12">
        <f>SOFR3mo_PX[[#This Row],[Column1438]]</f>
        <v>98.58</v>
      </c>
      <c r="BCI12">
        <f>SOFR3mo_PX[[#This Row],[Column1439]]</f>
        <v>98.555000000000007</v>
      </c>
      <c r="BCJ12">
        <f>SOFR3mo_PX[[#This Row],[Column1440]]</f>
        <v>98.594999999999999</v>
      </c>
      <c r="BCK12">
        <f>SOFR3mo_PX[[#This Row],[Column1441]]</f>
        <v>98.594999999999999</v>
      </c>
      <c r="BCL12">
        <f>SOFR3mo_PX[[#This Row],[Column1442]]</f>
        <v>98.67</v>
      </c>
      <c r="BCM12">
        <f>SOFR3mo_PX[[#This Row],[Column1443]]</f>
        <v>98.59</v>
      </c>
      <c r="BCN12">
        <f>SOFR3mo_PX[[#This Row],[Column1444]]</f>
        <v>98.674999999999997</v>
      </c>
      <c r="BCO12">
        <f>SOFR3mo_PX[[#This Row],[Column1445]]</f>
        <v>98.635000000000005</v>
      </c>
      <c r="BCP12">
        <f>SOFR3mo_PX[[#This Row],[Column1446]]</f>
        <v>98.65</v>
      </c>
      <c r="BCQ12">
        <f>SOFR3mo_PX[[#This Row],[Column1447]]</f>
        <v>98.66</v>
      </c>
      <c r="BCR12">
        <f>SOFR3mo_PX[[#This Row],[Column1448]]</f>
        <v>98.72</v>
      </c>
      <c r="BCS12">
        <f>SOFR3mo_PX[[#This Row],[Column1449]]</f>
        <v>98.734999999999999</v>
      </c>
      <c r="BCT12">
        <f>SOFR3mo_PX[[#This Row],[Column1450]]</f>
        <v>98.81</v>
      </c>
      <c r="BCU12">
        <f>SOFR3mo_PX[[#This Row],[Column1451]]</f>
        <v>98.69</v>
      </c>
      <c r="BCV12">
        <f>SOFR3mo_PX[[#This Row],[Column1452]]</f>
        <v>98.724999999999994</v>
      </c>
      <c r="BCW12">
        <f>SOFR3mo_PX[[#This Row],[Column1453]]</f>
        <v>98.715000000000003</v>
      </c>
      <c r="BCX12">
        <f>SOFR3mo_PX[[#This Row],[Column1454]]</f>
        <v>98.715000000000003</v>
      </c>
      <c r="BCY12">
        <f>SOFR3mo_PX[[#This Row],[Column1455]]</f>
        <v>98.754999999999995</v>
      </c>
      <c r="BCZ12">
        <f>SOFR3mo_PX[[#This Row],[Column1456]]</f>
        <v>98.745000000000005</v>
      </c>
      <c r="BDA12">
        <f>SOFR3mo_PX[[#This Row],[Column1457]]</f>
        <v>98.73</v>
      </c>
      <c r="BDB12">
        <f>SOFR3mo_PX[[#This Row],[Column1458]]</f>
        <v>98.75</v>
      </c>
      <c r="BDC12">
        <f>SOFR3mo_PX[[#This Row],[Column1459]]</f>
        <v>98.78</v>
      </c>
      <c r="BDD12">
        <f>SOFR3mo_PX[[#This Row],[Column1460]]</f>
        <v>98.745000000000005</v>
      </c>
      <c r="BDE12">
        <f>SOFR3mo_PX[[#This Row],[Column1461]]</f>
        <v>98.72</v>
      </c>
      <c r="BDF12">
        <f>SOFR3mo_PX[[#This Row],[Column1462]]</f>
        <v>98.694999999999993</v>
      </c>
      <c r="BDG12">
        <f>SOFR3mo_PX[[#This Row],[Column1463]]</f>
        <v>98.704999999999998</v>
      </c>
      <c r="BDH12">
        <f>SOFR3mo_PX[[#This Row],[Column1464]]</f>
        <v>98.655000000000001</v>
      </c>
      <c r="BDI12">
        <f>SOFR3mo_PX[[#This Row],[Column1465]]</f>
        <v>98.605000000000004</v>
      </c>
      <c r="BDJ12">
        <f>SOFR3mo_PX[[#This Row],[Column1466]]</f>
        <v>98.57</v>
      </c>
      <c r="BDK12">
        <f>SOFR3mo_PX[[#This Row],[Column1467]]</f>
        <v>98.58</v>
      </c>
      <c r="BDL12">
        <f>SOFR3mo_PX[[#This Row],[Column1468]]</f>
        <v>98.564999999999998</v>
      </c>
      <c r="BDM12">
        <f>SOFR3mo_PX[[#This Row],[Column1469]]</f>
        <v>98.674999999999997</v>
      </c>
      <c r="BDN12">
        <f>SOFR3mo_PX[[#This Row],[Column1470]]</f>
        <v>98.644999999999996</v>
      </c>
      <c r="BDO12">
        <f>SOFR3mo_PX[[#This Row],[Column1471]]</f>
        <v>98.704999999999998</v>
      </c>
      <c r="BDP12">
        <f>SOFR3mo_PX[[#This Row],[Column1472]]</f>
        <v>98.754999999999995</v>
      </c>
      <c r="BDQ12">
        <f>SOFR3mo_PX[[#This Row],[Column1473]]</f>
        <v>98.825000000000003</v>
      </c>
      <c r="BDR12">
        <f>SOFR3mo_PX[[#This Row],[Column1474]]</f>
        <v>98.7</v>
      </c>
      <c r="BDS12">
        <f>SOFR3mo_PX[[#This Row],[Column1475]]</f>
        <v>98.68</v>
      </c>
      <c r="BDT12">
        <f>SOFR3mo_PX[[#This Row],[Column1476]]</f>
        <v>98.685000000000002</v>
      </c>
      <c r="BDU12">
        <f>SOFR3mo_PX[[#This Row],[Column1477]]</f>
        <v>98.715000000000003</v>
      </c>
      <c r="BDV12">
        <f>SOFR3mo_PX[[#This Row],[Column1478]]</f>
        <v>98.76</v>
      </c>
      <c r="BDW12">
        <f>SOFR3mo_PX[[#This Row],[Column1479]]</f>
        <v>98.77</v>
      </c>
      <c r="BDX12">
        <f>SOFR3mo_PX[[#This Row],[Column1480]]</f>
        <v>98.75</v>
      </c>
      <c r="BDY12">
        <f>SOFR3mo_PX[[#This Row],[Column1481]]</f>
        <v>98.724999999999994</v>
      </c>
      <c r="BDZ12">
        <f>SOFR3mo_PX[[#This Row],[Column1482]]</f>
        <v>98.76</v>
      </c>
      <c r="BEA12">
        <f>SOFR3mo_PX[[#This Row],[Column1483]]</f>
        <v>98.734999999999999</v>
      </c>
      <c r="BEB12">
        <f>SOFR3mo_PX[[#This Row],[Column1484]]</f>
        <v>98.76</v>
      </c>
      <c r="BEC12">
        <f>SOFR3mo_PX[[#This Row],[Column1485]]</f>
        <v>98.72</v>
      </c>
      <c r="BED12">
        <f>SOFR3mo_PX[[#This Row],[Column1486]]</f>
        <v>98.77</v>
      </c>
      <c r="BEE12">
        <f>SOFR3mo_PX[[#This Row],[Column1487]]</f>
        <v>98.75</v>
      </c>
      <c r="BEF12">
        <f>SOFR3mo_PX[[#This Row],[Column1488]]</f>
        <v>98.88</v>
      </c>
      <c r="BEG12">
        <f>SOFR3mo_PX[[#This Row],[Column1489]]</f>
        <v>98.944999999999993</v>
      </c>
      <c r="BEH12">
        <f>SOFR3mo_PX[[#This Row],[Column1490]]</f>
        <v>99</v>
      </c>
      <c r="BEI12">
        <f>SOFR3mo_PX[[#This Row],[Column1491]]</f>
        <v>98.95</v>
      </c>
      <c r="BEJ12">
        <f>SOFR3mo_PX[[#This Row],[Column1492]]</f>
        <v>99.02</v>
      </c>
      <c r="BEK12">
        <f>SOFR3mo_PX[[#This Row],[Column1493]]</f>
        <v>99.03</v>
      </c>
      <c r="BEL12">
        <f>SOFR3mo_PX[[#This Row],[Column1494]]</f>
        <v>98.93</v>
      </c>
      <c r="BEM12">
        <f>SOFR3mo_PX[[#This Row],[Column1495]]</f>
        <v>98.855000000000004</v>
      </c>
      <c r="BEN12">
        <f>SOFR3mo_PX[[#This Row],[Column1496]]</f>
        <v>98.784999999999997</v>
      </c>
      <c r="BEO12">
        <f>SOFR3mo_PX[[#This Row],[Column1497]]</f>
        <v>98.795000000000002</v>
      </c>
      <c r="BEP12">
        <f>SOFR3mo_PX[[#This Row],[Column1498]]</f>
        <v>98.784999999999997</v>
      </c>
      <c r="BEQ12">
        <f>SOFR3mo_PX[[#This Row],[Column1499]]</f>
        <v>98.77</v>
      </c>
      <c r="BER12">
        <f>SOFR3mo_PX[[#This Row],[Column1500]]</f>
        <v>98.87</v>
      </c>
      <c r="BES12">
        <f>SOFR3mo_PX[[#This Row],[Column1501]]</f>
        <v>98.775000000000006</v>
      </c>
      <c r="BET12">
        <f>SOFR3mo_PX[[#This Row],[Column1502]]</f>
        <v>98.734999999999999</v>
      </c>
      <c r="BEU12">
        <f>SOFR3mo_PX[[#This Row],[Column1503]]</f>
        <v>98.75</v>
      </c>
      <c r="BEV12">
        <f>SOFR3mo_PX[[#This Row],[Column1504]]</f>
        <v>98.715000000000003</v>
      </c>
      <c r="BEW12">
        <f>SOFR3mo_PX[[#This Row],[Column1505]]</f>
        <v>98.734999999999999</v>
      </c>
      <c r="BEX12">
        <f>SOFR3mo_PX[[#This Row],[Column1506]]</f>
        <v>98.694999999999993</v>
      </c>
      <c r="BEY12">
        <f>SOFR3mo_PX[[#This Row],[Column1507]]</f>
        <v>98.635000000000005</v>
      </c>
      <c r="BEZ12">
        <f>SOFR3mo_PX[[#This Row],[Column1508]]</f>
        <v>98.73</v>
      </c>
      <c r="BFA12">
        <f>SOFR3mo_PX[[#This Row],[Column1509]]</f>
        <v>98.814999999999998</v>
      </c>
      <c r="BFB12">
        <f>SOFR3mo_PX[[#This Row],[Column1510]]</f>
        <v>98.84</v>
      </c>
      <c r="BFC12">
        <f>SOFR3mo_PX[[#This Row],[Column1511]]</f>
        <v>98.94</v>
      </c>
      <c r="BFD12">
        <f>SOFR3mo_PX[[#This Row],[Column1512]]</f>
        <v>99.015000000000001</v>
      </c>
      <c r="BFE12">
        <f>SOFR3mo_PX[[#This Row],[Column1513]]</f>
        <v>99.02</v>
      </c>
      <c r="BFF12">
        <f>SOFR3mo_PX[[#This Row],[Column1514]]</f>
        <v>99.15</v>
      </c>
      <c r="BFG12">
        <f>SOFR3mo_PX[[#This Row],[Column1515]]</f>
        <v>99.11</v>
      </c>
      <c r="BFH12">
        <f>SOFR3mo_PX[[#This Row],[Column1516]]</f>
        <v>99.03</v>
      </c>
      <c r="BFI12">
        <f>SOFR3mo_PX[[#This Row],[Column1517]]</f>
        <v>99.03</v>
      </c>
      <c r="BFJ12">
        <f>SOFR3mo_PX[[#This Row],[Column1518]]</f>
        <v>99.004999999999995</v>
      </c>
      <c r="BFK12">
        <f>SOFR3mo_PX[[#This Row],[Column1519]]</f>
        <v>99.045000000000002</v>
      </c>
      <c r="BFL12">
        <f>SOFR3mo_PX[[#This Row],[Column1520]]</f>
        <v>99</v>
      </c>
      <c r="BFM12">
        <f>SOFR3mo_PX[[#This Row],[Column1521]]</f>
        <v>98.954999999999998</v>
      </c>
      <c r="BFN12">
        <f>SOFR3mo_PX[[#This Row],[Column1522]]</f>
        <v>98.98</v>
      </c>
      <c r="BFO12">
        <f>SOFR3mo_PX[[#This Row],[Column1523]]</f>
        <v>98.875</v>
      </c>
      <c r="BFP12">
        <f>SOFR3mo_PX[[#This Row],[Column1524]]</f>
        <v>98.905000000000001</v>
      </c>
      <c r="BFQ12">
        <f>SOFR3mo_PX[[#This Row],[Column1525]]</f>
        <v>98.94</v>
      </c>
      <c r="BFR12">
        <f>SOFR3mo_PX[[#This Row],[Column1526]]</f>
        <v>98.9</v>
      </c>
      <c r="BFS12">
        <f>SOFR3mo_PX[[#This Row],[Column1527]]</f>
        <v>98.96</v>
      </c>
      <c r="BFT12">
        <f>SOFR3mo_PX[[#This Row],[Column1528]]</f>
        <v>98.954999999999998</v>
      </c>
      <c r="BFU12">
        <f>SOFR3mo_PX[[#This Row],[Column1529]]</f>
        <v>98.885000000000005</v>
      </c>
      <c r="BFV12">
        <f>SOFR3mo_PX[[#This Row],[Column1530]]</f>
        <v>98.8</v>
      </c>
      <c r="BFW12">
        <f>SOFR3mo_PX[[#This Row],[Column1531]]</f>
        <v>98.905000000000001</v>
      </c>
      <c r="BFX12">
        <f>SOFR3mo_PX[[#This Row],[Column1532]]</f>
        <v>98.825000000000003</v>
      </c>
      <c r="BFY12">
        <f>SOFR3mo_PX[[#This Row],[Column1533]]</f>
        <v>98.87</v>
      </c>
      <c r="BFZ12">
        <f>SOFR3mo_PX[[#This Row],[Column1534]]</f>
        <v>98.944999999999993</v>
      </c>
      <c r="BGA12">
        <f>SOFR3mo_PX[[#This Row],[Column1535]]</f>
        <v>98.85</v>
      </c>
      <c r="BGB12">
        <f>SOFR3mo_PX[[#This Row],[Column1536]]</f>
        <v>98.915000000000006</v>
      </c>
      <c r="BGC12">
        <f>SOFR3mo_PX[[#This Row],[Column1537]]</f>
        <v>98.7</v>
      </c>
      <c r="BGD12">
        <f>SOFR3mo_PX[[#This Row],[Column1538]]</f>
        <v>98.68</v>
      </c>
      <c r="BGE12">
        <f>SOFR3mo_PX[[#This Row],[Column1539]]</f>
        <v>98.49</v>
      </c>
      <c r="BGF12">
        <f>SOFR3mo_PX[[#This Row],[Column1540]]</f>
        <v>98.534999999999997</v>
      </c>
      <c r="BGG12">
        <f>SOFR3mo_PX[[#This Row],[Column1541]]</f>
        <v>98.545000000000002</v>
      </c>
      <c r="BGH12">
        <f>SOFR3mo_PX[[#This Row],[Column1542]]</f>
        <v>98.525000000000006</v>
      </c>
      <c r="BGI12">
        <f>SOFR3mo_PX[[#This Row],[Column1543]]</f>
        <v>98.55</v>
      </c>
      <c r="BGJ12">
        <f>SOFR3mo_PX[[#This Row],[Column1544]]</f>
        <v>98.575000000000003</v>
      </c>
      <c r="BGK12">
        <f>SOFR3mo_PX[[#This Row],[Column1545]]</f>
        <v>98.57</v>
      </c>
      <c r="BGL12">
        <f>SOFR3mo_PX[[#This Row],[Column1546]]</f>
        <v>98.6</v>
      </c>
      <c r="BGM12">
        <f>SOFR3mo_PX[[#This Row],[Column1547]]</f>
        <v>98.58</v>
      </c>
      <c r="BGN12">
        <f>SOFR3mo_PX[[#This Row],[Column1548]]</f>
        <v>98.63</v>
      </c>
      <c r="BGO12">
        <f>SOFR3mo_PX[[#This Row],[Column1549]]</f>
        <v>98.545000000000002</v>
      </c>
      <c r="BGP12">
        <f>SOFR3mo_PX[[#This Row],[Column1550]]</f>
        <v>98.49</v>
      </c>
      <c r="BGQ12">
        <f>SOFR3mo_PX[[#This Row],[Column1551]]</f>
        <v>98.52</v>
      </c>
      <c r="BGR12">
        <f>SOFR3mo_PX[[#This Row],[Column1552]]</f>
        <v>98.515000000000001</v>
      </c>
      <c r="BGS12">
        <f>SOFR3mo_PX[[#This Row],[Column1553]]</f>
        <v>98.5</v>
      </c>
      <c r="BGT12">
        <f>SOFR3mo_PX[[#This Row],[Column1554]]</f>
        <v>98.55</v>
      </c>
      <c r="BGU12">
        <f>SOFR3mo_PX[[#This Row],[Column1555]]</f>
        <v>98.51</v>
      </c>
      <c r="BGV12">
        <f>SOFR3mo_PX[[#This Row],[Column1556]]</f>
        <v>98.53</v>
      </c>
      <c r="BGW12">
        <f>SOFR3mo_PX[[#This Row],[Column1557]]</f>
        <v>98.525000000000006</v>
      </c>
      <c r="BGX12">
        <f>SOFR3mo_PX[[#This Row],[Column1558]]</f>
        <v>98.61</v>
      </c>
      <c r="BGY12">
        <f>SOFR3mo_PX[[#This Row],[Column1559]]</f>
        <v>98.61</v>
      </c>
      <c r="BGZ12">
        <f>SOFR3mo_PX[[#This Row],[Column1560]]</f>
        <v>98.605000000000004</v>
      </c>
      <c r="BHA12">
        <f>SOFR3mo_PX[[#This Row],[Column1561]]</f>
        <v>98.555000000000007</v>
      </c>
      <c r="BHB12">
        <f>SOFR3mo_PX[[#This Row],[Column1562]]</f>
        <v>98.6</v>
      </c>
      <c r="BHC12">
        <f>SOFR3mo_PX[[#This Row],[Column1563]]</f>
        <v>98.614999999999995</v>
      </c>
      <c r="BHD12">
        <f>SOFR3mo_PX[[#This Row],[Column1564]]</f>
        <v>98.584999999999994</v>
      </c>
      <c r="BHE12">
        <f>SOFR3mo_PX[[#This Row],[Column1565]]</f>
        <v>98.67</v>
      </c>
      <c r="BHF12">
        <f>SOFR3mo_PX[[#This Row],[Column1566]]</f>
        <v>98.644999999999996</v>
      </c>
      <c r="BHG12">
        <f>SOFR3mo_PX[[#This Row],[Column1567]]</f>
        <v>98.594999999999999</v>
      </c>
      <c r="BHH12">
        <f>SOFR3mo_PX[[#This Row],[Column1568]]</f>
        <v>98.65</v>
      </c>
      <c r="BHI12">
        <f>SOFR3mo_PX[[#This Row],[Column1569]]</f>
        <v>98.655000000000001</v>
      </c>
      <c r="BHJ12">
        <f>SOFR3mo_PX[[#This Row],[Column1570]]</f>
        <v>98.57</v>
      </c>
      <c r="BHK12">
        <f>SOFR3mo_PX[[#This Row],[Column1571]]</f>
        <v>98.57</v>
      </c>
      <c r="BHL12">
        <f>SOFR3mo_PX[[#This Row],[Column1572]]</f>
        <v>98.59</v>
      </c>
      <c r="BHM12">
        <f>SOFR3mo_PX[[#This Row],[Column1573]]</f>
        <v>98.594999999999999</v>
      </c>
      <c r="BHN12">
        <f>SOFR3mo_PX[[#This Row],[Column1574]]</f>
        <v>98.525000000000006</v>
      </c>
      <c r="BHO12">
        <f>SOFR3mo_PX[[#This Row],[Column1575]]</f>
        <v>98.474999999999994</v>
      </c>
      <c r="BHP12">
        <f>SOFR3mo_PX[[#This Row],[Column1576]]</f>
        <v>98.474999999999994</v>
      </c>
      <c r="BHQ12">
        <f>SOFR3mo_PX[[#This Row],[Column1577]]</f>
        <v>98.52</v>
      </c>
      <c r="BHR12">
        <f>SOFR3mo_PX[[#This Row],[Column1578]]</f>
        <v>98.504999999999995</v>
      </c>
      <c r="BHS12">
        <f>SOFR3mo_PX[[#This Row],[Column1579]]</f>
        <v>98.58</v>
      </c>
      <c r="BHT12">
        <f>SOFR3mo_PX[[#This Row],[Column1580]]</f>
        <v>98.56</v>
      </c>
      <c r="BHU12">
        <f>SOFR3mo_PX[[#This Row],[Column1581]]</f>
        <v>98.605000000000004</v>
      </c>
      <c r="BHV12">
        <f>SOFR3mo_PX[[#This Row],[Column1582]]</f>
        <v>98.51</v>
      </c>
      <c r="BHW12">
        <f>SOFR3mo_PX[[#This Row],[Column1583]]</f>
        <v>98.37</v>
      </c>
      <c r="BHX12">
        <f>SOFR3mo_PX[[#This Row],[Column1584]]</f>
        <v>98.375</v>
      </c>
      <c r="BHY12">
        <f>SOFR3mo_PX[[#This Row],[Column1585]]</f>
        <v>98.34</v>
      </c>
      <c r="BHZ12">
        <f>SOFR3mo_PX[[#This Row],[Column1586]]</f>
        <v>98.28</v>
      </c>
      <c r="BIA12">
        <f>SOFR3mo_PX[[#This Row],[Column1587]]</f>
        <v>98.28</v>
      </c>
      <c r="BIB12">
        <f>SOFR3mo_PX[[#This Row],[Column1588]]</f>
        <v>98.31</v>
      </c>
      <c r="BIC12">
        <f>SOFR3mo_PX[[#This Row],[Column1589]]</f>
        <v>98.174999999999997</v>
      </c>
      <c r="BID12">
        <f>SOFR3mo_PX[[#This Row],[Column1590]]</f>
        <v>98.14</v>
      </c>
      <c r="BIE12">
        <f>SOFR3mo_PX[[#This Row],[Column1591]]</f>
        <v>98.17</v>
      </c>
      <c r="BIF12">
        <f>SOFR3mo_PX[[#This Row],[Column1592]]</f>
        <v>98.194999999999993</v>
      </c>
      <c r="BIG12">
        <f>SOFR3mo_PX[[#This Row],[Column1593]]</f>
        <v>98.185000000000002</v>
      </c>
      <c r="BIH12">
        <f>SOFR3mo_PX[[#This Row],[Column1594]]</f>
        <v>98.23</v>
      </c>
      <c r="BII12">
        <f>SOFR3mo_PX[[#This Row],[Column1595]]</f>
        <v>98.18</v>
      </c>
      <c r="BIJ12">
        <f>SOFR3mo_PX[[#This Row],[Column1596]]</f>
        <v>98.19</v>
      </c>
      <c r="BIK12">
        <f>SOFR3mo_PX[[#This Row],[Column1597]]</f>
        <v>98.114999999999995</v>
      </c>
      <c r="BIL12">
        <f>SOFR3mo_PX[[#This Row],[Column1598]]</f>
        <v>98.1</v>
      </c>
      <c r="BIM12">
        <f>SOFR3mo_PX[[#This Row],[Column1599]]</f>
        <v>98.064999999999998</v>
      </c>
      <c r="BIN12">
        <f>SOFR3mo_PX[[#This Row],[Column1600]]</f>
        <v>98.094999999999999</v>
      </c>
      <c r="BIO12">
        <f>SOFR3mo_PX[[#This Row],[Column1601]]</f>
        <v>98.04</v>
      </c>
      <c r="BIP12">
        <f>SOFR3mo_PX[[#This Row],[Column1602]]</f>
        <v>98</v>
      </c>
      <c r="BIQ12">
        <f>SOFR3mo_PX[[#This Row],[Column1603]]</f>
        <v>97.995000000000005</v>
      </c>
      <c r="BIR12">
        <f>SOFR3mo_PX[[#This Row],[Column1604]]</f>
        <v>98.055000000000007</v>
      </c>
      <c r="BIS12">
        <f>SOFR3mo_PX[[#This Row],[Column1605]]</f>
        <v>98.094999999999999</v>
      </c>
      <c r="BIT12">
        <f>SOFR3mo_PX[[#This Row],[Column1606]]</f>
        <v>98.07</v>
      </c>
      <c r="BIU12">
        <f>SOFR3mo_PX[[#This Row],[Column1607]]</f>
        <v>98.075000000000003</v>
      </c>
      <c r="BIV12">
        <f>SOFR3mo_PX[[#This Row],[Column1608]]</f>
        <v>98.025000000000006</v>
      </c>
      <c r="BIW12">
        <f>SOFR3mo_PX[[#This Row],[Column1609]]</f>
        <v>98.04</v>
      </c>
      <c r="BIX12">
        <f>SOFR3mo_PX[[#This Row],[Column1610]]</f>
        <v>97.984999999999999</v>
      </c>
      <c r="BIY12">
        <f>SOFR3mo_PX[[#This Row],[Column1611]]</f>
        <v>97.965000000000003</v>
      </c>
      <c r="BIZ12">
        <f>SOFR3mo_PX[[#This Row],[Column1612]]</f>
        <v>97.965000000000003</v>
      </c>
      <c r="BJA12">
        <f>SOFR3mo_PX[[#This Row],[Column1613]]</f>
        <v>97.965000000000003</v>
      </c>
      <c r="BJB12">
        <f>SOFR3mo_PX[[#This Row],[Column1614]]</f>
        <v>97.94</v>
      </c>
      <c r="BJC12">
        <f>SOFR3mo_PX[[#This Row],[Column1615]]</f>
        <v>97.935000000000002</v>
      </c>
      <c r="BJD12">
        <f>SOFR3mo_PX[[#This Row],[Column1616]]</f>
        <v>97.965000000000003</v>
      </c>
      <c r="BJE12">
        <f>SOFR3mo_PX[[#This Row],[Column1617]]</f>
        <v>97.96</v>
      </c>
      <c r="BJF12">
        <f>SOFR3mo_PX[[#This Row],[Column1618]]</f>
        <v>98.034999999999997</v>
      </c>
      <c r="BJG12">
        <f>SOFR3mo_PX[[#This Row],[Column1619]]</f>
        <v>98.07</v>
      </c>
      <c r="BJH12">
        <f>SOFR3mo_PX[[#This Row],[Column1620]]</f>
        <v>98.034999999999997</v>
      </c>
      <c r="BJI12">
        <f>SOFR3mo_PX[[#This Row],[Column1621]]</f>
        <v>98</v>
      </c>
      <c r="BJJ12">
        <f>SOFR3mo_PX[[#This Row],[Column1622]]</f>
        <v>98.01</v>
      </c>
      <c r="BJK12">
        <f>SOFR3mo_PX[[#This Row],[Column1623]]</f>
        <v>98.02</v>
      </c>
      <c r="BJL12">
        <f>SOFR3mo_PX[[#This Row],[Column1624]]</f>
        <v>98.03</v>
      </c>
      <c r="BJM12">
        <f>SOFR3mo_PX[[#This Row],[Column1625]]</f>
        <v>98.05</v>
      </c>
      <c r="BJN12">
        <f>SOFR3mo_PX[[#This Row],[Column1626]]</f>
        <v>98.04</v>
      </c>
      <c r="BJO12">
        <f>SOFR3mo_PX[[#This Row],[Column1627]]</f>
        <v>98.12</v>
      </c>
      <c r="BJP12">
        <f>SOFR3mo_PX[[#This Row],[Column1628]]</f>
        <v>98.194999999999993</v>
      </c>
      <c r="BJQ12">
        <f>SOFR3mo_PX[[#This Row],[Column1629]]</f>
        <v>98.23</v>
      </c>
      <c r="BJR12">
        <f>SOFR3mo_PX[[#This Row],[Column1630]]</f>
        <v>98.18</v>
      </c>
      <c r="BJS12">
        <f>SOFR3mo_PX[[#This Row],[Column1631]]</f>
        <v>98.21</v>
      </c>
      <c r="BJT12">
        <f>SOFR3mo_PX[[#This Row],[Column1632]]</f>
        <v>98.105000000000004</v>
      </c>
      <c r="BJU12">
        <f>SOFR3mo_PX[[#This Row],[Column1633]]</f>
        <v>97.99</v>
      </c>
      <c r="BJV12">
        <f>SOFR3mo_PX[[#This Row],[Column1634]]</f>
        <v>97.97</v>
      </c>
      <c r="BJW12">
        <f>SOFR3mo_PX[[#This Row],[Column1635]]</f>
        <v>97.864999999999995</v>
      </c>
      <c r="BJX12">
        <f>SOFR3mo_PX[[#This Row],[Column1636]]</f>
        <v>97.88</v>
      </c>
      <c r="BJY12">
        <f>SOFR3mo_PX[[#This Row],[Column1637]]</f>
        <v>97.885000000000005</v>
      </c>
      <c r="BJZ12">
        <f>SOFR3mo_PX[[#This Row],[Column1638]]</f>
        <v>97.855000000000004</v>
      </c>
      <c r="BKA12">
        <f>SOFR3mo_PX[[#This Row],[Column1639]]</f>
        <v>97.86</v>
      </c>
      <c r="BKB12">
        <f>SOFR3mo_PX[[#This Row],[Column1640]]</f>
        <v>97.844999999999999</v>
      </c>
      <c r="BKC12">
        <f>SOFR3mo_PX[[#This Row],[Column1641]]</f>
        <v>97.814999999999998</v>
      </c>
      <c r="BKD12">
        <f>SOFR3mo_PX[[#This Row],[Column1642]]</f>
        <v>97.825000000000003</v>
      </c>
      <c r="BKE12">
        <f>SOFR3mo_PX[[#This Row],[Column1643]]</f>
        <v>97.81</v>
      </c>
      <c r="BKF12">
        <f>SOFR3mo_PX[[#This Row],[Column1644]]</f>
        <v>97.734999999999999</v>
      </c>
      <c r="BKG12">
        <f>SOFR3mo_PX[[#This Row],[Column1645]]</f>
        <v>97.7</v>
      </c>
      <c r="BKH12">
        <f>SOFR3mo_PX[[#This Row],[Column1646]]</f>
        <v>97.704999999999998</v>
      </c>
      <c r="BKI12">
        <f>SOFR3mo_PX[[#This Row],[Column1647]]</f>
        <v>97.694999999999993</v>
      </c>
      <c r="BKJ12">
        <f>SOFR3mo_PX[[#This Row],[Column1648]]</f>
        <v>97.765000000000001</v>
      </c>
      <c r="BKK12">
        <f>SOFR3mo_PX[[#This Row],[Column1649]]</f>
        <v>97.784999999999997</v>
      </c>
      <c r="BKL12">
        <f>SOFR3mo_PX[[#This Row],[Column1650]]</f>
        <v>97.81</v>
      </c>
      <c r="BKM12">
        <f>SOFR3mo_PX[[#This Row],[Column1651]]</f>
        <v>97.78</v>
      </c>
      <c r="BKN12">
        <f>SOFR3mo_PX[[#This Row],[Column1652]]</f>
        <v>97.784999999999997</v>
      </c>
      <c r="BKO12">
        <f>SOFR3mo_PX[[#This Row],[Column1653]]</f>
        <v>97.74</v>
      </c>
      <c r="BKP12">
        <f>SOFR3mo_PX[[#This Row],[Column1654]]</f>
        <v>97.78</v>
      </c>
      <c r="BKQ12">
        <f>SOFR3mo_PX[[#This Row],[Column1655]]</f>
        <v>97.775000000000006</v>
      </c>
      <c r="BKR12">
        <f>SOFR3mo_PX[[#This Row],[Column1656]]</f>
        <v>97.76</v>
      </c>
      <c r="BKS12">
        <f>SOFR3mo_PX[[#This Row],[Column1657]]</f>
        <v>97.76</v>
      </c>
      <c r="BKT12">
        <f>SOFR3mo_PX[[#This Row],[Column1658]]</f>
        <v>97.77</v>
      </c>
      <c r="BKU12">
        <f>SOFR3mo_PX[[#This Row],[Column1659]]</f>
        <v>97.73</v>
      </c>
      <c r="BKV12">
        <f>SOFR3mo_PX[[#This Row],[Column1660]]</f>
        <v>97.79</v>
      </c>
      <c r="BKW12">
        <f>SOFR3mo_PX[[#This Row],[Column1661]]</f>
        <v>97.82</v>
      </c>
      <c r="BKX12">
        <f>SOFR3mo_PX[[#This Row],[Column1662]]</f>
        <v>97.844999999999999</v>
      </c>
      <c r="BKY12">
        <f>SOFR3mo_PX[[#This Row],[Column1663]]</f>
        <v>97.81</v>
      </c>
      <c r="BKZ12">
        <f>SOFR3mo_PX[[#This Row],[Column1664]]</f>
        <v>97.754999999999995</v>
      </c>
      <c r="BLA12">
        <f>SOFR3mo_PX[[#This Row],[Column1665]]</f>
        <v>97.745000000000005</v>
      </c>
      <c r="BLB12">
        <f>SOFR3mo_PX[[#This Row],[Column1666]]</f>
        <v>97.74</v>
      </c>
      <c r="BLC12">
        <f>SOFR3mo_PX[[#This Row],[Column1667]]</f>
        <v>97.76</v>
      </c>
      <c r="BLD12">
        <f>SOFR3mo_PX[[#This Row],[Column1668]]</f>
        <v>97.784999999999997</v>
      </c>
      <c r="BLE12">
        <f>SOFR3mo_PX[[#This Row],[Column1669]]</f>
        <v>97.715000000000003</v>
      </c>
      <c r="BLF12">
        <f>SOFR3mo_PX[[#This Row],[Column1670]]</f>
        <v>97.665000000000006</v>
      </c>
      <c r="BLG12">
        <f>SOFR3mo_PX[[#This Row],[Column1671]]</f>
        <v>97.66</v>
      </c>
      <c r="BLH12">
        <f>SOFR3mo_PX[[#This Row],[Column1672]]</f>
        <v>97.65</v>
      </c>
      <c r="BLI12">
        <f>SOFR3mo_PX[[#This Row],[Column1673]]</f>
        <v>97.674999999999997</v>
      </c>
      <c r="BLJ12">
        <f>SOFR3mo_PX[[#This Row],[Column1674]]</f>
        <v>97.66</v>
      </c>
      <c r="BLK12">
        <f>SOFR3mo_PX[[#This Row],[Column1675]]</f>
        <v>97.665000000000006</v>
      </c>
      <c r="BLL12">
        <f>SOFR3mo_PX[[#This Row],[Column1676]]</f>
        <v>97.62</v>
      </c>
      <c r="BLM12">
        <f>SOFR3mo_PX[[#This Row],[Column1677]]</f>
        <v>97.62</v>
      </c>
      <c r="BLN12">
        <f>SOFR3mo_PX[[#This Row],[Column1678]]</f>
        <v>97.69</v>
      </c>
      <c r="BLO12">
        <f>SOFR3mo_PX[[#This Row],[Column1679]]</f>
        <v>97.72</v>
      </c>
      <c r="BLP12">
        <f>SOFR3mo_PX[[#This Row],[Column1680]]</f>
        <v>97.745000000000005</v>
      </c>
      <c r="BLQ12">
        <f>SOFR3mo_PX[[#This Row],[Column1681]]</f>
        <v>97.734999999999999</v>
      </c>
      <c r="BLR12">
        <f>SOFR3mo_PX[[#This Row],[Column1682]]</f>
        <v>97.74</v>
      </c>
      <c r="BLS12">
        <f>SOFR3mo_PX[[#This Row],[Column1683]]</f>
        <v>97.724999999999994</v>
      </c>
      <c r="BLT12">
        <f>SOFR3mo_PX[[#This Row],[Column1684]]</f>
        <v>97.73</v>
      </c>
      <c r="BLU12">
        <f>SOFR3mo_PX[[#This Row],[Column1685]]</f>
        <v>97.72</v>
      </c>
      <c r="BLV12">
        <f>SOFR3mo_PX[[#This Row],[Column1686]]</f>
        <v>97.79</v>
      </c>
      <c r="BLW12">
        <f>SOFR3mo_PX[[#This Row],[Column1687]]</f>
        <v>97.834999999999994</v>
      </c>
      <c r="BLX12">
        <f>SOFR3mo_PX[[#This Row],[Column1688]]</f>
        <v>97.9</v>
      </c>
      <c r="BLY12">
        <f>SOFR3mo_PX[[#This Row],[Column1689]]</f>
        <v>97.715000000000003</v>
      </c>
      <c r="BLZ12">
        <f>SOFR3mo_PX[[#This Row],[Column1690]]</f>
        <v>97.724999999999994</v>
      </c>
      <c r="BMA12">
        <f>SOFR3mo_PX[[#This Row],[Column1691]]</f>
        <v>97.724999999999994</v>
      </c>
      <c r="BMB12">
        <f>SOFR3mo_PX[[#This Row],[Column1692]]</f>
        <v>97.72</v>
      </c>
      <c r="BMC12">
        <f>SOFR3mo_PX[[#This Row],[Column1693]]</f>
        <v>97.71</v>
      </c>
      <c r="BMD12">
        <f>SOFR3mo_PX[[#This Row],[Column1694]]</f>
        <v>97.655000000000001</v>
      </c>
      <c r="BME12">
        <f>SOFR3mo_PX[[#This Row],[Column1695]]</f>
        <v>97.63</v>
      </c>
      <c r="BMF12">
        <f>SOFR3mo_PX[[#This Row],[Column1696]]</f>
        <v>97.63</v>
      </c>
      <c r="BMG12">
        <f>SOFR3mo_PX[[#This Row],[Column1697]]</f>
        <v>97.57</v>
      </c>
      <c r="BMH12">
        <f>SOFR3mo_PX[[#This Row],[Column1698]]</f>
        <v>97.534999999999997</v>
      </c>
      <c r="BMI12">
        <f>SOFR3mo_PX[[#This Row],[Column1699]]</f>
        <v>97.525000000000006</v>
      </c>
      <c r="BMJ12">
        <f>SOFR3mo_PX[[#This Row],[Column1700]]</f>
        <v>97.51</v>
      </c>
      <c r="BMK12">
        <f>SOFR3mo_PX[[#This Row],[Column1701]]</f>
        <v>97.46</v>
      </c>
      <c r="BML12">
        <f>SOFR3mo_PX[[#This Row],[Column1702]]</f>
        <v>97.424999999999997</v>
      </c>
      <c r="BMM12">
        <f>SOFR3mo_PX[[#This Row],[Column1703]]</f>
        <v>97.394999999999996</v>
      </c>
      <c r="BMN12">
        <f>SOFR3mo_PX[[#This Row],[Column1704]]</f>
        <v>97.4</v>
      </c>
      <c r="BMO12">
        <f>SOFR3mo_PX[[#This Row],[Column1705]]</f>
        <v>97.435000000000002</v>
      </c>
      <c r="BMP12">
        <f>SOFR3mo_PX[[#This Row],[Column1706]]</f>
        <v>97.474999999999994</v>
      </c>
      <c r="BMQ12">
        <f>SOFR3mo_PX[[#This Row],[Column1707]]</f>
        <v>97.44</v>
      </c>
      <c r="BMR12">
        <f>SOFR3mo_PX[[#This Row],[Column1708]]</f>
        <v>97.4</v>
      </c>
      <c r="BMS12">
        <f>SOFR3mo_PX[[#This Row],[Column1709]]</f>
        <v>97.295000000000002</v>
      </c>
      <c r="BMT12">
        <f>SOFR3mo_PX[[#This Row],[Column1710]]</f>
        <v>97.295000000000002</v>
      </c>
      <c r="BMU12">
        <f>SOFR3mo_PX[[#This Row],[Column1711]]</f>
        <v>97.265000000000001</v>
      </c>
      <c r="BMV12">
        <f>SOFR3mo_PX[[#This Row],[Column1712]]</f>
        <v>97.284999999999997</v>
      </c>
      <c r="BMW12">
        <f>SOFR3mo_PX[[#This Row],[Column1713]]</f>
        <v>97.28</v>
      </c>
      <c r="BMX12">
        <f>SOFR3mo_PX[[#This Row],[Column1714]]</f>
        <v>97.275000000000006</v>
      </c>
      <c r="BMY12">
        <f>SOFR3mo_PX[[#This Row],[Column1715]]</f>
        <v>97.24</v>
      </c>
      <c r="BMZ12">
        <f>SOFR3mo_PX[[#This Row],[Column1716]]</f>
        <v>97.224999999999994</v>
      </c>
      <c r="BNA12">
        <f>SOFR3mo_PX[[#This Row],[Column1717]]</f>
        <v>97.234999999999999</v>
      </c>
      <c r="BNB12">
        <f>SOFR3mo_PX[[#This Row],[Column1718]]</f>
        <v>97.234999999999999</v>
      </c>
      <c r="BNC12">
        <f>SOFR3mo_PX[[#This Row],[Column1719]]</f>
        <v>97.234999999999999</v>
      </c>
      <c r="BND12">
        <f>SOFR3mo_PX[[#This Row],[Column1720]]</f>
        <v>97.24</v>
      </c>
      <c r="BNE12">
        <f>SOFR3mo_PX[[#This Row],[Column1721]]</f>
        <v>97.245000000000005</v>
      </c>
      <c r="BNF12">
        <f>SOFR3mo_PX[[#This Row],[Column1722]]</f>
        <v>97.21</v>
      </c>
      <c r="BNG12">
        <f>SOFR3mo_PX[[#This Row],[Column1723]]</f>
        <v>97.16</v>
      </c>
      <c r="BNH12">
        <f>SOFR3mo_PX[[#This Row],[Column1724]]</f>
        <v>97.15</v>
      </c>
      <c r="BNI12">
        <f>SOFR3mo_PX[[#This Row],[Column1725]]</f>
        <v>97.094999999999999</v>
      </c>
      <c r="BNJ12">
        <f>SOFR3mo_PX[[#This Row],[Column1726]]</f>
        <v>97.075000000000003</v>
      </c>
      <c r="BNK12">
        <f>SOFR3mo_PX[[#This Row],[Column1727]]</f>
        <v>97.055000000000007</v>
      </c>
      <c r="BNL12">
        <f>SOFR3mo_PX[[#This Row],[Column1728]]</f>
        <v>97.04</v>
      </c>
      <c r="BNM12">
        <f>SOFR3mo_PX[[#This Row],[Column1729]]</f>
        <v>97.075000000000003</v>
      </c>
      <c r="BNN12">
        <f>SOFR3mo_PX[[#This Row],[Column1730]]</f>
        <v>97.084999999999994</v>
      </c>
      <c r="BNO12">
        <f>SOFR3mo_PX[[#This Row],[Column1731]]</f>
        <v>97.094999999999999</v>
      </c>
      <c r="BNP12">
        <f>SOFR3mo_PX[[#This Row],[Column1732]]</f>
        <v>97.1</v>
      </c>
      <c r="BNQ12">
        <f>SOFR3mo_PX[[#This Row],[Column1733]]</f>
        <v>97.144999999999996</v>
      </c>
      <c r="BNR12">
        <f>SOFR3mo_PX[[#This Row],[Column1734]]</f>
        <v>97.135000000000005</v>
      </c>
      <c r="BNS12">
        <f>SOFR3mo_PX[[#This Row],[Column1735]]</f>
        <v>97.17</v>
      </c>
      <c r="BNT12">
        <f>SOFR3mo_PX[[#This Row],[Column1736]]</f>
        <v>97.17</v>
      </c>
      <c r="BNU12">
        <f>SOFR3mo_PX[[#This Row],[Column1737]]</f>
        <v>97.174999999999997</v>
      </c>
      <c r="BNV12">
        <f>SOFR3mo_PX[[#This Row],[Column1738]]</f>
        <v>97.105000000000004</v>
      </c>
      <c r="BNW12">
        <f>SOFR3mo_PX[[#This Row],[Column1739]]</f>
        <v>97.105000000000004</v>
      </c>
      <c r="BNX12">
        <f>SOFR3mo_PX[[#This Row],[Column1740]]</f>
        <v>97.075000000000003</v>
      </c>
      <c r="BNY12">
        <f>SOFR3mo_PX[[#This Row],[Column1741]]</f>
        <v>97.04</v>
      </c>
      <c r="BNZ12">
        <f>SOFR3mo_PX[[#This Row],[Column1742]]</f>
        <v>97.034999999999997</v>
      </c>
      <c r="BOA12">
        <f>SOFR3mo_PX[[#This Row],[Column1743]]</f>
        <v>97.055000000000007</v>
      </c>
      <c r="BOB12">
        <f>SOFR3mo_PX[[#This Row],[Column1744]]</f>
        <v>97.045000000000002</v>
      </c>
      <c r="BOC12">
        <f>SOFR3mo_PX[[#This Row],[Column1745]]</f>
        <v>97.045000000000002</v>
      </c>
      <c r="BOD12">
        <f>SOFR3mo_PX[[#This Row],[Column1746]]</f>
        <v>97.05</v>
      </c>
      <c r="BOE12">
        <f>SOFR3mo_PX[[#This Row],[Column1747]]</f>
        <v>97.06</v>
      </c>
      <c r="BOF12">
        <f>SOFR3mo_PX[[#This Row],[Column1748]]</f>
        <v>97.04</v>
      </c>
      <c r="BOG12">
        <f>SOFR3mo_PX[[#This Row],[Column1749]]</f>
        <v>96.99</v>
      </c>
      <c r="BOH12">
        <f>SOFR3mo_PX[[#This Row],[Column1750]]</f>
        <v>96.98</v>
      </c>
      <c r="BOI12">
        <f>SOFR3mo_PX[[#This Row],[Column1751]]</f>
        <v>96.984999999999999</v>
      </c>
      <c r="BOJ12">
        <f>SOFR3mo_PX[[#This Row],[Column1752]]</f>
        <v>96.99</v>
      </c>
      <c r="BOK12">
        <f>SOFR3mo_PX[[#This Row],[Column1753]]</f>
        <v>97.015000000000001</v>
      </c>
      <c r="BOL12">
        <f>SOFR3mo_PX[[#This Row],[Column1754]]</f>
        <v>97.05</v>
      </c>
      <c r="BOM12">
        <f>SOFR3mo_PX[[#This Row],[Column1755]]</f>
        <v>97.1</v>
      </c>
      <c r="BON12">
        <f>SOFR3mo_PX[[#This Row],[Column1756]]</f>
        <v>97.09</v>
      </c>
      <c r="BOO12">
        <f>SOFR3mo_PX[[#This Row],[Column1757]]</f>
        <v>97.09</v>
      </c>
      <c r="BOP12">
        <f>SOFR3mo_PX[[#This Row],[Column1758]]</f>
        <v>97.07</v>
      </c>
      <c r="BOQ12">
        <f>SOFR3mo_PX[[#This Row],[Column1759]]</f>
        <v>97.07</v>
      </c>
      <c r="BOR12">
        <f>SOFR3mo_PX[[#This Row],[Column1760]]</f>
        <v>97.06</v>
      </c>
      <c r="BOS12">
        <f>SOFR3mo_PX[[#This Row],[Column1761]]</f>
        <v>97.075000000000003</v>
      </c>
      <c r="BOT12">
        <f>SOFR3mo_PX[[#This Row],[Column1762]]</f>
        <v>97.08</v>
      </c>
      <c r="BOU12">
        <f>SOFR3mo_PX[[#This Row],[Column1763]]</f>
        <v>97.07</v>
      </c>
      <c r="BOV12">
        <f>SOFR3mo_PX[[#This Row],[Column1764]]</f>
        <v>97.09</v>
      </c>
      <c r="BOW12">
        <f>SOFR3mo_PX[[#This Row],[Column1765]]</f>
        <v>97.12</v>
      </c>
      <c r="BOX12">
        <f>SOFR3mo_PX[[#This Row],[Column1766]]</f>
        <v>97.15</v>
      </c>
      <c r="BOY12">
        <f>SOFR3mo_PX[[#This Row],[Column1767]]</f>
        <v>97.15</v>
      </c>
      <c r="BOZ12">
        <f>SOFR3mo_PX[[#This Row],[Column1768]]</f>
        <v>97.185000000000002</v>
      </c>
      <c r="BPA12">
        <f>SOFR3mo_PX[[#This Row],[Column1769]]</f>
        <v>97.21</v>
      </c>
      <c r="BPB12">
        <f>SOFR3mo_PX[[#This Row],[Column1770]]</f>
        <v>97.21</v>
      </c>
      <c r="BPC12">
        <f>SOFR3mo_PX[[#This Row],[Column1771]]</f>
        <v>97.26</v>
      </c>
      <c r="BPD12">
        <f>SOFR3mo_PX[[#This Row],[Column1772]]</f>
        <v>97.26</v>
      </c>
      <c r="BPE12">
        <f>SOFR3mo_PX[[#This Row],[Column1773]]</f>
        <v>97.32</v>
      </c>
      <c r="BPF12">
        <f>SOFR3mo_PX[[#This Row],[Column1774]]</f>
        <v>97.305000000000007</v>
      </c>
      <c r="BPG12">
        <f>SOFR3mo_PX[[#This Row],[Column1775]]</f>
        <v>97.31</v>
      </c>
      <c r="BPH12">
        <f>SOFR3mo_PX[[#This Row],[Column1776]]</f>
        <v>97.33</v>
      </c>
      <c r="BPI12">
        <f>SOFR3mo_PX[[#This Row],[Column1777]]</f>
        <v>97.33</v>
      </c>
      <c r="BPJ12">
        <f>SOFR3mo_PX[[#This Row],[Column1778]]</f>
        <v>97.3</v>
      </c>
      <c r="BPK12">
        <f>SOFR3mo_PX[[#This Row],[Column1779]]</f>
        <v>97.29</v>
      </c>
      <c r="BPL12">
        <f>SOFR3mo_PX[[#This Row],[Column1780]]</f>
        <v>97.305000000000007</v>
      </c>
      <c r="BPM12">
        <f>SOFR3mo_PX[[#This Row],[Column1781]]</f>
        <v>97.32</v>
      </c>
      <c r="BPN12">
        <f>SOFR3mo_PX[[#This Row],[Column1782]]</f>
        <v>97.34</v>
      </c>
      <c r="BPO12">
        <f>SOFR3mo_PX[[#This Row],[Column1783]]</f>
        <v>97.34</v>
      </c>
      <c r="BPP12">
        <f>SOFR3mo_PX[[#This Row],[Column1784]]</f>
        <v>97.36</v>
      </c>
      <c r="BPQ12">
        <f>SOFR3mo_PX[[#This Row],[Column1785]]</f>
        <v>97.35</v>
      </c>
      <c r="BPR12">
        <f>SOFR3mo_PX[[#This Row],[Column1786]]</f>
        <v>97.36</v>
      </c>
      <c r="BPS12">
        <f>SOFR3mo_PX[[#This Row],[Column1787]]</f>
        <v>97.334999999999994</v>
      </c>
      <c r="BPT12">
        <f>SOFR3mo_PX[[#This Row],[Column1788]]</f>
        <v>97.33</v>
      </c>
      <c r="BPU12">
        <f>SOFR3mo_PX[[#This Row],[Column1789]]</f>
        <v>97.35</v>
      </c>
      <c r="BPV12">
        <f>SOFR3mo_PX[[#This Row],[Column1790]]</f>
        <v>97.314999999999998</v>
      </c>
      <c r="BPW12">
        <f>SOFR3mo_PX[[#This Row],[Column1791]]</f>
        <v>97.34</v>
      </c>
      <c r="BPX12">
        <f>SOFR3mo_PX[[#This Row],[Column1792]]</f>
        <v>97.344999999999999</v>
      </c>
      <c r="BPY12">
        <f>SOFR3mo_PX[[#This Row],[Column1793]]</f>
        <v>97.28</v>
      </c>
      <c r="BPZ12">
        <f>SOFR3mo_PX[[#This Row],[Column1794]]</f>
        <v>97.265000000000001</v>
      </c>
      <c r="BQA12">
        <f>SOFR3mo_PX[[#This Row],[Column1795]]</f>
        <v>97.26</v>
      </c>
      <c r="BQB12">
        <f>SOFR3mo_PX[[#This Row],[Column1796]]</f>
        <v>97.265000000000001</v>
      </c>
      <c r="BQC12">
        <f>SOFR3mo_PX[[#This Row],[Column1797]]</f>
        <v>97.254999999999995</v>
      </c>
      <c r="BQD12">
        <f>SOFR3mo_PX[[#This Row],[Column1798]]</f>
        <v>97.245000000000005</v>
      </c>
      <c r="BQE12">
        <f>SOFR3mo_PX[[#This Row],[Column1799]]</f>
        <v>97.254999999999995</v>
      </c>
      <c r="BQF12">
        <f>SOFR3mo_PX[[#This Row],[Column1800]]</f>
        <v>97.26</v>
      </c>
      <c r="BQG12">
        <f>SOFR3mo_PX[[#This Row],[Column1801]]</f>
        <v>97.26</v>
      </c>
      <c r="BQH12">
        <f>SOFR3mo_PX[[#This Row],[Column1802]]</f>
        <v>97.26</v>
      </c>
      <c r="BQI12">
        <f>SOFR3mo_PX[[#This Row],[Column1803]]</f>
        <v>97.254999999999995</v>
      </c>
      <c r="BQJ12">
        <f>SOFR3mo_PX[[#This Row],[Column1804]]</f>
        <v>97.3</v>
      </c>
      <c r="BQK12">
        <f>SOFR3mo_PX[[#This Row],[Column1805]]</f>
        <v>97.3</v>
      </c>
      <c r="BQL12">
        <f>SOFR3mo_PX[[#This Row],[Column1806]]</f>
        <v>97.31</v>
      </c>
      <c r="BQM12">
        <f>SOFR3mo_PX[[#This Row],[Column1807]]</f>
        <v>97.344999999999999</v>
      </c>
      <c r="BQN12">
        <f>SOFR3mo_PX[[#This Row],[Column1808]]</f>
        <v>97.35</v>
      </c>
      <c r="BQO12">
        <f>SOFR3mo_PX[[#This Row],[Column1809]]</f>
        <v>97.334999999999994</v>
      </c>
      <c r="BQP12">
        <f>SOFR3mo_PX[[#This Row],[Column1810]]</f>
        <v>97.34</v>
      </c>
      <c r="BQQ12">
        <f>SOFR3mo_PX[[#This Row],[Column1811]]</f>
        <v>97.364999999999995</v>
      </c>
      <c r="BQR12">
        <f>SOFR3mo_PX[[#This Row],[Column1812]]</f>
        <v>97.375</v>
      </c>
      <c r="BQS12">
        <f>SOFR3mo_PX[[#This Row],[Column1813]]</f>
        <v>97.36</v>
      </c>
      <c r="BQT12">
        <f>SOFR3mo_PX[[#This Row],[Column1814]]</f>
        <v>97.364999999999995</v>
      </c>
      <c r="BQU12">
        <f>SOFR3mo_PX[[#This Row],[Column1815]]</f>
        <v>97.36</v>
      </c>
      <c r="BQV12">
        <f>SOFR3mo_PX[[#This Row],[Column1816]]</f>
        <v>97.37</v>
      </c>
      <c r="BQW12">
        <f>SOFR3mo_PX[[#This Row],[Column1817]]</f>
        <v>97.38</v>
      </c>
      <c r="BQX12">
        <f>SOFR3mo_PX[[#This Row],[Column1818]]</f>
        <v>97.36</v>
      </c>
      <c r="BQY12">
        <f>SOFR3mo_PX[[#This Row],[Column1819]]</f>
        <v>97.375</v>
      </c>
      <c r="BQZ12">
        <f>SOFR3mo_PX[[#This Row],[Column1820]]</f>
        <v>97.375</v>
      </c>
      <c r="BRA12">
        <f>SOFR3mo_PX[[#This Row],[Column1821]]</f>
        <v>97.37</v>
      </c>
      <c r="BRB12">
        <f>SOFR3mo_PX[[#This Row],[Column1822]]</f>
        <v>97.37</v>
      </c>
      <c r="BRC12">
        <f>SOFR3mo_PX[[#This Row],[Column1823]]</f>
        <v>97.375</v>
      </c>
      <c r="BRD12">
        <f>SOFR3mo_PX[[#This Row],[Column1824]]</f>
        <v>97.37</v>
      </c>
      <c r="BRE12">
        <f>SOFR3mo_PX[[#This Row],[Column1825]]</f>
        <v>97.325000000000003</v>
      </c>
      <c r="BRF12">
        <f>SOFR3mo_PX[[#This Row],[Column1826]]</f>
        <v>97.31</v>
      </c>
      <c r="BRG12">
        <f>SOFR3mo_PX[[#This Row],[Column1827]]</f>
        <v>97.28</v>
      </c>
      <c r="BRH12">
        <f>SOFR3mo_PX[[#This Row],[Column1828]]</f>
        <v>97.28</v>
      </c>
      <c r="BRI12">
        <f>SOFR3mo_PX[[#This Row],[Column1829]]</f>
        <v>97.27</v>
      </c>
      <c r="BRJ12">
        <f>SOFR3mo_PX[[#This Row],[Column1830]]</f>
        <v>97.275000000000006</v>
      </c>
      <c r="BRK12">
        <f>SOFR3mo_PX[[#This Row],[Column1831]]</f>
        <v>97.245000000000005</v>
      </c>
      <c r="BRL12">
        <f>SOFR3mo_PX[[#This Row],[Column1832]]</f>
        <v>97.254999999999995</v>
      </c>
      <c r="BRM12">
        <f>SOFR3mo_PX[[#This Row],[Column1833]]</f>
        <v>97.24</v>
      </c>
      <c r="BRN12">
        <f>SOFR3mo_PX[[#This Row],[Column1834]]</f>
        <v>97.24</v>
      </c>
      <c r="BRO12">
        <f>SOFR3mo_PX[[#This Row],[Column1835]]</f>
        <v>97.275000000000006</v>
      </c>
      <c r="BRP12">
        <f>SOFR3mo_PX[[#This Row],[Column1836]]</f>
        <v>97.29</v>
      </c>
      <c r="BRQ12">
        <f>SOFR3mo_PX[[#This Row],[Column1837]]</f>
        <v>97.3</v>
      </c>
      <c r="BRR12">
        <f>SOFR3mo_PX[[#This Row],[Column1838]]</f>
        <v>97.265000000000001</v>
      </c>
      <c r="BRS12">
        <f>SOFR3mo_PX[[#This Row],[Column1839]]</f>
        <v>97.254999999999995</v>
      </c>
      <c r="BRT12">
        <f>SOFR3mo_PX[[#This Row],[Column1840]]</f>
        <v>97.295000000000002</v>
      </c>
      <c r="BRU12">
        <f>SOFR3mo_PX[[#This Row],[Column1841]]</f>
        <v>97.275000000000006</v>
      </c>
      <c r="BRV12">
        <f>SOFR3mo_PX[[#This Row],[Column1842]]</f>
        <v>97.314999999999998</v>
      </c>
      <c r="BRW12">
        <f>SOFR3mo_PX[[#This Row],[Column1843]]</f>
        <v>97.385000000000005</v>
      </c>
      <c r="BRX12">
        <f>SOFR3mo_PX[[#This Row],[Column1844]]</f>
        <v>97.38</v>
      </c>
      <c r="BRY12">
        <f>SOFR3mo_PX[[#This Row],[Column1845]]</f>
        <v>97.474999999999994</v>
      </c>
      <c r="BRZ12">
        <f>SOFR3mo_PX[[#This Row],[Column1846]]</f>
        <v>97.26</v>
      </c>
      <c r="BSA12">
        <f>SOFR3mo_PX[[#This Row],[Column1847]]</f>
        <v>97.26</v>
      </c>
      <c r="BSB12">
        <f>SOFR3mo_PX[[#This Row],[Column1848]]</f>
        <v>97.23</v>
      </c>
      <c r="BSC12">
        <f>SOFR3mo_PX[[#This Row],[Column1849]]</f>
        <v>97.2</v>
      </c>
      <c r="BSD12">
        <f>SOFR3mo_PX[[#This Row],[Column1850]]</f>
        <v>97.15</v>
      </c>
      <c r="BSE12">
        <f>SOFR3mo_PX[[#This Row],[Column1851]]</f>
        <v>97.14</v>
      </c>
      <c r="BSF12">
        <f>SOFR3mo_PX[[#This Row],[Column1852]]</f>
        <v>97.155000000000001</v>
      </c>
      <c r="BSG12">
        <f>SOFR3mo_PX[[#This Row],[Column1853]]</f>
        <v>97.13</v>
      </c>
      <c r="BSH12">
        <f>SOFR3mo_PX[[#This Row],[Column1854]]</f>
        <v>97.144999999999996</v>
      </c>
      <c r="BSI12">
        <f>SOFR3mo_PX[[#This Row],[Column1855]]</f>
        <v>97.155000000000001</v>
      </c>
      <c r="BSJ12">
        <f>SOFR3mo_PX[[#This Row],[Column1856]]</f>
        <v>97.185000000000002</v>
      </c>
      <c r="BSK12">
        <f>SOFR3mo_PX[[#This Row],[Column1857]]</f>
        <v>97.19</v>
      </c>
      <c r="BSL12">
        <f>SOFR3mo_PX[[#This Row],[Column1858]]</f>
        <v>97.204999999999998</v>
      </c>
      <c r="BSM12">
        <f>SOFR3mo_PX[[#This Row],[Column1859]]</f>
        <v>97.224999999999994</v>
      </c>
      <c r="BSN12">
        <f>SOFR3mo_PX[[#This Row],[Column1860]]</f>
        <v>97.25</v>
      </c>
      <c r="BSO12">
        <f>SOFR3mo_PX[[#This Row],[Column1861]]</f>
        <v>97.26</v>
      </c>
      <c r="BSP12">
        <f>SOFR3mo_PX[[#This Row],[Column1862]]</f>
        <v>97.284999999999997</v>
      </c>
      <c r="BSQ12" t="str">
        <f>SOFR3mo_PX[[#This Row],[Column1863]]</f>
        <v>#N/A N/A</v>
      </c>
      <c r="BSR12" t="str">
        <f>SOFR3mo_PX[[#This Row],[Column1864]]</f>
        <v>#N/A N/A</v>
      </c>
      <c r="BSS12" t="str">
        <f>SOFR3mo_PX[[#This Row],[Column1865]]</f>
        <v>#N/A N/A</v>
      </c>
      <c r="BST12" t="str">
        <f>SOFR3mo_PX[[#This Row],[Column1866]]</f>
        <v>#N/A N/A</v>
      </c>
      <c r="BSU12" t="str">
        <f>SOFR3mo_PX[[#This Row],[Column1867]]</f>
        <v>#N/A N/A</v>
      </c>
      <c r="BSV12" t="str">
        <f>SOFR3mo_PX[[#This Row],[Column1868]]</f>
        <v>#N/A N/A</v>
      </c>
      <c r="BSW12" t="str">
        <f>SOFR3mo_PX[[#This Row],[Column1869]]</f>
        <v>#N/A N/A</v>
      </c>
      <c r="BSX12" t="str">
        <f>SOFR3mo_PX[[#This Row],[Column1870]]</f>
        <v>#N/A N/A</v>
      </c>
      <c r="BSY12" t="str">
        <f>SOFR3mo_PX[[#This Row],[Column1871]]</f>
        <v>#N/A N/A</v>
      </c>
      <c r="BSZ12" t="str">
        <f>SOFR3mo_PX[[#This Row],[Column1872]]</f>
        <v>#N/A N/A</v>
      </c>
      <c r="BTA12" t="str">
        <f>SOFR3mo_PX[[#This Row],[Column1873]]</f>
        <v>#N/A N/A</v>
      </c>
      <c r="BTB12" t="str">
        <f>SOFR3mo_PX[[#This Row],[Column1874]]</f>
        <v>#N/A N/A</v>
      </c>
      <c r="BTC12" t="str">
        <f>SOFR3mo_PX[[#This Row],[Column1875]]</f>
        <v>#N/A N/A</v>
      </c>
      <c r="BTD12" t="str">
        <f>SOFR3mo_PX[[#This Row],[Column1876]]</f>
        <v>#N/A N/A</v>
      </c>
      <c r="BTE12" t="str">
        <f>SOFR3mo_PX[[#This Row],[Column1877]]</f>
        <v>#N/A N/A</v>
      </c>
      <c r="BTF12" t="str">
        <f>SOFR3mo_PX[[#This Row],[Column1878]]</f>
        <v>#N/A N/A</v>
      </c>
      <c r="BTG12" t="str">
        <f>SOFR3mo_PX[[#This Row],[Column1879]]</f>
        <v>#N/A N/A</v>
      </c>
      <c r="BTH12" t="str">
        <f>SOFR3mo_PX[[#This Row],[Column1880]]</f>
        <v>#N/A N/A</v>
      </c>
      <c r="BTI12" t="str">
        <f>SOFR3mo_PX[[#This Row],[Column1881]]</f>
        <v>#N/A N/A</v>
      </c>
      <c r="BTJ12" t="str">
        <f>SOFR3mo_PX[[#This Row],[Column1882]]</f>
        <v>#N/A N/A</v>
      </c>
      <c r="BTK12" t="str">
        <f>SOFR3mo_PX[[#This Row],[Column1883]]</f>
        <v>#N/A N/A</v>
      </c>
      <c r="BTL12" t="str">
        <f>SOFR3mo_PX[[#This Row],[Column1884]]</f>
        <v>#N/A N/A</v>
      </c>
      <c r="BTM12" t="str">
        <f>SOFR3mo_PX[[#This Row],[Column1885]]</f>
        <v>#N/A N/A</v>
      </c>
      <c r="BTN12" t="str">
        <f>SOFR3mo_PX[[#This Row],[Column1886]]</f>
        <v>#N/A N/A</v>
      </c>
      <c r="BTO12" t="str">
        <f>SOFR3mo_PX[[#This Row],[Column1887]]</f>
        <v>#N/A N/A</v>
      </c>
      <c r="BTP12" t="str">
        <f>SOFR3mo_PX[[#This Row],[Column1888]]</f>
        <v>#N/A N/A</v>
      </c>
      <c r="BTQ12" t="str">
        <f>SOFR3mo_PX[[#This Row],[Column1889]]</f>
        <v>#N/A N/A</v>
      </c>
      <c r="BTR12" t="str">
        <f>SOFR3mo_PX[[#This Row],[Column1890]]</f>
        <v>#N/A N/A</v>
      </c>
      <c r="BTS12" t="str">
        <f>SOFR3mo_PX[[#This Row],[Column1891]]</f>
        <v>#N/A N/A</v>
      </c>
      <c r="BTT12" t="str">
        <f>SOFR3mo_PX[[#This Row],[Column1892]]</f>
        <v>#N/A N/A</v>
      </c>
      <c r="BTU12" t="str">
        <f>SOFR3mo_PX[[#This Row],[Column1893]]</f>
        <v>#N/A N/A</v>
      </c>
      <c r="BTV12" t="str">
        <f>SOFR3mo_PX[[#This Row],[Column1894]]</f>
        <v>#N/A N/A</v>
      </c>
      <c r="BTW12" t="str">
        <f>SOFR3mo_PX[[#This Row],[Column1895]]</f>
        <v>#N/A N/A</v>
      </c>
      <c r="BTX12" t="str">
        <f>SOFR3mo_PX[[#This Row],[Column1896]]</f>
        <v>#N/A N/A</v>
      </c>
      <c r="BTY12" t="str">
        <f>SOFR3mo_PX[[#This Row],[Column1897]]</f>
        <v>#N/A N/A</v>
      </c>
      <c r="BTZ12" t="str">
        <f>SOFR3mo_PX[[#This Row],[Column1898]]</f>
        <v>#N/A N/A</v>
      </c>
      <c r="BUA12" t="str">
        <f>SOFR3mo_PX[[#This Row],[Column1899]]</f>
        <v>#N/A N/A</v>
      </c>
      <c r="BUB12" t="str">
        <f>SOFR3mo_PX[[#This Row],[Column1900]]</f>
        <v>#N/A N/A</v>
      </c>
      <c r="BUC12" t="str">
        <f>SOFR3mo_PX[[#This Row],[Column1901]]</f>
        <v>#N/A N/A</v>
      </c>
      <c r="BUD12" t="str">
        <f>SOFR3mo_PX[[#This Row],[Column1902]]</f>
        <v>#N/A N/A</v>
      </c>
      <c r="BUE12" t="str">
        <f>SOFR3mo_PX[[#This Row],[Column1903]]</f>
        <v>#N/A N/A</v>
      </c>
      <c r="BUF12" t="str">
        <f>SOFR3mo_PX[[#This Row],[Column1904]]</f>
        <v>#N/A N/A</v>
      </c>
      <c r="BUG12" t="str">
        <f>SOFR3mo_PX[[#This Row],[Column1905]]</f>
        <v>#N/A N/A</v>
      </c>
      <c r="BUH12" t="str">
        <f>SOFR3mo_PX[[#This Row],[Column1906]]</f>
        <v>#N/A N/A</v>
      </c>
      <c r="BUI12" t="str">
        <f>SOFR3mo_PX[[#This Row],[Column1907]]</f>
        <v>#N/A N/A</v>
      </c>
      <c r="BUJ12" t="str">
        <f>SOFR3mo_PX[[#This Row],[Column1908]]</f>
        <v>#N/A N/A</v>
      </c>
      <c r="BUK12" t="str">
        <f>SOFR3mo_PX[[#This Row],[Column1909]]</f>
        <v>#N/A N/A</v>
      </c>
      <c r="BUL12" t="str">
        <f>SOFR3mo_PX[[#This Row],[Column1910]]</f>
        <v>#N/A N/A</v>
      </c>
      <c r="BUM12" t="str">
        <f>SOFR3mo_PX[[#This Row],[Column1911]]</f>
        <v>#N/A N/A</v>
      </c>
      <c r="BUN12" t="str">
        <f>SOFR3mo_PX[[#This Row],[Column1912]]</f>
        <v>#N/A N/A</v>
      </c>
      <c r="BUO12" t="str">
        <f>SOFR3mo_PX[[#This Row],[Column1913]]</f>
        <v>#N/A N/A</v>
      </c>
      <c r="BUP12" t="str">
        <f>SOFR3mo_PX[[#This Row],[Column1914]]</f>
        <v>#N/A N/A</v>
      </c>
      <c r="BUQ12" t="str">
        <f>SOFR3mo_PX[[#This Row],[Column1915]]</f>
        <v>#N/A N/A</v>
      </c>
      <c r="BUR12" t="str">
        <f>SOFR3mo_PX[[#This Row],[Column1916]]</f>
        <v>#N/A N/A</v>
      </c>
      <c r="BUS12" t="str">
        <f>SOFR3mo_PX[[#This Row],[Column1917]]</f>
        <v>#N/A N/A</v>
      </c>
      <c r="BUT12" t="str">
        <f>SOFR3mo_PX[[#This Row],[Column1918]]</f>
        <v>#N/A N/A</v>
      </c>
      <c r="BUU12" t="str">
        <f>SOFR3mo_PX[[#This Row],[Column1919]]</f>
        <v>#N/A N/A</v>
      </c>
      <c r="BUV12" t="str">
        <f>SOFR3mo_PX[[#This Row],[Column1920]]</f>
        <v>#N/A N/A</v>
      </c>
      <c r="BUW12" t="str">
        <f>SOFR3mo_PX[[#This Row],[Column1921]]</f>
        <v>#N/A N/A</v>
      </c>
      <c r="BUX12" t="str">
        <f>SOFR3mo_PX[[#This Row],[Column1922]]</f>
        <v>#N/A N/A</v>
      </c>
      <c r="BUY12" t="str">
        <f>SOFR3mo_PX[[#This Row],[Column1923]]</f>
        <v>#N/A N/A</v>
      </c>
      <c r="BUZ12" t="str">
        <f>SOFR3mo_PX[[#This Row],[Column1924]]</f>
        <v>#N/A N/A</v>
      </c>
      <c r="BVA12" t="str">
        <f>SOFR3mo_PX[[#This Row],[Column1925]]</f>
        <v>#N/A N/A</v>
      </c>
      <c r="BVB12" t="str">
        <f>SOFR3mo_PX[[#This Row],[Column1926]]</f>
        <v>#N/A N/A</v>
      </c>
      <c r="BVC12" t="str">
        <f>SOFR3mo_PX[[#This Row],[Column1927]]</f>
        <v>#N/A N/A</v>
      </c>
      <c r="BVD12" t="str">
        <f>SOFR3mo_PX[[#This Row],[Column1928]]</f>
        <v>#N/A N/A</v>
      </c>
      <c r="BVE12" t="str">
        <f>SOFR3mo_PX[[#This Row],[Column1929]]</f>
        <v>#N/A N/A</v>
      </c>
      <c r="BVF12" t="str">
        <f>SOFR3mo_PX[[#This Row],[Column1930]]</f>
        <v>#N/A N/A</v>
      </c>
      <c r="BVG12" t="str">
        <f>SOFR3mo_PX[[#This Row],[Column1931]]</f>
        <v>#N/A N/A</v>
      </c>
      <c r="BVH12" t="str">
        <f>SOFR3mo_PX[[#This Row],[Column1932]]</f>
        <v>#N/A N/A</v>
      </c>
      <c r="BVI12" t="str">
        <f>SOFR3mo_PX[[#This Row],[Column1933]]</f>
        <v>#N/A N/A</v>
      </c>
      <c r="BVJ12" t="str">
        <f>SOFR3mo_PX[[#This Row],[Column1934]]</f>
        <v>#N/A N/A</v>
      </c>
      <c r="BVK12" t="str">
        <f>SOFR3mo_PX[[#This Row],[Column1935]]</f>
        <v>#N/A N/A</v>
      </c>
      <c r="BVL12" t="str">
        <f>SOFR3mo_PX[[#This Row],[Column1936]]</f>
        <v>#N/A N/A</v>
      </c>
      <c r="BVM12" t="str">
        <f>SOFR3mo_PX[[#This Row],[Column1937]]</f>
        <v>#N/A N/A</v>
      </c>
      <c r="BVN12" t="str">
        <f>SOFR3mo_PX[[#This Row],[Column1938]]</f>
        <v>#N/A N/A</v>
      </c>
      <c r="BVO12" t="str">
        <f>SOFR3mo_PX[[#This Row],[Column1939]]</f>
        <v>#N/A N/A</v>
      </c>
      <c r="BVP12" t="str">
        <f>SOFR3mo_PX[[#This Row],[Column1940]]</f>
        <v>#N/A N/A</v>
      </c>
      <c r="BVQ12" t="str">
        <f>SOFR3mo_PX[[#This Row],[Column1941]]</f>
        <v>#N/A N/A</v>
      </c>
      <c r="BVR12" t="str">
        <f>SOFR3mo_PX[[#This Row],[Column1942]]</f>
        <v>#N/A N/A</v>
      </c>
      <c r="BVS12" t="str">
        <f>SOFR3mo_PX[[#This Row],[Column1943]]</f>
        <v>#N/A N/A</v>
      </c>
      <c r="BVT12" t="str">
        <f>SOFR3mo_PX[[#This Row],[Column1944]]</f>
        <v>#N/A N/A</v>
      </c>
      <c r="BVU12" t="str">
        <f>SOFR3mo_PX[[#This Row],[Column1945]]</f>
        <v>#N/A N/A</v>
      </c>
      <c r="BVV12" t="str">
        <f>SOFR3mo_PX[[#This Row],[Column1946]]</f>
        <v>#N/A N/A</v>
      </c>
      <c r="BVW12" t="str">
        <f>SOFR3mo_PX[[#This Row],[Column1947]]</f>
        <v>#N/A N/A</v>
      </c>
      <c r="BVX12" t="str">
        <f>SOFR3mo_PX[[#This Row],[Column1948]]</f>
        <v>#N/A N/A</v>
      </c>
      <c r="BVY12" t="str">
        <f>SOFR3mo_PX[[#This Row],[Column1949]]</f>
        <v>#N/A N/A</v>
      </c>
      <c r="BVZ12" t="str">
        <f>SOFR3mo_PX[[#This Row],[Column1950]]</f>
        <v>#N/A N/A</v>
      </c>
      <c r="BWA12" t="str">
        <f>SOFR3mo_PX[[#This Row],[Column1951]]</f>
        <v>#N/A N/A</v>
      </c>
      <c r="BWB12" t="str">
        <f>SOFR3mo_PX[[#This Row],[Column1952]]</f>
        <v>#N/A N/A</v>
      </c>
      <c r="BWC12" t="str">
        <f>SOFR3mo_PX[[#This Row],[Column1953]]</f>
        <v>#N/A N/A</v>
      </c>
      <c r="BWD12" t="str">
        <f>SOFR3mo_PX[[#This Row],[Column1954]]</f>
        <v>#N/A N/A</v>
      </c>
    </row>
    <row r="13" spans="1:1954" x14ac:dyDescent="0.25">
      <c r="A13" t="str">
        <f>SOFR3mo_PX[[#This Row],[Column1]]</f>
        <v>SFR11 Comdty</v>
      </c>
      <c r="B13">
        <f>IF(rtd!B11&lt;&gt;"",rtd!B11,SOFR3mo_PX[[#This Row],[Column2]])</f>
        <v>96.612499999999997</v>
      </c>
      <c r="C13">
        <f>SOFR3mo_PX[[#This Row],[Column3]]</f>
        <v>96.564999999999998</v>
      </c>
      <c r="D13">
        <f>SOFR3mo_PX[[#This Row],[Column4]]</f>
        <v>96.564999999999998</v>
      </c>
      <c r="E13">
        <f>SOFR3mo_PX[[#This Row],[Column5]]</f>
        <v>96.625</v>
      </c>
      <c r="F13">
        <f>SOFR3mo_PX[[#This Row],[Column6]]</f>
        <v>96.57</v>
      </c>
      <c r="G13">
        <f>SOFR3mo_PX[[#This Row],[Column7]]</f>
        <v>96.575000000000003</v>
      </c>
      <c r="H13">
        <f>SOFR3mo_PX[[#This Row],[Column8]]</f>
        <v>96.63</v>
      </c>
      <c r="I13">
        <f>SOFR3mo_PX[[#This Row],[Column9]]</f>
        <v>96.58</v>
      </c>
      <c r="J13">
        <f>SOFR3mo_PX[[#This Row],[Column10]]</f>
        <v>96.504999999999995</v>
      </c>
      <c r="K13">
        <f>SOFR3mo_PX[[#This Row],[Column11]]</f>
        <v>96.504999999999995</v>
      </c>
      <c r="L13">
        <f>SOFR3mo_PX[[#This Row],[Column12]]</f>
        <v>96.46</v>
      </c>
      <c r="M13">
        <f>SOFR3mo_PX[[#This Row],[Column13]]</f>
        <v>96.605000000000004</v>
      </c>
      <c r="N13">
        <f>SOFR3mo_PX[[#This Row],[Column14]]</f>
        <v>96.67</v>
      </c>
      <c r="O13">
        <f>SOFR3mo_PX[[#This Row],[Column15]]</f>
        <v>96.584999999999994</v>
      </c>
      <c r="P13">
        <f>SOFR3mo_PX[[#This Row],[Column16]]</f>
        <v>96.605000000000004</v>
      </c>
      <c r="Q13">
        <f>SOFR3mo_PX[[#This Row],[Column17]]</f>
        <v>96.65</v>
      </c>
      <c r="R13">
        <f>SOFR3mo_PX[[#This Row],[Column18]]</f>
        <v>96.63</v>
      </c>
      <c r="S13">
        <f>SOFR3mo_PX[[#This Row],[Column19]]</f>
        <v>96.575000000000003</v>
      </c>
      <c r="T13">
        <f>SOFR3mo_PX[[#This Row],[Column20]]</f>
        <v>96.62</v>
      </c>
      <c r="U13">
        <f>SOFR3mo_PX[[#This Row],[Column21]]</f>
        <v>96.54</v>
      </c>
      <c r="V13">
        <f>SOFR3mo_PX[[#This Row],[Column22]]</f>
        <v>96.54</v>
      </c>
      <c r="W13">
        <f>SOFR3mo_PX[[#This Row],[Column23]]</f>
        <v>96.495000000000005</v>
      </c>
      <c r="X13">
        <f>SOFR3mo_PX[[#This Row],[Column24]]</f>
        <v>96.45</v>
      </c>
      <c r="Y13">
        <f>SOFR3mo_PX[[#This Row],[Column25]]</f>
        <v>96.534999999999997</v>
      </c>
      <c r="Z13">
        <f>SOFR3mo_PX[[#This Row],[Column26]]</f>
        <v>96.51</v>
      </c>
      <c r="AA13">
        <f>SOFR3mo_PX[[#This Row],[Column27]]</f>
        <v>96.504999999999995</v>
      </c>
      <c r="AB13">
        <f>SOFR3mo_PX[[#This Row],[Column28]]</f>
        <v>96.484999999999999</v>
      </c>
      <c r="AC13">
        <f>SOFR3mo_PX[[#This Row],[Column29]]</f>
        <v>96.385000000000005</v>
      </c>
      <c r="AD13">
        <f>SOFR3mo_PX[[#This Row],[Column30]]</f>
        <v>96.42</v>
      </c>
      <c r="AE13">
        <f>SOFR3mo_PX[[#This Row],[Column31]]</f>
        <v>96.435000000000002</v>
      </c>
      <c r="AF13">
        <f>SOFR3mo_PX[[#This Row],[Column32]]</f>
        <v>96.584999999999994</v>
      </c>
      <c r="AG13">
        <f>SOFR3mo_PX[[#This Row],[Column33]]</f>
        <v>96.58</v>
      </c>
      <c r="AH13">
        <f>SOFR3mo_PX[[#This Row],[Column34]]</f>
        <v>96.734999999999999</v>
      </c>
      <c r="AI13">
        <f>SOFR3mo_PX[[#This Row],[Column35]]</f>
        <v>96.715000000000003</v>
      </c>
      <c r="AJ13">
        <f>SOFR3mo_PX[[#This Row],[Column36]]</f>
        <v>96.66</v>
      </c>
      <c r="AK13">
        <f>SOFR3mo_PX[[#This Row],[Column37]]</f>
        <v>96.655000000000001</v>
      </c>
      <c r="AL13">
        <f>SOFR3mo_PX[[#This Row],[Column38]]</f>
        <v>96.784999999999997</v>
      </c>
      <c r="AM13">
        <f>SOFR3mo_PX[[#This Row],[Column39]]</f>
        <v>96.844999999999999</v>
      </c>
      <c r="AN13">
        <f>SOFR3mo_PX[[#This Row],[Column40]]</f>
        <v>96.805000000000007</v>
      </c>
      <c r="AO13">
        <f>SOFR3mo_PX[[#This Row],[Column41]]</f>
        <v>96.765000000000001</v>
      </c>
      <c r="AP13">
        <f>SOFR3mo_PX[[#This Row],[Column42]]</f>
        <v>96.685000000000002</v>
      </c>
      <c r="AQ13">
        <f>SOFR3mo_PX[[#This Row],[Column43]]</f>
        <v>96.64</v>
      </c>
      <c r="AR13">
        <f>SOFR3mo_PX[[#This Row],[Column44]]</f>
        <v>96.555000000000007</v>
      </c>
      <c r="AS13">
        <f>SOFR3mo_PX[[#This Row],[Column45]]</f>
        <v>96.614999999999995</v>
      </c>
      <c r="AT13">
        <f>SOFR3mo_PX[[#This Row],[Column46]]</f>
        <v>96.644999999999996</v>
      </c>
      <c r="AU13">
        <f>SOFR3mo_PX[[#This Row],[Column47]]</f>
        <v>96.635000000000005</v>
      </c>
      <c r="AV13">
        <f>SOFR3mo_PX[[#This Row],[Column48]]</f>
        <v>96.635000000000005</v>
      </c>
      <c r="AW13">
        <f>SOFR3mo_PX[[#This Row],[Column49]]</f>
        <v>96.644999999999996</v>
      </c>
      <c r="AX13">
        <f>SOFR3mo_PX[[#This Row],[Column50]]</f>
        <v>96.57</v>
      </c>
      <c r="AY13">
        <f>SOFR3mo_PX[[#This Row],[Column51]]</f>
        <v>96.54</v>
      </c>
      <c r="AZ13">
        <f>SOFR3mo_PX[[#This Row],[Column52]]</f>
        <v>96.38</v>
      </c>
      <c r="BA13">
        <f>SOFR3mo_PX[[#This Row],[Column53]]</f>
        <v>96.52</v>
      </c>
      <c r="BB13">
        <f>SOFR3mo_PX[[#This Row],[Column54]]</f>
        <v>96.415000000000006</v>
      </c>
      <c r="BC13">
        <f>SOFR3mo_PX[[#This Row],[Column55]]</f>
        <v>96.65</v>
      </c>
      <c r="BD13">
        <f>SOFR3mo_PX[[#This Row],[Column56]]</f>
        <v>96.685000000000002</v>
      </c>
      <c r="BE13">
        <f>SOFR3mo_PX[[#This Row],[Column57]]</f>
        <v>96.805000000000007</v>
      </c>
      <c r="BF13">
        <f>SOFR3mo_PX[[#This Row],[Column58]]</f>
        <v>96.75</v>
      </c>
      <c r="BG13">
        <f>SOFR3mo_PX[[#This Row],[Column59]]</f>
        <v>96.515000000000001</v>
      </c>
      <c r="BH13">
        <f>SOFR3mo_PX[[#This Row],[Column60]]</f>
        <v>96.56</v>
      </c>
      <c r="BI13">
        <f>SOFR3mo_PX[[#This Row],[Column61]]</f>
        <v>96.484999999999999</v>
      </c>
      <c r="BJ13">
        <f>SOFR3mo_PX[[#This Row],[Column62]]</f>
        <v>96.495000000000005</v>
      </c>
      <c r="BK13">
        <f>SOFR3mo_PX[[#This Row],[Column63]]</f>
        <v>96.375</v>
      </c>
      <c r="BL13">
        <f>SOFR3mo_PX[[#This Row],[Column64]]</f>
        <v>96.38</v>
      </c>
      <c r="BM13">
        <f>SOFR3mo_PX[[#This Row],[Column65]]</f>
        <v>96.4</v>
      </c>
      <c r="BN13">
        <f>SOFR3mo_PX[[#This Row],[Column66]]</f>
        <v>96.35</v>
      </c>
      <c r="BO13">
        <f>SOFR3mo_PX[[#This Row],[Column67]]</f>
        <v>96.435000000000002</v>
      </c>
      <c r="BP13">
        <f>SOFR3mo_PX[[#This Row],[Column68]]</f>
        <v>96.424999999999997</v>
      </c>
      <c r="BQ13">
        <f>SOFR3mo_PX[[#This Row],[Column69]]</f>
        <v>96.405000000000001</v>
      </c>
      <c r="BR13">
        <f>SOFR3mo_PX[[#This Row],[Column70]]</f>
        <v>96.385000000000005</v>
      </c>
      <c r="BS13">
        <f>SOFR3mo_PX[[#This Row],[Column71]]</f>
        <v>96.35</v>
      </c>
      <c r="BT13">
        <f>SOFR3mo_PX[[#This Row],[Column72]]</f>
        <v>96.364999999999995</v>
      </c>
      <c r="BU13">
        <f>SOFR3mo_PX[[#This Row],[Column73]]</f>
        <v>96.424999999999997</v>
      </c>
      <c r="BV13">
        <f>SOFR3mo_PX[[#This Row],[Column74]]</f>
        <v>96.37</v>
      </c>
      <c r="BW13">
        <f>SOFR3mo_PX[[#This Row],[Column75]]</f>
        <v>96.41</v>
      </c>
      <c r="BX13">
        <f>SOFR3mo_PX[[#This Row],[Column76]]</f>
        <v>96.474999999999994</v>
      </c>
      <c r="BY13">
        <f>SOFR3mo_PX[[#This Row],[Column77]]</f>
        <v>96.334999999999994</v>
      </c>
      <c r="BZ13">
        <f>SOFR3mo_PX[[#This Row],[Column78]]</f>
        <v>96.37</v>
      </c>
      <c r="CA13">
        <f>SOFR3mo_PX[[#This Row],[Column79]]</f>
        <v>96.364999999999995</v>
      </c>
      <c r="CB13">
        <f>SOFR3mo_PX[[#This Row],[Column80]]</f>
        <v>96.44</v>
      </c>
      <c r="CC13">
        <f>SOFR3mo_PX[[#This Row],[Column81]]</f>
        <v>96.45</v>
      </c>
      <c r="CD13">
        <f>SOFR3mo_PX[[#This Row],[Column82]]</f>
        <v>96.415000000000006</v>
      </c>
      <c r="CE13">
        <f>SOFR3mo_PX[[#This Row],[Column83]]</f>
        <v>96.34</v>
      </c>
      <c r="CF13">
        <f>SOFR3mo_PX[[#This Row],[Column84]]</f>
        <v>96.37</v>
      </c>
      <c r="CG13">
        <f>SOFR3mo_PX[[#This Row],[Column85]]</f>
        <v>96.305000000000007</v>
      </c>
      <c r="CH13">
        <f>SOFR3mo_PX[[#This Row],[Column86]]</f>
        <v>96.174999999999997</v>
      </c>
      <c r="CI13">
        <f>SOFR3mo_PX[[#This Row],[Column87]]</f>
        <v>96.135000000000005</v>
      </c>
      <c r="CJ13">
        <f>SOFR3mo_PX[[#This Row],[Column88]]</f>
        <v>96.045000000000002</v>
      </c>
      <c r="CK13">
        <f>SOFR3mo_PX[[#This Row],[Column89]]</f>
        <v>96.01</v>
      </c>
      <c r="CL13">
        <f>SOFR3mo_PX[[#This Row],[Column90]]</f>
        <v>95.99</v>
      </c>
      <c r="CM13">
        <f>SOFR3mo_PX[[#This Row],[Column91]]</f>
        <v>96.055000000000007</v>
      </c>
      <c r="CN13">
        <f>SOFR3mo_PX[[#This Row],[Column92]]</f>
        <v>96.055000000000007</v>
      </c>
      <c r="CO13">
        <f>SOFR3mo_PX[[#This Row],[Column93]]</f>
        <v>95.98</v>
      </c>
      <c r="CP13">
        <f>SOFR3mo_PX[[#This Row],[Column94]]</f>
        <v>95.87</v>
      </c>
      <c r="CQ13">
        <f>SOFR3mo_PX[[#This Row],[Column95]]</f>
        <v>96.01</v>
      </c>
      <c r="CR13">
        <f>SOFR3mo_PX[[#This Row],[Column96]]</f>
        <v>96.055000000000007</v>
      </c>
      <c r="CS13">
        <f>SOFR3mo_PX[[#This Row],[Column97]]</f>
        <v>96.045000000000002</v>
      </c>
      <c r="CT13">
        <f>SOFR3mo_PX[[#This Row],[Column98]]</f>
        <v>96.114999999999995</v>
      </c>
      <c r="CU13">
        <f>SOFR3mo_PX[[#This Row],[Column99]]</f>
        <v>96.165000000000006</v>
      </c>
      <c r="CV13">
        <f>SOFR3mo_PX[[#This Row],[Column100]]</f>
        <v>96.075000000000003</v>
      </c>
      <c r="CW13">
        <f>SOFR3mo_PX[[#This Row],[Column101]]</f>
        <v>96.02</v>
      </c>
      <c r="CX13">
        <f>SOFR3mo_PX[[#This Row],[Column102]]</f>
        <v>96.01</v>
      </c>
      <c r="CY13">
        <f>SOFR3mo_PX[[#This Row],[Column103]]</f>
        <v>96.064999999999998</v>
      </c>
      <c r="CZ13">
        <f>SOFR3mo_PX[[#This Row],[Column104]]</f>
        <v>96.025000000000006</v>
      </c>
      <c r="DA13">
        <f>SOFR3mo_PX[[#This Row],[Column105]]</f>
        <v>96.034999999999997</v>
      </c>
      <c r="DB13">
        <f>SOFR3mo_PX[[#This Row],[Column106]]</f>
        <v>96.055000000000007</v>
      </c>
      <c r="DC13">
        <f>SOFR3mo_PX[[#This Row],[Column107]]</f>
        <v>95.944999999999993</v>
      </c>
      <c r="DD13">
        <f>SOFR3mo_PX[[#This Row],[Column108]]</f>
        <v>95.935000000000002</v>
      </c>
      <c r="DE13">
        <f>SOFR3mo_PX[[#This Row],[Column109]]</f>
        <v>95.935000000000002</v>
      </c>
      <c r="DF13">
        <f>SOFR3mo_PX[[#This Row],[Column110]]</f>
        <v>95.96</v>
      </c>
      <c r="DG13">
        <f>SOFR3mo_PX[[#This Row],[Column111]]</f>
        <v>95.944999999999993</v>
      </c>
      <c r="DH13">
        <f>SOFR3mo_PX[[#This Row],[Column112]]</f>
        <v>95.944999999999993</v>
      </c>
      <c r="DI13">
        <f>SOFR3mo_PX[[#This Row],[Column113]]</f>
        <v>95.97</v>
      </c>
      <c r="DJ13">
        <f>SOFR3mo_PX[[#This Row],[Column114]]</f>
        <v>95.915000000000006</v>
      </c>
      <c r="DK13">
        <f>SOFR3mo_PX[[#This Row],[Column115]]</f>
        <v>95.75</v>
      </c>
      <c r="DL13">
        <f>SOFR3mo_PX[[#This Row],[Column116]]</f>
        <v>95.73</v>
      </c>
      <c r="DM13">
        <f>SOFR3mo_PX[[#This Row],[Column117]]</f>
        <v>95.754999999999995</v>
      </c>
      <c r="DN13">
        <f>SOFR3mo_PX[[#This Row],[Column118]]</f>
        <v>95.924999999999997</v>
      </c>
      <c r="DO13">
        <f>SOFR3mo_PX[[#This Row],[Column119]]</f>
        <v>95.894999999999996</v>
      </c>
      <c r="DP13">
        <f>SOFR3mo_PX[[#This Row],[Column120]]</f>
        <v>95.89</v>
      </c>
      <c r="DQ13">
        <f>SOFR3mo_PX[[#This Row],[Column121]]</f>
        <v>95.944999999999993</v>
      </c>
      <c r="DR13">
        <f>SOFR3mo_PX[[#This Row],[Column122]]</f>
        <v>95.984999999999999</v>
      </c>
      <c r="DS13">
        <f>SOFR3mo_PX[[#This Row],[Column123]]</f>
        <v>96.02</v>
      </c>
      <c r="DT13">
        <f>SOFR3mo_PX[[#This Row],[Column124]]</f>
        <v>96.01</v>
      </c>
      <c r="DU13">
        <f>SOFR3mo_PX[[#This Row],[Column125]]</f>
        <v>96.01</v>
      </c>
      <c r="DV13">
        <f>SOFR3mo_PX[[#This Row],[Column126]]</f>
        <v>96.03</v>
      </c>
      <c r="DW13">
        <f>SOFR3mo_PX[[#This Row],[Column127]]</f>
        <v>95.94</v>
      </c>
      <c r="DX13">
        <f>SOFR3mo_PX[[#This Row],[Column128]]</f>
        <v>95.974999999999994</v>
      </c>
      <c r="DY13">
        <f>SOFR3mo_PX[[#This Row],[Column129]]</f>
        <v>95.96</v>
      </c>
      <c r="DZ13">
        <f>SOFR3mo_PX[[#This Row],[Column130]]</f>
        <v>95.96</v>
      </c>
      <c r="EA13">
        <f>SOFR3mo_PX[[#This Row],[Column131]]</f>
        <v>95.95</v>
      </c>
      <c r="EB13">
        <f>SOFR3mo_PX[[#This Row],[Column132]]</f>
        <v>96.025000000000006</v>
      </c>
      <c r="EC13">
        <f>SOFR3mo_PX[[#This Row],[Column133]]</f>
        <v>95.97</v>
      </c>
      <c r="ED13">
        <f>SOFR3mo_PX[[#This Row],[Column134]]</f>
        <v>96.04</v>
      </c>
      <c r="EE13">
        <f>SOFR3mo_PX[[#This Row],[Column135]]</f>
        <v>96.165000000000006</v>
      </c>
      <c r="EF13">
        <f>SOFR3mo_PX[[#This Row],[Column136]]</f>
        <v>96.15</v>
      </c>
      <c r="EG13">
        <f>SOFR3mo_PX[[#This Row],[Column137]]</f>
        <v>96.174999999999997</v>
      </c>
      <c r="EH13">
        <f>SOFR3mo_PX[[#This Row],[Column138]]</f>
        <v>96.245000000000005</v>
      </c>
      <c r="EI13">
        <f>SOFR3mo_PX[[#This Row],[Column139]]</f>
        <v>96.295000000000002</v>
      </c>
      <c r="EJ13">
        <f>SOFR3mo_PX[[#This Row],[Column140]]</f>
        <v>96.35</v>
      </c>
      <c r="EK13">
        <f>SOFR3mo_PX[[#This Row],[Column141]]</f>
        <v>96.375</v>
      </c>
      <c r="EL13">
        <f>SOFR3mo_PX[[#This Row],[Column142]]</f>
        <v>96.41</v>
      </c>
      <c r="EM13">
        <f>SOFR3mo_PX[[#This Row],[Column143]]</f>
        <v>96.375</v>
      </c>
      <c r="EN13">
        <f>SOFR3mo_PX[[#This Row],[Column144]]</f>
        <v>96.39</v>
      </c>
      <c r="EO13">
        <f>SOFR3mo_PX[[#This Row],[Column145]]</f>
        <v>96.35</v>
      </c>
      <c r="EP13">
        <f>SOFR3mo_PX[[#This Row],[Column146]]</f>
        <v>96.38</v>
      </c>
      <c r="EQ13">
        <f>SOFR3mo_PX[[#This Row],[Column147]]</f>
        <v>96.39</v>
      </c>
      <c r="ER13">
        <f>SOFR3mo_PX[[#This Row],[Column148]]</f>
        <v>96.344999999999999</v>
      </c>
      <c r="ES13">
        <f>SOFR3mo_PX[[#This Row],[Column149]]</f>
        <v>96.344999999999999</v>
      </c>
      <c r="ET13">
        <f>SOFR3mo_PX[[#This Row],[Column150]]</f>
        <v>96.265000000000001</v>
      </c>
      <c r="EU13">
        <f>SOFR3mo_PX[[#This Row],[Column151]]</f>
        <v>96.3</v>
      </c>
      <c r="EV13">
        <f>SOFR3mo_PX[[#This Row],[Column152]]</f>
        <v>96.174999999999997</v>
      </c>
      <c r="EW13">
        <f>SOFR3mo_PX[[#This Row],[Column153]]</f>
        <v>96.155000000000001</v>
      </c>
      <c r="EX13">
        <f>SOFR3mo_PX[[#This Row],[Column154]]</f>
        <v>96.194999999999993</v>
      </c>
      <c r="EY13">
        <f>SOFR3mo_PX[[#This Row],[Column155]]</f>
        <v>96.224999999999994</v>
      </c>
      <c r="EZ13">
        <f>SOFR3mo_PX[[#This Row],[Column156]]</f>
        <v>96.19</v>
      </c>
      <c r="FA13">
        <f>SOFR3mo_PX[[#This Row],[Column157]]</f>
        <v>96.174999999999997</v>
      </c>
      <c r="FB13">
        <f>SOFR3mo_PX[[#This Row],[Column158]]</f>
        <v>96.17</v>
      </c>
      <c r="FC13">
        <f>SOFR3mo_PX[[#This Row],[Column159]]</f>
        <v>96.155000000000001</v>
      </c>
      <c r="FD13">
        <f>SOFR3mo_PX[[#This Row],[Column160]]</f>
        <v>96.155000000000001</v>
      </c>
      <c r="FE13">
        <f>SOFR3mo_PX[[#This Row],[Column161]]</f>
        <v>96.19</v>
      </c>
      <c r="FF13">
        <f>SOFR3mo_PX[[#This Row],[Column162]]</f>
        <v>96.265000000000001</v>
      </c>
      <c r="FG13">
        <f>SOFR3mo_PX[[#This Row],[Column163]]</f>
        <v>96.26</v>
      </c>
      <c r="FH13">
        <f>SOFR3mo_PX[[#This Row],[Column164]]</f>
        <v>96.19</v>
      </c>
      <c r="FI13">
        <f>SOFR3mo_PX[[#This Row],[Column165]]</f>
        <v>96.31</v>
      </c>
      <c r="FJ13">
        <f>SOFR3mo_PX[[#This Row],[Column166]]</f>
        <v>96.314999999999998</v>
      </c>
      <c r="FK13">
        <f>SOFR3mo_PX[[#This Row],[Column167]]</f>
        <v>96.284999999999997</v>
      </c>
      <c r="FL13">
        <f>SOFR3mo_PX[[#This Row],[Column168]]</f>
        <v>96.325000000000003</v>
      </c>
      <c r="FM13">
        <f>SOFR3mo_PX[[#This Row],[Column169]]</f>
        <v>96.35</v>
      </c>
      <c r="FN13">
        <f>SOFR3mo_PX[[#This Row],[Column170]]</f>
        <v>96.39</v>
      </c>
      <c r="FO13">
        <f>SOFR3mo_PX[[#This Row],[Column171]]</f>
        <v>96.375</v>
      </c>
      <c r="FP13">
        <f>SOFR3mo_PX[[#This Row],[Column172]]</f>
        <v>96.43</v>
      </c>
      <c r="FQ13">
        <f>SOFR3mo_PX[[#This Row],[Column173]]</f>
        <v>96.46</v>
      </c>
      <c r="FR13">
        <f>SOFR3mo_PX[[#This Row],[Column174]]</f>
        <v>96.42</v>
      </c>
      <c r="FS13">
        <f>SOFR3mo_PX[[#This Row],[Column175]]</f>
        <v>96.495000000000005</v>
      </c>
      <c r="FT13">
        <f>SOFR3mo_PX[[#This Row],[Column176]]</f>
        <v>96.53</v>
      </c>
      <c r="FU13">
        <f>SOFR3mo_PX[[#This Row],[Column177]]</f>
        <v>96.64</v>
      </c>
      <c r="FV13">
        <f>SOFR3mo_PX[[#This Row],[Column178]]</f>
        <v>96.614999999999995</v>
      </c>
      <c r="FW13">
        <f>SOFR3mo_PX[[#This Row],[Column179]]</f>
        <v>96.674999999999997</v>
      </c>
      <c r="FX13">
        <f>SOFR3mo_PX[[#This Row],[Column180]]</f>
        <v>96.66</v>
      </c>
      <c r="FY13">
        <f>SOFR3mo_PX[[#This Row],[Column181]]</f>
        <v>96.59</v>
      </c>
      <c r="FZ13">
        <f>SOFR3mo_PX[[#This Row],[Column182]]</f>
        <v>96.644999999999996</v>
      </c>
      <c r="GA13">
        <f>SOFR3mo_PX[[#This Row],[Column183]]</f>
        <v>96.594999999999999</v>
      </c>
      <c r="GB13">
        <f>SOFR3mo_PX[[#This Row],[Column184]]</f>
        <v>96.605000000000004</v>
      </c>
      <c r="GC13">
        <f>SOFR3mo_PX[[#This Row],[Column185]]</f>
        <v>96.64</v>
      </c>
      <c r="GD13">
        <f>SOFR3mo_PX[[#This Row],[Column186]]</f>
        <v>96.64</v>
      </c>
      <c r="GE13">
        <f>SOFR3mo_PX[[#This Row],[Column187]]</f>
        <v>96.7</v>
      </c>
      <c r="GF13">
        <f>SOFR3mo_PX[[#This Row],[Column188]]</f>
        <v>96.88</v>
      </c>
      <c r="GG13">
        <f>SOFR3mo_PX[[#This Row],[Column189]]</f>
        <v>96.96</v>
      </c>
      <c r="GH13">
        <f>SOFR3mo_PX[[#This Row],[Column190]]</f>
        <v>96.995000000000005</v>
      </c>
      <c r="GI13">
        <f>SOFR3mo_PX[[#This Row],[Column191]]</f>
        <v>96.93</v>
      </c>
      <c r="GJ13">
        <f>SOFR3mo_PX[[#This Row],[Column192]]</f>
        <v>96.98</v>
      </c>
      <c r="GK13">
        <f>SOFR3mo_PX[[#This Row],[Column193]]</f>
        <v>96.93</v>
      </c>
      <c r="GL13">
        <f>SOFR3mo_PX[[#This Row],[Column194]]</f>
        <v>96.96</v>
      </c>
      <c r="GM13">
        <f>SOFR3mo_PX[[#This Row],[Column195]]</f>
        <v>97</v>
      </c>
      <c r="GN13">
        <f>SOFR3mo_PX[[#This Row],[Column196]]</f>
        <v>96.98</v>
      </c>
      <c r="GO13">
        <f>SOFR3mo_PX[[#This Row],[Column197]]</f>
        <v>96.995000000000005</v>
      </c>
      <c r="GP13">
        <f>SOFR3mo_PX[[#This Row],[Column198]]</f>
        <v>96.995000000000005</v>
      </c>
      <c r="GQ13">
        <f>SOFR3mo_PX[[#This Row],[Column199]]</f>
        <v>97.03</v>
      </c>
      <c r="GR13">
        <f>SOFR3mo_PX[[#This Row],[Column200]]</f>
        <v>97.114999999999995</v>
      </c>
      <c r="GS13">
        <f>SOFR3mo_PX[[#This Row],[Column201]]</f>
        <v>97.14</v>
      </c>
      <c r="GT13">
        <f>SOFR3mo_PX[[#This Row],[Column202]]</f>
        <v>97.144999999999996</v>
      </c>
      <c r="GU13">
        <f>SOFR3mo_PX[[#This Row],[Column203]]</f>
        <v>97.14</v>
      </c>
      <c r="GV13">
        <f>SOFR3mo_PX[[#This Row],[Column204]]</f>
        <v>97.17</v>
      </c>
      <c r="GW13">
        <f>SOFR3mo_PX[[#This Row],[Column205]]</f>
        <v>97.174999999999997</v>
      </c>
      <c r="GX13">
        <f>SOFR3mo_PX[[#This Row],[Column206]]</f>
        <v>97.12</v>
      </c>
      <c r="GY13">
        <f>SOFR3mo_PX[[#This Row],[Column207]]</f>
        <v>97.114999999999995</v>
      </c>
      <c r="GZ13">
        <f>SOFR3mo_PX[[#This Row],[Column208]]</f>
        <v>97.055000000000007</v>
      </c>
      <c r="HA13">
        <f>SOFR3mo_PX[[#This Row],[Column209]]</f>
        <v>97.034999999999997</v>
      </c>
      <c r="HB13">
        <f>SOFR3mo_PX[[#This Row],[Column210]]</f>
        <v>96.954999999999998</v>
      </c>
      <c r="HC13">
        <f>SOFR3mo_PX[[#This Row],[Column211]]</f>
        <v>96.89</v>
      </c>
      <c r="HD13">
        <f>SOFR3mo_PX[[#This Row],[Column212]]</f>
        <v>96.89</v>
      </c>
      <c r="HE13">
        <f>SOFR3mo_PX[[#This Row],[Column213]]</f>
        <v>96.94</v>
      </c>
      <c r="HF13">
        <f>SOFR3mo_PX[[#This Row],[Column214]]</f>
        <v>96.96</v>
      </c>
      <c r="HG13">
        <f>SOFR3mo_PX[[#This Row],[Column215]]</f>
        <v>96.96</v>
      </c>
      <c r="HH13">
        <f>SOFR3mo_PX[[#This Row],[Column216]]</f>
        <v>96.954999999999998</v>
      </c>
      <c r="HI13">
        <f>SOFR3mo_PX[[#This Row],[Column217]]</f>
        <v>96.96</v>
      </c>
      <c r="HJ13">
        <f>SOFR3mo_PX[[#This Row],[Column218]]</f>
        <v>96.875</v>
      </c>
      <c r="HK13">
        <f>SOFR3mo_PX[[#This Row],[Column219]]</f>
        <v>96.96</v>
      </c>
      <c r="HL13">
        <f>SOFR3mo_PX[[#This Row],[Column220]]</f>
        <v>96.905000000000001</v>
      </c>
      <c r="HM13">
        <f>SOFR3mo_PX[[#This Row],[Column221]]</f>
        <v>96.84</v>
      </c>
      <c r="HN13">
        <f>SOFR3mo_PX[[#This Row],[Column222]]</f>
        <v>96.825000000000003</v>
      </c>
      <c r="HO13">
        <f>SOFR3mo_PX[[#This Row],[Column223]]</f>
        <v>96.8</v>
      </c>
      <c r="HP13">
        <f>SOFR3mo_PX[[#This Row],[Column224]]</f>
        <v>96.944999999999993</v>
      </c>
      <c r="HQ13">
        <f>SOFR3mo_PX[[#This Row],[Column225]]</f>
        <v>96.92</v>
      </c>
      <c r="HR13">
        <f>SOFR3mo_PX[[#This Row],[Column226]]</f>
        <v>96.86</v>
      </c>
      <c r="HS13">
        <f>SOFR3mo_PX[[#This Row],[Column227]]</f>
        <v>96.8</v>
      </c>
      <c r="HT13">
        <f>SOFR3mo_PX[[#This Row],[Column228]]</f>
        <v>96.77</v>
      </c>
      <c r="HU13">
        <f>SOFR3mo_PX[[#This Row],[Column229]]</f>
        <v>96.805000000000007</v>
      </c>
      <c r="HV13">
        <f>SOFR3mo_PX[[#This Row],[Column230]]</f>
        <v>96.88</v>
      </c>
      <c r="HW13">
        <f>SOFR3mo_PX[[#This Row],[Column231]]</f>
        <v>96.96</v>
      </c>
      <c r="HX13">
        <f>SOFR3mo_PX[[#This Row],[Column232]]</f>
        <v>96.984999999999999</v>
      </c>
      <c r="HY13">
        <f>SOFR3mo_PX[[#This Row],[Column233]]</f>
        <v>96.775000000000006</v>
      </c>
      <c r="HZ13">
        <f>SOFR3mo_PX[[#This Row],[Column234]]</f>
        <v>96.63</v>
      </c>
      <c r="IA13">
        <f>SOFR3mo_PX[[#This Row],[Column235]]</f>
        <v>96.6</v>
      </c>
      <c r="IB13">
        <f>SOFR3mo_PX[[#This Row],[Column236]]</f>
        <v>96.564999999999998</v>
      </c>
      <c r="IC13">
        <f>SOFR3mo_PX[[#This Row],[Column237]]</f>
        <v>96.55</v>
      </c>
      <c r="ID13">
        <f>SOFR3mo_PX[[#This Row],[Column238]]</f>
        <v>96.484999999999999</v>
      </c>
      <c r="IE13">
        <f>SOFR3mo_PX[[#This Row],[Column239]]</f>
        <v>96.484999999999999</v>
      </c>
      <c r="IF13">
        <f>SOFR3mo_PX[[#This Row],[Column240]]</f>
        <v>96.484999999999999</v>
      </c>
      <c r="IG13">
        <f>SOFR3mo_PX[[#This Row],[Column241]]</f>
        <v>96.454999999999998</v>
      </c>
      <c r="IH13">
        <f>SOFR3mo_PX[[#This Row],[Column242]]</f>
        <v>96.465000000000003</v>
      </c>
      <c r="II13">
        <f>SOFR3mo_PX[[#This Row],[Column243]]</f>
        <v>96.534999999999997</v>
      </c>
      <c r="IJ13">
        <f>SOFR3mo_PX[[#This Row],[Column244]]</f>
        <v>96.584999999999994</v>
      </c>
      <c r="IK13">
        <f>SOFR3mo_PX[[#This Row],[Column245]]</f>
        <v>96.55</v>
      </c>
      <c r="IL13">
        <f>SOFR3mo_PX[[#This Row],[Column246]]</f>
        <v>96.515000000000001</v>
      </c>
      <c r="IM13">
        <f>SOFR3mo_PX[[#This Row],[Column247]]</f>
        <v>96.54</v>
      </c>
      <c r="IN13">
        <f>SOFR3mo_PX[[#This Row],[Column248]]</f>
        <v>96.52</v>
      </c>
      <c r="IO13">
        <f>SOFR3mo_PX[[#This Row],[Column249]]</f>
        <v>96.39</v>
      </c>
      <c r="IP13">
        <f>SOFR3mo_PX[[#This Row],[Column250]]</f>
        <v>96.38</v>
      </c>
      <c r="IQ13">
        <f>SOFR3mo_PX[[#This Row],[Column251]]</f>
        <v>96.4</v>
      </c>
      <c r="IR13">
        <f>SOFR3mo_PX[[#This Row],[Column252]]</f>
        <v>96.405000000000001</v>
      </c>
      <c r="IS13">
        <f>SOFR3mo_PX[[#This Row],[Column253]]</f>
        <v>96.3</v>
      </c>
      <c r="IT13">
        <f>SOFR3mo_PX[[#This Row],[Column254]]</f>
        <v>96.3</v>
      </c>
      <c r="IU13">
        <f>SOFR3mo_PX[[#This Row],[Column255]]</f>
        <v>96.2</v>
      </c>
      <c r="IV13">
        <f>SOFR3mo_PX[[#This Row],[Column256]]</f>
        <v>96.144999999999996</v>
      </c>
      <c r="IW13">
        <f>SOFR3mo_PX[[#This Row],[Column257]]</f>
        <v>96.29</v>
      </c>
      <c r="IX13">
        <f>SOFR3mo_PX[[#This Row],[Column258]]</f>
        <v>96.314999999999998</v>
      </c>
      <c r="IY13">
        <f>SOFR3mo_PX[[#This Row],[Column259]]</f>
        <v>96.28</v>
      </c>
      <c r="IZ13">
        <f>SOFR3mo_PX[[#This Row],[Column260]]</f>
        <v>96.37</v>
      </c>
      <c r="JA13">
        <f>SOFR3mo_PX[[#This Row],[Column261]]</f>
        <v>96.37</v>
      </c>
      <c r="JB13">
        <f>SOFR3mo_PX[[#This Row],[Column262]]</f>
        <v>96.36</v>
      </c>
      <c r="JC13">
        <f>SOFR3mo_PX[[#This Row],[Column263]]</f>
        <v>96.36</v>
      </c>
      <c r="JD13">
        <f>SOFR3mo_PX[[#This Row],[Column264]]</f>
        <v>96.37</v>
      </c>
      <c r="JE13">
        <f>SOFR3mo_PX[[#This Row],[Column265]]</f>
        <v>96.37</v>
      </c>
      <c r="JF13">
        <f>SOFR3mo_PX[[#This Row],[Column266]]</f>
        <v>96.295000000000002</v>
      </c>
      <c r="JG13">
        <f>SOFR3mo_PX[[#This Row],[Column267]]</f>
        <v>96.38</v>
      </c>
      <c r="JH13">
        <f>SOFR3mo_PX[[#This Row],[Column268]]</f>
        <v>96.36</v>
      </c>
      <c r="JI13">
        <f>SOFR3mo_PX[[#This Row],[Column269]]</f>
        <v>96.275000000000006</v>
      </c>
      <c r="JJ13">
        <f>SOFR3mo_PX[[#This Row],[Column270]]</f>
        <v>96.135000000000005</v>
      </c>
      <c r="JK13">
        <f>SOFR3mo_PX[[#This Row],[Column271]]</f>
        <v>96.06</v>
      </c>
      <c r="JL13">
        <f>SOFR3mo_PX[[#This Row],[Column272]]</f>
        <v>96.105000000000004</v>
      </c>
      <c r="JM13">
        <f>SOFR3mo_PX[[#This Row],[Column273]]</f>
        <v>96.275000000000006</v>
      </c>
      <c r="JN13">
        <f>SOFR3mo_PX[[#This Row],[Column274]]</f>
        <v>96.254999999999995</v>
      </c>
      <c r="JO13">
        <f>SOFR3mo_PX[[#This Row],[Column275]]</f>
        <v>96.215000000000003</v>
      </c>
      <c r="JP13">
        <f>SOFR3mo_PX[[#This Row],[Column276]]</f>
        <v>96.135000000000005</v>
      </c>
      <c r="JQ13">
        <f>SOFR3mo_PX[[#This Row],[Column277]]</f>
        <v>96.02</v>
      </c>
      <c r="JR13">
        <f>SOFR3mo_PX[[#This Row],[Column278]]</f>
        <v>95.96</v>
      </c>
      <c r="JS13">
        <f>SOFR3mo_PX[[#This Row],[Column279]]</f>
        <v>95.88</v>
      </c>
      <c r="JT13">
        <f>SOFR3mo_PX[[#This Row],[Column280]]</f>
        <v>95.954999999999998</v>
      </c>
      <c r="JU13">
        <f>SOFR3mo_PX[[#This Row],[Column281]]</f>
        <v>96.004999999999995</v>
      </c>
      <c r="JV13">
        <f>SOFR3mo_PX[[#This Row],[Column282]]</f>
        <v>96.004999999999995</v>
      </c>
      <c r="JW13">
        <f>SOFR3mo_PX[[#This Row],[Column283]]</f>
        <v>96.01</v>
      </c>
      <c r="JX13">
        <f>SOFR3mo_PX[[#This Row],[Column284]]</f>
        <v>96.08</v>
      </c>
      <c r="JY13">
        <f>SOFR3mo_PX[[#This Row],[Column285]]</f>
        <v>96.12</v>
      </c>
      <c r="JZ13">
        <f>SOFR3mo_PX[[#This Row],[Column286]]</f>
        <v>96.094999999999999</v>
      </c>
      <c r="KA13">
        <f>SOFR3mo_PX[[#This Row],[Column287]]</f>
        <v>96.1</v>
      </c>
      <c r="KB13">
        <f>SOFR3mo_PX[[#This Row],[Column288]]</f>
        <v>96.16</v>
      </c>
      <c r="KC13">
        <f>SOFR3mo_PX[[#This Row],[Column289]]</f>
        <v>96.204999999999998</v>
      </c>
      <c r="KD13">
        <f>SOFR3mo_PX[[#This Row],[Column290]]</f>
        <v>96.08</v>
      </c>
      <c r="KE13">
        <f>SOFR3mo_PX[[#This Row],[Column291]]</f>
        <v>96.025000000000006</v>
      </c>
      <c r="KF13">
        <f>SOFR3mo_PX[[#This Row],[Column292]]</f>
        <v>95.995000000000005</v>
      </c>
      <c r="KG13">
        <f>SOFR3mo_PX[[#This Row],[Column293]]</f>
        <v>96.06</v>
      </c>
      <c r="KH13">
        <f>SOFR3mo_PX[[#This Row],[Column294]]</f>
        <v>96.02</v>
      </c>
      <c r="KI13">
        <f>SOFR3mo_PX[[#This Row],[Column295]]</f>
        <v>96.06</v>
      </c>
      <c r="KJ13">
        <f>SOFR3mo_PX[[#This Row],[Column296]]</f>
        <v>96.05</v>
      </c>
      <c r="KK13">
        <f>SOFR3mo_PX[[#This Row],[Column297]]</f>
        <v>96.045000000000002</v>
      </c>
      <c r="KL13">
        <f>SOFR3mo_PX[[#This Row],[Column298]]</f>
        <v>95.944999999999993</v>
      </c>
      <c r="KM13">
        <f>SOFR3mo_PX[[#This Row],[Column299]]</f>
        <v>95.894999999999996</v>
      </c>
      <c r="KN13">
        <f>SOFR3mo_PX[[#This Row],[Column300]]</f>
        <v>95.78</v>
      </c>
      <c r="KO13">
        <f>SOFR3mo_PX[[#This Row],[Column301]]</f>
        <v>95.864999999999995</v>
      </c>
      <c r="KP13">
        <f>SOFR3mo_PX[[#This Row],[Column302]]</f>
        <v>95.805000000000007</v>
      </c>
      <c r="KQ13">
        <f>SOFR3mo_PX[[#This Row],[Column303]]</f>
        <v>95.775000000000006</v>
      </c>
      <c r="KR13">
        <f>SOFR3mo_PX[[#This Row],[Column304]]</f>
        <v>95.84</v>
      </c>
      <c r="KS13">
        <f>SOFR3mo_PX[[#This Row],[Column305]]</f>
        <v>95.894999999999996</v>
      </c>
      <c r="KT13">
        <f>SOFR3mo_PX[[#This Row],[Column306]]</f>
        <v>95.855000000000004</v>
      </c>
      <c r="KU13">
        <f>SOFR3mo_PX[[#This Row],[Column307]]</f>
        <v>95.86</v>
      </c>
      <c r="KV13">
        <f>SOFR3mo_PX[[#This Row],[Column308]]</f>
        <v>95.83</v>
      </c>
      <c r="KW13">
        <f>SOFR3mo_PX[[#This Row],[Column309]]</f>
        <v>95.915000000000006</v>
      </c>
      <c r="KX13">
        <f>SOFR3mo_PX[[#This Row],[Column310]]</f>
        <v>95.83</v>
      </c>
      <c r="KY13">
        <f>SOFR3mo_PX[[#This Row],[Column311]]</f>
        <v>95.88</v>
      </c>
      <c r="KZ13">
        <f>SOFR3mo_PX[[#This Row],[Column312]]</f>
        <v>96</v>
      </c>
      <c r="LA13">
        <f>SOFR3mo_PX[[#This Row],[Column313]]</f>
        <v>95.9</v>
      </c>
      <c r="LB13">
        <f>SOFR3mo_PX[[#This Row],[Column314]]</f>
        <v>95.905000000000001</v>
      </c>
      <c r="LC13">
        <f>SOFR3mo_PX[[#This Row],[Column315]]</f>
        <v>96.174999999999997</v>
      </c>
      <c r="LD13">
        <f>SOFR3mo_PX[[#This Row],[Column316]]</f>
        <v>96.12</v>
      </c>
      <c r="LE13">
        <f>SOFR3mo_PX[[#This Row],[Column317]]</f>
        <v>96.21</v>
      </c>
      <c r="LF13">
        <f>SOFR3mo_PX[[#This Row],[Column318]]</f>
        <v>96.29</v>
      </c>
      <c r="LG13">
        <f>SOFR3mo_PX[[#This Row],[Column319]]</f>
        <v>96.25</v>
      </c>
      <c r="LH13">
        <f>SOFR3mo_PX[[#This Row],[Column320]]</f>
        <v>96.23</v>
      </c>
      <c r="LI13">
        <f>SOFR3mo_PX[[#This Row],[Column321]]</f>
        <v>96.25</v>
      </c>
      <c r="LJ13">
        <f>SOFR3mo_PX[[#This Row],[Column322]]</f>
        <v>96.405000000000001</v>
      </c>
      <c r="LK13">
        <f>SOFR3mo_PX[[#This Row],[Column323]]</f>
        <v>96.405000000000001</v>
      </c>
      <c r="LL13">
        <f>SOFR3mo_PX[[#This Row],[Column324]]</f>
        <v>96.415000000000006</v>
      </c>
      <c r="LM13">
        <f>SOFR3mo_PX[[#This Row],[Column325]]</f>
        <v>96.37</v>
      </c>
      <c r="LN13">
        <f>SOFR3mo_PX[[#This Row],[Column326]]</f>
        <v>96.344999999999999</v>
      </c>
      <c r="LO13">
        <f>SOFR3mo_PX[[#This Row],[Column327]]</f>
        <v>96.385000000000005</v>
      </c>
      <c r="LP13">
        <f>SOFR3mo_PX[[#This Row],[Column328]]</f>
        <v>96.32</v>
      </c>
      <c r="LQ13">
        <f>SOFR3mo_PX[[#This Row],[Column329]]</f>
        <v>96.33</v>
      </c>
      <c r="LR13">
        <f>SOFR3mo_PX[[#This Row],[Column330]]</f>
        <v>96.26</v>
      </c>
      <c r="LS13">
        <f>SOFR3mo_PX[[#This Row],[Column331]]</f>
        <v>96.194999999999993</v>
      </c>
      <c r="LT13">
        <f>SOFR3mo_PX[[#This Row],[Column332]]</f>
        <v>96.23</v>
      </c>
      <c r="LU13">
        <f>SOFR3mo_PX[[#This Row],[Column333]]</f>
        <v>96.28</v>
      </c>
      <c r="LV13">
        <f>SOFR3mo_PX[[#This Row],[Column334]]</f>
        <v>96.43</v>
      </c>
      <c r="LW13">
        <f>SOFR3mo_PX[[#This Row],[Column335]]</f>
        <v>96.454999999999998</v>
      </c>
      <c r="LX13">
        <f>SOFR3mo_PX[[#This Row],[Column336]]</f>
        <v>96.53</v>
      </c>
      <c r="LY13">
        <f>SOFR3mo_PX[[#This Row],[Column337]]</f>
        <v>96.56</v>
      </c>
      <c r="LZ13">
        <f>SOFR3mo_PX[[#This Row],[Column338]]</f>
        <v>96.534999999999997</v>
      </c>
      <c r="MA13">
        <f>SOFR3mo_PX[[#This Row],[Column339]]</f>
        <v>96.495000000000005</v>
      </c>
      <c r="MB13">
        <f>SOFR3mo_PX[[#This Row],[Column340]]</f>
        <v>96.48</v>
      </c>
      <c r="MC13">
        <f>SOFR3mo_PX[[#This Row],[Column341]]</f>
        <v>96.4</v>
      </c>
      <c r="MD13">
        <f>SOFR3mo_PX[[#This Row],[Column342]]</f>
        <v>96.444999999999993</v>
      </c>
      <c r="ME13">
        <f>SOFR3mo_PX[[#This Row],[Column343]]</f>
        <v>96.34</v>
      </c>
      <c r="MF13">
        <f>SOFR3mo_PX[[#This Row],[Column344]]</f>
        <v>96.34</v>
      </c>
      <c r="MG13">
        <f>SOFR3mo_PX[[#This Row],[Column345]]</f>
        <v>96.295000000000002</v>
      </c>
      <c r="MH13">
        <f>SOFR3mo_PX[[#This Row],[Column346]]</f>
        <v>96.295000000000002</v>
      </c>
      <c r="MI13">
        <f>SOFR3mo_PX[[#This Row],[Column347]]</f>
        <v>96.33</v>
      </c>
      <c r="MJ13">
        <f>SOFR3mo_PX[[#This Row],[Column348]]</f>
        <v>96.28</v>
      </c>
      <c r="MK13">
        <f>SOFR3mo_PX[[#This Row],[Column349]]</f>
        <v>96.305000000000007</v>
      </c>
      <c r="ML13">
        <f>SOFR3mo_PX[[#This Row],[Column350]]</f>
        <v>96.355000000000004</v>
      </c>
      <c r="MM13">
        <f>SOFR3mo_PX[[#This Row],[Column351]]</f>
        <v>96.31</v>
      </c>
      <c r="MN13">
        <f>SOFR3mo_PX[[#This Row],[Column352]]</f>
        <v>96.31</v>
      </c>
      <c r="MO13">
        <f>SOFR3mo_PX[[#This Row],[Column353]]</f>
        <v>96.38</v>
      </c>
      <c r="MP13">
        <f>SOFR3mo_PX[[#This Row],[Column354]]</f>
        <v>96.35</v>
      </c>
      <c r="MQ13">
        <f>SOFR3mo_PX[[#This Row],[Column355]]</f>
        <v>96.275000000000006</v>
      </c>
      <c r="MR13">
        <f>SOFR3mo_PX[[#This Row],[Column356]]</f>
        <v>96.495000000000005</v>
      </c>
      <c r="MS13">
        <f>SOFR3mo_PX[[#This Row],[Column357]]</f>
        <v>96.454999999999998</v>
      </c>
      <c r="MT13">
        <f>SOFR3mo_PX[[#This Row],[Column358]]</f>
        <v>96.495000000000005</v>
      </c>
      <c r="MU13">
        <f>SOFR3mo_PX[[#This Row],[Column359]]</f>
        <v>96.57</v>
      </c>
      <c r="MV13">
        <f>SOFR3mo_PX[[#This Row],[Column360]]</f>
        <v>96.594999999999999</v>
      </c>
      <c r="MW13">
        <f>SOFR3mo_PX[[#This Row],[Column361]]</f>
        <v>96.504999999999995</v>
      </c>
      <c r="MX13">
        <f>SOFR3mo_PX[[#This Row],[Column362]]</f>
        <v>96.644999999999996</v>
      </c>
      <c r="MY13">
        <f>SOFR3mo_PX[[#This Row],[Column363]]</f>
        <v>96.84</v>
      </c>
      <c r="MZ13">
        <f>SOFR3mo_PX[[#This Row],[Column364]]</f>
        <v>96.754999999999995</v>
      </c>
      <c r="NA13">
        <f>SOFR3mo_PX[[#This Row],[Column365]]</f>
        <v>96.635000000000005</v>
      </c>
      <c r="NB13">
        <f>SOFR3mo_PX[[#This Row],[Column366]]</f>
        <v>96.65</v>
      </c>
      <c r="NC13">
        <f>SOFR3mo_PX[[#This Row],[Column367]]</f>
        <v>96.57</v>
      </c>
      <c r="ND13">
        <f>SOFR3mo_PX[[#This Row],[Column368]]</f>
        <v>96.614999999999995</v>
      </c>
      <c r="NE13">
        <f>SOFR3mo_PX[[#This Row],[Column369]]</f>
        <v>96.555000000000007</v>
      </c>
      <c r="NF13">
        <f>SOFR3mo_PX[[#This Row],[Column370]]</f>
        <v>96.594999999999999</v>
      </c>
      <c r="NG13">
        <f>SOFR3mo_PX[[#This Row],[Column371]]</f>
        <v>96.625</v>
      </c>
      <c r="NH13">
        <f>SOFR3mo_PX[[#This Row],[Column372]]</f>
        <v>96.56</v>
      </c>
      <c r="NI13">
        <f>SOFR3mo_PX[[#This Row],[Column373]]</f>
        <v>96.58</v>
      </c>
      <c r="NJ13">
        <f>SOFR3mo_PX[[#This Row],[Column374]]</f>
        <v>96.62</v>
      </c>
      <c r="NK13">
        <f>SOFR3mo_PX[[#This Row],[Column375]]</f>
        <v>96.715000000000003</v>
      </c>
      <c r="NL13">
        <f>SOFR3mo_PX[[#This Row],[Column376]]</f>
        <v>96.814999999999998</v>
      </c>
      <c r="NM13">
        <f>SOFR3mo_PX[[#This Row],[Column377]]</f>
        <v>96.814999999999998</v>
      </c>
      <c r="NN13">
        <f>SOFR3mo_PX[[#This Row],[Column378]]</f>
        <v>96.775000000000006</v>
      </c>
      <c r="NO13">
        <f>SOFR3mo_PX[[#This Row],[Column379]]</f>
        <v>96.68</v>
      </c>
      <c r="NP13">
        <f>SOFR3mo_PX[[#This Row],[Column380]]</f>
        <v>96.685000000000002</v>
      </c>
      <c r="NQ13">
        <f>SOFR3mo_PX[[#This Row],[Column381]]</f>
        <v>96.704999999999998</v>
      </c>
      <c r="NR13">
        <f>SOFR3mo_PX[[#This Row],[Column382]]</f>
        <v>96.68</v>
      </c>
      <c r="NS13">
        <f>SOFR3mo_PX[[#This Row],[Column383]]</f>
        <v>96.715000000000003</v>
      </c>
      <c r="NT13">
        <f>SOFR3mo_PX[[#This Row],[Column384]]</f>
        <v>96.83</v>
      </c>
      <c r="NU13">
        <f>SOFR3mo_PX[[#This Row],[Column385]]</f>
        <v>96.795000000000002</v>
      </c>
      <c r="NV13">
        <f>SOFR3mo_PX[[#This Row],[Column386]]</f>
        <v>96.91</v>
      </c>
      <c r="NW13">
        <f>SOFR3mo_PX[[#This Row],[Column387]]</f>
        <v>96.91</v>
      </c>
      <c r="NX13">
        <f>SOFR3mo_PX[[#This Row],[Column388]]</f>
        <v>96.885000000000005</v>
      </c>
      <c r="NY13">
        <f>SOFR3mo_PX[[#This Row],[Column389]]</f>
        <v>96.93</v>
      </c>
      <c r="NZ13">
        <f>SOFR3mo_PX[[#This Row],[Column390]]</f>
        <v>96.84</v>
      </c>
      <c r="OA13">
        <f>SOFR3mo_PX[[#This Row],[Column391]]</f>
        <v>96.814999999999998</v>
      </c>
      <c r="OB13">
        <f>SOFR3mo_PX[[#This Row],[Column392]]</f>
        <v>96.814999999999998</v>
      </c>
      <c r="OC13">
        <f>SOFR3mo_PX[[#This Row],[Column393]]</f>
        <v>96.83</v>
      </c>
      <c r="OD13">
        <f>SOFR3mo_PX[[#This Row],[Column394]]</f>
        <v>96.82</v>
      </c>
      <c r="OE13">
        <f>SOFR3mo_PX[[#This Row],[Column395]]</f>
        <v>96.76</v>
      </c>
      <c r="OF13">
        <f>SOFR3mo_PX[[#This Row],[Column396]]</f>
        <v>96.745000000000005</v>
      </c>
      <c r="OG13">
        <f>SOFR3mo_PX[[#This Row],[Column397]]</f>
        <v>96.775000000000006</v>
      </c>
      <c r="OH13">
        <f>SOFR3mo_PX[[#This Row],[Column398]]</f>
        <v>96.784999999999997</v>
      </c>
      <c r="OI13">
        <f>SOFR3mo_PX[[#This Row],[Column399]]</f>
        <v>96.68</v>
      </c>
      <c r="OJ13">
        <f>SOFR3mo_PX[[#This Row],[Column400]]</f>
        <v>96.484999999999999</v>
      </c>
      <c r="OK13">
        <f>SOFR3mo_PX[[#This Row],[Column401]]</f>
        <v>96.444999999999993</v>
      </c>
      <c r="OL13">
        <f>SOFR3mo_PX[[#This Row],[Column402]]</f>
        <v>96.46</v>
      </c>
      <c r="OM13">
        <f>SOFR3mo_PX[[#This Row],[Column403]]</f>
        <v>96.62</v>
      </c>
      <c r="ON13">
        <f>SOFR3mo_PX[[#This Row],[Column404]]</f>
        <v>96.614999999999995</v>
      </c>
      <c r="OO13">
        <f>SOFR3mo_PX[[#This Row],[Column405]]</f>
        <v>96.6</v>
      </c>
      <c r="OP13">
        <f>SOFR3mo_PX[[#This Row],[Column406]]</f>
        <v>96.484999999999999</v>
      </c>
      <c r="OQ13">
        <f>SOFR3mo_PX[[#This Row],[Column407]]</f>
        <v>96.545000000000002</v>
      </c>
      <c r="OR13">
        <f>SOFR3mo_PX[[#This Row],[Column408]]</f>
        <v>96.41</v>
      </c>
      <c r="OS13">
        <f>SOFR3mo_PX[[#This Row],[Column409]]</f>
        <v>96.495000000000005</v>
      </c>
      <c r="OT13">
        <f>SOFR3mo_PX[[#This Row],[Column410]]</f>
        <v>96.45</v>
      </c>
      <c r="OU13">
        <f>SOFR3mo_PX[[#This Row],[Column411]]</f>
        <v>96.31</v>
      </c>
      <c r="OV13">
        <f>SOFR3mo_PX[[#This Row],[Column412]]</f>
        <v>96.204999999999998</v>
      </c>
      <c r="OW13">
        <f>SOFR3mo_PX[[#This Row],[Column413]]</f>
        <v>96.27</v>
      </c>
      <c r="OX13">
        <f>SOFR3mo_PX[[#This Row],[Column414]]</f>
        <v>96.27</v>
      </c>
      <c r="OY13">
        <f>SOFR3mo_PX[[#This Row],[Column415]]</f>
        <v>96.29</v>
      </c>
      <c r="OZ13">
        <f>SOFR3mo_PX[[#This Row],[Column416]]</f>
        <v>96.254999999999995</v>
      </c>
      <c r="PA13">
        <f>SOFR3mo_PX[[#This Row],[Column417]]</f>
        <v>96.224999999999994</v>
      </c>
      <c r="PB13">
        <f>SOFR3mo_PX[[#This Row],[Column418]]</f>
        <v>96.265000000000001</v>
      </c>
      <c r="PC13">
        <f>SOFR3mo_PX[[#This Row],[Column419]]</f>
        <v>96.14</v>
      </c>
      <c r="PD13">
        <f>SOFR3mo_PX[[#This Row],[Column420]]</f>
        <v>96.26</v>
      </c>
      <c r="PE13">
        <f>SOFR3mo_PX[[#This Row],[Column421]]</f>
        <v>95.99</v>
      </c>
      <c r="PF13">
        <f>SOFR3mo_PX[[#This Row],[Column422]]</f>
        <v>95.99</v>
      </c>
      <c r="PG13">
        <f>SOFR3mo_PX[[#This Row],[Column423]]</f>
        <v>96.034999999999997</v>
      </c>
      <c r="PH13">
        <f>SOFR3mo_PX[[#This Row],[Column424]]</f>
        <v>96.15</v>
      </c>
      <c r="PI13">
        <f>SOFR3mo_PX[[#This Row],[Column425]]</f>
        <v>96.14</v>
      </c>
      <c r="PJ13">
        <f>SOFR3mo_PX[[#This Row],[Column426]]</f>
        <v>96.064999999999998</v>
      </c>
      <c r="PK13">
        <f>SOFR3mo_PX[[#This Row],[Column427]]</f>
        <v>96.19</v>
      </c>
      <c r="PL13">
        <f>SOFR3mo_PX[[#This Row],[Column428]]</f>
        <v>96.02</v>
      </c>
      <c r="PM13">
        <f>SOFR3mo_PX[[#This Row],[Column429]]</f>
        <v>95.974999999999994</v>
      </c>
      <c r="PN13">
        <f>SOFR3mo_PX[[#This Row],[Column430]]</f>
        <v>95.85</v>
      </c>
      <c r="PO13">
        <f>SOFR3mo_PX[[#This Row],[Column431]]</f>
        <v>95.864999999999995</v>
      </c>
      <c r="PP13">
        <f>SOFR3mo_PX[[#This Row],[Column432]]</f>
        <v>95.88</v>
      </c>
      <c r="PQ13">
        <f>SOFR3mo_PX[[#This Row],[Column433]]</f>
        <v>95.825000000000003</v>
      </c>
      <c r="PR13">
        <f>SOFR3mo_PX[[#This Row],[Column434]]</f>
        <v>95.685000000000002</v>
      </c>
      <c r="PS13">
        <f>SOFR3mo_PX[[#This Row],[Column435]]</f>
        <v>95.79</v>
      </c>
      <c r="PT13">
        <f>SOFR3mo_PX[[#This Row],[Column436]]</f>
        <v>95.84</v>
      </c>
      <c r="PU13">
        <f>SOFR3mo_PX[[#This Row],[Column437]]</f>
        <v>95.734999999999999</v>
      </c>
      <c r="PV13">
        <f>SOFR3mo_PX[[#This Row],[Column438]]</f>
        <v>95.594999999999999</v>
      </c>
      <c r="PW13">
        <f>SOFR3mo_PX[[#This Row],[Column439]]</f>
        <v>95.64</v>
      </c>
      <c r="PX13">
        <f>SOFR3mo_PX[[#This Row],[Column440]]</f>
        <v>95.72</v>
      </c>
      <c r="PY13">
        <f>SOFR3mo_PX[[#This Row],[Column441]]</f>
        <v>95.905000000000001</v>
      </c>
      <c r="PZ13">
        <f>SOFR3mo_PX[[#This Row],[Column442]]</f>
        <v>95.984999999999999</v>
      </c>
      <c r="QA13">
        <f>SOFR3mo_PX[[#This Row],[Column443]]</f>
        <v>95.924999999999997</v>
      </c>
      <c r="QB13">
        <f>SOFR3mo_PX[[#This Row],[Column444]]</f>
        <v>96.03</v>
      </c>
      <c r="QC13">
        <f>SOFR3mo_PX[[#This Row],[Column445]]</f>
        <v>96.015000000000001</v>
      </c>
      <c r="QD13">
        <f>SOFR3mo_PX[[#This Row],[Column446]]</f>
        <v>96.06</v>
      </c>
      <c r="QE13">
        <f>SOFR3mo_PX[[#This Row],[Column447]]</f>
        <v>95.885000000000005</v>
      </c>
      <c r="QF13">
        <f>SOFR3mo_PX[[#This Row],[Column448]]</f>
        <v>95.95</v>
      </c>
      <c r="QG13">
        <f>SOFR3mo_PX[[#This Row],[Column449]]</f>
        <v>95.905000000000001</v>
      </c>
      <c r="QH13">
        <f>SOFR3mo_PX[[#This Row],[Column450]]</f>
        <v>95.834999999999994</v>
      </c>
      <c r="QI13">
        <f>SOFR3mo_PX[[#This Row],[Column451]]</f>
        <v>95.94</v>
      </c>
      <c r="QJ13">
        <f>SOFR3mo_PX[[#This Row],[Column452]]</f>
        <v>96.06</v>
      </c>
      <c r="QK13">
        <f>SOFR3mo_PX[[#This Row],[Column453]]</f>
        <v>96</v>
      </c>
      <c r="QL13">
        <f>SOFR3mo_PX[[#This Row],[Column454]]</f>
        <v>95.944999999999993</v>
      </c>
      <c r="QM13">
        <f>SOFR3mo_PX[[#This Row],[Column455]]</f>
        <v>96.025000000000006</v>
      </c>
      <c r="QN13">
        <f>SOFR3mo_PX[[#This Row],[Column456]]</f>
        <v>96.025000000000006</v>
      </c>
      <c r="QO13">
        <f>SOFR3mo_PX[[#This Row],[Column457]]</f>
        <v>96.07</v>
      </c>
      <c r="QP13">
        <f>SOFR3mo_PX[[#This Row],[Column458]]</f>
        <v>96.01</v>
      </c>
      <c r="QQ13">
        <f>SOFR3mo_PX[[#This Row],[Column459]]</f>
        <v>96.125</v>
      </c>
      <c r="QR13">
        <f>SOFR3mo_PX[[#This Row],[Column460]]</f>
        <v>96.06</v>
      </c>
      <c r="QS13">
        <f>SOFR3mo_PX[[#This Row],[Column461]]</f>
        <v>96.144999999999996</v>
      </c>
      <c r="QT13">
        <f>SOFR3mo_PX[[#This Row],[Column462]]</f>
        <v>96.155000000000001</v>
      </c>
      <c r="QU13">
        <f>SOFR3mo_PX[[#This Row],[Column463]]</f>
        <v>96.194999999999993</v>
      </c>
      <c r="QV13">
        <f>SOFR3mo_PX[[#This Row],[Column464]]</f>
        <v>96.224999999999994</v>
      </c>
      <c r="QW13">
        <f>SOFR3mo_PX[[#This Row],[Column465]]</f>
        <v>96.194999999999993</v>
      </c>
      <c r="QX13">
        <f>SOFR3mo_PX[[#This Row],[Column466]]</f>
        <v>96.21</v>
      </c>
      <c r="QY13">
        <f>SOFR3mo_PX[[#This Row],[Column467]]</f>
        <v>96.224999999999994</v>
      </c>
      <c r="QZ13">
        <f>SOFR3mo_PX[[#This Row],[Column468]]</f>
        <v>96.25</v>
      </c>
      <c r="RA13">
        <f>SOFR3mo_PX[[#This Row],[Column469]]</f>
        <v>96.18</v>
      </c>
      <c r="RB13">
        <f>SOFR3mo_PX[[#This Row],[Column470]]</f>
        <v>96.27</v>
      </c>
      <c r="RC13">
        <f>SOFR3mo_PX[[#This Row],[Column471]]</f>
        <v>96.36</v>
      </c>
      <c r="RD13">
        <f>SOFR3mo_PX[[#This Row],[Column472]]</f>
        <v>96.36</v>
      </c>
      <c r="RE13">
        <f>SOFR3mo_PX[[#This Row],[Column473]]</f>
        <v>96.405000000000001</v>
      </c>
      <c r="RF13">
        <f>SOFR3mo_PX[[#This Row],[Column474]]</f>
        <v>96.375</v>
      </c>
      <c r="RG13">
        <f>SOFR3mo_PX[[#This Row],[Column475]]</f>
        <v>96.364999999999995</v>
      </c>
      <c r="RH13">
        <f>SOFR3mo_PX[[#This Row],[Column476]]</f>
        <v>96.24</v>
      </c>
      <c r="RI13">
        <f>SOFR3mo_PX[[#This Row],[Column477]]</f>
        <v>96.194999999999993</v>
      </c>
      <c r="RJ13">
        <f>SOFR3mo_PX[[#This Row],[Column478]]</f>
        <v>96.19</v>
      </c>
      <c r="RK13">
        <f>SOFR3mo_PX[[#This Row],[Column479]]</f>
        <v>96.22</v>
      </c>
      <c r="RL13">
        <f>SOFR3mo_PX[[#This Row],[Column480]]</f>
        <v>96.08</v>
      </c>
      <c r="RM13">
        <f>SOFR3mo_PX[[#This Row],[Column481]]</f>
        <v>96.11</v>
      </c>
      <c r="RN13">
        <f>SOFR3mo_PX[[#This Row],[Column482]]</f>
        <v>96.194999999999993</v>
      </c>
      <c r="RO13">
        <f>SOFR3mo_PX[[#This Row],[Column483]]</f>
        <v>96.13</v>
      </c>
      <c r="RP13">
        <f>SOFR3mo_PX[[#This Row],[Column484]]</f>
        <v>96.19</v>
      </c>
      <c r="RQ13">
        <f>SOFR3mo_PX[[#This Row],[Column485]]</f>
        <v>96.22</v>
      </c>
      <c r="RR13">
        <f>SOFR3mo_PX[[#This Row],[Column486]]</f>
        <v>96.254999999999995</v>
      </c>
      <c r="RS13">
        <f>SOFR3mo_PX[[#This Row],[Column487]]</f>
        <v>96.314999999999998</v>
      </c>
      <c r="RT13">
        <f>SOFR3mo_PX[[#This Row],[Column488]]</f>
        <v>96.454999999999998</v>
      </c>
      <c r="RU13">
        <f>SOFR3mo_PX[[#This Row],[Column489]]</f>
        <v>96.534999999999997</v>
      </c>
      <c r="RV13">
        <f>SOFR3mo_PX[[#This Row],[Column490]]</f>
        <v>96.564999999999998</v>
      </c>
      <c r="RW13">
        <f>SOFR3mo_PX[[#This Row],[Column491]]</f>
        <v>96.525000000000006</v>
      </c>
      <c r="RX13">
        <f>SOFR3mo_PX[[#This Row],[Column492]]</f>
        <v>96.49</v>
      </c>
      <c r="RY13">
        <f>SOFR3mo_PX[[#This Row],[Column493]]</f>
        <v>96.34</v>
      </c>
      <c r="RZ13">
        <f>SOFR3mo_PX[[#This Row],[Column494]]</f>
        <v>96.424999999999997</v>
      </c>
      <c r="SA13">
        <f>SOFR3mo_PX[[#This Row],[Column495]]</f>
        <v>96.385000000000005</v>
      </c>
      <c r="SB13">
        <f>SOFR3mo_PX[[#This Row],[Column496]]</f>
        <v>96.47</v>
      </c>
      <c r="SC13">
        <f>SOFR3mo_PX[[#This Row],[Column497]]</f>
        <v>96.435000000000002</v>
      </c>
      <c r="SD13">
        <f>SOFR3mo_PX[[#This Row],[Column498]]</f>
        <v>96.37</v>
      </c>
      <c r="SE13">
        <f>SOFR3mo_PX[[#This Row],[Column499]]</f>
        <v>96.56</v>
      </c>
      <c r="SF13">
        <f>SOFR3mo_PX[[#This Row],[Column500]]</f>
        <v>96.43</v>
      </c>
      <c r="SG13">
        <f>SOFR3mo_PX[[#This Row],[Column501]]</f>
        <v>96.52</v>
      </c>
      <c r="SH13">
        <f>SOFR3mo_PX[[#This Row],[Column502]]</f>
        <v>96.57</v>
      </c>
      <c r="SI13">
        <f>SOFR3mo_PX[[#This Row],[Column503]]</f>
        <v>96.58</v>
      </c>
      <c r="SJ13">
        <f>SOFR3mo_PX[[#This Row],[Column504]]</f>
        <v>96.745000000000005</v>
      </c>
      <c r="SK13">
        <f>SOFR3mo_PX[[#This Row],[Column505]]</f>
        <v>96.71</v>
      </c>
      <c r="SL13">
        <f>SOFR3mo_PX[[#This Row],[Column506]]</f>
        <v>96.694999999999993</v>
      </c>
      <c r="SM13">
        <f>SOFR3mo_PX[[#This Row],[Column507]]</f>
        <v>96.65</v>
      </c>
      <c r="SN13">
        <f>SOFR3mo_PX[[#This Row],[Column508]]</f>
        <v>96.784999999999997</v>
      </c>
      <c r="SO13">
        <f>SOFR3mo_PX[[#This Row],[Column509]]</f>
        <v>96.605000000000004</v>
      </c>
      <c r="SP13">
        <f>SOFR3mo_PX[[#This Row],[Column510]]</f>
        <v>96.405000000000001</v>
      </c>
      <c r="SQ13">
        <f>SOFR3mo_PX[[#This Row],[Column511]]</f>
        <v>96.38</v>
      </c>
      <c r="SR13">
        <f>SOFR3mo_PX[[#This Row],[Column512]]</f>
        <v>96.25</v>
      </c>
      <c r="SS13">
        <f>SOFR3mo_PX[[#This Row],[Column513]]</f>
        <v>96.224999999999994</v>
      </c>
      <c r="ST13">
        <f>SOFR3mo_PX[[#This Row],[Column514]]</f>
        <v>96.364999999999995</v>
      </c>
      <c r="SU13">
        <f>SOFR3mo_PX[[#This Row],[Column515]]</f>
        <v>96.454999999999998</v>
      </c>
      <c r="SV13">
        <f>SOFR3mo_PX[[#This Row],[Column516]]</f>
        <v>96.454999999999998</v>
      </c>
      <c r="SW13">
        <f>SOFR3mo_PX[[#This Row],[Column517]]</f>
        <v>96.534999999999997</v>
      </c>
      <c r="SX13">
        <f>SOFR3mo_PX[[#This Row],[Column518]]</f>
        <v>96.545000000000002</v>
      </c>
      <c r="SY13">
        <f>SOFR3mo_PX[[#This Row],[Column519]]</f>
        <v>96.734999999999999</v>
      </c>
      <c r="SZ13">
        <f>SOFR3mo_PX[[#This Row],[Column520]]</f>
        <v>96.67</v>
      </c>
      <c r="TA13">
        <f>SOFR3mo_PX[[#This Row],[Column521]]</f>
        <v>96.754999999999995</v>
      </c>
      <c r="TB13">
        <f>SOFR3mo_PX[[#This Row],[Column522]]</f>
        <v>96.7</v>
      </c>
      <c r="TC13">
        <f>SOFR3mo_PX[[#This Row],[Column523]]</f>
        <v>96.66</v>
      </c>
      <c r="TD13">
        <f>SOFR3mo_PX[[#This Row],[Column524]]</f>
        <v>96.754999999999995</v>
      </c>
      <c r="TE13">
        <f>SOFR3mo_PX[[#This Row],[Column525]]</f>
        <v>96.68</v>
      </c>
      <c r="TF13">
        <f>SOFR3mo_PX[[#This Row],[Column526]]</f>
        <v>96.635000000000005</v>
      </c>
      <c r="TG13">
        <f>SOFR3mo_PX[[#This Row],[Column527]]</f>
        <v>96.635000000000005</v>
      </c>
      <c r="TH13">
        <f>SOFR3mo_PX[[#This Row],[Column528]]</f>
        <v>96.74</v>
      </c>
      <c r="TI13">
        <f>SOFR3mo_PX[[#This Row],[Column529]]</f>
        <v>96.644999999999996</v>
      </c>
      <c r="TJ13">
        <f>SOFR3mo_PX[[#This Row],[Column530]]</f>
        <v>96.625</v>
      </c>
      <c r="TK13">
        <f>SOFR3mo_PX[[#This Row],[Column531]]</f>
        <v>96.77</v>
      </c>
      <c r="TL13">
        <f>SOFR3mo_PX[[#This Row],[Column532]]</f>
        <v>96.765000000000001</v>
      </c>
      <c r="TM13">
        <f>SOFR3mo_PX[[#This Row],[Column533]]</f>
        <v>96.844999999999999</v>
      </c>
      <c r="TN13">
        <f>SOFR3mo_PX[[#This Row],[Column534]]</f>
        <v>96.784999999999997</v>
      </c>
      <c r="TO13">
        <f>SOFR3mo_PX[[#This Row],[Column535]]</f>
        <v>96.85</v>
      </c>
      <c r="TP13">
        <f>SOFR3mo_PX[[#This Row],[Column536]]</f>
        <v>96.875</v>
      </c>
      <c r="TQ13">
        <f>SOFR3mo_PX[[#This Row],[Column537]]</f>
        <v>96.85</v>
      </c>
      <c r="TR13">
        <f>SOFR3mo_PX[[#This Row],[Column538]]</f>
        <v>97.015000000000001</v>
      </c>
      <c r="TS13">
        <f>SOFR3mo_PX[[#This Row],[Column539]]</f>
        <v>96.974999999999994</v>
      </c>
      <c r="TT13">
        <f>SOFR3mo_PX[[#This Row],[Column540]]</f>
        <v>96.89</v>
      </c>
      <c r="TU13">
        <f>SOFR3mo_PX[[#This Row],[Column541]]</f>
        <v>96.71</v>
      </c>
      <c r="TV13">
        <f>SOFR3mo_PX[[#This Row],[Column542]]</f>
        <v>96.71</v>
      </c>
      <c r="TW13">
        <f>SOFR3mo_PX[[#This Row],[Column543]]</f>
        <v>96.784999999999997</v>
      </c>
      <c r="TX13">
        <f>SOFR3mo_PX[[#This Row],[Column544]]</f>
        <v>96.924999999999997</v>
      </c>
      <c r="TY13">
        <f>SOFR3mo_PX[[#This Row],[Column545]]</f>
        <v>96.92</v>
      </c>
      <c r="TZ13">
        <f>SOFR3mo_PX[[#This Row],[Column546]]</f>
        <v>96.894999999999996</v>
      </c>
      <c r="UA13">
        <f>SOFR3mo_PX[[#This Row],[Column547]]</f>
        <v>96.915000000000006</v>
      </c>
      <c r="UB13">
        <f>SOFR3mo_PX[[#This Row],[Column548]]</f>
        <v>96.995000000000005</v>
      </c>
      <c r="UC13">
        <f>SOFR3mo_PX[[#This Row],[Column549]]</f>
        <v>97.12</v>
      </c>
      <c r="UD13">
        <f>SOFR3mo_PX[[#This Row],[Column550]]</f>
        <v>97.185000000000002</v>
      </c>
      <c r="UE13">
        <f>SOFR3mo_PX[[#This Row],[Column551]]</f>
        <v>97.22</v>
      </c>
      <c r="UF13">
        <f>SOFR3mo_PX[[#This Row],[Column552]]</f>
        <v>97.215000000000003</v>
      </c>
      <c r="UG13">
        <f>SOFR3mo_PX[[#This Row],[Column553]]</f>
        <v>97.314999999999998</v>
      </c>
      <c r="UH13">
        <f>SOFR3mo_PX[[#This Row],[Column554]]</f>
        <v>97.295000000000002</v>
      </c>
      <c r="UI13">
        <f>SOFR3mo_PX[[#This Row],[Column555]]</f>
        <v>97.174999999999997</v>
      </c>
      <c r="UJ13">
        <f>SOFR3mo_PX[[#This Row],[Column556]]</f>
        <v>97.165000000000006</v>
      </c>
      <c r="UK13">
        <f>SOFR3mo_PX[[#This Row],[Column557]]</f>
        <v>97.23</v>
      </c>
      <c r="UL13">
        <f>SOFR3mo_PX[[#This Row],[Column558]]</f>
        <v>97.38</v>
      </c>
      <c r="UM13">
        <f>SOFR3mo_PX[[#This Row],[Column559]]</f>
        <v>97.27</v>
      </c>
      <c r="UN13">
        <f>SOFR3mo_PX[[#This Row],[Column560]]</f>
        <v>97.224999999999994</v>
      </c>
      <c r="UO13">
        <f>SOFR3mo_PX[[#This Row],[Column561]]</f>
        <v>97.05</v>
      </c>
      <c r="UP13">
        <f>SOFR3mo_PX[[#This Row],[Column562]]</f>
        <v>97.14</v>
      </c>
      <c r="UQ13">
        <f>SOFR3mo_PX[[#This Row],[Column563]]</f>
        <v>97.075000000000003</v>
      </c>
      <c r="UR13">
        <f>SOFR3mo_PX[[#This Row],[Column564]]</f>
        <v>97.204999999999998</v>
      </c>
      <c r="US13">
        <f>SOFR3mo_PX[[#This Row],[Column565]]</f>
        <v>97.254999999999995</v>
      </c>
      <c r="UT13">
        <f>SOFR3mo_PX[[#This Row],[Column566]]</f>
        <v>97.064999999999998</v>
      </c>
      <c r="UU13">
        <f>SOFR3mo_PX[[#This Row],[Column567]]</f>
        <v>97.004999999999995</v>
      </c>
      <c r="UV13">
        <f>SOFR3mo_PX[[#This Row],[Column568]]</f>
        <v>97.025000000000006</v>
      </c>
      <c r="UW13">
        <f>SOFR3mo_PX[[#This Row],[Column569]]</f>
        <v>96.924999999999997</v>
      </c>
      <c r="UX13">
        <f>SOFR3mo_PX[[#This Row],[Column570]]</f>
        <v>96.965000000000003</v>
      </c>
      <c r="UY13">
        <f>SOFR3mo_PX[[#This Row],[Column571]]</f>
        <v>96.94</v>
      </c>
      <c r="UZ13">
        <f>SOFR3mo_PX[[#This Row],[Column572]]</f>
        <v>97.03</v>
      </c>
      <c r="VA13">
        <f>SOFR3mo_PX[[#This Row],[Column573]]</f>
        <v>97.14</v>
      </c>
      <c r="VB13">
        <f>SOFR3mo_PX[[#This Row],[Column574]]</f>
        <v>97.17</v>
      </c>
      <c r="VC13">
        <f>SOFR3mo_PX[[#This Row],[Column575]]</f>
        <v>97.08</v>
      </c>
      <c r="VD13">
        <f>SOFR3mo_PX[[#This Row],[Column576]]</f>
        <v>97.13</v>
      </c>
      <c r="VE13">
        <f>SOFR3mo_PX[[#This Row],[Column577]]</f>
        <v>97.174999999999997</v>
      </c>
      <c r="VF13">
        <f>SOFR3mo_PX[[#This Row],[Column578]]</f>
        <v>97.305000000000007</v>
      </c>
      <c r="VG13">
        <f>SOFR3mo_PX[[#This Row],[Column579]]</f>
        <v>97.31</v>
      </c>
      <c r="VH13">
        <f>SOFR3mo_PX[[#This Row],[Column580]]</f>
        <v>97.28</v>
      </c>
      <c r="VI13">
        <f>SOFR3mo_PX[[#This Row],[Column581]]</f>
        <v>97.14</v>
      </c>
      <c r="VJ13">
        <f>SOFR3mo_PX[[#This Row],[Column582]]</f>
        <v>97.04</v>
      </c>
      <c r="VK13">
        <f>SOFR3mo_PX[[#This Row],[Column583]]</f>
        <v>96.974999999999994</v>
      </c>
      <c r="VL13">
        <f>SOFR3mo_PX[[#This Row],[Column584]]</f>
        <v>96.94</v>
      </c>
      <c r="VM13">
        <f>SOFR3mo_PX[[#This Row],[Column585]]</f>
        <v>96.944999999999993</v>
      </c>
      <c r="VN13">
        <f>SOFR3mo_PX[[#This Row],[Column586]]</f>
        <v>97</v>
      </c>
      <c r="VO13">
        <f>SOFR3mo_PX[[#This Row],[Column587]]</f>
        <v>97.14</v>
      </c>
      <c r="VP13">
        <f>SOFR3mo_PX[[#This Row],[Column588]]</f>
        <v>97.135000000000005</v>
      </c>
      <c r="VQ13">
        <f>SOFR3mo_PX[[#This Row],[Column589]]</f>
        <v>96.97</v>
      </c>
      <c r="VR13">
        <f>SOFR3mo_PX[[#This Row],[Column590]]</f>
        <v>96.754999999999995</v>
      </c>
      <c r="VS13">
        <f>SOFR3mo_PX[[#This Row],[Column591]]</f>
        <v>96.85</v>
      </c>
      <c r="VT13">
        <f>SOFR3mo_PX[[#This Row],[Column592]]</f>
        <v>96.93</v>
      </c>
      <c r="VU13">
        <f>SOFR3mo_PX[[#This Row],[Column593]]</f>
        <v>96.66</v>
      </c>
      <c r="VV13">
        <f>SOFR3mo_PX[[#This Row],[Column594]]</f>
        <v>96.724999999999994</v>
      </c>
      <c r="VW13">
        <f>SOFR3mo_PX[[#This Row],[Column595]]</f>
        <v>96.584999999999994</v>
      </c>
      <c r="VX13">
        <f>SOFR3mo_PX[[#This Row],[Column596]]</f>
        <v>96.72</v>
      </c>
      <c r="VY13">
        <f>SOFR3mo_PX[[#This Row],[Column597]]</f>
        <v>96.68</v>
      </c>
      <c r="VZ13">
        <f>SOFR3mo_PX[[#This Row],[Column598]]</f>
        <v>96.484999999999999</v>
      </c>
      <c r="WA13">
        <f>SOFR3mo_PX[[#This Row],[Column599]]</f>
        <v>96.325000000000003</v>
      </c>
      <c r="WB13">
        <f>SOFR3mo_PX[[#This Row],[Column600]]</f>
        <v>96.314999999999998</v>
      </c>
      <c r="WC13">
        <f>SOFR3mo_PX[[#This Row],[Column601]]</f>
        <v>96.35</v>
      </c>
      <c r="WD13">
        <f>SOFR3mo_PX[[#This Row],[Column602]]</f>
        <v>96.35</v>
      </c>
      <c r="WE13">
        <f>SOFR3mo_PX[[#This Row],[Column603]]</f>
        <v>96.26</v>
      </c>
      <c r="WF13">
        <f>SOFR3mo_PX[[#This Row],[Column604]]</f>
        <v>96.344999999999999</v>
      </c>
      <c r="WG13">
        <f>SOFR3mo_PX[[#This Row],[Column605]]</f>
        <v>96.465000000000003</v>
      </c>
      <c r="WH13">
        <f>SOFR3mo_PX[[#This Row],[Column606]]</f>
        <v>96.465000000000003</v>
      </c>
      <c r="WI13">
        <f>SOFR3mo_PX[[#This Row],[Column607]]</f>
        <v>96.41</v>
      </c>
      <c r="WJ13">
        <f>SOFR3mo_PX[[#This Row],[Column608]]</f>
        <v>96.57</v>
      </c>
      <c r="WK13">
        <f>SOFR3mo_PX[[#This Row],[Column609]]</f>
        <v>96.52</v>
      </c>
      <c r="WL13">
        <f>SOFR3mo_PX[[#This Row],[Column610]]</f>
        <v>96.484999999999999</v>
      </c>
      <c r="WM13">
        <f>SOFR3mo_PX[[#This Row],[Column611]]</f>
        <v>96.63</v>
      </c>
      <c r="WN13">
        <f>SOFR3mo_PX[[#This Row],[Column612]]</f>
        <v>96.63</v>
      </c>
      <c r="WO13">
        <f>SOFR3mo_PX[[#This Row],[Column613]]</f>
        <v>96.584999999999994</v>
      </c>
      <c r="WP13">
        <f>SOFR3mo_PX[[#This Row],[Column614]]</f>
        <v>96.59</v>
      </c>
      <c r="WQ13">
        <f>SOFR3mo_PX[[#This Row],[Column615]]</f>
        <v>96.65</v>
      </c>
      <c r="WR13">
        <f>SOFR3mo_PX[[#This Row],[Column616]]</f>
        <v>96.78</v>
      </c>
      <c r="WS13">
        <f>SOFR3mo_PX[[#This Row],[Column617]]</f>
        <v>96.805000000000007</v>
      </c>
      <c r="WT13">
        <f>SOFR3mo_PX[[#This Row],[Column618]]</f>
        <v>96.834999999999994</v>
      </c>
      <c r="WU13">
        <f>SOFR3mo_PX[[#This Row],[Column619]]</f>
        <v>96.93</v>
      </c>
      <c r="WV13">
        <f>SOFR3mo_PX[[#This Row],[Column620]]</f>
        <v>96.9</v>
      </c>
      <c r="WW13">
        <f>SOFR3mo_PX[[#This Row],[Column621]]</f>
        <v>96.92</v>
      </c>
      <c r="WX13">
        <f>SOFR3mo_PX[[#This Row],[Column622]]</f>
        <v>97.075000000000003</v>
      </c>
      <c r="WY13">
        <f>SOFR3mo_PX[[#This Row],[Column623]]</f>
        <v>97.28</v>
      </c>
      <c r="WZ13">
        <f>SOFR3mo_PX[[#This Row],[Column624]]</f>
        <v>97.28</v>
      </c>
      <c r="XA13">
        <f>SOFR3mo_PX[[#This Row],[Column625]]</f>
        <v>97.125</v>
      </c>
      <c r="XB13">
        <f>SOFR3mo_PX[[#This Row],[Column626]]</f>
        <v>97.04</v>
      </c>
      <c r="XC13">
        <f>SOFR3mo_PX[[#This Row],[Column627]]</f>
        <v>97.12</v>
      </c>
      <c r="XD13">
        <f>SOFR3mo_PX[[#This Row],[Column628]]</f>
        <v>97.16</v>
      </c>
      <c r="XE13">
        <f>SOFR3mo_PX[[#This Row],[Column629]]</f>
        <v>97.21</v>
      </c>
      <c r="XF13">
        <f>SOFR3mo_PX[[#This Row],[Column630]]</f>
        <v>97.215000000000003</v>
      </c>
      <c r="XG13">
        <f>SOFR3mo_PX[[#This Row],[Column631]]</f>
        <v>97.155000000000001</v>
      </c>
      <c r="XH13">
        <f>SOFR3mo_PX[[#This Row],[Column632]]</f>
        <v>97.24</v>
      </c>
      <c r="XI13">
        <f>SOFR3mo_PX[[#This Row],[Column633]]</f>
        <v>97.334999999999994</v>
      </c>
      <c r="XJ13">
        <f>SOFR3mo_PX[[#This Row],[Column634]]</f>
        <v>97.38</v>
      </c>
      <c r="XK13">
        <f>SOFR3mo_PX[[#This Row],[Column635]]</f>
        <v>97.2</v>
      </c>
      <c r="XL13">
        <f>SOFR3mo_PX[[#This Row],[Column636]]</f>
        <v>97.185000000000002</v>
      </c>
      <c r="XM13">
        <f>SOFR3mo_PX[[#This Row],[Column637]]</f>
        <v>97.185000000000002</v>
      </c>
      <c r="XN13">
        <f>SOFR3mo_PX[[#This Row],[Column638]]</f>
        <v>97.25</v>
      </c>
      <c r="XO13">
        <f>SOFR3mo_PX[[#This Row],[Column639]]</f>
        <v>97.135000000000005</v>
      </c>
      <c r="XP13">
        <f>SOFR3mo_PX[[#This Row],[Column640]]</f>
        <v>97.064999999999998</v>
      </c>
      <c r="XQ13">
        <f>SOFR3mo_PX[[#This Row],[Column641]]</f>
        <v>97.16</v>
      </c>
      <c r="XR13">
        <f>SOFR3mo_PX[[#This Row],[Column642]]</f>
        <v>97.12</v>
      </c>
      <c r="XS13">
        <f>SOFR3mo_PX[[#This Row],[Column643]]</f>
        <v>96.88</v>
      </c>
      <c r="XT13">
        <f>SOFR3mo_PX[[#This Row],[Column644]]</f>
        <v>96.915000000000006</v>
      </c>
      <c r="XU13">
        <f>SOFR3mo_PX[[#This Row],[Column645]]</f>
        <v>96.83</v>
      </c>
      <c r="XV13">
        <f>SOFR3mo_PX[[#This Row],[Column646]]</f>
        <v>96.79</v>
      </c>
      <c r="XW13">
        <f>SOFR3mo_PX[[#This Row],[Column647]]</f>
        <v>96.79</v>
      </c>
      <c r="XX13">
        <f>SOFR3mo_PX[[#This Row],[Column648]]</f>
        <v>96.75</v>
      </c>
      <c r="XY13">
        <f>SOFR3mo_PX[[#This Row],[Column649]]</f>
        <v>96.73</v>
      </c>
      <c r="XZ13">
        <f>SOFR3mo_PX[[#This Row],[Column650]]</f>
        <v>96.75</v>
      </c>
      <c r="YA13">
        <f>SOFR3mo_PX[[#This Row],[Column651]]</f>
        <v>96.85</v>
      </c>
      <c r="YB13">
        <f>SOFR3mo_PX[[#This Row],[Column652]]</f>
        <v>96.85</v>
      </c>
      <c r="YC13">
        <f>SOFR3mo_PX[[#This Row],[Column653]]</f>
        <v>96.944999999999993</v>
      </c>
      <c r="YD13">
        <f>SOFR3mo_PX[[#This Row],[Column654]]</f>
        <v>96.97</v>
      </c>
      <c r="YE13">
        <f>SOFR3mo_PX[[#This Row],[Column655]]</f>
        <v>96.94</v>
      </c>
      <c r="YF13">
        <f>SOFR3mo_PX[[#This Row],[Column656]]</f>
        <v>97.004999999999995</v>
      </c>
      <c r="YG13">
        <f>SOFR3mo_PX[[#This Row],[Column657]]</f>
        <v>97.094999999999999</v>
      </c>
      <c r="YH13">
        <f>SOFR3mo_PX[[#This Row],[Column658]]</f>
        <v>97.084999999999994</v>
      </c>
      <c r="YI13">
        <f>SOFR3mo_PX[[#This Row],[Column659]]</f>
        <v>97.06</v>
      </c>
      <c r="YJ13">
        <f>SOFR3mo_PX[[#This Row],[Column660]]</f>
        <v>97.05</v>
      </c>
      <c r="YK13">
        <f>SOFR3mo_PX[[#This Row],[Column661]]</f>
        <v>96.915000000000006</v>
      </c>
      <c r="YL13">
        <f>SOFR3mo_PX[[#This Row],[Column662]]</f>
        <v>96.984999999999999</v>
      </c>
      <c r="YM13">
        <f>SOFR3mo_PX[[#This Row],[Column663]]</f>
        <v>97.045000000000002</v>
      </c>
      <c r="YN13">
        <f>SOFR3mo_PX[[#This Row],[Column664]]</f>
        <v>97.144999999999996</v>
      </c>
      <c r="YO13">
        <f>SOFR3mo_PX[[#This Row],[Column665]]</f>
        <v>97.04</v>
      </c>
      <c r="YP13">
        <f>SOFR3mo_PX[[#This Row],[Column666]]</f>
        <v>96.995000000000005</v>
      </c>
      <c r="YQ13">
        <f>SOFR3mo_PX[[#This Row],[Column667]]</f>
        <v>97.13</v>
      </c>
      <c r="YR13">
        <f>SOFR3mo_PX[[#This Row],[Column668]]</f>
        <v>97.08</v>
      </c>
      <c r="YS13">
        <f>SOFR3mo_PX[[#This Row],[Column669]]</f>
        <v>96.915000000000006</v>
      </c>
      <c r="YT13">
        <f>SOFR3mo_PX[[#This Row],[Column670]]</f>
        <v>96.775000000000006</v>
      </c>
      <c r="YU13">
        <f>SOFR3mo_PX[[#This Row],[Column671]]</f>
        <v>96.78</v>
      </c>
      <c r="YV13">
        <f>SOFR3mo_PX[[#This Row],[Column672]]</f>
        <v>96.79</v>
      </c>
      <c r="YW13">
        <f>SOFR3mo_PX[[#This Row],[Column673]]</f>
        <v>96.784999999999997</v>
      </c>
      <c r="YX13">
        <f>SOFR3mo_PX[[#This Row],[Column674]]</f>
        <v>96.784999999999997</v>
      </c>
      <c r="YY13">
        <f>SOFR3mo_PX[[#This Row],[Column675]]</f>
        <v>96.745000000000005</v>
      </c>
      <c r="YZ13">
        <f>SOFR3mo_PX[[#This Row],[Column676]]</f>
        <v>96.62</v>
      </c>
      <c r="ZA13">
        <f>SOFR3mo_PX[[#This Row],[Column677]]</f>
        <v>96.64</v>
      </c>
      <c r="ZB13">
        <f>SOFR3mo_PX[[#This Row],[Column678]]</f>
        <v>96.74</v>
      </c>
      <c r="ZC13">
        <f>SOFR3mo_PX[[#This Row],[Column679]]</f>
        <v>96.84</v>
      </c>
      <c r="ZD13">
        <f>SOFR3mo_PX[[#This Row],[Column680]]</f>
        <v>96.75</v>
      </c>
      <c r="ZE13">
        <f>SOFR3mo_PX[[#This Row],[Column681]]</f>
        <v>96.614999999999995</v>
      </c>
      <c r="ZF13">
        <f>SOFR3mo_PX[[#This Row],[Column682]]</f>
        <v>96.665000000000006</v>
      </c>
      <c r="ZG13">
        <f>SOFR3mo_PX[[#This Row],[Column683]]</f>
        <v>96.62</v>
      </c>
      <c r="ZH13">
        <f>SOFR3mo_PX[[#This Row],[Column684]]</f>
        <v>96.245000000000005</v>
      </c>
      <c r="ZI13">
        <f>SOFR3mo_PX[[#This Row],[Column685]]</f>
        <v>96.174999999999997</v>
      </c>
      <c r="ZJ13">
        <f>SOFR3mo_PX[[#This Row],[Column686]]</f>
        <v>96.094999999999999</v>
      </c>
      <c r="ZK13">
        <f>SOFR3mo_PX[[#This Row],[Column687]]</f>
        <v>96.144999999999996</v>
      </c>
      <c r="ZL13">
        <f>SOFR3mo_PX[[#This Row],[Column688]]</f>
        <v>96.114999999999995</v>
      </c>
      <c r="ZM13">
        <f>SOFR3mo_PX[[#This Row],[Column689]]</f>
        <v>96.22</v>
      </c>
      <c r="ZN13">
        <f>SOFR3mo_PX[[#This Row],[Column690]]</f>
        <v>96.25</v>
      </c>
      <c r="ZO13">
        <f>SOFR3mo_PX[[#This Row],[Column691]]</f>
        <v>96.265000000000001</v>
      </c>
      <c r="ZP13">
        <f>SOFR3mo_PX[[#This Row],[Column692]]</f>
        <v>96.305000000000007</v>
      </c>
      <c r="ZQ13">
        <f>SOFR3mo_PX[[#This Row],[Column693]]</f>
        <v>96.435000000000002</v>
      </c>
      <c r="ZR13">
        <f>SOFR3mo_PX[[#This Row],[Column694]]</f>
        <v>96.325000000000003</v>
      </c>
      <c r="ZS13">
        <f>SOFR3mo_PX[[#This Row],[Column695]]</f>
        <v>96.254999999999995</v>
      </c>
      <c r="ZT13">
        <f>SOFR3mo_PX[[#This Row],[Column696]]</f>
        <v>96.17</v>
      </c>
      <c r="ZU13">
        <f>SOFR3mo_PX[[#This Row],[Column697]]</f>
        <v>96.144999999999996</v>
      </c>
      <c r="ZV13">
        <f>SOFR3mo_PX[[#This Row],[Column698]]</f>
        <v>96.025000000000006</v>
      </c>
      <c r="ZW13">
        <f>SOFR3mo_PX[[#This Row],[Column699]]</f>
        <v>96.16</v>
      </c>
      <c r="ZX13">
        <f>SOFR3mo_PX[[#This Row],[Column700]]</f>
        <v>96.32</v>
      </c>
      <c r="ZY13">
        <f>SOFR3mo_PX[[#This Row],[Column701]]</f>
        <v>96.305000000000007</v>
      </c>
      <c r="ZZ13">
        <f>SOFR3mo_PX[[#This Row],[Column702]]</f>
        <v>96.26</v>
      </c>
      <c r="AAA13">
        <f>SOFR3mo_PX[[#This Row],[Column703]]</f>
        <v>96.314999999999998</v>
      </c>
      <c r="AAB13">
        <f>SOFR3mo_PX[[#This Row],[Column704]]</f>
        <v>96.35</v>
      </c>
      <c r="AAC13">
        <f>SOFR3mo_PX[[#This Row],[Column705]]</f>
        <v>96.275000000000006</v>
      </c>
      <c r="AAD13">
        <f>SOFR3mo_PX[[#This Row],[Column706]]</f>
        <v>96.29</v>
      </c>
      <c r="AAE13">
        <f>SOFR3mo_PX[[#This Row],[Column707]]</f>
        <v>96.325000000000003</v>
      </c>
      <c r="AAF13">
        <f>SOFR3mo_PX[[#This Row],[Column708]]</f>
        <v>96.394999999999996</v>
      </c>
      <c r="AAG13">
        <f>SOFR3mo_PX[[#This Row],[Column709]]</f>
        <v>96.47</v>
      </c>
      <c r="AAH13">
        <f>SOFR3mo_PX[[#This Row],[Column710]]</f>
        <v>96.625</v>
      </c>
      <c r="AAI13">
        <f>SOFR3mo_PX[[#This Row],[Column711]]</f>
        <v>96.53</v>
      </c>
      <c r="AAJ13">
        <f>SOFR3mo_PX[[#This Row],[Column712]]</f>
        <v>96.38</v>
      </c>
      <c r="AAK13">
        <f>SOFR3mo_PX[[#This Row],[Column713]]</f>
        <v>96.46</v>
      </c>
      <c r="AAL13">
        <f>SOFR3mo_PX[[#This Row],[Column714]]</f>
        <v>96.504999999999995</v>
      </c>
      <c r="AAM13">
        <f>SOFR3mo_PX[[#This Row],[Column715]]</f>
        <v>96.224999999999994</v>
      </c>
      <c r="AAN13">
        <f>SOFR3mo_PX[[#This Row],[Column716]]</f>
        <v>96.234999999999999</v>
      </c>
      <c r="AAO13">
        <f>SOFR3mo_PX[[#This Row],[Column717]]</f>
        <v>96.44</v>
      </c>
      <c r="AAP13">
        <f>SOFR3mo_PX[[#This Row],[Column718]]</f>
        <v>96.515000000000001</v>
      </c>
      <c r="AAQ13">
        <f>SOFR3mo_PX[[#This Row],[Column719]]</f>
        <v>96.71</v>
      </c>
      <c r="AAR13">
        <f>SOFR3mo_PX[[#This Row],[Column720]]</f>
        <v>96.59</v>
      </c>
      <c r="AAS13">
        <f>SOFR3mo_PX[[#This Row],[Column721]]</f>
        <v>96.665000000000006</v>
      </c>
      <c r="AAT13">
        <f>SOFR3mo_PX[[#This Row],[Column722]]</f>
        <v>96.75</v>
      </c>
      <c r="AAU13">
        <f>SOFR3mo_PX[[#This Row],[Column723]]</f>
        <v>96.685000000000002</v>
      </c>
      <c r="AAV13">
        <f>SOFR3mo_PX[[#This Row],[Column724]]</f>
        <v>96.78</v>
      </c>
      <c r="AAW13">
        <f>SOFR3mo_PX[[#This Row],[Column725]]</f>
        <v>96.8</v>
      </c>
      <c r="AAX13">
        <f>SOFR3mo_PX[[#This Row],[Column726]]</f>
        <v>96.924999999999997</v>
      </c>
      <c r="AAY13">
        <f>SOFR3mo_PX[[#This Row],[Column727]]</f>
        <v>96.93</v>
      </c>
      <c r="AAZ13">
        <f>SOFR3mo_PX[[#This Row],[Column728]]</f>
        <v>96.984999999999999</v>
      </c>
      <c r="ABA13">
        <f>SOFR3mo_PX[[#This Row],[Column729]]</f>
        <v>97.015000000000001</v>
      </c>
      <c r="ABB13">
        <f>SOFR3mo_PX[[#This Row],[Column730]]</f>
        <v>96.91</v>
      </c>
      <c r="ABC13">
        <f>SOFR3mo_PX[[#This Row],[Column731]]</f>
        <v>97.034999999999997</v>
      </c>
      <c r="ABD13">
        <f>SOFR3mo_PX[[#This Row],[Column732]]</f>
        <v>97.034999999999997</v>
      </c>
      <c r="ABE13">
        <f>SOFR3mo_PX[[#This Row],[Column733]]</f>
        <v>96.935000000000002</v>
      </c>
      <c r="ABF13">
        <f>SOFR3mo_PX[[#This Row],[Column734]]</f>
        <v>97.045000000000002</v>
      </c>
      <c r="ABG13">
        <f>SOFR3mo_PX[[#This Row],[Column735]]</f>
        <v>97.02</v>
      </c>
      <c r="ABH13">
        <f>SOFR3mo_PX[[#This Row],[Column736]]</f>
        <v>97.03</v>
      </c>
      <c r="ABI13">
        <f>SOFR3mo_PX[[#This Row],[Column737]]</f>
        <v>97.094999999999999</v>
      </c>
      <c r="ABJ13">
        <f>SOFR3mo_PX[[#This Row],[Column738]]</f>
        <v>97.14</v>
      </c>
      <c r="ABK13">
        <f>SOFR3mo_PX[[#This Row],[Column739]]</f>
        <v>97.1</v>
      </c>
      <c r="ABL13">
        <f>SOFR3mo_PX[[#This Row],[Column740]]</f>
        <v>97.144999999999996</v>
      </c>
      <c r="ABM13">
        <f>SOFR3mo_PX[[#This Row],[Column741]]</f>
        <v>97.14</v>
      </c>
      <c r="ABN13">
        <f>SOFR3mo_PX[[#This Row],[Column742]]</f>
        <v>97.23</v>
      </c>
      <c r="ABO13">
        <f>SOFR3mo_PX[[#This Row],[Column743]]</f>
        <v>97.32</v>
      </c>
      <c r="ABP13">
        <f>SOFR3mo_PX[[#This Row],[Column744]]</f>
        <v>97.305000000000007</v>
      </c>
      <c r="ABQ13">
        <f>SOFR3mo_PX[[#This Row],[Column745]]</f>
        <v>97.44</v>
      </c>
      <c r="ABR13">
        <f>SOFR3mo_PX[[#This Row],[Column746]]</f>
        <v>97.515000000000001</v>
      </c>
      <c r="ABS13">
        <f>SOFR3mo_PX[[#This Row],[Column747]]</f>
        <v>97.43</v>
      </c>
      <c r="ABT13">
        <f>SOFR3mo_PX[[#This Row],[Column748]]</f>
        <v>97.444999999999993</v>
      </c>
      <c r="ABU13">
        <f>SOFR3mo_PX[[#This Row],[Column749]]</f>
        <v>97.5</v>
      </c>
      <c r="ABV13">
        <f>SOFR3mo_PX[[#This Row],[Column750]]</f>
        <v>97.435000000000002</v>
      </c>
      <c r="ABW13">
        <f>SOFR3mo_PX[[#This Row],[Column751]]</f>
        <v>97.54</v>
      </c>
      <c r="ABX13">
        <f>SOFR3mo_PX[[#This Row],[Column752]]</f>
        <v>97.44</v>
      </c>
      <c r="ABY13">
        <f>SOFR3mo_PX[[#This Row],[Column753]]</f>
        <v>97.655000000000001</v>
      </c>
      <c r="ABZ13">
        <f>SOFR3mo_PX[[#This Row],[Column754]]</f>
        <v>97.52</v>
      </c>
      <c r="ACA13">
        <f>SOFR3mo_PX[[#This Row],[Column755]]</f>
        <v>97.55</v>
      </c>
      <c r="ACB13">
        <f>SOFR3mo_PX[[#This Row],[Column756]]</f>
        <v>97.805000000000007</v>
      </c>
      <c r="ACC13">
        <f>SOFR3mo_PX[[#This Row],[Column757]]</f>
        <v>97.78</v>
      </c>
      <c r="ACD13">
        <f>SOFR3mo_PX[[#This Row],[Column758]]</f>
        <v>97.75</v>
      </c>
      <c r="ACE13">
        <f>SOFR3mo_PX[[#This Row],[Column759]]</f>
        <v>97.674999999999997</v>
      </c>
      <c r="ACF13">
        <f>SOFR3mo_PX[[#This Row],[Column760]]</f>
        <v>97.594999999999999</v>
      </c>
      <c r="ACG13">
        <f>SOFR3mo_PX[[#This Row],[Column761]]</f>
        <v>97.61</v>
      </c>
      <c r="ACH13">
        <f>SOFR3mo_PX[[#This Row],[Column762]]</f>
        <v>97.635000000000005</v>
      </c>
      <c r="ACI13">
        <f>SOFR3mo_PX[[#This Row],[Column763]]</f>
        <v>97.474999999999994</v>
      </c>
      <c r="ACJ13">
        <f>SOFR3mo_PX[[#This Row],[Column764]]</f>
        <v>97.275000000000006</v>
      </c>
      <c r="ACK13">
        <f>SOFR3mo_PX[[#This Row],[Column765]]</f>
        <v>97.295000000000002</v>
      </c>
      <c r="ACL13">
        <f>SOFR3mo_PX[[#This Row],[Column766]]</f>
        <v>97.38</v>
      </c>
      <c r="ACM13">
        <f>SOFR3mo_PX[[#This Row],[Column767]]</f>
        <v>97.42</v>
      </c>
      <c r="ACN13">
        <f>SOFR3mo_PX[[#This Row],[Column768]]</f>
        <v>97.444999999999993</v>
      </c>
      <c r="ACO13">
        <f>SOFR3mo_PX[[#This Row],[Column769]]</f>
        <v>97.49</v>
      </c>
      <c r="ACP13">
        <f>SOFR3mo_PX[[#This Row],[Column770]]</f>
        <v>97.44</v>
      </c>
      <c r="ACQ13">
        <f>SOFR3mo_PX[[#This Row],[Column771]]</f>
        <v>97.4</v>
      </c>
      <c r="ACR13">
        <f>SOFR3mo_PX[[#This Row],[Column772]]</f>
        <v>97.305000000000007</v>
      </c>
      <c r="ACS13">
        <f>SOFR3mo_PX[[#This Row],[Column773]]</f>
        <v>97.4</v>
      </c>
      <c r="ACT13">
        <f>SOFR3mo_PX[[#This Row],[Column774]]</f>
        <v>97.484999999999999</v>
      </c>
      <c r="ACU13">
        <f>SOFR3mo_PX[[#This Row],[Column775]]</f>
        <v>97.665000000000006</v>
      </c>
      <c r="ACV13">
        <f>SOFR3mo_PX[[#This Row],[Column776]]</f>
        <v>97.584999999999994</v>
      </c>
      <c r="ACW13">
        <f>SOFR3mo_PX[[#This Row],[Column777]]</f>
        <v>97.584999999999994</v>
      </c>
      <c r="ACX13">
        <f>SOFR3mo_PX[[#This Row],[Column778]]</f>
        <v>97.424999999999997</v>
      </c>
      <c r="ACY13">
        <f>SOFR3mo_PX[[#This Row],[Column779]]</f>
        <v>97.224999999999994</v>
      </c>
      <c r="ACZ13">
        <f>SOFR3mo_PX[[#This Row],[Column780]]</f>
        <v>97.06</v>
      </c>
      <c r="ADA13">
        <f>SOFR3mo_PX[[#This Row],[Column781]]</f>
        <v>97.064999999999998</v>
      </c>
      <c r="ADB13">
        <f>SOFR3mo_PX[[#This Row],[Column782]]</f>
        <v>97.155000000000001</v>
      </c>
      <c r="ADC13">
        <f>SOFR3mo_PX[[#This Row],[Column783]]</f>
        <v>97.22</v>
      </c>
      <c r="ADD13">
        <f>SOFR3mo_PX[[#This Row],[Column784]]</f>
        <v>97.105000000000004</v>
      </c>
      <c r="ADE13">
        <f>SOFR3mo_PX[[#This Row],[Column785]]</f>
        <v>96.905000000000001</v>
      </c>
      <c r="ADF13">
        <f>SOFR3mo_PX[[#This Row],[Column786]]</f>
        <v>96.91</v>
      </c>
      <c r="ADG13">
        <f>SOFR3mo_PX[[#This Row],[Column787]]</f>
        <v>96.91</v>
      </c>
      <c r="ADH13">
        <f>SOFR3mo_PX[[#This Row],[Column788]]</f>
        <v>96.875</v>
      </c>
      <c r="ADI13">
        <f>SOFR3mo_PX[[#This Row],[Column789]]</f>
        <v>96.784999999999997</v>
      </c>
      <c r="ADJ13">
        <f>SOFR3mo_PX[[#This Row],[Column790]]</f>
        <v>96.57</v>
      </c>
      <c r="ADK13">
        <f>SOFR3mo_PX[[#This Row],[Column791]]</f>
        <v>96.63</v>
      </c>
      <c r="ADL13">
        <f>SOFR3mo_PX[[#This Row],[Column792]]</f>
        <v>96.85</v>
      </c>
      <c r="ADM13">
        <f>SOFR3mo_PX[[#This Row],[Column793]]</f>
        <v>97.05</v>
      </c>
      <c r="ADN13">
        <f>SOFR3mo_PX[[#This Row],[Column794]]</f>
        <v>97.094999999999999</v>
      </c>
      <c r="ADO13">
        <f>SOFR3mo_PX[[#This Row],[Column795]]</f>
        <v>97.13</v>
      </c>
      <c r="ADP13">
        <f>SOFR3mo_PX[[#This Row],[Column796]]</f>
        <v>97.09</v>
      </c>
      <c r="ADQ13">
        <f>SOFR3mo_PX[[#This Row],[Column797]]</f>
        <v>97.204999999999998</v>
      </c>
      <c r="ADR13">
        <f>SOFR3mo_PX[[#This Row],[Column798]]</f>
        <v>97.254999999999995</v>
      </c>
      <c r="ADS13">
        <f>SOFR3mo_PX[[#This Row],[Column799]]</f>
        <v>97.215000000000003</v>
      </c>
      <c r="ADT13">
        <f>SOFR3mo_PX[[#This Row],[Column800]]</f>
        <v>97.36</v>
      </c>
      <c r="ADU13">
        <f>SOFR3mo_PX[[#This Row],[Column801]]</f>
        <v>97.405000000000001</v>
      </c>
      <c r="ADV13">
        <f>SOFR3mo_PX[[#This Row],[Column802]]</f>
        <v>97.405000000000001</v>
      </c>
      <c r="ADW13">
        <f>SOFR3mo_PX[[#This Row],[Column803]]</f>
        <v>97.44</v>
      </c>
      <c r="ADX13">
        <f>SOFR3mo_PX[[#This Row],[Column804]]</f>
        <v>97.46</v>
      </c>
      <c r="ADY13">
        <f>SOFR3mo_PX[[#This Row],[Column805]]</f>
        <v>97.435000000000002</v>
      </c>
      <c r="ADZ13">
        <f>SOFR3mo_PX[[#This Row],[Column806]]</f>
        <v>97.31</v>
      </c>
      <c r="AEA13">
        <f>SOFR3mo_PX[[#This Row],[Column807]]</f>
        <v>97.394999999999996</v>
      </c>
      <c r="AEB13">
        <f>SOFR3mo_PX[[#This Row],[Column808]]</f>
        <v>97.31</v>
      </c>
      <c r="AEC13">
        <f>SOFR3mo_PX[[#This Row],[Column809]]</f>
        <v>97.23</v>
      </c>
      <c r="AED13">
        <f>SOFR3mo_PX[[#This Row],[Column810]]</f>
        <v>97.18</v>
      </c>
      <c r="AEE13">
        <f>SOFR3mo_PX[[#This Row],[Column811]]</f>
        <v>97.34</v>
      </c>
      <c r="AEF13">
        <f>SOFR3mo_PX[[#This Row],[Column812]]</f>
        <v>97.23</v>
      </c>
      <c r="AEG13">
        <f>SOFR3mo_PX[[#This Row],[Column813]]</f>
        <v>97.32</v>
      </c>
      <c r="AEH13">
        <f>SOFR3mo_PX[[#This Row],[Column814]]</f>
        <v>97.194999999999993</v>
      </c>
      <c r="AEI13">
        <f>SOFR3mo_PX[[#This Row],[Column815]]</f>
        <v>97.14</v>
      </c>
      <c r="AEJ13">
        <f>SOFR3mo_PX[[#This Row],[Column816]]</f>
        <v>97.094999999999999</v>
      </c>
      <c r="AEK13">
        <f>SOFR3mo_PX[[#This Row],[Column817]]</f>
        <v>96.995000000000005</v>
      </c>
      <c r="AEL13">
        <f>SOFR3mo_PX[[#This Row],[Column818]]</f>
        <v>96.995000000000005</v>
      </c>
      <c r="AEM13">
        <f>SOFR3mo_PX[[#This Row],[Column819]]</f>
        <v>97.11</v>
      </c>
      <c r="AEN13">
        <f>SOFR3mo_PX[[#This Row],[Column820]]</f>
        <v>96.995000000000005</v>
      </c>
      <c r="AEO13">
        <f>SOFR3mo_PX[[#This Row],[Column821]]</f>
        <v>96.97</v>
      </c>
      <c r="AEP13">
        <f>SOFR3mo_PX[[#This Row],[Column822]]</f>
        <v>97.08</v>
      </c>
      <c r="AEQ13">
        <f>SOFR3mo_PX[[#This Row],[Column823]]</f>
        <v>97.09</v>
      </c>
      <c r="AER13">
        <f>SOFR3mo_PX[[#This Row],[Column824]]</f>
        <v>97.194999999999993</v>
      </c>
      <c r="AES13">
        <f>SOFR3mo_PX[[#This Row],[Column825]]</f>
        <v>97.22</v>
      </c>
      <c r="AET13">
        <f>SOFR3mo_PX[[#This Row],[Column826]]</f>
        <v>97.125</v>
      </c>
      <c r="AEU13">
        <f>SOFR3mo_PX[[#This Row],[Column827]]</f>
        <v>97.055000000000007</v>
      </c>
      <c r="AEV13">
        <f>SOFR3mo_PX[[#This Row],[Column828]]</f>
        <v>96.995000000000005</v>
      </c>
      <c r="AEW13">
        <f>SOFR3mo_PX[[#This Row],[Column829]]</f>
        <v>97.12</v>
      </c>
      <c r="AEX13">
        <f>SOFR3mo_PX[[#This Row],[Column830]]</f>
        <v>97.094999999999999</v>
      </c>
      <c r="AEY13">
        <f>SOFR3mo_PX[[#This Row],[Column831]]</f>
        <v>97.224999999999994</v>
      </c>
      <c r="AEZ13">
        <f>SOFR3mo_PX[[#This Row],[Column832]]</f>
        <v>97.25</v>
      </c>
      <c r="AFA13">
        <f>SOFR3mo_PX[[#This Row],[Column833]]</f>
        <v>97.25</v>
      </c>
      <c r="AFB13">
        <f>SOFR3mo_PX[[#This Row],[Column834]]</f>
        <v>97.38</v>
      </c>
      <c r="AFC13">
        <f>SOFR3mo_PX[[#This Row],[Column835]]</f>
        <v>97.34</v>
      </c>
      <c r="AFD13">
        <f>SOFR3mo_PX[[#This Row],[Column836]]</f>
        <v>97.17</v>
      </c>
      <c r="AFE13">
        <f>SOFR3mo_PX[[#This Row],[Column837]]</f>
        <v>97.18</v>
      </c>
      <c r="AFF13">
        <f>SOFR3mo_PX[[#This Row],[Column838]]</f>
        <v>97.28</v>
      </c>
      <c r="AFG13">
        <f>SOFR3mo_PX[[#This Row],[Column839]]</f>
        <v>97.24</v>
      </c>
      <c r="AFH13">
        <f>SOFR3mo_PX[[#This Row],[Column840]]</f>
        <v>97.234999999999999</v>
      </c>
      <c r="AFI13">
        <f>SOFR3mo_PX[[#This Row],[Column841]]</f>
        <v>97.344999999999999</v>
      </c>
      <c r="AFJ13">
        <f>SOFR3mo_PX[[#This Row],[Column842]]</f>
        <v>97.325000000000003</v>
      </c>
      <c r="AFK13">
        <f>SOFR3mo_PX[[#This Row],[Column843]]</f>
        <v>97.495000000000005</v>
      </c>
      <c r="AFL13">
        <f>SOFR3mo_PX[[#This Row],[Column844]]</f>
        <v>97.444999999999993</v>
      </c>
      <c r="AFM13">
        <f>SOFR3mo_PX[[#This Row],[Column845]]</f>
        <v>97.415000000000006</v>
      </c>
      <c r="AFN13">
        <f>SOFR3mo_PX[[#This Row],[Column846]]</f>
        <v>97.36</v>
      </c>
      <c r="AFO13">
        <f>SOFR3mo_PX[[#This Row],[Column847]]</f>
        <v>97.38</v>
      </c>
      <c r="AFP13">
        <f>SOFR3mo_PX[[#This Row],[Column848]]</f>
        <v>97.625</v>
      </c>
      <c r="AFQ13">
        <f>SOFR3mo_PX[[#This Row],[Column849]]</f>
        <v>97.655000000000001</v>
      </c>
      <c r="AFR13">
        <f>SOFR3mo_PX[[#This Row],[Column850]]</f>
        <v>97.584999999999994</v>
      </c>
      <c r="AFS13">
        <f>SOFR3mo_PX[[#This Row],[Column851]]</f>
        <v>97.63</v>
      </c>
      <c r="AFT13">
        <f>SOFR3mo_PX[[#This Row],[Column852]]</f>
        <v>97.83</v>
      </c>
      <c r="AFU13">
        <f>SOFR3mo_PX[[#This Row],[Column853]]</f>
        <v>97.81</v>
      </c>
      <c r="AFV13">
        <f>SOFR3mo_PX[[#This Row],[Column854]]</f>
        <v>97.78</v>
      </c>
      <c r="AFW13">
        <f>SOFR3mo_PX[[#This Row],[Column855]]</f>
        <v>97.844999999999999</v>
      </c>
      <c r="AFX13">
        <f>SOFR3mo_PX[[#This Row],[Column856]]</f>
        <v>97.875</v>
      </c>
      <c r="AFY13">
        <f>SOFR3mo_PX[[#This Row],[Column857]]</f>
        <v>98.03</v>
      </c>
      <c r="AFZ13">
        <f>SOFR3mo_PX[[#This Row],[Column858]]</f>
        <v>98.064999999999998</v>
      </c>
      <c r="AGA13">
        <f>SOFR3mo_PX[[#This Row],[Column859]]</f>
        <v>98.12</v>
      </c>
      <c r="AGB13">
        <f>SOFR3mo_PX[[#This Row],[Column860]]</f>
        <v>98.215000000000003</v>
      </c>
      <c r="AGC13">
        <f>SOFR3mo_PX[[#This Row],[Column861]]</f>
        <v>98.34</v>
      </c>
      <c r="AGD13">
        <f>SOFR3mo_PX[[#This Row],[Column862]]</f>
        <v>98.415000000000006</v>
      </c>
      <c r="AGE13">
        <f>SOFR3mo_PX[[#This Row],[Column863]]</f>
        <v>98.26</v>
      </c>
      <c r="AGF13">
        <f>SOFR3mo_PX[[#This Row],[Column864]]</f>
        <v>98.25</v>
      </c>
      <c r="AGG13">
        <f>SOFR3mo_PX[[#This Row],[Column865]]</f>
        <v>98.465000000000003</v>
      </c>
      <c r="AGH13">
        <f>SOFR3mo_PX[[#This Row],[Column866]]</f>
        <v>98.224999999999994</v>
      </c>
      <c r="AGI13">
        <f>SOFR3mo_PX[[#This Row],[Column867]]</f>
        <v>98.04</v>
      </c>
      <c r="AGJ13">
        <f>SOFR3mo_PX[[#This Row],[Column868]]</f>
        <v>98.075000000000003</v>
      </c>
      <c r="AGK13">
        <f>SOFR3mo_PX[[#This Row],[Column869]]</f>
        <v>98.06</v>
      </c>
      <c r="AGL13">
        <f>SOFR3mo_PX[[#This Row],[Column870]]</f>
        <v>98.1</v>
      </c>
      <c r="AGM13">
        <f>SOFR3mo_PX[[#This Row],[Column871]]</f>
        <v>98.125</v>
      </c>
      <c r="AGN13">
        <f>SOFR3mo_PX[[#This Row],[Column872]]</f>
        <v>98.125</v>
      </c>
      <c r="AGO13">
        <f>SOFR3mo_PX[[#This Row],[Column873]]</f>
        <v>98.094999999999999</v>
      </c>
      <c r="AGP13">
        <f>SOFR3mo_PX[[#This Row],[Column874]]</f>
        <v>98.02</v>
      </c>
      <c r="AGQ13">
        <f>SOFR3mo_PX[[#This Row],[Column875]]</f>
        <v>98</v>
      </c>
      <c r="AGR13">
        <f>SOFR3mo_PX[[#This Row],[Column876]]</f>
        <v>98.01</v>
      </c>
      <c r="AGS13">
        <f>SOFR3mo_PX[[#This Row],[Column877]]</f>
        <v>98.09</v>
      </c>
      <c r="AGT13">
        <f>SOFR3mo_PX[[#This Row],[Column878]]</f>
        <v>97.97</v>
      </c>
      <c r="AGU13">
        <f>SOFR3mo_PX[[#This Row],[Column879]]</f>
        <v>98.094999999999999</v>
      </c>
      <c r="AGV13">
        <f>SOFR3mo_PX[[#This Row],[Column880]]</f>
        <v>98.094999999999999</v>
      </c>
      <c r="AGW13">
        <f>SOFR3mo_PX[[#This Row],[Column881]]</f>
        <v>98.15</v>
      </c>
      <c r="AGX13">
        <f>SOFR3mo_PX[[#This Row],[Column882]]</f>
        <v>98.13</v>
      </c>
      <c r="AGY13">
        <f>SOFR3mo_PX[[#This Row],[Column883]]</f>
        <v>98.265000000000001</v>
      </c>
      <c r="AGZ13">
        <f>SOFR3mo_PX[[#This Row],[Column884]]</f>
        <v>98.325000000000003</v>
      </c>
      <c r="AHA13">
        <f>SOFR3mo_PX[[#This Row],[Column885]]</f>
        <v>98.31</v>
      </c>
      <c r="AHB13">
        <f>SOFR3mo_PX[[#This Row],[Column886]]</f>
        <v>98.31</v>
      </c>
      <c r="AHC13">
        <f>SOFR3mo_PX[[#This Row],[Column887]]</f>
        <v>98.28</v>
      </c>
      <c r="AHD13">
        <f>SOFR3mo_PX[[#This Row],[Column888]]</f>
        <v>98.24</v>
      </c>
      <c r="AHE13">
        <f>SOFR3mo_PX[[#This Row],[Column889]]</f>
        <v>98.245000000000005</v>
      </c>
      <c r="AHF13">
        <f>SOFR3mo_PX[[#This Row],[Column890]]</f>
        <v>98.334999999999994</v>
      </c>
      <c r="AHG13">
        <f>SOFR3mo_PX[[#This Row],[Column891]]</f>
        <v>98.385000000000005</v>
      </c>
      <c r="AHH13">
        <f>SOFR3mo_PX[[#This Row],[Column892]]</f>
        <v>98.305000000000007</v>
      </c>
      <c r="AHI13">
        <f>SOFR3mo_PX[[#This Row],[Column893]]</f>
        <v>98.22</v>
      </c>
      <c r="AHJ13">
        <f>SOFR3mo_PX[[#This Row],[Column894]]</f>
        <v>98.23</v>
      </c>
      <c r="AHK13">
        <f>SOFR3mo_PX[[#This Row],[Column895]]</f>
        <v>98.185000000000002</v>
      </c>
      <c r="AHL13">
        <f>SOFR3mo_PX[[#This Row],[Column896]]</f>
        <v>98.28</v>
      </c>
      <c r="AHM13">
        <f>SOFR3mo_PX[[#This Row],[Column897]]</f>
        <v>98.28</v>
      </c>
      <c r="AHN13">
        <f>SOFR3mo_PX[[#This Row],[Column898]]</f>
        <v>98.38</v>
      </c>
      <c r="AHO13">
        <f>SOFR3mo_PX[[#This Row],[Column899]]</f>
        <v>98.344999999999999</v>
      </c>
      <c r="AHP13">
        <f>SOFR3mo_PX[[#This Row],[Column900]]</f>
        <v>98.314999999999998</v>
      </c>
      <c r="AHQ13">
        <f>SOFR3mo_PX[[#This Row],[Column901]]</f>
        <v>98.26</v>
      </c>
      <c r="AHR13">
        <f>SOFR3mo_PX[[#This Row],[Column902]]</f>
        <v>98.31</v>
      </c>
      <c r="AHS13">
        <f>SOFR3mo_PX[[#This Row],[Column903]]</f>
        <v>98.37</v>
      </c>
      <c r="AHT13">
        <f>SOFR3mo_PX[[#This Row],[Column904]]</f>
        <v>98.424999999999997</v>
      </c>
      <c r="AHU13">
        <f>SOFR3mo_PX[[#This Row],[Column905]]</f>
        <v>98.49</v>
      </c>
      <c r="AHV13">
        <f>SOFR3mo_PX[[#This Row],[Column906]]</f>
        <v>98.495000000000005</v>
      </c>
      <c r="AHW13">
        <f>SOFR3mo_PX[[#This Row],[Column907]]</f>
        <v>98.614999999999995</v>
      </c>
      <c r="AHX13">
        <f>SOFR3mo_PX[[#This Row],[Column908]]</f>
        <v>98.6</v>
      </c>
      <c r="AHY13">
        <f>SOFR3mo_PX[[#This Row],[Column909]]</f>
        <v>98.58</v>
      </c>
      <c r="AHZ13">
        <f>SOFR3mo_PX[[#This Row],[Column910]]</f>
        <v>98.61</v>
      </c>
      <c r="AIA13">
        <f>SOFR3mo_PX[[#This Row],[Column911]]</f>
        <v>98.594999999999999</v>
      </c>
      <c r="AIB13">
        <f>SOFR3mo_PX[[#This Row],[Column912]]</f>
        <v>98.605000000000004</v>
      </c>
      <c r="AIC13">
        <f>SOFR3mo_PX[[#This Row],[Column913]]</f>
        <v>98.605000000000004</v>
      </c>
      <c r="AID13">
        <f>SOFR3mo_PX[[#This Row],[Column914]]</f>
        <v>98.62</v>
      </c>
      <c r="AIE13">
        <f>SOFR3mo_PX[[#This Row],[Column915]]</f>
        <v>98.614999999999995</v>
      </c>
      <c r="AIF13">
        <f>SOFR3mo_PX[[#This Row],[Column916]]</f>
        <v>98.685000000000002</v>
      </c>
      <c r="AIG13">
        <f>SOFR3mo_PX[[#This Row],[Column917]]</f>
        <v>98.674999999999997</v>
      </c>
      <c r="AIH13">
        <f>SOFR3mo_PX[[#This Row],[Column918]]</f>
        <v>98.694999999999993</v>
      </c>
      <c r="AII13">
        <f>SOFR3mo_PX[[#This Row],[Column919]]</f>
        <v>98.57</v>
      </c>
      <c r="AIJ13">
        <f>SOFR3mo_PX[[#This Row],[Column920]]</f>
        <v>98.594999999999999</v>
      </c>
      <c r="AIK13">
        <f>SOFR3mo_PX[[#This Row],[Column921]]</f>
        <v>98.605000000000004</v>
      </c>
      <c r="AIL13">
        <f>SOFR3mo_PX[[#This Row],[Column922]]</f>
        <v>98.55</v>
      </c>
      <c r="AIM13">
        <f>SOFR3mo_PX[[#This Row],[Column923]]</f>
        <v>98.53</v>
      </c>
      <c r="AIN13">
        <f>SOFR3mo_PX[[#This Row],[Column924]]</f>
        <v>98.52</v>
      </c>
      <c r="AIO13">
        <f>SOFR3mo_PX[[#This Row],[Column925]]</f>
        <v>98.52</v>
      </c>
      <c r="AIP13">
        <f>SOFR3mo_PX[[#This Row],[Column926]]</f>
        <v>98.575000000000003</v>
      </c>
      <c r="AIQ13">
        <f>SOFR3mo_PX[[#This Row],[Column927]]</f>
        <v>98.665000000000006</v>
      </c>
      <c r="AIR13">
        <f>SOFR3mo_PX[[#This Row],[Column928]]</f>
        <v>98.59</v>
      </c>
      <c r="AIS13">
        <f>SOFR3mo_PX[[#This Row],[Column929]]</f>
        <v>98.644999999999996</v>
      </c>
      <c r="AIT13">
        <f>SOFR3mo_PX[[#This Row],[Column930]]</f>
        <v>98.655000000000001</v>
      </c>
      <c r="AIU13">
        <f>SOFR3mo_PX[[#This Row],[Column931]]</f>
        <v>98.63</v>
      </c>
      <c r="AIV13">
        <f>SOFR3mo_PX[[#This Row],[Column932]]</f>
        <v>98.63</v>
      </c>
      <c r="AIW13">
        <f>SOFR3mo_PX[[#This Row],[Column933]]</f>
        <v>98.43</v>
      </c>
      <c r="AIX13">
        <f>SOFR3mo_PX[[#This Row],[Column934]]</f>
        <v>98.43</v>
      </c>
      <c r="AIY13">
        <f>SOFR3mo_PX[[#This Row],[Column935]]</f>
        <v>98.465000000000003</v>
      </c>
      <c r="AIZ13">
        <f>SOFR3mo_PX[[#This Row],[Column936]]</f>
        <v>98.48</v>
      </c>
      <c r="AJA13">
        <f>SOFR3mo_PX[[#This Row],[Column937]]</f>
        <v>98.62</v>
      </c>
      <c r="AJB13">
        <f>SOFR3mo_PX[[#This Row],[Column938]]</f>
        <v>98.62</v>
      </c>
      <c r="AJC13">
        <f>SOFR3mo_PX[[#This Row],[Column939]]</f>
        <v>98.594999999999999</v>
      </c>
      <c r="AJD13">
        <f>SOFR3mo_PX[[#This Row],[Column940]]</f>
        <v>98.555000000000007</v>
      </c>
      <c r="AJE13">
        <f>SOFR3mo_PX[[#This Row],[Column941]]</f>
        <v>98.58</v>
      </c>
      <c r="AJF13">
        <f>SOFR3mo_PX[[#This Row],[Column942]]</f>
        <v>98.6</v>
      </c>
      <c r="AJG13">
        <f>SOFR3mo_PX[[#This Row],[Column943]]</f>
        <v>98.594999999999999</v>
      </c>
      <c r="AJH13">
        <f>SOFR3mo_PX[[#This Row],[Column944]]</f>
        <v>98.65</v>
      </c>
      <c r="AJI13">
        <f>SOFR3mo_PX[[#This Row],[Column945]]</f>
        <v>98.83</v>
      </c>
      <c r="AJJ13">
        <f>SOFR3mo_PX[[#This Row],[Column946]]</f>
        <v>98.78</v>
      </c>
      <c r="AJK13">
        <f>SOFR3mo_PX[[#This Row],[Column947]]</f>
        <v>98.87</v>
      </c>
      <c r="AJL13">
        <f>SOFR3mo_PX[[#This Row],[Column948]]</f>
        <v>98.8</v>
      </c>
      <c r="AJM13">
        <f>SOFR3mo_PX[[#This Row],[Column949]]</f>
        <v>98.7</v>
      </c>
      <c r="AJN13">
        <f>SOFR3mo_PX[[#This Row],[Column950]]</f>
        <v>98.745000000000005</v>
      </c>
      <c r="AJO13">
        <f>SOFR3mo_PX[[#This Row],[Column951]]</f>
        <v>98.69</v>
      </c>
      <c r="AJP13">
        <f>SOFR3mo_PX[[#This Row],[Column952]]</f>
        <v>98.73</v>
      </c>
      <c r="AJQ13">
        <f>SOFR3mo_PX[[#This Row],[Column953]]</f>
        <v>98.734999999999999</v>
      </c>
      <c r="AJR13">
        <f>SOFR3mo_PX[[#This Row],[Column954]]</f>
        <v>98.745000000000005</v>
      </c>
      <c r="AJS13">
        <f>SOFR3mo_PX[[#This Row],[Column955]]</f>
        <v>98.704999999999998</v>
      </c>
      <c r="AJT13">
        <f>SOFR3mo_PX[[#This Row],[Column956]]</f>
        <v>98.71</v>
      </c>
      <c r="AJU13">
        <f>SOFR3mo_PX[[#This Row],[Column957]]</f>
        <v>98.68</v>
      </c>
      <c r="AJV13">
        <f>SOFR3mo_PX[[#This Row],[Column958]]</f>
        <v>98.68</v>
      </c>
      <c r="AJW13">
        <f>SOFR3mo_PX[[#This Row],[Column959]]</f>
        <v>98.77</v>
      </c>
      <c r="AJX13">
        <f>SOFR3mo_PX[[#This Row],[Column960]]</f>
        <v>98.745000000000005</v>
      </c>
      <c r="AJY13">
        <f>SOFR3mo_PX[[#This Row],[Column961]]</f>
        <v>98.715000000000003</v>
      </c>
      <c r="AJZ13">
        <f>SOFR3mo_PX[[#This Row],[Column962]]</f>
        <v>98.78</v>
      </c>
      <c r="AKA13">
        <f>SOFR3mo_PX[[#This Row],[Column963]]</f>
        <v>98.87</v>
      </c>
      <c r="AKB13">
        <f>SOFR3mo_PX[[#This Row],[Column964]]</f>
        <v>98.814999999999998</v>
      </c>
      <c r="AKC13">
        <f>SOFR3mo_PX[[#This Row],[Column965]]</f>
        <v>98.85</v>
      </c>
      <c r="AKD13">
        <f>SOFR3mo_PX[[#This Row],[Column966]]</f>
        <v>98.855000000000004</v>
      </c>
      <c r="AKE13">
        <f>SOFR3mo_PX[[#This Row],[Column967]]</f>
        <v>98.9</v>
      </c>
      <c r="AKF13">
        <f>SOFR3mo_PX[[#This Row],[Column968]]</f>
        <v>98.95</v>
      </c>
      <c r="AKG13">
        <f>SOFR3mo_PX[[#This Row],[Column969]]</f>
        <v>98.99</v>
      </c>
      <c r="AKH13">
        <f>SOFR3mo_PX[[#This Row],[Column970]]</f>
        <v>99.004999999999995</v>
      </c>
      <c r="AKI13">
        <f>SOFR3mo_PX[[#This Row],[Column971]]</f>
        <v>99.05</v>
      </c>
      <c r="AKJ13">
        <f>SOFR3mo_PX[[#This Row],[Column972]]</f>
        <v>99.05</v>
      </c>
      <c r="AKK13">
        <f>SOFR3mo_PX[[#This Row],[Column973]]</f>
        <v>98.984999999999999</v>
      </c>
      <c r="AKL13">
        <f>SOFR3mo_PX[[#This Row],[Column974]]</f>
        <v>98.97</v>
      </c>
      <c r="AKM13">
        <f>SOFR3mo_PX[[#This Row],[Column975]]</f>
        <v>98.93</v>
      </c>
      <c r="AKN13">
        <f>SOFR3mo_PX[[#This Row],[Column976]]</f>
        <v>98.944999999999993</v>
      </c>
      <c r="AKO13">
        <f>SOFR3mo_PX[[#This Row],[Column977]]</f>
        <v>98.96</v>
      </c>
      <c r="AKP13">
        <f>SOFR3mo_PX[[#This Row],[Column978]]</f>
        <v>98.974999999999994</v>
      </c>
      <c r="AKQ13">
        <f>SOFR3mo_PX[[#This Row],[Column979]]</f>
        <v>99.03</v>
      </c>
      <c r="AKR13">
        <f>SOFR3mo_PX[[#This Row],[Column980]]</f>
        <v>99.11</v>
      </c>
      <c r="AKS13">
        <f>SOFR3mo_PX[[#This Row],[Column981]]</f>
        <v>99.114999999999995</v>
      </c>
      <c r="AKT13">
        <f>SOFR3mo_PX[[#This Row],[Column982]]</f>
        <v>99.06</v>
      </c>
      <c r="AKU13">
        <f>SOFR3mo_PX[[#This Row],[Column983]]</f>
        <v>99.1</v>
      </c>
      <c r="AKV13">
        <f>SOFR3mo_PX[[#This Row],[Column984]]</f>
        <v>99.14</v>
      </c>
      <c r="AKW13">
        <f>SOFR3mo_PX[[#This Row],[Column985]]</f>
        <v>99.27</v>
      </c>
      <c r="AKX13">
        <f>SOFR3mo_PX[[#This Row],[Column986]]</f>
        <v>99.26</v>
      </c>
      <c r="AKY13">
        <f>SOFR3mo_PX[[#This Row],[Column987]]</f>
        <v>99.25</v>
      </c>
      <c r="AKZ13">
        <f>SOFR3mo_PX[[#This Row],[Column988]]</f>
        <v>99.275000000000006</v>
      </c>
      <c r="ALA13">
        <f>SOFR3mo_PX[[#This Row],[Column989]]</f>
        <v>99.26</v>
      </c>
      <c r="ALB13">
        <f>SOFR3mo_PX[[#This Row],[Column990]]</f>
        <v>99.25</v>
      </c>
      <c r="ALC13">
        <f>SOFR3mo_PX[[#This Row],[Column991]]</f>
        <v>99.295000000000002</v>
      </c>
      <c r="ALD13">
        <f>SOFR3mo_PX[[#This Row],[Column992]]</f>
        <v>99.295000000000002</v>
      </c>
      <c r="ALE13">
        <f>SOFR3mo_PX[[#This Row],[Column993]]</f>
        <v>99.295000000000002</v>
      </c>
      <c r="ALF13">
        <f>SOFR3mo_PX[[#This Row],[Column994]]</f>
        <v>99.284999999999997</v>
      </c>
      <c r="ALG13">
        <f>SOFR3mo_PX[[#This Row],[Column995]]</f>
        <v>99.295000000000002</v>
      </c>
      <c r="ALH13">
        <f>SOFR3mo_PX[[#This Row],[Column996]]</f>
        <v>99.29</v>
      </c>
      <c r="ALI13">
        <f>SOFR3mo_PX[[#This Row],[Column997]]</f>
        <v>99.25</v>
      </c>
      <c r="ALJ13">
        <f>SOFR3mo_PX[[#This Row],[Column998]]</f>
        <v>99.204999999999998</v>
      </c>
      <c r="ALK13">
        <f>SOFR3mo_PX[[#This Row],[Column999]]</f>
        <v>99.21</v>
      </c>
      <c r="ALL13">
        <f>SOFR3mo_PX[[#This Row],[Column1000]]</f>
        <v>99.25</v>
      </c>
      <c r="ALM13">
        <f>SOFR3mo_PX[[#This Row],[Column1001]]</f>
        <v>99.275000000000006</v>
      </c>
      <c r="ALN13">
        <f>SOFR3mo_PX[[#This Row],[Column1002]]</f>
        <v>99.26</v>
      </c>
      <c r="ALO13">
        <f>SOFR3mo_PX[[#This Row],[Column1003]]</f>
        <v>99.27</v>
      </c>
      <c r="ALP13">
        <f>SOFR3mo_PX[[#This Row],[Column1004]]</f>
        <v>99.265000000000001</v>
      </c>
      <c r="ALQ13">
        <f>SOFR3mo_PX[[#This Row],[Column1005]]</f>
        <v>99.28</v>
      </c>
      <c r="ALR13">
        <f>SOFR3mo_PX[[#This Row],[Column1006]]</f>
        <v>99.3</v>
      </c>
      <c r="ALS13">
        <f>SOFR3mo_PX[[#This Row],[Column1007]]</f>
        <v>99.25</v>
      </c>
      <c r="ALT13">
        <f>SOFR3mo_PX[[#This Row],[Column1008]]</f>
        <v>99.204999999999998</v>
      </c>
      <c r="ALU13">
        <f>SOFR3mo_PX[[#This Row],[Column1009]]</f>
        <v>99.22</v>
      </c>
      <c r="ALV13">
        <f>SOFR3mo_PX[[#This Row],[Column1010]]</f>
        <v>99.194999999999993</v>
      </c>
      <c r="ALW13">
        <f>SOFR3mo_PX[[#This Row],[Column1011]]</f>
        <v>99.224999999999994</v>
      </c>
      <c r="ALX13">
        <f>SOFR3mo_PX[[#This Row],[Column1012]]</f>
        <v>99.265000000000001</v>
      </c>
      <c r="ALY13">
        <f>SOFR3mo_PX[[#This Row],[Column1013]]</f>
        <v>99.32</v>
      </c>
      <c r="ALZ13">
        <f>SOFR3mo_PX[[#This Row],[Column1014]]</f>
        <v>99.38</v>
      </c>
      <c r="AMA13">
        <f>SOFR3mo_PX[[#This Row],[Column1015]]</f>
        <v>99.435000000000002</v>
      </c>
      <c r="AMB13">
        <f>SOFR3mo_PX[[#This Row],[Column1016]]</f>
        <v>99.42</v>
      </c>
      <c r="AMC13">
        <f>SOFR3mo_PX[[#This Row],[Column1017]]</f>
        <v>99.355000000000004</v>
      </c>
      <c r="AMD13">
        <f>SOFR3mo_PX[[#This Row],[Column1018]]</f>
        <v>99.32</v>
      </c>
      <c r="AME13">
        <f>SOFR3mo_PX[[#This Row],[Column1019]]</f>
        <v>99.305000000000007</v>
      </c>
      <c r="AMF13">
        <f>SOFR3mo_PX[[#This Row],[Column1020]]</f>
        <v>99.37</v>
      </c>
      <c r="AMG13">
        <f>SOFR3mo_PX[[#This Row],[Column1021]]</f>
        <v>99.34</v>
      </c>
      <c r="AMH13">
        <f>SOFR3mo_PX[[#This Row],[Column1022]]</f>
        <v>99.35</v>
      </c>
      <c r="AMI13">
        <f>SOFR3mo_PX[[#This Row],[Column1023]]</f>
        <v>99.36</v>
      </c>
      <c r="AMJ13">
        <f>SOFR3mo_PX[[#This Row],[Column1024]]</f>
        <v>99.344999999999999</v>
      </c>
      <c r="AMK13">
        <f>SOFR3mo_PX[[#This Row],[Column1025]]</f>
        <v>99.415000000000006</v>
      </c>
      <c r="AML13">
        <f>SOFR3mo_PX[[#This Row],[Column1026]]</f>
        <v>99.39</v>
      </c>
      <c r="AMM13">
        <f>SOFR3mo_PX[[#This Row],[Column1027]]</f>
        <v>99.224999999999994</v>
      </c>
      <c r="AMN13">
        <f>SOFR3mo_PX[[#This Row],[Column1028]]</f>
        <v>99.224999999999994</v>
      </c>
      <c r="AMO13">
        <f>SOFR3mo_PX[[#This Row],[Column1029]]</f>
        <v>99.215000000000003</v>
      </c>
      <c r="AMP13">
        <f>SOFR3mo_PX[[#This Row],[Column1030]]</f>
        <v>99.17</v>
      </c>
      <c r="AMQ13">
        <f>SOFR3mo_PX[[#This Row],[Column1031]]</f>
        <v>99.25</v>
      </c>
      <c r="AMR13">
        <f>SOFR3mo_PX[[#This Row],[Column1032]]</f>
        <v>99.254999999999995</v>
      </c>
      <c r="AMS13">
        <f>SOFR3mo_PX[[#This Row],[Column1033]]</f>
        <v>99.32</v>
      </c>
      <c r="AMT13">
        <f>SOFR3mo_PX[[#This Row],[Column1034]]</f>
        <v>99.24</v>
      </c>
      <c r="AMU13">
        <f>SOFR3mo_PX[[#This Row],[Column1035]]</f>
        <v>99.215000000000003</v>
      </c>
      <c r="AMV13">
        <f>SOFR3mo_PX[[#This Row],[Column1036]]</f>
        <v>99.15</v>
      </c>
      <c r="AMW13">
        <f>SOFR3mo_PX[[#This Row],[Column1037]]</f>
        <v>99.15</v>
      </c>
      <c r="AMX13">
        <f>SOFR3mo_PX[[#This Row],[Column1038]]</f>
        <v>99.09</v>
      </c>
      <c r="AMY13">
        <f>SOFR3mo_PX[[#This Row],[Column1039]]</f>
        <v>99.135000000000005</v>
      </c>
      <c r="AMZ13">
        <f>SOFR3mo_PX[[#This Row],[Column1040]]</f>
        <v>99.12</v>
      </c>
      <c r="ANA13">
        <f>SOFR3mo_PX[[#This Row],[Column1041]]</f>
        <v>99.125</v>
      </c>
      <c r="ANB13">
        <f>SOFR3mo_PX[[#This Row],[Column1042]]</f>
        <v>99.094999999999999</v>
      </c>
      <c r="ANC13">
        <f>SOFR3mo_PX[[#This Row],[Column1043]]</f>
        <v>99.12</v>
      </c>
      <c r="AND13">
        <f>SOFR3mo_PX[[#This Row],[Column1044]]</f>
        <v>99.135000000000005</v>
      </c>
      <c r="ANE13">
        <f>SOFR3mo_PX[[#This Row],[Column1045]]</f>
        <v>99.18</v>
      </c>
      <c r="ANF13">
        <f>SOFR3mo_PX[[#This Row],[Column1046]]</f>
        <v>99.16</v>
      </c>
      <c r="ANG13">
        <f>SOFR3mo_PX[[#This Row],[Column1047]]</f>
        <v>99.14</v>
      </c>
      <c r="ANH13">
        <f>SOFR3mo_PX[[#This Row],[Column1048]]</f>
        <v>99.16</v>
      </c>
      <c r="ANI13">
        <f>SOFR3mo_PX[[#This Row],[Column1049]]</f>
        <v>99.2</v>
      </c>
      <c r="ANJ13">
        <f>SOFR3mo_PX[[#This Row],[Column1050]]</f>
        <v>99.46</v>
      </c>
      <c r="ANK13">
        <f>SOFR3mo_PX[[#This Row],[Column1051]]</f>
        <v>99.465000000000003</v>
      </c>
      <c r="ANL13">
        <f>SOFR3mo_PX[[#This Row],[Column1052]]</f>
        <v>99.495000000000005</v>
      </c>
      <c r="ANM13">
        <f>SOFR3mo_PX[[#This Row],[Column1053]]</f>
        <v>99.52</v>
      </c>
      <c r="ANN13">
        <f>SOFR3mo_PX[[#This Row],[Column1054]]</f>
        <v>99.51</v>
      </c>
      <c r="ANO13">
        <f>SOFR3mo_PX[[#This Row],[Column1055]]</f>
        <v>99.48</v>
      </c>
      <c r="ANP13">
        <f>SOFR3mo_PX[[#This Row],[Column1056]]</f>
        <v>99.454999999999998</v>
      </c>
      <c r="ANQ13">
        <f>SOFR3mo_PX[[#This Row],[Column1057]]</f>
        <v>99.465000000000003</v>
      </c>
      <c r="ANR13">
        <f>SOFR3mo_PX[[#This Row],[Column1058]]</f>
        <v>99.42</v>
      </c>
      <c r="ANS13">
        <f>SOFR3mo_PX[[#This Row],[Column1059]]</f>
        <v>99.465000000000003</v>
      </c>
      <c r="ANT13">
        <f>SOFR3mo_PX[[#This Row],[Column1060]]</f>
        <v>99.44</v>
      </c>
      <c r="ANU13">
        <f>SOFR3mo_PX[[#This Row],[Column1061]]</f>
        <v>99.454999999999998</v>
      </c>
      <c r="ANV13">
        <f>SOFR3mo_PX[[#This Row],[Column1062]]</f>
        <v>99.454999999999998</v>
      </c>
      <c r="ANW13">
        <f>SOFR3mo_PX[[#This Row],[Column1063]]</f>
        <v>99.45</v>
      </c>
      <c r="ANX13">
        <f>SOFR3mo_PX[[#This Row],[Column1064]]</f>
        <v>99.474999999999994</v>
      </c>
      <c r="ANY13">
        <f>SOFR3mo_PX[[#This Row],[Column1065]]</f>
        <v>99.48</v>
      </c>
      <c r="ANZ13">
        <f>SOFR3mo_PX[[#This Row],[Column1066]]</f>
        <v>99.44</v>
      </c>
      <c r="AOA13">
        <f>SOFR3mo_PX[[#This Row],[Column1067]]</f>
        <v>99.415000000000006</v>
      </c>
      <c r="AOB13">
        <f>SOFR3mo_PX[[#This Row],[Column1068]]</f>
        <v>99.424999999999997</v>
      </c>
      <c r="AOC13">
        <f>SOFR3mo_PX[[#This Row],[Column1069]]</f>
        <v>99.385000000000005</v>
      </c>
      <c r="AOD13">
        <f>SOFR3mo_PX[[#This Row],[Column1070]]</f>
        <v>99.42</v>
      </c>
      <c r="AOE13">
        <f>SOFR3mo_PX[[#This Row],[Column1071]]</f>
        <v>99.42</v>
      </c>
      <c r="AOF13">
        <f>SOFR3mo_PX[[#This Row],[Column1072]]</f>
        <v>99.42</v>
      </c>
      <c r="AOG13">
        <f>SOFR3mo_PX[[#This Row],[Column1073]]</f>
        <v>99.415000000000006</v>
      </c>
      <c r="AOH13">
        <f>SOFR3mo_PX[[#This Row],[Column1074]]</f>
        <v>99.38</v>
      </c>
      <c r="AOI13">
        <f>SOFR3mo_PX[[#This Row],[Column1075]]</f>
        <v>99.465000000000003</v>
      </c>
      <c r="AOJ13">
        <f>SOFR3mo_PX[[#This Row],[Column1076]]</f>
        <v>99.484999999999999</v>
      </c>
      <c r="AOK13">
        <f>SOFR3mo_PX[[#This Row],[Column1077]]</f>
        <v>99.484999999999999</v>
      </c>
      <c r="AOL13">
        <f>SOFR3mo_PX[[#This Row],[Column1078]]</f>
        <v>99.424999999999997</v>
      </c>
      <c r="AOM13">
        <f>SOFR3mo_PX[[#This Row],[Column1079]]</f>
        <v>99.415000000000006</v>
      </c>
      <c r="AON13">
        <f>SOFR3mo_PX[[#This Row],[Column1080]]</f>
        <v>99.405000000000001</v>
      </c>
      <c r="AOO13">
        <f>SOFR3mo_PX[[#This Row],[Column1081]]</f>
        <v>99.385000000000005</v>
      </c>
      <c r="AOP13">
        <f>SOFR3mo_PX[[#This Row],[Column1082]]</f>
        <v>99.36</v>
      </c>
      <c r="AOQ13">
        <f>SOFR3mo_PX[[#This Row],[Column1083]]</f>
        <v>99.355000000000004</v>
      </c>
      <c r="AOR13">
        <f>SOFR3mo_PX[[#This Row],[Column1084]]</f>
        <v>99.35</v>
      </c>
      <c r="AOS13">
        <f>SOFR3mo_PX[[#This Row],[Column1085]]</f>
        <v>99.334999999999994</v>
      </c>
      <c r="AOT13">
        <f>SOFR3mo_PX[[#This Row],[Column1086]]</f>
        <v>99.36</v>
      </c>
      <c r="AOU13">
        <f>SOFR3mo_PX[[#This Row],[Column1087]]</f>
        <v>99.37</v>
      </c>
      <c r="AOV13">
        <f>SOFR3mo_PX[[#This Row],[Column1088]]</f>
        <v>99.394999999999996</v>
      </c>
      <c r="AOW13">
        <f>SOFR3mo_PX[[#This Row],[Column1089]]</f>
        <v>99.394999999999996</v>
      </c>
      <c r="AOX13">
        <f>SOFR3mo_PX[[#This Row],[Column1090]]</f>
        <v>99.415000000000006</v>
      </c>
      <c r="AOY13">
        <f>SOFR3mo_PX[[#This Row],[Column1091]]</f>
        <v>99.39</v>
      </c>
      <c r="AOZ13">
        <f>SOFR3mo_PX[[#This Row],[Column1092]]</f>
        <v>99.375</v>
      </c>
      <c r="APA13">
        <f>SOFR3mo_PX[[#This Row],[Column1093]]</f>
        <v>99.4</v>
      </c>
      <c r="APB13">
        <f>SOFR3mo_PX[[#This Row],[Column1094]]</f>
        <v>99.33</v>
      </c>
      <c r="APC13">
        <f>SOFR3mo_PX[[#This Row],[Column1095]]</f>
        <v>99.35</v>
      </c>
      <c r="APD13">
        <f>SOFR3mo_PX[[#This Row],[Column1096]]</f>
        <v>99.275000000000006</v>
      </c>
      <c r="APE13">
        <f>SOFR3mo_PX[[#This Row],[Column1097]]</f>
        <v>99.31</v>
      </c>
      <c r="APF13">
        <f>SOFR3mo_PX[[#This Row],[Column1098]]</f>
        <v>99.334999999999994</v>
      </c>
      <c r="APG13">
        <f>SOFR3mo_PX[[#This Row],[Column1099]]</f>
        <v>99.32</v>
      </c>
      <c r="APH13">
        <f>SOFR3mo_PX[[#This Row],[Column1100]]</f>
        <v>99.284999999999997</v>
      </c>
      <c r="API13">
        <f>SOFR3mo_PX[[#This Row],[Column1101]]</f>
        <v>99.194999999999993</v>
      </c>
      <c r="APJ13">
        <f>SOFR3mo_PX[[#This Row],[Column1102]]</f>
        <v>99.16</v>
      </c>
      <c r="APK13">
        <f>SOFR3mo_PX[[#This Row],[Column1103]]</f>
        <v>99.254999999999995</v>
      </c>
      <c r="APL13">
        <f>SOFR3mo_PX[[#This Row],[Column1104]]</f>
        <v>99.234999999999999</v>
      </c>
      <c r="APM13">
        <f>SOFR3mo_PX[[#This Row],[Column1105]]</f>
        <v>99.26</v>
      </c>
      <c r="APN13">
        <f>SOFR3mo_PX[[#This Row],[Column1106]]</f>
        <v>99.28</v>
      </c>
      <c r="APO13">
        <f>SOFR3mo_PX[[#This Row],[Column1107]]</f>
        <v>99.344999999999999</v>
      </c>
      <c r="APP13">
        <f>SOFR3mo_PX[[#This Row],[Column1108]]</f>
        <v>99.385000000000005</v>
      </c>
      <c r="APQ13">
        <f>SOFR3mo_PX[[#This Row],[Column1109]]</f>
        <v>99.37</v>
      </c>
      <c r="APR13">
        <f>SOFR3mo_PX[[#This Row],[Column1110]]</f>
        <v>99.35</v>
      </c>
      <c r="APS13">
        <f>SOFR3mo_PX[[#This Row],[Column1111]]</f>
        <v>99.334999999999994</v>
      </c>
      <c r="APT13">
        <f>SOFR3mo_PX[[#This Row],[Column1112]]</f>
        <v>99.32</v>
      </c>
      <c r="APU13">
        <f>SOFR3mo_PX[[#This Row],[Column1113]]</f>
        <v>99.344999999999999</v>
      </c>
      <c r="APV13">
        <f>SOFR3mo_PX[[#This Row],[Column1114]]</f>
        <v>99.4</v>
      </c>
      <c r="APW13">
        <f>SOFR3mo_PX[[#This Row],[Column1115]]</f>
        <v>99.484999999999999</v>
      </c>
      <c r="APX13">
        <f>SOFR3mo_PX[[#This Row],[Column1116]]</f>
        <v>99.47</v>
      </c>
      <c r="APY13">
        <f>SOFR3mo_PX[[#This Row],[Column1117]]</f>
        <v>99.454999999999998</v>
      </c>
      <c r="APZ13">
        <f>SOFR3mo_PX[[#This Row],[Column1118]]</f>
        <v>99.5</v>
      </c>
      <c r="AQA13">
        <f>SOFR3mo_PX[[#This Row],[Column1119]]</f>
        <v>99.504999999999995</v>
      </c>
      <c r="AQB13">
        <f>SOFR3mo_PX[[#This Row],[Column1120]]</f>
        <v>99.46</v>
      </c>
      <c r="AQC13">
        <f>SOFR3mo_PX[[#This Row],[Column1121]]</f>
        <v>99.43</v>
      </c>
      <c r="AQD13">
        <f>SOFR3mo_PX[[#This Row],[Column1122]]</f>
        <v>99.47</v>
      </c>
      <c r="AQE13">
        <f>SOFR3mo_PX[[#This Row],[Column1123]]</f>
        <v>99.454999999999998</v>
      </c>
      <c r="AQF13">
        <f>SOFR3mo_PX[[#This Row],[Column1124]]</f>
        <v>99.504999999999995</v>
      </c>
      <c r="AQG13">
        <f>SOFR3mo_PX[[#This Row],[Column1125]]</f>
        <v>99.555000000000007</v>
      </c>
      <c r="AQH13">
        <f>SOFR3mo_PX[[#This Row],[Column1126]]</f>
        <v>99.53</v>
      </c>
      <c r="AQI13">
        <f>SOFR3mo_PX[[#This Row],[Column1127]]</f>
        <v>99.46</v>
      </c>
      <c r="AQJ13">
        <f>SOFR3mo_PX[[#This Row],[Column1128]]</f>
        <v>99.465000000000003</v>
      </c>
      <c r="AQK13">
        <f>SOFR3mo_PX[[#This Row],[Column1129]]</f>
        <v>99.635000000000005</v>
      </c>
      <c r="AQL13">
        <f>SOFR3mo_PX[[#This Row],[Column1130]]</f>
        <v>99.655000000000001</v>
      </c>
      <c r="AQM13">
        <f>SOFR3mo_PX[[#This Row],[Column1131]]</f>
        <v>99.65</v>
      </c>
      <c r="AQN13">
        <f>SOFR3mo_PX[[#This Row],[Column1132]]</f>
        <v>99.674999999999997</v>
      </c>
      <c r="AQO13">
        <f>SOFR3mo_PX[[#This Row],[Column1133]]</f>
        <v>99.694999999999993</v>
      </c>
      <c r="AQP13">
        <f>SOFR3mo_PX[[#This Row],[Column1134]]</f>
        <v>99.69</v>
      </c>
      <c r="AQQ13">
        <f>SOFR3mo_PX[[#This Row],[Column1135]]</f>
        <v>99.69</v>
      </c>
      <c r="AQR13">
        <f>SOFR3mo_PX[[#This Row],[Column1136]]</f>
        <v>99.745000000000005</v>
      </c>
      <c r="AQS13">
        <f>SOFR3mo_PX[[#This Row],[Column1137]]</f>
        <v>99.745000000000005</v>
      </c>
      <c r="AQT13">
        <f>SOFR3mo_PX[[#This Row],[Column1138]]</f>
        <v>99.76</v>
      </c>
      <c r="AQU13">
        <f>SOFR3mo_PX[[#This Row],[Column1139]]</f>
        <v>99.77</v>
      </c>
      <c r="AQV13">
        <f>SOFR3mo_PX[[#This Row],[Column1140]]</f>
        <v>99.754999999999995</v>
      </c>
      <c r="AQW13">
        <f>SOFR3mo_PX[[#This Row],[Column1141]]</f>
        <v>99.745000000000005</v>
      </c>
      <c r="AQX13">
        <f>SOFR3mo_PX[[#This Row],[Column1142]]</f>
        <v>99.76</v>
      </c>
      <c r="AQY13">
        <f>SOFR3mo_PX[[#This Row],[Column1143]]</f>
        <v>99.765000000000001</v>
      </c>
      <c r="AQZ13">
        <f>SOFR3mo_PX[[#This Row],[Column1144]]</f>
        <v>99.765000000000001</v>
      </c>
      <c r="ARA13">
        <f>SOFR3mo_PX[[#This Row],[Column1145]]</f>
        <v>99.78</v>
      </c>
      <c r="ARB13">
        <f>SOFR3mo_PX[[#This Row],[Column1146]]</f>
        <v>99.79</v>
      </c>
      <c r="ARC13">
        <f>SOFR3mo_PX[[#This Row],[Column1147]]</f>
        <v>99.784999999999997</v>
      </c>
      <c r="ARD13">
        <f>SOFR3mo_PX[[#This Row],[Column1148]]</f>
        <v>99.784999999999997</v>
      </c>
      <c r="ARE13">
        <f>SOFR3mo_PX[[#This Row],[Column1149]]</f>
        <v>99.805000000000007</v>
      </c>
      <c r="ARF13">
        <f>SOFR3mo_PX[[#This Row],[Column1150]]</f>
        <v>99.795000000000002</v>
      </c>
      <c r="ARG13">
        <f>SOFR3mo_PX[[#This Row],[Column1151]]</f>
        <v>99.8</v>
      </c>
      <c r="ARH13">
        <f>SOFR3mo_PX[[#This Row],[Column1152]]</f>
        <v>99.784999999999997</v>
      </c>
      <c r="ARI13">
        <f>SOFR3mo_PX[[#This Row],[Column1153]]</f>
        <v>99.78</v>
      </c>
      <c r="ARJ13">
        <f>SOFR3mo_PX[[#This Row],[Column1154]]</f>
        <v>99.784999999999997</v>
      </c>
      <c r="ARK13">
        <f>SOFR3mo_PX[[#This Row],[Column1155]]</f>
        <v>99.784999999999997</v>
      </c>
      <c r="ARL13">
        <f>SOFR3mo_PX[[#This Row],[Column1156]]</f>
        <v>99.775000000000006</v>
      </c>
      <c r="ARM13">
        <f>SOFR3mo_PX[[#This Row],[Column1157]]</f>
        <v>99.775000000000006</v>
      </c>
      <c r="ARN13">
        <f>SOFR3mo_PX[[#This Row],[Column1158]]</f>
        <v>99.765000000000001</v>
      </c>
      <c r="ARO13">
        <f>SOFR3mo_PX[[#This Row],[Column1159]]</f>
        <v>99.745000000000005</v>
      </c>
      <c r="ARP13">
        <f>SOFR3mo_PX[[#This Row],[Column1160]]</f>
        <v>99.72</v>
      </c>
      <c r="ARQ13">
        <f>SOFR3mo_PX[[#This Row],[Column1161]]</f>
        <v>99.72</v>
      </c>
      <c r="ARR13">
        <f>SOFR3mo_PX[[#This Row],[Column1162]]</f>
        <v>99.724999999999994</v>
      </c>
      <c r="ARS13">
        <f>SOFR3mo_PX[[#This Row],[Column1163]]</f>
        <v>99.76</v>
      </c>
      <c r="ART13">
        <f>SOFR3mo_PX[[#This Row],[Column1164]]</f>
        <v>99.8</v>
      </c>
      <c r="ARU13">
        <f>SOFR3mo_PX[[#This Row],[Column1165]]</f>
        <v>99.83</v>
      </c>
      <c r="ARV13">
        <f>SOFR3mo_PX[[#This Row],[Column1166]]</f>
        <v>99.834999999999994</v>
      </c>
      <c r="ARW13">
        <f>SOFR3mo_PX[[#This Row],[Column1167]]</f>
        <v>99.825000000000003</v>
      </c>
      <c r="ARX13">
        <f>SOFR3mo_PX[[#This Row],[Column1168]]</f>
        <v>99.825000000000003</v>
      </c>
      <c r="ARY13">
        <f>SOFR3mo_PX[[#This Row],[Column1169]]</f>
        <v>99.814999999999998</v>
      </c>
      <c r="ARZ13">
        <f>SOFR3mo_PX[[#This Row],[Column1170]]</f>
        <v>99.81</v>
      </c>
      <c r="ASA13">
        <f>SOFR3mo_PX[[#This Row],[Column1171]]</f>
        <v>99.814999999999998</v>
      </c>
      <c r="ASB13">
        <f>SOFR3mo_PX[[#This Row],[Column1172]]</f>
        <v>99.82</v>
      </c>
      <c r="ASC13">
        <f>SOFR3mo_PX[[#This Row],[Column1173]]</f>
        <v>99.82</v>
      </c>
      <c r="ASD13">
        <f>SOFR3mo_PX[[#This Row],[Column1174]]</f>
        <v>99.82</v>
      </c>
      <c r="ASE13">
        <f>SOFR3mo_PX[[#This Row],[Column1175]]</f>
        <v>99.825000000000003</v>
      </c>
      <c r="ASF13">
        <f>SOFR3mo_PX[[#This Row],[Column1176]]</f>
        <v>99.82</v>
      </c>
      <c r="ASG13">
        <f>SOFR3mo_PX[[#This Row],[Column1177]]</f>
        <v>99.82</v>
      </c>
      <c r="ASH13">
        <f>SOFR3mo_PX[[#This Row],[Column1178]]</f>
        <v>99.82</v>
      </c>
      <c r="ASI13">
        <f>SOFR3mo_PX[[#This Row],[Column1179]]</f>
        <v>99.83</v>
      </c>
      <c r="ASJ13">
        <f>SOFR3mo_PX[[#This Row],[Column1180]]</f>
        <v>99.87</v>
      </c>
      <c r="ASK13">
        <f>SOFR3mo_PX[[#This Row],[Column1181]]</f>
        <v>99.87</v>
      </c>
      <c r="ASL13">
        <f>SOFR3mo_PX[[#This Row],[Column1182]]</f>
        <v>99.87</v>
      </c>
      <c r="ASM13">
        <f>SOFR3mo_PX[[#This Row],[Column1183]]</f>
        <v>99.855000000000004</v>
      </c>
      <c r="ASN13">
        <f>SOFR3mo_PX[[#This Row],[Column1184]]</f>
        <v>99.844999999999999</v>
      </c>
      <c r="ASO13">
        <f>SOFR3mo_PX[[#This Row],[Column1185]]</f>
        <v>99.85</v>
      </c>
      <c r="ASP13">
        <f>SOFR3mo_PX[[#This Row],[Column1186]]</f>
        <v>99.85</v>
      </c>
      <c r="ASQ13">
        <f>SOFR3mo_PX[[#This Row],[Column1187]]</f>
        <v>99.834999999999994</v>
      </c>
      <c r="ASR13">
        <f>SOFR3mo_PX[[#This Row],[Column1188]]</f>
        <v>99.84</v>
      </c>
      <c r="ASS13">
        <f>SOFR3mo_PX[[#This Row],[Column1189]]</f>
        <v>99.84</v>
      </c>
      <c r="AST13">
        <f>SOFR3mo_PX[[#This Row],[Column1190]]</f>
        <v>99.84</v>
      </c>
      <c r="ASU13">
        <f>SOFR3mo_PX[[#This Row],[Column1191]]</f>
        <v>99.86</v>
      </c>
      <c r="ASV13">
        <f>SOFR3mo_PX[[#This Row],[Column1192]]</f>
        <v>99.864999999999995</v>
      </c>
      <c r="ASW13">
        <f>SOFR3mo_PX[[#This Row],[Column1193]]</f>
        <v>99.86</v>
      </c>
      <c r="ASX13">
        <f>SOFR3mo_PX[[#This Row],[Column1194]]</f>
        <v>99.86</v>
      </c>
      <c r="ASY13">
        <f>SOFR3mo_PX[[#This Row],[Column1195]]</f>
        <v>99.855000000000004</v>
      </c>
      <c r="ASZ13">
        <f>SOFR3mo_PX[[#This Row],[Column1196]]</f>
        <v>99.85</v>
      </c>
      <c r="ATA13">
        <f>SOFR3mo_PX[[#This Row],[Column1197]]</f>
        <v>99.864999999999995</v>
      </c>
      <c r="ATB13">
        <f>SOFR3mo_PX[[#This Row],[Column1198]]</f>
        <v>99.86</v>
      </c>
      <c r="ATC13">
        <f>SOFR3mo_PX[[#This Row],[Column1199]]</f>
        <v>99.86</v>
      </c>
      <c r="ATD13">
        <f>SOFR3mo_PX[[#This Row],[Column1200]]</f>
        <v>99.864999999999995</v>
      </c>
      <c r="ATE13">
        <f>SOFR3mo_PX[[#This Row],[Column1201]]</f>
        <v>99.855000000000004</v>
      </c>
      <c r="ATF13">
        <f>SOFR3mo_PX[[#This Row],[Column1202]]</f>
        <v>99.855000000000004</v>
      </c>
      <c r="ATG13">
        <f>SOFR3mo_PX[[#This Row],[Column1203]]</f>
        <v>99.85</v>
      </c>
      <c r="ATH13">
        <f>SOFR3mo_PX[[#This Row],[Column1204]]</f>
        <v>99.834999999999994</v>
      </c>
      <c r="ATI13">
        <f>SOFR3mo_PX[[#This Row],[Column1205]]</f>
        <v>99.834999999999994</v>
      </c>
      <c r="ATJ13">
        <f>SOFR3mo_PX[[#This Row],[Column1206]]</f>
        <v>99.855000000000004</v>
      </c>
      <c r="ATK13">
        <f>SOFR3mo_PX[[#This Row],[Column1207]]</f>
        <v>99.9</v>
      </c>
      <c r="ATL13">
        <f>SOFR3mo_PX[[#This Row],[Column1208]]</f>
        <v>99.905000000000001</v>
      </c>
      <c r="ATM13">
        <f>SOFR3mo_PX[[#This Row],[Column1209]]</f>
        <v>99.924999999999997</v>
      </c>
      <c r="ATN13">
        <f>SOFR3mo_PX[[#This Row],[Column1210]]</f>
        <v>99.894999999999996</v>
      </c>
      <c r="ATO13">
        <f>SOFR3mo_PX[[#This Row],[Column1211]]</f>
        <v>99.905000000000001</v>
      </c>
      <c r="ATP13">
        <f>SOFR3mo_PX[[#This Row],[Column1212]]</f>
        <v>99.9</v>
      </c>
      <c r="ATQ13">
        <f>SOFR3mo_PX[[#This Row],[Column1213]]</f>
        <v>99.905000000000001</v>
      </c>
      <c r="ATR13">
        <f>SOFR3mo_PX[[#This Row],[Column1214]]</f>
        <v>99.915000000000006</v>
      </c>
      <c r="ATS13">
        <f>SOFR3mo_PX[[#This Row],[Column1215]]</f>
        <v>99.915000000000006</v>
      </c>
      <c r="ATT13">
        <f>SOFR3mo_PX[[#This Row],[Column1216]]</f>
        <v>99.91</v>
      </c>
      <c r="ATU13">
        <f>SOFR3mo_PX[[#This Row],[Column1217]]</f>
        <v>99.9</v>
      </c>
      <c r="ATV13">
        <f>SOFR3mo_PX[[#This Row],[Column1218]]</f>
        <v>99.89</v>
      </c>
      <c r="ATW13">
        <f>SOFR3mo_PX[[#This Row],[Column1219]]</f>
        <v>99.91</v>
      </c>
      <c r="ATX13">
        <f>SOFR3mo_PX[[#This Row],[Column1220]]</f>
        <v>99.91</v>
      </c>
      <c r="ATY13">
        <f>SOFR3mo_PX[[#This Row],[Column1221]]</f>
        <v>99.92</v>
      </c>
      <c r="ATZ13">
        <f>SOFR3mo_PX[[#This Row],[Column1222]]</f>
        <v>99.93</v>
      </c>
      <c r="AUA13">
        <f>SOFR3mo_PX[[#This Row],[Column1223]]</f>
        <v>99.924999999999997</v>
      </c>
      <c r="AUB13">
        <f>SOFR3mo_PX[[#This Row],[Column1224]]</f>
        <v>99.93</v>
      </c>
      <c r="AUC13">
        <f>SOFR3mo_PX[[#This Row],[Column1225]]</f>
        <v>99.924999999999997</v>
      </c>
      <c r="AUD13">
        <f>SOFR3mo_PX[[#This Row],[Column1226]]</f>
        <v>99.91</v>
      </c>
      <c r="AUE13">
        <f>SOFR3mo_PX[[#This Row],[Column1227]]</f>
        <v>99.905000000000001</v>
      </c>
      <c r="AUF13">
        <f>SOFR3mo_PX[[#This Row],[Column1228]]</f>
        <v>99.92</v>
      </c>
      <c r="AUG13">
        <f>SOFR3mo_PX[[#This Row],[Column1229]]</f>
        <v>99.915000000000006</v>
      </c>
      <c r="AUH13">
        <f>SOFR3mo_PX[[#This Row],[Column1230]]</f>
        <v>99.94</v>
      </c>
      <c r="AUI13">
        <f>SOFR3mo_PX[[#This Row],[Column1231]]</f>
        <v>99.94</v>
      </c>
      <c r="AUJ13">
        <f>SOFR3mo_PX[[#This Row],[Column1232]]</f>
        <v>99.96</v>
      </c>
      <c r="AUK13">
        <f>SOFR3mo_PX[[#This Row],[Column1233]]</f>
        <v>99.96</v>
      </c>
      <c r="AUL13">
        <f>SOFR3mo_PX[[#This Row],[Column1234]]</f>
        <v>99.96</v>
      </c>
      <c r="AUM13">
        <f>SOFR3mo_PX[[#This Row],[Column1235]]</f>
        <v>99.965000000000003</v>
      </c>
      <c r="AUN13">
        <f>SOFR3mo_PX[[#This Row],[Column1236]]</f>
        <v>99.965000000000003</v>
      </c>
      <c r="AUO13">
        <f>SOFR3mo_PX[[#This Row],[Column1237]]</f>
        <v>99.974999999999994</v>
      </c>
      <c r="AUP13">
        <f>SOFR3mo_PX[[#This Row],[Column1238]]</f>
        <v>99.974999999999994</v>
      </c>
      <c r="AUQ13">
        <f>SOFR3mo_PX[[#This Row],[Column1239]]</f>
        <v>99.98</v>
      </c>
      <c r="AUR13">
        <f>SOFR3mo_PX[[#This Row],[Column1240]]</f>
        <v>99.98</v>
      </c>
      <c r="AUS13">
        <f>SOFR3mo_PX[[#This Row],[Column1241]]</f>
        <v>99.97</v>
      </c>
      <c r="AUT13">
        <f>SOFR3mo_PX[[#This Row],[Column1242]]</f>
        <v>99.95</v>
      </c>
      <c r="AUU13">
        <f>SOFR3mo_PX[[#This Row],[Column1243]]</f>
        <v>99.965000000000003</v>
      </c>
      <c r="AUV13">
        <f>SOFR3mo_PX[[#This Row],[Column1244]]</f>
        <v>99.96</v>
      </c>
      <c r="AUW13">
        <f>SOFR3mo_PX[[#This Row],[Column1245]]</f>
        <v>99.995000000000005</v>
      </c>
      <c r="AUX13">
        <f>SOFR3mo_PX[[#This Row],[Column1246]]</f>
        <v>100</v>
      </c>
      <c r="AUY13">
        <f>SOFR3mo_PX[[#This Row],[Column1247]]</f>
        <v>99.99</v>
      </c>
      <c r="AUZ13">
        <f>SOFR3mo_PX[[#This Row],[Column1248]]</f>
        <v>99.965000000000003</v>
      </c>
      <c r="AVA13">
        <f>SOFR3mo_PX[[#This Row],[Column1249]]</f>
        <v>99.96</v>
      </c>
      <c r="AVB13">
        <f>SOFR3mo_PX[[#This Row],[Column1250]]</f>
        <v>99.965000000000003</v>
      </c>
      <c r="AVC13">
        <f>SOFR3mo_PX[[#This Row],[Column1251]]</f>
        <v>99.954999999999998</v>
      </c>
      <c r="AVD13">
        <f>SOFR3mo_PX[[#This Row],[Column1252]]</f>
        <v>99.954999999999998</v>
      </c>
      <c r="AVE13">
        <f>SOFR3mo_PX[[#This Row],[Column1253]]</f>
        <v>99.984999999999999</v>
      </c>
      <c r="AVF13">
        <f>SOFR3mo_PX[[#This Row],[Column1254]]</f>
        <v>99.974999999999994</v>
      </c>
      <c r="AVG13">
        <f>SOFR3mo_PX[[#This Row],[Column1255]]</f>
        <v>99.984999999999999</v>
      </c>
      <c r="AVH13">
        <f>SOFR3mo_PX[[#This Row],[Column1256]]</f>
        <v>99.98</v>
      </c>
      <c r="AVI13">
        <f>SOFR3mo_PX[[#This Row],[Column1257]]</f>
        <v>99.974999999999994</v>
      </c>
      <c r="AVJ13">
        <f>SOFR3mo_PX[[#This Row],[Column1258]]</f>
        <v>99.954999999999998</v>
      </c>
      <c r="AVK13">
        <f>SOFR3mo_PX[[#This Row],[Column1259]]</f>
        <v>99.965000000000003</v>
      </c>
      <c r="AVL13">
        <f>SOFR3mo_PX[[#This Row],[Column1260]]</f>
        <v>99.97</v>
      </c>
      <c r="AVM13">
        <f>SOFR3mo_PX[[#This Row],[Column1261]]</f>
        <v>99.98</v>
      </c>
      <c r="AVN13">
        <f>SOFR3mo_PX[[#This Row],[Column1262]]</f>
        <v>99.974999999999994</v>
      </c>
      <c r="AVO13">
        <f>SOFR3mo_PX[[#This Row],[Column1263]]</f>
        <v>99.984999999999999</v>
      </c>
      <c r="AVP13">
        <f>SOFR3mo_PX[[#This Row],[Column1264]]</f>
        <v>99.984999999999999</v>
      </c>
      <c r="AVQ13">
        <f>SOFR3mo_PX[[#This Row],[Column1265]]</f>
        <v>99.974999999999994</v>
      </c>
      <c r="AVR13">
        <f>SOFR3mo_PX[[#This Row],[Column1266]]</f>
        <v>99.96</v>
      </c>
      <c r="AVS13">
        <f>SOFR3mo_PX[[#This Row],[Column1267]]</f>
        <v>99.95</v>
      </c>
      <c r="AVT13">
        <f>SOFR3mo_PX[[#This Row],[Column1268]]</f>
        <v>99.95</v>
      </c>
      <c r="AVU13">
        <f>SOFR3mo_PX[[#This Row],[Column1269]]</f>
        <v>99.954999999999998</v>
      </c>
      <c r="AVV13">
        <f>SOFR3mo_PX[[#This Row],[Column1270]]</f>
        <v>99.954999999999998</v>
      </c>
      <c r="AVW13">
        <f>SOFR3mo_PX[[#This Row],[Column1271]]</f>
        <v>99.99</v>
      </c>
      <c r="AVX13">
        <f>SOFR3mo_PX[[#This Row],[Column1272]]</f>
        <v>100</v>
      </c>
      <c r="AVY13">
        <f>SOFR3mo_PX[[#This Row],[Column1273]]</f>
        <v>100.02</v>
      </c>
      <c r="AVZ13">
        <f>SOFR3mo_PX[[#This Row],[Column1274]]</f>
        <v>100.02500000000001</v>
      </c>
      <c r="AWA13">
        <f>SOFR3mo_PX[[#This Row],[Column1275]]</f>
        <v>100.035</v>
      </c>
      <c r="AWB13">
        <f>SOFR3mo_PX[[#This Row],[Column1276]]</f>
        <v>100.02500000000001</v>
      </c>
      <c r="AWC13">
        <f>SOFR3mo_PX[[#This Row],[Column1277]]</f>
        <v>100.02</v>
      </c>
      <c r="AWD13">
        <f>SOFR3mo_PX[[#This Row],[Column1278]]</f>
        <v>100.015</v>
      </c>
      <c r="AWE13">
        <f>SOFR3mo_PX[[#This Row],[Column1279]]</f>
        <v>99.995000000000005</v>
      </c>
      <c r="AWF13">
        <f>SOFR3mo_PX[[#This Row],[Column1280]]</f>
        <v>99.984999999999999</v>
      </c>
      <c r="AWG13">
        <f>SOFR3mo_PX[[#This Row],[Column1281]]</f>
        <v>99.98</v>
      </c>
      <c r="AWH13">
        <f>SOFR3mo_PX[[#This Row],[Column1282]]</f>
        <v>99.99</v>
      </c>
      <c r="AWI13">
        <f>SOFR3mo_PX[[#This Row],[Column1283]]</f>
        <v>99.995000000000005</v>
      </c>
      <c r="AWJ13">
        <f>SOFR3mo_PX[[#This Row],[Column1284]]</f>
        <v>99.995000000000005</v>
      </c>
      <c r="AWK13">
        <f>SOFR3mo_PX[[#This Row],[Column1285]]</f>
        <v>99.99</v>
      </c>
      <c r="AWL13">
        <f>SOFR3mo_PX[[#This Row],[Column1286]]</f>
        <v>99.984999999999999</v>
      </c>
      <c r="AWM13">
        <f>SOFR3mo_PX[[#This Row],[Column1287]]</f>
        <v>99.98</v>
      </c>
      <c r="AWN13">
        <f>SOFR3mo_PX[[#This Row],[Column1288]]</f>
        <v>99.98</v>
      </c>
      <c r="AWO13">
        <f>SOFR3mo_PX[[#This Row],[Column1289]]</f>
        <v>99.974999999999994</v>
      </c>
      <c r="AWP13">
        <f>SOFR3mo_PX[[#This Row],[Column1290]]</f>
        <v>99.984999999999999</v>
      </c>
      <c r="AWQ13">
        <f>SOFR3mo_PX[[#This Row],[Column1291]]</f>
        <v>99.984999999999999</v>
      </c>
      <c r="AWR13">
        <f>SOFR3mo_PX[[#This Row],[Column1292]]</f>
        <v>99.984999999999999</v>
      </c>
      <c r="AWS13">
        <f>SOFR3mo_PX[[#This Row],[Column1293]]</f>
        <v>100</v>
      </c>
      <c r="AWT13">
        <f>SOFR3mo_PX[[#This Row],[Column1294]]</f>
        <v>99.984999999999999</v>
      </c>
      <c r="AWU13">
        <f>SOFR3mo_PX[[#This Row],[Column1295]]</f>
        <v>99.98</v>
      </c>
      <c r="AWV13">
        <f>SOFR3mo_PX[[#This Row],[Column1296]]</f>
        <v>99.974999999999994</v>
      </c>
      <c r="AWW13">
        <f>SOFR3mo_PX[[#This Row],[Column1297]]</f>
        <v>99.974999999999994</v>
      </c>
      <c r="AWX13">
        <f>SOFR3mo_PX[[#This Row],[Column1298]]</f>
        <v>99.974999999999994</v>
      </c>
      <c r="AWY13">
        <f>SOFR3mo_PX[[#This Row],[Column1299]]</f>
        <v>99.965000000000003</v>
      </c>
      <c r="AWZ13">
        <f>SOFR3mo_PX[[#This Row],[Column1300]]</f>
        <v>99.984999999999999</v>
      </c>
      <c r="AXA13">
        <f>SOFR3mo_PX[[#This Row],[Column1301]]</f>
        <v>99.984999999999999</v>
      </c>
      <c r="AXB13">
        <f>SOFR3mo_PX[[#This Row],[Column1302]]</f>
        <v>99.974999999999994</v>
      </c>
      <c r="AXC13">
        <f>SOFR3mo_PX[[#This Row],[Column1303]]</f>
        <v>99.954999999999998</v>
      </c>
      <c r="AXD13">
        <f>SOFR3mo_PX[[#This Row],[Column1304]]</f>
        <v>99.954999999999998</v>
      </c>
      <c r="AXE13">
        <f>SOFR3mo_PX[[#This Row],[Column1305]]</f>
        <v>99.954999999999998</v>
      </c>
      <c r="AXF13">
        <f>SOFR3mo_PX[[#This Row],[Column1306]]</f>
        <v>99.95</v>
      </c>
      <c r="AXG13">
        <f>SOFR3mo_PX[[#This Row],[Column1307]]</f>
        <v>99.94</v>
      </c>
      <c r="AXH13">
        <f>SOFR3mo_PX[[#This Row],[Column1308]]</f>
        <v>99.92</v>
      </c>
      <c r="AXI13">
        <f>SOFR3mo_PX[[#This Row],[Column1309]]</f>
        <v>99.915000000000006</v>
      </c>
      <c r="AXJ13">
        <f>SOFR3mo_PX[[#This Row],[Column1310]]</f>
        <v>99.92</v>
      </c>
      <c r="AXK13">
        <f>SOFR3mo_PX[[#This Row],[Column1311]]</f>
        <v>99.935000000000002</v>
      </c>
      <c r="AXL13">
        <f>SOFR3mo_PX[[#This Row],[Column1312]]</f>
        <v>99.924999999999997</v>
      </c>
      <c r="AXM13">
        <f>SOFR3mo_PX[[#This Row],[Column1313]]</f>
        <v>99.935000000000002</v>
      </c>
      <c r="AXN13">
        <f>SOFR3mo_PX[[#This Row],[Column1314]]</f>
        <v>99.91</v>
      </c>
      <c r="AXO13">
        <f>SOFR3mo_PX[[#This Row],[Column1315]]</f>
        <v>99.86</v>
      </c>
      <c r="AXP13">
        <f>SOFR3mo_PX[[#This Row],[Column1316]]</f>
        <v>99.825000000000003</v>
      </c>
      <c r="AXQ13">
        <f>SOFR3mo_PX[[#This Row],[Column1317]]</f>
        <v>99.82</v>
      </c>
      <c r="AXR13">
        <f>SOFR3mo_PX[[#This Row],[Column1318]]</f>
        <v>99.885000000000005</v>
      </c>
      <c r="AXS13">
        <f>SOFR3mo_PX[[#This Row],[Column1319]]</f>
        <v>99.9</v>
      </c>
      <c r="AXT13">
        <f>SOFR3mo_PX[[#This Row],[Column1320]]</f>
        <v>99.935000000000002</v>
      </c>
      <c r="AXU13">
        <f>SOFR3mo_PX[[#This Row],[Column1321]]</f>
        <v>99.94</v>
      </c>
      <c r="AXV13">
        <f>SOFR3mo_PX[[#This Row],[Column1322]]</f>
        <v>99.93</v>
      </c>
      <c r="AXW13">
        <f>SOFR3mo_PX[[#This Row],[Column1323]]</f>
        <v>99.91</v>
      </c>
      <c r="AXX13">
        <f>SOFR3mo_PX[[#This Row],[Column1324]]</f>
        <v>99.915000000000006</v>
      </c>
      <c r="AXY13">
        <f>SOFR3mo_PX[[#This Row],[Column1325]]</f>
        <v>99.92</v>
      </c>
      <c r="AXZ13">
        <f>SOFR3mo_PX[[#This Row],[Column1326]]</f>
        <v>99.924999999999997</v>
      </c>
      <c r="AYA13">
        <f>SOFR3mo_PX[[#This Row],[Column1327]]</f>
        <v>99.924999999999997</v>
      </c>
      <c r="AYB13">
        <f>SOFR3mo_PX[[#This Row],[Column1328]]</f>
        <v>99.92</v>
      </c>
      <c r="AYC13">
        <f>SOFR3mo_PX[[#This Row],[Column1329]]</f>
        <v>99.92</v>
      </c>
      <c r="AYD13">
        <f>SOFR3mo_PX[[#This Row],[Column1330]]</f>
        <v>99.92</v>
      </c>
      <c r="AYE13">
        <f>SOFR3mo_PX[[#This Row],[Column1331]]</f>
        <v>99.92</v>
      </c>
      <c r="AYF13">
        <f>SOFR3mo_PX[[#This Row],[Column1332]]</f>
        <v>99.965000000000003</v>
      </c>
      <c r="AYG13">
        <f>SOFR3mo_PX[[#This Row],[Column1333]]</f>
        <v>99.94</v>
      </c>
      <c r="AYH13">
        <f>SOFR3mo_PX[[#This Row],[Column1334]]</f>
        <v>99.93</v>
      </c>
      <c r="AYI13">
        <f>SOFR3mo_PX[[#This Row],[Column1335]]</f>
        <v>99.91</v>
      </c>
      <c r="AYJ13">
        <f>SOFR3mo_PX[[#This Row],[Column1336]]</f>
        <v>99.905000000000001</v>
      </c>
      <c r="AYK13">
        <f>SOFR3mo_PX[[#This Row],[Column1337]]</f>
        <v>99.924999999999997</v>
      </c>
      <c r="AYL13">
        <f>SOFR3mo_PX[[#This Row],[Column1338]]</f>
        <v>99.935000000000002</v>
      </c>
      <c r="AYM13">
        <f>SOFR3mo_PX[[#This Row],[Column1339]]</f>
        <v>99.88</v>
      </c>
      <c r="AYN13">
        <f>SOFR3mo_PX[[#This Row],[Column1340]]</f>
        <v>99.86</v>
      </c>
      <c r="AYO13">
        <f>SOFR3mo_PX[[#This Row],[Column1341]]</f>
        <v>99.86</v>
      </c>
      <c r="AYP13">
        <f>SOFR3mo_PX[[#This Row],[Column1342]]</f>
        <v>99.844999999999999</v>
      </c>
      <c r="AYQ13">
        <f>SOFR3mo_PX[[#This Row],[Column1343]]</f>
        <v>99.85</v>
      </c>
      <c r="AYR13">
        <f>SOFR3mo_PX[[#This Row],[Column1344]]</f>
        <v>99.84</v>
      </c>
      <c r="AYS13">
        <f>SOFR3mo_PX[[#This Row],[Column1345]]</f>
        <v>99.825000000000003</v>
      </c>
      <c r="AYT13">
        <f>SOFR3mo_PX[[#This Row],[Column1346]]</f>
        <v>99.82</v>
      </c>
      <c r="AYU13">
        <f>SOFR3mo_PX[[#This Row],[Column1347]]</f>
        <v>99.83</v>
      </c>
      <c r="AYV13">
        <f>SOFR3mo_PX[[#This Row],[Column1348]]</f>
        <v>99.83</v>
      </c>
      <c r="AYW13">
        <f>SOFR3mo_PX[[#This Row],[Column1349]]</f>
        <v>99.825000000000003</v>
      </c>
      <c r="AYX13">
        <f>SOFR3mo_PX[[#This Row],[Column1350]]</f>
        <v>99.834999999999994</v>
      </c>
      <c r="AYY13">
        <f>SOFR3mo_PX[[#This Row],[Column1351]]</f>
        <v>99.814999999999998</v>
      </c>
      <c r="AYZ13">
        <f>SOFR3mo_PX[[#This Row],[Column1352]]</f>
        <v>99.805000000000007</v>
      </c>
      <c r="AZA13">
        <f>SOFR3mo_PX[[#This Row],[Column1353]]</f>
        <v>99.79</v>
      </c>
      <c r="AZB13">
        <f>SOFR3mo_PX[[#This Row],[Column1354]]</f>
        <v>99.78</v>
      </c>
      <c r="AZC13">
        <f>SOFR3mo_PX[[#This Row],[Column1355]]</f>
        <v>99.75</v>
      </c>
      <c r="AZD13">
        <f>SOFR3mo_PX[[#This Row],[Column1356]]</f>
        <v>99.734999999999999</v>
      </c>
      <c r="AZE13">
        <f>SOFR3mo_PX[[#This Row],[Column1357]]</f>
        <v>99.745000000000005</v>
      </c>
      <c r="AZF13">
        <f>SOFR3mo_PX[[#This Row],[Column1358]]</f>
        <v>99.745000000000005</v>
      </c>
      <c r="AZG13">
        <f>SOFR3mo_PX[[#This Row],[Column1359]]</f>
        <v>99.724999999999994</v>
      </c>
      <c r="AZH13">
        <f>SOFR3mo_PX[[#This Row],[Column1360]]</f>
        <v>99.71</v>
      </c>
      <c r="AZI13">
        <f>SOFR3mo_PX[[#This Row],[Column1361]]</f>
        <v>99.754999999999995</v>
      </c>
      <c r="AZJ13">
        <f>SOFR3mo_PX[[#This Row],[Column1362]]</f>
        <v>99.814999999999998</v>
      </c>
      <c r="AZK13">
        <f>SOFR3mo_PX[[#This Row],[Column1363]]</f>
        <v>99.81</v>
      </c>
      <c r="AZL13">
        <f>SOFR3mo_PX[[#This Row],[Column1364]]</f>
        <v>99.825000000000003</v>
      </c>
      <c r="AZM13">
        <f>SOFR3mo_PX[[#This Row],[Column1365]]</f>
        <v>99.8</v>
      </c>
      <c r="AZN13">
        <f>SOFR3mo_PX[[#This Row],[Column1366]]</f>
        <v>99.83</v>
      </c>
      <c r="AZO13">
        <f>SOFR3mo_PX[[#This Row],[Column1367]]</f>
        <v>99.784999999999997</v>
      </c>
      <c r="AZP13">
        <f>SOFR3mo_PX[[#This Row],[Column1368]]</f>
        <v>99.765000000000001</v>
      </c>
      <c r="AZQ13">
        <f>SOFR3mo_PX[[#This Row],[Column1369]]</f>
        <v>99.734999999999999</v>
      </c>
      <c r="AZR13">
        <f>SOFR3mo_PX[[#This Row],[Column1370]]</f>
        <v>99.73</v>
      </c>
      <c r="AZS13">
        <f>SOFR3mo_PX[[#This Row],[Column1371]]</f>
        <v>99.79</v>
      </c>
      <c r="AZT13">
        <f>SOFR3mo_PX[[#This Row],[Column1372]]</f>
        <v>99.71</v>
      </c>
      <c r="AZU13">
        <f>SOFR3mo_PX[[#This Row],[Column1373]]</f>
        <v>99.65</v>
      </c>
      <c r="AZV13">
        <f>SOFR3mo_PX[[#This Row],[Column1374]]</f>
        <v>99.545000000000002</v>
      </c>
      <c r="AZW13">
        <f>SOFR3mo_PX[[#This Row],[Column1375]]</f>
        <v>99.69</v>
      </c>
      <c r="AZX13">
        <f>SOFR3mo_PX[[#This Row],[Column1376]]</f>
        <v>99.74</v>
      </c>
      <c r="AZY13">
        <f>SOFR3mo_PX[[#This Row],[Column1377]]</f>
        <v>99.665000000000006</v>
      </c>
      <c r="AZZ13">
        <f>SOFR3mo_PX[[#This Row],[Column1378]]</f>
        <v>99.694999999999993</v>
      </c>
      <c r="BAA13">
        <f>SOFR3mo_PX[[#This Row],[Column1379]]</f>
        <v>99.625</v>
      </c>
      <c r="BAB13">
        <f>SOFR3mo_PX[[#This Row],[Column1380]]</f>
        <v>99.61</v>
      </c>
      <c r="BAC13">
        <f>SOFR3mo_PX[[#This Row],[Column1381]]</f>
        <v>99.73</v>
      </c>
      <c r="BAD13">
        <f>SOFR3mo_PX[[#This Row],[Column1382]]</f>
        <v>99.655000000000001</v>
      </c>
      <c r="BAE13">
        <f>SOFR3mo_PX[[#This Row],[Column1383]]</f>
        <v>99.57</v>
      </c>
      <c r="BAF13">
        <f>SOFR3mo_PX[[#This Row],[Column1384]]</f>
        <v>99.52</v>
      </c>
      <c r="BAG13">
        <f>SOFR3mo_PX[[#This Row],[Column1385]]</f>
        <v>99.454999999999998</v>
      </c>
      <c r="BAH13">
        <f>SOFR3mo_PX[[#This Row],[Column1386]]</f>
        <v>99.385000000000005</v>
      </c>
      <c r="BAI13">
        <f>SOFR3mo_PX[[#This Row],[Column1387]]</f>
        <v>99.385000000000005</v>
      </c>
      <c r="BAJ13">
        <f>SOFR3mo_PX[[#This Row],[Column1388]]</f>
        <v>99.185000000000002</v>
      </c>
      <c r="BAK13">
        <f>SOFR3mo_PX[[#This Row],[Column1389]]</f>
        <v>99.125</v>
      </c>
      <c r="BAL13">
        <f>SOFR3mo_PX[[#This Row],[Column1390]]</f>
        <v>99.135000000000005</v>
      </c>
      <c r="BAM13">
        <f>SOFR3mo_PX[[#This Row],[Column1391]]</f>
        <v>99.08</v>
      </c>
      <c r="BAN13">
        <f>SOFR3mo_PX[[#This Row],[Column1392]]</f>
        <v>98.97</v>
      </c>
      <c r="BAO13">
        <f>SOFR3mo_PX[[#This Row],[Column1393]]</f>
        <v>98.905000000000001</v>
      </c>
      <c r="BAP13">
        <f>SOFR3mo_PX[[#This Row],[Column1394]]</f>
        <v>98.86</v>
      </c>
      <c r="BAQ13">
        <f>SOFR3mo_PX[[#This Row],[Column1395]]</f>
        <v>98.885000000000005</v>
      </c>
      <c r="BAR13">
        <f>SOFR3mo_PX[[#This Row],[Column1396]]</f>
        <v>98.855000000000004</v>
      </c>
      <c r="BAS13">
        <f>SOFR3mo_PX[[#This Row],[Column1397]]</f>
        <v>98.855000000000004</v>
      </c>
      <c r="BAT13">
        <f>SOFR3mo_PX[[#This Row],[Column1398]]</f>
        <v>98.82</v>
      </c>
      <c r="BAU13">
        <f>SOFR3mo_PX[[#This Row],[Column1399]]</f>
        <v>98.82</v>
      </c>
      <c r="BAV13">
        <f>SOFR3mo_PX[[#This Row],[Column1400]]</f>
        <v>98.86</v>
      </c>
      <c r="BAW13">
        <f>SOFR3mo_PX[[#This Row],[Column1401]]</f>
        <v>98.89</v>
      </c>
      <c r="BAX13">
        <f>SOFR3mo_PX[[#This Row],[Column1402]]</f>
        <v>98.855000000000004</v>
      </c>
      <c r="BAY13">
        <f>SOFR3mo_PX[[#This Row],[Column1403]]</f>
        <v>98.8</v>
      </c>
      <c r="BAZ13">
        <f>SOFR3mo_PX[[#This Row],[Column1404]]</f>
        <v>98.82</v>
      </c>
      <c r="BBA13">
        <f>SOFR3mo_PX[[#This Row],[Column1405]]</f>
        <v>98.86</v>
      </c>
      <c r="BBB13">
        <f>SOFR3mo_PX[[#This Row],[Column1406]]</f>
        <v>98.944999999999993</v>
      </c>
      <c r="BBC13">
        <f>SOFR3mo_PX[[#This Row],[Column1407]]</f>
        <v>98.96</v>
      </c>
      <c r="BBD13">
        <f>SOFR3mo_PX[[#This Row],[Column1408]]</f>
        <v>98.905000000000001</v>
      </c>
      <c r="BBE13">
        <f>SOFR3mo_PX[[#This Row],[Column1409]]</f>
        <v>98.86</v>
      </c>
      <c r="BBF13">
        <f>SOFR3mo_PX[[#This Row],[Column1410]]</f>
        <v>98.81</v>
      </c>
      <c r="BBG13">
        <f>SOFR3mo_PX[[#This Row],[Column1411]]</f>
        <v>98.844999999999999</v>
      </c>
      <c r="BBH13">
        <f>SOFR3mo_PX[[#This Row],[Column1412]]</f>
        <v>98.76</v>
      </c>
      <c r="BBI13">
        <f>SOFR3mo_PX[[#This Row],[Column1413]]</f>
        <v>98.704999999999998</v>
      </c>
      <c r="BBJ13">
        <f>SOFR3mo_PX[[#This Row],[Column1414]]</f>
        <v>98.685000000000002</v>
      </c>
      <c r="BBK13">
        <f>SOFR3mo_PX[[#This Row],[Column1415]]</f>
        <v>98.67</v>
      </c>
      <c r="BBL13">
        <f>SOFR3mo_PX[[#This Row],[Column1416]]</f>
        <v>98.614999999999995</v>
      </c>
      <c r="BBM13">
        <f>SOFR3mo_PX[[#This Row],[Column1417]]</f>
        <v>98.614999999999995</v>
      </c>
      <c r="BBN13">
        <f>SOFR3mo_PX[[#This Row],[Column1418]]</f>
        <v>98.63</v>
      </c>
      <c r="BBO13">
        <f>SOFR3mo_PX[[#This Row],[Column1419]]</f>
        <v>98.64</v>
      </c>
      <c r="BBP13">
        <f>SOFR3mo_PX[[#This Row],[Column1420]]</f>
        <v>98.63</v>
      </c>
      <c r="BBQ13">
        <f>SOFR3mo_PX[[#This Row],[Column1421]]</f>
        <v>98.614999999999995</v>
      </c>
      <c r="BBR13">
        <f>SOFR3mo_PX[[#This Row],[Column1422]]</f>
        <v>98.62</v>
      </c>
      <c r="BBS13">
        <f>SOFR3mo_PX[[#This Row],[Column1423]]</f>
        <v>98.605000000000004</v>
      </c>
      <c r="BBT13">
        <f>SOFR3mo_PX[[#This Row],[Column1424]]</f>
        <v>98.6</v>
      </c>
      <c r="BBU13">
        <f>SOFR3mo_PX[[#This Row],[Column1425]]</f>
        <v>98.644999999999996</v>
      </c>
      <c r="BBV13">
        <f>SOFR3mo_PX[[#This Row],[Column1426]]</f>
        <v>98.655000000000001</v>
      </c>
      <c r="BBW13">
        <f>SOFR3mo_PX[[#This Row],[Column1427]]</f>
        <v>98.66</v>
      </c>
      <c r="BBX13">
        <f>SOFR3mo_PX[[#This Row],[Column1428]]</f>
        <v>98.57</v>
      </c>
      <c r="BBY13">
        <f>SOFR3mo_PX[[#This Row],[Column1429]]</f>
        <v>98.56</v>
      </c>
      <c r="BBZ13">
        <f>SOFR3mo_PX[[#This Row],[Column1430]]</f>
        <v>98.56</v>
      </c>
      <c r="BCA13">
        <f>SOFR3mo_PX[[#This Row],[Column1431]]</f>
        <v>98.564999999999998</v>
      </c>
      <c r="BCB13">
        <f>SOFR3mo_PX[[#This Row],[Column1432]]</f>
        <v>98.564999999999998</v>
      </c>
      <c r="BCC13">
        <f>SOFR3mo_PX[[#This Row],[Column1433]]</f>
        <v>98.525000000000006</v>
      </c>
      <c r="BCD13">
        <f>SOFR3mo_PX[[#This Row],[Column1434]]</f>
        <v>98.525000000000006</v>
      </c>
      <c r="BCE13">
        <f>SOFR3mo_PX[[#This Row],[Column1435]]</f>
        <v>98.525000000000006</v>
      </c>
      <c r="BCF13">
        <f>SOFR3mo_PX[[#This Row],[Column1436]]</f>
        <v>98.504999999999995</v>
      </c>
      <c r="BCG13">
        <f>SOFR3mo_PX[[#This Row],[Column1437]]</f>
        <v>98.545000000000002</v>
      </c>
      <c r="BCH13">
        <f>SOFR3mo_PX[[#This Row],[Column1438]]</f>
        <v>98.56</v>
      </c>
      <c r="BCI13">
        <f>SOFR3mo_PX[[#This Row],[Column1439]]</f>
        <v>98.54</v>
      </c>
      <c r="BCJ13">
        <f>SOFR3mo_PX[[#This Row],[Column1440]]</f>
        <v>98.575000000000003</v>
      </c>
      <c r="BCK13">
        <f>SOFR3mo_PX[[#This Row],[Column1441]]</f>
        <v>98.584999999999994</v>
      </c>
      <c r="BCL13">
        <f>SOFR3mo_PX[[#This Row],[Column1442]]</f>
        <v>98.66</v>
      </c>
      <c r="BCM13">
        <f>SOFR3mo_PX[[#This Row],[Column1443]]</f>
        <v>98.58</v>
      </c>
      <c r="BCN13">
        <f>SOFR3mo_PX[[#This Row],[Column1444]]</f>
        <v>98.665000000000006</v>
      </c>
      <c r="BCO13">
        <f>SOFR3mo_PX[[#This Row],[Column1445]]</f>
        <v>98.625</v>
      </c>
      <c r="BCP13">
        <f>SOFR3mo_PX[[#This Row],[Column1446]]</f>
        <v>98.64</v>
      </c>
      <c r="BCQ13">
        <f>SOFR3mo_PX[[#This Row],[Column1447]]</f>
        <v>98.65</v>
      </c>
      <c r="BCR13">
        <f>SOFR3mo_PX[[#This Row],[Column1448]]</f>
        <v>98.71</v>
      </c>
      <c r="BCS13">
        <f>SOFR3mo_PX[[#This Row],[Column1449]]</f>
        <v>98.724999999999994</v>
      </c>
      <c r="BCT13">
        <f>SOFR3mo_PX[[#This Row],[Column1450]]</f>
        <v>98.8</v>
      </c>
      <c r="BCU13">
        <f>SOFR3mo_PX[[#This Row],[Column1451]]</f>
        <v>98.68</v>
      </c>
      <c r="BCV13">
        <f>SOFR3mo_PX[[#This Row],[Column1452]]</f>
        <v>98.715000000000003</v>
      </c>
      <c r="BCW13">
        <f>SOFR3mo_PX[[#This Row],[Column1453]]</f>
        <v>98.704999999999998</v>
      </c>
      <c r="BCX13">
        <f>SOFR3mo_PX[[#This Row],[Column1454]]</f>
        <v>98.704999999999998</v>
      </c>
      <c r="BCY13">
        <f>SOFR3mo_PX[[#This Row],[Column1455]]</f>
        <v>98.745000000000005</v>
      </c>
      <c r="BCZ13">
        <f>SOFR3mo_PX[[#This Row],[Column1456]]</f>
        <v>98.734999999999999</v>
      </c>
      <c r="BDA13">
        <f>SOFR3mo_PX[[#This Row],[Column1457]]</f>
        <v>98.72</v>
      </c>
      <c r="BDB13">
        <f>SOFR3mo_PX[[#This Row],[Column1458]]</f>
        <v>98.74</v>
      </c>
      <c r="BDC13">
        <f>SOFR3mo_PX[[#This Row],[Column1459]]</f>
        <v>98.77</v>
      </c>
      <c r="BDD13">
        <f>SOFR3mo_PX[[#This Row],[Column1460]]</f>
        <v>98.734999999999999</v>
      </c>
      <c r="BDE13">
        <f>SOFR3mo_PX[[#This Row],[Column1461]]</f>
        <v>98.71</v>
      </c>
      <c r="BDF13">
        <f>SOFR3mo_PX[[#This Row],[Column1462]]</f>
        <v>98.685000000000002</v>
      </c>
      <c r="BDG13">
        <f>SOFR3mo_PX[[#This Row],[Column1463]]</f>
        <v>98.694999999999993</v>
      </c>
      <c r="BDH13">
        <f>SOFR3mo_PX[[#This Row],[Column1464]]</f>
        <v>98.644999999999996</v>
      </c>
      <c r="BDI13">
        <f>SOFR3mo_PX[[#This Row],[Column1465]]</f>
        <v>98.594999999999999</v>
      </c>
      <c r="BDJ13">
        <f>SOFR3mo_PX[[#This Row],[Column1466]]</f>
        <v>98.564999999999998</v>
      </c>
      <c r="BDK13">
        <f>SOFR3mo_PX[[#This Row],[Column1467]]</f>
        <v>98.575000000000003</v>
      </c>
      <c r="BDL13">
        <f>SOFR3mo_PX[[#This Row],[Column1468]]</f>
        <v>98.56</v>
      </c>
      <c r="BDM13">
        <f>SOFR3mo_PX[[#This Row],[Column1469]]</f>
        <v>98.67</v>
      </c>
      <c r="BDN13">
        <f>SOFR3mo_PX[[#This Row],[Column1470]]</f>
        <v>98.644999999999996</v>
      </c>
      <c r="BDO13">
        <f>SOFR3mo_PX[[#This Row],[Column1471]]</f>
        <v>98.704999999999998</v>
      </c>
      <c r="BDP13">
        <f>SOFR3mo_PX[[#This Row],[Column1472]]</f>
        <v>98.754999999999995</v>
      </c>
      <c r="BDQ13">
        <f>SOFR3mo_PX[[#This Row],[Column1473]]</f>
        <v>98.825000000000003</v>
      </c>
      <c r="BDR13">
        <f>SOFR3mo_PX[[#This Row],[Column1474]]</f>
        <v>98.7</v>
      </c>
      <c r="BDS13">
        <f>SOFR3mo_PX[[#This Row],[Column1475]]</f>
        <v>98.68</v>
      </c>
      <c r="BDT13">
        <f>SOFR3mo_PX[[#This Row],[Column1476]]</f>
        <v>98.685000000000002</v>
      </c>
      <c r="BDU13">
        <f>SOFR3mo_PX[[#This Row],[Column1477]]</f>
        <v>98.715000000000003</v>
      </c>
      <c r="BDV13">
        <f>SOFR3mo_PX[[#This Row],[Column1478]]</f>
        <v>98.76</v>
      </c>
      <c r="BDW13">
        <f>SOFR3mo_PX[[#This Row],[Column1479]]</f>
        <v>98.77</v>
      </c>
      <c r="BDX13">
        <f>SOFR3mo_PX[[#This Row],[Column1480]]</f>
        <v>98.75</v>
      </c>
      <c r="BDY13">
        <f>SOFR3mo_PX[[#This Row],[Column1481]]</f>
        <v>98.724999999999994</v>
      </c>
      <c r="BDZ13">
        <f>SOFR3mo_PX[[#This Row],[Column1482]]</f>
        <v>98.765000000000001</v>
      </c>
      <c r="BEA13">
        <f>SOFR3mo_PX[[#This Row],[Column1483]]</f>
        <v>98.74</v>
      </c>
      <c r="BEB13">
        <f>SOFR3mo_PX[[#This Row],[Column1484]]</f>
        <v>98.765000000000001</v>
      </c>
      <c r="BEC13">
        <f>SOFR3mo_PX[[#This Row],[Column1485]]</f>
        <v>98.724999999999994</v>
      </c>
      <c r="BED13">
        <f>SOFR3mo_PX[[#This Row],[Column1486]]</f>
        <v>98.78</v>
      </c>
      <c r="BEE13">
        <f>SOFR3mo_PX[[#This Row],[Column1487]]</f>
        <v>98.76</v>
      </c>
      <c r="BEF13">
        <f>SOFR3mo_PX[[#This Row],[Column1488]]</f>
        <v>98.89</v>
      </c>
      <c r="BEG13">
        <f>SOFR3mo_PX[[#This Row],[Column1489]]</f>
        <v>98.954999999999998</v>
      </c>
      <c r="BEH13">
        <f>SOFR3mo_PX[[#This Row],[Column1490]]</f>
        <v>99.01</v>
      </c>
      <c r="BEI13">
        <f>SOFR3mo_PX[[#This Row],[Column1491]]</f>
        <v>98.98</v>
      </c>
      <c r="BEJ13">
        <f>SOFR3mo_PX[[#This Row],[Column1492]]</f>
        <v>99.05</v>
      </c>
      <c r="BEK13">
        <f>SOFR3mo_PX[[#This Row],[Column1493]]</f>
        <v>99.06</v>
      </c>
      <c r="BEL13">
        <f>SOFR3mo_PX[[#This Row],[Column1494]]</f>
        <v>98.96</v>
      </c>
      <c r="BEM13">
        <f>SOFR3mo_PX[[#This Row],[Column1495]]</f>
        <v>98.885000000000005</v>
      </c>
      <c r="BEN13">
        <f>SOFR3mo_PX[[#This Row],[Column1496]]</f>
        <v>98.814999999999998</v>
      </c>
      <c r="BEO13">
        <f>SOFR3mo_PX[[#This Row],[Column1497]]</f>
        <v>98.825000000000003</v>
      </c>
      <c r="BEP13">
        <f>SOFR3mo_PX[[#This Row],[Column1498]]</f>
        <v>98.814999999999998</v>
      </c>
      <c r="BEQ13">
        <f>SOFR3mo_PX[[#This Row],[Column1499]]</f>
        <v>98.8</v>
      </c>
      <c r="BER13">
        <f>SOFR3mo_PX[[#This Row],[Column1500]]</f>
        <v>98.9</v>
      </c>
      <c r="BES13">
        <f>SOFR3mo_PX[[#This Row],[Column1501]]</f>
        <v>98.805000000000007</v>
      </c>
      <c r="BET13">
        <f>SOFR3mo_PX[[#This Row],[Column1502]]</f>
        <v>98.765000000000001</v>
      </c>
      <c r="BEU13">
        <f>SOFR3mo_PX[[#This Row],[Column1503]]</f>
        <v>98.78</v>
      </c>
      <c r="BEV13">
        <f>SOFR3mo_PX[[#This Row],[Column1504]]</f>
        <v>98.745000000000005</v>
      </c>
      <c r="BEW13">
        <f>SOFR3mo_PX[[#This Row],[Column1505]]</f>
        <v>98.72</v>
      </c>
      <c r="BEX13">
        <f>SOFR3mo_PX[[#This Row],[Column1506]]</f>
        <v>98.68</v>
      </c>
      <c r="BEY13">
        <f>SOFR3mo_PX[[#This Row],[Column1507]]</f>
        <v>98.62</v>
      </c>
      <c r="BEZ13">
        <f>SOFR3mo_PX[[#This Row],[Column1508]]</f>
        <v>98.715000000000003</v>
      </c>
      <c r="BFA13">
        <f>SOFR3mo_PX[[#This Row],[Column1509]]</f>
        <v>98.8</v>
      </c>
      <c r="BFB13">
        <f>SOFR3mo_PX[[#This Row],[Column1510]]</f>
        <v>98.825000000000003</v>
      </c>
      <c r="BFC13">
        <f>SOFR3mo_PX[[#This Row],[Column1511]]</f>
        <v>98.924999999999997</v>
      </c>
      <c r="BFD13">
        <f>SOFR3mo_PX[[#This Row],[Column1512]]</f>
        <v>99</v>
      </c>
      <c r="BFE13">
        <f>SOFR3mo_PX[[#This Row],[Column1513]]</f>
        <v>99.004999999999995</v>
      </c>
      <c r="BFF13">
        <f>SOFR3mo_PX[[#This Row],[Column1514]]</f>
        <v>99.135000000000005</v>
      </c>
      <c r="BFG13">
        <f>SOFR3mo_PX[[#This Row],[Column1515]]</f>
        <v>99.094999999999999</v>
      </c>
      <c r="BFH13">
        <f>SOFR3mo_PX[[#This Row],[Column1516]]</f>
        <v>99.015000000000001</v>
      </c>
      <c r="BFI13">
        <f>SOFR3mo_PX[[#This Row],[Column1517]]</f>
        <v>99.015000000000001</v>
      </c>
      <c r="BFJ13">
        <f>SOFR3mo_PX[[#This Row],[Column1518]]</f>
        <v>98.99</v>
      </c>
      <c r="BFK13">
        <f>SOFR3mo_PX[[#This Row],[Column1519]]</f>
        <v>99.03</v>
      </c>
      <c r="BFL13">
        <f>SOFR3mo_PX[[#This Row],[Column1520]]</f>
        <v>98.984999999999999</v>
      </c>
      <c r="BFM13">
        <f>SOFR3mo_PX[[#This Row],[Column1521]]</f>
        <v>98.94</v>
      </c>
      <c r="BFN13">
        <f>SOFR3mo_PX[[#This Row],[Column1522]]</f>
        <v>98.965000000000003</v>
      </c>
      <c r="BFO13">
        <f>SOFR3mo_PX[[#This Row],[Column1523]]</f>
        <v>98.86</v>
      </c>
      <c r="BFP13">
        <f>SOFR3mo_PX[[#This Row],[Column1524]]</f>
        <v>98.89</v>
      </c>
      <c r="BFQ13">
        <f>SOFR3mo_PX[[#This Row],[Column1525]]</f>
        <v>98.924999999999997</v>
      </c>
      <c r="BFR13">
        <f>SOFR3mo_PX[[#This Row],[Column1526]]</f>
        <v>98.885000000000005</v>
      </c>
      <c r="BFS13">
        <f>SOFR3mo_PX[[#This Row],[Column1527]]</f>
        <v>98.944999999999993</v>
      </c>
      <c r="BFT13">
        <f>SOFR3mo_PX[[#This Row],[Column1528]]</f>
        <v>98.94</v>
      </c>
      <c r="BFU13">
        <f>SOFR3mo_PX[[#This Row],[Column1529]]</f>
        <v>98.87</v>
      </c>
      <c r="BFV13">
        <f>SOFR3mo_PX[[#This Row],[Column1530]]</f>
        <v>98.784999999999997</v>
      </c>
      <c r="BFW13">
        <f>SOFR3mo_PX[[#This Row],[Column1531]]</f>
        <v>98.89</v>
      </c>
      <c r="BFX13">
        <f>SOFR3mo_PX[[#This Row],[Column1532]]</f>
        <v>98.81</v>
      </c>
      <c r="BFY13">
        <f>SOFR3mo_PX[[#This Row],[Column1533]]</f>
        <v>98.855000000000004</v>
      </c>
      <c r="BFZ13">
        <f>SOFR3mo_PX[[#This Row],[Column1534]]</f>
        <v>98.93</v>
      </c>
      <c r="BGA13">
        <f>SOFR3mo_PX[[#This Row],[Column1535]]</f>
        <v>98.834999999999994</v>
      </c>
      <c r="BGB13">
        <f>SOFR3mo_PX[[#This Row],[Column1536]]</f>
        <v>98.9</v>
      </c>
      <c r="BGC13">
        <f>SOFR3mo_PX[[#This Row],[Column1537]]</f>
        <v>98.685000000000002</v>
      </c>
      <c r="BGD13">
        <f>SOFR3mo_PX[[#This Row],[Column1538]]</f>
        <v>98.665000000000006</v>
      </c>
      <c r="BGE13">
        <f>SOFR3mo_PX[[#This Row],[Column1539]]</f>
        <v>98.474999999999994</v>
      </c>
      <c r="BGF13">
        <f>SOFR3mo_PX[[#This Row],[Column1540]]</f>
        <v>98.52</v>
      </c>
      <c r="BGG13">
        <f>SOFR3mo_PX[[#This Row],[Column1541]]</f>
        <v>98.53</v>
      </c>
      <c r="BGH13">
        <f>SOFR3mo_PX[[#This Row],[Column1542]]</f>
        <v>98.51</v>
      </c>
      <c r="BGI13">
        <f>SOFR3mo_PX[[#This Row],[Column1543]]</f>
        <v>98.534999999999997</v>
      </c>
      <c r="BGJ13">
        <f>SOFR3mo_PX[[#This Row],[Column1544]]</f>
        <v>98.56</v>
      </c>
      <c r="BGK13">
        <f>SOFR3mo_PX[[#This Row],[Column1545]]</f>
        <v>98.555000000000007</v>
      </c>
      <c r="BGL13">
        <f>SOFR3mo_PX[[#This Row],[Column1546]]</f>
        <v>98.584999999999994</v>
      </c>
      <c r="BGM13">
        <f>SOFR3mo_PX[[#This Row],[Column1547]]</f>
        <v>98.564999999999998</v>
      </c>
      <c r="BGN13">
        <f>SOFR3mo_PX[[#This Row],[Column1548]]</f>
        <v>98.614999999999995</v>
      </c>
      <c r="BGO13">
        <f>SOFR3mo_PX[[#This Row],[Column1549]]</f>
        <v>98.53</v>
      </c>
      <c r="BGP13">
        <f>SOFR3mo_PX[[#This Row],[Column1550]]</f>
        <v>98.474999999999994</v>
      </c>
      <c r="BGQ13">
        <f>SOFR3mo_PX[[#This Row],[Column1551]]</f>
        <v>98.504999999999995</v>
      </c>
      <c r="BGR13">
        <f>SOFR3mo_PX[[#This Row],[Column1552]]</f>
        <v>98.5</v>
      </c>
      <c r="BGS13">
        <f>SOFR3mo_PX[[#This Row],[Column1553]]</f>
        <v>98.484999999999999</v>
      </c>
      <c r="BGT13">
        <f>SOFR3mo_PX[[#This Row],[Column1554]]</f>
        <v>98.534999999999997</v>
      </c>
      <c r="BGU13">
        <f>SOFR3mo_PX[[#This Row],[Column1555]]</f>
        <v>98.495000000000005</v>
      </c>
      <c r="BGV13">
        <f>SOFR3mo_PX[[#This Row],[Column1556]]</f>
        <v>98.515000000000001</v>
      </c>
      <c r="BGW13">
        <f>SOFR3mo_PX[[#This Row],[Column1557]]</f>
        <v>98.51</v>
      </c>
      <c r="BGX13">
        <f>SOFR3mo_PX[[#This Row],[Column1558]]</f>
        <v>98.594999999999999</v>
      </c>
      <c r="BGY13">
        <f>SOFR3mo_PX[[#This Row],[Column1559]]</f>
        <v>98.594999999999999</v>
      </c>
      <c r="BGZ13">
        <f>SOFR3mo_PX[[#This Row],[Column1560]]</f>
        <v>98.59</v>
      </c>
      <c r="BHA13">
        <f>SOFR3mo_PX[[#This Row],[Column1561]]</f>
        <v>98.54</v>
      </c>
      <c r="BHB13">
        <f>SOFR3mo_PX[[#This Row],[Column1562]]</f>
        <v>98.584999999999994</v>
      </c>
      <c r="BHC13">
        <f>SOFR3mo_PX[[#This Row],[Column1563]]</f>
        <v>98.6</v>
      </c>
      <c r="BHD13">
        <f>SOFR3mo_PX[[#This Row],[Column1564]]</f>
        <v>98.57</v>
      </c>
      <c r="BHE13">
        <f>SOFR3mo_PX[[#This Row],[Column1565]]</f>
        <v>98.655000000000001</v>
      </c>
      <c r="BHF13">
        <f>SOFR3mo_PX[[#This Row],[Column1566]]</f>
        <v>98.63</v>
      </c>
      <c r="BHG13">
        <f>SOFR3mo_PX[[#This Row],[Column1567]]</f>
        <v>98.58</v>
      </c>
      <c r="BHH13">
        <f>SOFR3mo_PX[[#This Row],[Column1568]]</f>
        <v>98.635000000000005</v>
      </c>
      <c r="BHI13">
        <f>SOFR3mo_PX[[#This Row],[Column1569]]</f>
        <v>98.64</v>
      </c>
      <c r="BHJ13">
        <f>SOFR3mo_PX[[#This Row],[Column1570]]</f>
        <v>98.545000000000002</v>
      </c>
      <c r="BHK13">
        <f>SOFR3mo_PX[[#This Row],[Column1571]]</f>
        <v>98.545000000000002</v>
      </c>
      <c r="BHL13">
        <f>SOFR3mo_PX[[#This Row],[Column1572]]</f>
        <v>98.564999999999998</v>
      </c>
      <c r="BHM13">
        <f>SOFR3mo_PX[[#This Row],[Column1573]]</f>
        <v>98.57</v>
      </c>
      <c r="BHN13">
        <f>SOFR3mo_PX[[#This Row],[Column1574]]</f>
        <v>98.5</v>
      </c>
      <c r="BHO13">
        <f>SOFR3mo_PX[[#This Row],[Column1575]]</f>
        <v>98.45</v>
      </c>
      <c r="BHP13">
        <f>SOFR3mo_PX[[#This Row],[Column1576]]</f>
        <v>98.444999999999993</v>
      </c>
      <c r="BHQ13">
        <f>SOFR3mo_PX[[#This Row],[Column1577]]</f>
        <v>98.484999999999999</v>
      </c>
      <c r="BHR13">
        <f>SOFR3mo_PX[[#This Row],[Column1578]]</f>
        <v>98.47</v>
      </c>
      <c r="BHS13">
        <f>SOFR3mo_PX[[#This Row],[Column1579]]</f>
        <v>98.545000000000002</v>
      </c>
      <c r="BHT13">
        <f>SOFR3mo_PX[[#This Row],[Column1580]]</f>
        <v>98.525000000000006</v>
      </c>
      <c r="BHU13">
        <f>SOFR3mo_PX[[#This Row],[Column1581]]</f>
        <v>98.57</v>
      </c>
      <c r="BHV13">
        <f>SOFR3mo_PX[[#This Row],[Column1582]]</f>
        <v>98.5</v>
      </c>
      <c r="BHW13">
        <f>SOFR3mo_PX[[#This Row],[Column1583]]</f>
        <v>98.36</v>
      </c>
      <c r="BHX13">
        <f>SOFR3mo_PX[[#This Row],[Column1584]]</f>
        <v>98.364999999999995</v>
      </c>
      <c r="BHY13">
        <f>SOFR3mo_PX[[#This Row],[Column1585]]</f>
        <v>98.33</v>
      </c>
      <c r="BHZ13">
        <f>SOFR3mo_PX[[#This Row],[Column1586]]</f>
        <v>98.275000000000006</v>
      </c>
      <c r="BIA13">
        <f>SOFR3mo_PX[[#This Row],[Column1587]]</f>
        <v>98.275000000000006</v>
      </c>
      <c r="BIB13">
        <f>SOFR3mo_PX[[#This Row],[Column1588]]</f>
        <v>98.305000000000007</v>
      </c>
      <c r="BIC13">
        <f>SOFR3mo_PX[[#This Row],[Column1589]]</f>
        <v>98.17</v>
      </c>
      <c r="BID13">
        <f>SOFR3mo_PX[[#This Row],[Column1590]]</f>
        <v>98.135000000000005</v>
      </c>
      <c r="BIE13">
        <f>SOFR3mo_PX[[#This Row],[Column1591]]</f>
        <v>98.165000000000006</v>
      </c>
      <c r="BIF13">
        <f>SOFR3mo_PX[[#This Row],[Column1592]]</f>
        <v>98.19</v>
      </c>
      <c r="BIG13">
        <f>SOFR3mo_PX[[#This Row],[Column1593]]</f>
        <v>98.18</v>
      </c>
      <c r="BIH13">
        <f>SOFR3mo_PX[[#This Row],[Column1594]]</f>
        <v>98.224999999999994</v>
      </c>
      <c r="BII13">
        <f>SOFR3mo_PX[[#This Row],[Column1595]]</f>
        <v>98.174999999999997</v>
      </c>
      <c r="BIJ13">
        <f>SOFR3mo_PX[[#This Row],[Column1596]]</f>
        <v>98.185000000000002</v>
      </c>
      <c r="BIK13">
        <f>SOFR3mo_PX[[#This Row],[Column1597]]</f>
        <v>98.11</v>
      </c>
      <c r="BIL13">
        <f>SOFR3mo_PX[[#This Row],[Column1598]]</f>
        <v>98.094999999999999</v>
      </c>
      <c r="BIM13">
        <f>SOFR3mo_PX[[#This Row],[Column1599]]</f>
        <v>98.06</v>
      </c>
      <c r="BIN13">
        <f>SOFR3mo_PX[[#This Row],[Column1600]]</f>
        <v>98.09</v>
      </c>
      <c r="BIO13">
        <f>SOFR3mo_PX[[#This Row],[Column1601]]</f>
        <v>98.034999999999997</v>
      </c>
      <c r="BIP13">
        <f>SOFR3mo_PX[[#This Row],[Column1602]]</f>
        <v>97.995000000000005</v>
      </c>
      <c r="BIQ13">
        <f>SOFR3mo_PX[[#This Row],[Column1603]]</f>
        <v>97.99</v>
      </c>
      <c r="BIR13">
        <f>SOFR3mo_PX[[#This Row],[Column1604]]</f>
        <v>98.05</v>
      </c>
      <c r="BIS13">
        <f>SOFR3mo_PX[[#This Row],[Column1605]]</f>
        <v>98.09</v>
      </c>
      <c r="BIT13">
        <f>SOFR3mo_PX[[#This Row],[Column1606]]</f>
        <v>98.064999999999998</v>
      </c>
      <c r="BIU13">
        <f>SOFR3mo_PX[[#This Row],[Column1607]]</f>
        <v>98.07</v>
      </c>
      <c r="BIV13">
        <f>SOFR3mo_PX[[#This Row],[Column1608]]</f>
        <v>98.02</v>
      </c>
      <c r="BIW13">
        <f>SOFR3mo_PX[[#This Row],[Column1609]]</f>
        <v>98.034999999999997</v>
      </c>
      <c r="BIX13">
        <f>SOFR3mo_PX[[#This Row],[Column1610]]</f>
        <v>97.98</v>
      </c>
      <c r="BIY13">
        <f>SOFR3mo_PX[[#This Row],[Column1611]]</f>
        <v>97.96</v>
      </c>
      <c r="BIZ13">
        <f>SOFR3mo_PX[[#This Row],[Column1612]]</f>
        <v>97.96</v>
      </c>
      <c r="BJA13">
        <f>SOFR3mo_PX[[#This Row],[Column1613]]</f>
        <v>97.96</v>
      </c>
      <c r="BJB13">
        <f>SOFR3mo_PX[[#This Row],[Column1614]]</f>
        <v>97.935000000000002</v>
      </c>
      <c r="BJC13">
        <f>SOFR3mo_PX[[#This Row],[Column1615]]</f>
        <v>97.93</v>
      </c>
      <c r="BJD13">
        <f>SOFR3mo_PX[[#This Row],[Column1616]]</f>
        <v>97.96</v>
      </c>
      <c r="BJE13">
        <f>SOFR3mo_PX[[#This Row],[Column1617]]</f>
        <v>97.954999999999998</v>
      </c>
      <c r="BJF13">
        <f>SOFR3mo_PX[[#This Row],[Column1618]]</f>
        <v>98.03</v>
      </c>
      <c r="BJG13">
        <f>SOFR3mo_PX[[#This Row],[Column1619]]</f>
        <v>98.064999999999998</v>
      </c>
      <c r="BJH13">
        <f>SOFR3mo_PX[[#This Row],[Column1620]]</f>
        <v>98.03</v>
      </c>
      <c r="BJI13">
        <f>SOFR3mo_PX[[#This Row],[Column1621]]</f>
        <v>97.995000000000005</v>
      </c>
      <c r="BJJ13">
        <f>SOFR3mo_PX[[#This Row],[Column1622]]</f>
        <v>98.004999999999995</v>
      </c>
      <c r="BJK13">
        <f>SOFR3mo_PX[[#This Row],[Column1623]]</f>
        <v>98.015000000000001</v>
      </c>
      <c r="BJL13">
        <f>SOFR3mo_PX[[#This Row],[Column1624]]</f>
        <v>98.025000000000006</v>
      </c>
      <c r="BJM13">
        <f>SOFR3mo_PX[[#This Row],[Column1625]]</f>
        <v>98.045000000000002</v>
      </c>
      <c r="BJN13">
        <f>SOFR3mo_PX[[#This Row],[Column1626]]</f>
        <v>98.034999999999997</v>
      </c>
      <c r="BJO13">
        <f>SOFR3mo_PX[[#This Row],[Column1627]]</f>
        <v>98.114999999999995</v>
      </c>
      <c r="BJP13">
        <f>SOFR3mo_PX[[#This Row],[Column1628]]</f>
        <v>98.19</v>
      </c>
      <c r="BJQ13">
        <f>SOFR3mo_PX[[#This Row],[Column1629]]</f>
        <v>98.224999999999994</v>
      </c>
      <c r="BJR13">
        <f>SOFR3mo_PX[[#This Row],[Column1630]]</f>
        <v>98.174999999999997</v>
      </c>
      <c r="BJS13">
        <f>SOFR3mo_PX[[#This Row],[Column1631]]</f>
        <v>98.204999999999998</v>
      </c>
      <c r="BJT13">
        <f>SOFR3mo_PX[[#This Row],[Column1632]]</f>
        <v>98.1</v>
      </c>
      <c r="BJU13">
        <f>SOFR3mo_PX[[#This Row],[Column1633]]</f>
        <v>97.984999999999999</v>
      </c>
      <c r="BJV13">
        <f>SOFR3mo_PX[[#This Row],[Column1634]]</f>
        <v>97.965000000000003</v>
      </c>
      <c r="BJW13">
        <f>SOFR3mo_PX[[#This Row],[Column1635]]</f>
        <v>97.875</v>
      </c>
      <c r="BJX13">
        <f>SOFR3mo_PX[[#This Row],[Column1636]]</f>
        <v>97.89</v>
      </c>
      <c r="BJY13">
        <f>SOFR3mo_PX[[#This Row],[Column1637]]</f>
        <v>97.894999999999996</v>
      </c>
      <c r="BJZ13">
        <f>SOFR3mo_PX[[#This Row],[Column1638]]</f>
        <v>97.864999999999995</v>
      </c>
      <c r="BKA13">
        <f>SOFR3mo_PX[[#This Row],[Column1639]]</f>
        <v>97.87</v>
      </c>
      <c r="BKB13">
        <f>SOFR3mo_PX[[#This Row],[Column1640]]</f>
        <v>97.85</v>
      </c>
      <c r="BKC13">
        <f>SOFR3mo_PX[[#This Row],[Column1641]]</f>
        <v>97.82</v>
      </c>
      <c r="BKD13">
        <f>SOFR3mo_PX[[#This Row],[Column1642]]</f>
        <v>97.83</v>
      </c>
      <c r="BKE13">
        <f>SOFR3mo_PX[[#This Row],[Column1643]]</f>
        <v>97.814999999999998</v>
      </c>
      <c r="BKF13">
        <f>SOFR3mo_PX[[#This Row],[Column1644]]</f>
        <v>97.74</v>
      </c>
      <c r="BKG13">
        <f>SOFR3mo_PX[[#This Row],[Column1645]]</f>
        <v>97.704999999999998</v>
      </c>
      <c r="BKH13">
        <f>SOFR3mo_PX[[#This Row],[Column1646]]</f>
        <v>97.71</v>
      </c>
      <c r="BKI13">
        <f>SOFR3mo_PX[[#This Row],[Column1647]]</f>
        <v>97.7</v>
      </c>
      <c r="BKJ13">
        <f>SOFR3mo_PX[[#This Row],[Column1648]]</f>
        <v>97.77</v>
      </c>
      <c r="BKK13">
        <f>SOFR3mo_PX[[#This Row],[Column1649]]</f>
        <v>97.79</v>
      </c>
      <c r="BKL13">
        <f>SOFR3mo_PX[[#This Row],[Column1650]]</f>
        <v>97.814999999999998</v>
      </c>
      <c r="BKM13">
        <f>SOFR3mo_PX[[#This Row],[Column1651]]</f>
        <v>97.784999999999997</v>
      </c>
      <c r="BKN13">
        <f>SOFR3mo_PX[[#This Row],[Column1652]]</f>
        <v>97.79</v>
      </c>
      <c r="BKO13">
        <f>SOFR3mo_PX[[#This Row],[Column1653]]</f>
        <v>97.745000000000005</v>
      </c>
      <c r="BKP13">
        <f>SOFR3mo_PX[[#This Row],[Column1654]]</f>
        <v>97.784999999999997</v>
      </c>
      <c r="BKQ13">
        <f>SOFR3mo_PX[[#This Row],[Column1655]]</f>
        <v>97.78</v>
      </c>
      <c r="BKR13">
        <f>SOFR3mo_PX[[#This Row],[Column1656]]</f>
        <v>97.765000000000001</v>
      </c>
      <c r="BKS13">
        <f>SOFR3mo_PX[[#This Row],[Column1657]]</f>
        <v>97.765000000000001</v>
      </c>
      <c r="BKT13">
        <f>SOFR3mo_PX[[#This Row],[Column1658]]</f>
        <v>97.77</v>
      </c>
      <c r="BKU13">
        <f>SOFR3mo_PX[[#This Row],[Column1659]]</f>
        <v>97.73</v>
      </c>
      <c r="BKV13">
        <f>SOFR3mo_PX[[#This Row],[Column1660]]</f>
        <v>97.79</v>
      </c>
      <c r="BKW13">
        <f>SOFR3mo_PX[[#This Row],[Column1661]]</f>
        <v>97.82</v>
      </c>
      <c r="BKX13">
        <f>SOFR3mo_PX[[#This Row],[Column1662]]</f>
        <v>97.844999999999999</v>
      </c>
      <c r="BKY13">
        <f>SOFR3mo_PX[[#This Row],[Column1663]]</f>
        <v>97.81</v>
      </c>
      <c r="BKZ13">
        <f>SOFR3mo_PX[[#This Row],[Column1664]]</f>
        <v>97.754999999999995</v>
      </c>
      <c r="BLA13">
        <f>SOFR3mo_PX[[#This Row],[Column1665]]</f>
        <v>97.745000000000005</v>
      </c>
      <c r="BLB13">
        <f>SOFR3mo_PX[[#This Row],[Column1666]]</f>
        <v>97.74</v>
      </c>
      <c r="BLC13">
        <f>SOFR3mo_PX[[#This Row],[Column1667]]</f>
        <v>97.76</v>
      </c>
      <c r="BLD13">
        <f>SOFR3mo_PX[[#This Row],[Column1668]]</f>
        <v>97.784999999999997</v>
      </c>
      <c r="BLE13">
        <f>SOFR3mo_PX[[#This Row],[Column1669]]</f>
        <v>97.715000000000003</v>
      </c>
      <c r="BLF13">
        <f>SOFR3mo_PX[[#This Row],[Column1670]]</f>
        <v>97.665000000000006</v>
      </c>
      <c r="BLG13">
        <f>SOFR3mo_PX[[#This Row],[Column1671]]</f>
        <v>97.66</v>
      </c>
      <c r="BLH13">
        <f>SOFR3mo_PX[[#This Row],[Column1672]]</f>
        <v>97.65</v>
      </c>
      <c r="BLI13">
        <f>SOFR3mo_PX[[#This Row],[Column1673]]</f>
        <v>97.674999999999997</v>
      </c>
      <c r="BLJ13">
        <f>SOFR3mo_PX[[#This Row],[Column1674]]</f>
        <v>97.66</v>
      </c>
      <c r="BLK13">
        <f>SOFR3mo_PX[[#This Row],[Column1675]]</f>
        <v>97.665000000000006</v>
      </c>
      <c r="BLL13">
        <f>SOFR3mo_PX[[#This Row],[Column1676]]</f>
        <v>97.62</v>
      </c>
      <c r="BLM13">
        <f>SOFR3mo_PX[[#This Row],[Column1677]]</f>
        <v>97.62</v>
      </c>
      <c r="BLN13">
        <f>SOFR3mo_PX[[#This Row],[Column1678]]</f>
        <v>97.69</v>
      </c>
      <c r="BLO13">
        <f>SOFR3mo_PX[[#This Row],[Column1679]]</f>
        <v>97.72</v>
      </c>
      <c r="BLP13">
        <f>SOFR3mo_PX[[#This Row],[Column1680]]</f>
        <v>97.745000000000005</v>
      </c>
      <c r="BLQ13">
        <f>SOFR3mo_PX[[#This Row],[Column1681]]</f>
        <v>97.734999999999999</v>
      </c>
      <c r="BLR13">
        <f>SOFR3mo_PX[[#This Row],[Column1682]]</f>
        <v>97.74</v>
      </c>
      <c r="BLS13">
        <f>SOFR3mo_PX[[#This Row],[Column1683]]</f>
        <v>97.724999999999994</v>
      </c>
      <c r="BLT13">
        <f>SOFR3mo_PX[[#This Row],[Column1684]]</f>
        <v>97.73</v>
      </c>
      <c r="BLU13">
        <f>SOFR3mo_PX[[#This Row],[Column1685]]</f>
        <v>97.72</v>
      </c>
      <c r="BLV13">
        <f>SOFR3mo_PX[[#This Row],[Column1686]]</f>
        <v>97.79</v>
      </c>
      <c r="BLW13">
        <f>SOFR3mo_PX[[#This Row],[Column1687]]</f>
        <v>97.834999999999994</v>
      </c>
      <c r="BLX13">
        <f>SOFR3mo_PX[[#This Row],[Column1688]]</f>
        <v>97.9</v>
      </c>
      <c r="BLY13">
        <f>SOFR3mo_PX[[#This Row],[Column1689]]</f>
        <v>97.715000000000003</v>
      </c>
      <c r="BLZ13">
        <f>SOFR3mo_PX[[#This Row],[Column1690]]</f>
        <v>97.724999999999994</v>
      </c>
      <c r="BMA13">
        <f>SOFR3mo_PX[[#This Row],[Column1691]]</f>
        <v>97.724999999999994</v>
      </c>
      <c r="BMB13">
        <f>SOFR3mo_PX[[#This Row],[Column1692]]</f>
        <v>97.72</v>
      </c>
      <c r="BMC13">
        <f>SOFR3mo_PX[[#This Row],[Column1693]]</f>
        <v>97.71</v>
      </c>
      <c r="BMD13">
        <f>SOFR3mo_PX[[#This Row],[Column1694]]</f>
        <v>97.655000000000001</v>
      </c>
      <c r="BME13">
        <f>SOFR3mo_PX[[#This Row],[Column1695]]</f>
        <v>97.63</v>
      </c>
      <c r="BMF13">
        <f>SOFR3mo_PX[[#This Row],[Column1696]]</f>
        <v>97.63</v>
      </c>
      <c r="BMG13">
        <f>SOFR3mo_PX[[#This Row],[Column1697]]</f>
        <v>97.57</v>
      </c>
      <c r="BMH13">
        <f>SOFR3mo_PX[[#This Row],[Column1698]]</f>
        <v>97.534999999999997</v>
      </c>
      <c r="BMI13">
        <f>SOFR3mo_PX[[#This Row],[Column1699]]</f>
        <v>97.525000000000006</v>
      </c>
      <c r="BMJ13">
        <f>SOFR3mo_PX[[#This Row],[Column1700]]</f>
        <v>97.52</v>
      </c>
      <c r="BMK13">
        <f>SOFR3mo_PX[[#This Row],[Column1701]]</f>
        <v>97.47</v>
      </c>
      <c r="BML13">
        <f>SOFR3mo_PX[[#This Row],[Column1702]]</f>
        <v>97.435000000000002</v>
      </c>
      <c r="BMM13">
        <f>SOFR3mo_PX[[#This Row],[Column1703]]</f>
        <v>97.405000000000001</v>
      </c>
      <c r="BMN13">
        <f>SOFR3mo_PX[[#This Row],[Column1704]]</f>
        <v>97.41</v>
      </c>
      <c r="BMO13">
        <f>SOFR3mo_PX[[#This Row],[Column1705]]</f>
        <v>97.444999999999993</v>
      </c>
      <c r="BMP13">
        <f>SOFR3mo_PX[[#This Row],[Column1706]]</f>
        <v>97.484999999999999</v>
      </c>
      <c r="BMQ13">
        <f>SOFR3mo_PX[[#This Row],[Column1707]]</f>
        <v>97.45</v>
      </c>
      <c r="BMR13">
        <f>SOFR3mo_PX[[#This Row],[Column1708]]</f>
        <v>97.41</v>
      </c>
      <c r="BMS13">
        <f>SOFR3mo_PX[[#This Row],[Column1709]]</f>
        <v>97.305000000000007</v>
      </c>
      <c r="BMT13">
        <f>SOFR3mo_PX[[#This Row],[Column1710]]</f>
        <v>97.305000000000007</v>
      </c>
      <c r="BMU13">
        <f>SOFR3mo_PX[[#This Row],[Column1711]]</f>
        <v>97.275000000000006</v>
      </c>
      <c r="BMV13">
        <f>SOFR3mo_PX[[#This Row],[Column1712]]</f>
        <v>97.295000000000002</v>
      </c>
      <c r="BMW13">
        <f>SOFR3mo_PX[[#This Row],[Column1713]]</f>
        <v>97.29</v>
      </c>
      <c r="BMX13">
        <f>SOFR3mo_PX[[#This Row],[Column1714]]</f>
        <v>97.284999999999997</v>
      </c>
      <c r="BMY13">
        <f>SOFR3mo_PX[[#This Row],[Column1715]]</f>
        <v>97.25</v>
      </c>
      <c r="BMZ13">
        <f>SOFR3mo_PX[[#This Row],[Column1716]]</f>
        <v>97.234999999999999</v>
      </c>
      <c r="BNA13">
        <f>SOFR3mo_PX[[#This Row],[Column1717]]</f>
        <v>97.245000000000005</v>
      </c>
      <c r="BNB13">
        <f>SOFR3mo_PX[[#This Row],[Column1718]]</f>
        <v>97.245000000000005</v>
      </c>
      <c r="BNC13">
        <f>SOFR3mo_PX[[#This Row],[Column1719]]</f>
        <v>97.245000000000005</v>
      </c>
      <c r="BND13">
        <f>SOFR3mo_PX[[#This Row],[Column1720]]</f>
        <v>97.254999999999995</v>
      </c>
      <c r="BNE13">
        <f>SOFR3mo_PX[[#This Row],[Column1721]]</f>
        <v>97.26</v>
      </c>
      <c r="BNF13">
        <f>SOFR3mo_PX[[#This Row],[Column1722]]</f>
        <v>97.224999999999994</v>
      </c>
      <c r="BNG13">
        <f>SOFR3mo_PX[[#This Row],[Column1723]]</f>
        <v>97.174999999999997</v>
      </c>
      <c r="BNH13">
        <f>SOFR3mo_PX[[#This Row],[Column1724]]</f>
        <v>97.165000000000006</v>
      </c>
      <c r="BNI13">
        <f>SOFR3mo_PX[[#This Row],[Column1725]]</f>
        <v>97.11</v>
      </c>
      <c r="BNJ13">
        <f>SOFR3mo_PX[[#This Row],[Column1726]]</f>
        <v>97.09</v>
      </c>
      <c r="BNK13">
        <f>SOFR3mo_PX[[#This Row],[Column1727]]</f>
        <v>97.07</v>
      </c>
      <c r="BNL13">
        <f>SOFR3mo_PX[[#This Row],[Column1728]]</f>
        <v>97.055000000000007</v>
      </c>
      <c r="BNM13">
        <f>SOFR3mo_PX[[#This Row],[Column1729]]</f>
        <v>97.09</v>
      </c>
      <c r="BNN13">
        <f>SOFR3mo_PX[[#This Row],[Column1730]]</f>
        <v>97.1</v>
      </c>
      <c r="BNO13">
        <f>SOFR3mo_PX[[#This Row],[Column1731]]</f>
        <v>97.11</v>
      </c>
      <c r="BNP13">
        <f>SOFR3mo_PX[[#This Row],[Column1732]]</f>
        <v>97.114999999999995</v>
      </c>
      <c r="BNQ13">
        <f>SOFR3mo_PX[[#This Row],[Column1733]]</f>
        <v>97.155000000000001</v>
      </c>
      <c r="BNR13">
        <f>SOFR3mo_PX[[#This Row],[Column1734]]</f>
        <v>97.144999999999996</v>
      </c>
      <c r="BNS13">
        <f>SOFR3mo_PX[[#This Row],[Column1735]]</f>
        <v>97.174999999999997</v>
      </c>
      <c r="BNT13">
        <f>SOFR3mo_PX[[#This Row],[Column1736]]</f>
        <v>97.174999999999997</v>
      </c>
      <c r="BNU13">
        <f>SOFR3mo_PX[[#This Row],[Column1737]]</f>
        <v>97.18</v>
      </c>
      <c r="BNV13">
        <f>SOFR3mo_PX[[#This Row],[Column1738]]</f>
        <v>97.11</v>
      </c>
      <c r="BNW13">
        <f>SOFR3mo_PX[[#This Row],[Column1739]]</f>
        <v>97.11</v>
      </c>
      <c r="BNX13">
        <f>SOFR3mo_PX[[#This Row],[Column1740]]</f>
        <v>97.08</v>
      </c>
      <c r="BNY13">
        <f>SOFR3mo_PX[[#This Row],[Column1741]]</f>
        <v>97.045000000000002</v>
      </c>
      <c r="BNZ13">
        <f>SOFR3mo_PX[[#This Row],[Column1742]]</f>
        <v>97.04</v>
      </c>
      <c r="BOA13">
        <f>SOFR3mo_PX[[#This Row],[Column1743]]</f>
        <v>97.06</v>
      </c>
      <c r="BOB13">
        <f>SOFR3mo_PX[[#This Row],[Column1744]]</f>
        <v>97.05</v>
      </c>
      <c r="BOC13">
        <f>SOFR3mo_PX[[#This Row],[Column1745]]</f>
        <v>97.05</v>
      </c>
      <c r="BOD13">
        <f>SOFR3mo_PX[[#This Row],[Column1746]]</f>
        <v>97.055000000000007</v>
      </c>
      <c r="BOE13">
        <f>SOFR3mo_PX[[#This Row],[Column1747]]</f>
        <v>97.064999999999998</v>
      </c>
      <c r="BOF13">
        <f>SOFR3mo_PX[[#This Row],[Column1748]]</f>
        <v>97.045000000000002</v>
      </c>
      <c r="BOG13">
        <f>SOFR3mo_PX[[#This Row],[Column1749]]</f>
        <v>96.995000000000005</v>
      </c>
      <c r="BOH13">
        <f>SOFR3mo_PX[[#This Row],[Column1750]]</f>
        <v>96.984999999999999</v>
      </c>
      <c r="BOI13">
        <f>SOFR3mo_PX[[#This Row],[Column1751]]</f>
        <v>96.99</v>
      </c>
      <c r="BOJ13">
        <f>SOFR3mo_PX[[#This Row],[Column1752]]</f>
        <v>96.995000000000005</v>
      </c>
      <c r="BOK13">
        <f>SOFR3mo_PX[[#This Row],[Column1753]]</f>
        <v>97.02</v>
      </c>
      <c r="BOL13">
        <f>SOFR3mo_PX[[#This Row],[Column1754]]</f>
        <v>97.055000000000007</v>
      </c>
      <c r="BOM13">
        <f>SOFR3mo_PX[[#This Row],[Column1755]]</f>
        <v>97.105000000000004</v>
      </c>
      <c r="BON13">
        <f>SOFR3mo_PX[[#This Row],[Column1756]]</f>
        <v>97.094999999999999</v>
      </c>
      <c r="BOO13">
        <f>SOFR3mo_PX[[#This Row],[Column1757]]</f>
        <v>97.094999999999999</v>
      </c>
      <c r="BOP13">
        <f>SOFR3mo_PX[[#This Row],[Column1758]]</f>
        <v>97.075000000000003</v>
      </c>
      <c r="BOQ13">
        <f>SOFR3mo_PX[[#This Row],[Column1759]]</f>
        <v>97.075000000000003</v>
      </c>
      <c r="BOR13">
        <f>SOFR3mo_PX[[#This Row],[Column1760]]</f>
        <v>97.064999999999998</v>
      </c>
      <c r="BOS13">
        <f>SOFR3mo_PX[[#This Row],[Column1761]]</f>
        <v>97.08</v>
      </c>
      <c r="BOT13">
        <f>SOFR3mo_PX[[#This Row],[Column1762]]</f>
        <v>97.084999999999994</v>
      </c>
      <c r="BOU13">
        <f>SOFR3mo_PX[[#This Row],[Column1763]]</f>
        <v>97.075000000000003</v>
      </c>
      <c r="BOV13">
        <f>SOFR3mo_PX[[#This Row],[Column1764]]</f>
        <v>97.094999999999999</v>
      </c>
      <c r="BOW13">
        <f>SOFR3mo_PX[[#This Row],[Column1765]]</f>
        <v>97.114999999999995</v>
      </c>
      <c r="BOX13">
        <f>SOFR3mo_PX[[#This Row],[Column1766]]</f>
        <v>97.144999999999996</v>
      </c>
      <c r="BOY13">
        <f>SOFR3mo_PX[[#This Row],[Column1767]]</f>
        <v>97.144999999999996</v>
      </c>
      <c r="BOZ13">
        <f>SOFR3mo_PX[[#This Row],[Column1768]]</f>
        <v>97.18</v>
      </c>
      <c r="BPA13">
        <f>SOFR3mo_PX[[#This Row],[Column1769]]</f>
        <v>97.204999999999998</v>
      </c>
      <c r="BPB13">
        <f>SOFR3mo_PX[[#This Row],[Column1770]]</f>
        <v>97.204999999999998</v>
      </c>
      <c r="BPC13">
        <f>SOFR3mo_PX[[#This Row],[Column1771]]</f>
        <v>97.254999999999995</v>
      </c>
      <c r="BPD13">
        <f>SOFR3mo_PX[[#This Row],[Column1772]]</f>
        <v>97.254999999999995</v>
      </c>
      <c r="BPE13">
        <f>SOFR3mo_PX[[#This Row],[Column1773]]</f>
        <v>97.314999999999998</v>
      </c>
      <c r="BPF13">
        <f>SOFR3mo_PX[[#This Row],[Column1774]]</f>
        <v>97.3</v>
      </c>
      <c r="BPG13">
        <f>SOFR3mo_PX[[#This Row],[Column1775]]</f>
        <v>97.305000000000007</v>
      </c>
      <c r="BPH13">
        <f>SOFR3mo_PX[[#This Row],[Column1776]]</f>
        <v>97.325000000000003</v>
      </c>
      <c r="BPI13">
        <f>SOFR3mo_PX[[#This Row],[Column1777]]</f>
        <v>97.325000000000003</v>
      </c>
      <c r="BPJ13">
        <f>SOFR3mo_PX[[#This Row],[Column1778]]</f>
        <v>97.29</v>
      </c>
      <c r="BPK13">
        <f>SOFR3mo_PX[[#This Row],[Column1779]]</f>
        <v>97.28</v>
      </c>
      <c r="BPL13">
        <f>SOFR3mo_PX[[#This Row],[Column1780]]</f>
        <v>97.295000000000002</v>
      </c>
      <c r="BPM13">
        <f>SOFR3mo_PX[[#This Row],[Column1781]]</f>
        <v>97.31</v>
      </c>
      <c r="BPN13">
        <f>SOFR3mo_PX[[#This Row],[Column1782]]</f>
        <v>97.33</v>
      </c>
      <c r="BPO13">
        <f>SOFR3mo_PX[[#This Row],[Column1783]]</f>
        <v>97.33</v>
      </c>
      <c r="BPP13">
        <f>SOFR3mo_PX[[#This Row],[Column1784]]</f>
        <v>97.35</v>
      </c>
      <c r="BPQ13">
        <f>SOFR3mo_PX[[#This Row],[Column1785]]</f>
        <v>97.34</v>
      </c>
      <c r="BPR13">
        <f>SOFR3mo_PX[[#This Row],[Column1786]]</f>
        <v>97.35</v>
      </c>
      <c r="BPS13">
        <f>SOFR3mo_PX[[#This Row],[Column1787]]</f>
        <v>97.325000000000003</v>
      </c>
      <c r="BPT13">
        <f>SOFR3mo_PX[[#This Row],[Column1788]]</f>
        <v>97.32</v>
      </c>
      <c r="BPU13">
        <f>SOFR3mo_PX[[#This Row],[Column1789]]</f>
        <v>97.34</v>
      </c>
      <c r="BPV13">
        <f>SOFR3mo_PX[[#This Row],[Column1790]]</f>
        <v>97.305000000000007</v>
      </c>
      <c r="BPW13">
        <f>SOFR3mo_PX[[#This Row],[Column1791]]</f>
        <v>97.33</v>
      </c>
      <c r="BPX13">
        <f>SOFR3mo_PX[[#This Row],[Column1792]]</f>
        <v>97.334999999999994</v>
      </c>
      <c r="BPY13">
        <f>SOFR3mo_PX[[#This Row],[Column1793]]</f>
        <v>97.27</v>
      </c>
      <c r="BPZ13">
        <f>SOFR3mo_PX[[#This Row],[Column1794]]</f>
        <v>97.254999999999995</v>
      </c>
      <c r="BQA13">
        <f>SOFR3mo_PX[[#This Row],[Column1795]]</f>
        <v>97.25</v>
      </c>
      <c r="BQB13">
        <f>SOFR3mo_PX[[#This Row],[Column1796]]</f>
        <v>97.254999999999995</v>
      </c>
      <c r="BQC13">
        <f>SOFR3mo_PX[[#This Row],[Column1797]]</f>
        <v>97.245000000000005</v>
      </c>
      <c r="BQD13">
        <f>SOFR3mo_PX[[#This Row],[Column1798]]</f>
        <v>97.234999999999999</v>
      </c>
      <c r="BQE13">
        <f>SOFR3mo_PX[[#This Row],[Column1799]]</f>
        <v>97.245000000000005</v>
      </c>
      <c r="BQF13">
        <f>SOFR3mo_PX[[#This Row],[Column1800]]</f>
        <v>97.25</v>
      </c>
      <c r="BQG13">
        <f>SOFR3mo_PX[[#This Row],[Column1801]]</f>
        <v>97.25</v>
      </c>
      <c r="BQH13">
        <f>SOFR3mo_PX[[#This Row],[Column1802]]</f>
        <v>97.24</v>
      </c>
      <c r="BQI13">
        <f>SOFR3mo_PX[[#This Row],[Column1803]]</f>
        <v>97.234999999999999</v>
      </c>
      <c r="BQJ13">
        <f>SOFR3mo_PX[[#This Row],[Column1804]]</f>
        <v>97.28</v>
      </c>
      <c r="BQK13">
        <f>SOFR3mo_PX[[#This Row],[Column1805]]</f>
        <v>97.28</v>
      </c>
      <c r="BQL13">
        <f>SOFR3mo_PX[[#This Row],[Column1806]]</f>
        <v>97.29</v>
      </c>
      <c r="BQM13">
        <f>SOFR3mo_PX[[#This Row],[Column1807]]</f>
        <v>97.325000000000003</v>
      </c>
      <c r="BQN13">
        <f>SOFR3mo_PX[[#This Row],[Column1808]]</f>
        <v>97.33</v>
      </c>
      <c r="BQO13">
        <f>SOFR3mo_PX[[#This Row],[Column1809]]</f>
        <v>97.314999999999998</v>
      </c>
      <c r="BQP13">
        <f>SOFR3mo_PX[[#This Row],[Column1810]]</f>
        <v>97.32</v>
      </c>
      <c r="BQQ13">
        <f>SOFR3mo_PX[[#This Row],[Column1811]]</f>
        <v>97.344999999999999</v>
      </c>
      <c r="BQR13">
        <f>SOFR3mo_PX[[#This Row],[Column1812]]</f>
        <v>97.355000000000004</v>
      </c>
      <c r="BQS13">
        <f>SOFR3mo_PX[[#This Row],[Column1813]]</f>
        <v>97.34</v>
      </c>
      <c r="BQT13">
        <f>SOFR3mo_PX[[#This Row],[Column1814]]</f>
        <v>97.344999999999999</v>
      </c>
      <c r="BQU13">
        <f>SOFR3mo_PX[[#This Row],[Column1815]]</f>
        <v>97.34</v>
      </c>
      <c r="BQV13">
        <f>SOFR3mo_PX[[#This Row],[Column1816]]</f>
        <v>97.35</v>
      </c>
      <c r="BQW13">
        <f>SOFR3mo_PX[[#This Row],[Column1817]]</f>
        <v>97.36</v>
      </c>
      <c r="BQX13">
        <f>SOFR3mo_PX[[#This Row],[Column1818]]</f>
        <v>97.34</v>
      </c>
      <c r="BQY13">
        <f>SOFR3mo_PX[[#This Row],[Column1819]]</f>
        <v>97.355000000000004</v>
      </c>
      <c r="BQZ13">
        <f>SOFR3mo_PX[[#This Row],[Column1820]]</f>
        <v>97.355000000000004</v>
      </c>
      <c r="BRA13">
        <f>SOFR3mo_PX[[#This Row],[Column1821]]</f>
        <v>97.35</v>
      </c>
      <c r="BRB13">
        <f>SOFR3mo_PX[[#This Row],[Column1822]]</f>
        <v>97.35</v>
      </c>
      <c r="BRC13">
        <f>SOFR3mo_PX[[#This Row],[Column1823]]</f>
        <v>97.355000000000004</v>
      </c>
      <c r="BRD13">
        <f>SOFR3mo_PX[[#This Row],[Column1824]]</f>
        <v>97.35</v>
      </c>
      <c r="BRE13">
        <f>SOFR3mo_PX[[#This Row],[Column1825]]</f>
        <v>97.305000000000007</v>
      </c>
      <c r="BRF13">
        <f>SOFR3mo_PX[[#This Row],[Column1826]]</f>
        <v>97.29</v>
      </c>
      <c r="BRG13">
        <f>SOFR3mo_PX[[#This Row],[Column1827]]</f>
        <v>97.26</v>
      </c>
      <c r="BRH13">
        <f>SOFR3mo_PX[[#This Row],[Column1828]]</f>
        <v>97.26</v>
      </c>
      <c r="BRI13">
        <f>SOFR3mo_PX[[#This Row],[Column1829]]</f>
        <v>97.25</v>
      </c>
      <c r="BRJ13">
        <f>SOFR3mo_PX[[#This Row],[Column1830]]</f>
        <v>97.254999999999995</v>
      </c>
      <c r="BRK13">
        <f>SOFR3mo_PX[[#This Row],[Column1831]]</f>
        <v>97.224999999999994</v>
      </c>
      <c r="BRL13">
        <f>SOFR3mo_PX[[#This Row],[Column1832]]</f>
        <v>97.234999999999999</v>
      </c>
      <c r="BRM13">
        <f>SOFR3mo_PX[[#This Row],[Column1833]]</f>
        <v>97.22</v>
      </c>
      <c r="BRN13">
        <f>SOFR3mo_PX[[#This Row],[Column1834]]</f>
        <v>97.22</v>
      </c>
      <c r="BRO13">
        <f>SOFR3mo_PX[[#This Row],[Column1835]]</f>
        <v>97.254999999999995</v>
      </c>
      <c r="BRP13">
        <f>SOFR3mo_PX[[#This Row],[Column1836]]</f>
        <v>97.27</v>
      </c>
      <c r="BRQ13">
        <f>SOFR3mo_PX[[#This Row],[Column1837]]</f>
        <v>97.28</v>
      </c>
      <c r="BRR13">
        <f>SOFR3mo_PX[[#This Row],[Column1838]]</f>
        <v>97.245000000000005</v>
      </c>
      <c r="BRS13">
        <f>SOFR3mo_PX[[#This Row],[Column1839]]</f>
        <v>97.234999999999999</v>
      </c>
      <c r="BRT13">
        <f>SOFR3mo_PX[[#This Row],[Column1840]]</f>
        <v>97.275000000000006</v>
      </c>
      <c r="BRU13">
        <f>SOFR3mo_PX[[#This Row],[Column1841]]</f>
        <v>97.254999999999995</v>
      </c>
      <c r="BRV13">
        <f>SOFR3mo_PX[[#This Row],[Column1842]]</f>
        <v>97.295000000000002</v>
      </c>
      <c r="BRW13">
        <f>SOFR3mo_PX[[#This Row],[Column1843]]</f>
        <v>97.364999999999995</v>
      </c>
      <c r="BRX13">
        <f>SOFR3mo_PX[[#This Row],[Column1844]]</f>
        <v>97.36</v>
      </c>
      <c r="BRY13">
        <f>SOFR3mo_PX[[#This Row],[Column1845]]</f>
        <v>97.454999999999998</v>
      </c>
      <c r="BRZ13">
        <f>SOFR3mo_PX[[#This Row],[Column1846]]</f>
        <v>97.24</v>
      </c>
      <c r="BSA13">
        <f>SOFR3mo_PX[[#This Row],[Column1847]]</f>
        <v>97.24</v>
      </c>
      <c r="BSB13">
        <f>SOFR3mo_PX[[#This Row],[Column1848]]</f>
        <v>97.21</v>
      </c>
      <c r="BSC13">
        <f>SOFR3mo_PX[[#This Row],[Column1849]]</f>
        <v>97.18</v>
      </c>
      <c r="BSD13">
        <f>SOFR3mo_PX[[#This Row],[Column1850]]</f>
        <v>97.13</v>
      </c>
      <c r="BSE13">
        <f>SOFR3mo_PX[[#This Row],[Column1851]]</f>
        <v>97.12</v>
      </c>
      <c r="BSF13">
        <f>SOFR3mo_PX[[#This Row],[Column1852]]</f>
        <v>97.135000000000005</v>
      </c>
      <c r="BSG13">
        <f>SOFR3mo_PX[[#This Row],[Column1853]]</f>
        <v>97.11</v>
      </c>
      <c r="BSH13">
        <f>SOFR3mo_PX[[#This Row],[Column1854]]</f>
        <v>97.125</v>
      </c>
      <c r="BSI13">
        <f>SOFR3mo_PX[[#This Row],[Column1855]]</f>
        <v>97.135000000000005</v>
      </c>
      <c r="BSJ13">
        <f>SOFR3mo_PX[[#This Row],[Column1856]]</f>
        <v>97.165000000000006</v>
      </c>
      <c r="BSK13">
        <f>SOFR3mo_PX[[#This Row],[Column1857]]</f>
        <v>97.17</v>
      </c>
      <c r="BSL13">
        <f>SOFR3mo_PX[[#This Row],[Column1858]]</f>
        <v>97.185000000000002</v>
      </c>
      <c r="BSM13">
        <f>SOFR3mo_PX[[#This Row],[Column1859]]</f>
        <v>97.204999999999998</v>
      </c>
      <c r="BSN13">
        <f>SOFR3mo_PX[[#This Row],[Column1860]]</f>
        <v>97.23</v>
      </c>
      <c r="BSO13">
        <f>SOFR3mo_PX[[#This Row],[Column1861]]</f>
        <v>97.24</v>
      </c>
      <c r="BSP13">
        <f>SOFR3mo_PX[[#This Row],[Column1862]]</f>
        <v>97.265000000000001</v>
      </c>
      <c r="BSQ13" t="str">
        <f>SOFR3mo_PX[[#This Row],[Column1863]]</f>
        <v>#N/A N/A</v>
      </c>
      <c r="BSR13" t="str">
        <f>SOFR3mo_PX[[#This Row],[Column1864]]</f>
        <v>#N/A N/A</v>
      </c>
      <c r="BSS13" t="str">
        <f>SOFR3mo_PX[[#This Row],[Column1865]]</f>
        <v>#N/A N/A</v>
      </c>
      <c r="BST13" t="str">
        <f>SOFR3mo_PX[[#This Row],[Column1866]]</f>
        <v>#N/A N/A</v>
      </c>
      <c r="BSU13" t="str">
        <f>SOFR3mo_PX[[#This Row],[Column1867]]</f>
        <v>#N/A N/A</v>
      </c>
      <c r="BSV13" t="str">
        <f>SOFR3mo_PX[[#This Row],[Column1868]]</f>
        <v>#N/A N/A</v>
      </c>
      <c r="BSW13" t="str">
        <f>SOFR3mo_PX[[#This Row],[Column1869]]</f>
        <v>#N/A N/A</v>
      </c>
      <c r="BSX13" t="str">
        <f>SOFR3mo_PX[[#This Row],[Column1870]]</f>
        <v>#N/A N/A</v>
      </c>
      <c r="BSY13" t="str">
        <f>SOFR3mo_PX[[#This Row],[Column1871]]</f>
        <v>#N/A N/A</v>
      </c>
      <c r="BSZ13" t="str">
        <f>SOFR3mo_PX[[#This Row],[Column1872]]</f>
        <v>#N/A N/A</v>
      </c>
      <c r="BTA13" t="str">
        <f>SOFR3mo_PX[[#This Row],[Column1873]]</f>
        <v>#N/A N/A</v>
      </c>
      <c r="BTB13" t="str">
        <f>SOFR3mo_PX[[#This Row],[Column1874]]</f>
        <v>#N/A N/A</v>
      </c>
      <c r="BTC13" t="str">
        <f>SOFR3mo_PX[[#This Row],[Column1875]]</f>
        <v>#N/A N/A</v>
      </c>
      <c r="BTD13" t="str">
        <f>SOFR3mo_PX[[#This Row],[Column1876]]</f>
        <v>#N/A N/A</v>
      </c>
      <c r="BTE13" t="str">
        <f>SOFR3mo_PX[[#This Row],[Column1877]]</f>
        <v>#N/A N/A</v>
      </c>
      <c r="BTF13" t="str">
        <f>SOFR3mo_PX[[#This Row],[Column1878]]</f>
        <v>#N/A N/A</v>
      </c>
      <c r="BTG13" t="str">
        <f>SOFR3mo_PX[[#This Row],[Column1879]]</f>
        <v>#N/A N/A</v>
      </c>
      <c r="BTH13" t="str">
        <f>SOFR3mo_PX[[#This Row],[Column1880]]</f>
        <v>#N/A N/A</v>
      </c>
      <c r="BTI13" t="str">
        <f>SOFR3mo_PX[[#This Row],[Column1881]]</f>
        <v>#N/A N/A</v>
      </c>
      <c r="BTJ13" t="str">
        <f>SOFR3mo_PX[[#This Row],[Column1882]]</f>
        <v>#N/A N/A</v>
      </c>
      <c r="BTK13" t="str">
        <f>SOFR3mo_PX[[#This Row],[Column1883]]</f>
        <v>#N/A N/A</v>
      </c>
      <c r="BTL13" t="str">
        <f>SOFR3mo_PX[[#This Row],[Column1884]]</f>
        <v>#N/A N/A</v>
      </c>
      <c r="BTM13" t="str">
        <f>SOFR3mo_PX[[#This Row],[Column1885]]</f>
        <v>#N/A N/A</v>
      </c>
      <c r="BTN13" t="str">
        <f>SOFR3mo_PX[[#This Row],[Column1886]]</f>
        <v>#N/A N/A</v>
      </c>
      <c r="BTO13" t="str">
        <f>SOFR3mo_PX[[#This Row],[Column1887]]</f>
        <v>#N/A N/A</v>
      </c>
      <c r="BTP13" t="str">
        <f>SOFR3mo_PX[[#This Row],[Column1888]]</f>
        <v>#N/A N/A</v>
      </c>
      <c r="BTQ13" t="str">
        <f>SOFR3mo_PX[[#This Row],[Column1889]]</f>
        <v>#N/A N/A</v>
      </c>
      <c r="BTR13" t="str">
        <f>SOFR3mo_PX[[#This Row],[Column1890]]</f>
        <v>#N/A N/A</v>
      </c>
      <c r="BTS13" t="str">
        <f>SOFR3mo_PX[[#This Row],[Column1891]]</f>
        <v>#N/A N/A</v>
      </c>
      <c r="BTT13" t="str">
        <f>SOFR3mo_PX[[#This Row],[Column1892]]</f>
        <v>#N/A N/A</v>
      </c>
      <c r="BTU13" t="str">
        <f>SOFR3mo_PX[[#This Row],[Column1893]]</f>
        <v>#N/A N/A</v>
      </c>
      <c r="BTV13" t="str">
        <f>SOFR3mo_PX[[#This Row],[Column1894]]</f>
        <v>#N/A N/A</v>
      </c>
      <c r="BTW13" t="str">
        <f>SOFR3mo_PX[[#This Row],[Column1895]]</f>
        <v>#N/A N/A</v>
      </c>
      <c r="BTX13" t="str">
        <f>SOFR3mo_PX[[#This Row],[Column1896]]</f>
        <v>#N/A N/A</v>
      </c>
      <c r="BTY13" t="str">
        <f>SOFR3mo_PX[[#This Row],[Column1897]]</f>
        <v>#N/A N/A</v>
      </c>
      <c r="BTZ13" t="str">
        <f>SOFR3mo_PX[[#This Row],[Column1898]]</f>
        <v>#N/A N/A</v>
      </c>
      <c r="BUA13" t="str">
        <f>SOFR3mo_PX[[#This Row],[Column1899]]</f>
        <v>#N/A N/A</v>
      </c>
      <c r="BUB13" t="str">
        <f>SOFR3mo_PX[[#This Row],[Column1900]]</f>
        <v>#N/A N/A</v>
      </c>
      <c r="BUC13" t="str">
        <f>SOFR3mo_PX[[#This Row],[Column1901]]</f>
        <v>#N/A N/A</v>
      </c>
      <c r="BUD13" t="str">
        <f>SOFR3mo_PX[[#This Row],[Column1902]]</f>
        <v>#N/A N/A</v>
      </c>
      <c r="BUE13" t="str">
        <f>SOFR3mo_PX[[#This Row],[Column1903]]</f>
        <v>#N/A N/A</v>
      </c>
      <c r="BUF13" t="str">
        <f>SOFR3mo_PX[[#This Row],[Column1904]]</f>
        <v>#N/A N/A</v>
      </c>
      <c r="BUG13" t="str">
        <f>SOFR3mo_PX[[#This Row],[Column1905]]</f>
        <v>#N/A N/A</v>
      </c>
      <c r="BUH13" t="str">
        <f>SOFR3mo_PX[[#This Row],[Column1906]]</f>
        <v>#N/A N/A</v>
      </c>
      <c r="BUI13" t="str">
        <f>SOFR3mo_PX[[#This Row],[Column1907]]</f>
        <v>#N/A N/A</v>
      </c>
      <c r="BUJ13" t="str">
        <f>SOFR3mo_PX[[#This Row],[Column1908]]</f>
        <v>#N/A N/A</v>
      </c>
      <c r="BUK13" t="str">
        <f>SOFR3mo_PX[[#This Row],[Column1909]]</f>
        <v>#N/A N/A</v>
      </c>
      <c r="BUL13" t="str">
        <f>SOFR3mo_PX[[#This Row],[Column1910]]</f>
        <v>#N/A N/A</v>
      </c>
      <c r="BUM13" t="str">
        <f>SOFR3mo_PX[[#This Row],[Column1911]]</f>
        <v>#N/A N/A</v>
      </c>
      <c r="BUN13" t="str">
        <f>SOFR3mo_PX[[#This Row],[Column1912]]</f>
        <v>#N/A N/A</v>
      </c>
      <c r="BUO13" t="str">
        <f>SOFR3mo_PX[[#This Row],[Column1913]]</f>
        <v>#N/A N/A</v>
      </c>
      <c r="BUP13" t="str">
        <f>SOFR3mo_PX[[#This Row],[Column1914]]</f>
        <v>#N/A N/A</v>
      </c>
      <c r="BUQ13" t="str">
        <f>SOFR3mo_PX[[#This Row],[Column1915]]</f>
        <v>#N/A N/A</v>
      </c>
      <c r="BUR13" t="str">
        <f>SOFR3mo_PX[[#This Row],[Column1916]]</f>
        <v>#N/A N/A</v>
      </c>
      <c r="BUS13" t="str">
        <f>SOFR3mo_PX[[#This Row],[Column1917]]</f>
        <v>#N/A N/A</v>
      </c>
      <c r="BUT13" t="str">
        <f>SOFR3mo_PX[[#This Row],[Column1918]]</f>
        <v>#N/A N/A</v>
      </c>
      <c r="BUU13" t="str">
        <f>SOFR3mo_PX[[#This Row],[Column1919]]</f>
        <v>#N/A N/A</v>
      </c>
      <c r="BUV13" t="str">
        <f>SOFR3mo_PX[[#This Row],[Column1920]]</f>
        <v>#N/A N/A</v>
      </c>
      <c r="BUW13" t="str">
        <f>SOFR3mo_PX[[#This Row],[Column1921]]</f>
        <v>#N/A N/A</v>
      </c>
      <c r="BUX13" t="str">
        <f>SOFR3mo_PX[[#This Row],[Column1922]]</f>
        <v>#N/A N/A</v>
      </c>
      <c r="BUY13" t="str">
        <f>SOFR3mo_PX[[#This Row],[Column1923]]</f>
        <v>#N/A N/A</v>
      </c>
      <c r="BUZ13" t="str">
        <f>SOFR3mo_PX[[#This Row],[Column1924]]</f>
        <v>#N/A N/A</v>
      </c>
      <c r="BVA13" t="str">
        <f>SOFR3mo_PX[[#This Row],[Column1925]]</f>
        <v>#N/A N/A</v>
      </c>
      <c r="BVB13" t="str">
        <f>SOFR3mo_PX[[#This Row],[Column1926]]</f>
        <v>#N/A N/A</v>
      </c>
      <c r="BVC13" t="str">
        <f>SOFR3mo_PX[[#This Row],[Column1927]]</f>
        <v>#N/A N/A</v>
      </c>
      <c r="BVD13" t="str">
        <f>SOFR3mo_PX[[#This Row],[Column1928]]</f>
        <v>#N/A N/A</v>
      </c>
      <c r="BVE13" t="str">
        <f>SOFR3mo_PX[[#This Row],[Column1929]]</f>
        <v>#N/A N/A</v>
      </c>
      <c r="BVF13" t="str">
        <f>SOFR3mo_PX[[#This Row],[Column1930]]</f>
        <v>#N/A N/A</v>
      </c>
      <c r="BVG13" t="str">
        <f>SOFR3mo_PX[[#This Row],[Column1931]]</f>
        <v>#N/A N/A</v>
      </c>
      <c r="BVH13" t="str">
        <f>SOFR3mo_PX[[#This Row],[Column1932]]</f>
        <v>#N/A N/A</v>
      </c>
      <c r="BVI13" t="str">
        <f>SOFR3mo_PX[[#This Row],[Column1933]]</f>
        <v>#N/A N/A</v>
      </c>
      <c r="BVJ13" t="str">
        <f>SOFR3mo_PX[[#This Row],[Column1934]]</f>
        <v>#N/A N/A</v>
      </c>
      <c r="BVK13" t="str">
        <f>SOFR3mo_PX[[#This Row],[Column1935]]</f>
        <v>#N/A N/A</v>
      </c>
      <c r="BVL13" t="str">
        <f>SOFR3mo_PX[[#This Row],[Column1936]]</f>
        <v>#N/A N/A</v>
      </c>
      <c r="BVM13" t="str">
        <f>SOFR3mo_PX[[#This Row],[Column1937]]</f>
        <v>#N/A N/A</v>
      </c>
      <c r="BVN13" t="str">
        <f>SOFR3mo_PX[[#This Row],[Column1938]]</f>
        <v>#N/A N/A</v>
      </c>
      <c r="BVO13" t="str">
        <f>SOFR3mo_PX[[#This Row],[Column1939]]</f>
        <v>#N/A N/A</v>
      </c>
      <c r="BVP13" t="str">
        <f>SOFR3mo_PX[[#This Row],[Column1940]]</f>
        <v>#N/A N/A</v>
      </c>
      <c r="BVQ13" t="str">
        <f>SOFR3mo_PX[[#This Row],[Column1941]]</f>
        <v>#N/A N/A</v>
      </c>
      <c r="BVR13" t="str">
        <f>SOFR3mo_PX[[#This Row],[Column1942]]</f>
        <v>#N/A N/A</v>
      </c>
      <c r="BVS13" t="str">
        <f>SOFR3mo_PX[[#This Row],[Column1943]]</f>
        <v>#N/A N/A</v>
      </c>
      <c r="BVT13" t="str">
        <f>SOFR3mo_PX[[#This Row],[Column1944]]</f>
        <v>#N/A N/A</v>
      </c>
      <c r="BVU13" t="str">
        <f>SOFR3mo_PX[[#This Row],[Column1945]]</f>
        <v>#N/A N/A</v>
      </c>
      <c r="BVV13" t="str">
        <f>SOFR3mo_PX[[#This Row],[Column1946]]</f>
        <v>#N/A N/A</v>
      </c>
      <c r="BVW13" t="str">
        <f>SOFR3mo_PX[[#This Row],[Column1947]]</f>
        <v>#N/A N/A</v>
      </c>
      <c r="BVX13" t="str">
        <f>SOFR3mo_PX[[#This Row],[Column1948]]</f>
        <v>#N/A N/A</v>
      </c>
      <c r="BVY13" t="str">
        <f>SOFR3mo_PX[[#This Row],[Column1949]]</f>
        <v>#N/A N/A</v>
      </c>
      <c r="BVZ13" t="str">
        <f>SOFR3mo_PX[[#This Row],[Column1950]]</f>
        <v>#N/A N/A</v>
      </c>
      <c r="BWA13" t="str">
        <f>SOFR3mo_PX[[#This Row],[Column1951]]</f>
        <v>#N/A N/A</v>
      </c>
      <c r="BWB13" t="str">
        <f>SOFR3mo_PX[[#This Row],[Column1952]]</f>
        <v>#N/A N/A</v>
      </c>
      <c r="BWC13" t="str">
        <f>SOFR3mo_PX[[#This Row],[Column1953]]</f>
        <v>#N/A N/A</v>
      </c>
      <c r="BWD13" t="str">
        <f>SOFR3mo_PX[[#This Row],[Column1954]]</f>
        <v>#N/A N/A</v>
      </c>
    </row>
    <row r="14" spans="1:1954" x14ac:dyDescent="0.25">
      <c r="A14" t="str">
        <f>SOFR3mo_PX[[#This Row],[Column1]]</f>
        <v>SFR12 Comdty</v>
      </c>
      <c r="B14">
        <f>IF(rtd!B12&lt;&gt;"",rtd!B12,SOFR3mo_PX[[#This Row],[Column2]])</f>
        <v>96.5625</v>
      </c>
      <c r="C14">
        <f>SOFR3mo_PX[[#This Row],[Column3]]</f>
        <v>96.515000000000001</v>
      </c>
      <c r="D14">
        <f>SOFR3mo_PX[[#This Row],[Column4]]</f>
        <v>96.515000000000001</v>
      </c>
      <c r="E14">
        <f>SOFR3mo_PX[[#This Row],[Column5]]</f>
        <v>96.57</v>
      </c>
      <c r="F14">
        <f>SOFR3mo_PX[[#This Row],[Column6]]</f>
        <v>96.51</v>
      </c>
      <c r="G14">
        <f>SOFR3mo_PX[[#This Row],[Column7]]</f>
        <v>96.52</v>
      </c>
      <c r="H14">
        <f>SOFR3mo_PX[[#This Row],[Column8]]</f>
        <v>96.57</v>
      </c>
      <c r="I14">
        <f>SOFR3mo_PX[[#This Row],[Column9]]</f>
        <v>96.52</v>
      </c>
      <c r="J14">
        <f>SOFR3mo_PX[[#This Row],[Column10]]</f>
        <v>96.444999999999993</v>
      </c>
      <c r="K14">
        <f>SOFR3mo_PX[[#This Row],[Column11]]</f>
        <v>96.44</v>
      </c>
      <c r="L14">
        <f>SOFR3mo_PX[[#This Row],[Column12]]</f>
        <v>96.4</v>
      </c>
      <c r="M14">
        <f>SOFR3mo_PX[[#This Row],[Column13]]</f>
        <v>96.54</v>
      </c>
      <c r="N14">
        <f>SOFR3mo_PX[[#This Row],[Column14]]</f>
        <v>96.605000000000004</v>
      </c>
      <c r="O14">
        <f>SOFR3mo_PX[[#This Row],[Column15]]</f>
        <v>96.52</v>
      </c>
      <c r="P14">
        <f>SOFR3mo_PX[[#This Row],[Column16]]</f>
        <v>96.54</v>
      </c>
      <c r="Q14">
        <f>SOFR3mo_PX[[#This Row],[Column17]]</f>
        <v>96.584999999999994</v>
      </c>
      <c r="R14">
        <f>SOFR3mo_PX[[#This Row],[Column18]]</f>
        <v>96.564999999999998</v>
      </c>
      <c r="S14">
        <f>SOFR3mo_PX[[#This Row],[Column19]]</f>
        <v>96.515000000000001</v>
      </c>
      <c r="T14">
        <f>SOFR3mo_PX[[#This Row],[Column20]]</f>
        <v>96.555000000000007</v>
      </c>
      <c r="U14">
        <f>SOFR3mo_PX[[#This Row],[Column21]]</f>
        <v>96.474999999999994</v>
      </c>
      <c r="V14">
        <f>SOFR3mo_PX[[#This Row],[Column22]]</f>
        <v>96.474999999999994</v>
      </c>
      <c r="W14">
        <f>SOFR3mo_PX[[#This Row],[Column23]]</f>
        <v>96.435000000000002</v>
      </c>
      <c r="X14">
        <f>SOFR3mo_PX[[#This Row],[Column24]]</f>
        <v>96.39</v>
      </c>
      <c r="Y14">
        <f>SOFR3mo_PX[[#This Row],[Column25]]</f>
        <v>96.48</v>
      </c>
      <c r="Z14">
        <f>SOFR3mo_PX[[#This Row],[Column26]]</f>
        <v>96.454999999999998</v>
      </c>
      <c r="AA14">
        <f>SOFR3mo_PX[[#This Row],[Column27]]</f>
        <v>96.454999999999998</v>
      </c>
      <c r="AB14">
        <f>SOFR3mo_PX[[#This Row],[Column28]]</f>
        <v>96.435000000000002</v>
      </c>
      <c r="AC14">
        <f>SOFR3mo_PX[[#This Row],[Column29]]</f>
        <v>96.34</v>
      </c>
      <c r="AD14">
        <f>SOFR3mo_PX[[#This Row],[Column30]]</f>
        <v>96.375</v>
      </c>
      <c r="AE14">
        <f>SOFR3mo_PX[[#This Row],[Column31]]</f>
        <v>96.39</v>
      </c>
      <c r="AF14">
        <f>SOFR3mo_PX[[#This Row],[Column32]]</f>
        <v>96.53</v>
      </c>
      <c r="AG14">
        <f>SOFR3mo_PX[[#This Row],[Column33]]</f>
        <v>96.525000000000006</v>
      </c>
      <c r="AH14">
        <f>SOFR3mo_PX[[#This Row],[Column34]]</f>
        <v>96.68</v>
      </c>
      <c r="AI14">
        <f>SOFR3mo_PX[[#This Row],[Column35]]</f>
        <v>96.65</v>
      </c>
      <c r="AJ14">
        <f>SOFR3mo_PX[[#This Row],[Column36]]</f>
        <v>96.6</v>
      </c>
      <c r="AK14">
        <f>SOFR3mo_PX[[#This Row],[Column37]]</f>
        <v>96.6</v>
      </c>
      <c r="AL14">
        <f>SOFR3mo_PX[[#This Row],[Column38]]</f>
        <v>96.72</v>
      </c>
      <c r="AM14">
        <f>SOFR3mo_PX[[#This Row],[Column39]]</f>
        <v>96.775000000000006</v>
      </c>
      <c r="AN14">
        <f>SOFR3mo_PX[[#This Row],[Column40]]</f>
        <v>96.74</v>
      </c>
      <c r="AO14">
        <f>SOFR3mo_PX[[#This Row],[Column41]]</f>
        <v>96.7</v>
      </c>
      <c r="AP14">
        <f>SOFR3mo_PX[[#This Row],[Column42]]</f>
        <v>96.625</v>
      </c>
      <c r="AQ14">
        <f>SOFR3mo_PX[[#This Row],[Column43]]</f>
        <v>96.58</v>
      </c>
      <c r="AR14">
        <f>SOFR3mo_PX[[#This Row],[Column44]]</f>
        <v>96.495000000000005</v>
      </c>
      <c r="AS14">
        <f>SOFR3mo_PX[[#This Row],[Column45]]</f>
        <v>96.55</v>
      </c>
      <c r="AT14">
        <f>SOFR3mo_PX[[#This Row],[Column46]]</f>
        <v>96.564999999999998</v>
      </c>
      <c r="AU14">
        <f>SOFR3mo_PX[[#This Row],[Column47]]</f>
        <v>96.57</v>
      </c>
      <c r="AV14">
        <f>SOFR3mo_PX[[#This Row],[Column48]]</f>
        <v>96.57</v>
      </c>
      <c r="AW14">
        <f>SOFR3mo_PX[[#This Row],[Column49]]</f>
        <v>96.584999999999994</v>
      </c>
      <c r="AX14">
        <f>SOFR3mo_PX[[#This Row],[Column50]]</f>
        <v>96.51</v>
      </c>
      <c r="AY14">
        <f>SOFR3mo_PX[[#This Row],[Column51]]</f>
        <v>96.48</v>
      </c>
      <c r="AZ14">
        <f>SOFR3mo_PX[[#This Row],[Column52]]</f>
        <v>96.314999999999998</v>
      </c>
      <c r="BA14">
        <f>SOFR3mo_PX[[#This Row],[Column53]]</f>
        <v>96.454999999999998</v>
      </c>
      <c r="BB14">
        <f>SOFR3mo_PX[[#This Row],[Column54]]</f>
        <v>96.355000000000004</v>
      </c>
      <c r="BC14">
        <f>SOFR3mo_PX[[#This Row],[Column55]]</f>
        <v>96.584999999999994</v>
      </c>
      <c r="BD14">
        <f>SOFR3mo_PX[[#This Row],[Column56]]</f>
        <v>96.635000000000005</v>
      </c>
      <c r="BE14">
        <f>SOFR3mo_PX[[#This Row],[Column57]]</f>
        <v>96.765000000000001</v>
      </c>
      <c r="BF14">
        <f>SOFR3mo_PX[[#This Row],[Column58]]</f>
        <v>96.71</v>
      </c>
      <c r="BG14">
        <f>SOFR3mo_PX[[#This Row],[Column59]]</f>
        <v>96.484999999999999</v>
      </c>
      <c r="BH14">
        <f>SOFR3mo_PX[[#This Row],[Column60]]</f>
        <v>96.53</v>
      </c>
      <c r="BI14">
        <f>SOFR3mo_PX[[#This Row],[Column61]]</f>
        <v>96.45</v>
      </c>
      <c r="BJ14">
        <f>SOFR3mo_PX[[#This Row],[Column62]]</f>
        <v>96.454999999999998</v>
      </c>
      <c r="BK14">
        <f>SOFR3mo_PX[[#This Row],[Column63]]</f>
        <v>96.334999999999994</v>
      </c>
      <c r="BL14">
        <f>SOFR3mo_PX[[#This Row],[Column64]]</f>
        <v>96.35</v>
      </c>
      <c r="BM14">
        <f>SOFR3mo_PX[[#This Row],[Column65]]</f>
        <v>96.364999999999995</v>
      </c>
      <c r="BN14">
        <f>SOFR3mo_PX[[#This Row],[Column66]]</f>
        <v>96.314999999999998</v>
      </c>
      <c r="BO14">
        <f>SOFR3mo_PX[[#This Row],[Column67]]</f>
        <v>96.4</v>
      </c>
      <c r="BP14">
        <f>SOFR3mo_PX[[#This Row],[Column68]]</f>
        <v>96.394999999999996</v>
      </c>
      <c r="BQ14">
        <f>SOFR3mo_PX[[#This Row],[Column69]]</f>
        <v>96.375</v>
      </c>
      <c r="BR14">
        <f>SOFR3mo_PX[[#This Row],[Column70]]</f>
        <v>96.364999999999995</v>
      </c>
      <c r="BS14">
        <f>SOFR3mo_PX[[#This Row],[Column71]]</f>
        <v>96.325000000000003</v>
      </c>
      <c r="BT14">
        <f>SOFR3mo_PX[[#This Row],[Column72]]</f>
        <v>96.34</v>
      </c>
      <c r="BU14">
        <f>SOFR3mo_PX[[#This Row],[Column73]]</f>
        <v>96.394999999999996</v>
      </c>
      <c r="BV14">
        <f>SOFR3mo_PX[[#This Row],[Column74]]</f>
        <v>96.34</v>
      </c>
      <c r="BW14">
        <f>SOFR3mo_PX[[#This Row],[Column75]]</f>
        <v>96.375</v>
      </c>
      <c r="BX14">
        <f>SOFR3mo_PX[[#This Row],[Column76]]</f>
        <v>96.444999999999993</v>
      </c>
      <c r="BY14">
        <f>SOFR3mo_PX[[#This Row],[Column77]]</f>
        <v>96.3</v>
      </c>
      <c r="BZ14">
        <f>SOFR3mo_PX[[#This Row],[Column78]]</f>
        <v>96.334999999999994</v>
      </c>
      <c r="CA14">
        <f>SOFR3mo_PX[[#This Row],[Column79]]</f>
        <v>96.334999999999994</v>
      </c>
      <c r="CB14">
        <f>SOFR3mo_PX[[#This Row],[Column80]]</f>
        <v>96.42</v>
      </c>
      <c r="CC14">
        <f>SOFR3mo_PX[[#This Row],[Column81]]</f>
        <v>96.435000000000002</v>
      </c>
      <c r="CD14">
        <f>SOFR3mo_PX[[#This Row],[Column82]]</f>
        <v>96.4</v>
      </c>
      <c r="CE14">
        <f>SOFR3mo_PX[[#This Row],[Column83]]</f>
        <v>96.33</v>
      </c>
      <c r="CF14">
        <f>SOFR3mo_PX[[#This Row],[Column84]]</f>
        <v>96.36</v>
      </c>
      <c r="CG14">
        <f>SOFR3mo_PX[[#This Row],[Column85]]</f>
        <v>96.29</v>
      </c>
      <c r="CH14">
        <f>SOFR3mo_PX[[#This Row],[Column86]]</f>
        <v>96.155000000000001</v>
      </c>
      <c r="CI14">
        <f>SOFR3mo_PX[[#This Row],[Column87]]</f>
        <v>96.12</v>
      </c>
      <c r="CJ14">
        <f>SOFR3mo_PX[[#This Row],[Column88]]</f>
        <v>96.03</v>
      </c>
      <c r="CK14">
        <f>SOFR3mo_PX[[#This Row],[Column89]]</f>
        <v>95.995000000000005</v>
      </c>
      <c r="CL14">
        <f>SOFR3mo_PX[[#This Row],[Column90]]</f>
        <v>95.974999999999994</v>
      </c>
      <c r="CM14">
        <f>SOFR3mo_PX[[#This Row],[Column91]]</f>
        <v>96.045000000000002</v>
      </c>
      <c r="CN14">
        <f>SOFR3mo_PX[[#This Row],[Column92]]</f>
        <v>96.045000000000002</v>
      </c>
      <c r="CO14">
        <f>SOFR3mo_PX[[#This Row],[Column93]]</f>
        <v>95.97</v>
      </c>
      <c r="CP14">
        <f>SOFR3mo_PX[[#This Row],[Column94]]</f>
        <v>95.855000000000004</v>
      </c>
      <c r="CQ14">
        <f>SOFR3mo_PX[[#This Row],[Column95]]</f>
        <v>96</v>
      </c>
      <c r="CR14">
        <f>SOFR3mo_PX[[#This Row],[Column96]]</f>
        <v>96.045000000000002</v>
      </c>
      <c r="CS14">
        <f>SOFR3mo_PX[[#This Row],[Column97]]</f>
        <v>96.04</v>
      </c>
      <c r="CT14">
        <f>SOFR3mo_PX[[#This Row],[Column98]]</f>
        <v>96.105000000000004</v>
      </c>
      <c r="CU14">
        <f>SOFR3mo_PX[[#This Row],[Column99]]</f>
        <v>96.155000000000001</v>
      </c>
      <c r="CV14">
        <f>SOFR3mo_PX[[#This Row],[Column100]]</f>
        <v>96.06</v>
      </c>
      <c r="CW14">
        <f>SOFR3mo_PX[[#This Row],[Column101]]</f>
        <v>96.01</v>
      </c>
      <c r="CX14">
        <f>SOFR3mo_PX[[#This Row],[Column102]]</f>
        <v>95.99</v>
      </c>
      <c r="CY14">
        <f>SOFR3mo_PX[[#This Row],[Column103]]</f>
        <v>96.05</v>
      </c>
      <c r="CZ14">
        <f>SOFR3mo_PX[[#This Row],[Column104]]</f>
        <v>96.004999999999995</v>
      </c>
      <c r="DA14">
        <f>SOFR3mo_PX[[#This Row],[Column105]]</f>
        <v>96.02</v>
      </c>
      <c r="DB14">
        <f>SOFR3mo_PX[[#This Row],[Column106]]</f>
        <v>96.034999999999997</v>
      </c>
      <c r="DC14">
        <f>SOFR3mo_PX[[#This Row],[Column107]]</f>
        <v>95.93</v>
      </c>
      <c r="DD14">
        <f>SOFR3mo_PX[[#This Row],[Column108]]</f>
        <v>95.92</v>
      </c>
      <c r="DE14">
        <f>SOFR3mo_PX[[#This Row],[Column109]]</f>
        <v>95.924999999999997</v>
      </c>
      <c r="DF14">
        <f>SOFR3mo_PX[[#This Row],[Column110]]</f>
        <v>95.95</v>
      </c>
      <c r="DG14">
        <f>SOFR3mo_PX[[#This Row],[Column111]]</f>
        <v>95.93</v>
      </c>
      <c r="DH14">
        <f>SOFR3mo_PX[[#This Row],[Column112]]</f>
        <v>95.93</v>
      </c>
      <c r="DI14">
        <f>SOFR3mo_PX[[#This Row],[Column113]]</f>
        <v>95.95</v>
      </c>
      <c r="DJ14">
        <f>SOFR3mo_PX[[#This Row],[Column114]]</f>
        <v>95.894999999999996</v>
      </c>
      <c r="DK14">
        <f>SOFR3mo_PX[[#This Row],[Column115]]</f>
        <v>95.724999999999994</v>
      </c>
      <c r="DL14">
        <f>SOFR3mo_PX[[#This Row],[Column116]]</f>
        <v>95.71</v>
      </c>
      <c r="DM14">
        <f>SOFR3mo_PX[[#This Row],[Column117]]</f>
        <v>95.74</v>
      </c>
      <c r="DN14">
        <f>SOFR3mo_PX[[#This Row],[Column118]]</f>
        <v>95.9</v>
      </c>
      <c r="DO14">
        <f>SOFR3mo_PX[[#This Row],[Column119]]</f>
        <v>95.87</v>
      </c>
      <c r="DP14">
        <f>SOFR3mo_PX[[#This Row],[Column120]]</f>
        <v>95.87</v>
      </c>
      <c r="DQ14">
        <f>SOFR3mo_PX[[#This Row],[Column121]]</f>
        <v>95.93</v>
      </c>
      <c r="DR14">
        <f>SOFR3mo_PX[[#This Row],[Column122]]</f>
        <v>95.98</v>
      </c>
      <c r="DS14">
        <f>SOFR3mo_PX[[#This Row],[Column123]]</f>
        <v>96.01</v>
      </c>
      <c r="DT14">
        <f>SOFR3mo_PX[[#This Row],[Column124]]</f>
        <v>96</v>
      </c>
      <c r="DU14">
        <f>SOFR3mo_PX[[#This Row],[Column125]]</f>
        <v>96</v>
      </c>
      <c r="DV14">
        <f>SOFR3mo_PX[[#This Row],[Column126]]</f>
        <v>96.025000000000006</v>
      </c>
      <c r="DW14">
        <f>SOFR3mo_PX[[#This Row],[Column127]]</f>
        <v>95.93</v>
      </c>
      <c r="DX14">
        <f>SOFR3mo_PX[[#This Row],[Column128]]</f>
        <v>95.974999999999994</v>
      </c>
      <c r="DY14">
        <f>SOFR3mo_PX[[#This Row],[Column129]]</f>
        <v>95.96</v>
      </c>
      <c r="DZ14">
        <f>SOFR3mo_PX[[#This Row],[Column130]]</f>
        <v>95.96</v>
      </c>
      <c r="EA14">
        <f>SOFR3mo_PX[[#This Row],[Column131]]</f>
        <v>95.944999999999993</v>
      </c>
      <c r="EB14">
        <f>SOFR3mo_PX[[#This Row],[Column132]]</f>
        <v>96.03</v>
      </c>
      <c r="EC14">
        <f>SOFR3mo_PX[[#This Row],[Column133]]</f>
        <v>95.97</v>
      </c>
      <c r="ED14">
        <f>SOFR3mo_PX[[#This Row],[Column134]]</f>
        <v>96.05</v>
      </c>
      <c r="EE14">
        <f>SOFR3mo_PX[[#This Row],[Column135]]</f>
        <v>96.17</v>
      </c>
      <c r="EF14">
        <f>SOFR3mo_PX[[#This Row],[Column136]]</f>
        <v>96.155000000000001</v>
      </c>
      <c r="EG14">
        <f>SOFR3mo_PX[[#This Row],[Column137]]</f>
        <v>96.18</v>
      </c>
      <c r="EH14">
        <f>SOFR3mo_PX[[#This Row],[Column138]]</f>
        <v>96.25</v>
      </c>
      <c r="EI14">
        <f>SOFR3mo_PX[[#This Row],[Column139]]</f>
        <v>96.3</v>
      </c>
      <c r="EJ14">
        <f>SOFR3mo_PX[[#This Row],[Column140]]</f>
        <v>96.36</v>
      </c>
      <c r="EK14">
        <f>SOFR3mo_PX[[#This Row],[Column141]]</f>
        <v>96.385000000000005</v>
      </c>
      <c r="EL14">
        <f>SOFR3mo_PX[[#This Row],[Column142]]</f>
        <v>96.42</v>
      </c>
      <c r="EM14">
        <f>SOFR3mo_PX[[#This Row],[Column143]]</f>
        <v>96.385000000000005</v>
      </c>
      <c r="EN14">
        <f>SOFR3mo_PX[[#This Row],[Column144]]</f>
        <v>96.394999999999996</v>
      </c>
      <c r="EO14">
        <f>SOFR3mo_PX[[#This Row],[Column145]]</f>
        <v>96.36</v>
      </c>
      <c r="EP14">
        <f>SOFR3mo_PX[[#This Row],[Column146]]</f>
        <v>96.39</v>
      </c>
      <c r="EQ14">
        <f>SOFR3mo_PX[[#This Row],[Column147]]</f>
        <v>96.4</v>
      </c>
      <c r="ER14">
        <f>SOFR3mo_PX[[#This Row],[Column148]]</f>
        <v>96.36</v>
      </c>
      <c r="ES14">
        <f>SOFR3mo_PX[[#This Row],[Column149]]</f>
        <v>96.36</v>
      </c>
      <c r="ET14">
        <f>SOFR3mo_PX[[#This Row],[Column150]]</f>
        <v>96.275000000000006</v>
      </c>
      <c r="EU14">
        <f>SOFR3mo_PX[[#This Row],[Column151]]</f>
        <v>96.314999999999998</v>
      </c>
      <c r="EV14">
        <f>SOFR3mo_PX[[#This Row],[Column152]]</f>
        <v>96.185000000000002</v>
      </c>
      <c r="EW14">
        <f>SOFR3mo_PX[[#This Row],[Column153]]</f>
        <v>96.165000000000006</v>
      </c>
      <c r="EX14">
        <f>SOFR3mo_PX[[#This Row],[Column154]]</f>
        <v>96.204999999999998</v>
      </c>
      <c r="EY14">
        <f>SOFR3mo_PX[[#This Row],[Column155]]</f>
        <v>96.23</v>
      </c>
      <c r="EZ14">
        <f>SOFR3mo_PX[[#This Row],[Column156]]</f>
        <v>96.194999999999993</v>
      </c>
      <c r="FA14">
        <f>SOFR3mo_PX[[#This Row],[Column157]]</f>
        <v>96.18</v>
      </c>
      <c r="FB14">
        <f>SOFR3mo_PX[[#This Row],[Column158]]</f>
        <v>96.174999999999997</v>
      </c>
      <c r="FC14">
        <f>SOFR3mo_PX[[#This Row],[Column159]]</f>
        <v>96.16</v>
      </c>
      <c r="FD14">
        <f>SOFR3mo_PX[[#This Row],[Column160]]</f>
        <v>96.165000000000006</v>
      </c>
      <c r="FE14">
        <f>SOFR3mo_PX[[#This Row],[Column161]]</f>
        <v>96.204999999999998</v>
      </c>
      <c r="FF14">
        <f>SOFR3mo_PX[[#This Row],[Column162]]</f>
        <v>96.275000000000006</v>
      </c>
      <c r="FG14">
        <f>SOFR3mo_PX[[#This Row],[Column163]]</f>
        <v>96.265000000000001</v>
      </c>
      <c r="FH14">
        <f>SOFR3mo_PX[[#This Row],[Column164]]</f>
        <v>96.19</v>
      </c>
      <c r="FI14">
        <f>SOFR3mo_PX[[#This Row],[Column165]]</f>
        <v>96.314999999999998</v>
      </c>
      <c r="FJ14">
        <f>SOFR3mo_PX[[#This Row],[Column166]]</f>
        <v>96.31</v>
      </c>
      <c r="FK14">
        <f>SOFR3mo_PX[[#This Row],[Column167]]</f>
        <v>96.284999999999997</v>
      </c>
      <c r="FL14">
        <f>SOFR3mo_PX[[#This Row],[Column168]]</f>
        <v>96.32</v>
      </c>
      <c r="FM14">
        <f>SOFR3mo_PX[[#This Row],[Column169]]</f>
        <v>96.344999999999999</v>
      </c>
      <c r="FN14">
        <f>SOFR3mo_PX[[#This Row],[Column170]]</f>
        <v>96.38</v>
      </c>
      <c r="FO14">
        <f>SOFR3mo_PX[[#This Row],[Column171]]</f>
        <v>96.37</v>
      </c>
      <c r="FP14">
        <f>SOFR3mo_PX[[#This Row],[Column172]]</f>
        <v>96.42</v>
      </c>
      <c r="FQ14">
        <f>SOFR3mo_PX[[#This Row],[Column173]]</f>
        <v>96.45</v>
      </c>
      <c r="FR14">
        <f>SOFR3mo_PX[[#This Row],[Column174]]</f>
        <v>96.41</v>
      </c>
      <c r="FS14">
        <f>SOFR3mo_PX[[#This Row],[Column175]]</f>
        <v>96.474999999999994</v>
      </c>
      <c r="FT14">
        <f>SOFR3mo_PX[[#This Row],[Column176]]</f>
        <v>96.51</v>
      </c>
      <c r="FU14">
        <f>SOFR3mo_PX[[#This Row],[Column177]]</f>
        <v>96.625</v>
      </c>
      <c r="FV14">
        <f>SOFR3mo_PX[[#This Row],[Column178]]</f>
        <v>96.594999999999999</v>
      </c>
      <c r="FW14">
        <f>SOFR3mo_PX[[#This Row],[Column179]]</f>
        <v>96.66</v>
      </c>
      <c r="FX14">
        <f>SOFR3mo_PX[[#This Row],[Column180]]</f>
        <v>96.644999999999996</v>
      </c>
      <c r="FY14">
        <f>SOFR3mo_PX[[#This Row],[Column181]]</f>
        <v>96.57</v>
      </c>
      <c r="FZ14">
        <f>SOFR3mo_PX[[#This Row],[Column182]]</f>
        <v>96.625</v>
      </c>
      <c r="GA14">
        <f>SOFR3mo_PX[[#This Row],[Column183]]</f>
        <v>96.584999999999994</v>
      </c>
      <c r="GB14">
        <f>SOFR3mo_PX[[#This Row],[Column184]]</f>
        <v>96.594999999999999</v>
      </c>
      <c r="GC14">
        <f>SOFR3mo_PX[[#This Row],[Column185]]</f>
        <v>96.635000000000005</v>
      </c>
      <c r="GD14">
        <f>SOFR3mo_PX[[#This Row],[Column186]]</f>
        <v>96.64</v>
      </c>
      <c r="GE14">
        <f>SOFR3mo_PX[[#This Row],[Column187]]</f>
        <v>96.69</v>
      </c>
      <c r="GF14">
        <f>SOFR3mo_PX[[#This Row],[Column188]]</f>
        <v>96.855000000000004</v>
      </c>
      <c r="GG14">
        <f>SOFR3mo_PX[[#This Row],[Column189]]</f>
        <v>96.935000000000002</v>
      </c>
      <c r="GH14">
        <f>SOFR3mo_PX[[#This Row],[Column190]]</f>
        <v>96.97</v>
      </c>
      <c r="GI14">
        <f>SOFR3mo_PX[[#This Row],[Column191]]</f>
        <v>96.9</v>
      </c>
      <c r="GJ14">
        <f>SOFR3mo_PX[[#This Row],[Column192]]</f>
        <v>96.95</v>
      </c>
      <c r="GK14">
        <f>SOFR3mo_PX[[#This Row],[Column193]]</f>
        <v>96.905000000000001</v>
      </c>
      <c r="GL14">
        <f>SOFR3mo_PX[[#This Row],[Column194]]</f>
        <v>96.924999999999997</v>
      </c>
      <c r="GM14">
        <f>SOFR3mo_PX[[#This Row],[Column195]]</f>
        <v>96.965000000000003</v>
      </c>
      <c r="GN14">
        <f>SOFR3mo_PX[[#This Row],[Column196]]</f>
        <v>96.95</v>
      </c>
      <c r="GO14">
        <f>SOFR3mo_PX[[#This Row],[Column197]]</f>
        <v>96.965000000000003</v>
      </c>
      <c r="GP14">
        <f>SOFR3mo_PX[[#This Row],[Column198]]</f>
        <v>96.965000000000003</v>
      </c>
      <c r="GQ14">
        <f>SOFR3mo_PX[[#This Row],[Column199]]</f>
        <v>97.004999999999995</v>
      </c>
      <c r="GR14">
        <f>SOFR3mo_PX[[#This Row],[Column200]]</f>
        <v>97.09</v>
      </c>
      <c r="GS14">
        <f>SOFR3mo_PX[[#This Row],[Column201]]</f>
        <v>97.114999999999995</v>
      </c>
      <c r="GT14">
        <f>SOFR3mo_PX[[#This Row],[Column202]]</f>
        <v>97.12</v>
      </c>
      <c r="GU14">
        <f>SOFR3mo_PX[[#This Row],[Column203]]</f>
        <v>97.11</v>
      </c>
      <c r="GV14">
        <f>SOFR3mo_PX[[#This Row],[Column204]]</f>
        <v>97.144999999999996</v>
      </c>
      <c r="GW14">
        <f>SOFR3mo_PX[[#This Row],[Column205]]</f>
        <v>97.15</v>
      </c>
      <c r="GX14">
        <f>SOFR3mo_PX[[#This Row],[Column206]]</f>
        <v>97.09</v>
      </c>
      <c r="GY14">
        <f>SOFR3mo_PX[[#This Row],[Column207]]</f>
        <v>97.084999999999994</v>
      </c>
      <c r="GZ14">
        <f>SOFR3mo_PX[[#This Row],[Column208]]</f>
        <v>97.034999999999997</v>
      </c>
      <c r="HA14">
        <f>SOFR3mo_PX[[#This Row],[Column209]]</f>
        <v>97.01</v>
      </c>
      <c r="HB14">
        <f>SOFR3mo_PX[[#This Row],[Column210]]</f>
        <v>96.935000000000002</v>
      </c>
      <c r="HC14">
        <f>SOFR3mo_PX[[#This Row],[Column211]]</f>
        <v>96.864999999999995</v>
      </c>
      <c r="HD14">
        <f>SOFR3mo_PX[[#This Row],[Column212]]</f>
        <v>96.864999999999995</v>
      </c>
      <c r="HE14">
        <f>SOFR3mo_PX[[#This Row],[Column213]]</f>
        <v>96.915000000000006</v>
      </c>
      <c r="HF14">
        <f>SOFR3mo_PX[[#This Row],[Column214]]</f>
        <v>96.935000000000002</v>
      </c>
      <c r="HG14">
        <f>SOFR3mo_PX[[#This Row],[Column215]]</f>
        <v>96.94</v>
      </c>
      <c r="HH14">
        <f>SOFR3mo_PX[[#This Row],[Column216]]</f>
        <v>96.94</v>
      </c>
      <c r="HI14">
        <f>SOFR3mo_PX[[#This Row],[Column217]]</f>
        <v>96.944999999999993</v>
      </c>
      <c r="HJ14">
        <f>SOFR3mo_PX[[#This Row],[Column218]]</f>
        <v>96.864999999999995</v>
      </c>
      <c r="HK14">
        <f>SOFR3mo_PX[[#This Row],[Column219]]</f>
        <v>96.95</v>
      </c>
      <c r="HL14">
        <f>SOFR3mo_PX[[#This Row],[Column220]]</f>
        <v>96.9</v>
      </c>
      <c r="HM14">
        <f>SOFR3mo_PX[[#This Row],[Column221]]</f>
        <v>96.834999999999994</v>
      </c>
      <c r="HN14">
        <f>SOFR3mo_PX[[#This Row],[Column222]]</f>
        <v>96.82</v>
      </c>
      <c r="HO14">
        <f>SOFR3mo_PX[[#This Row],[Column223]]</f>
        <v>96.795000000000002</v>
      </c>
      <c r="HP14">
        <f>SOFR3mo_PX[[#This Row],[Column224]]</f>
        <v>96.93</v>
      </c>
      <c r="HQ14">
        <f>SOFR3mo_PX[[#This Row],[Column225]]</f>
        <v>96.905000000000001</v>
      </c>
      <c r="HR14">
        <f>SOFR3mo_PX[[#This Row],[Column226]]</f>
        <v>96.85</v>
      </c>
      <c r="HS14">
        <f>SOFR3mo_PX[[#This Row],[Column227]]</f>
        <v>96.79</v>
      </c>
      <c r="HT14">
        <f>SOFR3mo_PX[[#This Row],[Column228]]</f>
        <v>96.75</v>
      </c>
      <c r="HU14">
        <f>SOFR3mo_PX[[#This Row],[Column229]]</f>
        <v>96.784999999999997</v>
      </c>
      <c r="HV14">
        <f>SOFR3mo_PX[[#This Row],[Column230]]</f>
        <v>96.864999999999995</v>
      </c>
      <c r="HW14">
        <f>SOFR3mo_PX[[#This Row],[Column231]]</f>
        <v>96.944999999999993</v>
      </c>
      <c r="HX14">
        <f>SOFR3mo_PX[[#This Row],[Column232]]</f>
        <v>96.974999999999994</v>
      </c>
      <c r="HY14">
        <f>SOFR3mo_PX[[#This Row],[Column233]]</f>
        <v>96.77</v>
      </c>
      <c r="HZ14">
        <f>SOFR3mo_PX[[#This Row],[Column234]]</f>
        <v>96.635000000000005</v>
      </c>
      <c r="IA14">
        <f>SOFR3mo_PX[[#This Row],[Column235]]</f>
        <v>96.605000000000004</v>
      </c>
      <c r="IB14">
        <f>SOFR3mo_PX[[#This Row],[Column236]]</f>
        <v>96.57</v>
      </c>
      <c r="IC14">
        <f>SOFR3mo_PX[[#This Row],[Column237]]</f>
        <v>96.555000000000007</v>
      </c>
      <c r="ID14">
        <f>SOFR3mo_PX[[#This Row],[Column238]]</f>
        <v>96.49</v>
      </c>
      <c r="IE14">
        <f>SOFR3mo_PX[[#This Row],[Column239]]</f>
        <v>96.484999999999999</v>
      </c>
      <c r="IF14">
        <f>SOFR3mo_PX[[#This Row],[Column240]]</f>
        <v>96.49</v>
      </c>
      <c r="IG14">
        <f>SOFR3mo_PX[[#This Row],[Column241]]</f>
        <v>96.46</v>
      </c>
      <c r="IH14">
        <f>SOFR3mo_PX[[#This Row],[Column242]]</f>
        <v>96.47</v>
      </c>
      <c r="II14">
        <f>SOFR3mo_PX[[#This Row],[Column243]]</f>
        <v>96.54</v>
      </c>
      <c r="IJ14">
        <f>SOFR3mo_PX[[#This Row],[Column244]]</f>
        <v>96.584999999999994</v>
      </c>
      <c r="IK14">
        <f>SOFR3mo_PX[[#This Row],[Column245]]</f>
        <v>96.555000000000007</v>
      </c>
      <c r="IL14">
        <f>SOFR3mo_PX[[#This Row],[Column246]]</f>
        <v>96.515000000000001</v>
      </c>
      <c r="IM14">
        <f>SOFR3mo_PX[[#This Row],[Column247]]</f>
        <v>96.54</v>
      </c>
      <c r="IN14">
        <f>SOFR3mo_PX[[#This Row],[Column248]]</f>
        <v>96.53</v>
      </c>
      <c r="IO14">
        <f>SOFR3mo_PX[[#This Row],[Column249]]</f>
        <v>96.405000000000001</v>
      </c>
      <c r="IP14">
        <f>SOFR3mo_PX[[#This Row],[Column250]]</f>
        <v>96.39</v>
      </c>
      <c r="IQ14">
        <f>SOFR3mo_PX[[#This Row],[Column251]]</f>
        <v>96.415000000000006</v>
      </c>
      <c r="IR14">
        <f>SOFR3mo_PX[[#This Row],[Column252]]</f>
        <v>96.42</v>
      </c>
      <c r="IS14">
        <f>SOFR3mo_PX[[#This Row],[Column253]]</f>
        <v>96.32</v>
      </c>
      <c r="IT14">
        <f>SOFR3mo_PX[[#This Row],[Column254]]</f>
        <v>96.32</v>
      </c>
      <c r="IU14">
        <f>SOFR3mo_PX[[#This Row],[Column255]]</f>
        <v>96.215000000000003</v>
      </c>
      <c r="IV14">
        <f>SOFR3mo_PX[[#This Row],[Column256]]</f>
        <v>96.16</v>
      </c>
      <c r="IW14">
        <f>SOFR3mo_PX[[#This Row],[Column257]]</f>
        <v>96.31</v>
      </c>
      <c r="IX14">
        <f>SOFR3mo_PX[[#This Row],[Column258]]</f>
        <v>96.34</v>
      </c>
      <c r="IY14">
        <f>SOFR3mo_PX[[#This Row],[Column259]]</f>
        <v>96.31</v>
      </c>
      <c r="IZ14">
        <f>SOFR3mo_PX[[#This Row],[Column260]]</f>
        <v>96.4</v>
      </c>
      <c r="JA14">
        <f>SOFR3mo_PX[[#This Row],[Column261]]</f>
        <v>96.394999999999996</v>
      </c>
      <c r="JB14">
        <f>SOFR3mo_PX[[#This Row],[Column262]]</f>
        <v>96.38</v>
      </c>
      <c r="JC14">
        <f>SOFR3mo_PX[[#This Row],[Column263]]</f>
        <v>96.385000000000005</v>
      </c>
      <c r="JD14">
        <f>SOFR3mo_PX[[#This Row],[Column264]]</f>
        <v>96.405000000000001</v>
      </c>
      <c r="JE14">
        <f>SOFR3mo_PX[[#This Row],[Column265]]</f>
        <v>96.405000000000001</v>
      </c>
      <c r="JF14">
        <f>SOFR3mo_PX[[#This Row],[Column266]]</f>
        <v>96.33</v>
      </c>
      <c r="JG14">
        <f>SOFR3mo_PX[[#This Row],[Column267]]</f>
        <v>96.41</v>
      </c>
      <c r="JH14">
        <f>SOFR3mo_PX[[#This Row],[Column268]]</f>
        <v>96.39</v>
      </c>
      <c r="JI14">
        <f>SOFR3mo_PX[[#This Row],[Column269]]</f>
        <v>96.305000000000007</v>
      </c>
      <c r="JJ14">
        <f>SOFR3mo_PX[[#This Row],[Column270]]</f>
        <v>96.174999999999997</v>
      </c>
      <c r="JK14">
        <f>SOFR3mo_PX[[#This Row],[Column271]]</f>
        <v>96.1</v>
      </c>
      <c r="JL14">
        <f>SOFR3mo_PX[[#This Row],[Column272]]</f>
        <v>96.15</v>
      </c>
      <c r="JM14">
        <f>SOFR3mo_PX[[#This Row],[Column273]]</f>
        <v>96.314999999999998</v>
      </c>
      <c r="JN14">
        <f>SOFR3mo_PX[[#This Row],[Column274]]</f>
        <v>96.29</v>
      </c>
      <c r="JO14">
        <f>SOFR3mo_PX[[#This Row],[Column275]]</f>
        <v>96.254999999999995</v>
      </c>
      <c r="JP14">
        <f>SOFR3mo_PX[[#This Row],[Column276]]</f>
        <v>96.174999999999997</v>
      </c>
      <c r="JQ14">
        <f>SOFR3mo_PX[[#This Row],[Column277]]</f>
        <v>96.055000000000007</v>
      </c>
      <c r="JR14">
        <f>SOFR3mo_PX[[#This Row],[Column278]]</f>
        <v>96</v>
      </c>
      <c r="JS14">
        <f>SOFR3mo_PX[[#This Row],[Column279]]</f>
        <v>95.92</v>
      </c>
      <c r="JT14">
        <f>SOFR3mo_PX[[#This Row],[Column280]]</f>
        <v>95.995000000000005</v>
      </c>
      <c r="JU14">
        <f>SOFR3mo_PX[[#This Row],[Column281]]</f>
        <v>96.055000000000007</v>
      </c>
      <c r="JV14">
        <f>SOFR3mo_PX[[#This Row],[Column282]]</f>
        <v>96.055000000000007</v>
      </c>
      <c r="JW14">
        <f>SOFR3mo_PX[[#This Row],[Column283]]</f>
        <v>96.06</v>
      </c>
      <c r="JX14">
        <f>SOFR3mo_PX[[#This Row],[Column284]]</f>
        <v>96.125</v>
      </c>
      <c r="JY14">
        <f>SOFR3mo_PX[[#This Row],[Column285]]</f>
        <v>96.155000000000001</v>
      </c>
      <c r="JZ14">
        <f>SOFR3mo_PX[[#This Row],[Column286]]</f>
        <v>96.13</v>
      </c>
      <c r="KA14">
        <f>SOFR3mo_PX[[#This Row],[Column287]]</f>
        <v>96.135000000000005</v>
      </c>
      <c r="KB14">
        <f>SOFR3mo_PX[[#This Row],[Column288]]</f>
        <v>96.194999999999993</v>
      </c>
      <c r="KC14">
        <f>SOFR3mo_PX[[#This Row],[Column289]]</f>
        <v>96.234999999999999</v>
      </c>
      <c r="KD14">
        <f>SOFR3mo_PX[[#This Row],[Column290]]</f>
        <v>96.11</v>
      </c>
      <c r="KE14">
        <f>SOFR3mo_PX[[#This Row],[Column291]]</f>
        <v>96.06</v>
      </c>
      <c r="KF14">
        <f>SOFR3mo_PX[[#This Row],[Column292]]</f>
        <v>96.03</v>
      </c>
      <c r="KG14">
        <f>SOFR3mo_PX[[#This Row],[Column293]]</f>
        <v>96.09</v>
      </c>
      <c r="KH14">
        <f>SOFR3mo_PX[[#This Row],[Column294]]</f>
        <v>96.055000000000007</v>
      </c>
      <c r="KI14">
        <f>SOFR3mo_PX[[#This Row],[Column295]]</f>
        <v>96.094999999999999</v>
      </c>
      <c r="KJ14">
        <f>SOFR3mo_PX[[#This Row],[Column296]]</f>
        <v>96.08</v>
      </c>
      <c r="KK14">
        <f>SOFR3mo_PX[[#This Row],[Column297]]</f>
        <v>96.075000000000003</v>
      </c>
      <c r="KL14">
        <f>SOFR3mo_PX[[#This Row],[Column298]]</f>
        <v>95.974999999999994</v>
      </c>
      <c r="KM14">
        <f>SOFR3mo_PX[[#This Row],[Column299]]</f>
        <v>95.935000000000002</v>
      </c>
      <c r="KN14">
        <f>SOFR3mo_PX[[#This Row],[Column300]]</f>
        <v>95.82</v>
      </c>
      <c r="KO14">
        <f>SOFR3mo_PX[[#This Row],[Column301]]</f>
        <v>95.905000000000001</v>
      </c>
      <c r="KP14">
        <f>SOFR3mo_PX[[#This Row],[Column302]]</f>
        <v>95.84</v>
      </c>
      <c r="KQ14">
        <f>SOFR3mo_PX[[#This Row],[Column303]]</f>
        <v>95.805000000000007</v>
      </c>
      <c r="KR14">
        <f>SOFR3mo_PX[[#This Row],[Column304]]</f>
        <v>95.87</v>
      </c>
      <c r="KS14">
        <f>SOFR3mo_PX[[#This Row],[Column305]]</f>
        <v>95.924999999999997</v>
      </c>
      <c r="KT14">
        <f>SOFR3mo_PX[[#This Row],[Column306]]</f>
        <v>95.89</v>
      </c>
      <c r="KU14">
        <f>SOFR3mo_PX[[#This Row],[Column307]]</f>
        <v>95.894999999999996</v>
      </c>
      <c r="KV14">
        <f>SOFR3mo_PX[[#This Row],[Column308]]</f>
        <v>95.87</v>
      </c>
      <c r="KW14">
        <f>SOFR3mo_PX[[#This Row],[Column309]]</f>
        <v>95.95</v>
      </c>
      <c r="KX14">
        <f>SOFR3mo_PX[[#This Row],[Column310]]</f>
        <v>95.864999999999995</v>
      </c>
      <c r="KY14">
        <f>SOFR3mo_PX[[#This Row],[Column311]]</f>
        <v>95.91</v>
      </c>
      <c r="KZ14">
        <f>SOFR3mo_PX[[#This Row],[Column312]]</f>
        <v>96.034999999999997</v>
      </c>
      <c r="LA14">
        <f>SOFR3mo_PX[[#This Row],[Column313]]</f>
        <v>95.94</v>
      </c>
      <c r="LB14">
        <f>SOFR3mo_PX[[#This Row],[Column314]]</f>
        <v>95.944999999999993</v>
      </c>
      <c r="LC14">
        <f>SOFR3mo_PX[[#This Row],[Column315]]</f>
        <v>96.204999999999998</v>
      </c>
      <c r="LD14">
        <f>SOFR3mo_PX[[#This Row],[Column316]]</f>
        <v>96.15</v>
      </c>
      <c r="LE14">
        <f>SOFR3mo_PX[[#This Row],[Column317]]</f>
        <v>96.23</v>
      </c>
      <c r="LF14">
        <f>SOFR3mo_PX[[#This Row],[Column318]]</f>
        <v>96.305000000000007</v>
      </c>
      <c r="LG14">
        <f>SOFR3mo_PX[[#This Row],[Column319]]</f>
        <v>96.265000000000001</v>
      </c>
      <c r="LH14">
        <f>SOFR3mo_PX[[#This Row],[Column320]]</f>
        <v>96.245000000000005</v>
      </c>
      <c r="LI14">
        <f>SOFR3mo_PX[[#This Row],[Column321]]</f>
        <v>96.27</v>
      </c>
      <c r="LJ14">
        <f>SOFR3mo_PX[[#This Row],[Column322]]</f>
        <v>96.424999999999997</v>
      </c>
      <c r="LK14">
        <f>SOFR3mo_PX[[#This Row],[Column323]]</f>
        <v>96.424999999999997</v>
      </c>
      <c r="LL14">
        <f>SOFR3mo_PX[[#This Row],[Column324]]</f>
        <v>96.424999999999997</v>
      </c>
      <c r="LM14">
        <f>SOFR3mo_PX[[#This Row],[Column325]]</f>
        <v>96.38</v>
      </c>
      <c r="LN14">
        <f>SOFR3mo_PX[[#This Row],[Column326]]</f>
        <v>96.355000000000004</v>
      </c>
      <c r="LO14">
        <f>SOFR3mo_PX[[#This Row],[Column327]]</f>
        <v>96.39</v>
      </c>
      <c r="LP14">
        <f>SOFR3mo_PX[[#This Row],[Column328]]</f>
        <v>96.33</v>
      </c>
      <c r="LQ14">
        <f>SOFR3mo_PX[[#This Row],[Column329]]</f>
        <v>96.334999999999994</v>
      </c>
      <c r="LR14">
        <f>SOFR3mo_PX[[#This Row],[Column330]]</f>
        <v>96.28</v>
      </c>
      <c r="LS14">
        <f>SOFR3mo_PX[[#This Row],[Column331]]</f>
        <v>96.22</v>
      </c>
      <c r="LT14">
        <f>SOFR3mo_PX[[#This Row],[Column332]]</f>
        <v>96.254999999999995</v>
      </c>
      <c r="LU14">
        <f>SOFR3mo_PX[[#This Row],[Column333]]</f>
        <v>96.295000000000002</v>
      </c>
      <c r="LV14">
        <f>SOFR3mo_PX[[#This Row],[Column334]]</f>
        <v>96.444999999999993</v>
      </c>
      <c r="LW14">
        <f>SOFR3mo_PX[[#This Row],[Column335]]</f>
        <v>96.47</v>
      </c>
      <c r="LX14">
        <f>SOFR3mo_PX[[#This Row],[Column336]]</f>
        <v>96.54</v>
      </c>
      <c r="LY14">
        <f>SOFR3mo_PX[[#This Row],[Column337]]</f>
        <v>96.564999999999998</v>
      </c>
      <c r="LZ14">
        <f>SOFR3mo_PX[[#This Row],[Column338]]</f>
        <v>96.545000000000002</v>
      </c>
      <c r="MA14">
        <f>SOFR3mo_PX[[#This Row],[Column339]]</f>
        <v>96.51</v>
      </c>
      <c r="MB14">
        <f>SOFR3mo_PX[[#This Row],[Column340]]</f>
        <v>96.49</v>
      </c>
      <c r="MC14">
        <f>SOFR3mo_PX[[#This Row],[Column341]]</f>
        <v>96.405000000000001</v>
      </c>
      <c r="MD14">
        <f>SOFR3mo_PX[[#This Row],[Column342]]</f>
        <v>96.444999999999993</v>
      </c>
      <c r="ME14">
        <f>SOFR3mo_PX[[#This Row],[Column343]]</f>
        <v>96.344999999999999</v>
      </c>
      <c r="MF14">
        <f>SOFR3mo_PX[[#This Row],[Column344]]</f>
        <v>96.34</v>
      </c>
      <c r="MG14">
        <f>SOFR3mo_PX[[#This Row],[Column345]]</f>
        <v>96.3</v>
      </c>
      <c r="MH14">
        <f>SOFR3mo_PX[[#This Row],[Column346]]</f>
        <v>96.305000000000007</v>
      </c>
      <c r="MI14">
        <f>SOFR3mo_PX[[#This Row],[Column347]]</f>
        <v>96.33</v>
      </c>
      <c r="MJ14">
        <f>SOFR3mo_PX[[#This Row],[Column348]]</f>
        <v>96.275000000000006</v>
      </c>
      <c r="MK14">
        <f>SOFR3mo_PX[[#This Row],[Column349]]</f>
        <v>96.29</v>
      </c>
      <c r="ML14">
        <f>SOFR3mo_PX[[#This Row],[Column350]]</f>
        <v>96.34</v>
      </c>
      <c r="MM14">
        <f>SOFR3mo_PX[[#This Row],[Column351]]</f>
        <v>96.3</v>
      </c>
      <c r="MN14">
        <f>SOFR3mo_PX[[#This Row],[Column352]]</f>
        <v>96.3</v>
      </c>
      <c r="MO14">
        <f>SOFR3mo_PX[[#This Row],[Column353]]</f>
        <v>96.37</v>
      </c>
      <c r="MP14">
        <f>SOFR3mo_PX[[#This Row],[Column354]]</f>
        <v>96.334999999999994</v>
      </c>
      <c r="MQ14">
        <f>SOFR3mo_PX[[#This Row],[Column355]]</f>
        <v>96.265000000000001</v>
      </c>
      <c r="MR14">
        <f>SOFR3mo_PX[[#This Row],[Column356]]</f>
        <v>96.48</v>
      </c>
      <c r="MS14">
        <f>SOFR3mo_PX[[#This Row],[Column357]]</f>
        <v>96.44</v>
      </c>
      <c r="MT14">
        <f>SOFR3mo_PX[[#This Row],[Column358]]</f>
        <v>96.474999999999994</v>
      </c>
      <c r="MU14">
        <f>SOFR3mo_PX[[#This Row],[Column359]]</f>
        <v>96.55</v>
      </c>
      <c r="MV14">
        <f>SOFR3mo_PX[[#This Row],[Column360]]</f>
        <v>96.58</v>
      </c>
      <c r="MW14">
        <f>SOFR3mo_PX[[#This Row],[Column361]]</f>
        <v>96.484999999999999</v>
      </c>
      <c r="MX14">
        <f>SOFR3mo_PX[[#This Row],[Column362]]</f>
        <v>96.625</v>
      </c>
      <c r="MY14">
        <f>SOFR3mo_PX[[#This Row],[Column363]]</f>
        <v>96.82</v>
      </c>
      <c r="MZ14">
        <f>SOFR3mo_PX[[#This Row],[Column364]]</f>
        <v>96.73</v>
      </c>
      <c r="NA14">
        <f>SOFR3mo_PX[[#This Row],[Column365]]</f>
        <v>96.62</v>
      </c>
      <c r="NB14">
        <f>SOFR3mo_PX[[#This Row],[Column366]]</f>
        <v>96.62</v>
      </c>
      <c r="NC14">
        <f>SOFR3mo_PX[[#This Row],[Column367]]</f>
        <v>96.54</v>
      </c>
      <c r="ND14">
        <f>SOFR3mo_PX[[#This Row],[Column368]]</f>
        <v>96.58</v>
      </c>
      <c r="NE14">
        <f>SOFR3mo_PX[[#This Row],[Column369]]</f>
        <v>96.52</v>
      </c>
      <c r="NF14">
        <f>SOFR3mo_PX[[#This Row],[Column370]]</f>
        <v>96.564999999999998</v>
      </c>
      <c r="NG14">
        <f>SOFR3mo_PX[[#This Row],[Column371]]</f>
        <v>96.6</v>
      </c>
      <c r="NH14">
        <f>SOFR3mo_PX[[#This Row],[Column372]]</f>
        <v>96.534999999999997</v>
      </c>
      <c r="NI14">
        <f>SOFR3mo_PX[[#This Row],[Column373]]</f>
        <v>96.55</v>
      </c>
      <c r="NJ14">
        <f>SOFR3mo_PX[[#This Row],[Column374]]</f>
        <v>96.594999999999999</v>
      </c>
      <c r="NK14">
        <f>SOFR3mo_PX[[#This Row],[Column375]]</f>
        <v>96.674999999999997</v>
      </c>
      <c r="NL14">
        <f>SOFR3mo_PX[[#This Row],[Column376]]</f>
        <v>96.78</v>
      </c>
      <c r="NM14">
        <f>SOFR3mo_PX[[#This Row],[Column377]]</f>
        <v>96.78</v>
      </c>
      <c r="NN14">
        <f>SOFR3mo_PX[[#This Row],[Column378]]</f>
        <v>96.754999999999995</v>
      </c>
      <c r="NO14">
        <f>SOFR3mo_PX[[#This Row],[Column379]]</f>
        <v>96.66</v>
      </c>
      <c r="NP14">
        <f>SOFR3mo_PX[[#This Row],[Column380]]</f>
        <v>96.67</v>
      </c>
      <c r="NQ14">
        <f>SOFR3mo_PX[[#This Row],[Column381]]</f>
        <v>96.685000000000002</v>
      </c>
      <c r="NR14">
        <f>SOFR3mo_PX[[#This Row],[Column382]]</f>
        <v>96.665000000000006</v>
      </c>
      <c r="NS14">
        <f>SOFR3mo_PX[[#This Row],[Column383]]</f>
        <v>96.704999999999998</v>
      </c>
      <c r="NT14">
        <f>SOFR3mo_PX[[#This Row],[Column384]]</f>
        <v>96.814999999999998</v>
      </c>
      <c r="NU14">
        <f>SOFR3mo_PX[[#This Row],[Column385]]</f>
        <v>96.78</v>
      </c>
      <c r="NV14">
        <f>SOFR3mo_PX[[#This Row],[Column386]]</f>
        <v>96.89</v>
      </c>
      <c r="NW14">
        <f>SOFR3mo_PX[[#This Row],[Column387]]</f>
        <v>96.89</v>
      </c>
      <c r="NX14">
        <f>SOFR3mo_PX[[#This Row],[Column388]]</f>
        <v>96.87</v>
      </c>
      <c r="NY14">
        <f>SOFR3mo_PX[[#This Row],[Column389]]</f>
        <v>96.92</v>
      </c>
      <c r="NZ14">
        <f>SOFR3mo_PX[[#This Row],[Column390]]</f>
        <v>96.825000000000003</v>
      </c>
      <c r="OA14">
        <f>SOFR3mo_PX[[#This Row],[Column391]]</f>
        <v>96.795000000000002</v>
      </c>
      <c r="OB14">
        <f>SOFR3mo_PX[[#This Row],[Column392]]</f>
        <v>96.795000000000002</v>
      </c>
      <c r="OC14">
        <f>SOFR3mo_PX[[#This Row],[Column393]]</f>
        <v>96.81</v>
      </c>
      <c r="OD14">
        <f>SOFR3mo_PX[[#This Row],[Column394]]</f>
        <v>96.81</v>
      </c>
      <c r="OE14">
        <f>SOFR3mo_PX[[#This Row],[Column395]]</f>
        <v>96.75</v>
      </c>
      <c r="OF14">
        <f>SOFR3mo_PX[[#This Row],[Column396]]</f>
        <v>96.73</v>
      </c>
      <c r="OG14">
        <f>SOFR3mo_PX[[#This Row],[Column397]]</f>
        <v>96.76</v>
      </c>
      <c r="OH14">
        <f>SOFR3mo_PX[[#This Row],[Column398]]</f>
        <v>96.765000000000001</v>
      </c>
      <c r="OI14">
        <f>SOFR3mo_PX[[#This Row],[Column399]]</f>
        <v>96.665000000000006</v>
      </c>
      <c r="OJ14">
        <f>SOFR3mo_PX[[#This Row],[Column400]]</f>
        <v>96.484999999999999</v>
      </c>
      <c r="OK14">
        <f>SOFR3mo_PX[[#This Row],[Column401]]</f>
        <v>96.435000000000002</v>
      </c>
      <c r="OL14">
        <f>SOFR3mo_PX[[#This Row],[Column402]]</f>
        <v>96.454999999999998</v>
      </c>
      <c r="OM14">
        <f>SOFR3mo_PX[[#This Row],[Column403]]</f>
        <v>96.61</v>
      </c>
      <c r="ON14">
        <f>SOFR3mo_PX[[#This Row],[Column404]]</f>
        <v>96.605000000000004</v>
      </c>
      <c r="OO14">
        <f>SOFR3mo_PX[[#This Row],[Column405]]</f>
        <v>96.58</v>
      </c>
      <c r="OP14">
        <f>SOFR3mo_PX[[#This Row],[Column406]]</f>
        <v>96.465000000000003</v>
      </c>
      <c r="OQ14">
        <f>SOFR3mo_PX[[#This Row],[Column407]]</f>
        <v>96.52</v>
      </c>
      <c r="OR14">
        <f>SOFR3mo_PX[[#This Row],[Column408]]</f>
        <v>96.39</v>
      </c>
      <c r="OS14">
        <f>SOFR3mo_PX[[#This Row],[Column409]]</f>
        <v>96.48</v>
      </c>
      <c r="OT14">
        <f>SOFR3mo_PX[[#This Row],[Column410]]</f>
        <v>96.435000000000002</v>
      </c>
      <c r="OU14">
        <f>SOFR3mo_PX[[#This Row],[Column411]]</f>
        <v>96.3</v>
      </c>
      <c r="OV14">
        <f>SOFR3mo_PX[[#This Row],[Column412]]</f>
        <v>96.2</v>
      </c>
      <c r="OW14">
        <f>SOFR3mo_PX[[#This Row],[Column413]]</f>
        <v>96.26</v>
      </c>
      <c r="OX14">
        <f>SOFR3mo_PX[[#This Row],[Column414]]</f>
        <v>96.26</v>
      </c>
      <c r="OY14">
        <f>SOFR3mo_PX[[#This Row],[Column415]]</f>
        <v>96.284999999999997</v>
      </c>
      <c r="OZ14">
        <f>SOFR3mo_PX[[#This Row],[Column416]]</f>
        <v>96.254999999999995</v>
      </c>
      <c r="PA14">
        <f>SOFR3mo_PX[[#This Row],[Column417]]</f>
        <v>96.224999999999994</v>
      </c>
      <c r="PB14">
        <f>SOFR3mo_PX[[#This Row],[Column418]]</f>
        <v>96.254999999999995</v>
      </c>
      <c r="PC14">
        <f>SOFR3mo_PX[[#This Row],[Column419]]</f>
        <v>96.135000000000005</v>
      </c>
      <c r="PD14">
        <f>SOFR3mo_PX[[#This Row],[Column420]]</f>
        <v>96.245000000000005</v>
      </c>
      <c r="PE14">
        <f>SOFR3mo_PX[[#This Row],[Column421]]</f>
        <v>95.99</v>
      </c>
      <c r="PF14">
        <f>SOFR3mo_PX[[#This Row],[Column422]]</f>
        <v>95.995000000000005</v>
      </c>
      <c r="PG14">
        <f>SOFR3mo_PX[[#This Row],[Column423]]</f>
        <v>96.034999999999997</v>
      </c>
      <c r="PH14">
        <f>SOFR3mo_PX[[#This Row],[Column424]]</f>
        <v>96.15</v>
      </c>
      <c r="PI14">
        <f>SOFR3mo_PX[[#This Row],[Column425]]</f>
        <v>96.135000000000005</v>
      </c>
      <c r="PJ14">
        <f>SOFR3mo_PX[[#This Row],[Column426]]</f>
        <v>96.055000000000007</v>
      </c>
      <c r="PK14">
        <f>SOFR3mo_PX[[#This Row],[Column427]]</f>
        <v>96.18</v>
      </c>
      <c r="PL14">
        <f>SOFR3mo_PX[[#This Row],[Column428]]</f>
        <v>96.015000000000001</v>
      </c>
      <c r="PM14">
        <f>SOFR3mo_PX[[#This Row],[Column429]]</f>
        <v>95.95</v>
      </c>
      <c r="PN14">
        <f>SOFR3mo_PX[[#This Row],[Column430]]</f>
        <v>95.834999999999994</v>
      </c>
      <c r="PO14">
        <f>SOFR3mo_PX[[#This Row],[Column431]]</f>
        <v>95.844999999999999</v>
      </c>
      <c r="PP14">
        <f>SOFR3mo_PX[[#This Row],[Column432]]</f>
        <v>95.86</v>
      </c>
      <c r="PQ14">
        <f>SOFR3mo_PX[[#This Row],[Column433]]</f>
        <v>95.81</v>
      </c>
      <c r="PR14">
        <f>SOFR3mo_PX[[#This Row],[Column434]]</f>
        <v>95.67</v>
      </c>
      <c r="PS14">
        <f>SOFR3mo_PX[[#This Row],[Column435]]</f>
        <v>95.78</v>
      </c>
      <c r="PT14">
        <f>SOFR3mo_PX[[#This Row],[Column436]]</f>
        <v>95.82</v>
      </c>
      <c r="PU14">
        <f>SOFR3mo_PX[[#This Row],[Column437]]</f>
        <v>95.71</v>
      </c>
      <c r="PV14">
        <f>SOFR3mo_PX[[#This Row],[Column438]]</f>
        <v>95.58</v>
      </c>
      <c r="PW14">
        <f>SOFR3mo_PX[[#This Row],[Column439]]</f>
        <v>95.644999999999996</v>
      </c>
      <c r="PX14">
        <f>SOFR3mo_PX[[#This Row],[Column440]]</f>
        <v>95.724999999999994</v>
      </c>
      <c r="PY14">
        <f>SOFR3mo_PX[[#This Row],[Column441]]</f>
        <v>95.91</v>
      </c>
      <c r="PZ14">
        <f>SOFR3mo_PX[[#This Row],[Column442]]</f>
        <v>95.995000000000005</v>
      </c>
      <c r="QA14">
        <f>SOFR3mo_PX[[#This Row],[Column443]]</f>
        <v>95.924999999999997</v>
      </c>
      <c r="QB14">
        <f>SOFR3mo_PX[[#This Row],[Column444]]</f>
        <v>96.03</v>
      </c>
      <c r="QC14">
        <f>SOFR3mo_PX[[#This Row],[Column445]]</f>
        <v>96.004999999999995</v>
      </c>
      <c r="QD14">
        <f>SOFR3mo_PX[[#This Row],[Column446]]</f>
        <v>96.05</v>
      </c>
      <c r="QE14">
        <f>SOFR3mo_PX[[#This Row],[Column447]]</f>
        <v>95.875</v>
      </c>
      <c r="QF14">
        <f>SOFR3mo_PX[[#This Row],[Column448]]</f>
        <v>95.94</v>
      </c>
      <c r="QG14">
        <f>SOFR3mo_PX[[#This Row],[Column449]]</f>
        <v>95.894999999999996</v>
      </c>
      <c r="QH14">
        <f>SOFR3mo_PX[[#This Row],[Column450]]</f>
        <v>95.83</v>
      </c>
      <c r="QI14">
        <f>SOFR3mo_PX[[#This Row],[Column451]]</f>
        <v>95.94</v>
      </c>
      <c r="QJ14">
        <f>SOFR3mo_PX[[#This Row],[Column452]]</f>
        <v>96.064999999999998</v>
      </c>
      <c r="QK14">
        <f>SOFR3mo_PX[[#This Row],[Column453]]</f>
        <v>96.004999999999995</v>
      </c>
      <c r="QL14">
        <f>SOFR3mo_PX[[#This Row],[Column454]]</f>
        <v>95.96</v>
      </c>
      <c r="QM14">
        <f>SOFR3mo_PX[[#This Row],[Column455]]</f>
        <v>96.04</v>
      </c>
      <c r="QN14">
        <f>SOFR3mo_PX[[#This Row],[Column456]]</f>
        <v>96.04</v>
      </c>
      <c r="QO14">
        <f>SOFR3mo_PX[[#This Row],[Column457]]</f>
        <v>96.09</v>
      </c>
      <c r="QP14">
        <f>SOFR3mo_PX[[#This Row],[Column458]]</f>
        <v>96.034999999999997</v>
      </c>
      <c r="QQ14">
        <f>SOFR3mo_PX[[#This Row],[Column459]]</f>
        <v>96.16</v>
      </c>
      <c r="QR14">
        <f>SOFR3mo_PX[[#This Row],[Column460]]</f>
        <v>96.105000000000004</v>
      </c>
      <c r="QS14">
        <f>SOFR3mo_PX[[#This Row],[Column461]]</f>
        <v>96.185000000000002</v>
      </c>
      <c r="QT14">
        <f>SOFR3mo_PX[[#This Row],[Column462]]</f>
        <v>96.19</v>
      </c>
      <c r="QU14">
        <f>SOFR3mo_PX[[#This Row],[Column463]]</f>
        <v>96.224999999999994</v>
      </c>
      <c r="QV14">
        <f>SOFR3mo_PX[[#This Row],[Column464]]</f>
        <v>96.254999999999995</v>
      </c>
      <c r="QW14">
        <f>SOFR3mo_PX[[#This Row],[Column465]]</f>
        <v>96.224999999999994</v>
      </c>
      <c r="QX14">
        <f>SOFR3mo_PX[[#This Row],[Column466]]</f>
        <v>96.234999999999999</v>
      </c>
      <c r="QY14">
        <f>SOFR3mo_PX[[#This Row],[Column467]]</f>
        <v>96.25</v>
      </c>
      <c r="QZ14">
        <f>SOFR3mo_PX[[#This Row],[Column468]]</f>
        <v>96.265000000000001</v>
      </c>
      <c r="RA14">
        <f>SOFR3mo_PX[[#This Row],[Column469]]</f>
        <v>96.21</v>
      </c>
      <c r="RB14">
        <f>SOFR3mo_PX[[#This Row],[Column470]]</f>
        <v>96.3</v>
      </c>
      <c r="RC14">
        <f>SOFR3mo_PX[[#This Row],[Column471]]</f>
        <v>96.375</v>
      </c>
      <c r="RD14">
        <f>SOFR3mo_PX[[#This Row],[Column472]]</f>
        <v>96.375</v>
      </c>
      <c r="RE14">
        <f>SOFR3mo_PX[[#This Row],[Column473]]</f>
        <v>96.43</v>
      </c>
      <c r="RF14">
        <f>SOFR3mo_PX[[#This Row],[Column474]]</f>
        <v>96.4</v>
      </c>
      <c r="RG14">
        <f>SOFR3mo_PX[[#This Row],[Column475]]</f>
        <v>96.385000000000005</v>
      </c>
      <c r="RH14">
        <f>SOFR3mo_PX[[#This Row],[Column476]]</f>
        <v>96.26</v>
      </c>
      <c r="RI14">
        <f>SOFR3mo_PX[[#This Row],[Column477]]</f>
        <v>96.215000000000003</v>
      </c>
      <c r="RJ14">
        <f>SOFR3mo_PX[[#This Row],[Column478]]</f>
        <v>96.215000000000003</v>
      </c>
      <c r="RK14">
        <f>SOFR3mo_PX[[#This Row],[Column479]]</f>
        <v>96.245000000000005</v>
      </c>
      <c r="RL14">
        <f>SOFR3mo_PX[[#This Row],[Column480]]</f>
        <v>96.105000000000004</v>
      </c>
      <c r="RM14">
        <f>SOFR3mo_PX[[#This Row],[Column481]]</f>
        <v>96.13</v>
      </c>
      <c r="RN14">
        <f>SOFR3mo_PX[[#This Row],[Column482]]</f>
        <v>96.215000000000003</v>
      </c>
      <c r="RO14">
        <f>SOFR3mo_PX[[#This Row],[Column483]]</f>
        <v>96.144999999999996</v>
      </c>
      <c r="RP14">
        <f>SOFR3mo_PX[[#This Row],[Column484]]</f>
        <v>96.215000000000003</v>
      </c>
      <c r="RQ14">
        <f>SOFR3mo_PX[[#This Row],[Column485]]</f>
        <v>96.245000000000005</v>
      </c>
      <c r="RR14">
        <f>SOFR3mo_PX[[#This Row],[Column486]]</f>
        <v>96.29</v>
      </c>
      <c r="RS14">
        <f>SOFR3mo_PX[[#This Row],[Column487]]</f>
        <v>96.34</v>
      </c>
      <c r="RT14">
        <f>SOFR3mo_PX[[#This Row],[Column488]]</f>
        <v>96.48</v>
      </c>
      <c r="RU14">
        <f>SOFR3mo_PX[[#This Row],[Column489]]</f>
        <v>96.57</v>
      </c>
      <c r="RV14">
        <f>SOFR3mo_PX[[#This Row],[Column490]]</f>
        <v>96.594999999999999</v>
      </c>
      <c r="RW14">
        <f>SOFR3mo_PX[[#This Row],[Column491]]</f>
        <v>96.545000000000002</v>
      </c>
      <c r="RX14">
        <f>SOFR3mo_PX[[#This Row],[Column492]]</f>
        <v>96.515000000000001</v>
      </c>
      <c r="RY14">
        <f>SOFR3mo_PX[[#This Row],[Column493]]</f>
        <v>96.36</v>
      </c>
      <c r="RZ14">
        <f>SOFR3mo_PX[[#This Row],[Column494]]</f>
        <v>96.454999999999998</v>
      </c>
      <c r="SA14">
        <f>SOFR3mo_PX[[#This Row],[Column495]]</f>
        <v>96.435000000000002</v>
      </c>
      <c r="SB14">
        <f>SOFR3mo_PX[[#This Row],[Column496]]</f>
        <v>96.52</v>
      </c>
      <c r="SC14">
        <f>SOFR3mo_PX[[#This Row],[Column497]]</f>
        <v>96.495000000000005</v>
      </c>
      <c r="SD14">
        <f>SOFR3mo_PX[[#This Row],[Column498]]</f>
        <v>96.43</v>
      </c>
      <c r="SE14">
        <f>SOFR3mo_PX[[#This Row],[Column499]]</f>
        <v>96.62</v>
      </c>
      <c r="SF14">
        <f>SOFR3mo_PX[[#This Row],[Column500]]</f>
        <v>96.49</v>
      </c>
      <c r="SG14">
        <f>SOFR3mo_PX[[#This Row],[Column501]]</f>
        <v>96.575000000000003</v>
      </c>
      <c r="SH14">
        <f>SOFR3mo_PX[[#This Row],[Column502]]</f>
        <v>96.62</v>
      </c>
      <c r="SI14">
        <f>SOFR3mo_PX[[#This Row],[Column503]]</f>
        <v>96.63</v>
      </c>
      <c r="SJ14">
        <f>SOFR3mo_PX[[#This Row],[Column504]]</f>
        <v>96.795000000000002</v>
      </c>
      <c r="SK14">
        <f>SOFR3mo_PX[[#This Row],[Column505]]</f>
        <v>96.754999999999995</v>
      </c>
      <c r="SL14">
        <f>SOFR3mo_PX[[#This Row],[Column506]]</f>
        <v>96.734999999999999</v>
      </c>
      <c r="SM14">
        <f>SOFR3mo_PX[[#This Row],[Column507]]</f>
        <v>96.69</v>
      </c>
      <c r="SN14">
        <f>SOFR3mo_PX[[#This Row],[Column508]]</f>
        <v>96.805000000000007</v>
      </c>
      <c r="SO14">
        <f>SOFR3mo_PX[[#This Row],[Column509]]</f>
        <v>96.644999999999996</v>
      </c>
      <c r="SP14">
        <f>SOFR3mo_PX[[#This Row],[Column510]]</f>
        <v>96.45</v>
      </c>
      <c r="SQ14">
        <f>SOFR3mo_PX[[#This Row],[Column511]]</f>
        <v>96.415000000000006</v>
      </c>
      <c r="SR14">
        <f>SOFR3mo_PX[[#This Row],[Column512]]</f>
        <v>96.284999999999997</v>
      </c>
      <c r="SS14">
        <f>SOFR3mo_PX[[#This Row],[Column513]]</f>
        <v>96.27</v>
      </c>
      <c r="ST14">
        <f>SOFR3mo_PX[[#This Row],[Column514]]</f>
        <v>96.42</v>
      </c>
      <c r="SU14">
        <f>SOFR3mo_PX[[#This Row],[Column515]]</f>
        <v>96.515000000000001</v>
      </c>
      <c r="SV14">
        <f>SOFR3mo_PX[[#This Row],[Column516]]</f>
        <v>96.515000000000001</v>
      </c>
      <c r="SW14">
        <f>SOFR3mo_PX[[#This Row],[Column517]]</f>
        <v>96.584999999999994</v>
      </c>
      <c r="SX14">
        <f>SOFR3mo_PX[[#This Row],[Column518]]</f>
        <v>96.594999999999999</v>
      </c>
      <c r="SY14">
        <f>SOFR3mo_PX[[#This Row],[Column519]]</f>
        <v>96.775000000000006</v>
      </c>
      <c r="SZ14">
        <f>SOFR3mo_PX[[#This Row],[Column520]]</f>
        <v>96.71</v>
      </c>
      <c r="TA14">
        <f>SOFR3mo_PX[[#This Row],[Column521]]</f>
        <v>96.784999999999997</v>
      </c>
      <c r="TB14">
        <f>SOFR3mo_PX[[#This Row],[Column522]]</f>
        <v>96.74</v>
      </c>
      <c r="TC14">
        <f>SOFR3mo_PX[[#This Row],[Column523]]</f>
        <v>96.7</v>
      </c>
      <c r="TD14">
        <f>SOFR3mo_PX[[#This Row],[Column524]]</f>
        <v>96.79</v>
      </c>
      <c r="TE14">
        <f>SOFR3mo_PX[[#This Row],[Column525]]</f>
        <v>96.74</v>
      </c>
      <c r="TF14">
        <f>SOFR3mo_PX[[#This Row],[Column526]]</f>
        <v>96.7</v>
      </c>
      <c r="TG14">
        <f>SOFR3mo_PX[[#This Row],[Column527]]</f>
        <v>96.7</v>
      </c>
      <c r="TH14">
        <f>SOFR3mo_PX[[#This Row],[Column528]]</f>
        <v>96.795000000000002</v>
      </c>
      <c r="TI14">
        <f>SOFR3mo_PX[[#This Row],[Column529]]</f>
        <v>96.7</v>
      </c>
      <c r="TJ14">
        <f>SOFR3mo_PX[[#This Row],[Column530]]</f>
        <v>96.674999999999997</v>
      </c>
      <c r="TK14">
        <f>SOFR3mo_PX[[#This Row],[Column531]]</f>
        <v>96.81</v>
      </c>
      <c r="TL14">
        <f>SOFR3mo_PX[[#This Row],[Column532]]</f>
        <v>96.805000000000007</v>
      </c>
      <c r="TM14">
        <f>SOFR3mo_PX[[#This Row],[Column533]]</f>
        <v>96.875</v>
      </c>
      <c r="TN14">
        <f>SOFR3mo_PX[[#This Row],[Column534]]</f>
        <v>96.805000000000007</v>
      </c>
      <c r="TO14">
        <f>SOFR3mo_PX[[#This Row],[Column535]]</f>
        <v>96.875</v>
      </c>
      <c r="TP14">
        <f>SOFR3mo_PX[[#This Row],[Column536]]</f>
        <v>96.89</v>
      </c>
      <c r="TQ14">
        <f>SOFR3mo_PX[[#This Row],[Column537]]</f>
        <v>96.864999999999995</v>
      </c>
      <c r="TR14">
        <f>SOFR3mo_PX[[#This Row],[Column538]]</f>
        <v>97.02</v>
      </c>
      <c r="TS14">
        <f>SOFR3mo_PX[[#This Row],[Column539]]</f>
        <v>96.98</v>
      </c>
      <c r="TT14">
        <f>SOFR3mo_PX[[#This Row],[Column540]]</f>
        <v>96.89</v>
      </c>
      <c r="TU14">
        <f>SOFR3mo_PX[[#This Row],[Column541]]</f>
        <v>96.715000000000003</v>
      </c>
      <c r="TV14">
        <f>SOFR3mo_PX[[#This Row],[Column542]]</f>
        <v>96.715000000000003</v>
      </c>
      <c r="TW14">
        <f>SOFR3mo_PX[[#This Row],[Column543]]</f>
        <v>96.78</v>
      </c>
      <c r="TX14">
        <f>SOFR3mo_PX[[#This Row],[Column544]]</f>
        <v>96.91</v>
      </c>
      <c r="TY14">
        <f>SOFR3mo_PX[[#This Row],[Column545]]</f>
        <v>96.915000000000006</v>
      </c>
      <c r="TZ14">
        <f>SOFR3mo_PX[[#This Row],[Column546]]</f>
        <v>96.894999999999996</v>
      </c>
      <c r="UA14">
        <f>SOFR3mo_PX[[#This Row],[Column547]]</f>
        <v>96.924999999999997</v>
      </c>
      <c r="UB14">
        <f>SOFR3mo_PX[[#This Row],[Column548]]</f>
        <v>97.004999999999995</v>
      </c>
      <c r="UC14">
        <f>SOFR3mo_PX[[#This Row],[Column549]]</f>
        <v>97.12</v>
      </c>
      <c r="UD14">
        <f>SOFR3mo_PX[[#This Row],[Column550]]</f>
        <v>97.18</v>
      </c>
      <c r="UE14">
        <f>SOFR3mo_PX[[#This Row],[Column551]]</f>
        <v>97.22</v>
      </c>
      <c r="UF14">
        <f>SOFR3mo_PX[[#This Row],[Column552]]</f>
        <v>97.22</v>
      </c>
      <c r="UG14">
        <f>SOFR3mo_PX[[#This Row],[Column553]]</f>
        <v>97.314999999999998</v>
      </c>
      <c r="UH14">
        <f>SOFR3mo_PX[[#This Row],[Column554]]</f>
        <v>97.284999999999997</v>
      </c>
      <c r="UI14">
        <f>SOFR3mo_PX[[#This Row],[Column555]]</f>
        <v>97.174999999999997</v>
      </c>
      <c r="UJ14">
        <f>SOFR3mo_PX[[#This Row],[Column556]]</f>
        <v>97.165000000000006</v>
      </c>
      <c r="UK14">
        <f>SOFR3mo_PX[[#This Row],[Column557]]</f>
        <v>97.224999999999994</v>
      </c>
      <c r="UL14">
        <f>SOFR3mo_PX[[#This Row],[Column558]]</f>
        <v>97.364999999999995</v>
      </c>
      <c r="UM14">
        <f>SOFR3mo_PX[[#This Row],[Column559]]</f>
        <v>97.265000000000001</v>
      </c>
      <c r="UN14">
        <f>SOFR3mo_PX[[#This Row],[Column560]]</f>
        <v>97.224999999999994</v>
      </c>
      <c r="UO14">
        <f>SOFR3mo_PX[[#This Row],[Column561]]</f>
        <v>97.055000000000007</v>
      </c>
      <c r="UP14">
        <f>SOFR3mo_PX[[#This Row],[Column562]]</f>
        <v>97.15</v>
      </c>
      <c r="UQ14">
        <f>SOFR3mo_PX[[#This Row],[Column563]]</f>
        <v>97.084999999999994</v>
      </c>
      <c r="UR14">
        <f>SOFR3mo_PX[[#This Row],[Column564]]</f>
        <v>97.21</v>
      </c>
      <c r="US14">
        <f>SOFR3mo_PX[[#This Row],[Column565]]</f>
        <v>97.25</v>
      </c>
      <c r="UT14">
        <f>SOFR3mo_PX[[#This Row],[Column566]]</f>
        <v>97.08</v>
      </c>
      <c r="UU14">
        <f>SOFR3mo_PX[[#This Row],[Column567]]</f>
        <v>97.02</v>
      </c>
      <c r="UV14">
        <f>SOFR3mo_PX[[#This Row],[Column568]]</f>
        <v>97.045000000000002</v>
      </c>
      <c r="UW14">
        <f>SOFR3mo_PX[[#This Row],[Column569]]</f>
        <v>96.96</v>
      </c>
      <c r="UX14">
        <f>SOFR3mo_PX[[#This Row],[Column570]]</f>
        <v>96.99</v>
      </c>
      <c r="UY14">
        <f>SOFR3mo_PX[[#This Row],[Column571]]</f>
        <v>96.965000000000003</v>
      </c>
      <c r="UZ14">
        <f>SOFR3mo_PX[[#This Row],[Column572]]</f>
        <v>97.05</v>
      </c>
      <c r="VA14">
        <f>SOFR3mo_PX[[#This Row],[Column573]]</f>
        <v>97.15</v>
      </c>
      <c r="VB14">
        <f>SOFR3mo_PX[[#This Row],[Column574]]</f>
        <v>97.19</v>
      </c>
      <c r="VC14">
        <f>SOFR3mo_PX[[#This Row],[Column575]]</f>
        <v>97.105000000000004</v>
      </c>
      <c r="VD14">
        <f>SOFR3mo_PX[[#This Row],[Column576]]</f>
        <v>97.144999999999996</v>
      </c>
      <c r="VE14">
        <f>SOFR3mo_PX[[#This Row],[Column577]]</f>
        <v>97.194999999999993</v>
      </c>
      <c r="VF14">
        <f>SOFR3mo_PX[[#This Row],[Column578]]</f>
        <v>97.314999999999998</v>
      </c>
      <c r="VG14">
        <f>SOFR3mo_PX[[#This Row],[Column579]]</f>
        <v>97.305000000000007</v>
      </c>
      <c r="VH14">
        <f>SOFR3mo_PX[[#This Row],[Column580]]</f>
        <v>97.284999999999997</v>
      </c>
      <c r="VI14">
        <f>SOFR3mo_PX[[#This Row],[Column581]]</f>
        <v>97.155000000000001</v>
      </c>
      <c r="VJ14">
        <f>SOFR3mo_PX[[#This Row],[Column582]]</f>
        <v>97.064999999999998</v>
      </c>
      <c r="VK14">
        <f>SOFR3mo_PX[[#This Row],[Column583]]</f>
        <v>97</v>
      </c>
      <c r="VL14">
        <f>SOFR3mo_PX[[#This Row],[Column584]]</f>
        <v>96.954999999999998</v>
      </c>
      <c r="VM14">
        <f>SOFR3mo_PX[[#This Row],[Column585]]</f>
        <v>96.954999999999998</v>
      </c>
      <c r="VN14">
        <f>SOFR3mo_PX[[#This Row],[Column586]]</f>
        <v>97.004999999999995</v>
      </c>
      <c r="VO14">
        <f>SOFR3mo_PX[[#This Row],[Column587]]</f>
        <v>97.135000000000005</v>
      </c>
      <c r="VP14">
        <f>SOFR3mo_PX[[#This Row],[Column588]]</f>
        <v>97.13</v>
      </c>
      <c r="VQ14">
        <f>SOFR3mo_PX[[#This Row],[Column589]]</f>
        <v>96.97</v>
      </c>
      <c r="VR14">
        <f>SOFR3mo_PX[[#This Row],[Column590]]</f>
        <v>96.77</v>
      </c>
      <c r="VS14">
        <f>SOFR3mo_PX[[#This Row],[Column591]]</f>
        <v>96.86</v>
      </c>
      <c r="VT14">
        <f>SOFR3mo_PX[[#This Row],[Column592]]</f>
        <v>96.95</v>
      </c>
      <c r="VU14">
        <f>SOFR3mo_PX[[#This Row],[Column593]]</f>
        <v>96.694999999999993</v>
      </c>
      <c r="VV14">
        <f>SOFR3mo_PX[[#This Row],[Column594]]</f>
        <v>96.775000000000006</v>
      </c>
      <c r="VW14">
        <f>SOFR3mo_PX[[#This Row],[Column595]]</f>
        <v>96.614999999999995</v>
      </c>
      <c r="VX14">
        <f>SOFR3mo_PX[[#This Row],[Column596]]</f>
        <v>96.75</v>
      </c>
      <c r="VY14">
        <f>SOFR3mo_PX[[#This Row],[Column597]]</f>
        <v>96.734999999999999</v>
      </c>
      <c r="VZ14">
        <f>SOFR3mo_PX[[#This Row],[Column598]]</f>
        <v>96.55</v>
      </c>
      <c r="WA14">
        <f>SOFR3mo_PX[[#This Row],[Column599]]</f>
        <v>96.41</v>
      </c>
      <c r="WB14">
        <f>SOFR3mo_PX[[#This Row],[Column600]]</f>
        <v>96.41</v>
      </c>
      <c r="WC14">
        <f>SOFR3mo_PX[[#This Row],[Column601]]</f>
        <v>96.424999999999997</v>
      </c>
      <c r="WD14">
        <f>SOFR3mo_PX[[#This Row],[Column602]]</f>
        <v>96.42</v>
      </c>
      <c r="WE14">
        <f>SOFR3mo_PX[[#This Row],[Column603]]</f>
        <v>96.334999999999994</v>
      </c>
      <c r="WF14">
        <f>SOFR3mo_PX[[#This Row],[Column604]]</f>
        <v>96.424999999999997</v>
      </c>
      <c r="WG14">
        <f>SOFR3mo_PX[[#This Row],[Column605]]</f>
        <v>96.54</v>
      </c>
      <c r="WH14">
        <f>SOFR3mo_PX[[#This Row],[Column606]]</f>
        <v>96.534999999999997</v>
      </c>
      <c r="WI14">
        <f>SOFR3mo_PX[[#This Row],[Column607]]</f>
        <v>96.474999999999994</v>
      </c>
      <c r="WJ14">
        <f>SOFR3mo_PX[[#This Row],[Column608]]</f>
        <v>96.614999999999995</v>
      </c>
      <c r="WK14">
        <f>SOFR3mo_PX[[#This Row],[Column609]]</f>
        <v>96.57</v>
      </c>
      <c r="WL14">
        <f>SOFR3mo_PX[[#This Row],[Column610]]</f>
        <v>96.545000000000002</v>
      </c>
      <c r="WM14">
        <f>SOFR3mo_PX[[#This Row],[Column611]]</f>
        <v>96.694999999999993</v>
      </c>
      <c r="WN14">
        <f>SOFR3mo_PX[[#This Row],[Column612]]</f>
        <v>96.694999999999993</v>
      </c>
      <c r="WO14">
        <f>SOFR3mo_PX[[#This Row],[Column613]]</f>
        <v>96.655000000000001</v>
      </c>
      <c r="WP14">
        <f>SOFR3mo_PX[[#This Row],[Column614]]</f>
        <v>96.67</v>
      </c>
      <c r="WQ14">
        <f>SOFR3mo_PX[[#This Row],[Column615]]</f>
        <v>96.73</v>
      </c>
      <c r="WR14">
        <f>SOFR3mo_PX[[#This Row],[Column616]]</f>
        <v>96.84</v>
      </c>
      <c r="WS14">
        <f>SOFR3mo_PX[[#This Row],[Column617]]</f>
        <v>96.855000000000004</v>
      </c>
      <c r="WT14">
        <f>SOFR3mo_PX[[#This Row],[Column618]]</f>
        <v>96.894999999999996</v>
      </c>
      <c r="WU14">
        <f>SOFR3mo_PX[[#This Row],[Column619]]</f>
        <v>96.98</v>
      </c>
      <c r="WV14">
        <f>SOFR3mo_PX[[#This Row],[Column620]]</f>
        <v>96.944999999999993</v>
      </c>
      <c r="WW14">
        <f>SOFR3mo_PX[[#This Row],[Column621]]</f>
        <v>96.97</v>
      </c>
      <c r="WX14">
        <f>SOFR3mo_PX[[#This Row],[Column622]]</f>
        <v>97.105000000000004</v>
      </c>
      <c r="WY14">
        <f>SOFR3mo_PX[[#This Row],[Column623]]</f>
        <v>97.305000000000007</v>
      </c>
      <c r="WZ14">
        <f>SOFR3mo_PX[[#This Row],[Column624]]</f>
        <v>97.31</v>
      </c>
      <c r="XA14">
        <f>SOFR3mo_PX[[#This Row],[Column625]]</f>
        <v>97.15</v>
      </c>
      <c r="XB14">
        <f>SOFR3mo_PX[[#This Row],[Column626]]</f>
        <v>97.07</v>
      </c>
      <c r="XC14">
        <f>SOFR3mo_PX[[#This Row],[Column627]]</f>
        <v>97.144999999999996</v>
      </c>
      <c r="XD14">
        <f>SOFR3mo_PX[[#This Row],[Column628]]</f>
        <v>97.185000000000002</v>
      </c>
      <c r="XE14">
        <f>SOFR3mo_PX[[#This Row],[Column629]]</f>
        <v>97.234999999999999</v>
      </c>
      <c r="XF14">
        <f>SOFR3mo_PX[[#This Row],[Column630]]</f>
        <v>97.24</v>
      </c>
      <c r="XG14">
        <f>SOFR3mo_PX[[#This Row],[Column631]]</f>
        <v>97.18</v>
      </c>
      <c r="XH14">
        <f>SOFR3mo_PX[[#This Row],[Column632]]</f>
        <v>97.254999999999995</v>
      </c>
      <c r="XI14">
        <f>SOFR3mo_PX[[#This Row],[Column633]]</f>
        <v>97.355000000000004</v>
      </c>
      <c r="XJ14">
        <f>SOFR3mo_PX[[#This Row],[Column634]]</f>
        <v>97.4</v>
      </c>
      <c r="XK14">
        <f>SOFR3mo_PX[[#This Row],[Column635]]</f>
        <v>97.22</v>
      </c>
      <c r="XL14">
        <f>SOFR3mo_PX[[#This Row],[Column636]]</f>
        <v>97.215000000000003</v>
      </c>
      <c r="XM14">
        <f>SOFR3mo_PX[[#This Row],[Column637]]</f>
        <v>97.215000000000003</v>
      </c>
      <c r="XN14">
        <f>SOFR3mo_PX[[#This Row],[Column638]]</f>
        <v>97.275000000000006</v>
      </c>
      <c r="XO14">
        <f>SOFR3mo_PX[[#This Row],[Column639]]</f>
        <v>97.15</v>
      </c>
      <c r="XP14">
        <f>SOFR3mo_PX[[#This Row],[Column640]]</f>
        <v>97.084999999999994</v>
      </c>
      <c r="XQ14">
        <f>SOFR3mo_PX[[#This Row],[Column641]]</f>
        <v>97.18</v>
      </c>
      <c r="XR14">
        <f>SOFR3mo_PX[[#This Row],[Column642]]</f>
        <v>97.144999999999996</v>
      </c>
      <c r="XS14">
        <f>SOFR3mo_PX[[#This Row],[Column643]]</f>
        <v>96.924999999999997</v>
      </c>
      <c r="XT14">
        <f>SOFR3mo_PX[[#This Row],[Column644]]</f>
        <v>96.95</v>
      </c>
      <c r="XU14">
        <f>SOFR3mo_PX[[#This Row],[Column645]]</f>
        <v>96.855000000000004</v>
      </c>
      <c r="XV14">
        <f>SOFR3mo_PX[[#This Row],[Column646]]</f>
        <v>96.814999999999998</v>
      </c>
      <c r="XW14">
        <f>SOFR3mo_PX[[#This Row],[Column647]]</f>
        <v>96.814999999999998</v>
      </c>
      <c r="XX14">
        <f>SOFR3mo_PX[[#This Row],[Column648]]</f>
        <v>96.775000000000006</v>
      </c>
      <c r="XY14">
        <f>SOFR3mo_PX[[#This Row],[Column649]]</f>
        <v>96.745000000000005</v>
      </c>
      <c r="XZ14">
        <f>SOFR3mo_PX[[#This Row],[Column650]]</f>
        <v>96.775000000000006</v>
      </c>
      <c r="YA14">
        <f>SOFR3mo_PX[[#This Row],[Column651]]</f>
        <v>96.875</v>
      </c>
      <c r="YB14">
        <f>SOFR3mo_PX[[#This Row],[Column652]]</f>
        <v>96.875</v>
      </c>
      <c r="YC14">
        <f>SOFR3mo_PX[[#This Row],[Column653]]</f>
        <v>96.965000000000003</v>
      </c>
      <c r="YD14">
        <f>SOFR3mo_PX[[#This Row],[Column654]]</f>
        <v>96.984999999999999</v>
      </c>
      <c r="YE14">
        <f>SOFR3mo_PX[[#This Row],[Column655]]</f>
        <v>96.98</v>
      </c>
      <c r="YF14">
        <f>SOFR3mo_PX[[#This Row],[Column656]]</f>
        <v>97.05</v>
      </c>
      <c r="YG14">
        <f>SOFR3mo_PX[[#This Row],[Column657]]</f>
        <v>97.135000000000005</v>
      </c>
      <c r="YH14">
        <f>SOFR3mo_PX[[#This Row],[Column658]]</f>
        <v>97.135000000000005</v>
      </c>
      <c r="YI14">
        <f>SOFR3mo_PX[[#This Row],[Column659]]</f>
        <v>97.105000000000004</v>
      </c>
      <c r="YJ14">
        <f>SOFR3mo_PX[[#This Row],[Column660]]</f>
        <v>97.094999999999999</v>
      </c>
      <c r="YK14">
        <f>SOFR3mo_PX[[#This Row],[Column661]]</f>
        <v>96.97</v>
      </c>
      <c r="YL14">
        <f>SOFR3mo_PX[[#This Row],[Column662]]</f>
        <v>97.034999999999997</v>
      </c>
      <c r="YM14">
        <f>SOFR3mo_PX[[#This Row],[Column663]]</f>
        <v>97.1</v>
      </c>
      <c r="YN14">
        <f>SOFR3mo_PX[[#This Row],[Column664]]</f>
        <v>97.21</v>
      </c>
      <c r="YO14">
        <f>SOFR3mo_PX[[#This Row],[Column665]]</f>
        <v>97.1</v>
      </c>
      <c r="YP14">
        <f>SOFR3mo_PX[[#This Row],[Column666]]</f>
        <v>97.05</v>
      </c>
      <c r="YQ14">
        <f>SOFR3mo_PX[[#This Row],[Column667]]</f>
        <v>97.185000000000002</v>
      </c>
      <c r="YR14">
        <f>SOFR3mo_PX[[#This Row],[Column668]]</f>
        <v>97.125</v>
      </c>
      <c r="YS14">
        <f>SOFR3mo_PX[[#This Row],[Column669]]</f>
        <v>96.96</v>
      </c>
      <c r="YT14">
        <f>SOFR3mo_PX[[#This Row],[Column670]]</f>
        <v>96.84</v>
      </c>
      <c r="YU14">
        <f>SOFR3mo_PX[[#This Row],[Column671]]</f>
        <v>96.844999999999999</v>
      </c>
      <c r="YV14">
        <f>SOFR3mo_PX[[#This Row],[Column672]]</f>
        <v>96.85</v>
      </c>
      <c r="YW14">
        <f>SOFR3mo_PX[[#This Row],[Column673]]</f>
        <v>96.84</v>
      </c>
      <c r="YX14">
        <f>SOFR3mo_PX[[#This Row],[Column674]]</f>
        <v>96.84</v>
      </c>
      <c r="YY14">
        <f>SOFR3mo_PX[[#This Row],[Column675]]</f>
        <v>96.805000000000007</v>
      </c>
      <c r="YZ14">
        <f>SOFR3mo_PX[[#This Row],[Column676]]</f>
        <v>96.7</v>
      </c>
      <c r="ZA14">
        <f>SOFR3mo_PX[[#This Row],[Column677]]</f>
        <v>96.724999999999994</v>
      </c>
      <c r="ZB14">
        <f>SOFR3mo_PX[[#This Row],[Column678]]</f>
        <v>96.814999999999998</v>
      </c>
      <c r="ZC14">
        <f>SOFR3mo_PX[[#This Row],[Column679]]</f>
        <v>96.905000000000001</v>
      </c>
      <c r="ZD14">
        <f>SOFR3mo_PX[[#This Row],[Column680]]</f>
        <v>96.81</v>
      </c>
      <c r="ZE14">
        <f>SOFR3mo_PX[[#This Row],[Column681]]</f>
        <v>96.69</v>
      </c>
      <c r="ZF14">
        <f>SOFR3mo_PX[[#This Row],[Column682]]</f>
        <v>96.734999999999999</v>
      </c>
      <c r="ZG14">
        <f>SOFR3mo_PX[[#This Row],[Column683]]</f>
        <v>96.69</v>
      </c>
      <c r="ZH14">
        <f>SOFR3mo_PX[[#This Row],[Column684]]</f>
        <v>96.325000000000003</v>
      </c>
      <c r="ZI14">
        <f>SOFR3mo_PX[[#This Row],[Column685]]</f>
        <v>96.265000000000001</v>
      </c>
      <c r="ZJ14">
        <f>SOFR3mo_PX[[#This Row],[Column686]]</f>
        <v>96.185000000000002</v>
      </c>
      <c r="ZK14">
        <f>SOFR3mo_PX[[#This Row],[Column687]]</f>
        <v>96.224999999999994</v>
      </c>
      <c r="ZL14">
        <f>SOFR3mo_PX[[#This Row],[Column688]]</f>
        <v>96.204999999999998</v>
      </c>
      <c r="ZM14">
        <f>SOFR3mo_PX[[#This Row],[Column689]]</f>
        <v>96.295000000000002</v>
      </c>
      <c r="ZN14">
        <f>SOFR3mo_PX[[#This Row],[Column690]]</f>
        <v>96.31</v>
      </c>
      <c r="ZO14">
        <f>SOFR3mo_PX[[#This Row],[Column691]]</f>
        <v>96.32</v>
      </c>
      <c r="ZP14">
        <f>SOFR3mo_PX[[#This Row],[Column692]]</f>
        <v>96.355000000000004</v>
      </c>
      <c r="ZQ14">
        <f>SOFR3mo_PX[[#This Row],[Column693]]</f>
        <v>96.48</v>
      </c>
      <c r="ZR14">
        <f>SOFR3mo_PX[[#This Row],[Column694]]</f>
        <v>96.38</v>
      </c>
      <c r="ZS14">
        <f>SOFR3mo_PX[[#This Row],[Column695]]</f>
        <v>96.305000000000007</v>
      </c>
      <c r="ZT14">
        <f>SOFR3mo_PX[[#This Row],[Column696]]</f>
        <v>96.21</v>
      </c>
      <c r="ZU14">
        <f>SOFR3mo_PX[[#This Row],[Column697]]</f>
        <v>96.194999999999993</v>
      </c>
      <c r="ZV14">
        <f>SOFR3mo_PX[[#This Row],[Column698]]</f>
        <v>96.09</v>
      </c>
      <c r="ZW14">
        <f>SOFR3mo_PX[[#This Row],[Column699]]</f>
        <v>96.224999999999994</v>
      </c>
      <c r="ZX14">
        <f>SOFR3mo_PX[[#This Row],[Column700]]</f>
        <v>96.385000000000005</v>
      </c>
      <c r="ZY14">
        <f>SOFR3mo_PX[[#This Row],[Column701]]</f>
        <v>96.37</v>
      </c>
      <c r="ZZ14">
        <f>SOFR3mo_PX[[#This Row],[Column702]]</f>
        <v>96.33</v>
      </c>
      <c r="AAA14">
        <f>SOFR3mo_PX[[#This Row],[Column703]]</f>
        <v>96.38</v>
      </c>
      <c r="AAB14">
        <f>SOFR3mo_PX[[#This Row],[Column704]]</f>
        <v>96.394999999999996</v>
      </c>
      <c r="AAC14">
        <f>SOFR3mo_PX[[#This Row],[Column705]]</f>
        <v>96.325000000000003</v>
      </c>
      <c r="AAD14">
        <f>SOFR3mo_PX[[#This Row],[Column706]]</f>
        <v>96.34</v>
      </c>
      <c r="AAE14">
        <f>SOFR3mo_PX[[#This Row],[Column707]]</f>
        <v>96.38</v>
      </c>
      <c r="AAF14">
        <f>SOFR3mo_PX[[#This Row],[Column708]]</f>
        <v>96.444999999999993</v>
      </c>
      <c r="AAG14">
        <f>SOFR3mo_PX[[#This Row],[Column709]]</f>
        <v>96.515000000000001</v>
      </c>
      <c r="AAH14">
        <f>SOFR3mo_PX[[#This Row],[Column710]]</f>
        <v>96.68</v>
      </c>
      <c r="AAI14">
        <f>SOFR3mo_PX[[#This Row],[Column711]]</f>
        <v>96.575000000000003</v>
      </c>
      <c r="AAJ14">
        <f>SOFR3mo_PX[[#This Row],[Column712]]</f>
        <v>96.415000000000006</v>
      </c>
      <c r="AAK14">
        <f>SOFR3mo_PX[[#This Row],[Column713]]</f>
        <v>96.5</v>
      </c>
      <c r="AAL14">
        <f>SOFR3mo_PX[[#This Row],[Column714]]</f>
        <v>96.54</v>
      </c>
      <c r="AAM14">
        <f>SOFR3mo_PX[[#This Row],[Column715]]</f>
        <v>96.27</v>
      </c>
      <c r="AAN14">
        <f>SOFR3mo_PX[[#This Row],[Column716]]</f>
        <v>96.29</v>
      </c>
      <c r="AAO14">
        <f>SOFR3mo_PX[[#This Row],[Column717]]</f>
        <v>96.51</v>
      </c>
      <c r="AAP14">
        <f>SOFR3mo_PX[[#This Row],[Column718]]</f>
        <v>96.57</v>
      </c>
      <c r="AAQ14">
        <f>SOFR3mo_PX[[#This Row],[Column719]]</f>
        <v>96.78</v>
      </c>
      <c r="AAR14">
        <f>SOFR3mo_PX[[#This Row],[Column720]]</f>
        <v>96.665000000000006</v>
      </c>
      <c r="AAS14">
        <f>SOFR3mo_PX[[#This Row],[Column721]]</f>
        <v>96.75</v>
      </c>
      <c r="AAT14">
        <f>SOFR3mo_PX[[#This Row],[Column722]]</f>
        <v>96.83</v>
      </c>
      <c r="AAU14">
        <f>SOFR3mo_PX[[#This Row],[Column723]]</f>
        <v>96.77</v>
      </c>
      <c r="AAV14">
        <f>SOFR3mo_PX[[#This Row],[Column724]]</f>
        <v>96.855000000000004</v>
      </c>
      <c r="AAW14">
        <f>SOFR3mo_PX[[#This Row],[Column725]]</f>
        <v>96.864999999999995</v>
      </c>
      <c r="AAX14">
        <f>SOFR3mo_PX[[#This Row],[Column726]]</f>
        <v>96.974999999999994</v>
      </c>
      <c r="AAY14">
        <f>SOFR3mo_PX[[#This Row],[Column727]]</f>
        <v>96.984999999999999</v>
      </c>
      <c r="AAZ14">
        <f>SOFR3mo_PX[[#This Row],[Column728]]</f>
        <v>97.034999999999997</v>
      </c>
      <c r="ABA14">
        <f>SOFR3mo_PX[[#This Row],[Column729]]</f>
        <v>97.06</v>
      </c>
      <c r="ABB14">
        <f>SOFR3mo_PX[[#This Row],[Column730]]</f>
        <v>96.954999999999998</v>
      </c>
      <c r="ABC14">
        <f>SOFR3mo_PX[[#This Row],[Column731]]</f>
        <v>97.084999999999994</v>
      </c>
      <c r="ABD14">
        <f>SOFR3mo_PX[[#This Row],[Column732]]</f>
        <v>97.084999999999994</v>
      </c>
      <c r="ABE14">
        <f>SOFR3mo_PX[[#This Row],[Column733]]</f>
        <v>96.984999999999999</v>
      </c>
      <c r="ABF14">
        <f>SOFR3mo_PX[[#This Row],[Column734]]</f>
        <v>97.105000000000004</v>
      </c>
      <c r="ABG14">
        <f>SOFR3mo_PX[[#This Row],[Column735]]</f>
        <v>97.084999999999994</v>
      </c>
      <c r="ABH14">
        <f>SOFR3mo_PX[[#This Row],[Column736]]</f>
        <v>97.09</v>
      </c>
      <c r="ABI14">
        <f>SOFR3mo_PX[[#This Row],[Column737]]</f>
        <v>97.165000000000006</v>
      </c>
      <c r="ABJ14">
        <f>SOFR3mo_PX[[#This Row],[Column738]]</f>
        <v>97.215000000000003</v>
      </c>
      <c r="ABK14">
        <f>SOFR3mo_PX[[#This Row],[Column739]]</f>
        <v>97.174999999999997</v>
      </c>
      <c r="ABL14">
        <f>SOFR3mo_PX[[#This Row],[Column740]]</f>
        <v>97.224999999999994</v>
      </c>
      <c r="ABM14">
        <f>SOFR3mo_PX[[#This Row],[Column741]]</f>
        <v>97.234999999999999</v>
      </c>
      <c r="ABN14">
        <f>SOFR3mo_PX[[#This Row],[Column742]]</f>
        <v>97.314999999999998</v>
      </c>
      <c r="ABO14">
        <f>SOFR3mo_PX[[#This Row],[Column743]]</f>
        <v>97.415000000000006</v>
      </c>
      <c r="ABP14">
        <f>SOFR3mo_PX[[#This Row],[Column744]]</f>
        <v>97.405000000000001</v>
      </c>
      <c r="ABQ14">
        <f>SOFR3mo_PX[[#This Row],[Column745]]</f>
        <v>97.534999999999997</v>
      </c>
      <c r="ABR14">
        <f>SOFR3mo_PX[[#This Row],[Column746]]</f>
        <v>97.605000000000004</v>
      </c>
      <c r="ABS14">
        <f>SOFR3mo_PX[[#This Row],[Column747]]</f>
        <v>97.52</v>
      </c>
      <c r="ABT14">
        <f>SOFR3mo_PX[[#This Row],[Column748]]</f>
        <v>97.52</v>
      </c>
      <c r="ABU14">
        <f>SOFR3mo_PX[[#This Row],[Column749]]</f>
        <v>97.584999999999994</v>
      </c>
      <c r="ABV14">
        <f>SOFR3mo_PX[[#This Row],[Column750]]</f>
        <v>97.52</v>
      </c>
      <c r="ABW14">
        <f>SOFR3mo_PX[[#This Row],[Column751]]</f>
        <v>97.614999999999995</v>
      </c>
      <c r="ABX14">
        <f>SOFR3mo_PX[[#This Row],[Column752]]</f>
        <v>97.515000000000001</v>
      </c>
      <c r="ABY14">
        <f>SOFR3mo_PX[[#This Row],[Column753]]</f>
        <v>97.72</v>
      </c>
      <c r="ABZ14">
        <f>SOFR3mo_PX[[#This Row],[Column754]]</f>
        <v>97.594999999999999</v>
      </c>
      <c r="ACA14">
        <f>SOFR3mo_PX[[#This Row],[Column755]]</f>
        <v>97.614999999999995</v>
      </c>
      <c r="ACB14">
        <f>SOFR3mo_PX[[#This Row],[Column756]]</f>
        <v>97.864999999999995</v>
      </c>
      <c r="ACC14">
        <f>SOFR3mo_PX[[#This Row],[Column757]]</f>
        <v>97.83</v>
      </c>
      <c r="ACD14">
        <f>SOFR3mo_PX[[#This Row],[Column758]]</f>
        <v>97.8</v>
      </c>
      <c r="ACE14">
        <f>SOFR3mo_PX[[#This Row],[Column759]]</f>
        <v>97.724999999999994</v>
      </c>
      <c r="ACF14">
        <f>SOFR3mo_PX[[#This Row],[Column760]]</f>
        <v>97.635000000000005</v>
      </c>
      <c r="ACG14">
        <f>SOFR3mo_PX[[#This Row],[Column761]]</f>
        <v>97.64</v>
      </c>
      <c r="ACH14">
        <f>SOFR3mo_PX[[#This Row],[Column762]]</f>
        <v>97.66</v>
      </c>
      <c r="ACI14">
        <f>SOFR3mo_PX[[#This Row],[Column763]]</f>
        <v>97.51</v>
      </c>
      <c r="ACJ14">
        <f>SOFR3mo_PX[[#This Row],[Column764]]</f>
        <v>97.314999999999998</v>
      </c>
      <c r="ACK14">
        <f>SOFR3mo_PX[[#This Row],[Column765]]</f>
        <v>97.34</v>
      </c>
      <c r="ACL14">
        <f>SOFR3mo_PX[[#This Row],[Column766]]</f>
        <v>97.42</v>
      </c>
      <c r="ACM14">
        <f>SOFR3mo_PX[[#This Row],[Column767]]</f>
        <v>97.454999999999998</v>
      </c>
      <c r="ACN14">
        <f>SOFR3mo_PX[[#This Row],[Column768]]</f>
        <v>97.47</v>
      </c>
      <c r="ACO14">
        <f>SOFR3mo_PX[[#This Row],[Column769]]</f>
        <v>97.515000000000001</v>
      </c>
      <c r="ACP14">
        <f>SOFR3mo_PX[[#This Row],[Column770]]</f>
        <v>97.46</v>
      </c>
      <c r="ACQ14">
        <f>SOFR3mo_PX[[#This Row],[Column771]]</f>
        <v>97.415000000000006</v>
      </c>
      <c r="ACR14">
        <f>SOFR3mo_PX[[#This Row],[Column772]]</f>
        <v>97.314999999999998</v>
      </c>
      <c r="ACS14">
        <f>SOFR3mo_PX[[#This Row],[Column773]]</f>
        <v>97.41</v>
      </c>
      <c r="ACT14">
        <f>SOFR3mo_PX[[#This Row],[Column774]]</f>
        <v>97.5</v>
      </c>
      <c r="ACU14">
        <f>SOFR3mo_PX[[#This Row],[Column775]]</f>
        <v>97.665000000000006</v>
      </c>
      <c r="ACV14">
        <f>SOFR3mo_PX[[#This Row],[Column776]]</f>
        <v>97.584999999999994</v>
      </c>
      <c r="ACW14">
        <f>SOFR3mo_PX[[#This Row],[Column777]]</f>
        <v>97.584999999999994</v>
      </c>
      <c r="ACX14">
        <f>SOFR3mo_PX[[#This Row],[Column778]]</f>
        <v>97.44</v>
      </c>
      <c r="ACY14">
        <f>SOFR3mo_PX[[#This Row],[Column779]]</f>
        <v>97.25</v>
      </c>
      <c r="ACZ14">
        <f>SOFR3mo_PX[[#This Row],[Column780]]</f>
        <v>97.09</v>
      </c>
      <c r="ADA14">
        <f>SOFR3mo_PX[[#This Row],[Column781]]</f>
        <v>97.1</v>
      </c>
      <c r="ADB14">
        <f>SOFR3mo_PX[[#This Row],[Column782]]</f>
        <v>97.185000000000002</v>
      </c>
      <c r="ADC14">
        <f>SOFR3mo_PX[[#This Row],[Column783]]</f>
        <v>97.254999999999995</v>
      </c>
      <c r="ADD14">
        <f>SOFR3mo_PX[[#This Row],[Column784]]</f>
        <v>97.14</v>
      </c>
      <c r="ADE14">
        <f>SOFR3mo_PX[[#This Row],[Column785]]</f>
        <v>96.954999999999998</v>
      </c>
      <c r="ADF14">
        <f>SOFR3mo_PX[[#This Row],[Column786]]</f>
        <v>96.97</v>
      </c>
      <c r="ADG14">
        <f>SOFR3mo_PX[[#This Row],[Column787]]</f>
        <v>96.97</v>
      </c>
      <c r="ADH14">
        <f>SOFR3mo_PX[[#This Row],[Column788]]</f>
        <v>96.93</v>
      </c>
      <c r="ADI14">
        <f>SOFR3mo_PX[[#This Row],[Column789]]</f>
        <v>96.825000000000003</v>
      </c>
      <c r="ADJ14">
        <f>SOFR3mo_PX[[#This Row],[Column790]]</f>
        <v>96.62</v>
      </c>
      <c r="ADK14">
        <f>SOFR3mo_PX[[#This Row],[Column791]]</f>
        <v>96.69</v>
      </c>
      <c r="ADL14">
        <f>SOFR3mo_PX[[#This Row],[Column792]]</f>
        <v>96.905000000000001</v>
      </c>
      <c r="ADM14">
        <f>SOFR3mo_PX[[#This Row],[Column793]]</f>
        <v>97.084999999999994</v>
      </c>
      <c r="ADN14">
        <f>SOFR3mo_PX[[#This Row],[Column794]]</f>
        <v>97.125</v>
      </c>
      <c r="ADO14">
        <f>SOFR3mo_PX[[#This Row],[Column795]]</f>
        <v>97.16</v>
      </c>
      <c r="ADP14">
        <f>SOFR3mo_PX[[#This Row],[Column796]]</f>
        <v>97.11</v>
      </c>
      <c r="ADQ14">
        <f>SOFR3mo_PX[[#This Row],[Column797]]</f>
        <v>97.224999999999994</v>
      </c>
      <c r="ADR14">
        <f>SOFR3mo_PX[[#This Row],[Column798]]</f>
        <v>97.275000000000006</v>
      </c>
      <c r="ADS14">
        <f>SOFR3mo_PX[[#This Row],[Column799]]</f>
        <v>97.234999999999999</v>
      </c>
      <c r="ADT14">
        <f>SOFR3mo_PX[[#This Row],[Column800]]</f>
        <v>97.375</v>
      </c>
      <c r="ADU14">
        <f>SOFR3mo_PX[[#This Row],[Column801]]</f>
        <v>97.424999999999997</v>
      </c>
      <c r="ADV14">
        <f>SOFR3mo_PX[[#This Row],[Column802]]</f>
        <v>97.424999999999997</v>
      </c>
      <c r="ADW14">
        <f>SOFR3mo_PX[[#This Row],[Column803]]</f>
        <v>97.454999999999998</v>
      </c>
      <c r="ADX14">
        <f>SOFR3mo_PX[[#This Row],[Column804]]</f>
        <v>97.474999999999994</v>
      </c>
      <c r="ADY14">
        <f>SOFR3mo_PX[[#This Row],[Column805]]</f>
        <v>97.444999999999993</v>
      </c>
      <c r="ADZ14">
        <f>SOFR3mo_PX[[#This Row],[Column806]]</f>
        <v>97.314999999999998</v>
      </c>
      <c r="AEA14">
        <f>SOFR3mo_PX[[#This Row],[Column807]]</f>
        <v>97.4</v>
      </c>
      <c r="AEB14">
        <f>SOFR3mo_PX[[#This Row],[Column808]]</f>
        <v>97.32</v>
      </c>
      <c r="AEC14">
        <f>SOFR3mo_PX[[#This Row],[Column809]]</f>
        <v>97.25</v>
      </c>
      <c r="AED14">
        <f>SOFR3mo_PX[[#This Row],[Column810]]</f>
        <v>97.194999999999993</v>
      </c>
      <c r="AEE14">
        <f>SOFR3mo_PX[[#This Row],[Column811]]</f>
        <v>97.35</v>
      </c>
      <c r="AEF14">
        <f>SOFR3mo_PX[[#This Row],[Column812]]</f>
        <v>97.234999999999999</v>
      </c>
      <c r="AEG14">
        <f>SOFR3mo_PX[[#This Row],[Column813]]</f>
        <v>97.33</v>
      </c>
      <c r="AEH14">
        <f>SOFR3mo_PX[[#This Row],[Column814]]</f>
        <v>97.215000000000003</v>
      </c>
      <c r="AEI14">
        <f>SOFR3mo_PX[[#This Row],[Column815]]</f>
        <v>97.155000000000001</v>
      </c>
      <c r="AEJ14">
        <f>SOFR3mo_PX[[#This Row],[Column816]]</f>
        <v>97.1</v>
      </c>
      <c r="AEK14">
        <f>SOFR3mo_PX[[#This Row],[Column817]]</f>
        <v>97.004999999999995</v>
      </c>
      <c r="AEL14">
        <f>SOFR3mo_PX[[#This Row],[Column818]]</f>
        <v>97.02</v>
      </c>
      <c r="AEM14">
        <f>SOFR3mo_PX[[#This Row],[Column819]]</f>
        <v>97.13</v>
      </c>
      <c r="AEN14">
        <f>SOFR3mo_PX[[#This Row],[Column820]]</f>
        <v>97.03</v>
      </c>
      <c r="AEO14">
        <f>SOFR3mo_PX[[#This Row],[Column821]]</f>
        <v>97</v>
      </c>
      <c r="AEP14">
        <f>SOFR3mo_PX[[#This Row],[Column822]]</f>
        <v>97.11</v>
      </c>
      <c r="AEQ14">
        <f>SOFR3mo_PX[[#This Row],[Column823]]</f>
        <v>97.12</v>
      </c>
      <c r="AER14">
        <f>SOFR3mo_PX[[#This Row],[Column824]]</f>
        <v>97.22</v>
      </c>
      <c r="AES14">
        <f>SOFR3mo_PX[[#This Row],[Column825]]</f>
        <v>97.24</v>
      </c>
      <c r="AET14">
        <f>SOFR3mo_PX[[#This Row],[Column826]]</f>
        <v>97.165000000000006</v>
      </c>
      <c r="AEU14">
        <f>SOFR3mo_PX[[#This Row],[Column827]]</f>
        <v>97.1</v>
      </c>
      <c r="AEV14">
        <f>SOFR3mo_PX[[#This Row],[Column828]]</f>
        <v>97.03</v>
      </c>
      <c r="AEW14">
        <f>SOFR3mo_PX[[#This Row],[Column829]]</f>
        <v>97.15</v>
      </c>
      <c r="AEX14">
        <f>SOFR3mo_PX[[#This Row],[Column830]]</f>
        <v>97.114999999999995</v>
      </c>
      <c r="AEY14">
        <f>SOFR3mo_PX[[#This Row],[Column831]]</f>
        <v>97.24</v>
      </c>
      <c r="AEZ14">
        <f>SOFR3mo_PX[[#This Row],[Column832]]</f>
        <v>97.265000000000001</v>
      </c>
      <c r="AFA14">
        <f>SOFR3mo_PX[[#This Row],[Column833]]</f>
        <v>97.265000000000001</v>
      </c>
      <c r="AFB14">
        <f>SOFR3mo_PX[[#This Row],[Column834]]</f>
        <v>97.39</v>
      </c>
      <c r="AFC14">
        <f>SOFR3mo_PX[[#This Row],[Column835]]</f>
        <v>97.355000000000004</v>
      </c>
      <c r="AFD14">
        <f>SOFR3mo_PX[[#This Row],[Column836]]</f>
        <v>97.2</v>
      </c>
      <c r="AFE14">
        <f>SOFR3mo_PX[[#This Row],[Column837]]</f>
        <v>97.224999999999994</v>
      </c>
      <c r="AFF14">
        <f>SOFR3mo_PX[[#This Row],[Column838]]</f>
        <v>97.32</v>
      </c>
      <c r="AFG14">
        <f>SOFR3mo_PX[[#This Row],[Column839]]</f>
        <v>97.295000000000002</v>
      </c>
      <c r="AFH14">
        <f>SOFR3mo_PX[[#This Row],[Column840]]</f>
        <v>97.29</v>
      </c>
      <c r="AFI14">
        <f>SOFR3mo_PX[[#This Row],[Column841]]</f>
        <v>97.415000000000006</v>
      </c>
      <c r="AFJ14">
        <f>SOFR3mo_PX[[#This Row],[Column842]]</f>
        <v>97.394999999999996</v>
      </c>
      <c r="AFK14">
        <f>SOFR3mo_PX[[#This Row],[Column843]]</f>
        <v>97.555000000000007</v>
      </c>
      <c r="AFL14">
        <f>SOFR3mo_PX[[#This Row],[Column844]]</f>
        <v>97.5</v>
      </c>
      <c r="AFM14">
        <f>SOFR3mo_PX[[#This Row],[Column845]]</f>
        <v>97.47</v>
      </c>
      <c r="AFN14">
        <f>SOFR3mo_PX[[#This Row],[Column846]]</f>
        <v>97.4</v>
      </c>
      <c r="AFO14">
        <f>SOFR3mo_PX[[#This Row],[Column847]]</f>
        <v>97.405000000000001</v>
      </c>
      <c r="AFP14">
        <f>SOFR3mo_PX[[#This Row],[Column848]]</f>
        <v>97.655000000000001</v>
      </c>
      <c r="AFQ14">
        <f>SOFR3mo_PX[[#This Row],[Column849]]</f>
        <v>97.69</v>
      </c>
      <c r="AFR14">
        <f>SOFR3mo_PX[[#This Row],[Column850]]</f>
        <v>97.62</v>
      </c>
      <c r="AFS14">
        <f>SOFR3mo_PX[[#This Row],[Column851]]</f>
        <v>97.67</v>
      </c>
      <c r="AFT14">
        <f>SOFR3mo_PX[[#This Row],[Column852]]</f>
        <v>97.864999999999995</v>
      </c>
      <c r="AFU14">
        <f>SOFR3mo_PX[[#This Row],[Column853]]</f>
        <v>97.834999999999994</v>
      </c>
      <c r="AFV14">
        <f>SOFR3mo_PX[[#This Row],[Column854]]</f>
        <v>97.79</v>
      </c>
      <c r="AFW14">
        <f>SOFR3mo_PX[[#This Row],[Column855]]</f>
        <v>97.875</v>
      </c>
      <c r="AFX14">
        <f>SOFR3mo_PX[[#This Row],[Column856]]</f>
        <v>97.905000000000001</v>
      </c>
      <c r="AFY14">
        <f>SOFR3mo_PX[[#This Row],[Column857]]</f>
        <v>98.055000000000007</v>
      </c>
      <c r="AFZ14">
        <f>SOFR3mo_PX[[#This Row],[Column858]]</f>
        <v>98.09</v>
      </c>
      <c r="AGA14">
        <f>SOFR3mo_PX[[#This Row],[Column859]]</f>
        <v>98.155000000000001</v>
      </c>
      <c r="AGB14">
        <f>SOFR3mo_PX[[#This Row],[Column860]]</f>
        <v>98.25</v>
      </c>
      <c r="AGC14">
        <f>SOFR3mo_PX[[#This Row],[Column861]]</f>
        <v>98.37</v>
      </c>
      <c r="AGD14">
        <f>SOFR3mo_PX[[#This Row],[Column862]]</f>
        <v>98.44</v>
      </c>
      <c r="AGE14">
        <f>SOFR3mo_PX[[#This Row],[Column863]]</f>
        <v>98.295000000000002</v>
      </c>
      <c r="AGF14">
        <f>SOFR3mo_PX[[#This Row],[Column864]]</f>
        <v>98.27</v>
      </c>
      <c r="AGG14">
        <f>SOFR3mo_PX[[#This Row],[Column865]]</f>
        <v>98.484999999999999</v>
      </c>
      <c r="AGH14">
        <f>SOFR3mo_PX[[#This Row],[Column866]]</f>
        <v>98.25</v>
      </c>
      <c r="AGI14">
        <f>SOFR3mo_PX[[#This Row],[Column867]]</f>
        <v>98.075000000000003</v>
      </c>
      <c r="AGJ14">
        <f>SOFR3mo_PX[[#This Row],[Column868]]</f>
        <v>98.105000000000004</v>
      </c>
      <c r="AGK14">
        <f>SOFR3mo_PX[[#This Row],[Column869]]</f>
        <v>98.1</v>
      </c>
      <c r="AGL14">
        <f>SOFR3mo_PX[[#This Row],[Column870]]</f>
        <v>98.14</v>
      </c>
      <c r="AGM14">
        <f>SOFR3mo_PX[[#This Row],[Column871]]</f>
        <v>98.155000000000001</v>
      </c>
      <c r="AGN14">
        <f>SOFR3mo_PX[[#This Row],[Column872]]</f>
        <v>98.155000000000001</v>
      </c>
      <c r="AGO14">
        <f>SOFR3mo_PX[[#This Row],[Column873]]</f>
        <v>98.125</v>
      </c>
      <c r="AGP14">
        <f>SOFR3mo_PX[[#This Row],[Column874]]</f>
        <v>98.05</v>
      </c>
      <c r="AGQ14">
        <f>SOFR3mo_PX[[#This Row],[Column875]]</f>
        <v>98.034999999999997</v>
      </c>
      <c r="AGR14">
        <f>SOFR3mo_PX[[#This Row],[Column876]]</f>
        <v>98.045000000000002</v>
      </c>
      <c r="AGS14">
        <f>SOFR3mo_PX[[#This Row],[Column877]]</f>
        <v>98.12</v>
      </c>
      <c r="AGT14">
        <f>SOFR3mo_PX[[#This Row],[Column878]]</f>
        <v>97.984999999999999</v>
      </c>
      <c r="AGU14">
        <f>SOFR3mo_PX[[#This Row],[Column879]]</f>
        <v>98.09</v>
      </c>
      <c r="AGV14">
        <f>SOFR3mo_PX[[#This Row],[Column880]]</f>
        <v>98.084999999999994</v>
      </c>
      <c r="AGW14">
        <f>SOFR3mo_PX[[#This Row],[Column881]]</f>
        <v>98.14</v>
      </c>
      <c r="AGX14">
        <f>SOFR3mo_PX[[#This Row],[Column882]]</f>
        <v>98.12</v>
      </c>
      <c r="AGY14">
        <f>SOFR3mo_PX[[#This Row],[Column883]]</f>
        <v>98.254999999999995</v>
      </c>
      <c r="AGZ14">
        <f>SOFR3mo_PX[[#This Row],[Column884]]</f>
        <v>98.32</v>
      </c>
      <c r="AHA14">
        <f>SOFR3mo_PX[[#This Row],[Column885]]</f>
        <v>98.3</v>
      </c>
      <c r="AHB14">
        <f>SOFR3mo_PX[[#This Row],[Column886]]</f>
        <v>98.295000000000002</v>
      </c>
      <c r="AHC14">
        <f>SOFR3mo_PX[[#This Row],[Column887]]</f>
        <v>98.27</v>
      </c>
      <c r="AHD14">
        <f>SOFR3mo_PX[[#This Row],[Column888]]</f>
        <v>98.224999999999994</v>
      </c>
      <c r="AHE14">
        <f>SOFR3mo_PX[[#This Row],[Column889]]</f>
        <v>98.21</v>
      </c>
      <c r="AHF14">
        <f>SOFR3mo_PX[[#This Row],[Column890]]</f>
        <v>98.3</v>
      </c>
      <c r="AHG14">
        <f>SOFR3mo_PX[[#This Row],[Column891]]</f>
        <v>98.35</v>
      </c>
      <c r="AHH14">
        <f>SOFR3mo_PX[[#This Row],[Column892]]</f>
        <v>98.284999999999997</v>
      </c>
      <c r="AHI14">
        <f>SOFR3mo_PX[[#This Row],[Column893]]</f>
        <v>98.204999999999998</v>
      </c>
      <c r="AHJ14">
        <f>SOFR3mo_PX[[#This Row],[Column894]]</f>
        <v>98.21</v>
      </c>
      <c r="AHK14">
        <f>SOFR3mo_PX[[#This Row],[Column895]]</f>
        <v>98.16</v>
      </c>
      <c r="AHL14">
        <f>SOFR3mo_PX[[#This Row],[Column896]]</f>
        <v>98.26</v>
      </c>
      <c r="AHM14">
        <f>SOFR3mo_PX[[#This Row],[Column897]]</f>
        <v>98.26</v>
      </c>
      <c r="AHN14">
        <f>SOFR3mo_PX[[#This Row],[Column898]]</f>
        <v>98.355000000000004</v>
      </c>
      <c r="AHO14">
        <f>SOFR3mo_PX[[#This Row],[Column899]]</f>
        <v>98.32</v>
      </c>
      <c r="AHP14">
        <f>SOFR3mo_PX[[#This Row],[Column900]]</f>
        <v>98.29</v>
      </c>
      <c r="AHQ14">
        <f>SOFR3mo_PX[[#This Row],[Column901]]</f>
        <v>98.224999999999994</v>
      </c>
      <c r="AHR14">
        <f>SOFR3mo_PX[[#This Row],[Column902]]</f>
        <v>98.275000000000006</v>
      </c>
      <c r="AHS14">
        <f>SOFR3mo_PX[[#This Row],[Column903]]</f>
        <v>98.334999999999994</v>
      </c>
      <c r="AHT14">
        <f>SOFR3mo_PX[[#This Row],[Column904]]</f>
        <v>98.385000000000005</v>
      </c>
      <c r="AHU14">
        <f>SOFR3mo_PX[[#This Row],[Column905]]</f>
        <v>98.444999999999993</v>
      </c>
      <c r="AHV14">
        <f>SOFR3mo_PX[[#This Row],[Column906]]</f>
        <v>98.46</v>
      </c>
      <c r="AHW14">
        <f>SOFR3mo_PX[[#This Row],[Column907]]</f>
        <v>98.584999999999994</v>
      </c>
      <c r="AHX14">
        <f>SOFR3mo_PX[[#This Row],[Column908]]</f>
        <v>98.57</v>
      </c>
      <c r="AHY14">
        <f>SOFR3mo_PX[[#This Row],[Column909]]</f>
        <v>98.555000000000007</v>
      </c>
      <c r="AHZ14">
        <f>SOFR3mo_PX[[#This Row],[Column910]]</f>
        <v>98.59</v>
      </c>
      <c r="AIA14">
        <f>SOFR3mo_PX[[#This Row],[Column911]]</f>
        <v>98.575000000000003</v>
      </c>
      <c r="AIB14">
        <f>SOFR3mo_PX[[#This Row],[Column912]]</f>
        <v>98.584999999999994</v>
      </c>
      <c r="AIC14">
        <f>SOFR3mo_PX[[#This Row],[Column913]]</f>
        <v>98.584999999999994</v>
      </c>
      <c r="AID14">
        <f>SOFR3mo_PX[[#This Row],[Column914]]</f>
        <v>98.6</v>
      </c>
      <c r="AIE14">
        <f>SOFR3mo_PX[[#This Row],[Column915]]</f>
        <v>98.59</v>
      </c>
      <c r="AIF14">
        <f>SOFR3mo_PX[[#This Row],[Column916]]</f>
        <v>98.66</v>
      </c>
      <c r="AIG14">
        <f>SOFR3mo_PX[[#This Row],[Column917]]</f>
        <v>98.655000000000001</v>
      </c>
      <c r="AIH14">
        <f>SOFR3mo_PX[[#This Row],[Column918]]</f>
        <v>98.665000000000006</v>
      </c>
      <c r="AII14">
        <f>SOFR3mo_PX[[#This Row],[Column919]]</f>
        <v>98.55</v>
      </c>
      <c r="AIJ14">
        <f>SOFR3mo_PX[[#This Row],[Column920]]</f>
        <v>98.575000000000003</v>
      </c>
      <c r="AIK14">
        <f>SOFR3mo_PX[[#This Row],[Column921]]</f>
        <v>98.584999999999994</v>
      </c>
      <c r="AIL14">
        <f>SOFR3mo_PX[[#This Row],[Column922]]</f>
        <v>98.534999999999997</v>
      </c>
      <c r="AIM14">
        <f>SOFR3mo_PX[[#This Row],[Column923]]</f>
        <v>98.52</v>
      </c>
      <c r="AIN14">
        <f>SOFR3mo_PX[[#This Row],[Column924]]</f>
        <v>98.504999999999995</v>
      </c>
      <c r="AIO14">
        <f>SOFR3mo_PX[[#This Row],[Column925]]</f>
        <v>98.515000000000001</v>
      </c>
      <c r="AIP14">
        <f>SOFR3mo_PX[[#This Row],[Column926]]</f>
        <v>98.57</v>
      </c>
      <c r="AIQ14">
        <f>SOFR3mo_PX[[#This Row],[Column927]]</f>
        <v>98.67</v>
      </c>
      <c r="AIR14">
        <f>SOFR3mo_PX[[#This Row],[Column928]]</f>
        <v>98.584999999999994</v>
      </c>
      <c r="AIS14">
        <f>SOFR3mo_PX[[#This Row],[Column929]]</f>
        <v>98.635000000000005</v>
      </c>
      <c r="AIT14">
        <f>SOFR3mo_PX[[#This Row],[Column930]]</f>
        <v>98.63</v>
      </c>
      <c r="AIU14">
        <f>SOFR3mo_PX[[#This Row],[Column931]]</f>
        <v>98.59</v>
      </c>
      <c r="AIV14">
        <f>SOFR3mo_PX[[#This Row],[Column932]]</f>
        <v>98.59</v>
      </c>
      <c r="AIW14">
        <f>SOFR3mo_PX[[#This Row],[Column933]]</f>
        <v>98.4</v>
      </c>
      <c r="AIX14">
        <f>SOFR3mo_PX[[#This Row],[Column934]]</f>
        <v>98.4</v>
      </c>
      <c r="AIY14">
        <f>SOFR3mo_PX[[#This Row],[Column935]]</f>
        <v>98.424999999999997</v>
      </c>
      <c r="AIZ14">
        <f>SOFR3mo_PX[[#This Row],[Column936]]</f>
        <v>98.444999999999993</v>
      </c>
      <c r="AJA14">
        <f>SOFR3mo_PX[[#This Row],[Column937]]</f>
        <v>98.584999999999994</v>
      </c>
      <c r="AJB14">
        <f>SOFR3mo_PX[[#This Row],[Column938]]</f>
        <v>98.58</v>
      </c>
      <c r="AJC14">
        <f>SOFR3mo_PX[[#This Row],[Column939]]</f>
        <v>98.55</v>
      </c>
      <c r="AJD14">
        <f>SOFR3mo_PX[[#This Row],[Column940]]</f>
        <v>98.515000000000001</v>
      </c>
      <c r="AJE14">
        <f>SOFR3mo_PX[[#This Row],[Column941]]</f>
        <v>98.54</v>
      </c>
      <c r="AJF14">
        <f>SOFR3mo_PX[[#This Row],[Column942]]</f>
        <v>98.56</v>
      </c>
      <c r="AJG14">
        <f>SOFR3mo_PX[[#This Row],[Column943]]</f>
        <v>98.56</v>
      </c>
      <c r="AJH14">
        <f>SOFR3mo_PX[[#This Row],[Column944]]</f>
        <v>98.605000000000004</v>
      </c>
      <c r="AJI14">
        <f>SOFR3mo_PX[[#This Row],[Column945]]</f>
        <v>98.78</v>
      </c>
      <c r="AJJ14">
        <f>SOFR3mo_PX[[#This Row],[Column946]]</f>
        <v>98.73</v>
      </c>
      <c r="AJK14">
        <f>SOFR3mo_PX[[#This Row],[Column947]]</f>
        <v>98.814999999999998</v>
      </c>
      <c r="AJL14">
        <f>SOFR3mo_PX[[#This Row],[Column948]]</f>
        <v>98.734999999999999</v>
      </c>
      <c r="AJM14">
        <f>SOFR3mo_PX[[#This Row],[Column949]]</f>
        <v>98.644999999999996</v>
      </c>
      <c r="AJN14">
        <f>SOFR3mo_PX[[#This Row],[Column950]]</f>
        <v>98.694999999999993</v>
      </c>
      <c r="AJO14">
        <f>SOFR3mo_PX[[#This Row],[Column951]]</f>
        <v>98.655000000000001</v>
      </c>
      <c r="AJP14">
        <f>SOFR3mo_PX[[#This Row],[Column952]]</f>
        <v>98.69</v>
      </c>
      <c r="AJQ14">
        <f>SOFR3mo_PX[[#This Row],[Column953]]</f>
        <v>98.685000000000002</v>
      </c>
      <c r="AJR14">
        <f>SOFR3mo_PX[[#This Row],[Column954]]</f>
        <v>98.694999999999993</v>
      </c>
      <c r="AJS14">
        <f>SOFR3mo_PX[[#This Row],[Column955]]</f>
        <v>98.63</v>
      </c>
      <c r="AJT14">
        <f>SOFR3mo_PX[[#This Row],[Column956]]</f>
        <v>98.635000000000005</v>
      </c>
      <c r="AJU14">
        <f>SOFR3mo_PX[[#This Row],[Column957]]</f>
        <v>98.614999999999995</v>
      </c>
      <c r="AJV14">
        <f>SOFR3mo_PX[[#This Row],[Column958]]</f>
        <v>98.605000000000004</v>
      </c>
      <c r="AJW14">
        <f>SOFR3mo_PX[[#This Row],[Column959]]</f>
        <v>98.69</v>
      </c>
      <c r="AJX14">
        <f>SOFR3mo_PX[[#This Row],[Column960]]</f>
        <v>98.67</v>
      </c>
      <c r="AJY14">
        <f>SOFR3mo_PX[[#This Row],[Column961]]</f>
        <v>98.644999999999996</v>
      </c>
      <c r="AJZ14">
        <f>SOFR3mo_PX[[#This Row],[Column962]]</f>
        <v>98.7</v>
      </c>
      <c r="AKA14">
        <f>SOFR3mo_PX[[#This Row],[Column963]]</f>
        <v>98.784999999999997</v>
      </c>
      <c r="AKB14">
        <f>SOFR3mo_PX[[#This Row],[Column964]]</f>
        <v>98.73</v>
      </c>
      <c r="AKC14">
        <f>SOFR3mo_PX[[#This Row],[Column965]]</f>
        <v>98.75</v>
      </c>
      <c r="AKD14">
        <f>SOFR3mo_PX[[#This Row],[Column966]]</f>
        <v>98.75</v>
      </c>
      <c r="AKE14">
        <f>SOFR3mo_PX[[#This Row],[Column967]]</f>
        <v>98.79</v>
      </c>
      <c r="AKF14">
        <f>SOFR3mo_PX[[#This Row],[Column968]]</f>
        <v>98.84</v>
      </c>
      <c r="AKG14">
        <f>SOFR3mo_PX[[#This Row],[Column969]]</f>
        <v>98.88</v>
      </c>
      <c r="AKH14">
        <f>SOFR3mo_PX[[#This Row],[Column970]]</f>
        <v>98.894999999999996</v>
      </c>
      <c r="AKI14">
        <f>SOFR3mo_PX[[#This Row],[Column971]]</f>
        <v>98.94</v>
      </c>
      <c r="AKJ14">
        <f>SOFR3mo_PX[[#This Row],[Column972]]</f>
        <v>98.94</v>
      </c>
      <c r="AKK14">
        <f>SOFR3mo_PX[[#This Row],[Column973]]</f>
        <v>98.864999999999995</v>
      </c>
      <c r="AKL14">
        <f>SOFR3mo_PX[[#This Row],[Column974]]</f>
        <v>98.85</v>
      </c>
      <c r="AKM14">
        <f>SOFR3mo_PX[[#This Row],[Column975]]</f>
        <v>98.81</v>
      </c>
      <c r="AKN14">
        <f>SOFR3mo_PX[[#This Row],[Column976]]</f>
        <v>98.83</v>
      </c>
      <c r="AKO14">
        <f>SOFR3mo_PX[[#This Row],[Column977]]</f>
        <v>98.85</v>
      </c>
      <c r="AKP14">
        <f>SOFR3mo_PX[[#This Row],[Column978]]</f>
        <v>98.864999999999995</v>
      </c>
      <c r="AKQ14">
        <f>SOFR3mo_PX[[#This Row],[Column979]]</f>
        <v>98.924999999999997</v>
      </c>
      <c r="AKR14">
        <f>SOFR3mo_PX[[#This Row],[Column980]]</f>
        <v>99.004999999999995</v>
      </c>
      <c r="AKS14">
        <f>SOFR3mo_PX[[#This Row],[Column981]]</f>
        <v>99.01</v>
      </c>
      <c r="AKT14">
        <f>SOFR3mo_PX[[#This Row],[Column982]]</f>
        <v>98.95</v>
      </c>
      <c r="AKU14">
        <f>SOFR3mo_PX[[#This Row],[Column983]]</f>
        <v>98.995000000000005</v>
      </c>
      <c r="AKV14">
        <f>SOFR3mo_PX[[#This Row],[Column984]]</f>
        <v>99.04</v>
      </c>
      <c r="AKW14">
        <f>SOFR3mo_PX[[#This Row],[Column985]]</f>
        <v>99.165000000000006</v>
      </c>
      <c r="AKX14">
        <f>SOFR3mo_PX[[#This Row],[Column986]]</f>
        <v>99.15</v>
      </c>
      <c r="AKY14">
        <f>SOFR3mo_PX[[#This Row],[Column987]]</f>
        <v>99.14</v>
      </c>
      <c r="AKZ14">
        <f>SOFR3mo_PX[[#This Row],[Column988]]</f>
        <v>99.17</v>
      </c>
      <c r="ALA14">
        <f>SOFR3mo_PX[[#This Row],[Column989]]</f>
        <v>99.15</v>
      </c>
      <c r="ALB14">
        <f>SOFR3mo_PX[[#This Row],[Column990]]</f>
        <v>99.14</v>
      </c>
      <c r="ALC14">
        <f>SOFR3mo_PX[[#This Row],[Column991]]</f>
        <v>99.19</v>
      </c>
      <c r="ALD14">
        <f>SOFR3mo_PX[[#This Row],[Column992]]</f>
        <v>99.19</v>
      </c>
      <c r="ALE14">
        <f>SOFR3mo_PX[[#This Row],[Column993]]</f>
        <v>99.194999999999993</v>
      </c>
      <c r="ALF14">
        <f>SOFR3mo_PX[[#This Row],[Column994]]</f>
        <v>99.185000000000002</v>
      </c>
      <c r="ALG14">
        <f>SOFR3mo_PX[[#This Row],[Column995]]</f>
        <v>99.194999999999993</v>
      </c>
      <c r="ALH14">
        <f>SOFR3mo_PX[[#This Row],[Column996]]</f>
        <v>99.194999999999993</v>
      </c>
      <c r="ALI14">
        <f>SOFR3mo_PX[[#This Row],[Column997]]</f>
        <v>99.15</v>
      </c>
      <c r="ALJ14">
        <f>SOFR3mo_PX[[#This Row],[Column998]]</f>
        <v>99.1</v>
      </c>
      <c r="ALK14">
        <f>SOFR3mo_PX[[#This Row],[Column999]]</f>
        <v>99.11</v>
      </c>
      <c r="ALL14">
        <f>SOFR3mo_PX[[#This Row],[Column1000]]</f>
        <v>99.155000000000001</v>
      </c>
      <c r="ALM14">
        <f>SOFR3mo_PX[[#This Row],[Column1001]]</f>
        <v>99.185000000000002</v>
      </c>
      <c r="ALN14">
        <f>SOFR3mo_PX[[#This Row],[Column1002]]</f>
        <v>99.17</v>
      </c>
      <c r="ALO14">
        <f>SOFR3mo_PX[[#This Row],[Column1003]]</f>
        <v>99.185000000000002</v>
      </c>
      <c r="ALP14">
        <f>SOFR3mo_PX[[#This Row],[Column1004]]</f>
        <v>99.174999999999997</v>
      </c>
      <c r="ALQ14">
        <f>SOFR3mo_PX[[#This Row],[Column1005]]</f>
        <v>99.19</v>
      </c>
      <c r="ALR14">
        <f>SOFR3mo_PX[[#This Row],[Column1006]]</f>
        <v>99.21</v>
      </c>
      <c r="ALS14">
        <f>SOFR3mo_PX[[#This Row],[Column1007]]</f>
        <v>99.15</v>
      </c>
      <c r="ALT14">
        <f>SOFR3mo_PX[[#This Row],[Column1008]]</f>
        <v>99.094999999999999</v>
      </c>
      <c r="ALU14">
        <f>SOFR3mo_PX[[#This Row],[Column1009]]</f>
        <v>99.114999999999995</v>
      </c>
      <c r="ALV14">
        <f>SOFR3mo_PX[[#This Row],[Column1010]]</f>
        <v>99.09</v>
      </c>
      <c r="ALW14">
        <f>SOFR3mo_PX[[#This Row],[Column1011]]</f>
        <v>99.125</v>
      </c>
      <c r="ALX14">
        <f>SOFR3mo_PX[[#This Row],[Column1012]]</f>
        <v>99.17</v>
      </c>
      <c r="ALY14">
        <f>SOFR3mo_PX[[#This Row],[Column1013]]</f>
        <v>99.234999999999999</v>
      </c>
      <c r="ALZ14">
        <f>SOFR3mo_PX[[#This Row],[Column1014]]</f>
        <v>99.295000000000002</v>
      </c>
      <c r="AMA14">
        <f>SOFR3mo_PX[[#This Row],[Column1015]]</f>
        <v>99.35</v>
      </c>
      <c r="AMB14">
        <f>SOFR3mo_PX[[#This Row],[Column1016]]</f>
        <v>99.334999999999994</v>
      </c>
      <c r="AMC14">
        <f>SOFR3mo_PX[[#This Row],[Column1017]]</f>
        <v>99.265000000000001</v>
      </c>
      <c r="AMD14">
        <f>SOFR3mo_PX[[#This Row],[Column1018]]</f>
        <v>99.224999999999994</v>
      </c>
      <c r="AME14">
        <f>SOFR3mo_PX[[#This Row],[Column1019]]</f>
        <v>99.21</v>
      </c>
      <c r="AMF14">
        <f>SOFR3mo_PX[[#This Row],[Column1020]]</f>
        <v>99.275000000000006</v>
      </c>
      <c r="AMG14">
        <f>SOFR3mo_PX[[#This Row],[Column1021]]</f>
        <v>99.245000000000005</v>
      </c>
      <c r="AMH14">
        <f>SOFR3mo_PX[[#This Row],[Column1022]]</f>
        <v>99.25</v>
      </c>
      <c r="AMI14">
        <f>SOFR3mo_PX[[#This Row],[Column1023]]</f>
        <v>99.26</v>
      </c>
      <c r="AMJ14">
        <f>SOFR3mo_PX[[#This Row],[Column1024]]</f>
        <v>99.245000000000005</v>
      </c>
      <c r="AMK14">
        <f>SOFR3mo_PX[[#This Row],[Column1025]]</f>
        <v>99.325000000000003</v>
      </c>
      <c r="AML14">
        <f>SOFR3mo_PX[[#This Row],[Column1026]]</f>
        <v>99.3</v>
      </c>
      <c r="AMM14">
        <f>SOFR3mo_PX[[#This Row],[Column1027]]</f>
        <v>99.13</v>
      </c>
      <c r="AMN14">
        <f>SOFR3mo_PX[[#This Row],[Column1028]]</f>
        <v>99.13</v>
      </c>
      <c r="AMO14">
        <f>SOFR3mo_PX[[#This Row],[Column1029]]</f>
        <v>99.11</v>
      </c>
      <c r="AMP14">
        <f>SOFR3mo_PX[[#This Row],[Column1030]]</f>
        <v>99.07</v>
      </c>
      <c r="AMQ14">
        <f>SOFR3mo_PX[[#This Row],[Column1031]]</f>
        <v>99.144999999999996</v>
      </c>
      <c r="AMR14">
        <f>SOFR3mo_PX[[#This Row],[Column1032]]</f>
        <v>99.15</v>
      </c>
      <c r="AMS14">
        <f>SOFR3mo_PX[[#This Row],[Column1033]]</f>
        <v>99.215000000000003</v>
      </c>
      <c r="AMT14">
        <f>SOFR3mo_PX[[#This Row],[Column1034]]</f>
        <v>99.135000000000005</v>
      </c>
      <c r="AMU14">
        <f>SOFR3mo_PX[[#This Row],[Column1035]]</f>
        <v>99.105000000000004</v>
      </c>
      <c r="AMV14">
        <f>SOFR3mo_PX[[#This Row],[Column1036]]</f>
        <v>99.034999999999997</v>
      </c>
      <c r="AMW14">
        <f>SOFR3mo_PX[[#This Row],[Column1037]]</f>
        <v>99.034999999999997</v>
      </c>
      <c r="AMX14">
        <f>SOFR3mo_PX[[#This Row],[Column1038]]</f>
        <v>98.97</v>
      </c>
      <c r="AMY14">
        <f>SOFR3mo_PX[[#This Row],[Column1039]]</f>
        <v>99.02</v>
      </c>
      <c r="AMZ14">
        <f>SOFR3mo_PX[[#This Row],[Column1040]]</f>
        <v>99</v>
      </c>
      <c r="ANA14">
        <f>SOFR3mo_PX[[#This Row],[Column1041]]</f>
        <v>99.004999999999995</v>
      </c>
      <c r="ANB14">
        <f>SOFR3mo_PX[[#This Row],[Column1042]]</f>
        <v>98.98</v>
      </c>
      <c r="ANC14">
        <f>SOFR3mo_PX[[#This Row],[Column1043]]</f>
        <v>99.01</v>
      </c>
      <c r="AND14">
        <f>SOFR3mo_PX[[#This Row],[Column1044]]</f>
        <v>99.025000000000006</v>
      </c>
      <c r="ANE14">
        <f>SOFR3mo_PX[[#This Row],[Column1045]]</f>
        <v>99.07</v>
      </c>
      <c r="ANF14">
        <f>SOFR3mo_PX[[#This Row],[Column1046]]</f>
        <v>99.045000000000002</v>
      </c>
      <c r="ANG14">
        <f>SOFR3mo_PX[[#This Row],[Column1047]]</f>
        <v>99.03</v>
      </c>
      <c r="ANH14">
        <f>SOFR3mo_PX[[#This Row],[Column1048]]</f>
        <v>99.034999999999997</v>
      </c>
      <c r="ANI14">
        <f>SOFR3mo_PX[[#This Row],[Column1049]]</f>
        <v>99.06</v>
      </c>
      <c r="ANJ14">
        <f>SOFR3mo_PX[[#This Row],[Column1050]]</f>
        <v>99.325000000000003</v>
      </c>
      <c r="ANK14">
        <f>SOFR3mo_PX[[#This Row],[Column1051]]</f>
        <v>99.334999999999994</v>
      </c>
      <c r="ANL14">
        <f>SOFR3mo_PX[[#This Row],[Column1052]]</f>
        <v>99.36</v>
      </c>
      <c r="ANM14">
        <f>SOFR3mo_PX[[#This Row],[Column1053]]</f>
        <v>99.39</v>
      </c>
      <c r="ANN14">
        <f>SOFR3mo_PX[[#This Row],[Column1054]]</f>
        <v>99.375</v>
      </c>
      <c r="ANO14">
        <f>SOFR3mo_PX[[#This Row],[Column1055]]</f>
        <v>99.34</v>
      </c>
      <c r="ANP14">
        <f>SOFR3mo_PX[[#This Row],[Column1056]]</f>
        <v>99.31</v>
      </c>
      <c r="ANQ14">
        <f>SOFR3mo_PX[[#This Row],[Column1057]]</f>
        <v>99.32</v>
      </c>
      <c r="ANR14">
        <f>SOFR3mo_PX[[#This Row],[Column1058]]</f>
        <v>99.265000000000001</v>
      </c>
      <c r="ANS14">
        <f>SOFR3mo_PX[[#This Row],[Column1059]]</f>
        <v>99.314999999999998</v>
      </c>
      <c r="ANT14">
        <f>SOFR3mo_PX[[#This Row],[Column1060]]</f>
        <v>99.284999999999997</v>
      </c>
      <c r="ANU14">
        <f>SOFR3mo_PX[[#This Row],[Column1061]]</f>
        <v>99.3</v>
      </c>
      <c r="ANV14">
        <f>SOFR3mo_PX[[#This Row],[Column1062]]</f>
        <v>99.3</v>
      </c>
      <c r="ANW14">
        <f>SOFR3mo_PX[[#This Row],[Column1063]]</f>
        <v>99.3</v>
      </c>
      <c r="ANX14">
        <f>SOFR3mo_PX[[#This Row],[Column1064]]</f>
        <v>99.325000000000003</v>
      </c>
      <c r="ANY14">
        <f>SOFR3mo_PX[[#This Row],[Column1065]]</f>
        <v>99.33</v>
      </c>
      <c r="ANZ14">
        <f>SOFR3mo_PX[[#This Row],[Column1066]]</f>
        <v>99.284999999999997</v>
      </c>
      <c r="AOA14">
        <f>SOFR3mo_PX[[#This Row],[Column1067]]</f>
        <v>99.26</v>
      </c>
      <c r="AOB14">
        <f>SOFR3mo_PX[[#This Row],[Column1068]]</f>
        <v>99.27</v>
      </c>
      <c r="AOC14">
        <f>SOFR3mo_PX[[#This Row],[Column1069]]</f>
        <v>99.224999999999994</v>
      </c>
      <c r="AOD14">
        <f>SOFR3mo_PX[[#This Row],[Column1070]]</f>
        <v>99.27</v>
      </c>
      <c r="AOE14">
        <f>SOFR3mo_PX[[#This Row],[Column1071]]</f>
        <v>99.265000000000001</v>
      </c>
      <c r="AOF14">
        <f>SOFR3mo_PX[[#This Row],[Column1072]]</f>
        <v>99.265000000000001</v>
      </c>
      <c r="AOG14">
        <f>SOFR3mo_PX[[#This Row],[Column1073]]</f>
        <v>99.265000000000001</v>
      </c>
      <c r="AOH14">
        <f>SOFR3mo_PX[[#This Row],[Column1074]]</f>
        <v>99.224999999999994</v>
      </c>
      <c r="AOI14">
        <f>SOFR3mo_PX[[#This Row],[Column1075]]</f>
        <v>99.314999999999998</v>
      </c>
      <c r="AOJ14">
        <f>SOFR3mo_PX[[#This Row],[Column1076]]</f>
        <v>99.334999999999994</v>
      </c>
      <c r="AOK14">
        <f>SOFR3mo_PX[[#This Row],[Column1077]]</f>
        <v>99.334999999999994</v>
      </c>
      <c r="AOL14">
        <f>SOFR3mo_PX[[#This Row],[Column1078]]</f>
        <v>99.27</v>
      </c>
      <c r="AOM14">
        <f>SOFR3mo_PX[[#This Row],[Column1079]]</f>
        <v>99.26</v>
      </c>
      <c r="AON14">
        <f>SOFR3mo_PX[[#This Row],[Column1080]]</f>
        <v>99.25</v>
      </c>
      <c r="AOO14">
        <f>SOFR3mo_PX[[#This Row],[Column1081]]</f>
        <v>99.224999999999994</v>
      </c>
      <c r="AOP14">
        <f>SOFR3mo_PX[[#This Row],[Column1082]]</f>
        <v>99.194999999999993</v>
      </c>
      <c r="AOQ14">
        <f>SOFR3mo_PX[[#This Row],[Column1083]]</f>
        <v>99.19</v>
      </c>
      <c r="AOR14">
        <f>SOFR3mo_PX[[#This Row],[Column1084]]</f>
        <v>99.19</v>
      </c>
      <c r="AOS14">
        <f>SOFR3mo_PX[[#This Row],[Column1085]]</f>
        <v>99.174999999999997</v>
      </c>
      <c r="AOT14">
        <f>SOFR3mo_PX[[#This Row],[Column1086]]</f>
        <v>99.21</v>
      </c>
      <c r="AOU14">
        <f>SOFR3mo_PX[[#This Row],[Column1087]]</f>
        <v>99.22</v>
      </c>
      <c r="AOV14">
        <f>SOFR3mo_PX[[#This Row],[Column1088]]</f>
        <v>99.245000000000005</v>
      </c>
      <c r="AOW14">
        <f>SOFR3mo_PX[[#This Row],[Column1089]]</f>
        <v>99.245000000000005</v>
      </c>
      <c r="AOX14">
        <f>SOFR3mo_PX[[#This Row],[Column1090]]</f>
        <v>99.26</v>
      </c>
      <c r="AOY14">
        <f>SOFR3mo_PX[[#This Row],[Column1091]]</f>
        <v>99.234999999999999</v>
      </c>
      <c r="AOZ14">
        <f>SOFR3mo_PX[[#This Row],[Column1092]]</f>
        <v>99.23</v>
      </c>
      <c r="APA14">
        <f>SOFR3mo_PX[[#This Row],[Column1093]]</f>
        <v>99.26</v>
      </c>
      <c r="APB14">
        <f>SOFR3mo_PX[[#This Row],[Column1094]]</f>
        <v>99.174999999999997</v>
      </c>
      <c r="APC14">
        <f>SOFR3mo_PX[[#This Row],[Column1095]]</f>
        <v>99.19</v>
      </c>
      <c r="APD14">
        <f>SOFR3mo_PX[[#This Row],[Column1096]]</f>
        <v>99.11</v>
      </c>
      <c r="APE14">
        <f>SOFR3mo_PX[[#This Row],[Column1097]]</f>
        <v>99.144999999999996</v>
      </c>
      <c r="APF14">
        <f>SOFR3mo_PX[[#This Row],[Column1098]]</f>
        <v>99.174999999999997</v>
      </c>
      <c r="APG14">
        <f>SOFR3mo_PX[[#This Row],[Column1099]]</f>
        <v>99.155000000000001</v>
      </c>
      <c r="APH14">
        <f>SOFR3mo_PX[[#This Row],[Column1100]]</f>
        <v>99.12</v>
      </c>
      <c r="API14">
        <f>SOFR3mo_PX[[#This Row],[Column1101]]</f>
        <v>99.025000000000006</v>
      </c>
      <c r="APJ14">
        <f>SOFR3mo_PX[[#This Row],[Column1102]]</f>
        <v>98.99</v>
      </c>
      <c r="APK14">
        <f>SOFR3mo_PX[[#This Row],[Column1103]]</f>
        <v>99.09</v>
      </c>
      <c r="APL14">
        <f>SOFR3mo_PX[[#This Row],[Column1104]]</f>
        <v>99.06</v>
      </c>
      <c r="APM14">
        <f>SOFR3mo_PX[[#This Row],[Column1105]]</f>
        <v>99.094999999999999</v>
      </c>
      <c r="APN14">
        <f>SOFR3mo_PX[[#This Row],[Column1106]]</f>
        <v>99.125</v>
      </c>
      <c r="APO14">
        <f>SOFR3mo_PX[[#This Row],[Column1107]]</f>
        <v>99.194999999999993</v>
      </c>
      <c r="APP14">
        <f>SOFR3mo_PX[[#This Row],[Column1108]]</f>
        <v>99.234999999999999</v>
      </c>
      <c r="APQ14">
        <f>SOFR3mo_PX[[#This Row],[Column1109]]</f>
        <v>99.22</v>
      </c>
      <c r="APR14">
        <f>SOFR3mo_PX[[#This Row],[Column1110]]</f>
        <v>99.194999999999993</v>
      </c>
      <c r="APS14">
        <f>SOFR3mo_PX[[#This Row],[Column1111]]</f>
        <v>99.17</v>
      </c>
      <c r="APT14">
        <f>SOFR3mo_PX[[#This Row],[Column1112]]</f>
        <v>99.15</v>
      </c>
      <c r="APU14">
        <f>SOFR3mo_PX[[#This Row],[Column1113]]</f>
        <v>99.185000000000002</v>
      </c>
      <c r="APV14">
        <f>SOFR3mo_PX[[#This Row],[Column1114]]</f>
        <v>99.25</v>
      </c>
      <c r="APW14">
        <f>SOFR3mo_PX[[#This Row],[Column1115]]</f>
        <v>99.334999999999994</v>
      </c>
      <c r="APX14">
        <f>SOFR3mo_PX[[#This Row],[Column1116]]</f>
        <v>99.32</v>
      </c>
      <c r="APY14">
        <f>SOFR3mo_PX[[#This Row],[Column1117]]</f>
        <v>99.305000000000007</v>
      </c>
      <c r="APZ14">
        <f>SOFR3mo_PX[[#This Row],[Column1118]]</f>
        <v>99.36</v>
      </c>
      <c r="AQA14">
        <f>SOFR3mo_PX[[#This Row],[Column1119]]</f>
        <v>99.364999999999995</v>
      </c>
      <c r="AQB14">
        <f>SOFR3mo_PX[[#This Row],[Column1120]]</f>
        <v>99.314999999999998</v>
      </c>
      <c r="AQC14">
        <f>SOFR3mo_PX[[#This Row],[Column1121]]</f>
        <v>99.275000000000006</v>
      </c>
      <c r="AQD14">
        <f>SOFR3mo_PX[[#This Row],[Column1122]]</f>
        <v>99.33</v>
      </c>
      <c r="AQE14">
        <f>SOFR3mo_PX[[#This Row],[Column1123]]</f>
        <v>99.31</v>
      </c>
      <c r="AQF14">
        <f>SOFR3mo_PX[[#This Row],[Column1124]]</f>
        <v>99.364999999999995</v>
      </c>
      <c r="AQG14">
        <f>SOFR3mo_PX[[#This Row],[Column1125]]</f>
        <v>99.42</v>
      </c>
      <c r="AQH14">
        <f>SOFR3mo_PX[[#This Row],[Column1126]]</f>
        <v>99.385000000000005</v>
      </c>
      <c r="AQI14">
        <f>SOFR3mo_PX[[#This Row],[Column1127]]</f>
        <v>99.305000000000007</v>
      </c>
      <c r="AQJ14">
        <f>SOFR3mo_PX[[#This Row],[Column1128]]</f>
        <v>99.314999999999998</v>
      </c>
      <c r="AQK14">
        <f>SOFR3mo_PX[[#This Row],[Column1129]]</f>
        <v>99.515000000000001</v>
      </c>
      <c r="AQL14">
        <f>SOFR3mo_PX[[#This Row],[Column1130]]</f>
        <v>99.54</v>
      </c>
      <c r="AQM14">
        <f>SOFR3mo_PX[[#This Row],[Column1131]]</f>
        <v>99.534999999999997</v>
      </c>
      <c r="AQN14">
        <f>SOFR3mo_PX[[#This Row],[Column1132]]</f>
        <v>99.57</v>
      </c>
      <c r="AQO14">
        <f>SOFR3mo_PX[[#This Row],[Column1133]]</f>
        <v>99.594999999999999</v>
      </c>
      <c r="AQP14">
        <f>SOFR3mo_PX[[#This Row],[Column1134]]</f>
        <v>99.58</v>
      </c>
      <c r="AQQ14">
        <f>SOFR3mo_PX[[#This Row],[Column1135]]</f>
        <v>99.58</v>
      </c>
      <c r="AQR14">
        <f>SOFR3mo_PX[[#This Row],[Column1136]]</f>
        <v>99.655000000000001</v>
      </c>
      <c r="AQS14">
        <f>SOFR3mo_PX[[#This Row],[Column1137]]</f>
        <v>99.655000000000001</v>
      </c>
      <c r="AQT14">
        <f>SOFR3mo_PX[[#This Row],[Column1138]]</f>
        <v>99.674999999999997</v>
      </c>
      <c r="AQU14">
        <f>SOFR3mo_PX[[#This Row],[Column1139]]</f>
        <v>99.685000000000002</v>
      </c>
      <c r="AQV14">
        <f>SOFR3mo_PX[[#This Row],[Column1140]]</f>
        <v>99.67</v>
      </c>
      <c r="AQW14">
        <f>SOFR3mo_PX[[#This Row],[Column1141]]</f>
        <v>99.66</v>
      </c>
      <c r="AQX14">
        <f>SOFR3mo_PX[[#This Row],[Column1142]]</f>
        <v>99.68</v>
      </c>
      <c r="AQY14">
        <f>SOFR3mo_PX[[#This Row],[Column1143]]</f>
        <v>99.685000000000002</v>
      </c>
      <c r="AQZ14">
        <f>SOFR3mo_PX[[#This Row],[Column1144]]</f>
        <v>99.69</v>
      </c>
      <c r="ARA14">
        <f>SOFR3mo_PX[[#This Row],[Column1145]]</f>
        <v>99.704999999999998</v>
      </c>
      <c r="ARB14">
        <f>SOFR3mo_PX[[#This Row],[Column1146]]</f>
        <v>99.72</v>
      </c>
      <c r="ARC14">
        <f>SOFR3mo_PX[[#This Row],[Column1147]]</f>
        <v>99.715000000000003</v>
      </c>
      <c r="ARD14">
        <f>SOFR3mo_PX[[#This Row],[Column1148]]</f>
        <v>99.72</v>
      </c>
      <c r="ARE14">
        <f>SOFR3mo_PX[[#This Row],[Column1149]]</f>
        <v>99.74</v>
      </c>
      <c r="ARF14">
        <f>SOFR3mo_PX[[#This Row],[Column1150]]</f>
        <v>99.724999999999994</v>
      </c>
      <c r="ARG14">
        <f>SOFR3mo_PX[[#This Row],[Column1151]]</f>
        <v>99.73</v>
      </c>
      <c r="ARH14">
        <f>SOFR3mo_PX[[#This Row],[Column1152]]</f>
        <v>99.715000000000003</v>
      </c>
      <c r="ARI14">
        <f>SOFR3mo_PX[[#This Row],[Column1153]]</f>
        <v>99.71</v>
      </c>
      <c r="ARJ14">
        <f>SOFR3mo_PX[[#This Row],[Column1154]]</f>
        <v>99.72</v>
      </c>
      <c r="ARK14">
        <f>SOFR3mo_PX[[#This Row],[Column1155]]</f>
        <v>99.72</v>
      </c>
      <c r="ARL14">
        <f>SOFR3mo_PX[[#This Row],[Column1156]]</f>
        <v>99.71</v>
      </c>
      <c r="ARM14">
        <f>SOFR3mo_PX[[#This Row],[Column1157]]</f>
        <v>99.71</v>
      </c>
      <c r="ARN14">
        <f>SOFR3mo_PX[[#This Row],[Column1158]]</f>
        <v>99.7</v>
      </c>
      <c r="ARO14">
        <f>SOFR3mo_PX[[#This Row],[Column1159]]</f>
        <v>99.68</v>
      </c>
      <c r="ARP14">
        <f>SOFR3mo_PX[[#This Row],[Column1160]]</f>
        <v>99.655000000000001</v>
      </c>
      <c r="ARQ14">
        <f>SOFR3mo_PX[[#This Row],[Column1161]]</f>
        <v>99.655000000000001</v>
      </c>
      <c r="ARR14">
        <f>SOFR3mo_PX[[#This Row],[Column1162]]</f>
        <v>99.66</v>
      </c>
      <c r="ARS14">
        <f>SOFR3mo_PX[[#This Row],[Column1163]]</f>
        <v>99.694999999999993</v>
      </c>
      <c r="ART14">
        <f>SOFR3mo_PX[[#This Row],[Column1164]]</f>
        <v>99.754999999999995</v>
      </c>
      <c r="ARU14">
        <f>SOFR3mo_PX[[#This Row],[Column1165]]</f>
        <v>99.795000000000002</v>
      </c>
      <c r="ARV14">
        <f>SOFR3mo_PX[[#This Row],[Column1166]]</f>
        <v>99.805000000000007</v>
      </c>
      <c r="ARW14">
        <f>SOFR3mo_PX[[#This Row],[Column1167]]</f>
        <v>99.795000000000002</v>
      </c>
      <c r="ARX14">
        <f>SOFR3mo_PX[[#This Row],[Column1168]]</f>
        <v>99.795000000000002</v>
      </c>
      <c r="ARY14">
        <f>SOFR3mo_PX[[#This Row],[Column1169]]</f>
        <v>99.784999999999997</v>
      </c>
      <c r="ARZ14">
        <f>SOFR3mo_PX[[#This Row],[Column1170]]</f>
        <v>99.775000000000006</v>
      </c>
      <c r="ASA14">
        <f>SOFR3mo_PX[[#This Row],[Column1171]]</f>
        <v>99.77</v>
      </c>
      <c r="ASB14">
        <f>SOFR3mo_PX[[#This Row],[Column1172]]</f>
        <v>99.775000000000006</v>
      </c>
      <c r="ASC14">
        <f>SOFR3mo_PX[[#This Row],[Column1173]]</f>
        <v>99.775000000000006</v>
      </c>
      <c r="ASD14">
        <f>SOFR3mo_PX[[#This Row],[Column1174]]</f>
        <v>99.775000000000006</v>
      </c>
      <c r="ASE14">
        <f>SOFR3mo_PX[[#This Row],[Column1175]]</f>
        <v>99.78</v>
      </c>
      <c r="ASF14">
        <f>SOFR3mo_PX[[#This Row],[Column1176]]</f>
        <v>99.775000000000006</v>
      </c>
      <c r="ASG14">
        <f>SOFR3mo_PX[[#This Row],[Column1177]]</f>
        <v>99.775000000000006</v>
      </c>
      <c r="ASH14">
        <f>SOFR3mo_PX[[#This Row],[Column1178]]</f>
        <v>99.775000000000006</v>
      </c>
      <c r="ASI14">
        <f>SOFR3mo_PX[[#This Row],[Column1179]]</f>
        <v>99.784999999999997</v>
      </c>
      <c r="ASJ14">
        <f>SOFR3mo_PX[[#This Row],[Column1180]]</f>
        <v>99.834999999999994</v>
      </c>
      <c r="ASK14">
        <f>SOFR3mo_PX[[#This Row],[Column1181]]</f>
        <v>99.834999999999994</v>
      </c>
      <c r="ASL14">
        <f>SOFR3mo_PX[[#This Row],[Column1182]]</f>
        <v>99.834999999999994</v>
      </c>
      <c r="ASM14">
        <f>SOFR3mo_PX[[#This Row],[Column1183]]</f>
        <v>99.82</v>
      </c>
      <c r="ASN14">
        <f>SOFR3mo_PX[[#This Row],[Column1184]]</f>
        <v>99.81</v>
      </c>
      <c r="ASO14">
        <f>SOFR3mo_PX[[#This Row],[Column1185]]</f>
        <v>99.814999999999998</v>
      </c>
      <c r="ASP14">
        <f>SOFR3mo_PX[[#This Row],[Column1186]]</f>
        <v>99.814999999999998</v>
      </c>
      <c r="ASQ14">
        <f>SOFR3mo_PX[[#This Row],[Column1187]]</f>
        <v>99.795000000000002</v>
      </c>
      <c r="ASR14">
        <f>SOFR3mo_PX[[#This Row],[Column1188]]</f>
        <v>99.8</v>
      </c>
      <c r="ASS14">
        <f>SOFR3mo_PX[[#This Row],[Column1189]]</f>
        <v>99.8</v>
      </c>
      <c r="AST14">
        <f>SOFR3mo_PX[[#This Row],[Column1190]]</f>
        <v>99.8</v>
      </c>
      <c r="ASU14">
        <f>SOFR3mo_PX[[#This Row],[Column1191]]</f>
        <v>99.82</v>
      </c>
      <c r="ASV14">
        <f>SOFR3mo_PX[[#This Row],[Column1192]]</f>
        <v>99.825000000000003</v>
      </c>
      <c r="ASW14">
        <f>SOFR3mo_PX[[#This Row],[Column1193]]</f>
        <v>99.82</v>
      </c>
      <c r="ASX14">
        <f>SOFR3mo_PX[[#This Row],[Column1194]]</f>
        <v>99.82</v>
      </c>
      <c r="ASY14">
        <f>SOFR3mo_PX[[#This Row],[Column1195]]</f>
        <v>99.814999999999998</v>
      </c>
      <c r="ASZ14">
        <f>SOFR3mo_PX[[#This Row],[Column1196]]</f>
        <v>99.81</v>
      </c>
      <c r="ATA14">
        <f>SOFR3mo_PX[[#This Row],[Column1197]]</f>
        <v>99.825000000000003</v>
      </c>
      <c r="ATB14">
        <f>SOFR3mo_PX[[#This Row],[Column1198]]</f>
        <v>99.82</v>
      </c>
      <c r="ATC14">
        <f>SOFR3mo_PX[[#This Row],[Column1199]]</f>
        <v>99.82</v>
      </c>
      <c r="ATD14">
        <f>SOFR3mo_PX[[#This Row],[Column1200]]</f>
        <v>99.825000000000003</v>
      </c>
      <c r="ATE14">
        <f>SOFR3mo_PX[[#This Row],[Column1201]]</f>
        <v>99.814999999999998</v>
      </c>
      <c r="ATF14">
        <f>SOFR3mo_PX[[#This Row],[Column1202]]</f>
        <v>99.814999999999998</v>
      </c>
      <c r="ATG14">
        <f>SOFR3mo_PX[[#This Row],[Column1203]]</f>
        <v>99.81</v>
      </c>
      <c r="ATH14">
        <f>SOFR3mo_PX[[#This Row],[Column1204]]</f>
        <v>99.79</v>
      </c>
      <c r="ATI14">
        <f>SOFR3mo_PX[[#This Row],[Column1205]]</f>
        <v>99.79</v>
      </c>
      <c r="ATJ14">
        <f>SOFR3mo_PX[[#This Row],[Column1206]]</f>
        <v>99.825000000000003</v>
      </c>
      <c r="ATK14">
        <f>SOFR3mo_PX[[#This Row],[Column1207]]</f>
        <v>99.87</v>
      </c>
      <c r="ATL14">
        <f>SOFR3mo_PX[[#This Row],[Column1208]]</f>
        <v>99.875</v>
      </c>
      <c r="ATM14">
        <f>SOFR3mo_PX[[#This Row],[Column1209]]</f>
        <v>99.894999999999996</v>
      </c>
      <c r="ATN14">
        <f>SOFR3mo_PX[[#This Row],[Column1210]]</f>
        <v>99.864999999999995</v>
      </c>
      <c r="ATO14">
        <f>SOFR3mo_PX[[#This Row],[Column1211]]</f>
        <v>99.875</v>
      </c>
      <c r="ATP14">
        <f>SOFR3mo_PX[[#This Row],[Column1212]]</f>
        <v>99.87</v>
      </c>
      <c r="ATQ14">
        <f>SOFR3mo_PX[[#This Row],[Column1213]]</f>
        <v>99.875</v>
      </c>
      <c r="ATR14">
        <f>SOFR3mo_PX[[#This Row],[Column1214]]</f>
        <v>99.885000000000005</v>
      </c>
      <c r="ATS14">
        <f>SOFR3mo_PX[[#This Row],[Column1215]]</f>
        <v>99.885000000000005</v>
      </c>
      <c r="ATT14">
        <f>SOFR3mo_PX[[#This Row],[Column1216]]</f>
        <v>99.88</v>
      </c>
      <c r="ATU14">
        <f>SOFR3mo_PX[[#This Row],[Column1217]]</f>
        <v>99.87</v>
      </c>
      <c r="ATV14">
        <f>SOFR3mo_PX[[#This Row],[Column1218]]</f>
        <v>99.86</v>
      </c>
      <c r="ATW14">
        <f>SOFR3mo_PX[[#This Row],[Column1219]]</f>
        <v>99.885000000000005</v>
      </c>
      <c r="ATX14">
        <f>SOFR3mo_PX[[#This Row],[Column1220]]</f>
        <v>99.885000000000005</v>
      </c>
      <c r="ATY14">
        <f>SOFR3mo_PX[[#This Row],[Column1221]]</f>
        <v>99.894999999999996</v>
      </c>
      <c r="ATZ14">
        <f>SOFR3mo_PX[[#This Row],[Column1222]]</f>
        <v>99.905000000000001</v>
      </c>
      <c r="AUA14">
        <f>SOFR3mo_PX[[#This Row],[Column1223]]</f>
        <v>99.9</v>
      </c>
      <c r="AUB14">
        <f>SOFR3mo_PX[[#This Row],[Column1224]]</f>
        <v>99.905000000000001</v>
      </c>
      <c r="AUC14">
        <f>SOFR3mo_PX[[#This Row],[Column1225]]</f>
        <v>99.9</v>
      </c>
      <c r="AUD14">
        <f>SOFR3mo_PX[[#This Row],[Column1226]]</f>
        <v>99.885000000000005</v>
      </c>
      <c r="AUE14">
        <f>SOFR3mo_PX[[#This Row],[Column1227]]</f>
        <v>99.88</v>
      </c>
      <c r="AUF14">
        <f>SOFR3mo_PX[[#This Row],[Column1228]]</f>
        <v>99.894999999999996</v>
      </c>
      <c r="AUG14">
        <f>SOFR3mo_PX[[#This Row],[Column1229]]</f>
        <v>99.89</v>
      </c>
      <c r="AUH14">
        <f>SOFR3mo_PX[[#This Row],[Column1230]]</f>
        <v>99.915000000000006</v>
      </c>
      <c r="AUI14">
        <f>SOFR3mo_PX[[#This Row],[Column1231]]</f>
        <v>99.915000000000006</v>
      </c>
      <c r="AUJ14">
        <f>SOFR3mo_PX[[#This Row],[Column1232]]</f>
        <v>99.935000000000002</v>
      </c>
      <c r="AUK14">
        <f>SOFR3mo_PX[[#This Row],[Column1233]]</f>
        <v>99.935000000000002</v>
      </c>
      <c r="AUL14">
        <f>SOFR3mo_PX[[#This Row],[Column1234]]</f>
        <v>99.935000000000002</v>
      </c>
      <c r="AUM14">
        <f>SOFR3mo_PX[[#This Row],[Column1235]]</f>
        <v>99.94</v>
      </c>
      <c r="AUN14">
        <f>SOFR3mo_PX[[#This Row],[Column1236]]</f>
        <v>99.94</v>
      </c>
      <c r="AUO14">
        <f>SOFR3mo_PX[[#This Row],[Column1237]]</f>
        <v>99.95</v>
      </c>
      <c r="AUP14">
        <f>SOFR3mo_PX[[#This Row],[Column1238]]</f>
        <v>99.95</v>
      </c>
      <c r="AUQ14">
        <f>SOFR3mo_PX[[#This Row],[Column1239]]</f>
        <v>99.954999999999998</v>
      </c>
      <c r="AUR14">
        <f>SOFR3mo_PX[[#This Row],[Column1240]]</f>
        <v>99.954999999999998</v>
      </c>
      <c r="AUS14">
        <f>SOFR3mo_PX[[#This Row],[Column1241]]</f>
        <v>99.944999999999993</v>
      </c>
      <c r="AUT14">
        <f>SOFR3mo_PX[[#This Row],[Column1242]]</f>
        <v>99.924999999999997</v>
      </c>
      <c r="AUU14">
        <f>SOFR3mo_PX[[#This Row],[Column1243]]</f>
        <v>99.94</v>
      </c>
      <c r="AUV14">
        <f>SOFR3mo_PX[[#This Row],[Column1244]]</f>
        <v>99.935000000000002</v>
      </c>
      <c r="AUW14">
        <f>SOFR3mo_PX[[#This Row],[Column1245]]</f>
        <v>99.98</v>
      </c>
      <c r="AUX14">
        <f>SOFR3mo_PX[[#This Row],[Column1246]]</f>
        <v>99.984999999999999</v>
      </c>
      <c r="AUY14">
        <f>SOFR3mo_PX[[#This Row],[Column1247]]</f>
        <v>99.974999999999994</v>
      </c>
      <c r="AUZ14">
        <f>SOFR3mo_PX[[#This Row],[Column1248]]</f>
        <v>99.95</v>
      </c>
      <c r="AVA14">
        <f>SOFR3mo_PX[[#This Row],[Column1249]]</f>
        <v>99.944999999999993</v>
      </c>
      <c r="AVB14">
        <f>SOFR3mo_PX[[#This Row],[Column1250]]</f>
        <v>99.95</v>
      </c>
      <c r="AVC14">
        <f>SOFR3mo_PX[[#This Row],[Column1251]]</f>
        <v>99.94</v>
      </c>
      <c r="AVD14">
        <f>SOFR3mo_PX[[#This Row],[Column1252]]</f>
        <v>99.94</v>
      </c>
      <c r="AVE14">
        <f>SOFR3mo_PX[[#This Row],[Column1253]]</f>
        <v>99.97</v>
      </c>
      <c r="AVF14">
        <f>SOFR3mo_PX[[#This Row],[Column1254]]</f>
        <v>99.96</v>
      </c>
      <c r="AVG14">
        <f>SOFR3mo_PX[[#This Row],[Column1255]]</f>
        <v>99.97</v>
      </c>
      <c r="AVH14">
        <f>SOFR3mo_PX[[#This Row],[Column1256]]</f>
        <v>99.965000000000003</v>
      </c>
      <c r="AVI14">
        <f>SOFR3mo_PX[[#This Row],[Column1257]]</f>
        <v>99.96</v>
      </c>
      <c r="AVJ14">
        <f>SOFR3mo_PX[[#This Row],[Column1258]]</f>
        <v>99.94</v>
      </c>
      <c r="AVK14">
        <f>SOFR3mo_PX[[#This Row],[Column1259]]</f>
        <v>99.95</v>
      </c>
      <c r="AVL14">
        <f>SOFR3mo_PX[[#This Row],[Column1260]]</f>
        <v>99.954999999999998</v>
      </c>
      <c r="AVM14">
        <f>SOFR3mo_PX[[#This Row],[Column1261]]</f>
        <v>99.965000000000003</v>
      </c>
      <c r="AVN14">
        <f>SOFR3mo_PX[[#This Row],[Column1262]]</f>
        <v>99.96</v>
      </c>
      <c r="AVO14">
        <f>SOFR3mo_PX[[#This Row],[Column1263]]</f>
        <v>99.97</v>
      </c>
      <c r="AVP14">
        <f>SOFR3mo_PX[[#This Row],[Column1264]]</f>
        <v>99.97</v>
      </c>
      <c r="AVQ14">
        <f>SOFR3mo_PX[[#This Row],[Column1265]]</f>
        <v>99.96</v>
      </c>
      <c r="AVR14">
        <f>SOFR3mo_PX[[#This Row],[Column1266]]</f>
        <v>99.944999999999993</v>
      </c>
      <c r="AVS14">
        <f>SOFR3mo_PX[[#This Row],[Column1267]]</f>
        <v>99.935000000000002</v>
      </c>
      <c r="AVT14">
        <f>SOFR3mo_PX[[#This Row],[Column1268]]</f>
        <v>99.935000000000002</v>
      </c>
      <c r="AVU14">
        <f>SOFR3mo_PX[[#This Row],[Column1269]]</f>
        <v>99.94</v>
      </c>
      <c r="AVV14">
        <f>SOFR3mo_PX[[#This Row],[Column1270]]</f>
        <v>99.94</v>
      </c>
      <c r="AVW14">
        <f>SOFR3mo_PX[[#This Row],[Column1271]]</f>
        <v>99.974999999999994</v>
      </c>
      <c r="AVX14">
        <f>SOFR3mo_PX[[#This Row],[Column1272]]</f>
        <v>99.984999999999999</v>
      </c>
      <c r="AVY14">
        <f>SOFR3mo_PX[[#This Row],[Column1273]]</f>
        <v>100.005</v>
      </c>
      <c r="AVZ14">
        <f>SOFR3mo_PX[[#This Row],[Column1274]]</f>
        <v>100.01</v>
      </c>
      <c r="AWA14">
        <f>SOFR3mo_PX[[#This Row],[Column1275]]</f>
        <v>100.02</v>
      </c>
      <c r="AWB14">
        <f>SOFR3mo_PX[[#This Row],[Column1276]]</f>
        <v>100.01</v>
      </c>
      <c r="AWC14">
        <f>SOFR3mo_PX[[#This Row],[Column1277]]</f>
        <v>100.005</v>
      </c>
      <c r="AWD14">
        <f>SOFR3mo_PX[[#This Row],[Column1278]]</f>
        <v>100</v>
      </c>
      <c r="AWE14">
        <f>SOFR3mo_PX[[#This Row],[Column1279]]</f>
        <v>99.98</v>
      </c>
      <c r="AWF14">
        <f>SOFR3mo_PX[[#This Row],[Column1280]]</f>
        <v>99.97</v>
      </c>
      <c r="AWG14">
        <f>SOFR3mo_PX[[#This Row],[Column1281]]</f>
        <v>99.965000000000003</v>
      </c>
      <c r="AWH14">
        <f>SOFR3mo_PX[[#This Row],[Column1282]]</f>
        <v>99.974999999999994</v>
      </c>
      <c r="AWI14">
        <f>SOFR3mo_PX[[#This Row],[Column1283]]</f>
        <v>99.98</v>
      </c>
      <c r="AWJ14">
        <f>SOFR3mo_PX[[#This Row],[Column1284]]</f>
        <v>99.98</v>
      </c>
      <c r="AWK14">
        <f>SOFR3mo_PX[[#This Row],[Column1285]]</f>
        <v>99.974999999999994</v>
      </c>
      <c r="AWL14">
        <f>SOFR3mo_PX[[#This Row],[Column1286]]</f>
        <v>99.97</v>
      </c>
      <c r="AWM14">
        <f>SOFR3mo_PX[[#This Row],[Column1287]]</f>
        <v>99.965000000000003</v>
      </c>
      <c r="AWN14">
        <f>SOFR3mo_PX[[#This Row],[Column1288]]</f>
        <v>99.965000000000003</v>
      </c>
      <c r="AWO14">
        <f>SOFR3mo_PX[[#This Row],[Column1289]]</f>
        <v>99.96</v>
      </c>
      <c r="AWP14">
        <f>SOFR3mo_PX[[#This Row],[Column1290]]</f>
        <v>99.97</v>
      </c>
      <c r="AWQ14">
        <f>SOFR3mo_PX[[#This Row],[Column1291]]</f>
        <v>99.97</v>
      </c>
      <c r="AWR14">
        <f>SOFR3mo_PX[[#This Row],[Column1292]]</f>
        <v>99.97</v>
      </c>
      <c r="AWS14">
        <f>SOFR3mo_PX[[#This Row],[Column1293]]</f>
        <v>99.984999999999999</v>
      </c>
      <c r="AWT14">
        <f>SOFR3mo_PX[[#This Row],[Column1294]]</f>
        <v>99.97</v>
      </c>
      <c r="AWU14">
        <f>SOFR3mo_PX[[#This Row],[Column1295]]</f>
        <v>99.965000000000003</v>
      </c>
      <c r="AWV14">
        <f>SOFR3mo_PX[[#This Row],[Column1296]]</f>
        <v>99.96</v>
      </c>
      <c r="AWW14">
        <f>SOFR3mo_PX[[#This Row],[Column1297]]</f>
        <v>99.96</v>
      </c>
      <c r="AWX14">
        <f>SOFR3mo_PX[[#This Row],[Column1298]]</f>
        <v>99.96</v>
      </c>
      <c r="AWY14">
        <f>SOFR3mo_PX[[#This Row],[Column1299]]</f>
        <v>99.95</v>
      </c>
      <c r="AWZ14">
        <f>SOFR3mo_PX[[#This Row],[Column1300]]</f>
        <v>99.97</v>
      </c>
      <c r="AXA14">
        <f>SOFR3mo_PX[[#This Row],[Column1301]]</f>
        <v>99.97</v>
      </c>
      <c r="AXB14">
        <f>SOFR3mo_PX[[#This Row],[Column1302]]</f>
        <v>99.96</v>
      </c>
      <c r="AXC14">
        <f>SOFR3mo_PX[[#This Row],[Column1303]]</f>
        <v>99.94</v>
      </c>
      <c r="AXD14">
        <f>SOFR3mo_PX[[#This Row],[Column1304]]</f>
        <v>99.94</v>
      </c>
      <c r="AXE14">
        <f>SOFR3mo_PX[[#This Row],[Column1305]]</f>
        <v>99.94</v>
      </c>
      <c r="AXF14">
        <f>SOFR3mo_PX[[#This Row],[Column1306]]</f>
        <v>99.935000000000002</v>
      </c>
      <c r="AXG14">
        <f>SOFR3mo_PX[[#This Row],[Column1307]]</f>
        <v>99.924999999999997</v>
      </c>
      <c r="AXH14">
        <f>SOFR3mo_PX[[#This Row],[Column1308]]</f>
        <v>99.905000000000001</v>
      </c>
      <c r="AXI14">
        <f>SOFR3mo_PX[[#This Row],[Column1309]]</f>
        <v>99.9</v>
      </c>
      <c r="AXJ14">
        <f>SOFR3mo_PX[[#This Row],[Column1310]]</f>
        <v>99.894999999999996</v>
      </c>
      <c r="AXK14">
        <f>SOFR3mo_PX[[#This Row],[Column1311]]</f>
        <v>99.91</v>
      </c>
      <c r="AXL14">
        <f>SOFR3mo_PX[[#This Row],[Column1312]]</f>
        <v>99.9</v>
      </c>
      <c r="AXM14">
        <f>SOFR3mo_PX[[#This Row],[Column1313]]</f>
        <v>99.91</v>
      </c>
      <c r="AXN14">
        <f>SOFR3mo_PX[[#This Row],[Column1314]]</f>
        <v>99.885000000000005</v>
      </c>
      <c r="AXO14">
        <f>SOFR3mo_PX[[#This Row],[Column1315]]</f>
        <v>99.834999999999994</v>
      </c>
      <c r="AXP14">
        <f>SOFR3mo_PX[[#This Row],[Column1316]]</f>
        <v>99.8</v>
      </c>
      <c r="AXQ14">
        <f>SOFR3mo_PX[[#This Row],[Column1317]]</f>
        <v>99.795000000000002</v>
      </c>
      <c r="AXR14">
        <f>SOFR3mo_PX[[#This Row],[Column1318]]</f>
        <v>99.86</v>
      </c>
      <c r="AXS14">
        <f>SOFR3mo_PX[[#This Row],[Column1319]]</f>
        <v>99.875</v>
      </c>
      <c r="AXT14">
        <f>SOFR3mo_PX[[#This Row],[Column1320]]</f>
        <v>99.91</v>
      </c>
      <c r="AXU14">
        <f>SOFR3mo_PX[[#This Row],[Column1321]]</f>
        <v>99.915000000000006</v>
      </c>
      <c r="AXV14">
        <f>SOFR3mo_PX[[#This Row],[Column1322]]</f>
        <v>99.905000000000001</v>
      </c>
      <c r="AXW14">
        <f>SOFR3mo_PX[[#This Row],[Column1323]]</f>
        <v>99.885000000000005</v>
      </c>
      <c r="AXX14">
        <f>SOFR3mo_PX[[#This Row],[Column1324]]</f>
        <v>99.89</v>
      </c>
      <c r="AXY14">
        <f>SOFR3mo_PX[[#This Row],[Column1325]]</f>
        <v>99.894999999999996</v>
      </c>
      <c r="AXZ14">
        <f>SOFR3mo_PX[[#This Row],[Column1326]]</f>
        <v>99.9</v>
      </c>
      <c r="AYA14">
        <f>SOFR3mo_PX[[#This Row],[Column1327]]</f>
        <v>99.9</v>
      </c>
      <c r="AYB14">
        <f>SOFR3mo_PX[[#This Row],[Column1328]]</f>
        <v>99.894999999999996</v>
      </c>
      <c r="AYC14">
        <f>SOFR3mo_PX[[#This Row],[Column1329]]</f>
        <v>99.894999999999996</v>
      </c>
      <c r="AYD14">
        <f>SOFR3mo_PX[[#This Row],[Column1330]]</f>
        <v>99.9</v>
      </c>
      <c r="AYE14">
        <f>SOFR3mo_PX[[#This Row],[Column1331]]</f>
        <v>99.9</v>
      </c>
      <c r="AYF14">
        <f>SOFR3mo_PX[[#This Row],[Column1332]]</f>
        <v>99.944999999999993</v>
      </c>
      <c r="AYG14">
        <f>SOFR3mo_PX[[#This Row],[Column1333]]</f>
        <v>99.92</v>
      </c>
      <c r="AYH14">
        <f>SOFR3mo_PX[[#This Row],[Column1334]]</f>
        <v>99.91</v>
      </c>
      <c r="AYI14">
        <f>SOFR3mo_PX[[#This Row],[Column1335]]</f>
        <v>99.89</v>
      </c>
      <c r="AYJ14">
        <f>SOFR3mo_PX[[#This Row],[Column1336]]</f>
        <v>99.885000000000005</v>
      </c>
      <c r="AYK14">
        <f>SOFR3mo_PX[[#This Row],[Column1337]]</f>
        <v>99.905000000000001</v>
      </c>
      <c r="AYL14">
        <f>SOFR3mo_PX[[#This Row],[Column1338]]</f>
        <v>99.915000000000006</v>
      </c>
      <c r="AYM14">
        <f>SOFR3mo_PX[[#This Row],[Column1339]]</f>
        <v>99.86</v>
      </c>
      <c r="AYN14">
        <f>SOFR3mo_PX[[#This Row],[Column1340]]</f>
        <v>99.844999999999999</v>
      </c>
      <c r="AYO14">
        <f>SOFR3mo_PX[[#This Row],[Column1341]]</f>
        <v>99.844999999999999</v>
      </c>
      <c r="AYP14">
        <f>SOFR3mo_PX[[#This Row],[Column1342]]</f>
        <v>99.83</v>
      </c>
      <c r="AYQ14">
        <f>SOFR3mo_PX[[#This Row],[Column1343]]</f>
        <v>99.834999999999994</v>
      </c>
      <c r="AYR14">
        <f>SOFR3mo_PX[[#This Row],[Column1344]]</f>
        <v>99.825000000000003</v>
      </c>
      <c r="AYS14">
        <f>SOFR3mo_PX[[#This Row],[Column1345]]</f>
        <v>99.81</v>
      </c>
      <c r="AYT14">
        <f>SOFR3mo_PX[[#This Row],[Column1346]]</f>
        <v>99.805000000000007</v>
      </c>
      <c r="AYU14">
        <f>SOFR3mo_PX[[#This Row],[Column1347]]</f>
        <v>99.814999999999998</v>
      </c>
      <c r="AYV14">
        <f>SOFR3mo_PX[[#This Row],[Column1348]]</f>
        <v>99.814999999999998</v>
      </c>
      <c r="AYW14">
        <f>SOFR3mo_PX[[#This Row],[Column1349]]</f>
        <v>99.81</v>
      </c>
      <c r="AYX14">
        <f>SOFR3mo_PX[[#This Row],[Column1350]]</f>
        <v>99.82</v>
      </c>
      <c r="AYY14">
        <f>SOFR3mo_PX[[#This Row],[Column1351]]</f>
        <v>99.8</v>
      </c>
      <c r="AYZ14">
        <f>SOFR3mo_PX[[#This Row],[Column1352]]</f>
        <v>99.79</v>
      </c>
      <c r="AZA14">
        <f>SOFR3mo_PX[[#This Row],[Column1353]]</f>
        <v>99.775000000000006</v>
      </c>
      <c r="AZB14">
        <f>SOFR3mo_PX[[#This Row],[Column1354]]</f>
        <v>99.765000000000001</v>
      </c>
      <c r="AZC14">
        <f>SOFR3mo_PX[[#This Row],[Column1355]]</f>
        <v>99.734999999999999</v>
      </c>
      <c r="AZD14">
        <f>SOFR3mo_PX[[#This Row],[Column1356]]</f>
        <v>99.72</v>
      </c>
      <c r="AZE14">
        <f>SOFR3mo_PX[[#This Row],[Column1357]]</f>
        <v>99.73</v>
      </c>
      <c r="AZF14">
        <f>SOFR3mo_PX[[#This Row],[Column1358]]</f>
        <v>99.73</v>
      </c>
      <c r="AZG14">
        <f>SOFR3mo_PX[[#This Row],[Column1359]]</f>
        <v>99.71</v>
      </c>
      <c r="AZH14">
        <f>SOFR3mo_PX[[#This Row],[Column1360]]</f>
        <v>99.694999999999993</v>
      </c>
      <c r="AZI14">
        <f>SOFR3mo_PX[[#This Row],[Column1361]]</f>
        <v>99.74</v>
      </c>
      <c r="AZJ14">
        <f>SOFR3mo_PX[[#This Row],[Column1362]]</f>
        <v>99.8</v>
      </c>
      <c r="AZK14">
        <f>SOFR3mo_PX[[#This Row],[Column1363]]</f>
        <v>99.795000000000002</v>
      </c>
      <c r="AZL14">
        <f>SOFR3mo_PX[[#This Row],[Column1364]]</f>
        <v>99.81</v>
      </c>
      <c r="AZM14">
        <f>SOFR3mo_PX[[#This Row],[Column1365]]</f>
        <v>99.784999999999997</v>
      </c>
      <c r="AZN14">
        <f>SOFR3mo_PX[[#This Row],[Column1366]]</f>
        <v>99.814999999999998</v>
      </c>
      <c r="AZO14">
        <f>SOFR3mo_PX[[#This Row],[Column1367]]</f>
        <v>99.77</v>
      </c>
      <c r="AZP14">
        <f>SOFR3mo_PX[[#This Row],[Column1368]]</f>
        <v>99.75</v>
      </c>
      <c r="AZQ14">
        <f>SOFR3mo_PX[[#This Row],[Column1369]]</f>
        <v>99.72</v>
      </c>
      <c r="AZR14">
        <f>SOFR3mo_PX[[#This Row],[Column1370]]</f>
        <v>99.715000000000003</v>
      </c>
      <c r="AZS14">
        <f>SOFR3mo_PX[[#This Row],[Column1371]]</f>
        <v>99.775000000000006</v>
      </c>
      <c r="AZT14">
        <f>SOFR3mo_PX[[#This Row],[Column1372]]</f>
        <v>99.694999999999993</v>
      </c>
      <c r="AZU14">
        <f>SOFR3mo_PX[[#This Row],[Column1373]]</f>
        <v>99.635000000000005</v>
      </c>
      <c r="AZV14">
        <f>SOFR3mo_PX[[#This Row],[Column1374]]</f>
        <v>99.53</v>
      </c>
      <c r="AZW14">
        <f>SOFR3mo_PX[[#This Row],[Column1375]]</f>
        <v>99.65</v>
      </c>
      <c r="AZX14">
        <f>SOFR3mo_PX[[#This Row],[Column1376]]</f>
        <v>99.7</v>
      </c>
      <c r="AZY14">
        <f>SOFR3mo_PX[[#This Row],[Column1377]]</f>
        <v>99.625</v>
      </c>
      <c r="AZZ14">
        <f>SOFR3mo_PX[[#This Row],[Column1378]]</f>
        <v>99.665000000000006</v>
      </c>
      <c r="BAA14">
        <f>SOFR3mo_PX[[#This Row],[Column1379]]</f>
        <v>99.594999999999999</v>
      </c>
      <c r="BAB14">
        <f>SOFR3mo_PX[[#This Row],[Column1380]]</f>
        <v>99.584999999999994</v>
      </c>
      <c r="BAC14">
        <f>SOFR3mo_PX[[#This Row],[Column1381]]</f>
        <v>99.704999999999998</v>
      </c>
      <c r="BAD14">
        <f>SOFR3mo_PX[[#This Row],[Column1382]]</f>
        <v>99.63</v>
      </c>
      <c r="BAE14">
        <f>SOFR3mo_PX[[#This Row],[Column1383]]</f>
        <v>99.545000000000002</v>
      </c>
      <c r="BAF14">
        <f>SOFR3mo_PX[[#This Row],[Column1384]]</f>
        <v>99.495000000000005</v>
      </c>
      <c r="BAG14">
        <f>SOFR3mo_PX[[#This Row],[Column1385]]</f>
        <v>99.435000000000002</v>
      </c>
      <c r="BAH14">
        <f>SOFR3mo_PX[[#This Row],[Column1386]]</f>
        <v>99.364999999999995</v>
      </c>
      <c r="BAI14">
        <f>SOFR3mo_PX[[#This Row],[Column1387]]</f>
        <v>99.364999999999995</v>
      </c>
      <c r="BAJ14">
        <f>SOFR3mo_PX[[#This Row],[Column1388]]</f>
        <v>99.165000000000006</v>
      </c>
      <c r="BAK14">
        <f>SOFR3mo_PX[[#This Row],[Column1389]]</f>
        <v>99.11</v>
      </c>
      <c r="BAL14">
        <f>SOFR3mo_PX[[#This Row],[Column1390]]</f>
        <v>99.12</v>
      </c>
      <c r="BAM14">
        <f>SOFR3mo_PX[[#This Row],[Column1391]]</f>
        <v>99.064999999999998</v>
      </c>
      <c r="BAN14">
        <f>SOFR3mo_PX[[#This Row],[Column1392]]</f>
        <v>98.954999999999998</v>
      </c>
      <c r="BAO14">
        <f>SOFR3mo_PX[[#This Row],[Column1393]]</f>
        <v>98.89</v>
      </c>
      <c r="BAP14">
        <f>SOFR3mo_PX[[#This Row],[Column1394]]</f>
        <v>98.844999999999999</v>
      </c>
      <c r="BAQ14">
        <f>SOFR3mo_PX[[#This Row],[Column1395]]</f>
        <v>98.87</v>
      </c>
      <c r="BAR14">
        <f>SOFR3mo_PX[[#This Row],[Column1396]]</f>
        <v>98.84</v>
      </c>
      <c r="BAS14">
        <f>SOFR3mo_PX[[#This Row],[Column1397]]</f>
        <v>98.84</v>
      </c>
      <c r="BAT14">
        <f>SOFR3mo_PX[[#This Row],[Column1398]]</f>
        <v>98.805000000000007</v>
      </c>
      <c r="BAU14">
        <f>SOFR3mo_PX[[#This Row],[Column1399]]</f>
        <v>98.805000000000007</v>
      </c>
      <c r="BAV14">
        <f>SOFR3mo_PX[[#This Row],[Column1400]]</f>
        <v>98.844999999999999</v>
      </c>
      <c r="BAW14">
        <f>SOFR3mo_PX[[#This Row],[Column1401]]</f>
        <v>98.875</v>
      </c>
      <c r="BAX14">
        <f>SOFR3mo_PX[[#This Row],[Column1402]]</f>
        <v>98.84</v>
      </c>
      <c r="BAY14">
        <f>SOFR3mo_PX[[#This Row],[Column1403]]</f>
        <v>98.784999999999997</v>
      </c>
      <c r="BAZ14">
        <f>SOFR3mo_PX[[#This Row],[Column1404]]</f>
        <v>98.805000000000007</v>
      </c>
      <c r="BBA14">
        <f>SOFR3mo_PX[[#This Row],[Column1405]]</f>
        <v>98.844999999999999</v>
      </c>
      <c r="BBB14">
        <f>SOFR3mo_PX[[#This Row],[Column1406]]</f>
        <v>98.93</v>
      </c>
      <c r="BBC14">
        <f>SOFR3mo_PX[[#This Row],[Column1407]]</f>
        <v>98.944999999999993</v>
      </c>
      <c r="BBD14">
        <f>SOFR3mo_PX[[#This Row],[Column1408]]</f>
        <v>98.89</v>
      </c>
      <c r="BBE14">
        <f>SOFR3mo_PX[[#This Row],[Column1409]]</f>
        <v>98.844999999999999</v>
      </c>
      <c r="BBF14">
        <f>SOFR3mo_PX[[#This Row],[Column1410]]</f>
        <v>98.795000000000002</v>
      </c>
      <c r="BBG14">
        <f>SOFR3mo_PX[[#This Row],[Column1411]]</f>
        <v>98.83</v>
      </c>
      <c r="BBH14">
        <f>SOFR3mo_PX[[#This Row],[Column1412]]</f>
        <v>98.745000000000005</v>
      </c>
      <c r="BBI14">
        <f>SOFR3mo_PX[[#This Row],[Column1413]]</f>
        <v>98.69</v>
      </c>
      <c r="BBJ14">
        <f>SOFR3mo_PX[[#This Row],[Column1414]]</f>
        <v>98.67</v>
      </c>
      <c r="BBK14">
        <f>SOFR3mo_PX[[#This Row],[Column1415]]</f>
        <v>98.655000000000001</v>
      </c>
      <c r="BBL14">
        <f>SOFR3mo_PX[[#This Row],[Column1416]]</f>
        <v>98.6</v>
      </c>
      <c r="BBM14">
        <f>SOFR3mo_PX[[#This Row],[Column1417]]</f>
        <v>98.6</v>
      </c>
      <c r="BBN14">
        <f>SOFR3mo_PX[[#This Row],[Column1418]]</f>
        <v>98.614999999999995</v>
      </c>
      <c r="BBO14">
        <f>SOFR3mo_PX[[#This Row],[Column1419]]</f>
        <v>98.625</v>
      </c>
      <c r="BBP14">
        <f>SOFR3mo_PX[[#This Row],[Column1420]]</f>
        <v>98.614999999999995</v>
      </c>
      <c r="BBQ14">
        <f>SOFR3mo_PX[[#This Row],[Column1421]]</f>
        <v>98.6</v>
      </c>
      <c r="BBR14">
        <f>SOFR3mo_PX[[#This Row],[Column1422]]</f>
        <v>98.605000000000004</v>
      </c>
      <c r="BBS14">
        <f>SOFR3mo_PX[[#This Row],[Column1423]]</f>
        <v>98.59</v>
      </c>
      <c r="BBT14">
        <f>SOFR3mo_PX[[#This Row],[Column1424]]</f>
        <v>98.584999999999994</v>
      </c>
      <c r="BBU14">
        <f>SOFR3mo_PX[[#This Row],[Column1425]]</f>
        <v>98.63</v>
      </c>
      <c r="BBV14">
        <f>SOFR3mo_PX[[#This Row],[Column1426]]</f>
        <v>98.64</v>
      </c>
      <c r="BBW14">
        <f>SOFR3mo_PX[[#This Row],[Column1427]]</f>
        <v>98.644999999999996</v>
      </c>
      <c r="BBX14">
        <f>SOFR3mo_PX[[#This Row],[Column1428]]</f>
        <v>98.555000000000007</v>
      </c>
      <c r="BBY14">
        <f>SOFR3mo_PX[[#This Row],[Column1429]]</f>
        <v>98.545000000000002</v>
      </c>
      <c r="BBZ14">
        <f>SOFR3mo_PX[[#This Row],[Column1430]]</f>
        <v>98.545000000000002</v>
      </c>
      <c r="BCA14">
        <f>SOFR3mo_PX[[#This Row],[Column1431]]</f>
        <v>98.55</v>
      </c>
      <c r="BCB14">
        <f>SOFR3mo_PX[[#This Row],[Column1432]]</f>
        <v>98.55</v>
      </c>
      <c r="BCC14">
        <f>SOFR3mo_PX[[#This Row],[Column1433]]</f>
        <v>98.51</v>
      </c>
      <c r="BCD14">
        <f>SOFR3mo_PX[[#This Row],[Column1434]]</f>
        <v>98.51</v>
      </c>
      <c r="BCE14">
        <f>SOFR3mo_PX[[#This Row],[Column1435]]</f>
        <v>98.51</v>
      </c>
      <c r="BCF14">
        <f>SOFR3mo_PX[[#This Row],[Column1436]]</f>
        <v>98.49</v>
      </c>
      <c r="BCG14">
        <f>SOFR3mo_PX[[#This Row],[Column1437]]</f>
        <v>98.53</v>
      </c>
      <c r="BCH14">
        <f>SOFR3mo_PX[[#This Row],[Column1438]]</f>
        <v>98.545000000000002</v>
      </c>
      <c r="BCI14">
        <f>SOFR3mo_PX[[#This Row],[Column1439]]</f>
        <v>98.525000000000006</v>
      </c>
      <c r="BCJ14">
        <f>SOFR3mo_PX[[#This Row],[Column1440]]</f>
        <v>98.56</v>
      </c>
      <c r="BCK14">
        <f>SOFR3mo_PX[[#This Row],[Column1441]]</f>
        <v>98.57</v>
      </c>
      <c r="BCL14">
        <f>SOFR3mo_PX[[#This Row],[Column1442]]</f>
        <v>98.644999999999996</v>
      </c>
      <c r="BCM14">
        <f>SOFR3mo_PX[[#This Row],[Column1443]]</f>
        <v>98.564999999999998</v>
      </c>
      <c r="BCN14">
        <f>SOFR3mo_PX[[#This Row],[Column1444]]</f>
        <v>98.65</v>
      </c>
      <c r="BCO14">
        <f>SOFR3mo_PX[[#This Row],[Column1445]]</f>
        <v>98.61</v>
      </c>
      <c r="BCP14">
        <f>SOFR3mo_PX[[#This Row],[Column1446]]</f>
        <v>98.625</v>
      </c>
      <c r="BCQ14">
        <f>SOFR3mo_PX[[#This Row],[Column1447]]</f>
        <v>98.635000000000005</v>
      </c>
      <c r="BCR14">
        <f>SOFR3mo_PX[[#This Row],[Column1448]]</f>
        <v>98.694999999999993</v>
      </c>
      <c r="BCS14">
        <f>SOFR3mo_PX[[#This Row],[Column1449]]</f>
        <v>98.71</v>
      </c>
      <c r="BCT14">
        <f>SOFR3mo_PX[[#This Row],[Column1450]]</f>
        <v>98.784999999999997</v>
      </c>
      <c r="BCU14">
        <f>SOFR3mo_PX[[#This Row],[Column1451]]</f>
        <v>98.665000000000006</v>
      </c>
      <c r="BCV14">
        <f>SOFR3mo_PX[[#This Row],[Column1452]]</f>
        <v>98.7</v>
      </c>
      <c r="BCW14">
        <f>SOFR3mo_PX[[#This Row],[Column1453]]</f>
        <v>98.69</v>
      </c>
      <c r="BCX14">
        <f>SOFR3mo_PX[[#This Row],[Column1454]]</f>
        <v>98.69</v>
      </c>
      <c r="BCY14">
        <f>SOFR3mo_PX[[#This Row],[Column1455]]</f>
        <v>98.73</v>
      </c>
      <c r="BCZ14">
        <f>SOFR3mo_PX[[#This Row],[Column1456]]</f>
        <v>98.72</v>
      </c>
      <c r="BDA14">
        <f>SOFR3mo_PX[[#This Row],[Column1457]]</f>
        <v>98.704999999999998</v>
      </c>
      <c r="BDB14">
        <f>SOFR3mo_PX[[#This Row],[Column1458]]</f>
        <v>98.724999999999994</v>
      </c>
      <c r="BDC14">
        <f>SOFR3mo_PX[[#This Row],[Column1459]]</f>
        <v>98.754999999999995</v>
      </c>
      <c r="BDD14">
        <f>SOFR3mo_PX[[#This Row],[Column1460]]</f>
        <v>98.72</v>
      </c>
      <c r="BDE14">
        <f>SOFR3mo_PX[[#This Row],[Column1461]]</f>
        <v>98.694999999999993</v>
      </c>
      <c r="BDF14">
        <f>SOFR3mo_PX[[#This Row],[Column1462]]</f>
        <v>98.67</v>
      </c>
      <c r="BDG14">
        <f>SOFR3mo_PX[[#This Row],[Column1463]]</f>
        <v>98.68</v>
      </c>
      <c r="BDH14">
        <f>SOFR3mo_PX[[#This Row],[Column1464]]</f>
        <v>98.63</v>
      </c>
      <c r="BDI14">
        <f>SOFR3mo_PX[[#This Row],[Column1465]]</f>
        <v>98.58</v>
      </c>
      <c r="BDJ14">
        <f>SOFR3mo_PX[[#This Row],[Column1466]]</f>
        <v>98.55</v>
      </c>
      <c r="BDK14">
        <f>SOFR3mo_PX[[#This Row],[Column1467]]</f>
        <v>98.56</v>
      </c>
      <c r="BDL14">
        <f>SOFR3mo_PX[[#This Row],[Column1468]]</f>
        <v>98.545000000000002</v>
      </c>
      <c r="BDM14">
        <f>SOFR3mo_PX[[#This Row],[Column1469]]</f>
        <v>98.655000000000001</v>
      </c>
      <c r="BDN14">
        <f>SOFR3mo_PX[[#This Row],[Column1470]]</f>
        <v>98.63</v>
      </c>
      <c r="BDO14">
        <f>SOFR3mo_PX[[#This Row],[Column1471]]</f>
        <v>98.69</v>
      </c>
      <c r="BDP14">
        <f>SOFR3mo_PX[[#This Row],[Column1472]]</f>
        <v>98.74</v>
      </c>
      <c r="BDQ14">
        <f>SOFR3mo_PX[[#This Row],[Column1473]]</f>
        <v>98.81</v>
      </c>
      <c r="BDR14">
        <f>SOFR3mo_PX[[#This Row],[Column1474]]</f>
        <v>98.685000000000002</v>
      </c>
      <c r="BDS14">
        <f>SOFR3mo_PX[[#This Row],[Column1475]]</f>
        <v>98.665000000000006</v>
      </c>
      <c r="BDT14">
        <f>SOFR3mo_PX[[#This Row],[Column1476]]</f>
        <v>98.67</v>
      </c>
      <c r="BDU14">
        <f>SOFR3mo_PX[[#This Row],[Column1477]]</f>
        <v>98.7</v>
      </c>
      <c r="BDV14">
        <f>SOFR3mo_PX[[#This Row],[Column1478]]</f>
        <v>98.745000000000005</v>
      </c>
      <c r="BDW14">
        <f>SOFR3mo_PX[[#This Row],[Column1479]]</f>
        <v>98.754999999999995</v>
      </c>
      <c r="BDX14">
        <f>SOFR3mo_PX[[#This Row],[Column1480]]</f>
        <v>98.734999999999999</v>
      </c>
      <c r="BDY14">
        <f>SOFR3mo_PX[[#This Row],[Column1481]]</f>
        <v>98.71</v>
      </c>
      <c r="BDZ14">
        <f>SOFR3mo_PX[[#This Row],[Column1482]]</f>
        <v>98.75</v>
      </c>
      <c r="BEA14">
        <f>SOFR3mo_PX[[#This Row],[Column1483]]</f>
        <v>98.724999999999994</v>
      </c>
      <c r="BEB14">
        <f>SOFR3mo_PX[[#This Row],[Column1484]]</f>
        <v>98.75</v>
      </c>
      <c r="BEC14">
        <f>SOFR3mo_PX[[#This Row],[Column1485]]</f>
        <v>98.71</v>
      </c>
      <c r="BED14">
        <f>SOFR3mo_PX[[#This Row],[Column1486]]</f>
        <v>98.765000000000001</v>
      </c>
      <c r="BEE14">
        <f>SOFR3mo_PX[[#This Row],[Column1487]]</f>
        <v>98.745000000000005</v>
      </c>
      <c r="BEF14">
        <f>SOFR3mo_PX[[#This Row],[Column1488]]</f>
        <v>98.875</v>
      </c>
      <c r="BEG14">
        <f>SOFR3mo_PX[[#This Row],[Column1489]]</f>
        <v>98.94</v>
      </c>
      <c r="BEH14">
        <f>SOFR3mo_PX[[#This Row],[Column1490]]</f>
        <v>98.995000000000005</v>
      </c>
      <c r="BEI14">
        <f>SOFR3mo_PX[[#This Row],[Column1491]]</f>
        <v>98.974999999999994</v>
      </c>
      <c r="BEJ14">
        <f>SOFR3mo_PX[[#This Row],[Column1492]]</f>
        <v>99.045000000000002</v>
      </c>
      <c r="BEK14">
        <f>SOFR3mo_PX[[#This Row],[Column1493]]</f>
        <v>99.055000000000007</v>
      </c>
      <c r="BEL14">
        <f>SOFR3mo_PX[[#This Row],[Column1494]]</f>
        <v>98.954999999999998</v>
      </c>
      <c r="BEM14">
        <f>SOFR3mo_PX[[#This Row],[Column1495]]</f>
        <v>98.88</v>
      </c>
      <c r="BEN14">
        <f>SOFR3mo_PX[[#This Row],[Column1496]]</f>
        <v>98.81</v>
      </c>
      <c r="BEO14">
        <f>SOFR3mo_PX[[#This Row],[Column1497]]</f>
        <v>98.82</v>
      </c>
      <c r="BEP14">
        <f>SOFR3mo_PX[[#This Row],[Column1498]]</f>
        <v>98.81</v>
      </c>
      <c r="BEQ14">
        <f>SOFR3mo_PX[[#This Row],[Column1499]]</f>
        <v>98.795000000000002</v>
      </c>
      <c r="BER14">
        <f>SOFR3mo_PX[[#This Row],[Column1500]]</f>
        <v>98.894999999999996</v>
      </c>
      <c r="BES14">
        <f>SOFR3mo_PX[[#This Row],[Column1501]]</f>
        <v>98.8</v>
      </c>
      <c r="BET14">
        <f>SOFR3mo_PX[[#This Row],[Column1502]]</f>
        <v>98.76</v>
      </c>
      <c r="BEU14">
        <f>SOFR3mo_PX[[#This Row],[Column1503]]</f>
        <v>98.775000000000006</v>
      </c>
      <c r="BEV14">
        <f>SOFR3mo_PX[[#This Row],[Column1504]]</f>
        <v>98.74</v>
      </c>
      <c r="BEW14">
        <f>SOFR3mo_PX[[#This Row],[Column1505]]</f>
        <v>98.75</v>
      </c>
      <c r="BEX14">
        <f>SOFR3mo_PX[[#This Row],[Column1506]]</f>
        <v>98.71</v>
      </c>
      <c r="BEY14">
        <f>SOFR3mo_PX[[#This Row],[Column1507]]</f>
        <v>98.65</v>
      </c>
      <c r="BEZ14">
        <f>SOFR3mo_PX[[#This Row],[Column1508]]</f>
        <v>98.745000000000005</v>
      </c>
      <c r="BFA14">
        <f>SOFR3mo_PX[[#This Row],[Column1509]]</f>
        <v>98.83</v>
      </c>
      <c r="BFB14">
        <f>SOFR3mo_PX[[#This Row],[Column1510]]</f>
        <v>98.855000000000004</v>
      </c>
      <c r="BFC14">
        <f>SOFR3mo_PX[[#This Row],[Column1511]]</f>
        <v>98.954999999999998</v>
      </c>
      <c r="BFD14">
        <f>SOFR3mo_PX[[#This Row],[Column1512]]</f>
        <v>99.03</v>
      </c>
      <c r="BFE14">
        <f>SOFR3mo_PX[[#This Row],[Column1513]]</f>
        <v>99.034999999999997</v>
      </c>
      <c r="BFF14">
        <f>SOFR3mo_PX[[#This Row],[Column1514]]</f>
        <v>99.165000000000006</v>
      </c>
      <c r="BFG14">
        <f>SOFR3mo_PX[[#This Row],[Column1515]]</f>
        <v>99.125</v>
      </c>
      <c r="BFH14">
        <f>SOFR3mo_PX[[#This Row],[Column1516]]</f>
        <v>99.045000000000002</v>
      </c>
      <c r="BFI14">
        <f>SOFR3mo_PX[[#This Row],[Column1517]]</f>
        <v>99.045000000000002</v>
      </c>
      <c r="BFJ14">
        <f>SOFR3mo_PX[[#This Row],[Column1518]]</f>
        <v>99.02</v>
      </c>
      <c r="BFK14">
        <f>SOFR3mo_PX[[#This Row],[Column1519]]</f>
        <v>99.06</v>
      </c>
      <c r="BFL14">
        <f>SOFR3mo_PX[[#This Row],[Column1520]]</f>
        <v>99.015000000000001</v>
      </c>
      <c r="BFM14">
        <f>SOFR3mo_PX[[#This Row],[Column1521]]</f>
        <v>98.97</v>
      </c>
      <c r="BFN14">
        <f>SOFR3mo_PX[[#This Row],[Column1522]]</f>
        <v>98.995000000000005</v>
      </c>
      <c r="BFO14">
        <f>SOFR3mo_PX[[#This Row],[Column1523]]</f>
        <v>98.89</v>
      </c>
      <c r="BFP14">
        <f>SOFR3mo_PX[[#This Row],[Column1524]]</f>
        <v>98.92</v>
      </c>
      <c r="BFQ14">
        <f>SOFR3mo_PX[[#This Row],[Column1525]]</f>
        <v>98.954999999999998</v>
      </c>
      <c r="BFR14">
        <f>SOFR3mo_PX[[#This Row],[Column1526]]</f>
        <v>98.915000000000006</v>
      </c>
      <c r="BFS14">
        <f>SOFR3mo_PX[[#This Row],[Column1527]]</f>
        <v>98.974999999999994</v>
      </c>
      <c r="BFT14">
        <f>SOFR3mo_PX[[#This Row],[Column1528]]</f>
        <v>98.97</v>
      </c>
      <c r="BFU14">
        <f>SOFR3mo_PX[[#This Row],[Column1529]]</f>
        <v>98.9</v>
      </c>
      <c r="BFV14">
        <f>SOFR3mo_PX[[#This Row],[Column1530]]</f>
        <v>98.814999999999998</v>
      </c>
      <c r="BFW14">
        <f>SOFR3mo_PX[[#This Row],[Column1531]]</f>
        <v>98.92</v>
      </c>
      <c r="BFX14">
        <f>SOFR3mo_PX[[#This Row],[Column1532]]</f>
        <v>98.84</v>
      </c>
      <c r="BFY14">
        <f>SOFR3mo_PX[[#This Row],[Column1533]]</f>
        <v>98.885000000000005</v>
      </c>
      <c r="BFZ14">
        <f>SOFR3mo_PX[[#This Row],[Column1534]]</f>
        <v>98.96</v>
      </c>
      <c r="BGA14">
        <f>SOFR3mo_PX[[#This Row],[Column1535]]</f>
        <v>98.864999999999995</v>
      </c>
      <c r="BGB14">
        <f>SOFR3mo_PX[[#This Row],[Column1536]]</f>
        <v>98.93</v>
      </c>
      <c r="BGC14">
        <f>SOFR3mo_PX[[#This Row],[Column1537]]</f>
        <v>98.715000000000003</v>
      </c>
      <c r="BGD14">
        <f>SOFR3mo_PX[[#This Row],[Column1538]]</f>
        <v>98.694999999999993</v>
      </c>
      <c r="BGE14">
        <f>SOFR3mo_PX[[#This Row],[Column1539]]</f>
        <v>98.504999999999995</v>
      </c>
      <c r="BGF14">
        <f>SOFR3mo_PX[[#This Row],[Column1540]]</f>
        <v>98.515000000000001</v>
      </c>
      <c r="BGG14">
        <f>SOFR3mo_PX[[#This Row],[Column1541]]</f>
        <v>98.525000000000006</v>
      </c>
      <c r="BGH14">
        <f>SOFR3mo_PX[[#This Row],[Column1542]]</f>
        <v>98.504999999999995</v>
      </c>
      <c r="BGI14">
        <f>SOFR3mo_PX[[#This Row],[Column1543]]</f>
        <v>98.53</v>
      </c>
      <c r="BGJ14">
        <f>SOFR3mo_PX[[#This Row],[Column1544]]</f>
        <v>98.555000000000007</v>
      </c>
      <c r="BGK14">
        <f>SOFR3mo_PX[[#This Row],[Column1545]]</f>
        <v>98.55</v>
      </c>
      <c r="BGL14">
        <f>SOFR3mo_PX[[#This Row],[Column1546]]</f>
        <v>98.58</v>
      </c>
      <c r="BGM14">
        <f>SOFR3mo_PX[[#This Row],[Column1547]]</f>
        <v>98.56</v>
      </c>
      <c r="BGN14">
        <f>SOFR3mo_PX[[#This Row],[Column1548]]</f>
        <v>98.61</v>
      </c>
      <c r="BGO14">
        <f>SOFR3mo_PX[[#This Row],[Column1549]]</f>
        <v>98.525000000000006</v>
      </c>
      <c r="BGP14">
        <f>SOFR3mo_PX[[#This Row],[Column1550]]</f>
        <v>98.47</v>
      </c>
      <c r="BGQ14">
        <f>SOFR3mo_PX[[#This Row],[Column1551]]</f>
        <v>98.5</v>
      </c>
      <c r="BGR14">
        <f>SOFR3mo_PX[[#This Row],[Column1552]]</f>
        <v>98.495000000000005</v>
      </c>
      <c r="BGS14">
        <f>SOFR3mo_PX[[#This Row],[Column1553]]</f>
        <v>98.48</v>
      </c>
      <c r="BGT14">
        <f>SOFR3mo_PX[[#This Row],[Column1554]]</f>
        <v>98.53</v>
      </c>
      <c r="BGU14">
        <f>SOFR3mo_PX[[#This Row],[Column1555]]</f>
        <v>98.49</v>
      </c>
      <c r="BGV14">
        <f>SOFR3mo_PX[[#This Row],[Column1556]]</f>
        <v>98.51</v>
      </c>
      <c r="BGW14">
        <f>SOFR3mo_PX[[#This Row],[Column1557]]</f>
        <v>98.504999999999995</v>
      </c>
      <c r="BGX14">
        <f>SOFR3mo_PX[[#This Row],[Column1558]]</f>
        <v>98.59</v>
      </c>
      <c r="BGY14">
        <f>SOFR3mo_PX[[#This Row],[Column1559]]</f>
        <v>98.59</v>
      </c>
      <c r="BGZ14">
        <f>SOFR3mo_PX[[#This Row],[Column1560]]</f>
        <v>98.584999999999994</v>
      </c>
      <c r="BHA14">
        <f>SOFR3mo_PX[[#This Row],[Column1561]]</f>
        <v>98.534999999999997</v>
      </c>
      <c r="BHB14">
        <f>SOFR3mo_PX[[#This Row],[Column1562]]</f>
        <v>98.58</v>
      </c>
      <c r="BHC14">
        <f>SOFR3mo_PX[[#This Row],[Column1563]]</f>
        <v>98.594999999999999</v>
      </c>
      <c r="BHD14">
        <f>SOFR3mo_PX[[#This Row],[Column1564]]</f>
        <v>98.564999999999998</v>
      </c>
      <c r="BHE14">
        <f>SOFR3mo_PX[[#This Row],[Column1565]]</f>
        <v>98.65</v>
      </c>
      <c r="BHF14">
        <f>SOFR3mo_PX[[#This Row],[Column1566]]</f>
        <v>98.625</v>
      </c>
      <c r="BHG14">
        <f>SOFR3mo_PX[[#This Row],[Column1567]]</f>
        <v>98.575000000000003</v>
      </c>
      <c r="BHH14">
        <f>SOFR3mo_PX[[#This Row],[Column1568]]</f>
        <v>98.63</v>
      </c>
      <c r="BHI14">
        <f>SOFR3mo_PX[[#This Row],[Column1569]]</f>
        <v>98.635000000000005</v>
      </c>
      <c r="BHJ14">
        <f>SOFR3mo_PX[[#This Row],[Column1570]]</f>
        <v>98.53</v>
      </c>
      <c r="BHK14">
        <f>SOFR3mo_PX[[#This Row],[Column1571]]</f>
        <v>98.53</v>
      </c>
      <c r="BHL14">
        <f>SOFR3mo_PX[[#This Row],[Column1572]]</f>
        <v>98.55</v>
      </c>
      <c r="BHM14">
        <f>SOFR3mo_PX[[#This Row],[Column1573]]</f>
        <v>98.555000000000007</v>
      </c>
      <c r="BHN14">
        <f>SOFR3mo_PX[[#This Row],[Column1574]]</f>
        <v>98.484999999999999</v>
      </c>
      <c r="BHO14">
        <f>SOFR3mo_PX[[#This Row],[Column1575]]</f>
        <v>98.435000000000002</v>
      </c>
      <c r="BHP14">
        <f>SOFR3mo_PX[[#This Row],[Column1576]]</f>
        <v>98.43</v>
      </c>
      <c r="BHQ14">
        <f>SOFR3mo_PX[[#This Row],[Column1577]]</f>
        <v>98.47</v>
      </c>
      <c r="BHR14">
        <f>SOFR3mo_PX[[#This Row],[Column1578]]</f>
        <v>98.454999999999998</v>
      </c>
      <c r="BHS14">
        <f>SOFR3mo_PX[[#This Row],[Column1579]]</f>
        <v>98.51</v>
      </c>
      <c r="BHT14">
        <f>SOFR3mo_PX[[#This Row],[Column1580]]</f>
        <v>98.49</v>
      </c>
      <c r="BHU14">
        <f>SOFR3mo_PX[[#This Row],[Column1581]]</f>
        <v>98.534999999999997</v>
      </c>
      <c r="BHV14">
        <f>SOFR3mo_PX[[#This Row],[Column1582]]</f>
        <v>98.484999999999999</v>
      </c>
      <c r="BHW14">
        <f>SOFR3mo_PX[[#This Row],[Column1583]]</f>
        <v>98.344999999999999</v>
      </c>
      <c r="BHX14">
        <f>SOFR3mo_PX[[#This Row],[Column1584]]</f>
        <v>98.35</v>
      </c>
      <c r="BHY14">
        <f>SOFR3mo_PX[[#This Row],[Column1585]]</f>
        <v>98.314999999999998</v>
      </c>
      <c r="BHZ14">
        <f>SOFR3mo_PX[[#This Row],[Column1586]]</f>
        <v>98.26</v>
      </c>
      <c r="BIA14">
        <f>SOFR3mo_PX[[#This Row],[Column1587]]</f>
        <v>98.26</v>
      </c>
      <c r="BIB14">
        <f>SOFR3mo_PX[[#This Row],[Column1588]]</f>
        <v>98.29</v>
      </c>
      <c r="BIC14">
        <f>SOFR3mo_PX[[#This Row],[Column1589]]</f>
        <v>98.155000000000001</v>
      </c>
      <c r="BID14">
        <f>SOFR3mo_PX[[#This Row],[Column1590]]</f>
        <v>98.12</v>
      </c>
      <c r="BIE14">
        <f>SOFR3mo_PX[[#This Row],[Column1591]]</f>
        <v>98.15</v>
      </c>
      <c r="BIF14">
        <f>SOFR3mo_PX[[#This Row],[Column1592]]</f>
        <v>98.174999999999997</v>
      </c>
      <c r="BIG14">
        <f>SOFR3mo_PX[[#This Row],[Column1593]]</f>
        <v>98.165000000000006</v>
      </c>
      <c r="BIH14">
        <f>SOFR3mo_PX[[#This Row],[Column1594]]</f>
        <v>98.21</v>
      </c>
      <c r="BII14">
        <f>SOFR3mo_PX[[#This Row],[Column1595]]</f>
        <v>98.16</v>
      </c>
      <c r="BIJ14">
        <f>SOFR3mo_PX[[#This Row],[Column1596]]</f>
        <v>98.17</v>
      </c>
      <c r="BIK14">
        <f>SOFR3mo_PX[[#This Row],[Column1597]]</f>
        <v>98.094999999999999</v>
      </c>
      <c r="BIL14">
        <f>SOFR3mo_PX[[#This Row],[Column1598]]</f>
        <v>98.08</v>
      </c>
      <c r="BIM14">
        <f>SOFR3mo_PX[[#This Row],[Column1599]]</f>
        <v>98.045000000000002</v>
      </c>
      <c r="BIN14">
        <f>SOFR3mo_PX[[#This Row],[Column1600]]</f>
        <v>98.075000000000003</v>
      </c>
      <c r="BIO14">
        <f>SOFR3mo_PX[[#This Row],[Column1601]]</f>
        <v>98.02</v>
      </c>
      <c r="BIP14">
        <f>SOFR3mo_PX[[#This Row],[Column1602]]</f>
        <v>97.98</v>
      </c>
      <c r="BIQ14">
        <f>SOFR3mo_PX[[#This Row],[Column1603]]</f>
        <v>97.974999999999994</v>
      </c>
      <c r="BIR14">
        <f>SOFR3mo_PX[[#This Row],[Column1604]]</f>
        <v>98.034999999999997</v>
      </c>
      <c r="BIS14">
        <f>SOFR3mo_PX[[#This Row],[Column1605]]</f>
        <v>98.075000000000003</v>
      </c>
      <c r="BIT14">
        <f>SOFR3mo_PX[[#This Row],[Column1606]]</f>
        <v>98.05</v>
      </c>
      <c r="BIU14">
        <f>SOFR3mo_PX[[#This Row],[Column1607]]</f>
        <v>98.055000000000007</v>
      </c>
      <c r="BIV14">
        <f>SOFR3mo_PX[[#This Row],[Column1608]]</f>
        <v>98.004999999999995</v>
      </c>
      <c r="BIW14">
        <f>SOFR3mo_PX[[#This Row],[Column1609]]</f>
        <v>98.02</v>
      </c>
      <c r="BIX14">
        <f>SOFR3mo_PX[[#This Row],[Column1610]]</f>
        <v>97.965000000000003</v>
      </c>
      <c r="BIY14">
        <f>SOFR3mo_PX[[#This Row],[Column1611]]</f>
        <v>97.944999999999993</v>
      </c>
      <c r="BIZ14">
        <f>SOFR3mo_PX[[#This Row],[Column1612]]</f>
        <v>97.944999999999993</v>
      </c>
      <c r="BJA14">
        <f>SOFR3mo_PX[[#This Row],[Column1613]]</f>
        <v>97.944999999999993</v>
      </c>
      <c r="BJB14">
        <f>SOFR3mo_PX[[#This Row],[Column1614]]</f>
        <v>97.92</v>
      </c>
      <c r="BJC14">
        <f>SOFR3mo_PX[[#This Row],[Column1615]]</f>
        <v>97.915000000000006</v>
      </c>
      <c r="BJD14">
        <f>SOFR3mo_PX[[#This Row],[Column1616]]</f>
        <v>97.944999999999993</v>
      </c>
      <c r="BJE14">
        <f>SOFR3mo_PX[[#This Row],[Column1617]]</f>
        <v>97.94</v>
      </c>
      <c r="BJF14">
        <f>SOFR3mo_PX[[#This Row],[Column1618]]</f>
        <v>98.015000000000001</v>
      </c>
      <c r="BJG14">
        <f>SOFR3mo_PX[[#This Row],[Column1619]]</f>
        <v>98.05</v>
      </c>
      <c r="BJH14">
        <f>SOFR3mo_PX[[#This Row],[Column1620]]</f>
        <v>98.015000000000001</v>
      </c>
      <c r="BJI14">
        <f>SOFR3mo_PX[[#This Row],[Column1621]]</f>
        <v>97.98</v>
      </c>
      <c r="BJJ14">
        <f>SOFR3mo_PX[[#This Row],[Column1622]]</f>
        <v>97.99</v>
      </c>
      <c r="BJK14">
        <f>SOFR3mo_PX[[#This Row],[Column1623]]</f>
        <v>98</v>
      </c>
      <c r="BJL14">
        <f>SOFR3mo_PX[[#This Row],[Column1624]]</f>
        <v>98.01</v>
      </c>
      <c r="BJM14">
        <f>SOFR3mo_PX[[#This Row],[Column1625]]</f>
        <v>98.03</v>
      </c>
      <c r="BJN14">
        <f>SOFR3mo_PX[[#This Row],[Column1626]]</f>
        <v>98.02</v>
      </c>
      <c r="BJO14">
        <f>SOFR3mo_PX[[#This Row],[Column1627]]</f>
        <v>98.1</v>
      </c>
      <c r="BJP14">
        <f>SOFR3mo_PX[[#This Row],[Column1628]]</f>
        <v>98.174999999999997</v>
      </c>
      <c r="BJQ14">
        <f>SOFR3mo_PX[[#This Row],[Column1629]]</f>
        <v>98.21</v>
      </c>
      <c r="BJR14">
        <f>SOFR3mo_PX[[#This Row],[Column1630]]</f>
        <v>98.16</v>
      </c>
      <c r="BJS14">
        <f>SOFR3mo_PX[[#This Row],[Column1631]]</f>
        <v>98.19</v>
      </c>
      <c r="BJT14">
        <f>SOFR3mo_PX[[#This Row],[Column1632]]</f>
        <v>98.084999999999994</v>
      </c>
      <c r="BJU14">
        <f>SOFR3mo_PX[[#This Row],[Column1633]]</f>
        <v>97.97</v>
      </c>
      <c r="BJV14">
        <f>SOFR3mo_PX[[#This Row],[Column1634]]</f>
        <v>97.95</v>
      </c>
      <c r="BJW14">
        <f>SOFR3mo_PX[[#This Row],[Column1635]]</f>
        <v>97.87</v>
      </c>
      <c r="BJX14">
        <f>SOFR3mo_PX[[#This Row],[Column1636]]</f>
        <v>97.885000000000005</v>
      </c>
      <c r="BJY14">
        <f>SOFR3mo_PX[[#This Row],[Column1637]]</f>
        <v>97.89</v>
      </c>
      <c r="BJZ14">
        <f>SOFR3mo_PX[[#This Row],[Column1638]]</f>
        <v>97.86</v>
      </c>
      <c r="BKA14">
        <f>SOFR3mo_PX[[#This Row],[Column1639]]</f>
        <v>97.864999999999995</v>
      </c>
      <c r="BKB14">
        <f>SOFR3mo_PX[[#This Row],[Column1640]]</f>
        <v>97.844999999999999</v>
      </c>
      <c r="BKC14">
        <f>SOFR3mo_PX[[#This Row],[Column1641]]</f>
        <v>97.814999999999998</v>
      </c>
      <c r="BKD14">
        <f>SOFR3mo_PX[[#This Row],[Column1642]]</f>
        <v>97.825000000000003</v>
      </c>
      <c r="BKE14">
        <f>SOFR3mo_PX[[#This Row],[Column1643]]</f>
        <v>97.81</v>
      </c>
      <c r="BKF14">
        <f>SOFR3mo_PX[[#This Row],[Column1644]]</f>
        <v>97.734999999999999</v>
      </c>
      <c r="BKG14">
        <f>SOFR3mo_PX[[#This Row],[Column1645]]</f>
        <v>97.7</v>
      </c>
      <c r="BKH14">
        <f>SOFR3mo_PX[[#This Row],[Column1646]]</f>
        <v>97.704999999999998</v>
      </c>
      <c r="BKI14">
        <f>SOFR3mo_PX[[#This Row],[Column1647]]</f>
        <v>97.694999999999993</v>
      </c>
      <c r="BKJ14">
        <f>SOFR3mo_PX[[#This Row],[Column1648]]</f>
        <v>97.765000000000001</v>
      </c>
      <c r="BKK14">
        <f>SOFR3mo_PX[[#This Row],[Column1649]]</f>
        <v>97.784999999999997</v>
      </c>
      <c r="BKL14">
        <f>SOFR3mo_PX[[#This Row],[Column1650]]</f>
        <v>97.81</v>
      </c>
      <c r="BKM14">
        <f>SOFR3mo_PX[[#This Row],[Column1651]]</f>
        <v>97.78</v>
      </c>
      <c r="BKN14">
        <f>SOFR3mo_PX[[#This Row],[Column1652]]</f>
        <v>97.784999999999997</v>
      </c>
      <c r="BKO14">
        <f>SOFR3mo_PX[[#This Row],[Column1653]]</f>
        <v>97.74</v>
      </c>
      <c r="BKP14">
        <f>SOFR3mo_PX[[#This Row],[Column1654]]</f>
        <v>97.78</v>
      </c>
      <c r="BKQ14">
        <f>SOFR3mo_PX[[#This Row],[Column1655]]</f>
        <v>97.775000000000006</v>
      </c>
      <c r="BKR14">
        <f>SOFR3mo_PX[[#This Row],[Column1656]]</f>
        <v>97.76</v>
      </c>
      <c r="BKS14">
        <f>SOFR3mo_PX[[#This Row],[Column1657]]</f>
        <v>97.76</v>
      </c>
      <c r="BKT14">
        <f>SOFR3mo_PX[[#This Row],[Column1658]]</f>
        <v>97.765000000000001</v>
      </c>
      <c r="BKU14">
        <f>SOFR3mo_PX[[#This Row],[Column1659]]</f>
        <v>97.724999999999994</v>
      </c>
      <c r="BKV14">
        <f>SOFR3mo_PX[[#This Row],[Column1660]]</f>
        <v>97.784999999999997</v>
      </c>
      <c r="BKW14">
        <f>SOFR3mo_PX[[#This Row],[Column1661]]</f>
        <v>97.814999999999998</v>
      </c>
      <c r="BKX14">
        <f>SOFR3mo_PX[[#This Row],[Column1662]]</f>
        <v>97.84</v>
      </c>
      <c r="BKY14">
        <f>SOFR3mo_PX[[#This Row],[Column1663]]</f>
        <v>97.805000000000007</v>
      </c>
      <c r="BKZ14">
        <f>SOFR3mo_PX[[#This Row],[Column1664]]</f>
        <v>97.75</v>
      </c>
      <c r="BLA14">
        <f>SOFR3mo_PX[[#This Row],[Column1665]]</f>
        <v>97.74</v>
      </c>
      <c r="BLB14">
        <f>SOFR3mo_PX[[#This Row],[Column1666]]</f>
        <v>97.734999999999999</v>
      </c>
      <c r="BLC14">
        <f>SOFR3mo_PX[[#This Row],[Column1667]]</f>
        <v>97.754999999999995</v>
      </c>
      <c r="BLD14">
        <f>SOFR3mo_PX[[#This Row],[Column1668]]</f>
        <v>97.78</v>
      </c>
      <c r="BLE14">
        <f>SOFR3mo_PX[[#This Row],[Column1669]]</f>
        <v>97.71</v>
      </c>
      <c r="BLF14">
        <f>SOFR3mo_PX[[#This Row],[Column1670]]</f>
        <v>97.66</v>
      </c>
      <c r="BLG14">
        <f>SOFR3mo_PX[[#This Row],[Column1671]]</f>
        <v>97.655000000000001</v>
      </c>
      <c r="BLH14">
        <f>SOFR3mo_PX[[#This Row],[Column1672]]</f>
        <v>97.644999999999996</v>
      </c>
      <c r="BLI14">
        <f>SOFR3mo_PX[[#This Row],[Column1673]]</f>
        <v>97.67</v>
      </c>
      <c r="BLJ14">
        <f>SOFR3mo_PX[[#This Row],[Column1674]]</f>
        <v>97.655000000000001</v>
      </c>
      <c r="BLK14">
        <f>SOFR3mo_PX[[#This Row],[Column1675]]</f>
        <v>97.66</v>
      </c>
      <c r="BLL14">
        <f>SOFR3mo_PX[[#This Row],[Column1676]]</f>
        <v>97.614999999999995</v>
      </c>
      <c r="BLM14">
        <f>SOFR3mo_PX[[#This Row],[Column1677]]</f>
        <v>97.614999999999995</v>
      </c>
      <c r="BLN14">
        <f>SOFR3mo_PX[[#This Row],[Column1678]]</f>
        <v>97.685000000000002</v>
      </c>
      <c r="BLO14">
        <f>SOFR3mo_PX[[#This Row],[Column1679]]</f>
        <v>97.715000000000003</v>
      </c>
      <c r="BLP14">
        <f>SOFR3mo_PX[[#This Row],[Column1680]]</f>
        <v>97.74</v>
      </c>
      <c r="BLQ14">
        <f>SOFR3mo_PX[[#This Row],[Column1681]]</f>
        <v>97.73</v>
      </c>
      <c r="BLR14">
        <f>SOFR3mo_PX[[#This Row],[Column1682]]</f>
        <v>97.734999999999999</v>
      </c>
      <c r="BLS14">
        <f>SOFR3mo_PX[[#This Row],[Column1683]]</f>
        <v>97.72</v>
      </c>
      <c r="BLT14">
        <f>SOFR3mo_PX[[#This Row],[Column1684]]</f>
        <v>97.724999999999994</v>
      </c>
      <c r="BLU14">
        <f>SOFR3mo_PX[[#This Row],[Column1685]]</f>
        <v>97.715000000000003</v>
      </c>
      <c r="BLV14">
        <f>SOFR3mo_PX[[#This Row],[Column1686]]</f>
        <v>97.784999999999997</v>
      </c>
      <c r="BLW14">
        <f>SOFR3mo_PX[[#This Row],[Column1687]]</f>
        <v>97.83</v>
      </c>
      <c r="BLX14">
        <f>SOFR3mo_PX[[#This Row],[Column1688]]</f>
        <v>97.894999999999996</v>
      </c>
      <c r="BLY14">
        <f>SOFR3mo_PX[[#This Row],[Column1689]]</f>
        <v>97.71</v>
      </c>
      <c r="BLZ14">
        <f>SOFR3mo_PX[[#This Row],[Column1690]]</f>
        <v>97.72</v>
      </c>
      <c r="BMA14">
        <f>SOFR3mo_PX[[#This Row],[Column1691]]</f>
        <v>97.72</v>
      </c>
      <c r="BMB14">
        <f>SOFR3mo_PX[[#This Row],[Column1692]]</f>
        <v>97.715000000000003</v>
      </c>
      <c r="BMC14">
        <f>SOFR3mo_PX[[#This Row],[Column1693]]</f>
        <v>97.704999999999998</v>
      </c>
      <c r="BMD14">
        <f>SOFR3mo_PX[[#This Row],[Column1694]]</f>
        <v>97.65</v>
      </c>
      <c r="BME14">
        <f>SOFR3mo_PX[[#This Row],[Column1695]]</f>
        <v>97.625</v>
      </c>
      <c r="BMF14">
        <f>SOFR3mo_PX[[#This Row],[Column1696]]</f>
        <v>97.625</v>
      </c>
      <c r="BMG14">
        <f>SOFR3mo_PX[[#This Row],[Column1697]]</f>
        <v>97.564999999999998</v>
      </c>
      <c r="BMH14">
        <f>SOFR3mo_PX[[#This Row],[Column1698]]</f>
        <v>97.53</v>
      </c>
      <c r="BMI14">
        <f>SOFR3mo_PX[[#This Row],[Column1699]]</f>
        <v>97.52</v>
      </c>
      <c r="BMJ14">
        <f>SOFR3mo_PX[[#This Row],[Column1700]]</f>
        <v>97.52</v>
      </c>
      <c r="BMK14">
        <f>SOFR3mo_PX[[#This Row],[Column1701]]</f>
        <v>97.47</v>
      </c>
      <c r="BML14">
        <f>SOFR3mo_PX[[#This Row],[Column1702]]</f>
        <v>97.435000000000002</v>
      </c>
      <c r="BMM14">
        <f>SOFR3mo_PX[[#This Row],[Column1703]]</f>
        <v>97.405000000000001</v>
      </c>
      <c r="BMN14">
        <f>SOFR3mo_PX[[#This Row],[Column1704]]</f>
        <v>97.41</v>
      </c>
      <c r="BMO14">
        <f>SOFR3mo_PX[[#This Row],[Column1705]]</f>
        <v>97.444999999999993</v>
      </c>
      <c r="BMP14">
        <f>SOFR3mo_PX[[#This Row],[Column1706]]</f>
        <v>97.484999999999999</v>
      </c>
      <c r="BMQ14">
        <f>SOFR3mo_PX[[#This Row],[Column1707]]</f>
        <v>97.45</v>
      </c>
      <c r="BMR14">
        <f>SOFR3mo_PX[[#This Row],[Column1708]]</f>
        <v>97.41</v>
      </c>
      <c r="BMS14">
        <f>SOFR3mo_PX[[#This Row],[Column1709]]</f>
        <v>97.305000000000007</v>
      </c>
      <c r="BMT14">
        <f>SOFR3mo_PX[[#This Row],[Column1710]]</f>
        <v>97.305000000000007</v>
      </c>
      <c r="BMU14">
        <f>SOFR3mo_PX[[#This Row],[Column1711]]</f>
        <v>97.275000000000006</v>
      </c>
      <c r="BMV14">
        <f>SOFR3mo_PX[[#This Row],[Column1712]]</f>
        <v>97.295000000000002</v>
      </c>
      <c r="BMW14">
        <f>SOFR3mo_PX[[#This Row],[Column1713]]</f>
        <v>97.29</v>
      </c>
      <c r="BMX14">
        <f>SOFR3mo_PX[[#This Row],[Column1714]]</f>
        <v>97.284999999999997</v>
      </c>
      <c r="BMY14">
        <f>SOFR3mo_PX[[#This Row],[Column1715]]</f>
        <v>97.25</v>
      </c>
      <c r="BMZ14">
        <f>SOFR3mo_PX[[#This Row],[Column1716]]</f>
        <v>97.234999999999999</v>
      </c>
      <c r="BNA14">
        <f>SOFR3mo_PX[[#This Row],[Column1717]]</f>
        <v>97.245000000000005</v>
      </c>
      <c r="BNB14">
        <f>SOFR3mo_PX[[#This Row],[Column1718]]</f>
        <v>97.245000000000005</v>
      </c>
      <c r="BNC14">
        <f>SOFR3mo_PX[[#This Row],[Column1719]]</f>
        <v>97.245000000000005</v>
      </c>
      <c r="BND14">
        <f>SOFR3mo_PX[[#This Row],[Column1720]]</f>
        <v>97.254999999999995</v>
      </c>
      <c r="BNE14">
        <f>SOFR3mo_PX[[#This Row],[Column1721]]</f>
        <v>97.26</v>
      </c>
      <c r="BNF14">
        <f>SOFR3mo_PX[[#This Row],[Column1722]]</f>
        <v>97.224999999999994</v>
      </c>
      <c r="BNG14">
        <f>SOFR3mo_PX[[#This Row],[Column1723]]</f>
        <v>97.174999999999997</v>
      </c>
      <c r="BNH14">
        <f>SOFR3mo_PX[[#This Row],[Column1724]]</f>
        <v>97.165000000000006</v>
      </c>
      <c r="BNI14">
        <f>SOFR3mo_PX[[#This Row],[Column1725]]</f>
        <v>97.11</v>
      </c>
      <c r="BNJ14">
        <f>SOFR3mo_PX[[#This Row],[Column1726]]</f>
        <v>97.09</v>
      </c>
      <c r="BNK14">
        <f>SOFR3mo_PX[[#This Row],[Column1727]]</f>
        <v>97.07</v>
      </c>
      <c r="BNL14">
        <f>SOFR3mo_PX[[#This Row],[Column1728]]</f>
        <v>97.055000000000007</v>
      </c>
      <c r="BNM14">
        <f>SOFR3mo_PX[[#This Row],[Column1729]]</f>
        <v>97.09</v>
      </c>
      <c r="BNN14">
        <f>SOFR3mo_PX[[#This Row],[Column1730]]</f>
        <v>97.1</v>
      </c>
      <c r="BNO14">
        <f>SOFR3mo_PX[[#This Row],[Column1731]]</f>
        <v>97.11</v>
      </c>
      <c r="BNP14">
        <f>SOFR3mo_PX[[#This Row],[Column1732]]</f>
        <v>97.114999999999995</v>
      </c>
      <c r="BNQ14">
        <f>SOFR3mo_PX[[#This Row],[Column1733]]</f>
        <v>97.155000000000001</v>
      </c>
      <c r="BNR14">
        <f>SOFR3mo_PX[[#This Row],[Column1734]]</f>
        <v>97.144999999999996</v>
      </c>
      <c r="BNS14">
        <f>SOFR3mo_PX[[#This Row],[Column1735]]</f>
        <v>97.174999999999997</v>
      </c>
      <c r="BNT14">
        <f>SOFR3mo_PX[[#This Row],[Column1736]]</f>
        <v>97.174999999999997</v>
      </c>
      <c r="BNU14">
        <f>SOFR3mo_PX[[#This Row],[Column1737]]</f>
        <v>97.18</v>
      </c>
      <c r="BNV14">
        <f>SOFR3mo_PX[[#This Row],[Column1738]]</f>
        <v>97.11</v>
      </c>
      <c r="BNW14">
        <f>SOFR3mo_PX[[#This Row],[Column1739]]</f>
        <v>97.11</v>
      </c>
      <c r="BNX14">
        <f>SOFR3mo_PX[[#This Row],[Column1740]]</f>
        <v>97.08</v>
      </c>
      <c r="BNY14">
        <f>SOFR3mo_PX[[#This Row],[Column1741]]</f>
        <v>97.045000000000002</v>
      </c>
      <c r="BNZ14">
        <f>SOFR3mo_PX[[#This Row],[Column1742]]</f>
        <v>97.04</v>
      </c>
      <c r="BOA14">
        <f>SOFR3mo_PX[[#This Row],[Column1743]]</f>
        <v>97.06</v>
      </c>
      <c r="BOB14">
        <f>SOFR3mo_PX[[#This Row],[Column1744]]</f>
        <v>97.05</v>
      </c>
      <c r="BOC14">
        <f>SOFR3mo_PX[[#This Row],[Column1745]]</f>
        <v>97.05</v>
      </c>
      <c r="BOD14">
        <f>SOFR3mo_PX[[#This Row],[Column1746]]</f>
        <v>97.055000000000007</v>
      </c>
      <c r="BOE14">
        <f>SOFR3mo_PX[[#This Row],[Column1747]]</f>
        <v>97.064999999999998</v>
      </c>
      <c r="BOF14">
        <f>SOFR3mo_PX[[#This Row],[Column1748]]</f>
        <v>97.045000000000002</v>
      </c>
      <c r="BOG14">
        <f>SOFR3mo_PX[[#This Row],[Column1749]]</f>
        <v>96.995000000000005</v>
      </c>
      <c r="BOH14">
        <f>SOFR3mo_PX[[#This Row],[Column1750]]</f>
        <v>96.984999999999999</v>
      </c>
      <c r="BOI14">
        <f>SOFR3mo_PX[[#This Row],[Column1751]]</f>
        <v>96.99</v>
      </c>
      <c r="BOJ14">
        <f>SOFR3mo_PX[[#This Row],[Column1752]]</f>
        <v>96.995000000000005</v>
      </c>
      <c r="BOK14">
        <f>SOFR3mo_PX[[#This Row],[Column1753]]</f>
        <v>97.02</v>
      </c>
      <c r="BOL14">
        <f>SOFR3mo_PX[[#This Row],[Column1754]]</f>
        <v>97.055000000000007</v>
      </c>
      <c r="BOM14">
        <f>SOFR3mo_PX[[#This Row],[Column1755]]</f>
        <v>97.105000000000004</v>
      </c>
      <c r="BON14">
        <f>SOFR3mo_PX[[#This Row],[Column1756]]</f>
        <v>97.094999999999999</v>
      </c>
      <c r="BOO14">
        <f>SOFR3mo_PX[[#This Row],[Column1757]]</f>
        <v>97.094999999999999</v>
      </c>
      <c r="BOP14">
        <f>SOFR3mo_PX[[#This Row],[Column1758]]</f>
        <v>97.075000000000003</v>
      </c>
      <c r="BOQ14">
        <f>SOFR3mo_PX[[#This Row],[Column1759]]</f>
        <v>97.075000000000003</v>
      </c>
      <c r="BOR14">
        <f>SOFR3mo_PX[[#This Row],[Column1760]]</f>
        <v>97.064999999999998</v>
      </c>
      <c r="BOS14">
        <f>SOFR3mo_PX[[#This Row],[Column1761]]</f>
        <v>97.08</v>
      </c>
      <c r="BOT14">
        <f>SOFR3mo_PX[[#This Row],[Column1762]]</f>
        <v>97.084999999999994</v>
      </c>
      <c r="BOU14">
        <f>SOFR3mo_PX[[#This Row],[Column1763]]</f>
        <v>97.075000000000003</v>
      </c>
      <c r="BOV14">
        <f>SOFR3mo_PX[[#This Row],[Column1764]]</f>
        <v>97.094999999999999</v>
      </c>
      <c r="BOW14">
        <f>SOFR3mo_PX[[#This Row],[Column1765]]</f>
        <v>97.12</v>
      </c>
      <c r="BOX14">
        <f>SOFR3mo_PX[[#This Row],[Column1766]]</f>
        <v>97.15</v>
      </c>
      <c r="BOY14">
        <f>SOFR3mo_PX[[#This Row],[Column1767]]</f>
        <v>97.15</v>
      </c>
      <c r="BOZ14">
        <f>SOFR3mo_PX[[#This Row],[Column1768]]</f>
        <v>97.185000000000002</v>
      </c>
      <c r="BPA14">
        <f>SOFR3mo_PX[[#This Row],[Column1769]]</f>
        <v>97.21</v>
      </c>
      <c r="BPB14">
        <f>SOFR3mo_PX[[#This Row],[Column1770]]</f>
        <v>97.21</v>
      </c>
      <c r="BPC14">
        <f>SOFR3mo_PX[[#This Row],[Column1771]]</f>
        <v>97.26</v>
      </c>
      <c r="BPD14">
        <f>SOFR3mo_PX[[#This Row],[Column1772]]</f>
        <v>97.26</v>
      </c>
      <c r="BPE14">
        <f>SOFR3mo_PX[[#This Row],[Column1773]]</f>
        <v>97.32</v>
      </c>
      <c r="BPF14">
        <f>SOFR3mo_PX[[#This Row],[Column1774]]</f>
        <v>97.305000000000007</v>
      </c>
      <c r="BPG14">
        <f>SOFR3mo_PX[[#This Row],[Column1775]]</f>
        <v>97.31</v>
      </c>
      <c r="BPH14">
        <f>SOFR3mo_PX[[#This Row],[Column1776]]</f>
        <v>97.33</v>
      </c>
      <c r="BPI14">
        <f>SOFR3mo_PX[[#This Row],[Column1777]]</f>
        <v>97.33</v>
      </c>
      <c r="BPJ14">
        <f>SOFR3mo_PX[[#This Row],[Column1778]]</f>
        <v>97.295000000000002</v>
      </c>
      <c r="BPK14">
        <f>SOFR3mo_PX[[#This Row],[Column1779]]</f>
        <v>97.284999999999997</v>
      </c>
      <c r="BPL14">
        <f>SOFR3mo_PX[[#This Row],[Column1780]]</f>
        <v>97.3</v>
      </c>
      <c r="BPM14">
        <f>SOFR3mo_PX[[#This Row],[Column1781]]</f>
        <v>97.314999999999998</v>
      </c>
      <c r="BPN14">
        <f>SOFR3mo_PX[[#This Row],[Column1782]]</f>
        <v>97.334999999999994</v>
      </c>
      <c r="BPO14">
        <f>SOFR3mo_PX[[#This Row],[Column1783]]</f>
        <v>97.334999999999994</v>
      </c>
      <c r="BPP14">
        <f>SOFR3mo_PX[[#This Row],[Column1784]]</f>
        <v>97.355000000000004</v>
      </c>
      <c r="BPQ14">
        <f>SOFR3mo_PX[[#This Row],[Column1785]]</f>
        <v>97.344999999999999</v>
      </c>
      <c r="BPR14">
        <f>SOFR3mo_PX[[#This Row],[Column1786]]</f>
        <v>97.355000000000004</v>
      </c>
      <c r="BPS14">
        <f>SOFR3mo_PX[[#This Row],[Column1787]]</f>
        <v>97.33</v>
      </c>
      <c r="BPT14">
        <f>SOFR3mo_PX[[#This Row],[Column1788]]</f>
        <v>97.325000000000003</v>
      </c>
      <c r="BPU14">
        <f>SOFR3mo_PX[[#This Row],[Column1789]]</f>
        <v>97.344999999999999</v>
      </c>
      <c r="BPV14">
        <f>SOFR3mo_PX[[#This Row],[Column1790]]</f>
        <v>97.31</v>
      </c>
      <c r="BPW14">
        <f>SOFR3mo_PX[[#This Row],[Column1791]]</f>
        <v>97.334999999999994</v>
      </c>
      <c r="BPX14">
        <f>SOFR3mo_PX[[#This Row],[Column1792]]</f>
        <v>97.34</v>
      </c>
      <c r="BPY14">
        <f>SOFR3mo_PX[[#This Row],[Column1793]]</f>
        <v>97.275000000000006</v>
      </c>
      <c r="BPZ14">
        <f>SOFR3mo_PX[[#This Row],[Column1794]]</f>
        <v>97.26</v>
      </c>
      <c r="BQA14">
        <f>SOFR3mo_PX[[#This Row],[Column1795]]</f>
        <v>97.254999999999995</v>
      </c>
      <c r="BQB14">
        <f>SOFR3mo_PX[[#This Row],[Column1796]]</f>
        <v>97.26</v>
      </c>
      <c r="BQC14">
        <f>SOFR3mo_PX[[#This Row],[Column1797]]</f>
        <v>97.25</v>
      </c>
      <c r="BQD14">
        <f>SOFR3mo_PX[[#This Row],[Column1798]]</f>
        <v>97.24</v>
      </c>
      <c r="BQE14">
        <f>SOFR3mo_PX[[#This Row],[Column1799]]</f>
        <v>97.25</v>
      </c>
      <c r="BQF14">
        <f>SOFR3mo_PX[[#This Row],[Column1800]]</f>
        <v>97.254999999999995</v>
      </c>
      <c r="BQG14">
        <f>SOFR3mo_PX[[#This Row],[Column1801]]</f>
        <v>97.254999999999995</v>
      </c>
      <c r="BQH14">
        <f>SOFR3mo_PX[[#This Row],[Column1802]]</f>
        <v>97.245000000000005</v>
      </c>
      <c r="BQI14">
        <f>SOFR3mo_PX[[#This Row],[Column1803]]</f>
        <v>97.24</v>
      </c>
      <c r="BQJ14">
        <f>SOFR3mo_PX[[#This Row],[Column1804]]</f>
        <v>97.284999999999997</v>
      </c>
      <c r="BQK14">
        <f>SOFR3mo_PX[[#This Row],[Column1805]]</f>
        <v>97.284999999999997</v>
      </c>
      <c r="BQL14">
        <f>SOFR3mo_PX[[#This Row],[Column1806]]</f>
        <v>97.295000000000002</v>
      </c>
      <c r="BQM14">
        <f>SOFR3mo_PX[[#This Row],[Column1807]]</f>
        <v>97.33</v>
      </c>
      <c r="BQN14">
        <f>SOFR3mo_PX[[#This Row],[Column1808]]</f>
        <v>97.334999999999994</v>
      </c>
      <c r="BQO14">
        <f>SOFR3mo_PX[[#This Row],[Column1809]]</f>
        <v>97.32</v>
      </c>
      <c r="BQP14">
        <f>SOFR3mo_PX[[#This Row],[Column1810]]</f>
        <v>97.325000000000003</v>
      </c>
      <c r="BQQ14">
        <f>SOFR3mo_PX[[#This Row],[Column1811]]</f>
        <v>97.35</v>
      </c>
      <c r="BQR14">
        <f>SOFR3mo_PX[[#This Row],[Column1812]]</f>
        <v>97.36</v>
      </c>
      <c r="BQS14">
        <f>SOFR3mo_PX[[#This Row],[Column1813]]</f>
        <v>97.344999999999999</v>
      </c>
      <c r="BQT14">
        <f>SOFR3mo_PX[[#This Row],[Column1814]]</f>
        <v>97.35</v>
      </c>
      <c r="BQU14">
        <f>SOFR3mo_PX[[#This Row],[Column1815]]</f>
        <v>97.344999999999999</v>
      </c>
      <c r="BQV14">
        <f>SOFR3mo_PX[[#This Row],[Column1816]]</f>
        <v>97.355000000000004</v>
      </c>
      <c r="BQW14">
        <f>SOFR3mo_PX[[#This Row],[Column1817]]</f>
        <v>97.364999999999995</v>
      </c>
      <c r="BQX14">
        <f>SOFR3mo_PX[[#This Row],[Column1818]]</f>
        <v>97.344999999999999</v>
      </c>
      <c r="BQY14">
        <f>SOFR3mo_PX[[#This Row],[Column1819]]</f>
        <v>97.36</v>
      </c>
      <c r="BQZ14">
        <f>SOFR3mo_PX[[#This Row],[Column1820]]</f>
        <v>97.36</v>
      </c>
      <c r="BRA14">
        <f>SOFR3mo_PX[[#This Row],[Column1821]]</f>
        <v>97.355000000000004</v>
      </c>
      <c r="BRB14">
        <f>SOFR3mo_PX[[#This Row],[Column1822]]</f>
        <v>97.355000000000004</v>
      </c>
      <c r="BRC14">
        <f>SOFR3mo_PX[[#This Row],[Column1823]]</f>
        <v>97.36</v>
      </c>
      <c r="BRD14">
        <f>SOFR3mo_PX[[#This Row],[Column1824]]</f>
        <v>97.355000000000004</v>
      </c>
      <c r="BRE14">
        <f>SOFR3mo_PX[[#This Row],[Column1825]]</f>
        <v>97.31</v>
      </c>
      <c r="BRF14">
        <f>SOFR3mo_PX[[#This Row],[Column1826]]</f>
        <v>97.295000000000002</v>
      </c>
      <c r="BRG14">
        <f>SOFR3mo_PX[[#This Row],[Column1827]]</f>
        <v>97.265000000000001</v>
      </c>
      <c r="BRH14">
        <f>SOFR3mo_PX[[#This Row],[Column1828]]</f>
        <v>97.265000000000001</v>
      </c>
      <c r="BRI14">
        <f>SOFR3mo_PX[[#This Row],[Column1829]]</f>
        <v>97.254999999999995</v>
      </c>
      <c r="BRJ14">
        <f>SOFR3mo_PX[[#This Row],[Column1830]]</f>
        <v>97.26</v>
      </c>
      <c r="BRK14">
        <f>SOFR3mo_PX[[#This Row],[Column1831]]</f>
        <v>97.23</v>
      </c>
      <c r="BRL14">
        <f>SOFR3mo_PX[[#This Row],[Column1832]]</f>
        <v>97.24</v>
      </c>
      <c r="BRM14">
        <f>SOFR3mo_PX[[#This Row],[Column1833]]</f>
        <v>97.224999999999994</v>
      </c>
      <c r="BRN14">
        <f>SOFR3mo_PX[[#This Row],[Column1834]]</f>
        <v>97.224999999999994</v>
      </c>
      <c r="BRO14">
        <f>SOFR3mo_PX[[#This Row],[Column1835]]</f>
        <v>97.26</v>
      </c>
      <c r="BRP14">
        <f>SOFR3mo_PX[[#This Row],[Column1836]]</f>
        <v>97.275000000000006</v>
      </c>
      <c r="BRQ14">
        <f>SOFR3mo_PX[[#This Row],[Column1837]]</f>
        <v>97.284999999999997</v>
      </c>
      <c r="BRR14">
        <f>SOFR3mo_PX[[#This Row],[Column1838]]</f>
        <v>97.25</v>
      </c>
      <c r="BRS14">
        <f>SOFR3mo_PX[[#This Row],[Column1839]]</f>
        <v>97.24</v>
      </c>
      <c r="BRT14">
        <f>SOFR3mo_PX[[#This Row],[Column1840]]</f>
        <v>97.28</v>
      </c>
      <c r="BRU14">
        <f>SOFR3mo_PX[[#This Row],[Column1841]]</f>
        <v>97.26</v>
      </c>
      <c r="BRV14">
        <f>SOFR3mo_PX[[#This Row],[Column1842]]</f>
        <v>97.3</v>
      </c>
      <c r="BRW14">
        <f>SOFR3mo_PX[[#This Row],[Column1843]]</f>
        <v>97.37</v>
      </c>
      <c r="BRX14">
        <f>SOFR3mo_PX[[#This Row],[Column1844]]</f>
        <v>97.364999999999995</v>
      </c>
      <c r="BRY14">
        <f>SOFR3mo_PX[[#This Row],[Column1845]]</f>
        <v>97.46</v>
      </c>
      <c r="BRZ14">
        <f>SOFR3mo_PX[[#This Row],[Column1846]]</f>
        <v>97.245000000000005</v>
      </c>
      <c r="BSA14">
        <f>SOFR3mo_PX[[#This Row],[Column1847]]</f>
        <v>97.245000000000005</v>
      </c>
      <c r="BSB14">
        <f>SOFR3mo_PX[[#This Row],[Column1848]]</f>
        <v>97.215000000000003</v>
      </c>
      <c r="BSC14">
        <f>SOFR3mo_PX[[#This Row],[Column1849]]</f>
        <v>97.185000000000002</v>
      </c>
      <c r="BSD14">
        <f>SOFR3mo_PX[[#This Row],[Column1850]]</f>
        <v>97.135000000000005</v>
      </c>
      <c r="BSE14">
        <f>SOFR3mo_PX[[#This Row],[Column1851]]</f>
        <v>97.125</v>
      </c>
      <c r="BSF14">
        <f>SOFR3mo_PX[[#This Row],[Column1852]]</f>
        <v>97.14</v>
      </c>
      <c r="BSG14">
        <f>SOFR3mo_PX[[#This Row],[Column1853]]</f>
        <v>97.114999999999995</v>
      </c>
      <c r="BSH14">
        <f>SOFR3mo_PX[[#This Row],[Column1854]]</f>
        <v>97.13</v>
      </c>
      <c r="BSI14">
        <f>SOFR3mo_PX[[#This Row],[Column1855]]</f>
        <v>97.14</v>
      </c>
      <c r="BSJ14">
        <f>SOFR3mo_PX[[#This Row],[Column1856]]</f>
        <v>97.17</v>
      </c>
      <c r="BSK14">
        <f>SOFR3mo_PX[[#This Row],[Column1857]]</f>
        <v>97.174999999999997</v>
      </c>
      <c r="BSL14">
        <f>SOFR3mo_PX[[#This Row],[Column1858]]</f>
        <v>97.19</v>
      </c>
      <c r="BSM14">
        <f>SOFR3mo_PX[[#This Row],[Column1859]]</f>
        <v>97.21</v>
      </c>
      <c r="BSN14">
        <f>SOFR3mo_PX[[#This Row],[Column1860]]</f>
        <v>97.234999999999999</v>
      </c>
      <c r="BSO14">
        <f>SOFR3mo_PX[[#This Row],[Column1861]]</f>
        <v>97.245000000000005</v>
      </c>
      <c r="BSP14">
        <f>SOFR3mo_PX[[#This Row],[Column1862]]</f>
        <v>97.27</v>
      </c>
      <c r="BSQ14" t="str">
        <f>SOFR3mo_PX[[#This Row],[Column1863]]</f>
        <v>#N/A N/A</v>
      </c>
      <c r="BSR14" t="str">
        <f>SOFR3mo_PX[[#This Row],[Column1864]]</f>
        <v>#N/A N/A</v>
      </c>
      <c r="BSS14" t="str">
        <f>SOFR3mo_PX[[#This Row],[Column1865]]</f>
        <v>#N/A N/A</v>
      </c>
      <c r="BST14" t="str">
        <f>SOFR3mo_PX[[#This Row],[Column1866]]</f>
        <v>#N/A N/A</v>
      </c>
      <c r="BSU14" t="str">
        <f>SOFR3mo_PX[[#This Row],[Column1867]]</f>
        <v>#N/A N/A</v>
      </c>
      <c r="BSV14" t="str">
        <f>SOFR3mo_PX[[#This Row],[Column1868]]</f>
        <v>#N/A N/A</v>
      </c>
      <c r="BSW14" t="str">
        <f>SOFR3mo_PX[[#This Row],[Column1869]]</f>
        <v>#N/A N/A</v>
      </c>
      <c r="BSX14" t="str">
        <f>SOFR3mo_PX[[#This Row],[Column1870]]</f>
        <v>#N/A N/A</v>
      </c>
      <c r="BSY14" t="str">
        <f>SOFR3mo_PX[[#This Row],[Column1871]]</f>
        <v>#N/A N/A</v>
      </c>
      <c r="BSZ14" t="str">
        <f>SOFR3mo_PX[[#This Row],[Column1872]]</f>
        <v>#N/A N/A</v>
      </c>
      <c r="BTA14" t="str">
        <f>SOFR3mo_PX[[#This Row],[Column1873]]</f>
        <v>#N/A N/A</v>
      </c>
      <c r="BTB14" t="str">
        <f>SOFR3mo_PX[[#This Row],[Column1874]]</f>
        <v>#N/A N/A</v>
      </c>
      <c r="BTC14" t="str">
        <f>SOFR3mo_PX[[#This Row],[Column1875]]</f>
        <v>#N/A N/A</v>
      </c>
      <c r="BTD14" t="str">
        <f>SOFR3mo_PX[[#This Row],[Column1876]]</f>
        <v>#N/A N/A</v>
      </c>
      <c r="BTE14" t="str">
        <f>SOFR3mo_PX[[#This Row],[Column1877]]</f>
        <v>#N/A N/A</v>
      </c>
      <c r="BTF14" t="str">
        <f>SOFR3mo_PX[[#This Row],[Column1878]]</f>
        <v>#N/A N/A</v>
      </c>
      <c r="BTG14" t="str">
        <f>SOFR3mo_PX[[#This Row],[Column1879]]</f>
        <v>#N/A N/A</v>
      </c>
      <c r="BTH14" t="str">
        <f>SOFR3mo_PX[[#This Row],[Column1880]]</f>
        <v>#N/A N/A</v>
      </c>
      <c r="BTI14" t="str">
        <f>SOFR3mo_PX[[#This Row],[Column1881]]</f>
        <v>#N/A N/A</v>
      </c>
      <c r="BTJ14" t="str">
        <f>SOFR3mo_PX[[#This Row],[Column1882]]</f>
        <v>#N/A N/A</v>
      </c>
      <c r="BTK14" t="str">
        <f>SOFR3mo_PX[[#This Row],[Column1883]]</f>
        <v>#N/A N/A</v>
      </c>
      <c r="BTL14" t="str">
        <f>SOFR3mo_PX[[#This Row],[Column1884]]</f>
        <v>#N/A N/A</v>
      </c>
      <c r="BTM14" t="str">
        <f>SOFR3mo_PX[[#This Row],[Column1885]]</f>
        <v>#N/A N/A</v>
      </c>
      <c r="BTN14" t="str">
        <f>SOFR3mo_PX[[#This Row],[Column1886]]</f>
        <v>#N/A N/A</v>
      </c>
      <c r="BTO14" t="str">
        <f>SOFR3mo_PX[[#This Row],[Column1887]]</f>
        <v>#N/A N/A</v>
      </c>
      <c r="BTP14" t="str">
        <f>SOFR3mo_PX[[#This Row],[Column1888]]</f>
        <v>#N/A N/A</v>
      </c>
      <c r="BTQ14" t="str">
        <f>SOFR3mo_PX[[#This Row],[Column1889]]</f>
        <v>#N/A N/A</v>
      </c>
      <c r="BTR14" t="str">
        <f>SOFR3mo_PX[[#This Row],[Column1890]]</f>
        <v>#N/A N/A</v>
      </c>
      <c r="BTS14" t="str">
        <f>SOFR3mo_PX[[#This Row],[Column1891]]</f>
        <v>#N/A N/A</v>
      </c>
      <c r="BTT14" t="str">
        <f>SOFR3mo_PX[[#This Row],[Column1892]]</f>
        <v>#N/A N/A</v>
      </c>
      <c r="BTU14" t="str">
        <f>SOFR3mo_PX[[#This Row],[Column1893]]</f>
        <v>#N/A N/A</v>
      </c>
      <c r="BTV14" t="str">
        <f>SOFR3mo_PX[[#This Row],[Column1894]]</f>
        <v>#N/A N/A</v>
      </c>
      <c r="BTW14" t="str">
        <f>SOFR3mo_PX[[#This Row],[Column1895]]</f>
        <v>#N/A N/A</v>
      </c>
      <c r="BTX14" t="str">
        <f>SOFR3mo_PX[[#This Row],[Column1896]]</f>
        <v>#N/A N/A</v>
      </c>
      <c r="BTY14" t="str">
        <f>SOFR3mo_PX[[#This Row],[Column1897]]</f>
        <v>#N/A N/A</v>
      </c>
      <c r="BTZ14" t="str">
        <f>SOFR3mo_PX[[#This Row],[Column1898]]</f>
        <v>#N/A N/A</v>
      </c>
      <c r="BUA14" t="str">
        <f>SOFR3mo_PX[[#This Row],[Column1899]]</f>
        <v>#N/A N/A</v>
      </c>
      <c r="BUB14" t="str">
        <f>SOFR3mo_PX[[#This Row],[Column1900]]</f>
        <v>#N/A N/A</v>
      </c>
      <c r="BUC14" t="str">
        <f>SOFR3mo_PX[[#This Row],[Column1901]]</f>
        <v>#N/A N/A</v>
      </c>
      <c r="BUD14" t="str">
        <f>SOFR3mo_PX[[#This Row],[Column1902]]</f>
        <v>#N/A N/A</v>
      </c>
      <c r="BUE14" t="str">
        <f>SOFR3mo_PX[[#This Row],[Column1903]]</f>
        <v>#N/A N/A</v>
      </c>
      <c r="BUF14" t="str">
        <f>SOFR3mo_PX[[#This Row],[Column1904]]</f>
        <v>#N/A N/A</v>
      </c>
      <c r="BUG14" t="str">
        <f>SOFR3mo_PX[[#This Row],[Column1905]]</f>
        <v>#N/A N/A</v>
      </c>
      <c r="BUH14" t="str">
        <f>SOFR3mo_PX[[#This Row],[Column1906]]</f>
        <v>#N/A N/A</v>
      </c>
      <c r="BUI14" t="str">
        <f>SOFR3mo_PX[[#This Row],[Column1907]]</f>
        <v>#N/A N/A</v>
      </c>
      <c r="BUJ14" t="str">
        <f>SOFR3mo_PX[[#This Row],[Column1908]]</f>
        <v>#N/A N/A</v>
      </c>
      <c r="BUK14" t="str">
        <f>SOFR3mo_PX[[#This Row],[Column1909]]</f>
        <v>#N/A N/A</v>
      </c>
      <c r="BUL14" t="str">
        <f>SOFR3mo_PX[[#This Row],[Column1910]]</f>
        <v>#N/A N/A</v>
      </c>
      <c r="BUM14" t="str">
        <f>SOFR3mo_PX[[#This Row],[Column1911]]</f>
        <v>#N/A N/A</v>
      </c>
      <c r="BUN14" t="str">
        <f>SOFR3mo_PX[[#This Row],[Column1912]]</f>
        <v>#N/A N/A</v>
      </c>
      <c r="BUO14" t="str">
        <f>SOFR3mo_PX[[#This Row],[Column1913]]</f>
        <v>#N/A N/A</v>
      </c>
      <c r="BUP14" t="str">
        <f>SOFR3mo_PX[[#This Row],[Column1914]]</f>
        <v>#N/A N/A</v>
      </c>
      <c r="BUQ14" t="str">
        <f>SOFR3mo_PX[[#This Row],[Column1915]]</f>
        <v>#N/A N/A</v>
      </c>
      <c r="BUR14" t="str">
        <f>SOFR3mo_PX[[#This Row],[Column1916]]</f>
        <v>#N/A N/A</v>
      </c>
      <c r="BUS14" t="str">
        <f>SOFR3mo_PX[[#This Row],[Column1917]]</f>
        <v>#N/A N/A</v>
      </c>
      <c r="BUT14" t="str">
        <f>SOFR3mo_PX[[#This Row],[Column1918]]</f>
        <v>#N/A N/A</v>
      </c>
      <c r="BUU14" t="str">
        <f>SOFR3mo_PX[[#This Row],[Column1919]]</f>
        <v>#N/A N/A</v>
      </c>
      <c r="BUV14" t="str">
        <f>SOFR3mo_PX[[#This Row],[Column1920]]</f>
        <v>#N/A N/A</v>
      </c>
      <c r="BUW14" t="str">
        <f>SOFR3mo_PX[[#This Row],[Column1921]]</f>
        <v>#N/A N/A</v>
      </c>
      <c r="BUX14" t="str">
        <f>SOFR3mo_PX[[#This Row],[Column1922]]</f>
        <v>#N/A N/A</v>
      </c>
      <c r="BUY14" t="str">
        <f>SOFR3mo_PX[[#This Row],[Column1923]]</f>
        <v>#N/A N/A</v>
      </c>
      <c r="BUZ14" t="str">
        <f>SOFR3mo_PX[[#This Row],[Column1924]]</f>
        <v>#N/A N/A</v>
      </c>
      <c r="BVA14" t="str">
        <f>SOFR3mo_PX[[#This Row],[Column1925]]</f>
        <v>#N/A N/A</v>
      </c>
      <c r="BVB14" t="str">
        <f>SOFR3mo_PX[[#This Row],[Column1926]]</f>
        <v>#N/A N/A</v>
      </c>
      <c r="BVC14" t="str">
        <f>SOFR3mo_PX[[#This Row],[Column1927]]</f>
        <v>#N/A N/A</v>
      </c>
      <c r="BVD14" t="str">
        <f>SOFR3mo_PX[[#This Row],[Column1928]]</f>
        <v>#N/A N/A</v>
      </c>
      <c r="BVE14" t="str">
        <f>SOFR3mo_PX[[#This Row],[Column1929]]</f>
        <v>#N/A N/A</v>
      </c>
      <c r="BVF14" t="str">
        <f>SOFR3mo_PX[[#This Row],[Column1930]]</f>
        <v>#N/A N/A</v>
      </c>
      <c r="BVG14" t="str">
        <f>SOFR3mo_PX[[#This Row],[Column1931]]</f>
        <v>#N/A N/A</v>
      </c>
      <c r="BVH14" t="str">
        <f>SOFR3mo_PX[[#This Row],[Column1932]]</f>
        <v>#N/A N/A</v>
      </c>
      <c r="BVI14" t="str">
        <f>SOFR3mo_PX[[#This Row],[Column1933]]</f>
        <v>#N/A N/A</v>
      </c>
      <c r="BVJ14" t="str">
        <f>SOFR3mo_PX[[#This Row],[Column1934]]</f>
        <v>#N/A N/A</v>
      </c>
      <c r="BVK14" t="str">
        <f>SOFR3mo_PX[[#This Row],[Column1935]]</f>
        <v>#N/A N/A</v>
      </c>
      <c r="BVL14" t="str">
        <f>SOFR3mo_PX[[#This Row],[Column1936]]</f>
        <v>#N/A N/A</v>
      </c>
      <c r="BVM14" t="str">
        <f>SOFR3mo_PX[[#This Row],[Column1937]]</f>
        <v>#N/A N/A</v>
      </c>
      <c r="BVN14" t="str">
        <f>SOFR3mo_PX[[#This Row],[Column1938]]</f>
        <v>#N/A N/A</v>
      </c>
      <c r="BVO14" t="str">
        <f>SOFR3mo_PX[[#This Row],[Column1939]]</f>
        <v>#N/A N/A</v>
      </c>
      <c r="BVP14" t="str">
        <f>SOFR3mo_PX[[#This Row],[Column1940]]</f>
        <v>#N/A N/A</v>
      </c>
      <c r="BVQ14" t="str">
        <f>SOFR3mo_PX[[#This Row],[Column1941]]</f>
        <v>#N/A N/A</v>
      </c>
      <c r="BVR14" t="str">
        <f>SOFR3mo_PX[[#This Row],[Column1942]]</f>
        <v>#N/A N/A</v>
      </c>
      <c r="BVS14" t="str">
        <f>SOFR3mo_PX[[#This Row],[Column1943]]</f>
        <v>#N/A N/A</v>
      </c>
      <c r="BVT14" t="str">
        <f>SOFR3mo_PX[[#This Row],[Column1944]]</f>
        <v>#N/A N/A</v>
      </c>
      <c r="BVU14" t="str">
        <f>SOFR3mo_PX[[#This Row],[Column1945]]</f>
        <v>#N/A N/A</v>
      </c>
      <c r="BVV14" t="str">
        <f>SOFR3mo_PX[[#This Row],[Column1946]]</f>
        <v>#N/A N/A</v>
      </c>
      <c r="BVW14" t="str">
        <f>SOFR3mo_PX[[#This Row],[Column1947]]</f>
        <v>#N/A N/A</v>
      </c>
      <c r="BVX14" t="str">
        <f>SOFR3mo_PX[[#This Row],[Column1948]]</f>
        <v>#N/A N/A</v>
      </c>
      <c r="BVY14" t="str">
        <f>SOFR3mo_PX[[#This Row],[Column1949]]</f>
        <v>#N/A N/A</v>
      </c>
      <c r="BVZ14" t="str">
        <f>SOFR3mo_PX[[#This Row],[Column1950]]</f>
        <v>#N/A N/A</v>
      </c>
      <c r="BWA14" t="str">
        <f>SOFR3mo_PX[[#This Row],[Column1951]]</f>
        <v>#N/A N/A</v>
      </c>
      <c r="BWB14" t="str">
        <f>SOFR3mo_PX[[#This Row],[Column1952]]</f>
        <v>#N/A N/A</v>
      </c>
      <c r="BWC14" t="str">
        <f>SOFR3mo_PX[[#This Row],[Column1953]]</f>
        <v>#N/A N/A</v>
      </c>
      <c r="BWD14" t="str">
        <f>SOFR3mo_PX[[#This Row],[Column1954]]</f>
        <v>#N/A N/A</v>
      </c>
    </row>
    <row r="15" spans="1:1954" x14ac:dyDescent="0.25">
      <c r="A15" t="str">
        <f>SOFR3mo_PX[[#This Row],[Column1]]</f>
        <v>SFR13 Comdty</v>
      </c>
      <c r="B15">
        <f>IF(rtd!B13&lt;&gt;"",rtd!B13,SOFR3mo_PX[[#This Row],[Column2]])</f>
        <v>96.512500000000003</v>
      </c>
      <c r="C15">
        <f>SOFR3mo_PX[[#This Row],[Column3]]</f>
        <v>96.47</v>
      </c>
      <c r="D15">
        <f>SOFR3mo_PX[[#This Row],[Column4]]</f>
        <v>96.47</v>
      </c>
      <c r="E15">
        <f>SOFR3mo_PX[[#This Row],[Column5]]</f>
        <v>96.515000000000001</v>
      </c>
      <c r="F15">
        <f>SOFR3mo_PX[[#This Row],[Column6]]</f>
        <v>96.46</v>
      </c>
      <c r="G15">
        <f>SOFR3mo_PX[[#This Row],[Column7]]</f>
        <v>96.47</v>
      </c>
      <c r="H15">
        <f>SOFR3mo_PX[[#This Row],[Column8]]</f>
        <v>96.52</v>
      </c>
      <c r="I15">
        <f>SOFR3mo_PX[[#This Row],[Column9]]</f>
        <v>96.465000000000003</v>
      </c>
      <c r="J15">
        <f>SOFR3mo_PX[[#This Row],[Column10]]</f>
        <v>96.394999999999996</v>
      </c>
      <c r="K15">
        <f>SOFR3mo_PX[[#This Row],[Column11]]</f>
        <v>96.39</v>
      </c>
      <c r="L15">
        <f>SOFR3mo_PX[[#This Row],[Column12]]</f>
        <v>96.35</v>
      </c>
      <c r="M15">
        <f>SOFR3mo_PX[[#This Row],[Column13]]</f>
        <v>96.484999999999999</v>
      </c>
      <c r="N15">
        <f>SOFR3mo_PX[[#This Row],[Column14]]</f>
        <v>96.545000000000002</v>
      </c>
      <c r="O15">
        <f>SOFR3mo_PX[[#This Row],[Column15]]</f>
        <v>96.46</v>
      </c>
      <c r="P15">
        <f>SOFR3mo_PX[[#This Row],[Column16]]</f>
        <v>96.48</v>
      </c>
      <c r="Q15">
        <f>SOFR3mo_PX[[#This Row],[Column17]]</f>
        <v>96.525000000000006</v>
      </c>
      <c r="R15">
        <f>SOFR3mo_PX[[#This Row],[Column18]]</f>
        <v>96.504999999999995</v>
      </c>
      <c r="S15">
        <f>SOFR3mo_PX[[#This Row],[Column19]]</f>
        <v>96.454999999999998</v>
      </c>
      <c r="T15">
        <f>SOFR3mo_PX[[#This Row],[Column20]]</f>
        <v>96.495000000000005</v>
      </c>
      <c r="U15">
        <f>SOFR3mo_PX[[#This Row],[Column21]]</f>
        <v>96.415000000000006</v>
      </c>
      <c r="V15">
        <f>SOFR3mo_PX[[#This Row],[Column22]]</f>
        <v>96.415000000000006</v>
      </c>
      <c r="W15">
        <f>SOFR3mo_PX[[#This Row],[Column23]]</f>
        <v>96.38</v>
      </c>
      <c r="X15">
        <f>SOFR3mo_PX[[#This Row],[Column24]]</f>
        <v>96.334999999999994</v>
      </c>
      <c r="Y15">
        <f>SOFR3mo_PX[[#This Row],[Column25]]</f>
        <v>96.43</v>
      </c>
      <c r="Z15">
        <f>SOFR3mo_PX[[#This Row],[Column26]]</f>
        <v>96.405000000000001</v>
      </c>
      <c r="AA15">
        <f>SOFR3mo_PX[[#This Row],[Column27]]</f>
        <v>96.41</v>
      </c>
      <c r="AB15">
        <f>SOFR3mo_PX[[#This Row],[Column28]]</f>
        <v>96.385000000000005</v>
      </c>
      <c r="AC15">
        <f>SOFR3mo_PX[[#This Row],[Column29]]</f>
        <v>96.295000000000002</v>
      </c>
      <c r="AD15">
        <f>SOFR3mo_PX[[#This Row],[Column30]]</f>
        <v>96.33</v>
      </c>
      <c r="AE15">
        <f>SOFR3mo_PX[[#This Row],[Column31]]</f>
        <v>96.35</v>
      </c>
      <c r="AF15">
        <f>SOFR3mo_PX[[#This Row],[Column32]]</f>
        <v>96.48</v>
      </c>
      <c r="AG15">
        <f>SOFR3mo_PX[[#This Row],[Column33]]</f>
        <v>96.474999999999994</v>
      </c>
      <c r="AH15">
        <f>SOFR3mo_PX[[#This Row],[Column34]]</f>
        <v>96.62</v>
      </c>
      <c r="AI15">
        <f>SOFR3mo_PX[[#This Row],[Column35]]</f>
        <v>96.59</v>
      </c>
      <c r="AJ15">
        <f>SOFR3mo_PX[[#This Row],[Column36]]</f>
        <v>96.545000000000002</v>
      </c>
      <c r="AK15">
        <f>SOFR3mo_PX[[#This Row],[Column37]]</f>
        <v>96.545000000000002</v>
      </c>
      <c r="AL15">
        <f>SOFR3mo_PX[[#This Row],[Column38]]</f>
        <v>96.66</v>
      </c>
      <c r="AM15">
        <f>SOFR3mo_PX[[#This Row],[Column39]]</f>
        <v>96.71</v>
      </c>
      <c r="AN15">
        <f>SOFR3mo_PX[[#This Row],[Column40]]</f>
        <v>96.68</v>
      </c>
      <c r="AO15">
        <f>SOFR3mo_PX[[#This Row],[Column41]]</f>
        <v>96.64</v>
      </c>
      <c r="AP15">
        <f>SOFR3mo_PX[[#This Row],[Column42]]</f>
        <v>96.564999999999998</v>
      </c>
      <c r="AQ15">
        <f>SOFR3mo_PX[[#This Row],[Column43]]</f>
        <v>96.52</v>
      </c>
      <c r="AR15">
        <f>SOFR3mo_PX[[#This Row],[Column44]]</f>
        <v>96.435000000000002</v>
      </c>
      <c r="AS15">
        <f>SOFR3mo_PX[[#This Row],[Column45]]</f>
        <v>96.48</v>
      </c>
      <c r="AT15">
        <f>SOFR3mo_PX[[#This Row],[Column46]]</f>
        <v>96.49</v>
      </c>
      <c r="AU15">
        <f>SOFR3mo_PX[[#This Row],[Column47]]</f>
        <v>96.51</v>
      </c>
      <c r="AV15">
        <f>SOFR3mo_PX[[#This Row],[Column48]]</f>
        <v>96.51</v>
      </c>
      <c r="AW15">
        <f>SOFR3mo_PX[[#This Row],[Column49]]</f>
        <v>96.525000000000006</v>
      </c>
      <c r="AX15">
        <f>SOFR3mo_PX[[#This Row],[Column50]]</f>
        <v>96.45</v>
      </c>
      <c r="AY15">
        <f>SOFR3mo_PX[[#This Row],[Column51]]</f>
        <v>96.42</v>
      </c>
      <c r="AZ15">
        <f>SOFR3mo_PX[[#This Row],[Column52]]</f>
        <v>96.26</v>
      </c>
      <c r="BA15">
        <f>SOFR3mo_PX[[#This Row],[Column53]]</f>
        <v>96.4</v>
      </c>
      <c r="BB15">
        <f>SOFR3mo_PX[[#This Row],[Column54]]</f>
        <v>96.305000000000007</v>
      </c>
      <c r="BC15">
        <f>SOFR3mo_PX[[#This Row],[Column55]]</f>
        <v>96.53</v>
      </c>
      <c r="BD15">
        <f>SOFR3mo_PX[[#This Row],[Column56]]</f>
        <v>96.584999999999994</v>
      </c>
      <c r="BE15">
        <f>SOFR3mo_PX[[#This Row],[Column57]]</f>
        <v>96.72</v>
      </c>
      <c r="BF15">
        <f>SOFR3mo_PX[[#This Row],[Column58]]</f>
        <v>96.67</v>
      </c>
      <c r="BG15">
        <f>SOFR3mo_PX[[#This Row],[Column59]]</f>
        <v>96.45</v>
      </c>
      <c r="BH15">
        <f>SOFR3mo_PX[[#This Row],[Column60]]</f>
        <v>96.5</v>
      </c>
      <c r="BI15">
        <f>SOFR3mo_PX[[#This Row],[Column61]]</f>
        <v>96.415000000000006</v>
      </c>
      <c r="BJ15">
        <f>SOFR3mo_PX[[#This Row],[Column62]]</f>
        <v>96.415000000000006</v>
      </c>
      <c r="BK15">
        <f>SOFR3mo_PX[[#This Row],[Column63]]</f>
        <v>96.295000000000002</v>
      </c>
      <c r="BL15">
        <f>SOFR3mo_PX[[#This Row],[Column64]]</f>
        <v>96.31</v>
      </c>
      <c r="BM15">
        <f>SOFR3mo_PX[[#This Row],[Column65]]</f>
        <v>96.325000000000003</v>
      </c>
      <c r="BN15">
        <f>SOFR3mo_PX[[#This Row],[Column66]]</f>
        <v>96.28</v>
      </c>
      <c r="BO15">
        <f>SOFR3mo_PX[[#This Row],[Column67]]</f>
        <v>96.364999999999995</v>
      </c>
      <c r="BP15">
        <f>SOFR3mo_PX[[#This Row],[Column68]]</f>
        <v>96.36</v>
      </c>
      <c r="BQ15">
        <f>SOFR3mo_PX[[#This Row],[Column69]]</f>
        <v>96.34</v>
      </c>
      <c r="BR15">
        <f>SOFR3mo_PX[[#This Row],[Column70]]</f>
        <v>96.34</v>
      </c>
      <c r="BS15">
        <f>SOFR3mo_PX[[#This Row],[Column71]]</f>
        <v>96.3</v>
      </c>
      <c r="BT15">
        <f>SOFR3mo_PX[[#This Row],[Column72]]</f>
        <v>96.31</v>
      </c>
      <c r="BU15">
        <f>SOFR3mo_PX[[#This Row],[Column73]]</f>
        <v>96.364999999999995</v>
      </c>
      <c r="BV15">
        <f>SOFR3mo_PX[[#This Row],[Column74]]</f>
        <v>96.31</v>
      </c>
      <c r="BW15">
        <f>SOFR3mo_PX[[#This Row],[Column75]]</f>
        <v>96.344999999999999</v>
      </c>
      <c r="BX15">
        <f>SOFR3mo_PX[[#This Row],[Column76]]</f>
        <v>96.415000000000006</v>
      </c>
      <c r="BY15">
        <f>SOFR3mo_PX[[#This Row],[Column77]]</f>
        <v>96.27</v>
      </c>
      <c r="BZ15">
        <f>SOFR3mo_PX[[#This Row],[Column78]]</f>
        <v>96.305000000000007</v>
      </c>
      <c r="CA15">
        <f>SOFR3mo_PX[[#This Row],[Column79]]</f>
        <v>96.31</v>
      </c>
      <c r="CB15">
        <f>SOFR3mo_PX[[#This Row],[Column80]]</f>
        <v>96.394999999999996</v>
      </c>
      <c r="CC15">
        <f>SOFR3mo_PX[[#This Row],[Column81]]</f>
        <v>96.415000000000006</v>
      </c>
      <c r="CD15">
        <f>SOFR3mo_PX[[#This Row],[Column82]]</f>
        <v>96.38</v>
      </c>
      <c r="CE15">
        <f>SOFR3mo_PX[[#This Row],[Column83]]</f>
        <v>96.31</v>
      </c>
      <c r="CF15">
        <f>SOFR3mo_PX[[#This Row],[Column84]]</f>
        <v>96.34</v>
      </c>
      <c r="CG15">
        <f>SOFR3mo_PX[[#This Row],[Column85]]</f>
        <v>96.275000000000006</v>
      </c>
      <c r="CH15">
        <f>SOFR3mo_PX[[#This Row],[Column86]]</f>
        <v>96.135000000000005</v>
      </c>
      <c r="CI15">
        <f>SOFR3mo_PX[[#This Row],[Column87]]</f>
        <v>96.1</v>
      </c>
      <c r="CJ15">
        <f>SOFR3mo_PX[[#This Row],[Column88]]</f>
        <v>96.015000000000001</v>
      </c>
      <c r="CK15">
        <f>SOFR3mo_PX[[#This Row],[Column89]]</f>
        <v>95.98</v>
      </c>
      <c r="CL15">
        <f>SOFR3mo_PX[[#This Row],[Column90]]</f>
        <v>95.96</v>
      </c>
      <c r="CM15">
        <f>SOFR3mo_PX[[#This Row],[Column91]]</f>
        <v>96.03</v>
      </c>
      <c r="CN15">
        <f>SOFR3mo_PX[[#This Row],[Column92]]</f>
        <v>96.03</v>
      </c>
      <c r="CO15">
        <f>SOFR3mo_PX[[#This Row],[Column93]]</f>
        <v>95.954999999999998</v>
      </c>
      <c r="CP15">
        <f>SOFR3mo_PX[[#This Row],[Column94]]</f>
        <v>95.84</v>
      </c>
      <c r="CQ15">
        <f>SOFR3mo_PX[[#This Row],[Column95]]</f>
        <v>95.984999999999999</v>
      </c>
      <c r="CR15">
        <f>SOFR3mo_PX[[#This Row],[Column96]]</f>
        <v>96.03</v>
      </c>
      <c r="CS15">
        <f>SOFR3mo_PX[[#This Row],[Column97]]</f>
        <v>96.025000000000006</v>
      </c>
      <c r="CT15">
        <f>SOFR3mo_PX[[#This Row],[Column98]]</f>
        <v>96.09</v>
      </c>
      <c r="CU15">
        <f>SOFR3mo_PX[[#This Row],[Column99]]</f>
        <v>96.14</v>
      </c>
      <c r="CV15">
        <f>SOFR3mo_PX[[#This Row],[Column100]]</f>
        <v>96.045000000000002</v>
      </c>
      <c r="CW15">
        <f>SOFR3mo_PX[[#This Row],[Column101]]</f>
        <v>95.995000000000005</v>
      </c>
      <c r="CX15">
        <f>SOFR3mo_PX[[#This Row],[Column102]]</f>
        <v>95.97</v>
      </c>
      <c r="CY15">
        <f>SOFR3mo_PX[[#This Row],[Column103]]</f>
        <v>96.034999999999997</v>
      </c>
      <c r="CZ15">
        <f>SOFR3mo_PX[[#This Row],[Column104]]</f>
        <v>95.984999999999999</v>
      </c>
      <c r="DA15">
        <f>SOFR3mo_PX[[#This Row],[Column105]]</f>
        <v>95.995000000000005</v>
      </c>
      <c r="DB15">
        <f>SOFR3mo_PX[[#This Row],[Column106]]</f>
        <v>96.015000000000001</v>
      </c>
      <c r="DC15">
        <f>SOFR3mo_PX[[#This Row],[Column107]]</f>
        <v>95.91</v>
      </c>
      <c r="DD15">
        <f>SOFR3mo_PX[[#This Row],[Column108]]</f>
        <v>95.9</v>
      </c>
      <c r="DE15">
        <f>SOFR3mo_PX[[#This Row],[Column109]]</f>
        <v>95.91</v>
      </c>
      <c r="DF15">
        <f>SOFR3mo_PX[[#This Row],[Column110]]</f>
        <v>95.935000000000002</v>
      </c>
      <c r="DG15">
        <f>SOFR3mo_PX[[#This Row],[Column111]]</f>
        <v>95.915000000000006</v>
      </c>
      <c r="DH15">
        <f>SOFR3mo_PX[[#This Row],[Column112]]</f>
        <v>95.915000000000006</v>
      </c>
      <c r="DI15">
        <f>SOFR3mo_PX[[#This Row],[Column113]]</f>
        <v>95.924999999999997</v>
      </c>
      <c r="DJ15">
        <f>SOFR3mo_PX[[#This Row],[Column114]]</f>
        <v>95.87</v>
      </c>
      <c r="DK15">
        <f>SOFR3mo_PX[[#This Row],[Column115]]</f>
        <v>95.7</v>
      </c>
      <c r="DL15">
        <f>SOFR3mo_PX[[#This Row],[Column116]]</f>
        <v>95.685000000000002</v>
      </c>
      <c r="DM15">
        <f>SOFR3mo_PX[[#This Row],[Column117]]</f>
        <v>95.724999999999994</v>
      </c>
      <c r="DN15">
        <f>SOFR3mo_PX[[#This Row],[Column118]]</f>
        <v>95.875</v>
      </c>
      <c r="DO15">
        <f>SOFR3mo_PX[[#This Row],[Column119]]</f>
        <v>95.85</v>
      </c>
      <c r="DP15">
        <f>SOFR3mo_PX[[#This Row],[Column120]]</f>
        <v>95.855000000000004</v>
      </c>
      <c r="DQ15">
        <f>SOFR3mo_PX[[#This Row],[Column121]]</f>
        <v>95.92</v>
      </c>
      <c r="DR15">
        <f>SOFR3mo_PX[[#This Row],[Column122]]</f>
        <v>95.97</v>
      </c>
      <c r="DS15">
        <f>SOFR3mo_PX[[#This Row],[Column123]]</f>
        <v>96</v>
      </c>
      <c r="DT15">
        <f>SOFR3mo_PX[[#This Row],[Column124]]</f>
        <v>95.984999999999999</v>
      </c>
      <c r="DU15">
        <f>SOFR3mo_PX[[#This Row],[Column125]]</f>
        <v>95.984999999999999</v>
      </c>
      <c r="DV15">
        <f>SOFR3mo_PX[[#This Row],[Column126]]</f>
        <v>96.015000000000001</v>
      </c>
      <c r="DW15">
        <f>SOFR3mo_PX[[#This Row],[Column127]]</f>
        <v>95.92</v>
      </c>
      <c r="DX15">
        <f>SOFR3mo_PX[[#This Row],[Column128]]</f>
        <v>95.965000000000003</v>
      </c>
      <c r="DY15">
        <f>SOFR3mo_PX[[#This Row],[Column129]]</f>
        <v>95.95</v>
      </c>
      <c r="DZ15">
        <f>SOFR3mo_PX[[#This Row],[Column130]]</f>
        <v>95.95</v>
      </c>
      <c r="EA15">
        <f>SOFR3mo_PX[[#This Row],[Column131]]</f>
        <v>95.935000000000002</v>
      </c>
      <c r="EB15">
        <f>SOFR3mo_PX[[#This Row],[Column132]]</f>
        <v>96.025000000000006</v>
      </c>
      <c r="EC15">
        <f>SOFR3mo_PX[[#This Row],[Column133]]</f>
        <v>95.96</v>
      </c>
      <c r="ED15">
        <f>SOFR3mo_PX[[#This Row],[Column134]]</f>
        <v>96.05</v>
      </c>
      <c r="EE15">
        <f>SOFR3mo_PX[[#This Row],[Column135]]</f>
        <v>96.18</v>
      </c>
      <c r="EF15">
        <f>SOFR3mo_PX[[#This Row],[Column136]]</f>
        <v>96.165000000000006</v>
      </c>
      <c r="EG15">
        <f>SOFR3mo_PX[[#This Row],[Column137]]</f>
        <v>96.185000000000002</v>
      </c>
      <c r="EH15">
        <f>SOFR3mo_PX[[#This Row],[Column138]]</f>
        <v>96.254999999999995</v>
      </c>
      <c r="EI15">
        <f>SOFR3mo_PX[[#This Row],[Column139]]</f>
        <v>96.31</v>
      </c>
      <c r="EJ15">
        <f>SOFR3mo_PX[[#This Row],[Column140]]</f>
        <v>96.37</v>
      </c>
      <c r="EK15">
        <f>SOFR3mo_PX[[#This Row],[Column141]]</f>
        <v>96.394999999999996</v>
      </c>
      <c r="EL15">
        <f>SOFR3mo_PX[[#This Row],[Column142]]</f>
        <v>96.43</v>
      </c>
      <c r="EM15">
        <f>SOFR3mo_PX[[#This Row],[Column143]]</f>
        <v>96.394999999999996</v>
      </c>
      <c r="EN15">
        <f>SOFR3mo_PX[[#This Row],[Column144]]</f>
        <v>96.4</v>
      </c>
      <c r="EO15">
        <f>SOFR3mo_PX[[#This Row],[Column145]]</f>
        <v>96.364999999999995</v>
      </c>
      <c r="EP15">
        <f>SOFR3mo_PX[[#This Row],[Column146]]</f>
        <v>96.4</v>
      </c>
      <c r="EQ15">
        <f>SOFR3mo_PX[[#This Row],[Column147]]</f>
        <v>96.41</v>
      </c>
      <c r="ER15">
        <f>SOFR3mo_PX[[#This Row],[Column148]]</f>
        <v>96.37</v>
      </c>
      <c r="ES15">
        <f>SOFR3mo_PX[[#This Row],[Column149]]</f>
        <v>96.37</v>
      </c>
      <c r="ET15">
        <f>SOFR3mo_PX[[#This Row],[Column150]]</f>
        <v>96.284999999999997</v>
      </c>
      <c r="EU15">
        <f>SOFR3mo_PX[[#This Row],[Column151]]</f>
        <v>96.325000000000003</v>
      </c>
      <c r="EV15">
        <f>SOFR3mo_PX[[#This Row],[Column152]]</f>
        <v>96.194999999999993</v>
      </c>
      <c r="EW15">
        <f>SOFR3mo_PX[[#This Row],[Column153]]</f>
        <v>96.174999999999997</v>
      </c>
      <c r="EX15">
        <f>SOFR3mo_PX[[#This Row],[Column154]]</f>
        <v>96.21</v>
      </c>
      <c r="EY15">
        <f>SOFR3mo_PX[[#This Row],[Column155]]</f>
        <v>96.234999999999999</v>
      </c>
      <c r="EZ15">
        <f>SOFR3mo_PX[[#This Row],[Column156]]</f>
        <v>96.2</v>
      </c>
      <c r="FA15">
        <f>SOFR3mo_PX[[#This Row],[Column157]]</f>
        <v>96.185000000000002</v>
      </c>
      <c r="FB15">
        <f>SOFR3mo_PX[[#This Row],[Column158]]</f>
        <v>96.18</v>
      </c>
      <c r="FC15">
        <f>SOFR3mo_PX[[#This Row],[Column159]]</f>
        <v>96.165000000000006</v>
      </c>
      <c r="FD15">
        <f>SOFR3mo_PX[[#This Row],[Column160]]</f>
        <v>96.17</v>
      </c>
      <c r="FE15">
        <f>SOFR3mo_PX[[#This Row],[Column161]]</f>
        <v>96.215000000000003</v>
      </c>
      <c r="FF15">
        <f>SOFR3mo_PX[[#This Row],[Column162]]</f>
        <v>96.28</v>
      </c>
      <c r="FG15">
        <f>SOFR3mo_PX[[#This Row],[Column163]]</f>
        <v>96.27</v>
      </c>
      <c r="FH15">
        <f>SOFR3mo_PX[[#This Row],[Column164]]</f>
        <v>96.19</v>
      </c>
      <c r="FI15">
        <f>SOFR3mo_PX[[#This Row],[Column165]]</f>
        <v>96.325000000000003</v>
      </c>
      <c r="FJ15">
        <f>SOFR3mo_PX[[#This Row],[Column166]]</f>
        <v>96.31</v>
      </c>
      <c r="FK15">
        <f>SOFR3mo_PX[[#This Row],[Column167]]</f>
        <v>96.28</v>
      </c>
      <c r="FL15">
        <f>SOFR3mo_PX[[#This Row],[Column168]]</f>
        <v>96.32</v>
      </c>
      <c r="FM15">
        <f>SOFR3mo_PX[[#This Row],[Column169]]</f>
        <v>96.344999999999999</v>
      </c>
      <c r="FN15">
        <f>SOFR3mo_PX[[#This Row],[Column170]]</f>
        <v>96.37</v>
      </c>
      <c r="FO15">
        <f>SOFR3mo_PX[[#This Row],[Column171]]</f>
        <v>96.36</v>
      </c>
      <c r="FP15">
        <f>SOFR3mo_PX[[#This Row],[Column172]]</f>
        <v>96.41</v>
      </c>
      <c r="FQ15">
        <f>SOFR3mo_PX[[#This Row],[Column173]]</f>
        <v>96.44</v>
      </c>
      <c r="FR15">
        <f>SOFR3mo_PX[[#This Row],[Column174]]</f>
        <v>96.394999999999996</v>
      </c>
      <c r="FS15">
        <f>SOFR3mo_PX[[#This Row],[Column175]]</f>
        <v>96.46</v>
      </c>
      <c r="FT15">
        <f>SOFR3mo_PX[[#This Row],[Column176]]</f>
        <v>96.49</v>
      </c>
      <c r="FU15">
        <f>SOFR3mo_PX[[#This Row],[Column177]]</f>
        <v>96.605000000000004</v>
      </c>
      <c r="FV15">
        <f>SOFR3mo_PX[[#This Row],[Column178]]</f>
        <v>96.58</v>
      </c>
      <c r="FW15">
        <f>SOFR3mo_PX[[#This Row],[Column179]]</f>
        <v>96.644999999999996</v>
      </c>
      <c r="FX15">
        <f>SOFR3mo_PX[[#This Row],[Column180]]</f>
        <v>96.63</v>
      </c>
      <c r="FY15">
        <f>SOFR3mo_PX[[#This Row],[Column181]]</f>
        <v>96.55</v>
      </c>
      <c r="FZ15">
        <f>SOFR3mo_PX[[#This Row],[Column182]]</f>
        <v>96.605000000000004</v>
      </c>
      <c r="GA15">
        <f>SOFR3mo_PX[[#This Row],[Column183]]</f>
        <v>96.57</v>
      </c>
      <c r="GB15">
        <f>SOFR3mo_PX[[#This Row],[Column184]]</f>
        <v>96.59</v>
      </c>
      <c r="GC15">
        <f>SOFR3mo_PX[[#This Row],[Column185]]</f>
        <v>96.625</v>
      </c>
      <c r="GD15">
        <f>SOFR3mo_PX[[#This Row],[Column186]]</f>
        <v>96.635000000000005</v>
      </c>
      <c r="GE15">
        <f>SOFR3mo_PX[[#This Row],[Column187]]</f>
        <v>96.674999999999997</v>
      </c>
      <c r="GF15">
        <f>SOFR3mo_PX[[#This Row],[Column188]]</f>
        <v>96.83</v>
      </c>
      <c r="GG15">
        <f>SOFR3mo_PX[[#This Row],[Column189]]</f>
        <v>96.91</v>
      </c>
      <c r="GH15">
        <f>SOFR3mo_PX[[#This Row],[Column190]]</f>
        <v>96.944999999999993</v>
      </c>
      <c r="GI15">
        <f>SOFR3mo_PX[[#This Row],[Column191]]</f>
        <v>96.875</v>
      </c>
      <c r="GJ15">
        <f>SOFR3mo_PX[[#This Row],[Column192]]</f>
        <v>96.92</v>
      </c>
      <c r="GK15">
        <f>SOFR3mo_PX[[#This Row],[Column193]]</f>
        <v>96.88</v>
      </c>
      <c r="GL15">
        <f>SOFR3mo_PX[[#This Row],[Column194]]</f>
        <v>96.89</v>
      </c>
      <c r="GM15">
        <f>SOFR3mo_PX[[#This Row],[Column195]]</f>
        <v>96.935000000000002</v>
      </c>
      <c r="GN15">
        <f>SOFR3mo_PX[[#This Row],[Column196]]</f>
        <v>96.92</v>
      </c>
      <c r="GO15">
        <f>SOFR3mo_PX[[#This Row],[Column197]]</f>
        <v>96.94</v>
      </c>
      <c r="GP15">
        <f>SOFR3mo_PX[[#This Row],[Column198]]</f>
        <v>96.935000000000002</v>
      </c>
      <c r="GQ15">
        <f>SOFR3mo_PX[[#This Row],[Column199]]</f>
        <v>96.984999999999999</v>
      </c>
      <c r="GR15">
        <f>SOFR3mo_PX[[#This Row],[Column200]]</f>
        <v>97.064999999999998</v>
      </c>
      <c r="GS15">
        <f>SOFR3mo_PX[[#This Row],[Column201]]</f>
        <v>97.09</v>
      </c>
      <c r="GT15">
        <f>SOFR3mo_PX[[#This Row],[Column202]]</f>
        <v>97.09</v>
      </c>
      <c r="GU15">
        <f>SOFR3mo_PX[[#This Row],[Column203]]</f>
        <v>97.08</v>
      </c>
      <c r="GV15">
        <f>SOFR3mo_PX[[#This Row],[Column204]]</f>
        <v>97.114999999999995</v>
      </c>
      <c r="GW15">
        <f>SOFR3mo_PX[[#This Row],[Column205]]</f>
        <v>97.12</v>
      </c>
      <c r="GX15">
        <f>SOFR3mo_PX[[#This Row],[Column206]]</f>
        <v>97.06</v>
      </c>
      <c r="GY15">
        <f>SOFR3mo_PX[[#This Row],[Column207]]</f>
        <v>97.05</v>
      </c>
      <c r="GZ15">
        <f>SOFR3mo_PX[[#This Row],[Column208]]</f>
        <v>97.01</v>
      </c>
      <c r="HA15">
        <f>SOFR3mo_PX[[#This Row],[Column209]]</f>
        <v>96.984999999999999</v>
      </c>
      <c r="HB15">
        <f>SOFR3mo_PX[[#This Row],[Column210]]</f>
        <v>96.915000000000006</v>
      </c>
      <c r="HC15">
        <f>SOFR3mo_PX[[#This Row],[Column211]]</f>
        <v>96.84</v>
      </c>
      <c r="HD15">
        <f>SOFR3mo_PX[[#This Row],[Column212]]</f>
        <v>96.84</v>
      </c>
      <c r="HE15">
        <f>SOFR3mo_PX[[#This Row],[Column213]]</f>
        <v>96.89</v>
      </c>
      <c r="HF15">
        <f>SOFR3mo_PX[[#This Row],[Column214]]</f>
        <v>96.915000000000006</v>
      </c>
      <c r="HG15">
        <f>SOFR3mo_PX[[#This Row],[Column215]]</f>
        <v>96.92</v>
      </c>
      <c r="HH15">
        <f>SOFR3mo_PX[[#This Row],[Column216]]</f>
        <v>96.92</v>
      </c>
      <c r="HI15">
        <f>SOFR3mo_PX[[#This Row],[Column217]]</f>
        <v>96.924999999999997</v>
      </c>
      <c r="HJ15">
        <f>SOFR3mo_PX[[#This Row],[Column218]]</f>
        <v>96.85</v>
      </c>
      <c r="HK15">
        <f>SOFR3mo_PX[[#This Row],[Column219]]</f>
        <v>96.935000000000002</v>
      </c>
      <c r="HL15">
        <f>SOFR3mo_PX[[#This Row],[Column220]]</f>
        <v>96.89</v>
      </c>
      <c r="HM15">
        <f>SOFR3mo_PX[[#This Row],[Column221]]</f>
        <v>96.83</v>
      </c>
      <c r="HN15">
        <f>SOFR3mo_PX[[#This Row],[Column222]]</f>
        <v>96.81</v>
      </c>
      <c r="HO15">
        <f>SOFR3mo_PX[[#This Row],[Column223]]</f>
        <v>96.784999999999997</v>
      </c>
      <c r="HP15">
        <f>SOFR3mo_PX[[#This Row],[Column224]]</f>
        <v>96.915000000000006</v>
      </c>
      <c r="HQ15">
        <f>SOFR3mo_PX[[#This Row],[Column225]]</f>
        <v>96.89</v>
      </c>
      <c r="HR15">
        <f>SOFR3mo_PX[[#This Row],[Column226]]</f>
        <v>96.834999999999994</v>
      </c>
      <c r="HS15">
        <f>SOFR3mo_PX[[#This Row],[Column227]]</f>
        <v>96.78</v>
      </c>
      <c r="HT15">
        <f>SOFR3mo_PX[[#This Row],[Column228]]</f>
        <v>96.734999999999999</v>
      </c>
      <c r="HU15">
        <f>SOFR3mo_PX[[#This Row],[Column229]]</f>
        <v>96.765000000000001</v>
      </c>
      <c r="HV15">
        <f>SOFR3mo_PX[[#This Row],[Column230]]</f>
        <v>96.844999999999999</v>
      </c>
      <c r="HW15">
        <f>SOFR3mo_PX[[#This Row],[Column231]]</f>
        <v>96.93</v>
      </c>
      <c r="HX15">
        <f>SOFR3mo_PX[[#This Row],[Column232]]</f>
        <v>96.954999999999998</v>
      </c>
      <c r="HY15">
        <f>SOFR3mo_PX[[#This Row],[Column233]]</f>
        <v>96.76</v>
      </c>
      <c r="HZ15">
        <f>SOFR3mo_PX[[#This Row],[Column234]]</f>
        <v>96.63</v>
      </c>
      <c r="IA15">
        <f>SOFR3mo_PX[[#This Row],[Column235]]</f>
        <v>96.6</v>
      </c>
      <c r="IB15">
        <f>SOFR3mo_PX[[#This Row],[Column236]]</f>
        <v>96.564999999999998</v>
      </c>
      <c r="IC15">
        <f>SOFR3mo_PX[[#This Row],[Column237]]</f>
        <v>96.55</v>
      </c>
      <c r="ID15">
        <f>SOFR3mo_PX[[#This Row],[Column238]]</f>
        <v>96.484999999999999</v>
      </c>
      <c r="IE15">
        <f>SOFR3mo_PX[[#This Row],[Column239]]</f>
        <v>96.474999999999994</v>
      </c>
      <c r="IF15">
        <f>SOFR3mo_PX[[#This Row],[Column240]]</f>
        <v>96.484999999999999</v>
      </c>
      <c r="IG15">
        <f>SOFR3mo_PX[[#This Row],[Column241]]</f>
        <v>96.46</v>
      </c>
      <c r="IH15">
        <f>SOFR3mo_PX[[#This Row],[Column242]]</f>
        <v>96.465000000000003</v>
      </c>
      <c r="II15">
        <f>SOFR3mo_PX[[#This Row],[Column243]]</f>
        <v>96.534999999999997</v>
      </c>
      <c r="IJ15">
        <f>SOFR3mo_PX[[#This Row],[Column244]]</f>
        <v>96.58</v>
      </c>
      <c r="IK15">
        <f>SOFR3mo_PX[[#This Row],[Column245]]</f>
        <v>96.55</v>
      </c>
      <c r="IL15">
        <f>SOFR3mo_PX[[#This Row],[Column246]]</f>
        <v>96.504999999999995</v>
      </c>
      <c r="IM15">
        <f>SOFR3mo_PX[[#This Row],[Column247]]</f>
        <v>96.534999999999997</v>
      </c>
      <c r="IN15">
        <f>SOFR3mo_PX[[#This Row],[Column248]]</f>
        <v>96.53</v>
      </c>
      <c r="IO15">
        <f>SOFR3mo_PX[[#This Row],[Column249]]</f>
        <v>96.415000000000006</v>
      </c>
      <c r="IP15">
        <f>SOFR3mo_PX[[#This Row],[Column250]]</f>
        <v>96.394999999999996</v>
      </c>
      <c r="IQ15">
        <f>SOFR3mo_PX[[#This Row],[Column251]]</f>
        <v>96.42</v>
      </c>
      <c r="IR15">
        <f>SOFR3mo_PX[[#This Row],[Column252]]</f>
        <v>96.424999999999997</v>
      </c>
      <c r="IS15">
        <f>SOFR3mo_PX[[#This Row],[Column253]]</f>
        <v>96.33</v>
      </c>
      <c r="IT15">
        <f>SOFR3mo_PX[[#This Row],[Column254]]</f>
        <v>96.33</v>
      </c>
      <c r="IU15">
        <f>SOFR3mo_PX[[#This Row],[Column255]]</f>
        <v>96.224999999999994</v>
      </c>
      <c r="IV15">
        <f>SOFR3mo_PX[[#This Row],[Column256]]</f>
        <v>96.17</v>
      </c>
      <c r="IW15">
        <f>SOFR3mo_PX[[#This Row],[Column257]]</f>
        <v>96.325000000000003</v>
      </c>
      <c r="IX15">
        <f>SOFR3mo_PX[[#This Row],[Column258]]</f>
        <v>96.36</v>
      </c>
      <c r="IY15">
        <f>SOFR3mo_PX[[#This Row],[Column259]]</f>
        <v>96.33</v>
      </c>
      <c r="IZ15">
        <f>SOFR3mo_PX[[#This Row],[Column260]]</f>
        <v>96.42</v>
      </c>
      <c r="JA15">
        <f>SOFR3mo_PX[[#This Row],[Column261]]</f>
        <v>96.415000000000006</v>
      </c>
      <c r="JB15">
        <f>SOFR3mo_PX[[#This Row],[Column262]]</f>
        <v>96.4</v>
      </c>
      <c r="JC15">
        <f>SOFR3mo_PX[[#This Row],[Column263]]</f>
        <v>96.4</v>
      </c>
      <c r="JD15">
        <f>SOFR3mo_PX[[#This Row],[Column264]]</f>
        <v>96.43</v>
      </c>
      <c r="JE15">
        <f>SOFR3mo_PX[[#This Row],[Column265]]</f>
        <v>96.43</v>
      </c>
      <c r="JF15">
        <f>SOFR3mo_PX[[#This Row],[Column266]]</f>
        <v>96.355000000000004</v>
      </c>
      <c r="JG15">
        <f>SOFR3mo_PX[[#This Row],[Column267]]</f>
        <v>96.435000000000002</v>
      </c>
      <c r="JH15">
        <f>SOFR3mo_PX[[#This Row],[Column268]]</f>
        <v>96.41</v>
      </c>
      <c r="JI15">
        <f>SOFR3mo_PX[[#This Row],[Column269]]</f>
        <v>96.33</v>
      </c>
      <c r="JJ15">
        <f>SOFR3mo_PX[[#This Row],[Column270]]</f>
        <v>96.204999999999998</v>
      </c>
      <c r="JK15">
        <f>SOFR3mo_PX[[#This Row],[Column271]]</f>
        <v>96.13</v>
      </c>
      <c r="JL15">
        <f>SOFR3mo_PX[[#This Row],[Column272]]</f>
        <v>96.18</v>
      </c>
      <c r="JM15">
        <f>SOFR3mo_PX[[#This Row],[Column273]]</f>
        <v>96.34</v>
      </c>
      <c r="JN15">
        <f>SOFR3mo_PX[[#This Row],[Column274]]</f>
        <v>96.32</v>
      </c>
      <c r="JO15">
        <f>SOFR3mo_PX[[#This Row],[Column275]]</f>
        <v>96.284999999999997</v>
      </c>
      <c r="JP15">
        <f>SOFR3mo_PX[[#This Row],[Column276]]</f>
        <v>96.2</v>
      </c>
      <c r="JQ15">
        <f>SOFR3mo_PX[[#This Row],[Column277]]</f>
        <v>96.08</v>
      </c>
      <c r="JR15">
        <f>SOFR3mo_PX[[#This Row],[Column278]]</f>
        <v>96.025000000000006</v>
      </c>
      <c r="JS15">
        <f>SOFR3mo_PX[[#This Row],[Column279]]</f>
        <v>95.944999999999993</v>
      </c>
      <c r="JT15">
        <f>SOFR3mo_PX[[#This Row],[Column280]]</f>
        <v>96.025000000000006</v>
      </c>
      <c r="JU15">
        <f>SOFR3mo_PX[[#This Row],[Column281]]</f>
        <v>96.094999999999999</v>
      </c>
      <c r="JV15">
        <f>SOFR3mo_PX[[#This Row],[Column282]]</f>
        <v>96.094999999999999</v>
      </c>
      <c r="JW15">
        <f>SOFR3mo_PX[[#This Row],[Column283]]</f>
        <v>96.094999999999999</v>
      </c>
      <c r="JX15">
        <f>SOFR3mo_PX[[#This Row],[Column284]]</f>
        <v>96.155000000000001</v>
      </c>
      <c r="JY15">
        <f>SOFR3mo_PX[[#This Row],[Column285]]</f>
        <v>96.185000000000002</v>
      </c>
      <c r="JZ15">
        <f>SOFR3mo_PX[[#This Row],[Column286]]</f>
        <v>96.16</v>
      </c>
      <c r="KA15">
        <f>SOFR3mo_PX[[#This Row],[Column287]]</f>
        <v>96.16</v>
      </c>
      <c r="KB15">
        <f>SOFR3mo_PX[[#This Row],[Column288]]</f>
        <v>96.215000000000003</v>
      </c>
      <c r="KC15">
        <f>SOFR3mo_PX[[#This Row],[Column289]]</f>
        <v>96.254999999999995</v>
      </c>
      <c r="KD15">
        <f>SOFR3mo_PX[[#This Row],[Column290]]</f>
        <v>96.135000000000005</v>
      </c>
      <c r="KE15">
        <f>SOFR3mo_PX[[#This Row],[Column291]]</f>
        <v>96.09</v>
      </c>
      <c r="KF15">
        <f>SOFR3mo_PX[[#This Row],[Column292]]</f>
        <v>96.06</v>
      </c>
      <c r="KG15">
        <f>SOFR3mo_PX[[#This Row],[Column293]]</f>
        <v>96.114999999999995</v>
      </c>
      <c r="KH15">
        <f>SOFR3mo_PX[[#This Row],[Column294]]</f>
        <v>96.08</v>
      </c>
      <c r="KI15">
        <f>SOFR3mo_PX[[#This Row],[Column295]]</f>
        <v>96.12</v>
      </c>
      <c r="KJ15">
        <f>SOFR3mo_PX[[#This Row],[Column296]]</f>
        <v>96.105000000000004</v>
      </c>
      <c r="KK15">
        <f>SOFR3mo_PX[[#This Row],[Column297]]</f>
        <v>96.094999999999999</v>
      </c>
      <c r="KL15">
        <f>SOFR3mo_PX[[#This Row],[Column298]]</f>
        <v>95.995000000000005</v>
      </c>
      <c r="KM15">
        <f>SOFR3mo_PX[[#This Row],[Column299]]</f>
        <v>95.965000000000003</v>
      </c>
      <c r="KN15">
        <f>SOFR3mo_PX[[#This Row],[Column300]]</f>
        <v>95.855000000000004</v>
      </c>
      <c r="KO15">
        <f>SOFR3mo_PX[[#This Row],[Column301]]</f>
        <v>95.935000000000002</v>
      </c>
      <c r="KP15">
        <f>SOFR3mo_PX[[#This Row],[Column302]]</f>
        <v>95.87</v>
      </c>
      <c r="KQ15">
        <f>SOFR3mo_PX[[#This Row],[Column303]]</f>
        <v>95.83</v>
      </c>
      <c r="KR15">
        <f>SOFR3mo_PX[[#This Row],[Column304]]</f>
        <v>95.894999999999996</v>
      </c>
      <c r="KS15">
        <f>SOFR3mo_PX[[#This Row],[Column305]]</f>
        <v>95.95</v>
      </c>
      <c r="KT15">
        <f>SOFR3mo_PX[[#This Row],[Column306]]</f>
        <v>95.92</v>
      </c>
      <c r="KU15">
        <f>SOFR3mo_PX[[#This Row],[Column307]]</f>
        <v>95.924999999999997</v>
      </c>
      <c r="KV15">
        <f>SOFR3mo_PX[[#This Row],[Column308]]</f>
        <v>95.894999999999996</v>
      </c>
      <c r="KW15">
        <f>SOFR3mo_PX[[#This Row],[Column309]]</f>
        <v>95.974999999999994</v>
      </c>
      <c r="KX15">
        <f>SOFR3mo_PX[[#This Row],[Column310]]</f>
        <v>95.894999999999996</v>
      </c>
      <c r="KY15">
        <f>SOFR3mo_PX[[#This Row],[Column311]]</f>
        <v>95.935000000000002</v>
      </c>
      <c r="KZ15">
        <f>SOFR3mo_PX[[#This Row],[Column312]]</f>
        <v>96.07</v>
      </c>
      <c r="LA15">
        <f>SOFR3mo_PX[[#This Row],[Column313]]</f>
        <v>95.974999999999994</v>
      </c>
      <c r="LB15">
        <f>SOFR3mo_PX[[#This Row],[Column314]]</f>
        <v>95.984999999999999</v>
      </c>
      <c r="LC15">
        <f>SOFR3mo_PX[[#This Row],[Column315]]</f>
        <v>96.22</v>
      </c>
      <c r="LD15">
        <f>SOFR3mo_PX[[#This Row],[Column316]]</f>
        <v>96.165000000000006</v>
      </c>
      <c r="LE15">
        <f>SOFR3mo_PX[[#This Row],[Column317]]</f>
        <v>96.24</v>
      </c>
      <c r="LF15">
        <f>SOFR3mo_PX[[#This Row],[Column318]]</f>
        <v>96.31</v>
      </c>
      <c r="LG15">
        <f>SOFR3mo_PX[[#This Row],[Column319]]</f>
        <v>96.27</v>
      </c>
      <c r="LH15">
        <f>SOFR3mo_PX[[#This Row],[Column320]]</f>
        <v>96.25</v>
      </c>
      <c r="LI15">
        <f>SOFR3mo_PX[[#This Row],[Column321]]</f>
        <v>96.275000000000006</v>
      </c>
      <c r="LJ15">
        <f>SOFR3mo_PX[[#This Row],[Column322]]</f>
        <v>96.43</v>
      </c>
      <c r="LK15">
        <f>SOFR3mo_PX[[#This Row],[Column323]]</f>
        <v>96.43</v>
      </c>
      <c r="LL15">
        <f>SOFR3mo_PX[[#This Row],[Column324]]</f>
        <v>96.424999999999997</v>
      </c>
      <c r="LM15">
        <f>SOFR3mo_PX[[#This Row],[Column325]]</f>
        <v>96.38</v>
      </c>
      <c r="LN15">
        <f>SOFR3mo_PX[[#This Row],[Column326]]</f>
        <v>96.355000000000004</v>
      </c>
      <c r="LO15">
        <f>SOFR3mo_PX[[#This Row],[Column327]]</f>
        <v>96.39</v>
      </c>
      <c r="LP15">
        <f>SOFR3mo_PX[[#This Row],[Column328]]</f>
        <v>96.334999999999994</v>
      </c>
      <c r="LQ15">
        <f>SOFR3mo_PX[[#This Row],[Column329]]</f>
        <v>96.34</v>
      </c>
      <c r="LR15">
        <f>SOFR3mo_PX[[#This Row],[Column330]]</f>
        <v>96.295000000000002</v>
      </c>
      <c r="LS15">
        <f>SOFR3mo_PX[[#This Row],[Column331]]</f>
        <v>96.24</v>
      </c>
      <c r="LT15">
        <f>SOFR3mo_PX[[#This Row],[Column332]]</f>
        <v>96.275000000000006</v>
      </c>
      <c r="LU15">
        <f>SOFR3mo_PX[[#This Row],[Column333]]</f>
        <v>96.31</v>
      </c>
      <c r="LV15">
        <f>SOFR3mo_PX[[#This Row],[Column334]]</f>
        <v>96.454999999999998</v>
      </c>
      <c r="LW15">
        <f>SOFR3mo_PX[[#This Row],[Column335]]</f>
        <v>96.48</v>
      </c>
      <c r="LX15">
        <f>SOFR3mo_PX[[#This Row],[Column336]]</f>
        <v>96.545000000000002</v>
      </c>
      <c r="LY15">
        <f>SOFR3mo_PX[[#This Row],[Column337]]</f>
        <v>96.564999999999998</v>
      </c>
      <c r="LZ15">
        <f>SOFR3mo_PX[[#This Row],[Column338]]</f>
        <v>96.55</v>
      </c>
      <c r="MA15">
        <f>SOFR3mo_PX[[#This Row],[Column339]]</f>
        <v>96.52</v>
      </c>
      <c r="MB15">
        <f>SOFR3mo_PX[[#This Row],[Column340]]</f>
        <v>96.495000000000005</v>
      </c>
      <c r="MC15">
        <f>SOFR3mo_PX[[#This Row],[Column341]]</f>
        <v>96.41</v>
      </c>
      <c r="MD15">
        <f>SOFR3mo_PX[[#This Row],[Column342]]</f>
        <v>96.444999999999993</v>
      </c>
      <c r="ME15">
        <f>SOFR3mo_PX[[#This Row],[Column343]]</f>
        <v>96.35</v>
      </c>
      <c r="MF15">
        <f>SOFR3mo_PX[[#This Row],[Column344]]</f>
        <v>96.344999999999999</v>
      </c>
      <c r="MG15">
        <f>SOFR3mo_PX[[#This Row],[Column345]]</f>
        <v>96.31</v>
      </c>
      <c r="MH15">
        <f>SOFR3mo_PX[[#This Row],[Column346]]</f>
        <v>96.31</v>
      </c>
      <c r="MI15">
        <f>SOFR3mo_PX[[#This Row],[Column347]]</f>
        <v>96.334999999999994</v>
      </c>
      <c r="MJ15">
        <f>SOFR3mo_PX[[#This Row],[Column348]]</f>
        <v>96.27</v>
      </c>
      <c r="MK15">
        <f>SOFR3mo_PX[[#This Row],[Column349]]</f>
        <v>96.284999999999997</v>
      </c>
      <c r="ML15">
        <f>SOFR3mo_PX[[#This Row],[Column350]]</f>
        <v>96.334999999999994</v>
      </c>
      <c r="MM15">
        <f>SOFR3mo_PX[[#This Row],[Column351]]</f>
        <v>96.295000000000002</v>
      </c>
      <c r="MN15">
        <f>SOFR3mo_PX[[#This Row],[Column352]]</f>
        <v>96.295000000000002</v>
      </c>
      <c r="MO15">
        <f>SOFR3mo_PX[[#This Row],[Column353]]</f>
        <v>96.36</v>
      </c>
      <c r="MP15">
        <f>SOFR3mo_PX[[#This Row],[Column354]]</f>
        <v>96.325000000000003</v>
      </c>
      <c r="MQ15">
        <f>SOFR3mo_PX[[#This Row],[Column355]]</f>
        <v>96.26</v>
      </c>
      <c r="MR15">
        <f>SOFR3mo_PX[[#This Row],[Column356]]</f>
        <v>96.465000000000003</v>
      </c>
      <c r="MS15">
        <f>SOFR3mo_PX[[#This Row],[Column357]]</f>
        <v>96.424999999999997</v>
      </c>
      <c r="MT15">
        <f>SOFR3mo_PX[[#This Row],[Column358]]</f>
        <v>96.46</v>
      </c>
      <c r="MU15">
        <f>SOFR3mo_PX[[#This Row],[Column359]]</f>
        <v>96.54</v>
      </c>
      <c r="MV15">
        <f>SOFR3mo_PX[[#This Row],[Column360]]</f>
        <v>96.564999999999998</v>
      </c>
      <c r="MW15">
        <f>SOFR3mo_PX[[#This Row],[Column361]]</f>
        <v>96.47</v>
      </c>
      <c r="MX15">
        <f>SOFR3mo_PX[[#This Row],[Column362]]</f>
        <v>96.61</v>
      </c>
      <c r="MY15">
        <f>SOFR3mo_PX[[#This Row],[Column363]]</f>
        <v>96.8</v>
      </c>
      <c r="MZ15">
        <f>SOFR3mo_PX[[#This Row],[Column364]]</f>
        <v>96.71</v>
      </c>
      <c r="NA15">
        <f>SOFR3mo_PX[[#This Row],[Column365]]</f>
        <v>96.605000000000004</v>
      </c>
      <c r="NB15">
        <f>SOFR3mo_PX[[#This Row],[Column366]]</f>
        <v>96.594999999999999</v>
      </c>
      <c r="NC15">
        <f>SOFR3mo_PX[[#This Row],[Column367]]</f>
        <v>96.515000000000001</v>
      </c>
      <c r="ND15">
        <f>SOFR3mo_PX[[#This Row],[Column368]]</f>
        <v>96.55</v>
      </c>
      <c r="NE15">
        <f>SOFR3mo_PX[[#This Row],[Column369]]</f>
        <v>96.495000000000005</v>
      </c>
      <c r="NF15">
        <f>SOFR3mo_PX[[#This Row],[Column370]]</f>
        <v>96.54</v>
      </c>
      <c r="NG15">
        <f>SOFR3mo_PX[[#This Row],[Column371]]</f>
        <v>96.58</v>
      </c>
      <c r="NH15">
        <f>SOFR3mo_PX[[#This Row],[Column372]]</f>
        <v>96.51</v>
      </c>
      <c r="NI15">
        <f>SOFR3mo_PX[[#This Row],[Column373]]</f>
        <v>96.525000000000006</v>
      </c>
      <c r="NJ15">
        <f>SOFR3mo_PX[[#This Row],[Column374]]</f>
        <v>96.57</v>
      </c>
      <c r="NK15">
        <f>SOFR3mo_PX[[#This Row],[Column375]]</f>
        <v>96.644999999999996</v>
      </c>
      <c r="NL15">
        <f>SOFR3mo_PX[[#This Row],[Column376]]</f>
        <v>96.754999999999995</v>
      </c>
      <c r="NM15">
        <f>SOFR3mo_PX[[#This Row],[Column377]]</f>
        <v>96.754999999999995</v>
      </c>
      <c r="NN15">
        <f>SOFR3mo_PX[[#This Row],[Column378]]</f>
        <v>96.734999999999999</v>
      </c>
      <c r="NO15">
        <f>SOFR3mo_PX[[#This Row],[Column379]]</f>
        <v>96.644999999999996</v>
      </c>
      <c r="NP15">
        <f>SOFR3mo_PX[[#This Row],[Column380]]</f>
        <v>96.655000000000001</v>
      </c>
      <c r="NQ15">
        <f>SOFR3mo_PX[[#This Row],[Column381]]</f>
        <v>96.67</v>
      </c>
      <c r="NR15">
        <f>SOFR3mo_PX[[#This Row],[Column382]]</f>
        <v>96.65</v>
      </c>
      <c r="NS15">
        <f>SOFR3mo_PX[[#This Row],[Column383]]</f>
        <v>96.694999999999993</v>
      </c>
      <c r="NT15">
        <f>SOFR3mo_PX[[#This Row],[Column384]]</f>
        <v>96.805000000000007</v>
      </c>
      <c r="NU15">
        <f>SOFR3mo_PX[[#This Row],[Column385]]</f>
        <v>96.765000000000001</v>
      </c>
      <c r="NV15">
        <f>SOFR3mo_PX[[#This Row],[Column386]]</f>
        <v>96.87</v>
      </c>
      <c r="NW15">
        <f>SOFR3mo_PX[[#This Row],[Column387]]</f>
        <v>96.87</v>
      </c>
      <c r="NX15">
        <f>SOFR3mo_PX[[#This Row],[Column388]]</f>
        <v>96.855000000000004</v>
      </c>
      <c r="NY15">
        <f>SOFR3mo_PX[[#This Row],[Column389]]</f>
        <v>96.905000000000001</v>
      </c>
      <c r="NZ15">
        <f>SOFR3mo_PX[[#This Row],[Column390]]</f>
        <v>96.81</v>
      </c>
      <c r="OA15">
        <f>SOFR3mo_PX[[#This Row],[Column391]]</f>
        <v>96.78</v>
      </c>
      <c r="OB15">
        <f>SOFR3mo_PX[[#This Row],[Column392]]</f>
        <v>96.78</v>
      </c>
      <c r="OC15">
        <f>SOFR3mo_PX[[#This Row],[Column393]]</f>
        <v>96.795000000000002</v>
      </c>
      <c r="OD15">
        <f>SOFR3mo_PX[[#This Row],[Column394]]</f>
        <v>96.8</v>
      </c>
      <c r="OE15">
        <f>SOFR3mo_PX[[#This Row],[Column395]]</f>
        <v>96.74</v>
      </c>
      <c r="OF15">
        <f>SOFR3mo_PX[[#This Row],[Column396]]</f>
        <v>96.72</v>
      </c>
      <c r="OG15">
        <f>SOFR3mo_PX[[#This Row],[Column397]]</f>
        <v>96.75</v>
      </c>
      <c r="OH15">
        <f>SOFR3mo_PX[[#This Row],[Column398]]</f>
        <v>96.75</v>
      </c>
      <c r="OI15">
        <f>SOFR3mo_PX[[#This Row],[Column399]]</f>
        <v>96.65</v>
      </c>
      <c r="OJ15">
        <f>SOFR3mo_PX[[#This Row],[Column400]]</f>
        <v>96.48</v>
      </c>
      <c r="OK15">
        <f>SOFR3mo_PX[[#This Row],[Column401]]</f>
        <v>96.424999999999997</v>
      </c>
      <c r="OL15">
        <f>SOFR3mo_PX[[#This Row],[Column402]]</f>
        <v>96.444999999999993</v>
      </c>
      <c r="OM15">
        <f>SOFR3mo_PX[[#This Row],[Column403]]</f>
        <v>96.594999999999999</v>
      </c>
      <c r="ON15">
        <f>SOFR3mo_PX[[#This Row],[Column404]]</f>
        <v>96.59</v>
      </c>
      <c r="OO15">
        <f>SOFR3mo_PX[[#This Row],[Column405]]</f>
        <v>96.555000000000007</v>
      </c>
      <c r="OP15">
        <f>SOFR3mo_PX[[#This Row],[Column406]]</f>
        <v>96.444999999999993</v>
      </c>
      <c r="OQ15">
        <f>SOFR3mo_PX[[#This Row],[Column407]]</f>
        <v>96.5</v>
      </c>
      <c r="OR15">
        <f>SOFR3mo_PX[[#This Row],[Column408]]</f>
        <v>96.375</v>
      </c>
      <c r="OS15">
        <f>SOFR3mo_PX[[#This Row],[Column409]]</f>
        <v>96.46</v>
      </c>
      <c r="OT15">
        <f>SOFR3mo_PX[[#This Row],[Column410]]</f>
        <v>96.42</v>
      </c>
      <c r="OU15">
        <f>SOFR3mo_PX[[#This Row],[Column411]]</f>
        <v>96.295000000000002</v>
      </c>
      <c r="OV15">
        <f>SOFR3mo_PX[[#This Row],[Column412]]</f>
        <v>96.19</v>
      </c>
      <c r="OW15">
        <f>SOFR3mo_PX[[#This Row],[Column413]]</f>
        <v>96.25</v>
      </c>
      <c r="OX15">
        <f>SOFR3mo_PX[[#This Row],[Column414]]</f>
        <v>96.25</v>
      </c>
      <c r="OY15">
        <f>SOFR3mo_PX[[#This Row],[Column415]]</f>
        <v>96.275000000000006</v>
      </c>
      <c r="OZ15">
        <f>SOFR3mo_PX[[#This Row],[Column416]]</f>
        <v>96.254999999999995</v>
      </c>
      <c r="PA15">
        <f>SOFR3mo_PX[[#This Row],[Column417]]</f>
        <v>96.22</v>
      </c>
      <c r="PB15">
        <f>SOFR3mo_PX[[#This Row],[Column418]]</f>
        <v>96.24</v>
      </c>
      <c r="PC15">
        <f>SOFR3mo_PX[[#This Row],[Column419]]</f>
        <v>96.125</v>
      </c>
      <c r="PD15">
        <f>SOFR3mo_PX[[#This Row],[Column420]]</f>
        <v>96.234999999999999</v>
      </c>
      <c r="PE15">
        <f>SOFR3mo_PX[[#This Row],[Column421]]</f>
        <v>95.984999999999999</v>
      </c>
      <c r="PF15">
        <f>SOFR3mo_PX[[#This Row],[Column422]]</f>
        <v>95.995000000000005</v>
      </c>
      <c r="PG15">
        <f>SOFR3mo_PX[[#This Row],[Column423]]</f>
        <v>96.03</v>
      </c>
      <c r="PH15">
        <f>SOFR3mo_PX[[#This Row],[Column424]]</f>
        <v>96.144999999999996</v>
      </c>
      <c r="PI15">
        <f>SOFR3mo_PX[[#This Row],[Column425]]</f>
        <v>96.125</v>
      </c>
      <c r="PJ15">
        <f>SOFR3mo_PX[[#This Row],[Column426]]</f>
        <v>96.04</v>
      </c>
      <c r="PK15">
        <f>SOFR3mo_PX[[#This Row],[Column427]]</f>
        <v>96.16</v>
      </c>
      <c r="PL15">
        <f>SOFR3mo_PX[[#This Row],[Column428]]</f>
        <v>96</v>
      </c>
      <c r="PM15">
        <f>SOFR3mo_PX[[#This Row],[Column429]]</f>
        <v>95.92</v>
      </c>
      <c r="PN15">
        <f>SOFR3mo_PX[[#This Row],[Column430]]</f>
        <v>95.81</v>
      </c>
      <c r="PO15">
        <f>SOFR3mo_PX[[#This Row],[Column431]]</f>
        <v>95.82</v>
      </c>
      <c r="PP15">
        <f>SOFR3mo_PX[[#This Row],[Column432]]</f>
        <v>95.83</v>
      </c>
      <c r="PQ15">
        <f>SOFR3mo_PX[[#This Row],[Column433]]</f>
        <v>95.79</v>
      </c>
      <c r="PR15">
        <f>SOFR3mo_PX[[#This Row],[Column434]]</f>
        <v>95.65</v>
      </c>
      <c r="PS15">
        <f>SOFR3mo_PX[[#This Row],[Column435]]</f>
        <v>95.765000000000001</v>
      </c>
      <c r="PT15">
        <f>SOFR3mo_PX[[#This Row],[Column436]]</f>
        <v>95.795000000000002</v>
      </c>
      <c r="PU15">
        <f>SOFR3mo_PX[[#This Row],[Column437]]</f>
        <v>95.685000000000002</v>
      </c>
      <c r="PV15">
        <f>SOFR3mo_PX[[#This Row],[Column438]]</f>
        <v>95.564999999999998</v>
      </c>
      <c r="PW15">
        <f>SOFR3mo_PX[[#This Row],[Column439]]</f>
        <v>95.65</v>
      </c>
      <c r="PX15">
        <f>SOFR3mo_PX[[#This Row],[Column440]]</f>
        <v>95.73</v>
      </c>
      <c r="PY15">
        <f>SOFR3mo_PX[[#This Row],[Column441]]</f>
        <v>95.91</v>
      </c>
      <c r="PZ15">
        <f>SOFR3mo_PX[[#This Row],[Column442]]</f>
        <v>96</v>
      </c>
      <c r="QA15">
        <f>SOFR3mo_PX[[#This Row],[Column443]]</f>
        <v>95.92</v>
      </c>
      <c r="QB15">
        <f>SOFR3mo_PX[[#This Row],[Column444]]</f>
        <v>96.025000000000006</v>
      </c>
      <c r="QC15">
        <f>SOFR3mo_PX[[#This Row],[Column445]]</f>
        <v>95.995000000000005</v>
      </c>
      <c r="QD15">
        <f>SOFR3mo_PX[[#This Row],[Column446]]</f>
        <v>96.034999999999997</v>
      </c>
      <c r="QE15">
        <f>SOFR3mo_PX[[#This Row],[Column447]]</f>
        <v>95.86</v>
      </c>
      <c r="QF15">
        <f>SOFR3mo_PX[[#This Row],[Column448]]</f>
        <v>95.93</v>
      </c>
      <c r="QG15">
        <f>SOFR3mo_PX[[#This Row],[Column449]]</f>
        <v>95.885000000000005</v>
      </c>
      <c r="QH15">
        <f>SOFR3mo_PX[[#This Row],[Column450]]</f>
        <v>95.82</v>
      </c>
      <c r="QI15">
        <f>SOFR3mo_PX[[#This Row],[Column451]]</f>
        <v>95.94</v>
      </c>
      <c r="QJ15">
        <f>SOFR3mo_PX[[#This Row],[Column452]]</f>
        <v>96.064999999999998</v>
      </c>
      <c r="QK15">
        <f>SOFR3mo_PX[[#This Row],[Column453]]</f>
        <v>96.004999999999995</v>
      </c>
      <c r="QL15">
        <f>SOFR3mo_PX[[#This Row],[Column454]]</f>
        <v>95.965000000000003</v>
      </c>
      <c r="QM15">
        <f>SOFR3mo_PX[[#This Row],[Column455]]</f>
        <v>96.045000000000002</v>
      </c>
      <c r="QN15">
        <f>SOFR3mo_PX[[#This Row],[Column456]]</f>
        <v>96.05</v>
      </c>
      <c r="QO15">
        <f>SOFR3mo_PX[[#This Row],[Column457]]</f>
        <v>96.11</v>
      </c>
      <c r="QP15">
        <f>SOFR3mo_PX[[#This Row],[Column458]]</f>
        <v>96.055000000000007</v>
      </c>
      <c r="QQ15">
        <f>SOFR3mo_PX[[#This Row],[Column459]]</f>
        <v>96.185000000000002</v>
      </c>
      <c r="QR15">
        <f>SOFR3mo_PX[[#This Row],[Column460]]</f>
        <v>96.135000000000005</v>
      </c>
      <c r="QS15">
        <f>SOFR3mo_PX[[#This Row],[Column461]]</f>
        <v>96.21</v>
      </c>
      <c r="QT15">
        <f>SOFR3mo_PX[[#This Row],[Column462]]</f>
        <v>96.215000000000003</v>
      </c>
      <c r="QU15">
        <f>SOFR3mo_PX[[#This Row],[Column463]]</f>
        <v>96.25</v>
      </c>
      <c r="QV15">
        <f>SOFR3mo_PX[[#This Row],[Column464]]</f>
        <v>96.275000000000006</v>
      </c>
      <c r="QW15">
        <f>SOFR3mo_PX[[#This Row],[Column465]]</f>
        <v>96.245000000000005</v>
      </c>
      <c r="QX15">
        <f>SOFR3mo_PX[[#This Row],[Column466]]</f>
        <v>96.25</v>
      </c>
      <c r="QY15">
        <f>SOFR3mo_PX[[#This Row],[Column467]]</f>
        <v>96.265000000000001</v>
      </c>
      <c r="QZ15">
        <f>SOFR3mo_PX[[#This Row],[Column468]]</f>
        <v>96.28</v>
      </c>
      <c r="RA15">
        <f>SOFR3mo_PX[[#This Row],[Column469]]</f>
        <v>96.234999999999999</v>
      </c>
      <c r="RB15">
        <f>SOFR3mo_PX[[#This Row],[Column470]]</f>
        <v>96.32</v>
      </c>
      <c r="RC15">
        <f>SOFR3mo_PX[[#This Row],[Column471]]</f>
        <v>96.39</v>
      </c>
      <c r="RD15">
        <f>SOFR3mo_PX[[#This Row],[Column472]]</f>
        <v>96.39</v>
      </c>
      <c r="RE15">
        <f>SOFR3mo_PX[[#This Row],[Column473]]</f>
        <v>96.45</v>
      </c>
      <c r="RF15">
        <f>SOFR3mo_PX[[#This Row],[Column474]]</f>
        <v>96.42</v>
      </c>
      <c r="RG15">
        <f>SOFR3mo_PX[[#This Row],[Column475]]</f>
        <v>96.4</v>
      </c>
      <c r="RH15">
        <f>SOFR3mo_PX[[#This Row],[Column476]]</f>
        <v>96.28</v>
      </c>
      <c r="RI15">
        <f>SOFR3mo_PX[[#This Row],[Column477]]</f>
        <v>96.234999999999999</v>
      </c>
      <c r="RJ15">
        <f>SOFR3mo_PX[[#This Row],[Column478]]</f>
        <v>96.24</v>
      </c>
      <c r="RK15">
        <f>SOFR3mo_PX[[#This Row],[Column479]]</f>
        <v>96.265000000000001</v>
      </c>
      <c r="RL15">
        <f>SOFR3mo_PX[[#This Row],[Column480]]</f>
        <v>96.13</v>
      </c>
      <c r="RM15">
        <f>SOFR3mo_PX[[#This Row],[Column481]]</f>
        <v>96.144999999999996</v>
      </c>
      <c r="RN15">
        <f>SOFR3mo_PX[[#This Row],[Column482]]</f>
        <v>96.234999999999999</v>
      </c>
      <c r="RO15">
        <f>SOFR3mo_PX[[#This Row],[Column483]]</f>
        <v>96.16</v>
      </c>
      <c r="RP15">
        <f>SOFR3mo_PX[[#This Row],[Column484]]</f>
        <v>96.234999999999999</v>
      </c>
      <c r="RQ15">
        <f>SOFR3mo_PX[[#This Row],[Column485]]</f>
        <v>96.27</v>
      </c>
      <c r="RR15">
        <f>SOFR3mo_PX[[#This Row],[Column486]]</f>
        <v>96.32</v>
      </c>
      <c r="RS15">
        <f>SOFR3mo_PX[[#This Row],[Column487]]</f>
        <v>96.36</v>
      </c>
      <c r="RT15">
        <f>SOFR3mo_PX[[#This Row],[Column488]]</f>
        <v>96.495000000000005</v>
      </c>
      <c r="RU15">
        <f>SOFR3mo_PX[[#This Row],[Column489]]</f>
        <v>96.59</v>
      </c>
      <c r="RV15">
        <f>SOFR3mo_PX[[#This Row],[Column490]]</f>
        <v>96.61</v>
      </c>
      <c r="RW15">
        <f>SOFR3mo_PX[[#This Row],[Column491]]</f>
        <v>96.56</v>
      </c>
      <c r="RX15">
        <f>SOFR3mo_PX[[#This Row],[Column492]]</f>
        <v>96.534999999999997</v>
      </c>
      <c r="RY15">
        <f>SOFR3mo_PX[[#This Row],[Column493]]</f>
        <v>96.38</v>
      </c>
      <c r="RZ15">
        <f>SOFR3mo_PX[[#This Row],[Column494]]</f>
        <v>96.474999999999994</v>
      </c>
      <c r="SA15">
        <f>SOFR3mo_PX[[#This Row],[Column495]]</f>
        <v>96.47</v>
      </c>
      <c r="SB15">
        <f>SOFR3mo_PX[[#This Row],[Column496]]</f>
        <v>96.555000000000007</v>
      </c>
      <c r="SC15">
        <f>SOFR3mo_PX[[#This Row],[Column497]]</f>
        <v>96.534999999999997</v>
      </c>
      <c r="SD15">
        <f>SOFR3mo_PX[[#This Row],[Column498]]</f>
        <v>96.474999999999994</v>
      </c>
      <c r="SE15">
        <f>SOFR3mo_PX[[#This Row],[Column499]]</f>
        <v>96.66</v>
      </c>
      <c r="SF15">
        <f>SOFR3mo_PX[[#This Row],[Column500]]</f>
        <v>96.534999999999997</v>
      </c>
      <c r="SG15">
        <f>SOFR3mo_PX[[#This Row],[Column501]]</f>
        <v>96.62</v>
      </c>
      <c r="SH15">
        <f>SOFR3mo_PX[[#This Row],[Column502]]</f>
        <v>96.655000000000001</v>
      </c>
      <c r="SI15">
        <f>SOFR3mo_PX[[#This Row],[Column503]]</f>
        <v>96.665000000000006</v>
      </c>
      <c r="SJ15">
        <f>SOFR3mo_PX[[#This Row],[Column504]]</f>
        <v>96.83</v>
      </c>
      <c r="SK15">
        <f>SOFR3mo_PX[[#This Row],[Column505]]</f>
        <v>96.784999999999997</v>
      </c>
      <c r="SL15">
        <f>SOFR3mo_PX[[#This Row],[Column506]]</f>
        <v>96.76</v>
      </c>
      <c r="SM15">
        <f>SOFR3mo_PX[[#This Row],[Column507]]</f>
        <v>96.715000000000003</v>
      </c>
      <c r="SN15">
        <f>SOFR3mo_PX[[#This Row],[Column508]]</f>
        <v>96.81</v>
      </c>
      <c r="SO15">
        <f>SOFR3mo_PX[[#This Row],[Column509]]</f>
        <v>96.674999999999997</v>
      </c>
      <c r="SP15">
        <f>SOFR3mo_PX[[#This Row],[Column510]]</f>
        <v>96.48</v>
      </c>
      <c r="SQ15">
        <f>SOFR3mo_PX[[#This Row],[Column511]]</f>
        <v>96.44</v>
      </c>
      <c r="SR15">
        <f>SOFR3mo_PX[[#This Row],[Column512]]</f>
        <v>96.32</v>
      </c>
      <c r="SS15">
        <f>SOFR3mo_PX[[#This Row],[Column513]]</f>
        <v>96.31</v>
      </c>
      <c r="ST15">
        <f>SOFR3mo_PX[[#This Row],[Column514]]</f>
        <v>96.47</v>
      </c>
      <c r="SU15">
        <f>SOFR3mo_PX[[#This Row],[Column515]]</f>
        <v>96.56</v>
      </c>
      <c r="SV15">
        <f>SOFR3mo_PX[[#This Row],[Column516]]</f>
        <v>96.56</v>
      </c>
      <c r="SW15">
        <f>SOFR3mo_PX[[#This Row],[Column517]]</f>
        <v>96.63</v>
      </c>
      <c r="SX15">
        <f>SOFR3mo_PX[[#This Row],[Column518]]</f>
        <v>96.635000000000005</v>
      </c>
      <c r="SY15">
        <f>SOFR3mo_PX[[#This Row],[Column519]]</f>
        <v>96.805000000000007</v>
      </c>
      <c r="SZ15">
        <f>SOFR3mo_PX[[#This Row],[Column520]]</f>
        <v>96.74</v>
      </c>
      <c r="TA15">
        <f>SOFR3mo_PX[[#This Row],[Column521]]</f>
        <v>96.805000000000007</v>
      </c>
      <c r="TB15">
        <f>SOFR3mo_PX[[#This Row],[Column522]]</f>
        <v>96.765000000000001</v>
      </c>
      <c r="TC15">
        <f>SOFR3mo_PX[[#This Row],[Column523]]</f>
        <v>96.724999999999994</v>
      </c>
      <c r="TD15">
        <f>SOFR3mo_PX[[#This Row],[Column524]]</f>
        <v>96.81</v>
      </c>
      <c r="TE15">
        <f>SOFR3mo_PX[[#This Row],[Column525]]</f>
        <v>96.784999999999997</v>
      </c>
      <c r="TF15">
        <f>SOFR3mo_PX[[#This Row],[Column526]]</f>
        <v>96.745000000000005</v>
      </c>
      <c r="TG15">
        <f>SOFR3mo_PX[[#This Row],[Column527]]</f>
        <v>96.745000000000005</v>
      </c>
      <c r="TH15">
        <f>SOFR3mo_PX[[#This Row],[Column528]]</f>
        <v>96.83</v>
      </c>
      <c r="TI15">
        <f>SOFR3mo_PX[[#This Row],[Column529]]</f>
        <v>96.734999999999999</v>
      </c>
      <c r="TJ15">
        <f>SOFR3mo_PX[[#This Row],[Column530]]</f>
        <v>96.71</v>
      </c>
      <c r="TK15">
        <f>SOFR3mo_PX[[#This Row],[Column531]]</f>
        <v>96.834999999999994</v>
      </c>
      <c r="TL15">
        <f>SOFR3mo_PX[[#This Row],[Column532]]</f>
        <v>96.825000000000003</v>
      </c>
      <c r="TM15">
        <f>SOFR3mo_PX[[#This Row],[Column533]]</f>
        <v>96.885000000000005</v>
      </c>
      <c r="TN15">
        <f>SOFR3mo_PX[[#This Row],[Column534]]</f>
        <v>96.81</v>
      </c>
      <c r="TO15">
        <f>SOFR3mo_PX[[#This Row],[Column535]]</f>
        <v>96.885000000000005</v>
      </c>
      <c r="TP15">
        <f>SOFR3mo_PX[[#This Row],[Column536]]</f>
        <v>96.89</v>
      </c>
      <c r="TQ15">
        <f>SOFR3mo_PX[[#This Row],[Column537]]</f>
        <v>96.864999999999995</v>
      </c>
      <c r="TR15">
        <f>SOFR3mo_PX[[#This Row],[Column538]]</f>
        <v>97.015000000000001</v>
      </c>
      <c r="TS15">
        <f>SOFR3mo_PX[[#This Row],[Column539]]</f>
        <v>96.974999999999994</v>
      </c>
      <c r="TT15">
        <f>SOFR3mo_PX[[#This Row],[Column540]]</f>
        <v>96.885000000000005</v>
      </c>
      <c r="TU15">
        <f>SOFR3mo_PX[[#This Row],[Column541]]</f>
        <v>96.71</v>
      </c>
      <c r="TV15">
        <f>SOFR3mo_PX[[#This Row],[Column542]]</f>
        <v>96.71</v>
      </c>
      <c r="TW15">
        <f>SOFR3mo_PX[[#This Row],[Column543]]</f>
        <v>96.77</v>
      </c>
      <c r="TX15">
        <f>SOFR3mo_PX[[#This Row],[Column544]]</f>
        <v>96.894999999999996</v>
      </c>
      <c r="TY15">
        <f>SOFR3mo_PX[[#This Row],[Column545]]</f>
        <v>96.91</v>
      </c>
      <c r="TZ15">
        <f>SOFR3mo_PX[[#This Row],[Column546]]</f>
        <v>96.89</v>
      </c>
      <c r="UA15">
        <f>SOFR3mo_PX[[#This Row],[Column547]]</f>
        <v>96.92</v>
      </c>
      <c r="UB15">
        <f>SOFR3mo_PX[[#This Row],[Column548]]</f>
        <v>97</v>
      </c>
      <c r="UC15">
        <f>SOFR3mo_PX[[#This Row],[Column549]]</f>
        <v>97.105000000000004</v>
      </c>
      <c r="UD15">
        <f>SOFR3mo_PX[[#This Row],[Column550]]</f>
        <v>97.16</v>
      </c>
      <c r="UE15">
        <f>SOFR3mo_PX[[#This Row],[Column551]]</f>
        <v>97.204999999999998</v>
      </c>
      <c r="UF15">
        <f>SOFR3mo_PX[[#This Row],[Column552]]</f>
        <v>97.204999999999998</v>
      </c>
      <c r="UG15">
        <f>SOFR3mo_PX[[#This Row],[Column553]]</f>
        <v>97.295000000000002</v>
      </c>
      <c r="UH15">
        <f>SOFR3mo_PX[[#This Row],[Column554]]</f>
        <v>97.26</v>
      </c>
      <c r="UI15">
        <f>SOFR3mo_PX[[#This Row],[Column555]]</f>
        <v>97.155000000000001</v>
      </c>
      <c r="UJ15">
        <f>SOFR3mo_PX[[#This Row],[Column556]]</f>
        <v>97.144999999999996</v>
      </c>
      <c r="UK15">
        <f>SOFR3mo_PX[[#This Row],[Column557]]</f>
        <v>97.2</v>
      </c>
      <c r="UL15">
        <f>SOFR3mo_PX[[#This Row],[Column558]]</f>
        <v>97.33</v>
      </c>
      <c r="UM15">
        <f>SOFR3mo_PX[[#This Row],[Column559]]</f>
        <v>97.24</v>
      </c>
      <c r="UN15">
        <f>SOFR3mo_PX[[#This Row],[Column560]]</f>
        <v>97.2</v>
      </c>
      <c r="UO15">
        <f>SOFR3mo_PX[[#This Row],[Column561]]</f>
        <v>97.034999999999997</v>
      </c>
      <c r="UP15">
        <f>SOFR3mo_PX[[#This Row],[Column562]]</f>
        <v>97.135000000000005</v>
      </c>
      <c r="UQ15">
        <f>SOFR3mo_PX[[#This Row],[Column563]]</f>
        <v>97.07</v>
      </c>
      <c r="UR15">
        <f>SOFR3mo_PX[[#This Row],[Column564]]</f>
        <v>97.19</v>
      </c>
      <c r="US15">
        <f>SOFR3mo_PX[[#This Row],[Column565]]</f>
        <v>97.23</v>
      </c>
      <c r="UT15">
        <f>SOFR3mo_PX[[#This Row],[Column566]]</f>
        <v>97.075000000000003</v>
      </c>
      <c r="UU15">
        <f>SOFR3mo_PX[[#This Row],[Column567]]</f>
        <v>97.01</v>
      </c>
      <c r="UV15">
        <f>SOFR3mo_PX[[#This Row],[Column568]]</f>
        <v>97.04</v>
      </c>
      <c r="UW15">
        <f>SOFR3mo_PX[[#This Row],[Column569]]</f>
        <v>96.965000000000003</v>
      </c>
      <c r="UX15">
        <f>SOFR3mo_PX[[#This Row],[Column570]]</f>
        <v>96.984999999999999</v>
      </c>
      <c r="UY15">
        <f>SOFR3mo_PX[[#This Row],[Column571]]</f>
        <v>96.96</v>
      </c>
      <c r="UZ15">
        <f>SOFR3mo_PX[[#This Row],[Column572]]</f>
        <v>97.04</v>
      </c>
      <c r="VA15">
        <f>SOFR3mo_PX[[#This Row],[Column573]]</f>
        <v>97.14</v>
      </c>
      <c r="VB15">
        <f>SOFR3mo_PX[[#This Row],[Column574]]</f>
        <v>97.185000000000002</v>
      </c>
      <c r="VC15">
        <f>SOFR3mo_PX[[#This Row],[Column575]]</f>
        <v>97.11</v>
      </c>
      <c r="VD15">
        <f>SOFR3mo_PX[[#This Row],[Column576]]</f>
        <v>97.14</v>
      </c>
      <c r="VE15">
        <f>SOFR3mo_PX[[#This Row],[Column577]]</f>
        <v>97.185000000000002</v>
      </c>
      <c r="VF15">
        <f>SOFR3mo_PX[[#This Row],[Column578]]</f>
        <v>97.295000000000002</v>
      </c>
      <c r="VG15">
        <f>SOFR3mo_PX[[#This Row],[Column579]]</f>
        <v>97.284999999999997</v>
      </c>
      <c r="VH15">
        <f>SOFR3mo_PX[[#This Row],[Column580]]</f>
        <v>97.27</v>
      </c>
      <c r="VI15">
        <f>SOFR3mo_PX[[#This Row],[Column581]]</f>
        <v>97.144999999999996</v>
      </c>
      <c r="VJ15">
        <f>SOFR3mo_PX[[#This Row],[Column582]]</f>
        <v>97.07</v>
      </c>
      <c r="VK15">
        <f>SOFR3mo_PX[[#This Row],[Column583]]</f>
        <v>97</v>
      </c>
      <c r="VL15">
        <f>SOFR3mo_PX[[#This Row],[Column584]]</f>
        <v>96.95</v>
      </c>
      <c r="VM15">
        <f>SOFR3mo_PX[[#This Row],[Column585]]</f>
        <v>96.94</v>
      </c>
      <c r="VN15">
        <f>SOFR3mo_PX[[#This Row],[Column586]]</f>
        <v>96.99</v>
      </c>
      <c r="VO15">
        <f>SOFR3mo_PX[[#This Row],[Column587]]</f>
        <v>97.114999999999995</v>
      </c>
      <c r="VP15">
        <f>SOFR3mo_PX[[#This Row],[Column588]]</f>
        <v>97.11</v>
      </c>
      <c r="VQ15">
        <f>SOFR3mo_PX[[#This Row],[Column589]]</f>
        <v>96.954999999999998</v>
      </c>
      <c r="VR15">
        <f>SOFR3mo_PX[[#This Row],[Column590]]</f>
        <v>96.77</v>
      </c>
      <c r="VS15">
        <f>SOFR3mo_PX[[#This Row],[Column591]]</f>
        <v>96.855000000000004</v>
      </c>
      <c r="VT15">
        <f>SOFR3mo_PX[[#This Row],[Column592]]</f>
        <v>96.944999999999993</v>
      </c>
      <c r="VU15">
        <f>SOFR3mo_PX[[#This Row],[Column593]]</f>
        <v>96.71</v>
      </c>
      <c r="VV15">
        <f>SOFR3mo_PX[[#This Row],[Column594]]</f>
        <v>96.8</v>
      </c>
      <c r="VW15">
        <f>SOFR3mo_PX[[#This Row],[Column595]]</f>
        <v>96.68</v>
      </c>
      <c r="VX15">
        <f>SOFR3mo_PX[[#This Row],[Column596]]</f>
        <v>96.82</v>
      </c>
      <c r="VY15">
        <f>SOFR3mo_PX[[#This Row],[Column597]]</f>
        <v>96.784999999999997</v>
      </c>
      <c r="VZ15">
        <f>SOFR3mo_PX[[#This Row],[Column598]]</f>
        <v>96.6</v>
      </c>
      <c r="WA15">
        <f>SOFR3mo_PX[[#This Row],[Column599]]</f>
        <v>96.484999999999999</v>
      </c>
      <c r="WB15">
        <f>SOFR3mo_PX[[#This Row],[Column600]]</f>
        <v>96.49</v>
      </c>
      <c r="WC15">
        <f>SOFR3mo_PX[[#This Row],[Column601]]</f>
        <v>96.49</v>
      </c>
      <c r="WD15">
        <f>SOFR3mo_PX[[#This Row],[Column602]]</f>
        <v>96.48</v>
      </c>
      <c r="WE15">
        <f>SOFR3mo_PX[[#This Row],[Column603]]</f>
        <v>96.394999999999996</v>
      </c>
      <c r="WF15">
        <f>SOFR3mo_PX[[#This Row],[Column604]]</f>
        <v>96.484999999999999</v>
      </c>
      <c r="WG15">
        <f>SOFR3mo_PX[[#This Row],[Column605]]</f>
        <v>96.6</v>
      </c>
      <c r="WH15">
        <f>SOFR3mo_PX[[#This Row],[Column606]]</f>
        <v>96.594999999999999</v>
      </c>
      <c r="WI15">
        <f>SOFR3mo_PX[[#This Row],[Column607]]</f>
        <v>96.53</v>
      </c>
      <c r="WJ15">
        <f>SOFR3mo_PX[[#This Row],[Column608]]</f>
        <v>96.65</v>
      </c>
      <c r="WK15">
        <f>SOFR3mo_PX[[#This Row],[Column609]]</f>
        <v>96.605000000000004</v>
      </c>
      <c r="WL15">
        <f>SOFR3mo_PX[[#This Row],[Column610]]</f>
        <v>96.59</v>
      </c>
      <c r="WM15">
        <f>SOFR3mo_PX[[#This Row],[Column611]]</f>
        <v>96.74</v>
      </c>
      <c r="WN15">
        <f>SOFR3mo_PX[[#This Row],[Column612]]</f>
        <v>96.74</v>
      </c>
      <c r="WO15">
        <f>SOFR3mo_PX[[#This Row],[Column613]]</f>
        <v>96.71</v>
      </c>
      <c r="WP15">
        <f>SOFR3mo_PX[[#This Row],[Column614]]</f>
        <v>96.73</v>
      </c>
      <c r="WQ15">
        <f>SOFR3mo_PX[[#This Row],[Column615]]</f>
        <v>96.784999999999997</v>
      </c>
      <c r="WR15">
        <f>SOFR3mo_PX[[#This Row],[Column616]]</f>
        <v>96.875</v>
      </c>
      <c r="WS15">
        <f>SOFR3mo_PX[[#This Row],[Column617]]</f>
        <v>96.885000000000005</v>
      </c>
      <c r="WT15">
        <f>SOFR3mo_PX[[#This Row],[Column618]]</f>
        <v>96.93</v>
      </c>
      <c r="WU15">
        <f>SOFR3mo_PX[[#This Row],[Column619]]</f>
        <v>97.004999999999995</v>
      </c>
      <c r="WV15">
        <f>SOFR3mo_PX[[#This Row],[Column620]]</f>
        <v>96.97</v>
      </c>
      <c r="WW15">
        <f>SOFR3mo_PX[[#This Row],[Column621]]</f>
        <v>96.995000000000005</v>
      </c>
      <c r="WX15">
        <f>SOFR3mo_PX[[#This Row],[Column622]]</f>
        <v>97.12</v>
      </c>
      <c r="WY15">
        <f>SOFR3mo_PX[[#This Row],[Column623]]</f>
        <v>97.31</v>
      </c>
      <c r="WZ15">
        <f>SOFR3mo_PX[[#This Row],[Column624]]</f>
        <v>97.314999999999998</v>
      </c>
      <c r="XA15">
        <f>SOFR3mo_PX[[#This Row],[Column625]]</f>
        <v>97.16</v>
      </c>
      <c r="XB15">
        <f>SOFR3mo_PX[[#This Row],[Column626]]</f>
        <v>97.084999999999994</v>
      </c>
      <c r="XC15">
        <f>SOFR3mo_PX[[#This Row],[Column627]]</f>
        <v>97.155000000000001</v>
      </c>
      <c r="XD15">
        <f>SOFR3mo_PX[[#This Row],[Column628]]</f>
        <v>97.2</v>
      </c>
      <c r="XE15">
        <f>SOFR3mo_PX[[#This Row],[Column629]]</f>
        <v>97.245000000000005</v>
      </c>
      <c r="XF15">
        <f>SOFR3mo_PX[[#This Row],[Column630]]</f>
        <v>97.25</v>
      </c>
      <c r="XG15">
        <f>SOFR3mo_PX[[#This Row],[Column631]]</f>
        <v>97.19</v>
      </c>
      <c r="XH15">
        <f>SOFR3mo_PX[[#This Row],[Column632]]</f>
        <v>97.254999999999995</v>
      </c>
      <c r="XI15">
        <f>SOFR3mo_PX[[#This Row],[Column633]]</f>
        <v>97.36</v>
      </c>
      <c r="XJ15">
        <f>SOFR3mo_PX[[#This Row],[Column634]]</f>
        <v>97.405000000000001</v>
      </c>
      <c r="XK15">
        <f>SOFR3mo_PX[[#This Row],[Column635]]</f>
        <v>97.224999999999994</v>
      </c>
      <c r="XL15">
        <f>SOFR3mo_PX[[#This Row],[Column636]]</f>
        <v>97.23</v>
      </c>
      <c r="XM15">
        <f>SOFR3mo_PX[[#This Row],[Column637]]</f>
        <v>97.23</v>
      </c>
      <c r="XN15">
        <f>SOFR3mo_PX[[#This Row],[Column638]]</f>
        <v>97.284999999999997</v>
      </c>
      <c r="XO15">
        <f>SOFR3mo_PX[[#This Row],[Column639]]</f>
        <v>97.16</v>
      </c>
      <c r="XP15">
        <f>SOFR3mo_PX[[#This Row],[Column640]]</f>
        <v>97.094999999999999</v>
      </c>
      <c r="XQ15">
        <f>SOFR3mo_PX[[#This Row],[Column641]]</f>
        <v>97.19</v>
      </c>
      <c r="XR15">
        <f>SOFR3mo_PX[[#This Row],[Column642]]</f>
        <v>97.155000000000001</v>
      </c>
      <c r="XS15">
        <f>SOFR3mo_PX[[#This Row],[Column643]]</f>
        <v>96.944999999999993</v>
      </c>
      <c r="XT15">
        <f>SOFR3mo_PX[[#This Row],[Column644]]</f>
        <v>96.96</v>
      </c>
      <c r="XU15">
        <f>SOFR3mo_PX[[#This Row],[Column645]]</f>
        <v>96.86</v>
      </c>
      <c r="XV15">
        <f>SOFR3mo_PX[[#This Row],[Column646]]</f>
        <v>96.82</v>
      </c>
      <c r="XW15">
        <f>SOFR3mo_PX[[#This Row],[Column647]]</f>
        <v>96.82</v>
      </c>
      <c r="XX15">
        <f>SOFR3mo_PX[[#This Row],[Column648]]</f>
        <v>96.78</v>
      </c>
      <c r="XY15">
        <f>SOFR3mo_PX[[#This Row],[Column649]]</f>
        <v>96.754999999999995</v>
      </c>
      <c r="XZ15">
        <f>SOFR3mo_PX[[#This Row],[Column650]]</f>
        <v>96.79</v>
      </c>
      <c r="YA15">
        <f>SOFR3mo_PX[[#This Row],[Column651]]</f>
        <v>96.885000000000005</v>
      </c>
      <c r="YB15">
        <f>SOFR3mo_PX[[#This Row],[Column652]]</f>
        <v>96.885000000000005</v>
      </c>
      <c r="YC15">
        <f>SOFR3mo_PX[[#This Row],[Column653]]</f>
        <v>96.97</v>
      </c>
      <c r="YD15">
        <f>SOFR3mo_PX[[#This Row],[Column654]]</f>
        <v>96.98</v>
      </c>
      <c r="YE15">
        <f>SOFR3mo_PX[[#This Row],[Column655]]</f>
        <v>97.004999999999995</v>
      </c>
      <c r="YF15">
        <f>SOFR3mo_PX[[#This Row],[Column656]]</f>
        <v>97.08</v>
      </c>
      <c r="YG15">
        <f>SOFR3mo_PX[[#This Row],[Column657]]</f>
        <v>97.16</v>
      </c>
      <c r="YH15">
        <f>SOFR3mo_PX[[#This Row],[Column658]]</f>
        <v>97.17</v>
      </c>
      <c r="YI15">
        <f>SOFR3mo_PX[[#This Row],[Column659]]</f>
        <v>97.135000000000005</v>
      </c>
      <c r="YJ15">
        <f>SOFR3mo_PX[[#This Row],[Column660]]</f>
        <v>97.125</v>
      </c>
      <c r="YK15">
        <f>SOFR3mo_PX[[#This Row],[Column661]]</f>
        <v>97.01</v>
      </c>
      <c r="YL15">
        <f>SOFR3mo_PX[[#This Row],[Column662]]</f>
        <v>97.07</v>
      </c>
      <c r="YM15">
        <f>SOFR3mo_PX[[#This Row],[Column663]]</f>
        <v>97.14</v>
      </c>
      <c r="YN15">
        <f>SOFR3mo_PX[[#This Row],[Column664]]</f>
        <v>97.254999999999995</v>
      </c>
      <c r="YO15">
        <f>SOFR3mo_PX[[#This Row],[Column665]]</f>
        <v>97.15</v>
      </c>
      <c r="YP15">
        <f>SOFR3mo_PX[[#This Row],[Column666]]</f>
        <v>97.09</v>
      </c>
      <c r="YQ15">
        <f>SOFR3mo_PX[[#This Row],[Column667]]</f>
        <v>97.224999999999994</v>
      </c>
      <c r="YR15">
        <f>SOFR3mo_PX[[#This Row],[Column668]]</f>
        <v>97.155000000000001</v>
      </c>
      <c r="YS15">
        <f>SOFR3mo_PX[[#This Row],[Column669]]</f>
        <v>96.99</v>
      </c>
      <c r="YT15">
        <f>SOFR3mo_PX[[#This Row],[Column670]]</f>
        <v>96.885000000000005</v>
      </c>
      <c r="YU15">
        <f>SOFR3mo_PX[[#This Row],[Column671]]</f>
        <v>96.894999999999996</v>
      </c>
      <c r="YV15">
        <f>SOFR3mo_PX[[#This Row],[Column672]]</f>
        <v>96.894999999999996</v>
      </c>
      <c r="YW15">
        <f>SOFR3mo_PX[[#This Row],[Column673]]</f>
        <v>96.88</v>
      </c>
      <c r="YX15">
        <f>SOFR3mo_PX[[#This Row],[Column674]]</f>
        <v>96.88</v>
      </c>
      <c r="YY15">
        <f>SOFR3mo_PX[[#This Row],[Column675]]</f>
        <v>96.844999999999999</v>
      </c>
      <c r="YZ15">
        <f>SOFR3mo_PX[[#This Row],[Column676]]</f>
        <v>96.754999999999995</v>
      </c>
      <c r="ZA15">
        <f>SOFR3mo_PX[[#This Row],[Column677]]</f>
        <v>96.78</v>
      </c>
      <c r="ZB15">
        <f>SOFR3mo_PX[[#This Row],[Column678]]</f>
        <v>96.864999999999995</v>
      </c>
      <c r="ZC15">
        <f>SOFR3mo_PX[[#This Row],[Column679]]</f>
        <v>96.944999999999993</v>
      </c>
      <c r="ZD15">
        <f>SOFR3mo_PX[[#This Row],[Column680]]</f>
        <v>96.84</v>
      </c>
      <c r="ZE15">
        <f>SOFR3mo_PX[[#This Row],[Column681]]</f>
        <v>96.734999999999999</v>
      </c>
      <c r="ZF15">
        <f>SOFR3mo_PX[[#This Row],[Column682]]</f>
        <v>96.78</v>
      </c>
      <c r="ZG15">
        <f>SOFR3mo_PX[[#This Row],[Column683]]</f>
        <v>96.734999999999999</v>
      </c>
      <c r="ZH15">
        <f>SOFR3mo_PX[[#This Row],[Column684]]</f>
        <v>96.385000000000005</v>
      </c>
      <c r="ZI15">
        <f>SOFR3mo_PX[[#This Row],[Column685]]</f>
        <v>96.33</v>
      </c>
      <c r="ZJ15">
        <f>SOFR3mo_PX[[#This Row],[Column686]]</f>
        <v>96.25</v>
      </c>
      <c r="ZK15">
        <f>SOFR3mo_PX[[#This Row],[Column687]]</f>
        <v>96.28</v>
      </c>
      <c r="ZL15">
        <f>SOFR3mo_PX[[#This Row],[Column688]]</f>
        <v>96.265000000000001</v>
      </c>
      <c r="ZM15">
        <f>SOFR3mo_PX[[#This Row],[Column689]]</f>
        <v>96.34</v>
      </c>
      <c r="ZN15">
        <f>SOFR3mo_PX[[#This Row],[Column690]]</f>
        <v>96.34</v>
      </c>
      <c r="ZO15">
        <f>SOFR3mo_PX[[#This Row],[Column691]]</f>
        <v>96.35</v>
      </c>
      <c r="ZP15">
        <f>SOFR3mo_PX[[#This Row],[Column692]]</f>
        <v>96.385000000000005</v>
      </c>
      <c r="ZQ15">
        <f>SOFR3mo_PX[[#This Row],[Column693]]</f>
        <v>96.51</v>
      </c>
      <c r="ZR15">
        <f>SOFR3mo_PX[[#This Row],[Column694]]</f>
        <v>96.41</v>
      </c>
      <c r="ZS15">
        <f>SOFR3mo_PX[[#This Row],[Column695]]</f>
        <v>96.334999999999994</v>
      </c>
      <c r="ZT15">
        <f>SOFR3mo_PX[[#This Row],[Column696]]</f>
        <v>96.23</v>
      </c>
      <c r="ZU15">
        <f>SOFR3mo_PX[[#This Row],[Column697]]</f>
        <v>96.224999999999994</v>
      </c>
      <c r="ZV15">
        <f>SOFR3mo_PX[[#This Row],[Column698]]</f>
        <v>96.135000000000005</v>
      </c>
      <c r="ZW15">
        <f>SOFR3mo_PX[[#This Row],[Column699]]</f>
        <v>96.27</v>
      </c>
      <c r="ZX15">
        <f>SOFR3mo_PX[[#This Row],[Column700]]</f>
        <v>96.424999999999997</v>
      </c>
      <c r="ZY15">
        <f>SOFR3mo_PX[[#This Row],[Column701]]</f>
        <v>96.41</v>
      </c>
      <c r="ZZ15">
        <f>SOFR3mo_PX[[#This Row],[Column702]]</f>
        <v>96.375</v>
      </c>
      <c r="AAA15">
        <f>SOFR3mo_PX[[#This Row],[Column703]]</f>
        <v>96.424999999999997</v>
      </c>
      <c r="AAB15">
        <f>SOFR3mo_PX[[#This Row],[Column704]]</f>
        <v>96.424999999999997</v>
      </c>
      <c r="AAC15">
        <f>SOFR3mo_PX[[#This Row],[Column705]]</f>
        <v>96.364999999999995</v>
      </c>
      <c r="AAD15">
        <f>SOFR3mo_PX[[#This Row],[Column706]]</f>
        <v>96.37</v>
      </c>
      <c r="AAE15">
        <f>SOFR3mo_PX[[#This Row],[Column707]]</f>
        <v>96.415000000000006</v>
      </c>
      <c r="AAF15">
        <f>SOFR3mo_PX[[#This Row],[Column708]]</f>
        <v>96.48</v>
      </c>
      <c r="AAG15">
        <f>SOFR3mo_PX[[#This Row],[Column709]]</f>
        <v>96.545000000000002</v>
      </c>
      <c r="AAH15">
        <f>SOFR3mo_PX[[#This Row],[Column710]]</f>
        <v>96.72</v>
      </c>
      <c r="AAI15">
        <f>SOFR3mo_PX[[#This Row],[Column711]]</f>
        <v>96.61</v>
      </c>
      <c r="AAJ15">
        <f>SOFR3mo_PX[[#This Row],[Column712]]</f>
        <v>96.44</v>
      </c>
      <c r="AAK15">
        <f>SOFR3mo_PX[[#This Row],[Column713]]</f>
        <v>96.525000000000006</v>
      </c>
      <c r="AAL15">
        <f>SOFR3mo_PX[[#This Row],[Column714]]</f>
        <v>96.564999999999998</v>
      </c>
      <c r="AAM15">
        <f>SOFR3mo_PX[[#This Row],[Column715]]</f>
        <v>96.305000000000007</v>
      </c>
      <c r="AAN15">
        <f>SOFR3mo_PX[[#This Row],[Column716]]</f>
        <v>96.34</v>
      </c>
      <c r="AAO15">
        <f>SOFR3mo_PX[[#This Row],[Column717]]</f>
        <v>96.564999999999998</v>
      </c>
      <c r="AAP15">
        <f>SOFR3mo_PX[[#This Row],[Column718]]</f>
        <v>96.614999999999995</v>
      </c>
      <c r="AAQ15">
        <f>SOFR3mo_PX[[#This Row],[Column719]]</f>
        <v>96.83</v>
      </c>
      <c r="AAR15">
        <f>SOFR3mo_PX[[#This Row],[Column720]]</f>
        <v>96.72</v>
      </c>
      <c r="AAS15">
        <f>SOFR3mo_PX[[#This Row],[Column721]]</f>
        <v>96.805000000000007</v>
      </c>
      <c r="AAT15">
        <f>SOFR3mo_PX[[#This Row],[Column722]]</f>
        <v>96.88</v>
      </c>
      <c r="AAU15">
        <f>SOFR3mo_PX[[#This Row],[Column723]]</f>
        <v>96.83</v>
      </c>
      <c r="AAV15">
        <f>SOFR3mo_PX[[#This Row],[Column724]]</f>
        <v>96.905000000000001</v>
      </c>
      <c r="AAW15">
        <f>SOFR3mo_PX[[#This Row],[Column725]]</f>
        <v>96.905000000000001</v>
      </c>
      <c r="AAX15">
        <f>SOFR3mo_PX[[#This Row],[Column726]]</f>
        <v>97</v>
      </c>
      <c r="AAY15">
        <f>SOFR3mo_PX[[#This Row],[Column727]]</f>
        <v>97.015000000000001</v>
      </c>
      <c r="AAZ15">
        <f>SOFR3mo_PX[[#This Row],[Column728]]</f>
        <v>97.06</v>
      </c>
      <c r="ABA15">
        <f>SOFR3mo_PX[[#This Row],[Column729]]</f>
        <v>97.084999999999994</v>
      </c>
      <c r="ABB15">
        <f>SOFR3mo_PX[[#This Row],[Column730]]</f>
        <v>96.98</v>
      </c>
      <c r="ABC15">
        <f>SOFR3mo_PX[[#This Row],[Column731]]</f>
        <v>97.114999999999995</v>
      </c>
      <c r="ABD15">
        <f>SOFR3mo_PX[[#This Row],[Column732]]</f>
        <v>97.114999999999995</v>
      </c>
      <c r="ABE15">
        <f>SOFR3mo_PX[[#This Row],[Column733]]</f>
        <v>97.02</v>
      </c>
      <c r="ABF15">
        <f>SOFR3mo_PX[[#This Row],[Column734]]</f>
        <v>97.144999999999996</v>
      </c>
      <c r="ABG15">
        <f>SOFR3mo_PX[[#This Row],[Column735]]</f>
        <v>97.135000000000005</v>
      </c>
      <c r="ABH15">
        <f>SOFR3mo_PX[[#This Row],[Column736]]</f>
        <v>97.135000000000005</v>
      </c>
      <c r="ABI15">
        <f>SOFR3mo_PX[[#This Row],[Column737]]</f>
        <v>97.215000000000003</v>
      </c>
      <c r="ABJ15">
        <f>SOFR3mo_PX[[#This Row],[Column738]]</f>
        <v>97.275000000000006</v>
      </c>
      <c r="ABK15">
        <f>SOFR3mo_PX[[#This Row],[Column739]]</f>
        <v>97.23</v>
      </c>
      <c r="ABL15">
        <f>SOFR3mo_PX[[#This Row],[Column740]]</f>
        <v>97.284999999999997</v>
      </c>
      <c r="ABM15">
        <f>SOFR3mo_PX[[#This Row],[Column741]]</f>
        <v>97.31</v>
      </c>
      <c r="ABN15">
        <f>SOFR3mo_PX[[#This Row],[Column742]]</f>
        <v>97.38</v>
      </c>
      <c r="ABO15">
        <f>SOFR3mo_PX[[#This Row],[Column743]]</f>
        <v>97.484999999999999</v>
      </c>
      <c r="ABP15">
        <f>SOFR3mo_PX[[#This Row],[Column744]]</f>
        <v>97.48</v>
      </c>
      <c r="ABQ15">
        <f>SOFR3mo_PX[[#This Row],[Column745]]</f>
        <v>97.605000000000004</v>
      </c>
      <c r="ABR15">
        <f>SOFR3mo_PX[[#This Row],[Column746]]</f>
        <v>97.66</v>
      </c>
      <c r="ABS15">
        <f>SOFR3mo_PX[[#This Row],[Column747]]</f>
        <v>97.575000000000003</v>
      </c>
      <c r="ABT15">
        <f>SOFR3mo_PX[[#This Row],[Column748]]</f>
        <v>97.564999999999998</v>
      </c>
      <c r="ABU15">
        <f>SOFR3mo_PX[[#This Row],[Column749]]</f>
        <v>97.64</v>
      </c>
      <c r="ABV15">
        <f>SOFR3mo_PX[[#This Row],[Column750]]</f>
        <v>97.575000000000003</v>
      </c>
      <c r="ABW15">
        <f>SOFR3mo_PX[[#This Row],[Column751]]</f>
        <v>97.66</v>
      </c>
      <c r="ABX15">
        <f>SOFR3mo_PX[[#This Row],[Column752]]</f>
        <v>97.56</v>
      </c>
      <c r="ABY15">
        <f>SOFR3mo_PX[[#This Row],[Column753]]</f>
        <v>97.76</v>
      </c>
      <c r="ABZ15">
        <f>SOFR3mo_PX[[#This Row],[Column754]]</f>
        <v>97.64</v>
      </c>
      <c r="ACA15">
        <f>SOFR3mo_PX[[#This Row],[Column755]]</f>
        <v>97.655000000000001</v>
      </c>
      <c r="ACB15">
        <f>SOFR3mo_PX[[#This Row],[Column756]]</f>
        <v>97.894999999999996</v>
      </c>
      <c r="ACC15">
        <f>SOFR3mo_PX[[#This Row],[Column757]]</f>
        <v>97.855000000000004</v>
      </c>
      <c r="ACD15">
        <f>SOFR3mo_PX[[#This Row],[Column758]]</f>
        <v>97.825000000000003</v>
      </c>
      <c r="ACE15">
        <f>SOFR3mo_PX[[#This Row],[Column759]]</f>
        <v>97.745000000000005</v>
      </c>
      <c r="ACF15">
        <f>SOFR3mo_PX[[#This Row],[Column760]]</f>
        <v>97.655000000000001</v>
      </c>
      <c r="ACG15">
        <f>SOFR3mo_PX[[#This Row],[Column761]]</f>
        <v>97.65</v>
      </c>
      <c r="ACH15">
        <f>SOFR3mo_PX[[#This Row],[Column762]]</f>
        <v>97.665000000000006</v>
      </c>
      <c r="ACI15">
        <f>SOFR3mo_PX[[#This Row],[Column763]]</f>
        <v>97.52</v>
      </c>
      <c r="ACJ15">
        <f>SOFR3mo_PX[[#This Row],[Column764]]</f>
        <v>97.334999999999994</v>
      </c>
      <c r="ACK15">
        <f>SOFR3mo_PX[[#This Row],[Column765]]</f>
        <v>97.364999999999995</v>
      </c>
      <c r="ACL15">
        <f>SOFR3mo_PX[[#This Row],[Column766]]</f>
        <v>97.44</v>
      </c>
      <c r="ACM15">
        <f>SOFR3mo_PX[[#This Row],[Column767]]</f>
        <v>97.47</v>
      </c>
      <c r="ACN15">
        <f>SOFR3mo_PX[[#This Row],[Column768]]</f>
        <v>97.47</v>
      </c>
      <c r="ACO15">
        <f>SOFR3mo_PX[[#This Row],[Column769]]</f>
        <v>97.52</v>
      </c>
      <c r="ACP15">
        <f>SOFR3mo_PX[[#This Row],[Column770]]</f>
        <v>97.454999999999998</v>
      </c>
      <c r="ACQ15">
        <f>SOFR3mo_PX[[#This Row],[Column771]]</f>
        <v>97.41</v>
      </c>
      <c r="ACR15">
        <f>SOFR3mo_PX[[#This Row],[Column772]]</f>
        <v>97.305000000000007</v>
      </c>
      <c r="ACS15">
        <f>SOFR3mo_PX[[#This Row],[Column773]]</f>
        <v>97.394999999999996</v>
      </c>
      <c r="ACT15">
        <f>SOFR3mo_PX[[#This Row],[Column774]]</f>
        <v>97.484999999999999</v>
      </c>
      <c r="ACU15">
        <f>SOFR3mo_PX[[#This Row],[Column775]]</f>
        <v>97.64</v>
      </c>
      <c r="ACV15">
        <f>SOFR3mo_PX[[#This Row],[Column776]]</f>
        <v>97.555000000000007</v>
      </c>
      <c r="ACW15">
        <f>SOFR3mo_PX[[#This Row],[Column777]]</f>
        <v>97.555000000000007</v>
      </c>
      <c r="ACX15">
        <f>SOFR3mo_PX[[#This Row],[Column778]]</f>
        <v>97.424999999999997</v>
      </c>
      <c r="ACY15">
        <f>SOFR3mo_PX[[#This Row],[Column779]]</f>
        <v>97.245000000000005</v>
      </c>
      <c r="ACZ15">
        <f>SOFR3mo_PX[[#This Row],[Column780]]</f>
        <v>97.1</v>
      </c>
      <c r="ADA15">
        <f>SOFR3mo_PX[[#This Row],[Column781]]</f>
        <v>97.11</v>
      </c>
      <c r="ADB15">
        <f>SOFR3mo_PX[[#This Row],[Column782]]</f>
        <v>97.19</v>
      </c>
      <c r="ADC15">
        <f>SOFR3mo_PX[[#This Row],[Column783]]</f>
        <v>97.26</v>
      </c>
      <c r="ADD15">
        <f>SOFR3mo_PX[[#This Row],[Column784]]</f>
        <v>97.15</v>
      </c>
      <c r="ADE15">
        <f>SOFR3mo_PX[[#This Row],[Column785]]</f>
        <v>96.98</v>
      </c>
      <c r="ADF15">
        <f>SOFR3mo_PX[[#This Row],[Column786]]</f>
        <v>97</v>
      </c>
      <c r="ADG15">
        <f>SOFR3mo_PX[[#This Row],[Column787]]</f>
        <v>97</v>
      </c>
      <c r="ADH15">
        <f>SOFR3mo_PX[[#This Row],[Column788]]</f>
        <v>96.965000000000003</v>
      </c>
      <c r="ADI15">
        <f>SOFR3mo_PX[[#This Row],[Column789]]</f>
        <v>96.844999999999999</v>
      </c>
      <c r="ADJ15">
        <f>SOFR3mo_PX[[#This Row],[Column790]]</f>
        <v>96.68</v>
      </c>
      <c r="ADK15">
        <f>SOFR3mo_PX[[#This Row],[Column791]]</f>
        <v>96.754999999999995</v>
      </c>
      <c r="ADL15">
        <f>SOFR3mo_PX[[#This Row],[Column792]]</f>
        <v>96.97</v>
      </c>
      <c r="ADM15">
        <f>SOFR3mo_PX[[#This Row],[Column793]]</f>
        <v>97.13</v>
      </c>
      <c r="ADN15">
        <f>SOFR3mo_PX[[#This Row],[Column794]]</f>
        <v>97.165000000000006</v>
      </c>
      <c r="ADO15">
        <f>SOFR3mo_PX[[#This Row],[Column795]]</f>
        <v>97.2</v>
      </c>
      <c r="ADP15">
        <f>SOFR3mo_PX[[#This Row],[Column796]]</f>
        <v>97.144999999999996</v>
      </c>
      <c r="ADQ15">
        <f>SOFR3mo_PX[[#This Row],[Column797]]</f>
        <v>97.254999999999995</v>
      </c>
      <c r="ADR15">
        <f>SOFR3mo_PX[[#This Row],[Column798]]</f>
        <v>97.31</v>
      </c>
      <c r="ADS15">
        <f>SOFR3mo_PX[[#This Row],[Column799]]</f>
        <v>97.27</v>
      </c>
      <c r="ADT15">
        <f>SOFR3mo_PX[[#This Row],[Column800]]</f>
        <v>97.4</v>
      </c>
      <c r="ADU15">
        <f>SOFR3mo_PX[[#This Row],[Column801]]</f>
        <v>97.454999999999998</v>
      </c>
      <c r="ADV15">
        <f>SOFR3mo_PX[[#This Row],[Column802]]</f>
        <v>97.454999999999998</v>
      </c>
      <c r="ADW15">
        <f>SOFR3mo_PX[[#This Row],[Column803]]</f>
        <v>97.48</v>
      </c>
      <c r="ADX15">
        <f>SOFR3mo_PX[[#This Row],[Column804]]</f>
        <v>97.5</v>
      </c>
      <c r="ADY15">
        <f>SOFR3mo_PX[[#This Row],[Column805]]</f>
        <v>97.465000000000003</v>
      </c>
      <c r="ADZ15">
        <f>SOFR3mo_PX[[#This Row],[Column806]]</f>
        <v>97.34</v>
      </c>
      <c r="AEA15">
        <f>SOFR3mo_PX[[#This Row],[Column807]]</f>
        <v>97.42</v>
      </c>
      <c r="AEB15">
        <f>SOFR3mo_PX[[#This Row],[Column808]]</f>
        <v>97.344999999999999</v>
      </c>
      <c r="AEC15">
        <f>SOFR3mo_PX[[#This Row],[Column809]]</f>
        <v>97.29</v>
      </c>
      <c r="AED15">
        <f>SOFR3mo_PX[[#This Row],[Column810]]</f>
        <v>97.23</v>
      </c>
      <c r="AEE15">
        <f>SOFR3mo_PX[[#This Row],[Column811]]</f>
        <v>97.375</v>
      </c>
      <c r="AEF15">
        <f>SOFR3mo_PX[[#This Row],[Column812]]</f>
        <v>97.254999999999995</v>
      </c>
      <c r="AEG15">
        <f>SOFR3mo_PX[[#This Row],[Column813]]</f>
        <v>97.355000000000004</v>
      </c>
      <c r="AEH15">
        <f>SOFR3mo_PX[[#This Row],[Column814]]</f>
        <v>97.254999999999995</v>
      </c>
      <c r="AEI15">
        <f>SOFR3mo_PX[[#This Row],[Column815]]</f>
        <v>97.19</v>
      </c>
      <c r="AEJ15">
        <f>SOFR3mo_PX[[#This Row],[Column816]]</f>
        <v>97.125</v>
      </c>
      <c r="AEK15">
        <f>SOFR3mo_PX[[#This Row],[Column817]]</f>
        <v>97.034999999999997</v>
      </c>
      <c r="AEL15">
        <f>SOFR3mo_PX[[#This Row],[Column818]]</f>
        <v>97.06</v>
      </c>
      <c r="AEM15">
        <f>SOFR3mo_PX[[#This Row],[Column819]]</f>
        <v>97.17</v>
      </c>
      <c r="AEN15">
        <f>SOFR3mo_PX[[#This Row],[Column820]]</f>
        <v>97.08</v>
      </c>
      <c r="AEO15">
        <f>SOFR3mo_PX[[#This Row],[Column821]]</f>
        <v>97.045000000000002</v>
      </c>
      <c r="AEP15">
        <f>SOFR3mo_PX[[#This Row],[Column822]]</f>
        <v>97.16</v>
      </c>
      <c r="AEQ15">
        <f>SOFR3mo_PX[[#This Row],[Column823]]</f>
        <v>97.165000000000006</v>
      </c>
      <c r="AER15">
        <f>SOFR3mo_PX[[#This Row],[Column824]]</f>
        <v>97.26</v>
      </c>
      <c r="AES15">
        <f>SOFR3mo_PX[[#This Row],[Column825]]</f>
        <v>97.28</v>
      </c>
      <c r="AET15">
        <f>SOFR3mo_PX[[#This Row],[Column826]]</f>
        <v>97.224999999999994</v>
      </c>
      <c r="AEU15">
        <f>SOFR3mo_PX[[#This Row],[Column827]]</f>
        <v>97.16</v>
      </c>
      <c r="AEV15">
        <f>SOFR3mo_PX[[#This Row],[Column828]]</f>
        <v>97.084999999999994</v>
      </c>
      <c r="AEW15">
        <f>SOFR3mo_PX[[#This Row],[Column829]]</f>
        <v>97.2</v>
      </c>
      <c r="AEX15">
        <f>SOFR3mo_PX[[#This Row],[Column830]]</f>
        <v>97.155000000000001</v>
      </c>
      <c r="AEY15">
        <f>SOFR3mo_PX[[#This Row],[Column831]]</f>
        <v>97.275000000000006</v>
      </c>
      <c r="AEZ15">
        <f>SOFR3mo_PX[[#This Row],[Column832]]</f>
        <v>97.3</v>
      </c>
      <c r="AFA15">
        <f>SOFR3mo_PX[[#This Row],[Column833]]</f>
        <v>97.3</v>
      </c>
      <c r="AFB15">
        <f>SOFR3mo_PX[[#This Row],[Column834]]</f>
        <v>97.43</v>
      </c>
      <c r="AFC15">
        <f>SOFR3mo_PX[[#This Row],[Column835]]</f>
        <v>97.4</v>
      </c>
      <c r="AFD15">
        <f>SOFR3mo_PX[[#This Row],[Column836]]</f>
        <v>97.26</v>
      </c>
      <c r="AFE15">
        <f>SOFR3mo_PX[[#This Row],[Column837]]</f>
        <v>97.3</v>
      </c>
      <c r="AFF15">
        <f>SOFR3mo_PX[[#This Row],[Column838]]</f>
        <v>97.39</v>
      </c>
      <c r="AFG15">
        <f>SOFR3mo_PX[[#This Row],[Column839]]</f>
        <v>97.375</v>
      </c>
      <c r="AFH15">
        <f>SOFR3mo_PX[[#This Row],[Column840]]</f>
        <v>97.375</v>
      </c>
      <c r="AFI15">
        <f>SOFR3mo_PX[[#This Row],[Column841]]</f>
        <v>97.52</v>
      </c>
      <c r="AFJ15">
        <f>SOFR3mo_PX[[#This Row],[Column842]]</f>
        <v>97.504999999999995</v>
      </c>
      <c r="AFK15">
        <f>SOFR3mo_PX[[#This Row],[Column843]]</f>
        <v>97.655000000000001</v>
      </c>
      <c r="AFL15">
        <f>SOFR3mo_PX[[#This Row],[Column844]]</f>
        <v>97.6</v>
      </c>
      <c r="AFM15">
        <f>SOFR3mo_PX[[#This Row],[Column845]]</f>
        <v>97.564999999999998</v>
      </c>
      <c r="AFN15">
        <f>SOFR3mo_PX[[#This Row],[Column846]]</f>
        <v>97.48</v>
      </c>
      <c r="AFO15">
        <f>SOFR3mo_PX[[#This Row],[Column847]]</f>
        <v>97.465000000000003</v>
      </c>
      <c r="AFP15">
        <f>SOFR3mo_PX[[#This Row],[Column848]]</f>
        <v>97.715000000000003</v>
      </c>
      <c r="AFQ15">
        <f>SOFR3mo_PX[[#This Row],[Column849]]</f>
        <v>97.75</v>
      </c>
      <c r="AFR15">
        <f>SOFR3mo_PX[[#This Row],[Column850]]</f>
        <v>97.694999999999993</v>
      </c>
      <c r="AFS15">
        <f>SOFR3mo_PX[[#This Row],[Column851]]</f>
        <v>97.75</v>
      </c>
      <c r="AFT15">
        <f>SOFR3mo_PX[[#This Row],[Column852]]</f>
        <v>97.935000000000002</v>
      </c>
      <c r="AFU15">
        <f>SOFR3mo_PX[[#This Row],[Column853]]</f>
        <v>97.9</v>
      </c>
      <c r="AFV15">
        <f>SOFR3mo_PX[[#This Row],[Column854]]</f>
        <v>97.844999999999999</v>
      </c>
      <c r="AFW15">
        <f>SOFR3mo_PX[[#This Row],[Column855]]</f>
        <v>97.875</v>
      </c>
      <c r="AFX15">
        <f>SOFR3mo_PX[[#This Row],[Column856]]</f>
        <v>97.905000000000001</v>
      </c>
      <c r="AFY15">
        <f>SOFR3mo_PX[[#This Row],[Column857]]</f>
        <v>98.05</v>
      </c>
      <c r="AFZ15">
        <f>SOFR3mo_PX[[#This Row],[Column858]]</f>
        <v>98.084999999999994</v>
      </c>
      <c r="AGA15">
        <f>SOFR3mo_PX[[#This Row],[Column859]]</f>
        <v>98.16</v>
      </c>
      <c r="AGB15">
        <f>SOFR3mo_PX[[#This Row],[Column860]]</f>
        <v>98.25</v>
      </c>
      <c r="AGC15">
        <f>SOFR3mo_PX[[#This Row],[Column861]]</f>
        <v>98.37</v>
      </c>
      <c r="AGD15">
        <f>SOFR3mo_PX[[#This Row],[Column862]]</f>
        <v>98.435000000000002</v>
      </c>
      <c r="AGE15">
        <f>SOFR3mo_PX[[#This Row],[Column863]]</f>
        <v>98.3</v>
      </c>
      <c r="AGF15">
        <f>SOFR3mo_PX[[#This Row],[Column864]]</f>
        <v>98.265000000000001</v>
      </c>
      <c r="AGG15">
        <f>SOFR3mo_PX[[#This Row],[Column865]]</f>
        <v>98.48</v>
      </c>
      <c r="AGH15">
        <f>SOFR3mo_PX[[#This Row],[Column866]]</f>
        <v>98.25</v>
      </c>
      <c r="AGI15">
        <f>SOFR3mo_PX[[#This Row],[Column867]]</f>
        <v>98.084999999999994</v>
      </c>
      <c r="AGJ15">
        <f>SOFR3mo_PX[[#This Row],[Column868]]</f>
        <v>98.114999999999995</v>
      </c>
      <c r="AGK15">
        <f>SOFR3mo_PX[[#This Row],[Column869]]</f>
        <v>98.114999999999995</v>
      </c>
      <c r="AGL15">
        <f>SOFR3mo_PX[[#This Row],[Column870]]</f>
        <v>98.155000000000001</v>
      </c>
      <c r="AGM15">
        <f>SOFR3mo_PX[[#This Row],[Column871]]</f>
        <v>98.17</v>
      </c>
      <c r="AGN15">
        <f>SOFR3mo_PX[[#This Row],[Column872]]</f>
        <v>98.17</v>
      </c>
      <c r="AGO15">
        <f>SOFR3mo_PX[[#This Row],[Column873]]</f>
        <v>98.135000000000005</v>
      </c>
      <c r="AGP15">
        <f>SOFR3mo_PX[[#This Row],[Column874]]</f>
        <v>98.06</v>
      </c>
      <c r="AGQ15">
        <f>SOFR3mo_PX[[#This Row],[Column875]]</f>
        <v>98.055000000000007</v>
      </c>
      <c r="AGR15">
        <f>SOFR3mo_PX[[#This Row],[Column876]]</f>
        <v>98.07</v>
      </c>
      <c r="AGS15">
        <f>SOFR3mo_PX[[#This Row],[Column877]]</f>
        <v>98.144999999999996</v>
      </c>
      <c r="AGT15">
        <f>SOFR3mo_PX[[#This Row],[Column878]]</f>
        <v>97.995000000000005</v>
      </c>
      <c r="AGU15">
        <f>SOFR3mo_PX[[#This Row],[Column879]]</f>
        <v>98.08</v>
      </c>
      <c r="AGV15">
        <f>SOFR3mo_PX[[#This Row],[Column880]]</f>
        <v>98.075000000000003</v>
      </c>
      <c r="AGW15">
        <f>SOFR3mo_PX[[#This Row],[Column881]]</f>
        <v>98.13</v>
      </c>
      <c r="AGX15">
        <f>SOFR3mo_PX[[#This Row],[Column882]]</f>
        <v>98.105000000000004</v>
      </c>
      <c r="AGY15">
        <f>SOFR3mo_PX[[#This Row],[Column883]]</f>
        <v>98.245000000000005</v>
      </c>
      <c r="AGZ15">
        <f>SOFR3mo_PX[[#This Row],[Column884]]</f>
        <v>98.31</v>
      </c>
      <c r="AHA15">
        <f>SOFR3mo_PX[[#This Row],[Column885]]</f>
        <v>98.29</v>
      </c>
      <c r="AHB15">
        <f>SOFR3mo_PX[[#This Row],[Column886]]</f>
        <v>98.284999999999997</v>
      </c>
      <c r="AHC15">
        <f>SOFR3mo_PX[[#This Row],[Column887]]</f>
        <v>98.26</v>
      </c>
      <c r="AHD15">
        <f>SOFR3mo_PX[[#This Row],[Column888]]</f>
        <v>98.21</v>
      </c>
      <c r="AHE15">
        <f>SOFR3mo_PX[[#This Row],[Column889]]</f>
        <v>98.18</v>
      </c>
      <c r="AHF15">
        <f>SOFR3mo_PX[[#This Row],[Column890]]</f>
        <v>98.265000000000001</v>
      </c>
      <c r="AHG15">
        <f>SOFR3mo_PX[[#This Row],[Column891]]</f>
        <v>98.32</v>
      </c>
      <c r="AHH15">
        <f>SOFR3mo_PX[[#This Row],[Column892]]</f>
        <v>98.26</v>
      </c>
      <c r="AHI15">
        <f>SOFR3mo_PX[[#This Row],[Column893]]</f>
        <v>98.185000000000002</v>
      </c>
      <c r="AHJ15">
        <f>SOFR3mo_PX[[#This Row],[Column894]]</f>
        <v>98.185000000000002</v>
      </c>
      <c r="AHK15">
        <f>SOFR3mo_PX[[#This Row],[Column895]]</f>
        <v>98.13</v>
      </c>
      <c r="AHL15">
        <f>SOFR3mo_PX[[#This Row],[Column896]]</f>
        <v>98.24</v>
      </c>
      <c r="AHM15">
        <f>SOFR3mo_PX[[#This Row],[Column897]]</f>
        <v>98.24</v>
      </c>
      <c r="AHN15">
        <f>SOFR3mo_PX[[#This Row],[Column898]]</f>
        <v>98.33</v>
      </c>
      <c r="AHO15">
        <f>SOFR3mo_PX[[#This Row],[Column899]]</f>
        <v>98.3</v>
      </c>
      <c r="AHP15">
        <f>SOFR3mo_PX[[#This Row],[Column900]]</f>
        <v>98.265000000000001</v>
      </c>
      <c r="AHQ15">
        <f>SOFR3mo_PX[[#This Row],[Column901]]</f>
        <v>98.194999999999993</v>
      </c>
      <c r="AHR15">
        <f>SOFR3mo_PX[[#This Row],[Column902]]</f>
        <v>98.245000000000005</v>
      </c>
      <c r="AHS15">
        <f>SOFR3mo_PX[[#This Row],[Column903]]</f>
        <v>98.305000000000007</v>
      </c>
      <c r="AHT15">
        <f>SOFR3mo_PX[[#This Row],[Column904]]</f>
        <v>98.35</v>
      </c>
      <c r="AHU15">
        <f>SOFR3mo_PX[[#This Row],[Column905]]</f>
        <v>98.4</v>
      </c>
      <c r="AHV15">
        <f>SOFR3mo_PX[[#This Row],[Column906]]</f>
        <v>98.424999999999997</v>
      </c>
      <c r="AHW15">
        <f>SOFR3mo_PX[[#This Row],[Column907]]</f>
        <v>98.55</v>
      </c>
      <c r="AHX15">
        <f>SOFR3mo_PX[[#This Row],[Column908]]</f>
        <v>98.54</v>
      </c>
      <c r="AHY15">
        <f>SOFR3mo_PX[[#This Row],[Column909]]</f>
        <v>98.525000000000006</v>
      </c>
      <c r="AHZ15">
        <f>SOFR3mo_PX[[#This Row],[Column910]]</f>
        <v>98.57</v>
      </c>
      <c r="AIA15">
        <f>SOFR3mo_PX[[#This Row],[Column911]]</f>
        <v>98.55</v>
      </c>
      <c r="AIB15">
        <f>SOFR3mo_PX[[#This Row],[Column912]]</f>
        <v>98.56</v>
      </c>
      <c r="AIC15">
        <f>SOFR3mo_PX[[#This Row],[Column913]]</f>
        <v>98.56</v>
      </c>
      <c r="AID15">
        <f>SOFR3mo_PX[[#This Row],[Column914]]</f>
        <v>98.575000000000003</v>
      </c>
      <c r="AIE15">
        <f>SOFR3mo_PX[[#This Row],[Column915]]</f>
        <v>98.56</v>
      </c>
      <c r="AIF15">
        <f>SOFR3mo_PX[[#This Row],[Column916]]</f>
        <v>98.63</v>
      </c>
      <c r="AIG15">
        <f>SOFR3mo_PX[[#This Row],[Column917]]</f>
        <v>98.63</v>
      </c>
      <c r="AIH15">
        <f>SOFR3mo_PX[[#This Row],[Column918]]</f>
        <v>98.635000000000005</v>
      </c>
      <c r="AII15">
        <f>SOFR3mo_PX[[#This Row],[Column919]]</f>
        <v>98.525000000000006</v>
      </c>
      <c r="AIJ15">
        <f>SOFR3mo_PX[[#This Row],[Column920]]</f>
        <v>98.55</v>
      </c>
      <c r="AIK15">
        <f>SOFR3mo_PX[[#This Row],[Column921]]</f>
        <v>98.564999999999998</v>
      </c>
      <c r="AIL15">
        <f>SOFR3mo_PX[[#This Row],[Column922]]</f>
        <v>98.515000000000001</v>
      </c>
      <c r="AIM15">
        <f>SOFR3mo_PX[[#This Row],[Column923]]</f>
        <v>98.51</v>
      </c>
      <c r="AIN15">
        <f>SOFR3mo_PX[[#This Row],[Column924]]</f>
        <v>98.49</v>
      </c>
      <c r="AIO15">
        <f>SOFR3mo_PX[[#This Row],[Column925]]</f>
        <v>98.504999999999995</v>
      </c>
      <c r="AIP15">
        <f>SOFR3mo_PX[[#This Row],[Column926]]</f>
        <v>98.56</v>
      </c>
      <c r="AIQ15">
        <f>SOFR3mo_PX[[#This Row],[Column927]]</f>
        <v>98.67</v>
      </c>
      <c r="AIR15">
        <f>SOFR3mo_PX[[#This Row],[Column928]]</f>
        <v>98.575000000000003</v>
      </c>
      <c r="AIS15">
        <f>SOFR3mo_PX[[#This Row],[Column929]]</f>
        <v>98.62</v>
      </c>
      <c r="AIT15">
        <f>SOFR3mo_PX[[#This Row],[Column930]]</f>
        <v>98.605000000000004</v>
      </c>
      <c r="AIU15">
        <f>SOFR3mo_PX[[#This Row],[Column931]]</f>
        <v>98.55</v>
      </c>
      <c r="AIV15">
        <f>SOFR3mo_PX[[#This Row],[Column932]]</f>
        <v>98.55</v>
      </c>
      <c r="AIW15">
        <f>SOFR3mo_PX[[#This Row],[Column933]]</f>
        <v>98.375</v>
      </c>
      <c r="AIX15">
        <f>SOFR3mo_PX[[#This Row],[Column934]]</f>
        <v>98.375</v>
      </c>
      <c r="AIY15">
        <f>SOFR3mo_PX[[#This Row],[Column935]]</f>
        <v>98.39</v>
      </c>
      <c r="AIZ15">
        <f>SOFR3mo_PX[[#This Row],[Column936]]</f>
        <v>98.41</v>
      </c>
      <c r="AJA15">
        <f>SOFR3mo_PX[[#This Row],[Column937]]</f>
        <v>98.545000000000002</v>
      </c>
      <c r="AJB15">
        <f>SOFR3mo_PX[[#This Row],[Column938]]</f>
        <v>98.534999999999997</v>
      </c>
      <c r="AJC15">
        <f>SOFR3mo_PX[[#This Row],[Column939]]</f>
        <v>98.5</v>
      </c>
      <c r="AJD15">
        <f>SOFR3mo_PX[[#This Row],[Column940]]</f>
        <v>98.47</v>
      </c>
      <c r="AJE15">
        <f>SOFR3mo_PX[[#This Row],[Column941]]</f>
        <v>98.495000000000005</v>
      </c>
      <c r="AJF15">
        <f>SOFR3mo_PX[[#This Row],[Column942]]</f>
        <v>98.52</v>
      </c>
      <c r="AJG15">
        <f>SOFR3mo_PX[[#This Row],[Column943]]</f>
        <v>98.52</v>
      </c>
      <c r="AJH15">
        <f>SOFR3mo_PX[[#This Row],[Column944]]</f>
        <v>98.56</v>
      </c>
      <c r="AJI15">
        <f>SOFR3mo_PX[[#This Row],[Column945]]</f>
        <v>98.73</v>
      </c>
      <c r="AJJ15">
        <f>SOFR3mo_PX[[#This Row],[Column946]]</f>
        <v>98.674999999999997</v>
      </c>
      <c r="AJK15">
        <f>SOFR3mo_PX[[#This Row],[Column947]]</f>
        <v>98.754999999999995</v>
      </c>
      <c r="AJL15">
        <f>SOFR3mo_PX[[#This Row],[Column948]]</f>
        <v>98.67</v>
      </c>
      <c r="AJM15">
        <f>SOFR3mo_PX[[#This Row],[Column949]]</f>
        <v>98.59</v>
      </c>
      <c r="AJN15">
        <f>SOFR3mo_PX[[#This Row],[Column950]]</f>
        <v>98.64</v>
      </c>
      <c r="AJO15">
        <f>SOFR3mo_PX[[#This Row],[Column951]]</f>
        <v>98.61</v>
      </c>
      <c r="AJP15">
        <f>SOFR3mo_PX[[#This Row],[Column952]]</f>
        <v>98.644999999999996</v>
      </c>
      <c r="AJQ15">
        <f>SOFR3mo_PX[[#This Row],[Column953]]</f>
        <v>98.635000000000005</v>
      </c>
      <c r="AJR15">
        <f>SOFR3mo_PX[[#This Row],[Column954]]</f>
        <v>98.644999999999996</v>
      </c>
      <c r="AJS15">
        <f>SOFR3mo_PX[[#This Row],[Column955]]</f>
        <v>98.56</v>
      </c>
      <c r="AJT15">
        <f>SOFR3mo_PX[[#This Row],[Column956]]</f>
        <v>98.564999999999998</v>
      </c>
      <c r="AJU15">
        <f>SOFR3mo_PX[[#This Row],[Column957]]</f>
        <v>98.55</v>
      </c>
      <c r="AJV15">
        <f>SOFR3mo_PX[[#This Row],[Column958]]</f>
        <v>98.534999999999997</v>
      </c>
      <c r="AJW15">
        <f>SOFR3mo_PX[[#This Row],[Column959]]</f>
        <v>98.614999999999995</v>
      </c>
      <c r="AJX15">
        <f>SOFR3mo_PX[[#This Row],[Column960]]</f>
        <v>98.6</v>
      </c>
      <c r="AJY15">
        <f>SOFR3mo_PX[[#This Row],[Column961]]</f>
        <v>98.584999999999994</v>
      </c>
      <c r="AJZ15">
        <f>SOFR3mo_PX[[#This Row],[Column962]]</f>
        <v>98.63</v>
      </c>
      <c r="AKA15">
        <f>SOFR3mo_PX[[#This Row],[Column963]]</f>
        <v>98.71</v>
      </c>
      <c r="AKB15">
        <f>SOFR3mo_PX[[#This Row],[Column964]]</f>
        <v>98.655000000000001</v>
      </c>
      <c r="AKC15">
        <f>SOFR3mo_PX[[#This Row],[Column965]]</f>
        <v>98.66</v>
      </c>
      <c r="AKD15">
        <f>SOFR3mo_PX[[#This Row],[Column966]]</f>
        <v>98.65</v>
      </c>
      <c r="AKE15">
        <f>SOFR3mo_PX[[#This Row],[Column967]]</f>
        <v>98.685000000000002</v>
      </c>
      <c r="AKF15">
        <f>SOFR3mo_PX[[#This Row],[Column968]]</f>
        <v>98.734999999999999</v>
      </c>
      <c r="AKG15">
        <f>SOFR3mo_PX[[#This Row],[Column969]]</f>
        <v>98.78</v>
      </c>
      <c r="AKH15">
        <f>SOFR3mo_PX[[#This Row],[Column970]]</f>
        <v>98.79</v>
      </c>
      <c r="AKI15">
        <f>SOFR3mo_PX[[#This Row],[Column971]]</f>
        <v>98.834999999999994</v>
      </c>
      <c r="AKJ15">
        <f>SOFR3mo_PX[[#This Row],[Column972]]</f>
        <v>98.834999999999994</v>
      </c>
      <c r="AKK15">
        <f>SOFR3mo_PX[[#This Row],[Column973]]</f>
        <v>98.754999999999995</v>
      </c>
      <c r="AKL15">
        <f>SOFR3mo_PX[[#This Row],[Column974]]</f>
        <v>98.74</v>
      </c>
      <c r="AKM15">
        <f>SOFR3mo_PX[[#This Row],[Column975]]</f>
        <v>98.7</v>
      </c>
      <c r="AKN15">
        <f>SOFR3mo_PX[[#This Row],[Column976]]</f>
        <v>98.73</v>
      </c>
      <c r="AKO15">
        <f>SOFR3mo_PX[[#This Row],[Column977]]</f>
        <v>98.754999999999995</v>
      </c>
      <c r="AKP15">
        <f>SOFR3mo_PX[[#This Row],[Column978]]</f>
        <v>98.775000000000006</v>
      </c>
      <c r="AKQ15">
        <f>SOFR3mo_PX[[#This Row],[Column979]]</f>
        <v>98.834999999999994</v>
      </c>
      <c r="AKR15">
        <f>SOFR3mo_PX[[#This Row],[Column980]]</f>
        <v>98.91</v>
      </c>
      <c r="AKS15">
        <f>SOFR3mo_PX[[#This Row],[Column981]]</f>
        <v>98.92</v>
      </c>
      <c r="AKT15">
        <f>SOFR3mo_PX[[#This Row],[Column982]]</f>
        <v>98.855000000000004</v>
      </c>
      <c r="AKU15">
        <f>SOFR3mo_PX[[#This Row],[Column983]]</f>
        <v>98.9</v>
      </c>
      <c r="AKV15">
        <f>SOFR3mo_PX[[#This Row],[Column984]]</f>
        <v>98.954999999999998</v>
      </c>
      <c r="AKW15">
        <f>SOFR3mo_PX[[#This Row],[Column985]]</f>
        <v>99.064999999999998</v>
      </c>
      <c r="AKX15">
        <f>SOFR3mo_PX[[#This Row],[Column986]]</f>
        <v>99.05</v>
      </c>
      <c r="AKY15">
        <f>SOFR3mo_PX[[#This Row],[Column987]]</f>
        <v>99.034999999999997</v>
      </c>
      <c r="AKZ15">
        <f>SOFR3mo_PX[[#This Row],[Column988]]</f>
        <v>99.075000000000003</v>
      </c>
      <c r="ALA15">
        <f>SOFR3mo_PX[[#This Row],[Column989]]</f>
        <v>99.05</v>
      </c>
      <c r="ALB15">
        <f>SOFR3mo_PX[[#This Row],[Column990]]</f>
        <v>99.04</v>
      </c>
      <c r="ALC15">
        <f>SOFR3mo_PX[[#This Row],[Column991]]</f>
        <v>99.094999999999999</v>
      </c>
      <c r="ALD15">
        <f>SOFR3mo_PX[[#This Row],[Column992]]</f>
        <v>99.094999999999999</v>
      </c>
      <c r="ALE15">
        <f>SOFR3mo_PX[[#This Row],[Column993]]</f>
        <v>99.105000000000004</v>
      </c>
      <c r="ALF15">
        <f>SOFR3mo_PX[[#This Row],[Column994]]</f>
        <v>99.094999999999999</v>
      </c>
      <c r="ALG15">
        <f>SOFR3mo_PX[[#This Row],[Column995]]</f>
        <v>99.105000000000004</v>
      </c>
      <c r="ALH15">
        <f>SOFR3mo_PX[[#This Row],[Column996]]</f>
        <v>99.105000000000004</v>
      </c>
      <c r="ALI15">
        <f>SOFR3mo_PX[[#This Row],[Column997]]</f>
        <v>99.055000000000007</v>
      </c>
      <c r="ALJ15">
        <f>SOFR3mo_PX[[#This Row],[Column998]]</f>
        <v>99.004999999999995</v>
      </c>
      <c r="ALK15">
        <f>SOFR3mo_PX[[#This Row],[Column999]]</f>
        <v>99.015000000000001</v>
      </c>
      <c r="ALL15">
        <f>SOFR3mo_PX[[#This Row],[Column1000]]</f>
        <v>99.07</v>
      </c>
      <c r="ALM15">
        <f>SOFR3mo_PX[[#This Row],[Column1001]]</f>
        <v>99.1</v>
      </c>
      <c r="ALN15">
        <f>SOFR3mo_PX[[#This Row],[Column1002]]</f>
        <v>99.084999999999994</v>
      </c>
      <c r="ALO15">
        <f>SOFR3mo_PX[[#This Row],[Column1003]]</f>
        <v>99.105000000000004</v>
      </c>
      <c r="ALP15">
        <f>SOFR3mo_PX[[#This Row],[Column1004]]</f>
        <v>99.09</v>
      </c>
      <c r="ALQ15">
        <f>SOFR3mo_PX[[#This Row],[Column1005]]</f>
        <v>99.11</v>
      </c>
      <c r="ALR15">
        <f>SOFR3mo_PX[[#This Row],[Column1006]]</f>
        <v>99.125</v>
      </c>
      <c r="ALS15">
        <f>SOFR3mo_PX[[#This Row],[Column1007]]</f>
        <v>99.055000000000007</v>
      </c>
      <c r="ALT15">
        <f>SOFR3mo_PX[[#This Row],[Column1008]]</f>
        <v>98.995000000000005</v>
      </c>
      <c r="ALU15">
        <f>SOFR3mo_PX[[#This Row],[Column1009]]</f>
        <v>99.015000000000001</v>
      </c>
      <c r="ALV15">
        <f>SOFR3mo_PX[[#This Row],[Column1010]]</f>
        <v>98.995000000000005</v>
      </c>
      <c r="ALW15">
        <f>SOFR3mo_PX[[#This Row],[Column1011]]</f>
        <v>99.034999999999997</v>
      </c>
      <c r="ALX15">
        <f>SOFR3mo_PX[[#This Row],[Column1012]]</f>
        <v>99.084999999999994</v>
      </c>
      <c r="ALY15">
        <f>SOFR3mo_PX[[#This Row],[Column1013]]</f>
        <v>99.15</v>
      </c>
      <c r="ALZ15">
        <f>SOFR3mo_PX[[#This Row],[Column1014]]</f>
        <v>99.21</v>
      </c>
      <c r="AMA15">
        <f>SOFR3mo_PX[[#This Row],[Column1015]]</f>
        <v>99.265000000000001</v>
      </c>
      <c r="AMB15">
        <f>SOFR3mo_PX[[#This Row],[Column1016]]</f>
        <v>99.25</v>
      </c>
      <c r="AMC15">
        <f>SOFR3mo_PX[[#This Row],[Column1017]]</f>
        <v>99.17</v>
      </c>
      <c r="AMD15">
        <f>SOFR3mo_PX[[#This Row],[Column1018]]</f>
        <v>99.13</v>
      </c>
      <c r="AME15">
        <f>SOFR3mo_PX[[#This Row],[Column1019]]</f>
        <v>99.114999999999995</v>
      </c>
      <c r="AMF15">
        <f>SOFR3mo_PX[[#This Row],[Column1020]]</f>
        <v>99.18</v>
      </c>
      <c r="AMG15">
        <f>SOFR3mo_PX[[#This Row],[Column1021]]</f>
        <v>99.15</v>
      </c>
      <c r="AMH15">
        <f>SOFR3mo_PX[[#This Row],[Column1022]]</f>
        <v>99.155000000000001</v>
      </c>
      <c r="AMI15">
        <f>SOFR3mo_PX[[#This Row],[Column1023]]</f>
        <v>99.165000000000006</v>
      </c>
      <c r="AMJ15">
        <f>SOFR3mo_PX[[#This Row],[Column1024]]</f>
        <v>99.15</v>
      </c>
      <c r="AMK15">
        <f>SOFR3mo_PX[[#This Row],[Column1025]]</f>
        <v>99.234999999999999</v>
      </c>
      <c r="AML15">
        <f>SOFR3mo_PX[[#This Row],[Column1026]]</f>
        <v>99.215000000000003</v>
      </c>
      <c r="AMM15">
        <f>SOFR3mo_PX[[#This Row],[Column1027]]</f>
        <v>99.04</v>
      </c>
      <c r="AMN15">
        <f>SOFR3mo_PX[[#This Row],[Column1028]]</f>
        <v>99.045000000000002</v>
      </c>
      <c r="AMO15">
        <f>SOFR3mo_PX[[#This Row],[Column1029]]</f>
        <v>99.01</v>
      </c>
      <c r="AMP15">
        <f>SOFR3mo_PX[[#This Row],[Column1030]]</f>
        <v>98.97</v>
      </c>
      <c r="AMQ15">
        <f>SOFR3mo_PX[[#This Row],[Column1031]]</f>
        <v>99.04</v>
      </c>
      <c r="AMR15">
        <f>SOFR3mo_PX[[#This Row],[Column1032]]</f>
        <v>99.045000000000002</v>
      </c>
      <c r="AMS15">
        <f>SOFR3mo_PX[[#This Row],[Column1033]]</f>
        <v>99.114999999999995</v>
      </c>
      <c r="AMT15">
        <f>SOFR3mo_PX[[#This Row],[Column1034]]</f>
        <v>99.034999999999997</v>
      </c>
      <c r="AMU15">
        <f>SOFR3mo_PX[[#This Row],[Column1035]]</f>
        <v>99</v>
      </c>
      <c r="AMV15">
        <f>SOFR3mo_PX[[#This Row],[Column1036]]</f>
        <v>98.92</v>
      </c>
      <c r="AMW15">
        <f>SOFR3mo_PX[[#This Row],[Column1037]]</f>
        <v>98.92</v>
      </c>
      <c r="AMX15">
        <f>SOFR3mo_PX[[#This Row],[Column1038]]</f>
        <v>98.855000000000004</v>
      </c>
      <c r="AMY15">
        <f>SOFR3mo_PX[[#This Row],[Column1039]]</f>
        <v>98.905000000000001</v>
      </c>
      <c r="AMZ15">
        <f>SOFR3mo_PX[[#This Row],[Column1040]]</f>
        <v>98.885000000000005</v>
      </c>
      <c r="ANA15">
        <f>SOFR3mo_PX[[#This Row],[Column1041]]</f>
        <v>98.89</v>
      </c>
      <c r="ANB15">
        <f>SOFR3mo_PX[[#This Row],[Column1042]]</f>
        <v>98.864999999999995</v>
      </c>
      <c r="ANC15">
        <f>SOFR3mo_PX[[#This Row],[Column1043]]</f>
        <v>98.9</v>
      </c>
      <c r="AND15">
        <f>SOFR3mo_PX[[#This Row],[Column1044]]</f>
        <v>98.915000000000006</v>
      </c>
      <c r="ANE15">
        <f>SOFR3mo_PX[[#This Row],[Column1045]]</f>
        <v>98.954999999999998</v>
      </c>
      <c r="ANF15">
        <f>SOFR3mo_PX[[#This Row],[Column1046]]</f>
        <v>98.935000000000002</v>
      </c>
      <c r="ANG15">
        <f>SOFR3mo_PX[[#This Row],[Column1047]]</f>
        <v>98.924999999999997</v>
      </c>
      <c r="ANH15">
        <f>SOFR3mo_PX[[#This Row],[Column1048]]</f>
        <v>98.905000000000001</v>
      </c>
      <c r="ANI15">
        <f>SOFR3mo_PX[[#This Row],[Column1049]]</f>
        <v>98.91</v>
      </c>
      <c r="ANJ15">
        <f>SOFR3mo_PX[[#This Row],[Column1050]]</f>
        <v>99.194999999999993</v>
      </c>
      <c r="ANK15">
        <f>SOFR3mo_PX[[#This Row],[Column1051]]</f>
        <v>99.204999999999998</v>
      </c>
      <c r="ANL15">
        <f>SOFR3mo_PX[[#This Row],[Column1052]]</f>
        <v>99.234999999999999</v>
      </c>
      <c r="ANM15">
        <f>SOFR3mo_PX[[#This Row],[Column1053]]</f>
        <v>99.26</v>
      </c>
      <c r="ANN15">
        <f>SOFR3mo_PX[[#This Row],[Column1054]]</f>
        <v>99.24</v>
      </c>
      <c r="ANO15">
        <f>SOFR3mo_PX[[#This Row],[Column1055]]</f>
        <v>99.204999999999998</v>
      </c>
      <c r="ANP15">
        <f>SOFR3mo_PX[[#This Row],[Column1056]]</f>
        <v>99.17</v>
      </c>
      <c r="ANQ15">
        <f>SOFR3mo_PX[[#This Row],[Column1057]]</f>
        <v>99.174999999999997</v>
      </c>
      <c r="ANR15">
        <f>SOFR3mo_PX[[#This Row],[Column1058]]</f>
        <v>99.11</v>
      </c>
      <c r="ANS15">
        <f>SOFR3mo_PX[[#This Row],[Column1059]]</f>
        <v>99.16</v>
      </c>
      <c r="ANT15">
        <f>SOFR3mo_PX[[#This Row],[Column1060]]</f>
        <v>99.13</v>
      </c>
      <c r="ANU15">
        <f>SOFR3mo_PX[[#This Row],[Column1061]]</f>
        <v>99.144999999999996</v>
      </c>
      <c r="ANV15">
        <f>SOFR3mo_PX[[#This Row],[Column1062]]</f>
        <v>99.144999999999996</v>
      </c>
      <c r="ANW15">
        <f>SOFR3mo_PX[[#This Row],[Column1063]]</f>
        <v>99.144999999999996</v>
      </c>
      <c r="ANX15">
        <f>SOFR3mo_PX[[#This Row],[Column1064]]</f>
        <v>99.174999999999997</v>
      </c>
      <c r="ANY15">
        <f>SOFR3mo_PX[[#This Row],[Column1065]]</f>
        <v>99.18</v>
      </c>
      <c r="ANZ15">
        <f>SOFR3mo_PX[[#This Row],[Column1066]]</f>
        <v>99.13</v>
      </c>
      <c r="AOA15">
        <f>SOFR3mo_PX[[#This Row],[Column1067]]</f>
        <v>99.1</v>
      </c>
      <c r="AOB15">
        <f>SOFR3mo_PX[[#This Row],[Column1068]]</f>
        <v>99.114999999999995</v>
      </c>
      <c r="AOC15">
        <f>SOFR3mo_PX[[#This Row],[Column1069]]</f>
        <v>99.06</v>
      </c>
      <c r="AOD15">
        <f>SOFR3mo_PX[[#This Row],[Column1070]]</f>
        <v>99.114999999999995</v>
      </c>
      <c r="AOE15">
        <f>SOFR3mo_PX[[#This Row],[Column1071]]</f>
        <v>99.11</v>
      </c>
      <c r="AOF15">
        <f>SOFR3mo_PX[[#This Row],[Column1072]]</f>
        <v>99.114999999999995</v>
      </c>
      <c r="AOG15">
        <f>SOFR3mo_PX[[#This Row],[Column1073]]</f>
        <v>99.11</v>
      </c>
      <c r="AOH15">
        <f>SOFR3mo_PX[[#This Row],[Column1074]]</f>
        <v>99.064999999999998</v>
      </c>
      <c r="AOI15">
        <f>SOFR3mo_PX[[#This Row],[Column1075]]</f>
        <v>99.16</v>
      </c>
      <c r="AOJ15">
        <f>SOFR3mo_PX[[#This Row],[Column1076]]</f>
        <v>99.18</v>
      </c>
      <c r="AOK15">
        <f>SOFR3mo_PX[[#This Row],[Column1077]]</f>
        <v>99.18</v>
      </c>
      <c r="AOL15">
        <f>SOFR3mo_PX[[#This Row],[Column1078]]</f>
        <v>99.114999999999995</v>
      </c>
      <c r="AOM15">
        <f>SOFR3mo_PX[[#This Row],[Column1079]]</f>
        <v>99.105000000000004</v>
      </c>
      <c r="AON15">
        <f>SOFR3mo_PX[[#This Row],[Column1080]]</f>
        <v>99.09</v>
      </c>
      <c r="AOO15">
        <f>SOFR3mo_PX[[#This Row],[Column1081]]</f>
        <v>99.064999999999998</v>
      </c>
      <c r="AOP15">
        <f>SOFR3mo_PX[[#This Row],[Column1082]]</f>
        <v>99.03</v>
      </c>
      <c r="AOQ15">
        <f>SOFR3mo_PX[[#This Row],[Column1083]]</f>
        <v>99.03</v>
      </c>
      <c r="AOR15">
        <f>SOFR3mo_PX[[#This Row],[Column1084]]</f>
        <v>99.03</v>
      </c>
      <c r="AOS15">
        <f>SOFR3mo_PX[[#This Row],[Column1085]]</f>
        <v>99.015000000000001</v>
      </c>
      <c r="AOT15">
        <f>SOFR3mo_PX[[#This Row],[Column1086]]</f>
        <v>99.06</v>
      </c>
      <c r="AOU15">
        <f>SOFR3mo_PX[[#This Row],[Column1087]]</f>
        <v>99.07</v>
      </c>
      <c r="AOV15">
        <f>SOFR3mo_PX[[#This Row],[Column1088]]</f>
        <v>99.094999999999999</v>
      </c>
      <c r="AOW15">
        <f>SOFR3mo_PX[[#This Row],[Column1089]]</f>
        <v>99.094999999999999</v>
      </c>
      <c r="AOX15">
        <f>SOFR3mo_PX[[#This Row],[Column1090]]</f>
        <v>99.105000000000004</v>
      </c>
      <c r="AOY15">
        <f>SOFR3mo_PX[[#This Row],[Column1091]]</f>
        <v>99.08</v>
      </c>
      <c r="AOZ15">
        <f>SOFR3mo_PX[[#This Row],[Column1092]]</f>
        <v>99.08</v>
      </c>
      <c r="APA15">
        <f>SOFR3mo_PX[[#This Row],[Column1093]]</f>
        <v>99.114999999999995</v>
      </c>
      <c r="APB15">
        <f>SOFR3mo_PX[[#This Row],[Column1094]]</f>
        <v>99.015000000000001</v>
      </c>
      <c r="APC15">
        <f>SOFR3mo_PX[[#This Row],[Column1095]]</f>
        <v>99.03</v>
      </c>
      <c r="APD15">
        <f>SOFR3mo_PX[[#This Row],[Column1096]]</f>
        <v>98.944999999999993</v>
      </c>
      <c r="APE15">
        <f>SOFR3mo_PX[[#This Row],[Column1097]]</f>
        <v>98.98</v>
      </c>
      <c r="APF15">
        <f>SOFR3mo_PX[[#This Row],[Column1098]]</f>
        <v>99.01</v>
      </c>
      <c r="APG15">
        <f>SOFR3mo_PX[[#This Row],[Column1099]]</f>
        <v>98.98</v>
      </c>
      <c r="APH15">
        <f>SOFR3mo_PX[[#This Row],[Column1100]]</f>
        <v>98.944999999999993</v>
      </c>
      <c r="API15">
        <f>SOFR3mo_PX[[#This Row],[Column1101]]</f>
        <v>98.85</v>
      </c>
      <c r="APJ15">
        <f>SOFR3mo_PX[[#This Row],[Column1102]]</f>
        <v>98.814999999999998</v>
      </c>
      <c r="APK15">
        <f>SOFR3mo_PX[[#This Row],[Column1103]]</f>
        <v>98.92</v>
      </c>
      <c r="APL15">
        <f>SOFR3mo_PX[[#This Row],[Column1104]]</f>
        <v>98.885000000000005</v>
      </c>
      <c r="APM15">
        <f>SOFR3mo_PX[[#This Row],[Column1105]]</f>
        <v>98.924999999999997</v>
      </c>
      <c r="APN15">
        <f>SOFR3mo_PX[[#This Row],[Column1106]]</f>
        <v>98.96</v>
      </c>
      <c r="APO15">
        <f>SOFR3mo_PX[[#This Row],[Column1107]]</f>
        <v>99.03</v>
      </c>
      <c r="APP15">
        <f>SOFR3mo_PX[[#This Row],[Column1108]]</f>
        <v>99.07</v>
      </c>
      <c r="APQ15">
        <f>SOFR3mo_PX[[#This Row],[Column1109]]</f>
        <v>99.055000000000007</v>
      </c>
      <c r="APR15">
        <f>SOFR3mo_PX[[#This Row],[Column1110]]</f>
        <v>99.034999999999997</v>
      </c>
      <c r="APS15">
        <f>SOFR3mo_PX[[#This Row],[Column1111]]</f>
        <v>99</v>
      </c>
      <c r="APT15">
        <f>SOFR3mo_PX[[#This Row],[Column1112]]</f>
        <v>98.974999999999994</v>
      </c>
      <c r="APU15">
        <f>SOFR3mo_PX[[#This Row],[Column1113]]</f>
        <v>99.02</v>
      </c>
      <c r="APV15">
        <f>SOFR3mo_PX[[#This Row],[Column1114]]</f>
        <v>99.084999999999994</v>
      </c>
      <c r="APW15">
        <f>SOFR3mo_PX[[#This Row],[Column1115]]</f>
        <v>99.185000000000002</v>
      </c>
      <c r="APX15">
        <f>SOFR3mo_PX[[#This Row],[Column1116]]</f>
        <v>99.17</v>
      </c>
      <c r="APY15">
        <f>SOFR3mo_PX[[#This Row],[Column1117]]</f>
        <v>99.155000000000001</v>
      </c>
      <c r="APZ15">
        <f>SOFR3mo_PX[[#This Row],[Column1118]]</f>
        <v>99.21</v>
      </c>
      <c r="AQA15">
        <f>SOFR3mo_PX[[#This Row],[Column1119]]</f>
        <v>99.22</v>
      </c>
      <c r="AQB15">
        <f>SOFR3mo_PX[[#This Row],[Column1120]]</f>
        <v>99.174999999999997</v>
      </c>
      <c r="AQC15">
        <f>SOFR3mo_PX[[#This Row],[Column1121]]</f>
        <v>99.125</v>
      </c>
      <c r="AQD15">
        <f>SOFR3mo_PX[[#This Row],[Column1122]]</f>
        <v>99.185000000000002</v>
      </c>
      <c r="AQE15">
        <f>SOFR3mo_PX[[#This Row],[Column1123]]</f>
        <v>99.165000000000006</v>
      </c>
      <c r="AQF15">
        <f>SOFR3mo_PX[[#This Row],[Column1124]]</f>
        <v>99.224999999999994</v>
      </c>
      <c r="AQG15">
        <f>SOFR3mo_PX[[#This Row],[Column1125]]</f>
        <v>99.28</v>
      </c>
      <c r="AQH15">
        <f>SOFR3mo_PX[[#This Row],[Column1126]]</f>
        <v>99.24</v>
      </c>
      <c r="AQI15">
        <f>SOFR3mo_PX[[#This Row],[Column1127]]</f>
        <v>99.16</v>
      </c>
      <c r="AQJ15">
        <f>SOFR3mo_PX[[#This Row],[Column1128]]</f>
        <v>99.165000000000006</v>
      </c>
      <c r="AQK15">
        <f>SOFR3mo_PX[[#This Row],[Column1129]]</f>
        <v>99.39</v>
      </c>
      <c r="AQL15">
        <f>SOFR3mo_PX[[#This Row],[Column1130]]</f>
        <v>99.415000000000006</v>
      </c>
      <c r="AQM15">
        <f>SOFR3mo_PX[[#This Row],[Column1131]]</f>
        <v>99.405000000000001</v>
      </c>
      <c r="AQN15">
        <f>SOFR3mo_PX[[#This Row],[Column1132]]</f>
        <v>99.44</v>
      </c>
      <c r="AQO15">
        <f>SOFR3mo_PX[[#This Row],[Column1133]]</f>
        <v>99.484999999999999</v>
      </c>
      <c r="AQP15">
        <f>SOFR3mo_PX[[#This Row],[Column1134]]</f>
        <v>99.454999999999998</v>
      </c>
      <c r="AQQ15">
        <f>SOFR3mo_PX[[#This Row],[Column1135]]</f>
        <v>99.454999999999998</v>
      </c>
      <c r="AQR15">
        <f>SOFR3mo_PX[[#This Row],[Column1136]]</f>
        <v>99.55</v>
      </c>
      <c r="AQS15">
        <f>SOFR3mo_PX[[#This Row],[Column1137]]</f>
        <v>99.55</v>
      </c>
      <c r="AQT15">
        <f>SOFR3mo_PX[[#This Row],[Column1138]]</f>
        <v>99.58</v>
      </c>
      <c r="AQU15">
        <f>SOFR3mo_PX[[#This Row],[Column1139]]</f>
        <v>99.59</v>
      </c>
      <c r="AQV15">
        <f>SOFR3mo_PX[[#This Row],[Column1140]]</f>
        <v>99.575000000000003</v>
      </c>
      <c r="AQW15">
        <f>SOFR3mo_PX[[#This Row],[Column1141]]</f>
        <v>99.564999999999998</v>
      </c>
      <c r="AQX15">
        <f>SOFR3mo_PX[[#This Row],[Column1142]]</f>
        <v>99.584999999999994</v>
      </c>
      <c r="AQY15">
        <f>SOFR3mo_PX[[#This Row],[Column1143]]</f>
        <v>99.59</v>
      </c>
      <c r="AQZ15">
        <f>SOFR3mo_PX[[#This Row],[Column1144]]</f>
        <v>99.6</v>
      </c>
      <c r="ARA15">
        <f>SOFR3mo_PX[[#This Row],[Column1145]]</f>
        <v>99.614999999999995</v>
      </c>
      <c r="ARB15">
        <f>SOFR3mo_PX[[#This Row],[Column1146]]</f>
        <v>99.635000000000005</v>
      </c>
      <c r="ARC15">
        <f>SOFR3mo_PX[[#This Row],[Column1147]]</f>
        <v>99.635000000000005</v>
      </c>
      <c r="ARD15">
        <f>SOFR3mo_PX[[#This Row],[Column1148]]</f>
        <v>99.64</v>
      </c>
      <c r="ARE15">
        <f>SOFR3mo_PX[[#This Row],[Column1149]]</f>
        <v>99.67</v>
      </c>
      <c r="ARF15">
        <f>SOFR3mo_PX[[#This Row],[Column1150]]</f>
        <v>99.655000000000001</v>
      </c>
      <c r="ARG15">
        <f>SOFR3mo_PX[[#This Row],[Column1151]]</f>
        <v>99.66</v>
      </c>
      <c r="ARH15">
        <f>SOFR3mo_PX[[#This Row],[Column1152]]</f>
        <v>99.644999999999996</v>
      </c>
      <c r="ARI15">
        <f>SOFR3mo_PX[[#This Row],[Column1153]]</f>
        <v>99.64</v>
      </c>
      <c r="ARJ15">
        <f>SOFR3mo_PX[[#This Row],[Column1154]]</f>
        <v>99.655000000000001</v>
      </c>
      <c r="ARK15">
        <f>SOFR3mo_PX[[#This Row],[Column1155]]</f>
        <v>99.655000000000001</v>
      </c>
      <c r="ARL15">
        <f>SOFR3mo_PX[[#This Row],[Column1156]]</f>
        <v>99.644999999999996</v>
      </c>
      <c r="ARM15">
        <f>SOFR3mo_PX[[#This Row],[Column1157]]</f>
        <v>99.644999999999996</v>
      </c>
      <c r="ARN15">
        <f>SOFR3mo_PX[[#This Row],[Column1158]]</f>
        <v>99.635000000000005</v>
      </c>
      <c r="ARO15">
        <f>SOFR3mo_PX[[#This Row],[Column1159]]</f>
        <v>99.62</v>
      </c>
      <c r="ARP15">
        <f>SOFR3mo_PX[[#This Row],[Column1160]]</f>
        <v>99.594999999999999</v>
      </c>
      <c r="ARQ15">
        <f>SOFR3mo_PX[[#This Row],[Column1161]]</f>
        <v>99.6</v>
      </c>
      <c r="ARR15">
        <f>SOFR3mo_PX[[#This Row],[Column1162]]</f>
        <v>99.605000000000004</v>
      </c>
      <c r="ARS15">
        <f>SOFR3mo_PX[[#This Row],[Column1163]]</f>
        <v>99.644999999999996</v>
      </c>
      <c r="ART15">
        <f>SOFR3mo_PX[[#This Row],[Column1164]]</f>
        <v>99.704999999999998</v>
      </c>
      <c r="ARU15">
        <f>SOFR3mo_PX[[#This Row],[Column1165]]</f>
        <v>99.75</v>
      </c>
      <c r="ARV15">
        <f>SOFR3mo_PX[[#This Row],[Column1166]]</f>
        <v>99.76</v>
      </c>
      <c r="ARW15">
        <f>SOFR3mo_PX[[#This Row],[Column1167]]</f>
        <v>99.75</v>
      </c>
      <c r="ARX15">
        <f>SOFR3mo_PX[[#This Row],[Column1168]]</f>
        <v>99.75</v>
      </c>
      <c r="ARY15">
        <f>SOFR3mo_PX[[#This Row],[Column1169]]</f>
        <v>99.74</v>
      </c>
      <c r="ARZ15">
        <f>SOFR3mo_PX[[#This Row],[Column1170]]</f>
        <v>99.724999999999994</v>
      </c>
      <c r="ASA15">
        <f>SOFR3mo_PX[[#This Row],[Column1171]]</f>
        <v>99.72</v>
      </c>
      <c r="ASB15">
        <f>SOFR3mo_PX[[#This Row],[Column1172]]</f>
        <v>99.724999999999994</v>
      </c>
      <c r="ASC15">
        <f>SOFR3mo_PX[[#This Row],[Column1173]]</f>
        <v>99.724999999999994</v>
      </c>
      <c r="ASD15">
        <f>SOFR3mo_PX[[#This Row],[Column1174]]</f>
        <v>99.724999999999994</v>
      </c>
      <c r="ASE15">
        <f>SOFR3mo_PX[[#This Row],[Column1175]]</f>
        <v>99.73</v>
      </c>
      <c r="ASF15">
        <f>SOFR3mo_PX[[#This Row],[Column1176]]</f>
        <v>99.724999999999994</v>
      </c>
      <c r="ASG15">
        <f>SOFR3mo_PX[[#This Row],[Column1177]]</f>
        <v>99.724999999999994</v>
      </c>
      <c r="ASH15">
        <f>SOFR3mo_PX[[#This Row],[Column1178]]</f>
        <v>99.734999999999999</v>
      </c>
      <c r="ASI15">
        <f>SOFR3mo_PX[[#This Row],[Column1179]]</f>
        <v>99.745000000000005</v>
      </c>
      <c r="ASJ15">
        <f>SOFR3mo_PX[[#This Row],[Column1180]]</f>
        <v>99.79</v>
      </c>
      <c r="ASK15">
        <f>SOFR3mo_PX[[#This Row],[Column1181]]</f>
        <v>99.79</v>
      </c>
      <c r="ASL15">
        <f>SOFR3mo_PX[[#This Row],[Column1182]]</f>
        <v>99.79</v>
      </c>
      <c r="ASM15">
        <f>SOFR3mo_PX[[#This Row],[Column1183]]</f>
        <v>99.775000000000006</v>
      </c>
      <c r="ASN15">
        <f>SOFR3mo_PX[[#This Row],[Column1184]]</f>
        <v>99.754999999999995</v>
      </c>
      <c r="ASO15">
        <f>SOFR3mo_PX[[#This Row],[Column1185]]</f>
        <v>99.76</v>
      </c>
      <c r="ASP15">
        <f>SOFR3mo_PX[[#This Row],[Column1186]]</f>
        <v>99.76</v>
      </c>
      <c r="ASQ15">
        <f>SOFR3mo_PX[[#This Row],[Column1187]]</f>
        <v>99.74</v>
      </c>
      <c r="ASR15">
        <f>SOFR3mo_PX[[#This Row],[Column1188]]</f>
        <v>99.754999999999995</v>
      </c>
      <c r="ASS15">
        <f>SOFR3mo_PX[[#This Row],[Column1189]]</f>
        <v>99.76</v>
      </c>
      <c r="AST15">
        <f>SOFR3mo_PX[[#This Row],[Column1190]]</f>
        <v>99.76</v>
      </c>
      <c r="ASU15">
        <f>SOFR3mo_PX[[#This Row],[Column1191]]</f>
        <v>99.784999999999997</v>
      </c>
      <c r="ASV15">
        <f>SOFR3mo_PX[[#This Row],[Column1192]]</f>
        <v>99.79</v>
      </c>
      <c r="ASW15">
        <f>SOFR3mo_PX[[#This Row],[Column1193]]</f>
        <v>99.784999999999997</v>
      </c>
      <c r="ASX15">
        <f>SOFR3mo_PX[[#This Row],[Column1194]]</f>
        <v>99.784999999999997</v>
      </c>
      <c r="ASY15">
        <f>SOFR3mo_PX[[#This Row],[Column1195]]</f>
        <v>99.78</v>
      </c>
      <c r="ASZ15">
        <f>SOFR3mo_PX[[#This Row],[Column1196]]</f>
        <v>99.775000000000006</v>
      </c>
      <c r="ATA15">
        <f>SOFR3mo_PX[[#This Row],[Column1197]]</f>
        <v>99.79</v>
      </c>
      <c r="ATB15">
        <f>SOFR3mo_PX[[#This Row],[Column1198]]</f>
        <v>99.784999999999997</v>
      </c>
      <c r="ATC15">
        <f>SOFR3mo_PX[[#This Row],[Column1199]]</f>
        <v>99.784999999999997</v>
      </c>
      <c r="ATD15">
        <f>SOFR3mo_PX[[#This Row],[Column1200]]</f>
        <v>99.79</v>
      </c>
      <c r="ATE15">
        <f>SOFR3mo_PX[[#This Row],[Column1201]]</f>
        <v>99.78</v>
      </c>
      <c r="ATF15">
        <f>SOFR3mo_PX[[#This Row],[Column1202]]</f>
        <v>99.78</v>
      </c>
      <c r="ATG15">
        <f>SOFR3mo_PX[[#This Row],[Column1203]]</f>
        <v>99.775000000000006</v>
      </c>
      <c r="ATH15">
        <f>SOFR3mo_PX[[#This Row],[Column1204]]</f>
        <v>99.754999999999995</v>
      </c>
      <c r="ATI15">
        <f>SOFR3mo_PX[[#This Row],[Column1205]]</f>
        <v>99.754999999999995</v>
      </c>
      <c r="ATJ15">
        <f>SOFR3mo_PX[[#This Row],[Column1206]]</f>
        <v>99.79</v>
      </c>
      <c r="ATK15">
        <f>SOFR3mo_PX[[#This Row],[Column1207]]</f>
        <v>99.834999999999994</v>
      </c>
      <c r="ATL15">
        <f>SOFR3mo_PX[[#This Row],[Column1208]]</f>
        <v>99.84</v>
      </c>
      <c r="ATM15">
        <f>SOFR3mo_PX[[#This Row],[Column1209]]</f>
        <v>99.86</v>
      </c>
      <c r="ATN15">
        <f>SOFR3mo_PX[[#This Row],[Column1210]]</f>
        <v>99.83</v>
      </c>
      <c r="ATO15">
        <f>SOFR3mo_PX[[#This Row],[Column1211]]</f>
        <v>99.84</v>
      </c>
      <c r="ATP15">
        <f>SOFR3mo_PX[[#This Row],[Column1212]]</f>
        <v>99.834999999999994</v>
      </c>
      <c r="ATQ15">
        <f>SOFR3mo_PX[[#This Row],[Column1213]]</f>
        <v>99.84</v>
      </c>
      <c r="ATR15">
        <f>SOFR3mo_PX[[#This Row],[Column1214]]</f>
        <v>99.85</v>
      </c>
      <c r="ATS15">
        <f>SOFR3mo_PX[[#This Row],[Column1215]]</f>
        <v>99.85</v>
      </c>
      <c r="ATT15">
        <f>SOFR3mo_PX[[#This Row],[Column1216]]</f>
        <v>99.844999999999999</v>
      </c>
      <c r="ATU15">
        <f>SOFR3mo_PX[[#This Row],[Column1217]]</f>
        <v>99.834999999999994</v>
      </c>
      <c r="ATV15">
        <f>SOFR3mo_PX[[#This Row],[Column1218]]</f>
        <v>99.825000000000003</v>
      </c>
      <c r="ATW15">
        <f>SOFR3mo_PX[[#This Row],[Column1219]]</f>
        <v>99.85</v>
      </c>
      <c r="ATX15">
        <f>SOFR3mo_PX[[#This Row],[Column1220]]</f>
        <v>99.85</v>
      </c>
      <c r="ATY15">
        <f>SOFR3mo_PX[[#This Row],[Column1221]]</f>
        <v>99.86</v>
      </c>
      <c r="ATZ15">
        <f>SOFR3mo_PX[[#This Row],[Column1222]]</f>
        <v>99.87</v>
      </c>
      <c r="AUA15">
        <f>SOFR3mo_PX[[#This Row],[Column1223]]</f>
        <v>99.864999999999995</v>
      </c>
      <c r="AUB15">
        <f>SOFR3mo_PX[[#This Row],[Column1224]]</f>
        <v>99.87</v>
      </c>
      <c r="AUC15">
        <f>SOFR3mo_PX[[#This Row],[Column1225]]</f>
        <v>99.864999999999995</v>
      </c>
      <c r="AUD15">
        <f>SOFR3mo_PX[[#This Row],[Column1226]]</f>
        <v>99.85</v>
      </c>
      <c r="AUE15">
        <f>SOFR3mo_PX[[#This Row],[Column1227]]</f>
        <v>99.844999999999999</v>
      </c>
      <c r="AUF15">
        <f>SOFR3mo_PX[[#This Row],[Column1228]]</f>
        <v>99.86</v>
      </c>
      <c r="AUG15">
        <f>SOFR3mo_PX[[#This Row],[Column1229]]</f>
        <v>99.855000000000004</v>
      </c>
      <c r="AUH15">
        <f>SOFR3mo_PX[[#This Row],[Column1230]]</f>
        <v>99.88</v>
      </c>
      <c r="AUI15">
        <f>SOFR3mo_PX[[#This Row],[Column1231]]</f>
        <v>99.88</v>
      </c>
      <c r="AUJ15">
        <f>SOFR3mo_PX[[#This Row],[Column1232]]</f>
        <v>99.93</v>
      </c>
      <c r="AUK15">
        <f>SOFR3mo_PX[[#This Row],[Column1233]]</f>
        <v>99.93</v>
      </c>
      <c r="AUL15">
        <f>SOFR3mo_PX[[#This Row],[Column1234]]</f>
        <v>99.93</v>
      </c>
      <c r="AUM15">
        <f>SOFR3mo_PX[[#This Row],[Column1235]]</f>
        <v>99.935000000000002</v>
      </c>
      <c r="AUN15">
        <f>SOFR3mo_PX[[#This Row],[Column1236]]</f>
        <v>99.935000000000002</v>
      </c>
      <c r="AUO15">
        <f>SOFR3mo_PX[[#This Row],[Column1237]]</f>
        <v>99.944999999999993</v>
      </c>
      <c r="AUP15">
        <f>SOFR3mo_PX[[#This Row],[Column1238]]</f>
        <v>99.944999999999993</v>
      </c>
      <c r="AUQ15">
        <f>SOFR3mo_PX[[#This Row],[Column1239]]</f>
        <v>99.95</v>
      </c>
      <c r="AUR15">
        <f>SOFR3mo_PX[[#This Row],[Column1240]]</f>
        <v>99.95</v>
      </c>
      <c r="AUS15">
        <f>SOFR3mo_PX[[#This Row],[Column1241]]</f>
        <v>99.94</v>
      </c>
      <c r="AUT15">
        <f>SOFR3mo_PX[[#This Row],[Column1242]]</f>
        <v>99.92</v>
      </c>
      <c r="AUU15">
        <f>SOFR3mo_PX[[#This Row],[Column1243]]</f>
        <v>99.935000000000002</v>
      </c>
      <c r="AUV15">
        <f>SOFR3mo_PX[[#This Row],[Column1244]]</f>
        <v>99.93</v>
      </c>
      <c r="AUW15">
        <f>SOFR3mo_PX[[#This Row],[Column1245]]</f>
        <v>99.954999999999998</v>
      </c>
      <c r="AUX15">
        <f>SOFR3mo_PX[[#This Row],[Column1246]]</f>
        <v>99.96</v>
      </c>
      <c r="AUY15">
        <f>SOFR3mo_PX[[#This Row],[Column1247]]</f>
        <v>99.95</v>
      </c>
      <c r="AUZ15">
        <f>SOFR3mo_PX[[#This Row],[Column1248]]</f>
        <v>99.924999999999997</v>
      </c>
      <c r="AVA15">
        <f>SOFR3mo_PX[[#This Row],[Column1249]]</f>
        <v>99.92</v>
      </c>
      <c r="AVB15">
        <f>SOFR3mo_PX[[#This Row],[Column1250]]</f>
        <v>99.924999999999997</v>
      </c>
      <c r="AVC15">
        <f>SOFR3mo_PX[[#This Row],[Column1251]]</f>
        <v>99.915000000000006</v>
      </c>
      <c r="AVD15">
        <f>SOFR3mo_PX[[#This Row],[Column1252]]</f>
        <v>99.915000000000006</v>
      </c>
      <c r="AVE15">
        <f>SOFR3mo_PX[[#This Row],[Column1253]]</f>
        <v>99.944999999999993</v>
      </c>
      <c r="AVF15">
        <f>SOFR3mo_PX[[#This Row],[Column1254]]</f>
        <v>99.935000000000002</v>
      </c>
      <c r="AVG15">
        <f>SOFR3mo_PX[[#This Row],[Column1255]]</f>
        <v>99.944999999999993</v>
      </c>
      <c r="AVH15">
        <f>SOFR3mo_PX[[#This Row],[Column1256]]</f>
        <v>99.94</v>
      </c>
      <c r="AVI15">
        <f>SOFR3mo_PX[[#This Row],[Column1257]]</f>
        <v>99.935000000000002</v>
      </c>
      <c r="AVJ15">
        <f>SOFR3mo_PX[[#This Row],[Column1258]]</f>
        <v>99.915000000000006</v>
      </c>
      <c r="AVK15">
        <f>SOFR3mo_PX[[#This Row],[Column1259]]</f>
        <v>99.924999999999997</v>
      </c>
      <c r="AVL15">
        <f>SOFR3mo_PX[[#This Row],[Column1260]]</f>
        <v>99.93</v>
      </c>
      <c r="AVM15">
        <f>SOFR3mo_PX[[#This Row],[Column1261]]</f>
        <v>99.94</v>
      </c>
      <c r="AVN15">
        <f>SOFR3mo_PX[[#This Row],[Column1262]]</f>
        <v>99.935000000000002</v>
      </c>
      <c r="AVO15">
        <f>SOFR3mo_PX[[#This Row],[Column1263]]</f>
        <v>99.944999999999993</v>
      </c>
      <c r="AVP15">
        <f>SOFR3mo_PX[[#This Row],[Column1264]]</f>
        <v>99.944999999999993</v>
      </c>
      <c r="AVQ15">
        <f>SOFR3mo_PX[[#This Row],[Column1265]]</f>
        <v>99.935000000000002</v>
      </c>
      <c r="AVR15">
        <f>SOFR3mo_PX[[#This Row],[Column1266]]</f>
        <v>99.92</v>
      </c>
      <c r="AVS15">
        <f>SOFR3mo_PX[[#This Row],[Column1267]]</f>
        <v>99.91</v>
      </c>
      <c r="AVT15">
        <f>SOFR3mo_PX[[#This Row],[Column1268]]</f>
        <v>99.91</v>
      </c>
      <c r="AVU15">
        <f>SOFR3mo_PX[[#This Row],[Column1269]]</f>
        <v>99.915000000000006</v>
      </c>
      <c r="AVV15">
        <f>SOFR3mo_PX[[#This Row],[Column1270]]</f>
        <v>99.915000000000006</v>
      </c>
      <c r="AVW15">
        <f>SOFR3mo_PX[[#This Row],[Column1271]]</f>
        <v>99.95</v>
      </c>
      <c r="AVX15">
        <f>SOFR3mo_PX[[#This Row],[Column1272]]</f>
        <v>99.96</v>
      </c>
      <c r="AVY15">
        <f>SOFR3mo_PX[[#This Row],[Column1273]]</f>
        <v>99.98</v>
      </c>
      <c r="AVZ15">
        <f>SOFR3mo_PX[[#This Row],[Column1274]]</f>
        <v>99.984999999999999</v>
      </c>
      <c r="AWA15">
        <f>SOFR3mo_PX[[#This Row],[Column1275]]</f>
        <v>99.995000000000005</v>
      </c>
      <c r="AWB15">
        <f>SOFR3mo_PX[[#This Row],[Column1276]]</f>
        <v>99.984999999999999</v>
      </c>
      <c r="AWC15">
        <f>SOFR3mo_PX[[#This Row],[Column1277]]</f>
        <v>99.98</v>
      </c>
      <c r="AWD15">
        <f>SOFR3mo_PX[[#This Row],[Column1278]]</f>
        <v>99.974999999999994</v>
      </c>
      <c r="AWE15">
        <f>SOFR3mo_PX[[#This Row],[Column1279]]</f>
        <v>99.954999999999998</v>
      </c>
      <c r="AWF15">
        <f>SOFR3mo_PX[[#This Row],[Column1280]]</f>
        <v>99.944999999999993</v>
      </c>
      <c r="AWG15">
        <f>SOFR3mo_PX[[#This Row],[Column1281]]</f>
        <v>99.94</v>
      </c>
      <c r="AWH15">
        <f>SOFR3mo_PX[[#This Row],[Column1282]]</f>
        <v>99.95</v>
      </c>
      <c r="AWI15">
        <f>SOFR3mo_PX[[#This Row],[Column1283]]</f>
        <v>99.954999999999998</v>
      </c>
      <c r="AWJ15">
        <f>SOFR3mo_PX[[#This Row],[Column1284]]</f>
        <v>99.954999999999998</v>
      </c>
      <c r="AWK15">
        <f>SOFR3mo_PX[[#This Row],[Column1285]]</f>
        <v>99.95</v>
      </c>
      <c r="AWL15">
        <f>SOFR3mo_PX[[#This Row],[Column1286]]</f>
        <v>99.95</v>
      </c>
      <c r="AWM15">
        <f>SOFR3mo_PX[[#This Row],[Column1287]]</f>
        <v>99.944999999999993</v>
      </c>
      <c r="AWN15">
        <f>SOFR3mo_PX[[#This Row],[Column1288]]</f>
        <v>99.944999999999993</v>
      </c>
      <c r="AWO15">
        <f>SOFR3mo_PX[[#This Row],[Column1289]]</f>
        <v>99.94</v>
      </c>
      <c r="AWP15">
        <f>SOFR3mo_PX[[#This Row],[Column1290]]</f>
        <v>99.95</v>
      </c>
      <c r="AWQ15">
        <f>SOFR3mo_PX[[#This Row],[Column1291]]</f>
        <v>99.95</v>
      </c>
      <c r="AWR15">
        <f>SOFR3mo_PX[[#This Row],[Column1292]]</f>
        <v>99.965000000000003</v>
      </c>
      <c r="AWS15">
        <f>SOFR3mo_PX[[#This Row],[Column1293]]</f>
        <v>99.98</v>
      </c>
      <c r="AWT15">
        <f>SOFR3mo_PX[[#This Row],[Column1294]]</f>
        <v>99.965000000000003</v>
      </c>
      <c r="AWU15">
        <f>SOFR3mo_PX[[#This Row],[Column1295]]</f>
        <v>99.96</v>
      </c>
      <c r="AWV15">
        <f>SOFR3mo_PX[[#This Row],[Column1296]]</f>
        <v>99.954999999999998</v>
      </c>
      <c r="AWW15">
        <f>SOFR3mo_PX[[#This Row],[Column1297]]</f>
        <v>99.954999999999998</v>
      </c>
      <c r="AWX15">
        <f>SOFR3mo_PX[[#This Row],[Column1298]]</f>
        <v>99.954999999999998</v>
      </c>
      <c r="AWY15">
        <f>SOFR3mo_PX[[#This Row],[Column1299]]</f>
        <v>99.944999999999993</v>
      </c>
      <c r="AWZ15">
        <f>SOFR3mo_PX[[#This Row],[Column1300]]</f>
        <v>99.965000000000003</v>
      </c>
      <c r="AXA15">
        <f>SOFR3mo_PX[[#This Row],[Column1301]]</f>
        <v>99.965000000000003</v>
      </c>
      <c r="AXB15">
        <f>SOFR3mo_PX[[#This Row],[Column1302]]</f>
        <v>99.954999999999998</v>
      </c>
      <c r="AXC15">
        <f>SOFR3mo_PX[[#This Row],[Column1303]]</f>
        <v>99.935000000000002</v>
      </c>
      <c r="AXD15">
        <f>SOFR3mo_PX[[#This Row],[Column1304]]</f>
        <v>99.935000000000002</v>
      </c>
      <c r="AXE15">
        <f>SOFR3mo_PX[[#This Row],[Column1305]]</f>
        <v>99.935000000000002</v>
      </c>
      <c r="AXF15">
        <f>SOFR3mo_PX[[#This Row],[Column1306]]</f>
        <v>99.93</v>
      </c>
      <c r="AXG15">
        <f>SOFR3mo_PX[[#This Row],[Column1307]]</f>
        <v>99.92</v>
      </c>
      <c r="AXH15">
        <f>SOFR3mo_PX[[#This Row],[Column1308]]</f>
        <v>99.9</v>
      </c>
      <c r="AXI15">
        <f>SOFR3mo_PX[[#This Row],[Column1309]]</f>
        <v>99.894999999999996</v>
      </c>
      <c r="AXJ15">
        <f>SOFR3mo_PX[[#This Row],[Column1310]]</f>
        <v>99.88</v>
      </c>
      <c r="AXK15">
        <f>SOFR3mo_PX[[#This Row],[Column1311]]</f>
        <v>99.894999999999996</v>
      </c>
      <c r="AXL15">
        <f>SOFR3mo_PX[[#This Row],[Column1312]]</f>
        <v>99.885000000000005</v>
      </c>
      <c r="AXM15">
        <f>SOFR3mo_PX[[#This Row],[Column1313]]</f>
        <v>99.894999999999996</v>
      </c>
      <c r="AXN15">
        <f>SOFR3mo_PX[[#This Row],[Column1314]]</f>
        <v>99.87</v>
      </c>
      <c r="AXO15">
        <f>SOFR3mo_PX[[#This Row],[Column1315]]</f>
        <v>99.82</v>
      </c>
      <c r="AXP15">
        <f>SOFR3mo_PX[[#This Row],[Column1316]]</f>
        <v>99.784999999999997</v>
      </c>
      <c r="AXQ15">
        <f>SOFR3mo_PX[[#This Row],[Column1317]]</f>
        <v>99.78</v>
      </c>
      <c r="AXR15">
        <f>SOFR3mo_PX[[#This Row],[Column1318]]</f>
        <v>99.844999999999999</v>
      </c>
      <c r="AXS15">
        <f>SOFR3mo_PX[[#This Row],[Column1319]]</f>
        <v>99.86</v>
      </c>
      <c r="AXT15">
        <f>SOFR3mo_PX[[#This Row],[Column1320]]</f>
        <v>99.894999999999996</v>
      </c>
      <c r="AXU15">
        <f>SOFR3mo_PX[[#This Row],[Column1321]]</f>
        <v>99.9</v>
      </c>
      <c r="AXV15">
        <f>SOFR3mo_PX[[#This Row],[Column1322]]</f>
        <v>99.89</v>
      </c>
      <c r="AXW15">
        <f>SOFR3mo_PX[[#This Row],[Column1323]]</f>
        <v>99.87</v>
      </c>
      <c r="AXX15">
        <f>SOFR3mo_PX[[#This Row],[Column1324]]</f>
        <v>99.875</v>
      </c>
      <c r="AXY15">
        <f>SOFR3mo_PX[[#This Row],[Column1325]]</f>
        <v>99.88</v>
      </c>
      <c r="AXZ15">
        <f>SOFR3mo_PX[[#This Row],[Column1326]]</f>
        <v>99.885000000000005</v>
      </c>
      <c r="AYA15">
        <f>SOFR3mo_PX[[#This Row],[Column1327]]</f>
        <v>99.885000000000005</v>
      </c>
      <c r="AYB15">
        <f>SOFR3mo_PX[[#This Row],[Column1328]]</f>
        <v>99.88</v>
      </c>
      <c r="AYC15">
        <f>SOFR3mo_PX[[#This Row],[Column1329]]</f>
        <v>99.88</v>
      </c>
      <c r="AYD15">
        <f>SOFR3mo_PX[[#This Row],[Column1330]]</f>
        <v>99.885000000000005</v>
      </c>
      <c r="AYE15">
        <f>SOFR3mo_PX[[#This Row],[Column1331]]</f>
        <v>99.885000000000005</v>
      </c>
      <c r="AYF15">
        <f>SOFR3mo_PX[[#This Row],[Column1332]]</f>
        <v>99.93</v>
      </c>
      <c r="AYG15">
        <f>SOFR3mo_PX[[#This Row],[Column1333]]</f>
        <v>99.905000000000001</v>
      </c>
      <c r="AYH15">
        <f>SOFR3mo_PX[[#This Row],[Column1334]]</f>
        <v>99.894999999999996</v>
      </c>
      <c r="AYI15">
        <f>SOFR3mo_PX[[#This Row],[Column1335]]</f>
        <v>99.875</v>
      </c>
      <c r="AYJ15">
        <f>SOFR3mo_PX[[#This Row],[Column1336]]</f>
        <v>99.875</v>
      </c>
      <c r="AYK15">
        <f>SOFR3mo_PX[[#This Row],[Column1337]]</f>
        <v>99.894999999999996</v>
      </c>
      <c r="AYL15">
        <f>SOFR3mo_PX[[#This Row],[Column1338]]</f>
        <v>99.905000000000001</v>
      </c>
      <c r="AYM15">
        <f>SOFR3mo_PX[[#This Row],[Column1339]]</f>
        <v>99.85</v>
      </c>
      <c r="AYN15">
        <f>SOFR3mo_PX[[#This Row],[Column1340]]</f>
        <v>99.834999999999994</v>
      </c>
      <c r="AYO15">
        <f>SOFR3mo_PX[[#This Row],[Column1341]]</f>
        <v>99.84</v>
      </c>
      <c r="AYP15">
        <f>SOFR3mo_PX[[#This Row],[Column1342]]</f>
        <v>99.825000000000003</v>
      </c>
      <c r="AYQ15">
        <f>SOFR3mo_PX[[#This Row],[Column1343]]</f>
        <v>99.83</v>
      </c>
      <c r="AYR15">
        <f>SOFR3mo_PX[[#This Row],[Column1344]]</f>
        <v>99.82</v>
      </c>
      <c r="AYS15">
        <f>SOFR3mo_PX[[#This Row],[Column1345]]</f>
        <v>99.805000000000007</v>
      </c>
      <c r="AYT15">
        <f>SOFR3mo_PX[[#This Row],[Column1346]]</f>
        <v>99.8</v>
      </c>
      <c r="AYU15">
        <f>SOFR3mo_PX[[#This Row],[Column1347]]</f>
        <v>99.81</v>
      </c>
      <c r="AYV15">
        <f>SOFR3mo_PX[[#This Row],[Column1348]]</f>
        <v>99.81</v>
      </c>
      <c r="AYW15">
        <f>SOFR3mo_PX[[#This Row],[Column1349]]</f>
        <v>99.805000000000007</v>
      </c>
      <c r="AYX15">
        <f>SOFR3mo_PX[[#This Row],[Column1350]]</f>
        <v>99.814999999999998</v>
      </c>
      <c r="AYY15">
        <f>SOFR3mo_PX[[#This Row],[Column1351]]</f>
        <v>99.795000000000002</v>
      </c>
      <c r="AYZ15">
        <f>SOFR3mo_PX[[#This Row],[Column1352]]</f>
        <v>99.784999999999997</v>
      </c>
      <c r="AZA15">
        <f>SOFR3mo_PX[[#This Row],[Column1353]]</f>
        <v>99.77</v>
      </c>
      <c r="AZB15">
        <f>SOFR3mo_PX[[#This Row],[Column1354]]</f>
        <v>99.76</v>
      </c>
      <c r="AZC15">
        <f>SOFR3mo_PX[[#This Row],[Column1355]]</f>
        <v>99.73</v>
      </c>
      <c r="AZD15">
        <f>SOFR3mo_PX[[#This Row],[Column1356]]</f>
        <v>99.715000000000003</v>
      </c>
      <c r="AZE15">
        <f>SOFR3mo_PX[[#This Row],[Column1357]]</f>
        <v>99.724999999999994</v>
      </c>
      <c r="AZF15">
        <f>SOFR3mo_PX[[#This Row],[Column1358]]</f>
        <v>99.724999999999994</v>
      </c>
      <c r="AZG15">
        <f>SOFR3mo_PX[[#This Row],[Column1359]]</f>
        <v>99.704999999999998</v>
      </c>
      <c r="AZH15">
        <f>SOFR3mo_PX[[#This Row],[Column1360]]</f>
        <v>99.69</v>
      </c>
      <c r="AZI15">
        <f>SOFR3mo_PX[[#This Row],[Column1361]]</f>
        <v>99.734999999999999</v>
      </c>
      <c r="AZJ15">
        <f>SOFR3mo_PX[[#This Row],[Column1362]]</f>
        <v>99.795000000000002</v>
      </c>
      <c r="AZK15">
        <f>SOFR3mo_PX[[#This Row],[Column1363]]</f>
        <v>99.79</v>
      </c>
      <c r="AZL15">
        <f>SOFR3mo_PX[[#This Row],[Column1364]]</f>
        <v>99.805000000000007</v>
      </c>
      <c r="AZM15">
        <f>SOFR3mo_PX[[#This Row],[Column1365]]</f>
        <v>99.78</v>
      </c>
      <c r="AZN15">
        <f>SOFR3mo_PX[[#This Row],[Column1366]]</f>
        <v>99.81</v>
      </c>
      <c r="AZO15">
        <f>SOFR3mo_PX[[#This Row],[Column1367]]</f>
        <v>99.765000000000001</v>
      </c>
      <c r="AZP15">
        <f>SOFR3mo_PX[[#This Row],[Column1368]]</f>
        <v>99.745000000000005</v>
      </c>
      <c r="AZQ15">
        <f>SOFR3mo_PX[[#This Row],[Column1369]]</f>
        <v>99.715000000000003</v>
      </c>
      <c r="AZR15">
        <f>SOFR3mo_PX[[#This Row],[Column1370]]</f>
        <v>99.71</v>
      </c>
      <c r="AZS15">
        <f>SOFR3mo_PX[[#This Row],[Column1371]]</f>
        <v>99.77</v>
      </c>
      <c r="AZT15">
        <f>SOFR3mo_PX[[#This Row],[Column1372]]</f>
        <v>99.69</v>
      </c>
      <c r="AZU15">
        <f>SOFR3mo_PX[[#This Row],[Column1373]]</f>
        <v>99.63</v>
      </c>
      <c r="AZV15">
        <f>SOFR3mo_PX[[#This Row],[Column1374]]</f>
        <v>99.525000000000006</v>
      </c>
      <c r="AZW15">
        <f>SOFR3mo_PX[[#This Row],[Column1375]]</f>
        <v>99.635000000000005</v>
      </c>
      <c r="AZX15">
        <f>SOFR3mo_PX[[#This Row],[Column1376]]</f>
        <v>99.685000000000002</v>
      </c>
      <c r="AZY15">
        <f>SOFR3mo_PX[[#This Row],[Column1377]]</f>
        <v>99.61</v>
      </c>
      <c r="AZZ15">
        <f>SOFR3mo_PX[[#This Row],[Column1378]]</f>
        <v>99.65</v>
      </c>
      <c r="BAA15">
        <f>SOFR3mo_PX[[#This Row],[Column1379]]</f>
        <v>99.58</v>
      </c>
      <c r="BAB15">
        <f>SOFR3mo_PX[[#This Row],[Column1380]]</f>
        <v>99.57</v>
      </c>
      <c r="BAC15">
        <f>SOFR3mo_PX[[#This Row],[Column1381]]</f>
        <v>99.69</v>
      </c>
      <c r="BAD15">
        <f>SOFR3mo_PX[[#This Row],[Column1382]]</f>
        <v>99.614999999999995</v>
      </c>
      <c r="BAE15">
        <f>SOFR3mo_PX[[#This Row],[Column1383]]</f>
        <v>99.53</v>
      </c>
      <c r="BAF15">
        <f>SOFR3mo_PX[[#This Row],[Column1384]]</f>
        <v>99.48</v>
      </c>
      <c r="BAG15">
        <f>SOFR3mo_PX[[#This Row],[Column1385]]</f>
        <v>99.42</v>
      </c>
      <c r="BAH15">
        <f>SOFR3mo_PX[[#This Row],[Column1386]]</f>
        <v>99.35</v>
      </c>
      <c r="BAI15">
        <f>SOFR3mo_PX[[#This Row],[Column1387]]</f>
        <v>99.35</v>
      </c>
      <c r="BAJ15">
        <f>SOFR3mo_PX[[#This Row],[Column1388]]</f>
        <v>99.15</v>
      </c>
      <c r="BAK15">
        <f>SOFR3mo_PX[[#This Row],[Column1389]]</f>
        <v>99.094999999999999</v>
      </c>
      <c r="BAL15">
        <f>SOFR3mo_PX[[#This Row],[Column1390]]</f>
        <v>99.105000000000004</v>
      </c>
      <c r="BAM15">
        <f>SOFR3mo_PX[[#This Row],[Column1391]]</f>
        <v>99.05</v>
      </c>
      <c r="BAN15">
        <f>SOFR3mo_PX[[#This Row],[Column1392]]</f>
        <v>98.94</v>
      </c>
      <c r="BAO15">
        <f>SOFR3mo_PX[[#This Row],[Column1393]]</f>
        <v>98.875</v>
      </c>
      <c r="BAP15">
        <f>SOFR3mo_PX[[#This Row],[Column1394]]</f>
        <v>98.83</v>
      </c>
      <c r="BAQ15">
        <f>SOFR3mo_PX[[#This Row],[Column1395]]</f>
        <v>98.855000000000004</v>
      </c>
      <c r="BAR15">
        <f>SOFR3mo_PX[[#This Row],[Column1396]]</f>
        <v>98.825000000000003</v>
      </c>
      <c r="BAS15">
        <f>SOFR3mo_PX[[#This Row],[Column1397]]</f>
        <v>98.825000000000003</v>
      </c>
      <c r="BAT15">
        <f>SOFR3mo_PX[[#This Row],[Column1398]]</f>
        <v>98.79</v>
      </c>
      <c r="BAU15">
        <f>SOFR3mo_PX[[#This Row],[Column1399]]</f>
        <v>98.79</v>
      </c>
      <c r="BAV15">
        <f>SOFR3mo_PX[[#This Row],[Column1400]]</f>
        <v>98.83</v>
      </c>
      <c r="BAW15">
        <f>SOFR3mo_PX[[#This Row],[Column1401]]</f>
        <v>98.86</v>
      </c>
      <c r="BAX15">
        <f>SOFR3mo_PX[[#This Row],[Column1402]]</f>
        <v>98.825000000000003</v>
      </c>
      <c r="BAY15">
        <f>SOFR3mo_PX[[#This Row],[Column1403]]</f>
        <v>98.77</v>
      </c>
      <c r="BAZ15">
        <f>SOFR3mo_PX[[#This Row],[Column1404]]</f>
        <v>98.79</v>
      </c>
      <c r="BBA15">
        <f>SOFR3mo_PX[[#This Row],[Column1405]]</f>
        <v>98.83</v>
      </c>
      <c r="BBB15">
        <f>SOFR3mo_PX[[#This Row],[Column1406]]</f>
        <v>98.915000000000006</v>
      </c>
      <c r="BBC15">
        <f>SOFR3mo_PX[[#This Row],[Column1407]]</f>
        <v>98.93</v>
      </c>
      <c r="BBD15">
        <f>SOFR3mo_PX[[#This Row],[Column1408]]</f>
        <v>98.875</v>
      </c>
      <c r="BBE15">
        <f>SOFR3mo_PX[[#This Row],[Column1409]]</f>
        <v>98.83</v>
      </c>
      <c r="BBF15">
        <f>SOFR3mo_PX[[#This Row],[Column1410]]</f>
        <v>98.78</v>
      </c>
      <c r="BBG15">
        <f>SOFR3mo_PX[[#This Row],[Column1411]]</f>
        <v>98.814999999999998</v>
      </c>
      <c r="BBH15">
        <f>SOFR3mo_PX[[#This Row],[Column1412]]</f>
        <v>98.73</v>
      </c>
      <c r="BBI15">
        <f>SOFR3mo_PX[[#This Row],[Column1413]]</f>
        <v>98.674999999999997</v>
      </c>
      <c r="BBJ15">
        <f>SOFR3mo_PX[[#This Row],[Column1414]]</f>
        <v>98.655000000000001</v>
      </c>
      <c r="BBK15">
        <f>SOFR3mo_PX[[#This Row],[Column1415]]</f>
        <v>98.64</v>
      </c>
      <c r="BBL15">
        <f>SOFR3mo_PX[[#This Row],[Column1416]]</f>
        <v>98.584999999999994</v>
      </c>
      <c r="BBM15">
        <f>SOFR3mo_PX[[#This Row],[Column1417]]</f>
        <v>98.584999999999994</v>
      </c>
      <c r="BBN15">
        <f>SOFR3mo_PX[[#This Row],[Column1418]]</f>
        <v>98.6</v>
      </c>
      <c r="BBO15">
        <f>SOFR3mo_PX[[#This Row],[Column1419]]</f>
        <v>98.61</v>
      </c>
      <c r="BBP15">
        <f>SOFR3mo_PX[[#This Row],[Column1420]]</f>
        <v>98.6</v>
      </c>
      <c r="BBQ15">
        <f>SOFR3mo_PX[[#This Row],[Column1421]]</f>
        <v>98.584999999999994</v>
      </c>
      <c r="BBR15">
        <f>SOFR3mo_PX[[#This Row],[Column1422]]</f>
        <v>98.59</v>
      </c>
      <c r="BBS15">
        <f>SOFR3mo_PX[[#This Row],[Column1423]]</f>
        <v>98.575000000000003</v>
      </c>
      <c r="BBT15">
        <f>SOFR3mo_PX[[#This Row],[Column1424]]</f>
        <v>98.57</v>
      </c>
      <c r="BBU15">
        <f>SOFR3mo_PX[[#This Row],[Column1425]]</f>
        <v>98.614999999999995</v>
      </c>
      <c r="BBV15">
        <f>SOFR3mo_PX[[#This Row],[Column1426]]</f>
        <v>98.625</v>
      </c>
      <c r="BBW15">
        <f>SOFR3mo_PX[[#This Row],[Column1427]]</f>
        <v>98.63</v>
      </c>
      <c r="BBX15">
        <f>SOFR3mo_PX[[#This Row],[Column1428]]</f>
        <v>98.54</v>
      </c>
      <c r="BBY15">
        <f>SOFR3mo_PX[[#This Row],[Column1429]]</f>
        <v>98.53</v>
      </c>
      <c r="BBZ15">
        <f>SOFR3mo_PX[[#This Row],[Column1430]]</f>
        <v>98.53</v>
      </c>
      <c r="BCA15">
        <f>SOFR3mo_PX[[#This Row],[Column1431]]</f>
        <v>98.534999999999997</v>
      </c>
      <c r="BCB15">
        <f>SOFR3mo_PX[[#This Row],[Column1432]]</f>
        <v>98.534999999999997</v>
      </c>
      <c r="BCC15">
        <f>SOFR3mo_PX[[#This Row],[Column1433]]</f>
        <v>98.495000000000005</v>
      </c>
      <c r="BCD15">
        <f>SOFR3mo_PX[[#This Row],[Column1434]]</f>
        <v>98.495000000000005</v>
      </c>
      <c r="BCE15">
        <f>SOFR3mo_PX[[#This Row],[Column1435]]</f>
        <v>98.495000000000005</v>
      </c>
      <c r="BCF15">
        <f>SOFR3mo_PX[[#This Row],[Column1436]]</f>
        <v>98.474999999999994</v>
      </c>
      <c r="BCG15">
        <f>SOFR3mo_PX[[#This Row],[Column1437]]</f>
        <v>98.515000000000001</v>
      </c>
      <c r="BCH15">
        <f>SOFR3mo_PX[[#This Row],[Column1438]]</f>
        <v>98.53</v>
      </c>
      <c r="BCI15">
        <f>SOFR3mo_PX[[#This Row],[Column1439]]</f>
        <v>98.51</v>
      </c>
      <c r="BCJ15">
        <f>SOFR3mo_PX[[#This Row],[Column1440]]</f>
        <v>98.545000000000002</v>
      </c>
      <c r="BCK15">
        <f>SOFR3mo_PX[[#This Row],[Column1441]]</f>
        <v>98.555000000000007</v>
      </c>
      <c r="BCL15">
        <f>SOFR3mo_PX[[#This Row],[Column1442]]</f>
        <v>98.63</v>
      </c>
      <c r="BCM15">
        <f>SOFR3mo_PX[[#This Row],[Column1443]]</f>
        <v>98.55</v>
      </c>
      <c r="BCN15">
        <f>SOFR3mo_PX[[#This Row],[Column1444]]</f>
        <v>98.635000000000005</v>
      </c>
      <c r="BCO15">
        <f>SOFR3mo_PX[[#This Row],[Column1445]]</f>
        <v>98.594999999999999</v>
      </c>
      <c r="BCP15">
        <f>SOFR3mo_PX[[#This Row],[Column1446]]</f>
        <v>98.61</v>
      </c>
      <c r="BCQ15">
        <f>SOFR3mo_PX[[#This Row],[Column1447]]</f>
        <v>98.62</v>
      </c>
      <c r="BCR15">
        <f>SOFR3mo_PX[[#This Row],[Column1448]]</f>
        <v>98.68</v>
      </c>
      <c r="BCS15">
        <f>SOFR3mo_PX[[#This Row],[Column1449]]</f>
        <v>98.694999999999993</v>
      </c>
      <c r="BCT15">
        <f>SOFR3mo_PX[[#This Row],[Column1450]]</f>
        <v>98.77</v>
      </c>
      <c r="BCU15">
        <f>SOFR3mo_PX[[#This Row],[Column1451]]</f>
        <v>98.65</v>
      </c>
      <c r="BCV15">
        <f>SOFR3mo_PX[[#This Row],[Column1452]]</f>
        <v>98.685000000000002</v>
      </c>
      <c r="BCW15">
        <f>SOFR3mo_PX[[#This Row],[Column1453]]</f>
        <v>98.674999999999997</v>
      </c>
      <c r="BCX15">
        <f>SOFR3mo_PX[[#This Row],[Column1454]]</f>
        <v>98.674999999999997</v>
      </c>
      <c r="BCY15">
        <f>SOFR3mo_PX[[#This Row],[Column1455]]</f>
        <v>98.715000000000003</v>
      </c>
      <c r="BCZ15">
        <f>SOFR3mo_PX[[#This Row],[Column1456]]</f>
        <v>98.704999999999998</v>
      </c>
      <c r="BDA15">
        <f>SOFR3mo_PX[[#This Row],[Column1457]]</f>
        <v>98.69</v>
      </c>
      <c r="BDB15">
        <f>SOFR3mo_PX[[#This Row],[Column1458]]</f>
        <v>98.71</v>
      </c>
      <c r="BDC15">
        <f>SOFR3mo_PX[[#This Row],[Column1459]]</f>
        <v>98.74</v>
      </c>
      <c r="BDD15">
        <f>SOFR3mo_PX[[#This Row],[Column1460]]</f>
        <v>98.704999999999998</v>
      </c>
      <c r="BDE15">
        <f>SOFR3mo_PX[[#This Row],[Column1461]]</f>
        <v>98.68</v>
      </c>
      <c r="BDF15">
        <f>SOFR3mo_PX[[#This Row],[Column1462]]</f>
        <v>98.655000000000001</v>
      </c>
      <c r="BDG15">
        <f>SOFR3mo_PX[[#This Row],[Column1463]]</f>
        <v>98.665000000000006</v>
      </c>
      <c r="BDH15">
        <f>SOFR3mo_PX[[#This Row],[Column1464]]</f>
        <v>98.614999999999995</v>
      </c>
      <c r="BDI15">
        <f>SOFR3mo_PX[[#This Row],[Column1465]]</f>
        <v>98.564999999999998</v>
      </c>
      <c r="BDJ15">
        <f>SOFR3mo_PX[[#This Row],[Column1466]]</f>
        <v>98.534999999999997</v>
      </c>
      <c r="BDK15">
        <f>SOFR3mo_PX[[#This Row],[Column1467]]</f>
        <v>98.545000000000002</v>
      </c>
      <c r="BDL15">
        <f>SOFR3mo_PX[[#This Row],[Column1468]]</f>
        <v>98.53</v>
      </c>
      <c r="BDM15">
        <f>SOFR3mo_PX[[#This Row],[Column1469]]</f>
        <v>98.64</v>
      </c>
      <c r="BDN15">
        <f>SOFR3mo_PX[[#This Row],[Column1470]]</f>
        <v>98.614999999999995</v>
      </c>
      <c r="BDO15">
        <f>SOFR3mo_PX[[#This Row],[Column1471]]</f>
        <v>98.674999999999997</v>
      </c>
      <c r="BDP15">
        <f>SOFR3mo_PX[[#This Row],[Column1472]]</f>
        <v>98.724999999999994</v>
      </c>
      <c r="BDQ15">
        <f>SOFR3mo_PX[[#This Row],[Column1473]]</f>
        <v>98.795000000000002</v>
      </c>
      <c r="BDR15">
        <f>SOFR3mo_PX[[#This Row],[Column1474]]</f>
        <v>98.67</v>
      </c>
      <c r="BDS15">
        <f>SOFR3mo_PX[[#This Row],[Column1475]]</f>
        <v>98.65</v>
      </c>
      <c r="BDT15">
        <f>SOFR3mo_PX[[#This Row],[Column1476]]</f>
        <v>98.655000000000001</v>
      </c>
      <c r="BDU15">
        <f>SOFR3mo_PX[[#This Row],[Column1477]]</f>
        <v>98.685000000000002</v>
      </c>
      <c r="BDV15">
        <f>SOFR3mo_PX[[#This Row],[Column1478]]</f>
        <v>98.73</v>
      </c>
      <c r="BDW15">
        <f>SOFR3mo_PX[[#This Row],[Column1479]]</f>
        <v>98.74</v>
      </c>
      <c r="BDX15">
        <f>SOFR3mo_PX[[#This Row],[Column1480]]</f>
        <v>98.72</v>
      </c>
      <c r="BDY15">
        <f>SOFR3mo_PX[[#This Row],[Column1481]]</f>
        <v>98.694999999999993</v>
      </c>
      <c r="BDZ15">
        <f>SOFR3mo_PX[[#This Row],[Column1482]]</f>
        <v>98.734999999999999</v>
      </c>
      <c r="BEA15">
        <f>SOFR3mo_PX[[#This Row],[Column1483]]</f>
        <v>98.71</v>
      </c>
      <c r="BEB15">
        <f>SOFR3mo_PX[[#This Row],[Column1484]]</f>
        <v>98.734999999999999</v>
      </c>
      <c r="BEC15">
        <f>SOFR3mo_PX[[#This Row],[Column1485]]</f>
        <v>98.694999999999993</v>
      </c>
      <c r="BED15">
        <f>SOFR3mo_PX[[#This Row],[Column1486]]</f>
        <v>98.75</v>
      </c>
      <c r="BEE15">
        <f>SOFR3mo_PX[[#This Row],[Column1487]]</f>
        <v>98.73</v>
      </c>
      <c r="BEF15">
        <f>SOFR3mo_PX[[#This Row],[Column1488]]</f>
        <v>98.86</v>
      </c>
      <c r="BEG15">
        <f>SOFR3mo_PX[[#This Row],[Column1489]]</f>
        <v>98.924999999999997</v>
      </c>
      <c r="BEH15">
        <f>SOFR3mo_PX[[#This Row],[Column1490]]</f>
        <v>98.98</v>
      </c>
      <c r="BEI15">
        <f>SOFR3mo_PX[[#This Row],[Column1491]]</f>
        <v>98.97</v>
      </c>
      <c r="BEJ15">
        <f>SOFR3mo_PX[[#This Row],[Column1492]]</f>
        <v>99.04</v>
      </c>
      <c r="BEK15">
        <f>SOFR3mo_PX[[#This Row],[Column1493]]</f>
        <v>99.05</v>
      </c>
      <c r="BEL15">
        <f>SOFR3mo_PX[[#This Row],[Column1494]]</f>
        <v>98.95</v>
      </c>
      <c r="BEM15">
        <f>SOFR3mo_PX[[#This Row],[Column1495]]</f>
        <v>98.875</v>
      </c>
      <c r="BEN15">
        <f>SOFR3mo_PX[[#This Row],[Column1496]]</f>
        <v>98.805000000000007</v>
      </c>
      <c r="BEO15">
        <f>SOFR3mo_PX[[#This Row],[Column1497]]</f>
        <v>98.814999999999998</v>
      </c>
      <c r="BEP15">
        <f>SOFR3mo_PX[[#This Row],[Column1498]]</f>
        <v>98.805000000000007</v>
      </c>
      <c r="BEQ15">
        <f>SOFR3mo_PX[[#This Row],[Column1499]]</f>
        <v>98.79</v>
      </c>
      <c r="BER15">
        <f>SOFR3mo_PX[[#This Row],[Column1500]]</f>
        <v>98.89</v>
      </c>
      <c r="BES15">
        <f>SOFR3mo_PX[[#This Row],[Column1501]]</f>
        <v>98.795000000000002</v>
      </c>
      <c r="BET15">
        <f>SOFR3mo_PX[[#This Row],[Column1502]]</f>
        <v>98.754999999999995</v>
      </c>
      <c r="BEU15">
        <f>SOFR3mo_PX[[#This Row],[Column1503]]</f>
        <v>98.77</v>
      </c>
      <c r="BEV15">
        <f>SOFR3mo_PX[[#This Row],[Column1504]]</f>
        <v>98.734999999999999</v>
      </c>
      <c r="BEW15">
        <f>SOFR3mo_PX[[#This Row],[Column1505]]</f>
        <v>98.745000000000005</v>
      </c>
      <c r="BEX15">
        <f>SOFR3mo_PX[[#This Row],[Column1506]]</f>
        <v>98.704999999999998</v>
      </c>
      <c r="BEY15">
        <f>SOFR3mo_PX[[#This Row],[Column1507]]</f>
        <v>98.644999999999996</v>
      </c>
      <c r="BEZ15">
        <f>SOFR3mo_PX[[#This Row],[Column1508]]</f>
        <v>98.74</v>
      </c>
      <c r="BFA15">
        <f>SOFR3mo_PX[[#This Row],[Column1509]]</f>
        <v>98.825000000000003</v>
      </c>
      <c r="BFB15">
        <f>SOFR3mo_PX[[#This Row],[Column1510]]</f>
        <v>98.85</v>
      </c>
      <c r="BFC15">
        <f>SOFR3mo_PX[[#This Row],[Column1511]]</f>
        <v>98.95</v>
      </c>
      <c r="BFD15">
        <f>SOFR3mo_PX[[#This Row],[Column1512]]</f>
        <v>99.025000000000006</v>
      </c>
      <c r="BFE15">
        <f>SOFR3mo_PX[[#This Row],[Column1513]]</f>
        <v>99.03</v>
      </c>
      <c r="BFF15">
        <f>SOFR3mo_PX[[#This Row],[Column1514]]</f>
        <v>99.16</v>
      </c>
      <c r="BFG15">
        <f>SOFR3mo_PX[[#This Row],[Column1515]]</f>
        <v>99.12</v>
      </c>
      <c r="BFH15">
        <f>SOFR3mo_PX[[#This Row],[Column1516]]</f>
        <v>99.04</v>
      </c>
      <c r="BFI15">
        <f>SOFR3mo_PX[[#This Row],[Column1517]]</f>
        <v>99.04</v>
      </c>
      <c r="BFJ15">
        <f>SOFR3mo_PX[[#This Row],[Column1518]]</f>
        <v>99.015000000000001</v>
      </c>
      <c r="BFK15">
        <f>SOFR3mo_PX[[#This Row],[Column1519]]</f>
        <v>99.055000000000007</v>
      </c>
      <c r="BFL15">
        <f>SOFR3mo_PX[[#This Row],[Column1520]]</f>
        <v>99.01</v>
      </c>
      <c r="BFM15">
        <f>SOFR3mo_PX[[#This Row],[Column1521]]</f>
        <v>98.965000000000003</v>
      </c>
      <c r="BFN15">
        <f>SOFR3mo_PX[[#This Row],[Column1522]]</f>
        <v>98.99</v>
      </c>
      <c r="BFO15">
        <f>SOFR3mo_PX[[#This Row],[Column1523]]</f>
        <v>98.885000000000005</v>
      </c>
      <c r="BFP15">
        <f>SOFR3mo_PX[[#This Row],[Column1524]]</f>
        <v>98.915000000000006</v>
      </c>
      <c r="BFQ15">
        <f>SOFR3mo_PX[[#This Row],[Column1525]]</f>
        <v>98.95</v>
      </c>
      <c r="BFR15">
        <f>SOFR3mo_PX[[#This Row],[Column1526]]</f>
        <v>98.91</v>
      </c>
      <c r="BFS15">
        <f>SOFR3mo_PX[[#This Row],[Column1527]]</f>
        <v>98.97</v>
      </c>
      <c r="BFT15">
        <f>SOFR3mo_PX[[#This Row],[Column1528]]</f>
        <v>98.965000000000003</v>
      </c>
      <c r="BFU15">
        <f>SOFR3mo_PX[[#This Row],[Column1529]]</f>
        <v>98.894999999999996</v>
      </c>
      <c r="BFV15">
        <f>SOFR3mo_PX[[#This Row],[Column1530]]</f>
        <v>98.81</v>
      </c>
      <c r="BFW15">
        <f>SOFR3mo_PX[[#This Row],[Column1531]]</f>
        <v>98.915000000000006</v>
      </c>
      <c r="BFX15">
        <f>SOFR3mo_PX[[#This Row],[Column1532]]</f>
        <v>98.834999999999994</v>
      </c>
      <c r="BFY15">
        <f>SOFR3mo_PX[[#This Row],[Column1533]]</f>
        <v>98.88</v>
      </c>
      <c r="BFZ15">
        <f>SOFR3mo_PX[[#This Row],[Column1534]]</f>
        <v>98.954999999999998</v>
      </c>
      <c r="BGA15">
        <f>SOFR3mo_PX[[#This Row],[Column1535]]</f>
        <v>98.86</v>
      </c>
      <c r="BGB15">
        <f>SOFR3mo_PX[[#This Row],[Column1536]]</f>
        <v>98.924999999999997</v>
      </c>
      <c r="BGC15">
        <f>SOFR3mo_PX[[#This Row],[Column1537]]</f>
        <v>98.71</v>
      </c>
      <c r="BGD15">
        <f>SOFR3mo_PX[[#This Row],[Column1538]]</f>
        <v>98.69</v>
      </c>
      <c r="BGE15">
        <f>SOFR3mo_PX[[#This Row],[Column1539]]</f>
        <v>98.5</v>
      </c>
      <c r="BGF15">
        <f>SOFR3mo_PX[[#This Row],[Column1540]]</f>
        <v>98.51</v>
      </c>
      <c r="BGG15">
        <f>SOFR3mo_PX[[#This Row],[Column1541]]</f>
        <v>98.52</v>
      </c>
      <c r="BGH15">
        <f>SOFR3mo_PX[[#This Row],[Column1542]]</f>
        <v>98.5</v>
      </c>
      <c r="BGI15">
        <f>SOFR3mo_PX[[#This Row],[Column1543]]</f>
        <v>98.525000000000006</v>
      </c>
      <c r="BGJ15">
        <f>SOFR3mo_PX[[#This Row],[Column1544]]</f>
        <v>98.55</v>
      </c>
      <c r="BGK15">
        <f>SOFR3mo_PX[[#This Row],[Column1545]]</f>
        <v>98.545000000000002</v>
      </c>
      <c r="BGL15">
        <f>SOFR3mo_PX[[#This Row],[Column1546]]</f>
        <v>98.575000000000003</v>
      </c>
      <c r="BGM15">
        <f>SOFR3mo_PX[[#This Row],[Column1547]]</f>
        <v>98.555000000000007</v>
      </c>
      <c r="BGN15">
        <f>SOFR3mo_PX[[#This Row],[Column1548]]</f>
        <v>98.605000000000004</v>
      </c>
      <c r="BGO15">
        <f>SOFR3mo_PX[[#This Row],[Column1549]]</f>
        <v>98.52</v>
      </c>
      <c r="BGP15">
        <f>SOFR3mo_PX[[#This Row],[Column1550]]</f>
        <v>98.465000000000003</v>
      </c>
      <c r="BGQ15">
        <f>SOFR3mo_PX[[#This Row],[Column1551]]</f>
        <v>98.495000000000005</v>
      </c>
      <c r="BGR15">
        <f>SOFR3mo_PX[[#This Row],[Column1552]]</f>
        <v>98.49</v>
      </c>
      <c r="BGS15">
        <f>SOFR3mo_PX[[#This Row],[Column1553]]</f>
        <v>98.474999999999994</v>
      </c>
      <c r="BGT15">
        <f>SOFR3mo_PX[[#This Row],[Column1554]]</f>
        <v>98.525000000000006</v>
      </c>
      <c r="BGU15">
        <f>SOFR3mo_PX[[#This Row],[Column1555]]</f>
        <v>98.484999999999999</v>
      </c>
      <c r="BGV15">
        <f>SOFR3mo_PX[[#This Row],[Column1556]]</f>
        <v>98.504999999999995</v>
      </c>
      <c r="BGW15">
        <f>SOFR3mo_PX[[#This Row],[Column1557]]</f>
        <v>98.5</v>
      </c>
      <c r="BGX15">
        <f>SOFR3mo_PX[[#This Row],[Column1558]]</f>
        <v>98.584999999999994</v>
      </c>
      <c r="BGY15">
        <f>SOFR3mo_PX[[#This Row],[Column1559]]</f>
        <v>98.584999999999994</v>
      </c>
      <c r="BGZ15">
        <f>SOFR3mo_PX[[#This Row],[Column1560]]</f>
        <v>98.58</v>
      </c>
      <c r="BHA15">
        <f>SOFR3mo_PX[[#This Row],[Column1561]]</f>
        <v>98.53</v>
      </c>
      <c r="BHB15">
        <f>SOFR3mo_PX[[#This Row],[Column1562]]</f>
        <v>98.575000000000003</v>
      </c>
      <c r="BHC15">
        <f>SOFR3mo_PX[[#This Row],[Column1563]]</f>
        <v>98.59</v>
      </c>
      <c r="BHD15">
        <f>SOFR3mo_PX[[#This Row],[Column1564]]</f>
        <v>98.56</v>
      </c>
      <c r="BHE15">
        <f>SOFR3mo_PX[[#This Row],[Column1565]]</f>
        <v>98.644999999999996</v>
      </c>
      <c r="BHF15">
        <f>SOFR3mo_PX[[#This Row],[Column1566]]</f>
        <v>98.62</v>
      </c>
      <c r="BHG15">
        <f>SOFR3mo_PX[[#This Row],[Column1567]]</f>
        <v>98.57</v>
      </c>
      <c r="BHH15">
        <f>SOFR3mo_PX[[#This Row],[Column1568]]</f>
        <v>98.625</v>
      </c>
      <c r="BHI15">
        <f>SOFR3mo_PX[[#This Row],[Column1569]]</f>
        <v>98.63</v>
      </c>
      <c r="BHJ15">
        <f>SOFR3mo_PX[[#This Row],[Column1570]]</f>
        <v>98.525000000000006</v>
      </c>
      <c r="BHK15">
        <f>SOFR3mo_PX[[#This Row],[Column1571]]</f>
        <v>98.525000000000006</v>
      </c>
      <c r="BHL15">
        <f>SOFR3mo_PX[[#This Row],[Column1572]]</f>
        <v>98.545000000000002</v>
      </c>
      <c r="BHM15">
        <f>SOFR3mo_PX[[#This Row],[Column1573]]</f>
        <v>98.55</v>
      </c>
      <c r="BHN15">
        <f>SOFR3mo_PX[[#This Row],[Column1574]]</f>
        <v>98.48</v>
      </c>
      <c r="BHO15">
        <f>SOFR3mo_PX[[#This Row],[Column1575]]</f>
        <v>98.43</v>
      </c>
      <c r="BHP15">
        <f>SOFR3mo_PX[[#This Row],[Column1576]]</f>
        <v>98.424999999999997</v>
      </c>
      <c r="BHQ15">
        <f>SOFR3mo_PX[[#This Row],[Column1577]]</f>
        <v>98.465000000000003</v>
      </c>
      <c r="BHR15">
        <f>SOFR3mo_PX[[#This Row],[Column1578]]</f>
        <v>98.45</v>
      </c>
      <c r="BHS15">
        <f>SOFR3mo_PX[[#This Row],[Column1579]]</f>
        <v>98.504999999999995</v>
      </c>
      <c r="BHT15">
        <f>SOFR3mo_PX[[#This Row],[Column1580]]</f>
        <v>98.484999999999999</v>
      </c>
      <c r="BHU15">
        <f>SOFR3mo_PX[[#This Row],[Column1581]]</f>
        <v>98.53</v>
      </c>
      <c r="BHV15">
        <f>SOFR3mo_PX[[#This Row],[Column1582]]</f>
        <v>98.48</v>
      </c>
      <c r="BHW15">
        <f>SOFR3mo_PX[[#This Row],[Column1583]]</f>
        <v>98.34</v>
      </c>
      <c r="BHX15">
        <f>SOFR3mo_PX[[#This Row],[Column1584]]</f>
        <v>98.344999999999999</v>
      </c>
      <c r="BHY15">
        <f>SOFR3mo_PX[[#This Row],[Column1585]]</f>
        <v>98.31</v>
      </c>
      <c r="BHZ15">
        <f>SOFR3mo_PX[[#This Row],[Column1586]]</f>
        <v>98.254999999999995</v>
      </c>
      <c r="BIA15">
        <f>SOFR3mo_PX[[#This Row],[Column1587]]</f>
        <v>98.254999999999995</v>
      </c>
      <c r="BIB15">
        <f>SOFR3mo_PX[[#This Row],[Column1588]]</f>
        <v>98.284999999999997</v>
      </c>
      <c r="BIC15">
        <f>SOFR3mo_PX[[#This Row],[Column1589]]</f>
        <v>98.15</v>
      </c>
      <c r="BID15">
        <f>SOFR3mo_PX[[#This Row],[Column1590]]</f>
        <v>98.114999999999995</v>
      </c>
      <c r="BIE15">
        <f>SOFR3mo_PX[[#This Row],[Column1591]]</f>
        <v>98.144999999999996</v>
      </c>
      <c r="BIF15">
        <f>SOFR3mo_PX[[#This Row],[Column1592]]</f>
        <v>98.17</v>
      </c>
      <c r="BIG15">
        <f>SOFR3mo_PX[[#This Row],[Column1593]]</f>
        <v>98.16</v>
      </c>
      <c r="BIH15">
        <f>SOFR3mo_PX[[#This Row],[Column1594]]</f>
        <v>98.204999999999998</v>
      </c>
      <c r="BII15">
        <f>SOFR3mo_PX[[#This Row],[Column1595]]</f>
        <v>98.155000000000001</v>
      </c>
      <c r="BIJ15">
        <f>SOFR3mo_PX[[#This Row],[Column1596]]</f>
        <v>98.165000000000006</v>
      </c>
      <c r="BIK15">
        <f>SOFR3mo_PX[[#This Row],[Column1597]]</f>
        <v>98.09</v>
      </c>
      <c r="BIL15">
        <f>SOFR3mo_PX[[#This Row],[Column1598]]</f>
        <v>98.075000000000003</v>
      </c>
      <c r="BIM15">
        <f>SOFR3mo_PX[[#This Row],[Column1599]]</f>
        <v>98.04</v>
      </c>
      <c r="BIN15">
        <f>SOFR3mo_PX[[#This Row],[Column1600]]</f>
        <v>98.07</v>
      </c>
      <c r="BIO15">
        <f>SOFR3mo_PX[[#This Row],[Column1601]]</f>
        <v>98.015000000000001</v>
      </c>
      <c r="BIP15">
        <f>SOFR3mo_PX[[#This Row],[Column1602]]</f>
        <v>97.974999999999994</v>
      </c>
      <c r="BIQ15">
        <f>SOFR3mo_PX[[#This Row],[Column1603]]</f>
        <v>97.97</v>
      </c>
      <c r="BIR15">
        <f>SOFR3mo_PX[[#This Row],[Column1604]]</f>
        <v>98.03</v>
      </c>
      <c r="BIS15">
        <f>SOFR3mo_PX[[#This Row],[Column1605]]</f>
        <v>98.07</v>
      </c>
      <c r="BIT15">
        <f>SOFR3mo_PX[[#This Row],[Column1606]]</f>
        <v>98.045000000000002</v>
      </c>
      <c r="BIU15">
        <f>SOFR3mo_PX[[#This Row],[Column1607]]</f>
        <v>98.05</v>
      </c>
      <c r="BIV15">
        <f>SOFR3mo_PX[[#This Row],[Column1608]]</f>
        <v>98</v>
      </c>
      <c r="BIW15">
        <f>SOFR3mo_PX[[#This Row],[Column1609]]</f>
        <v>98.015000000000001</v>
      </c>
      <c r="BIX15">
        <f>SOFR3mo_PX[[#This Row],[Column1610]]</f>
        <v>97.96</v>
      </c>
      <c r="BIY15">
        <f>SOFR3mo_PX[[#This Row],[Column1611]]</f>
        <v>97.94</v>
      </c>
      <c r="BIZ15">
        <f>SOFR3mo_PX[[#This Row],[Column1612]]</f>
        <v>97.94</v>
      </c>
      <c r="BJA15">
        <f>SOFR3mo_PX[[#This Row],[Column1613]]</f>
        <v>97.94</v>
      </c>
      <c r="BJB15">
        <f>SOFR3mo_PX[[#This Row],[Column1614]]</f>
        <v>97.915000000000006</v>
      </c>
      <c r="BJC15">
        <f>SOFR3mo_PX[[#This Row],[Column1615]]</f>
        <v>97.91</v>
      </c>
      <c r="BJD15">
        <f>SOFR3mo_PX[[#This Row],[Column1616]]</f>
        <v>97.94</v>
      </c>
      <c r="BJE15">
        <f>SOFR3mo_PX[[#This Row],[Column1617]]</f>
        <v>97.935000000000002</v>
      </c>
      <c r="BJF15">
        <f>SOFR3mo_PX[[#This Row],[Column1618]]</f>
        <v>98.01</v>
      </c>
      <c r="BJG15">
        <f>SOFR3mo_PX[[#This Row],[Column1619]]</f>
        <v>98.045000000000002</v>
      </c>
      <c r="BJH15">
        <f>SOFR3mo_PX[[#This Row],[Column1620]]</f>
        <v>98.01</v>
      </c>
      <c r="BJI15">
        <f>SOFR3mo_PX[[#This Row],[Column1621]]</f>
        <v>97.974999999999994</v>
      </c>
      <c r="BJJ15">
        <f>SOFR3mo_PX[[#This Row],[Column1622]]</f>
        <v>97.984999999999999</v>
      </c>
      <c r="BJK15">
        <f>SOFR3mo_PX[[#This Row],[Column1623]]</f>
        <v>97.995000000000005</v>
      </c>
      <c r="BJL15">
        <f>SOFR3mo_PX[[#This Row],[Column1624]]</f>
        <v>98.004999999999995</v>
      </c>
      <c r="BJM15">
        <f>SOFR3mo_PX[[#This Row],[Column1625]]</f>
        <v>98.025000000000006</v>
      </c>
      <c r="BJN15">
        <f>SOFR3mo_PX[[#This Row],[Column1626]]</f>
        <v>98.015000000000001</v>
      </c>
      <c r="BJO15">
        <f>SOFR3mo_PX[[#This Row],[Column1627]]</f>
        <v>98.094999999999999</v>
      </c>
      <c r="BJP15">
        <f>SOFR3mo_PX[[#This Row],[Column1628]]</f>
        <v>98.17</v>
      </c>
      <c r="BJQ15">
        <f>SOFR3mo_PX[[#This Row],[Column1629]]</f>
        <v>98.204999999999998</v>
      </c>
      <c r="BJR15">
        <f>SOFR3mo_PX[[#This Row],[Column1630]]</f>
        <v>98.155000000000001</v>
      </c>
      <c r="BJS15">
        <f>SOFR3mo_PX[[#This Row],[Column1631]]</f>
        <v>98.185000000000002</v>
      </c>
      <c r="BJT15">
        <f>SOFR3mo_PX[[#This Row],[Column1632]]</f>
        <v>98.08</v>
      </c>
      <c r="BJU15">
        <f>SOFR3mo_PX[[#This Row],[Column1633]]</f>
        <v>97.965000000000003</v>
      </c>
      <c r="BJV15">
        <f>SOFR3mo_PX[[#This Row],[Column1634]]</f>
        <v>97.944999999999993</v>
      </c>
      <c r="BJW15">
        <f>SOFR3mo_PX[[#This Row],[Column1635]]</f>
        <v>97.855000000000004</v>
      </c>
      <c r="BJX15">
        <f>SOFR3mo_PX[[#This Row],[Column1636]]</f>
        <v>97.87</v>
      </c>
      <c r="BJY15">
        <f>SOFR3mo_PX[[#This Row],[Column1637]]</f>
        <v>97.875</v>
      </c>
      <c r="BJZ15">
        <f>SOFR3mo_PX[[#This Row],[Column1638]]</f>
        <v>97.844999999999999</v>
      </c>
      <c r="BKA15">
        <f>SOFR3mo_PX[[#This Row],[Column1639]]</f>
        <v>97.85</v>
      </c>
      <c r="BKB15">
        <f>SOFR3mo_PX[[#This Row],[Column1640]]</f>
        <v>97.83</v>
      </c>
      <c r="BKC15">
        <f>SOFR3mo_PX[[#This Row],[Column1641]]</f>
        <v>97.8</v>
      </c>
      <c r="BKD15">
        <f>SOFR3mo_PX[[#This Row],[Column1642]]</f>
        <v>97.81</v>
      </c>
      <c r="BKE15">
        <f>SOFR3mo_PX[[#This Row],[Column1643]]</f>
        <v>97.795000000000002</v>
      </c>
      <c r="BKF15">
        <f>SOFR3mo_PX[[#This Row],[Column1644]]</f>
        <v>97.72</v>
      </c>
      <c r="BKG15">
        <f>SOFR3mo_PX[[#This Row],[Column1645]]</f>
        <v>97.685000000000002</v>
      </c>
      <c r="BKH15">
        <f>SOFR3mo_PX[[#This Row],[Column1646]]</f>
        <v>97.69</v>
      </c>
      <c r="BKI15">
        <f>SOFR3mo_PX[[#This Row],[Column1647]]</f>
        <v>97.68</v>
      </c>
      <c r="BKJ15">
        <f>SOFR3mo_PX[[#This Row],[Column1648]]</f>
        <v>97.75</v>
      </c>
      <c r="BKK15">
        <f>SOFR3mo_PX[[#This Row],[Column1649]]</f>
        <v>97.77</v>
      </c>
      <c r="BKL15">
        <f>SOFR3mo_PX[[#This Row],[Column1650]]</f>
        <v>97.795000000000002</v>
      </c>
      <c r="BKM15">
        <f>SOFR3mo_PX[[#This Row],[Column1651]]</f>
        <v>97.765000000000001</v>
      </c>
      <c r="BKN15">
        <f>SOFR3mo_PX[[#This Row],[Column1652]]</f>
        <v>97.77</v>
      </c>
      <c r="BKO15">
        <f>SOFR3mo_PX[[#This Row],[Column1653]]</f>
        <v>97.724999999999994</v>
      </c>
      <c r="BKP15">
        <f>SOFR3mo_PX[[#This Row],[Column1654]]</f>
        <v>97.765000000000001</v>
      </c>
      <c r="BKQ15">
        <f>SOFR3mo_PX[[#This Row],[Column1655]]</f>
        <v>97.76</v>
      </c>
      <c r="BKR15">
        <f>SOFR3mo_PX[[#This Row],[Column1656]]</f>
        <v>97.745000000000005</v>
      </c>
      <c r="BKS15">
        <f>SOFR3mo_PX[[#This Row],[Column1657]]</f>
        <v>97.745000000000005</v>
      </c>
      <c r="BKT15">
        <f>SOFR3mo_PX[[#This Row],[Column1658]]</f>
        <v>97.75</v>
      </c>
      <c r="BKU15">
        <f>SOFR3mo_PX[[#This Row],[Column1659]]</f>
        <v>97.71</v>
      </c>
      <c r="BKV15">
        <f>SOFR3mo_PX[[#This Row],[Column1660]]</f>
        <v>97.77</v>
      </c>
      <c r="BKW15">
        <f>SOFR3mo_PX[[#This Row],[Column1661]]</f>
        <v>97.8</v>
      </c>
      <c r="BKX15">
        <f>SOFR3mo_PX[[#This Row],[Column1662]]</f>
        <v>97.825000000000003</v>
      </c>
      <c r="BKY15">
        <f>SOFR3mo_PX[[#This Row],[Column1663]]</f>
        <v>97.79</v>
      </c>
      <c r="BKZ15">
        <f>SOFR3mo_PX[[#This Row],[Column1664]]</f>
        <v>97.734999999999999</v>
      </c>
      <c r="BLA15">
        <f>SOFR3mo_PX[[#This Row],[Column1665]]</f>
        <v>97.724999999999994</v>
      </c>
      <c r="BLB15">
        <f>SOFR3mo_PX[[#This Row],[Column1666]]</f>
        <v>97.72</v>
      </c>
      <c r="BLC15">
        <f>SOFR3mo_PX[[#This Row],[Column1667]]</f>
        <v>97.74</v>
      </c>
      <c r="BLD15">
        <f>SOFR3mo_PX[[#This Row],[Column1668]]</f>
        <v>97.765000000000001</v>
      </c>
      <c r="BLE15">
        <f>SOFR3mo_PX[[#This Row],[Column1669]]</f>
        <v>97.694999999999993</v>
      </c>
      <c r="BLF15">
        <f>SOFR3mo_PX[[#This Row],[Column1670]]</f>
        <v>97.644999999999996</v>
      </c>
      <c r="BLG15">
        <f>SOFR3mo_PX[[#This Row],[Column1671]]</f>
        <v>97.64</v>
      </c>
      <c r="BLH15">
        <f>SOFR3mo_PX[[#This Row],[Column1672]]</f>
        <v>97.63</v>
      </c>
      <c r="BLI15">
        <f>SOFR3mo_PX[[#This Row],[Column1673]]</f>
        <v>97.655000000000001</v>
      </c>
      <c r="BLJ15">
        <f>SOFR3mo_PX[[#This Row],[Column1674]]</f>
        <v>97.64</v>
      </c>
      <c r="BLK15">
        <f>SOFR3mo_PX[[#This Row],[Column1675]]</f>
        <v>97.644999999999996</v>
      </c>
      <c r="BLL15">
        <f>SOFR3mo_PX[[#This Row],[Column1676]]</f>
        <v>97.6</v>
      </c>
      <c r="BLM15">
        <f>SOFR3mo_PX[[#This Row],[Column1677]]</f>
        <v>97.6</v>
      </c>
      <c r="BLN15">
        <f>SOFR3mo_PX[[#This Row],[Column1678]]</f>
        <v>97.67</v>
      </c>
      <c r="BLO15">
        <f>SOFR3mo_PX[[#This Row],[Column1679]]</f>
        <v>97.7</v>
      </c>
      <c r="BLP15">
        <f>SOFR3mo_PX[[#This Row],[Column1680]]</f>
        <v>97.724999999999994</v>
      </c>
      <c r="BLQ15">
        <f>SOFR3mo_PX[[#This Row],[Column1681]]</f>
        <v>97.715000000000003</v>
      </c>
      <c r="BLR15">
        <f>SOFR3mo_PX[[#This Row],[Column1682]]</f>
        <v>97.72</v>
      </c>
      <c r="BLS15">
        <f>SOFR3mo_PX[[#This Row],[Column1683]]</f>
        <v>97.704999999999998</v>
      </c>
      <c r="BLT15">
        <f>SOFR3mo_PX[[#This Row],[Column1684]]</f>
        <v>97.71</v>
      </c>
      <c r="BLU15">
        <f>SOFR3mo_PX[[#This Row],[Column1685]]</f>
        <v>97.7</v>
      </c>
      <c r="BLV15">
        <f>SOFR3mo_PX[[#This Row],[Column1686]]</f>
        <v>97.77</v>
      </c>
      <c r="BLW15">
        <f>SOFR3mo_PX[[#This Row],[Column1687]]</f>
        <v>97.814999999999998</v>
      </c>
      <c r="BLX15">
        <f>SOFR3mo_PX[[#This Row],[Column1688]]</f>
        <v>97.88</v>
      </c>
      <c r="BLY15">
        <f>SOFR3mo_PX[[#This Row],[Column1689]]</f>
        <v>97.694999999999993</v>
      </c>
      <c r="BLZ15">
        <f>SOFR3mo_PX[[#This Row],[Column1690]]</f>
        <v>97.704999999999998</v>
      </c>
      <c r="BMA15">
        <f>SOFR3mo_PX[[#This Row],[Column1691]]</f>
        <v>97.704999999999998</v>
      </c>
      <c r="BMB15">
        <f>SOFR3mo_PX[[#This Row],[Column1692]]</f>
        <v>97.7</v>
      </c>
      <c r="BMC15">
        <f>SOFR3mo_PX[[#This Row],[Column1693]]</f>
        <v>97.69</v>
      </c>
      <c r="BMD15">
        <f>SOFR3mo_PX[[#This Row],[Column1694]]</f>
        <v>97.635000000000005</v>
      </c>
      <c r="BME15">
        <f>SOFR3mo_PX[[#This Row],[Column1695]]</f>
        <v>97.61</v>
      </c>
      <c r="BMF15">
        <f>SOFR3mo_PX[[#This Row],[Column1696]]</f>
        <v>97.61</v>
      </c>
      <c r="BMG15">
        <f>SOFR3mo_PX[[#This Row],[Column1697]]</f>
        <v>97.55</v>
      </c>
      <c r="BMH15">
        <f>SOFR3mo_PX[[#This Row],[Column1698]]</f>
        <v>97.515000000000001</v>
      </c>
      <c r="BMI15">
        <f>SOFR3mo_PX[[#This Row],[Column1699]]</f>
        <v>97.504999999999995</v>
      </c>
      <c r="BMJ15">
        <f>SOFR3mo_PX[[#This Row],[Column1700]]</f>
        <v>97.515000000000001</v>
      </c>
      <c r="BMK15">
        <f>SOFR3mo_PX[[#This Row],[Column1701]]</f>
        <v>97.465000000000003</v>
      </c>
      <c r="BML15">
        <f>SOFR3mo_PX[[#This Row],[Column1702]]</f>
        <v>97.43</v>
      </c>
      <c r="BMM15">
        <f>SOFR3mo_PX[[#This Row],[Column1703]]</f>
        <v>97.4</v>
      </c>
      <c r="BMN15">
        <f>SOFR3mo_PX[[#This Row],[Column1704]]</f>
        <v>97.405000000000001</v>
      </c>
      <c r="BMO15">
        <f>SOFR3mo_PX[[#This Row],[Column1705]]</f>
        <v>97.44</v>
      </c>
      <c r="BMP15">
        <f>SOFR3mo_PX[[#This Row],[Column1706]]</f>
        <v>97.48</v>
      </c>
      <c r="BMQ15">
        <f>SOFR3mo_PX[[#This Row],[Column1707]]</f>
        <v>97.444999999999993</v>
      </c>
      <c r="BMR15">
        <f>SOFR3mo_PX[[#This Row],[Column1708]]</f>
        <v>97.405000000000001</v>
      </c>
      <c r="BMS15">
        <f>SOFR3mo_PX[[#This Row],[Column1709]]</f>
        <v>97.3</v>
      </c>
      <c r="BMT15">
        <f>SOFR3mo_PX[[#This Row],[Column1710]]</f>
        <v>97.3</v>
      </c>
      <c r="BMU15">
        <f>SOFR3mo_PX[[#This Row],[Column1711]]</f>
        <v>97.27</v>
      </c>
      <c r="BMV15">
        <f>SOFR3mo_PX[[#This Row],[Column1712]]</f>
        <v>97.29</v>
      </c>
      <c r="BMW15">
        <f>SOFR3mo_PX[[#This Row],[Column1713]]</f>
        <v>97.284999999999997</v>
      </c>
      <c r="BMX15">
        <f>SOFR3mo_PX[[#This Row],[Column1714]]</f>
        <v>97.28</v>
      </c>
      <c r="BMY15">
        <f>SOFR3mo_PX[[#This Row],[Column1715]]</f>
        <v>97.245000000000005</v>
      </c>
      <c r="BMZ15">
        <f>SOFR3mo_PX[[#This Row],[Column1716]]</f>
        <v>97.23</v>
      </c>
      <c r="BNA15">
        <f>SOFR3mo_PX[[#This Row],[Column1717]]</f>
        <v>97.24</v>
      </c>
      <c r="BNB15">
        <f>SOFR3mo_PX[[#This Row],[Column1718]]</f>
        <v>97.24</v>
      </c>
      <c r="BNC15">
        <f>SOFR3mo_PX[[#This Row],[Column1719]]</f>
        <v>97.24</v>
      </c>
      <c r="BND15">
        <f>SOFR3mo_PX[[#This Row],[Column1720]]</f>
        <v>97.25</v>
      </c>
      <c r="BNE15">
        <f>SOFR3mo_PX[[#This Row],[Column1721]]</f>
        <v>97.254999999999995</v>
      </c>
      <c r="BNF15">
        <f>SOFR3mo_PX[[#This Row],[Column1722]]</f>
        <v>97.22</v>
      </c>
      <c r="BNG15">
        <f>SOFR3mo_PX[[#This Row],[Column1723]]</f>
        <v>97.17</v>
      </c>
      <c r="BNH15">
        <f>SOFR3mo_PX[[#This Row],[Column1724]]</f>
        <v>97.16</v>
      </c>
      <c r="BNI15">
        <f>SOFR3mo_PX[[#This Row],[Column1725]]</f>
        <v>97.105000000000004</v>
      </c>
      <c r="BNJ15">
        <f>SOFR3mo_PX[[#This Row],[Column1726]]</f>
        <v>97.084999999999994</v>
      </c>
      <c r="BNK15">
        <f>SOFR3mo_PX[[#This Row],[Column1727]]</f>
        <v>97.064999999999998</v>
      </c>
      <c r="BNL15">
        <f>SOFR3mo_PX[[#This Row],[Column1728]]</f>
        <v>97.05</v>
      </c>
      <c r="BNM15">
        <f>SOFR3mo_PX[[#This Row],[Column1729]]</f>
        <v>97.084999999999994</v>
      </c>
      <c r="BNN15">
        <f>SOFR3mo_PX[[#This Row],[Column1730]]</f>
        <v>97.094999999999999</v>
      </c>
      <c r="BNO15">
        <f>SOFR3mo_PX[[#This Row],[Column1731]]</f>
        <v>97.105000000000004</v>
      </c>
      <c r="BNP15">
        <f>SOFR3mo_PX[[#This Row],[Column1732]]</f>
        <v>97.11</v>
      </c>
      <c r="BNQ15">
        <f>SOFR3mo_PX[[#This Row],[Column1733]]</f>
        <v>97.15</v>
      </c>
      <c r="BNR15">
        <f>SOFR3mo_PX[[#This Row],[Column1734]]</f>
        <v>97.14</v>
      </c>
      <c r="BNS15">
        <f>SOFR3mo_PX[[#This Row],[Column1735]]</f>
        <v>97.17</v>
      </c>
      <c r="BNT15">
        <f>SOFR3mo_PX[[#This Row],[Column1736]]</f>
        <v>97.17</v>
      </c>
      <c r="BNU15">
        <f>SOFR3mo_PX[[#This Row],[Column1737]]</f>
        <v>97.174999999999997</v>
      </c>
      <c r="BNV15">
        <f>SOFR3mo_PX[[#This Row],[Column1738]]</f>
        <v>97.105000000000004</v>
      </c>
      <c r="BNW15">
        <f>SOFR3mo_PX[[#This Row],[Column1739]]</f>
        <v>97.105000000000004</v>
      </c>
      <c r="BNX15">
        <f>SOFR3mo_PX[[#This Row],[Column1740]]</f>
        <v>97.075000000000003</v>
      </c>
      <c r="BNY15">
        <f>SOFR3mo_PX[[#This Row],[Column1741]]</f>
        <v>97.04</v>
      </c>
      <c r="BNZ15">
        <f>SOFR3mo_PX[[#This Row],[Column1742]]</f>
        <v>97.034999999999997</v>
      </c>
      <c r="BOA15">
        <f>SOFR3mo_PX[[#This Row],[Column1743]]</f>
        <v>97.055000000000007</v>
      </c>
      <c r="BOB15">
        <f>SOFR3mo_PX[[#This Row],[Column1744]]</f>
        <v>97.045000000000002</v>
      </c>
      <c r="BOC15">
        <f>SOFR3mo_PX[[#This Row],[Column1745]]</f>
        <v>97.045000000000002</v>
      </c>
      <c r="BOD15">
        <f>SOFR3mo_PX[[#This Row],[Column1746]]</f>
        <v>97.05</v>
      </c>
      <c r="BOE15">
        <f>SOFR3mo_PX[[#This Row],[Column1747]]</f>
        <v>97.06</v>
      </c>
      <c r="BOF15">
        <f>SOFR3mo_PX[[#This Row],[Column1748]]</f>
        <v>97.04</v>
      </c>
      <c r="BOG15">
        <f>SOFR3mo_PX[[#This Row],[Column1749]]</f>
        <v>96.99</v>
      </c>
      <c r="BOH15">
        <f>SOFR3mo_PX[[#This Row],[Column1750]]</f>
        <v>96.98</v>
      </c>
      <c r="BOI15">
        <f>SOFR3mo_PX[[#This Row],[Column1751]]</f>
        <v>96.984999999999999</v>
      </c>
      <c r="BOJ15">
        <f>SOFR3mo_PX[[#This Row],[Column1752]]</f>
        <v>96.99</v>
      </c>
      <c r="BOK15">
        <f>SOFR3mo_PX[[#This Row],[Column1753]]</f>
        <v>97.015000000000001</v>
      </c>
      <c r="BOL15">
        <f>SOFR3mo_PX[[#This Row],[Column1754]]</f>
        <v>97.05</v>
      </c>
      <c r="BOM15">
        <f>SOFR3mo_PX[[#This Row],[Column1755]]</f>
        <v>97.1</v>
      </c>
      <c r="BON15">
        <f>SOFR3mo_PX[[#This Row],[Column1756]]</f>
        <v>97.09</v>
      </c>
      <c r="BOO15">
        <f>SOFR3mo_PX[[#This Row],[Column1757]]</f>
        <v>97.09</v>
      </c>
      <c r="BOP15">
        <f>SOFR3mo_PX[[#This Row],[Column1758]]</f>
        <v>97.07</v>
      </c>
      <c r="BOQ15">
        <f>SOFR3mo_PX[[#This Row],[Column1759]]</f>
        <v>97.07</v>
      </c>
      <c r="BOR15">
        <f>SOFR3mo_PX[[#This Row],[Column1760]]</f>
        <v>97.06</v>
      </c>
      <c r="BOS15">
        <f>SOFR3mo_PX[[#This Row],[Column1761]]</f>
        <v>97.075000000000003</v>
      </c>
      <c r="BOT15">
        <f>SOFR3mo_PX[[#This Row],[Column1762]]</f>
        <v>97.08</v>
      </c>
      <c r="BOU15">
        <f>SOFR3mo_PX[[#This Row],[Column1763]]</f>
        <v>97.07</v>
      </c>
      <c r="BOV15">
        <f>SOFR3mo_PX[[#This Row],[Column1764]]</f>
        <v>97.09</v>
      </c>
      <c r="BOW15">
        <f>SOFR3mo_PX[[#This Row],[Column1765]]</f>
        <v>97.12</v>
      </c>
      <c r="BOX15">
        <f>SOFR3mo_PX[[#This Row],[Column1766]]</f>
        <v>97.15</v>
      </c>
      <c r="BOY15">
        <f>SOFR3mo_PX[[#This Row],[Column1767]]</f>
        <v>97.15</v>
      </c>
      <c r="BOZ15">
        <f>SOFR3mo_PX[[#This Row],[Column1768]]</f>
        <v>97.185000000000002</v>
      </c>
      <c r="BPA15">
        <f>SOFR3mo_PX[[#This Row],[Column1769]]</f>
        <v>97.21</v>
      </c>
      <c r="BPB15">
        <f>SOFR3mo_PX[[#This Row],[Column1770]]</f>
        <v>97.21</v>
      </c>
      <c r="BPC15">
        <f>SOFR3mo_PX[[#This Row],[Column1771]]</f>
        <v>97.26</v>
      </c>
      <c r="BPD15">
        <f>SOFR3mo_PX[[#This Row],[Column1772]]</f>
        <v>97.26</v>
      </c>
      <c r="BPE15">
        <f>SOFR3mo_PX[[#This Row],[Column1773]]</f>
        <v>97.32</v>
      </c>
      <c r="BPF15">
        <f>SOFR3mo_PX[[#This Row],[Column1774]]</f>
        <v>97.305000000000007</v>
      </c>
      <c r="BPG15">
        <f>SOFR3mo_PX[[#This Row],[Column1775]]</f>
        <v>97.31</v>
      </c>
      <c r="BPH15">
        <f>SOFR3mo_PX[[#This Row],[Column1776]]</f>
        <v>97.33</v>
      </c>
      <c r="BPI15">
        <f>SOFR3mo_PX[[#This Row],[Column1777]]</f>
        <v>97.33</v>
      </c>
      <c r="BPJ15">
        <f>SOFR3mo_PX[[#This Row],[Column1778]]</f>
        <v>97.295000000000002</v>
      </c>
      <c r="BPK15">
        <f>SOFR3mo_PX[[#This Row],[Column1779]]</f>
        <v>97.284999999999997</v>
      </c>
      <c r="BPL15">
        <f>SOFR3mo_PX[[#This Row],[Column1780]]</f>
        <v>97.3</v>
      </c>
      <c r="BPM15">
        <f>SOFR3mo_PX[[#This Row],[Column1781]]</f>
        <v>97.314999999999998</v>
      </c>
      <c r="BPN15">
        <f>SOFR3mo_PX[[#This Row],[Column1782]]</f>
        <v>97.334999999999994</v>
      </c>
      <c r="BPO15">
        <f>SOFR3mo_PX[[#This Row],[Column1783]]</f>
        <v>97.334999999999994</v>
      </c>
      <c r="BPP15">
        <f>SOFR3mo_PX[[#This Row],[Column1784]]</f>
        <v>97.355000000000004</v>
      </c>
      <c r="BPQ15">
        <f>SOFR3mo_PX[[#This Row],[Column1785]]</f>
        <v>97.344999999999999</v>
      </c>
      <c r="BPR15">
        <f>SOFR3mo_PX[[#This Row],[Column1786]]</f>
        <v>97.355000000000004</v>
      </c>
      <c r="BPS15">
        <f>SOFR3mo_PX[[#This Row],[Column1787]]</f>
        <v>97.33</v>
      </c>
      <c r="BPT15">
        <f>SOFR3mo_PX[[#This Row],[Column1788]]</f>
        <v>97.325000000000003</v>
      </c>
      <c r="BPU15">
        <f>SOFR3mo_PX[[#This Row],[Column1789]]</f>
        <v>97.344999999999999</v>
      </c>
      <c r="BPV15">
        <f>SOFR3mo_PX[[#This Row],[Column1790]]</f>
        <v>97.31</v>
      </c>
      <c r="BPW15">
        <f>SOFR3mo_PX[[#This Row],[Column1791]]</f>
        <v>97.334999999999994</v>
      </c>
      <c r="BPX15">
        <f>SOFR3mo_PX[[#This Row],[Column1792]]</f>
        <v>97.34</v>
      </c>
      <c r="BPY15">
        <f>SOFR3mo_PX[[#This Row],[Column1793]]</f>
        <v>97.275000000000006</v>
      </c>
      <c r="BPZ15">
        <f>SOFR3mo_PX[[#This Row],[Column1794]]</f>
        <v>97.26</v>
      </c>
      <c r="BQA15">
        <f>SOFR3mo_PX[[#This Row],[Column1795]]</f>
        <v>97.254999999999995</v>
      </c>
      <c r="BQB15">
        <f>SOFR3mo_PX[[#This Row],[Column1796]]</f>
        <v>97.26</v>
      </c>
      <c r="BQC15">
        <f>SOFR3mo_PX[[#This Row],[Column1797]]</f>
        <v>97.25</v>
      </c>
      <c r="BQD15">
        <f>SOFR3mo_PX[[#This Row],[Column1798]]</f>
        <v>97.24</v>
      </c>
      <c r="BQE15">
        <f>SOFR3mo_PX[[#This Row],[Column1799]]</f>
        <v>97.25</v>
      </c>
      <c r="BQF15">
        <f>SOFR3mo_PX[[#This Row],[Column1800]]</f>
        <v>97.254999999999995</v>
      </c>
      <c r="BQG15">
        <f>SOFR3mo_PX[[#This Row],[Column1801]]</f>
        <v>97.254999999999995</v>
      </c>
      <c r="BQH15">
        <f>SOFR3mo_PX[[#This Row],[Column1802]]</f>
        <v>97.245000000000005</v>
      </c>
      <c r="BQI15">
        <f>SOFR3mo_PX[[#This Row],[Column1803]]</f>
        <v>97.24</v>
      </c>
      <c r="BQJ15">
        <f>SOFR3mo_PX[[#This Row],[Column1804]]</f>
        <v>97.284999999999997</v>
      </c>
      <c r="BQK15">
        <f>SOFR3mo_PX[[#This Row],[Column1805]]</f>
        <v>97.284999999999997</v>
      </c>
      <c r="BQL15">
        <f>SOFR3mo_PX[[#This Row],[Column1806]]</f>
        <v>97.295000000000002</v>
      </c>
      <c r="BQM15">
        <f>SOFR3mo_PX[[#This Row],[Column1807]]</f>
        <v>97.33</v>
      </c>
      <c r="BQN15">
        <f>SOFR3mo_PX[[#This Row],[Column1808]]</f>
        <v>97.334999999999994</v>
      </c>
      <c r="BQO15">
        <f>SOFR3mo_PX[[#This Row],[Column1809]]</f>
        <v>97.32</v>
      </c>
      <c r="BQP15">
        <f>SOFR3mo_PX[[#This Row],[Column1810]]</f>
        <v>97.325000000000003</v>
      </c>
      <c r="BQQ15">
        <f>SOFR3mo_PX[[#This Row],[Column1811]]</f>
        <v>97.35</v>
      </c>
      <c r="BQR15">
        <f>SOFR3mo_PX[[#This Row],[Column1812]]</f>
        <v>97.36</v>
      </c>
      <c r="BQS15">
        <f>SOFR3mo_PX[[#This Row],[Column1813]]</f>
        <v>97.344999999999999</v>
      </c>
      <c r="BQT15">
        <f>SOFR3mo_PX[[#This Row],[Column1814]]</f>
        <v>97.35</v>
      </c>
      <c r="BQU15">
        <f>SOFR3mo_PX[[#This Row],[Column1815]]</f>
        <v>97.344999999999999</v>
      </c>
      <c r="BQV15">
        <f>SOFR3mo_PX[[#This Row],[Column1816]]</f>
        <v>97.355000000000004</v>
      </c>
      <c r="BQW15">
        <f>SOFR3mo_PX[[#This Row],[Column1817]]</f>
        <v>97.364999999999995</v>
      </c>
      <c r="BQX15">
        <f>SOFR3mo_PX[[#This Row],[Column1818]]</f>
        <v>97.344999999999999</v>
      </c>
      <c r="BQY15">
        <f>SOFR3mo_PX[[#This Row],[Column1819]]</f>
        <v>97.36</v>
      </c>
      <c r="BQZ15">
        <f>SOFR3mo_PX[[#This Row],[Column1820]]</f>
        <v>97.36</v>
      </c>
      <c r="BRA15">
        <f>SOFR3mo_PX[[#This Row],[Column1821]]</f>
        <v>97.355000000000004</v>
      </c>
      <c r="BRB15">
        <f>SOFR3mo_PX[[#This Row],[Column1822]]</f>
        <v>97.355000000000004</v>
      </c>
      <c r="BRC15">
        <f>SOFR3mo_PX[[#This Row],[Column1823]]</f>
        <v>97.36</v>
      </c>
      <c r="BRD15">
        <f>SOFR3mo_PX[[#This Row],[Column1824]]</f>
        <v>97.355000000000004</v>
      </c>
      <c r="BRE15">
        <f>SOFR3mo_PX[[#This Row],[Column1825]]</f>
        <v>97.31</v>
      </c>
      <c r="BRF15">
        <f>SOFR3mo_PX[[#This Row],[Column1826]]</f>
        <v>97.295000000000002</v>
      </c>
      <c r="BRG15">
        <f>SOFR3mo_PX[[#This Row],[Column1827]]</f>
        <v>97.265000000000001</v>
      </c>
      <c r="BRH15">
        <f>SOFR3mo_PX[[#This Row],[Column1828]]</f>
        <v>97.265000000000001</v>
      </c>
      <c r="BRI15">
        <f>SOFR3mo_PX[[#This Row],[Column1829]]</f>
        <v>97.254999999999995</v>
      </c>
      <c r="BRJ15">
        <f>SOFR3mo_PX[[#This Row],[Column1830]]</f>
        <v>97.26</v>
      </c>
      <c r="BRK15">
        <f>SOFR3mo_PX[[#This Row],[Column1831]]</f>
        <v>97.23</v>
      </c>
      <c r="BRL15">
        <f>SOFR3mo_PX[[#This Row],[Column1832]]</f>
        <v>97.24</v>
      </c>
      <c r="BRM15">
        <f>SOFR3mo_PX[[#This Row],[Column1833]]</f>
        <v>97.224999999999994</v>
      </c>
      <c r="BRN15">
        <f>SOFR3mo_PX[[#This Row],[Column1834]]</f>
        <v>97.224999999999994</v>
      </c>
      <c r="BRO15">
        <f>SOFR3mo_PX[[#This Row],[Column1835]]</f>
        <v>97.26</v>
      </c>
      <c r="BRP15">
        <f>SOFR3mo_PX[[#This Row],[Column1836]]</f>
        <v>97.275000000000006</v>
      </c>
      <c r="BRQ15">
        <f>SOFR3mo_PX[[#This Row],[Column1837]]</f>
        <v>97.284999999999997</v>
      </c>
      <c r="BRR15">
        <f>SOFR3mo_PX[[#This Row],[Column1838]]</f>
        <v>97.25</v>
      </c>
      <c r="BRS15">
        <f>SOFR3mo_PX[[#This Row],[Column1839]]</f>
        <v>97.24</v>
      </c>
      <c r="BRT15">
        <f>SOFR3mo_PX[[#This Row],[Column1840]]</f>
        <v>97.28</v>
      </c>
      <c r="BRU15">
        <f>SOFR3mo_PX[[#This Row],[Column1841]]</f>
        <v>97.26</v>
      </c>
      <c r="BRV15">
        <f>SOFR3mo_PX[[#This Row],[Column1842]]</f>
        <v>97.3</v>
      </c>
      <c r="BRW15">
        <f>SOFR3mo_PX[[#This Row],[Column1843]]</f>
        <v>97.37</v>
      </c>
      <c r="BRX15">
        <f>SOFR3mo_PX[[#This Row],[Column1844]]</f>
        <v>97.364999999999995</v>
      </c>
      <c r="BRY15">
        <f>SOFR3mo_PX[[#This Row],[Column1845]]</f>
        <v>97.46</v>
      </c>
      <c r="BRZ15">
        <f>SOFR3mo_PX[[#This Row],[Column1846]]</f>
        <v>97.245000000000005</v>
      </c>
      <c r="BSA15">
        <f>SOFR3mo_PX[[#This Row],[Column1847]]</f>
        <v>97.245000000000005</v>
      </c>
      <c r="BSB15">
        <f>SOFR3mo_PX[[#This Row],[Column1848]]</f>
        <v>97.215000000000003</v>
      </c>
      <c r="BSC15">
        <f>SOFR3mo_PX[[#This Row],[Column1849]]</f>
        <v>97.185000000000002</v>
      </c>
      <c r="BSD15">
        <f>SOFR3mo_PX[[#This Row],[Column1850]]</f>
        <v>97.135000000000005</v>
      </c>
      <c r="BSE15">
        <f>SOFR3mo_PX[[#This Row],[Column1851]]</f>
        <v>97.125</v>
      </c>
      <c r="BSF15">
        <f>SOFR3mo_PX[[#This Row],[Column1852]]</f>
        <v>97.14</v>
      </c>
      <c r="BSG15">
        <f>SOFR3mo_PX[[#This Row],[Column1853]]</f>
        <v>97.114999999999995</v>
      </c>
      <c r="BSH15">
        <f>SOFR3mo_PX[[#This Row],[Column1854]]</f>
        <v>97.13</v>
      </c>
      <c r="BSI15">
        <f>SOFR3mo_PX[[#This Row],[Column1855]]</f>
        <v>97.14</v>
      </c>
      <c r="BSJ15">
        <f>SOFR3mo_PX[[#This Row],[Column1856]]</f>
        <v>97.17</v>
      </c>
      <c r="BSK15">
        <f>SOFR3mo_PX[[#This Row],[Column1857]]</f>
        <v>97.174999999999997</v>
      </c>
      <c r="BSL15">
        <f>SOFR3mo_PX[[#This Row],[Column1858]]</f>
        <v>97.19</v>
      </c>
      <c r="BSM15">
        <f>SOFR3mo_PX[[#This Row],[Column1859]]</f>
        <v>97.21</v>
      </c>
      <c r="BSN15">
        <f>SOFR3mo_PX[[#This Row],[Column1860]]</f>
        <v>97.234999999999999</v>
      </c>
      <c r="BSO15">
        <f>SOFR3mo_PX[[#This Row],[Column1861]]</f>
        <v>97.245000000000005</v>
      </c>
      <c r="BSP15">
        <f>SOFR3mo_PX[[#This Row],[Column1862]]</f>
        <v>97.27</v>
      </c>
      <c r="BSQ15" t="str">
        <f>SOFR3mo_PX[[#This Row],[Column1863]]</f>
        <v>#N/A N/A</v>
      </c>
      <c r="BSR15" t="str">
        <f>SOFR3mo_PX[[#This Row],[Column1864]]</f>
        <v>#N/A N/A</v>
      </c>
      <c r="BSS15" t="str">
        <f>SOFR3mo_PX[[#This Row],[Column1865]]</f>
        <v>#N/A N/A</v>
      </c>
      <c r="BST15" t="str">
        <f>SOFR3mo_PX[[#This Row],[Column1866]]</f>
        <v>#N/A N/A</v>
      </c>
      <c r="BSU15" t="str">
        <f>SOFR3mo_PX[[#This Row],[Column1867]]</f>
        <v>#N/A N/A</v>
      </c>
      <c r="BSV15" t="str">
        <f>SOFR3mo_PX[[#This Row],[Column1868]]</f>
        <v>#N/A N/A</v>
      </c>
      <c r="BSW15" t="str">
        <f>SOFR3mo_PX[[#This Row],[Column1869]]</f>
        <v>#N/A N/A</v>
      </c>
      <c r="BSX15" t="str">
        <f>SOFR3mo_PX[[#This Row],[Column1870]]</f>
        <v>#N/A N/A</v>
      </c>
      <c r="BSY15" t="str">
        <f>SOFR3mo_PX[[#This Row],[Column1871]]</f>
        <v>#N/A N/A</v>
      </c>
      <c r="BSZ15" t="str">
        <f>SOFR3mo_PX[[#This Row],[Column1872]]</f>
        <v>#N/A N/A</v>
      </c>
      <c r="BTA15" t="str">
        <f>SOFR3mo_PX[[#This Row],[Column1873]]</f>
        <v>#N/A N/A</v>
      </c>
      <c r="BTB15" t="str">
        <f>SOFR3mo_PX[[#This Row],[Column1874]]</f>
        <v>#N/A N/A</v>
      </c>
      <c r="BTC15" t="str">
        <f>SOFR3mo_PX[[#This Row],[Column1875]]</f>
        <v>#N/A N/A</v>
      </c>
      <c r="BTD15" t="str">
        <f>SOFR3mo_PX[[#This Row],[Column1876]]</f>
        <v>#N/A N/A</v>
      </c>
      <c r="BTE15" t="str">
        <f>SOFR3mo_PX[[#This Row],[Column1877]]</f>
        <v>#N/A N/A</v>
      </c>
      <c r="BTF15" t="str">
        <f>SOFR3mo_PX[[#This Row],[Column1878]]</f>
        <v>#N/A N/A</v>
      </c>
      <c r="BTG15" t="str">
        <f>SOFR3mo_PX[[#This Row],[Column1879]]</f>
        <v>#N/A N/A</v>
      </c>
      <c r="BTH15" t="str">
        <f>SOFR3mo_PX[[#This Row],[Column1880]]</f>
        <v>#N/A N/A</v>
      </c>
      <c r="BTI15" t="str">
        <f>SOFR3mo_PX[[#This Row],[Column1881]]</f>
        <v>#N/A N/A</v>
      </c>
      <c r="BTJ15" t="str">
        <f>SOFR3mo_PX[[#This Row],[Column1882]]</f>
        <v>#N/A N/A</v>
      </c>
      <c r="BTK15" t="str">
        <f>SOFR3mo_PX[[#This Row],[Column1883]]</f>
        <v>#N/A N/A</v>
      </c>
      <c r="BTL15" t="str">
        <f>SOFR3mo_PX[[#This Row],[Column1884]]</f>
        <v>#N/A N/A</v>
      </c>
      <c r="BTM15" t="str">
        <f>SOFR3mo_PX[[#This Row],[Column1885]]</f>
        <v>#N/A N/A</v>
      </c>
      <c r="BTN15" t="str">
        <f>SOFR3mo_PX[[#This Row],[Column1886]]</f>
        <v>#N/A N/A</v>
      </c>
      <c r="BTO15" t="str">
        <f>SOFR3mo_PX[[#This Row],[Column1887]]</f>
        <v>#N/A N/A</v>
      </c>
      <c r="BTP15" t="str">
        <f>SOFR3mo_PX[[#This Row],[Column1888]]</f>
        <v>#N/A N/A</v>
      </c>
      <c r="BTQ15" t="str">
        <f>SOFR3mo_PX[[#This Row],[Column1889]]</f>
        <v>#N/A N/A</v>
      </c>
      <c r="BTR15" t="str">
        <f>SOFR3mo_PX[[#This Row],[Column1890]]</f>
        <v>#N/A N/A</v>
      </c>
      <c r="BTS15" t="str">
        <f>SOFR3mo_PX[[#This Row],[Column1891]]</f>
        <v>#N/A N/A</v>
      </c>
      <c r="BTT15" t="str">
        <f>SOFR3mo_PX[[#This Row],[Column1892]]</f>
        <v>#N/A N/A</v>
      </c>
      <c r="BTU15" t="str">
        <f>SOFR3mo_PX[[#This Row],[Column1893]]</f>
        <v>#N/A N/A</v>
      </c>
      <c r="BTV15" t="str">
        <f>SOFR3mo_PX[[#This Row],[Column1894]]</f>
        <v>#N/A N/A</v>
      </c>
      <c r="BTW15" t="str">
        <f>SOFR3mo_PX[[#This Row],[Column1895]]</f>
        <v>#N/A N/A</v>
      </c>
      <c r="BTX15" t="str">
        <f>SOFR3mo_PX[[#This Row],[Column1896]]</f>
        <v>#N/A N/A</v>
      </c>
      <c r="BTY15" t="str">
        <f>SOFR3mo_PX[[#This Row],[Column1897]]</f>
        <v>#N/A N/A</v>
      </c>
      <c r="BTZ15" t="str">
        <f>SOFR3mo_PX[[#This Row],[Column1898]]</f>
        <v>#N/A N/A</v>
      </c>
      <c r="BUA15" t="str">
        <f>SOFR3mo_PX[[#This Row],[Column1899]]</f>
        <v>#N/A N/A</v>
      </c>
      <c r="BUB15" t="str">
        <f>SOFR3mo_PX[[#This Row],[Column1900]]</f>
        <v>#N/A N/A</v>
      </c>
      <c r="BUC15" t="str">
        <f>SOFR3mo_PX[[#This Row],[Column1901]]</f>
        <v>#N/A N/A</v>
      </c>
      <c r="BUD15" t="str">
        <f>SOFR3mo_PX[[#This Row],[Column1902]]</f>
        <v>#N/A N/A</v>
      </c>
      <c r="BUE15" t="str">
        <f>SOFR3mo_PX[[#This Row],[Column1903]]</f>
        <v>#N/A N/A</v>
      </c>
      <c r="BUF15" t="str">
        <f>SOFR3mo_PX[[#This Row],[Column1904]]</f>
        <v>#N/A N/A</v>
      </c>
      <c r="BUG15" t="str">
        <f>SOFR3mo_PX[[#This Row],[Column1905]]</f>
        <v>#N/A N/A</v>
      </c>
      <c r="BUH15" t="str">
        <f>SOFR3mo_PX[[#This Row],[Column1906]]</f>
        <v>#N/A N/A</v>
      </c>
      <c r="BUI15" t="str">
        <f>SOFR3mo_PX[[#This Row],[Column1907]]</f>
        <v>#N/A N/A</v>
      </c>
      <c r="BUJ15" t="str">
        <f>SOFR3mo_PX[[#This Row],[Column1908]]</f>
        <v>#N/A N/A</v>
      </c>
      <c r="BUK15" t="str">
        <f>SOFR3mo_PX[[#This Row],[Column1909]]</f>
        <v>#N/A N/A</v>
      </c>
      <c r="BUL15" t="str">
        <f>SOFR3mo_PX[[#This Row],[Column1910]]</f>
        <v>#N/A N/A</v>
      </c>
      <c r="BUM15" t="str">
        <f>SOFR3mo_PX[[#This Row],[Column1911]]</f>
        <v>#N/A N/A</v>
      </c>
      <c r="BUN15" t="str">
        <f>SOFR3mo_PX[[#This Row],[Column1912]]</f>
        <v>#N/A N/A</v>
      </c>
      <c r="BUO15" t="str">
        <f>SOFR3mo_PX[[#This Row],[Column1913]]</f>
        <v>#N/A N/A</v>
      </c>
      <c r="BUP15" t="str">
        <f>SOFR3mo_PX[[#This Row],[Column1914]]</f>
        <v>#N/A N/A</v>
      </c>
      <c r="BUQ15" t="str">
        <f>SOFR3mo_PX[[#This Row],[Column1915]]</f>
        <v>#N/A N/A</v>
      </c>
      <c r="BUR15" t="str">
        <f>SOFR3mo_PX[[#This Row],[Column1916]]</f>
        <v>#N/A N/A</v>
      </c>
      <c r="BUS15" t="str">
        <f>SOFR3mo_PX[[#This Row],[Column1917]]</f>
        <v>#N/A N/A</v>
      </c>
      <c r="BUT15" t="str">
        <f>SOFR3mo_PX[[#This Row],[Column1918]]</f>
        <v>#N/A N/A</v>
      </c>
      <c r="BUU15" t="str">
        <f>SOFR3mo_PX[[#This Row],[Column1919]]</f>
        <v>#N/A N/A</v>
      </c>
      <c r="BUV15" t="str">
        <f>SOFR3mo_PX[[#This Row],[Column1920]]</f>
        <v>#N/A N/A</v>
      </c>
      <c r="BUW15" t="str">
        <f>SOFR3mo_PX[[#This Row],[Column1921]]</f>
        <v>#N/A N/A</v>
      </c>
      <c r="BUX15" t="str">
        <f>SOFR3mo_PX[[#This Row],[Column1922]]</f>
        <v>#N/A N/A</v>
      </c>
      <c r="BUY15" t="str">
        <f>SOFR3mo_PX[[#This Row],[Column1923]]</f>
        <v>#N/A N/A</v>
      </c>
      <c r="BUZ15" t="str">
        <f>SOFR3mo_PX[[#This Row],[Column1924]]</f>
        <v>#N/A N/A</v>
      </c>
      <c r="BVA15" t="str">
        <f>SOFR3mo_PX[[#This Row],[Column1925]]</f>
        <v>#N/A N/A</v>
      </c>
      <c r="BVB15" t="str">
        <f>SOFR3mo_PX[[#This Row],[Column1926]]</f>
        <v>#N/A N/A</v>
      </c>
      <c r="BVC15" t="str">
        <f>SOFR3mo_PX[[#This Row],[Column1927]]</f>
        <v>#N/A N/A</v>
      </c>
      <c r="BVD15" t="str">
        <f>SOFR3mo_PX[[#This Row],[Column1928]]</f>
        <v>#N/A N/A</v>
      </c>
      <c r="BVE15" t="str">
        <f>SOFR3mo_PX[[#This Row],[Column1929]]</f>
        <v>#N/A N/A</v>
      </c>
      <c r="BVF15" t="str">
        <f>SOFR3mo_PX[[#This Row],[Column1930]]</f>
        <v>#N/A N/A</v>
      </c>
      <c r="BVG15" t="str">
        <f>SOFR3mo_PX[[#This Row],[Column1931]]</f>
        <v>#N/A N/A</v>
      </c>
      <c r="BVH15" t="str">
        <f>SOFR3mo_PX[[#This Row],[Column1932]]</f>
        <v>#N/A N/A</v>
      </c>
      <c r="BVI15" t="str">
        <f>SOFR3mo_PX[[#This Row],[Column1933]]</f>
        <v>#N/A N/A</v>
      </c>
      <c r="BVJ15" t="str">
        <f>SOFR3mo_PX[[#This Row],[Column1934]]</f>
        <v>#N/A N/A</v>
      </c>
      <c r="BVK15" t="str">
        <f>SOFR3mo_PX[[#This Row],[Column1935]]</f>
        <v>#N/A N/A</v>
      </c>
      <c r="BVL15" t="str">
        <f>SOFR3mo_PX[[#This Row],[Column1936]]</f>
        <v>#N/A N/A</v>
      </c>
      <c r="BVM15" t="str">
        <f>SOFR3mo_PX[[#This Row],[Column1937]]</f>
        <v>#N/A N/A</v>
      </c>
      <c r="BVN15" t="str">
        <f>SOFR3mo_PX[[#This Row],[Column1938]]</f>
        <v>#N/A N/A</v>
      </c>
      <c r="BVO15" t="str">
        <f>SOFR3mo_PX[[#This Row],[Column1939]]</f>
        <v>#N/A N/A</v>
      </c>
      <c r="BVP15" t="str">
        <f>SOFR3mo_PX[[#This Row],[Column1940]]</f>
        <v>#N/A N/A</v>
      </c>
      <c r="BVQ15" t="str">
        <f>SOFR3mo_PX[[#This Row],[Column1941]]</f>
        <v>#N/A N/A</v>
      </c>
      <c r="BVR15" t="str">
        <f>SOFR3mo_PX[[#This Row],[Column1942]]</f>
        <v>#N/A N/A</v>
      </c>
      <c r="BVS15" t="str">
        <f>SOFR3mo_PX[[#This Row],[Column1943]]</f>
        <v>#N/A N/A</v>
      </c>
      <c r="BVT15" t="str">
        <f>SOFR3mo_PX[[#This Row],[Column1944]]</f>
        <v>#N/A N/A</v>
      </c>
      <c r="BVU15" t="str">
        <f>SOFR3mo_PX[[#This Row],[Column1945]]</f>
        <v>#N/A N/A</v>
      </c>
      <c r="BVV15" t="str">
        <f>SOFR3mo_PX[[#This Row],[Column1946]]</f>
        <v>#N/A N/A</v>
      </c>
      <c r="BVW15" t="str">
        <f>SOFR3mo_PX[[#This Row],[Column1947]]</f>
        <v>#N/A N/A</v>
      </c>
      <c r="BVX15" t="str">
        <f>SOFR3mo_PX[[#This Row],[Column1948]]</f>
        <v>#N/A N/A</v>
      </c>
      <c r="BVY15" t="str">
        <f>SOFR3mo_PX[[#This Row],[Column1949]]</f>
        <v>#N/A N/A</v>
      </c>
      <c r="BVZ15" t="str">
        <f>SOFR3mo_PX[[#This Row],[Column1950]]</f>
        <v>#N/A N/A</v>
      </c>
      <c r="BWA15" t="str">
        <f>SOFR3mo_PX[[#This Row],[Column1951]]</f>
        <v>#N/A N/A</v>
      </c>
      <c r="BWB15" t="str">
        <f>SOFR3mo_PX[[#This Row],[Column1952]]</f>
        <v>#N/A N/A</v>
      </c>
      <c r="BWC15" t="str">
        <f>SOFR3mo_PX[[#This Row],[Column1953]]</f>
        <v>#N/A N/A</v>
      </c>
      <c r="BWD15" t="str">
        <f>SOFR3mo_PX[[#This Row],[Column1954]]</f>
        <v>#N/A N/A</v>
      </c>
    </row>
    <row r="16" spans="1:1954" x14ac:dyDescent="0.25">
      <c r="A16" t="str">
        <f>SOFR3mo_PX[[#This Row],[Column1]]</f>
        <v>SFR14 Comdty</v>
      </c>
      <c r="B16">
        <f>IF(rtd!B14&lt;&gt;"",rtd!B14,SOFR3mo_PX[[#This Row],[Column2]])</f>
        <v>96.472499999999997</v>
      </c>
      <c r="C16">
        <f>SOFR3mo_PX[[#This Row],[Column3]]</f>
        <v>96.43</v>
      </c>
      <c r="D16">
        <f>SOFR3mo_PX[[#This Row],[Column4]]</f>
        <v>96.43</v>
      </c>
      <c r="E16">
        <f>SOFR3mo_PX[[#This Row],[Column5]]</f>
        <v>96.474999999999994</v>
      </c>
      <c r="F16">
        <f>SOFR3mo_PX[[#This Row],[Column6]]</f>
        <v>96.415000000000006</v>
      </c>
      <c r="G16">
        <f>SOFR3mo_PX[[#This Row],[Column7]]</f>
        <v>96.424999999999997</v>
      </c>
      <c r="H16">
        <f>SOFR3mo_PX[[#This Row],[Column8]]</f>
        <v>96.47</v>
      </c>
      <c r="I16">
        <f>SOFR3mo_PX[[#This Row],[Column9]]</f>
        <v>96.42</v>
      </c>
      <c r="J16">
        <f>SOFR3mo_PX[[#This Row],[Column10]]</f>
        <v>96.35</v>
      </c>
      <c r="K16">
        <f>SOFR3mo_PX[[#This Row],[Column11]]</f>
        <v>96.34</v>
      </c>
      <c r="L16">
        <f>SOFR3mo_PX[[#This Row],[Column12]]</f>
        <v>96.305000000000007</v>
      </c>
      <c r="M16">
        <f>SOFR3mo_PX[[#This Row],[Column13]]</f>
        <v>96.435000000000002</v>
      </c>
      <c r="N16">
        <f>SOFR3mo_PX[[#This Row],[Column14]]</f>
        <v>96.49</v>
      </c>
      <c r="O16">
        <f>SOFR3mo_PX[[#This Row],[Column15]]</f>
        <v>96.41</v>
      </c>
      <c r="P16">
        <f>SOFR3mo_PX[[#This Row],[Column16]]</f>
        <v>96.424999999999997</v>
      </c>
      <c r="Q16">
        <f>SOFR3mo_PX[[#This Row],[Column17]]</f>
        <v>96.47</v>
      </c>
      <c r="R16">
        <f>SOFR3mo_PX[[#This Row],[Column18]]</f>
        <v>96.454999999999998</v>
      </c>
      <c r="S16">
        <f>SOFR3mo_PX[[#This Row],[Column19]]</f>
        <v>96.405000000000001</v>
      </c>
      <c r="T16">
        <f>SOFR3mo_PX[[#This Row],[Column20]]</f>
        <v>96.444999999999993</v>
      </c>
      <c r="U16">
        <f>SOFR3mo_PX[[#This Row],[Column21]]</f>
        <v>96.364999999999995</v>
      </c>
      <c r="V16">
        <f>SOFR3mo_PX[[#This Row],[Column22]]</f>
        <v>96.364999999999995</v>
      </c>
      <c r="W16">
        <f>SOFR3mo_PX[[#This Row],[Column23]]</f>
        <v>96.33</v>
      </c>
      <c r="X16">
        <f>SOFR3mo_PX[[#This Row],[Column24]]</f>
        <v>96.28</v>
      </c>
      <c r="Y16">
        <f>SOFR3mo_PX[[#This Row],[Column25]]</f>
        <v>96.38</v>
      </c>
      <c r="Z16">
        <f>SOFR3mo_PX[[#This Row],[Column26]]</f>
        <v>96.36</v>
      </c>
      <c r="AA16">
        <f>SOFR3mo_PX[[#This Row],[Column27]]</f>
        <v>96.37</v>
      </c>
      <c r="AB16">
        <f>SOFR3mo_PX[[#This Row],[Column28]]</f>
        <v>96.344999999999999</v>
      </c>
      <c r="AC16">
        <f>SOFR3mo_PX[[#This Row],[Column29]]</f>
        <v>96.254999999999995</v>
      </c>
      <c r="AD16">
        <f>SOFR3mo_PX[[#This Row],[Column30]]</f>
        <v>96.295000000000002</v>
      </c>
      <c r="AE16">
        <f>SOFR3mo_PX[[#This Row],[Column31]]</f>
        <v>96.31</v>
      </c>
      <c r="AF16">
        <f>SOFR3mo_PX[[#This Row],[Column32]]</f>
        <v>96.435000000000002</v>
      </c>
      <c r="AG16">
        <f>SOFR3mo_PX[[#This Row],[Column33]]</f>
        <v>96.43</v>
      </c>
      <c r="AH16">
        <f>SOFR3mo_PX[[#This Row],[Column34]]</f>
        <v>96.57</v>
      </c>
      <c r="AI16">
        <f>SOFR3mo_PX[[#This Row],[Column35]]</f>
        <v>96.534999999999997</v>
      </c>
      <c r="AJ16">
        <f>SOFR3mo_PX[[#This Row],[Column36]]</f>
        <v>96.495000000000005</v>
      </c>
      <c r="AK16">
        <f>SOFR3mo_PX[[#This Row],[Column37]]</f>
        <v>96.5</v>
      </c>
      <c r="AL16">
        <f>SOFR3mo_PX[[#This Row],[Column38]]</f>
        <v>96.605000000000004</v>
      </c>
      <c r="AM16">
        <f>SOFR3mo_PX[[#This Row],[Column39]]</f>
        <v>96.655000000000001</v>
      </c>
      <c r="AN16">
        <f>SOFR3mo_PX[[#This Row],[Column40]]</f>
        <v>96.63</v>
      </c>
      <c r="AO16">
        <f>SOFR3mo_PX[[#This Row],[Column41]]</f>
        <v>96.584999999999994</v>
      </c>
      <c r="AP16">
        <f>SOFR3mo_PX[[#This Row],[Column42]]</f>
        <v>96.515000000000001</v>
      </c>
      <c r="AQ16">
        <f>SOFR3mo_PX[[#This Row],[Column43]]</f>
        <v>96.465000000000003</v>
      </c>
      <c r="AR16">
        <f>SOFR3mo_PX[[#This Row],[Column44]]</f>
        <v>96.385000000000005</v>
      </c>
      <c r="AS16">
        <f>SOFR3mo_PX[[#This Row],[Column45]]</f>
        <v>96.42</v>
      </c>
      <c r="AT16">
        <f>SOFR3mo_PX[[#This Row],[Column46]]</f>
        <v>96.424999999999997</v>
      </c>
      <c r="AU16">
        <f>SOFR3mo_PX[[#This Row],[Column47]]</f>
        <v>96.454999999999998</v>
      </c>
      <c r="AV16">
        <f>SOFR3mo_PX[[#This Row],[Column48]]</f>
        <v>96.454999999999998</v>
      </c>
      <c r="AW16">
        <f>SOFR3mo_PX[[#This Row],[Column49]]</f>
        <v>96.474999999999994</v>
      </c>
      <c r="AX16">
        <f>SOFR3mo_PX[[#This Row],[Column50]]</f>
        <v>96.4</v>
      </c>
      <c r="AY16">
        <f>SOFR3mo_PX[[#This Row],[Column51]]</f>
        <v>96.364999999999995</v>
      </c>
      <c r="AZ16">
        <f>SOFR3mo_PX[[#This Row],[Column52]]</f>
        <v>96.215000000000003</v>
      </c>
      <c r="BA16">
        <f>SOFR3mo_PX[[#This Row],[Column53]]</f>
        <v>96.36</v>
      </c>
      <c r="BB16">
        <f>SOFR3mo_PX[[#This Row],[Column54]]</f>
        <v>96.265000000000001</v>
      </c>
      <c r="BC16">
        <f>SOFR3mo_PX[[#This Row],[Column55]]</f>
        <v>96.484999999999999</v>
      </c>
      <c r="BD16">
        <f>SOFR3mo_PX[[#This Row],[Column56]]</f>
        <v>96.545000000000002</v>
      </c>
      <c r="BE16">
        <f>SOFR3mo_PX[[#This Row],[Column57]]</f>
        <v>96.685000000000002</v>
      </c>
      <c r="BF16">
        <f>SOFR3mo_PX[[#This Row],[Column58]]</f>
        <v>96.63</v>
      </c>
      <c r="BG16">
        <f>SOFR3mo_PX[[#This Row],[Column59]]</f>
        <v>96.415000000000006</v>
      </c>
      <c r="BH16">
        <f>SOFR3mo_PX[[#This Row],[Column60]]</f>
        <v>96.47</v>
      </c>
      <c r="BI16">
        <f>SOFR3mo_PX[[#This Row],[Column61]]</f>
        <v>96.38</v>
      </c>
      <c r="BJ16">
        <f>SOFR3mo_PX[[#This Row],[Column62]]</f>
        <v>96.38</v>
      </c>
      <c r="BK16">
        <f>SOFR3mo_PX[[#This Row],[Column63]]</f>
        <v>96.254999999999995</v>
      </c>
      <c r="BL16">
        <f>SOFR3mo_PX[[#This Row],[Column64]]</f>
        <v>96.275000000000006</v>
      </c>
      <c r="BM16">
        <f>SOFR3mo_PX[[#This Row],[Column65]]</f>
        <v>96.29</v>
      </c>
      <c r="BN16">
        <f>SOFR3mo_PX[[#This Row],[Column66]]</f>
        <v>96.245000000000005</v>
      </c>
      <c r="BO16">
        <f>SOFR3mo_PX[[#This Row],[Column67]]</f>
        <v>96.33</v>
      </c>
      <c r="BP16">
        <f>SOFR3mo_PX[[#This Row],[Column68]]</f>
        <v>96.33</v>
      </c>
      <c r="BQ16">
        <f>SOFR3mo_PX[[#This Row],[Column69]]</f>
        <v>96.305000000000007</v>
      </c>
      <c r="BR16">
        <f>SOFR3mo_PX[[#This Row],[Column70]]</f>
        <v>96.305000000000007</v>
      </c>
      <c r="BS16">
        <f>SOFR3mo_PX[[#This Row],[Column71]]</f>
        <v>96.265000000000001</v>
      </c>
      <c r="BT16">
        <f>SOFR3mo_PX[[#This Row],[Column72]]</f>
        <v>96.275000000000006</v>
      </c>
      <c r="BU16">
        <f>SOFR3mo_PX[[#This Row],[Column73]]</f>
        <v>96.33</v>
      </c>
      <c r="BV16">
        <f>SOFR3mo_PX[[#This Row],[Column74]]</f>
        <v>96.275000000000006</v>
      </c>
      <c r="BW16">
        <f>SOFR3mo_PX[[#This Row],[Column75]]</f>
        <v>96.31</v>
      </c>
      <c r="BX16">
        <f>SOFR3mo_PX[[#This Row],[Column76]]</f>
        <v>96.385000000000005</v>
      </c>
      <c r="BY16">
        <f>SOFR3mo_PX[[#This Row],[Column77]]</f>
        <v>96.24</v>
      </c>
      <c r="BZ16">
        <f>SOFR3mo_PX[[#This Row],[Column78]]</f>
        <v>96.275000000000006</v>
      </c>
      <c r="CA16">
        <f>SOFR3mo_PX[[#This Row],[Column79]]</f>
        <v>96.284999999999997</v>
      </c>
      <c r="CB16">
        <f>SOFR3mo_PX[[#This Row],[Column80]]</f>
        <v>96.364999999999995</v>
      </c>
      <c r="CC16">
        <f>SOFR3mo_PX[[#This Row],[Column81]]</f>
        <v>96.394999999999996</v>
      </c>
      <c r="CD16">
        <f>SOFR3mo_PX[[#This Row],[Column82]]</f>
        <v>96.355000000000004</v>
      </c>
      <c r="CE16">
        <f>SOFR3mo_PX[[#This Row],[Column83]]</f>
        <v>96.284999999999997</v>
      </c>
      <c r="CF16">
        <f>SOFR3mo_PX[[#This Row],[Column84]]</f>
        <v>96.32</v>
      </c>
      <c r="CG16">
        <f>SOFR3mo_PX[[#This Row],[Column85]]</f>
        <v>96.254999999999995</v>
      </c>
      <c r="CH16">
        <f>SOFR3mo_PX[[#This Row],[Column86]]</f>
        <v>96.114999999999995</v>
      </c>
      <c r="CI16">
        <f>SOFR3mo_PX[[#This Row],[Column87]]</f>
        <v>96.08</v>
      </c>
      <c r="CJ16">
        <f>SOFR3mo_PX[[#This Row],[Column88]]</f>
        <v>95.995000000000005</v>
      </c>
      <c r="CK16">
        <f>SOFR3mo_PX[[#This Row],[Column89]]</f>
        <v>95.954999999999998</v>
      </c>
      <c r="CL16">
        <f>SOFR3mo_PX[[#This Row],[Column90]]</f>
        <v>95.944999999999993</v>
      </c>
      <c r="CM16">
        <f>SOFR3mo_PX[[#This Row],[Column91]]</f>
        <v>96.015000000000001</v>
      </c>
      <c r="CN16">
        <f>SOFR3mo_PX[[#This Row],[Column92]]</f>
        <v>96.015000000000001</v>
      </c>
      <c r="CO16">
        <f>SOFR3mo_PX[[#This Row],[Column93]]</f>
        <v>95.94</v>
      </c>
      <c r="CP16">
        <f>SOFR3mo_PX[[#This Row],[Column94]]</f>
        <v>95.825000000000003</v>
      </c>
      <c r="CQ16">
        <f>SOFR3mo_PX[[#This Row],[Column95]]</f>
        <v>95.97</v>
      </c>
      <c r="CR16">
        <f>SOFR3mo_PX[[#This Row],[Column96]]</f>
        <v>96.015000000000001</v>
      </c>
      <c r="CS16">
        <f>SOFR3mo_PX[[#This Row],[Column97]]</f>
        <v>96.01</v>
      </c>
      <c r="CT16">
        <f>SOFR3mo_PX[[#This Row],[Column98]]</f>
        <v>96.07</v>
      </c>
      <c r="CU16">
        <f>SOFR3mo_PX[[#This Row],[Column99]]</f>
        <v>96.125</v>
      </c>
      <c r="CV16">
        <f>SOFR3mo_PX[[#This Row],[Column100]]</f>
        <v>96.025000000000006</v>
      </c>
      <c r="CW16">
        <f>SOFR3mo_PX[[#This Row],[Column101]]</f>
        <v>95.98</v>
      </c>
      <c r="CX16">
        <f>SOFR3mo_PX[[#This Row],[Column102]]</f>
        <v>95.954999999999998</v>
      </c>
      <c r="CY16">
        <f>SOFR3mo_PX[[#This Row],[Column103]]</f>
        <v>96.015000000000001</v>
      </c>
      <c r="CZ16">
        <f>SOFR3mo_PX[[#This Row],[Column104]]</f>
        <v>95.97</v>
      </c>
      <c r="DA16">
        <f>SOFR3mo_PX[[#This Row],[Column105]]</f>
        <v>95.974999999999994</v>
      </c>
      <c r="DB16">
        <f>SOFR3mo_PX[[#This Row],[Column106]]</f>
        <v>95.995000000000005</v>
      </c>
      <c r="DC16">
        <f>SOFR3mo_PX[[#This Row],[Column107]]</f>
        <v>95.885000000000005</v>
      </c>
      <c r="DD16">
        <f>SOFR3mo_PX[[#This Row],[Column108]]</f>
        <v>95.88</v>
      </c>
      <c r="DE16">
        <f>SOFR3mo_PX[[#This Row],[Column109]]</f>
        <v>95.894999999999996</v>
      </c>
      <c r="DF16">
        <f>SOFR3mo_PX[[#This Row],[Column110]]</f>
        <v>95.92</v>
      </c>
      <c r="DG16">
        <f>SOFR3mo_PX[[#This Row],[Column111]]</f>
        <v>95.894999999999996</v>
      </c>
      <c r="DH16">
        <f>SOFR3mo_PX[[#This Row],[Column112]]</f>
        <v>95.894999999999996</v>
      </c>
      <c r="DI16">
        <f>SOFR3mo_PX[[#This Row],[Column113]]</f>
        <v>95.905000000000001</v>
      </c>
      <c r="DJ16">
        <f>SOFR3mo_PX[[#This Row],[Column114]]</f>
        <v>95.844999999999999</v>
      </c>
      <c r="DK16">
        <f>SOFR3mo_PX[[#This Row],[Column115]]</f>
        <v>95.68</v>
      </c>
      <c r="DL16">
        <f>SOFR3mo_PX[[#This Row],[Column116]]</f>
        <v>95.67</v>
      </c>
      <c r="DM16">
        <f>SOFR3mo_PX[[#This Row],[Column117]]</f>
        <v>95.71</v>
      </c>
      <c r="DN16">
        <f>SOFR3mo_PX[[#This Row],[Column118]]</f>
        <v>95.85</v>
      </c>
      <c r="DO16">
        <f>SOFR3mo_PX[[#This Row],[Column119]]</f>
        <v>95.83</v>
      </c>
      <c r="DP16">
        <f>SOFR3mo_PX[[#This Row],[Column120]]</f>
        <v>95.84</v>
      </c>
      <c r="DQ16">
        <f>SOFR3mo_PX[[#This Row],[Column121]]</f>
        <v>95.91</v>
      </c>
      <c r="DR16">
        <f>SOFR3mo_PX[[#This Row],[Column122]]</f>
        <v>95.96</v>
      </c>
      <c r="DS16">
        <f>SOFR3mo_PX[[#This Row],[Column123]]</f>
        <v>95.99</v>
      </c>
      <c r="DT16">
        <f>SOFR3mo_PX[[#This Row],[Column124]]</f>
        <v>95.974999999999994</v>
      </c>
      <c r="DU16">
        <f>SOFR3mo_PX[[#This Row],[Column125]]</f>
        <v>95.974999999999994</v>
      </c>
      <c r="DV16">
        <f>SOFR3mo_PX[[#This Row],[Column126]]</f>
        <v>96.004999999999995</v>
      </c>
      <c r="DW16">
        <f>SOFR3mo_PX[[#This Row],[Column127]]</f>
        <v>95.915000000000006</v>
      </c>
      <c r="DX16">
        <f>SOFR3mo_PX[[#This Row],[Column128]]</f>
        <v>95.96</v>
      </c>
      <c r="DY16">
        <f>SOFR3mo_PX[[#This Row],[Column129]]</f>
        <v>95.944999999999993</v>
      </c>
      <c r="DZ16">
        <f>SOFR3mo_PX[[#This Row],[Column130]]</f>
        <v>95.944999999999993</v>
      </c>
      <c r="EA16">
        <f>SOFR3mo_PX[[#This Row],[Column131]]</f>
        <v>95.93</v>
      </c>
      <c r="EB16">
        <f>SOFR3mo_PX[[#This Row],[Column132]]</f>
        <v>96.015000000000001</v>
      </c>
      <c r="EC16">
        <f>SOFR3mo_PX[[#This Row],[Column133]]</f>
        <v>95.95</v>
      </c>
      <c r="ED16">
        <f>SOFR3mo_PX[[#This Row],[Column134]]</f>
        <v>96.055000000000007</v>
      </c>
      <c r="EE16">
        <f>SOFR3mo_PX[[#This Row],[Column135]]</f>
        <v>96.18</v>
      </c>
      <c r="EF16">
        <f>SOFR3mo_PX[[#This Row],[Column136]]</f>
        <v>96.165000000000006</v>
      </c>
      <c r="EG16">
        <f>SOFR3mo_PX[[#This Row],[Column137]]</f>
        <v>96.18</v>
      </c>
      <c r="EH16">
        <f>SOFR3mo_PX[[#This Row],[Column138]]</f>
        <v>96.254999999999995</v>
      </c>
      <c r="EI16">
        <f>SOFR3mo_PX[[#This Row],[Column139]]</f>
        <v>96.31</v>
      </c>
      <c r="EJ16">
        <f>SOFR3mo_PX[[#This Row],[Column140]]</f>
        <v>96.375</v>
      </c>
      <c r="EK16">
        <f>SOFR3mo_PX[[#This Row],[Column141]]</f>
        <v>96.4</v>
      </c>
      <c r="EL16">
        <f>SOFR3mo_PX[[#This Row],[Column142]]</f>
        <v>96.435000000000002</v>
      </c>
      <c r="EM16">
        <f>SOFR3mo_PX[[#This Row],[Column143]]</f>
        <v>96.394999999999996</v>
      </c>
      <c r="EN16">
        <f>SOFR3mo_PX[[#This Row],[Column144]]</f>
        <v>96.4</v>
      </c>
      <c r="EO16">
        <f>SOFR3mo_PX[[#This Row],[Column145]]</f>
        <v>96.37</v>
      </c>
      <c r="EP16">
        <f>SOFR3mo_PX[[#This Row],[Column146]]</f>
        <v>96.405000000000001</v>
      </c>
      <c r="EQ16">
        <f>SOFR3mo_PX[[#This Row],[Column147]]</f>
        <v>96.41</v>
      </c>
      <c r="ER16">
        <f>SOFR3mo_PX[[#This Row],[Column148]]</f>
        <v>96.37</v>
      </c>
      <c r="ES16">
        <f>SOFR3mo_PX[[#This Row],[Column149]]</f>
        <v>96.37</v>
      </c>
      <c r="ET16">
        <f>SOFR3mo_PX[[#This Row],[Column150]]</f>
        <v>96.284999999999997</v>
      </c>
      <c r="EU16">
        <f>SOFR3mo_PX[[#This Row],[Column151]]</f>
        <v>96.33</v>
      </c>
      <c r="EV16">
        <f>SOFR3mo_PX[[#This Row],[Column152]]</f>
        <v>96.194999999999993</v>
      </c>
      <c r="EW16">
        <f>SOFR3mo_PX[[#This Row],[Column153]]</f>
        <v>96.174999999999997</v>
      </c>
      <c r="EX16">
        <f>SOFR3mo_PX[[#This Row],[Column154]]</f>
        <v>96.204999999999998</v>
      </c>
      <c r="EY16">
        <f>SOFR3mo_PX[[#This Row],[Column155]]</f>
        <v>96.23</v>
      </c>
      <c r="EZ16">
        <f>SOFR3mo_PX[[#This Row],[Column156]]</f>
        <v>96.2</v>
      </c>
      <c r="FA16">
        <f>SOFR3mo_PX[[#This Row],[Column157]]</f>
        <v>96.185000000000002</v>
      </c>
      <c r="FB16">
        <f>SOFR3mo_PX[[#This Row],[Column158]]</f>
        <v>96.18</v>
      </c>
      <c r="FC16">
        <f>SOFR3mo_PX[[#This Row],[Column159]]</f>
        <v>96.16</v>
      </c>
      <c r="FD16">
        <f>SOFR3mo_PX[[#This Row],[Column160]]</f>
        <v>96.17</v>
      </c>
      <c r="FE16">
        <f>SOFR3mo_PX[[#This Row],[Column161]]</f>
        <v>96.21</v>
      </c>
      <c r="FF16">
        <f>SOFR3mo_PX[[#This Row],[Column162]]</f>
        <v>96.275000000000006</v>
      </c>
      <c r="FG16">
        <f>SOFR3mo_PX[[#This Row],[Column163]]</f>
        <v>96.26</v>
      </c>
      <c r="FH16">
        <f>SOFR3mo_PX[[#This Row],[Column164]]</f>
        <v>96.18</v>
      </c>
      <c r="FI16">
        <f>SOFR3mo_PX[[#This Row],[Column165]]</f>
        <v>96.32</v>
      </c>
      <c r="FJ16">
        <f>SOFR3mo_PX[[#This Row],[Column166]]</f>
        <v>96.305000000000007</v>
      </c>
      <c r="FK16">
        <f>SOFR3mo_PX[[#This Row],[Column167]]</f>
        <v>96.265000000000001</v>
      </c>
      <c r="FL16">
        <f>SOFR3mo_PX[[#This Row],[Column168]]</f>
        <v>96.31</v>
      </c>
      <c r="FM16">
        <f>SOFR3mo_PX[[#This Row],[Column169]]</f>
        <v>96.334999999999994</v>
      </c>
      <c r="FN16">
        <f>SOFR3mo_PX[[#This Row],[Column170]]</f>
        <v>96.355000000000004</v>
      </c>
      <c r="FO16">
        <f>SOFR3mo_PX[[#This Row],[Column171]]</f>
        <v>96.344999999999999</v>
      </c>
      <c r="FP16">
        <f>SOFR3mo_PX[[#This Row],[Column172]]</f>
        <v>96.394999999999996</v>
      </c>
      <c r="FQ16">
        <f>SOFR3mo_PX[[#This Row],[Column173]]</f>
        <v>96.42</v>
      </c>
      <c r="FR16">
        <f>SOFR3mo_PX[[#This Row],[Column174]]</f>
        <v>96.375</v>
      </c>
      <c r="FS16">
        <f>SOFR3mo_PX[[#This Row],[Column175]]</f>
        <v>96.435000000000002</v>
      </c>
      <c r="FT16">
        <f>SOFR3mo_PX[[#This Row],[Column176]]</f>
        <v>96.465000000000003</v>
      </c>
      <c r="FU16">
        <f>SOFR3mo_PX[[#This Row],[Column177]]</f>
        <v>96.58</v>
      </c>
      <c r="FV16">
        <f>SOFR3mo_PX[[#This Row],[Column178]]</f>
        <v>96.555000000000007</v>
      </c>
      <c r="FW16">
        <f>SOFR3mo_PX[[#This Row],[Column179]]</f>
        <v>96.625</v>
      </c>
      <c r="FX16">
        <f>SOFR3mo_PX[[#This Row],[Column180]]</f>
        <v>96.61</v>
      </c>
      <c r="FY16">
        <f>SOFR3mo_PX[[#This Row],[Column181]]</f>
        <v>96.53</v>
      </c>
      <c r="FZ16">
        <f>SOFR3mo_PX[[#This Row],[Column182]]</f>
        <v>96.58</v>
      </c>
      <c r="GA16">
        <f>SOFR3mo_PX[[#This Row],[Column183]]</f>
        <v>96.55</v>
      </c>
      <c r="GB16">
        <f>SOFR3mo_PX[[#This Row],[Column184]]</f>
        <v>96.575000000000003</v>
      </c>
      <c r="GC16">
        <f>SOFR3mo_PX[[#This Row],[Column185]]</f>
        <v>96.61</v>
      </c>
      <c r="GD16">
        <f>SOFR3mo_PX[[#This Row],[Column186]]</f>
        <v>96.62</v>
      </c>
      <c r="GE16">
        <f>SOFR3mo_PX[[#This Row],[Column187]]</f>
        <v>96.66</v>
      </c>
      <c r="GF16">
        <f>SOFR3mo_PX[[#This Row],[Column188]]</f>
        <v>96.805000000000007</v>
      </c>
      <c r="GG16">
        <f>SOFR3mo_PX[[#This Row],[Column189]]</f>
        <v>96.88</v>
      </c>
      <c r="GH16">
        <f>SOFR3mo_PX[[#This Row],[Column190]]</f>
        <v>96.915000000000006</v>
      </c>
      <c r="GI16">
        <f>SOFR3mo_PX[[#This Row],[Column191]]</f>
        <v>96.844999999999999</v>
      </c>
      <c r="GJ16">
        <f>SOFR3mo_PX[[#This Row],[Column192]]</f>
        <v>96.89</v>
      </c>
      <c r="GK16">
        <f>SOFR3mo_PX[[#This Row],[Column193]]</f>
        <v>96.85</v>
      </c>
      <c r="GL16">
        <f>SOFR3mo_PX[[#This Row],[Column194]]</f>
        <v>96.855000000000004</v>
      </c>
      <c r="GM16">
        <f>SOFR3mo_PX[[#This Row],[Column195]]</f>
        <v>96.9</v>
      </c>
      <c r="GN16">
        <f>SOFR3mo_PX[[#This Row],[Column196]]</f>
        <v>96.89</v>
      </c>
      <c r="GO16">
        <f>SOFR3mo_PX[[#This Row],[Column197]]</f>
        <v>96.91</v>
      </c>
      <c r="GP16">
        <f>SOFR3mo_PX[[#This Row],[Column198]]</f>
        <v>96.905000000000001</v>
      </c>
      <c r="GQ16">
        <f>SOFR3mo_PX[[#This Row],[Column199]]</f>
        <v>96.96</v>
      </c>
      <c r="GR16">
        <f>SOFR3mo_PX[[#This Row],[Column200]]</f>
        <v>97.045000000000002</v>
      </c>
      <c r="GS16">
        <f>SOFR3mo_PX[[#This Row],[Column201]]</f>
        <v>97.06</v>
      </c>
      <c r="GT16">
        <f>SOFR3mo_PX[[#This Row],[Column202]]</f>
        <v>97.06</v>
      </c>
      <c r="GU16">
        <f>SOFR3mo_PX[[#This Row],[Column203]]</f>
        <v>97.05</v>
      </c>
      <c r="GV16">
        <f>SOFR3mo_PX[[#This Row],[Column204]]</f>
        <v>97.084999999999994</v>
      </c>
      <c r="GW16">
        <f>SOFR3mo_PX[[#This Row],[Column205]]</f>
        <v>97.09</v>
      </c>
      <c r="GX16">
        <f>SOFR3mo_PX[[#This Row],[Column206]]</f>
        <v>97.03</v>
      </c>
      <c r="GY16">
        <f>SOFR3mo_PX[[#This Row],[Column207]]</f>
        <v>97.015000000000001</v>
      </c>
      <c r="GZ16">
        <f>SOFR3mo_PX[[#This Row],[Column208]]</f>
        <v>96.984999999999999</v>
      </c>
      <c r="HA16">
        <f>SOFR3mo_PX[[#This Row],[Column209]]</f>
        <v>96.96</v>
      </c>
      <c r="HB16">
        <f>SOFR3mo_PX[[#This Row],[Column210]]</f>
        <v>96.89</v>
      </c>
      <c r="HC16">
        <f>SOFR3mo_PX[[#This Row],[Column211]]</f>
        <v>96.814999999999998</v>
      </c>
      <c r="HD16">
        <f>SOFR3mo_PX[[#This Row],[Column212]]</f>
        <v>96.814999999999998</v>
      </c>
      <c r="HE16">
        <f>SOFR3mo_PX[[#This Row],[Column213]]</f>
        <v>96.864999999999995</v>
      </c>
      <c r="HF16">
        <f>SOFR3mo_PX[[#This Row],[Column214]]</f>
        <v>96.89</v>
      </c>
      <c r="HG16">
        <f>SOFR3mo_PX[[#This Row],[Column215]]</f>
        <v>96.894999999999996</v>
      </c>
      <c r="HH16">
        <f>SOFR3mo_PX[[#This Row],[Column216]]</f>
        <v>96.9</v>
      </c>
      <c r="HI16">
        <f>SOFR3mo_PX[[#This Row],[Column217]]</f>
        <v>96.9</v>
      </c>
      <c r="HJ16">
        <f>SOFR3mo_PX[[#This Row],[Column218]]</f>
        <v>96.83</v>
      </c>
      <c r="HK16">
        <f>SOFR3mo_PX[[#This Row],[Column219]]</f>
        <v>96.915000000000006</v>
      </c>
      <c r="HL16">
        <f>SOFR3mo_PX[[#This Row],[Column220]]</f>
        <v>96.875</v>
      </c>
      <c r="HM16">
        <f>SOFR3mo_PX[[#This Row],[Column221]]</f>
        <v>96.814999999999998</v>
      </c>
      <c r="HN16">
        <f>SOFR3mo_PX[[#This Row],[Column222]]</f>
        <v>96.795000000000002</v>
      </c>
      <c r="HO16">
        <f>SOFR3mo_PX[[#This Row],[Column223]]</f>
        <v>96.77</v>
      </c>
      <c r="HP16">
        <f>SOFR3mo_PX[[#This Row],[Column224]]</f>
        <v>96.894999999999996</v>
      </c>
      <c r="HQ16">
        <f>SOFR3mo_PX[[#This Row],[Column225]]</f>
        <v>96.864999999999995</v>
      </c>
      <c r="HR16">
        <f>SOFR3mo_PX[[#This Row],[Column226]]</f>
        <v>96.814999999999998</v>
      </c>
      <c r="HS16">
        <f>SOFR3mo_PX[[#This Row],[Column227]]</f>
        <v>96.76</v>
      </c>
      <c r="HT16">
        <f>SOFR3mo_PX[[#This Row],[Column228]]</f>
        <v>96.715000000000003</v>
      </c>
      <c r="HU16">
        <f>SOFR3mo_PX[[#This Row],[Column229]]</f>
        <v>96.74</v>
      </c>
      <c r="HV16">
        <f>SOFR3mo_PX[[#This Row],[Column230]]</f>
        <v>96.82</v>
      </c>
      <c r="HW16">
        <f>SOFR3mo_PX[[#This Row],[Column231]]</f>
        <v>96.905000000000001</v>
      </c>
      <c r="HX16">
        <f>SOFR3mo_PX[[#This Row],[Column232]]</f>
        <v>96.93</v>
      </c>
      <c r="HY16">
        <f>SOFR3mo_PX[[#This Row],[Column233]]</f>
        <v>96.745000000000005</v>
      </c>
      <c r="HZ16">
        <f>SOFR3mo_PX[[#This Row],[Column234]]</f>
        <v>96.62</v>
      </c>
      <c r="IA16">
        <f>SOFR3mo_PX[[#This Row],[Column235]]</f>
        <v>96.59</v>
      </c>
      <c r="IB16">
        <f>SOFR3mo_PX[[#This Row],[Column236]]</f>
        <v>96.555000000000007</v>
      </c>
      <c r="IC16">
        <f>SOFR3mo_PX[[#This Row],[Column237]]</f>
        <v>96.54</v>
      </c>
      <c r="ID16">
        <f>SOFR3mo_PX[[#This Row],[Column238]]</f>
        <v>96.474999999999994</v>
      </c>
      <c r="IE16">
        <f>SOFR3mo_PX[[#This Row],[Column239]]</f>
        <v>96.454999999999998</v>
      </c>
      <c r="IF16">
        <f>SOFR3mo_PX[[#This Row],[Column240]]</f>
        <v>96.474999999999994</v>
      </c>
      <c r="IG16">
        <f>SOFR3mo_PX[[#This Row],[Column241]]</f>
        <v>96.454999999999998</v>
      </c>
      <c r="IH16">
        <f>SOFR3mo_PX[[#This Row],[Column242]]</f>
        <v>96.46</v>
      </c>
      <c r="II16">
        <f>SOFR3mo_PX[[#This Row],[Column243]]</f>
        <v>96.52</v>
      </c>
      <c r="IJ16">
        <f>SOFR3mo_PX[[#This Row],[Column244]]</f>
        <v>96.57</v>
      </c>
      <c r="IK16">
        <f>SOFR3mo_PX[[#This Row],[Column245]]</f>
        <v>96.54</v>
      </c>
      <c r="IL16">
        <f>SOFR3mo_PX[[#This Row],[Column246]]</f>
        <v>96.49</v>
      </c>
      <c r="IM16">
        <f>SOFR3mo_PX[[#This Row],[Column247]]</f>
        <v>96.525000000000006</v>
      </c>
      <c r="IN16">
        <f>SOFR3mo_PX[[#This Row],[Column248]]</f>
        <v>96.525000000000006</v>
      </c>
      <c r="IO16">
        <f>SOFR3mo_PX[[#This Row],[Column249]]</f>
        <v>96.415000000000006</v>
      </c>
      <c r="IP16">
        <f>SOFR3mo_PX[[#This Row],[Column250]]</f>
        <v>96.394999999999996</v>
      </c>
      <c r="IQ16">
        <f>SOFR3mo_PX[[#This Row],[Column251]]</f>
        <v>96.42</v>
      </c>
      <c r="IR16">
        <f>SOFR3mo_PX[[#This Row],[Column252]]</f>
        <v>96.42</v>
      </c>
      <c r="IS16">
        <f>SOFR3mo_PX[[#This Row],[Column253]]</f>
        <v>96.334999999999994</v>
      </c>
      <c r="IT16">
        <f>SOFR3mo_PX[[#This Row],[Column254]]</f>
        <v>96.334999999999994</v>
      </c>
      <c r="IU16">
        <f>SOFR3mo_PX[[#This Row],[Column255]]</f>
        <v>96.23</v>
      </c>
      <c r="IV16">
        <f>SOFR3mo_PX[[#This Row],[Column256]]</f>
        <v>96.174999999999997</v>
      </c>
      <c r="IW16">
        <f>SOFR3mo_PX[[#This Row],[Column257]]</f>
        <v>96.334999999999994</v>
      </c>
      <c r="IX16">
        <f>SOFR3mo_PX[[#This Row],[Column258]]</f>
        <v>96.37</v>
      </c>
      <c r="IY16">
        <f>SOFR3mo_PX[[#This Row],[Column259]]</f>
        <v>96.34</v>
      </c>
      <c r="IZ16">
        <f>SOFR3mo_PX[[#This Row],[Column260]]</f>
        <v>96.43</v>
      </c>
      <c r="JA16">
        <f>SOFR3mo_PX[[#This Row],[Column261]]</f>
        <v>96.424999999999997</v>
      </c>
      <c r="JB16">
        <f>SOFR3mo_PX[[#This Row],[Column262]]</f>
        <v>96.41</v>
      </c>
      <c r="JC16">
        <f>SOFR3mo_PX[[#This Row],[Column263]]</f>
        <v>96.41</v>
      </c>
      <c r="JD16">
        <f>SOFR3mo_PX[[#This Row],[Column264]]</f>
        <v>96.444999999999993</v>
      </c>
      <c r="JE16">
        <f>SOFR3mo_PX[[#This Row],[Column265]]</f>
        <v>96.444999999999993</v>
      </c>
      <c r="JF16">
        <f>SOFR3mo_PX[[#This Row],[Column266]]</f>
        <v>96.37</v>
      </c>
      <c r="JG16">
        <f>SOFR3mo_PX[[#This Row],[Column267]]</f>
        <v>96.45</v>
      </c>
      <c r="JH16">
        <f>SOFR3mo_PX[[#This Row],[Column268]]</f>
        <v>96.42</v>
      </c>
      <c r="JI16">
        <f>SOFR3mo_PX[[#This Row],[Column269]]</f>
        <v>96.344999999999999</v>
      </c>
      <c r="JJ16">
        <f>SOFR3mo_PX[[#This Row],[Column270]]</f>
        <v>96.224999999999994</v>
      </c>
      <c r="JK16">
        <f>SOFR3mo_PX[[#This Row],[Column271]]</f>
        <v>96.15</v>
      </c>
      <c r="JL16">
        <f>SOFR3mo_PX[[#This Row],[Column272]]</f>
        <v>96.2</v>
      </c>
      <c r="JM16">
        <f>SOFR3mo_PX[[#This Row],[Column273]]</f>
        <v>96.355000000000004</v>
      </c>
      <c r="JN16">
        <f>SOFR3mo_PX[[#This Row],[Column274]]</f>
        <v>96.34</v>
      </c>
      <c r="JO16">
        <f>SOFR3mo_PX[[#This Row],[Column275]]</f>
        <v>96.3</v>
      </c>
      <c r="JP16">
        <f>SOFR3mo_PX[[#This Row],[Column276]]</f>
        <v>96.215000000000003</v>
      </c>
      <c r="JQ16">
        <f>SOFR3mo_PX[[#This Row],[Column277]]</f>
        <v>96.094999999999999</v>
      </c>
      <c r="JR16">
        <f>SOFR3mo_PX[[#This Row],[Column278]]</f>
        <v>96.045000000000002</v>
      </c>
      <c r="JS16">
        <f>SOFR3mo_PX[[#This Row],[Column279]]</f>
        <v>95.965000000000003</v>
      </c>
      <c r="JT16">
        <f>SOFR3mo_PX[[#This Row],[Column280]]</f>
        <v>96.05</v>
      </c>
      <c r="JU16">
        <f>SOFR3mo_PX[[#This Row],[Column281]]</f>
        <v>96.12</v>
      </c>
      <c r="JV16">
        <f>SOFR3mo_PX[[#This Row],[Column282]]</f>
        <v>96.12</v>
      </c>
      <c r="JW16">
        <f>SOFR3mo_PX[[#This Row],[Column283]]</f>
        <v>96.12</v>
      </c>
      <c r="JX16">
        <f>SOFR3mo_PX[[#This Row],[Column284]]</f>
        <v>96.174999999999997</v>
      </c>
      <c r="JY16">
        <f>SOFR3mo_PX[[#This Row],[Column285]]</f>
        <v>96.2</v>
      </c>
      <c r="JZ16">
        <f>SOFR3mo_PX[[#This Row],[Column286]]</f>
        <v>96.174999999999997</v>
      </c>
      <c r="KA16">
        <f>SOFR3mo_PX[[#This Row],[Column287]]</f>
        <v>96.18</v>
      </c>
      <c r="KB16">
        <f>SOFR3mo_PX[[#This Row],[Column288]]</f>
        <v>96.23</v>
      </c>
      <c r="KC16">
        <f>SOFR3mo_PX[[#This Row],[Column289]]</f>
        <v>96.265000000000001</v>
      </c>
      <c r="KD16">
        <f>SOFR3mo_PX[[#This Row],[Column290]]</f>
        <v>96.155000000000001</v>
      </c>
      <c r="KE16">
        <f>SOFR3mo_PX[[#This Row],[Column291]]</f>
        <v>96.11</v>
      </c>
      <c r="KF16">
        <f>SOFR3mo_PX[[#This Row],[Column292]]</f>
        <v>96.08</v>
      </c>
      <c r="KG16">
        <f>SOFR3mo_PX[[#This Row],[Column293]]</f>
        <v>96.13</v>
      </c>
      <c r="KH16">
        <f>SOFR3mo_PX[[#This Row],[Column294]]</f>
        <v>96.094999999999999</v>
      </c>
      <c r="KI16">
        <f>SOFR3mo_PX[[#This Row],[Column295]]</f>
        <v>96.14</v>
      </c>
      <c r="KJ16">
        <f>SOFR3mo_PX[[#This Row],[Column296]]</f>
        <v>96.114999999999995</v>
      </c>
      <c r="KK16">
        <f>SOFR3mo_PX[[#This Row],[Column297]]</f>
        <v>96.105000000000004</v>
      </c>
      <c r="KL16">
        <f>SOFR3mo_PX[[#This Row],[Column298]]</f>
        <v>96.01</v>
      </c>
      <c r="KM16">
        <f>SOFR3mo_PX[[#This Row],[Column299]]</f>
        <v>95.98</v>
      </c>
      <c r="KN16">
        <f>SOFR3mo_PX[[#This Row],[Column300]]</f>
        <v>95.875</v>
      </c>
      <c r="KO16">
        <f>SOFR3mo_PX[[#This Row],[Column301]]</f>
        <v>95.954999999999998</v>
      </c>
      <c r="KP16">
        <f>SOFR3mo_PX[[#This Row],[Column302]]</f>
        <v>95.89</v>
      </c>
      <c r="KQ16">
        <f>SOFR3mo_PX[[#This Row],[Column303]]</f>
        <v>95.844999999999999</v>
      </c>
      <c r="KR16">
        <f>SOFR3mo_PX[[#This Row],[Column304]]</f>
        <v>95.91</v>
      </c>
      <c r="KS16">
        <f>SOFR3mo_PX[[#This Row],[Column305]]</f>
        <v>95.97</v>
      </c>
      <c r="KT16">
        <f>SOFR3mo_PX[[#This Row],[Column306]]</f>
        <v>95.94</v>
      </c>
      <c r="KU16">
        <f>SOFR3mo_PX[[#This Row],[Column307]]</f>
        <v>95.944999999999993</v>
      </c>
      <c r="KV16">
        <f>SOFR3mo_PX[[#This Row],[Column308]]</f>
        <v>95.915000000000006</v>
      </c>
      <c r="KW16">
        <f>SOFR3mo_PX[[#This Row],[Column309]]</f>
        <v>95.99</v>
      </c>
      <c r="KX16">
        <f>SOFR3mo_PX[[#This Row],[Column310]]</f>
        <v>95.91</v>
      </c>
      <c r="KY16">
        <f>SOFR3mo_PX[[#This Row],[Column311]]</f>
        <v>95.95</v>
      </c>
      <c r="KZ16">
        <f>SOFR3mo_PX[[#This Row],[Column312]]</f>
        <v>96.094999999999999</v>
      </c>
      <c r="LA16">
        <f>SOFR3mo_PX[[#This Row],[Column313]]</f>
        <v>96</v>
      </c>
      <c r="LB16">
        <f>SOFR3mo_PX[[#This Row],[Column314]]</f>
        <v>96.015000000000001</v>
      </c>
      <c r="LC16">
        <f>SOFR3mo_PX[[#This Row],[Column315]]</f>
        <v>96.23</v>
      </c>
      <c r="LD16">
        <f>SOFR3mo_PX[[#This Row],[Column316]]</f>
        <v>96.174999999999997</v>
      </c>
      <c r="LE16">
        <f>SOFR3mo_PX[[#This Row],[Column317]]</f>
        <v>96.245000000000005</v>
      </c>
      <c r="LF16">
        <f>SOFR3mo_PX[[#This Row],[Column318]]</f>
        <v>96.305000000000007</v>
      </c>
      <c r="LG16">
        <f>SOFR3mo_PX[[#This Row],[Column319]]</f>
        <v>96.265000000000001</v>
      </c>
      <c r="LH16">
        <f>SOFR3mo_PX[[#This Row],[Column320]]</f>
        <v>96.25</v>
      </c>
      <c r="LI16">
        <f>SOFR3mo_PX[[#This Row],[Column321]]</f>
        <v>96.275000000000006</v>
      </c>
      <c r="LJ16">
        <f>SOFR3mo_PX[[#This Row],[Column322]]</f>
        <v>96.43</v>
      </c>
      <c r="LK16">
        <f>SOFR3mo_PX[[#This Row],[Column323]]</f>
        <v>96.43</v>
      </c>
      <c r="LL16">
        <f>SOFR3mo_PX[[#This Row],[Column324]]</f>
        <v>96.415000000000006</v>
      </c>
      <c r="LM16">
        <f>SOFR3mo_PX[[#This Row],[Column325]]</f>
        <v>96.375</v>
      </c>
      <c r="LN16">
        <f>SOFR3mo_PX[[#This Row],[Column326]]</f>
        <v>96.35</v>
      </c>
      <c r="LO16">
        <f>SOFR3mo_PX[[#This Row],[Column327]]</f>
        <v>96.385000000000005</v>
      </c>
      <c r="LP16">
        <f>SOFR3mo_PX[[#This Row],[Column328]]</f>
        <v>96.33</v>
      </c>
      <c r="LQ16">
        <f>SOFR3mo_PX[[#This Row],[Column329]]</f>
        <v>96.334999999999994</v>
      </c>
      <c r="LR16">
        <f>SOFR3mo_PX[[#This Row],[Column330]]</f>
        <v>96.305000000000007</v>
      </c>
      <c r="LS16">
        <f>SOFR3mo_PX[[#This Row],[Column331]]</f>
        <v>96.25</v>
      </c>
      <c r="LT16">
        <f>SOFR3mo_PX[[#This Row],[Column332]]</f>
        <v>96.29</v>
      </c>
      <c r="LU16">
        <f>SOFR3mo_PX[[#This Row],[Column333]]</f>
        <v>96.314999999999998</v>
      </c>
      <c r="LV16">
        <f>SOFR3mo_PX[[#This Row],[Column334]]</f>
        <v>96.46</v>
      </c>
      <c r="LW16">
        <f>SOFR3mo_PX[[#This Row],[Column335]]</f>
        <v>96.48</v>
      </c>
      <c r="LX16">
        <f>SOFR3mo_PX[[#This Row],[Column336]]</f>
        <v>96.545000000000002</v>
      </c>
      <c r="LY16">
        <f>SOFR3mo_PX[[#This Row],[Column337]]</f>
        <v>96.56</v>
      </c>
      <c r="LZ16">
        <f>SOFR3mo_PX[[#This Row],[Column338]]</f>
        <v>96.55</v>
      </c>
      <c r="MA16">
        <f>SOFR3mo_PX[[#This Row],[Column339]]</f>
        <v>96.52</v>
      </c>
      <c r="MB16">
        <f>SOFR3mo_PX[[#This Row],[Column340]]</f>
        <v>96.495000000000005</v>
      </c>
      <c r="MC16">
        <f>SOFR3mo_PX[[#This Row],[Column341]]</f>
        <v>96.41</v>
      </c>
      <c r="MD16">
        <f>SOFR3mo_PX[[#This Row],[Column342]]</f>
        <v>96.44</v>
      </c>
      <c r="ME16">
        <f>SOFR3mo_PX[[#This Row],[Column343]]</f>
        <v>96.35</v>
      </c>
      <c r="MF16">
        <f>SOFR3mo_PX[[#This Row],[Column344]]</f>
        <v>96.344999999999999</v>
      </c>
      <c r="MG16">
        <f>SOFR3mo_PX[[#This Row],[Column345]]</f>
        <v>96.314999999999998</v>
      </c>
      <c r="MH16">
        <f>SOFR3mo_PX[[#This Row],[Column346]]</f>
        <v>96.314999999999998</v>
      </c>
      <c r="MI16">
        <f>SOFR3mo_PX[[#This Row],[Column347]]</f>
        <v>96.334999999999994</v>
      </c>
      <c r="MJ16">
        <f>SOFR3mo_PX[[#This Row],[Column348]]</f>
        <v>96.265000000000001</v>
      </c>
      <c r="MK16">
        <f>SOFR3mo_PX[[#This Row],[Column349]]</f>
        <v>96.275000000000006</v>
      </c>
      <c r="ML16">
        <f>SOFR3mo_PX[[#This Row],[Column350]]</f>
        <v>96.325000000000003</v>
      </c>
      <c r="MM16">
        <f>SOFR3mo_PX[[#This Row],[Column351]]</f>
        <v>96.284999999999997</v>
      </c>
      <c r="MN16">
        <f>SOFR3mo_PX[[#This Row],[Column352]]</f>
        <v>96.284999999999997</v>
      </c>
      <c r="MO16">
        <f>SOFR3mo_PX[[#This Row],[Column353]]</f>
        <v>96.35</v>
      </c>
      <c r="MP16">
        <f>SOFR3mo_PX[[#This Row],[Column354]]</f>
        <v>96.314999999999998</v>
      </c>
      <c r="MQ16">
        <f>SOFR3mo_PX[[#This Row],[Column355]]</f>
        <v>96.254999999999995</v>
      </c>
      <c r="MR16">
        <f>SOFR3mo_PX[[#This Row],[Column356]]</f>
        <v>96.444999999999993</v>
      </c>
      <c r="MS16">
        <f>SOFR3mo_PX[[#This Row],[Column357]]</f>
        <v>96.41</v>
      </c>
      <c r="MT16">
        <f>SOFR3mo_PX[[#This Row],[Column358]]</f>
        <v>96.44</v>
      </c>
      <c r="MU16">
        <f>SOFR3mo_PX[[#This Row],[Column359]]</f>
        <v>96.525000000000006</v>
      </c>
      <c r="MV16">
        <f>SOFR3mo_PX[[#This Row],[Column360]]</f>
        <v>96.55</v>
      </c>
      <c r="MW16">
        <f>SOFR3mo_PX[[#This Row],[Column361]]</f>
        <v>96.454999999999998</v>
      </c>
      <c r="MX16">
        <f>SOFR3mo_PX[[#This Row],[Column362]]</f>
        <v>96.59</v>
      </c>
      <c r="MY16">
        <f>SOFR3mo_PX[[#This Row],[Column363]]</f>
        <v>96.775000000000006</v>
      </c>
      <c r="MZ16">
        <f>SOFR3mo_PX[[#This Row],[Column364]]</f>
        <v>96.685000000000002</v>
      </c>
      <c r="NA16">
        <f>SOFR3mo_PX[[#This Row],[Column365]]</f>
        <v>96.584999999999994</v>
      </c>
      <c r="NB16">
        <f>SOFR3mo_PX[[#This Row],[Column366]]</f>
        <v>96.564999999999998</v>
      </c>
      <c r="NC16">
        <f>SOFR3mo_PX[[#This Row],[Column367]]</f>
        <v>96.484999999999999</v>
      </c>
      <c r="ND16">
        <f>SOFR3mo_PX[[#This Row],[Column368]]</f>
        <v>96.515000000000001</v>
      </c>
      <c r="NE16">
        <f>SOFR3mo_PX[[#This Row],[Column369]]</f>
        <v>96.465000000000003</v>
      </c>
      <c r="NF16">
        <f>SOFR3mo_PX[[#This Row],[Column370]]</f>
        <v>96.51</v>
      </c>
      <c r="NG16">
        <f>SOFR3mo_PX[[#This Row],[Column371]]</f>
        <v>96.555000000000007</v>
      </c>
      <c r="NH16">
        <f>SOFR3mo_PX[[#This Row],[Column372]]</f>
        <v>96.484999999999999</v>
      </c>
      <c r="NI16">
        <f>SOFR3mo_PX[[#This Row],[Column373]]</f>
        <v>96.495000000000005</v>
      </c>
      <c r="NJ16">
        <f>SOFR3mo_PX[[#This Row],[Column374]]</f>
        <v>96.545000000000002</v>
      </c>
      <c r="NK16">
        <f>SOFR3mo_PX[[#This Row],[Column375]]</f>
        <v>96.605000000000004</v>
      </c>
      <c r="NL16">
        <f>SOFR3mo_PX[[#This Row],[Column376]]</f>
        <v>96.724999999999994</v>
      </c>
      <c r="NM16">
        <f>SOFR3mo_PX[[#This Row],[Column377]]</f>
        <v>96.724999999999994</v>
      </c>
      <c r="NN16">
        <f>SOFR3mo_PX[[#This Row],[Column378]]</f>
        <v>96.704999999999998</v>
      </c>
      <c r="NO16">
        <f>SOFR3mo_PX[[#This Row],[Column379]]</f>
        <v>96.625</v>
      </c>
      <c r="NP16">
        <f>SOFR3mo_PX[[#This Row],[Column380]]</f>
        <v>96.635000000000005</v>
      </c>
      <c r="NQ16">
        <f>SOFR3mo_PX[[#This Row],[Column381]]</f>
        <v>96.65</v>
      </c>
      <c r="NR16">
        <f>SOFR3mo_PX[[#This Row],[Column382]]</f>
        <v>96.63</v>
      </c>
      <c r="NS16">
        <f>SOFR3mo_PX[[#This Row],[Column383]]</f>
        <v>96.674999999999997</v>
      </c>
      <c r="NT16">
        <f>SOFR3mo_PX[[#This Row],[Column384]]</f>
        <v>96.784999999999997</v>
      </c>
      <c r="NU16">
        <f>SOFR3mo_PX[[#This Row],[Column385]]</f>
        <v>96.75</v>
      </c>
      <c r="NV16">
        <f>SOFR3mo_PX[[#This Row],[Column386]]</f>
        <v>96.844999999999999</v>
      </c>
      <c r="NW16">
        <f>SOFR3mo_PX[[#This Row],[Column387]]</f>
        <v>96.844999999999999</v>
      </c>
      <c r="NX16">
        <f>SOFR3mo_PX[[#This Row],[Column388]]</f>
        <v>96.834999999999994</v>
      </c>
      <c r="NY16">
        <f>SOFR3mo_PX[[#This Row],[Column389]]</f>
        <v>96.885000000000005</v>
      </c>
      <c r="NZ16">
        <f>SOFR3mo_PX[[#This Row],[Column390]]</f>
        <v>96.784999999999997</v>
      </c>
      <c r="OA16">
        <f>SOFR3mo_PX[[#This Row],[Column391]]</f>
        <v>96.76</v>
      </c>
      <c r="OB16">
        <f>SOFR3mo_PX[[#This Row],[Column392]]</f>
        <v>96.76</v>
      </c>
      <c r="OC16">
        <f>SOFR3mo_PX[[#This Row],[Column393]]</f>
        <v>96.775000000000006</v>
      </c>
      <c r="OD16">
        <f>SOFR3mo_PX[[#This Row],[Column394]]</f>
        <v>96.78</v>
      </c>
      <c r="OE16">
        <f>SOFR3mo_PX[[#This Row],[Column395]]</f>
        <v>96.73</v>
      </c>
      <c r="OF16">
        <f>SOFR3mo_PX[[#This Row],[Column396]]</f>
        <v>96.71</v>
      </c>
      <c r="OG16">
        <f>SOFR3mo_PX[[#This Row],[Column397]]</f>
        <v>96.74</v>
      </c>
      <c r="OH16">
        <f>SOFR3mo_PX[[#This Row],[Column398]]</f>
        <v>96.73</v>
      </c>
      <c r="OI16">
        <f>SOFR3mo_PX[[#This Row],[Column399]]</f>
        <v>96.635000000000005</v>
      </c>
      <c r="OJ16">
        <f>SOFR3mo_PX[[#This Row],[Column400]]</f>
        <v>96.47</v>
      </c>
      <c r="OK16">
        <f>SOFR3mo_PX[[#This Row],[Column401]]</f>
        <v>96.42</v>
      </c>
      <c r="OL16">
        <f>SOFR3mo_PX[[#This Row],[Column402]]</f>
        <v>96.435000000000002</v>
      </c>
      <c r="OM16">
        <f>SOFR3mo_PX[[#This Row],[Column403]]</f>
        <v>96.575000000000003</v>
      </c>
      <c r="ON16">
        <f>SOFR3mo_PX[[#This Row],[Column404]]</f>
        <v>96.575000000000003</v>
      </c>
      <c r="OO16">
        <f>SOFR3mo_PX[[#This Row],[Column405]]</f>
        <v>96.534999999999997</v>
      </c>
      <c r="OP16">
        <f>SOFR3mo_PX[[#This Row],[Column406]]</f>
        <v>96.424999999999997</v>
      </c>
      <c r="OQ16">
        <f>SOFR3mo_PX[[#This Row],[Column407]]</f>
        <v>96.48</v>
      </c>
      <c r="OR16">
        <f>SOFR3mo_PX[[#This Row],[Column408]]</f>
        <v>96.36</v>
      </c>
      <c r="OS16">
        <f>SOFR3mo_PX[[#This Row],[Column409]]</f>
        <v>96.444999999999993</v>
      </c>
      <c r="OT16">
        <f>SOFR3mo_PX[[#This Row],[Column410]]</f>
        <v>96.405000000000001</v>
      </c>
      <c r="OU16">
        <f>SOFR3mo_PX[[#This Row],[Column411]]</f>
        <v>96.29</v>
      </c>
      <c r="OV16">
        <f>SOFR3mo_PX[[#This Row],[Column412]]</f>
        <v>96.18</v>
      </c>
      <c r="OW16">
        <f>SOFR3mo_PX[[#This Row],[Column413]]</f>
        <v>96.24</v>
      </c>
      <c r="OX16">
        <f>SOFR3mo_PX[[#This Row],[Column414]]</f>
        <v>96.24</v>
      </c>
      <c r="OY16">
        <f>SOFR3mo_PX[[#This Row],[Column415]]</f>
        <v>96.265000000000001</v>
      </c>
      <c r="OZ16">
        <f>SOFR3mo_PX[[#This Row],[Column416]]</f>
        <v>96.25</v>
      </c>
      <c r="PA16">
        <f>SOFR3mo_PX[[#This Row],[Column417]]</f>
        <v>96.215000000000003</v>
      </c>
      <c r="PB16">
        <f>SOFR3mo_PX[[#This Row],[Column418]]</f>
        <v>96.23</v>
      </c>
      <c r="PC16">
        <f>SOFR3mo_PX[[#This Row],[Column419]]</f>
        <v>96.114999999999995</v>
      </c>
      <c r="PD16">
        <f>SOFR3mo_PX[[#This Row],[Column420]]</f>
        <v>96.22</v>
      </c>
      <c r="PE16">
        <f>SOFR3mo_PX[[#This Row],[Column421]]</f>
        <v>95.98</v>
      </c>
      <c r="PF16">
        <f>SOFR3mo_PX[[#This Row],[Column422]]</f>
        <v>95.99</v>
      </c>
      <c r="PG16">
        <f>SOFR3mo_PX[[#This Row],[Column423]]</f>
        <v>96.02</v>
      </c>
      <c r="PH16">
        <f>SOFR3mo_PX[[#This Row],[Column424]]</f>
        <v>96.14</v>
      </c>
      <c r="PI16">
        <f>SOFR3mo_PX[[#This Row],[Column425]]</f>
        <v>96.11</v>
      </c>
      <c r="PJ16">
        <f>SOFR3mo_PX[[#This Row],[Column426]]</f>
        <v>96.02</v>
      </c>
      <c r="PK16">
        <f>SOFR3mo_PX[[#This Row],[Column427]]</f>
        <v>96.14</v>
      </c>
      <c r="PL16">
        <f>SOFR3mo_PX[[#This Row],[Column428]]</f>
        <v>95.984999999999999</v>
      </c>
      <c r="PM16">
        <f>SOFR3mo_PX[[#This Row],[Column429]]</f>
        <v>95.89</v>
      </c>
      <c r="PN16">
        <f>SOFR3mo_PX[[#This Row],[Column430]]</f>
        <v>95.784999999999997</v>
      </c>
      <c r="PO16">
        <f>SOFR3mo_PX[[#This Row],[Column431]]</f>
        <v>95.79</v>
      </c>
      <c r="PP16">
        <f>SOFR3mo_PX[[#This Row],[Column432]]</f>
        <v>95.8</v>
      </c>
      <c r="PQ16">
        <f>SOFR3mo_PX[[#This Row],[Column433]]</f>
        <v>95.77</v>
      </c>
      <c r="PR16">
        <f>SOFR3mo_PX[[#This Row],[Column434]]</f>
        <v>95.63</v>
      </c>
      <c r="PS16">
        <f>SOFR3mo_PX[[#This Row],[Column435]]</f>
        <v>95.745000000000005</v>
      </c>
      <c r="PT16">
        <f>SOFR3mo_PX[[#This Row],[Column436]]</f>
        <v>95.77</v>
      </c>
      <c r="PU16">
        <f>SOFR3mo_PX[[#This Row],[Column437]]</f>
        <v>95.665000000000006</v>
      </c>
      <c r="PV16">
        <f>SOFR3mo_PX[[#This Row],[Column438]]</f>
        <v>95.55</v>
      </c>
      <c r="PW16">
        <f>SOFR3mo_PX[[#This Row],[Column439]]</f>
        <v>95.65</v>
      </c>
      <c r="PX16">
        <f>SOFR3mo_PX[[#This Row],[Column440]]</f>
        <v>95.73</v>
      </c>
      <c r="PY16">
        <f>SOFR3mo_PX[[#This Row],[Column441]]</f>
        <v>95.905000000000001</v>
      </c>
      <c r="PZ16">
        <f>SOFR3mo_PX[[#This Row],[Column442]]</f>
        <v>95.995000000000005</v>
      </c>
      <c r="QA16">
        <f>SOFR3mo_PX[[#This Row],[Column443]]</f>
        <v>95.91</v>
      </c>
      <c r="QB16">
        <f>SOFR3mo_PX[[#This Row],[Column444]]</f>
        <v>96.015000000000001</v>
      </c>
      <c r="QC16">
        <f>SOFR3mo_PX[[#This Row],[Column445]]</f>
        <v>95.98</v>
      </c>
      <c r="QD16">
        <f>SOFR3mo_PX[[#This Row],[Column446]]</f>
        <v>96.015000000000001</v>
      </c>
      <c r="QE16">
        <f>SOFR3mo_PX[[#This Row],[Column447]]</f>
        <v>95.844999999999999</v>
      </c>
      <c r="QF16">
        <f>SOFR3mo_PX[[#This Row],[Column448]]</f>
        <v>95.91</v>
      </c>
      <c r="QG16">
        <f>SOFR3mo_PX[[#This Row],[Column449]]</f>
        <v>95.864999999999995</v>
      </c>
      <c r="QH16">
        <f>SOFR3mo_PX[[#This Row],[Column450]]</f>
        <v>95.805000000000007</v>
      </c>
      <c r="QI16">
        <f>SOFR3mo_PX[[#This Row],[Column451]]</f>
        <v>95.93</v>
      </c>
      <c r="QJ16">
        <f>SOFR3mo_PX[[#This Row],[Column452]]</f>
        <v>96.055000000000007</v>
      </c>
      <c r="QK16">
        <f>SOFR3mo_PX[[#This Row],[Column453]]</f>
        <v>96</v>
      </c>
      <c r="QL16">
        <f>SOFR3mo_PX[[#This Row],[Column454]]</f>
        <v>95.965000000000003</v>
      </c>
      <c r="QM16">
        <f>SOFR3mo_PX[[#This Row],[Column455]]</f>
        <v>96.045000000000002</v>
      </c>
      <c r="QN16">
        <f>SOFR3mo_PX[[#This Row],[Column456]]</f>
        <v>96.05</v>
      </c>
      <c r="QO16">
        <f>SOFR3mo_PX[[#This Row],[Column457]]</f>
        <v>96.12</v>
      </c>
      <c r="QP16">
        <f>SOFR3mo_PX[[#This Row],[Column458]]</f>
        <v>96.064999999999998</v>
      </c>
      <c r="QQ16">
        <f>SOFR3mo_PX[[#This Row],[Column459]]</f>
        <v>96.204999999999998</v>
      </c>
      <c r="QR16">
        <f>SOFR3mo_PX[[#This Row],[Column460]]</f>
        <v>96.16</v>
      </c>
      <c r="QS16">
        <f>SOFR3mo_PX[[#This Row],[Column461]]</f>
        <v>96.23</v>
      </c>
      <c r="QT16">
        <f>SOFR3mo_PX[[#This Row],[Column462]]</f>
        <v>96.234999999999999</v>
      </c>
      <c r="QU16">
        <f>SOFR3mo_PX[[#This Row],[Column463]]</f>
        <v>96.27</v>
      </c>
      <c r="QV16">
        <f>SOFR3mo_PX[[#This Row],[Column464]]</f>
        <v>96.295000000000002</v>
      </c>
      <c r="QW16">
        <f>SOFR3mo_PX[[#This Row],[Column465]]</f>
        <v>96.265000000000001</v>
      </c>
      <c r="QX16">
        <f>SOFR3mo_PX[[#This Row],[Column466]]</f>
        <v>96.265000000000001</v>
      </c>
      <c r="QY16">
        <f>SOFR3mo_PX[[#This Row],[Column467]]</f>
        <v>96.28</v>
      </c>
      <c r="QZ16">
        <f>SOFR3mo_PX[[#This Row],[Column468]]</f>
        <v>96.29</v>
      </c>
      <c r="RA16">
        <f>SOFR3mo_PX[[#This Row],[Column469]]</f>
        <v>96.25</v>
      </c>
      <c r="RB16">
        <f>SOFR3mo_PX[[#This Row],[Column470]]</f>
        <v>96.33</v>
      </c>
      <c r="RC16">
        <f>SOFR3mo_PX[[#This Row],[Column471]]</f>
        <v>96.4</v>
      </c>
      <c r="RD16">
        <f>SOFR3mo_PX[[#This Row],[Column472]]</f>
        <v>96.4</v>
      </c>
      <c r="RE16">
        <f>SOFR3mo_PX[[#This Row],[Column473]]</f>
        <v>96.46</v>
      </c>
      <c r="RF16">
        <f>SOFR3mo_PX[[#This Row],[Column474]]</f>
        <v>96.43</v>
      </c>
      <c r="RG16">
        <f>SOFR3mo_PX[[#This Row],[Column475]]</f>
        <v>96.415000000000006</v>
      </c>
      <c r="RH16">
        <f>SOFR3mo_PX[[#This Row],[Column476]]</f>
        <v>96.295000000000002</v>
      </c>
      <c r="RI16">
        <f>SOFR3mo_PX[[#This Row],[Column477]]</f>
        <v>96.25</v>
      </c>
      <c r="RJ16">
        <f>SOFR3mo_PX[[#This Row],[Column478]]</f>
        <v>96.254999999999995</v>
      </c>
      <c r="RK16">
        <f>SOFR3mo_PX[[#This Row],[Column479]]</f>
        <v>96.28</v>
      </c>
      <c r="RL16">
        <f>SOFR3mo_PX[[#This Row],[Column480]]</f>
        <v>96.14</v>
      </c>
      <c r="RM16">
        <f>SOFR3mo_PX[[#This Row],[Column481]]</f>
        <v>96.15</v>
      </c>
      <c r="RN16">
        <f>SOFR3mo_PX[[#This Row],[Column482]]</f>
        <v>96.245000000000005</v>
      </c>
      <c r="RO16">
        <f>SOFR3mo_PX[[#This Row],[Column483]]</f>
        <v>96.17</v>
      </c>
      <c r="RP16">
        <f>SOFR3mo_PX[[#This Row],[Column484]]</f>
        <v>96.25</v>
      </c>
      <c r="RQ16">
        <f>SOFR3mo_PX[[#This Row],[Column485]]</f>
        <v>96.29</v>
      </c>
      <c r="RR16">
        <f>SOFR3mo_PX[[#This Row],[Column486]]</f>
        <v>96.34</v>
      </c>
      <c r="RS16">
        <f>SOFR3mo_PX[[#This Row],[Column487]]</f>
        <v>96.375</v>
      </c>
      <c r="RT16">
        <f>SOFR3mo_PX[[#This Row],[Column488]]</f>
        <v>96.504999999999995</v>
      </c>
      <c r="RU16">
        <f>SOFR3mo_PX[[#This Row],[Column489]]</f>
        <v>96.605000000000004</v>
      </c>
      <c r="RV16">
        <f>SOFR3mo_PX[[#This Row],[Column490]]</f>
        <v>96.614999999999995</v>
      </c>
      <c r="RW16">
        <f>SOFR3mo_PX[[#This Row],[Column491]]</f>
        <v>96.564999999999998</v>
      </c>
      <c r="RX16">
        <f>SOFR3mo_PX[[#This Row],[Column492]]</f>
        <v>96.54</v>
      </c>
      <c r="RY16">
        <f>SOFR3mo_PX[[#This Row],[Column493]]</f>
        <v>96.385000000000005</v>
      </c>
      <c r="RZ16">
        <f>SOFR3mo_PX[[#This Row],[Column494]]</f>
        <v>96.484999999999999</v>
      </c>
      <c r="SA16">
        <f>SOFR3mo_PX[[#This Row],[Column495]]</f>
        <v>96.49</v>
      </c>
      <c r="SB16">
        <f>SOFR3mo_PX[[#This Row],[Column496]]</f>
        <v>96.58</v>
      </c>
      <c r="SC16">
        <f>SOFR3mo_PX[[#This Row],[Column497]]</f>
        <v>96.564999999999998</v>
      </c>
      <c r="SD16">
        <f>SOFR3mo_PX[[#This Row],[Column498]]</f>
        <v>96.504999999999995</v>
      </c>
      <c r="SE16">
        <f>SOFR3mo_PX[[#This Row],[Column499]]</f>
        <v>96.69</v>
      </c>
      <c r="SF16">
        <f>SOFR3mo_PX[[#This Row],[Column500]]</f>
        <v>96.57</v>
      </c>
      <c r="SG16">
        <f>SOFR3mo_PX[[#This Row],[Column501]]</f>
        <v>96.65</v>
      </c>
      <c r="SH16">
        <f>SOFR3mo_PX[[#This Row],[Column502]]</f>
        <v>96.68</v>
      </c>
      <c r="SI16">
        <f>SOFR3mo_PX[[#This Row],[Column503]]</f>
        <v>96.685000000000002</v>
      </c>
      <c r="SJ16">
        <f>SOFR3mo_PX[[#This Row],[Column504]]</f>
        <v>96.85</v>
      </c>
      <c r="SK16">
        <f>SOFR3mo_PX[[#This Row],[Column505]]</f>
        <v>96.805000000000007</v>
      </c>
      <c r="SL16">
        <f>SOFR3mo_PX[[#This Row],[Column506]]</f>
        <v>96.775000000000006</v>
      </c>
      <c r="SM16">
        <f>SOFR3mo_PX[[#This Row],[Column507]]</f>
        <v>96.73</v>
      </c>
      <c r="SN16">
        <f>SOFR3mo_PX[[#This Row],[Column508]]</f>
        <v>96.81</v>
      </c>
      <c r="SO16">
        <f>SOFR3mo_PX[[#This Row],[Column509]]</f>
        <v>96.69</v>
      </c>
      <c r="SP16">
        <f>SOFR3mo_PX[[#This Row],[Column510]]</f>
        <v>96.504999999999995</v>
      </c>
      <c r="SQ16">
        <f>SOFR3mo_PX[[#This Row],[Column511]]</f>
        <v>96.46</v>
      </c>
      <c r="SR16">
        <f>SOFR3mo_PX[[#This Row],[Column512]]</f>
        <v>96.344999999999999</v>
      </c>
      <c r="SS16">
        <f>SOFR3mo_PX[[#This Row],[Column513]]</f>
        <v>96.344999999999999</v>
      </c>
      <c r="ST16">
        <f>SOFR3mo_PX[[#This Row],[Column514]]</f>
        <v>96.51</v>
      </c>
      <c r="SU16">
        <f>SOFR3mo_PX[[#This Row],[Column515]]</f>
        <v>96.605000000000004</v>
      </c>
      <c r="SV16">
        <f>SOFR3mo_PX[[#This Row],[Column516]]</f>
        <v>96.605000000000004</v>
      </c>
      <c r="SW16">
        <f>SOFR3mo_PX[[#This Row],[Column517]]</f>
        <v>96.67</v>
      </c>
      <c r="SX16">
        <f>SOFR3mo_PX[[#This Row],[Column518]]</f>
        <v>96.665000000000006</v>
      </c>
      <c r="SY16">
        <f>SOFR3mo_PX[[#This Row],[Column519]]</f>
        <v>96.834999999999994</v>
      </c>
      <c r="SZ16">
        <f>SOFR3mo_PX[[#This Row],[Column520]]</f>
        <v>96.77</v>
      </c>
      <c r="TA16">
        <f>SOFR3mo_PX[[#This Row],[Column521]]</f>
        <v>96.825000000000003</v>
      </c>
      <c r="TB16">
        <f>SOFR3mo_PX[[#This Row],[Column522]]</f>
        <v>96.784999999999997</v>
      </c>
      <c r="TC16">
        <f>SOFR3mo_PX[[#This Row],[Column523]]</f>
        <v>96.745000000000005</v>
      </c>
      <c r="TD16">
        <f>SOFR3mo_PX[[#This Row],[Column524]]</f>
        <v>96.825000000000003</v>
      </c>
      <c r="TE16">
        <f>SOFR3mo_PX[[#This Row],[Column525]]</f>
        <v>96.81</v>
      </c>
      <c r="TF16">
        <f>SOFR3mo_PX[[#This Row],[Column526]]</f>
        <v>96.775000000000006</v>
      </c>
      <c r="TG16">
        <f>SOFR3mo_PX[[#This Row],[Column527]]</f>
        <v>96.775000000000006</v>
      </c>
      <c r="TH16">
        <f>SOFR3mo_PX[[#This Row],[Column528]]</f>
        <v>96.85</v>
      </c>
      <c r="TI16">
        <f>SOFR3mo_PX[[#This Row],[Column529]]</f>
        <v>96.754999999999995</v>
      </c>
      <c r="TJ16">
        <f>SOFR3mo_PX[[#This Row],[Column530]]</f>
        <v>96.73</v>
      </c>
      <c r="TK16">
        <f>SOFR3mo_PX[[#This Row],[Column531]]</f>
        <v>96.844999999999999</v>
      </c>
      <c r="TL16">
        <f>SOFR3mo_PX[[#This Row],[Column532]]</f>
        <v>96.83</v>
      </c>
      <c r="TM16">
        <f>SOFR3mo_PX[[#This Row],[Column533]]</f>
        <v>96.885000000000005</v>
      </c>
      <c r="TN16">
        <f>SOFR3mo_PX[[#This Row],[Column534]]</f>
        <v>96.805000000000007</v>
      </c>
      <c r="TO16">
        <f>SOFR3mo_PX[[#This Row],[Column535]]</f>
        <v>96.885000000000005</v>
      </c>
      <c r="TP16">
        <f>SOFR3mo_PX[[#This Row],[Column536]]</f>
        <v>96.885000000000005</v>
      </c>
      <c r="TQ16">
        <f>SOFR3mo_PX[[#This Row],[Column537]]</f>
        <v>96.86</v>
      </c>
      <c r="TR16">
        <f>SOFR3mo_PX[[#This Row],[Column538]]</f>
        <v>97</v>
      </c>
      <c r="TS16">
        <f>SOFR3mo_PX[[#This Row],[Column539]]</f>
        <v>96.96</v>
      </c>
      <c r="TT16">
        <f>SOFR3mo_PX[[#This Row],[Column540]]</f>
        <v>96.875</v>
      </c>
      <c r="TU16">
        <f>SOFR3mo_PX[[#This Row],[Column541]]</f>
        <v>96.704999999999998</v>
      </c>
      <c r="TV16">
        <f>SOFR3mo_PX[[#This Row],[Column542]]</f>
        <v>96.704999999999998</v>
      </c>
      <c r="TW16">
        <f>SOFR3mo_PX[[#This Row],[Column543]]</f>
        <v>96.76</v>
      </c>
      <c r="TX16">
        <f>SOFR3mo_PX[[#This Row],[Column544]]</f>
        <v>96.88</v>
      </c>
      <c r="TY16">
        <f>SOFR3mo_PX[[#This Row],[Column545]]</f>
        <v>96.9</v>
      </c>
      <c r="TZ16">
        <f>SOFR3mo_PX[[#This Row],[Column546]]</f>
        <v>96.88</v>
      </c>
      <c r="UA16">
        <f>SOFR3mo_PX[[#This Row],[Column547]]</f>
        <v>96.91</v>
      </c>
      <c r="UB16">
        <f>SOFR3mo_PX[[#This Row],[Column548]]</f>
        <v>96.984999999999999</v>
      </c>
      <c r="UC16">
        <f>SOFR3mo_PX[[#This Row],[Column549]]</f>
        <v>97.08</v>
      </c>
      <c r="UD16">
        <f>SOFR3mo_PX[[#This Row],[Column550]]</f>
        <v>97.135000000000005</v>
      </c>
      <c r="UE16">
        <f>SOFR3mo_PX[[#This Row],[Column551]]</f>
        <v>97.18</v>
      </c>
      <c r="UF16">
        <f>SOFR3mo_PX[[#This Row],[Column552]]</f>
        <v>97.185000000000002</v>
      </c>
      <c r="UG16">
        <f>SOFR3mo_PX[[#This Row],[Column553]]</f>
        <v>97.27</v>
      </c>
      <c r="UH16">
        <f>SOFR3mo_PX[[#This Row],[Column554]]</f>
        <v>97.234999999999999</v>
      </c>
      <c r="UI16">
        <f>SOFR3mo_PX[[#This Row],[Column555]]</f>
        <v>97.135000000000005</v>
      </c>
      <c r="UJ16">
        <f>SOFR3mo_PX[[#This Row],[Column556]]</f>
        <v>97.12</v>
      </c>
      <c r="UK16">
        <f>SOFR3mo_PX[[#This Row],[Column557]]</f>
        <v>97.174999999999997</v>
      </c>
      <c r="UL16">
        <f>SOFR3mo_PX[[#This Row],[Column558]]</f>
        <v>97.295000000000002</v>
      </c>
      <c r="UM16">
        <f>SOFR3mo_PX[[#This Row],[Column559]]</f>
        <v>97.21</v>
      </c>
      <c r="UN16">
        <f>SOFR3mo_PX[[#This Row],[Column560]]</f>
        <v>97.174999999999997</v>
      </c>
      <c r="UO16">
        <f>SOFR3mo_PX[[#This Row],[Column561]]</f>
        <v>97.015000000000001</v>
      </c>
      <c r="UP16">
        <f>SOFR3mo_PX[[#This Row],[Column562]]</f>
        <v>97.114999999999995</v>
      </c>
      <c r="UQ16">
        <f>SOFR3mo_PX[[#This Row],[Column563]]</f>
        <v>97.05</v>
      </c>
      <c r="UR16">
        <f>SOFR3mo_PX[[#This Row],[Column564]]</f>
        <v>97.165000000000006</v>
      </c>
      <c r="US16">
        <f>SOFR3mo_PX[[#This Row],[Column565]]</f>
        <v>97.204999999999998</v>
      </c>
      <c r="UT16">
        <f>SOFR3mo_PX[[#This Row],[Column566]]</f>
        <v>97.064999999999998</v>
      </c>
      <c r="UU16">
        <f>SOFR3mo_PX[[#This Row],[Column567]]</f>
        <v>97</v>
      </c>
      <c r="UV16">
        <f>SOFR3mo_PX[[#This Row],[Column568]]</f>
        <v>97.034999999999997</v>
      </c>
      <c r="UW16">
        <f>SOFR3mo_PX[[#This Row],[Column569]]</f>
        <v>96.96</v>
      </c>
      <c r="UX16">
        <f>SOFR3mo_PX[[#This Row],[Column570]]</f>
        <v>96.98</v>
      </c>
      <c r="UY16">
        <f>SOFR3mo_PX[[#This Row],[Column571]]</f>
        <v>96.96</v>
      </c>
      <c r="UZ16">
        <f>SOFR3mo_PX[[#This Row],[Column572]]</f>
        <v>97.03</v>
      </c>
      <c r="VA16">
        <f>SOFR3mo_PX[[#This Row],[Column573]]</f>
        <v>97.13</v>
      </c>
      <c r="VB16">
        <f>SOFR3mo_PX[[#This Row],[Column574]]</f>
        <v>97.174999999999997</v>
      </c>
      <c r="VC16">
        <f>SOFR3mo_PX[[#This Row],[Column575]]</f>
        <v>97.11</v>
      </c>
      <c r="VD16">
        <f>SOFR3mo_PX[[#This Row],[Column576]]</f>
        <v>97.135000000000005</v>
      </c>
      <c r="VE16">
        <f>SOFR3mo_PX[[#This Row],[Column577]]</f>
        <v>97.174999999999997</v>
      </c>
      <c r="VF16">
        <f>SOFR3mo_PX[[#This Row],[Column578]]</f>
        <v>97.28</v>
      </c>
      <c r="VG16">
        <f>SOFR3mo_PX[[#This Row],[Column579]]</f>
        <v>97.265000000000001</v>
      </c>
      <c r="VH16">
        <f>SOFR3mo_PX[[#This Row],[Column580]]</f>
        <v>97.254999999999995</v>
      </c>
      <c r="VI16">
        <f>SOFR3mo_PX[[#This Row],[Column581]]</f>
        <v>97.135000000000005</v>
      </c>
      <c r="VJ16">
        <f>SOFR3mo_PX[[#This Row],[Column582]]</f>
        <v>97.064999999999998</v>
      </c>
      <c r="VK16">
        <f>SOFR3mo_PX[[#This Row],[Column583]]</f>
        <v>96.995000000000005</v>
      </c>
      <c r="VL16">
        <f>SOFR3mo_PX[[#This Row],[Column584]]</f>
        <v>96.944999999999993</v>
      </c>
      <c r="VM16">
        <f>SOFR3mo_PX[[#This Row],[Column585]]</f>
        <v>96.935000000000002</v>
      </c>
      <c r="VN16">
        <f>SOFR3mo_PX[[#This Row],[Column586]]</f>
        <v>96.98</v>
      </c>
      <c r="VO16">
        <f>SOFR3mo_PX[[#This Row],[Column587]]</f>
        <v>97.105000000000004</v>
      </c>
      <c r="VP16">
        <f>SOFR3mo_PX[[#This Row],[Column588]]</f>
        <v>97.094999999999999</v>
      </c>
      <c r="VQ16">
        <f>SOFR3mo_PX[[#This Row],[Column589]]</f>
        <v>96.95</v>
      </c>
      <c r="VR16">
        <f>SOFR3mo_PX[[#This Row],[Column590]]</f>
        <v>96.775000000000006</v>
      </c>
      <c r="VS16">
        <f>SOFR3mo_PX[[#This Row],[Column591]]</f>
        <v>96.855000000000004</v>
      </c>
      <c r="VT16">
        <f>SOFR3mo_PX[[#This Row],[Column592]]</f>
        <v>96.95</v>
      </c>
      <c r="VU16">
        <f>SOFR3mo_PX[[#This Row],[Column593]]</f>
        <v>96.724999999999994</v>
      </c>
      <c r="VV16">
        <f>SOFR3mo_PX[[#This Row],[Column594]]</f>
        <v>96.825000000000003</v>
      </c>
      <c r="VW16">
        <f>SOFR3mo_PX[[#This Row],[Column595]]</f>
        <v>96.715000000000003</v>
      </c>
      <c r="VX16">
        <f>SOFR3mo_PX[[#This Row],[Column596]]</f>
        <v>96.844999999999999</v>
      </c>
      <c r="VY16">
        <f>SOFR3mo_PX[[#This Row],[Column597]]</f>
        <v>96.82</v>
      </c>
      <c r="VZ16">
        <f>SOFR3mo_PX[[#This Row],[Column598]]</f>
        <v>96.63</v>
      </c>
      <c r="WA16">
        <f>SOFR3mo_PX[[#This Row],[Column599]]</f>
        <v>96.54</v>
      </c>
      <c r="WB16">
        <f>SOFR3mo_PX[[#This Row],[Column600]]</f>
        <v>96.55</v>
      </c>
      <c r="WC16">
        <f>SOFR3mo_PX[[#This Row],[Column601]]</f>
        <v>96.53</v>
      </c>
      <c r="WD16">
        <f>SOFR3mo_PX[[#This Row],[Column602]]</f>
        <v>96.52</v>
      </c>
      <c r="WE16">
        <f>SOFR3mo_PX[[#This Row],[Column603]]</f>
        <v>96.435000000000002</v>
      </c>
      <c r="WF16">
        <f>SOFR3mo_PX[[#This Row],[Column604]]</f>
        <v>96.53</v>
      </c>
      <c r="WG16">
        <f>SOFR3mo_PX[[#This Row],[Column605]]</f>
        <v>96.64</v>
      </c>
      <c r="WH16">
        <f>SOFR3mo_PX[[#This Row],[Column606]]</f>
        <v>96.635000000000005</v>
      </c>
      <c r="WI16">
        <f>SOFR3mo_PX[[#This Row],[Column607]]</f>
        <v>96.564999999999998</v>
      </c>
      <c r="WJ16">
        <f>SOFR3mo_PX[[#This Row],[Column608]]</f>
        <v>96.67</v>
      </c>
      <c r="WK16">
        <f>SOFR3mo_PX[[#This Row],[Column609]]</f>
        <v>96.625</v>
      </c>
      <c r="WL16">
        <f>SOFR3mo_PX[[#This Row],[Column610]]</f>
        <v>96.61</v>
      </c>
      <c r="WM16">
        <f>SOFR3mo_PX[[#This Row],[Column611]]</f>
        <v>96.765000000000001</v>
      </c>
      <c r="WN16">
        <f>SOFR3mo_PX[[#This Row],[Column612]]</f>
        <v>96.765000000000001</v>
      </c>
      <c r="WO16">
        <f>SOFR3mo_PX[[#This Row],[Column613]]</f>
        <v>96.74</v>
      </c>
      <c r="WP16">
        <f>SOFR3mo_PX[[#This Row],[Column614]]</f>
        <v>96.765000000000001</v>
      </c>
      <c r="WQ16">
        <f>SOFR3mo_PX[[#This Row],[Column615]]</f>
        <v>96.814999999999998</v>
      </c>
      <c r="WR16">
        <f>SOFR3mo_PX[[#This Row],[Column616]]</f>
        <v>96.89</v>
      </c>
      <c r="WS16">
        <f>SOFR3mo_PX[[#This Row],[Column617]]</f>
        <v>96.894999999999996</v>
      </c>
      <c r="WT16">
        <f>SOFR3mo_PX[[#This Row],[Column618]]</f>
        <v>96.94</v>
      </c>
      <c r="WU16">
        <f>SOFR3mo_PX[[#This Row],[Column619]]</f>
        <v>97.004999999999995</v>
      </c>
      <c r="WV16">
        <f>SOFR3mo_PX[[#This Row],[Column620]]</f>
        <v>96.974999999999994</v>
      </c>
      <c r="WW16">
        <f>SOFR3mo_PX[[#This Row],[Column621]]</f>
        <v>96.995000000000005</v>
      </c>
      <c r="WX16">
        <f>SOFR3mo_PX[[#This Row],[Column622]]</f>
        <v>97.11</v>
      </c>
      <c r="WY16">
        <f>SOFR3mo_PX[[#This Row],[Column623]]</f>
        <v>97.29</v>
      </c>
      <c r="WZ16">
        <f>SOFR3mo_PX[[#This Row],[Column624]]</f>
        <v>97.3</v>
      </c>
      <c r="XA16">
        <f>SOFR3mo_PX[[#This Row],[Column625]]</f>
        <v>97.15</v>
      </c>
      <c r="XB16">
        <f>SOFR3mo_PX[[#This Row],[Column626]]</f>
        <v>97.08</v>
      </c>
      <c r="XC16">
        <f>SOFR3mo_PX[[#This Row],[Column627]]</f>
        <v>97.144999999999996</v>
      </c>
      <c r="XD16">
        <f>SOFR3mo_PX[[#This Row],[Column628]]</f>
        <v>97.194999999999993</v>
      </c>
      <c r="XE16">
        <f>SOFR3mo_PX[[#This Row],[Column629]]</f>
        <v>97.24</v>
      </c>
      <c r="XF16">
        <f>SOFR3mo_PX[[#This Row],[Column630]]</f>
        <v>97.24</v>
      </c>
      <c r="XG16">
        <f>SOFR3mo_PX[[#This Row],[Column631]]</f>
        <v>97.18</v>
      </c>
      <c r="XH16">
        <f>SOFR3mo_PX[[#This Row],[Column632]]</f>
        <v>97.234999999999999</v>
      </c>
      <c r="XI16">
        <f>SOFR3mo_PX[[#This Row],[Column633]]</f>
        <v>97.34</v>
      </c>
      <c r="XJ16">
        <f>SOFR3mo_PX[[#This Row],[Column634]]</f>
        <v>97.39</v>
      </c>
      <c r="XK16">
        <f>SOFR3mo_PX[[#This Row],[Column635]]</f>
        <v>97.215000000000003</v>
      </c>
      <c r="XL16">
        <f>SOFR3mo_PX[[#This Row],[Column636]]</f>
        <v>97.22</v>
      </c>
      <c r="XM16">
        <f>SOFR3mo_PX[[#This Row],[Column637]]</f>
        <v>97.22</v>
      </c>
      <c r="XN16">
        <f>SOFR3mo_PX[[#This Row],[Column638]]</f>
        <v>97.275000000000006</v>
      </c>
      <c r="XO16">
        <f>SOFR3mo_PX[[#This Row],[Column639]]</f>
        <v>97.15</v>
      </c>
      <c r="XP16">
        <f>SOFR3mo_PX[[#This Row],[Column640]]</f>
        <v>97.084999999999994</v>
      </c>
      <c r="XQ16">
        <f>SOFR3mo_PX[[#This Row],[Column641]]</f>
        <v>97.185000000000002</v>
      </c>
      <c r="XR16">
        <f>SOFR3mo_PX[[#This Row],[Column642]]</f>
        <v>97.14</v>
      </c>
      <c r="XS16">
        <f>SOFR3mo_PX[[#This Row],[Column643]]</f>
        <v>96.94</v>
      </c>
      <c r="XT16">
        <f>SOFR3mo_PX[[#This Row],[Column644]]</f>
        <v>96.95</v>
      </c>
      <c r="XU16">
        <f>SOFR3mo_PX[[#This Row],[Column645]]</f>
        <v>96.85</v>
      </c>
      <c r="XV16">
        <f>SOFR3mo_PX[[#This Row],[Column646]]</f>
        <v>96.81</v>
      </c>
      <c r="XW16">
        <f>SOFR3mo_PX[[#This Row],[Column647]]</f>
        <v>96.81</v>
      </c>
      <c r="XX16">
        <f>SOFR3mo_PX[[#This Row],[Column648]]</f>
        <v>96.77</v>
      </c>
      <c r="XY16">
        <f>SOFR3mo_PX[[#This Row],[Column649]]</f>
        <v>96.745000000000005</v>
      </c>
      <c r="XZ16">
        <f>SOFR3mo_PX[[#This Row],[Column650]]</f>
        <v>96.79</v>
      </c>
      <c r="YA16">
        <f>SOFR3mo_PX[[#This Row],[Column651]]</f>
        <v>96.875</v>
      </c>
      <c r="YB16">
        <f>SOFR3mo_PX[[#This Row],[Column652]]</f>
        <v>96.875</v>
      </c>
      <c r="YC16">
        <f>SOFR3mo_PX[[#This Row],[Column653]]</f>
        <v>96.95</v>
      </c>
      <c r="YD16">
        <f>SOFR3mo_PX[[#This Row],[Column654]]</f>
        <v>96.954999999999998</v>
      </c>
      <c r="YE16">
        <f>SOFR3mo_PX[[#This Row],[Column655]]</f>
        <v>97.01</v>
      </c>
      <c r="YF16">
        <f>SOFR3mo_PX[[#This Row],[Column656]]</f>
        <v>97.094999999999999</v>
      </c>
      <c r="YG16">
        <f>SOFR3mo_PX[[#This Row],[Column657]]</f>
        <v>97.174999999999997</v>
      </c>
      <c r="YH16">
        <f>SOFR3mo_PX[[#This Row],[Column658]]</f>
        <v>97.19</v>
      </c>
      <c r="YI16">
        <f>SOFR3mo_PX[[#This Row],[Column659]]</f>
        <v>97.15</v>
      </c>
      <c r="YJ16">
        <f>SOFR3mo_PX[[#This Row],[Column660]]</f>
        <v>97.14</v>
      </c>
      <c r="YK16">
        <f>SOFR3mo_PX[[#This Row],[Column661]]</f>
        <v>97.034999999999997</v>
      </c>
      <c r="YL16">
        <f>SOFR3mo_PX[[#This Row],[Column662]]</f>
        <v>97.084999999999994</v>
      </c>
      <c r="YM16">
        <f>SOFR3mo_PX[[#This Row],[Column663]]</f>
        <v>97.16</v>
      </c>
      <c r="YN16">
        <f>SOFR3mo_PX[[#This Row],[Column664]]</f>
        <v>97.28</v>
      </c>
      <c r="YO16">
        <f>SOFR3mo_PX[[#This Row],[Column665]]</f>
        <v>97.174999999999997</v>
      </c>
      <c r="YP16">
        <f>SOFR3mo_PX[[#This Row],[Column666]]</f>
        <v>97.105000000000004</v>
      </c>
      <c r="YQ16">
        <f>SOFR3mo_PX[[#This Row],[Column667]]</f>
        <v>97.24</v>
      </c>
      <c r="YR16">
        <f>SOFR3mo_PX[[#This Row],[Column668]]</f>
        <v>97.17</v>
      </c>
      <c r="YS16">
        <f>SOFR3mo_PX[[#This Row],[Column669]]</f>
        <v>97.004999999999995</v>
      </c>
      <c r="YT16">
        <f>SOFR3mo_PX[[#This Row],[Column670]]</f>
        <v>96.915000000000006</v>
      </c>
      <c r="YU16">
        <f>SOFR3mo_PX[[#This Row],[Column671]]</f>
        <v>96.924999999999997</v>
      </c>
      <c r="YV16">
        <f>SOFR3mo_PX[[#This Row],[Column672]]</f>
        <v>96.92</v>
      </c>
      <c r="YW16">
        <f>SOFR3mo_PX[[#This Row],[Column673]]</f>
        <v>96.9</v>
      </c>
      <c r="YX16">
        <f>SOFR3mo_PX[[#This Row],[Column674]]</f>
        <v>96.9</v>
      </c>
      <c r="YY16">
        <f>SOFR3mo_PX[[#This Row],[Column675]]</f>
        <v>96.86</v>
      </c>
      <c r="YZ16">
        <f>SOFR3mo_PX[[#This Row],[Column676]]</f>
        <v>96.78</v>
      </c>
      <c r="ZA16">
        <f>SOFR3mo_PX[[#This Row],[Column677]]</f>
        <v>96.805000000000007</v>
      </c>
      <c r="ZB16">
        <f>SOFR3mo_PX[[#This Row],[Column678]]</f>
        <v>96.885000000000005</v>
      </c>
      <c r="ZC16">
        <f>SOFR3mo_PX[[#This Row],[Column679]]</f>
        <v>96.96</v>
      </c>
      <c r="ZD16">
        <f>SOFR3mo_PX[[#This Row],[Column680]]</f>
        <v>96.844999999999999</v>
      </c>
      <c r="ZE16">
        <f>SOFR3mo_PX[[#This Row],[Column681]]</f>
        <v>96.754999999999995</v>
      </c>
      <c r="ZF16">
        <f>SOFR3mo_PX[[#This Row],[Column682]]</f>
        <v>96.8</v>
      </c>
      <c r="ZG16">
        <f>SOFR3mo_PX[[#This Row],[Column683]]</f>
        <v>96.76</v>
      </c>
      <c r="ZH16">
        <f>SOFR3mo_PX[[#This Row],[Column684]]</f>
        <v>96.415000000000006</v>
      </c>
      <c r="ZI16">
        <f>SOFR3mo_PX[[#This Row],[Column685]]</f>
        <v>96.37</v>
      </c>
      <c r="ZJ16">
        <f>SOFR3mo_PX[[#This Row],[Column686]]</f>
        <v>96.284999999999997</v>
      </c>
      <c r="ZK16">
        <f>SOFR3mo_PX[[#This Row],[Column687]]</f>
        <v>96.31</v>
      </c>
      <c r="ZL16">
        <f>SOFR3mo_PX[[#This Row],[Column688]]</f>
        <v>96.305000000000007</v>
      </c>
      <c r="ZM16">
        <f>SOFR3mo_PX[[#This Row],[Column689]]</f>
        <v>96.364999999999995</v>
      </c>
      <c r="ZN16">
        <f>SOFR3mo_PX[[#This Row],[Column690]]</f>
        <v>96.355000000000004</v>
      </c>
      <c r="ZO16">
        <f>SOFR3mo_PX[[#This Row],[Column691]]</f>
        <v>96.364999999999995</v>
      </c>
      <c r="ZP16">
        <f>SOFR3mo_PX[[#This Row],[Column692]]</f>
        <v>96.4</v>
      </c>
      <c r="ZQ16">
        <f>SOFR3mo_PX[[#This Row],[Column693]]</f>
        <v>96.525000000000006</v>
      </c>
      <c r="ZR16">
        <f>SOFR3mo_PX[[#This Row],[Column694]]</f>
        <v>96.43</v>
      </c>
      <c r="ZS16">
        <f>SOFR3mo_PX[[#This Row],[Column695]]</f>
        <v>96.35</v>
      </c>
      <c r="ZT16">
        <f>SOFR3mo_PX[[#This Row],[Column696]]</f>
        <v>96.234999999999999</v>
      </c>
      <c r="ZU16">
        <f>SOFR3mo_PX[[#This Row],[Column697]]</f>
        <v>96.24</v>
      </c>
      <c r="ZV16">
        <f>SOFR3mo_PX[[#This Row],[Column698]]</f>
        <v>96.16</v>
      </c>
      <c r="ZW16">
        <f>SOFR3mo_PX[[#This Row],[Column699]]</f>
        <v>96.295000000000002</v>
      </c>
      <c r="ZX16">
        <f>SOFR3mo_PX[[#This Row],[Column700]]</f>
        <v>96.45</v>
      </c>
      <c r="ZY16">
        <f>SOFR3mo_PX[[#This Row],[Column701]]</f>
        <v>96.435000000000002</v>
      </c>
      <c r="ZZ16">
        <f>SOFR3mo_PX[[#This Row],[Column702]]</f>
        <v>96.405000000000001</v>
      </c>
      <c r="AAA16">
        <f>SOFR3mo_PX[[#This Row],[Column703]]</f>
        <v>96.45</v>
      </c>
      <c r="AAB16">
        <f>SOFR3mo_PX[[#This Row],[Column704]]</f>
        <v>96.45</v>
      </c>
      <c r="AAC16">
        <f>SOFR3mo_PX[[#This Row],[Column705]]</f>
        <v>96.39</v>
      </c>
      <c r="AAD16">
        <f>SOFR3mo_PX[[#This Row],[Column706]]</f>
        <v>96.39</v>
      </c>
      <c r="AAE16">
        <f>SOFR3mo_PX[[#This Row],[Column707]]</f>
        <v>96.44</v>
      </c>
      <c r="AAF16">
        <f>SOFR3mo_PX[[#This Row],[Column708]]</f>
        <v>96.5</v>
      </c>
      <c r="AAG16">
        <f>SOFR3mo_PX[[#This Row],[Column709]]</f>
        <v>96.564999999999998</v>
      </c>
      <c r="AAH16">
        <f>SOFR3mo_PX[[#This Row],[Column710]]</f>
        <v>96.745000000000005</v>
      </c>
      <c r="AAI16">
        <f>SOFR3mo_PX[[#This Row],[Column711]]</f>
        <v>96.63</v>
      </c>
      <c r="AAJ16">
        <f>SOFR3mo_PX[[#This Row],[Column712]]</f>
        <v>96.454999999999998</v>
      </c>
      <c r="AAK16">
        <f>SOFR3mo_PX[[#This Row],[Column713]]</f>
        <v>96.54</v>
      </c>
      <c r="AAL16">
        <f>SOFR3mo_PX[[#This Row],[Column714]]</f>
        <v>96.58</v>
      </c>
      <c r="AAM16">
        <f>SOFR3mo_PX[[#This Row],[Column715]]</f>
        <v>96.325000000000003</v>
      </c>
      <c r="AAN16">
        <f>SOFR3mo_PX[[#This Row],[Column716]]</f>
        <v>96.375</v>
      </c>
      <c r="AAO16">
        <f>SOFR3mo_PX[[#This Row],[Column717]]</f>
        <v>96.605000000000004</v>
      </c>
      <c r="AAP16">
        <f>SOFR3mo_PX[[#This Row],[Column718]]</f>
        <v>96.64</v>
      </c>
      <c r="AAQ16">
        <f>SOFR3mo_PX[[#This Row],[Column719]]</f>
        <v>96.855000000000004</v>
      </c>
      <c r="AAR16">
        <f>SOFR3mo_PX[[#This Row],[Column720]]</f>
        <v>96.76</v>
      </c>
      <c r="AAS16">
        <f>SOFR3mo_PX[[#This Row],[Column721]]</f>
        <v>96.844999999999999</v>
      </c>
      <c r="AAT16">
        <f>SOFR3mo_PX[[#This Row],[Column722]]</f>
        <v>96.915000000000006</v>
      </c>
      <c r="AAU16">
        <f>SOFR3mo_PX[[#This Row],[Column723]]</f>
        <v>96.87</v>
      </c>
      <c r="AAV16">
        <f>SOFR3mo_PX[[#This Row],[Column724]]</f>
        <v>96.94</v>
      </c>
      <c r="AAW16">
        <f>SOFR3mo_PX[[#This Row],[Column725]]</f>
        <v>96.93</v>
      </c>
      <c r="AAX16">
        <f>SOFR3mo_PX[[#This Row],[Column726]]</f>
        <v>97.015000000000001</v>
      </c>
      <c r="AAY16">
        <f>SOFR3mo_PX[[#This Row],[Column727]]</f>
        <v>97.03</v>
      </c>
      <c r="AAZ16">
        <f>SOFR3mo_PX[[#This Row],[Column728]]</f>
        <v>97.075000000000003</v>
      </c>
      <c r="ABA16">
        <f>SOFR3mo_PX[[#This Row],[Column729]]</f>
        <v>97.1</v>
      </c>
      <c r="ABB16">
        <f>SOFR3mo_PX[[#This Row],[Column730]]</f>
        <v>96.995000000000005</v>
      </c>
      <c r="ABC16">
        <f>SOFR3mo_PX[[#This Row],[Column731]]</f>
        <v>97.14</v>
      </c>
      <c r="ABD16">
        <f>SOFR3mo_PX[[#This Row],[Column732]]</f>
        <v>97.14</v>
      </c>
      <c r="ABE16">
        <f>SOFR3mo_PX[[#This Row],[Column733]]</f>
        <v>97.04</v>
      </c>
      <c r="ABF16">
        <f>SOFR3mo_PX[[#This Row],[Column734]]</f>
        <v>97.174999999999997</v>
      </c>
      <c r="ABG16">
        <f>SOFR3mo_PX[[#This Row],[Column735]]</f>
        <v>97.17</v>
      </c>
      <c r="ABH16">
        <f>SOFR3mo_PX[[#This Row],[Column736]]</f>
        <v>97.17</v>
      </c>
      <c r="ABI16">
        <f>SOFR3mo_PX[[#This Row],[Column737]]</f>
        <v>97.254999999999995</v>
      </c>
      <c r="ABJ16">
        <f>SOFR3mo_PX[[#This Row],[Column738]]</f>
        <v>97.32</v>
      </c>
      <c r="ABK16">
        <f>SOFR3mo_PX[[#This Row],[Column739]]</f>
        <v>97.27</v>
      </c>
      <c r="ABL16">
        <f>SOFR3mo_PX[[#This Row],[Column740]]</f>
        <v>97.325000000000003</v>
      </c>
      <c r="ABM16">
        <f>SOFR3mo_PX[[#This Row],[Column741]]</f>
        <v>97.36</v>
      </c>
      <c r="ABN16">
        <f>SOFR3mo_PX[[#This Row],[Column742]]</f>
        <v>97.424999999999997</v>
      </c>
      <c r="ABO16">
        <f>SOFR3mo_PX[[#This Row],[Column743]]</f>
        <v>97.534999999999997</v>
      </c>
      <c r="ABP16">
        <f>SOFR3mo_PX[[#This Row],[Column744]]</f>
        <v>97.53</v>
      </c>
      <c r="ABQ16">
        <f>SOFR3mo_PX[[#This Row],[Column745]]</f>
        <v>97.65</v>
      </c>
      <c r="ABR16">
        <f>SOFR3mo_PX[[#This Row],[Column746]]</f>
        <v>97.694999999999993</v>
      </c>
      <c r="ABS16">
        <f>SOFR3mo_PX[[#This Row],[Column747]]</f>
        <v>97.605000000000004</v>
      </c>
      <c r="ABT16">
        <f>SOFR3mo_PX[[#This Row],[Column748]]</f>
        <v>97.584999999999994</v>
      </c>
      <c r="ABU16">
        <f>SOFR3mo_PX[[#This Row],[Column749]]</f>
        <v>97.67</v>
      </c>
      <c r="ABV16">
        <f>SOFR3mo_PX[[#This Row],[Column750]]</f>
        <v>97.61</v>
      </c>
      <c r="ABW16">
        <f>SOFR3mo_PX[[#This Row],[Column751]]</f>
        <v>97.685000000000002</v>
      </c>
      <c r="ABX16">
        <f>SOFR3mo_PX[[#This Row],[Column752]]</f>
        <v>97.584999999999994</v>
      </c>
      <c r="ABY16">
        <f>SOFR3mo_PX[[#This Row],[Column753]]</f>
        <v>97.78</v>
      </c>
      <c r="ABZ16">
        <f>SOFR3mo_PX[[#This Row],[Column754]]</f>
        <v>97.66</v>
      </c>
      <c r="ACA16">
        <f>SOFR3mo_PX[[#This Row],[Column755]]</f>
        <v>97.665000000000006</v>
      </c>
      <c r="ACB16">
        <f>SOFR3mo_PX[[#This Row],[Column756]]</f>
        <v>97.89</v>
      </c>
      <c r="ACC16">
        <f>SOFR3mo_PX[[#This Row],[Column757]]</f>
        <v>97.85</v>
      </c>
      <c r="ACD16">
        <f>SOFR3mo_PX[[#This Row],[Column758]]</f>
        <v>97.82</v>
      </c>
      <c r="ACE16">
        <f>SOFR3mo_PX[[#This Row],[Column759]]</f>
        <v>97.74</v>
      </c>
      <c r="ACF16">
        <f>SOFR3mo_PX[[#This Row],[Column760]]</f>
        <v>97.65</v>
      </c>
      <c r="ACG16">
        <f>SOFR3mo_PX[[#This Row],[Column761]]</f>
        <v>97.635000000000005</v>
      </c>
      <c r="ACH16">
        <f>SOFR3mo_PX[[#This Row],[Column762]]</f>
        <v>97.644999999999996</v>
      </c>
      <c r="ACI16">
        <f>SOFR3mo_PX[[#This Row],[Column763]]</f>
        <v>97.51</v>
      </c>
      <c r="ACJ16">
        <f>SOFR3mo_PX[[#This Row],[Column764]]</f>
        <v>97.334999999999994</v>
      </c>
      <c r="ACK16">
        <f>SOFR3mo_PX[[#This Row],[Column765]]</f>
        <v>97.37</v>
      </c>
      <c r="ACL16">
        <f>SOFR3mo_PX[[#This Row],[Column766]]</f>
        <v>97.44</v>
      </c>
      <c r="ACM16">
        <f>SOFR3mo_PX[[#This Row],[Column767]]</f>
        <v>97.465000000000003</v>
      </c>
      <c r="ACN16">
        <f>SOFR3mo_PX[[#This Row],[Column768]]</f>
        <v>97.45</v>
      </c>
      <c r="ACO16">
        <f>SOFR3mo_PX[[#This Row],[Column769]]</f>
        <v>97.5</v>
      </c>
      <c r="ACP16">
        <f>SOFR3mo_PX[[#This Row],[Column770]]</f>
        <v>97.43</v>
      </c>
      <c r="ACQ16">
        <f>SOFR3mo_PX[[#This Row],[Column771]]</f>
        <v>97.39</v>
      </c>
      <c r="ACR16">
        <f>SOFR3mo_PX[[#This Row],[Column772]]</f>
        <v>97.27</v>
      </c>
      <c r="ACS16">
        <f>SOFR3mo_PX[[#This Row],[Column773]]</f>
        <v>97.355000000000004</v>
      </c>
      <c r="ACT16">
        <f>SOFR3mo_PX[[#This Row],[Column774]]</f>
        <v>97.454999999999998</v>
      </c>
      <c r="ACU16">
        <f>SOFR3mo_PX[[#This Row],[Column775]]</f>
        <v>97.594999999999999</v>
      </c>
      <c r="ACV16">
        <f>SOFR3mo_PX[[#This Row],[Column776]]</f>
        <v>97.5</v>
      </c>
      <c r="ACW16">
        <f>SOFR3mo_PX[[#This Row],[Column777]]</f>
        <v>97.5</v>
      </c>
      <c r="ACX16">
        <f>SOFR3mo_PX[[#This Row],[Column778]]</f>
        <v>97.394999999999996</v>
      </c>
      <c r="ACY16">
        <f>SOFR3mo_PX[[#This Row],[Column779]]</f>
        <v>97.22</v>
      </c>
      <c r="ACZ16">
        <f>SOFR3mo_PX[[#This Row],[Column780]]</f>
        <v>97.09</v>
      </c>
      <c r="ADA16">
        <f>SOFR3mo_PX[[#This Row],[Column781]]</f>
        <v>97.1</v>
      </c>
      <c r="ADB16">
        <f>SOFR3mo_PX[[#This Row],[Column782]]</f>
        <v>97.18</v>
      </c>
      <c r="ADC16">
        <f>SOFR3mo_PX[[#This Row],[Column783]]</f>
        <v>97.254999999999995</v>
      </c>
      <c r="ADD16">
        <f>SOFR3mo_PX[[#This Row],[Column784]]</f>
        <v>97.15</v>
      </c>
      <c r="ADE16">
        <f>SOFR3mo_PX[[#This Row],[Column785]]</f>
        <v>96.995000000000005</v>
      </c>
      <c r="ADF16">
        <f>SOFR3mo_PX[[#This Row],[Column786]]</f>
        <v>97.025000000000006</v>
      </c>
      <c r="ADG16">
        <f>SOFR3mo_PX[[#This Row],[Column787]]</f>
        <v>97.025000000000006</v>
      </c>
      <c r="ADH16">
        <f>SOFR3mo_PX[[#This Row],[Column788]]</f>
        <v>96.99</v>
      </c>
      <c r="ADI16">
        <f>SOFR3mo_PX[[#This Row],[Column789]]</f>
        <v>96.86</v>
      </c>
      <c r="ADJ16">
        <f>SOFR3mo_PX[[#This Row],[Column790]]</f>
        <v>96.72</v>
      </c>
      <c r="ADK16">
        <f>SOFR3mo_PX[[#This Row],[Column791]]</f>
        <v>96.805000000000007</v>
      </c>
      <c r="ADL16">
        <f>SOFR3mo_PX[[#This Row],[Column792]]</f>
        <v>97.02</v>
      </c>
      <c r="ADM16">
        <f>SOFR3mo_PX[[#This Row],[Column793]]</f>
        <v>97.165000000000006</v>
      </c>
      <c r="ADN16">
        <f>SOFR3mo_PX[[#This Row],[Column794]]</f>
        <v>97.194999999999993</v>
      </c>
      <c r="ADO16">
        <f>SOFR3mo_PX[[#This Row],[Column795]]</f>
        <v>97.23</v>
      </c>
      <c r="ADP16">
        <f>SOFR3mo_PX[[#This Row],[Column796]]</f>
        <v>97.165000000000006</v>
      </c>
      <c r="ADQ16">
        <f>SOFR3mo_PX[[#This Row],[Column797]]</f>
        <v>97.275000000000006</v>
      </c>
      <c r="ADR16">
        <f>SOFR3mo_PX[[#This Row],[Column798]]</f>
        <v>97.33</v>
      </c>
      <c r="ADS16">
        <f>SOFR3mo_PX[[#This Row],[Column799]]</f>
        <v>97.29</v>
      </c>
      <c r="ADT16">
        <f>SOFR3mo_PX[[#This Row],[Column800]]</f>
        <v>97.415000000000006</v>
      </c>
      <c r="ADU16">
        <f>SOFR3mo_PX[[#This Row],[Column801]]</f>
        <v>97.48</v>
      </c>
      <c r="ADV16">
        <f>SOFR3mo_PX[[#This Row],[Column802]]</f>
        <v>97.48</v>
      </c>
      <c r="ADW16">
        <f>SOFR3mo_PX[[#This Row],[Column803]]</f>
        <v>97.495000000000005</v>
      </c>
      <c r="ADX16">
        <f>SOFR3mo_PX[[#This Row],[Column804]]</f>
        <v>97.515000000000001</v>
      </c>
      <c r="ADY16">
        <f>SOFR3mo_PX[[#This Row],[Column805]]</f>
        <v>97.48</v>
      </c>
      <c r="ADZ16">
        <f>SOFR3mo_PX[[#This Row],[Column806]]</f>
        <v>97.355000000000004</v>
      </c>
      <c r="AEA16">
        <f>SOFR3mo_PX[[#This Row],[Column807]]</f>
        <v>97.435000000000002</v>
      </c>
      <c r="AEB16">
        <f>SOFR3mo_PX[[#This Row],[Column808]]</f>
        <v>97.364999999999995</v>
      </c>
      <c r="AEC16">
        <f>SOFR3mo_PX[[#This Row],[Column809]]</f>
        <v>97.325000000000003</v>
      </c>
      <c r="AED16">
        <f>SOFR3mo_PX[[#This Row],[Column810]]</f>
        <v>97.26</v>
      </c>
      <c r="AEE16">
        <f>SOFR3mo_PX[[#This Row],[Column811]]</f>
        <v>97.39</v>
      </c>
      <c r="AEF16">
        <f>SOFR3mo_PX[[#This Row],[Column812]]</f>
        <v>97.275000000000006</v>
      </c>
      <c r="AEG16">
        <f>SOFR3mo_PX[[#This Row],[Column813]]</f>
        <v>97.38</v>
      </c>
      <c r="AEH16">
        <f>SOFR3mo_PX[[#This Row],[Column814]]</f>
        <v>97.284999999999997</v>
      </c>
      <c r="AEI16">
        <f>SOFR3mo_PX[[#This Row],[Column815]]</f>
        <v>97.22</v>
      </c>
      <c r="AEJ16">
        <f>SOFR3mo_PX[[#This Row],[Column816]]</f>
        <v>97.14</v>
      </c>
      <c r="AEK16">
        <f>SOFR3mo_PX[[#This Row],[Column817]]</f>
        <v>97.06</v>
      </c>
      <c r="AEL16">
        <f>SOFR3mo_PX[[#This Row],[Column818]]</f>
        <v>97.094999999999999</v>
      </c>
      <c r="AEM16">
        <f>SOFR3mo_PX[[#This Row],[Column819]]</f>
        <v>97.204999999999998</v>
      </c>
      <c r="AEN16">
        <f>SOFR3mo_PX[[#This Row],[Column820]]</f>
        <v>97.125</v>
      </c>
      <c r="AEO16">
        <f>SOFR3mo_PX[[#This Row],[Column821]]</f>
        <v>97.084999999999994</v>
      </c>
      <c r="AEP16">
        <f>SOFR3mo_PX[[#This Row],[Column822]]</f>
        <v>97.204999999999998</v>
      </c>
      <c r="AEQ16">
        <f>SOFR3mo_PX[[#This Row],[Column823]]</f>
        <v>97.204999999999998</v>
      </c>
      <c r="AER16">
        <f>SOFR3mo_PX[[#This Row],[Column824]]</f>
        <v>97.3</v>
      </c>
      <c r="AES16">
        <f>SOFR3mo_PX[[#This Row],[Column825]]</f>
        <v>97.325000000000003</v>
      </c>
      <c r="AET16">
        <f>SOFR3mo_PX[[#This Row],[Column826]]</f>
        <v>97.284999999999997</v>
      </c>
      <c r="AEU16">
        <f>SOFR3mo_PX[[#This Row],[Column827]]</f>
        <v>97.215000000000003</v>
      </c>
      <c r="AEV16">
        <f>SOFR3mo_PX[[#This Row],[Column828]]</f>
        <v>97.135000000000005</v>
      </c>
      <c r="AEW16">
        <f>SOFR3mo_PX[[#This Row],[Column829]]</f>
        <v>97.25</v>
      </c>
      <c r="AEX16">
        <f>SOFR3mo_PX[[#This Row],[Column830]]</f>
        <v>97.194999999999993</v>
      </c>
      <c r="AEY16">
        <f>SOFR3mo_PX[[#This Row],[Column831]]</f>
        <v>97.305000000000007</v>
      </c>
      <c r="AEZ16">
        <f>SOFR3mo_PX[[#This Row],[Column832]]</f>
        <v>97.334999999999994</v>
      </c>
      <c r="AFA16">
        <f>SOFR3mo_PX[[#This Row],[Column833]]</f>
        <v>97.334999999999994</v>
      </c>
      <c r="AFB16">
        <f>SOFR3mo_PX[[#This Row],[Column834]]</f>
        <v>97.465000000000003</v>
      </c>
      <c r="AFC16">
        <f>SOFR3mo_PX[[#This Row],[Column835]]</f>
        <v>97.435000000000002</v>
      </c>
      <c r="AFD16">
        <f>SOFR3mo_PX[[#This Row],[Column836]]</f>
        <v>97.31</v>
      </c>
      <c r="AFE16">
        <f>SOFR3mo_PX[[#This Row],[Column837]]</f>
        <v>97.364999999999995</v>
      </c>
      <c r="AFF16">
        <f>SOFR3mo_PX[[#This Row],[Column838]]</f>
        <v>97.454999999999998</v>
      </c>
      <c r="AFG16">
        <f>SOFR3mo_PX[[#This Row],[Column839]]</f>
        <v>97.45</v>
      </c>
      <c r="AFH16">
        <f>SOFR3mo_PX[[#This Row],[Column840]]</f>
        <v>97.454999999999998</v>
      </c>
      <c r="AFI16">
        <f>SOFR3mo_PX[[#This Row],[Column841]]</f>
        <v>97.625</v>
      </c>
      <c r="AFJ16">
        <f>SOFR3mo_PX[[#This Row],[Column842]]</f>
        <v>97.614999999999995</v>
      </c>
      <c r="AFK16">
        <f>SOFR3mo_PX[[#This Row],[Column843]]</f>
        <v>97.75</v>
      </c>
      <c r="AFL16">
        <f>SOFR3mo_PX[[#This Row],[Column844]]</f>
        <v>97.694999999999993</v>
      </c>
      <c r="AFM16">
        <f>SOFR3mo_PX[[#This Row],[Column845]]</f>
        <v>97.65</v>
      </c>
      <c r="AFN16">
        <f>SOFR3mo_PX[[#This Row],[Column846]]</f>
        <v>97.55</v>
      </c>
      <c r="AFO16">
        <f>SOFR3mo_PX[[#This Row],[Column847]]</f>
        <v>97.52</v>
      </c>
      <c r="AFP16">
        <f>SOFR3mo_PX[[#This Row],[Column848]]</f>
        <v>97.77</v>
      </c>
      <c r="AFQ16">
        <f>SOFR3mo_PX[[#This Row],[Column849]]</f>
        <v>97.805000000000007</v>
      </c>
      <c r="AFR16">
        <f>SOFR3mo_PX[[#This Row],[Column850]]</f>
        <v>97.75</v>
      </c>
      <c r="AFS16">
        <f>SOFR3mo_PX[[#This Row],[Column851]]</f>
        <v>97.81</v>
      </c>
      <c r="AFT16">
        <f>SOFR3mo_PX[[#This Row],[Column852]]</f>
        <v>97.99</v>
      </c>
      <c r="AFU16">
        <f>SOFR3mo_PX[[#This Row],[Column853]]</f>
        <v>97.944999999999993</v>
      </c>
      <c r="AFV16">
        <f>SOFR3mo_PX[[#This Row],[Column854]]</f>
        <v>97.885000000000005</v>
      </c>
      <c r="AFW16">
        <f>SOFR3mo_PX[[#This Row],[Column855]]</f>
        <v>97.915000000000006</v>
      </c>
      <c r="AFX16">
        <f>SOFR3mo_PX[[#This Row],[Column856]]</f>
        <v>97.944999999999993</v>
      </c>
      <c r="AFY16">
        <f>SOFR3mo_PX[[#This Row],[Column857]]</f>
        <v>98.09</v>
      </c>
      <c r="AFZ16">
        <f>SOFR3mo_PX[[#This Row],[Column858]]</f>
        <v>98.125</v>
      </c>
      <c r="AGA16">
        <f>SOFR3mo_PX[[#This Row],[Column859]]</f>
        <v>98.2</v>
      </c>
      <c r="AGB16">
        <f>SOFR3mo_PX[[#This Row],[Column860]]</f>
        <v>98.295000000000002</v>
      </c>
      <c r="AGC16">
        <f>SOFR3mo_PX[[#This Row],[Column861]]</f>
        <v>98.415000000000006</v>
      </c>
      <c r="AGD16">
        <f>SOFR3mo_PX[[#This Row],[Column862]]</f>
        <v>98.474999999999994</v>
      </c>
      <c r="AGE16">
        <f>SOFR3mo_PX[[#This Row],[Column863]]</f>
        <v>98.33</v>
      </c>
      <c r="AGF16">
        <f>SOFR3mo_PX[[#This Row],[Column864]]</f>
        <v>98.29</v>
      </c>
      <c r="AGG16">
        <f>SOFR3mo_PX[[#This Row],[Column865]]</f>
        <v>98.5</v>
      </c>
      <c r="AGH16">
        <f>SOFR3mo_PX[[#This Row],[Column866]]</f>
        <v>98.275000000000006</v>
      </c>
      <c r="AGI16">
        <f>SOFR3mo_PX[[#This Row],[Column867]]</f>
        <v>98.114999999999995</v>
      </c>
      <c r="AGJ16">
        <f>SOFR3mo_PX[[#This Row],[Column868]]</f>
        <v>98.144999999999996</v>
      </c>
      <c r="AGK16">
        <f>SOFR3mo_PX[[#This Row],[Column869]]</f>
        <v>98.135000000000005</v>
      </c>
      <c r="AGL16">
        <f>SOFR3mo_PX[[#This Row],[Column870]]</f>
        <v>98.174999999999997</v>
      </c>
      <c r="AGM16">
        <f>SOFR3mo_PX[[#This Row],[Column871]]</f>
        <v>98.185000000000002</v>
      </c>
      <c r="AGN16">
        <f>SOFR3mo_PX[[#This Row],[Column872]]</f>
        <v>98.185000000000002</v>
      </c>
      <c r="AGO16">
        <f>SOFR3mo_PX[[#This Row],[Column873]]</f>
        <v>98.15</v>
      </c>
      <c r="AGP16">
        <f>SOFR3mo_PX[[#This Row],[Column874]]</f>
        <v>98.075000000000003</v>
      </c>
      <c r="AGQ16">
        <f>SOFR3mo_PX[[#This Row],[Column875]]</f>
        <v>98.075000000000003</v>
      </c>
      <c r="AGR16">
        <f>SOFR3mo_PX[[#This Row],[Column876]]</f>
        <v>98.094999999999999</v>
      </c>
      <c r="AGS16">
        <f>SOFR3mo_PX[[#This Row],[Column877]]</f>
        <v>98.16</v>
      </c>
      <c r="AGT16">
        <f>SOFR3mo_PX[[#This Row],[Column878]]</f>
        <v>98.01</v>
      </c>
      <c r="AGU16">
        <f>SOFR3mo_PX[[#This Row],[Column879]]</f>
        <v>98.09</v>
      </c>
      <c r="AGV16">
        <f>SOFR3mo_PX[[#This Row],[Column880]]</f>
        <v>98.08</v>
      </c>
      <c r="AGW16">
        <f>SOFR3mo_PX[[#This Row],[Column881]]</f>
        <v>98.135000000000005</v>
      </c>
      <c r="AGX16">
        <f>SOFR3mo_PX[[#This Row],[Column882]]</f>
        <v>98.11</v>
      </c>
      <c r="AGY16">
        <f>SOFR3mo_PX[[#This Row],[Column883]]</f>
        <v>98.25</v>
      </c>
      <c r="AGZ16">
        <f>SOFR3mo_PX[[#This Row],[Column884]]</f>
        <v>98.314999999999998</v>
      </c>
      <c r="AHA16">
        <f>SOFR3mo_PX[[#This Row],[Column885]]</f>
        <v>98.29</v>
      </c>
      <c r="AHB16">
        <f>SOFR3mo_PX[[#This Row],[Column886]]</f>
        <v>98.284999999999997</v>
      </c>
      <c r="AHC16">
        <f>SOFR3mo_PX[[#This Row],[Column887]]</f>
        <v>98.27</v>
      </c>
      <c r="AHD16">
        <f>SOFR3mo_PX[[#This Row],[Column888]]</f>
        <v>98.22</v>
      </c>
      <c r="AHE16">
        <f>SOFR3mo_PX[[#This Row],[Column889]]</f>
        <v>98.174999999999997</v>
      </c>
      <c r="AHF16">
        <f>SOFR3mo_PX[[#This Row],[Column890]]</f>
        <v>98.26</v>
      </c>
      <c r="AHG16">
        <f>SOFR3mo_PX[[#This Row],[Column891]]</f>
        <v>98.314999999999998</v>
      </c>
      <c r="AHH16">
        <f>SOFR3mo_PX[[#This Row],[Column892]]</f>
        <v>98.265000000000001</v>
      </c>
      <c r="AHI16">
        <f>SOFR3mo_PX[[#This Row],[Column893]]</f>
        <v>98.19</v>
      </c>
      <c r="AHJ16">
        <f>SOFR3mo_PX[[#This Row],[Column894]]</f>
        <v>98.185000000000002</v>
      </c>
      <c r="AHK16">
        <f>SOFR3mo_PX[[#This Row],[Column895]]</f>
        <v>98.13</v>
      </c>
      <c r="AHL16">
        <f>SOFR3mo_PX[[#This Row],[Column896]]</f>
        <v>98.245000000000005</v>
      </c>
      <c r="AHM16">
        <f>SOFR3mo_PX[[#This Row],[Column897]]</f>
        <v>98.245000000000005</v>
      </c>
      <c r="AHN16">
        <f>SOFR3mo_PX[[#This Row],[Column898]]</f>
        <v>98.334999999999994</v>
      </c>
      <c r="AHO16">
        <f>SOFR3mo_PX[[#This Row],[Column899]]</f>
        <v>98.305000000000007</v>
      </c>
      <c r="AHP16">
        <f>SOFR3mo_PX[[#This Row],[Column900]]</f>
        <v>98.265000000000001</v>
      </c>
      <c r="AHQ16">
        <f>SOFR3mo_PX[[#This Row],[Column901]]</f>
        <v>98.2</v>
      </c>
      <c r="AHR16">
        <f>SOFR3mo_PX[[#This Row],[Column902]]</f>
        <v>98.245000000000005</v>
      </c>
      <c r="AHS16">
        <f>SOFR3mo_PX[[#This Row],[Column903]]</f>
        <v>98.305000000000007</v>
      </c>
      <c r="AHT16">
        <f>SOFR3mo_PX[[#This Row],[Column904]]</f>
        <v>98.35</v>
      </c>
      <c r="AHU16">
        <f>SOFR3mo_PX[[#This Row],[Column905]]</f>
        <v>98.394999999999996</v>
      </c>
      <c r="AHV16">
        <f>SOFR3mo_PX[[#This Row],[Column906]]</f>
        <v>98.424999999999997</v>
      </c>
      <c r="AHW16">
        <f>SOFR3mo_PX[[#This Row],[Column907]]</f>
        <v>98.55</v>
      </c>
      <c r="AHX16">
        <f>SOFR3mo_PX[[#This Row],[Column908]]</f>
        <v>98.54</v>
      </c>
      <c r="AHY16">
        <f>SOFR3mo_PX[[#This Row],[Column909]]</f>
        <v>98.53</v>
      </c>
      <c r="AHZ16">
        <f>SOFR3mo_PX[[#This Row],[Column910]]</f>
        <v>98.575000000000003</v>
      </c>
      <c r="AIA16">
        <f>SOFR3mo_PX[[#This Row],[Column911]]</f>
        <v>98.56</v>
      </c>
      <c r="AIB16">
        <f>SOFR3mo_PX[[#This Row],[Column912]]</f>
        <v>98.564999999999998</v>
      </c>
      <c r="AIC16">
        <f>SOFR3mo_PX[[#This Row],[Column913]]</f>
        <v>98.564999999999998</v>
      </c>
      <c r="AID16">
        <f>SOFR3mo_PX[[#This Row],[Column914]]</f>
        <v>98.58</v>
      </c>
      <c r="AIE16">
        <f>SOFR3mo_PX[[#This Row],[Column915]]</f>
        <v>98.564999999999998</v>
      </c>
      <c r="AIF16">
        <f>SOFR3mo_PX[[#This Row],[Column916]]</f>
        <v>98.64</v>
      </c>
      <c r="AIG16">
        <f>SOFR3mo_PX[[#This Row],[Column917]]</f>
        <v>98.644999999999996</v>
      </c>
      <c r="AIH16">
        <f>SOFR3mo_PX[[#This Row],[Column918]]</f>
        <v>98.64</v>
      </c>
      <c r="AII16">
        <f>SOFR3mo_PX[[#This Row],[Column919]]</f>
        <v>98.54</v>
      </c>
      <c r="AIJ16">
        <f>SOFR3mo_PX[[#This Row],[Column920]]</f>
        <v>98.525000000000006</v>
      </c>
      <c r="AIK16">
        <f>SOFR3mo_PX[[#This Row],[Column921]]</f>
        <v>98.54</v>
      </c>
      <c r="AIL16">
        <f>SOFR3mo_PX[[#This Row],[Column922]]</f>
        <v>98.495000000000005</v>
      </c>
      <c r="AIM16">
        <f>SOFR3mo_PX[[#This Row],[Column923]]</f>
        <v>98.49</v>
      </c>
      <c r="AIN16">
        <f>SOFR3mo_PX[[#This Row],[Column924]]</f>
        <v>98.47</v>
      </c>
      <c r="AIO16">
        <f>SOFR3mo_PX[[#This Row],[Column925]]</f>
        <v>98.484999999999999</v>
      </c>
      <c r="AIP16">
        <f>SOFR3mo_PX[[#This Row],[Column926]]</f>
        <v>98.54</v>
      </c>
      <c r="AIQ16">
        <f>SOFR3mo_PX[[#This Row],[Column927]]</f>
        <v>98.665000000000006</v>
      </c>
      <c r="AIR16">
        <f>SOFR3mo_PX[[#This Row],[Column928]]</f>
        <v>98.57</v>
      </c>
      <c r="AIS16">
        <f>SOFR3mo_PX[[#This Row],[Column929]]</f>
        <v>98.605000000000004</v>
      </c>
      <c r="AIT16">
        <f>SOFR3mo_PX[[#This Row],[Column930]]</f>
        <v>98.584999999999994</v>
      </c>
      <c r="AIU16">
        <f>SOFR3mo_PX[[#This Row],[Column931]]</f>
        <v>98.52</v>
      </c>
      <c r="AIV16">
        <f>SOFR3mo_PX[[#This Row],[Column932]]</f>
        <v>98.53</v>
      </c>
      <c r="AIW16">
        <f>SOFR3mo_PX[[#This Row],[Column933]]</f>
        <v>98.355000000000004</v>
      </c>
      <c r="AIX16">
        <f>SOFR3mo_PX[[#This Row],[Column934]]</f>
        <v>98.355000000000004</v>
      </c>
      <c r="AIY16">
        <f>SOFR3mo_PX[[#This Row],[Column935]]</f>
        <v>98.364999999999995</v>
      </c>
      <c r="AIZ16">
        <f>SOFR3mo_PX[[#This Row],[Column936]]</f>
        <v>98.385000000000005</v>
      </c>
      <c r="AJA16">
        <f>SOFR3mo_PX[[#This Row],[Column937]]</f>
        <v>98.515000000000001</v>
      </c>
      <c r="AJB16">
        <f>SOFR3mo_PX[[#This Row],[Column938]]</f>
        <v>98.5</v>
      </c>
      <c r="AJC16">
        <f>SOFR3mo_PX[[#This Row],[Column939]]</f>
        <v>98.465000000000003</v>
      </c>
      <c r="AJD16">
        <f>SOFR3mo_PX[[#This Row],[Column940]]</f>
        <v>98.435000000000002</v>
      </c>
      <c r="AJE16">
        <f>SOFR3mo_PX[[#This Row],[Column941]]</f>
        <v>98.465000000000003</v>
      </c>
      <c r="AJF16">
        <f>SOFR3mo_PX[[#This Row],[Column942]]</f>
        <v>98.495000000000005</v>
      </c>
      <c r="AJG16">
        <f>SOFR3mo_PX[[#This Row],[Column943]]</f>
        <v>98.49</v>
      </c>
      <c r="AJH16">
        <f>SOFR3mo_PX[[#This Row],[Column944]]</f>
        <v>98.525000000000006</v>
      </c>
      <c r="AJI16">
        <f>SOFR3mo_PX[[#This Row],[Column945]]</f>
        <v>98.69</v>
      </c>
      <c r="AJJ16">
        <f>SOFR3mo_PX[[#This Row],[Column946]]</f>
        <v>98.625</v>
      </c>
      <c r="AJK16">
        <f>SOFR3mo_PX[[#This Row],[Column947]]</f>
        <v>98.7</v>
      </c>
      <c r="AJL16">
        <f>SOFR3mo_PX[[#This Row],[Column948]]</f>
        <v>98.614999999999995</v>
      </c>
      <c r="AJM16">
        <f>SOFR3mo_PX[[#This Row],[Column949]]</f>
        <v>98.54</v>
      </c>
      <c r="AJN16">
        <f>SOFR3mo_PX[[#This Row],[Column950]]</f>
        <v>98.59</v>
      </c>
      <c r="AJO16">
        <f>SOFR3mo_PX[[#This Row],[Column951]]</f>
        <v>98.575000000000003</v>
      </c>
      <c r="AJP16">
        <f>SOFR3mo_PX[[#This Row],[Column952]]</f>
        <v>98.61</v>
      </c>
      <c r="AJQ16">
        <f>SOFR3mo_PX[[#This Row],[Column953]]</f>
        <v>98.594999999999999</v>
      </c>
      <c r="AJR16">
        <f>SOFR3mo_PX[[#This Row],[Column954]]</f>
        <v>98.6</v>
      </c>
      <c r="AJS16">
        <f>SOFR3mo_PX[[#This Row],[Column955]]</f>
        <v>98.495000000000005</v>
      </c>
      <c r="AJT16">
        <f>SOFR3mo_PX[[#This Row],[Column956]]</f>
        <v>98.5</v>
      </c>
      <c r="AJU16">
        <f>SOFR3mo_PX[[#This Row],[Column957]]</f>
        <v>98.484999999999999</v>
      </c>
      <c r="AJV16">
        <f>SOFR3mo_PX[[#This Row],[Column958]]</f>
        <v>98.465000000000003</v>
      </c>
      <c r="AJW16">
        <f>SOFR3mo_PX[[#This Row],[Column959]]</f>
        <v>98.54</v>
      </c>
      <c r="AJX16">
        <f>SOFR3mo_PX[[#This Row],[Column960]]</f>
        <v>98.53</v>
      </c>
      <c r="AJY16">
        <f>SOFR3mo_PX[[#This Row],[Column961]]</f>
        <v>98.525000000000006</v>
      </c>
      <c r="AJZ16">
        <f>SOFR3mo_PX[[#This Row],[Column962]]</f>
        <v>98.56</v>
      </c>
      <c r="AKA16">
        <f>SOFR3mo_PX[[#This Row],[Column963]]</f>
        <v>98.635000000000005</v>
      </c>
      <c r="AKB16">
        <f>SOFR3mo_PX[[#This Row],[Column964]]</f>
        <v>98.58</v>
      </c>
      <c r="AKC16">
        <f>SOFR3mo_PX[[#This Row],[Column965]]</f>
        <v>98.575000000000003</v>
      </c>
      <c r="AKD16">
        <f>SOFR3mo_PX[[#This Row],[Column966]]</f>
        <v>98.555000000000007</v>
      </c>
      <c r="AKE16">
        <f>SOFR3mo_PX[[#This Row],[Column967]]</f>
        <v>98.59</v>
      </c>
      <c r="AKF16">
        <f>SOFR3mo_PX[[#This Row],[Column968]]</f>
        <v>98.64</v>
      </c>
      <c r="AKG16">
        <f>SOFR3mo_PX[[#This Row],[Column969]]</f>
        <v>98.685000000000002</v>
      </c>
      <c r="AKH16">
        <f>SOFR3mo_PX[[#This Row],[Column970]]</f>
        <v>98.694999999999993</v>
      </c>
      <c r="AKI16">
        <f>SOFR3mo_PX[[#This Row],[Column971]]</f>
        <v>98.74</v>
      </c>
      <c r="AKJ16">
        <f>SOFR3mo_PX[[#This Row],[Column972]]</f>
        <v>98.734999999999999</v>
      </c>
      <c r="AKK16">
        <f>SOFR3mo_PX[[#This Row],[Column973]]</f>
        <v>98.655000000000001</v>
      </c>
      <c r="AKL16">
        <f>SOFR3mo_PX[[#This Row],[Column974]]</f>
        <v>98.64</v>
      </c>
      <c r="AKM16">
        <f>SOFR3mo_PX[[#This Row],[Column975]]</f>
        <v>98.605000000000004</v>
      </c>
      <c r="AKN16">
        <f>SOFR3mo_PX[[#This Row],[Column976]]</f>
        <v>98.64</v>
      </c>
      <c r="AKO16">
        <f>SOFR3mo_PX[[#This Row],[Column977]]</f>
        <v>98.67</v>
      </c>
      <c r="AKP16">
        <f>SOFR3mo_PX[[#This Row],[Column978]]</f>
        <v>98.694999999999993</v>
      </c>
      <c r="AKQ16">
        <f>SOFR3mo_PX[[#This Row],[Column979]]</f>
        <v>98.754999999999995</v>
      </c>
      <c r="AKR16">
        <f>SOFR3mo_PX[[#This Row],[Column980]]</f>
        <v>98.83</v>
      </c>
      <c r="AKS16">
        <f>SOFR3mo_PX[[#This Row],[Column981]]</f>
        <v>98.84</v>
      </c>
      <c r="AKT16">
        <f>SOFR3mo_PX[[#This Row],[Column982]]</f>
        <v>98.77</v>
      </c>
      <c r="AKU16">
        <f>SOFR3mo_PX[[#This Row],[Column983]]</f>
        <v>98.814999999999998</v>
      </c>
      <c r="AKV16">
        <f>SOFR3mo_PX[[#This Row],[Column984]]</f>
        <v>98.875</v>
      </c>
      <c r="AKW16">
        <f>SOFR3mo_PX[[#This Row],[Column985]]</f>
        <v>98.98</v>
      </c>
      <c r="AKX16">
        <f>SOFR3mo_PX[[#This Row],[Column986]]</f>
        <v>98.96</v>
      </c>
      <c r="AKY16">
        <f>SOFR3mo_PX[[#This Row],[Column987]]</f>
        <v>98.95</v>
      </c>
      <c r="AKZ16">
        <f>SOFR3mo_PX[[#This Row],[Column988]]</f>
        <v>98.99</v>
      </c>
      <c r="ALA16">
        <f>SOFR3mo_PX[[#This Row],[Column989]]</f>
        <v>98.965000000000003</v>
      </c>
      <c r="ALB16">
        <f>SOFR3mo_PX[[#This Row],[Column990]]</f>
        <v>98.95</v>
      </c>
      <c r="ALC16">
        <f>SOFR3mo_PX[[#This Row],[Column991]]</f>
        <v>99.004999999999995</v>
      </c>
      <c r="ALD16">
        <f>SOFR3mo_PX[[#This Row],[Column992]]</f>
        <v>99.004999999999995</v>
      </c>
      <c r="ALE16">
        <f>SOFR3mo_PX[[#This Row],[Column993]]</f>
        <v>99.025000000000006</v>
      </c>
      <c r="ALF16">
        <f>SOFR3mo_PX[[#This Row],[Column994]]</f>
        <v>99.015000000000001</v>
      </c>
      <c r="ALG16">
        <f>SOFR3mo_PX[[#This Row],[Column995]]</f>
        <v>99.02</v>
      </c>
      <c r="ALH16">
        <f>SOFR3mo_PX[[#This Row],[Column996]]</f>
        <v>99.025000000000006</v>
      </c>
      <c r="ALI16">
        <f>SOFR3mo_PX[[#This Row],[Column997]]</f>
        <v>98.974999999999994</v>
      </c>
      <c r="ALJ16">
        <f>SOFR3mo_PX[[#This Row],[Column998]]</f>
        <v>98.924999999999997</v>
      </c>
      <c r="ALK16">
        <f>SOFR3mo_PX[[#This Row],[Column999]]</f>
        <v>98.935000000000002</v>
      </c>
      <c r="ALL16">
        <f>SOFR3mo_PX[[#This Row],[Column1000]]</f>
        <v>98.995000000000005</v>
      </c>
      <c r="ALM16">
        <f>SOFR3mo_PX[[#This Row],[Column1001]]</f>
        <v>99.025000000000006</v>
      </c>
      <c r="ALN16">
        <f>SOFR3mo_PX[[#This Row],[Column1002]]</f>
        <v>99.01</v>
      </c>
      <c r="ALO16">
        <f>SOFR3mo_PX[[#This Row],[Column1003]]</f>
        <v>99.03</v>
      </c>
      <c r="ALP16">
        <f>SOFR3mo_PX[[#This Row],[Column1004]]</f>
        <v>99.015000000000001</v>
      </c>
      <c r="ALQ16">
        <f>SOFR3mo_PX[[#This Row],[Column1005]]</f>
        <v>99.034999999999997</v>
      </c>
      <c r="ALR16">
        <f>SOFR3mo_PX[[#This Row],[Column1006]]</f>
        <v>99.045000000000002</v>
      </c>
      <c r="ALS16">
        <f>SOFR3mo_PX[[#This Row],[Column1007]]</f>
        <v>98.974999999999994</v>
      </c>
      <c r="ALT16">
        <f>SOFR3mo_PX[[#This Row],[Column1008]]</f>
        <v>98.905000000000001</v>
      </c>
      <c r="ALU16">
        <f>SOFR3mo_PX[[#This Row],[Column1009]]</f>
        <v>98.924999999999997</v>
      </c>
      <c r="ALV16">
        <f>SOFR3mo_PX[[#This Row],[Column1010]]</f>
        <v>98.91</v>
      </c>
      <c r="ALW16">
        <f>SOFR3mo_PX[[#This Row],[Column1011]]</f>
        <v>98.95</v>
      </c>
      <c r="ALX16">
        <f>SOFR3mo_PX[[#This Row],[Column1012]]</f>
        <v>99.004999999999995</v>
      </c>
      <c r="ALY16">
        <f>SOFR3mo_PX[[#This Row],[Column1013]]</f>
        <v>99.07</v>
      </c>
      <c r="ALZ16">
        <f>SOFR3mo_PX[[#This Row],[Column1014]]</f>
        <v>99.13</v>
      </c>
      <c r="AMA16">
        <f>SOFR3mo_PX[[#This Row],[Column1015]]</f>
        <v>99.18</v>
      </c>
      <c r="AMB16">
        <f>SOFR3mo_PX[[#This Row],[Column1016]]</f>
        <v>99.165000000000006</v>
      </c>
      <c r="AMC16">
        <f>SOFR3mo_PX[[#This Row],[Column1017]]</f>
        <v>99.084999999999994</v>
      </c>
      <c r="AMD16">
        <f>SOFR3mo_PX[[#This Row],[Column1018]]</f>
        <v>99.045000000000002</v>
      </c>
      <c r="AME16">
        <f>SOFR3mo_PX[[#This Row],[Column1019]]</f>
        <v>99.034999999999997</v>
      </c>
      <c r="AMF16">
        <f>SOFR3mo_PX[[#This Row],[Column1020]]</f>
        <v>99.094999999999999</v>
      </c>
      <c r="AMG16">
        <f>SOFR3mo_PX[[#This Row],[Column1021]]</f>
        <v>99.064999999999998</v>
      </c>
      <c r="AMH16">
        <f>SOFR3mo_PX[[#This Row],[Column1022]]</f>
        <v>99.064999999999998</v>
      </c>
      <c r="AMI16">
        <f>SOFR3mo_PX[[#This Row],[Column1023]]</f>
        <v>99.075000000000003</v>
      </c>
      <c r="AMJ16">
        <f>SOFR3mo_PX[[#This Row],[Column1024]]</f>
        <v>99.064999999999998</v>
      </c>
      <c r="AMK16">
        <f>SOFR3mo_PX[[#This Row],[Column1025]]</f>
        <v>99.155000000000001</v>
      </c>
      <c r="AML16">
        <f>SOFR3mo_PX[[#This Row],[Column1026]]</f>
        <v>99.14</v>
      </c>
      <c r="AMM16">
        <f>SOFR3mo_PX[[#This Row],[Column1027]]</f>
        <v>98.965000000000003</v>
      </c>
      <c r="AMN16">
        <f>SOFR3mo_PX[[#This Row],[Column1028]]</f>
        <v>98.965000000000003</v>
      </c>
      <c r="AMO16">
        <f>SOFR3mo_PX[[#This Row],[Column1029]]</f>
        <v>98.92</v>
      </c>
      <c r="AMP16">
        <f>SOFR3mo_PX[[#This Row],[Column1030]]</f>
        <v>98.875</v>
      </c>
      <c r="AMQ16">
        <f>SOFR3mo_PX[[#This Row],[Column1031]]</f>
        <v>98.944999999999993</v>
      </c>
      <c r="AMR16">
        <f>SOFR3mo_PX[[#This Row],[Column1032]]</f>
        <v>98.944999999999993</v>
      </c>
      <c r="AMS16">
        <f>SOFR3mo_PX[[#This Row],[Column1033]]</f>
        <v>99.02</v>
      </c>
      <c r="AMT16">
        <f>SOFR3mo_PX[[#This Row],[Column1034]]</f>
        <v>98.94</v>
      </c>
      <c r="AMU16">
        <f>SOFR3mo_PX[[#This Row],[Column1035]]</f>
        <v>98.905000000000001</v>
      </c>
      <c r="AMV16">
        <f>SOFR3mo_PX[[#This Row],[Column1036]]</f>
        <v>98.814999999999998</v>
      </c>
      <c r="AMW16">
        <f>SOFR3mo_PX[[#This Row],[Column1037]]</f>
        <v>98.814999999999998</v>
      </c>
      <c r="AMX16">
        <f>SOFR3mo_PX[[#This Row],[Column1038]]</f>
        <v>98.75</v>
      </c>
      <c r="AMY16">
        <f>SOFR3mo_PX[[#This Row],[Column1039]]</f>
        <v>98.8</v>
      </c>
      <c r="AMZ16">
        <f>SOFR3mo_PX[[#This Row],[Column1040]]</f>
        <v>98.78</v>
      </c>
      <c r="ANA16">
        <f>SOFR3mo_PX[[#This Row],[Column1041]]</f>
        <v>98.78</v>
      </c>
      <c r="ANB16">
        <f>SOFR3mo_PX[[#This Row],[Column1042]]</f>
        <v>98.754999999999995</v>
      </c>
      <c r="ANC16">
        <f>SOFR3mo_PX[[#This Row],[Column1043]]</f>
        <v>98.795000000000002</v>
      </c>
      <c r="AND16">
        <f>SOFR3mo_PX[[#This Row],[Column1044]]</f>
        <v>98.805000000000007</v>
      </c>
      <c r="ANE16">
        <f>SOFR3mo_PX[[#This Row],[Column1045]]</f>
        <v>98.844999999999999</v>
      </c>
      <c r="ANF16">
        <f>SOFR3mo_PX[[#This Row],[Column1046]]</f>
        <v>98.825000000000003</v>
      </c>
      <c r="ANG16">
        <f>SOFR3mo_PX[[#This Row],[Column1047]]</f>
        <v>98.82</v>
      </c>
      <c r="ANH16">
        <f>SOFR3mo_PX[[#This Row],[Column1048]]</f>
        <v>98.79</v>
      </c>
      <c r="ANI16">
        <f>SOFR3mo_PX[[#This Row],[Column1049]]</f>
        <v>98.77</v>
      </c>
      <c r="ANJ16">
        <f>SOFR3mo_PX[[#This Row],[Column1050]]</f>
        <v>99.055000000000007</v>
      </c>
      <c r="ANK16">
        <f>SOFR3mo_PX[[#This Row],[Column1051]]</f>
        <v>99.06</v>
      </c>
      <c r="ANL16">
        <f>SOFR3mo_PX[[#This Row],[Column1052]]</f>
        <v>99.1</v>
      </c>
      <c r="ANM16">
        <f>SOFR3mo_PX[[#This Row],[Column1053]]</f>
        <v>99.125</v>
      </c>
      <c r="ANN16">
        <f>SOFR3mo_PX[[#This Row],[Column1054]]</f>
        <v>99.1</v>
      </c>
      <c r="ANO16">
        <f>SOFR3mo_PX[[#This Row],[Column1055]]</f>
        <v>99.055000000000007</v>
      </c>
      <c r="ANP16">
        <f>SOFR3mo_PX[[#This Row],[Column1056]]</f>
        <v>99.02</v>
      </c>
      <c r="ANQ16">
        <f>SOFR3mo_PX[[#This Row],[Column1057]]</f>
        <v>99.025000000000006</v>
      </c>
      <c r="ANR16">
        <f>SOFR3mo_PX[[#This Row],[Column1058]]</f>
        <v>98.95</v>
      </c>
      <c r="ANS16">
        <f>SOFR3mo_PX[[#This Row],[Column1059]]</f>
        <v>99</v>
      </c>
      <c r="ANT16">
        <f>SOFR3mo_PX[[#This Row],[Column1060]]</f>
        <v>98.965000000000003</v>
      </c>
      <c r="ANU16">
        <f>SOFR3mo_PX[[#This Row],[Column1061]]</f>
        <v>98.99</v>
      </c>
      <c r="ANV16">
        <f>SOFR3mo_PX[[#This Row],[Column1062]]</f>
        <v>98.99</v>
      </c>
      <c r="ANW16">
        <f>SOFR3mo_PX[[#This Row],[Column1063]]</f>
        <v>98.99</v>
      </c>
      <c r="ANX16">
        <f>SOFR3mo_PX[[#This Row],[Column1064]]</f>
        <v>99.02</v>
      </c>
      <c r="ANY16">
        <f>SOFR3mo_PX[[#This Row],[Column1065]]</f>
        <v>99.025000000000006</v>
      </c>
      <c r="ANZ16">
        <f>SOFR3mo_PX[[#This Row],[Column1066]]</f>
        <v>98.97</v>
      </c>
      <c r="AOA16">
        <f>SOFR3mo_PX[[#This Row],[Column1067]]</f>
        <v>98.94</v>
      </c>
      <c r="AOB16">
        <f>SOFR3mo_PX[[#This Row],[Column1068]]</f>
        <v>98.954999999999998</v>
      </c>
      <c r="AOC16">
        <f>SOFR3mo_PX[[#This Row],[Column1069]]</f>
        <v>98.9</v>
      </c>
      <c r="AOD16">
        <f>SOFR3mo_PX[[#This Row],[Column1070]]</f>
        <v>98.954999999999998</v>
      </c>
      <c r="AOE16">
        <f>SOFR3mo_PX[[#This Row],[Column1071]]</f>
        <v>98.954999999999998</v>
      </c>
      <c r="AOF16">
        <f>SOFR3mo_PX[[#This Row],[Column1072]]</f>
        <v>98.96</v>
      </c>
      <c r="AOG16">
        <f>SOFR3mo_PX[[#This Row],[Column1073]]</f>
        <v>98.954999999999998</v>
      </c>
      <c r="AOH16">
        <f>SOFR3mo_PX[[#This Row],[Column1074]]</f>
        <v>98.905000000000001</v>
      </c>
      <c r="AOI16">
        <f>SOFR3mo_PX[[#This Row],[Column1075]]</f>
        <v>99</v>
      </c>
      <c r="AOJ16">
        <f>SOFR3mo_PX[[#This Row],[Column1076]]</f>
        <v>99.02</v>
      </c>
      <c r="AOK16">
        <f>SOFR3mo_PX[[#This Row],[Column1077]]</f>
        <v>99.02</v>
      </c>
      <c r="AOL16">
        <f>SOFR3mo_PX[[#This Row],[Column1078]]</f>
        <v>98.96</v>
      </c>
      <c r="AOM16">
        <f>SOFR3mo_PX[[#This Row],[Column1079]]</f>
        <v>98.95</v>
      </c>
      <c r="AON16">
        <f>SOFR3mo_PX[[#This Row],[Column1080]]</f>
        <v>98.93</v>
      </c>
      <c r="AOO16">
        <f>SOFR3mo_PX[[#This Row],[Column1081]]</f>
        <v>98.905000000000001</v>
      </c>
      <c r="AOP16">
        <f>SOFR3mo_PX[[#This Row],[Column1082]]</f>
        <v>98.87</v>
      </c>
      <c r="AOQ16">
        <f>SOFR3mo_PX[[#This Row],[Column1083]]</f>
        <v>98.864999999999995</v>
      </c>
      <c r="AOR16">
        <f>SOFR3mo_PX[[#This Row],[Column1084]]</f>
        <v>98.864999999999995</v>
      </c>
      <c r="AOS16">
        <f>SOFR3mo_PX[[#This Row],[Column1085]]</f>
        <v>98.855000000000004</v>
      </c>
      <c r="AOT16">
        <f>SOFR3mo_PX[[#This Row],[Column1086]]</f>
        <v>98.905000000000001</v>
      </c>
      <c r="AOU16">
        <f>SOFR3mo_PX[[#This Row],[Column1087]]</f>
        <v>98.915000000000006</v>
      </c>
      <c r="AOV16">
        <f>SOFR3mo_PX[[#This Row],[Column1088]]</f>
        <v>98.944999999999993</v>
      </c>
      <c r="AOW16">
        <f>SOFR3mo_PX[[#This Row],[Column1089]]</f>
        <v>98.944999999999993</v>
      </c>
      <c r="AOX16">
        <f>SOFR3mo_PX[[#This Row],[Column1090]]</f>
        <v>98.954999999999998</v>
      </c>
      <c r="AOY16">
        <f>SOFR3mo_PX[[#This Row],[Column1091]]</f>
        <v>98.93</v>
      </c>
      <c r="AOZ16">
        <f>SOFR3mo_PX[[#This Row],[Column1092]]</f>
        <v>98.935000000000002</v>
      </c>
      <c r="APA16">
        <f>SOFR3mo_PX[[#This Row],[Column1093]]</f>
        <v>98.97</v>
      </c>
      <c r="APB16">
        <f>SOFR3mo_PX[[#This Row],[Column1094]]</f>
        <v>98.86</v>
      </c>
      <c r="APC16">
        <f>SOFR3mo_PX[[#This Row],[Column1095]]</f>
        <v>98.87</v>
      </c>
      <c r="APD16">
        <f>SOFR3mo_PX[[#This Row],[Column1096]]</f>
        <v>98.784999999999997</v>
      </c>
      <c r="APE16">
        <f>SOFR3mo_PX[[#This Row],[Column1097]]</f>
        <v>98.814999999999998</v>
      </c>
      <c r="APF16">
        <f>SOFR3mo_PX[[#This Row],[Column1098]]</f>
        <v>98.844999999999999</v>
      </c>
      <c r="APG16">
        <f>SOFR3mo_PX[[#This Row],[Column1099]]</f>
        <v>98.81</v>
      </c>
      <c r="APH16">
        <f>SOFR3mo_PX[[#This Row],[Column1100]]</f>
        <v>98.775000000000006</v>
      </c>
      <c r="API16">
        <f>SOFR3mo_PX[[#This Row],[Column1101]]</f>
        <v>98.674999999999997</v>
      </c>
      <c r="APJ16">
        <f>SOFR3mo_PX[[#This Row],[Column1102]]</f>
        <v>98.64</v>
      </c>
      <c r="APK16">
        <f>SOFR3mo_PX[[#This Row],[Column1103]]</f>
        <v>98.745000000000005</v>
      </c>
      <c r="APL16">
        <f>SOFR3mo_PX[[#This Row],[Column1104]]</f>
        <v>98.71</v>
      </c>
      <c r="APM16">
        <f>SOFR3mo_PX[[#This Row],[Column1105]]</f>
        <v>98.75</v>
      </c>
      <c r="APN16">
        <f>SOFR3mo_PX[[#This Row],[Column1106]]</f>
        <v>98.79</v>
      </c>
      <c r="APO16">
        <f>SOFR3mo_PX[[#This Row],[Column1107]]</f>
        <v>98.86</v>
      </c>
      <c r="APP16">
        <f>SOFR3mo_PX[[#This Row],[Column1108]]</f>
        <v>98.905000000000001</v>
      </c>
      <c r="APQ16">
        <f>SOFR3mo_PX[[#This Row],[Column1109]]</f>
        <v>98.89</v>
      </c>
      <c r="APR16">
        <f>SOFR3mo_PX[[#This Row],[Column1110]]</f>
        <v>98.87</v>
      </c>
      <c r="APS16">
        <f>SOFR3mo_PX[[#This Row],[Column1111]]</f>
        <v>98.825000000000003</v>
      </c>
      <c r="APT16">
        <f>SOFR3mo_PX[[#This Row],[Column1112]]</f>
        <v>98.795000000000002</v>
      </c>
      <c r="APU16">
        <f>SOFR3mo_PX[[#This Row],[Column1113]]</f>
        <v>98.844999999999999</v>
      </c>
      <c r="APV16">
        <f>SOFR3mo_PX[[#This Row],[Column1114]]</f>
        <v>98.92</v>
      </c>
      <c r="APW16">
        <f>SOFR3mo_PX[[#This Row],[Column1115]]</f>
        <v>99.034999999999997</v>
      </c>
      <c r="APX16">
        <f>SOFR3mo_PX[[#This Row],[Column1116]]</f>
        <v>99.025000000000006</v>
      </c>
      <c r="APY16">
        <f>SOFR3mo_PX[[#This Row],[Column1117]]</f>
        <v>99.01</v>
      </c>
      <c r="APZ16">
        <f>SOFR3mo_PX[[#This Row],[Column1118]]</f>
        <v>99.07</v>
      </c>
      <c r="AQA16">
        <f>SOFR3mo_PX[[#This Row],[Column1119]]</f>
        <v>99.07</v>
      </c>
      <c r="AQB16">
        <f>SOFR3mo_PX[[#This Row],[Column1120]]</f>
        <v>99.03</v>
      </c>
      <c r="AQC16">
        <f>SOFR3mo_PX[[#This Row],[Column1121]]</f>
        <v>98.98</v>
      </c>
      <c r="AQD16">
        <f>SOFR3mo_PX[[#This Row],[Column1122]]</f>
        <v>99.045000000000002</v>
      </c>
      <c r="AQE16">
        <f>SOFR3mo_PX[[#This Row],[Column1123]]</f>
        <v>99.034999999999997</v>
      </c>
      <c r="AQF16">
        <f>SOFR3mo_PX[[#This Row],[Column1124]]</f>
        <v>99.1</v>
      </c>
      <c r="AQG16">
        <f>SOFR3mo_PX[[#This Row],[Column1125]]</f>
        <v>99.155000000000001</v>
      </c>
      <c r="AQH16">
        <f>SOFR3mo_PX[[#This Row],[Column1126]]</f>
        <v>99.114999999999995</v>
      </c>
      <c r="AQI16">
        <f>SOFR3mo_PX[[#This Row],[Column1127]]</f>
        <v>99.034999999999997</v>
      </c>
      <c r="AQJ16">
        <f>SOFR3mo_PX[[#This Row],[Column1128]]</f>
        <v>99.04</v>
      </c>
      <c r="AQK16">
        <f>SOFR3mo_PX[[#This Row],[Column1129]]</f>
        <v>99.27</v>
      </c>
      <c r="AQL16">
        <f>SOFR3mo_PX[[#This Row],[Column1130]]</f>
        <v>99.295000000000002</v>
      </c>
      <c r="AQM16">
        <f>SOFR3mo_PX[[#This Row],[Column1131]]</f>
        <v>99.284999999999997</v>
      </c>
      <c r="AQN16">
        <f>SOFR3mo_PX[[#This Row],[Column1132]]</f>
        <v>99.32</v>
      </c>
      <c r="AQO16">
        <f>SOFR3mo_PX[[#This Row],[Column1133]]</f>
        <v>99.364999999999995</v>
      </c>
      <c r="AQP16">
        <f>SOFR3mo_PX[[#This Row],[Column1134]]</f>
        <v>99.33</v>
      </c>
      <c r="AQQ16">
        <f>SOFR3mo_PX[[#This Row],[Column1135]]</f>
        <v>99.34</v>
      </c>
      <c r="AQR16">
        <f>SOFR3mo_PX[[#This Row],[Column1136]]</f>
        <v>99.454999999999998</v>
      </c>
      <c r="AQS16">
        <f>SOFR3mo_PX[[#This Row],[Column1137]]</f>
        <v>99.454999999999998</v>
      </c>
      <c r="AQT16">
        <f>SOFR3mo_PX[[#This Row],[Column1138]]</f>
        <v>99.49</v>
      </c>
      <c r="AQU16">
        <f>SOFR3mo_PX[[#This Row],[Column1139]]</f>
        <v>99.5</v>
      </c>
      <c r="AQV16">
        <f>SOFR3mo_PX[[#This Row],[Column1140]]</f>
        <v>99.484999999999999</v>
      </c>
      <c r="AQW16">
        <f>SOFR3mo_PX[[#This Row],[Column1141]]</f>
        <v>99.474999999999994</v>
      </c>
      <c r="AQX16">
        <f>SOFR3mo_PX[[#This Row],[Column1142]]</f>
        <v>99.495000000000005</v>
      </c>
      <c r="AQY16">
        <f>SOFR3mo_PX[[#This Row],[Column1143]]</f>
        <v>99.5</v>
      </c>
      <c r="AQZ16">
        <f>SOFR3mo_PX[[#This Row],[Column1144]]</f>
        <v>99.52</v>
      </c>
      <c r="ARA16">
        <f>SOFR3mo_PX[[#This Row],[Column1145]]</f>
        <v>99.534999999999997</v>
      </c>
      <c r="ARB16">
        <f>SOFR3mo_PX[[#This Row],[Column1146]]</f>
        <v>99.555000000000007</v>
      </c>
      <c r="ARC16">
        <f>SOFR3mo_PX[[#This Row],[Column1147]]</f>
        <v>99.555000000000007</v>
      </c>
      <c r="ARD16">
        <f>SOFR3mo_PX[[#This Row],[Column1148]]</f>
        <v>99.56</v>
      </c>
      <c r="ARE16">
        <f>SOFR3mo_PX[[#This Row],[Column1149]]</f>
        <v>99.59</v>
      </c>
      <c r="ARF16">
        <f>SOFR3mo_PX[[#This Row],[Column1150]]</f>
        <v>99.575000000000003</v>
      </c>
      <c r="ARG16">
        <f>SOFR3mo_PX[[#This Row],[Column1151]]</f>
        <v>99.58</v>
      </c>
      <c r="ARH16">
        <f>SOFR3mo_PX[[#This Row],[Column1152]]</f>
        <v>99.564999999999998</v>
      </c>
      <c r="ARI16">
        <f>SOFR3mo_PX[[#This Row],[Column1153]]</f>
        <v>99.56</v>
      </c>
      <c r="ARJ16">
        <f>SOFR3mo_PX[[#This Row],[Column1154]]</f>
        <v>99.575000000000003</v>
      </c>
      <c r="ARK16">
        <f>SOFR3mo_PX[[#This Row],[Column1155]]</f>
        <v>99.575000000000003</v>
      </c>
      <c r="ARL16">
        <f>SOFR3mo_PX[[#This Row],[Column1156]]</f>
        <v>99.564999999999998</v>
      </c>
      <c r="ARM16">
        <f>SOFR3mo_PX[[#This Row],[Column1157]]</f>
        <v>99.564999999999998</v>
      </c>
      <c r="ARN16">
        <f>SOFR3mo_PX[[#This Row],[Column1158]]</f>
        <v>99.564999999999998</v>
      </c>
      <c r="ARO16">
        <f>SOFR3mo_PX[[#This Row],[Column1159]]</f>
        <v>99.55</v>
      </c>
      <c r="ARP16">
        <f>SOFR3mo_PX[[#This Row],[Column1160]]</f>
        <v>99.525000000000006</v>
      </c>
      <c r="ARQ16">
        <f>SOFR3mo_PX[[#This Row],[Column1161]]</f>
        <v>99.53</v>
      </c>
      <c r="ARR16">
        <f>SOFR3mo_PX[[#This Row],[Column1162]]</f>
        <v>99.534999999999997</v>
      </c>
      <c r="ARS16">
        <f>SOFR3mo_PX[[#This Row],[Column1163]]</f>
        <v>99.575000000000003</v>
      </c>
      <c r="ART16">
        <f>SOFR3mo_PX[[#This Row],[Column1164]]</f>
        <v>99.65</v>
      </c>
      <c r="ARU16">
        <f>SOFR3mo_PX[[#This Row],[Column1165]]</f>
        <v>99.694999999999993</v>
      </c>
      <c r="ARV16">
        <f>SOFR3mo_PX[[#This Row],[Column1166]]</f>
        <v>99.704999999999998</v>
      </c>
      <c r="ARW16">
        <f>SOFR3mo_PX[[#This Row],[Column1167]]</f>
        <v>99.694999999999993</v>
      </c>
      <c r="ARX16">
        <f>SOFR3mo_PX[[#This Row],[Column1168]]</f>
        <v>99.694999999999993</v>
      </c>
      <c r="ARY16">
        <f>SOFR3mo_PX[[#This Row],[Column1169]]</f>
        <v>99.685000000000002</v>
      </c>
      <c r="ARZ16">
        <f>SOFR3mo_PX[[#This Row],[Column1170]]</f>
        <v>99.67</v>
      </c>
      <c r="ASA16">
        <f>SOFR3mo_PX[[#This Row],[Column1171]]</f>
        <v>99.665000000000006</v>
      </c>
      <c r="ASB16">
        <f>SOFR3mo_PX[[#This Row],[Column1172]]</f>
        <v>99.67</v>
      </c>
      <c r="ASC16">
        <f>SOFR3mo_PX[[#This Row],[Column1173]]</f>
        <v>99.67</v>
      </c>
      <c r="ASD16">
        <f>SOFR3mo_PX[[#This Row],[Column1174]]</f>
        <v>99.67</v>
      </c>
      <c r="ASE16">
        <f>SOFR3mo_PX[[#This Row],[Column1175]]</f>
        <v>99.674999999999997</v>
      </c>
      <c r="ASF16">
        <f>SOFR3mo_PX[[#This Row],[Column1176]]</f>
        <v>99.67</v>
      </c>
      <c r="ASG16">
        <f>SOFR3mo_PX[[#This Row],[Column1177]]</f>
        <v>99.67</v>
      </c>
      <c r="ASH16">
        <f>SOFR3mo_PX[[#This Row],[Column1178]]</f>
        <v>99.68</v>
      </c>
      <c r="ASI16">
        <f>SOFR3mo_PX[[#This Row],[Column1179]]</f>
        <v>99.69</v>
      </c>
      <c r="ASJ16">
        <f>SOFR3mo_PX[[#This Row],[Column1180]]</f>
        <v>99.75</v>
      </c>
      <c r="ASK16">
        <f>SOFR3mo_PX[[#This Row],[Column1181]]</f>
        <v>99.75</v>
      </c>
      <c r="ASL16">
        <f>SOFR3mo_PX[[#This Row],[Column1182]]</f>
        <v>99.75</v>
      </c>
      <c r="ASM16">
        <f>SOFR3mo_PX[[#This Row],[Column1183]]</f>
        <v>99.724999999999994</v>
      </c>
      <c r="ASN16">
        <f>SOFR3mo_PX[[#This Row],[Column1184]]</f>
        <v>99.7</v>
      </c>
      <c r="ASO16">
        <f>SOFR3mo_PX[[#This Row],[Column1185]]</f>
        <v>99.72</v>
      </c>
      <c r="ASP16">
        <f>SOFR3mo_PX[[#This Row],[Column1186]]</f>
        <v>99.72</v>
      </c>
      <c r="ASQ16">
        <f>SOFR3mo_PX[[#This Row],[Column1187]]</f>
        <v>99.73</v>
      </c>
      <c r="ASR16">
        <f>SOFR3mo_PX[[#This Row],[Column1188]]</f>
        <v>99.745000000000005</v>
      </c>
      <c r="ASS16">
        <f>SOFR3mo_PX[[#This Row],[Column1189]]</f>
        <v>99.75</v>
      </c>
      <c r="AST16">
        <f>SOFR3mo_PX[[#This Row],[Column1190]]</f>
        <v>99.754999999999995</v>
      </c>
      <c r="ASU16">
        <f>SOFR3mo_PX[[#This Row],[Column1191]]</f>
        <v>99.78</v>
      </c>
      <c r="ASV16">
        <f>SOFR3mo_PX[[#This Row],[Column1192]]</f>
        <v>99.784999999999997</v>
      </c>
      <c r="ASW16">
        <f>SOFR3mo_PX[[#This Row],[Column1193]]</f>
        <v>99.78</v>
      </c>
      <c r="ASX16">
        <f>SOFR3mo_PX[[#This Row],[Column1194]]</f>
        <v>99.78</v>
      </c>
      <c r="ASY16">
        <f>SOFR3mo_PX[[#This Row],[Column1195]]</f>
        <v>99.775000000000006</v>
      </c>
      <c r="ASZ16">
        <f>SOFR3mo_PX[[#This Row],[Column1196]]</f>
        <v>99.77</v>
      </c>
      <c r="ATA16">
        <f>SOFR3mo_PX[[#This Row],[Column1197]]</f>
        <v>99.784999999999997</v>
      </c>
      <c r="ATB16">
        <f>SOFR3mo_PX[[#This Row],[Column1198]]</f>
        <v>99.78</v>
      </c>
      <c r="ATC16">
        <f>SOFR3mo_PX[[#This Row],[Column1199]]</f>
        <v>99.78</v>
      </c>
      <c r="ATD16">
        <f>SOFR3mo_PX[[#This Row],[Column1200]]</f>
        <v>99.784999999999997</v>
      </c>
      <c r="ATE16">
        <f>SOFR3mo_PX[[#This Row],[Column1201]]</f>
        <v>99.775000000000006</v>
      </c>
      <c r="ATF16">
        <f>SOFR3mo_PX[[#This Row],[Column1202]]</f>
        <v>99.775000000000006</v>
      </c>
      <c r="ATG16">
        <f>SOFR3mo_PX[[#This Row],[Column1203]]</f>
        <v>99.77</v>
      </c>
      <c r="ATH16">
        <f>SOFR3mo_PX[[#This Row],[Column1204]]</f>
        <v>99.75</v>
      </c>
      <c r="ATI16">
        <f>SOFR3mo_PX[[#This Row],[Column1205]]</f>
        <v>99.75</v>
      </c>
      <c r="ATJ16">
        <f>SOFR3mo_PX[[#This Row],[Column1206]]</f>
        <v>99.784999999999997</v>
      </c>
      <c r="ATK16">
        <f>SOFR3mo_PX[[#This Row],[Column1207]]</f>
        <v>99.83</v>
      </c>
      <c r="ATL16">
        <f>SOFR3mo_PX[[#This Row],[Column1208]]</f>
        <v>99.834999999999994</v>
      </c>
      <c r="ATM16">
        <f>SOFR3mo_PX[[#This Row],[Column1209]]</f>
        <v>99.855000000000004</v>
      </c>
      <c r="ATN16">
        <f>SOFR3mo_PX[[#This Row],[Column1210]]</f>
        <v>99.825000000000003</v>
      </c>
      <c r="ATO16">
        <f>SOFR3mo_PX[[#This Row],[Column1211]]</f>
        <v>99.834999999999994</v>
      </c>
      <c r="ATP16">
        <f>SOFR3mo_PX[[#This Row],[Column1212]]</f>
        <v>99.83</v>
      </c>
      <c r="ATQ16">
        <f>SOFR3mo_PX[[#This Row],[Column1213]]</f>
        <v>99.834999999999994</v>
      </c>
      <c r="ATR16">
        <f>SOFR3mo_PX[[#This Row],[Column1214]]</f>
        <v>99.844999999999999</v>
      </c>
      <c r="ATS16">
        <f>SOFR3mo_PX[[#This Row],[Column1215]]</f>
        <v>99.844999999999999</v>
      </c>
      <c r="ATT16">
        <f>SOFR3mo_PX[[#This Row],[Column1216]]</f>
        <v>99.84</v>
      </c>
      <c r="ATU16">
        <f>SOFR3mo_PX[[#This Row],[Column1217]]</f>
        <v>99.83</v>
      </c>
      <c r="ATV16">
        <f>SOFR3mo_PX[[#This Row],[Column1218]]</f>
        <v>99.82</v>
      </c>
      <c r="ATW16">
        <f>SOFR3mo_PX[[#This Row],[Column1219]]</f>
        <v>99.844999999999999</v>
      </c>
      <c r="ATX16">
        <f>SOFR3mo_PX[[#This Row],[Column1220]]</f>
        <v>99.844999999999999</v>
      </c>
      <c r="ATY16">
        <f>SOFR3mo_PX[[#This Row],[Column1221]]</f>
        <v>99.855000000000004</v>
      </c>
      <c r="ATZ16">
        <f>SOFR3mo_PX[[#This Row],[Column1222]]</f>
        <v>99.864999999999995</v>
      </c>
      <c r="AUA16">
        <f>SOFR3mo_PX[[#This Row],[Column1223]]</f>
        <v>99.86</v>
      </c>
      <c r="AUB16">
        <f>SOFR3mo_PX[[#This Row],[Column1224]]</f>
        <v>99.864999999999995</v>
      </c>
      <c r="AUC16">
        <f>SOFR3mo_PX[[#This Row],[Column1225]]</f>
        <v>99.86</v>
      </c>
      <c r="AUD16">
        <f>SOFR3mo_PX[[#This Row],[Column1226]]</f>
        <v>99.844999999999999</v>
      </c>
      <c r="AUE16">
        <f>SOFR3mo_PX[[#This Row],[Column1227]]</f>
        <v>99.84</v>
      </c>
      <c r="AUF16">
        <f>SOFR3mo_PX[[#This Row],[Column1228]]</f>
        <v>99.855000000000004</v>
      </c>
      <c r="AUG16">
        <f>SOFR3mo_PX[[#This Row],[Column1229]]</f>
        <v>99.85</v>
      </c>
      <c r="AUH16">
        <f>SOFR3mo_PX[[#This Row],[Column1230]]</f>
        <v>99.875</v>
      </c>
      <c r="AUI16">
        <f>SOFR3mo_PX[[#This Row],[Column1231]]</f>
        <v>99.875</v>
      </c>
      <c r="AUJ16">
        <f>SOFR3mo_PX[[#This Row],[Column1232]]</f>
        <v>99.924999999999997</v>
      </c>
      <c r="AUK16">
        <f>SOFR3mo_PX[[#This Row],[Column1233]]</f>
        <v>99.924999999999997</v>
      </c>
      <c r="AUL16">
        <f>SOFR3mo_PX[[#This Row],[Column1234]]</f>
        <v>99.924999999999997</v>
      </c>
      <c r="AUM16">
        <f>SOFR3mo_PX[[#This Row],[Column1235]]</f>
        <v>99.93</v>
      </c>
      <c r="AUN16">
        <f>SOFR3mo_PX[[#This Row],[Column1236]]</f>
        <v>99.93</v>
      </c>
      <c r="AUO16">
        <f>SOFR3mo_PX[[#This Row],[Column1237]]</f>
        <v>99.94</v>
      </c>
      <c r="AUP16">
        <f>SOFR3mo_PX[[#This Row],[Column1238]]</f>
        <v>99.94</v>
      </c>
      <c r="AUQ16">
        <f>SOFR3mo_PX[[#This Row],[Column1239]]</f>
        <v>99.944999999999993</v>
      </c>
      <c r="AUR16">
        <f>SOFR3mo_PX[[#This Row],[Column1240]]</f>
        <v>99.944999999999993</v>
      </c>
      <c r="AUS16">
        <f>SOFR3mo_PX[[#This Row],[Column1241]]</f>
        <v>99.935000000000002</v>
      </c>
      <c r="AUT16">
        <f>SOFR3mo_PX[[#This Row],[Column1242]]</f>
        <v>99.915000000000006</v>
      </c>
      <c r="AUU16">
        <f>SOFR3mo_PX[[#This Row],[Column1243]]</f>
        <v>99.93</v>
      </c>
      <c r="AUV16">
        <f>SOFR3mo_PX[[#This Row],[Column1244]]</f>
        <v>99.924999999999997</v>
      </c>
      <c r="AUW16">
        <f>SOFR3mo_PX[[#This Row],[Column1245]]</f>
        <v>99.95</v>
      </c>
      <c r="AUX16">
        <f>SOFR3mo_PX[[#This Row],[Column1246]]</f>
        <v>99.954999999999998</v>
      </c>
      <c r="AUY16">
        <f>SOFR3mo_PX[[#This Row],[Column1247]]</f>
        <v>99.944999999999993</v>
      </c>
      <c r="AUZ16">
        <f>SOFR3mo_PX[[#This Row],[Column1248]]</f>
        <v>99.92</v>
      </c>
      <c r="AVA16">
        <f>SOFR3mo_PX[[#This Row],[Column1249]]</f>
        <v>99.915000000000006</v>
      </c>
      <c r="AVB16">
        <f>SOFR3mo_PX[[#This Row],[Column1250]]</f>
        <v>99.92</v>
      </c>
      <c r="AVC16">
        <f>SOFR3mo_PX[[#This Row],[Column1251]]</f>
        <v>99.91</v>
      </c>
      <c r="AVD16">
        <f>SOFR3mo_PX[[#This Row],[Column1252]]</f>
        <v>99.91</v>
      </c>
      <c r="AVE16">
        <f>SOFR3mo_PX[[#This Row],[Column1253]]</f>
        <v>99.94</v>
      </c>
      <c r="AVF16">
        <f>SOFR3mo_PX[[#This Row],[Column1254]]</f>
        <v>99.93</v>
      </c>
      <c r="AVG16">
        <f>SOFR3mo_PX[[#This Row],[Column1255]]</f>
        <v>99.94</v>
      </c>
      <c r="AVH16">
        <f>SOFR3mo_PX[[#This Row],[Column1256]]</f>
        <v>99.935000000000002</v>
      </c>
      <c r="AVI16">
        <f>SOFR3mo_PX[[#This Row],[Column1257]]</f>
        <v>99.93</v>
      </c>
      <c r="AVJ16">
        <f>SOFR3mo_PX[[#This Row],[Column1258]]</f>
        <v>99.91</v>
      </c>
      <c r="AVK16">
        <f>SOFR3mo_PX[[#This Row],[Column1259]]</f>
        <v>99.92</v>
      </c>
      <c r="AVL16">
        <f>SOFR3mo_PX[[#This Row],[Column1260]]</f>
        <v>99.924999999999997</v>
      </c>
      <c r="AVM16">
        <f>SOFR3mo_PX[[#This Row],[Column1261]]</f>
        <v>99.935000000000002</v>
      </c>
      <c r="AVN16">
        <f>SOFR3mo_PX[[#This Row],[Column1262]]</f>
        <v>99.93</v>
      </c>
      <c r="AVO16">
        <f>SOFR3mo_PX[[#This Row],[Column1263]]</f>
        <v>99.94</v>
      </c>
      <c r="AVP16">
        <f>SOFR3mo_PX[[#This Row],[Column1264]]</f>
        <v>99.94</v>
      </c>
      <c r="AVQ16">
        <f>SOFR3mo_PX[[#This Row],[Column1265]]</f>
        <v>99.93</v>
      </c>
      <c r="AVR16">
        <f>SOFR3mo_PX[[#This Row],[Column1266]]</f>
        <v>99.915000000000006</v>
      </c>
      <c r="AVS16">
        <f>SOFR3mo_PX[[#This Row],[Column1267]]</f>
        <v>99.905000000000001</v>
      </c>
      <c r="AVT16">
        <f>SOFR3mo_PX[[#This Row],[Column1268]]</f>
        <v>99.905000000000001</v>
      </c>
      <c r="AVU16">
        <f>SOFR3mo_PX[[#This Row],[Column1269]]</f>
        <v>99.91</v>
      </c>
      <c r="AVV16">
        <f>SOFR3mo_PX[[#This Row],[Column1270]]</f>
        <v>99.91</v>
      </c>
      <c r="AVW16">
        <f>SOFR3mo_PX[[#This Row],[Column1271]]</f>
        <v>99.944999999999993</v>
      </c>
      <c r="AVX16">
        <f>SOFR3mo_PX[[#This Row],[Column1272]]</f>
        <v>99.954999999999998</v>
      </c>
      <c r="AVY16">
        <f>SOFR3mo_PX[[#This Row],[Column1273]]</f>
        <v>99.974999999999994</v>
      </c>
      <c r="AVZ16">
        <f>SOFR3mo_PX[[#This Row],[Column1274]]</f>
        <v>99.98</v>
      </c>
      <c r="AWA16">
        <f>SOFR3mo_PX[[#This Row],[Column1275]]</f>
        <v>99.99</v>
      </c>
      <c r="AWB16">
        <f>SOFR3mo_PX[[#This Row],[Column1276]]</f>
        <v>99.98</v>
      </c>
      <c r="AWC16">
        <f>SOFR3mo_PX[[#This Row],[Column1277]]</f>
        <v>99.974999999999994</v>
      </c>
      <c r="AWD16">
        <f>SOFR3mo_PX[[#This Row],[Column1278]]</f>
        <v>99.97</v>
      </c>
      <c r="AWE16">
        <f>SOFR3mo_PX[[#This Row],[Column1279]]</f>
        <v>99.95</v>
      </c>
      <c r="AWF16">
        <f>SOFR3mo_PX[[#This Row],[Column1280]]</f>
        <v>99.94</v>
      </c>
      <c r="AWG16">
        <f>SOFR3mo_PX[[#This Row],[Column1281]]</f>
        <v>99.935000000000002</v>
      </c>
      <c r="AWH16">
        <f>SOFR3mo_PX[[#This Row],[Column1282]]</f>
        <v>99.944999999999993</v>
      </c>
      <c r="AWI16">
        <f>SOFR3mo_PX[[#This Row],[Column1283]]</f>
        <v>99.95</v>
      </c>
      <c r="AWJ16">
        <f>SOFR3mo_PX[[#This Row],[Column1284]]</f>
        <v>99.95</v>
      </c>
      <c r="AWK16">
        <f>SOFR3mo_PX[[#This Row],[Column1285]]</f>
        <v>99.944999999999993</v>
      </c>
      <c r="AWL16">
        <f>SOFR3mo_PX[[#This Row],[Column1286]]</f>
        <v>99.944999999999993</v>
      </c>
      <c r="AWM16">
        <f>SOFR3mo_PX[[#This Row],[Column1287]]</f>
        <v>99.94</v>
      </c>
      <c r="AWN16">
        <f>SOFR3mo_PX[[#This Row],[Column1288]]</f>
        <v>99.94</v>
      </c>
      <c r="AWO16">
        <f>SOFR3mo_PX[[#This Row],[Column1289]]</f>
        <v>99.935000000000002</v>
      </c>
      <c r="AWP16">
        <f>SOFR3mo_PX[[#This Row],[Column1290]]</f>
        <v>99.944999999999993</v>
      </c>
      <c r="AWQ16">
        <f>SOFR3mo_PX[[#This Row],[Column1291]]</f>
        <v>99.944999999999993</v>
      </c>
      <c r="AWR16">
        <f>SOFR3mo_PX[[#This Row],[Column1292]]</f>
        <v>99.96</v>
      </c>
      <c r="AWS16">
        <f>SOFR3mo_PX[[#This Row],[Column1293]]</f>
        <v>99.974999999999994</v>
      </c>
      <c r="AWT16">
        <f>SOFR3mo_PX[[#This Row],[Column1294]]</f>
        <v>99.96</v>
      </c>
      <c r="AWU16">
        <f>SOFR3mo_PX[[#This Row],[Column1295]]</f>
        <v>99.954999999999998</v>
      </c>
      <c r="AWV16">
        <f>SOFR3mo_PX[[#This Row],[Column1296]]</f>
        <v>99.95</v>
      </c>
      <c r="AWW16">
        <f>SOFR3mo_PX[[#This Row],[Column1297]]</f>
        <v>99.95</v>
      </c>
      <c r="AWX16">
        <f>SOFR3mo_PX[[#This Row],[Column1298]]</f>
        <v>99.95</v>
      </c>
      <c r="AWY16">
        <f>SOFR3mo_PX[[#This Row],[Column1299]]</f>
        <v>99.94</v>
      </c>
      <c r="AWZ16">
        <f>SOFR3mo_PX[[#This Row],[Column1300]]</f>
        <v>99.96</v>
      </c>
      <c r="AXA16">
        <f>SOFR3mo_PX[[#This Row],[Column1301]]</f>
        <v>99.96</v>
      </c>
      <c r="AXB16">
        <f>SOFR3mo_PX[[#This Row],[Column1302]]</f>
        <v>99.95</v>
      </c>
      <c r="AXC16">
        <f>SOFR3mo_PX[[#This Row],[Column1303]]</f>
        <v>99.93</v>
      </c>
      <c r="AXD16">
        <f>SOFR3mo_PX[[#This Row],[Column1304]]</f>
        <v>99.93</v>
      </c>
      <c r="AXE16">
        <f>SOFR3mo_PX[[#This Row],[Column1305]]</f>
        <v>99.93</v>
      </c>
      <c r="AXF16">
        <f>SOFR3mo_PX[[#This Row],[Column1306]]</f>
        <v>99.924999999999997</v>
      </c>
      <c r="AXG16">
        <f>SOFR3mo_PX[[#This Row],[Column1307]]</f>
        <v>99.915000000000006</v>
      </c>
      <c r="AXH16">
        <f>SOFR3mo_PX[[#This Row],[Column1308]]</f>
        <v>99.894999999999996</v>
      </c>
      <c r="AXI16">
        <f>SOFR3mo_PX[[#This Row],[Column1309]]</f>
        <v>99.89</v>
      </c>
      <c r="AXJ16">
        <f>SOFR3mo_PX[[#This Row],[Column1310]]</f>
        <v>99.875</v>
      </c>
      <c r="AXK16">
        <f>SOFR3mo_PX[[#This Row],[Column1311]]</f>
        <v>99.89</v>
      </c>
      <c r="AXL16">
        <f>SOFR3mo_PX[[#This Row],[Column1312]]</f>
        <v>99.88</v>
      </c>
      <c r="AXM16">
        <f>SOFR3mo_PX[[#This Row],[Column1313]]</f>
        <v>99.89</v>
      </c>
      <c r="AXN16">
        <f>SOFR3mo_PX[[#This Row],[Column1314]]</f>
        <v>99.864999999999995</v>
      </c>
      <c r="AXO16">
        <f>SOFR3mo_PX[[#This Row],[Column1315]]</f>
        <v>99.814999999999998</v>
      </c>
      <c r="AXP16">
        <f>SOFR3mo_PX[[#This Row],[Column1316]]</f>
        <v>99.78</v>
      </c>
      <c r="AXQ16">
        <f>SOFR3mo_PX[[#This Row],[Column1317]]</f>
        <v>99.775000000000006</v>
      </c>
      <c r="AXR16">
        <f>SOFR3mo_PX[[#This Row],[Column1318]]</f>
        <v>99.84</v>
      </c>
      <c r="AXS16">
        <f>SOFR3mo_PX[[#This Row],[Column1319]]</f>
        <v>99.855000000000004</v>
      </c>
      <c r="AXT16">
        <f>SOFR3mo_PX[[#This Row],[Column1320]]</f>
        <v>99.89</v>
      </c>
      <c r="AXU16">
        <f>SOFR3mo_PX[[#This Row],[Column1321]]</f>
        <v>99.894999999999996</v>
      </c>
      <c r="AXV16">
        <f>SOFR3mo_PX[[#This Row],[Column1322]]</f>
        <v>99.885000000000005</v>
      </c>
      <c r="AXW16">
        <f>SOFR3mo_PX[[#This Row],[Column1323]]</f>
        <v>99.864999999999995</v>
      </c>
      <c r="AXX16">
        <f>SOFR3mo_PX[[#This Row],[Column1324]]</f>
        <v>99.87</v>
      </c>
      <c r="AXY16">
        <f>SOFR3mo_PX[[#This Row],[Column1325]]</f>
        <v>99.875</v>
      </c>
      <c r="AXZ16">
        <f>SOFR3mo_PX[[#This Row],[Column1326]]</f>
        <v>99.88</v>
      </c>
      <c r="AYA16">
        <f>SOFR3mo_PX[[#This Row],[Column1327]]</f>
        <v>99.88</v>
      </c>
      <c r="AYB16">
        <f>SOFR3mo_PX[[#This Row],[Column1328]]</f>
        <v>99.875</v>
      </c>
      <c r="AYC16">
        <f>SOFR3mo_PX[[#This Row],[Column1329]]</f>
        <v>99.875</v>
      </c>
      <c r="AYD16">
        <f>SOFR3mo_PX[[#This Row],[Column1330]]</f>
        <v>99.88</v>
      </c>
      <c r="AYE16">
        <f>SOFR3mo_PX[[#This Row],[Column1331]]</f>
        <v>99.88</v>
      </c>
      <c r="AYF16">
        <f>SOFR3mo_PX[[#This Row],[Column1332]]</f>
        <v>99.924999999999997</v>
      </c>
      <c r="AYG16">
        <f>SOFR3mo_PX[[#This Row],[Column1333]]</f>
        <v>99.9</v>
      </c>
      <c r="AYH16">
        <f>SOFR3mo_PX[[#This Row],[Column1334]]</f>
        <v>99.89</v>
      </c>
      <c r="AYI16">
        <f>SOFR3mo_PX[[#This Row],[Column1335]]</f>
        <v>99.87</v>
      </c>
      <c r="AYJ16">
        <f>SOFR3mo_PX[[#This Row],[Column1336]]</f>
        <v>99.87</v>
      </c>
      <c r="AYK16">
        <f>SOFR3mo_PX[[#This Row],[Column1337]]</f>
        <v>99.89</v>
      </c>
      <c r="AYL16">
        <f>SOFR3mo_PX[[#This Row],[Column1338]]</f>
        <v>99.9</v>
      </c>
      <c r="AYM16">
        <f>SOFR3mo_PX[[#This Row],[Column1339]]</f>
        <v>99.844999999999999</v>
      </c>
      <c r="AYN16">
        <f>SOFR3mo_PX[[#This Row],[Column1340]]</f>
        <v>99.83</v>
      </c>
      <c r="AYO16">
        <f>SOFR3mo_PX[[#This Row],[Column1341]]</f>
        <v>99.834999999999994</v>
      </c>
      <c r="AYP16">
        <f>SOFR3mo_PX[[#This Row],[Column1342]]</f>
        <v>99.82</v>
      </c>
      <c r="AYQ16">
        <f>SOFR3mo_PX[[#This Row],[Column1343]]</f>
        <v>99.825000000000003</v>
      </c>
      <c r="AYR16">
        <f>SOFR3mo_PX[[#This Row],[Column1344]]</f>
        <v>99.814999999999998</v>
      </c>
      <c r="AYS16">
        <f>SOFR3mo_PX[[#This Row],[Column1345]]</f>
        <v>99.8</v>
      </c>
      <c r="AYT16">
        <f>SOFR3mo_PX[[#This Row],[Column1346]]</f>
        <v>99.795000000000002</v>
      </c>
      <c r="AYU16">
        <f>SOFR3mo_PX[[#This Row],[Column1347]]</f>
        <v>99.805000000000007</v>
      </c>
      <c r="AYV16">
        <f>SOFR3mo_PX[[#This Row],[Column1348]]</f>
        <v>99.805000000000007</v>
      </c>
      <c r="AYW16">
        <f>SOFR3mo_PX[[#This Row],[Column1349]]</f>
        <v>99.8</v>
      </c>
      <c r="AYX16">
        <f>SOFR3mo_PX[[#This Row],[Column1350]]</f>
        <v>99.81</v>
      </c>
      <c r="AYY16">
        <f>SOFR3mo_PX[[#This Row],[Column1351]]</f>
        <v>99.79</v>
      </c>
      <c r="AYZ16">
        <f>SOFR3mo_PX[[#This Row],[Column1352]]</f>
        <v>99.78</v>
      </c>
      <c r="AZA16">
        <f>SOFR3mo_PX[[#This Row],[Column1353]]</f>
        <v>99.765000000000001</v>
      </c>
      <c r="AZB16">
        <f>SOFR3mo_PX[[#This Row],[Column1354]]</f>
        <v>99.754999999999995</v>
      </c>
      <c r="AZC16">
        <f>SOFR3mo_PX[[#This Row],[Column1355]]</f>
        <v>99.724999999999994</v>
      </c>
      <c r="AZD16">
        <f>SOFR3mo_PX[[#This Row],[Column1356]]</f>
        <v>99.71</v>
      </c>
      <c r="AZE16">
        <f>SOFR3mo_PX[[#This Row],[Column1357]]</f>
        <v>99.72</v>
      </c>
      <c r="AZF16">
        <f>SOFR3mo_PX[[#This Row],[Column1358]]</f>
        <v>99.72</v>
      </c>
      <c r="AZG16">
        <f>SOFR3mo_PX[[#This Row],[Column1359]]</f>
        <v>99.7</v>
      </c>
      <c r="AZH16">
        <f>SOFR3mo_PX[[#This Row],[Column1360]]</f>
        <v>99.685000000000002</v>
      </c>
      <c r="AZI16">
        <f>SOFR3mo_PX[[#This Row],[Column1361]]</f>
        <v>99.73</v>
      </c>
      <c r="AZJ16">
        <f>SOFR3mo_PX[[#This Row],[Column1362]]</f>
        <v>99.79</v>
      </c>
      <c r="AZK16">
        <f>SOFR3mo_PX[[#This Row],[Column1363]]</f>
        <v>99.784999999999997</v>
      </c>
      <c r="AZL16">
        <f>SOFR3mo_PX[[#This Row],[Column1364]]</f>
        <v>99.8</v>
      </c>
      <c r="AZM16">
        <f>SOFR3mo_PX[[#This Row],[Column1365]]</f>
        <v>99.775000000000006</v>
      </c>
      <c r="AZN16">
        <f>SOFR3mo_PX[[#This Row],[Column1366]]</f>
        <v>99.805000000000007</v>
      </c>
      <c r="AZO16">
        <f>SOFR3mo_PX[[#This Row],[Column1367]]</f>
        <v>99.76</v>
      </c>
      <c r="AZP16">
        <f>SOFR3mo_PX[[#This Row],[Column1368]]</f>
        <v>99.74</v>
      </c>
      <c r="AZQ16">
        <f>SOFR3mo_PX[[#This Row],[Column1369]]</f>
        <v>99.71</v>
      </c>
      <c r="AZR16">
        <f>SOFR3mo_PX[[#This Row],[Column1370]]</f>
        <v>99.704999999999998</v>
      </c>
      <c r="AZS16">
        <f>SOFR3mo_PX[[#This Row],[Column1371]]</f>
        <v>99.765000000000001</v>
      </c>
      <c r="AZT16">
        <f>SOFR3mo_PX[[#This Row],[Column1372]]</f>
        <v>99.685000000000002</v>
      </c>
      <c r="AZU16">
        <f>SOFR3mo_PX[[#This Row],[Column1373]]</f>
        <v>99.625</v>
      </c>
      <c r="AZV16">
        <f>SOFR3mo_PX[[#This Row],[Column1374]]</f>
        <v>99.52</v>
      </c>
      <c r="AZW16">
        <f>SOFR3mo_PX[[#This Row],[Column1375]]</f>
        <v>99.63</v>
      </c>
      <c r="AZX16">
        <f>SOFR3mo_PX[[#This Row],[Column1376]]</f>
        <v>99.68</v>
      </c>
      <c r="AZY16">
        <f>SOFR3mo_PX[[#This Row],[Column1377]]</f>
        <v>99.605000000000004</v>
      </c>
      <c r="AZZ16">
        <f>SOFR3mo_PX[[#This Row],[Column1378]]</f>
        <v>99.644999999999996</v>
      </c>
      <c r="BAA16">
        <f>SOFR3mo_PX[[#This Row],[Column1379]]</f>
        <v>99.575000000000003</v>
      </c>
      <c r="BAB16">
        <f>SOFR3mo_PX[[#This Row],[Column1380]]</f>
        <v>99.564999999999998</v>
      </c>
      <c r="BAC16">
        <f>SOFR3mo_PX[[#This Row],[Column1381]]</f>
        <v>99.685000000000002</v>
      </c>
      <c r="BAD16">
        <f>SOFR3mo_PX[[#This Row],[Column1382]]</f>
        <v>99.61</v>
      </c>
      <c r="BAE16">
        <f>SOFR3mo_PX[[#This Row],[Column1383]]</f>
        <v>99.525000000000006</v>
      </c>
      <c r="BAF16">
        <f>SOFR3mo_PX[[#This Row],[Column1384]]</f>
        <v>99.474999999999994</v>
      </c>
      <c r="BAG16">
        <f>SOFR3mo_PX[[#This Row],[Column1385]]</f>
        <v>99.415000000000006</v>
      </c>
      <c r="BAH16">
        <f>SOFR3mo_PX[[#This Row],[Column1386]]</f>
        <v>99.344999999999999</v>
      </c>
      <c r="BAI16">
        <f>SOFR3mo_PX[[#This Row],[Column1387]]</f>
        <v>99.344999999999999</v>
      </c>
      <c r="BAJ16">
        <f>SOFR3mo_PX[[#This Row],[Column1388]]</f>
        <v>99.144999999999996</v>
      </c>
      <c r="BAK16">
        <f>SOFR3mo_PX[[#This Row],[Column1389]]</f>
        <v>99.09</v>
      </c>
      <c r="BAL16">
        <f>SOFR3mo_PX[[#This Row],[Column1390]]</f>
        <v>99.1</v>
      </c>
      <c r="BAM16">
        <f>SOFR3mo_PX[[#This Row],[Column1391]]</f>
        <v>99.045000000000002</v>
      </c>
      <c r="BAN16">
        <f>SOFR3mo_PX[[#This Row],[Column1392]]</f>
        <v>98.935000000000002</v>
      </c>
      <c r="BAO16">
        <f>SOFR3mo_PX[[#This Row],[Column1393]]</f>
        <v>98.87</v>
      </c>
      <c r="BAP16">
        <f>SOFR3mo_PX[[#This Row],[Column1394]]</f>
        <v>98.825000000000003</v>
      </c>
      <c r="BAQ16">
        <f>SOFR3mo_PX[[#This Row],[Column1395]]</f>
        <v>98.85</v>
      </c>
      <c r="BAR16">
        <f>SOFR3mo_PX[[#This Row],[Column1396]]</f>
        <v>98.82</v>
      </c>
      <c r="BAS16">
        <f>SOFR3mo_PX[[#This Row],[Column1397]]</f>
        <v>98.82</v>
      </c>
      <c r="BAT16">
        <f>SOFR3mo_PX[[#This Row],[Column1398]]</f>
        <v>98.784999999999997</v>
      </c>
      <c r="BAU16">
        <f>SOFR3mo_PX[[#This Row],[Column1399]]</f>
        <v>98.784999999999997</v>
      </c>
      <c r="BAV16">
        <f>SOFR3mo_PX[[#This Row],[Column1400]]</f>
        <v>98.825000000000003</v>
      </c>
      <c r="BAW16">
        <f>SOFR3mo_PX[[#This Row],[Column1401]]</f>
        <v>98.855000000000004</v>
      </c>
      <c r="BAX16">
        <f>SOFR3mo_PX[[#This Row],[Column1402]]</f>
        <v>98.82</v>
      </c>
      <c r="BAY16">
        <f>SOFR3mo_PX[[#This Row],[Column1403]]</f>
        <v>98.765000000000001</v>
      </c>
      <c r="BAZ16">
        <f>SOFR3mo_PX[[#This Row],[Column1404]]</f>
        <v>98.784999999999997</v>
      </c>
      <c r="BBA16">
        <f>SOFR3mo_PX[[#This Row],[Column1405]]</f>
        <v>98.825000000000003</v>
      </c>
      <c r="BBB16">
        <f>SOFR3mo_PX[[#This Row],[Column1406]]</f>
        <v>98.91</v>
      </c>
      <c r="BBC16">
        <f>SOFR3mo_PX[[#This Row],[Column1407]]</f>
        <v>98.924999999999997</v>
      </c>
      <c r="BBD16">
        <f>SOFR3mo_PX[[#This Row],[Column1408]]</f>
        <v>98.87</v>
      </c>
      <c r="BBE16">
        <f>SOFR3mo_PX[[#This Row],[Column1409]]</f>
        <v>98.825000000000003</v>
      </c>
      <c r="BBF16">
        <f>SOFR3mo_PX[[#This Row],[Column1410]]</f>
        <v>98.775000000000006</v>
      </c>
      <c r="BBG16">
        <f>SOFR3mo_PX[[#This Row],[Column1411]]</f>
        <v>98.81</v>
      </c>
      <c r="BBH16">
        <f>SOFR3mo_PX[[#This Row],[Column1412]]</f>
        <v>98.724999999999994</v>
      </c>
      <c r="BBI16">
        <f>SOFR3mo_PX[[#This Row],[Column1413]]</f>
        <v>98.67</v>
      </c>
      <c r="BBJ16">
        <f>SOFR3mo_PX[[#This Row],[Column1414]]</f>
        <v>98.65</v>
      </c>
      <c r="BBK16">
        <f>SOFR3mo_PX[[#This Row],[Column1415]]</f>
        <v>98.635000000000005</v>
      </c>
      <c r="BBL16">
        <f>SOFR3mo_PX[[#This Row],[Column1416]]</f>
        <v>98.58</v>
      </c>
      <c r="BBM16">
        <f>SOFR3mo_PX[[#This Row],[Column1417]]</f>
        <v>98.58</v>
      </c>
      <c r="BBN16">
        <f>SOFR3mo_PX[[#This Row],[Column1418]]</f>
        <v>98.594999999999999</v>
      </c>
      <c r="BBO16">
        <f>SOFR3mo_PX[[#This Row],[Column1419]]</f>
        <v>98.605000000000004</v>
      </c>
      <c r="BBP16">
        <f>SOFR3mo_PX[[#This Row],[Column1420]]</f>
        <v>98.594999999999999</v>
      </c>
      <c r="BBQ16">
        <f>SOFR3mo_PX[[#This Row],[Column1421]]</f>
        <v>98.58</v>
      </c>
      <c r="BBR16">
        <f>SOFR3mo_PX[[#This Row],[Column1422]]</f>
        <v>98.584999999999994</v>
      </c>
      <c r="BBS16">
        <f>SOFR3mo_PX[[#This Row],[Column1423]]</f>
        <v>98.57</v>
      </c>
      <c r="BBT16">
        <f>SOFR3mo_PX[[#This Row],[Column1424]]</f>
        <v>98.564999999999998</v>
      </c>
      <c r="BBU16">
        <f>SOFR3mo_PX[[#This Row],[Column1425]]</f>
        <v>98.61</v>
      </c>
      <c r="BBV16">
        <f>SOFR3mo_PX[[#This Row],[Column1426]]</f>
        <v>98.62</v>
      </c>
      <c r="BBW16">
        <f>SOFR3mo_PX[[#This Row],[Column1427]]</f>
        <v>98.625</v>
      </c>
      <c r="BBX16">
        <f>SOFR3mo_PX[[#This Row],[Column1428]]</f>
        <v>98.534999999999997</v>
      </c>
      <c r="BBY16">
        <f>SOFR3mo_PX[[#This Row],[Column1429]]</f>
        <v>98.525000000000006</v>
      </c>
      <c r="BBZ16">
        <f>SOFR3mo_PX[[#This Row],[Column1430]]</f>
        <v>98.525000000000006</v>
      </c>
      <c r="BCA16">
        <f>SOFR3mo_PX[[#This Row],[Column1431]]</f>
        <v>98.53</v>
      </c>
      <c r="BCB16">
        <f>SOFR3mo_PX[[#This Row],[Column1432]]</f>
        <v>98.53</v>
      </c>
      <c r="BCC16">
        <f>SOFR3mo_PX[[#This Row],[Column1433]]</f>
        <v>98.49</v>
      </c>
      <c r="BCD16">
        <f>SOFR3mo_PX[[#This Row],[Column1434]]</f>
        <v>98.49</v>
      </c>
      <c r="BCE16">
        <f>SOFR3mo_PX[[#This Row],[Column1435]]</f>
        <v>98.49</v>
      </c>
      <c r="BCF16">
        <f>SOFR3mo_PX[[#This Row],[Column1436]]</f>
        <v>98.47</v>
      </c>
      <c r="BCG16">
        <f>SOFR3mo_PX[[#This Row],[Column1437]]</f>
        <v>98.51</v>
      </c>
      <c r="BCH16">
        <f>SOFR3mo_PX[[#This Row],[Column1438]]</f>
        <v>98.525000000000006</v>
      </c>
      <c r="BCI16">
        <f>SOFR3mo_PX[[#This Row],[Column1439]]</f>
        <v>98.504999999999995</v>
      </c>
      <c r="BCJ16">
        <f>SOFR3mo_PX[[#This Row],[Column1440]]</f>
        <v>98.53</v>
      </c>
      <c r="BCK16">
        <f>SOFR3mo_PX[[#This Row],[Column1441]]</f>
        <v>98.54</v>
      </c>
      <c r="BCL16">
        <f>SOFR3mo_PX[[#This Row],[Column1442]]</f>
        <v>98.614999999999995</v>
      </c>
      <c r="BCM16">
        <f>SOFR3mo_PX[[#This Row],[Column1443]]</f>
        <v>98.534999999999997</v>
      </c>
      <c r="BCN16">
        <f>SOFR3mo_PX[[#This Row],[Column1444]]</f>
        <v>98.62</v>
      </c>
      <c r="BCO16">
        <f>SOFR3mo_PX[[#This Row],[Column1445]]</f>
        <v>98.58</v>
      </c>
      <c r="BCP16">
        <f>SOFR3mo_PX[[#This Row],[Column1446]]</f>
        <v>98.594999999999999</v>
      </c>
      <c r="BCQ16">
        <f>SOFR3mo_PX[[#This Row],[Column1447]]</f>
        <v>98.605000000000004</v>
      </c>
      <c r="BCR16">
        <f>SOFR3mo_PX[[#This Row],[Column1448]]</f>
        <v>98.665000000000006</v>
      </c>
      <c r="BCS16">
        <f>SOFR3mo_PX[[#This Row],[Column1449]]</f>
        <v>98.68</v>
      </c>
      <c r="BCT16">
        <f>SOFR3mo_PX[[#This Row],[Column1450]]</f>
        <v>98.754999999999995</v>
      </c>
      <c r="BCU16">
        <f>SOFR3mo_PX[[#This Row],[Column1451]]</f>
        <v>98.635000000000005</v>
      </c>
      <c r="BCV16">
        <f>SOFR3mo_PX[[#This Row],[Column1452]]</f>
        <v>98.67</v>
      </c>
      <c r="BCW16">
        <f>SOFR3mo_PX[[#This Row],[Column1453]]</f>
        <v>98.66</v>
      </c>
      <c r="BCX16">
        <f>SOFR3mo_PX[[#This Row],[Column1454]]</f>
        <v>98.66</v>
      </c>
      <c r="BCY16">
        <f>SOFR3mo_PX[[#This Row],[Column1455]]</f>
        <v>98.7</v>
      </c>
      <c r="BCZ16">
        <f>SOFR3mo_PX[[#This Row],[Column1456]]</f>
        <v>98.69</v>
      </c>
      <c r="BDA16">
        <f>SOFR3mo_PX[[#This Row],[Column1457]]</f>
        <v>98.674999999999997</v>
      </c>
      <c r="BDB16">
        <f>SOFR3mo_PX[[#This Row],[Column1458]]</f>
        <v>98.694999999999993</v>
      </c>
      <c r="BDC16">
        <f>SOFR3mo_PX[[#This Row],[Column1459]]</f>
        <v>98.724999999999994</v>
      </c>
      <c r="BDD16">
        <f>SOFR3mo_PX[[#This Row],[Column1460]]</f>
        <v>98.69</v>
      </c>
      <c r="BDE16">
        <f>SOFR3mo_PX[[#This Row],[Column1461]]</f>
        <v>98.665000000000006</v>
      </c>
      <c r="BDF16">
        <f>SOFR3mo_PX[[#This Row],[Column1462]]</f>
        <v>98.64</v>
      </c>
      <c r="BDG16">
        <f>SOFR3mo_PX[[#This Row],[Column1463]]</f>
        <v>98.65</v>
      </c>
      <c r="BDH16">
        <f>SOFR3mo_PX[[#This Row],[Column1464]]</f>
        <v>98.6</v>
      </c>
      <c r="BDI16">
        <f>SOFR3mo_PX[[#This Row],[Column1465]]</f>
        <v>98.55</v>
      </c>
      <c r="BDJ16">
        <f>SOFR3mo_PX[[#This Row],[Column1466]]</f>
        <v>98.52</v>
      </c>
      <c r="BDK16">
        <f>SOFR3mo_PX[[#This Row],[Column1467]]</f>
        <v>98.53</v>
      </c>
      <c r="BDL16">
        <f>SOFR3mo_PX[[#This Row],[Column1468]]</f>
        <v>98.515000000000001</v>
      </c>
      <c r="BDM16">
        <f>SOFR3mo_PX[[#This Row],[Column1469]]</f>
        <v>98.625</v>
      </c>
      <c r="BDN16">
        <f>SOFR3mo_PX[[#This Row],[Column1470]]</f>
        <v>98.6</v>
      </c>
      <c r="BDO16">
        <f>SOFR3mo_PX[[#This Row],[Column1471]]</f>
        <v>98.66</v>
      </c>
      <c r="BDP16">
        <f>SOFR3mo_PX[[#This Row],[Column1472]]</f>
        <v>98.71</v>
      </c>
      <c r="BDQ16">
        <f>SOFR3mo_PX[[#This Row],[Column1473]]</f>
        <v>98.78</v>
      </c>
      <c r="BDR16">
        <f>SOFR3mo_PX[[#This Row],[Column1474]]</f>
        <v>98.655000000000001</v>
      </c>
      <c r="BDS16">
        <f>SOFR3mo_PX[[#This Row],[Column1475]]</f>
        <v>98.635000000000005</v>
      </c>
      <c r="BDT16">
        <f>SOFR3mo_PX[[#This Row],[Column1476]]</f>
        <v>98.64</v>
      </c>
      <c r="BDU16">
        <f>SOFR3mo_PX[[#This Row],[Column1477]]</f>
        <v>98.67</v>
      </c>
      <c r="BDV16">
        <f>SOFR3mo_PX[[#This Row],[Column1478]]</f>
        <v>98.715000000000003</v>
      </c>
      <c r="BDW16">
        <f>SOFR3mo_PX[[#This Row],[Column1479]]</f>
        <v>98.724999999999994</v>
      </c>
      <c r="BDX16">
        <f>SOFR3mo_PX[[#This Row],[Column1480]]</f>
        <v>98.704999999999998</v>
      </c>
      <c r="BDY16">
        <f>SOFR3mo_PX[[#This Row],[Column1481]]</f>
        <v>98.68</v>
      </c>
      <c r="BDZ16">
        <f>SOFR3mo_PX[[#This Row],[Column1482]]</f>
        <v>98.72</v>
      </c>
      <c r="BEA16">
        <f>SOFR3mo_PX[[#This Row],[Column1483]]</f>
        <v>98.694999999999993</v>
      </c>
      <c r="BEB16">
        <f>SOFR3mo_PX[[#This Row],[Column1484]]</f>
        <v>98.72</v>
      </c>
      <c r="BEC16">
        <f>SOFR3mo_PX[[#This Row],[Column1485]]</f>
        <v>98.68</v>
      </c>
      <c r="BED16">
        <f>SOFR3mo_PX[[#This Row],[Column1486]]</f>
        <v>98.734999999999999</v>
      </c>
      <c r="BEE16">
        <f>SOFR3mo_PX[[#This Row],[Column1487]]</f>
        <v>98.715000000000003</v>
      </c>
      <c r="BEF16">
        <f>SOFR3mo_PX[[#This Row],[Column1488]]</f>
        <v>98.844999999999999</v>
      </c>
      <c r="BEG16">
        <f>SOFR3mo_PX[[#This Row],[Column1489]]</f>
        <v>98.91</v>
      </c>
      <c r="BEH16">
        <f>SOFR3mo_PX[[#This Row],[Column1490]]</f>
        <v>98.965000000000003</v>
      </c>
      <c r="BEI16">
        <f>SOFR3mo_PX[[#This Row],[Column1491]]</f>
        <v>98.954999999999998</v>
      </c>
      <c r="BEJ16">
        <f>SOFR3mo_PX[[#This Row],[Column1492]]</f>
        <v>99.025000000000006</v>
      </c>
      <c r="BEK16">
        <f>SOFR3mo_PX[[#This Row],[Column1493]]</f>
        <v>99.034999999999997</v>
      </c>
      <c r="BEL16">
        <f>SOFR3mo_PX[[#This Row],[Column1494]]</f>
        <v>98.935000000000002</v>
      </c>
      <c r="BEM16">
        <f>SOFR3mo_PX[[#This Row],[Column1495]]</f>
        <v>98.86</v>
      </c>
      <c r="BEN16">
        <f>SOFR3mo_PX[[#This Row],[Column1496]]</f>
        <v>98.79</v>
      </c>
      <c r="BEO16">
        <f>SOFR3mo_PX[[#This Row],[Column1497]]</f>
        <v>98.8</v>
      </c>
      <c r="BEP16">
        <f>SOFR3mo_PX[[#This Row],[Column1498]]</f>
        <v>98.79</v>
      </c>
      <c r="BEQ16">
        <f>SOFR3mo_PX[[#This Row],[Column1499]]</f>
        <v>98.775000000000006</v>
      </c>
      <c r="BER16">
        <f>SOFR3mo_PX[[#This Row],[Column1500]]</f>
        <v>98.875</v>
      </c>
      <c r="BES16">
        <f>SOFR3mo_PX[[#This Row],[Column1501]]</f>
        <v>98.78</v>
      </c>
      <c r="BET16">
        <f>SOFR3mo_PX[[#This Row],[Column1502]]</f>
        <v>98.74</v>
      </c>
      <c r="BEU16">
        <f>SOFR3mo_PX[[#This Row],[Column1503]]</f>
        <v>98.754999999999995</v>
      </c>
      <c r="BEV16">
        <f>SOFR3mo_PX[[#This Row],[Column1504]]</f>
        <v>98.72</v>
      </c>
      <c r="BEW16">
        <f>SOFR3mo_PX[[#This Row],[Column1505]]</f>
        <v>98.74</v>
      </c>
      <c r="BEX16">
        <f>SOFR3mo_PX[[#This Row],[Column1506]]</f>
        <v>98.7</v>
      </c>
      <c r="BEY16">
        <f>SOFR3mo_PX[[#This Row],[Column1507]]</f>
        <v>98.64</v>
      </c>
      <c r="BEZ16">
        <f>SOFR3mo_PX[[#This Row],[Column1508]]</f>
        <v>98.734999999999999</v>
      </c>
      <c r="BFA16">
        <f>SOFR3mo_PX[[#This Row],[Column1509]]</f>
        <v>98.82</v>
      </c>
      <c r="BFB16">
        <f>SOFR3mo_PX[[#This Row],[Column1510]]</f>
        <v>98.844999999999999</v>
      </c>
      <c r="BFC16">
        <f>SOFR3mo_PX[[#This Row],[Column1511]]</f>
        <v>98.944999999999993</v>
      </c>
      <c r="BFD16">
        <f>SOFR3mo_PX[[#This Row],[Column1512]]</f>
        <v>99.02</v>
      </c>
      <c r="BFE16">
        <f>SOFR3mo_PX[[#This Row],[Column1513]]</f>
        <v>99.025000000000006</v>
      </c>
      <c r="BFF16">
        <f>SOFR3mo_PX[[#This Row],[Column1514]]</f>
        <v>99.155000000000001</v>
      </c>
      <c r="BFG16">
        <f>SOFR3mo_PX[[#This Row],[Column1515]]</f>
        <v>99.114999999999995</v>
      </c>
      <c r="BFH16">
        <f>SOFR3mo_PX[[#This Row],[Column1516]]</f>
        <v>99.034999999999997</v>
      </c>
      <c r="BFI16">
        <f>SOFR3mo_PX[[#This Row],[Column1517]]</f>
        <v>99.034999999999997</v>
      </c>
      <c r="BFJ16">
        <f>SOFR3mo_PX[[#This Row],[Column1518]]</f>
        <v>99.01</v>
      </c>
      <c r="BFK16">
        <f>SOFR3mo_PX[[#This Row],[Column1519]]</f>
        <v>99.05</v>
      </c>
      <c r="BFL16">
        <f>SOFR3mo_PX[[#This Row],[Column1520]]</f>
        <v>99.004999999999995</v>
      </c>
      <c r="BFM16">
        <f>SOFR3mo_PX[[#This Row],[Column1521]]</f>
        <v>98.96</v>
      </c>
      <c r="BFN16">
        <f>SOFR3mo_PX[[#This Row],[Column1522]]</f>
        <v>98.984999999999999</v>
      </c>
      <c r="BFO16">
        <f>SOFR3mo_PX[[#This Row],[Column1523]]</f>
        <v>98.88</v>
      </c>
      <c r="BFP16">
        <f>SOFR3mo_PX[[#This Row],[Column1524]]</f>
        <v>98.91</v>
      </c>
      <c r="BFQ16">
        <f>SOFR3mo_PX[[#This Row],[Column1525]]</f>
        <v>98.944999999999993</v>
      </c>
      <c r="BFR16">
        <f>SOFR3mo_PX[[#This Row],[Column1526]]</f>
        <v>98.905000000000001</v>
      </c>
      <c r="BFS16">
        <f>SOFR3mo_PX[[#This Row],[Column1527]]</f>
        <v>98.965000000000003</v>
      </c>
      <c r="BFT16">
        <f>SOFR3mo_PX[[#This Row],[Column1528]]</f>
        <v>98.96</v>
      </c>
      <c r="BFU16">
        <f>SOFR3mo_PX[[#This Row],[Column1529]]</f>
        <v>98.89</v>
      </c>
      <c r="BFV16">
        <f>SOFR3mo_PX[[#This Row],[Column1530]]</f>
        <v>98.805000000000007</v>
      </c>
      <c r="BFW16">
        <f>SOFR3mo_PX[[#This Row],[Column1531]]</f>
        <v>98.91</v>
      </c>
      <c r="BFX16">
        <f>SOFR3mo_PX[[#This Row],[Column1532]]</f>
        <v>98.83</v>
      </c>
      <c r="BFY16">
        <f>SOFR3mo_PX[[#This Row],[Column1533]]</f>
        <v>98.875</v>
      </c>
      <c r="BFZ16">
        <f>SOFR3mo_PX[[#This Row],[Column1534]]</f>
        <v>98.95</v>
      </c>
      <c r="BGA16">
        <f>SOFR3mo_PX[[#This Row],[Column1535]]</f>
        <v>98.855000000000004</v>
      </c>
      <c r="BGB16">
        <f>SOFR3mo_PX[[#This Row],[Column1536]]</f>
        <v>98.92</v>
      </c>
      <c r="BGC16">
        <f>SOFR3mo_PX[[#This Row],[Column1537]]</f>
        <v>98.704999999999998</v>
      </c>
      <c r="BGD16">
        <f>SOFR3mo_PX[[#This Row],[Column1538]]</f>
        <v>98.685000000000002</v>
      </c>
      <c r="BGE16">
        <f>SOFR3mo_PX[[#This Row],[Column1539]]</f>
        <v>98.495000000000005</v>
      </c>
      <c r="BGF16">
        <f>SOFR3mo_PX[[#This Row],[Column1540]]</f>
        <v>98.504999999999995</v>
      </c>
      <c r="BGG16">
        <f>SOFR3mo_PX[[#This Row],[Column1541]]</f>
        <v>98.515000000000001</v>
      </c>
      <c r="BGH16">
        <f>SOFR3mo_PX[[#This Row],[Column1542]]</f>
        <v>98.495000000000005</v>
      </c>
      <c r="BGI16">
        <f>SOFR3mo_PX[[#This Row],[Column1543]]</f>
        <v>98.52</v>
      </c>
      <c r="BGJ16">
        <f>SOFR3mo_PX[[#This Row],[Column1544]]</f>
        <v>98.545000000000002</v>
      </c>
      <c r="BGK16">
        <f>SOFR3mo_PX[[#This Row],[Column1545]]</f>
        <v>98.54</v>
      </c>
      <c r="BGL16">
        <f>SOFR3mo_PX[[#This Row],[Column1546]]</f>
        <v>98.57</v>
      </c>
      <c r="BGM16">
        <f>SOFR3mo_PX[[#This Row],[Column1547]]</f>
        <v>98.55</v>
      </c>
      <c r="BGN16">
        <f>SOFR3mo_PX[[#This Row],[Column1548]]</f>
        <v>98.6</v>
      </c>
      <c r="BGO16">
        <f>SOFR3mo_PX[[#This Row],[Column1549]]</f>
        <v>98.515000000000001</v>
      </c>
      <c r="BGP16">
        <f>SOFR3mo_PX[[#This Row],[Column1550]]</f>
        <v>98.46</v>
      </c>
      <c r="BGQ16">
        <f>SOFR3mo_PX[[#This Row],[Column1551]]</f>
        <v>98.49</v>
      </c>
      <c r="BGR16">
        <f>SOFR3mo_PX[[#This Row],[Column1552]]</f>
        <v>98.484999999999999</v>
      </c>
      <c r="BGS16">
        <f>SOFR3mo_PX[[#This Row],[Column1553]]</f>
        <v>98.47</v>
      </c>
      <c r="BGT16">
        <f>SOFR3mo_PX[[#This Row],[Column1554]]</f>
        <v>98.52</v>
      </c>
      <c r="BGU16">
        <f>SOFR3mo_PX[[#This Row],[Column1555]]</f>
        <v>98.48</v>
      </c>
      <c r="BGV16">
        <f>SOFR3mo_PX[[#This Row],[Column1556]]</f>
        <v>98.5</v>
      </c>
      <c r="BGW16">
        <f>SOFR3mo_PX[[#This Row],[Column1557]]</f>
        <v>98.495000000000005</v>
      </c>
      <c r="BGX16">
        <f>SOFR3mo_PX[[#This Row],[Column1558]]</f>
        <v>98.58</v>
      </c>
      <c r="BGY16">
        <f>SOFR3mo_PX[[#This Row],[Column1559]]</f>
        <v>98.58</v>
      </c>
      <c r="BGZ16">
        <f>SOFR3mo_PX[[#This Row],[Column1560]]</f>
        <v>98.575000000000003</v>
      </c>
      <c r="BHA16">
        <f>SOFR3mo_PX[[#This Row],[Column1561]]</f>
        <v>98.525000000000006</v>
      </c>
      <c r="BHB16">
        <f>SOFR3mo_PX[[#This Row],[Column1562]]</f>
        <v>98.57</v>
      </c>
      <c r="BHC16">
        <f>SOFR3mo_PX[[#This Row],[Column1563]]</f>
        <v>98.584999999999994</v>
      </c>
      <c r="BHD16">
        <f>SOFR3mo_PX[[#This Row],[Column1564]]</f>
        <v>98.555000000000007</v>
      </c>
      <c r="BHE16">
        <f>SOFR3mo_PX[[#This Row],[Column1565]]</f>
        <v>98.64</v>
      </c>
      <c r="BHF16">
        <f>SOFR3mo_PX[[#This Row],[Column1566]]</f>
        <v>98.614999999999995</v>
      </c>
      <c r="BHG16">
        <f>SOFR3mo_PX[[#This Row],[Column1567]]</f>
        <v>98.564999999999998</v>
      </c>
      <c r="BHH16">
        <f>SOFR3mo_PX[[#This Row],[Column1568]]</f>
        <v>98.62</v>
      </c>
      <c r="BHI16">
        <f>SOFR3mo_PX[[#This Row],[Column1569]]</f>
        <v>98.625</v>
      </c>
      <c r="BHJ16">
        <f>SOFR3mo_PX[[#This Row],[Column1570]]</f>
        <v>98.52</v>
      </c>
      <c r="BHK16">
        <f>SOFR3mo_PX[[#This Row],[Column1571]]</f>
        <v>98.52</v>
      </c>
      <c r="BHL16">
        <f>SOFR3mo_PX[[#This Row],[Column1572]]</f>
        <v>98.54</v>
      </c>
      <c r="BHM16">
        <f>SOFR3mo_PX[[#This Row],[Column1573]]</f>
        <v>98.545000000000002</v>
      </c>
      <c r="BHN16">
        <f>SOFR3mo_PX[[#This Row],[Column1574]]</f>
        <v>98.474999999999994</v>
      </c>
      <c r="BHO16">
        <f>SOFR3mo_PX[[#This Row],[Column1575]]</f>
        <v>98.424999999999997</v>
      </c>
      <c r="BHP16">
        <f>SOFR3mo_PX[[#This Row],[Column1576]]</f>
        <v>98.42</v>
      </c>
      <c r="BHQ16">
        <f>SOFR3mo_PX[[#This Row],[Column1577]]</f>
        <v>98.46</v>
      </c>
      <c r="BHR16">
        <f>SOFR3mo_PX[[#This Row],[Column1578]]</f>
        <v>98.444999999999993</v>
      </c>
      <c r="BHS16">
        <f>SOFR3mo_PX[[#This Row],[Column1579]]</f>
        <v>98.5</v>
      </c>
      <c r="BHT16">
        <f>SOFR3mo_PX[[#This Row],[Column1580]]</f>
        <v>98.48</v>
      </c>
      <c r="BHU16">
        <f>SOFR3mo_PX[[#This Row],[Column1581]]</f>
        <v>98.525000000000006</v>
      </c>
      <c r="BHV16">
        <f>SOFR3mo_PX[[#This Row],[Column1582]]</f>
        <v>98.474999999999994</v>
      </c>
      <c r="BHW16">
        <f>SOFR3mo_PX[[#This Row],[Column1583]]</f>
        <v>98.334999999999994</v>
      </c>
      <c r="BHX16">
        <f>SOFR3mo_PX[[#This Row],[Column1584]]</f>
        <v>98.34</v>
      </c>
      <c r="BHY16">
        <f>SOFR3mo_PX[[#This Row],[Column1585]]</f>
        <v>98.305000000000007</v>
      </c>
      <c r="BHZ16">
        <f>SOFR3mo_PX[[#This Row],[Column1586]]</f>
        <v>98.25</v>
      </c>
      <c r="BIA16">
        <f>SOFR3mo_PX[[#This Row],[Column1587]]</f>
        <v>98.25</v>
      </c>
      <c r="BIB16">
        <f>SOFR3mo_PX[[#This Row],[Column1588]]</f>
        <v>98.28</v>
      </c>
      <c r="BIC16">
        <f>SOFR3mo_PX[[#This Row],[Column1589]]</f>
        <v>98.144999999999996</v>
      </c>
      <c r="BID16">
        <f>SOFR3mo_PX[[#This Row],[Column1590]]</f>
        <v>98.11</v>
      </c>
      <c r="BIE16">
        <f>SOFR3mo_PX[[#This Row],[Column1591]]</f>
        <v>98.14</v>
      </c>
      <c r="BIF16">
        <f>SOFR3mo_PX[[#This Row],[Column1592]]</f>
        <v>98.165000000000006</v>
      </c>
      <c r="BIG16">
        <f>SOFR3mo_PX[[#This Row],[Column1593]]</f>
        <v>98.155000000000001</v>
      </c>
      <c r="BIH16">
        <f>SOFR3mo_PX[[#This Row],[Column1594]]</f>
        <v>98.2</v>
      </c>
      <c r="BII16">
        <f>SOFR3mo_PX[[#This Row],[Column1595]]</f>
        <v>98.15</v>
      </c>
      <c r="BIJ16">
        <f>SOFR3mo_PX[[#This Row],[Column1596]]</f>
        <v>98.16</v>
      </c>
      <c r="BIK16">
        <f>SOFR3mo_PX[[#This Row],[Column1597]]</f>
        <v>98.084999999999994</v>
      </c>
      <c r="BIL16">
        <f>SOFR3mo_PX[[#This Row],[Column1598]]</f>
        <v>98.07</v>
      </c>
      <c r="BIM16">
        <f>SOFR3mo_PX[[#This Row],[Column1599]]</f>
        <v>98.034999999999997</v>
      </c>
      <c r="BIN16">
        <f>SOFR3mo_PX[[#This Row],[Column1600]]</f>
        <v>98.064999999999998</v>
      </c>
      <c r="BIO16">
        <f>SOFR3mo_PX[[#This Row],[Column1601]]</f>
        <v>98.01</v>
      </c>
      <c r="BIP16">
        <f>SOFR3mo_PX[[#This Row],[Column1602]]</f>
        <v>97.97</v>
      </c>
      <c r="BIQ16">
        <f>SOFR3mo_PX[[#This Row],[Column1603]]</f>
        <v>97.965000000000003</v>
      </c>
      <c r="BIR16">
        <f>SOFR3mo_PX[[#This Row],[Column1604]]</f>
        <v>98.025000000000006</v>
      </c>
      <c r="BIS16">
        <f>SOFR3mo_PX[[#This Row],[Column1605]]</f>
        <v>98.064999999999998</v>
      </c>
      <c r="BIT16">
        <f>SOFR3mo_PX[[#This Row],[Column1606]]</f>
        <v>98.04</v>
      </c>
      <c r="BIU16">
        <f>SOFR3mo_PX[[#This Row],[Column1607]]</f>
        <v>98.045000000000002</v>
      </c>
      <c r="BIV16">
        <f>SOFR3mo_PX[[#This Row],[Column1608]]</f>
        <v>97.995000000000005</v>
      </c>
      <c r="BIW16">
        <f>SOFR3mo_PX[[#This Row],[Column1609]]</f>
        <v>98.01</v>
      </c>
      <c r="BIX16">
        <f>SOFR3mo_PX[[#This Row],[Column1610]]</f>
        <v>97.954999999999998</v>
      </c>
      <c r="BIY16">
        <f>SOFR3mo_PX[[#This Row],[Column1611]]</f>
        <v>97.935000000000002</v>
      </c>
      <c r="BIZ16">
        <f>SOFR3mo_PX[[#This Row],[Column1612]]</f>
        <v>97.935000000000002</v>
      </c>
      <c r="BJA16">
        <f>SOFR3mo_PX[[#This Row],[Column1613]]</f>
        <v>97.935000000000002</v>
      </c>
      <c r="BJB16">
        <f>SOFR3mo_PX[[#This Row],[Column1614]]</f>
        <v>97.91</v>
      </c>
      <c r="BJC16">
        <f>SOFR3mo_PX[[#This Row],[Column1615]]</f>
        <v>97.905000000000001</v>
      </c>
      <c r="BJD16">
        <f>SOFR3mo_PX[[#This Row],[Column1616]]</f>
        <v>97.935000000000002</v>
      </c>
      <c r="BJE16">
        <f>SOFR3mo_PX[[#This Row],[Column1617]]</f>
        <v>97.93</v>
      </c>
      <c r="BJF16">
        <f>SOFR3mo_PX[[#This Row],[Column1618]]</f>
        <v>98.004999999999995</v>
      </c>
      <c r="BJG16">
        <f>SOFR3mo_PX[[#This Row],[Column1619]]</f>
        <v>98.04</v>
      </c>
      <c r="BJH16">
        <f>SOFR3mo_PX[[#This Row],[Column1620]]</f>
        <v>98.004999999999995</v>
      </c>
      <c r="BJI16">
        <f>SOFR3mo_PX[[#This Row],[Column1621]]</f>
        <v>97.97</v>
      </c>
      <c r="BJJ16">
        <f>SOFR3mo_PX[[#This Row],[Column1622]]</f>
        <v>97.98</v>
      </c>
      <c r="BJK16">
        <f>SOFR3mo_PX[[#This Row],[Column1623]]</f>
        <v>97.99</v>
      </c>
      <c r="BJL16">
        <f>SOFR3mo_PX[[#This Row],[Column1624]]</f>
        <v>98</v>
      </c>
      <c r="BJM16">
        <f>SOFR3mo_PX[[#This Row],[Column1625]]</f>
        <v>98.02</v>
      </c>
      <c r="BJN16">
        <f>SOFR3mo_PX[[#This Row],[Column1626]]</f>
        <v>98.01</v>
      </c>
      <c r="BJO16">
        <f>SOFR3mo_PX[[#This Row],[Column1627]]</f>
        <v>98.09</v>
      </c>
      <c r="BJP16">
        <f>SOFR3mo_PX[[#This Row],[Column1628]]</f>
        <v>98.165000000000006</v>
      </c>
      <c r="BJQ16">
        <f>SOFR3mo_PX[[#This Row],[Column1629]]</f>
        <v>98.2</v>
      </c>
      <c r="BJR16">
        <f>SOFR3mo_PX[[#This Row],[Column1630]]</f>
        <v>98.15</v>
      </c>
      <c r="BJS16">
        <f>SOFR3mo_PX[[#This Row],[Column1631]]</f>
        <v>98.18</v>
      </c>
      <c r="BJT16">
        <f>SOFR3mo_PX[[#This Row],[Column1632]]</f>
        <v>98.075000000000003</v>
      </c>
      <c r="BJU16">
        <f>SOFR3mo_PX[[#This Row],[Column1633]]</f>
        <v>97.96</v>
      </c>
      <c r="BJV16">
        <f>SOFR3mo_PX[[#This Row],[Column1634]]</f>
        <v>97.94</v>
      </c>
      <c r="BJW16">
        <f>SOFR3mo_PX[[#This Row],[Column1635]]</f>
        <v>97.85</v>
      </c>
      <c r="BJX16">
        <f>SOFR3mo_PX[[#This Row],[Column1636]]</f>
        <v>97.864999999999995</v>
      </c>
      <c r="BJY16">
        <f>SOFR3mo_PX[[#This Row],[Column1637]]</f>
        <v>97.87</v>
      </c>
      <c r="BJZ16">
        <f>SOFR3mo_PX[[#This Row],[Column1638]]</f>
        <v>97.84</v>
      </c>
      <c r="BKA16">
        <f>SOFR3mo_PX[[#This Row],[Column1639]]</f>
        <v>97.844999999999999</v>
      </c>
      <c r="BKB16">
        <f>SOFR3mo_PX[[#This Row],[Column1640]]</f>
        <v>97.825000000000003</v>
      </c>
      <c r="BKC16">
        <f>SOFR3mo_PX[[#This Row],[Column1641]]</f>
        <v>97.795000000000002</v>
      </c>
      <c r="BKD16">
        <f>SOFR3mo_PX[[#This Row],[Column1642]]</f>
        <v>97.805000000000007</v>
      </c>
      <c r="BKE16">
        <f>SOFR3mo_PX[[#This Row],[Column1643]]</f>
        <v>97.79</v>
      </c>
      <c r="BKF16">
        <f>SOFR3mo_PX[[#This Row],[Column1644]]</f>
        <v>97.715000000000003</v>
      </c>
      <c r="BKG16">
        <f>SOFR3mo_PX[[#This Row],[Column1645]]</f>
        <v>97.68</v>
      </c>
      <c r="BKH16">
        <f>SOFR3mo_PX[[#This Row],[Column1646]]</f>
        <v>97.685000000000002</v>
      </c>
      <c r="BKI16">
        <f>SOFR3mo_PX[[#This Row],[Column1647]]</f>
        <v>97.674999999999997</v>
      </c>
      <c r="BKJ16">
        <f>SOFR3mo_PX[[#This Row],[Column1648]]</f>
        <v>97.745000000000005</v>
      </c>
      <c r="BKK16">
        <f>SOFR3mo_PX[[#This Row],[Column1649]]</f>
        <v>97.765000000000001</v>
      </c>
      <c r="BKL16">
        <f>SOFR3mo_PX[[#This Row],[Column1650]]</f>
        <v>97.79</v>
      </c>
      <c r="BKM16">
        <f>SOFR3mo_PX[[#This Row],[Column1651]]</f>
        <v>97.76</v>
      </c>
      <c r="BKN16">
        <f>SOFR3mo_PX[[#This Row],[Column1652]]</f>
        <v>97.765000000000001</v>
      </c>
      <c r="BKO16">
        <f>SOFR3mo_PX[[#This Row],[Column1653]]</f>
        <v>97.72</v>
      </c>
      <c r="BKP16">
        <f>SOFR3mo_PX[[#This Row],[Column1654]]</f>
        <v>97.76</v>
      </c>
      <c r="BKQ16">
        <f>SOFR3mo_PX[[#This Row],[Column1655]]</f>
        <v>97.754999999999995</v>
      </c>
      <c r="BKR16">
        <f>SOFR3mo_PX[[#This Row],[Column1656]]</f>
        <v>97.74</v>
      </c>
      <c r="BKS16">
        <f>SOFR3mo_PX[[#This Row],[Column1657]]</f>
        <v>97.74</v>
      </c>
      <c r="BKT16">
        <f>SOFR3mo_PX[[#This Row],[Column1658]]</f>
        <v>97.745000000000005</v>
      </c>
      <c r="BKU16">
        <f>SOFR3mo_PX[[#This Row],[Column1659]]</f>
        <v>97.704999999999998</v>
      </c>
      <c r="BKV16">
        <f>SOFR3mo_PX[[#This Row],[Column1660]]</f>
        <v>97.765000000000001</v>
      </c>
      <c r="BKW16">
        <f>SOFR3mo_PX[[#This Row],[Column1661]]</f>
        <v>97.795000000000002</v>
      </c>
      <c r="BKX16">
        <f>SOFR3mo_PX[[#This Row],[Column1662]]</f>
        <v>97.82</v>
      </c>
      <c r="BKY16">
        <f>SOFR3mo_PX[[#This Row],[Column1663]]</f>
        <v>97.784999999999997</v>
      </c>
      <c r="BKZ16">
        <f>SOFR3mo_PX[[#This Row],[Column1664]]</f>
        <v>97.73</v>
      </c>
      <c r="BLA16">
        <f>SOFR3mo_PX[[#This Row],[Column1665]]</f>
        <v>97.72</v>
      </c>
      <c r="BLB16">
        <f>SOFR3mo_PX[[#This Row],[Column1666]]</f>
        <v>97.715000000000003</v>
      </c>
      <c r="BLC16">
        <f>SOFR3mo_PX[[#This Row],[Column1667]]</f>
        <v>97.734999999999999</v>
      </c>
      <c r="BLD16">
        <f>SOFR3mo_PX[[#This Row],[Column1668]]</f>
        <v>97.76</v>
      </c>
      <c r="BLE16">
        <f>SOFR3mo_PX[[#This Row],[Column1669]]</f>
        <v>97.69</v>
      </c>
      <c r="BLF16">
        <f>SOFR3mo_PX[[#This Row],[Column1670]]</f>
        <v>97.64</v>
      </c>
      <c r="BLG16">
        <f>SOFR3mo_PX[[#This Row],[Column1671]]</f>
        <v>97.635000000000005</v>
      </c>
      <c r="BLH16">
        <f>SOFR3mo_PX[[#This Row],[Column1672]]</f>
        <v>97.625</v>
      </c>
      <c r="BLI16">
        <f>SOFR3mo_PX[[#This Row],[Column1673]]</f>
        <v>97.65</v>
      </c>
      <c r="BLJ16">
        <f>SOFR3mo_PX[[#This Row],[Column1674]]</f>
        <v>97.635000000000005</v>
      </c>
      <c r="BLK16">
        <f>SOFR3mo_PX[[#This Row],[Column1675]]</f>
        <v>97.64</v>
      </c>
      <c r="BLL16">
        <f>SOFR3mo_PX[[#This Row],[Column1676]]</f>
        <v>97.594999999999999</v>
      </c>
      <c r="BLM16">
        <f>SOFR3mo_PX[[#This Row],[Column1677]]</f>
        <v>97.594999999999999</v>
      </c>
      <c r="BLN16">
        <f>SOFR3mo_PX[[#This Row],[Column1678]]</f>
        <v>97.665000000000006</v>
      </c>
      <c r="BLO16">
        <f>SOFR3mo_PX[[#This Row],[Column1679]]</f>
        <v>97.694999999999993</v>
      </c>
      <c r="BLP16">
        <f>SOFR3mo_PX[[#This Row],[Column1680]]</f>
        <v>97.72</v>
      </c>
      <c r="BLQ16">
        <f>SOFR3mo_PX[[#This Row],[Column1681]]</f>
        <v>97.71</v>
      </c>
      <c r="BLR16">
        <f>SOFR3mo_PX[[#This Row],[Column1682]]</f>
        <v>97.715000000000003</v>
      </c>
      <c r="BLS16">
        <f>SOFR3mo_PX[[#This Row],[Column1683]]</f>
        <v>97.7</v>
      </c>
      <c r="BLT16">
        <f>SOFR3mo_PX[[#This Row],[Column1684]]</f>
        <v>97.704999999999998</v>
      </c>
      <c r="BLU16">
        <f>SOFR3mo_PX[[#This Row],[Column1685]]</f>
        <v>97.694999999999993</v>
      </c>
      <c r="BLV16">
        <f>SOFR3mo_PX[[#This Row],[Column1686]]</f>
        <v>97.765000000000001</v>
      </c>
      <c r="BLW16">
        <f>SOFR3mo_PX[[#This Row],[Column1687]]</f>
        <v>97.81</v>
      </c>
      <c r="BLX16">
        <f>SOFR3mo_PX[[#This Row],[Column1688]]</f>
        <v>97.875</v>
      </c>
      <c r="BLY16">
        <f>SOFR3mo_PX[[#This Row],[Column1689]]</f>
        <v>97.69</v>
      </c>
      <c r="BLZ16">
        <f>SOFR3mo_PX[[#This Row],[Column1690]]</f>
        <v>97.7</v>
      </c>
      <c r="BMA16">
        <f>SOFR3mo_PX[[#This Row],[Column1691]]</f>
        <v>97.7</v>
      </c>
      <c r="BMB16">
        <f>SOFR3mo_PX[[#This Row],[Column1692]]</f>
        <v>97.694999999999993</v>
      </c>
      <c r="BMC16">
        <f>SOFR3mo_PX[[#This Row],[Column1693]]</f>
        <v>97.685000000000002</v>
      </c>
      <c r="BMD16">
        <f>SOFR3mo_PX[[#This Row],[Column1694]]</f>
        <v>97.63</v>
      </c>
      <c r="BME16">
        <f>SOFR3mo_PX[[#This Row],[Column1695]]</f>
        <v>97.605000000000004</v>
      </c>
      <c r="BMF16">
        <f>SOFR3mo_PX[[#This Row],[Column1696]]</f>
        <v>97.605000000000004</v>
      </c>
      <c r="BMG16">
        <f>SOFR3mo_PX[[#This Row],[Column1697]]</f>
        <v>97.545000000000002</v>
      </c>
      <c r="BMH16">
        <f>SOFR3mo_PX[[#This Row],[Column1698]]</f>
        <v>97.51</v>
      </c>
      <c r="BMI16">
        <f>SOFR3mo_PX[[#This Row],[Column1699]]</f>
        <v>97.5</v>
      </c>
      <c r="BMJ16">
        <f>SOFR3mo_PX[[#This Row],[Column1700]]</f>
        <v>97.5</v>
      </c>
      <c r="BMK16">
        <f>SOFR3mo_PX[[#This Row],[Column1701]]</f>
        <v>97.45</v>
      </c>
      <c r="BML16">
        <f>SOFR3mo_PX[[#This Row],[Column1702]]</f>
        <v>97.415000000000006</v>
      </c>
      <c r="BMM16">
        <f>SOFR3mo_PX[[#This Row],[Column1703]]</f>
        <v>97.385000000000005</v>
      </c>
      <c r="BMN16">
        <f>SOFR3mo_PX[[#This Row],[Column1704]]</f>
        <v>97.39</v>
      </c>
      <c r="BMO16">
        <f>SOFR3mo_PX[[#This Row],[Column1705]]</f>
        <v>97.424999999999997</v>
      </c>
      <c r="BMP16">
        <f>SOFR3mo_PX[[#This Row],[Column1706]]</f>
        <v>97.465000000000003</v>
      </c>
      <c r="BMQ16">
        <f>SOFR3mo_PX[[#This Row],[Column1707]]</f>
        <v>97.43</v>
      </c>
      <c r="BMR16">
        <f>SOFR3mo_PX[[#This Row],[Column1708]]</f>
        <v>97.39</v>
      </c>
      <c r="BMS16">
        <f>SOFR3mo_PX[[#This Row],[Column1709]]</f>
        <v>97.284999999999997</v>
      </c>
      <c r="BMT16">
        <f>SOFR3mo_PX[[#This Row],[Column1710]]</f>
        <v>97.284999999999997</v>
      </c>
      <c r="BMU16">
        <f>SOFR3mo_PX[[#This Row],[Column1711]]</f>
        <v>97.254999999999995</v>
      </c>
      <c r="BMV16">
        <f>SOFR3mo_PX[[#This Row],[Column1712]]</f>
        <v>97.275000000000006</v>
      </c>
      <c r="BMW16">
        <f>SOFR3mo_PX[[#This Row],[Column1713]]</f>
        <v>97.27</v>
      </c>
      <c r="BMX16">
        <f>SOFR3mo_PX[[#This Row],[Column1714]]</f>
        <v>97.265000000000001</v>
      </c>
      <c r="BMY16">
        <f>SOFR3mo_PX[[#This Row],[Column1715]]</f>
        <v>97.23</v>
      </c>
      <c r="BMZ16">
        <f>SOFR3mo_PX[[#This Row],[Column1716]]</f>
        <v>97.215000000000003</v>
      </c>
      <c r="BNA16">
        <f>SOFR3mo_PX[[#This Row],[Column1717]]</f>
        <v>97.224999999999994</v>
      </c>
      <c r="BNB16">
        <f>SOFR3mo_PX[[#This Row],[Column1718]]</f>
        <v>97.224999999999994</v>
      </c>
      <c r="BNC16">
        <f>SOFR3mo_PX[[#This Row],[Column1719]]</f>
        <v>97.224999999999994</v>
      </c>
      <c r="BND16">
        <f>SOFR3mo_PX[[#This Row],[Column1720]]</f>
        <v>97.234999999999999</v>
      </c>
      <c r="BNE16">
        <f>SOFR3mo_PX[[#This Row],[Column1721]]</f>
        <v>97.24</v>
      </c>
      <c r="BNF16">
        <f>SOFR3mo_PX[[#This Row],[Column1722]]</f>
        <v>97.204999999999998</v>
      </c>
      <c r="BNG16">
        <f>SOFR3mo_PX[[#This Row],[Column1723]]</f>
        <v>97.155000000000001</v>
      </c>
      <c r="BNH16">
        <f>SOFR3mo_PX[[#This Row],[Column1724]]</f>
        <v>97.144999999999996</v>
      </c>
      <c r="BNI16">
        <f>SOFR3mo_PX[[#This Row],[Column1725]]</f>
        <v>97.09</v>
      </c>
      <c r="BNJ16">
        <f>SOFR3mo_PX[[#This Row],[Column1726]]</f>
        <v>97.07</v>
      </c>
      <c r="BNK16">
        <f>SOFR3mo_PX[[#This Row],[Column1727]]</f>
        <v>97.05</v>
      </c>
      <c r="BNL16">
        <f>SOFR3mo_PX[[#This Row],[Column1728]]</f>
        <v>97.034999999999997</v>
      </c>
      <c r="BNM16">
        <f>SOFR3mo_PX[[#This Row],[Column1729]]</f>
        <v>97.07</v>
      </c>
      <c r="BNN16">
        <f>SOFR3mo_PX[[#This Row],[Column1730]]</f>
        <v>97.08</v>
      </c>
      <c r="BNO16">
        <f>SOFR3mo_PX[[#This Row],[Column1731]]</f>
        <v>97.09</v>
      </c>
      <c r="BNP16">
        <f>SOFR3mo_PX[[#This Row],[Column1732]]</f>
        <v>97.094999999999999</v>
      </c>
      <c r="BNQ16">
        <f>SOFR3mo_PX[[#This Row],[Column1733]]</f>
        <v>97.135000000000005</v>
      </c>
      <c r="BNR16">
        <f>SOFR3mo_PX[[#This Row],[Column1734]]</f>
        <v>97.125</v>
      </c>
      <c r="BNS16">
        <f>SOFR3mo_PX[[#This Row],[Column1735]]</f>
        <v>97.155000000000001</v>
      </c>
      <c r="BNT16">
        <f>SOFR3mo_PX[[#This Row],[Column1736]]</f>
        <v>97.155000000000001</v>
      </c>
      <c r="BNU16">
        <f>SOFR3mo_PX[[#This Row],[Column1737]]</f>
        <v>97.16</v>
      </c>
      <c r="BNV16">
        <f>SOFR3mo_PX[[#This Row],[Column1738]]</f>
        <v>97.09</v>
      </c>
      <c r="BNW16">
        <f>SOFR3mo_PX[[#This Row],[Column1739]]</f>
        <v>97.09</v>
      </c>
      <c r="BNX16">
        <f>SOFR3mo_PX[[#This Row],[Column1740]]</f>
        <v>97.06</v>
      </c>
      <c r="BNY16">
        <f>SOFR3mo_PX[[#This Row],[Column1741]]</f>
        <v>97.025000000000006</v>
      </c>
      <c r="BNZ16">
        <f>SOFR3mo_PX[[#This Row],[Column1742]]</f>
        <v>97.02</v>
      </c>
      <c r="BOA16">
        <f>SOFR3mo_PX[[#This Row],[Column1743]]</f>
        <v>97.04</v>
      </c>
      <c r="BOB16">
        <f>SOFR3mo_PX[[#This Row],[Column1744]]</f>
        <v>97.03</v>
      </c>
      <c r="BOC16">
        <f>SOFR3mo_PX[[#This Row],[Column1745]]</f>
        <v>97.03</v>
      </c>
      <c r="BOD16">
        <f>SOFR3mo_PX[[#This Row],[Column1746]]</f>
        <v>97.034999999999997</v>
      </c>
      <c r="BOE16">
        <f>SOFR3mo_PX[[#This Row],[Column1747]]</f>
        <v>97.045000000000002</v>
      </c>
      <c r="BOF16">
        <f>SOFR3mo_PX[[#This Row],[Column1748]]</f>
        <v>97.025000000000006</v>
      </c>
      <c r="BOG16">
        <f>SOFR3mo_PX[[#This Row],[Column1749]]</f>
        <v>96.974999999999994</v>
      </c>
      <c r="BOH16">
        <f>SOFR3mo_PX[[#This Row],[Column1750]]</f>
        <v>96.965000000000003</v>
      </c>
      <c r="BOI16">
        <f>SOFR3mo_PX[[#This Row],[Column1751]]</f>
        <v>96.97</v>
      </c>
      <c r="BOJ16">
        <f>SOFR3mo_PX[[#This Row],[Column1752]]</f>
        <v>96.974999999999994</v>
      </c>
      <c r="BOK16">
        <f>SOFR3mo_PX[[#This Row],[Column1753]]</f>
        <v>97</v>
      </c>
      <c r="BOL16">
        <f>SOFR3mo_PX[[#This Row],[Column1754]]</f>
        <v>97.034999999999997</v>
      </c>
      <c r="BOM16">
        <f>SOFR3mo_PX[[#This Row],[Column1755]]</f>
        <v>97.084999999999994</v>
      </c>
      <c r="BON16">
        <f>SOFR3mo_PX[[#This Row],[Column1756]]</f>
        <v>97.075000000000003</v>
      </c>
      <c r="BOO16">
        <f>SOFR3mo_PX[[#This Row],[Column1757]]</f>
        <v>97.075000000000003</v>
      </c>
      <c r="BOP16">
        <f>SOFR3mo_PX[[#This Row],[Column1758]]</f>
        <v>97.055000000000007</v>
      </c>
      <c r="BOQ16">
        <f>SOFR3mo_PX[[#This Row],[Column1759]]</f>
        <v>97.055000000000007</v>
      </c>
      <c r="BOR16">
        <f>SOFR3mo_PX[[#This Row],[Column1760]]</f>
        <v>97.045000000000002</v>
      </c>
      <c r="BOS16">
        <f>SOFR3mo_PX[[#This Row],[Column1761]]</f>
        <v>97.06</v>
      </c>
      <c r="BOT16">
        <f>SOFR3mo_PX[[#This Row],[Column1762]]</f>
        <v>97.064999999999998</v>
      </c>
      <c r="BOU16">
        <f>SOFR3mo_PX[[#This Row],[Column1763]]</f>
        <v>97.055000000000007</v>
      </c>
      <c r="BOV16">
        <f>SOFR3mo_PX[[#This Row],[Column1764]]</f>
        <v>97.075000000000003</v>
      </c>
      <c r="BOW16">
        <f>SOFR3mo_PX[[#This Row],[Column1765]]</f>
        <v>97.114999999999995</v>
      </c>
      <c r="BOX16">
        <f>SOFR3mo_PX[[#This Row],[Column1766]]</f>
        <v>97.144999999999996</v>
      </c>
      <c r="BOY16">
        <f>SOFR3mo_PX[[#This Row],[Column1767]]</f>
        <v>97.144999999999996</v>
      </c>
      <c r="BOZ16">
        <f>SOFR3mo_PX[[#This Row],[Column1768]]</f>
        <v>97.18</v>
      </c>
      <c r="BPA16">
        <f>SOFR3mo_PX[[#This Row],[Column1769]]</f>
        <v>97.204999999999998</v>
      </c>
      <c r="BPB16">
        <f>SOFR3mo_PX[[#This Row],[Column1770]]</f>
        <v>97.204999999999998</v>
      </c>
      <c r="BPC16">
        <f>SOFR3mo_PX[[#This Row],[Column1771]]</f>
        <v>97.254999999999995</v>
      </c>
      <c r="BPD16">
        <f>SOFR3mo_PX[[#This Row],[Column1772]]</f>
        <v>97.254999999999995</v>
      </c>
      <c r="BPE16">
        <f>SOFR3mo_PX[[#This Row],[Column1773]]</f>
        <v>97.314999999999998</v>
      </c>
      <c r="BPF16">
        <f>SOFR3mo_PX[[#This Row],[Column1774]]</f>
        <v>97.3</v>
      </c>
      <c r="BPG16">
        <f>SOFR3mo_PX[[#This Row],[Column1775]]</f>
        <v>97.305000000000007</v>
      </c>
      <c r="BPH16">
        <f>SOFR3mo_PX[[#This Row],[Column1776]]</f>
        <v>97.325000000000003</v>
      </c>
      <c r="BPI16">
        <f>SOFR3mo_PX[[#This Row],[Column1777]]</f>
        <v>97.325000000000003</v>
      </c>
      <c r="BPJ16">
        <f>SOFR3mo_PX[[#This Row],[Column1778]]</f>
        <v>97.29</v>
      </c>
      <c r="BPK16">
        <f>SOFR3mo_PX[[#This Row],[Column1779]]</f>
        <v>97.28</v>
      </c>
      <c r="BPL16">
        <f>SOFR3mo_PX[[#This Row],[Column1780]]</f>
        <v>97.295000000000002</v>
      </c>
      <c r="BPM16">
        <f>SOFR3mo_PX[[#This Row],[Column1781]]</f>
        <v>97.31</v>
      </c>
      <c r="BPN16">
        <f>SOFR3mo_PX[[#This Row],[Column1782]]</f>
        <v>97.33</v>
      </c>
      <c r="BPO16">
        <f>SOFR3mo_PX[[#This Row],[Column1783]]</f>
        <v>97.33</v>
      </c>
      <c r="BPP16">
        <f>SOFR3mo_PX[[#This Row],[Column1784]]</f>
        <v>97.35</v>
      </c>
      <c r="BPQ16">
        <f>SOFR3mo_PX[[#This Row],[Column1785]]</f>
        <v>97.34</v>
      </c>
      <c r="BPR16">
        <f>SOFR3mo_PX[[#This Row],[Column1786]]</f>
        <v>97.35</v>
      </c>
      <c r="BPS16">
        <f>SOFR3mo_PX[[#This Row],[Column1787]]</f>
        <v>97.325000000000003</v>
      </c>
      <c r="BPT16">
        <f>SOFR3mo_PX[[#This Row],[Column1788]]</f>
        <v>97.32</v>
      </c>
      <c r="BPU16">
        <f>SOFR3mo_PX[[#This Row],[Column1789]]</f>
        <v>97.34</v>
      </c>
      <c r="BPV16">
        <f>SOFR3mo_PX[[#This Row],[Column1790]]</f>
        <v>97.305000000000007</v>
      </c>
      <c r="BPW16">
        <f>SOFR3mo_PX[[#This Row],[Column1791]]</f>
        <v>97.33</v>
      </c>
      <c r="BPX16">
        <f>SOFR3mo_PX[[#This Row],[Column1792]]</f>
        <v>97.334999999999994</v>
      </c>
      <c r="BPY16">
        <f>SOFR3mo_PX[[#This Row],[Column1793]]</f>
        <v>97.27</v>
      </c>
      <c r="BPZ16">
        <f>SOFR3mo_PX[[#This Row],[Column1794]]</f>
        <v>97.254999999999995</v>
      </c>
      <c r="BQA16">
        <f>SOFR3mo_PX[[#This Row],[Column1795]]</f>
        <v>97.25</v>
      </c>
      <c r="BQB16">
        <f>SOFR3mo_PX[[#This Row],[Column1796]]</f>
        <v>97.254999999999995</v>
      </c>
      <c r="BQC16">
        <f>SOFR3mo_PX[[#This Row],[Column1797]]</f>
        <v>97.245000000000005</v>
      </c>
      <c r="BQD16">
        <f>SOFR3mo_PX[[#This Row],[Column1798]]</f>
        <v>97.234999999999999</v>
      </c>
      <c r="BQE16">
        <f>SOFR3mo_PX[[#This Row],[Column1799]]</f>
        <v>97.245000000000005</v>
      </c>
      <c r="BQF16">
        <f>SOFR3mo_PX[[#This Row],[Column1800]]</f>
        <v>97.25</v>
      </c>
      <c r="BQG16">
        <f>SOFR3mo_PX[[#This Row],[Column1801]]</f>
        <v>97.25</v>
      </c>
      <c r="BQH16">
        <f>SOFR3mo_PX[[#This Row],[Column1802]]</f>
        <v>97.24</v>
      </c>
      <c r="BQI16">
        <f>SOFR3mo_PX[[#This Row],[Column1803]]</f>
        <v>97.234999999999999</v>
      </c>
      <c r="BQJ16">
        <f>SOFR3mo_PX[[#This Row],[Column1804]]</f>
        <v>97.28</v>
      </c>
      <c r="BQK16">
        <f>SOFR3mo_PX[[#This Row],[Column1805]]</f>
        <v>97.28</v>
      </c>
      <c r="BQL16">
        <f>SOFR3mo_PX[[#This Row],[Column1806]]</f>
        <v>97.29</v>
      </c>
      <c r="BQM16">
        <f>SOFR3mo_PX[[#This Row],[Column1807]]</f>
        <v>97.325000000000003</v>
      </c>
      <c r="BQN16">
        <f>SOFR3mo_PX[[#This Row],[Column1808]]</f>
        <v>97.33</v>
      </c>
      <c r="BQO16">
        <f>SOFR3mo_PX[[#This Row],[Column1809]]</f>
        <v>97.314999999999998</v>
      </c>
      <c r="BQP16">
        <f>SOFR3mo_PX[[#This Row],[Column1810]]</f>
        <v>97.32</v>
      </c>
      <c r="BQQ16">
        <f>SOFR3mo_PX[[#This Row],[Column1811]]</f>
        <v>97.344999999999999</v>
      </c>
      <c r="BQR16">
        <f>SOFR3mo_PX[[#This Row],[Column1812]]</f>
        <v>97.355000000000004</v>
      </c>
      <c r="BQS16">
        <f>SOFR3mo_PX[[#This Row],[Column1813]]</f>
        <v>97.34</v>
      </c>
      <c r="BQT16">
        <f>SOFR3mo_PX[[#This Row],[Column1814]]</f>
        <v>97.344999999999999</v>
      </c>
      <c r="BQU16">
        <f>SOFR3mo_PX[[#This Row],[Column1815]]</f>
        <v>97.34</v>
      </c>
      <c r="BQV16">
        <f>SOFR3mo_PX[[#This Row],[Column1816]]</f>
        <v>97.35</v>
      </c>
      <c r="BQW16">
        <f>SOFR3mo_PX[[#This Row],[Column1817]]</f>
        <v>97.36</v>
      </c>
      <c r="BQX16">
        <f>SOFR3mo_PX[[#This Row],[Column1818]]</f>
        <v>97.34</v>
      </c>
      <c r="BQY16">
        <f>SOFR3mo_PX[[#This Row],[Column1819]]</f>
        <v>97.355000000000004</v>
      </c>
      <c r="BQZ16">
        <f>SOFR3mo_PX[[#This Row],[Column1820]]</f>
        <v>97.355000000000004</v>
      </c>
      <c r="BRA16">
        <f>SOFR3mo_PX[[#This Row],[Column1821]]</f>
        <v>97.35</v>
      </c>
      <c r="BRB16">
        <f>SOFR3mo_PX[[#This Row],[Column1822]]</f>
        <v>97.35</v>
      </c>
      <c r="BRC16">
        <f>SOFR3mo_PX[[#This Row],[Column1823]]</f>
        <v>97.355000000000004</v>
      </c>
      <c r="BRD16">
        <f>SOFR3mo_PX[[#This Row],[Column1824]]</f>
        <v>97.35</v>
      </c>
      <c r="BRE16">
        <f>SOFR3mo_PX[[#This Row],[Column1825]]</f>
        <v>97.305000000000007</v>
      </c>
      <c r="BRF16">
        <f>SOFR3mo_PX[[#This Row],[Column1826]]</f>
        <v>97.29</v>
      </c>
      <c r="BRG16">
        <f>SOFR3mo_PX[[#This Row],[Column1827]]</f>
        <v>97.26</v>
      </c>
      <c r="BRH16">
        <f>SOFR3mo_PX[[#This Row],[Column1828]]</f>
        <v>97.26</v>
      </c>
      <c r="BRI16">
        <f>SOFR3mo_PX[[#This Row],[Column1829]]</f>
        <v>97.25</v>
      </c>
      <c r="BRJ16">
        <f>SOFR3mo_PX[[#This Row],[Column1830]]</f>
        <v>97.254999999999995</v>
      </c>
      <c r="BRK16">
        <f>SOFR3mo_PX[[#This Row],[Column1831]]</f>
        <v>97.224999999999994</v>
      </c>
      <c r="BRL16">
        <f>SOFR3mo_PX[[#This Row],[Column1832]]</f>
        <v>97.234999999999999</v>
      </c>
      <c r="BRM16">
        <f>SOFR3mo_PX[[#This Row],[Column1833]]</f>
        <v>97.22</v>
      </c>
      <c r="BRN16">
        <f>SOFR3mo_PX[[#This Row],[Column1834]]</f>
        <v>97.22</v>
      </c>
      <c r="BRO16">
        <f>SOFR3mo_PX[[#This Row],[Column1835]]</f>
        <v>97.254999999999995</v>
      </c>
      <c r="BRP16">
        <f>SOFR3mo_PX[[#This Row],[Column1836]]</f>
        <v>97.27</v>
      </c>
      <c r="BRQ16">
        <f>SOFR3mo_PX[[#This Row],[Column1837]]</f>
        <v>97.28</v>
      </c>
      <c r="BRR16">
        <f>SOFR3mo_PX[[#This Row],[Column1838]]</f>
        <v>97.245000000000005</v>
      </c>
      <c r="BRS16">
        <f>SOFR3mo_PX[[#This Row],[Column1839]]</f>
        <v>97.234999999999999</v>
      </c>
      <c r="BRT16">
        <f>SOFR3mo_PX[[#This Row],[Column1840]]</f>
        <v>97.275000000000006</v>
      </c>
      <c r="BRU16">
        <f>SOFR3mo_PX[[#This Row],[Column1841]]</f>
        <v>97.254999999999995</v>
      </c>
      <c r="BRV16">
        <f>SOFR3mo_PX[[#This Row],[Column1842]]</f>
        <v>97.295000000000002</v>
      </c>
      <c r="BRW16">
        <f>SOFR3mo_PX[[#This Row],[Column1843]]</f>
        <v>97.364999999999995</v>
      </c>
      <c r="BRX16">
        <f>SOFR3mo_PX[[#This Row],[Column1844]]</f>
        <v>97.36</v>
      </c>
      <c r="BRY16">
        <f>SOFR3mo_PX[[#This Row],[Column1845]]</f>
        <v>97.454999999999998</v>
      </c>
      <c r="BRZ16">
        <f>SOFR3mo_PX[[#This Row],[Column1846]]</f>
        <v>97.24</v>
      </c>
      <c r="BSA16">
        <f>SOFR3mo_PX[[#This Row],[Column1847]]</f>
        <v>97.24</v>
      </c>
      <c r="BSB16">
        <f>SOFR3mo_PX[[#This Row],[Column1848]]</f>
        <v>97.21</v>
      </c>
      <c r="BSC16">
        <f>SOFR3mo_PX[[#This Row],[Column1849]]</f>
        <v>97.18</v>
      </c>
      <c r="BSD16">
        <f>SOFR3mo_PX[[#This Row],[Column1850]]</f>
        <v>97.13</v>
      </c>
      <c r="BSE16">
        <f>SOFR3mo_PX[[#This Row],[Column1851]]</f>
        <v>97.12</v>
      </c>
      <c r="BSF16">
        <f>SOFR3mo_PX[[#This Row],[Column1852]]</f>
        <v>97.135000000000005</v>
      </c>
      <c r="BSG16">
        <f>SOFR3mo_PX[[#This Row],[Column1853]]</f>
        <v>97.11</v>
      </c>
      <c r="BSH16">
        <f>SOFR3mo_PX[[#This Row],[Column1854]]</f>
        <v>97.125</v>
      </c>
      <c r="BSI16">
        <f>SOFR3mo_PX[[#This Row],[Column1855]]</f>
        <v>97.135000000000005</v>
      </c>
      <c r="BSJ16">
        <f>SOFR3mo_PX[[#This Row],[Column1856]]</f>
        <v>97.165000000000006</v>
      </c>
      <c r="BSK16">
        <f>SOFR3mo_PX[[#This Row],[Column1857]]</f>
        <v>97.17</v>
      </c>
      <c r="BSL16">
        <f>SOFR3mo_PX[[#This Row],[Column1858]]</f>
        <v>97.185000000000002</v>
      </c>
      <c r="BSM16">
        <f>SOFR3mo_PX[[#This Row],[Column1859]]</f>
        <v>97.204999999999998</v>
      </c>
      <c r="BSN16">
        <f>SOFR3mo_PX[[#This Row],[Column1860]]</f>
        <v>97.23</v>
      </c>
      <c r="BSO16">
        <f>SOFR3mo_PX[[#This Row],[Column1861]]</f>
        <v>97.24</v>
      </c>
      <c r="BSP16">
        <f>SOFR3mo_PX[[#This Row],[Column1862]]</f>
        <v>97.265000000000001</v>
      </c>
      <c r="BSQ16" t="str">
        <f>SOFR3mo_PX[[#This Row],[Column1863]]</f>
        <v>#N/A N/A</v>
      </c>
      <c r="BSR16" t="str">
        <f>SOFR3mo_PX[[#This Row],[Column1864]]</f>
        <v>#N/A N/A</v>
      </c>
      <c r="BSS16" t="str">
        <f>SOFR3mo_PX[[#This Row],[Column1865]]</f>
        <v>#N/A N/A</v>
      </c>
      <c r="BST16" t="str">
        <f>SOFR3mo_PX[[#This Row],[Column1866]]</f>
        <v>#N/A N/A</v>
      </c>
      <c r="BSU16" t="str">
        <f>SOFR3mo_PX[[#This Row],[Column1867]]</f>
        <v>#N/A N/A</v>
      </c>
      <c r="BSV16" t="str">
        <f>SOFR3mo_PX[[#This Row],[Column1868]]</f>
        <v>#N/A N/A</v>
      </c>
      <c r="BSW16" t="str">
        <f>SOFR3mo_PX[[#This Row],[Column1869]]</f>
        <v>#N/A N/A</v>
      </c>
      <c r="BSX16" t="str">
        <f>SOFR3mo_PX[[#This Row],[Column1870]]</f>
        <v>#N/A N/A</v>
      </c>
      <c r="BSY16" t="str">
        <f>SOFR3mo_PX[[#This Row],[Column1871]]</f>
        <v>#N/A N/A</v>
      </c>
      <c r="BSZ16" t="str">
        <f>SOFR3mo_PX[[#This Row],[Column1872]]</f>
        <v>#N/A N/A</v>
      </c>
      <c r="BTA16" t="str">
        <f>SOFR3mo_PX[[#This Row],[Column1873]]</f>
        <v>#N/A N/A</v>
      </c>
      <c r="BTB16" t="str">
        <f>SOFR3mo_PX[[#This Row],[Column1874]]</f>
        <v>#N/A N/A</v>
      </c>
      <c r="BTC16" t="str">
        <f>SOFR3mo_PX[[#This Row],[Column1875]]</f>
        <v>#N/A N/A</v>
      </c>
      <c r="BTD16" t="str">
        <f>SOFR3mo_PX[[#This Row],[Column1876]]</f>
        <v>#N/A N/A</v>
      </c>
      <c r="BTE16" t="str">
        <f>SOFR3mo_PX[[#This Row],[Column1877]]</f>
        <v>#N/A N/A</v>
      </c>
      <c r="BTF16" t="str">
        <f>SOFR3mo_PX[[#This Row],[Column1878]]</f>
        <v>#N/A N/A</v>
      </c>
      <c r="BTG16" t="str">
        <f>SOFR3mo_PX[[#This Row],[Column1879]]</f>
        <v>#N/A N/A</v>
      </c>
      <c r="BTH16" t="str">
        <f>SOFR3mo_PX[[#This Row],[Column1880]]</f>
        <v>#N/A N/A</v>
      </c>
      <c r="BTI16" t="str">
        <f>SOFR3mo_PX[[#This Row],[Column1881]]</f>
        <v>#N/A N/A</v>
      </c>
      <c r="BTJ16" t="str">
        <f>SOFR3mo_PX[[#This Row],[Column1882]]</f>
        <v>#N/A N/A</v>
      </c>
      <c r="BTK16" t="str">
        <f>SOFR3mo_PX[[#This Row],[Column1883]]</f>
        <v>#N/A N/A</v>
      </c>
      <c r="BTL16" t="str">
        <f>SOFR3mo_PX[[#This Row],[Column1884]]</f>
        <v>#N/A N/A</v>
      </c>
      <c r="BTM16" t="str">
        <f>SOFR3mo_PX[[#This Row],[Column1885]]</f>
        <v>#N/A N/A</v>
      </c>
      <c r="BTN16" t="str">
        <f>SOFR3mo_PX[[#This Row],[Column1886]]</f>
        <v>#N/A N/A</v>
      </c>
      <c r="BTO16" t="str">
        <f>SOFR3mo_PX[[#This Row],[Column1887]]</f>
        <v>#N/A N/A</v>
      </c>
      <c r="BTP16" t="str">
        <f>SOFR3mo_PX[[#This Row],[Column1888]]</f>
        <v>#N/A N/A</v>
      </c>
      <c r="BTQ16" t="str">
        <f>SOFR3mo_PX[[#This Row],[Column1889]]</f>
        <v>#N/A N/A</v>
      </c>
      <c r="BTR16" t="str">
        <f>SOFR3mo_PX[[#This Row],[Column1890]]</f>
        <v>#N/A N/A</v>
      </c>
      <c r="BTS16" t="str">
        <f>SOFR3mo_PX[[#This Row],[Column1891]]</f>
        <v>#N/A N/A</v>
      </c>
      <c r="BTT16" t="str">
        <f>SOFR3mo_PX[[#This Row],[Column1892]]</f>
        <v>#N/A N/A</v>
      </c>
      <c r="BTU16" t="str">
        <f>SOFR3mo_PX[[#This Row],[Column1893]]</f>
        <v>#N/A N/A</v>
      </c>
      <c r="BTV16" t="str">
        <f>SOFR3mo_PX[[#This Row],[Column1894]]</f>
        <v>#N/A N/A</v>
      </c>
      <c r="BTW16" t="str">
        <f>SOFR3mo_PX[[#This Row],[Column1895]]</f>
        <v>#N/A N/A</v>
      </c>
      <c r="BTX16" t="str">
        <f>SOFR3mo_PX[[#This Row],[Column1896]]</f>
        <v>#N/A N/A</v>
      </c>
      <c r="BTY16" t="str">
        <f>SOFR3mo_PX[[#This Row],[Column1897]]</f>
        <v>#N/A N/A</v>
      </c>
      <c r="BTZ16" t="str">
        <f>SOFR3mo_PX[[#This Row],[Column1898]]</f>
        <v>#N/A N/A</v>
      </c>
      <c r="BUA16" t="str">
        <f>SOFR3mo_PX[[#This Row],[Column1899]]</f>
        <v>#N/A N/A</v>
      </c>
      <c r="BUB16" t="str">
        <f>SOFR3mo_PX[[#This Row],[Column1900]]</f>
        <v>#N/A N/A</v>
      </c>
      <c r="BUC16" t="str">
        <f>SOFR3mo_PX[[#This Row],[Column1901]]</f>
        <v>#N/A N/A</v>
      </c>
      <c r="BUD16" t="str">
        <f>SOFR3mo_PX[[#This Row],[Column1902]]</f>
        <v>#N/A N/A</v>
      </c>
      <c r="BUE16" t="str">
        <f>SOFR3mo_PX[[#This Row],[Column1903]]</f>
        <v>#N/A N/A</v>
      </c>
      <c r="BUF16" t="str">
        <f>SOFR3mo_PX[[#This Row],[Column1904]]</f>
        <v>#N/A N/A</v>
      </c>
      <c r="BUG16" t="str">
        <f>SOFR3mo_PX[[#This Row],[Column1905]]</f>
        <v>#N/A N/A</v>
      </c>
      <c r="BUH16" t="str">
        <f>SOFR3mo_PX[[#This Row],[Column1906]]</f>
        <v>#N/A N/A</v>
      </c>
      <c r="BUI16" t="str">
        <f>SOFR3mo_PX[[#This Row],[Column1907]]</f>
        <v>#N/A N/A</v>
      </c>
      <c r="BUJ16" t="str">
        <f>SOFR3mo_PX[[#This Row],[Column1908]]</f>
        <v>#N/A N/A</v>
      </c>
      <c r="BUK16" t="str">
        <f>SOFR3mo_PX[[#This Row],[Column1909]]</f>
        <v>#N/A N/A</v>
      </c>
      <c r="BUL16" t="str">
        <f>SOFR3mo_PX[[#This Row],[Column1910]]</f>
        <v>#N/A N/A</v>
      </c>
      <c r="BUM16" t="str">
        <f>SOFR3mo_PX[[#This Row],[Column1911]]</f>
        <v>#N/A N/A</v>
      </c>
      <c r="BUN16" t="str">
        <f>SOFR3mo_PX[[#This Row],[Column1912]]</f>
        <v>#N/A N/A</v>
      </c>
      <c r="BUO16" t="str">
        <f>SOFR3mo_PX[[#This Row],[Column1913]]</f>
        <v>#N/A N/A</v>
      </c>
      <c r="BUP16" t="str">
        <f>SOFR3mo_PX[[#This Row],[Column1914]]</f>
        <v>#N/A N/A</v>
      </c>
      <c r="BUQ16" t="str">
        <f>SOFR3mo_PX[[#This Row],[Column1915]]</f>
        <v>#N/A N/A</v>
      </c>
      <c r="BUR16" t="str">
        <f>SOFR3mo_PX[[#This Row],[Column1916]]</f>
        <v>#N/A N/A</v>
      </c>
      <c r="BUS16" t="str">
        <f>SOFR3mo_PX[[#This Row],[Column1917]]</f>
        <v>#N/A N/A</v>
      </c>
      <c r="BUT16" t="str">
        <f>SOFR3mo_PX[[#This Row],[Column1918]]</f>
        <v>#N/A N/A</v>
      </c>
      <c r="BUU16" t="str">
        <f>SOFR3mo_PX[[#This Row],[Column1919]]</f>
        <v>#N/A N/A</v>
      </c>
      <c r="BUV16" t="str">
        <f>SOFR3mo_PX[[#This Row],[Column1920]]</f>
        <v>#N/A N/A</v>
      </c>
      <c r="BUW16" t="str">
        <f>SOFR3mo_PX[[#This Row],[Column1921]]</f>
        <v>#N/A N/A</v>
      </c>
      <c r="BUX16" t="str">
        <f>SOFR3mo_PX[[#This Row],[Column1922]]</f>
        <v>#N/A N/A</v>
      </c>
      <c r="BUY16" t="str">
        <f>SOFR3mo_PX[[#This Row],[Column1923]]</f>
        <v>#N/A N/A</v>
      </c>
      <c r="BUZ16" t="str">
        <f>SOFR3mo_PX[[#This Row],[Column1924]]</f>
        <v>#N/A N/A</v>
      </c>
      <c r="BVA16" t="str">
        <f>SOFR3mo_PX[[#This Row],[Column1925]]</f>
        <v>#N/A N/A</v>
      </c>
      <c r="BVB16" t="str">
        <f>SOFR3mo_PX[[#This Row],[Column1926]]</f>
        <v>#N/A N/A</v>
      </c>
      <c r="BVC16" t="str">
        <f>SOFR3mo_PX[[#This Row],[Column1927]]</f>
        <v>#N/A N/A</v>
      </c>
      <c r="BVD16" t="str">
        <f>SOFR3mo_PX[[#This Row],[Column1928]]</f>
        <v>#N/A N/A</v>
      </c>
      <c r="BVE16" t="str">
        <f>SOFR3mo_PX[[#This Row],[Column1929]]</f>
        <v>#N/A N/A</v>
      </c>
      <c r="BVF16" t="str">
        <f>SOFR3mo_PX[[#This Row],[Column1930]]</f>
        <v>#N/A N/A</v>
      </c>
      <c r="BVG16" t="str">
        <f>SOFR3mo_PX[[#This Row],[Column1931]]</f>
        <v>#N/A N/A</v>
      </c>
      <c r="BVH16" t="str">
        <f>SOFR3mo_PX[[#This Row],[Column1932]]</f>
        <v>#N/A N/A</v>
      </c>
      <c r="BVI16" t="str">
        <f>SOFR3mo_PX[[#This Row],[Column1933]]</f>
        <v>#N/A N/A</v>
      </c>
      <c r="BVJ16" t="str">
        <f>SOFR3mo_PX[[#This Row],[Column1934]]</f>
        <v>#N/A N/A</v>
      </c>
      <c r="BVK16" t="str">
        <f>SOFR3mo_PX[[#This Row],[Column1935]]</f>
        <v>#N/A N/A</v>
      </c>
      <c r="BVL16" t="str">
        <f>SOFR3mo_PX[[#This Row],[Column1936]]</f>
        <v>#N/A N/A</v>
      </c>
      <c r="BVM16" t="str">
        <f>SOFR3mo_PX[[#This Row],[Column1937]]</f>
        <v>#N/A N/A</v>
      </c>
      <c r="BVN16" t="str">
        <f>SOFR3mo_PX[[#This Row],[Column1938]]</f>
        <v>#N/A N/A</v>
      </c>
      <c r="BVO16" t="str">
        <f>SOFR3mo_PX[[#This Row],[Column1939]]</f>
        <v>#N/A N/A</v>
      </c>
      <c r="BVP16" t="str">
        <f>SOFR3mo_PX[[#This Row],[Column1940]]</f>
        <v>#N/A N/A</v>
      </c>
      <c r="BVQ16" t="str">
        <f>SOFR3mo_PX[[#This Row],[Column1941]]</f>
        <v>#N/A N/A</v>
      </c>
      <c r="BVR16" t="str">
        <f>SOFR3mo_PX[[#This Row],[Column1942]]</f>
        <v>#N/A N/A</v>
      </c>
      <c r="BVS16" t="str">
        <f>SOFR3mo_PX[[#This Row],[Column1943]]</f>
        <v>#N/A N/A</v>
      </c>
      <c r="BVT16" t="str">
        <f>SOFR3mo_PX[[#This Row],[Column1944]]</f>
        <v>#N/A N/A</v>
      </c>
      <c r="BVU16" t="str">
        <f>SOFR3mo_PX[[#This Row],[Column1945]]</f>
        <v>#N/A N/A</v>
      </c>
      <c r="BVV16" t="str">
        <f>SOFR3mo_PX[[#This Row],[Column1946]]</f>
        <v>#N/A N/A</v>
      </c>
      <c r="BVW16" t="str">
        <f>SOFR3mo_PX[[#This Row],[Column1947]]</f>
        <v>#N/A N/A</v>
      </c>
      <c r="BVX16" t="str">
        <f>SOFR3mo_PX[[#This Row],[Column1948]]</f>
        <v>#N/A N/A</v>
      </c>
      <c r="BVY16" t="str">
        <f>SOFR3mo_PX[[#This Row],[Column1949]]</f>
        <v>#N/A N/A</v>
      </c>
      <c r="BVZ16" t="str">
        <f>SOFR3mo_PX[[#This Row],[Column1950]]</f>
        <v>#N/A N/A</v>
      </c>
      <c r="BWA16" t="str">
        <f>SOFR3mo_PX[[#This Row],[Column1951]]</f>
        <v>#N/A N/A</v>
      </c>
      <c r="BWB16" t="str">
        <f>SOFR3mo_PX[[#This Row],[Column1952]]</f>
        <v>#N/A N/A</v>
      </c>
      <c r="BWC16" t="str">
        <f>SOFR3mo_PX[[#This Row],[Column1953]]</f>
        <v>#N/A N/A</v>
      </c>
      <c r="BWD16" t="str">
        <f>SOFR3mo_PX[[#This Row],[Column1954]]</f>
        <v>#N/A N/A</v>
      </c>
    </row>
    <row r="17" spans="1:1954" x14ac:dyDescent="0.25">
      <c r="A17" t="str">
        <f>SOFR3mo_PX[[#This Row],[Column1]]</f>
        <v>SFR15 Comdty</v>
      </c>
      <c r="B17">
        <f>IF(rtd!B15&lt;&gt;"",rtd!B15,SOFR3mo_PX[[#This Row],[Column2]])</f>
        <v>96.425000000000011</v>
      </c>
      <c r="C17">
        <f>SOFR3mo_PX[[#This Row],[Column3]]</f>
        <v>96.385000000000005</v>
      </c>
      <c r="D17">
        <f>SOFR3mo_PX[[#This Row],[Column4]]</f>
        <v>96.385000000000005</v>
      </c>
      <c r="E17">
        <f>SOFR3mo_PX[[#This Row],[Column5]]</f>
        <v>96.43</v>
      </c>
      <c r="F17">
        <f>SOFR3mo_PX[[#This Row],[Column6]]</f>
        <v>96.37</v>
      </c>
      <c r="G17">
        <f>SOFR3mo_PX[[#This Row],[Column7]]</f>
        <v>96.385000000000005</v>
      </c>
      <c r="H17">
        <f>SOFR3mo_PX[[#This Row],[Column8]]</f>
        <v>96.43</v>
      </c>
      <c r="I17">
        <f>SOFR3mo_PX[[#This Row],[Column9]]</f>
        <v>96.375</v>
      </c>
      <c r="J17">
        <f>SOFR3mo_PX[[#This Row],[Column10]]</f>
        <v>96.31</v>
      </c>
      <c r="K17">
        <f>SOFR3mo_PX[[#This Row],[Column11]]</f>
        <v>96.3</v>
      </c>
      <c r="L17">
        <f>SOFR3mo_PX[[#This Row],[Column12]]</f>
        <v>96.27</v>
      </c>
      <c r="M17">
        <f>SOFR3mo_PX[[#This Row],[Column13]]</f>
        <v>96.394999999999996</v>
      </c>
      <c r="N17">
        <f>SOFR3mo_PX[[#This Row],[Column14]]</f>
        <v>96.444999999999993</v>
      </c>
      <c r="O17">
        <f>SOFR3mo_PX[[#This Row],[Column15]]</f>
        <v>96.364999999999995</v>
      </c>
      <c r="P17">
        <f>SOFR3mo_PX[[#This Row],[Column16]]</f>
        <v>96.375</v>
      </c>
      <c r="Q17">
        <f>SOFR3mo_PX[[#This Row],[Column17]]</f>
        <v>96.424999999999997</v>
      </c>
      <c r="R17">
        <f>SOFR3mo_PX[[#This Row],[Column18]]</f>
        <v>96.405000000000001</v>
      </c>
      <c r="S17">
        <f>SOFR3mo_PX[[#This Row],[Column19]]</f>
        <v>96.36</v>
      </c>
      <c r="T17">
        <f>SOFR3mo_PX[[#This Row],[Column20]]</f>
        <v>96.4</v>
      </c>
      <c r="U17">
        <f>SOFR3mo_PX[[#This Row],[Column21]]</f>
        <v>96.32</v>
      </c>
      <c r="V17">
        <f>SOFR3mo_PX[[#This Row],[Column22]]</f>
        <v>96.32</v>
      </c>
      <c r="W17">
        <f>SOFR3mo_PX[[#This Row],[Column23]]</f>
        <v>96.28</v>
      </c>
      <c r="X17">
        <f>SOFR3mo_PX[[#This Row],[Column24]]</f>
        <v>96.234999999999999</v>
      </c>
      <c r="Y17">
        <f>SOFR3mo_PX[[#This Row],[Column25]]</f>
        <v>96.334999999999994</v>
      </c>
      <c r="Z17">
        <f>SOFR3mo_PX[[#This Row],[Column26]]</f>
        <v>96.314999999999998</v>
      </c>
      <c r="AA17">
        <f>SOFR3mo_PX[[#This Row],[Column27]]</f>
        <v>96.325000000000003</v>
      </c>
      <c r="AB17">
        <f>SOFR3mo_PX[[#This Row],[Column28]]</f>
        <v>96.305000000000007</v>
      </c>
      <c r="AC17">
        <f>SOFR3mo_PX[[#This Row],[Column29]]</f>
        <v>96.215000000000003</v>
      </c>
      <c r="AD17">
        <f>SOFR3mo_PX[[#This Row],[Column30]]</f>
        <v>96.254999999999995</v>
      </c>
      <c r="AE17">
        <f>SOFR3mo_PX[[#This Row],[Column31]]</f>
        <v>96.275000000000006</v>
      </c>
      <c r="AF17">
        <f>SOFR3mo_PX[[#This Row],[Column32]]</f>
        <v>96.39</v>
      </c>
      <c r="AG17">
        <f>SOFR3mo_PX[[#This Row],[Column33]]</f>
        <v>96.385000000000005</v>
      </c>
      <c r="AH17">
        <f>SOFR3mo_PX[[#This Row],[Column34]]</f>
        <v>96.52</v>
      </c>
      <c r="AI17">
        <f>SOFR3mo_PX[[#This Row],[Column35]]</f>
        <v>96.484999999999999</v>
      </c>
      <c r="AJ17">
        <f>SOFR3mo_PX[[#This Row],[Column36]]</f>
        <v>96.444999999999993</v>
      </c>
      <c r="AK17">
        <f>SOFR3mo_PX[[#This Row],[Column37]]</f>
        <v>96.454999999999998</v>
      </c>
      <c r="AL17">
        <f>SOFR3mo_PX[[#This Row],[Column38]]</f>
        <v>96.555000000000007</v>
      </c>
      <c r="AM17">
        <f>SOFR3mo_PX[[#This Row],[Column39]]</f>
        <v>96.6</v>
      </c>
      <c r="AN17">
        <f>SOFR3mo_PX[[#This Row],[Column40]]</f>
        <v>96.58</v>
      </c>
      <c r="AO17">
        <f>SOFR3mo_PX[[#This Row],[Column41]]</f>
        <v>96.53</v>
      </c>
      <c r="AP17">
        <f>SOFR3mo_PX[[#This Row],[Column42]]</f>
        <v>96.465000000000003</v>
      </c>
      <c r="AQ17">
        <f>SOFR3mo_PX[[#This Row],[Column43]]</f>
        <v>96.415000000000006</v>
      </c>
      <c r="AR17">
        <f>SOFR3mo_PX[[#This Row],[Column44]]</f>
        <v>96.334999999999994</v>
      </c>
      <c r="AS17">
        <f>SOFR3mo_PX[[#This Row],[Column45]]</f>
        <v>96.36</v>
      </c>
      <c r="AT17">
        <f>SOFR3mo_PX[[#This Row],[Column46]]</f>
        <v>96.364999999999995</v>
      </c>
      <c r="AU17">
        <f>SOFR3mo_PX[[#This Row],[Column47]]</f>
        <v>96.4</v>
      </c>
      <c r="AV17">
        <f>SOFR3mo_PX[[#This Row],[Column48]]</f>
        <v>96.4</v>
      </c>
      <c r="AW17">
        <f>SOFR3mo_PX[[#This Row],[Column49]]</f>
        <v>96.43</v>
      </c>
      <c r="AX17">
        <f>SOFR3mo_PX[[#This Row],[Column50]]</f>
        <v>96.355000000000004</v>
      </c>
      <c r="AY17">
        <f>SOFR3mo_PX[[#This Row],[Column51]]</f>
        <v>96.32</v>
      </c>
      <c r="AZ17">
        <f>SOFR3mo_PX[[#This Row],[Column52]]</f>
        <v>96.174999999999997</v>
      </c>
      <c r="BA17">
        <f>SOFR3mo_PX[[#This Row],[Column53]]</f>
        <v>96.32</v>
      </c>
      <c r="BB17">
        <f>SOFR3mo_PX[[#This Row],[Column54]]</f>
        <v>96.234999999999999</v>
      </c>
      <c r="BC17">
        <f>SOFR3mo_PX[[#This Row],[Column55]]</f>
        <v>96.44</v>
      </c>
      <c r="BD17">
        <f>SOFR3mo_PX[[#This Row],[Column56]]</f>
        <v>96.504999999999995</v>
      </c>
      <c r="BE17">
        <f>SOFR3mo_PX[[#This Row],[Column57]]</f>
        <v>96.65</v>
      </c>
      <c r="BF17">
        <f>SOFR3mo_PX[[#This Row],[Column58]]</f>
        <v>96.59</v>
      </c>
      <c r="BG17">
        <f>SOFR3mo_PX[[#This Row],[Column59]]</f>
        <v>96.385000000000005</v>
      </c>
      <c r="BH17">
        <f>SOFR3mo_PX[[#This Row],[Column60]]</f>
        <v>96.444999999999993</v>
      </c>
      <c r="BI17">
        <f>SOFR3mo_PX[[#This Row],[Column61]]</f>
        <v>96.35</v>
      </c>
      <c r="BJ17">
        <f>SOFR3mo_PX[[#This Row],[Column62]]</f>
        <v>96.344999999999999</v>
      </c>
      <c r="BK17">
        <f>SOFR3mo_PX[[#This Row],[Column63]]</f>
        <v>96.22</v>
      </c>
      <c r="BL17">
        <f>SOFR3mo_PX[[#This Row],[Column64]]</f>
        <v>96.24</v>
      </c>
      <c r="BM17">
        <f>SOFR3mo_PX[[#This Row],[Column65]]</f>
        <v>96.26</v>
      </c>
      <c r="BN17">
        <f>SOFR3mo_PX[[#This Row],[Column66]]</f>
        <v>96.215000000000003</v>
      </c>
      <c r="BO17">
        <f>SOFR3mo_PX[[#This Row],[Column67]]</f>
        <v>96.3</v>
      </c>
      <c r="BP17">
        <f>SOFR3mo_PX[[#This Row],[Column68]]</f>
        <v>96.3</v>
      </c>
      <c r="BQ17">
        <f>SOFR3mo_PX[[#This Row],[Column69]]</f>
        <v>96.275000000000006</v>
      </c>
      <c r="BR17">
        <f>SOFR3mo_PX[[#This Row],[Column70]]</f>
        <v>96.275000000000006</v>
      </c>
      <c r="BS17">
        <f>SOFR3mo_PX[[#This Row],[Column71]]</f>
        <v>96.234999999999999</v>
      </c>
      <c r="BT17">
        <f>SOFR3mo_PX[[#This Row],[Column72]]</f>
        <v>96.24</v>
      </c>
      <c r="BU17">
        <f>SOFR3mo_PX[[#This Row],[Column73]]</f>
        <v>96.295000000000002</v>
      </c>
      <c r="BV17">
        <f>SOFR3mo_PX[[#This Row],[Column74]]</f>
        <v>96.24</v>
      </c>
      <c r="BW17">
        <f>SOFR3mo_PX[[#This Row],[Column75]]</f>
        <v>96.275000000000006</v>
      </c>
      <c r="BX17">
        <f>SOFR3mo_PX[[#This Row],[Column76]]</f>
        <v>96.355000000000004</v>
      </c>
      <c r="BY17">
        <f>SOFR3mo_PX[[#This Row],[Column77]]</f>
        <v>96.21</v>
      </c>
      <c r="BZ17">
        <f>SOFR3mo_PX[[#This Row],[Column78]]</f>
        <v>96.245000000000005</v>
      </c>
      <c r="CA17">
        <f>SOFR3mo_PX[[#This Row],[Column79]]</f>
        <v>96.254999999999995</v>
      </c>
      <c r="CB17">
        <f>SOFR3mo_PX[[#This Row],[Column80]]</f>
        <v>96.34</v>
      </c>
      <c r="CC17">
        <f>SOFR3mo_PX[[#This Row],[Column81]]</f>
        <v>96.37</v>
      </c>
      <c r="CD17">
        <f>SOFR3mo_PX[[#This Row],[Column82]]</f>
        <v>96.33</v>
      </c>
      <c r="CE17">
        <f>SOFR3mo_PX[[#This Row],[Column83]]</f>
        <v>96.26</v>
      </c>
      <c r="CF17">
        <f>SOFR3mo_PX[[#This Row],[Column84]]</f>
        <v>96.295000000000002</v>
      </c>
      <c r="CG17">
        <f>SOFR3mo_PX[[#This Row],[Column85]]</f>
        <v>96.23</v>
      </c>
      <c r="CH17">
        <f>SOFR3mo_PX[[#This Row],[Column86]]</f>
        <v>96.09</v>
      </c>
      <c r="CI17">
        <f>SOFR3mo_PX[[#This Row],[Column87]]</f>
        <v>96.06</v>
      </c>
      <c r="CJ17">
        <f>SOFR3mo_PX[[#This Row],[Column88]]</f>
        <v>95.974999999999994</v>
      </c>
      <c r="CK17">
        <f>SOFR3mo_PX[[#This Row],[Column89]]</f>
        <v>95.935000000000002</v>
      </c>
      <c r="CL17">
        <f>SOFR3mo_PX[[#This Row],[Column90]]</f>
        <v>95.924999999999997</v>
      </c>
      <c r="CM17">
        <f>SOFR3mo_PX[[#This Row],[Column91]]</f>
        <v>95.995000000000005</v>
      </c>
      <c r="CN17">
        <f>SOFR3mo_PX[[#This Row],[Column92]]</f>
        <v>95.995000000000005</v>
      </c>
      <c r="CO17">
        <f>SOFR3mo_PX[[#This Row],[Column93]]</f>
        <v>95.924999999999997</v>
      </c>
      <c r="CP17">
        <f>SOFR3mo_PX[[#This Row],[Column94]]</f>
        <v>95.805000000000007</v>
      </c>
      <c r="CQ17">
        <f>SOFR3mo_PX[[#This Row],[Column95]]</f>
        <v>95.95</v>
      </c>
      <c r="CR17">
        <f>SOFR3mo_PX[[#This Row],[Column96]]</f>
        <v>96</v>
      </c>
      <c r="CS17">
        <f>SOFR3mo_PX[[#This Row],[Column97]]</f>
        <v>95.995000000000005</v>
      </c>
      <c r="CT17">
        <f>SOFR3mo_PX[[#This Row],[Column98]]</f>
        <v>96.05</v>
      </c>
      <c r="CU17">
        <f>SOFR3mo_PX[[#This Row],[Column99]]</f>
        <v>96.105000000000004</v>
      </c>
      <c r="CV17">
        <f>SOFR3mo_PX[[#This Row],[Column100]]</f>
        <v>96.004999999999995</v>
      </c>
      <c r="CW17">
        <f>SOFR3mo_PX[[#This Row],[Column101]]</f>
        <v>95.96</v>
      </c>
      <c r="CX17">
        <f>SOFR3mo_PX[[#This Row],[Column102]]</f>
        <v>95.93</v>
      </c>
      <c r="CY17">
        <f>SOFR3mo_PX[[#This Row],[Column103]]</f>
        <v>95.995000000000005</v>
      </c>
      <c r="CZ17">
        <f>SOFR3mo_PX[[#This Row],[Column104]]</f>
        <v>95.944999999999993</v>
      </c>
      <c r="DA17">
        <f>SOFR3mo_PX[[#This Row],[Column105]]</f>
        <v>95.954999999999998</v>
      </c>
      <c r="DB17">
        <f>SOFR3mo_PX[[#This Row],[Column106]]</f>
        <v>95.974999999999994</v>
      </c>
      <c r="DC17">
        <f>SOFR3mo_PX[[#This Row],[Column107]]</f>
        <v>95.864999999999995</v>
      </c>
      <c r="DD17">
        <f>SOFR3mo_PX[[#This Row],[Column108]]</f>
        <v>95.86</v>
      </c>
      <c r="DE17">
        <f>SOFR3mo_PX[[#This Row],[Column109]]</f>
        <v>95.88</v>
      </c>
      <c r="DF17">
        <f>SOFR3mo_PX[[#This Row],[Column110]]</f>
        <v>95.91</v>
      </c>
      <c r="DG17">
        <f>SOFR3mo_PX[[#This Row],[Column111]]</f>
        <v>95.88</v>
      </c>
      <c r="DH17">
        <f>SOFR3mo_PX[[#This Row],[Column112]]</f>
        <v>95.88</v>
      </c>
      <c r="DI17">
        <f>SOFR3mo_PX[[#This Row],[Column113]]</f>
        <v>95.885000000000005</v>
      </c>
      <c r="DJ17">
        <f>SOFR3mo_PX[[#This Row],[Column114]]</f>
        <v>95.825000000000003</v>
      </c>
      <c r="DK17">
        <f>SOFR3mo_PX[[#This Row],[Column115]]</f>
        <v>95.665000000000006</v>
      </c>
      <c r="DL17">
        <f>SOFR3mo_PX[[#This Row],[Column116]]</f>
        <v>95.655000000000001</v>
      </c>
      <c r="DM17">
        <f>SOFR3mo_PX[[#This Row],[Column117]]</f>
        <v>95.694999999999993</v>
      </c>
      <c r="DN17">
        <f>SOFR3mo_PX[[#This Row],[Column118]]</f>
        <v>95.83</v>
      </c>
      <c r="DO17">
        <f>SOFR3mo_PX[[#This Row],[Column119]]</f>
        <v>95.81</v>
      </c>
      <c r="DP17">
        <f>SOFR3mo_PX[[#This Row],[Column120]]</f>
        <v>95.82</v>
      </c>
      <c r="DQ17">
        <f>SOFR3mo_PX[[#This Row],[Column121]]</f>
        <v>95.894999999999996</v>
      </c>
      <c r="DR17">
        <f>SOFR3mo_PX[[#This Row],[Column122]]</f>
        <v>95.95</v>
      </c>
      <c r="DS17">
        <f>SOFR3mo_PX[[#This Row],[Column123]]</f>
        <v>95.974999999999994</v>
      </c>
      <c r="DT17">
        <f>SOFR3mo_PX[[#This Row],[Column124]]</f>
        <v>95.965000000000003</v>
      </c>
      <c r="DU17">
        <f>SOFR3mo_PX[[#This Row],[Column125]]</f>
        <v>95.965000000000003</v>
      </c>
      <c r="DV17">
        <f>SOFR3mo_PX[[#This Row],[Column126]]</f>
        <v>95.995000000000005</v>
      </c>
      <c r="DW17">
        <f>SOFR3mo_PX[[#This Row],[Column127]]</f>
        <v>95.905000000000001</v>
      </c>
      <c r="DX17">
        <f>SOFR3mo_PX[[#This Row],[Column128]]</f>
        <v>95.95</v>
      </c>
      <c r="DY17">
        <f>SOFR3mo_PX[[#This Row],[Column129]]</f>
        <v>95.935000000000002</v>
      </c>
      <c r="DZ17">
        <f>SOFR3mo_PX[[#This Row],[Column130]]</f>
        <v>95.935000000000002</v>
      </c>
      <c r="EA17">
        <f>SOFR3mo_PX[[#This Row],[Column131]]</f>
        <v>95.92</v>
      </c>
      <c r="EB17">
        <f>SOFR3mo_PX[[#This Row],[Column132]]</f>
        <v>96.01</v>
      </c>
      <c r="EC17">
        <f>SOFR3mo_PX[[#This Row],[Column133]]</f>
        <v>95.944999999999993</v>
      </c>
      <c r="ED17">
        <f>SOFR3mo_PX[[#This Row],[Column134]]</f>
        <v>96.05</v>
      </c>
      <c r="EE17">
        <f>SOFR3mo_PX[[#This Row],[Column135]]</f>
        <v>96.18</v>
      </c>
      <c r="EF17">
        <f>SOFR3mo_PX[[#This Row],[Column136]]</f>
        <v>96.165000000000006</v>
      </c>
      <c r="EG17">
        <f>SOFR3mo_PX[[#This Row],[Column137]]</f>
        <v>96.18</v>
      </c>
      <c r="EH17">
        <f>SOFR3mo_PX[[#This Row],[Column138]]</f>
        <v>96.254999999999995</v>
      </c>
      <c r="EI17">
        <f>SOFR3mo_PX[[#This Row],[Column139]]</f>
        <v>96.31</v>
      </c>
      <c r="EJ17">
        <f>SOFR3mo_PX[[#This Row],[Column140]]</f>
        <v>96.375</v>
      </c>
      <c r="EK17">
        <f>SOFR3mo_PX[[#This Row],[Column141]]</f>
        <v>96.4</v>
      </c>
      <c r="EL17">
        <f>SOFR3mo_PX[[#This Row],[Column142]]</f>
        <v>96.435000000000002</v>
      </c>
      <c r="EM17">
        <f>SOFR3mo_PX[[#This Row],[Column143]]</f>
        <v>96.394999999999996</v>
      </c>
      <c r="EN17">
        <f>SOFR3mo_PX[[#This Row],[Column144]]</f>
        <v>96.4</v>
      </c>
      <c r="EO17">
        <f>SOFR3mo_PX[[#This Row],[Column145]]</f>
        <v>96.37</v>
      </c>
      <c r="EP17">
        <f>SOFR3mo_PX[[#This Row],[Column146]]</f>
        <v>96.405000000000001</v>
      </c>
      <c r="EQ17">
        <f>SOFR3mo_PX[[#This Row],[Column147]]</f>
        <v>96.41</v>
      </c>
      <c r="ER17">
        <f>SOFR3mo_PX[[#This Row],[Column148]]</f>
        <v>96.37</v>
      </c>
      <c r="ES17">
        <f>SOFR3mo_PX[[#This Row],[Column149]]</f>
        <v>96.37</v>
      </c>
      <c r="ET17">
        <f>SOFR3mo_PX[[#This Row],[Column150]]</f>
        <v>96.284999999999997</v>
      </c>
      <c r="EU17">
        <f>SOFR3mo_PX[[#This Row],[Column151]]</f>
        <v>96.334999999999994</v>
      </c>
      <c r="EV17">
        <f>SOFR3mo_PX[[#This Row],[Column152]]</f>
        <v>96.194999999999993</v>
      </c>
      <c r="EW17">
        <f>SOFR3mo_PX[[#This Row],[Column153]]</f>
        <v>96.17</v>
      </c>
      <c r="EX17">
        <f>SOFR3mo_PX[[#This Row],[Column154]]</f>
        <v>96.2</v>
      </c>
      <c r="EY17">
        <f>SOFR3mo_PX[[#This Row],[Column155]]</f>
        <v>96.224999999999994</v>
      </c>
      <c r="EZ17">
        <f>SOFR3mo_PX[[#This Row],[Column156]]</f>
        <v>96.194999999999993</v>
      </c>
      <c r="FA17">
        <f>SOFR3mo_PX[[#This Row],[Column157]]</f>
        <v>96.18</v>
      </c>
      <c r="FB17">
        <f>SOFR3mo_PX[[#This Row],[Column158]]</f>
        <v>96.174999999999997</v>
      </c>
      <c r="FC17">
        <f>SOFR3mo_PX[[#This Row],[Column159]]</f>
        <v>96.155000000000001</v>
      </c>
      <c r="FD17">
        <f>SOFR3mo_PX[[#This Row],[Column160]]</f>
        <v>96.17</v>
      </c>
      <c r="FE17">
        <f>SOFR3mo_PX[[#This Row],[Column161]]</f>
        <v>96.21</v>
      </c>
      <c r="FF17">
        <f>SOFR3mo_PX[[#This Row],[Column162]]</f>
        <v>96.275000000000006</v>
      </c>
      <c r="FG17">
        <f>SOFR3mo_PX[[#This Row],[Column163]]</f>
        <v>96.25</v>
      </c>
      <c r="FH17">
        <f>SOFR3mo_PX[[#This Row],[Column164]]</f>
        <v>96.17</v>
      </c>
      <c r="FI17">
        <f>SOFR3mo_PX[[#This Row],[Column165]]</f>
        <v>96.314999999999998</v>
      </c>
      <c r="FJ17">
        <f>SOFR3mo_PX[[#This Row],[Column166]]</f>
        <v>96.295000000000002</v>
      </c>
      <c r="FK17">
        <f>SOFR3mo_PX[[#This Row],[Column167]]</f>
        <v>96.254999999999995</v>
      </c>
      <c r="FL17">
        <f>SOFR3mo_PX[[#This Row],[Column168]]</f>
        <v>96.305000000000007</v>
      </c>
      <c r="FM17">
        <f>SOFR3mo_PX[[#This Row],[Column169]]</f>
        <v>96.325000000000003</v>
      </c>
      <c r="FN17">
        <f>SOFR3mo_PX[[#This Row],[Column170]]</f>
        <v>96.34</v>
      </c>
      <c r="FO17">
        <f>SOFR3mo_PX[[#This Row],[Column171]]</f>
        <v>96.33</v>
      </c>
      <c r="FP17">
        <f>SOFR3mo_PX[[#This Row],[Column172]]</f>
        <v>96.38</v>
      </c>
      <c r="FQ17">
        <f>SOFR3mo_PX[[#This Row],[Column173]]</f>
        <v>96.405000000000001</v>
      </c>
      <c r="FR17">
        <f>SOFR3mo_PX[[#This Row],[Column174]]</f>
        <v>96.355000000000004</v>
      </c>
      <c r="FS17">
        <f>SOFR3mo_PX[[#This Row],[Column175]]</f>
        <v>96.415000000000006</v>
      </c>
      <c r="FT17">
        <f>SOFR3mo_PX[[#This Row],[Column176]]</f>
        <v>96.444999999999993</v>
      </c>
      <c r="FU17">
        <f>SOFR3mo_PX[[#This Row],[Column177]]</f>
        <v>96.555000000000007</v>
      </c>
      <c r="FV17">
        <f>SOFR3mo_PX[[#This Row],[Column178]]</f>
        <v>96.534999999999997</v>
      </c>
      <c r="FW17">
        <f>SOFR3mo_PX[[#This Row],[Column179]]</f>
        <v>96.605000000000004</v>
      </c>
      <c r="FX17">
        <f>SOFR3mo_PX[[#This Row],[Column180]]</f>
        <v>96.59</v>
      </c>
      <c r="FY17">
        <f>SOFR3mo_PX[[#This Row],[Column181]]</f>
        <v>96.51</v>
      </c>
      <c r="FZ17">
        <f>SOFR3mo_PX[[#This Row],[Column182]]</f>
        <v>96.56</v>
      </c>
      <c r="GA17">
        <f>SOFR3mo_PX[[#This Row],[Column183]]</f>
        <v>96.534999999999997</v>
      </c>
      <c r="GB17">
        <f>SOFR3mo_PX[[#This Row],[Column184]]</f>
        <v>96.56</v>
      </c>
      <c r="GC17">
        <f>SOFR3mo_PX[[#This Row],[Column185]]</f>
        <v>96.594999999999999</v>
      </c>
      <c r="GD17">
        <f>SOFR3mo_PX[[#This Row],[Column186]]</f>
        <v>96.605000000000004</v>
      </c>
      <c r="GE17">
        <f>SOFR3mo_PX[[#This Row],[Column187]]</f>
        <v>96.644999999999996</v>
      </c>
      <c r="GF17">
        <f>SOFR3mo_PX[[#This Row],[Column188]]</f>
        <v>96.775000000000006</v>
      </c>
      <c r="GG17">
        <f>SOFR3mo_PX[[#This Row],[Column189]]</f>
        <v>96.85</v>
      </c>
      <c r="GH17">
        <f>SOFR3mo_PX[[#This Row],[Column190]]</f>
        <v>96.885000000000005</v>
      </c>
      <c r="GI17">
        <f>SOFR3mo_PX[[#This Row],[Column191]]</f>
        <v>96.814999999999998</v>
      </c>
      <c r="GJ17">
        <f>SOFR3mo_PX[[#This Row],[Column192]]</f>
        <v>96.86</v>
      </c>
      <c r="GK17">
        <f>SOFR3mo_PX[[#This Row],[Column193]]</f>
        <v>96.825000000000003</v>
      </c>
      <c r="GL17">
        <f>SOFR3mo_PX[[#This Row],[Column194]]</f>
        <v>96.825000000000003</v>
      </c>
      <c r="GM17">
        <f>SOFR3mo_PX[[#This Row],[Column195]]</f>
        <v>96.87</v>
      </c>
      <c r="GN17">
        <f>SOFR3mo_PX[[#This Row],[Column196]]</f>
        <v>96.86</v>
      </c>
      <c r="GO17">
        <f>SOFR3mo_PX[[#This Row],[Column197]]</f>
        <v>96.88</v>
      </c>
      <c r="GP17">
        <f>SOFR3mo_PX[[#This Row],[Column198]]</f>
        <v>96.875</v>
      </c>
      <c r="GQ17">
        <f>SOFR3mo_PX[[#This Row],[Column199]]</f>
        <v>96.935000000000002</v>
      </c>
      <c r="GR17">
        <f>SOFR3mo_PX[[#This Row],[Column200]]</f>
        <v>97.015000000000001</v>
      </c>
      <c r="GS17">
        <f>SOFR3mo_PX[[#This Row],[Column201]]</f>
        <v>97.03</v>
      </c>
      <c r="GT17">
        <f>SOFR3mo_PX[[#This Row],[Column202]]</f>
        <v>97.03</v>
      </c>
      <c r="GU17">
        <f>SOFR3mo_PX[[#This Row],[Column203]]</f>
        <v>97.02</v>
      </c>
      <c r="GV17">
        <f>SOFR3mo_PX[[#This Row],[Column204]]</f>
        <v>97.055000000000007</v>
      </c>
      <c r="GW17">
        <f>SOFR3mo_PX[[#This Row],[Column205]]</f>
        <v>97.055000000000007</v>
      </c>
      <c r="GX17">
        <f>SOFR3mo_PX[[#This Row],[Column206]]</f>
        <v>96.995000000000005</v>
      </c>
      <c r="GY17">
        <f>SOFR3mo_PX[[#This Row],[Column207]]</f>
        <v>96.98</v>
      </c>
      <c r="GZ17">
        <f>SOFR3mo_PX[[#This Row],[Column208]]</f>
        <v>96.954999999999998</v>
      </c>
      <c r="HA17">
        <f>SOFR3mo_PX[[#This Row],[Column209]]</f>
        <v>96.93</v>
      </c>
      <c r="HB17">
        <f>SOFR3mo_PX[[#This Row],[Column210]]</f>
        <v>96.864999999999995</v>
      </c>
      <c r="HC17">
        <f>SOFR3mo_PX[[#This Row],[Column211]]</f>
        <v>96.79</v>
      </c>
      <c r="HD17">
        <f>SOFR3mo_PX[[#This Row],[Column212]]</f>
        <v>96.79</v>
      </c>
      <c r="HE17">
        <f>SOFR3mo_PX[[#This Row],[Column213]]</f>
        <v>96.84</v>
      </c>
      <c r="HF17">
        <f>SOFR3mo_PX[[#This Row],[Column214]]</f>
        <v>96.86</v>
      </c>
      <c r="HG17">
        <f>SOFR3mo_PX[[#This Row],[Column215]]</f>
        <v>96.87</v>
      </c>
      <c r="HH17">
        <f>SOFR3mo_PX[[#This Row],[Column216]]</f>
        <v>96.875</v>
      </c>
      <c r="HI17">
        <f>SOFR3mo_PX[[#This Row],[Column217]]</f>
        <v>96.875</v>
      </c>
      <c r="HJ17">
        <f>SOFR3mo_PX[[#This Row],[Column218]]</f>
        <v>96.805000000000007</v>
      </c>
      <c r="HK17">
        <f>SOFR3mo_PX[[#This Row],[Column219]]</f>
        <v>96.89</v>
      </c>
      <c r="HL17">
        <f>SOFR3mo_PX[[#This Row],[Column220]]</f>
        <v>96.855000000000004</v>
      </c>
      <c r="HM17">
        <f>SOFR3mo_PX[[#This Row],[Column221]]</f>
        <v>96.795000000000002</v>
      </c>
      <c r="HN17">
        <f>SOFR3mo_PX[[#This Row],[Column222]]</f>
        <v>96.775000000000006</v>
      </c>
      <c r="HO17">
        <f>SOFR3mo_PX[[#This Row],[Column223]]</f>
        <v>96.75</v>
      </c>
      <c r="HP17">
        <f>SOFR3mo_PX[[#This Row],[Column224]]</f>
        <v>96.864999999999995</v>
      </c>
      <c r="HQ17">
        <f>SOFR3mo_PX[[#This Row],[Column225]]</f>
        <v>96.834999999999994</v>
      </c>
      <c r="HR17">
        <f>SOFR3mo_PX[[#This Row],[Column226]]</f>
        <v>96.784999999999997</v>
      </c>
      <c r="HS17">
        <f>SOFR3mo_PX[[#This Row],[Column227]]</f>
        <v>96.734999999999999</v>
      </c>
      <c r="HT17">
        <f>SOFR3mo_PX[[#This Row],[Column228]]</f>
        <v>96.68</v>
      </c>
      <c r="HU17">
        <f>SOFR3mo_PX[[#This Row],[Column229]]</f>
        <v>96.71</v>
      </c>
      <c r="HV17">
        <f>SOFR3mo_PX[[#This Row],[Column230]]</f>
        <v>96.79</v>
      </c>
      <c r="HW17">
        <f>SOFR3mo_PX[[#This Row],[Column231]]</f>
        <v>96.875</v>
      </c>
      <c r="HX17">
        <f>SOFR3mo_PX[[#This Row],[Column232]]</f>
        <v>96.9</v>
      </c>
      <c r="HY17">
        <f>SOFR3mo_PX[[#This Row],[Column233]]</f>
        <v>96.72</v>
      </c>
      <c r="HZ17">
        <f>SOFR3mo_PX[[#This Row],[Column234]]</f>
        <v>96.605000000000004</v>
      </c>
      <c r="IA17">
        <f>SOFR3mo_PX[[#This Row],[Column235]]</f>
        <v>96.575000000000003</v>
      </c>
      <c r="IB17">
        <f>SOFR3mo_PX[[#This Row],[Column236]]</f>
        <v>96.534999999999997</v>
      </c>
      <c r="IC17">
        <f>SOFR3mo_PX[[#This Row],[Column237]]</f>
        <v>96.52</v>
      </c>
      <c r="ID17">
        <f>SOFR3mo_PX[[#This Row],[Column238]]</f>
        <v>96.454999999999998</v>
      </c>
      <c r="IE17">
        <f>SOFR3mo_PX[[#This Row],[Column239]]</f>
        <v>96.435000000000002</v>
      </c>
      <c r="IF17">
        <f>SOFR3mo_PX[[#This Row],[Column240]]</f>
        <v>96.46</v>
      </c>
      <c r="IG17">
        <f>SOFR3mo_PX[[#This Row],[Column241]]</f>
        <v>96.44</v>
      </c>
      <c r="IH17">
        <f>SOFR3mo_PX[[#This Row],[Column242]]</f>
        <v>96.444999999999993</v>
      </c>
      <c r="II17">
        <f>SOFR3mo_PX[[#This Row],[Column243]]</f>
        <v>96.5</v>
      </c>
      <c r="IJ17">
        <f>SOFR3mo_PX[[#This Row],[Column244]]</f>
        <v>96.55</v>
      </c>
      <c r="IK17">
        <f>SOFR3mo_PX[[#This Row],[Column245]]</f>
        <v>96.52</v>
      </c>
      <c r="IL17">
        <f>SOFR3mo_PX[[#This Row],[Column246]]</f>
        <v>96.47</v>
      </c>
      <c r="IM17">
        <f>SOFR3mo_PX[[#This Row],[Column247]]</f>
        <v>96.504999999999995</v>
      </c>
      <c r="IN17">
        <f>SOFR3mo_PX[[#This Row],[Column248]]</f>
        <v>96.515000000000001</v>
      </c>
      <c r="IO17">
        <f>SOFR3mo_PX[[#This Row],[Column249]]</f>
        <v>96.405000000000001</v>
      </c>
      <c r="IP17">
        <f>SOFR3mo_PX[[#This Row],[Column250]]</f>
        <v>96.385000000000005</v>
      </c>
      <c r="IQ17">
        <f>SOFR3mo_PX[[#This Row],[Column251]]</f>
        <v>96.415000000000006</v>
      </c>
      <c r="IR17">
        <f>SOFR3mo_PX[[#This Row],[Column252]]</f>
        <v>96.415000000000006</v>
      </c>
      <c r="IS17">
        <f>SOFR3mo_PX[[#This Row],[Column253]]</f>
        <v>96.33</v>
      </c>
      <c r="IT17">
        <f>SOFR3mo_PX[[#This Row],[Column254]]</f>
        <v>96.33</v>
      </c>
      <c r="IU17">
        <f>SOFR3mo_PX[[#This Row],[Column255]]</f>
        <v>96.224999999999994</v>
      </c>
      <c r="IV17">
        <f>SOFR3mo_PX[[#This Row],[Column256]]</f>
        <v>96.17</v>
      </c>
      <c r="IW17">
        <f>SOFR3mo_PX[[#This Row],[Column257]]</f>
        <v>96.334999999999994</v>
      </c>
      <c r="IX17">
        <f>SOFR3mo_PX[[#This Row],[Column258]]</f>
        <v>96.375</v>
      </c>
      <c r="IY17">
        <f>SOFR3mo_PX[[#This Row],[Column259]]</f>
        <v>96.344999999999999</v>
      </c>
      <c r="IZ17">
        <f>SOFR3mo_PX[[#This Row],[Column260]]</f>
        <v>96.435000000000002</v>
      </c>
      <c r="JA17">
        <f>SOFR3mo_PX[[#This Row],[Column261]]</f>
        <v>96.424999999999997</v>
      </c>
      <c r="JB17">
        <f>SOFR3mo_PX[[#This Row],[Column262]]</f>
        <v>96.41</v>
      </c>
      <c r="JC17">
        <f>SOFR3mo_PX[[#This Row],[Column263]]</f>
        <v>96.41</v>
      </c>
      <c r="JD17">
        <f>SOFR3mo_PX[[#This Row],[Column264]]</f>
        <v>96.45</v>
      </c>
      <c r="JE17">
        <f>SOFR3mo_PX[[#This Row],[Column265]]</f>
        <v>96.45</v>
      </c>
      <c r="JF17">
        <f>SOFR3mo_PX[[#This Row],[Column266]]</f>
        <v>96.38</v>
      </c>
      <c r="JG17">
        <f>SOFR3mo_PX[[#This Row],[Column267]]</f>
        <v>96.454999999999998</v>
      </c>
      <c r="JH17">
        <f>SOFR3mo_PX[[#This Row],[Column268]]</f>
        <v>96.424999999999997</v>
      </c>
      <c r="JI17">
        <f>SOFR3mo_PX[[#This Row],[Column269]]</f>
        <v>96.35</v>
      </c>
      <c r="JJ17">
        <f>SOFR3mo_PX[[#This Row],[Column270]]</f>
        <v>96.23</v>
      </c>
      <c r="JK17">
        <f>SOFR3mo_PX[[#This Row],[Column271]]</f>
        <v>96.155000000000001</v>
      </c>
      <c r="JL17">
        <f>SOFR3mo_PX[[#This Row],[Column272]]</f>
        <v>96.204999999999998</v>
      </c>
      <c r="JM17">
        <f>SOFR3mo_PX[[#This Row],[Column273]]</f>
        <v>96.36</v>
      </c>
      <c r="JN17">
        <f>SOFR3mo_PX[[#This Row],[Column274]]</f>
        <v>96.344999999999999</v>
      </c>
      <c r="JO17">
        <f>SOFR3mo_PX[[#This Row],[Column275]]</f>
        <v>96.31</v>
      </c>
      <c r="JP17">
        <f>SOFR3mo_PX[[#This Row],[Column276]]</f>
        <v>96.224999999999994</v>
      </c>
      <c r="JQ17">
        <f>SOFR3mo_PX[[#This Row],[Column277]]</f>
        <v>96.105000000000004</v>
      </c>
      <c r="JR17">
        <f>SOFR3mo_PX[[#This Row],[Column278]]</f>
        <v>96.055000000000007</v>
      </c>
      <c r="JS17">
        <f>SOFR3mo_PX[[#This Row],[Column279]]</f>
        <v>95.974999999999994</v>
      </c>
      <c r="JT17">
        <f>SOFR3mo_PX[[#This Row],[Column280]]</f>
        <v>96.064999999999998</v>
      </c>
      <c r="JU17">
        <f>SOFR3mo_PX[[#This Row],[Column281]]</f>
        <v>96.135000000000005</v>
      </c>
      <c r="JV17">
        <f>SOFR3mo_PX[[#This Row],[Column282]]</f>
        <v>96.135000000000005</v>
      </c>
      <c r="JW17">
        <f>SOFR3mo_PX[[#This Row],[Column283]]</f>
        <v>96.135000000000005</v>
      </c>
      <c r="JX17">
        <f>SOFR3mo_PX[[#This Row],[Column284]]</f>
        <v>96.185000000000002</v>
      </c>
      <c r="JY17">
        <f>SOFR3mo_PX[[#This Row],[Column285]]</f>
        <v>96.204999999999998</v>
      </c>
      <c r="JZ17">
        <f>SOFR3mo_PX[[#This Row],[Column286]]</f>
        <v>96.18</v>
      </c>
      <c r="KA17">
        <f>SOFR3mo_PX[[#This Row],[Column287]]</f>
        <v>96.185000000000002</v>
      </c>
      <c r="KB17">
        <f>SOFR3mo_PX[[#This Row],[Column288]]</f>
        <v>96.234999999999999</v>
      </c>
      <c r="KC17">
        <f>SOFR3mo_PX[[#This Row],[Column289]]</f>
        <v>96.26</v>
      </c>
      <c r="KD17">
        <f>SOFR3mo_PX[[#This Row],[Column290]]</f>
        <v>96.16</v>
      </c>
      <c r="KE17">
        <f>SOFR3mo_PX[[#This Row],[Column291]]</f>
        <v>96.114999999999995</v>
      </c>
      <c r="KF17">
        <f>SOFR3mo_PX[[#This Row],[Column292]]</f>
        <v>96.084999999999994</v>
      </c>
      <c r="KG17">
        <f>SOFR3mo_PX[[#This Row],[Column293]]</f>
        <v>96.135000000000005</v>
      </c>
      <c r="KH17">
        <f>SOFR3mo_PX[[#This Row],[Column294]]</f>
        <v>96.1</v>
      </c>
      <c r="KI17">
        <f>SOFR3mo_PX[[#This Row],[Column295]]</f>
        <v>96.144999999999996</v>
      </c>
      <c r="KJ17">
        <f>SOFR3mo_PX[[#This Row],[Column296]]</f>
        <v>96.12</v>
      </c>
      <c r="KK17">
        <f>SOFR3mo_PX[[#This Row],[Column297]]</f>
        <v>96.105000000000004</v>
      </c>
      <c r="KL17">
        <f>SOFR3mo_PX[[#This Row],[Column298]]</f>
        <v>96.015000000000001</v>
      </c>
      <c r="KM17">
        <f>SOFR3mo_PX[[#This Row],[Column299]]</f>
        <v>95.984999999999999</v>
      </c>
      <c r="KN17">
        <f>SOFR3mo_PX[[#This Row],[Column300]]</f>
        <v>95.885000000000005</v>
      </c>
      <c r="KO17">
        <f>SOFR3mo_PX[[#This Row],[Column301]]</f>
        <v>95.965000000000003</v>
      </c>
      <c r="KP17">
        <f>SOFR3mo_PX[[#This Row],[Column302]]</f>
        <v>95.894999999999996</v>
      </c>
      <c r="KQ17">
        <f>SOFR3mo_PX[[#This Row],[Column303]]</f>
        <v>95.855000000000004</v>
      </c>
      <c r="KR17">
        <f>SOFR3mo_PX[[#This Row],[Column304]]</f>
        <v>95.91</v>
      </c>
      <c r="KS17">
        <f>SOFR3mo_PX[[#This Row],[Column305]]</f>
        <v>95.974999999999994</v>
      </c>
      <c r="KT17">
        <f>SOFR3mo_PX[[#This Row],[Column306]]</f>
        <v>95.944999999999993</v>
      </c>
      <c r="KU17">
        <f>SOFR3mo_PX[[#This Row],[Column307]]</f>
        <v>95.954999999999998</v>
      </c>
      <c r="KV17">
        <f>SOFR3mo_PX[[#This Row],[Column308]]</f>
        <v>95.924999999999997</v>
      </c>
      <c r="KW17">
        <f>SOFR3mo_PX[[#This Row],[Column309]]</f>
        <v>95.99</v>
      </c>
      <c r="KX17">
        <f>SOFR3mo_PX[[#This Row],[Column310]]</f>
        <v>95.915000000000006</v>
      </c>
      <c r="KY17">
        <f>SOFR3mo_PX[[#This Row],[Column311]]</f>
        <v>95.96</v>
      </c>
      <c r="KZ17">
        <f>SOFR3mo_PX[[#This Row],[Column312]]</f>
        <v>96.105000000000004</v>
      </c>
      <c r="LA17">
        <f>SOFR3mo_PX[[#This Row],[Column313]]</f>
        <v>96.01</v>
      </c>
      <c r="LB17">
        <f>SOFR3mo_PX[[#This Row],[Column314]]</f>
        <v>96.03</v>
      </c>
      <c r="LC17">
        <f>SOFR3mo_PX[[#This Row],[Column315]]</f>
        <v>96.23</v>
      </c>
      <c r="LD17">
        <f>SOFR3mo_PX[[#This Row],[Column316]]</f>
        <v>96.17</v>
      </c>
      <c r="LE17">
        <f>SOFR3mo_PX[[#This Row],[Column317]]</f>
        <v>96.234999999999999</v>
      </c>
      <c r="LF17">
        <f>SOFR3mo_PX[[#This Row],[Column318]]</f>
        <v>96.295000000000002</v>
      </c>
      <c r="LG17">
        <f>SOFR3mo_PX[[#This Row],[Column319]]</f>
        <v>96.254999999999995</v>
      </c>
      <c r="LH17">
        <f>SOFR3mo_PX[[#This Row],[Column320]]</f>
        <v>96.234999999999999</v>
      </c>
      <c r="LI17">
        <f>SOFR3mo_PX[[#This Row],[Column321]]</f>
        <v>96.265000000000001</v>
      </c>
      <c r="LJ17">
        <f>SOFR3mo_PX[[#This Row],[Column322]]</f>
        <v>96.42</v>
      </c>
      <c r="LK17">
        <f>SOFR3mo_PX[[#This Row],[Column323]]</f>
        <v>96.42</v>
      </c>
      <c r="LL17">
        <f>SOFR3mo_PX[[#This Row],[Column324]]</f>
        <v>96.4</v>
      </c>
      <c r="LM17">
        <f>SOFR3mo_PX[[#This Row],[Column325]]</f>
        <v>96.36</v>
      </c>
      <c r="LN17">
        <f>SOFR3mo_PX[[#This Row],[Column326]]</f>
        <v>96.334999999999994</v>
      </c>
      <c r="LO17">
        <f>SOFR3mo_PX[[#This Row],[Column327]]</f>
        <v>96.37</v>
      </c>
      <c r="LP17">
        <f>SOFR3mo_PX[[#This Row],[Column328]]</f>
        <v>96.314999999999998</v>
      </c>
      <c r="LQ17">
        <f>SOFR3mo_PX[[#This Row],[Column329]]</f>
        <v>96.32</v>
      </c>
      <c r="LR17">
        <f>SOFR3mo_PX[[#This Row],[Column330]]</f>
        <v>96.305000000000007</v>
      </c>
      <c r="LS17">
        <f>SOFR3mo_PX[[#This Row],[Column331]]</f>
        <v>96.25</v>
      </c>
      <c r="LT17">
        <f>SOFR3mo_PX[[#This Row],[Column332]]</f>
        <v>96.295000000000002</v>
      </c>
      <c r="LU17">
        <f>SOFR3mo_PX[[#This Row],[Column333]]</f>
        <v>96.31</v>
      </c>
      <c r="LV17">
        <f>SOFR3mo_PX[[#This Row],[Column334]]</f>
        <v>96.454999999999998</v>
      </c>
      <c r="LW17">
        <f>SOFR3mo_PX[[#This Row],[Column335]]</f>
        <v>96.47</v>
      </c>
      <c r="LX17">
        <f>SOFR3mo_PX[[#This Row],[Column336]]</f>
        <v>96.534999999999997</v>
      </c>
      <c r="LY17">
        <f>SOFR3mo_PX[[#This Row],[Column337]]</f>
        <v>96.55</v>
      </c>
      <c r="LZ17">
        <f>SOFR3mo_PX[[#This Row],[Column338]]</f>
        <v>96.534999999999997</v>
      </c>
      <c r="MA17">
        <f>SOFR3mo_PX[[#This Row],[Column339]]</f>
        <v>96.515000000000001</v>
      </c>
      <c r="MB17">
        <f>SOFR3mo_PX[[#This Row],[Column340]]</f>
        <v>96.49</v>
      </c>
      <c r="MC17">
        <f>SOFR3mo_PX[[#This Row],[Column341]]</f>
        <v>96.4</v>
      </c>
      <c r="MD17">
        <f>SOFR3mo_PX[[#This Row],[Column342]]</f>
        <v>96.43</v>
      </c>
      <c r="ME17">
        <f>SOFR3mo_PX[[#This Row],[Column343]]</f>
        <v>96.34</v>
      </c>
      <c r="MF17">
        <f>SOFR3mo_PX[[#This Row],[Column344]]</f>
        <v>96.334999999999994</v>
      </c>
      <c r="MG17">
        <f>SOFR3mo_PX[[#This Row],[Column345]]</f>
        <v>96.31</v>
      </c>
      <c r="MH17">
        <f>SOFR3mo_PX[[#This Row],[Column346]]</f>
        <v>96.314999999999998</v>
      </c>
      <c r="MI17">
        <f>SOFR3mo_PX[[#This Row],[Column347]]</f>
        <v>96.33</v>
      </c>
      <c r="MJ17">
        <f>SOFR3mo_PX[[#This Row],[Column348]]</f>
        <v>96.254999999999995</v>
      </c>
      <c r="MK17">
        <f>SOFR3mo_PX[[#This Row],[Column349]]</f>
        <v>96.26</v>
      </c>
      <c r="ML17">
        <f>SOFR3mo_PX[[#This Row],[Column350]]</f>
        <v>96.305000000000007</v>
      </c>
      <c r="MM17">
        <f>SOFR3mo_PX[[#This Row],[Column351]]</f>
        <v>96.27</v>
      </c>
      <c r="MN17">
        <f>SOFR3mo_PX[[#This Row],[Column352]]</f>
        <v>96.27</v>
      </c>
      <c r="MO17">
        <f>SOFR3mo_PX[[#This Row],[Column353]]</f>
        <v>96.33</v>
      </c>
      <c r="MP17">
        <f>SOFR3mo_PX[[#This Row],[Column354]]</f>
        <v>96.3</v>
      </c>
      <c r="MQ17">
        <f>SOFR3mo_PX[[#This Row],[Column355]]</f>
        <v>96.24</v>
      </c>
      <c r="MR17">
        <f>SOFR3mo_PX[[#This Row],[Column356]]</f>
        <v>96.42</v>
      </c>
      <c r="MS17">
        <f>SOFR3mo_PX[[#This Row],[Column357]]</f>
        <v>96.39</v>
      </c>
      <c r="MT17">
        <f>SOFR3mo_PX[[#This Row],[Column358]]</f>
        <v>96.415000000000006</v>
      </c>
      <c r="MU17">
        <f>SOFR3mo_PX[[#This Row],[Column359]]</f>
        <v>96.5</v>
      </c>
      <c r="MV17">
        <f>SOFR3mo_PX[[#This Row],[Column360]]</f>
        <v>96.525000000000006</v>
      </c>
      <c r="MW17">
        <f>SOFR3mo_PX[[#This Row],[Column361]]</f>
        <v>96.43</v>
      </c>
      <c r="MX17">
        <f>SOFR3mo_PX[[#This Row],[Column362]]</f>
        <v>96.564999999999998</v>
      </c>
      <c r="MY17">
        <f>SOFR3mo_PX[[#This Row],[Column363]]</f>
        <v>96.75</v>
      </c>
      <c r="MZ17">
        <f>SOFR3mo_PX[[#This Row],[Column364]]</f>
        <v>96.655000000000001</v>
      </c>
      <c r="NA17">
        <f>SOFR3mo_PX[[#This Row],[Column365]]</f>
        <v>96.555000000000007</v>
      </c>
      <c r="NB17">
        <f>SOFR3mo_PX[[#This Row],[Column366]]</f>
        <v>96.53</v>
      </c>
      <c r="NC17">
        <f>SOFR3mo_PX[[#This Row],[Column367]]</f>
        <v>96.45</v>
      </c>
      <c r="ND17">
        <f>SOFR3mo_PX[[#This Row],[Column368]]</f>
        <v>96.474999999999994</v>
      </c>
      <c r="NE17">
        <f>SOFR3mo_PX[[#This Row],[Column369]]</f>
        <v>96.424999999999997</v>
      </c>
      <c r="NF17">
        <f>SOFR3mo_PX[[#This Row],[Column370]]</f>
        <v>96.474999999999994</v>
      </c>
      <c r="NG17">
        <f>SOFR3mo_PX[[#This Row],[Column371]]</f>
        <v>96.52</v>
      </c>
      <c r="NH17">
        <f>SOFR3mo_PX[[#This Row],[Column372]]</f>
        <v>96.45</v>
      </c>
      <c r="NI17">
        <f>SOFR3mo_PX[[#This Row],[Column373]]</f>
        <v>96.46</v>
      </c>
      <c r="NJ17">
        <f>SOFR3mo_PX[[#This Row],[Column374]]</f>
        <v>96.51</v>
      </c>
      <c r="NK17">
        <f>SOFR3mo_PX[[#This Row],[Column375]]</f>
        <v>96.564999999999998</v>
      </c>
      <c r="NL17">
        <f>SOFR3mo_PX[[#This Row],[Column376]]</f>
        <v>96.685000000000002</v>
      </c>
      <c r="NM17">
        <f>SOFR3mo_PX[[#This Row],[Column377]]</f>
        <v>96.685000000000002</v>
      </c>
      <c r="NN17">
        <f>SOFR3mo_PX[[#This Row],[Column378]]</f>
        <v>96.674999999999997</v>
      </c>
      <c r="NO17">
        <f>SOFR3mo_PX[[#This Row],[Column379]]</f>
        <v>96.6</v>
      </c>
      <c r="NP17">
        <f>SOFR3mo_PX[[#This Row],[Column380]]</f>
        <v>96.61</v>
      </c>
      <c r="NQ17">
        <f>SOFR3mo_PX[[#This Row],[Column381]]</f>
        <v>96.625</v>
      </c>
      <c r="NR17">
        <f>SOFR3mo_PX[[#This Row],[Column382]]</f>
        <v>96.605000000000004</v>
      </c>
      <c r="NS17">
        <f>SOFR3mo_PX[[#This Row],[Column383]]</f>
        <v>96.65</v>
      </c>
      <c r="NT17">
        <f>SOFR3mo_PX[[#This Row],[Column384]]</f>
        <v>96.76</v>
      </c>
      <c r="NU17">
        <f>SOFR3mo_PX[[#This Row],[Column385]]</f>
        <v>96.724999999999994</v>
      </c>
      <c r="NV17">
        <f>SOFR3mo_PX[[#This Row],[Column386]]</f>
        <v>96.81</v>
      </c>
      <c r="NW17">
        <f>SOFR3mo_PX[[#This Row],[Column387]]</f>
        <v>96.81</v>
      </c>
      <c r="NX17">
        <f>SOFR3mo_PX[[#This Row],[Column388]]</f>
        <v>96.805000000000007</v>
      </c>
      <c r="NY17">
        <f>SOFR3mo_PX[[#This Row],[Column389]]</f>
        <v>96.86</v>
      </c>
      <c r="NZ17">
        <f>SOFR3mo_PX[[#This Row],[Column390]]</f>
        <v>96.754999999999995</v>
      </c>
      <c r="OA17">
        <f>SOFR3mo_PX[[#This Row],[Column391]]</f>
        <v>96.73</v>
      </c>
      <c r="OB17">
        <f>SOFR3mo_PX[[#This Row],[Column392]]</f>
        <v>96.73</v>
      </c>
      <c r="OC17">
        <f>SOFR3mo_PX[[#This Row],[Column393]]</f>
        <v>96.75</v>
      </c>
      <c r="OD17">
        <f>SOFR3mo_PX[[#This Row],[Column394]]</f>
        <v>96.754999999999995</v>
      </c>
      <c r="OE17">
        <f>SOFR3mo_PX[[#This Row],[Column395]]</f>
        <v>96.715000000000003</v>
      </c>
      <c r="OF17">
        <f>SOFR3mo_PX[[#This Row],[Column396]]</f>
        <v>96.694999999999993</v>
      </c>
      <c r="OG17">
        <f>SOFR3mo_PX[[#This Row],[Column397]]</f>
        <v>96.724999999999994</v>
      </c>
      <c r="OH17">
        <f>SOFR3mo_PX[[#This Row],[Column398]]</f>
        <v>96.71</v>
      </c>
      <c r="OI17">
        <f>SOFR3mo_PX[[#This Row],[Column399]]</f>
        <v>96.62</v>
      </c>
      <c r="OJ17">
        <f>SOFR3mo_PX[[#This Row],[Column400]]</f>
        <v>96.454999999999998</v>
      </c>
      <c r="OK17">
        <f>SOFR3mo_PX[[#This Row],[Column401]]</f>
        <v>96.405000000000001</v>
      </c>
      <c r="OL17">
        <f>SOFR3mo_PX[[#This Row],[Column402]]</f>
        <v>96.42</v>
      </c>
      <c r="OM17">
        <f>SOFR3mo_PX[[#This Row],[Column403]]</f>
        <v>96.555000000000007</v>
      </c>
      <c r="ON17">
        <f>SOFR3mo_PX[[#This Row],[Column404]]</f>
        <v>96.555000000000007</v>
      </c>
      <c r="OO17">
        <f>SOFR3mo_PX[[#This Row],[Column405]]</f>
        <v>96.51</v>
      </c>
      <c r="OP17">
        <f>SOFR3mo_PX[[#This Row],[Column406]]</f>
        <v>96.4</v>
      </c>
      <c r="OQ17">
        <f>SOFR3mo_PX[[#This Row],[Column407]]</f>
        <v>96.454999999999998</v>
      </c>
      <c r="OR17">
        <f>SOFR3mo_PX[[#This Row],[Column408]]</f>
        <v>96.34</v>
      </c>
      <c r="OS17">
        <f>SOFR3mo_PX[[#This Row],[Column409]]</f>
        <v>96.424999999999997</v>
      </c>
      <c r="OT17">
        <f>SOFR3mo_PX[[#This Row],[Column410]]</f>
        <v>96.38</v>
      </c>
      <c r="OU17">
        <f>SOFR3mo_PX[[#This Row],[Column411]]</f>
        <v>96.275000000000006</v>
      </c>
      <c r="OV17">
        <f>SOFR3mo_PX[[#This Row],[Column412]]</f>
        <v>96.16</v>
      </c>
      <c r="OW17">
        <f>SOFR3mo_PX[[#This Row],[Column413]]</f>
        <v>96.224999999999994</v>
      </c>
      <c r="OX17">
        <f>SOFR3mo_PX[[#This Row],[Column414]]</f>
        <v>96.224999999999994</v>
      </c>
      <c r="OY17">
        <f>SOFR3mo_PX[[#This Row],[Column415]]</f>
        <v>96.245000000000005</v>
      </c>
      <c r="OZ17">
        <f>SOFR3mo_PX[[#This Row],[Column416]]</f>
        <v>96.234999999999999</v>
      </c>
      <c r="PA17">
        <f>SOFR3mo_PX[[#This Row],[Column417]]</f>
        <v>96.2</v>
      </c>
      <c r="PB17">
        <f>SOFR3mo_PX[[#This Row],[Column418]]</f>
        <v>96.21</v>
      </c>
      <c r="PC17">
        <f>SOFR3mo_PX[[#This Row],[Column419]]</f>
        <v>96.094999999999999</v>
      </c>
      <c r="PD17">
        <f>SOFR3mo_PX[[#This Row],[Column420]]</f>
        <v>96.194999999999993</v>
      </c>
      <c r="PE17">
        <f>SOFR3mo_PX[[#This Row],[Column421]]</f>
        <v>95.965000000000003</v>
      </c>
      <c r="PF17">
        <f>SOFR3mo_PX[[#This Row],[Column422]]</f>
        <v>95.974999999999994</v>
      </c>
      <c r="PG17">
        <f>SOFR3mo_PX[[#This Row],[Column423]]</f>
        <v>96</v>
      </c>
      <c r="PH17">
        <f>SOFR3mo_PX[[#This Row],[Column424]]</f>
        <v>96.12</v>
      </c>
      <c r="PI17">
        <f>SOFR3mo_PX[[#This Row],[Column425]]</f>
        <v>96.08</v>
      </c>
      <c r="PJ17">
        <f>SOFR3mo_PX[[#This Row],[Column426]]</f>
        <v>95.99</v>
      </c>
      <c r="PK17">
        <f>SOFR3mo_PX[[#This Row],[Column427]]</f>
        <v>96.105000000000004</v>
      </c>
      <c r="PL17">
        <f>SOFR3mo_PX[[#This Row],[Column428]]</f>
        <v>95.96</v>
      </c>
      <c r="PM17">
        <f>SOFR3mo_PX[[#This Row],[Column429]]</f>
        <v>95.855000000000004</v>
      </c>
      <c r="PN17">
        <f>SOFR3mo_PX[[#This Row],[Column430]]</f>
        <v>95.75</v>
      </c>
      <c r="PO17">
        <f>SOFR3mo_PX[[#This Row],[Column431]]</f>
        <v>95.75</v>
      </c>
      <c r="PP17">
        <f>SOFR3mo_PX[[#This Row],[Column432]]</f>
        <v>95.76</v>
      </c>
      <c r="PQ17">
        <f>SOFR3mo_PX[[#This Row],[Column433]]</f>
        <v>95.734999999999999</v>
      </c>
      <c r="PR17">
        <f>SOFR3mo_PX[[#This Row],[Column434]]</f>
        <v>95.6</v>
      </c>
      <c r="PS17">
        <f>SOFR3mo_PX[[#This Row],[Column435]]</f>
        <v>95.72</v>
      </c>
      <c r="PT17">
        <f>SOFR3mo_PX[[#This Row],[Column436]]</f>
        <v>95.734999999999999</v>
      </c>
      <c r="PU17">
        <f>SOFR3mo_PX[[#This Row],[Column437]]</f>
        <v>95.635000000000005</v>
      </c>
      <c r="PV17">
        <f>SOFR3mo_PX[[#This Row],[Column438]]</f>
        <v>95.53</v>
      </c>
      <c r="PW17">
        <f>SOFR3mo_PX[[#This Row],[Column439]]</f>
        <v>95.635000000000005</v>
      </c>
      <c r="PX17">
        <f>SOFR3mo_PX[[#This Row],[Column440]]</f>
        <v>95.715000000000003</v>
      </c>
      <c r="PY17">
        <f>SOFR3mo_PX[[#This Row],[Column441]]</f>
        <v>95.885000000000005</v>
      </c>
      <c r="PZ17">
        <f>SOFR3mo_PX[[#This Row],[Column442]]</f>
        <v>95.974999999999994</v>
      </c>
      <c r="QA17">
        <f>SOFR3mo_PX[[#This Row],[Column443]]</f>
        <v>95.89</v>
      </c>
      <c r="QB17">
        <f>SOFR3mo_PX[[#This Row],[Column444]]</f>
        <v>95.995000000000005</v>
      </c>
      <c r="QC17">
        <f>SOFR3mo_PX[[#This Row],[Column445]]</f>
        <v>95.95</v>
      </c>
      <c r="QD17">
        <f>SOFR3mo_PX[[#This Row],[Column446]]</f>
        <v>95.984999999999999</v>
      </c>
      <c r="QE17">
        <f>SOFR3mo_PX[[#This Row],[Column447]]</f>
        <v>95.814999999999998</v>
      </c>
      <c r="QF17">
        <f>SOFR3mo_PX[[#This Row],[Column448]]</f>
        <v>95.875</v>
      </c>
      <c r="QG17">
        <f>SOFR3mo_PX[[#This Row],[Column449]]</f>
        <v>95.834999999999994</v>
      </c>
      <c r="QH17">
        <f>SOFR3mo_PX[[#This Row],[Column450]]</f>
        <v>95.775000000000006</v>
      </c>
      <c r="QI17">
        <f>SOFR3mo_PX[[#This Row],[Column451]]</f>
        <v>95.905000000000001</v>
      </c>
      <c r="QJ17">
        <f>SOFR3mo_PX[[#This Row],[Column452]]</f>
        <v>96.034999999999997</v>
      </c>
      <c r="QK17">
        <f>SOFR3mo_PX[[#This Row],[Column453]]</f>
        <v>95.98</v>
      </c>
      <c r="QL17">
        <f>SOFR3mo_PX[[#This Row],[Column454]]</f>
        <v>95.954999999999998</v>
      </c>
      <c r="QM17">
        <f>SOFR3mo_PX[[#This Row],[Column455]]</f>
        <v>96.034999999999997</v>
      </c>
      <c r="QN17">
        <f>SOFR3mo_PX[[#This Row],[Column456]]</f>
        <v>96.04</v>
      </c>
      <c r="QO17">
        <f>SOFR3mo_PX[[#This Row],[Column457]]</f>
        <v>96.12</v>
      </c>
      <c r="QP17">
        <f>SOFR3mo_PX[[#This Row],[Column458]]</f>
        <v>96.064999999999998</v>
      </c>
      <c r="QQ17">
        <f>SOFR3mo_PX[[#This Row],[Column459]]</f>
        <v>96.21</v>
      </c>
      <c r="QR17">
        <f>SOFR3mo_PX[[#This Row],[Column460]]</f>
        <v>96.18</v>
      </c>
      <c r="QS17">
        <f>SOFR3mo_PX[[#This Row],[Column461]]</f>
        <v>96.245000000000005</v>
      </c>
      <c r="QT17">
        <f>SOFR3mo_PX[[#This Row],[Column462]]</f>
        <v>96.245000000000005</v>
      </c>
      <c r="QU17">
        <f>SOFR3mo_PX[[#This Row],[Column463]]</f>
        <v>96.28</v>
      </c>
      <c r="QV17">
        <f>SOFR3mo_PX[[#This Row],[Column464]]</f>
        <v>96.305000000000007</v>
      </c>
      <c r="QW17">
        <f>SOFR3mo_PX[[#This Row],[Column465]]</f>
        <v>96.275000000000006</v>
      </c>
      <c r="QX17">
        <f>SOFR3mo_PX[[#This Row],[Column466]]</f>
        <v>96.27</v>
      </c>
      <c r="QY17">
        <f>SOFR3mo_PX[[#This Row],[Column467]]</f>
        <v>96.284999999999997</v>
      </c>
      <c r="QZ17">
        <f>SOFR3mo_PX[[#This Row],[Column468]]</f>
        <v>96.295000000000002</v>
      </c>
      <c r="RA17">
        <f>SOFR3mo_PX[[#This Row],[Column469]]</f>
        <v>96.26</v>
      </c>
      <c r="RB17">
        <f>SOFR3mo_PX[[#This Row],[Column470]]</f>
        <v>96.33</v>
      </c>
      <c r="RC17">
        <f>SOFR3mo_PX[[#This Row],[Column471]]</f>
        <v>96.4</v>
      </c>
      <c r="RD17">
        <f>SOFR3mo_PX[[#This Row],[Column472]]</f>
        <v>96.4</v>
      </c>
      <c r="RE17">
        <f>SOFR3mo_PX[[#This Row],[Column473]]</f>
        <v>96.465000000000003</v>
      </c>
      <c r="RF17">
        <f>SOFR3mo_PX[[#This Row],[Column474]]</f>
        <v>96.435000000000002</v>
      </c>
      <c r="RG17">
        <f>SOFR3mo_PX[[#This Row],[Column475]]</f>
        <v>96.42</v>
      </c>
      <c r="RH17">
        <f>SOFR3mo_PX[[#This Row],[Column476]]</f>
        <v>96.305000000000007</v>
      </c>
      <c r="RI17">
        <f>SOFR3mo_PX[[#This Row],[Column477]]</f>
        <v>96.254999999999995</v>
      </c>
      <c r="RJ17">
        <f>SOFR3mo_PX[[#This Row],[Column478]]</f>
        <v>96.26</v>
      </c>
      <c r="RK17">
        <f>SOFR3mo_PX[[#This Row],[Column479]]</f>
        <v>96.284999999999997</v>
      </c>
      <c r="RL17">
        <f>SOFR3mo_PX[[#This Row],[Column480]]</f>
        <v>96.144999999999996</v>
      </c>
      <c r="RM17">
        <f>SOFR3mo_PX[[#This Row],[Column481]]</f>
        <v>96.144999999999996</v>
      </c>
      <c r="RN17">
        <f>SOFR3mo_PX[[#This Row],[Column482]]</f>
        <v>96.245000000000005</v>
      </c>
      <c r="RO17">
        <f>SOFR3mo_PX[[#This Row],[Column483]]</f>
        <v>96.17</v>
      </c>
      <c r="RP17">
        <f>SOFR3mo_PX[[#This Row],[Column484]]</f>
        <v>96.254999999999995</v>
      </c>
      <c r="RQ17">
        <f>SOFR3mo_PX[[#This Row],[Column485]]</f>
        <v>96.295000000000002</v>
      </c>
      <c r="RR17">
        <f>SOFR3mo_PX[[#This Row],[Column486]]</f>
        <v>96.35</v>
      </c>
      <c r="RS17">
        <f>SOFR3mo_PX[[#This Row],[Column487]]</f>
        <v>96.375</v>
      </c>
      <c r="RT17">
        <f>SOFR3mo_PX[[#This Row],[Column488]]</f>
        <v>96.5</v>
      </c>
      <c r="RU17">
        <f>SOFR3mo_PX[[#This Row],[Column489]]</f>
        <v>96.605000000000004</v>
      </c>
      <c r="RV17">
        <f>SOFR3mo_PX[[#This Row],[Column490]]</f>
        <v>96.61</v>
      </c>
      <c r="RW17">
        <f>SOFR3mo_PX[[#This Row],[Column491]]</f>
        <v>96.555000000000007</v>
      </c>
      <c r="RX17">
        <f>SOFR3mo_PX[[#This Row],[Column492]]</f>
        <v>96.534999999999997</v>
      </c>
      <c r="RY17">
        <f>SOFR3mo_PX[[#This Row],[Column493]]</f>
        <v>96.38</v>
      </c>
      <c r="RZ17">
        <f>SOFR3mo_PX[[#This Row],[Column494]]</f>
        <v>96.484999999999999</v>
      </c>
      <c r="SA17">
        <f>SOFR3mo_PX[[#This Row],[Column495]]</f>
        <v>96.5</v>
      </c>
      <c r="SB17">
        <f>SOFR3mo_PX[[#This Row],[Column496]]</f>
        <v>96.59</v>
      </c>
      <c r="SC17">
        <f>SOFR3mo_PX[[#This Row],[Column497]]</f>
        <v>96.575000000000003</v>
      </c>
      <c r="SD17">
        <f>SOFR3mo_PX[[#This Row],[Column498]]</f>
        <v>96.52</v>
      </c>
      <c r="SE17">
        <f>SOFR3mo_PX[[#This Row],[Column499]]</f>
        <v>96.7</v>
      </c>
      <c r="SF17">
        <f>SOFR3mo_PX[[#This Row],[Column500]]</f>
        <v>96.59</v>
      </c>
      <c r="SG17">
        <f>SOFR3mo_PX[[#This Row],[Column501]]</f>
        <v>96.67</v>
      </c>
      <c r="SH17">
        <f>SOFR3mo_PX[[#This Row],[Column502]]</f>
        <v>96.694999999999993</v>
      </c>
      <c r="SI17">
        <f>SOFR3mo_PX[[#This Row],[Column503]]</f>
        <v>96.69</v>
      </c>
      <c r="SJ17">
        <f>SOFR3mo_PX[[#This Row],[Column504]]</f>
        <v>96.855000000000004</v>
      </c>
      <c r="SK17">
        <f>SOFR3mo_PX[[#This Row],[Column505]]</f>
        <v>96.81</v>
      </c>
      <c r="SL17">
        <f>SOFR3mo_PX[[#This Row],[Column506]]</f>
        <v>96.78</v>
      </c>
      <c r="SM17">
        <f>SOFR3mo_PX[[#This Row],[Column507]]</f>
        <v>96.73</v>
      </c>
      <c r="SN17">
        <f>SOFR3mo_PX[[#This Row],[Column508]]</f>
        <v>96.8</v>
      </c>
      <c r="SO17">
        <f>SOFR3mo_PX[[#This Row],[Column509]]</f>
        <v>96.69</v>
      </c>
      <c r="SP17">
        <f>SOFR3mo_PX[[#This Row],[Column510]]</f>
        <v>96.52</v>
      </c>
      <c r="SQ17">
        <f>SOFR3mo_PX[[#This Row],[Column511]]</f>
        <v>96.47</v>
      </c>
      <c r="SR17">
        <f>SOFR3mo_PX[[#This Row],[Column512]]</f>
        <v>96.36</v>
      </c>
      <c r="SS17">
        <f>SOFR3mo_PX[[#This Row],[Column513]]</f>
        <v>96.37</v>
      </c>
      <c r="ST17">
        <f>SOFR3mo_PX[[#This Row],[Column514]]</f>
        <v>96.534999999999997</v>
      </c>
      <c r="SU17">
        <f>SOFR3mo_PX[[#This Row],[Column515]]</f>
        <v>96.64</v>
      </c>
      <c r="SV17">
        <f>SOFR3mo_PX[[#This Row],[Column516]]</f>
        <v>96.64</v>
      </c>
      <c r="SW17">
        <f>SOFR3mo_PX[[#This Row],[Column517]]</f>
        <v>96.7</v>
      </c>
      <c r="SX17">
        <f>SOFR3mo_PX[[#This Row],[Column518]]</f>
        <v>96.685000000000002</v>
      </c>
      <c r="SY17">
        <f>SOFR3mo_PX[[#This Row],[Column519]]</f>
        <v>96.85</v>
      </c>
      <c r="SZ17">
        <f>SOFR3mo_PX[[#This Row],[Column520]]</f>
        <v>96.784999999999997</v>
      </c>
      <c r="TA17">
        <f>SOFR3mo_PX[[#This Row],[Column521]]</f>
        <v>96.834999999999994</v>
      </c>
      <c r="TB17">
        <f>SOFR3mo_PX[[#This Row],[Column522]]</f>
        <v>96.795000000000002</v>
      </c>
      <c r="TC17">
        <f>SOFR3mo_PX[[#This Row],[Column523]]</f>
        <v>96.754999999999995</v>
      </c>
      <c r="TD17">
        <f>SOFR3mo_PX[[#This Row],[Column524]]</f>
        <v>96.834999999999994</v>
      </c>
      <c r="TE17">
        <f>SOFR3mo_PX[[#This Row],[Column525]]</f>
        <v>96.83</v>
      </c>
      <c r="TF17">
        <f>SOFR3mo_PX[[#This Row],[Column526]]</f>
        <v>96.79</v>
      </c>
      <c r="TG17">
        <f>SOFR3mo_PX[[#This Row],[Column527]]</f>
        <v>96.79</v>
      </c>
      <c r="TH17">
        <f>SOFR3mo_PX[[#This Row],[Column528]]</f>
        <v>96.855000000000004</v>
      </c>
      <c r="TI17">
        <f>SOFR3mo_PX[[#This Row],[Column529]]</f>
        <v>96.765000000000001</v>
      </c>
      <c r="TJ17">
        <f>SOFR3mo_PX[[#This Row],[Column530]]</f>
        <v>96.734999999999999</v>
      </c>
      <c r="TK17">
        <f>SOFR3mo_PX[[#This Row],[Column531]]</f>
        <v>96.84</v>
      </c>
      <c r="TL17">
        <f>SOFR3mo_PX[[#This Row],[Column532]]</f>
        <v>96.83</v>
      </c>
      <c r="TM17">
        <f>SOFR3mo_PX[[#This Row],[Column533]]</f>
        <v>96.875</v>
      </c>
      <c r="TN17">
        <f>SOFR3mo_PX[[#This Row],[Column534]]</f>
        <v>96.795000000000002</v>
      </c>
      <c r="TO17">
        <f>SOFR3mo_PX[[#This Row],[Column535]]</f>
        <v>96.88</v>
      </c>
      <c r="TP17">
        <f>SOFR3mo_PX[[#This Row],[Column536]]</f>
        <v>96.875</v>
      </c>
      <c r="TQ17">
        <f>SOFR3mo_PX[[#This Row],[Column537]]</f>
        <v>96.844999999999999</v>
      </c>
      <c r="TR17">
        <f>SOFR3mo_PX[[#This Row],[Column538]]</f>
        <v>96.98</v>
      </c>
      <c r="TS17">
        <f>SOFR3mo_PX[[#This Row],[Column539]]</f>
        <v>96.944999999999993</v>
      </c>
      <c r="TT17">
        <f>SOFR3mo_PX[[#This Row],[Column540]]</f>
        <v>96.855000000000004</v>
      </c>
      <c r="TU17">
        <f>SOFR3mo_PX[[#This Row],[Column541]]</f>
        <v>96.694999999999993</v>
      </c>
      <c r="TV17">
        <f>SOFR3mo_PX[[#This Row],[Column542]]</f>
        <v>96.694999999999993</v>
      </c>
      <c r="TW17">
        <f>SOFR3mo_PX[[#This Row],[Column543]]</f>
        <v>96.74</v>
      </c>
      <c r="TX17">
        <f>SOFR3mo_PX[[#This Row],[Column544]]</f>
        <v>96.86</v>
      </c>
      <c r="TY17">
        <f>SOFR3mo_PX[[#This Row],[Column545]]</f>
        <v>96.885000000000005</v>
      </c>
      <c r="TZ17">
        <f>SOFR3mo_PX[[#This Row],[Column546]]</f>
        <v>96.86</v>
      </c>
      <c r="UA17">
        <f>SOFR3mo_PX[[#This Row],[Column547]]</f>
        <v>96.89</v>
      </c>
      <c r="UB17">
        <f>SOFR3mo_PX[[#This Row],[Column548]]</f>
        <v>96.96</v>
      </c>
      <c r="UC17">
        <f>SOFR3mo_PX[[#This Row],[Column549]]</f>
        <v>97.05</v>
      </c>
      <c r="UD17">
        <f>SOFR3mo_PX[[#This Row],[Column550]]</f>
        <v>97.1</v>
      </c>
      <c r="UE17">
        <f>SOFR3mo_PX[[#This Row],[Column551]]</f>
        <v>97.144999999999996</v>
      </c>
      <c r="UF17">
        <f>SOFR3mo_PX[[#This Row],[Column552]]</f>
        <v>97.155000000000001</v>
      </c>
      <c r="UG17">
        <f>SOFR3mo_PX[[#This Row],[Column553]]</f>
        <v>97.234999999999999</v>
      </c>
      <c r="UH17">
        <f>SOFR3mo_PX[[#This Row],[Column554]]</f>
        <v>97.2</v>
      </c>
      <c r="UI17">
        <f>SOFR3mo_PX[[#This Row],[Column555]]</f>
        <v>97.1</v>
      </c>
      <c r="UJ17">
        <f>SOFR3mo_PX[[#This Row],[Column556]]</f>
        <v>97.084999999999994</v>
      </c>
      <c r="UK17">
        <f>SOFR3mo_PX[[#This Row],[Column557]]</f>
        <v>97.135000000000005</v>
      </c>
      <c r="UL17">
        <f>SOFR3mo_PX[[#This Row],[Column558]]</f>
        <v>97.245000000000005</v>
      </c>
      <c r="UM17">
        <f>SOFR3mo_PX[[#This Row],[Column559]]</f>
        <v>97.17</v>
      </c>
      <c r="UN17">
        <f>SOFR3mo_PX[[#This Row],[Column560]]</f>
        <v>97.135000000000005</v>
      </c>
      <c r="UO17">
        <f>SOFR3mo_PX[[#This Row],[Column561]]</f>
        <v>96.98</v>
      </c>
      <c r="UP17">
        <f>SOFR3mo_PX[[#This Row],[Column562]]</f>
        <v>97.09</v>
      </c>
      <c r="UQ17">
        <f>SOFR3mo_PX[[#This Row],[Column563]]</f>
        <v>97.025000000000006</v>
      </c>
      <c r="UR17">
        <f>SOFR3mo_PX[[#This Row],[Column564]]</f>
        <v>97.13</v>
      </c>
      <c r="US17">
        <f>SOFR3mo_PX[[#This Row],[Column565]]</f>
        <v>97.17</v>
      </c>
      <c r="UT17">
        <f>SOFR3mo_PX[[#This Row],[Column566]]</f>
        <v>97.045000000000002</v>
      </c>
      <c r="UU17">
        <f>SOFR3mo_PX[[#This Row],[Column567]]</f>
        <v>96.974999999999994</v>
      </c>
      <c r="UV17">
        <f>SOFR3mo_PX[[#This Row],[Column568]]</f>
        <v>97.015000000000001</v>
      </c>
      <c r="UW17">
        <f>SOFR3mo_PX[[#This Row],[Column569]]</f>
        <v>96.95</v>
      </c>
      <c r="UX17">
        <f>SOFR3mo_PX[[#This Row],[Column570]]</f>
        <v>96.965000000000003</v>
      </c>
      <c r="UY17">
        <f>SOFR3mo_PX[[#This Row],[Column571]]</f>
        <v>96.944999999999993</v>
      </c>
      <c r="UZ17">
        <f>SOFR3mo_PX[[#This Row],[Column572]]</f>
        <v>97.01</v>
      </c>
      <c r="VA17">
        <f>SOFR3mo_PX[[#This Row],[Column573]]</f>
        <v>97.105000000000004</v>
      </c>
      <c r="VB17">
        <f>SOFR3mo_PX[[#This Row],[Column574]]</f>
        <v>97.16</v>
      </c>
      <c r="VC17">
        <f>SOFR3mo_PX[[#This Row],[Column575]]</f>
        <v>97.1</v>
      </c>
      <c r="VD17">
        <f>SOFR3mo_PX[[#This Row],[Column576]]</f>
        <v>97.12</v>
      </c>
      <c r="VE17">
        <f>SOFR3mo_PX[[#This Row],[Column577]]</f>
        <v>97.16</v>
      </c>
      <c r="VF17">
        <f>SOFR3mo_PX[[#This Row],[Column578]]</f>
        <v>97.254999999999995</v>
      </c>
      <c r="VG17">
        <f>SOFR3mo_PX[[#This Row],[Column579]]</f>
        <v>97.24</v>
      </c>
      <c r="VH17">
        <f>SOFR3mo_PX[[#This Row],[Column580]]</f>
        <v>97.23</v>
      </c>
      <c r="VI17">
        <f>SOFR3mo_PX[[#This Row],[Column581]]</f>
        <v>97.114999999999995</v>
      </c>
      <c r="VJ17">
        <f>SOFR3mo_PX[[#This Row],[Column582]]</f>
        <v>97.05</v>
      </c>
      <c r="VK17">
        <f>SOFR3mo_PX[[#This Row],[Column583]]</f>
        <v>96.98</v>
      </c>
      <c r="VL17">
        <f>SOFR3mo_PX[[#This Row],[Column584]]</f>
        <v>96.93</v>
      </c>
      <c r="VM17">
        <f>SOFR3mo_PX[[#This Row],[Column585]]</f>
        <v>96.92</v>
      </c>
      <c r="VN17">
        <f>SOFR3mo_PX[[#This Row],[Column586]]</f>
        <v>96.965000000000003</v>
      </c>
      <c r="VO17">
        <f>SOFR3mo_PX[[#This Row],[Column587]]</f>
        <v>97.09</v>
      </c>
      <c r="VP17">
        <f>SOFR3mo_PX[[#This Row],[Column588]]</f>
        <v>97.075000000000003</v>
      </c>
      <c r="VQ17">
        <f>SOFR3mo_PX[[#This Row],[Column589]]</f>
        <v>96.94</v>
      </c>
      <c r="VR17">
        <f>SOFR3mo_PX[[#This Row],[Column590]]</f>
        <v>96.78</v>
      </c>
      <c r="VS17">
        <f>SOFR3mo_PX[[#This Row],[Column591]]</f>
        <v>96.855000000000004</v>
      </c>
      <c r="VT17">
        <f>SOFR3mo_PX[[#This Row],[Column592]]</f>
        <v>96.96</v>
      </c>
      <c r="VU17">
        <f>SOFR3mo_PX[[#This Row],[Column593]]</f>
        <v>96.745000000000005</v>
      </c>
      <c r="VV17">
        <f>SOFR3mo_PX[[#This Row],[Column594]]</f>
        <v>96.844999999999999</v>
      </c>
      <c r="VW17">
        <f>SOFR3mo_PX[[#This Row],[Column595]]</f>
        <v>96.745000000000005</v>
      </c>
      <c r="VX17">
        <f>SOFR3mo_PX[[#This Row],[Column596]]</f>
        <v>96.86</v>
      </c>
      <c r="VY17">
        <f>SOFR3mo_PX[[#This Row],[Column597]]</f>
        <v>96.85</v>
      </c>
      <c r="VZ17">
        <f>SOFR3mo_PX[[#This Row],[Column598]]</f>
        <v>96.65</v>
      </c>
      <c r="WA17">
        <f>SOFR3mo_PX[[#This Row],[Column599]]</f>
        <v>96.58</v>
      </c>
      <c r="WB17">
        <f>SOFR3mo_PX[[#This Row],[Column600]]</f>
        <v>96.59</v>
      </c>
      <c r="WC17">
        <f>SOFR3mo_PX[[#This Row],[Column601]]</f>
        <v>96.56</v>
      </c>
      <c r="WD17">
        <f>SOFR3mo_PX[[#This Row],[Column602]]</f>
        <v>96.55</v>
      </c>
      <c r="WE17">
        <f>SOFR3mo_PX[[#This Row],[Column603]]</f>
        <v>96.465000000000003</v>
      </c>
      <c r="WF17">
        <f>SOFR3mo_PX[[#This Row],[Column604]]</f>
        <v>96.56</v>
      </c>
      <c r="WG17">
        <f>SOFR3mo_PX[[#This Row],[Column605]]</f>
        <v>96.665000000000006</v>
      </c>
      <c r="WH17">
        <f>SOFR3mo_PX[[#This Row],[Column606]]</f>
        <v>96.66</v>
      </c>
      <c r="WI17">
        <f>SOFR3mo_PX[[#This Row],[Column607]]</f>
        <v>96.59</v>
      </c>
      <c r="WJ17">
        <f>SOFR3mo_PX[[#This Row],[Column608]]</f>
        <v>96.68</v>
      </c>
      <c r="WK17">
        <f>SOFR3mo_PX[[#This Row],[Column609]]</f>
        <v>96.635000000000005</v>
      </c>
      <c r="WL17">
        <f>SOFR3mo_PX[[#This Row],[Column610]]</f>
        <v>96.62</v>
      </c>
      <c r="WM17">
        <f>SOFR3mo_PX[[#This Row],[Column611]]</f>
        <v>96.775000000000006</v>
      </c>
      <c r="WN17">
        <f>SOFR3mo_PX[[#This Row],[Column612]]</f>
        <v>96.775000000000006</v>
      </c>
      <c r="WO17">
        <f>SOFR3mo_PX[[#This Row],[Column613]]</f>
        <v>96.75</v>
      </c>
      <c r="WP17">
        <f>SOFR3mo_PX[[#This Row],[Column614]]</f>
        <v>96.78</v>
      </c>
      <c r="WQ17">
        <f>SOFR3mo_PX[[#This Row],[Column615]]</f>
        <v>96.825000000000003</v>
      </c>
      <c r="WR17">
        <f>SOFR3mo_PX[[#This Row],[Column616]]</f>
        <v>96.885000000000005</v>
      </c>
      <c r="WS17">
        <f>SOFR3mo_PX[[#This Row],[Column617]]</f>
        <v>96.885000000000005</v>
      </c>
      <c r="WT17">
        <f>SOFR3mo_PX[[#This Row],[Column618]]</f>
        <v>96.935000000000002</v>
      </c>
      <c r="WU17">
        <f>SOFR3mo_PX[[#This Row],[Column619]]</f>
        <v>96.99</v>
      </c>
      <c r="WV17">
        <f>SOFR3mo_PX[[#This Row],[Column620]]</f>
        <v>96.96</v>
      </c>
      <c r="WW17">
        <f>SOFR3mo_PX[[#This Row],[Column621]]</f>
        <v>96.98</v>
      </c>
      <c r="WX17">
        <f>SOFR3mo_PX[[#This Row],[Column622]]</f>
        <v>97.094999999999999</v>
      </c>
      <c r="WY17">
        <f>SOFR3mo_PX[[#This Row],[Column623]]</f>
        <v>97.265000000000001</v>
      </c>
      <c r="WZ17">
        <f>SOFR3mo_PX[[#This Row],[Column624]]</f>
        <v>97.275000000000006</v>
      </c>
      <c r="XA17">
        <f>SOFR3mo_PX[[#This Row],[Column625]]</f>
        <v>97.13</v>
      </c>
      <c r="XB17">
        <f>SOFR3mo_PX[[#This Row],[Column626]]</f>
        <v>97.064999999999998</v>
      </c>
      <c r="XC17">
        <f>SOFR3mo_PX[[#This Row],[Column627]]</f>
        <v>97.125</v>
      </c>
      <c r="XD17">
        <f>SOFR3mo_PX[[#This Row],[Column628]]</f>
        <v>97.174999999999997</v>
      </c>
      <c r="XE17">
        <f>SOFR3mo_PX[[#This Row],[Column629]]</f>
        <v>97.22</v>
      </c>
      <c r="XF17">
        <f>SOFR3mo_PX[[#This Row],[Column630]]</f>
        <v>97.22</v>
      </c>
      <c r="XG17">
        <f>SOFR3mo_PX[[#This Row],[Column631]]</f>
        <v>97.155000000000001</v>
      </c>
      <c r="XH17">
        <f>SOFR3mo_PX[[#This Row],[Column632]]</f>
        <v>97.204999999999998</v>
      </c>
      <c r="XI17">
        <f>SOFR3mo_PX[[#This Row],[Column633]]</f>
        <v>97.31</v>
      </c>
      <c r="XJ17">
        <f>SOFR3mo_PX[[#This Row],[Column634]]</f>
        <v>97.36</v>
      </c>
      <c r="XK17">
        <f>SOFR3mo_PX[[#This Row],[Column635]]</f>
        <v>97.19</v>
      </c>
      <c r="XL17">
        <f>SOFR3mo_PX[[#This Row],[Column636]]</f>
        <v>97.2</v>
      </c>
      <c r="XM17">
        <f>SOFR3mo_PX[[#This Row],[Column637]]</f>
        <v>97.2</v>
      </c>
      <c r="XN17">
        <f>SOFR3mo_PX[[#This Row],[Column638]]</f>
        <v>97.26</v>
      </c>
      <c r="XO17">
        <f>SOFR3mo_PX[[#This Row],[Column639]]</f>
        <v>97.125</v>
      </c>
      <c r="XP17">
        <f>SOFR3mo_PX[[#This Row],[Column640]]</f>
        <v>97.064999999999998</v>
      </c>
      <c r="XQ17">
        <f>SOFR3mo_PX[[#This Row],[Column641]]</f>
        <v>97.165000000000006</v>
      </c>
      <c r="XR17">
        <f>SOFR3mo_PX[[#This Row],[Column642]]</f>
        <v>97.12</v>
      </c>
      <c r="XS17">
        <f>SOFR3mo_PX[[#This Row],[Column643]]</f>
        <v>96.92</v>
      </c>
      <c r="XT17">
        <f>SOFR3mo_PX[[#This Row],[Column644]]</f>
        <v>96.93</v>
      </c>
      <c r="XU17">
        <f>SOFR3mo_PX[[#This Row],[Column645]]</f>
        <v>96.83</v>
      </c>
      <c r="XV17">
        <f>SOFR3mo_PX[[#This Row],[Column646]]</f>
        <v>96.784999999999997</v>
      </c>
      <c r="XW17">
        <f>SOFR3mo_PX[[#This Row],[Column647]]</f>
        <v>96.784999999999997</v>
      </c>
      <c r="XX17">
        <f>SOFR3mo_PX[[#This Row],[Column648]]</f>
        <v>96.745000000000005</v>
      </c>
      <c r="XY17">
        <f>SOFR3mo_PX[[#This Row],[Column649]]</f>
        <v>96.72</v>
      </c>
      <c r="XZ17">
        <f>SOFR3mo_PX[[#This Row],[Column650]]</f>
        <v>96.775000000000006</v>
      </c>
      <c r="YA17">
        <f>SOFR3mo_PX[[#This Row],[Column651]]</f>
        <v>96.86</v>
      </c>
      <c r="YB17">
        <f>SOFR3mo_PX[[#This Row],[Column652]]</f>
        <v>96.86</v>
      </c>
      <c r="YC17">
        <f>SOFR3mo_PX[[#This Row],[Column653]]</f>
        <v>96.92</v>
      </c>
      <c r="YD17">
        <f>SOFR3mo_PX[[#This Row],[Column654]]</f>
        <v>96.92</v>
      </c>
      <c r="YE17">
        <f>SOFR3mo_PX[[#This Row],[Column655]]</f>
        <v>96.99</v>
      </c>
      <c r="YF17">
        <f>SOFR3mo_PX[[#This Row],[Column656]]</f>
        <v>97.09</v>
      </c>
      <c r="YG17">
        <f>SOFR3mo_PX[[#This Row],[Column657]]</f>
        <v>97.174999999999997</v>
      </c>
      <c r="YH17">
        <f>SOFR3mo_PX[[#This Row],[Column658]]</f>
        <v>97.194999999999993</v>
      </c>
      <c r="YI17">
        <f>SOFR3mo_PX[[#This Row],[Column659]]</f>
        <v>97.15</v>
      </c>
      <c r="YJ17">
        <f>SOFR3mo_PX[[#This Row],[Column660]]</f>
        <v>97.14</v>
      </c>
      <c r="YK17">
        <f>SOFR3mo_PX[[#This Row],[Column661]]</f>
        <v>97.034999999999997</v>
      </c>
      <c r="YL17">
        <f>SOFR3mo_PX[[#This Row],[Column662]]</f>
        <v>97.075000000000003</v>
      </c>
      <c r="YM17">
        <f>SOFR3mo_PX[[#This Row],[Column663]]</f>
        <v>97.155000000000001</v>
      </c>
      <c r="YN17">
        <f>SOFR3mo_PX[[#This Row],[Column664]]</f>
        <v>97.28</v>
      </c>
      <c r="YO17">
        <f>SOFR3mo_PX[[#This Row],[Column665]]</f>
        <v>97.17</v>
      </c>
      <c r="YP17">
        <f>SOFR3mo_PX[[#This Row],[Column666]]</f>
        <v>97.094999999999999</v>
      </c>
      <c r="YQ17">
        <f>SOFR3mo_PX[[#This Row],[Column667]]</f>
        <v>97.224999999999994</v>
      </c>
      <c r="YR17">
        <f>SOFR3mo_PX[[#This Row],[Column668]]</f>
        <v>97.165000000000006</v>
      </c>
      <c r="YS17">
        <f>SOFR3mo_PX[[#This Row],[Column669]]</f>
        <v>97</v>
      </c>
      <c r="YT17">
        <f>SOFR3mo_PX[[#This Row],[Column670]]</f>
        <v>96.915000000000006</v>
      </c>
      <c r="YU17">
        <f>SOFR3mo_PX[[#This Row],[Column671]]</f>
        <v>96.924999999999997</v>
      </c>
      <c r="YV17">
        <f>SOFR3mo_PX[[#This Row],[Column672]]</f>
        <v>96.915000000000006</v>
      </c>
      <c r="YW17">
        <f>SOFR3mo_PX[[#This Row],[Column673]]</f>
        <v>96.894999999999996</v>
      </c>
      <c r="YX17">
        <f>SOFR3mo_PX[[#This Row],[Column674]]</f>
        <v>96.894999999999996</v>
      </c>
      <c r="YY17">
        <f>SOFR3mo_PX[[#This Row],[Column675]]</f>
        <v>96.85</v>
      </c>
      <c r="YZ17">
        <f>SOFR3mo_PX[[#This Row],[Column676]]</f>
        <v>96.775000000000006</v>
      </c>
      <c r="ZA17">
        <f>SOFR3mo_PX[[#This Row],[Column677]]</f>
        <v>96.8</v>
      </c>
      <c r="ZB17">
        <f>SOFR3mo_PX[[#This Row],[Column678]]</f>
        <v>96.88</v>
      </c>
      <c r="ZC17">
        <f>SOFR3mo_PX[[#This Row],[Column679]]</f>
        <v>96.95</v>
      </c>
      <c r="ZD17">
        <f>SOFR3mo_PX[[#This Row],[Column680]]</f>
        <v>96.83</v>
      </c>
      <c r="ZE17">
        <f>SOFR3mo_PX[[#This Row],[Column681]]</f>
        <v>96.745000000000005</v>
      </c>
      <c r="ZF17">
        <f>SOFR3mo_PX[[#This Row],[Column682]]</f>
        <v>96.795000000000002</v>
      </c>
      <c r="ZG17">
        <f>SOFR3mo_PX[[#This Row],[Column683]]</f>
        <v>96.754999999999995</v>
      </c>
      <c r="ZH17">
        <f>SOFR3mo_PX[[#This Row],[Column684]]</f>
        <v>96.42</v>
      </c>
      <c r="ZI17">
        <f>SOFR3mo_PX[[#This Row],[Column685]]</f>
        <v>96.385000000000005</v>
      </c>
      <c r="ZJ17">
        <f>SOFR3mo_PX[[#This Row],[Column686]]</f>
        <v>96.295000000000002</v>
      </c>
      <c r="ZK17">
        <f>SOFR3mo_PX[[#This Row],[Column687]]</f>
        <v>96.32</v>
      </c>
      <c r="ZL17">
        <f>SOFR3mo_PX[[#This Row],[Column688]]</f>
        <v>96.32</v>
      </c>
      <c r="ZM17">
        <f>SOFR3mo_PX[[#This Row],[Column689]]</f>
        <v>96.375</v>
      </c>
      <c r="ZN17">
        <f>SOFR3mo_PX[[#This Row],[Column690]]</f>
        <v>96.355000000000004</v>
      </c>
      <c r="ZO17">
        <f>SOFR3mo_PX[[#This Row],[Column691]]</f>
        <v>96.36</v>
      </c>
      <c r="ZP17">
        <f>SOFR3mo_PX[[#This Row],[Column692]]</f>
        <v>96.394999999999996</v>
      </c>
      <c r="ZQ17">
        <f>SOFR3mo_PX[[#This Row],[Column693]]</f>
        <v>96.52</v>
      </c>
      <c r="ZR17">
        <f>SOFR3mo_PX[[#This Row],[Column694]]</f>
        <v>96.43</v>
      </c>
      <c r="ZS17">
        <f>SOFR3mo_PX[[#This Row],[Column695]]</f>
        <v>96.35</v>
      </c>
      <c r="ZT17">
        <f>SOFR3mo_PX[[#This Row],[Column696]]</f>
        <v>96.224999999999994</v>
      </c>
      <c r="ZU17">
        <f>SOFR3mo_PX[[#This Row],[Column697]]</f>
        <v>96.24</v>
      </c>
      <c r="ZV17">
        <f>SOFR3mo_PX[[#This Row],[Column698]]</f>
        <v>96.17</v>
      </c>
      <c r="ZW17">
        <f>SOFR3mo_PX[[#This Row],[Column699]]</f>
        <v>96.305000000000007</v>
      </c>
      <c r="ZX17">
        <f>SOFR3mo_PX[[#This Row],[Column700]]</f>
        <v>96.454999999999998</v>
      </c>
      <c r="ZY17">
        <f>SOFR3mo_PX[[#This Row],[Column701]]</f>
        <v>96.44</v>
      </c>
      <c r="ZZ17">
        <f>SOFR3mo_PX[[#This Row],[Column702]]</f>
        <v>96.415000000000006</v>
      </c>
      <c r="AAA17">
        <f>SOFR3mo_PX[[#This Row],[Column703]]</f>
        <v>96.46</v>
      </c>
      <c r="AAB17">
        <f>SOFR3mo_PX[[#This Row],[Column704]]</f>
        <v>96.454999999999998</v>
      </c>
      <c r="AAC17">
        <f>SOFR3mo_PX[[#This Row],[Column705]]</f>
        <v>96.4</v>
      </c>
      <c r="AAD17">
        <f>SOFR3mo_PX[[#This Row],[Column706]]</f>
        <v>96.39</v>
      </c>
      <c r="AAE17">
        <f>SOFR3mo_PX[[#This Row],[Column707]]</f>
        <v>96.444999999999993</v>
      </c>
      <c r="AAF17">
        <f>SOFR3mo_PX[[#This Row],[Column708]]</f>
        <v>96.504999999999995</v>
      </c>
      <c r="AAG17">
        <f>SOFR3mo_PX[[#This Row],[Column709]]</f>
        <v>96.57</v>
      </c>
      <c r="AAH17">
        <f>SOFR3mo_PX[[#This Row],[Column710]]</f>
        <v>96.754999999999995</v>
      </c>
      <c r="AAI17">
        <f>SOFR3mo_PX[[#This Row],[Column711]]</f>
        <v>96.64</v>
      </c>
      <c r="AAJ17">
        <f>SOFR3mo_PX[[#This Row],[Column712]]</f>
        <v>96.45</v>
      </c>
      <c r="AAK17">
        <f>SOFR3mo_PX[[#This Row],[Column713]]</f>
        <v>96.54</v>
      </c>
      <c r="AAL17">
        <f>SOFR3mo_PX[[#This Row],[Column714]]</f>
        <v>96.58</v>
      </c>
      <c r="AAM17">
        <f>SOFR3mo_PX[[#This Row],[Column715]]</f>
        <v>96.334999999999994</v>
      </c>
      <c r="AAN17">
        <f>SOFR3mo_PX[[#This Row],[Column716]]</f>
        <v>96.394999999999996</v>
      </c>
      <c r="AAO17">
        <f>SOFR3mo_PX[[#This Row],[Column717]]</f>
        <v>96.63</v>
      </c>
      <c r="AAP17">
        <f>SOFR3mo_PX[[#This Row],[Column718]]</f>
        <v>96.65</v>
      </c>
      <c r="AAQ17">
        <f>SOFR3mo_PX[[#This Row],[Column719]]</f>
        <v>96.864999999999995</v>
      </c>
      <c r="AAR17">
        <f>SOFR3mo_PX[[#This Row],[Column720]]</f>
        <v>96.78</v>
      </c>
      <c r="AAS17">
        <f>SOFR3mo_PX[[#This Row],[Column721]]</f>
        <v>96.864999999999995</v>
      </c>
      <c r="AAT17">
        <f>SOFR3mo_PX[[#This Row],[Column722]]</f>
        <v>96.93</v>
      </c>
      <c r="AAU17">
        <f>SOFR3mo_PX[[#This Row],[Column723]]</f>
        <v>96.894999999999996</v>
      </c>
      <c r="AAV17">
        <f>SOFR3mo_PX[[#This Row],[Column724]]</f>
        <v>96.96</v>
      </c>
      <c r="AAW17">
        <f>SOFR3mo_PX[[#This Row],[Column725]]</f>
        <v>96.944999999999993</v>
      </c>
      <c r="AAX17">
        <f>SOFR3mo_PX[[#This Row],[Column726]]</f>
        <v>97.02</v>
      </c>
      <c r="AAY17">
        <f>SOFR3mo_PX[[#This Row],[Column727]]</f>
        <v>97.034999999999997</v>
      </c>
      <c r="AAZ17">
        <f>SOFR3mo_PX[[#This Row],[Column728]]</f>
        <v>97.075000000000003</v>
      </c>
      <c r="ABA17">
        <f>SOFR3mo_PX[[#This Row],[Column729]]</f>
        <v>97.105000000000004</v>
      </c>
      <c r="ABB17">
        <f>SOFR3mo_PX[[#This Row],[Column730]]</f>
        <v>97</v>
      </c>
      <c r="ABC17">
        <f>SOFR3mo_PX[[#This Row],[Column731]]</f>
        <v>97.15</v>
      </c>
      <c r="ABD17">
        <f>SOFR3mo_PX[[#This Row],[Column732]]</f>
        <v>97.15</v>
      </c>
      <c r="ABE17">
        <f>SOFR3mo_PX[[#This Row],[Column733]]</f>
        <v>97.05</v>
      </c>
      <c r="ABF17">
        <f>SOFR3mo_PX[[#This Row],[Column734]]</f>
        <v>97.194999999999993</v>
      </c>
      <c r="ABG17">
        <f>SOFR3mo_PX[[#This Row],[Column735]]</f>
        <v>97.2</v>
      </c>
      <c r="ABH17">
        <f>SOFR3mo_PX[[#This Row],[Column736]]</f>
        <v>97.194999999999993</v>
      </c>
      <c r="ABI17">
        <f>SOFR3mo_PX[[#This Row],[Column737]]</f>
        <v>97.29</v>
      </c>
      <c r="ABJ17">
        <f>SOFR3mo_PX[[#This Row],[Column738]]</f>
        <v>97.355000000000004</v>
      </c>
      <c r="ABK17">
        <f>SOFR3mo_PX[[#This Row],[Column739]]</f>
        <v>97.3</v>
      </c>
      <c r="ABL17">
        <f>SOFR3mo_PX[[#This Row],[Column740]]</f>
        <v>97.355000000000004</v>
      </c>
      <c r="ABM17">
        <f>SOFR3mo_PX[[#This Row],[Column741]]</f>
        <v>97.394999999999996</v>
      </c>
      <c r="ABN17">
        <f>SOFR3mo_PX[[#This Row],[Column742]]</f>
        <v>97.454999999999998</v>
      </c>
      <c r="ABO17">
        <f>SOFR3mo_PX[[#This Row],[Column743]]</f>
        <v>97.57</v>
      </c>
      <c r="ABP17">
        <f>SOFR3mo_PX[[#This Row],[Column744]]</f>
        <v>97.564999999999998</v>
      </c>
      <c r="ABQ17">
        <f>SOFR3mo_PX[[#This Row],[Column745]]</f>
        <v>97.68</v>
      </c>
      <c r="ABR17">
        <f>SOFR3mo_PX[[#This Row],[Column746]]</f>
        <v>97.71</v>
      </c>
      <c r="ABS17">
        <f>SOFR3mo_PX[[#This Row],[Column747]]</f>
        <v>97.62</v>
      </c>
      <c r="ABT17">
        <f>SOFR3mo_PX[[#This Row],[Column748]]</f>
        <v>97.59</v>
      </c>
      <c r="ABU17">
        <f>SOFR3mo_PX[[#This Row],[Column749]]</f>
        <v>97.69</v>
      </c>
      <c r="ABV17">
        <f>SOFR3mo_PX[[#This Row],[Column750]]</f>
        <v>97.635000000000005</v>
      </c>
      <c r="ABW17">
        <f>SOFR3mo_PX[[#This Row],[Column751]]</f>
        <v>97.7</v>
      </c>
      <c r="ABX17">
        <f>SOFR3mo_PX[[#This Row],[Column752]]</f>
        <v>97.6</v>
      </c>
      <c r="ABY17">
        <f>SOFR3mo_PX[[#This Row],[Column753]]</f>
        <v>97.784999999999997</v>
      </c>
      <c r="ABZ17">
        <f>SOFR3mo_PX[[#This Row],[Column754]]</f>
        <v>97.67</v>
      </c>
      <c r="ACA17">
        <f>SOFR3mo_PX[[#This Row],[Column755]]</f>
        <v>97.665000000000006</v>
      </c>
      <c r="ACB17">
        <f>SOFR3mo_PX[[#This Row],[Column756]]</f>
        <v>97.875</v>
      </c>
      <c r="ACC17">
        <f>SOFR3mo_PX[[#This Row],[Column757]]</f>
        <v>97.834999999999994</v>
      </c>
      <c r="ACD17">
        <f>SOFR3mo_PX[[#This Row],[Column758]]</f>
        <v>97.805000000000007</v>
      </c>
      <c r="ACE17">
        <f>SOFR3mo_PX[[#This Row],[Column759]]</f>
        <v>97.724999999999994</v>
      </c>
      <c r="ACF17">
        <f>SOFR3mo_PX[[#This Row],[Column760]]</f>
        <v>97.63</v>
      </c>
      <c r="ACG17">
        <f>SOFR3mo_PX[[#This Row],[Column761]]</f>
        <v>97.605000000000004</v>
      </c>
      <c r="ACH17">
        <f>SOFR3mo_PX[[#This Row],[Column762]]</f>
        <v>97.614999999999995</v>
      </c>
      <c r="ACI17">
        <f>SOFR3mo_PX[[#This Row],[Column763]]</f>
        <v>97.484999999999999</v>
      </c>
      <c r="ACJ17">
        <f>SOFR3mo_PX[[#This Row],[Column764]]</f>
        <v>97.32</v>
      </c>
      <c r="ACK17">
        <f>SOFR3mo_PX[[#This Row],[Column765]]</f>
        <v>97.364999999999995</v>
      </c>
      <c r="ACL17">
        <f>SOFR3mo_PX[[#This Row],[Column766]]</f>
        <v>97.424999999999997</v>
      </c>
      <c r="ACM17">
        <f>SOFR3mo_PX[[#This Row],[Column767]]</f>
        <v>97.45</v>
      </c>
      <c r="ACN17">
        <f>SOFR3mo_PX[[#This Row],[Column768]]</f>
        <v>97.42</v>
      </c>
      <c r="ACO17">
        <f>SOFR3mo_PX[[#This Row],[Column769]]</f>
        <v>97.47</v>
      </c>
      <c r="ACP17">
        <f>SOFR3mo_PX[[#This Row],[Column770]]</f>
        <v>97.394999999999996</v>
      </c>
      <c r="ACQ17">
        <f>SOFR3mo_PX[[#This Row],[Column771]]</f>
        <v>97.355000000000004</v>
      </c>
      <c r="ACR17">
        <f>SOFR3mo_PX[[#This Row],[Column772]]</f>
        <v>97.224999999999994</v>
      </c>
      <c r="ACS17">
        <f>SOFR3mo_PX[[#This Row],[Column773]]</f>
        <v>97.305000000000007</v>
      </c>
      <c r="ACT17">
        <f>SOFR3mo_PX[[#This Row],[Column774]]</f>
        <v>97.415000000000006</v>
      </c>
      <c r="ACU17">
        <f>SOFR3mo_PX[[#This Row],[Column775]]</f>
        <v>97.54</v>
      </c>
      <c r="ACV17">
        <f>SOFR3mo_PX[[#This Row],[Column776]]</f>
        <v>97.44</v>
      </c>
      <c r="ACW17">
        <f>SOFR3mo_PX[[#This Row],[Column777]]</f>
        <v>97.44</v>
      </c>
      <c r="ACX17">
        <f>SOFR3mo_PX[[#This Row],[Column778]]</f>
        <v>97.35</v>
      </c>
      <c r="ACY17">
        <f>SOFR3mo_PX[[#This Row],[Column779]]</f>
        <v>97.185000000000002</v>
      </c>
      <c r="ACZ17">
        <f>SOFR3mo_PX[[#This Row],[Column780]]</f>
        <v>97.07</v>
      </c>
      <c r="ADA17">
        <f>SOFR3mo_PX[[#This Row],[Column781]]</f>
        <v>97.08</v>
      </c>
      <c r="ADB17">
        <f>SOFR3mo_PX[[#This Row],[Column782]]</f>
        <v>97.16</v>
      </c>
      <c r="ADC17">
        <f>SOFR3mo_PX[[#This Row],[Column783]]</f>
        <v>97.24</v>
      </c>
      <c r="ADD17">
        <f>SOFR3mo_PX[[#This Row],[Column784]]</f>
        <v>97.135000000000005</v>
      </c>
      <c r="ADE17">
        <f>SOFR3mo_PX[[#This Row],[Column785]]</f>
        <v>96.99</v>
      </c>
      <c r="ADF17">
        <f>SOFR3mo_PX[[#This Row],[Column786]]</f>
        <v>97.04</v>
      </c>
      <c r="ADG17">
        <f>SOFR3mo_PX[[#This Row],[Column787]]</f>
        <v>97.04</v>
      </c>
      <c r="ADH17">
        <f>SOFR3mo_PX[[#This Row],[Column788]]</f>
        <v>97</v>
      </c>
      <c r="ADI17">
        <f>SOFR3mo_PX[[#This Row],[Column789]]</f>
        <v>96.855000000000004</v>
      </c>
      <c r="ADJ17">
        <f>SOFR3mo_PX[[#This Row],[Column790]]</f>
        <v>96.745000000000005</v>
      </c>
      <c r="ADK17">
        <f>SOFR3mo_PX[[#This Row],[Column791]]</f>
        <v>96.844999999999999</v>
      </c>
      <c r="ADL17">
        <f>SOFR3mo_PX[[#This Row],[Column792]]</f>
        <v>97.06</v>
      </c>
      <c r="ADM17">
        <f>SOFR3mo_PX[[#This Row],[Column793]]</f>
        <v>97.19</v>
      </c>
      <c r="ADN17">
        <f>SOFR3mo_PX[[#This Row],[Column794]]</f>
        <v>97.215000000000003</v>
      </c>
      <c r="ADO17">
        <f>SOFR3mo_PX[[#This Row],[Column795]]</f>
        <v>97.25</v>
      </c>
      <c r="ADP17">
        <f>SOFR3mo_PX[[#This Row],[Column796]]</f>
        <v>97.174999999999997</v>
      </c>
      <c r="ADQ17">
        <f>SOFR3mo_PX[[#This Row],[Column797]]</f>
        <v>97.284999999999997</v>
      </c>
      <c r="ADR17">
        <f>SOFR3mo_PX[[#This Row],[Column798]]</f>
        <v>97.34</v>
      </c>
      <c r="ADS17">
        <f>SOFR3mo_PX[[#This Row],[Column799]]</f>
        <v>97.3</v>
      </c>
      <c r="ADT17">
        <f>SOFR3mo_PX[[#This Row],[Column800]]</f>
        <v>97.42</v>
      </c>
      <c r="ADU17">
        <f>SOFR3mo_PX[[#This Row],[Column801]]</f>
        <v>97.49</v>
      </c>
      <c r="ADV17">
        <f>SOFR3mo_PX[[#This Row],[Column802]]</f>
        <v>97.49</v>
      </c>
      <c r="ADW17">
        <f>SOFR3mo_PX[[#This Row],[Column803]]</f>
        <v>97.504999999999995</v>
      </c>
      <c r="ADX17">
        <f>SOFR3mo_PX[[#This Row],[Column804]]</f>
        <v>97.52</v>
      </c>
      <c r="ADY17">
        <f>SOFR3mo_PX[[#This Row],[Column805]]</f>
        <v>97.484999999999999</v>
      </c>
      <c r="ADZ17">
        <f>SOFR3mo_PX[[#This Row],[Column806]]</f>
        <v>97.36</v>
      </c>
      <c r="AEA17">
        <f>SOFR3mo_PX[[#This Row],[Column807]]</f>
        <v>97.44</v>
      </c>
      <c r="AEB17">
        <f>SOFR3mo_PX[[#This Row],[Column808]]</f>
        <v>97.375</v>
      </c>
      <c r="AEC17">
        <f>SOFR3mo_PX[[#This Row],[Column809]]</f>
        <v>97.344999999999999</v>
      </c>
      <c r="AED17">
        <f>SOFR3mo_PX[[#This Row],[Column810]]</f>
        <v>97.28</v>
      </c>
      <c r="AEE17">
        <f>SOFR3mo_PX[[#This Row],[Column811]]</f>
        <v>97.394999999999996</v>
      </c>
      <c r="AEF17">
        <f>SOFR3mo_PX[[#This Row],[Column812]]</f>
        <v>97.28</v>
      </c>
      <c r="AEG17">
        <f>SOFR3mo_PX[[#This Row],[Column813]]</f>
        <v>97.39</v>
      </c>
      <c r="AEH17">
        <f>SOFR3mo_PX[[#This Row],[Column814]]</f>
        <v>97.31</v>
      </c>
      <c r="AEI17">
        <f>SOFR3mo_PX[[#This Row],[Column815]]</f>
        <v>97.234999999999999</v>
      </c>
      <c r="AEJ17">
        <f>SOFR3mo_PX[[#This Row],[Column816]]</f>
        <v>97.144999999999996</v>
      </c>
      <c r="AEK17">
        <f>SOFR3mo_PX[[#This Row],[Column817]]</f>
        <v>97.075000000000003</v>
      </c>
      <c r="AEL17">
        <f>SOFR3mo_PX[[#This Row],[Column818]]</f>
        <v>97.12</v>
      </c>
      <c r="AEM17">
        <f>SOFR3mo_PX[[#This Row],[Column819]]</f>
        <v>97.234999999999999</v>
      </c>
      <c r="AEN17">
        <f>SOFR3mo_PX[[#This Row],[Column820]]</f>
        <v>97.165000000000006</v>
      </c>
      <c r="AEO17">
        <f>SOFR3mo_PX[[#This Row],[Column821]]</f>
        <v>97.114999999999995</v>
      </c>
      <c r="AEP17">
        <f>SOFR3mo_PX[[#This Row],[Column822]]</f>
        <v>97.24</v>
      </c>
      <c r="AEQ17">
        <f>SOFR3mo_PX[[#This Row],[Column823]]</f>
        <v>97.24</v>
      </c>
      <c r="AER17">
        <f>SOFR3mo_PX[[#This Row],[Column824]]</f>
        <v>97.33</v>
      </c>
      <c r="AES17">
        <f>SOFR3mo_PX[[#This Row],[Column825]]</f>
        <v>97.36</v>
      </c>
      <c r="AET17">
        <f>SOFR3mo_PX[[#This Row],[Column826]]</f>
        <v>97.334999999999994</v>
      </c>
      <c r="AEU17">
        <f>SOFR3mo_PX[[#This Row],[Column827]]</f>
        <v>97.265000000000001</v>
      </c>
      <c r="AEV17">
        <f>SOFR3mo_PX[[#This Row],[Column828]]</f>
        <v>97.18</v>
      </c>
      <c r="AEW17">
        <f>SOFR3mo_PX[[#This Row],[Column829]]</f>
        <v>97.29</v>
      </c>
      <c r="AEX17">
        <f>SOFR3mo_PX[[#This Row],[Column830]]</f>
        <v>97.224999999999994</v>
      </c>
      <c r="AEY17">
        <f>SOFR3mo_PX[[#This Row],[Column831]]</f>
        <v>97.325000000000003</v>
      </c>
      <c r="AEZ17">
        <f>SOFR3mo_PX[[#This Row],[Column832]]</f>
        <v>97.36</v>
      </c>
      <c r="AFA17">
        <f>SOFR3mo_PX[[#This Row],[Column833]]</f>
        <v>97.36</v>
      </c>
      <c r="AFB17">
        <f>SOFR3mo_PX[[#This Row],[Column834]]</f>
        <v>97.49</v>
      </c>
      <c r="AFC17">
        <f>SOFR3mo_PX[[#This Row],[Column835]]</f>
        <v>97.46</v>
      </c>
      <c r="AFD17">
        <f>SOFR3mo_PX[[#This Row],[Column836]]</f>
        <v>97.35</v>
      </c>
      <c r="AFE17">
        <f>SOFR3mo_PX[[#This Row],[Column837]]</f>
        <v>97.42</v>
      </c>
      <c r="AFF17">
        <f>SOFR3mo_PX[[#This Row],[Column838]]</f>
        <v>97.5</v>
      </c>
      <c r="AFG17">
        <f>SOFR3mo_PX[[#This Row],[Column839]]</f>
        <v>97.51</v>
      </c>
      <c r="AFH17">
        <f>SOFR3mo_PX[[#This Row],[Column840]]</f>
        <v>97.525000000000006</v>
      </c>
      <c r="AFI17">
        <f>SOFR3mo_PX[[#This Row],[Column841]]</f>
        <v>97.715000000000003</v>
      </c>
      <c r="AFJ17">
        <f>SOFR3mo_PX[[#This Row],[Column842]]</f>
        <v>97.71</v>
      </c>
      <c r="AFK17">
        <f>SOFR3mo_PX[[#This Row],[Column843]]</f>
        <v>97.825000000000003</v>
      </c>
      <c r="AFL17">
        <f>SOFR3mo_PX[[#This Row],[Column844]]</f>
        <v>97.77</v>
      </c>
      <c r="AFM17">
        <f>SOFR3mo_PX[[#This Row],[Column845]]</f>
        <v>97.71</v>
      </c>
      <c r="AFN17">
        <f>SOFR3mo_PX[[#This Row],[Column846]]</f>
        <v>97.594999999999999</v>
      </c>
      <c r="AFO17">
        <f>SOFR3mo_PX[[#This Row],[Column847]]</f>
        <v>97.555000000000007</v>
      </c>
      <c r="AFP17">
        <f>SOFR3mo_PX[[#This Row],[Column848]]</f>
        <v>97.795000000000002</v>
      </c>
      <c r="AFQ17">
        <f>SOFR3mo_PX[[#This Row],[Column849]]</f>
        <v>97.834999999999994</v>
      </c>
      <c r="AFR17">
        <f>SOFR3mo_PX[[#This Row],[Column850]]</f>
        <v>97.78</v>
      </c>
      <c r="AFS17">
        <f>SOFR3mo_PX[[#This Row],[Column851]]</f>
        <v>97.84</v>
      </c>
      <c r="AFT17">
        <f>SOFR3mo_PX[[#This Row],[Column852]]</f>
        <v>98.02</v>
      </c>
      <c r="AFU17">
        <f>SOFR3mo_PX[[#This Row],[Column853]]</f>
        <v>97.965000000000003</v>
      </c>
      <c r="AFV17">
        <f>SOFR3mo_PX[[#This Row],[Column854]]</f>
        <v>97.905000000000001</v>
      </c>
      <c r="AFW17">
        <f>SOFR3mo_PX[[#This Row],[Column855]]</f>
        <v>97.944999999999993</v>
      </c>
      <c r="AFX17">
        <f>SOFR3mo_PX[[#This Row],[Column856]]</f>
        <v>97.97</v>
      </c>
      <c r="AFY17">
        <f>SOFR3mo_PX[[#This Row],[Column857]]</f>
        <v>98.114999999999995</v>
      </c>
      <c r="AFZ17">
        <f>SOFR3mo_PX[[#This Row],[Column858]]</f>
        <v>98.144999999999996</v>
      </c>
      <c r="AGA17">
        <f>SOFR3mo_PX[[#This Row],[Column859]]</f>
        <v>98.22</v>
      </c>
      <c r="AGB17">
        <f>SOFR3mo_PX[[#This Row],[Column860]]</f>
        <v>98.314999999999998</v>
      </c>
      <c r="AGC17">
        <f>SOFR3mo_PX[[#This Row],[Column861]]</f>
        <v>98.43</v>
      </c>
      <c r="AGD17">
        <f>SOFR3mo_PX[[#This Row],[Column862]]</f>
        <v>98.49</v>
      </c>
      <c r="AGE17">
        <f>SOFR3mo_PX[[#This Row],[Column863]]</f>
        <v>98.344999999999999</v>
      </c>
      <c r="AGF17">
        <f>SOFR3mo_PX[[#This Row],[Column864]]</f>
        <v>98.295000000000002</v>
      </c>
      <c r="AGG17">
        <f>SOFR3mo_PX[[#This Row],[Column865]]</f>
        <v>98.5</v>
      </c>
      <c r="AGH17">
        <f>SOFR3mo_PX[[#This Row],[Column866]]</f>
        <v>98.284999999999997</v>
      </c>
      <c r="AGI17">
        <f>SOFR3mo_PX[[#This Row],[Column867]]</f>
        <v>98.13</v>
      </c>
      <c r="AGJ17">
        <f>SOFR3mo_PX[[#This Row],[Column868]]</f>
        <v>98.155000000000001</v>
      </c>
      <c r="AGK17">
        <f>SOFR3mo_PX[[#This Row],[Column869]]</f>
        <v>98.144999999999996</v>
      </c>
      <c r="AGL17">
        <f>SOFR3mo_PX[[#This Row],[Column870]]</f>
        <v>98.18</v>
      </c>
      <c r="AGM17">
        <f>SOFR3mo_PX[[#This Row],[Column871]]</f>
        <v>98.19</v>
      </c>
      <c r="AGN17">
        <f>SOFR3mo_PX[[#This Row],[Column872]]</f>
        <v>98.19</v>
      </c>
      <c r="AGO17">
        <f>SOFR3mo_PX[[#This Row],[Column873]]</f>
        <v>98.155000000000001</v>
      </c>
      <c r="AGP17">
        <f>SOFR3mo_PX[[#This Row],[Column874]]</f>
        <v>98.075000000000003</v>
      </c>
      <c r="AGQ17">
        <f>SOFR3mo_PX[[#This Row],[Column875]]</f>
        <v>98.075000000000003</v>
      </c>
      <c r="AGR17">
        <f>SOFR3mo_PX[[#This Row],[Column876]]</f>
        <v>98.105000000000004</v>
      </c>
      <c r="AGS17">
        <f>SOFR3mo_PX[[#This Row],[Column877]]</f>
        <v>98.165000000000006</v>
      </c>
      <c r="AGT17">
        <f>SOFR3mo_PX[[#This Row],[Column878]]</f>
        <v>98.015000000000001</v>
      </c>
      <c r="AGU17">
        <f>SOFR3mo_PX[[#This Row],[Column879]]</f>
        <v>98.094999999999999</v>
      </c>
      <c r="AGV17">
        <f>SOFR3mo_PX[[#This Row],[Column880]]</f>
        <v>98.08</v>
      </c>
      <c r="AGW17">
        <f>SOFR3mo_PX[[#This Row],[Column881]]</f>
        <v>98.13</v>
      </c>
      <c r="AGX17">
        <f>SOFR3mo_PX[[#This Row],[Column882]]</f>
        <v>98.105000000000004</v>
      </c>
      <c r="AGY17">
        <f>SOFR3mo_PX[[#This Row],[Column883]]</f>
        <v>98.245000000000005</v>
      </c>
      <c r="AGZ17">
        <f>SOFR3mo_PX[[#This Row],[Column884]]</f>
        <v>98.314999999999998</v>
      </c>
      <c r="AHA17">
        <f>SOFR3mo_PX[[#This Row],[Column885]]</f>
        <v>98.284999999999997</v>
      </c>
      <c r="AHB17">
        <f>SOFR3mo_PX[[#This Row],[Column886]]</f>
        <v>98.28</v>
      </c>
      <c r="AHC17">
        <f>SOFR3mo_PX[[#This Row],[Column887]]</f>
        <v>98.275000000000006</v>
      </c>
      <c r="AHD17">
        <f>SOFR3mo_PX[[#This Row],[Column888]]</f>
        <v>98.224999999999994</v>
      </c>
      <c r="AHE17">
        <f>SOFR3mo_PX[[#This Row],[Column889]]</f>
        <v>98.17</v>
      </c>
      <c r="AHF17">
        <f>SOFR3mo_PX[[#This Row],[Column890]]</f>
        <v>98.25</v>
      </c>
      <c r="AHG17">
        <f>SOFR3mo_PX[[#This Row],[Column891]]</f>
        <v>98.31</v>
      </c>
      <c r="AHH17">
        <f>SOFR3mo_PX[[#This Row],[Column892]]</f>
        <v>98.265000000000001</v>
      </c>
      <c r="AHI17">
        <f>SOFR3mo_PX[[#This Row],[Column893]]</f>
        <v>98.19</v>
      </c>
      <c r="AHJ17">
        <f>SOFR3mo_PX[[#This Row],[Column894]]</f>
        <v>98.185000000000002</v>
      </c>
      <c r="AHK17">
        <f>SOFR3mo_PX[[#This Row],[Column895]]</f>
        <v>98.13</v>
      </c>
      <c r="AHL17">
        <f>SOFR3mo_PX[[#This Row],[Column896]]</f>
        <v>98.245000000000005</v>
      </c>
      <c r="AHM17">
        <f>SOFR3mo_PX[[#This Row],[Column897]]</f>
        <v>98.245000000000005</v>
      </c>
      <c r="AHN17">
        <f>SOFR3mo_PX[[#This Row],[Column898]]</f>
        <v>98.334999999999994</v>
      </c>
      <c r="AHO17">
        <f>SOFR3mo_PX[[#This Row],[Column899]]</f>
        <v>98.305000000000007</v>
      </c>
      <c r="AHP17">
        <f>SOFR3mo_PX[[#This Row],[Column900]]</f>
        <v>98.265000000000001</v>
      </c>
      <c r="AHQ17">
        <f>SOFR3mo_PX[[#This Row],[Column901]]</f>
        <v>98.2</v>
      </c>
      <c r="AHR17">
        <f>SOFR3mo_PX[[#This Row],[Column902]]</f>
        <v>98.24</v>
      </c>
      <c r="AHS17">
        <f>SOFR3mo_PX[[#This Row],[Column903]]</f>
        <v>98.3</v>
      </c>
      <c r="AHT17">
        <f>SOFR3mo_PX[[#This Row],[Column904]]</f>
        <v>98.34</v>
      </c>
      <c r="AHU17">
        <f>SOFR3mo_PX[[#This Row],[Column905]]</f>
        <v>98.385000000000005</v>
      </c>
      <c r="AHV17">
        <f>SOFR3mo_PX[[#This Row],[Column906]]</f>
        <v>98.42</v>
      </c>
      <c r="AHW17">
        <f>SOFR3mo_PX[[#This Row],[Column907]]</f>
        <v>98.55</v>
      </c>
      <c r="AHX17">
        <f>SOFR3mo_PX[[#This Row],[Column908]]</f>
        <v>98.534999999999997</v>
      </c>
      <c r="AHY17">
        <f>SOFR3mo_PX[[#This Row],[Column909]]</f>
        <v>98.525000000000006</v>
      </c>
      <c r="AHZ17">
        <f>SOFR3mo_PX[[#This Row],[Column910]]</f>
        <v>98.575000000000003</v>
      </c>
      <c r="AIA17">
        <f>SOFR3mo_PX[[#This Row],[Column911]]</f>
        <v>98.564999999999998</v>
      </c>
      <c r="AIB17">
        <f>SOFR3mo_PX[[#This Row],[Column912]]</f>
        <v>98.564999999999998</v>
      </c>
      <c r="AIC17">
        <f>SOFR3mo_PX[[#This Row],[Column913]]</f>
        <v>98.564999999999998</v>
      </c>
      <c r="AID17">
        <f>SOFR3mo_PX[[#This Row],[Column914]]</f>
        <v>98.58</v>
      </c>
      <c r="AIE17">
        <f>SOFR3mo_PX[[#This Row],[Column915]]</f>
        <v>98.564999999999998</v>
      </c>
      <c r="AIF17">
        <f>SOFR3mo_PX[[#This Row],[Column916]]</f>
        <v>98.644999999999996</v>
      </c>
      <c r="AIG17">
        <f>SOFR3mo_PX[[#This Row],[Column917]]</f>
        <v>98.655000000000001</v>
      </c>
      <c r="AIH17">
        <f>SOFR3mo_PX[[#This Row],[Column918]]</f>
        <v>98.644999999999996</v>
      </c>
      <c r="AII17">
        <f>SOFR3mo_PX[[#This Row],[Column919]]</f>
        <v>98.55</v>
      </c>
      <c r="AIJ17">
        <f>SOFR3mo_PX[[#This Row],[Column920]]</f>
        <v>98.54</v>
      </c>
      <c r="AIK17">
        <f>SOFR3mo_PX[[#This Row],[Column921]]</f>
        <v>98.555000000000007</v>
      </c>
      <c r="AIL17">
        <f>SOFR3mo_PX[[#This Row],[Column922]]</f>
        <v>98.504999999999995</v>
      </c>
      <c r="AIM17">
        <f>SOFR3mo_PX[[#This Row],[Column923]]</f>
        <v>98.51</v>
      </c>
      <c r="AIN17">
        <f>SOFR3mo_PX[[#This Row],[Column924]]</f>
        <v>98.484999999999999</v>
      </c>
      <c r="AIO17">
        <f>SOFR3mo_PX[[#This Row],[Column925]]</f>
        <v>98.5</v>
      </c>
      <c r="AIP17">
        <f>SOFR3mo_PX[[#This Row],[Column926]]</f>
        <v>98.555000000000007</v>
      </c>
      <c r="AIQ17">
        <f>SOFR3mo_PX[[#This Row],[Column927]]</f>
        <v>98.685000000000002</v>
      </c>
      <c r="AIR17">
        <f>SOFR3mo_PX[[#This Row],[Column928]]</f>
        <v>98.58</v>
      </c>
      <c r="AIS17">
        <f>SOFR3mo_PX[[#This Row],[Column929]]</f>
        <v>98.61</v>
      </c>
      <c r="AIT17">
        <f>SOFR3mo_PX[[#This Row],[Column930]]</f>
        <v>98.584999999999994</v>
      </c>
      <c r="AIU17">
        <f>SOFR3mo_PX[[#This Row],[Column931]]</f>
        <v>98.515000000000001</v>
      </c>
      <c r="AIV17">
        <f>SOFR3mo_PX[[#This Row],[Column932]]</f>
        <v>98.53</v>
      </c>
      <c r="AIW17">
        <f>SOFR3mo_PX[[#This Row],[Column933]]</f>
        <v>98.355000000000004</v>
      </c>
      <c r="AIX17">
        <f>SOFR3mo_PX[[#This Row],[Column934]]</f>
        <v>98.355000000000004</v>
      </c>
      <c r="AIY17">
        <f>SOFR3mo_PX[[#This Row],[Column935]]</f>
        <v>98.36</v>
      </c>
      <c r="AIZ17">
        <f>SOFR3mo_PX[[#This Row],[Column936]]</f>
        <v>98.385000000000005</v>
      </c>
      <c r="AJA17">
        <f>SOFR3mo_PX[[#This Row],[Column937]]</f>
        <v>98.51</v>
      </c>
      <c r="AJB17">
        <f>SOFR3mo_PX[[#This Row],[Column938]]</f>
        <v>98.484999999999999</v>
      </c>
      <c r="AJC17">
        <f>SOFR3mo_PX[[#This Row],[Column939]]</f>
        <v>98.45</v>
      </c>
      <c r="AJD17">
        <f>SOFR3mo_PX[[#This Row],[Column940]]</f>
        <v>98.42</v>
      </c>
      <c r="AJE17">
        <f>SOFR3mo_PX[[#This Row],[Column941]]</f>
        <v>98.454999999999998</v>
      </c>
      <c r="AJF17">
        <f>SOFR3mo_PX[[#This Row],[Column942]]</f>
        <v>98.484999999999999</v>
      </c>
      <c r="AJG17">
        <f>SOFR3mo_PX[[#This Row],[Column943]]</f>
        <v>98.48</v>
      </c>
      <c r="AJH17">
        <f>SOFR3mo_PX[[#This Row],[Column944]]</f>
        <v>98.515000000000001</v>
      </c>
      <c r="AJI17">
        <f>SOFR3mo_PX[[#This Row],[Column945]]</f>
        <v>98.674999999999997</v>
      </c>
      <c r="AJJ17">
        <f>SOFR3mo_PX[[#This Row],[Column946]]</f>
        <v>98.605000000000004</v>
      </c>
      <c r="AJK17">
        <f>SOFR3mo_PX[[#This Row],[Column947]]</f>
        <v>98.674999999999997</v>
      </c>
      <c r="AJL17">
        <f>SOFR3mo_PX[[#This Row],[Column948]]</f>
        <v>98.59</v>
      </c>
      <c r="AJM17">
        <f>SOFR3mo_PX[[#This Row],[Column949]]</f>
        <v>98.52</v>
      </c>
      <c r="AJN17">
        <f>SOFR3mo_PX[[#This Row],[Column950]]</f>
        <v>98.57</v>
      </c>
      <c r="AJO17">
        <f>SOFR3mo_PX[[#This Row],[Column951]]</f>
        <v>98.564999999999998</v>
      </c>
      <c r="AJP17">
        <f>SOFR3mo_PX[[#This Row],[Column952]]</f>
        <v>98.6</v>
      </c>
      <c r="AJQ17">
        <f>SOFR3mo_PX[[#This Row],[Column953]]</f>
        <v>98.575000000000003</v>
      </c>
      <c r="AJR17">
        <f>SOFR3mo_PX[[#This Row],[Column954]]</f>
        <v>98.58</v>
      </c>
      <c r="AJS17">
        <f>SOFR3mo_PX[[#This Row],[Column955]]</f>
        <v>98.46</v>
      </c>
      <c r="AJT17">
        <f>SOFR3mo_PX[[#This Row],[Column956]]</f>
        <v>98.465000000000003</v>
      </c>
      <c r="AJU17">
        <f>SOFR3mo_PX[[#This Row],[Column957]]</f>
        <v>98.454999999999998</v>
      </c>
      <c r="AJV17">
        <f>SOFR3mo_PX[[#This Row],[Column958]]</f>
        <v>98.43</v>
      </c>
      <c r="AJW17">
        <f>SOFR3mo_PX[[#This Row],[Column959]]</f>
        <v>98.5</v>
      </c>
      <c r="AJX17">
        <f>SOFR3mo_PX[[#This Row],[Column960]]</f>
        <v>98.49</v>
      </c>
      <c r="AJY17">
        <f>SOFR3mo_PX[[#This Row],[Column961]]</f>
        <v>98.495000000000005</v>
      </c>
      <c r="AJZ17">
        <f>SOFR3mo_PX[[#This Row],[Column962]]</f>
        <v>98.52</v>
      </c>
      <c r="AKA17">
        <f>SOFR3mo_PX[[#This Row],[Column963]]</f>
        <v>98.59</v>
      </c>
      <c r="AKB17">
        <f>SOFR3mo_PX[[#This Row],[Column964]]</f>
        <v>98.534999999999997</v>
      </c>
      <c r="AKC17">
        <f>SOFR3mo_PX[[#This Row],[Column965]]</f>
        <v>98.52</v>
      </c>
      <c r="AKD17">
        <f>SOFR3mo_PX[[#This Row],[Column966]]</f>
        <v>98.495000000000005</v>
      </c>
      <c r="AKE17">
        <f>SOFR3mo_PX[[#This Row],[Column967]]</f>
        <v>98.52</v>
      </c>
      <c r="AKF17">
        <f>SOFR3mo_PX[[#This Row],[Column968]]</f>
        <v>98.57</v>
      </c>
      <c r="AKG17">
        <f>SOFR3mo_PX[[#This Row],[Column969]]</f>
        <v>98.614999999999995</v>
      </c>
      <c r="AKH17">
        <f>SOFR3mo_PX[[#This Row],[Column970]]</f>
        <v>98.625</v>
      </c>
      <c r="AKI17">
        <f>SOFR3mo_PX[[#This Row],[Column971]]</f>
        <v>98.67</v>
      </c>
      <c r="AKJ17">
        <f>SOFR3mo_PX[[#This Row],[Column972]]</f>
        <v>98.665000000000006</v>
      </c>
      <c r="AKK17">
        <f>SOFR3mo_PX[[#This Row],[Column973]]</f>
        <v>98.58</v>
      </c>
      <c r="AKL17">
        <f>SOFR3mo_PX[[#This Row],[Column974]]</f>
        <v>98.564999999999998</v>
      </c>
      <c r="AKM17">
        <f>SOFR3mo_PX[[#This Row],[Column975]]</f>
        <v>98.534999999999997</v>
      </c>
      <c r="AKN17">
        <f>SOFR3mo_PX[[#This Row],[Column976]]</f>
        <v>98.58</v>
      </c>
      <c r="AKO17">
        <f>SOFR3mo_PX[[#This Row],[Column977]]</f>
        <v>98.614999999999995</v>
      </c>
      <c r="AKP17">
        <f>SOFR3mo_PX[[#This Row],[Column978]]</f>
        <v>98.644999999999996</v>
      </c>
      <c r="AKQ17">
        <f>SOFR3mo_PX[[#This Row],[Column979]]</f>
        <v>98.715000000000003</v>
      </c>
      <c r="AKR17">
        <f>SOFR3mo_PX[[#This Row],[Column980]]</f>
        <v>98.78</v>
      </c>
      <c r="AKS17">
        <f>SOFR3mo_PX[[#This Row],[Column981]]</f>
        <v>98.784999999999997</v>
      </c>
      <c r="AKT17">
        <f>SOFR3mo_PX[[#This Row],[Column982]]</f>
        <v>98.715000000000003</v>
      </c>
      <c r="AKU17">
        <f>SOFR3mo_PX[[#This Row],[Column983]]</f>
        <v>98.765000000000001</v>
      </c>
      <c r="AKV17">
        <f>SOFR3mo_PX[[#This Row],[Column984]]</f>
        <v>98.83</v>
      </c>
      <c r="AKW17">
        <f>SOFR3mo_PX[[#This Row],[Column985]]</f>
        <v>98.9</v>
      </c>
      <c r="AKX17">
        <f>SOFR3mo_PX[[#This Row],[Column986]]</f>
        <v>98.875</v>
      </c>
      <c r="AKY17">
        <f>SOFR3mo_PX[[#This Row],[Column987]]</f>
        <v>98.864999999999995</v>
      </c>
      <c r="AKZ17">
        <f>SOFR3mo_PX[[#This Row],[Column988]]</f>
        <v>98.91</v>
      </c>
      <c r="ALA17">
        <f>SOFR3mo_PX[[#This Row],[Column989]]</f>
        <v>98.88</v>
      </c>
      <c r="ALB17">
        <f>SOFR3mo_PX[[#This Row],[Column990]]</f>
        <v>98.864999999999995</v>
      </c>
      <c r="ALC17">
        <f>SOFR3mo_PX[[#This Row],[Column991]]</f>
        <v>98.915000000000006</v>
      </c>
      <c r="ALD17">
        <f>SOFR3mo_PX[[#This Row],[Column992]]</f>
        <v>98.915000000000006</v>
      </c>
      <c r="ALE17">
        <f>SOFR3mo_PX[[#This Row],[Column993]]</f>
        <v>98.94</v>
      </c>
      <c r="ALF17">
        <f>SOFR3mo_PX[[#This Row],[Column994]]</f>
        <v>98.93</v>
      </c>
      <c r="ALG17">
        <f>SOFR3mo_PX[[#This Row],[Column995]]</f>
        <v>98.935000000000002</v>
      </c>
      <c r="ALH17">
        <f>SOFR3mo_PX[[#This Row],[Column996]]</f>
        <v>98.94</v>
      </c>
      <c r="ALI17">
        <f>SOFR3mo_PX[[#This Row],[Column997]]</f>
        <v>98.894999999999996</v>
      </c>
      <c r="ALJ17">
        <f>SOFR3mo_PX[[#This Row],[Column998]]</f>
        <v>98.844999999999999</v>
      </c>
      <c r="ALK17">
        <f>SOFR3mo_PX[[#This Row],[Column999]]</f>
        <v>98.855000000000004</v>
      </c>
      <c r="ALL17">
        <f>SOFR3mo_PX[[#This Row],[Column1000]]</f>
        <v>98.915000000000006</v>
      </c>
      <c r="ALM17">
        <f>SOFR3mo_PX[[#This Row],[Column1001]]</f>
        <v>98.95</v>
      </c>
      <c r="ALN17">
        <f>SOFR3mo_PX[[#This Row],[Column1002]]</f>
        <v>98.935000000000002</v>
      </c>
      <c r="ALO17">
        <f>SOFR3mo_PX[[#This Row],[Column1003]]</f>
        <v>98.954999999999998</v>
      </c>
      <c r="ALP17">
        <f>SOFR3mo_PX[[#This Row],[Column1004]]</f>
        <v>98.935000000000002</v>
      </c>
      <c r="ALQ17">
        <f>SOFR3mo_PX[[#This Row],[Column1005]]</f>
        <v>98.954999999999998</v>
      </c>
      <c r="ALR17">
        <f>SOFR3mo_PX[[#This Row],[Column1006]]</f>
        <v>98.96</v>
      </c>
      <c r="ALS17">
        <f>SOFR3mo_PX[[#This Row],[Column1007]]</f>
        <v>98.894999999999996</v>
      </c>
      <c r="ALT17">
        <f>SOFR3mo_PX[[#This Row],[Column1008]]</f>
        <v>98.825000000000003</v>
      </c>
      <c r="ALU17">
        <f>SOFR3mo_PX[[#This Row],[Column1009]]</f>
        <v>98.84</v>
      </c>
      <c r="ALV17">
        <f>SOFR3mo_PX[[#This Row],[Column1010]]</f>
        <v>98.834999999999994</v>
      </c>
      <c r="ALW17">
        <f>SOFR3mo_PX[[#This Row],[Column1011]]</f>
        <v>98.864999999999995</v>
      </c>
      <c r="ALX17">
        <f>SOFR3mo_PX[[#This Row],[Column1012]]</f>
        <v>98.92</v>
      </c>
      <c r="ALY17">
        <f>SOFR3mo_PX[[#This Row],[Column1013]]</f>
        <v>98.99</v>
      </c>
      <c r="ALZ17">
        <f>SOFR3mo_PX[[#This Row],[Column1014]]</f>
        <v>99.045000000000002</v>
      </c>
      <c r="AMA17">
        <f>SOFR3mo_PX[[#This Row],[Column1015]]</f>
        <v>99.094999999999999</v>
      </c>
      <c r="AMB17">
        <f>SOFR3mo_PX[[#This Row],[Column1016]]</f>
        <v>99.08</v>
      </c>
      <c r="AMC17">
        <f>SOFR3mo_PX[[#This Row],[Column1017]]</f>
        <v>99</v>
      </c>
      <c r="AMD17">
        <f>SOFR3mo_PX[[#This Row],[Column1018]]</f>
        <v>98.96</v>
      </c>
      <c r="AME17">
        <f>SOFR3mo_PX[[#This Row],[Column1019]]</f>
        <v>98.954999999999998</v>
      </c>
      <c r="AMF17">
        <f>SOFR3mo_PX[[#This Row],[Column1020]]</f>
        <v>99.015000000000001</v>
      </c>
      <c r="AMG17">
        <f>SOFR3mo_PX[[#This Row],[Column1021]]</f>
        <v>98.98</v>
      </c>
      <c r="AMH17">
        <f>SOFR3mo_PX[[#This Row],[Column1022]]</f>
        <v>98.974999999999994</v>
      </c>
      <c r="AMI17">
        <f>SOFR3mo_PX[[#This Row],[Column1023]]</f>
        <v>98.99</v>
      </c>
      <c r="AMJ17">
        <f>SOFR3mo_PX[[#This Row],[Column1024]]</f>
        <v>98.98</v>
      </c>
      <c r="AMK17">
        <f>SOFR3mo_PX[[#This Row],[Column1025]]</f>
        <v>99.075000000000003</v>
      </c>
      <c r="AML17">
        <f>SOFR3mo_PX[[#This Row],[Column1026]]</f>
        <v>99.064999999999998</v>
      </c>
      <c r="AMM17">
        <f>SOFR3mo_PX[[#This Row],[Column1027]]</f>
        <v>98.89</v>
      </c>
      <c r="AMN17">
        <f>SOFR3mo_PX[[#This Row],[Column1028]]</f>
        <v>98.89</v>
      </c>
      <c r="AMO17">
        <f>SOFR3mo_PX[[#This Row],[Column1029]]</f>
        <v>98.84</v>
      </c>
      <c r="AMP17">
        <f>SOFR3mo_PX[[#This Row],[Column1030]]</f>
        <v>98.79</v>
      </c>
      <c r="AMQ17">
        <f>SOFR3mo_PX[[#This Row],[Column1031]]</f>
        <v>98.86</v>
      </c>
      <c r="AMR17">
        <f>SOFR3mo_PX[[#This Row],[Column1032]]</f>
        <v>98.855000000000004</v>
      </c>
      <c r="AMS17">
        <f>SOFR3mo_PX[[#This Row],[Column1033]]</f>
        <v>98.93</v>
      </c>
      <c r="AMT17">
        <f>SOFR3mo_PX[[#This Row],[Column1034]]</f>
        <v>98.864999999999995</v>
      </c>
      <c r="AMU17">
        <f>SOFR3mo_PX[[#This Row],[Column1035]]</f>
        <v>98.82</v>
      </c>
      <c r="AMV17">
        <f>SOFR3mo_PX[[#This Row],[Column1036]]</f>
        <v>98.73</v>
      </c>
      <c r="AMW17">
        <f>SOFR3mo_PX[[#This Row],[Column1037]]</f>
        <v>98.73</v>
      </c>
      <c r="AMX17">
        <f>SOFR3mo_PX[[#This Row],[Column1038]]</f>
        <v>98.665000000000006</v>
      </c>
      <c r="AMY17">
        <f>SOFR3mo_PX[[#This Row],[Column1039]]</f>
        <v>98.715000000000003</v>
      </c>
      <c r="AMZ17">
        <f>SOFR3mo_PX[[#This Row],[Column1040]]</f>
        <v>98.685000000000002</v>
      </c>
      <c r="ANA17">
        <f>SOFR3mo_PX[[#This Row],[Column1041]]</f>
        <v>98.685000000000002</v>
      </c>
      <c r="ANB17">
        <f>SOFR3mo_PX[[#This Row],[Column1042]]</f>
        <v>98.66</v>
      </c>
      <c r="ANC17">
        <f>SOFR3mo_PX[[#This Row],[Column1043]]</f>
        <v>98.7</v>
      </c>
      <c r="AND17">
        <f>SOFR3mo_PX[[#This Row],[Column1044]]</f>
        <v>98.71</v>
      </c>
      <c r="ANE17">
        <f>SOFR3mo_PX[[#This Row],[Column1045]]</f>
        <v>98.745000000000005</v>
      </c>
      <c r="ANF17">
        <f>SOFR3mo_PX[[#This Row],[Column1046]]</f>
        <v>98.73</v>
      </c>
      <c r="ANG17">
        <f>SOFR3mo_PX[[#This Row],[Column1047]]</f>
        <v>98.724999999999994</v>
      </c>
      <c r="ANH17">
        <f>SOFR3mo_PX[[#This Row],[Column1048]]</f>
        <v>98.69</v>
      </c>
      <c r="ANI17">
        <f>SOFR3mo_PX[[#This Row],[Column1049]]</f>
        <v>98.644999999999996</v>
      </c>
      <c r="ANJ17">
        <f>SOFR3mo_PX[[#This Row],[Column1050]]</f>
        <v>98.92</v>
      </c>
      <c r="ANK17">
        <f>SOFR3mo_PX[[#This Row],[Column1051]]</f>
        <v>98.92</v>
      </c>
      <c r="ANL17">
        <f>SOFR3mo_PX[[#This Row],[Column1052]]</f>
        <v>98.965000000000003</v>
      </c>
      <c r="ANM17">
        <f>SOFR3mo_PX[[#This Row],[Column1053]]</f>
        <v>98.995000000000005</v>
      </c>
      <c r="ANN17">
        <f>SOFR3mo_PX[[#This Row],[Column1054]]</f>
        <v>98.965000000000003</v>
      </c>
      <c r="ANO17">
        <f>SOFR3mo_PX[[#This Row],[Column1055]]</f>
        <v>98.915000000000006</v>
      </c>
      <c r="ANP17">
        <f>SOFR3mo_PX[[#This Row],[Column1056]]</f>
        <v>98.875</v>
      </c>
      <c r="ANQ17">
        <f>SOFR3mo_PX[[#This Row],[Column1057]]</f>
        <v>98.88</v>
      </c>
      <c r="ANR17">
        <f>SOFR3mo_PX[[#This Row],[Column1058]]</f>
        <v>98.795000000000002</v>
      </c>
      <c r="ANS17">
        <f>SOFR3mo_PX[[#This Row],[Column1059]]</f>
        <v>98.844999999999999</v>
      </c>
      <c r="ANT17">
        <f>SOFR3mo_PX[[#This Row],[Column1060]]</f>
        <v>98.81</v>
      </c>
      <c r="ANU17">
        <f>SOFR3mo_PX[[#This Row],[Column1061]]</f>
        <v>98.84</v>
      </c>
      <c r="ANV17">
        <f>SOFR3mo_PX[[#This Row],[Column1062]]</f>
        <v>98.84</v>
      </c>
      <c r="ANW17">
        <f>SOFR3mo_PX[[#This Row],[Column1063]]</f>
        <v>98.834999999999994</v>
      </c>
      <c r="ANX17">
        <f>SOFR3mo_PX[[#This Row],[Column1064]]</f>
        <v>98.864999999999995</v>
      </c>
      <c r="ANY17">
        <f>SOFR3mo_PX[[#This Row],[Column1065]]</f>
        <v>98.87</v>
      </c>
      <c r="ANZ17">
        <f>SOFR3mo_PX[[#This Row],[Column1066]]</f>
        <v>98.814999999999998</v>
      </c>
      <c r="AOA17">
        <f>SOFR3mo_PX[[#This Row],[Column1067]]</f>
        <v>98.784999999999997</v>
      </c>
      <c r="AOB17">
        <f>SOFR3mo_PX[[#This Row],[Column1068]]</f>
        <v>98.8</v>
      </c>
      <c r="AOC17">
        <f>SOFR3mo_PX[[#This Row],[Column1069]]</f>
        <v>98.74</v>
      </c>
      <c r="AOD17">
        <f>SOFR3mo_PX[[#This Row],[Column1070]]</f>
        <v>98.8</v>
      </c>
      <c r="AOE17">
        <f>SOFR3mo_PX[[#This Row],[Column1071]]</f>
        <v>98.8</v>
      </c>
      <c r="AOF17">
        <f>SOFR3mo_PX[[#This Row],[Column1072]]</f>
        <v>98.805000000000007</v>
      </c>
      <c r="AOG17">
        <f>SOFR3mo_PX[[#This Row],[Column1073]]</f>
        <v>98.795000000000002</v>
      </c>
      <c r="AOH17">
        <f>SOFR3mo_PX[[#This Row],[Column1074]]</f>
        <v>98.74</v>
      </c>
      <c r="AOI17">
        <f>SOFR3mo_PX[[#This Row],[Column1075]]</f>
        <v>98.84</v>
      </c>
      <c r="AOJ17">
        <f>SOFR3mo_PX[[#This Row],[Column1076]]</f>
        <v>98.864999999999995</v>
      </c>
      <c r="AOK17">
        <f>SOFR3mo_PX[[#This Row],[Column1077]]</f>
        <v>98.864999999999995</v>
      </c>
      <c r="AOL17">
        <f>SOFR3mo_PX[[#This Row],[Column1078]]</f>
        <v>98.805000000000007</v>
      </c>
      <c r="AOM17">
        <f>SOFR3mo_PX[[#This Row],[Column1079]]</f>
        <v>98.795000000000002</v>
      </c>
      <c r="AON17">
        <f>SOFR3mo_PX[[#This Row],[Column1080]]</f>
        <v>98.775000000000006</v>
      </c>
      <c r="AOO17">
        <f>SOFR3mo_PX[[#This Row],[Column1081]]</f>
        <v>98.75</v>
      </c>
      <c r="AOP17">
        <f>SOFR3mo_PX[[#This Row],[Column1082]]</f>
        <v>98.715000000000003</v>
      </c>
      <c r="AOQ17">
        <f>SOFR3mo_PX[[#This Row],[Column1083]]</f>
        <v>98.71</v>
      </c>
      <c r="AOR17">
        <f>SOFR3mo_PX[[#This Row],[Column1084]]</f>
        <v>98.715000000000003</v>
      </c>
      <c r="AOS17">
        <f>SOFR3mo_PX[[#This Row],[Column1085]]</f>
        <v>98.715000000000003</v>
      </c>
      <c r="AOT17">
        <f>SOFR3mo_PX[[#This Row],[Column1086]]</f>
        <v>98.765000000000001</v>
      </c>
      <c r="AOU17">
        <f>SOFR3mo_PX[[#This Row],[Column1087]]</f>
        <v>98.775000000000006</v>
      </c>
      <c r="AOV17">
        <f>SOFR3mo_PX[[#This Row],[Column1088]]</f>
        <v>98.805000000000007</v>
      </c>
      <c r="AOW17">
        <f>SOFR3mo_PX[[#This Row],[Column1089]]</f>
        <v>98.805000000000007</v>
      </c>
      <c r="AOX17">
        <f>SOFR3mo_PX[[#This Row],[Column1090]]</f>
        <v>98.81</v>
      </c>
      <c r="AOY17">
        <f>SOFR3mo_PX[[#This Row],[Column1091]]</f>
        <v>98.784999999999997</v>
      </c>
      <c r="AOZ17">
        <f>SOFR3mo_PX[[#This Row],[Column1092]]</f>
        <v>98.795000000000002</v>
      </c>
      <c r="APA17">
        <f>SOFR3mo_PX[[#This Row],[Column1093]]</f>
        <v>98.83</v>
      </c>
      <c r="APB17">
        <f>SOFR3mo_PX[[#This Row],[Column1094]]</f>
        <v>98.704999999999998</v>
      </c>
      <c r="APC17">
        <f>SOFR3mo_PX[[#This Row],[Column1095]]</f>
        <v>98.715000000000003</v>
      </c>
      <c r="APD17">
        <f>SOFR3mo_PX[[#This Row],[Column1096]]</f>
        <v>98.625</v>
      </c>
      <c r="APE17">
        <f>SOFR3mo_PX[[#This Row],[Column1097]]</f>
        <v>98.655000000000001</v>
      </c>
      <c r="APF17">
        <f>SOFR3mo_PX[[#This Row],[Column1098]]</f>
        <v>98.685000000000002</v>
      </c>
      <c r="APG17">
        <f>SOFR3mo_PX[[#This Row],[Column1099]]</f>
        <v>98.644999999999996</v>
      </c>
      <c r="APH17">
        <f>SOFR3mo_PX[[#This Row],[Column1100]]</f>
        <v>98.61</v>
      </c>
      <c r="API17">
        <f>SOFR3mo_PX[[#This Row],[Column1101]]</f>
        <v>98.51</v>
      </c>
      <c r="APJ17">
        <f>SOFR3mo_PX[[#This Row],[Column1102]]</f>
        <v>98.474999999999994</v>
      </c>
      <c r="APK17">
        <f>SOFR3mo_PX[[#This Row],[Column1103]]</f>
        <v>98.58</v>
      </c>
      <c r="APL17">
        <f>SOFR3mo_PX[[#This Row],[Column1104]]</f>
        <v>98.545000000000002</v>
      </c>
      <c r="APM17">
        <f>SOFR3mo_PX[[#This Row],[Column1105]]</f>
        <v>98.584999999999994</v>
      </c>
      <c r="APN17">
        <f>SOFR3mo_PX[[#This Row],[Column1106]]</f>
        <v>98.625</v>
      </c>
      <c r="APO17">
        <f>SOFR3mo_PX[[#This Row],[Column1107]]</f>
        <v>98.694999999999993</v>
      </c>
      <c r="APP17">
        <f>SOFR3mo_PX[[#This Row],[Column1108]]</f>
        <v>98.745000000000005</v>
      </c>
      <c r="APQ17">
        <f>SOFR3mo_PX[[#This Row],[Column1109]]</f>
        <v>98.734999999999999</v>
      </c>
      <c r="APR17">
        <f>SOFR3mo_PX[[#This Row],[Column1110]]</f>
        <v>98.715000000000003</v>
      </c>
      <c r="APS17">
        <f>SOFR3mo_PX[[#This Row],[Column1111]]</f>
        <v>98.665000000000006</v>
      </c>
      <c r="APT17">
        <f>SOFR3mo_PX[[#This Row],[Column1112]]</f>
        <v>98.635000000000005</v>
      </c>
      <c r="APU17">
        <f>SOFR3mo_PX[[#This Row],[Column1113]]</f>
        <v>98.685000000000002</v>
      </c>
      <c r="APV17">
        <f>SOFR3mo_PX[[#This Row],[Column1114]]</f>
        <v>98.78</v>
      </c>
      <c r="APW17">
        <f>SOFR3mo_PX[[#This Row],[Column1115]]</f>
        <v>98.875</v>
      </c>
      <c r="APX17">
        <f>SOFR3mo_PX[[#This Row],[Column1116]]</f>
        <v>98.864999999999995</v>
      </c>
      <c r="APY17">
        <f>SOFR3mo_PX[[#This Row],[Column1117]]</f>
        <v>98.85</v>
      </c>
      <c r="APZ17">
        <f>SOFR3mo_PX[[#This Row],[Column1118]]</f>
        <v>98.92</v>
      </c>
      <c r="AQA17">
        <f>SOFR3mo_PX[[#This Row],[Column1119]]</f>
        <v>98.915000000000006</v>
      </c>
      <c r="AQB17">
        <f>SOFR3mo_PX[[#This Row],[Column1120]]</f>
        <v>98.885000000000005</v>
      </c>
      <c r="AQC17">
        <f>SOFR3mo_PX[[#This Row],[Column1121]]</f>
        <v>98.83</v>
      </c>
      <c r="AQD17">
        <f>SOFR3mo_PX[[#This Row],[Column1122]]</f>
        <v>98.894999999999996</v>
      </c>
      <c r="AQE17">
        <f>SOFR3mo_PX[[#This Row],[Column1123]]</f>
        <v>98.885000000000005</v>
      </c>
      <c r="AQF17">
        <f>SOFR3mo_PX[[#This Row],[Column1124]]</f>
        <v>98.95</v>
      </c>
      <c r="AQG17">
        <f>SOFR3mo_PX[[#This Row],[Column1125]]</f>
        <v>99.004999999999995</v>
      </c>
      <c r="AQH17">
        <f>SOFR3mo_PX[[#This Row],[Column1126]]</f>
        <v>98.965000000000003</v>
      </c>
      <c r="AQI17">
        <f>SOFR3mo_PX[[#This Row],[Column1127]]</f>
        <v>98.9</v>
      </c>
      <c r="AQJ17">
        <f>SOFR3mo_PX[[#This Row],[Column1128]]</f>
        <v>98.905000000000001</v>
      </c>
      <c r="AQK17">
        <f>SOFR3mo_PX[[#This Row],[Column1129]]</f>
        <v>99.14</v>
      </c>
      <c r="AQL17">
        <f>SOFR3mo_PX[[#This Row],[Column1130]]</f>
        <v>99.165000000000006</v>
      </c>
      <c r="AQM17">
        <f>SOFR3mo_PX[[#This Row],[Column1131]]</f>
        <v>99.155000000000001</v>
      </c>
      <c r="AQN17">
        <f>SOFR3mo_PX[[#This Row],[Column1132]]</f>
        <v>99.19</v>
      </c>
      <c r="AQO17">
        <f>SOFR3mo_PX[[#This Row],[Column1133]]</f>
        <v>99.234999999999999</v>
      </c>
      <c r="AQP17">
        <f>SOFR3mo_PX[[#This Row],[Column1134]]</f>
        <v>99.2</v>
      </c>
      <c r="AQQ17">
        <f>SOFR3mo_PX[[#This Row],[Column1135]]</f>
        <v>99.22</v>
      </c>
      <c r="AQR17">
        <f>SOFR3mo_PX[[#This Row],[Column1136]]</f>
        <v>99.34</v>
      </c>
      <c r="AQS17">
        <f>SOFR3mo_PX[[#This Row],[Column1137]]</f>
        <v>99.34</v>
      </c>
      <c r="AQT17">
        <f>SOFR3mo_PX[[#This Row],[Column1138]]</f>
        <v>99.38</v>
      </c>
      <c r="AQU17">
        <f>SOFR3mo_PX[[#This Row],[Column1139]]</f>
        <v>99.39</v>
      </c>
      <c r="AQV17">
        <f>SOFR3mo_PX[[#This Row],[Column1140]]</f>
        <v>99.375</v>
      </c>
      <c r="AQW17">
        <f>SOFR3mo_PX[[#This Row],[Column1141]]</f>
        <v>99.364999999999995</v>
      </c>
      <c r="AQX17">
        <f>SOFR3mo_PX[[#This Row],[Column1142]]</f>
        <v>99.385000000000005</v>
      </c>
      <c r="AQY17">
        <f>SOFR3mo_PX[[#This Row],[Column1143]]</f>
        <v>99.39</v>
      </c>
      <c r="AQZ17">
        <f>SOFR3mo_PX[[#This Row],[Column1144]]</f>
        <v>99.43</v>
      </c>
      <c r="ARA17">
        <f>SOFR3mo_PX[[#This Row],[Column1145]]</f>
        <v>99.444999999999993</v>
      </c>
      <c r="ARB17">
        <f>SOFR3mo_PX[[#This Row],[Column1146]]</f>
        <v>99.465000000000003</v>
      </c>
      <c r="ARC17">
        <f>SOFR3mo_PX[[#This Row],[Column1147]]</f>
        <v>99.465000000000003</v>
      </c>
      <c r="ARD17">
        <f>SOFR3mo_PX[[#This Row],[Column1148]]</f>
        <v>99.47</v>
      </c>
      <c r="ARE17">
        <f>SOFR3mo_PX[[#This Row],[Column1149]]</f>
        <v>99.5</v>
      </c>
      <c r="ARF17">
        <f>SOFR3mo_PX[[#This Row],[Column1150]]</f>
        <v>99.484999999999999</v>
      </c>
      <c r="ARG17">
        <f>SOFR3mo_PX[[#This Row],[Column1151]]</f>
        <v>99.49</v>
      </c>
      <c r="ARH17">
        <f>SOFR3mo_PX[[#This Row],[Column1152]]</f>
        <v>99.474999999999994</v>
      </c>
      <c r="ARI17">
        <f>SOFR3mo_PX[[#This Row],[Column1153]]</f>
        <v>99.47</v>
      </c>
      <c r="ARJ17">
        <f>SOFR3mo_PX[[#This Row],[Column1154]]</f>
        <v>99.484999999999999</v>
      </c>
      <c r="ARK17">
        <f>SOFR3mo_PX[[#This Row],[Column1155]]</f>
        <v>99.484999999999999</v>
      </c>
      <c r="ARL17">
        <f>SOFR3mo_PX[[#This Row],[Column1156]]</f>
        <v>99.474999999999994</v>
      </c>
      <c r="ARM17">
        <f>SOFR3mo_PX[[#This Row],[Column1157]]</f>
        <v>99.474999999999994</v>
      </c>
      <c r="ARN17">
        <f>SOFR3mo_PX[[#This Row],[Column1158]]</f>
        <v>99.484999999999999</v>
      </c>
      <c r="ARO17">
        <f>SOFR3mo_PX[[#This Row],[Column1159]]</f>
        <v>99.47</v>
      </c>
      <c r="ARP17">
        <f>SOFR3mo_PX[[#This Row],[Column1160]]</f>
        <v>99.444999999999993</v>
      </c>
      <c r="ARQ17">
        <f>SOFR3mo_PX[[#This Row],[Column1161]]</f>
        <v>99.45</v>
      </c>
      <c r="ARR17">
        <f>SOFR3mo_PX[[#This Row],[Column1162]]</f>
        <v>99.454999999999998</v>
      </c>
      <c r="ARS17">
        <f>SOFR3mo_PX[[#This Row],[Column1163]]</f>
        <v>99.495000000000005</v>
      </c>
      <c r="ART17">
        <f>SOFR3mo_PX[[#This Row],[Column1164]]</f>
        <v>99.584999999999994</v>
      </c>
      <c r="ARU17">
        <f>SOFR3mo_PX[[#This Row],[Column1165]]</f>
        <v>99.63</v>
      </c>
      <c r="ARV17">
        <f>SOFR3mo_PX[[#This Row],[Column1166]]</f>
        <v>99.64</v>
      </c>
      <c r="ARW17">
        <f>SOFR3mo_PX[[#This Row],[Column1167]]</f>
        <v>99.63</v>
      </c>
      <c r="ARX17">
        <f>SOFR3mo_PX[[#This Row],[Column1168]]</f>
        <v>99.63</v>
      </c>
      <c r="ARY17">
        <f>SOFR3mo_PX[[#This Row],[Column1169]]</f>
        <v>99.62</v>
      </c>
      <c r="ARZ17">
        <f>SOFR3mo_PX[[#This Row],[Column1170]]</f>
        <v>99.605000000000004</v>
      </c>
      <c r="ASA17">
        <f>SOFR3mo_PX[[#This Row],[Column1171]]</f>
        <v>99.6</v>
      </c>
      <c r="ASB17">
        <f>SOFR3mo_PX[[#This Row],[Column1172]]</f>
        <v>99.605000000000004</v>
      </c>
      <c r="ASC17">
        <f>SOFR3mo_PX[[#This Row],[Column1173]]</f>
        <v>99.605000000000004</v>
      </c>
      <c r="ASD17">
        <f>SOFR3mo_PX[[#This Row],[Column1174]]</f>
        <v>99.605000000000004</v>
      </c>
      <c r="ASE17">
        <f>SOFR3mo_PX[[#This Row],[Column1175]]</f>
        <v>99.61</v>
      </c>
      <c r="ASF17">
        <f>SOFR3mo_PX[[#This Row],[Column1176]]</f>
        <v>99.605000000000004</v>
      </c>
      <c r="ASG17">
        <f>SOFR3mo_PX[[#This Row],[Column1177]]</f>
        <v>99.605000000000004</v>
      </c>
      <c r="ASH17">
        <f>SOFR3mo_PX[[#This Row],[Column1178]]</f>
        <v>99.62</v>
      </c>
      <c r="ASI17">
        <f>SOFR3mo_PX[[#This Row],[Column1179]]</f>
        <v>99.63</v>
      </c>
      <c r="ASJ17">
        <f>SOFR3mo_PX[[#This Row],[Column1180]]</f>
        <v>99.694999999999993</v>
      </c>
      <c r="ASK17">
        <f>SOFR3mo_PX[[#This Row],[Column1181]]</f>
        <v>99.694999999999993</v>
      </c>
      <c r="ASL17">
        <f>SOFR3mo_PX[[#This Row],[Column1182]]</f>
        <v>99.694999999999993</v>
      </c>
      <c r="ASM17">
        <f>SOFR3mo_PX[[#This Row],[Column1183]]</f>
        <v>99.67</v>
      </c>
      <c r="ASN17">
        <f>SOFR3mo_PX[[#This Row],[Column1184]]</f>
        <v>99.64</v>
      </c>
      <c r="ASO17">
        <f>SOFR3mo_PX[[#This Row],[Column1185]]</f>
        <v>99.715000000000003</v>
      </c>
      <c r="ASP17">
        <f>SOFR3mo_PX[[#This Row],[Column1186]]</f>
        <v>99.715000000000003</v>
      </c>
      <c r="ASQ17">
        <f>SOFR3mo_PX[[#This Row],[Column1187]]</f>
        <v>99.724999999999994</v>
      </c>
      <c r="ASR17">
        <f>SOFR3mo_PX[[#This Row],[Column1188]]</f>
        <v>99.74</v>
      </c>
      <c r="ASS17">
        <f>SOFR3mo_PX[[#This Row],[Column1189]]</f>
        <v>99.745000000000005</v>
      </c>
      <c r="AST17">
        <f>SOFR3mo_PX[[#This Row],[Column1190]]</f>
        <v>99.75</v>
      </c>
      <c r="ASU17">
        <f>SOFR3mo_PX[[#This Row],[Column1191]]</f>
        <v>99.775000000000006</v>
      </c>
      <c r="ASV17">
        <f>SOFR3mo_PX[[#This Row],[Column1192]]</f>
        <v>99.78</v>
      </c>
      <c r="ASW17">
        <f>SOFR3mo_PX[[#This Row],[Column1193]]</f>
        <v>99.775000000000006</v>
      </c>
      <c r="ASX17">
        <f>SOFR3mo_PX[[#This Row],[Column1194]]</f>
        <v>99.775000000000006</v>
      </c>
      <c r="ASY17">
        <f>SOFR3mo_PX[[#This Row],[Column1195]]</f>
        <v>99.77</v>
      </c>
      <c r="ASZ17">
        <f>SOFR3mo_PX[[#This Row],[Column1196]]</f>
        <v>99.765000000000001</v>
      </c>
      <c r="ATA17">
        <f>SOFR3mo_PX[[#This Row],[Column1197]]</f>
        <v>99.78</v>
      </c>
      <c r="ATB17">
        <f>SOFR3mo_PX[[#This Row],[Column1198]]</f>
        <v>99.775000000000006</v>
      </c>
      <c r="ATC17">
        <f>SOFR3mo_PX[[#This Row],[Column1199]]</f>
        <v>99.775000000000006</v>
      </c>
      <c r="ATD17">
        <f>SOFR3mo_PX[[#This Row],[Column1200]]</f>
        <v>99.78</v>
      </c>
      <c r="ATE17">
        <f>SOFR3mo_PX[[#This Row],[Column1201]]</f>
        <v>99.77</v>
      </c>
      <c r="ATF17">
        <f>SOFR3mo_PX[[#This Row],[Column1202]]</f>
        <v>99.77</v>
      </c>
      <c r="ATG17">
        <f>SOFR3mo_PX[[#This Row],[Column1203]]</f>
        <v>99.765000000000001</v>
      </c>
      <c r="ATH17">
        <f>SOFR3mo_PX[[#This Row],[Column1204]]</f>
        <v>99.745000000000005</v>
      </c>
      <c r="ATI17">
        <f>SOFR3mo_PX[[#This Row],[Column1205]]</f>
        <v>99.745000000000005</v>
      </c>
      <c r="ATJ17">
        <f>SOFR3mo_PX[[#This Row],[Column1206]]</f>
        <v>99.78</v>
      </c>
      <c r="ATK17">
        <f>SOFR3mo_PX[[#This Row],[Column1207]]</f>
        <v>99.825000000000003</v>
      </c>
      <c r="ATL17">
        <f>SOFR3mo_PX[[#This Row],[Column1208]]</f>
        <v>99.83</v>
      </c>
      <c r="ATM17">
        <f>SOFR3mo_PX[[#This Row],[Column1209]]</f>
        <v>99.85</v>
      </c>
      <c r="ATN17">
        <f>SOFR3mo_PX[[#This Row],[Column1210]]</f>
        <v>99.82</v>
      </c>
      <c r="ATO17">
        <f>SOFR3mo_PX[[#This Row],[Column1211]]</f>
        <v>99.83</v>
      </c>
      <c r="ATP17">
        <f>SOFR3mo_PX[[#This Row],[Column1212]]</f>
        <v>99.825000000000003</v>
      </c>
      <c r="ATQ17">
        <f>SOFR3mo_PX[[#This Row],[Column1213]]</f>
        <v>99.83</v>
      </c>
      <c r="ATR17">
        <f>SOFR3mo_PX[[#This Row],[Column1214]]</f>
        <v>99.84</v>
      </c>
      <c r="ATS17">
        <f>SOFR3mo_PX[[#This Row],[Column1215]]</f>
        <v>99.84</v>
      </c>
      <c r="ATT17">
        <f>SOFR3mo_PX[[#This Row],[Column1216]]</f>
        <v>99.834999999999994</v>
      </c>
      <c r="ATU17">
        <f>SOFR3mo_PX[[#This Row],[Column1217]]</f>
        <v>99.825000000000003</v>
      </c>
      <c r="ATV17">
        <f>SOFR3mo_PX[[#This Row],[Column1218]]</f>
        <v>99.814999999999998</v>
      </c>
      <c r="ATW17">
        <f>SOFR3mo_PX[[#This Row],[Column1219]]</f>
        <v>99.84</v>
      </c>
      <c r="ATX17">
        <f>SOFR3mo_PX[[#This Row],[Column1220]]</f>
        <v>99.84</v>
      </c>
      <c r="ATY17">
        <f>SOFR3mo_PX[[#This Row],[Column1221]]</f>
        <v>99.85</v>
      </c>
      <c r="ATZ17">
        <f>SOFR3mo_PX[[#This Row],[Column1222]]</f>
        <v>99.86</v>
      </c>
      <c r="AUA17">
        <f>SOFR3mo_PX[[#This Row],[Column1223]]</f>
        <v>99.855000000000004</v>
      </c>
      <c r="AUB17">
        <f>SOFR3mo_PX[[#This Row],[Column1224]]</f>
        <v>99.86</v>
      </c>
      <c r="AUC17">
        <f>SOFR3mo_PX[[#This Row],[Column1225]]</f>
        <v>99.855000000000004</v>
      </c>
      <c r="AUD17">
        <f>SOFR3mo_PX[[#This Row],[Column1226]]</f>
        <v>99.84</v>
      </c>
      <c r="AUE17">
        <f>SOFR3mo_PX[[#This Row],[Column1227]]</f>
        <v>99.834999999999994</v>
      </c>
      <c r="AUF17">
        <f>SOFR3mo_PX[[#This Row],[Column1228]]</f>
        <v>99.85</v>
      </c>
      <c r="AUG17">
        <f>SOFR3mo_PX[[#This Row],[Column1229]]</f>
        <v>99.844999999999999</v>
      </c>
      <c r="AUH17">
        <f>SOFR3mo_PX[[#This Row],[Column1230]]</f>
        <v>99.87</v>
      </c>
      <c r="AUI17">
        <f>SOFR3mo_PX[[#This Row],[Column1231]]</f>
        <v>99.87</v>
      </c>
      <c r="AUJ17">
        <f>SOFR3mo_PX[[#This Row],[Column1232]]</f>
        <v>99.92</v>
      </c>
      <c r="AUK17">
        <f>SOFR3mo_PX[[#This Row],[Column1233]]</f>
        <v>99.92</v>
      </c>
      <c r="AUL17">
        <f>SOFR3mo_PX[[#This Row],[Column1234]]</f>
        <v>99.92</v>
      </c>
      <c r="AUM17">
        <f>SOFR3mo_PX[[#This Row],[Column1235]]</f>
        <v>99.924999999999997</v>
      </c>
      <c r="AUN17">
        <f>SOFR3mo_PX[[#This Row],[Column1236]]</f>
        <v>99.924999999999997</v>
      </c>
      <c r="AUO17">
        <f>SOFR3mo_PX[[#This Row],[Column1237]]</f>
        <v>99.935000000000002</v>
      </c>
      <c r="AUP17">
        <f>SOFR3mo_PX[[#This Row],[Column1238]]</f>
        <v>99.935000000000002</v>
      </c>
      <c r="AUQ17">
        <f>SOFR3mo_PX[[#This Row],[Column1239]]</f>
        <v>99.94</v>
      </c>
      <c r="AUR17">
        <f>SOFR3mo_PX[[#This Row],[Column1240]]</f>
        <v>99.94</v>
      </c>
      <c r="AUS17">
        <f>SOFR3mo_PX[[#This Row],[Column1241]]</f>
        <v>99.93</v>
      </c>
      <c r="AUT17">
        <f>SOFR3mo_PX[[#This Row],[Column1242]]</f>
        <v>99.91</v>
      </c>
      <c r="AUU17">
        <f>SOFR3mo_PX[[#This Row],[Column1243]]</f>
        <v>99.924999999999997</v>
      </c>
      <c r="AUV17">
        <f>SOFR3mo_PX[[#This Row],[Column1244]]</f>
        <v>99.92</v>
      </c>
      <c r="AUW17">
        <f>SOFR3mo_PX[[#This Row],[Column1245]]</f>
        <v>99.944999999999993</v>
      </c>
      <c r="AUX17">
        <f>SOFR3mo_PX[[#This Row],[Column1246]]</f>
        <v>99.95</v>
      </c>
      <c r="AUY17">
        <f>SOFR3mo_PX[[#This Row],[Column1247]]</f>
        <v>99.94</v>
      </c>
      <c r="AUZ17">
        <f>SOFR3mo_PX[[#This Row],[Column1248]]</f>
        <v>99.915000000000006</v>
      </c>
      <c r="AVA17">
        <f>SOFR3mo_PX[[#This Row],[Column1249]]</f>
        <v>99.91</v>
      </c>
      <c r="AVB17">
        <f>SOFR3mo_PX[[#This Row],[Column1250]]</f>
        <v>99.915000000000006</v>
      </c>
      <c r="AVC17">
        <f>SOFR3mo_PX[[#This Row],[Column1251]]</f>
        <v>99.905000000000001</v>
      </c>
      <c r="AVD17">
        <f>SOFR3mo_PX[[#This Row],[Column1252]]</f>
        <v>99.905000000000001</v>
      </c>
      <c r="AVE17">
        <f>SOFR3mo_PX[[#This Row],[Column1253]]</f>
        <v>99.935000000000002</v>
      </c>
      <c r="AVF17">
        <f>SOFR3mo_PX[[#This Row],[Column1254]]</f>
        <v>99.924999999999997</v>
      </c>
      <c r="AVG17">
        <f>SOFR3mo_PX[[#This Row],[Column1255]]</f>
        <v>99.935000000000002</v>
      </c>
      <c r="AVH17">
        <f>SOFR3mo_PX[[#This Row],[Column1256]]</f>
        <v>99.93</v>
      </c>
      <c r="AVI17">
        <f>SOFR3mo_PX[[#This Row],[Column1257]]</f>
        <v>99.924999999999997</v>
      </c>
      <c r="AVJ17">
        <f>SOFR3mo_PX[[#This Row],[Column1258]]</f>
        <v>99.905000000000001</v>
      </c>
      <c r="AVK17">
        <f>SOFR3mo_PX[[#This Row],[Column1259]]</f>
        <v>99.915000000000006</v>
      </c>
      <c r="AVL17">
        <f>SOFR3mo_PX[[#This Row],[Column1260]]</f>
        <v>99.92</v>
      </c>
      <c r="AVM17">
        <f>SOFR3mo_PX[[#This Row],[Column1261]]</f>
        <v>99.93</v>
      </c>
      <c r="AVN17">
        <f>SOFR3mo_PX[[#This Row],[Column1262]]</f>
        <v>99.924999999999997</v>
      </c>
      <c r="AVO17">
        <f>SOFR3mo_PX[[#This Row],[Column1263]]</f>
        <v>99.935000000000002</v>
      </c>
      <c r="AVP17">
        <f>SOFR3mo_PX[[#This Row],[Column1264]]</f>
        <v>99.935000000000002</v>
      </c>
      <c r="AVQ17">
        <f>SOFR3mo_PX[[#This Row],[Column1265]]</f>
        <v>99.924999999999997</v>
      </c>
      <c r="AVR17">
        <f>SOFR3mo_PX[[#This Row],[Column1266]]</f>
        <v>99.91</v>
      </c>
      <c r="AVS17">
        <f>SOFR3mo_PX[[#This Row],[Column1267]]</f>
        <v>99.9</v>
      </c>
      <c r="AVT17">
        <f>SOFR3mo_PX[[#This Row],[Column1268]]</f>
        <v>99.9</v>
      </c>
      <c r="AVU17">
        <f>SOFR3mo_PX[[#This Row],[Column1269]]</f>
        <v>99.905000000000001</v>
      </c>
      <c r="AVV17">
        <f>SOFR3mo_PX[[#This Row],[Column1270]]</f>
        <v>99.905000000000001</v>
      </c>
      <c r="AVW17">
        <f>SOFR3mo_PX[[#This Row],[Column1271]]</f>
        <v>99.94</v>
      </c>
      <c r="AVX17">
        <f>SOFR3mo_PX[[#This Row],[Column1272]]</f>
        <v>99.95</v>
      </c>
      <c r="AVY17">
        <f>SOFR3mo_PX[[#This Row],[Column1273]]</f>
        <v>99.97</v>
      </c>
      <c r="AVZ17">
        <f>SOFR3mo_PX[[#This Row],[Column1274]]</f>
        <v>99.974999999999994</v>
      </c>
      <c r="AWA17">
        <f>SOFR3mo_PX[[#This Row],[Column1275]]</f>
        <v>99.984999999999999</v>
      </c>
      <c r="AWB17">
        <f>SOFR3mo_PX[[#This Row],[Column1276]]</f>
        <v>99.974999999999994</v>
      </c>
      <c r="AWC17">
        <f>SOFR3mo_PX[[#This Row],[Column1277]]</f>
        <v>99.97</v>
      </c>
      <c r="AWD17">
        <f>SOFR3mo_PX[[#This Row],[Column1278]]</f>
        <v>99.965000000000003</v>
      </c>
      <c r="AWE17">
        <f>SOFR3mo_PX[[#This Row],[Column1279]]</f>
        <v>99.944999999999993</v>
      </c>
      <c r="AWF17">
        <f>SOFR3mo_PX[[#This Row],[Column1280]]</f>
        <v>99.935000000000002</v>
      </c>
      <c r="AWG17">
        <f>SOFR3mo_PX[[#This Row],[Column1281]]</f>
        <v>99.93</v>
      </c>
      <c r="AWH17">
        <f>SOFR3mo_PX[[#This Row],[Column1282]]</f>
        <v>99.94</v>
      </c>
      <c r="AWI17">
        <f>SOFR3mo_PX[[#This Row],[Column1283]]</f>
        <v>99.944999999999993</v>
      </c>
      <c r="AWJ17">
        <f>SOFR3mo_PX[[#This Row],[Column1284]]</f>
        <v>99.944999999999993</v>
      </c>
      <c r="AWK17">
        <f>SOFR3mo_PX[[#This Row],[Column1285]]</f>
        <v>99.94</v>
      </c>
      <c r="AWL17">
        <f>SOFR3mo_PX[[#This Row],[Column1286]]</f>
        <v>99.94</v>
      </c>
      <c r="AWM17">
        <f>SOFR3mo_PX[[#This Row],[Column1287]]</f>
        <v>99.935000000000002</v>
      </c>
      <c r="AWN17">
        <f>SOFR3mo_PX[[#This Row],[Column1288]]</f>
        <v>99.935000000000002</v>
      </c>
      <c r="AWO17">
        <f>SOFR3mo_PX[[#This Row],[Column1289]]</f>
        <v>99.93</v>
      </c>
      <c r="AWP17">
        <f>SOFR3mo_PX[[#This Row],[Column1290]]</f>
        <v>99.94</v>
      </c>
      <c r="AWQ17">
        <f>SOFR3mo_PX[[#This Row],[Column1291]]</f>
        <v>99.94</v>
      </c>
      <c r="AWR17">
        <f>SOFR3mo_PX[[#This Row],[Column1292]]</f>
        <v>99.954999999999998</v>
      </c>
      <c r="AWS17">
        <f>SOFR3mo_PX[[#This Row],[Column1293]]</f>
        <v>99.97</v>
      </c>
      <c r="AWT17">
        <f>SOFR3mo_PX[[#This Row],[Column1294]]</f>
        <v>99.954999999999998</v>
      </c>
      <c r="AWU17">
        <f>SOFR3mo_PX[[#This Row],[Column1295]]</f>
        <v>99.95</v>
      </c>
      <c r="AWV17">
        <f>SOFR3mo_PX[[#This Row],[Column1296]]</f>
        <v>99.944999999999993</v>
      </c>
      <c r="AWW17">
        <f>SOFR3mo_PX[[#This Row],[Column1297]]</f>
        <v>99.944999999999993</v>
      </c>
      <c r="AWX17">
        <f>SOFR3mo_PX[[#This Row],[Column1298]]</f>
        <v>99.944999999999993</v>
      </c>
      <c r="AWY17">
        <f>SOFR3mo_PX[[#This Row],[Column1299]]</f>
        <v>99.935000000000002</v>
      </c>
      <c r="AWZ17">
        <f>SOFR3mo_PX[[#This Row],[Column1300]]</f>
        <v>99.954999999999998</v>
      </c>
      <c r="AXA17">
        <f>SOFR3mo_PX[[#This Row],[Column1301]]</f>
        <v>99.954999999999998</v>
      </c>
      <c r="AXB17">
        <f>SOFR3mo_PX[[#This Row],[Column1302]]</f>
        <v>99.944999999999993</v>
      </c>
      <c r="AXC17">
        <f>SOFR3mo_PX[[#This Row],[Column1303]]</f>
        <v>99.924999999999997</v>
      </c>
      <c r="AXD17">
        <f>SOFR3mo_PX[[#This Row],[Column1304]]</f>
        <v>99.924999999999997</v>
      </c>
      <c r="AXE17">
        <f>SOFR3mo_PX[[#This Row],[Column1305]]</f>
        <v>99.924999999999997</v>
      </c>
      <c r="AXF17">
        <f>SOFR3mo_PX[[#This Row],[Column1306]]</f>
        <v>99.92</v>
      </c>
      <c r="AXG17">
        <f>SOFR3mo_PX[[#This Row],[Column1307]]</f>
        <v>99.91</v>
      </c>
      <c r="AXH17">
        <f>SOFR3mo_PX[[#This Row],[Column1308]]</f>
        <v>99.89</v>
      </c>
      <c r="AXI17">
        <f>SOFR3mo_PX[[#This Row],[Column1309]]</f>
        <v>99.885000000000005</v>
      </c>
      <c r="AXJ17">
        <f>SOFR3mo_PX[[#This Row],[Column1310]]</f>
        <v>99.87</v>
      </c>
      <c r="AXK17">
        <f>SOFR3mo_PX[[#This Row],[Column1311]]</f>
        <v>99.885000000000005</v>
      </c>
      <c r="AXL17">
        <f>SOFR3mo_PX[[#This Row],[Column1312]]</f>
        <v>99.875</v>
      </c>
      <c r="AXM17">
        <f>SOFR3mo_PX[[#This Row],[Column1313]]</f>
        <v>99.885000000000005</v>
      </c>
      <c r="AXN17">
        <f>SOFR3mo_PX[[#This Row],[Column1314]]</f>
        <v>99.86</v>
      </c>
      <c r="AXO17">
        <f>SOFR3mo_PX[[#This Row],[Column1315]]</f>
        <v>99.81</v>
      </c>
      <c r="AXP17">
        <f>SOFR3mo_PX[[#This Row],[Column1316]]</f>
        <v>99.775000000000006</v>
      </c>
      <c r="AXQ17">
        <f>SOFR3mo_PX[[#This Row],[Column1317]]</f>
        <v>99.77</v>
      </c>
      <c r="AXR17">
        <f>SOFR3mo_PX[[#This Row],[Column1318]]</f>
        <v>99.834999999999994</v>
      </c>
      <c r="AXS17">
        <f>SOFR3mo_PX[[#This Row],[Column1319]]</f>
        <v>99.85</v>
      </c>
      <c r="AXT17">
        <f>SOFR3mo_PX[[#This Row],[Column1320]]</f>
        <v>99.885000000000005</v>
      </c>
      <c r="AXU17">
        <f>SOFR3mo_PX[[#This Row],[Column1321]]</f>
        <v>99.89</v>
      </c>
      <c r="AXV17">
        <f>SOFR3mo_PX[[#This Row],[Column1322]]</f>
        <v>99.88</v>
      </c>
      <c r="AXW17">
        <f>SOFR3mo_PX[[#This Row],[Column1323]]</f>
        <v>99.86</v>
      </c>
      <c r="AXX17">
        <f>SOFR3mo_PX[[#This Row],[Column1324]]</f>
        <v>99.864999999999995</v>
      </c>
      <c r="AXY17">
        <f>SOFR3mo_PX[[#This Row],[Column1325]]</f>
        <v>99.87</v>
      </c>
      <c r="AXZ17">
        <f>SOFR3mo_PX[[#This Row],[Column1326]]</f>
        <v>99.875</v>
      </c>
      <c r="AYA17">
        <f>SOFR3mo_PX[[#This Row],[Column1327]]</f>
        <v>99.875</v>
      </c>
      <c r="AYB17">
        <f>SOFR3mo_PX[[#This Row],[Column1328]]</f>
        <v>99.87</v>
      </c>
      <c r="AYC17">
        <f>SOFR3mo_PX[[#This Row],[Column1329]]</f>
        <v>99.87</v>
      </c>
      <c r="AYD17">
        <f>SOFR3mo_PX[[#This Row],[Column1330]]</f>
        <v>99.875</v>
      </c>
      <c r="AYE17">
        <f>SOFR3mo_PX[[#This Row],[Column1331]]</f>
        <v>99.875</v>
      </c>
      <c r="AYF17">
        <f>SOFR3mo_PX[[#This Row],[Column1332]]</f>
        <v>99.92</v>
      </c>
      <c r="AYG17">
        <f>SOFR3mo_PX[[#This Row],[Column1333]]</f>
        <v>99.894999999999996</v>
      </c>
      <c r="AYH17">
        <f>SOFR3mo_PX[[#This Row],[Column1334]]</f>
        <v>99.885000000000005</v>
      </c>
      <c r="AYI17">
        <f>SOFR3mo_PX[[#This Row],[Column1335]]</f>
        <v>99.864999999999995</v>
      </c>
      <c r="AYJ17">
        <f>SOFR3mo_PX[[#This Row],[Column1336]]</f>
        <v>99.864999999999995</v>
      </c>
      <c r="AYK17">
        <f>SOFR3mo_PX[[#This Row],[Column1337]]</f>
        <v>99.885000000000005</v>
      </c>
      <c r="AYL17">
        <f>SOFR3mo_PX[[#This Row],[Column1338]]</f>
        <v>99.894999999999996</v>
      </c>
      <c r="AYM17">
        <f>SOFR3mo_PX[[#This Row],[Column1339]]</f>
        <v>99.84</v>
      </c>
      <c r="AYN17">
        <f>SOFR3mo_PX[[#This Row],[Column1340]]</f>
        <v>99.825000000000003</v>
      </c>
      <c r="AYO17">
        <f>SOFR3mo_PX[[#This Row],[Column1341]]</f>
        <v>99.83</v>
      </c>
      <c r="AYP17">
        <f>SOFR3mo_PX[[#This Row],[Column1342]]</f>
        <v>99.814999999999998</v>
      </c>
      <c r="AYQ17">
        <f>SOFR3mo_PX[[#This Row],[Column1343]]</f>
        <v>99.82</v>
      </c>
      <c r="AYR17">
        <f>SOFR3mo_PX[[#This Row],[Column1344]]</f>
        <v>99.81</v>
      </c>
      <c r="AYS17">
        <f>SOFR3mo_PX[[#This Row],[Column1345]]</f>
        <v>99.795000000000002</v>
      </c>
      <c r="AYT17">
        <f>SOFR3mo_PX[[#This Row],[Column1346]]</f>
        <v>99.79</v>
      </c>
      <c r="AYU17">
        <f>SOFR3mo_PX[[#This Row],[Column1347]]</f>
        <v>99.8</v>
      </c>
      <c r="AYV17">
        <f>SOFR3mo_PX[[#This Row],[Column1348]]</f>
        <v>99.8</v>
      </c>
      <c r="AYW17">
        <f>SOFR3mo_PX[[#This Row],[Column1349]]</f>
        <v>99.795000000000002</v>
      </c>
      <c r="AYX17">
        <f>SOFR3mo_PX[[#This Row],[Column1350]]</f>
        <v>99.805000000000007</v>
      </c>
      <c r="AYY17">
        <f>SOFR3mo_PX[[#This Row],[Column1351]]</f>
        <v>99.784999999999997</v>
      </c>
      <c r="AYZ17">
        <f>SOFR3mo_PX[[#This Row],[Column1352]]</f>
        <v>99.775000000000006</v>
      </c>
      <c r="AZA17">
        <f>SOFR3mo_PX[[#This Row],[Column1353]]</f>
        <v>99.76</v>
      </c>
      <c r="AZB17">
        <f>SOFR3mo_PX[[#This Row],[Column1354]]</f>
        <v>99.75</v>
      </c>
      <c r="AZC17">
        <f>SOFR3mo_PX[[#This Row],[Column1355]]</f>
        <v>99.72</v>
      </c>
      <c r="AZD17">
        <f>SOFR3mo_PX[[#This Row],[Column1356]]</f>
        <v>99.704999999999998</v>
      </c>
      <c r="AZE17">
        <f>SOFR3mo_PX[[#This Row],[Column1357]]</f>
        <v>99.715000000000003</v>
      </c>
      <c r="AZF17">
        <f>SOFR3mo_PX[[#This Row],[Column1358]]</f>
        <v>99.715000000000003</v>
      </c>
      <c r="AZG17">
        <f>SOFR3mo_PX[[#This Row],[Column1359]]</f>
        <v>99.694999999999993</v>
      </c>
      <c r="AZH17">
        <f>SOFR3mo_PX[[#This Row],[Column1360]]</f>
        <v>99.68</v>
      </c>
      <c r="AZI17">
        <f>SOFR3mo_PX[[#This Row],[Column1361]]</f>
        <v>99.724999999999994</v>
      </c>
      <c r="AZJ17">
        <f>SOFR3mo_PX[[#This Row],[Column1362]]</f>
        <v>99.784999999999997</v>
      </c>
      <c r="AZK17">
        <f>SOFR3mo_PX[[#This Row],[Column1363]]</f>
        <v>99.78</v>
      </c>
      <c r="AZL17">
        <f>SOFR3mo_PX[[#This Row],[Column1364]]</f>
        <v>99.795000000000002</v>
      </c>
      <c r="AZM17">
        <f>SOFR3mo_PX[[#This Row],[Column1365]]</f>
        <v>99.77</v>
      </c>
      <c r="AZN17">
        <f>SOFR3mo_PX[[#This Row],[Column1366]]</f>
        <v>99.8</v>
      </c>
      <c r="AZO17">
        <f>SOFR3mo_PX[[#This Row],[Column1367]]</f>
        <v>99.754999999999995</v>
      </c>
      <c r="AZP17">
        <f>SOFR3mo_PX[[#This Row],[Column1368]]</f>
        <v>99.734999999999999</v>
      </c>
      <c r="AZQ17">
        <f>SOFR3mo_PX[[#This Row],[Column1369]]</f>
        <v>99.704999999999998</v>
      </c>
      <c r="AZR17">
        <f>SOFR3mo_PX[[#This Row],[Column1370]]</f>
        <v>99.7</v>
      </c>
      <c r="AZS17">
        <f>SOFR3mo_PX[[#This Row],[Column1371]]</f>
        <v>99.76</v>
      </c>
      <c r="AZT17">
        <f>SOFR3mo_PX[[#This Row],[Column1372]]</f>
        <v>99.68</v>
      </c>
      <c r="AZU17">
        <f>SOFR3mo_PX[[#This Row],[Column1373]]</f>
        <v>99.62</v>
      </c>
      <c r="AZV17">
        <f>SOFR3mo_PX[[#This Row],[Column1374]]</f>
        <v>99.515000000000001</v>
      </c>
      <c r="AZW17">
        <f>SOFR3mo_PX[[#This Row],[Column1375]]</f>
        <v>99.625</v>
      </c>
      <c r="AZX17">
        <f>SOFR3mo_PX[[#This Row],[Column1376]]</f>
        <v>99.674999999999997</v>
      </c>
      <c r="AZY17">
        <f>SOFR3mo_PX[[#This Row],[Column1377]]</f>
        <v>99.6</v>
      </c>
      <c r="AZZ17">
        <f>SOFR3mo_PX[[#This Row],[Column1378]]</f>
        <v>99.64</v>
      </c>
      <c r="BAA17">
        <f>SOFR3mo_PX[[#This Row],[Column1379]]</f>
        <v>99.57</v>
      </c>
      <c r="BAB17">
        <f>SOFR3mo_PX[[#This Row],[Column1380]]</f>
        <v>99.56</v>
      </c>
      <c r="BAC17">
        <f>SOFR3mo_PX[[#This Row],[Column1381]]</f>
        <v>99.68</v>
      </c>
      <c r="BAD17">
        <f>SOFR3mo_PX[[#This Row],[Column1382]]</f>
        <v>99.605000000000004</v>
      </c>
      <c r="BAE17">
        <f>SOFR3mo_PX[[#This Row],[Column1383]]</f>
        <v>99.52</v>
      </c>
      <c r="BAF17">
        <f>SOFR3mo_PX[[#This Row],[Column1384]]</f>
        <v>99.47</v>
      </c>
      <c r="BAG17">
        <f>SOFR3mo_PX[[#This Row],[Column1385]]</f>
        <v>99.41</v>
      </c>
      <c r="BAH17">
        <f>SOFR3mo_PX[[#This Row],[Column1386]]</f>
        <v>99.34</v>
      </c>
      <c r="BAI17">
        <f>SOFR3mo_PX[[#This Row],[Column1387]]</f>
        <v>99.34</v>
      </c>
      <c r="BAJ17">
        <f>SOFR3mo_PX[[#This Row],[Column1388]]</f>
        <v>99.14</v>
      </c>
      <c r="BAK17">
        <f>SOFR3mo_PX[[#This Row],[Column1389]]</f>
        <v>99.084999999999994</v>
      </c>
      <c r="BAL17">
        <f>SOFR3mo_PX[[#This Row],[Column1390]]</f>
        <v>99.094999999999999</v>
      </c>
      <c r="BAM17">
        <f>SOFR3mo_PX[[#This Row],[Column1391]]</f>
        <v>99.04</v>
      </c>
      <c r="BAN17">
        <f>SOFR3mo_PX[[#This Row],[Column1392]]</f>
        <v>98.93</v>
      </c>
      <c r="BAO17">
        <f>SOFR3mo_PX[[#This Row],[Column1393]]</f>
        <v>98.864999999999995</v>
      </c>
      <c r="BAP17">
        <f>SOFR3mo_PX[[#This Row],[Column1394]]</f>
        <v>98.82</v>
      </c>
      <c r="BAQ17">
        <f>SOFR3mo_PX[[#This Row],[Column1395]]</f>
        <v>98.844999999999999</v>
      </c>
      <c r="BAR17">
        <f>SOFR3mo_PX[[#This Row],[Column1396]]</f>
        <v>98.814999999999998</v>
      </c>
      <c r="BAS17">
        <f>SOFR3mo_PX[[#This Row],[Column1397]]</f>
        <v>98.814999999999998</v>
      </c>
      <c r="BAT17">
        <f>SOFR3mo_PX[[#This Row],[Column1398]]</f>
        <v>98.78</v>
      </c>
      <c r="BAU17">
        <f>SOFR3mo_PX[[#This Row],[Column1399]]</f>
        <v>98.78</v>
      </c>
      <c r="BAV17">
        <f>SOFR3mo_PX[[#This Row],[Column1400]]</f>
        <v>98.82</v>
      </c>
      <c r="BAW17">
        <f>SOFR3mo_PX[[#This Row],[Column1401]]</f>
        <v>98.85</v>
      </c>
      <c r="BAX17">
        <f>SOFR3mo_PX[[#This Row],[Column1402]]</f>
        <v>98.814999999999998</v>
      </c>
      <c r="BAY17">
        <f>SOFR3mo_PX[[#This Row],[Column1403]]</f>
        <v>98.76</v>
      </c>
      <c r="BAZ17">
        <f>SOFR3mo_PX[[#This Row],[Column1404]]</f>
        <v>98.78</v>
      </c>
      <c r="BBA17">
        <f>SOFR3mo_PX[[#This Row],[Column1405]]</f>
        <v>98.82</v>
      </c>
      <c r="BBB17">
        <f>SOFR3mo_PX[[#This Row],[Column1406]]</f>
        <v>98.905000000000001</v>
      </c>
      <c r="BBC17">
        <f>SOFR3mo_PX[[#This Row],[Column1407]]</f>
        <v>98.92</v>
      </c>
      <c r="BBD17">
        <f>SOFR3mo_PX[[#This Row],[Column1408]]</f>
        <v>98.864999999999995</v>
      </c>
      <c r="BBE17">
        <f>SOFR3mo_PX[[#This Row],[Column1409]]</f>
        <v>98.82</v>
      </c>
      <c r="BBF17">
        <f>SOFR3mo_PX[[#This Row],[Column1410]]</f>
        <v>98.77</v>
      </c>
      <c r="BBG17">
        <f>SOFR3mo_PX[[#This Row],[Column1411]]</f>
        <v>98.805000000000007</v>
      </c>
      <c r="BBH17">
        <f>SOFR3mo_PX[[#This Row],[Column1412]]</f>
        <v>98.72</v>
      </c>
      <c r="BBI17">
        <f>SOFR3mo_PX[[#This Row],[Column1413]]</f>
        <v>98.665000000000006</v>
      </c>
      <c r="BBJ17">
        <f>SOFR3mo_PX[[#This Row],[Column1414]]</f>
        <v>98.644999999999996</v>
      </c>
      <c r="BBK17">
        <f>SOFR3mo_PX[[#This Row],[Column1415]]</f>
        <v>98.63</v>
      </c>
      <c r="BBL17">
        <f>SOFR3mo_PX[[#This Row],[Column1416]]</f>
        <v>98.575000000000003</v>
      </c>
      <c r="BBM17">
        <f>SOFR3mo_PX[[#This Row],[Column1417]]</f>
        <v>98.575000000000003</v>
      </c>
      <c r="BBN17">
        <f>SOFR3mo_PX[[#This Row],[Column1418]]</f>
        <v>98.59</v>
      </c>
      <c r="BBO17">
        <f>SOFR3mo_PX[[#This Row],[Column1419]]</f>
        <v>98.6</v>
      </c>
      <c r="BBP17">
        <f>SOFR3mo_PX[[#This Row],[Column1420]]</f>
        <v>98.59</v>
      </c>
      <c r="BBQ17">
        <f>SOFR3mo_PX[[#This Row],[Column1421]]</f>
        <v>98.575000000000003</v>
      </c>
      <c r="BBR17">
        <f>SOFR3mo_PX[[#This Row],[Column1422]]</f>
        <v>98.58</v>
      </c>
      <c r="BBS17">
        <f>SOFR3mo_PX[[#This Row],[Column1423]]</f>
        <v>98.564999999999998</v>
      </c>
      <c r="BBT17">
        <f>SOFR3mo_PX[[#This Row],[Column1424]]</f>
        <v>98.56</v>
      </c>
      <c r="BBU17">
        <f>SOFR3mo_PX[[#This Row],[Column1425]]</f>
        <v>98.605000000000004</v>
      </c>
      <c r="BBV17">
        <f>SOFR3mo_PX[[#This Row],[Column1426]]</f>
        <v>98.614999999999995</v>
      </c>
      <c r="BBW17">
        <f>SOFR3mo_PX[[#This Row],[Column1427]]</f>
        <v>98.62</v>
      </c>
      <c r="BBX17">
        <f>SOFR3mo_PX[[#This Row],[Column1428]]</f>
        <v>98.53</v>
      </c>
      <c r="BBY17">
        <f>SOFR3mo_PX[[#This Row],[Column1429]]</f>
        <v>98.52</v>
      </c>
      <c r="BBZ17">
        <f>SOFR3mo_PX[[#This Row],[Column1430]]</f>
        <v>98.52</v>
      </c>
      <c r="BCA17">
        <f>SOFR3mo_PX[[#This Row],[Column1431]]</f>
        <v>98.525000000000006</v>
      </c>
      <c r="BCB17">
        <f>SOFR3mo_PX[[#This Row],[Column1432]]</f>
        <v>98.525000000000006</v>
      </c>
      <c r="BCC17">
        <f>SOFR3mo_PX[[#This Row],[Column1433]]</f>
        <v>98.484999999999999</v>
      </c>
      <c r="BCD17">
        <f>SOFR3mo_PX[[#This Row],[Column1434]]</f>
        <v>98.484999999999999</v>
      </c>
      <c r="BCE17">
        <f>SOFR3mo_PX[[#This Row],[Column1435]]</f>
        <v>98.484999999999999</v>
      </c>
      <c r="BCF17">
        <f>SOFR3mo_PX[[#This Row],[Column1436]]</f>
        <v>98.465000000000003</v>
      </c>
      <c r="BCG17">
        <f>SOFR3mo_PX[[#This Row],[Column1437]]</f>
        <v>98.504999999999995</v>
      </c>
      <c r="BCH17">
        <f>SOFR3mo_PX[[#This Row],[Column1438]]</f>
        <v>98.52</v>
      </c>
      <c r="BCI17">
        <f>SOFR3mo_PX[[#This Row],[Column1439]]</f>
        <v>98.5</v>
      </c>
      <c r="BCJ17">
        <f>SOFR3mo_PX[[#This Row],[Column1440]]</f>
        <v>98.525000000000006</v>
      </c>
      <c r="BCK17">
        <f>SOFR3mo_PX[[#This Row],[Column1441]]</f>
        <v>98.534999999999997</v>
      </c>
      <c r="BCL17">
        <f>SOFR3mo_PX[[#This Row],[Column1442]]</f>
        <v>98.61</v>
      </c>
      <c r="BCM17">
        <f>SOFR3mo_PX[[#This Row],[Column1443]]</f>
        <v>98.53</v>
      </c>
      <c r="BCN17">
        <f>SOFR3mo_PX[[#This Row],[Column1444]]</f>
        <v>98.614999999999995</v>
      </c>
      <c r="BCO17">
        <f>SOFR3mo_PX[[#This Row],[Column1445]]</f>
        <v>98.575000000000003</v>
      </c>
      <c r="BCP17">
        <f>SOFR3mo_PX[[#This Row],[Column1446]]</f>
        <v>98.59</v>
      </c>
      <c r="BCQ17">
        <f>SOFR3mo_PX[[#This Row],[Column1447]]</f>
        <v>98.6</v>
      </c>
      <c r="BCR17">
        <f>SOFR3mo_PX[[#This Row],[Column1448]]</f>
        <v>98.66</v>
      </c>
      <c r="BCS17">
        <f>SOFR3mo_PX[[#This Row],[Column1449]]</f>
        <v>98.674999999999997</v>
      </c>
      <c r="BCT17">
        <f>SOFR3mo_PX[[#This Row],[Column1450]]</f>
        <v>98.75</v>
      </c>
      <c r="BCU17">
        <f>SOFR3mo_PX[[#This Row],[Column1451]]</f>
        <v>98.63</v>
      </c>
      <c r="BCV17">
        <f>SOFR3mo_PX[[#This Row],[Column1452]]</f>
        <v>98.665000000000006</v>
      </c>
      <c r="BCW17">
        <f>SOFR3mo_PX[[#This Row],[Column1453]]</f>
        <v>98.655000000000001</v>
      </c>
      <c r="BCX17">
        <f>SOFR3mo_PX[[#This Row],[Column1454]]</f>
        <v>98.655000000000001</v>
      </c>
      <c r="BCY17">
        <f>SOFR3mo_PX[[#This Row],[Column1455]]</f>
        <v>98.694999999999993</v>
      </c>
      <c r="BCZ17">
        <f>SOFR3mo_PX[[#This Row],[Column1456]]</f>
        <v>98.685000000000002</v>
      </c>
      <c r="BDA17">
        <f>SOFR3mo_PX[[#This Row],[Column1457]]</f>
        <v>98.67</v>
      </c>
      <c r="BDB17">
        <f>SOFR3mo_PX[[#This Row],[Column1458]]</f>
        <v>98.69</v>
      </c>
      <c r="BDC17">
        <f>SOFR3mo_PX[[#This Row],[Column1459]]</f>
        <v>98.72</v>
      </c>
      <c r="BDD17">
        <f>SOFR3mo_PX[[#This Row],[Column1460]]</f>
        <v>98.685000000000002</v>
      </c>
      <c r="BDE17">
        <f>SOFR3mo_PX[[#This Row],[Column1461]]</f>
        <v>98.66</v>
      </c>
      <c r="BDF17">
        <f>SOFR3mo_PX[[#This Row],[Column1462]]</f>
        <v>98.635000000000005</v>
      </c>
      <c r="BDG17">
        <f>SOFR3mo_PX[[#This Row],[Column1463]]</f>
        <v>98.644999999999996</v>
      </c>
      <c r="BDH17">
        <f>SOFR3mo_PX[[#This Row],[Column1464]]</f>
        <v>98.594999999999999</v>
      </c>
      <c r="BDI17">
        <f>SOFR3mo_PX[[#This Row],[Column1465]]</f>
        <v>98.545000000000002</v>
      </c>
      <c r="BDJ17">
        <f>SOFR3mo_PX[[#This Row],[Column1466]]</f>
        <v>98.515000000000001</v>
      </c>
      <c r="BDK17">
        <f>SOFR3mo_PX[[#This Row],[Column1467]]</f>
        <v>98.525000000000006</v>
      </c>
      <c r="BDL17">
        <f>SOFR3mo_PX[[#This Row],[Column1468]]</f>
        <v>98.51</v>
      </c>
      <c r="BDM17">
        <f>SOFR3mo_PX[[#This Row],[Column1469]]</f>
        <v>98.62</v>
      </c>
      <c r="BDN17">
        <f>SOFR3mo_PX[[#This Row],[Column1470]]</f>
        <v>98.594999999999999</v>
      </c>
      <c r="BDO17">
        <f>SOFR3mo_PX[[#This Row],[Column1471]]</f>
        <v>98.655000000000001</v>
      </c>
      <c r="BDP17">
        <f>SOFR3mo_PX[[#This Row],[Column1472]]</f>
        <v>98.704999999999998</v>
      </c>
      <c r="BDQ17">
        <f>SOFR3mo_PX[[#This Row],[Column1473]]</f>
        <v>98.775000000000006</v>
      </c>
      <c r="BDR17">
        <f>SOFR3mo_PX[[#This Row],[Column1474]]</f>
        <v>98.65</v>
      </c>
      <c r="BDS17">
        <f>SOFR3mo_PX[[#This Row],[Column1475]]</f>
        <v>98.63</v>
      </c>
      <c r="BDT17">
        <f>SOFR3mo_PX[[#This Row],[Column1476]]</f>
        <v>98.635000000000005</v>
      </c>
      <c r="BDU17">
        <f>SOFR3mo_PX[[#This Row],[Column1477]]</f>
        <v>98.665000000000006</v>
      </c>
      <c r="BDV17">
        <f>SOFR3mo_PX[[#This Row],[Column1478]]</f>
        <v>98.71</v>
      </c>
      <c r="BDW17">
        <f>SOFR3mo_PX[[#This Row],[Column1479]]</f>
        <v>98.72</v>
      </c>
      <c r="BDX17">
        <f>SOFR3mo_PX[[#This Row],[Column1480]]</f>
        <v>98.7</v>
      </c>
      <c r="BDY17">
        <f>SOFR3mo_PX[[#This Row],[Column1481]]</f>
        <v>98.674999999999997</v>
      </c>
      <c r="BDZ17">
        <f>SOFR3mo_PX[[#This Row],[Column1482]]</f>
        <v>98.715000000000003</v>
      </c>
      <c r="BEA17">
        <f>SOFR3mo_PX[[#This Row],[Column1483]]</f>
        <v>98.69</v>
      </c>
      <c r="BEB17">
        <f>SOFR3mo_PX[[#This Row],[Column1484]]</f>
        <v>98.715000000000003</v>
      </c>
      <c r="BEC17">
        <f>SOFR3mo_PX[[#This Row],[Column1485]]</f>
        <v>98.674999999999997</v>
      </c>
      <c r="BED17">
        <f>SOFR3mo_PX[[#This Row],[Column1486]]</f>
        <v>98.73</v>
      </c>
      <c r="BEE17">
        <f>SOFR3mo_PX[[#This Row],[Column1487]]</f>
        <v>98.71</v>
      </c>
      <c r="BEF17">
        <f>SOFR3mo_PX[[#This Row],[Column1488]]</f>
        <v>98.84</v>
      </c>
      <c r="BEG17">
        <f>SOFR3mo_PX[[#This Row],[Column1489]]</f>
        <v>98.905000000000001</v>
      </c>
      <c r="BEH17">
        <f>SOFR3mo_PX[[#This Row],[Column1490]]</f>
        <v>98.96</v>
      </c>
      <c r="BEI17">
        <f>SOFR3mo_PX[[#This Row],[Column1491]]</f>
        <v>98.95</v>
      </c>
      <c r="BEJ17">
        <f>SOFR3mo_PX[[#This Row],[Column1492]]</f>
        <v>99.02</v>
      </c>
      <c r="BEK17">
        <f>SOFR3mo_PX[[#This Row],[Column1493]]</f>
        <v>99.03</v>
      </c>
      <c r="BEL17">
        <f>SOFR3mo_PX[[#This Row],[Column1494]]</f>
        <v>98.93</v>
      </c>
      <c r="BEM17">
        <f>SOFR3mo_PX[[#This Row],[Column1495]]</f>
        <v>98.855000000000004</v>
      </c>
      <c r="BEN17">
        <f>SOFR3mo_PX[[#This Row],[Column1496]]</f>
        <v>98.784999999999997</v>
      </c>
      <c r="BEO17">
        <f>SOFR3mo_PX[[#This Row],[Column1497]]</f>
        <v>98.795000000000002</v>
      </c>
      <c r="BEP17">
        <f>SOFR3mo_PX[[#This Row],[Column1498]]</f>
        <v>98.784999999999997</v>
      </c>
      <c r="BEQ17">
        <f>SOFR3mo_PX[[#This Row],[Column1499]]</f>
        <v>98.77</v>
      </c>
      <c r="BER17">
        <f>SOFR3mo_PX[[#This Row],[Column1500]]</f>
        <v>98.87</v>
      </c>
      <c r="BES17">
        <f>SOFR3mo_PX[[#This Row],[Column1501]]</f>
        <v>98.775000000000006</v>
      </c>
      <c r="BET17">
        <f>SOFR3mo_PX[[#This Row],[Column1502]]</f>
        <v>98.734999999999999</v>
      </c>
      <c r="BEU17">
        <f>SOFR3mo_PX[[#This Row],[Column1503]]</f>
        <v>98.75</v>
      </c>
      <c r="BEV17">
        <f>SOFR3mo_PX[[#This Row],[Column1504]]</f>
        <v>98.715000000000003</v>
      </c>
      <c r="BEW17">
        <f>SOFR3mo_PX[[#This Row],[Column1505]]</f>
        <v>98.724999999999994</v>
      </c>
      <c r="BEX17">
        <f>SOFR3mo_PX[[#This Row],[Column1506]]</f>
        <v>98.685000000000002</v>
      </c>
      <c r="BEY17">
        <f>SOFR3mo_PX[[#This Row],[Column1507]]</f>
        <v>98.625</v>
      </c>
      <c r="BEZ17">
        <f>SOFR3mo_PX[[#This Row],[Column1508]]</f>
        <v>98.72</v>
      </c>
      <c r="BFA17">
        <f>SOFR3mo_PX[[#This Row],[Column1509]]</f>
        <v>98.805000000000007</v>
      </c>
      <c r="BFB17">
        <f>SOFR3mo_PX[[#This Row],[Column1510]]</f>
        <v>98.83</v>
      </c>
      <c r="BFC17">
        <f>SOFR3mo_PX[[#This Row],[Column1511]]</f>
        <v>98.93</v>
      </c>
      <c r="BFD17">
        <f>SOFR3mo_PX[[#This Row],[Column1512]]</f>
        <v>99.004999999999995</v>
      </c>
      <c r="BFE17">
        <f>SOFR3mo_PX[[#This Row],[Column1513]]</f>
        <v>99.01</v>
      </c>
      <c r="BFF17">
        <f>SOFR3mo_PX[[#This Row],[Column1514]]</f>
        <v>99.14</v>
      </c>
      <c r="BFG17">
        <f>SOFR3mo_PX[[#This Row],[Column1515]]</f>
        <v>99.1</v>
      </c>
      <c r="BFH17">
        <f>SOFR3mo_PX[[#This Row],[Column1516]]</f>
        <v>99.02</v>
      </c>
      <c r="BFI17">
        <f>SOFR3mo_PX[[#This Row],[Column1517]]</f>
        <v>99.02</v>
      </c>
      <c r="BFJ17">
        <f>SOFR3mo_PX[[#This Row],[Column1518]]</f>
        <v>98.995000000000005</v>
      </c>
      <c r="BFK17">
        <f>SOFR3mo_PX[[#This Row],[Column1519]]</f>
        <v>99.034999999999997</v>
      </c>
      <c r="BFL17">
        <f>SOFR3mo_PX[[#This Row],[Column1520]]</f>
        <v>98.99</v>
      </c>
      <c r="BFM17">
        <f>SOFR3mo_PX[[#This Row],[Column1521]]</f>
        <v>98.944999999999993</v>
      </c>
      <c r="BFN17">
        <f>SOFR3mo_PX[[#This Row],[Column1522]]</f>
        <v>98.97</v>
      </c>
      <c r="BFO17">
        <f>SOFR3mo_PX[[#This Row],[Column1523]]</f>
        <v>98.864999999999995</v>
      </c>
      <c r="BFP17">
        <f>SOFR3mo_PX[[#This Row],[Column1524]]</f>
        <v>98.894999999999996</v>
      </c>
      <c r="BFQ17">
        <f>SOFR3mo_PX[[#This Row],[Column1525]]</f>
        <v>98.93</v>
      </c>
      <c r="BFR17">
        <f>SOFR3mo_PX[[#This Row],[Column1526]]</f>
        <v>98.89</v>
      </c>
      <c r="BFS17">
        <f>SOFR3mo_PX[[#This Row],[Column1527]]</f>
        <v>98.95</v>
      </c>
      <c r="BFT17">
        <f>SOFR3mo_PX[[#This Row],[Column1528]]</f>
        <v>98.944999999999993</v>
      </c>
      <c r="BFU17">
        <f>SOFR3mo_PX[[#This Row],[Column1529]]</f>
        <v>98.875</v>
      </c>
      <c r="BFV17">
        <f>SOFR3mo_PX[[#This Row],[Column1530]]</f>
        <v>98.79</v>
      </c>
      <c r="BFW17">
        <f>SOFR3mo_PX[[#This Row],[Column1531]]</f>
        <v>98.894999999999996</v>
      </c>
      <c r="BFX17">
        <f>SOFR3mo_PX[[#This Row],[Column1532]]</f>
        <v>98.814999999999998</v>
      </c>
      <c r="BFY17">
        <f>SOFR3mo_PX[[#This Row],[Column1533]]</f>
        <v>98.86</v>
      </c>
      <c r="BFZ17">
        <f>SOFR3mo_PX[[#This Row],[Column1534]]</f>
        <v>98.935000000000002</v>
      </c>
      <c r="BGA17">
        <f>SOFR3mo_PX[[#This Row],[Column1535]]</f>
        <v>98.84</v>
      </c>
      <c r="BGB17">
        <f>SOFR3mo_PX[[#This Row],[Column1536]]</f>
        <v>98.905000000000001</v>
      </c>
      <c r="BGC17">
        <f>SOFR3mo_PX[[#This Row],[Column1537]]</f>
        <v>98.69</v>
      </c>
      <c r="BGD17">
        <f>SOFR3mo_PX[[#This Row],[Column1538]]</f>
        <v>98.67</v>
      </c>
      <c r="BGE17">
        <f>SOFR3mo_PX[[#This Row],[Column1539]]</f>
        <v>98.48</v>
      </c>
      <c r="BGF17">
        <f>SOFR3mo_PX[[#This Row],[Column1540]]</f>
        <v>98.49</v>
      </c>
      <c r="BGG17">
        <f>SOFR3mo_PX[[#This Row],[Column1541]]</f>
        <v>98.5</v>
      </c>
      <c r="BGH17">
        <f>SOFR3mo_PX[[#This Row],[Column1542]]</f>
        <v>98.48</v>
      </c>
      <c r="BGI17">
        <f>SOFR3mo_PX[[#This Row],[Column1543]]</f>
        <v>98.504999999999995</v>
      </c>
      <c r="BGJ17">
        <f>SOFR3mo_PX[[#This Row],[Column1544]]</f>
        <v>98.53</v>
      </c>
      <c r="BGK17">
        <f>SOFR3mo_PX[[#This Row],[Column1545]]</f>
        <v>98.525000000000006</v>
      </c>
      <c r="BGL17">
        <f>SOFR3mo_PX[[#This Row],[Column1546]]</f>
        <v>98.555000000000007</v>
      </c>
      <c r="BGM17">
        <f>SOFR3mo_PX[[#This Row],[Column1547]]</f>
        <v>98.534999999999997</v>
      </c>
      <c r="BGN17">
        <f>SOFR3mo_PX[[#This Row],[Column1548]]</f>
        <v>98.584999999999994</v>
      </c>
      <c r="BGO17">
        <f>SOFR3mo_PX[[#This Row],[Column1549]]</f>
        <v>98.5</v>
      </c>
      <c r="BGP17">
        <f>SOFR3mo_PX[[#This Row],[Column1550]]</f>
        <v>98.444999999999993</v>
      </c>
      <c r="BGQ17">
        <f>SOFR3mo_PX[[#This Row],[Column1551]]</f>
        <v>98.474999999999994</v>
      </c>
      <c r="BGR17">
        <f>SOFR3mo_PX[[#This Row],[Column1552]]</f>
        <v>98.47</v>
      </c>
      <c r="BGS17">
        <f>SOFR3mo_PX[[#This Row],[Column1553]]</f>
        <v>98.454999999999998</v>
      </c>
      <c r="BGT17">
        <f>SOFR3mo_PX[[#This Row],[Column1554]]</f>
        <v>98.504999999999995</v>
      </c>
      <c r="BGU17">
        <f>SOFR3mo_PX[[#This Row],[Column1555]]</f>
        <v>98.465000000000003</v>
      </c>
      <c r="BGV17">
        <f>SOFR3mo_PX[[#This Row],[Column1556]]</f>
        <v>98.484999999999999</v>
      </c>
      <c r="BGW17">
        <f>SOFR3mo_PX[[#This Row],[Column1557]]</f>
        <v>98.48</v>
      </c>
      <c r="BGX17">
        <f>SOFR3mo_PX[[#This Row],[Column1558]]</f>
        <v>98.564999999999998</v>
      </c>
      <c r="BGY17">
        <f>SOFR3mo_PX[[#This Row],[Column1559]]</f>
        <v>98.564999999999998</v>
      </c>
      <c r="BGZ17">
        <f>SOFR3mo_PX[[#This Row],[Column1560]]</f>
        <v>98.56</v>
      </c>
      <c r="BHA17">
        <f>SOFR3mo_PX[[#This Row],[Column1561]]</f>
        <v>98.51</v>
      </c>
      <c r="BHB17">
        <f>SOFR3mo_PX[[#This Row],[Column1562]]</f>
        <v>98.555000000000007</v>
      </c>
      <c r="BHC17">
        <f>SOFR3mo_PX[[#This Row],[Column1563]]</f>
        <v>98.57</v>
      </c>
      <c r="BHD17">
        <f>SOFR3mo_PX[[#This Row],[Column1564]]</f>
        <v>98.54</v>
      </c>
      <c r="BHE17">
        <f>SOFR3mo_PX[[#This Row],[Column1565]]</f>
        <v>98.625</v>
      </c>
      <c r="BHF17">
        <f>SOFR3mo_PX[[#This Row],[Column1566]]</f>
        <v>98.6</v>
      </c>
      <c r="BHG17">
        <f>SOFR3mo_PX[[#This Row],[Column1567]]</f>
        <v>98.55</v>
      </c>
      <c r="BHH17">
        <f>SOFR3mo_PX[[#This Row],[Column1568]]</f>
        <v>98.605000000000004</v>
      </c>
      <c r="BHI17">
        <f>SOFR3mo_PX[[#This Row],[Column1569]]</f>
        <v>98.61</v>
      </c>
      <c r="BHJ17">
        <f>SOFR3mo_PX[[#This Row],[Column1570]]</f>
        <v>98.515000000000001</v>
      </c>
      <c r="BHK17">
        <f>SOFR3mo_PX[[#This Row],[Column1571]]</f>
        <v>98.515000000000001</v>
      </c>
      <c r="BHL17">
        <f>SOFR3mo_PX[[#This Row],[Column1572]]</f>
        <v>98.534999999999997</v>
      </c>
      <c r="BHM17">
        <f>SOFR3mo_PX[[#This Row],[Column1573]]</f>
        <v>98.54</v>
      </c>
      <c r="BHN17">
        <f>SOFR3mo_PX[[#This Row],[Column1574]]</f>
        <v>98.47</v>
      </c>
      <c r="BHO17">
        <f>SOFR3mo_PX[[#This Row],[Column1575]]</f>
        <v>98.42</v>
      </c>
      <c r="BHP17">
        <f>SOFR3mo_PX[[#This Row],[Column1576]]</f>
        <v>98.415000000000006</v>
      </c>
      <c r="BHQ17">
        <f>SOFR3mo_PX[[#This Row],[Column1577]]</f>
        <v>98.454999999999998</v>
      </c>
      <c r="BHR17">
        <f>SOFR3mo_PX[[#This Row],[Column1578]]</f>
        <v>98.44</v>
      </c>
      <c r="BHS17">
        <f>SOFR3mo_PX[[#This Row],[Column1579]]</f>
        <v>98.495000000000005</v>
      </c>
      <c r="BHT17">
        <f>SOFR3mo_PX[[#This Row],[Column1580]]</f>
        <v>98.474999999999994</v>
      </c>
      <c r="BHU17">
        <f>SOFR3mo_PX[[#This Row],[Column1581]]</f>
        <v>98.52</v>
      </c>
      <c r="BHV17">
        <f>SOFR3mo_PX[[#This Row],[Column1582]]</f>
        <v>98.47</v>
      </c>
      <c r="BHW17">
        <f>SOFR3mo_PX[[#This Row],[Column1583]]</f>
        <v>98.33</v>
      </c>
      <c r="BHX17">
        <f>SOFR3mo_PX[[#This Row],[Column1584]]</f>
        <v>98.334999999999994</v>
      </c>
      <c r="BHY17">
        <f>SOFR3mo_PX[[#This Row],[Column1585]]</f>
        <v>98.3</v>
      </c>
      <c r="BHZ17">
        <f>SOFR3mo_PX[[#This Row],[Column1586]]</f>
        <v>98.245000000000005</v>
      </c>
      <c r="BIA17">
        <f>SOFR3mo_PX[[#This Row],[Column1587]]</f>
        <v>98.245000000000005</v>
      </c>
      <c r="BIB17">
        <f>SOFR3mo_PX[[#This Row],[Column1588]]</f>
        <v>98.275000000000006</v>
      </c>
      <c r="BIC17">
        <f>SOFR3mo_PX[[#This Row],[Column1589]]</f>
        <v>98.14</v>
      </c>
      <c r="BID17">
        <f>SOFR3mo_PX[[#This Row],[Column1590]]</f>
        <v>98.105000000000004</v>
      </c>
      <c r="BIE17">
        <f>SOFR3mo_PX[[#This Row],[Column1591]]</f>
        <v>98.135000000000005</v>
      </c>
      <c r="BIF17">
        <f>SOFR3mo_PX[[#This Row],[Column1592]]</f>
        <v>98.16</v>
      </c>
      <c r="BIG17">
        <f>SOFR3mo_PX[[#This Row],[Column1593]]</f>
        <v>98.15</v>
      </c>
      <c r="BIH17">
        <f>SOFR3mo_PX[[#This Row],[Column1594]]</f>
        <v>98.194999999999993</v>
      </c>
      <c r="BII17">
        <f>SOFR3mo_PX[[#This Row],[Column1595]]</f>
        <v>98.144999999999996</v>
      </c>
      <c r="BIJ17">
        <f>SOFR3mo_PX[[#This Row],[Column1596]]</f>
        <v>98.155000000000001</v>
      </c>
      <c r="BIK17">
        <f>SOFR3mo_PX[[#This Row],[Column1597]]</f>
        <v>98.08</v>
      </c>
      <c r="BIL17">
        <f>SOFR3mo_PX[[#This Row],[Column1598]]</f>
        <v>98.064999999999998</v>
      </c>
      <c r="BIM17">
        <f>SOFR3mo_PX[[#This Row],[Column1599]]</f>
        <v>98.03</v>
      </c>
      <c r="BIN17">
        <f>SOFR3mo_PX[[#This Row],[Column1600]]</f>
        <v>98.06</v>
      </c>
      <c r="BIO17">
        <f>SOFR3mo_PX[[#This Row],[Column1601]]</f>
        <v>98.004999999999995</v>
      </c>
      <c r="BIP17">
        <f>SOFR3mo_PX[[#This Row],[Column1602]]</f>
        <v>97.965000000000003</v>
      </c>
      <c r="BIQ17">
        <f>SOFR3mo_PX[[#This Row],[Column1603]]</f>
        <v>97.96</v>
      </c>
      <c r="BIR17">
        <f>SOFR3mo_PX[[#This Row],[Column1604]]</f>
        <v>98.02</v>
      </c>
      <c r="BIS17">
        <f>SOFR3mo_PX[[#This Row],[Column1605]]</f>
        <v>98.06</v>
      </c>
      <c r="BIT17">
        <f>SOFR3mo_PX[[#This Row],[Column1606]]</f>
        <v>98.034999999999997</v>
      </c>
      <c r="BIU17">
        <f>SOFR3mo_PX[[#This Row],[Column1607]]</f>
        <v>98.04</v>
      </c>
      <c r="BIV17">
        <f>SOFR3mo_PX[[#This Row],[Column1608]]</f>
        <v>97.99</v>
      </c>
      <c r="BIW17">
        <f>SOFR3mo_PX[[#This Row],[Column1609]]</f>
        <v>98.004999999999995</v>
      </c>
      <c r="BIX17">
        <f>SOFR3mo_PX[[#This Row],[Column1610]]</f>
        <v>97.95</v>
      </c>
      <c r="BIY17">
        <f>SOFR3mo_PX[[#This Row],[Column1611]]</f>
        <v>97.93</v>
      </c>
      <c r="BIZ17">
        <f>SOFR3mo_PX[[#This Row],[Column1612]]</f>
        <v>97.93</v>
      </c>
      <c r="BJA17">
        <f>SOFR3mo_PX[[#This Row],[Column1613]]</f>
        <v>97.93</v>
      </c>
      <c r="BJB17">
        <f>SOFR3mo_PX[[#This Row],[Column1614]]</f>
        <v>97.905000000000001</v>
      </c>
      <c r="BJC17">
        <f>SOFR3mo_PX[[#This Row],[Column1615]]</f>
        <v>97.9</v>
      </c>
      <c r="BJD17">
        <f>SOFR3mo_PX[[#This Row],[Column1616]]</f>
        <v>97.93</v>
      </c>
      <c r="BJE17">
        <f>SOFR3mo_PX[[#This Row],[Column1617]]</f>
        <v>97.924999999999997</v>
      </c>
      <c r="BJF17">
        <f>SOFR3mo_PX[[#This Row],[Column1618]]</f>
        <v>98</v>
      </c>
      <c r="BJG17">
        <f>SOFR3mo_PX[[#This Row],[Column1619]]</f>
        <v>98.034999999999997</v>
      </c>
      <c r="BJH17">
        <f>SOFR3mo_PX[[#This Row],[Column1620]]</f>
        <v>98</v>
      </c>
      <c r="BJI17">
        <f>SOFR3mo_PX[[#This Row],[Column1621]]</f>
        <v>97.965000000000003</v>
      </c>
      <c r="BJJ17">
        <f>SOFR3mo_PX[[#This Row],[Column1622]]</f>
        <v>97.974999999999994</v>
      </c>
      <c r="BJK17">
        <f>SOFR3mo_PX[[#This Row],[Column1623]]</f>
        <v>97.984999999999999</v>
      </c>
      <c r="BJL17">
        <f>SOFR3mo_PX[[#This Row],[Column1624]]</f>
        <v>97.995000000000005</v>
      </c>
      <c r="BJM17">
        <f>SOFR3mo_PX[[#This Row],[Column1625]]</f>
        <v>98.015000000000001</v>
      </c>
      <c r="BJN17">
        <f>SOFR3mo_PX[[#This Row],[Column1626]]</f>
        <v>98.004999999999995</v>
      </c>
      <c r="BJO17">
        <f>SOFR3mo_PX[[#This Row],[Column1627]]</f>
        <v>98.084999999999994</v>
      </c>
      <c r="BJP17">
        <f>SOFR3mo_PX[[#This Row],[Column1628]]</f>
        <v>98.16</v>
      </c>
      <c r="BJQ17">
        <f>SOFR3mo_PX[[#This Row],[Column1629]]</f>
        <v>98.194999999999993</v>
      </c>
      <c r="BJR17">
        <f>SOFR3mo_PX[[#This Row],[Column1630]]</f>
        <v>98.144999999999996</v>
      </c>
      <c r="BJS17">
        <f>SOFR3mo_PX[[#This Row],[Column1631]]</f>
        <v>98.174999999999997</v>
      </c>
      <c r="BJT17">
        <f>SOFR3mo_PX[[#This Row],[Column1632]]</f>
        <v>98.07</v>
      </c>
      <c r="BJU17">
        <f>SOFR3mo_PX[[#This Row],[Column1633]]</f>
        <v>97.954999999999998</v>
      </c>
      <c r="BJV17">
        <f>SOFR3mo_PX[[#This Row],[Column1634]]</f>
        <v>97.935000000000002</v>
      </c>
      <c r="BJW17">
        <f>SOFR3mo_PX[[#This Row],[Column1635]]</f>
        <v>97.844999999999999</v>
      </c>
      <c r="BJX17">
        <f>SOFR3mo_PX[[#This Row],[Column1636]]</f>
        <v>97.86</v>
      </c>
      <c r="BJY17">
        <f>SOFR3mo_PX[[#This Row],[Column1637]]</f>
        <v>97.864999999999995</v>
      </c>
      <c r="BJZ17">
        <f>SOFR3mo_PX[[#This Row],[Column1638]]</f>
        <v>97.834999999999994</v>
      </c>
      <c r="BKA17">
        <f>SOFR3mo_PX[[#This Row],[Column1639]]</f>
        <v>97.84</v>
      </c>
      <c r="BKB17">
        <f>SOFR3mo_PX[[#This Row],[Column1640]]</f>
        <v>97.82</v>
      </c>
      <c r="BKC17">
        <f>SOFR3mo_PX[[#This Row],[Column1641]]</f>
        <v>97.79</v>
      </c>
      <c r="BKD17">
        <f>SOFR3mo_PX[[#This Row],[Column1642]]</f>
        <v>97.8</v>
      </c>
      <c r="BKE17">
        <f>SOFR3mo_PX[[#This Row],[Column1643]]</f>
        <v>97.784999999999997</v>
      </c>
      <c r="BKF17">
        <f>SOFR3mo_PX[[#This Row],[Column1644]]</f>
        <v>97.71</v>
      </c>
      <c r="BKG17">
        <f>SOFR3mo_PX[[#This Row],[Column1645]]</f>
        <v>97.674999999999997</v>
      </c>
      <c r="BKH17">
        <f>SOFR3mo_PX[[#This Row],[Column1646]]</f>
        <v>97.68</v>
      </c>
      <c r="BKI17">
        <f>SOFR3mo_PX[[#This Row],[Column1647]]</f>
        <v>97.67</v>
      </c>
      <c r="BKJ17">
        <f>SOFR3mo_PX[[#This Row],[Column1648]]</f>
        <v>97.74</v>
      </c>
      <c r="BKK17">
        <f>SOFR3mo_PX[[#This Row],[Column1649]]</f>
        <v>97.76</v>
      </c>
      <c r="BKL17">
        <f>SOFR3mo_PX[[#This Row],[Column1650]]</f>
        <v>97.784999999999997</v>
      </c>
      <c r="BKM17">
        <f>SOFR3mo_PX[[#This Row],[Column1651]]</f>
        <v>97.754999999999995</v>
      </c>
      <c r="BKN17">
        <f>SOFR3mo_PX[[#This Row],[Column1652]]</f>
        <v>97.76</v>
      </c>
      <c r="BKO17">
        <f>SOFR3mo_PX[[#This Row],[Column1653]]</f>
        <v>97.715000000000003</v>
      </c>
      <c r="BKP17">
        <f>SOFR3mo_PX[[#This Row],[Column1654]]</f>
        <v>97.754999999999995</v>
      </c>
      <c r="BKQ17">
        <f>SOFR3mo_PX[[#This Row],[Column1655]]</f>
        <v>97.75</v>
      </c>
      <c r="BKR17">
        <f>SOFR3mo_PX[[#This Row],[Column1656]]</f>
        <v>97.734999999999999</v>
      </c>
      <c r="BKS17">
        <f>SOFR3mo_PX[[#This Row],[Column1657]]</f>
        <v>97.734999999999999</v>
      </c>
      <c r="BKT17">
        <f>SOFR3mo_PX[[#This Row],[Column1658]]</f>
        <v>97.74</v>
      </c>
      <c r="BKU17">
        <f>SOFR3mo_PX[[#This Row],[Column1659]]</f>
        <v>97.7</v>
      </c>
      <c r="BKV17">
        <f>SOFR3mo_PX[[#This Row],[Column1660]]</f>
        <v>97.76</v>
      </c>
      <c r="BKW17">
        <f>SOFR3mo_PX[[#This Row],[Column1661]]</f>
        <v>97.79</v>
      </c>
      <c r="BKX17">
        <f>SOFR3mo_PX[[#This Row],[Column1662]]</f>
        <v>97.814999999999998</v>
      </c>
      <c r="BKY17">
        <f>SOFR3mo_PX[[#This Row],[Column1663]]</f>
        <v>97.78</v>
      </c>
      <c r="BKZ17">
        <f>SOFR3mo_PX[[#This Row],[Column1664]]</f>
        <v>97.724999999999994</v>
      </c>
      <c r="BLA17">
        <f>SOFR3mo_PX[[#This Row],[Column1665]]</f>
        <v>97.715000000000003</v>
      </c>
      <c r="BLB17">
        <f>SOFR3mo_PX[[#This Row],[Column1666]]</f>
        <v>97.71</v>
      </c>
      <c r="BLC17">
        <f>SOFR3mo_PX[[#This Row],[Column1667]]</f>
        <v>97.73</v>
      </c>
      <c r="BLD17">
        <f>SOFR3mo_PX[[#This Row],[Column1668]]</f>
        <v>97.754999999999995</v>
      </c>
      <c r="BLE17">
        <f>SOFR3mo_PX[[#This Row],[Column1669]]</f>
        <v>97.685000000000002</v>
      </c>
      <c r="BLF17">
        <f>SOFR3mo_PX[[#This Row],[Column1670]]</f>
        <v>97.635000000000005</v>
      </c>
      <c r="BLG17">
        <f>SOFR3mo_PX[[#This Row],[Column1671]]</f>
        <v>97.63</v>
      </c>
      <c r="BLH17">
        <f>SOFR3mo_PX[[#This Row],[Column1672]]</f>
        <v>97.62</v>
      </c>
      <c r="BLI17">
        <f>SOFR3mo_PX[[#This Row],[Column1673]]</f>
        <v>97.644999999999996</v>
      </c>
      <c r="BLJ17">
        <f>SOFR3mo_PX[[#This Row],[Column1674]]</f>
        <v>97.63</v>
      </c>
      <c r="BLK17">
        <f>SOFR3mo_PX[[#This Row],[Column1675]]</f>
        <v>97.635000000000005</v>
      </c>
      <c r="BLL17">
        <f>SOFR3mo_PX[[#This Row],[Column1676]]</f>
        <v>97.59</v>
      </c>
      <c r="BLM17">
        <f>SOFR3mo_PX[[#This Row],[Column1677]]</f>
        <v>97.59</v>
      </c>
      <c r="BLN17">
        <f>SOFR3mo_PX[[#This Row],[Column1678]]</f>
        <v>97.66</v>
      </c>
      <c r="BLO17">
        <f>SOFR3mo_PX[[#This Row],[Column1679]]</f>
        <v>97.69</v>
      </c>
      <c r="BLP17">
        <f>SOFR3mo_PX[[#This Row],[Column1680]]</f>
        <v>97.715000000000003</v>
      </c>
      <c r="BLQ17">
        <f>SOFR3mo_PX[[#This Row],[Column1681]]</f>
        <v>97.704999999999998</v>
      </c>
      <c r="BLR17">
        <f>SOFR3mo_PX[[#This Row],[Column1682]]</f>
        <v>97.71</v>
      </c>
      <c r="BLS17">
        <f>SOFR3mo_PX[[#This Row],[Column1683]]</f>
        <v>97.694999999999993</v>
      </c>
      <c r="BLT17">
        <f>SOFR3mo_PX[[#This Row],[Column1684]]</f>
        <v>97.7</v>
      </c>
      <c r="BLU17">
        <f>SOFR3mo_PX[[#This Row],[Column1685]]</f>
        <v>97.69</v>
      </c>
      <c r="BLV17">
        <f>SOFR3mo_PX[[#This Row],[Column1686]]</f>
        <v>97.76</v>
      </c>
      <c r="BLW17">
        <f>SOFR3mo_PX[[#This Row],[Column1687]]</f>
        <v>97.805000000000007</v>
      </c>
      <c r="BLX17">
        <f>SOFR3mo_PX[[#This Row],[Column1688]]</f>
        <v>97.87</v>
      </c>
      <c r="BLY17">
        <f>SOFR3mo_PX[[#This Row],[Column1689]]</f>
        <v>97.685000000000002</v>
      </c>
      <c r="BLZ17">
        <f>SOFR3mo_PX[[#This Row],[Column1690]]</f>
        <v>97.694999999999993</v>
      </c>
      <c r="BMA17">
        <f>SOFR3mo_PX[[#This Row],[Column1691]]</f>
        <v>97.694999999999993</v>
      </c>
      <c r="BMB17">
        <f>SOFR3mo_PX[[#This Row],[Column1692]]</f>
        <v>97.69</v>
      </c>
      <c r="BMC17">
        <f>SOFR3mo_PX[[#This Row],[Column1693]]</f>
        <v>97.68</v>
      </c>
      <c r="BMD17">
        <f>SOFR3mo_PX[[#This Row],[Column1694]]</f>
        <v>97.625</v>
      </c>
      <c r="BME17">
        <f>SOFR3mo_PX[[#This Row],[Column1695]]</f>
        <v>97.6</v>
      </c>
      <c r="BMF17">
        <f>SOFR3mo_PX[[#This Row],[Column1696]]</f>
        <v>97.6</v>
      </c>
      <c r="BMG17">
        <f>SOFR3mo_PX[[#This Row],[Column1697]]</f>
        <v>97.54</v>
      </c>
      <c r="BMH17">
        <f>SOFR3mo_PX[[#This Row],[Column1698]]</f>
        <v>97.504999999999995</v>
      </c>
      <c r="BMI17">
        <f>SOFR3mo_PX[[#This Row],[Column1699]]</f>
        <v>97.495000000000005</v>
      </c>
      <c r="BMJ17">
        <f>SOFR3mo_PX[[#This Row],[Column1700]]</f>
        <v>97.495000000000005</v>
      </c>
      <c r="BMK17">
        <f>SOFR3mo_PX[[#This Row],[Column1701]]</f>
        <v>97.444999999999993</v>
      </c>
      <c r="BML17">
        <f>SOFR3mo_PX[[#This Row],[Column1702]]</f>
        <v>97.41</v>
      </c>
      <c r="BMM17">
        <f>SOFR3mo_PX[[#This Row],[Column1703]]</f>
        <v>97.38</v>
      </c>
      <c r="BMN17">
        <f>SOFR3mo_PX[[#This Row],[Column1704]]</f>
        <v>97.385000000000005</v>
      </c>
      <c r="BMO17">
        <f>SOFR3mo_PX[[#This Row],[Column1705]]</f>
        <v>97.42</v>
      </c>
      <c r="BMP17">
        <f>SOFR3mo_PX[[#This Row],[Column1706]]</f>
        <v>97.46</v>
      </c>
      <c r="BMQ17">
        <f>SOFR3mo_PX[[#This Row],[Column1707]]</f>
        <v>97.424999999999997</v>
      </c>
      <c r="BMR17">
        <f>SOFR3mo_PX[[#This Row],[Column1708]]</f>
        <v>97.385000000000005</v>
      </c>
      <c r="BMS17">
        <f>SOFR3mo_PX[[#This Row],[Column1709]]</f>
        <v>97.28</v>
      </c>
      <c r="BMT17">
        <f>SOFR3mo_PX[[#This Row],[Column1710]]</f>
        <v>97.28</v>
      </c>
      <c r="BMU17">
        <f>SOFR3mo_PX[[#This Row],[Column1711]]</f>
        <v>97.25</v>
      </c>
      <c r="BMV17">
        <f>SOFR3mo_PX[[#This Row],[Column1712]]</f>
        <v>97.27</v>
      </c>
      <c r="BMW17">
        <f>SOFR3mo_PX[[#This Row],[Column1713]]</f>
        <v>97.265000000000001</v>
      </c>
      <c r="BMX17">
        <f>SOFR3mo_PX[[#This Row],[Column1714]]</f>
        <v>97.26</v>
      </c>
      <c r="BMY17">
        <f>SOFR3mo_PX[[#This Row],[Column1715]]</f>
        <v>97.224999999999994</v>
      </c>
      <c r="BMZ17">
        <f>SOFR3mo_PX[[#This Row],[Column1716]]</f>
        <v>97.21</v>
      </c>
      <c r="BNA17">
        <f>SOFR3mo_PX[[#This Row],[Column1717]]</f>
        <v>97.22</v>
      </c>
      <c r="BNB17">
        <f>SOFR3mo_PX[[#This Row],[Column1718]]</f>
        <v>97.22</v>
      </c>
      <c r="BNC17">
        <f>SOFR3mo_PX[[#This Row],[Column1719]]</f>
        <v>97.22</v>
      </c>
      <c r="BND17">
        <f>SOFR3mo_PX[[#This Row],[Column1720]]</f>
        <v>97.23</v>
      </c>
      <c r="BNE17">
        <f>SOFR3mo_PX[[#This Row],[Column1721]]</f>
        <v>97.234999999999999</v>
      </c>
      <c r="BNF17">
        <f>SOFR3mo_PX[[#This Row],[Column1722]]</f>
        <v>97.2</v>
      </c>
      <c r="BNG17">
        <f>SOFR3mo_PX[[#This Row],[Column1723]]</f>
        <v>97.15</v>
      </c>
      <c r="BNH17">
        <f>SOFR3mo_PX[[#This Row],[Column1724]]</f>
        <v>97.14</v>
      </c>
      <c r="BNI17">
        <f>SOFR3mo_PX[[#This Row],[Column1725]]</f>
        <v>97.084999999999994</v>
      </c>
      <c r="BNJ17">
        <f>SOFR3mo_PX[[#This Row],[Column1726]]</f>
        <v>97.064999999999998</v>
      </c>
      <c r="BNK17">
        <f>SOFR3mo_PX[[#This Row],[Column1727]]</f>
        <v>97.045000000000002</v>
      </c>
      <c r="BNL17">
        <f>SOFR3mo_PX[[#This Row],[Column1728]]</f>
        <v>97.03</v>
      </c>
      <c r="BNM17">
        <f>SOFR3mo_PX[[#This Row],[Column1729]]</f>
        <v>97.064999999999998</v>
      </c>
      <c r="BNN17">
        <f>SOFR3mo_PX[[#This Row],[Column1730]]</f>
        <v>97.075000000000003</v>
      </c>
      <c r="BNO17">
        <f>SOFR3mo_PX[[#This Row],[Column1731]]</f>
        <v>97.084999999999994</v>
      </c>
      <c r="BNP17">
        <f>SOFR3mo_PX[[#This Row],[Column1732]]</f>
        <v>97.09</v>
      </c>
      <c r="BNQ17">
        <f>SOFR3mo_PX[[#This Row],[Column1733]]</f>
        <v>97.13</v>
      </c>
      <c r="BNR17">
        <f>SOFR3mo_PX[[#This Row],[Column1734]]</f>
        <v>97.12</v>
      </c>
      <c r="BNS17">
        <f>SOFR3mo_PX[[#This Row],[Column1735]]</f>
        <v>97.15</v>
      </c>
      <c r="BNT17">
        <f>SOFR3mo_PX[[#This Row],[Column1736]]</f>
        <v>97.15</v>
      </c>
      <c r="BNU17">
        <f>SOFR3mo_PX[[#This Row],[Column1737]]</f>
        <v>97.155000000000001</v>
      </c>
      <c r="BNV17">
        <f>SOFR3mo_PX[[#This Row],[Column1738]]</f>
        <v>97.084999999999994</v>
      </c>
      <c r="BNW17">
        <f>SOFR3mo_PX[[#This Row],[Column1739]]</f>
        <v>97.084999999999994</v>
      </c>
      <c r="BNX17">
        <f>SOFR3mo_PX[[#This Row],[Column1740]]</f>
        <v>97.055000000000007</v>
      </c>
      <c r="BNY17">
        <f>SOFR3mo_PX[[#This Row],[Column1741]]</f>
        <v>97.02</v>
      </c>
      <c r="BNZ17">
        <f>SOFR3mo_PX[[#This Row],[Column1742]]</f>
        <v>97.015000000000001</v>
      </c>
      <c r="BOA17">
        <f>SOFR3mo_PX[[#This Row],[Column1743]]</f>
        <v>97.034999999999997</v>
      </c>
      <c r="BOB17">
        <f>SOFR3mo_PX[[#This Row],[Column1744]]</f>
        <v>97.025000000000006</v>
      </c>
      <c r="BOC17">
        <f>SOFR3mo_PX[[#This Row],[Column1745]]</f>
        <v>97.025000000000006</v>
      </c>
      <c r="BOD17">
        <f>SOFR3mo_PX[[#This Row],[Column1746]]</f>
        <v>97.03</v>
      </c>
      <c r="BOE17">
        <f>SOFR3mo_PX[[#This Row],[Column1747]]</f>
        <v>97.04</v>
      </c>
      <c r="BOF17">
        <f>SOFR3mo_PX[[#This Row],[Column1748]]</f>
        <v>97.02</v>
      </c>
      <c r="BOG17">
        <f>SOFR3mo_PX[[#This Row],[Column1749]]</f>
        <v>96.97</v>
      </c>
      <c r="BOH17">
        <f>SOFR3mo_PX[[#This Row],[Column1750]]</f>
        <v>96.96</v>
      </c>
      <c r="BOI17">
        <f>SOFR3mo_PX[[#This Row],[Column1751]]</f>
        <v>96.965000000000003</v>
      </c>
      <c r="BOJ17">
        <f>SOFR3mo_PX[[#This Row],[Column1752]]</f>
        <v>96.97</v>
      </c>
      <c r="BOK17">
        <f>SOFR3mo_PX[[#This Row],[Column1753]]</f>
        <v>96.995000000000005</v>
      </c>
      <c r="BOL17">
        <f>SOFR3mo_PX[[#This Row],[Column1754]]</f>
        <v>97.03</v>
      </c>
      <c r="BOM17">
        <f>SOFR3mo_PX[[#This Row],[Column1755]]</f>
        <v>97.08</v>
      </c>
      <c r="BON17">
        <f>SOFR3mo_PX[[#This Row],[Column1756]]</f>
        <v>97.07</v>
      </c>
      <c r="BOO17">
        <f>SOFR3mo_PX[[#This Row],[Column1757]]</f>
        <v>97.07</v>
      </c>
      <c r="BOP17">
        <f>SOFR3mo_PX[[#This Row],[Column1758]]</f>
        <v>97.05</v>
      </c>
      <c r="BOQ17">
        <f>SOFR3mo_PX[[#This Row],[Column1759]]</f>
        <v>97.05</v>
      </c>
      <c r="BOR17">
        <f>SOFR3mo_PX[[#This Row],[Column1760]]</f>
        <v>97.04</v>
      </c>
      <c r="BOS17">
        <f>SOFR3mo_PX[[#This Row],[Column1761]]</f>
        <v>97.055000000000007</v>
      </c>
      <c r="BOT17">
        <f>SOFR3mo_PX[[#This Row],[Column1762]]</f>
        <v>97.06</v>
      </c>
      <c r="BOU17">
        <f>SOFR3mo_PX[[#This Row],[Column1763]]</f>
        <v>97.05</v>
      </c>
      <c r="BOV17">
        <f>SOFR3mo_PX[[#This Row],[Column1764]]</f>
        <v>97.07</v>
      </c>
      <c r="BOW17">
        <f>SOFR3mo_PX[[#This Row],[Column1765]]</f>
        <v>97.1</v>
      </c>
      <c r="BOX17">
        <f>SOFR3mo_PX[[#This Row],[Column1766]]</f>
        <v>97.13</v>
      </c>
      <c r="BOY17">
        <f>SOFR3mo_PX[[#This Row],[Column1767]]</f>
        <v>97.13</v>
      </c>
      <c r="BOZ17">
        <f>SOFR3mo_PX[[#This Row],[Column1768]]</f>
        <v>97.165000000000006</v>
      </c>
      <c r="BPA17">
        <f>SOFR3mo_PX[[#This Row],[Column1769]]</f>
        <v>97.19</v>
      </c>
      <c r="BPB17">
        <f>SOFR3mo_PX[[#This Row],[Column1770]]</f>
        <v>97.19</v>
      </c>
      <c r="BPC17">
        <f>SOFR3mo_PX[[#This Row],[Column1771]]</f>
        <v>97.24</v>
      </c>
      <c r="BPD17">
        <f>SOFR3mo_PX[[#This Row],[Column1772]]</f>
        <v>97.24</v>
      </c>
      <c r="BPE17">
        <f>SOFR3mo_PX[[#This Row],[Column1773]]</f>
        <v>97.3</v>
      </c>
      <c r="BPF17">
        <f>SOFR3mo_PX[[#This Row],[Column1774]]</f>
        <v>97.284999999999997</v>
      </c>
      <c r="BPG17">
        <f>SOFR3mo_PX[[#This Row],[Column1775]]</f>
        <v>97.29</v>
      </c>
      <c r="BPH17">
        <f>SOFR3mo_PX[[#This Row],[Column1776]]</f>
        <v>97.31</v>
      </c>
      <c r="BPI17">
        <f>SOFR3mo_PX[[#This Row],[Column1777]]</f>
        <v>97.31</v>
      </c>
      <c r="BPJ17">
        <f>SOFR3mo_PX[[#This Row],[Column1778]]</f>
        <v>97.275000000000006</v>
      </c>
      <c r="BPK17">
        <f>SOFR3mo_PX[[#This Row],[Column1779]]</f>
        <v>97.265000000000001</v>
      </c>
      <c r="BPL17">
        <f>SOFR3mo_PX[[#This Row],[Column1780]]</f>
        <v>97.28</v>
      </c>
      <c r="BPM17">
        <f>SOFR3mo_PX[[#This Row],[Column1781]]</f>
        <v>97.295000000000002</v>
      </c>
      <c r="BPN17">
        <f>SOFR3mo_PX[[#This Row],[Column1782]]</f>
        <v>97.314999999999998</v>
      </c>
      <c r="BPO17">
        <f>SOFR3mo_PX[[#This Row],[Column1783]]</f>
        <v>97.314999999999998</v>
      </c>
      <c r="BPP17">
        <f>SOFR3mo_PX[[#This Row],[Column1784]]</f>
        <v>97.334999999999994</v>
      </c>
      <c r="BPQ17">
        <f>SOFR3mo_PX[[#This Row],[Column1785]]</f>
        <v>97.325000000000003</v>
      </c>
      <c r="BPR17">
        <f>SOFR3mo_PX[[#This Row],[Column1786]]</f>
        <v>97.334999999999994</v>
      </c>
      <c r="BPS17">
        <f>SOFR3mo_PX[[#This Row],[Column1787]]</f>
        <v>97.31</v>
      </c>
      <c r="BPT17">
        <f>SOFR3mo_PX[[#This Row],[Column1788]]</f>
        <v>97.305000000000007</v>
      </c>
      <c r="BPU17">
        <f>SOFR3mo_PX[[#This Row],[Column1789]]</f>
        <v>97.325000000000003</v>
      </c>
      <c r="BPV17">
        <f>SOFR3mo_PX[[#This Row],[Column1790]]</f>
        <v>97.29</v>
      </c>
      <c r="BPW17">
        <f>SOFR3mo_PX[[#This Row],[Column1791]]</f>
        <v>97.314999999999998</v>
      </c>
      <c r="BPX17">
        <f>SOFR3mo_PX[[#This Row],[Column1792]]</f>
        <v>97.32</v>
      </c>
      <c r="BPY17">
        <f>SOFR3mo_PX[[#This Row],[Column1793]]</f>
        <v>97.254999999999995</v>
      </c>
      <c r="BPZ17">
        <f>SOFR3mo_PX[[#This Row],[Column1794]]</f>
        <v>97.24</v>
      </c>
      <c r="BQA17">
        <f>SOFR3mo_PX[[#This Row],[Column1795]]</f>
        <v>97.234999999999999</v>
      </c>
      <c r="BQB17">
        <f>SOFR3mo_PX[[#This Row],[Column1796]]</f>
        <v>97.24</v>
      </c>
      <c r="BQC17">
        <f>SOFR3mo_PX[[#This Row],[Column1797]]</f>
        <v>97.23</v>
      </c>
      <c r="BQD17">
        <f>SOFR3mo_PX[[#This Row],[Column1798]]</f>
        <v>97.22</v>
      </c>
      <c r="BQE17">
        <f>SOFR3mo_PX[[#This Row],[Column1799]]</f>
        <v>97.23</v>
      </c>
      <c r="BQF17">
        <f>SOFR3mo_PX[[#This Row],[Column1800]]</f>
        <v>97.234999999999999</v>
      </c>
      <c r="BQG17">
        <f>SOFR3mo_PX[[#This Row],[Column1801]]</f>
        <v>97.234999999999999</v>
      </c>
      <c r="BQH17">
        <f>SOFR3mo_PX[[#This Row],[Column1802]]</f>
        <v>97.224999999999994</v>
      </c>
      <c r="BQI17">
        <f>SOFR3mo_PX[[#This Row],[Column1803]]</f>
        <v>97.22</v>
      </c>
      <c r="BQJ17">
        <f>SOFR3mo_PX[[#This Row],[Column1804]]</f>
        <v>97.265000000000001</v>
      </c>
      <c r="BQK17">
        <f>SOFR3mo_PX[[#This Row],[Column1805]]</f>
        <v>97.265000000000001</v>
      </c>
      <c r="BQL17">
        <f>SOFR3mo_PX[[#This Row],[Column1806]]</f>
        <v>97.275000000000006</v>
      </c>
      <c r="BQM17">
        <f>SOFR3mo_PX[[#This Row],[Column1807]]</f>
        <v>97.31</v>
      </c>
      <c r="BQN17">
        <f>SOFR3mo_PX[[#This Row],[Column1808]]</f>
        <v>97.314999999999998</v>
      </c>
      <c r="BQO17">
        <f>SOFR3mo_PX[[#This Row],[Column1809]]</f>
        <v>97.3</v>
      </c>
      <c r="BQP17">
        <f>SOFR3mo_PX[[#This Row],[Column1810]]</f>
        <v>97.305000000000007</v>
      </c>
      <c r="BQQ17">
        <f>SOFR3mo_PX[[#This Row],[Column1811]]</f>
        <v>97.33</v>
      </c>
      <c r="BQR17">
        <f>SOFR3mo_PX[[#This Row],[Column1812]]</f>
        <v>97.34</v>
      </c>
      <c r="BQS17">
        <f>SOFR3mo_PX[[#This Row],[Column1813]]</f>
        <v>97.325000000000003</v>
      </c>
      <c r="BQT17">
        <f>SOFR3mo_PX[[#This Row],[Column1814]]</f>
        <v>97.33</v>
      </c>
      <c r="BQU17">
        <f>SOFR3mo_PX[[#This Row],[Column1815]]</f>
        <v>97.325000000000003</v>
      </c>
      <c r="BQV17">
        <f>SOFR3mo_PX[[#This Row],[Column1816]]</f>
        <v>97.334999999999994</v>
      </c>
      <c r="BQW17">
        <f>SOFR3mo_PX[[#This Row],[Column1817]]</f>
        <v>97.344999999999999</v>
      </c>
      <c r="BQX17">
        <f>SOFR3mo_PX[[#This Row],[Column1818]]</f>
        <v>97.325000000000003</v>
      </c>
      <c r="BQY17">
        <f>SOFR3mo_PX[[#This Row],[Column1819]]</f>
        <v>97.34</v>
      </c>
      <c r="BQZ17">
        <f>SOFR3mo_PX[[#This Row],[Column1820]]</f>
        <v>97.34</v>
      </c>
      <c r="BRA17">
        <f>SOFR3mo_PX[[#This Row],[Column1821]]</f>
        <v>97.334999999999994</v>
      </c>
      <c r="BRB17">
        <f>SOFR3mo_PX[[#This Row],[Column1822]]</f>
        <v>97.334999999999994</v>
      </c>
      <c r="BRC17">
        <f>SOFR3mo_PX[[#This Row],[Column1823]]</f>
        <v>97.34</v>
      </c>
      <c r="BRD17">
        <f>SOFR3mo_PX[[#This Row],[Column1824]]</f>
        <v>97.334999999999994</v>
      </c>
      <c r="BRE17">
        <f>SOFR3mo_PX[[#This Row],[Column1825]]</f>
        <v>97.29</v>
      </c>
      <c r="BRF17">
        <f>SOFR3mo_PX[[#This Row],[Column1826]]</f>
        <v>97.275000000000006</v>
      </c>
      <c r="BRG17">
        <f>SOFR3mo_PX[[#This Row],[Column1827]]</f>
        <v>97.245000000000005</v>
      </c>
      <c r="BRH17">
        <f>SOFR3mo_PX[[#This Row],[Column1828]]</f>
        <v>97.245000000000005</v>
      </c>
      <c r="BRI17">
        <f>SOFR3mo_PX[[#This Row],[Column1829]]</f>
        <v>97.234999999999999</v>
      </c>
      <c r="BRJ17">
        <f>SOFR3mo_PX[[#This Row],[Column1830]]</f>
        <v>97.24</v>
      </c>
      <c r="BRK17">
        <f>SOFR3mo_PX[[#This Row],[Column1831]]</f>
        <v>97.21</v>
      </c>
      <c r="BRL17">
        <f>SOFR3mo_PX[[#This Row],[Column1832]]</f>
        <v>97.22</v>
      </c>
      <c r="BRM17">
        <f>SOFR3mo_PX[[#This Row],[Column1833]]</f>
        <v>97.204999999999998</v>
      </c>
      <c r="BRN17">
        <f>SOFR3mo_PX[[#This Row],[Column1834]]</f>
        <v>97.204999999999998</v>
      </c>
      <c r="BRO17">
        <f>SOFR3mo_PX[[#This Row],[Column1835]]</f>
        <v>97.24</v>
      </c>
      <c r="BRP17">
        <f>SOFR3mo_PX[[#This Row],[Column1836]]</f>
        <v>97.254999999999995</v>
      </c>
      <c r="BRQ17">
        <f>SOFR3mo_PX[[#This Row],[Column1837]]</f>
        <v>97.265000000000001</v>
      </c>
      <c r="BRR17">
        <f>SOFR3mo_PX[[#This Row],[Column1838]]</f>
        <v>97.23</v>
      </c>
      <c r="BRS17">
        <f>SOFR3mo_PX[[#This Row],[Column1839]]</f>
        <v>97.22</v>
      </c>
      <c r="BRT17">
        <f>SOFR3mo_PX[[#This Row],[Column1840]]</f>
        <v>97.26</v>
      </c>
      <c r="BRU17">
        <f>SOFR3mo_PX[[#This Row],[Column1841]]</f>
        <v>97.24</v>
      </c>
      <c r="BRV17">
        <f>SOFR3mo_PX[[#This Row],[Column1842]]</f>
        <v>97.28</v>
      </c>
      <c r="BRW17">
        <f>SOFR3mo_PX[[#This Row],[Column1843]]</f>
        <v>97.35</v>
      </c>
      <c r="BRX17">
        <f>SOFR3mo_PX[[#This Row],[Column1844]]</f>
        <v>97.344999999999999</v>
      </c>
      <c r="BRY17">
        <f>SOFR3mo_PX[[#This Row],[Column1845]]</f>
        <v>97.44</v>
      </c>
      <c r="BRZ17">
        <f>SOFR3mo_PX[[#This Row],[Column1846]]</f>
        <v>97.224999999999994</v>
      </c>
      <c r="BSA17">
        <f>SOFR3mo_PX[[#This Row],[Column1847]]</f>
        <v>97.224999999999994</v>
      </c>
      <c r="BSB17">
        <f>SOFR3mo_PX[[#This Row],[Column1848]]</f>
        <v>97.194999999999993</v>
      </c>
      <c r="BSC17">
        <f>SOFR3mo_PX[[#This Row],[Column1849]]</f>
        <v>97.165000000000006</v>
      </c>
      <c r="BSD17">
        <f>SOFR3mo_PX[[#This Row],[Column1850]]</f>
        <v>97.114999999999995</v>
      </c>
      <c r="BSE17">
        <f>SOFR3mo_PX[[#This Row],[Column1851]]</f>
        <v>97.105000000000004</v>
      </c>
      <c r="BSF17">
        <f>SOFR3mo_PX[[#This Row],[Column1852]]</f>
        <v>97.12</v>
      </c>
      <c r="BSG17">
        <f>SOFR3mo_PX[[#This Row],[Column1853]]</f>
        <v>97.094999999999999</v>
      </c>
      <c r="BSH17">
        <f>SOFR3mo_PX[[#This Row],[Column1854]]</f>
        <v>97.11</v>
      </c>
      <c r="BSI17">
        <f>SOFR3mo_PX[[#This Row],[Column1855]]</f>
        <v>97.12</v>
      </c>
      <c r="BSJ17">
        <f>SOFR3mo_PX[[#This Row],[Column1856]]</f>
        <v>97.15</v>
      </c>
      <c r="BSK17">
        <f>SOFR3mo_PX[[#This Row],[Column1857]]</f>
        <v>97.155000000000001</v>
      </c>
      <c r="BSL17">
        <f>SOFR3mo_PX[[#This Row],[Column1858]]</f>
        <v>97.17</v>
      </c>
      <c r="BSM17">
        <f>SOFR3mo_PX[[#This Row],[Column1859]]</f>
        <v>97.19</v>
      </c>
      <c r="BSN17">
        <f>SOFR3mo_PX[[#This Row],[Column1860]]</f>
        <v>97.215000000000003</v>
      </c>
      <c r="BSO17">
        <f>SOFR3mo_PX[[#This Row],[Column1861]]</f>
        <v>97.224999999999994</v>
      </c>
      <c r="BSP17">
        <f>SOFR3mo_PX[[#This Row],[Column1862]]</f>
        <v>97.25</v>
      </c>
      <c r="BSQ17" t="str">
        <f>SOFR3mo_PX[[#This Row],[Column1863]]</f>
        <v>#N/A N/A</v>
      </c>
      <c r="BSR17" t="str">
        <f>SOFR3mo_PX[[#This Row],[Column1864]]</f>
        <v>#N/A N/A</v>
      </c>
      <c r="BSS17" t="str">
        <f>SOFR3mo_PX[[#This Row],[Column1865]]</f>
        <v>#N/A N/A</v>
      </c>
      <c r="BST17" t="str">
        <f>SOFR3mo_PX[[#This Row],[Column1866]]</f>
        <v>#N/A N/A</v>
      </c>
      <c r="BSU17" t="str">
        <f>SOFR3mo_PX[[#This Row],[Column1867]]</f>
        <v>#N/A N/A</v>
      </c>
      <c r="BSV17" t="str">
        <f>SOFR3mo_PX[[#This Row],[Column1868]]</f>
        <v>#N/A N/A</v>
      </c>
      <c r="BSW17" t="str">
        <f>SOFR3mo_PX[[#This Row],[Column1869]]</f>
        <v>#N/A N/A</v>
      </c>
      <c r="BSX17" t="str">
        <f>SOFR3mo_PX[[#This Row],[Column1870]]</f>
        <v>#N/A N/A</v>
      </c>
      <c r="BSY17" t="str">
        <f>SOFR3mo_PX[[#This Row],[Column1871]]</f>
        <v>#N/A N/A</v>
      </c>
      <c r="BSZ17" t="str">
        <f>SOFR3mo_PX[[#This Row],[Column1872]]</f>
        <v>#N/A N/A</v>
      </c>
      <c r="BTA17" t="str">
        <f>SOFR3mo_PX[[#This Row],[Column1873]]</f>
        <v>#N/A N/A</v>
      </c>
      <c r="BTB17" t="str">
        <f>SOFR3mo_PX[[#This Row],[Column1874]]</f>
        <v>#N/A N/A</v>
      </c>
      <c r="BTC17" t="str">
        <f>SOFR3mo_PX[[#This Row],[Column1875]]</f>
        <v>#N/A N/A</v>
      </c>
      <c r="BTD17" t="str">
        <f>SOFR3mo_PX[[#This Row],[Column1876]]</f>
        <v>#N/A N/A</v>
      </c>
      <c r="BTE17" t="str">
        <f>SOFR3mo_PX[[#This Row],[Column1877]]</f>
        <v>#N/A N/A</v>
      </c>
      <c r="BTF17" t="str">
        <f>SOFR3mo_PX[[#This Row],[Column1878]]</f>
        <v>#N/A N/A</v>
      </c>
      <c r="BTG17" t="str">
        <f>SOFR3mo_PX[[#This Row],[Column1879]]</f>
        <v>#N/A N/A</v>
      </c>
      <c r="BTH17" t="str">
        <f>SOFR3mo_PX[[#This Row],[Column1880]]</f>
        <v>#N/A N/A</v>
      </c>
      <c r="BTI17" t="str">
        <f>SOFR3mo_PX[[#This Row],[Column1881]]</f>
        <v>#N/A N/A</v>
      </c>
      <c r="BTJ17" t="str">
        <f>SOFR3mo_PX[[#This Row],[Column1882]]</f>
        <v>#N/A N/A</v>
      </c>
      <c r="BTK17" t="str">
        <f>SOFR3mo_PX[[#This Row],[Column1883]]</f>
        <v>#N/A N/A</v>
      </c>
      <c r="BTL17" t="str">
        <f>SOFR3mo_PX[[#This Row],[Column1884]]</f>
        <v>#N/A N/A</v>
      </c>
      <c r="BTM17" t="str">
        <f>SOFR3mo_PX[[#This Row],[Column1885]]</f>
        <v>#N/A N/A</v>
      </c>
      <c r="BTN17" t="str">
        <f>SOFR3mo_PX[[#This Row],[Column1886]]</f>
        <v>#N/A N/A</v>
      </c>
      <c r="BTO17" t="str">
        <f>SOFR3mo_PX[[#This Row],[Column1887]]</f>
        <v>#N/A N/A</v>
      </c>
      <c r="BTP17" t="str">
        <f>SOFR3mo_PX[[#This Row],[Column1888]]</f>
        <v>#N/A N/A</v>
      </c>
      <c r="BTQ17" t="str">
        <f>SOFR3mo_PX[[#This Row],[Column1889]]</f>
        <v>#N/A N/A</v>
      </c>
      <c r="BTR17" t="str">
        <f>SOFR3mo_PX[[#This Row],[Column1890]]</f>
        <v>#N/A N/A</v>
      </c>
      <c r="BTS17" t="str">
        <f>SOFR3mo_PX[[#This Row],[Column1891]]</f>
        <v>#N/A N/A</v>
      </c>
      <c r="BTT17" t="str">
        <f>SOFR3mo_PX[[#This Row],[Column1892]]</f>
        <v>#N/A N/A</v>
      </c>
      <c r="BTU17" t="str">
        <f>SOFR3mo_PX[[#This Row],[Column1893]]</f>
        <v>#N/A N/A</v>
      </c>
      <c r="BTV17" t="str">
        <f>SOFR3mo_PX[[#This Row],[Column1894]]</f>
        <v>#N/A N/A</v>
      </c>
      <c r="BTW17" t="str">
        <f>SOFR3mo_PX[[#This Row],[Column1895]]</f>
        <v>#N/A N/A</v>
      </c>
      <c r="BTX17" t="str">
        <f>SOFR3mo_PX[[#This Row],[Column1896]]</f>
        <v>#N/A N/A</v>
      </c>
      <c r="BTY17" t="str">
        <f>SOFR3mo_PX[[#This Row],[Column1897]]</f>
        <v>#N/A N/A</v>
      </c>
      <c r="BTZ17" t="str">
        <f>SOFR3mo_PX[[#This Row],[Column1898]]</f>
        <v>#N/A N/A</v>
      </c>
      <c r="BUA17" t="str">
        <f>SOFR3mo_PX[[#This Row],[Column1899]]</f>
        <v>#N/A N/A</v>
      </c>
      <c r="BUB17" t="str">
        <f>SOFR3mo_PX[[#This Row],[Column1900]]</f>
        <v>#N/A N/A</v>
      </c>
      <c r="BUC17" t="str">
        <f>SOFR3mo_PX[[#This Row],[Column1901]]</f>
        <v>#N/A N/A</v>
      </c>
      <c r="BUD17" t="str">
        <f>SOFR3mo_PX[[#This Row],[Column1902]]</f>
        <v>#N/A N/A</v>
      </c>
      <c r="BUE17" t="str">
        <f>SOFR3mo_PX[[#This Row],[Column1903]]</f>
        <v>#N/A N/A</v>
      </c>
      <c r="BUF17" t="str">
        <f>SOFR3mo_PX[[#This Row],[Column1904]]</f>
        <v>#N/A N/A</v>
      </c>
      <c r="BUG17" t="str">
        <f>SOFR3mo_PX[[#This Row],[Column1905]]</f>
        <v>#N/A N/A</v>
      </c>
      <c r="BUH17" t="str">
        <f>SOFR3mo_PX[[#This Row],[Column1906]]</f>
        <v>#N/A N/A</v>
      </c>
      <c r="BUI17" t="str">
        <f>SOFR3mo_PX[[#This Row],[Column1907]]</f>
        <v>#N/A N/A</v>
      </c>
      <c r="BUJ17" t="str">
        <f>SOFR3mo_PX[[#This Row],[Column1908]]</f>
        <v>#N/A N/A</v>
      </c>
      <c r="BUK17" t="str">
        <f>SOFR3mo_PX[[#This Row],[Column1909]]</f>
        <v>#N/A N/A</v>
      </c>
      <c r="BUL17" t="str">
        <f>SOFR3mo_PX[[#This Row],[Column1910]]</f>
        <v>#N/A N/A</v>
      </c>
      <c r="BUM17" t="str">
        <f>SOFR3mo_PX[[#This Row],[Column1911]]</f>
        <v>#N/A N/A</v>
      </c>
      <c r="BUN17" t="str">
        <f>SOFR3mo_PX[[#This Row],[Column1912]]</f>
        <v>#N/A N/A</v>
      </c>
      <c r="BUO17" t="str">
        <f>SOFR3mo_PX[[#This Row],[Column1913]]</f>
        <v>#N/A N/A</v>
      </c>
      <c r="BUP17" t="str">
        <f>SOFR3mo_PX[[#This Row],[Column1914]]</f>
        <v>#N/A N/A</v>
      </c>
      <c r="BUQ17" t="str">
        <f>SOFR3mo_PX[[#This Row],[Column1915]]</f>
        <v>#N/A N/A</v>
      </c>
      <c r="BUR17" t="str">
        <f>SOFR3mo_PX[[#This Row],[Column1916]]</f>
        <v>#N/A N/A</v>
      </c>
      <c r="BUS17" t="str">
        <f>SOFR3mo_PX[[#This Row],[Column1917]]</f>
        <v>#N/A N/A</v>
      </c>
      <c r="BUT17" t="str">
        <f>SOFR3mo_PX[[#This Row],[Column1918]]</f>
        <v>#N/A N/A</v>
      </c>
      <c r="BUU17" t="str">
        <f>SOFR3mo_PX[[#This Row],[Column1919]]</f>
        <v>#N/A N/A</v>
      </c>
      <c r="BUV17" t="str">
        <f>SOFR3mo_PX[[#This Row],[Column1920]]</f>
        <v>#N/A N/A</v>
      </c>
      <c r="BUW17" t="str">
        <f>SOFR3mo_PX[[#This Row],[Column1921]]</f>
        <v>#N/A N/A</v>
      </c>
      <c r="BUX17" t="str">
        <f>SOFR3mo_PX[[#This Row],[Column1922]]</f>
        <v>#N/A N/A</v>
      </c>
      <c r="BUY17" t="str">
        <f>SOFR3mo_PX[[#This Row],[Column1923]]</f>
        <v>#N/A N/A</v>
      </c>
      <c r="BUZ17" t="str">
        <f>SOFR3mo_PX[[#This Row],[Column1924]]</f>
        <v>#N/A N/A</v>
      </c>
      <c r="BVA17" t="str">
        <f>SOFR3mo_PX[[#This Row],[Column1925]]</f>
        <v>#N/A N/A</v>
      </c>
      <c r="BVB17" t="str">
        <f>SOFR3mo_PX[[#This Row],[Column1926]]</f>
        <v>#N/A N/A</v>
      </c>
      <c r="BVC17" t="str">
        <f>SOFR3mo_PX[[#This Row],[Column1927]]</f>
        <v>#N/A N/A</v>
      </c>
      <c r="BVD17" t="str">
        <f>SOFR3mo_PX[[#This Row],[Column1928]]</f>
        <v>#N/A N/A</v>
      </c>
      <c r="BVE17" t="str">
        <f>SOFR3mo_PX[[#This Row],[Column1929]]</f>
        <v>#N/A N/A</v>
      </c>
      <c r="BVF17" t="str">
        <f>SOFR3mo_PX[[#This Row],[Column1930]]</f>
        <v>#N/A N/A</v>
      </c>
      <c r="BVG17" t="str">
        <f>SOFR3mo_PX[[#This Row],[Column1931]]</f>
        <v>#N/A N/A</v>
      </c>
      <c r="BVH17" t="str">
        <f>SOFR3mo_PX[[#This Row],[Column1932]]</f>
        <v>#N/A N/A</v>
      </c>
      <c r="BVI17" t="str">
        <f>SOFR3mo_PX[[#This Row],[Column1933]]</f>
        <v>#N/A N/A</v>
      </c>
      <c r="BVJ17" t="str">
        <f>SOFR3mo_PX[[#This Row],[Column1934]]</f>
        <v>#N/A N/A</v>
      </c>
      <c r="BVK17" t="str">
        <f>SOFR3mo_PX[[#This Row],[Column1935]]</f>
        <v>#N/A N/A</v>
      </c>
      <c r="BVL17" t="str">
        <f>SOFR3mo_PX[[#This Row],[Column1936]]</f>
        <v>#N/A N/A</v>
      </c>
      <c r="BVM17" t="str">
        <f>SOFR3mo_PX[[#This Row],[Column1937]]</f>
        <v>#N/A N/A</v>
      </c>
      <c r="BVN17" t="str">
        <f>SOFR3mo_PX[[#This Row],[Column1938]]</f>
        <v>#N/A N/A</v>
      </c>
      <c r="BVO17" t="str">
        <f>SOFR3mo_PX[[#This Row],[Column1939]]</f>
        <v>#N/A N/A</v>
      </c>
      <c r="BVP17" t="str">
        <f>SOFR3mo_PX[[#This Row],[Column1940]]</f>
        <v>#N/A N/A</v>
      </c>
      <c r="BVQ17" t="str">
        <f>SOFR3mo_PX[[#This Row],[Column1941]]</f>
        <v>#N/A N/A</v>
      </c>
      <c r="BVR17" t="str">
        <f>SOFR3mo_PX[[#This Row],[Column1942]]</f>
        <v>#N/A N/A</v>
      </c>
      <c r="BVS17" t="str">
        <f>SOFR3mo_PX[[#This Row],[Column1943]]</f>
        <v>#N/A N/A</v>
      </c>
      <c r="BVT17" t="str">
        <f>SOFR3mo_PX[[#This Row],[Column1944]]</f>
        <v>#N/A N/A</v>
      </c>
      <c r="BVU17" t="str">
        <f>SOFR3mo_PX[[#This Row],[Column1945]]</f>
        <v>#N/A N/A</v>
      </c>
      <c r="BVV17" t="str">
        <f>SOFR3mo_PX[[#This Row],[Column1946]]</f>
        <v>#N/A N/A</v>
      </c>
      <c r="BVW17" t="str">
        <f>SOFR3mo_PX[[#This Row],[Column1947]]</f>
        <v>#N/A N/A</v>
      </c>
      <c r="BVX17" t="str">
        <f>SOFR3mo_PX[[#This Row],[Column1948]]</f>
        <v>#N/A N/A</v>
      </c>
      <c r="BVY17" t="str">
        <f>SOFR3mo_PX[[#This Row],[Column1949]]</f>
        <v>#N/A N/A</v>
      </c>
      <c r="BVZ17" t="str">
        <f>SOFR3mo_PX[[#This Row],[Column1950]]</f>
        <v>#N/A N/A</v>
      </c>
      <c r="BWA17" t="str">
        <f>SOFR3mo_PX[[#This Row],[Column1951]]</f>
        <v>#N/A N/A</v>
      </c>
      <c r="BWB17" t="str">
        <f>SOFR3mo_PX[[#This Row],[Column1952]]</f>
        <v>#N/A N/A</v>
      </c>
      <c r="BWC17" t="str">
        <f>SOFR3mo_PX[[#This Row],[Column1953]]</f>
        <v>#N/A N/A</v>
      </c>
      <c r="BWD17" t="str">
        <f>SOFR3mo_PX[[#This Row],[Column1954]]</f>
        <v>#N/A N/A</v>
      </c>
    </row>
    <row r="18" spans="1:1954" x14ac:dyDescent="0.25">
      <c r="A18" t="str">
        <f>SOFR3mo_PX[[#This Row],[Column1]]</f>
        <v>SFR16 Comdty</v>
      </c>
      <c r="B18">
        <f>IF(rtd!B16&lt;&gt;"",rtd!B16,SOFR3mo_PX[[#This Row],[Column2]])</f>
        <v>96.382499999999993</v>
      </c>
      <c r="C18">
        <f>SOFR3mo_PX[[#This Row],[Column3]]</f>
        <v>96.344999999999999</v>
      </c>
      <c r="D18">
        <f>SOFR3mo_PX[[#This Row],[Column4]]</f>
        <v>96.344999999999999</v>
      </c>
      <c r="E18">
        <f>SOFR3mo_PX[[#This Row],[Column5]]</f>
        <v>96.39</v>
      </c>
      <c r="F18">
        <f>SOFR3mo_PX[[#This Row],[Column6]]</f>
        <v>96.325000000000003</v>
      </c>
      <c r="G18">
        <f>SOFR3mo_PX[[#This Row],[Column7]]</f>
        <v>96.34</v>
      </c>
      <c r="H18">
        <f>SOFR3mo_PX[[#This Row],[Column8]]</f>
        <v>96.385000000000005</v>
      </c>
      <c r="I18">
        <f>SOFR3mo_PX[[#This Row],[Column9]]</f>
        <v>96.334999999999994</v>
      </c>
      <c r="J18">
        <f>SOFR3mo_PX[[#This Row],[Column10]]</f>
        <v>96.27</v>
      </c>
      <c r="K18">
        <f>SOFR3mo_PX[[#This Row],[Column11]]</f>
        <v>96.26</v>
      </c>
      <c r="L18">
        <f>SOFR3mo_PX[[#This Row],[Column12]]</f>
        <v>96.23</v>
      </c>
      <c r="M18">
        <f>SOFR3mo_PX[[#This Row],[Column13]]</f>
        <v>96.35</v>
      </c>
      <c r="N18">
        <f>SOFR3mo_PX[[#This Row],[Column14]]</f>
        <v>96.4</v>
      </c>
      <c r="O18">
        <f>SOFR3mo_PX[[#This Row],[Column15]]</f>
        <v>96.32</v>
      </c>
      <c r="P18">
        <f>SOFR3mo_PX[[#This Row],[Column16]]</f>
        <v>96.33</v>
      </c>
      <c r="Q18">
        <f>SOFR3mo_PX[[#This Row],[Column17]]</f>
        <v>96.38</v>
      </c>
      <c r="R18">
        <f>SOFR3mo_PX[[#This Row],[Column18]]</f>
        <v>96.36</v>
      </c>
      <c r="S18">
        <f>SOFR3mo_PX[[#This Row],[Column19]]</f>
        <v>96.314999999999998</v>
      </c>
      <c r="T18">
        <f>SOFR3mo_PX[[#This Row],[Column20]]</f>
        <v>96.36</v>
      </c>
      <c r="U18">
        <f>SOFR3mo_PX[[#This Row],[Column21]]</f>
        <v>96.275000000000006</v>
      </c>
      <c r="V18">
        <f>SOFR3mo_PX[[#This Row],[Column22]]</f>
        <v>96.275000000000006</v>
      </c>
      <c r="W18">
        <f>SOFR3mo_PX[[#This Row],[Column23]]</f>
        <v>96.23</v>
      </c>
      <c r="X18">
        <f>SOFR3mo_PX[[#This Row],[Column24]]</f>
        <v>96.185000000000002</v>
      </c>
      <c r="Y18">
        <f>SOFR3mo_PX[[#This Row],[Column25]]</f>
        <v>96.284999999999997</v>
      </c>
      <c r="Z18">
        <f>SOFR3mo_PX[[#This Row],[Column26]]</f>
        <v>96.27</v>
      </c>
      <c r="AA18">
        <f>SOFR3mo_PX[[#This Row],[Column27]]</f>
        <v>96.28</v>
      </c>
      <c r="AB18">
        <f>SOFR3mo_PX[[#This Row],[Column28]]</f>
        <v>96.26</v>
      </c>
      <c r="AC18">
        <f>SOFR3mo_PX[[#This Row],[Column29]]</f>
        <v>96.174999999999997</v>
      </c>
      <c r="AD18">
        <f>SOFR3mo_PX[[#This Row],[Column30]]</f>
        <v>96.21</v>
      </c>
      <c r="AE18">
        <f>SOFR3mo_PX[[#This Row],[Column31]]</f>
        <v>96.234999999999999</v>
      </c>
      <c r="AF18">
        <f>SOFR3mo_PX[[#This Row],[Column32]]</f>
        <v>96.34</v>
      </c>
      <c r="AG18">
        <f>SOFR3mo_PX[[#This Row],[Column33]]</f>
        <v>96.34</v>
      </c>
      <c r="AH18">
        <f>SOFR3mo_PX[[#This Row],[Column34]]</f>
        <v>96.47</v>
      </c>
      <c r="AI18">
        <f>SOFR3mo_PX[[#This Row],[Column35]]</f>
        <v>96.435000000000002</v>
      </c>
      <c r="AJ18">
        <f>SOFR3mo_PX[[#This Row],[Column36]]</f>
        <v>96.394999999999996</v>
      </c>
      <c r="AK18">
        <f>SOFR3mo_PX[[#This Row],[Column37]]</f>
        <v>96.41</v>
      </c>
      <c r="AL18">
        <f>SOFR3mo_PX[[#This Row],[Column38]]</f>
        <v>96.5</v>
      </c>
      <c r="AM18">
        <f>SOFR3mo_PX[[#This Row],[Column39]]</f>
        <v>96.545000000000002</v>
      </c>
      <c r="AN18">
        <f>SOFR3mo_PX[[#This Row],[Column40]]</f>
        <v>96.525000000000006</v>
      </c>
      <c r="AO18">
        <f>SOFR3mo_PX[[#This Row],[Column41]]</f>
        <v>96.474999999999994</v>
      </c>
      <c r="AP18">
        <f>SOFR3mo_PX[[#This Row],[Column42]]</f>
        <v>96.41</v>
      </c>
      <c r="AQ18">
        <f>SOFR3mo_PX[[#This Row],[Column43]]</f>
        <v>96.36</v>
      </c>
      <c r="AR18">
        <f>SOFR3mo_PX[[#This Row],[Column44]]</f>
        <v>96.28</v>
      </c>
      <c r="AS18">
        <f>SOFR3mo_PX[[#This Row],[Column45]]</f>
        <v>96.3</v>
      </c>
      <c r="AT18">
        <f>SOFR3mo_PX[[#This Row],[Column46]]</f>
        <v>96.3</v>
      </c>
      <c r="AU18">
        <f>SOFR3mo_PX[[#This Row],[Column47]]</f>
        <v>96.344999999999999</v>
      </c>
      <c r="AV18">
        <f>SOFR3mo_PX[[#This Row],[Column48]]</f>
        <v>96.344999999999999</v>
      </c>
      <c r="AW18">
        <f>SOFR3mo_PX[[#This Row],[Column49]]</f>
        <v>96.38</v>
      </c>
      <c r="AX18">
        <f>SOFR3mo_PX[[#This Row],[Column50]]</f>
        <v>96.31</v>
      </c>
      <c r="AY18">
        <f>SOFR3mo_PX[[#This Row],[Column51]]</f>
        <v>96.275000000000006</v>
      </c>
      <c r="AZ18">
        <f>SOFR3mo_PX[[#This Row],[Column52]]</f>
        <v>96.135000000000005</v>
      </c>
      <c r="BA18">
        <f>SOFR3mo_PX[[#This Row],[Column53]]</f>
        <v>96.28</v>
      </c>
      <c r="BB18">
        <f>SOFR3mo_PX[[#This Row],[Column54]]</f>
        <v>96.2</v>
      </c>
      <c r="BC18">
        <f>SOFR3mo_PX[[#This Row],[Column55]]</f>
        <v>96.394999999999996</v>
      </c>
      <c r="BD18">
        <f>SOFR3mo_PX[[#This Row],[Column56]]</f>
        <v>96.465000000000003</v>
      </c>
      <c r="BE18">
        <f>SOFR3mo_PX[[#This Row],[Column57]]</f>
        <v>96.614999999999995</v>
      </c>
      <c r="BF18">
        <f>SOFR3mo_PX[[#This Row],[Column58]]</f>
        <v>96.55</v>
      </c>
      <c r="BG18">
        <f>SOFR3mo_PX[[#This Row],[Column59]]</f>
        <v>96.355000000000004</v>
      </c>
      <c r="BH18">
        <f>SOFR3mo_PX[[#This Row],[Column60]]</f>
        <v>96.415000000000006</v>
      </c>
      <c r="BI18">
        <f>SOFR3mo_PX[[#This Row],[Column61]]</f>
        <v>96.32</v>
      </c>
      <c r="BJ18">
        <f>SOFR3mo_PX[[#This Row],[Column62]]</f>
        <v>96.305000000000007</v>
      </c>
      <c r="BK18">
        <f>SOFR3mo_PX[[#This Row],[Column63]]</f>
        <v>96.185000000000002</v>
      </c>
      <c r="BL18">
        <f>SOFR3mo_PX[[#This Row],[Column64]]</f>
        <v>96.21</v>
      </c>
      <c r="BM18">
        <f>SOFR3mo_PX[[#This Row],[Column65]]</f>
        <v>96.224999999999994</v>
      </c>
      <c r="BN18">
        <f>SOFR3mo_PX[[#This Row],[Column66]]</f>
        <v>96.185000000000002</v>
      </c>
      <c r="BO18">
        <f>SOFR3mo_PX[[#This Row],[Column67]]</f>
        <v>96.27</v>
      </c>
      <c r="BP18">
        <f>SOFR3mo_PX[[#This Row],[Column68]]</f>
        <v>96.27</v>
      </c>
      <c r="BQ18">
        <f>SOFR3mo_PX[[#This Row],[Column69]]</f>
        <v>96.245000000000005</v>
      </c>
      <c r="BR18">
        <f>SOFR3mo_PX[[#This Row],[Column70]]</f>
        <v>96.25</v>
      </c>
      <c r="BS18">
        <f>SOFR3mo_PX[[#This Row],[Column71]]</f>
        <v>96.204999999999998</v>
      </c>
      <c r="BT18">
        <f>SOFR3mo_PX[[#This Row],[Column72]]</f>
        <v>96.21</v>
      </c>
      <c r="BU18">
        <f>SOFR3mo_PX[[#This Row],[Column73]]</f>
        <v>96.265000000000001</v>
      </c>
      <c r="BV18">
        <f>SOFR3mo_PX[[#This Row],[Column74]]</f>
        <v>96.21</v>
      </c>
      <c r="BW18">
        <f>SOFR3mo_PX[[#This Row],[Column75]]</f>
        <v>96.245000000000005</v>
      </c>
      <c r="BX18">
        <f>SOFR3mo_PX[[#This Row],[Column76]]</f>
        <v>96.33</v>
      </c>
      <c r="BY18">
        <f>SOFR3mo_PX[[#This Row],[Column77]]</f>
        <v>96.185000000000002</v>
      </c>
      <c r="BZ18">
        <f>SOFR3mo_PX[[#This Row],[Column78]]</f>
        <v>96.215000000000003</v>
      </c>
      <c r="CA18">
        <f>SOFR3mo_PX[[#This Row],[Column79]]</f>
        <v>96.23</v>
      </c>
      <c r="CB18">
        <f>SOFR3mo_PX[[#This Row],[Column80]]</f>
        <v>96.314999999999998</v>
      </c>
      <c r="CC18">
        <f>SOFR3mo_PX[[#This Row],[Column81]]</f>
        <v>96.35</v>
      </c>
      <c r="CD18">
        <f>SOFR3mo_PX[[#This Row],[Column82]]</f>
        <v>96.31</v>
      </c>
      <c r="CE18">
        <f>SOFR3mo_PX[[#This Row],[Column83]]</f>
        <v>96.24</v>
      </c>
      <c r="CF18">
        <f>SOFR3mo_PX[[#This Row],[Column84]]</f>
        <v>96.275000000000006</v>
      </c>
      <c r="CG18">
        <f>SOFR3mo_PX[[#This Row],[Column85]]</f>
        <v>96.204999999999998</v>
      </c>
      <c r="CH18">
        <f>SOFR3mo_PX[[#This Row],[Column86]]</f>
        <v>96.07</v>
      </c>
      <c r="CI18">
        <f>SOFR3mo_PX[[#This Row],[Column87]]</f>
        <v>96.04</v>
      </c>
      <c r="CJ18">
        <f>SOFR3mo_PX[[#This Row],[Column88]]</f>
        <v>95.954999999999998</v>
      </c>
      <c r="CK18">
        <f>SOFR3mo_PX[[#This Row],[Column89]]</f>
        <v>95.915000000000006</v>
      </c>
      <c r="CL18">
        <f>SOFR3mo_PX[[#This Row],[Column90]]</f>
        <v>95.905000000000001</v>
      </c>
      <c r="CM18">
        <f>SOFR3mo_PX[[#This Row],[Column91]]</f>
        <v>95.98</v>
      </c>
      <c r="CN18">
        <f>SOFR3mo_PX[[#This Row],[Column92]]</f>
        <v>95.98</v>
      </c>
      <c r="CO18">
        <f>SOFR3mo_PX[[#This Row],[Column93]]</f>
        <v>95.91</v>
      </c>
      <c r="CP18">
        <f>SOFR3mo_PX[[#This Row],[Column94]]</f>
        <v>95.79</v>
      </c>
      <c r="CQ18">
        <f>SOFR3mo_PX[[#This Row],[Column95]]</f>
        <v>95.935000000000002</v>
      </c>
      <c r="CR18">
        <f>SOFR3mo_PX[[#This Row],[Column96]]</f>
        <v>95.984999999999999</v>
      </c>
      <c r="CS18">
        <f>SOFR3mo_PX[[#This Row],[Column97]]</f>
        <v>95.98</v>
      </c>
      <c r="CT18">
        <f>SOFR3mo_PX[[#This Row],[Column98]]</f>
        <v>96.034999999999997</v>
      </c>
      <c r="CU18">
        <f>SOFR3mo_PX[[#This Row],[Column99]]</f>
        <v>96.09</v>
      </c>
      <c r="CV18">
        <f>SOFR3mo_PX[[#This Row],[Column100]]</f>
        <v>95.984999999999999</v>
      </c>
      <c r="CW18">
        <f>SOFR3mo_PX[[#This Row],[Column101]]</f>
        <v>95.944999999999993</v>
      </c>
      <c r="CX18">
        <f>SOFR3mo_PX[[#This Row],[Column102]]</f>
        <v>95.91</v>
      </c>
      <c r="CY18">
        <f>SOFR3mo_PX[[#This Row],[Column103]]</f>
        <v>95.974999999999994</v>
      </c>
      <c r="CZ18">
        <f>SOFR3mo_PX[[#This Row],[Column104]]</f>
        <v>95.924999999999997</v>
      </c>
      <c r="DA18">
        <f>SOFR3mo_PX[[#This Row],[Column105]]</f>
        <v>95.935000000000002</v>
      </c>
      <c r="DB18">
        <f>SOFR3mo_PX[[#This Row],[Column106]]</f>
        <v>95.954999999999998</v>
      </c>
      <c r="DC18">
        <f>SOFR3mo_PX[[#This Row],[Column107]]</f>
        <v>95.85</v>
      </c>
      <c r="DD18">
        <f>SOFR3mo_PX[[#This Row],[Column108]]</f>
        <v>95.844999999999999</v>
      </c>
      <c r="DE18">
        <f>SOFR3mo_PX[[#This Row],[Column109]]</f>
        <v>95.87</v>
      </c>
      <c r="DF18">
        <f>SOFR3mo_PX[[#This Row],[Column110]]</f>
        <v>95.9</v>
      </c>
      <c r="DG18">
        <f>SOFR3mo_PX[[#This Row],[Column111]]</f>
        <v>95.864999999999995</v>
      </c>
      <c r="DH18">
        <f>SOFR3mo_PX[[#This Row],[Column112]]</f>
        <v>95.864999999999995</v>
      </c>
      <c r="DI18">
        <f>SOFR3mo_PX[[#This Row],[Column113]]</f>
        <v>95.87</v>
      </c>
      <c r="DJ18">
        <f>SOFR3mo_PX[[#This Row],[Column114]]</f>
        <v>95.81</v>
      </c>
      <c r="DK18">
        <f>SOFR3mo_PX[[#This Row],[Column115]]</f>
        <v>95.65</v>
      </c>
      <c r="DL18">
        <f>SOFR3mo_PX[[#This Row],[Column116]]</f>
        <v>95.64</v>
      </c>
      <c r="DM18">
        <f>SOFR3mo_PX[[#This Row],[Column117]]</f>
        <v>95.685000000000002</v>
      </c>
      <c r="DN18">
        <f>SOFR3mo_PX[[#This Row],[Column118]]</f>
        <v>95.81</v>
      </c>
      <c r="DO18">
        <f>SOFR3mo_PX[[#This Row],[Column119]]</f>
        <v>95.79</v>
      </c>
      <c r="DP18">
        <f>SOFR3mo_PX[[#This Row],[Column120]]</f>
        <v>95.8</v>
      </c>
      <c r="DQ18">
        <f>SOFR3mo_PX[[#This Row],[Column121]]</f>
        <v>95.88</v>
      </c>
      <c r="DR18">
        <f>SOFR3mo_PX[[#This Row],[Column122]]</f>
        <v>95.94</v>
      </c>
      <c r="DS18">
        <f>SOFR3mo_PX[[#This Row],[Column123]]</f>
        <v>95.96</v>
      </c>
      <c r="DT18">
        <f>SOFR3mo_PX[[#This Row],[Column124]]</f>
        <v>95.95</v>
      </c>
      <c r="DU18">
        <f>SOFR3mo_PX[[#This Row],[Column125]]</f>
        <v>95.95</v>
      </c>
      <c r="DV18">
        <f>SOFR3mo_PX[[#This Row],[Column126]]</f>
        <v>95.984999999999999</v>
      </c>
      <c r="DW18">
        <f>SOFR3mo_PX[[#This Row],[Column127]]</f>
        <v>95.89</v>
      </c>
      <c r="DX18">
        <f>SOFR3mo_PX[[#This Row],[Column128]]</f>
        <v>95.94</v>
      </c>
      <c r="DY18">
        <f>SOFR3mo_PX[[#This Row],[Column129]]</f>
        <v>95.924999999999997</v>
      </c>
      <c r="DZ18">
        <f>SOFR3mo_PX[[#This Row],[Column130]]</f>
        <v>95.924999999999997</v>
      </c>
      <c r="EA18">
        <f>SOFR3mo_PX[[#This Row],[Column131]]</f>
        <v>95.91</v>
      </c>
      <c r="EB18">
        <f>SOFR3mo_PX[[#This Row],[Column132]]</f>
        <v>96</v>
      </c>
      <c r="EC18">
        <f>SOFR3mo_PX[[#This Row],[Column133]]</f>
        <v>95.935000000000002</v>
      </c>
      <c r="ED18">
        <f>SOFR3mo_PX[[#This Row],[Column134]]</f>
        <v>96.045000000000002</v>
      </c>
      <c r="EE18">
        <f>SOFR3mo_PX[[#This Row],[Column135]]</f>
        <v>96.174999999999997</v>
      </c>
      <c r="EF18">
        <f>SOFR3mo_PX[[#This Row],[Column136]]</f>
        <v>96.165000000000006</v>
      </c>
      <c r="EG18">
        <f>SOFR3mo_PX[[#This Row],[Column137]]</f>
        <v>96.174999999999997</v>
      </c>
      <c r="EH18">
        <f>SOFR3mo_PX[[#This Row],[Column138]]</f>
        <v>96.25</v>
      </c>
      <c r="EI18">
        <f>SOFR3mo_PX[[#This Row],[Column139]]</f>
        <v>96.31</v>
      </c>
      <c r="EJ18">
        <f>SOFR3mo_PX[[#This Row],[Column140]]</f>
        <v>96.37</v>
      </c>
      <c r="EK18">
        <f>SOFR3mo_PX[[#This Row],[Column141]]</f>
        <v>96.394999999999996</v>
      </c>
      <c r="EL18">
        <f>SOFR3mo_PX[[#This Row],[Column142]]</f>
        <v>96.43</v>
      </c>
      <c r="EM18">
        <f>SOFR3mo_PX[[#This Row],[Column143]]</f>
        <v>96.39</v>
      </c>
      <c r="EN18">
        <f>SOFR3mo_PX[[#This Row],[Column144]]</f>
        <v>96.394999999999996</v>
      </c>
      <c r="EO18">
        <f>SOFR3mo_PX[[#This Row],[Column145]]</f>
        <v>96.364999999999995</v>
      </c>
      <c r="EP18">
        <f>SOFR3mo_PX[[#This Row],[Column146]]</f>
        <v>96.4</v>
      </c>
      <c r="EQ18">
        <f>SOFR3mo_PX[[#This Row],[Column147]]</f>
        <v>96.405000000000001</v>
      </c>
      <c r="ER18">
        <f>SOFR3mo_PX[[#This Row],[Column148]]</f>
        <v>96.364999999999995</v>
      </c>
      <c r="ES18">
        <f>SOFR3mo_PX[[#This Row],[Column149]]</f>
        <v>96.364999999999995</v>
      </c>
      <c r="ET18">
        <f>SOFR3mo_PX[[#This Row],[Column150]]</f>
        <v>96.284999999999997</v>
      </c>
      <c r="EU18">
        <f>SOFR3mo_PX[[#This Row],[Column151]]</f>
        <v>96.334999999999994</v>
      </c>
      <c r="EV18">
        <f>SOFR3mo_PX[[#This Row],[Column152]]</f>
        <v>96.194999999999993</v>
      </c>
      <c r="EW18">
        <f>SOFR3mo_PX[[#This Row],[Column153]]</f>
        <v>96.165000000000006</v>
      </c>
      <c r="EX18">
        <f>SOFR3mo_PX[[#This Row],[Column154]]</f>
        <v>96.19</v>
      </c>
      <c r="EY18">
        <f>SOFR3mo_PX[[#This Row],[Column155]]</f>
        <v>96.215000000000003</v>
      </c>
      <c r="EZ18">
        <f>SOFR3mo_PX[[#This Row],[Column156]]</f>
        <v>96.185000000000002</v>
      </c>
      <c r="FA18">
        <f>SOFR3mo_PX[[#This Row],[Column157]]</f>
        <v>96.17</v>
      </c>
      <c r="FB18">
        <f>SOFR3mo_PX[[#This Row],[Column158]]</f>
        <v>96.165000000000006</v>
      </c>
      <c r="FC18">
        <f>SOFR3mo_PX[[#This Row],[Column159]]</f>
        <v>96.144999999999996</v>
      </c>
      <c r="FD18">
        <f>SOFR3mo_PX[[#This Row],[Column160]]</f>
        <v>96.16</v>
      </c>
      <c r="FE18">
        <f>SOFR3mo_PX[[#This Row],[Column161]]</f>
        <v>96.204999999999998</v>
      </c>
      <c r="FF18">
        <f>SOFR3mo_PX[[#This Row],[Column162]]</f>
        <v>96.265000000000001</v>
      </c>
      <c r="FG18">
        <f>SOFR3mo_PX[[#This Row],[Column163]]</f>
        <v>96.24</v>
      </c>
      <c r="FH18">
        <f>SOFR3mo_PX[[#This Row],[Column164]]</f>
        <v>96.155000000000001</v>
      </c>
      <c r="FI18">
        <f>SOFR3mo_PX[[#This Row],[Column165]]</f>
        <v>96.305000000000007</v>
      </c>
      <c r="FJ18">
        <f>SOFR3mo_PX[[#This Row],[Column166]]</f>
        <v>96.284999999999997</v>
      </c>
      <c r="FK18">
        <f>SOFR3mo_PX[[#This Row],[Column167]]</f>
        <v>96.24</v>
      </c>
      <c r="FL18">
        <f>SOFR3mo_PX[[#This Row],[Column168]]</f>
        <v>96.295000000000002</v>
      </c>
      <c r="FM18">
        <f>SOFR3mo_PX[[#This Row],[Column169]]</f>
        <v>96.314999999999998</v>
      </c>
      <c r="FN18">
        <f>SOFR3mo_PX[[#This Row],[Column170]]</f>
        <v>96.325000000000003</v>
      </c>
      <c r="FO18">
        <f>SOFR3mo_PX[[#This Row],[Column171]]</f>
        <v>96.314999999999998</v>
      </c>
      <c r="FP18">
        <f>SOFR3mo_PX[[#This Row],[Column172]]</f>
        <v>96.36</v>
      </c>
      <c r="FQ18">
        <f>SOFR3mo_PX[[#This Row],[Column173]]</f>
        <v>96.385000000000005</v>
      </c>
      <c r="FR18">
        <f>SOFR3mo_PX[[#This Row],[Column174]]</f>
        <v>96.334999999999994</v>
      </c>
      <c r="FS18">
        <f>SOFR3mo_PX[[#This Row],[Column175]]</f>
        <v>96.39</v>
      </c>
      <c r="FT18">
        <f>SOFR3mo_PX[[#This Row],[Column176]]</f>
        <v>96.415000000000006</v>
      </c>
      <c r="FU18">
        <f>SOFR3mo_PX[[#This Row],[Column177]]</f>
        <v>96.53</v>
      </c>
      <c r="FV18">
        <f>SOFR3mo_PX[[#This Row],[Column178]]</f>
        <v>96.51</v>
      </c>
      <c r="FW18">
        <f>SOFR3mo_PX[[#This Row],[Column179]]</f>
        <v>96.584999999999994</v>
      </c>
      <c r="FX18">
        <f>SOFR3mo_PX[[#This Row],[Column180]]</f>
        <v>96.57</v>
      </c>
      <c r="FY18">
        <f>SOFR3mo_PX[[#This Row],[Column181]]</f>
        <v>96.484999999999999</v>
      </c>
      <c r="FZ18">
        <f>SOFR3mo_PX[[#This Row],[Column182]]</f>
        <v>96.534999999999997</v>
      </c>
      <c r="GA18">
        <f>SOFR3mo_PX[[#This Row],[Column183]]</f>
        <v>96.515000000000001</v>
      </c>
      <c r="GB18">
        <f>SOFR3mo_PX[[#This Row],[Column184]]</f>
        <v>96.545000000000002</v>
      </c>
      <c r="GC18">
        <f>SOFR3mo_PX[[#This Row],[Column185]]</f>
        <v>96.58</v>
      </c>
      <c r="GD18">
        <f>SOFR3mo_PX[[#This Row],[Column186]]</f>
        <v>96.59</v>
      </c>
      <c r="GE18">
        <f>SOFR3mo_PX[[#This Row],[Column187]]</f>
        <v>96.625</v>
      </c>
      <c r="GF18">
        <f>SOFR3mo_PX[[#This Row],[Column188]]</f>
        <v>96.745000000000005</v>
      </c>
      <c r="GG18">
        <f>SOFR3mo_PX[[#This Row],[Column189]]</f>
        <v>96.82</v>
      </c>
      <c r="GH18">
        <f>SOFR3mo_PX[[#This Row],[Column190]]</f>
        <v>96.86</v>
      </c>
      <c r="GI18">
        <f>SOFR3mo_PX[[#This Row],[Column191]]</f>
        <v>96.784999999999997</v>
      </c>
      <c r="GJ18">
        <f>SOFR3mo_PX[[#This Row],[Column192]]</f>
        <v>96.83</v>
      </c>
      <c r="GK18">
        <f>SOFR3mo_PX[[#This Row],[Column193]]</f>
        <v>96.795000000000002</v>
      </c>
      <c r="GL18">
        <f>SOFR3mo_PX[[#This Row],[Column194]]</f>
        <v>96.795000000000002</v>
      </c>
      <c r="GM18">
        <f>SOFR3mo_PX[[#This Row],[Column195]]</f>
        <v>96.834999999999994</v>
      </c>
      <c r="GN18">
        <f>SOFR3mo_PX[[#This Row],[Column196]]</f>
        <v>96.83</v>
      </c>
      <c r="GO18">
        <f>SOFR3mo_PX[[#This Row],[Column197]]</f>
        <v>96.85</v>
      </c>
      <c r="GP18">
        <f>SOFR3mo_PX[[#This Row],[Column198]]</f>
        <v>96.844999999999999</v>
      </c>
      <c r="GQ18">
        <f>SOFR3mo_PX[[#This Row],[Column199]]</f>
        <v>96.91</v>
      </c>
      <c r="GR18">
        <f>SOFR3mo_PX[[#This Row],[Column200]]</f>
        <v>96.99</v>
      </c>
      <c r="GS18">
        <f>SOFR3mo_PX[[#This Row],[Column201]]</f>
        <v>97.004999999999995</v>
      </c>
      <c r="GT18">
        <f>SOFR3mo_PX[[#This Row],[Column202]]</f>
        <v>96.995000000000005</v>
      </c>
      <c r="GU18">
        <f>SOFR3mo_PX[[#This Row],[Column203]]</f>
        <v>96.984999999999999</v>
      </c>
      <c r="GV18">
        <f>SOFR3mo_PX[[#This Row],[Column204]]</f>
        <v>97.02</v>
      </c>
      <c r="GW18">
        <f>SOFR3mo_PX[[#This Row],[Column205]]</f>
        <v>97.025000000000006</v>
      </c>
      <c r="GX18">
        <f>SOFR3mo_PX[[#This Row],[Column206]]</f>
        <v>96.965000000000003</v>
      </c>
      <c r="GY18">
        <f>SOFR3mo_PX[[#This Row],[Column207]]</f>
        <v>96.944999999999993</v>
      </c>
      <c r="GZ18">
        <f>SOFR3mo_PX[[#This Row],[Column208]]</f>
        <v>96.93</v>
      </c>
      <c r="HA18">
        <f>SOFR3mo_PX[[#This Row],[Column209]]</f>
        <v>96.9</v>
      </c>
      <c r="HB18">
        <f>SOFR3mo_PX[[#This Row],[Column210]]</f>
        <v>96.84</v>
      </c>
      <c r="HC18">
        <f>SOFR3mo_PX[[#This Row],[Column211]]</f>
        <v>96.76</v>
      </c>
      <c r="HD18">
        <f>SOFR3mo_PX[[#This Row],[Column212]]</f>
        <v>96.76</v>
      </c>
      <c r="HE18">
        <f>SOFR3mo_PX[[#This Row],[Column213]]</f>
        <v>96.81</v>
      </c>
      <c r="HF18">
        <f>SOFR3mo_PX[[#This Row],[Column214]]</f>
        <v>96.83</v>
      </c>
      <c r="HG18">
        <f>SOFR3mo_PX[[#This Row],[Column215]]</f>
        <v>96.84</v>
      </c>
      <c r="HH18">
        <f>SOFR3mo_PX[[#This Row],[Column216]]</f>
        <v>96.85</v>
      </c>
      <c r="HI18">
        <f>SOFR3mo_PX[[#This Row],[Column217]]</f>
        <v>96.85</v>
      </c>
      <c r="HJ18">
        <f>SOFR3mo_PX[[#This Row],[Column218]]</f>
        <v>96.78</v>
      </c>
      <c r="HK18">
        <f>SOFR3mo_PX[[#This Row],[Column219]]</f>
        <v>96.864999999999995</v>
      </c>
      <c r="HL18">
        <f>SOFR3mo_PX[[#This Row],[Column220]]</f>
        <v>96.83</v>
      </c>
      <c r="HM18">
        <f>SOFR3mo_PX[[#This Row],[Column221]]</f>
        <v>96.775000000000006</v>
      </c>
      <c r="HN18">
        <f>SOFR3mo_PX[[#This Row],[Column222]]</f>
        <v>96.75</v>
      </c>
      <c r="HO18">
        <f>SOFR3mo_PX[[#This Row],[Column223]]</f>
        <v>96.724999999999994</v>
      </c>
      <c r="HP18">
        <f>SOFR3mo_PX[[#This Row],[Column224]]</f>
        <v>96.83</v>
      </c>
      <c r="HQ18">
        <f>SOFR3mo_PX[[#This Row],[Column225]]</f>
        <v>96.8</v>
      </c>
      <c r="HR18">
        <f>SOFR3mo_PX[[#This Row],[Column226]]</f>
        <v>96.754999999999995</v>
      </c>
      <c r="HS18">
        <f>SOFR3mo_PX[[#This Row],[Column227]]</f>
        <v>96.71</v>
      </c>
      <c r="HT18">
        <f>SOFR3mo_PX[[#This Row],[Column228]]</f>
        <v>96.644999999999996</v>
      </c>
      <c r="HU18">
        <f>SOFR3mo_PX[[#This Row],[Column229]]</f>
        <v>96.674999999999997</v>
      </c>
      <c r="HV18">
        <f>SOFR3mo_PX[[#This Row],[Column230]]</f>
        <v>96.754999999999995</v>
      </c>
      <c r="HW18">
        <f>SOFR3mo_PX[[#This Row],[Column231]]</f>
        <v>96.844999999999999</v>
      </c>
      <c r="HX18">
        <f>SOFR3mo_PX[[#This Row],[Column232]]</f>
        <v>96.864999999999995</v>
      </c>
      <c r="HY18">
        <f>SOFR3mo_PX[[#This Row],[Column233]]</f>
        <v>96.694999999999993</v>
      </c>
      <c r="HZ18">
        <f>SOFR3mo_PX[[#This Row],[Column234]]</f>
        <v>96.58</v>
      </c>
      <c r="IA18">
        <f>SOFR3mo_PX[[#This Row],[Column235]]</f>
        <v>96.55</v>
      </c>
      <c r="IB18">
        <f>SOFR3mo_PX[[#This Row],[Column236]]</f>
        <v>96.515000000000001</v>
      </c>
      <c r="IC18">
        <f>SOFR3mo_PX[[#This Row],[Column237]]</f>
        <v>96.495000000000005</v>
      </c>
      <c r="ID18">
        <f>SOFR3mo_PX[[#This Row],[Column238]]</f>
        <v>96.435000000000002</v>
      </c>
      <c r="IE18">
        <f>SOFR3mo_PX[[#This Row],[Column239]]</f>
        <v>96.405000000000001</v>
      </c>
      <c r="IF18">
        <f>SOFR3mo_PX[[#This Row],[Column240]]</f>
        <v>96.44</v>
      </c>
      <c r="IG18">
        <f>SOFR3mo_PX[[#This Row],[Column241]]</f>
        <v>96.42</v>
      </c>
      <c r="IH18">
        <f>SOFR3mo_PX[[#This Row],[Column242]]</f>
        <v>96.424999999999997</v>
      </c>
      <c r="II18">
        <f>SOFR3mo_PX[[#This Row],[Column243]]</f>
        <v>96.48</v>
      </c>
      <c r="IJ18">
        <f>SOFR3mo_PX[[#This Row],[Column244]]</f>
        <v>96.53</v>
      </c>
      <c r="IK18">
        <f>SOFR3mo_PX[[#This Row],[Column245]]</f>
        <v>96.5</v>
      </c>
      <c r="IL18">
        <f>SOFR3mo_PX[[#This Row],[Column246]]</f>
        <v>96.444999999999993</v>
      </c>
      <c r="IM18">
        <f>SOFR3mo_PX[[#This Row],[Column247]]</f>
        <v>96.484999999999999</v>
      </c>
      <c r="IN18">
        <f>SOFR3mo_PX[[#This Row],[Column248]]</f>
        <v>96.5</v>
      </c>
      <c r="IO18">
        <f>SOFR3mo_PX[[#This Row],[Column249]]</f>
        <v>96.394999999999996</v>
      </c>
      <c r="IP18">
        <f>SOFR3mo_PX[[#This Row],[Column250]]</f>
        <v>96.37</v>
      </c>
      <c r="IQ18">
        <f>SOFR3mo_PX[[#This Row],[Column251]]</f>
        <v>96.405000000000001</v>
      </c>
      <c r="IR18">
        <f>SOFR3mo_PX[[#This Row],[Column252]]</f>
        <v>96.405000000000001</v>
      </c>
      <c r="IS18">
        <f>SOFR3mo_PX[[#This Row],[Column253]]</f>
        <v>96.32</v>
      </c>
      <c r="IT18">
        <f>SOFR3mo_PX[[#This Row],[Column254]]</f>
        <v>96.32</v>
      </c>
      <c r="IU18">
        <f>SOFR3mo_PX[[#This Row],[Column255]]</f>
        <v>96.215000000000003</v>
      </c>
      <c r="IV18">
        <f>SOFR3mo_PX[[#This Row],[Column256]]</f>
        <v>96.16</v>
      </c>
      <c r="IW18">
        <f>SOFR3mo_PX[[#This Row],[Column257]]</f>
        <v>96.325000000000003</v>
      </c>
      <c r="IX18">
        <f>SOFR3mo_PX[[#This Row],[Column258]]</f>
        <v>96.37</v>
      </c>
      <c r="IY18">
        <f>SOFR3mo_PX[[#This Row],[Column259]]</f>
        <v>96.34</v>
      </c>
      <c r="IZ18">
        <f>SOFR3mo_PX[[#This Row],[Column260]]</f>
        <v>96.43</v>
      </c>
      <c r="JA18">
        <f>SOFR3mo_PX[[#This Row],[Column261]]</f>
        <v>96.42</v>
      </c>
      <c r="JB18">
        <f>SOFR3mo_PX[[#This Row],[Column262]]</f>
        <v>96.4</v>
      </c>
      <c r="JC18">
        <f>SOFR3mo_PX[[#This Row],[Column263]]</f>
        <v>96.405000000000001</v>
      </c>
      <c r="JD18">
        <f>SOFR3mo_PX[[#This Row],[Column264]]</f>
        <v>96.45</v>
      </c>
      <c r="JE18">
        <f>SOFR3mo_PX[[#This Row],[Column265]]</f>
        <v>96.45</v>
      </c>
      <c r="JF18">
        <f>SOFR3mo_PX[[#This Row],[Column266]]</f>
        <v>96.38</v>
      </c>
      <c r="JG18">
        <f>SOFR3mo_PX[[#This Row],[Column267]]</f>
        <v>96.454999999999998</v>
      </c>
      <c r="JH18">
        <f>SOFR3mo_PX[[#This Row],[Column268]]</f>
        <v>96.424999999999997</v>
      </c>
      <c r="JI18">
        <f>SOFR3mo_PX[[#This Row],[Column269]]</f>
        <v>96.35</v>
      </c>
      <c r="JJ18">
        <f>SOFR3mo_PX[[#This Row],[Column270]]</f>
        <v>96.234999999999999</v>
      </c>
      <c r="JK18">
        <f>SOFR3mo_PX[[#This Row],[Column271]]</f>
        <v>96.155000000000001</v>
      </c>
      <c r="JL18">
        <f>SOFR3mo_PX[[#This Row],[Column272]]</f>
        <v>96.204999999999998</v>
      </c>
      <c r="JM18">
        <f>SOFR3mo_PX[[#This Row],[Column273]]</f>
        <v>96.36</v>
      </c>
      <c r="JN18">
        <f>SOFR3mo_PX[[#This Row],[Column274]]</f>
        <v>96.344999999999999</v>
      </c>
      <c r="JO18">
        <f>SOFR3mo_PX[[#This Row],[Column275]]</f>
        <v>96.31</v>
      </c>
      <c r="JP18">
        <f>SOFR3mo_PX[[#This Row],[Column276]]</f>
        <v>96.224999999999994</v>
      </c>
      <c r="JQ18">
        <f>SOFR3mo_PX[[#This Row],[Column277]]</f>
        <v>96.105000000000004</v>
      </c>
      <c r="JR18">
        <f>SOFR3mo_PX[[#This Row],[Column278]]</f>
        <v>96.055000000000007</v>
      </c>
      <c r="JS18">
        <f>SOFR3mo_PX[[#This Row],[Column279]]</f>
        <v>95.98</v>
      </c>
      <c r="JT18">
        <f>SOFR3mo_PX[[#This Row],[Column280]]</f>
        <v>96.07</v>
      </c>
      <c r="JU18">
        <f>SOFR3mo_PX[[#This Row],[Column281]]</f>
        <v>96.144999999999996</v>
      </c>
      <c r="JV18">
        <f>SOFR3mo_PX[[#This Row],[Column282]]</f>
        <v>96.144999999999996</v>
      </c>
      <c r="JW18">
        <f>SOFR3mo_PX[[#This Row],[Column283]]</f>
        <v>96.14</v>
      </c>
      <c r="JX18">
        <f>SOFR3mo_PX[[#This Row],[Column284]]</f>
        <v>96.185000000000002</v>
      </c>
      <c r="JY18">
        <f>SOFR3mo_PX[[#This Row],[Column285]]</f>
        <v>96.2</v>
      </c>
      <c r="JZ18">
        <f>SOFR3mo_PX[[#This Row],[Column286]]</f>
        <v>96.174999999999997</v>
      </c>
      <c r="KA18">
        <f>SOFR3mo_PX[[#This Row],[Column287]]</f>
        <v>96.185000000000002</v>
      </c>
      <c r="KB18">
        <f>SOFR3mo_PX[[#This Row],[Column288]]</f>
        <v>96.23</v>
      </c>
      <c r="KC18">
        <f>SOFR3mo_PX[[#This Row],[Column289]]</f>
        <v>96.254999999999995</v>
      </c>
      <c r="KD18">
        <f>SOFR3mo_PX[[#This Row],[Column290]]</f>
        <v>96.155000000000001</v>
      </c>
      <c r="KE18">
        <f>SOFR3mo_PX[[#This Row],[Column291]]</f>
        <v>96.114999999999995</v>
      </c>
      <c r="KF18">
        <f>SOFR3mo_PX[[#This Row],[Column292]]</f>
        <v>96.084999999999994</v>
      </c>
      <c r="KG18">
        <f>SOFR3mo_PX[[#This Row],[Column293]]</f>
        <v>96.135000000000005</v>
      </c>
      <c r="KH18">
        <f>SOFR3mo_PX[[#This Row],[Column294]]</f>
        <v>96.1</v>
      </c>
      <c r="KI18">
        <f>SOFR3mo_PX[[#This Row],[Column295]]</f>
        <v>96.144999999999996</v>
      </c>
      <c r="KJ18">
        <f>SOFR3mo_PX[[#This Row],[Column296]]</f>
        <v>96.114999999999995</v>
      </c>
      <c r="KK18">
        <f>SOFR3mo_PX[[#This Row],[Column297]]</f>
        <v>96.1</v>
      </c>
      <c r="KL18">
        <f>SOFR3mo_PX[[#This Row],[Column298]]</f>
        <v>96.01</v>
      </c>
      <c r="KM18">
        <f>SOFR3mo_PX[[#This Row],[Column299]]</f>
        <v>95.984999999999999</v>
      </c>
      <c r="KN18">
        <f>SOFR3mo_PX[[#This Row],[Column300]]</f>
        <v>95.89</v>
      </c>
      <c r="KO18">
        <f>SOFR3mo_PX[[#This Row],[Column301]]</f>
        <v>95.965000000000003</v>
      </c>
      <c r="KP18">
        <f>SOFR3mo_PX[[#This Row],[Column302]]</f>
        <v>95.894999999999996</v>
      </c>
      <c r="KQ18">
        <f>SOFR3mo_PX[[#This Row],[Column303]]</f>
        <v>95.855000000000004</v>
      </c>
      <c r="KR18">
        <f>SOFR3mo_PX[[#This Row],[Column304]]</f>
        <v>95.91</v>
      </c>
      <c r="KS18">
        <f>SOFR3mo_PX[[#This Row],[Column305]]</f>
        <v>95.974999999999994</v>
      </c>
      <c r="KT18">
        <f>SOFR3mo_PX[[#This Row],[Column306]]</f>
        <v>95.944999999999993</v>
      </c>
      <c r="KU18">
        <f>SOFR3mo_PX[[#This Row],[Column307]]</f>
        <v>95.954999999999998</v>
      </c>
      <c r="KV18">
        <f>SOFR3mo_PX[[#This Row],[Column308]]</f>
        <v>95.93</v>
      </c>
      <c r="KW18">
        <f>SOFR3mo_PX[[#This Row],[Column309]]</f>
        <v>95.995000000000005</v>
      </c>
      <c r="KX18">
        <f>SOFR3mo_PX[[#This Row],[Column310]]</f>
        <v>95.92</v>
      </c>
      <c r="KY18">
        <f>SOFR3mo_PX[[#This Row],[Column311]]</f>
        <v>95.96</v>
      </c>
      <c r="KZ18">
        <f>SOFR3mo_PX[[#This Row],[Column312]]</f>
        <v>96.105000000000004</v>
      </c>
      <c r="LA18">
        <f>SOFR3mo_PX[[#This Row],[Column313]]</f>
        <v>96.015000000000001</v>
      </c>
      <c r="LB18">
        <f>SOFR3mo_PX[[#This Row],[Column314]]</f>
        <v>96.034999999999997</v>
      </c>
      <c r="LC18">
        <f>SOFR3mo_PX[[#This Row],[Column315]]</f>
        <v>96.22</v>
      </c>
      <c r="LD18">
        <f>SOFR3mo_PX[[#This Row],[Column316]]</f>
        <v>96.16</v>
      </c>
      <c r="LE18">
        <f>SOFR3mo_PX[[#This Row],[Column317]]</f>
        <v>96.22</v>
      </c>
      <c r="LF18">
        <f>SOFR3mo_PX[[#This Row],[Column318]]</f>
        <v>96.28</v>
      </c>
      <c r="LG18">
        <f>SOFR3mo_PX[[#This Row],[Column319]]</f>
        <v>96.24</v>
      </c>
      <c r="LH18">
        <f>SOFR3mo_PX[[#This Row],[Column320]]</f>
        <v>96.22</v>
      </c>
      <c r="LI18">
        <f>SOFR3mo_PX[[#This Row],[Column321]]</f>
        <v>96.25</v>
      </c>
      <c r="LJ18">
        <f>SOFR3mo_PX[[#This Row],[Column322]]</f>
        <v>96.405000000000001</v>
      </c>
      <c r="LK18">
        <f>SOFR3mo_PX[[#This Row],[Column323]]</f>
        <v>96.405000000000001</v>
      </c>
      <c r="LL18">
        <f>SOFR3mo_PX[[#This Row],[Column324]]</f>
        <v>96.385000000000005</v>
      </c>
      <c r="LM18">
        <f>SOFR3mo_PX[[#This Row],[Column325]]</f>
        <v>96.344999999999999</v>
      </c>
      <c r="LN18">
        <f>SOFR3mo_PX[[#This Row],[Column326]]</f>
        <v>96.32</v>
      </c>
      <c r="LO18">
        <f>SOFR3mo_PX[[#This Row],[Column327]]</f>
        <v>96.355000000000004</v>
      </c>
      <c r="LP18">
        <f>SOFR3mo_PX[[#This Row],[Column328]]</f>
        <v>96.295000000000002</v>
      </c>
      <c r="LQ18">
        <f>SOFR3mo_PX[[#This Row],[Column329]]</f>
        <v>96.3</v>
      </c>
      <c r="LR18">
        <f>SOFR3mo_PX[[#This Row],[Column330]]</f>
        <v>96.3</v>
      </c>
      <c r="LS18">
        <f>SOFR3mo_PX[[#This Row],[Column331]]</f>
        <v>96.245000000000005</v>
      </c>
      <c r="LT18">
        <f>SOFR3mo_PX[[#This Row],[Column332]]</f>
        <v>96.284999999999997</v>
      </c>
      <c r="LU18">
        <f>SOFR3mo_PX[[#This Row],[Column333]]</f>
        <v>96.3</v>
      </c>
      <c r="LV18">
        <f>SOFR3mo_PX[[#This Row],[Column334]]</f>
        <v>96.44</v>
      </c>
      <c r="LW18">
        <f>SOFR3mo_PX[[#This Row],[Column335]]</f>
        <v>96.454999999999998</v>
      </c>
      <c r="LX18">
        <f>SOFR3mo_PX[[#This Row],[Column336]]</f>
        <v>96.52</v>
      </c>
      <c r="LY18">
        <f>SOFR3mo_PX[[#This Row],[Column337]]</f>
        <v>96.53</v>
      </c>
      <c r="LZ18">
        <f>SOFR3mo_PX[[#This Row],[Column338]]</f>
        <v>96.52</v>
      </c>
      <c r="MA18">
        <f>SOFR3mo_PX[[#This Row],[Column339]]</f>
        <v>96.504999999999995</v>
      </c>
      <c r="MB18">
        <f>SOFR3mo_PX[[#This Row],[Column340]]</f>
        <v>96.474999999999994</v>
      </c>
      <c r="MC18">
        <f>SOFR3mo_PX[[#This Row],[Column341]]</f>
        <v>96.385000000000005</v>
      </c>
      <c r="MD18">
        <f>SOFR3mo_PX[[#This Row],[Column342]]</f>
        <v>96.415000000000006</v>
      </c>
      <c r="ME18">
        <f>SOFR3mo_PX[[#This Row],[Column343]]</f>
        <v>96.33</v>
      </c>
      <c r="MF18">
        <f>SOFR3mo_PX[[#This Row],[Column344]]</f>
        <v>96.325000000000003</v>
      </c>
      <c r="MG18">
        <f>SOFR3mo_PX[[#This Row],[Column345]]</f>
        <v>96.3</v>
      </c>
      <c r="MH18">
        <f>SOFR3mo_PX[[#This Row],[Column346]]</f>
        <v>96.31</v>
      </c>
      <c r="MI18">
        <f>SOFR3mo_PX[[#This Row],[Column347]]</f>
        <v>96.32</v>
      </c>
      <c r="MJ18">
        <f>SOFR3mo_PX[[#This Row],[Column348]]</f>
        <v>96.245000000000005</v>
      </c>
      <c r="MK18">
        <f>SOFR3mo_PX[[#This Row],[Column349]]</f>
        <v>96.245000000000005</v>
      </c>
      <c r="ML18">
        <f>SOFR3mo_PX[[#This Row],[Column350]]</f>
        <v>96.29</v>
      </c>
      <c r="MM18">
        <f>SOFR3mo_PX[[#This Row],[Column351]]</f>
        <v>96.26</v>
      </c>
      <c r="MN18">
        <f>SOFR3mo_PX[[#This Row],[Column352]]</f>
        <v>96.26</v>
      </c>
      <c r="MO18">
        <f>SOFR3mo_PX[[#This Row],[Column353]]</f>
        <v>96.314999999999998</v>
      </c>
      <c r="MP18">
        <f>SOFR3mo_PX[[#This Row],[Column354]]</f>
        <v>96.284999999999997</v>
      </c>
      <c r="MQ18">
        <f>SOFR3mo_PX[[#This Row],[Column355]]</f>
        <v>96.224999999999994</v>
      </c>
      <c r="MR18">
        <f>SOFR3mo_PX[[#This Row],[Column356]]</f>
        <v>96.4</v>
      </c>
      <c r="MS18">
        <f>SOFR3mo_PX[[#This Row],[Column357]]</f>
        <v>96.37</v>
      </c>
      <c r="MT18">
        <f>SOFR3mo_PX[[#This Row],[Column358]]</f>
        <v>96.394999999999996</v>
      </c>
      <c r="MU18">
        <f>SOFR3mo_PX[[#This Row],[Column359]]</f>
        <v>96.48</v>
      </c>
      <c r="MV18">
        <f>SOFR3mo_PX[[#This Row],[Column360]]</f>
        <v>96.5</v>
      </c>
      <c r="MW18">
        <f>SOFR3mo_PX[[#This Row],[Column361]]</f>
        <v>96.405000000000001</v>
      </c>
      <c r="MX18">
        <f>SOFR3mo_PX[[#This Row],[Column362]]</f>
        <v>96.54</v>
      </c>
      <c r="MY18">
        <f>SOFR3mo_PX[[#This Row],[Column363]]</f>
        <v>96.724999999999994</v>
      </c>
      <c r="MZ18">
        <f>SOFR3mo_PX[[#This Row],[Column364]]</f>
        <v>96.625</v>
      </c>
      <c r="NA18">
        <f>SOFR3mo_PX[[#This Row],[Column365]]</f>
        <v>96.53</v>
      </c>
      <c r="NB18">
        <f>SOFR3mo_PX[[#This Row],[Column366]]</f>
        <v>96.495000000000005</v>
      </c>
      <c r="NC18">
        <f>SOFR3mo_PX[[#This Row],[Column367]]</f>
        <v>96.415000000000006</v>
      </c>
      <c r="ND18">
        <f>SOFR3mo_PX[[#This Row],[Column368]]</f>
        <v>96.44</v>
      </c>
      <c r="NE18">
        <f>SOFR3mo_PX[[#This Row],[Column369]]</f>
        <v>96.39</v>
      </c>
      <c r="NF18">
        <f>SOFR3mo_PX[[#This Row],[Column370]]</f>
        <v>96.44</v>
      </c>
      <c r="NG18">
        <f>SOFR3mo_PX[[#This Row],[Column371]]</f>
        <v>96.484999999999999</v>
      </c>
      <c r="NH18">
        <f>SOFR3mo_PX[[#This Row],[Column372]]</f>
        <v>96.42</v>
      </c>
      <c r="NI18">
        <f>SOFR3mo_PX[[#This Row],[Column373]]</f>
        <v>96.424999999999997</v>
      </c>
      <c r="NJ18">
        <f>SOFR3mo_PX[[#This Row],[Column374]]</f>
        <v>96.48</v>
      </c>
      <c r="NK18">
        <f>SOFR3mo_PX[[#This Row],[Column375]]</f>
        <v>96.525000000000006</v>
      </c>
      <c r="NL18">
        <f>SOFR3mo_PX[[#This Row],[Column376]]</f>
        <v>96.65</v>
      </c>
      <c r="NM18">
        <f>SOFR3mo_PX[[#This Row],[Column377]]</f>
        <v>96.65</v>
      </c>
      <c r="NN18">
        <f>SOFR3mo_PX[[#This Row],[Column378]]</f>
        <v>96.644999999999996</v>
      </c>
      <c r="NO18">
        <f>SOFR3mo_PX[[#This Row],[Column379]]</f>
        <v>96.57</v>
      </c>
      <c r="NP18">
        <f>SOFR3mo_PX[[#This Row],[Column380]]</f>
        <v>96.58</v>
      </c>
      <c r="NQ18">
        <f>SOFR3mo_PX[[#This Row],[Column381]]</f>
        <v>96.594999999999999</v>
      </c>
      <c r="NR18">
        <f>SOFR3mo_PX[[#This Row],[Column382]]</f>
        <v>96.58</v>
      </c>
      <c r="NS18">
        <f>SOFR3mo_PX[[#This Row],[Column383]]</f>
        <v>96.63</v>
      </c>
      <c r="NT18">
        <f>SOFR3mo_PX[[#This Row],[Column384]]</f>
        <v>96.734999999999999</v>
      </c>
      <c r="NU18">
        <f>SOFR3mo_PX[[#This Row],[Column385]]</f>
        <v>96.694999999999993</v>
      </c>
      <c r="NV18">
        <f>SOFR3mo_PX[[#This Row],[Column386]]</f>
        <v>96.775000000000006</v>
      </c>
      <c r="NW18">
        <f>SOFR3mo_PX[[#This Row],[Column387]]</f>
        <v>96.775000000000006</v>
      </c>
      <c r="NX18">
        <f>SOFR3mo_PX[[#This Row],[Column388]]</f>
        <v>96.775000000000006</v>
      </c>
      <c r="NY18">
        <f>SOFR3mo_PX[[#This Row],[Column389]]</f>
        <v>96.83</v>
      </c>
      <c r="NZ18">
        <f>SOFR3mo_PX[[#This Row],[Column390]]</f>
        <v>96.724999999999994</v>
      </c>
      <c r="OA18">
        <f>SOFR3mo_PX[[#This Row],[Column391]]</f>
        <v>96.7</v>
      </c>
      <c r="OB18">
        <f>SOFR3mo_PX[[#This Row],[Column392]]</f>
        <v>96.7</v>
      </c>
      <c r="OC18">
        <f>SOFR3mo_PX[[#This Row],[Column393]]</f>
        <v>96.72</v>
      </c>
      <c r="OD18">
        <f>SOFR3mo_PX[[#This Row],[Column394]]</f>
        <v>96.734999999999999</v>
      </c>
      <c r="OE18">
        <f>SOFR3mo_PX[[#This Row],[Column395]]</f>
        <v>96.694999999999993</v>
      </c>
      <c r="OF18">
        <f>SOFR3mo_PX[[#This Row],[Column396]]</f>
        <v>96.67</v>
      </c>
      <c r="OG18">
        <f>SOFR3mo_PX[[#This Row],[Column397]]</f>
        <v>96.7</v>
      </c>
      <c r="OH18">
        <f>SOFR3mo_PX[[#This Row],[Column398]]</f>
        <v>96.685000000000002</v>
      </c>
      <c r="OI18">
        <f>SOFR3mo_PX[[#This Row],[Column399]]</f>
        <v>96.594999999999999</v>
      </c>
      <c r="OJ18">
        <f>SOFR3mo_PX[[#This Row],[Column400]]</f>
        <v>96.435000000000002</v>
      </c>
      <c r="OK18">
        <f>SOFR3mo_PX[[#This Row],[Column401]]</f>
        <v>96.385000000000005</v>
      </c>
      <c r="OL18">
        <f>SOFR3mo_PX[[#This Row],[Column402]]</f>
        <v>96.394999999999996</v>
      </c>
      <c r="OM18">
        <f>SOFR3mo_PX[[#This Row],[Column403]]</f>
        <v>96.525000000000006</v>
      </c>
      <c r="ON18">
        <f>SOFR3mo_PX[[#This Row],[Column404]]</f>
        <v>96.53</v>
      </c>
      <c r="OO18">
        <f>SOFR3mo_PX[[#This Row],[Column405]]</f>
        <v>96.484999999999999</v>
      </c>
      <c r="OP18">
        <f>SOFR3mo_PX[[#This Row],[Column406]]</f>
        <v>96.37</v>
      </c>
      <c r="OQ18">
        <f>SOFR3mo_PX[[#This Row],[Column407]]</f>
        <v>96.424999999999997</v>
      </c>
      <c r="OR18">
        <f>SOFR3mo_PX[[#This Row],[Column408]]</f>
        <v>96.31</v>
      </c>
      <c r="OS18">
        <f>SOFR3mo_PX[[#This Row],[Column409]]</f>
        <v>96.394999999999996</v>
      </c>
      <c r="OT18">
        <f>SOFR3mo_PX[[#This Row],[Column410]]</f>
        <v>96.35</v>
      </c>
      <c r="OU18">
        <f>SOFR3mo_PX[[#This Row],[Column411]]</f>
        <v>96.254999999999995</v>
      </c>
      <c r="OV18">
        <f>SOFR3mo_PX[[#This Row],[Column412]]</f>
        <v>96.14</v>
      </c>
      <c r="OW18">
        <f>SOFR3mo_PX[[#This Row],[Column413]]</f>
        <v>96.204999999999998</v>
      </c>
      <c r="OX18">
        <f>SOFR3mo_PX[[#This Row],[Column414]]</f>
        <v>96.204999999999998</v>
      </c>
      <c r="OY18">
        <f>SOFR3mo_PX[[#This Row],[Column415]]</f>
        <v>96.22</v>
      </c>
      <c r="OZ18">
        <f>SOFR3mo_PX[[#This Row],[Column416]]</f>
        <v>96.21</v>
      </c>
      <c r="PA18">
        <f>SOFR3mo_PX[[#This Row],[Column417]]</f>
        <v>96.174999999999997</v>
      </c>
      <c r="PB18">
        <f>SOFR3mo_PX[[#This Row],[Column418]]</f>
        <v>96.18</v>
      </c>
      <c r="PC18">
        <f>SOFR3mo_PX[[#This Row],[Column419]]</f>
        <v>96.07</v>
      </c>
      <c r="PD18">
        <f>SOFR3mo_PX[[#This Row],[Column420]]</f>
        <v>96.165000000000006</v>
      </c>
      <c r="PE18">
        <f>SOFR3mo_PX[[#This Row],[Column421]]</f>
        <v>95.944999999999993</v>
      </c>
      <c r="PF18">
        <f>SOFR3mo_PX[[#This Row],[Column422]]</f>
        <v>95.954999999999998</v>
      </c>
      <c r="PG18">
        <f>SOFR3mo_PX[[#This Row],[Column423]]</f>
        <v>95.974999999999994</v>
      </c>
      <c r="PH18">
        <f>SOFR3mo_PX[[#This Row],[Column424]]</f>
        <v>96.1</v>
      </c>
      <c r="PI18">
        <f>SOFR3mo_PX[[#This Row],[Column425]]</f>
        <v>96.05</v>
      </c>
      <c r="PJ18">
        <f>SOFR3mo_PX[[#This Row],[Column426]]</f>
        <v>95.95</v>
      </c>
      <c r="PK18">
        <f>SOFR3mo_PX[[#This Row],[Column427]]</f>
        <v>96.064999999999998</v>
      </c>
      <c r="PL18">
        <f>SOFR3mo_PX[[#This Row],[Column428]]</f>
        <v>95.924999999999997</v>
      </c>
      <c r="PM18">
        <f>SOFR3mo_PX[[#This Row],[Column429]]</f>
        <v>95.814999999999998</v>
      </c>
      <c r="PN18">
        <f>SOFR3mo_PX[[#This Row],[Column430]]</f>
        <v>95.71</v>
      </c>
      <c r="PO18">
        <f>SOFR3mo_PX[[#This Row],[Column431]]</f>
        <v>95.71</v>
      </c>
      <c r="PP18">
        <f>SOFR3mo_PX[[#This Row],[Column432]]</f>
        <v>95.72</v>
      </c>
      <c r="PQ18">
        <f>SOFR3mo_PX[[#This Row],[Column433]]</f>
        <v>95.694999999999993</v>
      </c>
      <c r="PR18">
        <f>SOFR3mo_PX[[#This Row],[Column434]]</f>
        <v>95.564999999999998</v>
      </c>
      <c r="PS18">
        <f>SOFR3mo_PX[[#This Row],[Column435]]</f>
        <v>95.69</v>
      </c>
      <c r="PT18">
        <f>SOFR3mo_PX[[#This Row],[Column436]]</f>
        <v>95.7</v>
      </c>
      <c r="PU18">
        <f>SOFR3mo_PX[[#This Row],[Column437]]</f>
        <v>95.605000000000004</v>
      </c>
      <c r="PV18">
        <f>SOFR3mo_PX[[#This Row],[Column438]]</f>
        <v>95.504999999999995</v>
      </c>
      <c r="PW18">
        <f>SOFR3mo_PX[[#This Row],[Column439]]</f>
        <v>95.614999999999995</v>
      </c>
      <c r="PX18">
        <f>SOFR3mo_PX[[#This Row],[Column440]]</f>
        <v>95.694999999999993</v>
      </c>
      <c r="PY18">
        <f>SOFR3mo_PX[[#This Row],[Column441]]</f>
        <v>95.86</v>
      </c>
      <c r="PZ18">
        <f>SOFR3mo_PX[[#This Row],[Column442]]</f>
        <v>95.95</v>
      </c>
      <c r="QA18">
        <f>SOFR3mo_PX[[#This Row],[Column443]]</f>
        <v>95.86</v>
      </c>
      <c r="QB18">
        <f>SOFR3mo_PX[[#This Row],[Column444]]</f>
        <v>95.97</v>
      </c>
      <c r="QC18">
        <f>SOFR3mo_PX[[#This Row],[Column445]]</f>
        <v>95.915000000000006</v>
      </c>
      <c r="QD18">
        <f>SOFR3mo_PX[[#This Row],[Column446]]</f>
        <v>95.944999999999993</v>
      </c>
      <c r="QE18">
        <f>SOFR3mo_PX[[#This Row],[Column447]]</f>
        <v>95.78</v>
      </c>
      <c r="QF18">
        <f>SOFR3mo_PX[[#This Row],[Column448]]</f>
        <v>95.84</v>
      </c>
      <c r="QG18">
        <f>SOFR3mo_PX[[#This Row],[Column449]]</f>
        <v>95.8</v>
      </c>
      <c r="QH18">
        <f>SOFR3mo_PX[[#This Row],[Column450]]</f>
        <v>95.745000000000005</v>
      </c>
      <c r="QI18">
        <f>SOFR3mo_PX[[#This Row],[Column451]]</f>
        <v>95.87</v>
      </c>
      <c r="QJ18">
        <f>SOFR3mo_PX[[#This Row],[Column452]]</f>
        <v>96.004999999999995</v>
      </c>
      <c r="QK18">
        <f>SOFR3mo_PX[[#This Row],[Column453]]</f>
        <v>95.954999999999998</v>
      </c>
      <c r="QL18">
        <f>SOFR3mo_PX[[#This Row],[Column454]]</f>
        <v>95.935000000000002</v>
      </c>
      <c r="QM18">
        <f>SOFR3mo_PX[[#This Row],[Column455]]</f>
        <v>96.015000000000001</v>
      </c>
      <c r="QN18">
        <f>SOFR3mo_PX[[#This Row],[Column456]]</f>
        <v>96.02</v>
      </c>
      <c r="QO18">
        <f>SOFR3mo_PX[[#This Row],[Column457]]</f>
        <v>96.11</v>
      </c>
      <c r="QP18">
        <f>SOFR3mo_PX[[#This Row],[Column458]]</f>
        <v>96.055000000000007</v>
      </c>
      <c r="QQ18">
        <f>SOFR3mo_PX[[#This Row],[Column459]]</f>
        <v>96.204999999999998</v>
      </c>
      <c r="QR18">
        <f>SOFR3mo_PX[[#This Row],[Column460]]</f>
        <v>96.19</v>
      </c>
      <c r="QS18">
        <f>SOFR3mo_PX[[#This Row],[Column461]]</f>
        <v>96.245000000000005</v>
      </c>
      <c r="QT18">
        <f>SOFR3mo_PX[[#This Row],[Column462]]</f>
        <v>96.24</v>
      </c>
      <c r="QU18">
        <f>SOFR3mo_PX[[#This Row],[Column463]]</f>
        <v>96.275000000000006</v>
      </c>
      <c r="QV18">
        <f>SOFR3mo_PX[[#This Row],[Column464]]</f>
        <v>96.305000000000007</v>
      </c>
      <c r="QW18">
        <f>SOFR3mo_PX[[#This Row],[Column465]]</f>
        <v>96.275000000000006</v>
      </c>
      <c r="QX18">
        <f>SOFR3mo_PX[[#This Row],[Column466]]</f>
        <v>96.265000000000001</v>
      </c>
      <c r="QY18">
        <f>SOFR3mo_PX[[#This Row],[Column467]]</f>
        <v>96.284999999999997</v>
      </c>
      <c r="QZ18">
        <f>SOFR3mo_PX[[#This Row],[Column468]]</f>
        <v>96.284999999999997</v>
      </c>
      <c r="RA18">
        <f>SOFR3mo_PX[[#This Row],[Column469]]</f>
        <v>96.254999999999995</v>
      </c>
      <c r="RB18">
        <f>SOFR3mo_PX[[#This Row],[Column470]]</f>
        <v>96.32</v>
      </c>
      <c r="RC18">
        <f>SOFR3mo_PX[[#This Row],[Column471]]</f>
        <v>96.385000000000005</v>
      </c>
      <c r="RD18">
        <f>SOFR3mo_PX[[#This Row],[Column472]]</f>
        <v>96.385000000000005</v>
      </c>
      <c r="RE18">
        <f>SOFR3mo_PX[[#This Row],[Column473]]</f>
        <v>96.46</v>
      </c>
      <c r="RF18">
        <f>SOFR3mo_PX[[#This Row],[Column474]]</f>
        <v>96.43</v>
      </c>
      <c r="RG18">
        <f>SOFR3mo_PX[[#This Row],[Column475]]</f>
        <v>96.415000000000006</v>
      </c>
      <c r="RH18">
        <f>SOFR3mo_PX[[#This Row],[Column476]]</f>
        <v>96.305000000000007</v>
      </c>
      <c r="RI18">
        <f>SOFR3mo_PX[[#This Row],[Column477]]</f>
        <v>96.254999999999995</v>
      </c>
      <c r="RJ18">
        <f>SOFR3mo_PX[[#This Row],[Column478]]</f>
        <v>96.26</v>
      </c>
      <c r="RK18">
        <f>SOFR3mo_PX[[#This Row],[Column479]]</f>
        <v>96.284999999999997</v>
      </c>
      <c r="RL18">
        <f>SOFR3mo_PX[[#This Row],[Column480]]</f>
        <v>96.144999999999996</v>
      </c>
      <c r="RM18">
        <f>SOFR3mo_PX[[#This Row],[Column481]]</f>
        <v>96.14</v>
      </c>
      <c r="RN18">
        <f>SOFR3mo_PX[[#This Row],[Column482]]</f>
        <v>96.24</v>
      </c>
      <c r="RO18">
        <f>SOFR3mo_PX[[#This Row],[Column483]]</f>
        <v>96.165000000000006</v>
      </c>
      <c r="RP18">
        <f>SOFR3mo_PX[[#This Row],[Column484]]</f>
        <v>96.254999999999995</v>
      </c>
      <c r="RQ18">
        <f>SOFR3mo_PX[[#This Row],[Column485]]</f>
        <v>96.295000000000002</v>
      </c>
      <c r="RR18">
        <f>SOFR3mo_PX[[#This Row],[Column486]]</f>
        <v>96.35</v>
      </c>
      <c r="RS18">
        <f>SOFR3mo_PX[[#This Row],[Column487]]</f>
        <v>96.364999999999995</v>
      </c>
      <c r="RT18">
        <f>SOFR3mo_PX[[#This Row],[Column488]]</f>
        <v>96.49</v>
      </c>
      <c r="RU18">
        <f>SOFR3mo_PX[[#This Row],[Column489]]</f>
        <v>96.594999999999999</v>
      </c>
      <c r="RV18">
        <f>SOFR3mo_PX[[#This Row],[Column490]]</f>
        <v>96.594999999999999</v>
      </c>
      <c r="RW18">
        <f>SOFR3mo_PX[[#This Row],[Column491]]</f>
        <v>96.534999999999997</v>
      </c>
      <c r="RX18">
        <f>SOFR3mo_PX[[#This Row],[Column492]]</f>
        <v>96.52</v>
      </c>
      <c r="RY18">
        <f>SOFR3mo_PX[[#This Row],[Column493]]</f>
        <v>96.37</v>
      </c>
      <c r="RZ18">
        <f>SOFR3mo_PX[[#This Row],[Column494]]</f>
        <v>96.48</v>
      </c>
      <c r="SA18">
        <f>SOFR3mo_PX[[#This Row],[Column495]]</f>
        <v>96.5</v>
      </c>
      <c r="SB18">
        <f>SOFR3mo_PX[[#This Row],[Column496]]</f>
        <v>96.59</v>
      </c>
      <c r="SC18">
        <f>SOFR3mo_PX[[#This Row],[Column497]]</f>
        <v>96.58</v>
      </c>
      <c r="SD18">
        <f>SOFR3mo_PX[[#This Row],[Column498]]</f>
        <v>96.525000000000006</v>
      </c>
      <c r="SE18">
        <f>SOFR3mo_PX[[#This Row],[Column499]]</f>
        <v>96.704999999999998</v>
      </c>
      <c r="SF18">
        <f>SOFR3mo_PX[[#This Row],[Column500]]</f>
        <v>96.6</v>
      </c>
      <c r="SG18">
        <f>SOFR3mo_PX[[#This Row],[Column501]]</f>
        <v>96.68</v>
      </c>
      <c r="SH18">
        <f>SOFR3mo_PX[[#This Row],[Column502]]</f>
        <v>96.7</v>
      </c>
      <c r="SI18">
        <f>SOFR3mo_PX[[#This Row],[Column503]]</f>
        <v>96.694999999999993</v>
      </c>
      <c r="SJ18">
        <f>SOFR3mo_PX[[#This Row],[Column504]]</f>
        <v>96.855000000000004</v>
      </c>
      <c r="SK18">
        <f>SOFR3mo_PX[[#This Row],[Column505]]</f>
        <v>96.805000000000007</v>
      </c>
      <c r="SL18">
        <f>SOFR3mo_PX[[#This Row],[Column506]]</f>
        <v>96.775000000000006</v>
      </c>
      <c r="SM18">
        <f>SOFR3mo_PX[[#This Row],[Column507]]</f>
        <v>96.73</v>
      </c>
      <c r="SN18">
        <f>SOFR3mo_PX[[#This Row],[Column508]]</f>
        <v>96.784999999999997</v>
      </c>
      <c r="SO18">
        <f>SOFR3mo_PX[[#This Row],[Column509]]</f>
        <v>96.685000000000002</v>
      </c>
      <c r="SP18">
        <f>SOFR3mo_PX[[#This Row],[Column510]]</f>
        <v>96.53</v>
      </c>
      <c r="SQ18">
        <f>SOFR3mo_PX[[#This Row],[Column511]]</f>
        <v>96.474999999999994</v>
      </c>
      <c r="SR18">
        <f>SOFR3mo_PX[[#This Row],[Column512]]</f>
        <v>96.375</v>
      </c>
      <c r="SS18">
        <f>SOFR3mo_PX[[#This Row],[Column513]]</f>
        <v>96.39</v>
      </c>
      <c r="ST18">
        <f>SOFR3mo_PX[[#This Row],[Column514]]</f>
        <v>96.555000000000007</v>
      </c>
      <c r="SU18">
        <f>SOFR3mo_PX[[#This Row],[Column515]]</f>
        <v>96.66</v>
      </c>
      <c r="SV18">
        <f>SOFR3mo_PX[[#This Row],[Column516]]</f>
        <v>96.66</v>
      </c>
      <c r="SW18">
        <f>SOFR3mo_PX[[#This Row],[Column517]]</f>
        <v>96.715000000000003</v>
      </c>
      <c r="SX18">
        <f>SOFR3mo_PX[[#This Row],[Column518]]</f>
        <v>96.694999999999993</v>
      </c>
      <c r="SY18">
        <f>SOFR3mo_PX[[#This Row],[Column519]]</f>
        <v>96.855000000000004</v>
      </c>
      <c r="SZ18">
        <f>SOFR3mo_PX[[#This Row],[Column520]]</f>
        <v>96.79</v>
      </c>
      <c r="TA18">
        <f>SOFR3mo_PX[[#This Row],[Column521]]</f>
        <v>96.834999999999994</v>
      </c>
      <c r="TB18">
        <f>SOFR3mo_PX[[#This Row],[Column522]]</f>
        <v>96.795000000000002</v>
      </c>
      <c r="TC18">
        <f>SOFR3mo_PX[[#This Row],[Column523]]</f>
        <v>96.75</v>
      </c>
      <c r="TD18">
        <f>SOFR3mo_PX[[#This Row],[Column524]]</f>
        <v>96.83</v>
      </c>
      <c r="TE18">
        <f>SOFR3mo_PX[[#This Row],[Column525]]</f>
        <v>96.84</v>
      </c>
      <c r="TF18">
        <f>SOFR3mo_PX[[#This Row],[Column526]]</f>
        <v>96.79</v>
      </c>
      <c r="TG18">
        <f>SOFR3mo_PX[[#This Row],[Column527]]</f>
        <v>96.79</v>
      </c>
      <c r="TH18">
        <f>SOFR3mo_PX[[#This Row],[Column528]]</f>
        <v>96.85</v>
      </c>
      <c r="TI18">
        <f>SOFR3mo_PX[[#This Row],[Column529]]</f>
        <v>96.765000000000001</v>
      </c>
      <c r="TJ18">
        <f>SOFR3mo_PX[[#This Row],[Column530]]</f>
        <v>96.73</v>
      </c>
      <c r="TK18">
        <f>SOFR3mo_PX[[#This Row],[Column531]]</f>
        <v>96.83</v>
      </c>
      <c r="TL18">
        <f>SOFR3mo_PX[[#This Row],[Column532]]</f>
        <v>96.82</v>
      </c>
      <c r="TM18">
        <f>SOFR3mo_PX[[#This Row],[Column533]]</f>
        <v>96.86</v>
      </c>
      <c r="TN18">
        <f>SOFR3mo_PX[[#This Row],[Column534]]</f>
        <v>96.78</v>
      </c>
      <c r="TO18">
        <f>SOFR3mo_PX[[#This Row],[Column535]]</f>
        <v>96.864999999999995</v>
      </c>
      <c r="TP18">
        <f>SOFR3mo_PX[[#This Row],[Column536]]</f>
        <v>96.86</v>
      </c>
      <c r="TQ18">
        <f>SOFR3mo_PX[[#This Row],[Column537]]</f>
        <v>96.83</v>
      </c>
      <c r="TR18">
        <f>SOFR3mo_PX[[#This Row],[Column538]]</f>
        <v>96.954999999999998</v>
      </c>
      <c r="TS18">
        <f>SOFR3mo_PX[[#This Row],[Column539]]</f>
        <v>96.924999999999997</v>
      </c>
      <c r="TT18">
        <f>SOFR3mo_PX[[#This Row],[Column540]]</f>
        <v>96.84</v>
      </c>
      <c r="TU18">
        <f>SOFR3mo_PX[[#This Row],[Column541]]</f>
        <v>96.69</v>
      </c>
      <c r="TV18">
        <f>SOFR3mo_PX[[#This Row],[Column542]]</f>
        <v>96.69</v>
      </c>
      <c r="TW18">
        <f>SOFR3mo_PX[[#This Row],[Column543]]</f>
        <v>96.73</v>
      </c>
      <c r="TX18">
        <f>SOFR3mo_PX[[#This Row],[Column544]]</f>
        <v>96.85</v>
      </c>
      <c r="TY18">
        <f>SOFR3mo_PX[[#This Row],[Column545]]</f>
        <v>96.864999999999995</v>
      </c>
      <c r="TZ18">
        <f>SOFR3mo_PX[[#This Row],[Column546]]</f>
        <v>96.84</v>
      </c>
      <c r="UA18">
        <f>SOFR3mo_PX[[#This Row],[Column547]]</f>
        <v>96.864999999999995</v>
      </c>
      <c r="UB18">
        <f>SOFR3mo_PX[[#This Row],[Column548]]</f>
        <v>96.935000000000002</v>
      </c>
      <c r="UC18">
        <f>SOFR3mo_PX[[#This Row],[Column549]]</f>
        <v>97.02</v>
      </c>
      <c r="UD18">
        <f>SOFR3mo_PX[[#This Row],[Column550]]</f>
        <v>97.064999999999998</v>
      </c>
      <c r="UE18">
        <f>SOFR3mo_PX[[#This Row],[Column551]]</f>
        <v>97.11</v>
      </c>
      <c r="UF18">
        <f>SOFR3mo_PX[[#This Row],[Column552]]</f>
        <v>97.125</v>
      </c>
      <c r="UG18">
        <f>SOFR3mo_PX[[#This Row],[Column553]]</f>
        <v>97.2</v>
      </c>
      <c r="UH18">
        <f>SOFR3mo_PX[[#This Row],[Column554]]</f>
        <v>97.16</v>
      </c>
      <c r="UI18">
        <f>SOFR3mo_PX[[#This Row],[Column555]]</f>
        <v>97.07</v>
      </c>
      <c r="UJ18">
        <f>SOFR3mo_PX[[#This Row],[Column556]]</f>
        <v>97.055000000000007</v>
      </c>
      <c r="UK18">
        <f>SOFR3mo_PX[[#This Row],[Column557]]</f>
        <v>97.1</v>
      </c>
      <c r="UL18">
        <f>SOFR3mo_PX[[#This Row],[Column558]]</f>
        <v>97.204999999999998</v>
      </c>
      <c r="UM18">
        <f>SOFR3mo_PX[[#This Row],[Column559]]</f>
        <v>97.14</v>
      </c>
      <c r="UN18">
        <f>SOFR3mo_PX[[#This Row],[Column560]]</f>
        <v>97.105000000000004</v>
      </c>
      <c r="UO18">
        <f>SOFR3mo_PX[[#This Row],[Column561]]</f>
        <v>96.95</v>
      </c>
      <c r="UP18">
        <f>SOFR3mo_PX[[#This Row],[Column562]]</f>
        <v>97.07</v>
      </c>
      <c r="UQ18">
        <f>SOFR3mo_PX[[#This Row],[Column563]]</f>
        <v>97.004999999999995</v>
      </c>
      <c r="UR18">
        <f>SOFR3mo_PX[[#This Row],[Column564]]</f>
        <v>97.105000000000004</v>
      </c>
      <c r="US18">
        <f>SOFR3mo_PX[[#This Row],[Column565]]</f>
        <v>97.144999999999996</v>
      </c>
      <c r="UT18">
        <f>SOFR3mo_PX[[#This Row],[Column566]]</f>
        <v>97.03</v>
      </c>
      <c r="UU18">
        <f>SOFR3mo_PX[[#This Row],[Column567]]</f>
        <v>96.96</v>
      </c>
      <c r="UV18">
        <f>SOFR3mo_PX[[#This Row],[Column568]]</f>
        <v>97</v>
      </c>
      <c r="UW18">
        <f>SOFR3mo_PX[[#This Row],[Column569]]</f>
        <v>96.94</v>
      </c>
      <c r="UX18">
        <f>SOFR3mo_PX[[#This Row],[Column570]]</f>
        <v>96.954999999999998</v>
      </c>
      <c r="UY18">
        <f>SOFR3mo_PX[[#This Row],[Column571]]</f>
        <v>96.935000000000002</v>
      </c>
      <c r="UZ18">
        <f>SOFR3mo_PX[[#This Row],[Column572]]</f>
        <v>97</v>
      </c>
      <c r="VA18">
        <f>SOFR3mo_PX[[#This Row],[Column573]]</f>
        <v>97.084999999999994</v>
      </c>
      <c r="VB18">
        <f>SOFR3mo_PX[[#This Row],[Column574]]</f>
        <v>97.144999999999996</v>
      </c>
      <c r="VC18">
        <f>SOFR3mo_PX[[#This Row],[Column575]]</f>
        <v>97.094999999999999</v>
      </c>
      <c r="VD18">
        <f>SOFR3mo_PX[[#This Row],[Column576]]</f>
        <v>97.11</v>
      </c>
      <c r="VE18">
        <f>SOFR3mo_PX[[#This Row],[Column577]]</f>
        <v>97.15</v>
      </c>
      <c r="VF18">
        <f>SOFR3mo_PX[[#This Row],[Column578]]</f>
        <v>97.24</v>
      </c>
      <c r="VG18">
        <f>SOFR3mo_PX[[#This Row],[Column579]]</f>
        <v>97.224999999999994</v>
      </c>
      <c r="VH18">
        <f>SOFR3mo_PX[[#This Row],[Column580]]</f>
        <v>97.215000000000003</v>
      </c>
      <c r="VI18">
        <f>SOFR3mo_PX[[#This Row],[Column581]]</f>
        <v>97.105000000000004</v>
      </c>
      <c r="VJ18">
        <f>SOFR3mo_PX[[#This Row],[Column582]]</f>
        <v>97.045000000000002</v>
      </c>
      <c r="VK18">
        <f>SOFR3mo_PX[[#This Row],[Column583]]</f>
        <v>96.98</v>
      </c>
      <c r="VL18">
        <f>SOFR3mo_PX[[#This Row],[Column584]]</f>
        <v>96.93</v>
      </c>
      <c r="VM18">
        <f>SOFR3mo_PX[[#This Row],[Column585]]</f>
        <v>96.915000000000006</v>
      </c>
      <c r="VN18">
        <f>SOFR3mo_PX[[#This Row],[Column586]]</f>
        <v>96.954999999999998</v>
      </c>
      <c r="VO18">
        <f>SOFR3mo_PX[[#This Row],[Column587]]</f>
        <v>97.084999999999994</v>
      </c>
      <c r="VP18">
        <f>SOFR3mo_PX[[#This Row],[Column588]]</f>
        <v>97.064999999999998</v>
      </c>
      <c r="VQ18">
        <f>SOFR3mo_PX[[#This Row],[Column589]]</f>
        <v>96.944999999999993</v>
      </c>
      <c r="VR18">
        <f>SOFR3mo_PX[[#This Row],[Column590]]</f>
        <v>96.8</v>
      </c>
      <c r="VS18">
        <f>SOFR3mo_PX[[#This Row],[Column591]]</f>
        <v>96.875</v>
      </c>
      <c r="VT18">
        <f>SOFR3mo_PX[[#This Row],[Column592]]</f>
        <v>96.99</v>
      </c>
      <c r="VU18">
        <f>SOFR3mo_PX[[#This Row],[Column593]]</f>
        <v>96.784999999999997</v>
      </c>
      <c r="VV18">
        <f>SOFR3mo_PX[[#This Row],[Column594]]</f>
        <v>96.89</v>
      </c>
      <c r="VW18">
        <f>SOFR3mo_PX[[#This Row],[Column595]]</f>
        <v>96.765000000000001</v>
      </c>
      <c r="VX18">
        <f>SOFR3mo_PX[[#This Row],[Column596]]</f>
        <v>96.87</v>
      </c>
      <c r="VY18">
        <f>SOFR3mo_PX[[#This Row],[Column597]]</f>
        <v>96.87</v>
      </c>
      <c r="VZ18">
        <f>SOFR3mo_PX[[#This Row],[Column598]]</f>
        <v>96.665000000000006</v>
      </c>
      <c r="WA18">
        <f>SOFR3mo_PX[[#This Row],[Column599]]</f>
        <v>96.614999999999995</v>
      </c>
      <c r="WB18">
        <f>SOFR3mo_PX[[#This Row],[Column600]]</f>
        <v>96.625</v>
      </c>
      <c r="WC18">
        <f>SOFR3mo_PX[[#This Row],[Column601]]</f>
        <v>96.584999999999994</v>
      </c>
      <c r="WD18">
        <f>SOFR3mo_PX[[#This Row],[Column602]]</f>
        <v>96.575000000000003</v>
      </c>
      <c r="WE18">
        <f>SOFR3mo_PX[[#This Row],[Column603]]</f>
        <v>96.484999999999999</v>
      </c>
      <c r="WF18">
        <f>SOFR3mo_PX[[#This Row],[Column604]]</f>
        <v>96.584999999999994</v>
      </c>
      <c r="WG18">
        <f>SOFR3mo_PX[[#This Row],[Column605]]</f>
        <v>96.685000000000002</v>
      </c>
      <c r="WH18">
        <f>SOFR3mo_PX[[#This Row],[Column606]]</f>
        <v>96.68</v>
      </c>
      <c r="WI18">
        <f>SOFR3mo_PX[[#This Row],[Column607]]</f>
        <v>96.61</v>
      </c>
      <c r="WJ18">
        <f>SOFR3mo_PX[[#This Row],[Column608]]</f>
        <v>96.69</v>
      </c>
      <c r="WK18">
        <f>SOFR3mo_PX[[#This Row],[Column609]]</f>
        <v>96.64</v>
      </c>
      <c r="WL18">
        <f>SOFR3mo_PX[[#This Row],[Column610]]</f>
        <v>96.625</v>
      </c>
      <c r="WM18">
        <f>SOFR3mo_PX[[#This Row],[Column611]]</f>
        <v>96.78</v>
      </c>
      <c r="WN18">
        <f>SOFR3mo_PX[[#This Row],[Column612]]</f>
        <v>96.78</v>
      </c>
      <c r="WO18">
        <f>SOFR3mo_PX[[#This Row],[Column613]]</f>
        <v>96.76</v>
      </c>
      <c r="WP18">
        <f>SOFR3mo_PX[[#This Row],[Column614]]</f>
        <v>96.79</v>
      </c>
      <c r="WQ18">
        <f>SOFR3mo_PX[[#This Row],[Column615]]</f>
        <v>96.834999999999994</v>
      </c>
      <c r="WR18">
        <f>SOFR3mo_PX[[#This Row],[Column616]]</f>
        <v>96.88</v>
      </c>
      <c r="WS18">
        <f>SOFR3mo_PX[[#This Row],[Column617]]</f>
        <v>96.875</v>
      </c>
      <c r="WT18">
        <f>SOFR3mo_PX[[#This Row],[Column618]]</f>
        <v>96.924999999999997</v>
      </c>
      <c r="WU18">
        <f>SOFR3mo_PX[[#This Row],[Column619]]</f>
        <v>96.974999999999994</v>
      </c>
      <c r="WV18">
        <f>SOFR3mo_PX[[#This Row],[Column620]]</f>
        <v>96.944999999999993</v>
      </c>
      <c r="WW18">
        <f>SOFR3mo_PX[[#This Row],[Column621]]</f>
        <v>96.97</v>
      </c>
      <c r="WX18">
        <f>SOFR3mo_PX[[#This Row],[Column622]]</f>
        <v>97.08</v>
      </c>
      <c r="WY18">
        <f>SOFR3mo_PX[[#This Row],[Column623]]</f>
        <v>97.24</v>
      </c>
      <c r="WZ18">
        <f>SOFR3mo_PX[[#This Row],[Column624]]</f>
        <v>97.25</v>
      </c>
      <c r="XA18">
        <f>SOFR3mo_PX[[#This Row],[Column625]]</f>
        <v>97.105000000000004</v>
      </c>
      <c r="XB18">
        <f>SOFR3mo_PX[[#This Row],[Column626]]</f>
        <v>97.045000000000002</v>
      </c>
      <c r="XC18">
        <f>SOFR3mo_PX[[#This Row],[Column627]]</f>
        <v>97.105000000000004</v>
      </c>
      <c r="XD18">
        <f>SOFR3mo_PX[[#This Row],[Column628]]</f>
        <v>97.155000000000001</v>
      </c>
      <c r="XE18">
        <f>SOFR3mo_PX[[#This Row],[Column629]]</f>
        <v>97.2</v>
      </c>
      <c r="XF18">
        <f>SOFR3mo_PX[[#This Row],[Column630]]</f>
        <v>97.2</v>
      </c>
      <c r="XG18">
        <f>SOFR3mo_PX[[#This Row],[Column631]]</f>
        <v>97.135000000000005</v>
      </c>
      <c r="XH18">
        <f>SOFR3mo_PX[[#This Row],[Column632]]</f>
        <v>97.174999999999997</v>
      </c>
      <c r="XI18">
        <f>SOFR3mo_PX[[#This Row],[Column633]]</f>
        <v>97.28</v>
      </c>
      <c r="XJ18">
        <f>SOFR3mo_PX[[#This Row],[Column634]]</f>
        <v>97.33</v>
      </c>
      <c r="XK18">
        <f>SOFR3mo_PX[[#This Row],[Column635]]</f>
        <v>97.16</v>
      </c>
      <c r="XL18">
        <f>SOFR3mo_PX[[#This Row],[Column636]]</f>
        <v>97.174999999999997</v>
      </c>
      <c r="XM18">
        <f>SOFR3mo_PX[[#This Row],[Column637]]</f>
        <v>97.174999999999997</v>
      </c>
      <c r="XN18">
        <f>SOFR3mo_PX[[#This Row],[Column638]]</f>
        <v>97.234999999999999</v>
      </c>
      <c r="XO18">
        <f>SOFR3mo_PX[[#This Row],[Column639]]</f>
        <v>97.1</v>
      </c>
      <c r="XP18">
        <f>SOFR3mo_PX[[#This Row],[Column640]]</f>
        <v>97.04</v>
      </c>
      <c r="XQ18">
        <f>SOFR3mo_PX[[#This Row],[Column641]]</f>
        <v>97.144999999999996</v>
      </c>
      <c r="XR18">
        <f>SOFR3mo_PX[[#This Row],[Column642]]</f>
        <v>97.1</v>
      </c>
      <c r="XS18">
        <f>SOFR3mo_PX[[#This Row],[Column643]]</f>
        <v>96.905000000000001</v>
      </c>
      <c r="XT18">
        <f>SOFR3mo_PX[[#This Row],[Column644]]</f>
        <v>96.91</v>
      </c>
      <c r="XU18">
        <f>SOFR3mo_PX[[#This Row],[Column645]]</f>
        <v>96.805000000000007</v>
      </c>
      <c r="XV18">
        <f>SOFR3mo_PX[[#This Row],[Column646]]</f>
        <v>96.76</v>
      </c>
      <c r="XW18">
        <f>SOFR3mo_PX[[#This Row],[Column647]]</f>
        <v>96.76</v>
      </c>
      <c r="XX18">
        <f>SOFR3mo_PX[[#This Row],[Column648]]</f>
        <v>96.72</v>
      </c>
      <c r="XY18">
        <f>SOFR3mo_PX[[#This Row],[Column649]]</f>
        <v>96.694999999999993</v>
      </c>
      <c r="XZ18">
        <f>SOFR3mo_PX[[#This Row],[Column650]]</f>
        <v>96.76</v>
      </c>
      <c r="YA18">
        <f>SOFR3mo_PX[[#This Row],[Column651]]</f>
        <v>96.84</v>
      </c>
      <c r="YB18">
        <f>SOFR3mo_PX[[#This Row],[Column652]]</f>
        <v>96.84</v>
      </c>
      <c r="YC18">
        <f>SOFR3mo_PX[[#This Row],[Column653]]</f>
        <v>96.894999999999996</v>
      </c>
      <c r="YD18">
        <f>SOFR3mo_PX[[#This Row],[Column654]]</f>
        <v>96.89</v>
      </c>
      <c r="YE18">
        <f>SOFR3mo_PX[[#This Row],[Column655]]</f>
        <v>96.965000000000003</v>
      </c>
      <c r="YF18">
        <f>SOFR3mo_PX[[#This Row],[Column656]]</f>
        <v>97.075000000000003</v>
      </c>
      <c r="YG18">
        <f>SOFR3mo_PX[[#This Row],[Column657]]</f>
        <v>97.16</v>
      </c>
      <c r="YH18">
        <f>SOFR3mo_PX[[#This Row],[Column658]]</f>
        <v>97.185000000000002</v>
      </c>
      <c r="YI18">
        <f>SOFR3mo_PX[[#This Row],[Column659]]</f>
        <v>97.14</v>
      </c>
      <c r="YJ18">
        <f>SOFR3mo_PX[[#This Row],[Column660]]</f>
        <v>97.13</v>
      </c>
      <c r="YK18">
        <f>SOFR3mo_PX[[#This Row],[Column661]]</f>
        <v>97.02</v>
      </c>
      <c r="YL18">
        <f>SOFR3mo_PX[[#This Row],[Column662]]</f>
        <v>97.06</v>
      </c>
      <c r="YM18">
        <f>SOFR3mo_PX[[#This Row],[Column663]]</f>
        <v>97.14</v>
      </c>
      <c r="YN18">
        <f>SOFR3mo_PX[[#This Row],[Column664]]</f>
        <v>97.27</v>
      </c>
      <c r="YO18">
        <f>SOFR3mo_PX[[#This Row],[Column665]]</f>
        <v>97.16</v>
      </c>
      <c r="YP18">
        <f>SOFR3mo_PX[[#This Row],[Column666]]</f>
        <v>97.08</v>
      </c>
      <c r="YQ18">
        <f>SOFR3mo_PX[[#This Row],[Column667]]</f>
        <v>97.204999999999998</v>
      </c>
      <c r="YR18">
        <f>SOFR3mo_PX[[#This Row],[Column668]]</f>
        <v>97.15</v>
      </c>
      <c r="YS18">
        <f>SOFR3mo_PX[[#This Row],[Column669]]</f>
        <v>96.984999999999999</v>
      </c>
      <c r="YT18">
        <f>SOFR3mo_PX[[#This Row],[Column670]]</f>
        <v>96.905000000000001</v>
      </c>
      <c r="YU18">
        <f>SOFR3mo_PX[[#This Row],[Column671]]</f>
        <v>96.92</v>
      </c>
      <c r="YV18">
        <f>SOFR3mo_PX[[#This Row],[Column672]]</f>
        <v>96.91</v>
      </c>
      <c r="YW18">
        <f>SOFR3mo_PX[[#This Row],[Column673]]</f>
        <v>96.89</v>
      </c>
      <c r="YX18">
        <f>SOFR3mo_PX[[#This Row],[Column674]]</f>
        <v>96.89</v>
      </c>
      <c r="YY18">
        <f>SOFR3mo_PX[[#This Row],[Column675]]</f>
        <v>96.834999999999994</v>
      </c>
      <c r="YZ18">
        <f>SOFR3mo_PX[[#This Row],[Column676]]</f>
        <v>96.765000000000001</v>
      </c>
      <c r="ZA18">
        <f>SOFR3mo_PX[[#This Row],[Column677]]</f>
        <v>96.784999999999997</v>
      </c>
      <c r="ZB18">
        <f>SOFR3mo_PX[[#This Row],[Column678]]</f>
        <v>96.86</v>
      </c>
      <c r="ZC18">
        <f>SOFR3mo_PX[[#This Row],[Column679]]</f>
        <v>96.924999999999997</v>
      </c>
      <c r="ZD18">
        <f>SOFR3mo_PX[[#This Row],[Column680]]</f>
        <v>96.805000000000007</v>
      </c>
      <c r="ZE18">
        <f>SOFR3mo_PX[[#This Row],[Column681]]</f>
        <v>96.724999999999994</v>
      </c>
      <c r="ZF18">
        <f>SOFR3mo_PX[[#This Row],[Column682]]</f>
        <v>96.775000000000006</v>
      </c>
      <c r="ZG18">
        <f>SOFR3mo_PX[[#This Row],[Column683]]</f>
        <v>96.74</v>
      </c>
      <c r="ZH18">
        <f>SOFR3mo_PX[[#This Row],[Column684]]</f>
        <v>96.41</v>
      </c>
      <c r="ZI18">
        <f>SOFR3mo_PX[[#This Row],[Column685]]</f>
        <v>96.39</v>
      </c>
      <c r="ZJ18">
        <f>SOFR3mo_PX[[#This Row],[Column686]]</f>
        <v>96.295000000000002</v>
      </c>
      <c r="ZK18">
        <f>SOFR3mo_PX[[#This Row],[Column687]]</f>
        <v>96.314999999999998</v>
      </c>
      <c r="ZL18">
        <f>SOFR3mo_PX[[#This Row],[Column688]]</f>
        <v>96.32</v>
      </c>
      <c r="ZM18">
        <f>SOFR3mo_PX[[#This Row],[Column689]]</f>
        <v>96.37</v>
      </c>
      <c r="ZN18">
        <f>SOFR3mo_PX[[#This Row],[Column690]]</f>
        <v>96.344999999999999</v>
      </c>
      <c r="ZO18">
        <f>SOFR3mo_PX[[#This Row],[Column691]]</f>
        <v>96.35</v>
      </c>
      <c r="ZP18">
        <f>SOFR3mo_PX[[#This Row],[Column692]]</f>
        <v>96.38</v>
      </c>
      <c r="ZQ18">
        <f>SOFR3mo_PX[[#This Row],[Column693]]</f>
        <v>96.504999999999995</v>
      </c>
      <c r="ZR18">
        <f>SOFR3mo_PX[[#This Row],[Column694]]</f>
        <v>96.42</v>
      </c>
      <c r="ZS18">
        <f>SOFR3mo_PX[[#This Row],[Column695]]</f>
        <v>96.334999999999994</v>
      </c>
      <c r="ZT18">
        <f>SOFR3mo_PX[[#This Row],[Column696]]</f>
        <v>96.204999999999998</v>
      </c>
      <c r="ZU18">
        <f>SOFR3mo_PX[[#This Row],[Column697]]</f>
        <v>96.23</v>
      </c>
      <c r="ZV18">
        <f>SOFR3mo_PX[[#This Row],[Column698]]</f>
        <v>96.17</v>
      </c>
      <c r="ZW18">
        <f>SOFR3mo_PX[[#This Row],[Column699]]</f>
        <v>96.3</v>
      </c>
      <c r="ZX18">
        <f>SOFR3mo_PX[[#This Row],[Column700]]</f>
        <v>96.45</v>
      </c>
      <c r="ZY18">
        <f>SOFR3mo_PX[[#This Row],[Column701]]</f>
        <v>96.435000000000002</v>
      </c>
      <c r="ZZ18">
        <f>SOFR3mo_PX[[#This Row],[Column702]]</f>
        <v>96.415000000000006</v>
      </c>
      <c r="AAA18">
        <f>SOFR3mo_PX[[#This Row],[Column703]]</f>
        <v>96.46</v>
      </c>
      <c r="AAB18">
        <f>SOFR3mo_PX[[#This Row],[Column704]]</f>
        <v>96.45</v>
      </c>
      <c r="AAC18">
        <f>SOFR3mo_PX[[#This Row],[Column705]]</f>
        <v>96.4</v>
      </c>
      <c r="AAD18">
        <f>SOFR3mo_PX[[#This Row],[Column706]]</f>
        <v>96.38</v>
      </c>
      <c r="AAE18">
        <f>SOFR3mo_PX[[#This Row],[Column707]]</f>
        <v>96.44</v>
      </c>
      <c r="AAF18">
        <f>SOFR3mo_PX[[#This Row],[Column708]]</f>
        <v>96.5</v>
      </c>
      <c r="AAG18">
        <f>SOFR3mo_PX[[#This Row],[Column709]]</f>
        <v>96.564999999999998</v>
      </c>
      <c r="AAH18">
        <f>SOFR3mo_PX[[#This Row],[Column710]]</f>
        <v>96.754999999999995</v>
      </c>
      <c r="AAI18">
        <f>SOFR3mo_PX[[#This Row],[Column711]]</f>
        <v>96.64</v>
      </c>
      <c r="AAJ18">
        <f>SOFR3mo_PX[[#This Row],[Column712]]</f>
        <v>96.444999999999993</v>
      </c>
      <c r="AAK18">
        <f>SOFR3mo_PX[[#This Row],[Column713]]</f>
        <v>96.534999999999997</v>
      </c>
      <c r="AAL18">
        <f>SOFR3mo_PX[[#This Row],[Column714]]</f>
        <v>96.575000000000003</v>
      </c>
      <c r="AAM18">
        <f>SOFR3mo_PX[[#This Row],[Column715]]</f>
        <v>96.334999999999994</v>
      </c>
      <c r="AAN18">
        <f>SOFR3mo_PX[[#This Row],[Column716]]</f>
        <v>96.405000000000001</v>
      </c>
      <c r="AAO18">
        <f>SOFR3mo_PX[[#This Row],[Column717]]</f>
        <v>96.64</v>
      </c>
      <c r="AAP18">
        <f>SOFR3mo_PX[[#This Row],[Column718]]</f>
        <v>96.65</v>
      </c>
      <c r="AAQ18">
        <f>SOFR3mo_PX[[#This Row],[Column719]]</f>
        <v>96.864999999999995</v>
      </c>
      <c r="AAR18">
        <f>SOFR3mo_PX[[#This Row],[Column720]]</f>
        <v>96.78</v>
      </c>
      <c r="AAS18">
        <f>SOFR3mo_PX[[#This Row],[Column721]]</f>
        <v>96.864999999999995</v>
      </c>
      <c r="AAT18">
        <f>SOFR3mo_PX[[#This Row],[Column722]]</f>
        <v>96.924999999999997</v>
      </c>
      <c r="AAU18">
        <f>SOFR3mo_PX[[#This Row],[Column723]]</f>
        <v>96.9</v>
      </c>
      <c r="AAV18">
        <f>SOFR3mo_PX[[#This Row],[Column724]]</f>
        <v>96.96</v>
      </c>
      <c r="AAW18">
        <f>SOFR3mo_PX[[#This Row],[Column725]]</f>
        <v>96.94</v>
      </c>
      <c r="AAX18">
        <f>SOFR3mo_PX[[#This Row],[Column726]]</f>
        <v>97.004999999999995</v>
      </c>
      <c r="AAY18">
        <f>SOFR3mo_PX[[#This Row],[Column727]]</f>
        <v>97.02</v>
      </c>
      <c r="AAZ18">
        <f>SOFR3mo_PX[[#This Row],[Column728]]</f>
        <v>97.06</v>
      </c>
      <c r="ABA18">
        <f>SOFR3mo_PX[[#This Row],[Column729]]</f>
        <v>97.094999999999999</v>
      </c>
      <c r="ABB18">
        <f>SOFR3mo_PX[[#This Row],[Column730]]</f>
        <v>96.99</v>
      </c>
      <c r="ABC18">
        <f>SOFR3mo_PX[[#This Row],[Column731]]</f>
        <v>97.15</v>
      </c>
      <c r="ABD18">
        <f>SOFR3mo_PX[[#This Row],[Column732]]</f>
        <v>97.15</v>
      </c>
      <c r="ABE18">
        <f>SOFR3mo_PX[[#This Row],[Column733]]</f>
        <v>97.045000000000002</v>
      </c>
      <c r="ABF18">
        <f>SOFR3mo_PX[[#This Row],[Column734]]</f>
        <v>97.2</v>
      </c>
      <c r="ABG18">
        <f>SOFR3mo_PX[[#This Row],[Column735]]</f>
        <v>97.22</v>
      </c>
      <c r="ABH18">
        <f>SOFR3mo_PX[[#This Row],[Column736]]</f>
        <v>97.21</v>
      </c>
      <c r="ABI18">
        <f>SOFR3mo_PX[[#This Row],[Column737]]</f>
        <v>97.314999999999998</v>
      </c>
      <c r="ABJ18">
        <f>SOFR3mo_PX[[#This Row],[Column738]]</f>
        <v>97.38</v>
      </c>
      <c r="ABK18">
        <f>SOFR3mo_PX[[#This Row],[Column739]]</f>
        <v>97.32</v>
      </c>
      <c r="ABL18">
        <f>SOFR3mo_PX[[#This Row],[Column740]]</f>
        <v>97.375</v>
      </c>
      <c r="ABM18">
        <f>SOFR3mo_PX[[#This Row],[Column741]]</f>
        <v>97.415000000000006</v>
      </c>
      <c r="ABN18">
        <f>SOFR3mo_PX[[#This Row],[Column742]]</f>
        <v>97.47</v>
      </c>
      <c r="ABO18">
        <f>SOFR3mo_PX[[#This Row],[Column743]]</f>
        <v>97.594999999999999</v>
      </c>
      <c r="ABP18">
        <f>SOFR3mo_PX[[#This Row],[Column744]]</f>
        <v>97.59</v>
      </c>
      <c r="ABQ18">
        <f>SOFR3mo_PX[[#This Row],[Column745]]</f>
        <v>97.694999999999993</v>
      </c>
      <c r="ABR18">
        <f>SOFR3mo_PX[[#This Row],[Column746]]</f>
        <v>97.72</v>
      </c>
      <c r="ABS18">
        <f>SOFR3mo_PX[[#This Row],[Column747]]</f>
        <v>97.63</v>
      </c>
      <c r="ABT18">
        <f>SOFR3mo_PX[[#This Row],[Column748]]</f>
        <v>97.59</v>
      </c>
      <c r="ABU18">
        <f>SOFR3mo_PX[[#This Row],[Column749]]</f>
        <v>97.694999999999993</v>
      </c>
      <c r="ABV18">
        <f>SOFR3mo_PX[[#This Row],[Column750]]</f>
        <v>97.65</v>
      </c>
      <c r="ABW18">
        <f>SOFR3mo_PX[[#This Row],[Column751]]</f>
        <v>97.704999999999998</v>
      </c>
      <c r="ABX18">
        <f>SOFR3mo_PX[[#This Row],[Column752]]</f>
        <v>97.605000000000004</v>
      </c>
      <c r="ABY18">
        <f>SOFR3mo_PX[[#This Row],[Column753]]</f>
        <v>97.784999999999997</v>
      </c>
      <c r="ABZ18">
        <f>SOFR3mo_PX[[#This Row],[Column754]]</f>
        <v>97.674999999999997</v>
      </c>
      <c r="ACA18">
        <f>SOFR3mo_PX[[#This Row],[Column755]]</f>
        <v>97.665000000000006</v>
      </c>
      <c r="ACB18">
        <f>SOFR3mo_PX[[#This Row],[Column756]]</f>
        <v>97.855000000000004</v>
      </c>
      <c r="ACC18">
        <f>SOFR3mo_PX[[#This Row],[Column757]]</f>
        <v>97.814999999999998</v>
      </c>
      <c r="ACD18">
        <f>SOFR3mo_PX[[#This Row],[Column758]]</f>
        <v>97.784999999999997</v>
      </c>
      <c r="ACE18">
        <f>SOFR3mo_PX[[#This Row],[Column759]]</f>
        <v>97.704999999999998</v>
      </c>
      <c r="ACF18">
        <f>SOFR3mo_PX[[#This Row],[Column760]]</f>
        <v>97.61</v>
      </c>
      <c r="ACG18">
        <f>SOFR3mo_PX[[#This Row],[Column761]]</f>
        <v>97.575000000000003</v>
      </c>
      <c r="ACH18">
        <f>SOFR3mo_PX[[#This Row],[Column762]]</f>
        <v>97.59</v>
      </c>
      <c r="ACI18">
        <f>SOFR3mo_PX[[#This Row],[Column763]]</f>
        <v>97.46</v>
      </c>
      <c r="ACJ18">
        <f>SOFR3mo_PX[[#This Row],[Column764]]</f>
        <v>97.305000000000007</v>
      </c>
      <c r="ACK18">
        <f>SOFR3mo_PX[[#This Row],[Column765]]</f>
        <v>97.355000000000004</v>
      </c>
      <c r="ACL18">
        <f>SOFR3mo_PX[[#This Row],[Column766]]</f>
        <v>97.415000000000006</v>
      </c>
      <c r="ACM18">
        <f>SOFR3mo_PX[[#This Row],[Column767]]</f>
        <v>97.435000000000002</v>
      </c>
      <c r="ACN18">
        <f>SOFR3mo_PX[[#This Row],[Column768]]</f>
        <v>97.394999999999996</v>
      </c>
      <c r="ACO18">
        <f>SOFR3mo_PX[[#This Row],[Column769]]</f>
        <v>97.444999999999993</v>
      </c>
      <c r="ACP18">
        <f>SOFR3mo_PX[[#This Row],[Column770]]</f>
        <v>97.364999999999995</v>
      </c>
      <c r="ACQ18">
        <f>SOFR3mo_PX[[#This Row],[Column771]]</f>
        <v>97.32</v>
      </c>
      <c r="ACR18">
        <f>SOFR3mo_PX[[#This Row],[Column772]]</f>
        <v>97.18</v>
      </c>
      <c r="ACS18">
        <f>SOFR3mo_PX[[#This Row],[Column773]]</f>
        <v>97.26</v>
      </c>
      <c r="ACT18">
        <f>SOFR3mo_PX[[#This Row],[Column774]]</f>
        <v>97.375</v>
      </c>
      <c r="ACU18">
        <f>SOFR3mo_PX[[#This Row],[Column775]]</f>
        <v>97.484999999999999</v>
      </c>
      <c r="ACV18">
        <f>SOFR3mo_PX[[#This Row],[Column776]]</f>
        <v>97.385000000000005</v>
      </c>
      <c r="ACW18">
        <f>SOFR3mo_PX[[#This Row],[Column777]]</f>
        <v>97.385000000000005</v>
      </c>
      <c r="ACX18">
        <f>SOFR3mo_PX[[#This Row],[Column778]]</f>
        <v>97.31</v>
      </c>
      <c r="ACY18">
        <f>SOFR3mo_PX[[#This Row],[Column779]]</f>
        <v>97.155000000000001</v>
      </c>
      <c r="ACZ18">
        <f>SOFR3mo_PX[[#This Row],[Column780]]</f>
        <v>97.05</v>
      </c>
      <c r="ADA18">
        <f>SOFR3mo_PX[[#This Row],[Column781]]</f>
        <v>97.064999999999998</v>
      </c>
      <c r="ADB18">
        <f>SOFR3mo_PX[[#This Row],[Column782]]</f>
        <v>97.135000000000005</v>
      </c>
      <c r="ADC18">
        <f>SOFR3mo_PX[[#This Row],[Column783]]</f>
        <v>97.22</v>
      </c>
      <c r="ADD18">
        <f>SOFR3mo_PX[[#This Row],[Column784]]</f>
        <v>97.12</v>
      </c>
      <c r="ADE18">
        <f>SOFR3mo_PX[[#This Row],[Column785]]</f>
        <v>96.984999999999999</v>
      </c>
      <c r="ADF18">
        <f>SOFR3mo_PX[[#This Row],[Column786]]</f>
        <v>97.05</v>
      </c>
      <c r="ADG18">
        <f>SOFR3mo_PX[[#This Row],[Column787]]</f>
        <v>97.05</v>
      </c>
      <c r="ADH18">
        <f>SOFR3mo_PX[[#This Row],[Column788]]</f>
        <v>97.004999999999995</v>
      </c>
      <c r="ADI18">
        <f>SOFR3mo_PX[[#This Row],[Column789]]</f>
        <v>96.844999999999999</v>
      </c>
      <c r="ADJ18">
        <f>SOFR3mo_PX[[#This Row],[Column790]]</f>
        <v>96.754999999999995</v>
      </c>
      <c r="ADK18">
        <f>SOFR3mo_PX[[#This Row],[Column791]]</f>
        <v>96.864999999999995</v>
      </c>
      <c r="ADL18">
        <f>SOFR3mo_PX[[#This Row],[Column792]]</f>
        <v>97.084999999999994</v>
      </c>
      <c r="ADM18">
        <f>SOFR3mo_PX[[#This Row],[Column793]]</f>
        <v>97.2</v>
      </c>
      <c r="ADN18">
        <f>SOFR3mo_PX[[#This Row],[Column794]]</f>
        <v>97.215000000000003</v>
      </c>
      <c r="ADO18">
        <f>SOFR3mo_PX[[#This Row],[Column795]]</f>
        <v>97.254999999999995</v>
      </c>
      <c r="ADP18">
        <f>SOFR3mo_PX[[#This Row],[Column796]]</f>
        <v>97.174999999999997</v>
      </c>
      <c r="ADQ18">
        <f>SOFR3mo_PX[[#This Row],[Column797]]</f>
        <v>97.284999999999997</v>
      </c>
      <c r="ADR18">
        <f>SOFR3mo_PX[[#This Row],[Column798]]</f>
        <v>97.334999999999994</v>
      </c>
      <c r="ADS18">
        <f>SOFR3mo_PX[[#This Row],[Column799]]</f>
        <v>97.295000000000002</v>
      </c>
      <c r="ADT18">
        <f>SOFR3mo_PX[[#This Row],[Column800]]</f>
        <v>97.41</v>
      </c>
      <c r="ADU18">
        <f>SOFR3mo_PX[[#This Row],[Column801]]</f>
        <v>97.484999999999999</v>
      </c>
      <c r="ADV18">
        <f>SOFR3mo_PX[[#This Row],[Column802]]</f>
        <v>97.484999999999999</v>
      </c>
      <c r="ADW18">
        <f>SOFR3mo_PX[[#This Row],[Column803]]</f>
        <v>97.495000000000005</v>
      </c>
      <c r="ADX18">
        <f>SOFR3mo_PX[[#This Row],[Column804]]</f>
        <v>97.51</v>
      </c>
      <c r="ADY18">
        <f>SOFR3mo_PX[[#This Row],[Column805]]</f>
        <v>97.474999999999994</v>
      </c>
      <c r="ADZ18">
        <f>SOFR3mo_PX[[#This Row],[Column806]]</f>
        <v>97.35</v>
      </c>
      <c r="AEA18">
        <f>SOFR3mo_PX[[#This Row],[Column807]]</f>
        <v>97.424999999999997</v>
      </c>
      <c r="AEB18">
        <f>SOFR3mo_PX[[#This Row],[Column808]]</f>
        <v>97.37</v>
      </c>
      <c r="AEC18">
        <f>SOFR3mo_PX[[#This Row],[Column809]]</f>
        <v>97.344999999999999</v>
      </c>
      <c r="AED18">
        <f>SOFR3mo_PX[[#This Row],[Column810]]</f>
        <v>97.275000000000006</v>
      </c>
      <c r="AEE18">
        <f>SOFR3mo_PX[[#This Row],[Column811]]</f>
        <v>97.38</v>
      </c>
      <c r="AEF18">
        <f>SOFR3mo_PX[[#This Row],[Column812]]</f>
        <v>97.265000000000001</v>
      </c>
      <c r="AEG18">
        <f>SOFR3mo_PX[[#This Row],[Column813]]</f>
        <v>97.38</v>
      </c>
      <c r="AEH18">
        <f>SOFR3mo_PX[[#This Row],[Column814]]</f>
        <v>97.305000000000007</v>
      </c>
      <c r="AEI18">
        <f>SOFR3mo_PX[[#This Row],[Column815]]</f>
        <v>97.23</v>
      </c>
      <c r="AEJ18">
        <f>SOFR3mo_PX[[#This Row],[Column816]]</f>
        <v>97.13</v>
      </c>
      <c r="AEK18">
        <f>SOFR3mo_PX[[#This Row],[Column817]]</f>
        <v>97.064999999999998</v>
      </c>
      <c r="AEL18">
        <f>SOFR3mo_PX[[#This Row],[Column818]]</f>
        <v>97.12</v>
      </c>
      <c r="AEM18">
        <f>SOFR3mo_PX[[#This Row],[Column819]]</f>
        <v>97.24</v>
      </c>
      <c r="AEN18">
        <f>SOFR3mo_PX[[#This Row],[Column820]]</f>
        <v>97.18</v>
      </c>
      <c r="AEO18">
        <f>SOFR3mo_PX[[#This Row],[Column821]]</f>
        <v>97.125</v>
      </c>
      <c r="AEP18">
        <f>SOFR3mo_PX[[#This Row],[Column822]]</f>
        <v>97.25</v>
      </c>
      <c r="AEQ18">
        <f>SOFR3mo_PX[[#This Row],[Column823]]</f>
        <v>97.254999999999995</v>
      </c>
      <c r="AER18">
        <f>SOFR3mo_PX[[#This Row],[Column824]]</f>
        <v>97.34</v>
      </c>
      <c r="AES18">
        <f>SOFR3mo_PX[[#This Row],[Column825]]</f>
        <v>97.375</v>
      </c>
      <c r="AET18">
        <f>SOFR3mo_PX[[#This Row],[Column826]]</f>
        <v>97.364999999999995</v>
      </c>
      <c r="AEU18">
        <f>SOFR3mo_PX[[#This Row],[Column827]]</f>
        <v>97.29</v>
      </c>
      <c r="AEV18">
        <f>SOFR3mo_PX[[#This Row],[Column828]]</f>
        <v>97.2</v>
      </c>
      <c r="AEW18">
        <f>SOFR3mo_PX[[#This Row],[Column829]]</f>
        <v>97.305000000000007</v>
      </c>
      <c r="AEX18">
        <f>SOFR3mo_PX[[#This Row],[Column830]]</f>
        <v>97.23</v>
      </c>
      <c r="AEY18">
        <f>SOFR3mo_PX[[#This Row],[Column831]]</f>
        <v>97.32</v>
      </c>
      <c r="AEZ18">
        <f>SOFR3mo_PX[[#This Row],[Column832]]</f>
        <v>97.36</v>
      </c>
      <c r="AFA18">
        <f>SOFR3mo_PX[[#This Row],[Column833]]</f>
        <v>97.36</v>
      </c>
      <c r="AFB18">
        <f>SOFR3mo_PX[[#This Row],[Column834]]</f>
        <v>97.49</v>
      </c>
      <c r="AFC18">
        <f>SOFR3mo_PX[[#This Row],[Column835]]</f>
        <v>97.46</v>
      </c>
      <c r="AFD18">
        <f>SOFR3mo_PX[[#This Row],[Column836]]</f>
        <v>97.36</v>
      </c>
      <c r="AFE18">
        <f>SOFR3mo_PX[[#This Row],[Column837]]</f>
        <v>97.444999999999993</v>
      </c>
      <c r="AFF18">
        <f>SOFR3mo_PX[[#This Row],[Column838]]</f>
        <v>97.525000000000006</v>
      </c>
      <c r="AFG18">
        <f>SOFR3mo_PX[[#This Row],[Column839]]</f>
        <v>97.545000000000002</v>
      </c>
      <c r="AFH18">
        <f>SOFR3mo_PX[[#This Row],[Column840]]</f>
        <v>97.575000000000003</v>
      </c>
      <c r="AFI18">
        <f>SOFR3mo_PX[[#This Row],[Column841]]</f>
        <v>97.78</v>
      </c>
      <c r="AFJ18">
        <f>SOFR3mo_PX[[#This Row],[Column842]]</f>
        <v>97.78</v>
      </c>
      <c r="AFK18">
        <f>SOFR3mo_PX[[#This Row],[Column843]]</f>
        <v>97.87</v>
      </c>
      <c r="AFL18">
        <f>SOFR3mo_PX[[#This Row],[Column844]]</f>
        <v>97.814999999999998</v>
      </c>
      <c r="AFM18">
        <f>SOFR3mo_PX[[#This Row],[Column845]]</f>
        <v>97.745000000000005</v>
      </c>
      <c r="AFN18">
        <f>SOFR3mo_PX[[#This Row],[Column846]]</f>
        <v>97.625</v>
      </c>
      <c r="AFO18">
        <f>SOFR3mo_PX[[#This Row],[Column847]]</f>
        <v>97.575000000000003</v>
      </c>
      <c r="AFP18">
        <f>SOFR3mo_PX[[#This Row],[Column848]]</f>
        <v>97.81</v>
      </c>
      <c r="AFQ18">
        <f>SOFR3mo_PX[[#This Row],[Column849]]</f>
        <v>97.844999999999999</v>
      </c>
      <c r="AFR18">
        <f>SOFR3mo_PX[[#This Row],[Column850]]</f>
        <v>97.795000000000002</v>
      </c>
      <c r="AFS18">
        <f>SOFR3mo_PX[[#This Row],[Column851]]</f>
        <v>97.855000000000004</v>
      </c>
      <c r="AFT18">
        <f>SOFR3mo_PX[[#This Row],[Column852]]</f>
        <v>98.03</v>
      </c>
      <c r="AFU18">
        <f>SOFR3mo_PX[[#This Row],[Column853]]</f>
        <v>97.97</v>
      </c>
      <c r="AFV18">
        <f>SOFR3mo_PX[[#This Row],[Column854]]</f>
        <v>97.91</v>
      </c>
      <c r="AFW18">
        <f>SOFR3mo_PX[[#This Row],[Column855]]</f>
        <v>97.954999999999998</v>
      </c>
      <c r="AFX18">
        <f>SOFR3mo_PX[[#This Row],[Column856]]</f>
        <v>97.98</v>
      </c>
      <c r="AFY18">
        <f>SOFR3mo_PX[[#This Row],[Column857]]</f>
        <v>98.125</v>
      </c>
      <c r="AFZ18">
        <f>SOFR3mo_PX[[#This Row],[Column858]]</f>
        <v>98.15</v>
      </c>
      <c r="AGA18">
        <f>SOFR3mo_PX[[#This Row],[Column859]]</f>
        <v>98.224999999999994</v>
      </c>
      <c r="AGB18">
        <f>SOFR3mo_PX[[#This Row],[Column860]]</f>
        <v>98.325000000000003</v>
      </c>
      <c r="AGC18">
        <f>SOFR3mo_PX[[#This Row],[Column861]]</f>
        <v>98.44</v>
      </c>
      <c r="AGD18">
        <f>SOFR3mo_PX[[#This Row],[Column862]]</f>
        <v>98.49</v>
      </c>
      <c r="AGE18">
        <f>SOFR3mo_PX[[#This Row],[Column863]]</f>
        <v>98.344999999999999</v>
      </c>
      <c r="AGF18">
        <f>SOFR3mo_PX[[#This Row],[Column864]]</f>
        <v>98.29</v>
      </c>
      <c r="AGG18">
        <f>SOFR3mo_PX[[#This Row],[Column865]]</f>
        <v>98.49</v>
      </c>
      <c r="AGH18">
        <f>SOFR3mo_PX[[#This Row],[Column866]]</f>
        <v>98.284999999999997</v>
      </c>
      <c r="AGI18">
        <f>SOFR3mo_PX[[#This Row],[Column867]]</f>
        <v>98.13</v>
      </c>
      <c r="AGJ18">
        <f>SOFR3mo_PX[[#This Row],[Column868]]</f>
        <v>98.155000000000001</v>
      </c>
      <c r="AGK18">
        <f>SOFR3mo_PX[[#This Row],[Column869]]</f>
        <v>98.144999999999996</v>
      </c>
      <c r="AGL18">
        <f>SOFR3mo_PX[[#This Row],[Column870]]</f>
        <v>98.18</v>
      </c>
      <c r="AGM18">
        <f>SOFR3mo_PX[[#This Row],[Column871]]</f>
        <v>98.185000000000002</v>
      </c>
      <c r="AGN18">
        <f>SOFR3mo_PX[[#This Row],[Column872]]</f>
        <v>98.185000000000002</v>
      </c>
      <c r="AGO18">
        <f>SOFR3mo_PX[[#This Row],[Column873]]</f>
        <v>98.144999999999996</v>
      </c>
      <c r="AGP18">
        <f>SOFR3mo_PX[[#This Row],[Column874]]</f>
        <v>98.06</v>
      </c>
      <c r="AGQ18">
        <f>SOFR3mo_PX[[#This Row],[Column875]]</f>
        <v>98.06</v>
      </c>
      <c r="AGR18">
        <f>SOFR3mo_PX[[#This Row],[Column876]]</f>
        <v>98.105000000000004</v>
      </c>
      <c r="AGS18">
        <f>SOFR3mo_PX[[#This Row],[Column877]]</f>
        <v>98.16</v>
      </c>
      <c r="AGT18">
        <f>SOFR3mo_PX[[#This Row],[Column878]]</f>
        <v>98.015000000000001</v>
      </c>
      <c r="AGU18">
        <f>SOFR3mo_PX[[#This Row],[Column879]]</f>
        <v>98.1</v>
      </c>
      <c r="AGV18">
        <f>SOFR3mo_PX[[#This Row],[Column880]]</f>
        <v>98.075000000000003</v>
      </c>
      <c r="AGW18">
        <f>SOFR3mo_PX[[#This Row],[Column881]]</f>
        <v>98.12</v>
      </c>
      <c r="AGX18">
        <f>SOFR3mo_PX[[#This Row],[Column882]]</f>
        <v>98.094999999999999</v>
      </c>
      <c r="AGY18">
        <f>SOFR3mo_PX[[#This Row],[Column883]]</f>
        <v>98.234999999999999</v>
      </c>
      <c r="AGZ18">
        <f>SOFR3mo_PX[[#This Row],[Column884]]</f>
        <v>98.305000000000007</v>
      </c>
      <c r="AHA18">
        <f>SOFR3mo_PX[[#This Row],[Column885]]</f>
        <v>98.275000000000006</v>
      </c>
      <c r="AHB18">
        <f>SOFR3mo_PX[[#This Row],[Column886]]</f>
        <v>98.27</v>
      </c>
      <c r="AHC18">
        <f>SOFR3mo_PX[[#This Row],[Column887]]</f>
        <v>98.27</v>
      </c>
      <c r="AHD18">
        <f>SOFR3mo_PX[[#This Row],[Column888]]</f>
        <v>98.224999999999994</v>
      </c>
      <c r="AHE18">
        <f>SOFR3mo_PX[[#This Row],[Column889]]</f>
        <v>98.16</v>
      </c>
      <c r="AHF18">
        <f>SOFR3mo_PX[[#This Row],[Column890]]</f>
        <v>98.24</v>
      </c>
      <c r="AHG18">
        <f>SOFR3mo_PX[[#This Row],[Column891]]</f>
        <v>98.3</v>
      </c>
      <c r="AHH18">
        <f>SOFR3mo_PX[[#This Row],[Column892]]</f>
        <v>98.26</v>
      </c>
      <c r="AHI18">
        <f>SOFR3mo_PX[[#This Row],[Column893]]</f>
        <v>98.185000000000002</v>
      </c>
      <c r="AHJ18">
        <f>SOFR3mo_PX[[#This Row],[Column894]]</f>
        <v>98.174999999999997</v>
      </c>
      <c r="AHK18">
        <f>SOFR3mo_PX[[#This Row],[Column895]]</f>
        <v>98.125</v>
      </c>
      <c r="AHL18">
        <f>SOFR3mo_PX[[#This Row],[Column896]]</f>
        <v>98.245000000000005</v>
      </c>
      <c r="AHM18">
        <f>SOFR3mo_PX[[#This Row],[Column897]]</f>
        <v>98.245000000000005</v>
      </c>
      <c r="AHN18">
        <f>SOFR3mo_PX[[#This Row],[Column898]]</f>
        <v>98.33</v>
      </c>
      <c r="AHO18">
        <f>SOFR3mo_PX[[#This Row],[Column899]]</f>
        <v>98.3</v>
      </c>
      <c r="AHP18">
        <f>SOFR3mo_PX[[#This Row],[Column900]]</f>
        <v>98.26</v>
      </c>
      <c r="AHQ18">
        <f>SOFR3mo_PX[[#This Row],[Column901]]</f>
        <v>98.194999999999993</v>
      </c>
      <c r="AHR18">
        <f>SOFR3mo_PX[[#This Row],[Column902]]</f>
        <v>98.234999999999999</v>
      </c>
      <c r="AHS18">
        <f>SOFR3mo_PX[[#This Row],[Column903]]</f>
        <v>98.29</v>
      </c>
      <c r="AHT18">
        <f>SOFR3mo_PX[[#This Row],[Column904]]</f>
        <v>98.33</v>
      </c>
      <c r="AHU18">
        <f>SOFR3mo_PX[[#This Row],[Column905]]</f>
        <v>98.37</v>
      </c>
      <c r="AHV18">
        <f>SOFR3mo_PX[[#This Row],[Column906]]</f>
        <v>98.405000000000001</v>
      </c>
      <c r="AHW18">
        <f>SOFR3mo_PX[[#This Row],[Column907]]</f>
        <v>98.54</v>
      </c>
      <c r="AHX18">
        <f>SOFR3mo_PX[[#This Row],[Column908]]</f>
        <v>98.525000000000006</v>
      </c>
      <c r="AHY18">
        <f>SOFR3mo_PX[[#This Row],[Column909]]</f>
        <v>98.515000000000001</v>
      </c>
      <c r="AHZ18">
        <f>SOFR3mo_PX[[#This Row],[Column910]]</f>
        <v>98.57</v>
      </c>
      <c r="AIA18">
        <f>SOFR3mo_PX[[#This Row],[Column911]]</f>
        <v>98.56</v>
      </c>
      <c r="AIB18">
        <f>SOFR3mo_PX[[#This Row],[Column912]]</f>
        <v>98.555000000000007</v>
      </c>
      <c r="AIC18">
        <f>SOFR3mo_PX[[#This Row],[Column913]]</f>
        <v>98.555000000000007</v>
      </c>
      <c r="AID18">
        <f>SOFR3mo_PX[[#This Row],[Column914]]</f>
        <v>98.57</v>
      </c>
      <c r="AIE18">
        <f>SOFR3mo_PX[[#This Row],[Column915]]</f>
        <v>98.555000000000007</v>
      </c>
      <c r="AIF18">
        <f>SOFR3mo_PX[[#This Row],[Column916]]</f>
        <v>98.64</v>
      </c>
      <c r="AIG18">
        <f>SOFR3mo_PX[[#This Row],[Column917]]</f>
        <v>98.655000000000001</v>
      </c>
      <c r="AIH18">
        <f>SOFR3mo_PX[[#This Row],[Column918]]</f>
        <v>98.64</v>
      </c>
      <c r="AII18">
        <f>SOFR3mo_PX[[#This Row],[Column919]]</f>
        <v>98.55</v>
      </c>
      <c r="AIJ18">
        <f>SOFR3mo_PX[[#This Row],[Column920]]</f>
        <v>98.55</v>
      </c>
      <c r="AIK18">
        <f>SOFR3mo_PX[[#This Row],[Column921]]</f>
        <v>98.564999999999998</v>
      </c>
      <c r="AIL18">
        <f>SOFR3mo_PX[[#This Row],[Column922]]</f>
        <v>98.515000000000001</v>
      </c>
      <c r="AIM18">
        <f>SOFR3mo_PX[[#This Row],[Column923]]</f>
        <v>98.525000000000006</v>
      </c>
      <c r="AIN18">
        <f>SOFR3mo_PX[[#This Row],[Column924]]</f>
        <v>98.5</v>
      </c>
      <c r="AIO18">
        <f>SOFR3mo_PX[[#This Row],[Column925]]</f>
        <v>98.515000000000001</v>
      </c>
      <c r="AIP18">
        <f>SOFR3mo_PX[[#This Row],[Column926]]</f>
        <v>98.57</v>
      </c>
      <c r="AIQ18">
        <f>SOFR3mo_PX[[#This Row],[Column927]]</f>
        <v>98.7</v>
      </c>
      <c r="AIR18">
        <f>SOFR3mo_PX[[#This Row],[Column928]]</f>
        <v>98.59</v>
      </c>
      <c r="AIS18">
        <f>SOFR3mo_PX[[#This Row],[Column929]]</f>
        <v>98.62</v>
      </c>
      <c r="AIT18">
        <f>SOFR3mo_PX[[#This Row],[Column930]]</f>
        <v>98.584999999999994</v>
      </c>
      <c r="AIU18">
        <f>SOFR3mo_PX[[#This Row],[Column931]]</f>
        <v>98.51</v>
      </c>
      <c r="AIV18">
        <f>SOFR3mo_PX[[#This Row],[Column932]]</f>
        <v>98.53</v>
      </c>
      <c r="AIW18">
        <f>SOFR3mo_PX[[#This Row],[Column933]]</f>
        <v>98.36</v>
      </c>
      <c r="AIX18">
        <f>SOFR3mo_PX[[#This Row],[Column934]]</f>
        <v>98.36</v>
      </c>
      <c r="AIY18">
        <f>SOFR3mo_PX[[#This Row],[Column935]]</f>
        <v>98.355000000000004</v>
      </c>
      <c r="AIZ18">
        <f>SOFR3mo_PX[[#This Row],[Column936]]</f>
        <v>98.385000000000005</v>
      </c>
      <c r="AJA18">
        <f>SOFR3mo_PX[[#This Row],[Column937]]</f>
        <v>98.51</v>
      </c>
      <c r="AJB18">
        <f>SOFR3mo_PX[[#This Row],[Column938]]</f>
        <v>98.47</v>
      </c>
      <c r="AJC18">
        <f>SOFR3mo_PX[[#This Row],[Column939]]</f>
        <v>98.435000000000002</v>
      </c>
      <c r="AJD18">
        <f>SOFR3mo_PX[[#This Row],[Column940]]</f>
        <v>98.41</v>
      </c>
      <c r="AJE18">
        <f>SOFR3mo_PX[[#This Row],[Column941]]</f>
        <v>98.444999999999993</v>
      </c>
      <c r="AJF18">
        <f>SOFR3mo_PX[[#This Row],[Column942]]</f>
        <v>98.474999999999994</v>
      </c>
      <c r="AJG18">
        <f>SOFR3mo_PX[[#This Row],[Column943]]</f>
        <v>98.47</v>
      </c>
      <c r="AJH18">
        <f>SOFR3mo_PX[[#This Row],[Column944]]</f>
        <v>98.504999999999995</v>
      </c>
      <c r="AJI18">
        <f>SOFR3mo_PX[[#This Row],[Column945]]</f>
        <v>98.66</v>
      </c>
      <c r="AJJ18">
        <f>SOFR3mo_PX[[#This Row],[Column946]]</f>
        <v>98.59</v>
      </c>
      <c r="AJK18">
        <f>SOFR3mo_PX[[#This Row],[Column947]]</f>
        <v>98.655000000000001</v>
      </c>
      <c r="AJL18">
        <f>SOFR3mo_PX[[#This Row],[Column948]]</f>
        <v>98.57</v>
      </c>
      <c r="AJM18">
        <f>SOFR3mo_PX[[#This Row],[Column949]]</f>
        <v>98.504999999999995</v>
      </c>
      <c r="AJN18">
        <f>SOFR3mo_PX[[#This Row],[Column950]]</f>
        <v>98.55</v>
      </c>
      <c r="AJO18">
        <f>SOFR3mo_PX[[#This Row],[Column951]]</f>
        <v>98.555000000000007</v>
      </c>
      <c r="AJP18">
        <f>SOFR3mo_PX[[#This Row],[Column952]]</f>
        <v>98.584999999999994</v>
      </c>
      <c r="AJQ18">
        <f>SOFR3mo_PX[[#This Row],[Column953]]</f>
        <v>98.555000000000007</v>
      </c>
      <c r="AJR18">
        <f>SOFR3mo_PX[[#This Row],[Column954]]</f>
        <v>98.555000000000007</v>
      </c>
      <c r="AJS18">
        <f>SOFR3mo_PX[[#This Row],[Column955]]</f>
        <v>98.424999999999997</v>
      </c>
      <c r="AJT18">
        <f>SOFR3mo_PX[[#This Row],[Column956]]</f>
        <v>98.43</v>
      </c>
      <c r="AJU18">
        <f>SOFR3mo_PX[[#This Row],[Column957]]</f>
        <v>98.424999999999997</v>
      </c>
      <c r="AJV18">
        <f>SOFR3mo_PX[[#This Row],[Column958]]</f>
        <v>98.39</v>
      </c>
      <c r="AJW18">
        <f>SOFR3mo_PX[[#This Row],[Column959]]</f>
        <v>98.454999999999998</v>
      </c>
      <c r="AJX18">
        <f>SOFR3mo_PX[[#This Row],[Column960]]</f>
        <v>98.45</v>
      </c>
      <c r="AJY18">
        <f>SOFR3mo_PX[[#This Row],[Column961]]</f>
        <v>98.46</v>
      </c>
      <c r="AJZ18">
        <f>SOFR3mo_PX[[#This Row],[Column962]]</f>
        <v>98.48</v>
      </c>
      <c r="AKA18">
        <f>SOFR3mo_PX[[#This Row],[Column963]]</f>
        <v>98.55</v>
      </c>
      <c r="AKB18">
        <f>SOFR3mo_PX[[#This Row],[Column964]]</f>
        <v>98.495000000000005</v>
      </c>
      <c r="AKC18">
        <f>SOFR3mo_PX[[#This Row],[Column965]]</f>
        <v>98.465000000000003</v>
      </c>
      <c r="AKD18">
        <f>SOFR3mo_PX[[#This Row],[Column966]]</f>
        <v>98.435000000000002</v>
      </c>
      <c r="AKE18">
        <f>SOFR3mo_PX[[#This Row],[Column967]]</f>
        <v>98.46</v>
      </c>
      <c r="AKF18">
        <f>SOFR3mo_PX[[#This Row],[Column968]]</f>
        <v>98.504999999999995</v>
      </c>
      <c r="AKG18">
        <f>SOFR3mo_PX[[#This Row],[Column969]]</f>
        <v>98.555000000000007</v>
      </c>
      <c r="AKH18">
        <f>SOFR3mo_PX[[#This Row],[Column970]]</f>
        <v>98.56</v>
      </c>
      <c r="AKI18">
        <f>SOFR3mo_PX[[#This Row],[Column971]]</f>
        <v>98.605000000000004</v>
      </c>
      <c r="AKJ18">
        <f>SOFR3mo_PX[[#This Row],[Column972]]</f>
        <v>98.6</v>
      </c>
      <c r="AKK18">
        <f>SOFR3mo_PX[[#This Row],[Column973]]</f>
        <v>98.515000000000001</v>
      </c>
      <c r="AKL18">
        <f>SOFR3mo_PX[[#This Row],[Column974]]</f>
        <v>98.495000000000005</v>
      </c>
      <c r="AKM18">
        <f>SOFR3mo_PX[[#This Row],[Column975]]</f>
        <v>98.474999999999994</v>
      </c>
      <c r="AKN18">
        <f>SOFR3mo_PX[[#This Row],[Column976]]</f>
        <v>98.525000000000006</v>
      </c>
      <c r="AKO18">
        <f>SOFR3mo_PX[[#This Row],[Column977]]</f>
        <v>98.56</v>
      </c>
      <c r="AKP18">
        <f>SOFR3mo_PX[[#This Row],[Column978]]</f>
        <v>98.6</v>
      </c>
      <c r="AKQ18">
        <f>SOFR3mo_PX[[#This Row],[Column979]]</f>
        <v>98.674999999999997</v>
      </c>
      <c r="AKR18">
        <f>SOFR3mo_PX[[#This Row],[Column980]]</f>
        <v>98.724999999999994</v>
      </c>
      <c r="AKS18">
        <f>SOFR3mo_PX[[#This Row],[Column981]]</f>
        <v>98.73</v>
      </c>
      <c r="AKT18">
        <f>SOFR3mo_PX[[#This Row],[Column982]]</f>
        <v>98.66</v>
      </c>
      <c r="AKU18">
        <f>SOFR3mo_PX[[#This Row],[Column983]]</f>
        <v>98.715000000000003</v>
      </c>
      <c r="AKV18">
        <f>SOFR3mo_PX[[#This Row],[Column984]]</f>
        <v>98.775000000000006</v>
      </c>
      <c r="AKW18">
        <f>SOFR3mo_PX[[#This Row],[Column985]]</f>
        <v>98.855000000000004</v>
      </c>
      <c r="AKX18">
        <f>SOFR3mo_PX[[#This Row],[Column986]]</f>
        <v>98.825000000000003</v>
      </c>
      <c r="AKY18">
        <f>SOFR3mo_PX[[#This Row],[Column987]]</f>
        <v>98.81</v>
      </c>
      <c r="AKZ18">
        <f>SOFR3mo_PX[[#This Row],[Column988]]</f>
        <v>98.86</v>
      </c>
      <c r="ALA18">
        <f>SOFR3mo_PX[[#This Row],[Column989]]</f>
        <v>98.825000000000003</v>
      </c>
      <c r="ALB18">
        <f>SOFR3mo_PX[[#This Row],[Column990]]</f>
        <v>98.805000000000007</v>
      </c>
      <c r="ALC18">
        <f>SOFR3mo_PX[[#This Row],[Column991]]</f>
        <v>98.86</v>
      </c>
      <c r="ALD18">
        <f>SOFR3mo_PX[[#This Row],[Column992]]</f>
        <v>98.86</v>
      </c>
      <c r="ALE18">
        <f>SOFR3mo_PX[[#This Row],[Column993]]</f>
        <v>98.885000000000005</v>
      </c>
      <c r="ALF18">
        <f>SOFR3mo_PX[[#This Row],[Column994]]</f>
        <v>98.875</v>
      </c>
      <c r="ALG18">
        <f>SOFR3mo_PX[[#This Row],[Column995]]</f>
        <v>98.88</v>
      </c>
      <c r="ALH18">
        <f>SOFR3mo_PX[[#This Row],[Column996]]</f>
        <v>98.89</v>
      </c>
      <c r="ALI18">
        <f>SOFR3mo_PX[[#This Row],[Column997]]</f>
        <v>98.84</v>
      </c>
      <c r="ALJ18">
        <f>SOFR3mo_PX[[#This Row],[Column998]]</f>
        <v>98.795000000000002</v>
      </c>
      <c r="ALK18">
        <f>SOFR3mo_PX[[#This Row],[Column999]]</f>
        <v>98.805000000000007</v>
      </c>
      <c r="ALL18">
        <f>SOFR3mo_PX[[#This Row],[Column1000]]</f>
        <v>98.864999999999995</v>
      </c>
      <c r="ALM18">
        <f>SOFR3mo_PX[[#This Row],[Column1001]]</f>
        <v>98.9</v>
      </c>
      <c r="ALN18">
        <f>SOFR3mo_PX[[#This Row],[Column1002]]</f>
        <v>98.89</v>
      </c>
      <c r="ALO18">
        <f>SOFR3mo_PX[[#This Row],[Column1003]]</f>
        <v>98.91</v>
      </c>
      <c r="ALP18">
        <f>SOFR3mo_PX[[#This Row],[Column1004]]</f>
        <v>98.885000000000005</v>
      </c>
      <c r="ALQ18">
        <f>SOFR3mo_PX[[#This Row],[Column1005]]</f>
        <v>98.905000000000001</v>
      </c>
      <c r="ALR18">
        <f>SOFR3mo_PX[[#This Row],[Column1006]]</f>
        <v>98.91</v>
      </c>
      <c r="ALS18">
        <f>SOFR3mo_PX[[#This Row],[Column1007]]</f>
        <v>98.844999999999999</v>
      </c>
      <c r="ALT18">
        <f>SOFR3mo_PX[[#This Row],[Column1008]]</f>
        <v>98.775000000000006</v>
      </c>
      <c r="ALU18">
        <f>SOFR3mo_PX[[#This Row],[Column1009]]</f>
        <v>98.79</v>
      </c>
      <c r="ALV18">
        <f>SOFR3mo_PX[[#This Row],[Column1010]]</f>
        <v>98.79</v>
      </c>
      <c r="ALW18">
        <f>SOFR3mo_PX[[#This Row],[Column1011]]</f>
        <v>98.82</v>
      </c>
      <c r="ALX18">
        <f>SOFR3mo_PX[[#This Row],[Column1012]]</f>
        <v>98.875</v>
      </c>
      <c r="ALY18">
        <f>SOFR3mo_PX[[#This Row],[Column1013]]</f>
        <v>98.944999999999993</v>
      </c>
      <c r="ALZ18">
        <f>SOFR3mo_PX[[#This Row],[Column1014]]</f>
        <v>99</v>
      </c>
      <c r="AMA18">
        <f>SOFR3mo_PX[[#This Row],[Column1015]]</f>
        <v>99.045000000000002</v>
      </c>
      <c r="AMB18">
        <f>SOFR3mo_PX[[#This Row],[Column1016]]</f>
        <v>99.03</v>
      </c>
      <c r="AMC18">
        <f>SOFR3mo_PX[[#This Row],[Column1017]]</f>
        <v>98.95</v>
      </c>
      <c r="AMD18">
        <f>SOFR3mo_PX[[#This Row],[Column1018]]</f>
        <v>98.915000000000006</v>
      </c>
      <c r="AME18">
        <f>SOFR3mo_PX[[#This Row],[Column1019]]</f>
        <v>98.915000000000006</v>
      </c>
      <c r="AMF18">
        <f>SOFR3mo_PX[[#This Row],[Column1020]]</f>
        <v>98.97</v>
      </c>
      <c r="AMG18">
        <f>SOFR3mo_PX[[#This Row],[Column1021]]</f>
        <v>98.935000000000002</v>
      </c>
      <c r="AMH18">
        <f>SOFR3mo_PX[[#This Row],[Column1022]]</f>
        <v>98.924999999999997</v>
      </c>
      <c r="AMI18">
        <f>SOFR3mo_PX[[#This Row],[Column1023]]</f>
        <v>98.94</v>
      </c>
      <c r="AMJ18">
        <f>SOFR3mo_PX[[#This Row],[Column1024]]</f>
        <v>98.93</v>
      </c>
      <c r="AMK18">
        <f>SOFR3mo_PX[[#This Row],[Column1025]]</f>
        <v>99.03</v>
      </c>
      <c r="AML18">
        <f>SOFR3mo_PX[[#This Row],[Column1026]]</f>
        <v>99.025000000000006</v>
      </c>
      <c r="AMM18">
        <f>SOFR3mo_PX[[#This Row],[Column1027]]</f>
        <v>98.85</v>
      </c>
      <c r="AMN18">
        <f>SOFR3mo_PX[[#This Row],[Column1028]]</f>
        <v>98.85</v>
      </c>
      <c r="AMO18">
        <f>SOFR3mo_PX[[#This Row],[Column1029]]</f>
        <v>98.795000000000002</v>
      </c>
      <c r="AMP18">
        <f>SOFR3mo_PX[[#This Row],[Column1030]]</f>
        <v>98.74</v>
      </c>
      <c r="AMQ18">
        <f>SOFR3mo_PX[[#This Row],[Column1031]]</f>
        <v>98.805000000000007</v>
      </c>
      <c r="AMR18">
        <f>SOFR3mo_PX[[#This Row],[Column1032]]</f>
        <v>98.8</v>
      </c>
      <c r="AMS18">
        <f>SOFR3mo_PX[[#This Row],[Column1033]]</f>
        <v>98.875</v>
      </c>
      <c r="AMT18">
        <f>SOFR3mo_PX[[#This Row],[Column1034]]</f>
        <v>98.814999999999998</v>
      </c>
      <c r="AMU18">
        <f>SOFR3mo_PX[[#This Row],[Column1035]]</f>
        <v>98.77</v>
      </c>
      <c r="AMV18">
        <f>SOFR3mo_PX[[#This Row],[Column1036]]</f>
        <v>98.68</v>
      </c>
      <c r="AMW18">
        <f>SOFR3mo_PX[[#This Row],[Column1037]]</f>
        <v>98.68</v>
      </c>
      <c r="AMX18">
        <f>SOFR3mo_PX[[#This Row],[Column1038]]</f>
        <v>98.614999999999995</v>
      </c>
      <c r="AMY18">
        <f>SOFR3mo_PX[[#This Row],[Column1039]]</f>
        <v>98.665000000000006</v>
      </c>
      <c r="AMZ18">
        <f>SOFR3mo_PX[[#This Row],[Column1040]]</f>
        <v>98.63</v>
      </c>
      <c r="ANA18">
        <f>SOFR3mo_PX[[#This Row],[Column1041]]</f>
        <v>98.63</v>
      </c>
      <c r="ANB18">
        <f>SOFR3mo_PX[[#This Row],[Column1042]]</f>
        <v>98.6</v>
      </c>
      <c r="ANC18">
        <f>SOFR3mo_PX[[#This Row],[Column1043]]</f>
        <v>98.64</v>
      </c>
      <c r="AND18">
        <f>SOFR3mo_PX[[#This Row],[Column1044]]</f>
        <v>98.65</v>
      </c>
      <c r="ANE18">
        <f>SOFR3mo_PX[[#This Row],[Column1045]]</f>
        <v>98.68</v>
      </c>
      <c r="ANF18">
        <f>SOFR3mo_PX[[#This Row],[Column1046]]</f>
        <v>98.67</v>
      </c>
      <c r="ANG18">
        <f>SOFR3mo_PX[[#This Row],[Column1047]]</f>
        <v>98.665000000000006</v>
      </c>
      <c r="ANH18">
        <f>SOFR3mo_PX[[#This Row],[Column1048]]</f>
        <v>98.62</v>
      </c>
      <c r="ANI18">
        <f>SOFR3mo_PX[[#This Row],[Column1049]]</f>
        <v>98.555000000000007</v>
      </c>
      <c r="ANJ18">
        <f>SOFR3mo_PX[[#This Row],[Column1050]]</f>
        <v>98.8</v>
      </c>
      <c r="ANK18">
        <f>SOFR3mo_PX[[#This Row],[Column1051]]</f>
        <v>98.79</v>
      </c>
      <c r="ANL18">
        <f>SOFR3mo_PX[[#This Row],[Column1052]]</f>
        <v>98.834999999999994</v>
      </c>
      <c r="ANM18">
        <f>SOFR3mo_PX[[#This Row],[Column1053]]</f>
        <v>98.87</v>
      </c>
      <c r="ANN18">
        <f>SOFR3mo_PX[[#This Row],[Column1054]]</f>
        <v>98.84</v>
      </c>
      <c r="ANO18">
        <f>SOFR3mo_PX[[#This Row],[Column1055]]</f>
        <v>98.79</v>
      </c>
      <c r="ANP18">
        <f>SOFR3mo_PX[[#This Row],[Column1056]]</f>
        <v>98.745000000000005</v>
      </c>
      <c r="ANQ18">
        <f>SOFR3mo_PX[[#This Row],[Column1057]]</f>
        <v>98.745000000000005</v>
      </c>
      <c r="ANR18">
        <f>SOFR3mo_PX[[#This Row],[Column1058]]</f>
        <v>98.655000000000001</v>
      </c>
      <c r="ANS18">
        <f>SOFR3mo_PX[[#This Row],[Column1059]]</f>
        <v>98.704999999999998</v>
      </c>
      <c r="ANT18">
        <f>SOFR3mo_PX[[#This Row],[Column1060]]</f>
        <v>98.67</v>
      </c>
      <c r="ANU18">
        <f>SOFR3mo_PX[[#This Row],[Column1061]]</f>
        <v>98.704999999999998</v>
      </c>
      <c r="ANV18">
        <f>SOFR3mo_PX[[#This Row],[Column1062]]</f>
        <v>98.704999999999998</v>
      </c>
      <c r="ANW18">
        <f>SOFR3mo_PX[[#This Row],[Column1063]]</f>
        <v>98.7</v>
      </c>
      <c r="ANX18">
        <f>SOFR3mo_PX[[#This Row],[Column1064]]</f>
        <v>98.734999999999999</v>
      </c>
      <c r="ANY18">
        <f>SOFR3mo_PX[[#This Row],[Column1065]]</f>
        <v>98.74</v>
      </c>
      <c r="ANZ18">
        <f>SOFR3mo_PX[[#This Row],[Column1066]]</f>
        <v>98.685000000000002</v>
      </c>
      <c r="AOA18">
        <f>SOFR3mo_PX[[#This Row],[Column1067]]</f>
        <v>98.65</v>
      </c>
      <c r="AOB18">
        <f>SOFR3mo_PX[[#This Row],[Column1068]]</f>
        <v>98.665000000000006</v>
      </c>
      <c r="AOC18">
        <f>SOFR3mo_PX[[#This Row],[Column1069]]</f>
        <v>98.605000000000004</v>
      </c>
      <c r="AOD18">
        <f>SOFR3mo_PX[[#This Row],[Column1070]]</f>
        <v>98.665000000000006</v>
      </c>
      <c r="AOE18">
        <f>SOFR3mo_PX[[#This Row],[Column1071]]</f>
        <v>98.665000000000006</v>
      </c>
      <c r="AOF18">
        <f>SOFR3mo_PX[[#This Row],[Column1072]]</f>
        <v>98.67</v>
      </c>
      <c r="AOG18">
        <f>SOFR3mo_PX[[#This Row],[Column1073]]</f>
        <v>98.655000000000001</v>
      </c>
      <c r="AOH18">
        <f>SOFR3mo_PX[[#This Row],[Column1074]]</f>
        <v>98.6</v>
      </c>
      <c r="AOI18">
        <f>SOFR3mo_PX[[#This Row],[Column1075]]</f>
        <v>98.7</v>
      </c>
      <c r="AOJ18">
        <f>SOFR3mo_PX[[#This Row],[Column1076]]</f>
        <v>98.724999999999994</v>
      </c>
      <c r="AOK18">
        <f>SOFR3mo_PX[[#This Row],[Column1077]]</f>
        <v>98.724999999999994</v>
      </c>
      <c r="AOL18">
        <f>SOFR3mo_PX[[#This Row],[Column1078]]</f>
        <v>98.674999999999997</v>
      </c>
      <c r="AOM18">
        <f>SOFR3mo_PX[[#This Row],[Column1079]]</f>
        <v>98.66</v>
      </c>
      <c r="AON18">
        <f>SOFR3mo_PX[[#This Row],[Column1080]]</f>
        <v>98.64</v>
      </c>
      <c r="AOO18">
        <f>SOFR3mo_PX[[#This Row],[Column1081]]</f>
        <v>98.614999999999995</v>
      </c>
      <c r="AOP18">
        <f>SOFR3mo_PX[[#This Row],[Column1082]]</f>
        <v>98.58</v>
      </c>
      <c r="AOQ18">
        <f>SOFR3mo_PX[[#This Row],[Column1083]]</f>
        <v>98.58</v>
      </c>
      <c r="AOR18">
        <f>SOFR3mo_PX[[#This Row],[Column1084]]</f>
        <v>98.584999999999994</v>
      </c>
      <c r="AOS18">
        <f>SOFR3mo_PX[[#This Row],[Column1085]]</f>
        <v>98.59</v>
      </c>
      <c r="AOT18">
        <f>SOFR3mo_PX[[#This Row],[Column1086]]</f>
        <v>98.644999999999996</v>
      </c>
      <c r="AOU18">
        <f>SOFR3mo_PX[[#This Row],[Column1087]]</f>
        <v>98.655000000000001</v>
      </c>
      <c r="AOV18">
        <f>SOFR3mo_PX[[#This Row],[Column1088]]</f>
        <v>98.685000000000002</v>
      </c>
      <c r="AOW18">
        <f>SOFR3mo_PX[[#This Row],[Column1089]]</f>
        <v>98.685000000000002</v>
      </c>
      <c r="AOX18">
        <f>SOFR3mo_PX[[#This Row],[Column1090]]</f>
        <v>98.69</v>
      </c>
      <c r="AOY18">
        <f>SOFR3mo_PX[[#This Row],[Column1091]]</f>
        <v>98.665000000000006</v>
      </c>
      <c r="AOZ18">
        <f>SOFR3mo_PX[[#This Row],[Column1092]]</f>
        <v>98.674999999999997</v>
      </c>
      <c r="APA18">
        <f>SOFR3mo_PX[[#This Row],[Column1093]]</f>
        <v>98.71</v>
      </c>
      <c r="APB18">
        <f>SOFR3mo_PX[[#This Row],[Column1094]]</f>
        <v>98.575000000000003</v>
      </c>
      <c r="APC18">
        <f>SOFR3mo_PX[[#This Row],[Column1095]]</f>
        <v>98.58</v>
      </c>
      <c r="APD18">
        <f>SOFR3mo_PX[[#This Row],[Column1096]]</f>
        <v>98.49</v>
      </c>
      <c r="APE18">
        <f>SOFR3mo_PX[[#This Row],[Column1097]]</f>
        <v>98.515000000000001</v>
      </c>
      <c r="APF18">
        <f>SOFR3mo_PX[[#This Row],[Column1098]]</f>
        <v>98.545000000000002</v>
      </c>
      <c r="APG18">
        <f>SOFR3mo_PX[[#This Row],[Column1099]]</f>
        <v>98.504999999999995</v>
      </c>
      <c r="APH18">
        <f>SOFR3mo_PX[[#This Row],[Column1100]]</f>
        <v>98.47</v>
      </c>
      <c r="API18">
        <f>SOFR3mo_PX[[#This Row],[Column1101]]</f>
        <v>98.364999999999995</v>
      </c>
      <c r="APJ18">
        <f>SOFR3mo_PX[[#This Row],[Column1102]]</f>
        <v>98.33</v>
      </c>
      <c r="APK18">
        <f>SOFR3mo_PX[[#This Row],[Column1103]]</f>
        <v>98.43</v>
      </c>
      <c r="APL18">
        <f>SOFR3mo_PX[[#This Row],[Column1104]]</f>
        <v>98.394999999999996</v>
      </c>
      <c r="APM18">
        <f>SOFR3mo_PX[[#This Row],[Column1105]]</f>
        <v>98.44</v>
      </c>
      <c r="APN18">
        <f>SOFR3mo_PX[[#This Row],[Column1106]]</f>
        <v>98.48</v>
      </c>
      <c r="APO18">
        <f>SOFR3mo_PX[[#This Row],[Column1107]]</f>
        <v>98.55</v>
      </c>
      <c r="APP18">
        <f>SOFR3mo_PX[[#This Row],[Column1108]]</f>
        <v>98.605000000000004</v>
      </c>
      <c r="APQ18">
        <f>SOFR3mo_PX[[#This Row],[Column1109]]</f>
        <v>98.594999999999999</v>
      </c>
      <c r="APR18">
        <f>SOFR3mo_PX[[#This Row],[Column1110]]</f>
        <v>98.575000000000003</v>
      </c>
      <c r="APS18">
        <f>SOFR3mo_PX[[#This Row],[Column1111]]</f>
        <v>98.52</v>
      </c>
      <c r="APT18">
        <f>SOFR3mo_PX[[#This Row],[Column1112]]</f>
        <v>98.49</v>
      </c>
      <c r="APU18">
        <f>SOFR3mo_PX[[#This Row],[Column1113]]</f>
        <v>98.545000000000002</v>
      </c>
      <c r="APV18">
        <f>SOFR3mo_PX[[#This Row],[Column1114]]</f>
        <v>98.655000000000001</v>
      </c>
      <c r="APW18">
        <f>SOFR3mo_PX[[#This Row],[Column1115]]</f>
        <v>98.734999999999999</v>
      </c>
      <c r="APX18">
        <f>SOFR3mo_PX[[#This Row],[Column1116]]</f>
        <v>98.724999999999994</v>
      </c>
      <c r="APY18">
        <f>SOFR3mo_PX[[#This Row],[Column1117]]</f>
        <v>98.71</v>
      </c>
      <c r="APZ18">
        <f>SOFR3mo_PX[[#This Row],[Column1118]]</f>
        <v>98.78</v>
      </c>
      <c r="AQA18">
        <f>SOFR3mo_PX[[#This Row],[Column1119]]</f>
        <v>98.78</v>
      </c>
      <c r="AQB18">
        <f>SOFR3mo_PX[[#This Row],[Column1120]]</f>
        <v>98.75</v>
      </c>
      <c r="AQC18">
        <f>SOFR3mo_PX[[#This Row],[Column1121]]</f>
        <v>98.694999999999993</v>
      </c>
      <c r="AQD18">
        <f>SOFR3mo_PX[[#This Row],[Column1122]]</f>
        <v>98.76</v>
      </c>
      <c r="AQE18">
        <f>SOFR3mo_PX[[#This Row],[Column1123]]</f>
        <v>98.75</v>
      </c>
      <c r="AQF18">
        <f>SOFR3mo_PX[[#This Row],[Column1124]]</f>
        <v>98.814999999999998</v>
      </c>
      <c r="AQG18">
        <f>SOFR3mo_PX[[#This Row],[Column1125]]</f>
        <v>98.87</v>
      </c>
      <c r="AQH18">
        <f>SOFR3mo_PX[[#This Row],[Column1126]]</f>
        <v>98.83</v>
      </c>
      <c r="AQI18">
        <f>SOFR3mo_PX[[#This Row],[Column1127]]</f>
        <v>98.784999999999997</v>
      </c>
      <c r="AQJ18">
        <f>SOFR3mo_PX[[#This Row],[Column1128]]</f>
        <v>98.79</v>
      </c>
      <c r="AQK18">
        <f>SOFR3mo_PX[[#This Row],[Column1129]]</f>
        <v>99.015000000000001</v>
      </c>
      <c r="AQL18">
        <f>SOFR3mo_PX[[#This Row],[Column1130]]</f>
        <v>99.04</v>
      </c>
      <c r="AQM18">
        <f>SOFR3mo_PX[[#This Row],[Column1131]]</f>
        <v>99.03</v>
      </c>
      <c r="AQN18">
        <f>SOFR3mo_PX[[#This Row],[Column1132]]</f>
        <v>99.064999999999998</v>
      </c>
      <c r="AQO18">
        <f>SOFR3mo_PX[[#This Row],[Column1133]]</f>
        <v>99.11</v>
      </c>
      <c r="AQP18">
        <f>SOFR3mo_PX[[#This Row],[Column1134]]</f>
        <v>99.084999999999994</v>
      </c>
      <c r="AQQ18">
        <f>SOFR3mo_PX[[#This Row],[Column1135]]</f>
        <v>99.11</v>
      </c>
      <c r="AQR18">
        <f>SOFR3mo_PX[[#This Row],[Column1136]]</f>
        <v>99.23</v>
      </c>
      <c r="AQS18">
        <f>SOFR3mo_PX[[#This Row],[Column1137]]</f>
        <v>99.23</v>
      </c>
      <c r="AQT18">
        <f>SOFR3mo_PX[[#This Row],[Column1138]]</f>
        <v>99.275000000000006</v>
      </c>
      <c r="AQU18">
        <f>SOFR3mo_PX[[#This Row],[Column1139]]</f>
        <v>99.284999999999997</v>
      </c>
      <c r="AQV18">
        <f>SOFR3mo_PX[[#This Row],[Column1140]]</f>
        <v>99.27</v>
      </c>
      <c r="AQW18">
        <f>SOFR3mo_PX[[#This Row],[Column1141]]</f>
        <v>99.26</v>
      </c>
      <c r="AQX18">
        <f>SOFR3mo_PX[[#This Row],[Column1142]]</f>
        <v>99.28</v>
      </c>
      <c r="AQY18">
        <f>SOFR3mo_PX[[#This Row],[Column1143]]</f>
        <v>99.284999999999997</v>
      </c>
      <c r="AQZ18">
        <f>SOFR3mo_PX[[#This Row],[Column1144]]</f>
        <v>99.34</v>
      </c>
      <c r="ARA18">
        <f>SOFR3mo_PX[[#This Row],[Column1145]]</f>
        <v>99.355000000000004</v>
      </c>
      <c r="ARB18">
        <f>SOFR3mo_PX[[#This Row],[Column1146]]</f>
        <v>99.375</v>
      </c>
      <c r="ARC18">
        <f>SOFR3mo_PX[[#This Row],[Column1147]]</f>
        <v>99.375</v>
      </c>
      <c r="ARD18">
        <f>SOFR3mo_PX[[#This Row],[Column1148]]</f>
        <v>99.38</v>
      </c>
      <c r="ARE18">
        <f>SOFR3mo_PX[[#This Row],[Column1149]]</f>
        <v>99.41</v>
      </c>
      <c r="ARF18">
        <f>SOFR3mo_PX[[#This Row],[Column1150]]</f>
        <v>99.394999999999996</v>
      </c>
      <c r="ARG18">
        <f>SOFR3mo_PX[[#This Row],[Column1151]]</f>
        <v>99.4</v>
      </c>
      <c r="ARH18">
        <f>SOFR3mo_PX[[#This Row],[Column1152]]</f>
        <v>99.385000000000005</v>
      </c>
      <c r="ARI18">
        <f>SOFR3mo_PX[[#This Row],[Column1153]]</f>
        <v>99.38</v>
      </c>
      <c r="ARJ18">
        <f>SOFR3mo_PX[[#This Row],[Column1154]]</f>
        <v>99.394999999999996</v>
      </c>
      <c r="ARK18">
        <f>SOFR3mo_PX[[#This Row],[Column1155]]</f>
        <v>99.394999999999996</v>
      </c>
      <c r="ARL18">
        <f>SOFR3mo_PX[[#This Row],[Column1156]]</f>
        <v>99.385000000000005</v>
      </c>
      <c r="ARM18">
        <f>SOFR3mo_PX[[#This Row],[Column1157]]</f>
        <v>99.385000000000005</v>
      </c>
      <c r="ARN18">
        <f>SOFR3mo_PX[[#This Row],[Column1158]]</f>
        <v>99.405000000000001</v>
      </c>
      <c r="ARO18">
        <f>SOFR3mo_PX[[#This Row],[Column1159]]</f>
        <v>99.39</v>
      </c>
      <c r="ARP18">
        <f>SOFR3mo_PX[[#This Row],[Column1160]]</f>
        <v>99.364999999999995</v>
      </c>
      <c r="ARQ18">
        <f>SOFR3mo_PX[[#This Row],[Column1161]]</f>
        <v>99.37</v>
      </c>
      <c r="ARR18">
        <f>SOFR3mo_PX[[#This Row],[Column1162]]</f>
        <v>99.375</v>
      </c>
      <c r="ARS18">
        <f>SOFR3mo_PX[[#This Row],[Column1163]]</f>
        <v>99.415000000000006</v>
      </c>
      <c r="ART18">
        <f>SOFR3mo_PX[[#This Row],[Column1164]]</f>
        <v>99.51</v>
      </c>
      <c r="ARU18">
        <f>SOFR3mo_PX[[#This Row],[Column1165]]</f>
        <v>99.555000000000007</v>
      </c>
      <c r="ARV18">
        <f>SOFR3mo_PX[[#This Row],[Column1166]]</f>
        <v>99.564999999999998</v>
      </c>
      <c r="ARW18">
        <f>SOFR3mo_PX[[#This Row],[Column1167]]</f>
        <v>99.555000000000007</v>
      </c>
      <c r="ARX18">
        <f>SOFR3mo_PX[[#This Row],[Column1168]]</f>
        <v>99.555000000000007</v>
      </c>
      <c r="ARY18">
        <f>SOFR3mo_PX[[#This Row],[Column1169]]</f>
        <v>99.545000000000002</v>
      </c>
      <c r="ARZ18">
        <f>SOFR3mo_PX[[#This Row],[Column1170]]</f>
        <v>99.53</v>
      </c>
      <c r="ASA18">
        <f>SOFR3mo_PX[[#This Row],[Column1171]]</f>
        <v>99.525000000000006</v>
      </c>
      <c r="ASB18">
        <f>SOFR3mo_PX[[#This Row],[Column1172]]</f>
        <v>99.53</v>
      </c>
      <c r="ASC18">
        <f>SOFR3mo_PX[[#This Row],[Column1173]]</f>
        <v>99.53</v>
      </c>
      <c r="ASD18">
        <f>SOFR3mo_PX[[#This Row],[Column1174]]</f>
        <v>99.53</v>
      </c>
      <c r="ASE18">
        <f>SOFR3mo_PX[[#This Row],[Column1175]]</f>
        <v>99.534999999999997</v>
      </c>
      <c r="ASF18">
        <f>SOFR3mo_PX[[#This Row],[Column1176]]</f>
        <v>99.53</v>
      </c>
      <c r="ASG18">
        <f>SOFR3mo_PX[[#This Row],[Column1177]]</f>
        <v>99.53</v>
      </c>
      <c r="ASH18">
        <f>SOFR3mo_PX[[#This Row],[Column1178]]</f>
        <v>99.555000000000007</v>
      </c>
      <c r="ASI18">
        <f>SOFR3mo_PX[[#This Row],[Column1179]]</f>
        <v>99.564999999999998</v>
      </c>
      <c r="ASJ18">
        <f>SOFR3mo_PX[[#This Row],[Column1180]]</f>
        <v>99.635000000000005</v>
      </c>
      <c r="ASK18">
        <f>SOFR3mo_PX[[#This Row],[Column1181]]</f>
        <v>99.635000000000005</v>
      </c>
      <c r="ASL18">
        <f>SOFR3mo_PX[[#This Row],[Column1182]]</f>
        <v>99.635000000000005</v>
      </c>
      <c r="ASM18">
        <f>SOFR3mo_PX[[#This Row],[Column1183]]</f>
        <v>99.61</v>
      </c>
      <c r="ASN18">
        <f>SOFR3mo_PX[[#This Row],[Column1184]]</f>
        <v>99.605000000000004</v>
      </c>
      <c r="ASO18">
        <f>SOFR3mo_PX[[#This Row],[Column1185]]</f>
        <v>99.71</v>
      </c>
      <c r="ASP18">
        <f>SOFR3mo_PX[[#This Row],[Column1186]]</f>
        <v>99.71</v>
      </c>
      <c r="ASQ18">
        <f>SOFR3mo_PX[[#This Row],[Column1187]]</f>
        <v>99.72</v>
      </c>
      <c r="ASR18">
        <f>SOFR3mo_PX[[#This Row],[Column1188]]</f>
        <v>99.734999999999999</v>
      </c>
      <c r="ASS18">
        <f>SOFR3mo_PX[[#This Row],[Column1189]]</f>
        <v>99.74</v>
      </c>
      <c r="AST18">
        <f>SOFR3mo_PX[[#This Row],[Column1190]]</f>
        <v>99.745000000000005</v>
      </c>
      <c r="ASU18">
        <f>SOFR3mo_PX[[#This Row],[Column1191]]</f>
        <v>99.77</v>
      </c>
      <c r="ASV18">
        <f>SOFR3mo_PX[[#This Row],[Column1192]]</f>
        <v>99.775000000000006</v>
      </c>
      <c r="ASW18">
        <f>SOFR3mo_PX[[#This Row],[Column1193]]</f>
        <v>99.77</v>
      </c>
      <c r="ASX18">
        <f>SOFR3mo_PX[[#This Row],[Column1194]]</f>
        <v>99.77</v>
      </c>
      <c r="ASY18">
        <f>SOFR3mo_PX[[#This Row],[Column1195]]</f>
        <v>99.765000000000001</v>
      </c>
      <c r="ASZ18">
        <f>SOFR3mo_PX[[#This Row],[Column1196]]</f>
        <v>99.76</v>
      </c>
      <c r="ATA18">
        <f>SOFR3mo_PX[[#This Row],[Column1197]]</f>
        <v>99.775000000000006</v>
      </c>
      <c r="ATB18">
        <f>SOFR3mo_PX[[#This Row],[Column1198]]</f>
        <v>99.77</v>
      </c>
      <c r="ATC18">
        <f>SOFR3mo_PX[[#This Row],[Column1199]]</f>
        <v>99.77</v>
      </c>
      <c r="ATD18">
        <f>SOFR3mo_PX[[#This Row],[Column1200]]</f>
        <v>99.775000000000006</v>
      </c>
      <c r="ATE18">
        <f>SOFR3mo_PX[[#This Row],[Column1201]]</f>
        <v>99.765000000000001</v>
      </c>
      <c r="ATF18">
        <f>SOFR3mo_PX[[#This Row],[Column1202]]</f>
        <v>99.765000000000001</v>
      </c>
      <c r="ATG18">
        <f>SOFR3mo_PX[[#This Row],[Column1203]]</f>
        <v>99.76</v>
      </c>
      <c r="ATH18">
        <f>SOFR3mo_PX[[#This Row],[Column1204]]</f>
        <v>99.74</v>
      </c>
      <c r="ATI18">
        <f>SOFR3mo_PX[[#This Row],[Column1205]]</f>
        <v>99.74</v>
      </c>
      <c r="ATJ18">
        <f>SOFR3mo_PX[[#This Row],[Column1206]]</f>
        <v>99.775000000000006</v>
      </c>
      <c r="ATK18">
        <f>SOFR3mo_PX[[#This Row],[Column1207]]</f>
        <v>99.82</v>
      </c>
      <c r="ATL18">
        <f>SOFR3mo_PX[[#This Row],[Column1208]]</f>
        <v>99.825000000000003</v>
      </c>
      <c r="ATM18">
        <f>SOFR3mo_PX[[#This Row],[Column1209]]</f>
        <v>99.844999999999999</v>
      </c>
      <c r="ATN18">
        <f>SOFR3mo_PX[[#This Row],[Column1210]]</f>
        <v>99.814999999999998</v>
      </c>
      <c r="ATO18">
        <f>SOFR3mo_PX[[#This Row],[Column1211]]</f>
        <v>99.825000000000003</v>
      </c>
      <c r="ATP18">
        <f>SOFR3mo_PX[[#This Row],[Column1212]]</f>
        <v>99.82</v>
      </c>
      <c r="ATQ18">
        <f>SOFR3mo_PX[[#This Row],[Column1213]]</f>
        <v>99.825000000000003</v>
      </c>
      <c r="ATR18">
        <f>SOFR3mo_PX[[#This Row],[Column1214]]</f>
        <v>99.834999999999994</v>
      </c>
      <c r="ATS18">
        <f>SOFR3mo_PX[[#This Row],[Column1215]]</f>
        <v>99.834999999999994</v>
      </c>
      <c r="ATT18">
        <f>SOFR3mo_PX[[#This Row],[Column1216]]</f>
        <v>99.83</v>
      </c>
      <c r="ATU18">
        <f>SOFR3mo_PX[[#This Row],[Column1217]]</f>
        <v>99.82</v>
      </c>
      <c r="ATV18">
        <f>SOFR3mo_PX[[#This Row],[Column1218]]</f>
        <v>99.81</v>
      </c>
      <c r="ATW18">
        <f>SOFR3mo_PX[[#This Row],[Column1219]]</f>
        <v>99.834999999999994</v>
      </c>
      <c r="ATX18">
        <f>SOFR3mo_PX[[#This Row],[Column1220]]</f>
        <v>99.834999999999994</v>
      </c>
      <c r="ATY18">
        <f>SOFR3mo_PX[[#This Row],[Column1221]]</f>
        <v>99.844999999999999</v>
      </c>
      <c r="ATZ18">
        <f>SOFR3mo_PX[[#This Row],[Column1222]]</f>
        <v>99.855000000000004</v>
      </c>
      <c r="AUA18">
        <f>SOFR3mo_PX[[#This Row],[Column1223]]</f>
        <v>99.85</v>
      </c>
      <c r="AUB18">
        <f>SOFR3mo_PX[[#This Row],[Column1224]]</f>
        <v>99.855000000000004</v>
      </c>
      <c r="AUC18">
        <f>SOFR3mo_PX[[#This Row],[Column1225]]</f>
        <v>99.85</v>
      </c>
      <c r="AUD18">
        <f>SOFR3mo_PX[[#This Row],[Column1226]]</f>
        <v>99.834999999999994</v>
      </c>
      <c r="AUE18">
        <f>SOFR3mo_PX[[#This Row],[Column1227]]</f>
        <v>99.83</v>
      </c>
      <c r="AUF18">
        <f>SOFR3mo_PX[[#This Row],[Column1228]]</f>
        <v>99.844999999999999</v>
      </c>
      <c r="AUG18">
        <f>SOFR3mo_PX[[#This Row],[Column1229]]</f>
        <v>99.84</v>
      </c>
      <c r="AUH18">
        <f>SOFR3mo_PX[[#This Row],[Column1230]]</f>
        <v>99.864999999999995</v>
      </c>
      <c r="AUI18">
        <f>SOFR3mo_PX[[#This Row],[Column1231]]</f>
        <v>99.864999999999995</v>
      </c>
      <c r="AUJ18">
        <f>SOFR3mo_PX[[#This Row],[Column1232]]</f>
        <v>99.915000000000006</v>
      </c>
      <c r="AUK18">
        <f>SOFR3mo_PX[[#This Row],[Column1233]]</f>
        <v>99.915000000000006</v>
      </c>
      <c r="AUL18">
        <f>SOFR3mo_PX[[#This Row],[Column1234]]</f>
        <v>99.915000000000006</v>
      </c>
      <c r="AUM18">
        <f>SOFR3mo_PX[[#This Row],[Column1235]]</f>
        <v>99.92</v>
      </c>
      <c r="AUN18">
        <f>SOFR3mo_PX[[#This Row],[Column1236]]</f>
        <v>99.92</v>
      </c>
      <c r="AUO18">
        <f>SOFR3mo_PX[[#This Row],[Column1237]]</f>
        <v>99.93</v>
      </c>
      <c r="AUP18">
        <f>SOFR3mo_PX[[#This Row],[Column1238]]</f>
        <v>99.93</v>
      </c>
      <c r="AUQ18">
        <f>SOFR3mo_PX[[#This Row],[Column1239]]</f>
        <v>99.935000000000002</v>
      </c>
      <c r="AUR18">
        <f>SOFR3mo_PX[[#This Row],[Column1240]]</f>
        <v>99.935000000000002</v>
      </c>
      <c r="AUS18">
        <f>SOFR3mo_PX[[#This Row],[Column1241]]</f>
        <v>99.924999999999997</v>
      </c>
      <c r="AUT18">
        <f>SOFR3mo_PX[[#This Row],[Column1242]]</f>
        <v>99.905000000000001</v>
      </c>
      <c r="AUU18">
        <f>SOFR3mo_PX[[#This Row],[Column1243]]</f>
        <v>99.92</v>
      </c>
      <c r="AUV18">
        <f>SOFR3mo_PX[[#This Row],[Column1244]]</f>
        <v>99.915000000000006</v>
      </c>
      <c r="AUW18">
        <f>SOFR3mo_PX[[#This Row],[Column1245]]</f>
        <v>99.94</v>
      </c>
      <c r="AUX18">
        <f>SOFR3mo_PX[[#This Row],[Column1246]]</f>
        <v>99.944999999999993</v>
      </c>
      <c r="AUY18">
        <f>SOFR3mo_PX[[#This Row],[Column1247]]</f>
        <v>99.935000000000002</v>
      </c>
      <c r="AUZ18">
        <f>SOFR3mo_PX[[#This Row],[Column1248]]</f>
        <v>99.91</v>
      </c>
      <c r="AVA18">
        <f>SOFR3mo_PX[[#This Row],[Column1249]]</f>
        <v>99.905000000000001</v>
      </c>
      <c r="AVB18">
        <f>SOFR3mo_PX[[#This Row],[Column1250]]</f>
        <v>99.91</v>
      </c>
      <c r="AVC18">
        <f>SOFR3mo_PX[[#This Row],[Column1251]]</f>
        <v>99.9</v>
      </c>
      <c r="AVD18">
        <f>SOFR3mo_PX[[#This Row],[Column1252]]</f>
        <v>99.9</v>
      </c>
      <c r="AVE18">
        <f>SOFR3mo_PX[[#This Row],[Column1253]]</f>
        <v>99.93</v>
      </c>
      <c r="AVF18">
        <f>SOFR3mo_PX[[#This Row],[Column1254]]</f>
        <v>99.92</v>
      </c>
      <c r="AVG18">
        <f>SOFR3mo_PX[[#This Row],[Column1255]]</f>
        <v>99.93</v>
      </c>
      <c r="AVH18">
        <f>SOFR3mo_PX[[#This Row],[Column1256]]</f>
        <v>99.924999999999997</v>
      </c>
      <c r="AVI18">
        <f>SOFR3mo_PX[[#This Row],[Column1257]]</f>
        <v>99.92</v>
      </c>
      <c r="AVJ18">
        <f>SOFR3mo_PX[[#This Row],[Column1258]]</f>
        <v>99.9</v>
      </c>
      <c r="AVK18">
        <f>SOFR3mo_PX[[#This Row],[Column1259]]</f>
        <v>99.91</v>
      </c>
      <c r="AVL18">
        <f>SOFR3mo_PX[[#This Row],[Column1260]]</f>
        <v>99.915000000000006</v>
      </c>
      <c r="AVM18">
        <f>SOFR3mo_PX[[#This Row],[Column1261]]</f>
        <v>99.924999999999997</v>
      </c>
      <c r="AVN18">
        <f>SOFR3mo_PX[[#This Row],[Column1262]]</f>
        <v>99.92</v>
      </c>
      <c r="AVO18">
        <f>SOFR3mo_PX[[#This Row],[Column1263]]</f>
        <v>99.93</v>
      </c>
      <c r="AVP18">
        <f>SOFR3mo_PX[[#This Row],[Column1264]]</f>
        <v>99.93</v>
      </c>
      <c r="AVQ18">
        <f>SOFR3mo_PX[[#This Row],[Column1265]]</f>
        <v>99.92</v>
      </c>
      <c r="AVR18">
        <f>SOFR3mo_PX[[#This Row],[Column1266]]</f>
        <v>99.905000000000001</v>
      </c>
      <c r="AVS18">
        <f>SOFR3mo_PX[[#This Row],[Column1267]]</f>
        <v>99.894999999999996</v>
      </c>
      <c r="AVT18">
        <f>SOFR3mo_PX[[#This Row],[Column1268]]</f>
        <v>99.894999999999996</v>
      </c>
      <c r="AVU18">
        <f>SOFR3mo_PX[[#This Row],[Column1269]]</f>
        <v>99.9</v>
      </c>
      <c r="AVV18">
        <f>SOFR3mo_PX[[#This Row],[Column1270]]</f>
        <v>99.9</v>
      </c>
      <c r="AVW18">
        <f>SOFR3mo_PX[[#This Row],[Column1271]]</f>
        <v>99.935000000000002</v>
      </c>
      <c r="AVX18">
        <f>SOFR3mo_PX[[#This Row],[Column1272]]</f>
        <v>99.944999999999993</v>
      </c>
      <c r="AVY18">
        <f>SOFR3mo_PX[[#This Row],[Column1273]]</f>
        <v>99.965000000000003</v>
      </c>
      <c r="AVZ18">
        <f>SOFR3mo_PX[[#This Row],[Column1274]]</f>
        <v>99.97</v>
      </c>
      <c r="AWA18">
        <f>SOFR3mo_PX[[#This Row],[Column1275]]</f>
        <v>99.98</v>
      </c>
      <c r="AWB18">
        <f>SOFR3mo_PX[[#This Row],[Column1276]]</f>
        <v>99.97</v>
      </c>
      <c r="AWC18">
        <f>SOFR3mo_PX[[#This Row],[Column1277]]</f>
        <v>99.965000000000003</v>
      </c>
      <c r="AWD18">
        <f>SOFR3mo_PX[[#This Row],[Column1278]]</f>
        <v>99.96</v>
      </c>
      <c r="AWE18">
        <f>SOFR3mo_PX[[#This Row],[Column1279]]</f>
        <v>99.94</v>
      </c>
      <c r="AWF18">
        <f>SOFR3mo_PX[[#This Row],[Column1280]]</f>
        <v>99.93</v>
      </c>
      <c r="AWG18">
        <f>SOFR3mo_PX[[#This Row],[Column1281]]</f>
        <v>99.924999999999997</v>
      </c>
      <c r="AWH18">
        <f>SOFR3mo_PX[[#This Row],[Column1282]]</f>
        <v>99.935000000000002</v>
      </c>
      <c r="AWI18">
        <f>SOFR3mo_PX[[#This Row],[Column1283]]</f>
        <v>99.94</v>
      </c>
      <c r="AWJ18">
        <f>SOFR3mo_PX[[#This Row],[Column1284]]</f>
        <v>99.94</v>
      </c>
      <c r="AWK18">
        <f>SOFR3mo_PX[[#This Row],[Column1285]]</f>
        <v>99.935000000000002</v>
      </c>
      <c r="AWL18">
        <f>SOFR3mo_PX[[#This Row],[Column1286]]</f>
        <v>99.935000000000002</v>
      </c>
      <c r="AWM18">
        <f>SOFR3mo_PX[[#This Row],[Column1287]]</f>
        <v>99.93</v>
      </c>
      <c r="AWN18">
        <f>SOFR3mo_PX[[#This Row],[Column1288]]</f>
        <v>99.93</v>
      </c>
      <c r="AWO18">
        <f>SOFR3mo_PX[[#This Row],[Column1289]]</f>
        <v>99.924999999999997</v>
      </c>
      <c r="AWP18">
        <f>SOFR3mo_PX[[#This Row],[Column1290]]</f>
        <v>99.935000000000002</v>
      </c>
      <c r="AWQ18">
        <f>SOFR3mo_PX[[#This Row],[Column1291]]</f>
        <v>99.935000000000002</v>
      </c>
      <c r="AWR18">
        <f>SOFR3mo_PX[[#This Row],[Column1292]]</f>
        <v>99.95</v>
      </c>
      <c r="AWS18">
        <f>SOFR3mo_PX[[#This Row],[Column1293]]</f>
        <v>99.965000000000003</v>
      </c>
      <c r="AWT18">
        <f>SOFR3mo_PX[[#This Row],[Column1294]]</f>
        <v>99.95</v>
      </c>
      <c r="AWU18">
        <f>SOFR3mo_PX[[#This Row],[Column1295]]</f>
        <v>99.944999999999993</v>
      </c>
      <c r="AWV18">
        <f>SOFR3mo_PX[[#This Row],[Column1296]]</f>
        <v>99.94</v>
      </c>
      <c r="AWW18">
        <f>SOFR3mo_PX[[#This Row],[Column1297]]</f>
        <v>99.94</v>
      </c>
      <c r="AWX18">
        <f>SOFR3mo_PX[[#This Row],[Column1298]]</f>
        <v>99.94</v>
      </c>
      <c r="AWY18">
        <f>SOFR3mo_PX[[#This Row],[Column1299]]</f>
        <v>99.93</v>
      </c>
      <c r="AWZ18">
        <f>SOFR3mo_PX[[#This Row],[Column1300]]</f>
        <v>99.95</v>
      </c>
      <c r="AXA18">
        <f>SOFR3mo_PX[[#This Row],[Column1301]]</f>
        <v>99.95</v>
      </c>
      <c r="AXB18">
        <f>SOFR3mo_PX[[#This Row],[Column1302]]</f>
        <v>99.94</v>
      </c>
      <c r="AXC18">
        <f>SOFR3mo_PX[[#This Row],[Column1303]]</f>
        <v>99.92</v>
      </c>
      <c r="AXD18">
        <f>SOFR3mo_PX[[#This Row],[Column1304]]</f>
        <v>99.92</v>
      </c>
      <c r="AXE18">
        <f>SOFR3mo_PX[[#This Row],[Column1305]]</f>
        <v>99.92</v>
      </c>
      <c r="AXF18">
        <f>SOFR3mo_PX[[#This Row],[Column1306]]</f>
        <v>99.915000000000006</v>
      </c>
      <c r="AXG18">
        <f>SOFR3mo_PX[[#This Row],[Column1307]]</f>
        <v>99.905000000000001</v>
      </c>
      <c r="AXH18">
        <f>SOFR3mo_PX[[#This Row],[Column1308]]</f>
        <v>99.885000000000005</v>
      </c>
      <c r="AXI18">
        <f>SOFR3mo_PX[[#This Row],[Column1309]]</f>
        <v>99.88</v>
      </c>
      <c r="AXJ18">
        <f>SOFR3mo_PX[[#This Row],[Column1310]]</f>
        <v>99.864999999999995</v>
      </c>
      <c r="AXK18">
        <f>SOFR3mo_PX[[#This Row],[Column1311]]</f>
        <v>99.88</v>
      </c>
      <c r="AXL18">
        <f>SOFR3mo_PX[[#This Row],[Column1312]]</f>
        <v>99.87</v>
      </c>
      <c r="AXM18">
        <f>SOFR3mo_PX[[#This Row],[Column1313]]</f>
        <v>99.88</v>
      </c>
      <c r="AXN18">
        <f>SOFR3mo_PX[[#This Row],[Column1314]]</f>
        <v>99.855000000000004</v>
      </c>
      <c r="AXO18">
        <f>SOFR3mo_PX[[#This Row],[Column1315]]</f>
        <v>99.805000000000007</v>
      </c>
      <c r="AXP18">
        <f>SOFR3mo_PX[[#This Row],[Column1316]]</f>
        <v>99.77</v>
      </c>
      <c r="AXQ18">
        <f>SOFR3mo_PX[[#This Row],[Column1317]]</f>
        <v>99.765000000000001</v>
      </c>
      <c r="AXR18">
        <f>SOFR3mo_PX[[#This Row],[Column1318]]</f>
        <v>99.83</v>
      </c>
      <c r="AXS18">
        <f>SOFR3mo_PX[[#This Row],[Column1319]]</f>
        <v>99.844999999999999</v>
      </c>
      <c r="AXT18">
        <f>SOFR3mo_PX[[#This Row],[Column1320]]</f>
        <v>99.88</v>
      </c>
      <c r="AXU18">
        <f>SOFR3mo_PX[[#This Row],[Column1321]]</f>
        <v>99.885000000000005</v>
      </c>
      <c r="AXV18">
        <f>SOFR3mo_PX[[#This Row],[Column1322]]</f>
        <v>99.875</v>
      </c>
      <c r="AXW18">
        <f>SOFR3mo_PX[[#This Row],[Column1323]]</f>
        <v>99.855000000000004</v>
      </c>
      <c r="AXX18">
        <f>SOFR3mo_PX[[#This Row],[Column1324]]</f>
        <v>99.86</v>
      </c>
      <c r="AXY18">
        <f>SOFR3mo_PX[[#This Row],[Column1325]]</f>
        <v>99.864999999999995</v>
      </c>
      <c r="AXZ18">
        <f>SOFR3mo_PX[[#This Row],[Column1326]]</f>
        <v>99.87</v>
      </c>
      <c r="AYA18">
        <f>SOFR3mo_PX[[#This Row],[Column1327]]</f>
        <v>99.87</v>
      </c>
      <c r="AYB18">
        <f>SOFR3mo_PX[[#This Row],[Column1328]]</f>
        <v>99.864999999999995</v>
      </c>
      <c r="AYC18">
        <f>SOFR3mo_PX[[#This Row],[Column1329]]</f>
        <v>99.864999999999995</v>
      </c>
      <c r="AYD18">
        <f>SOFR3mo_PX[[#This Row],[Column1330]]</f>
        <v>99.87</v>
      </c>
      <c r="AYE18">
        <f>SOFR3mo_PX[[#This Row],[Column1331]]</f>
        <v>99.87</v>
      </c>
      <c r="AYF18">
        <f>SOFR3mo_PX[[#This Row],[Column1332]]</f>
        <v>99.915000000000006</v>
      </c>
      <c r="AYG18">
        <f>SOFR3mo_PX[[#This Row],[Column1333]]</f>
        <v>99.89</v>
      </c>
      <c r="AYH18">
        <f>SOFR3mo_PX[[#This Row],[Column1334]]</f>
        <v>99.88</v>
      </c>
      <c r="AYI18">
        <f>SOFR3mo_PX[[#This Row],[Column1335]]</f>
        <v>99.86</v>
      </c>
      <c r="AYJ18">
        <f>SOFR3mo_PX[[#This Row],[Column1336]]</f>
        <v>99.86</v>
      </c>
      <c r="AYK18">
        <f>SOFR3mo_PX[[#This Row],[Column1337]]</f>
        <v>99.88</v>
      </c>
      <c r="AYL18">
        <f>SOFR3mo_PX[[#This Row],[Column1338]]</f>
        <v>99.89</v>
      </c>
      <c r="AYM18">
        <f>SOFR3mo_PX[[#This Row],[Column1339]]</f>
        <v>99.834999999999994</v>
      </c>
      <c r="AYN18">
        <f>SOFR3mo_PX[[#This Row],[Column1340]]</f>
        <v>99.82</v>
      </c>
      <c r="AYO18">
        <f>SOFR3mo_PX[[#This Row],[Column1341]]</f>
        <v>99.825000000000003</v>
      </c>
      <c r="AYP18">
        <f>SOFR3mo_PX[[#This Row],[Column1342]]</f>
        <v>99.81</v>
      </c>
      <c r="AYQ18">
        <f>SOFR3mo_PX[[#This Row],[Column1343]]</f>
        <v>99.814999999999998</v>
      </c>
      <c r="AYR18">
        <f>SOFR3mo_PX[[#This Row],[Column1344]]</f>
        <v>99.805000000000007</v>
      </c>
      <c r="AYS18">
        <f>SOFR3mo_PX[[#This Row],[Column1345]]</f>
        <v>99.79</v>
      </c>
      <c r="AYT18">
        <f>SOFR3mo_PX[[#This Row],[Column1346]]</f>
        <v>99.784999999999997</v>
      </c>
      <c r="AYU18">
        <f>SOFR3mo_PX[[#This Row],[Column1347]]</f>
        <v>99.795000000000002</v>
      </c>
      <c r="AYV18">
        <f>SOFR3mo_PX[[#This Row],[Column1348]]</f>
        <v>99.795000000000002</v>
      </c>
      <c r="AYW18">
        <f>SOFR3mo_PX[[#This Row],[Column1349]]</f>
        <v>99.79</v>
      </c>
      <c r="AYX18">
        <f>SOFR3mo_PX[[#This Row],[Column1350]]</f>
        <v>99.8</v>
      </c>
      <c r="AYY18">
        <f>SOFR3mo_PX[[#This Row],[Column1351]]</f>
        <v>99.78</v>
      </c>
      <c r="AYZ18">
        <f>SOFR3mo_PX[[#This Row],[Column1352]]</f>
        <v>99.77</v>
      </c>
      <c r="AZA18">
        <f>SOFR3mo_PX[[#This Row],[Column1353]]</f>
        <v>99.754999999999995</v>
      </c>
      <c r="AZB18">
        <f>SOFR3mo_PX[[#This Row],[Column1354]]</f>
        <v>99.745000000000005</v>
      </c>
      <c r="AZC18">
        <f>SOFR3mo_PX[[#This Row],[Column1355]]</f>
        <v>99.715000000000003</v>
      </c>
      <c r="AZD18">
        <f>SOFR3mo_PX[[#This Row],[Column1356]]</f>
        <v>99.7</v>
      </c>
      <c r="AZE18">
        <f>SOFR3mo_PX[[#This Row],[Column1357]]</f>
        <v>99.71</v>
      </c>
      <c r="AZF18">
        <f>SOFR3mo_PX[[#This Row],[Column1358]]</f>
        <v>99.71</v>
      </c>
      <c r="AZG18">
        <f>SOFR3mo_PX[[#This Row],[Column1359]]</f>
        <v>99.69</v>
      </c>
      <c r="AZH18">
        <f>SOFR3mo_PX[[#This Row],[Column1360]]</f>
        <v>99.674999999999997</v>
      </c>
      <c r="AZI18">
        <f>SOFR3mo_PX[[#This Row],[Column1361]]</f>
        <v>99.72</v>
      </c>
      <c r="AZJ18">
        <f>SOFR3mo_PX[[#This Row],[Column1362]]</f>
        <v>99.78</v>
      </c>
      <c r="AZK18">
        <f>SOFR3mo_PX[[#This Row],[Column1363]]</f>
        <v>99.775000000000006</v>
      </c>
      <c r="AZL18">
        <f>SOFR3mo_PX[[#This Row],[Column1364]]</f>
        <v>99.79</v>
      </c>
      <c r="AZM18">
        <f>SOFR3mo_PX[[#This Row],[Column1365]]</f>
        <v>99.765000000000001</v>
      </c>
      <c r="AZN18">
        <f>SOFR3mo_PX[[#This Row],[Column1366]]</f>
        <v>99.795000000000002</v>
      </c>
      <c r="AZO18">
        <f>SOFR3mo_PX[[#This Row],[Column1367]]</f>
        <v>99.75</v>
      </c>
      <c r="AZP18">
        <f>SOFR3mo_PX[[#This Row],[Column1368]]</f>
        <v>99.73</v>
      </c>
      <c r="AZQ18">
        <f>SOFR3mo_PX[[#This Row],[Column1369]]</f>
        <v>99.7</v>
      </c>
      <c r="AZR18">
        <f>SOFR3mo_PX[[#This Row],[Column1370]]</f>
        <v>99.694999999999993</v>
      </c>
      <c r="AZS18">
        <f>SOFR3mo_PX[[#This Row],[Column1371]]</f>
        <v>99.754999999999995</v>
      </c>
      <c r="AZT18">
        <f>SOFR3mo_PX[[#This Row],[Column1372]]</f>
        <v>99.674999999999997</v>
      </c>
      <c r="AZU18">
        <f>SOFR3mo_PX[[#This Row],[Column1373]]</f>
        <v>99.614999999999995</v>
      </c>
      <c r="AZV18">
        <f>SOFR3mo_PX[[#This Row],[Column1374]]</f>
        <v>99.51</v>
      </c>
      <c r="AZW18">
        <f>SOFR3mo_PX[[#This Row],[Column1375]]</f>
        <v>99.62</v>
      </c>
      <c r="AZX18">
        <f>SOFR3mo_PX[[#This Row],[Column1376]]</f>
        <v>99.67</v>
      </c>
      <c r="AZY18">
        <f>SOFR3mo_PX[[#This Row],[Column1377]]</f>
        <v>99.594999999999999</v>
      </c>
      <c r="AZZ18">
        <f>SOFR3mo_PX[[#This Row],[Column1378]]</f>
        <v>99.635000000000005</v>
      </c>
      <c r="BAA18">
        <f>SOFR3mo_PX[[#This Row],[Column1379]]</f>
        <v>99.564999999999998</v>
      </c>
      <c r="BAB18">
        <f>SOFR3mo_PX[[#This Row],[Column1380]]</f>
        <v>99.555000000000007</v>
      </c>
      <c r="BAC18">
        <f>SOFR3mo_PX[[#This Row],[Column1381]]</f>
        <v>99.674999999999997</v>
      </c>
      <c r="BAD18">
        <f>SOFR3mo_PX[[#This Row],[Column1382]]</f>
        <v>99.6</v>
      </c>
      <c r="BAE18">
        <f>SOFR3mo_PX[[#This Row],[Column1383]]</f>
        <v>99.515000000000001</v>
      </c>
      <c r="BAF18">
        <f>SOFR3mo_PX[[#This Row],[Column1384]]</f>
        <v>99.465000000000003</v>
      </c>
      <c r="BAG18">
        <f>SOFR3mo_PX[[#This Row],[Column1385]]</f>
        <v>99.405000000000001</v>
      </c>
      <c r="BAH18">
        <f>SOFR3mo_PX[[#This Row],[Column1386]]</f>
        <v>99.334999999999994</v>
      </c>
      <c r="BAI18">
        <f>SOFR3mo_PX[[#This Row],[Column1387]]</f>
        <v>99.334999999999994</v>
      </c>
      <c r="BAJ18">
        <f>SOFR3mo_PX[[#This Row],[Column1388]]</f>
        <v>99.135000000000005</v>
      </c>
      <c r="BAK18">
        <f>SOFR3mo_PX[[#This Row],[Column1389]]</f>
        <v>99.08</v>
      </c>
      <c r="BAL18">
        <f>SOFR3mo_PX[[#This Row],[Column1390]]</f>
        <v>99.09</v>
      </c>
      <c r="BAM18">
        <f>SOFR3mo_PX[[#This Row],[Column1391]]</f>
        <v>99.034999999999997</v>
      </c>
      <c r="BAN18">
        <f>SOFR3mo_PX[[#This Row],[Column1392]]</f>
        <v>98.924999999999997</v>
      </c>
      <c r="BAO18">
        <f>SOFR3mo_PX[[#This Row],[Column1393]]</f>
        <v>98.86</v>
      </c>
      <c r="BAP18">
        <f>SOFR3mo_PX[[#This Row],[Column1394]]</f>
        <v>98.814999999999998</v>
      </c>
      <c r="BAQ18">
        <f>SOFR3mo_PX[[#This Row],[Column1395]]</f>
        <v>98.84</v>
      </c>
      <c r="BAR18">
        <f>SOFR3mo_PX[[#This Row],[Column1396]]</f>
        <v>98.81</v>
      </c>
      <c r="BAS18">
        <f>SOFR3mo_PX[[#This Row],[Column1397]]</f>
        <v>98.81</v>
      </c>
      <c r="BAT18">
        <f>SOFR3mo_PX[[#This Row],[Column1398]]</f>
        <v>98.775000000000006</v>
      </c>
      <c r="BAU18">
        <f>SOFR3mo_PX[[#This Row],[Column1399]]</f>
        <v>98.775000000000006</v>
      </c>
      <c r="BAV18">
        <f>SOFR3mo_PX[[#This Row],[Column1400]]</f>
        <v>98.814999999999998</v>
      </c>
      <c r="BAW18">
        <f>SOFR3mo_PX[[#This Row],[Column1401]]</f>
        <v>98.844999999999999</v>
      </c>
      <c r="BAX18">
        <f>SOFR3mo_PX[[#This Row],[Column1402]]</f>
        <v>98.81</v>
      </c>
      <c r="BAY18">
        <f>SOFR3mo_PX[[#This Row],[Column1403]]</f>
        <v>98.754999999999995</v>
      </c>
      <c r="BAZ18">
        <f>SOFR3mo_PX[[#This Row],[Column1404]]</f>
        <v>98.775000000000006</v>
      </c>
      <c r="BBA18">
        <f>SOFR3mo_PX[[#This Row],[Column1405]]</f>
        <v>98.814999999999998</v>
      </c>
      <c r="BBB18">
        <f>SOFR3mo_PX[[#This Row],[Column1406]]</f>
        <v>98.9</v>
      </c>
      <c r="BBC18">
        <f>SOFR3mo_PX[[#This Row],[Column1407]]</f>
        <v>98.915000000000006</v>
      </c>
      <c r="BBD18">
        <f>SOFR3mo_PX[[#This Row],[Column1408]]</f>
        <v>98.86</v>
      </c>
      <c r="BBE18">
        <f>SOFR3mo_PX[[#This Row],[Column1409]]</f>
        <v>98.814999999999998</v>
      </c>
      <c r="BBF18">
        <f>SOFR3mo_PX[[#This Row],[Column1410]]</f>
        <v>98.765000000000001</v>
      </c>
      <c r="BBG18">
        <f>SOFR3mo_PX[[#This Row],[Column1411]]</f>
        <v>98.8</v>
      </c>
      <c r="BBH18">
        <f>SOFR3mo_PX[[#This Row],[Column1412]]</f>
        <v>98.715000000000003</v>
      </c>
      <c r="BBI18">
        <f>SOFR3mo_PX[[#This Row],[Column1413]]</f>
        <v>98.66</v>
      </c>
      <c r="BBJ18">
        <f>SOFR3mo_PX[[#This Row],[Column1414]]</f>
        <v>98.64</v>
      </c>
      <c r="BBK18">
        <f>SOFR3mo_PX[[#This Row],[Column1415]]</f>
        <v>98.625</v>
      </c>
      <c r="BBL18">
        <f>SOFR3mo_PX[[#This Row],[Column1416]]</f>
        <v>98.57</v>
      </c>
      <c r="BBM18">
        <f>SOFR3mo_PX[[#This Row],[Column1417]]</f>
        <v>98.57</v>
      </c>
      <c r="BBN18">
        <f>SOFR3mo_PX[[#This Row],[Column1418]]</f>
        <v>98.584999999999994</v>
      </c>
      <c r="BBO18">
        <f>SOFR3mo_PX[[#This Row],[Column1419]]</f>
        <v>98.594999999999999</v>
      </c>
      <c r="BBP18">
        <f>SOFR3mo_PX[[#This Row],[Column1420]]</f>
        <v>98.584999999999994</v>
      </c>
      <c r="BBQ18">
        <f>SOFR3mo_PX[[#This Row],[Column1421]]</f>
        <v>98.57</v>
      </c>
      <c r="BBR18">
        <f>SOFR3mo_PX[[#This Row],[Column1422]]</f>
        <v>98.575000000000003</v>
      </c>
      <c r="BBS18">
        <f>SOFR3mo_PX[[#This Row],[Column1423]]</f>
        <v>98.56</v>
      </c>
      <c r="BBT18">
        <f>SOFR3mo_PX[[#This Row],[Column1424]]</f>
        <v>98.555000000000007</v>
      </c>
      <c r="BBU18">
        <f>SOFR3mo_PX[[#This Row],[Column1425]]</f>
        <v>98.6</v>
      </c>
      <c r="BBV18">
        <f>SOFR3mo_PX[[#This Row],[Column1426]]</f>
        <v>98.61</v>
      </c>
      <c r="BBW18">
        <f>SOFR3mo_PX[[#This Row],[Column1427]]</f>
        <v>98.614999999999995</v>
      </c>
      <c r="BBX18">
        <f>SOFR3mo_PX[[#This Row],[Column1428]]</f>
        <v>98.525000000000006</v>
      </c>
      <c r="BBY18">
        <f>SOFR3mo_PX[[#This Row],[Column1429]]</f>
        <v>98.515000000000001</v>
      </c>
      <c r="BBZ18">
        <f>SOFR3mo_PX[[#This Row],[Column1430]]</f>
        <v>98.515000000000001</v>
      </c>
      <c r="BCA18">
        <f>SOFR3mo_PX[[#This Row],[Column1431]]</f>
        <v>98.52</v>
      </c>
      <c r="BCB18">
        <f>SOFR3mo_PX[[#This Row],[Column1432]]</f>
        <v>98.52</v>
      </c>
      <c r="BCC18">
        <f>SOFR3mo_PX[[#This Row],[Column1433]]</f>
        <v>98.48</v>
      </c>
      <c r="BCD18">
        <f>SOFR3mo_PX[[#This Row],[Column1434]]</f>
        <v>98.48</v>
      </c>
      <c r="BCE18">
        <f>SOFR3mo_PX[[#This Row],[Column1435]]</f>
        <v>98.48</v>
      </c>
      <c r="BCF18">
        <f>SOFR3mo_PX[[#This Row],[Column1436]]</f>
        <v>98.46</v>
      </c>
      <c r="BCG18">
        <f>SOFR3mo_PX[[#This Row],[Column1437]]</f>
        <v>98.5</v>
      </c>
      <c r="BCH18">
        <f>SOFR3mo_PX[[#This Row],[Column1438]]</f>
        <v>98.515000000000001</v>
      </c>
      <c r="BCI18">
        <f>SOFR3mo_PX[[#This Row],[Column1439]]</f>
        <v>98.495000000000005</v>
      </c>
      <c r="BCJ18">
        <f>SOFR3mo_PX[[#This Row],[Column1440]]</f>
        <v>98.52</v>
      </c>
      <c r="BCK18">
        <f>SOFR3mo_PX[[#This Row],[Column1441]]</f>
        <v>98.53</v>
      </c>
      <c r="BCL18">
        <f>SOFR3mo_PX[[#This Row],[Column1442]]</f>
        <v>98.605000000000004</v>
      </c>
      <c r="BCM18">
        <f>SOFR3mo_PX[[#This Row],[Column1443]]</f>
        <v>98.525000000000006</v>
      </c>
      <c r="BCN18">
        <f>SOFR3mo_PX[[#This Row],[Column1444]]</f>
        <v>98.61</v>
      </c>
      <c r="BCO18">
        <f>SOFR3mo_PX[[#This Row],[Column1445]]</f>
        <v>98.57</v>
      </c>
      <c r="BCP18">
        <f>SOFR3mo_PX[[#This Row],[Column1446]]</f>
        <v>98.584999999999994</v>
      </c>
      <c r="BCQ18">
        <f>SOFR3mo_PX[[#This Row],[Column1447]]</f>
        <v>98.594999999999999</v>
      </c>
      <c r="BCR18">
        <f>SOFR3mo_PX[[#This Row],[Column1448]]</f>
        <v>98.655000000000001</v>
      </c>
      <c r="BCS18">
        <f>SOFR3mo_PX[[#This Row],[Column1449]]</f>
        <v>98.67</v>
      </c>
      <c r="BCT18">
        <f>SOFR3mo_PX[[#This Row],[Column1450]]</f>
        <v>98.745000000000005</v>
      </c>
      <c r="BCU18">
        <f>SOFR3mo_PX[[#This Row],[Column1451]]</f>
        <v>98.625</v>
      </c>
      <c r="BCV18">
        <f>SOFR3mo_PX[[#This Row],[Column1452]]</f>
        <v>98.66</v>
      </c>
      <c r="BCW18">
        <f>SOFR3mo_PX[[#This Row],[Column1453]]</f>
        <v>98.65</v>
      </c>
      <c r="BCX18">
        <f>SOFR3mo_PX[[#This Row],[Column1454]]</f>
        <v>98.65</v>
      </c>
      <c r="BCY18">
        <f>SOFR3mo_PX[[#This Row],[Column1455]]</f>
        <v>98.69</v>
      </c>
      <c r="BCZ18">
        <f>SOFR3mo_PX[[#This Row],[Column1456]]</f>
        <v>98.68</v>
      </c>
      <c r="BDA18">
        <f>SOFR3mo_PX[[#This Row],[Column1457]]</f>
        <v>98.665000000000006</v>
      </c>
      <c r="BDB18">
        <f>SOFR3mo_PX[[#This Row],[Column1458]]</f>
        <v>98.685000000000002</v>
      </c>
      <c r="BDC18">
        <f>SOFR3mo_PX[[#This Row],[Column1459]]</f>
        <v>98.715000000000003</v>
      </c>
      <c r="BDD18">
        <f>SOFR3mo_PX[[#This Row],[Column1460]]</f>
        <v>98.68</v>
      </c>
      <c r="BDE18">
        <f>SOFR3mo_PX[[#This Row],[Column1461]]</f>
        <v>98.655000000000001</v>
      </c>
      <c r="BDF18">
        <f>SOFR3mo_PX[[#This Row],[Column1462]]</f>
        <v>98.63</v>
      </c>
      <c r="BDG18">
        <f>SOFR3mo_PX[[#This Row],[Column1463]]</f>
        <v>98.64</v>
      </c>
      <c r="BDH18">
        <f>SOFR3mo_PX[[#This Row],[Column1464]]</f>
        <v>98.59</v>
      </c>
      <c r="BDI18">
        <f>SOFR3mo_PX[[#This Row],[Column1465]]</f>
        <v>98.54</v>
      </c>
      <c r="BDJ18">
        <f>SOFR3mo_PX[[#This Row],[Column1466]]</f>
        <v>98.51</v>
      </c>
      <c r="BDK18">
        <f>SOFR3mo_PX[[#This Row],[Column1467]]</f>
        <v>98.52</v>
      </c>
      <c r="BDL18">
        <f>SOFR3mo_PX[[#This Row],[Column1468]]</f>
        <v>98.504999999999995</v>
      </c>
      <c r="BDM18">
        <f>SOFR3mo_PX[[#This Row],[Column1469]]</f>
        <v>98.614999999999995</v>
      </c>
      <c r="BDN18">
        <f>SOFR3mo_PX[[#This Row],[Column1470]]</f>
        <v>98.59</v>
      </c>
      <c r="BDO18">
        <f>SOFR3mo_PX[[#This Row],[Column1471]]</f>
        <v>98.65</v>
      </c>
      <c r="BDP18">
        <f>SOFR3mo_PX[[#This Row],[Column1472]]</f>
        <v>98.7</v>
      </c>
      <c r="BDQ18">
        <f>SOFR3mo_PX[[#This Row],[Column1473]]</f>
        <v>98.77</v>
      </c>
      <c r="BDR18">
        <f>SOFR3mo_PX[[#This Row],[Column1474]]</f>
        <v>98.644999999999996</v>
      </c>
      <c r="BDS18">
        <f>SOFR3mo_PX[[#This Row],[Column1475]]</f>
        <v>98.625</v>
      </c>
      <c r="BDT18">
        <f>SOFR3mo_PX[[#This Row],[Column1476]]</f>
        <v>98.63</v>
      </c>
      <c r="BDU18">
        <f>SOFR3mo_PX[[#This Row],[Column1477]]</f>
        <v>98.66</v>
      </c>
      <c r="BDV18">
        <f>SOFR3mo_PX[[#This Row],[Column1478]]</f>
        <v>98.704999999999998</v>
      </c>
      <c r="BDW18">
        <f>SOFR3mo_PX[[#This Row],[Column1479]]</f>
        <v>98.715000000000003</v>
      </c>
      <c r="BDX18">
        <f>SOFR3mo_PX[[#This Row],[Column1480]]</f>
        <v>98.694999999999993</v>
      </c>
      <c r="BDY18">
        <f>SOFR3mo_PX[[#This Row],[Column1481]]</f>
        <v>98.67</v>
      </c>
      <c r="BDZ18">
        <f>SOFR3mo_PX[[#This Row],[Column1482]]</f>
        <v>98.71</v>
      </c>
      <c r="BEA18">
        <f>SOFR3mo_PX[[#This Row],[Column1483]]</f>
        <v>98.685000000000002</v>
      </c>
      <c r="BEB18">
        <f>SOFR3mo_PX[[#This Row],[Column1484]]</f>
        <v>98.71</v>
      </c>
      <c r="BEC18">
        <f>SOFR3mo_PX[[#This Row],[Column1485]]</f>
        <v>98.67</v>
      </c>
      <c r="BED18">
        <f>SOFR3mo_PX[[#This Row],[Column1486]]</f>
        <v>98.724999999999994</v>
      </c>
      <c r="BEE18">
        <f>SOFR3mo_PX[[#This Row],[Column1487]]</f>
        <v>98.704999999999998</v>
      </c>
      <c r="BEF18">
        <f>SOFR3mo_PX[[#This Row],[Column1488]]</f>
        <v>98.834999999999994</v>
      </c>
      <c r="BEG18">
        <f>SOFR3mo_PX[[#This Row],[Column1489]]</f>
        <v>98.9</v>
      </c>
      <c r="BEH18">
        <f>SOFR3mo_PX[[#This Row],[Column1490]]</f>
        <v>98.954999999999998</v>
      </c>
      <c r="BEI18">
        <f>SOFR3mo_PX[[#This Row],[Column1491]]</f>
        <v>98.944999999999993</v>
      </c>
      <c r="BEJ18">
        <f>SOFR3mo_PX[[#This Row],[Column1492]]</f>
        <v>99.015000000000001</v>
      </c>
      <c r="BEK18">
        <f>SOFR3mo_PX[[#This Row],[Column1493]]</f>
        <v>99.025000000000006</v>
      </c>
      <c r="BEL18">
        <f>SOFR3mo_PX[[#This Row],[Column1494]]</f>
        <v>98.924999999999997</v>
      </c>
      <c r="BEM18">
        <f>SOFR3mo_PX[[#This Row],[Column1495]]</f>
        <v>98.85</v>
      </c>
      <c r="BEN18">
        <f>SOFR3mo_PX[[#This Row],[Column1496]]</f>
        <v>98.78</v>
      </c>
      <c r="BEO18">
        <f>SOFR3mo_PX[[#This Row],[Column1497]]</f>
        <v>98.79</v>
      </c>
      <c r="BEP18">
        <f>SOFR3mo_PX[[#This Row],[Column1498]]</f>
        <v>98.78</v>
      </c>
      <c r="BEQ18">
        <f>SOFR3mo_PX[[#This Row],[Column1499]]</f>
        <v>98.765000000000001</v>
      </c>
      <c r="BER18">
        <f>SOFR3mo_PX[[#This Row],[Column1500]]</f>
        <v>98.864999999999995</v>
      </c>
      <c r="BES18">
        <f>SOFR3mo_PX[[#This Row],[Column1501]]</f>
        <v>98.77</v>
      </c>
      <c r="BET18">
        <f>SOFR3mo_PX[[#This Row],[Column1502]]</f>
        <v>98.73</v>
      </c>
      <c r="BEU18">
        <f>SOFR3mo_PX[[#This Row],[Column1503]]</f>
        <v>98.745000000000005</v>
      </c>
      <c r="BEV18">
        <f>SOFR3mo_PX[[#This Row],[Column1504]]</f>
        <v>98.71</v>
      </c>
      <c r="BEW18">
        <f>SOFR3mo_PX[[#This Row],[Column1505]]</f>
        <v>98.72</v>
      </c>
      <c r="BEX18">
        <f>SOFR3mo_PX[[#This Row],[Column1506]]</f>
        <v>98.68</v>
      </c>
      <c r="BEY18">
        <f>SOFR3mo_PX[[#This Row],[Column1507]]</f>
        <v>98.62</v>
      </c>
      <c r="BEZ18">
        <f>SOFR3mo_PX[[#This Row],[Column1508]]</f>
        <v>98.715000000000003</v>
      </c>
      <c r="BFA18">
        <f>SOFR3mo_PX[[#This Row],[Column1509]]</f>
        <v>98.8</v>
      </c>
      <c r="BFB18">
        <f>SOFR3mo_PX[[#This Row],[Column1510]]</f>
        <v>98.825000000000003</v>
      </c>
      <c r="BFC18">
        <f>SOFR3mo_PX[[#This Row],[Column1511]]</f>
        <v>98.924999999999997</v>
      </c>
      <c r="BFD18">
        <f>SOFR3mo_PX[[#This Row],[Column1512]]</f>
        <v>99</v>
      </c>
      <c r="BFE18">
        <f>SOFR3mo_PX[[#This Row],[Column1513]]</f>
        <v>99.004999999999995</v>
      </c>
      <c r="BFF18">
        <f>SOFR3mo_PX[[#This Row],[Column1514]]</f>
        <v>99.135000000000005</v>
      </c>
      <c r="BFG18">
        <f>SOFR3mo_PX[[#This Row],[Column1515]]</f>
        <v>99.094999999999999</v>
      </c>
      <c r="BFH18">
        <f>SOFR3mo_PX[[#This Row],[Column1516]]</f>
        <v>99.015000000000001</v>
      </c>
      <c r="BFI18">
        <f>SOFR3mo_PX[[#This Row],[Column1517]]</f>
        <v>99.015000000000001</v>
      </c>
      <c r="BFJ18">
        <f>SOFR3mo_PX[[#This Row],[Column1518]]</f>
        <v>98.99</v>
      </c>
      <c r="BFK18">
        <f>SOFR3mo_PX[[#This Row],[Column1519]]</f>
        <v>99.03</v>
      </c>
      <c r="BFL18">
        <f>SOFR3mo_PX[[#This Row],[Column1520]]</f>
        <v>98.984999999999999</v>
      </c>
      <c r="BFM18">
        <f>SOFR3mo_PX[[#This Row],[Column1521]]</f>
        <v>98.94</v>
      </c>
      <c r="BFN18">
        <f>SOFR3mo_PX[[#This Row],[Column1522]]</f>
        <v>98.965000000000003</v>
      </c>
      <c r="BFO18">
        <f>SOFR3mo_PX[[#This Row],[Column1523]]</f>
        <v>98.86</v>
      </c>
      <c r="BFP18">
        <f>SOFR3mo_PX[[#This Row],[Column1524]]</f>
        <v>98.89</v>
      </c>
      <c r="BFQ18">
        <f>SOFR3mo_PX[[#This Row],[Column1525]]</f>
        <v>98.924999999999997</v>
      </c>
      <c r="BFR18">
        <f>SOFR3mo_PX[[#This Row],[Column1526]]</f>
        <v>98.885000000000005</v>
      </c>
      <c r="BFS18">
        <f>SOFR3mo_PX[[#This Row],[Column1527]]</f>
        <v>98.944999999999993</v>
      </c>
      <c r="BFT18">
        <f>SOFR3mo_PX[[#This Row],[Column1528]]</f>
        <v>98.94</v>
      </c>
      <c r="BFU18">
        <f>SOFR3mo_PX[[#This Row],[Column1529]]</f>
        <v>98.87</v>
      </c>
      <c r="BFV18">
        <f>SOFR3mo_PX[[#This Row],[Column1530]]</f>
        <v>98.784999999999997</v>
      </c>
      <c r="BFW18">
        <f>SOFR3mo_PX[[#This Row],[Column1531]]</f>
        <v>98.89</v>
      </c>
      <c r="BFX18">
        <f>SOFR3mo_PX[[#This Row],[Column1532]]</f>
        <v>98.81</v>
      </c>
      <c r="BFY18">
        <f>SOFR3mo_PX[[#This Row],[Column1533]]</f>
        <v>98.855000000000004</v>
      </c>
      <c r="BFZ18">
        <f>SOFR3mo_PX[[#This Row],[Column1534]]</f>
        <v>98.93</v>
      </c>
      <c r="BGA18">
        <f>SOFR3mo_PX[[#This Row],[Column1535]]</f>
        <v>98.834999999999994</v>
      </c>
      <c r="BGB18">
        <f>SOFR3mo_PX[[#This Row],[Column1536]]</f>
        <v>98.9</v>
      </c>
      <c r="BGC18">
        <f>SOFR3mo_PX[[#This Row],[Column1537]]</f>
        <v>98.685000000000002</v>
      </c>
      <c r="BGD18">
        <f>SOFR3mo_PX[[#This Row],[Column1538]]</f>
        <v>98.665000000000006</v>
      </c>
      <c r="BGE18">
        <f>SOFR3mo_PX[[#This Row],[Column1539]]</f>
        <v>98.474999999999994</v>
      </c>
      <c r="BGF18">
        <f>SOFR3mo_PX[[#This Row],[Column1540]]</f>
        <v>98.484999999999999</v>
      </c>
      <c r="BGG18">
        <f>SOFR3mo_PX[[#This Row],[Column1541]]</f>
        <v>98.495000000000005</v>
      </c>
      <c r="BGH18">
        <f>SOFR3mo_PX[[#This Row],[Column1542]]</f>
        <v>98.474999999999994</v>
      </c>
      <c r="BGI18">
        <f>SOFR3mo_PX[[#This Row],[Column1543]]</f>
        <v>98.5</v>
      </c>
      <c r="BGJ18">
        <f>SOFR3mo_PX[[#This Row],[Column1544]]</f>
        <v>98.525000000000006</v>
      </c>
      <c r="BGK18">
        <f>SOFR3mo_PX[[#This Row],[Column1545]]</f>
        <v>98.52</v>
      </c>
      <c r="BGL18">
        <f>SOFR3mo_PX[[#This Row],[Column1546]]</f>
        <v>98.55</v>
      </c>
      <c r="BGM18">
        <f>SOFR3mo_PX[[#This Row],[Column1547]]</f>
        <v>98.53</v>
      </c>
      <c r="BGN18">
        <f>SOFR3mo_PX[[#This Row],[Column1548]]</f>
        <v>98.58</v>
      </c>
      <c r="BGO18">
        <f>SOFR3mo_PX[[#This Row],[Column1549]]</f>
        <v>98.495000000000005</v>
      </c>
      <c r="BGP18">
        <f>SOFR3mo_PX[[#This Row],[Column1550]]</f>
        <v>98.44</v>
      </c>
      <c r="BGQ18">
        <f>SOFR3mo_PX[[#This Row],[Column1551]]</f>
        <v>98.47</v>
      </c>
      <c r="BGR18">
        <f>SOFR3mo_PX[[#This Row],[Column1552]]</f>
        <v>98.465000000000003</v>
      </c>
      <c r="BGS18">
        <f>SOFR3mo_PX[[#This Row],[Column1553]]</f>
        <v>98.45</v>
      </c>
      <c r="BGT18">
        <f>SOFR3mo_PX[[#This Row],[Column1554]]</f>
        <v>98.5</v>
      </c>
      <c r="BGU18">
        <f>SOFR3mo_PX[[#This Row],[Column1555]]</f>
        <v>98.46</v>
      </c>
      <c r="BGV18">
        <f>SOFR3mo_PX[[#This Row],[Column1556]]</f>
        <v>98.48</v>
      </c>
      <c r="BGW18">
        <f>SOFR3mo_PX[[#This Row],[Column1557]]</f>
        <v>98.474999999999994</v>
      </c>
      <c r="BGX18">
        <f>SOFR3mo_PX[[#This Row],[Column1558]]</f>
        <v>98.56</v>
      </c>
      <c r="BGY18">
        <f>SOFR3mo_PX[[#This Row],[Column1559]]</f>
        <v>98.56</v>
      </c>
      <c r="BGZ18">
        <f>SOFR3mo_PX[[#This Row],[Column1560]]</f>
        <v>98.555000000000007</v>
      </c>
      <c r="BHA18">
        <f>SOFR3mo_PX[[#This Row],[Column1561]]</f>
        <v>98.504999999999995</v>
      </c>
      <c r="BHB18">
        <f>SOFR3mo_PX[[#This Row],[Column1562]]</f>
        <v>98.55</v>
      </c>
      <c r="BHC18">
        <f>SOFR3mo_PX[[#This Row],[Column1563]]</f>
        <v>98.564999999999998</v>
      </c>
      <c r="BHD18">
        <f>SOFR3mo_PX[[#This Row],[Column1564]]</f>
        <v>98.534999999999997</v>
      </c>
      <c r="BHE18">
        <f>SOFR3mo_PX[[#This Row],[Column1565]]</f>
        <v>98.62</v>
      </c>
      <c r="BHF18">
        <f>SOFR3mo_PX[[#This Row],[Column1566]]</f>
        <v>98.594999999999999</v>
      </c>
      <c r="BHG18">
        <f>SOFR3mo_PX[[#This Row],[Column1567]]</f>
        <v>98.545000000000002</v>
      </c>
      <c r="BHH18">
        <f>SOFR3mo_PX[[#This Row],[Column1568]]</f>
        <v>98.6</v>
      </c>
      <c r="BHI18">
        <f>SOFR3mo_PX[[#This Row],[Column1569]]</f>
        <v>98.605000000000004</v>
      </c>
      <c r="BHJ18">
        <f>SOFR3mo_PX[[#This Row],[Column1570]]</f>
        <v>98.5</v>
      </c>
      <c r="BHK18">
        <f>SOFR3mo_PX[[#This Row],[Column1571]]</f>
        <v>98.5</v>
      </c>
      <c r="BHL18">
        <f>SOFR3mo_PX[[#This Row],[Column1572]]</f>
        <v>98.52</v>
      </c>
      <c r="BHM18">
        <f>SOFR3mo_PX[[#This Row],[Column1573]]</f>
        <v>98.525000000000006</v>
      </c>
      <c r="BHN18">
        <f>SOFR3mo_PX[[#This Row],[Column1574]]</f>
        <v>98.454999999999998</v>
      </c>
      <c r="BHO18">
        <f>SOFR3mo_PX[[#This Row],[Column1575]]</f>
        <v>98.405000000000001</v>
      </c>
      <c r="BHP18">
        <f>SOFR3mo_PX[[#This Row],[Column1576]]</f>
        <v>98.4</v>
      </c>
      <c r="BHQ18">
        <f>SOFR3mo_PX[[#This Row],[Column1577]]</f>
        <v>98.44</v>
      </c>
      <c r="BHR18">
        <f>SOFR3mo_PX[[#This Row],[Column1578]]</f>
        <v>98.424999999999997</v>
      </c>
      <c r="BHS18">
        <f>SOFR3mo_PX[[#This Row],[Column1579]]</f>
        <v>98.48</v>
      </c>
      <c r="BHT18">
        <f>SOFR3mo_PX[[#This Row],[Column1580]]</f>
        <v>98.46</v>
      </c>
      <c r="BHU18">
        <f>SOFR3mo_PX[[#This Row],[Column1581]]</f>
        <v>98.504999999999995</v>
      </c>
      <c r="BHV18">
        <f>SOFR3mo_PX[[#This Row],[Column1582]]</f>
        <v>98.454999999999998</v>
      </c>
      <c r="BHW18">
        <f>SOFR3mo_PX[[#This Row],[Column1583]]</f>
        <v>98.314999999999998</v>
      </c>
      <c r="BHX18">
        <f>SOFR3mo_PX[[#This Row],[Column1584]]</f>
        <v>98.32</v>
      </c>
      <c r="BHY18">
        <f>SOFR3mo_PX[[#This Row],[Column1585]]</f>
        <v>98.284999999999997</v>
      </c>
      <c r="BHZ18">
        <f>SOFR3mo_PX[[#This Row],[Column1586]]</f>
        <v>98.23</v>
      </c>
      <c r="BIA18">
        <f>SOFR3mo_PX[[#This Row],[Column1587]]</f>
        <v>98.23</v>
      </c>
      <c r="BIB18">
        <f>SOFR3mo_PX[[#This Row],[Column1588]]</f>
        <v>98.26</v>
      </c>
      <c r="BIC18">
        <f>SOFR3mo_PX[[#This Row],[Column1589]]</f>
        <v>98.125</v>
      </c>
      <c r="BID18">
        <f>SOFR3mo_PX[[#This Row],[Column1590]]</f>
        <v>98.09</v>
      </c>
      <c r="BIE18">
        <f>SOFR3mo_PX[[#This Row],[Column1591]]</f>
        <v>98.12</v>
      </c>
      <c r="BIF18">
        <f>SOFR3mo_PX[[#This Row],[Column1592]]</f>
        <v>98.144999999999996</v>
      </c>
      <c r="BIG18">
        <f>SOFR3mo_PX[[#This Row],[Column1593]]</f>
        <v>98.135000000000005</v>
      </c>
      <c r="BIH18">
        <f>SOFR3mo_PX[[#This Row],[Column1594]]</f>
        <v>98.18</v>
      </c>
      <c r="BII18">
        <f>SOFR3mo_PX[[#This Row],[Column1595]]</f>
        <v>98.13</v>
      </c>
      <c r="BIJ18">
        <f>SOFR3mo_PX[[#This Row],[Column1596]]</f>
        <v>98.14</v>
      </c>
      <c r="BIK18">
        <f>SOFR3mo_PX[[#This Row],[Column1597]]</f>
        <v>98.064999999999998</v>
      </c>
      <c r="BIL18">
        <f>SOFR3mo_PX[[#This Row],[Column1598]]</f>
        <v>98.05</v>
      </c>
      <c r="BIM18">
        <f>SOFR3mo_PX[[#This Row],[Column1599]]</f>
        <v>98.015000000000001</v>
      </c>
      <c r="BIN18">
        <f>SOFR3mo_PX[[#This Row],[Column1600]]</f>
        <v>98.045000000000002</v>
      </c>
      <c r="BIO18">
        <f>SOFR3mo_PX[[#This Row],[Column1601]]</f>
        <v>97.99</v>
      </c>
      <c r="BIP18">
        <f>SOFR3mo_PX[[#This Row],[Column1602]]</f>
        <v>97.95</v>
      </c>
      <c r="BIQ18">
        <f>SOFR3mo_PX[[#This Row],[Column1603]]</f>
        <v>97.944999999999993</v>
      </c>
      <c r="BIR18">
        <f>SOFR3mo_PX[[#This Row],[Column1604]]</f>
        <v>98.004999999999995</v>
      </c>
      <c r="BIS18">
        <f>SOFR3mo_PX[[#This Row],[Column1605]]</f>
        <v>98.045000000000002</v>
      </c>
      <c r="BIT18">
        <f>SOFR3mo_PX[[#This Row],[Column1606]]</f>
        <v>98.02</v>
      </c>
      <c r="BIU18">
        <f>SOFR3mo_PX[[#This Row],[Column1607]]</f>
        <v>98.025000000000006</v>
      </c>
      <c r="BIV18">
        <f>SOFR3mo_PX[[#This Row],[Column1608]]</f>
        <v>97.974999999999994</v>
      </c>
      <c r="BIW18">
        <f>SOFR3mo_PX[[#This Row],[Column1609]]</f>
        <v>97.99</v>
      </c>
      <c r="BIX18">
        <f>SOFR3mo_PX[[#This Row],[Column1610]]</f>
        <v>97.935000000000002</v>
      </c>
      <c r="BIY18">
        <f>SOFR3mo_PX[[#This Row],[Column1611]]</f>
        <v>97.915000000000006</v>
      </c>
      <c r="BIZ18">
        <f>SOFR3mo_PX[[#This Row],[Column1612]]</f>
        <v>97.915000000000006</v>
      </c>
      <c r="BJA18">
        <f>SOFR3mo_PX[[#This Row],[Column1613]]</f>
        <v>97.915000000000006</v>
      </c>
      <c r="BJB18">
        <f>SOFR3mo_PX[[#This Row],[Column1614]]</f>
        <v>97.89</v>
      </c>
      <c r="BJC18">
        <f>SOFR3mo_PX[[#This Row],[Column1615]]</f>
        <v>97.885000000000005</v>
      </c>
      <c r="BJD18">
        <f>SOFR3mo_PX[[#This Row],[Column1616]]</f>
        <v>97.915000000000006</v>
      </c>
      <c r="BJE18">
        <f>SOFR3mo_PX[[#This Row],[Column1617]]</f>
        <v>97.91</v>
      </c>
      <c r="BJF18">
        <f>SOFR3mo_PX[[#This Row],[Column1618]]</f>
        <v>97.984999999999999</v>
      </c>
      <c r="BJG18">
        <f>SOFR3mo_PX[[#This Row],[Column1619]]</f>
        <v>98.02</v>
      </c>
      <c r="BJH18">
        <f>SOFR3mo_PX[[#This Row],[Column1620]]</f>
        <v>97.984999999999999</v>
      </c>
      <c r="BJI18">
        <f>SOFR3mo_PX[[#This Row],[Column1621]]</f>
        <v>97.95</v>
      </c>
      <c r="BJJ18">
        <f>SOFR3mo_PX[[#This Row],[Column1622]]</f>
        <v>97.96</v>
      </c>
      <c r="BJK18">
        <f>SOFR3mo_PX[[#This Row],[Column1623]]</f>
        <v>97.97</v>
      </c>
      <c r="BJL18">
        <f>SOFR3mo_PX[[#This Row],[Column1624]]</f>
        <v>97.98</v>
      </c>
      <c r="BJM18">
        <f>SOFR3mo_PX[[#This Row],[Column1625]]</f>
        <v>98</v>
      </c>
      <c r="BJN18">
        <f>SOFR3mo_PX[[#This Row],[Column1626]]</f>
        <v>97.99</v>
      </c>
      <c r="BJO18">
        <f>SOFR3mo_PX[[#This Row],[Column1627]]</f>
        <v>98.07</v>
      </c>
      <c r="BJP18">
        <f>SOFR3mo_PX[[#This Row],[Column1628]]</f>
        <v>98.144999999999996</v>
      </c>
      <c r="BJQ18">
        <f>SOFR3mo_PX[[#This Row],[Column1629]]</f>
        <v>98.18</v>
      </c>
      <c r="BJR18">
        <f>SOFR3mo_PX[[#This Row],[Column1630]]</f>
        <v>98.13</v>
      </c>
      <c r="BJS18">
        <f>SOFR3mo_PX[[#This Row],[Column1631]]</f>
        <v>98.16</v>
      </c>
      <c r="BJT18">
        <f>SOFR3mo_PX[[#This Row],[Column1632]]</f>
        <v>98.055000000000007</v>
      </c>
      <c r="BJU18">
        <f>SOFR3mo_PX[[#This Row],[Column1633]]</f>
        <v>97.94</v>
      </c>
      <c r="BJV18">
        <f>SOFR3mo_PX[[#This Row],[Column1634]]</f>
        <v>97.92</v>
      </c>
      <c r="BJW18">
        <f>SOFR3mo_PX[[#This Row],[Column1635]]</f>
        <v>97.84</v>
      </c>
      <c r="BJX18">
        <f>SOFR3mo_PX[[#This Row],[Column1636]]</f>
        <v>97.855000000000004</v>
      </c>
      <c r="BJY18">
        <f>SOFR3mo_PX[[#This Row],[Column1637]]</f>
        <v>97.86</v>
      </c>
      <c r="BJZ18">
        <f>SOFR3mo_PX[[#This Row],[Column1638]]</f>
        <v>97.83</v>
      </c>
      <c r="BKA18">
        <f>SOFR3mo_PX[[#This Row],[Column1639]]</f>
        <v>97.834999999999994</v>
      </c>
      <c r="BKB18">
        <f>SOFR3mo_PX[[#This Row],[Column1640]]</f>
        <v>97.814999999999998</v>
      </c>
      <c r="BKC18">
        <f>SOFR3mo_PX[[#This Row],[Column1641]]</f>
        <v>97.784999999999997</v>
      </c>
      <c r="BKD18">
        <f>SOFR3mo_PX[[#This Row],[Column1642]]</f>
        <v>97.795000000000002</v>
      </c>
      <c r="BKE18">
        <f>SOFR3mo_PX[[#This Row],[Column1643]]</f>
        <v>97.78</v>
      </c>
      <c r="BKF18">
        <f>SOFR3mo_PX[[#This Row],[Column1644]]</f>
        <v>97.704999999999998</v>
      </c>
      <c r="BKG18">
        <f>SOFR3mo_PX[[#This Row],[Column1645]]</f>
        <v>97.67</v>
      </c>
      <c r="BKH18">
        <f>SOFR3mo_PX[[#This Row],[Column1646]]</f>
        <v>97.674999999999997</v>
      </c>
      <c r="BKI18">
        <f>SOFR3mo_PX[[#This Row],[Column1647]]</f>
        <v>97.665000000000006</v>
      </c>
      <c r="BKJ18">
        <f>SOFR3mo_PX[[#This Row],[Column1648]]</f>
        <v>97.734999999999999</v>
      </c>
      <c r="BKK18">
        <f>SOFR3mo_PX[[#This Row],[Column1649]]</f>
        <v>97.754999999999995</v>
      </c>
      <c r="BKL18">
        <f>SOFR3mo_PX[[#This Row],[Column1650]]</f>
        <v>97.78</v>
      </c>
      <c r="BKM18">
        <f>SOFR3mo_PX[[#This Row],[Column1651]]</f>
        <v>97.75</v>
      </c>
      <c r="BKN18">
        <f>SOFR3mo_PX[[#This Row],[Column1652]]</f>
        <v>97.754999999999995</v>
      </c>
      <c r="BKO18">
        <f>SOFR3mo_PX[[#This Row],[Column1653]]</f>
        <v>97.71</v>
      </c>
      <c r="BKP18">
        <f>SOFR3mo_PX[[#This Row],[Column1654]]</f>
        <v>97.75</v>
      </c>
      <c r="BKQ18">
        <f>SOFR3mo_PX[[#This Row],[Column1655]]</f>
        <v>97.745000000000005</v>
      </c>
      <c r="BKR18">
        <f>SOFR3mo_PX[[#This Row],[Column1656]]</f>
        <v>97.73</v>
      </c>
      <c r="BKS18">
        <f>SOFR3mo_PX[[#This Row],[Column1657]]</f>
        <v>97.73</v>
      </c>
      <c r="BKT18">
        <f>SOFR3mo_PX[[#This Row],[Column1658]]</f>
        <v>97.734999999999999</v>
      </c>
      <c r="BKU18">
        <f>SOFR3mo_PX[[#This Row],[Column1659]]</f>
        <v>97.694999999999993</v>
      </c>
      <c r="BKV18">
        <f>SOFR3mo_PX[[#This Row],[Column1660]]</f>
        <v>97.754999999999995</v>
      </c>
      <c r="BKW18">
        <f>SOFR3mo_PX[[#This Row],[Column1661]]</f>
        <v>97.784999999999997</v>
      </c>
      <c r="BKX18">
        <f>SOFR3mo_PX[[#This Row],[Column1662]]</f>
        <v>97.81</v>
      </c>
      <c r="BKY18">
        <f>SOFR3mo_PX[[#This Row],[Column1663]]</f>
        <v>97.775000000000006</v>
      </c>
      <c r="BKZ18">
        <f>SOFR3mo_PX[[#This Row],[Column1664]]</f>
        <v>97.72</v>
      </c>
      <c r="BLA18">
        <f>SOFR3mo_PX[[#This Row],[Column1665]]</f>
        <v>97.71</v>
      </c>
      <c r="BLB18">
        <f>SOFR3mo_PX[[#This Row],[Column1666]]</f>
        <v>97.704999999999998</v>
      </c>
      <c r="BLC18">
        <f>SOFR3mo_PX[[#This Row],[Column1667]]</f>
        <v>97.724999999999994</v>
      </c>
      <c r="BLD18">
        <f>SOFR3mo_PX[[#This Row],[Column1668]]</f>
        <v>97.75</v>
      </c>
      <c r="BLE18">
        <f>SOFR3mo_PX[[#This Row],[Column1669]]</f>
        <v>97.68</v>
      </c>
      <c r="BLF18">
        <f>SOFR3mo_PX[[#This Row],[Column1670]]</f>
        <v>97.63</v>
      </c>
      <c r="BLG18">
        <f>SOFR3mo_PX[[#This Row],[Column1671]]</f>
        <v>97.625</v>
      </c>
      <c r="BLH18">
        <f>SOFR3mo_PX[[#This Row],[Column1672]]</f>
        <v>97.614999999999995</v>
      </c>
      <c r="BLI18">
        <f>SOFR3mo_PX[[#This Row],[Column1673]]</f>
        <v>97.64</v>
      </c>
      <c r="BLJ18">
        <f>SOFR3mo_PX[[#This Row],[Column1674]]</f>
        <v>97.625</v>
      </c>
      <c r="BLK18">
        <f>SOFR3mo_PX[[#This Row],[Column1675]]</f>
        <v>97.63</v>
      </c>
      <c r="BLL18">
        <f>SOFR3mo_PX[[#This Row],[Column1676]]</f>
        <v>97.584999999999994</v>
      </c>
      <c r="BLM18">
        <f>SOFR3mo_PX[[#This Row],[Column1677]]</f>
        <v>97.584999999999994</v>
      </c>
      <c r="BLN18">
        <f>SOFR3mo_PX[[#This Row],[Column1678]]</f>
        <v>97.655000000000001</v>
      </c>
      <c r="BLO18">
        <f>SOFR3mo_PX[[#This Row],[Column1679]]</f>
        <v>97.685000000000002</v>
      </c>
      <c r="BLP18">
        <f>SOFR3mo_PX[[#This Row],[Column1680]]</f>
        <v>97.71</v>
      </c>
      <c r="BLQ18">
        <f>SOFR3mo_PX[[#This Row],[Column1681]]</f>
        <v>97.7</v>
      </c>
      <c r="BLR18">
        <f>SOFR3mo_PX[[#This Row],[Column1682]]</f>
        <v>97.704999999999998</v>
      </c>
      <c r="BLS18">
        <f>SOFR3mo_PX[[#This Row],[Column1683]]</f>
        <v>97.69</v>
      </c>
      <c r="BLT18">
        <f>SOFR3mo_PX[[#This Row],[Column1684]]</f>
        <v>97.694999999999993</v>
      </c>
      <c r="BLU18">
        <f>SOFR3mo_PX[[#This Row],[Column1685]]</f>
        <v>97.685000000000002</v>
      </c>
      <c r="BLV18">
        <f>SOFR3mo_PX[[#This Row],[Column1686]]</f>
        <v>97.754999999999995</v>
      </c>
      <c r="BLW18">
        <f>SOFR3mo_PX[[#This Row],[Column1687]]</f>
        <v>97.8</v>
      </c>
      <c r="BLX18">
        <f>SOFR3mo_PX[[#This Row],[Column1688]]</f>
        <v>97.864999999999995</v>
      </c>
      <c r="BLY18">
        <f>SOFR3mo_PX[[#This Row],[Column1689]]</f>
        <v>97.68</v>
      </c>
      <c r="BLZ18">
        <f>SOFR3mo_PX[[#This Row],[Column1690]]</f>
        <v>97.69</v>
      </c>
      <c r="BMA18">
        <f>SOFR3mo_PX[[#This Row],[Column1691]]</f>
        <v>97.69</v>
      </c>
      <c r="BMB18">
        <f>SOFR3mo_PX[[#This Row],[Column1692]]</f>
        <v>97.685000000000002</v>
      </c>
      <c r="BMC18">
        <f>SOFR3mo_PX[[#This Row],[Column1693]]</f>
        <v>97.674999999999997</v>
      </c>
      <c r="BMD18">
        <f>SOFR3mo_PX[[#This Row],[Column1694]]</f>
        <v>97.62</v>
      </c>
      <c r="BME18">
        <f>SOFR3mo_PX[[#This Row],[Column1695]]</f>
        <v>97.594999999999999</v>
      </c>
      <c r="BMF18">
        <f>SOFR3mo_PX[[#This Row],[Column1696]]</f>
        <v>97.594999999999999</v>
      </c>
      <c r="BMG18">
        <f>SOFR3mo_PX[[#This Row],[Column1697]]</f>
        <v>97.534999999999997</v>
      </c>
      <c r="BMH18">
        <f>SOFR3mo_PX[[#This Row],[Column1698]]</f>
        <v>97.5</v>
      </c>
      <c r="BMI18">
        <f>SOFR3mo_PX[[#This Row],[Column1699]]</f>
        <v>97.49</v>
      </c>
      <c r="BMJ18">
        <f>SOFR3mo_PX[[#This Row],[Column1700]]</f>
        <v>97.49</v>
      </c>
      <c r="BMK18">
        <f>SOFR3mo_PX[[#This Row],[Column1701]]</f>
        <v>97.44</v>
      </c>
      <c r="BML18">
        <f>SOFR3mo_PX[[#This Row],[Column1702]]</f>
        <v>97.405000000000001</v>
      </c>
      <c r="BMM18">
        <f>SOFR3mo_PX[[#This Row],[Column1703]]</f>
        <v>97.375</v>
      </c>
      <c r="BMN18">
        <f>SOFR3mo_PX[[#This Row],[Column1704]]</f>
        <v>97.38</v>
      </c>
      <c r="BMO18">
        <f>SOFR3mo_PX[[#This Row],[Column1705]]</f>
        <v>97.415000000000006</v>
      </c>
      <c r="BMP18">
        <f>SOFR3mo_PX[[#This Row],[Column1706]]</f>
        <v>97.454999999999998</v>
      </c>
      <c r="BMQ18">
        <f>SOFR3mo_PX[[#This Row],[Column1707]]</f>
        <v>97.42</v>
      </c>
      <c r="BMR18">
        <f>SOFR3mo_PX[[#This Row],[Column1708]]</f>
        <v>97.38</v>
      </c>
      <c r="BMS18">
        <f>SOFR3mo_PX[[#This Row],[Column1709]]</f>
        <v>97.275000000000006</v>
      </c>
      <c r="BMT18">
        <f>SOFR3mo_PX[[#This Row],[Column1710]]</f>
        <v>97.275000000000006</v>
      </c>
      <c r="BMU18">
        <f>SOFR3mo_PX[[#This Row],[Column1711]]</f>
        <v>97.245000000000005</v>
      </c>
      <c r="BMV18">
        <f>SOFR3mo_PX[[#This Row],[Column1712]]</f>
        <v>97.265000000000001</v>
      </c>
      <c r="BMW18">
        <f>SOFR3mo_PX[[#This Row],[Column1713]]</f>
        <v>97.26</v>
      </c>
      <c r="BMX18">
        <f>SOFR3mo_PX[[#This Row],[Column1714]]</f>
        <v>97.254999999999995</v>
      </c>
      <c r="BMY18">
        <f>SOFR3mo_PX[[#This Row],[Column1715]]</f>
        <v>97.22</v>
      </c>
      <c r="BMZ18">
        <f>SOFR3mo_PX[[#This Row],[Column1716]]</f>
        <v>97.204999999999998</v>
      </c>
      <c r="BNA18">
        <f>SOFR3mo_PX[[#This Row],[Column1717]]</f>
        <v>97.215000000000003</v>
      </c>
      <c r="BNB18">
        <f>SOFR3mo_PX[[#This Row],[Column1718]]</f>
        <v>97.215000000000003</v>
      </c>
      <c r="BNC18">
        <f>SOFR3mo_PX[[#This Row],[Column1719]]</f>
        <v>97.215000000000003</v>
      </c>
      <c r="BND18">
        <f>SOFR3mo_PX[[#This Row],[Column1720]]</f>
        <v>97.224999999999994</v>
      </c>
      <c r="BNE18">
        <f>SOFR3mo_PX[[#This Row],[Column1721]]</f>
        <v>97.23</v>
      </c>
      <c r="BNF18">
        <f>SOFR3mo_PX[[#This Row],[Column1722]]</f>
        <v>97.194999999999993</v>
      </c>
      <c r="BNG18">
        <f>SOFR3mo_PX[[#This Row],[Column1723]]</f>
        <v>97.144999999999996</v>
      </c>
      <c r="BNH18">
        <f>SOFR3mo_PX[[#This Row],[Column1724]]</f>
        <v>97.135000000000005</v>
      </c>
      <c r="BNI18">
        <f>SOFR3mo_PX[[#This Row],[Column1725]]</f>
        <v>97.08</v>
      </c>
      <c r="BNJ18">
        <f>SOFR3mo_PX[[#This Row],[Column1726]]</f>
        <v>97.06</v>
      </c>
      <c r="BNK18">
        <f>SOFR3mo_PX[[#This Row],[Column1727]]</f>
        <v>97.04</v>
      </c>
      <c r="BNL18">
        <f>SOFR3mo_PX[[#This Row],[Column1728]]</f>
        <v>97.025000000000006</v>
      </c>
      <c r="BNM18">
        <f>SOFR3mo_PX[[#This Row],[Column1729]]</f>
        <v>97.06</v>
      </c>
      <c r="BNN18">
        <f>SOFR3mo_PX[[#This Row],[Column1730]]</f>
        <v>97.07</v>
      </c>
      <c r="BNO18">
        <f>SOFR3mo_PX[[#This Row],[Column1731]]</f>
        <v>97.08</v>
      </c>
      <c r="BNP18">
        <f>SOFR3mo_PX[[#This Row],[Column1732]]</f>
        <v>97.084999999999994</v>
      </c>
      <c r="BNQ18">
        <f>SOFR3mo_PX[[#This Row],[Column1733]]</f>
        <v>97.125</v>
      </c>
      <c r="BNR18">
        <f>SOFR3mo_PX[[#This Row],[Column1734]]</f>
        <v>97.114999999999995</v>
      </c>
      <c r="BNS18">
        <f>SOFR3mo_PX[[#This Row],[Column1735]]</f>
        <v>97.144999999999996</v>
      </c>
      <c r="BNT18">
        <f>SOFR3mo_PX[[#This Row],[Column1736]]</f>
        <v>97.144999999999996</v>
      </c>
      <c r="BNU18">
        <f>SOFR3mo_PX[[#This Row],[Column1737]]</f>
        <v>97.15</v>
      </c>
      <c r="BNV18">
        <f>SOFR3mo_PX[[#This Row],[Column1738]]</f>
        <v>97.08</v>
      </c>
      <c r="BNW18">
        <f>SOFR3mo_PX[[#This Row],[Column1739]]</f>
        <v>97.08</v>
      </c>
      <c r="BNX18">
        <f>SOFR3mo_PX[[#This Row],[Column1740]]</f>
        <v>97.05</v>
      </c>
      <c r="BNY18">
        <f>SOFR3mo_PX[[#This Row],[Column1741]]</f>
        <v>97.015000000000001</v>
      </c>
      <c r="BNZ18">
        <f>SOFR3mo_PX[[#This Row],[Column1742]]</f>
        <v>97.01</v>
      </c>
      <c r="BOA18">
        <f>SOFR3mo_PX[[#This Row],[Column1743]]</f>
        <v>97.03</v>
      </c>
      <c r="BOB18">
        <f>SOFR3mo_PX[[#This Row],[Column1744]]</f>
        <v>97.02</v>
      </c>
      <c r="BOC18">
        <f>SOFR3mo_PX[[#This Row],[Column1745]]</f>
        <v>97.02</v>
      </c>
      <c r="BOD18">
        <f>SOFR3mo_PX[[#This Row],[Column1746]]</f>
        <v>97.025000000000006</v>
      </c>
      <c r="BOE18">
        <f>SOFR3mo_PX[[#This Row],[Column1747]]</f>
        <v>97.034999999999997</v>
      </c>
      <c r="BOF18">
        <f>SOFR3mo_PX[[#This Row],[Column1748]]</f>
        <v>97.015000000000001</v>
      </c>
      <c r="BOG18">
        <f>SOFR3mo_PX[[#This Row],[Column1749]]</f>
        <v>96.965000000000003</v>
      </c>
      <c r="BOH18">
        <f>SOFR3mo_PX[[#This Row],[Column1750]]</f>
        <v>96.954999999999998</v>
      </c>
      <c r="BOI18">
        <f>SOFR3mo_PX[[#This Row],[Column1751]]</f>
        <v>96.96</v>
      </c>
      <c r="BOJ18">
        <f>SOFR3mo_PX[[#This Row],[Column1752]]</f>
        <v>96.965000000000003</v>
      </c>
      <c r="BOK18">
        <f>SOFR3mo_PX[[#This Row],[Column1753]]</f>
        <v>96.99</v>
      </c>
      <c r="BOL18">
        <f>SOFR3mo_PX[[#This Row],[Column1754]]</f>
        <v>97.025000000000006</v>
      </c>
      <c r="BOM18">
        <f>SOFR3mo_PX[[#This Row],[Column1755]]</f>
        <v>97.075000000000003</v>
      </c>
      <c r="BON18">
        <f>SOFR3mo_PX[[#This Row],[Column1756]]</f>
        <v>97.064999999999998</v>
      </c>
      <c r="BOO18">
        <f>SOFR3mo_PX[[#This Row],[Column1757]]</f>
        <v>97.064999999999998</v>
      </c>
      <c r="BOP18">
        <f>SOFR3mo_PX[[#This Row],[Column1758]]</f>
        <v>97.045000000000002</v>
      </c>
      <c r="BOQ18">
        <f>SOFR3mo_PX[[#This Row],[Column1759]]</f>
        <v>97.045000000000002</v>
      </c>
      <c r="BOR18">
        <f>SOFR3mo_PX[[#This Row],[Column1760]]</f>
        <v>97.034999999999997</v>
      </c>
      <c r="BOS18">
        <f>SOFR3mo_PX[[#This Row],[Column1761]]</f>
        <v>97.05</v>
      </c>
      <c r="BOT18">
        <f>SOFR3mo_PX[[#This Row],[Column1762]]</f>
        <v>97.055000000000007</v>
      </c>
      <c r="BOU18">
        <f>SOFR3mo_PX[[#This Row],[Column1763]]</f>
        <v>97.045000000000002</v>
      </c>
      <c r="BOV18">
        <f>SOFR3mo_PX[[#This Row],[Column1764]]</f>
        <v>97.064999999999998</v>
      </c>
      <c r="BOW18">
        <f>SOFR3mo_PX[[#This Row],[Column1765]]</f>
        <v>97.094999999999999</v>
      </c>
      <c r="BOX18">
        <f>SOFR3mo_PX[[#This Row],[Column1766]]</f>
        <v>97.125</v>
      </c>
      <c r="BOY18">
        <f>SOFR3mo_PX[[#This Row],[Column1767]]</f>
        <v>97.125</v>
      </c>
      <c r="BOZ18">
        <f>SOFR3mo_PX[[#This Row],[Column1768]]</f>
        <v>97.16</v>
      </c>
      <c r="BPA18">
        <f>SOFR3mo_PX[[#This Row],[Column1769]]</f>
        <v>97.185000000000002</v>
      </c>
      <c r="BPB18">
        <f>SOFR3mo_PX[[#This Row],[Column1770]]</f>
        <v>97.185000000000002</v>
      </c>
      <c r="BPC18">
        <f>SOFR3mo_PX[[#This Row],[Column1771]]</f>
        <v>97.234999999999999</v>
      </c>
      <c r="BPD18">
        <f>SOFR3mo_PX[[#This Row],[Column1772]]</f>
        <v>97.234999999999999</v>
      </c>
      <c r="BPE18">
        <f>SOFR3mo_PX[[#This Row],[Column1773]]</f>
        <v>97.295000000000002</v>
      </c>
      <c r="BPF18">
        <f>SOFR3mo_PX[[#This Row],[Column1774]]</f>
        <v>97.28</v>
      </c>
      <c r="BPG18">
        <f>SOFR3mo_PX[[#This Row],[Column1775]]</f>
        <v>97.284999999999997</v>
      </c>
      <c r="BPH18">
        <f>SOFR3mo_PX[[#This Row],[Column1776]]</f>
        <v>97.305000000000007</v>
      </c>
      <c r="BPI18">
        <f>SOFR3mo_PX[[#This Row],[Column1777]]</f>
        <v>97.305000000000007</v>
      </c>
      <c r="BPJ18">
        <f>SOFR3mo_PX[[#This Row],[Column1778]]</f>
        <v>97.27</v>
      </c>
      <c r="BPK18">
        <f>SOFR3mo_PX[[#This Row],[Column1779]]</f>
        <v>97.26</v>
      </c>
      <c r="BPL18">
        <f>SOFR3mo_PX[[#This Row],[Column1780]]</f>
        <v>97.275000000000006</v>
      </c>
      <c r="BPM18">
        <f>SOFR3mo_PX[[#This Row],[Column1781]]</f>
        <v>97.29</v>
      </c>
      <c r="BPN18">
        <f>SOFR3mo_PX[[#This Row],[Column1782]]</f>
        <v>97.31</v>
      </c>
      <c r="BPO18">
        <f>SOFR3mo_PX[[#This Row],[Column1783]]</f>
        <v>97.31</v>
      </c>
      <c r="BPP18">
        <f>SOFR3mo_PX[[#This Row],[Column1784]]</f>
        <v>97.33</v>
      </c>
      <c r="BPQ18">
        <f>SOFR3mo_PX[[#This Row],[Column1785]]</f>
        <v>97.32</v>
      </c>
      <c r="BPR18">
        <f>SOFR3mo_PX[[#This Row],[Column1786]]</f>
        <v>97.33</v>
      </c>
      <c r="BPS18">
        <f>SOFR3mo_PX[[#This Row],[Column1787]]</f>
        <v>97.305000000000007</v>
      </c>
      <c r="BPT18">
        <f>SOFR3mo_PX[[#This Row],[Column1788]]</f>
        <v>97.3</v>
      </c>
      <c r="BPU18">
        <f>SOFR3mo_PX[[#This Row],[Column1789]]</f>
        <v>97.32</v>
      </c>
      <c r="BPV18">
        <f>SOFR3mo_PX[[#This Row],[Column1790]]</f>
        <v>97.284999999999997</v>
      </c>
      <c r="BPW18">
        <f>SOFR3mo_PX[[#This Row],[Column1791]]</f>
        <v>97.31</v>
      </c>
      <c r="BPX18">
        <f>SOFR3mo_PX[[#This Row],[Column1792]]</f>
        <v>97.314999999999998</v>
      </c>
      <c r="BPY18">
        <f>SOFR3mo_PX[[#This Row],[Column1793]]</f>
        <v>97.25</v>
      </c>
      <c r="BPZ18">
        <f>SOFR3mo_PX[[#This Row],[Column1794]]</f>
        <v>97.234999999999999</v>
      </c>
      <c r="BQA18">
        <f>SOFR3mo_PX[[#This Row],[Column1795]]</f>
        <v>97.23</v>
      </c>
      <c r="BQB18">
        <f>SOFR3mo_PX[[#This Row],[Column1796]]</f>
        <v>97.234999999999999</v>
      </c>
      <c r="BQC18">
        <f>SOFR3mo_PX[[#This Row],[Column1797]]</f>
        <v>97.224999999999994</v>
      </c>
      <c r="BQD18">
        <f>SOFR3mo_PX[[#This Row],[Column1798]]</f>
        <v>97.215000000000003</v>
      </c>
      <c r="BQE18">
        <f>SOFR3mo_PX[[#This Row],[Column1799]]</f>
        <v>97.224999999999994</v>
      </c>
      <c r="BQF18">
        <f>SOFR3mo_PX[[#This Row],[Column1800]]</f>
        <v>97.23</v>
      </c>
      <c r="BQG18">
        <f>SOFR3mo_PX[[#This Row],[Column1801]]</f>
        <v>97.23</v>
      </c>
      <c r="BQH18">
        <f>SOFR3mo_PX[[#This Row],[Column1802]]</f>
        <v>97.22</v>
      </c>
      <c r="BQI18">
        <f>SOFR3mo_PX[[#This Row],[Column1803]]</f>
        <v>97.215000000000003</v>
      </c>
      <c r="BQJ18">
        <f>SOFR3mo_PX[[#This Row],[Column1804]]</f>
        <v>97.26</v>
      </c>
      <c r="BQK18">
        <f>SOFR3mo_PX[[#This Row],[Column1805]]</f>
        <v>97.26</v>
      </c>
      <c r="BQL18">
        <f>SOFR3mo_PX[[#This Row],[Column1806]]</f>
        <v>97.27</v>
      </c>
      <c r="BQM18">
        <f>SOFR3mo_PX[[#This Row],[Column1807]]</f>
        <v>97.305000000000007</v>
      </c>
      <c r="BQN18">
        <f>SOFR3mo_PX[[#This Row],[Column1808]]</f>
        <v>97.31</v>
      </c>
      <c r="BQO18">
        <f>SOFR3mo_PX[[#This Row],[Column1809]]</f>
        <v>97.295000000000002</v>
      </c>
      <c r="BQP18">
        <f>SOFR3mo_PX[[#This Row],[Column1810]]</f>
        <v>97.3</v>
      </c>
      <c r="BQQ18">
        <f>SOFR3mo_PX[[#This Row],[Column1811]]</f>
        <v>97.325000000000003</v>
      </c>
      <c r="BQR18">
        <f>SOFR3mo_PX[[#This Row],[Column1812]]</f>
        <v>97.334999999999994</v>
      </c>
      <c r="BQS18">
        <f>SOFR3mo_PX[[#This Row],[Column1813]]</f>
        <v>97.32</v>
      </c>
      <c r="BQT18">
        <f>SOFR3mo_PX[[#This Row],[Column1814]]</f>
        <v>97.325000000000003</v>
      </c>
      <c r="BQU18">
        <f>SOFR3mo_PX[[#This Row],[Column1815]]</f>
        <v>97.32</v>
      </c>
      <c r="BQV18">
        <f>SOFR3mo_PX[[#This Row],[Column1816]]</f>
        <v>97.33</v>
      </c>
      <c r="BQW18">
        <f>SOFR3mo_PX[[#This Row],[Column1817]]</f>
        <v>97.34</v>
      </c>
      <c r="BQX18">
        <f>SOFR3mo_PX[[#This Row],[Column1818]]</f>
        <v>97.32</v>
      </c>
      <c r="BQY18">
        <f>SOFR3mo_PX[[#This Row],[Column1819]]</f>
        <v>97.334999999999994</v>
      </c>
      <c r="BQZ18">
        <f>SOFR3mo_PX[[#This Row],[Column1820]]</f>
        <v>97.334999999999994</v>
      </c>
      <c r="BRA18">
        <f>SOFR3mo_PX[[#This Row],[Column1821]]</f>
        <v>97.33</v>
      </c>
      <c r="BRB18">
        <f>SOFR3mo_PX[[#This Row],[Column1822]]</f>
        <v>97.33</v>
      </c>
      <c r="BRC18">
        <f>SOFR3mo_PX[[#This Row],[Column1823]]</f>
        <v>97.334999999999994</v>
      </c>
      <c r="BRD18">
        <f>SOFR3mo_PX[[#This Row],[Column1824]]</f>
        <v>97.33</v>
      </c>
      <c r="BRE18">
        <f>SOFR3mo_PX[[#This Row],[Column1825]]</f>
        <v>97.284999999999997</v>
      </c>
      <c r="BRF18">
        <f>SOFR3mo_PX[[#This Row],[Column1826]]</f>
        <v>97.27</v>
      </c>
      <c r="BRG18">
        <f>SOFR3mo_PX[[#This Row],[Column1827]]</f>
        <v>97.24</v>
      </c>
      <c r="BRH18">
        <f>SOFR3mo_PX[[#This Row],[Column1828]]</f>
        <v>97.24</v>
      </c>
      <c r="BRI18">
        <f>SOFR3mo_PX[[#This Row],[Column1829]]</f>
        <v>97.23</v>
      </c>
      <c r="BRJ18">
        <f>SOFR3mo_PX[[#This Row],[Column1830]]</f>
        <v>97.234999999999999</v>
      </c>
      <c r="BRK18">
        <f>SOFR3mo_PX[[#This Row],[Column1831]]</f>
        <v>97.204999999999998</v>
      </c>
      <c r="BRL18">
        <f>SOFR3mo_PX[[#This Row],[Column1832]]</f>
        <v>97.215000000000003</v>
      </c>
      <c r="BRM18">
        <f>SOFR3mo_PX[[#This Row],[Column1833]]</f>
        <v>97.2</v>
      </c>
      <c r="BRN18">
        <f>SOFR3mo_PX[[#This Row],[Column1834]]</f>
        <v>97.2</v>
      </c>
      <c r="BRO18">
        <f>SOFR3mo_PX[[#This Row],[Column1835]]</f>
        <v>97.234999999999999</v>
      </c>
      <c r="BRP18">
        <f>SOFR3mo_PX[[#This Row],[Column1836]]</f>
        <v>97.25</v>
      </c>
      <c r="BRQ18">
        <f>SOFR3mo_PX[[#This Row],[Column1837]]</f>
        <v>97.26</v>
      </c>
      <c r="BRR18">
        <f>SOFR3mo_PX[[#This Row],[Column1838]]</f>
        <v>97.224999999999994</v>
      </c>
      <c r="BRS18">
        <f>SOFR3mo_PX[[#This Row],[Column1839]]</f>
        <v>97.215000000000003</v>
      </c>
      <c r="BRT18">
        <f>SOFR3mo_PX[[#This Row],[Column1840]]</f>
        <v>97.254999999999995</v>
      </c>
      <c r="BRU18">
        <f>SOFR3mo_PX[[#This Row],[Column1841]]</f>
        <v>97.234999999999999</v>
      </c>
      <c r="BRV18">
        <f>SOFR3mo_PX[[#This Row],[Column1842]]</f>
        <v>97.275000000000006</v>
      </c>
      <c r="BRW18">
        <f>SOFR3mo_PX[[#This Row],[Column1843]]</f>
        <v>97.344999999999999</v>
      </c>
      <c r="BRX18">
        <f>SOFR3mo_PX[[#This Row],[Column1844]]</f>
        <v>97.34</v>
      </c>
      <c r="BRY18">
        <f>SOFR3mo_PX[[#This Row],[Column1845]]</f>
        <v>97.435000000000002</v>
      </c>
      <c r="BRZ18">
        <f>SOFR3mo_PX[[#This Row],[Column1846]]</f>
        <v>97.22</v>
      </c>
      <c r="BSA18">
        <f>SOFR3mo_PX[[#This Row],[Column1847]]</f>
        <v>97.22</v>
      </c>
      <c r="BSB18">
        <f>SOFR3mo_PX[[#This Row],[Column1848]]</f>
        <v>97.19</v>
      </c>
      <c r="BSC18">
        <f>SOFR3mo_PX[[#This Row],[Column1849]]</f>
        <v>97.16</v>
      </c>
      <c r="BSD18">
        <f>SOFR3mo_PX[[#This Row],[Column1850]]</f>
        <v>97.11</v>
      </c>
      <c r="BSE18">
        <f>SOFR3mo_PX[[#This Row],[Column1851]]</f>
        <v>97.1</v>
      </c>
      <c r="BSF18">
        <f>SOFR3mo_PX[[#This Row],[Column1852]]</f>
        <v>97.114999999999995</v>
      </c>
      <c r="BSG18">
        <f>SOFR3mo_PX[[#This Row],[Column1853]]</f>
        <v>97.09</v>
      </c>
      <c r="BSH18">
        <f>SOFR3mo_PX[[#This Row],[Column1854]]</f>
        <v>97.105000000000004</v>
      </c>
      <c r="BSI18">
        <f>SOFR3mo_PX[[#This Row],[Column1855]]</f>
        <v>97.114999999999995</v>
      </c>
      <c r="BSJ18">
        <f>SOFR3mo_PX[[#This Row],[Column1856]]</f>
        <v>97.144999999999996</v>
      </c>
      <c r="BSK18">
        <f>SOFR3mo_PX[[#This Row],[Column1857]]</f>
        <v>97.15</v>
      </c>
      <c r="BSL18">
        <f>SOFR3mo_PX[[#This Row],[Column1858]]</f>
        <v>97.165000000000006</v>
      </c>
      <c r="BSM18">
        <f>SOFR3mo_PX[[#This Row],[Column1859]]</f>
        <v>97.185000000000002</v>
      </c>
      <c r="BSN18">
        <f>SOFR3mo_PX[[#This Row],[Column1860]]</f>
        <v>97.21</v>
      </c>
      <c r="BSO18">
        <f>SOFR3mo_PX[[#This Row],[Column1861]]</f>
        <v>97.22</v>
      </c>
      <c r="BSP18">
        <f>SOFR3mo_PX[[#This Row],[Column1862]]</f>
        <v>97.245000000000005</v>
      </c>
      <c r="BSQ18" t="str">
        <f>SOFR3mo_PX[[#This Row],[Column1863]]</f>
        <v>#N/A N/A</v>
      </c>
      <c r="BSR18" t="str">
        <f>SOFR3mo_PX[[#This Row],[Column1864]]</f>
        <v>#N/A N/A</v>
      </c>
      <c r="BSS18" t="str">
        <f>SOFR3mo_PX[[#This Row],[Column1865]]</f>
        <v>#N/A N/A</v>
      </c>
      <c r="BST18" t="str">
        <f>SOFR3mo_PX[[#This Row],[Column1866]]</f>
        <v>#N/A N/A</v>
      </c>
      <c r="BSU18" t="str">
        <f>SOFR3mo_PX[[#This Row],[Column1867]]</f>
        <v>#N/A N/A</v>
      </c>
      <c r="BSV18" t="str">
        <f>SOFR3mo_PX[[#This Row],[Column1868]]</f>
        <v>#N/A N/A</v>
      </c>
      <c r="BSW18" t="str">
        <f>SOFR3mo_PX[[#This Row],[Column1869]]</f>
        <v>#N/A N/A</v>
      </c>
      <c r="BSX18" t="str">
        <f>SOFR3mo_PX[[#This Row],[Column1870]]</f>
        <v>#N/A N/A</v>
      </c>
      <c r="BSY18" t="str">
        <f>SOFR3mo_PX[[#This Row],[Column1871]]</f>
        <v>#N/A N/A</v>
      </c>
      <c r="BSZ18" t="str">
        <f>SOFR3mo_PX[[#This Row],[Column1872]]</f>
        <v>#N/A N/A</v>
      </c>
      <c r="BTA18" t="str">
        <f>SOFR3mo_PX[[#This Row],[Column1873]]</f>
        <v>#N/A N/A</v>
      </c>
      <c r="BTB18" t="str">
        <f>SOFR3mo_PX[[#This Row],[Column1874]]</f>
        <v>#N/A N/A</v>
      </c>
      <c r="BTC18" t="str">
        <f>SOFR3mo_PX[[#This Row],[Column1875]]</f>
        <v>#N/A N/A</v>
      </c>
      <c r="BTD18" t="str">
        <f>SOFR3mo_PX[[#This Row],[Column1876]]</f>
        <v>#N/A N/A</v>
      </c>
      <c r="BTE18" t="str">
        <f>SOFR3mo_PX[[#This Row],[Column1877]]</f>
        <v>#N/A N/A</v>
      </c>
      <c r="BTF18" t="str">
        <f>SOFR3mo_PX[[#This Row],[Column1878]]</f>
        <v>#N/A N/A</v>
      </c>
      <c r="BTG18" t="str">
        <f>SOFR3mo_PX[[#This Row],[Column1879]]</f>
        <v>#N/A N/A</v>
      </c>
      <c r="BTH18" t="str">
        <f>SOFR3mo_PX[[#This Row],[Column1880]]</f>
        <v>#N/A N/A</v>
      </c>
      <c r="BTI18" t="str">
        <f>SOFR3mo_PX[[#This Row],[Column1881]]</f>
        <v>#N/A N/A</v>
      </c>
      <c r="BTJ18" t="str">
        <f>SOFR3mo_PX[[#This Row],[Column1882]]</f>
        <v>#N/A N/A</v>
      </c>
      <c r="BTK18" t="str">
        <f>SOFR3mo_PX[[#This Row],[Column1883]]</f>
        <v>#N/A N/A</v>
      </c>
      <c r="BTL18" t="str">
        <f>SOFR3mo_PX[[#This Row],[Column1884]]</f>
        <v>#N/A N/A</v>
      </c>
      <c r="BTM18" t="str">
        <f>SOFR3mo_PX[[#This Row],[Column1885]]</f>
        <v>#N/A N/A</v>
      </c>
      <c r="BTN18" t="str">
        <f>SOFR3mo_PX[[#This Row],[Column1886]]</f>
        <v>#N/A N/A</v>
      </c>
      <c r="BTO18" t="str">
        <f>SOFR3mo_PX[[#This Row],[Column1887]]</f>
        <v>#N/A N/A</v>
      </c>
      <c r="BTP18" t="str">
        <f>SOFR3mo_PX[[#This Row],[Column1888]]</f>
        <v>#N/A N/A</v>
      </c>
      <c r="BTQ18" t="str">
        <f>SOFR3mo_PX[[#This Row],[Column1889]]</f>
        <v>#N/A N/A</v>
      </c>
      <c r="BTR18" t="str">
        <f>SOFR3mo_PX[[#This Row],[Column1890]]</f>
        <v>#N/A N/A</v>
      </c>
      <c r="BTS18" t="str">
        <f>SOFR3mo_PX[[#This Row],[Column1891]]</f>
        <v>#N/A N/A</v>
      </c>
      <c r="BTT18" t="str">
        <f>SOFR3mo_PX[[#This Row],[Column1892]]</f>
        <v>#N/A N/A</v>
      </c>
      <c r="BTU18" t="str">
        <f>SOFR3mo_PX[[#This Row],[Column1893]]</f>
        <v>#N/A N/A</v>
      </c>
      <c r="BTV18" t="str">
        <f>SOFR3mo_PX[[#This Row],[Column1894]]</f>
        <v>#N/A N/A</v>
      </c>
      <c r="BTW18" t="str">
        <f>SOFR3mo_PX[[#This Row],[Column1895]]</f>
        <v>#N/A N/A</v>
      </c>
      <c r="BTX18" t="str">
        <f>SOFR3mo_PX[[#This Row],[Column1896]]</f>
        <v>#N/A N/A</v>
      </c>
      <c r="BTY18" t="str">
        <f>SOFR3mo_PX[[#This Row],[Column1897]]</f>
        <v>#N/A N/A</v>
      </c>
      <c r="BTZ18" t="str">
        <f>SOFR3mo_PX[[#This Row],[Column1898]]</f>
        <v>#N/A N/A</v>
      </c>
      <c r="BUA18" t="str">
        <f>SOFR3mo_PX[[#This Row],[Column1899]]</f>
        <v>#N/A N/A</v>
      </c>
      <c r="BUB18" t="str">
        <f>SOFR3mo_PX[[#This Row],[Column1900]]</f>
        <v>#N/A N/A</v>
      </c>
      <c r="BUC18" t="str">
        <f>SOFR3mo_PX[[#This Row],[Column1901]]</f>
        <v>#N/A N/A</v>
      </c>
      <c r="BUD18" t="str">
        <f>SOFR3mo_PX[[#This Row],[Column1902]]</f>
        <v>#N/A N/A</v>
      </c>
      <c r="BUE18" t="str">
        <f>SOFR3mo_PX[[#This Row],[Column1903]]</f>
        <v>#N/A N/A</v>
      </c>
      <c r="BUF18" t="str">
        <f>SOFR3mo_PX[[#This Row],[Column1904]]</f>
        <v>#N/A N/A</v>
      </c>
      <c r="BUG18" t="str">
        <f>SOFR3mo_PX[[#This Row],[Column1905]]</f>
        <v>#N/A N/A</v>
      </c>
      <c r="BUH18" t="str">
        <f>SOFR3mo_PX[[#This Row],[Column1906]]</f>
        <v>#N/A N/A</v>
      </c>
      <c r="BUI18" t="str">
        <f>SOFR3mo_PX[[#This Row],[Column1907]]</f>
        <v>#N/A N/A</v>
      </c>
      <c r="BUJ18" t="str">
        <f>SOFR3mo_PX[[#This Row],[Column1908]]</f>
        <v>#N/A N/A</v>
      </c>
      <c r="BUK18" t="str">
        <f>SOFR3mo_PX[[#This Row],[Column1909]]</f>
        <v>#N/A N/A</v>
      </c>
      <c r="BUL18" t="str">
        <f>SOFR3mo_PX[[#This Row],[Column1910]]</f>
        <v>#N/A N/A</v>
      </c>
      <c r="BUM18" t="str">
        <f>SOFR3mo_PX[[#This Row],[Column1911]]</f>
        <v>#N/A N/A</v>
      </c>
      <c r="BUN18" t="str">
        <f>SOFR3mo_PX[[#This Row],[Column1912]]</f>
        <v>#N/A N/A</v>
      </c>
      <c r="BUO18" t="str">
        <f>SOFR3mo_PX[[#This Row],[Column1913]]</f>
        <v>#N/A N/A</v>
      </c>
      <c r="BUP18" t="str">
        <f>SOFR3mo_PX[[#This Row],[Column1914]]</f>
        <v>#N/A N/A</v>
      </c>
      <c r="BUQ18" t="str">
        <f>SOFR3mo_PX[[#This Row],[Column1915]]</f>
        <v>#N/A N/A</v>
      </c>
      <c r="BUR18" t="str">
        <f>SOFR3mo_PX[[#This Row],[Column1916]]</f>
        <v>#N/A N/A</v>
      </c>
      <c r="BUS18" t="str">
        <f>SOFR3mo_PX[[#This Row],[Column1917]]</f>
        <v>#N/A N/A</v>
      </c>
      <c r="BUT18" t="str">
        <f>SOFR3mo_PX[[#This Row],[Column1918]]</f>
        <v>#N/A N/A</v>
      </c>
      <c r="BUU18" t="str">
        <f>SOFR3mo_PX[[#This Row],[Column1919]]</f>
        <v>#N/A N/A</v>
      </c>
      <c r="BUV18" t="str">
        <f>SOFR3mo_PX[[#This Row],[Column1920]]</f>
        <v>#N/A N/A</v>
      </c>
      <c r="BUW18" t="str">
        <f>SOFR3mo_PX[[#This Row],[Column1921]]</f>
        <v>#N/A N/A</v>
      </c>
      <c r="BUX18" t="str">
        <f>SOFR3mo_PX[[#This Row],[Column1922]]</f>
        <v>#N/A N/A</v>
      </c>
      <c r="BUY18" t="str">
        <f>SOFR3mo_PX[[#This Row],[Column1923]]</f>
        <v>#N/A N/A</v>
      </c>
      <c r="BUZ18" t="str">
        <f>SOFR3mo_PX[[#This Row],[Column1924]]</f>
        <v>#N/A N/A</v>
      </c>
      <c r="BVA18" t="str">
        <f>SOFR3mo_PX[[#This Row],[Column1925]]</f>
        <v>#N/A N/A</v>
      </c>
      <c r="BVB18" t="str">
        <f>SOFR3mo_PX[[#This Row],[Column1926]]</f>
        <v>#N/A N/A</v>
      </c>
      <c r="BVC18" t="str">
        <f>SOFR3mo_PX[[#This Row],[Column1927]]</f>
        <v>#N/A N/A</v>
      </c>
      <c r="BVD18" t="str">
        <f>SOFR3mo_PX[[#This Row],[Column1928]]</f>
        <v>#N/A N/A</v>
      </c>
      <c r="BVE18" t="str">
        <f>SOFR3mo_PX[[#This Row],[Column1929]]</f>
        <v>#N/A N/A</v>
      </c>
      <c r="BVF18" t="str">
        <f>SOFR3mo_PX[[#This Row],[Column1930]]</f>
        <v>#N/A N/A</v>
      </c>
      <c r="BVG18" t="str">
        <f>SOFR3mo_PX[[#This Row],[Column1931]]</f>
        <v>#N/A N/A</v>
      </c>
      <c r="BVH18" t="str">
        <f>SOFR3mo_PX[[#This Row],[Column1932]]</f>
        <v>#N/A N/A</v>
      </c>
      <c r="BVI18" t="str">
        <f>SOFR3mo_PX[[#This Row],[Column1933]]</f>
        <v>#N/A N/A</v>
      </c>
      <c r="BVJ18" t="str">
        <f>SOFR3mo_PX[[#This Row],[Column1934]]</f>
        <v>#N/A N/A</v>
      </c>
      <c r="BVK18" t="str">
        <f>SOFR3mo_PX[[#This Row],[Column1935]]</f>
        <v>#N/A N/A</v>
      </c>
      <c r="BVL18" t="str">
        <f>SOFR3mo_PX[[#This Row],[Column1936]]</f>
        <v>#N/A N/A</v>
      </c>
      <c r="BVM18" t="str">
        <f>SOFR3mo_PX[[#This Row],[Column1937]]</f>
        <v>#N/A N/A</v>
      </c>
      <c r="BVN18" t="str">
        <f>SOFR3mo_PX[[#This Row],[Column1938]]</f>
        <v>#N/A N/A</v>
      </c>
      <c r="BVO18" t="str">
        <f>SOFR3mo_PX[[#This Row],[Column1939]]</f>
        <v>#N/A N/A</v>
      </c>
      <c r="BVP18" t="str">
        <f>SOFR3mo_PX[[#This Row],[Column1940]]</f>
        <v>#N/A N/A</v>
      </c>
      <c r="BVQ18" t="str">
        <f>SOFR3mo_PX[[#This Row],[Column1941]]</f>
        <v>#N/A N/A</v>
      </c>
      <c r="BVR18" t="str">
        <f>SOFR3mo_PX[[#This Row],[Column1942]]</f>
        <v>#N/A N/A</v>
      </c>
      <c r="BVS18" t="str">
        <f>SOFR3mo_PX[[#This Row],[Column1943]]</f>
        <v>#N/A N/A</v>
      </c>
      <c r="BVT18" t="str">
        <f>SOFR3mo_PX[[#This Row],[Column1944]]</f>
        <v>#N/A N/A</v>
      </c>
      <c r="BVU18" t="str">
        <f>SOFR3mo_PX[[#This Row],[Column1945]]</f>
        <v>#N/A N/A</v>
      </c>
      <c r="BVV18" t="str">
        <f>SOFR3mo_PX[[#This Row],[Column1946]]</f>
        <v>#N/A N/A</v>
      </c>
      <c r="BVW18" t="str">
        <f>SOFR3mo_PX[[#This Row],[Column1947]]</f>
        <v>#N/A N/A</v>
      </c>
      <c r="BVX18" t="str">
        <f>SOFR3mo_PX[[#This Row],[Column1948]]</f>
        <v>#N/A N/A</v>
      </c>
      <c r="BVY18" t="str">
        <f>SOFR3mo_PX[[#This Row],[Column1949]]</f>
        <v>#N/A N/A</v>
      </c>
      <c r="BVZ18" t="str">
        <f>SOFR3mo_PX[[#This Row],[Column1950]]</f>
        <v>#N/A N/A</v>
      </c>
      <c r="BWA18" t="str">
        <f>SOFR3mo_PX[[#This Row],[Column1951]]</f>
        <v>#N/A N/A</v>
      </c>
      <c r="BWB18" t="str">
        <f>SOFR3mo_PX[[#This Row],[Column1952]]</f>
        <v>#N/A N/A</v>
      </c>
      <c r="BWC18" t="str">
        <f>SOFR3mo_PX[[#This Row],[Column1953]]</f>
        <v>#N/A N/A</v>
      </c>
      <c r="BWD18" t="str">
        <f>SOFR3mo_PX[[#This Row],[Column1954]]</f>
        <v>#N/A N/A</v>
      </c>
    </row>
    <row r="19" spans="1:1954" x14ac:dyDescent="0.25">
      <c r="A19" t="str">
        <f>SOFR3mo_PX[[#This Row],[Column1]]</f>
        <v>SFR17 Comdty</v>
      </c>
      <c r="B19">
        <f>IF(rtd!B17&lt;&gt;"",rtd!B17,SOFR3mo_PX[[#This Row],[Column2]])</f>
        <v>96.332499999999996</v>
      </c>
      <c r="C19">
        <f>SOFR3mo_PX[[#This Row],[Column3]]</f>
        <v>96.3</v>
      </c>
      <c r="D19">
        <f>SOFR3mo_PX[[#This Row],[Column4]]</f>
        <v>96.3</v>
      </c>
      <c r="E19">
        <f>SOFR3mo_PX[[#This Row],[Column5]]</f>
        <v>96.344999999999999</v>
      </c>
      <c r="F19">
        <f>SOFR3mo_PX[[#This Row],[Column6]]</f>
        <v>96.284999999999997</v>
      </c>
      <c r="G19">
        <f>SOFR3mo_PX[[#This Row],[Column7]]</f>
        <v>96.3</v>
      </c>
      <c r="H19">
        <f>SOFR3mo_PX[[#This Row],[Column8]]</f>
        <v>96.344999999999999</v>
      </c>
      <c r="I19">
        <f>SOFR3mo_PX[[#This Row],[Column9]]</f>
        <v>96.295000000000002</v>
      </c>
      <c r="J19">
        <f>SOFR3mo_PX[[#This Row],[Column10]]</f>
        <v>96.23</v>
      </c>
      <c r="K19">
        <f>SOFR3mo_PX[[#This Row],[Column11]]</f>
        <v>96.22</v>
      </c>
      <c r="L19">
        <f>SOFR3mo_PX[[#This Row],[Column12]]</f>
        <v>96.194999999999993</v>
      </c>
      <c r="M19">
        <f>SOFR3mo_PX[[#This Row],[Column13]]</f>
        <v>96.314999999999998</v>
      </c>
      <c r="N19">
        <f>SOFR3mo_PX[[#This Row],[Column14]]</f>
        <v>96.36</v>
      </c>
      <c r="O19">
        <f>SOFR3mo_PX[[#This Row],[Column15]]</f>
        <v>96.275000000000006</v>
      </c>
      <c r="P19">
        <f>SOFR3mo_PX[[#This Row],[Column16]]</f>
        <v>96.284999999999997</v>
      </c>
      <c r="Q19">
        <f>SOFR3mo_PX[[#This Row],[Column17]]</f>
        <v>96.334999999999994</v>
      </c>
      <c r="R19">
        <f>SOFR3mo_PX[[#This Row],[Column18]]</f>
        <v>96.314999999999998</v>
      </c>
      <c r="S19">
        <f>SOFR3mo_PX[[#This Row],[Column19]]</f>
        <v>96.275000000000006</v>
      </c>
      <c r="T19">
        <f>SOFR3mo_PX[[#This Row],[Column20]]</f>
        <v>96.32</v>
      </c>
      <c r="U19">
        <f>SOFR3mo_PX[[#This Row],[Column21]]</f>
        <v>96.234999999999999</v>
      </c>
      <c r="V19">
        <f>SOFR3mo_PX[[#This Row],[Column22]]</f>
        <v>96.234999999999999</v>
      </c>
      <c r="W19">
        <f>SOFR3mo_PX[[#This Row],[Column23]]</f>
        <v>96.185000000000002</v>
      </c>
      <c r="X19">
        <f>SOFR3mo_PX[[#This Row],[Column24]]</f>
        <v>96.135000000000005</v>
      </c>
      <c r="Y19">
        <f>SOFR3mo_PX[[#This Row],[Column25]]</f>
        <v>96.24</v>
      </c>
      <c r="Z19">
        <f>SOFR3mo_PX[[#This Row],[Column26]]</f>
        <v>96.224999999999994</v>
      </c>
      <c r="AA19">
        <f>SOFR3mo_PX[[#This Row],[Column27]]</f>
        <v>96.24</v>
      </c>
      <c r="AB19">
        <f>SOFR3mo_PX[[#This Row],[Column28]]</f>
        <v>96.22</v>
      </c>
      <c r="AC19">
        <f>SOFR3mo_PX[[#This Row],[Column29]]</f>
        <v>96.135000000000005</v>
      </c>
      <c r="AD19">
        <f>SOFR3mo_PX[[#This Row],[Column30]]</f>
        <v>96.17</v>
      </c>
      <c r="AE19">
        <f>SOFR3mo_PX[[#This Row],[Column31]]</f>
        <v>96.194999999999993</v>
      </c>
      <c r="AF19">
        <f>SOFR3mo_PX[[#This Row],[Column32]]</f>
        <v>96.295000000000002</v>
      </c>
      <c r="AG19">
        <f>SOFR3mo_PX[[#This Row],[Column33]]</f>
        <v>96.295000000000002</v>
      </c>
      <c r="AH19">
        <f>SOFR3mo_PX[[#This Row],[Column34]]</f>
        <v>96.42</v>
      </c>
      <c r="AI19">
        <f>SOFR3mo_PX[[#This Row],[Column35]]</f>
        <v>96.38</v>
      </c>
      <c r="AJ19">
        <f>SOFR3mo_PX[[#This Row],[Column36]]</f>
        <v>96.344999999999999</v>
      </c>
      <c r="AK19">
        <f>SOFR3mo_PX[[#This Row],[Column37]]</f>
        <v>96.36</v>
      </c>
      <c r="AL19">
        <f>SOFR3mo_PX[[#This Row],[Column38]]</f>
        <v>96.444999999999993</v>
      </c>
      <c r="AM19">
        <f>SOFR3mo_PX[[#This Row],[Column39]]</f>
        <v>96.49</v>
      </c>
      <c r="AN19">
        <f>SOFR3mo_PX[[#This Row],[Column40]]</f>
        <v>96.474999999999994</v>
      </c>
      <c r="AO19">
        <f>SOFR3mo_PX[[#This Row],[Column41]]</f>
        <v>96.424999999999997</v>
      </c>
      <c r="AP19">
        <f>SOFR3mo_PX[[#This Row],[Column42]]</f>
        <v>96.36</v>
      </c>
      <c r="AQ19">
        <f>SOFR3mo_PX[[#This Row],[Column43]]</f>
        <v>96.31</v>
      </c>
      <c r="AR19">
        <f>SOFR3mo_PX[[#This Row],[Column44]]</f>
        <v>96.23</v>
      </c>
      <c r="AS19">
        <f>SOFR3mo_PX[[#This Row],[Column45]]</f>
        <v>96.24</v>
      </c>
      <c r="AT19">
        <f>SOFR3mo_PX[[#This Row],[Column46]]</f>
        <v>96.24</v>
      </c>
      <c r="AU19">
        <f>SOFR3mo_PX[[#This Row],[Column47]]</f>
        <v>96.295000000000002</v>
      </c>
      <c r="AV19">
        <f>SOFR3mo_PX[[#This Row],[Column48]]</f>
        <v>96.295000000000002</v>
      </c>
      <c r="AW19">
        <f>SOFR3mo_PX[[#This Row],[Column49]]</f>
        <v>96.334999999999994</v>
      </c>
      <c r="AX19">
        <f>SOFR3mo_PX[[#This Row],[Column50]]</f>
        <v>96.27</v>
      </c>
      <c r="AY19">
        <f>SOFR3mo_PX[[#This Row],[Column51]]</f>
        <v>96.234999999999999</v>
      </c>
      <c r="AZ19">
        <f>SOFR3mo_PX[[#This Row],[Column52]]</f>
        <v>96.094999999999999</v>
      </c>
      <c r="BA19">
        <f>SOFR3mo_PX[[#This Row],[Column53]]</f>
        <v>96.24</v>
      </c>
      <c r="BB19">
        <f>SOFR3mo_PX[[#This Row],[Column54]]</f>
        <v>96.165000000000006</v>
      </c>
      <c r="BC19">
        <f>SOFR3mo_PX[[#This Row],[Column55]]</f>
        <v>96.36</v>
      </c>
      <c r="BD19">
        <f>SOFR3mo_PX[[#This Row],[Column56]]</f>
        <v>96.43</v>
      </c>
      <c r="BE19">
        <f>SOFR3mo_PX[[#This Row],[Column57]]</f>
        <v>96.58</v>
      </c>
      <c r="BF19">
        <f>SOFR3mo_PX[[#This Row],[Column58]]</f>
        <v>96.515000000000001</v>
      </c>
      <c r="BG19">
        <f>SOFR3mo_PX[[#This Row],[Column59]]</f>
        <v>96.325000000000003</v>
      </c>
      <c r="BH19">
        <f>SOFR3mo_PX[[#This Row],[Column60]]</f>
        <v>96.38</v>
      </c>
      <c r="BI19">
        <f>SOFR3mo_PX[[#This Row],[Column61]]</f>
        <v>96.284999999999997</v>
      </c>
      <c r="BJ19">
        <f>SOFR3mo_PX[[#This Row],[Column62]]</f>
        <v>96.27</v>
      </c>
      <c r="BK19">
        <f>SOFR3mo_PX[[#This Row],[Column63]]</f>
        <v>96.15</v>
      </c>
      <c r="BL19">
        <f>SOFR3mo_PX[[#This Row],[Column64]]</f>
        <v>96.18</v>
      </c>
      <c r="BM19">
        <f>SOFR3mo_PX[[#This Row],[Column65]]</f>
        <v>96.194999999999993</v>
      </c>
      <c r="BN19">
        <f>SOFR3mo_PX[[#This Row],[Column66]]</f>
        <v>96.155000000000001</v>
      </c>
      <c r="BO19">
        <f>SOFR3mo_PX[[#This Row],[Column67]]</f>
        <v>96.24</v>
      </c>
      <c r="BP19">
        <f>SOFR3mo_PX[[#This Row],[Column68]]</f>
        <v>96.245000000000005</v>
      </c>
      <c r="BQ19">
        <f>SOFR3mo_PX[[#This Row],[Column69]]</f>
        <v>96.215000000000003</v>
      </c>
      <c r="BR19">
        <f>SOFR3mo_PX[[#This Row],[Column70]]</f>
        <v>96.224999999999994</v>
      </c>
      <c r="BS19">
        <f>SOFR3mo_PX[[#This Row],[Column71]]</f>
        <v>96.18</v>
      </c>
      <c r="BT19">
        <f>SOFR3mo_PX[[#This Row],[Column72]]</f>
        <v>96.18</v>
      </c>
      <c r="BU19">
        <f>SOFR3mo_PX[[#This Row],[Column73]]</f>
        <v>96.234999999999999</v>
      </c>
      <c r="BV19">
        <f>SOFR3mo_PX[[#This Row],[Column74]]</f>
        <v>96.18</v>
      </c>
      <c r="BW19">
        <f>SOFR3mo_PX[[#This Row],[Column75]]</f>
        <v>96.215000000000003</v>
      </c>
      <c r="BX19">
        <f>SOFR3mo_PX[[#This Row],[Column76]]</f>
        <v>96.305000000000007</v>
      </c>
      <c r="BY19">
        <f>SOFR3mo_PX[[#This Row],[Column77]]</f>
        <v>96.16</v>
      </c>
      <c r="BZ19">
        <f>SOFR3mo_PX[[#This Row],[Column78]]</f>
        <v>96.19</v>
      </c>
      <c r="CA19">
        <f>SOFR3mo_PX[[#This Row],[Column79]]</f>
        <v>96.21</v>
      </c>
      <c r="CB19">
        <f>SOFR3mo_PX[[#This Row],[Column80]]</f>
        <v>96.29</v>
      </c>
      <c r="CC19">
        <f>SOFR3mo_PX[[#This Row],[Column81]]</f>
        <v>96.325000000000003</v>
      </c>
      <c r="CD19">
        <f>SOFR3mo_PX[[#This Row],[Column82]]</f>
        <v>96.284999999999997</v>
      </c>
      <c r="CE19">
        <f>SOFR3mo_PX[[#This Row],[Column83]]</f>
        <v>96.215000000000003</v>
      </c>
      <c r="CF19">
        <f>SOFR3mo_PX[[#This Row],[Column84]]</f>
        <v>96.254999999999995</v>
      </c>
      <c r="CG19">
        <f>SOFR3mo_PX[[#This Row],[Column85]]</f>
        <v>96.185000000000002</v>
      </c>
      <c r="CH19">
        <f>SOFR3mo_PX[[#This Row],[Column86]]</f>
        <v>96.05</v>
      </c>
      <c r="CI19">
        <f>SOFR3mo_PX[[#This Row],[Column87]]</f>
        <v>96.02</v>
      </c>
      <c r="CJ19">
        <f>SOFR3mo_PX[[#This Row],[Column88]]</f>
        <v>95.935000000000002</v>
      </c>
      <c r="CK19">
        <f>SOFR3mo_PX[[#This Row],[Column89]]</f>
        <v>95.894999999999996</v>
      </c>
      <c r="CL19">
        <f>SOFR3mo_PX[[#This Row],[Column90]]</f>
        <v>95.885000000000005</v>
      </c>
      <c r="CM19">
        <f>SOFR3mo_PX[[#This Row],[Column91]]</f>
        <v>95.96</v>
      </c>
      <c r="CN19">
        <f>SOFR3mo_PX[[#This Row],[Column92]]</f>
        <v>95.96</v>
      </c>
      <c r="CO19">
        <f>SOFR3mo_PX[[#This Row],[Column93]]</f>
        <v>95.89</v>
      </c>
      <c r="CP19">
        <f>SOFR3mo_PX[[#This Row],[Column94]]</f>
        <v>95.77</v>
      </c>
      <c r="CQ19">
        <f>SOFR3mo_PX[[#This Row],[Column95]]</f>
        <v>95.915000000000006</v>
      </c>
      <c r="CR19">
        <f>SOFR3mo_PX[[#This Row],[Column96]]</f>
        <v>95.965000000000003</v>
      </c>
      <c r="CS19">
        <f>SOFR3mo_PX[[#This Row],[Column97]]</f>
        <v>95.96</v>
      </c>
      <c r="CT19">
        <f>SOFR3mo_PX[[#This Row],[Column98]]</f>
        <v>96.02</v>
      </c>
      <c r="CU19">
        <f>SOFR3mo_PX[[#This Row],[Column99]]</f>
        <v>96.07</v>
      </c>
      <c r="CV19">
        <f>SOFR3mo_PX[[#This Row],[Column100]]</f>
        <v>95.965000000000003</v>
      </c>
      <c r="CW19">
        <f>SOFR3mo_PX[[#This Row],[Column101]]</f>
        <v>95.93</v>
      </c>
      <c r="CX19">
        <f>SOFR3mo_PX[[#This Row],[Column102]]</f>
        <v>95.89</v>
      </c>
      <c r="CY19">
        <f>SOFR3mo_PX[[#This Row],[Column103]]</f>
        <v>95.954999999999998</v>
      </c>
      <c r="CZ19">
        <f>SOFR3mo_PX[[#This Row],[Column104]]</f>
        <v>95.905000000000001</v>
      </c>
      <c r="DA19">
        <f>SOFR3mo_PX[[#This Row],[Column105]]</f>
        <v>95.915000000000006</v>
      </c>
      <c r="DB19">
        <f>SOFR3mo_PX[[#This Row],[Column106]]</f>
        <v>95.935000000000002</v>
      </c>
      <c r="DC19">
        <f>SOFR3mo_PX[[#This Row],[Column107]]</f>
        <v>95.83</v>
      </c>
      <c r="DD19">
        <f>SOFR3mo_PX[[#This Row],[Column108]]</f>
        <v>95.825000000000003</v>
      </c>
      <c r="DE19">
        <f>SOFR3mo_PX[[#This Row],[Column109]]</f>
        <v>95.855000000000004</v>
      </c>
      <c r="DF19">
        <f>SOFR3mo_PX[[#This Row],[Column110]]</f>
        <v>95.885000000000005</v>
      </c>
      <c r="DG19">
        <f>SOFR3mo_PX[[#This Row],[Column111]]</f>
        <v>95.85</v>
      </c>
      <c r="DH19">
        <f>SOFR3mo_PX[[#This Row],[Column112]]</f>
        <v>95.85</v>
      </c>
      <c r="DI19">
        <f>SOFR3mo_PX[[#This Row],[Column113]]</f>
        <v>95.85</v>
      </c>
      <c r="DJ19">
        <f>SOFR3mo_PX[[#This Row],[Column114]]</f>
        <v>95.79</v>
      </c>
      <c r="DK19">
        <f>SOFR3mo_PX[[#This Row],[Column115]]</f>
        <v>95.635000000000005</v>
      </c>
      <c r="DL19">
        <f>SOFR3mo_PX[[#This Row],[Column116]]</f>
        <v>95.63</v>
      </c>
      <c r="DM19">
        <f>SOFR3mo_PX[[#This Row],[Column117]]</f>
        <v>95.674999999999997</v>
      </c>
      <c r="DN19">
        <f>SOFR3mo_PX[[#This Row],[Column118]]</f>
        <v>95.79</v>
      </c>
      <c r="DO19">
        <f>SOFR3mo_PX[[#This Row],[Column119]]</f>
        <v>95.77</v>
      </c>
      <c r="DP19">
        <f>SOFR3mo_PX[[#This Row],[Column120]]</f>
        <v>95.78</v>
      </c>
      <c r="DQ19">
        <f>SOFR3mo_PX[[#This Row],[Column121]]</f>
        <v>95.864999999999995</v>
      </c>
      <c r="DR19">
        <f>SOFR3mo_PX[[#This Row],[Column122]]</f>
        <v>95.924999999999997</v>
      </c>
      <c r="DS19">
        <f>SOFR3mo_PX[[#This Row],[Column123]]</f>
        <v>95.944999999999993</v>
      </c>
      <c r="DT19">
        <f>SOFR3mo_PX[[#This Row],[Column124]]</f>
        <v>95.935000000000002</v>
      </c>
      <c r="DU19">
        <f>SOFR3mo_PX[[#This Row],[Column125]]</f>
        <v>95.935000000000002</v>
      </c>
      <c r="DV19">
        <f>SOFR3mo_PX[[#This Row],[Column126]]</f>
        <v>95.97</v>
      </c>
      <c r="DW19">
        <f>SOFR3mo_PX[[#This Row],[Column127]]</f>
        <v>95.88</v>
      </c>
      <c r="DX19">
        <f>SOFR3mo_PX[[#This Row],[Column128]]</f>
        <v>95.93</v>
      </c>
      <c r="DY19">
        <f>SOFR3mo_PX[[#This Row],[Column129]]</f>
        <v>95.915000000000006</v>
      </c>
      <c r="DZ19">
        <f>SOFR3mo_PX[[#This Row],[Column130]]</f>
        <v>95.915000000000006</v>
      </c>
      <c r="EA19">
        <f>SOFR3mo_PX[[#This Row],[Column131]]</f>
        <v>95.894999999999996</v>
      </c>
      <c r="EB19">
        <f>SOFR3mo_PX[[#This Row],[Column132]]</f>
        <v>95.99</v>
      </c>
      <c r="EC19">
        <f>SOFR3mo_PX[[#This Row],[Column133]]</f>
        <v>95.924999999999997</v>
      </c>
      <c r="ED19">
        <f>SOFR3mo_PX[[#This Row],[Column134]]</f>
        <v>96.04</v>
      </c>
      <c r="EE19">
        <f>SOFR3mo_PX[[#This Row],[Column135]]</f>
        <v>96.17</v>
      </c>
      <c r="EF19">
        <f>SOFR3mo_PX[[#This Row],[Column136]]</f>
        <v>96.16</v>
      </c>
      <c r="EG19">
        <f>SOFR3mo_PX[[#This Row],[Column137]]</f>
        <v>96.17</v>
      </c>
      <c r="EH19">
        <f>SOFR3mo_PX[[#This Row],[Column138]]</f>
        <v>96.245000000000005</v>
      </c>
      <c r="EI19">
        <f>SOFR3mo_PX[[#This Row],[Column139]]</f>
        <v>96.305000000000007</v>
      </c>
      <c r="EJ19">
        <f>SOFR3mo_PX[[#This Row],[Column140]]</f>
        <v>96.364999999999995</v>
      </c>
      <c r="EK19">
        <f>SOFR3mo_PX[[#This Row],[Column141]]</f>
        <v>96.39</v>
      </c>
      <c r="EL19">
        <f>SOFR3mo_PX[[#This Row],[Column142]]</f>
        <v>96.424999999999997</v>
      </c>
      <c r="EM19">
        <f>SOFR3mo_PX[[#This Row],[Column143]]</f>
        <v>96.385000000000005</v>
      </c>
      <c r="EN19">
        <f>SOFR3mo_PX[[#This Row],[Column144]]</f>
        <v>96.385000000000005</v>
      </c>
      <c r="EO19">
        <f>SOFR3mo_PX[[#This Row],[Column145]]</f>
        <v>96.355000000000004</v>
      </c>
      <c r="EP19">
        <f>SOFR3mo_PX[[#This Row],[Column146]]</f>
        <v>96.39</v>
      </c>
      <c r="EQ19">
        <f>SOFR3mo_PX[[#This Row],[Column147]]</f>
        <v>96.394999999999996</v>
      </c>
      <c r="ER19">
        <f>SOFR3mo_PX[[#This Row],[Column148]]</f>
        <v>96.36</v>
      </c>
      <c r="ES19">
        <f>SOFR3mo_PX[[#This Row],[Column149]]</f>
        <v>96.36</v>
      </c>
      <c r="ET19">
        <f>SOFR3mo_PX[[#This Row],[Column150]]</f>
        <v>96.28</v>
      </c>
      <c r="EU19">
        <f>SOFR3mo_PX[[#This Row],[Column151]]</f>
        <v>96.334999999999994</v>
      </c>
      <c r="EV19">
        <f>SOFR3mo_PX[[#This Row],[Column152]]</f>
        <v>96.19</v>
      </c>
      <c r="EW19">
        <f>SOFR3mo_PX[[#This Row],[Column153]]</f>
        <v>96.16</v>
      </c>
      <c r="EX19">
        <f>SOFR3mo_PX[[#This Row],[Column154]]</f>
        <v>96.18</v>
      </c>
      <c r="EY19">
        <f>SOFR3mo_PX[[#This Row],[Column155]]</f>
        <v>96.204999999999998</v>
      </c>
      <c r="EZ19">
        <f>SOFR3mo_PX[[#This Row],[Column156]]</f>
        <v>96.17</v>
      </c>
      <c r="FA19">
        <f>SOFR3mo_PX[[#This Row],[Column157]]</f>
        <v>96.155000000000001</v>
      </c>
      <c r="FB19">
        <f>SOFR3mo_PX[[#This Row],[Column158]]</f>
        <v>96.155000000000001</v>
      </c>
      <c r="FC19">
        <f>SOFR3mo_PX[[#This Row],[Column159]]</f>
        <v>96.135000000000005</v>
      </c>
      <c r="FD19">
        <f>SOFR3mo_PX[[#This Row],[Column160]]</f>
        <v>96.15</v>
      </c>
      <c r="FE19">
        <f>SOFR3mo_PX[[#This Row],[Column161]]</f>
        <v>96.194999999999993</v>
      </c>
      <c r="FF19">
        <f>SOFR3mo_PX[[#This Row],[Column162]]</f>
        <v>96.254999999999995</v>
      </c>
      <c r="FG19">
        <f>SOFR3mo_PX[[#This Row],[Column163]]</f>
        <v>96.224999999999994</v>
      </c>
      <c r="FH19">
        <f>SOFR3mo_PX[[#This Row],[Column164]]</f>
        <v>96.135000000000005</v>
      </c>
      <c r="FI19">
        <f>SOFR3mo_PX[[#This Row],[Column165]]</f>
        <v>96.295000000000002</v>
      </c>
      <c r="FJ19">
        <f>SOFR3mo_PX[[#This Row],[Column166]]</f>
        <v>96.27</v>
      </c>
      <c r="FK19">
        <f>SOFR3mo_PX[[#This Row],[Column167]]</f>
        <v>96.224999999999994</v>
      </c>
      <c r="FL19">
        <f>SOFR3mo_PX[[#This Row],[Column168]]</f>
        <v>96.28</v>
      </c>
      <c r="FM19">
        <f>SOFR3mo_PX[[#This Row],[Column169]]</f>
        <v>96.3</v>
      </c>
      <c r="FN19">
        <f>SOFR3mo_PX[[#This Row],[Column170]]</f>
        <v>96.305000000000007</v>
      </c>
      <c r="FO19">
        <f>SOFR3mo_PX[[#This Row],[Column171]]</f>
        <v>96.295000000000002</v>
      </c>
      <c r="FP19">
        <f>SOFR3mo_PX[[#This Row],[Column172]]</f>
        <v>96.334999999999994</v>
      </c>
      <c r="FQ19">
        <f>SOFR3mo_PX[[#This Row],[Column173]]</f>
        <v>96.36</v>
      </c>
      <c r="FR19">
        <f>SOFR3mo_PX[[#This Row],[Column174]]</f>
        <v>96.31</v>
      </c>
      <c r="FS19">
        <f>SOFR3mo_PX[[#This Row],[Column175]]</f>
        <v>96.36</v>
      </c>
      <c r="FT19">
        <f>SOFR3mo_PX[[#This Row],[Column176]]</f>
        <v>96.385000000000005</v>
      </c>
      <c r="FU19">
        <f>SOFR3mo_PX[[#This Row],[Column177]]</f>
        <v>96.5</v>
      </c>
      <c r="FV19">
        <f>SOFR3mo_PX[[#This Row],[Column178]]</f>
        <v>96.48</v>
      </c>
      <c r="FW19">
        <f>SOFR3mo_PX[[#This Row],[Column179]]</f>
        <v>96.564999999999998</v>
      </c>
      <c r="FX19">
        <f>SOFR3mo_PX[[#This Row],[Column180]]</f>
        <v>96.55</v>
      </c>
      <c r="FY19">
        <f>SOFR3mo_PX[[#This Row],[Column181]]</f>
        <v>96.46</v>
      </c>
      <c r="FZ19">
        <f>SOFR3mo_PX[[#This Row],[Column182]]</f>
        <v>96.51</v>
      </c>
      <c r="GA19">
        <f>SOFR3mo_PX[[#This Row],[Column183]]</f>
        <v>96.49</v>
      </c>
      <c r="GB19">
        <f>SOFR3mo_PX[[#This Row],[Column184]]</f>
        <v>96.525000000000006</v>
      </c>
      <c r="GC19">
        <f>SOFR3mo_PX[[#This Row],[Column185]]</f>
        <v>96.56</v>
      </c>
      <c r="GD19">
        <f>SOFR3mo_PX[[#This Row],[Column186]]</f>
        <v>96.57</v>
      </c>
      <c r="GE19">
        <f>SOFR3mo_PX[[#This Row],[Column187]]</f>
        <v>96.6</v>
      </c>
      <c r="GF19">
        <f>SOFR3mo_PX[[#This Row],[Column188]]</f>
        <v>96.715000000000003</v>
      </c>
      <c r="GG19">
        <f>SOFR3mo_PX[[#This Row],[Column189]]</f>
        <v>96.79</v>
      </c>
      <c r="GH19">
        <f>SOFR3mo_PX[[#This Row],[Column190]]</f>
        <v>96.83</v>
      </c>
      <c r="GI19">
        <f>SOFR3mo_PX[[#This Row],[Column191]]</f>
        <v>96.754999999999995</v>
      </c>
      <c r="GJ19">
        <f>SOFR3mo_PX[[#This Row],[Column192]]</f>
        <v>96.8</v>
      </c>
      <c r="GK19">
        <f>SOFR3mo_PX[[#This Row],[Column193]]</f>
        <v>96.765000000000001</v>
      </c>
      <c r="GL19">
        <f>SOFR3mo_PX[[#This Row],[Column194]]</f>
        <v>96.76</v>
      </c>
      <c r="GM19">
        <f>SOFR3mo_PX[[#This Row],[Column195]]</f>
        <v>96.8</v>
      </c>
      <c r="GN19">
        <f>SOFR3mo_PX[[#This Row],[Column196]]</f>
        <v>96.8</v>
      </c>
      <c r="GO19">
        <f>SOFR3mo_PX[[#This Row],[Column197]]</f>
        <v>96.82</v>
      </c>
      <c r="GP19">
        <f>SOFR3mo_PX[[#This Row],[Column198]]</f>
        <v>96.81</v>
      </c>
      <c r="GQ19">
        <f>SOFR3mo_PX[[#This Row],[Column199]]</f>
        <v>96.885000000000005</v>
      </c>
      <c r="GR19">
        <f>SOFR3mo_PX[[#This Row],[Column200]]</f>
        <v>96.96</v>
      </c>
      <c r="GS19">
        <f>SOFR3mo_PX[[#This Row],[Column201]]</f>
        <v>96.97</v>
      </c>
      <c r="GT19">
        <f>SOFR3mo_PX[[#This Row],[Column202]]</f>
        <v>96.96</v>
      </c>
      <c r="GU19">
        <f>SOFR3mo_PX[[#This Row],[Column203]]</f>
        <v>96.95</v>
      </c>
      <c r="GV19">
        <f>SOFR3mo_PX[[#This Row],[Column204]]</f>
        <v>96.984999999999999</v>
      </c>
      <c r="GW19">
        <f>SOFR3mo_PX[[#This Row],[Column205]]</f>
        <v>96.99</v>
      </c>
      <c r="GX19">
        <f>SOFR3mo_PX[[#This Row],[Column206]]</f>
        <v>96.93</v>
      </c>
      <c r="GY19">
        <f>SOFR3mo_PX[[#This Row],[Column207]]</f>
        <v>96.91</v>
      </c>
      <c r="GZ19">
        <f>SOFR3mo_PX[[#This Row],[Column208]]</f>
        <v>96.9</v>
      </c>
      <c r="HA19">
        <f>SOFR3mo_PX[[#This Row],[Column209]]</f>
        <v>96.87</v>
      </c>
      <c r="HB19">
        <f>SOFR3mo_PX[[#This Row],[Column210]]</f>
        <v>96.81</v>
      </c>
      <c r="HC19">
        <f>SOFR3mo_PX[[#This Row],[Column211]]</f>
        <v>96.73</v>
      </c>
      <c r="HD19">
        <f>SOFR3mo_PX[[#This Row],[Column212]]</f>
        <v>96.73</v>
      </c>
      <c r="HE19">
        <f>SOFR3mo_PX[[#This Row],[Column213]]</f>
        <v>96.78</v>
      </c>
      <c r="HF19">
        <f>SOFR3mo_PX[[#This Row],[Column214]]</f>
        <v>96.8</v>
      </c>
      <c r="HG19">
        <f>SOFR3mo_PX[[#This Row],[Column215]]</f>
        <v>96.805000000000007</v>
      </c>
      <c r="HH19">
        <f>SOFR3mo_PX[[#This Row],[Column216]]</f>
        <v>96.82</v>
      </c>
      <c r="HI19">
        <f>SOFR3mo_PX[[#This Row],[Column217]]</f>
        <v>96.82</v>
      </c>
      <c r="HJ19">
        <f>SOFR3mo_PX[[#This Row],[Column218]]</f>
        <v>96.754999999999995</v>
      </c>
      <c r="HK19">
        <f>SOFR3mo_PX[[#This Row],[Column219]]</f>
        <v>96.834999999999994</v>
      </c>
      <c r="HL19">
        <f>SOFR3mo_PX[[#This Row],[Column220]]</f>
        <v>96.805000000000007</v>
      </c>
      <c r="HM19">
        <f>SOFR3mo_PX[[#This Row],[Column221]]</f>
        <v>96.75</v>
      </c>
      <c r="HN19">
        <f>SOFR3mo_PX[[#This Row],[Column222]]</f>
        <v>96.724999999999994</v>
      </c>
      <c r="HO19">
        <f>SOFR3mo_PX[[#This Row],[Column223]]</f>
        <v>96.694999999999993</v>
      </c>
      <c r="HP19">
        <f>SOFR3mo_PX[[#This Row],[Column224]]</f>
        <v>96.795000000000002</v>
      </c>
      <c r="HQ19">
        <f>SOFR3mo_PX[[#This Row],[Column225]]</f>
        <v>96.765000000000001</v>
      </c>
      <c r="HR19">
        <f>SOFR3mo_PX[[#This Row],[Column226]]</f>
        <v>96.72</v>
      </c>
      <c r="HS19">
        <f>SOFR3mo_PX[[#This Row],[Column227]]</f>
        <v>96.674999999999997</v>
      </c>
      <c r="HT19">
        <f>SOFR3mo_PX[[#This Row],[Column228]]</f>
        <v>96.61</v>
      </c>
      <c r="HU19">
        <f>SOFR3mo_PX[[#This Row],[Column229]]</f>
        <v>96.635000000000005</v>
      </c>
      <c r="HV19">
        <f>SOFR3mo_PX[[#This Row],[Column230]]</f>
        <v>96.72</v>
      </c>
      <c r="HW19">
        <f>SOFR3mo_PX[[#This Row],[Column231]]</f>
        <v>96.81</v>
      </c>
      <c r="HX19">
        <f>SOFR3mo_PX[[#This Row],[Column232]]</f>
        <v>96.825000000000003</v>
      </c>
      <c r="HY19">
        <f>SOFR3mo_PX[[#This Row],[Column233]]</f>
        <v>96.665000000000006</v>
      </c>
      <c r="HZ19">
        <f>SOFR3mo_PX[[#This Row],[Column234]]</f>
        <v>96.55</v>
      </c>
      <c r="IA19">
        <f>SOFR3mo_PX[[#This Row],[Column235]]</f>
        <v>96.52</v>
      </c>
      <c r="IB19">
        <f>SOFR3mo_PX[[#This Row],[Column236]]</f>
        <v>96.484999999999999</v>
      </c>
      <c r="IC19">
        <f>SOFR3mo_PX[[#This Row],[Column237]]</f>
        <v>96.465000000000003</v>
      </c>
      <c r="ID19">
        <f>SOFR3mo_PX[[#This Row],[Column238]]</f>
        <v>96.405000000000001</v>
      </c>
      <c r="IE19">
        <f>SOFR3mo_PX[[#This Row],[Column239]]</f>
        <v>96.375</v>
      </c>
      <c r="IF19">
        <f>SOFR3mo_PX[[#This Row],[Column240]]</f>
        <v>96.415000000000006</v>
      </c>
      <c r="IG19">
        <f>SOFR3mo_PX[[#This Row],[Column241]]</f>
        <v>96.394999999999996</v>
      </c>
      <c r="IH19">
        <f>SOFR3mo_PX[[#This Row],[Column242]]</f>
        <v>96.4</v>
      </c>
      <c r="II19">
        <f>SOFR3mo_PX[[#This Row],[Column243]]</f>
        <v>96.454999999999998</v>
      </c>
      <c r="IJ19">
        <f>SOFR3mo_PX[[#This Row],[Column244]]</f>
        <v>96.504999999999995</v>
      </c>
      <c r="IK19">
        <f>SOFR3mo_PX[[#This Row],[Column245]]</f>
        <v>96.474999999999994</v>
      </c>
      <c r="IL19">
        <f>SOFR3mo_PX[[#This Row],[Column246]]</f>
        <v>96.42</v>
      </c>
      <c r="IM19">
        <f>SOFR3mo_PX[[#This Row],[Column247]]</f>
        <v>96.46</v>
      </c>
      <c r="IN19">
        <f>SOFR3mo_PX[[#This Row],[Column248]]</f>
        <v>96.474999999999994</v>
      </c>
      <c r="IO19">
        <f>SOFR3mo_PX[[#This Row],[Column249]]</f>
        <v>96.375</v>
      </c>
      <c r="IP19">
        <f>SOFR3mo_PX[[#This Row],[Column250]]</f>
        <v>96.35</v>
      </c>
      <c r="IQ19">
        <f>SOFR3mo_PX[[#This Row],[Column251]]</f>
        <v>96.385000000000005</v>
      </c>
      <c r="IR19">
        <f>SOFR3mo_PX[[#This Row],[Column252]]</f>
        <v>96.385000000000005</v>
      </c>
      <c r="IS19">
        <f>SOFR3mo_PX[[#This Row],[Column253]]</f>
        <v>96.305000000000007</v>
      </c>
      <c r="IT19">
        <f>SOFR3mo_PX[[#This Row],[Column254]]</f>
        <v>96.305000000000007</v>
      </c>
      <c r="IU19">
        <f>SOFR3mo_PX[[#This Row],[Column255]]</f>
        <v>96.2</v>
      </c>
      <c r="IV19">
        <f>SOFR3mo_PX[[#This Row],[Column256]]</f>
        <v>96.144999999999996</v>
      </c>
      <c r="IW19">
        <f>SOFR3mo_PX[[#This Row],[Column257]]</f>
        <v>96.31</v>
      </c>
      <c r="IX19">
        <f>SOFR3mo_PX[[#This Row],[Column258]]</f>
        <v>96.36</v>
      </c>
      <c r="IY19">
        <f>SOFR3mo_PX[[#This Row],[Column259]]</f>
        <v>96.33</v>
      </c>
      <c r="IZ19">
        <f>SOFR3mo_PX[[#This Row],[Column260]]</f>
        <v>96.42</v>
      </c>
      <c r="JA19">
        <f>SOFR3mo_PX[[#This Row],[Column261]]</f>
        <v>96.41</v>
      </c>
      <c r="JB19">
        <f>SOFR3mo_PX[[#This Row],[Column262]]</f>
        <v>96.39</v>
      </c>
      <c r="JC19">
        <f>SOFR3mo_PX[[#This Row],[Column263]]</f>
        <v>96.394999999999996</v>
      </c>
      <c r="JD19">
        <f>SOFR3mo_PX[[#This Row],[Column264]]</f>
        <v>96.444999999999993</v>
      </c>
      <c r="JE19">
        <f>SOFR3mo_PX[[#This Row],[Column265]]</f>
        <v>96.444999999999993</v>
      </c>
      <c r="JF19">
        <f>SOFR3mo_PX[[#This Row],[Column266]]</f>
        <v>96.375</v>
      </c>
      <c r="JG19">
        <f>SOFR3mo_PX[[#This Row],[Column267]]</f>
        <v>96.45</v>
      </c>
      <c r="JH19">
        <f>SOFR3mo_PX[[#This Row],[Column268]]</f>
        <v>96.415000000000006</v>
      </c>
      <c r="JI19">
        <f>SOFR3mo_PX[[#This Row],[Column269]]</f>
        <v>96.344999999999999</v>
      </c>
      <c r="JJ19">
        <f>SOFR3mo_PX[[#This Row],[Column270]]</f>
        <v>96.23</v>
      </c>
      <c r="JK19">
        <f>SOFR3mo_PX[[#This Row],[Column271]]</f>
        <v>96.15</v>
      </c>
      <c r="JL19">
        <f>SOFR3mo_PX[[#This Row],[Column272]]</f>
        <v>96.2</v>
      </c>
      <c r="JM19">
        <f>SOFR3mo_PX[[#This Row],[Column273]]</f>
        <v>96.35</v>
      </c>
      <c r="JN19">
        <f>SOFR3mo_PX[[#This Row],[Column274]]</f>
        <v>96.34</v>
      </c>
      <c r="JO19">
        <f>SOFR3mo_PX[[#This Row],[Column275]]</f>
        <v>96.305000000000007</v>
      </c>
      <c r="JP19">
        <f>SOFR3mo_PX[[#This Row],[Column276]]</f>
        <v>96.22</v>
      </c>
      <c r="JQ19">
        <f>SOFR3mo_PX[[#This Row],[Column277]]</f>
        <v>96.094999999999999</v>
      </c>
      <c r="JR19">
        <f>SOFR3mo_PX[[#This Row],[Column278]]</f>
        <v>96.05</v>
      </c>
      <c r="JS19">
        <f>SOFR3mo_PX[[#This Row],[Column279]]</f>
        <v>95.98</v>
      </c>
      <c r="JT19">
        <f>SOFR3mo_PX[[#This Row],[Column280]]</f>
        <v>96.07</v>
      </c>
      <c r="JU19">
        <f>SOFR3mo_PX[[#This Row],[Column281]]</f>
        <v>96.144999999999996</v>
      </c>
      <c r="JV19">
        <f>SOFR3mo_PX[[#This Row],[Column282]]</f>
        <v>96.144999999999996</v>
      </c>
      <c r="JW19">
        <f>SOFR3mo_PX[[#This Row],[Column283]]</f>
        <v>96.14</v>
      </c>
      <c r="JX19">
        <f>SOFR3mo_PX[[#This Row],[Column284]]</f>
        <v>96.174999999999997</v>
      </c>
      <c r="JY19">
        <f>SOFR3mo_PX[[#This Row],[Column285]]</f>
        <v>96.19</v>
      </c>
      <c r="JZ19">
        <f>SOFR3mo_PX[[#This Row],[Column286]]</f>
        <v>96.165000000000006</v>
      </c>
      <c r="KA19">
        <f>SOFR3mo_PX[[#This Row],[Column287]]</f>
        <v>96.174999999999997</v>
      </c>
      <c r="KB19">
        <f>SOFR3mo_PX[[#This Row],[Column288]]</f>
        <v>96.22</v>
      </c>
      <c r="KC19">
        <f>SOFR3mo_PX[[#This Row],[Column289]]</f>
        <v>96.24</v>
      </c>
      <c r="KD19">
        <f>SOFR3mo_PX[[#This Row],[Column290]]</f>
        <v>96.144999999999996</v>
      </c>
      <c r="KE19">
        <f>SOFR3mo_PX[[#This Row],[Column291]]</f>
        <v>96.11</v>
      </c>
      <c r="KF19">
        <f>SOFR3mo_PX[[#This Row],[Column292]]</f>
        <v>96.08</v>
      </c>
      <c r="KG19">
        <f>SOFR3mo_PX[[#This Row],[Column293]]</f>
        <v>96.13</v>
      </c>
      <c r="KH19">
        <f>SOFR3mo_PX[[#This Row],[Column294]]</f>
        <v>96.094999999999999</v>
      </c>
      <c r="KI19">
        <f>SOFR3mo_PX[[#This Row],[Column295]]</f>
        <v>96.14</v>
      </c>
      <c r="KJ19">
        <f>SOFR3mo_PX[[#This Row],[Column296]]</f>
        <v>96.11</v>
      </c>
      <c r="KK19">
        <f>SOFR3mo_PX[[#This Row],[Column297]]</f>
        <v>96.094999999999999</v>
      </c>
      <c r="KL19">
        <f>SOFR3mo_PX[[#This Row],[Column298]]</f>
        <v>96</v>
      </c>
      <c r="KM19">
        <f>SOFR3mo_PX[[#This Row],[Column299]]</f>
        <v>95.98</v>
      </c>
      <c r="KN19">
        <f>SOFR3mo_PX[[#This Row],[Column300]]</f>
        <v>95.89</v>
      </c>
      <c r="KO19">
        <f>SOFR3mo_PX[[#This Row],[Column301]]</f>
        <v>95.965000000000003</v>
      </c>
      <c r="KP19">
        <f>SOFR3mo_PX[[#This Row],[Column302]]</f>
        <v>95.89</v>
      </c>
      <c r="KQ19">
        <f>SOFR3mo_PX[[#This Row],[Column303]]</f>
        <v>95.85</v>
      </c>
      <c r="KR19">
        <f>SOFR3mo_PX[[#This Row],[Column304]]</f>
        <v>95.905000000000001</v>
      </c>
      <c r="KS19">
        <f>SOFR3mo_PX[[#This Row],[Column305]]</f>
        <v>95.97</v>
      </c>
      <c r="KT19">
        <f>SOFR3mo_PX[[#This Row],[Column306]]</f>
        <v>95.944999999999993</v>
      </c>
      <c r="KU19">
        <f>SOFR3mo_PX[[#This Row],[Column307]]</f>
        <v>95.954999999999998</v>
      </c>
      <c r="KV19">
        <f>SOFR3mo_PX[[#This Row],[Column308]]</f>
        <v>95.924999999999997</v>
      </c>
      <c r="KW19">
        <f>SOFR3mo_PX[[#This Row],[Column309]]</f>
        <v>95.995000000000005</v>
      </c>
      <c r="KX19">
        <f>SOFR3mo_PX[[#This Row],[Column310]]</f>
        <v>95.92</v>
      </c>
      <c r="KY19">
        <f>SOFR3mo_PX[[#This Row],[Column311]]</f>
        <v>95.96</v>
      </c>
      <c r="KZ19">
        <f>SOFR3mo_PX[[#This Row],[Column312]]</f>
        <v>96.105000000000004</v>
      </c>
      <c r="LA19">
        <f>SOFR3mo_PX[[#This Row],[Column313]]</f>
        <v>96.015000000000001</v>
      </c>
      <c r="LB19">
        <f>SOFR3mo_PX[[#This Row],[Column314]]</f>
        <v>96.034999999999997</v>
      </c>
      <c r="LC19">
        <f>SOFR3mo_PX[[#This Row],[Column315]]</f>
        <v>96.21</v>
      </c>
      <c r="LD19">
        <f>SOFR3mo_PX[[#This Row],[Column316]]</f>
        <v>96.15</v>
      </c>
      <c r="LE19">
        <f>SOFR3mo_PX[[#This Row],[Column317]]</f>
        <v>96.204999999999998</v>
      </c>
      <c r="LF19">
        <f>SOFR3mo_PX[[#This Row],[Column318]]</f>
        <v>96.265000000000001</v>
      </c>
      <c r="LG19">
        <f>SOFR3mo_PX[[#This Row],[Column319]]</f>
        <v>96.224999999999994</v>
      </c>
      <c r="LH19">
        <f>SOFR3mo_PX[[#This Row],[Column320]]</f>
        <v>96.204999999999998</v>
      </c>
      <c r="LI19">
        <f>SOFR3mo_PX[[#This Row],[Column321]]</f>
        <v>96.24</v>
      </c>
      <c r="LJ19">
        <f>SOFR3mo_PX[[#This Row],[Column322]]</f>
        <v>96.39</v>
      </c>
      <c r="LK19">
        <f>SOFR3mo_PX[[#This Row],[Column323]]</f>
        <v>96.39</v>
      </c>
      <c r="LL19">
        <f>SOFR3mo_PX[[#This Row],[Column324]]</f>
        <v>96.37</v>
      </c>
      <c r="LM19">
        <f>SOFR3mo_PX[[#This Row],[Column325]]</f>
        <v>96.33</v>
      </c>
      <c r="LN19">
        <f>SOFR3mo_PX[[#This Row],[Column326]]</f>
        <v>96.305000000000007</v>
      </c>
      <c r="LO19">
        <f>SOFR3mo_PX[[#This Row],[Column327]]</f>
        <v>96.34</v>
      </c>
      <c r="LP19">
        <f>SOFR3mo_PX[[#This Row],[Column328]]</f>
        <v>96.28</v>
      </c>
      <c r="LQ19">
        <f>SOFR3mo_PX[[#This Row],[Column329]]</f>
        <v>96.284999999999997</v>
      </c>
      <c r="LR19">
        <f>SOFR3mo_PX[[#This Row],[Column330]]</f>
        <v>96.29</v>
      </c>
      <c r="LS19">
        <f>SOFR3mo_PX[[#This Row],[Column331]]</f>
        <v>96.234999999999999</v>
      </c>
      <c r="LT19">
        <f>SOFR3mo_PX[[#This Row],[Column332]]</f>
        <v>96.275000000000006</v>
      </c>
      <c r="LU19">
        <f>SOFR3mo_PX[[#This Row],[Column333]]</f>
        <v>96.29</v>
      </c>
      <c r="LV19">
        <f>SOFR3mo_PX[[#This Row],[Column334]]</f>
        <v>96.424999999999997</v>
      </c>
      <c r="LW19">
        <f>SOFR3mo_PX[[#This Row],[Column335]]</f>
        <v>96.44</v>
      </c>
      <c r="LX19">
        <f>SOFR3mo_PX[[#This Row],[Column336]]</f>
        <v>96.5</v>
      </c>
      <c r="LY19">
        <f>SOFR3mo_PX[[#This Row],[Column337]]</f>
        <v>96.51</v>
      </c>
      <c r="LZ19">
        <f>SOFR3mo_PX[[#This Row],[Column338]]</f>
        <v>96.504999999999995</v>
      </c>
      <c r="MA19">
        <f>SOFR3mo_PX[[#This Row],[Column339]]</f>
        <v>96.49</v>
      </c>
      <c r="MB19">
        <f>SOFR3mo_PX[[#This Row],[Column340]]</f>
        <v>96.46</v>
      </c>
      <c r="MC19">
        <f>SOFR3mo_PX[[#This Row],[Column341]]</f>
        <v>96.37</v>
      </c>
      <c r="MD19">
        <f>SOFR3mo_PX[[#This Row],[Column342]]</f>
        <v>96.4</v>
      </c>
      <c r="ME19">
        <f>SOFR3mo_PX[[#This Row],[Column343]]</f>
        <v>96.314999999999998</v>
      </c>
      <c r="MF19">
        <f>SOFR3mo_PX[[#This Row],[Column344]]</f>
        <v>96.31</v>
      </c>
      <c r="MG19">
        <f>SOFR3mo_PX[[#This Row],[Column345]]</f>
        <v>96.29</v>
      </c>
      <c r="MH19">
        <f>SOFR3mo_PX[[#This Row],[Column346]]</f>
        <v>96.3</v>
      </c>
      <c r="MI19">
        <f>SOFR3mo_PX[[#This Row],[Column347]]</f>
        <v>96.31</v>
      </c>
      <c r="MJ19">
        <f>SOFR3mo_PX[[#This Row],[Column348]]</f>
        <v>96.23</v>
      </c>
      <c r="MK19">
        <f>SOFR3mo_PX[[#This Row],[Column349]]</f>
        <v>96.224999999999994</v>
      </c>
      <c r="ML19">
        <f>SOFR3mo_PX[[#This Row],[Column350]]</f>
        <v>96.27</v>
      </c>
      <c r="MM19">
        <f>SOFR3mo_PX[[#This Row],[Column351]]</f>
        <v>96.245000000000005</v>
      </c>
      <c r="MN19">
        <f>SOFR3mo_PX[[#This Row],[Column352]]</f>
        <v>96.245000000000005</v>
      </c>
      <c r="MO19">
        <f>SOFR3mo_PX[[#This Row],[Column353]]</f>
        <v>96.3</v>
      </c>
      <c r="MP19">
        <f>SOFR3mo_PX[[#This Row],[Column354]]</f>
        <v>96.265000000000001</v>
      </c>
      <c r="MQ19">
        <f>SOFR3mo_PX[[#This Row],[Column355]]</f>
        <v>96.21</v>
      </c>
      <c r="MR19">
        <f>SOFR3mo_PX[[#This Row],[Column356]]</f>
        <v>96.375</v>
      </c>
      <c r="MS19">
        <f>SOFR3mo_PX[[#This Row],[Column357]]</f>
        <v>96.344999999999999</v>
      </c>
      <c r="MT19">
        <f>SOFR3mo_PX[[#This Row],[Column358]]</f>
        <v>96.37</v>
      </c>
      <c r="MU19">
        <f>SOFR3mo_PX[[#This Row],[Column359]]</f>
        <v>96.454999999999998</v>
      </c>
      <c r="MV19">
        <f>SOFR3mo_PX[[#This Row],[Column360]]</f>
        <v>96.474999999999994</v>
      </c>
      <c r="MW19">
        <f>SOFR3mo_PX[[#This Row],[Column361]]</f>
        <v>96.38</v>
      </c>
      <c r="MX19">
        <f>SOFR3mo_PX[[#This Row],[Column362]]</f>
        <v>96.51</v>
      </c>
      <c r="MY19">
        <f>SOFR3mo_PX[[#This Row],[Column363]]</f>
        <v>96.694999999999993</v>
      </c>
      <c r="MZ19">
        <f>SOFR3mo_PX[[#This Row],[Column364]]</f>
        <v>96.59</v>
      </c>
      <c r="NA19">
        <f>SOFR3mo_PX[[#This Row],[Column365]]</f>
        <v>96.5</v>
      </c>
      <c r="NB19">
        <f>SOFR3mo_PX[[#This Row],[Column366]]</f>
        <v>96.46</v>
      </c>
      <c r="NC19">
        <f>SOFR3mo_PX[[#This Row],[Column367]]</f>
        <v>96.38</v>
      </c>
      <c r="ND19">
        <f>SOFR3mo_PX[[#This Row],[Column368]]</f>
        <v>96.405000000000001</v>
      </c>
      <c r="NE19">
        <f>SOFR3mo_PX[[#This Row],[Column369]]</f>
        <v>96.355000000000004</v>
      </c>
      <c r="NF19">
        <f>SOFR3mo_PX[[#This Row],[Column370]]</f>
        <v>96.4</v>
      </c>
      <c r="NG19">
        <f>SOFR3mo_PX[[#This Row],[Column371]]</f>
        <v>96.45</v>
      </c>
      <c r="NH19">
        <f>SOFR3mo_PX[[#This Row],[Column372]]</f>
        <v>96.385000000000005</v>
      </c>
      <c r="NI19">
        <f>SOFR3mo_PX[[#This Row],[Column373]]</f>
        <v>96.39</v>
      </c>
      <c r="NJ19">
        <f>SOFR3mo_PX[[#This Row],[Column374]]</f>
        <v>96.444999999999993</v>
      </c>
      <c r="NK19">
        <f>SOFR3mo_PX[[#This Row],[Column375]]</f>
        <v>96.484999999999999</v>
      </c>
      <c r="NL19">
        <f>SOFR3mo_PX[[#This Row],[Column376]]</f>
        <v>96.61</v>
      </c>
      <c r="NM19">
        <f>SOFR3mo_PX[[#This Row],[Column377]]</f>
        <v>96.61</v>
      </c>
      <c r="NN19">
        <f>SOFR3mo_PX[[#This Row],[Column378]]</f>
        <v>96.61</v>
      </c>
      <c r="NO19">
        <f>SOFR3mo_PX[[#This Row],[Column379]]</f>
        <v>96.54</v>
      </c>
      <c r="NP19">
        <f>SOFR3mo_PX[[#This Row],[Column380]]</f>
        <v>96.55</v>
      </c>
      <c r="NQ19">
        <f>SOFR3mo_PX[[#This Row],[Column381]]</f>
        <v>96.564999999999998</v>
      </c>
      <c r="NR19">
        <f>SOFR3mo_PX[[#This Row],[Column382]]</f>
        <v>96.55</v>
      </c>
      <c r="NS19">
        <f>SOFR3mo_PX[[#This Row],[Column383]]</f>
        <v>96.6</v>
      </c>
      <c r="NT19">
        <f>SOFR3mo_PX[[#This Row],[Column384]]</f>
        <v>96.704999999999998</v>
      </c>
      <c r="NU19">
        <f>SOFR3mo_PX[[#This Row],[Column385]]</f>
        <v>96.665000000000006</v>
      </c>
      <c r="NV19">
        <f>SOFR3mo_PX[[#This Row],[Column386]]</f>
        <v>96.74</v>
      </c>
      <c r="NW19">
        <f>SOFR3mo_PX[[#This Row],[Column387]]</f>
        <v>96.74</v>
      </c>
      <c r="NX19">
        <f>SOFR3mo_PX[[#This Row],[Column388]]</f>
        <v>96.74</v>
      </c>
      <c r="NY19">
        <f>SOFR3mo_PX[[#This Row],[Column389]]</f>
        <v>96.8</v>
      </c>
      <c r="NZ19">
        <f>SOFR3mo_PX[[#This Row],[Column390]]</f>
        <v>96.694999999999993</v>
      </c>
      <c r="OA19">
        <f>SOFR3mo_PX[[#This Row],[Column391]]</f>
        <v>96.67</v>
      </c>
      <c r="OB19">
        <f>SOFR3mo_PX[[#This Row],[Column392]]</f>
        <v>96.67</v>
      </c>
      <c r="OC19">
        <f>SOFR3mo_PX[[#This Row],[Column393]]</f>
        <v>96.694999999999993</v>
      </c>
      <c r="OD19">
        <f>SOFR3mo_PX[[#This Row],[Column394]]</f>
        <v>96.71</v>
      </c>
      <c r="OE19">
        <f>SOFR3mo_PX[[#This Row],[Column395]]</f>
        <v>96.674999999999997</v>
      </c>
      <c r="OF19">
        <f>SOFR3mo_PX[[#This Row],[Column396]]</f>
        <v>96.65</v>
      </c>
      <c r="OG19">
        <f>SOFR3mo_PX[[#This Row],[Column397]]</f>
        <v>96.68</v>
      </c>
      <c r="OH19">
        <f>SOFR3mo_PX[[#This Row],[Column398]]</f>
        <v>96.66</v>
      </c>
      <c r="OI19">
        <f>SOFR3mo_PX[[#This Row],[Column399]]</f>
        <v>96.57</v>
      </c>
      <c r="OJ19">
        <f>SOFR3mo_PX[[#This Row],[Column400]]</f>
        <v>96.415000000000006</v>
      </c>
      <c r="OK19">
        <f>SOFR3mo_PX[[#This Row],[Column401]]</f>
        <v>96.364999999999995</v>
      </c>
      <c r="OL19">
        <f>SOFR3mo_PX[[#This Row],[Column402]]</f>
        <v>96.37</v>
      </c>
      <c r="OM19">
        <f>SOFR3mo_PX[[#This Row],[Column403]]</f>
        <v>96.5</v>
      </c>
      <c r="ON19">
        <f>SOFR3mo_PX[[#This Row],[Column404]]</f>
        <v>96.504999999999995</v>
      </c>
      <c r="OO19">
        <f>SOFR3mo_PX[[#This Row],[Column405]]</f>
        <v>96.454999999999998</v>
      </c>
      <c r="OP19">
        <f>SOFR3mo_PX[[#This Row],[Column406]]</f>
        <v>96.334999999999994</v>
      </c>
      <c r="OQ19">
        <f>SOFR3mo_PX[[#This Row],[Column407]]</f>
        <v>96.39</v>
      </c>
      <c r="OR19">
        <f>SOFR3mo_PX[[#This Row],[Column408]]</f>
        <v>96.275000000000006</v>
      </c>
      <c r="OS19">
        <f>SOFR3mo_PX[[#This Row],[Column409]]</f>
        <v>96.36</v>
      </c>
      <c r="OT19">
        <f>SOFR3mo_PX[[#This Row],[Column410]]</f>
        <v>96.314999999999998</v>
      </c>
      <c r="OU19">
        <f>SOFR3mo_PX[[#This Row],[Column411]]</f>
        <v>96.23</v>
      </c>
      <c r="OV19">
        <f>SOFR3mo_PX[[#This Row],[Column412]]</f>
        <v>96.114999999999995</v>
      </c>
      <c r="OW19">
        <f>SOFR3mo_PX[[#This Row],[Column413]]</f>
        <v>96.18</v>
      </c>
      <c r="OX19">
        <f>SOFR3mo_PX[[#This Row],[Column414]]</f>
        <v>96.18</v>
      </c>
      <c r="OY19">
        <f>SOFR3mo_PX[[#This Row],[Column415]]</f>
        <v>96.19</v>
      </c>
      <c r="OZ19">
        <f>SOFR3mo_PX[[#This Row],[Column416]]</f>
        <v>96.185000000000002</v>
      </c>
      <c r="PA19">
        <f>SOFR3mo_PX[[#This Row],[Column417]]</f>
        <v>96.15</v>
      </c>
      <c r="PB19">
        <f>SOFR3mo_PX[[#This Row],[Column418]]</f>
        <v>96.144999999999996</v>
      </c>
      <c r="PC19">
        <f>SOFR3mo_PX[[#This Row],[Column419]]</f>
        <v>96.04</v>
      </c>
      <c r="PD19">
        <f>SOFR3mo_PX[[#This Row],[Column420]]</f>
        <v>96.135000000000005</v>
      </c>
      <c r="PE19">
        <f>SOFR3mo_PX[[#This Row],[Column421]]</f>
        <v>95.92</v>
      </c>
      <c r="PF19">
        <f>SOFR3mo_PX[[#This Row],[Column422]]</f>
        <v>95.93</v>
      </c>
      <c r="PG19">
        <f>SOFR3mo_PX[[#This Row],[Column423]]</f>
        <v>95.94</v>
      </c>
      <c r="PH19">
        <f>SOFR3mo_PX[[#This Row],[Column424]]</f>
        <v>96.07</v>
      </c>
      <c r="PI19">
        <f>SOFR3mo_PX[[#This Row],[Column425]]</f>
        <v>96.02</v>
      </c>
      <c r="PJ19">
        <f>SOFR3mo_PX[[#This Row],[Column426]]</f>
        <v>95.91</v>
      </c>
      <c r="PK19">
        <f>SOFR3mo_PX[[#This Row],[Column427]]</f>
        <v>96.02</v>
      </c>
      <c r="PL19">
        <f>SOFR3mo_PX[[#This Row],[Column428]]</f>
        <v>95.885000000000005</v>
      </c>
      <c r="PM19">
        <f>SOFR3mo_PX[[#This Row],[Column429]]</f>
        <v>95.77</v>
      </c>
      <c r="PN19">
        <f>SOFR3mo_PX[[#This Row],[Column430]]</f>
        <v>95.67</v>
      </c>
      <c r="PO19">
        <f>SOFR3mo_PX[[#This Row],[Column431]]</f>
        <v>95.67</v>
      </c>
      <c r="PP19">
        <f>SOFR3mo_PX[[#This Row],[Column432]]</f>
        <v>95.68</v>
      </c>
      <c r="PQ19">
        <f>SOFR3mo_PX[[#This Row],[Column433]]</f>
        <v>95.655000000000001</v>
      </c>
      <c r="PR19">
        <f>SOFR3mo_PX[[#This Row],[Column434]]</f>
        <v>95.53</v>
      </c>
      <c r="PS19">
        <f>SOFR3mo_PX[[#This Row],[Column435]]</f>
        <v>95.66</v>
      </c>
      <c r="PT19">
        <f>SOFR3mo_PX[[#This Row],[Column436]]</f>
        <v>95.665000000000006</v>
      </c>
      <c r="PU19">
        <f>SOFR3mo_PX[[#This Row],[Column437]]</f>
        <v>95.57</v>
      </c>
      <c r="PV19">
        <f>SOFR3mo_PX[[#This Row],[Column438]]</f>
        <v>95.474999999999994</v>
      </c>
      <c r="PW19">
        <f>SOFR3mo_PX[[#This Row],[Column439]]</f>
        <v>95.59</v>
      </c>
      <c r="PX19">
        <f>SOFR3mo_PX[[#This Row],[Column440]]</f>
        <v>95.665000000000006</v>
      </c>
      <c r="PY19">
        <f>SOFR3mo_PX[[#This Row],[Column441]]</f>
        <v>95.83</v>
      </c>
      <c r="PZ19">
        <f>SOFR3mo_PX[[#This Row],[Column442]]</f>
        <v>95.915000000000006</v>
      </c>
      <c r="QA19">
        <f>SOFR3mo_PX[[#This Row],[Column443]]</f>
        <v>95.82</v>
      </c>
      <c r="QB19">
        <f>SOFR3mo_PX[[#This Row],[Column444]]</f>
        <v>95.935000000000002</v>
      </c>
      <c r="QC19">
        <f>SOFR3mo_PX[[#This Row],[Column445]]</f>
        <v>95.875</v>
      </c>
      <c r="QD19">
        <f>SOFR3mo_PX[[#This Row],[Column446]]</f>
        <v>95.9</v>
      </c>
      <c r="QE19">
        <f>SOFR3mo_PX[[#This Row],[Column447]]</f>
        <v>95.734999999999999</v>
      </c>
      <c r="QF19">
        <f>SOFR3mo_PX[[#This Row],[Column448]]</f>
        <v>95.8</v>
      </c>
      <c r="QG19">
        <f>SOFR3mo_PX[[#This Row],[Column449]]</f>
        <v>95.765000000000001</v>
      </c>
      <c r="QH19">
        <f>SOFR3mo_PX[[#This Row],[Column450]]</f>
        <v>95.704999999999998</v>
      </c>
      <c r="QI19">
        <f>SOFR3mo_PX[[#This Row],[Column451]]</f>
        <v>95.834999999999994</v>
      </c>
      <c r="QJ19">
        <f>SOFR3mo_PX[[#This Row],[Column452]]</f>
        <v>95.97</v>
      </c>
      <c r="QK19">
        <f>SOFR3mo_PX[[#This Row],[Column453]]</f>
        <v>95.924999999999997</v>
      </c>
      <c r="QL19">
        <f>SOFR3mo_PX[[#This Row],[Column454]]</f>
        <v>95.905000000000001</v>
      </c>
      <c r="QM19">
        <f>SOFR3mo_PX[[#This Row],[Column455]]</f>
        <v>95.984999999999999</v>
      </c>
      <c r="QN19">
        <f>SOFR3mo_PX[[#This Row],[Column456]]</f>
        <v>95.995000000000005</v>
      </c>
      <c r="QO19">
        <f>SOFR3mo_PX[[#This Row],[Column457]]</f>
        <v>96.09</v>
      </c>
      <c r="QP19">
        <f>SOFR3mo_PX[[#This Row],[Column458]]</f>
        <v>96.04</v>
      </c>
      <c r="QQ19">
        <f>SOFR3mo_PX[[#This Row],[Column459]]</f>
        <v>96.194999999999993</v>
      </c>
      <c r="QR19">
        <f>SOFR3mo_PX[[#This Row],[Column460]]</f>
        <v>96.185000000000002</v>
      </c>
      <c r="QS19">
        <f>SOFR3mo_PX[[#This Row],[Column461]]</f>
        <v>96.24</v>
      </c>
      <c r="QT19">
        <f>SOFR3mo_PX[[#This Row],[Column462]]</f>
        <v>96.23</v>
      </c>
      <c r="QU19">
        <f>SOFR3mo_PX[[#This Row],[Column463]]</f>
        <v>96.265000000000001</v>
      </c>
      <c r="QV19">
        <f>SOFR3mo_PX[[#This Row],[Column464]]</f>
        <v>96.295000000000002</v>
      </c>
      <c r="QW19">
        <f>SOFR3mo_PX[[#This Row],[Column465]]</f>
        <v>96.27</v>
      </c>
      <c r="QX19">
        <f>SOFR3mo_PX[[#This Row],[Column466]]</f>
        <v>96.25</v>
      </c>
      <c r="QY19">
        <f>SOFR3mo_PX[[#This Row],[Column467]]</f>
        <v>96.275000000000006</v>
      </c>
      <c r="QZ19">
        <f>SOFR3mo_PX[[#This Row],[Column468]]</f>
        <v>96.27</v>
      </c>
      <c r="RA19">
        <f>SOFR3mo_PX[[#This Row],[Column469]]</f>
        <v>96.245000000000005</v>
      </c>
      <c r="RB19">
        <f>SOFR3mo_PX[[#This Row],[Column470]]</f>
        <v>96.305000000000007</v>
      </c>
      <c r="RC19">
        <f>SOFR3mo_PX[[#This Row],[Column471]]</f>
        <v>96.37</v>
      </c>
      <c r="RD19">
        <f>SOFR3mo_PX[[#This Row],[Column472]]</f>
        <v>96.37</v>
      </c>
      <c r="RE19">
        <f>SOFR3mo_PX[[#This Row],[Column473]]</f>
        <v>96.45</v>
      </c>
      <c r="RF19">
        <f>SOFR3mo_PX[[#This Row],[Column474]]</f>
        <v>96.42</v>
      </c>
      <c r="RG19">
        <f>SOFR3mo_PX[[#This Row],[Column475]]</f>
        <v>96.405000000000001</v>
      </c>
      <c r="RH19">
        <f>SOFR3mo_PX[[#This Row],[Column476]]</f>
        <v>96.305000000000007</v>
      </c>
      <c r="RI19">
        <f>SOFR3mo_PX[[#This Row],[Column477]]</f>
        <v>96.254999999999995</v>
      </c>
      <c r="RJ19">
        <f>SOFR3mo_PX[[#This Row],[Column478]]</f>
        <v>96.26</v>
      </c>
      <c r="RK19">
        <f>SOFR3mo_PX[[#This Row],[Column479]]</f>
        <v>96.28</v>
      </c>
      <c r="RL19">
        <f>SOFR3mo_PX[[#This Row],[Column480]]</f>
        <v>96.14</v>
      </c>
      <c r="RM19">
        <f>SOFR3mo_PX[[#This Row],[Column481]]</f>
        <v>96.13</v>
      </c>
      <c r="RN19">
        <f>SOFR3mo_PX[[#This Row],[Column482]]</f>
        <v>96.23</v>
      </c>
      <c r="RO19">
        <f>SOFR3mo_PX[[#This Row],[Column483]]</f>
        <v>96.155000000000001</v>
      </c>
      <c r="RP19">
        <f>SOFR3mo_PX[[#This Row],[Column484]]</f>
        <v>96.245000000000005</v>
      </c>
      <c r="RQ19">
        <f>SOFR3mo_PX[[#This Row],[Column485]]</f>
        <v>96.28</v>
      </c>
      <c r="RR19">
        <f>SOFR3mo_PX[[#This Row],[Column486]]</f>
        <v>96.34</v>
      </c>
      <c r="RS19">
        <f>SOFR3mo_PX[[#This Row],[Column487]]</f>
        <v>96.344999999999999</v>
      </c>
      <c r="RT19">
        <f>SOFR3mo_PX[[#This Row],[Column488]]</f>
        <v>96.47</v>
      </c>
      <c r="RU19">
        <f>SOFR3mo_PX[[#This Row],[Column489]]</f>
        <v>96.575000000000003</v>
      </c>
      <c r="RV19">
        <f>SOFR3mo_PX[[#This Row],[Column490]]</f>
        <v>96.57</v>
      </c>
      <c r="RW19">
        <f>SOFR3mo_PX[[#This Row],[Column491]]</f>
        <v>96.51</v>
      </c>
      <c r="RX19">
        <f>SOFR3mo_PX[[#This Row],[Column492]]</f>
        <v>96.5</v>
      </c>
      <c r="RY19">
        <f>SOFR3mo_PX[[#This Row],[Column493]]</f>
        <v>96.35</v>
      </c>
      <c r="RZ19">
        <f>SOFR3mo_PX[[#This Row],[Column494]]</f>
        <v>96.465000000000003</v>
      </c>
      <c r="SA19">
        <f>SOFR3mo_PX[[#This Row],[Column495]]</f>
        <v>96.49</v>
      </c>
      <c r="SB19">
        <f>SOFR3mo_PX[[#This Row],[Column496]]</f>
        <v>96.58</v>
      </c>
      <c r="SC19">
        <f>SOFR3mo_PX[[#This Row],[Column497]]</f>
        <v>96.575000000000003</v>
      </c>
      <c r="SD19">
        <f>SOFR3mo_PX[[#This Row],[Column498]]</f>
        <v>96.52</v>
      </c>
      <c r="SE19">
        <f>SOFR3mo_PX[[#This Row],[Column499]]</f>
        <v>96.694999999999993</v>
      </c>
      <c r="SF19">
        <f>SOFR3mo_PX[[#This Row],[Column500]]</f>
        <v>96.6</v>
      </c>
      <c r="SG19">
        <f>SOFR3mo_PX[[#This Row],[Column501]]</f>
        <v>96.674999999999997</v>
      </c>
      <c r="SH19">
        <f>SOFR3mo_PX[[#This Row],[Column502]]</f>
        <v>96.694999999999993</v>
      </c>
      <c r="SI19">
        <f>SOFR3mo_PX[[#This Row],[Column503]]</f>
        <v>96.69</v>
      </c>
      <c r="SJ19">
        <f>SOFR3mo_PX[[#This Row],[Column504]]</f>
        <v>96.84</v>
      </c>
      <c r="SK19">
        <f>SOFR3mo_PX[[#This Row],[Column505]]</f>
        <v>96.795000000000002</v>
      </c>
      <c r="SL19">
        <f>SOFR3mo_PX[[#This Row],[Column506]]</f>
        <v>96.765000000000001</v>
      </c>
      <c r="SM19">
        <f>SOFR3mo_PX[[#This Row],[Column507]]</f>
        <v>96.72</v>
      </c>
      <c r="SN19">
        <f>SOFR3mo_PX[[#This Row],[Column508]]</f>
        <v>96.76</v>
      </c>
      <c r="SO19">
        <f>SOFR3mo_PX[[#This Row],[Column509]]</f>
        <v>96.674999999999997</v>
      </c>
      <c r="SP19">
        <f>SOFR3mo_PX[[#This Row],[Column510]]</f>
        <v>96.53</v>
      </c>
      <c r="SQ19">
        <f>SOFR3mo_PX[[#This Row],[Column511]]</f>
        <v>96.474999999999994</v>
      </c>
      <c r="SR19">
        <f>SOFR3mo_PX[[#This Row],[Column512]]</f>
        <v>96.38</v>
      </c>
      <c r="SS19">
        <f>SOFR3mo_PX[[#This Row],[Column513]]</f>
        <v>96.405000000000001</v>
      </c>
      <c r="ST19">
        <f>SOFR3mo_PX[[#This Row],[Column514]]</f>
        <v>96.564999999999998</v>
      </c>
      <c r="SU19">
        <f>SOFR3mo_PX[[#This Row],[Column515]]</f>
        <v>96.67</v>
      </c>
      <c r="SV19">
        <f>SOFR3mo_PX[[#This Row],[Column516]]</f>
        <v>96.67</v>
      </c>
      <c r="SW19">
        <f>SOFR3mo_PX[[#This Row],[Column517]]</f>
        <v>96.72</v>
      </c>
      <c r="SX19">
        <f>SOFR3mo_PX[[#This Row],[Column518]]</f>
        <v>96.694999999999993</v>
      </c>
      <c r="SY19">
        <f>SOFR3mo_PX[[#This Row],[Column519]]</f>
        <v>96.85</v>
      </c>
      <c r="SZ19">
        <f>SOFR3mo_PX[[#This Row],[Column520]]</f>
        <v>96.784999999999997</v>
      </c>
      <c r="TA19">
        <f>SOFR3mo_PX[[#This Row],[Column521]]</f>
        <v>96.825000000000003</v>
      </c>
      <c r="TB19">
        <f>SOFR3mo_PX[[#This Row],[Column522]]</f>
        <v>96.784999999999997</v>
      </c>
      <c r="TC19">
        <f>SOFR3mo_PX[[#This Row],[Column523]]</f>
        <v>96.74</v>
      </c>
      <c r="TD19">
        <f>SOFR3mo_PX[[#This Row],[Column524]]</f>
        <v>96.82</v>
      </c>
      <c r="TE19">
        <f>SOFR3mo_PX[[#This Row],[Column525]]</f>
        <v>96.834999999999994</v>
      </c>
      <c r="TF19">
        <f>SOFR3mo_PX[[#This Row],[Column526]]</f>
        <v>96.784999999999997</v>
      </c>
      <c r="TG19">
        <f>SOFR3mo_PX[[#This Row],[Column527]]</f>
        <v>96.784999999999997</v>
      </c>
      <c r="TH19">
        <f>SOFR3mo_PX[[#This Row],[Column528]]</f>
        <v>96.84</v>
      </c>
      <c r="TI19">
        <f>SOFR3mo_PX[[#This Row],[Column529]]</f>
        <v>96.754999999999995</v>
      </c>
      <c r="TJ19">
        <f>SOFR3mo_PX[[#This Row],[Column530]]</f>
        <v>96.715000000000003</v>
      </c>
      <c r="TK19">
        <f>SOFR3mo_PX[[#This Row],[Column531]]</f>
        <v>96.814999999999998</v>
      </c>
      <c r="TL19">
        <f>SOFR3mo_PX[[#This Row],[Column532]]</f>
        <v>96.805000000000007</v>
      </c>
      <c r="TM19">
        <f>SOFR3mo_PX[[#This Row],[Column533]]</f>
        <v>96.84</v>
      </c>
      <c r="TN19">
        <f>SOFR3mo_PX[[#This Row],[Column534]]</f>
        <v>96.76</v>
      </c>
      <c r="TO19">
        <f>SOFR3mo_PX[[#This Row],[Column535]]</f>
        <v>96.85</v>
      </c>
      <c r="TP19">
        <f>SOFR3mo_PX[[#This Row],[Column536]]</f>
        <v>96.84</v>
      </c>
      <c r="TQ19">
        <f>SOFR3mo_PX[[#This Row],[Column537]]</f>
        <v>96.805000000000007</v>
      </c>
      <c r="TR19">
        <f>SOFR3mo_PX[[#This Row],[Column538]]</f>
        <v>96.93</v>
      </c>
      <c r="TS19">
        <f>SOFR3mo_PX[[#This Row],[Column539]]</f>
        <v>96.9</v>
      </c>
      <c r="TT19">
        <f>SOFR3mo_PX[[#This Row],[Column540]]</f>
        <v>96.825000000000003</v>
      </c>
      <c r="TU19">
        <f>SOFR3mo_PX[[#This Row],[Column541]]</f>
        <v>96.68</v>
      </c>
      <c r="TV19">
        <f>SOFR3mo_PX[[#This Row],[Column542]]</f>
        <v>96.68</v>
      </c>
      <c r="TW19">
        <f>SOFR3mo_PX[[#This Row],[Column543]]</f>
        <v>96.715000000000003</v>
      </c>
      <c r="TX19">
        <f>SOFR3mo_PX[[#This Row],[Column544]]</f>
        <v>96.834999999999994</v>
      </c>
      <c r="TY19">
        <f>SOFR3mo_PX[[#This Row],[Column545]]</f>
        <v>96.84</v>
      </c>
      <c r="TZ19">
        <f>SOFR3mo_PX[[#This Row],[Column546]]</f>
        <v>96.81</v>
      </c>
      <c r="UA19">
        <f>SOFR3mo_PX[[#This Row],[Column547]]</f>
        <v>96.834999999999994</v>
      </c>
      <c r="UB19">
        <f>SOFR3mo_PX[[#This Row],[Column548]]</f>
        <v>96.894999999999996</v>
      </c>
      <c r="UC19">
        <f>SOFR3mo_PX[[#This Row],[Column549]]</f>
        <v>96.974999999999994</v>
      </c>
      <c r="UD19">
        <f>SOFR3mo_PX[[#This Row],[Column550]]</f>
        <v>97.02</v>
      </c>
      <c r="UE19">
        <f>SOFR3mo_PX[[#This Row],[Column551]]</f>
        <v>97.064999999999998</v>
      </c>
      <c r="UF19">
        <f>SOFR3mo_PX[[#This Row],[Column552]]</f>
        <v>97.084999999999994</v>
      </c>
      <c r="UG19">
        <f>SOFR3mo_PX[[#This Row],[Column553]]</f>
        <v>97.155000000000001</v>
      </c>
      <c r="UH19">
        <f>SOFR3mo_PX[[#This Row],[Column554]]</f>
        <v>97.114999999999995</v>
      </c>
      <c r="UI19">
        <f>SOFR3mo_PX[[#This Row],[Column555]]</f>
        <v>97.025000000000006</v>
      </c>
      <c r="UJ19">
        <f>SOFR3mo_PX[[#This Row],[Column556]]</f>
        <v>97.01</v>
      </c>
      <c r="UK19">
        <f>SOFR3mo_PX[[#This Row],[Column557]]</f>
        <v>97.055000000000007</v>
      </c>
      <c r="UL19">
        <f>SOFR3mo_PX[[#This Row],[Column558]]</f>
        <v>97.155000000000001</v>
      </c>
      <c r="UM19">
        <f>SOFR3mo_PX[[#This Row],[Column559]]</f>
        <v>97.1</v>
      </c>
      <c r="UN19">
        <f>SOFR3mo_PX[[#This Row],[Column560]]</f>
        <v>97.07</v>
      </c>
      <c r="UO19">
        <f>SOFR3mo_PX[[#This Row],[Column561]]</f>
        <v>96.915000000000006</v>
      </c>
      <c r="UP19">
        <f>SOFR3mo_PX[[#This Row],[Column562]]</f>
        <v>97.04</v>
      </c>
      <c r="UQ19">
        <f>SOFR3mo_PX[[#This Row],[Column563]]</f>
        <v>96.974999999999994</v>
      </c>
      <c r="UR19">
        <f>SOFR3mo_PX[[#This Row],[Column564]]</f>
        <v>97.07</v>
      </c>
      <c r="US19">
        <f>SOFR3mo_PX[[#This Row],[Column565]]</f>
        <v>97.11</v>
      </c>
      <c r="UT19">
        <f>SOFR3mo_PX[[#This Row],[Column566]]</f>
        <v>97.004999999999995</v>
      </c>
      <c r="UU19">
        <f>SOFR3mo_PX[[#This Row],[Column567]]</f>
        <v>96.935000000000002</v>
      </c>
      <c r="UV19">
        <f>SOFR3mo_PX[[#This Row],[Column568]]</f>
        <v>96.974999999999994</v>
      </c>
      <c r="UW19">
        <f>SOFR3mo_PX[[#This Row],[Column569]]</f>
        <v>96.915000000000006</v>
      </c>
      <c r="UX19">
        <f>SOFR3mo_PX[[#This Row],[Column570]]</f>
        <v>96.93</v>
      </c>
      <c r="UY19">
        <f>SOFR3mo_PX[[#This Row],[Column571]]</f>
        <v>96.91</v>
      </c>
      <c r="UZ19">
        <f>SOFR3mo_PX[[#This Row],[Column572]]</f>
        <v>96.974999999999994</v>
      </c>
      <c r="VA19">
        <f>SOFR3mo_PX[[#This Row],[Column573]]</f>
        <v>97.055000000000007</v>
      </c>
      <c r="VB19">
        <f>SOFR3mo_PX[[#This Row],[Column574]]</f>
        <v>97.114999999999995</v>
      </c>
      <c r="VC19">
        <f>SOFR3mo_PX[[#This Row],[Column575]]</f>
        <v>97.08</v>
      </c>
      <c r="VD19">
        <f>SOFR3mo_PX[[#This Row],[Column576]]</f>
        <v>97.09</v>
      </c>
      <c r="VE19">
        <f>SOFR3mo_PX[[#This Row],[Column577]]</f>
        <v>97.13</v>
      </c>
      <c r="VF19">
        <f>SOFR3mo_PX[[#This Row],[Column578]]</f>
        <v>97.215000000000003</v>
      </c>
      <c r="VG19">
        <f>SOFR3mo_PX[[#This Row],[Column579]]</f>
        <v>97.194999999999993</v>
      </c>
      <c r="VH19">
        <f>SOFR3mo_PX[[#This Row],[Column580]]</f>
        <v>97.185000000000002</v>
      </c>
      <c r="VI19">
        <f>SOFR3mo_PX[[#This Row],[Column581]]</f>
        <v>97.09</v>
      </c>
      <c r="VJ19">
        <f>SOFR3mo_PX[[#This Row],[Column582]]</f>
        <v>97.03</v>
      </c>
      <c r="VK19">
        <f>SOFR3mo_PX[[#This Row],[Column583]]</f>
        <v>96.965000000000003</v>
      </c>
      <c r="VL19">
        <f>SOFR3mo_PX[[#This Row],[Column584]]</f>
        <v>96.915000000000006</v>
      </c>
      <c r="VM19">
        <f>SOFR3mo_PX[[#This Row],[Column585]]</f>
        <v>96.9</v>
      </c>
      <c r="VN19">
        <f>SOFR3mo_PX[[#This Row],[Column586]]</f>
        <v>96.935000000000002</v>
      </c>
      <c r="VO19">
        <f>SOFR3mo_PX[[#This Row],[Column587]]</f>
        <v>97.07</v>
      </c>
      <c r="VP19">
        <f>SOFR3mo_PX[[#This Row],[Column588]]</f>
        <v>97.05</v>
      </c>
      <c r="VQ19">
        <f>SOFR3mo_PX[[#This Row],[Column589]]</f>
        <v>96.935000000000002</v>
      </c>
      <c r="VR19">
        <f>SOFR3mo_PX[[#This Row],[Column590]]</f>
        <v>96.81</v>
      </c>
      <c r="VS19">
        <f>SOFR3mo_PX[[#This Row],[Column591]]</f>
        <v>96.885000000000005</v>
      </c>
      <c r="VT19">
        <f>SOFR3mo_PX[[#This Row],[Column592]]</f>
        <v>97.01</v>
      </c>
      <c r="VU19">
        <f>SOFR3mo_PX[[#This Row],[Column593]]</f>
        <v>96.814999999999998</v>
      </c>
      <c r="VV19">
        <f>SOFR3mo_PX[[#This Row],[Column594]]</f>
        <v>96.92</v>
      </c>
      <c r="VW19">
        <f>SOFR3mo_PX[[#This Row],[Column595]]</f>
        <v>96.805000000000007</v>
      </c>
      <c r="VX19">
        <f>SOFR3mo_PX[[#This Row],[Column596]]</f>
        <v>96.89</v>
      </c>
      <c r="VY19">
        <f>SOFR3mo_PX[[#This Row],[Column597]]</f>
        <v>96.88</v>
      </c>
      <c r="VZ19">
        <f>SOFR3mo_PX[[#This Row],[Column598]]</f>
        <v>96.674999999999997</v>
      </c>
      <c r="WA19">
        <f>SOFR3mo_PX[[#This Row],[Column599]]</f>
        <v>96.64</v>
      </c>
      <c r="WB19">
        <f>SOFR3mo_PX[[#This Row],[Column600]]</f>
        <v>96.65</v>
      </c>
      <c r="WC19">
        <f>SOFR3mo_PX[[#This Row],[Column601]]</f>
        <v>96.605000000000004</v>
      </c>
      <c r="WD19">
        <f>SOFR3mo_PX[[#This Row],[Column602]]</f>
        <v>96.594999999999999</v>
      </c>
      <c r="WE19">
        <f>SOFR3mo_PX[[#This Row],[Column603]]</f>
        <v>96.5</v>
      </c>
      <c r="WF19">
        <f>SOFR3mo_PX[[#This Row],[Column604]]</f>
        <v>96.605000000000004</v>
      </c>
      <c r="WG19">
        <f>SOFR3mo_PX[[#This Row],[Column605]]</f>
        <v>96.7</v>
      </c>
      <c r="WH19">
        <f>SOFR3mo_PX[[#This Row],[Column606]]</f>
        <v>96.694999999999993</v>
      </c>
      <c r="WI19">
        <f>SOFR3mo_PX[[#This Row],[Column607]]</f>
        <v>96.625</v>
      </c>
      <c r="WJ19">
        <f>SOFR3mo_PX[[#This Row],[Column608]]</f>
        <v>96.694999999999993</v>
      </c>
      <c r="WK19">
        <f>SOFR3mo_PX[[#This Row],[Column609]]</f>
        <v>96.64</v>
      </c>
      <c r="WL19">
        <f>SOFR3mo_PX[[#This Row],[Column610]]</f>
        <v>96.625</v>
      </c>
      <c r="WM19">
        <f>SOFR3mo_PX[[#This Row],[Column611]]</f>
        <v>96.78</v>
      </c>
      <c r="WN19">
        <f>SOFR3mo_PX[[#This Row],[Column612]]</f>
        <v>96.78</v>
      </c>
      <c r="WO19">
        <f>SOFR3mo_PX[[#This Row],[Column613]]</f>
        <v>96.76</v>
      </c>
      <c r="WP19">
        <f>SOFR3mo_PX[[#This Row],[Column614]]</f>
        <v>96.79</v>
      </c>
      <c r="WQ19">
        <f>SOFR3mo_PX[[#This Row],[Column615]]</f>
        <v>96.834999999999994</v>
      </c>
      <c r="WR19">
        <f>SOFR3mo_PX[[#This Row],[Column616]]</f>
        <v>96.875</v>
      </c>
      <c r="WS19">
        <f>SOFR3mo_PX[[#This Row],[Column617]]</f>
        <v>96.864999999999995</v>
      </c>
      <c r="WT19">
        <f>SOFR3mo_PX[[#This Row],[Column618]]</f>
        <v>96.92</v>
      </c>
      <c r="WU19">
        <f>SOFR3mo_PX[[#This Row],[Column619]]</f>
        <v>96.965000000000003</v>
      </c>
      <c r="WV19">
        <f>SOFR3mo_PX[[#This Row],[Column620]]</f>
        <v>96.935000000000002</v>
      </c>
      <c r="WW19">
        <f>SOFR3mo_PX[[#This Row],[Column621]]</f>
        <v>96.96</v>
      </c>
      <c r="WX19">
        <f>SOFR3mo_PX[[#This Row],[Column622]]</f>
        <v>97.06</v>
      </c>
      <c r="WY19">
        <f>SOFR3mo_PX[[#This Row],[Column623]]</f>
        <v>97.215000000000003</v>
      </c>
      <c r="WZ19">
        <f>SOFR3mo_PX[[#This Row],[Column624]]</f>
        <v>97.224999999999994</v>
      </c>
      <c r="XA19">
        <f>SOFR3mo_PX[[#This Row],[Column625]]</f>
        <v>97.084999999999994</v>
      </c>
      <c r="XB19">
        <f>SOFR3mo_PX[[#This Row],[Column626]]</f>
        <v>97.03</v>
      </c>
      <c r="XC19">
        <f>SOFR3mo_PX[[#This Row],[Column627]]</f>
        <v>97.084999999999994</v>
      </c>
      <c r="XD19">
        <f>SOFR3mo_PX[[#This Row],[Column628]]</f>
        <v>97.135000000000005</v>
      </c>
      <c r="XE19">
        <f>SOFR3mo_PX[[#This Row],[Column629]]</f>
        <v>97.18</v>
      </c>
      <c r="XF19">
        <f>SOFR3mo_PX[[#This Row],[Column630]]</f>
        <v>97.18</v>
      </c>
      <c r="XG19">
        <f>SOFR3mo_PX[[#This Row],[Column631]]</f>
        <v>97.11</v>
      </c>
      <c r="XH19">
        <f>SOFR3mo_PX[[#This Row],[Column632]]</f>
        <v>97.15</v>
      </c>
      <c r="XI19">
        <f>SOFR3mo_PX[[#This Row],[Column633]]</f>
        <v>97.254999999999995</v>
      </c>
      <c r="XJ19">
        <f>SOFR3mo_PX[[#This Row],[Column634]]</f>
        <v>97.3</v>
      </c>
      <c r="XK19">
        <f>SOFR3mo_PX[[#This Row],[Column635]]</f>
        <v>97.135000000000005</v>
      </c>
      <c r="XL19">
        <f>SOFR3mo_PX[[#This Row],[Column636]]</f>
        <v>97.155000000000001</v>
      </c>
      <c r="XM19">
        <f>SOFR3mo_PX[[#This Row],[Column637]]</f>
        <v>97.155000000000001</v>
      </c>
      <c r="XN19">
        <f>SOFR3mo_PX[[#This Row],[Column638]]</f>
        <v>97.21</v>
      </c>
      <c r="XO19">
        <f>SOFR3mo_PX[[#This Row],[Column639]]</f>
        <v>97.075000000000003</v>
      </c>
      <c r="XP19">
        <f>SOFR3mo_PX[[#This Row],[Column640]]</f>
        <v>97.015000000000001</v>
      </c>
      <c r="XQ19">
        <f>SOFR3mo_PX[[#This Row],[Column641]]</f>
        <v>97.12</v>
      </c>
      <c r="XR19">
        <f>SOFR3mo_PX[[#This Row],[Column642]]</f>
        <v>97.075000000000003</v>
      </c>
      <c r="XS19">
        <f>SOFR3mo_PX[[#This Row],[Column643]]</f>
        <v>96.89</v>
      </c>
      <c r="XT19">
        <f>SOFR3mo_PX[[#This Row],[Column644]]</f>
        <v>96.89</v>
      </c>
      <c r="XU19">
        <f>SOFR3mo_PX[[#This Row],[Column645]]</f>
        <v>96.784999999999997</v>
      </c>
      <c r="XV19">
        <f>SOFR3mo_PX[[#This Row],[Column646]]</f>
        <v>96.74</v>
      </c>
      <c r="XW19">
        <f>SOFR3mo_PX[[#This Row],[Column647]]</f>
        <v>96.74</v>
      </c>
      <c r="XX19">
        <f>SOFR3mo_PX[[#This Row],[Column648]]</f>
        <v>96.7</v>
      </c>
      <c r="XY19">
        <f>SOFR3mo_PX[[#This Row],[Column649]]</f>
        <v>96.674999999999997</v>
      </c>
      <c r="XZ19">
        <f>SOFR3mo_PX[[#This Row],[Column650]]</f>
        <v>96.74</v>
      </c>
      <c r="YA19">
        <f>SOFR3mo_PX[[#This Row],[Column651]]</f>
        <v>96.82</v>
      </c>
      <c r="YB19">
        <f>SOFR3mo_PX[[#This Row],[Column652]]</f>
        <v>96.82</v>
      </c>
      <c r="YC19">
        <f>SOFR3mo_PX[[#This Row],[Column653]]</f>
        <v>96.87</v>
      </c>
      <c r="YD19">
        <f>SOFR3mo_PX[[#This Row],[Column654]]</f>
        <v>96.86</v>
      </c>
      <c r="YE19">
        <f>SOFR3mo_PX[[#This Row],[Column655]]</f>
        <v>96.935000000000002</v>
      </c>
      <c r="YF19">
        <f>SOFR3mo_PX[[#This Row],[Column656]]</f>
        <v>97.055000000000007</v>
      </c>
      <c r="YG19">
        <f>SOFR3mo_PX[[#This Row],[Column657]]</f>
        <v>97.14</v>
      </c>
      <c r="YH19">
        <f>SOFR3mo_PX[[#This Row],[Column658]]</f>
        <v>97.17</v>
      </c>
      <c r="YI19">
        <f>SOFR3mo_PX[[#This Row],[Column659]]</f>
        <v>97.12</v>
      </c>
      <c r="YJ19">
        <f>SOFR3mo_PX[[#This Row],[Column660]]</f>
        <v>97.114999999999995</v>
      </c>
      <c r="YK19">
        <f>SOFR3mo_PX[[#This Row],[Column661]]</f>
        <v>97.004999999999995</v>
      </c>
      <c r="YL19">
        <f>SOFR3mo_PX[[#This Row],[Column662]]</f>
        <v>97.045000000000002</v>
      </c>
      <c r="YM19">
        <f>SOFR3mo_PX[[#This Row],[Column663]]</f>
        <v>97.125</v>
      </c>
      <c r="YN19">
        <f>SOFR3mo_PX[[#This Row],[Column664]]</f>
        <v>97.254999999999995</v>
      </c>
      <c r="YO19">
        <f>SOFR3mo_PX[[#This Row],[Column665]]</f>
        <v>97.144999999999996</v>
      </c>
      <c r="YP19">
        <f>SOFR3mo_PX[[#This Row],[Column666]]</f>
        <v>97.064999999999998</v>
      </c>
      <c r="YQ19">
        <f>SOFR3mo_PX[[#This Row],[Column667]]</f>
        <v>97.185000000000002</v>
      </c>
      <c r="YR19">
        <f>SOFR3mo_PX[[#This Row],[Column668]]</f>
        <v>97.13</v>
      </c>
      <c r="YS19">
        <f>SOFR3mo_PX[[#This Row],[Column669]]</f>
        <v>96.97</v>
      </c>
      <c r="YT19">
        <f>SOFR3mo_PX[[#This Row],[Column670]]</f>
        <v>96.894999999999996</v>
      </c>
      <c r="YU19">
        <f>SOFR3mo_PX[[#This Row],[Column671]]</f>
        <v>96.92</v>
      </c>
      <c r="YV19">
        <f>SOFR3mo_PX[[#This Row],[Column672]]</f>
        <v>96.91</v>
      </c>
      <c r="YW19">
        <f>SOFR3mo_PX[[#This Row],[Column673]]</f>
        <v>96.89</v>
      </c>
      <c r="YX19">
        <f>SOFR3mo_PX[[#This Row],[Column674]]</f>
        <v>96.89</v>
      </c>
      <c r="YY19">
        <f>SOFR3mo_PX[[#This Row],[Column675]]</f>
        <v>96.825000000000003</v>
      </c>
      <c r="YZ19">
        <f>SOFR3mo_PX[[#This Row],[Column676]]</f>
        <v>96.754999999999995</v>
      </c>
      <c r="ZA19">
        <f>SOFR3mo_PX[[#This Row],[Column677]]</f>
        <v>96.765000000000001</v>
      </c>
      <c r="ZB19">
        <f>SOFR3mo_PX[[#This Row],[Column678]]</f>
        <v>96.84</v>
      </c>
      <c r="ZC19">
        <f>SOFR3mo_PX[[#This Row],[Column679]]</f>
        <v>96.905000000000001</v>
      </c>
      <c r="ZD19">
        <f>SOFR3mo_PX[[#This Row],[Column680]]</f>
        <v>96.78</v>
      </c>
      <c r="ZE19">
        <f>SOFR3mo_PX[[#This Row],[Column681]]</f>
        <v>96.704999999999998</v>
      </c>
      <c r="ZF19">
        <f>SOFR3mo_PX[[#This Row],[Column682]]</f>
        <v>96.754999999999995</v>
      </c>
      <c r="ZG19">
        <f>SOFR3mo_PX[[#This Row],[Column683]]</f>
        <v>96.724999999999994</v>
      </c>
      <c r="ZH19">
        <f>SOFR3mo_PX[[#This Row],[Column684]]</f>
        <v>96.4</v>
      </c>
      <c r="ZI19">
        <f>SOFR3mo_PX[[#This Row],[Column685]]</f>
        <v>96.39</v>
      </c>
      <c r="ZJ19">
        <f>SOFR3mo_PX[[#This Row],[Column686]]</f>
        <v>96.29</v>
      </c>
      <c r="ZK19">
        <f>SOFR3mo_PX[[#This Row],[Column687]]</f>
        <v>96.305000000000007</v>
      </c>
      <c r="ZL19">
        <f>SOFR3mo_PX[[#This Row],[Column688]]</f>
        <v>96.32</v>
      </c>
      <c r="ZM19">
        <f>SOFR3mo_PX[[#This Row],[Column689]]</f>
        <v>96.364999999999995</v>
      </c>
      <c r="ZN19">
        <f>SOFR3mo_PX[[#This Row],[Column690]]</f>
        <v>96.334999999999994</v>
      </c>
      <c r="ZO19">
        <f>SOFR3mo_PX[[#This Row],[Column691]]</f>
        <v>96.334999999999994</v>
      </c>
      <c r="ZP19">
        <f>SOFR3mo_PX[[#This Row],[Column692]]</f>
        <v>96.37</v>
      </c>
      <c r="ZQ19">
        <f>SOFR3mo_PX[[#This Row],[Column693]]</f>
        <v>96.49</v>
      </c>
      <c r="ZR19">
        <f>SOFR3mo_PX[[#This Row],[Column694]]</f>
        <v>96.41</v>
      </c>
      <c r="ZS19">
        <f>SOFR3mo_PX[[#This Row],[Column695]]</f>
        <v>96.325000000000003</v>
      </c>
      <c r="ZT19">
        <f>SOFR3mo_PX[[#This Row],[Column696]]</f>
        <v>96.19</v>
      </c>
      <c r="ZU19">
        <f>SOFR3mo_PX[[#This Row],[Column697]]</f>
        <v>96.22</v>
      </c>
      <c r="ZV19">
        <f>SOFR3mo_PX[[#This Row],[Column698]]</f>
        <v>96.17</v>
      </c>
      <c r="ZW19">
        <f>SOFR3mo_PX[[#This Row],[Column699]]</f>
        <v>96.3</v>
      </c>
      <c r="ZX19">
        <f>SOFR3mo_PX[[#This Row],[Column700]]</f>
        <v>96.45</v>
      </c>
      <c r="ZY19">
        <f>SOFR3mo_PX[[#This Row],[Column701]]</f>
        <v>96.43</v>
      </c>
      <c r="ZZ19">
        <f>SOFR3mo_PX[[#This Row],[Column702]]</f>
        <v>96.415000000000006</v>
      </c>
      <c r="AAA19">
        <f>SOFR3mo_PX[[#This Row],[Column703]]</f>
        <v>96.46</v>
      </c>
      <c r="AAB19">
        <f>SOFR3mo_PX[[#This Row],[Column704]]</f>
        <v>96.45</v>
      </c>
      <c r="AAC19">
        <f>SOFR3mo_PX[[#This Row],[Column705]]</f>
        <v>96.405000000000001</v>
      </c>
      <c r="AAD19">
        <f>SOFR3mo_PX[[#This Row],[Column706]]</f>
        <v>96.375</v>
      </c>
      <c r="AAE19">
        <f>SOFR3mo_PX[[#This Row],[Column707]]</f>
        <v>96.44</v>
      </c>
      <c r="AAF19">
        <f>SOFR3mo_PX[[#This Row],[Column708]]</f>
        <v>96.5</v>
      </c>
      <c r="AAG19">
        <f>SOFR3mo_PX[[#This Row],[Column709]]</f>
        <v>96.564999999999998</v>
      </c>
      <c r="AAH19">
        <f>SOFR3mo_PX[[#This Row],[Column710]]</f>
        <v>96.754999999999995</v>
      </c>
      <c r="AAI19">
        <f>SOFR3mo_PX[[#This Row],[Column711]]</f>
        <v>96.64</v>
      </c>
      <c r="AAJ19">
        <f>SOFR3mo_PX[[#This Row],[Column712]]</f>
        <v>96.44</v>
      </c>
      <c r="AAK19">
        <f>SOFR3mo_PX[[#This Row],[Column713]]</f>
        <v>96.53</v>
      </c>
      <c r="AAL19">
        <f>SOFR3mo_PX[[#This Row],[Column714]]</f>
        <v>96.575000000000003</v>
      </c>
      <c r="AAM19">
        <f>SOFR3mo_PX[[#This Row],[Column715]]</f>
        <v>96.344999999999999</v>
      </c>
      <c r="AAN19">
        <f>SOFR3mo_PX[[#This Row],[Column716]]</f>
        <v>96.42</v>
      </c>
      <c r="AAO19">
        <f>SOFR3mo_PX[[#This Row],[Column717]]</f>
        <v>96.65</v>
      </c>
      <c r="AAP19">
        <f>SOFR3mo_PX[[#This Row],[Column718]]</f>
        <v>96.644999999999996</v>
      </c>
      <c r="AAQ19">
        <f>SOFR3mo_PX[[#This Row],[Column719]]</f>
        <v>96.86</v>
      </c>
      <c r="AAR19">
        <f>SOFR3mo_PX[[#This Row],[Column720]]</f>
        <v>96.775000000000006</v>
      </c>
      <c r="AAS19">
        <f>SOFR3mo_PX[[#This Row],[Column721]]</f>
        <v>96.86</v>
      </c>
      <c r="AAT19">
        <f>SOFR3mo_PX[[#This Row],[Column722]]</f>
        <v>96.91</v>
      </c>
      <c r="AAU19">
        <f>SOFR3mo_PX[[#This Row],[Column723]]</f>
        <v>96.894999999999996</v>
      </c>
      <c r="AAV19">
        <f>SOFR3mo_PX[[#This Row],[Column724]]</f>
        <v>96.954999999999998</v>
      </c>
      <c r="AAW19">
        <f>SOFR3mo_PX[[#This Row],[Column725]]</f>
        <v>96.924999999999997</v>
      </c>
      <c r="AAX19">
        <f>SOFR3mo_PX[[#This Row],[Column726]]</f>
        <v>96.984999999999999</v>
      </c>
      <c r="AAY19">
        <f>SOFR3mo_PX[[#This Row],[Column727]]</f>
        <v>97.004999999999995</v>
      </c>
      <c r="AAZ19">
        <f>SOFR3mo_PX[[#This Row],[Column728]]</f>
        <v>97.04</v>
      </c>
      <c r="ABA19">
        <f>SOFR3mo_PX[[#This Row],[Column729]]</f>
        <v>97.075000000000003</v>
      </c>
      <c r="ABB19">
        <f>SOFR3mo_PX[[#This Row],[Column730]]</f>
        <v>96.974999999999994</v>
      </c>
      <c r="ABC19">
        <f>SOFR3mo_PX[[#This Row],[Column731]]</f>
        <v>97.144999999999996</v>
      </c>
      <c r="ABD19">
        <f>SOFR3mo_PX[[#This Row],[Column732]]</f>
        <v>97.144999999999996</v>
      </c>
      <c r="ABE19">
        <f>SOFR3mo_PX[[#This Row],[Column733]]</f>
        <v>97.045000000000002</v>
      </c>
      <c r="ABF19">
        <f>SOFR3mo_PX[[#This Row],[Column734]]</f>
        <v>97.204999999999998</v>
      </c>
      <c r="ABG19">
        <f>SOFR3mo_PX[[#This Row],[Column735]]</f>
        <v>97.23</v>
      </c>
      <c r="ABH19">
        <f>SOFR3mo_PX[[#This Row],[Column736]]</f>
        <v>97.22</v>
      </c>
      <c r="ABI19">
        <f>SOFR3mo_PX[[#This Row],[Column737]]</f>
        <v>97.33</v>
      </c>
      <c r="ABJ19">
        <f>SOFR3mo_PX[[#This Row],[Column738]]</f>
        <v>97.39</v>
      </c>
      <c r="ABK19">
        <f>SOFR3mo_PX[[#This Row],[Column739]]</f>
        <v>97.325000000000003</v>
      </c>
      <c r="ABL19">
        <f>SOFR3mo_PX[[#This Row],[Column740]]</f>
        <v>97.38</v>
      </c>
      <c r="ABM19">
        <f>SOFR3mo_PX[[#This Row],[Column741]]</f>
        <v>97.42</v>
      </c>
      <c r="ABN19">
        <f>SOFR3mo_PX[[#This Row],[Column742]]</f>
        <v>97.47</v>
      </c>
      <c r="ABO19">
        <f>SOFR3mo_PX[[#This Row],[Column743]]</f>
        <v>97.6</v>
      </c>
      <c r="ABP19">
        <f>SOFR3mo_PX[[#This Row],[Column744]]</f>
        <v>97.594999999999999</v>
      </c>
      <c r="ABQ19">
        <f>SOFR3mo_PX[[#This Row],[Column745]]</f>
        <v>97.694999999999993</v>
      </c>
      <c r="ABR19">
        <f>SOFR3mo_PX[[#This Row],[Column746]]</f>
        <v>97.71</v>
      </c>
      <c r="ABS19">
        <f>SOFR3mo_PX[[#This Row],[Column747]]</f>
        <v>97.625</v>
      </c>
      <c r="ABT19">
        <f>SOFR3mo_PX[[#This Row],[Column748]]</f>
        <v>97.58</v>
      </c>
      <c r="ABU19">
        <f>SOFR3mo_PX[[#This Row],[Column749]]</f>
        <v>97.69</v>
      </c>
      <c r="ABV19">
        <f>SOFR3mo_PX[[#This Row],[Column750]]</f>
        <v>97.65</v>
      </c>
      <c r="ABW19">
        <f>SOFR3mo_PX[[#This Row],[Column751]]</f>
        <v>97.694999999999993</v>
      </c>
      <c r="ABX19">
        <f>SOFR3mo_PX[[#This Row],[Column752]]</f>
        <v>97.6</v>
      </c>
      <c r="ABY19">
        <f>SOFR3mo_PX[[#This Row],[Column753]]</f>
        <v>97.77</v>
      </c>
      <c r="ABZ19">
        <f>SOFR3mo_PX[[#This Row],[Column754]]</f>
        <v>97.665000000000006</v>
      </c>
      <c r="ACA19">
        <f>SOFR3mo_PX[[#This Row],[Column755]]</f>
        <v>97.655000000000001</v>
      </c>
      <c r="ACB19">
        <f>SOFR3mo_PX[[#This Row],[Column756]]</f>
        <v>97.83</v>
      </c>
      <c r="ACC19">
        <f>SOFR3mo_PX[[#This Row],[Column757]]</f>
        <v>97.784999999999997</v>
      </c>
      <c r="ACD19">
        <f>SOFR3mo_PX[[#This Row],[Column758]]</f>
        <v>97.754999999999995</v>
      </c>
      <c r="ACE19">
        <f>SOFR3mo_PX[[#This Row],[Column759]]</f>
        <v>97.674999999999997</v>
      </c>
      <c r="ACF19">
        <f>SOFR3mo_PX[[#This Row],[Column760]]</f>
        <v>97.584999999999994</v>
      </c>
      <c r="ACG19">
        <f>SOFR3mo_PX[[#This Row],[Column761]]</f>
        <v>97.545000000000002</v>
      </c>
      <c r="ACH19">
        <f>SOFR3mo_PX[[#This Row],[Column762]]</f>
        <v>97.56</v>
      </c>
      <c r="ACI19">
        <f>SOFR3mo_PX[[#This Row],[Column763]]</f>
        <v>97.435000000000002</v>
      </c>
      <c r="ACJ19">
        <f>SOFR3mo_PX[[#This Row],[Column764]]</f>
        <v>97.29</v>
      </c>
      <c r="ACK19">
        <f>SOFR3mo_PX[[#This Row],[Column765]]</f>
        <v>97.34</v>
      </c>
      <c r="ACL19">
        <f>SOFR3mo_PX[[#This Row],[Column766]]</f>
        <v>97.394999999999996</v>
      </c>
      <c r="ACM19">
        <f>SOFR3mo_PX[[#This Row],[Column767]]</f>
        <v>97.415000000000006</v>
      </c>
      <c r="ACN19">
        <f>SOFR3mo_PX[[#This Row],[Column768]]</f>
        <v>97.364999999999995</v>
      </c>
      <c r="ACO19">
        <f>SOFR3mo_PX[[#This Row],[Column769]]</f>
        <v>97.415000000000006</v>
      </c>
      <c r="ACP19">
        <f>SOFR3mo_PX[[#This Row],[Column770]]</f>
        <v>97.33</v>
      </c>
      <c r="ACQ19">
        <f>SOFR3mo_PX[[#This Row],[Column771]]</f>
        <v>97.28</v>
      </c>
      <c r="ACR19">
        <f>SOFR3mo_PX[[#This Row],[Column772]]</f>
        <v>97.14</v>
      </c>
      <c r="ACS19">
        <f>SOFR3mo_PX[[#This Row],[Column773]]</f>
        <v>97.215000000000003</v>
      </c>
      <c r="ACT19">
        <f>SOFR3mo_PX[[#This Row],[Column774]]</f>
        <v>97.334999999999994</v>
      </c>
      <c r="ACU19">
        <f>SOFR3mo_PX[[#This Row],[Column775]]</f>
        <v>97.435000000000002</v>
      </c>
      <c r="ACV19">
        <f>SOFR3mo_PX[[#This Row],[Column776]]</f>
        <v>97.334999999999994</v>
      </c>
      <c r="ACW19">
        <f>SOFR3mo_PX[[#This Row],[Column777]]</f>
        <v>97.334999999999994</v>
      </c>
      <c r="ACX19">
        <f>SOFR3mo_PX[[#This Row],[Column778]]</f>
        <v>97.27</v>
      </c>
      <c r="ACY19">
        <f>SOFR3mo_PX[[#This Row],[Column779]]</f>
        <v>97.12</v>
      </c>
      <c r="ACZ19">
        <f>SOFR3mo_PX[[#This Row],[Column780]]</f>
        <v>97.025000000000006</v>
      </c>
      <c r="ADA19">
        <f>SOFR3mo_PX[[#This Row],[Column781]]</f>
        <v>97.045000000000002</v>
      </c>
      <c r="ADB19">
        <f>SOFR3mo_PX[[#This Row],[Column782]]</f>
        <v>97.11</v>
      </c>
      <c r="ADC19">
        <f>SOFR3mo_PX[[#This Row],[Column783]]</f>
        <v>97.2</v>
      </c>
      <c r="ADD19">
        <f>SOFR3mo_PX[[#This Row],[Column784]]</f>
        <v>97.1</v>
      </c>
      <c r="ADE19">
        <f>SOFR3mo_PX[[#This Row],[Column785]]</f>
        <v>96.974999999999994</v>
      </c>
      <c r="ADF19">
        <f>SOFR3mo_PX[[#This Row],[Column786]]</f>
        <v>97.045000000000002</v>
      </c>
      <c r="ADG19">
        <f>SOFR3mo_PX[[#This Row],[Column787]]</f>
        <v>97.045000000000002</v>
      </c>
      <c r="ADH19">
        <f>SOFR3mo_PX[[#This Row],[Column788]]</f>
        <v>97</v>
      </c>
      <c r="ADI19">
        <f>SOFR3mo_PX[[#This Row],[Column789]]</f>
        <v>96.834999999999994</v>
      </c>
      <c r="ADJ19">
        <f>SOFR3mo_PX[[#This Row],[Column790]]</f>
        <v>96.76</v>
      </c>
      <c r="ADK19">
        <f>SOFR3mo_PX[[#This Row],[Column791]]</f>
        <v>96.875</v>
      </c>
      <c r="ADL19">
        <f>SOFR3mo_PX[[#This Row],[Column792]]</f>
        <v>97.1</v>
      </c>
      <c r="ADM19">
        <f>SOFR3mo_PX[[#This Row],[Column793]]</f>
        <v>97.204999999999998</v>
      </c>
      <c r="ADN19">
        <f>SOFR3mo_PX[[#This Row],[Column794]]</f>
        <v>97.215000000000003</v>
      </c>
      <c r="ADO19">
        <f>SOFR3mo_PX[[#This Row],[Column795]]</f>
        <v>97.26</v>
      </c>
      <c r="ADP19">
        <f>SOFR3mo_PX[[#This Row],[Column796]]</f>
        <v>97.17</v>
      </c>
      <c r="ADQ19">
        <f>SOFR3mo_PX[[#This Row],[Column797]]</f>
        <v>97.28</v>
      </c>
      <c r="ADR19">
        <f>SOFR3mo_PX[[#This Row],[Column798]]</f>
        <v>97.33</v>
      </c>
      <c r="ADS19">
        <f>SOFR3mo_PX[[#This Row],[Column799]]</f>
        <v>97.29</v>
      </c>
      <c r="ADT19">
        <f>SOFR3mo_PX[[#This Row],[Column800]]</f>
        <v>97.394999999999996</v>
      </c>
      <c r="ADU19">
        <f>SOFR3mo_PX[[#This Row],[Column801]]</f>
        <v>97.474999999999994</v>
      </c>
      <c r="ADV19">
        <f>SOFR3mo_PX[[#This Row],[Column802]]</f>
        <v>97.474999999999994</v>
      </c>
      <c r="ADW19">
        <f>SOFR3mo_PX[[#This Row],[Column803]]</f>
        <v>97.48</v>
      </c>
      <c r="ADX19">
        <f>SOFR3mo_PX[[#This Row],[Column804]]</f>
        <v>97.49</v>
      </c>
      <c r="ADY19">
        <f>SOFR3mo_PX[[#This Row],[Column805]]</f>
        <v>97.46</v>
      </c>
      <c r="ADZ19">
        <f>SOFR3mo_PX[[#This Row],[Column806]]</f>
        <v>97.34</v>
      </c>
      <c r="AEA19">
        <f>SOFR3mo_PX[[#This Row],[Column807]]</f>
        <v>97.415000000000006</v>
      </c>
      <c r="AEB19">
        <f>SOFR3mo_PX[[#This Row],[Column808]]</f>
        <v>97.36</v>
      </c>
      <c r="AEC19">
        <f>SOFR3mo_PX[[#This Row],[Column809]]</f>
        <v>97.34</v>
      </c>
      <c r="AED19">
        <f>SOFR3mo_PX[[#This Row],[Column810]]</f>
        <v>97.26</v>
      </c>
      <c r="AEE19">
        <f>SOFR3mo_PX[[#This Row],[Column811]]</f>
        <v>97.355000000000004</v>
      </c>
      <c r="AEF19">
        <f>SOFR3mo_PX[[#This Row],[Column812]]</f>
        <v>97.245000000000005</v>
      </c>
      <c r="AEG19">
        <f>SOFR3mo_PX[[#This Row],[Column813]]</f>
        <v>97.364999999999995</v>
      </c>
      <c r="AEH19">
        <f>SOFR3mo_PX[[#This Row],[Column814]]</f>
        <v>97.3</v>
      </c>
      <c r="AEI19">
        <f>SOFR3mo_PX[[#This Row],[Column815]]</f>
        <v>97.215000000000003</v>
      </c>
      <c r="AEJ19">
        <f>SOFR3mo_PX[[#This Row],[Column816]]</f>
        <v>97.11</v>
      </c>
      <c r="AEK19">
        <f>SOFR3mo_PX[[#This Row],[Column817]]</f>
        <v>97.05</v>
      </c>
      <c r="AEL19">
        <f>SOFR3mo_PX[[#This Row],[Column818]]</f>
        <v>97.114999999999995</v>
      </c>
      <c r="AEM19">
        <f>SOFR3mo_PX[[#This Row],[Column819]]</f>
        <v>97.234999999999999</v>
      </c>
      <c r="AEN19">
        <f>SOFR3mo_PX[[#This Row],[Column820]]</f>
        <v>97.19</v>
      </c>
      <c r="AEO19">
        <f>SOFR3mo_PX[[#This Row],[Column821]]</f>
        <v>97.135000000000005</v>
      </c>
      <c r="AEP19">
        <f>SOFR3mo_PX[[#This Row],[Column822]]</f>
        <v>97.26</v>
      </c>
      <c r="AEQ19">
        <f>SOFR3mo_PX[[#This Row],[Column823]]</f>
        <v>97.265000000000001</v>
      </c>
      <c r="AER19">
        <f>SOFR3mo_PX[[#This Row],[Column824]]</f>
        <v>97.344999999999999</v>
      </c>
      <c r="AES19">
        <f>SOFR3mo_PX[[#This Row],[Column825]]</f>
        <v>97.385000000000005</v>
      </c>
      <c r="AET19">
        <f>SOFR3mo_PX[[#This Row],[Column826]]</f>
        <v>97.38</v>
      </c>
      <c r="AEU19">
        <f>SOFR3mo_PX[[#This Row],[Column827]]</f>
        <v>97.305000000000007</v>
      </c>
      <c r="AEV19">
        <f>SOFR3mo_PX[[#This Row],[Column828]]</f>
        <v>97.215000000000003</v>
      </c>
      <c r="AEW19">
        <f>SOFR3mo_PX[[#This Row],[Column829]]</f>
        <v>97.31</v>
      </c>
      <c r="AEX19">
        <f>SOFR3mo_PX[[#This Row],[Column830]]</f>
        <v>97.224999999999994</v>
      </c>
      <c r="AEY19">
        <f>SOFR3mo_PX[[#This Row],[Column831]]</f>
        <v>97.31</v>
      </c>
      <c r="AEZ19">
        <f>SOFR3mo_PX[[#This Row],[Column832]]</f>
        <v>97.355000000000004</v>
      </c>
      <c r="AFA19">
        <f>SOFR3mo_PX[[#This Row],[Column833]]</f>
        <v>97.355000000000004</v>
      </c>
      <c r="AFB19">
        <f>SOFR3mo_PX[[#This Row],[Column834]]</f>
        <v>97.484999999999999</v>
      </c>
      <c r="AFC19">
        <f>SOFR3mo_PX[[#This Row],[Column835]]</f>
        <v>97.454999999999998</v>
      </c>
      <c r="AFD19">
        <f>SOFR3mo_PX[[#This Row],[Column836]]</f>
        <v>97.364999999999995</v>
      </c>
      <c r="AFE19">
        <f>SOFR3mo_PX[[#This Row],[Column837]]</f>
        <v>97.465000000000003</v>
      </c>
      <c r="AFF19">
        <f>SOFR3mo_PX[[#This Row],[Column838]]</f>
        <v>97.54</v>
      </c>
      <c r="AFG19">
        <f>SOFR3mo_PX[[#This Row],[Column839]]</f>
        <v>97.575000000000003</v>
      </c>
      <c r="AFH19">
        <f>SOFR3mo_PX[[#This Row],[Column840]]</f>
        <v>97.62</v>
      </c>
      <c r="AFI19">
        <f>SOFR3mo_PX[[#This Row],[Column841]]</f>
        <v>97.834999999999994</v>
      </c>
      <c r="AFJ19">
        <f>SOFR3mo_PX[[#This Row],[Column842]]</f>
        <v>97.844999999999999</v>
      </c>
      <c r="AFK19">
        <f>SOFR3mo_PX[[#This Row],[Column843]]</f>
        <v>97.915000000000006</v>
      </c>
      <c r="AFL19">
        <f>SOFR3mo_PX[[#This Row],[Column844]]</f>
        <v>97.855000000000004</v>
      </c>
      <c r="AFM19">
        <f>SOFR3mo_PX[[#This Row],[Column845]]</f>
        <v>97.78</v>
      </c>
      <c r="AFN19">
        <f>SOFR3mo_PX[[#This Row],[Column846]]</f>
        <v>97.655000000000001</v>
      </c>
      <c r="AFO19">
        <f>SOFR3mo_PX[[#This Row],[Column847]]</f>
        <v>97.6</v>
      </c>
      <c r="AFP19">
        <f>SOFR3mo_PX[[#This Row],[Column848]]</f>
        <v>97.825000000000003</v>
      </c>
      <c r="AFQ19">
        <f>SOFR3mo_PX[[#This Row],[Column849]]</f>
        <v>97.864999999999995</v>
      </c>
      <c r="AFR19">
        <f>SOFR3mo_PX[[#This Row],[Column850]]</f>
        <v>97.81</v>
      </c>
      <c r="AFS19">
        <f>SOFR3mo_PX[[#This Row],[Column851]]</f>
        <v>97.87</v>
      </c>
      <c r="AFT19">
        <f>SOFR3mo_PX[[#This Row],[Column852]]</f>
        <v>98.04</v>
      </c>
      <c r="AFU19">
        <f>SOFR3mo_PX[[#This Row],[Column853]]</f>
        <v>97.98</v>
      </c>
      <c r="AFV19">
        <f>SOFR3mo_PX[[#This Row],[Column854]]</f>
        <v>97.924999999999997</v>
      </c>
      <c r="AFW19">
        <f>SOFR3mo_PX[[#This Row],[Column855]]</f>
        <v>97.954999999999998</v>
      </c>
      <c r="AFX19">
        <f>SOFR3mo_PX[[#This Row],[Column856]]</f>
        <v>97.98</v>
      </c>
      <c r="AFY19">
        <f>SOFR3mo_PX[[#This Row],[Column857]]</f>
        <v>98.125</v>
      </c>
      <c r="AFZ19">
        <f>SOFR3mo_PX[[#This Row],[Column858]]</f>
        <v>98.144999999999996</v>
      </c>
      <c r="AGA19">
        <f>SOFR3mo_PX[[#This Row],[Column859]]</f>
        <v>98.22</v>
      </c>
      <c r="AGB19">
        <f>SOFR3mo_PX[[#This Row],[Column860]]</f>
        <v>98.32</v>
      </c>
      <c r="AGC19">
        <f>SOFR3mo_PX[[#This Row],[Column861]]</f>
        <v>98.435000000000002</v>
      </c>
      <c r="AGD19">
        <f>SOFR3mo_PX[[#This Row],[Column862]]</f>
        <v>98.474999999999994</v>
      </c>
      <c r="AGE19">
        <f>SOFR3mo_PX[[#This Row],[Column863]]</f>
        <v>98.33</v>
      </c>
      <c r="AGF19">
        <f>SOFR3mo_PX[[#This Row],[Column864]]</f>
        <v>98.275000000000006</v>
      </c>
      <c r="AGG19">
        <f>SOFR3mo_PX[[#This Row],[Column865]]</f>
        <v>98.47</v>
      </c>
      <c r="AGH19">
        <f>SOFR3mo_PX[[#This Row],[Column866]]</f>
        <v>98.275000000000006</v>
      </c>
      <c r="AGI19">
        <f>SOFR3mo_PX[[#This Row],[Column867]]</f>
        <v>98.12</v>
      </c>
      <c r="AGJ19">
        <f>SOFR3mo_PX[[#This Row],[Column868]]</f>
        <v>98.14</v>
      </c>
      <c r="AGK19">
        <f>SOFR3mo_PX[[#This Row],[Column869]]</f>
        <v>98.13</v>
      </c>
      <c r="AGL19">
        <f>SOFR3mo_PX[[#This Row],[Column870]]</f>
        <v>98.16</v>
      </c>
      <c r="AGM19">
        <f>SOFR3mo_PX[[#This Row],[Column871]]</f>
        <v>98.165000000000006</v>
      </c>
      <c r="AGN19">
        <f>SOFR3mo_PX[[#This Row],[Column872]]</f>
        <v>98.165000000000006</v>
      </c>
      <c r="AGO19">
        <f>SOFR3mo_PX[[#This Row],[Column873]]</f>
        <v>98.12</v>
      </c>
      <c r="AGP19">
        <f>SOFR3mo_PX[[#This Row],[Column874]]</f>
        <v>98.034999999999997</v>
      </c>
      <c r="AGQ19">
        <f>SOFR3mo_PX[[#This Row],[Column875]]</f>
        <v>98.034999999999997</v>
      </c>
      <c r="AGR19">
        <f>SOFR3mo_PX[[#This Row],[Column876]]</f>
        <v>98.09</v>
      </c>
      <c r="AGS19">
        <f>SOFR3mo_PX[[#This Row],[Column877]]</f>
        <v>98.14</v>
      </c>
      <c r="AGT19">
        <f>SOFR3mo_PX[[#This Row],[Column878]]</f>
        <v>98.01</v>
      </c>
      <c r="AGU19">
        <f>SOFR3mo_PX[[#This Row],[Column879]]</f>
        <v>98.09</v>
      </c>
      <c r="AGV19">
        <f>SOFR3mo_PX[[#This Row],[Column880]]</f>
        <v>98.06</v>
      </c>
      <c r="AGW19">
        <f>SOFR3mo_PX[[#This Row],[Column881]]</f>
        <v>98.105000000000004</v>
      </c>
      <c r="AGX19">
        <f>SOFR3mo_PX[[#This Row],[Column882]]</f>
        <v>98.08</v>
      </c>
      <c r="AGY19">
        <f>SOFR3mo_PX[[#This Row],[Column883]]</f>
        <v>98.215000000000003</v>
      </c>
      <c r="AGZ19">
        <f>SOFR3mo_PX[[#This Row],[Column884]]</f>
        <v>98.284999999999997</v>
      </c>
      <c r="AHA19">
        <f>SOFR3mo_PX[[#This Row],[Column885]]</f>
        <v>98.254999999999995</v>
      </c>
      <c r="AHB19">
        <f>SOFR3mo_PX[[#This Row],[Column886]]</f>
        <v>98.25</v>
      </c>
      <c r="AHC19">
        <f>SOFR3mo_PX[[#This Row],[Column887]]</f>
        <v>98.254999999999995</v>
      </c>
      <c r="AHD19">
        <f>SOFR3mo_PX[[#This Row],[Column888]]</f>
        <v>98.21</v>
      </c>
      <c r="AHE19">
        <f>SOFR3mo_PX[[#This Row],[Column889]]</f>
        <v>98.135000000000005</v>
      </c>
      <c r="AHF19">
        <f>SOFR3mo_PX[[#This Row],[Column890]]</f>
        <v>98.215000000000003</v>
      </c>
      <c r="AHG19">
        <f>SOFR3mo_PX[[#This Row],[Column891]]</f>
        <v>98.275000000000006</v>
      </c>
      <c r="AHH19">
        <f>SOFR3mo_PX[[#This Row],[Column892]]</f>
        <v>98.24</v>
      </c>
      <c r="AHI19">
        <f>SOFR3mo_PX[[#This Row],[Column893]]</f>
        <v>98.17</v>
      </c>
      <c r="AHJ19">
        <f>SOFR3mo_PX[[#This Row],[Column894]]</f>
        <v>98.155000000000001</v>
      </c>
      <c r="AHK19">
        <f>SOFR3mo_PX[[#This Row],[Column895]]</f>
        <v>98.105000000000004</v>
      </c>
      <c r="AHL19">
        <f>SOFR3mo_PX[[#This Row],[Column896]]</f>
        <v>98.23</v>
      </c>
      <c r="AHM19">
        <f>SOFR3mo_PX[[#This Row],[Column897]]</f>
        <v>98.23</v>
      </c>
      <c r="AHN19">
        <f>SOFR3mo_PX[[#This Row],[Column898]]</f>
        <v>98.31</v>
      </c>
      <c r="AHO19">
        <f>SOFR3mo_PX[[#This Row],[Column899]]</f>
        <v>98.28</v>
      </c>
      <c r="AHP19">
        <f>SOFR3mo_PX[[#This Row],[Column900]]</f>
        <v>98.24</v>
      </c>
      <c r="AHQ19">
        <f>SOFR3mo_PX[[#This Row],[Column901]]</f>
        <v>98.18</v>
      </c>
      <c r="AHR19">
        <f>SOFR3mo_PX[[#This Row],[Column902]]</f>
        <v>98.215000000000003</v>
      </c>
      <c r="AHS19">
        <f>SOFR3mo_PX[[#This Row],[Column903]]</f>
        <v>98.265000000000001</v>
      </c>
      <c r="AHT19">
        <f>SOFR3mo_PX[[#This Row],[Column904]]</f>
        <v>98.31</v>
      </c>
      <c r="AHU19">
        <f>SOFR3mo_PX[[#This Row],[Column905]]</f>
        <v>98.34</v>
      </c>
      <c r="AHV19">
        <f>SOFR3mo_PX[[#This Row],[Column906]]</f>
        <v>98.38</v>
      </c>
      <c r="AHW19">
        <f>SOFR3mo_PX[[#This Row],[Column907]]</f>
        <v>98.52</v>
      </c>
      <c r="AHX19">
        <f>SOFR3mo_PX[[#This Row],[Column908]]</f>
        <v>98.5</v>
      </c>
      <c r="AHY19">
        <f>SOFR3mo_PX[[#This Row],[Column909]]</f>
        <v>98.49</v>
      </c>
      <c r="AHZ19">
        <f>SOFR3mo_PX[[#This Row],[Column910]]</f>
        <v>98.55</v>
      </c>
      <c r="AIA19">
        <f>SOFR3mo_PX[[#This Row],[Column911]]</f>
        <v>98.54</v>
      </c>
      <c r="AIB19">
        <f>SOFR3mo_PX[[#This Row],[Column912]]</f>
        <v>98.534999999999997</v>
      </c>
      <c r="AIC19">
        <f>SOFR3mo_PX[[#This Row],[Column913]]</f>
        <v>98.534999999999997</v>
      </c>
      <c r="AID19">
        <f>SOFR3mo_PX[[#This Row],[Column914]]</f>
        <v>98.55</v>
      </c>
      <c r="AIE19">
        <f>SOFR3mo_PX[[#This Row],[Column915]]</f>
        <v>98.534999999999997</v>
      </c>
      <c r="AIF19">
        <f>SOFR3mo_PX[[#This Row],[Column916]]</f>
        <v>98.625</v>
      </c>
      <c r="AIG19">
        <f>SOFR3mo_PX[[#This Row],[Column917]]</f>
        <v>98.644999999999996</v>
      </c>
      <c r="AIH19">
        <f>SOFR3mo_PX[[#This Row],[Column918]]</f>
        <v>98.625</v>
      </c>
      <c r="AII19">
        <f>SOFR3mo_PX[[#This Row],[Column919]]</f>
        <v>98.534999999999997</v>
      </c>
      <c r="AIJ19">
        <f>SOFR3mo_PX[[#This Row],[Column920]]</f>
        <v>98.55</v>
      </c>
      <c r="AIK19">
        <f>SOFR3mo_PX[[#This Row],[Column921]]</f>
        <v>98.564999999999998</v>
      </c>
      <c r="AIL19">
        <f>SOFR3mo_PX[[#This Row],[Column922]]</f>
        <v>98.515000000000001</v>
      </c>
      <c r="AIM19">
        <f>SOFR3mo_PX[[#This Row],[Column923]]</f>
        <v>98.525000000000006</v>
      </c>
      <c r="AIN19">
        <f>SOFR3mo_PX[[#This Row],[Column924]]</f>
        <v>98.5</v>
      </c>
      <c r="AIO19">
        <f>SOFR3mo_PX[[#This Row],[Column925]]</f>
        <v>98.515000000000001</v>
      </c>
      <c r="AIP19">
        <f>SOFR3mo_PX[[#This Row],[Column926]]</f>
        <v>98.57</v>
      </c>
      <c r="AIQ19">
        <f>SOFR3mo_PX[[#This Row],[Column927]]</f>
        <v>98.704999999999998</v>
      </c>
      <c r="AIR19">
        <f>SOFR3mo_PX[[#This Row],[Column928]]</f>
        <v>98.59</v>
      </c>
      <c r="AIS19">
        <f>SOFR3mo_PX[[#This Row],[Column929]]</f>
        <v>98.62</v>
      </c>
      <c r="AIT19">
        <f>SOFR3mo_PX[[#This Row],[Column930]]</f>
        <v>98.58</v>
      </c>
      <c r="AIU19">
        <f>SOFR3mo_PX[[#This Row],[Column931]]</f>
        <v>98.504999999999995</v>
      </c>
      <c r="AIV19">
        <f>SOFR3mo_PX[[#This Row],[Column932]]</f>
        <v>98.53</v>
      </c>
      <c r="AIW19">
        <f>SOFR3mo_PX[[#This Row],[Column933]]</f>
        <v>98.36</v>
      </c>
      <c r="AIX19">
        <f>SOFR3mo_PX[[#This Row],[Column934]]</f>
        <v>98.36</v>
      </c>
      <c r="AIY19">
        <f>SOFR3mo_PX[[#This Row],[Column935]]</f>
        <v>98.344999999999999</v>
      </c>
      <c r="AIZ19">
        <f>SOFR3mo_PX[[#This Row],[Column936]]</f>
        <v>98.38</v>
      </c>
      <c r="AJA19">
        <f>SOFR3mo_PX[[#This Row],[Column937]]</f>
        <v>98.5</v>
      </c>
      <c r="AJB19">
        <f>SOFR3mo_PX[[#This Row],[Column938]]</f>
        <v>98.45</v>
      </c>
      <c r="AJC19">
        <f>SOFR3mo_PX[[#This Row],[Column939]]</f>
        <v>98.415000000000006</v>
      </c>
      <c r="AJD19">
        <f>SOFR3mo_PX[[#This Row],[Column940]]</f>
        <v>98.39</v>
      </c>
      <c r="AJE19">
        <f>SOFR3mo_PX[[#This Row],[Column941]]</f>
        <v>98.424999999999997</v>
      </c>
      <c r="AJF19">
        <f>SOFR3mo_PX[[#This Row],[Column942]]</f>
        <v>98.46</v>
      </c>
      <c r="AJG19">
        <f>SOFR3mo_PX[[#This Row],[Column943]]</f>
        <v>98.454999999999998</v>
      </c>
      <c r="AJH19">
        <f>SOFR3mo_PX[[#This Row],[Column944]]</f>
        <v>98.49</v>
      </c>
      <c r="AJI19">
        <f>SOFR3mo_PX[[#This Row],[Column945]]</f>
        <v>98.64</v>
      </c>
      <c r="AJJ19">
        <f>SOFR3mo_PX[[#This Row],[Column946]]</f>
        <v>98.564999999999998</v>
      </c>
      <c r="AJK19">
        <f>SOFR3mo_PX[[#This Row],[Column947]]</f>
        <v>98.63</v>
      </c>
      <c r="AJL19">
        <f>SOFR3mo_PX[[#This Row],[Column948]]</f>
        <v>98.54</v>
      </c>
      <c r="AJM19">
        <f>SOFR3mo_PX[[#This Row],[Column949]]</f>
        <v>98.484999999999999</v>
      </c>
      <c r="AJN19">
        <f>SOFR3mo_PX[[#This Row],[Column950]]</f>
        <v>98.525000000000006</v>
      </c>
      <c r="AJO19">
        <f>SOFR3mo_PX[[#This Row],[Column951]]</f>
        <v>98.534999999999997</v>
      </c>
      <c r="AJP19">
        <f>SOFR3mo_PX[[#This Row],[Column952]]</f>
        <v>98.564999999999998</v>
      </c>
      <c r="AJQ19">
        <f>SOFR3mo_PX[[#This Row],[Column953]]</f>
        <v>98.534999999999997</v>
      </c>
      <c r="AJR19">
        <f>SOFR3mo_PX[[#This Row],[Column954]]</f>
        <v>98.525000000000006</v>
      </c>
      <c r="AJS19">
        <f>SOFR3mo_PX[[#This Row],[Column955]]</f>
        <v>98.39</v>
      </c>
      <c r="AJT19">
        <f>SOFR3mo_PX[[#This Row],[Column956]]</f>
        <v>98.394999999999996</v>
      </c>
      <c r="AJU19">
        <f>SOFR3mo_PX[[#This Row],[Column957]]</f>
        <v>98.39</v>
      </c>
      <c r="AJV19">
        <f>SOFR3mo_PX[[#This Row],[Column958]]</f>
        <v>98.355000000000004</v>
      </c>
      <c r="AJW19">
        <f>SOFR3mo_PX[[#This Row],[Column959]]</f>
        <v>98.41</v>
      </c>
      <c r="AJX19">
        <f>SOFR3mo_PX[[#This Row],[Column960]]</f>
        <v>98.41</v>
      </c>
      <c r="AJY19">
        <f>SOFR3mo_PX[[#This Row],[Column961]]</f>
        <v>98.43</v>
      </c>
      <c r="AJZ19">
        <f>SOFR3mo_PX[[#This Row],[Column962]]</f>
        <v>98.444999999999993</v>
      </c>
      <c r="AKA19">
        <f>SOFR3mo_PX[[#This Row],[Column963]]</f>
        <v>98.51</v>
      </c>
      <c r="AKB19">
        <f>SOFR3mo_PX[[#This Row],[Column964]]</f>
        <v>98.454999999999998</v>
      </c>
      <c r="AKC19">
        <f>SOFR3mo_PX[[#This Row],[Column965]]</f>
        <v>98.42</v>
      </c>
      <c r="AKD19">
        <f>SOFR3mo_PX[[#This Row],[Column966]]</f>
        <v>98.38</v>
      </c>
      <c r="AKE19">
        <f>SOFR3mo_PX[[#This Row],[Column967]]</f>
        <v>98.405000000000001</v>
      </c>
      <c r="AKF19">
        <f>SOFR3mo_PX[[#This Row],[Column968]]</f>
        <v>98.45</v>
      </c>
      <c r="AKG19">
        <f>SOFR3mo_PX[[#This Row],[Column969]]</f>
        <v>98.5</v>
      </c>
      <c r="AKH19">
        <f>SOFR3mo_PX[[#This Row],[Column970]]</f>
        <v>98.5</v>
      </c>
      <c r="AKI19">
        <f>SOFR3mo_PX[[#This Row],[Column971]]</f>
        <v>98.545000000000002</v>
      </c>
      <c r="AKJ19">
        <f>SOFR3mo_PX[[#This Row],[Column972]]</f>
        <v>98.54</v>
      </c>
      <c r="AKK19">
        <f>SOFR3mo_PX[[#This Row],[Column973]]</f>
        <v>98.454999999999998</v>
      </c>
      <c r="AKL19">
        <f>SOFR3mo_PX[[#This Row],[Column974]]</f>
        <v>98.435000000000002</v>
      </c>
      <c r="AKM19">
        <f>SOFR3mo_PX[[#This Row],[Column975]]</f>
        <v>98.42</v>
      </c>
      <c r="AKN19">
        <f>SOFR3mo_PX[[#This Row],[Column976]]</f>
        <v>98.474999999999994</v>
      </c>
      <c r="AKO19">
        <f>SOFR3mo_PX[[#This Row],[Column977]]</f>
        <v>98.51</v>
      </c>
      <c r="AKP19">
        <f>SOFR3mo_PX[[#This Row],[Column978]]</f>
        <v>98.555000000000007</v>
      </c>
      <c r="AKQ19">
        <f>SOFR3mo_PX[[#This Row],[Column979]]</f>
        <v>98.635000000000005</v>
      </c>
      <c r="AKR19">
        <f>SOFR3mo_PX[[#This Row],[Column980]]</f>
        <v>98.674999999999997</v>
      </c>
      <c r="AKS19">
        <f>SOFR3mo_PX[[#This Row],[Column981]]</f>
        <v>98.68</v>
      </c>
      <c r="AKT19">
        <f>SOFR3mo_PX[[#This Row],[Column982]]</f>
        <v>98.605000000000004</v>
      </c>
      <c r="AKU19">
        <f>SOFR3mo_PX[[#This Row],[Column983]]</f>
        <v>98.665000000000006</v>
      </c>
      <c r="AKV19">
        <f>SOFR3mo_PX[[#This Row],[Column984]]</f>
        <v>98.72</v>
      </c>
      <c r="AKW19">
        <f>SOFR3mo_PX[[#This Row],[Column985]]</f>
        <v>98.8</v>
      </c>
      <c r="AKX19">
        <f>SOFR3mo_PX[[#This Row],[Column986]]</f>
        <v>98.765000000000001</v>
      </c>
      <c r="AKY19">
        <f>SOFR3mo_PX[[#This Row],[Column987]]</f>
        <v>98.75</v>
      </c>
      <c r="AKZ19">
        <f>SOFR3mo_PX[[#This Row],[Column988]]</f>
        <v>98.805000000000007</v>
      </c>
      <c r="ALA19">
        <f>SOFR3mo_PX[[#This Row],[Column989]]</f>
        <v>98.77</v>
      </c>
      <c r="ALB19">
        <f>SOFR3mo_PX[[#This Row],[Column990]]</f>
        <v>98.745000000000005</v>
      </c>
      <c r="ALC19">
        <f>SOFR3mo_PX[[#This Row],[Column991]]</f>
        <v>98.8</v>
      </c>
      <c r="ALD19">
        <f>SOFR3mo_PX[[#This Row],[Column992]]</f>
        <v>98.8</v>
      </c>
      <c r="ALE19">
        <f>SOFR3mo_PX[[#This Row],[Column993]]</f>
        <v>98.825000000000003</v>
      </c>
      <c r="ALF19">
        <f>SOFR3mo_PX[[#This Row],[Column994]]</f>
        <v>98.814999999999998</v>
      </c>
      <c r="ALG19">
        <f>SOFR3mo_PX[[#This Row],[Column995]]</f>
        <v>98.82</v>
      </c>
      <c r="ALH19">
        <f>SOFR3mo_PX[[#This Row],[Column996]]</f>
        <v>98.83</v>
      </c>
      <c r="ALI19">
        <f>SOFR3mo_PX[[#This Row],[Column997]]</f>
        <v>98.784999999999997</v>
      </c>
      <c r="ALJ19">
        <f>SOFR3mo_PX[[#This Row],[Column998]]</f>
        <v>98.74</v>
      </c>
      <c r="ALK19">
        <f>SOFR3mo_PX[[#This Row],[Column999]]</f>
        <v>98.75</v>
      </c>
      <c r="ALL19">
        <f>SOFR3mo_PX[[#This Row],[Column1000]]</f>
        <v>98.814999999999998</v>
      </c>
      <c r="ALM19">
        <f>SOFR3mo_PX[[#This Row],[Column1001]]</f>
        <v>98.844999999999999</v>
      </c>
      <c r="ALN19">
        <f>SOFR3mo_PX[[#This Row],[Column1002]]</f>
        <v>98.834999999999994</v>
      </c>
      <c r="ALO19">
        <f>SOFR3mo_PX[[#This Row],[Column1003]]</f>
        <v>98.855000000000004</v>
      </c>
      <c r="ALP19">
        <f>SOFR3mo_PX[[#This Row],[Column1004]]</f>
        <v>98.83</v>
      </c>
      <c r="ALQ19">
        <f>SOFR3mo_PX[[#This Row],[Column1005]]</f>
        <v>98.85</v>
      </c>
      <c r="ALR19">
        <f>SOFR3mo_PX[[#This Row],[Column1006]]</f>
        <v>98.855000000000004</v>
      </c>
      <c r="ALS19">
        <f>SOFR3mo_PX[[#This Row],[Column1007]]</f>
        <v>98.795000000000002</v>
      </c>
      <c r="ALT19">
        <f>SOFR3mo_PX[[#This Row],[Column1008]]</f>
        <v>98.72</v>
      </c>
      <c r="ALU19">
        <f>SOFR3mo_PX[[#This Row],[Column1009]]</f>
        <v>98.734999999999999</v>
      </c>
      <c r="ALV19">
        <f>SOFR3mo_PX[[#This Row],[Column1010]]</f>
        <v>98.74</v>
      </c>
      <c r="ALW19">
        <f>SOFR3mo_PX[[#This Row],[Column1011]]</f>
        <v>98.77</v>
      </c>
      <c r="ALX19">
        <f>SOFR3mo_PX[[#This Row],[Column1012]]</f>
        <v>98.825000000000003</v>
      </c>
      <c r="ALY19">
        <f>SOFR3mo_PX[[#This Row],[Column1013]]</f>
        <v>98.894999999999996</v>
      </c>
      <c r="ALZ19">
        <f>SOFR3mo_PX[[#This Row],[Column1014]]</f>
        <v>98.95</v>
      </c>
      <c r="AMA19">
        <f>SOFR3mo_PX[[#This Row],[Column1015]]</f>
        <v>98.984999999999999</v>
      </c>
      <c r="AMB19">
        <f>SOFR3mo_PX[[#This Row],[Column1016]]</f>
        <v>98.974999999999994</v>
      </c>
      <c r="AMC19">
        <f>SOFR3mo_PX[[#This Row],[Column1017]]</f>
        <v>98.89</v>
      </c>
      <c r="AMD19">
        <f>SOFR3mo_PX[[#This Row],[Column1018]]</f>
        <v>98.86</v>
      </c>
      <c r="AME19">
        <f>SOFR3mo_PX[[#This Row],[Column1019]]</f>
        <v>98.864999999999995</v>
      </c>
      <c r="AMF19">
        <f>SOFR3mo_PX[[#This Row],[Column1020]]</f>
        <v>98.915000000000006</v>
      </c>
      <c r="AMG19">
        <f>SOFR3mo_PX[[#This Row],[Column1021]]</f>
        <v>98.88</v>
      </c>
      <c r="AMH19">
        <f>SOFR3mo_PX[[#This Row],[Column1022]]</f>
        <v>98.87</v>
      </c>
      <c r="AMI19">
        <f>SOFR3mo_PX[[#This Row],[Column1023]]</f>
        <v>98.885000000000005</v>
      </c>
      <c r="AMJ19">
        <f>SOFR3mo_PX[[#This Row],[Column1024]]</f>
        <v>98.875</v>
      </c>
      <c r="AMK19">
        <f>SOFR3mo_PX[[#This Row],[Column1025]]</f>
        <v>98.974999999999994</v>
      </c>
      <c r="AML19">
        <f>SOFR3mo_PX[[#This Row],[Column1026]]</f>
        <v>98.974999999999994</v>
      </c>
      <c r="AMM19">
        <f>SOFR3mo_PX[[#This Row],[Column1027]]</f>
        <v>98.8</v>
      </c>
      <c r="AMN19">
        <f>SOFR3mo_PX[[#This Row],[Column1028]]</f>
        <v>98.805000000000007</v>
      </c>
      <c r="AMO19">
        <f>SOFR3mo_PX[[#This Row],[Column1029]]</f>
        <v>98.74</v>
      </c>
      <c r="AMP19">
        <f>SOFR3mo_PX[[#This Row],[Column1030]]</f>
        <v>98.68</v>
      </c>
      <c r="AMQ19">
        <f>SOFR3mo_PX[[#This Row],[Column1031]]</f>
        <v>98.74</v>
      </c>
      <c r="AMR19">
        <f>SOFR3mo_PX[[#This Row],[Column1032]]</f>
        <v>98.734999999999999</v>
      </c>
      <c r="AMS19">
        <f>SOFR3mo_PX[[#This Row],[Column1033]]</f>
        <v>98.81</v>
      </c>
      <c r="AMT19">
        <f>SOFR3mo_PX[[#This Row],[Column1034]]</f>
        <v>98.76</v>
      </c>
      <c r="AMU19">
        <f>SOFR3mo_PX[[#This Row],[Column1035]]</f>
        <v>98.715000000000003</v>
      </c>
      <c r="AMV19">
        <f>SOFR3mo_PX[[#This Row],[Column1036]]</f>
        <v>98.62</v>
      </c>
      <c r="AMW19">
        <f>SOFR3mo_PX[[#This Row],[Column1037]]</f>
        <v>98.62</v>
      </c>
      <c r="AMX19">
        <f>SOFR3mo_PX[[#This Row],[Column1038]]</f>
        <v>98.555000000000007</v>
      </c>
      <c r="AMY19">
        <f>SOFR3mo_PX[[#This Row],[Column1039]]</f>
        <v>98.605000000000004</v>
      </c>
      <c r="AMZ19">
        <f>SOFR3mo_PX[[#This Row],[Column1040]]</f>
        <v>98.57</v>
      </c>
      <c r="ANA19">
        <f>SOFR3mo_PX[[#This Row],[Column1041]]</f>
        <v>98.564999999999998</v>
      </c>
      <c r="ANB19">
        <f>SOFR3mo_PX[[#This Row],[Column1042]]</f>
        <v>98.534999999999997</v>
      </c>
      <c r="ANC19">
        <f>SOFR3mo_PX[[#This Row],[Column1043]]</f>
        <v>98.575000000000003</v>
      </c>
      <c r="AND19">
        <f>SOFR3mo_PX[[#This Row],[Column1044]]</f>
        <v>98.58</v>
      </c>
      <c r="ANE19">
        <f>SOFR3mo_PX[[#This Row],[Column1045]]</f>
        <v>98.614999999999995</v>
      </c>
      <c r="ANF19">
        <f>SOFR3mo_PX[[#This Row],[Column1046]]</f>
        <v>98.605000000000004</v>
      </c>
      <c r="ANG19">
        <f>SOFR3mo_PX[[#This Row],[Column1047]]</f>
        <v>98.605000000000004</v>
      </c>
      <c r="ANH19">
        <f>SOFR3mo_PX[[#This Row],[Column1048]]</f>
        <v>98.55</v>
      </c>
      <c r="ANI19">
        <f>SOFR3mo_PX[[#This Row],[Column1049]]</f>
        <v>98.465000000000003</v>
      </c>
      <c r="ANJ19">
        <f>SOFR3mo_PX[[#This Row],[Column1050]]</f>
        <v>98.704999999999998</v>
      </c>
      <c r="ANK19">
        <f>SOFR3mo_PX[[#This Row],[Column1051]]</f>
        <v>98.694999999999993</v>
      </c>
      <c r="ANL19">
        <f>SOFR3mo_PX[[#This Row],[Column1052]]</f>
        <v>98.734999999999999</v>
      </c>
      <c r="ANM19">
        <f>SOFR3mo_PX[[#This Row],[Column1053]]</f>
        <v>98.77</v>
      </c>
      <c r="ANN19">
        <f>SOFR3mo_PX[[#This Row],[Column1054]]</f>
        <v>98.74</v>
      </c>
      <c r="ANO19">
        <f>SOFR3mo_PX[[#This Row],[Column1055]]</f>
        <v>98.69</v>
      </c>
      <c r="ANP19">
        <f>SOFR3mo_PX[[#This Row],[Column1056]]</f>
        <v>98.644999999999996</v>
      </c>
      <c r="ANQ19">
        <f>SOFR3mo_PX[[#This Row],[Column1057]]</f>
        <v>98.644999999999996</v>
      </c>
      <c r="ANR19">
        <f>SOFR3mo_PX[[#This Row],[Column1058]]</f>
        <v>98.55</v>
      </c>
      <c r="ANS19">
        <f>SOFR3mo_PX[[#This Row],[Column1059]]</f>
        <v>98.6</v>
      </c>
      <c r="ANT19">
        <f>SOFR3mo_PX[[#This Row],[Column1060]]</f>
        <v>98.564999999999998</v>
      </c>
      <c r="ANU19">
        <f>SOFR3mo_PX[[#This Row],[Column1061]]</f>
        <v>98.6</v>
      </c>
      <c r="ANV19">
        <f>SOFR3mo_PX[[#This Row],[Column1062]]</f>
        <v>98.6</v>
      </c>
      <c r="ANW19">
        <f>SOFR3mo_PX[[#This Row],[Column1063]]</f>
        <v>98.594999999999999</v>
      </c>
      <c r="ANX19">
        <f>SOFR3mo_PX[[#This Row],[Column1064]]</f>
        <v>98.635000000000005</v>
      </c>
      <c r="ANY19">
        <f>SOFR3mo_PX[[#This Row],[Column1065]]</f>
        <v>98.64</v>
      </c>
      <c r="ANZ19">
        <f>SOFR3mo_PX[[#This Row],[Column1066]]</f>
        <v>98.584999999999994</v>
      </c>
      <c r="AOA19">
        <f>SOFR3mo_PX[[#This Row],[Column1067]]</f>
        <v>98.545000000000002</v>
      </c>
      <c r="AOB19">
        <f>SOFR3mo_PX[[#This Row],[Column1068]]</f>
        <v>98.56</v>
      </c>
      <c r="AOC19">
        <f>SOFR3mo_PX[[#This Row],[Column1069]]</f>
        <v>98.5</v>
      </c>
      <c r="AOD19">
        <f>SOFR3mo_PX[[#This Row],[Column1070]]</f>
        <v>98.56</v>
      </c>
      <c r="AOE19">
        <f>SOFR3mo_PX[[#This Row],[Column1071]]</f>
        <v>98.56</v>
      </c>
      <c r="AOF19">
        <f>SOFR3mo_PX[[#This Row],[Column1072]]</f>
        <v>98.564999999999998</v>
      </c>
      <c r="AOG19">
        <f>SOFR3mo_PX[[#This Row],[Column1073]]</f>
        <v>98.545000000000002</v>
      </c>
      <c r="AOH19">
        <f>SOFR3mo_PX[[#This Row],[Column1074]]</f>
        <v>98.484999999999999</v>
      </c>
      <c r="AOI19">
        <f>SOFR3mo_PX[[#This Row],[Column1075]]</f>
        <v>98.59</v>
      </c>
      <c r="AOJ19">
        <f>SOFR3mo_PX[[#This Row],[Column1076]]</f>
        <v>98.614999999999995</v>
      </c>
      <c r="AOK19">
        <f>SOFR3mo_PX[[#This Row],[Column1077]]</f>
        <v>98.614999999999995</v>
      </c>
      <c r="AOL19">
        <f>SOFR3mo_PX[[#This Row],[Column1078]]</f>
        <v>98.575000000000003</v>
      </c>
      <c r="AOM19">
        <f>SOFR3mo_PX[[#This Row],[Column1079]]</f>
        <v>98.555000000000007</v>
      </c>
      <c r="AON19">
        <f>SOFR3mo_PX[[#This Row],[Column1080]]</f>
        <v>98.53</v>
      </c>
      <c r="AOO19">
        <f>SOFR3mo_PX[[#This Row],[Column1081]]</f>
        <v>98.504999999999995</v>
      </c>
      <c r="AOP19">
        <f>SOFR3mo_PX[[#This Row],[Column1082]]</f>
        <v>98.47</v>
      </c>
      <c r="AOQ19">
        <f>SOFR3mo_PX[[#This Row],[Column1083]]</f>
        <v>98.47</v>
      </c>
      <c r="AOR19">
        <f>SOFR3mo_PX[[#This Row],[Column1084]]</f>
        <v>98.48</v>
      </c>
      <c r="AOS19">
        <f>SOFR3mo_PX[[#This Row],[Column1085]]</f>
        <v>98.484999999999999</v>
      </c>
      <c r="AOT19">
        <f>SOFR3mo_PX[[#This Row],[Column1086]]</f>
        <v>98.54</v>
      </c>
      <c r="AOU19">
        <f>SOFR3mo_PX[[#This Row],[Column1087]]</f>
        <v>98.55</v>
      </c>
      <c r="AOV19">
        <f>SOFR3mo_PX[[#This Row],[Column1088]]</f>
        <v>98.58</v>
      </c>
      <c r="AOW19">
        <f>SOFR3mo_PX[[#This Row],[Column1089]]</f>
        <v>98.58</v>
      </c>
      <c r="AOX19">
        <f>SOFR3mo_PX[[#This Row],[Column1090]]</f>
        <v>98.584999999999994</v>
      </c>
      <c r="AOY19">
        <f>SOFR3mo_PX[[#This Row],[Column1091]]</f>
        <v>98.56</v>
      </c>
      <c r="AOZ19">
        <f>SOFR3mo_PX[[#This Row],[Column1092]]</f>
        <v>98.575000000000003</v>
      </c>
      <c r="APA19">
        <f>SOFR3mo_PX[[#This Row],[Column1093]]</f>
        <v>98.61</v>
      </c>
      <c r="APB19">
        <f>SOFR3mo_PX[[#This Row],[Column1094]]</f>
        <v>98.47</v>
      </c>
      <c r="APC19">
        <f>SOFR3mo_PX[[#This Row],[Column1095]]</f>
        <v>98.474999999999994</v>
      </c>
      <c r="APD19">
        <f>SOFR3mo_PX[[#This Row],[Column1096]]</f>
        <v>98.38</v>
      </c>
      <c r="APE19">
        <f>SOFR3mo_PX[[#This Row],[Column1097]]</f>
        <v>98.4</v>
      </c>
      <c r="APF19">
        <f>SOFR3mo_PX[[#This Row],[Column1098]]</f>
        <v>98.43</v>
      </c>
      <c r="APG19">
        <f>SOFR3mo_PX[[#This Row],[Column1099]]</f>
        <v>98.39</v>
      </c>
      <c r="APH19">
        <f>SOFR3mo_PX[[#This Row],[Column1100]]</f>
        <v>98.355000000000004</v>
      </c>
      <c r="API19">
        <f>SOFR3mo_PX[[#This Row],[Column1101]]</f>
        <v>98.25</v>
      </c>
      <c r="APJ19">
        <f>SOFR3mo_PX[[#This Row],[Column1102]]</f>
        <v>98.215000000000003</v>
      </c>
      <c r="APK19">
        <f>SOFR3mo_PX[[#This Row],[Column1103]]</f>
        <v>98.31</v>
      </c>
      <c r="APL19">
        <f>SOFR3mo_PX[[#This Row],[Column1104]]</f>
        <v>98.265000000000001</v>
      </c>
      <c r="APM19">
        <f>SOFR3mo_PX[[#This Row],[Column1105]]</f>
        <v>98.31</v>
      </c>
      <c r="APN19">
        <f>SOFR3mo_PX[[#This Row],[Column1106]]</f>
        <v>98.35</v>
      </c>
      <c r="APO19">
        <f>SOFR3mo_PX[[#This Row],[Column1107]]</f>
        <v>98.42</v>
      </c>
      <c r="APP19">
        <f>SOFR3mo_PX[[#This Row],[Column1108]]</f>
        <v>98.48</v>
      </c>
      <c r="APQ19">
        <f>SOFR3mo_PX[[#This Row],[Column1109]]</f>
        <v>98.474999999999994</v>
      </c>
      <c r="APR19">
        <f>SOFR3mo_PX[[#This Row],[Column1110]]</f>
        <v>98.454999999999998</v>
      </c>
      <c r="APS19">
        <f>SOFR3mo_PX[[#This Row],[Column1111]]</f>
        <v>98.394999999999996</v>
      </c>
      <c r="APT19">
        <f>SOFR3mo_PX[[#This Row],[Column1112]]</f>
        <v>98.36</v>
      </c>
      <c r="APU19">
        <f>SOFR3mo_PX[[#This Row],[Column1113]]</f>
        <v>98.42</v>
      </c>
      <c r="APV19">
        <f>SOFR3mo_PX[[#This Row],[Column1114]]</f>
        <v>98.555000000000007</v>
      </c>
      <c r="APW19">
        <f>SOFR3mo_PX[[#This Row],[Column1115]]</f>
        <v>98.61</v>
      </c>
      <c r="APX19">
        <f>SOFR3mo_PX[[#This Row],[Column1116]]</f>
        <v>98.605000000000004</v>
      </c>
      <c r="APY19">
        <f>SOFR3mo_PX[[#This Row],[Column1117]]</f>
        <v>98.59</v>
      </c>
      <c r="APZ19">
        <f>SOFR3mo_PX[[#This Row],[Column1118]]</f>
        <v>98.66</v>
      </c>
      <c r="AQA19">
        <f>SOFR3mo_PX[[#This Row],[Column1119]]</f>
        <v>98.67</v>
      </c>
      <c r="AQB19">
        <f>SOFR3mo_PX[[#This Row],[Column1120]]</f>
        <v>98.64</v>
      </c>
      <c r="AQC19">
        <f>SOFR3mo_PX[[#This Row],[Column1121]]</f>
        <v>98.584999999999994</v>
      </c>
      <c r="AQD19">
        <f>SOFR3mo_PX[[#This Row],[Column1122]]</f>
        <v>98.65</v>
      </c>
      <c r="AQE19">
        <f>SOFR3mo_PX[[#This Row],[Column1123]]</f>
        <v>98.64</v>
      </c>
      <c r="AQF19">
        <f>SOFR3mo_PX[[#This Row],[Column1124]]</f>
        <v>98.704999999999998</v>
      </c>
      <c r="AQG19">
        <f>SOFR3mo_PX[[#This Row],[Column1125]]</f>
        <v>98.76</v>
      </c>
      <c r="AQH19">
        <f>SOFR3mo_PX[[#This Row],[Column1126]]</f>
        <v>98.72</v>
      </c>
      <c r="AQI19">
        <f>SOFR3mo_PX[[#This Row],[Column1127]]</f>
        <v>98.68</v>
      </c>
      <c r="AQJ19">
        <f>SOFR3mo_PX[[#This Row],[Column1128]]</f>
        <v>98.685000000000002</v>
      </c>
      <c r="AQK19">
        <f>SOFR3mo_PX[[#This Row],[Column1129]]</f>
        <v>98.89</v>
      </c>
      <c r="AQL19">
        <f>SOFR3mo_PX[[#This Row],[Column1130]]</f>
        <v>98.915000000000006</v>
      </c>
      <c r="AQM19">
        <f>SOFR3mo_PX[[#This Row],[Column1131]]</f>
        <v>98.905000000000001</v>
      </c>
      <c r="AQN19">
        <f>SOFR3mo_PX[[#This Row],[Column1132]]</f>
        <v>98.94</v>
      </c>
      <c r="AQO19">
        <f>SOFR3mo_PX[[#This Row],[Column1133]]</f>
        <v>98.984999999999999</v>
      </c>
      <c r="AQP19">
        <f>SOFR3mo_PX[[#This Row],[Column1134]]</f>
        <v>98.974999999999994</v>
      </c>
      <c r="AQQ19">
        <f>SOFR3mo_PX[[#This Row],[Column1135]]</f>
        <v>99</v>
      </c>
      <c r="AQR19">
        <f>SOFR3mo_PX[[#This Row],[Column1136]]</f>
        <v>99.12</v>
      </c>
      <c r="AQS19">
        <f>SOFR3mo_PX[[#This Row],[Column1137]]</f>
        <v>99.12</v>
      </c>
      <c r="AQT19">
        <f>SOFR3mo_PX[[#This Row],[Column1138]]</f>
        <v>99.174999999999997</v>
      </c>
      <c r="AQU19">
        <f>SOFR3mo_PX[[#This Row],[Column1139]]</f>
        <v>99.185000000000002</v>
      </c>
      <c r="AQV19">
        <f>SOFR3mo_PX[[#This Row],[Column1140]]</f>
        <v>99.17</v>
      </c>
      <c r="AQW19">
        <f>SOFR3mo_PX[[#This Row],[Column1141]]</f>
        <v>99.16</v>
      </c>
      <c r="AQX19">
        <f>SOFR3mo_PX[[#This Row],[Column1142]]</f>
        <v>99.18</v>
      </c>
      <c r="AQY19">
        <f>SOFR3mo_PX[[#This Row],[Column1143]]</f>
        <v>99.185000000000002</v>
      </c>
      <c r="AQZ19">
        <f>SOFR3mo_PX[[#This Row],[Column1144]]</f>
        <v>99.245000000000005</v>
      </c>
      <c r="ARA19">
        <f>SOFR3mo_PX[[#This Row],[Column1145]]</f>
        <v>99.26</v>
      </c>
      <c r="ARB19">
        <f>SOFR3mo_PX[[#This Row],[Column1146]]</f>
        <v>99.284999999999997</v>
      </c>
      <c r="ARC19">
        <f>SOFR3mo_PX[[#This Row],[Column1147]]</f>
        <v>99.284999999999997</v>
      </c>
      <c r="ARD19">
        <f>SOFR3mo_PX[[#This Row],[Column1148]]</f>
        <v>99.29</v>
      </c>
      <c r="ARE19">
        <f>SOFR3mo_PX[[#This Row],[Column1149]]</f>
        <v>99.32</v>
      </c>
      <c r="ARF19">
        <f>SOFR3mo_PX[[#This Row],[Column1150]]</f>
        <v>99.305000000000007</v>
      </c>
      <c r="ARG19">
        <f>SOFR3mo_PX[[#This Row],[Column1151]]</f>
        <v>99.31</v>
      </c>
      <c r="ARH19">
        <f>SOFR3mo_PX[[#This Row],[Column1152]]</f>
        <v>99.295000000000002</v>
      </c>
      <c r="ARI19">
        <f>SOFR3mo_PX[[#This Row],[Column1153]]</f>
        <v>99.29</v>
      </c>
      <c r="ARJ19">
        <f>SOFR3mo_PX[[#This Row],[Column1154]]</f>
        <v>99.305000000000007</v>
      </c>
      <c r="ARK19">
        <f>SOFR3mo_PX[[#This Row],[Column1155]]</f>
        <v>99.305000000000007</v>
      </c>
      <c r="ARL19">
        <f>SOFR3mo_PX[[#This Row],[Column1156]]</f>
        <v>99.295000000000002</v>
      </c>
      <c r="ARM19">
        <f>SOFR3mo_PX[[#This Row],[Column1157]]</f>
        <v>99.295000000000002</v>
      </c>
      <c r="ARN19">
        <f>SOFR3mo_PX[[#This Row],[Column1158]]</f>
        <v>99.32</v>
      </c>
      <c r="ARO19">
        <f>SOFR3mo_PX[[#This Row],[Column1159]]</f>
        <v>99.305000000000007</v>
      </c>
      <c r="ARP19">
        <f>SOFR3mo_PX[[#This Row],[Column1160]]</f>
        <v>99.28</v>
      </c>
      <c r="ARQ19">
        <f>SOFR3mo_PX[[#This Row],[Column1161]]</f>
        <v>99.284999999999997</v>
      </c>
      <c r="ARR19">
        <f>SOFR3mo_PX[[#This Row],[Column1162]]</f>
        <v>99.29</v>
      </c>
      <c r="ARS19">
        <f>SOFR3mo_PX[[#This Row],[Column1163]]</f>
        <v>99.33</v>
      </c>
      <c r="ART19">
        <f>SOFR3mo_PX[[#This Row],[Column1164]]</f>
        <v>99.435000000000002</v>
      </c>
      <c r="ARU19">
        <f>SOFR3mo_PX[[#This Row],[Column1165]]</f>
        <v>99.48</v>
      </c>
      <c r="ARV19">
        <f>SOFR3mo_PX[[#This Row],[Column1166]]</f>
        <v>99.49</v>
      </c>
      <c r="ARW19">
        <f>SOFR3mo_PX[[#This Row],[Column1167]]</f>
        <v>99.48</v>
      </c>
      <c r="ARX19">
        <f>SOFR3mo_PX[[#This Row],[Column1168]]</f>
        <v>99.48</v>
      </c>
      <c r="ARY19">
        <f>SOFR3mo_PX[[#This Row],[Column1169]]</f>
        <v>99.47</v>
      </c>
      <c r="ARZ19">
        <f>SOFR3mo_PX[[#This Row],[Column1170]]</f>
        <v>99.454999999999998</v>
      </c>
      <c r="ASA19">
        <f>SOFR3mo_PX[[#This Row],[Column1171]]</f>
        <v>99.45</v>
      </c>
      <c r="ASB19">
        <f>SOFR3mo_PX[[#This Row],[Column1172]]</f>
        <v>99.454999999999998</v>
      </c>
      <c r="ASC19">
        <f>SOFR3mo_PX[[#This Row],[Column1173]]</f>
        <v>99.454999999999998</v>
      </c>
      <c r="ASD19">
        <f>SOFR3mo_PX[[#This Row],[Column1174]]</f>
        <v>99.454999999999998</v>
      </c>
      <c r="ASE19">
        <f>SOFR3mo_PX[[#This Row],[Column1175]]</f>
        <v>99.46</v>
      </c>
      <c r="ASF19">
        <f>SOFR3mo_PX[[#This Row],[Column1176]]</f>
        <v>99.454999999999998</v>
      </c>
      <c r="ASG19">
        <f>SOFR3mo_PX[[#This Row],[Column1177]]</f>
        <v>99.454999999999998</v>
      </c>
      <c r="ASH19">
        <f>SOFR3mo_PX[[#This Row],[Column1178]]</f>
        <v>99.49</v>
      </c>
      <c r="ASI19">
        <f>SOFR3mo_PX[[#This Row],[Column1179]]</f>
        <v>99.5</v>
      </c>
      <c r="ASJ19">
        <f>SOFR3mo_PX[[#This Row],[Column1180]]</f>
        <v>99.57</v>
      </c>
      <c r="ASK19">
        <f>SOFR3mo_PX[[#This Row],[Column1181]]</f>
        <v>99.57</v>
      </c>
      <c r="ASL19">
        <f>SOFR3mo_PX[[#This Row],[Column1182]]</f>
        <v>99.57</v>
      </c>
      <c r="ASM19">
        <f>SOFR3mo_PX[[#This Row],[Column1183]]</f>
        <v>99.545000000000002</v>
      </c>
      <c r="ASN19">
        <f>SOFR3mo_PX[[#This Row],[Column1184]]</f>
        <v>99.584999999999994</v>
      </c>
      <c r="ASO19">
        <f>SOFR3mo_PX[[#This Row],[Column1185]]</f>
        <v>99.69</v>
      </c>
      <c r="ASP19">
        <f>SOFR3mo_PX[[#This Row],[Column1186]]</f>
        <v>99.69</v>
      </c>
      <c r="ASQ19">
        <f>SOFR3mo_PX[[#This Row],[Column1187]]</f>
        <v>99.7</v>
      </c>
      <c r="ASR19">
        <f>SOFR3mo_PX[[#This Row],[Column1188]]</f>
        <v>99.715000000000003</v>
      </c>
      <c r="ASS19">
        <f>SOFR3mo_PX[[#This Row],[Column1189]]</f>
        <v>99.72</v>
      </c>
      <c r="AST19">
        <f>SOFR3mo_PX[[#This Row],[Column1190]]</f>
        <v>99.724999999999994</v>
      </c>
      <c r="ASU19">
        <f>SOFR3mo_PX[[#This Row],[Column1191]]</f>
        <v>99.75</v>
      </c>
      <c r="ASV19">
        <f>SOFR3mo_PX[[#This Row],[Column1192]]</f>
        <v>99.754999999999995</v>
      </c>
      <c r="ASW19">
        <f>SOFR3mo_PX[[#This Row],[Column1193]]</f>
        <v>99.75</v>
      </c>
      <c r="ASX19">
        <f>SOFR3mo_PX[[#This Row],[Column1194]]</f>
        <v>99.75</v>
      </c>
      <c r="ASY19">
        <f>SOFR3mo_PX[[#This Row],[Column1195]]</f>
        <v>99.745000000000005</v>
      </c>
      <c r="ASZ19">
        <f>SOFR3mo_PX[[#This Row],[Column1196]]</f>
        <v>99.74</v>
      </c>
      <c r="ATA19">
        <f>SOFR3mo_PX[[#This Row],[Column1197]]</f>
        <v>99.754999999999995</v>
      </c>
      <c r="ATB19">
        <f>SOFR3mo_PX[[#This Row],[Column1198]]</f>
        <v>99.75</v>
      </c>
      <c r="ATC19">
        <f>SOFR3mo_PX[[#This Row],[Column1199]]</f>
        <v>99.75</v>
      </c>
      <c r="ATD19">
        <f>SOFR3mo_PX[[#This Row],[Column1200]]</f>
        <v>99.754999999999995</v>
      </c>
      <c r="ATE19">
        <f>SOFR3mo_PX[[#This Row],[Column1201]]</f>
        <v>99.745000000000005</v>
      </c>
      <c r="ATF19">
        <f>SOFR3mo_PX[[#This Row],[Column1202]]</f>
        <v>99.745000000000005</v>
      </c>
      <c r="ATG19">
        <f>SOFR3mo_PX[[#This Row],[Column1203]]</f>
        <v>99.74</v>
      </c>
      <c r="ATH19">
        <f>SOFR3mo_PX[[#This Row],[Column1204]]</f>
        <v>99.72</v>
      </c>
      <c r="ATI19">
        <f>SOFR3mo_PX[[#This Row],[Column1205]]</f>
        <v>99.72</v>
      </c>
      <c r="ATJ19">
        <f>SOFR3mo_PX[[#This Row],[Column1206]]</f>
        <v>99.754999999999995</v>
      </c>
      <c r="ATK19">
        <f>SOFR3mo_PX[[#This Row],[Column1207]]</f>
        <v>99.8</v>
      </c>
      <c r="ATL19">
        <f>SOFR3mo_PX[[#This Row],[Column1208]]</f>
        <v>99.805000000000007</v>
      </c>
      <c r="ATM19">
        <f>SOFR3mo_PX[[#This Row],[Column1209]]</f>
        <v>99.825000000000003</v>
      </c>
      <c r="ATN19">
        <f>SOFR3mo_PX[[#This Row],[Column1210]]</f>
        <v>99.795000000000002</v>
      </c>
      <c r="ATO19">
        <f>SOFR3mo_PX[[#This Row],[Column1211]]</f>
        <v>99.805000000000007</v>
      </c>
      <c r="ATP19">
        <f>SOFR3mo_PX[[#This Row],[Column1212]]</f>
        <v>99.8</v>
      </c>
      <c r="ATQ19">
        <f>SOFR3mo_PX[[#This Row],[Column1213]]</f>
        <v>99.805000000000007</v>
      </c>
      <c r="ATR19">
        <f>SOFR3mo_PX[[#This Row],[Column1214]]</f>
        <v>99.814999999999998</v>
      </c>
      <c r="ATS19">
        <f>SOFR3mo_PX[[#This Row],[Column1215]]</f>
        <v>99.814999999999998</v>
      </c>
      <c r="ATT19">
        <f>SOFR3mo_PX[[#This Row],[Column1216]]</f>
        <v>99.81</v>
      </c>
      <c r="ATU19">
        <f>SOFR3mo_PX[[#This Row],[Column1217]]</f>
        <v>99.8</v>
      </c>
      <c r="ATV19">
        <f>SOFR3mo_PX[[#This Row],[Column1218]]</f>
        <v>99.79</v>
      </c>
      <c r="ATW19">
        <f>SOFR3mo_PX[[#This Row],[Column1219]]</f>
        <v>99.814999999999998</v>
      </c>
      <c r="ATX19">
        <f>SOFR3mo_PX[[#This Row],[Column1220]]</f>
        <v>99.814999999999998</v>
      </c>
      <c r="ATY19">
        <f>SOFR3mo_PX[[#This Row],[Column1221]]</f>
        <v>99.825000000000003</v>
      </c>
      <c r="ATZ19">
        <f>SOFR3mo_PX[[#This Row],[Column1222]]</f>
        <v>99.834999999999994</v>
      </c>
      <c r="AUA19">
        <f>SOFR3mo_PX[[#This Row],[Column1223]]</f>
        <v>99.83</v>
      </c>
      <c r="AUB19">
        <f>SOFR3mo_PX[[#This Row],[Column1224]]</f>
        <v>99.834999999999994</v>
      </c>
      <c r="AUC19">
        <f>SOFR3mo_PX[[#This Row],[Column1225]]</f>
        <v>99.83</v>
      </c>
      <c r="AUD19">
        <f>SOFR3mo_PX[[#This Row],[Column1226]]</f>
        <v>99.814999999999998</v>
      </c>
      <c r="AUE19">
        <f>SOFR3mo_PX[[#This Row],[Column1227]]</f>
        <v>99.81</v>
      </c>
      <c r="AUF19">
        <f>SOFR3mo_PX[[#This Row],[Column1228]]</f>
        <v>99.825000000000003</v>
      </c>
      <c r="AUG19">
        <f>SOFR3mo_PX[[#This Row],[Column1229]]</f>
        <v>99.82</v>
      </c>
      <c r="AUH19">
        <f>SOFR3mo_PX[[#This Row],[Column1230]]</f>
        <v>99.844999999999999</v>
      </c>
      <c r="AUI19">
        <f>SOFR3mo_PX[[#This Row],[Column1231]]</f>
        <v>99.844999999999999</v>
      </c>
      <c r="AUJ19">
        <f>SOFR3mo_PX[[#This Row],[Column1232]]</f>
        <v>99.894999999999996</v>
      </c>
      <c r="AUK19">
        <f>SOFR3mo_PX[[#This Row],[Column1233]]</f>
        <v>99.894999999999996</v>
      </c>
      <c r="AUL19">
        <f>SOFR3mo_PX[[#This Row],[Column1234]]</f>
        <v>99.894999999999996</v>
      </c>
      <c r="AUM19">
        <f>SOFR3mo_PX[[#This Row],[Column1235]]</f>
        <v>99.9</v>
      </c>
      <c r="AUN19">
        <f>SOFR3mo_PX[[#This Row],[Column1236]]</f>
        <v>99.9</v>
      </c>
      <c r="AUO19">
        <f>SOFR3mo_PX[[#This Row],[Column1237]]</f>
        <v>99.91</v>
      </c>
      <c r="AUP19">
        <f>SOFR3mo_PX[[#This Row],[Column1238]]</f>
        <v>99.91</v>
      </c>
      <c r="AUQ19">
        <f>SOFR3mo_PX[[#This Row],[Column1239]]</f>
        <v>99.915000000000006</v>
      </c>
      <c r="AUR19">
        <f>SOFR3mo_PX[[#This Row],[Column1240]]</f>
        <v>99.915000000000006</v>
      </c>
      <c r="AUS19">
        <f>SOFR3mo_PX[[#This Row],[Column1241]]</f>
        <v>99.905000000000001</v>
      </c>
      <c r="AUT19">
        <f>SOFR3mo_PX[[#This Row],[Column1242]]</f>
        <v>99.885000000000005</v>
      </c>
      <c r="AUU19">
        <f>SOFR3mo_PX[[#This Row],[Column1243]]</f>
        <v>99.9</v>
      </c>
      <c r="AUV19">
        <f>SOFR3mo_PX[[#This Row],[Column1244]]</f>
        <v>99.894999999999996</v>
      </c>
      <c r="AUW19">
        <f>SOFR3mo_PX[[#This Row],[Column1245]]</f>
        <v>99.935000000000002</v>
      </c>
      <c r="AUX19">
        <f>SOFR3mo_PX[[#This Row],[Column1246]]</f>
        <v>99.94</v>
      </c>
      <c r="AUY19">
        <f>SOFR3mo_PX[[#This Row],[Column1247]]</f>
        <v>99.93</v>
      </c>
      <c r="AUZ19">
        <f>SOFR3mo_PX[[#This Row],[Column1248]]</f>
        <v>99.905000000000001</v>
      </c>
      <c r="AVA19">
        <f>SOFR3mo_PX[[#This Row],[Column1249]]</f>
        <v>99.9</v>
      </c>
      <c r="AVB19">
        <f>SOFR3mo_PX[[#This Row],[Column1250]]</f>
        <v>99.905000000000001</v>
      </c>
      <c r="AVC19">
        <f>SOFR3mo_PX[[#This Row],[Column1251]]</f>
        <v>99.894999999999996</v>
      </c>
      <c r="AVD19">
        <f>SOFR3mo_PX[[#This Row],[Column1252]]</f>
        <v>99.894999999999996</v>
      </c>
      <c r="AVE19">
        <f>SOFR3mo_PX[[#This Row],[Column1253]]</f>
        <v>99.924999999999997</v>
      </c>
      <c r="AVF19">
        <f>SOFR3mo_PX[[#This Row],[Column1254]]</f>
        <v>99.915000000000006</v>
      </c>
      <c r="AVG19">
        <f>SOFR3mo_PX[[#This Row],[Column1255]]</f>
        <v>99.924999999999997</v>
      </c>
      <c r="AVH19">
        <f>SOFR3mo_PX[[#This Row],[Column1256]]</f>
        <v>99.92</v>
      </c>
      <c r="AVI19">
        <f>SOFR3mo_PX[[#This Row],[Column1257]]</f>
        <v>99.915000000000006</v>
      </c>
      <c r="AVJ19">
        <f>SOFR3mo_PX[[#This Row],[Column1258]]</f>
        <v>99.894999999999996</v>
      </c>
      <c r="AVK19">
        <f>SOFR3mo_PX[[#This Row],[Column1259]]</f>
        <v>99.905000000000001</v>
      </c>
      <c r="AVL19">
        <f>SOFR3mo_PX[[#This Row],[Column1260]]</f>
        <v>99.91</v>
      </c>
      <c r="AVM19">
        <f>SOFR3mo_PX[[#This Row],[Column1261]]</f>
        <v>99.92</v>
      </c>
      <c r="AVN19">
        <f>SOFR3mo_PX[[#This Row],[Column1262]]</f>
        <v>99.915000000000006</v>
      </c>
      <c r="AVO19">
        <f>SOFR3mo_PX[[#This Row],[Column1263]]</f>
        <v>99.924999999999997</v>
      </c>
      <c r="AVP19">
        <f>SOFR3mo_PX[[#This Row],[Column1264]]</f>
        <v>99.924999999999997</v>
      </c>
      <c r="AVQ19">
        <f>SOFR3mo_PX[[#This Row],[Column1265]]</f>
        <v>99.915000000000006</v>
      </c>
      <c r="AVR19">
        <f>SOFR3mo_PX[[#This Row],[Column1266]]</f>
        <v>99.9</v>
      </c>
      <c r="AVS19">
        <f>SOFR3mo_PX[[#This Row],[Column1267]]</f>
        <v>99.89</v>
      </c>
      <c r="AVT19">
        <f>SOFR3mo_PX[[#This Row],[Column1268]]</f>
        <v>99.89</v>
      </c>
      <c r="AVU19">
        <f>SOFR3mo_PX[[#This Row],[Column1269]]</f>
        <v>99.894999999999996</v>
      </c>
      <c r="AVV19">
        <f>SOFR3mo_PX[[#This Row],[Column1270]]</f>
        <v>99.894999999999996</v>
      </c>
      <c r="AVW19">
        <f>SOFR3mo_PX[[#This Row],[Column1271]]</f>
        <v>99.93</v>
      </c>
      <c r="AVX19">
        <f>SOFR3mo_PX[[#This Row],[Column1272]]</f>
        <v>99.94</v>
      </c>
      <c r="AVY19">
        <f>SOFR3mo_PX[[#This Row],[Column1273]]</f>
        <v>99.96</v>
      </c>
      <c r="AVZ19">
        <f>SOFR3mo_PX[[#This Row],[Column1274]]</f>
        <v>99.965000000000003</v>
      </c>
      <c r="AWA19">
        <f>SOFR3mo_PX[[#This Row],[Column1275]]</f>
        <v>99.974999999999994</v>
      </c>
      <c r="AWB19">
        <f>SOFR3mo_PX[[#This Row],[Column1276]]</f>
        <v>99.965000000000003</v>
      </c>
      <c r="AWC19">
        <f>SOFR3mo_PX[[#This Row],[Column1277]]</f>
        <v>99.96</v>
      </c>
      <c r="AWD19">
        <f>SOFR3mo_PX[[#This Row],[Column1278]]</f>
        <v>99.954999999999998</v>
      </c>
      <c r="AWE19">
        <f>SOFR3mo_PX[[#This Row],[Column1279]]</f>
        <v>99.935000000000002</v>
      </c>
      <c r="AWF19">
        <f>SOFR3mo_PX[[#This Row],[Column1280]]</f>
        <v>99.924999999999997</v>
      </c>
      <c r="AWG19">
        <f>SOFR3mo_PX[[#This Row],[Column1281]]</f>
        <v>99.92</v>
      </c>
      <c r="AWH19">
        <f>SOFR3mo_PX[[#This Row],[Column1282]]</f>
        <v>99.93</v>
      </c>
      <c r="AWI19">
        <f>SOFR3mo_PX[[#This Row],[Column1283]]</f>
        <v>99.935000000000002</v>
      </c>
      <c r="AWJ19">
        <f>SOFR3mo_PX[[#This Row],[Column1284]]</f>
        <v>99.935000000000002</v>
      </c>
      <c r="AWK19">
        <f>SOFR3mo_PX[[#This Row],[Column1285]]</f>
        <v>99.93</v>
      </c>
      <c r="AWL19">
        <f>SOFR3mo_PX[[#This Row],[Column1286]]</f>
        <v>99.93</v>
      </c>
      <c r="AWM19">
        <f>SOFR3mo_PX[[#This Row],[Column1287]]</f>
        <v>99.924999999999997</v>
      </c>
      <c r="AWN19">
        <f>SOFR3mo_PX[[#This Row],[Column1288]]</f>
        <v>99.924999999999997</v>
      </c>
      <c r="AWO19">
        <f>SOFR3mo_PX[[#This Row],[Column1289]]</f>
        <v>99.92</v>
      </c>
      <c r="AWP19">
        <f>SOFR3mo_PX[[#This Row],[Column1290]]</f>
        <v>99.93</v>
      </c>
      <c r="AWQ19">
        <f>SOFR3mo_PX[[#This Row],[Column1291]]</f>
        <v>99.93</v>
      </c>
      <c r="AWR19">
        <f>SOFR3mo_PX[[#This Row],[Column1292]]</f>
        <v>99.944999999999993</v>
      </c>
      <c r="AWS19">
        <f>SOFR3mo_PX[[#This Row],[Column1293]]</f>
        <v>99.96</v>
      </c>
      <c r="AWT19">
        <f>SOFR3mo_PX[[#This Row],[Column1294]]</f>
        <v>99.944999999999993</v>
      </c>
      <c r="AWU19">
        <f>SOFR3mo_PX[[#This Row],[Column1295]]</f>
        <v>99.94</v>
      </c>
      <c r="AWV19">
        <f>SOFR3mo_PX[[#This Row],[Column1296]]</f>
        <v>99.935000000000002</v>
      </c>
      <c r="AWW19">
        <f>SOFR3mo_PX[[#This Row],[Column1297]]</f>
        <v>99.935000000000002</v>
      </c>
      <c r="AWX19">
        <f>SOFR3mo_PX[[#This Row],[Column1298]]</f>
        <v>99.935000000000002</v>
      </c>
      <c r="AWY19">
        <f>SOFR3mo_PX[[#This Row],[Column1299]]</f>
        <v>99.924999999999997</v>
      </c>
      <c r="AWZ19">
        <f>SOFR3mo_PX[[#This Row],[Column1300]]</f>
        <v>99.944999999999993</v>
      </c>
      <c r="AXA19">
        <f>SOFR3mo_PX[[#This Row],[Column1301]]</f>
        <v>99.944999999999993</v>
      </c>
      <c r="AXB19">
        <f>SOFR3mo_PX[[#This Row],[Column1302]]</f>
        <v>99.935000000000002</v>
      </c>
      <c r="AXC19">
        <f>SOFR3mo_PX[[#This Row],[Column1303]]</f>
        <v>99.915000000000006</v>
      </c>
      <c r="AXD19">
        <f>SOFR3mo_PX[[#This Row],[Column1304]]</f>
        <v>99.915000000000006</v>
      </c>
      <c r="AXE19">
        <f>SOFR3mo_PX[[#This Row],[Column1305]]</f>
        <v>99.915000000000006</v>
      </c>
      <c r="AXF19">
        <f>SOFR3mo_PX[[#This Row],[Column1306]]</f>
        <v>99.91</v>
      </c>
      <c r="AXG19">
        <f>SOFR3mo_PX[[#This Row],[Column1307]]</f>
        <v>99.9</v>
      </c>
      <c r="AXH19">
        <f>SOFR3mo_PX[[#This Row],[Column1308]]</f>
        <v>99.88</v>
      </c>
      <c r="AXI19">
        <f>SOFR3mo_PX[[#This Row],[Column1309]]</f>
        <v>99.875</v>
      </c>
      <c r="AXJ19">
        <f>SOFR3mo_PX[[#This Row],[Column1310]]</f>
        <v>99.86</v>
      </c>
      <c r="AXK19">
        <f>SOFR3mo_PX[[#This Row],[Column1311]]</f>
        <v>99.875</v>
      </c>
      <c r="AXL19">
        <f>SOFR3mo_PX[[#This Row],[Column1312]]</f>
        <v>99.864999999999995</v>
      </c>
      <c r="AXM19">
        <f>SOFR3mo_PX[[#This Row],[Column1313]]</f>
        <v>99.875</v>
      </c>
      <c r="AXN19">
        <f>SOFR3mo_PX[[#This Row],[Column1314]]</f>
        <v>99.85</v>
      </c>
      <c r="AXO19">
        <f>SOFR3mo_PX[[#This Row],[Column1315]]</f>
        <v>99.8</v>
      </c>
      <c r="AXP19">
        <f>SOFR3mo_PX[[#This Row],[Column1316]]</f>
        <v>99.765000000000001</v>
      </c>
      <c r="AXQ19">
        <f>SOFR3mo_PX[[#This Row],[Column1317]]</f>
        <v>99.76</v>
      </c>
      <c r="AXR19">
        <f>SOFR3mo_PX[[#This Row],[Column1318]]</f>
        <v>99.825000000000003</v>
      </c>
      <c r="AXS19">
        <f>SOFR3mo_PX[[#This Row],[Column1319]]</f>
        <v>99.84</v>
      </c>
      <c r="AXT19">
        <f>SOFR3mo_PX[[#This Row],[Column1320]]</f>
        <v>99.875</v>
      </c>
      <c r="AXU19">
        <f>SOFR3mo_PX[[#This Row],[Column1321]]</f>
        <v>99.88</v>
      </c>
      <c r="AXV19">
        <f>SOFR3mo_PX[[#This Row],[Column1322]]</f>
        <v>99.87</v>
      </c>
      <c r="AXW19">
        <f>SOFR3mo_PX[[#This Row],[Column1323]]</f>
        <v>99.85</v>
      </c>
      <c r="AXX19">
        <f>SOFR3mo_PX[[#This Row],[Column1324]]</f>
        <v>99.855000000000004</v>
      </c>
      <c r="AXY19">
        <f>SOFR3mo_PX[[#This Row],[Column1325]]</f>
        <v>99.86</v>
      </c>
      <c r="AXZ19">
        <f>SOFR3mo_PX[[#This Row],[Column1326]]</f>
        <v>99.864999999999995</v>
      </c>
      <c r="AYA19">
        <f>SOFR3mo_PX[[#This Row],[Column1327]]</f>
        <v>99.864999999999995</v>
      </c>
      <c r="AYB19">
        <f>SOFR3mo_PX[[#This Row],[Column1328]]</f>
        <v>99.86</v>
      </c>
      <c r="AYC19">
        <f>SOFR3mo_PX[[#This Row],[Column1329]]</f>
        <v>99.86</v>
      </c>
      <c r="AYD19">
        <f>SOFR3mo_PX[[#This Row],[Column1330]]</f>
        <v>99.864999999999995</v>
      </c>
      <c r="AYE19">
        <f>SOFR3mo_PX[[#This Row],[Column1331]]</f>
        <v>99.864999999999995</v>
      </c>
      <c r="AYF19">
        <f>SOFR3mo_PX[[#This Row],[Column1332]]</f>
        <v>99.91</v>
      </c>
      <c r="AYG19">
        <f>SOFR3mo_PX[[#This Row],[Column1333]]</f>
        <v>99.885000000000005</v>
      </c>
      <c r="AYH19">
        <f>SOFR3mo_PX[[#This Row],[Column1334]]</f>
        <v>99.875</v>
      </c>
      <c r="AYI19">
        <f>SOFR3mo_PX[[#This Row],[Column1335]]</f>
        <v>99.855000000000004</v>
      </c>
      <c r="AYJ19">
        <f>SOFR3mo_PX[[#This Row],[Column1336]]</f>
        <v>99.855000000000004</v>
      </c>
      <c r="AYK19">
        <f>SOFR3mo_PX[[#This Row],[Column1337]]</f>
        <v>99.875</v>
      </c>
      <c r="AYL19">
        <f>SOFR3mo_PX[[#This Row],[Column1338]]</f>
        <v>99.885000000000005</v>
      </c>
      <c r="AYM19">
        <f>SOFR3mo_PX[[#This Row],[Column1339]]</f>
        <v>99.83</v>
      </c>
      <c r="AYN19">
        <f>SOFR3mo_PX[[#This Row],[Column1340]]</f>
        <v>99.814999999999998</v>
      </c>
      <c r="AYO19">
        <f>SOFR3mo_PX[[#This Row],[Column1341]]</f>
        <v>99.82</v>
      </c>
      <c r="AYP19">
        <f>SOFR3mo_PX[[#This Row],[Column1342]]</f>
        <v>99.805000000000007</v>
      </c>
      <c r="AYQ19">
        <f>SOFR3mo_PX[[#This Row],[Column1343]]</f>
        <v>99.81</v>
      </c>
      <c r="AYR19">
        <f>SOFR3mo_PX[[#This Row],[Column1344]]</f>
        <v>99.8</v>
      </c>
      <c r="AYS19">
        <f>SOFR3mo_PX[[#This Row],[Column1345]]</f>
        <v>99.784999999999997</v>
      </c>
      <c r="AYT19">
        <f>SOFR3mo_PX[[#This Row],[Column1346]]</f>
        <v>99.78</v>
      </c>
      <c r="AYU19">
        <f>SOFR3mo_PX[[#This Row],[Column1347]]</f>
        <v>99.79</v>
      </c>
      <c r="AYV19">
        <f>SOFR3mo_PX[[#This Row],[Column1348]]</f>
        <v>99.79</v>
      </c>
      <c r="AYW19">
        <f>SOFR3mo_PX[[#This Row],[Column1349]]</f>
        <v>99.784999999999997</v>
      </c>
      <c r="AYX19">
        <f>SOFR3mo_PX[[#This Row],[Column1350]]</f>
        <v>99.795000000000002</v>
      </c>
      <c r="AYY19">
        <f>SOFR3mo_PX[[#This Row],[Column1351]]</f>
        <v>99.775000000000006</v>
      </c>
      <c r="AYZ19">
        <f>SOFR3mo_PX[[#This Row],[Column1352]]</f>
        <v>99.765000000000001</v>
      </c>
      <c r="AZA19">
        <f>SOFR3mo_PX[[#This Row],[Column1353]]</f>
        <v>99.75</v>
      </c>
      <c r="AZB19">
        <f>SOFR3mo_PX[[#This Row],[Column1354]]</f>
        <v>99.74</v>
      </c>
      <c r="AZC19">
        <f>SOFR3mo_PX[[#This Row],[Column1355]]</f>
        <v>99.71</v>
      </c>
      <c r="AZD19">
        <f>SOFR3mo_PX[[#This Row],[Column1356]]</f>
        <v>99.694999999999993</v>
      </c>
      <c r="AZE19">
        <f>SOFR3mo_PX[[#This Row],[Column1357]]</f>
        <v>99.704999999999998</v>
      </c>
      <c r="AZF19">
        <f>SOFR3mo_PX[[#This Row],[Column1358]]</f>
        <v>99.704999999999998</v>
      </c>
      <c r="AZG19">
        <f>SOFR3mo_PX[[#This Row],[Column1359]]</f>
        <v>99.685000000000002</v>
      </c>
      <c r="AZH19">
        <f>SOFR3mo_PX[[#This Row],[Column1360]]</f>
        <v>99.67</v>
      </c>
      <c r="AZI19">
        <f>SOFR3mo_PX[[#This Row],[Column1361]]</f>
        <v>99.715000000000003</v>
      </c>
      <c r="AZJ19">
        <f>SOFR3mo_PX[[#This Row],[Column1362]]</f>
        <v>99.775000000000006</v>
      </c>
      <c r="AZK19">
        <f>SOFR3mo_PX[[#This Row],[Column1363]]</f>
        <v>99.77</v>
      </c>
      <c r="AZL19">
        <f>SOFR3mo_PX[[#This Row],[Column1364]]</f>
        <v>99.784999999999997</v>
      </c>
      <c r="AZM19">
        <f>SOFR3mo_PX[[#This Row],[Column1365]]</f>
        <v>99.76</v>
      </c>
      <c r="AZN19">
        <f>SOFR3mo_PX[[#This Row],[Column1366]]</f>
        <v>99.79</v>
      </c>
      <c r="AZO19">
        <f>SOFR3mo_PX[[#This Row],[Column1367]]</f>
        <v>99.745000000000005</v>
      </c>
      <c r="AZP19">
        <f>SOFR3mo_PX[[#This Row],[Column1368]]</f>
        <v>99.724999999999994</v>
      </c>
      <c r="AZQ19">
        <f>SOFR3mo_PX[[#This Row],[Column1369]]</f>
        <v>99.694999999999993</v>
      </c>
      <c r="AZR19">
        <f>SOFR3mo_PX[[#This Row],[Column1370]]</f>
        <v>99.69</v>
      </c>
      <c r="AZS19">
        <f>SOFR3mo_PX[[#This Row],[Column1371]]</f>
        <v>99.75</v>
      </c>
      <c r="AZT19">
        <f>SOFR3mo_PX[[#This Row],[Column1372]]</f>
        <v>99.67</v>
      </c>
      <c r="AZU19">
        <f>SOFR3mo_PX[[#This Row],[Column1373]]</f>
        <v>99.61</v>
      </c>
      <c r="AZV19">
        <f>SOFR3mo_PX[[#This Row],[Column1374]]</f>
        <v>99.504999999999995</v>
      </c>
      <c r="AZW19">
        <f>SOFR3mo_PX[[#This Row],[Column1375]]</f>
        <v>99.614999999999995</v>
      </c>
      <c r="AZX19">
        <f>SOFR3mo_PX[[#This Row],[Column1376]]</f>
        <v>99.665000000000006</v>
      </c>
      <c r="AZY19">
        <f>SOFR3mo_PX[[#This Row],[Column1377]]</f>
        <v>99.59</v>
      </c>
      <c r="AZZ19">
        <f>SOFR3mo_PX[[#This Row],[Column1378]]</f>
        <v>99.63</v>
      </c>
      <c r="BAA19">
        <f>SOFR3mo_PX[[#This Row],[Column1379]]</f>
        <v>99.56</v>
      </c>
      <c r="BAB19">
        <f>SOFR3mo_PX[[#This Row],[Column1380]]</f>
        <v>99.55</v>
      </c>
      <c r="BAC19">
        <f>SOFR3mo_PX[[#This Row],[Column1381]]</f>
        <v>99.67</v>
      </c>
      <c r="BAD19">
        <f>SOFR3mo_PX[[#This Row],[Column1382]]</f>
        <v>99.594999999999999</v>
      </c>
      <c r="BAE19">
        <f>SOFR3mo_PX[[#This Row],[Column1383]]</f>
        <v>99.51</v>
      </c>
      <c r="BAF19">
        <f>SOFR3mo_PX[[#This Row],[Column1384]]</f>
        <v>99.46</v>
      </c>
      <c r="BAG19">
        <f>SOFR3mo_PX[[#This Row],[Column1385]]</f>
        <v>99.4</v>
      </c>
      <c r="BAH19">
        <f>SOFR3mo_PX[[#This Row],[Column1386]]</f>
        <v>99.33</v>
      </c>
      <c r="BAI19">
        <f>SOFR3mo_PX[[#This Row],[Column1387]]</f>
        <v>99.33</v>
      </c>
      <c r="BAJ19">
        <f>SOFR3mo_PX[[#This Row],[Column1388]]</f>
        <v>99.13</v>
      </c>
      <c r="BAK19">
        <f>SOFR3mo_PX[[#This Row],[Column1389]]</f>
        <v>99.075000000000003</v>
      </c>
      <c r="BAL19">
        <f>SOFR3mo_PX[[#This Row],[Column1390]]</f>
        <v>99.084999999999994</v>
      </c>
      <c r="BAM19">
        <f>SOFR3mo_PX[[#This Row],[Column1391]]</f>
        <v>99.03</v>
      </c>
      <c r="BAN19">
        <f>SOFR3mo_PX[[#This Row],[Column1392]]</f>
        <v>98.92</v>
      </c>
      <c r="BAO19">
        <f>SOFR3mo_PX[[#This Row],[Column1393]]</f>
        <v>98.855000000000004</v>
      </c>
      <c r="BAP19">
        <f>SOFR3mo_PX[[#This Row],[Column1394]]</f>
        <v>98.81</v>
      </c>
      <c r="BAQ19">
        <f>SOFR3mo_PX[[#This Row],[Column1395]]</f>
        <v>98.834999999999994</v>
      </c>
      <c r="BAR19">
        <f>SOFR3mo_PX[[#This Row],[Column1396]]</f>
        <v>98.805000000000007</v>
      </c>
      <c r="BAS19">
        <f>SOFR3mo_PX[[#This Row],[Column1397]]</f>
        <v>98.805000000000007</v>
      </c>
      <c r="BAT19">
        <f>SOFR3mo_PX[[#This Row],[Column1398]]</f>
        <v>98.77</v>
      </c>
      <c r="BAU19">
        <f>SOFR3mo_PX[[#This Row],[Column1399]]</f>
        <v>98.77</v>
      </c>
      <c r="BAV19">
        <f>SOFR3mo_PX[[#This Row],[Column1400]]</f>
        <v>98.81</v>
      </c>
      <c r="BAW19">
        <f>SOFR3mo_PX[[#This Row],[Column1401]]</f>
        <v>98.84</v>
      </c>
      <c r="BAX19">
        <f>SOFR3mo_PX[[#This Row],[Column1402]]</f>
        <v>98.805000000000007</v>
      </c>
      <c r="BAY19">
        <f>SOFR3mo_PX[[#This Row],[Column1403]]</f>
        <v>98.75</v>
      </c>
      <c r="BAZ19">
        <f>SOFR3mo_PX[[#This Row],[Column1404]]</f>
        <v>98.77</v>
      </c>
      <c r="BBA19">
        <f>SOFR3mo_PX[[#This Row],[Column1405]]</f>
        <v>98.81</v>
      </c>
      <c r="BBB19">
        <f>SOFR3mo_PX[[#This Row],[Column1406]]</f>
        <v>98.894999999999996</v>
      </c>
      <c r="BBC19">
        <f>SOFR3mo_PX[[#This Row],[Column1407]]</f>
        <v>98.91</v>
      </c>
      <c r="BBD19">
        <f>SOFR3mo_PX[[#This Row],[Column1408]]</f>
        <v>98.855000000000004</v>
      </c>
      <c r="BBE19">
        <f>SOFR3mo_PX[[#This Row],[Column1409]]</f>
        <v>98.81</v>
      </c>
      <c r="BBF19">
        <f>SOFR3mo_PX[[#This Row],[Column1410]]</f>
        <v>98.76</v>
      </c>
      <c r="BBG19">
        <f>SOFR3mo_PX[[#This Row],[Column1411]]</f>
        <v>98.795000000000002</v>
      </c>
      <c r="BBH19">
        <f>SOFR3mo_PX[[#This Row],[Column1412]]</f>
        <v>98.71</v>
      </c>
      <c r="BBI19">
        <f>SOFR3mo_PX[[#This Row],[Column1413]]</f>
        <v>98.655000000000001</v>
      </c>
      <c r="BBJ19">
        <f>SOFR3mo_PX[[#This Row],[Column1414]]</f>
        <v>98.635000000000005</v>
      </c>
      <c r="BBK19">
        <f>SOFR3mo_PX[[#This Row],[Column1415]]</f>
        <v>98.62</v>
      </c>
      <c r="BBL19">
        <f>SOFR3mo_PX[[#This Row],[Column1416]]</f>
        <v>98.564999999999998</v>
      </c>
      <c r="BBM19">
        <f>SOFR3mo_PX[[#This Row],[Column1417]]</f>
        <v>98.564999999999998</v>
      </c>
      <c r="BBN19">
        <f>SOFR3mo_PX[[#This Row],[Column1418]]</f>
        <v>98.58</v>
      </c>
      <c r="BBO19">
        <f>SOFR3mo_PX[[#This Row],[Column1419]]</f>
        <v>98.59</v>
      </c>
      <c r="BBP19">
        <f>SOFR3mo_PX[[#This Row],[Column1420]]</f>
        <v>98.58</v>
      </c>
      <c r="BBQ19">
        <f>SOFR3mo_PX[[#This Row],[Column1421]]</f>
        <v>98.564999999999998</v>
      </c>
      <c r="BBR19">
        <f>SOFR3mo_PX[[#This Row],[Column1422]]</f>
        <v>98.57</v>
      </c>
      <c r="BBS19">
        <f>SOFR3mo_PX[[#This Row],[Column1423]]</f>
        <v>98.555000000000007</v>
      </c>
      <c r="BBT19">
        <f>SOFR3mo_PX[[#This Row],[Column1424]]</f>
        <v>98.55</v>
      </c>
      <c r="BBU19">
        <f>SOFR3mo_PX[[#This Row],[Column1425]]</f>
        <v>98.594999999999999</v>
      </c>
      <c r="BBV19">
        <f>SOFR3mo_PX[[#This Row],[Column1426]]</f>
        <v>98.605000000000004</v>
      </c>
      <c r="BBW19">
        <f>SOFR3mo_PX[[#This Row],[Column1427]]</f>
        <v>98.61</v>
      </c>
      <c r="BBX19">
        <f>SOFR3mo_PX[[#This Row],[Column1428]]</f>
        <v>98.52</v>
      </c>
      <c r="BBY19">
        <f>SOFR3mo_PX[[#This Row],[Column1429]]</f>
        <v>98.51</v>
      </c>
      <c r="BBZ19">
        <f>SOFR3mo_PX[[#This Row],[Column1430]]</f>
        <v>98.51</v>
      </c>
      <c r="BCA19">
        <f>SOFR3mo_PX[[#This Row],[Column1431]]</f>
        <v>98.515000000000001</v>
      </c>
      <c r="BCB19">
        <f>SOFR3mo_PX[[#This Row],[Column1432]]</f>
        <v>98.515000000000001</v>
      </c>
      <c r="BCC19">
        <f>SOFR3mo_PX[[#This Row],[Column1433]]</f>
        <v>98.474999999999994</v>
      </c>
      <c r="BCD19">
        <f>SOFR3mo_PX[[#This Row],[Column1434]]</f>
        <v>98.474999999999994</v>
      </c>
      <c r="BCE19">
        <f>SOFR3mo_PX[[#This Row],[Column1435]]</f>
        <v>98.474999999999994</v>
      </c>
      <c r="BCF19">
        <f>SOFR3mo_PX[[#This Row],[Column1436]]</f>
        <v>98.454999999999998</v>
      </c>
      <c r="BCG19">
        <f>SOFR3mo_PX[[#This Row],[Column1437]]</f>
        <v>98.495000000000005</v>
      </c>
      <c r="BCH19">
        <f>SOFR3mo_PX[[#This Row],[Column1438]]</f>
        <v>98.51</v>
      </c>
      <c r="BCI19">
        <f>SOFR3mo_PX[[#This Row],[Column1439]]</f>
        <v>98.49</v>
      </c>
      <c r="BCJ19">
        <f>SOFR3mo_PX[[#This Row],[Column1440]]</f>
        <v>98.515000000000001</v>
      </c>
      <c r="BCK19">
        <f>SOFR3mo_PX[[#This Row],[Column1441]]</f>
        <v>98.525000000000006</v>
      </c>
      <c r="BCL19">
        <f>SOFR3mo_PX[[#This Row],[Column1442]]</f>
        <v>98.6</v>
      </c>
      <c r="BCM19">
        <f>SOFR3mo_PX[[#This Row],[Column1443]]</f>
        <v>98.52</v>
      </c>
      <c r="BCN19">
        <f>SOFR3mo_PX[[#This Row],[Column1444]]</f>
        <v>98.605000000000004</v>
      </c>
      <c r="BCO19">
        <f>SOFR3mo_PX[[#This Row],[Column1445]]</f>
        <v>98.564999999999998</v>
      </c>
      <c r="BCP19">
        <f>SOFR3mo_PX[[#This Row],[Column1446]]</f>
        <v>98.58</v>
      </c>
      <c r="BCQ19">
        <f>SOFR3mo_PX[[#This Row],[Column1447]]</f>
        <v>98.59</v>
      </c>
      <c r="BCR19">
        <f>SOFR3mo_PX[[#This Row],[Column1448]]</f>
        <v>98.65</v>
      </c>
      <c r="BCS19">
        <f>SOFR3mo_PX[[#This Row],[Column1449]]</f>
        <v>98.665000000000006</v>
      </c>
      <c r="BCT19">
        <f>SOFR3mo_PX[[#This Row],[Column1450]]</f>
        <v>98.74</v>
      </c>
      <c r="BCU19">
        <f>SOFR3mo_PX[[#This Row],[Column1451]]</f>
        <v>98.62</v>
      </c>
      <c r="BCV19">
        <f>SOFR3mo_PX[[#This Row],[Column1452]]</f>
        <v>98.655000000000001</v>
      </c>
      <c r="BCW19">
        <f>SOFR3mo_PX[[#This Row],[Column1453]]</f>
        <v>98.644999999999996</v>
      </c>
      <c r="BCX19">
        <f>SOFR3mo_PX[[#This Row],[Column1454]]</f>
        <v>98.644999999999996</v>
      </c>
      <c r="BCY19">
        <f>SOFR3mo_PX[[#This Row],[Column1455]]</f>
        <v>98.685000000000002</v>
      </c>
      <c r="BCZ19">
        <f>SOFR3mo_PX[[#This Row],[Column1456]]</f>
        <v>98.674999999999997</v>
      </c>
      <c r="BDA19">
        <f>SOFR3mo_PX[[#This Row],[Column1457]]</f>
        <v>98.66</v>
      </c>
      <c r="BDB19">
        <f>SOFR3mo_PX[[#This Row],[Column1458]]</f>
        <v>98.68</v>
      </c>
      <c r="BDC19">
        <f>SOFR3mo_PX[[#This Row],[Column1459]]</f>
        <v>98.71</v>
      </c>
      <c r="BDD19">
        <f>SOFR3mo_PX[[#This Row],[Column1460]]</f>
        <v>98.674999999999997</v>
      </c>
      <c r="BDE19">
        <f>SOFR3mo_PX[[#This Row],[Column1461]]</f>
        <v>98.65</v>
      </c>
      <c r="BDF19">
        <f>SOFR3mo_PX[[#This Row],[Column1462]]</f>
        <v>98.625</v>
      </c>
      <c r="BDG19">
        <f>SOFR3mo_PX[[#This Row],[Column1463]]</f>
        <v>98.635000000000005</v>
      </c>
      <c r="BDH19">
        <f>SOFR3mo_PX[[#This Row],[Column1464]]</f>
        <v>98.584999999999994</v>
      </c>
      <c r="BDI19">
        <f>SOFR3mo_PX[[#This Row],[Column1465]]</f>
        <v>98.534999999999997</v>
      </c>
      <c r="BDJ19">
        <f>SOFR3mo_PX[[#This Row],[Column1466]]</f>
        <v>98.504999999999995</v>
      </c>
      <c r="BDK19">
        <f>SOFR3mo_PX[[#This Row],[Column1467]]</f>
        <v>98.515000000000001</v>
      </c>
      <c r="BDL19">
        <f>SOFR3mo_PX[[#This Row],[Column1468]]</f>
        <v>98.5</v>
      </c>
      <c r="BDM19">
        <f>SOFR3mo_PX[[#This Row],[Column1469]]</f>
        <v>98.61</v>
      </c>
      <c r="BDN19">
        <f>SOFR3mo_PX[[#This Row],[Column1470]]</f>
        <v>98.584999999999994</v>
      </c>
      <c r="BDO19">
        <f>SOFR3mo_PX[[#This Row],[Column1471]]</f>
        <v>98.644999999999996</v>
      </c>
      <c r="BDP19">
        <f>SOFR3mo_PX[[#This Row],[Column1472]]</f>
        <v>98.694999999999993</v>
      </c>
      <c r="BDQ19">
        <f>SOFR3mo_PX[[#This Row],[Column1473]]</f>
        <v>98.765000000000001</v>
      </c>
      <c r="BDR19">
        <f>SOFR3mo_PX[[#This Row],[Column1474]]</f>
        <v>98.64</v>
      </c>
      <c r="BDS19">
        <f>SOFR3mo_PX[[#This Row],[Column1475]]</f>
        <v>98.62</v>
      </c>
      <c r="BDT19">
        <f>SOFR3mo_PX[[#This Row],[Column1476]]</f>
        <v>98.625</v>
      </c>
      <c r="BDU19">
        <f>SOFR3mo_PX[[#This Row],[Column1477]]</f>
        <v>98.655000000000001</v>
      </c>
      <c r="BDV19">
        <f>SOFR3mo_PX[[#This Row],[Column1478]]</f>
        <v>98.7</v>
      </c>
      <c r="BDW19">
        <f>SOFR3mo_PX[[#This Row],[Column1479]]</f>
        <v>98.71</v>
      </c>
      <c r="BDX19">
        <f>SOFR3mo_PX[[#This Row],[Column1480]]</f>
        <v>98.69</v>
      </c>
      <c r="BDY19">
        <f>SOFR3mo_PX[[#This Row],[Column1481]]</f>
        <v>98.665000000000006</v>
      </c>
      <c r="BDZ19">
        <f>SOFR3mo_PX[[#This Row],[Column1482]]</f>
        <v>98.704999999999998</v>
      </c>
      <c r="BEA19">
        <f>SOFR3mo_PX[[#This Row],[Column1483]]</f>
        <v>98.68</v>
      </c>
      <c r="BEB19">
        <f>SOFR3mo_PX[[#This Row],[Column1484]]</f>
        <v>98.704999999999998</v>
      </c>
      <c r="BEC19">
        <f>SOFR3mo_PX[[#This Row],[Column1485]]</f>
        <v>98.665000000000006</v>
      </c>
      <c r="BED19">
        <f>SOFR3mo_PX[[#This Row],[Column1486]]</f>
        <v>98.72</v>
      </c>
      <c r="BEE19">
        <f>SOFR3mo_PX[[#This Row],[Column1487]]</f>
        <v>98.7</v>
      </c>
      <c r="BEF19">
        <f>SOFR3mo_PX[[#This Row],[Column1488]]</f>
        <v>98.83</v>
      </c>
      <c r="BEG19">
        <f>SOFR3mo_PX[[#This Row],[Column1489]]</f>
        <v>98.894999999999996</v>
      </c>
      <c r="BEH19">
        <f>SOFR3mo_PX[[#This Row],[Column1490]]</f>
        <v>98.95</v>
      </c>
      <c r="BEI19">
        <f>SOFR3mo_PX[[#This Row],[Column1491]]</f>
        <v>98.94</v>
      </c>
      <c r="BEJ19">
        <f>SOFR3mo_PX[[#This Row],[Column1492]]</f>
        <v>99.01</v>
      </c>
      <c r="BEK19">
        <f>SOFR3mo_PX[[#This Row],[Column1493]]</f>
        <v>99.02</v>
      </c>
      <c r="BEL19">
        <f>SOFR3mo_PX[[#This Row],[Column1494]]</f>
        <v>98.92</v>
      </c>
      <c r="BEM19">
        <f>SOFR3mo_PX[[#This Row],[Column1495]]</f>
        <v>98.844999999999999</v>
      </c>
      <c r="BEN19">
        <f>SOFR3mo_PX[[#This Row],[Column1496]]</f>
        <v>98.775000000000006</v>
      </c>
      <c r="BEO19">
        <f>SOFR3mo_PX[[#This Row],[Column1497]]</f>
        <v>98.784999999999997</v>
      </c>
      <c r="BEP19">
        <f>SOFR3mo_PX[[#This Row],[Column1498]]</f>
        <v>98.775000000000006</v>
      </c>
      <c r="BEQ19">
        <f>SOFR3mo_PX[[#This Row],[Column1499]]</f>
        <v>98.76</v>
      </c>
      <c r="BER19">
        <f>SOFR3mo_PX[[#This Row],[Column1500]]</f>
        <v>98.86</v>
      </c>
      <c r="BES19">
        <f>SOFR3mo_PX[[#This Row],[Column1501]]</f>
        <v>98.765000000000001</v>
      </c>
      <c r="BET19">
        <f>SOFR3mo_PX[[#This Row],[Column1502]]</f>
        <v>98.724999999999994</v>
      </c>
      <c r="BEU19">
        <f>SOFR3mo_PX[[#This Row],[Column1503]]</f>
        <v>98.74</v>
      </c>
      <c r="BEV19">
        <f>SOFR3mo_PX[[#This Row],[Column1504]]</f>
        <v>98.704999999999998</v>
      </c>
      <c r="BEW19">
        <f>SOFR3mo_PX[[#This Row],[Column1505]]</f>
        <v>98.715000000000003</v>
      </c>
      <c r="BEX19">
        <f>SOFR3mo_PX[[#This Row],[Column1506]]</f>
        <v>98.674999999999997</v>
      </c>
      <c r="BEY19">
        <f>SOFR3mo_PX[[#This Row],[Column1507]]</f>
        <v>98.614999999999995</v>
      </c>
      <c r="BEZ19">
        <f>SOFR3mo_PX[[#This Row],[Column1508]]</f>
        <v>98.71</v>
      </c>
      <c r="BFA19">
        <f>SOFR3mo_PX[[#This Row],[Column1509]]</f>
        <v>98.795000000000002</v>
      </c>
      <c r="BFB19">
        <f>SOFR3mo_PX[[#This Row],[Column1510]]</f>
        <v>98.82</v>
      </c>
      <c r="BFC19">
        <f>SOFR3mo_PX[[#This Row],[Column1511]]</f>
        <v>98.92</v>
      </c>
      <c r="BFD19">
        <f>SOFR3mo_PX[[#This Row],[Column1512]]</f>
        <v>98.995000000000005</v>
      </c>
      <c r="BFE19">
        <f>SOFR3mo_PX[[#This Row],[Column1513]]</f>
        <v>99</v>
      </c>
      <c r="BFF19">
        <f>SOFR3mo_PX[[#This Row],[Column1514]]</f>
        <v>99.13</v>
      </c>
      <c r="BFG19">
        <f>SOFR3mo_PX[[#This Row],[Column1515]]</f>
        <v>99.09</v>
      </c>
      <c r="BFH19">
        <f>SOFR3mo_PX[[#This Row],[Column1516]]</f>
        <v>99.01</v>
      </c>
      <c r="BFI19">
        <f>SOFR3mo_PX[[#This Row],[Column1517]]</f>
        <v>99.01</v>
      </c>
      <c r="BFJ19">
        <f>SOFR3mo_PX[[#This Row],[Column1518]]</f>
        <v>98.984999999999999</v>
      </c>
      <c r="BFK19">
        <f>SOFR3mo_PX[[#This Row],[Column1519]]</f>
        <v>99.025000000000006</v>
      </c>
      <c r="BFL19">
        <f>SOFR3mo_PX[[#This Row],[Column1520]]</f>
        <v>98.98</v>
      </c>
      <c r="BFM19">
        <f>SOFR3mo_PX[[#This Row],[Column1521]]</f>
        <v>98.935000000000002</v>
      </c>
      <c r="BFN19">
        <f>SOFR3mo_PX[[#This Row],[Column1522]]</f>
        <v>98.96</v>
      </c>
      <c r="BFO19">
        <f>SOFR3mo_PX[[#This Row],[Column1523]]</f>
        <v>98.855000000000004</v>
      </c>
      <c r="BFP19">
        <f>SOFR3mo_PX[[#This Row],[Column1524]]</f>
        <v>98.885000000000005</v>
      </c>
      <c r="BFQ19">
        <f>SOFR3mo_PX[[#This Row],[Column1525]]</f>
        <v>98.92</v>
      </c>
      <c r="BFR19">
        <f>SOFR3mo_PX[[#This Row],[Column1526]]</f>
        <v>98.88</v>
      </c>
      <c r="BFS19">
        <f>SOFR3mo_PX[[#This Row],[Column1527]]</f>
        <v>98.94</v>
      </c>
      <c r="BFT19">
        <f>SOFR3mo_PX[[#This Row],[Column1528]]</f>
        <v>98.935000000000002</v>
      </c>
      <c r="BFU19">
        <f>SOFR3mo_PX[[#This Row],[Column1529]]</f>
        <v>98.864999999999995</v>
      </c>
      <c r="BFV19">
        <f>SOFR3mo_PX[[#This Row],[Column1530]]</f>
        <v>98.78</v>
      </c>
      <c r="BFW19">
        <f>SOFR3mo_PX[[#This Row],[Column1531]]</f>
        <v>98.885000000000005</v>
      </c>
      <c r="BFX19">
        <f>SOFR3mo_PX[[#This Row],[Column1532]]</f>
        <v>98.805000000000007</v>
      </c>
      <c r="BFY19">
        <f>SOFR3mo_PX[[#This Row],[Column1533]]</f>
        <v>98.85</v>
      </c>
      <c r="BFZ19">
        <f>SOFR3mo_PX[[#This Row],[Column1534]]</f>
        <v>98.924999999999997</v>
      </c>
      <c r="BGA19">
        <f>SOFR3mo_PX[[#This Row],[Column1535]]</f>
        <v>98.83</v>
      </c>
      <c r="BGB19">
        <f>SOFR3mo_PX[[#This Row],[Column1536]]</f>
        <v>98.894999999999996</v>
      </c>
      <c r="BGC19">
        <f>SOFR3mo_PX[[#This Row],[Column1537]]</f>
        <v>98.68</v>
      </c>
      <c r="BGD19">
        <f>SOFR3mo_PX[[#This Row],[Column1538]]</f>
        <v>98.66</v>
      </c>
      <c r="BGE19">
        <f>SOFR3mo_PX[[#This Row],[Column1539]]</f>
        <v>98.47</v>
      </c>
      <c r="BGF19">
        <f>SOFR3mo_PX[[#This Row],[Column1540]]</f>
        <v>98.48</v>
      </c>
      <c r="BGG19">
        <f>SOFR3mo_PX[[#This Row],[Column1541]]</f>
        <v>98.49</v>
      </c>
      <c r="BGH19">
        <f>SOFR3mo_PX[[#This Row],[Column1542]]</f>
        <v>98.47</v>
      </c>
      <c r="BGI19">
        <f>SOFR3mo_PX[[#This Row],[Column1543]]</f>
        <v>98.495000000000005</v>
      </c>
      <c r="BGJ19">
        <f>SOFR3mo_PX[[#This Row],[Column1544]]</f>
        <v>98.52</v>
      </c>
      <c r="BGK19">
        <f>SOFR3mo_PX[[#This Row],[Column1545]]</f>
        <v>98.515000000000001</v>
      </c>
      <c r="BGL19">
        <f>SOFR3mo_PX[[#This Row],[Column1546]]</f>
        <v>98.545000000000002</v>
      </c>
      <c r="BGM19">
        <f>SOFR3mo_PX[[#This Row],[Column1547]]</f>
        <v>98.525000000000006</v>
      </c>
      <c r="BGN19">
        <f>SOFR3mo_PX[[#This Row],[Column1548]]</f>
        <v>98.575000000000003</v>
      </c>
      <c r="BGO19">
        <f>SOFR3mo_PX[[#This Row],[Column1549]]</f>
        <v>98.49</v>
      </c>
      <c r="BGP19">
        <f>SOFR3mo_PX[[#This Row],[Column1550]]</f>
        <v>98.435000000000002</v>
      </c>
      <c r="BGQ19">
        <f>SOFR3mo_PX[[#This Row],[Column1551]]</f>
        <v>98.465000000000003</v>
      </c>
      <c r="BGR19">
        <f>SOFR3mo_PX[[#This Row],[Column1552]]</f>
        <v>98.46</v>
      </c>
      <c r="BGS19">
        <f>SOFR3mo_PX[[#This Row],[Column1553]]</f>
        <v>98.444999999999993</v>
      </c>
      <c r="BGT19">
        <f>SOFR3mo_PX[[#This Row],[Column1554]]</f>
        <v>98.495000000000005</v>
      </c>
      <c r="BGU19">
        <f>SOFR3mo_PX[[#This Row],[Column1555]]</f>
        <v>98.454999999999998</v>
      </c>
      <c r="BGV19">
        <f>SOFR3mo_PX[[#This Row],[Column1556]]</f>
        <v>98.474999999999994</v>
      </c>
      <c r="BGW19">
        <f>SOFR3mo_PX[[#This Row],[Column1557]]</f>
        <v>98.47</v>
      </c>
      <c r="BGX19">
        <f>SOFR3mo_PX[[#This Row],[Column1558]]</f>
        <v>98.555000000000007</v>
      </c>
      <c r="BGY19">
        <f>SOFR3mo_PX[[#This Row],[Column1559]]</f>
        <v>98.555000000000007</v>
      </c>
      <c r="BGZ19">
        <f>SOFR3mo_PX[[#This Row],[Column1560]]</f>
        <v>98.55</v>
      </c>
      <c r="BHA19">
        <f>SOFR3mo_PX[[#This Row],[Column1561]]</f>
        <v>98.5</v>
      </c>
      <c r="BHB19">
        <f>SOFR3mo_PX[[#This Row],[Column1562]]</f>
        <v>98.545000000000002</v>
      </c>
      <c r="BHC19">
        <f>SOFR3mo_PX[[#This Row],[Column1563]]</f>
        <v>98.56</v>
      </c>
      <c r="BHD19">
        <f>SOFR3mo_PX[[#This Row],[Column1564]]</f>
        <v>98.53</v>
      </c>
      <c r="BHE19">
        <f>SOFR3mo_PX[[#This Row],[Column1565]]</f>
        <v>98.614999999999995</v>
      </c>
      <c r="BHF19">
        <f>SOFR3mo_PX[[#This Row],[Column1566]]</f>
        <v>98.59</v>
      </c>
      <c r="BHG19">
        <f>SOFR3mo_PX[[#This Row],[Column1567]]</f>
        <v>98.54</v>
      </c>
      <c r="BHH19">
        <f>SOFR3mo_PX[[#This Row],[Column1568]]</f>
        <v>98.594999999999999</v>
      </c>
      <c r="BHI19">
        <f>SOFR3mo_PX[[#This Row],[Column1569]]</f>
        <v>98.6</v>
      </c>
      <c r="BHJ19">
        <f>SOFR3mo_PX[[#This Row],[Column1570]]</f>
        <v>98.495000000000005</v>
      </c>
      <c r="BHK19">
        <f>SOFR3mo_PX[[#This Row],[Column1571]]</f>
        <v>98.495000000000005</v>
      </c>
      <c r="BHL19">
        <f>SOFR3mo_PX[[#This Row],[Column1572]]</f>
        <v>98.515000000000001</v>
      </c>
      <c r="BHM19">
        <f>SOFR3mo_PX[[#This Row],[Column1573]]</f>
        <v>98.52</v>
      </c>
      <c r="BHN19">
        <f>SOFR3mo_PX[[#This Row],[Column1574]]</f>
        <v>98.45</v>
      </c>
      <c r="BHO19">
        <f>SOFR3mo_PX[[#This Row],[Column1575]]</f>
        <v>98.4</v>
      </c>
      <c r="BHP19">
        <f>SOFR3mo_PX[[#This Row],[Column1576]]</f>
        <v>98.394999999999996</v>
      </c>
      <c r="BHQ19">
        <f>SOFR3mo_PX[[#This Row],[Column1577]]</f>
        <v>98.435000000000002</v>
      </c>
      <c r="BHR19">
        <f>SOFR3mo_PX[[#This Row],[Column1578]]</f>
        <v>98.42</v>
      </c>
      <c r="BHS19">
        <f>SOFR3mo_PX[[#This Row],[Column1579]]</f>
        <v>98.474999999999994</v>
      </c>
      <c r="BHT19">
        <f>SOFR3mo_PX[[#This Row],[Column1580]]</f>
        <v>98.454999999999998</v>
      </c>
      <c r="BHU19">
        <f>SOFR3mo_PX[[#This Row],[Column1581]]</f>
        <v>98.5</v>
      </c>
      <c r="BHV19">
        <f>SOFR3mo_PX[[#This Row],[Column1582]]</f>
        <v>98.45</v>
      </c>
      <c r="BHW19">
        <f>SOFR3mo_PX[[#This Row],[Column1583]]</f>
        <v>98.31</v>
      </c>
      <c r="BHX19">
        <f>SOFR3mo_PX[[#This Row],[Column1584]]</f>
        <v>98.314999999999998</v>
      </c>
      <c r="BHY19">
        <f>SOFR3mo_PX[[#This Row],[Column1585]]</f>
        <v>98.28</v>
      </c>
      <c r="BHZ19">
        <f>SOFR3mo_PX[[#This Row],[Column1586]]</f>
        <v>98.224999999999994</v>
      </c>
      <c r="BIA19">
        <f>SOFR3mo_PX[[#This Row],[Column1587]]</f>
        <v>98.224999999999994</v>
      </c>
      <c r="BIB19">
        <f>SOFR3mo_PX[[#This Row],[Column1588]]</f>
        <v>98.254999999999995</v>
      </c>
      <c r="BIC19">
        <f>SOFR3mo_PX[[#This Row],[Column1589]]</f>
        <v>98.12</v>
      </c>
      <c r="BID19">
        <f>SOFR3mo_PX[[#This Row],[Column1590]]</f>
        <v>98.084999999999994</v>
      </c>
      <c r="BIE19">
        <f>SOFR3mo_PX[[#This Row],[Column1591]]</f>
        <v>98.114999999999995</v>
      </c>
      <c r="BIF19">
        <f>SOFR3mo_PX[[#This Row],[Column1592]]</f>
        <v>98.14</v>
      </c>
      <c r="BIG19">
        <f>SOFR3mo_PX[[#This Row],[Column1593]]</f>
        <v>98.13</v>
      </c>
      <c r="BIH19">
        <f>SOFR3mo_PX[[#This Row],[Column1594]]</f>
        <v>98.174999999999997</v>
      </c>
      <c r="BII19">
        <f>SOFR3mo_PX[[#This Row],[Column1595]]</f>
        <v>98.125</v>
      </c>
      <c r="BIJ19">
        <f>SOFR3mo_PX[[#This Row],[Column1596]]</f>
        <v>98.135000000000005</v>
      </c>
      <c r="BIK19">
        <f>SOFR3mo_PX[[#This Row],[Column1597]]</f>
        <v>98.06</v>
      </c>
      <c r="BIL19">
        <f>SOFR3mo_PX[[#This Row],[Column1598]]</f>
        <v>98.045000000000002</v>
      </c>
      <c r="BIM19">
        <f>SOFR3mo_PX[[#This Row],[Column1599]]</f>
        <v>98.01</v>
      </c>
      <c r="BIN19">
        <f>SOFR3mo_PX[[#This Row],[Column1600]]</f>
        <v>98.04</v>
      </c>
      <c r="BIO19">
        <f>SOFR3mo_PX[[#This Row],[Column1601]]</f>
        <v>97.984999999999999</v>
      </c>
      <c r="BIP19">
        <f>SOFR3mo_PX[[#This Row],[Column1602]]</f>
        <v>97.944999999999993</v>
      </c>
      <c r="BIQ19">
        <f>SOFR3mo_PX[[#This Row],[Column1603]]</f>
        <v>97.94</v>
      </c>
      <c r="BIR19">
        <f>SOFR3mo_PX[[#This Row],[Column1604]]</f>
        <v>98</v>
      </c>
      <c r="BIS19">
        <f>SOFR3mo_PX[[#This Row],[Column1605]]</f>
        <v>98.04</v>
      </c>
      <c r="BIT19">
        <f>SOFR3mo_PX[[#This Row],[Column1606]]</f>
        <v>98.015000000000001</v>
      </c>
      <c r="BIU19">
        <f>SOFR3mo_PX[[#This Row],[Column1607]]</f>
        <v>98.02</v>
      </c>
      <c r="BIV19">
        <f>SOFR3mo_PX[[#This Row],[Column1608]]</f>
        <v>97.97</v>
      </c>
      <c r="BIW19">
        <f>SOFR3mo_PX[[#This Row],[Column1609]]</f>
        <v>97.984999999999999</v>
      </c>
      <c r="BIX19">
        <f>SOFR3mo_PX[[#This Row],[Column1610]]</f>
        <v>97.93</v>
      </c>
      <c r="BIY19">
        <f>SOFR3mo_PX[[#This Row],[Column1611]]</f>
        <v>97.91</v>
      </c>
      <c r="BIZ19">
        <f>SOFR3mo_PX[[#This Row],[Column1612]]</f>
        <v>97.91</v>
      </c>
      <c r="BJA19">
        <f>SOFR3mo_PX[[#This Row],[Column1613]]</f>
        <v>97.91</v>
      </c>
      <c r="BJB19">
        <f>SOFR3mo_PX[[#This Row],[Column1614]]</f>
        <v>97.885000000000005</v>
      </c>
      <c r="BJC19">
        <f>SOFR3mo_PX[[#This Row],[Column1615]]</f>
        <v>97.88</v>
      </c>
      <c r="BJD19">
        <f>SOFR3mo_PX[[#This Row],[Column1616]]</f>
        <v>97.91</v>
      </c>
      <c r="BJE19">
        <f>SOFR3mo_PX[[#This Row],[Column1617]]</f>
        <v>97.905000000000001</v>
      </c>
      <c r="BJF19">
        <f>SOFR3mo_PX[[#This Row],[Column1618]]</f>
        <v>97.98</v>
      </c>
      <c r="BJG19">
        <f>SOFR3mo_PX[[#This Row],[Column1619]]</f>
        <v>98.015000000000001</v>
      </c>
      <c r="BJH19">
        <f>SOFR3mo_PX[[#This Row],[Column1620]]</f>
        <v>97.98</v>
      </c>
      <c r="BJI19">
        <f>SOFR3mo_PX[[#This Row],[Column1621]]</f>
        <v>97.944999999999993</v>
      </c>
      <c r="BJJ19">
        <f>SOFR3mo_PX[[#This Row],[Column1622]]</f>
        <v>97.954999999999998</v>
      </c>
      <c r="BJK19">
        <f>SOFR3mo_PX[[#This Row],[Column1623]]</f>
        <v>97.965000000000003</v>
      </c>
      <c r="BJL19">
        <f>SOFR3mo_PX[[#This Row],[Column1624]]</f>
        <v>97.974999999999994</v>
      </c>
      <c r="BJM19">
        <f>SOFR3mo_PX[[#This Row],[Column1625]]</f>
        <v>97.995000000000005</v>
      </c>
      <c r="BJN19">
        <f>SOFR3mo_PX[[#This Row],[Column1626]]</f>
        <v>97.984999999999999</v>
      </c>
      <c r="BJO19">
        <f>SOFR3mo_PX[[#This Row],[Column1627]]</f>
        <v>98.064999999999998</v>
      </c>
      <c r="BJP19">
        <f>SOFR3mo_PX[[#This Row],[Column1628]]</f>
        <v>98.14</v>
      </c>
      <c r="BJQ19">
        <f>SOFR3mo_PX[[#This Row],[Column1629]]</f>
        <v>98.174999999999997</v>
      </c>
      <c r="BJR19">
        <f>SOFR3mo_PX[[#This Row],[Column1630]]</f>
        <v>98.125</v>
      </c>
      <c r="BJS19">
        <f>SOFR3mo_PX[[#This Row],[Column1631]]</f>
        <v>98.155000000000001</v>
      </c>
      <c r="BJT19">
        <f>SOFR3mo_PX[[#This Row],[Column1632]]</f>
        <v>98.05</v>
      </c>
      <c r="BJU19">
        <f>SOFR3mo_PX[[#This Row],[Column1633]]</f>
        <v>97.935000000000002</v>
      </c>
      <c r="BJV19">
        <f>SOFR3mo_PX[[#This Row],[Column1634]]</f>
        <v>97.915000000000006</v>
      </c>
      <c r="BJW19">
        <f>SOFR3mo_PX[[#This Row],[Column1635]]</f>
        <v>97.825000000000003</v>
      </c>
      <c r="BJX19">
        <f>SOFR3mo_PX[[#This Row],[Column1636]]</f>
        <v>97.84</v>
      </c>
      <c r="BJY19">
        <f>SOFR3mo_PX[[#This Row],[Column1637]]</f>
        <v>97.844999999999999</v>
      </c>
      <c r="BJZ19">
        <f>SOFR3mo_PX[[#This Row],[Column1638]]</f>
        <v>97.814999999999998</v>
      </c>
      <c r="BKA19">
        <f>SOFR3mo_PX[[#This Row],[Column1639]]</f>
        <v>97.82</v>
      </c>
      <c r="BKB19">
        <f>SOFR3mo_PX[[#This Row],[Column1640]]</f>
        <v>97.8</v>
      </c>
      <c r="BKC19">
        <f>SOFR3mo_PX[[#This Row],[Column1641]]</f>
        <v>97.77</v>
      </c>
      <c r="BKD19">
        <f>SOFR3mo_PX[[#This Row],[Column1642]]</f>
        <v>97.78</v>
      </c>
      <c r="BKE19">
        <f>SOFR3mo_PX[[#This Row],[Column1643]]</f>
        <v>97.765000000000001</v>
      </c>
      <c r="BKF19">
        <f>SOFR3mo_PX[[#This Row],[Column1644]]</f>
        <v>97.69</v>
      </c>
      <c r="BKG19">
        <f>SOFR3mo_PX[[#This Row],[Column1645]]</f>
        <v>97.655000000000001</v>
      </c>
      <c r="BKH19">
        <f>SOFR3mo_PX[[#This Row],[Column1646]]</f>
        <v>97.66</v>
      </c>
      <c r="BKI19">
        <f>SOFR3mo_PX[[#This Row],[Column1647]]</f>
        <v>97.65</v>
      </c>
      <c r="BKJ19">
        <f>SOFR3mo_PX[[#This Row],[Column1648]]</f>
        <v>97.72</v>
      </c>
      <c r="BKK19">
        <f>SOFR3mo_PX[[#This Row],[Column1649]]</f>
        <v>97.74</v>
      </c>
      <c r="BKL19">
        <f>SOFR3mo_PX[[#This Row],[Column1650]]</f>
        <v>97.765000000000001</v>
      </c>
      <c r="BKM19">
        <f>SOFR3mo_PX[[#This Row],[Column1651]]</f>
        <v>97.734999999999999</v>
      </c>
      <c r="BKN19">
        <f>SOFR3mo_PX[[#This Row],[Column1652]]</f>
        <v>97.74</v>
      </c>
      <c r="BKO19">
        <f>SOFR3mo_PX[[#This Row],[Column1653]]</f>
        <v>97.694999999999993</v>
      </c>
      <c r="BKP19">
        <f>SOFR3mo_PX[[#This Row],[Column1654]]</f>
        <v>97.734999999999999</v>
      </c>
      <c r="BKQ19">
        <f>SOFR3mo_PX[[#This Row],[Column1655]]</f>
        <v>97.73</v>
      </c>
      <c r="BKR19">
        <f>SOFR3mo_PX[[#This Row],[Column1656]]</f>
        <v>97.715000000000003</v>
      </c>
      <c r="BKS19">
        <f>SOFR3mo_PX[[#This Row],[Column1657]]</f>
        <v>97.715000000000003</v>
      </c>
      <c r="BKT19">
        <f>SOFR3mo_PX[[#This Row],[Column1658]]</f>
        <v>97.72</v>
      </c>
      <c r="BKU19">
        <f>SOFR3mo_PX[[#This Row],[Column1659]]</f>
        <v>97.68</v>
      </c>
      <c r="BKV19">
        <f>SOFR3mo_PX[[#This Row],[Column1660]]</f>
        <v>97.74</v>
      </c>
      <c r="BKW19">
        <f>SOFR3mo_PX[[#This Row],[Column1661]]</f>
        <v>97.77</v>
      </c>
      <c r="BKX19">
        <f>SOFR3mo_PX[[#This Row],[Column1662]]</f>
        <v>97.795000000000002</v>
      </c>
      <c r="BKY19">
        <f>SOFR3mo_PX[[#This Row],[Column1663]]</f>
        <v>97.76</v>
      </c>
      <c r="BKZ19">
        <f>SOFR3mo_PX[[#This Row],[Column1664]]</f>
        <v>97.704999999999998</v>
      </c>
      <c r="BLA19">
        <f>SOFR3mo_PX[[#This Row],[Column1665]]</f>
        <v>97.694999999999993</v>
      </c>
      <c r="BLB19">
        <f>SOFR3mo_PX[[#This Row],[Column1666]]</f>
        <v>97.69</v>
      </c>
      <c r="BLC19">
        <f>SOFR3mo_PX[[#This Row],[Column1667]]</f>
        <v>97.71</v>
      </c>
      <c r="BLD19">
        <f>SOFR3mo_PX[[#This Row],[Column1668]]</f>
        <v>97.734999999999999</v>
      </c>
      <c r="BLE19">
        <f>SOFR3mo_PX[[#This Row],[Column1669]]</f>
        <v>97.665000000000006</v>
      </c>
      <c r="BLF19">
        <f>SOFR3mo_PX[[#This Row],[Column1670]]</f>
        <v>97.614999999999995</v>
      </c>
      <c r="BLG19">
        <f>SOFR3mo_PX[[#This Row],[Column1671]]</f>
        <v>97.61</v>
      </c>
      <c r="BLH19">
        <f>SOFR3mo_PX[[#This Row],[Column1672]]</f>
        <v>97.6</v>
      </c>
      <c r="BLI19">
        <f>SOFR3mo_PX[[#This Row],[Column1673]]</f>
        <v>97.625</v>
      </c>
      <c r="BLJ19">
        <f>SOFR3mo_PX[[#This Row],[Column1674]]</f>
        <v>97.61</v>
      </c>
      <c r="BLK19">
        <f>SOFR3mo_PX[[#This Row],[Column1675]]</f>
        <v>97.614999999999995</v>
      </c>
      <c r="BLL19">
        <f>SOFR3mo_PX[[#This Row],[Column1676]]</f>
        <v>97.57</v>
      </c>
      <c r="BLM19">
        <f>SOFR3mo_PX[[#This Row],[Column1677]]</f>
        <v>97.57</v>
      </c>
      <c r="BLN19">
        <f>SOFR3mo_PX[[#This Row],[Column1678]]</f>
        <v>97.64</v>
      </c>
      <c r="BLO19">
        <f>SOFR3mo_PX[[#This Row],[Column1679]]</f>
        <v>97.67</v>
      </c>
      <c r="BLP19">
        <f>SOFR3mo_PX[[#This Row],[Column1680]]</f>
        <v>97.694999999999993</v>
      </c>
      <c r="BLQ19">
        <f>SOFR3mo_PX[[#This Row],[Column1681]]</f>
        <v>97.685000000000002</v>
      </c>
      <c r="BLR19">
        <f>SOFR3mo_PX[[#This Row],[Column1682]]</f>
        <v>97.69</v>
      </c>
      <c r="BLS19">
        <f>SOFR3mo_PX[[#This Row],[Column1683]]</f>
        <v>97.674999999999997</v>
      </c>
      <c r="BLT19">
        <f>SOFR3mo_PX[[#This Row],[Column1684]]</f>
        <v>97.68</v>
      </c>
      <c r="BLU19">
        <f>SOFR3mo_PX[[#This Row],[Column1685]]</f>
        <v>97.67</v>
      </c>
      <c r="BLV19">
        <f>SOFR3mo_PX[[#This Row],[Column1686]]</f>
        <v>97.74</v>
      </c>
      <c r="BLW19">
        <f>SOFR3mo_PX[[#This Row],[Column1687]]</f>
        <v>97.784999999999997</v>
      </c>
      <c r="BLX19">
        <f>SOFR3mo_PX[[#This Row],[Column1688]]</f>
        <v>97.85</v>
      </c>
      <c r="BLY19">
        <f>SOFR3mo_PX[[#This Row],[Column1689]]</f>
        <v>97.665000000000006</v>
      </c>
      <c r="BLZ19">
        <f>SOFR3mo_PX[[#This Row],[Column1690]]</f>
        <v>97.674999999999997</v>
      </c>
      <c r="BMA19">
        <f>SOFR3mo_PX[[#This Row],[Column1691]]</f>
        <v>97.674999999999997</v>
      </c>
      <c r="BMB19">
        <f>SOFR3mo_PX[[#This Row],[Column1692]]</f>
        <v>97.67</v>
      </c>
      <c r="BMC19">
        <f>SOFR3mo_PX[[#This Row],[Column1693]]</f>
        <v>97.66</v>
      </c>
      <c r="BMD19">
        <f>SOFR3mo_PX[[#This Row],[Column1694]]</f>
        <v>97.605000000000004</v>
      </c>
      <c r="BME19">
        <f>SOFR3mo_PX[[#This Row],[Column1695]]</f>
        <v>97.58</v>
      </c>
      <c r="BMF19">
        <f>SOFR3mo_PX[[#This Row],[Column1696]]</f>
        <v>97.58</v>
      </c>
      <c r="BMG19">
        <f>SOFR3mo_PX[[#This Row],[Column1697]]</f>
        <v>97.52</v>
      </c>
      <c r="BMH19">
        <f>SOFR3mo_PX[[#This Row],[Column1698]]</f>
        <v>97.484999999999999</v>
      </c>
      <c r="BMI19">
        <f>SOFR3mo_PX[[#This Row],[Column1699]]</f>
        <v>97.474999999999994</v>
      </c>
      <c r="BMJ19">
        <f>SOFR3mo_PX[[#This Row],[Column1700]]</f>
        <v>97.484999999999999</v>
      </c>
      <c r="BMK19">
        <f>SOFR3mo_PX[[#This Row],[Column1701]]</f>
        <v>97.435000000000002</v>
      </c>
      <c r="BML19">
        <f>SOFR3mo_PX[[#This Row],[Column1702]]</f>
        <v>97.4</v>
      </c>
      <c r="BMM19">
        <f>SOFR3mo_PX[[#This Row],[Column1703]]</f>
        <v>97.37</v>
      </c>
      <c r="BMN19">
        <f>SOFR3mo_PX[[#This Row],[Column1704]]</f>
        <v>97.375</v>
      </c>
      <c r="BMO19">
        <f>SOFR3mo_PX[[#This Row],[Column1705]]</f>
        <v>97.41</v>
      </c>
      <c r="BMP19">
        <f>SOFR3mo_PX[[#This Row],[Column1706]]</f>
        <v>97.45</v>
      </c>
      <c r="BMQ19">
        <f>SOFR3mo_PX[[#This Row],[Column1707]]</f>
        <v>97.415000000000006</v>
      </c>
      <c r="BMR19">
        <f>SOFR3mo_PX[[#This Row],[Column1708]]</f>
        <v>97.375</v>
      </c>
      <c r="BMS19">
        <f>SOFR3mo_PX[[#This Row],[Column1709]]</f>
        <v>97.27</v>
      </c>
      <c r="BMT19">
        <f>SOFR3mo_PX[[#This Row],[Column1710]]</f>
        <v>97.27</v>
      </c>
      <c r="BMU19">
        <f>SOFR3mo_PX[[#This Row],[Column1711]]</f>
        <v>97.24</v>
      </c>
      <c r="BMV19">
        <f>SOFR3mo_PX[[#This Row],[Column1712]]</f>
        <v>97.26</v>
      </c>
      <c r="BMW19">
        <f>SOFR3mo_PX[[#This Row],[Column1713]]</f>
        <v>97.254999999999995</v>
      </c>
      <c r="BMX19">
        <f>SOFR3mo_PX[[#This Row],[Column1714]]</f>
        <v>97.25</v>
      </c>
      <c r="BMY19">
        <f>SOFR3mo_PX[[#This Row],[Column1715]]</f>
        <v>97.215000000000003</v>
      </c>
      <c r="BMZ19">
        <f>SOFR3mo_PX[[#This Row],[Column1716]]</f>
        <v>97.2</v>
      </c>
      <c r="BNA19">
        <f>SOFR3mo_PX[[#This Row],[Column1717]]</f>
        <v>97.21</v>
      </c>
      <c r="BNB19">
        <f>SOFR3mo_PX[[#This Row],[Column1718]]</f>
        <v>97.21</v>
      </c>
      <c r="BNC19">
        <f>SOFR3mo_PX[[#This Row],[Column1719]]</f>
        <v>97.21</v>
      </c>
      <c r="BND19">
        <f>SOFR3mo_PX[[#This Row],[Column1720]]</f>
        <v>97.22</v>
      </c>
      <c r="BNE19">
        <f>SOFR3mo_PX[[#This Row],[Column1721]]</f>
        <v>97.224999999999994</v>
      </c>
      <c r="BNF19">
        <f>SOFR3mo_PX[[#This Row],[Column1722]]</f>
        <v>97.19</v>
      </c>
      <c r="BNG19">
        <f>SOFR3mo_PX[[#This Row],[Column1723]]</f>
        <v>97.14</v>
      </c>
      <c r="BNH19">
        <f>SOFR3mo_PX[[#This Row],[Column1724]]</f>
        <v>97.13</v>
      </c>
      <c r="BNI19">
        <f>SOFR3mo_PX[[#This Row],[Column1725]]</f>
        <v>97.075000000000003</v>
      </c>
      <c r="BNJ19">
        <f>SOFR3mo_PX[[#This Row],[Column1726]]</f>
        <v>97.055000000000007</v>
      </c>
      <c r="BNK19">
        <f>SOFR3mo_PX[[#This Row],[Column1727]]</f>
        <v>97.034999999999997</v>
      </c>
      <c r="BNL19">
        <f>SOFR3mo_PX[[#This Row],[Column1728]]</f>
        <v>97.02</v>
      </c>
      <c r="BNM19">
        <f>SOFR3mo_PX[[#This Row],[Column1729]]</f>
        <v>97.055000000000007</v>
      </c>
      <c r="BNN19">
        <f>SOFR3mo_PX[[#This Row],[Column1730]]</f>
        <v>97.064999999999998</v>
      </c>
      <c r="BNO19">
        <f>SOFR3mo_PX[[#This Row],[Column1731]]</f>
        <v>97.075000000000003</v>
      </c>
      <c r="BNP19">
        <f>SOFR3mo_PX[[#This Row],[Column1732]]</f>
        <v>97.08</v>
      </c>
      <c r="BNQ19">
        <f>SOFR3mo_PX[[#This Row],[Column1733]]</f>
        <v>97.12</v>
      </c>
      <c r="BNR19">
        <f>SOFR3mo_PX[[#This Row],[Column1734]]</f>
        <v>97.11</v>
      </c>
      <c r="BNS19">
        <f>SOFR3mo_PX[[#This Row],[Column1735]]</f>
        <v>97.14</v>
      </c>
      <c r="BNT19">
        <f>SOFR3mo_PX[[#This Row],[Column1736]]</f>
        <v>97.14</v>
      </c>
      <c r="BNU19">
        <f>SOFR3mo_PX[[#This Row],[Column1737]]</f>
        <v>97.144999999999996</v>
      </c>
      <c r="BNV19">
        <f>SOFR3mo_PX[[#This Row],[Column1738]]</f>
        <v>97.075000000000003</v>
      </c>
      <c r="BNW19">
        <f>SOFR3mo_PX[[#This Row],[Column1739]]</f>
        <v>97.075000000000003</v>
      </c>
      <c r="BNX19">
        <f>SOFR3mo_PX[[#This Row],[Column1740]]</f>
        <v>97.045000000000002</v>
      </c>
      <c r="BNY19">
        <f>SOFR3mo_PX[[#This Row],[Column1741]]</f>
        <v>97.01</v>
      </c>
      <c r="BNZ19">
        <f>SOFR3mo_PX[[#This Row],[Column1742]]</f>
        <v>97.004999999999995</v>
      </c>
      <c r="BOA19">
        <f>SOFR3mo_PX[[#This Row],[Column1743]]</f>
        <v>97.025000000000006</v>
      </c>
      <c r="BOB19">
        <f>SOFR3mo_PX[[#This Row],[Column1744]]</f>
        <v>97.015000000000001</v>
      </c>
      <c r="BOC19">
        <f>SOFR3mo_PX[[#This Row],[Column1745]]</f>
        <v>97.015000000000001</v>
      </c>
      <c r="BOD19">
        <f>SOFR3mo_PX[[#This Row],[Column1746]]</f>
        <v>97.02</v>
      </c>
      <c r="BOE19">
        <f>SOFR3mo_PX[[#This Row],[Column1747]]</f>
        <v>97.03</v>
      </c>
      <c r="BOF19">
        <f>SOFR3mo_PX[[#This Row],[Column1748]]</f>
        <v>97.01</v>
      </c>
      <c r="BOG19">
        <f>SOFR3mo_PX[[#This Row],[Column1749]]</f>
        <v>96.96</v>
      </c>
      <c r="BOH19">
        <f>SOFR3mo_PX[[#This Row],[Column1750]]</f>
        <v>96.95</v>
      </c>
      <c r="BOI19">
        <f>SOFR3mo_PX[[#This Row],[Column1751]]</f>
        <v>96.954999999999998</v>
      </c>
      <c r="BOJ19">
        <f>SOFR3mo_PX[[#This Row],[Column1752]]</f>
        <v>96.96</v>
      </c>
      <c r="BOK19">
        <f>SOFR3mo_PX[[#This Row],[Column1753]]</f>
        <v>96.984999999999999</v>
      </c>
      <c r="BOL19">
        <f>SOFR3mo_PX[[#This Row],[Column1754]]</f>
        <v>97.02</v>
      </c>
      <c r="BOM19">
        <f>SOFR3mo_PX[[#This Row],[Column1755]]</f>
        <v>97.07</v>
      </c>
      <c r="BON19">
        <f>SOFR3mo_PX[[#This Row],[Column1756]]</f>
        <v>97.06</v>
      </c>
      <c r="BOO19">
        <f>SOFR3mo_PX[[#This Row],[Column1757]]</f>
        <v>97.06</v>
      </c>
      <c r="BOP19">
        <f>SOFR3mo_PX[[#This Row],[Column1758]]</f>
        <v>97.04</v>
      </c>
      <c r="BOQ19">
        <f>SOFR3mo_PX[[#This Row],[Column1759]]</f>
        <v>97.04</v>
      </c>
      <c r="BOR19">
        <f>SOFR3mo_PX[[#This Row],[Column1760]]</f>
        <v>97.03</v>
      </c>
      <c r="BOS19">
        <f>SOFR3mo_PX[[#This Row],[Column1761]]</f>
        <v>97.045000000000002</v>
      </c>
      <c r="BOT19">
        <f>SOFR3mo_PX[[#This Row],[Column1762]]</f>
        <v>97.05</v>
      </c>
      <c r="BOU19">
        <f>SOFR3mo_PX[[#This Row],[Column1763]]</f>
        <v>97.04</v>
      </c>
      <c r="BOV19">
        <f>SOFR3mo_PX[[#This Row],[Column1764]]</f>
        <v>97.06</v>
      </c>
      <c r="BOW19">
        <f>SOFR3mo_PX[[#This Row],[Column1765]]</f>
        <v>97.09</v>
      </c>
      <c r="BOX19">
        <f>SOFR3mo_PX[[#This Row],[Column1766]]</f>
        <v>97.12</v>
      </c>
      <c r="BOY19">
        <f>SOFR3mo_PX[[#This Row],[Column1767]]</f>
        <v>97.12</v>
      </c>
      <c r="BOZ19">
        <f>SOFR3mo_PX[[#This Row],[Column1768]]</f>
        <v>97.155000000000001</v>
      </c>
      <c r="BPA19">
        <f>SOFR3mo_PX[[#This Row],[Column1769]]</f>
        <v>97.18</v>
      </c>
      <c r="BPB19">
        <f>SOFR3mo_PX[[#This Row],[Column1770]]</f>
        <v>97.18</v>
      </c>
      <c r="BPC19">
        <f>SOFR3mo_PX[[#This Row],[Column1771]]</f>
        <v>97.23</v>
      </c>
      <c r="BPD19">
        <f>SOFR3mo_PX[[#This Row],[Column1772]]</f>
        <v>97.23</v>
      </c>
      <c r="BPE19">
        <f>SOFR3mo_PX[[#This Row],[Column1773]]</f>
        <v>97.29</v>
      </c>
      <c r="BPF19">
        <f>SOFR3mo_PX[[#This Row],[Column1774]]</f>
        <v>97.275000000000006</v>
      </c>
      <c r="BPG19">
        <f>SOFR3mo_PX[[#This Row],[Column1775]]</f>
        <v>97.28</v>
      </c>
      <c r="BPH19">
        <f>SOFR3mo_PX[[#This Row],[Column1776]]</f>
        <v>97.3</v>
      </c>
      <c r="BPI19">
        <f>SOFR3mo_PX[[#This Row],[Column1777]]</f>
        <v>97.3</v>
      </c>
      <c r="BPJ19">
        <f>SOFR3mo_PX[[#This Row],[Column1778]]</f>
        <v>97.265000000000001</v>
      </c>
      <c r="BPK19">
        <f>SOFR3mo_PX[[#This Row],[Column1779]]</f>
        <v>97.254999999999995</v>
      </c>
      <c r="BPL19">
        <f>SOFR3mo_PX[[#This Row],[Column1780]]</f>
        <v>97.27</v>
      </c>
      <c r="BPM19">
        <f>SOFR3mo_PX[[#This Row],[Column1781]]</f>
        <v>97.284999999999997</v>
      </c>
      <c r="BPN19">
        <f>SOFR3mo_PX[[#This Row],[Column1782]]</f>
        <v>97.305000000000007</v>
      </c>
      <c r="BPO19">
        <f>SOFR3mo_PX[[#This Row],[Column1783]]</f>
        <v>97.305000000000007</v>
      </c>
      <c r="BPP19">
        <f>SOFR3mo_PX[[#This Row],[Column1784]]</f>
        <v>97.325000000000003</v>
      </c>
      <c r="BPQ19">
        <f>SOFR3mo_PX[[#This Row],[Column1785]]</f>
        <v>97.314999999999998</v>
      </c>
      <c r="BPR19">
        <f>SOFR3mo_PX[[#This Row],[Column1786]]</f>
        <v>97.325000000000003</v>
      </c>
      <c r="BPS19">
        <f>SOFR3mo_PX[[#This Row],[Column1787]]</f>
        <v>97.3</v>
      </c>
      <c r="BPT19">
        <f>SOFR3mo_PX[[#This Row],[Column1788]]</f>
        <v>97.295000000000002</v>
      </c>
      <c r="BPU19">
        <f>SOFR3mo_PX[[#This Row],[Column1789]]</f>
        <v>97.314999999999998</v>
      </c>
      <c r="BPV19">
        <f>SOFR3mo_PX[[#This Row],[Column1790]]</f>
        <v>97.28</v>
      </c>
      <c r="BPW19">
        <f>SOFR3mo_PX[[#This Row],[Column1791]]</f>
        <v>97.305000000000007</v>
      </c>
      <c r="BPX19">
        <f>SOFR3mo_PX[[#This Row],[Column1792]]</f>
        <v>97.31</v>
      </c>
      <c r="BPY19">
        <f>SOFR3mo_PX[[#This Row],[Column1793]]</f>
        <v>97.245000000000005</v>
      </c>
      <c r="BPZ19">
        <f>SOFR3mo_PX[[#This Row],[Column1794]]</f>
        <v>97.23</v>
      </c>
      <c r="BQA19">
        <f>SOFR3mo_PX[[#This Row],[Column1795]]</f>
        <v>97.224999999999994</v>
      </c>
      <c r="BQB19">
        <f>SOFR3mo_PX[[#This Row],[Column1796]]</f>
        <v>97.23</v>
      </c>
      <c r="BQC19">
        <f>SOFR3mo_PX[[#This Row],[Column1797]]</f>
        <v>97.22</v>
      </c>
      <c r="BQD19">
        <f>SOFR3mo_PX[[#This Row],[Column1798]]</f>
        <v>97.21</v>
      </c>
      <c r="BQE19">
        <f>SOFR3mo_PX[[#This Row],[Column1799]]</f>
        <v>97.22</v>
      </c>
      <c r="BQF19">
        <f>SOFR3mo_PX[[#This Row],[Column1800]]</f>
        <v>97.224999999999994</v>
      </c>
      <c r="BQG19">
        <f>SOFR3mo_PX[[#This Row],[Column1801]]</f>
        <v>97.224999999999994</v>
      </c>
      <c r="BQH19">
        <f>SOFR3mo_PX[[#This Row],[Column1802]]</f>
        <v>97.215000000000003</v>
      </c>
      <c r="BQI19">
        <f>SOFR3mo_PX[[#This Row],[Column1803]]</f>
        <v>97.21</v>
      </c>
      <c r="BQJ19">
        <f>SOFR3mo_PX[[#This Row],[Column1804]]</f>
        <v>97.254999999999995</v>
      </c>
      <c r="BQK19">
        <f>SOFR3mo_PX[[#This Row],[Column1805]]</f>
        <v>97.254999999999995</v>
      </c>
      <c r="BQL19">
        <f>SOFR3mo_PX[[#This Row],[Column1806]]</f>
        <v>97.265000000000001</v>
      </c>
      <c r="BQM19">
        <f>SOFR3mo_PX[[#This Row],[Column1807]]</f>
        <v>97.3</v>
      </c>
      <c r="BQN19">
        <f>SOFR3mo_PX[[#This Row],[Column1808]]</f>
        <v>97.305000000000007</v>
      </c>
      <c r="BQO19">
        <f>SOFR3mo_PX[[#This Row],[Column1809]]</f>
        <v>97.29</v>
      </c>
      <c r="BQP19">
        <f>SOFR3mo_PX[[#This Row],[Column1810]]</f>
        <v>97.295000000000002</v>
      </c>
      <c r="BQQ19">
        <f>SOFR3mo_PX[[#This Row],[Column1811]]</f>
        <v>97.32</v>
      </c>
      <c r="BQR19">
        <f>SOFR3mo_PX[[#This Row],[Column1812]]</f>
        <v>97.33</v>
      </c>
      <c r="BQS19">
        <f>SOFR3mo_PX[[#This Row],[Column1813]]</f>
        <v>97.314999999999998</v>
      </c>
      <c r="BQT19">
        <f>SOFR3mo_PX[[#This Row],[Column1814]]</f>
        <v>97.32</v>
      </c>
      <c r="BQU19">
        <f>SOFR3mo_PX[[#This Row],[Column1815]]</f>
        <v>97.314999999999998</v>
      </c>
      <c r="BQV19">
        <f>SOFR3mo_PX[[#This Row],[Column1816]]</f>
        <v>97.325000000000003</v>
      </c>
      <c r="BQW19">
        <f>SOFR3mo_PX[[#This Row],[Column1817]]</f>
        <v>97.334999999999994</v>
      </c>
      <c r="BQX19">
        <f>SOFR3mo_PX[[#This Row],[Column1818]]</f>
        <v>97.314999999999998</v>
      </c>
      <c r="BQY19">
        <f>SOFR3mo_PX[[#This Row],[Column1819]]</f>
        <v>97.33</v>
      </c>
      <c r="BQZ19">
        <f>SOFR3mo_PX[[#This Row],[Column1820]]</f>
        <v>97.33</v>
      </c>
      <c r="BRA19">
        <f>SOFR3mo_PX[[#This Row],[Column1821]]</f>
        <v>97.325000000000003</v>
      </c>
      <c r="BRB19">
        <f>SOFR3mo_PX[[#This Row],[Column1822]]</f>
        <v>97.325000000000003</v>
      </c>
      <c r="BRC19">
        <f>SOFR3mo_PX[[#This Row],[Column1823]]</f>
        <v>97.33</v>
      </c>
      <c r="BRD19">
        <f>SOFR3mo_PX[[#This Row],[Column1824]]</f>
        <v>97.325000000000003</v>
      </c>
      <c r="BRE19">
        <f>SOFR3mo_PX[[#This Row],[Column1825]]</f>
        <v>97.28</v>
      </c>
      <c r="BRF19">
        <f>SOFR3mo_PX[[#This Row],[Column1826]]</f>
        <v>97.265000000000001</v>
      </c>
      <c r="BRG19">
        <f>SOFR3mo_PX[[#This Row],[Column1827]]</f>
        <v>97.234999999999999</v>
      </c>
      <c r="BRH19">
        <f>SOFR3mo_PX[[#This Row],[Column1828]]</f>
        <v>97.234999999999999</v>
      </c>
      <c r="BRI19">
        <f>SOFR3mo_PX[[#This Row],[Column1829]]</f>
        <v>97.224999999999994</v>
      </c>
      <c r="BRJ19">
        <f>SOFR3mo_PX[[#This Row],[Column1830]]</f>
        <v>97.23</v>
      </c>
      <c r="BRK19">
        <f>SOFR3mo_PX[[#This Row],[Column1831]]</f>
        <v>97.2</v>
      </c>
      <c r="BRL19">
        <f>SOFR3mo_PX[[#This Row],[Column1832]]</f>
        <v>97.21</v>
      </c>
      <c r="BRM19">
        <f>SOFR3mo_PX[[#This Row],[Column1833]]</f>
        <v>97.194999999999993</v>
      </c>
      <c r="BRN19">
        <f>SOFR3mo_PX[[#This Row],[Column1834]]</f>
        <v>97.194999999999993</v>
      </c>
      <c r="BRO19">
        <f>SOFR3mo_PX[[#This Row],[Column1835]]</f>
        <v>97.23</v>
      </c>
      <c r="BRP19">
        <f>SOFR3mo_PX[[#This Row],[Column1836]]</f>
        <v>97.245000000000005</v>
      </c>
      <c r="BRQ19">
        <f>SOFR3mo_PX[[#This Row],[Column1837]]</f>
        <v>97.254999999999995</v>
      </c>
      <c r="BRR19">
        <f>SOFR3mo_PX[[#This Row],[Column1838]]</f>
        <v>97.22</v>
      </c>
      <c r="BRS19">
        <f>SOFR3mo_PX[[#This Row],[Column1839]]</f>
        <v>97.21</v>
      </c>
      <c r="BRT19">
        <f>SOFR3mo_PX[[#This Row],[Column1840]]</f>
        <v>97.25</v>
      </c>
      <c r="BRU19">
        <f>SOFR3mo_PX[[#This Row],[Column1841]]</f>
        <v>97.23</v>
      </c>
      <c r="BRV19">
        <f>SOFR3mo_PX[[#This Row],[Column1842]]</f>
        <v>97.27</v>
      </c>
      <c r="BRW19">
        <f>SOFR3mo_PX[[#This Row],[Column1843]]</f>
        <v>97.34</v>
      </c>
      <c r="BRX19">
        <f>SOFR3mo_PX[[#This Row],[Column1844]]</f>
        <v>97.334999999999994</v>
      </c>
      <c r="BRY19">
        <f>SOFR3mo_PX[[#This Row],[Column1845]]</f>
        <v>97.43</v>
      </c>
      <c r="BRZ19">
        <f>SOFR3mo_PX[[#This Row],[Column1846]]</f>
        <v>97.215000000000003</v>
      </c>
      <c r="BSA19">
        <f>SOFR3mo_PX[[#This Row],[Column1847]]</f>
        <v>97.215000000000003</v>
      </c>
      <c r="BSB19">
        <f>SOFR3mo_PX[[#This Row],[Column1848]]</f>
        <v>97.185000000000002</v>
      </c>
      <c r="BSC19">
        <f>SOFR3mo_PX[[#This Row],[Column1849]]</f>
        <v>97.155000000000001</v>
      </c>
      <c r="BSD19">
        <f>SOFR3mo_PX[[#This Row],[Column1850]]</f>
        <v>97.105000000000004</v>
      </c>
      <c r="BSE19">
        <f>SOFR3mo_PX[[#This Row],[Column1851]]</f>
        <v>97.094999999999999</v>
      </c>
      <c r="BSF19">
        <f>SOFR3mo_PX[[#This Row],[Column1852]]</f>
        <v>97.11</v>
      </c>
      <c r="BSG19">
        <f>SOFR3mo_PX[[#This Row],[Column1853]]</f>
        <v>97.084999999999994</v>
      </c>
      <c r="BSH19">
        <f>SOFR3mo_PX[[#This Row],[Column1854]]</f>
        <v>97.1</v>
      </c>
      <c r="BSI19">
        <f>SOFR3mo_PX[[#This Row],[Column1855]]</f>
        <v>97.11</v>
      </c>
      <c r="BSJ19">
        <f>SOFR3mo_PX[[#This Row],[Column1856]]</f>
        <v>97.14</v>
      </c>
      <c r="BSK19">
        <f>SOFR3mo_PX[[#This Row],[Column1857]]</f>
        <v>97.144999999999996</v>
      </c>
      <c r="BSL19">
        <f>SOFR3mo_PX[[#This Row],[Column1858]]</f>
        <v>97.16</v>
      </c>
      <c r="BSM19">
        <f>SOFR3mo_PX[[#This Row],[Column1859]]</f>
        <v>97.18</v>
      </c>
      <c r="BSN19">
        <f>SOFR3mo_PX[[#This Row],[Column1860]]</f>
        <v>97.204999999999998</v>
      </c>
      <c r="BSO19">
        <f>SOFR3mo_PX[[#This Row],[Column1861]]</f>
        <v>97.215000000000003</v>
      </c>
      <c r="BSP19">
        <f>SOFR3mo_PX[[#This Row],[Column1862]]</f>
        <v>97.24</v>
      </c>
      <c r="BSQ19" t="str">
        <f>SOFR3mo_PX[[#This Row],[Column1863]]</f>
        <v>#N/A N/A</v>
      </c>
      <c r="BSR19" t="str">
        <f>SOFR3mo_PX[[#This Row],[Column1864]]</f>
        <v>#N/A N/A</v>
      </c>
      <c r="BSS19" t="str">
        <f>SOFR3mo_PX[[#This Row],[Column1865]]</f>
        <v>#N/A N/A</v>
      </c>
      <c r="BST19" t="str">
        <f>SOFR3mo_PX[[#This Row],[Column1866]]</f>
        <v>#N/A N/A</v>
      </c>
      <c r="BSU19" t="str">
        <f>SOFR3mo_PX[[#This Row],[Column1867]]</f>
        <v>#N/A N/A</v>
      </c>
      <c r="BSV19" t="str">
        <f>SOFR3mo_PX[[#This Row],[Column1868]]</f>
        <v>#N/A N/A</v>
      </c>
      <c r="BSW19" t="str">
        <f>SOFR3mo_PX[[#This Row],[Column1869]]</f>
        <v>#N/A N/A</v>
      </c>
      <c r="BSX19" t="str">
        <f>SOFR3mo_PX[[#This Row],[Column1870]]</f>
        <v>#N/A N/A</v>
      </c>
      <c r="BSY19" t="str">
        <f>SOFR3mo_PX[[#This Row],[Column1871]]</f>
        <v>#N/A N/A</v>
      </c>
      <c r="BSZ19" t="str">
        <f>SOFR3mo_PX[[#This Row],[Column1872]]</f>
        <v>#N/A N/A</v>
      </c>
      <c r="BTA19" t="str">
        <f>SOFR3mo_PX[[#This Row],[Column1873]]</f>
        <v>#N/A N/A</v>
      </c>
      <c r="BTB19" t="str">
        <f>SOFR3mo_PX[[#This Row],[Column1874]]</f>
        <v>#N/A N/A</v>
      </c>
      <c r="BTC19" t="str">
        <f>SOFR3mo_PX[[#This Row],[Column1875]]</f>
        <v>#N/A N/A</v>
      </c>
      <c r="BTD19" t="str">
        <f>SOFR3mo_PX[[#This Row],[Column1876]]</f>
        <v>#N/A N/A</v>
      </c>
      <c r="BTE19" t="str">
        <f>SOFR3mo_PX[[#This Row],[Column1877]]</f>
        <v>#N/A N/A</v>
      </c>
      <c r="BTF19" t="str">
        <f>SOFR3mo_PX[[#This Row],[Column1878]]</f>
        <v>#N/A N/A</v>
      </c>
      <c r="BTG19" t="str">
        <f>SOFR3mo_PX[[#This Row],[Column1879]]</f>
        <v>#N/A N/A</v>
      </c>
      <c r="BTH19" t="str">
        <f>SOFR3mo_PX[[#This Row],[Column1880]]</f>
        <v>#N/A N/A</v>
      </c>
      <c r="BTI19" t="str">
        <f>SOFR3mo_PX[[#This Row],[Column1881]]</f>
        <v>#N/A N/A</v>
      </c>
      <c r="BTJ19" t="str">
        <f>SOFR3mo_PX[[#This Row],[Column1882]]</f>
        <v>#N/A N/A</v>
      </c>
      <c r="BTK19" t="str">
        <f>SOFR3mo_PX[[#This Row],[Column1883]]</f>
        <v>#N/A N/A</v>
      </c>
      <c r="BTL19" t="str">
        <f>SOFR3mo_PX[[#This Row],[Column1884]]</f>
        <v>#N/A N/A</v>
      </c>
      <c r="BTM19" t="str">
        <f>SOFR3mo_PX[[#This Row],[Column1885]]</f>
        <v>#N/A N/A</v>
      </c>
      <c r="BTN19" t="str">
        <f>SOFR3mo_PX[[#This Row],[Column1886]]</f>
        <v>#N/A N/A</v>
      </c>
      <c r="BTO19" t="str">
        <f>SOFR3mo_PX[[#This Row],[Column1887]]</f>
        <v>#N/A N/A</v>
      </c>
      <c r="BTP19" t="str">
        <f>SOFR3mo_PX[[#This Row],[Column1888]]</f>
        <v>#N/A N/A</v>
      </c>
      <c r="BTQ19" t="str">
        <f>SOFR3mo_PX[[#This Row],[Column1889]]</f>
        <v>#N/A N/A</v>
      </c>
      <c r="BTR19" t="str">
        <f>SOFR3mo_PX[[#This Row],[Column1890]]</f>
        <v>#N/A N/A</v>
      </c>
      <c r="BTS19" t="str">
        <f>SOFR3mo_PX[[#This Row],[Column1891]]</f>
        <v>#N/A N/A</v>
      </c>
      <c r="BTT19" t="str">
        <f>SOFR3mo_PX[[#This Row],[Column1892]]</f>
        <v>#N/A N/A</v>
      </c>
      <c r="BTU19" t="str">
        <f>SOFR3mo_PX[[#This Row],[Column1893]]</f>
        <v>#N/A N/A</v>
      </c>
      <c r="BTV19" t="str">
        <f>SOFR3mo_PX[[#This Row],[Column1894]]</f>
        <v>#N/A N/A</v>
      </c>
      <c r="BTW19" t="str">
        <f>SOFR3mo_PX[[#This Row],[Column1895]]</f>
        <v>#N/A N/A</v>
      </c>
      <c r="BTX19" t="str">
        <f>SOFR3mo_PX[[#This Row],[Column1896]]</f>
        <v>#N/A N/A</v>
      </c>
      <c r="BTY19" t="str">
        <f>SOFR3mo_PX[[#This Row],[Column1897]]</f>
        <v>#N/A N/A</v>
      </c>
      <c r="BTZ19" t="str">
        <f>SOFR3mo_PX[[#This Row],[Column1898]]</f>
        <v>#N/A N/A</v>
      </c>
      <c r="BUA19" t="str">
        <f>SOFR3mo_PX[[#This Row],[Column1899]]</f>
        <v>#N/A N/A</v>
      </c>
      <c r="BUB19" t="str">
        <f>SOFR3mo_PX[[#This Row],[Column1900]]</f>
        <v>#N/A N/A</v>
      </c>
      <c r="BUC19" t="str">
        <f>SOFR3mo_PX[[#This Row],[Column1901]]</f>
        <v>#N/A N/A</v>
      </c>
      <c r="BUD19" t="str">
        <f>SOFR3mo_PX[[#This Row],[Column1902]]</f>
        <v>#N/A N/A</v>
      </c>
      <c r="BUE19" t="str">
        <f>SOFR3mo_PX[[#This Row],[Column1903]]</f>
        <v>#N/A N/A</v>
      </c>
      <c r="BUF19" t="str">
        <f>SOFR3mo_PX[[#This Row],[Column1904]]</f>
        <v>#N/A N/A</v>
      </c>
      <c r="BUG19" t="str">
        <f>SOFR3mo_PX[[#This Row],[Column1905]]</f>
        <v>#N/A N/A</v>
      </c>
      <c r="BUH19" t="str">
        <f>SOFR3mo_PX[[#This Row],[Column1906]]</f>
        <v>#N/A N/A</v>
      </c>
      <c r="BUI19" t="str">
        <f>SOFR3mo_PX[[#This Row],[Column1907]]</f>
        <v>#N/A N/A</v>
      </c>
      <c r="BUJ19" t="str">
        <f>SOFR3mo_PX[[#This Row],[Column1908]]</f>
        <v>#N/A N/A</v>
      </c>
      <c r="BUK19" t="str">
        <f>SOFR3mo_PX[[#This Row],[Column1909]]</f>
        <v>#N/A N/A</v>
      </c>
      <c r="BUL19" t="str">
        <f>SOFR3mo_PX[[#This Row],[Column1910]]</f>
        <v>#N/A N/A</v>
      </c>
      <c r="BUM19" t="str">
        <f>SOFR3mo_PX[[#This Row],[Column1911]]</f>
        <v>#N/A N/A</v>
      </c>
      <c r="BUN19" t="str">
        <f>SOFR3mo_PX[[#This Row],[Column1912]]</f>
        <v>#N/A N/A</v>
      </c>
      <c r="BUO19" t="str">
        <f>SOFR3mo_PX[[#This Row],[Column1913]]</f>
        <v>#N/A N/A</v>
      </c>
      <c r="BUP19" t="str">
        <f>SOFR3mo_PX[[#This Row],[Column1914]]</f>
        <v>#N/A N/A</v>
      </c>
      <c r="BUQ19" t="str">
        <f>SOFR3mo_PX[[#This Row],[Column1915]]</f>
        <v>#N/A N/A</v>
      </c>
      <c r="BUR19" t="str">
        <f>SOFR3mo_PX[[#This Row],[Column1916]]</f>
        <v>#N/A N/A</v>
      </c>
      <c r="BUS19" t="str">
        <f>SOFR3mo_PX[[#This Row],[Column1917]]</f>
        <v>#N/A N/A</v>
      </c>
      <c r="BUT19" t="str">
        <f>SOFR3mo_PX[[#This Row],[Column1918]]</f>
        <v>#N/A N/A</v>
      </c>
      <c r="BUU19" t="str">
        <f>SOFR3mo_PX[[#This Row],[Column1919]]</f>
        <v>#N/A N/A</v>
      </c>
      <c r="BUV19" t="str">
        <f>SOFR3mo_PX[[#This Row],[Column1920]]</f>
        <v>#N/A N/A</v>
      </c>
      <c r="BUW19" t="str">
        <f>SOFR3mo_PX[[#This Row],[Column1921]]</f>
        <v>#N/A N/A</v>
      </c>
      <c r="BUX19" t="str">
        <f>SOFR3mo_PX[[#This Row],[Column1922]]</f>
        <v>#N/A N/A</v>
      </c>
      <c r="BUY19" t="str">
        <f>SOFR3mo_PX[[#This Row],[Column1923]]</f>
        <v>#N/A N/A</v>
      </c>
      <c r="BUZ19" t="str">
        <f>SOFR3mo_PX[[#This Row],[Column1924]]</f>
        <v>#N/A N/A</v>
      </c>
      <c r="BVA19" t="str">
        <f>SOFR3mo_PX[[#This Row],[Column1925]]</f>
        <v>#N/A N/A</v>
      </c>
      <c r="BVB19" t="str">
        <f>SOFR3mo_PX[[#This Row],[Column1926]]</f>
        <v>#N/A N/A</v>
      </c>
      <c r="BVC19" t="str">
        <f>SOFR3mo_PX[[#This Row],[Column1927]]</f>
        <v>#N/A N/A</v>
      </c>
      <c r="BVD19" t="str">
        <f>SOFR3mo_PX[[#This Row],[Column1928]]</f>
        <v>#N/A N/A</v>
      </c>
      <c r="BVE19" t="str">
        <f>SOFR3mo_PX[[#This Row],[Column1929]]</f>
        <v>#N/A N/A</v>
      </c>
      <c r="BVF19" t="str">
        <f>SOFR3mo_PX[[#This Row],[Column1930]]</f>
        <v>#N/A N/A</v>
      </c>
      <c r="BVG19" t="str">
        <f>SOFR3mo_PX[[#This Row],[Column1931]]</f>
        <v>#N/A N/A</v>
      </c>
      <c r="BVH19" t="str">
        <f>SOFR3mo_PX[[#This Row],[Column1932]]</f>
        <v>#N/A N/A</v>
      </c>
      <c r="BVI19" t="str">
        <f>SOFR3mo_PX[[#This Row],[Column1933]]</f>
        <v>#N/A N/A</v>
      </c>
      <c r="BVJ19" t="str">
        <f>SOFR3mo_PX[[#This Row],[Column1934]]</f>
        <v>#N/A N/A</v>
      </c>
      <c r="BVK19" t="str">
        <f>SOFR3mo_PX[[#This Row],[Column1935]]</f>
        <v>#N/A N/A</v>
      </c>
      <c r="BVL19" t="str">
        <f>SOFR3mo_PX[[#This Row],[Column1936]]</f>
        <v>#N/A N/A</v>
      </c>
      <c r="BVM19" t="str">
        <f>SOFR3mo_PX[[#This Row],[Column1937]]</f>
        <v>#N/A N/A</v>
      </c>
      <c r="BVN19" t="str">
        <f>SOFR3mo_PX[[#This Row],[Column1938]]</f>
        <v>#N/A N/A</v>
      </c>
      <c r="BVO19" t="str">
        <f>SOFR3mo_PX[[#This Row],[Column1939]]</f>
        <v>#N/A N/A</v>
      </c>
      <c r="BVP19" t="str">
        <f>SOFR3mo_PX[[#This Row],[Column1940]]</f>
        <v>#N/A N/A</v>
      </c>
      <c r="BVQ19" t="str">
        <f>SOFR3mo_PX[[#This Row],[Column1941]]</f>
        <v>#N/A N/A</v>
      </c>
      <c r="BVR19" t="str">
        <f>SOFR3mo_PX[[#This Row],[Column1942]]</f>
        <v>#N/A N/A</v>
      </c>
      <c r="BVS19" t="str">
        <f>SOFR3mo_PX[[#This Row],[Column1943]]</f>
        <v>#N/A N/A</v>
      </c>
      <c r="BVT19" t="str">
        <f>SOFR3mo_PX[[#This Row],[Column1944]]</f>
        <v>#N/A N/A</v>
      </c>
      <c r="BVU19" t="str">
        <f>SOFR3mo_PX[[#This Row],[Column1945]]</f>
        <v>#N/A N/A</v>
      </c>
      <c r="BVV19" t="str">
        <f>SOFR3mo_PX[[#This Row],[Column1946]]</f>
        <v>#N/A N/A</v>
      </c>
      <c r="BVW19" t="str">
        <f>SOFR3mo_PX[[#This Row],[Column1947]]</f>
        <v>#N/A N/A</v>
      </c>
      <c r="BVX19" t="str">
        <f>SOFR3mo_PX[[#This Row],[Column1948]]</f>
        <v>#N/A N/A</v>
      </c>
      <c r="BVY19" t="str">
        <f>SOFR3mo_PX[[#This Row],[Column1949]]</f>
        <v>#N/A N/A</v>
      </c>
      <c r="BVZ19" t="str">
        <f>SOFR3mo_PX[[#This Row],[Column1950]]</f>
        <v>#N/A N/A</v>
      </c>
      <c r="BWA19" t="str">
        <f>SOFR3mo_PX[[#This Row],[Column1951]]</f>
        <v>#N/A N/A</v>
      </c>
      <c r="BWB19" t="str">
        <f>SOFR3mo_PX[[#This Row],[Column1952]]</f>
        <v>#N/A N/A</v>
      </c>
      <c r="BWC19" t="str">
        <f>SOFR3mo_PX[[#This Row],[Column1953]]</f>
        <v>#N/A N/A</v>
      </c>
      <c r="BWD19" t="str">
        <f>SOFR3mo_PX[[#This Row],[Column1954]]</f>
        <v>#N/A N/A</v>
      </c>
    </row>
    <row r="20" spans="1:1954" x14ac:dyDescent="0.25">
      <c r="A20" t="str">
        <f>SOFR3mo_PX[[#This Row],[Column1]]</f>
        <v>SFR18 Comdty</v>
      </c>
      <c r="B20">
        <f>IF(rtd!B18&lt;&gt;"",rtd!B18,SOFR3mo_PX[[#This Row],[Column2]])</f>
        <v>96.282499999999999</v>
      </c>
      <c r="C20">
        <f>SOFR3mo_PX[[#This Row],[Column3]]</f>
        <v>96.254999999999995</v>
      </c>
      <c r="D20">
        <f>SOFR3mo_PX[[#This Row],[Column4]]</f>
        <v>96.254999999999995</v>
      </c>
      <c r="E20">
        <f>SOFR3mo_PX[[#This Row],[Column5]]</f>
        <v>96.3</v>
      </c>
      <c r="F20">
        <f>SOFR3mo_PX[[#This Row],[Column6]]</f>
        <v>96.24</v>
      </c>
      <c r="G20">
        <f>SOFR3mo_PX[[#This Row],[Column7]]</f>
        <v>96.26</v>
      </c>
      <c r="H20">
        <f>SOFR3mo_PX[[#This Row],[Column8]]</f>
        <v>96.305000000000007</v>
      </c>
      <c r="I20">
        <f>SOFR3mo_PX[[#This Row],[Column9]]</f>
        <v>96.25</v>
      </c>
      <c r="J20">
        <f>SOFR3mo_PX[[#This Row],[Column10]]</f>
        <v>96.19</v>
      </c>
      <c r="K20">
        <f>SOFR3mo_PX[[#This Row],[Column11]]</f>
        <v>96.174999999999997</v>
      </c>
      <c r="L20">
        <f>SOFR3mo_PX[[#This Row],[Column12]]</f>
        <v>96.155000000000001</v>
      </c>
      <c r="M20">
        <f>SOFR3mo_PX[[#This Row],[Column13]]</f>
        <v>96.275000000000006</v>
      </c>
      <c r="N20">
        <f>SOFR3mo_PX[[#This Row],[Column14]]</f>
        <v>96.314999999999998</v>
      </c>
      <c r="O20">
        <f>SOFR3mo_PX[[#This Row],[Column15]]</f>
        <v>96.23</v>
      </c>
      <c r="P20">
        <f>SOFR3mo_PX[[#This Row],[Column16]]</f>
        <v>96.234999999999999</v>
      </c>
      <c r="Q20">
        <f>SOFR3mo_PX[[#This Row],[Column17]]</f>
        <v>96.29</v>
      </c>
      <c r="R20">
        <f>SOFR3mo_PX[[#This Row],[Column18]]</f>
        <v>96.27</v>
      </c>
      <c r="S20">
        <f>SOFR3mo_PX[[#This Row],[Column19]]</f>
        <v>96.23</v>
      </c>
      <c r="T20">
        <f>SOFR3mo_PX[[#This Row],[Column20]]</f>
        <v>96.275000000000006</v>
      </c>
      <c r="U20">
        <f>SOFR3mo_PX[[#This Row],[Column21]]</f>
        <v>96.19</v>
      </c>
      <c r="V20">
        <f>SOFR3mo_PX[[#This Row],[Column22]]</f>
        <v>96.19</v>
      </c>
      <c r="W20">
        <f>SOFR3mo_PX[[#This Row],[Column23]]</f>
        <v>96.14</v>
      </c>
      <c r="X20">
        <f>SOFR3mo_PX[[#This Row],[Column24]]</f>
        <v>96.084999999999994</v>
      </c>
      <c r="Y20">
        <f>SOFR3mo_PX[[#This Row],[Column25]]</f>
        <v>96.19</v>
      </c>
      <c r="Z20">
        <f>SOFR3mo_PX[[#This Row],[Column26]]</f>
        <v>96.174999999999997</v>
      </c>
      <c r="AA20">
        <f>SOFR3mo_PX[[#This Row],[Column27]]</f>
        <v>96.194999999999993</v>
      </c>
      <c r="AB20">
        <f>SOFR3mo_PX[[#This Row],[Column28]]</f>
        <v>96.174999999999997</v>
      </c>
      <c r="AC20">
        <f>SOFR3mo_PX[[#This Row],[Column29]]</f>
        <v>96.09</v>
      </c>
      <c r="AD20">
        <f>SOFR3mo_PX[[#This Row],[Column30]]</f>
        <v>96.13</v>
      </c>
      <c r="AE20">
        <f>SOFR3mo_PX[[#This Row],[Column31]]</f>
        <v>96.155000000000001</v>
      </c>
      <c r="AF20">
        <f>SOFR3mo_PX[[#This Row],[Column32]]</f>
        <v>96.25</v>
      </c>
      <c r="AG20">
        <f>SOFR3mo_PX[[#This Row],[Column33]]</f>
        <v>96.245000000000005</v>
      </c>
      <c r="AH20">
        <f>SOFR3mo_PX[[#This Row],[Column34]]</f>
        <v>96.364999999999995</v>
      </c>
      <c r="AI20">
        <f>SOFR3mo_PX[[#This Row],[Column35]]</f>
        <v>96.325000000000003</v>
      </c>
      <c r="AJ20">
        <f>SOFR3mo_PX[[#This Row],[Column36]]</f>
        <v>96.295000000000002</v>
      </c>
      <c r="AK20">
        <f>SOFR3mo_PX[[#This Row],[Column37]]</f>
        <v>96.31</v>
      </c>
      <c r="AL20">
        <f>SOFR3mo_PX[[#This Row],[Column38]]</f>
        <v>96.39</v>
      </c>
      <c r="AM20">
        <f>SOFR3mo_PX[[#This Row],[Column39]]</f>
        <v>96.435000000000002</v>
      </c>
      <c r="AN20">
        <f>SOFR3mo_PX[[#This Row],[Column40]]</f>
        <v>96.42</v>
      </c>
      <c r="AO20">
        <f>SOFR3mo_PX[[#This Row],[Column41]]</f>
        <v>96.37</v>
      </c>
      <c r="AP20">
        <f>SOFR3mo_PX[[#This Row],[Column42]]</f>
        <v>96.305000000000007</v>
      </c>
      <c r="AQ20">
        <f>SOFR3mo_PX[[#This Row],[Column43]]</f>
        <v>96.254999999999995</v>
      </c>
      <c r="AR20">
        <f>SOFR3mo_PX[[#This Row],[Column44]]</f>
        <v>96.174999999999997</v>
      </c>
      <c r="AS20">
        <f>SOFR3mo_PX[[#This Row],[Column45]]</f>
        <v>96.18</v>
      </c>
      <c r="AT20">
        <f>SOFR3mo_PX[[#This Row],[Column46]]</f>
        <v>96.174999999999997</v>
      </c>
      <c r="AU20">
        <f>SOFR3mo_PX[[#This Row],[Column47]]</f>
        <v>96.24</v>
      </c>
      <c r="AV20">
        <f>SOFR3mo_PX[[#This Row],[Column48]]</f>
        <v>96.24</v>
      </c>
      <c r="AW20">
        <f>SOFR3mo_PX[[#This Row],[Column49]]</f>
        <v>96.284999999999997</v>
      </c>
      <c r="AX20">
        <f>SOFR3mo_PX[[#This Row],[Column50]]</f>
        <v>96.22</v>
      </c>
      <c r="AY20">
        <f>SOFR3mo_PX[[#This Row],[Column51]]</f>
        <v>96.185000000000002</v>
      </c>
      <c r="AZ20">
        <f>SOFR3mo_PX[[#This Row],[Column52]]</f>
        <v>96.055000000000007</v>
      </c>
      <c r="BA20">
        <f>SOFR3mo_PX[[#This Row],[Column53]]</f>
        <v>96.2</v>
      </c>
      <c r="BB20">
        <f>SOFR3mo_PX[[#This Row],[Column54]]</f>
        <v>96.13</v>
      </c>
      <c r="BC20">
        <f>SOFR3mo_PX[[#This Row],[Column55]]</f>
        <v>96.32</v>
      </c>
      <c r="BD20">
        <f>SOFR3mo_PX[[#This Row],[Column56]]</f>
        <v>96.39</v>
      </c>
      <c r="BE20">
        <f>SOFR3mo_PX[[#This Row],[Column57]]</f>
        <v>96.545000000000002</v>
      </c>
      <c r="BF20">
        <f>SOFR3mo_PX[[#This Row],[Column58]]</f>
        <v>96.474999999999994</v>
      </c>
      <c r="BG20">
        <f>SOFR3mo_PX[[#This Row],[Column59]]</f>
        <v>96.29</v>
      </c>
      <c r="BH20">
        <f>SOFR3mo_PX[[#This Row],[Column60]]</f>
        <v>96.344999999999999</v>
      </c>
      <c r="BI20">
        <f>SOFR3mo_PX[[#This Row],[Column61]]</f>
        <v>96.25</v>
      </c>
      <c r="BJ20">
        <f>SOFR3mo_PX[[#This Row],[Column62]]</f>
        <v>96.234999999999999</v>
      </c>
      <c r="BK20">
        <f>SOFR3mo_PX[[#This Row],[Column63]]</f>
        <v>96.11</v>
      </c>
      <c r="BL20">
        <f>SOFR3mo_PX[[#This Row],[Column64]]</f>
        <v>96.144999999999996</v>
      </c>
      <c r="BM20">
        <f>SOFR3mo_PX[[#This Row],[Column65]]</f>
        <v>96.16</v>
      </c>
      <c r="BN20">
        <f>SOFR3mo_PX[[#This Row],[Column66]]</f>
        <v>96.125</v>
      </c>
      <c r="BO20">
        <f>SOFR3mo_PX[[#This Row],[Column67]]</f>
        <v>96.21</v>
      </c>
      <c r="BP20">
        <f>SOFR3mo_PX[[#This Row],[Column68]]</f>
        <v>96.215000000000003</v>
      </c>
      <c r="BQ20">
        <f>SOFR3mo_PX[[#This Row],[Column69]]</f>
        <v>96.185000000000002</v>
      </c>
      <c r="BR20">
        <f>SOFR3mo_PX[[#This Row],[Column70]]</f>
        <v>96.194999999999993</v>
      </c>
      <c r="BS20">
        <f>SOFR3mo_PX[[#This Row],[Column71]]</f>
        <v>96.155000000000001</v>
      </c>
      <c r="BT20">
        <f>SOFR3mo_PX[[#This Row],[Column72]]</f>
        <v>96.15</v>
      </c>
      <c r="BU20">
        <f>SOFR3mo_PX[[#This Row],[Column73]]</f>
        <v>96.204999999999998</v>
      </c>
      <c r="BV20">
        <f>SOFR3mo_PX[[#This Row],[Column74]]</f>
        <v>96.155000000000001</v>
      </c>
      <c r="BW20">
        <f>SOFR3mo_PX[[#This Row],[Column75]]</f>
        <v>96.19</v>
      </c>
      <c r="BX20">
        <f>SOFR3mo_PX[[#This Row],[Column76]]</f>
        <v>96.28</v>
      </c>
      <c r="BY20">
        <f>SOFR3mo_PX[[#This Row],[Column77]]</f>
        <v>96.14</v>
      </c>
      <c r="BZ20">
        <f>SOFR3mo_PX[[#This Row],[Column78]]</f>
        <v>96.17</v>
      </c>
      <c r="CA20">
        <f>SOFR3mo_PX[[#This Row],[Column79]]</f>
        <v>96.19</v>
      </c>
      <c r="CB20">
        <f>SOFR3mo_PX[[#This Row],[Column80]]</f>
        <v>96.27</v>
      </c>
      <c r="CC20">
        <f>SOFR3mo_PX[[#This Row],[Column81]]</f>
        <v>96.305000000000007</v>
      </c>
      <c r="CD20">
        <f>SOFR3mo_PX[[#This Row],[Column82]]</f>
        <v>96.26</v>
      </c>
      <c r="CE20">
        <f>SOFR3mo_PX[[#This Row],[Column83]]</f>
        <v>96.194999999999993</v>
      </c>
      <c r="CF20">
        <f>SOFR3mo_PX[[#This Row],[Column84]]</f>
        <v>96.234999999999999</v>
      </c>
      <c r="CG20">
        <f>SOFR3mo_PX[[#This Row],[Column85]]</f>
        <v>96.165000000000006</v>
      </c>
      <c r="CH20">
        <f>SOFR3mo_PX[[#This Row],[Column86]]</f>
        <v>96.03</v>
      </c>
      <c r="CI20">
        <f>SOFR3mo_PX[[#This Row],[Column87]]</f>
        <v>96</v>
      </c>
      <c r="CJ20">
        <f>SOFR3mo_PX[[#This Row],[Column88]]</f>
        <v>95.915000000000006</v>
      </c>
      <c r="CK20">
        <f>SOFR3mo_PX[[#This Row],[Column89]]</f>
        <v>95.87</v>
      </c>
      <c r="CL20">
        <f>SOFR3mo_PX[[#This Row],[Column90]]</f>
        <v>95.864999999999995</v>
      </c>
      <c r="CM20">
        <f>SOFR3mo_PX[[#This Row],[Column91]]</f>
        <v>95.94</v>
      </c>
      <c r="CN20">
        <f>SOFR3mo_PX[[#This Row],[Column92]]</f>
        <v>95.94</v>
      </c>
      <c r="CO20">
        <f>SOFR3mo_PX[[#This Row],[Column93]]</f>
        <v>95.87</v>
      </c>
      <c r="CP20">
        <f>SOFR3mo_PX[[#This Row],[Column94]]</f>
        <v>95.75</v>
      </c>
      <c r="CQ20">
        <f>SOFR3mo_PX[[#This Row],[Column95]]</f>
        <v>95.894999999999996</v>
      </c>
      <c r="CR20">
        <f>SOFR3mo_PX[[#This Row],[Column96]]</f>
        <v>95.944999999999993</v>
      </c>
      <c r="CS20">
        <f>SOFR3mo_PX[[#This Row],[Column97]]</f>
        <v>95.94</v>
      </c>
      <c r="CT20">
        <f>SOFR3mo_PX[[#This Row],[Column98]]</f>
        <v>96</v>
      </c>
      <c r="CU20">
        <f>SOFR3mo_PX[[#This Row],[Column99]]</f>
        <v>96.05</v>
      </c>
      <c r="CV20">
        <f>SOFR3mo_PX[[#This Row],[Column100]]</f>
        <v>95.944999999999993</v>
      </c>
      <c r="CW20">
        <f>SOFR3mo_PX[[#This Row],[Column101]]</f>
        <v>95.91</v>
      </c>
      <c r="CX20">
        <f>SOFR3mo_PX[[#This Row],[Column102]]</f>
        <v>95.87</v>
      </c>
      <c r="CY20">
        <f>SOFR3mo_PX[[#This Row],[Column103]]</f>
        <v>95.935000000000002</v>
      </c>
      <c r="CZ20">
        <f>SOFR3mo_PX[[#This Row],[Column104]]</f>
        <v>95.885000000000005</v>
      </c>
      <c r="DA20">
        <f>SOFR3mo_PX[[#This Row],[Column105]]</f>
        <v>95.894999999999996</v>
      </c>
      <c r="DB20">
        <f>SOFR3mo_PX[[#This Row],[Column106]]</f>
        <v>95.915000000000006</v>
      </c>
      <c r="DC20">
        <f>SOFR3mo_PX[[#This Row],[Column107]]</f>
        <v>95.81</v>
      </c>
      <c r="DD20">
        <f>SOFR3mo_PX[[#This Row],[Column108]]</f>
        <v>95.805000000000007</v>
      </c>
      <c r="DE20">
        <f>SOFR3mo_PX[[#This Row],[Column109]]</f>
        <v>95.834999999999994</v>
      </c>
      <c r="DF20">
        <f>SOFR3mo_PX[[#This Row],[Column110]]</f>
        <v>95.864999999999995</v>
      </c>
      <c r="DG20">
        <f>SOFR3mo_PX[[#This Row],[Column111]]</f>
        <v>95.83</v>
      </c>
      <c r="DH20">
        <f>SOFR3mo_PX[[#This Row],[Column112]]</f>
        <v>95.83</v>
      </c>
      <c r="DI20">
        <f>SOFR3mo_PX[[#This Row],[Column113]]</f>
        <v>95.83</v>
      </c>
      <c r="DJ20">
        <f>SOFR3mo_PX[[#This Row],[Column114]]</f>
        <v>95.77</v>
      </c>
      <c r="DK20">
        <f>SOFR3mo_PX[[#This Row],[Column115]]</f>
        <v>95.62</v>
      </c>
      <c r="DL20">
        <f>SOFR3mo_PX[[#This Row],[Column116]]</f>
        <v>95.614999999999995</v>
      </c>
      <c r="DM20">
        <f>SOFR3mo_PX[[#This Row],[Column117]]</f>
        <v>95.66</v>
      </c>
      <c r="DN20">
        <f>SOFR3mo_PX[[#This Row],[Column118]]</f>
        <v>95.77</v>
      </c>
      <c r="DO20">
        <f>SOFR3mo_PX[[#This Row],[Column119]]</f>
        <v>95.75</v>
      </c>
      <c r="DP20">
        <f>SOFR3mo_PX[[#This Row],[Column120]]</f>
        <v>95.76</v>
      </c>
      <c r="DQ20">
        <f>SOFR3mo_PX[[#This Row],[Column121]]</f>
        <v>95.844999999999999</v>
      </c>
      <c r="DR20">
        <f>SOFR3mo_PX[[#This Row],[Column122]]</f>
        <v>95.905000000000001</v>
      </c>
      <c r="DS20">
        <f>SOFR3mo_PX[[#This Row],[Column123]]</f>
        <v>95.924999999999997</v>
      </c>
      <c r="DT20">
        <f>SOFR3mo_PX[[#This Row],[Column124]]</f>
        <v>95.915000000000006</v>
      </c>
      <c r="DU20">
        <f>SOFR3mo_PX[[#This Row],[Column125]]</f>
        <v>95.915000000000006</v>
      </c>
      <c r="DV20">
        <f>SOFR3mo_PX[[#This Row],[Column126]]</f>
        <v>95.95</v>
      </c>
      <c r="DW20">
        <f>SOFR3mo_PX[[#This Row],[Column127]]</f>
        <v>95.864999999999995</v>
      </c>
      <c r="DX20">
        <f>SOFR3mo_PX[[#This Row],[Column128]]</f>
        <v>95.915000000000006</v>
      </c>
      <c r="DY20">
        <f>SOFR3mo_PX[[#This Row],[Column129]]</f>
        <v>95.9</v>
      </c>
      <c r="DZ20">
        <f>SOFR3mo_PX[[#This Row],[Column130]]</f>
        <v>95.9</v>
      </c>
      <c r="EA20">
        <f>SOFR3mo_PX[[#This Row],[Column131]]</f>
        <v>95.88</v>
      </c>
      <c r="EB20">
        <f>SOFR3mo_PX[[#This Row],[Column132]]</f>
        <v>95.974999999999994</v>
      </c>
      <c r="EC20">
        <f>SOFR3mo_PX[[#This Row],[Column133]]</f>
        <v>95.91</v>
      </c>
      <c r="ED20">
        <f>SOFR3mo_PX[[#This Row],[Column134]]</f>
        <v>96.03</v>
      </c>
      <c r="EE20">
        <f>SOFR3mo_PX[[#This Row],[Column135]]</f>
        <v>96.16</v>
      </c>
      <c r="EF20">
        <f>SOFR3mo_PX[[#This Row],[Column136]]</f>
        <v>96.15</v>
      </c>
      <c r="EG20">
        <f>SOFR3mo_PX[[#This Row],[Column137]]</f>
        <v>96.155000000000001</v>
      </c>
      <c r="EH20">
        <f>SOFR3mo_PX[[#This Row],[Column138]]</f>
        <v>96.234999999999999</v>
      </c>
      <c r="EI20">
        <f>SOFR3mo_PX[[#This Row],[Column139]]</f>
        <v>96.29</v>
      </c>
      <c r="EJ20">
        <f>SOFR3mo_PX[[#This Row],[Column140]]</f>
        <v>96.355000000000004</v>
      </c>
      <c r="EK20">
        <f>SOFR3mo_PX[[#This Row],[Column141]]</f>
        <v>96.38</v>
      </c>
      <c r="EL20">
        <f>SOFR3mo_PX[[#This Row],[Column142]]</f>
        <v>96.415000000000006</v>
      </c>
      <c r="EM20">
        <f>SOFR3mo_PX[[#This Row],[Column143]]</f>
        <v>96.375</v>
      </c>
      <c r="EN20">
        <f>SOFR3mo_PX[[#This Row],[Column144]]</f>
        <v>96.375</v>
      </c>
      <c r="EO20">
        <f>SOFR3mo_PX[[#This Row],[Column145]]</f>
        <v>96.344999999999999</v>
      </c>
      <c r="EP20">
        <f>SOFR3mo_PX[[#This Row],[Column146]]</f>
        <v>96.38</v>
      </c>
      <c r="EQ20">
        <f>SOFR3mo_PX[[#This Row],[Column147]]</f>
        <v>96.385000000000005</v>
      </c>
      <c r="ER20">
        <f>SOFR3mo_PX[[#This Row],[Column148]]</f>
        <v>96.35</v>
      </c>
      <c r="ES20">
        <f>SOFR3mo_PX[[#This Row],[Column149]]</f>
        <v>96.35</v>
      </c>
      <c r="ET20">
        <f>SOFR3mo_PX[[#This Row],[Column150]]</f>
        <v>96.27</v>
      </c>
      <c r="EU20">
        <f>SOFR3mo_PX[[#This Row],[Column151]]</f>
        <v>96.33</v>
      </c>
      <c r="EV20">
        <f>SOFR3mo_PX[[#This Row],[Column152]]</f>
        <v>96.185000000000002</v>
      </c>
      <c r="EW20">
        <f>SOFR3mo_PX[[#This Row],[Column153]]</f>
        <v>96.15</v>
      </c>
      <c r="EX20">
        <f>SOFR3mo_PX[[#This Row],[Column154]]</f>
        <v>96.165000000000006</v>
      </c>
      <c r="EY20">
        <f>SOFR3mo_PX[[#This Row],[Column155]]</f>
        <v>96.19</v>
      </c>
      <c r="EZ20">
        <f>SOFR3mo_PX[[#This Row],[Column156]]</f>
        <v>96.155000000000001</v>
      </c>
      <c r="FA20">
        <f>SOFR3mo_PX[[#This Row],[Column157]]</f>
        <v>96.14</v>
      </c>
      <c r="FB20">
        <f>SOFR3mo_PX[[#This Row],[Column158]]</f>
        <v>96.144999999999996</v>
      </c>
      <c r="FC20">
        <f>SOFR3mo_PX[[#This Row],[Column159]]</f>
        <v>96.12</v>
      </c>
      <c r="FD20">
        <f>SOFR3mo_PX[[#This Row],[Column160]]</f>
        <v>96.135000000000005</v>
      </c>
      <c r="FE20">
        <f>SOFR3mo_PX[[#This Row],[Column161]]</f>
        <v>96.18</v>
      </c>
      <c r="FF20">
        <f>SOFR3mo_PX[[#This Row],[Column162]]</f>
        <v>96.24</v>
      </c>
      <c r="FG20">
        <f>SOFR3mo_PX[[#This Row],[Column163]]</f>
        <v>96.204999999999998</v>
      </c>
      <c r="FH20">
        <f>SOFR3mo_PX[[#This Row],[Column164]]</f>
        <v>96.114999999999995</v>
      </c>
      <c r="FI20">
        <f>SOFR3mo_PX[[#This Row],[Column165]]</f>
        <v>96.28</v>
      </c>
      <c r="FJ20">
        <f>SOFR3mo_PX[[#This Row],[Column166]]</f>
        <v>96.254999999999995</v>
      </c>
      <c r="FK20">
        <f>SOFR3mo_PX[[#This Row],[Column167]]</f>
        <v>96.204999999999998</v>
      </c>
      <c r="FL20">
        <f>SOFR3mo_PX[[#This Row],[Column168]]</f>
        <v>96.265000000000001</v>
      </c>
      <c r="FM20">
        <f>SOFR3mo_PX[[#This Row],[Column169]]</f>
        <v>96.284999999999997</v>
      </c>
      <c r="FN20">
        <f>SOFR3mo_PX[[#This Row],[Column170]]</f>
        <v>96.28</v>
      </c>
      <c r="FO20">
        <f>SOFR3mo_PX[[#This Row],[Column171]]</f>
        <v>96.27</v>
      </c>
      <c r="FP20">
        <f>SOFR3mo_PX[[#This Row],[Column172]]</f>
        <v>96.31</v>
      </c>
      <c r="FQ20">
        <f>SOFR3mo_PX[[#This Row],[Column173]]</f>
        <v>96.334999999999994</v>
      </c>
      <c r="FR20">
        <f>SOFR3mo_PX[[#This Row],[Column174]]</f>
        <v>96.284999999999997</v>
      </c>
      <c r="FS20">
        <f>SOFR3mo_PX[[#This Row],[Column175]]</f>
        <v>96.33</v>
      </c>
      <c r="FT20">
        <f>SOFR3mo_PX[[#This Row],[Column176]]</f>
        <v>96.355000000000004</v>
      </c>
      <c r="FU20">
        <f>SOFR3mo_PX[[#This Row],[Column177]]</f>
        <v>96.47</v>
      </c>
      <c r="FV20">
        <f>SOFR3mo_PX[[#This Row],[Column178]]</f>
        <v>96.45</v>
      </c>
      <c r="FW20">
        <f>SOFR3mo_PX[[#This Row],[Column179]]</f>
        <v>96.54</v>
      </c>
      <c r="FX20">
        <f>SOFR3mo_PX[[#This Row],[Column180]]</f>
        <v>96.525000000000006</v>
      </c>
      <c r="FY20">
        <f>SOFR3mo_PX[[#This Row],[Column181]]</f>
        <v>96.43</v>
      </c>
      <c r="FZ20">
        <f>SOFR3mo_PX[[#This Row],[Column182]]</f>
        <v>96.48</v>
      </c>
      <c r="GA20">
        <f>SOFR3mo_PX[[#This Row],[Column183]]</f>
        <v>96.465000000000003</v>
      </c>
      <c r="GB20">
        <f>SOFR3mo_PX[[#This Row],[Column184]]</f>
        <v>96.5</v>
      </c>
      <c r="GC20">
        <f>SOFR3mo_PX[[#This Row],[Column185]]</f>
        <v>96.534999999999997</v>
      </c>
      <c r="GD20">
        <f>SOFR3mo_PX[[#This Row],[Column186]]</f>
        <v>96.545000000000002</v>
      </c>
      <c r="GE20">
        <f>SOFR3mo_PX[[#This Row],[Column187]]</f>
        <v>96.575000000000003</v>
      </c>
      <c r="GF20">
        <f>SOFR3mo_PX[[#This Row],[Column188]]</f>
        <v>96.68</v>
      </c>
      <c r="GG20">
        <f>SOFR3mo_PX[[#This Row],[Column189]]</f>
        <v>96.754999999999995</v>
      </c>
      <c r="GH20">
        <f>SOFR3mo_PX[[#This Row],[Column190]]</f>
        <v>96.795000000000002</v>
      </c>
      <c r="GI20">
        <f>SOFR3mo_PX[[#This Row],[Column191]]</f>
        <v>96.724999999999994</v>
      </c>
      <c r="GJ20">
        <f>SOFR3mo_PX[[#This Row],[Column192]]</f>
        <v>96.765000000000001</v>
      </c>
      <c r="GK20">
        <f>SOFR3mo_PX[[#This Row],[Column193]]</f>
        <v>96.734999999999999</v>
      </c>
      <c r="GL20">
        <f>SOFR3mo_PX[[#This Row],[Column194]]</f>
        <v>96.724999999999994</v>
      </c>
      <c r="GM20">
        <f>SOFR3mo_PX[[#This Row],[Column195]]</f>
        <v>96.765000000000001</v>
      </c>
      <c r="GN20">
        <f>SOFR3mo_PX[[#This Row],[Column196]]</f>
        <v>96.765000000000001</v>
      </c>
      <c r="GO20">
        <f>SOFR3mo_PX[[#This Row],[Column197]]</f>
        <v>96.784999999999997</v>
      </c>
      <c r="GP20">
        <f>SOFR3mo_PX[[#This Row],[Column198]]</f>
        <v>96.775000000000006</v>
      </c>
      <c r="GQ20">
        <f>SOFR3mo_PX[[#This Row],[Column199]]</f>
        <v>96.855000000000004</v>
      </c>
      <c r="GR20">
        <f>SOFR3mo_PX[[#This Row],[Column200]]</f>
        <v>96.935000000000002</v>
      </c>
      <c r="GS20">
        <f>SOFR3mo_PX[[#This Row],[Column201]]</f>
        <v>96.935000000000002</v>
      </c>
      <c r="GT20">
        <f>SOFR3mo_PX[[#This Row],[Column202]]</f>
        <v>96.924999999999997</v>
      </c>
      <c r="GU20">
        <f>SOFR3mo_PX[[#This Row],[Column203]]</f>
        <v>96.915000000000006</v>
      </c>
      <c r="GV20">
        <f>SOFR3mo_PX[[#This Row],[Column204]]</f>
        <v>96.95</v>
      </c>
      <c r="GW20">
        <f>SOFR3mo_PX[[#This Row],[Column205]]</f>
        <v>96.95</v>
      </c>
      <c r="GX20">
        <f>SOFR3mo_PX[[#This Row],[Column206]]</f>
        <v>96.89</v>
      </c>
      <c r="GY20">
        <f>SOFR3mo_PX[[#This Row],[Column207]]</f>
        <v>96.87</v>
      </c>
      <c r="GZ20">
        <f>SOFR3mo_PX[[#This Row],[Column208]]</f>
        <v>96.864999999999995</v>
      </c>
      <c r="HA20">
        <f>SOFR3mo_PX[[#This Row],[Column209]]</f>
        <v>96.834999999999994</v>
      </c>
      <c r="HB20">
        <f>SOFR3mo_PX[[#This Row],[Column210]]</f>
        <v>96.78</v>
      </c>
      <c r="HC20">
        <f>SOFR3mo_PX[[#This Row],[Column211]]</f>
        <v>96.7</v>
      </c>
      <c r="HD20">
        <f>SOFR3mo_PX[[#This Row],[Column212]]</f>
        <v>96.7</v>
      </c>
      <c r="HE20">
        <f>SOFR3mo_PX[[#This Row],[Column213]]</f>
        <v>96.745000000000005</v>
      </c>
      <c r="HF20">
        <f>SOFR3mo_PX[[#This Row],[Column214]]</f>
        <v>96.765000000000001</v>
      </c>
      <c r="HG20">
        <f>SOFR3mo_PX[[#This Row],[Column215]]</f>
        <v>96.775000000000006</v>
      </c>
      <c r="HH20">
        <f>SOFR3mo_PX[[#This Row],[Column216]]</f>
        <v>96.79</v>
      </c>
      <c r="HI20">
        <f>SOFR3mo_PX[[#This Row],[Column217]]</f>
        <v>96.784999999999997</v>
      </c>
      <c r="HJ20">
        <f>SOFR3mo_PX[[#This Row],[Column218]]</f>
        <v>96.72</v>
      </c>
      <c r="HK20">
        <f>SOFR3mo_PX[[#This Row],[Column219]]</f>
        <v>96.8</v>
      </c>
      <c r="HL20">
        <f>SOFR3mo_PX[[#This Row],[Column220]]</f>
        <v>96.775000000000006</v>
      </c>
      <c r="HM20">
        <f>SOFR3mo_PX[[#This Row],[Column221]]</f>
        <v>96.72</v>
      </c>
      <c r="HN20">
        <f>SOFR3mo_PX[[#This Row],[Column222]]</f>
        <v>96.69</v>
      </c>
      <c r="HO20">
        <f>SOFR3mo_PX[[#This Row],[Column223]]</f>
        <v>96.66</v>
      </c>
      <c r="HP20">
        <f>SOFR3mo_PX[[#This Row],[Column224]]</f>
        <v>96.754999999999995</v>
      </c>
      <c r="HQ20">
        <f>SOFR3mo_PX[[#This Row],[Column225]]</f>
        <v>96.724999999999994</v>
      </c>
      <c r="HR20">
        <f>SOFR3mo_PX[[#This Row],[Column226]]</f>
        <v>96.685000000000002</v>
      </c>
      <c r="HS20">
        <f>SOFR3mo_PX[[#This Row],[Column227]]</f>
        <v>96.64</v>
      </c>
      <c r="HT20">
        <f>SOFR3mo_PX[[#This Row],[Column228]]</f>
        <v>96.57</v>
      </c>
      <c r="HU20">
        <f>SOFR3mo_PX[[#This Row],[Column229]]</f>
        <v>96.59</v>
      </c>
      <c r="HV20">
        <f>SOFR3mo_PX[[#This Row],[Column230]]</f>
        <v>96.674999999999997</v>
      </c>
      <c r="HW20">
        <f>SOFR3mo_PX[[#This Row],[Column231]]</f>
        <v>96.765000000000001</v>
      </c>
      <c r="HX20">
        <f>SOFR3mo_PX[[#This Row],[Column232]]</f>
        <v>96.78</v>
      </c>
      <c r="HY20">
        <f>SOFR3mo_PX[[#This Row],[Column233]]</f>
        <v>96.625</v>
      </c>
      <c r="HZ20">
        <f>SOFR3mo_PX[[#This Row],[Column234]]</f>
        <v>96.515000000000001</v>
      </c>
      <c r="IA20">
        <f>SOFR3mo_PX[[#This Row],[Column235]]</f>
        <v>96.484999999999999</v>
      </c>
      <c r="IB20">
        <f>SOFR3mo_PX[[#This Row],[Column236]]</f>
        <v>96.45</v>
      </c>
      <c r="IC20">
        <f>SOFR3mo_PX[[#This Row],[Column237]]</f>
        <v>96.424999999999997</v>
      </c>
      <c r="ID20">
        <f>SOFR3mo_PX[[#This Row],[Column238]]</f>
        <v>96.37</v>
      </c>
      <c r="IE20">
        <f>SOFR3mo_PX[[#This Row],[Column239]]</f>
        <v>96.334999999999994</v>
      </c>
      <c r="IF20">
        <f>SOFR3mo_PX[[#This Row],[Column240]]</f>
        <v>96.38</v>
      </c>
      <c r="IG20">
        <f>SOFR3mo_PX[[#This Row],[Column241]]</f>
        <v>96.364999999999995</v>
      </c>
      <c r="IH20">
        <f>SOFR3mo_PX[[#This Row],[Column242]]</f>
        <v>96.37</v>
      </c>
      <c r="II20">
        <f>SOFR3mo_PX[[#This Row],[Column243]]</f>
        <v>96.424999999999997</v>
      </c>
      <c r="IJ20">
        <f>SOFR3mo_PX[[#This Row],[Column244]]</f>
        <v>96.474999999999994</v>
      </c>
      <c r="IK20">
        <f>SOFR3mo_PX[[#This Row],[Column245]]</f>
        <v>96.444999999999993</v>
      </c>
      <c r="IL20">
        <f>SOFR3mo_PX[[#This Row],[Column246]]</f>
        <v>96.385000000000005</v>
      </c>
      <c r="IM20">
        <f>SOFR3mo_PX[[#This Row],[Column247]]</f>
        <v>96.43</v>
      </c>
      <c r="IN20">
        <f>SOFR3mo_PX[[#This Row],[Column248]]</f>
        <v>96.444999999999993</v>
      </c>
      <c r="IO20">
        <f>SOFR3mo_PX[[#This Row],[Column249]]</f>
        <v>96.35</v>
      </c>
      <c r="IP20">
        <f>SOFR3mo_PX[[#This Row],[Column250]]</f>
        <v>96.325000000000003</v>
      </c>
      <c r="IQ20">
        <f>SOFR3mo_PX[[#This Row],[Column251]]</f>
        <v>96.36</v>
      </c>
      <c r="IR20">
        <f>SOFR3mo_PX[[#This Row],[Column252]]</f>
        <v>96.355000000000004</v>
      </c>
      <c r="IS20">
        <f>SOFR3mo_PX[[#This Row],[Column253]]</f>
        <v>96.28</v>
      </c>
      <c r="IT20">
        <f>SOFR3mo_PX[[#This Row],[Column254]]</f>
        <v>96.28</v>
      </c>
      <c r="IU20">
        <f>SOFR3mo_PX[[#This Row],[Column255]]</f>
        <v>96.174999999999997</v>
      </c>
      <c r="IV20">
        <f>SOFR3mo_PX[[#This Row],[Column256]]</f>
        <v>96.125</v>
      </c>
      <c r="IW20">
        <f>SOFR3mo_PX[[#This Row],[Column257]]</f>
        <v>96.29</v>
      </c>
      <c r="IX20">
        <f>SOFR3mo_PX[[#This Row],[Column258]]</f>
        <v>96.344999999999999</v>
      </c>
      <c r="IY20">
        <f>SOFR3mo_PX[[#This Row],[Column259]]</f>
        <v>96.31</v>
      </c>
      <c r="IZ20">
        <f>SOFR3mo_PX[[#This Row],[Column260]]</f>
        <v>96.4</v>
      </c>
      <c r="JA20">
        <f>SOFR3mo_PX[[#This Row],[Column261]]</f>
        <v>96.39</v>
      </c>
      <c r="JB20">
        <f>SOFR3mo_PX[[#This Row],[Column262]]</f>
        <v>96.37</v>
      </c>
      <c r="JC20">
        <f>SOFR3mo_PX[[#This Row],[Column263]]</f>
        <v>96.375</v>
      </c>
      <c r="JD20">
        <f>SOFR3mo_PX[[#This Row],[Column264]]</f>
        <v>96.435000000000002</v>
      </c>
      <c r="JE20">
        <f>SOFR3mo_PX[[#This Row],[Column265]]</f>
        <v>96.435000000000002</v>
      </c>
      <c r="JF20">
        <f>SOFR3mo_PX[[#This Row],[Column266]]</f>
        <v>96.364999999999995</v>
      </c>
      <c r="JG20">
        <f>SOFR3mo_PX[[#This Row],[Column267]]</f>
        <v>96.44</v>
      </c>
      <c r="JH20">
        <f>SOFR3mo_PX[[#This Row],[Column268]]</f>
        <v>96.4</v>
      </c>
      <c r="JI20">
        <f>SOFR3mo_PX[[#This Row],[Column269]]</f>
        <v>96.334999999999994</v>
      </c>
      <c r="JJ20">
        <f>SOFR3mo_PX[[#This Row],[Column270]]</f>
        <v>96.22</v>
      </c>
      <c r="JK20">
        <f>SOFR3mo_PX[[#This Row],[Column271]]</f>
        <v>96.14</v>
      </c>
      <c r="JL20">
        <f>SOFR3mo_PX[[#This Row],[Column272]]</f>
        <v>96.19</v>
      </c>
      <c r="JM20">
        <f>SOFR3mo_PX[[#This Row],[Column273]]</f>
        <v>96.334999999999994</v>
      </c>
      <c r="JN20">
        <f>SOFR3mo_PX[[#This Row],[Column274]]</f>
        <v>96.33</v>
      </c>
      <c r="JO20">
        <f>SOFR3mo_PX[[#This Row],[Column275]]</f>
        <v>96.295000000000002</v>
      </c>
      <c r="JP20">
        <f>SOFR3mo_PX[[#This Row],[Column276]]</f>
        <v>96.21</v>
      </c>
      <c r="JQ20">
        <f>SOFR3mo_PX[[#This Row],[Column277]]</f>
        <v>96.084999999999994</v>
      </c>
      <c r="JR20">
        <f>SOFR3mo_PX[[#This Row],[Column278]]</f>
        <v>96.045000000000002</v>
      </c>
      <c r="JS20">
        <f>SOFR3mo_PX[[#This Row],[Column279]]</f>
        <v>95.974999999999994</v>
      </c>
      <c r="JT20">
        <f>SOFR3mo_PX[[#This Row],[Column280]]</f>
        <v>96.07</v>
      </c>
      <c r="JU20">
        <f>SOFR3mo_PX[[#This Row],[Column281]]</f>
        <v>96.14</v>
      </c>
      <c r="JV20">
        <f>SOFR3mo_PX[[#This Row],[Column282]]</f>
        <v>96.14</v>
      </c>
      <c r="JW20">
        <f>SOFR3mo_PX[[#This Row],[Column283]]</f>
        <v>96.13</v>
      </c>
      <c r="JX20">
        <f>SOFR3mo_PX[[#This Row],[Column284]]</f>
        <v>96.16</v>
      </c>
      <c r="JY20">
        <f>SOFR3mo_PX[[#This Row],[Column285]]</f>
        <v>96.174999999999997</v>
      </c>
      <c r="JZ20">
        <f>SOFR3mo_PX[[#This Row],[Column286]]</f>
        <v>96.15</v>
      </c>
      <c r="KA20">
        <f>SOFR3mo_PX[[#This Row],[Column287]]</f>
        <v>96.16</v>
      </c>
      <c r="KB20">
        <f>SOFR3mo_PX[[#This Row],[Column288]]</f>
        <v>96.204999999999998</v>
      </c>
      <c r="KC20">
        <f>SOFR3mo_PX[[#This Row],[Column289]]</f>
        <v>96.22</v>
      </c>
      <c r="KD20">
        <f>SOFR3mo_PX[[#This Row],[Column290]]</f>
        <v>96.13</v>
      </c>
      <c r="KE20">
        <f>SOFR3mo_PX[[#This Row],[Column291]]</f>
        <v>96.094999999999999</v>
      </c>
      <c r="KF20">
        <f>SOFR3mo_PX[[#This Row],[Column292]]</f>
        <v>96.07</v>
      </c>
      <c r="KG20">
        <f>SOFR3mo_PX[[#This Row],[Column293]]</f>
        <v>96.12</v>
      </c>
      <c r="KH20">
        <f>SOFR3mo_PX[[#This Row],[Column294]]</f>
        <v>96.084999999999994</v>
      </c>
      <c r="KI20">
        <f>SOFR3mo_PX[[#This Row],[Column295]]</f>
        <v>96.13</v>
      </c>
      <c r="KJ20">
        <f>SOFR3mo_PX[[#This Row],[Column296]]</f>
        <v>96.094999999999999</v>
      </c>
      <c r="KK20">
        <f>SOFR3mo_PX[[#This Row],[Column297]]</f>
        <v>96.08</v>
      </c>
      <c r="KL20">
        <f>SOFR3mo_PX[[#This Row],[Column298]]</f>
        <v>95.99</v>
      </c>
      <c r="KM20">
        <f>SOFR3mo_PX[[#This Row],[Column299]]</f>
        <v>95.97</v>
      </c>
      <c r="KN20">
        <f>SOFR3mo_PX[[#This Row],[Column300]]</f>
        <v>95.88</v>
      </c>
      <c r="KO20">
        <f>SOFR3mo_PX[[#This Row],[Column301]]</f>
        <v>95.954999999999998</v>
      </c>
      <c r="KP20">
        <f>SOFR3mo_PX[[#This Row],[Column302]]</f>
        <v>95.885000000000005</v>
      </c>
      <c r="KQ20">
        <f>SOFR3mo_PX[[#This Row],[Column303]]</f>
        <v>95.84</v>
      </c>
      <c r="KR20">
        <f>SOFR3mo_PX[[#This Row],[Column304]]</f>
        <v>95.894999999999996</v>
      </c>
      <c r="KS20">
        <f>SOFR3mo_PX[[#This Row],[Column305]]</f>
        <v>95.965000000000003</v>
      </c>
      <c r="KT20">
        <f>SOFR3mo_PX[[#This Row],[Column306]]</f>
        <v>95.94</v>
      </c>
      <c r="KU20">
        <f>SOFR3mo_PX[[#This Row],[Column307]]</f>
        <v>95.95</v>
      </c>
      <c r="KV20">
        <f>SOFR3mo_PX[[#This Row],[Column308]]</f>
        <v>95.92</v>
      </c>
      <c r="KW20">
        <f>SOFR3mo_PX[[#This Row],[Column309]]</f>
        <v>95.984999999999999</v>
      </c>
      <c r="KX20">
        <f>SOFR3mo_PX[[#This Row],[Column310]]</f>
        <v>95.91</v>
      </c>
      <c r="KY20">
        <f>SOFR3mo_PX[[#This Row],[Column311]]</f>
        <v>95.95</v>
      </c>
      <c r="KZ20">
        <f>SOFR3mo_PX[[#This Row],[Column312]]</f>
        <v>96.094999999999999</v>
      </c>
      <c r="LA20">
        <f>SOFR3mo_PX[[#This Row],[Column313]]</f>
        <v>96.004999999999995</v>
      </c>
      <c r="LB20">
        <f>SOFR3mo_PX[[#This Row],[Column314]]</f>
        <v>96.025000000000006</v>
      </c>
      <c r="LC20">
        <f>SOFR3mo_PX[[#This Row],[Column315]]</f>
        <v>96.194999999999993</v>
      </c>
      <c r="LD20">
        <f>SOFR3mo_PX[[#This Row],[Column316]]</f>
        <v>96.135000000000005</v>
      </c>
      <c r="LE20">
        <f>SOFR3mo_PX[[#This Row],[Column317]]</f>
        <v>96.19</v>
      </c>
      <c r="LF20">
        <f>SOFR3mo_PX[[#This Row],[Column318]]</f>
        <v>96.245000000000005</v>
      </c>
      <c r="LG20">
        <f>SOFR3mo_PX[[#This Row],[Column319]]</f>
        <v>96.204999999999998</v>
      </c>
      <c r="LH20">
        <f>SOFR3mo_PX[[#This Row],[Column320]]</f>
        <v>96.19</v>
      </c>
      <c r="LI20">
        <f>SOFR3mo_PX[[#This Row],[Column321]]</f>
        <v>96.224999999999994</v>
      </c>
      <c r="LJ20">
        <f>SOFR3mo_PX[[#This Row],[Column322]]</f>
        <v>96.37</v>
      </c>
      <c r="LK20">
        <f>SOFR3mo_PX[[#This Row],[Column323]]</f>
        <v>96.37</v>
      </c>
      <c r="LL20">
        <f>SOFR3mo_PX[[#This Row],[Column324]]</f>
        <v>96.344999999999999</v>
      </c>
      <c r="LM20">
        <f>SOFR3mo_PX[[#This Row],[Column325]]</f>
        <v>96.31</v>
      </c>
      <c r="LN20">
        <f>SOFR3mo_PX[[#This Row],[Column326]]</f>
        <v>96.28</v>
      </c>
      <c r="LO20">
        <f>SOFR3mo_PX[[#This Row],[Column327]]</f>
        <v>96.32</v>
      </c>
      <c r="LP20">
        <f>SOFR3mo_PX[[#This Row],[Column328]]</f>
        <v>96.26</v>
      </c>
      <c r="LQ20">
        <f>SOFR3mo_PX[[#This Row],[Column329]]</f>
        <v>96.26</v>
      </c>
      <c r="LR20">
        <f>SOFR3mo_PX[[#This Row],[Column330]]</f>
        <v>96.28</v>
      </c>
      <c r="LS20">
        <f>SOFR3mo_PX[[#This Row],[Column331]]</f>
        <v>96.23</v>
      </c>
      <c r="LT20">
        <f>SOFR3mo_PX[[#This Row],[Column332]]</f>
        <v>96.27</v>
      </c>
      <c r="LU20">
        <f>SOFR3mo_PX[[#This Row],[Column333]]</f>
        <v>96.28</v>
      </c>
      <c r="LV20">
        <f>SOFR3mo_PX[[#This Row],[Column334]]</f>
        <v>96.41</v>
      </c>
      <c r="LW20">
        <f>SOFR3mo_PX[[#This Row],[Column335]]</f>
        <v>96.424999999999997</v>
      </c>
      <c r="LX20">
        <f>SOFR3mo_PX[[#This Row],[Column336]]</f>
        <v>96.484999999999999</v>
      </c>
      <c r="LY20">
        <f>SOFR3mo_PX[[#This Row],[Column337]]</f>
        <v>96.49</v>
      </c>
      <c r="LZ20">
        <f>SOFR3mo_PX[[#This Row],[Column338]]</f>
        <v>96.49</v>
      </c>
      <c r="MA20">
        <f>SOFR3mo_PX[[#This Row],[Column339]]</f>
        <v>96.474999999999994</v>
      </c>
      <c r="MB20">
        <f>SOFR3mo_PX[[#This Row],[Column340]]</f>
        <v>96.444999999999993</v>
      </c>
      <c r="MC20">
        <f>SOFR3mo_PX[[#This Row],[Column341]]</f>
        <v>96.355000000000004</v>
      </c>
      <c r="MD20">
        <f>SOFR3mo_PX[[#This Row],[Column342]]</f>
        <v>96.38</v>
      </c>
      <c r="ME20">
        <f>SOFR3mo_PX[[#This Row],[Column343]]</f>
        <v>96.305000000000007</v>
      </c>
      <c r="MF20">
        <f>SOFR3mo_PX[[#This Row],[Column344]]</f>
        <v>96.3</v>
      </c>
      <c r="MG20">
        <f>SOFR3mo_PX[[#This Row],[Column345]]</f>
        <v>96.28</v>
      </c>
      <c r="MH20">
        <f>SOFR3mo_PX[[#This Row],[Column346]]</f>
        <v>96.29</v>
      </c>
      <c r="MI20">
        <f>SOFR3mo_PX[[#This Row],[Column347]]</f>
        <v>96.3</v>
      </c>
      <c r="MJ20">
        <f>SOFR3mo_PX[[#This Row],[Column348]]</f>
        <v>96.22</v>
      </c>
      <c r="MK20">
        <f>SOFR3mo_PX[[#This Row],[Column349]]</f>
        <v>96.21</v>
      </c>
      <c r="ML20">
        <f>SOFR3mo_PX[[#This Row],[Column350]]</f>
        <v>96.254999999999995</v>
      </c>
      <c r="MM20">
        <f>SOFR3mo_PX[[#This Row],[Column351]]</f>
        <v>96.23</v>
      </c>
      <c r="MN20">
        <f>SOFR3mo_PX[[#This Row],[Column352]]</f>
        <v>96.23</v>
      </c>
      <c r="MO20">
        <f>SOFR3mo_PX[[#This Row],[Column353]]</f>
        <v>96.28</v>
      </c>
      <c r="MP20">
        <f>SOFR3mo_PX[[#This Row],[Column354]]</f>
        <v>96.245000000000005</v>
      </c>
      <c r="MQ20">
        <f>SOFR3mo_PX[[#This Row],[Column355]]</f>
        <v>96.194999999999993</v>
      </c>
      <c r="MR20">
        <f>SOFR3mo_PX[[#This Row],[Column356]]</f>
        <v>96.35</v>
      </c>
      <c r="MS20">
        <f>SOFR3mo_PX[[#This Row],[Column357]]</f>
        <v>96.325000000000003</v>
      </c>
      <c r="MT20">
        <f>SOFR3mo_PX[[#This Row],[Column358]]</f>
        <v>96.344999999999999</v>
      </c>
      <c r="MU20">
        <f>SOFR3mo_PX[[#This Row],[Column359]]</f>
        <v>96.43</v>
      </c>
      <c r="MV20">
        <f>SOFR3mo_PX[[#This Row],[Column360]]</f>
        <v>96.45</v>
      </c>
      <c r="MW20">
        <f>SOFR3mo_PX[[#This Row],[Column361]]</f>
        <v>96.355000000000004</v>
      </c>
      <c r="MX20">
        <f>SOFR3mo_PX[[#This Row],[Column362]]</f>
        <v>96.484999999999999</v>
      </c>
      <c r="MY20">
        <f>SOFR3mo_PX[[#This Row],[Column363]]</f>
        <v>96.665000000000006</v>
      </c>
      <c r="MZ20">
        <f>SOFR3mo_PX[[#This Row],[Column364]]</f>
        <v>96.56</v>
      </c>
      <c r="NA20">
        <f>SOFR3mo_PX[[#This Row],[Column365]]</f>
        <v>96.47</v>
      </c>
      <c r="NB20">
        <f>SOFR3mo_PX[[#This Row],[Column366]]</f>
        <v>96.42</v>
      </c>
      <c r="NC20">
        <f>SOFR3mo_PX[[#This Row],[Column367]]</f>
        <v>96.34</v>
      </c>
      <c r="ND20">
        <f>SOFR3mo_PX[[#This Row],[Column368]]</f>
        <v>96.364999999999995</v>
      </c>
      <c r="NE20">
        <f>SOFR3mo_PX[[#This Row],[Column369]]</f>
        <v>96.32</v>
      </c>
      <c r="NF20">
        <f>SOFR3mo_PX[[#This Row],[Column370]]</f>
        <v>96.364999999999995</v>
      </c>
      <c r="NG20">
        <f>SOFR3mo_PX[[#This Row],[Column371]]</f>
        <v>96.415000000000006</v>
      </c>
      <c r="NH20">
        <f>SOFR3mo_PX[[#This Row],[Column372]]</f>
        <v>96.35</v>
      </c>
      <c r="NI20">
        <f>SOFR3mo_PX[[#This Row],[Column373]]</f>
        <v>96.355000000000004</v>
      </c>
      <c r="NJ20">
        <f>SOFR3mo_PX[[#This Row],[Column374]]</f>
        <v>96.41</v>
      </c>
      <c r="NK20">
        <f>SOFR3mo_PX[[#This Row],[Column375]]</f>
        <v>96.444999999999993</v>
      </c>
      <c r="NL20">
        <f>SOFR3mo_PX[[#This Row],[Column376]]</f>
        <v>96.57</v>
      </c>
      <c r="NM20">
        <f>SOFR3mo_PX[[#This Row],[Column377]]</f>
        <v>96.57</v>
      </c>
      <c r="NN20">
        <f>SOFR3mo_PX[[#This Row],[Column378]]</f>
        <v>96.57</v>
      </c>
      <c r="NO20">
        <f>SOFR3mo_PX[[#This Row],[Column379]]</f>
        <v>96.51</v>
      </c>
      <c r="NP20">
        <f>SOFR3mo_PX[[#This Row],[Column380]]</f>
        <v>96.52</v>
      </c>
      <c r="NQ20">
        <f>SOFR3mo_PX[[#This Row],[Column381]]</f>
        <v>96.53</v>
      </c>
      <c r="NR20">
        <f>SOFR3mo_PX[[#This Row],[Column382]]</f>
        <v>96.515000000000001</v>
      </c>
      <c r="NS20">
        <f>SOFR3mo_PX[[#This Row],[Column383]]</f>
        <v>96.57</v>
      </c>
      <c r="NT20">
        <f>SOFR3mo_PX[[#This Row],[Column384]]</f>
        <v>96.67</v>
      </c>
      <c r="NU20">
        <f>SOFR3mo_PX[[#This Row],[Column385]]</f>
        <v>96.635000000000005</v>
      </c>
      <c r="NV20">
        <f>SOFR3mo_PX[[#This Row],[Column386]]</f>
        <v>96.7</v>
      </c>
      <c r="NW20">
        <f>SOFR3mo_PX[[#This Row],[Column387]]</f>
        <v>96.7</v>
      </c>
      <c r="NX20">
        <f>SOFR3mo_PX[[#This Row],[Column388]]</f>
        <v>96.704999999999998</v>
      </c>
      <c r="NY20">
        <f>SOFR3mo_PX[[#This Row],[Column389]]</f>
        <v>96.765000000000001</v>
      </c>
      <c r="NZ20">
        <f>SOFR3mo_PX[[#This Row],[Column390]]</f>
        <v>96.66</v>
      </c>
      <c r="OA20">
        <f>SOFR3mo_PX[[#This Row],[Column391]]</f>
        <v>96.635000000000005</v>
      </c>
      <c r="OB20">
        <f>SOFR3mo_PX[[#This Row],[Column392]]</f>
        <v>96.635000000000005</v>
      </c>
      <c r="OC20">
        <f>SOFR3mo_PX[[#This Row],[Column393]]</f>
        <v>96.665000000000006</v>
      </c>
      <c r="OD20">
        <f>SOFR3mo_PX[[#This Row],[Column394]]</f>
        <v>96.68</v>
      </c>
      <c r="OE20">
        <f>SOFR3mo_PX[[#This Row],[Column395]]</f>
        <v>96.65</v>
      </c>
      <c r="OF20">
        <f>SOFR3mo_PX[[#This Row],[Column396]]</f>
        <v>96.625</v>
      </c>
      <c r="OG20">
        <f>SOFR3mo_PX[[#This Row],[Column397]]</f>
        <v>96.655000000000001</v>
      </c>
      <c r="OH20">
        <f>SOFR3mo_PX[[#This Row],[Column398]]</f>
        <v>96.635000000000005</v>
      </c>
      <c r="OI20">
        <f>SOFR3mo_PX[[#This Row],[Column399]]</f>
        <v>96.545000000000002</v>
      </c>
      <c r="OJ20">
        <f>SOFR3mo_PX[[#This Row],[Column400]]</f>
        <v>96.39</v>
      </c>
      <c r="OK20">
        <f>SOFR3mo_PX[[#This Row],[Column401]]</f>
        <v>96.344999999999999</v>
      </c>
      <c r="OL20">
        <f>SOFR3mo_PX[[#This Row],[Column402]]</f>
        <v>96.344999999999999</v>
      </c>
      <c r="OM20">
        <f>SOFR3mo_PX[[#This Row],[Column403]]</f>
        <v>96.47</v>
      </c>
      <c r="ON20">
        <f>SOFR3mo_PX[[#This Row],[Column404]]</f>
        <v>96.474999999999994</v>
      </c>
      <c r="OO20">
        <f>SOFR3mo_PX[[#This Row],[Column405]]</f>
        <v>96.42</v>
      </c>
      <c r="OP20">
        <f>SOFR3mo_PX[[#This Row],[Column406]]</f>
        <v>96.3</v>
      </c>
      <c r="OQ20">
        <f>SOFR3mo_PX[[#This Row],[Column407]]</f>
        <v>96.355000000000004</v>
      </c>
      <c r="OR20">
        <f>SOFR3mo_PX[[#This Row],[Column408]]</f>
        <v>96.24</v>
      </c>
      <c r="OS20">
        <f>SOFR3mo_PX[[#This Row],[Column409]]</f>
        <v>96.325000000000003</v>
      </c>
      <c r="OT20">
        <f>SOFR3mo_PX[[#This Row],[Column410]]</f>
        <v>96.275000000000006</v>
      </c>
      <c r="OU20">
        <f>SOFR3mo_PX[[#This Row],[Column411]]</f>
        <v>96.2</v>
      </c>
      <c r="OV20">
        <f>SOFR3mo_PX[[#This Row],[Column412]]</f>
        <v>96.084999999999994</v>
      </c>
      <c r="OW20">
        <f>SOFR3mo_PX[[#This Row],[Column413]]</f>
        <v>96.15</v>
      </c>
      <c r="OX20">
        <f>SOFR3mo_PX[[#This Row],[Column414]]</f>
        <v>96.15</v>
      </c>
      <c r="OY20">
        <f>SOFR3mo_PX[[#This Row],[Column415]]</f>
        <v>96.155000000000001</v>
      </c>
      <c r="OZ20">
        <f>SOFR3mo_PX[[#This Row],[Column416]]</f>
        <v>96.155000000000001</v>
      </c>
      <c r="PA20">
        <f>SOFR3mo_PX[[#This Row],[Column417]]</f>
        <v>96.114999999999995</v>
      </c>
      <c r="PB20">
        <f>SOFR3mo_PX[[#This Row],[Column418]]</f>
        <v>96.11</v>
      </c>
      <c r="PC20">
        <f>SOFR3mo_PX[[#This Row],[Column419]]</f>
        <v>96.004999999999995</v>
      </c>
      <c r="PD20">
        <f>SOFR3mo_PX[[#This Row],[Column420]]</f>
        <v>96.094999999999999</v>
      </c>
      <c r="PE20">
        <f>SOFR3mo_PX[[#This Row],[Column421]]</f>
        <v>95.885000000000005</v>
      </c>
      <c r="PF20">
        <f>SOFR3mo_PX[[#This Row],[Column422]]</f>
        <v>95.894999999999996</v>
      </c>
      <c r="PG20">
        <f>SOFR3mo_PX[[#This Row],[Column423]]</f>
        <v>95.9</v>
      </c>
      <c r="PH20">
        <f>SOFR3mo_PX[[#This Row],[Column424]]</f>
        <v>96.034999999999997</v>
      </c>
      <c r="PI20">
        <f>SOFR3mo_PX[[#This Row],[Column425]]</f>
        <v>95.98</v>
      </c>
      <c r="PJ20">
        <f>SOFR3mo_PX[[#This Row],[Column426]]</f>
        <v>95.864999999999995</v>
      </c>
      <c r="PK20">
        <f>SOFR3mo_PX[[#This Row],[Column427]]</f>
        <v>95.974999999999994</v>
      </c>
      <c r="PL20">
        <f>SOFR3mo_PX[[#This Row],[Column428]]</f>
        <v>95.844999999999999</v>
      </c>
      <c r="PM20">
        <f>SOFR3mo_PX[[#This Row],[Column429]]</f>
        <v>95.724999999999994</v>
      </c>
      <c r="PN20">
        <f>SOFR3mo_PX[[#This Row],[Column430]]</f>
        <v>95.63</v>
      </c>
      <c r="PO20">
        <f>SOFR3mo_PX[[#This Row],[Column431]]</f>
        <v>95.625</v>
      </c>
      <c r="PP20">
        <f>SOFR3mo_PX[[#This Row],[Column432]]</f>
        <v>95.635000000000005</v>
      </c>
      <c r="PQ20">
        <f>SOFR3mo_PX[[#This Row],[Column433]]</f>
        <v>95.614999999999995</v>
      </c>
      <c r="PR20">
        <f>SOFR3mo_PX[[#This Row],[Column434]]</f>
        <v>95.49</v>
      </c>
      <c r="PS20">
        <f>SOFR3mo_PX[[#This Row],[Column435]]</f>
        <v>95.62</v>
      </c>
      <c r="PT20">
        <f>SOFR3mo_PX[[#This Row],[Column436]]</f>
        <v>95.625</v>
      </c>
      <c r="PU20">
        <f>SOFR3mo_PX[[#This Row],[Column437]]</f>
        <v>95.53</v>
      </c>
      <c r="PV20">
        <f>SOFR3mo_PX[[#This Row],[Column438]]</f>
        <v>95.44</v>
      </c>
      <c r="PW20">
        <f>SOFR3mo_PX[[#This Row],[Column439]]</f>
        <v>95.56</v>
      </c>
      <c r="PX20">
        <f>SOFR3mo_PX[[#This Row],[Column440]]</f>
        <v>95.63</v>
      </c>
      <c r="PY20">
        <f>SOFR3mo_PX[[#This Row],[Column441]]</f>
        <v>95.79</v>
      </c>
      <c r="PZ20">
        <f>SOFR3mo_PX[[#This Row],[Column442]]</f>
        <v>95.875</v>
      </c>
      <c r="QA20">
        <f>SOFR3mo_PX[[#This Row],[Column443]]</f>
        <v>95.775000000000006</v>
      </c>
      <c r="QB20">
        <f>SOFR3mo_PX[[#This Row],[Column444]]</f>
        <v>95.89</v>
      </c>
      <c r="QC20">
        <f>SOFR3mo_PX[[#This Row],[Column445]]</f>
        <v>95.83</v>
      </c>
      <c r="QD20">
        <f>SOFR3mo_PX[[#This Row],[Column446]]</f>
        <v>95.844999999999999</v>
      </c>
      <c r="QE20">
        <f>SOFR3mo_PX[[#This Row],[Column447]]</f>
        <v>95.69</v>
      </c>
      <c r="QF20">
        <f>SOFR3mo_PX[[#This Row],[Column448]]</f>
        <v>95.75</v>
      </c>
      <c r="QG20">
        <f>SOFR3mo_PX[[#This Row],[Column449]]</f>
        <v>95.715000000000003</v>
      </c>
      <c r="QH20">
        <f>SOFR3mo_PX[[#This Row],[Column450]]</f>
        <v>95.66</v>
      </c>
      <c r="QI20">
        <f>SOFR3mo_PX[[#This Row],[Column451]]</f>
        <v>95.79</v>
      </c>
      <c r="QJ20">
        <f>SOFR3mo_PX[[#This Row],[Column452]]</f>
        <v>95.93</v>
      </c>
      <c r="QK20">
        <f>SOFR3mo_PX[[#This Row],[Column453]]</f>
        <v>95.885000000000005</v>
      </c>
      <c r="QL20">
        <f>SOFR3mo_PX[[#This Row],[Column454]]</f>
        <v>95.875</v>
      </c>
      <c r="QM20">
        <f>SOFR3mo_PX[[#This Row],[Column455]]</f>
        <v>95.95</v>
      </c>
      <c r="QN20">
        <f>SOFR3mo_PX[[#This Row],[Column456]]</f>
        <v>95.96</v>
      </c>
      <c r="QO20">
        <f>SOFR3mo_PX[[#This Row],[Column457]]</f>
        <v>96.064999999999998</v>
      </c>
      <c r="QP20">
        <f>SOFR3mo_PX[[#This Row],[Column458]]</f>
        <v>96.02</v>
      </c>
      <c r="QQ20">
        <f>SOFR3mo_PX[[#This Row],[Column459]]</f>
        <v>96.18</v>
      </c>
      <c r="QR20">
        <f>SOFR3mo_PX[[#This Row],[Column460]]</f>
        <v>96.174999999999997</v>
      </c>
      <c r="QS20">
        <f>SOFR3mo_PX[[#This Row],[Column461]]</f>
        <v>96.224999999999994</v>
      </c>
      <c r="QT20">
        <f>SOFR3mo_PX[[#This Row],[Column462]]</f>
        <v>96.215000000000003</v>
      </c>
      <c r="QU20">
        <f>SOFR3mo_PX[[#This Row],[Column463]]</f>
        <v>96.25</v>
      </c>
      <c r="QV20">
        <f>SOFR3mo_PX[[#This Row],[Column464]]</f>
        <v>96.28</v>
      </c>
      <c r="QW20">
        <f>SOFR3mo_PX[[#This Row],[Column465]]</f>
        <v>96.254999999999995</v>
      </c>
      <c r="QX20">
        <f>SOFR3mo_PX[[#This Row],[Column466]]</f>
        <v>96.234999999999999</v>
      </c>
      <c r="QY20">
        <f>SOFR3mo_PX[[#This Row],[Column467]]</f>
        <v>96.26</v>
      </c>
      <c r="QZ20">
        <f>SOFR3mo_PX[[#This Row],[Column468]]</f>
        <v>96.254999999999995</v>
      </c>
      <c r="RA20">
        <f>SOFR3mo_PX[[#This Row],[Column469]]</f>
        <v>96.234999999999999</v>
      </c>
      <c r="RB20">
        <f>SOFR3mo_PX[[#This Row],[Column470]]</f>
        <v>96.28</v>
      </c>
      <c r="RC20">
        <f>SOFR3mo_PX[[#This Row],[Column471]]</f>
        <v>96.35</v>
      </c>
      <c r="RD20">
        <f>SOFR3mo_PX[[#This Row],[Column472]]</f>
        <v>96.35</v>
      </c>
      <c r="RE20">
        <f>SOFR3mo_PX[[#This Row],[Column473]]</f>
        <v>96.43</v>
      </c>
      <c r="RF20">
        <f>SOFR3mo_PX[[#This Row],[Column474]]</f>
        <v>96.4</v>
      </c>
      <c r="RG20">
        <f>SOFR3mo_PX[[#This Row],[Column475]]</f>
        <v>96.39</v>
      </c>
      <c r="RH20">
        <f>SOFR3mo_PX[[#This Row],[Column476]]</f>
        <v>96.3</v>
      </c>
      <c r="RI20">
        <f>SOFR3mo_PX[[#This Row],[Column477]]</f>
        <v>96.25</v>
      </c>
      <c r="RJ20">
        <f>SOFR3mo_PX[[#This Row],[Column478]]</f>
        <v>96.25</v>
      </c>
      <c r="RK20">
        <f>SOFR3mo_PX[[#This Row],[Column479]]</f>
        <v>96.27</v>
      </c>
      <c r="RL20">
        <f>SOFR3mo_PX[[#This Row],[Column480]]</f>
        <v>96.125</v>
      </c>
      <c r="RM20">
        <f>SOFR3mo_PX[[#This Row],[Column481]]</f>
        <v>96.114999999999995</v>
      </c>
      <c r="RN20">
        <f>SOFR3mo_PX[[#This Row],[Column482]]</f>
        <v>96.215000000000003</v>
      </c>
      <c r="RO20">
        <f>SOFR3mo_PX[[#This Row],[Column483]]</f>
        <v>96.14</v>
      </c>
      <c r="RP20">
        <f>SOFR3mo_PX[[#This Row],[Column484]]</f>
        <v>96.23</v>
      </c>
      <c r="RQ20">
        <f>SOFR3mo_PX[[#This Row],[Column485]]</f>
        <v>96.265000000000001</v>
      </c>
      <c r="RR20">
        <f>SOFR3mo_PX[[#This Row],[Column486]]</f>
        <v>96.32</v>
      </c>
      <c r="RS20">
        <f>SOFR3mo_PX[[#This Row],[Column487]]</f>
        <v>96.32</v>
      </c>
      <c r="RT20">
        <f>SOFR3mo_PX[[#This Row],[Column488]]</f>
        <v>96.44</v>
      </c>
      <c r="RU20">
        <f>SOFR3mo_PX[[#This Row],[Column489]]</f>
        <v>96.545000000000002</v>
      </c>
      <c r="RV20">
        <f>SOFR3mo_PX[[#This Row],[Column490]]</f>
        <v>96.534999999999997</v>
      </c>
      <c r="RW20">
        <f>SOFR3mo_PX[[#This Row],[Column491]]</f>
        <v>96.474999999999994</v>
      </c>
      <c r="RX20">
        <f>SOFR3mo_PX[[#This Row],[Column492]]</f>
        <v>96.47</v>
      </c>
      <c r="RY20">
        <f>SOFR3mo_PX[[#This Row],[Column493]]</f>
        <v>96.32</v>
      </c>
      <c r="RZ20">
        <f>SOFR3mo_PX[[#This Row],[Column494]]</f>
        <v>96.44</v>
      </c>
      <c r="SA20">
        <f>SOFR3mo_PX[[#This Row],[Column495]]</f>
        <v>96.47</v>
      </c>
      <c r="SB20">
        <f>SOFR3mo_PX[[#This Row],[Column496]]</f>
        <v>96.56</v>
      </c>
      <c r="SC20">
        <f>SOFR3mo_PX[[#This Row],[Column497]]</f>
        <v>96.555000000000007</v>
      </c>
      <c r="SD20">
        <f>SOFR3mo_PX[[#This Row],[Column498]]</f>
        <v>96.5</v>
      </c>
      <c r="SE20">
        <f>SOFR3mo_PX[[#This Row],[Column499]]</f>
        <v>96.674999999999997</v>
      </c>
      <c r="SF20">
        <f>SOFR3mo_PX[[#This Row],[Column500]]</f>
        <v>96.584999999999994</v>
      </c>
      <c r="SG20">
        <f>SOFR3mo_PX[[#This Row],[Column501]]</f>
        <v>96.66</v>
      </c>
      <c r="SH20">
        <f>SOFR3mo_PX[[#This Row],[Column502]]</f>
        <v>96.674999999999997</v>
      </c>
      <c r="SI20">
        <f>SOFR3mo_PX[[#This Row],[Column503]]</f>
        <v>96.665000000000006</v>
      </c>
      <c r="SJ20">
        <f>SOFR3mo_PX[[#This Row],[Column504]]</f>
        <v>96.814999999999998</v>
      </c>
      <c r="SK20">
        <f>SOFR3mo_PX[[#This Row],[Column505]]</f>
        <v>96.77</v>
      </c>
      <c r="SL20">
        <f>SOFR3mo_PX[[#This Row],[Column506]]</f>
        <v>96.74</v>
      </c>
      <c r="SM20">
        <f>SOFR3mo_PX[[#This Row],[Column507]]</f>
        <v>96.694999999999993</v>
      </c>
      <c r="SN20">
        <f>SOFR3mo_PX[[#This Row],[Column508]]</f>
        <v>96.724999999999994</v>
      </c>
      <c r="SO20">
        <f>SOFR3mo_PX[[#This Row],[Column509]]</f>
        <v>96.65</v>
      </c>
      <c r="SP20">
        <f>SOFR3mo_PX[[#This Row],[Column510]]</f>
        <v>96.515000000000001</v>
      </c>
      <c r="SQ20">
        <f>SOFR3mo_PX[[#This Row],[Column511]]</f>
        <v>96.46</v>
      </c>
      <c r="SR20">
        <f>SOFR3mo_PX[[#This Row],[Column512]]</f>
        <v>96.375</v>
      </c>
      <c r="SS20">
        <f>SOFR3mo_PX[[#This Row],[Column513]]</f>
        <v>96.41</v>
      </c>
      <c r="ST20">
        <f>SOFR3mo_PX[[#This Row],[Column514]]</f>
        <v>96.564999999999998</v>
      </c>
      <c r="SU20">
        <f>SOFR3mo_PX[[#This Row],[Column515]]</f>
        <v>96.67</v>
      </c>
      <c r="SV20">
        <f>SOFR3mo_PX[[#This Row],[Column516]]</f>
        <v>96.67</v>
      </c>
      <c r="SW20">
        <f>SOFR3mo_PX[[#This Row],[Column517]]</f>
        <v>96.715000000000003</v>
      </c>
      <c r="SX20">
        <f>SOFR3mo_PX[[#This Row],[Column518]]</f>
        <v>96.68</v>
      </c>
      <c r="SY20">
        <f>SOFR3mo_PX[[#This Row],[Column519]]</f>
        <v>96.834999999999994</v>
      </c>
      <c r="SZ20">
        <f>SOFR3mo_PX[[#This Row],[Column520]]</f>
        <v>96.77</v>
      </c>
      <c r="TA20">
        <f>SOFR3mo_PX[[#This Row],[Column521]]</f>
        <v>96.805000000000007</v>
      </c>
      <c r="TB20">
        <f>SOFR3mo_PX[[#This Row],[Column522]]</f>
        <v>96.765000000000001</v>
      </c>
      <c r="TC20">
        <f>SOFR3mo_PX[[#This Row],[Column523]]</f>
        <v>96.72</v>
      </c>
      <c r="TD20">
        <f>SOFR3mo_PX[[#This Row],[Column524]]</f>
        <v>96.8</v>
      </c>
      <c r="TE20">
        <f>SOFR3mo_PX[[#This Row],[Column525]]</f>
        <v>96.825000000000003</v>
      </c>
      <c r="TF20">
        <f>SOFR3mo_PX[[#This Row],[Column526]]</f>
        <v>96.775000000000006</v>
      </c>
      <c r="TG20">
        <f>SOFR3mo_PX[[#This Row],[Column527]]</f>
        <v>96.775000000000006</v>
      </c>
      <c r="TH20">
        <f>SOFR3mo_PX[[#This Row],[Column528]]</f>
        <v>96.825000000000003</v>
      </c>
      <c r="TI20">
        <f>SOFR3mo_PX[[#This Row],[Column529]]</f>
        <v>96.74</v>
      </c>
      <c r="TJ20">
        <f>SOFR3mo_PX[[#This Row],[Column530]]</f>
        <v>96.7</v>
      </c>
      <c r="TK20">
        <f>SOFR3mo_PX[[#This Row],[Column531]]</f>
        <v>96.795000000000002</v>
      </c>
      <c r="TL20">
        <f>SOFR3mo_PX[[#This Row],[Column532]]</f>
        <v>96.784999999999997</v>
      </c>
      <c r="TM20">
        <f>SOFR3mo_PX[[#This Row],[Column533]]</f>
        <v>96.814999999999998</v>
      </c>
      <c r="TN20">
        <f>SOFR3mo_PX[[#This Row],[Column534]]</f>
        <v>96.734999999999999</v>
      </c>
      <c r="TO20">
        <f>SOFR3mo_PX[[#This Row],[Column535]]</f>
        <v>96.825000000000003</v>
      </c>
      <c r="TP20">
        <f>SOFR3mo_PX[[#This Row],[Column536]]</f>
        <v>96.814999999999998</v>
      </c>
      <c r="TQ20">
        <f>SOFR3mo_PX[[#This Row],[Column537]]</f>
        <v>96.784999999999997</v>
      </c>
      <c r="TR20">
        <f>SOFR3mo_PX[[#This Row],[Column538]]</f>
        <v>96.9</v>
      </c>
      <c r="TS20">
        <f>SOFR3mo_PX[[#This Row],[Column539]]</f>
        <v>96.875</v>
      </c>
      <c r="TT20">
        <f>SOFR3mo_PX[[#This Row],[Column540]]</f>
        <v>96.805000000000007</v>
      </c>
      <c r="TU20">
        <f>SOFR3mo_PX[[#This Row],[Column541]]</f>
        <v>96.674999999999997</v>
      </c>
      <c r="TV20">
        <f>SOFR3mo_PX[[#This Row],[Column542]]</f>
        <v>96.674999999999997</v>
      </c>
      <c r="TW20">
        <f>SOFR3mo_PX[[#This Row],[Column543]]</f>
        <v>96.7</v>
      </c>
      <c r="TX20">
        <f>SOFR3mo_PX[[#This Row],[Column544]]</f>
        <v>96.814999999999998</v>
      </c>
      <c r="TY20">
        <f>SOFR3mo_PX[[#This Row],[Column545]]</f>
        <v>96.814999999999998</v>
      </c>
      <c r="TZ20">
        <f>SOFR3mo_PX[[#This Row],[Column546]]</f>
        <v>96.775000000000006</v>
      </c>
      <c r="UA20">
        <f>SOFR3mo_PX[[#This Row],[Column547]]</f>
        <v>96.795000000000002</v>
      </c>
      <c r="UB20">
        <f>SOFR3mo_PX[[#This Row],[Column548]]</f>
        <v>96.85</v>
      </c>
      <c r="UC20">
        <f>SOFR3mo_PX[[#This Row],[Column549]]</f>
        <v>96.93</v>
      </c>
      <c r="UD20">
        <f>SOFR3mo_PX[[#This Row],[Column550]]</f>
        <v>96.97</v>
      </c>
      <c r="UE20">
        <f>SOFR3mo_PX[[#This Row],[Column551]]</f>
        <v>97.015000000000001</v>
      </c>
      <c r="UF20">
        <f>SOFR3mo_PX[[#This Row],[Column552]]</f>
        <v>97.04</v>
      </c>
      <c r="UG20">
        <f>SOFR3mo_PX[[#This Row],[Column553]]</f>
        <v>97.11</v>
      </c>
      <c r="UH20">
        <f>SOFR3mo_PX[[#This Row],[Column554]]</f>
        <v>97.064999999999998</v>
      </c>
      <c r="UI20">
        <f>SOFR3mo_PX[[#This Row],[Column555]]</f>
        <v>96.98</v>
      </c>
      <c r="UJ20">
        <f>SOFR3mo_PX[[#This Row],[Column556]]</f>
        <v>96.96</v>
      </c>
      <c r="UK20">
        <f>SOFR3mo_PX[[#This Row],[Column557]]</f>
        <v>97.01</v>
      </c>
      <c r="UL20">
        <f>SOFR3mo_PX[[#This Row],[Column558]]</f>
        <v>97.105000000000004</v>
      </c>
      <c r="UM20">
        <f>SOFR3mo_PX[[#This Row],[Column559]]</f>
        <v>97.06</v>
      </c>
      <c r="UN20">
        <f>SOFR3mo_PX[[#This Row],[Column560]]</f>
        <v>97.03</v>
      </c>
      <c r="UO20">
        <f>SOFR3mo_PX[[#This Row],[Column561]]</f>
        <v>96.885000000000005</v>
      </c>
      <c r="UP20">
        <f>SOFR3mo_PX[[#This Row],[Column562]]</f>
        <v>97.004999999999995</v>
      </c>
      <c r="UQ20">
        <f>SOFR3mo_PX[[#This Row],[Column563]]</f>
        <v>96.94</v>
      </c>
      <c r="UR20">
        <f>SOFR3mo_PX[[#This Row],[Column564]]</f>
        <v>97.034999999999997</v>
      </c>
      <c r="US20">
        <f>SOFR3mo_PX[[#This Row],[Column565]]</f>
        <v>97.08</v>
      </c>
      <c r="UT20">
        <f>SOFR3mo_PX[[#This Row],[Column566]]</f>
        <v>96.98</v>
      </c>
      <c r="UU20">
        <f>SOFR3mo_PX[[#This Row],[Column567]]</f>
        <v>96.91</v>
      </c>
      <c r="UV20">
        <f>SOFR3mo_PX[[#This Row],[Column568]]</f>
        <v>96.954999999999998</v>
      </c>
      <c r="UW20">
        <f>SOFR3mo_PX[[#This Row],[Column569]]</f>
        <v>96.894999999999996</v>
      </c>
      <c r="UX20">
        <f>SOFR3mo_PX[[#This Row],[Column570]]</f>
        <v>96.91</v>
      </c>
      <c r="UY20">
        <f>SOFR3mo_PX[[#This Row],[Column571]]</f>
        <v>96.89</v>
      </c>
      <c r="UZ20">
        <f>SOFR3mo_PX[[#This Row],[Column572]]</f>
        <v>96.954999999999998</v>
      </c>
      <c r="VA20">
        <f>SOFR3mo_PX[[#This Row],[Column573]]</f>
        <v>97.03</v>
      </c>
      <c r="VB20">
        <f>SOFR3mo_PX[[#This Row],[Column574]]</f>
        <v>97.09</v>
      </c>
      <c r="VC20">
        <f>SOFR3mo_PX[[#This Row],[Column575]]</f>
        <v>97.06</v>
      </c>
      <c r="VD20">
        <f>SOFR3mo_PX[[#This Row],[Column576]]</f>
        <v>97.064999999999998</v>
      </c>
      <c r="VE20">
        <f>SOFR3mo_PX[[#This Row],[Column577]]</f>
        <v>97.105000000000004</v>
      </c>
      <c r="VF20">
        <f>SOFR3mo_PX[[#This Row],[Column578]]</f>
        <v>97.19</v>
      </c>
      <c r="VG20">
        <f>SOFR3mo_PX[[#This Row],[Column579]]</f>
        <v>97.17</v>
      </c>
      <c r="VH20">
        <f>SOFR3mo_PX[[#This Row],[Column580]]</f>
        <v>97.155000000000001</v>
      </c>
      <c r="VI20">
        <f>SOFR3mo_PX[[#This Row],[Column581]]</f>
        <v>97.06</v>
      </c>
      <c r="VJ20">
        <f>SOFR3mo_PX[[#This Row],[Column582]]</f>
        <v>97.004999999999995</v>
      </c>
      <c r="VK20">
        <f>SOFR3mo_PX[[#This Row],[Column583]]</f>
        <v>96.94</v>
      </c>
      <c r="VL20">
        <f>SOFR3mo_PX[[#This Row],[Column584]]</f>
        <v>96.894999999999996</v>
      </c>
      <c r="VM20">
        <f>SOFR3mo_PX[[#This Row],[Column585]]</f>
        <v>96.88</v>
      </c>
      <c r="VN20">
        <f>SOFR3mo_PX[[#This Row],[Column586]]</f>
        <v>96.91</v>
      </c>
      <c r="VO20">
        <f>SOFR3mo_PX[[#This Row],[Column587]]</f>
        <v>97.045000000000002</v>
      </c>
      <c r="VP20">
        <f>SOFR3mo_PX[[#This Row],[Column588]]</f>
        <v>97.025000000000006</v>
      </c>
      <c r="VQ20">
        <f>SOFR3mo_PX[[#This Row],[Column589]]</f>
        <v>96.915000000000006</v>
      </c>
      <c r="VR20">
        <f>SOFR3mo_PX[[#This Row],[Column590]]</f>
        <v>96.81</v>
      </c>
      <c r="VS20">
        <f>SOFR3mo_PX[[#This Row],[Column591]]</f>
        <v>96.89</v>
      </c>
      <c r="VT20">
        <f>SOFR3mo_PX[[#This Row],[Column592]]</f>
        <v>97.015000000000001</v>
      </c>
      <c r="VU20">
        <f>SOFR3mo_PX[[#This Row],[Column593]]</f>
        <v>96.825000000000003</v>
      </c>
      <c r="VV20">
        <f>SOFR3mo_PX[[#This Row],[Column594]]</f>
        <v>96.924999999999997</v>
      </c>
      <c r="VW20">
        <f>SOFR3mo_PX[[#This Row],[Column595]]</f>
        <v>96.83</v>
      </c>
      <c r="VX20">
        <f>SOFR3mo_PX[[#This Row],[Column596]]</f>
        <v>96.9</v>
      </c>
      <c r="VY20">
        <f>SOFR3mo_PX[[#This Row],[Column597]]</f>
        <v>96.89</v>
      </c>
      <c r="VZ20">
        <f>SOFR3mo_PX[[#This Row],[Column598]]</f>
        <v>96.685000000000002</v>
      </c>
      <c r="WA20">
        <f>SOFR3mo_PX[[#This Row],[Column599]]</f>
        <v>96.665000000000006</v>
      </c>
      <c r="WB20">
        <f>SOFR3mo_PX[[#This Row],[Column600]]</f>
        <v>96.67</v>
      </c>
      <c r="WC20">
        <f>SOFR3mo_PX[[#This Row],[Column601]]</f>
        <v>96.614999999999995</v>
      </c>
      <c r="WD20">
        <f>SOFR3mo_PX[[#This Row],[Column602]]</f>
        <v>96.61</v>
      </c>
      <c r="WE20">
        <f>SOFR3mo_PX[[#This Row],[Column603]]</f>
        <v>96.515000000000001</v>
      </c>
      <c r="WF20">
        <f>SOFR3mo_PX[[#This Row],[Column604]]</f>
        <v>96.62</v>
      </c>
      <c r="WG20">
        <f>SOFR3mo_PX[[#This Row],[Column605]]</f>
        <v>96.71</v>
      </c>
      <c r="WH20">
        <f>SOFR3mo_PX[[#This Row],[Column606]]</f>
        <v>96.704999999999998</v>
      </c>
      <c r="WI20">
        <f>SOFR3mo_PX[[#This Row],[Column607]]</f>
        <v>96.64</v>
      </c>
      <c r="WJ20">
        <f>SOFR3mo_PX[[#This Row],[Column608]]</f>
        <v>96.7</v>
      </c>
      <c r="WK20">
        <f>SOFR3mo_PX[[#This Row],[Column609]]</f>
        <v>96.64</v>
      </c>
      <c r="WL20">
        <f>SOFR3mo_PX[[#This Row],[Column610]]</f>
        <v>96.62</v>
      </c>
      <c r="WM20">
        <f>SOFR3mo_PX[[#This Row],[Column611]]</f>
        <v>96.775000000000006</v>
      </c>
      <c r="WN20">
        <f>SOFR3mo_PX[[#This Row],[Column612]]</f>
        <v>96.775000000000006</v>
      </c>
      <c r="WO20">
        <f>SOFR3mo_PX[[#This Row],[Column613]]</f>
        <v>96.754999999999995</v>
      </c>
      <c r="WP20">
        <f>SOFR3mo_PX[[#This Row],[Column614]]</f>
        <v>96.784999999999997</v>
      </c>
      <c r="WQ20">
        <f>SOFR3mo_PX[[#This Row],[Column615]]</f>
        <v>96.83</v>
      </c>
      <c r="WR20">
        <f>SOFR3mo_PX[[#This Row],[Column616]]</f>
        <v>96.86</v>
      </c>
      <c r="WS20">
        <f>SOFR3mo_PX[[#This Row],[Column617]]</f>
        <v>96.85</v>
      </c>
      <c r="WT20">
        <f>SOFR3mo_PX[[#This Row],[Column618]]</f>
        <v>96.905000000000001</v>
      </c>
      <c r="WU20">
        <f>SOFR3mo_PX[[#This Row],[Column619]]</f>
        <v>96.944999999999993</v>
      </c>
      <c r="WV20">
        <f>SOFR3mo_PX[[#This Row],[Column620]]</f>
        <v>96.915000000000006</v>
      </c>
      <c r="WW20">
        <f>SOFR3mo_PX[[#This Row],[Column621]]</f>
        <v>96.944999999999993</v>
      </c>
      <c r="WX20">
        <f>SOFR3mo_PX[[#This Row],[Column622]]</f>
        <v>97.04</v>
      </c>
      <c r="WY20">
        <f>SOFR3mo_PX[[#This Row],[Column623]]</f>
        <v>97.185000000000002</v>
      </c>
      <c r="WZ20">
        <f>SOFR3mo_PX[[#This Row],[Column624]]</f>
        <v>97.194999999999993</v>
      </c>
      <c r="XA20">
        <f>SOFR3mo_PX[[#This Row],[Column625]]</f>
        <v>97.06</v>
      </c>
      <c r="XB20">
        <f>SOFR3mo_PX[[#This Row],[Column626]]</f>
        <v>97.01</v>
      </c>
      <c r="XC20">
        <f>SOFR3mo_PX[[#This Row],[Column627]]</f>
        <v>97.06</v>
      </c>
      <c r="XD20">
        <f>SOFR3mo_PX[[#This Row],[Column628]]</f>
        <v>97.11</v>
      </c>
      <c r="XE20">
        <f>SOFR3mo_PX[[#This Row],[Column629]]</f>
        <v>97.155000000000001</v>
      </c>
      <c r="XF20">
        <f>SOFR3mo_PX[[#This Row],[Column630]]</f>
        <v>97.15</v>
      </c>
      <c r="XG20">
        <f>SOFR3mo_PX[[#This Row],[Column631]]</f>
        <v>97.08</v>
      </c>
      <c r="XH20">
        <f>SOFR3mo_PX[[#This Row],[Column632]]</f>
        <v>97.114999999999995</v>
      </c>
      <c r="XI20">
        <f>SOFR3mo_PX[[#This Row],[Column633]]</f>
        <v>97.22</v>
      </c>
      <c r="XJ20">
        <f>SOFR3mo_PX[[#This Row],[Column634]]</f>
        <v>97.265000000000001</v>
      </c>
      <c r="XK20">
        <f>SOFR3mo_PX[[#This Row],[Column635]]</f>
        <v>97.1</v>
      </c>
      <c r="XL20">
        <f>SOFR3mo_PX[[#This Row],[Column636]]</f>
        <v>97.125</v>
      </c>
      <c r="XM20">
        <f>SOFR3mo_PX[[#This Row],[Column637]]</f>
        <v>97.125</v>
      </c>
      <c r="XN20">
        <f>SOFR3mo_PX[[#This Row],[Column638]]</f>
        <v>97.18</v>
      </c>
      <c r="XO20">
        <f>SOFR3mo_PX[[#This Row],[Column639]]</f>
        <v>97.05</v>
      </c>
      <c r="XP20">
        <f>SOFR3mo_PX[[#This Row],[Column640]]</f>
        <v>96.99</v>
      </c>
      <c r="XQ20">
        <f>SOFR3mo_PX[[#This Row],[Column641]]</f>
        <v>97.094999999999999</v>
      </c>
      <c r="XR20">
        <f>SOFR3mo_PX[[#This Row],[Column642]]</f>
        <v>97.05</v>
      </c>
      <c r="XS20">
        <f>SOFR3mo_PX[[#This Row],[Column643]]</f>
        <v>96.87</v>
      </c>
      <c r="XT20">
        <f>SOFR3mo_PX[[#This Row],[Column644]]</f>
        <v>96.87</v>
      </c>
      <c r="XU20">
        <f>SOFR3mo_PX[[#This Row],[Column645]]</f>
        <v>96.765000000000001</v>
      </c>
      <c r="XV20">
        <f>SOFR3mo_PX[[#This Row],[Column646]]</f>
        <v>96.715000000000003</v>
      </c>
      <c r="XW20">
        <f>SOFR3mo_PX[[#This Row],[Column647]]</f>
        <v>96.715000000000003</v>
      </c>
      <c r="XX20">
        <f>SOFR3mo_PX[[#This Row],[Column648]]</f>
        <v>96.674999999999997</v>
      </c>
      <c r="XY20">
        <f>SOFR3mo_PX[[#This Row],[Column649]]</f>
        <v>96.644999999999996</v>
      </c>
      <c r="XZ20">
        <f>SOFR3mo_PX[[#This Row],[Column650]]</f>
        <v>96.715000000000003</v>
      </c>
      <c r="YA20">
        <f>SOFR3mo_PX[[#This Row],[Column651]]</f>
        <v>96.795000000000002</v>
      </c>
      <c r="YB20">
        <f>SOFR3mo_PX[[#This Row],[Column652]]</f>
        <v>96.795000000000002</v>
      </c>
      <c r="YC20">
        <f>SOFR3mo_PX[[#This Row],[Column653]]</f>
        <v>96.84</v>
      </c>
      <c r="YD20">
        <f>SOFR3mo_PX[[#This Row],[Column654]]</f>
        <v>96.825000000000003</v>
      </c>
      <c r="YE20">
        <f>SOFR3mo_PX[[#This Row],[Column655]]</f>
        <v>96.905000000000001</v>
      </c>
      <c r="YF20">
        <f>SOFR3mo_PX[[#This Row],[Column656]]</f>
        <v>97.03</v>
      </c>
      <c r="YG20">
        <f>SOFR3mo_PX[[#This Row],[Column657]]</f>
        <v>97.12</v>
      </c>
      <c r="YH20">
        <f>SOFR3mo_PX[[#This Row],[Column658]]</f>
        <v>97.155000000000001</v>
      </c>
      <c r="YI20">
        <f>SOFR3mo_PX[[#This Row],[Column659]]</f>
        <v>97.1</v>
      </c>
      <c r="YJ20">
        <f>SOFR3mo_PX[[#This Row],[Column660]]</f>
        <v>97.094999999999999</v>
      </c>
      <c r="YK20">
        <f>SOFR3mo_PX[[#This Row],[Column661]]</f>
        <v>96.99</v>
      </c>
      <c r="YL20">
        <f>SOFR3mo_PX[[#This Row],[Column662]]</f>
        <v>97.025000000000006</v>
      </c>
      <c r="YM20">
        <f>SOFR3mo_PX[[#This Row],[Column663]]</f>
        <v>97.11</v>
      </c>
      <c r="YN20">
        <f>SOFR3mo_PX[[#This Row],[Column664]]</f>
        <v>97.24</v>
      </c>
      <c r="YO20">
        <f>SOFR3mo_PX[[#This Row],[Column665]]</f>
        <v>97.13</v>
      </c>
      <c r="YP20">
        <f>SOFR3mo_PX[[#This Row],[Column666]]</f>
        <v>97.045000000000002</v>
      </c>
      <c r="YQ20">
        <f>SOFR3mo_PX[[#This Row],[Column667]]</f>
        <v>97.165000000000006</v>
      </c>
      <c r="YR20">
        <f>SOFR3mo_PX[[#This Row],[Column668]]</f>
        <v>97.11</v>
      </c>
      <c r="YS20">
        <f>SOFR3mo_PX[[#This Row],[Column669]]</f>
        <v>96.95</v>
      </c>
      <c r="YT20">
        <f>SOFR3mo_PX[[#This Row],[Column670]]</f>
        <v>96.885000000000005</v>
      </c>
      <c r="YU20">
        <f>SOFR3mo_PX[[#This Row],[Column671]]</f>
        <v>96.915000000000006</v>
      </c>
      <c r="YV20">
        <f>SOFR3mo_PX[[#This Row],[Column672]]</f>
        <v>96.905000000000001</v>
      </c>
      <c r="YW20">
        <f>SOFR3mo_PX[[#This Row],[Column673]]</f>
        <v>96.885000000000005</v>
      </c>
      <c r="YX20">
        <f>SOFR3mo_PX[[#This Row],[Column674]]</f>
        <v>96.885000000000005</v>
      </c>
      <c r="YY20">
        <f>SOFR3mo_PX[[#This Row],[Column675]]</f>
        <v>96.814999999999998</v>
      </c>
      <c r="YZ20">
        <f>SOFR3mo_PX[[#This Row],[Column676]]</f>
        <v>96.734999999999999</v>
      </c>
      <c r="ZA20">
        <f>SOFR3mo_PX[[#This Row],[Column677]]</f>
        <v>96.74</v>
      </c>
      <c r="ZB20">
        <f>SOFR3mo_PX[[#This Row],[Column678]]</f>
        <v>96.814999999999998</v>
      </c>
      <c r="ZC20">
        <f>SOFR3mo_PX[[#This Row],[Column679]]</f>
        <v>96.875</v>
      </c>
      <c r="ZD20">
        <f>SOFR3mo_PX[[#This Row],[Column680]]</f>
        <v>96.75</v>
      </c>
      <c r="ZE20">
        <f>SOFR3mo_PX[[#This Row],[Column681]]</f>
        <v>96.674999999999997</v>
      </c>
      <c r="ZF20">
        <f>SOFR3mo_PX[[#This Row],[Column682]]</f>
        <v>96.724999999999994</v>
      </c>
      <c r="ZG20">
        <f>SOFR3mo_PX[[#This Row],[Column683]]</f>
        <v>96.694999999999993</v>
      </c>
      <c r="ZH20">
        <f>SOFR3mo_PX[[#This Row],[Column684]]</f>
        <v>96.38</v>
      </c>
      <c r="ZI20">
        <f>SOFR3mo_PX[[#This Row],[Column685]]</f>
        <v>96.375</v>
      </c>
      <c r="ZJ20">
        <f>SOFR3mo_PX[[#This Row],[Column686]]</f>
        <v>96.27</v>
      </c>
      <c r="ZK20">
        <f>SOFR3mo_PX[[#This Row],[Column687]]</f>
        <v>96.284999999999997</v>
      </c>
      <c r="ZL20">
        <f>SOFR3mo_PX[[#This Row],[Column688]]</f>
        <v>96.3</v>
      </c>
      <c r="ZM20">
        <f>SOFR3mo_PX[[#This Row],[Column689]]</f>
        <v>96.344999999999999</v>
      </c>
      <c r="ZN20">
        <f>SOFR3mo_PX[[#This Row],[Column690]]</f>
        <v>96.314999999999998</v>
      </c>
      <c r="ZO20">
        <f>SOFR3mo_PX[[#This Row],[Column691]]</f>
        <v>96.31</v>
      </c>
      <c r="ZP20">
        <f>SOFR3mo_PX[[#This Row],[Column692]]</f>
        <v>96.344999999999999</v>
      </c>
      <c r="ZQ20">
        <f>SOFR3mo_PX[[#This Row],[Column693]]</f>
        <v>96.46</v>
      </c>
      <c r="ZR20">
        <f>SOFR3mo_PX[[#This Row],[Column694]]</f>
        <v>96.385000000000005</v>
      </c>
      <c r="ZS20">
        <f>SOFR3mo_PX[[#This Row],[Column695]]</f>
        <v>96.3</v>
      </c>
      <c r="ZT20">
        <f>SOFR3mo_PX[[#This Row],[Column696]]</f>
        <v>96.16</v>
      </c>
      <c r="ZU20">
        <f>SOFR3mo_PX[[#This Row],[Column697]]</f>
        <v>96.2</v>
      </c>
      <c r="ZV20">
        <f>SOFR3mo_PX[[#This Row],[Column698]]</f>
        <v>96.16</v>
      </c>
      <c r="ZW20">
        <f>SOFR3mo_PX[[#This Row],[Column699]]</f>
        <v>96.29</v>
      </c>
      <c r="ZX20">
        <f>SOFR3mo_PX[[#This Row],[Column700]]</f>
        <v>96.435000000000002</v>
      </c>
      <c r="ZY20">
        <f>SOFR3mo_PX[[#This Row],[Column701]]</f>
        <v>96.415000000000006</v>
      </c>
      <c r="ZZ20">
        <f>SOFR3mo_PX[[#This Row],[Column702]]</f>
        <v>96.4</v>
      </c>
      <c r="AAA20">
        <f>SOFR3mo_PX[[#This Row],[Column703]]</f>
        <v>96.444999999999993</v>
      </c>
      <c r="AAB20">
        <f>SOFR3mo_PX[[#This Row],[Column704]]</f>
        <v>96.435000000000002</v>
      </c>
      <c r="AAC20">
        <f>SOFR3mo_PX[[#This Row],[Column705]]</f>
        <v>96.39</v>
      </c>
      <c r="AAD20">
        <f>SOFR3mo_PX[[#This Row],[Column706]]</f>
        <v>96.355000000000004</v>
      </c>
      <c r="AAE20">
        <f>SOFR3mo_PX[[#This Row],[Column707]]</f>
        <v>96.424999999999997</v>
      </c>
      <c r="AAF20">
        <f>SOFR3mo_PX[[#This Row],[Column708]]</f>
        <v>96.484999999999999</v>
      </c>
      <c r="AAG20">
        <f>SOFR3mo_PX[[#This Row],[Column709]]</f>
        <v>96.55</v>
      </c>
      <c r="AAH20">
        <f>SOFR3mo_PX[[#This Row],[Column710]]</f>
        <v>96.74</v>
      </c>
      <c r="AAI20">
        <f>SOFR3mo_PX[[#This Row],[Column711]]</f>
        <v>96.625</v>
      </c>
      <c r="AAJ20">
        <f>SOFR3mo_PX[[#This Row],[Column712]]</f>
        <v>96.424999999999997</v>
      </c>
      <c r="AAK20">
        <f>SOFR3mo_PX[[#This Row],[Column713]]</f>
        <v>96.515000000000001</v>
      </c>
      <c r="AAL20">
        <f>SOFR3mo_PX[[#This Row],[Column714]]</f>
        <v>96.56</v>
      </c>
      <c r="AAM20">
        <f>SOFR3mo_PX[[#This Row],[Column715]]</f>
        <v>96.34</v>
      </c>
      <c r="AAN20">
        <f>SOFR3mo_PX[[#This Row],[Column716]]</f>
        <v>96.42</v>
      </c>
      <c r="AAO20">
        <f>SOFR3mo_PX[[#This Row],[Column717]]</f>
        <v>96.644999999999996</v>
      </c>
      <c r="AAP20">
        <f>SOFR3mo_PX[[#This Row],[Column718]]</f>
        <v>96.625</v>
      </c>
      <c r="AAQ20">
        <f>SOFR3mo_PX[[#This Row],[Column719]]</f>
        <v>96.834999999999994</v>
      </c>
      <c r="AAR20">
        <f>SOFR3mo_PX[[#This Row],[Column720]]</f>
        <v>96.765000000000001</v>
      </c>
      <c r="AAS20">
        <f>SOFR3mo_PX[[#This Row],[Column721]]</f>
        <v>96.85</v>
      </c>
      <c r="AAT20">
        <f>SOFR3mo_PX[[#This Row],[Column722]]</f>
        <v>96.894999999999996</v>
      </c>
      <c r="AAU20">
        <f>SOFR3mo_PX[[#This Row],[Column723]]</f>
        <v>96.89</v>
      </c>
      <c r="AAV20">
        <f>SOFR3mo_PX[[#This Row],[Column724]]</f>
        <v>96.944999999999993</v>
      </c>
      <c r="AAW20">
        <f>SOFR3mo_PX[[#This Row],[Column725]]</f>
        <v>96.915000000000006</v>
      </c>
      <c r="AAX20">
        <f>SOFR3mo_PX[[#This Row],[Column726]]</f>
        <v>96.965000000000003</v>
      </c>
      <c r="AAY20">
        <f>SOFR3mo_PX[[#This Row],[Column727]]</f>
        <v>96.995000000000005</v>
      </c>
      <c r="AAZ20">
        <f>SOFR3mo_PX[[#This Row],[Column728]]</f>
        <v>97.025000000000006</v>
      </c>
      <c r="ABA20">
        <f>SOFR3mo_PX[[#This Row],[Column729]]</f>
        <v>97.06</v>
      </c>
      <c r="ABB20">
        <f>SOFR3mo_PX[[#This Row],[Column730]]</f>
        <v>96.96</v>
      </c>
      <c r="ABC20">
        <f>SOFR3mo_PX[[#This Row],[Column731]]</f>
        <v>97.135000000000005</v>
      </c>
      <c r="ABD20">
        <f>SOFR3mo_PX[[#This Row],[Column732]]</f>
        <v>97.135000000000005</v>
      </c>
      <c r="ABE20">
        <f>SOFR3mo_PX[[#This Row],[Column733]]</f>
        <v>97.045000000000002</v>
      </c>
      <c r="ABF20">
        <f>SOFR3mo_PX[[#This Row],[Column734]]</f>
        <v>97.21</v>
      </c>
      <c r="ABG20">
        <f>SOFR3mo_PX[[#This Row],[Column735]]</f>
        <v>97.24</v>
      </c>
      <c r="ABH20">
        <f>SOFR3mo_PX[[#This Row],[Column736]]</f>
        <v>97.23</v>
      </c>
      <c r="ABI20">
        <f>SOFR3mo_PX[[#This Row],[Column737]]</f>
        <v>97.344999999999999</v>
      </c>
      <c r="ABJ20">
        <f>SOFR3mo_PX[[#This Row],[Column738]]</f>
        <v>97.394999999999996</v>
      </c>
      <c r="ABK20">
        <f>SOFR3mo_PX[[#This Row],[Column739]]</f>
        <v>97.32</v>
      </c>
      <c r="ABL20">
        <f>SOFR3mo_PX[[#This Row],[Column740]]</f>
        <v>97.375</v>
      </c>
      <c r="ABM20">
        <f>SOFR3mo_PX[[#This Row],[Column741]]</f>
        <v>97.415000000000006</v>
      </c>
      <c r="ABN20">
        <f>SOFR3mo_PX[[#This Row],[Column742]]</f>
        <v>97.46</v>
      </c>
      <c r="ABO20">
        <f>SOFR3mo_PX[[#This Row],[Column743]]</f>
        <v>97.59</v>
      </c>
      <c r="ABP20">
        <f>SOFR3mo_PX[[#This Row],[Column744]]</f>
        <v>97.584999999999994</v>
      </c>
      <c r="ABQ20">
        <f>SOFR3mo_PX[[#This Row],[Column745]]</f>
        <v>97.68</v>
      </c>
      <c r="ABR20">
        <f>SOFR3mo_PX[[#This Row],[Column746]]</f>
        <v>97.69</v>
      </c>
      <c r="ABS20">
        <f>SOFR3mo_PX[[#This Row],[Column747]]</f>
        <v>97.6</v>
      </c>
      <c r="ABT20">
        <f>SOFR3mo_PX[[#This Row],[Column748]]</f>
        <v>97.55</v>
      </c>
      <c r="ABU20">
        <f>SOFR3mo_PX[[#This Row],[Column749]]</f>
        <v>97.67</v>
      </c>
      <c r="ABV20">
        <f>SOFR3mo_PX[[#This Row],[Column750]]</f>
        <v>97.64</v>
      </c>
      <c r="ABW20">
        <f>SOFR3mo_PX[[#This Row],[Column751]]</f>
        <v>97.674999999999997</v>
      </c>
      <c r="ABX20">
        <f>SOFR3mo_PX[[#This Row],[Column752]]</f>
        <v>97.58</v>
      </c>
      <c r="ABY20">
        <f>SOFR3mo_PX[[#This Row],[Column753]]</f>
        <v>97.75</v>
      </c>
      <c r="ABZ20">
        <f>SOFR3mo_PX[[#This Row],[Column754]]</f>
        <v>97.644999999999996</v>
      </c>
      <c r="ACA20">
        <f>SOFR3mo_PX[[#This Row],[Column755]]</f>
        <v>97.635000000000005</v>
      </c>
      <c r="ACB20">
        <f>SOFR3mo_PX[[#This Row],[Column756]]</f>
        <v>97.795000000000002</v>
      </c>
      <c r="ACC20">
        <f>SOFR3mo_PX[[#This Row],[Column757]]</f>
        <v>97.745000000000005</v>
      </c>
      <c r="ACD20">
        <f>SOFR3mo_PX[[#This Row],[Column758]]</f>
        <v>97.71</v>
      </c>
      <c r="ACE20">
        <f>SOFR3mo_PX[[#This Row],[Column759]]</f>
        <v>97.635000000000005</v>
      </c>
      <c r="ACF20">
        <f>SOFR3mo_PX[[#This Row],[Column760]]</f>
        <v>97.555000000000007</v>
      </c>
      <c r="ACG20">
        <f>SOFR3mo_PX[[#This Row],[Column761]]</f>
        <v>97.515000000000001</v>
      </c>
      <c r="ACH20">
        <f>SOFR3mo_PX[[#This Row],[Column762]]</f>
        <v>97.534999999999997</v>
      </c>
      <c r="ACI20">
        <f>SOFR3mo_PX[[#This Row],[Column763]]</f>
        <v>97.415000000000006</v>
      </c>
      <c r="ACJ20">
        <f>SOFR3mo_PX[[#This Row],[Column764]]</f>
        <v>97.275000000000006</v>
      </c>
      <c r="ACK20">
        <f>SOFR3mo_PX[[#This Row],[Column765]]</f>
        <v>97.325000000000003</v>
      </c>
      <c r="ACL20">
        <f>SOFR3mo_PX[[#This Row],[Column766]]</f>
        <v>97.375</v>
      </c>
      <c r="ACM20">
        <f>SOFR3mo_PX[[#This Row],[Column767]]</f>
        <v>97.394999999999996</v>
      </c>
      <c r="ACN20">
        <f>SOFR3mo_PX[[#This Row],[Column768]]</f>
        <v>97.34</v>
      </c>
      <c r="ACO20">
        <f>SOFR3mo_PX[[#This Row],[Column769]]</f>
        <v>97.394999999999996</v>
      </c>
      <c r="ACP20">
        <f>SOFR3mo_PX[[#This Row],[Column770]]</f>
        <v>97.3</v>
      </c>
      <c r="ACQ20">
        <f>SOFR3mo_PX[[#This Row],[Column771]]</f>
        <v>97.25</v>
      </c>
      <c r="ACR20">
        <f>SOFR3mo_PX[[#This Row],[Column772]]</f>
        <v>97.105000000000004</v>
      </c>
      <c r="ACS20">
        <f>SOFR3mo_PX[[#This Row],[Column773]]</f>
        <v>97.18</v>
      </c>
      <c r="ACT20">
        <f>SOFR3mo_PX[[#This Row],[Column774]]</f>
        <v>97.3</v>
      </c>
      <c r="ACU20">
        <f>SOFR3mo_PX[[#This Row],[Column775]]</f>
        <v>97.4</v>
      </c>
      <c r="ACV20">
        <f>SOFR3mo_PX[[#This Row],[Column776]]</f>
        <v>97.3</v>
      </c>
      <c r="ACW20">
        <f>SOFR3mo_PX[[#This Row],[Column777]]</f>
        <v>97.3</v>
      </c>
      <c r="ACX20">
        <f>SOFR3mo_PX[[#This Row],[Column778]]</f>
        <v>97.24</v>
      </c>
      <c r="ACY20">
        <f>SOFR3mo_PX[[#This Row],[Column779]]</f>
        <v>97.094999999999999</v>
      </c>
      <c r="ACZ20">
        <f>SOFR3mo_PX[[#This Row],[Column780]]</f>
        <v>97.004999999999995</v>
      </c>
      <c r="ADA20">
        <f>SOFR3mo_PX[[#This Row],[Column781]]</f>
        <v>97.03</v>
      </c>
      <c r="ADB20">
        <f>SOFR3mo_PX[[#This Row],[Column782]]</f>
        <v>97.094999999999999</v>
      </c>
      <c r="ADC20">
        <f>SOFR3mo_PX[[#This Row],[Column783]]</f>
        <v>97.18</v>
      </c>
      <c r="ADD20">
        <f>SOFR3mo_PX[[#This Row],[Column784]]</f>
        <v>97.084999999999994</v>
      </c>
      <c r="ADE20">
        <f>SOFR3mo_PX[[#This Row],[Column785]]</f>
        <v>96.965000000000003</v>
      </c>
      <c r="ADF20">
        <f>SOFR3mo_PX[[#This Row],[Column786]]</f>
        <v>97.04</v>
      </c>
      <c r="ADG20">
        <f>SOFR3mo_PX[[#This Row],[Column787]]</f>
        <v>97.04</v>
      </c>
      <c r="ADH20">
        <f>SOFR3mo_PX[[#This Row],[Column788]]</f>
        <v>96.99</v>
      </c>
      <c r="ADI20">
        <f>SOFR3mo_PX[[#This Row],[Column789]]</f>
        <v>96.82</v>
      </c>
      <c r="ADJ20">
        <f>SOFR3mo_PX[[#This Row],[Column790]]</f>
        <v>96.76</v>
      </c>
      <c r="ADK20">
        <f>SOFR3mo_PX[[#This Row],[Column791]]</f>
        <v>96.88</v>
      </c>
      <c r="ADL20">
        <f>SOFR3mo_PX[[#This Row],[Column792]]</f>
        <v>97.105000000000004</v>
      </c>
      <c r="ADM20">
        <f>SOFR3mo_PX[[#This Row],[Column793]]</f>
        <v>97.2</v>
      </c>
      <c r="ADN20">
        <f>SOFR3mo_PX[[#This Row],[Column794]]</f>
        <v>97.21</v>
      </c>
      <c r="ADO20">
        <f>SOFR3mo_PX[[#This Row],[Column795]]</f>
        <v>97.254999999999995</v>
      </c>
      <c r="ADP20">
        <f>SOFR3mo_PX[[#This Row],[Column796]]</f>
        <v>97.165000000000006</v>
      </c>
      <c r="ADQ20">
        <f>SOFR3mo_PX[[#This Row],[Column797]]</f>
        <v>97.27</v>
      </c>
      <c r="ADR20">
        <f>SOFR3mo_PX[[#This Row],[Column798]]</f>
        <v>97.32</v>
      </c>
      <c r="ADS20">
        <f>SOFR3mo_PX[[#This Row],[Column799]]</f>
        <v>97.28</v>
      </c>
      <c r="ADT20">
        <f>SOFR3mo_PX[[#This Row],[Column800]]</f>
        <v>97.375</v>
      </c>
      <c r="ADU20">
        <f>SOFR3mo_PX[[#This Row],[Column801]]</f>
        <v>97.465000000000003</v>
      </c>
      <c r="ADV20">
        <f>SOFR3mo_PX[[#This Row],[Column802]]</f>
        <v>97.465000000000003</v>
      </c>
      <c r="ADW20">
        <f>SOFR3mo_PX[[#This Row],[Column803]]</f>
        <v>97.454999999999998</v>
      </c>
      <c r="ADX20">
        <f>SOFR3mo_PX[[#This Row],[Column804]]</f>
        <v>97.465000000000003</v>
      </c>
      <c r="ADY20">
        <f>SOFR3mo_PX[[#This Row],[Column805]]</f>
        <v>97.435000000000002</v>
      </c>
      <c r="ADZ20">
        <f>SOFR3mo_PX[[#This Row],[Column806]]</f>
        <v>97.325000000000003</v>
      </c>
      <c r="AEA20">
        <f>SOFR3mo_PX[[#This Row],[Column807]]</f>
        <v>97.394999999999996</v>
      </c>
      <c r="AEB20">
        <f>SOFR3mo_PX[[#This Row],[Column808]]</f>
        <v>97.34</v>
      </c>
      <c r="AEC20">
        <f>SOFR3mo_PX[[#This Row],[Column809]]</f>
        <v>97.32</v>
      </c>
      <c r="AED20">
        <f>SOFR3mo_PX[[#This Row],[Column810]]</f>
        <v>97.23</v>
      </c>
      <c r="AEE20">
        <f>SOFR3mo_PX[[#This Row],[Column811]]</f>
        <v>97.32</v>
      </c>
      <c r="AEF20">
        <f>SOFR3mo_PX[[#This Row],[Column812]]</f>
        <v>97.215000000000003</v>
      </c>
      <c r="AEG20">
        <f>SOFR3mo_PX[[#This Row],[Column813]]</f>
        <v>97.34</v>
      </c>
      <c r="AEH20">
        <f>SOFR3mo_PX[[#This Row],[Column814]]</f>
        <v>97.275000000000006</v>
      </c>
      <c r="AEI20">
        <f>SOFR3mo_PX[[#This Row],[Column815]]</f>
        <v>97.19</v>
      </c>
      <c r="AEJ20">
        <f>SOFR3mo_PX[[#This Row],[Column816]]</f>
        <v>97.075000000000003</v>
      </c>
      <c r="AEK20">
        <f>SOFR3mo_PX[[#This Row],[Column817]]</f>
        <v>97.02</v>
      </c>
      <c r="AEL20">
        <f>SOFR3mo_PX[[#This Row],[Column818]]</f>
        <v>97.094999999999999</v>
      </c>
      <c r="AEM20">
        <f>SOFR3mo_PX[[#This Row],[Column819]]</f>
        <v>97.22</v>
      </c>
      <c r="AEN20">
        <f>SOFR3mo_PX[[#This Row],[Column820]]</f>
        <v>97.18</v>
      </c>
      <c r="AEO20">
        <f>SOFR3mo_PX[[#This Row],[Column821]]</f>
        <v>97.125</v>
      </c>
      <c r="AEP20">
        <f>SOFR3mo_PX[[#This Row],[Column822]]</f>
        <v>97.254999999999995</v>
      </c>
      <c r="AEQ20">
        <f>SOFR3mo_PX[[#This Row],[Column823]]</f>
        <v>97.26</v>
      </c>
      <c r="AER20">
        <f>SOFR3mo_PX[[#This Row],[Column824]]</f>
        <v>97.334999999999994</v>
      </c>
      <c r="AES20">
        <f>SOFR3mo_PX[[#This Row],[Column825]]</f>
        <v>97.38</v>
      </c>
      <c r="AET20">
        <f>SOFR3mo_PX[[#This Row],[Column826]]</f>
        <v>97.375</v>
      </c>
      <c r="AEU20">
        <f>SOFR3mo_PX[[#This Row],[Column827]]</f>
        <v>97.295000000000002</v>
      </c>
      <c r="AEV20">
        <f>SOFR3mo_PX[[#This Row],[Column828]]</f>
        <v>97.21</v>
      </c>
      <c r="AEW20">
        <f>SOFR3mo_PX[[#This Row],[Column829]]</f>
        <v>97.305000000000007</v>
      </c>
      <c r="AEX20">
        <f>SOFR3mo_PX[[#This Row],[Column830]]</f>
        <v>97.21</v>
      </c>
      <c r="AEY20">
        <f>SOFR3mo_PX[[#This Row],[Column831]]</f>
        <v>97.284999999999997</v>
      </c>
      <c r="AEZ20">
        <f>SOFR3mo_PX[[#This Row],[Column832]]</f>
        <v>97.334999999999994</v>
      </c>
      <c r="AFA20">
        <f>SOFR3mo_PX[[#This Row],[Column833]]</f>
        <v>97.334999999999994</v>
      </c>
      <c r="AFB20">
        <f>SOFR3mo_PX[[#This Row],[Column834]]</f>
        <v>97.465000000000003</v>
      </c>
      <c r="AFC20">
        <f>SOFR3mo_PX[[#This Row],[Column835]]</f>
        <v>97.435000000000002</v>
      </c>
      <c r="AFD20">
        <f>SOFR3mo_PX[[#This Row],[Column836]]</f>
        <v>97.355000000000004</v>
      </c>
      <c r="AFE20">
        <f>SOFR3mo_PX[[#This Row],[Column837]]</f>
        <v>97.465000000000003</v>
      </c>
      <c r="AFF20">
        <f>SOFR3mo_PX[[#This Row],[Column838]]</f>
        <v>97.54</v>
      </c>
      <c r="AFG20">
        <f>SOFR3mo_PX[[#This Row],[Column839]]</f>
        <v>97.59</v>
      </c>
      <c r="AFH20">
        <f>SOFR3mo_PX[[#This Row],[Column840]]</f>
        <v>97.64</v>
      </c>
      <c r="AFI20">
        <f>SOFR3mo_PX[[#This Row],[Column841]]</f>
        <v>97.864999999999995</v>
      </c>
      <c r="AFJ20">
        <f>SOFR3mo_PX[[#This Row],[Column842]]</f>
        <v>97.88</v>
      </c>
      <c r="AFK20">
        <f>SOFR3mo_PX[[#This Row],[Column843]]</f>
        <v>97.935000000000002</v>
      </c>
      <c r="AFL20">
        <f>SOFR3mo_PX[[#This Row],[Column844]]</f>
        <v>97.87</v>
      </c>
      <c r="AFM20">
        <f>SOFR3mo_PX[[#This Row],[Column845]]</f>
        <v>97.795000000000002</v>
      </c>
      <c r="AFN20">
        <f>SOFR3mo_PX[[#This Row],[Column846]]</f>
        <v>97.665000000000006</v>
      </c>
      <c r="AFO20">
        <f>SOFR3mo_PX[[#This Row],[Column847]]</f>
        <v>97.61</v>
      </c>
      <c r="AFP20">
        <f>SOFR3mo_PX[[#This Row],[Column848]]</f>
        <v>97.83</v>
      </c>
      <c r="AFQ20">
        <f>SOFR3mo_PX[[#This Row],[Column849]]</f>
        <v>97.86</v>
      </c>
      <c r="AFR20">
        <f>SOFR3mo_PX[[#This Row],[Column850]]</f>
        <v>97.814999999999998</v>
      </c>
      <c r="AFS20">
        <f>SOFR3mo_PX[[#This Row],[Column851]]</f>
        <v>97.875</v>
      </c>
      <c r="AFT20">
        <f>SOFR3mo_PX[[#This Row],[Column852]]</f>
        <v>98.034999999999997</v>
      </c>
      <c r="AFU20">
        <f>SOFR3mo_PX[[#This Row],[Column853]]</f>
        <v>97.97</v>
      </c>
      <c r="AFV20">
        <f>SOFR3mo_PX[[#This Row],[Column854]]</f>
        <v>97.92</v>
      </c>
      <c r="AFW20">
        <f>SOFR3mo_PX[[#This Row],[Column855]]</f>
        <v>97.965000000000003</v>
      </c>
      <c r="AFX20">
        <f>SOFR3mo_PX[[#This Row],[Column856]]</f>
        <v>97.99</v>
      </c>
      <c r="AFY20">
        <f>SOFR3mo_PX[[#This Row],[Column857]]</f>
        <v>98.135000000000005</v>
      </c>
      <c r="AFZ20">
        <f>SOFR3mo_PX[[#This Row],[Column858]]</f>
        <v>98.15</v>
      </c>
      <c r="AGA20">
        <f>SOFR3mo_PX[[#This Row],[Column859]]</f>
        <v>98.224999999999994</v>
      </c>
      <c r="AGB20">
        <f>SOFR3mo_PX[[#This Row],[Column860]]</f>
        <v>98.325000000000003</v>
      </c>
      <c r="AGC20">
        <f>SOFR3mo_PX[[#This Row],[Column861]]</f>
        <v>98.44</v>
      </c>
      <c r="AGD20">
        <f>SOFR3mo_PX[[#This Row],[Column862]]</f>
        <v>98.47</v>
      </c>
      <c r="AGE20">
        <f>SOFR3mo_PX[[#This Row],[Column863]]</f>
        <v>98.32</v>
      </c>
      <c r="AGF20">
        <f>SOFR3mo_PX[[#This Row],[Column864]]</f>
        <v>98.265000000000001</v>
      </c>
      <c r="AGG20">
        <f>SOFR3mo_PX[[#This Row],[Column865]]</f>
        <v>98.454999999999998</v>
      </c>
      <c r="AGH20">
        <f>SOFR3mo_PX[[#This Row],[Column866]]</f>
        <v>98.27</v>
      </c>
      <c r="AGI20">
        <f>SOFR3mo_PX[[#This Row],[Column867]]</f>
        <v>98.114999999999995</v>
      </c>
      <c r="AGJ20">
        <f>SOFR3mo_PX[[#This Row],[Column868]]</f>
        <v>98.13</v>
      </c>
      <c r="AGK20">
        <f>SOFR3mo_PX[[#This Row],[Column869]]</f>
        <v>98.125</v>
      </c>
      <c r="AGL20">
        <f>SOFR3mo_PX[[#This Row],[Column870]]</f>
        <v>98.155000000000001</v>
      </c>
      <c r="AGM20">
        <f>SOFR3mo_PX[[#This Row],[Column871]]</f>
        <v>98.155000000000001</v>
      </c>
      <c r="AGN20">
        <f>SOFR3mo_PX[[#This Row],[Column872]]</f>
        <v>98.155000000000001</v>
      </c>
      <c r="AGO20">
        <f>SOFR3mo_PX[[#This Row],[Column873]]</f>
        <v>98.11</v>
      </c>
      <c r="AGP20">
        <f>SOFR3mo_PX[[#This Row],[Column874]]</f>
        <v>98.025000000000006</v>
      </c>
      <c r="AGQ20">
        <f>SOFR3mo_PX[[#This Row],[Column875]]</f>
        <v>98.025000000000006</v>
      </c>
      <c r="AGR20">
        <f>SOFR3mo_PX[[#This Row],[Column876]]</f>
        <v>98.084999999999994</v>
      </c>
      <c r="AGS20">
        <f>SOFR3mo_PX[[#This Row],[Column877]]</f>
        <v>98.135000000000005</v>
      </c>
      <c r="AGT20">
        <f>SOFR3mo_PX[[#This Row],[Column878]]</f>
        <v>98.015000000000001</v>
      </c>
      <c r="AGU20">
        <f>SOFR3mo_PX[[#This Row],[Column879]]</f>
        <v>98.094999999999999</v>
      </c>
      <c r="AGV20">
        <f>SOFR3mo_PX[[#This Row],[Column880]]</f>
        <v>98.06</v>
      </c>
      <c r="AGW20">
        <f>SOFR3mo_PX[[#This Row],[Column881]]</f>
        <v>98.105000000000004</v>
      </c>
      <c r="AGX20">
        <f>SOFR3mo_PX[[#This Row],[Column882]]</f>
        <v>98.08</v>
      </c>
      <c r="AGY20">
        <f>SOFR3mo_PX[[#This Row],[Column883]]</f>
        <v>98.21</v>
      </c>
      <c r="AGZ20">
        <f>SOFR3mo_PX[[#This Row],[Column884]]</f>
        <v>98.28</v>
      </c>
      <c r="AHA20">
        <f>SOFR3mo_PX[[#This Row],[Column885]]</f>
        <v>98.25</v>
      </c>
      <c r="AHB20">
        <f>SOFR3mo_PX[[#This Row],[Column886]]</f>
        <v>98.245000000000005</v>
      </c>
      <c r="AHC20">
        <f>SOFR3mo_PX[[#This Row],[Column887]]</f>
        <v>98.25</v>
      </c>
      <c r="AHD20">
        <f>SOFR3mo_PX[[#This Row],[Column888]]</f>
        <v>98.204999999999998</v>
      </c>
      <c r="AHE20">
        <f>SOFR3mo_PX[[#This Row],[Column889]]</f>
        <v>98.125</v>
      </c>
      <c r="AHF20">
        <f>SOFR3mo_PX[[#This Row],[Column890]]</f>
        <v>98.204999999999998</v>
      </c>
      <c r="AHG20">
        <f>SOFR3mo_PX[[#This Row],[Column891]]</f>
        <v>98.265000000000001</v>
      </c>
      <c r="AHH20">
        <f>SOFR3mo_PX[[#This Row],[Column892]]</f>
        <v>98.234999999999999</v>
      </c>
      <c r="AHI20">
        <f>SOFR3mo_PX[[#This Row],[Column893]]</f>
        <v>98.165000000000006</v>
      </c>
      <c r="AHJ20">
        <f>SOFR3mo_PX[[#This Row],[Column894]]</f>
        <v>98.15</v>
      </c>
      <c r="AHK20">
        <f>SOFR3mo_PX[[#This Row],[Column895]]</f>
        <v>98.1</v>
      </c>
      <c r="AHL20">
        <f>SOFR3mo_PX[[#This Row],[Column896]]</f>
        <v>98.22</v>
      </c>
      <c r="AHM20">
        <f>SOFR3mo_PX[[#This Row],[Column897]]</f>
        <v>98.22</v>
      </c>
      <c r="AHN20">
        <f>SOFR3mo_PX[[#This Row],[Column898]]</f>
        <v>98.3</v>
      </c>
      <c r="AHO20">
        <f>SOFR3mo_PX[[#This Row],[Column899]]</f>
        <v>98.27</v>
      </c>
      <c r="AHP20">
        <f>SOFR3mo_PX[[#This Row],[Column900]]</f>
        <v>98.224999999999994</v>
      </c>
      <c r="AHQ20">
        <f>SOFR3mo_PX[[#This Row],[Column901]]</f>
        <v>98.17</v>
      </c>
      <c r="AHR20">
        <f>SOFR3mo_PX[[#This Row],[Column902]]</f>
        <v>98.2</v>
      </c>
      <c r="AHS20">
        <f>SOFR3mo_PX[[#This Row],[Column903]]</f>
        <v>98.245000000000005</v>
      </c>
      <c r="AHT20">
        <f>SOFR3mo_PX[[#This Row],[Column904]]</f>
        <v>98.29</v>
      </c>
      <c r="AHU20">
        <f>SOFR3mo_PX[[#This Row],[Column905]]</f>
        <v>98.32</v>
      </c>
      <c r="AHV20">
        <f>SOFR3mo_PX[[#This Row],[Column906]]</f>
        <v>98.36</v>
      </c>
      <c r="AHW20">
        <f>SOFR3mo_PX[[#This Row],[Column907]]</f>
        <v>98.504999999999995</v>
      </c>
      <c r="AHX20">
        <f>SOFR3mo_PX[[#This Row],[Column908]]</f>
        <v>98.484999999999999</v>
      </c>
      <c r="AHY20">
        <f>SOFR3mo_PX[[#This Row],[Column909]]</f>
        <v>98.474999999999994</v>
      </c>
      <c r="AHZ20">
        <f>SOFR3mo_PX[[#This Row],[Column910]]</f>
        <v>98.545000000000002</v>
      </c>
      <c r="AIA20">
        <f>SOFR3mo_PX[[#This Row],[Column911]]</f>
        <v>98.534999999999997</v>
      </c>
      <c r="AIB20">
        <f>SOFR3mo_PX[[#This Row],[Column912]]</f>
        <v>98.525000000000006</v>
      </c>
      <c r="AIC20">
        <f>SOFR3mo_PX[[#This Row],[Column913]]</f>
        <v>98.525000000000006</v>
      </c>
      <c r="AID20">
        <f>SOFR3mo_PX[[#This Row],[Column914]]</f>
        <v>98.54</v>
      </c>
      <c r="AIE20">
        <f>SOFR3mo_PX[[#This Row],[Column915]]</f>
        <v>98.53</v>
      </c>
      <c r="AIF20">
        <f>SOFR3mo_PX[[#This Row],[Column916]]</f>
        <v>98.62</v>
      </c>
      <c r="AIG20">
        <f>SOFR3mo_PX[[#This Row],[Column917]]</f>
        <v>98.644999999999996</v>
      </c>
      <c r="AIH20">
        <f>SOFR3mo_PX[[#This Row],[Column918]]</f>
        <v>98.62</v>
      </c>
      <c r="AII20">
        <f>SOFR3mo_PX[[#This Row],[Column919]]</f>
        <v>98.54</v>
      </c>
      <c r="AIJ20">
        <f>SOFR3mo_PX[[#This Row],[Column920]]</f>
        <v>98.534999999999997</v>
      </c>
      <c r="AIK20">
        <f>SOFR3mo_PX[[#This Row],[Column921]]</f>
        <v>98.55</v>
      </c>
      <c r="AIL20">
        <f>SOFR3mo_PX[[#This Row],[Column922]]</f>
        <v>98.5</v>
      </c>
      <c r="AIM20">
        <f>SOFR3mo_PX[[#This Row],[Column923]]</f>
        <v>98.515000000000001</v>
      </c>
      <c r="AIN20">
        <f>SOFR3mo_PX[[#This Row],[Column924]]</f>
        <v>98.49</v>
      </c>
      <c r="AIO20">
        <f>SOFR3mo_PX[[#This Row],[Column925]]</f>
        <v>98.504999999999995</v>
      </c>
      <c r="AIP20">
        <f>SOFR3mo_PX[[#This Row],[Column926]]</f>
        <v>98.56</v>
      </c>
      <c r="AIQ20">
        <f>SOFR3mo_PX[[#This Row],[Column927]]</f>
        <v>98.694999999999993</v>
      </c>
      <c r="AIR20">
        <f>SOFR3mo_PX[[#This Row],[Column928]]</f>
        <v>98.58</v>
      </c>
      <c r="AIS20">
        <f>SOFR3mo_PX[[#This Row],[Column929]]</f>
        <v>98.605000000000004</v>
      </c>
      <c r="AIT20">
        <f>SOFR3mo_PX[[#This Row],[Column930]]</f>
        <v>98.564999999999998</v>
      </c>
      <c r="AIU20">
        <f>SOFR3mo_PX[[#This Row],[Column931]]</f>
        <v>98.48</v>
      </c>
      <c r="AIV20">
        <f>SOFR3mo_PX[[#This Row],[Column932]]</f>
        <v>98.51</v>
      </c>
      <c r="AIW20">
        <f>SOFR3mo_PX[[#This Row],[Column933]]</f>
        <v>98.34</v>
      </c>
      <c r="AIX20">
        <f>SOFR3mo_PX[[#This Row],[Column934]]</f>
        <v>98.34</v>
      </c>
      <c r="AIY20">
        <f>SOFR3mo_PX[[#This Row],[Column935]]</f>
        <v>98.314999999999998</v>
      </c>
      <c r="AIZ20">
        <f>SOFR3mo_PX[[#This Row],[Column936]]</f>
        <v>98.36</v>
      </c>
      <c r="AJA20">
        <f>SOFR3mo_PX[[#This Row],[Column937]]</f>
        <v>98.474999999999994</v>
      </c>
      <c r="AJB20">
        <f>SOFR3mo_PX[[#This Row],[Column938]]</f>
        <v>98.415000000000006</v>
      </c>
      <c r="AJC20">
        <f>SOFR3mo_PX[[#This Row],[Column939]]</f>
        <v>98.38</v>
      </c>
      <c r="AJD20">
        <f>SOFR3mo_PX[[#This Row],[Column940]]</f>
        <v>98.355000000000004</v>
      </c>
      <c r="AJE20">
        <f>SOFR3mo_PX[[#This Row],[Column941]]</f>
        <v>98.39</v>
      </c>
      <c r="AJF20">
        <f>SOFR3mo_PX[[#This Row],[Column942]]</f>
        <v>98.424999999999997</v>
      </c>
      <c r="AJG20">
        <f>SOFR3mo_PX[[#This Row],[Column943]]</f>
        <v>98.42</v>
      </c>
      <c r="AJH20">
        <f>SOFR3mo_PX[[#This Row],[Column944]]</f>
        <v>98.454999999999998</v>
      </c>
      <c r="AJI20">
        <f>SOFR3mo_PX[[#This Row],[Column945]]</f>
        <v>98.605000000000004</v>
      </c>
      <c r="AJJ20">
        <f>SOFR3mo_PX[[#This Row],[Column946]]</f>
        <v>98.52</v>
      </c>
      <c r="AJK20">
        <f>SOFR3mo_PX[[#This Row],[Column947]]</f>
        <v>98.584999999999994</v>
      </c>
      <c r="AJL20">
        <f>SOFR3mo_PX[[#This Row],[Column948]]</f>
        <v>98.495000000000005</v>
      </c>
      <c r="AJM20">
        <f>SOFR3mo_PX[[#This Row],[Column949]]</f>
        <v>98.444999999999993</v>
      </c>
      <c r="AJN20">
        <f>SOFR3mo_PX[[#This Row],[Column950]]</f>
        <v>98.48</v>
      </c>
      <c r="AJO20">
        <f>SOFR3mo_PX[[#This Row],[Column951]]</f>
        <v>98.495000000000005</v>
      </c>
      <c r="AJP20">
        <f>SOFR3mo_PX[[#This Row],[Column952]]</f>
        <v>98.525000000000006</v>
      </c>
      <c r="AJQ20">
        <f>SOFR3mo_PX[[#This Row],[Column953]]</f>
        <v>98.495000000000005</v>
      </c>
      <c r="AJR20">
        <f>SOFR3mo_PX[[#This Row],[Column954]]</f>
        <v>98.484999999999999</v>
      </c>
      <c r="AJS20">
        <f>SOFR3mo_PX[[#This Row],[Column955]]</f>
        <v>98.344999999999999</v>
      </c>
      <c r="AJT20">
        <f>SOFR3mo_PX[[#This Row],[Column956]]</f>
        <v>98.344999999999999</v>
      </c>
      <c r="AJU20">
        <f>SOFR3mo_PX[[#This Row],[Column957]]</f>
        <v>98.34</v>
      </c>
      <c r="AJV20">
        <f>SOFR3mo_PX[[#This Row],[Column958]]</f>
        <v>98.305000000000007</v>
      </c>
      <c r="AJW20">
        <f>SOFR3mo_PX[[#This Row],[Column959]]</f>
        <v>98.355000000000004</v>
      </c>
      <c r="AJX20">
        <f>SOFR3mo_PX[[#This Row],[Column960]]</f>
        <v>98.355000000000004</v>
      </c>
      <c r="AJY20">
        <f>SOFR3mo_PX[[#This Row],[Column961]]</f>
        <v>98.39</v>
      </c>
      <c r="AJZ20">
        <f>SOFR3mo_PX[[#This Row],[Column962]]</f>
        <v>98.394999999999996</v>
      </c>
      <c r="AKA20">
        <f>SOFR3mo_PX[[#This Row],[Column963]]</f>
        <v>98.46</v>
      </c>
      <c r="AKB20">
        <f>SOFR3mo_PX[[#This Row],[Column964]]</f>
        <v>98.41</v>
      </c>
      <c r="AKC20">
        <f>SOFR3mo_PX[[#This Row],[Column965]]</f>
        <v>98.364999999999995</v>
      </c>
      <c r="AKD20">
        <f>SOFR3mo_PX[[#This Row],[Column966]]</f>
        <v>98.32</v>
      </c>
      <c r="AKE20">
        <f>SOFR3mo_PX[[#This Row],[Column967]]</f>
        <v>98.34</v>
      </c>
      <c r="AKF20">
        <f>SOFR3mo_PX[[#This Row],[Column968]]</f>
        <v>98.385000000000005</v>
      </c>
      <c r="AKG20">
        <f>SOFR3mo_PX[[#This Row],[Column969]]</f>
        <v>98.435000000000002</v>
      </c>
      <c r="AKH20">
        <f>SOFR3mo_PX[[#This Row],[Column970]]</f>
        <v>98.43</v>
      </c>
      <c r="AKI20">
        <f>SOFR3mo_PX[[#This Row],[Column971]]</f>
        <v>98.48</v>
      </c>
      <c r="AKJ20">
        <f>SOFR3mo_PX[[#This Row],[Column972]]</f>
        <v>98.47</v>
      </c>
      <c r="AKK20">
        <f>SOFR3mo_PX[[#This Row],[Column973]]</f>
        <v>98.385000000000005</v>
      </c>
      <c r="AKL20">
        <f>SOFR3mo_PX[[#This Row],[Column974]]</f>
        <v>98.364999999999995</v>
      </c>
      <c r="AKM20">
        <f>SOFR3mo_PX[[#This Row],[Column975]]</f>
        <v>98.355000000000004</v>
      </c>
      <c r="AKN20">
        <f>SOFR3mo_PX[[#This Row],[Column976]]</f>
        <v>98.415000000000006</v>
      </c>
      <c r="AKO20">
        <f>SOFR3mo_PX[[#This Row],[Column977]]</f>
        <v>98.454999999999998</v>
      </c>
      <c r="AKP20">
        <f>SOFR3mo_PX[[#This Row],[Column978]]</f>
        <v>98.5</v>
      </c>
      <c r="AKQ20">
        <f>SOFR3mo_PX[[#This Row],[Column979]]</f>
        <v>98.584999999999994</v>
      </c>
      <c r="AKR20">
        <f>SOFR3mo_PX[[#This Row],[Column980]]</f>
        <v>98.614999999999995</v>
      </c>
      <c r="AKS20">
        <f>SOFR3mo_PX[[#This Row],[Column981]]</f>
        <v>98.62</v>
      </c>
      <c r="AKT20">
        <f>SOFR3mo_PX[[#This Row],[Column982]]</f>
        <v>98.545000000000002</v>
      </c>
      <c r="AKU20">
        <f>SOFR3mo_PX[[#This Row],[Column983]]</f>
        <v>98.605000000000004</v>
      </c>
      <c r="AKV20">
        <f>SOFR3mo_PX[[#This Row],[Column984]]</f>
        <v>98.66</v>
      </c>
      <c r="AKW20">
        <f>SOFR3mo_PX[[#This Row],[Column985]]</f>
        <v>98.75</v>
      </c>
      <c r="AKX20">
        <f>SOFR3mo_PX[[#This Row],[Column986]]</f>
        <v>98.71</v>
      </c>
      <c r="AKY20">
        <f>SOFR3mo_PX[[#This Row],[Column987]]</f>
        <v>98.694999999999993</v>
      </c>
      <c r="AKZ20">
        <f>SOFR3mo_PX[[#This Row],[Column988]]</f>
        <v>98.75</v>
      </c>
      <c r="ALA20">
        <f>SOFR3mo_PX[[#This Row],[Column989]]</f>
        <v>98.715000000000003</v>
      </c>
      <c r="ALB20">
        <f>SOFR3mo_PX[[#This Row],[Column990]]</f>
        <v>98.685000000000002</v>
      </c>
      <c r="ALC20">
        <f>SOFR3mo_PX[[#This Row],[Column991]]</f>
        <v>98.74</v>
      </c>
      <c r="ALD20">
        <f>SOFR3mo_PX[[#This Row],[Column992]]</f>
        <v>98.74</v>
      </c>
      <c r="ALE20">
        <f>SOFR3mo_PX[[#This Row],[Column993]]</f>
        <v>98.77</v>
      </c>
      <c r="ALF20">
        <f>SOFR3mo_PX[[#This Row],[Column994]]</f>
        <v>98.76</v>
      </c>
      <c r="ALG20">
        <f>SOFR3mo_PX[[#This Row],[Column995]]</f>
        <v>98.765000000000001</v>
      </c>
      <c r="ALH20">
        <f>SOFR3mo_PX[[#This Row],[Column996]]</f>
        <v>98.775000000000006</v>
      </c>
      <c r="ALI20">
        <f>SOFR3mo_PX[[#This Row],[Column997]]</f>
        <v>98.734999999999999</v>
      </c>
      <c r="ALJ20">
        <f>SOFR3mo_PX[[#This Row],[Column998]]</f>
        <v>98.69</v>
      </c>
      <c r="ALK20">
        <f>SOFR3mo_PX[[#This Row],[Column999]]</f>
        <v>98.7</v>
      </c>
      <c r="ALL20">
        <f>SOFR3mo_PX[[#This Row],[Column1000]]</f>
        <v>98.765000000000001</v>
      </c>
      <c r="ALM20">
        <f>SOFR3mo_PX[[#This Row],[Column1001]]</f>
        <v>98.795000000000002</v>
      </c>
      <c r="ALN20">
        <f>SOFR3mo_PX[[#This Row],[Column1002]]</f>
        <v>98.784999999999997</v>
      </c>
      <c r="ALO20">
        <f>SOFR3mo_PX[[#This Row],[Column1003]]</f>
        <v>98.805000000000007</v>
      </c>
      <c r="ALP20">
        <f>SOFR3mo_PX[[#This Row],[Column1004]]</f>
        <v>98.78</v>
      </c>
      <c r="ALQ20">
        <f>SOFR3mo_PX[[#This Row],[Column1005]]</f>
        <v>98.8</v>
      </c>
      <c r="ALR20">
        <f>SOFR3mo_PX[[#This Row],[Column1006]]</f>
        <v>98.805000000000007</v>
      </c>
      <c r="ALS20">
        <f>SOFR3mo_PX[[#This Row],[Column1007]]</f>
        <v>98.75</v>
      </c>
      <c r="ALT20">
        <f>SOFR3mo_PX[[#This Row],[Column1008]]</f>
        <v>98.67</v>
      </c>
      <c r="ALU20">
        <f>SOFR3mo_PX[[#This Row],[Column1009]]</f>
        <v>98.69</v>
      </c>
      <c r="ALV20">
        <f>SOFR3mo_PX[[#This Row],[Column1010]]</f>
        <v>98.69</v>
      </c>
      <c r="ALW20">
        <f>SOFR3mo_PX[[#This Row],[Column1011]]</f>
        <v>98.724999999999994</v>
      </c>
      <c r="ALX20">
        <f>SOFR3mo_PX[[#This Row],[Column1012]]</f>
        <v>98.775000000000006</v>
      </c>
      <c r="ALY20">
        <f>SOFR3mo_PX[[#This Row],[Column1013]]</f>
        <v>98.844999999999999</v>
      </c>
      <c r="ALZ20">
        <f>SOFR3mo_PX[[#This Row],[Column1014]]</f>
        <v>98.9</v>
      </c>
      <c r="AMA20">
        <f>SOFR3mo_PX[[#This Row],[Column1015]]</f>
        <v>98.93</v>
      </c>
      <c r="AMB20">
        <f>SOFR3mo_PX[[#This Row],[Column1016]]</f>
        <v>98.924999999999997</v>
      </c>
      <c r="AMC20">
        <f>SOFR3mo_PX[[#This Row],[Column1017]]</f>
        <v>98.84</v>
      </c>
      <c r="AMD20">
        <f>SOFR3mo_PX[[#This Row],[Column1018]]</f>
        <v>98.81</v>
      </c>
      <c r="AME20">
        <f>SOFR3mo_PX[[#This Row],[Column1019]]</f>
        <v>98.814999999999998</v>
      </c>
      <c r="AMF20">
        <f>SOFR3mo_PX[[#This Row],[Column1020]]</f>
        <v>98.86</v>
      </c>
      <c r="AMG20">
        <f>SOFR3mo_PX[[#This Row],[Column1021]]</f>
        <v>98.83</v>
      </c>
      <c r="AMH20">
        <f>SOFR3mo_PX[[#This Row],[Column1022]]</f>
        <v>98.82</v>
      </c>
      <c r="AMI20">
        <f>SOFR3mo_PX[[#This Row],[Column1023]]</f>
        <v>98.834999999999994</v>
      </c>
      <c r="AMJ20">
        <f>SOFR3mo_PX[[#This Row],[Column1024]]</f>
        <v>98.825000000000003</v>
      </c>
      <c r="AMK20">
        <f>SOFR3mo_PX[[#This Row],[Column1025]]</f>
        <v>98.924999999999997</v>
      </c>
      <c r="AML20">
        <f>SOFR3mo_PX[[#This Row],[Column1026]]</f>
        <v>98.93</v>
      </c>
      <c r="AMM20">
        <f>SOFR3mo_PX[[#This Row],[Column1027]]</f>
        <v>98.754999999999995</v>
      </c>
      <c r="AMN20">
        <f>SOFR3mo_PX[[#This Row],[Column1028]]</f>
        <v>98.76</v>
      </c>
      <c r="AMO20">
        <f>SOFR3mo_PX[[#This Row],[Column1029]]</f>
        <v>98.69</v>
      </c>
      <c r="AMP20">
        <f>SOFR3mo_PX[[#This Row],[Column1030]]</f>
        <v>98.625</v>
      </c>
      <c r="AMQ20">
        <f>SOFR3mo_PX[[#This Row],[Column1031]]</f>
        <v>98.68</v>
      </c>
      <c r="AMR20">
        <f>SOFR3mo_PX[[#This Row],[Column1032]]</f>
        <v>98.674999999999997</v>
      </c>
      <c r="AMS20">
        <f>SOFR3mo_PX[[#This Row],[Column1033]]</f>
        <v>98.754999999999995</v>
      </c>
      <c r="AMT20">
        <f>SOFR3mo_PX[[#This Row],[Column1034]]</f>
        <v>98.715000000000003</v>
      </c>
      <c r="AMU20">
        <f>SOFR3mo_PX[[#This Row],[Column1035]]</f>
        <v>98.665000000000006</v>
      </c>
      <c r="AMV20">
        <f>SOFR3mo_PX[[#This Row],[Column1036]]</f>
        <v>98.57</v>
      </c>
      <c r="AMW20">
        <f>SOFR3mo_PX[[#This Row],[Column1037]]</f>
        <v>98.57</v>
      </c>
      <c r="AMX20">
        <f>SOFR3mo_PX[[#This Row],[Column1038]]</f>
        <v>98.51</v>
      </c>
      <c r="AMY20">
        <f>SOFR3mo_PX[[#This Row],[Column1039]]</f>
        <v>98.555000000000007</v>
      </c>
      <c r="AMZ20">
        <f>SOFR3mo_PX[[#This Row],[Column1040]]</f>
        <v>98.52</v>
      </c>
      <c r="ANA20">
        <f>SOFR3mo_PX[[#This Row],[Column1041]]</f>
        <v>98.515000000000001</v>
      </c>
      <c r="ANB20">
        <f>SOFR3mo_PX[[#This Row],[Column1042]]</f>
        <v>98.474999999999994</v>
      </c>
      <c r="ANC20">
        <f>SOFR3mo_PX[[#This Row],[Column1043]]</f>
        <v>98.52</v>
      </c>
      <c r="AND20">
        <f>SOFR3mo_PX[[#This Row],[Column1044]]</f>
        <v>98.52</v>
      </c>
      <c r="ANE20">
        <f>SOFR3mo_PX[[#This Row],[Column1045]]</f>
        <v>98.555000000000007</v>
      </c>
      <c r="ANF20">
        <f>SOFR3mo_PX[[#This Row],[Column1046]]</f>
        <v>98.55</v>
      </c>
      <c r="ANG20">
        <f>SOFR3mo_PX[[#This Row],[Column1047]]</f>
        <v>98.56</v>
      </c>
      <c r="ANH20">
        <f>SOFR3mo_PX[[#This Row],[Column1048]]</f>
        <v>98.49</v>
      </c>
      <c r="ANI20">
        <f>SOFR3mo_PX[[#This Row],[Column1049]]</f>
        <v>98.39</v>
      </c>
      <c r="ANJ20">
        <f>SOFR3mo_PX[[#This Row],[Column1050]]</f>
        <v>98.61</v>
      </c>
      <c r="ANK20">
        <f>SOFR3mo_PX[[#This Row],[Column1051]]</f>
        <v>98.594999999999999</v>
      </c>
      <c r="ANL20">
        <f>SOFR3mo_PX[[#This Row],[Column1052]]</f>
        <v>98.635000000000005</v>
      </c>
      <c r="ANM20">
        <f>SOFR3mo_PX[[#This Row],[Column1053]]</f>
        <v>98.665000000000006</v>
      </c>
      <c r="ANN20">
        <f>SOFR3mo_PX[[#This Row],[Column1054]]</f>
        <v>98.635000000000005</v>
      </c>
      <c r="ANO20">
        <f>SOFR3mo_PX[[#This Row],[Column1055]]</f>
        <v>98.584999999999994</v>
      </c>
      <c r="ANP20">
        <f>SOFR3mo_PX[[#This Row],[Column1056]]</f>
        <v>98.54</v>
      </c>
      <c r="ANQ20">
        <f>SOFR3mo_PX[[#This Row],[Column1057]]</f>
        <v>98.534999999999997</v>
      </c>
      <c r="ANR20">
        <f>SOFR3mo_PX[[#This Row],[Column1058]]</f>
        <v>98.44</v>
      </c>
      <c r="ANS20">
        <f>SOFR3mo_PX[[#This Row],[Column1059]]</f>
        <v>98.49</v>
      </c>
      <c r="ANT20">
        <f>SOFR3mo_PX[[#This Row],[Column1060]]</f>
        <v>98.454999999999998</v>
      </c>
      <c r="ANU20">
        <f>SOFR3mo_PX[[#This Row],[Column1061]]</f>
        <v>98.495000000000005</v>
      </c>
      <c r="ANV20">
        <f>SOFR3mo_PX[[#This Row],[Column1062]]</f>
        <v>98.495000000000005</v>
      </c>
      <c r="ANW20">
        <f>SOFR3mo_PX[[#This Row],[Column1063]]</f>
        <v>98.49</v>
      </c>
      <c r="ANX20">
        <f>SOFR3mo_PX[[#This Row],[Column1064]]</f>
        <v>98.53</v>
      </c>
      <c r="ANY20">
        <f>SOFR3mo_PX[[#This Row],[Column1065]]</f>
        <v>98.534999999999997</v>
      </c>
      <c r="ANZ20">
        <f>SOFR3mo_PX[[#This Row],[Column1066]]</f>
        <v>98.48</v>
      </c>
      <c r="AOA20">
        <f>SOFR3mo_PX[[#This Row],[Column1067]]</f>
        <v>98.44</v>
      </c>
      <c r="AOB20">
        <f>SOFR3mo_PX[[#This Row],[Column1068]]</f>
        <v>98.454999999999998</v>
      </c>
      <c r="AOC20">
        <f>SOFR3mo_PX[[#This Row],[Column1069]]</f>
        <v>98.39</v>
      </c>
      <c r="AOD20">
        <f>SOFR3mo_PX[[#This Row],[Column1070]]</f>
        <v>98.45</v>
      </c>
      <c r="AOE20">
        <f>SOFR3mo_PX[[#This Row],[Column1071]]</f>
        <v>98.45</v>
      </c>
      <c r="AOF20">
        <f>SOFR3mo_PX[[#This Row],[Column1072]]</f>
        <v>98.454999999999998</v>
      </c>
      <c r="AOG20">
        <f>SOFR3mo_PX[[#This Row],[Column1073]]</f>
        <v>98.43</v>
      </c>
      <c r="AOH20">
        <f>SOFR3mo_PX[[#This Row],[Column1074]]</f>
        <v>98.37</v>
      </c>
      <c r="AOI20">
        <f>SOFR3mo_PX[[#This Row],[Column1075]]</f>
        <v>98.48</v>
      </c>
      <c r="AOJ20">
        <f>SOFR3mo_PX[[#This Row],[Column1076]]</f>
        <v>98.504999999999995</v>
      </c>
      <c r="AOK20">
        <f>SOFR3mo_PX[[#This Row],[Column1077]]</f>
        <v>98.504999999999995</v>
      </c>
      <c r="AOL20">
        <f>SOFR3mo_PX[[#This Row],[Column1078]]</f>
        <v>98.474999999999994</v>
      </c>
      <c r="AOM20">
        <f>SOFR3mo_PX[[#This Row],[Column1079]]</f>
        <v>98.45</v>
      </c>
      <c r="AON20">
        <f>SOFR3mo_PX[[#This Row],[Column1080]]</f>
        <v>98.424999999999997</v>
      </c>
      <c r="AOO20">
        <f>SOFR3mo_PX[[#This Row],[Column1081]]</f>
        <v>98.4</v>
      </c>
      <c r="AOP20">
        <f>SOFR3mo_PX[[#This Row],[Column1082]]</f>
        <v>98.364999999999995</v>
      </c>
      <c r="AOQ20">
        <f>SOFR3mo_PX[[#This Row],[Column1083]]</f>
        <v>98.364999999999995</v>
      </c>
      <c r="AOR20">
        <f>SOFR3mo_PX[[#This Row],[Column1084]]</f>
        <v>98.375</v>
      </c>
      <c r="AOS20">
        <f>SOFR3mo_PX[[#This Row],[Column1085]]</f>
        <v>98.385000000000005</v>
      </c>
      <c r="AOT20">
        <f>SOFR3mo_PX[[#This Row],[Column1086]]</f>
        <v>98.44</v>
      </c>
      <c r="AOU20">
        <f>SOFR3mo_PX[[#This Row],[Column1087]]</f>
        <v>98.45</v>
      </c>
      <c r="AOV20">
        <f>SOFR3mo_PX[[#This Row],[Column1088]]</f>
        <v>98.48</v>
      </c>
      <c r="AOW20">
        <f>SOFR3mo_PX[[#This Row],[Column1089]]</f>
        <v>98.48</v>
      </c>
      <c r="AOX20">
        <f>SOFR3mo_PX[[#This Row],[Column1090]]</f>
        <v>98.484999999999999</v>
      </c>
      <c r="AOY20">
        <f>SOFR3mo_PX[[#This Row],[Column1091]]</f>
        <v>98.46</v>
      </c>
      <c r="AOZ20">
        <f>SOFR3mo_PX[[#This Row],[Column1092]]</f>
        <v>98.474999999999994</v>
      </c>
      <c r="APA20">
        <f>SOFR3mo_PX[[#This Row],[Column1093]]</f>
        <v>98.515000000000001</v>
      </c>
      <c r="APB20">
        <f>SOFR3mo_PX[[#This Row],[Column1094]]</f>
        <v>98.375</v>
      </c>
      <c r="APC20">
        <f>SOFR3mo_PX[[#This Row],[Column1095]]</f>
        <v>98.375</v>
      </c>
      <c r="APD20">
        <f>SOFR3mo_PX[[#This Row],[Column1096]]</f>
        <v>98.28</v>
      </c>
      <c r="APE20">
        <f>SOFR3mo_PX[[#This Row],[Column1097]]</f>
        <v>98.3</v>
      </c>
      <c r="APF20">
        <f>SOFR3mo_PX[[#This Row],[Column1098]]</f>
        <v>98.33</v>
      </c>
      <c r="APG20">
        <f>SOFR3mo_PX[[#This Row],[Column1099]]</f>
        <v>98.28</v>
      </c>
      <c r="APH20">
        <f>SOFR3mo_PX[[#This Row],[Column1100]]</f>
        <v>98.25</v>
      </c>
      <c r="API20">
        <f>SOFR3mo_PX[[#This Row],[Column1101]]</f>
        <v>98.144999999999996</v>
      </c>
      <c r="APJ20">
        <f>SOFR3mo_PX[[#This Row],[Column1102]]</f>
        <v>98.114999999999995</v>
      </c>
      <c r="APK20">
        <f>SOFR3mo_PX[[#This Row],[Column1103]]</f>
        <v>98.2</v>
      </c>
      <c r="APL20">
        <f>SOFR3mo_PX[[#This Row],[Column1104]]</f>
        <v>98.144999999999996</v>
      </c>
      <c r="APM20">
        <f>SOFR3mo_PX[[#This Row],[Column1105]]</f>
        <v>98.19</v>
      </c>
      <c r="APN20">
        <f>SOFR3mo_PX[[#This Row],[Column1106]]</f>
        <v>98.23</v>
      </c>
      <c r="APO20">
        <f>SOFR3mo_PX[[#This Row],[Column1107]]</f>
        <v>98.3</v>
      </c>
      <c r="APP20">
        <f>SOFR3mo_PX[[#This Row],[Column1108]]</f>
        <v>98.36</v>
      </c>
      <c r="APQ20">
        <f>SOFR3mo_PX[[#This Row],[Column1109]]</f>
        <v>98.364999999999995</v>
      </c>
      <c r="APR20">
        <f>SOFR3mo_PX[[#This Row],[Column1110]]</f>
        <v>98.344999999999999</v>
      </c>
      <c r="APS20">
        <f>SOFR3mo_PX[[#This Row],[Column1111]]</f>
        <v>98.284999999999997</v>
      </c>
      <c r="APT20">
        <f>SOFR3mo_PX[[#This Row],[Column1112]]</f>
        <v>98.245000000000005</v>
      </c>
      <c r="APU20">
        <f>SOFR3mo_PX[[#This Row],[Column1113]]</f>
        <v>98.305000000000007</v>
      </c>
      <c r="APV20">
        <f>SOFR3mo_PX[[#This Row],[Column1114]]</f>
        <v>98.465000000000003</v>
      </c>
      <c r="APW20">
        <f>SOFR3mo_PX[[#This Row],[Column1115]]</f>
        <v>98.51</v>
      </c>
      <c r="APX20">
        <f>SOFR3mo_PX[[#This Row],[Column1116]]</f>
        <v>98.504999999999995</v>
      </c>
      <c r="APY20">
        <f>SOFR3mo_PX[[#This Row],[Column1117]]</f>
        <v>98.49</v>
      </c>
      <c r="APZ20">
        <f>SOFR3mo_PX[[#This Row],[Column1118]]</f>
        <v>98.56</v>
      </c>
      <c r="AQA20">
        <f>SOFR3mo_PX[[#This Row],[Column1119]]</f>
        <v>98.584999999999994</v>
      </c>
      <c r="AQB20">
        <f>SOFR3mo_PX[[#This Row],[Column1120]]</f>
        <v>98.555000000000007</v>
      </c>
      <c r="AQC20">
        <f>SOFR3mo_PX[[#This Row],[Column1121]]</f>
        <v>98.5</v>
      </c>
      <c r="AQD20">
        <f>SOFR3mo_PX[[#This Row],[Column1122]]</f>
        <v>98.564999999999998</v>
      </c>
      <c r="AQE20">
        <f>SOFR3mo_PX[[#This Row],[Column1123]]</f>
        <v>98.555000000000007</v>
      </c>
      <c r="AQF20">
        <f>SOFR3mo_PX[[#This Row],[Column1124]]</f>
        <v>98.62</v>
      </c>
      <c r="AQG20">
        <f>SOFR3mo_PX[[#This Row],[Column1125]]</f>
        <v>98.674999999999997</v>
      </c>
      <c r="AQH20">
        <f>SOFR3mo_PX[[#This Row],[Column1126]]</f>
        <v>98.635000000000005</v>
      </c>
      <c r="AQI20">
        <f>SOFR3mo_PX[[#This Row],[Column1127]]</f>
        <v>98.59</v>
      </c>
      <c r="AQJ20">
        <f>SOFR3mo_PX[[#This Row],[Column1128]]</f>
        <v>98.594999999999999</v>
      </c>
      <c r="AQK20">
        <f>SOFR3mo_PX[[#This Row],[Column1129]]</f>
        <v>98.79</v>
      </c>
      <c r="AQL20">
        <f>SOFR3mo_PX[[#This Row],[Column1130]]</f>
        <v>98.814999999999998</v>
      </c>
      <c r="AQM20">
        <f>SOFR3mo_PX[[#This Row],[Column1131]]</f>
        <v>98.805000000000007</v>
      </c>
      <c r="AQN20">
        <f>SOFR3mo_PX[[#This Row],[Column1132]]</f>
        <v>98.84</v>
      </c>
      <c r="AQO20">
        <f>SOFR3mo_PX[[#This Row],[Column1133]]</f>
        <v>98.885000000000005</v>
      </c>
      <c r="AQP20">
        <f>SOFR3mo_PX[[#This Row],[Column1134]]</f>
        <v>98.885000000000005</v>
      </c>
      <c r="AQQ20">
        <f>SOFR3mo_PX[[#This Row],[Column1135]]</f>
        <v>98.91</v>
      </c>
      <c r="AQR20">
        <f>SOFR3mo_PX[[#This Row],[Column1136]]</f>
        <v>99.03</v>
      </c>
      <c r="AQS20">
        <f>SOFR3mo_PX[[#This Row],[Column1137]]</f>
        <v>99.03</v>
      </c>
      <c r="AQT20">
        <f>SOFR3mo_PX[[#This Row],[Column1138]]</f>
        <v>99.084999999999994</v>
      </c>
      <c r="AQU20">
        <f>SOFR3mo_PX[[#This Row],[Column1139]]</f>
        <v>99.094999999999999</v>
      </c>
      <c r="AQV20">
        <f>SOFR3mo_PX[[#This Row],[Column1140]]</f>
        <v>99.08</v>
      </c>
      <c r="AQW20">
        <f>SOFR3mo_PX[[#This Row],[Column1141]]</f>
        <v>99.07</v>
      </c>
      <c r="AQX20">
        <f>SOFR3mo_PX[[#This Row],[Column1142]]</f>
        <v>99.09</v>
      </c>
      <c r="AQY20">
        <f>SOFR3mo_PX[[#This Row],[Column1143]]</f>
        <v>99.094999999999999</v>
      </c>
      <c r="AQZ20">
        <f>SOFR3mo_PX[[#This Row],[Column1144]]</f>
        <v>99.165000000000006</v>
      </c>
      <c r="ARA20">
        <f>SOFR3mo_PX[[#This Row],[Column1145]]</f>
        <v>99.18</v>
      </c>
      <c r="ARB20">
        <f>SOFR3mo_PX[[#This Row],[Column1146]]</f>
        <v>99.204999999999998</v>
      </c>
      <c r="ARC20">
        <f>SOFR3mo_PX[[#This Row],[Column1147]]</f>
        <v>99.204999999999998</v>
      </c>
      <c r="ARD20">
        <f>SOFR3mo_PX[[#This Row],[Column1148]]</f>
        <v>99.21</v>
      </c>
      <c r="ARE20">
        <f>SOFR3mo_PX[[#This Row],[Column1149]]</f>
        <v>99.24</v>
      </c>
      <c r="ARF20">
        <f>SOFR3mo_PX[[#This Row],[Column1150]]</f>
        <v>99.224999999999994</v>
      </c>
      <c r="ARG20">
        <f>SOFR3mo_PX[[#This Row],[Column1151]]</f>
        <v>99.23</v>
      </c>
      <c r="ARH20">
        <f>SOFR3mo_PX[[#This Row],[Column1152]]</f>
        <v>99.215000000000003</v>
      </c>
      <c r="ARI20">
        <f>SOFR3mo_PX[[#This Row],[Column1153]]</f>
        <v>99.21</v>
      </c>
      <c r="ARJ20">
        <f>SOFR3mo_PX[[#This Row],[Column1154]]</f>
        <v>99.224999999999994</v>
      </c>
      <c r="ARK20">
        <f>SOFR3mo_PX[[#This Row],[Column1155]]</f>
        <v>99.224999999999994</v>
      </c>
      <c r="ARL20">
        <f>SOFR3mo_PX[[#This Row],[Column1156]]</f>
        <v>99.215000000000003</v>
      </c>
      <c r="ARM20">
        <f>SOFR3mo_PX[[#This Row],[Column1157]]</f>
        <v>99.215000000000003</v>
      </c>
      <c r="ARN20">
        <f>SOFR3mo_PX[[#This Row],[Column1158]]</f>
        <v>99.24</v>
      </c>
      <c r="ARO20">
        <f>SOFR3mo_PX[[#This Row],[Column1159]]</f>
        <v>99.224999999999994</v>
      </c>
      <c r="ARP20">
        <f>SOFR3mo_PX[[#This Row],[Column1160]]</f>
        <v>99.2</v>
      </c>
      <c r="ARQ20">
        <f>SOFR3mo_PX[[#This Row],[Column1161]]</f>
        <v>99.204999999999998</v>
      </c>
      <c r="ARR20">
        <f>SOFR3mo_PX[[#This Row],[Column1162]]</f>
        <v>99.21</v>
      </c>
      <c r="ARS20">
        <f>SOFR3mo_PX[[#This Row],[Column1163]]</f>
        <v>99.25</v>
      </c>
      <c r="ART20">
        <f>SOFR3mo_PX[[#This Row],[Column1164]]</f>
        <v>99.37</v>
      </c>
      <c r="ARU20">
        <f>SOFR3mo_PX[[#This Row],[Column1165]]</f>
        <v>99.415000000000006</v>
      </c>
      <c r="ARV20">
        <f>SOFR3mo_PX[[#This Row],[Column1166]]</f>
        <v>99.424999999999997</v>
      </c>
      <c r="ARW20">
        <f>SOFR3mo_PX[[#This Row],[Column1167]]</f>
        <v>99.415000000000006</v>
      </c>
      <c r="ARX20">
        <f>SOFR3mo_PX[[#This Row],[Column1168]]</f>
        <v>99.415000000000006</v>
      </c>
      <c r="ARY20">
        <f>SOFR3mo_PX[[#This Row],[Column1169]]</f>
        <v>99.405000000000001</v>
      </c>
      <c r="ARZ20">
        <f>SOFR3mo_PX[[#This Row],[Column1170]]</f>
        <v>99.39</v>
      </c>
      <c r="ASA20">
        <f>SOFR3mo_PX[[#This Row],[Column1171]]</f>
        <v>99.385000000000005</v>
      </c>
      <c r="ASB20">
        <f>SOFR3mo_PX[[#This Row],[Column1172]]</f>
        <v>99.39</v>
      </c>
      <c r="ASC20">
        <f>SOFR3mo_PX[[#This Row],[Column1173]]</f>
        <v>99.39</v>
      </c>
      <c r="ASD20">
        <f>SOFR3mo_PX[[#This Row],[Column1174]]</f>
        <v>99.39</v>
      </c>
      <c r="ASE20">
        <f>SOFR3mo_PX[[#This Row],[Column1175]]</f>
        <v>99.394999999999996</v>
      </c>
      <c r="ASF20">
        <f>SOFR3mo_PX[[#This Row],[Column1176]]</f>
        <v>99.39</v>
      </c>
      <c r="ASG20">
        <f>SOFR3mo_PX[[#This Row],[Column1177]]</f>
        <v>99.39</v>
      </c>
      <c r="ASH20">
        <f>SOFR3mo_PX[[#This Row],[Column1178]]</f>
        <v>99.43</v>
      </c>
      <c r="ASI20">
        <f>SOFR3mo_PX[[#This Row],[Column1179]]</f>
        <v>99.44</v>
      </c>
      <c r="ASJ20">
        <f>SOFR3mo_PX[[#This Row],[Column1180]]</f>
        <v>99.504999999999995</v>
      </c>
      <c r="ASK20">
        <f>SOFR3mo_PX[[#This Row],[Column1181]]</f>
        <v>99.504999999999995</v>
      </c>
      <c r="ASL20">
        <f>SOFR3mo_PX[[#This Row],[Column1182]]</f>
        <v>99.504999999999995</v>
      </c>
      <c r="ASM20">
        <f>SOFR3mo_PX[[#This Row],[Column1183]]</f>
        <v>99.474999999999994</v>
      </c>
      <c r="ASN20">
        <f>SOFR3mo_PX[[#This Row],[Column1184]]</f>
        <v>99.575000000000003</v>
      </c>
      <c r="ASO20">
        <f>SOFR3mo_PX[[#This Row],[Column1185]]</f>
        <v>99.68</v>
      </c>
      <c r="ASP20">
        <f>SOFR3mo_PX[[#This Row],[Column1186]]</f>
        <v>99.68</v>
      </c>
      <c r="ASQ20">
        <f>SOFR3mo_PX[[#This Row],[Column1187]]</f>
        <v>99.69</v>
      </c>
      <c r="ASR20">
        <f>SOFR3mo_PX[[#This Row],[Column1188]]</f>
        <v>99.704999999999998</v>
      </c>
      <c r="ASS20">
        <f>SOFR3mo_PX[[#This Row],[Column1189]]</f>
        <v>99.71</v>
      </c>
      <c r="AST20">
        <f>SOFR3mo_PX[[#This Row],[Column1190]]</f>
        <v>99.715000000000003</v>
      </c>
      <c r="ASU20">
        <f>SOFR3mo_PX[[#This Row],[Column1191]]</f>
        <v>99.74</v>
      </c>
      <c r="ASV20">
        <f>SOFR3mo_PX[[#This Row],[Column1192]]</f>
        <v>99.745000000000005</v>
      </c>
      <c r="ASW20">
        <f>SOFR3mo_PX[[#This Row],[Column1193]]</f>
        <v>99.74</v>
      </c>
      <c r="ASX20">
        <f>SOFR3mo_PX[[#This Row],[Column1194]]</f>
        <v>99.74</v>
      </c>
      <c r="ASY20">
        <f>SOFR3mo_PX[[#This Row],[Column1195]]</f>
        <v>99.734999999999999</v>
      </c>
      <c r="ASZ20">
        <f>SOFR3mo_PX[[#This Row],[Column1196]]</f>
        <v>99.73</v>
      </c>
      <c r="ATA20">
        <f>SOFR3mo_PX[[#This Row],[Column1197]]</f>
        <v>99.745000000000005</v>
      </c>
      <c r="ATB20">
        <f>SOFR3mo_PX[[#This Row],[Column1198]]</f>
        <v>99.74</v>
      </c>
      <c r="ATC20">
        <f>SOFR3mo_PX[[#This Row],[Column1199]]</f>
        <v>99.74</v>
      </c>
      <c r="ATD20">
        <f>SOFR3mo_PX[[#This Row],[Column1200]]</f>
        <v>99.745000000000005</v>
      </c>
      <c r="ATE20">
        <f>SOFR3mo_PX[[#This Row],[Column1201]]</f>
        <v>99.734999999999999</v>
      </c>
      <c r="ATF20">
        <f>SOFR3mo_PX[[#This Row],[Column1202]]</f>
        <v>99.734999999999999</v>
      </c>
      <c r="ATG20">
        <f>SOFR3mo_PX[[#This Row],[Column1203]]</f>
        <v>99.73</v>
      </c>
      <c r="ATH20">
        <f>SOFR3mo_PX[[#This Row],[Column1204]]</f>
        <v>99.71</v>
      </c>
      <c r="ATI20">
        <f>SOFR3mo_PX[[#This Row],[Column1205]]</f>
        <v>99.71</v>
      </c>
      <c r="ATJ20">
        <f>SOFR3mo_PX[[#This Row],[Column1206]]</f>
        <v>99.745000000000005</v>
      </c>
      <c r="ATK20">
        <f>SOFR3mo_PX[[#This Row],[Column1207]]</f>
        <v>99.79</v>
      </c>
      <c r="ATL20">
        <f>SOFR3mo_PX[[#This Row],[Column1208]]</f>
        <v>99.795000000000002</v>
      </c>
      <c r="ATM20">
        <f>SOFR3mo_PX[[#This Row],[Column1209]]</f>
        <v>99.814999999999998</v>
      </c>
      <c r="ATN20">
        <f>SOFR3mo_PX[[#This Row],[Column1210]]</f>
        <v>99.784999999999997</v>
      </c>
      <c r="ATO20">
        <f>SOFR3mo_PX[[#This Row],[Column1211]]</f>
        <v>99.795000000000002</v>
      </c>
      <c r="ATP20">
        <f>SOFR3mo_PX[[#This Row],[Column1212]]</f>
        <v>99.79</v>
      </c>
      <c r="ATQ20">
        <f>SOFR3mo_PX[[#This Row],[Column1213]]</f>
        <v>99.795000000000002</v>
      </c>
      <c r="ATR20">
        <f>SOFR3mo_PX[[#This Row],[Column1214]]</f>
        <v>99.805000000000007</v>
      </c>
      <c r="ATS20">
        <f>SOFR3mo_PX[[#This Row],[Column1215]]</f>
        <v>99.805000000000007</v>
      </c>
      <c r="ATT20">
        <f>SOFR3mo_PX[[#This Row],[Column1216]]</f>
        <v>99.8</v>
      </c>
      <c r="ATU20">
        <f>SOFR3mo_PX[[#This Row],[Column1217]]</f>
        <v>99.79</v>
      </c>
      <c r="ATV20">
        <f>SOFR3mo_PX[[#This Row],[Column1218]]</f>
        <v>99.78</v>
      </c>
      <c r="ATW20">
        <f>SOFR3mo_PX[[#This Row],[Column1219]]</f>
        <v>99.805000000000007</v>
      </c>
      <c r="ATX20">
        <f>SOFR3mo_PX[[#This Row],[Column1220]]</f>
        <v>99.805000000000007</v>
      </c>
      <c r="ATY20">
        <f>SOFR3mo_PX[[#This Row],[Column1221]]</f>
        <v>99.814999999999998</v>
      </c>
      <c r="ATZ20">
        <f>SOFR3mo_PX[[#This Row],[Column1222]]</f>
        <v>99.825000000000003</v>
      </c>
      <c r="AUA20">
        <f>SOFR3mo_PX[[#This Row],[Column1223]]</f>
        <v>99.82</v>
      </c>
      <c r="AUB20">
        <f>SOFR3mo_PX[[#This Row],[Column1224]]</f>
        <v>99.825000000000003</v>
      </c>
      <c r="AUC20">
        <f>SOFR3mo_PX[[#This Row],[Column1225]]</f>
        <v>99.82</v>
      </c>
      <c r="AUD20">
        <f>SOFR3mo_PX[[#This Row],[Column1226]]</f>
        <v>99.805000000000007</v>
      </c>
      <c r="AUE20">
        <f>SOFR3mo_PX[[#This Row],[Column1227]]</f>
        <v>99.8</v>
      </c>
      <c r="AUF20">
        <f>SOFR3mo_PX[[#This Row],[Column1228]]</f>
        <v>99.814999999999998</v>
      </c>
      <c r="AUG20">
        <f>SOFR3mo_PX[[#This Row],[Column1229]]</f>
        <v>99.81</v>
      </c>
      <c r="AUH20">
        <f>SOFR3mo_PX[[#This Row],[Column1230]]</f>
        <v>99.834999999999994</v>
      </c>
      <c r="AUI20">
        <f>SOFR3mo_PX[[#This Row],[Column1231]]</f>
        <v>99.834999999999994</v>
      </c>
      <c r="AUJ20">
        <f>SOFR3mo_PX[[#This Row],[Column1232]]</f>
        <v>99.885000000000005</v>
      </c>
      <c r="AUK20">
        <f>SOFR3mo_PX[[#This Row],[Column1233]]</f>
        <v>99.885000000000005</v>
      </c>
      <c r="AUL20">
        <f>SOFR3mo_PX[[#This Row],[Column1234]]</f>
        <v>99.885000000000005</v>
      </c>
      <c r="AUM20">
        <f>SOFR3mo_PX[[#This Row],[Column1235]]</f>
        <v>99.89</v>
      </c>
      <c r="AUN20">
        <f>SOFR3mo_PX[[#This Row],[Column1236]]</f>
        <v>99.89</v>
      </c>
      <c r="AUO20">
        <f>SOFR3mo_PX[[#This Row],[Column1237]]</f>
        <v>99.9</v>
      </c>
      <c r="AUP20">
        <f>SOFR3mo_PX[[#This Row],[Column1238]]</f>
        <v>99.9</v>
      </c>
      <c r="AUQ20">
        <f>SOFR3mo_PX[[#This Row],[Column1239]]</f>
        <v>99.905000000000001</v>
      </c>
      <c r="AUR20">
        <f>SOFR3mo_PX[[#This Row],[Column1240]]</f>
        <v>99.905000000000001</v>
      </c>
      <c r="AUS20">
        <f>SOFR3mo_PX[[#This Row],[Column1241]]</f>
        <v>99.894999999999996</v>
      </c>
      <c r="AUT20">
        <f>SOFR3mo_PX[[#This Row],[Column1242]]</f>
        <v>99.875</v>
      </c>
      <c r="AUU20">
        <f>SOFR3mo_PX[[#This Row],[Column1243]]</f>
        <v>99.89</v>
      </c>
      <c r="AUV20">
        <f>SOFR3mo_PX[[#This Row],[Column1244]]</f>
        <v>99.885000000000005</v>
      </c>
      <c r="AUW20">
        <f>SOFR3mo_PX[[#This Row],[Column1245]]</f>
        <v>99.915000000000006</v>
      </c>
      <c r="AUX20">
        <f>SOFR3mo_PX[[#This Row],[Column1246]]</f>
        <v>99.92</v>
      </c>
      <c r="AUY20">
        <f>SOFR3mo_PX[[#This Row],[Column1247]]</f>
        <v>99.91</v>
      </c>
      <c r="AUZ20">
        <f>SOFR3mo_PX[[#This Row],[Column1248]]</f>
        <v>99.885000000000005</v>
      </c>
      <c r="AVA20">
        <f>SOFR3mo_PX[[#This Row],[Column1249]]</f>
        <v>99.88</v>
      </c>
      <c r="AVB20">
        <f>SOFR3mo_PX[[#This Row],[Column1250]]</f>
        <v>99.885000000000005</v>
      </c>
      <c r="AVC20">
        <f>SOFR3mo_PX[[#This Row],[Column1251]]</f>
        <v>99.875</v>
      </c>
      <c r="AVD20">
        <f>SOFR3mo_PX[[#This Row],[Column1252]]</f>
        <v>99.875</v>
      </c>
      <c r="AVE20">
        <f>SOFR3mo_PX[[#This Row],[Column1253]]</f>
        <v>99.905000000000001</v>
      </c>
      <c r="AVF20">
        <f>SOFR3mo_PX[[#This Row],[Column1254]]</f>
        <v>99.894999999999996</v>
      </c>
      <c r="AVG20">
        <f>SOFR3mo_PX[[#This Row],[Column1255]]</f>
        <v>99.905000000000001</v>
      </c>
      <c r="AVH20">
        <f>SOFR3mo_PX[[#This Row],[Column1256]]</f>
        <v>99.9</v>
      </c>
      <c r="AVI20">
        <f>SOFR3mo_PX[[#This Row],[Column1257]]</f>
        <v>99.894999999999996</v>
      </c>
      <c r="AVJ20">
        <f>SOFR3mo_PX[[#This Row],[Column1258]]</f>
        <v>99.875</v>
      </c>
      <c r="AVK20">
        <f>SOFR3mo_PX[[#This Row],[Column1259]]</f>
        <v>99.885000000000005</v>
      </c>
      <c r="AVL20">
        <f>SOFR3mo_PX[[#This Row],[Column1260]]</f>
        <v>99.89</v>
      </c>
      <c r="AVM20">
        <f>SOFR3mo_PX[[#This Row],[Column1261]]</f>
        <v>99.9</v>
      </c>
      <c r="AVN20">
        <f>SOFR3mo_PX[[#This Row],[Column1262]]</f>
        <v>99.894999999999996</v>
      </c>
      <c r="AVO20">
        <f>SOFR3mo_PX[[#This Row],[Column1263]]</f>
        <v>99.905000000000001</v>
      </c>
      <c r="AVP20">
        <f>SOFR3mo_PX[[#This Row],[Column1264]]</f>
        <v>99.905000000000001</v>
      </c>
      <c r="AVQ20">
        <f>SOFR3mo_PX[[#This Row],[Column1265]]</f>
        <v>99.894999999999996</v>
      </c>
      <c r="AVR20">
        <f>SOFR3mo_PX[[#This Row],[Column1266]]</f>
        <v>99.88</v>
      </c>
      <c r="AVS20">
        <f>SOFR3mo_PX[[#This Row],[Column1267]]</f>
        <v>99.87</v>
      </c>
      <c r="AVT20">
        <f>SOFR3mo_PX[[#This Row],[Column1268]]</f>
        <v>99.87</v>
      </c>
      <c r="AVU20">
        <f>SOFR3mo_PX[[#This Row],[Column1269]]</f>
        <v>99.875</v>
      </c>
      <c r="AVV20">
        <f>SOFR3mo_PX[[#This Row],[Column1270]]</f>
        <v>99.875</v>
      </c>
      <c r="AVW20">
        <f>SOFR3mo_PX[[#This Row],[Column1271]]</f>
        <v>99.91</v>
      </c>
      <c r="AVX20">
        <f>SOFR3mo_PX[[#This Row],[Column1272]]</f>
        <v>99.92</v>
      </c>
      <c r="AVY20">
        <f>SOFR3mo_PX[[#This Row],[Column1273]]</f>
        <v>99.94</v>
      </c>
      <c r="AVZ20">
        <f>SOFR3mo_PX[[#This Row],[Column1274]]</f>
        <v>99.944999999999993</v>
      </c>
      <c r="AWA20">
        <f>SOFR3mo_PX[[#This Row],[Column1275]]</f>
        <v>99.954999999999998</v>
      </c>
      <c r="AWB20">
        <f>SOFR3mo_PX[[#This Row],[Column1276]]</f>
        <v>99.944999999999993</v>
      </c>
      <c r="AWC20">
        <f>SOFR3mo_PX[[#This Row],[Column1277]]</f>
        <v>99.94</v>
      </c>
      <c r="AWD20">
        <f>SOFR3mo_PX[[#This Row],[Column1278]]</f>
        <v>99.935000000000002</v>
      </c>
      <c r="AWE20">
        <f>SOFR3mo_PX[[#This Row],[Column1279]]</f>
        <v>99.915000000000006</v>
      </c>
      <c r="AWF20">
        <f>SOFR3mo_PX[[#This Row],[Column1280]]</f>
        <v>99.905000000000001</v>
      </c>
      <c r="AWG20">
        <f>SOFR3mo_PX[[#This Row],[Column1281]]</f>
        <v>99.9</v>
      </c>
      <c r="AWH20">
        <f>SOFR3mo_PX[[#This Row],[Column1282]]</f>
        <v>99.91</v>
      </c>
      <c r="AWI20">
        <f>SOFR3mo_PX[[#This Row],[Column1283]]</f>
        <v>99.915000000000006</v>
      </c>
      <c r="AWJ20">
        <f>SOFR3mo_PX[[#This Row],[Column1284]]</f>
        <v>99.915000000000006</v>
      </c>
      <c r="AWK20">
        <f>SOFR3mo_PX[[#This Row],[Column1285]]</f>
        <v>99.91</v>
      </c>
      <c r="AWL20">
        <f>SOFR3mo_PX[[#This Row],[Column1286]]</f>
        <v>99.91</v>
      </c>
      <c r="AWM20">
        <f>SOFR3mo_PX[[#This Row],[Column1287]]</f>
        <v>99.905000000000001</v>
      </c>
      <c r="AWN20">
        <f>SOFR3mo_PX[[#This Row],[Column1288]]</f>
        <v>99.905000000000001</v>
      </c>
      <c r="AWO20">
        <f>SOFR3mo_PX[[#This Row],[Column1289]]</f>
        <v>99.9</v>
      </c>
      <c r="AWP20">
        <f>SOFR3mo_PX[[#This Row],[Column1290]]</f>
        <v>99.91</v>
      </c>
      <c r="AWQ20">
        <f>SOFR3mo_PX[[#This Row],[Column1291]]</f>
        <v>99.91</v>
      </c>
      <c r="AWR20">
        <f>SOFR3mo_PX[[#This Row],[Column1292]]</f>
        <v>99.924999999999997</v>
      </c>
      <c r="AWS20">
        <f>SOFR3mo_PX[[#This Row],[Column1293]]</f>
        <v>99.94</v>
      </c>
      <c r="AWT20">
        <f>SOFR3mo_PX[[#This Row],[Column1294]]</f>
        <v>99.924999999999997</v>
      </c>
      <c r="AWU20">
        <f>SOFR3mo_PX[[#This Row],[Column1295]]</f>
        <v>99.92</v>
      </c>
      <c r="AWV20">
        <f>SOFR3mo_PX[[#This Row],[Column1296]]</f>
        <v>99.915000000000006</v>
      </c>
      <c r="AWW20">
        <f>SOFR3mo_PX[[#This Row],[Column1297]]</f>
        <v>99.915000000000006</v>
      </c>
      <c r="AWX20">
        <f>SOFR3mo_PX[[#This Row],[Column1298]]</f>
        <v>99.915000000000006</v>
      </c>
      <c r="AWY20">
        <f>SOFR3mo_PX[[#This Row],[Column1299]]</f>
        <v>99.905000000000001</v>
      </c>
      <c r="AWZ20">
        <f>SOFR3mo_PX[[#This Row],[Column1300]]</f>
        <v>99.924999999999997</v>
      </c>
      <c r="AXA20">
        <f>SOFR3mo_PX[[#This Row],[Column1301]]</f>
        <v>99.924999999999997</v>
      </c>
      <c r="AXB20">
        <f>SOFR3mo_PX[[#This Row],[Column1302]]</f>
        <v>99.915000000000006</v>
      </c>
      <c r="AXC20">
        <f>SOFR3mo_PX[[#This Row],[Column1303]]</f>
        <v>99.894999999999996</v>
      </c>
      <c r="AXD20">
        <f>SOFR3mo_PX[[#This Row],[Column1304]]</f>
        <v>99.894999999999996</v>
      </c>
      <c r="AXE20">
        <f>SOFR3mo_PX[[#This Row],[Column1305]]</f>
        <v>99.894999999999996</v>
      </c>
      <c r="AXF20">
        <f>SOFR3mo_PX[[#This Row],[Column1306]]</f>
        <v>99.89</v>
      </c>
      <c r="AXG20">
        <f>SOFR3mo_PX[[#This Row],[Column1307]]</f>
        <v>99.88</v>
      </c>
      <c r="AXH20">
        <f>SOFR3mo_PX[[#This Row],[Column1308]]</f>
        <v>99.86</v>
      </c>
      <c r="AXI20">
        <f>SOFR3mo_PX[[#This Row],[Column1309]]</f>
        <v>99.855000000000004</v>
      </c>
      <c r="AXJ20">
        <f>SOFR3mo_PX[[#This Row],[Column1310]]</f>
        <v>99.855000000000004</v>
      </c>
      <c r="AXK20">
        <f>SOFR3mo_PX[[#This Row],[Column1311]]</f>
        <v>99.87</v>
      </c>
      <c r="AXL20">
        <f>SOFR3mo_PX[[#This Row],[Column1312]]</f>
        <v>99.86</v>
      </c>
      <c r="AXM20">
        <f>SOFR3mo_PX[[#This Row],[Column1313]]</f>
        <v>99.87</v>
      </c>
      <c r="AXN20">
        <f>SOFR3mo_PX[[#This Row],[Column1314]]</f>
        <v>99.844999999999999</v>
      </c>
      <c r="AXO20">
        <f>SOFR3mo_PX[[#This Row],[Column1315]]</f>
        <v>99.795000000000002</v>
      </c>
      <c r="AXP20">
        <f>SOFR3mo_PX[[#This Row],[Column1316]]</f>
        <v>99.76</v>
      </c>
      <c r="AXQ20">
        <f>SOFR3mo_PX[[#This Row],[Column1317]]</f>
        <v>99.754999999999995</v>
      </c>
      <c r="AXR20">
        <f>SOFR3mo_PX[[#This Row],[Column1318]]</f>
        <v>99.82</v>
      </c>
      <c r="AXS20">
        <f>SOFR3mo_PX[[#This Row],[Column1319]]</f>
        <v>99.834999999999994</v>
      </c>
      <c r="AXT20">
        <f>SOFR3mo_PX[[#This Row],[Column1320]]</f>
        <v>99.87</v>
      </c>
      <c r="AXU20">
        <f>SOFR3mo_PX[[#This Row],[Column1321]]</f>
        <v>99.875</v>
      </c>
      <c r="AXV20">
        <f>SOFR3mo_PX[[#This Row],[Column1322]]</f>
        <v>99.864999999999995</v>
      </c>
      <c r="AXW20">
        <f>SOFR3mo_PX[[#This Row],[Column1323]]</f>
        <v>99.844999999999999</v>
      </c>
      <c r="AXX20">
        <f>SOFR3mo_PX[[#This Row],[Column1324]]</f>
        <v>99.85</v>
      </c>
      <c r="AXY20">
        <f>SOFR3mo_PX[[#This Row],[Column1325]]</f>
        <v>99.855000000000004</v>
      </c>
      <c r="AXZ20">
        <f>SOFR3mo_PX[[#This Row],[Column1326]]</f>
        <v>99.86</v>
      </c>
      <c r="AYA20">
        <f>SOFR3mo_PX[[#This Row],[Column1327]]</f>
        <v>99.86</v>
      </c>
      <c r="AYB20">
        <f>SOFR3mo_PX[[#This Row],[Column1328]]</f>
        <v>99.855000000000004</v>
      </c>
      <c r="AYC20">
        <f>SOFR3mo_PX[[#This Row],[Column1329]]</f>
        <v>99.855000000000004</v>
      </c>
      <c r="AYD20">
        <f>SOFR3mo_PX[[#This Row],[Column1330]]</f>
        <v>99.86</v>
      </c>
      <c r="AYE20">
        <f>SOFR3mo_PX[[#This Row],[Column1331]]</f>
        <v>99.86</v>
      </c>
      <c r="AYF20">
        <f>SOFR3mo_PX[[#This Row],[Column1332]]</f>
        <v>99.905000000000001</v>
      </c>
      <c r="AYG20">
        <f>SOFR3mo_PX[[#This Row],[Column1333]]</f>
        <v>99.88</v>
      </c>
      <c r="AYH20">
        <f>SOFR3mo_PX[[#This Row],[Column1334]]</f>
        <v>99.87</v>
      </c>
      <c r="AYI20">
        <f>SOFR3mo_PX[[#This Row],[Column1335]]</f>
        <v>99.85</v>
      </c>
      <c r="AYJ20">
        <f>SOFR3mo_PX[[#This Row],[Column1336]]</f>
        <v>99.85</v>
      </c>
      <c r="AYK20">
        <f>SOFR3mo_PX[[#This Row],[Column1337]]</f>
        <v>99.87</v>
      </c>
      <c r="AYL20">
        <f>SOFR3mo_PX[[#This Row],[Column1338]]</f>
        <v>99.88</v>
      </c>
      <c r="AYM20">
        <f>SOFR3mo_PX[[#This Row],[Column1339]]</f>
        <v>99.825000000000003</v>
      </c>
      <c r="AYN20">
        <f>SOFR3mo_PX[[#This Row],[Column1340]]</f>
        <v>99.81</v>
      </c>
      <c r="AYO20">
        <f>SOFR3mo_PX[[#This Row],[Column1341]]</f>
        <v>99.814999999999998</v>
      </c>
      <c r="AYP20">
        <f>SOFR3mo_PX[[#This Row],[Column1342]]</f>
        <v>99.8</v>
      </c>
      <c r="AYQ20">
        <f>SOFR3mo_PX[[#This Row],[Column1343]]</f>
        <v>99.805000000000007</v>
      </c>
      <c r="AYR20">
        <f>SOFR3mo_PX[[#This Row],[Column1344]]</f>
        <v>99.795000000000002</v>
      </c>
      <c r="AYS20">
        <f>SOFR3mo_PX[[#This Row],[Column1345]]</f>
        <v>99.78</v>
      </c>
      <c r="AYT20">
        <f>SOFR3mo_PX[[#This Row],[Column1346]]</f>
        <v>99.775000000000006</v>
      </c>
      <c r="AYU20">
        <f>SOFR3mo_PX[[#This Row],[Column1347]]</f>
        <v>99.784999999999997</v>
      </c>
      <c r="AYV20">
        <f>SOFR3mo_PX[[#This Row],[Column1348]]</f>
        <v>99.784999999999997</v>
      </c>
      <c r="AYW20">
        <f>SOFR3mo_PX[[#This Row],[Column1349]]</f>
        <v>99.78</v>
      </c>
      <c r="AYX20">
        <f>SOFR3mo_PX[[#This Row],[Column1350]]</f>
        <v>99.79</v>
      </c>
      <c r="AYY20">
        <f>SOFR3mo_PX[[#This Row],[Column1351]]</f>
        <v>99.77</v>
      </c>
      <c r="AYZ20">
        <f>SOFR3mo_PX[[#This Row],[Column1352]]</f>
        <v>99.76</v>
      </c>
      <c r="AZA20">
        <f>SOFR3mo_PX[[#This Row],[Column1353]]</f>
        <v>99.745000000000005</v>
      </c>
      <c r="AZB20">
        <f>SOFR3mo_PX[[#This Row],[Column1354]]</f>
        <v>99.734999999999999</v>
      </c>
      <c r="AZC20">
        <f>SOFR3mo_PX[[#This Row],[Column1355]]</f>
        <v>99.704999999999998</v>
      </c>
      <c r="AZD20">
        <f>SOFR3mo_PX[[#This Row],[Column1356]]</f>
        <v>99.69</v>
      </c>
      <c r="AZE20">
        <f>SOFR3mo_PX[[#This Row],[Column1357]]</f>
        <v>99.7</v>
      </c>
      <c r="AZF20">
        <f>SOFR3mo_PX[[#This Row],[Column1358]]</f>
        <v>99.7</v>
      </c>
      <c r="AZG20">
        <f>SOFR3mo_PX[[#This Row],[Column1359]]</f>
        <v>99.68</v>
      </c>
      <c r="AZH20">
        <f>SOFR3mo_PX[[#This Row],[Column1360]]</f>
        <v>99.665000000000006</v>
      </c>
      <c r="AZI20">
        <f>SOFR3mo_PX[[#This Row],[Column1361]]</f>
        <v>99.71</v>
      </c>
      <c r="AZJ20">
        <f>SOFR3mo_PX[[#This Row],[Column1362]]</f>
        <v>99.77</v>
      </c>
      <c r="AZK20">
        <f>SOFR3mo_PX[[#This Row],[Column1363]]</f>
        <v>99.765000000000001</v>
      </c>
      <c r="AZL20">
        <f>SOFR3mo_PX[[#This Row],[Column1364]]</f>
        <v>99.78</v>
      </c>
      <c r="AZM20">
        <f>SOFR3mo_PX[[#This Row],[Column1365]]</f>
        <v>99.754999999999995</v>
      </c>
      <c r="AZN20">
        <f>SOFR3mo_PX[[#This Row],[Column1366]]</f>
        <v>99.784999999999997</v>
      </c>
      <c r="AZO20">
        <f>SOFR3mo_PX[[#This Row],[Column1367]]</f>
        <v>99.74</v>
      </c>
      <c r="AZP20">
        <f>SOFR3mo_PX[[#This Row],[Column1368]]</f>
        <v>99.72</v>
      </c>
      <c r="AZQ20">
        <f>SOFR3mo_PX[[#This Row],[Column1369]]</f>
        <v>99.69</v>
      </c>
      <c r="AZR20">
        <f>SOFR3mo_PX[[#This Row],[Column1370]]</f>
        <v>99.685000000000002</v>
      </c>
      <c r="AZS20">
        <f>SOFR3mo_PX[[#This Row],[Column1371]]</f>
        <v>99.745000000000005</v>
      </c>
      <c r="AZT20">
        <f>SOFR3mo_PX[[#This Row],[Column1372]]</f>
        <v>99.665000000000006</v>
      </c>
      <c r="AZU20">
        <f>SOFR3mo_PX[[#This Row],[Column1373]]</f>
        <v>99.605000000000004</v>
      </c>
      <c r="AZV20">
        <f>SOFR3mo_PX[[#This Row],[Column1374]]</f>
        <v>99.5</v>
      </c>
      <c r="AZW20">
        <f>SOFR3mo_PX[[#This Row],[Column1375]]</f>
        <v>99.61</v>
      </c>
      <c r="AZX20">
        <f>SOFR3mo_PX[[#This Row],[Column1376]]</f>
        <v>99.66</v>
      </c>
      <c r="AZY20">
        <f>SOFR3mo_PX[[#This Row],[Column1377]]</f>
        <v>99.584999999999994</v>
      </c>
      <c r="AZZ20">
        <f>SOFR3mo_PX[[#This Row],[Column1378]]</f>
        <v>99.625</v>
      </c>
      <c r="BAA20">
        <f>SOFR3mo_PX[[#This Row],[Column1379]]</f>
        <v>99.555000000000007</v>
      </c>
      <c r="BAB20">
        <f>SOFR3mo_PX[[#This Row],[Column1380]]</f>
        <v>99.545000000000002</v>
      </c>
      <c r="BAC20">
        <f>SOFR3mo_PX[[#This Row],[Column1381]]</f>
        <v>99.665000000000006</v>
      </c>
      <c r="BAD20">
        <f>SOFR3mo_PX[[#This Row],[Column1382]]</f>
        <v>99.59</v>
      </c>
      <c r="BAE20">
        <f>SOFR3mo_PX[[#This Row],[Column1383]]</f>
        <v>99.504999999999995</v>
      </c>
      <c r="BAF20">
        <f>SOFR3mo_PX[[#This Row],[Column1384]]</f>
        <v>99.454999999999998</v>
      </c>
      <c r="BAG20">
        <f>SOFR3mo_PX[[#This Row],[Column1385]]</f>
        <v>99.394999999999996</v>
      </c>
      <c r="BAH20">
        <f>SOFR3mo_PX[[#This Row],[Column1386]]</f>
        <v>99.325000000000003</v>
      </c>
      <c r="BAI20">
        <f>SOFR3mo_PX[[#This Row],[Column1387]]</f>
        <v>99.325000000000003</v>
      </c>
      <c r="BAJ20">
        <f>SOFR3mo_PX[[#This Row],[Column1388]]</f>
        <v>99.125</v>
      </c>
      <c r="BAK20">
        <f>SOFR3mo_PX[[#This Row],[Column1389]]</f>
        <v>99.07</v>
      </c>
      <c r="BAL20">
        <f>SOFR3mo_PX[[#This Row],[Column1390]]</f>
        <v>99.08</v>
      </c>
      <c r="BAM20">
        <f>SOFR3mo_PX[[#This Row],[Column1391]]</f>
        <v>99.025000000000006</v>
      </c>
      <c r="BAN20">
        <f>SOFR3mo_PX[[#This Row],[Column1392]]</f>
        <v>98.915000000000006</v>
      </c>
      <c r="BAO20">
        <f>SOFR3mo_PX[[#This Row],[Column1393]]</f>
        <v>98.85</v>
      </c>
      <c r="BAP20">
        <f>SOFR3mo_PX[[#This Row],[Column1394]]</f>
        <v>98.805000000000007</v>
      </c>
      <c r="BAQ20">
        <f>SOFR3mo_PX[[#This Row],[Column1395]]</f>
        <v>98.83</v>
      </c>
      <c r="BAR20">
        <f>SOFR3mo_PX[[#This Row],[Column1396]]</f>
        <v>98.8</v>
      </c>
      <c r="BAS20">
        <f>SOFR3mo_PX[[#This Row],[Column1397]]</f>
        <v>98.8</v>
      </c>
      <c r="BAT20">
        <f>SOFR3mo_PX[[#This Row],[Column1398]]</f>
        <v>98.765000000000001</v>
      </c>
      <c r="BAU20">
        <f>SOFR3mo_PX[[#This Row],[Column1399]]</f>
        <v>98.765000000000001</v>
      </c>
      <c r="BAV20">
        <f>SOFR3mo_PX[[#This Row],[Column1400]]</f>
        <v>98.805000000000007</v>
      </c>
      <c r="BAW20">
        <f>SOFR3mo_PX[[#This Row],[Column1401]]</f>
        <v>98.834999999999994</v>
      </c>
      <c r="BAX20">
        <f>SOFR3mo_PX[[#This Row],[Column1402]]</f>
        <v>98.8</v>
      </c>
      <c r="BAY20">
        <f>SOFR3mo_PX[[#This Row],[Column1403]]</f>
        <v>98.745000000000005</v>
      </c>
      <c r="BAZ20">
        <f>SOFR3mo_PX[[#This Row],[Column1404]]</f>
        <v>98.765000000000001</v>
      </c>
      <c r="BBA20">
        <f>SOFR3mo_PX[[#This Row],[Column1405]]</f>
        <v>98.805000000000007</v>
      </c>
      <c r="BBB20">
        <f>SOFR3mo_PX[[#This Row],[Column1406]]</f>
        <v>98.89</v>
      </c>
      <c r="BBC20">
        <f>SOFR3mo_PX[[#This Row],[Column1407]]</f>
        <v>98.905000000000001</v>
      </c>
      <c r="BBD20">
        <f>SOFR3mo_PX[[#This Row],[Column1408]]</f>
        <v>98.85</v>
      </c>
      <c r="BBE20">
        <f>SOFR3mo_PX[[#This Row],[Column1409]]</f>
        <v>98.805000000000007</v>
      </c>
      <c r="BBF20">
        <f>SOFR3mo_PX[[#This Row],[Column1410]]</f>
        <v>98.754999999999995</v>
      </c>
      <c r="BBG20">
        <f>SOFR3mo_PX[[#This Row],[Column1411]]</f>
        <v>98.79</v>
      </c>
      <c r="BBH20">
        <f>SOFR3mo_PX[[#This Row],[Column1412]]</f>
        <v>98.704999999999998</v>
      </c>
      <c r="BBI20">
        <f>SOFR3mo_PX[[#This Row],[Column1413]]</f>
        <v>98.65</v>
      </c>
      <c r="BBJ20">
        <f>SOFR3mo_PX[[#This Row],[Column1414]]</f>
        <v>98.63</v>
      </c>
      <c r="BBK20">
        <f>SOFR3mo_PX[[#This Row],[Column1415]]</f>
        <v>98.614999999999995</v>
      </c>
      <c r="BBL20">
        <f>SOFR3mo_PX[[#This Row],[Column1416]]</f>
        <v>98.56</v>
      </c>
      <c r="BBM20">
        <f>SOFR3mo_PX[[#This Row],[Column1417]]</f>
        <v>98.56</v>
      </c>
      <c r="BBN20">
        <f>SOFR3mo_PX[[#This Row],[Column1418]]</f>
        <v>98.575000000000003</v>
      </c>
      <c r="BBO20">
        <f>SOFR3mo_PX[[#This Row],[Column1419]]</f>
        <v>98.584999999999994</v>
      </c>
      <c r="BBP20">
        <f>SOFR3mo_PX[[#This Row],[Column1420]]</f>
        <v>98.575000000000003</v>
      </c>
      <c r="BBQ20">
        <f>SOFR3mo_PX[[#This Row],[Column1421]]</f>
        <v>98.56</v>
      </c>
      <c r="BBR20">
        <f>SOFR3mo_PX[[#This Row],[Column1422]]</f>
        <v>98.564999999999998</v>
      </c>
      <c r="BBS20">
        <f>SOFR3mo_PX[[#This Row],[Column1423]]</f>
        <v>98.55</v>
      </c>
      <c r="BBT20">
        <f>SOFR3mo_PX[[#This Row],[Column1424]]</f>
        <v>98.545000000000002</v>
      </c>
      <c r="BBU20">
        <f>SOFR3mo_PX[[#This Row],[Column1425]]</f>
        <v>98.59</v>
      </c>
      <c r="BBV20">
        <f>SOFR3mo_PX[[#This Row],[Column1426]]</f>
        <v>98.6</v>
      </c>
      <c r="BBW20">
        <f>SOFR3mo_PX[[#This Row],[Column1427]]</f>
        <v>98.605000000000004</v>
      </c>
      <c r="BBX20">
        <f>SOFR3mo_PX[[#This Row],[Column1428]]</f>
        <v>98.515000000000001</v>
      </c>
      <c r="BBY20">
        <f>SOFR3mo_PX[[#This Row],[Column1429]]</f>
        <v>98.504999999999995</v>
      </c>
      <c r="BBZ20">
        <f>SOFR3mo_PX[[#This Row],[Column1430]]</f>
        <v>98.504999999999995</v>
      </c>
      <c r="BCA20">
        <f>SOFR3mo_PX[[#This Row],[Column1431]]</f>
        <v>98.51</v>
      </c>
      <c r="BCB20">
        <f>SOFR3mo_PX[[#This Row],[Column1432]]</f>
        <v>98.51</v>
      </c>
      <c r="BCC20">
        <f>SOFR3mo_PX[[#This Row],[Column1433]]</f>
        <v>98.47</v>
      </c>
      <c r="BCD20">
        <f>SOFR3mo_PX[[#This Row],[Column1434]]</f>
        <v>98.47</v>
      </c>
      <c r="BCE20">
        <f>SOFR3mo_PX[[#This Row],[Column1435]]</f>
        <v>98.47</v>
      </c>
      <c r="BCF20">
        <f>SOFR3mo_PX[[#This Row],[Column1436]]</f>
        <v>98.45</v>
      </c>
      <c r="BCG20">
        <f>SOFR3mo_PX[[#This Row],[Column1437]]</f>
        <v>98.49</v>
      </c>
      <c r="BCH20">
        <f>SOFR3mo_PX[[#This Row],[Column1438]]</f>
        <v>98.504999999999995</v>
      </c>
      <c r="BCI20">
        <f>SOFR3mo_PX[[#This Row],[Column1439]]</f>
        <v>98.484999999999999</v>
      </c>
      <c r="BCJ20">
        <f>SOFR3mo_PX[[#This Row],[Column1440]]</f>
        <v>98.51</v>
      </c>
      <c r="BCK20">
        <f>SOFR3mo_PX[[#This Row],[Column1441]]</f>
        <v>98.52</v>
      </c>
      <c r="BCL20">
        <f>SOFR3mo_PX[[#This Row],[Column1442]]</f>
        <v>98.594999999999999</v>
      </c>
      <c r="BCM20">
        <f>SOFR3mo_PX[[#This Row],[Column1443]]</f>
        <v>98.515000000000001</v>
      </c>
      <c r="BCN20">
        <f>SOFR3mo_PX[[#This Row],[Column1444]]</f>
        <v>98.6</v>
      </c>
      <c r="BCO20">
        <f>SOFR3mo_PX[[#This Row],[Column1445]]</f>
        <v>98.56</v>
      </c>
      <c r="BCP20">
        <f>SOFR3mo_PX[[#This Row],[Column1446]]</f>
        <v>98.575000000000003</v>
      </c>
      <c r="BCQ20">
        <f>SOFR3mo_PX[[#This Row],[Column1447]]</f>
        <v>98.584999999999994</v>
      </c>
      <c r="BCR20">
        <f>SOFR3mo_PX[[#This Row],[Column1448]]</f>
        <v>98.644999999999996</v>
      </c>
      <c r="BCS20">
        <f>SOFR3mo_PX[[#This Row],[Column1449]]</f>
        <v>98.66</v>
      </c>
      <c r="BCT20">
        <f>SOFR3mo_PX[[#This Row],[Column1450]]</f>
        <v>98.734999999999999</v>
      </c>
      <c r="BCU20">
        <f>SOFR3mo_PX[[#This Row],[Column1451]]</f>
        <v>98.614999999999995</v>
      </c>
      <c r="BCV20">
        <f>SOFR3mo_PX[[#This Row],[Column1452]]</f>
        <v>98.65</v>
      </c>
      <c r="BCW20">
        <f>SOFR3mo_PX[[#This Row],[Column1453]]</f>
        <v>98.64</v>
      </c>
      <c r="BCX20">
        <f>SOFR3mo_PX[[#This Row],[Column1454]]</f>
        <v>98.64</v>
      </c>
      <c r="BCY20">
        <f>SOFR3mo_PX[[#This Row],[Column1455]]</f>
        <v>98.68</v>
      </c>
      <c r="BCZ20">
        <f>SOFR3mo_PX[[#This Row],[Column1456]]</f>
        <v>98.67</v>
      </c>
      <c r="BDA20">
        <f>SOFR3mo_PX[[#This Row],[Column1457]]</f>
        <v>98.655000000000001</v>
      </c>
      <c r="BDB20">
        <f>SOFR3mo_PX[[#This Row],[Column1458]]</f>
        <v>98.674999999999997</v>
      </c>
      <c r="BDC20">
        <f>SOFR3mo_PX[[#This Row],[Column1459]]</f>
        <v>98.704999999999998</v>
      </c>
      <c r="BDD20">
        <f>SOFR3mo_PX[[#This Row],[Column1460]]</f>
        <v>98.67</v>
      </c>
      <c r="BDE20">
        <f>SOFR3mo_PX[[#This Row],[Column1461]]</f>
        <v>98.644999999999996</v>
      </c>
      <c r="BDF20">
        <f>SOFR3mo_PX[[#This Row],[Column1462]]</f>
        <v>98.62</v>
      </c>
      <c r="BDG20">
        <f>SOFR3mo_PX[[#This Row],[Column1463]]</f>
        <v>98.63</v>
      </c>
      <c r="BDH20">
        <f>SOFR3mo_PX[[#This Row],[Column1464]]</f>
        <v>98.58</v>
      </c>
      <c r="BDI20">
        <f>SOFR3mo_PX[[#This Row],[Column1465]]</f>
        <v>98.53</v>
      </c>
      <c r="BDJ20">
        <f>SOFR3mo_PX[[#This Row],[Column1466]]</f>
        <v>98.5</v>
      </c>
      <c r="BDK20">
        <f>SOFR3mo_PX[[#This Row],[Column1467]]</f>
        <v>98.51</v>
      </c>
      <c r="BDL20">
        <f>SOFR3mo_PX[[#This Row],[Column1468]]</f>
        <v>98.495000000000005</v>
      </c>
      <c r="BDM20">
        <f>SOFR3mo_PX[[#This Row],[Column1469]]</f>
        <v>98.605000000000004</v>
      </c>
      <c r="BDN20">
        <f>SOFR3mo_PX[[#This Row],[Column1470]]</f>
        <v>98.58</v>
      </c>
      <c r="BDO20">
        <f>SOFR3mo_PX[[#This Row],[Column1471]]</f>
        <v>98.64</v>
      </c>
      <c r="BDP20">
        <f>SOFR3mo_PX[[#This Row],[Column1472]]</f>
        <v>98.69</v>
      </c>
      <c r="BDQ20">
        <f>SOFR3mo_PX[[#This Row],[Column1473]]</f>
        <v>98.76</v>
      </c>
      <c r="BDR20">
        <f>SOFR3mo_PX[[#This Row],[Column1474]]</f>
        <v>98.635000000000005</v>
      </c>
      <c r="BDS20">
        <f>SOFR3mo_PX[[#This Row],[Column1475]]</f>
        <v>98.614999999999995</v>
      </c>
      <c r="BDT20">
        <f>SOFR3mo_PX[[#This Row],[Column1476]]</f>
        <v>98.62</v>
      </c>
      <c r="BDU20">
        <f>SOFR3mo_PX[[#This Row],[Column1477]]</f>
        <v>98.65</v>
      </c>
      <c r="BDV20">
        <f>SOFR3mo_PX[[#This Row],[Column1478]]</f>
        <v>98.694999999999993</v>
      </c>
      <c r="BDW20">
        <f>SOFR3mo_PX[[#This Row],[Column1479]]</f>
        <v>98.704999999999998</v>
      </c>
      <c r="BDX20">
        <f>SOFR3mo_PX[[#This Row],[Column1480]]</f>
        <v>98.685000000000002</v>
      </c>
      <c r="BDY20">
        <f>SOFR3mo_PX[[#This Row],[Column1481]]</f>
        <v>98.66</v>
      </c>
      <c r="BDZ20">
        <f>SOFR3mo_PX[[#This Row],[Column1482]]</f>
        <v>98.7</v>
      </c>
      <c r="BEA20">
        <f>SOFR3mo_PX[[#This Row],[Column1483]]</f>
        <v>98.674999999999997</v>
      </c>
      <c r="BEB20">
        <f>SOFR3mo_PX[[#This Row],[Column1484]]</f>
        <v>98.7</v>
      </c>
      <c r="BEC20">
        <f>SOFR3mo_PX[[#This Row],[Column1485]]</f>
        <v>98.66</v>
      </c>
      <c r="BED20">
        <f>SOFR3mo_PX[[#This Row],[Column1486]]</f>
        <v>98.715000000000003</v>
      </c>
      <c r="BEE20">
        <f>SOFR3mo_PX[[#This Row],[Column1487]]</f>
        <v>98.694999999999993</v>
      </c>
      <c r="BEF20">
        <f>SOFR3mo_PX[[#This Row],[Column1488]]</f>
        <v>98.825000000000003</v>
      </c>
      <c r="BEG20">
        <f>SOFR3mo_PX[[#This Row],[Column1489]]</f>
        <v>98.89</v>
      </c>
      <c r="BEH20">
        <f>SOFR3mo_PX[[#This Row],[Column1490]]</f>
        <v>98.944999999999993</v>
      </c>
      <c r="BEI20">
        <f>SOFR3mo_PX[[#This Row],[Column1491]]</f>
        <v>98.935000000000002</v>
      </c>
      <c r="BEJ20">
        <f>SOFR3mo_PX[[#This Row],[Column1492]]</f>
        <v>99.004999999999995</v>
      </c>
      <c r="BEK20">
        <f>SOFR3mo_PX[[#This Row],[Column1493]]</f>
        <v>99.015000000000001</v>
      </c>
      <c r="BEL20">
        <f>SOFR3mo_PX[[#This Row],[Column1494]]</f>
        <v>98.915000000000006</v>
      </c>
      <c r="BEM20">
        <f>SOFR3mo_PX[[#This Row],[Column1495]]</f>
        <v>98.84</v>
      </c>
      <c r="BEN20">
        <f>SOFR3mo_PX[[#This Row],[Column1496]]</f>
        <v>98.77</v>
      </c>
      <c r="BEO20">
        <f>SOFR3mo_PX[[#This Row],[Column1497]]</f>
        <v>98.78</v>
      </c>
      <c r="BEP20">
        <f>SOFR3mo_PX[[#This Row],[Column1498]]</f>
        <v>98.77</v>
      </c>
      <c r="BEQ20">
        <f>SOFR3mo_PX[[#This Row],[Column1499]]</f>
        <v>98.754999999999995</v>
      </c>
      <c r="BER20">
        <f>SOFR3mo_PX[[#This Row],[Column1500]]</f>
        <v>98.855000000000004</v>
      </c>
      <c r="BES20">
        <f>SOFR3mo_PX[[#This Row],[Column1501]]</f>
        <v>98.76</v>
      </c>
      <c r="BET20">
        <f>SOFR3mo_PX[[#This Row],[Column1502]]</f>
        <v>98.72</v>
      </c>
      <c r="BEU20">
        <f>SOFR3mo_PX[[#This Row],[Column1503]]</f>
        <v>98.734999999999999</v>
      </c>
      <c r="BEV20">
        <f>SOFR3mo_PX[[#This Row],[Column1504]]</f>
        <v>98.7</v>
      </c>
      <c r="BEW20">
        <f>SOFR3mo_PX[[#This Row],[Column1505]]</f>
        <v>98.71</v>
      </c>
      <c r="BEX20">
        <f>SOFR3mo_PX[[#This Row],[Column1506]]</f>
        <v>98.67</v>
      </c>
      <c r="BEY20">
        <f>SOFR3mo_PX[[#This Row],[Column1507]]</f>
        <v>98.61</v>
      </c>
      <c r="BEZ20">
        <f>SOFR3mo_PX[[#This Row],[Column1508]]</f>
        <v>98.704999999999998</v>
      </c>
      <c r="BFA20">
        <f>SOFR3mo_PX[[#This Row],[Column1509]]</f>
        <v>98.79</v>
      </c>
      <c r="BFB20">
        <f>SOFR3mo_PX[[#This Row],[Column1510]]</f>
        <v>98.814999999999998</v>
      </c>
      <c r="BFC20">
        <f>SOFR3mo_PX[[#This Row],[Column1511]]</f>
        <v>98.915000000000006</v>
      </c>
      <c r="BFD20">
        <f>SOFR3mo_PX[[#This Row],[Column1512]]</f>
        <v>98.99</v>
      </c>
      <c r="BFE20">
        <f>SOFR3mo_PX[[#This Row],[Column1513]]</f>
        <v>98.995000000000005</v>
      </c>
      <c r="BFF20">
        <f>SOFR3mo_PX[[#This Row],[Column1514]]</f>
        <v>99.125</v>
      </c>
      <c r="BFG20">
        <f>SOFR3mo_PX[[#This Row],[Column1515]]</f>
        <v>99.084999999999994</v>
      </c>
      <c r="BFH20">
        <f>SOFR3mo_PX[[#This Row],[Column1516]]</f>
        <v>99.004999999999995</v>
      </c>
      <c r="BFI20">
        <f>SOFR3mo_PX[[#This Row],[Column1517]]</f>
        <v>99.004999999999995</v>
      </c>
      <c r="BFJ20">
        <f>SOFR3mo_PX[[#This Row],[Column1518]]</f>
        <v>98.98</v>
      </c>
      <c r="BFK20">
        <f>SOFR3mo_PX[[#This Row],[Column1519]]</f>
        <v>99.02</v>
      </c>
      <c r="BFL20">
        <f>SOFR3mo_PX[[#This Row],[Column1520]]</f>
        <v>98.974999999999994</v>
      </c>
      <c r="BFM20">
        <f>SOFR3mo_PX[[#This Row],[Column1521]]</f>
        <v>98.93</v>
      </c>
      <c r="BFN20">
        <f>SOFR3mo_PX[[#This Row],[Column1522]]</f>
        <v>98.954999999999998</v>
      </c>
      <c r="BFO20">
        <f>SOFR3mo_PX[[#This Row],[Column1523]]</f>
        <v>98.85</v>
      </c>
      <c r="BFP20">
        <f>SOFR3mo_PX[[#This Row],[Column1524]]</f>
        <v>98.88</v>
      </c>
      <c r="BFQ20">
        <f>SOFR3mo_PX[[#This Row],[Column1525]]</f>
        <v>98.915000000000006</v>
      </c>
      <c r="BFR20">
        <f>SOFR3mo_PX[[#This Row],[Column1526]]</f>
        <v>98.875</v>
      </c>
      <c r="BFS20">
        <f>SOFR3mo_PX[[#This Row],[Column1527]]</f>
        <v>98.935000000000002</v>
      </c>
      <c r="BFT20">
        <f>SOFR3mo_PX[[#This Row],[Column1528]]</f>
        <v>98.93</v>
      </c>
      <c r="BFU20">
        <f>SOFR3mo_PX[[#This Row],[Column1529]]</f>
        <v>98.86</v>
      </c>
      <c r="BFV20">
        <f>SOFR3mo_PX[[#This Row],[Column1530]]</f>
        <v>98.775000000000006</v>
      </c>
      <c r="BFW20">
        <f>SOFR3mo_PX[[#This Row],[Column1531]]</f>
        <v>98.88</v>
      </c>
      <c r="BFX20">
        <f>SOFR3mo_PX[[#This Row],[Column1532]]</f>
        <v>98.8</v>
      </c>
      <c r="BFY20">
        <f>SOFR3mo_PX[[#This Row],[Column1533]]</f>
        <v>98.844999999999999</v>
      </c>
      <c r="BFZ20">
        <f>SOFR3mo_PX[[#This Row],[Column1534]]</f>
        <v>98.92</v>
      </c>
      <c r="BGA20">
        <f>SOFR3mo_PX[[#This Row],[Column1535]]</f>
        <v>98.825000000000003</v>
      </c>
      <c r="BGB20">
        <f>SOFR3mo_PX[[#This Row],[Column1536]]</f>
        <v>98.89</v>
      </c>
      <c r="BGC20">
        <f>SOFR3mo_PX[[#This Row],[Column1537]]</f>
        <v>98.674999999999997</v>
      </c>
      <c r="BGD20">
        <f>SOFR3mo_PX[[#This Row],[Column1538]]</f>
        <v>98.655000000000001</v>
      </c>
      <c r="BGE20">
        <f>SOFR3mo_PX[[#This Row],[Column1539]]</f>
        <v>98.465000000000003</v>
      </c>
      <c r="BGF20">
        <f>SOFR3mo_PX[[#This Row],[Column1540]]</f>
        <v>98.474999999999994</v>
      </c>
      <c r="BGG20">
        <f>SOFR3mo_PX[[#This Row],[Column1541]]</f>
        <v>98.484999999999999</v>
      </c>
      <c r="BGH20">
        <f>SOFR3mo_PX[[#This Row],[Column1542]]</f>
        <v>98.465000000000003</v>
      </c>
      <c r="BGI20">
        <f>SOFR3mo_PX[[#This Row],[Column1543]]</f>
        <v>98.49</v>
      </c>
      <c r="BGJ20">
        <f>SOFR3mo_PX[[#This Row],[Column1544]]</f>
        <v>98.515000000000001</v>
      </c>
      <c r="BGK20">
        <f>SOFR3mo_PX[[#This Row],[Column1545]]</f>
        <v>98.51</v>
      </c>
      <c r="BGL20">
        <f>SOFR3mo_PX[[#This Row],[Column1546]]</f>
        <v>98.54</v>
      </c>
      <c r="BGM20">
        <f>SOFR3mo_PX[[#This Row],[Column1547]]</f>
        <v>98.52</v>
      </c>
      <c r="BGN20">
        <f>SOFR3mo_PX[[#This Row],[Column1548]]</f>
        <v>98.57</v>
      </c>
      <c r="BGO20">
        <f>SOFR3mo_PX[[#This Row],[Column1549]]</f>
        <v>98.484999999999999</v>
      </c>
      <c r="BGP20">
        <f>SOFR3mo_PX[[#This Row],[Column1550]]</f>
        <v>98.43</v>
      </c>
      <c r="BGQ20">
        <f>SOFR3mo_PX[[#This Row],[Column1551]]</f>
        <v>98.46</v>
      </c>
      <c r="BGR20">
        <f>SOFR3mo_PX[[#This Row],[Column1552]]</f>
        <v>98.454999999999998</v>
      </c>
      <c r="BGS20">
        <f>SOFR3mo_PX[[#This Row],[Column1553]]</f>
        <v>98.44</v>
      </c>
      <c r="BGT20">
        <f>SOFR3mo_PX[[#This Row],[Column1554]]</f>
        <v>98.49</v>
      </c>
      <c r="BGU20">
        <f>SOFR3mo_PX[[#This Row],[Column1555]]</f>
        <v>98.45</v>
      </c>
      <c r="BGV20">
        <f>SOFR3mo_PX[[#This Row],[Column1556]]</f>
        <v>98.47</v>
      </c>
      <c r="BGW20">
        <f>SOFR3mo_PX[[#This Row],[Column1557]]</f>
        <v>98.465000000000003</v>
      </c>
      <c r="BGX20">
        <f>SOFR3mo_PX[[#This Row],[Column1558]]</f>
        <v>98.55</v>
      </c>
      <c r="BGY20">
        <f>SOFR3mo_PX[[#This Row],[Column1559]]</f>
        <v>98.55</v>
      </c>
      <c r="BGZ20">
        <f>SOFR3mo_PX[[#This Row],[Column1560]]</f>
        <v>98.545000000000002</v>
      </c>
      <c r="BHA20">
        <f>SOFR3mo_PX[[#This Row],[Column1561]]</f>
        <v>98.495000000000005</v>
      </c>
      <c r="BHB20">
        <f>SOFR3mo_PX[[#This Row],[Column1562]]</f>
        <v>98.54</v>
      </c>
      <c r="BHC20">
        <f>SOFR3mo_PX[[#This Row],[Column1563]]</f>
        <v>98.555000000000007</v>
      </c>
      <c r="BHD20">
        <f>SOFR3mo_PX[[#This Row],[Column1564]]</f>
        <v>98.525000000000006</v>
      </c>
      <c r="BHE20">
        <f>SOFR3mo_PX[[#This Row],[Column1565]]</f>
        <v>98.61</v>
      </c>
      <c r="BHF20">
        <f>SOFR3mo_PX[[#This Row],[Column1566]]</f>
        <v>98.584999999999994</v>
      </c>
      <c r="BHG20">
        <f>SOFR3mo_PX[[#This Row],[Column1567]]</f>
        <v>98.534999999999997</v>
      </c>
      <c r="BHH20">
        <f>SOFR3mo_PX[[#This Row],[Column1568]]</f>
        <v>98.59</v>
      </c>
      <c r="BHI20">
        <f>SOFR3mo_PX[[#This Row],[Column1569]]</f>
        <v>98.594999999999999</v>
      </c>
      <c r="BHJ20">
        <f>SOFR3mo_PX[[#This Row],[Column1570]]</f>
        <v>98.49</v>
      </c>
      <c r="BHK20">
        <f>SOFR3mo_PX[[#This Row],[Column1571]]</f>
        <v>98.49</v>
      </c>
      <c r="BHL20">
        <f>SOFR3mo_PX[[#This Row],[Column1572]]</f>
        <v>98.51</v>
      </c>
      <c r="BHM20">
        <f>SOFR3mo_PX[[#This Row],[Column1573]]</f>
        <v>98.515000000000001</v>
      </c>
      <c r="BHN20">
        <f>SOFR3mo_PX[[#This Row],[Column1574]]</f>
        <v>98.444999999999993</v>
      </c>
      <c r="BHO20">
        <f>SOFR3mo_PX[[#This Row],[Column1575]]</f>
        <v>98.394999999999996</v>
      </c>
      <c r="BHP20">
        <f>SOFR3mo_PX[[#This Row],[Column1576]]</f>
        <v>98.39</v>
      </c>
      <c r="BHQ20">
        <f>SOFR3mo_PX[[#This Row],[Column1577]]</f>
        <v>98.43</v>
      </c>
      <c r="BHR20">
        <f>SOFR3mo_PX[[#This Row],[Column1578]]</f>
        <v>98.415000000000006</v>
      </c>
      <c r="BHS20">
        <f>SOFR3mo_PX[[#This Row],[Column1579]]</f>
        <v>98.47</v>
      </c>
      <c r="BHT20">
        <f>SOFR3mo_PX[[#This Row],[Column1580]]</f>
        <v>98.45</v>
      </c>
      <c r="BHU20">
        <f>SOFR3mo_PX[[#This Row],[Column1581]]</f>
        <v>98.495000000000005</v>
      </c>
      <c r="BHV20">
        <f>SOFR3mo_PX[[#This Row],[Column1582]]</f>
        <v>98.444999999999993</v>
      </c>
      <c r="BHW20">
        <f>SOFR3mo_PX[[#This Row],[Column1583]]</f>
        <v>98.305000000000007</v>
      </c>
      <c r="BHX20">
        <f>SOFR3mo_PX[[#This Row],[Column1584]]</f>
        <v>98.31</v>
      </c>
      <c r="BHY20">
        <f>SOFR3mo_PX[[#This Row],[Column1585]]</f>
        <v>98.275000000000006</v>
      </c>
      <c r="BHZ20">
        <f>SOFR3mo_PX[[#This Row],[Column1586]]</f>
        <v>98.22</v>
      </c>
      <c r="BIA20">
        <f>SOFR3mo_PX[[#This Row],[Column1587]]</f>
        <v>98.22</v>
      </c>
      <c r="BIB20">
        <f>SOFR3mo_PX[[#This Row],[Column1588]]</f>
        <v>98.25</v>
      </c>
      <c r="BIC20">
        <f>SOFR3mo_PX[[#This Row],[Column1589]]</f>
        <v>98.114999999999995</v>
      </c>
      <c r="BID20">
        <f>SOFR3mo_PX[[#This Row],[Column1590]]</f>
        <v>98.08</v>
      </c>
      <c r="BIE20">
        <f>SOFR3mo_PX[[#This Row],[Column1591]]</f>
        <v>98.11</v>
      </c>
      <c r="BIF20">
        <f>SOFR3mo_PX[[#This Row],[Column1592]]</f>
        <v>98.135000000000005</v>
      </c>
      <c r="BIG20">
        <f>SOFR3mo_PX[[#This Row],[Column1593]]</f>
        <v>98.125</v>
      </c>
      <c r="BIH20">
        <f>SOFR3mo_PX[[#This Row],[Column1594]]</f>
        <v>98.17</v>
      </c>
      <c r="BII20">
        <f>SOFR3mo_PX[[#This Row],[Column1595]]</f>
        <v>98.12</v>
      </c>
      <c r="BIJ20">
        <f>SOFR3mo_PX[[#This Row],[Column1596]]</f>
        <v>98.13</v>
      </c>
      <c r="BIK20">
        <f>SOFR3mo_PX[[#This Row],[Column1597]]</f>
        <v>98.055000000000007</v>
      </c>
      <c r="BIL20">
        <f>SOFR3mo_PX[[#This Row],[Column1598]]</f>
        <v>98.04</v>
      </c>
      <c r="BIM20">
        <f>SOFR3mo_PX[[#This Row],[Column1599]]</f>
        <v>98.004999999999995</v>
      </c>
      <c r="BIN20">
        <f>SOFR3mo_PX[[#This Row],[Column1600]]</f>
        <v>98.034999999999997</v>
      </c>
      <c r="BIO20">
        <f>SOFR3mo_PX[[#This Row],[Column1601]]</f>
        <v>97.98</v>
      </c>
      <c r="BIP20">
        <f>SOFR3mo_PX[[#This Row],[Column1602]]</f>
        <v>97.94</v>
      </c>
      <c r="BIQ20">
        <f>SOFR3mo_PX[[#This Row],[Column1603]]</f>
        <v>97.935000000000002</v>
      </c>
      <c r="BIR20">
        <f>SOFR3mo_PX[[#This Row],[Column1604]]</f>
        <v>97.995000000000005</v>
      </c>
      <c r="BIS20">
        <f>SOFR3mo_PX[[#This Row],[Column1605]]</f>
        <v>98.034999999999997</v>
      </c>
      <c r="BIT20">
        <f>SOFR3mo_PX[[#This Row],[Column1606]]</f>
        <v>98.01</v>
      </c>
      <c r="BIU20">
        <f>SOFR3mo_PX[[#This Row],[Column1607]]</f>
        <v>98.015000000000001</v>
      </c>
      <c r="BIV20">
        <f>SOFR3mo_PX[[#This Row],[Column1608]]</f>
        <v>97.965000000000003</v>
      </c>
      <c r="BIW20">
        <f>SOFR3mo_PX[[#This Row],[Column1609]]</f>
        <v>97.98</v>
      </c>
      <c r="BIX20">
        <f>SOFR3mo_PX[[#This Row],[Column1610]]</f>
        <v>97.924999999999997</v>
      </c>
      <c r="BIY20">
        <f>SOFR3mo_PX[[#This Row],[Column1611]]</f>
        <v>97.905000000000001</v>
      </c>
      <c r="BIZ20">
        <f>SOFR3mo_PX[[#This Row],[Column1612]]</f>
        <v>97.905000000000001</v>
      </c>
      <c r="BJA20">
        <f>SOFR3mo_PX[[#This Row],[Column1613]]</f>
        <v>97.905000000000001</v>
      </c>
      <c r="BJB20">
        <f>SOFR3mo_PX[[#This Row],[Column1614]]</f>
        <v>97.88</v>
      </c>
      <c r="BJC20">
        <f>SOFR3mo_PX[[#This Row],[Column1615]]</f>
        <v>97.875</v>
      </c>
      <c r="BJD20">
        <f>SOFR3mo_PX[[#This Row],[Column1616]]</f>
        <v>97.905000000000001</v>
      </c>
      <c r="BJE20">
        <f>SOFR3mo_PX[[#This Row],[Column1617]]</f>
        <v>97.9</v>
      </c>
      <c r="BJF20">
        <f>SOFR3mo_PX[[#This Row],[Column1618]]</f>
        <v>97.974999999999994</v>
      </c>
      <c r="BJG20">
        <f>SOFR3mo_PX[[#This Row],[Column1619]]</f>
        <v>98.01</v>
      </c>
      <c r="BJH20">
        <f>SOFR3mo_PX[[#This Row],[Column1620]]</f>
        <v>97.974999999999994</v>
      </c>
      <c r="BJI20">
        <f>SOFR3mo_PX[[#This Row],[Column1621]]</f>
        <v>97.94</v>
      </c>
      <c r="BJJ20">
        <f>SOFR3mo_PX[[#This Row],[Column1622]]</f>
        <v>97.95</v>
      </c>
      <c r="BJK20">
        <f>SOFR3mo_PX[[#This Row],[Column1623]]</f>
        <v>97.96</v>
      </c>
      <c r="BJL20">
        <f>SOFR3mo_PX[[#This Row],[Column1624]]</f>
        <v>97.97</v>
      </c>
      <c r="BJM20">
        <f>SOFR3mo_PX[[#This Row],[Column1625]]</f>
        <v>97.99</v>
      </c>
      <c r="BJN20">
        <f>SOFR3mo_PX[[#This Row],[Column1626]]</f>
        <v>97.98</v>
      </c>
      <c r="BJO20">
        <f>SOFR3mo_PX[[#This Row],[Column1627]]</f>
        <v>98.06</v>
      </c>
      <c r="BJP20">
        <f>SOFR3mo_PX[[#This Row],[Column1628]]</f>
        <v>98.135000000000005</v>
      </c>
      <c r="BJQ20">
        <f>SOFR3mo_PX[[#This Row],[Column1629]]</f>
        <v>98.17</v>
      </c>
      <c r="BJR20">
        <f>SOFR3mo_PX[[#This Row],[Column1630]]</f>
        <v>98.12</v>
      </c>
      <c r="BJS20">
        <f>SOFR3mo_PX[[#This Row],[Column1631]]</f>
        <v>98.15</v>
      </c>
      <c r="BJT20">
        <f>SOFR3mo_PX[[#This Row],[Column1632]]</f>
        <v>98.045000000000002</v>
      </c>
      <c r="BJU20">
        <f>SOFR3mo_PX[[#This Row],[Column1633]]</f>
        <v>97.93</v>
      </c>
      <c r="BJV20">
        <f>SOFR3mo_PX[[#This Row],[Column1634]]</f>
        <v>97.91</v>
      </c>
      <c r="BJW20">
        <f>SOFR3mo_PX[[#This Row],[Column1635]]</f>
        <v>97.82</v>
      </c>
      <c r="BJX20">
        <f>SOFR3mo_PX[[#This Row],[Column1636]]</f>
        <v>97.834999999999994</v>
      </c>
      <c r="BJY20">
        <f>SOFR3mo_PX[[#This Row],[Column1637]]</f>
        <v>97.84</v>
      </c>
      <c r="BJZ20">
        <f>SOFR3mo_PX[[#This Row],[Column1638]]</f>
        <v>97.81</v>
      </c>
      <c r="BKA20">
        <f>SOFR3mo_PX[[#This Row],[Column1639]]</f>
        <v>97.814999999999998</v>
      </c>
      <c r="BKB20">
        <f>SOFR3mo_PX[[#This Row],[Column1640]]</f>
        <v>97.795000000000002</v>
      </c>
      <c r="BKC20">
        <f>SOFR3mo_PX[[#This Row],[Column1641]]</f>
        <v>97.765000000000001</v>
      </c>
      <c r="BKD20">
        <f>SOFR3mo_PX[[#This Row],[Column1642]]</f>
        <v>97.775000000000006</v>
      </c>
      <c r="BKE20">
        <f>SOFR3mo_PX[[#This Row],[Column1643]]</f>
        <v>97.76</v>
      </c>
      <c r="BKF20">
        <f>SOFR3mo_PX[[#This Row],[Column1644]]</f>
        <v>97.685000000000002</v>
      </c>
      <c r="BKG20">
        <f>SOFR3mo_PX[[#This Row],[Column1645]]</f>
        <v>97.65</v>
      </c>
      <c r="BKH20">
        <f>SOFR3mo_PX[[#This Row],[Column1646]]</f>
        <v>97.655000000000001</v>
      </c>
      <c r="BKI20">
        <f>SOFR3mo_PX[[#This Row],[Column1647]]</f>
        <v>97.644999999999996</v>
      </c>
      <c r="BKJ20">
        <f>SOFR3mo_PX[[#This Row],[Column1648]]</f>
        <v>97.715000000000003</v>
      </c>
      <c r="BKK20">
        <f>SOFR3mo_PX[[#This Row],[Column1649]]</f>
        <v>97.734999999999999</v>
      </c>
      <c r="BKL20">
        <f>SOFR3mo_PX[[#This Row],[Column1650]]</f>
        <v>97.76</v>
      </c>
      <c r="BKM20">
        <f>SOFR3mo_PX[[#This Row],[Column1651]]</f>
        <v>97.73</v>
      </c>
      <c r="BKN20">
        <f>SOFR3mo_PX[[#This Row],[Column1652]]</f>
        <v>97.734999999999999</v>
      </c>
      <c r="BKO20">
        <f>SOFR3mo_PX[[#This Row],[Column1653]]</f>
        <v>97.69</v>
      </c>
      <c r="BKP20">
        <f>SOFR3mo_PX[[#This Row],[Column1654]]</f>
        <v>97.73</v>
      </c>
      <c r="BKQ20">
        <f>SOFR3mo_PX[[#This Row],[Column1655]]</f>
        <v>97.724999999999994</v>
      </c>
      <c r="BKR20">
        <f>SOFR3mo_PX[[#This Row],[Column1656]]</f>
        <v>97.71</v>
      </c>
      <c r="BKS20">
        <f>SOFR3mo_PX[[#This Row],[Column1657]]</f>
        <v>97.71</v>
      </c>
      <c r="BKT20">
        <f>SOFR3mo_PX[[#This Row],[Column1658]]</f>
        <v>97.715000000000003</v>
      </c>
      <c r="BKU20">
        <f>SOFR3mo_PX[[#This Row],[Column1659]]</f>
        <v>97.674999999999997</v>
      </c>
      <c r="BKV20">
        <f>SOFR3mo_PX[[#This Row],[Column1660]]</f>
        <v>97.734999999999999</v>
      </c>
      <c r="BKW20">
        <f>SOFR3mo_PX[[#This Row],[Column1661]]</f>
        <v>97.765000000000001</v>
      </c>
      <c r="BKX20">
        <f>SOFR3mo_PX[[#This Row],[Column1662]]</f>
        <v>97.79</v>
      </c>
      <c r="BKY20">
        <f>SOFR3mo_PX[[#This Row],[Column1663]]</f>
        <v>97.754999999999995</v>
      </c>
      <c r="BKZ20">
        <f>SOFR3mo_PX[[#This Row],[Column1664]]</f>
        <v>97.7</v>
      </c>
      <c r="BLA20">
        <f>SOFR3mo_PX[[#This Row],[Column1665]]</f>
        <v>97.69</v>
      </c>
      <c r="BLB20">
        <f>SOFR3mo_PX[[#This Row],[Column1666]]</f>
        <v>97.685000000000002</v>
      </c>
      <c r="BLC20">
        <f>SOFR3mo_PX[[#This Row],[Column1667]]</f>
        <v>97.704999999999998</v>
      </c>
      <c r="BLD20">
        <f>SOFR3mo_PX[[#This Row],[Column1668]]</f>
        <v>97.73</v>
      </c>
      <c r="BLE20">
        <f>SOFR3mo_PX[[#This Row],[Column1669]]</f>
        <v>97.66</v>
      </c>
      <c r="BLF20">
        <f>SOFR3mo_PX[[#This Row],[Column1670]]</f>
        <v>97.61</v>
      </c>
      <c r="BLG20">
        <f>SOFR3mo_PX[[#This Row],[Column1671]]</f>
        <v>97.605000000000004</v>
      </c>
      <c r="BLH20">
        <f>SOFR3mo_PX[[#This Row],[Column1672]]</f>
        <v>97.594999999999999</v>
      </c>
      <c r="BLI20">
        <f>SOFR3mo_PX[[#This Row],[Column1673]]</f>
        <v>97.62</v>
      </c>
      <c r="BLJ20">
        <f>SOFR3mo_PX[[#This Row],[Column1674]]</f>
        <v>97.605000000000004</v>
      </c>
      <c r="BLK20">
        <f>SOFR3mo_PX[[#This Row],[Column1675]]</f>
        <v>97.61</v>
      </c>
      <c r="BLL20">
        <f>SOFR3mo_PX[[#This Row],[Column1676]]</f>
        <v>97.564999999999998</v>
      </c>
      <c r="BLM20">
        <f>SOFR3mo_PX[[#This Row],[Column1677]]</f>
        <v>97.564999999999998</v>
      </c>
      <c r="BLN20">
        <f>SOFR3mo_PX[[#This Row],[Column1678]]</f>
        <v>97.635000000000005</v>
      </c>
      <c r="BLO20">
        <f>SOFR3mo_PX[[#This Row],[Column1679]]</f>
        <v>97.665000000000006</v>
      </c>
      <c r="BLP20">
        <f>SOFR3mo_PX[[#This Row],[Column1680]]</f>
        <v>97.69</v>
      </c>
      <c r="BLQ20">
        <f>SOFR3mo_PX[[#This Row],[Column1681]]</f>
        <v>97.68</v>
      </c>
      <c r="BLR20">
        <f>SOFR3mo_PX[[#This Row],[Column1682]]</f>
        <v>97.685000000000002</v>
      </c>
      <c r="BLS20">
        <f>SOFR3mo_PX[[#This Row],[Column1683]]</f>
        <v>97.67</v>
      </c>
      <c r="BLT20">
        <f>SOFR3mo_PX[[#This Row],[Column1684]]</f>
        <v>97.674999999999997</v>
      </c>
      <c r="BLU20">
        <f>SOFR3mo_PX[[#This Row],[Column1685]]</f>
        <v>97.665000000000006</v>
      </c>
      <c r="BLV20">
        <f>SOFR3mo_PX[[#This Row],[Column1686]]</f>
        <v>97.734999999999999</v>
      </c>
      <c r="BLW20">
        <f>SOFR3mo_PX[[#This Row],[Column1687]]</f>
        <v>97.78</v>
      </c>
      <c r="BLX20">
        <f>SOFR3mo_PX[[#This Row],[Column1688]]</f>
        <v>97.844999999999999</v>
      </c>
      <c r="BLY20">
        <f>SOFR3mo_PX[[#This Row],[Column1689]]</f>
        <v>97.66</v>
      </c>
      <c r="BLZ20">
        <f>SOFR3mo_PX[[#This Row],[Column1690]]</f>
        <v>97.67</v>
      </c>
      <c r="BMA20">
        <f>SOFR3mo_PX[[#This Row],[Column1691]]</f>
        <v>97.67</v>
      </c>
      <c r="BMB20">
        <f>SOFR3mo_PX[[#This Row],[Column1692]]</f>
        <v>97.665000000000006</v>
      </c>
      <c r="BMC20">
        <f>SOFR3mo_PX[[#This Row],[Column1693]]</f>
        <v>97.655000000000001</v>
      </c>
      <c r="BMD20">
        <f>SOFR3mo_PX[[#This Row],[Column1694]]</f>
        <v>97.6</v>
      </c>
      <c r="BME20">
        <f>SOFR3mo_PX[[#This Row],[Column1695]]</f>
        <v>97.575000000000003</v>
      </c>
      <c r="BMF20">
        <f>SOFR3mo_PX[[#This Row],[Column1696]]</f>
        <v>97.575000000000003</v>
      </c>
      <c r="BMG20">
        <f>SOFR3mo_PX[[#This Row],[Column1697]]</f>
        <v>97.515000000000001</v>
      </c>
      <c r="BMH20">
        <f>SOFR3mo_PX[[#This Row],[Column1698]]</f>
        <v>97.48</v>
      </c>
      <c r="BMI20">
        <f>SOFR3mo_PX[[#This Row],[Column1699]]</f>
        <v>97.47</v>
      </c>
      <c r="BMJ20">
        <f>SOFR3mo_PX[[#This Row],[Column1700]]</f>
        <v>97.47</v>
      </c>
      <c r="BMK20">
        <f>SOFR3mo_PX[[#This Row],[Column1701]]</f>
        <v>97.42</v>
      </c>
      <c r="BML20">
        <f>SOFR3mo_PX[[#This Row],[Column1702]]</f>
        <v>97.385000000000005</v>
      </c>
      <c r="BMM20">
        <f>SOFR3mo_PX[[#This Row],[Column1703]]</f>
        <v>97.355000000000004</v>
      </c>
      <c r="BMN20">
        <f>SOFR3mo_PX[[#This Row],[Column1704]]</f>
        <v>97.36</v>
      </c>
      <c r="BMO20">
        <f>SOFR3mo_PX[[#This Row],[Column1705]]</f>
        <v>97.394999999999996</v>
      </c>
      <c r="BMP20">
        <f>SOFR3mo_PX[[#This Row],[Column1706]]</f>
        <v>97.435000000000002</v>
      </c>
      <c r="BMQ20">
        <f>SOFR3mo_PX[[#This Row],[Column1707]]</f>
        <v>97.4</v>
      </c>
      <c r="BMR20">
        <f>SOFR3mo_PX[[#This Row],[Column1708]]</f>
        <v>97.36</v>
      </c>
      <c r="BMS20">
        <f>SOFR3mo_PX[[#This Row],[Column1709]]</f>
        <v>97.254999999999995</v>
      </c>
      <c r="BMT20">
        <f>SOFR3mo_PX[[#This Row],[Column1710]]</f>
        <v>97.254999999999995</v>
      </c>
      <c r="BMU20">
        <f>SOFR3mo_PX[[#This Row],[Column1711]]</f>
        <v>97.224999999999994</v>
      </c>
      <c r="BMV20">
        <f>SOFR3mo_PX[[#This Row],[Column1712]]</f>
        <v>97.245000000000005</v>
      </c>
      <c r="BMW20">
        <f>SOFR3mo_PX[[#This Row],[Column1713]]</f>
        <v>97.24</v>
      </c>
      <c r="BMX20">
        <f>SOFR3mo_PX[[#This Row],[Column1714]]</f>
        <v>97.234999999999999</v>
      </c>
      <c r="BMY20">
        <f>SOFR3mo_PX[[#This Row],[Column1715]]</f>
        <v>97.2</v>
      </c>
      <c r="BMZ20">
        <f>SOFR3mo_PX[[#This Row],[Column1716]]</f>
        <v>97.185000000000002</v>
      </c>
      <c r="BNA20">
        <f>SOFR3mo_PX[[#This Row],[Column1717]]</f>
        <v>97.194999999999993</v>
      </c>
      <c r="BNB20">
        <f>SOFR3mo_PX[[#This Row],[Column1718]]</f>
        <v>97.194999999999993</v>
      </c>
      <c r="BNC20">
        <f>SOFR3mo_PX[[#This Row],[Column1719]]</f>
        <v>97.194999999999993</v>
      </c>
      <c r="BND20">
        <f>SOFR3mo_PX[[#This Row],[Column1720]]</f>
        <v>97.204999999999998</v>
      </c>
      <c r="BNE20">
        <f>SOFR3mo_PX[[#This Row],[Column1721]]</f>
        <v>97.21</v>
      </c>
      <c r="BNF20">
        <f>SOFR3mo_PX[[#This Row],[Column1722]]</f>
        <v>97.174999999999997</v>
      </c>
      <c r="BNG20">
        <f>SOFR3mo_PX[[#This Row],[Column1723]]</f>
        <v>97.125</v>
      </c>
      <c r="BNH20">
        <f>SOFR3mo_PX[[#This Row],[Column1724]]</f>
        <v>97.114999999999995</v>
      </c>
      <c r="BNI20">
        <f>SOFR3mo_PX[[#This Row],[Column1725]]</f>
        <v>97.06</v>
      </c>
      <c r="BNJ20">
        <f>SOFR3mo_PX[[#This Row],[Column1726]]</f>
        <v>97.04</v>
      </c>
      <c r="BNK20">
        <f>SOFR3mo_PX[[#This Row],[Column1727]]</f>
        <v>97.02</v>
      </c>
      <c r="BNL20">
        <f>SOFR3mo_PX[[#This Row],[Column1728]]</f>
        <v>97.004999999999995</v>
      </c>
      <c r="BNM20">
        <f>SOFR3mo_PX[[#This Row],[Column1729]]</f>
        <v>97.04</v>
      </c>
      <c r="BNN20">
        <f>SOFR3mo_PX[[#This Row],[Column1730]]</f>
        <v>97.05</v>
      </c>
      <c r="BNO20">
        <f>SOFR3mo_PX[[#This Row],[Column1731]]</f>
        <v>97.06</v>
      </c>
      <c r="BNP20">
        <f>SOFR3mo_PX[[#This Row],[Column1732]]</f>
        <v>97.064999999999998</v>
      </c>
      <c r="BNQ20">
        <f>SOFR3mo_PX[[#This Row],[Column1733]]</f>
        <v>97.105000000000004</v>
      </c>
      <c r="BNR20">
        <f>SOFR3mo_PX[[#This Row],[Column1734]]</f>
        <v>97.094999999999999</v>
      </c>
      <c r="BNS20">
        <f>SOFR3mo_PX[[#This Row],[Column1735]]</f>
        <v>97.125</v>
      </c>
      <c r="BNT20">
        <f>SOFR3mo_PX[[#This Row],[Column1736]]</f>
        <v>97.125</v>
      </c>
      <c r="BNU20">
        <f>SOFR3mo_PX[[#This Row],[Column1737]]</f>
        <v>97.13</v>
      </c>
      <c r="BNV20">
        <f>SOFR3mo_PX[[#This Row],[Column1738]]</f>
        <v>97.06</v>
      </c>
      <c r="BNW20">
        <f>SOFR3mo_PX[[#This Row],[Column1739]]</f>
        <v>97.06</v>
      </c>
      <c r="BNX20">
        <f>SOFR3mo_PX[[#This Row],[Column1740]]</f>
        <v>97.03</v>
      </c>
      <c r="BNY20">
        <f>SOFR3mo_PX[[#This Row],[Column1741]]</f>
        <v>96.995000000000005</v>
      </c>
      <c r="BNZ20">
        <f>SOFR3mo_PX[[#This Row],[Column1742]]</f>
        <v>96.99</v>
      </c>
      <c r="BOA20">
        <f>SOFR3mo_PX[[#This Row],[Column1743]]</f>
        <v>97.01</v>
      </c>
      <c r="BOB20">
        <f>SOFR3mo_PX[[#This Row],[Column1744]]</f>
        <v>97</v>
      </c>
      <c r="BOC20">
        <f>SOFR3mo_PX[[#This Row],[Column1745]]</f>
        <v>97</v>
      </c>
      <c r="BOD20">
        <f>SOFR3mo_PX[[#This Row],[Column1746]]</f>
        <v>97.004999999999995</v>
      </c>
      <c r="BOE20">
        <f>SOFR3mo_PX[[#This Row],[Column1747]]</f>
        <v>97.015000000000001</v>
      </c>
      <c r="BOF20">
        <f>SOFR3mo_PX[[#This Row],[Column1748]]</f>
        <v>96.995000000000005</v>
      </c>
      <c r="BOG20">
        <f>SOFR3mo_PX[[#This Row],[Column1749]]</f>
        <v>96.944999999999993</v>
      </c>
      <c r="BOH20">
        <f>SOFR3mo_PX[[#This Row],[Column1750]]</f>
        <v>96.935000000000002</v>
      </c>
      <c r="BOI20">
        <f>SOFR3mo_PX[[#This Row],[Column1751]]</f>
        <v>96.94</v>
      </c>
      <c r="BOJ20">
        <f>SOFR3mo_PX[[#This Row],[Column1752]]</f>
        <v>96.944999999999993</v>
      </c>
      <c r="BOK20">
        <f>SOFR3mo_PX[[#This Row],[Column1753]]</f>
        <v>96.97</v>
      </c>
      <c r="BOL20">
        <f>SOFR3mo_PX[[#This Row],[Column1754]]</f>
        <v>97.004999999999995</v>
      </c>
      <c r="BOM20">
        <f>SOFR3mo_PX[[#This Row],[Column1755]]</f>
        <v>97.055000000000007</v>
      </c>
      <c r="BON20">
        <f>SOFR3mo_PX[[#This Row],[Column1756]]</f>
        <v>97.045000000000002</v>
      </c>
      <c r="BOO20">
        <f>SOFR3mo_PX[[#This Row],[Column1757]]</f>
        <v>97.045000000000002</v>
      </c>
      <c r="BOP20">
        <f>SOFR3mo_PX[[#This Row],[Column1758]]</f>
        <v>97.025000000000006</v>
      </c>
      <c r="BOQ20">
        <f>SOFR3mo_PX[[#This Row],[Column1759]]</f>
        <v>97.025000000000006</v>
      </c>
      <c r="BOR20">
        <f>SOFR3mo_PX[[#This Row],[Column1760]]</f>
        <v>97.015000000000001</v>
      </c>
      <c r="BOS20">
        <f>SOFR3mo_PX[[#This Row],[Column1761]]</f>
        <v>97.03</v>
      </c>
      <c r="BOT20">
        <f>SOFR3mo_PX[[#This Row],[Column1762]]</f>
        <v>97.034999999999997</v>
      </c>
      <c r="BOU20">
        <f>SOFR3mo_PX[[#This Row],[Column1763]]</f>
        <v>97.025000000000006</v>
      </c>
      <c r="BOV20">
        <f>SOFR3mo_PX[[#This Row],[Column1764]]</f>
        <v>97.045000000000002</v>
      </c>
      <c r="BOW20">
        <f>SOFR3mo_PX[[#This Row],[Column1765]]</f>
        <v>97.084999999999994</v>
      </c>
      <c r="BOX20">
        <f>SOFR3mo_PX[[#This Row],[Column1766]]</f>
        <v>97.114999999999995</v>
      </c>
      <c r="BOY20">
        <f>SOFR3mo_PX[[#This Row],[Column1767]]</f>
        <v>97.114999999999995</v>
      </c>
      <c r="BOZ20">
        <f>SOFR3mo_PX[[#This Row],[Column1768]]</f>
        <v>97.15</v>
      </c>
      <c r="BPA20">
        <f>SOFR3mo_PX[[#This Row],[Column1769]]</f>
        <v>97.174999999999997</v>
      </c>
      <c r="BPB20">
        <f>SOFR3mo_PX[[#This Row],[Column1770]]</f>
        <v>97.174999999999997</v>
      </c>
      <c r="BPC20">
        <f>SOFR3mo_PX[[#This Row],[Column1771]]</f>
        <v>97.224999999999994</v>
      </c>
      <c r="BPD20">
        <f>SOFR3mo_PX[[#This Row],[Column1772]]</f>
        <v>97.224999999999994</v>
      </c>
      <c r="BPE20">
        <f>SOFR3mo_PX[[#This Row],[Column1773]]</f>
        <v>97.284999999999997</v>
      </c>
      <c r="BPF20">
        <f>SOFR3mo_PX[[#This Row],[Column1774]]</f>
        <v>97.27</v>
      </c>
      <c r="BPG20">
        <f>SOFR3mo_PX[[#This Row],[Column1775]]</f>
        <v>97.275000000000006</v>
      </c>
      <c r="BPH20">
        <f>SOFR3mo_PX[[#This Row],[Column1776]]</f>
        <v>97.295000000000002</v>
      </c>
      <c r="BPI20">
        <f>SOFR3mo_PX[[#This Row],[Column1777]]</f>
        <v>97.295000000000002</v>
      </c>
      <c r="BPJ20">
        <f>SOFR3mo_PX[[#This Row],[Column1778]]</f>
        <v>97.26</v>
      </c>
      <c r="BPK20">
        <f>SOFR3mo_PX[[#This Row],[Column1779]]</f>
        <v>97.25</v>
      </c>
      <c r="BPL20">
        <f>SOFR3mo_PX[[#This Row],[Column1780]]</f>
        <v>97.265000000000001</v>
      </c>
      <c r="BPM20">
        <f>SOFR3mo_PX[[#This Row],[Column1781]]</f>
        <v>97.28</v>
      </c>
      <c r="BPN20">
        <f>SOFR3mo_PX[[#This Row],[Column1782]]</f>
        <v>97.3</v>
      </c>
      <c r="BPO20">
        <f>SOFR3mo_PX[[#This Row],[Column1783]]</f>
        <v>97.3</v>
      </c>
      <c r="BPP20">
        <f>SOFR3mo_PX[[#This Row],[Column1784]]</f>
        <v>97.32</v>
      </c>
      <c r="BPQ20">
        <f>SOFR3mo_PX[[#This Row],[Column1785]]</f>
        <v>97.31</v>
      </c>
      <c r="BPR20">
        <f>SOFR3mo_PX[[#This Row],[Column1786]]</f>
        <v>97.32</v>
      </c>
      <c r="BPS20">
        <f>SOFR3mo_PX[[#This Row],[Column1787]]</f>
        <v>97.295000000000002</v>
      </c>
      <c r="BPT20">
        <f>SOFR3mo_PX[[#This Row],[Column1788]]</f>
        <v>97.29</v>
      </c>
      <c r="BPU20">
        <f>SOFR3mo_PX[[#This Row],[Column1789]]</f>
        <v>97.31</v>
      </c>
      <c r="BPV20">
        <f>SOFR3mo_PX[[#This Row],[Column1790]]</f>
        <v>97.275000000000006</v>
      </c>
      <c r="BPW20">
        <f>SOFR3mo_PX[[#This Row],[Column1791]]</f>
        <v>97.3</v>
      </c>
      <c r="BPX20">
        <f>SOFR3mo_PX[[#This Row],[Column1792]]</f>
        <v>97.305000000000007</v>
      </c>
      <c r="BPY20">
        <f>SOFR3mo_PX[[#This Row],[Column1793]]</f>
        <v>97.24</v>
      </c>
      <c r="BPZ20">
        <f>SOFR3mo_PX[[#This Row],[Column1794]]</f>
        <v>97.224999999999994</v>
      </c>
      <c r="BQA20">
        <f>SOFR3mo_PX[[#This Row],[Column1795]]</f>
        <v>97.22</v>
      </c>
      <c r="BQB20">
        <f>SOFR3mo_PX[[#This Row],[Column1796]]</f>
        <v>97.224999999999994</v>
      </c>
      <c r="BQC20">
        <f>SOFR3mo_PX[[#This Row],[Column1797]]</f>
        <v>97.215000000000003</v>
      </c>
      <c r="BQD20">
        <f>SOFR3mo_PX[[#This Row],[Column1798]]</f>
        <v>97.204999999999998</v>
      </c>
      <c r="BQE20">
        <f>SOFR3mo_PX[[#This Row],[Column1799]]</f>
        <v>97.215000000000003</v>
      </c>
      <c r="BQF20">
        <f>SOFR3mo_PX[[#This Row],[Column1800]]</f>
        <v>97.22</v>
      </c>
      <c r="BQG20">
        <f>SOFR3mo_PX[[#This Row],[Column1801]]</f>
        <v>97.22</v>
      </c>
      <c r="BQH20">
        <f>SOFR3mo_PX[[#This Row],[Column1802]]</f>
        <v>97.21</v>
      </c>
      <c r="BQI20">
        <f>SOFR3mo_PX[[#This Row],[Column1803]]</f>
        <v>97.204999999999998</v>
      </c>
      <c r="BQJ20">
        <f>SOFR3mo_PX[[#This Row],[Column1804]]</f>
        <v>97.25</v>
      </c>
      <c r="BQK20">
        <f>SOFR3mo_PX[[#This Row],[Column1805]]</f>
        <v>97.25</v>
      </c>
      <c r="BQL20">
        <f>SOFR3mo_PX[[#This Row],[Column1806]]</f>
        <v>97.26</v>
      </c>
      <c r="BQM20">
        <f>SOFR3mo_PX[[#This Row],[Column1807]]</f>
        <v>97.295000000000002</v>
      </c>
      <c r="BQN20">
        <f>SOFR3mo_PX[[#This Row],[Column1808]]</f>
        <v>97.3</v>
      </c>
      <c r="BQO20">
        <f>SOFR3mo_PX[[#This Row],[Column1809]]</f>
        <v>97.284999999999997</v>
      </c>
      <c r="BQP20">
        <f>SOFR3mo_PX[[#This Row],[Column1810]]</f>
        <v>97.29</v>
      </c>
      <c r="BQQ20">
        <f>SOFR3mo_PX[[#This Row],[Column1811]]</f>
        <v>97.314999999999998</v>
      </c>
      <c r="BQR20">
        <f>SOFR3mo_PX[[#This Row],[Column1812]]</f>
        <v>97.325000000000003</v>
      </c>
      <c r="BQS20">
        <f>SOFR3mo_PX[[#This Row],[Column1813]]</f>
        <v>97.31</v>
      </c>
      <c r="BQT20">
        <f>SOFR3mo_PX[[#This Row],[Column1814]]</f>
        <v>97.314999999999998</v>
      </c>
      <c r="BQU20">
        <f>SOFR3mo_PX[[#This Row],[Column1815]]</f>
        <v>97.31</v>
      </c>
      <c r="BQV20">
        <f>SOFR3mo_PX[[#This Row],[Column1816]]</f>
        <v>97.32</v>
      </c>
      <c r="BQW20">
        <f>SOFR3mo_PX[[#This Row],[Column1817]]</f>
        <v>97.33</v>
      </c>
      <c r="BQX20">
        <f>SOFR3mo_PX[[#This Row],[Column1818]]</f>
        <v>97.31</v>
      </c>
      <c r="BQY20">
        <f>SOFR3mo_PX[[#This Row],[Column1819]]</f>
        <v>97.325000000000003</v>
      </c>
      <c r="BQZ20">
        <f>SOFR3mo_PX[[#This Row],[Column1820]]</f>
        <v>97.325000000000003</v>
      </c>
      <c r="BRA20">
        <f>SOFR3mo_PX[[#This Row],[Column1821]]</f>
        <v>97.32</v>
      </c>
      <c r="BRB20">
        <f>SOFR3mo_PX[[#This Row],[Column1822]]</f>
        <v>97.32</v>
      </c>
      <c r="BRC20">
        <f>SOFR3mo_PX[[#This Row],[Column1823]]</f>
        <v>97.325000000000003</v>
      </c>
      <c r="BRD20">
        <f>SOFR3mo_PX[[#This Row],[Column1824]]</f>
        <v>97.32</v>
      </c>
      <c r="BRE20">
        <f>SOFR3mo_PX[[#This Row],[Column1825]]</f>
        <v>97.275000000000006</v>
      </c>
      <c r="BRF20">
        <f>SOFR3mo_PX[[#This Row],[Column1826]]</f>
        <v>97.26</v>
      </c>
      <c r="BRG20">
        <f>SOFR3mo_PX[[#This Row],[Column1827]]</f>
        <v>97.23</v>
      </c>
      <c r="BRH20">
        <f>SOFR3mo_PX[[#This Row],[Column1828]]</f>
        <v>97.23</v>
      </c>
      <c r="BRI20">
        <f>SOFR3mo_PX[[#This Row],[Column1829]]</f>
        <v>97.22</v>
      </c>
      <c r="BRJ20">
        <f>SOFR3mo_PX[[#This Row],[Column1830]]</f>
        <v>97.224999999999994</v>
      </c>
      <c r="BRK20">
        <f>SOFR3mo_PX[[#This Row],[Column1831]]</f>
        <v>97.194999999999993</v>
      </c>
      <c r="BRL20">
        <f>SOFR3mo_PX[[#This Row],[Column1832]]</f>
        <v>97.204999999999998</v>
      </c>
      <c r="BRM20">
        <f>SOFR3mo_PX[[#This Row],[Column1833]]</f>
        <v>97.19</v>
      </c>
      <c r="BRN20">
        <f>SOFR3mo_PX[[#This Row],[Column1834]]</f>
        <v>97.19</v>
      </c>
      <c r="BRO20">
        <f>SOFR3mo_PX[[#This Row],[Column1835]]</f>
        <v>97.224999999999994</v>
      </c>
      <c r="BRP20">
        <f>SOFR3mo_PX[[#This Row],[Column1836]]</f>
        <v>97.24</v>
      </c>
      <c r="BRQ20">
        <f>SOFR3mo_PX[[#This Row],[Column1837]]</f>
        <v>97.25</v>
      </c>
      <c r="BRR20">
        <f>SOFR3mo_PX[[#This Row],[Column1838]]</f>
        <v>97.215000000000003</v>
      </c>
      <c r="BRS20">
        <f>SOFR3mo_PX[[#This Row],[Column1839]]</f>
        <v>97.204999999999998</v>
      </c>
      <c r="BRT20">
        <f>SOFR3mo_PX[[#This Row],[Column1840]]</f>
        <v>97.245000000000005</v>
      </c>
      <c r="BRU20">
        <f>SOFR3mo_PX[[#This Row],[Column1841]]</f>
        <v>97.224999999999994</v>
      </c>
      <c r="BRV20">
        <f>SOFR3mo_PX[[#This Row],[Column1842]]</f>
        <v>97.265000000000001</v>
      </c>
      <c r="BRW20">
        <f>SOFR3mo_PX[[#This Row],[Column1843]]</f>
        <v>97.334999999999994</v>
      </c>
      <c r="BRX20">
        <f>SOFR3mo_PX[[#This Row],[Column1844]]</f>
        <v>97.33</v>
      </c>
      <c r="BRY20">
        <f>SOFR3mo_PX[[#This Row],[Column1845]]</f>
        <v>97.424999999999997</v>
      </c>
      <c r="BRZ20">
        <f>SOFR3mo_PX[[#This Row],[Column1846]]</f>
        <v>97.21</v>
      </c>
      <c r="BSA20">
        <f>SOFR3mo_PX[[#This Row],[Column1847]]</f>
        <v>97.21</v>
      </c>
      <c r="BSB20">
        <f>SOFR3mo_PX[[#This Row],[Column1848]]</f>
        <v>97.18</v>
      </c>
      <c r="BSC20">
        <f>SOFR3mo_PX[[#This Row],[Column1849]]</f>
        <v>97.15</v>
      </c>
      <c r="BSD20">
        <f>SOFR3mo_PX[[#This Row],[Column1850]]</f>
        <v>97.1</v>
      </c>
      <c r="BSE20">
        <f>SOFR3mo_PX[[#This Row],[Column1851]]</f>
        <v>97.09</v>
      </c>
      <c r="BSF20">
        <f>SOFR3mo_PX[[#This Row],[Column1852]]</f>
        <v>97.105000000000004</v>
      </c>
      <c r="BSG20">
        <f>SOFR3mo_PX[[#This Row],[Column1853]]</f>
        <v>97.08</v>
      </c>
      <c r="BSH20">
        <f>SOFR3mo_PX[[#This Row],[Column1854]]</f>
        <v>97.094999999999999</v>
      </c>
      <c r="BSI20">
        <f>SOFR3mo_PX[[#This Row],[Column1855]]</f>
        <v>97.105000000000004</v>
      </c>
      <c r="BSJ20">
        <f>SOFR3mo_PX[[#This Row],[Column1856]]</f>
        <v>97.135000000000005</v>
      </c>
      <c r="BSK20">
        <f>SOFR3mo_PX[[#This Row],[Column1857]]</f>
        <v>97.14</v>
      </c>
      <c r="BSL20">
        <f>SOFR3mo_PX[[#This Row],[Column1858]]</f>
        <v>97.155000000000001</v>
      </c>
      <c r="BSM20">
        <f>SOFR3mo_PX[[#This Row],[Column1859]]</f>
        <v>97.174999999999997</v>
      </c>
      <c r="BSN20">
        <f>SOFR3mo_PX[[#This Row],[Column1860]]</f>
        <v>97.2</v>
      </c>
      <c r="BSO20">
        <f>SOFR3mo_PX[[#This Row],[Column1861]]</f>
        <v>97.21</v>
      </c>
      <c r="BSP20">
        <f>SOFR3mo_PX[[#This Row],[Column1862]]</f>
        <v>97.234999999999999</v>
      </c>
      <c r="BSQ20" t="str">
        <f>SOFR3mo_PX[[#This Row],[Column1863]]</f>
        <v>#N/A N/A</v>
      </c>
      <c r="BSR20" t="str">
        <f>SOFR3mo_PX[[#This Row],[Column1864]]</f>
        <v>#N/A N/A</v>
      </c>
      <c r="BSS20" t="str">
        <f>SOFR3mo_PX[[#This Row],[Column1865]]</f>
        <v>#N/A N/A</v>
      </c>
      <c r="BST20" t="str">
        <f>SOFR3mo_PX[[#This Row],[Column1866]]</f>
        <v>#N/A N/A</v>
      </c>
      <c r="BSU20" t="str">
        <f>SOFR3mo_PX[[#This Row],[Column1867]]</f>
        <v>#N/A N/A</v>
      </c>
      <c r="BSV20" t="str">
        <f>SOFR3mo_PX[[#This Row],[Column1868]]</f>
        <v>#N/A N/A</v>
      </c>
      <c r="BSW20" t="str">
        <f>SOFR3mo_PX[[#This Row],[Column1869]]</f>
        <v>#N/A N/A</v>
      </c>
      <c r="BSX20" t="str">
        <f>SOFR3mo_PX[[#This Row],[Column1870]]</f>
        <v>#N/A N/A</v>
      </c>
      <c r="BSY20" t="str">
        <f>SOFR3mo_PX[[#This Row],[Column1871]]</f>
        <v>#N/A N/A</v>
      </c>
      <c r="BSZ20" t="str">
        <f>SOFR3mo_PX[[#This Row],[Column1872]]</f>
        <v>#N/A N/A</v>
      </c>
      <c r="BTA20" t="str">
        <f>SOFR3mo_PX[[#This Row],[Column1873]]</f>
        <v>#N/A N/A</v>
      </c>
      <c r="BTB20" t="str">
        <f>SOFR3mo_PX[[#This Row],[Column1874]]</f>
        <v>#N/A N/A</v>
      </c>
      <c r="BTC20" t="str">
        <f>SOFR3mo_PX[[#This Row],[Column1875]]</f>
        <v>#N/A N/A</v>
      </c>
      <c r="BTD20" t="str">
        <f>SOFR3mo_PX[[#This Row],[Column1876]]</f>
        <v>#N/A N/A</v>
      </c>
      <c r="BTE20" t="str">
        <f>SOFR3mo_PX[[#This Row],[Column1877]]</f>
        <v>#N/A N/A</v>
      </c>
      <c r="BTF20" t="str">
        <f>SOFR3mo_PX[[#This Row],[Column1878]]</f>
        <v>#N/A N/A</v>
      </c>
      <c r="BTG20" t="str">
        <f>SOFR3mo_PX[[#This Row],[Column1879]]</f>
        <v>#N/A N/A</v>
      </c>
      <c r="BTH20" t="str">
        <f>SOFR3mo_PX[[#This Row],[Column1880]]</f>
        <v>#N/A N/A</v>
      </c>
      <c r="BTI20" t="str">
        <f>SOFR3mo_PX[[#This Row],[Column1881]]</f>
        <v>#N/A N/A</v>
      </c>
      <c r="BTJ20" t="str">
        <f>SOFR3mo_PX[[#This Row],[Column1882]]</f>
        <v>#N/A N/A</v>
      </c>
      <c r="BTK20" t="str">
        <f>SOFR3mo_PX[[#This Row],[Column1883]]</f>
        <v>#N/A N/A</v>
      </c>
      <c r="BTL20" t="str">
        <f>SOFR3mo_PX[[#This Row],[Column1884]]</f>
        <v>#N/A N/A</v>
      </c>
      <c r="BTM20" t="str">
        <f>SOFR3mo_PX[[#This Row],[Column1885]]</f>
        <v>#N/A N/A</v>
      </c>
      <c r="BTN20" t="str">
        <f>SOFR3mo_PX[[#This Row],[Column1886]]</f>
        <v>#N/A N/A</v>
      </c>
      <c r="BTO20" t="str">
        <f>SOFR3mo_PX[[#This Row],[Column1887]]</f>
        <v>#N/A N/A</v>
      </c>
      <c r="BTP20" t="str">
        <f>SOFR3mo_PX[[#This Row],[Column1888]]</f>
        <v>#N/A N/A</v>
      </c>
      <c r="BTQ20" t="str">
        <f>SOFR3mo_PX[[#This Row],[Column1889]]</f>
        <v>#N/A N/A</v>
      </c>
      <c r="BTR20" t="str">
        <f>SOFR3mo_PX[[#This Row],[Column1890]]</f>
        <v>#N/A N/A</v>
      </c>
      <c r="BTS20" t="str">
        <f>SOFR3mo_PX[[#This Row],[Column1891]]</f>
        <v>#N/A N/A</v>
      </c>
      <c r="BTT20" t="str">
        <f>SOFR3mo_PX[[#This Row],[Column1892]]</f>
        <v>#N/A N/A</v>
      </c>
      <c r="BTU20" t="str">
        <f>SOFR3mo_PX[[#This Row],[Column1893]]</f>
        <v>#N/A N/A</v>
      </c>
      <c r="BTV20" t="str">
        <f>SOFR3mo_PX[[#This Row],[Column1894]]</f>
        <v>#N/A N/A</v>
      </c>
      <c r="BTW20" t="str">
        <f>SOFR3mo_PX[[#This Row],[Column1895]]</f>
        <v>#N/A N/A</v>
      </c>
      <c r="BTX20" t="str">
        <f>SOFR3mo_PX[[#This Row],[Column1896]]</f>
        <v>#N/A N/A</v>
      </c>
      <c r="BTY20" t="str">
        <f>SOFR3mo_PX[[#This Row],[Column1897]]</f>
        <v>#N/A N/A</v>
      </c>
      <c r="BTZ20" t="str">
        <f>SOFR3mo_PX[[#This Row],[Column1898]]</f>
        <v>#N/A N/A</v>
      </c>
      <c r="BUA20" t="str">
        <f>SOFR3mo_PX[[#This Row],[Column1899]]</f>
        <v>#N/A N/A</v>
      </c>
      <c r="BUB20" t="str">
        <f>SOFR3mo_PX[[#This Row],[Column1900]]</f>
        <v>#N/A N/A</v>
      </c>
      <c r="BUC20" t="str">
        <f>SOFR3mo_PX[[#This Row],[Column1901]]</f>
        <v>#N/A N/A</v>
      </c>
      <c r="BUD20" t="str">
        <f>SOFR3mo_PX[[#This Row],[Column1902]]</f>
        <v>#N/A N/A</v>
      </c>
      <c r="BUE20" t="str">
        <f>SOFR3mo_PX[[#This Row],[Column1903]]</f>
        <v>#N/A N/A</v>
      </c>
      <c r="BUF20" t="str">
        <f>SOFR3mo_PX[[#This Row],[Column1904]]</f>
        <v>#N/A N/A</v>
      </c>
      <c r="BUG20" t="str">
        <f>SOFR3mo_PX[[#This Row],[Column1905]]</f>
        <v>#N/A N/A</v>
      </c>
      <c r="BUH20" t="str">
        <f>SOFR3mo_PX[[#This Row],[Column1906]]</f>
        <v>#N/A N/A</v>
      </c>
      <c r="BUI20" t="str">
        <f>SOFR3mo_PX[[#This Row],[Column1907]]</f>
        <v>#N/A N/A</v>
      </c>
      <c r="BUJ20" t="str">
        <f>SOFR3mo_PX[[#This Row],[Column1908]]</f>
        <v>#N/A N/A</v>
      </c>
      <c r="BUK20" t="str">
        <f>SOFR3mo_PX[[#This Row],[Column1909]]</f>
        <v>#N/A N/A</v>
      </c>
      <c r="BUL20" t="str">
        <f>SOFR3mo_PX[[#This Row],[Column1910]]</f>
        <v>#N/A N/A</v>
      </c>
      <c r="BUM20" t="str">
        <f>SOFR3mo_PX[[#This Row],[Column1911]]</f>
        <v>#N/A N/A</v>
      </c>
      <c r="BUN20" t="str">
        <f>SOFR3mo_PX[[#This Row],[Column1912]]</f>
        <v>#N/A N/A</v>
      </c>
      <c r="BUO20" t="str">
        <f>SOFR3mo_PX[[#This Row],[Column1913]]</f>
        <v>#N/A N/A</v>
      </c>
      <c r="BUP20" t="str">
        <f>SOFR3mo_PX[[#This Row],[Column1914]]</f>
        <v>#N/A N/A</v>
      </c>
      <c r="BUQ20" t="str">
        <f>SOFR3mo_PX[[#This Row],[Column1915]]</f>
        <v>#N/A N/A</v>
      </c>
      <c r="BUR20" t="str">
        <f>SOFR3mo_PX[[#This Row],[Column1916]]</f>
        <v>#N/A N/A</v>
      </c>
      <c r="BUS20" t="str">
        <f>SOFR3mo_PX[[#This Row],[Column1917]]</f>
        <v>#N/A N/A</v>
      </c>
      <c r="BUT20" t="str">
        <f>SOFR3mo_PX[[#This Row],[Column1918]]</f>
        <v>#N/A N/A</v>
      </c>
      <c r="BUU20" t="str">
        <f>SOFR3mo_PX[[#This Row],[Column1919]]</f>
        <v>#N/A N/A</v>
      </c>
      <c r="BUV20" t="str">
        <f>SOFR3mo_PX[[#This Row],[Column1920]]</f>
        <v>#N/A N/A</v>
      </c>
      <c r="BUW20" t="str">
        <f>SOFR3mo_PX[[#This Row],[Column1921]]</f>
        <v>#N/A N/A</v>
      </c>
      <c r="BUX20" t="str">
        <f>SOFR3mo_PX[[#This Row],[Column1922]]</f>
        <v>#N/A N/A</v>
      </c>
      <c r="BUY20" t="str">
        <f>SOFR3mo_PX[[#This Row],[Column1923]]</f>
        <v>#N/A N/A</v>
      </c>
      <c r="BUZ20" t="str">
        <f>SOFR3mo_PX[[#This Row],[Column1924]]</f>
        <v>#N/A N/A</v>
      </c>
      <c r="BVA20" t="str">
        <f>SOFR3mo_PX[[#This Row],[Column1925]]</f>
        <v>#N/A N/A</v>
      </c>
      <c r="BVB20" t="str">
        <f>SOFR3mo_PX[[#This Row],[Column1926]]</f>
        <v>#N/A N/A</v>
      </c>
      <c r="BVC20" t="str">
        <f>SOFR3mo_PX[[#This Row],[Column1927]]</f>
        <v>#N/A N/A</v>
      </c>
      <c r="BVD20" t="str">
        <f>SOFR3mo_PX[[#This Row],[Column1928]]</f>
        <v>#N/A N/A</v>
      </c>
      <c r="BVE20" t="str">
        <f>SOFR3mo_PX[[#This Row],[Column1929]]</f>
        <v>#N/A N/A</v>
      </c>
      <c r="BVF20" t="str">
        <f>SOFR3mo_PX[[#This Row],[Column1930]]</f>
        <v>#N/A N/A</v>
      </c>
      <c r="BVG20" t="str">
        <f>SOFR3mo_PX[[#This Row],[Column1931]]</f>
        <v>#N/A N/A</v>
      </c>
      <c r="BVH20" t="str">
        <f>SOFR3mo_PX[[#This Row],[Column1932]]</f>
        <v>#N/A N/A</v>
      </c>
      <c r="BVI20" t="str">
        <f>SOFR3mo_PX[[#This Row],[Column1933]]</f>
        <v>#N/A N/A</v>
      </c>
      <c r="BVJ20" t="str">
        <f>SOFR3mo_PX[[#This Row],[Column1934]]</f>
        <v>#N/A N/A</v>
      </c>
      <c r="BVK20" t="str">
        <f>SOFR3mo_PX[[#This Row],[Column1935]]</f>
        <v>#N/A N/A</v>
      </c>
      <c r="BVL20" t="str">
        <f>SOFR3mo_PX[[#This Row],[Column1936]]</f>
        <v>#N/A N/A</v>
      </c>
      <c r="BVM20" t="str">
        <f>SOFR3mo_PX[[#This Row],[Column1937]]</f>
        <v>#N/A N/A</v>
      </c>
      <c r="BVN20" t="str">
        <f>SOFR3mo_PX[[#This Row],[Column1938]]</f>
        <v>#N/A N/A</v>
      </c>
      <c r="BVO20" t="str">
        <f>SOFR3mo_PX[[#This Row],[Column1939]]</f>
        <v>#N/A N/A</v>
      </c>
      <c r="BVP20" t="str">
        <f>SOFR3mo_PX[[#This Row],[Column1940]]</f>
        <v>#N/A N/A</v>
      </c>
      <c r="BVQ20" t="str">
        <f>SOFR3mo_PX[[#This Row],[Column1941]]</f>
        <v>#N/A N/A</v>
      </c>
      <c r="BVR20" t="str">
        <f>SOFR3mo_PX[[#This Row],[Column1942]]</f>
        <v>#N/A N/A</v>
      </c>
      <c r="BVS20" t="str">
        <f>SOFR3mo_PX[[#This Row],[Column1943]]</f>
        <v>#N/A N/A</v>
      </c>
      <c r="BVT20" t="str">
        <f>SOFR3mo_PX[[#This Row],[Column1944]]</f>
        <v>#N/A N/A</v>
      </c>
      <c r="BVU20" t="str">
        <f>SOFR3mo_PX[[#This Row],[Column1945]]</f>
        <v>#N/A N/A</v>
      </c>
      <c r="BVV20" t="str">
        <f>SOFR3mo_PX[[#This Row],[Column1946]]</f>
        <v>#N/A N/A</v>
      </c>
      <c r="BVW20" t="str">
        <f>SOFR3mo_PX[[#This Row],[Column1947]]</f>
        <v>#N/A N/A</v>
      </c>
      <c r="BVX20" t="str">
        <f>SOFR3mo_PX[[#This Row],[Column1948]]</f>
        <v>#N/A N/A</v>
      </c>
      <c r="BVY20" t="str">
        <f>SOFR3mo_PX[[#This Row],[Column1949]]</f>
        <v>#N/A N/A</v>
      </c>
      <c r="BVZ20" t="str">
        <f>SOFR3mo_PX[[#This Row],[Column1950]]</f>
        <v>#N/A N/A</v>
      </c>
      <c r="BWA20" t="str">
        <f>SOFR3mo_PX[[#This Row],[Column1951]]</f>
        <v>#N/A N/A</v>
      </c>
      <c r="BWB20" t="str">
        <f>SOFR3mo_PX[[#This Row],[Column1952]]</f>
        <v>#N/A N/A</v>
      </c>
      <c r="BWC20" t="str">
        <f>SOFR3mo_PX[[#This Row],[Column1953]]</f>
        <v>#N/A N/A</v>
      </c>
      <c r="BWD20" t="str">
        <f>SOFR3mo_PX[[#This Row],[Column1954]]</f>
        <v>#N/A N/A</v>
      </c>
    </row>
    <row r="21" spans="1:1954" x14ac:dyDescent="0.25">
      <c r="A21" t="str">
        <f>SOFR3mo_PX[[#This Row],[Column1]]</f>
        <v>SFR19 Comdty</v>
      </c>
      <c r="B21">
        <f>IF(rtd!B19&lt;&gt;"",rtd!B19,SOFR3mo_PX[[#This Row],[Column2]])</f>
        <v>96.227499999999992</v>
      </c>
      <c r="C21">
        <f>SOFR3mo_PX[[#This Row],[Column3]]</f>
        <v>96.2</v>
      </c>
      <c r="D21">
        <f>SOFR3mo_PX[[#This Row],[Column4]]</f>
        <v>96.2</v>
      </c>
      <c r="E21">
        <f>SOFR3mo_PX[[#This Row],[Column5]]</f>
        <v>96.254999999999995</v>
      </c>
      <c r="F21">
        <f>SOFR3mo_PX[[#This Row],[Column6]]</f>
        <v>96.194999999999993</v>
      </c>
      <c r="G21">
        <f>SOFR3mo_PX[[#This Row],[Column7]]</f>
        <v>96.215000000000003</v>
      </c>
      <c r="H21">
        <f>SOFR3mo_PX[[#This Row],[Column8]]</f>
        <v>96.26</v>
      </c>
      <c r="I21">
        <f>SOFR3mo_PX[[#This Row],[Column9]]</f>
        <v>96.204999999999998</v>
      </c>
      <c r="J21">
        <f>SOFR3mo_PX[[#This Row],[Column10]]</f>
        <v>96.144999999999996</v>
      </c>
      <c r="K21">
        <f>SOFR3mo_PX[[#This Row],[Column11]]</f>
        <v>96.135000000000005</v>
      </c>
      <c r="L21">
        <f>SOFR3mo_PX[[#This Row],[Column12]]</f>
        <v>96.114999999999995</v>
      </c>
      <c r="M21">
        <f>SOFR3mo_PX[[#This Row],[Column13]]</f>
        <v>96.23</v>
      </c>
      <c r="N21">
        <f>SOFR3mo_PX[[#This Row],[Column14]]</f>
        <v>96.265000000000001</v>
      </c>
      <c r="O21">
        <f>SOFR3mo_PX[[#This Row],[Column15]]</f>
        <v>96.185000000000002</v>
      </c>
      <c r="P21">
        <f>SOFR3mo_PX[[#This Row],[Column16]]</f>
        <v>96.185000000000002</v>
      </c>
      <c r="Q21">
        <f>SOFR3mo_PX[[#This Row],[Column17]]</f>
        <v>96.24</v>
      </c>
      <c r="R21">
        <f>SOFR3mo_PX[[#This Row],[Column18]]</f>
        <v>96.22</v>
      </c>
      <c r="S21">
        <f>SOFR3mo_PX[[#This Row],[Column19]]</f>
        <v>96.185000000000002</v>
      </c>
      <c r="T21">
        <f>SOFR3mo_PX[[#This Row],[Column20]]</f>
        <v>96.23</v>
      </c>
      <c r="U21">
        <f>SOFR3mo_PX[[#This Row],[Column21]]</f>
        <v>96.144999999999996</v>
      </c>
      <c r="V21">
        <f>SOFR3mo_PX[[#This Row],[Column22]]</f>
        <v>96.144999999999996</v>
      </c>
      <c r="W21">
        <f>SOFR3mo_PX[[#This Row],[Column23]]</f>
        <v>96.09</v>
      </c>
      <c r="X21">
        <f>SOFR3mo_PX[[#This Row],[Column24]]</f>
        <v>96.03</v>
      </c>
      <c r="Y21">
        <f>SOFR3mo_PX[[#This Row],[Column25]]</f>
        <v>96.135000000000005</v>
      </c>
      <c r="Z21">
        <f>SOFR3mo_PX[[#This Row],[Column26]]</f>
        <v>96.125</v>
      </c>
      <c r="AA21">
        <f>SOFR3mo_PX[[#This Row],[Column27]]</f>
        <v>96.144999999999996</v>
      </c>
      <c r="AB21">
        <f>SOFR3mo_PX[[#This Row],[Column28]]</f>
        <v>96.125</v>
      </c>
      <c r="AC21">
        <f>SOFR3mo_PX[[#This Row],[Column29]]</f>
        <v>96.04</v>
      </c>
      <c r="AD21">
        <f>SOFR3mo_PX[[#This Row],[Column30]]</f>
        <v>96.08</v>
      </c>
      <c r="AE21">
        <f>SOFR3mo_PX[[#This Row],[Column31]]</f>
        <v>96.11</v>
      </c>
      <c r="AF21">
        <f>SOFR3mo_PX[[#This Row],[Column32]]</f>
        <v>96.194999999999993</v>
      </c>
      <c r="AG21">
        <f>SOFR3mo_PX[[#This Row],[Column33]]</f>
        <v>96.194999999999993</v>
      </c>
      <c r="AH21">
        <f>SOFR3mo_PX[[#This Row],[Column34]]</f>
        <v>96.305000000000007</v>
      </c>
      <c r="AI21">
        <f>SOFR3mo_PX[[#This Row],[Column35]]</f>
        <v>96.265000000000001</v>
      </c>
      <c r="AJ21">
        <f>SOFR3mo_PX[[#This Row],[Column36]]</f>
        <v>96.234999999999999</v>
      </c>
      <c r="AK21">
        <f>SOFR3mo_PX[[#This Row],[Column37]]</f>
        <v>96.254999999999995</v>
      </c>
      <c r="AL21">
        <f>SOFR3mo_PX[[#This Row],[Column38]]</f>
        <v>96.33</v>
      </c>
      <c r="AM21">
        <f>SOFR3mo_PX[[#This Row],[Column39]]</f>
        <v>96.37</v>
      </c>
      <c r="AN21">
        <f>SOFR3mo_PX[[#This Row],[Column40]]</f>
        <v>96.36</v>
      </c>
      <c r="AO21">
        <f>SOFR3mo_PX[[#This Row],[Column41]]</f>
        <v>96.305000000000007</v>
      </c>
      <c r="AP21">
        <f>SOFR3mo_PX[[#This Row],[Column42]]</f>
        <v>96.245000000000005</v>
      </c>
      <c r="AQ21">
        <f>SOFR3mo_PX[[#This Row],[Column43]]</f>
        <v>96.19</v>
      </c>
      <c r="AR21">
        <f>SOFR3mo_PX[[#This Row],[Column44]]</f>
        <v>96.114999999999995</v>
      </c>
      <c r="AS21">
        <f>SOFR3mo_PX[[#This Row],[Column45]]</f>
        <v>96.114999999999995</v>
      </c>
      <c r="AT21">
        <f>SOFR3mo_PX[[#This Row],[Column46]]</f>
        <v>96.105000000000004</v>
      </c>
      <c r="AU21">
        <f>SOFR3mo_PX[[#This Row],[Column47]]</f>
        <v>96.18</v>
      </c>
      <c r="AV21">
        <f>SOFR3mo_PX[[#This Row],[Column48]]</f>
        <v>96.18</v>
      </c>
      <c r="AW21">
        <f>SOFR3mo_PX[[#This Row],[Column49]]</f>
        <v>96.23</v>
      </c>
      <c r="AX21">
        <f>SOFR3mo_PX[[#This Row],[Column50]]</f>
        <v>96.17</v>
      </c>
      <c r="AY21">
        <f>SOFR3mo_PX[[#This Row],[Column51]]</f>
        <v>96.135000000000005</v>
      </c>
      <c r="AZ21">
        <f>SOFR3mo_PX[[#This Row],[Column52]]</f>
        <v>96.01</v>
      </c>
      <c r="BA21">
        <f>SOFR3mo_PX[[#This Row],[Column53]]</f>
        <v>96.155000000000001</v>
      </c>
      <c r="BB21">
        <f>SOFR3mo_PX[[#This Row],[Column54]]</f>
        <v>96.09</v>
      </c>
      <c r="BC21">
        <f>SOFR3mo_PX[[#This Row],[Column55]]</f>
        <v>96.27</v>
      </c>
      <c r="BD21">
        <f>SOFR3mo_PX[[#This Row],[Column56]]</f>
        <v>96.34</v>
      </c>
      <c r="BE21">
        <f>SOFR3mo_PX[[#This Row],[Column57]]</f>
        <v>96.504999999999995</v>
      </c>
      <c r="BF21">
        <f>SOFR3mo_PX[[#This Row],[Column58]]</f>
        <v>96.43</v>
      </c>
      <c r="BG21">
        <f>SOFR3mo_PX[[#This Row],[Column59]]</f>
        <v>96.25</v>
      </c>
      <c r="BH21">
        <f>SOFR3mo_PX[[#This Row],[Column60]]</f>
        <v>96.31</v>
      </c>
      <c r="BI21">
        <f>SOFR3mo_PX[[#This Row],[Column61]]</f>
        <v>96.21</v>
      </c>
      <c r="BJ21">
        <f>SOFR3mo_PX[[#This Row],[Column62]]</f>
        <v>96.19</v>
      </c>
      <c r="BK21">
        <f>SOFR3mo_PX[[#This Row],[Column63]]</f>
        <v>96.064999999999998</v>
      </c>
      <c r="BL21">
        <f>SOFR3mo_PX[[#This Row],[Column64]]</f>
        <v>96.105000000000004</v>
      </c>
      <c r="BM21">
        <f>SOFR3mo_PX[[#This Row],[Column65]]</f>
        <v>96.125</v>
      </c>
      <c r="BN21">
        <f>SOFR3mo_PX[[#This Row],[Column66]]</f>
        <v>96.09</v>
      </c>
      <c r="BO21">
        <f>SOFR3mo_PX[[#This Row],[Column67]]</f>
        <v>96.174999999999997</v>
      </c>
      <c r="BP21">
        <f>SOFR3mo_PX[[#This Row],[Column68]]</f>
        <v>96.18</v>
      </c>
      <c r="BQ21">
        <f>SOFR3mo_PX[[#This Row],[Column69]]</f>
        <v>96.15</v>
      </c>
      <c r="BR21">
        <f>SOFR3mo_PX[[#This Row],[Column70]]</f>
        <v>96.165000000000006</v>
      </c>
      <c r="BS21">
        <f>SOFR3mo_PX[[#This Row],[Column71]]</f>
        <v>96.13</v>
      </c>
      <c r="BT21">
        <f>SOFR3mo_PX[[#This Row],[Column72]]</f>
        <v>96.12</v>
      </c>
      <c r="BU21">
        <f>SOFR3mo_PX[[#This Row],[Column73]]</f>
        <v>96.17</v>
      </c>
      <c r="BV21">
        <f>SOFR3mo_PX[[#This Row],[Column74]]</f>
        <v>96.125</v>
      </c>
      <c r="BW21">
        <f>SOFR3mo_PX[[#This Row],[Column75]]</f>
        <v>96.16</v>
      </c>
      <c r="BX21">
        <f>SOFR3mo_PX[[#This Row],[Column76]]</f>
        <v>96.25</v>
      </c>
      <c r="BY21">
        <f>SOFR3mo_PX[[#This Row],[Column77]]</f>
        <v>96.114999999999995</v>
      </c>
      <c r="BZ21">
        <f>SOFR3mo_PX[[#This Row],[Column78]]</f>
        <v>96.14</v>
      </c>
      <c r="CA21">
        <f>SOFR3mo_PX[[#This Row],[Column79]]</f>
        <v>96.165000000000006</v>
      </c>
      <c r="CB21">
        <f>SOFR3mo_PX[[#This Row],[Column80]]</f>
        <v>96.245000000000005</v>
      </c>
      <c r="CC21">
        <f>SOFR3mo_PX[[#This Row],[Column81]]</f>
        <v>96.28</v>
      </c>
      <c r="CD21">
        <f>SOFR3mo_PX[[#This Row],[Column82]]</f>
        <v>96.234999999999999</v>
      </c>
      <c r="CE21">
        <f>SOFR3mo_PX[[#This Row],[Column83]]</f>
        <v>96.17</v>
      </c>
      <c r="CF21">
        <f>SOFR3mo_PX[[#This Row],[Column84]]</f>
        <v>96.21</v>
      </c>
      <c r="CG21">
        <f>SOFR3mo_PX[[#This Row],[Column85]]</f>
        <v>96.14</v>
      </c>
      <c r="CH21">
        <f>SOFR3mo_PX[[#This Row],[Column86]]</f>
        <v>96.004999999999995</v>
      </c>
      <c r="CI21">
        <f>SOFR3mo_PX[[#This Row],[Column87]]</f>
        <v>95.974999999999994</v>
      </c>
      <c r="CJ21">
        <f>SOFR3mo_PX[[#This Row],[Column88]]</f>
        <v>95.89</v>
      </c>
      <c r="CK21">
        <f>SOFR3mo_PX[[#This Row],[Column89]]</f>
        <v>95.844999999999999</v>
      </c>
      <c r="CL21">
        <f>SOFR3mo_PX[[#This Row],[Column90]]</f>
        <v>95.84</v>
      </c>
      <c r="CM21">
        <f>SOFR3mo_PX[[#This Row],[Column91]]</f>
        <v>95.92</v>
      </c>
      <c r="CN21">
        <f>SOFR3mo_PX[[#This Row],[Column92]]</f>
        <v>95.92</v>
      </c>
      <c r="CO21">
        <f>SOFR3mo_PX[[#This Row],[Column93]]</f>
        <v>95.85</v>
      </c>
      <c r="CP21">
        <f>SOFR3mo_PX[[#This Row],[Column94]]</f>
        <v>95.73</v>
      </c>
      <c r="CQ21">
        <f>SOFR3mo_PX[[#This Row],[Column95]]</f>
        <v>95.87</v>
      </c>
      <c r="CR21">
        <f>SOFR3mo_PX[[#This Row],[Column96]]</f>
        <v>95.92</v>
      </c>
      <c r="CS21">
        <f>SOFR3mo_PX[[#This Row],[Column97]]</f>
        <v>95.92</v>
      </c>
      <c r="CT21">
        <f>SOFR3mo_PX[[#This Row],[Column98]]</f>
        <v>95.974999999999994</v>
      </c>
      <c r="CU21">
        <f>SOFR3mo_PX[[#This Row],[Column99]]</f>
        <v>96.025000000000006</v>
      </c>
      <c r="CV21">
        <f>SOFR3mo_PX[[#This Row],[Column100]]</f>
        <v>95.92</v>
      </c>
      <c r="CW21">
        <f>SOFR3mo_PX[[#This Row],[Column101]]</f>
        <v>95.885000000000005</v>
      </c>
      <c r="CX21">
        <f>SOFR3mo_PX[[#This Row],[Column102]]</f>
        <v>95.844999999999999</v>
      </c>
      <c r="CY21">
        <f>SOFR3mo_PX[[#This Row],[Column103]]</f>
        <v>95.91</v>
      </c>
      <c r="CZ21">
        <f>SOFR3mo_PX[[#This Row],[Column104]]</f>
        <v>95.86</v>
      </c>
      <c r="DA21">
        <f>SOFR3mo_PX[[#This Row],[Column105]]</f>
        <v>95.87</v>
      </c>
      <c r="DB21">
        <f>SOFR3mo_PX[[#This Row],[Column106]]</f>
        <v>95.894999999999996</v>
      </c>
      <c r="DC21">
        <f>SOFR3mo_PX[[#This Row],[Column107]]</f>
        <v>95.784999999999997</v>
      </c>
      <c r="DD21">
        <f>SOFR3mo_PX[[#This Row],[Column108]]</f>
        <v>95.78</v>
      </c>
      <c r="DE21">
        <f>SOFR3mo_PX[[#This Row],[Column109]]</f>
        <v>95.814999999999998</v>
      </c>
      <c r="DF21">
        <f>SOFR3mo_PX[[#This Row],[Column110]]</f>
        <v>95.85</v>
      </c>
      <c r="DG21">
        <f>SOFR3mo_PX[[#This Row],[Column111]]</f>
        <v>95.81</v>
      </c>
      <c r="DH21">
        <f>SOFR3mo_PX[[#This Row],[Column112]]</f>
        <v>95.81</v>
      </c>
      <c r="DI21">
        <f>SOFR3mo_PX[[#This Row],[Column113]]</f>
        <v>95.805000000000007</v>
      </c>
      <c r="DJ21">
        <f>SOFR3mo_PX[[#This Row],[Column114]]</f>
        <v>95.75</v>
      </c>
      <c r="DK21">
        <f>SOFR3mo_PX[[#This Row],[Column115]]</f>
        <v>95.605000000000004</v>
      </c>
      <c r="DL21">
        <f>SOFR3mo_PX[[#This Row],[Column116]]</f>
        <v>95.6</v>
      </c>
      <c r="DM21">
        <f>SOFR3mo_PX[[#This Row],[Column117]]</f>
        <v>95.64</v>
      </c>
      <c r="DN21">
        <f>SOFR3mo_PX[[#This Row],[Column118]]</f>
        <v>95.745000000000005</v>
      </c>
      <c r="DO21">
        <f>SOFR3mo_PX[[#This Row],[Column119]]</f>
        <v>95.724999999999994</v>
      </c>
      <c r="DP21">
        <f>SOFR3mo_PX[[#This Row],[Column120]]</f>
        <v>95.734999999999999</v>
      </c>
      <c r="DQ21">
        <f>SOFR3mo_PX[[#This Row],[Column121]]</f>
        <v>95.82</v>
      </c>
      <c r="DR21">
        <f>SOFR3mo_PX[[#This Row],[Column122]]</f>
        <v>95.88</v>
      </c>
      <c r="DS21">
        <f>SOFR3mo_PX[[#This Row],[Column123]]</f>
        <v>95.9</v>
      </c>
      <c r="DT21">
        <f>SOFR3mo_PX[[#This Row],[Column124]]</f>
        <v>95.89</v>
      </c>
      <c r="DU21">
        <f>SOFR3mo_PX[[#This Row],[Column125]]</f>
        <v>95.89</v>
      </c>
      <c r="DV21">
        <f>SOFR3mo_PX[[#This Row],[Column126]]</f>
        <v>95.924999999999997</v>
      </c>
      <c r="DW21">
        <f>SOFR3mo_PX[[#This Row],[Column127]]</f>
        <v>95.84</v>
      </c>
      <c r="DX21">
        <f>SOFR3mo_PX[[#This Row],[Column128]]</f>
        <v>95.894999999999996</v>
      </c>
      <c r="DY21">
        <f>SOFR3mo_PX[[#This Row],[Column129]]</f>
        <v>95.88</v>
      </c>
      <c r="DZ21">
        <f>SOFR3mo_PX[[#This Row],[Column130]]</f>
        <v>95.88</v>
      </c>
      <c r="EA21">
        <f>SOFR3mo_PX[[#This Row],[Column131]]</f>
        <v>95.86</v>
      </c>
      <c r="EB21">
        <f>SOFR3mo_PX[[#This Row],[Column132]]</f>
        <v>95.954999999999998</v>
      </c>
      <c r="EC21">
        <f>SOFR3mo_PX[[#This Row],[Column133]]</f>
        <v>95.885000000000005</v>
      </c>
      <c r="ED21">
        <f>SOFR3mo_PX[[#This Row],[Column134]]</f>
        <v>96.01</v>
      </c>
      <c r="EE21">
        <f>SOFR3mo_PX[[#This Row],[Column135]]</f>
        <v>96.144999999999996</v>
      </c>
      <c r="EF21">
        <f>SOFR3mo_PX[[#This Row],[Column136]]</f>
        <v>96.135000000000005</v>
      </c>
      <c r="EG21">
        <f>SOFR3mo_PX[[#This Row],[Column137]]</f>
        <v>96.14</v>
      </c>
      <c r="EH21">
        <f>SOFR3mo_PX[[#This Row],[Column138]]</f>
        <v>96.22</v>
      </c>
      <c r="EI21">
        <f>SOFR3mo_PX[[#This Row],[Column139]]</f>
        <v>96.28</v>
      </c>
      <c r="EJ21">
        <f>SOFR3mo_PX[[#This Row],[Column140]]</f>
        <v>96.34</v>
      </c>
      <c r="EK21">
        <f>SOFR3mo_PX[[#This Row],[Column141]]</f>
        <v>96.364999999999995</v>
      </c>
      <c r="EL21">
        <f>SOFR3mo_PX[[#This Row],[Column142]]</f>
        <v>96.405000000000001</v>
      </c>
      <c r="EM21">
        <f>SOFR3mo_PX[[#This Row],[Column143]]</f>
        <v>96.364999999999995</v>
      </c>
      <c r="EN21">
        <f>SOFR3mo_PX[[#This Row],[Column144]]</f>
        <v>96.36</v>
      </c>
      <c r="EO21">
        <f>SOFR3mo_PX[[#This Row],[Column145]]</f>
        <v>96.33</v>
      </c>
      <c r="EP21">
        <f>SOFR3mo_PX[[#This Row],[Column146]]</f>
        <v>96.364999999999995</v>
      </c>
      <c r="EQ21">
        <f>SOFR3mo_PX[[#This Row],[Column147]]</f>
        <v>96.37</v>
      </c>
      <c r="ER21">
        <f>SOFR3mo_PX[[#This Row],[Column148]]</f>
        <v>96.334999999999994</v>
      </c>
      <c r="ES21">
        <f>SOFR3mo_PX[[#This Row],[Column149]]</f>
        <v>96.334999999999994</v>
      </c>
      <c r="ET21">
        <f>SOFR3mo_PX[[#This Row],[Column150]]</f>
        <v>96.26</v>
      </c>
      <c r="EU21">
        <f>SOFR3mo_PX[[#This Row],[Column151]]</f>
        <v>96.32</v>
      </c>
      <c r="EV21">
        <f>SOFR3mo_PX[[#This Row],[Column152]]</f>
        <v>96.174999999999997</v>
      </c>
      <c r="EW21">
        <f>SOFR3mo_PX[[#This Row],[Column153]]</f>
        <v>96.14</v>
      </c>
      <c r="EX21">
        <f>SOFR3mo_PX[[#This Row],[Column154]]</f>
        <v>96.15</v>
      </c>
      <c r="EY21">
        <f>SOFR3mo_PX[[#This Row],[Column155]]</f>
        <v>96.17</v>
      </c>
      <c r="EZ21">
        <f>SOFR3mo_PX[[#This Row],[Column156]]</f>
        <v>96.135000000000005</v>
      </c>
      <c r="FA21">
        <f>SOFR3mo_PX[[#This Row],[Column157]]</f>
        <v>96.125</v>
      </c>
      <c r="FB21">
        <f>SOFR3mo_PX[[#This Row],[Column158]]</f>
        <v>96.125</v>
      </c>
      <c r="FC21">
        <f>SOFR3mo_PX[[#This Row],[Column159]]</f>
        <v>96.1</v>
      </c>
      <c r="FD21">
        <f>SOFR3mo_PX[[#This Row],[Column160]]</f>
        <v>96.12</v>
      </c>
      <c r="FE21">
        <f>SOFR3mo_PX[[#This Row],[Column161]]</f>
        <v>96.165000000000006</v>
      </c>
      <c r="FF21">
        <f>SOFR3mo_PX[[#This Row],[Column162]]</f>
        <v>96.224999999999994</v>
      </c>
      <c r="FG21">
        <f>SOFR3mo_PX[[#This Row],[Column163]]</f>
        <v>96.185000000000002</v>
      </c>
      <c r="FH21">
        <f>SOFR3mo_PX[[#This Row],[Column164]]</f>
        <v>96.09</v>
      </c>
      <c r="FI21">
        <f>SOFR3mo_PX[[#This Row],[Column165]]</f>
        <v>96.26</v>
      </c>
      <c r="FJ21">
        <f>SOFR3mo_PX[[#This Row],[Column166]]</f>
        <v>96.234999999999999</v>
      </c>
      <c r="FK21">
        <f>SOFR3mo_PX[[#This Row],[Column167]]</f>
        <v>96.18</v>
      </c>
      <c r="FL21">
        <f>SOFR3mo_PX[[#This Row],[Column168]]</f>
        <v>96.24</v>
      </c>
      <c r="FM21">
        <f>SOFR3mo_PX[[#This Row],[Column169]]</f>
        <v>96.26</v>
      </c>
      <c r="FN21">
        <f>SOFR3mo_PX[[#This Row],[Column170]]</f>
        <v>96.25</v>
      </c>
      <c r="FO21">
        <f>SOFR3mo_PX[[#This Row],[Column171]]</f>
        <v>96.24</v>
      </c>
      <c r="FP21">
        <f>SOFR3mo_PX[[#This Row],[Column172]]</f>
        <v>96.284999999999997</v>
      </c>
      <c r="FQ21">
        <f>SOFR3mo_PX[[#This Row],[Column173]]</f>
        <v>96.31</v>
      </c>
      <c r="FR21">
        <f>SOFR3mo_PX[[#This Row],[Column174]]</f>
        <v>96.26</v>
      </c>
      <c r="FS21">
        <f>SOFR3mo_PX[[#This Row],[Column175]]</f>
        <v>96.3</v>
      </c>
      <c r="FT21">
        <f>SOFR3mo_PX[[#This Row],[Column176]]</f>
        <v>96.325000000000003</v>
      </c>
      <c r="FU21">
        <f>SOFR3mo_PX[[#This Row],[Column177]]</f>
        <v>96.44</v>
      </c>
      <c r="FV21">
        <f>SOFR3mo_PX[[#This Row],[Column178]]</f>
        <v>96.42</v>
      </c>
      <c r="FW21">
        <f>SOFR3mo_PX[[#This Row],[Column179]]</f>
        <v>96.51</v>
      </c>
      <c r="FX21">
        <f>SOFR3mo_PX[[#This Row],[Column180]]</f>
        <v>96.495000000000005</v>
      </c>
      <c r="FY21">
        <f>SOFR3mo_PX[[#This Row],[Column181]]</f>
        <v>96.4</v>
      </c>
      <c r="FZ21">
        <f>SOFR3mo_PX[[#This Row],[Column182]]</f>
        <v>96.45</v>
      </c>
      <c r="GA21">
        <f>SOFR3mo_PX[[#This Row],[Column183]]</f>
        <v>96.435000000000002</v>
      </c>
      <c r="GB21">
        <f>SOFR3mo_PX[[#This Row],[Column184]]</f>
        <v>96.474999999999994</v>
      </c>
      <c r="GC21">
        <f>SOFR3mo_PX[[#This Row],[Column185]]</f>
        <v>96.504999999999995</v>
      </c>
      <c r="GD21">
        <f>SOFR3mo_PX[[#This Row],[Column186]]</f>
        <v>96.515000000000001</v>
      </c>
      <c r="GE21">
        <f>SOFR3mo_PX[[#This Row],[Column187]]</f>
        <v>96.545000000000002</v>
      </c>
      <c r="GF21">
        <f>SOFR3mo_PX[[#This Row],[Column188]]</f>
        <v>96.644999999999996</v>
      </c>
      <c r="GG21">
        <f>SOFR3mo_PX[[#This Row],[Column189]]</f>
        <v>96.72</v>
      </c>
      <c r="GH21">
        <f>SOFR3mo_PX[[#This Row],[Column190]]</f>
        <v>96.76</v>
      </c>
      <c r="GI21">
        <f>SOFR3mo_PX[[#This Row],[Column191]]</f>
        <v>96.69</v>
      </c>
      <c r="GJ21">
        <f>SOFR3mo_PX[[#This Row],[Column192]]</f>
        <v>96.73</v>
      </c>
      <c r="GK21">
        <f>SOFR3mo_PX[[#This Row],[Column193]]</f>
        <v>96.7</v>
      </c>
      <c r="GL21">
        <f>SOFR3mo_PX[[#This Row],[Column194]]</f>
        <v>96.69</v>
      </c>
      <c r="GM21">
        <f>SOFR3mo_PX[[#This Row],[Column195]]</f>
        <v>96.73</v>
      </c>
      <c r="GN21">
        <f>SOFR3mo_PX[[#This Row],[Column196]]</f>
        <v>96.73</v>
      </c>
      <c r="GO21">
        <f>SOFR3mo_PX[[#This Row],[Column197]]</f>
        <v>96.75</v>
      </c>
      <c r="GP21">
        <f>SOFR3mo_PX[[#This Row],[Column198]]</f>
        <v>96.74</v>
      </c>
      <c r="GQ21">
        <f>SOFR3mo_PX[[#This Row],[Column199]]</f>
        <v>96.814999999999998</v>
      </c>
      <c r="GR21">
        <f>SOFR3mo_PX[[#This Row],[Column200]]</f>
        <v>96.9</v>
      </c>
      <c r="GS21">
        <f>SOFR3mo_PX[[#This Row],[Column201]]</f>
        <v>96.9</v>
      </c>
      <c r="GT21">
        <f>SOFR3mo_PX[[#This Row],[Column202]]</f>
        <v>96.885000000000005</v>
      </c>
      <c r="GU21">
        <f>SOFR3mo_PX[[#This Row],[Column203]]</f>
        <v>96.875</v>
      </c>
      <c r="GV21">
        <f>SOFR3mo_PX[[#This Row],[Column204]]</f>
        <v>96.91</v>
      </c>
      <c r="GW21">
        <f>SOFR3mo_PX[[#This Row],[Column205]]</f>
        <v>96.91</v>
      </c>
      <c r="GX21">
        <f>SOFR3mo_PX[[#This Row],[Column206]]</f>
        <v>96.85</v>
      </c>
      <c r="GY21">
        <f>SOFR3mo_PX[[#This Row],[Column207]]</f>
        <v>96.83</v>
      </c>
      <c r="GZ21">
        <f>SOFR3mo_PX[[#This Row],[Column208]]</f>
        <v>96.83</v>
      </c>
      <c r="HA21">
        <f>SOFR3mo_PX[[#This Row],[Column209]]</f>
        <v>96.795000000000002</v>
      </c>
      <c r="HB21">
        <f>SOFR3mo_PX[[#This Row],[Column210]]</f>
        <v>96.745000000000005</v>
      </c>
      <c r="HC21">
        <f>SOFR3mo_PX[[#This Row],[Column211]]</f>
        <v>96.665000000000006</v>
      </c>
      <c r="HD21">
        <f>SOFR3mo_PX[[#This Row],[Column212]]</f>
        <v>96.665000000000006</v>
      </c>
      <c r="HE21">
        <f>SOFR3mo_PX[[#This Row],[Column213]]</f>
        <v>96.71</v>
      </c>
      <c r="HF21">
        <f>SOFR3mo_PX[[#This Row],[Column214]]</f>
        <v>96.724999999999994</v>
      </c>
      <c r="HG21">
        <f>SOFR3mo_PX[[#This Row],[Column215]]</f>
        <v>96.734999999999999</v>
      </c>
      <c r="HH21">
        <f>SOFR3mo_PX[[#This Row],[Column216]]</f>
        <v>96.754999999999995</v>
      </c>
      <c r="HI21">
        <f>SOFR3mo_PX[[#This Row],[Column217]]</f>
        <v>96.745000000000005</v>
      </c>
      <c r="HJ21">
        <f>SOFR3mo_PX[[#This Row],[Column218]]</f>
        <v>96.68</v>
      </c>
      <c r="HK21">
        <f>SOFR3mo_PX[[#This Row],[Column219]]</f>
        <v>96.76</v>
      </c>
      <c r="HL21">
        <f>SOFR3mo_PX[[#This Row],[Column220]]</f>
        <v>96.734999999999999</v>
      </c>
      <c r="HM21">
        <f>SOFR3mo_PX[[#This Row],[Column221]]</f>
        <v>96.685000000000002</v>
      </c>
      <c r="HN21">
        <f>SOFR3mo_PX[[#This Row],[Column222]]</f>
        <v>96.65</v>
      </c>
      <c r="HO21">
        <f>SOFR3mo_PX[[#This Row],[Column223]]</f>
        <v>96.62</v>
      </c>
      <c r="HP21">
        <f>SOFR3mo_PX[[#This Row],[Column224]]</f>
        <v>96.71</v>
      </c>
      <c r="HQ21">
        <f>SOFR3mo_PX[[#This Row],[Column225]]</f>
        <v>96.674999999999997</v>
      </c>
      <c r="HR21">
        <f>SOFR3mo_PX[[#This Row],[Column226]]</f>
        <v>96.64</v>
      </c>
      <c r="HS21">
        <f>SOFR3mo_PX[[#This Row],[Column227]]</f>
        <v>96.594999999999999</v>
      </c>
      <c r="HT21">
        <f>SOFR3mo_PX[[#This Row],[Column228]]</f>
        <v>96.52</v>
      </c>
      <c r="HU21">
        <f>SOFR3mo_PX[[#This Row],[Column229]]</f>
        <v>96.54</v>
      </c>
      <c r="HV21">
        <f>SOFR3mo_PX[[#This Row],[Column230]]</f>
        <v>96.625</v>
      </c>
      <c r="HW21">
        <f>SOFR3mo_PX[[#This Row],[Column231]]</f>
        <v>96.715000000000003</v>
      </c>
      <c r="HX21">
        <f>SOFR3mo_PX[[#This Row],[Column232]]</f>
        <v>96.73</v>
      </c>
      <c r="HY21">
        <f>SOFR3mo_PX[[#This Row],[Column233]]</f>
        <v>96.58</v>
      </c>
      <c r="HZ21">
        <f>SOFR3mo_PX[[#This Row],[Column234]]</f>
        <v>96.474999999999994</v>
      </c>
      <c r="IA21">
        <f>SOFR3mo_PX[[#This Row],[Column235]]</f>
        <v>96.44</v>
      </c>
      <c r="IB21">
        <f>SOFR3mo_PX[[#This Row],[Column236]]</f>
        <v>96.405000000000001</v>
      </c>
      <c r="IC21">
        <f>SOFR3mo_PX[[#This Row],[Column237]]</f>
        <v>96.385000000000005</v>
      </c>
      <c r="ID21">
        <f>SOFR3mo_PX[[#This Row],[Column238]]</f>
        <v>96.33</v>
      </c>
      <c r="IE21">
        <f>SOFR3mo_PX[[#This Row],[Column239]]</f>
        <v>96.29</v>
      </c>
      <c r="IF21">
        <f>SOFR3mo_PX[[#This Row],[Column240]]</f>
        <v>96.34</v>
      </c>
      <c r="IG21">
        <f>SOFR3mo_PX[[#This Row],[Column241]]</f>
        <v>96.33</v>
      </c>
      <c r="IH21">
        <f>SOFR3mo_PX[[#This Row],[Column242]]</f>
        <v>96.334999999999994</v>
      </c>
      <c r="II21">
        <f>SOFR3mo_PX[[#This Row],[Column243]]</f>
        <v>96.385000000000005</v>
      </c>
      <c r="IJ21">
        <f>SOFR3mo_PX[[#This Row],[Column244]]</f>
        <v>96.435000000000002</v>
      </c>
      <c r="IK21">
        <f>SOFR3mo_PX[[#This Row],[Column245]]</f>
        <v>96.41</v>
      </c>
      <c r="IL21">
        <f>SOFR3mo_PX[[#This Row],[Column246]]</f>
        <v>96.344999999999999</v>
      </c>
      <c r="IM21">
        <f>SOFR3mo_PX[[#This Row],[Column247]]</f>
        <v>96.39</v>
      </c>
      <c r="IN21">
        <f>SOFR3mo_PX[[#This Row],[Column248]]</f>
        <v>96.41</v>
      </c>
      <c r="IO21">
        <f>SOFR3mo_PX[[#This Row],[Column249]]</f>
        <v>96.314999999999998</v>
      </c>
      <c r="IP21">
        <f>SOFR3mo_PX[[#This Row],[Column250]]</f>
        <v>96.29</v>
      </c>
      <c r="IQ21">
        <f>SOFR3mo_PX[[#This Row],[Column251]]</f>
        <v>96.325000000000003</v>
      </c>
      <c r="IR21">
        <f>SOFR3mo_PX[[#This Row],[Column252]]</f>
        <v>96.32</v>
      </c>
      <c r="IS21">
        <f>SOFR3mo_PX[[#This Row],[Column253]]</f>
        <v>96.25</v>
      </c>
      <c r="IT21">
        <f>SOFR3mo_PX[[#This Row],[Column254]]</f>
        <v>96.25</v>
      </c>
      <c r="IU21">
        <f>SOFR3mo_PX[[#This Row],[Column255]]</f>
        <v>96.144999999999996</v>
      </c>
      <c r="IV21">
        <f>SOFR3mo_PX[[#This Row],[Column256]]</f>
        <v>96.094999999999999</v>
      </c>
      <c r="IW21">
        <f>SOFR3mo_PX[[#This Row],[Column257]]</f>
        <v>96.26</v>
      </c>
      <c r="IX21">
        <f>SOFR3mo_PX[[#This Row],[Column258]]</f>
        <v>96.314999999999998</v>
      </c>
      <c r="IY21">
        <f>SOFR3mo_PX[[#This Row],[Column259]]</f>
        <v>96.284999999999997</v>
      </c>
      <c r="IZ21">
        <f>SOFR3mo_PX[[#This Row],[Column260]]</f>
        <v>96.375</v>
      </c>
      <c r="JA21">
        <f>SOFR3mo_PX[[#This Row],[Column261]]</f>
        <v>96.36</v>
      </c>
      <c r="JB21">
        <f>SOFR3mo_PX[[#This Row],[Column262]]</f>
        <v>96.34</v>
      </c>
      <c r="JC21">
        <f>SOFR3mo_PX[[#This Row],[Column263]]</f>
        <v>96.344999999999999</v>
      </c>
      <c r="JD21">
        <f>SOFR3mo_PX[[#This Row],[Column264]]</f>
        <v>96.415000000000006</v>
      </c>
      <c r="JE21">
        <f>SOFR3mo_PX[[#This Row],[Column265]]</f>
        <v>96.415000000000006</v>
      </c>
      <c r="JF21">
        <f>SOFR3mo_PX[[#This Row],[Column266]]</f>
        <v>96.344999999999999</v>
      </c>
      <c r="JG21">
        <f>SOFR3mo_PX[[#This Row],[Column267]]</f>
        <v>96.424999999999997</v>
      </c>
      <c r="JH21">
        <f>SOFR3mo_PX[[#This Row],[Column268]]</f>
        <v>96.38</v>
      </c>
      <c r="JI21">
        <f>SOFR3mo_PX[[#This Row],[Column269]]</f>
        <v>96.314999999999998</v>
      </c>
      <c r="JJ21">
        <f>SOFR3mo_PX[[#This Row],[Column270]]</f>
        <v>96.2</v>
      </c>
      <c r="JK21">
        <f>SOFR3mo_PX[[#This Row],[Column271]]</f>
        <v>96.12</v>
      </c>
      <c r="JL21">
        <f>SOFR3mo_PX[[#This Row],[Column272]]</f>
        <v>96.17</v>
      </c>
      <c r="JM21">
        <f>SOFR3mo_PX[[#This Row],[Column273]]</f>
        <v>96.314999999999998</v>
      </c>
      <c r="JN21">
        <f>SOFR3mo_PX[[#This Row],[Column274]]</f>
        <v>96.31</v>
      </c>
      <c r="JO21">
        <f>SOFR3mo_PX[[#This Row],[Column275]]</f>
        <v>96.275000000000006</v>
      </c>
      <c r="JP21">
        <f>SOFR3mo_PX[[#This Row],[Column276]]</f>
        <v>96.194999999999993</v>
      </c>
      <c r="JQ21">
        <f>SOFR3mo_PX[[#This Row],[Column277]]</f>
        <v>96.07</v>
      </c>
      <c r="JR21">
        <f>SOFR3mo_PX[[#This Row],[Column278]]</f>
        <v>96.03</v>
      </c>
      <c r="JS21">
        <f>SOFR3mo_PX[[#This Row],[Column279]]</f>
        <v>95.96</v>
      </c>
      <c r="JT21">
        <f>SOFR3mo_PX[[#This Row],[Column280]]</f>
        <v>96.06</v>
      </c>
      <c r="JU21">
        <f>SOFR3mo_PX[[#This Row],[Column281]]</f>
        <v>96.13</v>
      </c>
      <c r="JV21">
        <f>SOFR3mo_PX[[#This Row],[Column282]]</f>
        <v>96.13</v>
      </c>
      <c r="JW21">
        <f>SOFR3mo_PX[[#This Row],[Column283]]</f>
        <v>96.114999999999995</v>
      </c>
      <c r="JX21">
        <f>SOFR3mo_PX[[#This Row],[Column284]]</f>
        <v>96.14</v>
      </c>
      <c r="JY21">
        <f>SOFR3mo_PX[[#This Row],[Column285]]</f>
        <v>96.15</v>
      </c>
      <c r="JZ21">
        <f>SOFR3mo_PX[[#This Row],[Column286]]</f>
        <v>96.125</v>
      </c>
      <c r="KA21">
        <f>SOFR3mo_PX[[#This Row],[Column287]]</f>
        <v>96.135000000000005</v>
      </c>
      <c r="KB21">
        <f>SOFR3mo_PX[[#This Row],[Column288]]</f>
        <v>96.18</v>
      </c>
      <c r="KC21">
        <f>SOFR3mo_PX[[#This Row],[Column289]]</f>
        <v>96.194999999999993</v>
      </c>
      <c r="KD21">
        <f>SOFR3mo_PX[[#This Row],[Column290]]</f>
        <v>96.105000000000004</v>
      </c>
      <c r="KE21">
        <f>SOFR3mo_PX[[#This Row],[Column291]]</f>
        <v>96.07</v>
      </c>
      <c r="KF21">
        <f>SOFR3mo_PX[[#This Row],[Column292]]</f>
        <v>96.045000000000002</v>
      </c>
      <c r="KG21">
        <f>SOFR3mo_PX[[#This Row],[Column293]]</f>
        <v>96.094999999999999</v>
      </c>
      <c r="KH21">
        <f>SOFR3mo_PX[[#This Row],[Column294]]</f>
        <v>96.064999999999998</v>
      </c>
      <c r="KI21">
        <f>SOFR3mo_PX[[#This Row],[Column295]]</f>
        <v>96.11</v>
      </c>
      <c r="KJ21">
        <f>SOFR3mo_PX[[#This Row],[Column296]]</f>
        <v>96.07</v>
      </c>
      <c r="KK21">
        <f>SOFR3mo_PX[[#This Row],[Column297]]</f>
        <v>96.05</v>
      </c>
      <c r="KL21">
        <f>SOFR3mo_PX[[#This Row],[Column298]]</f>
        <v>95.97</v>
      </c>
      <c r="KM21">
        <f>SOFR3mo_PX[[#This Row],[Column299]]</f>
        <v>95.95</v>
      </c>
      <c r="KN21">
        <f>SOFR3mo_PX[[#This Row],[Column300]]</f>
        <v>95.864999999999995</v>
      </c>
      <c r="KO21">
        <f>SOFR3mo_PX[[#This Row],[Column301]]</f>
        <v>95.94</v>
      </c>
      <c r="KP21">
        <f>SOFR3mo_PX[[#This Row],[Column302]]</f>
        <v>95.864999999999995</v>
      </c>
      <c r="KQ21">
        <f>SOFR3mo_PX[[#This Row],[Column303]]</f>
        <v>95.825000000000003</v>
      </c>
      <c r="KR21">
        <f>SOFR3mo_PX[[#This Row],[Column304]]</f>
        <v>95.875</v>
      </c>
      <c r="KS21">
        <f>SOFR3mo_PX[[#This Row],[Column305]]</f>
        <v>95.944999999999993</v>
      </c>
      <c r="KT21">
        <f>SOFR3mo_PX[[#This Row],[Column306]]</f>
        <v>95.92</v>
      </c>
      <c r="KU21">
        <f>SOFR3mo_PX[[#This Row],[Column307]]</f>
        <v>95.935000000000002</v>
      </c>
      <c r="KV21">
        <f>SOFR3mo_PX[[#This Row],[Column308]]</f>
        <v>95.905000000000001</v>
      </c>
      <c r="KW21">
        <f>SOFR3mo_PX[[#This Row],[Column309]]</f>
        <v>95.965000000000003</v>
      </c>
      <c r="KX21">
        <f>SOFR3mo_PX[[#This Row],[Column310]]</f>
        <v>95.89</v>
      </c>
      <c r="KY21">
        <f>SOFR3mo_PX[[#This Row],[Column311]]</f>
        <v>95.93</v>
      </c>
      <c r="KZ21">
        <f>SOFR3mo_PX[[#This Row],[Column312]]</f>
        <v>96.075000000000003</v>
      </c>
      <c r="LA21">
        <f>SOFR3mo_PX[[#This Row],[Column313]]</f>
        <v>95.984999999999999</v>
      </c>
      <c r="LB21">
        <f>SOFR3mo_PX[[#This Row],[Column314]]</f>
        <v>96.01</v>
      </c>
      <c r="LC21">
        <f>SOFR3mo_PX[[#This Row],[Column315]]</f>
        <v>96.174999999999997</v>
      </c>
      <c r="LD21">
        <f>SOFR3mo_PX[[#This Row],[Column316]]</f>
        <v>96.114999999999995</v>
      </c>
      <c r="LE21">
        <f>SOFR3mo_PX[[#This Row],[Column317]]</f>
        <v>96.165000000000006</v>
      </c>
      <c r="LF21">
        <f>SOFR3mo_PX[[#This Row],[Column318]]</f>
        <v>96.22</v>
      </c>
      <c r="LG21">
        <f>SOFR3mo_PX[[#This Row],[Column319]]</f>
        <v>96.174999999999997</v>
      </c>
      <c r="LH21">
        <f>SOFR3mo_PX[[#This Row],[Column320]]</f>
        <v>96.16</v>
      </c>
      <c r="LI21">
        <f>SOFR3mo_PX[[#This Row],[Column321]]</f>
        <v>96.2</v>
      </c>
      <c r="LJ21">
        <f>SOFR3mo_PX[[#This Row],[Column322]]</f>
        <v>96.344999999999999</v>
      </c>
      <c r="LK21">
        <f>SOFR3mo_PX[[#This Row],[Column323]]</f>
        <v>96.344999999999999</v>
      </c>
      <c r="LL21">
        <f>SOFR3mo_PX[[#This Row],[Column324]]</f>
        <v>96.314999999999998</v>
      </c>
      <c r="LM21">
        <f>SOFR3mo_PX[[#This Row],[Column325]]</f>
        <v>96.28</v>
      </c>
      <c r="LN21">
        <f>SOFR3mo_PX[[#This Row],[Column326]]</f>
        <v>96.25</v>
      </c>
      <c r="LO21">
        <f>SOFR3mo_PX[[#This Row],[Column327]]</f>
        <v>96.29</v>
      </c>
      <c r="LP21">
        <f>SOFR3mo_PX[[#This Row],[Column328]]</f>
        <v>96.23</v>
      </c>
      <c r="LQ21">
        <f>SOFR3mo_PX[[#This Row],[Column329]]</f>
        <v>96.23</v>
      </c>
      <c r="LR21">
        <f>SOFR3mo_PX[[#This Row],[Column330]]</f>
        <v>96.26</v>
      </c>
      <c r="LS21">
        <f>SOFR3mo_PX[[#This Row],[Column331]]</f>
        <v>96.215000000000003</v>
      </c>
      <c r="LT21">
        <f>SOFR3mo_PX[[#This Row],[Column332]]</f>
        <v>96.254999999999995</v>
      </c>
      <c r="LU21">
        <f>SOFR3mo_PX[[#This Row],[Column333]]</f>
        <v>96.26</v>
      </c>
      <c r="LV21">
        <f>SOFR3mo_PX[[#This Row],[Column334]]</f>
        <v>96.39</v>
      </c>
      <c r="LW21">
        <f>SOFR3mo_PX[[#This Row],[Column335]]</f>
        <v>96.405000000000001</v>
      </c>
      <c r="LX21">
        <f>SOFR3mo_PX[[#This Row],[Column336]]</f>
        <v>96.46</v>
      </c>
      <c r="LY21">
        <f>SOFR3mo_PX[[#This Row],[Column337]]</f>
        <v>96.465000000000003</v>
      </c>
      <c r="LZ21">
        <f>SOFR3mo_PX[[#This Row],[Column338]]</f>
        <v>96.465000000000003</v>
      </c>
      <c r="MA21">
        <f>SOFR3mo_PX[[#This Row],[Column339]]</f>
        <v>96.454999999999998</v>
      </c>
      <c r="MB21">
        <f>SOFR3mo_PX[[#This Row],[Column340]]</f>
        <v>96.42</v>
      </c>
      <c r="MC21">
        <f>SOFR3mo_PX[[#This Row],[Column341]]</f>
        <v>96.33</v>
      </c>
      <c r="MD21">
        <f>SOFR3mo_PX[[#This Row],[Column342]]</f>
        <v>96.36</v>
      </c>
      <c r="ME21">
        <f>SOFR3mo_PX[[#This Row],[Column343]]</f>
        <v>96.29</v>
      </c>
      <c r="MF21">
        <f>SOFR3mo_PX[[#This Row],[Column344]]</f>
        <v>96.28</v>
      </c>
      <c r="MG21">
        <f>SOFR3mo_PX[[#This Row],[Column345]]</f>
        <v>96.26</v>
      </c>
      <c r="MH21">
        <f>SOFR3mo_PX[[#This Row],[Column346]]</f>
        <v>96.275000000000006</v>
      </c>
      <c r="MI21">
        <f>SOFR3mo_PX[[#This Row],[Column347]]</f>
        <v>96.284999999999997</v>
      </c>
      <c r="MJ21">
        <f>SOFR3mo_PX[[#This Row],[Column348]]</f>
        <v>96.2</v>
      </c>
      <c r="MK21">
        <f>SOFR3mo_PX[[#This Row],[Column349]]</f>
        <v>96.185000000000002</v>
      </c>
      <c r="ML21">
        <f>SOFR3mo_PX[[#This Row],[Column350]]</f>
        <v>96.23</v>
      </c>
      <c r="MM21">
        <f>SOFR3mo_PX[[#This Row],[Column351]]</f>
        <v>96.204999999999998</v>
      </c>
      <c r="MN21">
        <f>SOFR3mo_PX[[#This Row],[Column352]]</f>
        <v>96.204999999999998</v>
      </c>
      <c r="MO21">
        <f>SOFR3mo_PX[[#This Row],[Column353]]</f>
        <v>96.254999999999995</v>
      </c>
      <c r="MP21">
        <f>SOFR3mo_PX[[#This Row],[Column354]]</f>
        <v>96.22</v>
      </c>
      <c r="MQ21">
        <f>SOFR3mo_PX[[#This Row],[Column355]]</f>
        <v>96.174999999999997</v>
      </c>
      <c r="MR21">
        <f>SOFR3mo_PX[[#This Row],[Column356]]</f>
        <v>96.314999999999998</v>
      </c>
      <c r="MS21">
        <f>SOFR3mo_PX[[#This Row],[Column357]]</f>
        <v>96.295000000000002</v>
      </c>
      <c r="MT21">
        <f>SOFR3mo_PX[[#This Row],[Column358]]</f>
        <v>96.31</v>
      </c>
      <c r="MU21">
        <f>SOFR3mo_PX[[#This Row],[Column359]]</f>
        <v>96.394999999999996</v>
      </c>
      <c r="MV21">
        <f>SOFR3mo_PX[[#This Row],[Column360]]</f>
        <v>96.415000000000006</v>
      </c>
      <c r="MW21">
        <f>SOFR3mo_PX[[#This Row],[Column361]]</f>
        <v>96.32</v>
      </c>
      <c r="MX21">
        <f>SOFR3mo_PX[[#This Row],[Column362]]</f>
        <v>96.454999999999998</v>
      </c>
      <c r="MY21">
        <f>SOFR3mo_PX[[#This Row],[Column363]]</f>
        <v>96.63</v>
      </c>
      <c r="MZ21">
        <f>SOFR3mo_PX[[#This Row],[Column364]]</f>
        <v>96.52</v>
      </c>
      <c r="NA21">
        <f>SOFR3mo_PX[[#This Row],[Column365]]</f>
        <v>96.43</v>
      </c>
      <c r="NB21">
        <f>SOFR3mo_PX[[#This Row],[Column366]]</f>
        <v>96.375</v>
      </c>
      <c r="NC21">
        <f>SOFR3mo_PX[[#This Row],[Column367]]</f>
        <v>96.295000000000002</v>
      </c>
      <c r="ND21">
        <f>SOFR3mo_PX[[#This Row],[Column368]]</f>
        <v>96.32</v>
      </c>
      <c r="NE21">
        <f>SOFR3mo_PX[[#This Row],[Column369]]</f>
        <v>96.275000000000006</v>
      </c>
      <c r="NF21">
        <f>SOFR3mo_PX[[#This Row],[Column370]]</f>
        <v>96.325000000000003</v>
      </c>
      <c r="NG21">
        <f>SOFR3mo_PX[[#This Row],[Column371]]</f>
        <v>96.375</v>
      </c>
      <c r="NH21">
        <f>SOFR3mo_PX[[#This Row],[Column372]]</f>
        <v>96.31</v>
      </c>
      <c r="NI21">
        <f>SOFR3mo_PX[[#This Row],[Column373]]</f>
        <v>96.31</v>
      </c>
      <c r="NJ21">
        <f>SOFR3mo_PX[[#This Row],[Column374]]</f>
        <v>96.364999999999995</v>
      </c>
      <c r="NK21">
        <f>SOFR3mo_PX[[#This Row],[Column375]]</f>
        <v>96.394999999999996</v>
      </c>
      <c r="NL21">
        <f>SOFR3mo_PX[[#This Row],[Column376]]</f>
        <v>96.52</v>
      </c>
      <c r="NM21">
        <f>SOFR3mo_PX[[#This Row],[Column377]]</f>
        <v>96.52</v>
      </c>
      <c r="NN21">
        <f>SOFR3mo_PX[[#This Row],[Column378]]</f>
        <v>96.52</v>
      </c>
      <c r="NO21">
        <f>SOFR3mo_PX[[#This Row],[Column379]]</f>
        <v>96.465000000000003</v>
      </c>
      <c r="NP21">
        <f>SOFR3mo_PX[[#This Row],[Column380]]</f>
        <v>96.48</v>
      </c>
      <c r="NQ21">
        <f>SOFR3mo_PX[[#This Row],[Column381]]</f>
        <v>96.49</v>
      </c>
      <c r="NR21">
        <f>SOFR3mo_PX[[#This Row],[Column382]]</f>
        <v>96.474999999999994</v>
      </c>
      <c r="NS21">
        <f>SOFR3mo_PX[[#This Row],[Column383]]</f>
        <v>96.53</v>
      </c>
      <c r="NT21">
        <f>SOFR3mo_PX[[#This Row],[Column384]]</f>
        <v>96.63</v>
      </c>
      <c r="NU21">
        <f>SOFR3mo_PX[[#This Row],[Column385]]</f>
        <v>96.59</v>
      </c>
      <c r="NV21">
        <f>SOFR3mo_PX[[#This Row],[Column386]]</f>
        <v>96.65</v>
      </c>
      <c r="NW21">
        <f>SOFR3mo_PX[[#This Row],[Column387]]</f>
        <v>96.65</v>
      </c>
      <c r="NX21">
        <f>SOFR3mo_PX[[#This Row],[Column388]]</f>
        <v>96.655000000000001</v>
      </c>
      <c r="NY21">
        <f>SOFR3mo_PX[[#This Row],[Column389]]</f>
        <v>96.72</v>
      </c>
      <c r="NZ21">
        <f>SOFR3mo_PX[[#This Row],[Column390]]</f>
        <v>96.614999999999995</v>
      </c>
      <c r="OA21">
        <f>SOFR3mo_PX[[#This Row],[Column391]]</f>
        <v>96.59</v>
      </c>
      <c r="OB21">
        <f>SOFR3mo_PX[[#This Row],[Column392]]</f>
        <v>96.59</v>
      </c>
      <c r="OC21">
        <f>SOFR3mo_PX[[#This Row],[Column393]]</f>
        <v>96.625</v>
      </c>
      <c r="OD21">
        <f>SOFR3mo_PX[[#This Row],[Column394]]</f>
        <v>96.644999999999996</v>
      </c>
      <c r="OE21">
        <f>SOFR3mo_PX[[#This Row],[Column395]]</f>
        <v>96.625</v>
      </c>
      <c r="OF21">
        <f>SOFR3mo_PX[[#This Row],[Column396]]</f>
        <v>96.6</v>
      </c>
      <c r="OG21">
        <f>SOFR3mo_PX[[#This Row],[Column397]]</f>
        <v>96.63</v>
      </c>
      <c r="OH21">
        <f>SOFR3mo_PX[[#This Row],[Column398]]</f>
        <v>96.61</v>
      </c>
      <c r="OI21">
        <f>SOFR3mo_PX[[#This Row],[Column399]]</f>
        <v>96.515000000000001</v>
      </c>
      <c r="OJ21">
        <f>SOFR3mo_PX[[#This Row],[Column400]]</f>
        <v>96.364999999999995</v>
      </c>
      <c r="OK21">
        <f>SOFR3mo_PX[[#This Row],[Column401]]</f>
        <v>96.32</v>
      </c>
      <c r="OL21">
        <f>SOFR3mo_PX[[#This Row],[Column402]]</f>
        <v>96.32</v>
      </c>
      <c r="OM21">
        <f>SOFR3mo_PX[[#This Row],[Column403]]</f>
        <v>96.44</v>
      </c>
      <c r="ON21">
        <f>SOFR3mo_PX[[#This Row],[Column404]]</f>
        <v>96.44</v>
      </c>
      <c r="OO21">
        <f>SOFR3mo_PX[[#This Row],[Column405]]</f>
        <v>96.385000000000005</v>
      </c>
      <c r="OP21">
        <f>SOFR3mo_PX[[#This Row],[Column406]]</f>
        <v>96.26</v>
      </c>
      <c r="OQ21">
        <f>SOFR3mo_PX[[#This Row],[Column407]]</f>
        <v>96.314999999999998</v>
      </c>
      <c r="OR21">
        <f>SOFR3mo_PX[[#This Row],[Column408]]</f>
        <v>96.2</v>
      </c>
      <c r="OS21">
        <f>SOFR3mo_PX[[#This Row],[Column409]]</f>
        <v>96.284999999999997</v>
      </c>
      <c r="OT21">
        <f>SOFR3mo_PX[[#This Row],[Column410]]</f>
        <v>96.23</v>
      </c>
      <c r="OU21">
        <f>SOFR3mo_PX[[#This Row],[Column411]]</f>
        <v>96.165000000000006</v>
      </c>
      <c r="OV21">
        <f>SOFR3mo_PX[[#This Row],[Column412]]</f>
        <v>96.045000000000002</v>
      </c>
      <c r="OW21">
        <f>SOFR3mo_PX[[#This Row],[Column413]]</f>
        <v>96.114999999999995</v>
      </c>
      <c r="OX21">
        <f>SOFR3mo_PX[[#This Row],[Column414]]</f>
        <v>96.114999999999995</v>
      </c>
      <c r="OY21">
        <f>SOFR3mo_PX[[#This Row],[Column415]]</f>
        <v>96.114999999999995</v>
      </c>
      <c r="OZ21">
        <f>SOFR3mo_PX[[#This Row],[Column416]]</f>
        <v>96.114999999999995</v>
      </c>
      <c r="PA21">
        <f>SOFR3mo_PX[[#This Row],[Column417]]</f>
        <v>96.075000000000003</v>
      </c>
      <c r="PB21">
        <f>SOFR3mo_PX[[#This Row],[Column418]]</f>
        <v>96.064999999999998</v>
      </c>
      <c r="PC21">
        <f>SOFR3mo_PX[[#This Row],[Column419]]</f>
        <v>95.96</v>
      </c>
      <c r="PD21">
        <f>SOFR3mo_PX[[#This Row],[Column420]]</f>
        <v>96.05</v>
      </c>
      <c r="PE21">
        <f>SOFR3mo_PX[[#This Row],[Column421]]</f>
        <v>95.844999999999999</v>
      </c>
      <c r="PF21">
        <f>SOFR3mo_PX[[#This Row],[Column422]]</f>
        <v>95.855000000000004</v>
      </c>
      <c r="PG21">
        <f>SOFR3mo_PX[[#This Row],[Column423]]</f>
        <v>95.855000000000004</v>
      </c>
      <c r="PH21">
        <f>SOFR3mo_PX[[#This Row],[Column424]]</f>
        <v>95.99</v>
      </c>
      <c r="PI21">
        <f>SOFR3mo_PX[[#This Row],[Column425]]</f>
        <v>95.93</v>
      </c>
      <c r="PJ21">
        <f>SOFR3mo_PX[[#This Row],[Column426]]</f>
        <v>95.814999999999998</v>
      </c>
      <c r="PK21">
        <f>SOFR3mo_PX[[#This Row],[Column427]]</f>
        <v>95.924999999999997</v>
      </c>
      <c r="PL21">
        <f>SOFR3mo_PX[[#This Row],[Column428]]</f>
        <v>95.795000000000002</v>
      </c>
      <c r="PM21">
        <f>SOFR3mo_PX[[#This Row],[Column429]]</f>
        <v>95.674999999999997</v>
      </c>
      <c r="PN21">
        <f>SOFR3mo_PX[[#This Row],[Column430]]</f>
        <v>95.58</v>
      </c>
      <c r="PO21">
        <f>SOFR3mo_PX[[#This Row],[Column431]]</f>
        <v>95.57</v>
      </c>
      <c r="PP21">
        <f>SOFR3mo_PX[[#This Row],[Column432]]</f>
        <v>95.58</v>
      </c>
      <c r="PQ21">
        <f>SOFR3mo_PX[[#This Row],[Column433]]</f>
        <v>95.564999999999998</v>
      </c>
      <c r="PR21">
        <f>SOFR3mo_PX[[#This Row],[Column434]]</f>
        <v>95.444999999999993</v>
      </c>
      <c r="PS21">
        <f>SOFR3mo_PX[[#This Row],[Column435]]</f>
        <v>95.575000000000003</v>
      </c>
      <c r="PT21">
        <f>SOFR3mo_PX[[#This Row],[Column436]]</f>
        <v>95.575000000000003</v>
      </c>
      <c r="PU21">
        <f>SOFR3mo_PX[[#This Row],[Column437]]</f>
        <v>95.48</v>
      </c>
      <c r="PV21">
        <f>SOFR3mo_PX[[#This Row],[Column438]]</f>
        <v>95.394999999999996</v>
      </c>
      <c r="PW21">
        <f>SOFR3mo_PX[[#This Row],[Column439]]</f>
        <v>95.515000000000001</v>
      </c>
      <c r="PX21">
        <f>SOFR3mo_PX[[#This Row],[Column440]]</f>
        <v>95.584999999999994</v>
      </c>
      <c r="PY21">
        <f>SOFR3mo_PX[[#This Row],[Column441]]</f>
        <v>95.74</v>
      </c>
      <c r="PZ21">
        <f>SOFR3mo_PX[[#This Row],[Column442]]</f>
        <v>95.825000000000003</v>
      </c>
      <c r="QA21">
        <f>SOFR3mo_PX[[#This Row],[Column443]]</f>
        <v>95.724999999999994</v>
      </c>
      <c r="QB21">
        <f>SOFR3mo_PX[[#This Row],[Column444]]</f>
        <v>95.84</v>
      </c>
      <c r="QC21">
        <f>SOFR3mo_PX[[#This Row],[Column445]]</f>
        <v>95.775000000000006</v>
      </c>
      <c r="QD21">
        <f>SOFR3mo_PX[[#This Row],[Column446]]</f>
        <v>95.78</v>
      </c>
      <c r="QE21">
        <f>SOFR3mo_PX[[#This Row],[Column447]]</f>
        <v>95.63</v>
      </c>
      <c r="QF21">
        <f>SOFR3mo_PX[[#This Row],[Column448]]</f>
        <v>95.69</v>
      </c>
      <c r="QG21">
        <f>SOFR3mo_PX[[#This Row],[Column449]]</f>
        <v>95.66</v>
      </c>
      <c r="QH21">
        <f>SOFR3mo_PX[[#This Row],[Column450]]</f>
        <v>95.605000000000004</v>
      </c>
      <c r="QI21">
        <f>SOFR3mo_PX[[#This Row],[Column451]]</f>
        <v>95.734999999999999</v>
      </c>
      <c r="QJ21">
        <f>SOFR3mo_PX[[#This Row],[Column452]]</f>
        <v>95.88</v>
      </c>
      <c r="QK21">
        <f>SOFR3mo_PX[[#This Row],[Column453]]</f>
        <v>95.834999999999994</v>
      </c>
      <c r="QL21">
        <f>SOFR3mo_PX[[#This Row],[Column454]]</f>
        <v>95.83</v>
      </c>
      <c r="QM21">
        <f>SOFR3mo_PX[[#This Row],[Column455]]</f>
        <v>95.905000000000001</v>
      </c>
      <c r="QN21">
        <f>SOFR3mo_PX[[#This Row],[Column456]]</f>
        <v>95.915000000000006</v>
      </c>
      <c r="QO21">
        <f>SOFR3mo_PX[[#This Row],[Column457]]</f>
        <v>96.03</v>
      </c>
      <c r="QP21">
        <f>SOFR3mo_PX[[#This Row],[Column458]]</f>
        <v>95.99</v>
      </c>
      <c r="QQ21">
        <f>SOFR3mo_PX[[#This Row],[Column459]]</f>
        <v>96.15</v>
      </c>
      <c r="QR21">
        <f>SOFR3mo_PX[[#This Row],[Column460]]</f>
        <v>96.155000000000001</v>
      </c>
      <c r="QS21">
        <f>SOFR3mo_PX[[#This Row],[Column461]]</f>
        <v>96.2</v>
      </c>
      <c r="QT21">
        <f>SOFR3mo_PX[[#This Row],[Column462]]</f>
        <v>96.19</v>
      </c>
      <c r="QU21">
        <f>SOFR3mo_PX[[#This Row],[Column463]]</f>
        <v>96.224999999999994</v>
      </c>
      <c r="QV21">
        <f>SOFR3mo_PX[[#This Row],[Column464]]</f>
        <v>96.254999999999995</v>
      </c>
      <c r="QW21">
        <f>SOFR3mo_PX[[#This Row],[Column465]]</f>
        <v>96.234999999999999</v>
      </c>
      <c r="QX21">
        <f>SOFR3mo_PX[[#This Row],[Column466]]</f>
        <v>96.21</v>
      </c>
      <c r="QY21">
        <f>SOFR3mo_PX[[#This Row],[Column467]]</f>
        <v>96.234999999999999</v>
      </c>
      <c r="QZ21">
        <f>SOFR3mo_PX[[#This Row],[Column468]]</f>
        <v>96.23</v>
      </c>
      <c r="RA21">
        <f>SOFR3mo_PX[[#This Row],[Column469]]</f>
        <v>96.21</v>
      </c>
      <c r="RB21">
        <f>SOFR3mo_PX[[#This Row],[Column470]]</f>
        <v>96.25</v>
      </c>
      <c r="RC21">
        <f>SOFR3mo_PX[[#This Row],[Column471]]</f>
        <v>96.32</v>
      </c>
      <c r="RD21">
        <f>SOFR3mo_PX[[#This Row],[Column472]]</f>
        <v>96.32</v>
      </c>
      <c r="RE21">
        <f>SOFR3mo_PX[[#This Row],[Column473]]</f>
        <v>96.4</v>
      </c>
      <c r="RF21">
        <f>SOFR3mo_PX[[#This Row],[Column474]]</f>
        <v>96.375</v>
      </c>
      <c r="RG21">
        <f>SOFR3mo_PX[[#This Row],[Column475]]</f>
        <v>96.364999999999995</v>
      </c>
      <c r="RH21">
        <f>SOFR3mo_PX[[#This Row],[Column476]]</f>
        <v>96.28</v>
      </c>
      <c r="RI21">
        <f>SOFR3mo_PX[[#This Row],[Column477]]</f>
        <v>96.234999999999999</v>
      </c>
      <c r="RJ21">
        <f>SOFR3mo_PX[[#This Row],[Column478]]</f>
        <v>96.23</v>
      </c>
      <c r="RK21">
        <f>SOFR3mo_PX[[#This Row],[Column479]]</f>
        <v>96.25</v>
      </c>
      <c r="RL21">
        <f>SOFR3mo_PX[[#This Row],[Column480]]</f>
        <v>96.1</v>
      </c>
      <c r="RM21">
        <f>SOFR3mo_PX[[#This Row],[Column481]]</f>
        <v>96.084999999999994</v>
      </c>
      <c r="RN21">
        <f>SOFR3mo_PX[[#This Row],[Column482]]</f>
        <v>96.185000000000002</v>
      </c>
      <c r="RO21">
        <f>SOFR3mo_PX[[#This Row],[Column483]]</f>
        <v>96.11</v>
      </c>
      <c r="RP21">
        <f>SOFR3mo_PX[[#This Row],[Column484]]</f>
        <v>96.2</v>
      </c>
      <c r="RQ21">
        <f>SOFR3mo_PX[[#This Row],[Column485]]</f>
        <v>96.234999999999999</v>
      </c>
      <c r="RR21">
        <f>SOFR3mo_PX[[#This Row],[Column486]]</f>
        <v>96.295000000000002</v>
      </c>
      <c r="RS21">
        <f>SOFR3mo_PX[[#This Row],[Column487]]</f>
        <v>96.29</v>
      </c>
      <c r="RT21">
        <f>SOFR3mo_PX[[#This Row],[Column488]]</f>
        <v>96.4</v>
      </c>
      <c r="RU21">
        <f>SOFR3mo_PX[[#This Row],[Column489]]</f>
        <v>96.51</v>
      </c>
      <c r="RV21">
        <f>SOFR3mo_PX[[#This Row],[Column490]]</f>
        <v>96.49</v>
      </c>
      <c r="RW21">
        <f>SOFR3mo_PX[[#This Row],[Column491]]</f>
        <v>96.43</v>
      </c>
      <c r="RX21">
        <f>SOFR3mo_PX[[#This Row],[Column492]]</f>
        <v>96.43</v>
      </c>
      <c r="RY21">
        <f>SOFR3mo_PX[[#This Row],[Column493]]</f>
        <v>96.28</v>
      </c>
      <c r="RZ21">
        <f>SOFR3mo_PX[[#This Row],[Column494]]</f>
        <v>96.405000000000001</v>
      </c>
      <c r="SA21">
        <f>SOFR3mo_PX[[#This Row],[Column495]]</f>
        <v>96.44</v>
      </c>
      <c r="SB21">
        <f>SOFR3mo_PX[[#This Row],[Column496]]</f>
        <v>96.53</v>
      </c>
      <c r="SC21">
        <f>SOFR3mo_PX[[#This Row],[Column497]]</f>
        <v>96.52</v>
      </c>
      <c r="SD21">
        <f>SOFR3mo_PX[[#This Row],[Column498]]</f>
        <v>96.47</v>
      </c>
      <c r="SE21">
        <f>SOFR3mo_PX[[#This Row],[Column499]]</f>
        <v>96.64</v>
      </c>
      <c r="SF21">
        <f>SOFR3mo_PX[[#This Row],[Column500]]</f>
        <v>96.56</v>
      </c>
      <c r="SG21">
        <f>SOFR3mo_PX[[#This Row],[Column501]]</f>
        <v>96.635000000000005</v>
      </c>
      <c r="SH21">
        <f>SOFR3mo_PX[[#This Row],[Column502]]</f>
        <v>96.644999999999996</v>
      </c>
      <c r="SI21">
        <f>SOFR3mo_PX[[#This Row],[Column503]]</f>
        <v>96.63</v>
      </c>
      <c r="SJ21">
        <f>SOFR3mo_PX[[#This Row],[Column504]]</f>
        <v>96.775000000000006</v>
      </c>
      <c r="SK21">
        <f>SOFR3mo_PX[[#This Row],[Column505]]</f>
        <v>96.73</v>
      </c>
      <c r="SL21">
        <f>SOFR3mo_PX[[#This Row],[Column506]]</f>
        <v>96.7</v>
      </c>
      <c r="SM21">
        <f>SOFR3mo_PX[[#This Row],[Column507]]</f>
        <v>96.655000000000001</v>
      </c>
      <c r="SN21">
        <f>SOFR3mo_PX[[#This Row],[Column508]]</f>
        <v>96.685000000000002</v>
      </c>
      <c r="SO21">
        <f>SOFR3mo_PX[[#This Row],[Column509]]</f>
        <v>96.614999999999995</v>
      </c>
      <c r="SP21">
        <f>SOFR3mo_PX[[#This Row],[Column510]]</f>
        <v>96.49</v>
      </c>
      <c r="SQ21">
        <f>SOFR3mo_PX[[#This Row],[Column511]]</f>
        <v>96.435000000000002</v>
      </c>
      <c r="SR21">
        <f>SOFR3mo_PX[[#This Row],[Column512]]</f>
        <v>96.355000000000004</v>
      </c>
      <c r="SS21">
        <f>SOFR3mo_PX[[#This Row],[Column513]]</f>
        <v>96.4</v>
      </c>
      <c r="ST21">
        <f>SOFR3mo_PX[[#This Row],[Column514]]</f>
        <v>96.55</v>
      </c>
      <c r="SU21">
        <f>SOFR3mo_PX[[#This Row],[Column515]]</f>
        <v>96.66</v>
      </c>
      <c r="SV21">
        <f>SOFR3mo_PX[[#This Row],[Column516]]</f>
        <v>96.66</v>
      </c>
      <c r="SW21">
        <f>SOFR3mo_PX[[#This Row],[Column517]]</f>
        <v>96.694999999999993</v>
      </c>
      <c r="SX21">
        <f>SOFR3mo_PX[[#This Row],[Column518]]</f>
        <v>96.655000000000001</v>
      </c>
      <c r="SY21">
        <f>SOFR3mo_PX[[#This Row],[Column519]]</f>
        <v>96.81</v>
      </c>
      <c r="SZ21">
        <f>SOFR3mo_PX[[#This Row],[Column520]]</f>
        <v>96.74</v>
      </c>
      <c r="TA21">
        <f>SOFR3mo_PX[[#This Row],[Column521]]</f>
        <v>96.77</v>
      </c>
      <c r="TB21">
        <f>SOFR3mo_PX[[#This Row],[Column522]]</f>
        <v>96.74</v>
      </c>
      <c r="TC21">
        <f>SOFR3mo_PX[[#This Row],[Column523]]</f>
        <v>96.69</v>
      </c>
      <c r="TD21">
        <f>SOFR3mo_PX[[#This Row],[Column524]]</f>
        <v>96.77</v>
      </c>
      <c r="TE21">
        <f>SOFR3mo_PX[[#This Row],[Column525]]</f>
        <v>96.805000000000007</v>
      </c>
      <c r="TF21">
        <f>SOFR3mo_PX[[#This Row],[Column526]]</f>
        <v>96.75</v>
      </c>
      <c r="TG21">
        <f>SOFR3mo_PX[[#This Row],[Column527]]</f>
        <v>96.75</v>
      </c>
      <c r="TH21">
        <f>SOFR3mo_PX[[#This Row],[Column528]]</f>
        <v>96.795000000000002</v>
      </c>
      <c r="TI21">
        <f>SOFR3mo_PX[[#This Row],[Column529]]</f>
        <v>96.715000000000003</v>
      </c>
      <c r="TJ21">
        <f>SOFR3mo_PX[[#This Row],[Column530]]</f>
        <v>96.67</v>
      </c>
      <c r="TK21">
        <f>SOFR3mo_PX[[#This Row],[Column531]]</f>
        <v>96.76</v>
      </c>
      <c r="TL21">
        <f>SOFR3mo_PX[[#This Row],[Column532]]</f>
        <v>96.754999999999995</v>
      </c>
      <c r="TM21">
        <f>SOFR3mo_PX[[#This Row],[Column533]]</f>
        <v>96.78</v>
      </c>
      <c r="TN21">
        <f>SOFR3mo_PX[[#This Row],[Column534]]</f>
        <v>96.704999999999998</v>
      </c>
      <c r="TO21">
        <f>SOFR3mo_PX[[#This Row],[Column535]]</f>
        <v>96.795000000000002</v>
      </c>
      <c r="TP21">
        <f>SOFR3mo_PX[[#This Row],[Column536]]</f>
        <v>96.78</v>
      </c>
      <c r="TQ21">
        <f>SOFR3mo_PX[[#This Row],[Column537]]</f>
        <v>96.75</v>
      </c>
      <c r="TR21">
        <f>SOFR3mo_PX[[#This Row],[Column538]]</f>
        <v>96.864999999999995</v>
      </c>
      <c r="TS21">
        <f>SOFR3mo_PX[[#This Row],[Column539]]</f>
        <v>96.844999999999999</v>
      </c>
      <c r="TT21">
        <f>SOFR3mo_PX[[#This Row],[Column540]]</f>
        <v>96.78</v>
      </c>
      <c r="TU21">
        <f>SOFR3mo_PX[[#This Row],[Column541]]</f>
        <v>96.655000000000001</v>
      </c>
      <c r="TV21">
        <f>SOFR3mo_PX[[#This Row],[Column542]]</f>
        <v>96.655000000000001</v>
      </c>
      <c r="TW21">
        <f>SOFR3mo_PX[[#This Row],[Column543]]</f>
        <v>96.67</v>
      </c>
      <c r="TX21">
        <f>SOFR3mo_PX[[#This Row],[Column544]]</f>
        <v>96.78</v>
      </c>
      <c r="TY21">
        <f>SOFR3mo_PX[[#This Row],[Column545]]</f>
        <v>96.775000000000006</v>
      </c>
      <c r="TZ21">
        <f>SOFR3mo_PX[[#This Row],[Column546]]</f>
        <v>96.734999999999999</v>
      </c>
      <c r="UA21">
        <f>SOFR3mo_PX[[#This Row],[Column547]]</f>
        <v>96.75</v>
      </c>
      <c r="UB21">
        <f>SOFR3mo_PX[[#This Row],[Column548]]</f>
        <v>96.8</v>
      </c>
      <c r="UC21">
        <f>SOFR3mo_PX[[#This Row],[Column549]]</f>
        <v>96.875</v>
      </c>
      <c r="UD21">
        <f>SOFR3mo_PX[[#This Row],[Column550]]</f>
        <v>96.91</v>
      </c>
      <c r="UE21">
        <f>SOFR3mo_PX[[#This Row],[Column551]]</f>
        <v>96.954999999999998</v>
      </c>
      <c r="UF21">
        <f>SOFR3mo_PX[[#This Row],[Column552]]</f>
        <v>96.984999999999999</v>
      </c>
      <c r="UG21">
        <f>SOFR3mo_PX[[#This Row],[Column553]]</f>
        <v>97.05</v>
      </c>
      <c r="UH21">
        <f>SOFR3mo_PX[[#This Row],[Column554]]</f>
        <v>97.004999999999995</v>
      </c>
      <c r="UI21">
        <f>SOFR3mo_PX[[#This Row],[Column555]]</f>
        <v>96.92</v>
      </c>
      <c r="UJ21">
        <f>SOFR3mo_PX[[#This Row],[Column556]]</f>
        <v>96.905000000000001</v>
      </c>
      <c r="UK21">
        <f>SOFR3mo_PX[[#This Row],[Column557]]</f>
        <v>96.95</v>
      </c>
      <c r="UL21">
        <f>SOFR3mo_PX[[#This Row],[Column558]]</f>
        <v>97.04</v>
      </c>
      <c r="UM21">
        <f>SOFR3mo_PX[[#This Row],[Column559]]</f>
        <v>97.004999999999995</v>
      </c>
      <c r="UN21">
        <f>SOFR3mo_PX[[#This Row],[Column560]]</f>
        <v>96.98</v>
      </c>
      <c r="UO21">
        <f>SOFR3mo_PX[[#This Row],[Column561]]</f>
        <v>96.84</v>
      </c>
      <c r="UP21">
        <f>SOFR3mo_PX[[#This Row],[Column562]]</f>
        <v>96.96</v>
      </c>
      <c r="UQ21">
        <f>SOFR3mo_PX[[#This Row],[Column563]]</f>
        <v>96.894999999999996</v>
      </c>
      <c r="UR21">
        <f>SOFR3mo_PX[[#This Row],[Column564]]</f>
        <v>96.984999999999999</v>
      </c>
      <c r="US21">
        <f>SOFR3mo_PX[[#This Row],[Column565]]</f>
        <v>97.034999999999997</v>
      </c>
      <c r="UT21">
        <f>SOFR3mo_PX[[#This Row],[Column566]]</f>
        <v>96.94</v>
      </c>
      <c r="UU21">
        <f>SOFR3mo_PX[[#This Row],[Column567]]</f>
        <v>96.87</v>
      </c>
      <c r="UV21">
        <f>SOFR3mo_PX[[#This Row],[Column568]]</f>
        <v>96.915000000000006</v>
      </c>
      <c r="UW21">
        <f>SOFR3mo_PX[[#This Row],[Column569]]</f>
        <v>96.86</v>
      </c>
      <c r="UX21">
        <f>SOFR3mo_PX[[#This Row],[Column570]]</f>
        <v>96.875</v>
      </c>
      <c r="UY21">
        <f>SOFR3mo_PX[[#This Row],[Column571]]</f>
        <v>96.855000000000004</v>
      </c>
      <c r="UZ21">
        <f>SOFR3mo_PX[[#This Row],[Column572]]</f>
        <v>96.915000000000006</v>
      </c>
      <c r="VA21">
        <f>SOFR3mo_PX[[#This Row],[Column573]]</f>
        <v>96.99</v>
      </c>
      <c r="VB21">
        <f>SOFR3mo_PX[[#This Row],[Column574]]</f>
        <v>97.045000000000002</v>
      </c>
      <c r="VC21">
        <f>SOFR3mo_PX[[#This Row],[Column575]]</f>
        <v>97.02</v>
      </c>
      <c r="VD21">
        <f>SOFR3mo_PX[[#This Row],[Column576]]</f>
        <v>97.02</v>
      </c>
      <c r="VE21">
        <f>SOFR3mo_PX[[#This Row],[Column577]]</f>
        <v>97.064999999999998</v>
      </c>
      <c r="VF21">
        <f>SOFR3mo_PX[[#This Row],[Column578]]</f>
        <v>97.144999999999996</v>
      </c>
      <c r="VG21">
        <f>SOFR3mo_PX[[#This Row],[Column579]]</f>
        <v>97.13</v>
      </c>
      <c r="VH21">
        <f>SOFR3mo_PX[[#This Row],[Column580]]</f>
        <v>97.11</v>
      </c>
      <c r="VI21">
        <f>SOFR3mo_PX[[#This Row],[Column581]]</f>
        <v>97.015000000000001</v>
      </c>
      <c r="VJ21">
        <f>SOFR3mo_PX[[#This Row],[Column582]]</f>
        <v>96.96</v>
      </c>
      <c r="VK21">
        <f>SOFR3mo_PX[[#This Row],[Column583]]</f>
        <v>96.9</v>
      </c>
      <c r="VL21">
        <f>SOFR3mo_PX[[#This Row],[Column584]]</f>
        <v>96.855000000000004</v>
      </c>
      <c r="VM21">
        <f>SOFR3mo_PX[[#This Row],[Column585]]</f>
        <v>96.844999999999999</v>
      </c>
      <c r="VN21">
        <f>SOFR3mo_PX[[#This Row],[Column586]]</f>
        <v>96.875</v>
      </c>
      <c r="VO21">
        <f>SOFR3mo_PX[[#This Row],[Column587]]</f>
        <v>97.004999999999995</v>
      </c>
      <c r="VP21">
        <f>SOFR3mo_PX[[#This Row],[Column588]]</f>
        <v>96.974999999999994</v>
      </c>
      <c r="VQ21">
        <f>SOFR3mo_PX[[#This Row],[Column589]]</f>
        <v>96.875</v>
      </c>
      <c r="VR21">
        <f>SOFR3mo_PX[[#This Row],[Column590]]</f>
        <v>96.784999999999997</v>
      </c>
      <c r="VS21">
        <f>SOFR3mo_PX[[#This Row],[Column591]]</f>
        <v>96.864999999999995</v>
      </c>
      <c r="VT21">
        <f>SOFR3mo_PX[[#This Row],[Column592]]</f>
        <v>96.984999999999999</v>
      </c>
      <c r="VU21">
        <f>SOFR3mo_PX[[#This Row],[Column593]]</f>
        <v>96.8</v>
      </c>
      <c r="VV21">
        <f>SOFR3mo_PX[[#This Row],[Column594]]</f>
        <v>96.885000000000005</v>
      </c>
      <c r="VW21">
        <f>SOFR3mo_PX[[#This Row],[Column595]]</f>
        <v>96.825000000000003</v>
      </c>
      <c r="VX21">
        <f>SOFR3mo_PX[[#This Row],[Column596]]</f>
        <v>96.89</v>
      </c>
      <c r="VY21">
        <f>SOFR3mo_PX[[#This Row],[Column597]]</f>
        <v>96.885000000000005</v>
      </c>
      <c r="VZ21">
        <f>SOFR3mo_PX[[#This Row],[Column598]]</f>
        <v>96.68</v>
      </c>
      <c r="WA21">
        <f>SOFR3mo_PX[[#This Row],[Column599]]</f>
        <v>96.674999999999997</v>
      </c>
      <c r="WB21">
        <f>SOFR3mo_PX[[#This Row],[Column600]]</f>
        <v>96.67</v>
      </c>
      <c r="WC21">
        <f>SOFR3mo_PX[[#This Row],[Column601]]</f>
        <v>96.614999999999995</v>
      </c>
      <c r="WD21">
        <f>SOFR3mo_PX[[#This Row],[Column602]]</f>
        <v>96.614999999999995</v>
      </c>
      <c r="WE21">
        <f>SOFR3mo_PX[[#This Row],[Column603]]</f>
        <v>96.51</v>
      </c>
      <c r="WF21">
        <f>SOFR3mo_PX[[#This Row],[Column604]]</f>
        <v>96.614999999999995</v>
      </c>
      <c r="WG21">
        <f>SOFR3mo_PX[[#This Row],[Column605]]</f>
        <v>96.704999999999998</v>
      </c>
      <c r="WH21">
        <f>SOFR3mo_PX[[#This Row],[Column606]]</f>
        <v>96.7</v>
      </c>
      <c r="WI21">
        <f>SOFR3mo_PX[[#This Row],[Column607]]</f>
        <v>96.635000000000005</v>
      </c>
      <c r="WJ21">
        <f>SOFR3mo_PX[[#This Row],[Column608]]</f>
        <v>96.69</v>
      </c>
      <c r="WK21">
        <f>SOFR3mo_PX[[#This Row],[Column609]]</f>
        <v>96.63</v>
      </c>
      <c r="WL21">
        <f>SOFR3mo_PX[[#This Row],[Column610]]</f>
        <v>96.605000000000004</v>
      </c>
      <c r="WM21">
        <f>SOFR3mo_PX[[#This Row],[Column611]]</f>
        <v>96.754999999999995</v>
      </c>
      <c r="WN21">
        <f>SOFR3mo_PX[[#This Row],[Column612]]</f>
        <v>96.754999999999995</v>
      </c>
      <c r="WO21">
        <f>SOFR3mo_PX[[#This Row],[Column613]]</f>
        <v>96.734999999999999</v>
      </c>
      <c r="WP21">
        <f>SOFR3mo_PX[[#This Row],[Column614]]</f>
        <v>96.77</v>
      </c>
      <c r="WQ21">
        <f>SOFR3mo_PX[[#This Row],[Column615]]</f>
        <v>96.814999999999998</v>
      </c>
      <c r="WR21">
        <f>SOFR3mo_PX[[#This Row],[Column616]]</f>
        <v>96.84</v>
      </c>
      <c r="WS21">
        <f>SOFR3mo_PX[[#This Row],[Column617]]</f>
        <v>96.825000000000003</v>
      </c>
      <c r="WT21">
        <f>SOFR3mo_PX[[#This Row],[Column618]]</f>
        <v>96.885000000000005</v>
      </c>
      <c r="WU21">
        <f>SOFR3mo_PX[[#This Row],[Column619]]</f>
        <v>96.915000000000006</v>
      </c>
      <c r="WV21">
        <f>SOFR3mo_PX[[#This Row],[Column620]]</f>
        <v>96.89</v>
      </c>
      <c r="WW21">
        <f>SOFR3mo_PX[[#This Row],[Column621]]</f>
        <v>96.92</v>
      </c>
      <c r="WX21">
        <f>SOFR3mo_PX[[#This Row],[Column622]]</f>
        <v>97.01</v>
      </c>
      <c r="WY21">
        <f>SOFR3mo_PX[[#This Row],[Column623]]</f>
        <v>97.144999999999996</v>
      </c>
      <c r="WZ21">
        <f>SOFR3mo_PX[[#This Row],[Column624]]</f>
        <v>97.16</v>
      </c>
      <c r="XA21">
        <f>SOFR3mo_PX[[#This Row],[Column625]]</f>
        <v>97.03</v>
      </c>
      <c r="XB21">
        <f>SOFR3mo_PX[[#This Row],[Column626]]</f>
        <v>96.98</v>
      </c>
      <c r="XC21">
        <f>SOFR3mo_PX[[#This Row],[Column627]]</f>
        <v>97.03</v>
      </c>
      <c r="XD21">
        <f>SOFR3mo_PX[[#This Row],[Column628]]</f>
        <v>97.08</v>
      </c>
      <c r="XE21">
        <f>SOFR3mo_PX[[#This Row],[Column629]]</f>
        <v>97.12</v>
      </c>
      <c r="XF21">
        <f>SOFR3mo_PX[[#This Row],[Column630]]</f>
        <v>97.114999999999995</v>
      </c>
      <c r="XG21">
        <f>SOFR3mo_PX[[#This Row],[Column631]]</f>
        <v>97.045000000000002</v>
      </c>
      <c r="XH21">
        <f>SOFR3mo_PX[[#This Row],[Column632]]</f>
        <v>97.075000000000003</v>
      </c>
      <c r="XI21">
        <f>SOFR3mo_PX[[#This Row],[Column633]]</f>
        <v>97.18</v>
      </c>
      <c r="XJ21">
        <f>SOFR3mo_PX[[#This Row],[Column634]]</f>
        <v>97.224999999999994</v>
      </c>
      <c r="XK21">
        <f>SOFR3mo_PX[[#This Row],[Column635]]</f>
        <v>97.06</v>
      </c>
      <c r="XL21">
        <f>SOFR3mo_PX[[#This Row],[Column636]]</f>
        <v>97.09</v>
      </c>
      <c r="XM21">
        <f>SOFR3mo_PX[[#This Row],[Column637]]</f>
        <v>97.09</v>
      </c>
      <c r="XN21">
        <f>SOFR3mo_PX[[#This Row],[Column638]]</f>
        <v>97.14</v>
      </c>
      <c r="XO21">
        <f>SOFR3mo_PX[[#This Row],[Column639]]</f>
        <v>97.015000000000001</v>
      </c>
      <c r="XP21">
        <f>SOFR3mo_PX[[#This Row],[Column640]]</f>
        <v>96.954999999999998</v>
      </c>
      <c r="XQ21">
        <f>SOFR3mo_PX[[#This Row],[Column641]]</f>
        <v>97.064999999999998</v>
      </c>
      <c r="XR21">
        <f>SOFR3mo_PX[[#This Row],[Column642]]</f>
        <v>97.015000000000001</v>
      </c>
      <c r="XS21">
        <f>SOFR3mo_PX[[#This Row],[Column643]]</f>
        <v>96.84</v>
      </c>
      <c r="XT21">
        <f>SOFR3mo_PX[[#This Row],[Column644]]</f>
        <v>96.84</v>
      </c>
      <c r="XU21">
        <f>SOFR3mo_PX[[#This Row],[Column645]]</f>
        <v>96.734999999999999</v>
      </c>
      <c r="XV21">
        <f>SOFR3mo_PX[[#This Row],[Column646]]</f>
        <v>96.68</v>
      </c>
      <c r="XW21">
        <f>SOFR3mo_PX[[#This Row],[Column647]]</f>
        <v>96.68</v>
      </c>
      <c r="XX21">
        <f>SOFR3mo_PX[[#This Row],[Column648]]</f>
        <v>96.64</v>
      </c>
      <c r="XY21">
        <f>SOFR3mo_PX[[#This Row],[Column649]]</f>
        <v>96.605000000000004</v>
      </c>
      <c r="XZ21">
        <f>SOFR3mo_PX[[#This Row],[Column650]]</f>
        <v>96.674999999999997</v>
      </c>
      <c r="YA21">
        <f>SOFR3mo_PX[[#This Row],[Column651]]</f>
        <v>96.76</v>
      </c>
      <c r="YB21">
        <f>SOFR3mo_PX[[#This Row],[Column652]]</f>
        <v>96.76</v>
      </c>
      <c r="YC21">
        <f>SOFR3mo_PX[[#This Row],[Column653]]</f>
        <v>96.8</v>
      </c>
      <c r="YD21">
        <f>SOFR3mo_PX[[#This Row],[Column654]]</f>
        <v>96.784999999999997</v>
      </c>
      <c r="YE21">
        <f>SOFR3mo_PX[[#This Row],[Column655]]</f>
        <v>96.87</v>
      </c>
      <c r="YF21">
        <f>SOFR3mo_PX[[#This Row],[Column656]]</f>
        <v>97</v>
      </c>
      <c r="YG21">
        <f>SOFR3mo_PX[[#This Row],[Column657]]</f>
        <v>97.084999999999994</v>
      </c>
      <c r="YH21">
        <f>SOFR3mo_PX[[#This Row],[Column658]]</f>
        <v>97.13</v>
      </c>
      <c r="YI21">
        <f>SOFR3mo_PX[[#This Row],[Column659]]</f>
        <v>97.075000000000003</v>
      </c>
      <c r="YJ21">
        <f>SOFR3mo_PX[[#This Row],[Column660]]</f>
        <v>97.07</v>
      </c>
      <c r="YK21">
        <f>SOFR3mo_PX[[#This Row],[Column661]]</f>
        <v>96.965000000000003</v>
      </c>
      <c r="YL21">
        <f>SOFR3mo_PX[[#This Row],[Column662]]</f>
        <v>97</v>
      </c>
      <c r="YM21">
        <f>SOFR3mo_PX[[#This Row],[Column663]]</f>
        <v>97.09</v>
      </c>
      <c r="YN21">
        <f>SOFR3mo_PX[[#This Row],[Column664]]</f>
        <v>97.215000000000003</v>
      </c>
      <c r="YO21">
        <f>SOFR3mo_PX[[#This Row],[Column665]]</f>
        <v>97.105000000000004</v>
      </c>
      <c r="YP21">
        <f>SOFR3mo_PX[[#This Row],[Column666]]</f>
        <v>97.02</v>
      </c>
      <c r="YQ21">
        <f>SOFR3mo_PX[[#This Row],[Column667]]</f>
        <v>97.135000000000005</v>
      </c>
      <c r="YR21">
        <f>SOFR3mo_PX[[#This Row],[Column668]]</f>
        <v>97.084999999999994</v>
      </c>
      <c r="YS21">
        <f>SOFR3mo_PX[[#This Row],[Column669]]</f>
        <v>96.924999999999997</v>
      </c>
      <c r="YT21">
        <f>SOFR3mo_PX[[#This Row],[Column670]]</f>
        <v>96.864999999999995</v>
      </c>
      <c r="YU21">
        <f>SOFR3mo_PX[[#This Row],[Column671]]</f>
        <v>96.9</v>
      </c>
      <c r="YV21">
        <f>SOFR3mo_PX[[#This Row],[Column672]]</f>
        <v>96.89</v>
      </c>
      <c r="YW21">
        <f>SOFR3mo_PX[[#This Row],[Column673]]</f>
        <v>96.87</v>
      </c>
      <c r="YX21">
        <f>SOFR3mo_PX[[#This Row],[Column674]]</f>
        <v>96.87</v>
      </c>
      <c r="YY21">
        <f>SOFR3mo_PX[[#This Row],[Column675]]</f>
        <v>96.8</v>
      </c>
      <c r="YZ21">
        <f>SOFR3mo_PX[[#This Row],[Column676]]</f>
        <v>96.704999999999998</v>
      </c>
      <c r="ZA21">
        <f>SOFR3mo_PX[[#This Row],[Column677]]</f>
        <v>96.704999999999998</v>
      </c>
      <c r="ZB21">
        <f>SOFR3mo_PX[[#This Row],[Column678]]</f>
        <v>96.78</v>
      </c>
      <c r="ZC21">
        <f>SOFR3mo_PX[[#This Row],[Column679]]</f>
        <v>96.834999999999994</v>
      </c>
      <c r="ZD21">
        <f>SOFR3mo_PX[[#This Row],[Column680]]</f>
        <v>96.71</v>
      </c>
      <c r="ZE21">
        <f>SOFR3mo_PX[[#This Row],[Column681]]</f>
        <v>96.635000000000005</v>
      </c>
      <c r="ZF21">
        <f>SOFR3mo_PX[[#This Row],[Column682]]</f>
        <v>96.685000000000002</v>
      </c>
      <c r="ZG21">
        <f>SOFR3mo_PX[[#This Row],[Column683]]</f>
        <v>96.66</v>
      </c>
      <c r="ZH21">
        <f>SOFR3mo_PX[[#This Row],[Column684]]</f>
        <v>96.35</v>
      </c>
      <c r="ZI21">
        <f>SOFR3mo_PX[[#This Row],[Column685]]</f>
        <v>96.35</v>
      </c>
      <c r="ZJ21">
        <f>SOFR3mo_PX[[#This Row],[Column686]]</f>
        <v>96.245000000000005</v>
      </c>
      <c r="ZK21">
        <f>SOFR3mo_PX[[#This Row],[Column687]]</f>
        <v>96.26</v>
      </c>
      <c r="ZL21">
        <f>SOFR3mo_PX[[#This Row],[Column688]]</f>
        <v>96.275000000000006</v>
      </c>
      <c r="ZM21">
        <f>SOFR3mo_PX[[#This Row],[Column689]]</f>
        <v>96.31</v>
      </c>
      <c r="ZN21">
        <f>SOFR3mo_PX[[#This Row],[Column690]]</f>
        <v>96.284999999999997</v>
      </c>
      <c r="ZO21">
        <f>SOFR3mo_PX[[#This Row],[Column691]]</f>
        <v>96.275000000000006</v>
      </c>
      <c r="ZP21">
        <f>SOFR3mo_PX[[#This Row],[Column692]]</f>
        <v>96.31</v>
      </c>
      <c r="ZQ21">
        <f>SOFR3mo_PX[[#This Row],[Column693]]</f>
        <v>96.42</v>
      </c>
      <c r="ZR21">
        <f>SOFR3mo_PX[[#This Row],[Column694]]</f>
        <v>96.344999999999999</v>
      </c>
      <c r="ZS21">
        <f>SOFR3mo_PX[[#This Row],[Column695]]</f>
        <v>96.26</v>
      </c>
      <c r="ZT21">
        <f>SOFR3mo_PX[[#This Row],[Column696]]</f>
        <v>96.12</v>
      </c>
      <c r="ZU21">
        <f>SOFR3mo_PX[[#This Row],[Column697]]</f>
        <v>96.165000000000006</v>
      </c>
      <c r="ZV21">
        <f>SOFR3mo_PX[[#This Row],[Column698]]</f>
        <v>96.135000000000005</v>
      </c>
      <c r="ZW21">
        <f>SOFR3mo_PX[[#This Row],[Column699]]</f>
        <v>96.265000000000001</v>
      </c>
      <c r="ZX21">
        <f>SOFR3mo_PX[[#This Row],[Column700]]</f>
        <v>96.405000000000001</v>
      </c>
      <c r="ZY21">
        <f>SOFR3mo_PX[[#This Row],[Column701]]</f>
        <v>96.385000000000005</v>
      </c>
      <c r="ZZ21">
        <f>SOFR3mo_PX[[#This Row],[Column702]]</f>
        <v>96.375</v>
      </c>
      <c r="AAA21">
        <f>SOFR3mo_PX[[#This Row],[Column703]]</f>
        <v>96.42</v>
      </c>
      <c r="AAB21">
        <f>SOFR3mo_PX[[#This Row],[Column704]]</f>
        <v>96.405000000000001</v>
      </c>
      <c r="AAC21">
        <f>SOFR3mo_PX[[#This Row],[Column705]]</f>
        <v>96.364999999999995</v>
      </c>
      <c r="AAD21">
        <f>SOFR3mo_PX[[#This Row],[Column706]]</f>
        <v>96.325000000000003</v>
      </c>
      <c r="AAE21">
        <f>SOFR3mo_PX[[#This Row],[Column707]]</f>
        <v>96.4</v>
      </c>
      <c r="AAF21">
        <f>SOFR3mo_PX[[#This Row],[Column708]]</f>
        <v>96.454999999999998</v>
      </c>
      <c r="AAG21">
        <f>SOFR3mo_PX[[#This Row],[Column709]]</f>
        <v>96.52</v>
      </c>
      <c r="AAH21">
        <f>SOFR3mo_PX[[#This Row],[Column710]]</f>
        <v>96.704999999999998</v>
      </c>
      <c r="AAI21">
        <f>SOFR3mo_PX[[#This Row],[Column711]]</f>
        <v>96.594999999999999</v>
      </c>
      <c r="AAJ21">
        <f>SOFR3mo_PX[[#This Row],[Column712]]</f>
        <v>96.405000000000001</v>
      </c>
      <c r="AAK21">
        <f>SOFR3mo_PX[[#This Row],[Column713]]</f>
        <v>96.49</v>
      </c>
      <c r="AAL21">
        <f>SOFR3mo_PX[[#This Row],[Column714]]</f>
        <v>96.534999999999997</v>
      </c>
      <c r="AAM21">
        <f>SOFR3mo_PX[[#This Row],[Column715]]</f>
        <v>96.325000000000003</v>
      </c>
      <c r="AAN21">
        <f>SOFR3mo_PX[[#This Row],[Column716]]</f>
        <v>96.415000000000006</v>
      </c>
      <c r="AAO21">
        <f>SOFR3mo_PX[[#This Row],[Column717]]</f>
        <v>96.635000000000005</v>
      </c>
      <c r="AAP21">
        <f>SOFR3mo_PX[[#This Row],[Column718]]</f>
        <v>96.61</v>
      </c>
      <c r="AAQ21">
        <f>SOFR3mo_PX[[#This Row],[Column719]]</f>
        <v>96.81</v>
      </c>
      <c r="AAR21">
        <f>SOFR3mo_PX[[#This Row],[Column720]]</f>
        <v>96.745000000000005</v>
      </c>
      <c r="AAS21">
        <f>SOFR3mo_PX[[#This Row],[Column721]]</f>
        <v>96.83</v>
      </c>
      <c r="AAT21">
        <f>SOFR3mo_PX[[#This Row],[Column722]]</f>
        <v>96.87</v>
      </c>
      <c r="AAU21">
        <f>SOFR3mo_PX[[#This Row],[Column723]]</f>
        <v>96.87</v>
      </c>
      <c r="AAV21">
        <f>SOFR3mo_PX[[#This Row],[Column724]]</f>
        <v>96.924999999999997</v>
      </c>
      <c r="AAW21">
        <f>SOFR3mo_PX[[#This Row],[Column725]]</f>
        <v>96.894999999999996</v>
      </c>
      <c r="AAX21">
        <f>SOFR3mo_PX[[#This Row],[Column726]]</f>
        <v>96.935000000000002</v>
      </c>
      <c r="AAY21">
        <f>SOFR3mo_PX[[#This Row],[Column727]]</f>
        <v>96.97</v>
      </c>
      <c r="AAZ21">
        <f>SOFR3mo_PX[[#This Row],[Column728]]</f>
        <v>97</v>
      </c>
      <c r="ABA21">
        <f>SOFR3mo_PX[[#This Row],[Column729]]</f>
        <v>97.03</v>
      </c>
      <c r="ABB21">
        <f>SOFR3mo_PX[[#This Row],[Column730]]</f>
        <v>96.935000000000002</v>
      </c>
      <c r="ABC21">
        <f>SOFR3mo_PX[[#This Row],[Column731]]</f>
        <v>97.11</v>
      </c>
      <c r="ABD21">
        <f>SOFR3mo_PX[[#This Row],[Column732]]</f>
        <v>97.11</v>
      </c>
      <c r="ABE21">
        <f>SOFR3mo_PX[[#This Row],[Column733]]</f>
        <v>97.025000000000006</v>
      </c>
      <c r="ABF21">
        <f>SOFR3mo_PX[[#This Row],[Column734]]</f>
        <v>97.194999999999993</v>
      </c>
      <c r="ABG21">
        <f>SOFR3mo_PX[[#This Row],[Column735]]</f>
        <v>97.234999999999999</v>
      </c>
      <c r="ABH21">
        <f>SOFR3mo_PX[[#This Row],[Column736]]</f>
        <v>97.22</v>
      </c>
      <c r="ABI21">
        <f>SOFR3mo_PX[[#This Row],[Column737]]</f>
        <v>97.334999999999994</v>
      </c>
      <c r="ABJ21">
        <f>SOFR3mo_PX[[#This Row],[Column738]]</f>
        <v>97.375</v>
      </c>
      <c r="ABK21">
        <f>SOFR3mo_PX[[#This Row],[Column739]]</f>
        <v>97.295000000000002</v>
      </c>
      <c r="ABL21">
        <f>SOFR3mo_PX[[#This Row],[Column740]]</f>
        <v>97.35</v>
      </c>
      <c r="ABM21">
        <f>SOFR3mo_PX[[#This Row],[Column741]]</f>
        <v>97.39</v>
      </c>
      <c r="ABN21">
        <f>SOFR3mo_PX[[#This Row],[Column742]]</f>
        <v>97.43</v>
      </c>
      <c r="ABO21">
        <f>SOFR3mo_PX[[#This Row],[Column743]]</f>
        <v>97.56</v>
      </c>
      <c r="ABP21">
        <f>SOFR3mo_PX[[#This Row],[Column744]]</f>
        <v>97.555000000000007</v>
      </c>
      <c r="ABQ21">
        <f>SOFR3mo_PX[[#This Row],[Column745]]</f>
        <v>97.64</v>
      </c>
      <c r="ABR21">
        <f>SOFR3mo_PX[[#This Row],[Column746]]</f>
        <v>97.644999999999996</v>
      </c>
      <c r="ABS21">
        <f>SOFR3mo_PX[[#This Row],[Column747]]</f>
        <v>97.555000000000007</v>
      </c>
      <c r="ABT21">
        <f>SOFR3mo_PX[[#This Row],[Column748]]</f>
        <v>97.504999999999995</v>
      </c>
      <c r="ABU21">
        <f>SOFR3mo_PX[[#This Row],[Column749]]</f>
        <v>97.63</v>
      </c>
      <c r="ABV21">
        <f>SOFR3mo_PX[[#This Row],[Column750]]</f>
        <v>97.61</v>
      </c>
      <c r="ABW21">
        <f>SOFR3mo_PX[[#This Row],[Column751]]</f>
        <v>97.64</v>
      </c>
      <c r="ABX21">
        <f>SOFR3mo_PX[[#This Row],[Column752]]</f>
        <v>97.545000000000002</v>
      </c>
      <c r="ABY21">
        <f>SOFR3mo_PX[[#This Row],[Column753]]</f>
        <v>97.71</v>
      </c>
      <c r="ABZ21">
        <f>SOFR3mo_PX[[#This Row],[Column754]]</f>
        <v>97.61</v>
      </c>
      <c r="ACA21">
        <f>SOFR3mo_PX[[#This Row],[Column755]]</f>
        <v>97.594999999999999</v>
      </c>
      <c r="ACB21">
        <f>SOFR3mo_PX[[#This Row],[Column756]]</f>
        <v>97.74</v>
      </c>
      <c r="ACC21">
        <f>SOFR3mo_PX[[#This Row],[Column757]]</f>
        <v>97.69</v>
      </c>
      <c r="ACD21">
        <f>SOFR3mo_PX[[#This Row],[Column758]]</f>
        <v>97.65</v>
      </c>
      <c r="ACE21">
        <f>SOFR3mo_PX[[#This Row],[Column759]]</f>
        <v>97.58</v>
      </c>
      <c r="ACF21">
        <f>SOFR3mo_PX[[#This Row],[Column760]]</f>
        <v>97.504999999999995</v>
      </c>
      <c r="ACG21">
        <f>SOFR3mo_PX[[#This Row],[Column761]]</f>
        <v>97.465000000000003</v>
      </c>
      <c r="ACH21">
        <f>SOFR3mo_PX[[#This Row],[Column762]]</f>
        <v>97.495000000000005</v>
      </c>
      <c r="ACI21">
        <f>SOFR3mo_PX[[#This Row],[Column763]]</f>
        <v>97.375</v>
      </c>
      <c r="ACJ21">
        <f>SOFR3mo_PX[[#This Row],[Column764]]</f>
        <v>97.24</v>
      </c>
      <c r="ACK21">
        <f>SOFR3mo_PX[[#This Row],[Column765]]</f>
        <v>97.295000000000002</v>
      </c>
      <c r="ACL21">
        <f>SOFR3mo_PX[[#This Row],[Column766]]</f>
        <v>97.34</v>
      </c>
      <c r="ACM21">
        <f>SOFR3mo_PX[[#This Row],[Column767]]</f>
        <v>97.36</v>
      </c>
      <c r="ACN21">
        <f>SOFR3mo_PX[[#This Row],[Column768]]</f>
        <v>97.3</v>
      </c>
      <c r="ACO21">
        <f>SOFR3mo_PX[[#This Row],[Column769]]</f>
        <v>97.355000000000004</v>
      </c>
      <c r="ACP21">
        <f>SOFR3mo_PX[[#This Row],[Column770]]</f>
        <v>97.254999999999995</v>
      </c>
      <c r="ACQ21">
        <f>SOFR3mo_PX[[#This Row],[Column771]]</f>
        <v>97.204999999999998</v>
      </c>
      <c r="ACR21">
        <f>SOFR3mo_PX[[#This Row],[Column772]]</f>
        <v>97.055000000000007</v>
      </c>
      <c r="ACS21">
        <f>SOFR3mo_PX[[#This Row],[Column773]]</f>
        <v>97.135000000000005</v>
      </c>
      <c r="ACT21">
        <f>SOFR3mo_PX[[#This Row],[Column774]]</f>
        <v>97.254999999999995</v>
      </c>
      <c r="ACU21">
        <f>SOFR3mo_PX[[#This Row],[Column775]]</f>
        <v>97.35</v>
      </c>
      <c r="ACV21">
        <f>SOFR3mo_PX[[#This Row],[Column776]]</f>
        <v>97.25</v>
      </c>
      <c r="ACW21">
        <f>SOFR3mo_PX[[#This Row],[Column777]]</f>
        <v>97.25</v>
      </c>
      <c r="ACX21">
        <f>SOFR3mo_PX[[#This Row],[Column778]]</f>
        <v>97.2</v>
      </c>
      <c r="ACY21">
        <f>SOFR3mo_PX[[#This Row],[Column779]]</f>
        <v>97.06</v>
      </c>
      <c r="ACZ21">
        <f>SOFR3mo_PX[[#This Row],[Column780]]</f>
        <v>96.97</v>
      </c>
      <c r="ADA21">
        <f>SOFR3mo_PX[[#This Row],[Column781]]</f>
        <v>96.995000000000005</v>
      </c>
      <c r="ADB21">
        <f>SOFR3mo_PX[[#This Row],[Column782]]</f>
        <v>97.06</v>
      </c>
      <c r="ADC21">
        <f>SOFR3mo_PX[[#This Row],[Column783]]</f>
        <v>97.144999999999996</v>
      </c>
      <c r="ADD21">
        <f>SOFR3mo_PX[[#This Row],[Column784]]</f>
        <v>97.05</v>
      </c>
      <c r="ADE21">
        <f>SOFR3mo_PX[[#This Row],[Column785]]</f>
        <v>96.93</v>
      </c>
      <c r="ADF21">
        <f>SOFR3mo_PX[[#This Row],[Column786]]</f>
        <v>97.015000000000001</v>
      </c>
      <c r="ADG21">
        <f>SOFR3mo_PX[[#This Row],[Column787]]</f>
        <v>97.015000000000001</v>
      </c>
      <c r="ADH21">
        <f>SOFR3mo_PX[[#This Row],[Column788]]</f>
        <v>96.954999999999998</v>
      </c>
      <c r="ADI21">
        <f>SOFR3mo_PX[[#This Row],[Column789]]</f>
        <v>96.795000000000002</v>
      </c>
      <c r="ADJ21">
        <f>SOFR3mo_PX[[#This Row],[Column790]]</f>
        <v>96.754999999999995</v>
      </c>
      <c r="ADK21">
        <f>SOFR3mo_PX[[#This Row],[Column791]]</f>
        <v>96.875</v>
      </c>
      <c r="ADL21">
        <f>SOFR3mo_PX[[#This Row],[Column792]]</f>
        <v>97.1</v>
      </c>
      <c r="ADM21">
        <f>SOFR3mo_PX[[#This Row],[Column793]]</f>
        <v>97.19</v>
      </c>
      <c r="ADN21">
        <f>SOFR3mo_PX[[#This Row],[Column794]]</f>
        <v>97.194999999999993</v>
      </c>
      <c r="ADO21">
        <f>SOFR3mo_PX[[#This Row],[Column795]]</f>
        <v>97.24</v>
      </c>
      <c r="ADP21">
        <f>SOFR3mo_PX[[#This Row],[Column796]]</f>
        <v>97.15</v>
      </c>
      <c r="ADQ21">
        <f>SOFR3mo_PX[[#This Row],[Column797]]</f>
        <v>97.254999999999995</v>
      </c>
      <c r="ADR21">
        <f>SOFR3mo_PX[[#This Row],[Column798]]</f>
        <v>97.305000000000007</v>
      </c>
      <c r="ADS21">
        <f>SOFR3mo_PX[[#This Row],[Column799]]</f>
        <v>97.26</v>
      </c>
      <c r="ADT21">
        <f>SOFR3mo_PX[[#This Row],[Column800]]</f>
        <v>97.35</v>
      </c>
      <c r="ADU21">
        <f>SOFR3mo_PX[[#This Row],[Column801]]</f>
        <v>97.44</v>
      </c>
      <c r="ADV21">
        <f>SOFR3mo_PX[[#This Row],[Column802]]</f>
        <v>97.44</v>
      </c>
      <c r="ADW21">
        <f>SOFR3mo_PX[[#This Row],[Column803]]</f>
        <v>97.43</v>
      </c>
      <c r="ADX21">
        <f>SOFR3mo_PX[[#This Row],[Column804]]</f>
        <v>97.44</v>
      </c>
      <c r="ADY21">
        <f>SOFR3mo_PX[[#This Row],[Column805]]</f>
        <v>97.415000000000006</v>
      </c>
      <c r="ADZ21">
        <f>SOFR3mo_PX[[#This Row],[Column806]]</f>
        <v>97.314999999999998</v>
      </c>
      <c r="AEA21">
        <f>SOFR3mo_PX[[#This Row],[Column807]]</f>
        <v>97.38</v>
      </c>
      <c r="AEB21">
        <f>SOFR3mo_PX[[#This Row],[Column808]]</f>
        <v>97.32</v>
      </c>
      <c r="AEC21">
        <f>SOFR3mo_PX[[#This Row],[Column809]]</f>
        <v>97.3</v>
      </c>
      <c r="AED21">
        <f>SOFR3mo_PX[[#This Row],[Column810]]</f>
        <v>97.2</v>
      </c>
      <c r="AEE21">
        <f>SOFR3mo_PX[[#This Row],[Column811]]</f>
        <v>97.284999999999997</v>
      </c>
      <c r="AEF21">
        <f>SOFR3mo_PX[[#This Row],[Column812]]</f>
        <v>97.185000000000002</v>
      </c>
      <c r="AEG21">
        <f>SOFR3mo_PX[[#This Row],[Column813]]</f>
        <v>97.314999999999998</v>
      </c>
      <c r="AEH21">
        <f>SOFR3mo_PX[[#This Row],[Column814]]</f>
        <v>97.25</v>
      </c>
      <c r="AEI21">
        <f>SOFR3mo_PX[[#This Row],[Column815]]</f>
        <v>97.16</v>
      </c>
      <c r="AEJ21">
        <f>SOFR3mo_PX[[#This Row],[Column816]]</f>
        <v>97.04</v>
      </c>
      <c r="AEK21">
        <f>SOFR3mo_PX[[#This Row],[Column817]]</f>
        <v>96.99</v>
      </c>
      <c r="AEL21">
        <f>SOFR3mo_PX[[#This Row],[Column818]]</f>
        <v>97.064999999999998</v>
      </c>
      <c r="AEM21">
        <f>SOFR3mo_PX[[#This Row],[Column819]]</f>
        <v>97.194999999999993</v>
      </c>
      <c r="AEN21">
        <f>SOFR3mo_PX[[#This Row],[Column820]]</f>
        <v>97.165000000000006</v>
      </c>
      <c r="AEO21">
        <f>SOFR3mo_PX[[#This Row],[Column821]]</f>
        <v>97.11</v>
      </c>
      <c r="AEP21">
        <f>SOFR3mo_PX[[#This Row],[Column822]]</f>
        <v>97.245000000000005</v>
      </c>
      <c r="AEQ21">
        <f>SOFR3mo_PX[[#This Row],[Column823]]</f>
        <v>97.25</v>
      </c>
      <c r="AER21">
        <f>SOFR3mo_PX[[#This Row],[Column824]]</f>
        <v>97.32</v>
      </c>
      <c r="AES21">
        <f>SOFR3mo_PX[[#This Row],[Column825]]</f>
        <v>97.364999999999995</v>
      </c>
      <c r="AET21">
        <f>SOFR3mo_PX[[#This Row],[Column826]]</f>
        <v>97.36</v>
      </c>
      <c r="AEU21">
        <f>SOFR3mo_PX[[#This Row],[Column827]]</f>
        <v>97.275000000000006</v>
      </c>
      <c r="AEV21">
        <f>SOFR3mo_PX[[#This Row],[Column828]]</f>
        <v>97.194999999999993</v>
      </c>
      <c r="AEW21">
        <f>SOFR3mo_PX[[#This Row],[Column829]]</f>
        <v>97.284999999999997</v>
      </c>
      <c r="AEX21">
        <f>SOFR3mo_PX[[#This Row],[Column830]]</f>
        <v>97.19</v>
      </c>
      <c r="AEY21">
        <f>SOFR3mo_PX[[#This Row],[Column831]]</f>
        <v>97.254999999999995</v>
      </c>
      <c r="AEZ21">
        <f>SOFR3mo_PX[[#This Row],[Column832]]</f>
        <v>97.31</v>
      </c>
      <c r="AFA21">
        <f>SOFR3mo_PX[[#This Row],[Column833]]</f>
        <v>97.31</v>
      </c>
      <c r="AFB21">
        <f>SOFR3mo_PX[[#This Row],[Column834]]</f>
        <v>97.44</v>
      </c>
      <c r="AFC21">
        <f>SOFR3mo_PX[[#This Row],[Column835]]</f>
        <v>97.41</v>
      </c>
      <c r="AFD21">
        <f>SOFR3mo_PX[[#This Row],[Column836]]</f>
        <v>97.334999999999994</v>
      </c>
      <c r="AFE21">
        <f>SOFR3mo_PX[[#This Row],[Column837]]</f>
        <v>97.454999999999998</v>
      </c>
      <c r="AFF21">
        <f>SOFR3mo_PX[[#This Row],[Column838]]</f>
        <v>97.534999999999997</v>
      </c>
      <c r="AFG21">
        <f>SOFR3mo_PX[[#This Row],[Column839]]</f>
        <v>97.594999999999999</v>
      </c>
      <c r="AFH21">
        <f>SOFR3mo_PX[[#This Row],[Column840]]</f>
        <v>97.655000000000001</v>
      </c>
      <c r="AFI21">
        <f>SOFR3mo_PX[[#This Row],[Column841]]</f>
        <v>97.88</v>
      </c>
      <c r="AFJ21">
        <f>SOFR3mo_PX[[#This Row],[Column842]]</f>
        <v>97.9</v>
      </c>
      <c r="AFK21">
        <f>SOFR3mo_PX[[#This Row],[Column843]]</f>
        <v>97.94</v>
      </c>
      <c r="AFL21">
        <f>SOFR3mo_PX[[#This Row],[Column844]]</f>
        <v>97.875</v>
      </c>
      <c r="AFM21">
        <f>SOFR3mo_PX[[#This Row],[Column845]]</f>
        <v>97.8</v>
      </c>
      <c r="AFN21">
        <f>SOFR3mo_PX[[#This Row],[Column846]]</f>
        <v>97.674999999999997</v>
      </c>
      <c r="AFO21">
        <f>SOFR3mo_PX[[#This Row],[Column847]]</f>
        <v>97.625</v>
      </c>
      <c r="AFP21">
        <f>SOFR3mo_PX[[#This Row],[Column848]]</f>
        <v>97.83</v>
      </c>
      <c r="AFQ21">
        <f>SOFR3mo_PX[[#This Row],[Column849]]</f>
        <v>97.864999999999995</v>
      </c>
      <c r="AFR21">
        <f>SOFR3mo_PX[[#This Row],[Column850]]</f>
        <v>97.814999999999998</v>
      </c>
      <c r="AFS21">
        <f>SOFR3mo_PX[[#This Row],[Column851]]</f>
        <v>97.875</v>
      </c>
      <c r="AFT21">
        <f>SOFR3mo_PX[[#This Row],[Column852]]</f>
        <v>98.03</v>
      </c>
      <c r="AFU21">
        <f>SOFR3mo_PX[[#This Row],[Column853]]</f>
        <v>97.96</v>
      </c>
      <c r="AFV21">
        <f>SOFR3mo_PX[[#This Row],[Column854]]</f>
        <v>97.915000000000006</v>
      </c>
      <c r="AFW21">
        <f>SOFR3mo_PX[[#This Row],[Column855]]</f>
        <v>97.96</v>
      </c>
      <c r="AFX21">
        <f>SOFR3mo_PX[[#This Row],[Column856]]</f>
        <v>97.984999999999999</v>
      </c>
      <c r="AFY21">
        <f>SOFR3mo_PX[[#This Row],[Column857]]</f>
        <v>98.13</v>
      </c>
      <c r="AFZ21">
        <f>SOFR3mo_PX[[#This Row],[Column858]]</f>
        <v>98.144999999999996</v>
      </c>
      <c r="AGA21">
        <f>SOFR3mo_PX[[#This Row],[Column859]]</f>
        <v>98.215000000000003</v>
      </c>
      <c r="AGB21">
        <f>SOFR3mo_PX[[#This Row],[Column860]]</f>
        <v>98.314999999999998</v>
      </c>
      <c r="AGC21">
        <f>SOFR3mo_PX[[#This Row],[Column861]]</f>
        <v>98.43</v>
      </c>
      <c r="AGD21">
        <f>SOFR3mo_PX[[#This Row],[Column862]]</f>
        <v>98.454999999999998</v>
      </c>
      <c r="AGE21">
        <f>SOFR3mo_PX[[#This Row],[Column863]]</f>
        <v>98.3</v>
      </c>
      <c r="AGF21">
        <f>SOFR3mo_PX[[#This Row],[Column864]]</f>
        <v>98.245000000000005</v>
      </c>
      <c r="AGG21">
        <f>SOFR3mo_PX[[#This Row],[Column865]]</f>
        <v>98.424999999999997</v>
      </c>
      <c r="AGH21">
        <f>SOFR3mo_PX[[#This Row],[Column866]]</f>
        <v>98.254999999999995</v>
      </c>
      <c r="AGI21">
        <f>SOFR3mo_PX[[#This Row],[Column867]]</f>
        <v>98.105000000000004</v>
      </c>
      <c r="AGJ21">
        <f>SOFR3mo_PX[[#This Row],[Column868]]</f>
        <v>98.114999999999995</v>
      </c>
      <c r="AGK21">
        <f>SOFR3mo_PX[[#This Row],[Column869]]</f>
        <v>98.11</v>
      </c>
      <c r="AGL21">
        <f>SOFR3mo_PX[[#This Row],[Column870]]</f>
        <v>98.144999999999996</v>
      </c>
      <c r="AGM21">
        <f>SOFR3mo_PX[[#This Row],[Column871]]</f>
        <v>98.144999999999996</v>
      </c>
      <c r="AGN21">
        <f>SOFR3mo_PX[[#This Row],[Column872]]</f>
        <v>98.144999999999996</v>
      </c>
      <c r="AGO21">
        <f>SOFR3mo_PX[[#This Row],[Column873]]</f>
        <v>98.094999999999999</v>
      </c>
      <c r="AGP21">
        <f>SOFR3mo_PX[[#This Row],[Column874]]</f>
        <v>98.01</v>
      </c>
      <c r="AGQ21">
        <f>SOFR3mo_PX[[#This Row],[Column875]]</f>
        <v>98.015000000000001</v>
      </c>
      <c r="AGR21">
        <f>SOFR3mo_PX[[#This Row],[Column876]]</f>
        <v>98.08</v>
      </c>
      <c r="AGS21">
        <f>SOFR3mo_PX[[#This Row],[Column877]]</f>
        <v>98.13</v>
      </c>
      <c r="AGT21">
        <f>SOFR3mo_PX[[#This Row],[Column878]]</f>
        <v>98.015000000000001</v>
      </c>
      <c r="AGU21">
        <f>SOFR3mo_PX[[#This Row],[Column879]]</f>
        <v>98.09</v>
      </c>
      <c r="AGV21">
        <f>SOFR3mo_PX[[#This Row],[Column880]]</f>
        <v>98.05</v>
      </c>
      <c r="AGW21">
        <f>SOFR3mo_PX[[#This Row],[Column881]]</f>
        <v>98.094999999999999</v>
      </c>
      <c r="AGX21">
        <f>SOFR3mo_PX[[#This Row],[Column882]]</f>
        <v>98.07</v>
      </c>
      <c r="AGY21">
        <f>SOFR3mo_PX[[#This Row],[Column883]]</f>
        <v>98.194999999999993</v>
      </c>
      <c r="AGZ21">
        <f>SOFR3mo_PX[[#This Row],[Column884]]</f>
        <v>98.265000000000001</v>
      </c>
      <c r="AHA21">
        <f>SOFR3mo_PX[[#This Row],[Column885]]</f>
        <v>98.234999999999999</v>
      </c>
      <c r="AHB21">
        <f>SOFR3mo_PX[[#This Row],[Column886]]</f>
        <v>98.23</v>
      </c>
      <c r="AHC21">
        <f>SOFR3mo_PX[[#This Row],[Column887]]</f>
        <v>98.245000000000005</v>
      </c>
      <c r="AHD21">
        <f>SOFR3mo_PX[[#This Row],[Column888]]</f>
        <v>98.194999999999993</v>
      </c>
      <c r="AHE21">
        <f>SOFR3mo_PX[[#This Row],[Column889]]</f>
        <v>98.105000000000004</v>
      </c>
      <c r="AHF21">
        <f>SOFR3mo_PX[[#This Row],[Column890]]</f>
        <v>98.185000000000002</v>
      </c>
      <c r="AHG21">
        <f>SOFR3mo_PX[[#This Row],[Column891]]</f>
        <v>98.25</v>
      </c>
      <c r="AHH21">
        <f>SOFR3mo_PX[[#This Row],[Column892]]</f>
        <v>98.22</v>
      </c>
      <c r="AHI21">
        <f>SOFR3mo_PX[[#This Row],[Column893]]</f>
        <v>98.15</v>
      </c>
      <c r="AHJ21">
        <f>SOFR3mo_PX[[#This Row],[Column894]]</f>
        <v>98.135000000000005</v>
      </c>
      <c r="AHK21">
        <f>SOFR3mo_PX[[#This Row],[Column895]]</f>
        <v>98.08</v>
      </c>
      <c r="AHL21">
        <f>SOFR3mo_PX[[#This Row],[Column896]]</f>
        <v>98.2</v>
      </c>
      <c r="AHM21">
        <f>SOFR3mo_PX[[#This Row],[Column897]]</f>
        <v>98.2</v>
      </c>
      <c r="AHN21">
        <f>SOFR3mo_PX[[#This Row],[Column898]]</f>
        <v>98.28</v>
      </c>
      <c r="AHO21">
        <f>SOFR3mo_PX[[#This Row],[Column899]]</f>
        <v>98.245000000000005</v>
      </c>
      <c r="AHP21">
        <f>SOFR3mo_PX[[#This Row],[Column900]]</f>
        <v>98.2</v>
      </c>
      <c r="AHQ21">
        <f>SOFR3mo_PX[[#This Row],[Column901]]</f>
        <v>98.15</v>
      </c>
      <c r="AHR21">
        <f>SOFR3mo_PX[[#This Row],[Column902]]</f>
        <v>98.17</v>
      </c>
      <c r="AHS21">
        <f>SOFR3mo_PX[[#This Row],[Column903]]</f>
        <v>98.215000000000003</v>
      </c>
      <c r="AHT21">
        <f>SOFR3mo_PX[[#This Row],[Column904]]</f>
        <v>98.254999999999995</v>
      </c>
      <c r="AHU21">
        <f>SOFR3mo_PX[[#This Row],[Column905]]</f>
        <v>98.284999999999997</v>
      </c>
      <c r="AHV21">
        <f>SOFR3mo_PX[[#This Row],[Column906]]</f>
        <v>98.325000000000003</v>
      </c>
      <c r="AHW21">
        <f>SOFR3mo_PX[[#This Row],[Column907]]</f>
        <v>98.48</v>
      </c>
      <c r="AHX21">
        <f>SOFR3mo_PX[[#This Row],[Column908]]</f>
        <v>98.46</v>
      </c>
      <c r="AHY21">
        <f>SOFR3mo_PX[[#This Row],[Column909]]</f>
        <v>98.45</v>
      </c>
      <c r="AHZ21">
        <f>SOFR3mo_PX[[#This Row],[Column910]]</f>
        <v>98.525000000000006</v>
      </c>
      <c r="AIA21">
        <f>SOFR3mo_PX[[#This Row],[Column911]]</f>
        <v>98.515000000000001</v>
      </c>
      <c r="AIB21">
        <f>SOFR3mo_PX[[#This Row],[Column912]]</f>
        <v>98.5</v>
      </c>
      <c r="AIC21">
        <f>SOFR3mo_PX[[#This Row],[Column913]]</f>
        <v>98.5</v>
      </c>
      <c r="AID21">
        <f>SOFR3mo_PX[[#This Row],[Column914]]</f>
        <v>98.52</v>
      </c>
      <c r="AIE21">
        <f>SOFR3mo_PX[[#This Row],[Column915]]</f>
        <v>98.51</v>
      </c>
      <c r="AIF21">
        <f>SOFR3mo_PX[[#This Row],[Column916]]</f>
        <v>98.605000000000004</v>
      </c>
      <c r="AIG21">
        <f>SOFR3mo_PX[[#This Row],[Column917]]</f>
        <v>98.635000000000005</v>
      </c>
      <c r="AIH21">
        <f>SOFR3mo_PX[[#This Row],[Column918]]</f>
        <v>98.605000000000004</v>
      </c>
      <c r="AII21">
        <f>SOFR3mo_PX[[#This Row],[Column919]]</f>
        <v>98.53</v>
      </c>
      <c r="AIJ21">
        <f>SOFR3mo_PX[[#This Row],[Column920]]</f>
        <v>98.54</v>
      </c>
      <c r="AIK21">
        <f>SOFR3mo_PX[[#This Row],[Column921]]</f>
        <v>98.555000000000007</v>
      </c>
      <c r="AIL21">
        <f>SOFR3mo_PX[[#This Row],[Column922]]</f>
        <v>98.504999999999995</v>
      </c>
      <c r="AIM21">
        <f>SOFR3mo_PX[[#This Row],[Column923]]</f>
        <v>98.53</v>
      </c>
      <c r="AIN21">
        <f>SOFR3mo_PX[[#This Row],[Column924]]</f>
        <v>98.495000000000005</v>
      </c>
      <c r="AIO21">
        <f>SOFR3mo_PX[[#This Row],[Column925]]</f>
        <v>98.51</v>
      </c>
      <c r="AIP21">
        <f>SOFR3mo_PX[[#This Row],[Column926]]</f>
        <v>98.56</v>
      </c>
      <c r="AIQ21">
        <f>SOFR3mo_PX[[#This Row],[Column927]]</f>
        <v>98.7</v>
      </c>
      <c r="AIR21">
        <f>SOFR3mo_PX[[#This Row],[Column928]]</f>
        <v>98.58</v>
      </c>
      <c r="AIS21">
        <f>SOFR3mo_PX[[#This Row],[Column929]]</f>
        <v>98.605000000000004</v>
      </c>
      <c r="AIT21">
        <f>SOFR3mo_PX[[#This Row],[Column930]]</f>
        <v>98.56</v>
      </c>
      <c r="AIU21">
        <f>SOFR3mo_PX[[#This Row],[Column931]]</f>
        <v>98.474999999999994</v>
      </c>
      <c r="AIV21">
        <f>SOFR3mo_PX[[#This Row],[Column932]]</f>
        <v>98.504999999999995</v>
      </c>
      <c r="AIW21">
        <f>SOFR3mo_PX[[#This Row],[Column933]]</f>
        <v>98.334999999999994</v>
      </c>
      <c r="AIX21">
        <f>SOFR3mo_PX[[#This Row],[Column934]]</f>
        <v>98.334999999999994</v>
      </c>
      <c r="AIY21">
        <f>SOFR3mo_PX[[#This Row],[Column935]]</f>
        <v>98.305000000000007</v>
      </c>
      <c r="AIZ21">
        <f>SOFR3mo_PX[[#This Row],[Column936]]</f>
        <v>98.355000000000004</v>
      </c>
      <c r="AJA21">
        <f>SOFR3mo_PX[[#This Row],[Column937]]</f>
        <v>98.465000000000003</v>
      </c>
      <c r="AJB21">
        <f>SOFR3mo_PX[[#This Row],[Column938]]</f>
        <v>98.4</v>
      </c>
      <c r="AJC21">
        <f>SOFR3mo_PX[[#This Row],[Column939]]</f>
        <v>98.36</v>
      </c>
      <c r="AJD21">
        <f>SOFR3mo_PX[[#This Row],[Column940]]</f>
        <v>98.334999999999994</v>
      </c>
      <c r="AJE21">
        <f>SOFR3mo_PX[[#This Row],[Column941]]</f>
        <v>98.37</v>
      </c>
      <c r="AJF21">
        <f>SOFR3mo_PX[[#This Row],[Column942]]</f>
        <v>98.405000000000001</v>
      </c>
      <c r="AJG21">
        <f>SOFR3mo_PX[[#This Row],[Column943]]</f>
        <v>98.405000000000001</v>
      </c>
      <c r="AJH21">
        <f>SOFR3mo_PX[[#This Row],[Column944]]</f>
        <v>98.44</v>
      </c>
      <c r="AJI21">
        <f>SOFR3mo_PX[[#This Row],[Column945]]</f>
        <v>98.584999999999994</v>
      </c>
      <c r="AJJ21">
        <f>SOFR3mo_PX[[#This Row],[Column946]]</f>
        <v>98.5</v>
      </c>
      <c r="AJK21">
        <f>SOFR3mo_PX[[#This Row],[Column947]]</f>
        <v>98.56</v>
      </c>
      <c r="AJL21">
        <f>SOFR3mo_PX[[#This Row],[Column948]]</f>
        <v>98.465000000000003</v>
      </c>
      <c r="AJM21">
        <f>SOFR3mo_PX[[#This Row],[Column949]]</f>
        <v>98.42</v>
      </c>
      <c r="AJN21">
        <f>SOFR3mo_PX[[#This Row],[Column950]]</f>
        <v>98.45</v>
      </c>
      <c r="AJO21">
        <f>SOFR3mo_PX[[#This Row],[Column951]]</f>
        <v>98.47</v>
      </c>
      <c r="AJP21">
        <f>SOFR3mo_PX[[#This Row],[Column952]]</f>
        <v>98.5</v>
      </c>
      <c r="AJQ21">
        <f>SOFR3mo_PX[[#This Row],[Column953]]</f>
        <v>98.47</v>
      </c>
      <c r="AJR21">
        <f>SOFR3mo_PX[[#This Row],[Column954]]</f>
        <v>98.46</v>
      </c>
      <c r="AJS21">
        <f>SOFR3mo_PX[[#This Row],[Column955]]</f>
        <v>98.32</v>
      </c>
      <c r="AJT21">
        <f>SOFR3mo_PX[[#This Row],[Column956]]</f>
        <v>98.314999999999998</v>
      </c>
      <c r="AJU21">
        <f>SOFR3mo_PX[[#This Row],[Column957]]</f>
        <v>98.314999999999998</v>
      </c>
      <c r="AJV21">
        <f>SOFR3mo_PX[[#This Row],[Column958]]</f>
        <v>98.275000000000006</v>
      </c>
      <c r="AJW21">
        <f>SOFR3mo_PX[[#This Row],[Column959]]</f>
        <v>98.32</v>
      </c>
      <c r="AJX21">
        <f>SOFR3mo_PX[[#This Row],[Column960]]</f>
        <v>98.325000000000003</v>
      </c>
      <c r="AJY21">
        <f>SOFR3mo_PX[[#This Row],[Column961]]</f>
        <v>98.37</v>
      </c>
      <c r="AJZ21">
        <f>SOFR3mo_PX[[#This Row],[Column962]]</f>
        <v>98.37</v>
      </c>
      <c r="AKA21">
        <f>SOFR3mo_PX[[#This Row],[Column963]]</f>
        <v>98.43</v>
      </c>
      <c r="AKB21">
        <f>SOFR3mo_PX[[#This Row],[Column964]]</f>
        <v>98.38</v>
      </c>
      <c r="AKC21">
        <f>SOFR3mo_PX[[#This Row],[Column965]]</f>
        <v>98.33</v>
      </c>
      <c r="AKD21">
        <f>SOFR3mo_PX[[#This Row],[Column966]]</f>
        <v>98.28</v>
      </c>
      <c r="AKE21">
        <f>SOFR3mo_PX[[#This Row],[Column967]]</f>
        <v>98.295000000000002</v>
      </c>
      <c r="AKF21">
        <f>SOFR3mo_PX[[#This Row],[Column968]]</f>
        <v>98.34</v>
      </c>
      <c r="AKG21">
        <f>SOFR3mo_PX[[#This Row],[Column969]]</f>
        <v>98.39</v>
      </c>
      <c r="AKH21">
        <f>SOFR3mo_PX[[#This Row],[Column970]]</f>
        <v>98.385000000000005</v>
      </c>
      <c r="AKI21">
        <f>SOFR3mo_PX[[#This Row],[Column971]]</f>
        <v>98.435000000000002</v>
      </c>
      <c r="AKJ21">
        <f>SOFR3mo_PX[[#This Row],[Column972]]</f>
        <v>98.42</v>
      </c>
      <c r="AKK21">
        <f>SOFR3mo_PX[[#This Row],[Column973]]</f>
        <v>98.334999999999994</v>
      </c>
      <c r="AKL21">
        <f>SOFR3mo_PX[[#This Row],[Column974]]</f>
        <v>98.32</v>
      </c>
      <c r="AKM21">
        <f>SOFR3mo_PX[[#This Row],[Column975]]</f>
        <v>98.314999999999998</v>
      </c>
      <c r="AKN21">
        <f>SOFR3mo_PX[[#This Row],[Column976]]</f>
        <v>98.38</v>
      </c>
      <c r="AKO21">
        <f>SOFR3mo_PX[[#This Row],[Column977]]</f>
        <v>98.42</v>
      </c>
      <c r="AKP21">
        <f>SOFR3mo_PX[[#This Row],[Column978]]</f>
        <v>98.47</v>
      </c>
      <c r="AKQ21">
        <f>SOFR3mo_PX[[#This Row],[Column979]]</f>
        <v>98.555000000000007</v>
      </c>
      <c r="AKR21">
        <f>SOFR3mo_PX[[#This Row],[Column980]]</f>
        <v>98.575000000000003</v>
      </c>
      <c r="AKS21">
        <f>SOFR3mo_PX[[#This Row],[Column981]]</f>
        <v>98.58</v>
      </c>
      <c r="AKT21">
        <f>SOFR3mo_PX[[#This Row],[Column982]]</f>
        <v>98.504999999999995</v>
      </c>
      <c r="AKU21">
        <f>SOFR3mo_PX[[#This Row],[Column983]]</f>
        <v>98.564999999999998</v>
      </c>
      <c r="AKV21">
        <f>SOFR3mo_PX[[#This Row],[Column984]]</f>
        <v>98.625</v>
      </c>
      <c r="AKW21">
        <f>SOFR3mo_PX[[#This Row],[Column985]]</f>
        <v>98.69</v>
      </c>
      <c r="AKX21">
        <f>SOFR3mo_PX[[#This Row],[Column986]]</f>
        <v>98.644999999999996</v>
      </c>
      <c r="AKY21">
        <f>SOFR3mo_PX[[#This Row],[Column987]]</f>
        <v>98.63</v>
      </c>
      <c r="AKZ21">
        <f>SOFR3mo_PX[[#This Row],[Column988]]</f>
        <v>98.685000000000002</v>
      </c>
      <c r="ALA21">
        <f>SOFR3mo_PX[[#This Row],[Column989]]</f>
        <v>98.65</v>
      </c>
      <c r="ALB21">
        <f>SOFR3mo_PX[[#This Row],[Column990]]</f>
        <v>98.614999999999995</v>
      </c>
      <c r="ALC21">
        <f>SOFR3mo_PX[[#This Row],[Column991]]</f>
        <v>98.67</v>
      </c>
      <c r="ALD21">
        <f>SOFR3mo_PX[[#This Row],[Column992]]</f>
        <v>98.67</v>
      </c>
      <c r="ALE21">
        <f>SOFR3mo_PX[[#This Row],[Column993]]</f>
        <v>98.704999999999998</v>
      </c>
      <c r="ALF21">
        <f>SOFR3mo_PX[[#This Row],[Column994]]</f>
        <v>98.694999999999993</v>
      </c>
      <c r="ALG21">
        <f>SOFR3mo_PX[[#This Row],[Column995]]</f>
        <v>98.694999999999993</v>
      </c>
      <c r="ALH21">
        <f>SOFR3mo_PX[[#This Row],[Column996]]</f>
        <v>98.71</v>
      </c>
      <c r="ALI21">
        <f>SOFR3mo_PX[[#This Row],[Column997]]</f>
        <v>98.67</v>
      </c>
      <c r="ALJ21">
        <f>SOFR3mo_PX[[#This Row],[Column998]]</f>
        <v>98.63</v>
      </c>
      <c r="ALK21">
        <f>SOFR3mo_PX[[#This Row],[Column999]]</f>
        <v>98.64</v>
      </c>
      <c r="ALL21">
        <f>SOFR3mo_PX[[#This Row],[Column1000]]</f>
        <v>98.704999999999998</v>
      </c>
      <c r="ALM21">
        <f>SOFR3mo_PX[[#This Row],[Column1001]]</f>
        <v>98.74</v>
      </c>
      <c r="ALN21">
        <f>SOFR3mo_PX[[#This Row],[Column1002]]</f>
        <v>98.724999999999994</v>
      </c>
      <c r="ALO21">
        <f>SOFR3mo_PX[[#This Row],[Column1003]]</f>
        <v>98.75</v>
      </c>
      <c r="ALP21">
        <f>SOFR3mo_PX[[#This Row],[Column1004]]</f>
        <v>98.72</v>
      </c>
      <c r="ALQ21">
        <f>SOFR3mo_PX[[#This Row],[Column1005]]</f>
        <v>98.74</v>
      </c>
      <c r="ALR21">
        <f>SOFR3mo_PX[[#This Row],[Column1006]]</f>
        <v>98.745000000000005</v>
      </c>
      <c r="ALS21">
        <f>SOFR3mo_PX[[#This Row],[Column1007]]</f>
        <v>98.69</v>
      </c>
      <c r="ALT21">
        <f>SOFR3mo_PX[[#This Row],[Column1008]]</f>
        <v>98.61</v>
      </c>
      <c r="ALU21">
        <f>SOFR3mo_PX[[#This Row],[Column1009]]</f>
        <v>98.63</v>
      </c>
      <c r="ALV21">
        <f>SOFR3mo_PX[[#This Row],[Column1010]]</f>
        <v>98.635000000000005</v>
      </c>
      <c r="ALW21">
        <f>SOFR3mo_PX[[#This Row],[Column1011]]</f>
        <v>98.665000000000006</v>
      </c>
      <c r="ALX21">
        <f>SOFR3mo_PX[[#This Row],[Column1012]]</f>
        <v>98.715000000000003</v>
      </c>
      <c r="ALY21">
        <f>SOFR3mo_PX[[#This Row],[Column1013]]</f>
        <v>98.79</v>
      </c>
      <c r="ALZ21">
        <f>SOFR3mo_PX[[#This Row],[Column1014]]</f>
        <v>98.84</v>
      </c>
      <c r="AMA21">
        <f>SOFR3mo_PX[[#This Row],[Column1015]]</f>
        <v>98.864999999999995</v>
      </c>
      <c r="AMB21">
        <f>SOFR3mo_PX[[#This Row],[Column1016]]</f>
        <v>98.86</v>
      </c>
      <c r="AMC21">
        <f>SOFR3mo_PX[[#This Row],[Column1017]]</f>
        <v>98.775000000000006</v>
      </c>
      <c r="AMD21">
        <f>SOFR3mo_PX[[#This Row],[Column1018]]</f>
        <v>98.745000000000005</v>
      </c>
      <c r="AME21">
        <f>SOFR3mo_PX[[#This Row],[Column1019]]</f>
        <v>98.754999999999995</v>
      </c>
      <c r="AMF21">
        <f>SOFR3mo_PX[[#This Row],[Column1020]]</f>
        <v>98.8</v>
      </c>
      <c r="AMG21">
        <f>SOFR3mo_PX[[#This Row],[Column1021]]</f>
        <v>98.765000000000001</v>
      </c>
      <c r="AMH21">
        <f>SOFR3mo_PX[[#This Row],[Column1022]]</f>
        <v>98.754999999999995</v>
      </c>
      <c r="AMI21">
        <f>SOFR3mo_PX[[#This Row],[Column1023]]</f>
        <v>98.77</v>
      </c>
      <c r="AMJ21">
        <f>SOFR3mo_PX[[#This Row],[Column1024]]</f>
        <v>98.76</v>
      </c>
      <c r="AMK21">
        <f>SOFR3mo_PX[[#This Row],[Column1025]]</f>
        <v>98.86</v>
      </c>
      <c r="AML21">
        <f>SOFR3mo_PX[[#This Row],[Column1026]]</f>
        <v>98.875</v>
      </c>
      <c r="AMM21">
        <f>SOFR3mo_PX[[#This Row],[Column1027]]</f>
        <v>98.7</v>
      </c>
      <c r="AMN21">
        <f>SOFR3mo_PX[[#This Row],[Column1028]]</f>
        <v>98.7</v>
      </c>
      <c r="AMO21">
        <f>SOFR3mo_PX[[#This Row],[Column1029]]</f>
        <v>98.625</v>
      </c>
      <c r="AMP21">
        <f>SOFR3mo_PX[[#This Row],[Column1030]]</f>
        <v>98.555000000000007</v>
      </c>
      <c r="AMQ21">
        <f>SOFR3mo_PX[[#This Row],[Column1031]]</f>
        <v>98.61</v>
      </c>
      <c r="AMR21">
        <f>SOFR3mo_PX[[#This Row],[Column1032]]</f>
        <v>98.605000000000004</v>
      </c>
      <c r="AMS21">
        <f>SOFR3mo_PX[[#This Row],[Column1033]]</f>
        <v>98.69</v>
      </c>
      <c r="AMT21">
        <f>SOFR3mo_PX[[#This Row],[Column1034]]</f>
        <v>98.655000000000001</v>
      </c>
      <c r="AMU21">
        <f>SOFR3mo_PX[[#This Row],[Column1035]]</f>
        <v>98.605000000000004</v>
      </c>
      <c r="AMV21">
        <f>SOFR3mo_PX[[#This Row],[Column1036]]</f>
        <v>98.51</v>
      </c>
      <c r="AMW21">
        <f>SOFR3mo_PX[[#This Row],[Column1037]]</f>
        <v>98.51</v>
      </c>
      <c r="AMX21">
        <f>SOFR3mo_PX[[#This Row],[Column1038]]</f>
        <v>98.45</v>
      </c>
      <c r="AMY21">
        <f>SOFR3mo_PX[[#This Row],[Column1039]]</f>
        <v>98.495000000000005</v>
      </c>
      <c r="AMZ21">
        <f>SOFR3mo_PX[[#This Row],[Column1040]]</f>
        <v>98.454999999999998</v>
      </c>
      <c r="ANA21">
        <f>SOFR3mo_PX[[#This Row],[Column1041]]</f>
        <v>98.45</v>
      </c>
      <c r="ANB21">
        <f>SOFR3mo_PX[[#This Row],[Column1042]]</f>
        <v>98.405000000000001</v>
      </c>
      <c r="ANC21">
        <f>SOFR3mo_PX[[#This Row],[Column1043]]</f>
        <v>98.45</v>
      </c>
      <c r="AND21">
        <f>SOFR3mo_PX[[#This Row],[Column1044]]</f>
        <v>98.45</v>
      </c>
      <c r="ANE21">
        <f>SOFR3mo_PX[[#This Row],[Column1045]]</f>
        <v>98.484999999999999</v>
      </c>
      <c r="ANF21">
        <f>SOFR3mo_PX[[#This Row],[Column1046]]</f>
        <v>98.48</v>
      </c>
      <c r="ANG21">
        <f>SOFR3mo_PX[[#This Row],[Column1047]]</f>
        <v>98.5</v>
      </c>
      <c r="ANH21">
        <f>SOFR3mo_PX[[#This Row],[Column1048]]</f>
        <v>98.424999999999997</v>
      </c>
      <c r="ANI21">
        <f>SOFR3mo_PX[[#This Row],[Column1049]]</f>
        <v>98.305000000000007</v>
      </c>
      <c r="ANJ21">
        <f>SOFR3mo_PX[[#This Row],[Column1050]]</f>
        <v>98.525000000000006</v>
      </c>
      <c r="ANK21">
        <f>SOFR3mo_PX[[#This Row],[Column1051]]</f>
        <v>98.51</v>
      </c>
      <c r="ANL21">
        <f>SOFR3mo_PX[[#This Row],[Column1052]]</f>
        <v>98.54</v>
      </c>
      <c r="ANM21">
        <f>SOFR3mo_PX[[#This Row],[Column1053]]</f>
        <v>98.57</v>
      </c>
      <c r="ANN21">
        <f>SOFR3mo_PX[[#This Row],[Column1054]]</f>
        <v>98.54</v>
      </c>
      <c r="ANO21">
        <f>SOFR3mo_PX[[#This Row],[Column1055]]</f>
        <v>98.49</v>
      </c>
      <c r="ANP21">
        <f>SOFR3mo_PX[[#This Row],[Column1056]]</f>
        <v>98.444999999999993</v>
      </c>
      <c r="ANQ21">
        <f>SOFR3mo_PX[[#This Row],[Column1057]]</f>
        <v>98.44</v>
      </c>
      <c r="ANR21">
        <f>SOFR3mo_PX[[#This Row],[Column1058]]</f>
        <v>98.344999999999999</v>
      </c>
      <c r="ANS21">
        <f>SOFR3mo_PX[[#This Row],[Column1059]]</f>
        <v>98.394999999999996</v>
      </c>
      <c r="ANT21">
        <f>SOFR3mo_PX[[#This Row],[Column1060]]</f>
        <v>98.36</v>
      </c>
      <c r="ANU21">
        <f>SOFR3mo_PX[[#This Row],[Column1061]]</f>
        <v>98.405000000000001</v>
      </c>
      <c r="ANV21">
        <f>SOFR3mo_PX[[#This Row],[Column1062]]</f>
        <v>98.405000000000001</v>
      </c>
      <c r="ANW21">
        <f>SOFR3mo_PX[[#This Row],[Column1063]]</f>
        <v>98.4</v>
      </c>
      <c r="ANX21">
        <f>SOFR3mo_PX[[#This Row],[Column1064]]</f>
        <v>98.44</v>
      </c>
      <c r="ANY21">
        <f>SOFR3mo_PX[[#This Row],[Column1065]]</f>
        <v>98.45</v>
      </c>
      <c r="ANZ21">
        <f>SOFR3mo_PX[[#This Row],[Column1066]]</f>
        <v>98.39</v>
      </c>
      <c r="AOA21">
        <f>SOFR3mo_PX[[#This Row],[Column1067]]</f>
        <v>98.35</v>
      </c>
      <c r="AOB21">
        <f>SOFR3mo_PX[[#This Row],[Column1068]]</f>
        <v>98.364999999999995</v>
      </c>
      <c r="AOC21">
        <f>SOFR3mo_PX[[#This Row],[Column1069]]</f>
        <v>98.3</v>
      </c>
      <c r="AOD21">
        <f>SOFR3mo_PX[[#This Row],[Column1070]]</f>
        <v>98.355000000000004</v>
      </c>
      <c r="AOE21">
        <f>SOFR3mo_PX[[#This Row],[Column1071]]</f>
        <v>98.355000000000004</v>
      </c>
      <c r="AOF21">
        <f>SOFR3mo_PX[[#This Row],[Column1072]]</f>
        <v>98.364999999999995</v>
      </c>
      <c r="AOG21">
        <f>SOFR3mo_PX[[#This Row],[Column1073]]</f>
        <v>98.334999999999994</v>
      </c>
      <c r="AOH21">
        <f>SOFR3mo_PX[[#This Row],[Column1074]]</f>
        <v>98.275000000000006</v>
      </c>
      <c r="AOI21">
        <f>SOFR3mo_PX[[#This Row],[Column1075]]</f>
        <v>98.38</v>
      </c>
      <c r="AOJ21">
        <f>SOFR3mo_PX[[#This Row],[Column1076]]</f>
        <v>98.405000000000001</v>
      </c>
      <c r="AOK21">
        <f>SOFR3mo_PX[[#This Row],[Column1077]]</f>
        <v>98.41</v>
      </c>
      <c r="AOL21">
        <f>SOFR3mo_PX[[#This Row],[Column1078]]</f>
        <v>98.39</v>
      </c>
      <c r="AOM21">
        <f>SOFR3mo_PX[[#This Row],[Column1079]]</f>
        <v>98.36</v>
      </c>
      <c r="AON21">
        <f>SOFR3mo_PX[[#This Row],[Column1080]]</f>
        <v>98.334999999999994</v>
      </c>
      <c r="AOO21">
        <f>SOFR3mo_PX[[#This Row],[Column1081]]</f>
        <v>98.31</v>
      </c>
      <c r="AOP21">
        <f>SOFR3mo_PX[[#This Row],[Column1082]]</f>
        <v>98.275000000000006</v>
      </c>
      <c r="AOQ21">
        <f>SOFR3mo_PX[[#This Row],[Column1083]]</f>
        <v>98.275000000000006</v>
      </c>
      <c r="AOR21">
        <f>SOFR3mo_PX[[#This Row],[Column1084]]</f>
        <v>98.284999999999997</v>
      </c>
      <c r="AOS21">
        <f>SOFR3mo_PX[[#This Row],[Column1085]]</f>
        <v>98.295000000000002</v>
      </c>
      <c r="AOT21">
        <f>SOFR3mo_PX[[#This Row],[Column1086]]</f>
        <v>98.355000000000004</v>
      </c>
      <c r="AOU21">
        <f>SOFR3mo_PX[[#This Row],[Column1087]]</f>
        <v>98.364999999999995</v>
      </c>
      <c r="AOV21">
        <f>SOFR3mo_PX[[#This Row],[Column1088]]</f>
        <v>98.39</v>
      </c>
      <c r="AOW21">
        <f>SOFR3mo_PX[[#This Row],[Column1089]]</f>
        <v>98.39</v>
      </c>
      <c r="AOX21">
        <f>SOFR3mo_PX[[#This Row],[Column1090]]</f>
        <v>98.394999999999996</v>
      </c>
      <c r="AOY21">
        <f>SOFR3mo_PX[[#This Row],[Column1091]]</f>
        <v>98.37</v>
      </c>
      <c r="AOZ21">
        <f>SOFR3mo_PX[[#This Row],[Column1092]]</f>
        <v>98.385000000000005</v>
      </c>
      <c r="APA21">
        <f>SOFR3mo_PX[[#This Row],[Column1093]]</f>
        <v>98.424999999999997</v>
      </c>
      <c r="APB21">
        <f>SOFR3mo_PX[[#This Row],[Column1094]]</f>
        <v>98.28</v>
      </c>
      <c r="APC21">
        <f>SOFR3mo_PX[[#This Row],[Column1095]]</f>
        <v>98.28</v>
      </c>
      <c r="APD21">
        <f>SOFR3mo_PX[[#This Row],[Column1096]]</f>
        <v>98.185000000000002</v>
      </c>
      <c r="APE21">
        <f>SOFR3mo_PX[[#This Row],[Column1097]]</f>
        <v>98.2</v>
      </c>
      <c r="APF21">
        <f>SOFR3mo_PX[[#This Row],[Column1098]]</f>
        <v>98.23</v>
      </c>
      <c r="APG21">
        <f>SOFR3mo_PX[[#This Row],[Column1099]]</f>
        <v>98.18</v>
      </c>
      <c r="APH21">
        <f>SOFR3mo_PX[[#This Row],[Column1100]]</f>
        <v>98.155000000000001</v>
      </c>
      <c r="API21">
        <f>SOFR3mo_PX[[#This Row],[Column1101]]</f>
        <v>98.05</v>
      </c>
      <c r="APJ21">
        <f>SOFR3mo_PX[[#This Row],[Column1102]]</f>
        <v>98.02</v>
      </c>
      <c r="APK21">
        <f>SOFR3mo_PX[[#This Row],[Column1103]]</f>
        <v>98.094999999999999</v>
      </c>
      <c r="APL21">
        <f>SOFR3mo_PX[[#This Row],[Column1104]]</f>
        <v>98.04</v>
      </c>
      <c r="APM21">
        <f>SOFR3mo_PX[[#This Row],[Column1105]]</f>
        <v>98.08</v>
      </c>
      <c r="APN21">
        <f>SOFR3mo_PX[[#This Row],[Column1106]]</f>
        <v>98.12</v>
      </c>
      <c r="APO21">
        <f>SOFR3mo_PX[[#This Row],[Column1107]]</f>
        <v>98.194999999999993</v>
      </c>
      <c r="APP21">
        <f>SOFR3mo_PX[[#This Row],[Column1108]]</f>
        <v>98.254999999999995</v>
      </c>
      <c r="APQ21">
        <f>SOFR3mo_PX[[#This Row],[Column1109]]</f>
        <v>98.265000000000001</v>
      </c>
      <c r="APR21">
        <f>SOFR3mo_PX[[#This Row],[Column1110]]</f>
        <v>98.245000000000005</v>
      </c>
      <c r="APS21">
        <f>SOFR3mo_PX[[#This Row],[Column1111]]</f>
        <v>98.185000000000002</v>
      </c>
      <c r="APT21">
        <f>SOFR3mo_PX[[#This Row],[Column1112]]</f>
        <v>98.144999999999996</v>
      </c>
      <c r="APU21">
        <f>SOFR3mo_PX[[#This Row],[Column1113]]</f>
        <v>98.204999999999998</v>
      </c>
      <c r="APV21">
        <f>SOFR3mo_PX[[#This Row],[Column1114]]</f>
        <v>98.38</v>
      </c>
      <c r="APW21">
        <f>SOFR3mo_PX[[#This Row],[Column1115]]</f>
        <v>98.42</v>
      </c>
      <c r="APX21">
        <f>SOFR3mo_PX[[#This Row],[Column1116]]</f>
        <v>98.415000000000006</v>
      </c>
      <c r="APY21">
        <f>SOFR3mo_PX[[#This Row],[Column1117]]</f>
        <v>98.4</v>
      </c>
      <c r="APZ21">
        <f>SOFR3mo_PX[[#This Row],[Column1118]]</f>
        <v>98.47</v>
      </c>
      <c r="AQA21">
        <f>SOFR3mo_PX[[#This Row],[Column1119]]</f>
        <v>98.5</v>
      </c>
      <c r="AQB21">
        <f>SOFR3mo_PX[[#This Row],[Column1120]]</f>
        <v>98.47</v>
      </c>
      <c r="AQC21">
        <f>SOFR3mo_PX[[#This Row],[Column1121]]</f>
        <v>98.415000000000006</v>
      </c>
      <c r="AQD21">
        <f>SOFR3mo_PX[[#This Row],[Column1122]]</f>
        <v>98.48</v>
      </c>
      <c r="AQE21">
        <f>SOFR3mo_PX[[#This Row],[Column1123]]</f>
        <v>98.47</v>
      </c>
      <c r="AQF21">
        <f>SOFR3mo_PX[[#This Row],[Column1124]]</f>
        <v>98.534999999999997</v>
      </c>
      <c r="AQG21">
        <f>SOFR3mo_PX[[#This Row],[Column1125]]</f>
        <v>98.59</v>
      </c>
      <c r="AQH21">
        <f>SOFR3mo_PX[[#This Row],[Column1126]]</f>
        <v>98.55</v>
      </c>
      <c r="AQI21">
        <f>SOFR3mo_PX[[#This Row],[Column1127]]</f>
        <v>98.5</v>
      </c>
      <c r="AQJ21">
        <f>SOFR3mo_PX[[#This Row],[Column1128]]</f>
        <v>98.504999999999995</v>
      </c>
      <c r="AQK21">
        <f>SOFR3mo_PX[[#This Row],[Column1129]]</f>
        <v>98.685000000000002</v>
      </c>
      <c r="AQL21">
        <f>SOFR3mo_PX[[#This Row],[Column1130]]</f>
        <v>98.71</v>
      </c>
      <c r="AQM21">
        <f>SOFR3mo_PX[[#This Row],[Column1131]]</f>
        <v>98.7</v>
      </c>
      <c r="AQN21">
        <f>SOFR3mo_PX[[#This Row],[Column1132]]</f>
        <v>98.734999999999999</v>
      </c>
      <c r="AQO21">
        <f>SOFR3mo_PX[[#This Row],[Column1133]]</f>
        <v>98.78</v>
      </c>
      <c r="AQP21">
        <f>SOFR3mo_PX[[#This Row],[Column1134]]</f>
        <v>98.79</v>
      </c>
      <c r="AQQ21">
        <f>SOFR3mo_PX[[#This Row],[Column1135]]</f>
        <v>98.814999999999998</v>
      </c>
      <c r="AQR21">
        <f>SOFR3mo_PX[[#This Row],[Column1136]]</f>
        <v>98.935000000000002</v>
      </c>
      <c r="AQS21">
        <f>SOFR3mo_PX[[#This Row],[Column1137]]</f>
        <v>98.935000000000002</v>
      </c>
      <c r="AQT21">
        <f>SOFR3mo_PX[[#This Row],[Column1138]]</f>
        <v>98.995000000000005</v>
      </c>
      <c r="AQU21">
        <f>SOFR3mo_PX[[#This Row],[Column1139]]</f>
        <v>99.004999999999995</v>
      </c>
      <c r="AQV21">
        <f>SOFR3mo_PX[[#This Row],[Column1140]]</f>
        <v>98.99</v>
      </c>
      <c r="AQW21">
        <f>SOFR3mo_PX[[#This Row],[Column1141]]</f>
        <v>98.98</v>
      </c>
      <c r="AQX21">
        <f>SOFR3mo_PX[[#This Row],[Column1142]]</f>
        <v>99</v>
      </c>
      <c r="AQY21">
        <f>SOFR3mo_PX[[#This Row],[Column1143]]</f>
        <v>99.004999999999995</v>
      </c>
      <c r="AQZ21">
        <f>SOFR3mo_PX[[#This Row],[Column1144]]</f>
        <v>99.084999999999994</v>
      </c>
      <c r="ARA21">
        <f>SOFR3mo_PX[[#This Row],[Column1145]]</f>
        <v>99.1</v>
      </c>
      <c r="ARB21">
        <f>SOFR3mo_PX[[#This Row],[Column1146]]</f>
        <v>99.125</v>
      </c>
      <c r="ARC21">
        <f>SOFR3mo_PX[[#This Row],[Column1147]]</f>
        <v>99.125</v>
      </c>
      <c r="ARD21">
        <f>SOFR3mo_PX[[#This Row],[Column1148]]</f>
        <v>99.13</v>
      </c>
      <c r="ARE21">
        <f>SOFR3mo_PX[[#This Row],[Column1149]]</f>
        <v>99.16</v>
      </c>
      <c r="ARF21">
        <f>SOFR3mo_PX[[#This Row],[Column1150]]</f>
        <v>99.144999999999996</v>
      </c>
      <c r="ARG21">
        <f>SOFR3mo_PX[[#This Row],[Column1151]]</f>
        <v>99.15</v>
      </c>
      <c r="ARH21">
        <f>SOFR3mo_PX[[#This Row],[Column1152]]</f>
        <v>99.135000000000005</v>
      </c>
      <c r="ARI21">
        <f>SOFR3mo_PX[[#This Row],[Column1153]]</f>
        <v>99.13</v>
      </c>
      <c r="ARJ21">
        <f>SOFR3mo_PX[[#This Row],[Column1154]]</f>
        <v>99.144999999999996</v>
      </c>
      <c r="ARK21">
        <f>SOFR3mo_PX[[#This Row],[Column1155]]</f>
        <v>99.144999999999996</v>
      </c>
      <c r="ARL21">
        <f>SOFR3mo_PX[[#This Row],[Column1156]]</f>
        <v>99.135000000000005</v>
      </c>
      <c r="ARM21">
        <f>SOFR3mo_PX[[#This Row],[Column1157]]</f>
        <v>99.135000000000005</v>
      </c>
      <c r="ARN21">
        <f>SOFR3mo_PX[[#This Row],[Column1158]]</f>
        <v>99.16</v>
      </c>
      <c r="ARO21">
        <f>SOFR3mo_PX[[#This Row],[Column1159]]</f>
        <v>99.144999999999996</v>
      </c>
      <c r="ARP21">
        <f>SOFR3mo_PX[[#This Row],[Column1160]]</f>
        <v>99.12</v>
      </c>
      <c r="ARQ21">
        <f>SOFR3mo_PX[[#This Row],[Column1161]]</f>
        <v>99.125</v>
      </c>
      <c r="ARR21">
        <f>SOFR3mo_PX[[#This Row],[Column1162]]</f>
        <v>99.13</v>
      </c>
      <c r="ARS21">
        <f>SOFR3mo_PX[[#This Row],[Column1163]]</f>
        <v>99.17</v>
      </c>
      <c r="ART21">
        <f>SOFR3mo_PX[[#This Row],[Column1164]]</f>
        <v>99.295000000000002</v>
      </c>
      <c r="ARU21">
        <f>SOFR3mo_PX[[#This Row],[Column1165]]</f>
        <v>99.34</v>
      </c>
      <c r="ARV21">
        <f>SOFR3mo_PX[[#This Row],[Column1166]]</f>
        <v>99.35</v>
      </c>
      <c r="ARW21">
        <f>SOFR3mo_PX[[#This Row],[Column1167]]</f>
        <v>99.34</v>
      </c>
      <c r="ARX21">
        <f>SOFR3mo_PX[[#This Row],[Column1168]]</f>
        <v>99.34</v>
      </c>
      <c r="ARY21">
        <f>SOFR3mo_PX[[#This Row],[Column1169]]</f>
        <v>99.33</v>
      </c>
      <c r="ARZ21">
        <f>SOFR3mo_PX[[#This Row],[Column1170]]</f>
        <v>99.314999999999998</v>
      </c>
      <c r="ASA21">
        <f>SOFR3mo_PX[[#This Row],[Column1171]]</f>
        <v>99.31</v>
      </c>
      <c r="ASB21">
        <f>SOFR3mo_PX[[#This Row],[Column1172]]</f>
        <v>99.314999999999998</v>
      </c>
      <c r="ASC21">
        <f>SOFR3mo_PX[[#This Row],[Column1173]]</f>
        <v>99.314999999999998</v>
      </c>
      <c r="ASD21">
        <f>SOFR3mo_PX[[#This Row],[Column1174]]</f>
        <v>99.314999999999998</v>
      </c>
      <c r="ASE21">
        <f>SOFR3mo_PX[[#This Row],[Column1175]]</f>
        <v>99.32</v>
      </c>
      <c r="ASF21">
        <f>SOFR3mo_PX[[#This Row],[Column1176]]</f>
        <v>99.314999999999998</v>
      </c>
      <c r="ASG21">
        <f>SOFR3mo_PX[[#This Row],[Column1177]]</f>
        <v>99.314999999999998</v>
      </c>
      <c r="ASH21">
        <f>SOFR3mo_PX[[#This Row],[Column1178]]</f>
        <v>99.36</v>
      </c>
      <c r="ASI21">
        <f>SOFR3mo_PX[[#This Row],[Column1179]]</f>
        <v>99.37</v>
      </c>
      <c r="ASJ21">
        <f>SOFR3mo_PX[[#This Row],[Column1180]]</f>
        <v>99.444999999999993</v>
      </c>
      <c r="ASK21">
        <f>SOFR3mo_PX[[#This Row],[Column1181]]</f>
        <v>99.444999999999993</v>
      </c>
      <c r="ASL21">
        <f>SOFR3mo_PX[[#This Row],[Column1182]]</f>
        <v>99.444999999999993</v>
      </c>
      <c r="ASM21">
        <f>SOFR3mo_PX[[#This Row],[Column1183]]</f>
        <v>99.415000000000006</v>
      </c>
      <c r="ASN21">
        <f>SOFR3mo_PX[[#This Row],[Column1184]]</f>
        <v>99.564999999999998</v>
      </c>
      <c r="ASO21">
        <f>SOFR3mo_PX[[#This Row],[Column1185]]</f>
        <v>99.67</v>
      </c>
      <c r="ASP21">
        <f>SOFR3mo_PX[[#This Row],[Column1186]]</f>
        <v>99.67</v>
      </c>
      <c r="ASQ21">
        <f>SOFR3mo_PX[[#This Row],[Column1187]]</f>
        <v>99.68</v>
      </c>
      <c r="ASR21">
        <f>SOFR3mo_PX[[#This Row],[Column1188]]</f>
        <v>99.694999999999993</v>
      </c>
      <c r="ASS21">
        <f>SOFR3mo_PX[[#This Row],[Column1189]]</f>
        <v>99.7</v>
      </c>
      <c r="AST21">
        <f>SOFR3mo_PX[[#This Row],[Column1190]]</f>
        <v>99.704999999999998</v>
      </c>
      <c r="ASU21">
        <f>SOFR3mo_PX[[#This Row],[Column1191]]</f>
        <v>99.73</v>
      </c>
      <c r="ASV21">
        <f>SOFR3mo_PX[[#This Row],[Column1192]]</f>
        <v>99.734999999999999</v>
      </c>
      <c r="ASW21">
        <f>SOFR3mo_PX[[#This Row],[Column1193]]</f>
        <v>99.73</v>
      </c>
      <c r="ASX21">
        <f>SOFR3mo_PX[[#This Row],[Column1194]]</f>
        <v>99.73</v>
      </c>
      <c r="ASY21">
        <f>SOFR3mo_PX[[#This Row],[Column1195]]</f>
        <v>99.724999999999994</v>
      </c>
      <c r="ASZ21">
        <f>SOFR3mo_PX[[#This Row],[Column1196]]</f>
        <v>99.72</v>
      </c>
      <c r="ATA21">
        <f>SOFR3mo_PX[[#This Row],[Column1197]]</f>
        <v>99.734999999999999</v>
      </c>
      <c r="ATB21">
        <f>SOFR3mo_PX[[#This Row],[Column1198]]</f>
        <v>99.73</v>
      </c>
      <c r="ATC21">
        <f>SOFR3mo_PX[[#This Row],[Column1199]]</f>
        <v>99.73</v>
      </c>
      <c r="ATD21">
        <f>SOFR3mo_PX[[#This Row],[Column1200]]</f>
        <v>99.734999999999999</v>
      </c>
      <c r="ATE21">
        <f>SOFR3mo_PX[[#This Row],[Column1201]]</f>
        <v>99.724999999999994</v>
      </c>
      <c r="ATF21">
        <f>SOFR3mo_PX[[#This Row],[Column1202]]</f>
        <v>99.724999999999994</v>
      </c>
      <c r="ATG21">
        <f>SOFR3mo_PX[[#This Row],[Column1203]]</f>
        <v>99.72</v>
      </c>
      <c r="ATH21">
        <f>SOFR3mo_PX[[#This Row],[Column1204]]</f>
        <v>99.7</v>
      </c>
      <c r="ATI21">
        <f>SOFR3mo_PX[[#This Row],[Column1205]]</f>
        <v>99.7</v>
      </c>
      <c r="ATJ21">
        <f>SOFR3mo_PX[[#This Row],[Column1206]]</f>
        <v>99.734999999999999</v>
      </c>
      <c r="ATK21">
        <f>SOFR3mo_PX[[#This Row],[Column1207]]</f>
        <v>99.78</v>
      </c>
      <c r="ATL21">
        <f>SOFR3mo_PX[[#This Row],[Column1208]]</f>
        <v>99.784999999999997</v>
      </c>
      <c r="ATM21">
        <f>SOFR3mo_PX[[#This Row],[Column1209]]</f>
        <v>99.805000000000007</v>
      </c>
      <c r="ATN21">
        <f>SOFR3mo_PX[[#This Row],[Column1210]]</f>
        <v>99.775000000000006</v>
      </c>
      <c r="ATO21">
        <f>SOFR3mo_PX[[#This Row],[Column1211]]</f>
        <v>99.784999999999997</v>
      </c>
      <c r="ATP21">
        <f>SOFR3mo_PX[[#This Row],[Column1212]]</f>
        <v>99.78</v>
      </c>
      <c r="ATQ21">
        <f>SOFR3mo_PX[[#This Row],[Column1213]]</f>
        <v>99.784999999999997</v>
      </c>
      <c r="ATR21">
        <f>SOFR3mo_PX[[#This Row],[Column1214]]</f>
        <v>99.795000000000002</v>
      </c>
      <c r="ATS21">
        <f>SOFR3mo_PX[[#This Row],[Column1215]]</f>
        <v>99.795000000000002</v>
      </c>
      <c r="ATT21">
        <f>SOFR3mo_PX[[#This Row],[Column1216]]</f>
        <v>99.79</v>
      </c>
      <c r="ATU21">
        <f>SOFR3mo_PX[[#This Row],[Column1217]]</f>
        <v>99.78</v>
      </c>
      <c r="ATV21">
        <f>SOFR3mo_PX[[#This Row],[Column1218]]</f>
        <v>99.77</v>
      </c>
      <c r="ATW21">
        <f>SOFR3mo_PX[[#This Row],[Column1219]]</f>
        <v>99.795000000000002</v>
      </c>
      <c r="ATX21">
        <f>SOFR3mo_PX[[#This Row],[Column1220]]</f>
        <v>99.795000000000002</v>
      </c>
      <c r="ATY21">
        <f>SOFR3mo_PX[[#This Row],[Column1221]]</f>
        <v>99.805000000000007</v>
      </c>
      <c r="ATZ21">
        <f>SOFR3mo_PX[[#This Row],[Column1222]]</f>
        <v>99.814999999999998</v>
      </c>
      <c r="AUA21">
        <f>SOFR3mo_PX[[#This Row],[Column1223]]</f>
        <v>99.81</v>
      </c>
      <c r="AUB21">
        <f>SOFR3mo_PX[[#This Row],[Column1224]]</f>
        <v>99.814999999999998</v>
      </c>
      <c r="AUC21">
        <f>SOFR3mo_PX[[#This Row],[Column1225]]</f>
        <v>99.81</v>
      </c>
      <c r="AUD21">
        <f>SOFR3mo_PX[[#This Row],[Column1226]]</f>
        <v>99.795000000000002</v>
      </c>
      <c r="AUE21">
        <f>SOFR3mo_PX[[#This Row],[Column1227]]</f>
        <v>99.79</v>
      </c>
      <c r="AUF21">
        <f>SOFR3mo_PX[[#This Row],[Column1228]]</f>
        <v>99.805000000000007</v>
      </c>
      <c r="AUG21">
        <f>SOFR3mo_PX[[#This Row],[Column1229]]</f>
        <v>99.8</v>
      </c>
      <c r="AUH21">
        <f>SOFR3mo_PX[[#This Row],[Column1230]]</f>
        <v>99.825000000000003</v>
      </c>
      <c r="AUI21">
        <f>SOFR3mo_PX[[#This Row],[Column1231]]</f>
        <v>99.825000000000003</v>
      </c>
      <c r="AUJ21">
        <f>SOFR3mo_PX[[#This Row],[Column1232]]</f>
        <v>99.875</v>
      </c>
      <c r="AUK21">
        <f>SOFR3mo_PX[[#This Row],[Column1233]]</f>
        <v>99.875</v>
      </c>
      <c r="AUL21">
        <f>SOFR3mo_PX[[#This Row],[Column1234]]</f>
        <v>99.875</v>
      </c>
      <c r="AUM21">
        <f>SOFR3mo_PX[[#This Row],[Column1235]]</f>
        <v>99.88</v>
      </c>
      <c r="AUN21">
        <f>SOFR3mo_PX[[#This Row],[Column1236]]</f>
        <v>99.88</v>
      </c>
      <c r="AUO21">
        <f>SOFR3mo_PX[[#This Row],[Column1237]]</f>
        <v>99.89</v>
      </c>
      <c r="AUP21">
        <f>SOFR3mo_PX[[#This Row],[Column1238]]</f>
        <v>99.89</v>
      </c>
      <c r="AUQ21">
        <f>SOFR3mo_PX[[#This Row],[Column1239]]</f>
        <v>99.894999999999996</v>
      </c>
      <c r="AUR21">
        <f>SOFR3mo_PX[[#This Row],[Column1240]]</f>
        <v>99.894999999999996</v>
      </c>
      <c r="AUS21">
        <f>SOFR3mo_PX[[#This Row],[Column1241]]</f>
        <v>99.885000000000005</v>
      </c>
      <c r="AUT21">
        <f>SOFR3mo_PX[[#This Row],[Column1242]]</f>
        <v>99.864999999999995</v>
      </c>
      <c r="AUU21">
        <f>SOFR3mo_PX[[#This Row],[Column1243]]</f>
        <v>99.88</v>
      </c>
      <c r="AUV21">
        <f>SOFR3mo_PX[[#This Row],[Column1244]]</f>
        <v>99.875</v>
      </c>
      <c r="AUW21">
        <f>SOFR3mo_PX[[#This Row],[Column1245]]</f>
        <v>99.905000000000001</v>
      </c>
      <c r="AUX21">
        <f>SOFR3mo_PX[[#This Row],[Column1246]]</f>
        <v>99.91</v>
      </c>
      <c r="AUY21">
        <f>SOFR3mo_PX[[#This Row],[Column1247]]</f>
        <v>99.9</v>
      </c>
      <c r="AUZ21">
        <f>SOFR3mo_PX[[#This Row],[Column1248]]</f>
        <v>99.875</v>
      </c>
      <c r="AVA21">
        <f>SOFR3mo_PX[[#This Row],[Column1249]]</f>
        <v>99.87</v>
      </c>
      <c r="AVB21">
        <f>SOFR3mo_PX[[#This Row],[Column1250]]</f>
        <v>99.875</v>
      </c>
      <c r="AVC21">
        <f>SOFR3mo_PX[[#This Row],[Column1251]]</f>
        <v>99.864999999999995</v>
      </c>
      <c r="AVD21">
        <f>SOFR3mo_PX[[#This Row],[Column1252]]</f>
        <v>99.864999999999995</v>
      </c>
      <c r="AVE21">
        <f>SOFR3mo_PX[[#This Row],[Column1253]]</f>
        <v>99.894999999999996</v>
      </c>
      <c r="AVF21">
        <f>SOFR3mo_PX[[#This Row],[Column1254]]</f>
        <v>99.885000000000005</v>
      </c>
      <c r="AVG21">
        <f>SOFR3mo_PX[[#This Row],[Column1255]]</f>
        <v>99.894999999999996</v>
      </c>
      <c r="AVH21">
        <f>SOFR3mo_PX[[#This Row],[Column1256]]</f>
        <v>99.89</v>
      </c>
      <c r="AVI21">
        <f>SOFR3mo_PX[[#This Row],[Column1257]]</f>
        <v>99.885000000000005</v>
      </c>
      <c r="AVJ21">
        <f>SOFR3mo_PX[[#This Row],[Column1258]]</f>
        <v>99.864999999999995</v>
      </c>
      <c r="AVK21">
        <f>SOFR3mo_PX[[#This Row],[Column1259]]</f>
        <v>99.875</v>
      </c>
      <c r="AVL21">
        <f>SOFR3mo_PX[[#This Row],[Column1260]]</f>
        <v>99.88</v>
      </c>
      <c r="AVM21">
        <f>SOFR3mo_PX[[#This Row],[Column1261]]</f>
        <v>99.89</v>
      </c>
      <c r="AVN21">
        <f>SOFR3mo_PX[[#This Row],[Column1262]]</f>
        <v>99.885000000000005</v>
      </c>
      <c r="AVO21">
        <f>SOFR3mo_PX[[#This Row],[Column1263]]</f>
        <v>99.894999999999996</v>
      </c>
      <c r="AVP21">
        <f>SOFR3mo_PX[[#This Row],[Column1264]]</f>
        <v>99.894999999999996</v>
      </c>
      <c r="AVQ21">
        <f>SOFR3mo_PX[[#This Row],[Column1265]]</f>
        <v>99.885000000000005</v>
      </c>
      <c r="AVR21">
        <f>SOFR3mo_PX[[#This Row],[Column1266]]</f>
        <v>99.87</v>
      </c>
      <c r="AVS21">
        <f>SOFR3mo_PX[[#This Row],[Column1267]]</f>
        <v>99.86</v>
      </c>
      <c r="AVT21">
        <f>SOFR3mo_PX[[#This Row],[Column1268]]</f>
        <v>99.86</v>
      </c>
      <c r="AVU21">
        <f>SOFR3mo_PX[[#This Row],[Column1269]]</f>
        <v>99.864999999999995</v>
      </c>
      <c r="AVV21">
        <f>SOFR3mo_PX[[#This Row],[Column1270]]</f>
        <v>99.864999999999995</v>
      </c>
      <c r="AVW21">
        <f>SOFR3mo_PX[[#This Row],[Column1271]]</f>
        <v>99.9</v>
      </c>
      <c r="AVX21">
        <f>SOFR3mo_PX[[#This Row],[Column1272]]</f>
        <v>99.91</v>
      </c>
      <c r="AVY21">
        <f>SOFR3mo_PX[[#This Row],[Column1273]]</f>
        <v>99.93</v>
      </c>
      <c r="AVZ21">
        <f>SOFR3mo_PX[[#This Row],[Column1274]]</f>
        <v>99.935000000000002</v>
      </c>
      <c r="AWA21">
        <f>SOFR3mo_PX[[#This Row],[Column1275]]</f>
        <v>99.944999999999993</v>
      </c>
      <c r="AWB21">
        <f>SOFR3mo_PX[[#This Row],[Column1276]]</f>
        <v>99.935000000000002</v>
      </c>
      <c r="AWC21">
        <f>SOFR3mo_PX[[#This Row],[Column1277]]</f>
        <v>99.93</v>
      </c>
      <c r="AWD21">
        <f>SOFR3mo_PX[[#This Row],[Column1278]]</f>
        <v>99.924999999999997</v>
      </c>
      <c r="AWE21">
        <f>SOFR3mo_PX[[#This Row],[Column1279]]</f>
        <v>99.905000000000001</v>
      </c>
      <c r="AWF21">
        <f>SOFR3mo_PX[[#This Row],[Column1280]]</f>
        <v>99.894999999999996</v>
      </c>
      <c r="AWG21">
        <f>SOFR3mo_PX[[#This Row],[Column1281]]</f>
        <v>99.89</v>
      </c>
      <c r="AWH21">
        <f>SOFR3mo_PX[[#This Row],[Column1282]]</f>
        <v>99.9</v>
      </c>
      <c r="AWI21">
        <f>SOFR3mo_PX[[#This Row],[Column1283]]</f>
        <v>99.905000000000001</v>
      </c>
      <c r="AWJ21">
        <f>SOFR3mo_PX[[#This Row],[Column1284]]</f>
        <v>99.905000000000001</v>
      </c>
      <c r="AWK21">
        <f>SOFR3mo_PX[[#This Row],[Column1285]]</f>
        <v>99.9</v>
      </c>
      <c r="AWL21">
        <f>SOFR3mo_PX[[#This Row],[Column1286]]</f>
        <v>99.9</v>
      </c>
      <c r="AWM21">
        <f>SOFR3mo_PX[[#This Row],[Column1287]]</f>
        <v>99.894999999999996</v>
      </c>
      <c r="AWN21">
        <f>SOFR3mo_PX[[#This Row],[Column1288]]</f>
        <v>99.894999999999996</v>
      </c>
      <c r="AWO21">
        <f>SOFR3mo_PX[[#This Row],[Column1289]]</f>
        <v>99.89</v>
      </c>
      <c r="AWP21">
        <f>SOFR3mo_PX[[#This Row],[Column1290]]</f>
        <v>99.9</v>
      </c>
      <c r="AWQ21">
        <f>SOFR3mo_PX[[#This Row],[Column1291]]</f>
        <v>99.9</v>
      </c>
      <c r="AWR21">
        <f>SOFR3mo_PX[[#This Row],[Column1292]]</f>
        <v>99.915000000000006</v>
      </c>
      <c r="AWS21">
        <f>SOFR3mo_PX[[#This Row],[Column1293]]</f>
        <v>99.93</v>
      </c>
      <c r="AWT21">
        <f>SOFR3mo_PX[[#This Row],[Column1294]]</f>
        <v>99.915000000000006</v>
      </c>
      <c r="AWU21">
        <f>SOFR3mo_PX[[#This Row],[Column1295]]</f>
        <v>99.91</v>
      </c>
      <c r="AWV21">
        <f>SOFR3mo_PX[[#This Row],[Column1296]]</f>
        <v>99.905000000000001</v>
      </c>
      <c r="AWW21">
        <f>SOFR3mo_PX[[#This Row],[Column1297]]</f>
        <v>99.905000000000001</v>
      </c>
      <c r="AWX21">
        <f>SOFR3mo_PX[[#This Row],[Column1298]]</f>
        <v>99.905000000000001</v>
      </c>
      <c r="AWY21">
        <f>SOFR3mo_PX[[#This Row],[Column1299]]</f>
        <v>99.894999999999996</v>
      </c>
      <c r="AWZ21">
        <f>SOFR3mo_PX[[#This Row],[Column1300]]</f>
        <v>99.915000000000006</v>
      </c>
      <c r="AXA21">
        <f>SOFR3mo_PX[[#This Row],[Column1301]]</f>
        <v>99.915000000000006</v>
      </c>
      <c r="AXB21">
        <f>SOFR3mo_PX[[#This Row],[Column1302]]</f>
        <v>99.905000000000001</v>
      </c>
      <c r="AXC21">
        <f>SOFR3mo_PX[[#This Row],[Column1303]]</f>
        <v>99.885000000000005</v>
      </c>
      <c r="AXD21">
        <f>SOFR3mo_PX[[#This Row],[Column1304]]</f>
        <v>99.885000000000005</v>
      </c>
      <c r="AXE21">
        <f>SOFR3mo_PX[[#This Row],[Column1305]]</f>
        <v>99.885000000000005</v>
      </c>
      <c r="AXF21">
        <f>SOFR3mo_PX[[#This Row],[Column1306]]</f>
        <v>99.88</v>
      </c>
      <c r="AXG21">
        <f>SOFR3mo_PX[[#This Row],[Column1307]]</f>
        <v>99.87</v>
      </c>
      <c r="AXH21">
        <f>SOFR3mo_PX[[#This Row],[Column1308]]</f>
        <v>99.85</v>
      </c>
      <c r="AXI21">
        <f>SOFR3mo_PX[[#This Row],[Column1309]]</f>
        <v>99.844999999999999</v>
      </c>
      <c r="AXJ21">
        <f>SOFR3mo_PX[[#This Row],[Column1310]]</f>
        <v>99.834999999999994</v>
      </c>
      <c r="AXK21">
        <f>SOFR3mo_PX[[#This Row],[Column1311]]</f>
        <v>99.85</v>
      </c>
      <c r="AXL21">
        <f>SOFR3mo_PX[[#This Row],[Column1312]]</f>
        <v>99.84</v>
      </c>
      <c r="AXM21">
        <f>SOFR3mo_PX[[#This Row],[Column1313]]</f>
        <v>99.85</v>
      </c>
      <c r="AXN21">
        <f>SOFR3mo_PX[[#This Row],[Column1314]]</f>
        <v>99.825000000000003</v>
      </c>
      <c r="AXO21">
        <f>SOFR3mo_PX[[#This Row],[Column1315]]</f>
        <v>99.775000000000006</v>
      </c>
      <c r="AXP21">
        <f>SOFR3mo_PX[[#This Row],[Column1316]]</f>
        <v>99.74</v>
      </c>
      <c r="AXQ21">
        <f>SOFR3mo_PX[[#This Row],[Column1317]]</f>
        <v>99.734999999999999</v>
      </c>
      <c r="AXR21">
        <f>SOFR3mo_PX[[#This Row],[Column1318]]</f>
        <v>99.8</v>
      </c>
      <c r="AXS21">
        <f>SOFR3mo_PX[[#This Row],[Column1319]]</f>
        <v>99.814999999999998</v>
      </c>
      <c r="AXT21">
        <f>SOFR3mo_PX[[#This Row],[Column1320]]</f>
        <v>99.85</v>
      </c>
      <c r="AXU21">
        <f>SOFR3mo_PX[[#This Row],[Column1321]]</f>
        <v>99.855000000000004</v>
      </c>
      <c r="AXV21">
        <f>SOFR3mo_PX[[#This Row],[Column1322]]</f>
        <v>99.844999999999999</v>
      </c>
      <c r="AXW21">
        <f>SOFR3mo_PX[[#This Row],[Column1323]]</f>
        <v>99.825000000000003</v>
      </c>
      <c r="AXX21">
        <f>SOFR3mo_PX[[#This Row],[Column1324]]</f>
        <v>99.83</v>
      </c>
      <c r="AXY21">
        <f>SOFR3mo_PX[[#This Row],[Column1325]]</f>
        <v>99.834999999999994</v>
      </c>
      <c r="AXZ21">
        <f>SOFR3mo_PX[[#This Row],[Column1326]]</f>
        <v>99.84</v>
      </c>
      <c r="AYA21">
        <f>SOFR3mo_PX[[#This Row],[Column1327]]</f>
        <v>99.84</v>
      </c>
      <c r="AYB21">
        <f>SOFR3mo_PX[[#This Row],[Column1328]]</f>
        <v>99.834999999999994</v>
      </c>
      <c r="AYC21">
        <f>SOFR3mo_PX[[#This Row],[Column1329]]</f>
        <v>99.834999999999994</v>
      </c>
      <c r="AYD21">
        <f>SOFR3mo_PX[[#This Row],[Column1330]]</f>
        <v>99.84</v>
      </c>
      <c r="AYE21">
        <f>SOFR3mo_PX[[#This Row],[Column1331]]</f>
        <v>99.84</v>
      </c>
      <c r="AYF21">
        <f>SOFR3mo_PX[[#This Row],[Column1332]]</f>
        <v>99.885000000000005</v>
      </c>
      <c r="AYG21">
        <f>SOFR3mo_PX[[#This Row],[Column1333]]</f>
        <v>99.86</v>
      </c>
      <c r="AYH21">
        <f>SOFR3mo_PX[[#This Row],[Column1334]]</f>
        <v>99.85</v>
      </c>
      <c r="AYI21">
        <f>SOFR3mo_PX[[#This Row],[Column1335]]</f>
        <v>99.83</v>
      </c>
      <c r="AYJ21">
        <f>SOFR3mo_PX[[#This Row],[Column1336]]</f>
        <v>99.83</v>
      </c>
      <c r="AYK21">
        <f>SOFR3mo_PX[[#This Row],[Column1337]]</f>
        <v>99.85</v>
      </c>
      <c r="AYL21">
        <f>SOFR3mo_PX[[#This Row],[Column1338]]</f>
        <v>99.86</v>
      </c>
      <c r="AYM21">
        <f>SOFR3mo_PX[[#This Row],[Column1339]]</f>
        <v>99.805000000000007</v>
      </c>
      <c r="AYN21">
        <f>SOFR3mo_PX[[#This Row],[Column1340]]</f>
        <v>99.79</v>
      </c>
      <c r="AYO21">
        <f>SOFR3mo_PX[[#This Row],[Column1341]]</f>
        <v>99.795000000000002</v>
      </c>
      <c r="AYP21">
        <f>SOFR3mo_PX[[#This Row],[Column1342]]</f>
        <v>99.78</v>
      </c>
      <c r="AYQ21">
        <f>SOFR3mo_PX[[#This Row],[Column1343]]</f>
        <v>99.784999999999997</v>
      </c>
      <c r="AYR21">
        <f>SOFR3mo_PX[[#This Row],[Column1344]]</f>
        <v>99.775000000000006</v>
      </c>
      <c r="AYS21">
        <f>SOFR3mo_PX[[#This Row],[Column1345]]</f>
        <v>99.76</v>
      </c>
      <c r="AYT21">
        <f>SOFR3mo_PX[[#This Row],[Column1346]]</f>
        <v>99.754999999999995</v>
      </c>
      <c r="AYU21">
        <f>SOFR3mo_PX[[#This Row],[Column1347]]</f>
        <v>99.765000000000001</v>
      </c>
      <c r="AYV21">
        <f>SOFR3mo_PX[[#This Row],[Column1348]]</f>
        <v>99.765000000000001</v>
      </c>
      <c r="AYW21">
        <f>SOFR3mo_PX[[#This Row],[Column1349]]</f>
        <v>99.76</v>
      </c>
      <c r="AYX21">
        <f>SOFR3mo_PX[[#This Row],[Column1350]]</f>
        <v>99.77</v>
      </c>
      <c r="AYY21">
        <f>SOFR3mo_PX[[#This Row],[Column1351]]</f>
        <v>99.75</v>
      </c>
      <c r="AYZ21">
        <f>SOFR3mo_PX[[#This Row],[Column1352]]</f>
        <v>99.74</v>
      </c>
      <c r="AZA21">
        <f>SOFR3mo_PX[[#This Row],[Column1353]]</f>
        <v>99.724999999999994</v>
      </c>
      <c r="AZB21">
        <f>SOFR3mo_PX[[#This Row],[Column1354]]</f>
        <v>99.715000000000003</v>
      </c>
      <c r="AZC21">
        <f>SOFR3mo_PX[[#This Row],[Column1355]]</f>
        <v>99.685000000000002</v>
      </c>
      <c r="AZD21">
        <f>SOFR3mo_PX[[#This Row],[Column1356]]</f>
        <v>99.67</v>
      </c>
      <c r="AZE21">
        <f>SOFR3mo_PX[[#This Row],[Column1357]]</f>
        <v>99.68</v>
      </c>
      <c r="AZF21">
        <f>SOFR3mo_PX[[#This Row],[Column1358]]</f>
        <v>99.68</v>
      </c>
      <c r="AZG21">
        <f>SOFR3mo_PX[[#This Row],[Column1359]]</f>
        <v>99.66</v>
      </c>
      <c r="AZH21">
        <f>SOFR3mo_PX[[#This Row],[Column1360]]</f>
        <v>99.644999999999996</v>
      </c>
      <c r="AZI21">
        <f>SOFR3mo_PX[[#This Row],[Column1361]]</f>
        <v>99.69</v>
      </c>
      <c r="AZJ21">
        <f>SOFR3mo_PX[[#This Row],[Column1362]]</f>
        <v>99.75</v>
      </c>
      <c r="AZK21">
        <f>SOFR3mo_PX[[#This Row],[Column1363]]</f>
        <v>99.745000000000005</v>
      </c>
      <c r="AZL21">
        <f>SOFR3mo_PX[[#This Row],[Column1364]]</f>
        <v>99.76</v>
      </c>
      <c r="AZM21">
        <f>SOFR3mo_PX[[#This Row],[Column1365]]</f>
        <v>99.734999999999999</v>
      </c>
      <c r="AZN21">
        <f>SOFR3mo_PX[[#This Row],[Column1366]]</f>
        <v>99.765000000000001</v>
      </c>
      <c r="AZO21">
        <f>SOFR3mo_PX[[#This Row],[Column1367]]</f>
        <v>99.72</v>
      </c>
      <c r="AZP21">
        <f>SOFR3mo_PX[[#This Row],[Column1368]]</f>
        <v>99.7</v>
      </c>
      <c r="AZQ21">
        <f>SOFR3mo_PX[[#This Row],[Column1369]]</f>
        <v>99.67</v>
      </c>
      <c r="AZR21">
        <f>SOFR3mo_PX[[#This Row],[Column1370]]</f>
        <v>99.665000000000006</v>
      </c>
      <c r="AZS21">
        <f>SOFR3mo_PX[[#This Row],[Column1371]]</f>
        <v>99.724999999999994</v>
      </c>
      <c r="AZT21">
        <f>SOFR3mo_PX[[#This Row],[Column1372]]</f>
        <v>99.644999999999996</v>
      </c>
      <c r="AZU21">
        <f>SOFR3mo_PX[[#This Row],[Column1373]]</f>
        <v>99.584999999999994</v>
      </c>
      <c r="AZV21">
        <f>SOFR3mo_PX[[#This Row],[Column1374]]</f>
        <v>99.48</v>
      </c>
      <c r="AZW21">
        <f>SOFR3mo_PX[[#This Row],[Column1375]]</f>
        <v>99.605000000000004</v>
      </c>
      <c r="AZX21">
        <f>SOFR3mo_PX[[#This Row],[Column1376]]</f>
        <v>99.655000000000001</v>
      </c>
      <c r="AZY21">
        <f>SOFR3mo_PX[[#This Row],[Column1377]]</f>
        <v>99.58</v>
      </c>
      <c r="AZZ21">
        <f>SOFR3mo_PX[[#This Row],[Column1378]]</f>
        <v>99.62</v>
      </c>
      <c r="BAA21">
        <f>SOFR3mo_PX[[#This Row],[Column1379]]</f>
        <v>99.55</v>
      </c>
      <c r="BAB21">
        <f>SOFR3mo_PX[[#This Row],[Column1380]]</f>
        <v>99.54</v>
      </c>
      <c r="BAC21">
        <f>SOFR3mo_PX[[#This Row],[Column1381]]</f>
        <v>99.66</v>
      </c>
      <c r="BAD21">
        <f>SOFR3mo_PX[[#This Row],[Column1382]]</f>
        <v>99.584999999999994</v>
      </c>
      <c r="BAE21">
        <f>SOFR3mo_PX[[#This Row],[Column1383]]</f>
        <v>99.5</v>
      </c>
      <c r="BAF21">
        <f>SOFR3mo_PX[[#This Row],[Column1384]]</f>
        <v>99.45</v>
      </c>
      <c r="BAG21">
        <f>SOFR3mo_PX[[#This Row],[Column1385]]</f>
        <v>99.39</v>
      </c>
      <c r="BAH21">
        <f>SOFR3mo_PX[[#This Row],[Column1386]]</f>
        <v>99.32</v>
      </c>
      <c r="BAI21">
        <f>SOFR3mo_PX[[#This Row],[Column1387]]</f>
        <v>99.32</v>
      </c>
      <c r="BAJ21">
        <f>SOFR3mo_PX[[#This Row],[Column1388]]</f>
        <v>99.12</v>
      </c>
      <c r="BAK21">
        <f>SOFR3mo_PX[[#This Row],[Column1389]]</f>
        <v>99.064999999999998</v>
      </c>
      <c r="BAL21">
        <f>SOFR3mo_PX[[#This Row],[Column1390]]</f>
        <v>99.075000000000003</v>
      </c>
      <c r="BAM21">
        <f>SOFR3mo_PX[[#This Row],[Column1391]]</f>
        <v>99.02</v>
      </c>
      <c r="BAN21">
        <f>SOFR3mo_PX[[#This Row],[Column1392]]</f>
        <v>98.91</v>
      </c>
      <c r="BAO21">
        <f>SOFR3mo_PX[[#This Row],[Column1393]]</f>
        <v>98.844999999999999</v>
      </c>
      <c r="BAP21">
        <f>SOFR3mo_PX[[#This Row],[Column1394]]</f>
        <v>98.8</v>
      </c>
      <c r="BAQ21">
        <f>SOFR3mo_PX[[#This Row],[Column1395]]</f>
        <v>98.825000000000003</v>
      </c>
      <c r="BAR21">
        <f>SOFR3mo_PX[[#This Row],[Column1396]]</f>
        <v>98.795000000000002</v>
      </c>
      <c r="BAS21">
        <f>SOFR3mo_PX[[#This Row],[Column1397]]</f>
        <v>98.795000000000002</v>
      </c>
      <c r="BAT21">
        <f>SOFR3mo_PX[[#This Row],[Column1398]]</f>
        <v>98.76</v>
      </c>
      <c r="BAU21">
        <f>SOFR3mo_PX[[#This Row],[Column1399]]</f>
        <v>98.76</v>
      </c>
      <c r="BAV21">
        <f>SOFR3mo_PX[[#This Row],[Column1400]]</f>
        <v>98.8</v>
      </c>
      <c r="BAW21">
        <f>SOFR3mo_PX[[#This Row],[Column1401]]</f>
        <v>98.83</v>
      </c>
      <c r="BAX21">
        <f>SOFR3mo_PX[[#This Row],[Column1402]]</f>
        <v>98.795000000000002</v>
      </c>
      <c r="BAY21">
        <f>SOFR3mo_PX[[#This Row],[Column1403]]</f>
        <v>98.74</v>
      </c>
      <c r="BAZ21">
        <f>SOFR3mo_PX[[#This Row],[Column1404]]</f>
        <v>98.76</v>
      </c>
      <c r="BBA21">
        <f>SOFR3mo_PX[[#This Row],[Column1405]]</f>
        <v>98.8</v>
      </c>
      <c r="BBB21">
        <f>SOFR3mo_PX[[#This Row],[Column1406]]</f>
        <v>98.885000000000005</v>
      </c>
      <c r="BBC21">
        <f>SOFR3mo_PX[[#This Row],[Column1407]]</f>
        <v>98.9</v>
      </c>
      <c r="BBD21">
        <f>SOFR3mo_PX[[#This Row],[Column1408]]</f>
        <v>98.844999999999999</v>
      </c>
      <c r="BBE21">
        <f>SOFR3mo_PX[[#This Row],[Column1409]]</f>
        <v>98.8</v>
      </c>
      <c r="BBF21">
        <f>SOFR3mo_PX[[#This Row],[Column1410]]</f>
        <v>98.75</v>
      </c>
      <c r="BBG21">
        <f>SOFR3mo_PX[[#This Row],[Column1411]]</f>
        <v>98.784999999999997</v>
      </c>
      <c r="BBH21">
        <f>SOFR3mo_PX[[#This Row],[Column1412]]</f>
        <v>98.7</v>
      </c>
      <c r="BBI21">
        <f>SOFR3mo_PX[[#This Row],[Column1413]]</f>
        <v>98.644999999999996</v>
      </c>
      <c r="BBJ21">
        <f>SOFR3mo_PX[[#This Row],[Column1414]]</f>
        <v>98.625</v>
      </c>
      <c r="BBK21">
        <f>SOFR3mo_PX[[#This Row],[Column1415]]</f>
        <v>98.61</v>
      </c>
      <c r="BBL21">
        <f>SOFR3mo_PX[[#This Row],[Column1416]]</f>
        <v>98.555000000000007</v>
      </c>
      <c r="BBM21">
        <f>SOFR3mo_PX[[#This Row],[Column1417]]</f>
        <v>98.555000000000007</v>
      </c>
      <c r="BBN21">
        <f>SOFR3mo_PX[[#This Row],[Column1418]]</f>
        <v>98.57</v>
      </c>
      <c r="BBO21">
        <f>SOFR3mo_PX[[#This Row],[Column1419]]</f>
        <v>98.58</v>
      </c>
      <c r="BBP21">
        <f>SOFR3mo_PX[[#This Row],[Column1420]]</f>
        <v>98.57</v>
      </c>
      <c r="BBQ21">
        <f>SOFR3mo_PX[[#This Row],[Column1421]]</f>
        <v>98.555000000000007</v>
      </c>
      <c r="BBR21">
        <f>SOFR3mo_PX[[#This Row],[Column1422]]</f>
        <v>98.56</v>
      </c>
      <c r="BBS21">
        <f>SOFR3mo_PX[[#This Row],[Column1423]]</f>
        <v>98.545000000000002</v>
      </c>
      <c r="BBT21">
        <f>SOFR3mo_PX[[#This Row],[Column1424]]</f>
        <v>98.54</v>
      </c>
      <c r="BBU21">
        <f>SOFR3mo_PX[[#This Row],[Column1425]]</f>
        <v>98.584999999999994</v>
      </c>
      <c r="BBV21">
        <f>SOFR3mo_PX[[#This Row],[Column1426]]</f>
        <v>98.594999999999999</v>
      </c>
      <c r="BBW21">
        <f>SOFR3mo_PX[[#This Row],[Column1427]]</f>
        <v>98.6</v>
      </c>
      <c r="BBX21">
        <f>SOFR3mo_PX[[#This Row],[Column1428]]</f>
        <v>98.51</v>
      </c>
      <c r="BBY21">
        <f>SOFR3mo_PX[[#This Row],[Column1429]]</f>
        <v>98.5</v>
      </c>
      <c r="BBZ21">
        <f>SOFR3mo_PX[[#This Row],[Column1430]]</f>
        <v>98.5</v>
      </c>
      <c r="BCA21">
        <f>SOFR3mo_PX[[#This Row],[Column1431]]</f>
        <v>98.504999999999995</v>
      </c>
      <c r="BCB21">
        <f>SOFR3mo_PX[[#This Row],[Column1432]]</f>
        <v>98.504999999999995</v>
      </c>
      <c r="BCC21">
        <f>SOFR3mo_PX[[#This Row],[Column1433]]</f>
        <v>98.465000000000003</v>
      </c>
      <c r="BCD21">
        <f>SOFR3mo_PX[[#This Row],[Column1434]]</f>
        <v>98.465000000000003</v>
      </c>
      <c r="BCE21">
        <f>SOFR3mo_PX[[#This Row],[Column1435]]</f>
        <v>98.465000000000003</v>
      </c>
      <c r="BCF21">
        <f>SOFR3mo_PX[[#This Row],[Column1436]]</f>
        <v>98.444999999999993</v>
      </c>
      <c r="BCG21">
        <f>SOFR3mo_PX[[#This Row],[Column1437]]</f>
        <v>98.484999999999999</v>
      </c>
      <c r="BCH21">
        <f>SOFR3mo_PX[[#This Row],[Column1438]]</f>
        <v>98.5</v>
      </c>
      <c r="BCI21">
        <f>SOFR3mo_PX[[#This Row],[Column1439]]</f>
        <v>98.48</v>
      </c>
      <c r="BCJ21">
        <f>SOFR3mo_PX[[#This Row],[Column1440]]</f>
        <v>98.504999999999995</v>
      </c>
      <c r="BCK21">
        <f>SOFR3mo_PX[[#This Row],[Column1441]]</f>
        <v>98.515000000000001</v>
      </c>
      <c r="BCL21">
        <f>SOFR3mo_PX[[#This Row],[Column1442]]</f>
        <v>98.59</v>
      </c>
      <c r="BCM21">
        <f>SOFR3mo_PX[[#This Row],[Column1443]]</f>
        <v>98.51</v>
      </c>
      <c r="BCN21">
        <f>SOFR3mo_PX[[#This Row],[Column1444]]</f>
        <v>98.594999999999999</v>
      </c>
      <c r="BCO21">
        <f>SOFR3mo_PX[[#This Row],[Column1445]]</f>
        <v>98.555000000000007</v>
      </c>
      <c r="BCP21">
        <f>SOFR3mo_PX[[#This Row],[Column1446]]</f>
        <v>98.57</v>
      </c>
      <c r="BCQ21">
        <f>SOFR3mo_PX[[#This Row],[Column1447]]</f>
        <v>98.58</v>
      </c>
      <c r="BCR21">
        <f>SOFR3mo_PX[[#This Row],[Column1448]]</f>
        <v>98.64</v>
      </c>
      <c r="BCS21">
        <f>SOFR3mo_PX[[#This Row],[Column1449]]</f>
        <v>98.655000000000001</v>
      </c>
      <c r="BCT21">
        <f>SOFR3mo_PX[[#This Row],[Column1450]]</f>
        <v>98.73</v>
      </c>
      <c r="BCU21">
        <f>SOFR3mo_PX[[#This Row],[Column1451]]</f>
        <v>98.61</v>
      </c>
      <c r="BCV21">
        <f>SOFR3mo_PX[[#This Row],[Column1452]]</f>
        <v>98.644999999999996</v>
      </c>
      <c r="BCW21">
        <f>SOFR3mo_PX[[#This Row],[Column1453]]</f>
        <v>98.635000000000005</v>
      </c>
      <c r="BCX21">
        <f>SOFR3mo_PX[[#This Row],[Column1454]]</f>
        <v>98.635000000000005</v>
      </c>
      <c r="BCY21">
        <f>SOFR3mo_PX[[#This Row],[Column1455]]</f>
        <v>98.674999999999997</v>
      </c>
      <c r="BCZ21">
        <f>SOFR3mo_PX[[#This Row],[Column1456]]</f>
        <v>98.665000000000006</v>
      </c>
      <c r="BDA21">
        <f>SOFR3mo_PX[[#This Row],[Column1457]]</f>
        <v>98.65</v>
      </c>
      <c r="BDB21">
        <f>SOFR3mo_PX[[#This Row],[Column1458]]</f>
        <v>98.67</v>
      </c>
      <c r="BDC21">
        <f>SOFR3mo_PX[[#This Row],[Column1459]]</f>
        <v>98.7</v>
      </c>
      <c r="BDD21">
        <f>SOFR3mo_PX[[#This Row],[Column1460]]</f>
        <v>98.665000000000006</v>
      </c>
      <c r="BDE21">
        <f>SOFR3mo_PX[[#This Row],[Column1461]]</f>
        <v>98.64</v>
      </c>
      <c r="BDF21">
        <f>SOFR3mo_PX[[#This Row],[Column1462]]</f>
        <v>98.614999999999995</v>
      </c>
      <c r="BDG21">
        <f>SOFR3mo_PX[[#This Row],[Column1463]]</f>
        <v>98.625</v>
      </c>
      <c r="BDH21">
        <f>SOFR3mo_PX[[#This Row],[Column1464]]</f>
        <v>98.575000000000003</v>
      </c>
      <c r="BDI21">
        <f>SOFR3mo_PX[[#This Row],[Column1465]]</f>
        <v>98.525000000000006</v>
      </c>
      <c r="BDJ21">
        <f>SOFR3mo_PX[[#This Row],[Column1466]]</f>
        <v>98.495000000000005</v>
      </c>
      <c r="BDK21">
        <f>SOFR3mo_PX[[#This Row],[Column1467]]</f>
        <v>98.504999999999995</v>
      </c>
      <c r="BDL21">
        <f>SOFR3mo_PX[[#This Row],[Column1468]]</f>
        <v>98.49</v>
      </c>
      <c r="BDM21">
        <f>SOFR3mo_PX[[#This Row],[Column1469]]</f>
        <v>98.6</v>
      </c>
      <c r="BDN21">
        <f>SOFR3mo_PX[[#This Row],[Column1470]]</f>
        <v>98.575000000000003</v>
      </c>
      <c r="BDO21">
        <f>SOFR3mo_PX[[#This Row],[Column1471]]</f>
        <v>98.635000000000005</v>
      </c>
      <c r="BDP21">
        <f>SOFR3mo_PX[[#This Row],[Column1472]]</f>
        <v>98.685000000000002</v>
      </c>
      <c r="BDQ21">
        <f>SOFR3mo_PX[[#This Row],[Column1473]]</f>
        <v>98.754999999999995</v>
      </c>
      <c r="BDR21">
        <f>SOFR3mo_PX[[#This Row],[Column1474]]</f>
        <v>98.63</v>
      </c>
      <c r="BDS21">
        <f>SOFR3mo_PX[[#This Row],[Column1475]]</f>
        <v>98.61</v>
      </c>
      <c r="BDT21">
        <f>SOFR3mo_PX[[#This Row],[Column1476]]</f>
        <v>98.614999999999995</v>
      </c>
      <c r="BDU21">
        <f>SOFR3mo_PX[[#This Row],[Column1477]]</f>
        <v>98.644999999999996</v>
      </c>
      <c r="BDV21">
        <f>SOFR3mo_PX[[#This Row],[Column1478]]</f>
        <v>98.69</v>
      </c>
      <c r="BDW21">
        <f>SOFR3mo_PX[[#This Row],[Column1479]]</f>
        <v>98.7</v>
      </c>
      <c r="BDX21">
        <f>SOFR3mo_PX[[#This Row],[Column1480]]</f>
        <v>98.68</v>
      </c>
      <c r="BDY21">
        <f>SOFR3mo_PX[[#This Row],[Column1481]]</f>
        <v>98.655000000000001</v>
      </c>
      <c r="BDZ21">
        <f>SOFR3mo_PX[[#This Row],[Column1482]]</f>
        <v>98.694999999999993</v>
      </c>
      <c r="BEA21">
        <f>SOFR3mo_PX[[#This Row],[Column1483]]</f>
        <v>98.67</v>
      </c>
      <c r="BEB21">
        <f>SOFR3mo_PX[[#This Row],[Column1484]]</f>
        <v>98.694999999999993</v>
      </c>
      <c r="BEC21">
        <f>SOFR3mo_PX[[#This Row],[Column1485]]</f>
        <v>98.655000000000001</v>
      </c>
      <c r="BED21">
        <f>SOFR3mo_PX[[#This Row],[Column1486]]</f>
        <v>98.71</v>
      </c>
      <c r="BEE21">
        <f>SOFR3mo_PX[[#This Row],[Column1487]]</f>
        <v>98.69</v>
      </c>
      <c r="BEF21">
        <f>SOFR3mo_PX[[#This Row],[Column1488]]</f>
        <v>98.82</v>
      </c>
      <c r="BEG21">
        <f>SOFR3mo_PX[[#This Row],[Column1489]]</f>
        <v>98.885000000000005</v>
      </c>
      <c r="BEH21">
        <f>SOFR3mo_PX[[#This Row],[Column1490]]</f>
        <v>98.94</v>
      </c>
      <c r="BEI21">
        <f>SOFR3mo_PX[[#This Row],[Column1491]]</f>
        <v>98.93</v>
      </c>
      <c r="BEJ21">
        <f>SOFR3mo_PX[[#This Row],[Column1492]]</f>
        <v>99</v>
      </c>
      <c r="BEK21">
        <f>SOFR3mo_PX[[#This Row],[Column1493]]</f>
        <v>99.01</v>
      </c>
      <c r="BEL21">
        <f>SOFR3mo_PX[[#This Row],[Column1494]]</f>
        <v>98.91</v>
      </c>
      <c r="BEM21">
        <f>SOFR3mo_PX[[#This Row],[Column1495]]</f>
        <v>98.834999999999994</v>
      </c>
      <c r="BEN21">
        <f>SOFR3mo_PX[[#This Row],[Column1496]]</f>
        <v>98.765000000000001</v>
      </c>
      <c r="BEO21">
        <f>SOFR3mo_PX[[#This Row],[Column1497]]</f>
        <v>98.775000000000006</v>
      </c>
      <c r="BEP21">
        <f>SOFR3mo_PX[[#This Row],[Column1498]]</f>
        <v>98.765000000000001</v>
      </c>
      <c r="BEQ21">
        <f>SOFR3mo_PX[[#This Row],[Column1499]]</f>
        <v>98.75</v>
      </c>
      <c r="BER21">
        <f>SOFR3mo_PX[[#This Row],[Column1500]]</f>
        <v>98.85</v>
      </c>
      <c r="BES21">
        <f>SOFR3mo_PX[[#This Row],[Column1501]]</f>
        <v>98.754999999999995</v>
      </c>
      <c r="BET21">
        <f>SOFR3mo_PX[[#This Row],[Column1502]]</f>
        <v>98.715000000000003</v>
      </c>
      <c r="BEU21">
        <f>SOFR3mo_PX[[#This Row],[Column1503]]</f>
        <v>98.73</v>
      </c>
      <c r="BEV21">
        <f>SOFR3mo_PX[[#This Row],[Column1504]]</f>
        <v>98.694999999999993</v>
      </c>
      <c r="BEW21">
        <f>SOFR3mo_PX[[#This Row],[Column1505]]</f>
        <v>98.704999999999998</v>
      </c>
      <c r="BEX21">
        <f>SOFR3mo_PX[[#This Row],[Column1506]]</f>
        <v>98.665000000000006</v>
      </c>
      <c r="BEY21">
        <f>SOFR3mo_PX[[#This Row],[Column1507]]</f>
        <v>98.605000000000004</v>
      </c>
      <c r="BEZ21">
        <f>SOFR3mo_PX[[#This Row],[Column1508]]</f>
        <v>98.7</v>
      </c>
      <c r="BFA21">
        <f>SOFR3mo_PX[[#This Row],[Column1509]]</f>
        <v>98.784999999999997</v>
      </c>
      <c r="BFB21">
        <f>SOFR3mo_PX[[#This Row],[Column1510]]</f>
        <v>98.81</v>
      </c>
      <c r="BFC21">
        <f>SOFR3mo_PX[[#This Row],[Column1511]]</f>
        <v>98.91</v>
      </c>
      <c r="BFD21">
        <f>SOFR3mo_PX[[#This Row],[Column1512]]</f>
        <v>98.984999999999999</v>
      </c>
      <c r="BFE21">
        <f>SOFR3mo_PX[[#This Row],[Column1513]]</f>
        <v>98.99</v>
      </c>
      <c r="BFF21">
        <f>SOFR3mo_PX[[#This Row],[Column1514]]</f>
        <v>99.12</v>
      </c>
      <c r="BFG21">
        <f>SOFR3mo_PX[[#This Row],[Column1515]]</f>
        <v>99.08</v>
      </c>
      <c r="BFH21">
        <f>SOFR3mo_PX[[#This Row],[Column1516]]</f>
        <v>99</v>
      </c>
      <c r="BFI21">
        <f>SOFR3mo_PX[[#This Row],[Column1517]]</f>
        <v>99</v>
      </c>
      <c r="BFJ21">
        <f>SOFR3mo_PX[[#This Row],[Column1518]]</f>
        <v>98.974999999999994</v>
      </c>
      <c r="BFK21">
        <f>SOFR3mo_PX[[#This Row],[Column1519]]</f>
        <v>99.015000000000001</v>
      </c>
      <c r="BFL21">
        <f>SOFR3mo_PX[[#This Row],[Column1520]]</f>
        <v>98.97</v>
      </c>
      <c r="BFM21">
        <f>SOFR3mo_PX[[#This Row],[Column1521]]</f>
        <v>98.924999999999997</v>
      </c>
      <c r="BFN21">
        <f>SOFR3mo_PX[[#This Row],[Column1522]]</f>
        <v>98.95</v>
      </c>
      <c r="BFO21">
        <f>SOFR3mo_PX[[#This Row],[Column1523]]</f>
        <v>98.844999999999999</v>
      </c>
      <c r="BFP21">
        <f>SOFR3mo_PX[[#This Row],[Column1524]]</f>
        <v>98.875</v>
      </c>
      <c r="BFQ21">
        <f>SOFR3mo_PX[[#This Row],[Column1525]]</f>
        <v>98.91</v>
      </c>
      <c r="BFR21">
        <f>SOFR3mo_PX[[#This Row],[Column1526]]</f>
        <v>98.87</v>
      </c>
      <c r="BFS21">
        <f>SOFR3mo_PX[[#This Row],[Column1527]]</f>
        <v>98.93</v>
      </c>
      <c r="BFT21">
        <f>SOFR3mo_PX[[#This Row],[Column1528]]</f>
        <v>98.924999999999997</v>
      </c>
      <c r="BFU21">
        <f>SOFR3mo_PX[[#This Row],[Column1529]]</f>
        <v>98.855000000000004</v>
      </c>
      <c r="BFV21">
        <f>SOFR3mo_PX[[#This Row],[Column1530]]</f>
        <v>98.77</v>
      </c>
      <c r="BFW21">
        <f>SOFR3mo_PX[[#This Row],[Column1531]]</f>
        <v>98.875</v>
      </c>
      <c r="BFX21">
        <f>SOFR3mo_PX[[#This Row],[Column1532]]</f>
        <v>98.795000000000002</v>
      </c>
      <c r="BFY21">
        <f>SOFR3mo_PX[[#This Row],[Column1533]]</f>
        <v>98.84</v>
      </c>
      <c r="BFZ21">
        <f>SOFR3mo_PX[[#This Row],[Column1534]]</f>
        <v>98.915000000000006</v>
      </c>
      <c r="BGA21">
        <f>SOFR3mo_PX[[#This Row],[Column1535]]</f>
        <v>98.82</v>
      </c>
      <c r="BGB21">
        <f>SOFR3mo_PX[[#This Row],[Column1536]]</f>
        <v>98.885000000000005</v>
      </c>
      <c r="BGC21">
        <f>SOFR3mo_PX[[#This Row],[Column1537]]</f>
        <v>98.67</v>
      </c>
      <c r="BGD21">
        <f>SOFR3mo_PX[[#This Row],[Column1538]]</f>
        <v>98.65</v>
      </c>
      <c r="BGE21">
        <f>SOFR3mo_PX[[#This Row],[Column1539]]</f>
        <v>98.46</v>
      </c>
      <c r="BGF21">
        <f>SOFR3mo_PX[[#This Row],[Column1540]]</f>
        <v>98.47</v>
      </c>
      <c r="BGG21">
        <f>SOFR3mo_PX[[#This Row],[Column1541]]</f>
        <v>98.48</v>
      </c>
      <c r="BGH21">
        <f>SOFR3mo_PX[[#This Row],[Column1542]]</f>
        <v>98.46</v>
      </c>
      <c r="BGI21">
        <f>SOFR3mo_PX[[#This Row],[Column1543]]</f>
        <v>98.484999999999999</v>
      </c>
      <c r="BGJ21">
        <f>SOFR3mo_PX[[#This Row],[Column1544]]</f>
        <v>98.51</v>
      </c>
      <c r="BGK21">
        <f>SOFR3mo_PX[[#This Row],[Column1545]]</f>
        <v>98.504999999999995</v>
      </c>
      <c r="BGL21">
        <f>SOFR3mo_PX[[#This Row],[Column1546]]</f>
        <v>98.534999999999997</v>
      </c>
      <c r="BGM21">
        <f>SOFR3mo_PX[[#This Row],[Column1547]]</f>
        <v>98.515000000000001</v>
      </c>
      <c r="BGN21">
        <f>SOFR3mo_PX[[#This Row],[Column1548]]</f>
        <v>98.564999999999998</v>
      </c>
      <c r="BGO21">
        <f>SOFR3mo_PX[[#This Row],[Column1549]]</f>
        <v>98.48</v>
      </c>
      <c r="BGP21">
        <f>SOFR3mo_PX[[#This Row],[Column1550]]</f>
        <v>98.424999999999997</v>
      </c>
      <c r="BGQ21">
        <f>SOFR3mo_PX[[#This Row],[Column1551]]</f>
        <v>98.454999999999998</v>
      </c>
      <c r="BGR21">
        <f>SOFR3mo_PX[[#This Row],[Column1552]]</f>
        <v>98.45</v>
      </c>
      <c r="BGS21">
        <f>SOFR3mo_PX[[#This Row],[Column1553]]</f>
        <v>98.435000000000002</v>
      </c>
      <c r="BGT21">
        <f>SOFR3mo_PX[[#This Row],[Column1554]]</f>
        <v>98.484999999999999</v>
      </c>
      <c r="BGU21">
        <f>SOFR3mo_PX[[#This Row],[Column1555]]</f>
        <v>98.444999999999993</v>
      </c>
      <c r="BGV21">
        <f>SOFR3mo_PX[[#This Row],[Column1556]]</f>
        <v>98.465000000000003</v>
      </c>
      <c r="BGW21">
        <f>SOFR3mo_PX[[#This Row],[Column1557]]</f>
        <v>98.46</v>
      </c>
      <c r="BGX21">
        <f>SOFR3mo_PX[[#This Row],[Column1558]]</f>
        <v>98.545000000000002</v>
      </c>
      <c r="BGY21">
        <f>SOFR3mo_PX[[#This Row],[Column1559]]</f>
        <v>98.545000000000002</v>
      </c>
      <c r="BGZ21">
        <f>SOFR3mo_PX[[#This Row],[Column1560]]</f>
        <v>98.54</v>
      </c>
      <c r="BHA21">
        <f>SOFR3mo_PX[[#This Row],[Column1561]]</f>
        <v>98.49</v>
      </c>
      <c r="BHB21">
        <f>SOFR3mo_PX[[#This Row],[Column1562]]</f>
        <v>98.534999999999997</v>
      </c>
      <c r="BHC21">
        <f>SOFR3mo_PX[[#This Row],[Column1563]]</f>
        <v>98.55</v>
      </c>
      <c r="BHD21">
        <f>SOFR3mo_PX[[#This Row],[Column1564]]</f>
        <v>98.52</v>
      </c>
      <c r="BHE21">
        <f>SOFR3mo_PX[[#This Row],[Column1565]]</f>
        <v>98.605000000000004</v>
      </c>
      <c r="BHF21">
        <f>SOFR3mo_PX[[#This Row],[Column1566]]</f>
        <v>98.58</v>
      </c>
      <c r="BHG21">
        <f>SOFR3mo_PX[[#This Row],[Column1567]]</f>
        <v>98.53</v>
      </c>
      <c r="BHH21">
        <f>SOFR3mo_PX[[#This Row],[Column1568]]</f>
        <v>98.584999999999994</v>
      </c>
      <c r="BHI21">
        <f>SOFR3mo_PX[[#This Row],[Column1569]]</f>
        <v>98.59</v>
      </c>
      <c r="BHJ21">
        <f>SOFR3mo_PX[[#This Row],[Column1570]]</f>
        <v>98.484999999999999</v>
      </c>
      <c r="BHK21">
        <f>SOFR3mo_PX[[#This Row],[Column1571]]</f>
        <v>98.484999999999999</v>
      </c>
      <c r="BHL21">
        <f>SOFR3mo_PX[[#This Row],[Column1572]]</f>
        <v>98.504999999999995</v>
      </c>
      <c r="BHM21">
        <f>SOFR3mo_PX[[#This Row],[Column1573]]</f>
        <v>98.51</v>
      </c>
      <c r="BHN21">
        <f>SOFR3mo_PX[[#This Row],[Column1574]]</f>
        <v>98.44</v>
      </c>
      <c r="BHO21">
        <f>SOFR3mo_PX[[#This Row],[Column1575]]</f>
        <v>98.39</v>
      </c>
      <c r="BHP21">
        <f>SOFR3mo_PX[[#This Row],[Column1576]]</f>
        <v>98.385000000000005</v>
      </c>
      <c r="BHQ21">
        <f>SOFR3mo_PX[[#This Row],[Column1577]]</f>
        <v>98.424999999999997</v>
      </c>
      <c r="BHR21">
        <f>SOFR3mo_PX[[#This Row],[Column1578]]</f>
        <v>98.41</v>
      </c>
      <c r="BHS21">
        <f>SOFR3mo_PX[[#This Row],[Column1579]]</f>
        <v>98.465000000000003</v>
      </c>
      <c r="BHT21">
        <f>SOFR3mo_PX[[#This Row],[Column1580]]</f>
        <v>98.444999999999993</v>
      </c>
      <c r="BHU21">
        <f>SOFR3mo_PX[[#This Row],[Column1581]]</f>
        <v>98.49</v>
      </c>
      <c r="BHV21">
        <f>SOFR3mo_PX[[#This Row],[Column1582]]</f>
        <v>98.44</v>
      </c>
      <c r="BHW21">
        <f>SOFR3mo_PX[[#This Row],[Column1583]]</f>
        <v>98.3</v>
      </c>
      <c r="BHX21">
        <f>SOFR3mo_PX[[#This Row],[Column1584]]</f>
        <v>98.305000000000007</v>
      </c>
      <c r="BHY21">
        <f>SOFR3mo_PX[[#This Row],[Column1585]]</f>
        <v>98.27</v>
      </c>
      <c r="BHZ21">
        <f>SOFR3mo_PX[[#This Row],[Column1586]]</f>
        <v>98.215000000000003</v>
      </c>
      <c r="BIA21">
        <f>SOFR3mo_PX[[#This Row],[Column1587]]</f>
        <v>98.215000000000003</v>
      </c>
      <c r="BIB21">
        <f>SOFR3mo_PX[[#This Row],[Column1588]]</f>
        <v>98.245000000000005</v>
      </c>
      <c r="BIC21">
        <f>SOFR3mo_PX[[#This Row],[Column1589]]</f>
        <v>98.11</v>
      </c>
      <c r="BID21">
        <f>SOFR3mo_PX[[#This Row],[Column1590]]</f>
        <v>98.075000000000003</v>
      </c>
      <c r="BIE21">
        <f>SOFR3mo_PX[[#This Row],[Column1591]]</f>
        <v>98.105000000000004</v>
      </c>
      <c r="BIF21">
        <f>SOFR3mo_PX[[#This Row],[Column1592]]</f>
        <v>98.13</v>
      </c>
      <c r="BIG21">
        <f>SOFR3mo_PX[[#This Row],[Column1593]]</f>
        <v>98.12</v>
      </c>
      <c r="BIH21">
        <f>SOFR3mo_PX[[#This Row],[Column1594]]</f>
        <v>98.165000000000006</v>
      </c>
      <c r="BII21">
        <f>SOFR3mo_PX[[#This Row],[Column1595]]</f>
        <v>98.114999999999995</v>
      </c>
      <c r="BIJ21">
        <f>SOFR3mo_PX[[#This Row],[Column1596]]</f>
        <v>98.125</v>
      </c>
      <c r="BIK21">
        <f>SOFR3mo_PX[[#This Row],[Column1597]]</f>
        <v>98.05</v>
      </c>
      <c r="BIL21">
        <f>SOFR3mo_PX[[#This Row],[Column1598]]</f>
        <v>98.034999999999997</v>
      </c>
      <c r="BIM21">
        <f>SOFR3mo_PX[[#This Row],[Column1599]]</f>
        <v>98</v>
      </c>
      <c r="BIN21">
        <f>SOFR3mo_PX[[#This Row],[Column1600]]</f>
        <v>98.03</v>
      </c>
      <c r="BIO21">
        <f>SOFR3mo_PX[[#This Row],[Column1601]]</f>
        <v>97.974999999999994</v>
      </c>
      <c r="BIP21">
        <f>SOFR3mo_PX[[#This Row],[Column1602]]</f>
        <v>97.935000000000002</v>
      </c>
      <c r="BIQ21">
        <f>SOFR3mo_PX[[#This Row],[Column1603]]</f>
        <v>97.93</v>
      </c>
      <c r="BIR21">
        <f>SOFR3mo_PX[[#This Row],[Column1604]]</f>
        <v>97.99</v>
      </c>
      <c r="BIS21">
        <f>SOFR3mo_PX[[#This Row],[Column1605]]</f>
        <v>98.03</v>
      </c>
      <c r="BIT21">
        <f>SOFR3mo_PX[[#This Row],[Column1606]]</f>
        <v>98.004999999999995</v>
      </c>
      <c r="BIU21">
        <f>SOFR3mo_PX[[#This Row],[Column1607]]</f>
        <v>98.01</v>
      </c>
      <c r="BIV21">
        <f>SOFR3mo_PX[[#This Row],[Column1608]]</f>
        <v>97.96</v>
      </c>
      <c r="BIW21">
        <f>SOFR3mo_PX[[#This Row],[Column1609]]</f>
        <v>97.974999999999994</v>
      </c>
      <c r="BIX21">
        <f>SOFR3mo_PX[[#This Row],[Column1610]]</f>
        <v>97.92</v>
      </c>
      <c r="BIY21">
        <f>SOFR3mo_PX[[#This Row],[Column1611]]</f>
        <v>97.9</v>
      </c>
      <c r="BIZ21">
        <f>SOFR3mo_PX[[#This Row],[Column1612]]</f>
        <v>97.9</v>
      </c>
      <c r="BJA21">
        <f>SOFR3mo_PX[[#This Row],[Column1613]]</f>
        <v>97.9</v>
      </c>
      <c r="BJB21">
        <f>SOFR3mo_PX[[#This Row],[Column1614]]</f>
        <v>97.875</v>
      </c>
      <c r="BJC21">
        <f>SOFR3mo_PX[[#This Row],[Column1615]]</f>
        <v>97.87</v>
      </c>
      <c r="BJD21">
        <f>SOFR3mo_PX[[#This Row],[Column1616]]</f>
        <v>97.9</v>
      </c>
      <c r="BJE21">
        <f>SOFR3mo_PX[[#This Row],[Column1617]]</f>
        <v>97.894999999999996</v>
      </c>
      <c r="BJF21">
        <f>SOFR3mo_PX[[#This Row],[Column1618]]</f>
        <v>97.97</v>
      </c>
      <c r="BJG21">
        <f>SOFR3mo_PX[[#This Row],[Column1619]]</f>
        <v>98.004999999999995</v>
      </c>
      <c r="BJH21">
        <f>SOFR3mo_PX[[#This Row],[Column1620]]</f>
        <v>97.97</v>
      </c>
      <c r="BJI21">
        <f>SOFR3mo_PX[[#This Row],[Column1621]]</f>
        <v>97.935000000000002</v>
      </c>
      <c r="BJJ21">
        <f>SOFR3mo_PX[[#This Row],[Column1622]]</f>
        <v>97.944999999999993</v>
      </c>
      <c r="BJK21">
        <f>SOFR3mo_PX[[#This Row],[Column1623]]</f>
        <v>97.954999999999998</v>
      </c>
      <c r="BJL21">
        <f>SOFR3mo_PX[[#This Row],[Column1624]]</f>
        <v>97.965000000000003</v>
      </c>
      <c r="BJM21">
        <f>SOFR3mo_PX[[#This Row],[Column1625]]</f>
        <v>97.984999999999999</v>
      </c>
      <c r="BJN21">
        <f>SOFR3mo_PX[[#This Row],[Column1626]]</f>
        <v>97.974999999999994</v>
      </c>
      <c r="BJO21">
        <f>SOFR3mo_PX[[#This Row],[Column1627]]</f>
        <v>98.055000000000007</v>
      </c>
      <c r="BJP21">
        <f>SOFR3mo_PX[[#This Row],[Column1628]]</f>
        <v>98.13</v>
      </c>
      <c r="BJQ21">
        <f>SOFR3mo_PX[[#This Row],[Column1629]]</f>
        <v>98.165000000000006</v>
      </c>
      <c r="BJR21">
        <f>SOFR3mo_PX[[#This Row],[Column1630]]</f>
        <v>98.114999999999995</v>
      </c>
      <c r="BJS21">
        <f>SOFR3mo_PX[[#This Row],[Column1631]]</f>
        <v>98.144999999999996</v>
      </c>
      <c r="BJT21">
        <f>SOFR3mo_PX[[#This Row],[Column1632]]</f>
        <v>98.04</v>
      </c>
      <c r="BJU21">
        <f>SOFR3mo_PX[[#This Row],[Column1633]]</f>
        <v>97.924999999999997</v>
      </c>
      <c r="BJV21">
        <f>SOFR3mo_PX[[#This Row],[Column1634]]</f>
        <v>97.905000000000001</v>
      </c>
      <c r="BJW21">
        <f>SOFR3mo_PX[[#This Row],[Column1635]]</f>
        <v>97.814999999999998</v>
      </c>
      <c r="BJX21">
        <f>SOFR3mo_PX[[#This Row],[Column1636]]</f>
        <v>97.83</v>
      </c>
      <c r="BJY21">
        <f>SOFR3mo_PX[[#This Row],[Column1637]]</f>
        <v>97.834999999999994</v>
      </c>
      <c r="BJZ21">
        <f>SOFR3mo_PX[[#This Row],[Column1638]]</f>
        <v>97.805000000000007</v>
      </c>
      <c r="BKA21">
        <f>SOFR3mo_PX[[#This Row],[Column1639]]</f>
        <v>97.81</v>
      </c>
      <c r="BKB21">
        <f>SOFR3mo_PX[[#This Row],[Column1640]]</f>
        <v>97.79</v>
      </c>
      <c r="BKC21">
        <f>SOFR3mo_PX[[#This Row],[Column1641]]</f>
        <v>97.76</v>
      </c>
      <c r="BKD21">
        <f>SOFR3mo_PX[[#This Row],[Column1642]]</f>
        <v>97.77</v>
      </c>
      <c r="BKE21">
        <f>SOFR3mo_PX[[#This Row],[Column1643]]</f>
        <v>97.754999999999995</v>
      </c>
      <c r="BKF21">
        <f>SOFR3mo_PX[[#This Row],[Column1644]]</f>
        <v>97.68</v>
      </c>
      <c r="BKG21">
        <f>SOFR3mo_PX[[#This Row],[Column1645]]</f>
        <v>97.644999999999996</v>
      </c>
      <c r="BKH21">
        <f>SOFR3mo_PX[[#This Row],[Column1646]]</f>
        <v>97.65</v>
      </c>
      <c r="BKI21">
        <f>SOFR3mo_PX[[#This Row],[Column1647]]</f>
        <v>97.64</v>
      </c>
      <c r="BKJ21">
        <f>SOFR3mo_PX[[#This Row],[Column1648]]</f>
        <v>97.71</v>
      </c>
      <c r="BKK21">
        <f>SOFR3mo_PX[[#This Row],[Column1649]]</f>
        <v>97.73</v>
      </c>
      <c r="BKL21">
        <f>SOFR3mo_PX[[#This Row],[Column1650]]</f>
        <v>97.754999999999995</v>
      </c>
      <c r="BKM21">
        <f>SOFR3mo_PX[[#This Row],[Column1651]]</f>
        <v>97.724999999999994</v>
      </c>
      <c r="BKN21">
        <f>SOFR3mo_PX[[#This Row],[Column1652]]</f>
        <v>97.73</v>
      </c>
      <c r="BKO21">
        <f>SOFR3mo_PX[[#This Row],[Column1653]]</f>
        <v>97.685000000000002</v>
      </c>
      <c r="BKP21">
        <f>SOFR3mo_PX[[#This Row],[Column1654]]</f>
        <v>97.724999999999994</v>
      </c>
      <c r="BKQ21">
        <f>SOFR3mo_PX[[#This Row],[Column1655]]</f>
        <v>97.72</v>
      </c>
      <c r="BKR21">
        <f>SOFR3mo_PX[[#This Row],[Column1656]]</f>
        <v>97.704999999999998</v>
      </c>
      <c r="BKS21">
        <f>SOFR3mo_PX[[#This Row],[Column1657]]</f>
        <v>97.704999999999998</v>
      </c>
      <c r="BKT21">
        <f>SOFR3mo_PX[[#This Row],[Column1658]]</f>
        <v>97.71</v>
      </c>
      <c r="BKU21">
        <f>SOFR3mo_PX[[#This Row],[Column1659]]</f>
        <v>97.67</v>
      </c>
      <c r="BKV21">
        <f>SOFR3mo_PX[[#This Row],[Column1660]]</f>
        <v>97.73</v>
      </c>
      <c r="BKW21">
        <f>SOFR3mo_PX[[#This Row],[Column1661]]</f>
        <v>97.76</v>
      </c>
      <c r="BKX21">
        <f>SOFR3mo_PX[[#This Row],[Column1662]]</f>
        <v>97.784999999999997</v>
      </c>
      <c r="BKY21">
        <f>SOFR3mo_PX[[#This Row],[Column1663]]</f>
        <v>97.75</v>
      </c>
      <c r="BKZ21">
        <f>SOFR3mo_PX[[#This Row],[Column1664]]</f>
        <v>97.694999999999993</v>
      </c>
      <c r="BLA21">
        <f>SOFR3mo_PX[[#This Row],[Column1665]]</f>
        <v>97.685000000000002</v>
      </c>
      <c r="BLB21">
        <f>SOFR3mo_PX[[#This Row],[Column1666]]</f>
        <v>97.68</v>
      </c>
      <c r="BLC21">
        <f>SOFR3mo_PX[[#This Row],[Column1667]]</f>
        <v>97.7</v>
      </c>
      <c r="BLD21">
        <f>SOFR3mo_PX[[#This Row],[Column1668]]</f>
        <v>97.724999999999994</v>
      </c>
      <c r="BLE21">
        <f>SOFR3mo_PX[[#This Row],[Column1669]]</f>
        <v>97.655000000000001</v>
      </c>
      <c r="BLF21">
        <f>SOFR3mo_PX[[#This Row],[Column1670]]</f>
        <v>97.605000000000004</v>
      </c>
      <c r="BLG21">
        <f>SOFR3mo_PX[[#This Row],[Column1671]]</f>
        <v>97.6</v>
      </c>
      <c r="BLH21">
        <f>SOFR3mo_PX[[#This Row],[Column1672]]</f>
        <v>97.59</v>
      </c>
      <c r="BLI21">
        <f>SOFR3mo_PX[[#This Row],[Column1673]]</f>
        <v>97.614999999999995</v>
      </c>
      <c r="BLJ21">
        <f>SOFR3mo_PX[[#This Row],[Column1674]]</f>
        <v>97.6</v>
      </c>
      <c r="BLK21">
        <f>SOFR3mo_PX[[#This Row],[Column1675]]</f>
        <v>97.605000000000004</v>
      </c>
      <c r="BLL21">
        <f>SOFR3mo_PX[[#This Row],[Column1676]]</f>
        <v>97.56</v>
      </c>
      <c r="BLM21">
        <f>SOFR3mo_PX[[#This Row],[Column1677]]</f>
        <v>97.56</v>
      </c>
      <c r="BLN21">
        <f>SOFR3mo_PX[[#This Row],[Column1678]]</f>
        <v>97.63</v>
      </c>
      <c r="BLO21">
        <f>SOFR3mo_PX[[#This Row],[Column1679]]</f>
        <v>97.66</v>
      </c>
      <c r="BLP21">
        <f>SOFR3mo_PX[[#This Row],[Column1680]]</f>
        <v>97.685000000000002</v>
      </c>
      <c r="BLQ21">
        <f>SOFR3mo_PX[[#This Row],[Column1681]]</f>
        <v>97.674999999999997</v>
      </c>
      <c r="BLR21">
        <f>SOFR3mo_PX[[#This Row],[Column1682]]</f>
        <v>97.68</v>
      </c>
      <c r="BLS21">
        <f>SOFR3mo_PX[[#This Row],[Column1683]]</f>
        <v>97.665000000000006</v>
      </c>
      <c r="BLT21">
        <f>SOFR3mo_PX[[#This Row],[Column1684]]</f>
        <v>97.67</v>
      </c>
      <c r="BLU21">
        <f>SOFR3mo_PX[[#This Row],[Column1685]]</f>
        <v>97.66</v>
      </c>
      <c r="BLV21">
        <f>SOFR3mo_PX[[#This Row],[Column1686]]</f>
        <v>97.73</v>
      </c>
      <c r="BLW21">
        <f>SOFR3mo_PX[[#This Row],[Column1687]]</f>
        <v>97.775000000000006</v>
      </c>
      <c r="BLX21">
        <f>SOFR3mo_PX[[#This Row],[Column1688]]</f>
        <v>97.84</v>
      </c>
      <c r="BLY21">
        <f>SOFR3mo_PX[[#This Row],[Column1689]]</f>
        <v>97.655000000000001</v>
      </c>
      <c r="BLZ21">
        <f>SOFR3mo_PX[[#This Row],[Column1690]]</f>
        <v>97.665000000000006</v>
      </c>
      <c r="BMA21">
        <f>SOFR3mo_PX[[#This Row],[Column1691]]</f>
        <v>97.665000000000006</v>
      </c>
      <c r="BMB21">
        <f>SOFR3mo_PX[[#This Row],[Column1692]]</f>
        <v>97.66</v>
      </c>
      <c r="BMC21">
        <f>SOFR3mo_PX[[#This Row],[Column1693]]</f>
        <v>97.65</v>
      </c>
      <c r="BMD21">
        <f>SOFR3mo_PX[[#This Row],[Column1694]]</f>
        <v>97.594999999999999</v>
      </c>
      <c r="BME21">
        <f>SOFR3mo_PX[[#This Row],[Column1695]]</f>
        <v>97.57</v>
      </c>
      <c r="BMF21">
        <f>SOFR3mo_PX[[#This Row],[Column1696]]</f>
        <v>97.57</v>
      </c>
      <c r="BMG21">
        <f>SOFR3mo_PX[[#This Row],[Column1697]]</f>
        <v>97.51</v>
      </c>
      <c r="BMH21">
        <f>SOFR3mo_PX[[#This Row],[Column1698]]</f>
        <v>97.474999999999994</v>
      </c>
      <c r="BMI21">
        <f>SOFR3mo_PX[[#This Row],[Column1699]]</f>
        <v>97.465000000000003</v>
      </c>
      <c r="BMJ21">
        <f>SOFR3mo_PX[[#This Row],[Column1700]]</f>
        <v>97.465000000000003</v>
      </c>
      <c r="BMK21">
        <f>SOFR3mo_PX[[#This Row],[Column1701]]</f>
        <v>97.415000000000006</v>
      </c>
      <c r="BML21">
        <f>SOFR3mo_PX[[#This Row],[Column1702]]</f>
        <v>97.38</v>
      </c>
      <c r="BMM21">
        <f>SOFR3mo_PX[[#This Row],[Column1703]]</f>
        <v>97.35</v>
      </c>
      <c r="BMN21">
        <f>SOFR3mo_PX[[#This Row],[Column1704]]</f>
        <v>97.355000000000004</v>
      </c>
      <c r="BMO21">
        <f>SOFR3mo_PX[[#This Row],[Column1705]]</f>
        <v>97.39</v>
      </c>
      <c r="BMP21">
        <f>SOFR3mo_PX[[#This Row],[Column1706]]</f>
        <v>97.43</v>
      </c>
      <c r="BMQ21">
        <f>SOFR3mo_PX[[#This Row],[Column1707]]</f>
        <v>97.394999999999996</v>
      </c>
      <c r="BMR21">
        <f>SOFR3mo_PX[[#This Row],[Column1708]]</f>
        <v>97.355000000000004</v>
      </c>
      <c r="BMS21">
        <f>SOFR3mo_PX[[#This Row],[Column1709]]</f>
        <v>97.25</v>
      </c>
      <c r="BMT21">
        <f>SOFR3mo_PX[[#This Row],[Column1710]]</f>
        <v>97.25</v>
      </c>
      <c r="BMU21">
        <f>SOFR3mo_PX[[#This Row],[Column1711]]</f>
        <v>97.22</v>
      </c>
      <c r="BMV21">
        <f>SOFR3mo_PX[[#This Row],[Column1712]]</f>
        <v>97.24</v>
      </c>
      <c r="BMW21">
        <f>SOFR3mo_PX[[#This Row],[Column1713]]</f>
        <v>97.234999999999999</v>
      </c>
      <c r="BMX21">
        <f>SOFR3mo_PX[[#This Row],[Column1714]]</f>
        <v>97.23</v>
      </c>
      <c r="BMY21">
        <f>SOFR3mo_PX[[#This Row],[Column1715]]</f>
        <v>97.194999999999993</v>
      </c>
      <c r="BMZ21">
        <f>SOFR3mo_PX[[#This Row],[Column1716]]</f>
        <v>97.18</v>
      </c>
      <c r="BNA21">
        <f>SOFR3mo_PX[[#This Row],[Column1717]]</f>
        <v>97.19</v>
      </c>
      <c r="BNB21">
        <f>SOFR3mo_PX[[#This Row],[Column1718]]</f>
        <v>97.19</v>
      </c>
      <c r="BNC21">
        <f>SOFR3mo_PX[[#This Row],[Column1719]]</f>
        <v>97.19</v>
      </c>
      <c r="BND21">
        <f>SOFR3mo_PX[[#This Row],[Column1720]]</f>
        <v>97.2</v>
      </c>
      <c r="BNE21">
        <f>SOFR3mo_PX[[#This Row],[Column1721]]</f>
        <v>97.204999999999998</v>
      </c>
      <c r="BNF21">
        <f>SOFR3mo_PX[[#This Row],[Column1722]]</f>
        <v>97.17</v>
      </c>
      <c r="BNG21">
        <f>SOFR3mo_PX[[#This Row],[Column1723]]</f>
        <v>97.12</v>
      </c>
      <c r="BNH21">
        <f>SOFR3mo_PX[[#This Row],[Column1724]]</f>
        <v>97.11</v>
      </c>
      <c r="BNI21">
        <f>SOFR3mo_PX[[#This Row],[Column1725]]</f>
        <v>97.055000000000007</v>
      </c>
      <c r="BNJ21">
        <f>SOFR3mo_PX[[#This Row],[Column1726]]</f>
        <v>97.034999999999997</v>
      </c>
      <c r="BNK21">
        <f>SOFR3mo_PX[[#This Row],[Column1727]]</f>
        <v>97.015000000000001</v>
      </c>
      <c r="BNL21">
        <f>SOFR3mo_PX[[#This Row],[Column1728]]</f>
        <v>97</v>
      </c>
      <c r="BNM21">
        <f>SOFR3mo_PX[[#This Row],[Column1729]]</f>
        <v>97.034999999999997</v>
      </c>
      <c r="BNN21">
        <f>SOFR3mo_PX[[#This Row],[Column1730]]</f>
        <v>97.045000000000002</v>
      </c>
      <c r="BNO21">
        <f>SOFR3mo_PX[[#This Row],[Column1731]]</f>
        <v>97.055000000000007</v>
      </c>
      <c r="BNP21">
        <f>SOFR3mo_PX[[#This Row],[Column1732]]</f>
        <v>97.06</v>
      </c>
      <c r="BNQ21">
        <f>SOFR3mo_PX[[#This Row],[Column1733]]</f>
        <v>97.1</v>
      </c>
      <c r="BNR21">
        <f>SOFR3mo_PX[[#This Row],[Column1734]]</f>
        <v>97.09</v>
      </c>
      <c r="BNS21">
        <f>SOFR3mo_PX[[#This Row],[Column1735]]</f>
        <v>97.12</v>
      </c>
      <c r="BNT21">
        <f>SOFR3mo_PX[[#This Row],[Column1736]]</f>
        <v>97.12</v>
      </c>
      <c r="BNU21">
        <f>SOFR3mo_PX[[#This Row],[Column1737]]</f>
        <v>97.125</v>
      </c>
      <c r="BNV21">
        <f>SOFR3mo_PX[[#This Row],[Column1738]]</f>
        <v>97.055000000000007</v>
      </c>
      <c r="BNW21">
        <f>SOFR3mo_PX[[#This Row],[Column1739]]</f>
        <v>97.055000000000007</v>
      </c>
      <c r="BNX21">
        <f>SOFR3mo_PX[[#This Row],[Column1740]]</f>
        <v>97.025000000000006</v>
      </c>
      <c r="BNY21">
        <f>SOFR3mo_PX[[#This Row],[Column1741]]</f>
        <v>96.99</v>
      </c>
      <c r="BNZ21">
        <f>SOFR3mo_PX[[#This Row],[Column1742]]</f>
        <v>96.984999999999999</v>
      </c>
      <c r="BOA21">
        <f>SOFR3mo_PX[[#This Row],[Column1743]]</f>
        <v>97.004999999999995</v>
      </c>
      <c r="BOB21">
        <f>SOFR3mo_PX[[#This Row],[Column1744]]</f>
        <v>96.995000000000005</v>
      </c>
      <c r="BOC21">
        <f>SOFR3mo_PX[[#This Row],[Column1745]]</f>
        <v>96.995000000000005</v>
      </c>
      <c r="BOD21">
        <f>SOFR3mo_PX[[#This Row],[Column1746]]</f>
        <v>97</v>
      </c>
      <c r="BOE21">
        <f>SOFR3mo_PX[[#This Row],[Column1747]]</f>
        <v>97.01</v>
      </c>
      <c r="BOF21">
        <f>SOFR3mo_PX[[#This Row],[Column1748]]</f>
        <v>96.99</v>
      </c>
      <c r="BOG21">
        <f>SOFR3mo_PX[[#This Row],[Column1749]]</f>
        <v>96.94</v>
      </c>
      <c r="BOH21">
        <f>SOFR3mo_PX[[#This Row],[Column1750]]</f>
        <v>96.93</v>
      </c>
      <c r="BOI21">
        <f>SOFR3mo_PX[[#This Row],[Column1751]]</f>
        <v>96.935000000000002</v>
      </c>
      <c r="BOJ21">
        <f>SOFR3mo_PX[[#This Row],[Column1752]]</f>
        <v>96.94</v>
      </c>
      <c r="BOK21">
        <f>SOFR3mo_PX[[#This Row],[Column1753]]</f>
        <v>96.965000000000003</v>
      </c>
      <c r="BOL21">
        <f>SOFR3mo_PX[[#This Row],[Column1754]]</f>
        <v>97</v>
      </c>
      <c r="BOM21">
        <f>SOFR3mo_PX[[#This Row],[Column1755]]</f>
        <v>97.05</v>
      </c>
      <c r="BON21">
        <f>SOFR3mo_PX[[#This Row],[Column1756]]</f>
        <v>97.04</v>
      </c>
      <c r="BOO21">
        <f>SOFR3mo_PX[[#This Row],[Column1757]]</f>
        <v>97.04</v>
      </c>
      <c r="BOP21">
        <f>SOFR3mo_PX[[#This Row],[Column1758]]</f>
        <v>97.02</v>
      </c>
      <c r="BOQ21">
        <f>SOFR3mo_PX[[#This Row],[Column1759]]</f>
        <v>97.02</v>
      </c>
      <c r="BOR21">
        <f>SOFR3mo_PX[[#This Row],[Column1760]]</f>
        <v>97.01</v>
      </c>
      <c r="BOS21">
        <f>SOFR3mo_PX[[#This Row],[Column1761]]</f>
        <v>97.025000000000006</v>
      </c>
      <c r="BOT21">
        <f>SOFR3mo_PX[[#This Row],[Column1762]]</f>
        <v>97.03</v>
      </c>
      <c r="BOU21">
        <f>SOFR3mo_PX[[#This Row],[Column1763]]</f>
        <v>97.02</v>
      </c>
      <c r="BOV21">
        <f>SOFR3mo_PX[[#This Row],[Column1764]]</f>
        <v>97.04</v>
      </c>
      <c r="BOW21">
        <f>SOFR3mo_PX[[#This Row],[Column1765]]</f>
        <v>97.07</v>
      </c>
      <c r="BOX21">
        <f>SOFR3mo_PX[[#This Row],[Column1766]]</f>
        <v>97.1</v>
      </c>
      <c r="BOY21">
        <f>SOFR3mo_PX[[#This Row],[Column1767]]</f>
        <v>97.1</v>
      </c>
      <c r="BOZ21">
        <f>SOFR3mo_PX[[#This Row],[Column1768]]</f>
        <v>97.135000000000005</v>
      </c>
      <c r="BPA21">
        <f>SOFR3mo_PX[[#This Row],[Column1769]]</f>
        <v>97.16</v>
      </c>
      <c r="BPB21">
        <f>SOFR3mo_PX[[#This Row],[Column1770]]</f>
        <v>97.16</v>
      </c>
      <c r="BPC21">
        <f>SOFR3mo_PX[[#This Row],[Column1771]]</f>
        <v>97.21</v>
      </c>
      <c r="BPD21">
        <f>SOFR3mo_PX[[#This Row],[Column1772]]</f>
        <v>97.21</v>
      </c>
      <c r="BPE21">
        <f>SOFR3mo_PX[[#This Row],[Column1773]]</f>
        <v>97.27</v>
      </c>
      <c r="BPF21">
        <f>SOFR3mo_PX[[#This Row],[Column1774]]</f>
        <v>97.254999999999995</v>
      </c>
      <c r="BPG21">
        <f>SOFR3mo_PX[[#This Row],[Column1775]]</f>
        <v>97.26</v>
      </c>
      <c r="BPH21">
        <f>SOFR3mo_PX[[#This Row],[Column1776]]</f>
        <v>97.28</v>
      </c>
      <c r="BPI21">
        <f>SOFR3mo_PX[[#This Row],[Column1777]]</f>
        <v>97.28</v>
      </c>
      <c r="BPJ21">
        <f>SOFR3mo_PX[[#This Row],[Column1778]]</f>
        <v>97.245000000000005</v>
      </c>
      <c r="BPK21">
        <f>SOFR3mo_PX[[#This Row],[Column1779]]</f>
        <v>97.234999999999999</v>
      </c>
      <c r="BPL21">
        <f>SOFR3mo_PX[[#This Row],[Column1780]]</f>
        <v>97.25</v>
      </c>
      <c r="BPM21">
        <f>SOFR3mo_PX[[#This Row],[Column1781]]</f>
        <v>97.265000000000001</v>
      </c>
      <c r="BPN21">
        <f>SOFR3mo_PX[[#This Row],[Column1782]]</f>
        <v>97.284999999999997</v>
      </c>
      <c r="BPO21">
        <f>SOFR3mo_PX[[#This Row],[Column1783]]</f>
        <v>97.284999999999997</v>
      </c>
      <c r="BPP21">
        <f>SOFR3mo_PX[[#This Row],[Column1784]]</f>
        <v>97.305000000000007</v>
      </c>
      <c r="BPQ21">
        <f>SOFR3mo_PX[[#This Row],[Column1785]]</f>
        <v>97.295000000000002</v>
      </c>
      <c r="BPR21">
        <f>SOFR3mo_PX[[#This Row],[Column1786]]</f>
        <v>97.305000000000007</v>
      </c>
      <c r="BPS21">
        <f>SOFR3mo_PX[[#This Row],[Column1787]]</f>
        <v>97.28</v>
      </c>
      <c r="BPT21">
        <f>SOFR3mo_PX[[#This Row],[Column1788]]</f>
        <v>97.275000000000006</v>
      </c>
      <c r="BPU21">
        <f>SOFR3mo_PX[[#This Row],[Column1789]]</f>
        <v>97.295000000000002</v>
      </c>
      <c r="BPV21">
        <f>SOFR3mo_PX[[#This Row],[Column1790]]</f>
        <v>97.26</v>
      </c>
      <c r="BPW21">
        <f>SOFR3mo_PX[[#This Row],[Column1791]]</f>
        <v>97.284999999999997</v>
      </c>
      <c r="BPX21">
        <f>SOFR3mo_PX[[#This Row],[Column1792]]</f>
        <v>97.29</v>
      </c>
      <c r="BPY21">
        <f>SOFR3mo_PX[[#This Row],[Column1793]]</f>
        <v>97.224999999999994</v>
      </c>
      <c r="BPZ21">
        <f>SOFR3mo_PX[[#This Row],[Column1794]]</f>
        <v>97.21</v>
      </c>
      <c r="BQA21">
        <f>SOFR3mo_PX[[#This Row],[Column1795]]</f>
        <v>97.204999999999998</v>
      </c>
      <c r="BQB21">
        <f>SOFR3mo_PX[[#This Row],[Column1796]]</f>
        <v>97.21</v>
      </c>
      <c r="BQC21">
        <f>SOFR3mo_PX[[#This Row],[Column1797]]</f>
        <v>97.2</v>
      </c>
      <c r="BQD21">
        <f>SOFR3mo_PX[[#This Row],[Column1798]]</f>
        <v>97.19</v>
      </c>
      <c r="BQE21">
        <f>SOFR3mo_PX[[#This Row],[Column1799]]</f>
        <v>97.2</v>
      </c>
      <c r="BQF21">
        <f>SOFR3mo_PX[[#This Row],[Column1800]]</f>
        <v>97.204999999999998</v>
      </c>
      <c r="BQG21">
        <f>SOFR3mo_PX[[#This Row],[Column1801]]</f>
        <v>97.204999999999998</v>
      </c>
      <c r="BQH21">
        <f>SOFR3mo_PX[[#This Row],[Column1802]]</f>
        <v>97.194999999999993</v>
      </c>
      <c r="BQI21">
        <f>SOFR3mo_PX[[#This Row],[Column1803]]</f>
        <v>97.19</v>
      </c>
      <c r="BQJ21">
        <f>SOFR3mo_PX[[#This Row],[Column1804]]</f>
        <v>97.234999999999999</v>
      </c>
      <c r="BQK21">
        <f>SOFR3mo_PX[[#This Row],[Column1805]]</f>
        <v>97.234999999999999</v>
      </c>
      <c r="BQL21">
        <f>SOFR3mo_PX[[#This Row],[Column1806]]</f>
        <v>97.245000000000005</v>
      </c>
      <c r="BQM21">
        <f>SOFR3mo_PX[[#This Row],[Column1807]]</f>
        <v>97.28</v>
      </c>
      <c r="BQN21">
        <f>SOFR3mo_PX[[#This Row],[Column1808]]</f>
        <v>97.284999999999997</v>
      </c>
      <c r="BQO21">
        <f>SOFR3mo_PX[[#This Row],[Column1809]]</f>
        <v>97.27</v>
      </c>
      <c r="BQP21">
        <f>SOFR3mo_PX[[#This Row],[Column1810]]</f>
        <v>97.275000000000006</v>
      </c>
      <c r="BQQ21">
        <f>SOFR3mo_PX[[#This Row],[Column1811]]</f>
        <v>97.3</v>
      </c>
      <c r="BQR21">
        <f>SOFR3mo_PX[[#This Row],[Column1812]]</f>
        <v>97.31</v>
      </c>
      <c r="BQS21">
        <f>SOFR3mo_PX[[#This Row],[Column1813]]</f>
        <v>97.295000000000002</v>
      </c>
      <c r="BQT21">
        <f>SOFR3mo_PX[[#This Row],[Column1814]]</f>
        <v>97.3</v>
      </c>
      <c r="BQU21">
        <f>SOFR3mo_PX[[#This Row],[Column1815]]</f>
        <v>97.295000000000002</v>
      </c>
      <c r="BQV21">
        <f>SOFR3mo_PX[[#This Row],[Column1816]]</f>
        <v>97.305000000000007</v>
      </c>
      <c r="BQW21">
        <f>SOFR3mo_PX[[#This Row],[Column1817]]</f>
        <v>97.314999999999998</v>
      </c>
      <c r="BQX21">
        <f>SOFR3mo_PX[[#This Row],[Column1818]]</f>
        <v>97.295000000000002</v>
      </c>
      <c r="BQY21">
        <f>SOFR3mo_PX[[#This Row],[Column1819]]</f>
        <v>97.31</v>
      </c>
      <c r="BQZ21">
        <f>SOFR3mo_PX[[#This Row],[Column1820]]</f>
        <v>97.31</v>
      </c>
      <c r="BRA21">
        <f>SOFR3mo_PX[[#This Row],[Column1821]]</f>
        <v>97.305000000000007</v>
      </c>
      <c r="BRB21">
        <f>SOFR3mo_PX[[#This Row],[Column1822]]</f>
        <v>97.305000000000007</v>
      </c>
      <c r="BRC21">
        <f>SOFR3mo_PX[[#This Row],[Column1823]]</f>
        <v>97.31</v>
      </c>
      <c r="BRD21">
        <f>SOFR3mo_PX[[#This Row],[Column1824]]</f>
        <v>97.305000000000007</v>
      </c>
      <c r="BRE21">
        <f>SOFR3mo_PX[[#This Row],[Column1825]]</f>
        <v>97.26</v>
      </c>
      <c r="BRF21">
        <f>SOFR3mo_PX[[#This Row],[Column1826]]</f>
        <v>97.245000000000005</v>
      </c>
      <c r="BRG21">
        <f>SOFR3mo_PX[[#This Row],[Column1827]]</f>
        <v>97.215000000000003</v>
      </c>
      <c r="BRH21">
        <f>SOFR3mo_PX[[#This Row],[Column1828]]</f>
        <v>97.215000000000003</v>
      </c>
      <c r="BRI21">
        <f>SOFR3mo_PX[[#This Row],[Column1829]]</f>
        <v>97.204999999999998</v>
      </c>
      <c r="BRJ21">
        <f>SOFR3mo_PX[[#This Row],[Column1830]]</f>
        <v>97.21</v>
      </c>
      <c r="BRK21">
        <f>SOFR3mo_PX[[#This Row],[Column1831]]</f>
        <v>97.18</v>
      </c>
      <c r="BRL21">
        <f>SOFR3mo_PX[[#This Row],[Column1832]]</f>
        <v>97.19</v>
      </c>
      <c r="BRM21">
        <f>SOFR3mo_PX[[#This Row],[Column1833]]</f>
        <v>97.174999999999997</v>
      </c>
      <c r="BRN21">
        <f>SOFR3mo_PX[[#This Row],[Column1834]]</f>
        <v>97.174999999999997</v>
      </c>
      <c r="BRO21">
        <f>SOFR3mo_PX[[#This Row],[Column1835]]</f>
        <v>97.21</v>
      </c>
      <c r="BRP21">
        <f>SOFR3mo_PX[[#This Row],[Column1836]]</f>
        <v>97.224999999999994</v>
      </c>
      <c r="BRQ21">
        <f>SOFR3mo_PX[[#This Row],[Column1837]]</f>
        <v>97.234999999999999</v>
      </c>
      <c r="BRR21">
        <f>SOFR3mo_PX[[#This Row],[Column1838]]</f>
        <v>97.2</v>
      </c>
      <c r="BRS21">
        <f>SOFR3mo_PX[[#This Row],[Column1839]]</f>
        <v>97.19</v>
      </c>
      <c r="BRT21">
        <f>SOFR3mo_PX[[#This Row],[Column1840]]</f>
        <v>97.23</v>
      </c>
      <c r="BRU21">
        <f>SOFR3mo_PX[[#This Row],[Column1841]]</f>
        <v>97.21</v>
      </c>
      <c r="BRV21">
        <f>SOFR3mo_PX[[#This Row],[Column1842]]</f>
        <v>97.25</v>
      </c>
      <c r="BRW21">
        <f>SOFR3mo_PX[[#This Row],[Column1843]]</f>
        <v>97.32</v>
      </c>
      <c r="BRX21">
        <f>SOFR3mo_PX[[#This Row],[Column1844]]</f>
        <v>97.314999999999998</v>
      </c>
      <c r="BRY21">
        <f>SOFR3mo_PX[[#This Row],[Column1845]]</f>
        <v>97.41</v>
      </c>
      <c r="BRZ21">
        <f>SOFR3mo_PX[[#This Row],[Column1846]]</f>
        <v>97.194999999999993</v>
      </c>
      <c r="BSA21">
        <f>SOFR3mo_PX[[#This Row],[Column1847]]</f>
        <v>97.194999999999993</v>
      </c>
      <c r="BSB21">
        <f>SOFR3mo_PX[[#This Row],[Column1848]]</f>
        <v>97.165000000000006</v>
      </c>
      <c r="BSC21">
        <f>SOFR3mo_PX[[#This Row],[Column1849]]</f>
        <v>97.135000000000005</v>
      </c>
      <c r="BSD21">
        <f>SOFR3mo_PX[[#This Row],[Column1850]]</f>
        <v>97.084999999999994</v>
      </c>
      <c r="BSE21">
        <f>SOFR3mo_PX[[#This Row],[Column1851]]</f>
        <v>97.075000000000003</v>
      </c>
      <c r="BSF21">
        <f>SOFR3mo_PX[[#This Row],[Column1852]]</f>
        <v>97.09</v>
      </c>
      <c r="BSG21">
        <f>SOFR3mo_PX[[#This Row],[Column1853]]</f>
        <v>97.064999999999998</v>
      </c>
      <c r="BSH21">
        <f>SOFR3mo_PX[[#This Row],[Column1854]]</f>
        <v>97.08</v>
      </c>
      <c r="BSI21">
        <f>SOFR3mo_PX[[#This Row],[Column1855]]</f>
        <v>97.09</v>
      </c>
      <c r="BSJ21">
        <f>SOFR3mo_PX[[#This Row],[Column1856]]</f>
        <v>97.12</v>
      </c>
      <c r="BSK21">
        <f>SOFR3mo_PX[[#This Row],[Column1857]]</f>
        <v>97.125</v>
      </c>
      <c r="BSL21">
        <f>SOFR3mo_PX[[#This Row],[Column1858]]</f>
        <v>97.14</v>
      </c>
      <c r="BSM21">
        <f>SOFR3mo_PX[[#This Row],[Column1859]]</f>
        <v>97.16</v>
      </c>
      <c r="BSN21">
        <f>SOFR3mo_PX[[#This Row],[Column1860]]</f>
        <v>97.185000000000002</v>
      </c>
      <c r="BSO21">
        <f>SOFR3mo_PX[[#This Row],[Column1861]]</f>
        <v>97.194999999999993</v>
      </c>
      <c r="BSP21">
        <f>SOFR3mo_PX[[#This Row],[Column1862]]</f>
        <v>97.22</v>
      </c>
      <c r="BSQ21" t="str">
        <f>SOFR3mo_PX[[#This Row],[Column1863]]</f>
        <v>#N/A N/A</v>
      </c>
      <c r="BSR21" t="str">
        <f>SOFR3mo_PX[[#This Row],[Column1864]]</f>
        <v>#N/A N/A</v>
      </c>
      <c r="BSS21" t="str">
        <f>SOFR3mo_PX[[#This Row],[Column1865]]</f>
        <v>#N/A N/A</v>
      </c>
      <c r="BST21" t="str">
        <f>SOFR3mo_PX[[#This Row],[Column1866]]</f>
        <v>#N/A N/A</v>
      </c>
      <c r="BSU21" t="str">
        <f>SOFR3mo_PX[[#This Row],[Column1867]]</f>
        <v>#N/A N/A</v>
      </c>
      <c r="BSV21" t="str">
        <f>SOFR3mo_PX[[#This Row],[Column1868]]</f>
        <v>#N/A N/A</v>
      </c>
      <c r="BSW21" t="str">
        <f>SOFR3mo_PX[[#This Row],[Column1869]]</f>
        <v>#N/A N/A</v>
      </c>
      <c r="BSX21" t="str">
        <f>SOFR3mo_PX[[#This Row],[Column1870]]</f>
        <v>#N/A N/A</v>
      </c>
      <c r="BSY21" t="str">
        <f>SOFR3mo_PX[[#This Row],[Column1871]]</f>
        <v>#N/A N/A</v>
      </c>
      <c r="BSZ21" t="str">
        <f>SOFR3mo_PX[[#This Row],[Column1872]]</f>
        <v>#N/A N/A</v>
      </c>
      <c r="BTA21" t="str">
        <f>SOFR3mo_PX[[#This Row],[Column1873]]</f>
        <v>#N/A N/A</v>
      </c>
      <c r="BTB21" t="str">
        <f>SOFR3mo_PX[[#This Row],[Column1874]]</f>
        <v>#N/A N/A</v>
      </c>
      <c r="BTC21" t="str">
        <f>SOFR3mo_PX[[#This Row],[Column1875]]</f>
        <v>#N/A N/A</v>
      </c>
      <c r="BTD21" t="str">
        <f>SOFR3mo_PX[[#This Row],[Column1876]]</f>
        <v>#N/A N/A</v>
      </c>
      <c r="BTE21" t="str">
        <f>SOFR3mo_PX[[#This Row],[Column1877]]</f>
        <v>#N/A N/A</v>
      </c>
      <c r="BTF21" t="str">
        <f>SOFR3mo_PX[[#This Row],[Column1878]]</f>
        <v>#N/A N/A</v>
      </c>
      <c r="BTG21" t="str">
        <f>SOFR3mo_PX[[#This Row],[Column1879]]</f>
        <v>#N/A N/A</v>
      </c>
      <c r="BTH21" t="str">
        <f>SOFR3mo_PX[[#This Row],[Column1880]]</f>
        <v>#N/A N/A</v>
      </c>
      <c r="BTI21" t="str">
        <f>SOFR3mo_PX[[#This Row],[Column1881]]</f>
        <v>#N/A N/A</v>
      </c>
      <c r="BTJ21" t="str">
        <f>SOFR3mo_PX[[#This Row],[Column1882]]</f>
        <v>#N/A N/A</v>
      </c>
      <c r="BTK21" t="str">
        <f>SOFR3mo_PX[[#This Row],[Column1883]]</f>
        <v>#N/A N/A</v>
      </c>
      <c r="BTL21" t="str">
        <f>SOFR3mo_PX[[#This Row],[Column1884]]</f>
        <v>#N/A N/A</v>
      </c>
      <c r="BTM21" t="str">
        <f>SOFR3mo_PX[[#This Row],[Column1885]]</f>
        <v>#N/A N/A</v>
      </c>
      <c r="BTN21" t="str">
        <f>SOFR3mo_PX[[#This Row],[Column1886]]</f>
        <v>#N/A N/A</v>
      </c>
      <c r="BTO21" t="str">
        <f>SOFR3mo_PX[[#This Row],[Column1887]]</f>
        <v>#N/A N/A</v>
      </c>
      <c r="BTP21" t="str">
        <f>SOFR3mo_PX[[#This Row],[Column1888]]</f>
        <v>#N/A N/A</v>
      </c>
      <c r="BTQ21" t="str">
        <f>SOFR3mo_PX[[#This Row],[Column1889]]</f>
        <v>#N/A N/A</v>
      </c>
      <c r="BTR21" t="str">
        <f>SOFR3mo_PX[[#This Row],[Column1890]]</f>
        <v>#N/A N/A</v>
      </c>
      <c r="BTS21" t="str">
        <f>SOFR3mo_PX[[#This Row],[Column1891]]</f>
        <v>#N/A N/A</v>
      </c>
      <c r="BTT21" t="str">
        <f>SOFR3mo_PX[[#This Row],[Column1892]]</f>
        <v>#N/A N/A</v>
      </c>
      <c r="BTU21" t="str">
        <f>SOFR3mo_PX[[#This Row],[Column1893]]</f>
        <v>#N/A N/A</v>
      </c>
      <c r="BTV21" t="str">
        <f>SOFR3mo_PX[[#This Row],[Column1894]]</f>
        <v>#N/A N/A</v>
      </c>
      <c r="BTW21" t="str">
        <f>SOFR3mo_PX[[#This Row],[Column1895]]</f>
        <v>#N/A N/A</v>
      </c>
      <c r="BTX21" t="str">
        <f>SOFR3mo_PX[[#This Row],[Column1896]]</f>
        <v>#N/A N/A</v>
      </c>
      <c r="BTY21" t="str">
        <f>SOFR3mo_PX[[#This Row],[Column1897]]</f>
        <v>#N/A N/A</v>
      </c>
      <c r="BTZ21" t="str">
        <f>SOFR3mo_PX[[#This Row],[Column1898]]</f>
        <v>#N/A N/A</v>
      </c>
      <c r="BUA21" t="str">
        <f>SOFR3mo_PX[[#This Row],[Column1899]]</f>
        <v>#N/A N/A</v>
      </c>
      <c r="BUB21" t="str">
        <f>SOFR3mo_PX[[#This Row],[Column1900]]</f>
        <v>#N/A N/A</v>
      </c>
      <c r="BUC21" t="str">
        <f>SOFR3mo_PX[[#This Row],[Column1901]]</f>
        <v>#N/A N/A</v>
      </c>
      <c r="BUD21" t="str">
        <f>SOFR3mo_PX[[#This Row],[Column1902]]</f>
        <v>#N/A N/A</v>
      </c>
      <c r="BUE21" t="str">
        <f>SOFR3mo_PX[[#This Row],[Column1903]]</f>
        <v>#N/A N/A</v>
      </c>
      <c r="BUF21" t="str">
        <f>SOFR3mo_PX[[#This Row],[Column1904]]</f>
        <v>#N/A N/A</v>
      </c>
      <c r="BUG21" t="str">
        <f>SOFR3mo_PX[[#This Row],[Column1905]]</f>
        <v>#N/A N/A</v>
      </c>
      <c r="BUH21" t="str">
        <f>SOFR3mo_PX[[#This Row],[Column1906]]</f>
        <v>#N/A N/A</v>
      </c>
      <c r="BUI21" t="str">
        <f>SOFR3mo_PX[[#This Row],[Column1907]]</f>
        <v>#N/A N/A</v>
      </c>
      <c r="BUJ21" t="str">
        <f>SOFR3mo_PX[[#This Row],[Column1908]]</f>
        <v>#N/A N/A</v>
      </c>
      <c r="BUK21" t="str">
        <f>SOFR3mo_PX[[#This Row],[Column1909]]</f>
        <v>#N/A N/A</v>
      </c>
      <c r="BUL21" t="str">
        <f>SOFR3mo_PX[[#This Row],[Column1910]]</f>
        <v>#N/A N/A</v>
      </c>
      <c r="BUM21" t="str">
        <f>SOFR3mo_PX[[#This Row],[Column1911]]</f>
        <v>#N/A N/A</v>
      </c>
      <c r="BUN21" t="str">
        <f>SOFR3mo_PX[[#This Row],[Column1912]]</f>
        <v>#N/A N/A</v>
      </c>
      <c r="BUO21" t="str">
        <f>SOFR3mo_PX[[#This Row],[Column1913]]</f>
        <v>#N/A N/A</v>
      </c>
      <c r="BUP21" t="str">
        <f>SOFR3mo_PX[[#This Row],[Column1914]]</f>
        <v>#N/A N/A</v>
      </c>
      <c r="BUQ21" t="str">
        <f>SOFR3mo_PX[[#This Row],[Column1915]]</f>
        <v>#N/A N/A</v>
      </c>
      <c r="BUR21" t="str">
        <f>SOFR3mo_PX[[#This Row],[Column1916]]</f>
        <v>#N/A N/A</v>
      </c>
      <c r="BUS21" t="str">
        <f>SOFR3mo_PX[[#This Row],[Column1917]]</f>
        <v>#N/A N/A</v>
      </c>
      <c r="BUT21" t="str">
        <f>SOFR3mo_PX[[#This Row],[Column1918]]</f>
        <v>#N/A N/A</v>
      </c>
      <c r="BUU21" t="str">
        <f>SOFR3mo_PX[[#This Row],[Column1919]]</f>
        <v>#N/A N/A</v>
      </c>
      <c r="BUV21" t="str">
        <f>SOFR3mo_PX[[#This Row],[Column1920]]</f>
        <v>#N/A N/A</v>
      </c>
      <c r="BUW21" t="str">
        <f>SOFR3mo_PX[[#This Row],[Column1921]]</f>
        <v>#N/A N/A</v>
      </c>
      <c r="BUX21" t="str">
        <f>SOFR3mo_PX[[#This Row],[Column1922]]</f>
        <v>#N/A N/A</v>
      </c>
      <c r="BUY21" t="str">
        <f>SOFR3mo_PX[[#This Row],[Column1923]]</f>
        <v>#N/A N/A</v>
      </c>
      <c r="BUZ21" t="str">
        <f>SOFR3mo_PX[[#This Row],[Column1924]]</f>
        <v>#N/A N/A</v>
      </c>
      <c r="BVA21" t="str">
        <f>SOFR3mo_PX[[#This Row],[Column1925]]</f>
        <v>#N/A N/A</v>
      </c>
      <c r="BVB21" t="str">
        <f>SOFR3mo_PX[[#This Row],[Column1926]]</f>
        <v>#N/A N/A</v>
      </c>
      <c r="BVC21" t="str">
        <f>SOFR3mo_PX[[#This Row],[Column1927]]</f>
        <v>#N/A N/A</v>
      </c>
      <c r="BVD21" t="str">
        <f>SOFR3mo_PX[[#This Row],[Column1928]]</f>
        <v>#N/A N/A</v>
      </c>
      <c r="BVE21" t="str">
        <f>SOFR3mo_PX[[#This Row],[Column1929]]</f>
        <v>#N/A N/A</v>
      </c>
      <c r="BVF21" t="str">
        <f>SOFR3mo_PX[[#This Row],[Column1930]]</f>
        <v>#N/A N/A</v>
      </c>
      <c r="BVG21" t="str">
        <f>SOFR3mo_PX[[#This Row],[Column1931]]</f>
        <v>#N/A N/A</v>
      </c>
      <c r="BVH21" t="str">
        <f>SOFR3mo_PX[[#This Row],[Column1932]]</f>
        <v>#N/A N/A</v>
      </c>
      <c r="BVI21" t="str">
        <f>SOFR3mo_PX[[#This Row],[Column1933]]</f>
        <v>#N/A N/A</v>
      </c>
      <c r="BVJ21" t="str">
        <f>SOFR3mo_PX[[#This Row],[Column1934]]</f>
        <v>#N/A N/A</v>
      </c>
      <c r="BVK21" t="str">
        <f>SOFR3mo_PX[[#This Row],[Column1935]]</f>
        <v>#N/A N/A</v>
      </c>
      <c r="BVL21" t="str">
        <f>SOFR3mo_PX[[#This Row],[Column1936]]</f>
        <v>#N/A N/A</v>
      </c>
      <c r="BVM21" t="str">
        <f>SOFR3mo_PX[[#This Row],[Column1937]]</f>
        <v>#N/A N/A</v>
      </c>
      <c r="BVN21" t="str">
        <f>SOFR3mo_PX[[#This Row],[Column1938]]</f>
        <v>#N/A N/A</v>
      </c>
      <c r="BVO21" t="str">
        <f>SOFR3mo_PX[[#This Row],[Column1939]]</f>
        <v>#N/A N/A</v>
      </c>
      <c r="BVP21" t="str">
        <f>SOFR3mo_PX[[#This Row],[Column1940]]</f>
        <v>#N/A N/A</v>
      </c>
      <c r="BVQ21" t="str">
        <f>SOFR3mo_PX[[#This Row],[Column1941]]</f>
        <v>#N/A N/A</v>
      </c>
      <c r="BVR21" t="str">
        <f>SOFR3mo_PX[[#This Row],[Column1942]]</f>
        <v>#N/A N/A</v>
      </c>
      <c r="BVS21" t="str">
        <f>SOFR3mo_PX[[#This Row],[Column1943]]</f>
        <v>#N/A N/A</v>
      </c>
      <c r="BVT21" t="str">
        <f>SOFR3mo_PX[[#This Row],[Column1944]]</f>
        <v>#N/A N/A</v>
      </c>
      <c r="BVU21" t="str">
        <f>SOFR3mo_PX[[#This Row],[Column1945]]</f>
        <v>#N/A N/A</v>
      </c>
      <c r="BVV21" t="str">
        <f>SOFR3mo_PX[[#This Row],[Column1946]]</f>
        <v>#N/A N/A</v>
      </c>
      <c r="BVW21" t="str">
        <f>SOFR3mo_PX[[#This Row],[Column1947]]</f>
        <v>#N/A N/A</v>
      </c>
      <c r="BVX21" t="str">
        <f>SOFR3mo_PX[[#This Row],[Column1948]]</f>
        <v>#N/A N/A</v>
      </c>
      <c r="BVY21" t="str">
        <f>SOFR3mo_PX[[#This Row],[Column1949]]</f>
        <v>#N/A N/A</v>
      </c>
      <c r="BVZ21" t="str">
        <f>SOFR3mo_PX[[#This Row],[Column1950]]</f>
        <v>#N/A N/A</v>
      </c>
      <c r="BWA21" t="str">
        <f>SOFR3mo_PX[[#This Row],[Column1951]]</f>
        <v>#N/A N/A</v>
      </c>
      <c r="BWB21" t="str">
        <f>SOFR3mo_PX[[#This Row],[Column1952]]</f>
        <v>#N/A N/A</v>
      </c>
      <c r="BWC21" t="str">
        <f>SOFR3mo_PX[[#This Row],[Column1953]]</f>
        <v>#N/A N/A</v>
      </c>
      <c r="BWD21" t="str">
        <f>SOFR3mo_PX[[#This Row],[Column1954]]</f>
        <v>#N/A N/A</v>
      </c>
    </row>
    <row r="22" spans="1:1954" x14ac:dyDescent="0.25">
      <c r="A22" t="str">
        <f>SOFR3mo_PX[[#This Row],[Column1]]</f>
        <v>SFR20 Comdty</v>
      </c>
      <c r="B22">
        <f>IF(rtd!B20&lt;&gt;"",rtd!B20,SOFR3mo_PX[[#This Row],[Column2]])</f>
        <v>96.177500000000009</v>
      </c>
      <c r="C22">
        <f>SOFR3mo_PX[[#This Row],[Column3]]</f>
        <v>96.15</v>
      </c>
      <c r="D22">
        <f>SOFR3mo_PX[[#This Row],[Column4]]</f>
        <v>96.15</v>
      </c>
      <c r="E22">
        <f>SOFR3mo_PX[[#This Row],[Column5]]</f>
        <v>96.204999999999998</v>
      </c>
      <c r="F22">
        <f>SOFR3mo_PX[[#This Row],[Column6]]</f>
        <v>96.14</v>
      </c>
      <c r="G22">
        <f>SOFR3mo_PX[[#This Row],[Column7]]</f>
        <v>96.165000000000006</v>
      </c>
      <c r="H22">
        <f>SOFR3mo_PX[[#This Row],[Column8]]</f>
        <v>96.21</v>
      </c>
      <c r="I22">
        <f>SOFR3mo_PX[[#This Row],[Column9]]</f>
        <v>96.155000000000001</v>
      </c>
      <c r="J22">
        <f>SOFR3mo_PX[[#This Row],[Column10]]</f>
        <v>96.1</v>
      </c>
      <c r="K22">
        <f>SOFR3mo_PX[[#This Row],[Column11]]</f>
        <v>96.084999999999994</v>
      </c>
      <c r="L22">
        <f>SOFR3mo_PX[[#This Row],[Column12]]</f>
        <v>96.07</v>
      </c>
      <c r="M22">
        <f>SOFR3mo_PX[[#This Row],[Column13]]</f>
        <v>96.18</v>
      </c>
      <c r="N22">
        <f>SOFR3mo_PX[[#This Row],[Column14]]</f>
        <v>96.215000000000003</v>
      </c>
      <c r="O22">
        <f>SOFR3mo_PX[[#This Row],[Column15]]</f>
        <v>96.13</v>
      </c>
      <c r="P22">
        <f>SOFR3mo_PX[[#This Row],[Column16]]</f>
        <v>96.13</v>
      </c>
      <c r="Q22">
        <f>SOFR3mo_PX[[#This Row],[Column17]]</f>
        <v>96.185000000000002</v>
      </c>
      <c r="R22">
        <f>SOFR3mo_PX[[#This Row],[Column18]]</f>
        <v>96.165000000000006</v>
      </c>
      <c r="S22">
        <f>SOFR3mo_PX[[#This Row],[Column19]]</f>
        <v>96.13</v>
      </c>
      <c r="T22">
        <f>SOFR3mo_PX[[#This Row],[Column20]]</f>
        <v>96.18</v>
      </c>
      <c r="U22">
        <f>SOFR3mo_PX[[#This Row],[Column21]]</f>
        <v>96.094999999999999</v>
      </c>
      <c r="V22">
        <f>SOFR3mo_PX[[#This Row],[Column22]]</f>
        <v>96.094999999999999</v>
      </c>
      <c r="W22">
        <f>SOFR3mo_PX[[#This Row],[Column23]]</f>
        <v>96.034999999999997</v>
      </c>
      <c r="X22">
        <f>SOFR3mo_PX[[#This Row],[Column24]]</f>
        <v>95.974999999999994</v>
      </c>
      <c r="Y22">
        <f>SOFR3mo_PX[[#This Row],[Column25]]</f>
        <v>96.08</v>
      </c>
      <c r="Z22">
        <f>SOFR3mo_PX[[#This Row],[Column26]]</f>
        <v>96.07</v>
      </c>
      <c r="AA22">
        <f>SOFR3mo_PX[[#This Row],[Column27]]</f>
        <v>96.094999999999999</v>
      </c>
      <c r="AB22">
        <f>SOFR3mo_PX[[#This Row],[Column28]]</f>
        <v>96.075000000000003</v>
      </c>
      <c r="AC22">
        <f>SOFR3mo_PX[[#This Row],[Column29]]</f>
        <v>95.995000000000005</v>
      </c>
      <c r="AD22">
        <f>SOFR3mo_PX[[#This Row],[Column30]]</f>
        <v>96.03</v>
      </c>
      <c r="AE22">
        <f>SOFR3mo_PX[[#This Row],[Column31]]</f>
        <v>96.064999999999998</v>
      </c>
      <c r="AF22">
        <f>SOFR3mo_PX[[#This Row],[Column32]]</f>
        <v>96.144999999999996</v>
      </c>
      <c r="AG22">
        <f>SOFR3mo_PX[[#This Row],[Column33]]</f>
        <v>96.144999999999996</v>
      </c>
      <c r="AH22">
        <f>SOFR3mo_PX[[#This Row],[Column34]]</f>
        <v>96.25</v>
      </c>
      <c r="AI22">
        <f>SOFR3mo_PX[[#This Row],[Column35]]</f>
        <v>96.204999999999998</v>
      </c>
      <c r="AJ22">
        <f>SOFR3mo_PX[[#This Row],[Column36]]</f>
        <v>96.18</v>
      </c>
      <c r="AK22">
        <f>SOFR3mo_PX[[#This Row],[Column37]]</f>
        <v>96.2</v>
      </c>
      <c r="AL22">
        <f>SOFR3mo_PX[[#This Row],[Column38]]</f>
        <v>96.27</v>
      </c>
      <c r="AM22">
        <f>SOFR3mo_PX[[#This Row],[Column39]]</f>
        <v>96.31</v>
      </c>
      <c r="AN22">
        <f>SOFR3mo_PX[[#This Row],[Column40]]</f>
        <v>96.3</v>
      </c>
      <c r="AO22">
        <f>SOFR3mo_PX[[#This Row],[Column41]]</f>
        <v>96.245000000000005</v>
      </c>
      <c r="AP22">
        <f>SOFR3mo_PX[[#This Row],[Column42]]</f>
        <v>96.185000000000002</v>
      </c>
      <c r="AQ22">
        <f>SOFR3mo_PX[[#This Row],[Column43]]</f>
        <v>96.13</v>
      </c>
      <c r="AR22">
        <f>SOFR3mo_PX[[#This Row],[Column44]]</f>
        <v>96.055000000000007</v>
      </c>
      <c r="AS22">
        <f>SOFR3mo_PX[[#This Row],[Column45]]</f>
        <v>96.055000000000007</v>
      </c>
      <c r="AT22">
        <f>SOFR3mo_PX[[#This Row],[Column46]]</f>
        <v>96.04</v>
      </c>
      <c r="AU22">
        <f>SOFR3mo_PX[[#This Row],[Column47]]</f>
        <v>96.12</v>
      </c>
      <c r="AV22">
        <f>SOFR3mo_PX[[#This Row],[Column48]]</f>
        <v>96.12</v>
      </c>
      <c r="AW22">
        <f>SOFR3mo_PX[[#This Row],[Column49]]</f>
        <v>96.174999999999997</v>
      </c>
      <c r="AX22">
        <f>SOFR3mo_PX[[#This Row],[Column50]]</f>
        <v>96.125</v>
      </c>
      <c r="AY22">
        <f>SOFR3mo_PX[[#This Row],[Column51]]</f>
        <v>96.09</v>
      </c>
      <c r="AZ22">
        <f>SOFR3mo_PX[[#This Row],[Column52]]</f>
        <v>95.965000000000003</v>
      </c>
      <c r="BA22">
        <f>SOFR3mo_PX[[#This Row],[Column53]]</f>
        <v>96.11</v>
      </c>
      <c r="BB22">
        <f>SOFR3mo_PX[[#This Row],[Column54]]</f>
        <v>96.05</v>
      </c>
      <c r="BC22">
        <f>SOFR3mo_PX[[#This Row],[Column55]]</f>
        <v>96.22</v>
      </c>
      <c r="BD22">
        <f>SOFR3mo_PX[[#This Row],[Column56]]</f>
        <v>96.295000000000002</v>
      </c>
      <c r="BE22">
        <f>SOFR3mo_PX[[#This Row],[Column57]]</f>
        <v>96.465000000000003</v>
      </c>
      <c r="BF22">
        <f>SOFR3mo_PX[[#This Row],[Column58]]</f>
        <v>96.385000000000005</v>
      </c>
      <c r="BG22">
        <f>SOFR3mo_PX[[#This Row],[Column59]]</f>
        <v>96.215000000000003</v>
      </c>
      <c r="BH22">
        <f>SOFR3mo_PX[[#This Row],[Column60]]</f>
        <v>96.275000000000006</v>
      </c>
      <c r="BI22">
        <f>SOFR3mo_PX[[#This Row],[Column61]]</f>
        <v>96.174999999999997</v>
      </c>
      <c r="BJ22">
        <f>SOFR3mo_PX[[#This Row],[Column62]]</f>
        <v>96.15</v>
      </c>
      <c r="BK22">
        <f>SOFR3mo_PX[[#This Row],[Column63]]</f>
        <v>96.025000000000006</v>
      </c>
      <c r="BL22">
        <f>SOFR3mo_PX[[#This Row],[Column64]]</f>
        <v>96.064999999999998</v>
      </c>
      <c r="BM22">
        <f>SOFR3mo_PX[[#This Row],[Column65]]</f>
        <v>96.09</v>
      </c>
      <c r="BN22">
        <f>SOFR3mo_PX[[#This Row],[Column66]]</f>
        <v>96.06</v>
      </c>
      <c r="BO22">
        <f>SOFR3mo_PX[[#This Row],[Column67]]</f>
        <v>96.14</v>
      </c>
      <c r="BP22">
        <f>SOFR3mo_PX[[#This Row],[Column68]]</f>
        <v>96.15</v>
      </c>
      <c r="BQ22">
        <f>SOFR3mo_PX[[#This Row],[Column69]]</f>
        <v>96.114999999999995</v>
      </c>
      <c r="BR22">
        <f>SOFR3mo_PX[[#This Row],[Column70]]</f>
        <v>96.13</v>
      </c>
      <c r="BS22">
        <f>SOFR3mo_PX[[#This Row],[Column71]]</f>
        <v>96.094999999999999</v>
      </c>
      <c r="BT22">
        <f>SOFR3mo_PX[[#This Row],[Column72]]</f>
        <v>96.084999999999994</v>
      </c>
      <c r="BU22">
        <f>SOFR3mo_PX[[#This Row],[Column73]]</f>
        <v>96.135000000000005</v>
      </c>
      <c r="BV22">
        <f>SOFR3mo_PX[[#This Row],[Column74]]</f>
        <v>96.094999999999999</v>
      </c>
      <c r="BW22">
        <f>SOFR3mo_PX[[#This Row],[Column75]]</f>
        <v>96.125</v>
      </c>
      <c r="BX22">
        <f>SOFR3mo_PX[[#This Row],[Column76]]</f>
        <v>96.215000000000003</v>
      </c>
      <c r="BY22">
        <f>SOFR3mo_PX[[#This Row],[Column77]]</f>
        <v>96.084999999999994</v>
      </c>
      <c r="BZ22">
        <f>SOFR3mo_PX[[#This Row],[Column78]]</f>
        <v>96.11</v>
      </c>
      <c r="CA22">
        <f>SOFR3mo_PX[[#This Row],[Column79]]</f>
        <v>96.13</v>
      </c>
      <c r="CB22">
        <f>SOFR3mo_PX[[#This Row],[Column80]]</f>
        <v>96.215000000000003</v>
      </c>
      <c r="CC22">
        <f>SOFR3mo_PX[[#This Row],[Column81]]</f>
        <v>96.25</v>
      </c>
      <c r="CD22">
        <f>SOFR3mo_PX[[#This Row],[Column82]]</f>
        <v>96.204999999999998</v>
      </c>
      <c r="CE22">
        <f>SOFR3mo_PX[[#This Row],[Column83]]</f>
        <v>96.135000000000005</v>
      </c>
      <c r="CF22">
        <f>SOFR3mo_PX[[#This Row],[Column84]]</f>
        <v>96.18</v>
      </c>
      <c r="CG22">
        <f>SOFR3mo_PX[[#This Row],[Column85]]</f>
        <v>96.11</v>
      </c>
      <c r="CH22">
        <f>SOFR3mo_PX[[#This Row],[Column86]]</f>
        <v>95.974999999999994</v>
      </c>
      <c r="CI22">
        <f>SOFR3mo_PX[[#This Row],[Column87]]</f>
        <v>95.95</v>
      </c>
      <c r="CJ22">
        <f>SOFR3mo_PX[[#This Row],[Column88]]</f>
        <v>95.864999999999995</v>
      </c>
      <c r="CK22">
        <f>SOFR3mo_PX[[#This Row],[Column89]]</f>
        <v>95.82</v>
      </c>
      <c r="CL22">
        <f>SOFR3mo_PX[[#This Row],[Column90]]</f>
        <v>95.814999999999998</v>
      </c>
      <c r="CM22">
        <f>SOFR3mo_PX[[#This Row],[Column91]]</f>
        <v>95.894999999999996</v>
      </c>
      <c r="CN22">
        <f>SOFR3mo_PX[[#This Row],[Column92]]</f>
        <v>95.894999999999996</v>
      </c>
      <c r="CO22">
        <f>SOFR3mo_PX[[#This Row],[Column93]]</f>
        <v>95.825000000000003</v>
      </c>
      <c r="CP22">
        <f>SOFR3mo_PX[[#This Row],[Column94]]</f>
        <v>95.71</v>
      </c>
      <c r="CQ22">
        <f>SOFR3mo_PX[[#This Row],[Column95]]</f>
        <v>95.844999999999999</v>
      </c>
      <c r="CR22">
        <f>SOFR3mo_PX[[#This Row],[Column96]]</f>
        <v>95.894999999999996</v>
      </c>
      <c r="CS22">
        <f>SOFR3mo_PX[[#This Row],[Column97]]</f>
        <v>95.894999999999996</v>
      </c>
      <c r="CT22">
        <f>SOFR3mo_PX[[#This Row],[Column98]]</f>
        <v>95.95</v>
      </c>
      <c r="CU22">
        <f>SOFR3mo_PX[[#This Row],[Column99]]</f>
        <v>96</v>
      </c>
      <c r="CV22">
        <f>SOFR3mo_PX[[#This Row],[Column100]]</f>
        <v>95.89</v>
      </c>
      <c r="CW22">
        <f>SOFR3mo_PX[[#This Row],[Column101]]</f>
        <v>95.864999999999995</v>
      </c>
      <c r="CX22">
        <f>SOFR3mo_PX[[#This Row],[Column102]]</f>
        <v>95.82</v>
      </c>
      <c r="CY22">
        <f>SOFR3mo_PX[[#This Row],[Column103]]</f>
        <v>95.885000000000005</v>
      </c>
      <c r="CZ22">
        <f>SOFR3mo_PX[[#This Row],[Column104]]</f>
        <v>95.834999999999994</v>
      </c>
      <c r="DA22">
        <f>SOFR3mo_PX[[#This Row],[Column105]]</f>
        <v>95.844999999999999</v>
      </c>
      <c r="DB22">
        <f>SOFR3mo_PX[[#This Row],[Column106]]</f>
        <v>95.87</v>
      </c>
      <c r="DC22">
        <f>SOFR3mo_PX[[#This Row],[Column107]]</f>
        <v>95.76</v>
      </c>
      <c r="DD22">
        <f>SOFR3mo_PX[[#This Row],[Column108]]</f>
        <v>95.76</v>
      </c>
      <c r="DE22">
        <f>SOFR3mo_PX[[#This Row],[Column109]]</f>
        <v>95.8</v>
      </c>
      <c r="DF22">
        <f>SOFR3mo_PX[[#This Row],[Column110]]</f>
        <v>95.83</v>
      </c>
      <c r="DG22">
        <f>SOFR3mo_PX[[#This Row],[Column111]]</f>
        <v>95.784999999999997</v>
      </c>
      <c r="DH22">
        <f>SOFR3mo_PX[[#This Row],[Column112]]</f>
        <v>95.784999999999997</v>
      </c>
      <c r="DI22">
        <f>SOFR3mo_PX[[#This Row],[Column113]]</f>
        <v>95.784999999999997</v>
      </c>
      <c r="DJ22">
        <f>SOFR3mo_PX[[#This Row],[Column114]]</f>
        <v>95.734999999999999</v>
      </c>
      <c r="DK22">
        <f>SOFR3mo_PX[[#This Row],[Column115]]</f>
        <v>95.59</v>
      </c>
      <c r="DL22">
        <f>SOFR3mo_PX[[#This Row],[Column116]]</f>
        <v>95.584999999999994</v>
      </c>
      <c r="DM22">
        <f>SOFR3mo_PX[[#This Row],[Column117]]</f>
        <v>95.625</v>
      </c>
      <c r="DN22">
        <f>SOFR3mo_PX[[#This Row],[Column118]]</f>
        <v>95.72</v>
      </c>
      <c r="DO22">
        <f>SOFR3mo_PX[[#This Row],[Column119]]</f>
        <v>95.7</v>
      </c>
      <c r="DP22">
        <f>SOFR3mo_PX[[#This Row],[Column120]]</f>
        <v>95.71</v>
      </c>
      <c r="DQ22">
        <f>SOFR3mo_PX[[#This Row],[Column121]]</f>
        <v>95.795000000000002</v>
      </c>
      <c r="DR22">
        <f>SOFR3mo_PX[[#This Row],[Column122]]</f>
        <v>95.855000000000004</v>
      </c>
      <c r="DS22">
        <f>SOFR3mo_PX[[#This Row],[Column123]]</f>
        <v>95.87</v>
      </c>
      <c r="DT22">
        <f>SOFR3mo_PX[[#This Row],[Column124]]</f>
        <v>95.864999999999995</v>
      </c>
      <c r="DU22">
        <f>SOFR3mo_PX[[#This Row],[Column125]]</f>
        <v>95.864999999999995</v>
      </c>
      <c r="DV22">
        <f>SOFR3mo_PX[[#This Row],[Column126]]</f>
        <v>95.905000000000001</v>
      </c>
      <c r="DW22">
        <f>SOFR3mo_PX[[#This Row],[Column127]]</f>
        <v>95.82</v>
      </c>
      <c r="DX22">
        <f>SOFR3mo_PX[[#This Row],[Column128]]</f>
        <v>95.875</v>
      </c>
      <c r="DY22">
        <f>SOFR3mo_PX[[#This Row],[Column129]]</f>
        <v>95.86</v>
      </c>
      <c r="DZ22">
        <f>SOFR3mo_PX[[#This Row],[Column130]]</f>
        <v>95.86</v>
      </c>
      <c r="EA22">
        <f>SOFR3mo_PX[[#This Row],[Column131]]</f>
        <v>95.84</v>
      </c>
      <c r="EB22">
        <f>SOFR3mo_PX[[#This Row],[Column132]]</f>
        <v>95.935000000000002</v>
      </c>
      <c r="EC22">
        <f>SOFR3mo_PX[[#This Row],[Column133]]</f>
        <v>95.864999999999995</v>
      </c>
      <c r="ED22">
        <f>SOFR3mo_PX[[#This Row],[Column134]]</f>
        <v>95.995000000000005</v>
      </c>
      <c r="EE22">
        <f>SOFR3mo_PX[[#This Row],[Column135]]</f>
        <v>96.125</v>
      </c>
      <c r="EF22">
        <f>SOFR3mo_PX[[#This Row],[Column136]]</f>
        <v>96.114999999999995</v>
      </c>
      <c r="EG22">
        <f>SOFR3mo_PX[[#This Row],[Column137]]</f>
        <v>96.12</v>
      </c>
      <c r="EH22">
        <f>SOFR3mo_PX[[#This Row],[Column138]]</f>
        <v>96.2</v>
      </c>
      <c r="EI22">
        <f>SOFR3mo_PX[[#This Row],[Column139]]</f>
        <v>96.26</v>
      </c>
      <c r="EJ22">
        <f>SOFR3mo_PX[[#This Row],[Column140]]</f>
        <v>96.32</v>
      </c>
      <c r="EK22">
        <f>SOFR3mo_PX[[#This Row],[Column141]]</f>
        <v>96.344999999999999</v>
      </c>
      <c r="EL22">
        <f>SOFR3mo_PX[[#This Row],[Column142]]</f>
        <v>96.385000000000005</v>
      </c>
      <c r="EM22">
        <f>SOFR3mo_PX[[#This Row],[Column143]]</f>
        <v>96.344999999999999</v>
      </c>
      <c r="EN22">
        <f>SOFR3mo_PX[[#This Row],[Column144]]</f>
        <v>96.34</v>
      </c>
      <c r="EO22">
        <f>SOFR3mo_PX[[#This Row],[Column145]]</f>
        <v>96.31</v>
      </c>
      <c r="EP22">
        <f>SOFR3mo_PX[[#This Row],[Column146]]</f>
        <v>96.344999999999999</v>
      </c>
      <c r="EQ22">
        <f>SOFR3mo_PX[[#This Row],[Column147]]</f>
        <v>96.35</v>
      </c>
      <c r="ER22">
        <f>SOFR3mo_PX[[#This Row],[Column148]]</f>
        <v>96.31</v>
      </c>
      <c r="ES22">
        <f>SOFR3mo_PX[[#This Row],[Column149]]</f>
        <v>96.31</v>
      </c>
      <c r="ET22">
        <f>SOFR3mo_PX[[#This Row],[Column150]]</f>
        <v>96.24</v>
      </c>
      <c r="EU22">
        <f>SOFR3mo_PX[[#This Row],[Column151]]</f>
        <v>96.305000000000007</v>
      </c>
      <c r="EV22">
        <f>SOFR3mo_PX[[#This Row],[Column152]]</f>
        <v>96.155000000000001</v>
      </c>
      <c r="EW22">
        <f>SOFR3mo_PX[[#This Row],[Column153]]</f>
        <v>96.12</v>
      </c>
      <c r="EX22">
        <f>SOFR3mo_PX[[#This Row],[Column154]]</f>
        <v>96.13</v>
      </c>
      <c r="EY22">
        <f>SOFR3mo_PX[[#This Row],[Column155]]</f>
        <v>96.15</v>
      </c>
      <c r="EZ22">
        <f>SOFR3mo_PX[[#This Row],[Column156]]</f>
        <v>96.114999999999995</v>
      </c>
      <c r="FA22">
        <f>SOFR3mo_PX[[#This Row],[Column157]]</f>
        <v>96.105000000000004</v>
      </c>
      <c r="FB22">
        <f>SOFR3mo_PX[[#This Row],[Column158]]</f>
        <v>96.105000000000004</v>
      </c>
      <c r="FC22">
        <f>SOFR3mo_PX[[#This Row],[Column159]]</f>
        <v>96.08</v>
      </c>
      <c r="FD22">
        <f>SOFR3mo_PX[[#This Row],[Column160]]</f>
        <v>96.1</v>
      </c>
      <c r="FE22">
        <f>SOFR3mo_PX[[#This Row],[Column161]]</f>
        <v>96.155000000000001</v>
      </c>
      <c r="FF22">
        <f>SOFR3mo_PX[[#This Row],[Column162]]</f>
        <v>96.21</v>
      </c>
      <c r="FG22">
        <f>SOFR3mo_PX[[#This Row],[Column163]]</f>
        <v>96.17</v>
      </c>
      <c r="FH22">
        <f>SOFR3mo_PX[[#This Row],[Column164]]</f>
        <v>96.07</v>
      </c>
      <c r="FI22">
        <f>SOFR3mo_PX[[#This Row],[Column165]]</f>
        <v>96.245000000000005</v>
      </c>
      <c r="FJ22">
        <f>SOFR3mo_PX[[#This Row],[Column166]]</f>
        <v>96.22</v>
      </c>
      <c r="FK22">
        <f>SOFR3mo_PX[[#This Row],[Column167]]</f>
        <v>96.16</v>
      </c>
      <c r="FL22">
        <f>SOFR3mo_PX[[#This Row],[Column168]]</f>
        <v>96.22</v>
      </c>
      <c r="FM22">
        <f>SOFR3mo_PX[[#This Row],[Column169]]</f>
        <v>96.234999999999999</v>
      </c>
      <c r="FN22">
        <f>SOFR3mo_PX[[#This Row],[Column170]]</f>
        <v>96.224999999999994</v>
      </c>
      <c r="FO22">
        <f>SOFR3mo_PX[[#This Row],[Column171]]</f>
        <v>96.215000000000003</v>
      </c>
      <c r="FP22">
        <f>SOFR3mo_PX[[#This Row],[Column172]]</f>
        <v>96.254999999999995</v>
      </c>
      <c r="FQ22">
        <f>SOFR3mo_PX[[#This Row],[Column173]]</f>
        <v>96.28</v>
      </c>
      <c r="FR22">
        <f>SOFR3mo_PX[[#This Row],[Column174]]</f>
        <v>96.23</v>
      </c>
      <c r="FS22">
        <f>SOFR3mo_PX[[#This Row],[Column175]]</f>
        <v>96.27</v>
      </c>
      <c r="FT22">
        <f>SOFR3mo_PX[[#This Row],[Column176]]</f>
        <v>96.295000000000002</v>
      </c>
      <c r="FU22">
        <f>SOFR3mo_PX[[#This Row],[Column177]]</f>
        <v>96.41</v>
      </c>
      <c r="FV22">
        <f>SOFR3mo_PX[[#This Row],[Column178]]</f>
        <v>96.394999999999996</v>
      </c>
      <c r="FW22">
        <f>SOFR3mo_PX[[#This Row],[Column179]]</f>
        <v>96.484999999999999</v>
      </c>
      <c r="FX22">
        <f>SOFR3mo_PX[[#This Row],[Column180]]</f>
        <v>96.465000000000003</v>
      </c>
      <c r="FY22">
        <f>SOFR3mo_PX[[#This Row],[Column181]]</f>
        <v>96.37</v>
      </c>
      <c r="FZ22">
        <f>SOFR3mo_PX[[#This Row],[Column182]]</f>
        <v>96.42</v>
      </c>
      <c r="GA22">
        <f>SOFR3mo_PX[[#This Row],[Column183]]</f>
        <v>96.405000000000001</v>
      </c>
      <c r="GB22">
        <f>SOFR3mo_PX[[#This Row],[Column184]]</f>
        <v>96.45</v>
      </c>
      <c r="GC22">
        <f>SOFR3mo_PX[[#This Row],[Column185]]</f>
        <v>96.474999999999994</v>
      </c>
      <c r="GD22">
        <f>SOFR3mo_PX[[#This Row],[Column186]]</f>
        <v>96.484999999999999</v>
      </c>
      <c r="GE22">
        <f>SOFR3mo_PX[[#This Row],[Column187]]</f>
        <v>96.515000000000001</v>
      </c>
      <c r="GF22">
        <f>SOFR3mo_PX[[#This Row],[Column188]]</f>
        <v>96.61</v>
      </c>
      <c r="GG22">
        <f>SOFR3mo_PX[[#This Row],[Column189]]</f>
        <v>96.685000000000002</v>
      </c>
      <c r="GH22">
        <f>SOFR3mo_PX[[#This Row],[Column190]]</f>
        <v>96.73</v>
      </c>
      <c r="GI22">
        <f>SOFR3mo_PX[[#This Row],[Column191]]</f>
        <v>96.66</v>
      </c>
      <c r="GJ22">
        <f>SOFR3mo_PX[[#This Row],[Column192]]</f>
        <v>96.7</v>
      </c>
      <c r="GK22">
        <f>SOFR3mo_PX[[#This Row],[Column193]]</f>
        <v>96.67</v>
      </c>
      <c r="GL22">
        <f>SOFR3mo_PX[[#This Row],[Column194]]</f>
        <v>96.655000000000001</v>
      </c>
      <c r="GM22">
        <f>SOFR3mo_PX[[#This Row],[Column195]]</f>
        <v>96.694999999999993</v>
      </c>
      <c r="GN22">
        <f>SOFR3mo_PX[[#This Row],[Column196]]</f>
        <v>96.7</v>
      </c>
      <c r="GO22">
        <f>SOFR3mo_PX[[#This Row],[Column197]]</f>
        <v>96.715000000000003</v>
      </c>
      <c r="GP22">
        <f>SOFR3mo_PX[[#This Row],[Column198]]</f>
        <v>96.704999999999998</v>
      </c>
      <c r="GQ22">
        <f>SOFR3mo_PX[[#This Row],[Column199]]</f>
        <v>96.78</v>
      </c>
      <c r="GR22">
        <f>SOFR3mo_PX[[#This Row],[Column200]]</f>
        <v>96.86</v>
      </c>
      <c r="GS22">
        <f>SOFR3mo_PX[[#This Row],[Column201]]</f>
        <v>96.86</v>
      </c>
      <c r="GT22">
        <f>SOFR3mo_PX[[#This Row],[Column202]]</f>
        <v>96.84</v>
      </c>
      <c r="GU22">
        <f>SOFR3mo_PX[[#This Row],[Column203]]</f>
        <v>96.83</v>
      </c>
      <c r="GV22">
        <f>SOFR3mo_PX[[#This Row],[Column204]]</f>
        <v>96.864999999999995</v>
      </c>
      <c r="GW22">
        <f>SOFR3mo_PX[[#This Row],[Column205]]</f>
        <v>96.87</v>
      </c>
      <c r="GX22">
        <f>SOFR3mo_PX[[#This Row],[Column206]]</f>
        <v>96.81</v>
      </c>
      <c r="GY22">
        <f>SOFR3mo_PX[[#This Row],[Column207]]</f>
        <v>96.784999999999997</v>
      </c>
      <c r="GZ22">
        <f>SOFR3mo_PX[[#This Row],[Column208]]</f>
        <v>96.79</v>
      </c>
      <c r="HA22">
        <f>SOFR3mo_PX[[#This Row],[Column209]]</f>
        <v>96.754999999999995</v>
      </c>
      <c r="HB22">
        <f>SOFR3mo_PX[[#This Row],[Column210]]</f>
        <v>96.704999999999998</v>
      </c>
      <c r="HC22">
        <f>SOFR3mo_PX[[#This Row],[Column211]]</f>
        <v>96.625</v>
      </c>
      <c r="HD22">
        <f>SOFR3mo_PX[[#This Row],[Column212]]</f>
        <v>96.625</v>
      </c>
      <c r="HE22">
        <f>SOFR3mo_PX[[#This Row],[Column213]]</f>
        <v>96.67</v>
      </c>
      <c r="HF22">
        <f>SOFR3mo_PX[[#This Row],[Column214]]</f>
        <v>96.685000000000002</v>
      </c>
      <c r="HG22">
        <f>SOFR3mo_PX[[#This Row],[Column215]]</f>
        <v>96.694999999999993</v>
      </c>
      <c r="HH22">
        <f>SOFR3mo_PX[[#This Row],[Column216]]</f>
        <v>96.715000000000003</v>
      </c>
      <c r="HI22">
        <f>SOFR3mo_PX[[#This Row],[Column217]]</f>
        <v>96.704999999999998</v>
      </c>
      <c r="HJ22">
        <f>SOFR3mo_PX[[#This Row],[Column218]]</f>
        <v>96.644999999999996</v>
      </c>
      <c r="HK22">
        <f>SOFR3mo_PX[[#This Row],[Column219]]</f>
        <v>96.72</v>
      </c>
      <c r="HL22">
        <f>SOFR3mo_PX[[#This Row],[Column220]]</f>
        <v>96.694999999999993</v>
      </c>
      <c r="HM22">
        <f>SOFR3mo_PX[[#This Row],[Column221]]</f>
        <v>96.644999999999996</v>
      </c>
      <c r="HN22">
        <f>SOFR3mo_PX[[#This Row],[Column222]]</f>
        <v>96.61</v>
      </c>
      <c r="HO22">
        <f>SOFR3mo_PX[[#This Row],[Column223]]</f>
        <v>96.575000000000003</v>
      </c>
      <c r="HP22">
        <f>SOFR3mo_PX[[#This Row],[Column224]]</f>
        <v>96.66</v>
      </c>
      <c r="HQ22">
        <f>SOFR3mo_PX[[#This Row],[Column225]]</f>
        <v>96.625</v>
      </c>
      <c r="HR22">
        <f>SOFR3mo_PX[[#This Row],[Column226]]</f>
        <v>96.59</v>
      </c>
      <c r="HS22">
        <f>SOFR3mo_PX[[#This Row],[Column227]]</f>
        <v>96.55</v>
      </c>
      <c r="HT22">
        <f>SOFR3mo_PX[[#This Row],[Column228]]</f>
        <v>96.47</v>
      </c>
      <c r="HU22">
        <f>SOFR3mo_PX[[#This Row],[Column229]]</f>
        <v>96.49</v>
      </c>
      <c r="HV22">
        <f>SOFR3mo_PX[[#This Row],[Column230]]</f>
        <v>96.575000000000003</v>
      </c>
      <c r="HW22">
        <f>SOFR3mo_PX[[#This Row],[Column231]]</f>
        <v>96.67</v>
      </c>
      <c r="HX22">
        <f>SOFR3mo_PX[[#This Row],[Column232]]</f>
        <v>96.68</v>
      </c>
      <c r="HY22">
        <f>SOFR3mo_PX[[#This Row],[Column233]]</f>
        <v>96.534999999999997</v>
      </c>
      <c r="HZ22">
        <f>SOFR3mo_PX[[#This Row],[Column234]]</f>
        <v>96.43</v>
      </c>
      <c r="IA22">
        <f>SOFR3mo_PX[[#This Row],[Column235]]</f>
        <v>96.394999999999996</v>
      </c>
      <c r="IB22">
        <f>SOFR3mo_PX[[#This Row],[Column236]]</f>
        <v>96.364999999999995</v>
      </c>
      <c r="IC22">
        <f>SOFR3mo_PX[[#This Row],[Column237]]</f>
        <v>96.34</v>
      </c>
      <c r="ID22">
        <f>SOFR3mo_PX[[#This Row],[Column238]]</f>
        <v>96.29</v>
      </c>
      <c r="IE22">
        <f>SOFR3mo_PX[[#This Row],[Column239]]</f>
        <v>96.245000000000005</v>
      </c>
      <c r="IF22">
        <f>SOFR3mo_PX[[#This Row],[Column240]]</f>
        <v>96.305000000000007</v>
      </c>
      <c r="IG22">
        <f>SOFR3mo_PX[[#This Row],[Column241]]</f>
        <v>96.29</v>
      </c>
      <c r="IH22">
        <f>SOFR3mo_PX[[#This Row],[Column242]]</f>
        <v>96.3</v>
      </c>
      <c r="II22">
        <f>SOFR3mo_PX[[#This Row],[Column243]]</f>
        <v>96.344999999999999</v>
      </c>
      <c r="IJ22">
        <f>SOFR3mo_PX[[#This Row],[Column244]]</f>
        <v>96.4</v>
      </c>
      <c r="IK22">
        <f>SOFR3mo_PX[[#This Row],[Column245]]</f>
        <v>96.375</v>
      </c>
      <c r="IL22">
        <f>SOFR3mo_PX[[#This Row],[Column246]]</f>
        <v>96.31</v>
      </c>
      <c r="IM22">
        <f>SOFR3mo_PX[[#This Row],[Column247]]</f>
        <v>96.35</v>
      </c>
      <c r="IN22">
        <f>SOFR3mo_PX[[#This Row],[Column248]]</f>
        <v>96.375</v>
      </c>
      <c r="IO22">
        <f>SOFR3mo_PX[[#This Row],[Column249]]</f>
        <v>96.28</v>
      </c>
      <c r="IP22">
        <f>SOFR3mo_PX[[#This Row],[Column250]]</f>
        <v>96.25</v>
      </c>
      <c r="IQ22">
        <f>SOFR3mo_PX[[#This Row],[Column251]]</f>
        <v>96.29</v>
      </c>
      <c r="IR22">
        <f>SOFR3mo_PX[[#This Row],[Column252]]</f>
        <v>96.284999999999997</v>
      </c>
      <c r="IS22">
        <f>SOFR3mo_PX[[#This Row],[Column253]]</f>
        <v>96.215000000000003</v>
      </c>
      <c r="IT22">
        <f>SOFR3mo_PX[[#This Row],[Column254]]</f>
        <v>96.215000000000003</v>
      </c>
      <c r="IU22">
        <f>SOFR3mo_PX[[#This Row],[Column255]]</f>
        <v>96.11</v>
      </c>
      <c r="IV22">
        <f>SOFR3mo_PX[[#This Row],[Column256]]</f>
        <v>96.064999999999998</v>
      </c>
      <c r="IW22">
        <f>SOFR3mo_PX[[#This Row],[Column257]]</f>
        <v>96.23</v>
      </c>
      <c r="IX22">
        <f>SOFR3mo_PX[[#This Row],[Column258]]</f>
        <v>96.284999999999997</v>
      </c>
      <c r="IY22">
        <f>SOFR3mo_PX[[#This Row],[Column259]]</f>
        <v>96.254999999999995</v>
      </c>
      <c r="IZ22">
        <f>SOFR3mo_PX[[#This Row],[Column260]]</f>
        <v>96.344999999999999</v>
      </c>
      <c r="JA22">
        <f>SOFR3mo_PX[[#This Row],[Column261]]</f>
        <v>96.33</v>
      </c>
      <c r="JB22">
        <f>SOFR3mo_PX[[#This Row],[Column262]]</f>
        <v>96.305000000000007</v>
      </c>
      <c r="JC22">
        <f>SOFR3mo_PX[[#This Row],[Column263]]</f>
        <v>96.314999999999998</v>
      </c>
      <c r="JD22">
        <f>SOFR3mo_PX[[#This Row],[Column264]]</f>
        <v>96.385000000000005</v>
      </c>
      <c r="JE22">
        <f>SOFR3mo_PX[[#This Row],[Column265]]</f>
        <v>96.385000000000005</v>
      </c>
      <c r="JF22">
        <f>SOFR3mo_PX[[#This Row],[Column266]]</f>
        <v>96.32</v>
      </c>
      <c r="JG22">
        <f>SOFR3mo_PX[[#This Row],[Column267]]</f>
        <v>96.4</v>
      </c>
      <c r="JH22">
        <f>SOFR3mo_PX[[#This Row],[Column268]]</f>
        <v>96.35</v>
      </c>
      <c r="JI22">
        <f>SOFR3mo_PX[[#This Row],[Column269]]</f>
        <v>96.29</v>
      </c>
      <c r="JJ22">
        <f>SOFR3mo_PX[[#This Row],[Column270]]</f>
        <v>96.174999999999997</v>
      </c>
      <c r="JK22">
        <f>SOFR3mo_PX[[#This Row],[Column271]]</f>
        <v>96.094999999999999</v>
      </c>
      <c r="JL22">
        <f>SOFR3mo_PX[[#This Row],[Column272]]</f>
        <v>96.14</v>
      </c>
      <c r="JM22">
        <f>SOFR3mo_PX[[#This Row],[Column273]]</f>
        <v>96.284999999999997</v>
      </c>
      <c r="JN22">
        <f>SOFR3mo_PX[[#This Row],[Column274]]</f>
        <v>96.28</v>
      </c>
      <c r="JO22">
        <f>SOFR3mo_PX[[#This Row],[Column275]]</f>
        <v>96.245000000000005</v>
      </c>
      <c r="JP22">
        <f>SOFR3mo_PX[[#This Row],[Column276]]</f>
        <v>96.165000000000006</v>
      </c>
      <c r="JQ22">
        <f>SOFR3mo_PX[[#This Row],[Column277]]</f>
        <v>96.04</v>
      </c>
      <c r="JR22">
        <f>SOFR3mo_PX[[#This Row],[Column278]]</f>
        <v>96</v>
      </c>
      <c r="JS22">
        <f>SOFR3mo_PX[[#This Row],[Column279]]</f>
        <v>95.935000000000002</v>
      </c>
      <c r="JT22">
        <f>SOFR3mo_PX[[#This Row],[Column280]]</f>
        <v>96.034999999999997</v>
      </c>
      <c r="JU22">
        <f>SOFR3mo_PX[[#This Row],[Column281]]</f>
        <v>96.11</v>
      </c>
      <c r="JV22">
        <f>SOFR3mo_PX[[#This Row],[Column282]]</f>
        <v>96.11</v>
      </c>
      <c r="JW22">
        <f>SOFR3mo_PX[[#This Row],[Column283]]</f>
        <v>96.094999999999999</v>
      </c>
      <c r="JX22">
        <f>SOFR3mo_PX[[#This Row],[Column284]]</f>
        <v>96.114999999999995</v>
      </c>
      <c r="JY22">
        <f>SOFR3mo_PX[[#This Row],[Column285]]</f>
        <v>96.12</v>
      </c>
      <c r="JZ22">
        <f>SOFR3mo_PX[[#This Row],[Column286]]</f>
        <v>96.09</v>
      </c>
      <c r="KA22">
        <f>SOFR3mo_PX[[#This Row],[Column287]]</f>
        <v>96.105000000000004</v>
      </c>
      <c r="KB22">
        <f>SOFR3mo_PX[[#This Row],[Column288]]</f>
        <v>96.15</v>
      </c>
      <c r="KC22">
        <f>SOFR3mo_PX[[#This Row],[Column289]]</f>
        <v>96.16</v>
      </c>
      <c r="KD22">
        <f>SOFR3mo_PX[[#This Row],[Column290]]</f>
        <v>96.075000000000003</v>
      </c>
      <c r="KE22">
        <f>SOFR3mo_PX[[#This Row],[Column291]]</f>
        <v>96.04</v>
      </c>
      <c r="KF22">
        <f>SOFR3mo_PX[[#This Row],[Column292]]</f>
        <v>96.015000000000001</v>
      </c>
      <c r="KG22">
        <f>SOFR3mo_PX[[#This Row],[Column293]]</f>
        <v>96.07</v>
      </c>
      <c r="KH22">
        <f>SOFR3mo_PX[[#This Row],[Column294]]</f>
        <v>96.034999999999997</v>
      </c>
      <c r="KI22">
        <f>SOFR3mo_PX[[#This Row],[Column295]]</f>
        <v>96.08</v>
      </c>
      <c r="KJ22">
        <f>SOFR3mo_PX[[#This Row],[Column296]]</f>
        <v>96.04</v>
      </c>
      <c r="KK22">
        <f>SOFR3mo_PX[[#This Row],[Column297]]</f>
        <v>96.02</v>
      </c>
      <c r="KL22">
        <f>SOFR3mo_PX[[#This Row],[Column298]]</f>
        <v>95.94</v>
      </c>
      <c r="KM22">
        <f>SOFR3mo_PX[[#This Row],[Column299]]</f>
        <v>95.924999999999997</v>
      </c>
      <c r="KN22">
        <f>SOFR3mo_PX[[#This Row],[Column300]]</f>
        <v>95.844999999999999</v>
      </c>
      <c r="KO22">
        <f>SOFR3mo_PX[[#This Row],[Column301]]</f>
        <v>95.915000000000006</v>
      </c>
      <c r="KP22">
        <f>SOFR3mo_PX[[#This Row],[Column302]]</f>
        <v>95.84</v>
      </c>
      <c r="KQ22">
        <f>SOFR3mo_PX[[#This Row],[Column303]]</f>
        <v>95.8</v>
      </c>
      <c r="KR22">
        <f>SOFR3mo_PX[[#This Row],[Column304]]</f>
        <v>95.85</v>
      </c>
      <c r="KS22">
        <f>SOFR3mo_PX[[#This Row],[Column305]]</f>
        <v>95.924999999999997</v>
      </c>
      <c r="KT22">
        <f>SOFR3mo_PX[[#This Row],[Column306]]</f>
        <v>95.9</v>
      </c>
      <c r="KU22">
        <f>SOFR3mo_PX[[#This Row],[Column307]]</f>
        <v>95.915000000000006</v>
      </c>
      <c r="KV22">
        <f>SOFR3mo_PX[[#This Row],[Column308]]</f>
        <v>95.885000000000005</v>
      </c>
      <c r="KW22">
        <f>SOFR3mo_PX[[#This Row],[Column309]]</f>
        <v>95.944999999999993</v>
      </c>
      <c r="KX22">
        <f>SOFR3mo_PX[[#This Row],[Column310]]</f>
        <v>95.87</v>
      </c>
      <c r="KY22">
        <f>SOFR3mo_PX[[#This Row],[Column311]]</f>
        <v>95.905000000000001</v>
      </c>
      <c r="KZ22">
        <f>SOFR3mo_PX[[#This Row],[Column312]]</f>
        <v>96.05</v>
      </c>
      <c r="LA22">
        <f>SOFR3mo_PX[[#This Row],[Column313]]</f>
        <v>95.96</v>
      </c>
      <c r="LB22">
        <f>SOFR3mo_PX[[#This Row],[Column314]]</f>
        <v>95.99</v>
      </c>
      <c r="LC22">
        <f>SOFR3mo_PX[[#This Row],[Column315]]</f>
        <v>96.144999999999996</v>
      </c>
      <c r="LD22">
        <f>SOFR3mo_PX[[#This Row],[Column316]]</f>
        <v>96.084999999999994</v>
      </c>
      <c r="LE22">
        <f>SOFR3mo_PX[[#This Row],[Column317]]</f>
        <v>96.135000000000005</v>
      </c>
      <c r="LF22">
        <f>SOFR3mo_PX[[#This Row],[Column318]]</f>
        <v>96.19</v>
      </c>
      <c r="LG22">
        <f>SOFR3mo_PX[[#This Row],[Column319]]</f>
        <v>96.144999999999996</v>
      </c>
      <c r="LH22">
        <f>SOFR3mo_PX[[#This Row],[Column320]]</f>
        <v>96.13</v>
      </c>
      <c r="LI22">
        <f>SOFR3mo_PX[[#This Row],[Column321]]</f>
        <v>96.17</v>
      </c>
      <c r="LJ22">
        <f>SOFR3mo_PX[[#This Row],[Column322]]</f>
        <v>96.314999999999998</v>
      </c>
      <c r="LK22">
        <f>SOFR3mo_PX[[#This Row],[Column323]]</f>
        <v>96.314999999999998</v>
      </c>
      <c r="LL22">
        <f>SOFR3mo_PX[[#This Row],[Column324]]</f>
        <v>96.284999999999997</v>
      </c>
      <c r="LM22">
        <f>SOFR3mo_PX[[#This Row],[Column325]]</f>
        <v>96.245000000000005</v>
      </c>
      <c r="LN22">
        <f>SOFR3mo_PX[[#This Row],[Column326]]</f>
        <v>96.215000000000003</v>
      </c>
      <c r="LO22">
        <f>SOFR3mo_PX[[#This Row],[Column327]]</f>
        <v>96.254999999999995</v>
      </c>
      <c r="LP22">
        <f>SOFR3mo_PX[[#This Row],[Column328]]</f>
        <v>96.194999999999993</v>
      </c>
      <c r="LQ22">
        <f>SOFR3mo_PX[[#This Row],[Column329]]</f>
        <v>96.194999999999993</v>
      </c>
      <c r="LR22">
        <f>SOFR3mo_PX[[#This Row],[Column330]]</f>
        <v>96.234999999999999</v>
      </c>
      <c r="LS22">
        <f>SOFR3mo_PX[[#This Row],[Column331]]</f>
        <v>96.194999999999993</v>
      </c>
      <c r="LT22">
        <f>SOFR3mo_PX[[#This Row],[Column332]]</f>
        <v>96.234999999999999</v>
      </c>
      <c r="LU22">
        <f>SOFR3mo_PX[[#This Row],[Column333]]</f>
        <v>96.234999999999999</v>
      </c>
      <c r="LV22">
        <f>SOFR3mo_PX[[#This Row],[Column334]]</f>
        <v>96.36</v>
      </c>
      <c r="LW22">
        <f>SOFR3mo_PX[[#This Row],[Column335]]</f>
        <v>96.375</v>
      </c>
      <c r="LX22">
        <f>SOFR3mo_PX[[#This Row],[Column336]]</f>
        <v>96.424999999999997</v>
      </c>
      <c r="LY22">
        <f>SOFR3mo_PX[[#This Row],[Column337]]</f>
        <v>96.43</v>
      </c>
      <c r="LZ22">
        <f>SOFR3mo_PX[[#This Row],[Column338]]</f>
        <v>96.435000000000002</v>
      </c>
      <c r="MA22">
        <f>SOFR3mo_PX[[#This Row],[Column339]]</f>
        <v>96.43</v>
      </c>
      <c r="MB22">
        <f>SOFR3mo_PX[[#This Row],[Column340]]</f>
        <v>96.39</v>
      </c>
      <c r="MC22">
        <f>SOFR3mo_PX[[#This Row],[Column341]]</f>
        <v>96.3</v>
      </c>
      <c r="MD22">
        <f>SOFR3mo_PX[[#This Row],[Column342]]</f>
        <v>96.33</v>
      </c>
      <c r="ME22">
        <f>SOFR3mo_PX[[#This Row],[Column343]]</f>
        <v>96.265000000000001</v>
      </c>
      <c r="MF22">
        <f>SOFR3mo_PX[[#This Row],[Column344]]</f>
        <v>96.254999999999995</v>
      </c>
      <c r="MG22">
        <f>SOFR3mo_PX[[#This Row],[Column345]]</f>
        <v>96.234999999999999</v>
      </c>
      <c r="MH22">
        <f>SOFR3mo_PX[[#This Row],[Column346]]</f>
        <v>96.254999999999995</v>
      </c>
      <c r="MI22">
        <f>SOFR3mo_PX[[#This Row],[Column347]]</f>
        <v>96.265000000000001</v>
      </c>
      <c r="MJ22">
        <f>SOFR3mo_PX[[#This Row],[Column348]]</f>
        <v>96.174999999999997</v>
      </c>
      <c r="MK22">
        <f>SOFR3mo_PX[[#This Row],[Column349]]</f>
        <v>96.155000000000001</v>
      </c>
      <c r="ML22">
        <f>SOFR3mo_PX[[#This Row],[Column350]]</f>
        <v>96.2</v>
      </c>
      <c r="MM22">
        <f>SOFR3mo_PX[[#This Row],[Column351]]</f>
        <v>96.174999999999997</v>
      </c>
      <c r="MN22">
        <f>SOFR3mo_PX[[#This Row],[Column352]]</f>
        <v>96.174999999999997</v>
      </c>
      <c r="MO22">
        <f>SOFR3mo_PX[[#This Row],[Column353]]</f>
        <v>96.224999999999994</v>
      </c>
      <c r="MP22">
        <f>SOFR3mo_PX[[#This Row],[Column354]]</f>
        <v>96.19</v>
      </c>
      <c r="MQ22">
        <f>SOFR3mo_PX[[#This Row],[Column355]]</f>
        <v>96.144999999999996</v>
      </c>
      <c r="MR22">
        <f>SOFR3mo_PX[[#This Row],[Column356]]</f>
        <v>96.28</v>
      </c>
      <c r="MS22">
        <f>SOFR3mo_PX[[#This Row],[Column357]]</f>
        <v>96.26</v>
      </c>
      <c r="MT22">
        <f>SOFR3mo_PX[[#This Row],[Column358]]</f>
        <v>96.275000000000006</v>
      </c>
      <c r="MU22">
        <f>SOFR3mo_PX[[#This Row],[Column359]]</f>
        <v>96.36</v>
      </c>
      <c r="MV22">
        <f>SOFR3mo_PX[[#This Row],[Column360]]</f>
        <v>96.375</v>
      </c>
      <c r="MW22">
        <f>SOFR3mo_PX[[#This Row],[Column361]]</f>
        <v>96.28</v>
      </c>
      <c r="MX22">
        <f>SOFR3mo_PX[[#This Row],[Column362]]</f>
        <v>96.415000000000006</v>
      </c>
      <c r="MY22">
        <f>SOFR3mo_PX[[#This Row],[Column363]]</f>
        <v>96.59</v>
      </c>
      <c r="MZ22">
        <f>SOFR3mo_PX[[#This Row],[Column364]]</f>
        <v>96.474999999999994</v>
      </c>
      <c r="NA22">
        <f>SOFR3mo_PX[[#This Row],[Column365]]</f>
        <v>96.39</v>
      </c>
      <c r="NB22">
        <f>SOFR3mo_PX[[#This Row],[Column366]]</f>
        <v>96.33</v>
      </c>
      <c r="NC22">
        <f>SOFR3mo_PX[[#This Row],[Column367]]</f>
        <v>96.25</v>
      </c>
      <c r="ND22">
        <f>SOFR3mo_PX[[#This Row],[Column368]]</f>
        <v>96.27</v>
      </c>
      <c r="NE22">
        <f>SOFR3mo_PX[[#This Row],[Column369]]</f>
        <v>96.23</v>
      </c>
      <c r="NF22">
        <f>SOFR3mo_PX[[#This Row],[Column370]]</f>
        <v>96.28</v>
      </c>
      <c r="NG22">
        <f>SOFR3mo_PX[[#This Row],[Column371]]</f>
        <v>96.33</v>
      </c>
      <c r="NH22">
        <f>SOFR3mo_PX[[#This Row],[Column372]]</f>
        <v>96.27</v>
      </c>
      <c r="NI22">
        <f>SOFR3mo_PX[[#This Row],[Column373]]</f>
        <v>96.265000000000001</v>
      </c>
      <c r="NJ22">
        <f>SOFR3mo_PX[[#This Row],[Column374]]</f>
        <v>96.32</v>
      </c>
      <c r="NK22">
        <f>SOFR3mo_PX[[#This Row],[Column375]]</f>
        <v>96.344999999999999</v>
      </c>
      <c r="NL22">
        <f>SOFR3mo_PX[[#This Row],[Column376]]</f>
        <v>96.47</v>
      </c>
      <c r="NM22">
        <f>SOFR3mo_PX[[#This Row],[Column377]]</f>
        <v>96.47</v>
      </c>
      <c r="NN22">
        <f>SOFR3mo_PX[[#This Row],[Column378]]</f>
        <v>96.474999999999994</v>
      </c>
      <c r="NO22">
        <f>SOFR3mo_PX[[#This Row],[Column379]]</f>
        <v>96.424999999999997</v>
      </c>
      <c r="NP22">
        <f>SOFR3mo_PX[[#This Row],[Column380]]</f>
        <v>96.435000000000002</v>
      </c>
      <c r="NQ22">
        <f>SOFR3mo_PX[[#This Row],[Column381]]</f>
        <v>96.444999999999993</v>
      </c>
      <c r="NR22">
        <f>SOFR3mo_PX[[#This Row],[Column382]]</f>
        <v>96.435000000000002</v>
      </c>
      <c r="NS22">
        <f>SOFR3mo_PX[[#This Row],[Column383]]</f>
        <v>96.484999999999999</v>
      </c>
      <c r="NT22">
        <f>SOFR3mo_PX[[#This Row],[Column384]]</f>
        <v>96.584999999999994</v>
      </c>
      <c r="NU22">
        <f>SOFR3mo_PX[[#This Row],[Column385]]</f>
        <v>96.54</v>
      </c>
      <c r="NV22">
        <f>SOFR3mo_PX[[#This Row],[Column386]]</f>
        <v>96.594999999999999</v>
      </c>
      <c r="NW22">
        <f>SOFR3mo_PX[[#This Row],[Column387]]</f>
        <v>96.594999999999999</v>
      </c>
      <c r="NX22">
        <f>SOFR3mo_PX[[#This Row],[Column388]]</f>
        <v>96.61</v>
      </c>
      <c r="NY22">
        <f>SOFR3mo_PX[[#This Row],[Column389]]</f>
        <v>96.674999999999997</v>
      </c>
      <c r="NZ22">
        <f>SOFR3mo_PX[[#This Row],[Column390]]</f>
        <v>96.57</v>
      </c>
      <c r="OA22">
        <f>SOFR3mo_PX[[#This Row],[Column391]]</f>
        <v>96.55</v>
      </c>
      <c r="OB22">
        <f>SOFR3mo_PX[[#This Row],[Column392]]</f>
        <v>96.55</v>
      </c>
      <c r="OC22">
        <f>SOFR3mo_PX[[#This Row],[Column393]]</f>
        <v>96.58</v>
      </c>
      <c r="OD22">
        <f>SOFR3mo_PX[[#This Row],[Column394]]</f>
        <v>96.61</v>
      </c>
      <c r="OE22">
        <f>SOFR3mo_PX[[#This Row],[Column395]]</f>
        <v>96.594999999999999</v>
      </c>
      <c r="OF22">
        <f>SOFR3mo_PX[[#This Row],[Column396]]</f>
        <v>96.564999999999998</v>
      </c>
      <c r="OG22">
        <f>SOFR3mo_PX[[#This Row],[Column397]]</f>
        <v>96.594999999999999</v>
      </c>
      <c r="OH22">
        <f>SOFR3mo_PX[[#This Row],[Column398]]</f>
        <v>96.575000000000003</v>
      </c>
      <c r="OI22">
        <f>SOFR3mo_PX[[#This Row],[Column399]]</f>
        <v>96.48</v>
      </c>
      <c r="OJ22">
        <f>SOFR3mo_PX[[#This Row],[Column400]]</f>
        <v>96.33</v>
      </c>
      <c r="OK22">
        <f>SOFR3mo_PX[[#This Row],[Column401]]</f>
        <v>96.284999999999997</v>
      </c>
      <c r="OL22">
        <f>SOFR3mo_PX[[#This Row],[Column402]]</f>
        <v>96.284999999999997</v>
      </c>
      <c r="OM22">
        <f>SOFR3mo_PX[[#This Row],[Column403]]</f>
        <v>96.4</v>
      </c>
      <c r="ON22">
        <f>SOFR3mo_PX[[#This Row],[Column404]]</f>
        <v>96.4</v>
      </c>
      <c r="OO22">
        <f>SOFR3mo_PX[[#This Row],[Column405]]</f>
        <v>96.344999999999999</v>
      </c>
      <c r="OP22">
        <f>SOFR3mo_PX[[#This Row],[Column406]]</f>
        <v>96.215000000000003</v>
      </c>
      <c r="OQ22">
        <f>SOFR3mo_PX[[#This Row],[Column407]]</f>
        <v>96.265000000000001</v>
      </c>
      <c r="OR22">
        <f>SOFR3mo_PX[[#This Row],[Column408]]</f>
        <v>96.15</v>
      </c>
      <c r="OS22">
        <f>SOFR3mo_PX[[#This Row],[Column409]]</f>
        <v>96.234999999999999</v>
      </c>
      <c r="OT22">
        <f>SOFR3mo_PX[[#This Row],[Column410]]</f>
        <v>96.174999999999997</v>
      </c>
      <c r="OU22">
        <f>SOFR3mo_PX[[#This Row],[Column411]]</f>
        <v>96.12</v>
      </c>
      <c r="OV22">
        <f>SOFR3mo_PX[[#This Row],[Column412]]</f>
        <v>96</v>
      </c>
      <c r="OW22">
        <f>SOFR3mo_PX[[#This Row],[Column413]]</f>
        <v>96.07</v>
      </c>
      <c r="OX22">
        <f>SOFR3mo_PX[[#This Row],[Column414]]</f>
        <v>96.07</v>
      </c>
      <c r="OY22">
        <f>SOFR3mo_PX[[#This Row],[Column415]]</f>
        <v>96.064999999999998</v>
      </c>
      <c r="OZ22">
        <f>SOFR3mo_PX[[#This Row],[Column416]]</f>
        <v>96.07</v>
      </c>
      <c r="PA22">
        <f>SOFR3mo_PX[[#This Row],[Column417]]</f>
        <v>96.03</v>
      </c>
      <c r="PB22">
        <f>SOFR3mo_PX[[#This Row],[Column418]]</f>
        <v>96.015000000000001</v>
      </c>
      <c r="PC22">
        <f>SOFR3mo_PX[[#This Row],[Column419]]</f>
        <v>95.91</v>
      </c>
      <c r="PD22">
        <f>SOFR3mo_PX[[#This Row],[Column420]]</f>
        <v>96</v>
      </c>
      <c r="PE22">
        <f>SOFR3mo_PX[[#This Row],[Column421]]</f>
        <v>95.805000000000007</v>
      </c>
      <c r="PF22">
        <f>SOFR3mo_PX[[#This Row],[Column422]]</f>
        <v>95.81</v>
      </c>
      <c r="PG22">
        <f>SOFR3mo_PX[[#This Row],[Column423]]</f>
        <v>95.81</v>
      </c>
      <c r="PH22">
        <f>SOFR3mo_PX[[#This Row],[Column424]]</f>
        <v>95.944999999999993</v>
      </c>
      <c r="PI22">
        <f>SOFR3mo_PX[[#This Row],[Column425]]</f>
        <v>95.88</v>
      </c>
      <c r="PJ22">
        <f>SOFR3mo_PX[[#This Row],[Column426]]</f>
        <v>95.765000000000001</v>
      </c>
      <c r="PK22">
        <f>SOFR3mo_PX[[#This Row],[Column427]]</f>
        <v>95.87</v>
      </c>
      <c r="PL22">
        <f>SOFR3mo_PX[[#This Row],[Column428]]</f>
        <v>95.745000000000005</v>
      </c>
      <c r="PM22">
        <f>SOFR3mo_PX[[#This Row],[Column429]]</f>
        <v>95.62</v>
      </c>
      <c r="PN22">
        <f>SOFR3mo_PX[[#This Row],[Column430]]</f>
        <v>95.53</v>
      </c>
      <c r="PO22">
        <f>SOFR3mo_PX[[#This Row],[Column431]]</f>
        <v>95.52</v>
      </c>
      <c r="PP22">
        <f>SOFR3mo_PX[[#This Row],[Column432]]</f>
        <v>95.53</v>
      </c>
      <c r="PQ22">
        <f>SOFR3mo_PX[[#This Row],[Column433]]</f>
        <v>95.52</v>
      </c>
      <c r="PR22">
        <f>SOFR3mo_PX[[#This Row],[Column434]]</f>
        <v>95.4</v>
      </c>
      <c r="PS22">
        <f>SOFR3mo_PX[[#This Row],[Column435]]</f>
        <v>95.534999999999997</v>
      </c>
      <c r="PT22">
        <f>SOFR3mo_PX[[#This Row],[Column436]]</f>
        <v>95.53</v>
      </c>
      <c r="PU22">
        <f>SOFR3mo_PX[[#This Row],[Column437]]</f>
        <v>95.435000000000002</v>
      </c>
      <c r="PV22">
        <f>SOFR3mo_PX[[#This Row],[Column438]]</f>
        <v>95.35</v>
      </c>
      <c r="PW22">
        <f>SOFR3mo_PX[[#This Row],[Column439]]</f>
        <v>95.474999999999994</v>
      </c>
      <c r="PX22">
        <f>SOFR3mo_PX[[#This Row],[Column440]]</f>
        <v>95.54</v>
      </c>
      <c r="PY22">
        <f>SOFR3mo_PX[[#This Row],[Column441]]</f>
        <v>95.685000000000002</v>
      </c>
      <c r="PZ22">
        <f>SOFR3mo_PX[[#This Row],[Column442]]</f>
        <v>95.775000000000006</v>
      </c>
      <c r="QA22">
        <f>SOFR3mo_PX[[#This Row],[Column443]]</f>
        <v>95.674999999999997</v>
      </c>
      <c r="QB22">
        <f>SOFR3mo_PX[[#This Row],[Column444]]</f>
        <v>95.79</v>
      </c>
      <c r="QC22">
        <f>SOFR3mo_PX[[#This Row],[Column445]]</f>
        <v>95.715000000000003</v>
      </c>
      <c r="QD22">
        <f>SOFR3mo_PX[[#This Row],[Column446]]</f>
        <v>95.72</v>
      </c>
      <c r="QE22">
        <f>SOFR3mo_PX[[#This Row],[Column447]]</f>
        <v>95.575000000000003</v>
      </c>
      <c r="QF22">
        <f>SOFR3mo_PX[[#This Row],[Column448]]</f>
        <v>95.635000000000005</v>
      </c>
      <c r="QG22">
        <f>SOFR3mo_PX[[#This Row],[Column449]]</f>
        <v>95.605000000000004</v>
      </c>
      <c r="QH22">
        <f>SOFR3mo_PX[[#This Row],[Column450]]</f>
        <v>95.55</v>
      </c>
      <c r="QI22">
        <f>SOFR3mo_PX[[#This Row],[Column451]]</f>
        <v>95.68</v>
      </c>
      <c r="QJ22">
        <f>SOFR3mo_PX[[#This Row],[Column452]]</f>
        <v>95.825000000000003</v>
      </c>
      <c r="QK22">
        <f>SOFR3mo_PX[[#This Row],[Column453]]</f>
        <v>95.784999999999997</v>
      </c>
      <c r="QL22">
        <f>SOFR3mo_PX[[#This Row],[Column454]]</f>
        <v>95.78</v>
      </c>
      <c r="QM22">
        <f>SOFR3mo_PX[[#This Row],[Column455]]</f>
        <v>95.855000000000004</v>
      </c>
      <c r="QN22">
        <f>SOFR3mo_PX[[#This Row],[Column456]]</f>
        <v>95.864999999999995</v>
      </c>
      <c r="QO22">
        <f>SOFR3mo_PX[[#This Row],[Column457]]</f>
        <v>95.99</v>
      </c>
      <c r="QP22">
        <f>SOFR3mo_PX[[#This Row],[Column458]]</f>
        <v>95.954999999999998</v>
      </c>
      <c r="QQ22">
        <f>SOFR3mo_PX[[#This Row],[Column459]]</f>
        <v>96.114999999999995</v>
      </c>
      <c r="QR22">
        <f>SOFR3mo_PX[[#This Row],[Column460]]</f>
        <v>96.12</v>
      </c>
      <c r="QS22">
        <f>SOFR3mo_PX[[#This Row],[Column461]]</f>
        <v>96.165000000000006</v>
      </c>
      <c r="QT22">
        <f>SOFR3mo_PX[[#This Row],[Column462]]</f>
        <v>96.155000000000001</v>
      </c>
      <c r="QU22">
        <f>SOFR3mo_PX[[#This Row],[Column463]]</f>
        <v>96.185000000000002</v>
      </c>
      <c r="QV22">
        <f>SOFR3mo_PX[[#This Row],[Column464]]</f>
        <v>96.224999999999994</v>
      </c>
      <c r="QW22">
        <f>SOFR3mo_PX[[#This Row],[Column465]]</f>
        <v>96.204999999999998</v>
      </c>
      <c r="QX22">
        <f>SOFR3mo_PX[[#This Row],[Column466]]</f>
        <v>96.174999999999997</v>
      </c>
      <c r="QY22">
        <f>SOFR3mo_PX[[#This Row],[Column467]]</f>
        <v>96.204999999999998</v>
      </c>
      <c r="QZ22">
        <f>SOFR3mo_PX[[#This Row],[Column468]]</f>
        <v>96.194999999999993</v>
      </c>
      <c r="RA22">
        <f>SOFR3mo_PX[[#This Row],[Column469]]</f>
        <v>96.18</v>
      </c>
      <c r="RB22">
        <f>SOFR3mo_PX[[#This Row],[Column470]]</f>
        <v>96.204999999999998</v>
      </c>
      <c r="RC22">
        <f>SOFR3mo_PX[[#This Row],[Column471]]</f>
        <v>96.275000000000006</v>
      </c>
      <c r="RD22">
        <f>SOFR3mo_PX[[#This Row],[Column472]]</f>
        <v>96.275000000000006</v>
      </c>
      <c r="RE22">
        <f>SOFR3mo_PX[[#This Row],[Column473]]</f>
        <v>96.364999999999995</v>
      </c>
      <c r="RF22">
        <f>SOFR3mo_PX[[#This Row],[Column474]]</f>
        <v>96.34</v>
      </c>
      <c r="RG22">
        <f>SOFR3mo_PX[[#This Row],[Column475]]</f>
        <v>96.334999999999994</v>
      </c>
      <c r="RH22">
        <f>SOFR3mo_PX[[#This Row],[Column476]]</f>
        <v>96.254999999999995</v>
      </c>
      <c r="RI22">
        <f>SOFR3mo_PX[[#This Row],[Column477]]</f>
        <v>96.21</v>
      </c>
      <c r="RJ22">
        <f>SOFR3mo_PX[[#This Row],[Column478]]</f>
        <v>96.204999999999998</v>
      </c>
      <c r="RK22">
        <f>SOFR3mo_PX[[#This Row],[Column479]]</f>
        <v>96.224999999999994</v>
      </c>
      <c r="RL22">
        <f>SOFR3mo_PX[[#This Row],[Column480]]</f>
        <v>96.075000000000003</v>
      </c>
      <c r="RM22">
        <f>SOFR3mo_PX[[#This Row],[Column481]]</f>
        <v>96.055000000000007</v>
      </c>
      <c r="RN22">
        <f>SOFR3mo_PX[[#This Row],[Column482]]</f>
        <v>96.155000000000001</v>
      </c>
      <c r="RO22">
        <f>SOFR3mo_PX[[#This Row],[Column483]]</f>
        <v>96.08</v>
      </c>
      <c r="RP22">
        <f>SOFR3mo_PX[[#This Row],[Column484]]</f>
        <v>96.17</v>
      </c>
      <c r="RQ22">
        <f>SOFR3mo_PX[[#This Row],[Column485]]</f>
        <v>96.204999999999998</v>
      </c>
      <c r="RR22">
        <f>SOFR3mo_PX[[#This Row],[Column486]]</f>
        <v>96.265000000000001</v>
      </c>
      <c r="RS22">
        <f>SOFR3mo_PX[[#This Row],[Column487]]</f>
        <v>96.254999999999995</v>
      </c>
      <c r="RT22">
        <f>SOFR3mo_PX[[#This Row],[Column488]]</f>
        <v>96.36</v>
      </c>
      <c r="RU22">
        <f>SOFR3mo_PX[[#This Row],[Column489]]</f>
        <v>96.47</v>
      </c>
      <c r="RV22">
        <f>SOFR3mo_PX[[#This Row],[Column490]]</f>
        <v>96.444999999999993</v>
      </c>
      <c r="RW22">
        <f>SOFR3mo_PX[[#This Row],[Column491]]</f>
        <v>96.38</v>
      </c>
      <c r="RX22">
        <f>SOFR3mo_PX[[#This Row],[Column492]]</f>
        <v>96.385000000000005</v>
      </c>
      <c r="RY22">
        <f>SOFR3mo_PX[[#This Row],[Column493]]</f>
        <v>96.234999999999999</v>
      </c>
      <c r="RZ22">
        <f>SOFR3mo_PX[[#This Row],[Column494]]</f>
        <v>96.364999999999995</v>
      </c>
      <c r="SA22">
        <f>SOFR3mo_PX[[#This Row],[Column495]]</f>
        <v>96.405000000000001</v>
      </c>
      <c r="SB22">
        <f>SOFR3mo_PX[[#This Row],[Column496]]</f>
        <v>96.495000000000005</v>
      </c>
      <c r="SC22">
        <f>SOFR3mo_PX[[#This Row],[Column497]]</f>
        <v>96.484999999999999</v>
      </c>
      <c r="SD22">
        <f>SOFR3mo_PX[[#This Row],[Column498]]</f>
        <v>96.44</v>
      </c>
      <c r="SE22">
        <f>SOFR3mo_PX[[#This Row],[Column499]]</f>
        <v>96.61</v>
      </c>
      <c r="SF22">
        <f>SOFR3mo_PX[[#This Row],[Column500]]</f>
        <v>96.54</v>
      </c>
      <c r="SG22">
        <f>SOFR3mo_PX[[#This Row],[Column501]]</f>
        <v>96.61</v>
      </c>
      <c r="SH22">
        <f>SOFR3mo_PX[[#This Row],[Column502]]</f>
        <v>96.614999999999995</v>
      </c>
      <c r="SI22">
        <f>SOFR3mo_PX[[#This Row],[Column503]]</f>
        <v>96.6</v>
      </c>
      <c r="SJ22">
        <f>SOFR3mo_PX[[#This Row],[Column504]]</f>
        <v>96.74</v>
      </c>
      <c r="SK22">
        <f>SOFR3mo_PX[[#This Row],[Column505]]</f>
        <v>96.694999999999993</v>
      </c>
      <c r="SL22">
        <f>SOFR3mo_PX[[#This Row],[Column506]]</f>
        <v>96.665000000000006</v>
      </c>
      <c r="SM22">
        <f>SOFR3mo_PX[[#This Row],[Column507]]</f>
        <v>96.625</v>
      </c>
      <c r="SN22">
        <f>SOFR3mo_PX[[#This Row],[Column508]]</f>
        <v>96.65</v>
      </c>
      <c r="SO22">
        <f>SOFR3mo_PX[[#This Row],[Column509]]</f>
        <v>96.58</v>
      </c>
      <c r="SP22">
        <f>SOFR3mo_PX[[#This Row],[Column510]]</f>
        <v>96.47</v>
      </c>
      <c r="SQ22">
        <f>SOFR3mo_PX[[#This Row],[Column511]]</f>
        <v>96.41</v>
      </c>
      <c r="SR22">
        <f>SOFR3mo_PX[[#This Row],[Column512]]</f>
        <v>96.344999999999999</v>
      </c>
      <c r="SS22">
        <f>SOFR3mo_PX[[#This Row],[Column513]]</f>
        <v>96.394999999999996</v>
      </c>
      <c r="ST22">
        <f>SOFR3mo_PX[[#This Row],[Column514]]</f>
        <v>96.54</v>
      </c>
      <c r="SU22">
        <f>SOFR3mo_PX[[#This Row],[Column515]]</f>
        <v>96.65</v>
      </c>
      <c r="SV22">
        <f>SOFR3mo_PX[[#This Row],[Column516]]</f>
        <v>96.65</v>
      </c>
      <c r="SW22">
        <f>SOFR3mo_PX[[#This Row],[Column517]]</f>
        <v>96.685000000000002</v>
      </c>
      <c r="SX22">
        <f>SOFR3mo_PX[[#This Row],[Column518]]</f>
        <v>96.64</v>
      </c>
      <c r="SY22">
        <f>SOFR3mo_PX[[#This Row],[Column519]]</f>
        <v>96.79</v>
      </c>
      <c r="SZ22">
        <f>SOFR3mo_PX[[#This Row],[Column520]]</f>
        <v>96.72</v>
      </c>
      <c r="TA22">
        <f>SOFR3mo_PX[[#This Row],[Column521]]</f>
        <v>96.75</v>
      </c>
      <c r="TB22">
        <f>SOFR3mo_PX[[#This Row],[Column522]]</f>
        <v>96.72</v>
      </c>
      <c r="TC22">
        <f>SOFR3mo_PX[[#This Row],[Column523]]</f>
        <v>96.665000000000006</v>
      </c>
      <c r="TD22">
        <f>SOFR3mo_PX[[#This Row],[Column524]]</f>
        <v>96.745000000000005</v>
      </c>
      <c r="TE22">
        <f>SOFR3mo_PX[[#This Row],[Column525]]</f>
        <v>96.77</v>
      </c>
      <c r="TF22">
        <f>SOFR3mo_PX[[#This Row],[Column526]]</f>
        <v>96.715000000000003</v>
      </c>
      <c r="TG22">
        <f>SOFR3mo_PX[[#This Row],[Column527]]</f>
        <v>96.715000000000003</v>
      </c>
      <c r="TH22">
        <f>SOFR3mo_PX[[#This Row],[Column528]]</f>
        <v>96.754999999999995</v>
      </c>
      <c r="TI22">
        <f>SOFR3mo_PX[[#This Row],[Column529]]</f>
        <v>96.685000000000002</v>
      </c>
      <c r="TJ22">
        <f>SOFR3mo_PX[[#This Row],[Column530]]</f>
        <v>96.63</v>
      </c>
      <c r="TK22">
        <f>SOFR3mo_PX[[#This Row],[Column531]]</f>
        <v>96.715000000000003</v>
      </c>
      <c r="TL22">
        <f>SOFR3mo_PX[[#This Row],[Column532]]</f>
        <v>96.715000000000003</v>
      </c>
      <c r="TM22">
        <f>SOFR3mo_PX[[#This Row],[Column533]]</f>
        <v>96.734999999999999</v>
      </c>
      <c r="TN22">
        <f>SOFR3mo_PX[[#This Row],[Column534]]</f>
        <v>96.66</v>
      </c>
      <c r="TO22">
        <f>SOFR3mo_PX[[#This Row],[Column535]]</f>
        <v>96.75</v>
      </c>
      <c r="TP22">
        <f>SOFR3mo_PX[[#This Row],[Column536]]</f>
        <v>96.74</v>
      </c>
      <c r="TQ22">
        <f>SOFR3mo_PX[[#This Row],[Column537]]</f>
        <v>96.71</v>
      </c>
      <c r="TR22">
        <f>SOFR3mo_PX[[#This Row],[Column538]]</f>
        <v>96.82</v>
      </c>
      <c r="TS22">
        <f>SOFR3mo_PX[[#This Row],[Column539]]</f>
        <v>96.805000000000007</v>
      </c>
      <c r="TT22">
        <f>SOFR3mo_PX[[#This Row],[Column540]]</f>
        <v>96.745000000000005</v>
      </c>
      <c r="TU22">
        <f>SOFR3mo_PX[[#This Row],[Column541]]</f>
        <v>96.625</v>
      </c>
      <c r="TV22">
        <f>SOFR3mo_PX[[#This Row],[Column542]]</f>
        <v>96.625</v>
      </c>
      <c r="TW22">
        <f>SOFR3mo_PX[[#This Row],[Column543]]</f>
        <v>96.635000000000005</v>
      </c>
      <c r="TX22">
        <f>SOFR3mo_PX[[#This Row],[Column544]]</f>
        <v>96.734999999999999</v>
      </c>
      <c r="TY22">
        <f>SOFR3mo_PX[[#This Row],[Column545]]</f>
        <v>96.73</v>
      </c>
      <c r="TZ22">
        <f>SOFR3mo_PX[[#This Row],[Column546]]</f>
        <v>96.69</v>
      </c>
      <c r="UA22">
        <f>SOFR3mo_PX[[#This Row],[Column547]]</f>
        <v>96.7</v>
      </c>
      <c r="UB22">
        <f>SOFR3mo_PX[[#This Row],[Column548]]</f>
        <v>96.75</v>
      </c>
      <c r="UC22">
        <f>SOFR3mo_PX[[#This Row],[Column549]]</f>
        <v>96.825000000000003</v>
      </c>
      <c r="UD22">
        <f>SOFR3mo_PX[[#This Row],[Column550]]</f>
        <v>96.855000000000004</v>
      </c>
      <c r="UE22">
        <f>SOFR3mo_PX[[#This Row],[Column551]]</f>
        <v>96.9</v>
      </c>
      <c r="UF22">
        <f>SOFR3mo_PX[[#This Row],[Column552]]</f>
        <v>96.935000000000002</v>
      </c>
      <c r="UG22">
        <f>SOFR3mo_PX[[#This Row],[Column553]]</f>
        <v>96.995000000000005</v>
      </c>
      <c r="UH22">
        <f>SOFR3mo_PX[[#This Row],[Column554]]</f>
        <v>96.95</v>
      </c>
      <c r="UI22">
        <f>SOFR3mo_PX[[#This Row],[Column555]]</f>
        <v>96.875</v>
      </c>
      <c r="UJ22">
        <f>SOFR3mo_PX[[#This Row],[Column556]]</f>
        <v>96.86</v>
      </c>
      <c r="UK22">
        <f>SOFR3mo_PX[[#This Row],[Column557]]</f>
        <v>96.905000000000001</v>
      </c>
      <c r="UL22">
        <f>SOFR3mo_PX[[#This Row],[Column558]]</f>
        <v>96.99</v>
      </c>
      <c r="UM22">
        <f>SOFR3mo_PX[[#This Row],[Column559]]</f>
        <v>96.96</v>
      </c>
      <c r="UN22">
        <f>SOFR3mo_PX[[#This Row],[Column560]]</f>
        <v>96.94</v>
      </c>
      <c r="UO22">
        <f>SOFR3mo_PX[[#This Row],[Column561]]</f>
        <v>96.8</v>
      </c>
      <c r="UP22">
        <f>SOFR3mo_PX[[#This Row],[Column562]]</f>
        <v>96.924999999999997</v>
      </c>
      <c r="UQ22">
        <f>SOFR3mo_PX[[#This Row],[Column563]]</f>
        <v>96.86</v>
      </c>
      <c r="UR22">
        <f>SOFR3mo_PX[[#This Row],[Column564]]</f>
        <v>96.95</v>
      </c>
      <c r="US22">
        <f>SOFR3mo_PX[[#This Row],[Column565]]</f>
        <v>97</v>
      </c>
      <c r="UT22">
        <f>SOFR3mo_PX[[#This Row],[Column566]]</f>
        <v>96.91</v>
      </c>
      <c r="UU22">
        <f>SOFR3mo_PX[[#This Row],[Column567]]</f>
        <v>96.84</v>
      </c>
      <c r="UV22">
        <f>SOFR3mo_PX[[#This Row],[Column568]]</f>
        <v>96.885000000000005</v>
      </c>
      <c r="UW22">
        <f>SOFR3mo_PX[[#This Row],[Column569]]</f>
        <v>96.834999999999994</v>
      </c>
      <c r="UX22">
        <f>SOFR3mo_PX[[#This Row],[Column570]]</f>
        <v>96.85</v>
      </c>
      <c r="UY22">
        <f>SOFR3mo_PX[[#This Row],[Column571]]</f>
        <v>96.83</v>
      </c>
      <c r="UZ22">
        <f>SOFR3mo_PX[[#This Row],[Column572]]</f>
        <v>96.89</v>
      </c>
      <c r="VA22">
        <f>SOFR3mo_PX[[#This Row],[Column573]]</f>
        <v>96.96</v>
      </c>
      <c r="VB22">
        <f>SOFR3mo_PX[[#This Row],[Column574]]</f>
        <v>97.015000000000001</v>
      </c>
      <c r="VC22">
        <f>SOFR3mo_PX[[#This Row],[Column575]]</f>
        <v>96.995000000000005</v>
      </c>
      <c r="VD22">
        <f>SOFR3mo_PX[[#This Row],[Column576]]</f>
        <v>96.99</v>
      </c>
      <c r="VE22">
        <f>SOFR3mo_PX[[#This Row],[Column577]]</f>
        <v>97.04</v>
      </c>
      <c r="VF22">
        <f>SOFR3mo_PX[[#This Row],[Column578]]</f>
        <v>97.12</v>
      </c>
      <c r="VG22">
        <f>SOFR3mo_PX[[#This Row],[Column579]]</f>
        <v>97.105000000000004</v>
      </c>
      <c r="VH22">
        <f>SOFR3mo_PX[[#This Row],[Column580]]</f>
        <v>97.08</v>
      </c>
      <c r="VI22">
        <f>SOFR3mo_PX[[#This Row],[Column581]]</f>
        <v>96.984999999999999</v>
      </c>
      <c r="VJ22">
        <f>SOFR3mo_PX[[#This Row],[Column582]]</f>
        <v>96.93</v>
      </c>
      <c r="VK22">
        <f>SOFR3mo_PX[[#This Row],[Column583]]</f>
        <v>96.87</v>
      </c>
      <c r="VL22">
        <f>SOFR3mo_PX[[#This Row],[Column584]]</f>
        <v>96.834999999999994</v>
      </c>
      <c r="VM22">
        <f>SOFR3mo_PX[[#This Row],[Column585]]</f>
        <v>96.825000000000003</v>
      </c>
      <c r="VN22">
        <f>SOFR3mo_PX[[#This Row],[Column586]]</f>
        <v>96.855000000000004</v>
      </c>
      <c r="VO22">
        <f>SOFR3mo_PX[[#This Row],[Column587]]</f>
        <v>96.98</v>
      </c>
      <c r="VP22">
        <f>SOFR3mo_PX[[#This Row],[Column588]]</f>
        <v>96.94</v>
      </c>
      <c r="VQ22">
        <f>SOFR3mo_PX[[#This Row],[Column589]]</f>
        <v>96.844999999999999</v>
      </c>
      <c r="VR22">
        <f>SOFR3mo_PX[[#This Row],[Column590]]</f>
        <v>96.77</v>
      </c>
      <c r="VS22">
        <f>SOFR3mo_PX[[#This Row],[Column591]]</f>
        <v>96.844999999999999</v>
      </c>
      <c r="VT22">
        <f>SOFR3mo_PX[[#This Row],[Column592]]</f>
        <v>96.954999999999998</v>
      </c>
      <c r="VU22">
        <f>SOFR3mo_PX[[#This Row],[Column593]]</f>
        <v>96.78</v>
      </c>
      <c r="VV22">
        <f>SOFR3mo_PX[[#This Row],[Column594]]</f>
        <v>96.855000000000004</v>
      </c>
      <c r="VW22">
        <f>SOFR3mo_PX[[#This Row],[Column595]]</f>
        <v>96.78</v>
      </c>
      <c r="VX22">
        <f>SOFR3mo_PX[[#This Row],[Column596]]</f>
        <v>96.855000000000004</v>
      </c>
      <c r="VY22">
        <f>SOFR3mo_PX[[#This Row],[Column597]]</f>
        <v>96.86</v>
      </c>
      <c r="VZ22">
        <f>SOFR3mo_PX[[#This Row],[Column598]]</f>
        <v>96.655000000000001</v>
      </c>
      <c r="WA22">
        <f>SOFR3mo_PX[[#This Row],[Column599]]</f>
        <v>96.665000000000006</v>
      </c>
      <c r="WB22">
        <f>SOFR3mo_PX[[#This Row],[Column600]]</f>
        <v>96.655000000000001</v>
      </c>
      <c r="WC22">
        <f>SOFR3mo_PX[[#This Row],[Column601]]</f>
        <v>96.594999999999999</v>
      </c>
      <c r="WD22">
        <f>SOFR3mo_PX[[#This Row],[Column602]]</f>
        <v>96.6</v>
      </c>
      <c r="WE22">
        <f>SOFR3mo_PX[[#This Row],[Column603]]</f>
        <v>96.484999999999999</v>
      </c>
      <c r="WF22">
        <f>SOFR3mo_PX[[#This Row],[Column604]]</f>
        <v>96.594999999999999</v>
      </c>
      <c r="WG22">
        <f>SOFR3mo_PX[[#This Row],[Column605]]</f>
        <v>96.68</v>
      </c>
      <c r="WH22">
        <f>SOFR3mo_PX[[#This Row],[Column606]]</f>
        <v>96.674999999999997</v>
      </c>
      <c r="WI22">
        <f>SOFR3mo_PX[[#This Row],[Column607]]</f>
        <v>96.614999999999995</v>
      </c>
      <c r="WJ22">
        <f>SOFR3mo_PX[[#This Row],[Column608]]</f>
        <v>96.67</v>
      </c>
      <c r="WK22">
        <f>SOFR3mo_PX[[#This Row],[Column609]]</f>
        <v>96.61</v>
      </c>
      <c r="WL22">
        <f>SOFR3mo_PX[[#This Row],[Column610]]</f>
        <v>96.584999999999994</v>
      </c>
      <c r="WM22">
        <f>SOFR3mo_PX[[#This Row],[Column611]]</f>
        <v>96.734999999999999</v>
      </c>
      <c r="WN22">
        <f>SOFR3mo_PX[[#This Row],[Column612]]</f>
        <v>96.734999999999999</v>
      </c>
      <c r="WO22">
        <f>SOFR3mo_PX[[#This Row],[Column613]]</f>
        <v>96.715000000000003</v>
      </c>
      <c r="WP22">
        <f>SOFR3mo_PX[[#This Row],[Column614]]</f>
        <v>96.75</v>
      </c>
      <c r="WQ22">
        <f>SOFR3mo_PX[[#This Row],[Column615]]</f>
        <v>96.8</v>
      </c>
      <c r="WR22">
        <f>SOFR3mo_PX[[#This Row],[Column616]]</f>
        <v>96.825000000000003</v>
      </c>
      <c r="WS22">
        <f>SOFR3mo_PX[[#This Row],[Column617]]</f>
        <v>96.805000000000007</v>
      </c>
      <c r="WT22">
        <f>SOFR3mo_PX[[#This Row],[Column618]]</f>
        <v>96.864999999999995</v>
      </c>
      <c r="WU22">
        <f>SOFR3mo_PX[[#This Row],[Column619]]</f>
        <v>96.89</v>
      </c>
      <c r="WV22">
        <f>SOFR3mo_PX[[#This Row],[Column620]]</f>
        <v>96.87</v>
      </c>
      <c r="WW22">
        <f>SOFR3mo_PX[[#This Row],[Column621]]</f>
        <v>96.9</v>
      </c>
      <c r="WX22">
        <f>SOFR3mo_PX[[#This Row],[Column622]]</f>
        <v>96.984999999999999</v>
      </c>
      <c r="WY22">
        <f>SOFR3mo_PX[[#This Row],[Column623]]</f>
        <v>97.11</v>
      </c>
      <c r="WZ22">
        <f>SOFR3mo_PX[[#This Row],[Column624]]</f>
        <v>97.125</v>
      </c>
      <c r="XA22">
        <f>SOFR3mo_PX[[#This Row],[Column625]]</f>
        <v>97</v>
      </c>
      <c r="XB22">
        <f>SOFR3mo_PX[[#This Row],[Column626]]</f>
        <v>96.954999999999998</v>
      </c>
      <c r="XC22">
        <f>SOFR3mo_PX[[#This Row],[Column627]]</f>
        <v>97</v>
      </c>
      <c r="XD22">
        <f>SOFR3mo_PX[[#This Row],[Column628]]</f>
        <v>97.05</v>
      </c>
      <c r="XE22">
        <f>SOFR3mo_PX[[#This Row],[Column629]]</f>
        <v>97.084999999999994</v>
      </c>
      <c r="XF22">
        <f>SOFR3mo_PX[[#This Row],[Column630]]</f>
        <v>97.084999999999994</v>
      </c>
      <c r="XG22">
        <f>SOFR3mo_PX[[#This Row],[Column631]]</f>
        <v>97.01</v>
      </c>
      <c r="XH22">
        <f>SOFR3mo_PX[[#This Row],[Column632]]</f>
        <v>97.04</v>
      </c>
      <c r="XI22">
        <f>SOFR3mo_PX[[#This Row],[Column633]]</f>
        <v>97.144999999999996</v>
      </c>
      <c r="XJ22">
        <f>SOFR3mo_PX[[#This Row],[Column634]]</f>
        <v>97.185000000000002</v>
      </c>
      <c r="XK22">
        <f>SOFR3mo_PX[[#This Row],[Column635]]</f>
        <v>97.025000000000006</v>
      </c>
      <c r="XL22">
        <f>SOFR3mo_PX[[#This Row],[Column636]]</f>
        <v>97.06</v>
      </c>
      <c r="XM22">
        <f>SOFR3mo_PX[[#This Row],[Column637]]</f>
        <v>97.06</v>
      </c>
      <c r="XN22">
        <f>SOFR3mo_PX[[#This Row],[Column638]]</f>
        <v>97.1</v>
      </c>
      <c r="XO22">
        <f>SOFR3mo_PX[[#This Row],[Column639]]</f>
        <v>96.98</v>
      </c>
      <c r="XP22">
        <f>SOFR3mo_PX[[#This Row],[Column640]]</f>
        <v>96.92</v>
      </c>
      <c r="XQ22">
        <f>SOFR3mo_PX[[#This Row],[Column641]]</f>
        <v>97.034999999999997</v>
      </c>
      <c r="XR22">
        <f>SOFR3mo_PX[[#This Row],[Column642]]</f>
        <v>96.984999999999999</v>
      </c>
      <c r="XS22">
        <f>SOFR3mo_PX[[#This Row],[Column643]]</f>
        <v>96.814999999999998</v>
      </c>
      <c r="XT22">
        <f>SOFR3mo_PX[[#This Row],[Column644]]</f>
        <v>96.81</v>
      </c>
      <c r="XU22">
        <f>SOFR3mo_PX[[#This Row],[Column645]]</f>
        <v>96.704999999999998</v>
      </c>
      <c r="XV22">
        <f>SOFR3mo_PX[[#This Row],[Column646]]</f>
        <v>96.644999999999996</v>
      </c>
      <c r="XW22">
        <f>SOFR3mo_PX[[#This Row],[Column647]]</f>
        <v>96.644999999999996</v>
      </c>
      <c r="XX22">
        <f>SOFR3mo_PX[[#This Row],[Column648]]</f>
        <v>96.61</v>
      </c>
      <c r="XY22">
        <f>SOFR3mo_PX[[#This Row],[Column649]]</f>
        <v>96.57</v>
      </c>
      <c r="XZ22">
        <f>SOFR3mo_PX[[#This Row],[Column650]]</f>
        <v>96.64</v>
      </c>
      <c r="YA22">
        <f>SOFR3mo_PX[[#This Row],[Column651]]</f>
        <v>96.724999999999994</v>
      </c>
      <c r="YB22">
        <f>SOFR3mo_PX[[#This Row],[Column652]]</f>
        <v>96.724999999999994</v>
      </c>
      <c r="YC22">
        <f>SOFR3mo_PX[[#This Row],[Column653]]</f>
        <v>96.765000000000001</v>
      </c>
      <c r="YD22">
        <f>SOFR3mo_PX[[#This Row],[Column654]]</f>
        <v>96.745000000000005</v>
      </c>
      <c r="YE22">
        <f>SOFR3mo_PX[[#This Row],[Column655]]</f>
        <v>96.825000000000003</v>
      </c>
      <c r="YF22">
        <f>SOFR3mo_PX[[#This Row],[Column656]]</f>
        <v>96.954999999999998</v>
      </c>
      <c r="YG22">
        <f>SOFR3mo_PX[[#This Row],[Column657]]</f>
        <v>97.04</v>
      </c>
      <c r="YH22">
        <f>SOFR3mo_PX[[#This Row],[Column658]]</f>
        <v>97.09</v>
      </c>
      <c r="YI22">
        <f>SOFR3mo_PX[[#This Row],[Column659]]</f>
        <v>97.034999999999997</v>
      </c>
      <c r="YJ22">
        <f>SOFR3mo_PX[[#This Row],[Column660]]</f>
        <v>97.034999999999997</v>
      </c>
      <c r="YK22">
        <f>SOFR3mo_PX[[#This Row],[Column661]]</f>
        <v>96.93</v>
      </c>
      <c r="YL22">
        <f>SOFR3mo_PX[[#This Row],[Column662]]</f>
        <v>96.965000000000003</v>
      </c>
      <c r="YM22">
        <f>SOFR3mo_PX[[#This Row],[Column663]]</f>
        <v>97.055000000000007</v>
      </c>
      <c r="YN22">
        <f>SOFR3mo_PX[[#This Row],[Column664]]</f>
        <v>97.18</v>
      </c>
      <c r="YO22">
        <f>SOFR3mo_PX[[#This Row],[Column665]]</f>
        <v>97.07</v>
      </c>
      <c r="YP22">
        <f>SOFR3mo_PX[[#This Row],[Column666]]</f>
        <v>96.98</v>
      </c>
      <c r="YQ22">
        <f>SOFR3mo_PX[[#This Row],[Column667]]</f>
        <v>97.09</v>
      </c>
      <c r="YR22">
        <f>SOFR3mo_PX[[#This Row],[Column668]]</f>
        <v>97.045000000000002</v>
      </c>
      <c r="YS22">
        <f>SOFR3mo_PX[[#This Row],[Column669]]</f>
        <v>96.885000000000005</v>
      </c>
      <c r="YT22">
        <f>SOFR3mo_PX[[#This Row],[Column670]]</f>
        <v>96.834999999999994</v>
      </c>
      <c r="YU22">
        <f>SOFR3mo_PX[[#This Row],[Column671]]</f>
        <v>96.87</v>
      </c>
      <c r="YV22">
        <f>SOFR3mo_PX[[#This Row],[Column672]]</f>
        <v>96.86</v>
      </c>
      <c r="YW22">
        <f>SOFR3mo_PX[[#This Row],[Column673]]</f>
        <v>96.84</v>
      </c>
      <c r="YX22">
        <f>SOFR3mo_PX[[#This Row],[Column674]]</f>
        <v>96.84</v>
      </c>
      <c r="YY22">
        <f>SOFR3mo_PX[[#This Row],[Column675]]</f>
        <v>96.77</v>
      </c>
      <c r="YZ22">
        <f>SOFR3mo_PX[[#This Row],[Column676]]</f>
        <v>96.674999999999997</v>
      </c>
      <c r="ZA22">
        <f>SOFR3mo_PX[[#This Row],[Column677]]</f>
        <v>96.674999999999997</v>
      </c>
      <c r="ZB22">
        <f>SOFR3mo_PX[[#This Row],[Column678]]</f>
        <v>96.745000000000005</v>
      </c>
      <c r="ZC22">
        <f>SOFR3mo_PX[[#This Row],[Column679]]</f>
        <v>96.8</v>
      </c>
      <c r="ZD22">
        <f>SOFR3mo_PX[[#This Row],[Column680]]</f>
        <v>96.674999999999997</v>
      </c>
      <c r="ZE22">
        <f>SOFR3mo_PX[[#This Row],[Column681]]</f>
        <v>96.6</v>
      </c>
      <c r="ZF22">
        <f>SOFR3mo_PX[[#This Row],[Column682]]</f>
        <v>96.65</v>
      </c>
      <c r="ZG22">
        <f>SOFR3mo_PX[[#This Row],[Column683]]</f>
        <v>96.625</v>
      </c>
      <c r="ZH22">
        <f>SOFR3mo_PX[[#This Row],[Column684]]</f>
        <v>96.325000000000003</v>
      </c>
      <c r="ZI22">
        <f>SOFR3mo_PX[[#This Row],[Column685]]</f>
        <v>96.33</v>
      </c>
      <c r="ZJ22">
        <f>SOFR3mo_PX[[#This Row],[Column686]]</f>
        <v>96.224999999999994</v>
      </c>
      <c r="ZK22">
        <f>SOFR3mo_PX[[#This Row],[Column687]]</f>
        <v>96.234999999999999</v>
      </c>
      <c r="ZL22">
        <f>SOFR3mo_PX[[#This Row],[Column688]]</f>
        <v>96.254999999999995</v>
      </c>
      <c r="ZM22">
        <f>SOFR3mo_PX[[#This Row],[Column689]]</f>
        <v>96.284999999999997</v>
      </c>
      <c r="ZN22">
        <f>SOFR3mo_PX[[#This Row],[Column690]]</f>
        <v>96.26</v>
      </c>
      <c r="ZO22">
        <f>SOFR3mo_PX[[#This Row],[Column691]]</f>
        <v>96.245000000000005</v>
      </c>
      <c r="ZP22">
        <f>SOFR3mo_PX[[#This Row],[Column692]]</f>
        <v>96.28</v>
      </c>
      <c r="ZQ22">
        <f>SOFR3mo_PX[[#This Row],[Column693]]</f>
        <v>96.385000000000005</v>
      </c>
      <c r="ZR22">
        <f>SOFR3mo_PX[[#This Row],[Column694]]</f>
        <v>96.314999999999998</v>
      </c>
      <c r="ZS22">
        <f>SOFR3mo_PX[[#This Row],[Column695]]</f>
        <v>96.23</v>
      </c>
      <c r="ZT22">
        <f>SOFR3mo_PX[[#This Row],[Column696]]</f>
        <v>96.09</v>
      </c>
      <c r="ZU22">
        <f>SOFR3mo_PX[[#This Row],[Column697]]</f>
        <v>96.135000000000005</v>
      </c>
      <c r="ZV22">
        <f>SOFR3mo_PX[[#This Row],[Column698]]</f>
        <v>96.114999999999995</v>
      </c>
      <c r="ZW22">
        <f>SOFR3mo_PX[[#This Row],[Column699]]</f>
        <v>96.24</v>
      </c>
      <c r="ZX22">
        <f>SOFR3mo_PX[[#This Row],[Column700]]</f>
        <v>96.38</v>
      </c>
      <c r="ZY22">
        <f>SOFR3mo_PX[[#This Row],[Column701]]</f>
        <v>96.36</v>
      </c>
      <c r="ZZ22">
        <f>SOFR3mo_PX[[#This Row],[Column702]]</f>
        <v>96.355000000000004</v>
      </c>
      <c r="AAA22">
        <f>SOFR3mo_PX[[#This Row],[Column703]]</f>
        <v>96.4</v>
      </c>
      <c r="AAB22">
        <f>SOFR3mo_PX[[#This Row],[Column704]]</f>
        <v>96.385000000000005</v>
      </c>
      <c r="AAC22">
        <f>SOFR3mo_PX[[#This Row],[Column705]]</f>
        <v>96.344999999999999</v>
      </c>
      <c r="AAD22">
        <f>SOFR3mo_PX[[#This Row],[Column706]]</f>
        <v>96.3</v>
      </c>
      <c r="AAE22">
        <f>SOFR3mo_PX[[#This Row],[Column707]]</f>
        <v>96.385000000000005</v>
      </c>
      <c r="AAF22">
        <f>SOFR3mo_PX[[#This Row],[Column708]]</f>
        <v>96.435000000000002</v>
      </c>
      <c r="AAG22">
        <f>SOFR3mo_PX[[#This Row],[Column709]]</f>
        <v>96.495000000000005</v>
      </c>
      <c r="AAH22">
        <f>SOFR3mo_PX[[#This Row],[Column710]]</f>
        <v>96.674999999999997</v>
      </c>
      <c r="AAI22">
        <f>SOFR3mo_PX[[#This Row],[Column711]]</f>
        <v>96.57</v>
      </c>
      <c r="AAJ22">
        <f>SOFR3mo_PX[[#This Row],[Column712]]</f>
        <v>96.385000000000005</v>
      </c>
      <c r="AAK22">
        <f>SOFR3mo_PX[[#This Row],[Column713]]</f>
        <v>96.47</v>
      </c>
      <c r="AAL22">
        <f>SOFR3mo_PX[[#This Row],[Column714]]</f>
        <v>96.515000000000001</v>
      </c>
      <c r="AAM22">
        <f>SOFR3mo_PX[[#This Row],[Column715]]</f>
        <v>96.32</v>
      </c>
      <c r="AAN22">
        <f>SOFR3mo_PX[[#This Row],[Column716]]</f>
        <v>96.415000000000006</v>
      </c>
      <c r="AAO22">
        <f>SOFR3mo_PX[[#This Row],[Column717]]</f>
        <v>96.63</v>
      </c>
      <c r="AAP22">
        <f>SOFR3mo_PX[[#This Row],[Column718]]</f>
        <v>96.594999999999999</v>
      </c>
      <c r="AAQ22">
        <f>SOFR3mo_PX[[#This Row],[Column719]]</f>
        <v>96.784999999999997</v>
      </c>
      <c r="AAR22">
        <f>SOFR3mo_PX[[#This Row],[Column720]]</f>
        <v>96.72</v>
      </c>
      <c r="AAS22">
        <f>SOFR3mo_PX[[#This Row],[Column721]]</f>
        <v>96.805000000000007</v>
      </c>
      <c r="AAT22">
        <f>SOFR3mo_PX[[#This Row],[Column722]]</f>
        <v>96.84</v>
      </c>
      <c r="AAU22">
        <f>SOFR3mo_PX[[#This Row],[Column723]]</f>
        <v>96.844999999999999</v>
      </c>
      <c r="AAV22">
        <f>SOFR3mo_PX[[#This Row],[Column724]]</f>
        <v>96.9</v>
      </c>
      <c r="AAW22">
        <f>SOFR3mo_PX[[#This Row],[Column725]]</f>
        <v>96.87</v>
      </c>
      <c r="AAX22">
        <f>SOFR3mo_PX[[#This Row],[Column726]]</f>
        <v>96.905000000000001</v>
      </c>
      <c r="AAY22">
        <f>SOFR3mo_PX[[#This Row],[Column727]]</f>
        <v>96.944999999999993</v>
      </c>
      <c r="AAZ22">
        <f>SOFR3mo_PX[[#This Row],[Column728]]</f>
        <v>96.97</v>
      </c>
      <c r="ABA22">
        <f>SOFR3mo_PX[[#This Row],[Column729]]</f>
        <v>97</v>
      </c>
      <c r="ABB22">
        <f>SOFR3mo_PX[[#This Row],[Column730]]</f>
        <v>96.905000000000001</v>
      </c>
      <c r="ABC22">
        <f>SOFR3mo_PX[[#This Row],[Column731]]</f>
        <v>97.08</v>
      </c>
      <c r="ABD22">
        <f>SOFR3mo_PX[[#This Row],[Column732]]</f>
        <v>97.08</v>
      </c>
      <c r="ABE22">
        <f>SOFR3mo_PX[[#This Row],[Column733]]</f>
        <v>97.004999999999995</v>
      </c>
      <c r="ABF22">
        <f>SOFR3mo_PX[[#This Row],[Column734]]</f>
        <v>97.18</v>
      </c>
      <c r="ABG22">
        <f>SOFR3mo_PX[[#This Row],[Column735]]</f>
        <v>97.22</v>
      </c>
      <c r="ABH22">
        <f>SOFR3mo_PX[[#This Row],[Column736]]</f>
        <v>97.2</v>
      </c>
      <c r="ABI22">
        <f>SOFR3mo_PX[[#This Row],[Column737]]</f>
        <v>97.32</v>
      </c>
      <c r="ABJ22">
        <f>SOFR3mo_PX[[#This Row],[Column738]]</f>
        <v>97.35</v>
      </c>
      <c r="ABK22">
        <f>SOFR3mo_PX[[#This Row],[Column739]]</f>
        <v>97.27</v>
      </c>
      <c r="ABL22">
        <f>SOFR3mo_PX[[#This Row],[Column740]]</f>
        <v>97.33</v>
      </c>
      <c r="ABM22">
        <f>SOFR3mo_PX[[#This Row],[Column741]]</f>
        <v>97.37</v>
      </c>
      <c r="ABN22">
        <f>SOFR3mo_PX[[#This Row],[Column742]]</f>
        <v>97.4</v>
      </c>
      <c r="ABO22">
        <f>SOFR3mo_PX[[#This Row],[Column743]]</f>
        <v>97.534999999999997</v>
      </c>
      <c r="ABP22">
        <f>SOFR3mo_PX[[#This Row],[Column744]]</f>
        <v>97.53</v>
      </c>
      <c r="ABQ22">
        <f>SOFR3mo_PX[[#This Row],[Column745]]</f>
        <v>97.61</v>
      </c>
      <c r="ABR22">
        <f>SOFR3mo_PX[[#This Row],[Column746]]</f>
        <v>97.61</v>
      </c>
      <c r="ABS22">
        <f>SOFR3mo_PX[[#This Row],[Column747]]</f>
        <v>97.52</v>
      </c>
      <c r="ABT22">
        <f>SOFR3mo_PX[[#This Row],[Column748]]</f>
        <v>97.465000000000003</v>
      </c>
      <c r="ABU22">
        <f>SOFR3mo_PX[[#This Row],[Column749]]</f>
        <v>97.6</v>
      </c>
      <c r="ABV22">
        <f>SOFR3mo_PX[[#This Row],[Column750]]</f>
        <v>97.59</v>
      </c>
      <c r="ABW22">
        <f>SOFR3mo_PX[[#This Row],[Column751]]</f>
        <v>97.61</v>
      </c>
      <c r="ABX22">
        <f>SOFR3mo_PX[[#This Row],[Column752]]</f>
        <v>97.52</v>
      </c>
      <c r="ABY22">
        <f>SOFR3mo_PX[[#This Row],[Column753]]</f>
        <v>97.674999999999997</v>
      </c>
      <c r="ABZ22">
        <f>SOFR3mo_PX[[#This Row],[Column754]]</f>
        <v>97.58</v>
      </c>
      <c r="ACA22">
        <f>SOFR3mo_PX[[#This Row],[Column755]]</f>
        <v>97.57</v>
      </c>
      <c r="ACB22">
        <f>SOFR3mo_PX[[#This Row],[Column756]]</f>
        <v>97.7</v>
      </c>
      <c r="ACC22">
        <f>SOFR3mo_PX[[#This Row],[Column757]]</f>
        <v>97.644999999999996</v>
      </c>
      <c r="ACD22">
        <f>SOFR3mo_PX[[#This Row],[Column758]]</f>
        <v>97.6</v>
      </c>
      <c r="ACE22">
        <f>SOFR3mo_PX[[#This Row],[Column759]]</f>
        <v>97.534999999999997</v>
      </c>
      <c r="ACF22">
        <f>SOFR3mo_PX[[#This Row],[Column760]]</f>
        <v>97.465000000000003</v>
      </c>
      <c r="ACG22">
        <f>SOFR3mo_PX[[#This Row],[Column761]]</f>
        <v>97.424999999999997</v>
      </c>
      <c r="ACH22">
        <f>SOFR3mo_PX[[#This Row],[Column762]]</f>
        <v>97.46</v>
      </c>
      <c r="ACI22">
        <f>SOFR3mo_PX[[#This Row],[Column763]]</f>
        <v>97.344999999999999</v>
      </c>
      <c r="ACJ22">
        <f>SOFR3mo_PX[[#This Row],[Column764]]</f>
        <v>97.215000000000003</v>
      </c>
      <c r="ACK22">
        <f>SOFR3mo_PX[[#This Row],[Column765]]</f>
        <v>97.265000000000001</v>
      </c>
      <c r="ACL22">
        <f>SOFR3mo_PX[[#This Row],[Column766]]</f>
        <v>97.31</v>
      </c>
      <c r="ACM22">
        <f>SOFR3mo_PX[[#This Row],[Column767]]</f>
        <v>97.33</v>
      </c>
      <c r="ACN22">
        <f>SOFR3mo_PX[[#This Row],[Column768]]</f>
        <v>97.265000000000001</v>
      </c>
      <c r="ACO22">
        <f>SOFR3mo_PX[[#This Row],[Column769]]</f>
        <v>97.32</v>
      </c>
      <c r="ACP22">
        <f>SOFR3mo_PX[[#This Row],[Column770]]</f>
        <v>97.215000000000003</v>
      </c>
      <c r="ACQ22">
        <f>SOFR3mo_PX[[#This Row],[Column771]]</f>
        <v>97.165000000000006</v>
      </c>
      <c r="ACR22">
        <f>SOFR3mo_PX[[#This Row],[Column772]]</f>
        <v>97.015000000000001</v>
      </c>
      <c r="ACS22">
        <f>SOFR3mo_PX[[#This Row],[Column773]]</f>
        <v>97.094999999999999</v>
      </c>
      <c r="ACT22">
        <f>SOFR3mo_PX[[#This Row],[Column774]]</f>
        <v>97.215000000000003</v>
      </c>
      <c r="ACU22">
        <f>SOFR3mo_PX[[#This Row],[Column775]]</f>
        <v>97.3</v>
      </c>
      <c r="ACV22">
        <f>SOFR3mo_PX[[#This Row],[Column776]]</f>
        <v>97.21</v>
      </c>
      <c r="ACW22">
        <f>SOFR3mo_PX[[#This Row],[Column777]]</f>
        <v>97.21</v>
      </c>
      <c r="ACX22">
        <f>SOFR3mo_PX[[#This Row],[Column778]]</f>
        <v>97.165000000000006</v>
      </c>
      <c r="ACY22">
        <f>SOFR3mo_PX[[#This Row],[Column779]]</f>
        <v>97.03</v>
      </c>
      <c r="ACZ22">
        <f>SOFR3mo_PX[[#This Row],[Column780]]</f>
        <v>96.94</v>
      </c>
      <c r="ADA22">
        <f>SOFR3mo_PX[[#This Row],[Column781]]</f>
        <v>96.96</v>
      </c>
      <c r="ADB22">
        <f>SOFR3mo_PX[[#This Row],[Column782]]</f>
        <v>97.025000000000006</v>
      </c>
      <c r="ADC22">
        <f>SOFR3mo_PX[[#This Row],[Column783]]</f>
        <v>97.114999999999995</v>
      </c>
      <c r="ADD22">
        <f>SOFR3mo_PX[[#This Row],[Column784]]</f>
        <v>97.02</v>
      </c>
      <c r="ADE22">
        <f>SOFR3mo_PX[[#This Row],[Column785]]</f>
        <v>96.894999999999996</v>
      </c>
      <c r="ADF22">
        <f>SOFR3mo_PX[[#This Row],[Column786]]</f>
        <v>96.984999999999999</v>
      </c>
      <c r="ADG22">
        <f>SOFR3mo_PX[[#This Row],[Column787]]</f>
        <v>96.984999999999999</v>
      </c>
      <c r="ADH22">
        <f>SOFR3mo_PX[[#This Row],[Column788]]</f>
        <v>96.92</v>
      </c>
      <c r="ADI22">
        <f>SOFR3mo_PX[[#This Row],[Column789]]</f>
        <v>96.77</v>
      </c>
      <c r="ADJ22">
        <f>SOFR3mo_PX[[#This Row],[Column790]]</f>
        <v>96.73</v>
      </c>
      <c r="ADK22">
        <f>SOFR3mo_PX[[#This Row],[Column791]]</f>
        <v>96.85</v>
      </c>
      <c r="ADL22">
        <f>SOFR3mo_PX[[#This Row],[Column792]]</f>
        <v>97.075000000000003</v>
      </c>
      <c r="ADM22">
        <f>SOFR3mo_PX[[#This Row],[Column793]]</f>
        <v>97.16</v>
      </c>
      <c r="ADN22">
        <f>SOFR3mo_PX[[#This Row],[Column794]]</f>
        <v>97.165000000000006</v>
      </c>
      <c r="ADO22">
        <f>SOFR3mo_PX[[#This Row],[Column795]]</f>
        <v>97.21</v>
      </c>
      <c r="ADP22">
        <f>SOFR3mo_PX[[#This Row],[Column796]]</f>
        <v>97.12</v>
      </c>
      <c r="ADQ22">
        <f>SOFR3mo_PX[[#This Row],[Column797]]</f>
        <v>97.224999999999994</v>
      </c>
      <c r="ADR22">
        <f>SOFR3mo_PX[[#This Row],[Column798]]</f>
        <v>97.275000000000006</v>
      </c>
      <c r="ADS22">
        <f>SOFR3mo_PX[[#This Row],[Column799]]</f>
        <v>97.23</v>
      </c>
      <c r="ADT22">
        <f>SOFR3mo_PX[[#This Row],[Column800]]</f>
        <v>97.31</v>
      </c>
      <c r="ADU22">
        <f>SOFR3mo_PX[[#This Row],[Column801]]</f>
        <v>97.4</v>
      </c>
      <c r="ADV22">
        <f>SOFR3mo_PX[[#This Row],[Column802]]</f>
        <v>97.4</v>
      </c>
      <c r="ADW22">
        <f>SOFR3mo_PX[[#This Row],[Column803]]</f>
        <v>97.39</v>
      </c>
      <c r="ADX22">
        <f>SOFR3mo_PX[[#This Row],[Column804]]</f>
        <v>97.4</v>
      </c>
      <c r="ADY22">
        <f>SOFR3mo_PX[[#This Row],[Column805]]</f>
        <v>97.38</v>
      </c>
      <c r="ADZ22">
        <f>SOFR3mo_PX[[#This Row],[Column806]]</f>
        <v>97.29</v>
      </c>
      <c r="AEA22">
        <f>SOFR3mo_PX[[#This Row],[Column807]]</f>
        <v>97.36</v>
      </c>
      <c r="AEB22">
        <f>SOFR3mo_PX[[#This Row],[Column808]]</f>
        <v>97.295000000000002</v>
      </c>
      <c r="AEC22">
        <f>SOFR3mo_PX[[#This Row],[Column809]]</f>
        <v>97.27</v>
      </c>
      <c r="AED22">
        <f>SOFR3mo_PX[[#This Row],[Column810]]</f>
        <v>97.165000000000006</v>
      </c>
      <c r="AEE22">
        <f>SOFR3mo_PX[[#This Row],[Column811]]</f>
        <v>97.245000000000005</v>
      </c>
      <c r="AEF22">
        <f>SOFR3mo_PX[[#This Row],[Column812]]</f>
        <v>97.155000000000001</v>
      </c>
      <c r="AEG22">
        <f>SOFR3mo_PX[[#This Row],[Column813]]</f>
        <v>97.28</v>
      </c>
      <c r="AEH22">
        <f>SOFR3mo_PX[[#This Row],[Column814]]</f>
        <v>97.215000000000003</v>
      </c>
      <c r="AEI22">
        <f>SOFR3mo_PX[[#This Row],[Column815]]</f>
        <v>97.12</v>
      </c>
      <c r="AEJ22">
        <f>SOFR3mo_PX[[#This Row],[Column816]]</f>
        <v>97</v>
      </c>
      <c r="AEK22">
        <f>SOFR3mo_PX[[#This Row],[Column817]]</f>
        <v>96.95</v>
      </c>
      <c r="AEL22">
        <f>SOFR3mo_PX[[#This Row],[Column818]]</f>
        <v>97.03</v>
      </c>
      <c r="AEM22">
        <f>SOFR3mo_PX[[#This Row],[Column819]]</f>
        <v>97.165000000000006</v>
      </c>
      <c r="AEN22">
        <f>SOFR3mo_PX[[#This Row],[Column820]]</f>
        <v>97.14</v>
      </c>
      <c r="AEO22">
        <f>SOFR3mo_PX[[#This Row],[Column821]]</f>
        <v>97.084999999999994</v>
      </c>
      <c r="AEP22">
        <f>SOFR3mo_PX[[#This Row],[Column822]]</f>
        <v>97.224999999999994</v>
      </c>
      <c r="AEQ22">
        <f>SOFR3mo_PX[[#This Row],[Column823]]</f>
        <v>97.23</v>
      </c>
      <c r="AER22">
        <f>SOFR3mo_PX[[#This Row],[Column824]]</f>
        <v>97.295000000000002</v>
      </c>
      <c r="AES22">
        <f>SOFR3mo_PX[[#This Row],[Column825]]</f>
        <v>97.344999999999999</v>
      </c>
      <c r="AET22">
        <f>SOFR3mo_PX[[#This Row],[Column826]]</f>
        <v>97.334999999999994</v>
      </c>
      <c r="AEU22">
        <f>SOFR3mo_PX[[#This Row],[Column827]]</f>
        <v>97.245000000000005</v>
      </c>
      <c r="AEV22">
        <f>SOFR3mo_PX[[#This Row],[Column828]]</f>
        <v>97.18</v>
      </c>
      <c r="AEW22">
        <f>SOFR3mo_PX[[#This Row],[Column829]]</f>
        <v>97.265000000000001</v>
      </c>
      <c r="AEX22">
        <f>SOFR3mo_PX[[#This Row],[Column830]]</f>
        <v>97.16</v>
      </c>
      <c r="AEY22">
        <f>SOFR3mo_PX[[#This Row],[Column831]]</f>
        <v>97.22</v>
      </c>
      <c r="AEZ22">
        <f>SOFR3mo_PX[[#This Row],[Column832]]</f>
        <v>97.28</v>
      </c>
      <c r="AFA22">
        <f>SOFR3mo_PX[[#This Row],[Column833]]</f>
        <v>97.28</v>
      </c>
      <c r="AFB22">
        <f>SOFR3mo_PX[[#This Row],[Column834]]</f>
        <v>97.41</v>
      </c>
      <c r="AFC22">
        <f>SOFR3mo_PX[[#This Row],[Column835]]</f>
        <v>97.375</v>
      </c>
      <c r="AFD22">
        <f>SOFR3mo_PX[[#This Row],[Column836]]</f>
        <v>97.31</v>
      </c>
      <c r="AFE22">
        <f>SOFR3mo_PX[[#This Row],[Column837]]</f>
        <v>97.43</v>
      </c>
      <c r="AFF22">
        <f>SOFR3mo_PX[[#This Row],[Column838]]</f>
        <v>97.515000000000001</v>
      </c>
      <c r="AFG22">
        <f>SOFR3mo_PX[[#This Row],[Column839]]</f>
        <v>97.59</v>
      </c>
      <c r="AFH22">
        <f>SOFR3mo_PX[[#This Row],[Column840]]</f>
        <v>97.66</v>
      </c>
      <c r="AFI22">
        <f>SOFR3mo_PX[[#This Row],[Column841]]</f>
        <v>97.885000000000005</v>
      </c>
      <c r="AFJ22">
        <f>SOFR3mo_PX[[#This Row],[Column842]]</f>
        <v>97.905000000000001</v>
      </c>
      <c r="AFK22">
        <f>SOFR3mo_PX[[#This Row],[Column843]]</f>
        <v>97.93</v>
      </c>
      <c r="AFL22">
        <f>SOFR3mo_PX[[#This Row],[Column844]]</f>
        <v>97.864999999999995</v>
      </c>
      <c r="AFM22">
        <f>SOFR3mo_PX[[#This Row],[Column845]]</f>
        <v>97.79</v>
      </c>
      <c r="AFN22">
        <f>SOFR3mo_PX[[#This Row],[Column846]]</f>
        <v>97.68</v>
      </c>
      <c r="AFO22">
        <f>SOFR3mo_PX[[#This Row],[Column847]]</f>
        <v>97.63</v>
      </c>
      <c r="AFP22">
        <f>SOFR3mo_PX[[#This Row],[Column848]]</f>
        <v>97.825000000000003</v>
      </c>
      <c r="AFQ22">
        <f>SOFR3mo_PX[[#This Row],[Column849]]</f>
        <v>97.855000000000004</v>
      </c>
      <c r="AFR22">
        <f>SOFR3mo_PX[[#This Row],[Column850]]</f>
        <v>97.805000000000007</v>
      </c>
      <c r="AFS22">
        <f>SOFR3mo_PX[[#This Row],[Column851]]</f>
        <v>97.87</v>
      </c>
      <c r="AFT22">
        <f>SOFR3mo_PX[[#This Row],[Column852]]</f>
        <v>98.02</v>
      </c>
      <c r="AFU22">
        <f>SOFR3mo_PX[[#This Row],[Column853]]</f>
        <v>97.944999999999993</v>
      </c>
      <c r="AFV22">
        <f>SOFR3mo_PX[[#This Row],[Column854]]</f>
        <v>97.905000000000001</v>
      </c>
      <c r="AFW22">
        <f>SOFR3mo_PX[[#This Row],[Column855]]</f>
        <v>97.95</v>
      </c>
      <c r="AFX22">
        <f>SOFR3mo_PX[[#This Row],[Column856]]</f>
        <v>97.974999999999994</v>
      </c>
      <c r="AFY22">
        <f>SOFR3mo_PX[[#This Row],[Column857]]</f>
        <v>98.125</v>
      </c>
      <c r="AFZ22">
        <f>SOFR3mo_PX[[#This Row],[Column858]]</f>
        <v>98.135000000000005</v>
      </c>
      <c r="AGA22">
        <f>SOFR3mo_PX[[#This Row],[Column859]]</f>
        <v>98.204999999999998</v>
      </c>
      <c r="AGB22">
        <f>SOFR3mo_PX[[#This Row],[Column860]]</f>
        <v>98.3</v>
      </c>
      <c r="AGC22">
        <f>SOFR3mo_PX[[#This Row],[Column861]]</f>
        <v>98.415000000000006</v>
      </c>
      <c r="AGD22">
        <f>SOFR3mo_PX[[#This Row],[Column862]]</f>
        <v>98.435000000000002</v>
      </c>
      <c r="AGE22">
        <f>SOFR3mo_PX[[#This Row],[Column863]]</f>
        <v>98.28</v>
      </c>
      <c r="AGF22">
        <f>SOFR3mo_PX[[#This Row],[Column864]]</f>
        <v>98.22</v>
      </c>
      <c r="AGG22">
        <f>SOFR3mo_PX[[#This Row],[Column865]]</f>
        <v>98.4</v>
      </c>
      <c r="AGH22">
        <f>SOFR3mo_PX[[#This Row],[Column866]]</f>
        <v>98.24</v>
      </c>
      <c r="AGI22">
        <f>SOFR3mo_PX[[#This Row],[Column867]]</f>
        <v>98.094999999999999</v>
      </c>
      <c r="AGJ22">
        <f>SOFR3mo_PX[[#This Row],[Column868]]</f>
        <v>98.1</v>
      </c>
      <c r="AGK22">
        <f>SOFR3mo_PX[[#This Row],[Column869]]</f>
        <v>98.105000000000004</v>
      </c>
      <c r="AGL22">
        <f>SOFR3mo_PX[[#This Row],[Column870]]</f>
        <v>98.14</v>
      </c>
      <c r="AGM22">
        <f>SOFR3mo_PX[[#This Row],[Column871]]</f>
        <v>98.14</v>
      </c>
      <c r="AGN22">
        <f>SOFR3mo_PX[[#This Row],[Column872]]</f>
        <v>98.14</v>
      </c>
      <c r="AGO22">
        <f>SOFR3mo_PX[[#This Row],[Column873]]</f>
        <v>98.09</v>
      </c>
      <c r="AGP22">
        <f>SOFR3mo_PX[[#This Row],[Column874]]</f>
        <v>98</v>
      </c>
      <c r="AGQ22">
        <f>SOFR3mo_PX[[#This Row],[Column875]]</f>
        <v>98.01</v>
      </c>
      <c r="AGR22">
        <f>SOFR3mo_PX[[#This Row],[Column876]]</f>
        <v>98.08</v>
      </c>
      <c r="AGS22">
        <f>SOFR3mo_PX[[#This Row],[Column877]]</f>
        <v>98.13</v>
      </c>
      <c r="AGT22">
        <f>SOFR3mo_PX[[#This Row],[Column878]]</f>
        <v>98.02</v>
      </c>
      <c r="AGU22">
        <f>SOFR3mo_PX[[#This Row],[Column879]]</f>
        <v>98.094999999999999</v>
      </c>
      <c r="AGV22">
        <f>SOFR3mo_PX[[#This Row],[Column880]]</f>
        <v>98.05</v>
      </c>
      <c r="AGW22">
        <f>SOFR3mo_PX[[#This Row],[Column881]]</f>
        <v>98.094999999999999</v>
      </c>
      <c r="AGX22">
        <f>SOFR3mo_PX[[#This Row],[Column882]]</f>
        <v>98.07</v>
      </c>
      <c r="AGY22">
        <f>SOFR3mo_PX[[#This Row],[Column883]]</f>
        <v>98.19</v>
      </c>
      <c r="AGZ22">
        <f>SOFR3mo_PX[[#This Row],[Column884]]</f>
        <v>98.26</v>
      </c>
      <c r="AHA22">
        <f>SOFR3mo_PX[[#This Row],[Column885]]</f>
        <v>98.224999999999994</v>
      </c>
      <c r="AHB22">
        <f>SOFR3mo_PX[[#This Row],[Column886]]</f>
        <v>98.224999999999994</v>
      </c>
      <c r="AHC22">
        <f>SOFR3mo_PX[[#This Row],[Column887]]</f>
        <v>98.24</v>
      </c>
      <c r="AHD22">
        <f>SOFR3mo_PX[[#This Row],[Column888]]</f>
        <v>98.194999999999993</v>
      </c>
      <c r="AHE22">
        <f>SOFR3mo_PX[[#This Row],[Column889]]</f>
        <v>98.094999999999999</v>
      </c>
      <c r="AHF22">
        <f>SOFR3mo_PX[[#This Row],[Column890]]</f>
        <v>98.174999999999997</v>
      </c>
      <c r="AHG22">
        <f>SOFR3mo_PX[[#This Row],[Column891]]</f>
        <v>98.24</v>
      </c>
      <c r="AHH22">
        <f>SOFR3mo_PX[[#This Row],[Column892]]</f>
        <v>98.215000000000003</v>
      </c>
      <c r="AHI22">
        <f>SOFR3mo_PX[[#This Row],[Column893]]</f>
        <v>98.144999999999996</v>
      </c>
      <c r="AHJ22">
        <f>SOFR3mo_PX[[#This Row],[Column894]]</f>
        <v>98.13</v>
      </c>
      <c r="AHK22">
        <f>SOFR3mo_PX[[#This Row],[Column895]]</f>
        <v>98.075000000000003</v>
      </c>
      <c r="AHL22">
        <f>SOFR3mo_PX[[#This Row],[Column896]]</f>
        <v>98.19</v>
      </c>
      <c r="AHM22">
        <f>SOFR3mo_PX[[#This Row],[Column897]]</f>
        <v>98.19</v>
      </c>
      <c r="AHN22">
        <f>SOFR3mo_PX[[#This Row],[Column898]]</f>
        <v>98.265000000000001</v>
      </c>
      <c r="AHO22">
        <f>SOFR3mo_PX[[#This Row],[Column899]]</f>
        <v>98.23</v>
      </c>
      <c r="AHP22">
        <f>SOFR3mo_PX[[#This Row],[Column900]]</f>
        <v>98.185000000000002</v>
      </c>
      <c r="AHQ22">
        <f>SOFR3mo_PX[[#This Row],[Column901]]</f>
        <v>98.135000000000005</v>
      </c>
      <c r="AHR22">
        <f>SOFR3mo_PX[[#This Row],[Column902]]</f>
        <v>98.15</v>
      </c>
      <c r="AHS22">
        <f>SOFR3mo_PX[[#This Row],[Column903]]</f>
        <v>98.194999999999993</v>
      </c>
      <c r="AHT22">
        <f>SOFR3mo_PX[[#This Row],[Column904]]</f>
        <v>98.23</v>
      </c>
      <c r="AHU22">
        <f>SOFR3mo_PX[[#This Row],[Column905]]</f>
        <v>98.26</v>
      </c>
      <c r="AHV22">
        <f>SOFR3mo_PX[[#This Row],[Column906]]</f>
        <v>98.3</v>
      </c>
      <c r="AHW22">
        <f>SOFR3mo_PX[[#This Row],[Column907]]</f>
        <v>98.465000000000003</v>
      </c>
      <c r="AHX22">
        <f>SOFR3mo_PX[[#This Row],[Column908]]</f>
        <v>98.444999999999993</v>
      </c>
      <c r="AHY22">
        <f>SOFR3mo_PX[[#This Row],[Column909]]</f>
        <v>98.43</v>
      </c>
      <c r="AHZ22">
        <f>SOFR3mo_PX[[#This Row],[Column910]]</f>
        <v>98.515000000000001</v>
      </c>
      <c r="AIA22">
        <f>SOFR3mo_PX[[#This Row],[Column911]]</f>
        <v>98.504999999999995</v>
      </c>
      <c r="AIB22">
        <f>SOFR3mo_PX[[#This Row],[Column912]]</f>
        <v>98.484999999999999</v>
      </c>
      <c r="AIC22">
        <f>SOFR3mo_PX[[#This Row],[Column913]]</f>
        <v>98.484999999999999</v>
      </c>
      <c r="AID22">
        <f>SOFR3mo_PX[[#This Row],[Column914]]</f>
        <v>98.51</v>
      </c>
      <c r="AIE22">
        <f>SOFR3mo_PX[[#This Row],[Column915]]</f>
        <v>98.5</v>
      </c>
      <c r="AIF22">
        <f>SOFR3mo_PX[[#This Row],[Column916]]</f>
        <v>98.594999999999999</v>
      </c>
      <c r="AIG22">
        <f>SOFR3mo_PX[[#This Row],[Column917]]</f>
        <v>98.63</v>
      </c>
      <c r="AIH22">
        <f>SOFR3mo_PX[[#This Row],[Column918]]</f>
        <v>98.594999999999999</v>
      </c>
      <c r="AII22">
        <f>SOFR3mo_PX[[#This Row],[Column919]]</f>
        <v>98.52</v>
      </c>
      <c r="AIJ22">
        <f>SOFR3mo_PX[[#This Row],[Column920]]</f>
        <v>98.534999999999997</v>
      </c>
      <c r="AIK22">
        <f>SOFR3mo_PX[[#This Row],[Column921]]</f>
        <v>98.55</v>
      </c>
      <c r="AIL22">
        <f>SOFR3mo_PX[[#This Row],[Column922]]</f>
        <v>98.495000000000005</v>
      </c>
      <c r="AIM22">
        <f>SOFR3mo_PX[[#This Row],[Column923]]</f>
        <v>98.525000000000006</v>
      </c>
      <c r="AIN22">
        <f>SOFR3mo_PX[[#This Row],[Column924]]</f>
        <v>98.49</v>
      </c>
      <c r="AIO22">
        <f>SOFR3mo_PX[[#This Row],[Column925]]</f>
        <v>98.504999999999995</v>
      </c>
      <c r="AIP22">
        <f>SOFR3mo_PX[[#This Row],[Column926]]</f>
        <v>98.555000000000007</v>
      </c>
      <c r="AIQ22">
        <f>SOFR3mo_PX[[#This Row],[Column927]]</f>
        <v>98.694999999999993</v>
      </c>
      <c r="AIR22">
        <f>SOFR3mo_PX[[#This Row],[Column928]]</f>
        <v>98.57</v>
      </c>
      <c r="AIS22">
        <f>SOFR3mo_PX[[#This Row],[Column929]]</f>
        <v>98.594999999999999</v>
      </c>
      <c r="AIT22">
        <f>SOFR3mo_PX[[#This Row],[Column930]]</f>
        <v>98.545000000000002</v>
      </c>
      <c r="AIU22">
        <f>SOFR3mo_PX[[#This Row],[Column931]]</f>
        <v>98.45</v>
      </c>
      <c r="AIV22">
        <f>SOFR3mo_PX[[#This Row],[Column932]]</f>
        <v>98.49</v>
      </c>
      <c r="AIW22">
        <f>SOFR3mo_PX[[#This Row],[Column933]]</f>
        <v>98.314999999999998</v>
      </c>
      <c r="AIX22">
        <f>SOFR3mo_PX[[#This Row],[Column934]]</f>
        <v>98.314999999999998</v>
      </c>
      <c r="AIY22">
        <f>SOFR3mo_PX[[#This Row],[Column935]]</f>
        <v>98.28</v>
      </c>
      <c r="AIZ22">
        <f>SOFR3mo_PX[[#This Row],[Column936]]</f>
        <v>98.334999999999994</v>
      </c>
      <c r="AJA22">
        <f>SOFR3mo_PX[[#This Row],[Column937]]</f>
        <v>98.444999999999993</v>
      </c>
      <c r="AJB22">
        <f>SOFR3mo_PX[[#This Row],[Column938]]</f>
        <v>98.375</v>
      </c>
      <c r="AJC22">
        <f>SOFR3mo_PX[[#This Row],[Column939]]</f>
        <v>98.334999999999994</v>
      </c>
      <c r="AJD22">
        <f>SOFR3mo_PX[[#This Row],[Column940]]</f>
        <v>98.31</v>
      </c>
      <c r="AJE22">
        <f>SOFR3mo_PX[[#This Row],[Column941]]</f>
        <v>98.34</v>
      </c>
      <c r="AJF22">
        <f>SOFR3mo_PX[[#This Row],[Column942]]</f>
        <v>98.38</v>
      </c>
      <c r="AJG22">
        <f>SOFR3mo_PX[[#This Row],[Column943]]</f>
        <v>98.38</v>
      </c>
      <c r="AJH22">
        <f>SOFR3mo_PX[[#This Row],[Column944]]</f>
        <v>98.415000000000006</v>
      </c>
      <c r="AJI22">
        <f>SOFR3mo_PX[[#This Row],[Column945]]</f>
        <v>98.555000000000007</v>
      </c>
      <c r="AJJ22">
        <f>SOFR3mo_PX[[#This Row],[Column946]]</f>
        <v>98.47</v>
      </c>
      <c r="AJK22">
        <f>SOFR3mo_PX[[#This Row],[Column947]]</f>
        <v>98.525000000000006</v>
      </c>
      <c r="AJL22">
        <f>SOFR3mo_PX[[#This Row],[Column948]]</f>
        <v>98.43</v>
      </c>
      <c r="AJM22">
        <f>SOFR3mo_PX[[#This Row],[Column949]]</f>
        <v>98.385000000000005</v>
      </c>
      <c r="AJN22">
        <f>SOFR3mo_PX[[#This Row],[Column950]]</f>
        <v>98.415000000000006</v>
      </c>
      <c r="AJO22">
        <f>SOFR3mo_PX[[#This Row],[Column951]]</f>
        <v>98.44</v>
      </c>
      <c r="AJP22">
        <f>SOFR3mo_PX[[#This Row],[Column952]]</f>
        <v>98.47</v>
      </c>
      <c r="AJQ22">
        <f>SOFR3mo_PX[[#This Row],[Column953]]</f>
        <v>98.435000000000002</v>
      </c>
      <c r="AJR22">
        <f>SOFR3mo_PX[[#This Row],[Column954]]</f>
        <v>98.43</v>
      </c>
      <c r="AJS22">
        <f>SOFR3mo_PX[[#This Row],[Column955]]</f>
        <v>98.284999999999997</v>
      </c>
      <c r="AJT22">
        <f>SOFR3mo_PX[[#This Row],[Column956]]</f>
        <v>98.28</v>
      </c>
      <c r="AJU22">
        <f>SOFR3mo_PX[[#This Row],[Column957]]</f>
        <v>98.28</v>
      </c>
      <c r="AJV22">
        <f>SOFR3mo_PX[[#This Row],[Column958]]</f>
        <v>98.234999999999999</v>
      </c>
      <c r="AJW22">
        <f>SOFR3mo_PX[[#This Row],[Column959]]</f>
        <v>98.28</v>
      </c>
      <c r="AJX22">
        <f>SOFR3mo_PX[[#This Row],[Column960]]</f>
        <v>98.29</v>
      </c>
      <c r="AJY22">
        <f>SOFR3mo_PX[[#This Row],[Column961]]</f>
        <v>98.34</v>
      </c>
      <c r="AJZ22">
        <f>SOFR3mo_PX[[#This Row],[Column962]]</f>
        <v>98.334999999999994</v>
      </c>
      <c r="AKA22">
        <f>SOFR3mo_PX[[#This Row],[Column963]]</f>
        <v>98.394999999999996</v>
      </c>
      <c r="AKB22">
        <f>SOFR3mo_PX[[#This Row],[Column964]]</f>
        <v>98.344999999999999</v>
      </c>
      <c r="AKC22">
        <f>SOFR3mo_PX[[#This Row],[Column965]]</f>
        <v>98.29</v>
      </c>
      <c r="AKD22">
        <f>SOFR3mo_PX[[#This Row],[Column966]]</f>
        <v>98.23</v>
      </c>
      <c r="AKE22">
        <f>SOFR3mo_PX[[#This Row],[Column967]]</f>
        <v>98.245000000000005</v>
      </c>
      <c r="AKF22">
        <f>SOFR3mo_PX[[#This Row],[Column968]]</f>
        <v>98.29</v>
      </c>
      <c r="AKG22">
        <f>SOFR3mo_PX[[#This Row],[Column969]]</f>
        <v>98.34</v>
      </c>
      <c r="AKH22">
        <f>SOFR3mo_PX[[#This Row],[Column970]]</f>
        <v>98.33</v>
      </c>
      <c r="AKI22">
        <f>SOFR3mo_PX[[#This Row],[Column971]]</f>
        <v>98.38</v>
      </c>
      <c r="AKJ22">
        <f>SOFR3mo_PX[[#This Row],[Column972]]</f>
        <v>98.364999999999995</v>
      </c>
      <c r="AKK22">
        <f>SOFR3mo_PX[[#This Row],[Column973]]</f>
        <v>98.284999999999997</v>
      </c>
      <c r="AKL22">
        <f>SOFR3mo_PX[[#This Row],[Column974]]</f>
        <v>98.27</v>
      </c>
      <c r="AKM22">
        <f>SOFR3mo_PX[[#This Row],[Column975]]</f>
        <v>98.265000000000001</v>
      </c>
      <c r="AKN22">
        <f>SOFR3mo_PX[[#This Row],[Column976]]</f>
        <v>98.334999999999994</v>
      </c>
      <c r="AKO22">
        <f>SOFR3mo_PX[[#This Row],[Column977]]</f>
        <v>98.375</v>
      </c>
      <c r="AKP22">
        <f>SOFR3mo_PX[[#This Row],[Column978]]</f>
        <v>98.435000000000002</v>
      </c>
      <c r="AKQ22">
        <f>SOFR3mo_PX[[#This Row],[Column979]]</f>
        <v>98.52</v>
      </c>
      <c r="AKR22">
        <f>SOFR3mo_PX[[#This Row],[Column980]]</f>
        <v>98.53</v>
      </c>
      <c r="AKS22">
        <f>SOFR3mo_PX[[#This Row],[Column981]]</f>
        <v>98.534999999999997</v>
      </c>
      <c r="AKT22">
        <f>SOFR3mo_PX[[#This Row],[Column982]]</f>
        <v>98.46</v>
      </c>
      <c r="AKU22">
        <f>SOFR3mo_PX[[#This Row],[Column983]]</f>
        <v>98.525000000000006</v>
      </c>
      <c r="AKV22">
        <f>SOFR3mo_PX[[#This Row],[Column984]]</f>
        <v>98.58</v>
      </c>
      <c r="AKW22">
        <f>SOFR3mo_PX[[#This Row],[Column985]]</f>
        <v>98.655000000000001</v>
      </c>
      <c r="AKX22">
        <f>SOFR3mo_PX[[#This Row],[Column986]]</f>
        <v>98.605000000000004</v>
      </c>
      <c r="AKY22">
        <f>SOFR3mo_PX[[#This Row],[Column987]]</f>
        <v>98.59</v>
      </c>
      <c r="AKZ22">
        <f>SOFR3mo_PX[[#This Row],[Column988]]</f>
        <v>98.644999999999996</v>
      </c>
      <c r="ALA22">
        <f>SOFR3mo_PX[[#This Row],[Column989]]</f>
        <v>98.61</v>
      </c>
      <c r="ALB22">
        <f>SOFR3mo_PX[[#This Row],[Column990]]</f>
        <v>98.57</v>
      </c>
      <c r="ALC22">
        <f>SOFR3mo_PX[[#This Row],[Column991]]</f>
        <v>98.625</v>
      </c>
      <c r="ALD22">
        <f>SOFR3mo_PX[[#This Row],[Column992]]</f>
        <v>98.625</v>
      </c>
      <c r="ALE22">
        <f>SOFR3mo_PX[[#This Row],[Column993]]</f>
        <v>98.665000000000006</v>
      </c>
      <c r="ALF22">
        <f>SOFR3mo_PX[[#This Row],[Column994]]</f>
        <v>98.655000000000001</v>
      </c>
      <c r="ALG22">
        <f>SOFR3mo_PX[[#This Row],[Column995]]</f>
        <v>98.65</v>
      </c>
      <c r="ALH22">
        <f>SOFR3mo_PX[[#This Row],[Column996]]</f>
        <v>98.67</v>
      </c>
      <c r="ALI22">
        <f>SOFR3mo_PX[[#This Row],[Column997]]</f>
        <v>98.63</v>
      </c>
      <c r="ALJ22">
        <f>SOFR3mo_PX[[#This Row],[Column998]]</f>
        <v>98.594999999999999</v>
      </c>
      <c r="ALK22">
        <f>SOFR3mo_PX[[#This Row],[Column999]]</f>
        <v>98.605000000000004</v>
      </c>
      <c r="ALL22">
        <f>SOFR3mo_PX[[#This Row],[Column1000]]</f>
        <v>98.67</v>
      </c>
      <c r="ALM22">
        <f>SOFR3mo_PX[[#This Row],[Column1001]]</f>
        <v>98.704999999999998</v>
      </c>
      <c r="ALN22">
        <f>SOFR3mo_PX[[#This Row],[Column1002]]</f>
        <v>98.694999999999993</v>
      </c>
      <c r="ALO22">
        <f>SOFR3mo_PX[[#This Row],[Column1003]]</f>
        <v>98.72</v>
      </c>
      <c r="ALP22">
        <f>SOFR3mo_PX[[#This Row],[Column1004]]</f>
        <v>98.685000000000002</v>
      </c>
      <c r="ALQ22">
        <f>SOFR3mo_PX[[#This Row],[Column1005]]</f>
        <v>98.71</v>
      </c>
      <c r="ALR22">
        <f>SOFR3mo_PX[[#This Row],[Column1006]]</f>
        <v>98.715000000000003</v>
      </c>
      <c r="ALS22">
        <f>SOFR3mo_PX[[#This Row],[Column1007]]</f>
        <v>98.66</v>
      </c>
      <c r="ALT22">
        <f>SOFR3mo_PX[[#This Row],[Column1008]]</f>
        <v>98.58</v>
      </c>
      <c r="ALU22">
        <f>SOFR3mo_PX[[#This Row],[Column1009]]</f>
        <v>98.6</v>
      </c>
      <c r="ALV22">
        <f>SOFR3mo_PX[[#This Row],[Column1010]]</f>
        <v>98.61</v>
      </c>
      <c r="ALW22">
        <f>SOFR3mo_PX[[#This Row],[Column1011]]</f>
        <v>98.635000000000005</v>
      </c>
      <c r="ALX22">
        <f>SOFR3mo_PX[[#This Row],[Column1012]]</f>
        <v>98.68</v>
      </c>
      <c r="ALY22">
        <f>SOFR3mo_PX[[#This Row],[Column1013]]</f>
        <v>98.76</v>
      </c>
      <c r="ALZ22">
        <f>SOFR3mo_PX[[#This Row],[Column1014]]</f>
        <v>98.805000000000007</v>
      </c>
      <c r="AMA22">
        <f>SOFR3mo_PX[[#This Row],[Column1015]]</f>
        <v>98.83</v>
      </c>
      <c r="AMB22">
        <f>SOFR3mo_PX[[#This Row],[Column1016]]</f>
        <v>98.825000000000003</v>
      </c>
      <c r="AMC22">
        <f>SOFR3mo_PX[[#This Row],[Column1017]]</f>
        <v>98.734999999999999</v>
      </c>
      <c r="AMD22">
        <f>SOFR3mo_PX[[#This Row],[Column1018]]</f>
        <v>98.71</v>
      </c>
      <c r="AME22">
        <f>SOFR3mo_PX[[#This Row],[Column1019]]</f>
        <v>98.724999999999994</v>
      </c>
      <c r="AMF22">
        <f>SOFR3mo_PX[[#This Row],[Column1020]]</f>
        <v>98.765000000000001</v>
      </c>
      <c r="AMG22">
        <f>SOFR3mo_PX[[#This Row],[Column1021]]</f>
        <v>98.73</v>
      </c>
      <c r="AMH22">
        <f>SOFR3mo_PX[[#This Row],[Column1022]]</f>
        <v>98.715000000000003</v>
      </c>
      <c r="AMI22">
        <f>SOFR3mo_PX[[#This Row],[Column1023]]</f>
        <v>98.73</v>
      </c>
      <c r="AMJ22">
        <f>SOFR3mo_PX[[#This Row],[Column1024]]</f>
        <v>98.72</v>
      </c>
      <c r="AMK22">
        <f>SOFR3mo_PX[[#This Row],[Column1025]]</f>
        <v>98.825000000000003</v>
      </c>
      <c r="AML22">
        <f>SOFR3mo_PX[[#This Row],[Column1026]]</f>
        <v>98.844999999999999</v>
      </c>
      <c r="AMM22">
        <f>SOFR3mo_PX[[#This Row],[Column1027]]</f>
        <v>98.67</v>
      </c>
      <c r="AMN22">
        <f>SOFR3mo_PX[[#This Row],[Column1028]]</f>
        <v>98.674999999999997</v>
      </c>
      <c r="AMO22">
        <f>SOFR3mo_PX[[#This Row],[Column1029]]</f>
        <v>98.594999999999999</v>
      </c>
      <c r="AMP22">
        <f>SOFR3mo_PX[[#This Row],[Column1030]]</f>
        <v>98.52</v>
      </c>
      <c r="AMQ22">
        <f>SOFR3mo_PX[[#This Row],[Column1031]]</f>
        <v>98.575000000000003</v>
      </c>
      <c r="AMR22">
        <f>SOFR3mo_PX[[#This Row],[Column1032]]</f>
        <v>98.57</v>
      </c>
      <c r="AMS22">
        <f>SOFR3mo_PX[[#This Row],[Column1033]]</f>
        <v>98.655000000000001</v>
      </c>
      <c r="AMT22">
        <f>SOFR3mo_PX[[#This Row],[Column1034]]</f>
        <v>98.625</v>
      </c>
      <c r="AMU22">
        <f>SOFR3mo_PX[[#This Row],[Column1035]]</f>
        <v>98.575000000000003</v>
      </c>
      <c r="AMV22">
        <f>SOFR3mo_PX[[#This Row],[Column1036]]</f>
        <v>98.48</v>
      </c>
      <c r="AMW22">
        <f>SOFR3mo_PX[[#This Row],[Column1037]]</f>
        <v>98.48</v>
      </c>
      <c r="AMX22">
        <f>SOFR3mo_PX[[#This Row],[Column1038]]</f>
        <v>98.42</v>
      </c>
      <c r="AMY22">
        <f>SOFR3mo_PX[[#This Row],[Column1039]]</f>
        <v>98.46</v>
      </c>
      <c r="AMZ22">
        <f>SOFR3mo_PX[[#This Row],[Column1040]]</f>
        <v>98.42</v>
      </c>
      <c r="ANA22">
        <f>SOFR3mo_PX[[#This Row],[Column1041]]</f>
        <v>98.415000000000006</v>
      </c>
      <c r="ANB22">
        <f>SOFR3mo_PX[[#This Row],[Column1042]]</f>
        <v>98.36</v>
      </c>
      <c r="ANC22">
        <f>SOFR3mo_PX[[#This Row],[Column1043]]</f>
        <v>98.405000000000001</v>
      </c>
      <c r="AND22">
        <f>SOFR3mo_PX[[#This Row],[Column1044]]</f>
        <v>98.405000000000001</v>
      </c>
      <c r="ANE22">
        <f>SOFR3mo_PX[[#This Row],[Column1045]]</f>
        <v>98.44</v>
      </c>
      <c r="ANF22">
        <f>SOFR3mo_PX[[#This Row],[Column1046]]</f>
        <v>98.435000000000002</v>
      </c>
      <c r="ANG22">
        <f>SOFR3mo_PX[[#This Row],[Column1047]]</f>
        <v>98.46</v>
      </c>
      <c r="ANH22">
        <f>SOFR3mo_PX[[#This Row],[Column1048]]</f>
        <v>98.38</v>
      </c>
      <c r="ANI22">
        <f>SOFR3mo_PX[[#This Row],[Column1049]]</f>
        <v>98.254999999999995</v>
      </c>
      <c r="ANJ22">
        <f>SOFR3mo_PX[[#This Row],[Column1050]]</f>
        <v>98.43</v>
      </c>
      <c r="ANK22">
        <f>SOFR3mo_PX[[#This Row],[Column1051]]</f>
        <v>98.41</v>
      </c>
      <c r="ANL22">
        <f>SOFR3mo_PX[[#This Row],[Column1052]]</f>
        <v>98.44</v>
      </c>
      <c r="ANM22">
        <f>SOFR3mo_PX[[#This Row],[Column1053]]</f>
        <v>98.465000000000003</v>
      </c>
      <c r="ANN22">
        <f>SOFR3mo_PX[[#This Row],[Column1054]]</f>
        <v>98.435000000000002</v>
      </c>
      <c r="ANO22">
        <f>SOFR3mo_PX[[#This Row],[Column1055]]</f>
        <v>98.385000000000005</v>
      </c>
      <c r="ANP22">
        <f>SOFR3mo_PX[[#This Row],[Column1056]]</f>
        <v>98.34</v>
      </c>
      <c r="ANQ22">
        <f>SOFR3mo_PX[[#This Row],[Column1057]]</f>
        <v>98.33</v>
      </c>
      <c r="ANR22">
        <f>SOFR3mo_PX[[#This Row],[Column1058]]</f>
        <v>98.234999999999999</v>
      </c>
      <c r="ANS22">
        <f>SOFR3mo_PX[[#This Row],[Column1059]]</f>
        <v>98.284999999999997</v>
      </c>
      <c r="ANT22">
        <f>SOFR3mo_PX[[#This Row],[Column1060]]</f>
        <v>98.25</v>
      </c>
      <c r="ANU22">
        <f>SOFR3mo_PX[[#This Row],[Column1061]]</f>
        <v>98.3</v>
      </c>
      <c r="ANV22">
        <f>SOFR3mo_PX[[#This Row],[Column1062]]</f>
        <v>98.3</v>
      </c>
      <c r="ANW22">
        <f>SOFR3mo_PX[[#This Row],[Column1063]]</f>
        <v>98.295000000000002</v>
      </c>
      <c r="ANX22">
        <f>SOFR3mo_PX[[#This Row],[Column1064]]</f>
        <v>98.34</v>
      </c>
      <c r="ANY22">
        <f>SOFR3mo_PX[[#This Row],[Column1065]]</f>
        <v>98.35</v>
      </c>
      <c r="ANZ22">
        <f>SOFR3mo_PX[[#This Row],[Column1066]]</f>
        <v>98.29</v>
      </c>
      <c r="AOA22">
        <f>SOFR3mo_PX[[#This Row],[Column1067]]</f>
        <v>98.25</v>
      </c>
      <c r="AOB22">
        <f>SOFR3mo_PX[[#This Row],[Column1068]]</f>
        <v>98.265000000000001</v>
      </c>
      <c r="AOC22">
        <f>SOFR3mo_PX[[#This Row],[Column1069]]</f>
        <v>98.2</v>
      </c>
      <c r="AOD22">
        <f>SOFR3mo_PX[[#This Row],[Column1070]]</f>
        <v>98.25</v>
      </c>
      <c r="AOE22">
        <f>SOFR3mo_PX[[#This Row],[Column1071]]</f>
        <v>98.254999999999995</v>
      </c>
      <c r="AOF22">
        <f>SOFR3mo_PX[[#This Row],[Column1072]]</f>
        <v>98.265000000000001</v>
      </c>
      <c r="AOG22">
        <f>SOFR3mo_PX[[#This Row],[Column1073]]</f>
        <v>98.23</v>
      </c>
      <c r="AOH22">
        <f>SOFR3mo_PX[[#This Row],[Column1074]]</f>
        <v>98.174999999999997</v>
      </c>
      <c r="AOI22">
        <f>SOFR3mo_PX[[#This Row],[Column1075]]</f>
        <v>98.275000000000006</v>
      </c>
      <c r="AOJ22">
        <f>SOFR3mo_PX[[#This Row],[Column1076]]</f>
        <v>98.3</v>
      </c>
      <c r="AOK22">
        <f>SOFR3mo_PX[[#This Row],[Column1077]]</f>
        <v>98.31</v>
      </c>
      <c r="AOL22">
        <f>SOFR3mo_PX[[#This Row],[Column1078]]</f>
        <v>98.295000000000002</v>
      </c>
      <c r="AOM22">
        <f>SOFR3mo_PX[[#This Row],[Column1079]]</f>
        <v>98.26</v>
      </c>
      <c r="AON22">
        <f>SOFR3mo_PX[[#This Row],[Column1080]]</f>
        <v>98.234999999999999</v>
      </c>
      <c r="AOO22">
        <f>SOFR3mo_PX[[#This Row],[Column1081]]</f>
        <v>98.21</v>
      </c>
      <c r="AOP22">
        <f>SOFR3mo_PX[[#This Row],[Column1082]]</f>
        <v>98.174999999999997</v>
      </c>
      <c r="AOQ22">
        <f>SOFR3mo_PX[[#This Row],[Column1083]]</f>
        <v>98.174999999999997</v>
      </c>
      <c r="AOR22">
        <f>SOFR3mo_PX[[#This Row],[Column1084]]</f>
        <v>98.19</v>
      </c>
      <c r="AOS22">
        <f>SOFR3mo_PX[[#This Row],[Column1085]]</f>
        <v>98.2</v>
      </c>
      <c r="AOT22">
        <f>SOFR3mo_PX[[#This Row],[Column1086]]</f>
        <v>98.26</v>
      </c>
      <c r="AOU22">
        <f>SOFR3mo_PX[[#This Row],[Column1087]]</f>
        <v>98.27</v>
      </c>
      <c r="AOV22">
        <f>SOFR3mo_PX[[#This Row],[Column1088]]</f>
        <v>98.295000000000002</v>
      </c>
      <c r="AOW22">
        <f>SOFR3mo_PX[[#This Row],[Column1089]]</f>
        <v>98.295000000000002</v>
      </c>
      <c r="AOX22">
        <f>SOFR3mo_PX[[#This Row],[Column1090]]</f>
        <v>98.3</v>
      </c>
      <c r="AOY22">
        <f>SOFR3mo_PX[[#This Row],[Column1091]]</f>
        <v>98.275000000000006</v>
      </c>
      <c r="AOZ22">
        <f>SOFR3mo_PX[[#This Row],[Column1092]]</f>
        <v>98.29</v>
      </c>
      <c r="APA22">
        <f>SOFR3mo_PX[[#This Row],[Column1093]]</f>
        <v>98.33</v>
      </c>
      <c r="APB22">
        <f>SOFR3mo_PX[[#This Row],[Column1094]]</f>
        <v>98.185000000000002</v>
      </c>
      <c r="APC22">
        <f>SOFR3mo_PX[[#This Row],[Column1095]]</f>
        <v>98.174999999999997</v>
      </c>
      <c r="APD22">
        <f>SOFR3mo_PX[[#This Row],[Column1096]]</f>
        <v>98.08</v>
      </c>
      <c r="APE22">
        <f>SOFR3mo_PX[[#This Row],[Column1097]]</f>
        <v>98.094999999999999</v>
      </c>
      <c r="APF22">
        <f>SOFR3mo_PX[[#This Row],[Column1098]]</f>
        <v>98.125</v>
      </c>
      <c r="APG22">
        <f>SOFR3mo_PX[[#This Row],[Column1099]]</f>
        <v>98.075000000000003</v>
      </c>
      <c r="APH22">
        <f>SOFR3mo_PX[[#This Row],[Column1100]]</f>
        <v>98.05</v>
      </c>
      <c r="API22">
        <f>SOFR3mo_PX[[#This Row],[Column1101]]</f>
        <v>97.944999999999993</v>
      </c>
      <c r="APJ22">
        <f>SOFR3mo_PX[[#This Row],[Column1102]]</f>
        <v>97.924999999999997</v>
      </c>
      <c r="APK22">
        <f>SOFR3mo_PX[[#This Row],[Column1103]]</f>
        <v>97.995000000000005</v>
      </c>
      <c r="APL22">
        <f>SOFR3mo_PX[[#This Row],[Column1104]]</f>
        <v>97.935000000000002</v>
      </c>
      <c r="APM22">
        <f>SOFR3mo_PX[[#This Row],[Column1105]]</f>
        <v>97.97</v>
      </c>
      <c r="APN22">
        <f>SOFR3mo_PX[[#This Row],[Column1106]]</f>
        <v>98.004999999999995</v>
      </c>
      <c r="APO22">
        <f>SOFR3mo_PX[[#This Row],[Column1107]]</f>
        <v>98.084999999999994</v>
      </c>
      <c r="APP22">
        <f>SOFR3mo_PX[[#This Row],[Column1108]]</f>
        <v>98.144999999999996</v>
      </c>
      <c r="APQ22">
        <f>SOFR3mo_PX[[#This Row],[Column1109]]</f>
        <v>98.155000000000001</v>
      </c>
      <c r="APR22">
        <f>SOFR3mo_PX[[#This Row],[Column1110]]</f>
        <v>98.135000000000005</v>
      </c>
      <c r="APS22">
        <f>SOFR3mo_PX[[#This Row],[Column1111]]</f>
        <v>98.075000000000003</v>
      </c>
      <c r="APT22">
        <f>SOFR3mo_PX[[#This Row],[Column1112]]</f>
        <v>98.03</v>
      </c>
      <c r="APU22">
        <f>SOFR3mo_PX[[#This Row],[Column1113]]</f>
        <v>98.09</v>
      </c>
      <c r="APV22">
        <f>SOFR3mo_PX[[#This Row],[Column1114]]</f>
        <v>98.28</v>
      </c>
      <c r="APW22">
        <f>SOFR3mo_PX[[#This Row],[Column1115]]</f>
        <v>98.334999999999994</v>
      </c>
      <c r="APX22">
        <f>SOFR3mo_PX[[#This Row],[Column1116]]</f>
        <v>98.33</v>
      </c>
      <c r="APY22">
        <f>SOFR3mo_PX[[#This Row],[Column1117]]</f>
        <v>98.314999999999998</v>
      </c>
      <c r="APZ22">
        <f>SOFR3mo_PX[[#This Row],[Column1118]]</f>
        <v>98.385000000000005</v>
      </c>
      <c r="AQA22">
        <f>SOFR3mo_PX[[#This Row],[Column1119]]</f>
        <v>98.415000000000006</v>
      </c>
      <c r="AQB22">
        <f>SOFR3mo_PX[[#This Row],[Column1120]]</f>
        <v>98.385000000000005</v>
      </c>
      <c r="AQC22">
        <f>SOFR3mo_PX[[#This Row],[Column1121]]</f>
        <v>98.33</v>
      </c>
      <c r="AQD22">
        <f>SOFR3mo_PX[[#This Row],[Column1122]]</f>
        <v>98.394999999999996</v>
      </c>
      <c r="AQE22">
        <f>SOFR3mo_PX[[#This Row],[Column1123]]</f>
        <v>98.385000000000005</v>
      </c>
      <c r="AQF22">
        <f>SOFR3mo_PX[[#This Row],[Column1124]]</f>
        <v>98.45</v>
      </c>
      <c r="AQG22">
        <f>SOFR3mo_PX[[#This Row],[Column1125]]</f>
        <v>98.504999999999995</v>
      </c>
      <c r="AQH22">
        <f>SOFR3mo_PX[[#This Row],[Column1126]]</f>
        <v>98.465000000000003</v>
      </c>
      <c r="AQI22">
        <f>SOFR3mo_PX[[#This Row],[Column1127]]</f>
        <v>98.415000000000006</v>
      </c>
      <c r="AQJ22">
        <f>SOFR3mo_PX[[#This Row],[Column1128]]</f>
        <v>98.42</v>
      </c>
      <c r="AQK22">
        <f>SOFR3mo_PX[[#This Row],[Column1129]]</f>
        <v>98.584999999999994</v>
      </c>
      <c r="AQL22">
        <f>SOFR3mo_PX[[#This Row],[Column1130]]</f>
        <v>98.61</v>
      </c>
      <c r="AQM22">
        <f>SOFR3mo_PX[[#This Row],[Column1131]]</f>
        <v>98.6</v>
      </c>
      <c r="AQN22">
        <f>SOFR3mo_PX[[#This Row],[Column1132]]</f>
        <v>98.635000000000005</v>
      </c>
      <c r="AQO22">
        <f>SOFR3mo_PX[[#This Row],[Column1133]]</f>
        <v>98.68</v>
      </c>
      <c r="AQP22">
        <f>SOFR3mo_PX[[#This Row],[Column1134]]</f>
        <v>98.69</v>
      </c>
      <c r="AQQ22">
        <f>SOFR3mo_PX[[#This Row],[Column1135]]</f>
        <v>98.715000000000003</v>
      </c>
      <c r="AQR22">
        <f>SOFR3mo_PX[[#This Row],[Column1136]]</f>
        <v>98.834999999999994</v>
      </c>
      <c r="AQS22">
        <f>SOFR3mo_PX[[#This Row],[Column1137]]</f>
        <v>98.834999999999994</v>
      </c>
      <c r="AQT22">
        <f>SOFR3mo_PX[[#This Row],[Column1138]]</f>
        <v>98.905000000000001</v>
      </c>
      <c r="AQU22">
        <f>SOFR3mo_PX[[#This Row],[Column1139]]</f>
        <v>98.915000000000006</v>
      </c>
      <c r="AQV22">
        <f>SOFR3mo_PX[[#This Row],[Column1140]]</f>
        <v>98.9</v>
      </c>
      <c r="AQW22">
        <f>SOFR3mo_PX[[#This Row],[Column1141]]</f>
        <v>98.89</v>
      </c>
      <c r="AQX22">
        <f>SOFR3mo_PX[[#This Row],[Column1142]]</f>
        <v>98.91</v>
      </c>
      <c r="AQY22">
        <f>SOFR3mo_PX[[#This Row],[Column1143]]</f>
        <v>98.915000000000006</v>
      </c>
      <c r="AQZ22">
        <f>SOFR3mo_PX[[#This Row],[Column1144]]</f>
        <v>99</v>
      </c>
      <c r="ARA22">
        <f>SOFR3mo_PX[[#This Row],[Column1145]]</f>
        <v>99.015000000000001</v>
      </c>
      <c r="ARB22">
        <f>SOFR3mo_PX[[#This Row],[Column1146]]</f>
        <v>99.04</v>
      </c>
      <c r="ARC22">
        <f>SOFR3mo_PX[[#This Row],[Column1147]]</f>
        <v>99.04</v>
      </c>
      <c r="ARD22">
        <f>SOFR3mo_PX[[#This Row],[Column1148]]</f>
        <v>99.045000000000002</v>
      </c>
      <c r="ARE22">
        <f>SOFR3mo_PX[[#This Row],[Column1149]]</f>
        <v>99.075000000000003</v>
      </c>
      <c r="ARF22">
        <f>SOFR3mo_PX[[#This Row],[Column1150]]</f>
        <v>99.06</v>
      </c>
      <c r="ARG22">
        <f>SOFR3mo_PX[[#This Row],[Column1151]]</f>
        <v>99.064999999999998</v>
      </c>
      <c r="ARH22">
        <f>SOFR3mo_PX[[#This Row],[Column1152]]</f>
        <v>99.05</v>
      </c>
      <c r="ARI22">
        <f>SOFR3mo_PX[[#This Row],[Column1153]]</f>
        <v>99.045000000000002</v>
      </c>
      <c r="ARJ22">
        <f>SOFR3mo_PX[[#This Row],[Column1154]]</f>
        <v>99.06</v>
      </c>
      <c r="ARK22">
        <f>SOFR3mo_PX[[#This Row],[Column1155]]</f>
        <v>99.06</v>
      </c>
      <c r="ARL22">
        <f>SOFR3mo_PX[[#This Row],[Column1156]]</f>
        <v>99.05</v>
      </c>
      <c r="ARM22">
        <f>SOFR3mo_PX[[#This Row],[Column1157]]</f>
        <v>99.05</v>
      </c>
      <c r="ARN22">
        <f>SOFR3mo_PX[[#This Row],[Column1158]]</f>
        <v>99.08</v>
      </c>
      <c r="ARO22">
        <f>SOFR3mo_PX[[#This Row],[Column1159]]</f>
        <v>99.064999999999998</v>
      </c>
      <c r="ARP22">
        <f>SOFR3mo_PX[[#This Row],[Column1160]]</f>
        <v>99.04</v>
      </c>
      <c r="ARQ22">
        <f>SOFR3mo_PX[[#This Row],[Column1161]]</f>
        <v>99.045000000000002</v>
      </c>
      <c r="ARR22">
        <f>SOFR3mo_PX[[#This Row],[Column1162]]</f>
        <v>99.05</v>
      </c>
      <c r="ARS22">
        <f>SOFR3mo_PX[[#This Row],[Column1163]]</f>
        <v>99.09</v>
      </c>
      <c r="ART22">
        <f>SOFR3mo_PX[[#This Row],[Column1164]]</f>
        <v>99.224999999999994</v>
      </c>
      <c r="ARU22">
        <f>SOFR3mo_PX[[#This Row],[Column1165]]</f>
        <v>99.27</v>
      </c>
      <c r="ARV22">
        <f>SOFR3mo_PX[[#This Row],[Column1166]]</f>
        <v>99.28</v>
      </c>
      <c r="ARW22">
        <f>SOFR3mo_PX[[#This Row],[Column1167]]</f>
        <v>99.27</v>
      </c>
      <c r="ARX22">
        <f>SOFR3mo_PX[[#This Row],[Column1168]]</f>
        <v>99.27</v>
      </c>
      <c r="ARY22">
        <f>SOFR3mo_PX[[#This Row],[Column1169]]</f>
        <v>99.26</v>
      </c>
      <c r="ARZ22">
        <f>SOFR3mo_PX[[#This Row],[Column1170]]</f>
        <v>99.245000000000005</v>
      </c>
      <c r="ASA22">
        <f>SOFR3mo_PX[[#This Row],[Column1171]]</f>
        <v>99.24</v>
      </c>
      <c r="ASB22">
        <f>SOFR3mo_PX[[#This Row],[Column1172]]</f>
        <v>99.245000000000005</v>
      </c>
      <c r="ASC22">
        <f>SOFR3mo_PX[[#This Row],[Column1173]]</f>
        <v>99.245000000000005</v>
      </c>
      <c r="ASD22">
        <f>SOFR3mo_PX[[#This Row],[Column1174]]</f>
        <v>99.245000000000005</v>
      </c>
      <c r="ASE22">
        <f>SOFR3mo_PX[[#This Row],[Column1175]]</f>
        <v>99.25</v>
      </c>
      <c r="ASF22">
        <f>SOFR3mo_PX[[#This Row],[Column1176]]</f>
        <v>99.245000000000005</v>
      </c>
      <c r="ASG22">
        <f>SOFR3mo_PX[[#This Row],[Column1177]]</f>
        <v>99.245000000000005</v>
      </c>
      <c r="ASH22">
        <f>SOFR3mo_PX[[#This Row],[Column1178]]</f>
        <v>99.295000000000002</v>
      </c>
      <c r="ASI22">
        <f>SOFR3mo_PX[[#This Row],[Column1179]]</f>
        <v>99.305000000000007</v>
      </c>
      <c r="ASJ22">
        <f>SOFR3mo_PX[[#This Row],[Column1180]]</f>
        <v>99.375</v>
      </c>
      <c r="ASK22">
        <f>SOFR3mo_PX[[#This Row],[Column1181]]</f>
        <v>99.375</v>
      </c>
      <c r="ASL22">
        <f>SOFR3mo_PX[[#This Row],[Column1182]]</f>
        <v>99.375</v>
      </c>
      <c r="ASM22">
        <f>SOFR3mo_PX[[#This Row],[Column1183]]</f>
        <v>99.35</v>
      </c>
      <c r="ASN22">
        <f>SOFR3mo_PX[[#This Row],[Column1184]]</f>
        <v>99.555000000000007</v>
      </c>
      <c r="ASO22">
        <f>SOFR3mo_PX[[#This Row],[Column1185]]</f>
        <v>99.66</v>
      </c>
      <c r="ASP22">
        <f>SOFR3mo_PX[[#This Row],[Column1186]]</f>
        <v>99.66</v>
      </c>
      <c r="ASQ22">
        <f>SOFR3mo_PX[[#This Row],[Column1187]]</f>
        <v>99.67</v>
      </c>
      <c r="ASR22">
        <f>SOFR3mo_PX[[#This Row],[Column1188]]</f>
        <v>99.685000000000002</v>
      </c>
      <c r="ASS22">
        <f>SOFR3mo_PX[[#This Row],[Column1189]]</f>
        <v>99.69</v>
      </c>
      <c r="AST22">
        <f>SOFR3mo_PX[[#This Row],[Column1190]]</f>
        <v>99.694999999999993</v>
      </c>
      <c r="ASU22">
        <f>SOFR3mo_PX[[#This Row],[Column1191]]</f>
        <v>99.72</v>
      </c>
      <c r="ASV22">
        <f>SOFR3mo_PX[[#This Row],[Column1192]]</f>
        <v>99.724999999999994</v>
      </c>
      <c r="ASW22">
        <f>SOFR3mo_PX[[#This Row],[Column1193]]</f>
        <v>99.72</v>
      </c>
      <c r="ASX22">
        <f>SOFR3mo_PX[[#This Row],[Column1194]]</f>
        <v>99.72</v>
      </c>
      <c r="ASY22">
        <f>SOFR3mo_PX[[#This Row],[Column1195]]</f>
        <v>99.715000000000003</v>
      </c>
      <c r="ASZ22">
        <f>SOFR3mo_PX[[#This Row],[Column1196]]</f>
        <v>99.71</v>
      </c>
      <c r="ATA22">
        <f>SOFR3mo_PX[[#This Row],[Column1197]]</f>
        <v>99.724999999999994</v>
      </c>
      <c r="ATB22">
        <f>SOFR3mo_PX[[#This Row],[Column1198]]</f>
        <v>99.72</v>
      </c>
      <c r="ATC22">
        <f>SOFR3mo_PX[[#This Row],[Column1199]]</f>
        <v>99.72</v>
      </c>
      <c r="ATD22">
        <f>SOFR3mo_PX[[#This Row],[Column1200]]</f>
        <v>99.724999999999994</v>
      </c>
      <c r="ATE22">
        <f>SOFR3mo_PX[[#This Row],[Column1201]]</f>
        <v>99.715000000000003</v>
      </c>
      <c r="ATF22">
        <f>SOFR3mo_PX[[#This Row],[Column1202]]</f>
        <v>99.715000000000003</v>
      </c>
      <c r="ATG22">
        <f>SOFR3mo_PX[[#This Row],[Column1203]]</f>
        <v>99.71</v>
      </c>
      <c r="ATH22">
        <f>SOFR3mo_PX[[#This Row],[Column1204]]</f>
        <v>99.69</v>
      </c>
      <c r="ATI22">
        <f>SOFR3mo_PX[[#This Row],[Column1205]]</f>
        <v>99.69</v>
      </c>
      <c r="ATJ22">
        <f>SOFR3mo_PX[[#This Row],[Column1206]]</f>
        <v>99.724999999999994</v>
      </c>
      <c r="ATK22">
        <f>SOFR3mo_PX[[#This Row],[Column1207]]</f>
        <v>99.77</v>
      </c>
      <c r="ATL22">
        <f>SOFR3mo_PX[[#This Row],[Column1208]]</f>
        <v>99.775000000000006</v>
      </c>
      <c r="ATM22">
        <f>SOFR3mo_PX[[#This Row],[Column1209]]</f>
        <v>99.795000000000002</v>
      </c>
      <c r="ATN22">
        <f>SOFR3mo_PX[[#This Row],[Column1210]]</f>
        <v>99.765000000000001</v>
      </c>
      <c r="ATO22">
        <f>SOFR3mo_PX[[#This Row],[Column1211]]</f>
        <v>99.775000000000006</v>
      </c>
      <c r="ATP22">
        <f>SOFR3mo_PX[[#This Row],[Column1212]]</f>
        <v>99.77</v>
      </c>
      <c r="ATQ22">
        <f>SOFR3mo_PX[[#This Row],[Column1213]]</f>
        <v>99.775000000000006</v>
      </c>
      <c r="ATR22">
        <f>SOFR3mo_PX[[#This Row],[Column1214]]</f>
        <v>99.784999999999997</v>
      </c>
      <c r="ATS22">
        <f>SOFR3mo_PX[[#This Row],[Column1215]]</f>
        <v>99.784999999999997</v>
      </c>
      <c r="ATT22">
        <f>SOFR3mo_PX[[#This Row],[Column1216]]</f>
        <v>99.78</v>
      </c>
      <c r="ATU22">
        <f>SOFR3mo_PX[[#This Row],[Column1217]]</f>
        <v>99.77</v>
      </c>
      <c r="ATV22">
        <f>SOFR3mo_PX[[#This Row],[Column1218]]</f>
        <v>99.76</v>
      </c>
      <c r="ATW22">
        <f>SOFR3mo_PX[[#This Row],[Column1219]]</f>
        <v>99.784999999999997</v>
      </c>
      <c r="ATX22">
        <f>SOFR3mo_PX[[#This Row],[Column1220]]</f>
        <v>99.784999999999997</v>
      </c>
      <c r="ATY22">
        <f>SOFR3mo_PX[[#This Row],[Column1221]]</f>
        <v>99.795000000000002</v>
      </c>
      <c r="ATZ22">
        <f>SOFR3mo_PX[[#This Row],[Column1222]]</f>
        <v>99.805000000000007</v>
      </c>
      <c r="AUA22">
        <f>SOFR3mo_PX[[#This Row],[Column1223]]</f>
        <v>99.8</v>
      </c>
      <c r="AUB22">
        <f>SOFR3mo_PX[[#This Row],[Column1224]]</f>
        <v>99.805000000000007</v>
      </c>
      <c r="AUC22">
        <f>SOFR3mo_PX[[#This Row],[Column1225]]</f>
        <v>99.8</v>
      </c>
      <c r="AUD22">
        <f>SOFR3mo_PX[[#This Row],[Column1226]]</f>
        <v>99.784999999999997</v>
      </c>
      <c r="AUE22">
        <f>SOFR3mo_PX[[#This Row],[Column1227]]</f>
        <v>99.78</v>
      </c>
      <c r="AUF22">
        <f>SOFR3mo_PX[[#This Row],[Column1228]]</f>
        <v>99.795000000000002</v>
      </c>
      <c r="AUG22">
        <f>SOFR3mo_PX[[#This Row],[Column1229]]</f>
        <v>99.79</v>
      </c>
      <c r="AUH22">
        <f>SOFR3mo_PX[[#This Row],[Column1230]]</f>
        <v>99.814999999999998</v>
      </c>
      <c r="AUI22">
        <f>SOFR3mo_PX[[#This Row],[Column1231]]</f>
        <v>99.814999999999998</v>
      </c>
      <c r="AUJ22">
        <f>SOFR3mo_PX[[#This Row],[Column1232]]</f>
        <v>99.864999999999995</v>
      </c>
      <c r="AUK22">
        <f>SOFR3mo_PX[[#This Row],[Column1233]]</f>
        <v>99.864999999999995</v>
      </c>
      <c r="AUL22">
        <f>SOFR3mo_PX[[#This Row],[Column1234]]</f>
        <v>99.864999999999995</v>
      </c>
      <c r="AUM22">
        <f>SOFR3mo_PX[[#This Row],[Column1235]]</f>
        <v>99.87</v>
      </c>
      <c r="AUN22">
        <f>SOFR3mo_PX[[#This Row],[Column1236]]</f>
        <v>99.87</v>
      </c>
      <c r="AUO22">
        <f>SOFR3mo_PX[[#This Row],[Column1237]]</f>
        <v>99.88</v>
      </c>
      <c r="AUP22">
        <f>SOFR3mo_PX[[#This Row],[Column1238]]</f>
        <v>99.88</v>
      </c>
      <c r="AUQ22">
        <f>SOFR3mo_PX[[#This Row],[Column1239]]</f>
        <v>99.885000000000005</v>
      </c>
      <c r="AUR22">
        <f>SOFR3mo_PX[[#This Row],[Column1240]]</f>
        <v>99.885000000000005</v>
      </c>
      <c r="AUS22">
        <f>SOFR3mo_PX[[#This Row],[Column1241]]</f>
        <v>99.875</v>
      </c>
      <c r="AUT22">
        <f>SOFR3mo_PX[[#This Row],[Column1242]]</f>
        <v>99.855000000000004</v>
      </c>
      <c r="AUU22">
        <f>SOFR3mo_PX[[#This Row],[Column1243]]</f>
        <v>99.87</v>
      </c>
      <c r="AUV22">
        <f>SOFR3mo_PX[[#This Row],[Column1244]]</f>
        <v>99.864999999999995</v>
      </c>
      <c r="AUW22">
        <f>SOFR3mo_PX[[#This Row],[Column1245]]</f>
        <v>99.894999999999996</v>
      </c>
      <c r="AUX22">
        <f>SOFR3mo_PX[[#This Row],[Column1246]]</f>
        <v>99.9</v>
      </c>
      <c r="AUY22">
        <f>SOFR3mo_PX[[#This Row],[Column1247]]</f>
        <v>99.89</v>
      </c>
      <c r="AUZ22">
        <f>SOFR3mo_PX[[#This Row],[Column1248]]</f>
        <v>99.864999999999995</v>
      </c>
      <c r="AVA22">
        <f>SOFR3mo_PX[[#This Row],[Column1249]]</f>
        <v>99.86</v>
      </c>
      <c r="AVB22">
        <f>SOFR3mo_PX[[#This Row],[Column1250]]</f>
        <v>99.864999999999995</v>
      </c>
      <c r="AVC22">
        <f>SOFR3mo_PX[[#This Row],[Column1251]]</f>
        <v>99.855000000000004</v>
      </c>
      <c r="AVD22">
        <f>SOFR3mo_PX[[#This Row],[Column1252]]</f>
        <v>99.855000000000004</v>
      </c>
      <c r="AVE22">
        <f>SOFR3mo_PX[[#This Row],[Column1253]]</f>
        <v>99.885000000000005</v>
      </c>
      <c r="AVF22">
        <f>SOFR3mo_PX[[#This Row],[Column1254]]</f>
        <v>99.875</v>
      </c>
      <c r="AVG22">
        <f>SOFR3mo_PX[[#This Row],[Column1255]]</f>
        <v>99.885000000000005</v>
      </c>
      <c r="AVH22">
        <f>SOFR3mo_PX[[#This Row],[Column1256]]</f>
        <v>99.88</v>
      </c>
      <c r="AVI22">
        <f>SOFR3mo_PX[[#This Row],[Column1257]]</f>
        <v>99.875</v>
      </c>
      <c r="AVJ22">
        <f>SOFR3mo_PX[[#This Row],[Column1258]]</f>
        <v>99.855000000000004</v>
      </c>
      <c r="AVK22">
        <f>SOFR3mo_PX[[#This Row],[Column1259]]</f>
        <v>99.864999999999995</v>
      </c>
      <c r="AVL22">
        <f>SOFR3mo_PX[[#This Row],[Column1260]]</f>
        <v>99.87</v>
      </c>
      <c r="AVM22">
        <f>SOFR3mo_PX[[#This Row],[Column1261]]</f>
        <v>99.88</v>
      </c>
      <c r="AVN22">
        <f>SOFR3mo_PX[[#This Row],[Column1262]]</f>
        <v>99.875</v>
      </c>
      <c r="AVO22">
        <f>SOFR3mo_PX[[#This Row],[Column1263]]</f>
        <v>99.885000000000005</v>
      </c>
      <c r="AVP22">
        <f>SOFR3mo_PX[[#This Row],[Column1264]]</f>
        <v>99.885000000000005</v>
      </c>
      <c r="AVQ22">
        <f>SOFR3mo_PX[[#This Row],[Column1265]]</f>
        <v>99.875</v>
      </c>
      <c r="AVR22">
        <f>SOFR3mo_PX[[#This Row],[Column1266]]</f>
        <v>99.86</v>
      </c>
      <c r="AVS22">
        <f>SOFR3mo_PX[[#This Row],[Column1267]]</f>
        <v>99.85</v>
      </c>
      <c r="AVT22">
        <f>SOFR3mo_PX[[#This Row],[Column1268]]</f>
        <v>99.85</v>
      </c>
      <c r="AVU22">
        <f>SOFR3mo_PX[[#This Row],[Column1269]]</f>
        <v>99.855000000000004</v>
      </c>
      <c r="AVV22">
        <f>SOFR3mo_PX[[#This Row],[Column1270]]</f>
        <v>99.855000000000004</v>
      </c>
      <c r="AVW22">
        <f>SOFR3mo_PX[[#This Row],[Column1271]]</f>
        <v>99.89</v>
      </c>
      <c r="AVX22">
        <f>SOFR3mo_PX[[#This Row],[Column1272]]</f>
        <v>99.9</v>
      </c>
      <c r="AVY22">
        <f>SOFR3mo_PX[[#This Row],[Column1273]]</f>
        <v>99.92</v>
      </c>
      <c r="AVZ22">
        <f>SOFR3mo_PX[[#This Row],[Column1274]]</f>
        <v>99.924999999999997</v>
      </c>
      <c r="AWA22">
        <f>SOFR3mo_PX[[#This Row],[Column1275]]</f>
        <v>99.935000000000002</v>
      </c>
      <c r="AWB22">
        <f>SOFR3mo_PX[[#This Row],[Column1276]]</f>
        <v>99.924999999999997</v>
      </c>
      <c r="AWC22">
        <f>SOFR3mo_PX[[#This Row],[Column1277]]</f>
        <v>99.92</v>
      </c>
      <c r="AWD22">
        <f>SOFR3mo_PX[[#This Row],[Column1278]]</f>
        <v>99.915000000000006</v>
      </c>
      <c r="AWE22">
        <f>SOFR3mo_PX[[#This Row],[Column1279]]</f>
        <v>99.894999999999996</v>
      </c>
      <c r="AWF22">
        <f>SOFR3mo_PX[[#This Row],[Column1280]]</f>
        <v>99.885000000000005</v>
      </c>
      <c r="AWG22">
        <f>SOFR3mo_PX[[#This Row],[Column1281]]</f>
        <v>99.88</v>
      </c>
      <c r="AWH22">
        <f>SOFR3mo_PX[[#This Row],[Column1282]]</f>
        <v>99.89</v>
      </c>
      <c r="AWI22">
        <f>SOFR3mo_PX[[#This Row],[Column1283]]</f>
        <v>99.894999999999996</v>
      </c>
      <c r="AWJ22">
        <f>SOFR3mo_PX[[#This Row],[Column1284]]</f>
        <v>99.894999999999996</v>
      </c>
      <c r="AWK22">
        <f>SOFR3mo_PX[[#This Row],[Column1285]]</f>
        <v>99.89</v>
      </c>
      <c r="AWL22">
        <f>SOFR3mo_PX[[#This Row],[Column1286]]</f>
        <v>99.89</v>
      </c>
      <c r="AWM22">
        <f>SOFR3mo_PX[[#This Row],[Column1287]]</f>
        <v>99.885000000000005</v>
      </c>
      <c r="AWN22">
        <f>SOFR3mo_PX[[#This Row],[Column1288]]</f>
        <v>99.885000000000005</v>
      </c>
      <c r="AWO22">
        <f>SOFR3mo_PX[[#This Row],[Column1289]]</f>
        <v>99.88</v>
      </c>
      <c r="AWP22">
        <f>SOFR3mo_PX[[#This Row],[Column1290]]</f>
        <v>99.89</v>
      </c>
      <c r="AWQ22">
        <f>SOFR3mo_PX[[#This Row],[Column1291]]</f>
        <v>99.89</v>
      </c>
      <c r="AWR22">
        <f>SOFR3mo_PX[[#This Row],[Column1292]]</f>
        <v>99.905000000000001</v>
      </c>
      <c r="AWS22">
        <f>SOFR3mo_PX[[#This Row],[Column1293]]</f>
        <v>99.92</v>
      </c>
      <c r="AWT22">
        <f>SOFR3mo_PX[[#This Row],[Column1294]]</f>
        <v>99.905000000000001</v>
      </c>
      <c r="AWU22">
        <f>SOFR3mo_PX[[#This Row],[Column1295]]</f>
        <v>99.9</v>
      </c>
      <c r="AWV22">
        <f>SOFR3mo_PX[[#This Row],[Column1296]]</f>
        <v>99.894999999999996</v>
      </c>
      <c r="AWW22">
        <f>SOFR3mo_PX[[#This Row],[Column1297]]</f>
        <v>99.894999999999996</v>
      </c>
      <c r="AWX22">
        <f>SOFR3mo_PX[[#This Row],[Column1298]]</f>
        <v>99.894999999999996</v>
      </c>
      <c r="AWY22">
        <f>SOFR3mo_PX[[#This Row],[Column1299]]</f>
        <v>99.885000000000005</v>
      </c>
      <c r="AWZ22">
        <f>SOFR3mo_PX[[#This Row],[Column1300]]</f>
        <v>99.905000000000001</v>
      </c>
      <c r="AXA22">
        <f>SOFR3mo_PX[[#This Row],[Column1301]]</f>
        <v>99.905000000000001</v>
      </c>
      <c r="AXB22">
        <f>SOFR3mo_PX[[#This Row],[Column1302]]</f>
        <v>99.894999999999996</v>
      </c>
      <c r="AXC22">
        <f>SOFR3mo_PX[[#This Row],[Column1303]]</f>
        <v>99.875</v>
      </c>
      <c r="AXD22">
        <f>SOFR3mo_PX[[#This Row],[Column1304]]</f>
        <v>99.875</v>
      </c>
      <c r="AXE22">
        <f>SOFR3mo_PX[[#This Row],[Column1305]]</f>
        <v>99.875</v>
      </c>
      <c r="AXF22">
        <f>SOFR3mo_PX[[#This Row],[Column1306]]</f>
        <v>99.87</v>
      </c>
      <c r="AXG22">
        <f>SOFR3mo_PX[[#This Row],[Column1307]]</f>
        <v>99.86</v>
      </c>
      <c r="AXH22">
        <f>SOFR3mo_PX[[#This Row],[Column1308]]</f>
        <v>99.84</v>
      </c>
      <c r="AXI22">
        <f>SOFR3mo_PX[[#This Row],[Column1309]]</f>
        <v>99.834999999999994</v>
      </c>
      <c r="AXJ22">
        <f>SOFR3mo_PX[[#This Row],[Column1310]]</f>
        <v>99.825000000000003</v>
      </c>
      <c r="AXK22">
        <f>SOFR3mo_PX[[#This Row],[Column1311]]</f>
        <v>99.84</v>
      </c>
      <c r="AXL22">
        <f>SOFR3mo_PX[[#This Row],[Column1312]]</f>
        <v>99.83</v>
      </c>
      <c r="AXM22">
        <f>SOFR3mo_PX[[#This Row],[Column1313]]</f>
        <v>99.84</v>
      </c>
      <c r="AXN22">
        <f>SOFR3mo_PX[[#This Row],[Column1314]]</f>
        <v>99.814999999999998</v>
      </c>
      <c r="AXO22">
        <f>SOFR3mo_PX[[#This Row],[Column1315]]</f>
        <v>99.765000000000001</v>
      </c>
      <c r="AXP22">
        <f>SOFR3mo_PX[[#This Row],[Column1316]]</f>
        <v>99.73</v>
      </c>
      <c r="AXQ22">
        <f>SOFR3mo_PX[[#This Row],[Column1317]]</f>
        <v>99.724999999999994</v>
      </c>
      <c r="AXR22">
        <f>SOFR3mo_PX[[#This Row],[Column1318]]</f>
        <v>99.79</v>
      </c>
      <c r="AXS22">
        <f>SOFR3mo_PX[[#This Row],[Column1319]]</f>
        <v>99.805000000000007</v>
      </c>
      <c r="AXT22">
        <f>SOFR3mo_PX[[#This Row],[Column1320]]</f>
        <v>99.84</v>
      </c>
      <c r="AXU22">
        <f>SOFR3mo_PX[[#This Row],[Column1321]]</f>
        <v>99.844999999999999</v>
      </c>
      <c r="AXV22">
        <f>SOFR3mo_PX[[#This Row],[Column1322]]</f>
        <v>99.834999999999994</v>
      </c>
      <c r="AXW22">
        <f>SOFR3mo_PX[[#This Row],[Column1323]]</f>
        <v>99.814999999999998</v>
      </c>
      <c r="AXX22">
        <f>SOFR3mo_PX[[#This Row],[Column1324]]</f>
        <v>99.82</v>
      </c>
      <c r="AXY22">
        <f>SOFR3mo_PX[[#This Row],[Column1325]]</f>
        <v>99.825000000000003</v>
      </c>
      <c r="AXZ22">
        <f>SOFR3mo_PX[[#This Row],[Column1326]]</f>
        <v>99.83</v>
      </c>
      <c r="AYA22">
        <f>SOFR3mo_PX[[#This Row],[Column1327]]</f>
        <v>99.83</v>
      </c>
      <c r="AYB22">
        <f>SOFR3mo_PX[[#This Row],[Column1328]]</f>
        <v>99.825000000000003</v>
      </c>
      <c r="AYC22">
        <f>SOFR3mo_PX[[#This Row],[Column1329]]</f>
        <v>99.825000000000003</v>
      </c>
      <c r="AYD22">
        <f>SOFR3mo_PX[[#This Row],[Column1330]]</f>
        <v>99.83</v>
      </c>
      <c r="AYE22">
        <f>SOFR3mo_PX[[#This Row],[Column1331]]</f>
        <v>99.83</v>
      </c>
      <c r="AYF22">
        <f>SOFR3mo_PX[[#This Row],[Column1332]]</f>
        <v>99.875</v>
      </c>
      <c r="AYG22">
        <f>SOFR3mo_PX[[#This Row],[Column1333]]</f>
        <v>99.85</v>
      </c>
      <c r="AYH22">
        <f>SOFR3mo_PX[[#This Row],[Column1334]]</f>
        <v>99.84</v>
      </c>
      <c r="AYI22">
        <f>SOFR3mo_PX[[#This Row],[Column1335]]</f>
        <v>99.82</v>
      </c>
      <c r="AYJ22">
        <f>SOFR3mo_PX[[#This Row],[Column1336]]</f>
        <v>99.82</v>
      </c>
      <c r="AYK22">
        <f>SOFR3mo_PX[[#This Row],[Column1337]]</f>
        <v>99.84</v>
      </c>
      <c r="AYL22">
        <f>SOFR3mo_PX[[#This Row],[Column1338]]</f>
        <v>99.85</v>
      </c>
      <c r="AYM22">
        <f>SOFR3mo_PX[[#This Row],[Column1339]]</f>
        <v>99.795000000000002</v>
      </c>
      <c r="AYN22">
        <f>SOFR3mo_PX[[#This Row],[Column1340]]</f>
        <v>99.78</v>
      </c>
      <c r="AYO22">
        <f>SOFR3mo_PX[[#This Row],[Column1341]]</f>
        <v>99.784999999999997</v>
      </c>
      <c r="AYP22">
        <f>SOFR3mo_PX[[#This Row],[Column1342]]</f>
        <v>99.77</v>
      </c>
      <c r="AYQ22">
        <f>SOFR3mo_PX[[#This Row],[Column1343]]</f>
        <v>99.775000000000006</v>
      </c>
      <c r="AYR22">
        <f>SOFR3mo_PX[[#This Row],[Column1344]]</f>
        <v>99.765000000000001</v>
      </c>
      <c r="AYS22">
        <f>SOFR3mo_PX[[#This Row],[Column1345]]</f>
        <v>99.75</v>
      </c>
      <c r="AYT22">
        <f>SOFR3mo_PX[[#This Row],[Column1346]]</f>
        <v>99.745000000000005</v>
      </c>
      <c r="AYU22">
        <f>SOFR3mo_PX[[#This Row],[Column1347]]</f>
        <v>99.754999999999995</v>
      </c>
      <c r="AYV22">
        <f>SOFR3mo_PX[[#This Row],[Column1348]]</f>
        <v>99.754999999999995</v>
      </c>
      <c r="AYW22">
        <f>SOFR3mo_PX[[#This Row],[Column1349]]</f>
        <v>99.75</v>
      </c>
      <c r="AYX22">
        <f>SOFR3mo_PX[[#This Row],[Column1350]]</f>
        <v>99.76</v>
      </c>
      <c r="AYY22">
        <f>SOFR3mo_PX[[#This Row],[Column1351]]</f>
        <v>99.74</v>
      </c>
      <c r="AYZ22">
        <f>SOFR3mo_PX[[#This Row],[Column1352]]</f>
        <v>99.73</v>
      </c>
      <c r="AZA22">
        <f>SOFR3mo_PX[[#This Row],[Column1353]]</f>
        <v>99.715000000000003</v>
      </c>
      <c r="AZB22">
        <f>SOFR3mo_PX[[#This Row],[Column1354]]</f>
        <v>99.704999999999998</v>
      </c>
      <c r="AZC22">
        <f>SOFR3mo_PX[[#This Row],[Column1355]]</f>
        <v>99.674999999999997</v>
      </c>
      <c r="AZD22">
        <f>SOFR3mo_PX[[#This Row],[Column1356]]</f>
        <v>99.66</v>
      </c>
      <c r="AZE22">
        <f>SOFR3mo_PX[[#This Row],[Column1357]]</f>
        <v>99.67</v>
      </c>
      <c r="AZF22">
        <f>SOFR3mo_PX[[#This Row],[Column1358]]</f>
        <v>99.67</v>
      </c>
      <c r="AZG22">
        <f>SOFR3mo_PX[[#This Row],[Column1359]]</f>
        <v>99.65</v>
      </c>
      <c r="AZH22">
        <f>SOFR3mo_PX[[#This Row],[Column1360]]</f>
        <v>99.635000000000005</v>
      </c>
      <c r="AZI22">
        <f>SOFR3mo_PX[[#This Row],[Column1361]]</f>
        <v>99.68</v>
      </c>
      <c r="AZJ22">
        <f>SOFR3mo_PX[[#This Row],[Column1362]]</f>
        <v>99.74</v>
      </c>
      <c r="AZK22">
        <f>SOFR3mo_PX[[#This Row],[Column1363]]</f>
        <v>99.734999999999999</v>
      </c>
      <c r="AZL22">
        <f>SOFR3mo_PX[[#This Row],[Column1364]]</f>
        <v>99.75</v>
      </c>
      <c r="AZM22">
        <f>SOFR3mo_PX[[#This Row],[Column1365]]</f>
        <v>99.724999999999994</v>
      </c>
      <c r="AZN22">
        <f>SOFR3mo_PX[[#This Row],[Column1366]]</f>
        <v>99.754999999999995</v>
      </c>
      <c r="AZO22">
        <f>SOFR3mo_PX[[#This Row],[Column1367]]</f>
        <v>99.71</v>
      </c>
      <c r="AZP22">
        <f>SOFR3mo_PX[[#This Row],[Column1368]]</f>
        <v>99.69</v>
      </c>
      <c r="AZQ22">
        <f>SOFR3mo_PX[[#This Row],[Column1369]]</f>
        <v>99.66</v>
      </c>
      <c r="AZR22">
        <f>SOFR3mo_PX[[#This Row],[Column1370]]</f>
        <v>99.655000000000001</v>
      </c>
      <c r="AZS22">
        <f>SOFR3mo_PX[[#This Row],[Column1371]]</f>
        <v>99.715000000000003</v>
      </c>
      <c r="AZT22">
        <f>SOFR3mo_PX[[#This Row],[Column1372]]</f>
        <v>99.635000000000005</v>
      </c>
      <c r="AZU22">
        <f>SOFR3mo_PX[[#This Row],[Column1373]]</f>
        <v>99.575000000000003</v>
      </c>
      <c r="AZV22">
        <f>SOFR3mo_PX[[#This Row],[Column1374]]</f>
        <v>99.47</v>
      </c>
      <c r="AZW22">
        <f>SOFR3mo_PX[[#This Row],[Column1375]]</f>
        <v>99.584999999999994</v>
      </c>
      <c r="AZX22">
        <f>SOFR3mo_PX[[#This Row],[Column1376]]</f>
        <v>99.635000000000005</v>
      </c>
      <c r="AZY22">
        <f>SOFR3mo_PX[[#This Row],[Column1377]]</f>
        <v>99.56</v>
      </c>
      <c r="AZZ22">
        <f>SOFR3mo_PX[[#This Row],[Column1378]]</f>
        <v>99.6</v>
      </c>
      <c r="BAA22">
        <f>SOFR3mo_PX[[#This Row],[Column1379]]</f>
        <v>99.53</v>
      </c>
      <c r="BAB22">
        <f>SOFR3mo_PX[[#This Row],[Column1380]]</f>
        <v>99.52</v>
      </c>
      <c r="BAC22">
        <f>SOFR3mo_PX[[#This Row],[Column1381]]</f>
        <v>99.64</v>
      </c>
      <c r="BAD22">
        <f>SOFR3mo_PX[[#This Row],[Column1382]]</f>
        <v>99.564999999999998</v>
      </c>
      <c r="BAE22">
        <f>SOFR3mo_PX[[#This Row],[Column1383]]</f>
        <v>99.48</v>
      </c>
      <c r="BAF22">
        <f>SOFR3mo_PX[[#This Row],[Column1384]]</f>
        <v>99.43</v>
      </c>
      <c r="BAG22">
        <f>SOFR3mo_PX[[#This Row],[Column1385]]</f>
        <v>99.37</v>
      </c>
      <c r="BAH22">
        <f>SOFR3mo_PX[[#This Row],[Column1386]]</f>
        <v>99.3</v>
      </c>
      <c r="BAI22">
        <f>SOFR3mo_PX[[#This Row],[Column1387]]</f>
        <v>99.3</v>
      </c>
      <c r="BAJ22">
        <f>SOFR3mo_PX[[#This Row],[Column1388]]</f>
        <v>99.1</v>
      </c>
      <c r="BAK22">
        <f>SOFR3mo_PX[[#This Row],[Column1389]]</f>
        <v>99.045000000000002</v>
      </c>
      <c r="BAL22">
        <f>SOFR3mo_PX[[#This Row],[Column1390]]</f>
        <v>99.055000000000007</v>
      </c>
      <c r="BAM22">
        <f>SOFR3mo_PX[[#This Row],[Column1391]]</f>
        <v>99</v>
      </c>
      <c r="BAN22">
        <f>SOFR3mo_PX[[#This Row],[Column1392]]</f>
        <v>98.89</v>
      </c>
      <c r="BAO22">
        <f>SOFR3mo_PX[[#This Row],[Column1393]]</f>
        <v>98.825000000000003</v>
      </c>
      <c r="BAP22">
        <f>SOFR3mo_PX[[#This Row],[Column1394]]</f>
        <v>98.78</v>
      </c>
      <c r="BAQ22">
        <f>SOFR3mo_PX[[#This Row],[Column1395]]</f>
        <v>98.805000000000007</v>
      </c>
      <c r="BAR22">
        <f>SOFR3mo_PX[[#This Row],[Column1396]]</f>
        <v>98.775000000000006</v>
      </c>
      <c r="BAS22">
        <f>SOFR3mo_PX[[#This Row],[Column1397]]</f>
        <v>98.775000000000006</v>
      </c>
      <c r="BAT22">
        <f>SOFR3mo_PX[[#This Row],[Column1398]]</f>
        <v>98.74</v>
      </c>
      <c r="BAU22">
        <f>SOFR3mo_PX[[#This Row],[Column1399]]</f>
        <v>98.74</v>
      </c>
      <c r="BAV22">
        <f>SOFR3mo_PX[[#This Row],[Column1400]]</f>
        <v>98.78</v>
      </c>
      <c r="BAW22">
        <f>SOFR3mo_PX[[#This Row],[Column1401]]</f>
        <v>98.81</v>
      </c>
      <c r="BAX22">
        <f>SOFR3mo_PX[[#This Row],[Column1402]]</f>
        <v>98.775000000000006</v>
      </c>
      <c r="BAY22">
        <f>SOFR3mo_PX[[#This Row],[Column1403]]</f>
        <v>98.72</v>
      </c>
      <c r="BAZ22">
        <f>SOFR3mo_PX[[#This Row],[Column1404]]</f>
        <v>98.74</v>
      </c>
      <c r="BBA22">
        <f>SOFR3mo_PX[[#This Row],[Column1405]]</f>
        <v>98.78</v>
      </c>
      <c r="BBB22">
        <f>SOFR3mo_PX[[#This Row],[Column1406]]</f>
        <v>98.864999999999995</v>
      </c>
      <c r="BBC22">
        <f>SOFR3mo_PX[[#This Row],[Column1407]]</f>
        <v>98.88</v>
      </c>
      <c r="BBD22">
        <f>SOFR3mo_PX[[#This Row],[Column1408]]</f>
        <v>98.825000000000003</v>
      </c>
      <c r="BBE22">
        <f>SOFR3mo_PX[[#This Row],[Column1409]]</f>
        <v>98.78</v>
      </c>
      <c r="BBF22">
        <f>SOFR3mo_PX[[#This Row],[Column1410]]</f>
        <v>98.73</v>
      </c>
      <c r="BBG22">
        <f>SOFR3mo_PX[[#This Row],[Column1411]]</f>
        <v>98.765000000000001</v>
      </c>
      <c r="BBH22">
        <f>SOFR3mo_PX[[#This Row],[Column1412]]</f>
        <v>98.68</v>
      </c>
      <c r="BBI22">
        <f>SOFR3mo_PX[[#This Row],[Column1413]]</f>
        <v>98.625</v>
      </c>
      <c r="BBJ22">
        <f>SOFR3mo_PX[[#This Row],[Column1414]]</f>
        <v>98.605000000000004</v>
      </c>
      <c r="BBK22">
        <f>SOFR3mo_PX[[#This Row],[Column1415]]</f>
        <v>98.59</v>
      </c>
      <c r="BBL22">
        <f>SOFR3mo_PX[[#This Row],[Column1416]]</f>
        <v>98.534999999999997</v>
      </c>
      <c r="BBM22">
        <f>SOFR3mo_PX[[#This Row],[Column1417]]</f>
        <v>98.534999999999997</v>
      </c>
      <c r="BBN22">
        <f>SOFR3mo_PX[[#This Row],[Column1418]]</f>
        <v>98.55</v>
      </c>
      <c r="BBO22">
        <f>SOFR3mo_PX[[#This Row],[Column1419]]</f>
        <v>98.56</v>
      </c>
      <c r="BBP22">
        <f>SOFR3mo_PX[[#This Row],[Column1420]]</f>
        <v>98.55</v>
      </c>
      <c r="BBQ22">
        <f>SOFR3mo_PX[[#This Row],[Column1421]]</f>
        <v>98.534999999999997</v>
      </c>
      <c r="BBR22">
        <f>SOFR3mo_PX[[#This Row],[Column1422]]</f>
        <v>98.54</v>
      </c>
      <c r="BBS22">
        <f>SOFR3mo_PX[[#This Row],[Column1423]]</f>
        <v>98.525000000000006</v>
      </c>
      <c r="BBT22">
        <f>SOFR3mo_PX[[#This Row],[Column1424]]</f>
        <v>98.52</v>
      </c>
      <c r="BBU22">
        <f>SOFR3mo_PX[[#This Row],[Column1425]]</f>
        <v>98.564999999999998</v>
      </c>
      <c r="BBV22">
        <f>SOFR3mo_PX[[#This Row],[Column1426]]</f>
        <v>98.575000000000003</v>
      </c>
      <c r="BBW22">
        <f>SOFR3mo_PX[[#This Row],[Column1427]]</f>
        <v>98.58</v>
      </c>
      <c r="BBX22">
        <f>SOFR3mo_PX[[#This Row],[Column1428]]</f>
        <v>98.49</v>
      </c>
      <c r="BBY22">
        <f>SOFR3mo_PX[[#This Row],[Column1429]]</f>
        <v>98.48</v>
      </c>
      <c r="BBZ22">
        <f>SOFR3mo_PX[[#This Row],[Column1430]]</f>
        <v>98.48</v>
      </c>
      <c r="BCA22">
        <f>SOFR3mo_PX[[#This Row],[Column1431]]</f>
        <v>98.484999999999999</v>
      </c>
      <c r="BCB22">
        <f>SOFR3mo_PX[[#This Row],[Column1432]]</f>
        <v>98.484999999999999</v>
      </c>
      <c r="BCC22">
        <f>SOFR3mo_PX[[#This Row],[Column1433]]</f>
        <v>98.444999999999993</v>
      </c>
      <c r="BCD22">
        <f>SOFR3mo_PX[[#This Row],[Column1434]]</f>
        <v>98.444999999999993</v>
      </c>
      <c r="BCE22">
        <f>SOFR3mo_PX[[#This Row],[Column1435]]</f>
        <v>98.444999999999993</v>
      </c>
      <c r="BCF22">
        <f>SOFR3mo_PX[[#This Row],[Column1436]]</f>
        <v>98.424999999999997</v>
      </c>
      <c r="BCG22">
        <f>SOFR3mo_PX[[#This Row],[Column1437]]</f>
        <v>98.465000000000003</v>
      </c>
      <c r="BCH22">
        <f>SOFR3mo_PX[[#This Row],[Column1438]]</f>
        <v>98.48</v>
      </c>
      <c r="BCI22">
        <f>SOFR3mo_PX[[#This Row],[Column1439]]</f>
        <v>98.46</v>
      </c>
      <c r="BCJ22">
        <f>SOFR3mo_PX[[#This Row],[Column1440]]</f>
        <v>98.5</v>
      </c>
      <c r="BCK22">
        <f>SOFR3mo_PX[[#This Row],[Column1441]]</f>
        <v>98.51</v>
      </c>
      <c r="BCL22">
        <f>SOFR3mo_PX[[#This Row],[Column1442]]</f>
        <v>98.584999999999994</v>
      </c>
      <c r="BCM22">
        <f>SOFR3mo_PX[[#This Row],[Column1443]]</f>
        <v>98.504999999999995</v>
      </c>
      <c r="BCN22">
        <f>SOFR3mo_PX[[#This Row],[Column1444]]</f>
        <v>98.59</v>
      </c>
      <c r="BCO22">
        <f>SOFR3mo_PX[[#This Row],[Column1445]]</f>
        <v>98.55</v>
      </c>
      <c r="BCP22">
        <f>SOFR3mo_PX[[#This Row],[Column1446]]</f>
        <v>98.564999999999998</v>
      </c>
      <c r="BCQ22">
        <f>SOFR3mo_PX[[#This Row],[Column1447]]</f>
        <v>98.575000000000003</v>
      </c>
      <c r="BCR22">
        <f>SOFR3mo_PX[[#This Row],[Column1448]]</f>
        <v>98.635000000000005</v>
      </c>
      <c r="BCS22">
        <f>SOFR3mo_PX[[#This Row],[Column1449]]</f>
        <v>98.65</v>
      </c>
      <c r="BCT22">
        <f>SOFR3mo_PX[[#This Row],[Column1450]]</f>
        <v>98.724999999999994</v>
      </c>
      <c r="BCU22">
        <f>SOFR3mo_PX[[#This Row],[Column1451]]</f>
        <v>98.605000000000004</v>
      </c>
      <c r="BCV22">
        <f>SOFR3mo_PX[[#This Row],[Column1452]]</f>
        <v>98.64</v>
      </c>
      <c r="BCW22">
        <f>SOFR3mo_PX[[#This Row],[Column1453]]</f>
        <v>98.63</v>
      </c>
      <c r="BCX22">
        <f>SOFR3mo_PX[[#This Row],[Column1454]]</f>
        <v>98.63</v>
      </c>
      <c r="BCY22">
        <f>SOFR3mo_PX[[#This Row],[Column1455]]</f>
        <v>98.67</v>
      </c>
      <c r="BCZ22">
        <f>SOFR3mo_PX[[#This Row],[Column1456]]</f>
        <v>98.66</v>
      </c>
      <c r="BDA22">
        <f>SOFR3mo_PX[[#This Row],[Column1457]]</f>
        <v>98.644999999999996</v>
      </c>
      <c r="BDB22">
        <f>SOFR3mo_PX[[#This Row],[Column1458]]</f>
        <v>98.665000000000006</v>
      </c>
      <c r="BDC22">
        <f>SOFR3mo_PX[[#This Row],[Column1459]]</f>
        <v>98.694999999999993</v>
      </c>
      <c r="BDD22">
        <f>SOFR3mo_PX[[#This Row],[Column1460]]</f>
        <v>98.66</v>
      </c>
      <c r="BDE22">
        <f>SOFR3mo_PX[[#This Row],[Column1461]]</f>
        <v>98.635000000000005</v>
      </c>
      <c r="BDF22">
        <f>SOFR3mo_PX[[#This Row],[Column1462]]</f>
        <v>98.61</v>
      </c>
      <c r="BDG22">
        <f>SOFR3mo_PX[[#This Row],[Column1463]]</f>
        <v>98.62</v>
      </c>
      <c r="BDH22">
        <f>SOFR3mo_PX[[#This Row],[Column1464]]</f>
        <v>98.57</v>
      </c>
      <c r="BDI22">
        <f>SOFR3mo_PX[[#This Row],[Column1465]]</f>
        <v>98.52</v>
      </c>
      <c r="BDJ22">
        <f>SOFR3mo_PX[[#This Row],[Column1466]]</f>
        <v>98.49</v>
      </c>
      <c r="BDK22">
        <f>SOFR3mo_PX[[#This Row],[Column1467]]</f>
        <v>98.5</v>
      </c>
      <c r="BDL22">
        <f>SOFR3mo_PX[[#This Row],[Column1468]]</f>
        <v>98.484999999999999</v>
      </c>
      <c r="BDM22">
        <f>SOFR3mo_PX[[#This Row],[Column1469]]</f>
        <v>98.594999999999999</v>
      </c>
      <c r="BDN22">
        <f>SOFR3mo_PX[[#This Row],[Column1470]]</f>
        <v>98.57</v>
      </c>
      <c r="BDO22">
        <f>SOFR3mo_PX[[#This Row],[Column1471]]</f>
        <v>98.63</v>
      </c>
      <c r="BDP22">
        <f>SOFR3mo_PX[[#This Row],[Column1472]]</f>
        <v>98.68</v>
      </c>
      <c r="BDQ22">
        <f>SOFR3mo_PX[[#This Row],[Column1473]]</f>
        <v>98.75</v>
      </c>
      <c r="BDR22">
        <f>SOFR3mo_PX[[#This Row],[Column1474]]</f>
        <v>98.625</v>
      </c>
      <c r="BDS22">
        <f>SOFR3mo_PX[[#This Row],[Column1475]]</f>
        <v>98.605000000000004</v>
      </c>
      <c r="BDT22">
        <f>SOFR3mo_PX[[#This Row],[Column1476]]</f>
        <v>98.61</v>
      </c>
      <c r="BDU22">
        <f>SOFR3mo_PX[[#This Row],[Column1477]]</f>
        <v>98.64</v>
      </c>
      <c r="BDV22">
        <f>SOFR3mo_PX[[#This Row],[Column1478]]</f>
        <v>98.685000000000002</v>
      </c>
      <c r="BDW22">
        <f>SOFR3mo_PX[[#This Row],[Column1479]]</f>
        <v>98.694999999999993</v>
      </c>
      <c r="BDX22">
        <f>SOFR3mo_PX[[#This Row],[Column1480]]</f>
        <v>98.674999999999997</v>
      </c>
      <c r="BDY22">
        <f>SOFR3mo_PX[[#This Row],[Column1481]]</f>
        <v>98.65</v>
      </c>
      <c r="BDZ22">
        <f>SOFR3mo_PX[[#This Row],[Column1482]]</f>
        <v>98.69</v>
      </c>
      <c r="BEA22">
        <f>SOFR3mo_PX[[#This Row],[Column1483]]</f>
        <v>98.665000000000006</v>
      </c>
      <c r="BEB22">
        <f>SOFR3mo_PX[[#This Row],[Column1484]]</f>
        <v>98.69</v>
      </c>
      <c r="BEC22">
        <f>SOFR3mo_PX[[#This Row],[Column1485]]</f>
        <v>98.65</v>
      </c>
      <c r="BED22">
        <f>SOFR3mo_PX[[#This Row],[Column1486]]</f>
        <v>98.704999999999998</v>
      </c>
      <c r="BEE22">
        <f>SOFR3mo_PX[[#This Row],[Column1487]]</f>
        <v>98.685000000000002</v>
      </c>
      <c r="BEF22">
        <f>SOFR3mo_PX[[#This Row],[Column1488]]</f>
        <v>98.814999999999998</v>
      </c>
      <c r="BEG22">
        <f>SOFR3mo_PX[[#This Row],[Column1489]]</f>
        <v>98.88</v>
      </c>
      <c r="BEH22">
        <f>SOFR3mo_PX[[#This Row],[Column1490]]</f>
        <v>98.935000000000002</v>
      </c>
      <c r="BEI22">
        <f>SOFR3mo_PX[[#This Row],[Column1491]]</f>
        <v>98.924999999999997</v>
      </c>
      <c r="BEJ22">
        <f>SOFR3mo_PX[[#This Row],[Column1492]]</f>
        <v>98.995000000000005</v>
      </c>
      <c r="BEK22">
        <f>SOFR3mo_PX[[#This Row],[Column1493]]</f>
        <v>99.004999999999995</v>
      </c>
      <c r="BEL22">
        <f>SOFR3mo_PX[[#This Row],[Column1494]]</f>
        <v>98.905000000000001</v>
      </c>
      <c r="BEM22">
        <f>SOFR3mo_PX[[#This Row],[Column1495]]</f>
        <v>98.83</v>
      </c>
      <c r="BEN22">
        <f>SOFR3mo_PX[[#This Row],[Column1496]]</f>
        <v>98.76</v>
      </c>
      <c r="BEO22">
        <f>SOFR3mo_PX[[#This Row],[Column1497]]</f>
        <v>98.77</v>
      </c>
      <c r="BEP22">
        <f>SOFR3mo_PX[[#This Row],[Column1498]]</f>
        <v>98.76</v>
      </c>
      <c r="BEQ22">
        <f>SOFR3mo_PX[[#This Row],[Column1499]]</f>
        <v>98.745000000000005</v>
      </c>
      <c r="BER22">
        <f>SOFR3mo_PX[[#This Row],[Column1500]]</f>
        <v>98.844999999999999</v>
      </c>
      <c r="BES22">
        <f>SOFR3mo_PX[[#This Row],[Column1501]]</f>
        <v>98.75</v>
      </c>
      <c r="BET22">
        <f>SOFR3mo_PX[[#This Row],[Column1502]]</f>
        <v>98.71</v>
      </c>
      <c r="BEU22">
        <f>SOFR3mo_PX[[#This Row],[Column1503]]</f>
        <v>98.724999999999994</v>
      </c>
      <c r="BEV22">
        <f>SOFR3mo_PX[[#This Row],[Column1504]]</f>
        <v>98.69</v>
      </c>
      <c r="BEW22">
        <f>SOFR3mo_PX[[#This Row],[Column1505]]</f>
        <v>98.7</v>
      </c>
      <c r="BEX22">
        <f>SOFR3mo_PX[[#This Row],[Column1506]]</f>
        <v>98.66</v>
      </c>
      <c r="BEY22">
        <f>SOFR3mo_PX[[#This Row],[Column1507]]</f>
        <v>98.6</v>
      </c>
      <c r="BEZ22">
        <f>SOFR3mo_PX[[#This Row],[Column1508]]</f>
        <v>98.694999999999993</v>
      </c>
      <c r="BFA22">
        <f>SOFR3mo_PX[[#This Row],[Column1509]]</f>
        <v>98.78</v>
      </c>
      <c r="BFB22">
        <f>SOFR3mo_PX[[#This Row],[Column1510]]</f>
        <v>98.805000000000007</v>
      </c>
      <c r="BFC22">
        <f>SOFR3mo_PX[[#This Row],[Column1511]]</f>
        <v>98.905000000000001</v>
      </c>
      <c r="BFD22">
        <f>SOFR3mo_PX[[#This Row],[Column1512]]</f>
        <v>98.98</v>
      </c>
      <c r="BFE22">
        <f>SOFR3mo_PX[[#This Row],[Column1513]]</f>
        <v>98.984999999999999</v>
      </c>
      <c r="BFF22">
        <f>SOFR3mo_PX[[#This Row],[Column1514]]</f>
        <v>99.114999999999995</v>
      </c>
      <c r="BFG22">
        <f>SOFR3mo_PX[[#This Row],[Column1515]]</f>
        <v>99.075000000000003</v>
      </c>
      <c r="BFH22">
        <f>SOFR3mo_PX[[#This Row],[Column1516]]</f>
        <v>98.995000000000005</v>
      </c>
      <c r="BFI22">
        <f>SOFR3mo_PX[[#This Row],[Column1517]]</f>
        <v>98.995000000000005</v>
      </c>
      <c r="BFJ22">
        <f>SOFR3mo_PX[[#This Row],[Column1518]]</f>
        <v>98.97</v>
      </c>
      <c r="BFK22">
        <f>SOFR3mo_PX[[#This Row],[Column1519]]</f>
        <v>99.01</v>
      </c>
      <c r="BFL22">
        <f>SOFR3mo_PX[[#This Row],[Column1520]]</f>
        <v>98.965000000000003</v>
      </c>
      <c r="BFM22">
        <f>SOFR3mo_PX[[#This Row],[Column1521]]</f>
        <v>98.92</v>
      </c>
      <c r="BFN22">
        <f>SOFR3mo_PX[[#This Row],[Column1522]]</f>
        <v>98.944999999999993</v>
      </c>
      <c r="BFO22">
        <f>SOFR3mo_PX[[#This Row],[Column1523]]</f>
        <v>98.84</v>
      </c>
      <c r="BFP22">
        <f>SOFR3mo_PX[[#This Row],[Column1524]]</f>
        <v>98.87</v>
      </c>
      <c r="BFQ22">
        <f>SOFR3mo_PX[[#This Row],[Column1525]]</f>
        <v>98.905000000000001</v>
      </c>
      <c r="BFR22">
        <f>SOFR3mo_PX[[#This Row],[Column1526]]</f>
        <v>98.864999999999995</v>
      </c>
      <c r="BFS22">
        <f>SOFR3mo_PX[[#This Row],[Column1527]]</f>
        <v>98.924999999999997</v>
      </c>
      <c r="BFT22">
        <f>SOFR3mo_PX[[#This Row],[Column1528]]</f>
        <v>98.92</v>
      </c>
      <c r="BFU22">
        <f>SOFR3mo_PX[[#This Row],[Column1529]]</f>
        <v>98.85</v>
      </c>
      <c r="BFV22">
        <f>SOFR3mo_PX[[#This Row],[Column1530]]</f>
        <v>98.765000000000001</v>
      </c>
      <c r="BFW22">
        <f>SOFR3mo_PX[[#This Row],[Column1531]]</f>
        <v>98.87</v>
      </c>
      <c r="BFX22">
        <f>SOFR3mo_PX[[#This Row],[Column1532]]</f>
        <v>98.79</v>
      </c>
      <c r="BFY22">
        <f>SOFR3mo_PX[[#This Row],[Column1533]]</f>
        <v>98.834999999999994</v>
      </c>
      <c r="BFZ22">
        <f>SOFR3mo_PX[[#This Row],[Column1534]]</f>
        <v>98.91</v>
      </c>
      <c r="BGA22">
        <f>SOFR3mo_PX[[#This Row],[Column1535]]</f>
        <v>98.814999999999998</v>
      </c>
      <c r="BGB22">
        <f>SOFR3mo_PX[[#This Row],[Column1536]]</f>
        <v>98.88</v>
      </c>
      <c r="BGC22">
        <f>SOFR3mo_PX[[#This Row],[Column1537]]</f>
        <v>98.665000000000006</v>
      </c>
      <c r="BGD22">
        <f>SOFR3mo_PX[[#This Row],[Column1538]]</f>
        <v>98.644999999999996</v>
      </c>
      <c r="BGE22">
        <f>SOFR3mo_PX[[#This Row],[Column1539]]</f>
        <v>98.454999999999998</v>
      </c>
      <c r="BGF22">
        <f>SOFR3mo_PX[[#This Row],[Column1540]]</f>
        <v>98.465000000000003</v>
      </c>
      <c r="BGG22">
        <f>SOFR3mo_PX[[#This Row],[Column1541]]</f>
        <v>98.474999999999994</v>
      </c>
      <c r="BGH22">
        <f>SOFR3mo_PX[[#This Row],[Column1542]]</f>
        <v>98.454999999999998</v>
      </c>
      <c r="BGI22">
        <f>SOFR3mo_PX[[#This Row],[Column1543]]</f>
        <v>98.48</v>
      </c>
      <c r="BGJ22">
        <f>SOFR3mo_PX[[#This Row],[Column1544]]</f>
        <v>98.504999999999995</v>
      </c>
      <c r="BGK22">
        <f>SOFR3mo_PX[[#This Row],[Column1545]]</f>
        <v>98.5</v>
      </c>
      <c r="BGL22">
        <f>SOFR3mo_PX[[#This Row],[Column1546]]</f>
        <v>98.53</v>
      </c>
      <c r="BGM22">
        <f>SOFR3mo_PX[[#This Row],[Column1547]]</f>
        <v>98.51</v>
      </c>
      <c r="BGN22">
        <f>SOFR3mo_PX[[#This Row],[Column1548]]</f>
        <v>98.56</v>
      </c>
      <c r="BGO22">
        <f>SOFR3mo_PX[[#This Row],[Column1549]]</f>
        <v>98.474999999999994</v>
      </c>
      <c r="BGP22">
        <f>SOFR3mo_PX[[#This Row],[Column1550]]</f>
        <v>98.42</v>
      </c>
      <c r="BGQ22">
        <f>SOFR3mo_PX[[#This Row],[Column1551]]</f>
        <v>98.45</v>
      </c>
      <c r="BGR22">
        <f>SOFR3mo_PX[[#This Row],[Column1552]]</f>
        <v>98.444999999999993</v>
      </c>
      <c r="BGS22">
        <f>SOFR3mo_PX[[#This Row],[Column1553]]</f>
        <v>98.43</v>
      </c>
      <c r="BGT22">
        <f>SOFR3mo_PX[[#This Row],[Column1554]]</f>
        <v>98.48</v>
      </c>
      <c r="BGU22">
        <f>SOFR3mo_PX[[#This Row],[Column1555]]</f>
        <v>98.44</v>
      </c>
      <c r="BGV22">
        <f>SOFR3mo_PX[[#This Row],[Column1556]]</f>
        <v>98.46</v>
      </c>
      <c r="BGW22">
        <f>SOFR3mo_PX[[#This Row],[Column1557]]</f>
        <v>98.454999999999998</v>
      </c>
      <c r="BGX22">
        <f>SOFR3mo_PX[[#This Row],[Column1558]]</f>
        <v>98.54</v>
      </c>
      <c r="BGY22">
        <f>SOFR3mo_PX[[#This Row],[Column1559]]</f>
        <v>98.54</v>
      </c>
      <c r="BGZ22">
        <f>SOFR3mo_PX[[#This Row],[Column1560]]</f>
        <v>98.534999999999997</v>
      </c>
      <c r="BHA22">
        <f>SOFR3mo_PX[[#This Row],[Column1561]]</f>
        <v>98.484999999999999</v>
      </c>
      <c r="BHB22">
        <f>SOFR3mo_PX[[#This Row],[Column1562]]</f>
        <v>98.53</v>
      </c>
      <c r="BHC22">
        <f>SOFR3mo_PX[[#This Row],[Column1563]]</f>
        <v>98.545000000000002</v>
      </c>
      <c r="BHD22">
        <f>SOFR3mo_PX[[#This Row],[Column1564]]</f>
        <v>98.515000000000001</v>
      </c>
      <c r="BHE22">
        <f>SOFR3mo_PX[[#This Row],[Column1565]]</f>
        <v>98.6</v>
      </c>
      <c r="BHF22">
        <f>SOFR3mo_PX[[#This Row],[Column1566]]</f>
        <v>98.575000000000003</v>
      </c>
      <c r="BHG22">
        <f>SOFR3mo_PX[[#This Row],[Column1567]]</f>
        <v>98.525000000000006</v>
      </c>
      <c r="BHH22">
        <f>SOFR3mo_PX[[#This Row],[Column1568]]</f>
        <v>98.58</v>
      </c>
      <c r="BHI22">
        <f>SOFR3mo_PX[[#This Row],[Column1569]]</f>
        <v>98.584999999999994</v>
      </c>
      <c r="BHJ22">
        <f>SOFR3mo_PX[[#This Row],[Column1570]]</f>
        <v>98.48</v>
      </c>
      <c r="BHK22">
        <f>SOFR3mo_PX[[#This Row],[Column1571]]</f>
        <v>98.48</v>
      </c>
      <c r="BHL22">
        <f>SOFR3mo_PX[[#This Row],[Column1572]]</f>
        <v>98.5</v>
      </c>
      <c r="BHM22">
        <f>SOFR3mo_PX[[#This Row],[Column1573]]</f>
        <v>98.504999999999995</v>
      </c>
      <c r="BHN22">
        <f>SOFR3mo_PX[[#This Row],[Column1574]]</f>
        <v>98.435000000000002</v>
      </c>
      <c r="BHO22">
        <f>SOFR3mo_PX[[#This Row],[Column1575]]</f>
        <v>98.385000000000005</v>
      </c>
      <c r="BHP22">
        <f>SOFR3mo_PX[[#This Row],[Column1576]]</f>
        <v>98.38</v>
      </c>
      <c r="BHQ22">
        <f>SOFR3mo_PX[[#This Row],[Column1577]]</f>
        <v>98.42</v>
      </c>
      <c r="BHR22">
        <f>SOFR3mo_PX[[#This Row],[Column1578]]</f>
        <v>98.405000000000001</v>
      </c>
      <c r="BHS22">
        <f>SOFR3mo_PX[[#This Row],[Column1579]]</f>
        <v>98.46</v>
      </c>
      <c r="BHT22">
        <f>SOFR3mo_PX[[#This Row],[Column1580]]</f>
        <v>98.44</v>
      </c>
      <c r="BHU22">
        <f>SOFR3mo_PX[[#This Row],[Column1581]]</f>
        <v>98.484999999999999</v>
      </c>
      <c r="BHV22">
        <f>SOFR3mo_PX[[#This Row],[Column1582]]</f>
        <v>98.435000000000002</v>
      </c>
      <c r="BHW22">
        <f>SOFR3mo_PX[[#This Row],[Column1583]]</f>
        <v>98.295000000000002</v>
      </c>
      <c r="BHX22">
        <f>SOFR3mo_PX[[#This Row],[Column1584]]</f>
        <v>98.3</v>
      </c>
      <c r="BHY22">
        <f>SOFR3mo_PX[[#This Row],[Column1585]]</f>
        <v>98.265000000000001</v>
      </c>
      <c r="BHZ22">
        <f>SOFR3mo_PX[[#This Row],[Column1586]]</f>
        <v>98.21</v>
      </c>
      <c r="BIA22">
        <f>SOFR3mo_PX[[#This Row],[Column1587]]</f>
        <v>98.21</v>
      </c>
      <c r="BIB22">
        <f>SOFR3mo_PX[[#This Row],[Column1588]]</f>
        <v>98.24</v>
      </c>
      <c r="BIC22">
        <f>SOFR3mo_PX[[#This Row],[Column1589]]</f>
        <v>98.105000000000004</v>
      </c>
      <c r="BID22">
        <f>SOFR3mo_PX[[#This Row],[Column1590]]</f>
        <v>98.07</v>
      </c>
      <c r="BIE22">
        <f>SOFR3mo_PX[[#This Row],[Column1591]]</f>
        <v>98.1</v>
      </c>
      <c r="BIF22">
        <f>SOFR3mo_PX[[#This Row],[Column1592]]</f>
        <v>98.125</v>
      </c>
      <c r="BIG22">
        <f>SOFR3mo_PX[[#This Row],[Column1593]]</f>
        <v>98.114999999999995</v>
      </c>
      <c r="BIH22">
        <f>SOFR3mo_PX[[#This Row],[Column1594]]</f>
        <v>98.16</v>
      </c>
      <c r="BII22">
        <f>SOFR3mo_PX[[#This Row],[Column1595]]</f>
        <v>98.11</v>
      </c>
      <c r="BIJ22">
        <f>SOFR3mo_PX[[#This Row],[Column1596]]</f>
        <v>98.12</v>
      </c>
      <c r="BIK22">
        <f>SOFR3mo_PX[[#This Row],[Column1597]]</f>
        <v>98.045000000000002</v>
      </c>
      <c r="BIL22">
        <f>SOFR3mo_PX[[#This Row],[Column1598]]</f>
        <v>98.03</v>
      </c>
      <c r="BIM22">
        <f>SOFR3mo_PX[[#This Row],[Column1599]]</f>
        <v>97.995000000000005</v>
      </c>
      <c r="BIN22">
        <f>SOFR3mo_PX[[#This Row],[Column1600]]</f>
        <v>98.025000000000006</v>
      </c>
      <c r="BIO22">
        <f>SOFR3mo_PX[[#This Row],[Column1601]]</f>
        <v>97.97</v>
      </c>
      <c r="BIP22">
        <f>SOFR3mo_PX[[#This Row],[Column1602]]</f>
        <v>97.93</v>
      </c>
      <c r="BIQ22">
        <f>SOFR3mo_PX[[#This Row],[Column1603]]</f>
        <v>97.924999999999997</v>
      </c>
      <c r="BIR22">
        <f>SOFR3mo_PX[[#This Row],[Column1604]]</f>
        <v>97.984999999999999</v>
      </c>
      <c r="BIS22">
        <f>SOFR3mo_PX[[#This Row],[Column1605]]</f>
        <v>98.025000000000006</v>
      </c>
      <c r="BIT22">
        <f>SOFR3mo_PX[[#This Row],[Column1606]]</f>
        <v>98</v>
      </c>
      <c r="BIU22">
        <f>SOFR3mo_PX[[#This Row],[Column1607]]</f>
        <v>98.004999999999995</v>
      </c>
      <c r="BIV22">
        <f>SOFR3mo_PX[[#This Row],[Column1608]]</f>
        <v>97.954999999999998</v>
      </c>
      <c r="BIW22">
        <f>SOFR3mo_PX[[#This Row],[Column1609]]</f>
        <v>97.97</v>
      </c>
      <c r="BIX22">
        <f>SOFR3mo_PX[[#This Row],[Column1610]]</f>
        <v>97.915000000000006</v>
      </c>
      <c r="BIY22">
        <f>SOFR3mo_PX[[#This Row],[Column1611]]</f>
        <v>97.894999999999996</v>
      </c>
      <c r="BIZ22">
        <f>SOFR3mo_PX[[#This Row],[Column1612]]</f>
        <v>97.894999999999996</v>
      </c>
      <c r="BJA22">
        <f>SOFR3mo_PX[[#This Row],[Column1613]]</f>
        <v>97.894999999999996</v>
      </c>
      <c r="BJB22">
        <f>SOFR3mo_PX[[#This Row],[Column1614]]</f>
        <v>97.87</v>
      </c>
      <c r="BJC22">
        <f>SOFR3mo_PX[[#This Row],[Column1615]]</f>
        <v>97.864999999999995</v>
      </c>
      <c r="BJD22">
        <f>SOFR3mo_PX[[#This Row],[Column1616]]</f>
        <v>97.894999999999996</v>
      </c>
      <c r="BJE22">
        <f>SOFR3mo_PX[[#This Row],[Column1617]]</f>
        <v>97.89</v>
      </c>
      <c r="BJF22">
        <f>SOFR3mo_PX[[#This Row],[Column1618]]</f>
        <v>97.965000000000003</v>
      </c>
      <c r="BJG22">
        <f>SOFR3mo_PX[[#This Row],[Column1619]]</f>
        <v>98</v>
      </c>
      <c r="BJH22">
        <f>SOFR3mo_PX[[#This Row],[Column1620]]</f>
        <v>97.965000000000003</v>
      </c>
      <c r="BJI22">
        <f>SOFR3mo_PX[[#This Row],[Column1621]]</f>
        <v>97.93</v>
      </c>
      <c r="BJJ22">
        <f>SOFR3mo_PX[[#This Row],[Column1622]]</f>
        <v>97.94</v>
      </c>
      <c r="BJK22">
        <f>SOFR3mo_PX[[#This Row],[Column1623]]</f>
        <v>97.95</v>
      </c>
      <c r="BJL22">
        <f>SOFR3mo_PX[[#This Row],[Column1624]]</f>
        <v>97.96</v>
      </c>
      <c r="BJM22">
        <f>SOFR3mo_PX[[#This Row],[Column1625]]</f>
        <v>97.98</v>
      </c>
      <c r="BJN22">
        <f>SOFR3mo_PX[[#This Row],[Column1626]]</f>
        <v>97.97</v>
      </c>
      <c r="BJO22">
        <f>SOFR3mo_PX[[#This Row],[Column1627]]</f>
        <v>98.05</v>
      </c>
      <c r="BJP22">
        <f>SOFR3mo_PX[[#This Row],[Column1628]]</f>
        <v>98.125</v>
      </c>
      <c r="BJQ22">
        <f>SOFR3mo_PX[[#This Row],[Column1629]]</f>
        <v>98.16</v>
      </c>
      <c r="BJR22">
        <f>SOFR3mo_PX[[#This Row],[Column1630]]</f>
        <v>98.11</v>
      </c>
      <c r="BJS22">
        <f>SOFR3mo_PX[[#This Row],[Column1631]]</f>
        <v>98.14</v>
      </c>
      <c r="BJT22">
        <f>SOFR3mo_PX[[#This Row],[Column1632]]</f>
        <v>98.034999999999997</v>
      </c>
      <c r="BJU22">
        <f>SOFR3mo_PX[[#This Row],[Column1633]]</f>
        <v>97.92</v>
      </c>
      <c r="BJV22">
        <f>SOFR3mo_PX[[#This Row],[Column1634]]</f>
        <v>97.9</v>
      </c>
      <c r="BJW22">
        <f>SOFR3mo_PX[[#This Row],[Column1635]]</f>
        <v>97.81</v>
      </c>
      <c r="BJX22">
        <f>SOFR3mo_PX[[#This Row],[Column1636]]</f>
        <v>97.825000000000003</v>
      </c>
      <c r="BJY22">
        <f>SOFR3mo_PX[[#This Row],[Column1637]]</f>
        <v>97.83</v>
      </c>
      <c r="BJZ22">
        <f>SOFR3mo_PX[[#This Row],[Column1638]]</f>
        <v>97.8</v>
      </c>
      <c r="BKA22">
        <f>SOFR3mo_PX[[#This Row],[Column1639]]</f>
        <v>97.805000000000007</v>
      </c>
      <c r="BKB22">
        <f>SOFR3mo_PX[[#This Row],[Column1640]]</f>
        <v>97.784999999999997</v>
      </c>
      <c r="BKC22">
        <f>SOFR3mo_PX[[#This Row],[Column1641]]</f>
        <v>97.754999999999995</v>
      </c>
      <c r="BKD22">
        <f>SOFR3mo_PX[[#This Row],[Column1642]]</f>
        <v>97.765000000000001</v>
      </c>
      <c r="BKE22">
        <f>SOFR3mo_PX[[#This Row],[Column1643]]</f>
        <v>97.75</v>
      </c>
      <c r="BKF22">
        <f>SOFR3mo_PX[[#This Row],[Column1644]]</f>
        <v>97.674999999999997</v>
      </c>
      <c r="BKG22">
        <f>SOFR3mo_PX[[#This Row],[Column1645]]</f>
        <v>97.64</v>
      </c>
      <c r="BKH22">
        <f>SOFR3mo_PX[[#This Row],[Column1646]]</f>
        <v>97.644999999999996</v>
      </c>
      <c r="BKI22">
        <f>SOFR3mo_PX[[#This Row],[Column1647]]</f>
        <v>97.635000000000005</v>
      </c>
      <c r="BKJ22">
        <f>SOFR3mo_PX[[#This Row],[Column1648]]</f>
        <v>97.704999999999998</v>
      </c>
      <c r="BKK22">
        <f>SOFR3mo_PX[[#This Row],[Column1649]]</f>
        <v>97.724999999999994</v>
      </c>
      <c r="BKL22">
        <f>SOFR3mo_PX[[#This Row],[Column1650]]</f>
        <v>97.75</v>
      </c>
      <c r="BKM22">
        <f>SOFR3mo_PX[[#This Row],[Column1651]]</f>
        <v>97.72</v>
      </c>
      <c r="BKN22">
        <f>SOFR3mo_PX[[#This Row],[Column1652]]</f>
        <v>97.724999999999994</v>
      </c>
      <c r="BKO22">
        <f>SOFR3mo_PX[[#This Row],[Column1653]]</f>
        <v>97.68</v>
      </c>
      <c r="BKP22">
        <f>SOFR3mo_PX[[#This Row],[Column1654]]</f>
        <v>97.72</v>
      </c>
      <c r="BKQ22">
        <f>SOFR3mo_PX[[#This Row],[Column1655]]</f>
        <v>97.715000000000003</v>
      </c>
      <c r="BKR22">
        <f>SOFR3mo_PX[[#This Row],[Column1656]]</f>
        <v>97.7</v>
      </c>
      <c r="BKS22">
        <f>SOFR3mo_PX[[#This Row],[Column1657]]</f>
        <v>97.7</v>
      </c>
      <c r="BKT22">
        <f>SOFR3mo_PX[[#This Row],[Column1658]]</f>
        <v>97.704999999999998</v>
      </c>
      <c r="BKU22">
        <f>SOFR3mo_PX[[#This Row],[Column1659]]</f>
        <v>97.665000000000006</v>
      </c>
      <c r="BKV22">
        <f>SOFR3mo_PX[[#This Row],[Column1660]]</f>
        <v>97.724999999999994</v>
      </c>
      <c r="BKW22">
        <f>SOFR3mo_PX[[#This Row],[Column1661]]</f>
        <v>97.754999999999995</v>
      </c>
      <c r="BKX22">
        <f>SOFR3mo_PX[[#This Row],[Column1662]]</f>
        <v>97.78</v>
      </c>
      <c r="BKY22">
        <f>SOFR3mo_PX[[#This Row],[Column1663]]</f>
        <v>97.745000000000005</v>
      </c>
      <c r="BKZ22">
        <f>SOFR3mo_PX[[#This Row],[Column1664]]</f>
        <v>97.69</v>
      </c>
      <c r="BLA22">
        <f>SOFR3mo_PX[[#This Row],[Column1665]]</f>
        <v>97.68</v>
      </c>
      <c r="BLB22">
        <f>SOFR3mo_PX[[#This Row],[Column1666]]</f>
        <v>97.674999999999997</v>
      </c>
      <c r="BLC22">
        <f>SOFR3mo_PX[[#This Row],[Column1667]]</f>
        <v>97.694999999999993</v>
      </c>
      <c r="BLD22">
        <f>SOFR3mo_PX[[#This Row],[Column1668]]</f>
        <v>97.72</v>
      </c>
      <c r="BLE22">
        <f>SOFR3mo_PX[[#This Row],[Column1669]]</f>
        <v>97.65</v>
      </c>
      <c r="BLF22">
        <f>SOFR3mo_PX[[#This Row],[Column1670]]</f>
        <v>97.6</v>
      </c>
      <c r="BLG22">
        <f>SOFR3mo_PX[[#This Row],[Column1671]]</f>
        <v>97.594999999999999</v>
      </c>
      <c r="BLH22">
        <f>SOFR3mo_PX[[#This Row],[Column1672]]</f>
        <v>97.584999999999994</v>
      </c>
      <c r="BLI22">
        <f>SOFR3mo_PX[[#This Row],[Column1673]]</f>
        <v>97.61</v>
      </c>
      <c r="BLJ22">
        <f>SOFR3mo_PX[[#This Row],[Column1674]]</f>
        <v>97.594999999999999</v>
      </c>
      <c r="BLK22">
        <f>SOFR3mo_PX[[#This Row],[Column1675]]</f>
        <v>97.6</v>
      </c>
      <c r="BLL22">
        <f>SOFR3mo_PX[[#This Row],[Column1676]]</f>
        <v>97.555000000000007</v>
      </c>
      <c r="BLM22">
        <f>SOFR3mo_PX[[#This Row],[Column1677]]</f>
        <v>97.555000000000007</v>
      </c>
      <c r="BLN22">
        <f>SOFR3mo_PX[[#This Row],[Column1678]]</f>
        <v>97.625</v>
      </c>
      <c r="BLO22">
        <f>SOFR3mo_PX[[#This Row],[Column1679]]</f>
        <v>97.655000000000001</v>
      </c>
      <c r="BLP22">
        <f>SOFR3mo_PX[[#This Row],[Column1680]]</f>
        <v>97.68</v>
      </c>
      <c r="BLQ22">
        <f>SOFR3mo_PX[[#This Row],[Column1681]]</f>
        <v>97.67</v>
      </c>
      <c r="BLR22">
        <f>SOFR3mo_PX[[#This Row],[Column1682]]</f>
        <v>97.674999999999997</v>
      </c>
      <c r="BLS22">
        <f>SOFR3mo_PX[[#This Row],[Column1683]]</f>
        <v>97.66</v>
      </c>
      <c r="BLT22">
        <f>SOFR3mo_PX[[#This Row],[Column1684]]</f>
        <v>97.665000000000006</v>
      </c>
      <c r="BLU22">
        <f>SOFR3mo_PX[[#This Row],[Column1685]]</f>
        <v>97.655000000000001</v>
      </c>
      <c r="BLV22">
        <f>SOFR3mo_PX[[#This Row],[Column1686]]</f>
        <v>97.724999999999994</v>
      </c>
      <c r="BLW22">
        <f>SOFR3mo_PX[[#This Row],[Column1687]]</f>
        <v>97.77</v>
      </c>
      <c r="BLX22">
        <f>SOFR3mo_PX[[#This Row],[Column1688]]</f>
        <v>97.834999999999994</v>
      </c>
      <c r="BLY22">
        <f>SOFR3mo_PX[[#This Row],[Column1689]]</f>
        <v>97.65</v>
      </c>
      <c r="BLZ22">
        <f>SOFR3mo_PX[[#This Row],[Column1690]]</f>
        <v>97.66</v>
      </c>
      <c r="BMA22">
        <f>SOFR3mo_PX[[#This Row],[Column1691]]</f>
        <v>97.66</v>
      </c>
      <c r="BMB22">
        <f>SOFR3mo_PX[[#This Row],[Column1692]]</f>
        <v>97.655000000000001</v>
      </c>
      <c r="BMC22">
        <f>SOFR3mo_PX[[#This Row],[Column1693]]</f>
        <v>97.644999999999996</v>
      </c>
      <c r="BMD22">
        <f>SOFR3mo_PX[[#This Row],[Column1694]]</f>
        <v>97.59</v>
      </c>
      <c r="BME22">
        <f>SOFR3mo_PX[[#This Row],[Column1695]]</f>
        <v>97.564999999999998</v>
      </c>
      <c r="BMF22">
        <f>SOFR3mo_PX[[#This Row],[Column1696]]</f>
        <v>97.564999999999998</v>
      </c>
      <c r="BMG22">
        <f>SOFR3mo_PX[[#This Row],[Column1697]]</f>
        <v>97.504999999999995</v>
      </c>
      <c r="BMH22">
        <f>SOFR3mo_PX[[#This Row],[Column1698]]</f>
        <v>97.47</v>
      </c>
      <c r="BMI22">
        <f>SOFR3mo_PX[[#This Row],[Column1699]]</f>
        <v>97.46</v>
      </c>
      <c r="BMJ22">
        <f>SOFR3mo_PX[[#This Row],[Column1700]]</f>
        <v>97.46</v>
      </c>
      <c r="BMK22">
        <f>SOFR3mo_PX[[#This Row],[Column1701]]</f>
        <v>97.41</v>
      </c>
      <c r="BML22">
        <f>SOFR3mo_PX[[#This Row],[Column1702]]</f>
        <v>97.375</v>
      </c>
      <c r="BMM22">
        <f>SOFR3mo_PX[[#This Row],[Column1703]]</f>
        <v>97.344999999999999</v>
      </c>
      <c r="BMN22">
        <f>SOFR3mo_PX[[#This Row],[Column1704]]</f>
        <v>97.35</v>
      </c>
      <c r="BMO22">
        <f>SOFR3mo_PX[[#This Row],[Column1705]]</f>
        <v>97.385000000000005</v>
      </c>
      <c r="BMP22">
        <f>SOFR3mo_PX[[#This Row],[Column1706]]</f>
        <v>97.424999999999997</v>
      </c>
      <c r="BMQ22">
        <f>SOFR3mo_PX[[#This Row],[Column1707]]</f>
        <v>97.39</v>
      </c>
      <c r="BMR22">
        <f>SOFR3mo_PX[[#This Row],[Column1708]]</f>
        <v>97.35</v>
      </c>
      <c r="BMS22">
        <f>SOFR3mo_PX[[#This Row],[Column1709]]</f>
        <v>97.245000000000005</v>
      </c>
      <c r="BMT22">
        <f>SOFR3mo_PX[[#This Row],[Column1710]]</f>
        <v>97.245000000000005</v>
      </c>
      <c r="BMU22">
        <f>SOFR3mo_PX[[#This Row],[Column1711]]</f>
        <v>97.215000000000003</v>
      </c>
      <c r="BMV22">
        <f>SOFR3mo_PX[[#This Row],[Column1712]]</f>
        <v>97.234999999999999</v>
      </c>
      <c r="BMW22">
        <f>SOFR3mo_PX[[#This Row],[Column1713]]</f>
        <v>97.23</v>
      </c>
      <c r="BMX22">
        <f>SOFR3mo_PX[[#This Row],[Column1714]]</f>
        <v>97.224999999999994</v>
      </c>
      <c r="BMY22">
        <f>SOFR3mo_PX[[#This Row],[Column1715]]</f>
        <v>97.19</v>
      </c>
      <c r="BMZ22">
        <f>SOFR3mo_PX[[#This Row],[Column1716]]</f>
        <v>97.174999999999997</v>
      </c>
      <c r="BNA22">
        <f>SOFR3mo_PX[[#This Row],[Column1717]]</f>
        <v>97.185000000000002</v>
      </c>
      <c r="BNB22">
        <f>SOFR3mo_PX[[#This Row],[Column1718]]</f>
        <v>97.185000000000002</v>
      </c>
      <c r="BNC22">
        <f>SOFR3mo_PX[[#This Row],[Column1719]]</f>
        <v>97.185000000000002</v>
      </c>
      <c r="BND22">
        <f>SOFR3mo_PX[[#This Row],[Column1720]]</f>
        <v>97.194999999999993</v>
      </c>
      <c r="BNE22">
        <f>SOFR3mo_PX[[#This Row],[Column1721]]</f>
        <v>97.2</v>
      </c>
      <c r="BNF22">
        <f>SOFR3mo_PX[[#This Row],[Column1722]]</f>
        <v>97.165000000000006</v>
      </c>
      <c r="BNG22">
        <f>SOFR3mo_PX[[#This Row],[Column1723]]</f>
        <v>97.114999999999995</v>
      </c>
      <c r="BNH22">
        <f>SOFR3mo_PX[[#This Row],[Column1724]]</f>
        <v>97.105000000000004</v>
      </c>
      <c r="BNI22">
        <f>SOFR3mo_PX[[#This Row],[Column1725]]</f>
        <v>97.05</v>
      </c>
      <c r="BNJ22">
        <f>SOFR3mo_PX[[#This Row],[Column1726]]</f>
        <v>97.03</v>
      </c>
      <c r="BNK22">
        <f>SOFR3mo_PX[[#This Row],[Column1727]]</f>
        <v>97.01</v>
      </c>
      <c r="BNL22">
        <f>SOFR3mo_PX[[#This Row],[Column1728]]</f>
        <v>96.995000000000005</v>
      </c>
      <c r="BNM22">
        <f>SOFR3mo_PX[[#This Row],[Column1729]]</f>
        <v>97.03</v>
      </c>
      <c r="BNN22">
        <f>SOFR3mo_PX[[#This Row],[Column1730]]</f>
        <v>97.04</v>
      </c>
      <c r="BNO22">
        <f>SOFR3mo_PX[[#This Row],[Column1731]]</f>
        <v>97.05</v>
      </c>
      <c r="BNP22">
        <f>SOFR3mo_PX[[#This Row],[Column1732]]</f>
        <v>97.055000000000007</v>
      </c>
      <c r="BNQ22">
        <f>SOFR3mo_PX[[#This Row],[Column1733]]</f>
        <v>97.094999999999999</v>
      </c>
      <c r="BNR22">
        <f>SOFR3mo_PX[[#This Row],[Column1734]]</f>
        <v>97.084999999999994</v>
      </c>
      <c r="BNS22">
        <f>SOFR3mo_PX[[#This Row],[Column1735]]</f>
        <v>97.114999999999995</v>
      </c>
      <c r="BNT22">
        <f>SOFR3mo_PX[[#This Row],[Column1736]]</f>
        <v>97.114999999999995</v>
      </c>
      <c r="BNU22">
        <f>SOFR3mo_PX[[#This Row],[Column1737]]</f>
        <v>97.12</v>
      </c>
      <c r="BNV22">
        <f>SOFR3mo_PX[[#This Row],[Column1738]]</f>
        <v>97.05</v>
      </c>
      <c r="BNW22">
        <f>SOFR3mo_PX[[#This Row],[Column1739]]</f>
        <v>97.05</v>
      </c>
      <c r="BNX22">
        <f>SOFR3mo_PX[[#This Row],[Column1740]]</f>
        <v>97.02</v>
      </c>
      <c r="BNY22">
        <f>SOFR3mo_PX[[#This Row],[Column1741]]</f>
        <v>96.984999999999999</v>
      </c>
      <c r="BNZ22">
        <f>SOFR3mo_PX[[#This Row],[Column1742]]</f>
        <v>96.98</v>
      </c>
      <c r="BOA22">
        <f>SOFR3mo_PX[[#This Row],[Column1743]]</f>
        <v>97</v>
      </c>
      <c r="BOB22">
        <f>SOFR3mo_PX[[#This Row],[Column1744]]</f>
        <v>96.99</v>
      </c>
      <c r="BOC22">
        <f>SOFR3mo_PX[[#This Row],[Column1745]]</f>
        <v>96.99</v>
      </c>
      <c r="BOD22">
        <f>SOFR3mo_PX[[#This Row],[Column1746]]</f>
        <v>96.995000000000005</v>
      </c>
      <c r="BOE22">
        <f>SOFR3mo_PX[[#This Row],[Column1747]]</f>
        <v>97.004999999999995</v>
      </c>
      <c r="BOF22">
        <f>SOFR3mo_PX[[#This Row],[Column1748]]</f>
        <v>96.984999999999999</v>
      </c>
      <c r="BOG22">
        <f>SOFR3mo_PX[[#This Row],[Column1749]]</f>
        <v>96.935000000000002</v>
      </c>
      <c r="BOH22">
        <f>SOFR3mo_PX[[#This Row],[Column1750]]</f>
        <v>96.924999999999997</v>
      </c>
      <c r="BOI22">
        <f>SOFR3mo_PX[[#This Row],[Column1751]]</f>
        <v>96.93</v>
      </c>
      <c r="BOJ22">
        <f>SOFR3mo_PX[[#This Row],[Column1752]]</f>
        <v>96.935000000000002</v>
      </c>
      <c r="BOK22">
        <f>SOFR3mo_PX[[#This Row],[Column1753]]</f>
        <v>96.96</v>
      </c>
      <c r="BOL22">
        <f>SOFR3mo_PX[[#This Row],[Column1754]]</f>
        <v>96.995000000000005</v>
      </c>
      <c r="BOM22">
        <f>SOFR3mo_PX[[#This Row],[Column1755]]</f>
        <v>97.045000000000002</v>
      </c>
      <c r="BON22">
        <f>SOFR3mo_PX[[#This Row],[Column1756]]</f>
        <v>97.034999999999997</v>
      </c>
      <c r="BOO22">
        <f>SOFR3mo_PX[[#This Row],[Column1757]]</f>
        <v>97.034999999999997</v>
      </c>
      <c r="BOP22">
        <f>SOFR3mo_PX[[#This Row],[Column1758]]</f>
        <v>97.015000000000001</v>
      </c>
      <c r="BOQ22">
        <f>SOFR3mo_PX[[#This Row],[Column1759]]</f>
        <v>97.015000000000001</v>
      </c>
      <c r="BOR22">
        <f>SOFR3mo_PX[[#This Row],[Column1760]]</f>
        <v>97.004999999999995</v>
      </c>
      <c r="BOS22">
        <f>SOFR3mo_PX[[#This Row],[Column1761]]</f>
        <v>97.02</v>
      </c>
      <c r="BOT22">
        <f>SOFR3mo_PX[[#This Row],[Column1762]]</f>
        <v>97.025000000000006</v>
      </c>
      <c r="BOU22">
        <f>SOFR3mo_PX[[#This Row],[Column1763]]</f>
        <v>97.015000000000001</v>
      </c>
      <c r="BOV22">
        <f>SOFR3mo_PX[[#This Row],[Column1764]]</f>
        <v>97.034999999999997</v>
      </c>
      <c r="BOW22">
        <f>SOFR3mo_PX[[#This Row],[Column1765]]</f>
        <v>97.064999999999998</v>
      </c>
      <c r="BOX22">
        <f>SOFR3mo_PX[[#This Row],[Column1766]]</f>
        <v>97.094999999999999</v>
      </c>
      <c r="BOY22">
        <f>SOFR3mo_PX[[#This Row],[Column1767]]</f>
        <v>97.094999999999999</v>
      </c>
      <c r="BOZ22">
        <f>SOFR3mo_PX[[#This Row],[Column1768]]</f>
        <v>97.13</v>
      </c>
      <c r="BPA22">
        <f>SOFR3mo_PX[[#This Row],[Column1769]]</f>
        <v>97.155000000000001</v>
      </c>
      <c r="BPB22">
        <f>SOFR3mo_PX[[#This Row],[Column1770]]</f>
        <v>97.155000000000001</v>
      </c>
      <c r="BPC22">
        <f>SOFR3mo_PX[[#This Row],[Column1771]]</f>
        <v>97.204999999999998</v>
      </c>
      <c r="BPD22">
        <f>SOFR3mo_PX[[#This Row],[Column1772]]</f>
        <v>97.204999999999998</v>
      </c>
      <c r="BPE22">
        <f>SOFR3mo_PX[[#This Row],[Column1773]]</f>
        <v>97.265000000000001</v>
      </c>
      <c r="BPF22">
        <f>SOFR3mo_PX[[#This Row],[Column1774]]</f>
        <v>97.25</v>
      </c>
      <c r="BPG22">
        <f>SOFR3mo_PX[[#This Row],[Column1775]]</f>
        <v>97.254999999999995</v>
      </c>
      <c r="BPH22">
        <f>SOFR3mo_PX[[#This Row],[Column1776]]</f>
        <v>97.275000000000006</v>
      </c>
      <c r="BPI22">
        <f>SOFR3mo_PX[[#This Row],[Column1777]]</f>
        <v>97.275000000000006</v>
      </c>
      <c r="BPJ22">
        <f>SOFR3mo_PX[[#This Row],[Column1778]]</f>
        <v>97.24</v>
      </c>
      <c r="BPK22">
        <f>SOFR3mo_PX[[#This Row],[Column1779]]</f>
        <v>97.23</v>
      </c>
      <c r="BPL22">
        <f>SOFR3mo_PX[[#This Row],[Column1780]]</f>
        <v>97.245000000000005</v>
      </c>
      <c r="BPM22">
        <f>SOFR3mo_PX[[#This Row],[Column1781]]</f>
        <v>97.26</v>
      </c>
      <c r="BPN22">
        <f>SOFR3mo_PX[[#This Row],[Column1782]]</f>
        <v>97.28</v>
      </c>
      <c r="BPO22">
        <f>SOFR3mo_PX[[#This Row],[Column1783]]</f>
        <v>97.28</v>
      </c>
      <c r="BPP22">
        <f>SOFR3mo_PX[[#This Row],[Column1784]]</f>
        <v>97.3</v>
      </c>
      <c r="BPQ22">
        <f>SOFR3mo_PX[[#This Row],[Column1785]]</f>
        <v>97.29</v>
      </c>
      <c r="BPR22">
        <f>SOFR3mo_PX[[#This Row],[Column1786]]</f>
        <v>97.3</v>
      </c>
      <c r="BPS22">
        <f>SOFR3mo_PX[[#This Row],[Column1787]]</f>
        <v>97.275000000000006</v>
      </c>
      <c r="BPT22">
        <f>SOFR3mo_PX[[#This Row],[Column1788]]</f>
        <v>97.27</v>
      </c>
      <c r="BPU22">
        <f>SOFR3mo_PX[[#This Row],[Column1789]]</f>
        <v>97.29</v>
      </c>
      <c r="BPV22">
        <f>SOFR3mo_PX[[#This Row],[Column1790]]</f>
        <v>97.254999999999995</v>
      </c>
      <c r="BPW22">
        <f>SOFR3mo_PX[[#This Row],[Column1791]]</f>
        <v>97.28</v>
      </c>
      <c r="BPX22">
        <f>SOFR3mo_PX[[#This Row],[Column1792]]</f>
        <v>97.284999999999997</v>
      </c>
      <c r="BPY22">
        <f>SOFR3mo_PX[[#This Row],[Column1793]]</f>
        <v>97.22</v>
      </c>
      <c r="BPZ22">
        <f>SOFR3mo_PX[[#This Row],[Column1794]]</f>
        <v>97.204999999999998</v>
      </c>
      <c r="BQA22">
        <f>SOFR3mo_PX[[#This Row],[Column1795]]</f>
        <v>97.2</v>
      </c>
      <c r="BQB22">
        <f>SOFR3mo_PX[[#This Row],[Column1796]]</f>
        <v>97.204999999999998</v>
      </c>
      <c r="BQC22">
        <f>SOFR3mo_PX[[#This Row],[Column1797]]</f>
        <v>97.194999999999993</v>
      </c>
      <c r="BQD22">
        <f>SOFR3mo_PX[[#This Row],[Column1798]]</f>
        <v>97.185000000000002</v>
      </c>
      <c r="BQE22">
        <f>SOFR3mo_PX[[#This Row],[Column1799]]</f>
        <v>97.194999999999993</v>
      </c>
      <c r="BQF22">
        <f>SOFR3mo_PX[[#This Row],[Column1800]]</f>
        <v>97.2</v>
      </c>
      <c r="BQG22">
        <f>SOFR3mo_PX[[#This Row],[Column1801]]</f>
        <v>97.2</v>
      </c>
      <c r="BQH22">
        <f>SOFR3mo_PX[[#This Row],[Column1802]]</f>
        <v>97.19</v>
      </c>
      <c r="BQI22">
        <f>SOFR3mo_PX[[#This Row],[Column1803]]</f>
        <v>97.185000000000002</v>
      </c>
      <c r="BQJ22">
        <f>SOFR3mo_PX[[#This Row],[Column1804]]</f>
        <v>97.23</v>
      </c>
      <c r="BQK22">
        <f>SOFR3mo_PX[[#This Row],[Column1805]]</f>
        <v>97.23</v>
      </c>
      <c r="BQL22">
        <f>SOFR3mo_PX[[#This Row],[Column1806]]</f>
        <v>97.24</v>
      </c>
      <c r="BQM22">
        <f>SOFR3mo_PX[[#This Row],[Column1807]]</f>
        <v>97.275000000000006</v>
      </c>
      <c r="BQN22">
        <f>SOFR3mo_PX[[#This Row],[Column1808]]</f>
        <v>97.28</v>
      </c>
      <c r="BQO22">
        <f>SOFR3mo_PX[[#This Row],[Column1809]]</f>
        <v>97.265000000000001</v>
      </c>
      <c r="BQP22">
        <f>SOFR3mo_PX[[#This Row],[Column1810]]</f>
        <v>97.27</v>
      </c>
      <c r="BQQ22">
        <f>SOFR3mo_PX[[#This Row],[Column1811]]</f>
        <v>97.295000000000002</v>
      </c>
      <c r="BQR22">
        <f>SOFR3mo_PX[[#This Row],[Column1812]]</f>
        <v>97.305000000000007</v>
      </c>
      <c r="BQS22">
        <f>SOFR3mo_PX[[#This Row],[Column1813]]</f>
        <v>97.29</v>
      </c>
      <c r="BQT22">
        <f>SOFR3mo_PX[[#This Row],[Column1814]]</f>
        <v>97.295000000000002</v>
      </c>
      <c r="BQU22">
        <f>SOFR3mo_PX[[#This Row],[Column1815]]</f>
        <v>97.29</v>
      </c>
      <c r="BQV22">
        <f>SOFR3mo_PX[[#This Row],[Column1816]]</f>
        <v>97.3</v>
      </c>
      <c r="BQW22">
        <f>SOFR3mo_PX[[#This Row],[Column1817]]</f>
        <v>97.31</v>
      </c>
      <c r="BQX22">
        <f>SOFR3mo_PX[[#This Row],[Column1818]]</f>
        <v>97.29</v>
      </c>
      <c r="BQY22">
        <f>SOFR3mo_PX[[#This Row],[Column1819]]</f>
        <v>97.305000000000007</v>
      </c>
      <c r="BQZ22">
        <f>SOFR3mo_PX[[#This Row],[Column1820]]</f>
        <v>97.305000000000007</v>
      </c>
      <c r="BRA22">
        <f>SOFR3mo_PX[[#This Row],[Column1821]]</f>
        <v>97.3</v>
      </c>
      <c r="BRB22">
        <f>SOFR3mo_PX[[#This Row],[Column1822]]</f>
        <v>97.3</v>
      </c>
      <c r="BRC22">
        <f>SOFR3mo_PX[[#This Row],[Column1823]]</f>
        <v>97.305000000000007</v>
      </c>
      <c r="BRD22">
        <f>SOFR3mo_PX[[#This Row],[Column1824]]</f>
        <v>97.3</v>
      </c>
      <c r="BRE22">
        <f>SOFR3mo_PX[[#This Row],[Column1825]]</f>
        <v>97.254999999999995</v>
      </c>
      <c r="BRF22">
        <f>SOFR3mo_PX[[#This Row],[Column1826]]</f>
        <v>97.24</v>
      </c>
      <c r="BRG22">
        <f>SOFR3mo_PX[[#This Row],[Column1827]]</f>
        <v>97.21</v>
      </c>
      <c r="BRH22">
        <f>SOFR3mo_PX[[#This Row],[Column1828]]</f>
        <v>97.21</v>
      </c>
      <c r="BRI22">
        <f>SOFR3mo_PX[[#This Row],[Column1829]]</f>
        <v>97.2</v>
      </c>
      <c r="BRJ22">
        <f>SOFR3mo_PX[[#This Row],[Column1830]]</f>
        <v>97.204999999999998</v>
      </c>
      <c r="BRK22">
        <f>SOFR3mo_PX[[#This Row],[Column1831]]</f>
        <v>97.174999999999997</v>
      </c>
      <c r="BRL22">
        <f>SOFR3mo_PX[[#This Row],[Column1832]]</f>
        <v>97.185000000000002</v>
      </c>
      <c r="BRM22">
        <f>SOFR3mo_PX[[#This Row],[Column1833]]</f>
        <v>97.17</v>
      </c>
      <c r="BRN22">
        <f>SOFR3mo_PX[[#This Row],[Column1834]]</f>
        <v>97.17</v>
      </c>
      <c r="BRO22">
        <f>SOFR3mo_PX[[#This Row],[Column1835]]</f>
        <v>97.204999999999998</v>
      </c>
      <c r="BRP22">
        <f>SOFR3mo_PX[[#This Row],[Column1836]]</f>
        <v>97.22</v>
      </c>
      <c r="BRQ22">
        <f>SOFR3mo_PX[[#This Row],[Column1837]]</f>
        <v>97.23</v>
      </c>
      <c r="BRR22">
        <f>SOFR3mo_PX[[#This Row],[Column1838]]</f>
        <v>97.194999999999993</v>
      </c>
      <c r="BRS22">
        <f>SOFR3mo_PX[[#This Row],[Column1839]]</f>
        <v>97.185000000000002</v>
      </c>
      <c r="BRT22">
        <f>SOFR3mo_PX[[#This Row],[Column1840]]</f>
        <v>97.224999999999994</v>
      </c>
      <c r="BRU22">
        <f>SOFR3mo_PX[[#This Row],[Column1841]]</f>
        <v>97.204999999999998</v>
      </c>
      <c r="BRV22">
        <f>SOFR3mo_PX[[#This Row],[Column1842]]</f>
        <v>97.245000000000005</v>
      </c>
      <c r="BRW22">
        <f>SOFR3mo_PX[[#This Row],[Column1843]]</f>
        <v>97.314999999999998</v>
      </c>
      <c r="BRX22">
        <f>SOFR3mo_PX[[#This Row],[Column1844]]</f>
        <v>97.31</v>
      </c>
      <c r="BRY22">
        <f>SOFR3mo_PX[[#This Row],[Column1845]]</f>
        <v>97.405000000000001</v>
      </c>
      <c r="BRZ22">
        <f>SOFR3mo_PX[[#This Row],[Column1846]]</f>
        <v>97.19</v>
      </c>
      <c r="BSA22">
        <f>SOFR3mo_PX[[#This Row],[Column1847]]</f>
        <v>97.19</v>
      </c>
      <c r="BSB22">
        <f>SOFR3mo_PX[[#This Row],[Column1848]]</f>
        <v>97.16</v>
      </c>
      <c r="BSC22">
        <f>SOFR3mo_PX[[#This Row],[Column1849]]</f>
        <v>97.13</v>
      </c>
      <c r="BSD22">
        <f>SOFR3mo_PX[[#This Row],[Column1850]]</f>
        <v>97.08</v>
      </c>
      <c r="BSE22">
        <f>SOFR3mo_PX[[#This Row],[Column1851]]</f>
        <v>97.07</v>
      </c>
      <c r="BSF22">
        <f>SOFR3mo_PX[[#This Row],[Column1852]]</f>
        <v>97.084999999999994</v>
      </c>
      <c r="BSG22">
        <f>SOFR3mo_PX[[#This Row],[Column1853]]</f>
        <v>97.06</v>
      </c>
      <c r="BSH22">
        <f>SOFR3mo_PX[[#This Row],[Column1854]]</f>
        <v>97.075000000000003</v>
      </c>
      <c r="BSI22">
        <f>SOFR3mo_PX[[#This Row],[Column1855]]</f>
        <v>97.084999999999994</v>
      </c>
      <c r="BSJ22">
        <f>SOFR3mo_PX[[#This Row],[Column1856]]</f>
        <v>97.114999999999995</v>
      </c>
      <c r="BSK22">
        <f>SOFR3mo_PX[[#This Row],[Column1857]]</f>
        <v>97.12</v>
      </c>
      <c r="BSL22">
        <f>SOFR3mo_PX[[#This Row],[Column1858]]</f>
        <v>97.135000000000005</v>
      </c>
      <c r="BSM22">
        <f>SOFR3mo_PX[[#This Row],[Column1859]]</f>
        <v>97.155000000000001</v>
      </c>
      <c r="BSN22">
        <f>SOFR3mo_PX[[#This Row],[Column1860]]</f>
        <v>97.18</v>
      </c>
      <c r="BSO22">
        <f>SOFR3mo_PX[[#This Row],[Column1861]]</f>
        <v>97.19</v>
      </c>
      <c r="BSP22">
        <f>SOFR3mo_PX[[#This Row],[Column1862]]</f>
        <v>97.215000000000003</v>
      </c>
      <c r="BSQ22" t="str">
        <f>SOFR3mo_PX[[#This Row],[Column1863]]</f>
        <v>#N/A N/A</v>
      </c>
      <c r="BSR22" t="str">
        <f>SOFR3mo_PX[[#This Row],[Column1864]]</f>
        <v>#N/A N/A</v>
      </c>
      <c r="BSS22" t="str">
        <f>SOFR3mo_PX[[#This Row],[Column1865]]</f>
        <v>#N/A N/A</v>
      </c>
      <c r="BST22" t="str">
        <f>SOFR3mo_PX[[#This Row],[Column1866]]</f>
        <v>#N/A N/A</v>
      </c>
      <c r="BSU22" t="str">
        <f>SOFR3mo_PX[[#This Row],[Column1867]]</f>
        <v>#N/A N/A</v>
      </c>
      <c r="BSV22" t="str">
        <f>SOFR3mo_PX[[#This Row],[Column1868]]</f>
        <v>#N/A N/A</v>
      </c>
      <c r="BSW22" t="str">
        <f>SOFR3mo_PX[[#This Row],[Column1869]]</f>
        <v>#N/A N/A</v>
      </c>
      <c r="BSX22" t="str">
        <f>SOFR3mo_PX[[#This Row],[Column1870]]</f>
        <v>#N/A N/A</v>
      </c>
      <c r="BSY22" t="str">
        <f>SOFR3mo_PX[[#This Row],[Column1871]]</f>
        <v>#N/A N/A</v>
      </c>
      <c r="BSZ22" t="str">
        <f>SOFR3mo_PX[[#This Row],[Column1872]]</f>
        <v>#N/A N/A</v>
      </c>
      <c r="BTA22" t="str">
        <f>SOFR3mo_PX[[#This Row],[Column1873]]</f>
        <v>#N/A N/A</v>
      </c>
      <c r="BTB22" t="str">
        <f>SOFR3mo_PX[[#This Row],[Column1874]]</f>
        <v>#N/A N/A</v>
      </c>
      <c r="BTC22" t="str">
        <f>SOFR3mo_PX[[#This Row],[Column1875]]</f>
        <v>#N/A N/A</v>
      </c>
      <c r="BTD22" t="str">
        <f>SOFR3mo_PX[[#This Row],[Column1876]]</f>
        <v>#N/A N/A</v>
      </c>
      <c r="BTE22" t="str">
        <f>SOFR3mo_PX[[#This Row],[Column1877]]</f>
        <v>#N/A N/A</v>
      </c>
      <c r="BTF22" t="str">
        <f>SOFR3mo_PX[[#This Row],[Column1878]]</f>
        <v>#N/A N/A</v>
      </c>
      <c r="BTG22" t="str">
        <f>SOFR3mo_PX[[#This Row],[Column1879]]</f>
        <v>#N/A N/A</v>
      </c>
      <c r="BTH22" t="str">
        <f>SOFR3mo_PX[[#This Row],[Column1880]]</f>
        <v>#N/A N/A</v>
      </c>
      <c r="BTI22" t="str">
        <f>SOFR3mo_PX[[#This Row],[Column1881]]</f>
        <v>#N/A N/A</v>
      </c>
      <c r="BTJ22" t="str">
        <f>SOFR3mo_PX[[#This Row],[Column1882]]</f>
        <v>#N/A N/A</v>
      </c>
      <c r="BTK22" t="str">
        <f>SOFR3mo_PX[[#This Row],[Column1883]]</f>
        <v>#N/A N/A</v>
      </c>
      <c r="BTL22" t="str">
        <f>SOFR3mo_PX[[#This Row],[Column1884]]</f>
        <v>#N/A N/A</v>
      </c>
      <c r="BTM22" t="str">
        <f>SOFR3mo_PX[[#This Row],[Column1885]]</f>
        <v>#N/A N/A</v>
      </c>
      <c r="BTN22" t="str">
        <f>SOFR3mo_PX[[#This Row],[Column1886]]</f>
        <v>#N/A N/A</v>
      </c>
      <c r="BTO22" t="str">
        <f>SOFR3mo_PX[[#This Row],[Column1887]]</f>
        <v>#N/A N/A</v>
      </c>
      <c r="BTP22" t="str">
        <f>SOFR3mo_PX[[#This Row],[Column1888]]</f>
        <v>#N/A N/A</v>
      </c>
      <c r="BTQ22" t="str">
        <f>SOFR3mo_PX[[#This Row],[Column1889]]</f>
        <v>#N/A N/A</v>
      </c>
      <c r="BTR22" t="str">
        <f>SOFR3mo_PX[[#This Row],[Column1890]]</f>
        <v>#N/A N/A</v>
      </c>
      <c r="BTS22" t="str">
        <f>SOFR3mo_PX[[#This Row],[Column1891]]</f>
        <v>#N/A N/A</v>
      </c>
      <c r="BTT22" t="str">
        <f>SOFR3mo_PX[[#This Row],[Column1892]]</f>
        <v>#N/A N/A</v>
      </c>
      <c r="BTU22" t="str">
        <f>SOFR3mo_PX[[#This Row],[Column1893]]</f>
        <v>#N/A N/A</v>
      </c>
      <c r="BTV22" t="str">
        <f>SOFR3mo_PX[[#This Row],[Column1894]]</f>
        <v>#N/A N/A</v>
      </c>
      <c r="BTW22" t="str">
        <f>SOFR3mo_PX[[#This Row],[Column1895]]</f>
        <v>#N/A N/A</v>
      </c>
      <c r="BTX22" t="str">
        <f>SOFR3mo_PX[[#This Row],[Column1896]]</f>
        <v>#N/A N/A</v>
      </c>
      <c r="BTY22" t="str">
        <f>SOFR3mo_PX[[#This Row],[Column1897]]</f>
        <v>#N/A N/A</v>
      </c>
      <c r="BTZ22" t="str">
        <f>SOFR3mo_PX[[#This Row],[Column1898]]</f>
        <v>#N/A N/A</v>
      </c>
      <c r="BUA22" t="str">
        <f>SOFR3mo_PX[[#This Row],[Column1899]]</f>
        <v>#N/A N/A</v>
      </c>
      <c r="BUB22" t="str">
        <f>SOFR3mo_PX[[#This Row],[Column1900]]</f>
        <v>#N/A N/A</v>
      </c>
      <c r="BUC22" t="str">
        <f>SOFR3mo_PX[[#This Row],[Column1901]]</f>
        <v>#N/A N/A</v>
      </c>
      <c r="BUD22" t="str">
        <f>SOFR3mo_PX[[#This Row],[Column1902]]</f>
        <v>#N/A N/A</v>
      </c>
      <c r="BUE22" t="str">
        <f>SOFR3mo_PX[[#This Row],[Column1903]]</f>
        <v>#N/A N/A</v>
      </c>
      <c r="BUF22" t="str">
        <f>SOFR3mo_PX[[#This Row],[Column1904]]</f>
        <v>#N/A N/A</v>
      </c>
      <c r="BUG22" t="str">
        <f>SOFR3mo_PX[[#This Row],[Column1905]]</f>
        <v>#N/A N/A</v>
      </c>
      <c r="BUH22" t="str">
        <f>SOFR3mo_PX[[#This Row],[Column1906]]</f>
        <v>#N/A N/A</v>
      </c>
      <c r="BUI22" t="str">
        <f>SOFR3mo_PX[[#This Row],[Column1907]]</f>
        <v>#N/A N/A</v>
      </c>
      <c r="BUJ22" t="str">
        <f>SOFR3mo_PX[[#This Row],[Column1908]]</f>
        <v>#N/A N/A</v>
      </c>
      <c r="BUK22" t="str">
        <f>SOFR3mo_PX[[#This Row],[Column1909]]</f>
        <v>#N/A N/A</v>
      </c>
      <c r="BUL22" t="str">
        <f>SOFR3mo_PX[[#This Row],[Column1910]]</f>
        <v>#N/A N/A</v>
      </c>
      <c r="BUM22" t="str">
        <f>SOFR3mo_PX[[#This Row],[Column1911]]</f>
        <v>#N/A N/A</v>
      </c>
      <c r="BUN22" t="str">
        <f>SOFR3mo_PX[[#This Row],[Column1912]]</f>
        <v>#N/A N/A</v>
      </c>
      <c r="BUO22" t="str">
        <f>SOFR3mo_PX[[#This Row],[Column1913]]</f>
        <v>#N/A N/A</v>
      </c>
      <c r="BUP22" t="str">
        <f>SOFR3mo_PX[[#This Row],[Column1914]]</f>
        <v>#N/A N/A</v>
      </c>
      <c r="BUQ22" t="str">
        <f>SOFR3mo_PX[[#This Row],[Column1915]]</f>
        <v>#N/A N/A</v>
      </c>
      <c r="BUR22" t="str">
        <f>SOFR3mo_PX[[#This Row],[Column1916]]</f>
        <v>#N/A N/A</v>
      </c>
      <c r="BUS22" t="str">
        <f>SOFR3mo_PX[[#This Row],[Column1917]]</f>
        <v>#N/A N/A</v>
      </c>
      <c r="BUT22" t="str">
        <f>SOFR3mo_PX[[#This Row],[Column1918]]</f>
        <v>#N/A N/A</v>
      </c>
      <c r="BUU22" t="str">
        <f>SOFR3mo_PX[[#This Row],[Column1919]]</f>
        <v>#N/A N/A</v>
      </c>
      <c r="BUV22" t="str">
        <f>SOFR3mo_PX[[#This Row],[Column1920]]</f>
        <v>#N/A N/A</v>
      </c>
      <c r="BUW22" t="str">
        <f>SOFR3mo_PX[[#This Row],[Column1921]]</f>
        <v>#N/A N/A</v>
      </c>
      <c r="BUX22" t="str">
        <f>SOFR3mo_PX[[#This Row],[Column1922]]</f>
        <v>#N/A N/A</v>
      </c>
      <c r="BUY22" t="str">
        <f>SOFR3mo_PX[[#This Row],[Column1923]]</f>
        <v>#N/A N/A</v>
      </c>
      <c r="BUZ22" t="str">
        <f>SOFR3mo_PX[[#This Row],[Column1924]]</f>
        <v>#N/A N/A</v>
      </c>
      <c r="BVA22" t="str">
        <f>SOFR3mo_PX[[#This Row],[Column1925]]</f>
        <v>#N/A N/A</v>
      </c>
      <c r="BVB22" t="str">
        <f>SOFR3mo_PX[[#This Row],[Column1926]]</f>
        <v>#N/A N/A</v>
      </c>
      <c r="BVC22" t="str">
        <f>SOFR3mo_PX[[#This Row],[Column1927]]</f>
        <v>#N/A N/A</v>
      </c>
      <c r="BVD22" t="str">
        <f>SOFR3mo_PX[[#This Row],[Column1928]]</f>
        <v>#N/A N/A</v>
      </c>
      <c r="BVE22" t="str">
        <f>SOFR3mo_PX[[#This Row],[Column1929]]</f>
        <v>#N/A N/A</v>
      </c>
      <c r="BVF22" t="str">
        <f>SOFR3mo_PX[[#This Row],[Column1930]]</f>
        <v>#N/A N/A</v>
      </c>
      <c r="BVG22" t="str">
        <f>SOFR3mo_PX[[#This Row],[Column1931]]</f>
        <v>#N/A N/A</v>
      </c>
      <c r="BVH22" t="str">
        <f>SOFR3mo_PX[[#This Row],[Column1932]]</f>
        <v>#N/A N/A</v>
      </c>
      <c r="BVI22" t="str">
        <f>SOFR3mo_PX[[#This Row],[Column1933]]</f>
        <v>#N/A N/A</v>
      </c>
      <c r="BVJ22" t="str">
        <f>SOFR3mo_PX[[#This Row],[Column1934]]</f>
        <v>#N/A N/A</v>
      </c>
      <c r="BVK22" t="str">
        <f>SOFR3mo_PX[[#This Row],[Column1935]]</f>
        <v>#N/A N/A</v>
      </c>
      <c r="BVL22" t="str">
        <f>SOFR3mo_PX[[#This Row],[Column1936]]</f>
        <v>#N/A N/A</v>
      </c>
      <c r="BVM22" t="str">
        <f>SOFR3mo_PX[[#This Row],[Column1937]]</f>
        <v>#N/A N/A</v>
      </c>
      <c r="BVN22" t="str">
        <f>SOFR3mo_PX[[#This Row],[Column1938]]</f>
        <v>#N/A N/A</v>
      </c>
      <c r="BVO22" t="str">
        <f>SOFR3mo_PX[[#This Row],[Column1939]]</f>
        <v>#N/A N/A</v>
      </c>
      <c r="BVP22" t="str">
        <f>SOFR3mo_PX[[#This Row],[Column1940]]</f>
        <v>#N/A N/A</v>
      </c>
      <c r="BVQ22" t="str">
        <f>SOFR3mo_PX[[#This Row],[Column1941]]</f>
        <v>#N/A N/A</v>
      </c>
      <c r="BVR22" t="str">
        <f>SOFR3mo_PX[[#This Row],[Column1942]]</f>
        <v>#N/A N/A</v>
      </c>
      <c r="BVS22" t="str">
        <f>SOFR3mo_PX[[#This Row],[Column1943]]</f>
        <v>#N/A N/A</v>
      </c>
      <c r="BVT22" t="str">
        <f>SOFR3mo_PX[[#This Row],[Column1944]]</f>
        <v>#N/A N/A</v>
      </c>
      <c r="BVU22" t="str">
        <f>SOFR3mo_PX[[#This Row],[Column1945]]</f>
        <v>#N/A N/A</v>
      </c>
      <c r="BVV22" t="str">
        <f>SOFR3mo_PX[[#This Row],[Column1946]]</f>
        <v>#N/A N/A</v>
      </c>
      <c r="BVW22" t="str">
        <f>SOFR3mo_PX[[#This Row],[Column1947]]</f>
        <v>#N/A N/A</v>
      </c>
      <c r="BVX22" t="str">
        <f>SOFR3mo_PX[[#This Row],[Column1948]]</f>
        <v>#N/A N/A</v>
      </c>
      <c r="BVY22" t="str">
        <f>SOFR3mo_PX[[#This Row],[Column1949]]</f>
        <v>#N/A N/A</v>
      </c>
      <c r="BVZ22" t="str">
        <f>SOFR3mo_PX[[#This Row],[Column1950]]</f>
        <v>#N/A N/A</v>
      </c>
      <c r="BWA22" t="str">
        <f>SOFR3mo_PX[[#This Row],[Column1951]]</f>
        <v>#N/A N/A</v>
      </c>
      <c r="BWB22" t="str">
        <f>SOFR3mo_PX[[#This Row],[Column1952]]</f>
        <v>#N/A N/A</v>
      </c>
      <c r="BWC22" t="str">
        <f>SOFR3mo_PX[[#This Row],[Column1953]]</f>
        <v>#N/A N/A</v>
      </c>
      <c r="BWD22" t="str">
        <f>SOFR3mo_PX[[#This Row],[Column1954]]</f>
        <v>#N/A N/A</v>
      </c>
    </row>
    <row r="23" spans="1:1954" x14ac:dyDescent="0.25">
      <c r="A23" t="str">
        <f>SOFR3mo_PX[[#This Row],[Column1]]</f>
        <v>SFR21 Comdty</v>
      </c>
      <c r="B23">
        <f>IF(rtd!B21&lt;&gt;"",rtd!B21,SOFR3mo_PX[[#This Row],[Column2]])</f>
        <v>96.122500000000002</v>
      </c>
      <c r="C23">
        <f>SOFR3mo_PX[[#This Row],[Column3]]</f>
        <v>96.1</v>
      </c>
      <c r="D23">
        <f>SOFR3mo_PX[[#This Row],[Column4]]</f>
        <v>96.1</v>
      </c>
      <c r="E23">
        <f>SOFR3mo_PX[[#This Row],[Column5]]</f>
        <v>96.15</v>
      </c>
      <c r="F23">
        <f>SOFR3mo_PX[[#This Row],[Column6]]</f>
        <v>96.09</v>
      </c>
      <c r="G23">
        <f>SOFR3mo_PX[[#This Row],[Column7]]</f>
        <v>96.114999999999995</v>
      </c>
      <c r="H23">
        <f>SOFR3mo_PX[[#This Row],[Column8]]</f>
        <v>96.16</v>
      </c>
      <c r="I23">
        <f>SOFR3mo_PX[[#This Row],[Column9]]</f>
        <v>96.105000000000004</v>
      </c>
      <c r="J23">
        <f>SOFR3mo_PX[[#This Row],[Column10]]</f>
        <v>96.055000000000007</v>
      </c>
      <c r="K23">
        <f>SOFR3mo_PX[[#This Row],[Column11]]</f>
        <v>96.04</v>
      </c>
      <c r="L23">
        <f>SOFR3mo_PX[[#This Row],[Column12]]</f>
        <v>96.025000000000006</v>
      </c>
      <c r="M23">
        <f>SOFR3mo_PX[[#This Row],[Column13]]</f>
        <v>96.13</v>
      </c>
      <c r="N23">
        <f>SOFR3mo_PX[[#This Row],[Column14]]</f>
        <v>96.16</v>
      </c>
      <c r="O23">
        <f>SOFR3mo_PX[[#This Row],[Column15]]</f>
        <v>96.08</v>
      </c>
      <c r="P23">
        <f>SOFR3mo_PX[[#This Row],[Column16]]</f>
        <v>96.075000000000003</v>
      </c>
      <c r="Q23">
        <f>SOFR3mo_PX[[#This Row],[Column17]]</f>
        <v>96.135000000000005</v>
      </c>
      <c r="R23">
        <f>SOFR3mo_PX[[#This Row],[Column18]]</f>
        <v>96.114999999999995</v>
      </c>
      <c r="S23">
        <f>SOFR3mo_PX[[#This Row],[Column19]]</f>
        <v>96.08</v>
      </c>
      <c r="T23">
        <f>SOFR3mo_PX[[#This Row],[Column20]]</f>
        <v>96.13</v>
      </c>
      <c r="U23">
        <f>SOFR3mo_PX[[#This Row],[Column21]]</f>
        <v>96.04</v>
      </c>
      <c r="V23">
        <f>SOFR3mo_PX[[#This Row],[Column22]]</f>
        <v>96.04</v>
      </c>
      <c r="W23">
        <f>SOFR3mo_PX[[#This Row],[Column23]]</f>
        <v>95.98</v>
      </c>
      <c r="X23">
        <f>SOFR3mo_PX[[#This Row],[Column24]]</f>
        <v>95.924999999999997</v>
      </c>
      <c r="Y23">
        <f>SOFR3mo_PX[[#This Row],[Column25]]</f>
        <v>96.03</v>
      </c>
      <c r="Z23">
        <f>SOFR3mo_PX[[#This Row],[Column26]]</f>
        <v>96.02</v>
      </c>
      <c r="AA23">
        <f>SOFR3mo_PX[[#This Row],[Column27]]</f>
        <v>96.045000000000002</v>
      </c>
      <c r="AB23">
        <f>SOFR3mo_PX[[#This Row],[Column28]]</f>
        <v>96.03</v>
      </c>
      <c r="AC23">
        <f>SOFR3mo_PX[[#This Row],[Column29]]</f>
        <v>95.95</v>
      </c>
      <c r="AD23">
        <f>SOFR3mo_PX[[#This Row],[Column30]]</f>
        <v>95.984999999999999</v>
      </c>
      <c r="AE23">
        <f>SOFR3mo_PX[[#This Row],[Column31]]</f>
        <v>96.02</v>
      </c>
      <c r="AF23">
        <f>SOFR3mo_PX[[#This Row],[Column32]]</f>
        <v>96.094999999999999</v>
      </c>
      <c r="AG23">
        <f>SOFR3mo_PX[[#This Row],[Column33]]</f>
        <v>96.094999999999999</v>
      </c>
      <c r="AH23">
        <f>SOFR3mo_PX[[#This Row],[Column34]]</f>
        <v>96.2</v>
      </c>
      <c r="AI23">
        <f>SOFR3mo_PX[[#This Row],[Column35]]</f>
        <v>96.15</v>
      </c>
      <c r="AJ23">
        <f>SOFR3mo_PX[[#This Row],[Column36]]</f>
        <v>96.125</v>
      </c>
      <c r="AK23">
        <f>SOFR3mo_PX[[#This Row],[Column37]]</f>
        <v>96.15</v>
      </c>
      <c r="AL23">
        <f>SOFR3mo_PX[[#This Row],[Column38]]</f>
        <v>96.21</v>
      </c>
      <c r="AM23">
        <f>SOFR3mo_PX[[#This Row],[Column39]]</f>
        <v>96.25</v>
      </c>
      <c r="AN23">
        <f>SOFR3mo_PX[[#This Row],[Column40]]</f>
        <v>96.245000000000005</v>
      </c>
      <c r="AO23">
        <f>SOFR3mo_PX[[#This Row],[Column41]]</f>
        <v>96.185000000000002</v>
      </c>
      <c r="AP23">
        <f>SOFR3mo_PX[[#This Row],[Column42]]</f>
        <v>96.135000000000005</v>
      </c>
      <c r="AQ23">
        <f>SOFR3mo_PX[[#This Row],[Column43]]</f>
        <v>96.08</v>
      </c>
      <c r="AR23">
        <f>SOFR3mo_PX[[#This Row],[Column44]]</f>
        <v>96.004999999999995</v>
      </c>
      <c r="AS23">
        <f>SOFR3mo_PX[[#This Row],[Column45]]</f>
        <v>95.995000000000005</v>
      </c>
      <c r="AT23">
        <f>SOFR3mo_PX[[#This Row],[Column46]]</f>
        <v>95.98</v>
      </c>
      <c r="AU23">
        <f>SOFR3mo_PX[[#This Row],[Column47]]</f>
        <v>96.064999999999998</v>
      </c>
      <c r="AV23">
        <f>SOFR3mo_PX[[#This Row],[Column48]]</f>
        <v>96.064999999999998</v>
      </c>
      <c r="AW23">
        <f>SOFR3mo_PX[[#This Row],[Column49]]</f>
        <v>96.13</v>
      </c>
      <c r="AX23">
        <f>SOFR3mo_PX[[#This Row],[Column50]]</f>
        <v>96.08</v>
      </c>
      <c r="AY23">
        <f>SOFR3mo_PX[[#This Row],[Column51]]</f>
        <v>96.045000000000002</v>
      </c>
      <c r="AZ23">
        <f>SOFR3mo_PX[[#This Row],[Column52]]</f>
        <v>95.924999999999997</v>
      </c>
      <c r="BA23">
        <f>SOFR3mo_PX[[#This Row],[Column53]]</f>
        <v>96.064999999999998</v>
      </c>
      <c r="BB23">
        <f>SOFR3mo_PX[[#This Row],[Column54]]</f>
        <v>96.015000000000001</v>
      </c>
      <c r="BC23">
        <f>SOFR3mo_PX[[#This Row],[Column55]]</f>
        <v>96.18</v>
      </c>
      <c r="BD23">
        <f>SOFR3mo_PX[[#This Row],[Column56]]</f>
        <v>96.254999999999995</v>
      </c>
      <c r="BE23">
        <f>SOFR3mo_PX[[#This Row],[Column57]]</f>
        <v>96.424999999999997</v>
      </c>
      <c r="BF23">
        <f>SOFR3mo_PX[[#This Row],[Column58]]</f>
        <v>96.344999999999999</v>
      </c>
      <c r="BG23">
        <f>SOFR3mo_PX[[#This Row],[Column59]]</f>
        <v>96.18</v>
      </c>
      <c r="BH23">
        <f>SOFR3mo_PX[[#This Row],[Column60]]</f>
        <v>96.24</v>
      </c>
      <c r="BI23">
        <f>SOFR3mo_PX[[#This Row],[Column61]]</f>
        <v>96.135000000000005</v>
      </c>
      <c r="BJ23">
        <f>SOFR3mo_PX[[#This Row],[Column62]]</f>
        <v>96.11</v>
      </c>
      <c r="BK23">
        <f>SOFR3mo_PX[[#This Row],[Column63]]</f>
        <v>95.99</v>
      </c>
      <c r="BL23">
        <f>SOFR3mo_PX[[#This Row],[Column64]]</f>
        <v>96.03</v>
      </c>
      <c r="BM23">
        <f>SOFR3mo_PX[[#This Row],[Column65]]</f>
        <v>96.055000000000007</v>
      </c>
      <c r="BN23">
        <f>SOFR3mo_PX[[#This Row],[Column66]]</f>
        <v>96.03</v>
      </c>
      <c r="BO23">
        <f>SOFR3mo_PX[[#This Row],[Column67]]</f>
        <v>96.105000000000004</v>
      </c>
      <c r="BP23">
        <f>SOFR3mo_PX[[#This Row],[Column68]]</f>
        <v>96.12</v>
      </c>
      <c r="BQ23">
        <f>SOFR3mo_PX[[#This Row],[Column69]]</f>
        <v>96.08</v>
      </c>
      <c r="BR23">
        <f>SOFR3mo_PX[[#This Row],[Column70]]</f>
        <v>96.1</v>
      </c>
      <c r="BS23">
        <f>SOFR3mo_PX[[#This Row],[Column71]]</f>
        <v>96.064999999999998</v>
      </c>
      <c r="BT23">
        <f>SOFR3mo_PX[[#This Row],[Column72]]</f>
        <v>96.05</v>
      </c>
      <c r="BU23">
        <f>SOFR3mo_PX[[#This Row],[Column73]]</f>
        <v>96.1</v>
      </c>
      <c r="BV23">
        <f>SOFR3mo_PX[[#This Row],[Column74]]</f>
        <v>96.064999999999998</v>
      </c>
      <c r="BW23">
        <f>SOFR3mo_PX[[#This Row],[Column75]]</f>
        <v>96.094999999999999</v>
      </c>
      <c r="BX23">
        <f>SOFR3mo_PX[[#This Row],[Column76]]</f>
        <v>96.185000000000002</v>
      </c>
      <c r="BY23">
        <f>SOFR3mo_PX[[#This Row],[Column77]]</f>
        <v>96.055000000000007</v>
      </c>
      <c r="BZ23">
        <f>SOFR3mo_PX[[#This Row],[Column78]]</f>
        <v>96.08</v>
      </c>
      <c r="CA23">
        <f>SOFR3mo_PX[[#This Row],[Column79]]</f>
        <v>96.105000000000004</v>
      </c>
      <c r="CB23">
        <f>SOFR3mo_PX[[#This Row],[Column80]]</f>
        <v>96.18</v>
      </c>
      <c r="CC23">
        <f>SOFR3mo_PX[[#This Row],[Column81]]</f>
        <v>96.22</v>
      </c>
      <c r="CD23">
        <f>SOFR3mo_PX[[#This Row],[Column82]]</f>
        <v>96.17</v>
      </c>
      <c r="CE23">
        <f>SOFR3mo_PX[[#This Row],[Column83]]</f>
        <v>96.105000000000004</v>
      </c>
      <c r="CF23">
        <f>SOFR3mo_PX[[#This Row],[Column84]]</f>
        <v>96.15</v>
      </c>
      <c r="CG23">
        <f>SOFR3mo_PX[[#This Row],[Column85]]</f>
        <v>96.08</v>
      </c>
      <c r="CH23">
        <f>SOFR3mo_PX[[#This Row],[Column86]]</f>
        <v>95.944999999999993</v>
      </c>
      <c r="CI23">
        <f>SOFR3mo_PX[[#This Row],[Column87]]</f>
        <v>95.92</v>
      </c>
      <c r="CJ23">
        <f>SOFR3mo_PX[[#This Row],[Column88]]</f>
        <v>95.834999999999994</v>
      </c>
      <c r="CK23">
        <f>SOFR3mo_PX[[#This Row],[Column89]]</f>
        <v>95.79</v>
      </c>
      <c r="CL23">
        <f>SOFR3mo_PX[[#This Row],[Column90]]</f>
        <v>95.79</v>
      </c>
      <c r="CM23">
        <f>SOFR3mo_PX[[#This Row],[Column91]]</f>
        <v>95.864999999999995</v>
      </c>
      <c r="CN23">
        <f>SOFR3mo_PX[[#This Row],[Column92]]</f>
        <v>95.864999999999995</v>
      </c>
      <c r="CO23">
        <f>SOFR3mo_PX[[#This Row],[Column93]]</f>
        <v>95.8</v>
      </c>
      <c r="CP23">
        <f>SOFR3mo_PX[[#This Row],[Column94]]</f>
        <v>95.685000000000002</v>
      </c>
      <c r="CQ23">
        <f>SOFR3mo_PX[[#This Row],[Column95]]</f>
        <v>95.82</v>
      </c>
      <c r="CR23">
        <f>SOFR3mo_PX[[#This Row],[Column96]]</f>
        <v>95.87</v>
      </c>
      <c r="CS23">
        <f>SOFR3mo_PX[[#This Row],[Column97]]</f>
        <v>95.87</v>
      </c>
      <c r="CT23">
        <f>SOFR3mo_PX[[#This Row],[Column98]]</f>
        <v>95.924999999999997</v>
      </c>
      <c r="CU23">
        <f>SOFR3mo_PX[[#This Row],[Column99]]</f>
        <v>95.974999999999994</v>
      </c>
      <c r="CV23">
        <f>SOFR3mo_PX[[#This Row],[Column100]]</f>
        <v>95.864999999999995</v>
      </c>
      <c r="CW23">
        <f>SOFR3mo_PX[[#This Row],[Column101]]</f>
        <v>95.84</v>
      </c>
      <c r="CX23">
        <f>SOFR3mo_PX[[#This Row],[Column102]]</f>
        <v>95.795000000000002</v>
      </c>
      <c r="CY23">
        <f>SOFR3mo_PX[[#This Row],[Column103]]</f>
        <v>95.86</v>
      </c>
      <c r="CZ23">
        <f>SOFR3mo_PX[[#This Row],[Column104]]</f>
        <v>95.814999999999998</v>
      </c>
      <c r="DA23">
        <f>SOFR3mo_PX[[#This Row],[Column105]]</f>
        <v>95.825000000000003</v>
      </c>
      <c r="DB23">
        <f>SOFR3mo_PX[[#This Row],[Column106]]</f>
        <v>95.85</v>
      </c>
      <c r="DC23">
        <f>SOFR3mo_PX[[#This Row],[Column107]]</f>
        <v>95.74</v>
      </c>
      <c r="DD23">
        <f>SOFR3mo_PX[[#This Row],[Column108]]</f>
        <v>95.74</v>
      </c>
      <c r="DE23">
        <f>SOFR3mo_PX[[#This Row],[Column109]]</f>
        <v>95.78</v>
      </c>
      <c r="DF23">
        <f>SOFR3mo_PX[[#This Row],[Column110]]</f>
        <v>95.81</v>
      </c>
      <c r="DG23">
        <f>SOFR3mo_PX[[#This Row],[Column111]]</f>
        <v>95.765000000000001</v>
      </c>
      <c r="DH23">
        <f>SOFR3mo_PX[[#This Row],[Column112]]</f>
        <v>95.765000000000001</v>
      </c>
      <c r="DI23">
        <f>SOFR3mo_PX[[#This Row],[Column113]]</f>
        <v>95.765000000000001</v>
      </c>
      <c r="DJ23">
        <f>SOFR3mo_PX[[#This Row],[Column114]]</f>
        <v>95.72</v>
      </c>
      <c r="DK23">
        <f>SOFR3mo_PX[[#This Row],[Column115]]</f>
        <v>95.575000000000003</v>
      </c>
      <c r="DL23">
        <f>SOFR3mo_PX[[#This Row],[Column116]]</f>
        <v>95.57</v>
      </c>
      <c r="DM23">
        <f>SOFR3mo_PX[[#This Row],[Column117]]</f>
        <v>95.61</v>
      </c>
      <c r="DN23">
        <f>SOFR3mo_PX[[#This Row],[Column118]]</f>
        <v>95.694999999999993</v>
      </c>
      <c r="DO23">
        <f>SOFR3mo_PX[[#This Row],[Column119]]</f>
        <v>95.68</v>
      </c>
      <c r="DP23">
        <f>SOFR3mo_PX[[#This Row],[Column120]]</f>
        <v>95.69</v>
      </c>
      <c r="DQ23">
        <f>SOFR3mo_PX[[#This Row],[Column121]]</f>
        <v>95.775000000000006</v>
      </c>
      <c r="DR23">
        <f>SOFR3mo_PX[[#This Row],[Column122]]</f>
        <v>95.83</v>
      </c>
      <c r="DS23">
        <f>SOFR3mo_PX[[#This Row],[Column123]]</f>
        <v>95.844999999999999</v>
      </c>
      <c r="DT23">
        <f>SOFR3mo_PX[[#This Row],[Column124]]</f>
        <v>95.84</v>
      </c>
      <c r="DU23">
        <f>SOFR3mo_PX[[#This Row],[Column125]]</f>
        <v>95.84</v>
      </c>
      <c r="DV23">
        <f>SOFR3mo_PX[[#This Row],[Column126]]</f>
        <v>95.88</v>
      </c>
      <c r="DW23">
        <f>SOFR3mo_PX[[#This Row],[Column127]]</f>
        <v>95.8</v>
      </c>
      <c r="DX23">
        <f>SOFR3mo_PX[[#This Row],[Column128]]</f>
        <v>95.855000000000004</v>
      </c>
      <c r="DY23">
        <f>SOFR3mo_PX[[#This Row],[Column129]]</f>
        <v>95.84</v>
      </c>
      <c r="DZ23">
        <f>SOFR3mo_PX[[#This Row],[Column130]]</f>
        <v>95.84</v>
      </c>
      <c r="EA23">
        <f>SOFR3mo_PX[[#This Row],[Column131]]</f>
        <v>95.814999999999998</v>
      </c>
      <c r="EB23">
        <f>SOFR3mo_PX[[#This Row],[Column132]]</f>
        <v>95.915000000000006</v>
      </c>
      <c r="EC23">
        <f>SOFR3mo_PX[[#This Row],[Column133]]</f>
        <v>95.844999999999999</v>
      </c>
      <c r="ED23">
        <f>SOFR3mo_PX[[#This Row],[Column134]]</f>
        <v>95.974999999999994</v>
      </c>
      <c r="EE23">
        <f>SOFR3mo_PX[[#This Row],[Column135]]</f>
        <v>96.11</v>
      </c>
      <c r="EF23">
        <f>SOFR3mo_PX[[#This Row],[Column136]]</f>
        <v>96.094999999999999</v>
      </c>
      <c r="EG23">
        <f>SOFR3mo_PX[[#This Row],[Column137]]</f>
        <v>96.1</v>
      </c>
      <c r="EH23">
        <f>SOFR3mo_PX[[#This Row],[Column138]]</f>
        <v>96.18</v>
      </c>
      <c r="EI23">
        <f>SOFR3mo_PX[[#This Row],[Column139]]</f>
        <v>96.24</v>
      </c>
      <c r="EJ23">
        <f>SOFR3mo_PX[[#This Row],[Column140]]</f>
        <v>96.3</v>
      </c>
      <c r="EK23">
        <f>SOFR3mo_PX[[#This Row],[Column141]]</f>
        <v>96.325000000000003</v>
      </c>
      <c r="EL23">
        <f>SOFR3mo_PX[[#This Row],[Column142]]</f>
        <v>96.364999999999995</v>
      </c>
      <c r="EM23">
        <f>SOFR3mo_PX[[#This Row],[Column143]]</f>
        <v>96.33</v>
      </c>
      <c r="EN23">
        <f>SOFR3mo_PX[[#This Row],[Column144]]</f>
        <v>96.32</v>
      </c>
      <c r="EO23">
        <f>SOFR3mo_PX[[#This Row],[Column145]]</f>
        <v>96.29</v>
      </c>
      <c r="EP23">
        <f>SOFR3mo_PX[[#This Row],[Column146]]</f>
        <v>96.325000000000003</v>
      </c>
      <c r="EQ23">
        <f>SOFR3mo_PX[[#This Row],[Column147]]</f>
        <v>96.325000000000003</v>
      </c>
      <c r="ER23">
        <f>SOFR3mo_PX[[#This Row],[Column148]]</f>
        <v>96.284999999999997</v>
      </c>
      <c r="ES23">
        <f>SOFR3mo_PX[[#This Row],[Column149]]</f>
        <v>96.284999999999997</v>
      </c>
      <c r="ET23">
        <f>SOFR3mo_PX[[#This Row],[Column150]]</f>
        <v>96.22</v>
      </c>
      <c r="EU23">
        <f>SOFR3mo_PX[[#This Row],[Column151]]</f>
        <v>96.284999999999997</v>
      </c>
      <c r="EV23">
        <f>SOFR3mo_PX[[#This Row],[Column152]]</f>
        <v>96.135000000000005</v>
      </c>
      <c r="EW23">
        <f>SOFR3mo_PX[[#This Row],[Column153]]</f>
        <v>96.1</v>
      </c>
      <c r="EX23">
        <f>SOFR3mo_PX[[#This Row],[Column154]]</f>
        <v>96.105000000000004</v>
      </c>
      <c r="EY23">
        <f>SOFR3mo_PX[[#This Row],[Column155]]</f>
        <v>96.135000000000005</v>
      </c>
      <c r="EZ23">
        <f>SOFR3mo_PX[[#This Row],[Column156]]</f>
        <v>96.094999999999999</v>
      </c>
      <c r="FA23">
        <f>SOFR3mo_PX[[#This Row],[Column157]]</f>
        <v>96.084999999999994</v>
      </c>
      <c r="FB23">
        <f>SOFR3mo_PX[[#This Row],[Column158]]</f>
        <v>96.09</v>
      </c>
      <c r="FC23">
        <f>SOFR3mo_PX[[#This Row],[Column159]]</f>
        <v>96.06</v>
      </c>
      <c r="FD23">
        <f>SOFR3mo_PX[[#This Row],[Column160]]</f>
        <v>96.08</v>
      </c>
      <c r="FE23">
        <f>SOFR3mo_PX[[#This Row],[Column161]]</f>
        <v>96.14</v>
      </c>
      <c r="FF23">
        <f>SOFR3mo_PX[[#This Row],[Column162]]</f>
        <v>96.194999999999993</v>
      </c>
      <c r="FG23">
        <f>SOFR3mo_PX[[#This Row],[Column163]]</f>
        <v>96.155000000000001</v>
      </c>
      <c r="FH23">
        <f>SOFR3mo_PX[[#This Row],[Column164]]</f>
        <v>96.05</v>
      </c>
      <c r="FI23">
        <f>SOFR3mo_PX[[#This Row],[Column165]]</f>
        <v>96.224999999999994</v>
      </c>
      <c r="FJ23">
        <f>SOFR3mo_PX[[#This Row],[Column166]]</f>
        <v>96.2</v>
      </c>
      <c r="FK23">
        <f>SOFR3mo_PX[[#This Row],[Column167]]</f>
        <v>96.14</v>
      </c>
      <c r="FL23">
        <f>SOFR3mo_PX[[#This Row],[Column168]]</f>
        <v>96.2</v>
      </c>
      <c r="FM23">
        <f>SOFR3mo_PX[[#This Row],[Column169]]</f>
        <v>96.215000000000003</v>
      </c>
      <c r="FN23">
        <f>SOFR3mo_PX[[#This Row],[Column170]]</f>
        <v>96.194999999999993</v>
      </c>
      <c r="FO23">
        <f>SOFR3mo_PX[[#This Row],[Column171]]</f>
        <v>96.19</v>
      </c>
      <c r="FP23">
        <f>SOFR3mo_PX[[#This Row],[Column172]]</f>
        <v>96.23</v>
      </c>
      <c r="FQ23">
        <f>SOFR3mo_PX[[#This Row],[Column173]]</f>
        <v>96.254999999999995</v>
      </c>
      <c r="FR23">
        <f>SOFR3mo_PX[[#This Row],[Column174]]</f>
        <v>96.204999999999998</v>
      </c>
      <c r="FS23">
        <f>SOFR3mo_PX[[#This Row],[Column175]]</f>
        <v>96.24</v>
      </c>
      <c r="FT23">
        <f>SOFR3mo_PX[[#This Row],[Column176]]</f>
        <v>96.265000000000001</v>
      </c>
      <c r="FU23">
        <f>SOFR3mo_PX[[#This Row],[Column177]]</f>
        <v>96.38</v>
      </c>
      <c r="FV23">
        <f>SOFR3mo_PX[[#This Row],[Column178]]</f>
        <v>96.364999999999995</v>
      </c>
      <c r="FW23">
        <f>SOFR3mo_PX[[#This Row],[Column179]]</f>
        <v>96.46</v>
      </c>
      <c r="FX23">
        <f>SOFR3mo_PX[[#This Row],[Column180]]</f>
        <v>96.44</v>
      </c>
      <c r="FY23">
        <f>SOFR3mo_PX[[#This Row],[Column181]]</f>
        <v>96.344999999999999</v>
      </c>
      <c r="FZ23">
        <f>SOFR3mo_PX[[#This Row],[Column182]]</f>
        <v>96.39</v>
      </c>
      <c r="GA23">
        <f>SOFR3mo_PX[[#This Row],[Column183]]</f>
        <v>96.375</v>
      </c>
      <c r="GB23">
        <f>SOFR3mo_PX[[#This Row],[Column184]]</f>
        <v>96.42</v>
      </c>
      <c r="GC23">
        <f>SOFR3mo_PX[[#This Row],[Column185]]</f>
        <v>96.444999999999993</v>
      </c>
      <c r="GD23">
        <f>SOFR3mo_PX[[#This Row],[Column186]]</f>
        <v>96.454999999999998</v>
      </c>
      <c r="GE23">
        <f>SOFR3mo_PX[[#This Row],[Column187]]</f>
        <v>96.49</v>
      </c>
      <c r="GF23">
        <f>SOFR3mo_PX[[#This Row],[Column188]]</f>
        <v>96.58</v>
      </c>
      <c r="GG23">
        <f>SOFR3mo_PX[[#This Row],[Column189]]</f>
        <v>96.65</v>
      </c>
      <c r="GH23">
        <f>SOFR3mo_PX[[#This Row],[Column190]]</f>
        <v>96.694999999999993</v>
      </c>
      <c r="GI23">
        <f>SOFR3mo_PX[[#This Row],[Column191]]</f>
        <v>96.625</v>
      </c>
      <c r="GJ23">
        <f>SOFR3mo_PX[[#This Row],[Column192]]</f>
        <v>96.665000000000006</v>
      </c>
      <c r="GK23">
        <f>SOFR3mo_PX[[#This Row],[Column193]]</f>
        <v>96.635000000000005</v>
      </c>
      <c r="GL23">
        <f>SOFR3mo_PX[[#This Row],[Column194]]</f>
        <v>96.62</v>
      </c>
      <c r="GM23">
        <f>SOFR3mo_PX[[#This Row],[Column195]]</f>
        <v>96.66</v>
      </c>
      <c r="GN23">
        <f>SOFR3mo_PX[[#This Row],[Column196]]</f>
        <v>96.665000000000006</v>
      </c>
      <c r="GO23">
        <f>SOFR3mo_PX[[#This Row],[Column197]]</f>
        <v>96.68</v>
      </c>
      <c r="GP23">
        <f>SOFR3mo_PX[[#This Row],[Column198]]</f>
        <v>96.665000000000006</v>
      </c>
      <c r="GQ23">
        <f>SOFR3mo_PX[[#This Row],[Column199]]</f>
        <v>96.74</v>
      </c>
      <c r="GR23">
        <f>SOFR3mo_PX[[#This Row],[Column200]]</f>
        <v>96.825000000000003</v>
      </c>
      <c r="GS23">
        <f>SOFR3mo_PX[[#This Row],[Column201]]</f>
        <v>96.82</v>
      </c>
      <c r="GT23">
        <f>SOFR3mo_PX[[#This Row],[Column202]]</f>
        <v>96.8</v>
      </c>
      <c r="GU23">
        <f>SOFR3mo_PX[[#This Row],[Column203]]</f>
        <v>96.79</v>
      </c>
      <c r="GV23">
        <f>SOFR3mo_PX[[#This Row],[Column204]]</f>
        <v>96.825000000000003</v>
      </c>
      <c r="GW23">
        <f>SOFR3mo_PX[[#This Row],[Column205]]</f>
        <v>96.83</v>
      </c>
      <c r="GX23">
        <f>SOFR3mo_PX[[#This Row],[Column206]]</f>
        <v>96.77</v>
      </c>
      <c r="GY23">
        <f>SOFR3mo_PX[[#This Row],[Column207]]</f>
        <v>96.745000000000005</v>
      </c>
      <c r="GZ23">
        <f>SOFR3mo_PX[[#This Row],[Column208]]</f>
        <v>96.75</v>
      </c>
      <c r="HA23">
        <f>SOFR3mo_PX[[#This Row],[Column209]]</f>
        <v>96.715000000000003</v>
      </c>
      <c r="HB23">
        <f>SOFR3mo_PX[[#This Row],[Column210]]</f>
        <v>96.665000000000006</v>
      </c>
      <c r="HC23">
        <f>SOFR3mo_PX[[#This Row],[Column211]]</f>
        <v>96.584999999999994</v>
      </c>
      <c r="HD23">
        <f>SOFR3mo_PX[[#This Row],[Column212]]</f>
        <v>96.584999999999994</v>
      </c>
      <c r="HE23">
        <f>SOFR3mo_PX[[#This Row],[Column213]]</f>
        <v>96.63</v>
      </c>
      <c r="HF23">
        <f>SOFR3mo_PX[[#This Row],[Column214]]</f>
        <v>96.644999999999996</v>
      </c>
      <c r="HG23">
        <f>SOFR3mo_PX[[#This Row],[Column215]]</f>
        <v>96.655000000000001</v>
      </c>
      <c r="HH23">
        <f>SOFR3mo_PX[[#This Row],[Column216]]</f>
        <v>96.674999999999997</v>
      </c>
      <c r="HI23">
        <f>SOFR3mo_PX[[#This Row],[Column217]]</f>
        <v>96.665000000000006</v>
      </c>
      <c r="HJ23">
        <f>SOFR3mo_PX[[#This Row],[Column218]]</f>
        <v>96.605000000000004</v>
      </c>
      <c r="HK23">
        <f>SOFR3mo_PX[[#This Row],[Column219]]</f>
        <v>96.68</v>
      </c>
      <c r="HL23">
        <f>SOFR3mo_PX[[#This Row],[Column220]]</f>
        <v>96.655000000000001</v>
      </c>
      <c r="HM23">
        <f>SOFR3mo_PX[[#This Row],[Column221]]</f>
        <v>96.605000000000004</v>
      </c>
      <c r="HN23">
        <f>SOFR3mo_PX[[#This Row],[Column222]]</f>
        <v>96.57</v>
      </c>
      <c r="HO23">
        <f>SOFR3mo_PX[[#This Row],[Column223]]</f>
        <v>96.534999999999997</v>
      </c>
      <c r="HP23">
        <f>SOFR3mo_PX[[#This Row],[Column224]]</f>
        <v>96.614999999999995</v>
      </c>
      <c r="HQ23">
        <f>SOFR3mo_PX[[#This Row],[Column225]]</f>
        <v>96.58</v>
      </c>
      <c r="HR23">
        <f>SOFR3mo_PX[[#This Row],[Column226]]</f>
        <v>96.545000000000002</v>
      </c>
      <c r="HS23">
        <f>SOFR3mo_PX[[#This Row],[Column227]]</f>
        <v>96.504999999999995</v>
      </c>
      <c r="HT23">
        <f>SOFR3mo_PX[[#This Row],[Column228]]</f>
        <v>96.424999999999997</v>
      </c>
      <c r="HU23">
        <f>SOFR3mo_PX[[#This Row],[Column229]]</f>
        <v>96.44</v>
      </c>
      <c r="HV23">
        <f>SOFR3mo_PX[[#This Row],[Column230]]</f>
        <v>96.525000000000006</v>
      </c>
      <c r="HW23">
        <f>SOFR3mo_PX[[#This Row],[Column231]]</f>
        <v>96.62</v>
      </c>
      <c r="HX23">
        <f>SOFR3mo_PX[[#This Row],[Column232]]</f>
        <v>96.63</v>
      </c>
      <c r="HY23">
        <f>SOFR3mo_PX[[#This Row],[Column233]]</f>
        <v>96.495000000000005</v>
      </c>
      <c r="HZ23">
        <f>SOFR3mo_PX[[#This Row],[Column234]]</f>
        <v>96.39</v>
      </c>
      <c r="IA23">
        <f>SOFR3mo_PX[[#This Row],[Column235]]</f>
        <v>96.355000000000004</v>
      </c>
      <c r="IB23">
        <f>SOFR3mo_PX[[#This Row],[Column236]]</f>
        <v>96.325000000000003</v>
      </c>
      <c r="IC23">
        <f>SOFR3mo_PX[[#This Row],[Column237]]</f>
        <v>96.3</v>
      </c>
      <c r="ID23">
        <f>SOFR3mo_PX[[#This Row],[Column238]]</f>
        <v>96.25</v>
      </c>
      <c r="IE23">
        <f>SOFR3mo_PX[[#This Row],[Column239]]</f>
        <v>96.204999999999998</v>
      </c>
      <c r="IF23">
        <f>SOFR3mo_PX[[#This Row],[Column240]]</f>
        <v>96.265000000000001</v>
      </c>
      <c r="IG23">
        <f>SOFR3mo_PX[[#This Row],[Column241]]</f>
        <v>96.25</v>
      </c>
      <c r="IH23">
        <f>SOFR3mo_PX[[#This Row],[Column242]]</f>
        <v>96.26</v>
      </c>
      <c r="II23">
        <f>SOFR3mo_PX[[#This Row],[Column243]]</f>
        <v>96.31</v>
      </c>
      <c r="IJ23">
        <f>SOFR3mo_PX[[#This Row],[Column244]]</f>
        <v>96.364999999999995</v>
      </c>
      <c r="IK23">
        <f>SOFR3mo_PX[[#This Row],[Column245]]</f>
        <v>96.344999999999999</v>
      </c>
      <c r="IL23">
        <f>SOFR3mo_PX[[#This Row],[Column246]]</f>
        <v>96.275000000000006</v>
      </c>
      <c r="IM23">
        <f>SOFR3mo_PX[[#This Row],[Column247]]</f>
        <v>96.314999999999998</v>
      </c>
      <c r="IN23">
        <f>SOFR3mo_PX[[#This Row],[Column248]]</f>
        <v>96.334999999999994</v>
      </c>
      <c r="IO23">
        <f>SOFR3mo_PX[[#This Row],[Column249]]</f>
        <v>96.245000000000005</v>
      </c>
      <c r="IP23">
        <f>SOFR3mo_PX[[#This Row],[Column250]]</f>
        <v>96.215000000000003</v>
      </c>
      <c r="IQ23">
        <f>SOFR3mo_PX[[#This Row],[Column251]]</f>
        <v>96.254999999999995</v>
      </c>
      <c r="IR23">
        <f>SOFR3mo_PX[[#This Row],[Column252]]</f>
        <v>96.25</v>
      </c>
      <c r="IS23">
        <f>SOFR3mo_PX[[#This Row],[Column253]]</f>
        <v>96.18</v>
      </c>
      <c r="IT23">
        <f>SOFR3mo_PX[[#This Row],[Column254]]</f>
        <v>96.18</v>
      </c>
      <c r="IU23">
        <f>SOFR3mo_PX[[#This Row],[Column255]]</f>
        <v>96.075000000000003</v>
      </c>
      <c r="IV23">
        <f>SOFR3mo_PX[[#This Row],[Column256]]</f>
        <v>96.03</v>
      </c>
      <c r="IW23">
        <f>SOFR3mo_PX[[#This Row],[Column257]]</f>
        <v>96.194999999999993</v>
      </c>
      <c r="IX23">
        <f>SOFR3mo_PX[[#This Row],[Column258]]</f>
        <v>96.254999999999995</v>
      </c>
      <c r="IY23">
        <f>SOFR3mo_PX[[#This Row],[Column259]]</f>
        <v>96.22</v>
      </c>
      <c r="IZ23">
        <f>SOFR3mo_PX[[#This Row],[Column260]]</f>
        <v>96.31</v>
      </c>
      <c r="JA23">
        <f>SOFR3mo_PX[[#This Row],[Column261]]</f>
        <v>96.295000000000002</v>
      </c>
      <c r="JB23">
        <f>SOFR3mo_PX[[#This Row],[Column262]]</f>
        <v>96.27</v>
      </c>
      <c r="JC23">
        <f>SOFR3mo_PX[[#This Row],[Column263]]</f>
        <v>96.28</v>
      </c>
      <c r="JD23">
        <f>SOFR3mo_PX[[#This Row],[Column264]]</f>
        <v>96.355000000000004</v>
      </c>
      <c r="JE23">
        <f>SOFR3mo_PX[[#This Row],[Column265]]</f>
        <v>96.355000000000004</v>
      </c>
      <c r="JF23">
        <f>SOFR3mo_PX[[#This Row],[Column266]]</f>
        <v>96.29</v>
      </c>
      <c r="JG23">
        <f>SOFR3mo_PX[[#This Row],[Column267]]</f>
        <v>96.37</v>
      </c>
      <c r="JH23">
        <f>SOFR3mo_PX[[#This Row],[Column268]]</f>
        <v>96.314999999999998</v>
      </c>
      <c r="JI23">
        <f>SOFR3mo_PX[[#This Row],[Column269]]</f>
        <v>96.26</v>
      </c>
      <c r="JJ23">
        <f>SOFR3mo_PX[[#This Row],[Column270]]</f>
        <v>96.144999999999996</v>
      </c>
      <c r="JK23">
        <f>SOFR3mo_PX[[#This Row],[Column271]]</f>
        <v>96.064999999999998</v>
      </c>
      <c r="JL23">
        <f>SOFR3mo_PX[[#This Row],[Column272]]</f>
        <v>96.11</v>
      </c>
      <c r="JM23">
        <f>SOFR3mo_PX[[#This Row],[Column273]]</f>
        <v>96.254999999999995</v>
      </c>
      <c r="JN23">
        <f>SOFR3mo_PX[[#This Row],[Column274]]</f>
        <v>96.25</v>
      </c>
      <c r="JO23">
        <f>SOFR3mo_PX[[#This Row],[Column275]]</f>
        <v>96.215000000000003</v>
      </c>
      <c r="JP23">
        <f>SOFR3mo_PX[[#This Row],[Column276]]</f>
        <v>96.13</v>
      </c>
      <c r="JQ23">
        <f>SOFR3mo_PX[[#This Row],[Column277]]</f>
        <v>96.004999999999995</v>
      </c>
      <c r="JR23">
        <f>SOFR3mo_PX[[#This Row],[Column278]]</f>
        <v>95.97</v>
      </c>
      <c r="JS23">
        <f>SOFR3mo_PX[[#This Row],[Column279]]</f>
        <v>95.91</v>
      </c>
      <c r="JT23">
        <f>SOFR3mo_PX[[#This Row],[Column280]]</f>
        <v>96.01</v>
      </c>
      <c r="JU23">
        <f>SOFR3mo_PX[[#This Row],[Column281]]</f>
        <v>96.084999999999994</v>
      </c>
      <c r="JV23">
        <f>SOFR3mo_PX[[#This Row],[Column282]]</f>
        <v>96.084999999999994</v>
      </c>
      <c r="JW23">
        <f>SOFR3mo_PX[[#This Row],[Column283]]</f>
        <v>96.07</v>
      </c>
      <c r="JX23">
        <f>SOFR3mo_PX[[#This Row],[Column284]]</f>
        <v>96.084999999999994</v>
      </c>
      <c r="JY23">
        <f>SOFR3mo_PX[[#This Row],[Column285]]</f>
        <v>96.09</v>
      </c>
      <c r="JZ23">
        <f>SOFR3mo_PX[[#This Row],[Column286]]</f>
        <v>96.06</v>
      </c>
      <c r="KA23">
        <f>SOFR3mo_PX[[#This Row],[Column287]]</f>
        <v>96.075000000000003</v>
      </c>
      <c r="KB23">
        <f>SOFR3mo_PX[[#This Row],[Column288]]</f>
        <v>96.12</v>
      </c>
      <c r="KC23">
        <f>SOFR3mo_PX[[#This Row],[Column289]]</f>
        <v>96.125</v>
      </c>
      <c r="KD23">
        <f>SOFR3mo_PX[[#This Row],[Column290]]</f>
        <v>96.045000000000002</v>
      </c>
      <c r="KE23">
        <f>SOFR3mo_PX[[#This Row],[Column291]]</f>
        <v>96.01</v>
      </c>
      <c r="KF23">
        <f>SOFR3mo_PX[[#This Row],[Column292]]</f>
        <v>95.984999999999999</v>
      </c>
      <c r="KG23">
        <f>SOFR3mo_PX[[#This Row],[Column293]]</f>
        <v>96.04</v>
      </c>
      <c r="KH23">
        <f>SOFR3mo_PX[[#This Row],[Column294]]</f>
        <v>96.01</v>
      </c>
      <c r="KI23">
        <f>SOFR3mo_PX[[#This Row],[Column295]]</f>
        <v>96.05</v>
      </c>
      <c r="KJ23">
        <f>SOFR3mo_PX[[#This Row],[Column296]]</f>
        <v>96.01</v>
      </c>
      <c r="KK23">
        <f>SOFR3mo_PX[[#This Row],[Column297]]</f>
        <v>95.99</v>
      </c>
      <c r="KL23">
        <f>SOFR3mo_PX[[#This Row],[Column298]]</f>
        <v>95.91</v>
      </c>
      <c r="KM23">
        <f>SOFR3mo_PX[[#This Row],[Column299]]</f>
        <v>95.894999999999996</v>
      </c>
      <c r="KN23">
        <f>SOFR3mo_PX[[#This Row],[Column300]]</f>
        <v>95.82</v>
      </c>
      <c r="KO23">
        <f>SOFR3mo_PX[[#This Row],[Column301]]</f>
        <v>95.89</v>
      </c>
      <c r="KP23">
        <f>SOFR3mo_PX[[#This Row],[Column302]]</f>
        <v>95.81</v>
      </c>
      <c r="KQ23">
        <f>SOFR3mo_PX[[#This Row],[Column303]]</f>
        <v>95.77</v>
      </c>
      <c r="KR23">
        <f>SOFR3mo_PX[[#This Row],[Column304]]</f>
        <v>95.825000000000003</v>
      </c>
      <c r="KS23">
        <f>SOFR3mo_PX[[#This Row],[Column305]]</f>
        <v>95.9</v>
      </c>
      <c r="KT23">
        <f>SOFR3mo_PX[[#This Row],[Column306]]</f>
        <v>95.88</v>
      </c>
      <c r="KU23">
        <f>SOFR3mo_PX[[#This Row],[Column307]]</f>
        <v>95.894999999999996</v>
      </c>
      <c r="KV23">
        <f>SOFR3mo_PX[[#This Row],[Column308]]</f>
        <v>95.86</v>
      </c>
      <c r="KW23">
        <f>SOFR3mo_PX[[#This Row],[Column309]]</f>
        <v>95.92</v>
      </c>
      <c r="KX23">
        <f>SOFR3mo_PX[[#This Row],[Column310]]</f>
        <v>95.844999999999999</v>
      </c>
      <c r="KY23">
        <f>SOFR3mo_PX[[#This Row],[Column311]]</f>
        <v>95.88</v>
      </c>
      <c r="KZ23">
        <f>SOFR3mo_PX[[#This Row],[Column312]]</f>
        <v>96.025000000000006</v>
      </c>
      <c r="LA23">
        <f>SOFR3mo_PX[[#This Row],[Column313]]</f>
        <v>95.935000000000002</v>
      </c>
      <c r="LB23">
        <f>SOFR3mo_PX[[#This Row],[Column314]]</f>
        <v>95.965000000000003</v>
      </c>
      <c r="LC23">
        <f>SOFR3mo_PX[[#This Row],[Column315]]</f>
        <v>96.12</v>
      </c>
      <c r="LD23">
        <f>SOFR3mo_PX[[#This Row],[Column316]]</f>
        <v>96.06</v>
      </c>
      <c r="LE23">
        <f>SOFR3mo_PX[[#This Row],[Column317]]</f>
        <v>96.105000000000004</v>
      </c>
      <c r="LF23">
        <f>SOFR3mo_PX[[#This Row],[Column318]]</f>
        <v>96.16</v>
      </c>
      <c r="LG23">
        <f>SOFR3mo_PX[[#This Row],[Column319]]</f>
        <v>96.114999999999995</v>
      </c>
      <c r="LH23">
        <f>SOFR3mo_PX[[#This Row],[Column320]]</f>
        <v>96.1</v>
      </c>
      <c r="LI23">
        <f>SOFR3mo_PX[[#This Row],[Column321]]</f>
        <v>96.144999999999996</v>
      </c>
      <c r="LJ23">
        <f>SOFR3mo_PX[[#This Row],[Column322]]</f>
        <v>96.28</v>
      </c>
      <c r="LK23">
        <f>SOFR3mo_PX[[#This Row],[Column323]]</f>
        <v>96.28</v>
      </c>
      <c r="LL23">
        <f>SOFR3mo_PX[[#This Row],[Column324]]</f>
        <v>96.25</v>
      </c>
      <c r="LM23">
        <f>SOFR3mo_PX[[#This Row],[Column325]]</f>
        <v>96.215000000000003</v>
      </c>
      <c r="LN23">
        <f>SOFR3mo_PX[[#This Row],[Column326]]</f>
        <v>96.185000000000002</v>
      </c>
      <c r="LO23">
        <f>SOFR3mo_PX[[#This Row],[Column327]]</f>
        <v>96.22</v>
      </c>
      <c r="LP23">
        <f>SOFR3mo_PX[[#This Row],[Column328]]</f>
        <v>96.16</v>
      </c>
      <c r="LQ23">
        <f>SOFR3mo_PX[[#This Row],[Column329]]</f>
        <v>96.165000000000006</v>
      </c>
      <c r="LR23">
        <f>SOFR3mo_PX[[#This Row],[Column330]]</f>
        <v>96.204999999999998</v>
      </c>
      <c r="LS23">
        <f>SOFR3mo_PX[[#This Row],[Column331]]</f>
        <v>96.165000000000006</v>
      </c>
      <c r="LT23">
        <f>SOFR3mo_PX[[#This Row],[Column332]]</f>
        <v>96.204999999999998</v>
      </c>
      <c r="LU23">
        <f>SOFR3mo_PX[[#This Row],[Column333]]</f>
        <v>96.204999999999998</v>
      </c>
      <c r="LV23">
        <f>SOFR3mo_PX[[#This Row],[Column334]]</f>
        <v>96.325000000000003</v>
      </c>
      <c r="LW23">
        <f>SOFR3mo_PX[[#This Row],[Column335]]</f>
        <v>96.34</v>
      </c>
      <c r="LX23">
        <f>SOFR3mo_PX[[#This Row],[Column336]]</f>
        <v>96.39</v>
      </c>
      <c r="LY23">
        <f>SOFR3mo_PX[[#This Row],[Column337]]</f>
        <v>96.394999999999996</v>
      </c>
      <c r="LZ23">
        <f>SOFR3mo_PX[[#This Row],[Column338]]</f>
        <v>96.4</v>
      </c>
      <c r="MA23">
        <f>SOFR3mo_PX[[#This Row],[Column339]]</f>
        <v>96.394999999999996</v>
      </c>
      <c r="MB23">
        <f>SOFR3mo_PX[[#This Row],[Column340]]</f>
        <v>96.355000000000004</v>
      </c>
      <c r="MC23">
        <f>SOFR3mo_PX[[#This Row],[Column341]]</f>
        <v>96.265000000000001</v>
      </c>
      <c r="MD23">
        <f>SOFR3mo_PX[[#This Row],[Column342]]</f>
        <v>96.295000000000002</v>
      </c>
      <c r="ME23">
        <f>SOFR3mo_PX[[#This Row],[Column343]]</f>
        <v>96.23</v>
      </c>
      <c r="MF23">
        <f>SOFR3mo_PX[[#This Row],[Column344]]</f>
        <v>96.224999999999994</v>
      </c>
      <c r="MG23">
        <f>SOFR3mo_PX[[#This Row],[Column345]]</f>
        <v>96.204999999999998</v>
      </c>
      <c r="MH23">
        <f>SOFR3mo_PX[[#This Row],[Column346]]</f>
        <v>96.224999999999994</v>
      </c>
      <c r="MI23">
        <f>SOFR3mo_PX[[#This Row],[Column347]]</f>
        <v>96.24</v>
      </c>
      <c r="MJ23">
        <f>SOFR3mo_PX[[#This Row],[Column348]]</f>
        <v>96.15</v>
      </c>
      <c r="MK23">
        <f>SOFR3mo_PX[[#This Row],[Column349]]</f>
        <v>96.125</v>
      </c>
      <c r="ML23">
        <f>SOFR3mo_PX[[#This Row],[Column350]]</f>
        <v>96.17</v>
      </c>
      <c r="MM23">
        <f>SOFR3mo_PX[[#This Row],[Column351]]</f>
        <v>96.15</v>
      </c>
      <c r="MN23">
        <f>SOFR3mo_PX[[#This Row],[Column352]]</f>
        <v>96.15</v>
      </c>
      <c r="MO23">
        <f>SOFR3mo_PX[[#This Row],[Column353]]</f>
        <v>96.194999999999993</v>
      </c>
      <c r="MP23">
        <f>SOFR3mo_PX[[#This Row],[Column354]]</f>
        <v>96.16</v>
      </c>
      <c r="MQ23">
        <f>SOFR3mo_PX[[#This Row],[Column355]]</f>
        <v>96.12</v>
      </c>
      <c r="MR23">
        <f>SOFR3mo_PX[[#This Row],[Column356]]</f>
        <v>96.245000000000005</v>
      </c>
      <c r="MS23">
        <f>SOFR3mo_PX[[#This Row],[Column357]]</f>
        <v>96.224999999999994</v>
      </c>
      <c r="MT23">
        <f>SOFR3mo_PX[[#This Row],[Column358]]</f>
        <v>96.24</v>
      </c>
      <c r="MU23">
        <f>SOFR3mo_PX[[#This Row],[Column359]]</f>
        <v>96.325000000000003</v>
      </c>
      <c r="MV23">
        <f>SOFR3mo_PX[[#This Row],[Column360]]</f>
        <v>96.34</v>
      </c>
      <c r="MW23">
        <f>SOFR3mo_PX[[#This Row],[Column361]]</f>
        <v>96.245000000000005</v>
      </c>
      <c r="MX23">
        <f>SOFR3mo_PX[[#This Row],[Column362]]</f>
        <v>96.38</v>
      </c>
      <c r="MY23">
        <f>SOFR3mo_PX[[#This Row],[Column363]]</f>
        <v>96.55</v>
      </c>
      <c r="MZ23">
        <f>SOFR3mo_PX[[#This Row],[Column364]]</f>
        <v>96.435000000000002</v>
      </c>
      <c r="NA23">
        <f>SOFR3mo_PX[[#This Row],[Column365]]</f>
        <v>96.35</v>
      </c>
      <c r="NB23">
        <f>SOFR3mo_PX[[#This Row],[Column366]]</f>
        <v>96.284999999999997</v>
      </c>
      <c r="NC23">
        <f>SOFR3mo_PX[[#This Row],[Column367]]</f>
        <v>96.204999999999998</v>
      </c>
      <c r="ND23">
        <f>SOFR3mo_PX[[#This Row],[Column368]]</f>
        <v>96.23</v>
      </c>
      <c r="NE23">
        <f>SOFR3mo_PX[[#This Row],[Column369]]</f>
        <v>96.19</v>
      </c>
      <c r="NF23">
        <f>SOFR3mo_PX[[#This Row],[Column370]]</f>
        <v>96.234999999999999</v>
      </c>
      <c r="NG23">
        <f>SOFR3mo_PX[[#This Row],[Column371]]</f>
        <v>96.29</v>
      </c>
      <c r="NH23">
        <f>SOFR3mo_PX[[#This Row],[Column372]]</f>
        <v>96.23</v>
      </c>
      <c r="NI23">
        <f>SOFR3mo_PX[[#This Row],[Column373]]</f>
        <v>96.224999999999994</v>
      </c>
      <c r="NJ23">
        <f>SOFR3mo_PX[[#This Row],[Column374]]</f>
        <v>96.28</v>
      </c>
      <c r="NK23">
        <f>SOFR3mo_PX[[#This Row],[Column375]]</f>
        <v>96.3</v>
      </c>
      <c r="NL23">
        <f>SOFR3mo_PX[[#This Row],[Column376]]</f>
        <v>96.424999999999997</v>
      </c>
      <c r="NM23">
        <f>SOFR3mo_PX[[#This Row],[Column377]]</f>
        <v>96.424999999999997</v>
      </c>
      <c r="NN23">
        <f>SOFR3mo_PX[[#This Row],[Column378]]</f>
        <v>96.43</v>
      </c>
      <c r="NO23">
        <f>SOFR3mo_PX[[#This Row],[Column379]]</f>
        <v>96.385000000000005</v>
      </c>
      <c r="NP23">
        <f>SOFR3mo_PX[[#This Row],[Column380]]</f>
        <v>96.394999999999996</v>
      </c>
      <c r="NQ23">
        <f>SOFR3mo_PX[[#This Row],[Column381]]</f>
        <v>96.405000000000001</v>
      </c>
      <c r="NR23">
        <f>SOFR3mo_PX[[#This Row],[Column382]]</f>
        <v>96.394999999999996</v>
      </c>
      <c r="NS23">
        <f>SOFR3mo_PX[[#This Row],[Column383]]</f>
        <v>96.444999999999993</v>
      </c>
      <c r="NT23">
        <f>SOFR3mo_PX[[#This Row],[Column384]]</f>
        <v>96.545000000000002</v>
      </c>
      <c r="NU23">
        <f>SOFR3mo_PX[[#This Row],[Column385]]</f>
        <v>96.5</v>
      </c>
      <c r="NV23">
        <f>SOFR3mo_PX[[#This Row],[Column386]]</f>
        <v>96.55</v>
      </c>
      <c r="NW23">
        <f>SOFR3mo_PX[[#This Row],[Column387]]</f>
        <v>96.55</v>
      </c>
      <c r="NX23">
        <f>SOFR3mo_PX[[#This Row],[Column388]]</f>
        <v>96.57</v>
      </c>
      <c r="NY23">
        <f>SOFR3mo_PX[[#This Row],[Column389]]</f>
        <v>96.635000000000005</v>
      </c>
      <c r="NZ23">
        <f>SOFR3mo_PX[[#This Row],[Column390]]</f>
        <v>96.53</v>
      </c>
      <c r="OA23">
        <f>SOFR3mo_PX[[#This Row],[Column391]]</f>
        <v>96.515000000000001</v>
      </c>
      <c r="OB23">
        <f>SOFR3mo_PX[[#This Row],[Column392]]</f>
        <v>96.515000000000001</v>
      </c>
      <c r="OC23">
        <f>SOFR3mo_PX[[#This Row],[Column393]]</f>
        <v>96.545000000000002</v>
      </c>
      <c r="OD23">
        <f>SOFR3mo_PX[[#This Row],[Column394]]</f>
        <v>96.575000000000003</v>
      </c>
      <c r="OE23">
        <f>SOFR3mo_PX[[#This Row],[Column395]]</f>
        <v>96.56</v>
      </c>
      <c r="OF23">
        <f>SOFR3mo_PX[[#This Row],[Column396]]</f>
        <v>96.53</v>
      </c>
      <c r="OG23">
        <f>SOFR3mo_PX[[#This Row],[Column397]]</f>
        <v>96.56</v>
      </c>
      <c r="OH23">
        <f>SOFR3mo_PX[[#This Row],[Column398]]</f>
        <v>96.534999999999997</v>
      </c>
      <c r="OI23">
        <f>SOFR3mo_PX[[#This Row],[Column399]]</f>
        <v>96.44</v>
      </c>
      <c r="OJ23">
        <f>SOFR3mo_PX[[#This Row],[Column400]]</f>
        <v>96.295000000000002</v>
      </c>
      <c r="OK23">
        <f>SOFR3mo_PX[[#This Row],[Column401]]</f>
        <v>96.25</v>
      </c>
      <c r="OL23">
        <f>SOFR3mo_PX[[#This Row],[Column402]]</f>
        <v>96.245000000000005</v>
      </c>
      <c r="OM23">
        <f>SOFR3mo_PX[[#This Row],[Column403]]</f>
        <v>96.36</v>
      </c>
      <c r="ON23">
        <f>SOFR3mo_PX[[#This Row],[Column404]]</f>
        <v>96.36</v>
      </c>
      <c r="OO23">
        <f>SOFR3mo_PX[[#This Row],[Column405]]</f>
        <v>96.3</v>
      </c>
      <c r="OP23">
        <f>SOFR3mo_PX[[#This Row],[Column406]]</f>
        <v>96.17</v>
      </c>
      <c r="OQ23">
        <f>SOFR3mo_PX[[#This Row],[Column407]]</f>
        <v>96.215000000000003</v>
      </c>
      <c r="OR23">
        <f>SOFR3mo_PX[[#This Row],[Column408]]</f>
        <v>96.1</v>
      </c>
      <c r="OS23">
        <f>SOFR3mo_PX[[#This Row],[Column409]]</f>
        <v>96.185000000000002</v>
      </c>
      <c r="OT23">
        <f>SOFR3mo_PX[[#This Row],[Column410]]</f>
        <v>96.12</v>
      </c>
      <c r="OU23">
        <f>SOFR3mo_PX[[#This Row],[Column411]]</f>
        <v>96.08</v>
      </c>
      <c r="OV23">
        <f>SOFR3mo_PX[[#This Row],[Column412]]</f>
        <v>95.96</v>
      </c>
      <c r="OW23">
        <f>SOFR3mo_PX[[#This Row],[Column413]]</f>
        <v>96.03</v>
      </c>
      <c r="OX23">
        <f>SOFR3mo_PX[[#This Row],[Column414]]</f>
        <v>96.03</v>
      </c>
      <c r="OY23">
        <f>SOFR3mo_PX[[#This Row],[Column415]]</f>
        <v>96.02</v>
      </c>
      <c r="OZ23">
        <f>SOFR3mo_PX[[#This Row],[Column416]]</f>
        <v>96.03</v>
      </c>
      <c r="PA23">
        <f>SOFR3mo_PX[[#This Row],[Column417]]</f>
        <v>95.99</v>
      </c>
      <c r="PB23">
        <f>SOFR3mo_PX[[#This Row],[Column418]]</f>
        <v>95.974999999999994</v>
      </c>
      <c r="PC23">
        <f>SOFR3mo_PX[[#This Row],[Column419]]</f>
        <v>95.87</v>
      </c>
      <c r="PD23">
        <f>SOFR3mo_PX[[#This Row],[Column420]]</f>
        <v>95.96</v>
      </c>
      <c r="PE23">
        <f>SOFR3mo_PX[[#This Row],[Column421]]</f>
        <v>95.77</v>
      </c>
      <c r="PF23">
        <f>SOFR3mo_PX[[#This Row],[Column422]]</f>
        <v>95.775000000000006</v>
      </c>
      <c r="PG23">
        <f>SOFR3mo_PX[[#This Row],[Column423]]</f>
        <v>95.77</v>
      </c>
      <c r="PH23">
        <f>SOFR3mo_PX[[#This Row],[Column424]]</f>
        <v>95.905000000000001</v>
      </c>
      <c r="PI23">
        <f>SOFR3mo_PX[[#This Row],[Column425]]</f>
        <v>95.834999999999994</v>
      </c>
      <c r="PJ23">
        <f>SOFR3mo_PX[[#This Row],[Column426]]</f>
        <v>95.72</v>
      </c>
      <c r="PK23">
        <f>SOFR3mo_PX[[#This Row],[Column427]]</f>
        <v>95.825000000000003</v>
      </c>
      <c r="PL23">
        <f>SOFR3mo_PX[[#This Row],[Column428]]</f>
        <v>95.704999999999998</v>
      </c>
      <c r="PM23">
        <f>SOFR3mo_PX[[#This Row],[Column429]]</f>
        <v>95.575000000000003</v>
      </c>
      <c r="PN23">
        <f>SOFR3mo_PX[[#This Row],[Column430]]</f>
        <v>95.484999999999999</v>
      </c>
      <c r="PO23">
        <f>SOFR3mo_PX[[#This Row],[Column431]]</f>
        <v>95.474999999999994</v>
      </c>
      <c r="PP23">
        <f>SOFR3mo_PX[[#This Row],[Column432]]</f>
        <v>95.484999999999999</v>
      </c>
      <c r="PQ23">
        <f>SOFR3mo_PX[[#This Row],[Column433]]</f>
        <v>95.48</v>
      </c>
      <c r="PR23">
        <f>SOFR3mo_PX[[#This Row],[Column434]]</f>
        <v>95.36</v>
      </c>
      <c r="PS23">
        <f>SOFR3mo_PX[[#This Row],[Column435]]</f>
        <v>95.5</v>
      </c>
      <c r="PT23">
        <f>SOFR3mo_PX[[#This Row],[Column436]]</f>
        <v>95.495000000000005</v>
      </c>
      <c r="PU23">
        <f>SOFR3mo_PX[[#This Row],[Column437]]</f>
        <v>95.394999999999996</v>
      </c>
      <c r="PV23">
        <f>SOFR3mo_PX[[#This Row],[Column438]]</f>
        <v>95.314999999999998</v>
      </c>
      <c r="PW23">
        <f>SOFR3mo_PX[[#This Row],[Column439]]</f>
        <v>95.44</v>
      </c>
      <c r="PX23">
        <f>SOFR3mo_PX[[#This Row],[Column440]]</f>
        <v>95.5</v>
      </c>
      <c r="PY23">
        <f>SOFR3mo_PX[[#This Row],[Column441]]</f>
        <v>95.64</v>
      </c>
      <c r="PZ23">
        <f>SOFR3mo_PX[[#This Row],[Column442]]</f>
        <v>95.73</v>
      </c>
      <c r="QA23">
        <f>SOFR3mo_PX[[#This Row],[Column443]]</f>
        <v>95.625</v>
      </c>
      <c r="QB23">
        <f>SOFR3mo_PX[[#This Row],[Column444]]</f>
        <v>95.74</v>
      </c>
      <c r="QC23">
        <f>SOFR3mo_PX[[#This Row],[Column445]]</f>
        <v>95.665000000000006</v>
      </c>
      <c r="QD23">
        <f>SOFR3mo_PX[[#This Row],[Column446]]</f>
        <v>95.66</v>
      </c>
      <c r="QE23">
        <f>SOFR3mo_PX[[#This Row],[Column447]]</f>
        <v>95.52</v>
      </c>
      <c r="QF23">
        <f>SOFR3mo_PX[[#This Row],[Column448]]</f>
        <v>95.58</v>
      </c>
      <c r="QG23">
        <f>SOFR3mo_PX[[#This Row],[Column449]]</f>
        <v>95.555000000000007</v>
      </c>
      <c r="QH23">
        <f>SOFR3mo_PX[[#This Row],[Column450]]</f>
        <v>95.5</v>
      </c>
      <c r="QI23">
        <f>SOFR3mo_PX[[#This Row],[Column451]]</f>
        <v>95.63</v>
      </c>
      <c r="QJ23">
        <f>SOFR3mo_PX[[#This Row],[Column452]]</f>
        <v>95.775000000000006</v>
      </c>
      <c r="QK23">
        <f>SOFR3mo_PX[[#This Row],[Column453]]</f>
        <v>95.734999999999999</v>
      </c>
      <c r="QL23">
        <f>SOFR3mo_PX[[#This Row],[Column454]]</f>
        <v>95.734999999999999</v>
      </c>
      <c r="QM23">
        <f>SOFR3mo_PX[[#This Row],[Column455]]</f>
        <v>95.81</v>
      </c>
      <c r="QN23">
        <f>SOFR3mo_PX[[#This Row],[Column456]]</f>
        <v>95.82</v>
      </c>
      <c r="QO23">
        <f>SOFR3mo_PX[[#This Row],[Column457]]</f>
        <v>95.954999999999998</v>
      </c>
      <c r="QP23">
        <f>SOFR3mo_PX[[#This Row],[Column458]]</f>
        <v>95.92</v>
      </c>
      <c r="QQ23">
        <f>SOFR3mo_PX[[#This Row],[Column459]]</f>
        <v>96.084999999999994</v>
      </c>
      <c r="QR23">
        <f>SOFR3mo_PX[[#This Row],[Column460]]</f>
        <v>96.084999999999994</v>
      </c>
      <c r="QS23">
        <f>SOFR3mo_PX[[#This Row],[Column461]]</f>
        <v>96.13</v>
      </c>
      <c r="QT23">
        <f>SOFR3mo_PX[[#This Row],[Column462]]</f>
        <v>96.114999999999995</v>
      </c>
      <c r="QU23">
        <f>SOFR3mo_PX[[#This Row],[Column463]]</f>
        <v>96.144999999999996</v>
      </c>
      <c r="QV23">
        <f>SOFR3mo_PX[[#This Row],[Column464]]</f>
        <v>96.19</v>
      </c>
      <c r="QW23">
        <f>SOFR3mo_PX[[#This Row],[Column465]]</f>
        <v>96.17</v>
      </c>
      <c r="QX23">
        <f>SOFR3mo_PX[[#This Row],[Column466]]</f>
        <v>96.135000000000005</v>
      </c>
      <c r="QY23">
        <f>SOFR3mo_PX[[#This Row],[Column467]]</f>
        <v>96.17</v>
      </c>
      <c r="QZ23">
        <f>SOFR3mo_PX[[#This Row],[Column468]]</f>
        <v>96.16</v>
      </c>
      <c r="RA23">
        <f>SOFR3mo_PX[[#This Row],[Column469]]</f>
        <v>96.144999999999996</v>
      </c>
      <c r="RB23">
        <f>SOFR3mo_PX[[#This Row],[Column470]]</f>
        <v>96.16</v>
      </c>
      <c r="RC23">
        <f>SOFR3mo_PX[[#This Row],[Column471]]</f>
        <v>96.23</v>
      </c>
      <c r="RD23">
        <f>SOFR3mo_PX[[#This Row],[Column472]]</f>
        <v>96.23</v>
      </c>
      <c r="RE23">
        <f>SOFR3mo_PX[[#This Row],[Column473]]</f>
        <v>96.325000000000003</v>
      </c>
      <c r="RF23">
        <f>SOFR3mo_PX[[#This Row],[Column474]]</f>
        <v>96.3</v>
      </c>
      <c r="RG23">
        <f>SOFR3mo_PX[[#This Row],[Column475]]</f>
        <v>96.3</v>
      </c>
      <c r="RH23">
        <f>SOFR3mo_PX[[#This Row],[Column476]]</f>
        <v>96.224999999999994</v>
      </c>
      <c r="RI23">
        <f>SOFR3mo_PX[[#This Row],[Column477]]</f>
        <v>96.185000000000002</v>
      </c>
      <c r="RJ23">
        <f>SOFR3mo_PX[[#This Row],[Column478]]</f>
        <v>96.185000000000002</v>
      </c>
      <c r="RK23">
        <f>SOFR3mo_PX[[#This Row],[Column479]]</f>
        <v>96.204999999999998</v>
      </c>
      <c r="RL23">
        <f>SOFR3mo_PX[[#This Row],[Column480]]</f>
        <v>96.05</v>
      </c>
      <c r="RM23">
        <f>SOFR3mo_PX[[#This Row],[Column481]]</f>
        <v>96.03</v>
      </c>
      <c r="RN23">
        <f>SOFR3mo_PX[[#This Row],[Column482]]</f>
        <v>96.125</v>
      </c>
      <c r="RO23">
        <f>SOFR3mo_PX[[#This Row],[Column483]]</f>
        <v>96.05</v>
      </c>
      <c r="RP23">
        <f>SOFR3mo_PX[[#This Row],[Column484]]</f>
        <v>96.14</v>
      </c>
      <c r="RQ23">
        <f>SOFR3mo_PX[[#This Row],[Column485]]</f>
        <v>96.174999999999997</v>
      </c>
      <c r="RR23">
        <f>SOFR3mo_PX[[#This Row],[Column486]]</f>
        <v>96.234999999999999</v>
      </c>
      <c r="RS23">
        <f>SOFR3mo_PX[[#This Row],[Column487]]</f>
        <v>96.22</v>
      </c>
      <c r="RT23">
        <f>SOFR3mo_PX[[#This Row],[Column488]]</f>
        <v>96.325000000000003</v>
      </c>
      <c r="RU23">
        <f>SOFR3mo_PX[[#This Row],[Column489]]</f>
        <v>96.43</v>
      </c>
      <c r="RV23">
        <f>SOFR3mo_PX[[#This Row],[Column490]]</f>
        <v>96.4</v>
      </c>
      <c r="RW23">
        <f>SOFR3mo_PX[[#This Row],[Column491]]</f>
        <v>96.334999999999994</v>
      </c>
      <c r="RX23">
        <f>SOFR3mo_PX[[#This Row],[Column492]]</f>
        <v>96.34</v>
      </c>
      <c r="RY23">
        <f>SOFR3mo_PX[[#This Row],[Column493]]</f>
        <v>96.19</v>
      </c>
      <c r="RZ23">
        <f>SOFR3mo_PX[[#This Row],[Column494]]</f>
        <v>96.325000000000003</v>
      </c>
      <c r="SA23">
        <f>SOFR3mo_PX[[#This Row],[Column495]]</f>
        <v>96.37</v>
      </c>
      <c r="SB23">
        <f>SOFR3mo_PX[[#This Row],[Column496]]</f>
        <v>96.46</v>
      </c>
      <c r="SC23">
        <f>SOFR3mo_PX[[#This Row],[Column497]]</f>
        <v>96.454999999999998</v>
      </c>
      <c r="SD23">
        <f>SOFR3mo_PX[[#This Row],[Column498]]</f>
        <v>96.41</v>
      </c>
      <c r="SE23">
        <f>SOFR3mo_PX[[#This Row],[Column499]]</f>
        <v>96.58</v>
      </c>
      <c r="SF23">
        <f>SOFR3mo_PX[[#This Row],[Column500]]</f>
        <v>96.515000000000001</v>
      </c>
      <c r="SG23">
        <f>SOFR3mo_PX[[#This Row],[Column501]]</f>
        <v>96.58</v>
      </c>
      <c r="SH23">
        <f>SOFR3mo_PX[[#This Row],[Column502]]</f>
        <v>96.59</v>
      </c>
      <c r="SI23">
        <f>SOFR3mo_PX[[#This Row],[Column503]]</f>
        <v>96.57</v>
      </c>
      <c r="SJ23">
        <f>SOFR3mo_PX[[#This Row],[Column504]]</f>
        <v>96.704999999999998</v>
      </c>
      <c r="SK23">
        <f>SOFR3mo_PX[[#This Row],[Column505]]</f>
        <v>96.66</v>
      </c>
      <c r="SL23">
        <f>SOFR3mo_PX[[#This Row],[Column506]]</f>
        <v>96.635000000000005</v>
      </c>
      <c r="SM23">
        <f>SOFR3mo_PX[[#This Row],[Column507]]</f>
        <v>96.594999999999999</v>
      </c>
      <c r="SN23">
        <f>SOFR3mo_PX[[#This Row],[Column508]]</f>
        <v>96.614999999999995</v>
      </c>
      <c r="SO23">
        <f>SOFR3mo_PX[[#This Row],[Column509]]</f>
        <v>96.55</v>
      </c>
      <c r="SP23">
        <f>SOFR3mo_PX[[#This Row],[Column510]]</f>
        <v>96.454999999999998</v>
      </c>
      <c r="SQ23">
        <f>SOFR3mo_PX[[#This Row],[Column511]]</f>
        <v>96.39</v>
      </c>
      <c r="SR23">
        <f>SOFR3mo_PX[[#This Row],[Column512]]</f>
        <v>96.334999999999994</v>
      </c>
      <c r="SS23">
        <f>SOFR3mo_PX[[#This Row],[Column513]]</f>
        <v>96.394999999999996</v>
      </c>
      <c r="ST23">
        <f>SOFR3mo_PX[[#This Row],[Column514]]</f>
        <v>96.534999999999997</v>
      </c>
      <c r="SU23">
        <f>SOFR3mo_PX[[#This Row],[Column515]]</f>
        <v>96.64</v>
      </c>
      <c r="SV23">
        <f>SOFR3mo_PX[[#This Row],[Column516]]</f>
        <v>96.64</v>
      </c>
      <c r="SW23">
        <f>SOFR3mo_PX[[#This Row],[Column517]]</f>
        <v>96.674999999999997</v>
      </c>
      <c r="SX23">
        <f>SOFR3mo_PX[[#This Row],[Column518]]</f>
        <v>96.625</v>
      </c>
      <c r="SY23">
        <f>SOFR3mo_PX[[#This Row],[Column519]]</f>
        <v>96.77</v>
      </c>
      <c r="SZ23">
        <f>SOFR3mo_PX[[#This Row],[Column520]]</f>
        <v>96.7</v>
      </c>
      <c r="TA23">
        <f>SOFR3mo_PX[[#This Row],[Column521]]</f>
        <v>96.73</v>
      </c>
      <c r="TB23">
        <f>SOFR3mo_PX[[#This Row],[Column522]]</f>
        <v>96.7</v>
      </c>
      <c r="TC23">
        <f>SOFR3mo_PX[[#This Row],[Column523]]</f>
        <v>96.644999999999996</v>
      </c>
      <c r="TD23">
        <f>SOFR3mo_PX[[#This Row],[Column524]]</f>
        <v>96.72</v>
      </c>
      <c r="TE23">
        <f>SOFR3mo_PX[[#This Row],[Column525]]</f>
        <v>96.745000000000005</v>
      </c>
      <c r="TF23">
        <f>SOFR3mo_PX[[#This Row],[Column526]]</f>
        <v>96.685000000000002</v>
      </c>
      <c r="TG23">
        <f>SOFR3mo_PX[[#This Row],[Column527]]</f>
        <v>96.685000000000002</v>
      </c>
      <c r="TH23">
        <f>SOFR3mo_PX[[#This Row],[Column528]]</f>
        <v>96.724999999999994</v>
      </c>
      <c r="TI23">
        <f>SOFR3mo_PX[[#This Row],[Column529]]</f>
        <v>96.655000000000001</v>
      </c>
      <c r="TJ23">
        <f>SOFR3mo_PX[[#This Row],[Column530]]</f>
        <v>96.594999999999999</v>
      </c>
      <c r="TK23">
        <f>SOFR3mo_PX[[#This Row],[Column531]]</f>
        <v>96.674999999999997</v>
      </c>
      <c r="TL23">
        <f>SOFR3mo_PX[[#This Row],[Column532]]</f>
        <v>96.68</v>
      </c>
      <c r="TM23">
        <f>SOFR3mo_PX[[#This Row],[Column533]]</f>
        <v>96.694999999999993</v>
      </c>
      <c r="TN23">
        <f>SOFR3mo_PX[[#This Row],[Column534]]</f>
        <v>96.62</v>
      </c>
      <c r="TO23">
        <f>SOFR3mo_PX[[#This Row],[Column535]]</f>
        <v>96.71</v>
      </c>
      <c r="TP23">
        <f>SOFR3mo_PX[[#This Row],[Column536]]</f>
        <v>96.694999999999993</v>
      </c>
      <c r="TQ23">
        <f>SOFR3mo_PX[[#This Row],[Column537]]</f>
        <v>96.67</v>
      </c>
      <c r="TR23">
        <f>SOFR3mo_PX[[#This Row],[Column538]]</f>
        <v>96.775000000000006</v>
      </c>
      <c r="TS23">
        <f>SOFR3mo_PX[[#This Row],[Column539]]</f>
        <v>96.76</v>
      </c>
      <c r="TT23">
        <f>SOFR3mo_PX[[#This Row],[Column540]]</f>
        <v>96.704999999999998</v>
      </c>
      <c r="TU23">
        <f>SOFR3mo_PX[[#This Row],[Column541]]</f>
        <v>96.59</v>
      </c>
      <c r="TV23">
        <f>SOFR3mo_PX[[#This Row],[Column542]]</f>
        <v>96.59</v>
      </c>
      <c r="TW23">
        <f>SOFR3mo_PX[[#This Row],[Column543]]</f>
        <v>96.59</v>
      </c>
      <c r="TX23">
        <f>SOFR3mo_PX[[#This Row],[Column544]]</f>
        <v>96.685000000000002</v>
      </c>
      <c r="TY23">
        <f>SOFR3mo_PX[[#This Row],[Column545]]</f>
        <v>96.685000000000002</v>
      </c>
      <c r="TZ23">
        <f>SOFR3mo_PX[[#This Row],[Column546]]</f>
        <v>96.644999999999996</v>
      </c>
      <c r="UA23">
        <f>SOFR3mo_PX[[#This Row],[Column547]]</f>
        <v>96.65</v>
      </c>
      <c r="UB23">
        <f>SOFR3mo_PX[[#This Row],[Column548]]</f>
        <v>96.7</v>
      </c>
      <c r="UC23">
        <f>SOFR3mo_PX[[#This Row],[Column549]]</f>
        <v>96.77</v>
      </c>
      <c r="UD23">
        <f>SOFR3mo_PX[[#This Row],[Column550]]</f>
        <v>96.795000000000002</v>
      </c>
      <c r="UE23">
        <f>SOFR3mo_PX[[#This Row],[Column551]]</f>
        <v>96.84</v>
      </c>
      <c r="UF23">
        <f>SOFR3mo_PX[[#This Row],[Column552]]</f>
        <v>96.88</v>
      </c>
      <c r="UG23">
        <f>SOFR3mo_PX[[#This Row],[Column553]]</f>
        <v>96.94</v>
      </c>
      <c r="UH23">
        <f>SOFR3mo_PX[[#This Row],[Column554]]</f>
        <v>96.894999999999996</v>
      </c>
      <c r="UI23">
        <f>SOFR3mo_PX[[#This Row],[Column555]]</f>
        <v>96.825000000000003</v>
      </c>
      <c r="UJ23">
        <f>SOFR3mo_PX[[#This Row],[Column556]]</f>
        <v>96.814999999999998</v>
      </c>
      <c r="UK23">
        <f>SOFR3mo_PX[[#This Row],[Column557]]</f>
        <v>96.86</v>
      </c>
      <c r="UL23">
        <f>SOFR3mo_PX[[#This Row],[Column558]]</f>
        <v>96.935000000000002</v>
      </c>
      <c r="UM23">
        <f>SOFR3mo_PX[[#This Row],[Column559]]</f>
        <v>96.915000000000006</v>
      </c>
      <c r="UN23">
        <f>SOFR3mo_PX[[#This Row],[Column560]]</f>
        <v>96.9</v>
      </c>
      <c r="UO23">
        <f>SOFR3mo_PX[[#This Row],[Column561]]</f>
        <v>96.765000000000001</v>
      </c>
      <c r="UP23">
        <f>SOFR3mo_PX[[#This Row],[Column562]]</f>
        <v>96.894999999999996</v>
      </c>
      <c r="UQ23">
        <f>SOFR3mo_PX[[#This Row],[Column563]]</f>
        <v>96.83</v>
      </c>
      <c r="UR23">
        <f>SOFR3mo_PX[[#This Row],[Column564]]</f>
        <v>96.91</v>
      </c>
      <c r="US23">
        <f>SOFR3mo_PX[[#This Row],[Column565]]</f>
        <v>96.96</v>
      </c>
      <c r="UT23">
        <f>SOFR3mo_PX[[#This Row],[Column566]]</f>
        <v>96.88</v>
      </c>
      <c r="UU23">
        <f>SOFR3mo_PX[[#This Row],[Column567]]</f>
        <v>96.814999999999998</v>
      </c>
      <c r="UV23">
        <f>SOFR3mo_PX[[#This Row],[Column568]]</f>
        <v>96.86</v>
      </c>
      <c r="UW23">
        <f>SOFR3mo_PX[[#This Row],[Column569]]</f>
        <v>96.81</v>
      </c>
      <c r="UX23">
        <f>SOFR3mo_PX[[#This Row],[Column570]]</f>
        <v>96.83</v>
      </c>
      <c r="UY23">
        <f>SOFR3mo_PX[[#This Row],[Column571]]</f>
        <v>96.81</v>
      </c>
      <c r="UZ23">
        <f>SOFR3mo_PX[[#This Row],[Column572]]</f>
        <v>96.87</v>
      </c>
      <c r="VA23">
        <f>SOFR3mo_PX[[#This Row],[Column573]]</f>
        <v>96.93</v>
      </c>
      <c r="VB23">
        <f>SOFR3mo_PX[[#This Row],[Column574]]</f>
        <v>96.984999999999999</v>
      </c>
      <c r="VC23">
        <f>SOFR3mo_PX[[#This Row],[Column575]]</f>
        <v>96.97</v>
      </c>
      <c r="VD23">
        <f>SOFR3mo_PX[[#This Row],[Column576]]</f>
        <v>96.965000000000003</v>
      </c>
      <c r="VE23">
        <f>SOFR3mo_PX[[#This Row],[Column577]]</f>
        <v>97.02</v>
      </c>
      <c r="VF23">
        <f>SOFR3mo_PX[[#This Row],[Column578]]</f>
        <v>97.094999999999999</v>
      </c>
      <c r="VG23">
        <f>SOFR3mo_PX[[#This Row],[Column579]]</f>
        <v>97.08</v>
      </c>
      <c r="VH23">
        <f>SOFR3mo_PX[[#This Row],[Column580]]</f>
        <v>97.05</v>
      </c>
      <c r="VI23">
        <f>SOFR3mo_PX[[#This Row],[Column581]]</f>
        <v>96.96</v>
      </c>
      <c r="VJ23">
        <f>SOFR3mo_PX[[#This Row],[Column582]]</f>
        <v>96.905000000000001</v>
      </c>
      <c r="VK23">
        <f>SOFR3mo_PX[[#This Row],[Column583]]</f>
        <v>96.85</v>
      </c>
      <c r="VL23">
        <f>SOFR3mo_PX[[#This Row],[Column584]]</f>
        <v>96.825000000000003</v>
      </c>
      <c r="VM23">
        <f>SOFR3mo_PX[[#This Row],[Column585]]</f>
        <v>96.814999999999998</v>
      </c>
      <c r="VN23">
        <f>SOFR3mo_PX[[#This Row],[Column586]]</f>
        <v>96.844999999999999</v>
      </c>
      <c r="VO23">
        <f>SOFR3mo_PX[[#This Row],[Column587]]</f>
        <v>96.974999999999994</v>
      </c>
      <c r="VP23">
        <f>SOFR3mo_PX[[#This Row],[Column588]]</f>
        <v>96.924999999999997</v>
      </c>
      <c r="VQ23">
        <f>SOFR3mo_PX[[#This Row],[Column589]]</f>
        <v>96.84</v>
      </c>
      <c r="VR23">
        <f>SOFR3mo_PX[[#This Row],[Column590]]</f>
        <v>96.775000000000006</v>
      </c>
      <c r="VS23">
        <f>SOFR3mo_PX[[#This Row],[Column591]]</f>
        <v>96.844999999999999</v>
      </c>
      <c r="VT23">
        <f>SOFR3mo_PX[[#This Row],[Column592]]</f>
        <v>96.95</v>
      </c>
      <c r="VU23">
        <f>SOFR3mo_PX[[#This Row],[Column593]]</f>
        <v>96.784999999999997</v>
      </c>
      <c r="VV23">
        <f>SOFR3mo_PX[[#This Row],[Column594]]</f>
        <v>96.85</v>
      </c>
      <c r="VW23">
        <f>SOFR3mo_PX[[#This Row],[Column595]]</f>
        <v>96.745000000000005</v>
      </c>
      <c r="VX23">
        <f>SOFR3mo_PX[[#This Row],[Column596]]</f>
        <v>96.825000000000003</v>
      </c>
      <c r="VY23">
        <f>SOFR3mo_PX[[#This Row],[Column597]]</f>
        <v>96.83</v>
      </c>
      <c r="VZ23">
        <f>SOFR3mo_PX[[#This Row],[Column598]]</f>
        <v>96.625</v>
      </c>
      <c r="WA23">
        <f>SOFR3mo_PX[[#This Row],[Column599]]</f>
        <v>96.655000000000001</v>
      </c>
      <c r="WB23">
        <f>SOFR3mo_PX[[#This Row],[Column600]]</f>
        <v>96.64</v>
      </c>
      <c r="WC23">
        <f>SOFR3mo_PX[[#This Row],[Column601]]</f>
        <v>96.575000000000003</v>
      </c>
      <c r="WD23">
        <f>SOFR3mo_PX[[#This Row],[Column602]]</f>
        <v>96.575000000000003</v>
      </c>
      <c r="WE23">
        <f>SOFR3mo_PX[[#This Row],[Column603]]</f>
        <v>96.46</v>
      </c>
      <c r="WF23">
        <f>SOFR3mo_PX[[#This Row],[Column604]]</f>
        <v>96.57</v>
      </c>
      <c r="WG23">
        <f>SOFR3mo_PX[[#This Row],[Column605]]</f>
        <v>96.655000000000001</v>
      </c>
      <c r="WH23">
        <f>SOFR3mo_PX[[#This Row],[Column606]]</f>
        <v>96.65</v>
      </c>
      <c r="WI23">
        <f>SOFR3mo_PX[[#This Row],[Column607]]</f>
        <v>96.594999999999999</v>
      </c>
      <c r="WJ23">
        <f>SOFR3mo_PX[[#This Row],[Column608]]</f>
        <v>96.644999999999996</v>
      </c>
      <c r="WK23">
        <f>SOFR3mo_PX[[#This Row],[Column609]]</f>
        <v>96.59</v>
      </c>
      <c r="WL23">
        <f>SOFR3mo_PX[[#This Row],[Column610]]</f>
        <v>96.564999999999998</v>
      </c>
      <c r="WM23">
        <f>SOFR3mo_PX[[#This Row],[Column611]]</f>
        <v>96.715000000000003</v>
      </c>
      <c r="WN23">
        <f>SOFR3mo_PX[[#This Row],[Column612]]</f>
        <v>96.715000000000003</v>
      </c>
      <c r="WO23">
        <f>SOFR3mo_PX[[#This Row],[Column613]]</f>
        <v>96.694999999999993</v>
      </c>
      <c r="WP23">
        <f>SOFR3mo_PX[[#This Row],[Column614]]</f>
        <v>96.73</v>
      </c>
      <c r="WQ23">
        <f>SOFR3mo_PX[[#This Row],[Column615]]</f>
        <v>96.784999999999997</v>
      </c>
      <c r="WR23">
        <f>SOFR3mo_PX[[#This Row],[Column616]]</f>
        <v>96.805000000000007</v>
      </c>
      <c r="WS23">
        <f>SOFR3mo_PX[[#This Row],[Column617]]</f>
        <v>96.78</v>
      </c>
      <c r="WT23">
        <f>SOFR3mo_PX[[#This Row],[Column618]]</f>
        <v>96.84</v>
      </c>
      <c r="WU23">
        <f>SOFR3mo_PX[[#This Row],[Column619]]</f>
        <v>96.864999999999995</v>
      </c>
      <c r="WV23">
        <f>SOFR3mo_PX[[#This Row],[Column620]]</f>
        <v>96.844999999999999</v>
      </c>
      <c r="WW23">
        <f>SOFR3mo_PX[[#This Row],[Column621]]</f>
        <v>96.875</v>
      </c>
      <c r="WX23">
        <f>SOFR3mo_PX[[#This Row],[Column622]]</f>
        <v>96.96</v>
      </c>
      <c r="WY23">
        <f>SOFR3mo_PX[[#This Row],[Column623]]</f>
        <v>97.075000000000003</v>
      </c>
      <c r="WZ23">
        <f>SOFR3mo_PX[[#This Row],[Column624]]</f>
        <v>97.094999999999999</v>
      </c>
      <c r="XA23">
        <f>SOFR3mo_PX[[#This Row],[Column625]]</f>
        <v>96.97</v>
      </c>
      <c r="XB23">
        <f>SOFR3mo_PX[[#This Row],[Column626]]</f>
        <v>96.935000000000002</v>
      </c>
      <c r="XC23">
        <f>SOFR3mo_PX[[#This Row],[Column627]]</f>
        <v>96.974999999999994</v>
      </c>
      <c r="XD23">
        <f>SOFR3mo_PX[[#This Row],[Column628]]</f>
        <v>97.025000000000006</v>
      </c>
      <c r="XE23">
        <f>SOFR3mo_PX[[#This Row],[Column629]]</f>
        <v>97.055000000000007</v>
      </c>
      <c r="XF23">
        <f>SOFR3mo_PX[[#This Row],[Column630]]</f>
        <v>97.055000000000007</v>
      </c>
      <c r="XG23">
        <f>SOFR3mo_PX[[#This Row],[Column631]]</f>
        <v>96.98</v>
      </c>
      <c r="XH23">
        <f>SOFR3mo_PX[[#This Row],[Column632]]</f>
        <v>97.015000000000001</v>
      </c>
      <c r="XI23">
        <f>SOFR3mo_PX[[#This Row],[Column633]]</f>
        <v>97.11</v>
      </c>
      <c r="XJ23">
        <f>SOFR3mo_PX[[#This Row],[Column634]]</f>
        <v>97.144999999999996</v>
      </c>
      <c r="XK23">
        <f>SOFR3mo_PX[[#This Row],[Column635]]</f>
        <v>96.99</v>
      </c>
      <c r="XL23">
        <f>SOFR3mo_PX[[#This Row],[Column636]]</f>
        <v>97.03</v>
      </c>
      <c r="XM23">
        <f>SOFR3mo_PX[[#This Row],[Column637]]</f>
        <v>97.03</v>
      </c>
      <c r="XN23">
        <f>SOFR3mo_PX[[#This Row],[Column638]]</f>
        <v>97.06</v>
      </c>
      <c r="XO23">
        <f>SOFR3mo_PX[[#This Row],[Column639]]</f>
        <v>96.944999999999993</v>
      </c>
      <c r="XP23">
        <f>SOFR3mo_PX[[#This Row],[Column640]]</f>
        <v>96.89</v>
      </c>
      <c r="XQ23">
        <f>SOFR3mo_PX[[#This Row],[Column641]]</f>
        <v>97.004999999999995</v>
      </c>
      <c r="XR23">
        <f>SOFR3mo_PX[[#This Row],[Column642]]</f>
        <v>96.954999999999998</v>
      </c>
      <c r="XS23">
        <f>SOFR3mo_PX[[#This Row],[Column643]]</f>
        <v>96.795000000000002</v>
      </c>
      <c r="XT23">
        <f>SOFR3mo_PX[[#This Row],[Column644]]</f>
        <v>96.784999999999997</v>
      </c>
      <c r="XU23">
        <f>SOFR3mo_PX[[#This Row],[Column645]]</f>
        <v>96.68</v>
      </c>
      <c r="XV23">
        <f>SOFR3mo_PX[[#This Row],[Column646]]</f>
        <v>96.62</v>
      </c>
      <c r="XW23">
        <f>SOFR3mo_PX[[#This Row],[Column647]]</f>
        <v>96.62</v>
      </c>
      <c r="XX23">
        <f>SOFR3mo_PX[[#This Row],[Column648]]</f>
        <v>96.584999999999994</v>
      </c>
      <c r="XY23">
        <f>SOFR3mo_PX[[#This Row],[Column649]]</f>
        <v>96.534999999999997</v>
      </c>
      <c r="XZ23">
        <f>SOFR3mo_PX[[#This Row],[Column650]]</f>
        <v>96.61</v>
      </c>
      <c r="YA23">
        <f>SOFR3mo_PX[[#This Row],[Column651]]</f>
        <v>96.694999999999993</v>
      </c>
      <c r="YB23">
        <f>SOFR3mo_PX[[#This Row],[Column652]]</f>
        <v>96.694999999999993</v>
      </c>
      <c r="YC23">
        <f>SOFR3mo_PX[[#This Row],[Column653]]</f>
        <v>96.73</v>
      </c>
      <c r="YD23">
        <f>SOFR3mo_PX[[#This Row],[Column654]]</f>
        <v>96.71</v>
      </c>
      <c r="YE23">
        <f>SOFR3mo_PX[[#This Row],[Column655]]</f>
        <v>96.784999999999997</v>
      </c>
      <c r="YF23">
        <f>SOFR3mo_PX[[#This Row],[Column656]]</f>
        <v>96.915000000000006</v>
      </c>
      <c r="YG23">
        <f>SOFR3mo_PX[[#This Row],[Column657]]</f>
        <v>97</v>
      </c>
      <c r="YH23">
        <f>SOFR3mo_PX[[#This Row],[Column658]]</f>
        <v>97.055000000000007</v>
      </c>
      <c r="YI23">
        <f>SOFR3mo_PX[[#This Row],[Column659]]</f>
        <v>97</v>
      </c>
      <c r="YJ23">
        <f>SOFR3mo_PX[[#This Row],[Column660]]</f>
        <v>97</v>
      </c>
      <c r="YK23">
        <f>SOFR3mo_PX[[#This Row],[Column661]]</f>
        <v>96.9</v>
      </c>
      <c r="YL23">
        <f>SOFR3mo_PX[[#This Row],[Column662]]</f>
        <v>96.935000000000002</v>
      </c>
      <c r="YM23">
        <f>SOFR3mo_PX[[#This Row],[Column663]]</f>
        <v>97.025000000000006</v>
      </c>
      <c r="YN23">
        <f>SOFR3mo_PX[[#This Row],[Column664]]</f>
        <v>97.144999999999996</v>
      </c>
      <c r="YO23">
        <f>SOFR3mo_PX[[#This Row],[Column665]]</f>
        <v>97.034999999999997</v>
      </c>
      <c r="YP23">
        <f>SOFR3mo_PX[[#This Row],[Column666]]</f>
        <v>96.94</v>
      </c>
      <c r="YQ23">
        <f>SOFR3mo_PX[[#This Row],[Column667]]</f>
        <v>97.045000000000002</v>
      </c>
      <c r="YR23">
        <f>SOFR3mo_PX[[#This Row],[Column668]]</f>
        <v>97</v>
      </c>
      <c r="YS23">
        <f>SOFR3mo_PX[[#This Row],[Column669]]</f>
        <v>96.84</v>
      </c>
      <c r="YT23">
        <f>SOFR3mo_PX[[#This Row],[Column670]]</f>
        <v>96.8</v>
      </c>
      <c r="YU23">
        <f>SOFR3mo_PX[[#This Row],[Column671]]</f>
        <v>96.84</v>
      </c>
      <c r="YV23">
        <f>SOFR3mo_PX[[#This Row],[Column672]]</f>
        <v>96.83</v>
      </c>
      <c r="YW23">
        <f>SOFR3mo_PX[[#This Row],[Column673]]</f>
        <v>96.81</v>
      </c>
      <c r="YX23">
        <f>SOFR3mo_PX[[#This Row],[Column674]]</f>
        <v>96.81</v>
      </c>
      <c r="YY23">
        <f>SOFR3mo_PX[[#This Row],[Column675]]</f>
        <v>96.745000000000005</v>
      </c>
      <c r="YZ23">
        <f>SOFR3mo_PX[[#This Row],[Column676]]</f>
        <v>96.65</v>
      </c>
      <c r="ZA23">
        <f>SOFR3mo_PX[[#This Row],[Column677]]</f>
        <v>96.644999999999996</v>
      </c>
      <c r="ZB23">
        <f>SOFR3mo_PX[[#This Row],[Column678]]</f>
        <v>96.715000000000003</v>
      </c>
      <c r="ZC23">
        <f>SOFR3mo_PX[[#This Row],[Column679]]</f>
        <v>96.77</v>
      </c>
      <c r="ZD23">
        <f>SOFR3mo_PX[[#This Row],[Column680]]</f>
        <v>96.644999999999996</v>
      </c>
      <c r="ZE23">
        <f>SOFR3mo_PX[[#This Row],[Column681]]</f>
        <v>96.57</v>
      </c>
      <c r="ZF23">
        <f>SOFR3mo_PX[[#This Row],[Column682]]</f>
        <v>96.62</v>
      </c>
      <c r="ZG23">
        <f>SOFR3mo_PX[[#This Row],[Column683]]</f>
        <v>96.594999999999999</v>
      </c>
      <c r="ZH23">
        <f>SOFR3mo_PX[[#This Row],[Column684]]</f>
        <v>96.295000000000002</v>
      </c>
      <c r="ZI23">
        <f>SOFR3mo_PX[[#This Row],[Column685]]</f>
        <v>96.31</v>
      </c>
      <c r="ZJ23">
        <f>SOFR3mo_PX[[#This Row],[Column686]]</f>
        <v>96.204999999999998</v>
      </c>
      <c r="ZK23">
        <f>SOFR3mo_PX[[#This Row],[Column687]]</f>
        <v>96.215000000000003</v>
      </c>
      <c r="ZL23">
        <f>SOFR3mo_PX[[#This Row],[Column688]]</f>
        <v>96.24</v>
      </c>
      <c r="ZM23">
        <f>SOFR3mo_PX[[#This Row],[Column689]]</f>
        <v>96.26</v>
      </c>
      <c r="ZN23">
        <f>SOFR3mo_PX[[#This Row],[Column690]]</f>
        <v>96.24</v>
      </c>
      <c r="ZO23">
        <f>SOFR3mo_PX[[#This Row],[Column691]]</f>
        <v>96.22</v>
      </c>
      <c r="ZP23">
        <f>SOFR3mo_PX[[#This Row],[Column692]]</f>
        <v>96.254999999999995</v>
      </c>
      <c r="ZQ23">
        <f>SOFR3mo_PX[[#This Row],[Column693]]</f>
        <v>96.35</v>
      </c>
      <c r="ZR23">
        <f>SOFR3mo_PX[[#This Row],[Column694]]</f>
        <v>96.284999999999997</v>
      </c>
      <c r="ZS23">
        <f>SOFR3mo_PX[[#This Row],[Column695]]</f>
        <v>96.2</v>
      </c>
      <c r="ZT23">
        <f>SOFR3mo_PX[[#This Row],[Column696]]</f>
        <v>96.06</v>
      </c>
      <c r="ZU23">
        <f>SOFR3mo_PX[[#This Row],[Column697]]</f>
        <v>96.105000000000004</v>
      </c>
      <c r="ZV23">
        <f>SOFR3mo_PX[[#This Row],[Column698]]</f>
        <v>96.1</v>
      </c>
      <c r="ZW23">
        <f>SOFR3mo_PX[[#This Row],[Column699]]</f>
        <v>96.22</v>
      </c>
      <c r="ZX23">
        <f>SOFR3mo_PX[[#This Row],[Column700]]</f>
        <v>96.355000000000004</v>
      </c>
      <c r="ZY23">
        <f>SOFR3mo_PX[[#This Row],[Column701]]</f>
        <v>96.334999999999994</v>
      </c>
      <c r="ZZ23">
        <f>SOFR3mo_PX[[#This Row],[Column702]]</f>
        <v>96.334999999999994</v>
      </c>
      <c r="AAA23">
        <f>SOFR3mo_PX[[#This Row],[Column703]]</f>
        <v>96.38</v>
      </c>
      <c r="AAB23">
        <f>SOFR3mo_PX[[#This Row],[Column704]]</f>
        <v>96.36</v>
      </c>
      <c r="AAC23">
        <f>SOFR3mo_PX[[#This Row],[Column705]]</f>
        <v>96.325000000000003</v>
      </c>
      <c r="AAD23">
        <f>SOFR3mo_PX[[#This Row],[Column706]]</f>
        <v>96.28</v>
      </c>
      <c r="AAE23">
        <f>SOFR3mo_PX[[#This Row],[Column707]]</f>
        <v>96.37</v>
      </c>
      <c r="AAF23">
        <f>SOFR3mo_PX[[#This Row],[Column708]]</f>
        <v>96.42</v>
      </c>
      <c r="AAG23">
        <f>SOFR3mo_PX[[#This Row],[Column709]]</f>
        <v>96.47</v>
      </c>
      <c r="AAH23">
        <f>SOFR3mo_PX[[#This Row],[Column710]]</f>
        <v>96.65</v>
      </c>
      <c r="AAI23">
        <f>SOFR3mo_PX[[#This Row],[Column711]]</f>
        <v>96.545000000000002</v>
      </c>
      <c r="AAJ23">
        <f>SOFR3mo_PX[[#This Row],[Column712]]</f>
        <v>96.364999999999995</v>
      </c>
      <c r="AAK23">
        <f>SOFR3mo_PX[[#This Row],[Column713]]</f>
        <v>96.444999999999993</v>
      </c>
      <c r="AAL23">
        <f>SOFR3mo_PX[[#This Row],[Column714]]</f>
        <v>96.49</v>
      </c>
      <c r="AAM23">
        <f>SOFR3mo_PX[[#This Row],[Column715]]</f>
        <v>96.305000000000007</v>
      </c>
      <c r="AAN23">
        <f>SOFR3mo_PX[[#This Row],[Column716]]</f>
        <v>96.405000000000001</v>
      </c>
      <c r="AAO23">
        <f>SOFR3mo_PX[[#This Row],[Column717]]</f>
        <v>96.62</v>
      </c>
      <c r="AAP23">
        <f>SOFR3mo_PX[[#This Row],[Column718]]</f>
        <v>96.57</v>
      </c>
      <c r="AAQ23">
        <f>SOFR3mo_PX[[#This Row],[Column719]]</f>
        <v>96.754999999999995</v>
      </c>
      <c r="AAR23">
        <f>SOFR3mo_PX[[#This Row],[Column720]]</f>
        <v>96.694999999999993</v>
      </c>
      <c r="AAS23">
        <f>SOFR3mo_PX[[#This Row],[Column721]]</f>
        <v>96.784999999999997</v>
      </c>
      <c r="AAT23">
        <f>SOFR3mo_PX[[#This Row],[Column722]]</f>
        <v>96.81</v>
      </c>
      <c r="AAU23">
        <f>SOFR3mo_PX[[#This Row],[Column723]]</f>
        <v>96.82</v>
      </c>
      <c r="AAV23">
        <f>SOFR3mo_PX[[#This Row],[Column724]]</f>
        <v>96.88</v>
      </c>
      <c r="AAW23">
        <f>SOFR3mo_PX[[#This Row],[Column725]]</f>
        <v>96.85</v>
      </c>
      <c r="AAX23">
        <f>SOFR3mo_PX[[#This Row],[Column726]]</f>
        <v>96.875</v>
      </c>
      <c r="AAY23">
        <f>SOFR3mo_PX[[#This Row],[Column727]]</f>
        <v>96.92</v>
      </c>
      <c r="AAZ23">
        <f>SOFR3mo_PX[[#This Row],[Column728]]</f>
        <v>96.944999999999993</v>
      </c>
      <c r="ABA23">
        <f>SOFR3mo_PX[[#This Row],[Column729]]</f>
        <v>96.97</v>
      </c>
      <c r="ABB23">
        <f>SOFR3mo_PX[[#This Row],[Column730]]</f>
        <v>96.875</v>
      </c>
      <c r="ABC23">
        <f>SOFR3mo_PX[[#This Row],[Column731]]</f>
        <v>97.05</v>
      </c>
      <c r="ABD23">
        <f>SOFR3mo_PX[[#This Row],[Column732]]</f>
        <v>97.05</v>
      </c>
      <c r="ABE23">
        <f>SOFR3mo_PX[[#This Row],[Column733]]</f>
        <v>96.984999999999999</v>
      </c>
      <c r="ABF23">
        <f>SOFR3mo_PX[[#This Row],[Column734]]</f>
        <v>97.16</v>
      </c>
      <c r="ABG23">
        <f>SOFR3mo_PX[[#This Row],[Column735]]</f>
        <v>97.204999999999998</v>
      </c>
      <c r="ABH23">
        <f>SOFR3mo_PX[[#This Row],[Column736]]</f>
        <v>97.18</v>
      </c>
      <c r="ABI23">
        <f>SOFR3mo_PX[[#This Row],[Column737]]</f>
        <v>97.295000000000002</v>
      </c>
      <c r="ABJ23">
        <f>SOFR3mo_PX[[#This Row],[Column738]]</f>
        <v>97.325000000000003</v>
      </c>
      <c r="ABK23">
        <f>SOFR3mo_PX[[#This Row],[Column739]]</f>
        <v>97.24</v>
      </c>
      <c r="ABL23">
        <f>SOFR3mo_PX[[#This Row],[Column740]]</f>
        <v>97.305000000000007</v>
      </c>
      <c r="ABM23">
        <f>SOFR3mo_PX[[#This Row],[Column741]]</f>
        <v>97.344999999999999</v>
      </c>
      <c r="ABN23">
        <f>SOFR3mo_PX[[#This Row],[Column742]]</f>
        <v>97.375</v>
      </c>
      <c r="ABO23">
        <f>SOFR3mo_PX[[#This Row],[Column743]]</f>
        <v>97.51</v>
      </c>
      <c r="ABP23">
        <f>SOFR3mo_PX[[#This Row],[Column744]]</f>
        <v>97.5</v>
      </c>
      <c r="ABQ23">
        <f>SOFR3mo_PX[[#This Row],[Column745]]</f>
        <v>97.58</v>
      </c>
      <c r="ABR23">
        <f>SOFR3mo_PX[[#This Row],[Column746]]</f>
        <v>97.575000000000003</v>
      </c>
      <c r="ABS23">
        <f>SOFR3mo_PX[[#This Row],[Column747]]</f>
        <v>97.484999999999999</v>
      </c>
      <c r="ABT23">
        <f>SOFR3mo_PX[[#This Row],[Column748]]</f>
        <v>97.424999999999997</v>
      </c>
      <c r="ABU23">
        <f>SOFR3mo_PX[[#This Row],[Column749]]</f>
        <v>97.57</v>
      </c>
      <c r="ABV23">
        <f>SOFR3mo_PX[[#This Row],[Column750]]</f>
        <v>97.57</v>
      </c>
      <c r="ABW23">
        <f>SOFR3mo_PX[[#This Row],[Column751]]</f>
        <v>97.58</v>
      </c>
      <c r="ABX23">
        <f>SOFR3mo_PX[[#This Row],[Column752]]</f>
        <v>97.49</v>
      </c>
      <c r="ABY23">
        <f>SOFR3mo_PX[[#This Row],[Column753]]</f>
        <v>97.64</v>
      </c>
      <c r="ABZ23">
        <f>SOFR3mo_PX[[#This Row],[Column754]]</f>
        <v>97.55</v>
      </c>
      <c r="ACA23">
        <f>SOFR3mo_PX[[#This Row],[Column755]]</f>
        <v>97.54</v>
      </c>
      <c r="ACB23">
        <f>SOFR3mo_PX[[#This Row],[Column756]]</f>
        <v>97.66</v>
      </c>
      <c r="ACC23">
        <f>SOFR3mo_PX[[#This Row],[Column757]]</f>
        <v>97.6</v>
      </c>
      <c r="ACD23">
        <f>SOFR3mo_PX[[#This Row],[Column758]]</f>
        <v>97.55</v>
      </c>
      <c r="ACE23">
        <f>SOFR3mo_PX[[#This Row],[Column759]]</f>
        <v>97.49</v>
      </c>
      <c r="ACF23">
        <f>SOFR3mo_PX[[#This Row],[Column760]]</f>
        <v>97.424999999999997</v>
      </c>
      <c r="ACG23">
        <f>SOFR3mo_PX[[#This Row],[Column761]]</f>
        <v>97.385000000000005</v>
      </c>
      <c r="ACH23">
        <f>SOFR3mo_PX[[#This Row],[Column762]]</f>
        <v>97.424999999999997</v>
      </c>
      <c r="ACI23">
        <f>SOFR3mo_PX[[#This Row],[Column763]]</f>
        <v>97.31</v>
      </c>
      <c r="ACJ23">
        <f>SOFR3mo_PX[[#This Row],[Column764]]</f>
        <v>97.19</v>
      </c>
      <c r="ACK23">
        <f>SOFR3mo_PX[[#This Row],[Column765]]</f>
        <v>97.234999999999999</v>
      </c>
      <c r="ACL23">
        <f>SOFR3mo_PX[[#This Row],[Column766]]</f>
        <v>97.275000000000006</v>
      </c>
      <c r="ACM23">
        <f>SOFR3mo_PX[[#This Row],[Column767]]</f>
        <v>97.3</v>
      </c>
      <c r="ACN23">
        <f>SOFR3mo_PX[[#This Row],[Column768]]</f>
        <v>97.234999999999999</v>
      </c>
      <c r="ACO23">
        <f>SOFR3mo_PX[[#This Row],[Column769]]</f>
        <v>97.28</v>
      </c>
      <c r="ACP23">
        <f>SOFR3mo_PX[[#This Row],[Column770]]</f>
        <v>97.174999999999997</v>
      </c>
      <c r="ACQ23">
        <f>SOFR3mo_PX[[#This Row],[Column771]]</f>
        <v>97.125</v>
      </c>
      <c r="ACR23">
        <f>SOFR3mo_PX[[#This Row],[Column772]]</f>
        <v>96.974999999999994</v>
      </c>
      <c r="ACS23">
        <f>SOFR3mo_PX[[#This Row],[Column773]]</f>
        <v>97.055000000000007</v>
      </c>
      <c r="ACT23">
        <f>SOFR3mo_PX[[#This Row],[Column774]]</f>
        <v>97.174999999999997</v>
      </c>
      <c r="ACU23">
        <f>SOFR3mo_PX[[#This Row],[Column775]]</f>
        <v>97.26</v>
      </c>
      <c r="ACV23">
        <f>SOFR3mo_PX[[#This Row],[Column776]]</f>
        <v>97.17</v>
      </c>
      <c r="ACW23">
        <f>SOFR3mo_PX[[#This Row],[Column777]]</f>
        <v>97.17</v>
      </c>
      <c r="ACX23">
        <f>SOFR3mo_PX[[#This Row],[Column778]]</f>
        <v>97.13</v>
      </c>
      <c r="ACY23">
        <f>SOFR3mo_PX[[#This Row],[Column779]]</f>
        <v>97</v>
      </c>
      <c r="ACZ23">
        <f>SOFR3mo_PX[[#This Row],[Column780]]</f>
        <v>96.91</v>
      </c>
      <c r="ADA23">
        <f>SOFR3mo_PX[[#This Row],[Column781]]</f>
        <v>96.93</v>
      </c>
      <c r="ADB23">
        <f>SOFR3mo_PX[[#This Row],[Column782]]</f>
        <v>96.99</v>
      </c>
      <c r="ADC23">
        <f>SOFR3mo_PX[[#This Row],[Column783]]</f>
        <v>97.084999999999994</v>
      </c>
      <c r="ADD23">
        <f>SOFR3mo_PX[[#This Row],[Column784]]</f>
        <v>96.984999999999999</v>
      </c>
      <c r="ADE23">
        <f>SOFR3mo_PX[[#This Row],[Column785]]</f>
        <v>96.86</v>
      </c>
      <c r="ADF23">
        <f>SOFR3mo_PX[[#This Row],[Column786]]</f>
        <v>96.954999999999998</v>
      </c>
      <c r="ADG23">
        <f>SOFR3mo_PX[[#This Row],[Column787]]</f>
        <v>96.954999999999998</v>
      </c>
      <c r="ADH23">
        <f>SOFR3mo_PX[[#This Row],[Column788]]</f>
        <v>96.885000000000005</v>
      </c>
      <c r="ADI23">
        <f>SOFR3mo_PX[[#This Row],[Column789]]</f>
        <v>96.745000000000005</v>
      </c>
      <c r="ADJ23">
        <f>SOFR3mo_PX[[#This Row],[Column790]]</f>
        <v>96.704999999999998</v>
      </c>
      <c r="ADK23">
        <f>SOFR3mo_PX[[#This Row],[Column791]]</f>
        <v>96.82</v>
      </c>
      <c r="ADL23">
        <f>SOFR3mo_PX[[#This Row],[Column792]]</f>
        <v>97.045000000000002</v>
      </c>
      <c r="ADM23">
        <f>SOFR3mo_PX[[#This Row],[Column793]]</f>
        <v>97.125</v>
      </c>
      <c r="ADN23">
        <f>SOFR3mo_PX[[#This Row],[Column794]]</f>
        <v>97.13</v>
      </c>
      <c r="ADO23">
        <f>SOFR3mo_PX[[#This Row],[Column795]]</f>
        <v>97.18</v>
      </c>
      <c r="ADP23">
        <f>SOFR3mo_PX[[#This Row],[Column796]]</f>
        <v>97.084999999999994</v>
      </c>
      <c r="ADQ23">
        <f>SOFR3mo_PX[[#This Row],[Column797]]</f>
        <v>97.19</v>
      </c>
      <c r="ADR23">
        <f>SOFR3mo_PX[[#This Row],[Column798]]</f>
        <v>97.24</v>
      </c>
      <c r="ADS23">
        <f>SOFR3mo_PX[[#This Row],[Column799]]</f>
        <v>97.2</v>
      </c>
      <c r="ADT23">
        <f>SOFR3mo_PX[[#This Row],[Column800]]</f>
        <v>97.27</v>
      </c>
      <c r="ADU23">
        <f>SOFR3mo_PX[[#This Row],[Column801]]</f>
        <v>97.36</v>
      </c>
      <c r="ADV23">
        <f>SOFR3mo_PX[[#This Row],[Column802]]</f>
        <v>97.36</v>
      </c>
      <c r="ADW23">
        <f>SOFR3mo_PX[[#This Row],[Column803]]</f>
        <v>97.344999999999999</v>
      </c>
      <c r="ADX23">
        <f>SOFR3mo_PX[[#This Row],[Column804]]</f>
        <v>97.36</v>
      </c>
      <c r="ADY23">
        <f>SOFR3mo_PX[[#This Row],[Column805]]</f>
        <v>97.344999999999999</v>
      </c>
      <c r="ADZ23">
        <f>SOFR3mo_PX[[#This Row],[Column806]]</f>
        <v>97.27</v>
      </c>
      <c r="AEA23">
        <f>SOFR3mo_PX[[#This Row],[Column807]]</f>
        <v>97.34</v>
      </c>
      <c r="AEB23">
        <f>SOFR3mo_PX[[#This Row],[Column808]]</f>
        <v>97.27</v>
      </c>
      <c r="AEC23">
        <f>SOFR3mo_PX[[#This Row],[Column809]]</f>
        <v>97.245000000000005</v>
      </c>
      <c r="AED23">
        <f>SOFR3mo_PX[[#This Row],[Column810]]</f>
        <v>97.135000000000005</v>
      </c>
      <c r="AEE23">
        <f>SOFR3mo_PX[[#This Row],[Column811]]</f>
        <v>97.21</v>
      </c>
      <c r="AEF23">
        <f>SOFR3mo_PX[[#This Row],[Column812]]</f>
        <v>97.125</v>
      </c>
      <c r="AEG23">
        <f>SOFR3mo_PX[[#This Row],[Column813]]</f>
        <v>97.25</v>
      </c>
      <c r="AEH23">
        <f>SOFR3mo_PX[[#This Row],[Column814]]</f>
        <v>97.185000000000002</v>
      </c>
      <c r="AEI23">
        <f>SOFR3mo_PX[[#This Row],[Column815]]</f>
        <v>97.084999999999994</v>
      </c>
      <c r="AEJ23">
        <f>SOFR3mo_PX[[#This Row],[Column816]]</f>
        <v>96.97</v>
      </c>
      <c r="AEK23">
        <f>SOFR3mo_PX[[#This Row],[Column817]]</f>
        <v>96.92</v>
      </c>
      <c r="AEL23">
        <f>SOFR3mo_PX[[#This Row],[Column818]]</f>
        <v>97</v>
      </c>
      <c r="AEM23">
        <f>SOFR3mo_PX[[#This Row],[Column819]]</f>
        <v>97.135000000000005</v>
      </c>
      <c r="AEN23">
        <f>SOFR3mo_PX[[#This Row],[Column820]]</f>
        <v>97.12</v>
      </c>
      <c r="AEO23">
        <f>SOFR3mo_PX[[#This Row],[Column821]]</f>
        <v>97.06</v>
      </c>
      <c r="AEP23">
        <f>SOFR3mo_PX[[#This Row],[Column822]]</f>
        <v>97.2</v>
      </c>
      <c r="AEQ23">
        <f>SOFR3mo_PX[[#This Row],[Column823]]</f>
        <v>97.21</v>
      </c>
      <c r="AER23">
        <f>SOFR3mo_PX[[#This Row],[Column824]]</f>
        <v>97.275000000000006</v>
      </c>
      <c r="AES23">
        <f>SOFR3mo_PX[[#This Row],[Column825]]</f>
        <v>97.325000000000003</v>
      </c>
      <c r="AET23">
        <f>SOFR3mo_PX[[#This Row],[Column826]]</f>
        <v>97.314999999999998</v>
      </c>
      <c r="AEU23">
        <f>SOFR3mo_PX[[#This Row],[Column827]]</f>
        <v>97.224999999999994</v>
      </c>
      <c r="AEV23">
        <f>SOFR3mo_PX[[#This Row],[Column828]]</f>
        <v>97.165000000000006</v>
      </c>
      <c r="AEW23">
        <f>SOFR3mo_PX[[#This Row],[Column829]]</f>
        <v>97.245000000000005</v>
      </c>
      <c r="AEX23">
        <f>SOFR3mo_PX[[#This Row],[Column830]]</f>
        <v>97.14</v>
      </c>
      <c r="AEY23">
        <f>SOFR3mo_PX[[#This Row],[Column831]]</f>
        <v>97.194999999999993</v>
      </c>
      <c r="AEZ23">
        <f>SOFR3mo_PX[[#This Row],[Column832]]</f>
        <v>97.254999999999995</v>
      </c>
      <c r="AFA23">
        <f>SOFR3mo_PX[[#This Row],[Column833]]</f>
        <v>97.254999999999995</v>
      </c>
      <c r="AFB23">
        <f>SOFR3mo_PX[[#This Row],[Column834]]</f>
        <v>97.385000000000005</v>
      </c>
      <c r="AFC23">
        <f>SOFR3mo_PX[[#This Row],[Column835]]</f>
        <v>97.35</v>
      </c>
      <c r="AFD23">
        <f>SOFR3mo_PX[[#This Row],[Column836]]</f>
        <v>97.29</v>
      </c>
      <c r="AFE23">
        <f>SOFR3mo_PX[[#This Row],[Column837]]</f>
        <v>97.415000000000006</v>
      </c>
      <c r="AFF23">
        <f>SOFR3mo_PX[[#This Row],[Column838]]</f>
        <v>97.5</v>
      </c>
      <c r="AFG23">
        <f>SOFR3mo_PX[[#This Row],[Column839]]</f>
        <v>97.59</v>
      </c>
      <c r="AFH23">
        <f>SOFR3mo_PX[[#This Row],[Column840]]</f>
        <v>97.67</v>
      </c>
      <c r="AFI23">
        <f>SOFR3mo_PX[[#This Row],[Column841]]</f>
        <v>97.885000000000005</v>
      </c>
      <c r="AFJ23">
        <f>SOFR3mo_PX[[#This Row],[Column842]]</f>
        <v>97.905000000000001</v>
      </c>
      <c r="AFK23">
        <f>SOFR3mo_PX[[#This Row],[Column843]]</f>
        <v>97.924999999999997</v>
      </c>
      <c r="AFL23">
        <f>SOFR3mo_PX[[#This Row],[Column844]]</f>
        <v>97.86</v>
      </c>
      <c r="AFM23">
        <f>SOFR3mo_PX[[#This Row],[Column845]]</f>
        <v>97.79</v>
      </c>
      <c r="AFN23">
        <f>SOFR3mo_PX[[#This Row],[Column846]]</f>
        <v>97.685000000000002</v>
      </c>
      <c r="AFO23">
        <f>SOFR3mo_PX[[#This Row],[Column847]]</f>
        <v>97.635000000000005</v>
      </c>
      <c r="AFP23">
        <f>SOFR3mo_PX[[#This Row],[Column848]]</f>
        <v>97.82</v>
      </c>
      <c r="AFQ23">
        <f>SOFR3mo_PX[[#This Row],[Column849]]</f>
        <v>97.85</v>
      </c>
      <c r="AFR23">
        <f>SOFR3mo_PX[[#This Row],[Column850]]</f>
        <v>97.795000000000002</v>
      </c>
      <c r="AFS23">
        <f>SOFR3mo_PX[[#This Row],[Column851]]</f>
        <v>97.86</v>
      </c>
      <c r="AFT23">
        <f>SOFR3mo_PX[[#This Row],[Column852]]</f>
        <v>98.01</v>
      </c>
      <c r="AFU23">
        <f>SOFR3mo_PX[[#This Row],[Column853]]</f>
        <v>97.93</v>
      </c>
      <c r="AFV23">
        <f>SOFR3mo_PX[[#This Row],[Column854]]</f>
        <v>97.894999999999996</v>
      </c>
      <c r="AFW23">
        <f>SOFR3mo_PX[[#This Row],[Column855]]</f>
        <v>97.93</v>
      </c>
      <c r="AFX23">
        <f>SOFR3mo_PX[[#This Row],[Column856]]</f>
        <v>97.954999999999998</v>
      </c>
      <c r="AFY23">
        <f>SOFR3mo_PX[[#This Row],[Column857]]</f>
        <v>98.11</v>
      </c>
      <c r="AFZ23">
        <f>SOFR3mo_PX[[#This Row],[Column858]]</f>
        <v>98.12</v>
      </c>
      <c r="AGA23">
        <f>SOFR3mo_PX[[#This Row],[Column859]]</f>
        <v>98.19</v>
      </c>
      <c r="AGB23">
        <f>SOFR3mo_PX[[#This Row],[Column860]]</f>
        <v>98.28</v>
      </c>
      <c r="AGC23">
        <f>SOFR3mo_PX[[#This Row],[Column861]]</f>
        <v>98.4</v>
      </c>
      <c r="AGD23">
        <f>SOFR3mo_PX[[#This Row],[Column862]]</f>
        <v>98.415000000000006</v>
      </c>
      <c r="AGE23">
        <f>SOFR3mo_PX[[#This Row],[Column863]]</f>
        <v>98.26</v>
      </c>
      <c r="AGF23">
        <f>SOFR3mo_PX[[#This Row],[Column864]]</f>
        <v>98.2</v>
      </c>
      <c r="AGG23">
        <f>SOFR3mo_PX[[#This Row],[Column865]]</f>
        <v>98.375</v>
      </c>
      <c r="AGH23">
        <f>SOFR3mo_PX[[#This Row],[Column866]]</f>
        <v>98.23</v>
      </c>
      <c r="AGI23">
        <f>SOFR3mo_PX[[#This Row],[Column867]]</f>
        <v>98.084999999999994</v>
      </c>
      <c r="AGJ23">
        <f>SOFR3mo_PX[[#This Row],[Column868]]</f>
        <v>98.09</v>
      </c>
      <c r="AGK23">
        <f>SOFR3mo_PX[[#This Row],[Column869]]</f>
        <v>98.1</v>
      </c>
      <c r="AGL23">
        <f>SOFR3mo_PX[[#This Row],[Column870]]</f>
        <v>98.135000000000005</v>
      </c>
      <c r="AGM23">
        <f>SOFR3mo_PX[[#This Row],[Column871]]</f>
        <v>98.135000000000005</v>
      </c>
      <c r="AGN23">
        <f>SOFR3mo_PX[[#This Row],[Column872]]</f>
        <v>98.135000000000005</v>
      </c>
      <c r="AGO23">
        <f>SOFR3mo_PX[[#This Row],[Column873]]</f>
        <v>98.084999999999994</v>
      </c>
      <c r="AGP23">
        <f>SOFR3mo_PX[[#This Row],[Column874]]</f>
        <v>97.995000000000005</v>
      </c>
      <c r="AGQ23">
        <f>SOFR3mo_PX[[#This Row],[Column875]]</f>
        <v>98.004999999999995</v>
      </c>
      <c r="AGR23">
        <f>SOFR3mo_PX[[#This Row],[Column876]]</f>
        <v>98.08</v>
      </c>
      <c r="AGS23">
        <f>SOFR3mo_PX[[#This Row],[Column877]]</f>
        <v>98.13</v>
      </c>
      <c r="AGT23">
        <f>SOFR3mo_PX[[#This Row],[Column878]]</f>
        <v>98.02</v>
      </c>
      <c r="AGU23">
        <f>SOFR3mo_PX[[#This Row],[Column879]]</f>
        <v>98.09</v>
      </c>
      <c r="AGV23">
        <f>SOFR3mo_PX[[#This Row],[Column880]]</f>
        <v>98.045000000000002</v>
      </c>
      <c r="AGW23">
        <f>SOFR3mo_PX[[#This Row],[Column881]]</f>
        <v>98.084999999999994</v>
      </c>
      <c r="AGX23">
        <f>SOFR3mo_PX[[#This Row],[Column882]]</f>
        <v>98.07</v>
      </c>
      <c r="AGY23">
        <f>SOFR3mo_PX[[#This Row],[Column883]]</f>
        <v>98.18</v>
      </c>
      <c r="AGZ23">
        <f>SOFR3mo_PX[[#This Row],[Column884]]</f>
        <v>98.25</v>
      </c>
      <c r="AHA23">
        <f>SOFR3mo_PX[[#This Row],[Column885]]</f>
        <v>98.215000000000003</v>
      </c>
      <c r="AHB23">
        <f>SOFR3mo_PX[[#This Row],[Column886]]</f>
        <v>98.215000000000003</v>
      </c>
      <c r="AHC23">
        <f>SOFR3mo_PX[[#This Row],[Column887]]</f>
        <v>98.224999999999994</v>
      </c>
      <c r="AHD23">
        <f>SOFR3mo_PX[[#This Row],[Column888]]</f>
        <v>98.185000000000002</v>
      </c>
      <c r="AHE23">
        <f>SOFR3mo_PX[[#This Row],[Column889]]</f>
        <v>98.084999999999994</v>
      </c>
      <c r="AHF23">
        <f>SOFR3mo_PX[[#This Row],[Column890]]</f>
        <v>98.16</v>
      </c>
      <c r="AHG23">
        <f>SOFR3mo_PX[[#This Row],[Column891]]</f>
        <v>98.224999999999994</v>
      </c>
      <c r="AHH23">
        <f>SOFR3mo_PX[[#This Row],[Column892]]</f>
        <v>98.2</v>
      </c>
      <c r="AHI23">
        <f>SOFR3mo_PX[[#This Row],[Column893]]</f>
        <v>98.13</v>
      </c>
      <c r="AHJ23">
        <f>SOFR3mo_PX[[#This Row],[Column894]]</f>
        <v>98.114999999999995</v>
      </c>
      <c r="AHK23">
        <f>SOFR3mo_PX[[#This Row],[Column895]]</f>
        <v>98.064999999999998</v>
      </c>
      <c r="AHL23">
        <f>SOFR3mo_PX[[#This Row],[Column896]]</f>
        <v>98.174999999999997</v>
      </c>
      <c r="AHM23">
        <f>SOFR3mo_PX[[#This Row],[Column897]]</f>
        <v>98.174999999999997</v>
      </c>
      <c r="AHN23">
        <f>SOFR3mo_PX[[#This Row],[Column898]]</f>
        <v>98.25</v>
      </c>
      <c r="AHO23">
        <f>SOFR3mo_PX[[#This Row],[Column899]]</f>
        <v>98.215000000000003</v>
      </c>
      <c r="AHP23">
        <f>SOFR3mo_PX[[#This Row],[Column900]]</f>
        <v>98.17</v>
      </c>
      <c r="AHQ23">
        <f>SOFR3mo_PX[[#This Row],[Column901]]</f>
        <v>98.114999999999995</v>
      </c>
      <c r="AHR23">
        <f>SOFR3mo_PX[[#This Row],[Column902]]</f>
        <v>98.13</v>
      </c>
      <c r="AHS23">
        <f>SOFR3mo_PX[[#This Row],[Column903]]</f>
        <v>98.17</v>
      </c>
      <c r="AHT23">
        <f>SOFR3mo_PX[[#This Row],[Column904]]</f>
        <v>98.204999999999998</v>
      </c>
      <c r="AHU23">
        <f>SOFR3mo_PX[[#This Row],[Column905]]</f>
        <v>98.234999999999999</v>
      </c>
      <c r="AHV23">
        <f>SOFR3mo_PX[[#This Row],[Column906]]</f>
        <v>98.275000000000006</v>
      </c>
      <c r="AHW23">
        <f>SOFR3mo_PX[[#This Row],[Column907]]</f>
        <v>98.44</v>
      </c>
      <c r="AHX23">
        <f>SOFR3mo_PX[[#This Row],[Column908]]</f>
        <v>98.42</v>
      </c>
      <c r="AHY23">
        <f>SOFR3mo_PX[[#This Row],[Column909]]</f>
        <v>98.41</v>
      </c>
      <c r="AHZ23">
        <f>SOFR3mo_PX[[#This Row],[Column910]]</f>
        <v>98.495000000000005</v>
      </c>
      <c r="AIA23">
        <f>SOFR3mo_PX[[#This Row],[Column911]]</f>
        <v>98.484999999999999</v>
      </c>
      <c r="AIB23">
        <f>SOFR3mo_PX[[#This Row],[Column912]]</f>
        <v>98.465000000000003</v>
      </c>
      <c r="AIC23">
        <f>SOFR3mo_PX[[#This Row],[Column913]]</f>
        <v>98.465000000000003</v>
      </c>
      <c r="AID23">
        <f>SOFR3mo_PX[[#This Row],[Column914]]</f>
        <v>98.49</v>
      </c>
      <c r="AIE23">
        <f>SOFR3mo_PX[[#This Row],[Column915]]</f>
        <v>98.474999999999994</v>
      </c>
      <c r="AIF23">
        <f>SOFR3mo_PX[[#This Row],[Column916]]</f>
        <v>98.57</v>
      </c>
      <c r="AIG23">
        <f>SOFR3mo_PX[[#This Row],[Column917]]</f>
        <v>98.61</v>
      </c>
      <c r="AIH23">
        <f>SOFR3mo_PX[[#This Row],[Column918]]</f>
        <v>98.58</v>
      </c>
      <c r="AII23">
        <f>SOFR3mo_PX[[#This Row],[Column919]]</f>
        <v>98.495000000000005</v>
      </c>
      <c r="AIJ23">
        <f>SOFR3mo_PX[[#This Row],[Column920]]</f>
        <v>98.525000000000006</v>
      </c>
      <c r="AIK23">
        <f>SOFR3mo_PX[[#This Row],[Column921]]</f>
        <v>98.545000000000002</v>
      </c>
      <c r="AIL23">
        <f>SOFR3mo_PX[[#This Row],[Column922]]</f>
        <v>98.484999999999999</v>
      </c>
      <c r="AIM23">
        <f>SOFR3mo_PX[[#This Row],[Column923]]</f>
        <v>98.52</v>
      </c>
      <c r="AIN23">
        <f>SOFR3mo_PX[[#This Row],[Column924]]</f>
        <v>98.48</v>
      </c>
      <c r="AIO23">
        <f>SOFR3mo_PX[[#This Row],[Column925]]</f>
        <v>98.5</v>
      </c>
      <c r="AIP23">
        <f>SOFR3mo_PX[[#This Row],[Column926]]</f>
        <v>98.545000000000002</v>
      </c>
      <c r="AIQ23">
        <f>SOFR3mo_PX[[#This Row],[Column927]]</f>
        <v>98.685000000000002</v>
      </c>
      <c r="AIR23">
        <f>SOFR3mo_PX[[#This Row],[Column928]]</f>
        <v>98.56</v>
      </c>
      <c r="AIS23">
        <f>SOFR3mo_PX[[#This Row],[Column929]]</f>
        <v>98.58</v>
      </c>
      <c r="AIT23">
        <f>SOFR3mo_PX[[#This Row],[Column930]]</f>
        <v>98.52</v>
      </c>
      <c r="AIU23">
        <f>SOFR3mo_PX[[#This Row],[Column931]]</f>
        <v>98.42</v>
      </c>
      <c r="AIV23">
        <f>SOFR3mo_PX[[#This Row],[Column932]]</f>
        <v>98.465000000000003</v>
      </c>
      <c r="AIW23">
        <f>SOFR3mo_PX[[#This Row],[Column933]]</f>
        <v>98.29</v>
      </c>
      <c r="AIX23">
        <f>SOFR3mo_PX[[#This Row],[Column934]]</f>
        <v>98.29</v>
      </c>
      <c r="AIY23">
        <f>SOFR3mo_PX[[#This Row],[Column935]]</f>
        <v>98.254999999999995</v>
      </c>
      <c r="AIZ23">
        <f>SOFR3mo_PX[[#This Row],[Column936]]</f>
        <v>98.31</v>
      </c>
      <c r="AJA23">
        <f>SOFR3mo_PX[[#This Row],[Column937]]</f>
        <v>98.42</v>
      </c>
      <c r="AJB23">
        <f>SOFR3mo_PX[[#This Row],[Column938]]</f>
        <v>98.344999999999999</v>
      </c>
      <c r="AJC23">
        <f>SOFR3mo_PX[[#This Row],[Column939]]</f>
        <v>98.31</v>
      </c>
      <c r="AJD23">
        <f>SOFR3mo_PX[[#This Row],[Column940]]</f>
        <v>98.284999999999997</v>
      </c>
      <c r="AJE23">
        <f>SOFR3mo_PX[[#This Row],[Column941]]</f>
        <v>98.314999999999998</v>
      </c>
      <c r="AJF23">
        <f>SOFR3mo_PX[[#This Row],[Column942]]</f>
        <v>98.355000000000004</v>
      </c>
      <c r="AJG23">
        <f>SOFR3mo_PX[[#This Row],[Column943]]</f>
        <v>98.36</v>
      </c>
      <c r="AJH23">
        <f>SOFR3mo_PX[[#This Row],[Column944]]</f>
        <v>98.394999999999996</v>
      </c>
      <c r="AJI23">
        <f>SOFR3mo_PX[[#This Row],[Column945]]</f>
        <v>98.525000000000006</v>
      </c>
      <c r="AJJ23">
        <f>SOFR3mo_PX[[#This Row],[Column946]]</f>
        <v>98.44</v>
      </c>
      <c r="AJK23">
        <f>SOFR3mo_PX[[#This Row],[Column947]]</f>
        <v>98.49</v>
      </c>
      <c r="AJL23">
        <f>SOFR3mo_PX[[#This Row],[Column948]]</f>
        <v>98.394999999999996</v>
      </c>
      <c r="AJM23">
        <f>SOFR3mo_PX[[#This Row],[Column949]]</f>
        <v>98.355000000000004</v>
      </c>
      <c r="AJN23">
        <f>SOFR3mo_PX[[#This Row],[Column950]]</f>
        <v>98.38</v>
      </c>
      <c r="AJO23">
        <f>SOFR3mo_PX[[#This Row],[Column951]]</f>
        <v>98.41</v>
      </c>
      <c r="AJP23">
        <f>SOFR3mo_PX[[#This Row],[Column952]]</f>
        <v>98.44</v>
      </c>
      <c r="AJQ23">
        <f>SOFR3mo_PX[[#This Row],[Column953]]</f>
        <v>98.405000000000001</v>
      </c>
      <c r="AJR23">
        <f>SOFR3mo_PX[[#This Row],[Column954]]</f>
        <v>98.405000000000001</v>
      </c>
      <c r="AJS23">
        <f>SOFR3mo_PX[[#This Row],[Column955]]</f>
        <v>98.254999999999995</v>
      </c>
      <c r="AJT23">
        <f>SOFR3mo_PX[[#This Row],[Column956]]</f>
        <v>98.25</v>
      </c>
      <c r="AJU23">
        <f>SOFR3mo_PX[[#This Row],[Column957]]</f>
        <v>98.25</v>
      </c>
      <c r="AJV23">
        <f>SOFR3mo_PX[[#This Row],[Column958]]</f>
        <v>98.2</v>
      </c>
      <c r="AJW23">
        <f>SOFR3mo_PX[[#This Row],[Column959]]</f>
        <v>98.24</v>
      </c>
      <c r="AJX23">
        <f>SOFR3mo_PX[[#This Row],[Column960]]</f>
        <v>98.254999999999995</v>
      </c>
      <c r="AJY23">
        <f>SOFR3mo_PX[[#This Row],[Column961]]</f>
        <v>98.314999999999998</v>
      </c>
      <c r="AJZ23">
        <f>SOFR3mo_PX[[#This Row],[Column962]]</f>
        <v>98.305000000000007</v>
      </c>
      <c r="AKA23">
        <f>SOFR3mo_PX[[#This Row],[Column963]]</f>
        <v>98.36</v>
      </c>
      <c r="AKB23">
        <f>SOFR3mo_PX[[#This Row],[Column964]]</f>
        <v>98.314999999999998</v>
      </c>
      <c r="AKC23">
        <f>SOFR3mo_PX[[#This Row],[Column965]]</f>
        <v>98.25</v>
      </c>
      <c r="AKD23">
        <f>SOFR3mo_PX[[#This Row],[Column966]]</f>
        <v>98.185000000000002</v>
      </c>
      <c r="AKE23">
        <f>SOFR3mo_PX[[#This Row],[Column967]]</f>
        <v>98.194999999999993</v>
      </c>
      <c r="AKF23">
        <f>SOFR3mo_PX[[#This Row],[Column968]]</f>
        <v>98.24</v>
      </c>
      <c r="AKG23">
        <f>SOFR3mo_PX[[#This Row],[Column969]]</f>
        <v>98.295000000000002</v>
      </c>
      <c r="AKH23">
        <f>SOFR3mo_PX[[#This Row],[Column970]]</f>
        <v>98.28</v>
      </c>
      <c r="AKI23">
        <f>SOFR3mo_PX[[#This Row],[Column971]]</f>
        <v>98.33</v>
      </c>
      <c r="AKJ23">
        <f>SOFR3mo_PX[[#This Row],[Column972]]</f>
        <v>98.314999999999998</v>
      </c>
      <c r="AKK23">
        <f>SOFR3mo_PX[[#This Row],[Column973]]</f>
        <v>98.234999999999999</v>
      </c>
      <c r="AKL23">
        <f>SOFR3mo_PX[[#This Row],[Column974]]</f>
        <v>98.22</v>
      </c>
      <c r="AKM23">
        <f>SOFR3mo_PX[[#This Row],[Column975]]</f>
        <v>98.224999999999994</v>
      </c>
      <c r="AKN23">
        <f>SOFR3mo_PX[[#This Row],[Column976]]</f>
        <v>98.295000000000002</v>
      </c>
      <c r="AKO23">
        <f>SOFR3mo_PX[[#This Row],[Column977]]</f>
        <v>98.334999999999994</v>
      </c>
      <c r="AKP23">
        <f>SOFR3mo_PX[[#This Row],[Column978]]</f>
        <v>98.4</v>
      </c>
      <c r="AKQ23">
        <f>SOFR3mo_PX[[#This Row],[Column979]]</f>
        <v>98.49</v>
      </c>
      <c r="AKR23">
        <f>SOFR3mo_PX[[#This Row],[Column980]]</f>
        <v>98.49</v>
      </c>
      <c r="AKS23">
        <f>SOFR3mo_PX[[#This Row],[Column981]]</f>
        <v>98.495000000000005</v>
      </c>
      <c r="AKT23">
        <f>SOFR3mo_PX[[#This Row],[Column982]]</f>
        <v>98.42</v>
      </c>
      <c r="AKU23">
        <f>SOFR3mo_PX[[#This Row],[Column983]]</f>
        <v>98.484999999999999</v>
      </c>
      <c r="AKV23">
        <f>SOFR3mo_PX[[#This Row],[Column984]]</f>
        <v>98.534999999999997</v>
      </c>
      <c r="AKW23">
        <f>SOFR3mo_PX[[#This Row],[Column985]]</f>
        <v>98.61</v>
      </c>
      <c r="AKX23">
        <f>SOFR3mo_PX[[#This Row],[Column986]]</f>
        <v>98.555000000000007</v>
      </c>
      <c r="AKY23">
        <f>SOFR3mo_PX[[#This Row],[Column987]]</f>
        <v>98.54</v>
      </c>
      <c r="AKZ23">
        <f>SOFR3mo_PX[[#This Row],[Column988]]</f>
        <v>98.594999999999999</v>
      </c>
      <c r="ALA23">
        <f>SOFR3mo_PX[[#This Row],[Column989]]</f>
        <v>98.56</v>
      </c>
      <c r="ALB23">
        <f>SOFR3mo_PX[[#This Row],[Column990]]</f>
        <v>98.52</v>
      </c>
      <c r="ALC23">
        <f>SOFR3mo_PX[[#This Row],[Column991]]</f>
        <v>98.575000000000003</v>
      </c>
      <c r="ALD23">
        <f>SOFR3mo_PX[[#This Row],[Column992]]</f>
        <v>98.575000000000003</v>
      </c>
      <c r="ALE23">
        <f>SOFR3mo_PX[[#This Row],[Column993]]</f>
        <v>98.614999999999995</v>
      </c>
      <c r="ALF23">
        <f>SOFR3mo_PX[[#This Row],[Column994]]</f>
        <v>98.605000000000004</v>
      </c>
      <c r="ALG23">
        <f>SOFR3mo_PX[[#This Row],[Column995]]</f>
        <v>98.6</v>
      </c>
      <c r="ALH23">
        <f>SOFR3mo_PX[[#This Row],[Column996]]</f>
        <v>98.62</v>
      </c>
      <c r="ALI23">
        <f>SOFR3mo_PX[[#This Row],[Column997]]</f>
        <v>98.584999999999994</v>
      </c>
      <c r="ALJ23">
        <f>SOFR3mo_PX[[#This Row],[Column998]]</f>
        <v>98.55</v>
      </c>
      <c r="ALK23">
        <f>SOFR3mo_PX[[#This Row],[Column999]]</f>
        <v>98.56</v>
      </c>
      <c r="ALL23">
        <f>SOFR3mo_PX[[#This Row],[Column1000]]</f>
        <v>98.625</v>
      </c>
      <c r="ALM23">
        <f>SOFR3mo_PX[[#This Row],[Column1001]]</f>
        <v>98.665000000000006</v>
      </c>
      <c r="ALN23">
        <f>SOFR3mo_PX[[#This Row],[Column1002]]</f>
        <v>98.655000000000001</v>
      </c>
      <c r="ALO23">
        <f>SOFR3mo_PX[[#This Row],[Column1003]]</f>
        <v>98.68</v>
      </c>
      <c r="ALP23">
        <f>SOFR3mo_PX[[#This Row],[Column1004]]</f>
        <v>98.64</v>
      </c>
      <c r="ALQ23">
        <f>SOFR3mo_PX[[#This Row],[Column1005]]</f>
        <v>98.67</v>
      </c>
      <c r="ALR23">
        <f>SOFR3mo_PX[[#This Row],[Column1006]]</f>
        <v>98.674999999999997</v>
      </c>
      <c r="ALS23">
        <f>SOFR3mo_PX[[#This Row],[Column1007]]</f>
        <v>98.62</v>
      </c>
      <c r="ALT23">
        <f>SOFR3mo_PX[[#This Row],[Column1008]]</f>
        <v>98.54</v>
      </c>
      <c r="ALU23">
        <f>SOFR3mo_PX[[#This Row],[Column1009]]</f>
        <v>98.555000000000007</v>
      </c>
      <c r="ALV23">
        <f>SOFR3mo_PX[[#This Row],[Column1010]]</f>
        <v>98.57</v>
      </c>
      <c r="ALW23">
        <f>SOFR3mo_PX[[#This Row],[Column1011]]</f>
        <v>98.594999999999999</v>
      </c>
      <c r="ALX23">
        <f>SOFR3mo_PX[[#This Row],[Column1012]]</f>
        <v>98.635000000000005</v>
      </c>
      <c r="ALY23">
        <f>SOFR3mo_PX[[#This Row],[Column1013]]</f>
        <v>98.72</v>
      </c>
      <c r="ALZ23">
        <f>SOFR3mo_PX[[#This Row],[Column1014]]</f>
        <v>98.76</v>
      </c>
      <c r="AMA23">
        <f>SOFR3mo_PX[[#This Row],[Column1015]]</f>
        <v>98.78</v>
      </c>
      <c r="AMB23">
        <f>SOFR3mo_PX[[#This Row],[Column1016]]</f>
        <v>98.775000000000006</v>
      </c>
      <c r="AMC23">
        <f>SOFR3mo_PX[[#This Row],[Column1017]]</f>
        <v>98.685000000000002</v>
      </c>
      <c r="AMD23">
        <f>SOFR3mo_PX[[#This Row],[Column1018]]</f>
        <v>98.66</v>
      </c>
      <c r="AME23">
        <f>SOFR3mo_PX[[#This Row],[Column1019]]</f>
        <v>98.68</v>
      </c>
      <c r="AMF23">
        <f>SOFR3mo_PX[[#This Row],[Column1020]]</f>
        <v>98.715000000000003</v>
      </c>
      <c r="AMG23">
        <f>SOFR3mo_PX[[#This Row],[Column1021]]</f>
        <v>98.68</v>
      </c>
      <c r="AMH23">
        <f>SOFR3mo_PX[[#This Row],[Column1022]]</f>
        <v>98.665000000000006</v>
      </c>
      <c r="AMI23">
        <f>SOFR3mo_PX[[#This Row],[Column1023]]</f>
        <v>98.68</v>
      </c>
      <c r="AMJ23">
        <f>SOFR3mo_PX[[#This Row],[Column1024]]</f>
        <v>98.67</v>
      </c>
      <c r="AMK23">
        <f>SOFR3mo_PX[[#This Row],[Column1025]]</f>
        <v>98.775000000000006</v>
      </c>
      <c r="AML23">
        <f>SOFR3mo_PX[[#This Row],[Column1026]]</f>
        <v>98.805000000000007</v>
      </c>
      <c r="AMM23">
        <f>SOFR3mo_PX[[#This Row],[Column1027]]</f>
        <v>98.63</v>
      </c>
      <c r="AMN23">
        <f>SOFR3mo_PX[[#This Row],[Column1028]]</f>
        <v>98.635000000000005</v>
      </c>
      <c r="AMO23">
        <f>SOFR3mo_PX[[#This Row],[Column1029]]</f>
        <v>98.55</v>
      </c>
      <c r="AMP23">
        <f>SOFR3mo_PX[[#This Row],[Column1030]]</f>
        <v>98.47</v>
      </c>
      <c r="AMQ23">
        <f>SOFR3mo_PX[[#This Row],[Column1031]]</f>
        <v>98.525000000000006</v>
      </c>
      <c r="AMR23">
        <f>SOFR3mo_PX[[#This Row],[Column1032]]</f>
        <v>98.52</v>
      </c>
      <c r="AMS23">
        <f>SOFR3mo_PX[[#This Row],[Column1033]]</f>
        <v>98.61</v>
      </c>
      <c r="AMT23">
        <f>SOFR3mo_PX[[#This Row],[Column1034]]</f>
        <v>98.58</v>
      </c>
      <c r="AMU23">
        <f>SOFR3mo_PX[[#This Row],[Column1035]]</f>
        <v>98.53</v>
      </c>
      <c r="AMV23">
        <f>SOFR3mo_PX[[#This Row],[Column1036]]</f>
        <v>98.435000000000002</v>
      </c>
      <c r="AMW23">
        <f>SOFR3mo_PX[[#This Row],[Column1037]]</f>
        <v>98.435000000000002</v>
      </c>
      <c r="AMX23">
        <f>SOFR3mo_PX[[#This Row],[Column1038]]</f>
        <v>98.375</v>
      </c>
      <c r="AMY23">
        <f>SOFR3mo_PX[[#This Row],[Column1039]]</f>
        <v>98.415000000000006</v>
      </c>
      <c r="AMZ23">
        <f>SOFR3mo_PX[[#This Row],[Column1040]]</f>
        <v>98.37</v>
      </c>
      <c r="ANA23">
        <f>SOFR3mo_PX[[#This Row],[Column1041]]</f>
        <v>98.364999999999995</v>
      </c>
      <c r="ANB23">
        <f>SOFR3mo_PX[[#This Row],[Column1042]]</f>
        <v>98.305000000000007</v>
      </c>
      <c r="ANC23">
        <f>SOFR3mo_PX[[#This Row],[Column1043]]</f>
        <v>98.35</v>
      </c>
      <c r="AND23">
        <f>SOFR3mo_PX[[#This Row],[Column1044]]</f>
        <v>98.344999999999999</v>
      </c>
      <c r="ANE23">
        <f>SOFR3mo_PX[[#This Row],[Column1045]]</f>
        <v>98.38</v>
      </c>
      <c r="ANF23">
        <f>SOFR3mo_PX[[#This Row],[Column1046]]</f>
        <v>98.375</v>
      </c>
      <c r="ANG23">
        <f>SOFR3mo_PX[[#This Row],[Column1047]]</f>
        <v>98.41</v>
      </c>
      <c r="ANH23">
        <f>SOFR3mo_PX[[#This Row],[Column1048]]</f>
        <v>98.325000000000003</v>
      </c>
      <c r="ANI23">
        <f>SOFR3mo_PX[[#This Row],[Column1049]]</f>
        <v>98.19</v>
      </c>
      <c r="ANJ23">
        <f>SOFR3mo_PX[[#This Row],[Column1050]]</f>
        <v>98.364999999999995</v>
      </c>
      <c r="ANK23">
        <f>SOFR3mo_PX[[#This Row],[Column1051]]</f>
        <v>98.344999999999999</v>
      </c>
      <c r="ANL23">
        <f>SOFR3mo_PX[[#This Row],[Column1052]]</f>
        <v>98.375</v>
      </c>
      <c r="ANM23">
        <f>SOFR3mo_PX[[#This Row],[Column1053]]</f>
        <v>98.394999999999996</v>
      </c>
      <c r="ANN23">
        <f>SOFR3mo_PX[[#This Row],[Column1054]]</f>
        <v>98.36</v>
      </c>
      <c r="ANO23">
        <f>SOFR3mo_PX[[#This Row],[Column1055]]</f>
        <v>98.31</v>
      </c>
      <c r="ANP23">
        <f>SOFR3mo_PX[[#This Row],[Column1056]]</f>
        <v>98.265000000000001</v>
      </c>
      <c r="ANQ23">
        <f>SOFR3mo_PX[[#This Row],[Column1057]]</f>
        <v>98.254999999999995</v>
      </c>
      <c r="ANR23">
        <f>SOFR3mo_PX[[#This Row],[Column1058]]</f>
        <v>98.16</v>
      </c>
      <c r="ANS23">
        <f>SOFR3mo_PX[[#This Row],[Column1059]]</f>
        <v>98.21</v>
      </c>
      <c r="ANT23">
        <f>SOFR3mo_PX[[#This Row],[Column1060]]</f>
        <v>98.174999999999997</v>
      </c>
      <c r="ANU23">
        <f>SOFR3mo_PX[[#This Row],[Column1061]]</f>
        <v>98.224999999999994</v>
      </c>
      <c r="ANV23">
        <f>SOFR3mo_PX[[#This Row],[Column1062]]</f>
        <v>98.224999999999994</v>
      </c>
      <c r="ANW23">
        <f>SOFR3mo_PX[[#This Row],[Column1063]]</f>
        <v>98.22</v>
      </c>
      <c r="ANX23">
        <f>SOFR3mo_PX[[#This Row],[Column1064]]</f>
        <v>98.265000000000001</v>
      </c>
      <c r="ANY23">
        <f>SOFR3mo_PX[[#This Row],[Column1065]]</f>
        <v>98.275000000000006</v>
      </c>
      <c r="ANZ23">
        <f>SOFR3mo_PX[[#This Row],[Column1066]]</f>
        <v>98.22</v>
      </c>
      <c r="AOA23">
        <f>SOFR3mo_PX[[#This Row],[Column1067]]</f>
        <v>98.18</v>
      </c>
      <c r="AOB23">
        <f>SOFR3mo_PX[[#This Row],[Column1068]]</f>
        <v>98.19</v>
      </c>
      <c r="AOC23">
        <f>SOFR3mo_PX[[#This Row],[Column1069]]</f>
        <v>98.125</v>
      </c>
      <c r="AOD23">
        <f>SOFR3mo_PX[[#This Row],[Column1070]]</f>
        <v>98.174999999999997</v>
      </c>
      <c r="AOE23">
        <f>SOFR3mo_PX[[#This Row],[Column1071]]</f>
        <v>98.18</v>
      </c>
      <c r="AOF23">
        <f>SOFR3mo_PX[[#This Row],[Column1072]]</f>
        <v>98.19</v>
      </c>
      <c r="AOG23">
        <f>SOFR3mo_PX[[#This Row],[Column1073]]</f>
        <v>98.15</v>
      </c>
      <c r="AOH23">
        <f>SOFR3mo_PX[[#This Row],[Column1074]]</f>
        <v>98.094999999999999</v>
      </c>
      <c r="AOI23">
        <f>SOFR3mo_PX[[#This Row],[Column1075]]</f>
        <v>98.194999999999993</v>
      </c>
      <c r="AOJ23">
        <f>SOFR3mo_PX[[#This Row],[Column1076]]</f>
        <v>98.22</v>
      </c>
      <c r="AOK23">
        <f>SOFR3mo_PX[[#This Row],[Column1077]]</f>
        <v>98.234999999999999</v>
      </c>
      <c r="AOL23">
        <f>SOFR3mo_PX[[#This Row],[Column1078]]</f>
        <v>98.224999999999994</v>
      </c>
      <c r="AOM23">
        <f>SOFR3mo_PX[[#This Row],[Column1079]]</f>
        <v>98.19</v>
      </c>
      <c r="AON23">
        <f>SOFR3mo_PX[[#This Row],[Column1080]]</f>
        <v>98.165000000000006</v>
      </c>
      <c r="AOO23">
        <f>SOFR3mo_PX[[#This Row],[Column1081]]</f>
        <v>98.14</v>
      </c>
      <c r="AOP23">
        <f>SOFR3mo_PX[[#This Row],[Column1082]]</f>
        <v>98.105000000000004</v>
      </c>
      <c r="AOQ23">
        <f>SOFR3mo_PX[[#This Row],[Column1083]]</f>
        <v>98.105000000000004</v>
      </c>
      <c r="AOR23">
        <f>SOFR3mo_PX[[#This Row],[Column1084]]</f>
        <v>98.12</v>
      </c>
      <c r="AOS23">
        <f>SOFR3mo_PX[[#This Row],[Column1085]]</f>
        <v>98.13</v>
      </c>
      <c r="AOT23">
        <f>SOFR3mo_PX[[#This Row],[Column1086]]</f>
        <v>98.19</v>
      </c>
      <c r="AOU23">
        <f>SOFR3mo_PX[[#This Row],[Column1087]]</f>
        <v>98.2</v>
      </c>
      <c r="AOV23">
        <f>SOFR3mo_PX[[#This Row],[Column1088]]</f>
        <v>98.224999999999994</v>
      </c>
      <c r="AOW23">
        <f>SOFR3mo_PX[[#This Row],[Column1089]]</f>
        <v>98.224999999999994</v>
      </c>
      <c r="AOX23">
        <f>SOFR3mo_PX[[#This Row],[Column1090]]</f>
        <v>98.23</v>
      </c>
      <c r="AOY23">
        <f>SOFR3mo_PX[[#This Row],[Column1091]]</f>
        <v>98.204999999999998</v>
      </c>
      <c r="AOZ23">
        <f>SOFR3mo_PX[[#This Row],[Column1092]]</f>
        <v>98.22</v>
      </c>
      <c r="APA23">
        <f>SOFR3mo_PX[[#This Row],[Column1093]]</f>
        <v>98.26</v>
      </c>
      <c r="APB23">
        <f>SOFR3mo_PX[[#This Row],[Column1094]]</f>
        <v>98.114999999999995</v>
      </c>
      <c r="APC23">
        <f>SOFR3mo_PX[[#This Row],[Column1095]]</f>
        <v>98.105000000000004</v>
      </c>
      <c r="APD23">
        <f>SOFR3mo_PX[[#This Row],[Column1096]]</f>
        <v>98.01</v>
      </c>
      <c r="APE23">
        <f>SOFR3mo_PX[[#This Row],[Column1097]]</f>
        <v>98.02</v>
      </c>
      <c r="APF23">
        <f>SOFR3mo_PX[[#This Row],[Column1098]]</f>
        <v>98.05</v>
      </c>
      <c r="APG23">
        <f>SOFR3mo_PX[[#This Row],[Column1099]]</f>
        <v>98</v>
      </c>
      <c r="APH23">
        <f>SOFR3mo_PX[[#This Row],[Column1100]]</f>
        <v>97.974999999999994</v>
      </c>
      <c r="API23">
        <f>SOFR3mo_PX[[#This Row],[Column1101]]</f>
        <v>97.87</v>
      </c>
      <c r="APJ23">
        <f>SOFR3mo_PX[[#This Row],[Column1102]]</f>
        <v>97.855000000000004</v>
      </c>
      <c r="APK23">
        <f>SOFR3mo_PX[[#This Row],[Column1103]]</f>
        <v>97.92</v>
      </c>
      <c r="APL23">
        <f>SOFR3mo_PX[[#This Row],[Column1104]]</f>
        <v>97.855000000000004</v>
      </c>
      <c r="APM23">
        <f>SOFR3mo_PX[[#This Row],[Column1105]]</f>
        <v>97.89</v>
      </c>
      <c r="APN23">
        <f>SOFR3mo_PX[[#This Row],[Column1106]]</f>
        <v>97.915000000000006</v>
      </c>
      <c r="APO23">
        <f>SOFR3mo_PX[[#This Row],[Column1107]]</f>
        <v>97.995000000000005</v>
      </c>
      <c r="APP23">
        <f>SOFR3mo_PX[[#This Row],[Column1108]]</f>
        <v>98.055000000000007</v>
      </c>
      <c r="APQ23">
        <f>SOFR3mo_PX[[#This Row],[Column1109]]</f>
        <v>98.07</v>
      </c>
      <c r="APR23">
        <f>SOFR3mo_PX[[#This Row],[Column1110]]</f>
        <v>98.05</v>
      </c>
      <c r="APS23">
        <f>SOFR3mo_PX[[#This Row],[Column1111]]</f>
        <v>97.99</v>
      </c>
      <c r="APT23">
        <f>SOFR3mo_PX[[#This Row],[Column1112]]</f>
        <v>97.944999999999993</v>
      </c>
      <c r="APU23">
        <f>SOFR3mo_PX[[#This Row],[Column1113]]</f>
        <v>98.02</v>
      </c>
      <c r="APV23">
        <f>SOFR3mo_PX[[#This Row],[Column1114]]</f>
        <v>98.21</v>
      </c>
      <c r="APW23">
        <f>SOFR3mo_PX[[#This Row],[Column1115]]</f>
        <v>98.234999999999999</v>
      </c>
      <c r="APX23">
        <f>SOFR3mo_PX[[#This Row],[Column1116]]</f>
        <v>98.23</v>
      </c>
      <c r="APY23">
        <f>SOFR3mo_PX[[#This Row],[Column1117]]</f>
        <v>98.215000000000003</v>
      </c>
      <c r="APZ23">
        <f>SOFR3mo_PX[[#This Row],[Column1118]]</f>
        <v>98.284999999999997</v>
      </c>
      <c r="AQA23">
        <f>SOFR3mo_PX[[#This Row],[Column1119]]</f>
        <v>98.32</v>
      </c>
      <c r="AQB23">
        <f>SOFR3mo_PX[[#This Row],[Column1120]]</f>
        <v>98.29</v>
      </c>
      <c r="AQC23">
        <f>SOFR3mo_PX[[#This Row],[Column1121]]</f>
        <v>98.234999999999999</v>
      </c>
      <c r="AQD23">
        <f>SOFR3mo_PX[[#This Row],[Column1122]]</f>
        <v>98.3</v>
      </c>
      <c r="AQE23">
        <f>SOFR3mo_PX[[#This Row],[Column1123]]</f>
        <v>98.29</v>
      </c>
      <c r="AQF23">
        <f>SOFR3mo_PX[[#This Row],[Column1124]]</f>
        <v>98.355000000000004</v>
      </c>
      <c r="AQG23">
        <f>SOFR3mo_PX[[#This Row],[Column1125]]</f>
        <v>98.41</v>
      </c>
      <c r="AQH23">
        <f>SOFR3mo_PX[[#This Row],[Column1126]]</f>
        <v>98.37</v>
      </c>
      <c r="AQI23">
        <f>SOFR3mo_PX[[#This Row],[Column1127]]</f>
        <v>98.32</v>
      </c>
      <c r="AQJ23">
        <f>SOFR3mo_PX[[#This Row],[Column1128]]</f>
        <v>98.325000000000003</v>
      </c>
      <c r="AQK23">
        <f>SOFR3mo_PX[[#This Row],[Column1129]]</f>
        <v>98.474999999999994</v>
      </c>
      <c r="AQL23">
        <f>SOFR3mo_PX[[#This Row],[Column1130]]</f>
        <v>98.5</v>
      </c>
      <c r="AQM23">
        <f>SOFR3mo_PX[[#This Row],[Column1131]]</f>
        <v>98.49</v>
      </c>
      <c r="AQN23">
        <f>SOFR3mo_PX[[#This Row],[Column1132]]</f>
        <v>98.525000000000006</v>
      </c>
      <c r="AQO23">
        <f>SOFR3mo_PX[[#This Row],[Column1133]]</f>
        <v>98.57</v>
      </c>
      <c r="AQP23">
        <f>SOFR3mo_PX[[#This Row],[Column1134]]</f>
        <v>98.59</v>
      </c>
      <c r="AQQ23">
        <f>SOFR3mo_PX[[#This Row],[Column1135]]</f>
        <v>98.614999999999995</v>
      </c>
      <c r="AQR23">
        <f>SOFR3mo_PX[[#This Row],[Column1136]]</f>
        <v>98.734999999999999</v>
      </c>
      <c r="AQS23">
        <f>SOFR3mo_PX[[#This Row],[Column1137]]</f>
        <v>98.734999999999999</v>
      </c>
      <c r="AQT23">
        <f>SOFR3mo_PX[[#This Row],[Column1138]]</f>
        <v>98.805000000000007</v>
      </c>
      <c r="AQU23">
        <f>SOFR3mo_PX[[#This Row],[Column1139]]</f>
        <v>98.814999999999998</v>
      </c>
      <c r="AQV23">
        <f>SOFR3mo_PX[[#This Row],[Column1140]]</f>
        <v>98.8</v>
      </c>
      <c r="AQW23">
        <f>SOFR3mo_PX[[#This Row],[Column1141]]</f>
        <v>98.79</v>
      </c>
      <c r="AQX23">
        <f>SOFR3mo_PX[[#This Row],[Column1142]]</f>
        <v>98.81</v>
      </c>
      <c r="AQY23">
        <f>SOFR3mo_PX[[#This Row],[Column1143]]</f>
        <v>98.814999999999998</v>
      </c>
      <c r="AQZ23">
        <f>SOFR3mo_PX[[#This Row],[Column1144]]</f>
        <v>98.91</v>
      </c>
      <c r="ARA23">
        <f>SOFR3mo_PX[[#This Row],[Column1145]]</f>
        <v>98.924999999999997</v>
      </c>
      <c r="ARB23">
        <f>SOFR3mo_PX[[#This Row],[Column1146]]</f>
        <v>98.95</v>
      </c>
      <c r="ARC23">
        <f>SOFR3mo_PX[[#This Row],[Column1147]]</f>
        <v>98.95</v>
      </c>
      <c r="ARD23">
        <f>SOFR3mo_PX[[#This Row],[Column1148]]</f>
        <v>98.954999999999998</v>
      </c>
      <c r="ARE23">
        <f>SOFR3mo_PX[[#This Row],[Column1149]]</f>
        <v>98.96</v>
      </c>
      <c r="ARF23">
        <f>SOFR3mo_PX[[#This Row],[Column1150]]</f>
        <v>98.954999999999998</v>
      </c>
      <c r="ARG23">
        <f>SOFR3mo_PX[[#This Row],[Column1151]]</f>
        <v>98.96</v>
      </c>
      <c r="ARH23">
        <f>SOFR3mo_PX[[#This Row],[Column1152]]</f>
        <v>98.96</v>
      </c>
      <c r="ARI23">
        <f>SOFR3mo_PX[[#This Row],[Column1153]]</f>
        <v>98.954999999999998</v>
      </c>
      <c r="ARJ23">
        <f>SOFR3mo_PX[[#This Row],[Column1154]]</f>
        <v>98.97</v>
      </c>
      <c r="ARK23">
        <f>SOFR3mo_PX[[#This Row],[Column1155]]</f>
        <v>98.97</v>
      </c>
      <c r="ARL23">
        <f>SOFR3mo_PX[[#This Row],[Column1156]]</f>
        <v>98.96</v>
      </c>
      <c r="ARM23">
        <f>SOFR3mo_PX[[#This Row],[Column1157]]</f>
        <v>98.96</v>
      </c>
      <c r="ARN23">
        <f>SOFR3mo_PX[[#This Row],[Column1158]]</f>
        <v>98.995000000000005</v>
      </c>
      <c r="ARO23">
        <f>SOFR3mo_PX[[#This Row],[Column1159]]</f>
        <v>98.98</v>
      </c>
      <c r="ARP23">
        <f>SOFR3mo_PX[[#This Row],[Column1160]]</f>
        <v>98.954999999999998</v>
      </c>
      <c r="ARQ23">
        <f>SOFR3mo_PX[[#This Row],[Column1161]]</f>
        <v>98.96</v>
      </c>
      <c r="ARR23">
        <f>SOFR3mo_PX[[#This Row],[Column1162]]</f>
        <v>98.965000000000003</v>
      </c>
      <c r="ARS23">
        <f>SOFR3mo_PX[[#This Row],[Column1163]]</f>
        <v>99.004999999999995</v>
      </c>
      <c r="ART23">
        <f>SOFR3mo_PX[[#This Row],[Column1164]]</f>
        <v>99.144999999999996</v>
      </c>
      <c r="ARU23">
        <f>SOFR3mo_PX[[#This Row],[Column1165]]</f>
        <v>99.19</v>
      </c>
      <c r="ARV23">
        <f>SOFR3mo_PX[[#This Row],[Column1166]]</f>
        <v>99.2</v>
      </c>
      <c r="ARW23">
        <f>SOFR3mo_PX[[#This Row],[Column1167]]</f>
        <v>99.19</v>
      </c>
      <c r="ARX23">
        <f>SOFR3mo_PX[[#This Row],[Column1168]]</f>
        <v>99.19</v>
      </c>
      <c r="ARY23">
        <f>SOFR3mo_PX[[#This Row],[Column1169]]</f>
        <v>99.18</v>
      </c>
      <c r="ARZ23">
        <f>SOFR3mo_PX[[#This Row],[Column1170]]</f>
        <v>99.165000000000006</v>
      </c>
      <c r="ASA23">
        <f>SOFR3mo_PX[[#This Row],[Column1171]]</f>
        <v>99.16</v>
      </c>
      <c r="ASB23">
        <f>SOFR3mo_PX[[#This Row],[Column1172]]</f>
        <v>99.165000000000006</v>
      </c>
      <c r="ASC23">
        <f>SOFR3mo_PX[[#This Row],[Column1173]]</f>
        <v>99.165000000000006</v>
      </c>
      <c r="ASD23">
        <f>SOFR3mo_PX[[#This Row],[Column1174]]</f>
        <v>99.165000000000006</v>
      </c>
      <c r="ASE23">
        <f>SOFR3mo_PX[[#This Row],[Column1175]]</f>
        <v>99.17</v>
      </c>
      <c r="ASF23">
        <f>SOFR3mo_PX[[#This Row],[Column1176]]</f>
        <v>99.165000000000006</v>
      </c>
      <c r="ASG23">
        <f>SOFR3mo_PX[[#This Row],[Column1177]]</f>
        <v>99.165000000000006</v>
      </c>
      <c r="ASH23">
        <f>SOFR3mo_PX[[#This Row],[Column1178]]</f>
        <v>99.224999999999994</v>
      </c>
      <c r="ASI23">
        <f>SOFR3mo_PX[[#This Row],[Column1179]]</f>
        <v>99.234999999999999</v>
      </c>
      <c r="ASJ23">
        <f>SOFR3mo_PX[[#This Row],[Column1180]]</f>
        <v>99.31</v>
      </c>
      <c r="ASK23">
        <f>SOFR3mo_PX[[#This Row],[Column1181]]</f>
        <v>99.31</v>
      </c>
      <c r="ASL23">
        <f>SOFR3mo_PX[[#This Row],[Column1182]]</f>
        <v>99.31</v>
      </c>
      <c r="ASM23">
        <f>SOFR3mo_PX[[#This Row],[Column1183]]</f>
        <v>99.28</v>
      </c>
      <c r="ASN23">
        <f>SOFR3mo_PX[[#This Row],[Column1184]]</f>
        <v>99.545000000000002</v>
      </c>
      <c r="ASO23">
        <f>SOFR3mo_PX[[#This Row],[Column1185]]</f>
        <v>99.65</v>
      </c>
      <c r="ASP23">
        <f>SOFR3mo_PX[[#This Row],[Column1186]]</f>
        <v>99.65</v>
      </c>
      <c r="ASQ23">
        <f>SOFR3mo_PX[[#This Row],[Column1187]]</f>
        <v>99.66</v>
      </c>
      <c r="ASR23">
        <f>SOFR3mo_PX[[#This Row],[Column1188]]</f>
        <v>99.674999999999997</v>
      </c>
      <c r="ASS23">
        <f>SOFR3mo_PX[[#This Row],[Column1189]]</f>
        <v>99.68</v>
      </c>
      <c r="AST23">
        <f>SOFR3mo_PX[[#This Row],[Column1190]]</f>
        <v>99.685000000000002</v>
      </c>
      <c r="ASU23">
        <f>SOFR3mo_PX[[#This Row],[Column1191]]</f>
        <v>99.71</v>
      </c>
      <c r="ASV23">
        <f>SOFR3mo_PX[[#This Row],[Column1192]]</f>
        <v>99.715000000000003</v>
      </c>
      <c r="ASW23">
        <f>SOFR3mo_PX[[#This Row],[Column1193]]</f>
        <v>99.71</v>
      </c>
      <c r="ASX23">
        <f>SOFR3mo_PX[[#This Row],[Column1194]]</f>
        <v>99.71</v>
      </c>
      <c r="ASY23">
        <f>SOFR3mo_PX[[#This Row],[Column1195]]</f>
        <v>99.704999999999998</v>
      </c>
      <c r="ASZ23">
        <f>SOFR3mo_PX[[#This Row],[Column1196]]</f>
        <v>99.7</v>
      </c>
      <c r="ATA23">
        <f>SOFR3mo_PX[[#This Row],[Column1197]]</f>
        <v>99.715000000000003</v>
      </c>
      <c r="ATB23">
        <f>SOFR3mo_PX[[#This Row],[Column1198]]</f>
        <v>99.71</v>
      </c>
      <c r="ATC23">
        <f>SOFR3mo_PX[[#This Row],[Column1199]]</f>
        <v>99.71</v>
      </c>
      <c r="ATD23">
        <f>SOFR3mo_PX[[#This Row],[Column1200]]</f>
        <v>99.715000000000003</v>
      </c>
      <c r="ATE23">
        <f>SOFR3mo_PX[[#This Row],[Column1201]]</f>
        <v>99.704999999999998</v>
      </c>
      <c r="ATF23">
        <f>SOFR3mo_PX[[#This Row],[Column1202]]</f>
        <v>99.704999999999998</v>
      </c>
      <c r="ATG23">
        <f>SOFR3mo_PX[[#This Row],[Column1203]]</f>
        <v>99.7</v>
      </c>
      <c r="ATH23">
        <f>SOFR3mo_PX[[#This Row],[Column1204]]</f>
        <v>99.68</v>
      </c>
      <c r="ATI23">
        <f>SOFR3mo_PX[[#This Row],[Column1205]]</f>
        <v>99.68</v>
      </c>
      <c r="ATJ23">
        <f>SOFR3mo_PX[[#This Row],[Column1206]]</f>
        <v>99.715000000000003</v>
      </c>
      <c r="ATK23">
        <f>SOFR3mo_PX[[#This Row],[Column1207]]</f>
        <v>99.76</v>
      </c>
      <c r="ATL23">
        <f>SOFR3mo_PX[[#This Row],[Column1208]]</f>
        <v>99.765000000000001</v>
      </c>
      <c r="ATM23">
        <f>SOFR3mo_PX[[#This Row],[Column1209]]</f>
        <v>99.784999999999997</v>
      </c>
      <c r="ATN23">
        <f>SOFR3mo_PX[[#This Row],[Column1210]]</f>
        <v>99.754999999999995</v>
      </c>
      <c r="ATO23">
        <f>SOFR3mo_PX[[#This Row],[Column1211]]</f>
        <v>99.765000000000001</v>
      </c>
      <c r="ATP23">
        <f>SOFR3mo_PX[[#This Row],[Column1212]]</f>
        <v>99.76</v>
      </c>
      <c r="ATQ23">
        <f>SOFR3mo_PX[[#This Row],[Column1213]]</f>
        <v>99.765000000000001</v>
      </c>
      <c r="ATR23">
        <f>SOFR3mo_PX[[#This Row],[Column1214]]</f>
        <v>99.775000000000006</v>
      </c>
      <c r="ATS23">
        <f>SOFR3mo_PX[[#This Row],[Column1215]]</f>
        <v>99.775000000000006</v>
      </c>
      <c r="ATT23">
        <f>SOFR3mo_PX[[#This Row],[Column1216]]</f>
        <v>99.77</v>
      </c>
      <c r="ATU23">
        <f>SOFR3mo_PX[[#This Row],[Column1217]]</f>
        <v>99.76</v>
      </c>
      <c r="ATV23">
        <f>SOFR3mo_PX[[#This Row],[Column1218]]</f>
        <v>99.75</v>
      </c>
      <c r="ATW23">
        <f>SOFR3mo_PX[[#This Row],[Column1219]]</f>
        <v>99.775000000000006</v>
      </c>
      <c r="ATX23">
        <f>SOFR3mo_PX[[#This Row],[Column1220]]</f>
        <v>99.775000000000006</v>
      </c>
      <c r="ATY23">
        <f>SOFR3mo_PX[[#This Row],[Column1221]]</f>
        <v>99.784999999999997</v>
      </c>
      <c r="ATZ23">
        <f>SOFR3mo_PX[[#This Row],[Column1222]]</f>
        <v>99.795000000000002</v>
      </c>
      <c r="AUA23">
        <f>SOFR3mo_PX[[#This Row],[Column1223]]</f>
        <v>99.79</v>
      </c>
      <c r="AUB23">
        <f>SOFR3mo_PX[[#This Row],[Column1224]]</f>
        <v>99.795000000000002</v>
      </c>
      <c r="AUC23">
        <f>SOFR3mo_PX[[#This Row],[Column1225]]</f>
        <v>99.79</v>
      </c>
      <c r="AUD23">
        <f>SOFR3mo_PX[[#This Row],[Column1226]]</f>
        <v>99.775000000000006</v>
      </c>
      <c r="AUE23">
        <f>SOFR3mo_PX[[#This Row],[Column1227]]</f>
        <v>99.77</v>
      </c>
      <c r="AUF23">
        <f>SOFR3mo_PX[[#This Row],[Column1228]]</f>
        <v>99.784999999999997</v>
      </c>
      <c r="AUG23">
        <f>SOFR3mo_PX[[#This Row],[Column1229]]</f>
        <v>99.78</v>
      </c>
      <c r="AUH23">
        <f>SOFR3mo_PX[[#This Row],[Column1230]]</f>
        <v>99.805000000000007</v>
      </c>
      <c r="AUI23">
        <f>SOFR3mo_PX[[#This Row],[Column1231]]</f>
        <v>99.805000000000007</v>
      </c>
      <c r="AUJ23">
        <f>SOFR3mo_PX[[#This Row],[Column1232]]</f>
        <v>99.855000000000004</v>
      </c>
      <c r="AUK23">
        <f>SOFR3mo_PX[[#This Row],[Column1233]]</f>
        <v>99.855000000000004</v>
      </c>
      <c r="AUL23">
        <f>SOFR3mo_PX[[#This Row],[Column1234]]</f>
        <v>99.855000000000004</v>
      </c>
      <c r="AUM23">
        <f>SOFR3mo_PX[[#This Row],[Column1235]]</f>
        <v>99.86</v>
      </c>
      <c r="AUN23">
        <f>SOFR3mo_PX[[#This Row],[Column1236]]</f>
        <v>99.86</v>
      </c>
      <c r="AUO23">
        <f>SOFR3mo_PX[[#This Row],[Column1237]]</f>
        <v>99.87</v>
      </c>
      <c r="AUP23">
        <f>SOFR3mo_PX[[#This Row],[Column1238]]</f>
        <v>99.87</v>
      </c>
      <c r="AUQ23">
        <f>SOFR3mo_PX[[#This Row],[Column1239]]</f>
        <v>99.875</v>
      </c>
      <c r="AUR23">
        <f>SOFR3mo_PX[[#This Row],[Column1240]]</f>
        <v>99.875</v>
      </c>
      <c r="AUS23">
        <f>SOFR3mo_PX[[#This Row],[Column1241]]</f>
        <v>99.864999999999995</v>
      </c>
      <c r="AUT23">
        <f>SOFR3mo_PX[[#This Row],[Column1242]]</f>
        <v>99.844999999999999</v>
      </c>
      <c r="AUU23">
        <f>SOFR3mo_PX[[#This Row],[Column1243]]</f>
        <v>99.86</v>
      </c>
      <c r="AUV23">
        <f>SOFR3mo_PX[[#This Row],[Column1244]]</f>
        <v>99.855000000000004</v>
      </c>
      <c r="AUW23">
        <f>SOFR3mo_PX[[#This Row],[Column1245]]</f>
        <v>99.885000000000005</v>
      </c>
      <c r="AUX23">
        <f>SOFR3mo_PX[[#This Row],[Column1246]]</f>
        <v>99.89</v>
      </c>
      <c r="AUY23">
        <f>SOFR3mo_PX[[#This Row],[Column1247]]</f>
        <v>99.88</v>
      </c>
      <c r="AUZ23">
        <f>SOFR3mo_PX[[#This Row],[Column1248]]</f>
        <v>99.855000000000004</v>
      </c>
      <c r="AVA23">
        <f>SOFR3mo_PX[[#This Row],[Column1249]]</f>
        <v>99.85</v>
      </c>
      <c r="AVB23">
        <f>SOFR3mo_PX[[#This Row],[Column1250]]</f>
        <v>99.855000000000004</v>
      </c>
      <c r="AVC23">
        <f>SOFR3mo_PX[[#This Row],[Column1251]]</f>
        <v>99.844999999999999</v>
      </c>
      <c r="AVD23">
        <f>SOFR3mo_PX[[#This Row],[Column1252]]</f>
        <v>99.844999999999999</v>
      </c>
      <c r="AVE23">
        <f>SOFR3mo_PX[[#This Row],[Column1253]]</f>
        <v>99.875</v>
      </c>
      <c r="AVF23">
        <f>SOFR3mo_PX[[#This Row],[Column1254]]</f>
        <v>99.864999999999995</v>
      </c>
      <c r="AVG23">
        <f>SOFR3mo_PX[[#This Row],[Column1255]]</f>
        <v>99.875</v>
      </c>
      <c r="AVH23">
        <f>SOFR3mo_PX[[#This Row],[Column1256]]</f>
        <v>99.87</v>
      </c>
      <c r="AVI23">
        <f>SOFR3mo_PX[[#This Row],[Column1257]]</f>
        <v>99.864999999999995</v>
      </c>
      <c r="AVJ23">
        <f>SOFR3mo_PX[[#This Row],[Column1258]]</f>
        <v>99.844999999999999</v>
      </c>
      <c r="AVK23">
        <f>SOFR3mo_PX[[#This Row],[Column1259]]</f>
        <v>99.855000000000004</v>
      </c>
      <c r="AVL23">
        <f>SOFR3mo_PX[[#This Row],[Column1260]]</f>
        <v>99.86</v>
      </c>
      <c r="AVM23">
        <f>SOFR3mo_PX[[#This Row],[Column1261]]</f>
        <v>99.87</v>
      </c>
      <c r="AVN23">
        <f>SOFR3mo_PX[[#This Row],[Column1262]]</f>
        <v>99.864999999999995</v>
      </c>
      <c r="AVO23">
        <f>SOFR3mo_PX[[#This Row],[Column1263]]</f>
        <v>99.875</v>
      </c>
      <c r="AVP23">
        <f>SOFR3mo_PX[[#This Row],[Column1264]]</f>
        <v>99.875</v>
      </c>
      <c r="AVQ23">
        <f>SOFR3mo_PX[[#This Row],[Column1265]]</f>
        <v>99.864999999999995</v>
      </c>
      <c r="AVR23">
        <f>SOFR3mo_PX[[#This Row],[Column1266]]</f>
        <v>99.85</v>
      </c>
      <c r="AVS23">
        <f>SOFR3mo_PX[[#This Row],[Column1267]]</f>
        <v>99.84</v>
      </c>
      <c r="AVT23">
        <f>SOFR3mo_PX[[#This Row],[Column1268]]</f>
        <v>99.84</v>
      </c>
      <c r="AVU23">
        <f>SOFR3mo_PX[[#This Row],[Column1269]]</f>
        <v>99.844999999999999</v>
      </c>
      <c r="AVV23">
        <f>SOFR3mo_PX[[#This Row],[Column1270]]</f>
        <v>99.844999999999999</v>
      </c>
      <c r="AVW23">
        <f>SOFR3mo_PX[[#This Row],[Column1271]]</f>
        <v>99.88</v>
      </c>
      <c r="AVX23">
        <f>SOFR3mo_PX[[#This Row],[Column1272]]</f>
        <v>99.89</v>
      </c>
      <c r="AVY23">
        <f>SOFR3mo_PX[[#This Row],[Column1273]]</f>
        <v>99.91</v>
      </c>
      <c r="AVZ23">
        <f>SOFR3mo_PX[[#This Row],[Column1274]]</f>
        <v>99.915000000000006</v>
      </c>
      <c r="AWA23">
        <f>SOFR3mo_PX[[#This Row],[Column1275]]</f>
        <v>99.924999999999997</v>
      </c>
      <c r="AWB23">
        <f>SOFR3mo_PX[[#This Row],[Column1276]]</f>
        <v>99.915000000000006</v>
      </c>
      <c r="AWC23">
        <f>SOFR3mo_PX[[#This Row],[Column1277]]</f>
        <v>99.91</v>
      </c>
      <c r="AWD23">
        <f>SOFR3mo_PX[[#This Row],[Column1278]]</f>
        <v>99.905000000000001</v>
      </c>
      <c r="AWE23">
        <f>SOFR3mo_PX[[#This Row],[Column1279]]</f>
        <v>99.885000000000005</v>
      </c>
      <c r="AWF23">
        <f>SOFR3mo_PX[[#This Row],[Column1280]]</f>
        <v>99.875</v>
      </c>
      <c r="AWG23">
        <f>SOFR3mo_PX[[#This Row],[Column1281]]</f>
        <v>99.87</v>
      </c>
      <c r="AWH23">
        <f>SOFR3mo_PX[[#This Row],[Column1282]]</f>
        <v>99.88</v>
      </c>
      <c r="AWI23">
        <f>SOFR3mo_PX[[#This Row],[Column1283]]</f>
        <v>99.885000000000005</v>
      </c>
      <c r="AWJ23">
        <f>SOFR3mo_PX[[#This Row],[Column1284]]</f>
        <v>99.885000000000005</v>
      </c>
      <c r="AWK23">
        <f>SOFR3mo_PX[[#This Row],[Column1285]]</f>
        <v>99.88</v>
      </c>
      <c r="AWL23">
        <f>SOFR3mo_PX[[#This Row],[Column1286]]</f>
        <v>99.88</v>
      </c>
      <c r="AWM23">
        <f>SOFR3mo_PX[[#This Row],[Column1287]]</f>
        <v>99.875</v>
      </c>
      <c r="AWN23">
        <f>SOFR3mo_PX[[#This Row],[Column1288]]</f>
        <v>99.875</v>
      </c>
      <c r="AWO23">
        <f>SOFR3mo_PX[[#This Row],[Column1289]]</f>
        <v>99.87</v>
      </c>
      <c r="AWP23">
        <f>SOFR3mo_PX[[#This Row],[Column1290]]</f>
        <v>99.88</v>
      </c>
      <c r="AWQ23">
        <f>SOFR3mo_PX[[#This Row],[Column1291]]</f>
        <v>99.88</v>
      </c>
      <c r="AWR23">
        <f>SOFR3mo_PX[[#This Row],[Column1292]]</f>
        <v>99.894999999999996</v>
      </c>
      <c r="AWS23">
        <f>SOFR3mo_PX[[#This Row],[Column1293]]</f>
        <v>99.91</v>
      </c>
      <c r="AWT23">
        <f>SOFR3mo_PX[[#This Row],[Column1294]]</f>
        <v>99.894999999999996</v>
      </c>
      <c r="AWU23">
        <f>SOFR3mo_PX[[#This Row],[Column1295]]</f>
        <v>99.89</v>
      </c>
      <c r="AWV23">
        <f>SOFR3mo_PX[[#This Row],[Column1296]]</f>
        <v>99.885000000000005</v>
      </c>
      <c r="AWW23">
        <f>SOFR3mo_PX[[#This Row],[Column1297]]</f>
        <v>99.885000000000005</v>
      </c>
      <c r="AWX23">
        <f>SOFR3mo_PX[[#This Row],[Column1298]]</f>
        <v>99.885000000000005</v>
      </c>
      <c r="AWY23">
        <f>SOFR3mo_PX[[#This Row],[Column1299]]</f>
        <v>99.875</v>
      </c>
      <c r="AWZ23">
        <f>SOFR3mo_PX[[#This Row],[Column1300]]</f>
        <v>99.894999999999996</v>
      </c>
      <c r="AXA23">
        <f>SOFR3mo_PX[[#This Row],[Column1301]]</f>
        <v>99.894999999999996</v>
      </c>
      <c r="AXB23">
        <f>SOFR3mo_PX[[#This Row],[Column1302]]</f>
        <v>99.885000000000005</v>
      </c>
      <c r="AXC23">
        <f>SOFR3mo_PX[[#This Row],[Column1303]]</f>
        <v>99.864999999999995</v>
      </c>
      <c r="AXD23">
        <f>SOFR3mo_PX[[#This Row],[Column1304]]</f>
        <v>99.864999999999995</v>
      </c>
      <c r="AXE23">
        <f>SOFR3mo_PX[[#This Row],[Column1305]]</f>
        <v>99.864999999999995</v>
      </c>
      <c r="AXF23">
        <f>SOFR3mo_PX[[#This Row],[Column1306]]</f>
        <v>99.86</v>
      </c>
      <c r="AXG23">
        <f>SOFR3mo_PX[[#This Row],[Column1307]]</f>
        <v>99.85</v>
      </c>
      <c r="AXH23">
        <f>SOFR3mo_PX[[#This Row],[Column1308]]</f>
        <v>99.83</v>
      </c>
      <c r="AXI23">
        <f>SOFR3mo_PX[[#This Row],[Column1309]]</f>
        <v>99.825000000000003</v>
      </c>
      <c r="AXJ23">
        <f>SOFR3mo_PX[[#This Row],[Column1310]]</f>
        <v>99.814999999999998</v>
      </c>
      <c r="AXK23">
        <f>SOFR3mo_PX[[#This Row],[Column1311]]</f>
        <v>99.83</v>
      </c>
      <c r="AXL23">
        <f>SOFR3mo_PX[[#This Row],[Column1312]]</f>
        <v>99.82</v>
      </c>
      <c r="AXM23">
        <f>SOFR3mo_PX[[#This Row],[Column1313]]</f>
        <v>99.83</v>
      </c>
      <c r="AXN23">
        <f>SOFR3mo_PX[[#This Row],[Column1314]]</f>
        <v>99.805000000000007</v>
      </c>
      <c r="AXO23">
        <f>SOFR3mo_PX[[#This Row],[Column1315]]</f>
        <v>99.754999999999995</v>
      </c>
      <c r="AXP23">
        <f>SOFR3mo_PX[[#This Row],[Column1316]]</f>
        <v>99.72</v>
      </c>
      <c r="AXQ23">
        <f>SOFR3mo_PX[[#This Row],[Column1317]]</f>
        <v>99.715000000000003</v>
      </c>
      <c r="AXR23">
        <f>SOFR3mo_PX[[#This Row],[Column1318]]</f>
        <v>99.78</v>
      </c>
      <c r="AXS23">
        <f>SOFR3mo_PX[[#This Row],[Column1319]]</f>
        <v>99.795000000000002</v>
      </c>
      <c r="AXT23">
        <f>SOFR3mo_PX[[#This Row],[Column1320]]</f>
        <v>99.83</v>
      </c>
      <c r="AXU23">
        <f>SOFR3mo_PX[[#This Row],[Column1321]]</f>
        <v>99.834999999999994</v>
      </c>
      <c r="AXV23">
        <f>SOFR3mo_PX[[#This Row],[Column1322]]</f>
        <v>99.825000000000003</v>
      </c>
      <c r="AXW23">
        <f>SOFR3mo_PX[[#This Row],[Column1323]]</f>
        <v>99.805000000000007</v>
      </c>
      <c r="AXX23">
        <f>SOFR3mo_PX[[#This Row],[Column1324]]</f>
        <v>99.81</v>
      </c>
      <c r="AXY23">
        <f>SOFR3mo_PX[[#This Row],[Column1325]]</f>
        <v>99.814999999999998</v>
      </c>
      <c r="AXZ23">
        <f>SOFR3mo_PX[[#This Row],[Column1326]]</f>
        <v>99.82</v>
      </c>
      <c r="AYA23">
        <f>SOFR3mo_PX[[#This Row],[Column1327]]</f>
        <v>99.82</v>
      </c>
      <c r="AYB23">
        <f>SOFR3mo_PX[[#This Row],[Column1328]]</f>
        <v>99.814999999999998</v>
      </c>
      <c r="AYC23">
        <f>SOFR3mo_PX[[#This Row],[Column1329]]</f>
        <v>99.814999999999998</v>
      </c>
      <c r="AYD23">
        <f>SOFR3mo_PX[[#This Row],[Column1330]]</f>
        <v>99.82</v>
      </c>
      <c r="AYE23">
        <f>SOFR3mo_PX[[#This Row],[Column1331]]</f>
        <v>99.82</v>
      </c>
      <c r="AYF23">
        <f>SOFR3mo_PX[[#This Row],[Column1332]]</f>
        <v>99.864999999999995</v>
      </c>
      <c r="AYG23">
        <f>SOFR3mo_PX[[#This Row],[Column1333]]</f>
        <v>99.84</v>
      </c>
      <c r="AYH23">
        <f>SOFR3mo_PX[[#This Row],[Column1334]]</f>
        <v>99.83</v>
      </c>
      <c r="AYI23">
        <f>SOFR3mo_PX[[#This Row],[Column1335]]</f>
        <v>99.81</v>
      </c>
      <c r="AYJ23">
        <f>SOFR3mo_PX[[#This Row],[Column1336]]</f>
        <v>99.81</v>
      </c>
      <c r="AYK23">
        <f>SOFR3mo_PX[[#This Row],[Column1337]]</f>
        <v>99.83</v>
      </c>
      <c r="AYL23">
        <f>SOFR3mo_PX[[#This Row],[Column1338]]</f>
        <v>99.84</v>
      </c>
      <c r="AYM23">
        <f>SOFR3mo_PX[[#This Row],[Column1339]]</f>
        <v>99.784999999999997</v>
      </c>
      <c r="AYN23">
        <f>SOFR3mo_PX[[#This Row],[Column1340]]</f>
        <v>99.77</v>
      </c>
      <c r="AYO23">
        <f>SOFR3mo_PX[[#This Row],[Column1341]]</f>
        <v>99.775000000000006</v>
      </c>
      <c r="AYP23">
        <f>SOFR3mo_PX[[#This Row],[Column1342]]</f>
        <v>99.76</v>
      </c>
      <c r="AYQ23">
        <f>SOFR3mo_PX[[#This Row],[Column1343]]</f>
        <v>99.765000000000001</v>
      </c>
      <c r="AYR23">
        <f>SOFR3mo_PX[[#This Row],[Column1344]]</f>
        <v>99.754999999999995</v>
      </c>
      <c r="AYS23">
        <f>SOFR3mo_PX[[#This Row],[Column1345]]</f>
        <v>99.74</v>
      </c>
      <c r="AYT23">
        <f>SOFR3mo_PX[[#This Row],[Column1346]]</f>
        <v>99.734999999999999</v>
      </c>
      <c r="AYU23">
        <f>SOFR3mo_PX[[#This Row],[Column1347]]</f>
        <v>99.745000000000005</v>
      </c>
      <c r="AYV23">
        <f>SOFR3mo_PX[[#This Row],[Column1348]]</f>
        <v>99.745000000000005</v>
      </c>
      <c r="AYW23">
        <f>SOFR3mo_PX[[#This Row],[Column1349]]</f>
        <v>99.74</v>
      </c>
      <c r="AYX23">
        <f>SOFR3mo_PX[[#This Row],[Column1350]]</f>
        <v>99.75</v>
      </c>
      <c r="AYY23">
        <f>SOFR3mo_PX[[#This Row],[Column1351]]</f>
        <v>99.73</v>
      </c>
      <c r="AYZ23">
        <f>SOFR3mo_PX[[#This Row],[Column1352]]</f>
        <v>99.72</v>
      </c>
      <c r="AZA23">
        <f>SOFR3mo_PX[[#This Row],[Column1353]]</f>
        <v>99.704999999999998</v>
      </c>
      <c r="AZB23">
        <f>SOFR3mo_PX[[#This Row],[Column1354]]</f>
        <v>99.694999999999993</v>
      </c>
      <c r="AZC23">
        <f>SOFR3mo_PX[[#This Row],[Column1355]]</f>
        <v>99.665000000000006</v>
      </c>
      <c r="AZD23">
        <f>SOFR3mo_PX[[#This Row],[Column1356]]</f>
        <v>99.65</v>
      </c>
      <c r="AZE23">
        <f>SOFR3mo_PX[[#This Row],[Column1357]]</f>
        <v>99.66</v>
      </c>
      <c r="AZF23">
        <f>SOFR3mo_PX[[#This Row],[Column1358]]</f>
        <v>99.66</v>
      </c>
      <c r="AZG23">
        <f>SOFR3mo_PX[[#This Row],[Column1359]]</f>
        <v>99.64</v>
      </c>
      <c r="AZH23">
        <f>SOFR3mo_PX[[#This Row],[Column1360]]</f>
        <v>99.625</v>
      </c>
      <c r="AZI23">
        <f>SOFR3mo_PX[[#This Row],[Column1361]]</f>
        <v>99.67</v>
      </c>
      <c r="AZJ23">
        <f>SOFR3mo_PX[[#This Row],[Column1362]]</f>
        <v>99.73</v>
      </c>
      <c r="AZK23">
        <f>SOFR3mo_PX[[#This Row],[Column1363]]</f>
        <v>99.724999999999994</v>
      </c>
      <c r="AZL23">
        <f>SOFR3mo_PX[[#This Row],[Column1364]]</f>
        <v>99.74</v>
      </c>
      <c r="AZM23">
        <f>SOFR3mo_PX[[#This Row],[Column1365]]</f>
        <v>99.715000000000003</v>
      </c>
      <c r="AZN23">
        <f>SOFR3mo_PX[[#This Row],[Column1366]]</f>
        <v>99.745000000000005</v>
      </c>
      <c r="AZO23">
        <f>SOFR3mo_PX[[#This Row],[Column1367]]</f>
        <v>99.7</v>
      </c>
      <c r="AZP23">
        <f>SOFR3mo_PX[[#This Row],[Column1368]]</f>
        <v>99.68</v>
      </c>
      <c r="AZQ23">
        <f>SOFR3mo_PX[[#This Row],[Column1369]]</f>
        <v>99.65</v>
      </c>
      <c r="AZR23">
        <f>SOFR3mo_PX[[#This Row],[Column1370]]</f>
        <v>99.644999999999996</v>
      </c>
      <c r="AZS23">
        <f>SOFR3mo_PX[[#This Row],[Column1371]]</f>
        <v>99.704999999999998</v>
      </c>
      <c r="AZT23">
        <f>SOFR3mo_PX[[#This Row],[Column1372]]</f>
        <v>99.625</v>
      </c>
      <c r="AZU23">
        <f>SOFR3mo_PX[[#This Row],[Column1373]]</f>
        <v>99.564999999999998</v>
      </c>
      <c r="AZV23">
        <f>SOFR3mo_PX[[#This Row],[Column1374]]</f>
        <v>99.46</v>
      </c>
      <c r="AZW23">
        <f>SOFR3mo_PX[[#This Row],[Column1375]]</f>
        <v>99.575000000000003</v>
      </c>
      <c r="AZX23">
        <f>SOFR3mo_PX[[#This Row],[Column1376]]</f>
        <v>99.625</v>
      </c>
      <c r="AZY23">
        <f>SOFR3mo_PX[[#This Row],[Column1377]]</f>
        <v>99.55</v>
      </c>
      <c r="AZZ23">
        <f>SOFR3mo_PX[[#This Row],[Column1378]]</f>
        <v>99.59</v>
      </c>
      <c r="BAA23">
        <f>SOFR3mo_PX[[#This Row],[Column1379]]</f>
        <v>99.52</v>
      </c>
      <c r="BAB23">
        <f>SOFR3mo_PX[[#This Row],[Column1380]]</f>
        <v>99.51</v>
      </c>
      <c r="BAC23">
        <f>SOFR3mo_PX[[#This Row],[Column1381]]</f>
        <v>99.63</v>
      </c>
      <c r="BAD23">
        <f>SOFR3mo_PX[[#This Row],[Column1382]]</f>
        <v>99.555000000000007</v>
      </c>
      <c r="BAE23">
        <f>SOFR3mo_PX[[#This Row],[Column1383]]</f>
        <v>99.47</v>
      </c>
      <c r="BAF23">
        <f>SOFR3mo_PX[[#This Row],[Column1384]]</f>
        <v>99.42</v>
      </c>
      <c r="BAG23">
        <f>SOFR3mo_PX[[#This Row],[Column1385]]</f>
        <v>99.36</v>
      </c>
      <c r="BAH23">
        <f>SOFR3mo_PX[[#This Row],[Column1386]]</f>
        <v>99.29</v>
      </c>
      <c r="BAI23">
        <f>SOFR3mo_PX[[#This Row],[Column1387]]</f>
        <v>99.29</v>
      </c>
      <c r="BAJ23">
        <f>SOFR3mo_PX[[#This Row],[Column1388]]</f>
        <v>99.09</v>
      </c>
      <c r="BAK23">
        <f>SOFR3mo_PX[[#This Row],[Column1389]]</f>
        <v>99.034999999999997</v>
      </c>
      <c r="BAL23">
        <f>SOFR3mo_PX[[#This Row],[Column1390]]</f>
        <v>99.045000000000002</v>
      </c>
      <c r="BAM23">
        <f>SOFR3mo_PX[[#This Row],[Column1391]]</f>
        <v>98.99</v>
      </c>
      <c r="BAN23">
        <f>SOFR3mo_PX[[#This Row],[Column1392]]</f>
        <v>98.88</v>
      </c>
      <c r="BAO23">
        <f>SOFR3mo_PX[[#This Row],[Column1393]]</f>
        <v>98.814999999999998</v>
      </c>
      <c r="BAP23">
        <f>SOFR3mo_PX[[#This Row],[Column1394]]</f>
        <v>98.77</v>
      </c>
      <c r="BAQ23">
        <f>SOFR3mo_PX[[#This Row],[Column1395]]</f>
        <v>98.795000000000002</v>
      </c>
      <c r="BAR23">
        <f>SOFR3mo_PX[[#This Row],[Column1396]]</f>
        <v>98.765000000000001</v>
      </c>
      <c r="BAS23">
        <f>SOFR3mo_PX[[#This Row],[Column1397]]</f>
        <v>98.765000000000001</v>
      </c>
      <c r="BAT23">
        <f>SOFR3mo_PX[[#This Row],[Column1398]]</f>
        <v>98.73</v>
      </c>
      <c r="BAU23">
        <f>SOFR3mo_PX[[#This Row],[Column1399]]</f>
        <v>98.73</v>
      </c>
      <c r="BAV23">
        <f>SOFR3mo_PX[[#This Row],[Column1400]]</f>
        <v>98.77</v>
      </c>
      <c r="BAW23">
        <f>SOFR3mo_PX[[#This Row],[Column1401]]</f>
        <v>98.8</v>
      </c>
      <c r="BAX23">
        <f>SOFR3mo_PX[[#This Row],[Column1402]]</f>
        <v>98.765000000000001</v>
      </c>
      <c r="BAY23">
        <f>SOFR3mo_PX[[#This Row],[Column1403]]</f>
        <v>98.71</v>
      </c>
      <c r="BAZ23">
        <f>SOFR3mo_PX[[#This Row],[Column1404]]</f>
        <v>98.73</v>
      </c>
      <c r="BBA23">
        <f>SOFR3mo_PX[[#This Row],[Column1405]]</f>
        <v>98.77</v>
      </c>
      <c r="BBB23">
        <f>SOFR3mo_PX[[#This Row],[Column1406]]</f>
        <v>98.855000000000004</v>
      </c>
      <c r="BBC23">
        <f>SOFR3mo_PX[[#This Row],[Column1407]]</f>
        <v>98.87</v>
      </c>
      <c r="BBD23">
        <f>SOFR3mo_PX[[#This Row],[Column1408]]</f>
        <v>98.814999999999998</v>
      </c>
      <c r="BBE23">
        <f>SOFR3mo_PX[[#This Row],[Column1409]]</f>
        <v>98.77</v>
      </c>
      <c r="BBF23">
        <f>SOFR3mo_PX[[#This Row],[Column1410]]</f>
        <v>98.72</v>
      </c>
      <c r="BBG23">
        <f>SOFR3mo_PX[[#This Row],[Column1411]]</f>
        <v>98.754999999999995</v>
      </c>
      <c r="BBH23">
        <f>SOFR3mo_PX[[#This Row],[Column1412]]</f>
        <v>98.67</v>
      </c>
      <c r="BBI23">
        <f>SOFR3mo_PX[[#This Row],[Column1413]]</f>
        <v>98.614999999999995</v>
      </c>
      <c r="BBJ23">
        <f>SOFR3mo_PX[[#This Row],[Column1414]]</f>
        <v>98.594999999999999</v>
      </c>
      <c r="BBK23">
        <f>SOFR3mo_PX[[#This Row],[Column1415]]</f>
        <v>98.58</v>
      </c>
      <c r="BBL23">
        <f>SOFR3mo_PX[[#This Row],[Column1416]]</f>
        <v>98.525000000000006</v>
      </c>
      <c r="BBM23">
        <f>SOFR3mo_PX[[#This Row],[Column1417]]</f>
        <v>98.525000000000006</v>
      </c>
      <c r="BBN23">
        <f>SOFR3mo_PX[[#This Row],[Column1418]]</f>
        <v>98.54</v>
      </c>
      <c r="BBO23">
        <f>SOFR3mo_PX[[#This Row],[Column1419]]</f>
        <v>98.55</v>
      </c>
      <c r="BBP23">
        <f>SOFR3mo_PX[[#This Row],[Column1420]]</f>
        <v>98.54</v>
      </c>
      <c r="BBQ23">
        <f>SOFR3mo_PX[[#This Row],[Column1421]]</f>
        <v>98.525000000000006</v>
      </c>
      <c r="BBR23">
        <f>SOFR3mo_PX[[#This Row],[Column1422]]</f>
        <v>98.53</v>
      </c>
      <c r="BBS23">
        <f>SOFR3mo_PX[[#This Row],[Column1423]]</f>
        <v>98.515000000000001</v>
      </c>
      <c r="BBT23">
        <f>SOFR3mo_PX[[#This Row],[Column1424]]</f>
        <v>98.51</v>
      </c>
      <c r="BBU23">
        <f>SOFR3mo_PX[[#This Row],[Column1425]]</f>
        <v>98.555000000000007</v>
      </c>
      <c r="BBV23">
        <f>SOFR3mo_PX[[#This Row],[Column1426]]</f>
        <v>98.564999999999998</v>
      </c>
      <c r="BBW23">
        <f>SOFR3mo_PX[[#This Row],[Column1427]]</f>
        <v>98.57</v>
      </c>
      <c r="BBX23">
        <f>SOFR3mo_PX[[#This Row],[Column1428]]</f>
        <v>98.48</v>
      </c>
      <c r="BBY23">
        <f>SOFR3mo_PX[[#This Row],[Column1429]]</f>
        <v>98.47</v>
      </c>
      <c r="BBZ23">
        <f>SOFR3mo_PX[[#This Row],[Column1430]]</f>
        <v>98.47</v>
      </c>
      <c r="BCA23">
        <f>SOFR3mo_PX[[#This Row],[Column1431]]</f>
        <v>98.474999999999994</v>
      </c>
      <c r="BCB23">
        <f>SOFR3mo_PX[[#This Row],[Column1432]]</f>
        <v>98.474999999999994</v>
      </c>
      <c r="BCC23">
        <f>SOFR3mo_PX[[#This Row],[Column1433]]</f>
        <v>98.435000000000002</v>
      </c>
      <c r="BCD23">
        <f>SOFR3mo_PX[[#This Row],[Column1434]]</f>
        <v>98.435000000000002</v>
      </c>
      <c r="BCE23">
        <f>SOFR3mo_PX[[#This Row],[Column1435]]</f>
        <v>98.435000000000002</v>
      </c>
      <c r="BCF23">
        <f>SOFR3mo_PX[[#This Row],[Column1436]]</f>
        <v>98.415000000000006</v>
      </c>
      <c r="BCG23">
        <f>SOFR3mo_PX[[#This Row],[Column1437]]</f>
        <v>98.454999999999998</v>
      </c>
      <c r="BCH23">
        <f>SOFR3mo_PX[[#This Row],[Column1438]]</f>
        <v>98.47</v>
      </c>
      <c r="BCI23">
        <f>SOFR3mo_PX[[#This Row],[Column1439]]</f>
        <v>98.45</v>
      </c>
      <c r="BCJ23">
        <f>SOFR3mo_PX[[#This Row],[Column1440]]</f>
        <v>98.48</v>
      </c>
      <c r="BCK23">
        <f>SOFR3mo_PX[[#This Row],[Column1441]]</f>
        <v>98.49</v>
      </c>
      <c r="BCL23">
        <f>SOFR3mo_PX[[#This Row],[Column1442]]</f>
        <v>98.564999999999998</v>
      </c>
      <c r="BCM23">
        <f>SOFR3mo_PX[[#This Row],[Column1443]]</f>
        <v>98.484999999999999</v>
      </c>
      <c r="BCN23">
        <f>SOFR3mo_PX[[#This Row],[Column1444]]</f>
        <v>98.57</v>
      </c>
      <c r="BCO23">
        <f>SOFR3mo_PX[[#This Row],[Column1445]]</f>
        <v>98.53</v>
      </c>
      <c r="BCP23">
        <f>SOFR3mo_PX[[#This Row],[Column1446]]</f>
        <v>98.545000000000002</v>
      </c>
      <c r="BCQ23">
        <f>SOFR3mo_PX[[#This Row],[Column1447]]</f>
        <v>98.555000000000007</v>
      </c>
      <c r="BCR23">
        <f>SOFR3mo_PX[[#This Row],[Column1448]]</f>
        <v>98.614999999999995</v>
      </c>
      <c r="BCS23">
        <f>SOFR3mo_PX[[#This Row],[Column1449]]</f>
        <v>98.63</v>
      </c>
      <c r="BCT23">
        <f>SOFR3mo_PX[[#This Row],[Column1450]]</f>
        <v>98.704999999999998</v>
      </c>
      <c r="BCU23">
        <f>SOFR3mo_PX[[#This Row],[Column1451]]</f>
        <v>98.584999999999994</v>
      </c>
      <c r="BCV23">
        <f>SOFR3mo_PX[[#This Row],[Column1452]]</f>
        <v>98.62</v>
      </c>
      <c r="BCW23">
        <f>SOFR3mo_PX[[#This Row],[Column1453]]</f>
        <v>98.61</v>
      </c>
      <c r="BCX23">
        <f>SOFR3mo_PX[[#This Row],[Column1454]]</f>
        <v>98.61</v>
      </c>
      <c r="BCY23">
        <f>SOFR3mo_PX[[#This Row],[Column1455]]</f>
        <v>98.65</v>
      </c>
      <c r="BCZ23">
        <f>SOFR3mo_PX[[#This Row],[Column1456]]</f>
        <v>98.64</v>
      </c>
      <c r="BDA23">
        <f>SOFR3mo_PX[[#This Row],[Column1457]]</f>
        <v>98.625</v>
      </c>
      <c r="BDB23">
        <f>SOFR3mo_PX[[#This Row],[Column1458]]</f>
        <v>98.644999999999996</v>
      </c>
      <c r="BDC23">
        <f>SOFR3mo_PX[[#This Row],[Column1459]]</f>
        <v>98.674999999999997</v>
      </c>
      <c r="BDD23">
        <f>SOFR3mo_PX[[#This Row],[Column1460]]</f>
        <v>98.64</v>
      </c>
      <c r="BDE23">
        <f>SOFR3mo_PX[[#This Row],[Column1461]]</f>
        <v>98.614999999999995</v>
      </c>
      <c r="BDF23">
        <f>SOFR3mo_PX[[#This Row],[Column1462]]</f>
        <v>98.59</v>
      </c>
      <c r="BDG23">
        <f>SOFR3mo_PX[[#This Row],[Column1463]]</f>
        <v>98.6</v>
      </c>
      <c r="BDH23">
        <f>SOFR3mo_PX[[#This Row],[Column1464]]</f>
        <v>98.55</v>
      </c>
      <c r="BDI23">
        <f>SOFR3mo_PX[[#This Row],[Column1465]]</f>
        <v>98.5</v>
      </c>
      <c r="BDJ23">
        <f>SOFR3mo_PX[[#This Row],[Column1466]]</f>
        <v>98.47</v>
      </c>
      <c r="BDK23">
        <f>SOFR3mo_PX[[#This Row],[Column1467]]</f>
        <v>98.48</v>
      </c>
      <c r="BDL23">
        <f>SOFR3mo_PX[[#This Row],[Column1468]]</f>
        <v>98.465000000000003</v>
      </c>
      <c r="BDM23">
        <f>SOFR3mo_PX[[#This Row],[Column1469]]</f>
        <v>98.575000000000003</v>
      </c>
      <c r="BDN23">
        <f>SOFR3mo_PX[[#This Row],[Column1470]]</f>
        <v>98.55</v>
      </c>
      <c r="BDO23">
        <f>SOFR3mo_PX[[#This Row],[Column1471]]</f>
        <v>98.61</v>
      </c>
      <c r="BDP23">
        <f>SOFR3mo_PX[[#This Row],[Column1472]]</f>
        <v>98.66</v>
      </c>
      <c r="BDQ23">
        <f>SOFR3mo_PX[[#This Row],[Column1473]]</f>
        <v>98.73</v>
      </c>
      <c r="BDR23">
        <f>SOFR3mo_PX[[#This Row],[Column1474]]</f>
        <v>98.605000000000004</v>
      </c>
      <c r="BDS23">
        <f>SOFR3mo_PX[[#This Row],[Column1475]]</f>
        <v>98.584999999999994</v>
      </c>
      <c r="BDT23">
        <f>SOFR3mo_PX[[#This Row],[Column1476]]</f>
        <v>98.59</v>
      </c>
      <c r="BDU23">
        <f>SOFR3mo_PX[[#This Row],[Column1477]]</f>
        <v>98.62</v>
      </c>
      <c r="BDV23">
        <f>SOFR3mo_PX[[#This Row],[Column1478]]</f>
        <v>98.665000000000006</v>
      </c>
      <c r="BDW23">
        <f>SOFR3mo_PX[[#This Row],[Column1479]]</f>
        <v>98.674999999999997</v>
      </c>
      <c r="BDX23">
        <f>SOFR3mo_PX[[#This Row],[Column1480]]</f>
        <v>98.655000000000001</v>
      </c>
      <c r="BDY23">
        <f>SOFR3mo_PX[[#This Row],[Column1481]]</f>
        <v>98.63</v>
      </c>
      <c r="BDZ23">
        <f>SOFR3mo_PX[[#This Row],[Column1482]]</f>
        <v>98.67</v>
      </c>
      <c r="BEA23">
        <f>SOFR3mo_PX[[#This Row],[Column1483]]</f>
        <v>98.644999999999996</v>
      </c>
      <c r="BEB23">
        <f>SOFR3mo_PX[[#This Row],[Column1484]]</f>
        <v>98.67</v>
      </c>
      <c r="BEC23">
        <f>SOFR3mo_PX[[#This Row],[Column1485]]</f>
        <v>98.63</v>
      </c>
      <c r="BED23">
        <f>SOFR3mo_PX[[#This Row],[Column1486]]</f>
        <v>98.685000000000002</v>
      </c>
      <c r="BEE23">
        <f>SOFR3mo_PX[[#This Row],[Column1487]]</f>
        <v>98.665000000000006</v>
      </c>
      <c r="BEF23">
        <f>SOFR3mo_PX[[#This Row],[Column1488]]</f>
        <v>98.795000000000002</v>
      </c>
      <c r="BEG23">
        <f>SOFR3mo_PX[[#This Row],[Column1489]]</f>
        <v>98.86</v>
      </c>
      <c r="BEH23">
        <f>SOFR3mo_PX[[#This Row],[Column1490]]</f>
        <v>98.915000000000006</v>
      </c>
      <c r="BEI23">
        <f>SOFR3mo_PX[[#This Row],[Column1491]]</f>
        <v>98.905000000000001</v>
      </c>
      <c r="BEJ23">
        <f>SOFR3mo_PX[[#This Row],[Column1492]]</f>
        <v>98.974999999999994</v>
      </c>
      <c r="BEK23">
        <f>SOFR3mo_PX[[#This Row],[Column1493]]</f>
        <v>98.984999999999999</v>
      </c>
      <c r="BEL23">
        <f>SOFR3mo_PX[[#This Row],[Column1494]]</f>
        <v>98.885000000000005</v>
      </c>
      <c r="BEM23">
        <f>SOFR3mo_PX[[#This Row],[Column1495]]</f>
        <v>98.81</v>
      </c>
      <c r="BEN23">
        <f>SOFR3mo_PX[[#This Row],[Column1496]]</f>
        <v>98.74</v>
      </c>
      <c r="BEO23">
        <f>SOFR3mo_PX[[#This Row],[Column1497]]</f>
        <v>98.75</v>
      </c>
      <c r="BEP23">
        <f>SOFR3mo_PX[[#This Row],[Column1498]]</f>
        <v>98.694999999999993</v>
      </c>
      <c r="BEQ23">
        <f>SOFR3mo_PX[[#This Row],[Column1499]]</f>
        <v>98.694999999999993</v>
      </c>
      <c r="BER23">
        <f>SOFR3mo_PX[[#This Row],[Column1500]]</f>
        <v>98.694999999999993</v>
      </c>
      <c r="BES23">
        <f>SOFR3mo_PX[[#This Row],[Column1501]]</f>
        <v>98.694999999999993</v>
      </c>
      <c r="BET23">
        <f>SOFR3mo_PX[[#This Row],[Column1502]]</f>
        <v>98.694999999999993</v>
      </c>
      <c r="BEU23">
        <f>SOFR3mo_PX[[#This Row],[Column1503]]</f>
        <v>98.694999999999993</v>
      </c>
      <c r="BEV23">
        <f>SOFR3mo_PX[[#This Row],[Column1504]]</f>
        <v>98.694999999999993</v>
      </c>
      <c r="BEW23">
        <f>SOFR3mo_PX[[#This Row],[Column1505]]</f>
        <v>98.694999999999993</v>
      </c>
      <c r="BEX23">
        <f>SOFR3mo_PX[[#This Row],[Column1506]]</f>
        <v>98.655000000000001</v>
      </c>
      <c r="BEY23">
        <f>SOFR3mo_PX[[#This Row],[Column1507]]</f>
        <v>98.594999999999999</v>
      </c>
      <c r="BEZ23">
        <f>SOFR3mo_PX[[#This Row],[Column1508]]</f>
        <v>98.474999999999994</v>
      </c>
      <c r="BFA23">
        <f>SOFR3mo_PX[[#This Row],[Column1509]]</f>
        <v>98.474999999999994</v>
      </c>
      <c r="BFB23">
        <f>SOFR3mo_PX[[#This Row],[Column1510]]</f>
        <v>98.474999999999994</v>
      </c>
      <c r="BFC23">
        <f>SOFR3mo_PX[[#This Row],[Column1511]]</f>
        <v>98.474999999999994</v>
      </c>
      <c r="BFD23">
        <f>SOFR3mo_PX[[#This Row],[Column1512]]</f>
        <v>98.474999999999994</v>
      </c>
      <c r="BFE23">
        <f>SOFR3mo_PX[[#This Row],[Column1513]]</f>
        <v>98.474999999999994</v>
      </c>
      <c r="BFF23">
        <f>SOFR3mo_PX[[#This Row],[Column1514]]</f>
        <v>98.474999999999994</v>
      </c>
      <c r="BFG23">
        <f>SOFR3mo_PX[[#This Row],[Column1515]]</f>
        <v>98.474999999999994</v>
      </c>
      <c r="BFH23">
        <f>SOFR3mo_PX[[#This Row],[Column1516]]</f>
        <v>98.474999999999994</v>
      </c>
      <c r="BFI23">
        <f>SOFR3mo_PX[[#This Row],[Column1517]]</f>
        <v>98.474999999999994</v>
      </c>
      <c r="BFJ23">
        <f>SOFR3mo_PX[[#This Row],[Column1518]]</f>
        <v>98.474999999999994</v>
      </c>
      <c r="BFK23">
        <f>SOFR3mo_PX[[#This Row],[Column1519]]</f>
        <v>98.474999999999994</v>
      </c>
      <c r="BFL23">
        <f>SOFR3mo_PX[[#This Row],[Column1520]]</f>
        <v>98.474999999999994</v>
      </c>
      <c r="BFM23">
        <f>SOFR3mo_PX[[#This Row],[Column1521]]</f>
        <v>98.474999999999994</v>
      </c>
      <c r="BFN23">
        <f>SOFR3mo_PX[[#This Row],[Column1522]]</f>
        <v>98.474999999999994</v>
      </c>
      <c r="BFO23">
        <f>SOFR3mo_PX[[#This Row],[Column1523]]</f>
        <v>98.474999999999994</v>
      </c>
      <c r="BFP23">
        <f>SOFR3mo_PX[[#This Row],[Column1524]]</f>
        <v>98.474999999999994</v>
      </c>
      <c r="BFQ23">
        <f>SOFR3mo_PX[[#This Row],[Column1525]]</f>
        <v>98.474999999999994</v>
      </c>
      <c r="BFR23">
        <f>SOFR3mo_PX[[#This Row],[Column1526]]</f>
        <v>98.474999999999994</v>
      </c>
      <c r="BFS23">
        <f>SOFR3mo_PX[[#This Row],[Column1527]]</f>
        <v>98.474999999999994</v>
      </c>
      <c r="BFT23">
        <f>SOFR3mo_PX[[#This Row],[Column1528]]</f>
        <v>98.474999999999994</v>
      </c>
      <c r="BFU23">
        <f>SOFR3mo_PX[[#This Row],[Column1529]]</f>
        <v>98.474999999999994</v>
      </c>
      <c r="BFV23">
        <f>SOFR3mo_PX[[#This Row],[Column1530]]</f>
        <v>98.474999999999994</v>
      </c>
      <c r="BFW23">
        <f>SOFR3mo_PX[[#This Row],[Column1531]]</f>
        <v>98.474999999999994</v>
      </c>
      <c r="BFX23">
        <f>SOFR3mo_PX[[#This Row],[Column1532]]</f>
        <v>98.474999999999994</v>
      </c>
      <c r="BFY23">
        <f>SOFR3mo_PX[[#This Row],[Column1533]]</f>
        <v>98.474999999999994</v>
      </c>
      <c r="BFZ23">
        <f>SOFR3mo_PX[[#This Row],[Column1534]]</f>
        <v>98.474999999999994</v>
      </c>
      <c r="BGA23">
        <f>SOFR3mo_PX[[#This Row],[Column1535]]</f>
        <v>98.474999999999994</v>
      </c>
      <c r="BGB23">
        <f>SOFR3mo_PX[[#This Row],[Column1536]]</f>
        <v>98.474999999999994</v>
      </c>
      <c r="BGC23">
        <f>SOFR3mo_PX[[#This Row],[Column1537]]</f>
        <v>98.474999999999994</v>
      </c>
      <c r="BGD23">
        <f>SOFR3mo_PX[[#This Row],[Column1538]]</f>
        <v>98.474999999999994</v>
      </c>
      <c r="BGE23">
        <f>SOFR3mo_PX[[#This Row],[Column1539]]</f>
        <v>98.474999999999994</v>
      </c>
      <c r="BGF23">
        <f>SOFR3mo_PX[[#This Row],[Column1540]]</f>
        <v>98.474999999999994</v>
      </c>
      <c r="BGG23">
        <f>SOFR3mo_PX[[#This Row],[Column1541]]</f>
        <v>98.474999999999994</v>
      </c>
      <c r="BGH23">
        <f>SOFR3mo_PX[[#This Row],[Column1542]]</f>
        <v>98.474999999999994</v>
      </c>
      <c r="BGI23">
        <f>SOFR3mo_PX[[#This Row],[Column1543]]</f>
        <v>98.474999999999994</v>
      </c>
      <c r="BGJ23">
        <f>SOFR3mo_PX[[#This Row],[Column1544]]</f>
        <v>98.474999999999994</v>
      </c>
      <c r="BGK23">
        <f>SOFR3mo_PX[[#This Row],[Column1545]]</f>
        <v>98.474999999999994</v>
      </c>
      <c r="BGL23">
        <f>SOFR3mo_PX[[#This Row],[Column1546]]</f>
        <v>98.474999999999994</v>
      </c>
      <c r="BGM23">
        <f>SOFR3mo_PX[[#This Row],[Column1547]]</f>
        <v>98.474999999999994</v>
      </c>
      <c r="BGN23">
        <f>SOFR3mo_PX[[#This Row],[Column1548]]</f>
        <v>98.474999999999994</v>
      </c>
      <c r="BGO23">
        <f>SOFR3mo_PX[[#This Row],[Column1549]]</f>
        <v>98.474999999999994</v>
      </c>
      <c r="BGP23">
        <f>SOFR3mo_PX[[#This Row],[Column1550]]</f>
        <v>98.474999999999994</v>
      </c>
      <c r="BGQ23">
        <f>SOFR3mo_PX[[#This Row],[Column1551]]</f>
        <v>98.474999999999994</v>
      </c>
      <c r="BGR23">
        <f>SOFR3mo_PX[[#This Row],[Column1552]]</f>
        <v>98.474999999999994</v>
      </c>
      <c r="BGS23">
        <f>SOFR3mo_PX[[#This Row],[Column1553]]</f>
        <v>98.474999999999994</v>
      </c>
      <c r="BGT23">
        <f>SOFR3mo_PX[[#This Row],[Column1554]]</f>
        <v>98.474999999999994</v>
      </c>
      <c r="BGU23">
        <f>SOFR3mo_PX[[#This Row],[Column1555]]</f>
        <v>98.474999999999994</v>
      </c>
      <c r="BGV23">
        <f>SOFR3mo_PX[[#This Row],[Column1556]]</f>
        <v>98.474999999999994</v>
      </c>
      <c r="BGW23">
        <f>SOFR3mo_PX[[#This Row],[Column1557]]</f>
        <v>98.474999999999994</v>
      </c>
      <c r="BGX23">
        <f>SOFR3mo_PX[[#This Row],[Column1558]]</f>
        <v>98.474999999999994</v>
      </c>
      <c r="BGY23">
        <f>SOFR3mo_PX[[#This Row],[Column1559]]</f>
        <v>98.474999999999994</v>
      </c>
      <c r="BGZ23">
        <f>SOFR3mo_PX[[#This Row],[Column1560]]</f>
        <v>98.474999999999994</v>
      </c>
      <c r="BHA23">
        <f>SOFR3mo_PX[[#This Row],[Column1561]]</f>
        <v>98.474999999999994</v>
      </c>
      <c r="BHB23">
        <f>SOFR3mo_PX[[#This Row],[Column1562]]</f>
        <v>98.474999999999994</v>
      </c>
      <c r="BHC23">
        <f>SOFR3mo_PX[[#This Row],[Column1563]]</f>
        <v>98.474999999999994</v>
      </c>
      <c r="BHD23">
        <f>SOFR3mo_PX[[#This Row],[Column1564]]</f>
        <v>98.474999999999994</v>
      </c>
      <c r="BHE23">
        <f>SOFR3mo_PX[[#This Row],[Column1565]]</f>
        <v>98.474999999999994</v>
      </c>
      <c r="BHF23">
        <f>SOFR3mo_PX[[#This Row],[Column1566]]</f>
        <v>98.474999999999994</v>
      </c>
      <c r="BHG23">
        <f>SOFR3mo_PX[[#This Row],[Column1567]]</f>
        <v>98.474999999999994</v>
      </c>
      <c r="BHH23">
        <f>SOFR3mo_PX[[#This Row],[Column1568]]</f>
        <v>98.474999999999994</v>
      </c>
      <c r="BHI23">
        <f>SOFR3mo_PX[[#This Row],[Column1569]]</f>
        <v>98.474999999999994</v>
      </c>
      <c r="BHJ23">
        <f>SOFR3mo_PX[[#This Row],[Column1570]]</f>
        <v>98.474999999999994</v>
      </c>
      <c r="BHK23">
        <f>SOFR3mo_PX[[#This Row],[Column1571]]</f>
        <v>98.474999999999994</v>
      </c>
      <c r="BHL23">
        <f>SOFR3mo_PX[[#This Row],[Column1572]]</f>
        <v>98.495000000000005</v>
      </c>
      <c r="BHM23">
        <f>SOFR3mo_PX[[#This Row],[Column1573]]</f>
        <v>97.805000000000007</v>
      </c>
      <c r="BHN23">
        <f>SOFR3mo_PX[[#This Row],[Column1574]]</f>
        <v>97.805000000000007</v>
      </c>
      <c r="BHO23">
        <f>SOFR3mo_PX[[#This Row],[Column1575]]</f>
        <v>97.805000000000007</v>
      </c>
      <c r="BHP23">
        <f>SOFR3mo_PX[[#This Row],[Column1576]]</f>
        <v>97.805000000000007</v>
      </c>
      <c r="BHQ23">
        <f>SOFR3mo_PX[[#This Row],[Column1577]]</f>
        <v>97.805000000000007</v>
      </c>
      <c r="BHR23">
        <f>SOFR3mo_PX[[#This Row],[Column1578]]</f>
        <v>97.805000000000007</v>
      </c>
      <c r="BHS23">
        <f>SOFR3mo_PX[[#This Row],[Column1579]]</f>
        <v>97.805000000000007</v>
      </c>
      <c r="BHT23">
        <f>SOFR3mo_PX[[#This Row],[Column1580]]</f>
        <v>97.805000000000007</v>
      </c>
      <c r="BHU23">
        <f>SOFR3mo_PX[[#This Row],[Column1581]]</f>
        <v>97.805000000000007</v>
      </c>
      <c r="BHV23">
        <f>SOFR3mo_PX[[#This Row],[Column1582]]</f>
        <v>97.805000000000007</v>
      </c>
      <c r="BHW23">
        <f>SOFR3mo_PX[[#This Row],[Column1583]]</f>
        <v>97.805000000000007</v>
      </c>
      <c r="BHX23">
        <f>SOFR3mo_PX[[#This Row],[Column1584]]</f>
        <v>97.805000000000007</v>
      </c>
      <c r="BHY23">
        <f>SOFR3mo_PX[[#This Row],[Column1585]]</f>
        <v>97.805000000000007</v>
      </c>
      <c r="BHZ23">
        <f>SOFR3mo_PX[[#This Row],[Column1586]]</f>
        <v>97.805000000000007</v>
      </c>
      <c r="BIA23">
        <f>SOFR3mo_PX[[#This Row],[Column1587]]</f>
        <v>97.805000000000007</v>
      </c>
      <c r="BIB23">
        <f>SOFR3mo_PX[[#This Row],[Column1588]]</f>
        <v>97.805000000000007</v>
      </c>
      <c r="BIC23">
        <f>SOFR3mo_PX[[#This Row],[Column1589]]</f>
        <v>97.805000000000007</v>
      </c>
      <c r="BID23">
        <f>SOFR3mo_PX[[#This Row],[Column1590]]</f>
        <v>97.805000000000007</v>
      </c>
      <c r="BIE23">
        <f>SOFR3mo_PX[[#This Row],[Column1591]]</f>
        <v>97.805000000000007</v>
      </c>
      <c r="BIF23">
        <f>SOFR3mo_PX[[#This Row],[Column1592]]</f>
        <v>97.805000000000007</v>
      </c>
      <c r="BIG23">
        <f>SOFR3mo_PX[[#This Row],[Column1593]]</f>
        <v>97.805000000000007</v>
      </c>
      <c r="BIH23">
        <f>SOFR3mo_PX[[#This Row],[Column1594]]</f>
        <v>97.805000000000007</v>
      </c>
      <c r="BII23">
        <f>SOFR3mo_PX[[#This Row],[Column1595]]</f>
        <v>97.805000000000007</v>
      </c>
      <c r="BIJ23">
        <f>SOFR3mo_PX[[#This Row],[Column1596]]</f>
        <v>97.805000000000007</v>
      </c>
      <c r="BIK23">
        <f>SOFR3mo_PX[[#This Row],[Column1597]]</f>
        <v>97.805000000000007</v>
      </c>
      <c r="BIL23">
        <f>SOFR3mo_PX[[#This Row],[Column1598]]</f>
        <v>97.805000000000007</v>
      </c>
      <c r="BIM23">
        <f>SOFR3mo_PX[[#This Row],[Column1599]]</f>
        <v>97.805000000000007</v>
      </c>
      <c r="BIN23">
        <f>SOFR3mo_PX[[#This Row],[Column1600]]</f>
        <v>97.805000000000007</v>
      </c>
      <c r="BIO23">
        <f>SOFR3mo_PX[[#This Row],[Column1601]]</f>
        <v>97.805000000000007</v>
      </c>
      <c r="BIP23">
        <f>SOFR3mo_PX[[#This Row],[Column1602]]</f>
        <v>97.805000000000007</v>
      </c>
      <c r="BIQ23">
        <f>SOFR3mo_PX[[#This Row],[Column1603]]</f>
        <v>97.805000000000007</v>
      </c>
      <c r="BIR23">
        <f>SOFR3mo_PX[[#This Row],[Column1604]]</f>
        <v>97.805000000000007</v>
      </c>
      <c r="BIS23">
        <f>SOFR3mo_PX[[#This Row],[Column1605]]</f>
        <v>97.805000000000007</v>
      </c>
      <c r="BIT23">
        <f>SOFR3mo_PX[[#This Row],[Column1606]]</f>
        <v>97.805000000000007</v>
      </c>
      <c r="BIU23">
        <f>SOFR3mo_PX[[#This Row],[Column1607]]</f>
        <v>97.805000000000007</v>
      </c>
      <c r="BIV23">
        <f>SOFR3mo_PX[[#This Row],[Column1608]]</f>
        <v>97.805000000000007</v>
      </c>
      <c r="BIW23">
        <f>SOFR3mo_PX[[#This Row],[Column1609]]</f>
        <v>97.805000000000007</v>
      </c>
      <c r="BIX23">
        <f>SOFR3mo_PX[[#This Row],[Column1610]]</f>
        <v>97.805000000000007</v>
      </c>
      <c r="BIY23">
        <f>SOFR3mo_PX[[#This Row],[Column1611]]</f>
        <v>97.805000000000007</v>
      </c>
      <c r="BIZ23">
        <f>SOFR3mo_PX[[#This Row],[Column1612]]</f>
        <v>97.805000000000007</v>
      </c>
      <c r="BJA23">
        <f>SOFR3mo_PX[[#This Row],[Column1613]]</f>
        <v>97.805000000000007</v>
      </c>
      <c r="BJB23">
        <f>SOFR3mo_PX[[#This Row],[Column1614]]</f>
        <v>97.805000000000007</v>
      </c>
      <c r="BJC23">
        <f>SOFR3mo_PX[[#This Row],[Column1615]]</f>
        <v>97.805000000000007</v>
      </c>
      <c r="BJD23">
        <f>SOFR3mo_PX[[#This Row],[Column1616]]</f>
        <v>97.805000000000007</v>
      </c>
      <c r="BJE23">
        <f>SOFR3mo_PX[[#This Row],[Column1617]]</f>
        <v>97.805000000000007</v>
      </c>
      <c r="BJF23">
        <f>SOFR3mo_PX[[#This Row],[Column1618]]</f>
        <v>97.805000000000007</v>
      </c>
      <c r="BJG23">
        <f>SOFR3mo_PX[[#This Row],[Column1619]]</f>
        <v>97.805000000000007</v>
      </c>
      <c r="BJH23">
        <f>SOFR3mo_PX[[#This Row],[Column1620]]</f>
        <v>97.805000000000007</v>
      </c>
      <c r="BJI23">
        <f>SOFR3mo_PX[[#This Row],[Column1621]]</f>
        <v>97.805000000000007</v>
      </c>
      <c r="BJJ23">
        <f>SOFR3mo_PX[[#This Row],[Column1622]]</f>
        <v>97.805000000000007</v>
      </c>
      <c r="BJK23">
        <f>SOFR3mo_PX[[#This Row],[Column1623]]</f>
        <v>97.805000000000007</v>
      </c>
      <c r="BJL23">
        <f>SOFR3mo_PX[[#This Row],[Column1624]]</f>
        <v>97.805000000000007</v>
      </c>
      <c r="BJM23">
        <f>SOFR3mo_PX[[#This Row],[Column1625]]</f>
        <v>97.805000000000007</v>
      </c>
      <c r="BJN23">
        <f>SOFR3mo_PX[[#This Row],[Column1626]]</f>
        <v>97.805000000000007</v>
      </c>
      <c r="BJO23">
        <f>SOFR3mo_PX[[#This Row],[Column1627]]</f>
        <v>97.805000000000007</v>
      </c>
      <c r="BJP23">
        <f>SOFR3mo_PX[[#This Row],[Column1628]]</f>
        <v>97.805000000000007</v>
      </c>
      <c r="BJQ23">
        <f>SOFR3mo_PX[[#This Row],[Column1629]]</f>
        <v>97.805000000000007</v>
      </c>
      <c r="BJR23">
        <f>SOFR3mo_PX[[#This Row],[Column1630]]</f>
        <v>97.805000000000007</v>
      </c>
      <c r="BJS23">
        <f>SOFR3mo_PX[[#This Row],[Column1631]]</f>
        <v>97.805000000000007</v>
      </c>
      <c r="BJT23">
        <f>SOFR3mo_PX[[#This Row],[Column1632]]</f>
        <v>97.805000000000007</v>
      </c>
      <c r="BJU23">
        <f>SOFR3mo_PX[[#This Row],[Column1633]]</f>
        <v>97.805000000000007</v>
      </c>
      <c r="BJV23">
        <f>SOFR3mo_PX[[#This Row],[Column1634]]</f>
        <v>97.805000000000007</v>
      </c>
      <c r="BJW23">
        <f>SOFR3mo_PX[[#This Row],[Column1635]]</f>
        <v>97.805000000000007</v>
      </c>
      <c r="BJX23">
        <f>SOFR3mo_PX[[#This Row],[Column1636]]</f>
        <v>97.82</v>
      </c>
      <c r="BJY23">
        <f>SOFR3mo_PX[[#This Row],[Column1637]]</f>
        <v>97.454999999999998</v>
      </c>
      <c r="BJZ23">
        <f>SOFR3mo_PX[[#This Row],[Column1638]]</f>
        <v>97.454999999999998</v>
      </c>
      <c r="BKA23">
        <f>SOFR3mo_PX[[#This Row],[Column1639]]</f>
        <v>97.454999999999998</v>
      </c>
      <c r="BKB23">
        <f>SOFR3mo_PX[[#This Row],[Column1640]]</f>
        <v>97.454999999999998</v>
      </c>
      <c r="BKC23">
        <f>SOFR3mo_PX[[#This Row],[Column1641]]</f>
        <v>97.454999999999998</v>
      </c>
      <c r="BKD23">
        <f>SOFR3mo_PX[[#This Row],[Column1642]]</f>
        <v>97.454999999999998</v>
      </c>
      <c r="BKE23">
        <f>SOFR3mo_PX[[#This Row],[Column1643]]</f>
        <v>97.454999999999998</v>
      </c>
      <c r="BKF23">
        <f>SOFR3mo_PX[[#This Row],[Column1644]]</f>
        <v>97.454999999999998</v>
      </c>
      <c r="BKG23">
        <f>SOFR3mo_PX[[#This Row],[Column1645]]</f>
        <v>97.454999999999998</v>
      </c>
      <c r="BKH23">
        <f>SOFR3mo_PX[[#This Row],[Column1646]]</f>
        <v>97.454999999999998</v>
      </c>
      <c r="BKI23">
        <f>SOFR3mo_PX[[#This Row],[Column1647]]</f>
        <v>97.454999999999998</v>
      </c>
      <c r="BKJ23">
        <f>SOFR3mo_PX[[#This Row],[Column1648]]</f>
        <v>97.454999999999998</v>
      </c>
      <c r="BKK23">
        <f>SOFR3mo_PX[[#This Row],[Column1649]]</f>
        <v>97.454999999999998</v>
      </c>
      <c r="BKL23">
        <f>SOFR3mo_PX[[#This Row],[Column1650]]</f>
        <v>97.454999999999998</v>
      </c>
      <c r="BKM23">
        <f>SOFR3mo_PX[[#This Row],[Column1651]]</f>
        <v>97.454999999999998</v>
      </c>
      <c r="BKN23">
        <f>SOFR3mo_PX[[#This Row],[Column1652]]</f>
        <v>97.454999999999998</v>
      </c>
      <c r="BKO23">
        <f>SOFR3mo_PX[[#This Row],[Column1653]]</f>
        <v>97.454999999999998</v>
      </c>
      <c r="BKP23">
        <f>SOFR3mo_PX[[#This Row],[Column1654]]</f>
        <v>97.454999999999998</v>
      </c>
      <c r="BKQ23">
        <f>SOFR3mo_PX[[#This Row],[Column1655]]</f>
        <v>97.454999999999998</v>
      </c>
      <c r="BKR23">
        <f>SOFR3mo_PX[[#This Row],[Column1656]]</f>
        <v>97.454999999999998</v>
      </c>
      <c r="BKS23">
        <f>SOFR3mo_PX[[#This Row],[Column1657]]</f>
        <v>97.454999999999998</v>
      </c>
      <c r="BKT23">
        <f>SOFR3mo_PX[[#This Row],[Column1658]]</f>
        <v>97.454999999999998</v>
      </c>
      <c r="BKU23">
        <f>SOFR3mo_PX[[#This Row],[Column1659]]</f>
        <v>97.454999999999998</v>
      </c>
      <c r="BKV23">
        <f>SOFR3mo_PX[[#This Row],[Column1660]]</f>
        <v>97.454999999999998</v>
      </c>
      <c r="BKW23">
        <f>SOFR3mo_PX[[#This Row],[Column1661]]</f>
        <v>97.454999999999998</v>
      </c>
      <c r="BKX23">
        <f>SOFR3mo_PX[[#This Row],[Column1662]]</f>
        <v>97.454999999999998</v>
      </c>
      <c r="BKY23">
        <f>SOFR3mo_PX[[#This Row],[Column1663]]</f>
        <v>97.454999999999998</v>
      </c>
      <c r="BKZ23">
        <f>SOFR3mo_PX[[#This Row],[Column1664]]</f>
        <v>97.454999999999998</v>
      </c>
      <c r="BLA23">
        <f>SOFR3mo_PX[[#This Row],[Column1665]]</f>
        <v>97.454999999999998</v>
      </c>
      <c r="BLB23">
        <f>SOFR3mo_PX[[#This Row],[Column1666]]</f>
        <v>97.454999999999998</v>
      </c>
      <c r="BLC23">
        <f>SOFR3mo_PX[[#This Row],[Column1667]]</f>
        <v>97.454999999999998</v>
      </c>
      <c r="BLD23">
        <f>SOFR3mo_PX[[#This Row],[Column1668]]</f>
        <v>97.454999999999998</v>
      </c>
      <c r="BLE23">
        <f>SOFR3mo_PX[[#This Row],[Column1669]]</f>
        <v>97.454999999999998</v>
      </c>
      <c r="BLF23">
        <f>SOFR3mo_PX[[#This Row],[Column1670]]</f>
        <v>97.454999999999998</v>
      </c>
      <c r="BLG23">
        <f>SOFR3mo_PX[[#This Row],[Column1671]]</f>
        <v>97.454999999999998</v>
      </c>
      <c r="BLH23">
        <f>SOFR3mo_PX[[#This Row],[Column1672]]</f>
        <v>97.454999999999998</v>
      </c>
      <c r="BLI23">
        <f>SOFR3mo_PX[[#This Row],[Column1673]]</f>
        <v>97.454999999999998</v>
      </c>
      <c r="BLJ23">
        <f>SOFR3mo_PX[[#This Row],[Column1674]]</f>
        <v>97.454999999999998</v>
      </c>
      <c r="BLK23">
        <f>SOFR3mo_PX[[#This Row],[Column1675]]</f>
        <v>97.454999999999998</v>
      </c>
      <c r="BLL23">
        <f>SOFR3mo_PX[[#This Row],[Column1676]]</f>
        <v>97.454999999999998</v>
      </c>
      <c r="BLM23">
        <f>SOFR3mo_PX[[#This Row],[Column1677]]</f>
        <v>97.454999999999998</v>
      </c>
      <c r="BLN23">
        <f>SOFR3mo_PX[[#This Row],[Column1678]]</f>
        <v>97.454999999999998</v>
      </c>
      <c r="BLO23">
        <f>SOFR3mo_PX[[#This Row],[Column1679]]</f>
        <v>97.454999999999998</v>
      </c>
      <c r="BLP23">
        <f>SOFR3mo_PX[[#This Row],[Column1680]]</f>
        <v>97.454999999999998</v>
      </c>
      <c r="BLQ23">
        <f>SOFR3mo_PX[[#This Row],[Column1681]]</f>
        <v>97.454999999999998</v>
      </c>
      <c r="BLR23">
        <f>SOFR3mo_PX[[#This Row],[Column1682]]</f>
        <v>97.454999999999998</v>
      </c>
      <c r="BLS23">
        <f>SOFR3mo_PX[[#This Row],[Column1683]]</f>
        <v>97.454999999999998</v>
      </c>
      <c r="BLT23">
        <f>SOFR3mo_PX[[#This Row],[Column1684]]</f>
        <v>97.454999999999998</v>
      </c>
      <c r="BLU23">
        <f>SOFR3mo_PX[[#This Row],[Column1685]]</f>
        <v>97.454999999999998</v>
      </c>
      <c r="BLV23">
        <f>SOFR3mo_PX[[#This Row],[Column1686]]</f>
        <v>97.454999999999998</v>
      </c>
      <c r="BLW23">
        <f>SOFR3mo_PX[[#This Row],[Column1687]]</f>
        <v>97.454999999999998</v>
      </c>
      <c r="BLX23">
        <f>SOFR3mo_PX[[#This Row],[Column1688]]</f>
        <v>97.454999999999998</v>
      </c>
      <c r="BLY23">
        <f>SOFR3mo_PX[[#This Row],[Column1689]]</f>
        <v>97.454999999999998</v>
      </c>
      <c r="BLZ23">
        <f>SOFR3mo_PX[[#This Row],[Column1690]]</f>
        <v>97.454999999999998</v>
      </c>
      <c r="BMA23">
        <f>SOFR3mo_PX[[#This Row],[Column1691]]</f>
        <v>97.454999999999998</v>
      </c>
      <c r="BMB23">
        <f>SOFR3mo_PX[[#This Row],[Column1692]]</f>
        <v>97.454999999999998</v>
      </c>
      <c r="BMC23">
        <f>SOFR3mo_PX[[#This Row],[Column1693]]</f>
        <v>97.454999999999998</v>
      </c>
      <c r="BMD23">
        <f>SOFR3mo_PX[[#This Row],[Column1694]]</f>
        <v>97.454999999999998</v>
      </c>
      <c r="BME23">
        <f>SOFR3mo_PX[[#This Row],[Column1695]]</f>
        <v>97.454999999999998</v>
      </c>
      <c r="BMF23">
        <f>SOFR3mo_PX[[#This Row],[Column1696]]</f>
        <v>97.454999999999998</v>
      </c>
      <c r="BMG23">
        <f>SOFR3mo_PX[[#This Row],[Column1697]]</f>
        <v>97.454999999999998</v>
      </c>
      <c r="BMH23">
        <f>SOFR3mo_PX[[#This Row],[Column1698]]</f>
        <v>97.454999999999998</v>
      </c>
      <c r="BMI23">
        <f>SOFR3mo_PX[[#This Row],[Column1699]]</f>
        <v>97.454999999999998</v>
      </c>
      <c r="BMJ23">
        <f>SOFR3mo_PX[[#This Row],[Column1700]]</f>
        <v>97.454999999999998</v>
      </c>
      <c r="BMK23">
        <f>SOFR3mo_PX[[#This Row],[Column1701]]</f>
        <v>97.405000000000001</v>
      </c>
      <c r="BML23">
        <f>SOFR3mo_PX[[#This Row],[Column1702]]</f>
        <v>97.37</v>
      </c>
      <c r="BMM23">
        <f>SOFR3mo_PX[[#This Row],[Column1703]]</f>
        <v>97.06</v>
      </c>
      <c r="BMN23">
        <f>SOFR3mo_PX[[#This Row],[Column1704]]</f>
        <v>97.06</v>
      </c>
      <c r="BMO23">
        <f>SOFR3mo_PX[[#This Row],[Column1705]]</f>
        <v>97.06</v>
      </c>
      <c r="BMP23">
        <f>SOFR3mo_PX[[#This Row],[Column1706]]</f>
        <v>97.06</v>
      </c>
      <c r="BMQ23">
        <f>SOFR3mo_PX[[#This Row],[Column1707]]</f>
        <v>97.06</v>
      </c>
      <c r="BMR23">
        <f>SOFR3mo_PX[[#This Row],[Column1708]]</f>
        <v>97.06</v>
      </c>
      <c r="BMS23">
        <f>SOFR3mo_PX[[#This Row],[Column1709]]</f>
        <v>97.06</v>
      </c>
      <c r="BMT23">
        <f>SOFR3mo_PX[[#This Row],[Column1710]]</f>
        <v>97.06</v>
      </c>
      <c r="BMU23">
        <f>SOFR3mo_PX[[#This Row],[Column1711]]</f>
        <v>97.06</v>
      </c>
      <c r="BMV23">
        <f>SOFR3mo_PX[[#This Row],[Column1712]]</f>
        <v>97.06</v>
      </c>
      <c r="BMW23">
        <f>SOFR3mo_PX[[#This Row],[Column1713]]</f>
        <v>97.06</v>
      </c>
      <c r="BMX23">
        <f>SOFR3mo_PX[[#This Row],[Column1714]]</f>
        <v>97.06</v>
      </c>
      <c r="BMY23">
        <f>SOFR3mo_PX[[#This Row],[Column1715]]</f>
        <v>97.06</v>
      </c>
      <c r="BMZ23">
        <f>SOFR3mo_PX[[#This Row],[Column1716]]</f>
        <v>97.06</v>
      </c>
      <c r="BNA23">
        <f>SOFR3mo_PX[[#This Row],[Column1717]]</f>
        <v>97.06</v>
      </c>
      <c r="BNB23">
        <f>SOFR3mo_PX[[#This Row],[Column1718]]</f>
        <v>97.06</v>
      </c>
      <c r="BNC23">
        <f>SOFR3mo_PX[[#This Row],[Column1719]]</f>
        <v>97.06</v>
      </c>
      <c r="BND23">
        <f>SOFR3mo_PX[[#This Row],[Column1720]]</f>
        <v>97.06</v>
      </c>
      <c r="BNE23">
        <f>SOFR3mo_PX[[#This Row],[Column1721]]</f>
        <v>97.06</v>
      </c>
      <c r="BNF23">
        <f>SOFR3mo_PX[[#This Row],[Column1722]]</f>
        <v>97.06</v>
      </c>
      <c r="BNG23">
        <f>SOFR3mo_PX[[#This Row],[Column1723]]</f>
        <v>97.06</v>
      </c>
      <c r="BNH23">
        <f>SOFR3mo_PX[[#This Row],[Column1724]]</f>
        <v>97.06</v>
      </c>
      <c r="BNI23">
        <f>SOFR3mo_PX[[#This Row],[Column1725]]</f>
        <v>97.06</v>
      </c>
      <c r="BNJ23">
        <f>SOFR3mo_PX[[#This Row],[Column1726]]</f>
        <v>97.06</v>
      </c>
      <c r="BNK23">
        <f>SOFR3mo_PX[[#This Row],[Column1727]]</f>
        <v>97.06</v>
      </c>
      <c r="BNL23">
        <f>SOFR3mo_PX[[#This Row],[Column1728]]</f>
        <v>97.06</v>
      </c>
      <c r="BNM23">
        <f>SOFR3mo_PX[[#This Row],[Column1729]]</f>
        <v>97.06</v>
      </c>
      <c r="BNN23">
        <f>SOFR3mo_PX[[#This Row],[Column1730]]</f>
        <v>97.06</v>
      </c>
      <c r="BNO23">
        <f>SOFR3mo_PX[[#This Row],[Column1731]]</f>
        <v>97.06</v>
      </c>
      <c r="BNP23">
        <f>SOFR3mo_PX[[#This Row],[Column1732]]</f>
        <v>97.06</v>
      </c>
      <c r="BNQ23">
        <f>SOFR3mo_PX[[#This Row],[Column1733]]</f>
        <v>97.06</v>
      </c>
      <c r="BNR23">
        <f>SOFR3mo_PX[[#This Row],[Column1734]]</f>
        <v>97.06</v>
      </c>
      <c r="BNS23">
        <f>SOFR3mo_PX[[#This Row],[Column1735]]</f>
        <v>97.06</v>
      </c>
      <c r="BNT23">
        <f>SOFR3mo_PX[[#This Row],[Column1736]]</f>
        <v>97.06</v>
      </c>
      <c r="BNU23">
        <f>SOFR3mo_PX[[#This Row],[Column1737]]</f>
        <v>97.06</v>
      </c>
      <c r="BNV23">
        <f>SOFR3mo_PX[[#This Row],[Column1738]]</f>
        <v>97.06</v>
      </c>
      <c r="BNW23">
        <f>SOFR3mo_PX[[#This Row],[Column1739]]</f>
        <v>97.06</v>
      </c>
      <c r="BNX23">
        <f>SOFR3mo_PX[[#This Row],[Column1740]]</f>
        <v>97.06</v>
      </c>
      <c r="BNY23">
        <f>SOFR3mo_PX[[#This Row],[Column1741]]</f>
        <v>97.06</v>
      </c>
      <c r="BNZ23">
        <f>SOFR3mo_PX[[#This Row],[Column1742]]</f>
        <v>97.06</v>
      </c>
      <c r="BOA23">
        <f>SOFR3mo_PX[[#This Row],[Column1743]]</f>
        <v>97.06</v>
      </c>
      <c r="BOB23">
        <f>SOFR3mo_PX[[#This Row],[Column1744]]</f>
        <v>97.06</v>
      </c>
      <c r="BOC23">
        <f>SOFR3mo_PX[[#This Row],[Column1745]]</f>
        <v>97.06</v>
      </c>
      <c r="BOD23">
        <f>SOFR3mo_PX[[#This Row],[Column1746]]</f>
        <v>97.06</v>
      </c>
      <c r="BOE23">
        <f>SOFR3mo_PX[[#This Row],[Column1747]]</f>
        <v>97.06</v>
      </c>
      <c r="BOF23">
        <f>SOFR3mo_PX[[#This Row],[Column1748]]</f>
        <v>97.06</v>
      </c>
      <c r="BOG23">
        <f>SOFR3mo_PX[[#This Row],[Column1749]]</f>
        <v>97.06</v>
      </c>
      <c r="BOH23">
        <f>SOFR3mo_PX[[#This Row],[Column1750]]</f>
        <v>97.06</v>
      </c>
      <c r="BOI23">
        <f>SOFR3mo_PX[[#This Row],[Column1751]]</f>
        <v>97.06</v>
      </c>
      <c r="BOJ23">
        <f>SOFR3mo_PX[[#This Row],[Column1752]]</f>
        <v>97.06</v>
      </c>
      <c r="BOK23">
        <f>SOFR3mo_PX[[#This Row],[Column1753]]</f>
        <v>97.06</v>
      </c>
      <c r="BOL23">
        <f>SOFR3mo_PX[[#This Row],[Column1754]]</f>
        <v>97.06</v>
      </c>
      <c r="BOM23">
        <f>SOFR3mo_PX[[#This Row],[Column1755]]</f>
        <v>97.06</v>
      </c>
      <c r="BON23">
        <f>SOFR3mo_PX[[#This Row],[Column1756]]</f>
        <v>97.06</v>
      </c>
      <c r="BOO23">
        <f>SOFR3mo_PX[[#This Row],[Column1757]]</f>
        <v>97.06</v>
      </c>
      <c r="BOP23">
        <f>SOFR3mo_PX[[#This Row],[Column1758]]</f>
        <v>97.06</v>
      </c>
      <c r="BOQ23">
        <f>SOFR3mo_PX[[#This Row],[Column1759]]</f>
        <v>97.06</v>
      </c>
      <c r="BOR23">
        <f>SOFR3mo_PX[[#This Row],[Column1760]]</f>
        <v>97.06</v>
      </c>
      <c r="BOS23">
        <f>SOFR3mo_PX[[#This Row],[Column1761]]</f>
        <v>97.06</v>
      </c>
      <c r="BOT23">
        <f>SOFR3mo_PX[[#This Row],[Column1762]]</f>
        <v>97.06</v>
      </c>
      <c r="BOU23">
        <f>SOFR3mo_PX[[#This Row],[Column1763]]</f>
        <v>97.06</v>
      </c>
      <c r="BOV23">
        <f>SOFR3mo_PX[[#This Row],[Column1764]]</f>
        <v>97.06</v>
      </c>
      <c r="BOW23">
        <f>SOFR3mo_PX[[#This Row],[Column1765]]</f>
        <v>97.06</v>
      </c>
      <c r="BOX23">
        <f>SOFR3mo_PX[[#This Row],[Column1766]]</f>
        <v>97.09</v>
      </c>
      <c r="BOY23">
        <f>SOFR3mo_PX[[#This Row],[Column1767]]</f>
        <v>97.09</v>
      </c>
      <c r="BOZ23" t="str">
        <f>SOFR3mo_PX[[#This Row],[Column1768]]</f>
        <v>#N/A N/A</v>
      </c>
      <c r="BPA23" t="str">
        <f>SOFR3mo_PX[[#This Row],[Column1769]]</f>
        <v>#N/A N/A</v>
      </c>
      <c r="BPB23" t="str">
        <f>SOFR3mo_PX[[#This Row],[Column1770]]</f>
        <v>#N/A N/A</v>
      </c>
      <c r="BPC23" t="str">
        <f>SOFR3mo_PX[[#This Row],[Column1771]]</f>
        <v>#N/A N/A</v>
      </c>
      <c r="BPD23" t="str">
        <f>SOFR3mo_PX[[#This Row],[Column1772]]</f>
        <v>#N/A N/A</v>
      </c>
      <c r="BPE23" t="str">
        <f>SOFR3mo_PX[[#This Row],[Column1773]]</f>
        <v>#N/A N/A</v>
      </c>
      <c r="BPF23" t="str">
        <f>SOFR3mo_PX[[#This Row],[Column1774]]</f>
        <v>#N/A N/A</v>
      </c>
      <c r="BPG23" t="str">
        <f>SOFR3mo_PX[[#This Row],[Column1775]]</f>
        <v>#N/A N/A</v>
      </c>
      <c r="BPH23" t="str">
        <f>SOFR3mo_PX[[#This Row],[Column1776]]</f>
        <v>#N/A N/A</v>
      </c>
      <c r="BPI23" t="str">
        <f>SOFR3mo_PX[[#This Row],[Column1777]]</f>
        <v>#N/A N/A</v>
      </c>
      <c r="BPJ23" t="str">
        <f>SOFR3mo_PX[[#This Row],[Column1778]]</f>
        <v>#N/A N/A</v>
      </c>
      <c r="BPK23" t="str">
        <f>SOFR3mo_PX[[#This Row],[Column1779]]</f>
        <v>#N/A N/A</v>
      </c>
      <c r="BPL23" t="str">
        <f>SOFR3mo_PX[[#This Row],[Column1780]]</f>
        <v>#N/A N/A</v>
      </c>
      <c r="BPM23" t="str">
        <f>SOFR3mo_PX[[#This Row],[Column1781]]</f>
        <v>#N/A N/A</v>
      </c>
      <c r="BPN23" t="str">
        <f>SOFR3mo_PX[[#This Row],[Column1782]]</f>
        <v>#N/A N/A</v>
      </c>
      <c r="BPO23" t="str">
        <f>SOFR3mo_PX[[#This Row],[Column1783]]</f>
        <v>#N/A N/A</v>
      </c>
      <c r="BPP23" t="str">
        <f>SOFR3mo_PX[[#This Row],[Column1784]]</f>
        <v>#N/A N/A</v>
      </c>
      <c r="BPQ23" t="str">
        <f>SOFR3mo_PX[[#This Row],[Column1785]]</f>
        <v>#N/A N/A</v>
      </c>
      <c r="BPR23" t="str">
        <f>SOFR3mo_PX[[#This Row],[Column1786]]</f>
        <v>#N/A N/A</v>
      </c>
      <c r="BPS23" t="str">
        <f>SOFR3mo_PX[[#This Row],[Column1787]]</f>
        <v>#N/A N/A</v>
      </c>
      <c r="BPT23" t="str">
        <f>SOFR3mo_PX[[#This Row],[Column1788]]</f>
        <v>#N/A N/A</v>
      </c>
      <c r="BPU23" t="str">
        <f>SOFR3mo_PX[[#This Row],[Column1789]]</f>
        <v>#N/A N/A</v>
      </c>
      <c r="BPV23" t="str">
        <f>SOFR3mo_PX[[#This Row],[Column1790]]</f>
        <v>#N/A N/A</v>
      </c>
      <c r="BPW23" t="str">
        <f>SOFR3mo_PX[[#This Row],[Column1791]]</f>
        <v>#N/A N/A</v>
      </c>
      <c r="BPX23" t="str">
        <f>SOFR3mo_PX[[#This Row],[Column1792]]</f>
        <v>#N/A N/A</v>
      </c>
      <c r="BPY23" t="str">
        <f>SOFR3mo_PX[[#This Row],[Column1793]]</f>
        <v>#N/A N/A</v>
      </c>
      <c r="BPZ23" t="str">
        <f>SOFR3mo_PX[[#This Row],[Column1794]]</f>
        <v>#N/A N/A</v>
      </c>
      <c r="BQA23" t="str">
        <f>SOFR3mo_PX[[#This Row],[Column1795]]</f>
        <v>#N/A N/A</v>
      </c>
      <c r="BQB23" t="str">
        <f>SOFR3mo_PX[[#This Row],[Column1796]]</f>
        <v>#N/A N/A</v>
      </c>
      <c r="BQC23" t="str">
        <f>SOFR3mo_PX[[#This Row],[Column1797]]</f>
        <v>#N/A N/A</v>
      </c>
      <c r="BQD23" t="str">
        <f>SOFR3mo_PX[[#This Row],[Column1798]]</f>
        <v>#N/A N/A</v>
      </c>
      <c r="BQE23" t="str">
        <f>SOFR3mo_PX[[#This Row],[Column1799]]</f>
        <v>#N/A N/A</v>
      </c>
      <c r="BQF23" t="str">
        <f>SOFR3mo_PX[[#This Row],[Column1800]]</f>
        <v>#N/A N/A</v>
      </c>
      <c r="BQG23" t="str">
        <f>SOFR3mo_PX[[#This Row],[Column1801]]</f>
        <v>#N/A N/A</v>
      </c>
      <c r="BQH23" t="str">
        <f>SOFR3mo_PX[[#This Row],[Column1802]]</f>
        <v>#N/A N/A</v>
      </c>
      <c r="BQI23" t="str">
        <f>SOFR3mo_PX[[#This Row],[Column1803]]</f>
        <v>#N/A N/A</v>
      </c>
      <c r="BQJ23" t="str">
        <f>SOFR3mo_PX[[#This Row],[Column1804]]</f>
        <v>#N/A N/A</v>
      </c>
      <c r="BQK23" t="str">
        <f>SOFR3mo_PX[[#This Row],[Column1805]]</f>
        <v>#N/A N/A</v>
      </c>
      <c r="BQL23" t="str">
        <f>SOFR3mo_PX[[#This Row],[Column1806]]</f>
        <v>#N/A N/A</v>
      </c>
      <c r="BQM23" t="str">
        <f>SOFR3mo_PX[[#This Row],[Column1807]]</f>
        <v>#N/A N/A</v>
      </c>
      <c r="BQN23" t="str">
        <f>SOFR3mo_PX[[#This Row],[Column1808]]</f>
        <v>#N/A N/A</v>
      </c>
      <c r="BQO23" t="str">
        <f>SOFR3mo_PX[[#This Row],[Column1809]]</f>
        <v>#N/A N/A</v>
      </c>
      <c r="BQP23" t="str">
        <f>SOFR3mo_PX[[#This Row],[Column1810]]</f>
        <v>#N/A N/A</v>
      </c>
      <c r="BQQ23" t="str">
        <f>SOFR3mo_PX[[#This Row],[Column1811]]</f>
        <v>#N/A N/A</v>
      </c>
      <c r="BQR23" t="str">
        <f>SOFR3mo_PX[[#This Row],[Column1812]]</f>
        <v>#N/A N/A</v>
      </c>
      <c r="BQS23" t="str">
        <f>SOFR3mo_PX[[#This Row],[Column1813]]</f>
        <v>#N/A N/A</v>
      </c>
      <c r="BQT23" t="str">
        <f>SOFR3mo_PX[[#This Row],[Column1814]]</f>
        <v>#N/A N/A</v>
      </c>
      <c r="BQU23" t="str">
        <f>SOFR3mo_PX[[#This Row],[Column1815]]</f>
        <v>#N/A N/A</v>
      </c>
      <c r="BQV23" t="str">
        <f>SOFR3mo_PX[[#This Row],[Column1816]]</f>
        <v>#N/A N/A</v>
      </c>
      <c r="BQW23" t="str">
        <f>SOFR3mo_PX[[#This Row],[Column1817]]</f>
        <v>#N/A N/A</v>
      </c>
      <c r="BQX23" t="str">
        <f>SOFR3mo_PX[[#This Row],[Column1818]]</f>
        <v>#N/A N/A</v>
      </c>
      <c r="BQY23" t="str">
        <f>SOFR3mo_PX[[#This Row],[Column1819]]</f>
        <v>#N/A N/A</v>
      </c>
      <c r="BQZ23" t="str">
        <f>SOFR3mo_PX[[#This Row],[Column1820]]</f>
        <v>#N/A N/A</v>
      </c>
      <c r="BRA23" t="str">
        <f>SOFR3mo_PX[[#This Row],[Column1821]]</f>
        <v>#N/A N/A</v>
      </c>
      <c r="BRB23" t="str">
        <f>SOFR3mo_PX[[#This Row],[Column1822]]</f>
        <v>#N/A N/A</v>
      </c>
      <c r="BRC23" t="str">
        <f>SOFR3mo_PX[[#This Row],[Column1823]]</f>
        <v>#N/A N/A</v>
      </c>
      <c r="BRD23" t="str">
        <f>SOFR3mo_PX[[#This Row],[Column1824]]</f>
        <v>#N/A N/A</v>
      </c>
      <c r="BRE23" t="str">
        <f>SOFR3mo_PX[[#This Row],[Column1825]]</f>
        <v>#N/A N/A</v>
      </c>
      <c r="BRF23" t="str">
        <f>SOFR3mo_PX[[#This Row],[Column1826]]</f>
        <v>#N/A N/A</v>
      </c>
      <c r="BRG23" t="str">
        <f>SOFR3mo_PX[[#This Row],[Column1827]]</f>
        <v>#N/A N/A</v>
      </c>
      <c r="BRH23" t="str">
        <f>SOFR3mo_PX[[#This Row],[Column1828]]</f>
        <v>#N/A N/A</v>
      </c>
      <c r="BRI23" t="str">
        <f>SOFR3mo_PX[[#This Row],[Column1829]]</f>
        <v>#N/A N/A</v>
      </c>
      <c r="BRJ23" t="str">
        <f>SOFR3mo_PX[[#This Row],[Column1830]]</f>
        <v>#N/A N/A</v>
      </c>
      <c r="BRK23" t="str">
        <f>SOFR3mo_PX[[#This Row],[Column1831]]</f>
        <v>#N/A N/A</v>
      </c>
      <c r="BRL23" t="str">
        <f>SOFR3mo_PX[[#This Row],[Column1832]]</f>
        <v>#N/A N/A</v>
      </c>
      <c r="BRM23" t="str">
        <f>SOFR3mo_PX[[#This Row],[Column1833]]</f>
        <v>#N/A N/A</v>
      </c>
      <c r="BRN23" t="str">
        <f>SOFR3mo_PX[[#This Row],[Column1834]]</f>
        <v>#N/A N/A</v>
      </c>
      <c r="BRO23" t="str">
        <f>SOFR3mo_PX[[#This Row],[Column1835]]</f>
        <v>#N/A N/A</v>
      </c>
      <c r="BRP23" t="str">
        <f>SOFR3mo_PX[[#This Row],[Column1836]]</f>
        <v>#N/A N/A</v>
      </c>
      <c r="BRQ23" t="str">
        <f>SOFR3mo_PX[[#This Row],[Column1837]]</f>
        <v>#N/A N/A</v>
      </c>
      <c r="BRR23" t="str">
        <f>SOFR3mo_PX[[#This Row],[Column1838]]</f>
        <v>#N/A N/A</v>
      </c>
      <c r="BRS23" t="str">
        <f>SOFR3mo_PX[[#This Row],[Column1839]]</f>
        <v>#N/A N/A</v>
      </c>
      <c r="BRT23" t="str">
        <f>SOFR3mo_PX[[#This Row],[Column1840]]</f>
        <v>#N/A N/A</v>
      </c>
      <c r="BRU23" t="str">
        <f>SOFR3mo_PX[[#This Row],[Column1841]]</f>
        <v>#N/A N/A</v>
      </c>
      <c r="BRV23" t="str">
        <f>SOFR3mo_PX[[#This Row],[Column1842]]</f>
        <v>#N/A N/A</v>
      </c>
      <c r="BRW23" t="str">
        <f>SOFR3mo_PX[[#This Row],[Column1843]]</f>
        <v>#N/A N/A</v>
      </c>
      <c r="BRX23" t="str">
        <f>SOFR3mo_PX[[#This Row],[Column1844]]</f>
        <v>#N/A N/A</v>
      </c>
      <c r="BRY23" t="str">
        <f>SOFR3mo_PX[[#This Row],[Column1845]]</f>
        <v>#N/A N/A</v>
      </c>
      <c r="BRZ23" t="str">
        <f>SOFR3mo_PX[[#This Row],[Column1846]]</f>
        <v>#N/A N/A</v>
      </c>
      <c r="BSA23" t="str">
        <f>SOFR3mo_PX[[#This Row],[Column1847]]</f>
        <v>#N/A N/A</v>
      </c>
      <c r="BSB23" t="str">
        <f>SOFR3mo_PX[[#This Row],[Column1848]]</f>
        <v>#N/A N/A</v>
      </c>
      <c r="BSC23" t="str">
        <f>SOFR3mo_PX[[#This Row],[Column1849]]</f>
        <v>#N/A N/A</v>
      </c>
      <c r="BSD23" t="str">
        <f>SOFR3mo_PX[[#This Row],[Column1850]]</f>
        <v>#N/A N/A</v>
      </c>
      <c r="BSE23" t="str">
        <f>SOFR3mo_PX[[#This Row],[Column1851]]</f>
        <v>#N/A N/A</v>
      </c>
      <c r="BSF23" t="str">
        <f>SOFR3mo_PX[[#This Row],[Column1852]]</f>
        <v>#N/A N/A</v>
      </c>
      <c r="BSG23" t="str">
        <f>SOFR3mo_PX[[#This Row],[Column1853]]</f>
        <v>#N/A N/A</v>
      </c>
      <c r="BSH23" t="str">
        <f>SOFR3mo_PX[[#This Row],[Column1854]]</f>
        <v>#N/A N/A</v>
      </c>
      <c r="BSI23" t="str">
        <f>SOFR3mo_PX[[#This Row],[Column1855]]</f>
        <v>#N/A N/A</v>
      </c>
      <c r="BSJ23" t="str">
        <f>SOFR3mo_PX[[#This Row],[Column1856]]</f>
        <v>#N/A N/A</v>
      </c>
      <c r="BSK23" t="str">
        <f>SOFR3mo_PX[[#This Row],[Column1857]]</f>
        <v>#N/A N/A</v>
      </c>
      <c r="BSL23" t="str">
        <f>SOFR3mo_PX[[#This Row],[Column1858]]</f>
        <v>#N/A N/A</v>
      </c>
      <c r="BSM23" t="str">
        <f>SOFR3mo_PX[[#This Row],[Column1859]]</f>
        <v>#N/A N/A</v>
      </c>
      <c r="BSN23" t="str">
        <f>SOFR3mo_PX[[#This Row],[Column1860]]</f>
        <v>#N/A N/A</v>
      </c>
      <c r="BSO23" t="str">
        <f>SOFR3mo_PX[[#This Row],[Column1861]]</f>
        <v>#N/A N/A</v>
      </c>
      <c r="BSP23" t="str">
        <f>SOFR3mo_PX[[#This Row],[Column1862]]</f>
        <v>#N/A N/A</v>
      </c>
      <c r="BSQ23" t="str">
        <f>SOFR3mo_PX[[#This Row],[Column1863]]</f>
        <v>#N/A N/A</v>
      </c>
      <c r="BSR23" t="str">
        <f>SOFR3mo_PX[[#This Row],[Column1864]]</f>
        <v>#N/A N/A</v>
      </c>
      <c r="BSS23" t="str">
        <f>SOFR3mo_PX[[#This Row],[Column1865]]</f>
        <v>#N/A N/A</v>
      </c>
      <c r="BST23" t="str">
        <f>SOFR3mo_PX[[#This Row],[Column1866]]</f>
        <v>#N/A N/A</v>
      </c>
      <c r="BSU23" t="str">
        <f>SOFR3mo_PX[[#This Row],[Column1867]]</f>
        <v>#N/A N/A</v>
      </c>
      <c r="BSV23" t="str">
        <f>SOFR3mo_PX[[#This Row],[Column1868]]</f>
        <v>#N/A N/A</v>
      </c>
      <c r="BSW23" t="str">
        <f>SOFR3mo_PX[[#This Row],[Column1869]]</f>
        <v>#N/A N/A</v>
      </c>
      <c r="BSX23" t="str">
        <f>SOFR3mo_PX[[#This Row],[Column1870]]</f>
        <v>#N/A N/A</v>
      </c>
      <c r="BSY23" t="str">
        <f>SOFR3mo_PX[[#This Row],[Column1871]]</f>
        <v>#N/A N/A</v>
      </c>
      <c r="BSZ23" t="str">
        <f>SOFR3mo_PX[[#This Row],[Column1872]]</f>
        <v>#N/A N/A</v>
      </c>
      <c r="BTA23" t="str">
        <f>SOFR3mo_PX[[#This Row],[Column1873]]</f>
        <v>#N/A N/A</v>
      </c>
      <c r="BTB23" t="str">
        <f>SOFR3mo_PX[[#This Row],[Column1874]]</f>
        <v>#N/A N/A</v>
      </c>
      <c r="BTC23" t="str">
        <f>SOFR3mo_PX[[#This Row],[Column1875]]</f>
        <v>#N/A N/A</v>
      </c>
      <c r="BTD23" t="str">
        <f>SOFR3mo_PX[[#This Row],[Column1876]]</f>
        <v>#N/A N/A</v>
      </c>
      <c r="BTE23" t="str">
        <f>SOFR3mo_PX[[#This Row],[Column1877]]</f>
        <v>#N/A N/A</v>
      </c>
      <c r="BTF23" t="str">
        <f>SOFR3mo_PX[[#This Row],[Column1878]]</f>
        <v>#N/A N/A</v>
      </c>
      <c r="BTG23" t="str">
        <f>SOFR3mo_PX[[#This Row],[Column1879]]</f>
        <v>#N/A N/A</v>
      </c>
      <c r="BTH23" t="str">
        <f>SOFR3mo_PX[[#This Row],[Column1880]]</f>
        <v>#N/A N/A</v>
      </c>
      <c r="BTI23" t="str">
        <f>SOFR3mo_PX[[#This Row],[Column1881]]</f>
        <v>#N/A N/A</v>
      </c>
      <c r="BTJ23" t="str">
        <f>SOFR3mo_PX[[#This Row],[Column1882]]</f>
        <v>#N/A N/A</v>
      </c>
      <c r="BTK23" t="str">
        <f>SOFR3mo_PX[[#This Row],[Column1883]]</f>
        <v>#N/A N/A</v>
      </c>
      <c r="BTL23" t="str">
        <f>SOFR3mo_PX[[#This Row],[Column1884]]</f>
        <v>#N/A N/A</v>
      </c>
      <c r="BTM23" t="str">
        <f>SOFR3mo_PX[[#This Row],[Column1885]]</f>
        <v>#N/A N/A</v>
      </c>
      <c r="BTN23" t="str">
        <f>SOFR3mo_PX[[#This Row],[Column1886]]</f>
        <v>#N/A N/A</v>
      </c>
      <c r="BTO23" t="str">
        <f>SOFR3mo_PX[[#This Row],[Column1887]]</f>
        <v>#N/A N/A</v>
      </c>
      <c r="BTP23" t="str">
        <f>SOFR3mo_PX[[#This Row],[Column1888]]</f>
        <v>#N/A N/A</v>
      </c>
      <c r="BTQ23" t="str">
        <f>SOFR3mo_PX[[#This Row],[Column1889]]</f>
        <v>#N/A N/A</v>
      </c>
      <c r="BTR23" t="str">
        <f>SOFR3mo_PX[[#This Row],[Column1890]]</f>
        <v>#N/A N/A</v>
      </c>
      <c r="BTS23" t="str">
        <f>SOFR3mo_PX[[#This Row],[Column1891]]</f>
        <v>#N/A N/A</v>
      </c>
      <c r="BTT23" t="str">
        <f>SOFR3mo_PX[[#This Row],[Column1892]]</f>
        <v>#N/A N/A</v>
      </c>
      <c r="BTU23" t="str">
        <f>SOFR3mo_PX[[#This Row],[Column1893]]</f>
        <v>#N/A N/A</v>
      </c>
      <c r="BTV23" t="str">
        <f>SOFR3mo_PX[[#This Row],[Column1894]]</f>
        <v>#N/A N/A</v>
      </c>
      <c r="BTW23" t="str">
        <f>SOFR3mo_PX[[#This Row],[Column1895]]</f>
        <v>#N/A N/A</v>
      </c>
      <c r="BTX23" t="str">
        <f>SOFR3mo_PX[[#This Row],[Column1896]]</f>
        <v>#N/A N/A</v>
      </c>
      <c r="BTY23" t="str">
        <f>SOFR3mo_PX[[#This Row],[Column1897]]</f>
        <v>#N/A N/A</v>
      </c>
      <c r="BTZ23" t="str">
        <f>SOFR3mo_PX[[#This Row],[Column1898]]</f>
        <v>#N/A N/A</v>
      </c>
      <c r="BUA23" t="str">
        <f>SOFR3mo_PX[[#This Row],[Column1899]]</f>
        <v>#N/A N/A</v>
      </c>
      <c r="BUB23" t="str">
        <f>SOFR3mo_PX[[#This Row],[Column1900]]</f>
        <v>#N/A N/A</v>
      </c>
      <c r="BUC23" t="str">
        <f>SOFR3mo_PX[[#This Row],[Column1901]]</f>
        <v>#N/A N/A</v>
      </c>
      <c r="BUD23" t="str">
        <f>SOFR3mo_PX[[#This Row],[Column1902]]</f>
        <v>#N/A N/A</v>
      </c>
      <c r="BUE23" t="str">
        <f>SOFR3mo_PX[[#This Row],[Column1903]]</f>
        <v>#N/A N/A</v>
      </c>
      <c r="BUF23" t="str">
        <f>SOFR3mo_PX[[#This Row],[Column1904]]</f>
        <v>#N/A N/A</v>
      </c>
      <c r="BUG23" t="str">
        <f>SOFR3mo_PX[[#This Row],[Column1905]]</f>
        <v>#N/A N/A</v>
      </c>
      <c r="BUH23" t="str">
        <f>SOFR3mo_PX[[#This Row],[Column1906]]</f>
        <v>#N/A N/A</v>
      </c>
      <c r="BUI23" t="str">
        <f>SOFR3mo_PX[[#This Row],[Column1907]]</f>
        <v>#N/A N/A</v>
      </c>
      <c r="BUJ23" t="str">
        <f>SOFR3mo_PX[[#This Row],[Column1908]]</f>
        <v>#N/A N/A</v>
      </c>
      <c r="BUK23" t="str">
        <f>SOFR3mo_PX[[#This Row],[Column1909]]</f>
        <v>#N/A N/A</v>
      </c>
      <c r="BUL23" t="str">
        <f>SOFR3mo_PX[[#This Row],[Column1910]]</f>
        <v>#N/A N/A</v>
      </c>
      <c r="BUM23" t="str">
        <f>SOFR3mo_PX[[#This Row],[Column1911]]</f>
        <v>#N/A N/A</v>
      </c>
      <c r="BUN23" t="str">
        <f>SOFR3mo_PX[[#This Row],[Column1912]]</f>
        <v>#N/A N/A</v>
      </c>
      <c r="BUO23" t="str">
        <f>SOFR3mo_PX[[#This Row],[Column1913]]</f>
        <v>#N/A N/A</v>
      </c>
      <c r="BUP23" t="str">
        <f>SOFR3mo_PX[[#This Row],[Column1914]]</f>
        <v>#N/A N/A</v>
      </c>
      <c r="BUQ23" t="str">
        <f>SOFR3mo_PX[[#This Row],[Column1915]]</f>
        <v>#N/A N/A</v>
      </c>
      <c r="BUR23" t="str">
        <f>SOFR3mo_PX[[#This Row],[Column1916]]</f>
        <v>#N/A N/A</v>
      </c>
      <c r="BUS23" t="str">
        <f>SOFR3mo_PX[[#This Row],[Column1917]]</f>
        <v>#N/A N/A</v>
      </c>
      <c r="BUT23" t="str">
        <f>SOFR3mo_PX[[#This Row],[Column1918]]</f>
        <v>#N/A N/A</v>
      </c>
      <c r="BUU23" t="str">
        <f>SOFR3mo_PX[[#This Row],[Column1919]]</f>
        <v>#N/A N/A</v>
      </c>
      <c r="BUV23" t="str">
        <f>SOFR3mo_PX[[#This Row],[Column1920]]</f>
        <v>#N/A N/A</v>
      </c>
      <c r="BUW23" t="str">
        <f>SOFR3mo_PX[[#This Row],[Column1921]]</f>
        <v>#N/A N/A</v>
      </c>
      <c r="BUX23" t="str">
        <f>SOFR3mo_PX[[#This Row],[Column1922]]</f>
        <v>#N/A N/A</v>
      </c>
      <c r="BUY23" t="str">
        <f>SOFR3mo_PX[[#This Row],[Column1923]]</f>
        <v>#N/A N/A</v>
      </c>
      <c r="BUZ23" t="str">
        <f>SOFR3mo_PX[[#This Row],[Column1924]]</f>
        <v>#N/A N/A</v>
      </c>
      <c r="BVA23" t="str">
        <f>SOFR3mo_PX[[#This Row],[Column1925]]</f>
        <v>#N/A N/A</v>
      </c>
      <c r="BVB23" t="str">
        <f>SOFR3mo_PX[[#This Row],[Column1926]]</f>
        <v>#N/A N/A</v>
      </c>
      <c r="BVC23" t="str">
        <f>SOFR3mo_PX[[#This Row],[Column1927]]</f>
        <v>#N/A N/A</v>
      </c>
      <c r="BVD23" t="str">
        <f>SOFR3mo_PX[[#This Row],[Column1928]]</f>
        <v>#N/A N/A</v>
      </c>
      <c r="BVE23" t="str">
        <f>SOFR3mo_PX[[#This Row],[Column1929]]</f>
        <v>#N/A N/A</v>
      </c>
      <c r="BVF23" t="str">
        <f>SOFR3mo_PX[[#This Row],[Column1930]]</f>
        <v>#N/A N/A</v>
      </c>
      <c r="BVG23" t="str">
        <f>SOFR3mo_PX[[#This Row],[Column1931]]</f>
        <v>#N/A N/A</v>
      </c>
      <c r="BVH23" t="str">
        <f>SOFR3mo_PX[[#This Row],[Column1932]]</f>
        <v>#N/A N/A</v>
      </c>
      <c r="BVI23" t="str">
        <f>SOFR3mo_PX[[#This Row],[Column1933]]</f>
        <v>#N/A N/A</v>
      </c>
      <c r="BVJ23" t="str">
        <f>SOFR3mo_PX[[#This Row],[Column1934]]</f>
        <v>#N/A N/A</v>
      </c>
      <c r="BVK23" t="str">
        <f>SOFR3mo_PX[[#This Row],[Column1935]]</f>
        <v>#N/A N/A</v>
      </c>
      <c r="BVL23" t="str">
        <f>SOFR3mo_PX[[#This Row],[Column1936]]</f>
        <v>#N/A N/A</v>
      </c>
      <c r="BVM23" t="str">
        <f>SOFR3mo_PX[[#This Row],[Column1937]]</f>
        <v>#N/A N/A</v>
      </c>
      <c r="BVN23" t="str">
        <f>SOFR3mo_PX[[#This Row],[Column1938]]</f>
        <v>#N/A N/A</v>
      </c>
      <c r="BVO23" t="str">
        <f>SOFR3mo_PX[[#This Row],[Column1939]]</f>
        <v>#N/A N/A</v>
      </c>
      <c r="BVP23" t="str">
        <f>SOFR3mo_PX[[#This Row],[Column1940]]</f>
        <v>#N/A N/A</v>
      </c>
      <c r="BVQ23" t="str">
        <f>SOFR3mo_PX[[#This Row],[Column1941]]</f>
        <v>#N/A N/A</v>
      </c>
      <c r="BVR23" t="str">
        <f>SOFR3mo_PX[[#This Row],[Column1942]]</f>
        <v>#N/A N/A</v>
      </c>
      <c r="BVS23" t="str">
        <f>SOFR3mo_PX[[#This Row],[Column1943]]</f>
        <v>#N/A N/A</v>
      </c>
      <c r="BVT23" t="str">
        <f>SOFR3mo_PX[[#This Row],[Column1944]]</f>
        <v>#N/A N/A</v>
      </c>
      <c r="BVU23" t="str">
        <f>SOFR3mo_PX[[#This Row],[Column1945]]</f>
        <v>#N/A N/A</v>
      </c>
      <c r="BVV23" t="str">
        <f>SOFR3mo_PX[[#This Row],[Column1946]]</f>
        <v>#N/A N/A</v>
      </c>
      <c r="BVW23" t="str">
        <f>SOFR3mo_PX[[#This Row],[Column1947]]</f>
        <v>#N/A N/A</v>
      </c>
      <c r="BVX23" t="str">
        <f>SOFR3mo_PX[[#This Row],[Column1948]]</f>
        <v>#N/A N/A</v>
      </c>
      <c r="BVY23" t="str">
        <f>SOFR3mo_PX[[#This Row],[Column1949]]</f>
        <v>#N/A N/A</v>
      </c>
      <c r="BVZ23" t="str">
        <f>SOFR3mo_PX[[#This Row],[Column1950]]</f>
        <v>#N/A N/A</v>
      </c>
      <c r="BWA23" t="str">
        <f>SOFR3mo_PX[[#This Row],[Column1951]]</f>
        <v>#N/A N/A</v>
      </c>
      <c r="BWB23" t="str">
        <f>SOFR3mo_PX[[#This Row],[Column1952]]</f>
        <v>#N/A N/A</v>
      </c>
      <c r="BWC23" t="str">
        <f>SOFR3mo_PX[[#This Row],[Column1953]]</f>
        <v>#N/A N/A</v>
      </c>
      <c r="BWD23" t="str">
        <f>SOFR3mo_PX[[#This Row],[Column1954]]</f>
        <v>#N/A N/A</v>
      </c>
    </row>
    <row r="24" spans="1:1954" x14ac:dyDescent="0.25">
      <c r="A24" t="str">
        <f>SOFR3mo_PX[[#This Row],[Column1]]</f>
        <v>SFR22 Comdty</v>
      </c>
      <c r="B24">
        <f>IF(rtd!B22&lt;&gt;"",rtd!B22,SOFR3mo_PX[[#This Row],[Column2]])</f>
        <v>96.07</v>
      </c>
      <c r="C24">
        <f>SOFR3mo_PX[[#This Row],[Column3]]</f>
        <v>96.05</v>
      </c>
      <c r="D24">
        <f>SOFR3mo_PX[[#This Row],[Column4]]</f>
        <v>96.05</v>
      </c>
      <c r="E24">
        <f>SOFR3mo_PX[[#This Row],[Column5]]</f>
        <v>96.1</v>
      </c>
      <c r="F24">
        <f>SOFR3mo_PX[[#This Row],[Column6]]</f>
        <v>96.04</v>
      </c>
      <c r="G24">
        <f>SOFR3mo_PX[[#This Row],[Column7]]</f>
        <v>96.07</v>
      </c>
      <c r="H24">
        <f>SOFR3mo_PX[[#This Row],[Column8]]</f>
        <v>96.114999999999995</v>
      </c>
      <c r="I24">
        <f>SOFR3mo_PX[[#This Row],[Column9]]</f>
        <v>96.055000000000007</v>
      </c>
      <c r="J24">
        <f>SOFR3mo_PX[[#This Row],[Column10]]</f>
        <v>96.004999999999995</v>
      </c>
      <c r="K24">
        <f>SOFR3mo_PX[[#This Row],[Column11]]</f>
        <v>95.99</v>
      </c>
      <c r="L24">
        <f>SOFR3mo_PX[[#This Row],[Column12]]</f>
        <v>95.98</v>
      </c>
      <c r="M24">
        <f>SOFR3mo_PX[[#This Row],[Column13]]</f>
        <v>96.084999999999994</v>
      </c>
      <c r="N24">
        <f>SOFR3mo_PX[[#This Row],[Column14]]</f>
        <v>96.11</v>
      </c>
      <c r="O24">
        <f>SOFR3mo_PX[[#This Row],[Column15]]</f>
        <v>96.03</v>
      </c>
      <c r="P24">
        <f>SOFR3mo_PX[[#This Row],[Column16]]</f>
        <v>96.025000000000006</v>
      </c>
      <c r="Q24">
        <f>SOFR3mo_PX[[#This Row],[Column17]]</f>
        <v>96.084999999999994</v>
      </c>
      <c r="R24">
        <f>SOFR3mo_PX[[#This Row],[Column18]]</f>
        <v>96.064999999999998</v>
      </c>
      <c r="S24">
        <f>SOFR3mo_PX[[#This Row],[Column19]]</f>
        <v>96.03</v>
      </c>
      <c r="T24">
        <f>SOFR3mo_PX[[#This Row],[Column20]]</f>
        <v>96.08</v>
      </c>
      <c r="U24">
        <f>SOFR3mo_PX[[#This Row],[Column21]]</f>
        <v>95.99</v>
      </c>
      <c r="V24">
        <f>SOFR3mo_PX[[#This Row],[Column22]]</f>
        <v>95.99</v>
      </c>
      <c r="W24">
        <f>SOFR3mo_PX[[#This Row],[Column23]]</f>
        <v>95.924999999999997</v>
      </c>
      <c r="X24">
        <f>SOFR3mo_PX[[#This Row],[Column24]]</f>
        <v>95.87</v>
      </c>
      <c r="Y24">
        <f>SOFR3mo_PX[[#This Row],[Column25]]</f>
        <v>95.974999999999994</v>
      </c>
      <c r="Z24">
        <f>SOFR3mo_PX[[#This Row],[Column26]]</f>
        <v>95.97</v>
      </c>
      <c r="AA24">
        <f>SOFR3mo_PX[[#This Row],[Column27]]</f>
        <v>95.995000000000005</v>
      </c>
      <c r="AB24">
        <f>SOFR3mo_PX[[#This Row],[Column28]]</f>
        <v>95.974999999999994</v>
      </c>
      <c r="AC24">
        <f>SOFR3mo_PX[[#This Row],[Column29]]</f>
        <v>95.9</v>
      </c>
      <c r="AD24">
        <f>SOFR3mo_PX[[#This Row],[Column30]]</f>
        <v>95.935000000000002</v>
      </c>
      <c r="AE24">
        <f>SOFR3mo_PX[[#This Row],[Column31]]</f>
        <v>95.974999999999994</v>
      </c>
      <c r="AF24">
        <f>SOFR3mo_PX[[#This Row],[Column32]]</f>
        <v>96.045000000000002</v>
      </c>
      <c r="AG24">
        <f>SOFR3mo_PX[[#This Row],[Column33]]</f>
        <v>96.045000000000002</v>
      </c>
      <c r="AH24">
        <f>SOFR3mo_PX[[#This Row],[Column34]]</f>
        <v>96.144999999999996</v>
      </c>
      <c r="AI24">
        <f>SOFR3mo_PX[[#This Row],[Column35]]</f>
        <v>96.094999999999999</v>
      </c>
      <c r="AJ24">
        <f>SOFR3mo_PX[[#This Row],[Column36]]</f>
        <v>96.075000000000003</v>
      </c>
      <c r="AK24">
        <f>SOFR3mo_PX[[#This Row],[Column37]]</f>
        <v>96.1</v>
      </c>
      <c r="AL24">
        <f>SOFR3mo_PX[[#This Row],[Column38]]</f>
        <v>96.155000000000001</v>
      </c>
      <c r="AM24">
        <f>SOFR3mo_PX[[#This Row],[Column39]]</f>
        <v>96.2</v>
      </c>
      <c r="AN24">
        <f>SOFR3mo_PX[[#This Row],[Column40]]</f>
        <v>96.194999999999993</v>
      </c>
      <c r="AO24">
        <f>SOFR3mo_PX[[#This Row],[Column41]]</f>
        <v>96.135000000000005</v>
      </c>
      <c r="AP24">
        <f>SOFR3mo_PX[[#This Row],[Column42]]</f>
        <v>96.084999999999994</v>
      </c>
      <c r="AQ24">
        <f>SOFR3mo_PX[[#This Row],[Column43]]</f>
        <v>96.025000000000006</v>
      </c>
      <c r="AR24">
        <f>SOFR3mo_PX[[#This Row],[Column44]]</f>
        <v>95.954999999999998</v>
      </c>
      <c r="AS24">
        <f>SOFR3mo_PX[[#This Row],[Column45]]</f>
        <v>95.94</v>
      </c>
      <c r="AT24">
        <f>SOFR3mo_PX[[#This Row],[Column46]]</f>
        <v>95.92</v>
      </c>
      <c r="AU24">
        <f>SOFR3mo_PX[[#This Row],[Column47]]</f>
        <v>96.01</v>
      </c>
      <c r="AV24">
        <f>SOFR3mo_PX[[#This Row],[Column48]]</f>
        <v>96.01</v>
      </c>
      <c r="AW24">
        <f>SOFR3mo_PX[[#This Row],[Column49]]</f>
        <v>96.08</v>
      </c>
      <c r="AX24">
        <f>SOFR3mo_PX[[#This Row],[Column50]]</f>
        <v>96.034999999999997</v>
      </c>
      <c r="AY24">
        <f>SOFR3mo_PX[[#This Row],[Column51]]</f>
        <v>96</v>
      </c>
      <c r="AZ24">
        <f>SOFR3mo_PX[[#This Row],[Column52]]</f>
        <v>95.88</v>
      </c>
      <c r="BA24">
        <f>SOFR3mo_PX[[#This Row],[Column53]]</f>
        <v>96.02</v>
      </c>
      <c r="BB24">
        <f>SOFR3mo_PX[[#This Row],[Column54]]</f>
        <v>95.974999999999994</v>
      </c>
      <c r="BC24">
        <f>SOFR3mo_PX[[#This Row],[Column55]]</f>
        <v>96.135000000000005</v>
      </c>
      <c r="BD24">
        <f>SOFR3mo_PX[[#This Row],[Column56]]</f>
        <v>96.215000000000003</v>
      </c>
      <c r="BE24">
        <f>SOFR3mo_PX[[#This Row],[Column57]]</f>
        <v>96.385000000000005</v>
      </c>
      <c r="BF24">
        <f>SOFR3mo_PX[[#This Row],[Column58]]</f>
        <v>96.305000000000007</v>
      </c>
      <c r="BG24">
        <f>SOFR3mo_PX[[#This Row],[Column59]]</f>
        <v>96.144999999999996</v>
      </c>
      <c r="BH24">
        <f>SOFR3mo_PX[[#This Row],[Column60]]</f>
        <v>96.204999999999998</v>
      </c>
      <c r="BI24">
        <f>SOFR3mo_PX[[#This Row],[Column61]]</f>
        <v>96.1</v>
      </c>
      <c r="BJ24">
        <f>SOFR3mo_PX[[#This Row],[Column62]]</f>
        <v>96.07</v>
      </c>
      <c r="BK24">
        <f>SOFR3mo_PX[[#This Row],[Column63]]</f>
        <v>95.95</v>
      </c>
      <c r="BL24">
        <f>SOFR3mo_PX[[#This Row],[Column64]]</f>
        <v>95.995000000000005</v>
      </c>
      <c r="BM24">
        <f>SOFR3mo_PX[[#This Row],[Column65]]</f>
        <v>96.02</v>
      </c>
      <c r="BN24">
        <f>SOFR3mo_PX[[#This Row],[Column66]]</f>
        <v>95.995000000000005</v>
      </c>
      <c r="BO24">
        <f>SOFR3mo_PX[[#This Row],[Column67]]</f>
        <v>96.075000000000003</v>
      </c>
      <c r="BP24">
        <f>SOFR3mo_PX[[#This Row],[Column68]]</f>
        <v>96.09</v>
      </c>
      <c r="BQ24">
        <f>SOFR3mo_PX[[#This Row],[Column69]]</f>
        <v>96.05</v>
      </c>
      <c r="BR24">
        <f>SOFR3mo_PX[[#This Row],[Column70]]</f>
        <v>96.07</v>
      </c>
      <c r="BS24">
        <f>SOFR3mo_PX[[#This Row],[Column71]]</f>
        <v>96.034999999999997</v>
      </c>
      <c r="BT24">
        <f>SOFR3mo_PX[[#This Row],[Column72]]</f>
        <v>96.015000000000001</v>
      </c>
      <c r="BU24">
        <f>SOFR3mo_PX[[#This Row],[Column73]]</f>
        <v>96.07</v>
      </c>
      <c r="BV24">
        <f>SOFR3mo_PX[[#This Row],[Column74]]</f>
        <v>96.034999999999997</v>
      </c>
      <c r="BW24">
        <f>SOFR3mo_PX[[#This Row],[Column75]]</f>
        <v>96.064999999999998</v>
      </c>
      <c r="BX24">
        <f>SOFR3mo_PX[[#This Row],[Column76]]</f>
        <v>96.16</v>
      </c>
      <c r="BY24">
        <f>SOFR3mo_PX[[#This Row],[Column77]]</f>
        <v>96.03</v>
      </c>
      <c r="BZ24">
        <f>SOFR3mo_PX[[#This Row],[Column78]]</f>
        <v>96.055000000000007</v>
      </c>
      <c r="CA24">
        <f>SOFR3mo_PX[[#This Row],[Column79]]</f>
        <v>96.08</v>
      </c>
      <c r="CB24">
        <f>SOFR3mo_PX[[#This Row],[Column80]]</f>
        <v>96.15</v>
      </c>
      <c r="CC24">
        <f>SOFR3mo_PX[[#This Row],[Column81]]</f>
        <v>96.194999999999993</v>
      </c>
      <c r="CD24">
        <f>SOFR3mo_PX[[#This Row],[Column82]]</f>
        <v>96.14</v>
      </c>
      <c r="CE24">
        <f>SOFR3mo_PX[[#This Row],[Column83]]</f>
        <v>96.08</v>
      </c>
      <c r="CF24">
        <f>SOFR3mo_PX[[#This Row],[Column84]]</f>
        <v>96.125</v>
      </c>
      <c r="CG24">
        <f>SOFR3mo_PX[[#This Row],[Column85]]</f>
        <v>96.055000000000007</v>
      </c>
      <c r="CH24">
        <f>SOFR3mo_PX[[#This Row],[Column86]]</f>
        <v>95.92</v>
      </c>
      <c r="CI24">
        <f>SOFR3mo_PX[[#This Row],[Column87]]</f>
        <v>95.894999999999996</v>
      </c>
      <c r="CJ24">
        <f>SOFR3mo_PX[[#This Row],[Column88]]</f>
        <v>95.81</v>
      </c>
      <c r="CK24">
        <f>SOFR3mo_PX[[#This Row],[Column89]]</f>
        <v>95.765000000000001</v>
      </c>
      <c r="CL24">
        <f>SOFR3mo_PX[[#This Row],[Column90]]</f>
        <v>95.765000000000001</v>
      </c>
      <c r="CM24">
        <f>SOFR3mo_PX[[#This Row],[Column91]]</f>
        <v>95.84</v>
      </c>
      <c r="CN24">
        <f>SOFR3mo_PX[[#This Row],[Column92]]</f>
        <v>95.84</v>
      </c>
      <c r="CO24">
        <f>SOFR3mo_PX[[#This Row],[Column93]]</f>
        <v>95.775000000000006</v>
      </c>
      <c r="CP24">
        <f>SOFR3mo_PX[[#This Row],[Column94]]</f>
        <v>95.66</v>
      </c>
      <c r="CQ24">
        <f>SOFR3mo_PX[[#This Row],[Column95]]</f>
        <v>95.795000000000002</v>
      </c>
      <c r="CR24">
        <f>SOFR3mo_PX[[#This Row],[Column96]]</f>
        <v>95.844999999999999</v>
      </c>
      <c r="CS24">
        <f>SOFR3mo_PX[[#This Row],[Column97]]</f>
        <v>95.844999999999999</v>
      </c>
      <c r="CT24">
        <f>SOFR3mo_PX[[#This Row],[Column98]]</f>
        <v>95.9</v>
      </c>
      <c r="CU24">
        <f>SOFR3mo_PX[[#This Row],[Column99]]</f>
        <v>95.95</v>
      </c>
      <c r="CV24">
        <f>SOFR3mo_PX[[#This Row],[Column100]]</f>
        <v>95.84</v>
      </c>
      <c r="CW24">
        <f>SOFR3mo_PX[[#This Row],[Column101]]</f>
        <v>95.814999999999998</v>
      </c>
      <c r="CX24">
        <f>SOFR3mo_PX[[#This Row],[Column102]]</f>
        <v>95.77</v>
      </c>
      <c r="CY24">
        <f>SOFR3mo_PX[[#This Row],[Column103]]</f>
        <v>95.84</v>
      </c>
      <c r="CZ24">
        <f>SOFR3mo_PX[[#This Row],[Column104]]</f>
        <v>95.795000000000002</v>
      </c>
      <c r="DA24">
        <f>SOFR3mo_PX[[#This Row],[Column105]]</f>
        <v>95.805000000000007</v>
      </c>
      <c r="DB24">
        <f>SOFR3mo_PX[[#This Row],[Column106]]</f>
        <v>95.83</v>
      </c>
      <c r="DC24">
        <f>SOFR3mo_PX[[#This Row],[Column107]]</f>
        <v>95.72</v>
      </c>
      <c r="DD24">
        <f>SOFR3mo_PX[[#This Row],[Column108]]</f>
        <v>95.72</v>
      </c>
      <c r="DE24">
        <f>SOFR3mo_PX[[#This Row],[Column109]]</f>
        <v>95.76</v>
      </c>
      <c r="DF24">
        <f>SOFR3mo_PX[[#This Row],[Column110]]</f>
        <v>95.79</v>
      </c>
      <c r="DG24">
        <f>SOFR3mo_PX[[#This Row],[Column111]]</f>
        <v>95.745000000000005</v>
      </c>
      <c r="DH24">
        <f>SOFR3mo_PX[[#This Row],[Column112]]</f>
        <v>95.745000000000005</v>
      </c>
      <c r="DI24">
        <f>SOFR3mo_PX[[#This Row],[Column113]]</f>
        <v>95.745000000000005</v>
      </c>
      <c r="DJ24">
        <f>SOFR3mo_PX[[#This Row],[Column114]]</f>
        <v>95.704999999999998</v>
      </c>
      <c r="DK24">
        <f>SOFR3mo_PX[[#This Row],[Column115]]</f>
        <v>95.56</v>
      </c>
      <c r="DL24">
        <f>SOFR3mo_PX[[#This Row],[Column116]]</f>
        <v>95.55</v>
      </c>
      <c r="DM24">
        <f>SOFR3mo_PX[[#This Row],[Column117]]</f>
        <v>95.59</v>
      </c>
      <c r="DN24">
        <f>SOFR3mo_PX[[#This Row],[Column118]]</f>
        <v>95.67</v>
      </c>
      <c r="DO24">
        <f>SOFR3mo_PX[[#This Row],[Column119]]</f>
        <v>95.655000000000001</v>
      </c>
      <c r="DP24">
        <f>SOFR3mo_PX[[#This Row],[Column120]]</f>
        <v>95.665000000000006</v>
      </c>
      <c r="DQ24">
        <f>SOFR3mo_PX[[#This Row],[Column121]]</f>
        <v>95.75</v>
      </c>
      <c r="DR24">
        <f>SOFR3mo_PX[[#This Row],[Column122]]</f>
        <v>95.805000000000007</v>
      </c>
      <c r="DS24">
        <f>SOFR3mo_PX[[#This Row],[Column123]]</f>
        <v>95.82</v>
      </c>
      <c r="DT24">
        <f>SOFR3mo_PX[[#This Row],[Column124]]</f>
        <v>95.814999999999998</v>
      </c>
      <c r="DU24">
        <f>SOFR3mo_PX[[#This Row],[Column125]]</f>
        <v>95.814999999999998</v>
      </c>
      <c r="DV24">
        <f>SOFR3mo_PX[[#This Row],[Column126]]</f>
        <v>95.855000000000004</v>
      </c>
      <c r="DW24">
        <f>SOFR3mo_PX[[#This Row],[Column127]]</f>
        <v>95.775000000000006</v>
      </c>
      <c r="DX24">
        <f>SOFR3mo_PX[[#This Row],[Column128]]</f>
        <v>95.83</v>
      </c>
      <c r="DY24">
        <f>SOFR3mo_PX[[#This Row],[Column129]]</f>
        <v>95.814999999999998</v>
      </c>
      <c r="DZ24">
        <f>SOFR3mo_PX[[#This Row],[Column130]]</f>
        <v>95.814999999999998</v>
      </c>
      <c r="EA24">
        <f>SOFR3mo_PX[[#This Row],[Column131]]</f>
        <v>95.79</v>
      </c>
      <c r="EB24">
        <f>SOFR3mo_PX[[#This Row],[Column132]]</f>
        <v>95.89</v>
      </c>
      <c r="EC24">
        <f>SOFR3mo_PX[[#This Row],[Column133]]</f>
        <v>95.82</v>
      </c>
      <c r="ED24">
        <f>SOFR3mo_PX[[#This Row],[Column134]]</f>
        <v>95.95</v>
      </c>
      <c r="EE24">
        <f>SOFR3mo_PX[[#This Row],[Column135]]</f>
        <v>96.09</v>
      </c>
      <c r="EF24">
        <f>SOFR3mo_PX[[#This Row],[Column136]]</f>
        <v>96.075000000000003</v>
      </c>
      <c r="EG24">
        <f>SOFR3mo_PX[[#This Row],[Column137]]</f>
        <v>96.075000000000003</v>
      </c>
      <c r="EH24">
        <f>SOFR3mo_PX[[#This Row],[Column138]]</f>
        <v>96.16</v>
      </c>
      <c r="EI24">
        <f>SOFR3mo_PX[[#This Row],[Column139]]</f>
        <v>96.22</v>
      </c>
      <c r="EJ24">
        <f>SOFR3mo_PX[[#This Row],[Column140]]</f>
        <v>96.28</v>
      </c>
      <c r="EK24">
        <f>SOFR3mo_PX[[#This Row],[Column141]]</f>
        <v>96.305000000000007</v>
      </c>
      <c r="EL24">
        <f>SOFR3mo_PX[[#This Row],[Column142]]</f>
        <v>96.344999999999999</v>
      </c>
      <c r="EM24">
        <f>SOFR3mo_PX[[#This Row],[Column143]]</f>
        <v>96.31</v>
      </c>
      <c r="EN24">
        <f>SOFR3mo_PX[[#This Row],[Column144]]</f>
        <v>96.295000000000002</v>
      </c>
      <c r="EO24">
        <f>SOFR3mo_PX[[#This Row],[Column145]]</f>
        <v>96.265000000000001</v>
      </c>
      <c r="EP24">
        <f>SOFR3mo_PX[[#This Row],[Column146]]</f>
        <v>96.3</v>
      </c>
      <c r="EQ24">
        <f>SOFR3mo_PX[[#This Row],[Column147]]</f>
        <v>96.3</v>
      </c>
      <c r="ER24">
        <f>SOFR3mo_PX[[#This Row],[Column148]]</f>
        <v>96.265000000000001</v>
      </c>
      <c r="ES24">
        <f>SOFR3mo_PX[[#This Row],[Column149]]</f>
        <v>96.265000000000001</v>
      </c>
      <c r="ET24">
        <f>SOFR3mo_PX[[#This Row],[Column150]]</f>
        <v>96.2</v>
      </c>
      <c r="EU24">
        <f>SOFR3mo_PX[[#This Row],[Column151]]</f>
        <v>96.265000000000001</v>
      </c>
      <c r="EV24">
        <f>SOFR3mo_PX[[#This Row],[Column152]]</f>
        <v>96.114999999999995</v>
      </c>
      <c r="EW24">
        <f>SOFR3mo_PX[[#This Row],[Column153]]</f>
        <v>96.08</v>
      </c>
      <c r="EX24">
        <f>SOFR3mo_PX[[#This Row],[Column154]]</f>
        <v>96.08</v>
      </c>
      <c r="EY24">
        <f>SOFR3mo_PX[[#This Row],[Column155]]</f>
        <v>96.11</v>
      </c>
      <c r="EZ24">
        <f>SOFR3mo_PX[[#This Row],[Column156]]</f>
        <v>96.075000000000003</v>
      </c>
      <c r="FA24">
        <f>SOFR3mo_PX[[#This Row],[Column157]]</f>
        <v>96.064999999999998</v>
      </c>
      <c r="FB24">
        <f>SOFR3mo_PX[[#This Row],[Column158]]</f>
        <v>96.07</v>
      </c>
      <c r="FC24">
        <f>SOFR3mo_PX[[#This Row],[Column159]]</f>
        <v>96.034999999999997</v>
      </c>
      <c r="FD24">
        <f>SOFR3mo_PX[[#This Row],[Column160]]</f>
        <v>96.06</v>
      </c>
      <c r="FE24">
        <f>SOFR3mo_PX[[#This Row],[Column161]]</f>
        <v>96.12</v>
      </c>
      <c r="FF24">
        <f>SOFR3mo_PX[[#This Row],[Column162]]</f>
        <v>96.174999999999997</v>
      </c>
      <c r="FG24">
        <f>SOFR3mo_PX[[#This Row],[Column163]]</f>
        <v>96.13</v>
      </c>
      <c r="FH24">
        <f>SOFR3mo_PX[[#This Row],[Column164]]</f>
        <v>96.025000000000006</v>
      </c>
      <c r="FI24">
        <f>SOFR3mo_PX[[#This Row],[Column165]]</f>
        <v>96.2</v>
      </c>
      <c r="FJ24">
        <f>SOFR3mo_PX[[#This Row],[Column166]]</f>
        <v>96.174999999999997</v>
      </c>
      <c r="FK24">
        <f>SOFR3mo_PX[[#This Row],[Column167]]</f>
        <v>96.114999999999995</v>
      </c>
      <c r="FL24">
        <f>SOFR3mo_PX[[#This Row],[Column168]]</f>
        <v>96.174999999999997</v>
      </c>
      <c r="FM24">
        <f>SOFR3mo_PX[[#This Row],[Column169]]</f>
        <v>96.19</v>
      </c>
      <c r="FN24">
        <f>SOFR3mo_PX[[#This Row],[Column170]]</f>
        <v>96.165000000000006</v>
      </c>
      <c r="FO24">
        <f>SOFR3mo_PX[[#This Row],[Column171]]</f>
        <v>96.16</v>
      </c>
      <c r="FP24">
        <f>SOFR3mo_PX[[#This Row],[Column172]]</f>
        <v>96.2</v>
      </c>
      <c r="FQ24">
        <f>SOFR3mo_PX[[#This Row],[Column173]]</f>
        <v>96.224999999999994</v>
      </c>
      <c r="FR24">
        <f>SOFR3mo_PX[[#This Row],[Column174]]</f>
        <v>96.174999999999997</v>
      </c>
      <c r="FS24">
        <f>SOFR3mo_PX[[#This Row],[Column175]]</f>
        <v>96.204999999999998</v>
      </c>
      <c r="FT24">
        <f>SOFR3mo_PX[[#This Row],[Column176]]</f>
        <v>96.23</v>
      </c>
      <c r="FU24">
        <f>SOFR3mo_PX[[#This Row],[Column177]]</f>
        <v>96.344999999999999</v>
      </c>
      <c r="FV24">
        <f>SOFR3mo_PX[[#This Row],[Column178]]</f>
        <v>96.33</v>
      </c>
      <c r="FW24">
        <f>SOFR3mo_PX[[#This Row],[Column179]]</f>
        <v>96.43</v>
      </c>
      <c r="FX24">
        <f>SOFR3mo_PX[[#This Row],[Column180]]</f>
        <v>96.41</v>
      </c>
      <c r="FY24">
        <f>SOFR3mo_PX[[#This Row],[Column181]]</f>
        <v>96.314999999999998</v>
      </c>
      <c r="FZ24">
        <f>SOFR3mo_PX[[#This Row],[Column182]]</f>
        <v>96.355000000000004</v>
      </c>
      <c r="GA24">
        <f>SOFR3mo_PX[[#This Row],[Column183]]</f>
        <v>96.344999999999999</v>
      </c>
      <c r="GB24">
        <f>SOFR3mo_PX[[#This Row],[Column184]]</f>
        <v>96.39</v>
      </c>
      <c r="GC24">
        <f>SOFR3mo_PX[[#This Row],[Column185]]</f>
        <v>96.415000000000006</v>
      </c>
      <c r="GD24">
        <f>SOFR3mo_PX[[#This Row],[Column186]]</f>
        <v>96.424999999999997</v>
      </c>
      <c r="GE24">
        <f>SOFR3mo_PX[[#This Row],[Column187]]</f>
        <v>96.46</v>
      </c>
      <c r="GF24">
        <f>SOFR3mo_PX[[#This Row],[Column188]]</f>
        <v>96.545000000000002</v>
      </c>
      <c r="GG24">
        <f>SOFR3mo_PX[[#This Row],[Column189]]</f>
        <v>96.614999999999995</v>
      </c>
      <c r="GH24">
        <f>SOFR3mo_PX[[#This Row],[Column190]]</f>
        <v>96.66</v>
      </c>
      <c r="GI24">
        <f>SOFR3mo_PX[[#This Row],[Column191]]</f>
        <v>96.59</v>
      </c>
      <c r="GJ24">
        <f>SOFR3mo_PX[[#This Row],[Column192]]</f>
        <v>96.63</v>
      </c>
      <c r="GK24">
        <f>SOFR3mo_PX[[#This Row],[Column193]]</f>
        <v>96.6</v>
      </c>
      <c r="GL24">
        <f>SOFR3mo_PX[[#This Row],[Column194]]</f>
        <v>96.58</v>
      </c>
      <c r="GM24">
        <f>SOFR3mo_PX[[#This Row],[Column195]]</f>
        <v>96.62</v>
      </c>
      <c r="GN24">
        <f>SOFR3mo_PX[[#This Row],[Column196]]</f>
        <v>96.625</v>
      </c>
      <c r="GO24">
        <f>SOFR3mo_PX[[#This Row],[Column197]]</f>
        <v>96.64</v>
      </c>
      <c r="GP24">
        <f>SOFR3mo_PX[[#This Row],[Column198]]</f>
        <v>96.625</v>
      </c>
      <c r="GQ24">
        <f>SOFR3mo_PX[[#This Row],[Column199]]</f>
        <v>96.7</v>
      </c>
      <c r="GR24">
        <f>SOFR3mo_PX[[#This Row],[Column200]]</f>
        <v>96.784999999999997</v>
      </c>
      <c r="GS24">
        <f>SOFR3mo_PX[[#This Row],[Column201]]</f>
        <v>96.78</v>
      </c>
      <c r="GT24">
        <f>SOFR3mo_PX[[#This Row],[Column202]]</f>
        <v>96.76</v>
      </c>
      <c r="GU24">
        <f>SOFR3mo_PX[[#This Row],[Column203]]</f>
        <v>96.75</v>
      </c>
      <c r="GV24">
        <f>SOFR3mo_PX[[#This Row],[Column204]]</f>
        <v>96.78</v>
      </c>
      <c r="GW24">
        <f>SOFR3mo_PX[[#This Row],[Column205]]</f>
        <v>96.784999999999997</v>
      </c>
      <c r="GX24">
        <f>SOFR3mo_PX[[#This Row],[Column206]]</f>
        <v>96.73</v>
      </c>
      <c r="GY24">
        <f>SOFR3mo_PX[[#This Row],[Column207]]</f>
        <v>96.704999999999998</v>
      </c>
      <c r="GZ24">
        <f>SOFR3mo_PX[[#This Row],[Column208]]</f>
        <v>96.71</v>
      </c>
      <c r="HA24">
        <f>SOFR3mo_PX[[#This Row],[Column209]]</f>
        <v>96.674999999999997</v>
      </c>
      <c r="HB24">
        <f>SOFR3mo_PX[[#This Row],[Column210]]</f>
        <v>96.625</v>
      </c>
      <c r="HC24">
        <f>SOFR3mo_PX[[#This Row],[Column211]]</f>
        <v>96.545000000000002</v>
      </c>
      <c r="HD24">
        <f>SOFR3mo_PX[[#This Row],[Column212]]</f>
        <v>96.545000000000002</v>
      </c>
      <c r="HE24">
        <f>SOFR3mo_PX[[#This Row],[Column213]]</f>
        <v>96.59</v>
      </c>
      <c r="HF24">
        <f>SOFR3mo_PX[[#This Row],[Column214]]</f>
        <v>96.605000000000004</v>
      </c>
      <c r="HG24">
        <f>SOFR3mo_PX[[#This Row],[Column215]]</f>
        <v>96.62</v>
      </c>
      <c r="HH24">
        <f>SOFR3mo_PX[[#This Row],[Column216]]</f>
        <v>96.64</v>
      </c>
      <c r="HI24">
        <f>SOFR3mo_PX[[#This Row],[Column217]]</f>
        <v>96.63</v>
      </c>
      <c r="HJ24">
        <f>SOFR3mo_PX[[#This Row],[Column218]]</f>
        <v>96.57</v>
      </c>
      <c r="HK24">
        <f>SOFR3mo_PX[[#This Row],[Column219]]</f>
        <v>96.644999999999996</v>
      </c>
      <c r="HL24">
        <f>SOFR3mo_PX[[#This Row],[Column220]]</f>
        <v>96.62</v>
      </c>
      <c r="HM24">
        <f>SOFR3mo_PX[[#This Row],[Column221]]</f>
        <v>96.57</v>
      </c>
      <c r="HN24">
        <f>SOFR3mo_PX[[#This Row],[Column222]]</f>
        <v>96.53</v>
      </c>
      <c r="HO24">
        <f>SOFR3mo_PX[[#This Row],[Column223]]</f>
        <v>96.495000000000005</v>
      </c>
      <c r="HP24">
        <f>SOFR3mo_PX[[#This Row],[Column224]]</f>
        <v>96.57</v>
      </c>
      <c r="HQ24">
        <f>SOFR3mo_PX[[#This Row],[Column225]]</f>
        <v>96.534999999999997</v>
      </c>
      <c r="HR24">
        <f>SOFR3mo_PX[[#This Row],[Column226]]</f>
        <v>96.504999999999995</v>
      </c>
      <c r="HS24">
        <f>SOFR3mo_PX[[#This Row],[Column227]]</f>
        <v>96.465000000000003</v>
      </c>
      <c r="HT24">
        <f>SOFR3mo_PX[[#This Row],[Column228]]</f>
        <v>96.385000000000005</v>
      </c>
      <c r="HU24">
        <f>SOFR3mo_PX[[#This Row],[Column229]]</f>
        <v>96.394999999999996</v>
      </c>
      <c r="HV24">
        <f>SOFR3mo_PX[[#This Row],[Column230]]</f>
        <v>96.48</v>
      </c>
      <c r="HW24">
        <f>SOFR3mo_PX[[#This Row],[Column231]]</f>
        <v>96.575000000000003</v>
      </c>
      <c r="HX24">
        <f>SOFR3mo_PX[[#This Row],[Column232]]</f>
        <v>96.584999999999994</v>
      </c>
      <c r="HY24">
        <f>SOFR3mo_PX[[#This Row],[Column233]]</f>
        <v>96.45</v>
      </c>
      <c r="HZ24">
        <f>SOFR3mo_PX[[#This Row],[Column234]]</f>
        <v>96.35</v>
      </c>
      <c r="IA24">
        <f>SOFR3mo_PX[[#This Row],[Column235]]</f>
        <v>96.314999999999998</v>
      </c>
      <c r="IB24">
        <f>SOFR3mo_PX[[#This Row],[Column236]]</f>
        <v>96.28</v>
      </c>
      <c r="IC24">
        <f>SOFR3mo_PX[[#This Row],[Column237]]</f>
        <v>96.254999999999995</v>
      </c>
      <c r="ID24">
        <f>SOFR3mo_PX[[#This Row],[Column238]]</f>
        <v>96.21</v>
      </c>
      <c r="IE24">
        <f>SOFR3mo_PX[[#This Row],[Column239]]</f>
        <v>96.165000000000006</v>
      </c>
      <c r="IF24">
        <f>SOFR3mo_PX[[#This Row],[Column240]]</f>
        <v>96.23</v>
      </c>
      <c r="IG24">
        <f>SOFR3mo_PX[[#This Row],[Column241]]</f>
        <v>96.215000000000003</v>
      </c>
      <c r="IH24">
        <f>SOFR3mo_PX[[#This Row],[Column242]]</f>
        <v>96.224999999999994</v>
      </c>
      <c r="II24">
        <f>SOFR3mo_PX[[#This Row],[Column243]]</f>
        <v>96.275000000000006</v>
      </c>
      <c r="IJ24">
        <f>SOFR3mo_PX[[#This Row],[Column244]]</f>
        <v>96.33</v>
      </c>
      <c r="IK24">
        <f>SOFR3mo_PX[[#This Row],[Column245]]</f>
        <v>96.305000000000007</v>
      </c>
      <c r="IL24">
        <f>SOFR3mo_PX[[#This Row],[Column246]]</f>
        <v>96.234999999999999</v>
      </c>
      <c r="IM24">
        <f>SOFR3mo_PX[[#This Row],[Column247]]</f>
        <v>96.28</v>
      </c>
      <c r="IN24">
        <f>SOFR3mo_PX[[#This Row],[Column248]]</f>
        <v>96.3</v>
      </c>
      <c r="IO24">
        <f>SOFR3mo_PX[[#This Row],[Column249]]</f>
        <v>96.21</v>
      </c>
      <c r="IP24">
        <f>SOFR3mo_PX[[#This Row],[Column250]]</f>
        <v>96.18</v>
      </c>
      <c r="IQ24">
        <f>SOFR3mo_PX[[#This Row],[Column251]]</f>
        <v>96.22</v>
      </c>
      <c r="IR24">
        <f>SOFR3mo_PX[[#This Row],[Column252]]</f>
        <v>96.215000000000003</v>
      </c>
      <c r="IS24">
        <f>SOFR3mo_PX[[#This Row],[Column253]]</f>
        <v>96.144999999999996</v>
      </c>
      <c r="IT24">
        <f>SOFR3mo_PX[[#This Row],[Column254]]</f>
        <v>96.144999999999996</v>
      </c>
      <c r="IU24">
        <f>SOFR3mo_PX[[#This Row],[Column255]]</f>
        <v>96.04</v>
      </c>
      <c r="IV24">
        <f>SOFR3mo_PX[[#This Row],[Column256]]</f>
        <v>95.995000000000005</v>
      </c>
      <c r="IW24">
        <f>SOFR3mo_PX[[#This Row],[Column257]]</f>
        <v>96.155000000000001</v>
      </c>
      <c r="IX24">
        <f>SOFR3mo_PX[[#This Row],[Column258]]</f>
        <v>96.22</v>
      </c>
      <c r="IY24">
        <f>SOFR3mo_PX[[#This Row],[Column259]]</f>
        <v>96.185000000000002</v>
      </c>
      <c r="IZ24">
        <f>SOFR3mo_PX[[#This Row],[Column260]]</f>
        <v>96.275000000000006</v>
      </c>
      <c r="JA24">
        <f>SOFR3mo_PX[[#This Row],[Column261]]</f>
        <v>96.265000000000001</v>
      </c>
      <c r="JB24">
        <f>SOFR3mo_PX[[#This Row],[Column262]]</f>
        <v>96.24</v>
      </c>
      <c r="JC24">
        <f>SOFR3mo_PX[[#This Row],[Column263]]</f>
        <v>96.25</v>
      </c>
      <c r="JD24">
        <f>SOFR3mo_PX[[#This Row],[Column264]]</f>
        <v>96.32</v>
      </c>
      <c r="JE24">
        <f>SOFR3mo_PX[[#This Row],[Column265]]</f>
        <v>96.32</v>
      </c>
      <c r="JF24">
        <f>SOFR3mo_PX[[#This Row],[Column266]]</f>
        <v>96.26</v>
      </c>
      <c r="JG24">
        <f>SOFR3mo_PX[[#This Row],[Column267]]</f>
        <v>96.34</v>
      </c>
      <c r="JH24">
        <f>SOFR3mo_PX[[#This Row],[Column268]]</f>
        <v>96.28</v>
      </c>
      <c r="JI24">
        <f>SOFR3mo_PX[[#This Row],[Column269]]</f>
        <v>96.224999999999994</v>
      </c>
      <c r="JJ24">
        <f>SOFR3mo_PX[[#This Row],[Column270]]</f>
        <v>96.11</v>
      </c>
      <c r="JK24">
        <f>SOFR3mo_PX[[#This Row],[Column271]]</f>
        <v>96.03</v>
      </c>
      <c r="JL24">
        <f>SOFR3mo_PX[[#This Row],[Column272]]</f>
        <v>96.075000000000003</v>
      </c>
      <c r="JM24">
        <f>SOFR3mo_PX[[#This Row],[Column273]]</f>
        <v>96.22</v>
      </c>
      <c r="JN24">
        <f>SOFR3mo_PX[[#This Row],[Column274]]</f>
        <v>96.215000000000003</v>
      </c>
      <c r="JO24">
        <f>SOFR3mo_PX[[#This Row],[Column275]]</f>
        <v>96.18</v>
      </c>
      <c r="JP24">
        <f>SOFR3mo_PX[[#This Row],[Column276]]</f>
        <v>96.094999999999999</v>
      </c>
      <c r="JQ24">
        <f>SOFR3mo_PX[[#This Row],[Column277]]</f>
        <v>95.97</v>
      </c>
      <c r="JR24">
        <f>SOFR3mo_PX[[#This Row],[Column278]]</f>
        <v>95.94</v>
      </c>
      <c r="JS24">
        <f>SOFR3mo_PX[[#This Row],[Column279]]</f>
        <v>95.88</v>
      </c>
      <c r="JT24">
        <f>SOFR3mo_PX[[#This Row],[Column280]]</f>
        <v>95.98</v>
      </c>
      <c r="JU24">
        <f>SOFR3mo_PX[[#This Row],[Column281]]</f>
        <v>96.055000000000007</v>
      </c>
      <c r="JV24">
        <f>SOFR3mo_PX[[#This Row],[Column282]]</f>
        <v>96.055000000000007</v>
      </c>
      <c r="JW24">
        <f>SOFR3mo_PX[[#This Row],[Column283]]</f>
        <v>96.04</v>
      </c>
      <c r="JX24">
        <f>SOFR3mo_PX[[#This Row],[Column284]]</f>
        <v>96.05</v>
      </c>
      <c r="JY24">
        <f>SOFR3mo_PX[[#This Row],[Column285]]</f>
        <v>96.055000000000007</v>
      </c>
      <c r="JZ24">
        <f>SOFR3mo_PX[[#This Row],[Column286]]</f>
        <v>96.025000000000006</v>
      </c>
      <c r="KA24">
        <f>SOFR3mo_PX[[#This Row],[Column287]]</f>
        <v>96.04</v>
      </c>
      <c r="KB24">
        <f>SOFR3mo_PX[[#This Row],[Column288]]</f>
        <v>96.084999999999994</v>
      </c>
      <c r="KC24">
        <f>SOFR3mo_PX[[#This Row],[Column289]]</f>
        <v>96.09</v>
      </c>
      <c r="KD24">
        <f>SOFR3mo_PX[[#This Row],[Column290]]</f>
        <v>96.015000000000001</v>
      </c>
      <c r="KE24">
        <f>SOFR3mo_PX[[#This Row],[Column291]]</f>
        <v>95.98</v>
      </c>
      <c r="KF24">
        <f>SOFR3mo_PX[[#This Row],[Column292]]</f>
        <v>95.954999999999998</v>
      </c>
      <c r="KG24">
        <f>SOFR3mo_PX[[#This Row],[Column293]]</f>
        <v>96.01</v>
      </c>
      <c r="KH24">
        <f>SOFR3mo_PX[[#This Row],[Column294]]</f>
        <v>95.98</v>
      </c>
      <c r="KI24">
        <f>SOFR3mo_PX[[#This Row],[Column295]]</f>
        <v>96.02</v>
      </c>
      <c r="KJ24">
        <f>SOFR3mo_PX[[#This Row],[Column296]]</f>
        <v>95.98</v>
      </c>
      <c r="KK24">
        <f>SOFR3mo_PX[[#This Row],[Column297]]</f>
        <v>95.96</v>
      </c>
      <c r="KL24">
        <f>SOFR3mo_PX[[#This Row],[Column298]]</f>
        <v>95.88</v>
      </c>
      <c r="KM24">
        <f>SOFR3mo_PX[[#This Row],[Column299]]</f>
        <v>95.864999999999995</v>
      </c>
      <c r="KN24">
        <f>SOFR3mo_PX[[#This Row],[Column300]]</f>
        <v>95.795000000000002</v>
      </c>
      <c r="KO24">
        <f>SOFR3mo_PX[[#This Row],[Column301]]</f>
        <v>95.864999999999995</v>
      </c>
      <c r="KP24">
        <f>SOFR3mo_PX[[#This Row],[Column302]]</f>
        <v>95.784999999999997</v>
      </c>
      <c r="KQ24">
        <f>SOFR3mo_PX[[#This Row],[Column303]]</f>
        <v>95.745000000000005</v>
      </c>
      <c r="KR24">
        <f>SOFR3mo_PX[[#This Row],[Column304]]</f>
        <v>95.8</v>
      </c>
      <c r="KS24">
        <f>SOFR3mo_PX[[#This Row],[Column305]]</f>
        <v>95.875</v>
      </c>
      <c r="KT24">
        <f>SOFR3mo_PX[[#This Row],[Column306]]</f>
        <v>95.855000000000004</v>
      </c>
      <c r="KU24">
        <f>SOFR3mo_PX[[#This Row],[Column307]]</f>
        <v>95.87</v>
      </c>
      <c r="KV24">
        <f>SOFR3mo_PX[[#This Row],[Column308]]</f>
        <v>95.834999999999994</v>
      </c>
      <c r="KW24">
        <f>SOFR3mo_PX[[#This Row],[Column309]]</f>
        <v>95.894999999999996</v>
      </c>
      <c r="KX24">
        <f>SOFR3mo_PX[[#This Row],[Column310]]</f>
        <v>95.82</v>
      </c>
      <c r="KY24">
        <f>SOFR3mo_PX[[#This Row],[Column311]]</f>
        <v>95.855000000000004</v>
      </c>
      <c r="KZ24">
        <f>SOFR3mo_PX[[#This Row],[Column312]]</f>
        <v>95.995000000000005</v>
      </c>
      <c r="LA24">
        <f>SOFR3mo_PX[[#This Row],[Column313]]</f>
        <v>95.905000000000001</v>
      </c>
      <c r="LB24">
        <f>SOFR3mo_PX[[#This Row],[Column314]]</f>
        <v>95.935000000000002</v>
      </c>
      <c r="LC24">
        <f>SOFR3mo_PX[[#This Row],[Column315]]</f>
        <v>96.09</v>
      </c>
      <c r="LD24">
        <f>SOFR3mo_PX[[#This Row],[Column316]]</f>
        <v>96.03</v>
      </c>
      <c r="LE24">
        <f>SOFR3mo_PX[[#This Row],[Column317]]</f>
        <v>96.075000000000003</v>
      </c>
      <c r="LF24">
        <f>SOFR3mo_PX[[#This Row],[Column318]]</f>
        <v>96.13</v>
      </c>
      <c r="LG24">
        <f>SOFR3mo_PX[[#This Row],[Column319]]</f>
        <v>96.08</v>
      </c>
      <c r="LH24">
        <f>SOFR3mo_PX[[#This Row],[Column320]]</f>
        <v>96.07</v>
      </c>
      <c r="LI24">
        <f>SOFR3mo_PX[[#This Row],[Column321]]</f>
        <v>96.114999999999995</v>
      </c>
      <c r="LJ24">
        <f>SOFR3mo_PX[[#This Row],[Column322]]</f>
        <v>96.245000000000005</v>
      </c>
      <c r="LK24">
        <f>SOFR3mo_PX[[#This Row],[Column323]]</f>
        <v>96.245000000000005</v>
      </c>
      <c r="LL24">
        <f>SOFR3mo_PX[[#This Row],[Column324]]</f>
        <v>96.215000000000003</v>
      </c>
      <c r="LM24">
        <f>SOFR3mo_PX[[#This Row],[Column325]]</f>
        <v>96.18</v>
      </c>
      <c r="LN24">
        <f>SOFR3mo_PX[[#This Row],[Column326]]</f>
        <v>96.15</v>
      </c>
      <c r="LO24">
        <f>SOFR3mo_PX[[#This Row],[Column327]]</f>
        <v>96.185000000000002</v>
      </c>
      <c r="LP24">
        <f>SOFR3mo_PX[[#This Row],[Column328]]</f>
        <v>96.125</v>
      </c>
      <c r="LQ24">
        <f>SOFR3mo_PX[[#This Row],[Column329]]</f>
        <v>96.13</v>
      </c>
      <c r="LR24">
        <f>SOFR3mo_PX[[#This Row],[Column330]]</f>
        <v>96.18</v>
      </c>
      <c r="LS24">
        <f>SOFR3mo_PX[[#This Row],[Column331]]</f>
        <v>96.14</v>
      </c>
      <c r="LT24">
        <f>SOFR3mo_PX[[#This Row],[Column332]]</f>
        <v>96.18</v>
      </c>
      <c r="LU24">
        <f>SOFR3mo_PX[[#This Row],[Column333]]</f>
        <v>96.174999999999997</v>
      </c>
      <c r="LV24">
        <f>SOFR3mo_PX[[#This Row],[Column334]]</f>
        <v>96.29</v>
      </c>
      <c r="LW24">
        <f>SOFR3mo_PX[[#This Row],[Column335]]</f>
        <v>96.31</v>
      </c>
      <c r="LX24">
        <f>SOFR3mo_PX[[#This Row],[Column336]]</f>
        <v>96.36</v>
      </c>
      <c r="LY24">
        <f>SOFR3mo_PX[[#This Row],[Column337]]</f>
        <v>96.36</v>
      </c>
      <c r="LZ24">
        <f>SOFR3mo_PX[[#This Row],[Column338]]</f>
        <v>96.37</v>
      </c>
      <c r="MA24">
        <f>SOFR3mo_PX[[#This Row],[Column339]]</f>
        <v>96.364999999999995</v>
      </c>
      <c r="MB24">
        <f>SOFR3mo_PX[[#This Row],[Column340]]</f>
        <v>96.325000000000003</v>
      </c>
      <c r="MC24">
        <f>SOFR3mo_PX[[#This Row],[Column341]]</f>
        <v>96.234999999999999</v>
      </c>
      <c r="MD24">
        <f>SOFR3mo_PX[[#This Row],[Column342]]</f>
        <v>96.26</v>
      </c>
      <c r="ME24">
        <f>SOFR3mo_PX[[#This Row],[Column343]]</f>
        <v>96.2</v>
      </c>
      <c r="MF24">
        <f>SOFR3mo_PX[[#This Row],[Column344]]</f>
        <v>96.194999999999993</v>
      </c>
      <c r="MG24">
        <f>SOFR3mo_PX[[#This Row],[Column345]]</f>
        <v>96.18</v>
      </c>
      <c r="MH24">
        <f>SOFR3mo_PX[[#This Row],[Column346]]</f>
        <v>96.2</v>
      </c>
      <c r="MI24">
        <f>SOFR3mo_PX[[#This Row],[Column347]]</f>
        <v>96.21</v>
      </c>
      <c r="MJ24">
        <f>SOFR3mo_PX[[#This Row],[Column348]]</f>
        <v>96.12</v>
      </c>
      <c r="MK24">
        <f>SOFR3mo_PX[[#This Row],[Column349]]</f>
        <v>96.094999999999999</v>
      </c>
      <c r="ML24">
        <f>SOFR3mo_PX[[#This Row],[Column350]]</f>
        <v>96.14</v>
      </c>
      <c r="MM24">
        <f>SOFR3mo_PX[[#This Row],[Column351]]</f>
        <v>96.12</v>
      </c>
      <c r="MN24">
        <f>SOFR3mo_PX[[#This Row],[Column352]]</f>
        <v>96.12</v>
      </c>
      <c r="MO24">
        <f>SOFR3mo_PX[[#This Row],[Column353]]</f>
        <v>96.16</v>
      </c>
      <c r="MP24">
        <f>SOFR3mo_PX[[#This Row],[Column354]]</f>
        <v>96.13</v>
      </c>
      <c r="MQ24">
        <f>SOFR3mo_PX[[#This Row],[Column355]]</f>
        <v>96.09</v>
      </c>
      <c r="MR24">
        <f>SOFR3mo_PX[[#This Row],[Column356]]</f>
        <v>96.21</v>
      </c>
      <c r="MS24">
        <f>SOFR3mo_PX[[#This Row],[Column357]]</f>
        <v>96.19</v>
      </c>
      <c r="MT24">
        <f>SOFR3mo_PX[[#This Row],[Column358]]</f>
        <v>96.204999999999998</v>
      </c>
      <c r="MU24">
        <f>SOFR3mo_PX[[#This Row],[Column359]]</f>
        <v>96.29</v>
      </c>
      <c r="MV24">
        <f>SOFR3mo_PX[[#This Row],[Column360]]</f>
        <v>96.305000000000007</v>
      </c>
      <c r="MW24">
        <f>SOFR3mo_PX[[#This Row],[Column361]]</f>
        <v>96.21</v>
      </c>
      <c r="MX24">
        <f>SOFR3mo_PX[[#This Row],[Column362]]</f>
        <v>96.34</v>
      </c>
      <c r="MY24">
        <f>SOFR3mo_PX[[#This Row],[Column363]]</f>
        <v>96.51</v>
      </c>
      <c r="MZ24">
        <f>SOFR3mo_PX[[#This Row],[Column364]]</f>
        <v>96.394999999999996</v>
      </c>
      <c r="NA24">
        <f>SOFR3mo_PX[[#This Row],[Column365]]</f>
        <v>96.31</v>
      </c>
      <c r="NB24">
        <f>SOFR3mo_PX[[#This Row],[Column366]]</f>
        <v>96.24</v>
      </c>
      <c r="NC24">
        <f>SOFR3mo_PX[[#This Row],[Column367]]</f>
        <v>96.16</v>
      </c>
      <c r="ND24">
        <f>SOFR3mo_PX[[#This Row],[Column368]]</f>
        <v>96.185000000000002</v>
      </c>
      <c r="NE24">
        <f>SOFR3mo_PX[[#This Row],[Column369]]</f>
        <v>96.15</v>
      </c>
      <c r="NF24">
        <f>SOFR3mo_PX[[#This Row],[Column370]]</f>
        <v>96.194999999999993</v>
      </c>
      <c r="NG24">
        <f>SOFR3mo_PX[[#This Row],[Column371]]</f>
        <v>96.25</v>
      </c>
      <c r="NH24">
        <f>SOFR3mo_PX[[#This Row],[Column372]]</f>
        <v>96.194999999999993</v>
      </c>
      <c r="NI24">
        <f>SOFR3mo_PX[[#This Row],[Column373]]</f>
        <v>96.185000000000002</v>
      </c>
      <c r="NJ24">
        <f>SOFR3mo_PX[[#This Row],[Column374]]</f>
        <v>96.24</v>
      </c>
      <c r="NK24">
        <f>SOFR3mo_PX[[#This Row],[Column375]]</f>
        <v>96.26</v>
      </c>
      <c r="NL24">
        <f>SOFR3mo_PX[[#This Row],[Column376]]</f>
        <v>96.385000000000005</v>
      </c>
      <c r="NM24">
        <f>SOFR3mo_PX[[#This Row],[Column377]]</f>
        <v>96.385000000000005</v>
      </c>
      <c r="NN24">
        <f>SOFR3mo_PX[[#This Row],[Column378]]</f>
        <v>96.39</v>
      </c>
      <c r="NO24">
        <f>SOFR3mo_PX[[#This Row],[Column379]]</f>
        <v>96.35</v>
      </c>
      <c r="NP24">
        <f>SOFR3mo_PX[[#This Row],[Column380]]</f>
        <v>96.36</v>
      </c>
      <c r="NQ24">
        <f>SOFR3mo_PX[[#This Row],[Column381]]</f>
        <v>96.364999999999995</v>
      </c>
      <c r="NR24">
        <f>SOFR3mo_PX[[#This Row],[Column382]]</f>
        <v>96.355000000000004</v>
      </c>
      <c r="NS24">
        <f>SOFR3mo_PX[[#This Row],[Column383]]</f>
        <v>96.41</v>
      </c>
      <c r="NT24">
        <f>SOFR3mo_PX[[#This Row],[Column384]]</f>
        <v>96.504999999999995</v>
      </c>
      <c r="NU24">
        <f>SOFR3mo_PX[[#This Row],[Column385]]</f>
        <v>96.46</v>
      </c>
      <c r="NV24">
        <f>SOFR3mo_PX[[#This Row],[Column386]]</f>
        <v>96.51</v>
      </c>
      <c r="NW24">
        <f>SOFR3mo_PX[[#This Row],[Column387]]</f>
        <v>96.51</v>
      </c>
      <c r="NX24">
        <f>SOFR3mo_PX[[#This Row],[Column388]]</f>
        <v>96.534999999999997</v>
      </c>
      <c r="NY24">
        <f>SOFR3mo_PX[[#This Row],[Column389]]</f>
        <v>96.6</v>
      </c>
      <c r="NZ24">
        <f>SOFR3mo_PX[[#This Row],[Column390]]</f>
        <v>96.495000000000005</v>
      </c>
      <c r="OA24">
        <f>SOFR3mo_PX[[#This Row],[Column391]]</f>
        <v>96.48</v>
      </c>
      <c r="OB24">
        <f>SOFR3mo_PX[[#This Row],[Column392]]</f>
        <v>96.48</v>
      </c>
      <c r="OC24">
        <f>SOFR3mo_PX[[#This Row],[Column393]]</f>
        <v>96.515000000000001</v>
      </c>
      <c r="OD24">
        <f>SOFR3mo_PX[[#This Row],[Column394]]</f>
        <v>96.545000000000002</v>
      </c>
      <c r="OE24">
        <f>SOFR3mo_PX[[#This Row],[Column395]]</f>
        <v>96.53</v>
      </c>
      <c r="OF24">
        <f>SOFR3mo_PX[[#This Row],[Column396]]</f>
        <v>96.495000000000005</v>
      </c>
      <c r="OG24">
        <f>SOFR3mo_PX[[#This Row],[Column397]]</f>
        <v>96.53</v>
      </c>
      <c r="OH24">
        <f>SOFR3mo_PX[[#This Row],[Column398]]</f>
        <v>96.504999999999995</v>
      </c>
      <c r="OI24">
        <f>SOFR3mo_PX[[#This Row],[Column399]]</f>
        <v>96.405000000000001</v>
      </c>
      <c r="OJ24">
        <f>SOFR3mo_PX[[#This Row],[Column400]]</f>
        <v>96.26</v>
      </c>
      <c r="OK24">
        <f>SOFR3mo_PX[[#This Row],[Column401]]</f>
        <v>96.215000000000003</v>
      </c>
      <c r="OL24">
        <f>SOFR3mo_PX[[#This Row],[Column402]]</f>
        <v>96.21</v>
      </c>
      <c r="OM24">
        <f>SOFR3mo_PX[[#This Row],[Column403]]</f>
        <v>96.32</v>
      </c>
      <c r="ON24">
        <f>SOFR3mo_PX[[#This Row],[Column404]]</f>
        <v>96.32</v>
      </c>
      <c r="OO24">
        <f>SOFR3mo_PX[[#This Row],[Column405]]</f>
        <v>96.26</v>
      </c>
      <c r="OP24">
        <f>SOFR3mo_PX[[#This Row],[Column406]]</f>
        <v>96.13</v>
      </c>
      <c r="OQ24">
        <f>SOFR3mo_PX[[#This Row],[Column407]]</f>
        <v>96.17</v>
      </c>
      <c r="OR24">
        <f>SOFR3mo_PX[[#This Row],[Column408]]</f>
        <v>96.055000000000007</v>
      </c>
      <c r="OS24">
        <f>SOFR3mo_PX[[#This Row],[Column409]]</f>
        <v>96.14</v>
      </c>
      <c r="OT24">
        <f>SOFR3mo_PX[[#This Row],[Column410]]</f>
        <v>96.075000000000003</v>
      </c>
      <c r="OU24">
        <f>SOFR3mo_PX[[#This Row],[Column411]]</f>
        <v>96.04</v>
      </c>
      <c r="OV24">
        <f>SOFR3mo_PX[[#This Row],[Column412]]</f>
        <v>95.92</v>
      </c>
      <c r="OW24">
        <f>SOFR3mo_PX[[#This Row],[Column413]]</f>
        <v>95.99</v>
      </c>
      <c r="OX24">
        <f>SOFR3mo_PX[[#This Row],[Column414]]</f>
        <v>95.99</v>
      </c>
      <c r="OY24">
        <f>SOFR3mo_PX[[#This Row],[Column415]]</f>
        <v>95.98</v>
      </c>
      <c r="OZ24">
        <f>SOFR3mo_PX[[#This Row],[Column416]]</f>
        <v>95.995000000000005</v>
      </c>
      <c r="PA24">
        <f>SOFR3mo_PX[[#This Row],[Column417]]</f>
        <v>95.954999999999998</v>
      </c>
      <c r="PB24">
        <f>SOFR3mo_PX[[#This Row],[Column418]]</f>
        <v>95.935000000000002</v>
      </c>
      <c r="PC24">
        <f>SOFR3mo_PX[[#This Row],[Column419]]</f>
        <v>95.834999999999994</v>
      </c>
      <c r="PD24">
        <f>SOFR3mo_PX[[#This Row],[Column420]]</f>
        <v>95.92</v>
      </c>
      <c r="PE24">
        <f>SOFR3mo_PX[[#This Row],[Column421]]</f>
        <v>95.734999999999999</v>
      </c>
      <c r="PF24">
        <f>SOFR3mo_PX[[#This Row],[Column422]]</f>
        <v>95.74</v>
      </c>
      <c r="PG24">
        <f>SOFR3mo_PX[[#This Row],[Column423]]</f>
        <v>95.73</v>
      </c>
      <c r="PH24">
        <f>SOFR3mo_PX[[#This Row],[Column424]]</f>
        <v>95.864999999999995</v>
      </c>
      <c r="PI24">
        <f>SOFR3mo_PX[[#This Row],[Column425]]</f>
        <v>95.79</v>
      </c>
      <c r="PJ24">
        <f>SOFR3mo_PX[[#This Row],[Column426]]</f>
        <v>95.674999999999997</v>
      </c>
      <c r="PK24">
        <f>SOFR3mo_PX[[#This Row],[Column427]]</f>
        <v>95.784999999999997</v>
      </c>
      <c r="PL24">
        <f>SOFR3mo_PX[[#This Row],[Column428]]</f>
        <v>95.665000000000006</v>
      </c>
      <c r="PM24">
        <f>SOFR3mo_PX[[#This Row],[Column429]]</f>
        <v>95.534999999999997</v>
      </c>
      <c r="PN24">
        <f>SOFR3mo_PX[[#This Row],[Column430]]</f>
        <v>95.444999999999993</v>
      </c>
      <c r="PO24">
        <f>SOFR3mo_PX[[#This Row],[Column431]]</f>
        <v>95.435000000000002</v>
      </c>
      <c r="PP24">
        <f>SOFR3mo_PX[[#This Row],[Column432]]</f>
        <v>95.444999999999993</v>
      </c>
      <c r="PQ24">
        <f>SOFR3mo_PX[[#This Row],[Column433]]</f>
        <v>95.44</v>
      </c>
      <c r="PR24">
        <f>SOFR3mo_PX[[#This Row],[Column434]]</f>
        <v>95.325000000000003</v>
      </c>
      <c r="PS24">
        <f>SOFR3mo_PX[[#This Row],[Column435]]</f>
        <v>95.465000000000003</v>
      </c>
      <c r="PT24">
        <f>SOFR3mo_PX[[#This Row],[Column436]]</f>
        <v>95.46</v>
      </c>
      <c r="PU24">
        <f>SOFR3mo_PX[[#This Row],[Column437]]</f>
        <v>95.355000000000004</v>
      </c>
      <c r="PV24">
        <f>SOFR3mo_PX[[#This Row],[Column438]]</f>
        <v>95.28</v>
      </c>
      <c r="PW24">
        <f>SOFR3mo_PX[[#This Row],[Column439]]</f>
        <v>95.41</v>
      </c>
      <c r="PX24">
        <f>SOFR3mo_PX[[#This Row],[Column440]]</f>
        <v>95.465000000000003</v>
      </c>
      <c r="PY24">
        <f>SOFR3mo_PX[[#This Row],[Column441]]</f>
        <v>95.605000000000004</v>
      </c>
      <c r="PZ24">
        <f>SOFR3mo_PX[[#This Row],[Column442]]</f>
        <v>95.69</v>
      </c>
      <c r="QA24">
        <f>SOFR3mo_PX[[#This Row],[Column443]]</f>
        <v>95.584999999999994</v>
      </c>
      <c r="QB24">
        <f>SOFR3mo_PX[[#This Row],[Column444]]</f>
        <v>95.7</v>
      </c>
      <c r="QC24">
        <f>SOFR3mo_PX[[#This Row],[Column445]]</f>
        <v>95.614999999999995</v>
      </c>
      <c r="QD24">
        <f>SOFR3mo_PX[[#This Row],[Column446]]</f>
        <v>95.61</v>
      </c>
      <c r="QE24">
        <f>SOFR3mo_PX[[#This Row],[Column447]]</f>
        <v>95.474999999999994</v>
      </c>
      <c r="QF24">
        <f>SOFR3mo_PX[[#This Row],[Column448]]</f>
        <v>95.534999999999997</v>
      </c>
      <c r="QG24">
        <f>SOFR3mo_PX[[#This Row],[Column449]]</f>
        <v>95.51</v>
      </c>
      <c r="QH24">
        <f>SOFR3mo_PX[[#This Row],[Column450]]</f>
        <v>95.454999999999998</v>
      </c>
      <c r="QI24">
        <f>SOFR3mo_PX[[#This Row],[Column451]]</f>
        <v>95.584999999999994</v>
      </c>
      <c r="QJ24">
        <f>SOFR3mo_PX[[#This Row],[Column452]]</f>
        <v>95.73</v>
      </c>
      <c r="QK24">
        <f>SOFR3mo_PX[[#This Row],[Column453]]</f>
        <v>95.69</v>
      </c>
      <c r="QL24">
        <f>SOFR3mo_PX[[#This Row],[Column454]]</f>
        <v>95.694999999999993</v>
      </c>
      <c r="QM24">
        <f>SOFR3mo_PX[[#This Row],[Column455]]</f>
        <v>95.77</v>
      </c>
      <c r="QN24">
        <f>SOFR3mo_PX[[#This Row],[Column456]]</f>
        <v>95.78</v>
      </c>
      <c r="QO24">
        <f>SOFR3mo_PX[[#This Row],[Column457]]</f>
        <v>95.92</v>
      </c>
      <c r="QP24">
        <f>SOFR3mo_PX[[#This Row],[Column458]]</f>
        <v>95.89</v>
      </c>
      <c r="QQ24">
        <f>SOFR3mo_PX[[#This Row],[Column459]]</f>
        <v>96.055000000000007</v>
      </c>
      <c r="QR24">
        <f>SOFR3mo_PX[[#This Row],[Column460]]</f>
        <v>96.055000000000007</v>
      </c>
      <c r="QS24">
        <f>SOFR3mo_PX[[#This Row],[Column461]]</f>
        <v>96.094999999999999</v>
      </c>
      <c r="QT24">
        <f>SOFR3mo_PX[[#This Row],[Column462]]</f>
        <v>96.075000000000003</v>
      </c>
      <c r="QU24">
        <f>SOFR3mo_PX[[#This Row],[Column463]]</f>
        <v>96.105000000000004</v>
      </c>
      <c r="QV24">
        <f>SOFR3mo_PX[[#This Row],[Column464]]</f>
        <v>96.16</v>
      </c>
      <c r="QW24">
        <f>SOFR3mo_PX[[#This Row],[Column465]]</f>
        <v>96.14</v>
      </c>
      <c r="QX24">
        <f>SOFR3mo_PX[[#This Row],[Column466]]</f>
        <v>96.1</v>
      </c>
      <c r="QY24">
        <f>SOFR3mo_PX[[#This Row],[Column467]]</f>
        <v>96.14</v>
      </c>
      <c r="QZ24">
        <f>SOFR3mo_PX[[#This Row],[Column468]]</f>
        <v>96.13</v>
      </c>
      <c r="RA24">
        <f>SOFR3mo_PX[[#This Row],[Column469]]</f>
        <v>96.114999999999995</v>
      </c>
      <c r="RB24">
        <f>SOFR3mo_PX[[#This Row],[Column470]]</f>
        <v>96.12</v>
      </c>
      <c r="RC24">
        <f>SOFR3mo_PX[[#This Row],[Column471]]</f>
        <v>96.19</v>
      </c>
      <c r="RD24">
        <f>SOFR3mo_PX[[#This Row],[Column472]]</f>
        <v>96.19</v>
      </c>
      <c r="RE24">
        <f>SOFR3mo_PX[[#This Row],[Column473]]</f>
        <v>96.284999999999997</v>
      </c>
      <c r="RF24">
        <f>SOFR3mo_PX[[#This Row],[Column474]]</f>
        <v>96.26</v>
      </c>
      <c r="RG24">
        <f>SOFR3mo_PX[[#This Row],[Column475]]</f>
        <v>96.265000000000001</v>
      </c>
      <c r="RH24">
        <f>SOFR3mo_PX[[#This Row],[Column476]]</f>
        <v>96.194999999999993</v>
      </c>
      <c r="RI24">
        <f>SOFR3mo_PX[[#This Row],[Column477]]</f>
        <v>96.155000000000001</v>
      </c>
      <c r="RJ24">
        <f>SOFR3mo_PX[[#This Row],[Column478]]</f>
        <v>96.155000000000001</v>
      </c>
      <c r="RK24">
        <f>SOFR3mo_PX[[#This Row],[Column479]]</f>
        <v>96.174999999999997</v>
      </c>
      <c r="RL24">
        <f>SOFR3mo_PX[[#This Row],[Column480]]</f>
        <v>96.025000000000006</v>
      </c>
      <c r="RM24">
        <f>SOFR3mo_PX[[#This Row],[Column481]]</f>
        <v>96</v>
      </c>
      <c r="RN24">
        <f>SOFR3mo_PX[[#This Row],[Column482]]</f>
        <v>96.094999999999999</v>
      </c>
      <c r="RO24">
        <f>SOFR3mo_PX[[#This Row],[Column483]]</f>
        <v>96.02</v>
      </c>
      <c r="RP24">
        <f>SOFR3mo_PX[[#This Row],[Column484]]</f>
        <v>96.105000000000004</v>
      </c>
      <c r="RQ24">
        <f>SOFR3mo_PX[[#This Row],[Column485]]</f>
        <v>96.14</v>
      </c>
      <c r="RR24">
        <f>SOFR3mo_PX[[#This Row],[Column486]]</f>
        <v>96.2</v>
      </c>
      <c r="RS24">
        <f>SOFR3mo_PX[[#This Row],[Column487]]</f>
        <v>96.185000000000002</v>
      </c>
      <c r="RT24">
        <f>SOFR3mo_PX[[#This Row],[Column488]]</f>
        <v>96.284999999999997</v>
      </c>
      <c r="RU24">
        <f>SOFR3mo_PX[[#This Row],[Column489]]</f>
        <v>96.39</v>
      </c>
      <c r="RV24">
        <f>SOFR3mo_PX[[#This Row],[Column490]]</f>
        <v>96.355000000000004</v>
      </c>
      <c r="RW24">
        <f>SOFR3mo_PX[[#This Row],[Column491]]</f>
        <v>96.29</v>
      </c>
      <c r="RX24">
        <f>SOFR3mo_PX[[#This Row],[Column492]]</f>
        <v>96.295000000000002</v>
      </c>
      <c r="RY24">
        <f>SOFR3mo_PX[[#This Row],[Column493]]</f>
        <v>96.144999999999996</v>
      </c>
      <c r="RZ24">
        <f>SOFR3mo_PX[[#This Row],[Column494]]</f>
        <v>96.284999999999997</v>
      </c>
      <c r="SA24">
        <f>SOFR3mo_PX[[#This Row],[Column495]]</f>
        <v>96.334999999999994</v>
      </c>
      <c r="SB24">
        <f>SOFR3mo_PX[[#This Row],[Column496]]</f>
        <v>96.424999999999997</v>
      </c>
      <c r="SC24">
        <f>SOFR3mo_PX[[#This Row],[Column497]]</f>
        <v>96.42</v>
      </c>
      <c r="SD24">
        <f>SOFR3mo_PX[[#This Row],[Column498]]</f>
        <v>96.375</v>
      </c>
      <c r="SE24">
        <f>SOFR3mo_PX[[#This Row],[Column499]]</f>
        <v>96.545000000000002</v>
      </c>
      <c r="SF24">
        <f>SOFR3mo_PX[[#This Row],[Column500]]</f>
        <v>96.484999999999999</v>
      </c>
      <c r="SG24">
        <f>SOFR3mo_PX[[#This Row],[Column501]]</f>
        <v>96.545000000000002</v>
      </c>
      <c r="SH24">
        <f>SOFR3mo_PX[[#This Row],[Column502]]</f>
        <v>96.555000000000007</v>
      </c>
      <c r="SI24">
        <f>SOFR3mo_PX[[#This Row],[Column503]]</f>
        <v>96.534999999999997</v>
      </c>
      <c r="SJ24">
        <f>SOFR3mo_PX[[#This Row],[Column504]]</f>
        <v>96.665000000000006</v>
      </c>
      <c r="SK24">
        <f>SOFR3mo_PX[[#This Row],[Column505]]</f>
        <v>96.625</v>
      </c>
      <c r="SL24">
        <f>SOFR3mo_PX[[#This Row],[Column506]]</f>
        <v>96.6</v>
      </c>
      <c r="SM24">
        <f>SOFR3mo_PX[[#This Row],[Column507]]</f>
        <v>96.56</v>
      </c>
      <c r="SN24">
        <f>SOFR3mo_PX[[#This Row],[Column508]]</f>
        <v>96.575000000000003</v>
      </c>
      <c r="SO24">
        <f>SOFR3mo_PX[[#This Row],[Column509]]</f>
        <v>96.52</v>
      </c>
      <c r="SP24">
        <f>SOFR3mo_PX[[#This Row],[Column510]]</f>
        <v>96.43</v>
      </c>
      <c r="SQ24">
        <f>SOFR3mo_PX[[#This Row],[Column511]]</f>
        <v>96.364999999999995</v>
      </c>
      <c r="SR24">
        <f>SOFR3mo_PX[[#This Row],[Column512]]</f>
        <v>96.32</v>
      </c>
      <c r="SS24">
        <f>SOFR3mo_PX[[#This Row],[Column513]]</f>
        <v>96.38</v>
      </c>
      <c r="ST24">
        <f>SOFR3mo_PX[[#This Row],[Column514]]</f>
        <v>96.52</v>
      </c>
      <c r="SU24">
        <f>SOFR3mo_PX[[#This Row],[Column515]]</f>
        <v>96.625</v>
      </c>
      <c r="SV24">
        <f>SOFR3mo_PX[[#This Row],[Column516]]</f>
        <v>96.625</v>
      </c>
      <c r="SW24">
        <f>SOFR3mo_PX[[#This Row],[Column517]]</f>
        <v>96.66</v>
      </c>
      <c r="SX24">
        <f>SOFR3mo_PX[[#This Row],[Column518]]</f>
        <v>96.6</v>
      </c>
      <c r="SY24">
        <f>SOFR3mo_PX[[#This Row],[Column519]]</f>
        <v>96.745000000000005</v>
      </c>
      <c r="SZ24">
        <f>SOFR3mo_PX[[#This Row],[Column520]]</f>
        <v>96.68</v>
      </c>
      <c r="TA24">
        <f>SOFR3mo_PX[[#This Row],[Column521]]</f>
        <v>96.71</v>
      </c>
      <c r="TB24">
        <f>SOFR3mo_PX[[#This Row],[Column522]]</f>
        <v>96.68</v>
      </c>
      <c r="TC24">
        <f>SOFR3mo_PX[[#This Row],[Column523]]</f>
        <v>96.62</v>
      </c>
      <c r="TD24">
        <f>SOFR3mo_PX[[#This Row],[Column524]]</f>
        <v>96.694999999999993</v>
      </c>
      <c r="TE24">
        <f>SOFR3mo_PX[[#This Row],[Column525]]</f>
        <v>96.724999999999994</v>
      </c>
      <c r="TF24">
        <f>SOFR3mo_PX[[#This Row],[Column526]]</f>
        <v>96.66</v>
      </c>
      <c r="TG24">
        <f>SOFR3mo_PX[[#This Row],[Column527]]</f>
        <v>96.66</v>
      </c>
      <c r="TH24">
        <f>SOFR3mo_PX[[#This Row],[Column528]]</f>
        <v>96.694999999999993</v>
      </c>
      <c r="TI24">
        <f>SOFR3mo_PX[[#This Row],[Column529]]</f>
        <v>96.63</v>
      </c>
      <c r="TJ24">
        <f>SOFR3mo_PX[[#This Row],[Column530]]</f>
        <v>96.564999999999998</v>
      </c>
      <c r="TK24">
        <f>SOFR3mo_PX[[#This Row],[Column531]]</f>
        <v>96.64</v>
      </c>
      <c r="TL24">
        <f>SOFR3mo_PX[[#This Row],[Column532]]</f>
        <v>96.644999999999996</v>
      </c>
      <c r="TM24">
        <f>SOFR3mo_PX[[#This Row],[Column533]]</f>
        <v>96.655000000000001</v>
      </c>
      <c r="TN24">
        <f>SOFR3mo_PX[[#This Row],[Column534]]</f>
        <v>96.58</v>
      </c>
      <c r="TO24">
        <f>SOFR3mo_PX[[#This Row],[Column535]]</f>
        <v>96.68</v>
      </c>
      <c r="TP24">
        <f>SOFR3mo_PX[[#This Row],[Column536]]</f>
        <v>96.665000000000006</v>
      </c>
      <c r="TQ24">
        <f>SOFR3mo_PX[[#This Row],[Column537]]</f>
        <v>96.635000000000005</v>
      </c>
      <c r="TR24">
        <f>SOFR3mo_PX[[#This Row],[Column538]]</f>
        <v>96.734999999999999</v>
      </c>
      <c r="TS24">
        <f>SOFR3mo_PX[[#This Row],[Column539]]</f>
        <v>96.72</v>
      </c>
      <c r="TT24">
        <f>SOFR3mo_PX[[#This Row],[Column540]]</f>
        <v>96.67</v>
      </c>
      <c r="TU24">
        <f>SOFR3mo_PX[[#This Row],[Column541]]</f>
        <v>96.56</v>
      </c>
      <c r="TV24">
        <f>SOFR3mo_PX[[#This Row],[Column542]]</f>
        <v>96.56</v>
      </c>
      <c r="TW24">
        <f>SOFR3mo_PX[[#This Row],[Column543]]</f>
        <v>96.55</v>
      </c>
      <c r="TX24">
        <f>SOFR3mo_PX[[#This Row],[Column544]]</f>
        <v>96.64</v>
      </c>
      <c r="TY24">
        <f>SOFR3mo_PX[[#This Row],[Column545]]</f>
        <v>96.644999999999996</v>
      </c>
      <c r="TZ24">
        <f>SOFR3mo_PX[[#This Row],[Column546]]</f>
        <v>96.605000000000004</v>
      </c>
      <c r="UA24">
        <f>SOFR3mo_PX[[#This Row],[Column547]]</f>
        <v>96.605000000000004</v>
      </c>
      <c r="UB24">
        <f>SOFR3mo_PX[[#This Row],[Column548]]</f>
        <v>96.655000000000001</v>
      </c>
      <c r="UC24">
        <f>SOFR3mo_PX[[#This Row],[Column549]]</f>
        <v>96.72</v>
      </c>
      <c r="UD24">
        <f>SOFR3mo_PX[[#This Row],[Column550]]</f>
        <v>96.74</v>
      </c>
      <c r="UE24">
        <f>SOFR3mo_PX[[#This Row],[Column551]]</f>
        <v>96.79</v>
      </c>
      <c r="UF24">
        <f>SOFR3mo_PX[[#This Row],[Column552]]</f>
        <v>96.83</v>
      </c>
      <c r="UG24">
        <f>SOFR3mo_PX[[#This Row],[Column553]]</f>
        <v>96.885000000000005</v>
      </c>
      <c r="UH24">
        <f>SOFR3mo_PX[[#This Row],[Column554]]</f>
        <v>96.84</v>
      </c>
      <c r="UI24">
        <f>SOFR3mo_PX[[#This Row],[Column555]]</f>
        <v>96.77</v>
      </c>
      <c r="UJ24">
        <f>SOFR3mo_PX[[#This Row],[Column556]]</f>
        <v>96.77</v>
      </c>
      <c r="UK24">
        <f>SOFR3mo_PX[[#This Row],[Column557]]</f>
        <v>96.814999999999998</v>
      </c>
      <c r="UL24">
        <f>SOFR3mo_PX[[#This Row],[Column558]]</f>
        <v>96.89</v>
      </c>
      <c r="UM24">
        <f>SOFR3mo_PX[[#This Row],[Column559]]</f>
        <v>96.875</v>
      </c>
      <c r="UN24">
        <f>SOFR3mo_PX[[#This Row],[Column560]]</f>
        <v>96.864999999999995</v>
      </c>
      <c r="UO24">
        <f>SOFR3mo_PX[[#This Row],[Column561]]</f>
        <v>96.73</v>
      </c>
      <c r="UP24">
        <f>SOFR3mo_PX[[#This Row],[Column562]]</f>
        <v>96.86</v>
      </c>
      <c r="UQ24">
        <f>SOFR3mo_PX[[#This Row],[Column563]]</f>
        <v>96.795000000000002</v>
      </c>
      <c r="UR24">
        <f>SOFR3mo_PX[[#This Row],[Column564]]</f>
        <v>96.87</v>
      </c>
      <c r="US24">
        <f>SOFR3mo_PX[[#This Row],[Column565]]</f>
        <v>96.92</v>
      </c>
      <c r="UT24">
        <f>SOFR3mo_PX[[#This Row],[Column566]]</f>
        <v>96.85</v>
      </c>
      <c r="UU24">
        <f>SOFR3mo_PX[[#This Row],[Column567]]</f>
        <v>96.79</v>
      </c>
      <c r="UV24">
        <f>SOFR3mo_PX[[#This Row],[Column568]]</f>
        <v>96.834999999999994</v>
      </c>
      <c r="UW24">
        <f>SOFR3mo_PX[[#This Row],[Column569]]</f>
        <v>96.784999999999997</v>
      </c>
      <c r="UX24">
        <f>SOFR3mo_PX[[#This Row],[Column570]]</f>
        <v>96.805000000000007</v>
      </c>
      <c r="UY24">
        <f>SOFR3mo_PX[[#This Row],[Column571]]</f>
        <v>96.78</v>
      </c>
      <c r="UZ24">
        <f>SOFR3mo_PX[[#This Row],[Column572]]</f>
        <v>96.84</v>
      </c>
      <c r="VA24">
        <f>SOFR3mo_PX[[#This Row],[Column573]]</f>
        <v>96.894999999999996</v>
      </c>
      <c r="VB24">
        <f>SOFR3mo_PX[[#This Row],[Column574]]</f>
        <v>96.95</v>
      </c>
      <c r="VC24">
        <f>SOFR3mo_PX[[#This Row],[Column575]]</f>
        <v>96.94</v>
      </c>
      <c r="VD24">
        <f>SOFR3mo_PX[[#This Row],[Column576]]</f>
        <v>96.935000000000002</v>
      </c>
      <c r="VE24">
        <f>SOFR3mo_PX[[#This Row],[Column577]]</f>
        <v>96.984999999999999</v>
      </c>
      <c r="VF24">
        <f>SOFR3mo_PX[[#This Row],[Column578]]</f>
        <v>97.06</v>
      </c>
      <c r="VG24">
        <f>SOFR3mo_PX[[#This Row],[Column579]]</f>
        <v>97.045000000000002</v>
      </c>
      <c r="VH24">
        <f>SOFR3mo_PX[[#This Row],[Column580]]</f>
        <v>97.015000000000001</v>
      </c>
      <c r="VI24">
        <f>SOFR3mo_PX[[#This Row],[Column581]]</f>
        <v>96.93</v>
      </c>
      <c r="VJ24">
        <f>SOFR3mo_PX[[#This Row],[Column582]]</f>
        <v>96.875</v>
      </c>
      <c r="VK24">
        <f>SOFR3mo_PX[[#This Row],[Column583]]</f>
        <v>96.83</v>
      </c>
      <c r="VL24">
        <f>SOFR3mo_PX[[#This Row],[Column584]]</f>
        <v>96.805000000000007</v>
      </c>
      <c r="VM24">
        <f>SOFR3mo_PX[[#This Row],[Column585]]</f>
        <v>96.795000000000002</v>
      </c>
      <c r="VN24">
        <f>SOFR3mo_PX[[#This Row],[Column586]]</f>
        <v>96.825000000000003</v>
      </c>
      <c r="VO24">
        <f>SOFR3mo_PX[[#This Row],[Column587]]</f>
        <v>96.944999999999993</v>
      </c>
      <c r="VP24">
        <f>SOFR3mo_PX[[#This Row],[Column588]]</f>
        <v>96.894999999999996</v>
      </c>
      <c r="VQ24">
        <f>SOFR3mo_PX[[#This Row],[Column589]]</f>
        <v>96.825000000000003</v>
      </c>
      <c r="VR24">
        <f>SOFR3mo_PX[[#This Row],[Column590]]</f>
        <v>96.77</v>
      </c>
      <c r="VS24">
        <f>SOFR3mo_PX[[#This Row],[Column591]]</f>
        <v>96.84</v>
      </c>
      <c r="VT24">
        <f>SOFR3mo_PX[[#This Row],[Column592]]</f>
        <v>96.93</v>
      </c>
      <c r="VU24">
        <f>SOFR3mo_PX[[#This Row],[Column593]]</f>
        <v>96.765000000000001</v>
      </c>
      <c r="VV24">
        <f>SOFR3mo_PX[[#This Row],[Column594]]</f>
        <v>96.834999999999994</v>
      </c>
      <c r="VW24">
        <f>SOFR3mo_PX[[#This Row],[Column595]]</f>
        <v>96.745000000000005</v>
      </c>
      <c r="VX24">
        <f>SOFR3mo_PX[[#This Row],[Column596]]</f>
        <v>96.81</v>
      </c>
      <c r="VY24">
        <f>SOFR3mo_PX[[#This Row],[Column597]]</f>
        <v>96.8</v>
      </c>
      <c r="VZ24">
        <f>SOFR3mo_PX[[#This Row],[Column598]]</f>
        <v>96.6</v>
      </c>
      <c r="WA24">
        <f>SOFR3mo_PX[[#This Row],[Column599]]</f>
        <v>96.635000000000005</v>
      </c>
      <c r="WB24">
        <f>SOFR3mo_PX[[#This Row],[Column600]]</f>
        <v>96.62</v>
      </c>
      <c r="WC24">
        <f>SOFR3mo_PX[[#This Row],[Column601]]</f>
        <v>96.55</v>
      </c>
      <c r="WD24">
        <f>SOFR3mo_PX[[#This Row],[Column602]]</f>
        <v>96.55</v>
      </c>
      <c r="WE24">
        <f>SOFR3mo_PX[[#This Row],[Column603]]</f>
        <v>96.435000000000002</v>
      </c>
      <c r="WF24">
        <f>SOFR3mo_PX[[#This Row],[Column604]]</f>
        <v>96.54</v>
      </c>
      <c r="WG24">
        <f>SOFR3mo_PX[[#This Row],[Column605]]</f>
        <v>96.625</v>
      </c>
      <c r="WH24">
        <f>SOFR3mo_PX[[#This Row],[Column606]]</f>
        <v>96.62</v>
      </c>
      <c r="WI24">
        <f>SOFR3mo_PX[[#This Row],[Column607]]</f>
        <v>96.57</v>
      </c>
      <c r="WJ24">
        <f>SOFR3mo_PX[[#This Row],[Column608]]</f>
        <v>96.62</v>
      </c>
      <c r="WK24">
        <f>SOFR3mo_PX[[#This Row],[Column609]]</f>
        <v>96.564999999999998</v>
      </c>
      <c r="WL24">
        <f>SOFR3mo_PX[[#This Row],[Column610]]</f>
        <v>96.534999999999997</v>
      </c>
      <c r="WM24">
        <f>SOFR3mo_PX[[#This Row],[Column611]]</f>
        <v>96.685000000000002</v>
      </c>
      <c r="WN24">
        <f>SOFR3mo_PX[[#This Row],[Column612]]</f>
        <v>96.685000000000002</v>
      </c>
      <c r="WO24">
        <f>SOFR3mo_PX[[#This Row],[Column613]]</f>
        <v>96.665000000000006</v>
      </c>
      <c r="WP24">
        <f>SOFR3mo_PX[[#This Row],[Column614]]</f>
        <v>96.7</v>
      </c>
      <c r="WQ24">
        <f>SOFR3mo_PX[[#This Row],[Column615]]</f>
        <v>96.765000000000001</v>
      </c>
      <c r="WR24">
        <f>SOFR3mo_PX[[#This Row],[Column616]]</f>
        <v>96.775000000000006</v>
      </c>
      <c r="WS24">
        <f>SOFR3mo_PX[[#This Row],[Column617]]</f>
        <v>96.75</v>
      </c>
      <c r="WT24">
        <f>SOFR3mo_PX[[#This Row],[Column618]]</f>
        <v>96.81</v>
      </c>
      <c r="WU24">
        <f>SOFR3mo_PX[[#This Row],[Column619]]</f>
        <v>96.834999999999994</v>
      </c>
      <c r="WV24">
        <f>SOFR3mo_PX[[#This Row],[Column620]]</f>
        <v>96.814999999999998</v>
      </c>
      <c r="WW24">
        <f>SOFR3mo_PX[[#This Row],[Column621]]</f>
        <v>96.844999999999999</v>
      </c>
      <c r="WX24">
        <f>SOFR3mo_PX[[#This Row],[Column622]]</f>
        <v>96.924999999999997</v>
      </c>
      <c r="WY24">
        <f>SOFR3mo_PX[[#This Row],[Column623]]</f>
        <v>97.034999999999997</v>
      </c>
      <c r="WZ24">
        <f>SOFR3mo_PX[[#This Row],[Column624]]</f>
        <v>97.06</v>
      </c>
      <c r="XA24">
        <f>SOFR3mo_PX[[#This Row],[Column625]]</f>
        <v>96.935000000000002</v>
      </c>
      <c r="XB24">
        <f>SOFR3mo_PX[[#This Row],[Column626]]</f>
        <v>96.905000000000001</v>
      </c>
      <c r="XC24">
        <f>SOFR3mo_PX[[#This Row],[Column627]]</f>
        <v>96.944999999999993</v>
      </c>
      <c r="XD24">
        <f>SOFR3mo_PX[[#This Row],[Column628]]</f>
        <v>96.995000000000005</v>
      </c>
      <c r="XE24">
        <f>SOFR3mo_PX[[#This Row],[Column629]]</f>
        <v>97.02</v>
      </c>
      <c r="XF24">
        <f>SOFR3mo_PX[[#This Row],[Column630]]</f>
        <v>97.02</v>
      </c>
      <c r="XG24">
        <f>SOFR3mo_PX[[#This Row],[Column631]]</f>
        <v>96.944999999999993</v>
      </c>
      <c r="XH24">
        <f>SOFR3mo_PX[[#This Row],[Column632]]</f>
        <v>96.98</v>
      </c>
      <c r="XI24">
        <f>SOFR3mo_PX[[#This Row],[Column633]]</f>
        <v>97.07</v>
      </c>
      <c r="XJ24">
        <f>SOFR3mo_PX[[#This Row],[Column634]]</f>
        <v>97.1</v>
      </c>
      <c r="XK24">
        <f>SOFR3mo_PX[[#This Row],[Column635]]</f>
        <v>96.95</v>
      </c>
      <c r="XL24">
        <f>SOFR3mo_PX[[#This Row],[Column636]]</f>
        <v>96.995000000000005</v>
      </c>
      <c r="XM24">
        <f>SOFR3mo_PX[[#This Row],[Column637]]</f>
        <v>96.995000000000005</v>
      </c>
      <c r="XN24">
        <f>SOFR3mo_PX[[#This Row],[Column638]]</f>
        <v>97.02</v>
      </c>
      <c r="XO24">
        <f>SOFR3mo_PX[[#This Row],[Column639]]</f>
        <v>96.91</v>
      </c>
      <c r="XP24">
        <f>SOFR3mo_PX[[#This Row],[Column640]]</f>
        <v>96.855000000000004</v>
      </c>
      <c r="XQ24">
        <f>SOFR3mo_PX[[#This Row],[Column641]]</f>
        <v>96.97</v>
      </c>
      <c r="XR24">
        <f>SOFR3mo_PX[[#This Row],[Column642]]</f>
        <v>96.924999999999997</v>
      </c>
      <c r="XS24">
        <f>SOFR3mo_PX[[#This Row],[Column643]]</f>
        <v>96.77</v>
      </c>
      <c r="XT24">
        <f>SOFR3mo_PX[[#This Row],[Column644]]</f>
        <v>96.76</v>
      </c>
      <c r="XU24">
        <f>SOFR3mo_PX[[#This Row],[Column645]]</f>
        <v>96.655000000000001</v>
      </c>
      <c r="XV24">
        <f>SOFR3mo_PX[[#This Row],[Column646]]</f>
        <v>96.59</v>
      </c>
      <c r="XW24">
        <f>SOFR3mo_PX[[#This Row],[Column647]]</f>
        <v>96.59</v>
      </c>
      <c r="XX24">
        <f>SOFR3mo_PX[[#This Row],[Column648]]</f>
        <v>96.555000000000007</v>
      </c>
      <c r="XY24">
        <f>SOFR3mo_PX[[#This Row],[Column649]]</f>
        <v>96.5</v>
      </c>
      <c r="XZ24">
        <f>SOFR3mo_PX[[#This Row],[Column650]]</f>
        <v>96.58</v>
      </c>
      <c r="YA24">
        <f>SOFR3mo_PX[[#This Row],[Column651]]</f>
        <v>96.665000000000006</v>
      </c>
      <c r="YB24">
        <f>SOFR3mo_PX[[#This Row],[Column652]]</f>
        <v>96.665000000000006</v>
      </c>
      <c r="YC24">
        <f>SOFR3mo_PX[[#This Row],[Column653]]</f>
        <v>96.694999999999993</v>
      </c>
      <c r="YD24">
        <f>SOFR3mo_PX[[#This Row],[Column654]]</f>
        <v>96.67</v>
      </c>
      <c r="YE24">
        <f>SOFR3mo_PX[[#This Row],[Column655]]</f>
        <v>96.745000000000005</v>
      </c>
      <c r="YF24">
        <f>SOFR3mo_PX[[#This Row],[Column656]]</f>
        <v>96.88</v>
      </c>
      <c r="YG24">
        <f>SOFR3mo_PX[[#This Row],[Column657]]</f>
        <v>96.965000000000003</v>
      </c>
      <c r="YH24">
        <f>SOFR3mo_PX[[#This Row],[Column658]]</f>
        <v>97.03</v>
      </c>
      <c r="YI24">
        <f>SOFR3mo_PX[[#This Row],[Column659]]</f>
        <v>96.97</v>
      </c>
      <c r="YJ24">
        <f>SOFR3mo_PX[[#This Row],[Column660]]</f>
        <v>96.97</v>
      </c>
      <c r="YK24">
        <f>SOFR3mo_PX[[#This Row],[Column661]]</f>
        <v>96.87</v>
      </c>
      <c r="YL24">
        <f>SOFR3mo_PX[[#This Row],[Column662]]</f>
        <v>96.905000000000001</v>
      </c>
      <c r="YM24">
        <f>SOFR3mo_PX[[#This Row],[Column663]]</f>
        <v>96.995000000000005</v>
      </c>
      <c r="YN24">
        <f>SOFR3mo_PX[[#This Row],[Column664]]</f>
        <v>97.11</v>
      </c>
      <c r="YO24">
        <f>SOFR3mo_PX[[#This Row],[Column665]]</f>
        <v>97</v>
      </c>
      <c r="YP24">
        <f>SOFR3mo_PX[[#This Row],[Column666]]</f>
        <v>96.905000000000001</v>
      </c>
      <c r="YQ24">
        <f>SOFR3mo_PX[[#This Row],[Column667]]</f>
        <v>97.004999999999995</v>
      </c>
      <c r="YR24">
        <f>SOFR3mo_PX[[#This Row],[Column668]]</f>
        <v>96.96</v>
      </c>
      <c r="YS24">
        <f>SOFR3mo_PX[[#This Row],[Column669]]</f>
        <v>96.8</v>
      </c>
      <c r="YT24">
        <f>SOFR3mo_PX[[#This Row],[Column670]]</f>
        <v>96.765000000000001</v>
      </c>
      <c r="YU24">
        <f>SOFR3mo_PX[[#This Row],[Column671]]</f>
        <v>96.81</v>
      </c>
      <c r="YV24">
        <f>SOFR3mo_PX[[#This Row],[Column672]]</f>
        <v>96.795000000000002</v>
      </c>
      <c r="YW24">
        <f>SOFR3mo_PX[[#This Row],[Column673]]</f>
        <v>96.78</v>
      </c>
      <c r="YX24">
        <f>SOFR3mo_PX[[#This Row],[Column674]]</f>
        <v>96.78</v>
      </c>
      <c r="YY24">
        <f>SOFR3mo_PX[[#This Row],[Column675]]</f>
        <v>96.71</v>
      </c>
      <c r="YZ24">
        <f>SOFR3mo_PX[[#This Row],[Column676]]</f>
        <v>96.614999999999995</v>
      </c>
      <c r="ZA24">
        <f>SOFR3mo_PX[[#This Row],[Column677]]</f>
        <v>96.605000000000004</v>
      </c>
      <c r="ZB24">
        <f>SOFR3mo_PX[[#This Row],[Column678]]</f>
        <v>96.674999999999997</v>
      </c>
      <c r="ZC24">
        <f>SOFR3mo_PX[[#This Row],[Column679]]</f>
        <v>96.73</v>
      </c>
      <c r="ZD24">
        <f>SOFR3mo_PX[[#This Row],[Column680]]</f>
        <v>96.61</v>
      </c>
      <c r="ZE24">
        <f>SOFR3mo_PX[[#This Row],[Column681]]</f>
        <v>96.534999999999997</v>
      </c>
      <c r="ZF24">
        <f>SOFR3mo_PX[[#This Row],[Column682]]</f>
        <v>96.584999999999994</v>
      </c>
      <c r="ZG24">
        <f>SOFR3mo_PX[[#This Row],[Column683]]</f>
        <v>96.56</v>
      </c>
      <c r="ZH24">
        <f>SOFR3mo_PX[[#This Row],[Column684]]</f>
        <v>96.26</v>
      </c>
      <c r="ZI24">
        <f>SOFR3mo_PX[[#This Row],[Column685]]</f>
        <v>96.284999999999997</v>
      </c>
      <c r="ZJ24">
        <f>SOFR3mo_PX[[#This Row],[Column686]]</f>
        <v>96.18</v>
      </c>
      <c r="ZK24">
        <f>SOFR3mo_PX[[#This Row],[Column687]]</f>
        <v>96.19</v>
      </c>
      <c r="ZL24">
        <f>SOFR3mo_PX[[#This Row],[Column688]]</f>
        <v>96.215000000000003</v>
      </c>
      <c r="ZM24">
        <f>SOFR3mo_PX[[#This Row],[Column689]]</f>
        <v>96.23</v>
      </c>
      <c r="ZN24">
        <f>SOFR3mo_PX[[#This Row],[Column690]]</f>
        <v>96.21</v>
      </c>
      <c r="ZO24">
        <f>SOFR3mo_PX[[#This Row],[Column691]]</f>
        <v>96.19</v>
      </c>
      <c r="ZP24">
        <f>SOFR3mo_PX[[#This Row],[Column692]]</f>
        <v>96.22</v>
      </c>
      <c r="ZQ24">
        <f>SOFR3mo_PX[[#This Row],[Column693]]</f>
        <v>96.314999999999998</v>
      </c>
      <c r="ZR24">
        <f>SOFR3mo_PX[[#This Row],[Column694]]</f>
        <v>96.254999999999995</v>
      </c>
      <c r="ZS24">
        <f>SOFR3mo_PX[[#This Row],[Column695]]</f>
        <v>96.165000000000006</v>
      </c>
      <c r="ZT24">
        <f>SOFR3mo_PX[[#This Row],[Column696]]</f>
        <v>96.025000000000006</v>
      </c>
      <c r="ZU24">
        <f>SOFR3mo_PX[[#This Row],[Column697]]</f>
        <v>96.07</v>
      </c>
      <c r="ZV24">
        <f>SOFR3mo_PX[[#This Row],[Column698]]</f>
        <v>96.075000000000003</v>
      </c>
      <c r="ZW24">
        <f>SOFR3mo_PX[[#This Row],[Column699]]</f>
        <v>96.194999999999993</v>
      </c>
      <c r="ZX24">
        <f>SOFR3mo_PX[[#This Row],[Column700]]</f>
        <v>96.33</v>
      </c>
      <c r="ZY24">
        <f>SOFR3mo_PX[[#This Row],[Column701]]</f>
        <v>96.31</v>
      </c>
      <c r="ZZ24">
        <f>SOFR3mo_PX[[#This Row],[Column702]]</f>
        <v>96.314999999999998</v>
      </c>
      <c r="AAA24">
        <f>SOFR3mo_PX[[#This Row],[Column703]]</f>
        <v>96.36</v>
      </c>
      <c r="AAB24">
        <f>SOFR3mo_PX[[#This Row],[Column704]]</f>
        <v>96.344999999999999</v>
      </c>
      <c r="AAC24">
        <f>SOFR3mo_PX[[#This Row],[Column705]]</f>
        <v>96.305000000000007</v>
      </c>
      <c r="AAD24">
        <f>SOFR3mo_PX[[#This Row],[Column706]]</f>
        <v>96.26</v>
      </c>
      <c r="AAE24">
        <f>SOFR3mo_PX[[#This Row],[Column707]]</f>
        <v>96.35</v>
      </c>
      <c r="AAF24">
        <f>SOFR3mo_PX[[#This Row],[Column708]]</f>
        <v>96.4</v>
      </c>
      <c r="AAG24">
        <f>SOFR3mo_PX[[#This Row],[Column709]]</f>
        <v>96.45</v>
      </c>
      <c r="AAH24">
        <f>SOFR3mo_PX[[#This Row],[Column710]]</f>
        <v>96.62</v>
      </c>
      <c r="AAI24">
        <f>SOFR3mo_PX[[#This Row],[Column711]]</f>
        <v>96.52</v>
      </c>
      <c r="AAJ24">
        <f>SOFR3mo_PX[[#This Row],[Column712]]</f>
        <v>96.344999999999999</v>
      </c>
      <c r="AAK24">
        <f>SOFR3mo_PX[[#This Row],[Column713]]</f>
        <v>96.42</v>
      </c>
      <c r="AAL24">
        <f>SOFR3mo_PX[[#This Row],[Column714]]</f>
        <v>96.465000000000003</v>
      </c>
      <c r="AAM24">
        <f>SOFR3mo_PX[[#This Row],[Column715]]</f>
        <v>96.29</v>
      </c>
      <c r="AAN24">
        <f>SOFR3mo_PX[[#This Row],[Column716]]</f>
        <v>96.394999999999996</v>
      </c>
      <c r="AAO24">
        <f>SOFR3mo_PX[[#This Row],[Column717]]</f>
        <v>96.6</v>
      </c>
      <c r="AAP24">
        <f>SOFR3mo_PX[[#This Row],[Column718]]</f>
        <v>96.54</v>
      </c>
      <c r="AAQ24">
        <f>SOFR3mo_PX[[#This Row],[Column719]]</f>
        <v>96.72</v>
      </c>
      <c r="AAR24">
        <f>SOFR3mo_PX[[#This Row],[Column720]]</f>
        <v>96.665000000000006</v>
      </c>
      <c r="AAS24">
        <f>SOFR3mo_PX[[#This Row],[Column721]]</f>
        <v>96.754999999999995</v>
      </c>
      <c r="AAT24">
        <f>SOFR3mo_PX[[#This Row],[Column722]]</f>
        <v>96.775000000000006</v>
      </c>
      <c r="AAU24">
        <f>SOFR3mo_PX[[#This Row],[Column723]]</f>
        <v>96.79</v>
      </c>
      <c r="AAV24">
        <f>SOFR3mo_PX[[#This Row],[Column724]]</f>
        <v>96.86</v>
      </c>
      <c r="AAW24">
        <f>SOFR3mo_PX[[#This Row],[Column725]]</f>
        <v>96.83</v>
      </c>
      <c r="AAX24">
        <f>SOFR3mo_PX[[#This Row],[Column726]]</f>
        <v>96.85</v>
      </c>
      <c r="AAY24">
        <f>SOFR3mo_PX[[#This Row],[Column727]]</f>
        <v>96.894999999999996</v>
      </c>
      <c r="AAZ24">
        <f>SOFR3mo_PX[[#This Row],[Column728]]</f>
        <v>96.915000000000006</v>
      </c>
      <c r="ABA24">
        <f>SOFR3mo_PX[[#This Row],[Column729]]</f>
        <v>96.94</v>
      </c>
      <c r="ABB24">
        <f>SOFR3mo_PX[[#This Row],[Column730]]</f>
        <v>96.844999999999999</v>
      </c>
      <c r="ABC24">
        <f>SOFR3mo_PX[[#This Row],[Column731]]</f>
        <v>97.02</v>
      </c>
      <c r="ABD24">
        <f>SOFR3mo_PX[[#This Row],[Column732]]</f>
        <v>97.02</v>
      </c>
      <c r="ABE24">
        <f>SOFR3mo_PX[[#This Row],[Column733]]</f>
        <v>96.96</v>
      </c>
      <c r="ABF24">
        <f>SOFR3mo_PX[[#This Row],[Column734]]</f>
        <v>97.135000000000005</v>
      </c>
      <c r="ABG24">
        <f>SOFR3mo_PX[[#This Row],[Column735]]</f>
        <v>97.18</v>
      </c>
      <c r="ABH24">
        <f>SOFR3mo_PX[[#This Row],[Column736]]</f>
        <v>97.15</v>
      </c>
      <c r="ABI24">
        <f>SOFR3mo_PX[[#This Row],[Column737]]</f>
        <v>97.265000000000001</v>
      </c>
      <c r="ABJ24">
        <f>SOFR3mo_PX[[#This Row],[Column738]]</f>
        <v>97.29</v>
      </c>
      <c r="ABK24">
        <f>SOFR3mo_PX[[#This Row],[Column739]]</f>
        <v>97.204999999999998</v>
      </c>
      <c r="ABL24">
        <f>SOFR3mo_PX[[#This Row],[Column740]]</f>
        <v>97.27</v>
      </c>
      <c r="ABM24">
        <f>SOFR3mo_PX[[#This Row],[Column741]]</f>
        <v>97.31</v>
      </c>
      <c r="ABN24">
        <f>SOFR3mo_PX[[#This Row],[Column742]]</f>
        <v>97.34</v>
      </c>
      <c r="ABO24">
        <f>SOFR3mo_PX[[#This Row],[Column743]]</f>
        <v>97.474999999999994</v>
      </c>
      <c r="ABP24">
        <f>SOFR3mo_PX[[#This Row],[Column744]]</f>
        <v>97.46</v>
      </c>
      <c r="ABQ24">
        <f>SOFR3mo_PX[[#This Row],[Column745]]</f>
        <v>97.54</v>
      </c>
      <c r="ABR24">
        <f>SOFR3mo_PX[[#This Row],[Column746]]</f>
        <v>97.53</v>
      </c>
      <c r="ABS24">
        <f>SOFR3mo_PX[[#This Row],[Column747]]</f>
        <v>97.44</v>
      </c>
      <c r="ABT24">
        <f>SOFR3mo_PX[[#This Row],[Column748]]</f>
        <v>97.385000000000005</v>
      </c>
      <c r="ABU24">
        <f>SOFR3mo_PX[[#This Row],[Column749]]</f>
        <v>97.53</v>
      </c>
      <c r="ABV24">
        <f>SOFR3mo_PX[[#This Row],[Column750]]</f>
        <v>97.54</v>
      </c>
      <c r="ABW24">
        <f>SOFR3mo_PX[[#This Row],[Column751]]</f>
        <v>97.54</v>
      </c>
      <c r="ABX24">
        <f>SOFR3mo_PX[[#This Row],[Column752]]</f>
        <v>97.45</v>
      </c>
      <c r="ABY24">
        <f>SOFR3mo_PX[[#This Row],[Column753]]</f>
        <v>97.6</v>
      </c>
      <c r="ABZ24">
        <f>SOFR3mo_PX[[#This Row],[Column754]]</f>
        <v>97.51</v>
      </c>
      <c r="ACA24">
        <f>SOFR3mo_PX[[#This Row],[Column755]]</f>
        <v>97.5</v>
      </c>
      <c r="ACB24">
        <f>SOFR3mo_PX[[#This Row],[Column756]]</f>
        <v>97.61</v>
      </c>
      <c r="ACC24">
        <f>SOFR3mo_PX[[#This Row],[Column757]]</f>
        <v>97.55</v>
      </c>
      <c r="ACD24">
        <f>SOFR3mo_PX[[#This Row],[Column758]]</f>
        <v>97.5</v>
      </c>
      <c r="ACE24">
        <f>SOFR3mo_PX[[#This Row],[Column759]]</f>
        <v>97.444999999999993</v>
      </c>
      <c r="ACF24">
        <f>SOFR3mo_PX[[#This Row],[Column760]]</f>
        <v>97.38</v>
      </c>
      <c r="ACG24">
        <f>SOFR3mo_PX[[#This Row],[Column761]]</f>
        <v>97.344999999999999</v>
      </c>
      <c r="ACH24">
        <f>SOFR3mo_PX[[#This Row],[Column762]]</f>
        <v>97.39</v>
      </c>
      <c r="ACI24">
        <f>SOFR3mo_PX[[#This Row],[Column763]]</f>
        <v>97.275000000000006</v>
      </c>
      <c r="ACJ24">
        <f>SOFR3mo_PX[[#This Row],[Column764]]</f>
        <v>97.16</v>
      </c>
      <c r="ACK24">
        <f>SOFR3mo_PX[[#This Row],[Column765]]</f>
        <v>97.2</v>
      </c>
      <c r="ACL24">
        <f>SOFR3mo_PX[[#This Row],[Column766]]</f>
        <v>97.24</v>
      </c>
      <c r="ACM24">
        <f>SOFR3mo_PX[[#This Row],[Column767]]</f>
        <v>97.265000000000001</v>
      </c>
      <c r="ACN24">
        <f>SOFR3mo_PX[[#This Row],[Column768]]</f>
        <v>97.2</v>
      </c>
      <c r="ACO24">
        <f>SOFR3mo_PX[[#This Row],[Column769]]</f>
        <v>97.245000000000005</v>
      </c>
      <c r="ACP24">
        <f>SOFR3mo_PX[[#This Row],[Column770]]</f>
        <v>97.135000000000005</v>
      </c>
      <c r="ACQ24">
        <f>SOFR3mo_PX[[#This Row],[Column771]]</f>
        <v>97.084999999999994</v>
      </c>
      <c r="ACR24">
        <f>SOFR3mo_PX[[#This Row],[Column772]]</f>
        <v>96.935000000000002</v>
      </c>
      <c r="ACS24">
        <f>SOFR3mo_PX[[#This Row],[Column773]]</f>
        <v>97.015000000000001</v>
      </c>
      <c r="ACT24">
        <f>SOFR3mo_PX[[#This Row],[Column774]]</f>
        <v>97.135000000000005</v>
      </c>
      <c r="ACU24">
        <f>SOFR3mo_PX[[#This Row],[Column775]]</f>
        <v>97.22</v>
      </c>
      <c r="ACV24">
        <f>SOFR3mo_PX[[#This Row],[Column776]]</f>
        <v>97.135000000000005</v>
      </c>
      <c r="ACW24">
        <f>SOFR3mo_PX[[#This Row],[Column777]]</f>
        <v>97.135000000000005</v>
      </c>
      <c r="ACX24">
        <f>SOFR3mo_PX[[#This Row],[Column778]]</f>
        <v>97.094999999999999</v>
      </c>
      <c r="ACY24">
        <f>SOFR3mo_PX[[#This Row],[Column779]]</f>
        <v>96.97</v>
      </c>
      <c r="ACZ24">
        <f>SOFR3mo_PX[[#This Row],[Column780]]</f>
        <v>96.88</v>
      </c>
      <c r="ADA24">
        <f>SOFR3mo_PX[[#This Row],[Column781]]</f>
        <v>96.9</v>
      </c>
      <c r="ADB24">
        <f>SOFR3mo_PX[[#This Row],[Column782]]</f>
        <v>96.954999999999998</v>
      </c>
      <c r="ADC24">
        <f>SOFR3mo_PX[[#This Row],[Column783]]</f>
        <v>97.05</v>
      </c>
      <c r="ADD24">
        <f>SOFR3mo_PX[[#This Row],[Column784]]</f>
        <v>96.95</v>
      </c>
      <c r="ADE24">
        <f>SOFR3mo_PX[[#This Row],[Column785]]</f>
        <v>96.825000000000003</v>
      </c>
      <c r="ADF24">
        <f>SOFR3mo_PX[[#This Row],[Column786]]</f>
        <v>96.92</v>
      </c>
      <c r="ADG24">
        <f>SOFR3mo_PX[[#This Row],[Column787]]</f>
        <v>96.92</v>
      </c>
      <c r="ADH24">
        <f>SOFR3mo_PX[[#This Row],[Column788]]</f>
        <v>96.85</v>
      </c>
      <c r="ADI24">
        <f>SOFR3mo_PX[[#This Row],[Column789]]</f>
        <v>96.72</v>
      </c>
      <c r="ADJ24">
        <f>SOFR3mo_PX[[#This Row],[Column790]]</f>
        <v>96.685000000000002</v>
      </c>
      <c r="ADK24">
        <f>SOFR3mo_PX[[#This Row],[Column791]]</f>
        <v>96.79</v>
      </c>
      <c r="ADL24">
        <f>SOFR3mo_PX[[#This Row],[Column792]]</f>
        <v>97.01</v>
      </c>
      <c r="ADM24">
        <f>SOFR3mo_PX[[#This Row],[Column793]]</f>
        <v>97.09</v>
      </c>
      <c r="ADN24">
        <f>SOFR3mo_PX[[#This Row],[Column794]]</f>
        <v>97.09</v>
      </c>
      <c r="ADO24">
        <f>SOFR3mo_PX[[#This Row],[Column795]]</f>
        <v>97.14</v>
      </c>
      <c r="ADP24">
        <f>SOFR3mo_PX[[#This Row],[Column796]]</f>
        <v>97.045000000000002</v>
      </c>
      <c r="ADQ24">
        <f>SOFR3mo_PX[[#This Row],[Column797]]</f>
        <v>97.15</v>
      </c>
      <c r="ADR24">
        <f>SOFR3mo_PX[[#This Row],[Column798]]</f>
        <v>97.2</v>
      </c>
      <c r="ADS24">
        <f>SOFR3mo_PX[[#This Row],[Column799]]</f>
        <v>97.16</v>
      </c>
      <c r="ADT24">
        <f>SOFR3mo_PX[[#This Row],[Column800]]</f>
        <v>97.224999999999994</v>
      </c>
      <c r="ADU24">
        <f>SOFR3mo_PX[[#This Row],[Column801]]</f>
        <v>97.314999999999998</v>
      </c>
      <c r="ADV24">
        <f>SOFR3mo_PX[[#This Row],[Column802]]</f>
        <v>97.314999999999998</v>
      </c>
      <c r="ADW24">
        <f>SOFR3mo_PX[[#This Row],[Column803]]</f>
        <v>97.3</v>
      </c>
      <c r="ADX24">
        <f>SOFR3mo_PX[[#This Row],[Column804]]</f>
        <v>97.32</v>
      </c>
      <c r="ADY24">
        <f>SOFR3mo_PX[[#This Row],[Column805]]</f>
        <v>97.31</v>
      </c>
      <c r="ADZ24">
        <f>SOFR3mo_PX[[#This Row],[Column806]]</f>
        <v>97.245000000000005</v>
      </c>
      <c r="AEA24">
        <f>SOFR3mo_PX[[#This Row],[Column807]]</f>
        <v>97.31</v>
      </c>
      <c r="AEB24">
        <f>SOFR3mo_PX[[#This Row],[Column808]]</f>
        <v>97.234999999999999</v>
      </c>
      <c r="AEC24">
        <f>SOFR3mo_PX[[#This Row],[Column809]]</f>
        <v>97.21</v>
      </c>
      <c r="AED24">
        <f>SOFR3mo_PX[[#This Row],[Column810]]</f>
        <v>97.094999999999999</v>
      </c>
      <c r="AEE24">
        <f>SOFR3mo_PX[[#This Row],[Column811]]</f>
        <v>97.17</v>
      </c>
      <c r="AEF24">
        <f>SOFR3mo_PX[[#This Row],[Column812]]</f>
        <v>97.094999999999999</v>
      </c>
      <c r="AEG24">
        <f>SOFR3mo_PX[[#This Row],[Column813]]</f>
        <v>97.215000000000003</v>
      </c>
      <c r="AEH24">
        <f>SOFR3mo_PX[[#This Row],[Column814]]</f>
        <v>97.144999999999996</v>
      </c>
      <c r="AEI24">
        <f>SOFR3mo_PX[[#This Row],[Column815]]</f>
        <v>97.04</v>
      </c>
      <c r="AEJ24">
        <f>SOFR3mo_PX[[#This Row],[Column816]]</f>
        <v>96.93</v>
      </c>
      <c r="AEK24">
        <f>SOFR3mo_PX[[#This Row],[Column817]]</f>
        <v>96.88</v>
      </c>
      <c r="AEL24">
        <f>SOFR3mo_PX[[#This Row],[Column818]]</f>
        <v>96.965000000000003</v>
      </c>
      <c r="AEM24">
        <f>SOFR3mo_PX[[#This Row],[Column819]]</f>
        <v>97.1</v>
      </c>
      <c r="AEN24">
        <f>SOFR3mo_PX[[#This Row],[Column820]]</f>
        <v>97.094999999999999</v>
      </c>
      <c r="AEO24">
        <f>SOFR3mo_PX[[#This Row],[Column821]]</f>
        <v>97.034999999999997</v>
      </c>
      <c r="AEP24">
        <f>SOFR3mo_PX[[#This Row],[Column822]]</f>
        <v>97.174999999999997</v>
      </c>
      <c r="AEQ24">
        <f>SOFR3mo_PX[[#This Row],[Column823]]</f>
        <v>97.185000000000002</v>
      </c>
      <c r="AER24">
        <f>SOFR3mo_PX[[#This Row],[Column824]]</f>
        <v>97.25</v>
      </c>
      <c r="AES24">
        <f>SOFR3mo_PX[[#This Row],[Column825]]</f>
        <v>97.305000000000007</v>
      </c>
      <c r="AET24">
        <f>SOFR3mo_PX[[#This Row],[Column826]]</f>
        <v>97.295000000000002</v>
      </c>
      <c r="AEU24">
        <f>SOFR3mo_PX[[#This Row],[Column827]]</f>
        <v>97.204999999999998</v>
      </c>
      <c r="AEV24">
        <f>SOFR3mo_PX[[#This Row],[Column828]]</f>
        <v>97.144999999999996</v>
      </c>
      <c r="AEW24">
        <f>SOFR3mo_PX[[#This Row],[Column829]]</f>
        <v>97.224999999999994</v>
      </c>
      <c r="AEX24">
        <f>SOFR3mo_PX[[#This Row],[Column830]]</f>
        <v>97.12</v>
      </c>
      <c r="AEY24">
        <f>SOFR3mo_PX[[#This Row],[Column831]]</f>
        <v>97.17</v>
      </c>
      <c r="AEZ24">
        <f>SOFR3mo_PX[[#This Row],[Column832]]</f>
        <v>97.234999999999999</v>
      </c>
      <c r="AFA24">
        <f>SOFR3mo_PX[[#This Row],[Column833]]</f>
        <v>97.234999999999999</v>
      </c>
      <c r="AFB24">
        <f>SOFR3mo_PX[[#This Row],[Column834]]</f>
        <v>97.364999999999995</v>
      </c>
      <c r="AFC24">
        <f>SOFR3mo_PX[[#This Row],[Column835]]</f>
        <v>97.33</v>
      </c>
      <c r="AFD24">
        <f>SOFR3mo_PX[[#This Row],[Column836]]</f>
        <v>97.275000000000006</v>
      </c>
      <c r="AFE24">
        <f>SOFR3mo_PX[[#This Row],[Column837]]</f>
        <v>97.4</v>
      </c>
      <c r="AFF24">
        <f>SOFR3mo_PX[[#This Row],[Column838]]</f>
        <v>97.484999999999999</v>
      </c>
      <c r="AFG24">
        <f>SOFR3mo_PX[[#This Row],[Column839]]</f>
        <v>97.59</v>
      </c>
      <c r="AFH24">
        <f>SOFR3mo_PX[[#This Row],[Column840]]</f>
        <v>97.674999999999997</v>
      </c>
      <c r="AFI24">
        <f>SOFR3mo_PX[[#This Row],[Column841]]</f>
        <v>97.88</v>
      </c>
      <c r="AFJ24">
        <f>SOFR3mo_PX[[#This Row],[Column842]]</f>
        <v>97.9</v>
      </c>
      <c r="AFK24">
        <f>SOFR3mo_PX[[#This Row],[Column843]]</f>
        <v>97.92</v>
      </c>
      <c r="AFL24">
        <f>SOFR3mo_PX[[#This Row],[Column844]]</f>
        <v>97.855000000000004</v>
      </c>
      <c r="AFM24">
        <f>SOFR3mo_PX[[#This Row],[Column845]]</f>
        <v>97.79</v>
      </c>
      <c r="AFN24">
        <f>SOFR3mo_PX[[#This Row],[Column846]]</f>
        <v>97.69</v>
      </c>
      <c r="AFO24">
        <f>SOFR3mo_PX[[#This Row],[Column847]]</f>
        <v>97.64</v>
      </c>
      <c r="AFP24">
        <f>SOFR3mo_PX[[#This Row],[Column848]]</f>
        <v>97.81</v>
      </c>
      <c r="AFQ24">
        <f>SOFR3mo_PX[[#This Row],[Column849]]</f>
        <v>97.84</v>
      </c>
      <c r="AFR24">
        <f>SOFR3mo_PX[[#This Row],[Column850]]</f>
        <v>97.784999999999997</v>
      </c>
      <c r="AFS24">
        <f>SOFR3mo_PX[[#This Row],[Column851]]</f>
        <v>97.85</v>
      </c>
      <c r="AFT24">
        <f>SOFR3mo_PX[[#This Row],[Column852]]</f>
        <v>97.995000000000005</v>
      </c>
      <c r="AFU24">
        <f>SOFR3mo_PX[[#This Row],[Column853]]</f>
        <v>97.915000000000006</v>
      </c>
      <c r="AFV24">
        <f>SOFR3mo_PX[[#This Row],[Column854]]</f>
        <v>97.89</v>
      </c>
      <c r="AFW24">
        <f>SOFR3mo_PX[[#This Row],[Column855]]</f>
        <v>97.92</v>
      </c>
      <c r="AFX24">
        <f>SOFR3mo_PX[[#This Row],[Column856]]</f>
        <v>97.94</v>
      </c>
      <c r="AFY24">
        <f>SOFR3mo_PX[[#This Row],[Column857]]</f>
        <v>98.1</v>
      </c>
      <c r="AFZ24">
        <f>SOFR3mo_PX[[#This Row],[Column858]]</f>
        <v>98.11</v>
      </c>
      <c r="AGA24">
        <f>SOFR3mo_PX[[#This Row],[Column859]]</f>
        <v>98.185000000000002</v>
      </c>
      <c r="AGB24">
        <f>SOFR3mo_PX[[#This Row],[Column860]]</f>
        <v>98.275000000000006</v>
      </c>
      <c r="AGC24">
        <f>SOFR3mo_PX[[#This Row],[Column861]]</f>
        <v>98.39</v>
      </c>
      <c r="AGD24">
        <f>SOFR3mo_PX[[#This Row],[Column862]]</f>
        <v>98.394999999999996</v>
      </c>
      <c r="AGE24">
        <f>SOFR3mo_PX[[#This Row],[Column863]]</f>
        <v>98.245000000000005</v>
      </c>
      <c r="AGF24">
        <f>SOFR3mo_PX[[#This Row],[Column864]]</f>
        <v>98.194999999999993</v>
      </c>
      <c r="AGG24">
        <f>SOFR3mo_PX[[#This Row],[Column865]]</f>
        <v>98.355000000000004</v>
      </c>
      <c r="AGH24">
        <f>SOFR3mo_PX[[#This Row],[Column866]]</f>
        <v>98.22</v>
      </c>
      <c r="AGI24">
        <f>SOFR3mo_PX[[#This Row],[Column867]]</f>
        <v>98.075000000000003</v>
      </c>
      <c r="AGJ24">
        <f>SOFR3mo_PX[[#This Row],[Column868]]</f>
        <v>98.08</v>
      </c>
      <c r="AGK24">
        <f>SOFR3mo_PX[[#This Row],[Column869]]</f>
        <v>98.094999999999999</v>
      </c>
      <c r="AGL24">
        <f>SOFR3mo_PX[[#This Row],[Column870]]</f>
        <v>98.135000000000005</v>
      </c>
      <c r="AGM24">
        <f>SOFR3mo_PX[[#This Row],[Column871]]</f>
        <v>98.13</v>
      </c>
      <c r="AGN24">
        <f>SOFR3mo_PX[[#This Row],[Column872]]</f>
        <v>98.13</v>
      </c>
      <c r="AGO24">
        <f>SOFR3mo_PX[[#This Row],[Column873]]</f>
        <v>98.08</v>
      </c>
      <c r="AGP24">
        <f>SOFR3mo_PX[[#This Row],[Column874]]</f>
        <v>97.99</v>
      </c>
      <c r="AGQ24">
        <f>SOFR3mo_PX[[#This Row],[Column875]]</f>
        <v>98</v>
      </c>
      <c r="AGR24">
        <f>SOFR3mo_PX[[#This Row],[Column876]]</f>
        <v>98.08</v>
      </c>
      <c r="AGS24">
        <f>SOFR3mo_PX[[#This Row],[Column877]]</f>
        <v>98.13</v>
      </c>
      <c r="AGT24">
        <f>SOFR3mo_PX[[#This Row],[Column878]]</f>
        <v>98.02</v>
      </c>
      <c r="AGU24">
        <f>SOFR3mo_PX[[#This Row],[Column879]]</f>
        <v>98.09</v>
      </c>
      <c r="AGV24">
        <f>SOFR3mo_PX[[#This Row],[Column880]]</f>
        <v>98.045000000000002</v>
      </c>
      <c r="AGW24">
        <f>SOFR3mo_PX[[#This Row],[Column881]]</f>
        <v>98.084999999999994</v>
      </c>
      <c r="AGX24">
        <f>SOFR3mo_PX[[#This Row],[Column882]]</f>
        <v>98.07</v>
      </c>
      <c r="AGY24">
        <f>SOFR3mo_PX[[#This Row],[Column883]]</f>
        <v>98.174999999999997</v>
      </c>
      <c r="AGZ24">
        <f>SOFR3mo_PX[[#This Row],[Column884]]</f>
        <v>98.245000000000005</v>
      </c>
      <c r="AHA24">
        <f>SOFR3mo_PX[[#This Row],[Column885]]</f>
        <v>98.21</v>
      </c>
      <c r="AHB24">
        <f>SOFR3mo_PX[[#This Row],[Column886]]</f>
        <v>98.21</v>
      </c>
      <c r="AHC24">
        <f>SOFR3mo_PX[[#This Row],[Column887]]</f>
        <v>98.22</v>
      </c>
      <c r="AHD24">
        <f>SOFR3mo_PX[[#This Row],[Column888]]</f>
        <v>98.18</v>
      </c>
      <c r="AHE24">
        <f>SOFR3mo_PX[[#This Row],[Column889]]</f>
        <v>98.08</v>
      </c>
      <c r="AHF24">
        <f>SOFR3mo_PX[[#This Row],[Column890]]</f>
        <v>98.15</v>
      </c>
      <c r="AHG24">
        <f>SOFR3mo_PX[[#This Row],[Column891]]</f>
        <v>98.215000000000003</v>
      </c>
      <c r="AHH24">
        <f>SOFR3mo_PX[[#This Row],[Column892]]</f>
        <v>98.194999999999993</v>
      </c>
      <c r="AHI24">
        <f>SOFR3mo_PX[[#This Row],[Column893]]</f>
        <v>98.125</v>
      </c>
      <c r="AHJ24">
        <f>SOFR3mo_PX[[#This Row],[Column894]]</f>
        <v>98.11</v>
      </c>
      <c r="AHK24">
        <f>SOFR3mo_PX[[#This Row],[Column895]]</f>
        <v>98.06</v>
      </c>
      <c r="AHL24">
        <f>SOFR3mo_PX[[#This Row],[Column896]]</f>
        <v>98.165000000000006</v>
      </c>
      <c r="AHM24">
        <f>SOFR3mo_PX[[#This Row],[Column897]]</f>
        <v>98.165000000000006</v>
      </c>
      <c r="AHN24">
        <f>SOFR3mo_PX[[#This Row],[Column898]]</f>
        <v>98.24</v>
      </c>
      <c r="AHO24">
        <f>SOFR3mo_PX[[#This Row],[Column899]]</f>
        <v>98.204999999999998</v>
      </c>
      <c r="AHP24">
        <f>SOFR3mo_PX[[#This Row],[Column900]]</f>
        <v>98.16</v>
      </c>
      <c r="AHQ24">
        <f>SOFR3mo_PX[[#This Row],[Column901]]</f>
        <v>98.11</v>
      </c>
      <c r="AHR24">
        <f>SOFR3mo_PX[[#This Row],[Column902]]</f>
        <v>98.12</v>
      </c>
      <c r="AHS24">
        <f>SOFR3mo_PX[[#This Row],[Column903]]</f>
        <v>98.155000000000001</v>
      </c>
      <c r="AHT24">
        <f>SOFR3mo_PX[[#This Row],[Column904]]</f>
        <v>98.19</v>
      </c>
      <c r="AHU24">
        <f>SOFR3mo_PX[[#This Row],[Column905]]</f>
        <v>98.22</v>
      </c>
      <c r="AHV24">
        <f>SOFR3mo_PX[[#This Row],[Column906]]</f>
        <v>98.265000000000001</v>
      </c>
      <c r="AHW24">
        <f>SOFR3mo_PX[[#This Row],[Column907]]</f>
        <v>98.43</v>
      </c>
      <c r="AHX24">
        <f>SOFR3mo_PX[[#This Row],[Column908]]</f>
        <v>98.41</v>
      </c>
      <c r="AHY24">
        <f>SOFR3mo_PX[[#This Row],[Column909]]</f>
        <v>98.405000000000001</v>
      </c>
      <c r="AHZ24">
        <f>SOFR3mo_PX[[#This Row],[Column910]]</f>
        <v>98.49</v>
      </c>
      <c r="AIA24">
        <f>SOFR3mo_PX[[#This Row],[Column911]]</f>
        <v>98.48</v>
      </c>
      <c r="AIB24">
        <f>SOFR3mo_PX[[#This Row],[Column912]]</f>
        <v>98.454999999999998</v>
      </c>
      <c r="AIC24">
        <f>SOFR3mo_PX[[#This Row],[Column913]]</f>
        <v>98.454999999999998</v>
      </c>
      <c r="AID24">
        <f>SOFR3mo_PX[[#This Row],[Column914]]</f>
        <v>98.48</v>
      </c>
      <c r="AIE24">
        <f>SOFR3mo_PX[[#This Row],[Column915]]</f>
        <v>98.46</v>
      </c>
      <c r="AIF24">
        <f>SOFR3mo_PX[[#This Row],[Column916]]</f>
        <v>98.555000000000007</v>
      </c>
      <c r="AIG24">
        <f>SOFR3mo_PX[[#This Row],[Column917]]</f>
        <v>98.6</v>
      </c>
      <c r="AIH24">
        <f>SOFR3mo_PX[[#This Row],[Column918]]</f>
        <v>98.564999999999998</v>
      </c>
      <c r="AII24">
        <f>SOFR3mo_PX[[#This Row],[Column919]]</f>
        <v>98.495000000000005</v>
      </c>
      <c r="AIJ24">
        <f>SOFR3mo_PX[[#This Row],[Column920]]</f>
        <v>98.504999999999995</v>
      </c>
      <c r="AIK24">
        <f>SOFR3mo_PX[[#This Row],[Column921]]</f>
        <v>98.525000000000006</v>
      </c>
      <c r="AIL24">
        <f>SOFR3mo_PX[[#This Row],[Column922]]</f>
        <v>98.465000000000003</v>
      </c>
      <c r="AIM24">
        <f>SOFR3mo_PX[[#This Row],[Column923]]</f>
        <v>98.495000000000005</v>
      </c>
      <c r="AIN24">
        <f>SOFR3mo_PX[[#This Row],[Column924]]</f>
        <v>98.46</v>
      </c>
      <c r="AIO24">
        <f>SOFR3mo_PX[[#This Row],[Column925]]</f>
        <v>98.48</v>
      </c>
      <c r="AIP24">
        <f>SOFR3mo_PX[[#This Row],[Column926]]</f>
        <v>98.525000000000006</v>
      </c>
      <c r="AIQ24">
        <f>SOFR3mo_PX[[#This Row],[Column927]]</f>
        <v>98.665000000000006</v>
      </c>
      <c r="AIR24">
        <f>SOFR3mo_PX[[#This Row],[Column928]]</f>
        <v>98.534999999999997</v>
      </c>
      <c r="AIS24">
        <f>SOFR3mo_PX[[#This Row],[Column929]]</f>
        <v>98.55</v>
      </c>
      <c r="AIT24">
        <f>SOFR3mo_PX[[#This Row],[Column930]]</f>
        <v>98.48</v>
      </c>
      <c r="AIU24">
        <f>SOFR3mo_PX[[#This Row],[Column931]]</f>
        <v>98.38</v>
      </c>
      <c r="AIV24">
        <f>SOFR3mo_PX[[#This Row],[Column932]]</f>
        <v>98.43</v>
      </c>
      <c r="AIW24">
        <f>SOFR3mo_PX[[#This Row],[Column933]]</f>
        <v>98.254999999999995</v>
      </c>
      <c r="AIX24">
        <f>SOFR3mo_PX[[#This Row],[Column934]]</f>
        <v>98.254999999999995</v>
      </c>
      <c r="AIY24">
        <f>SOFR3mo_PX[[#This Row],[Column935]]</f>
        <v>98.215000000000003</v>
      </c>
      <c r="AIZ24">
        <f>SOFR3mo_PX[[#This Row],[Column936]]</f>
        <v>98.275000000000006</v>
      </c>
      <c r="AJA24">
        <f>SOFR3mo_PX[[#This Row],[Column937]]</f>
        <v>98.385000000000005</v>
      </c>
      <c r="AJB24">
        <f>SOFR3mo_PX[[#This Row],[Column938]]</f>
        <v>98.31</v>
      </c>
      <c r="AJC24">
        <f>SOFR3mo_PX[[#This Row],[Column939]]</f>
        <v>98.275000000000006</v>
      </c>
      <c r="AJD24">
        <f>SOFR3mo_PX[[#This Row],[Column940]]</f>
        <v>98.25</v>
      </c>
      <c r="AJE24">
        <f>SOFR3mo_PX[[#This Row],[Column941]]</f>
        <v>98.28</v>
      </c>
      <c r="AJF24">
        <f>SOFR3mo_PX[[#This Row],[Column942]]</f>
        <v>98.32</v>
      </c>
      <c r="AJG24">
        <f>SOFR3mo_PX[[#This Row],[Column943]]</f>
        <v>98.325000000000003</v>
      </c>
      <c r="AJH24">
        <f>SOFR3mo_PX[[#This Row],[Column944]]</f>
        <v>98.36</v>
      </c>
      <c r="AJI24">
        <f>SOFR3mo_PX[[#This Row],[Column945]]</f>
        <v>98.484999999999999</v>
      </c>
      <c r="AJJ24">
        <f>SOFR3mo_PX[[#This Row],[Column946]]</f>
        <v>98.394999999999996</v>
      </c>
      <c r="AJK24">
        <f>SOFR3mo_PX[[#This Row],[Column947]]</f>
        <v>98.444999999999993</v>
      </c>
      <c r="AJL24">
        <f>SOFR3mo_PX[[#This Row],[Column948]]</f>
        <v>98.35</v>
      </c>
      <c r="AJM24">
        <f>SOFR3mo_PX[[#This Row],[Column949]]</f>
        <v>98.314999999999998</v>
      </c>
      <c r="AJN24">
        <f>SOFR3mo_PX[[#This Row],[Column950]]</f>
        <v>98.334999999999994</v>
      </c>
      <c r="AJO24">
        <f>SOFR3mo_PX[[#This Row],[Column951]]</f>
        <v>98.364999999999995</v>
      </c>
      <c r="AJP24">
        <f>SOFR3mo_PX[[#This Row],[Column952]]</f>
        <v>98.4</v>
      </c>
      <c r="AJQ24">
        <f>SOFR3mo_PX[[#This Row],[Column953]]</f>
        <v>98.364999999999995</v>
      </c>
      <c r="AJR24">
        <f>SOFR3mo_PX[[#This Row],[Column954]]</f>
        <v>98.37</v>
      </c>
      <c r="AJS24">
        <f>SOFR3mo_PX[[#This Row],[Column955]]</f>
        <v>98.215000000000003</v>
      </c>
      <c r="AJT24">
        <f>SOFR3mo_PX[[#This Row],[Column956]]</f>
        <v>98.204999999999998</v>
      </c>
      <c r="AJU24">
        <f>SOFR3mo_PX[[#This Row],[Column957]]</f>
        <v>98.204999999999998</v>
      </c>
      <c r="AJV24">
        <f>SOFR3mo_PX[[#This Row],[Column958]]</f>
        <v>98.155000000000001</v>
      </c>
      <c r="AJW24">
        <f>SOFR3mo_PX[[#This Row],[Column959]]</f>
        <v>98.194999999999993</v>
      </c>
      <c r="AJX24">
        <f>SOFR3mo_PX[[#This Row],[Column960]]</f>
        <v>98.21</v>
      </c>
      <c r="AJY24">
        <f>SOFR3mo_PX[[#This Row],[Column961]]</f>
        <v>98.28</v>
      </c>
      <c r="AJZ24">
        <f>SOFR3mo_PX[[#This Row],[Column962]]</f>
        <v>98.265000000000001</v>
      </c>
      <c r="AKA24">
        <f>SOFR3mo_PX[[#This Row],[Column963]]</f>
        <v>98.32</v>
      </c>
      <c r="AKB24">
        <f>SOFR3mo_PX[[#This Row],[Column964]]</f>
        <v>98.275000000000006</v>
      </c>
      <c r="AKC24">
        <f>SOFR3mo_PX[[#This Row],[Column965]]</f>
        <v>98.2</v>
      </c>
      <c r="AKD24">
        <f>SOFR3mo_PX[[#This Row],[Column966]]</f>
        <v>98.135000000000005</v>
      </c>
      <c r="AKE24">
        <f>SOFR3mo_PX[[#This Row],[Column967]]</f>
        <v>98.14</v>
      </c>
      <c r="AKF24">
        <f>SOFR3mo_PX[[#This Row],[Column968]]</f>
        <v>98.185000000000002</v>
      </c>
      <c r="AKG24">
        <f>SOFR3mo_PX[[#This Row],[Column969]]</f>
        <v>98.24</v>
      </c>
      <c r="AKH24">
        <f>SOFR3mo_PX[[#This Row],[Column970]]</f>
        <v>98.224999999999994</v>
      </c>
      <c r="AKI24">
        <f>SOFR3mo_PX[[#This Row],[Column971]]</f>
        <v>98.275000000000006</v>
      </c>
      <c r="AKJ24">
        <f>SOFR3mo_PX[[#This Row],[Column972]]</f>
        <v>98.254999999999995</v>
      </c>
      <c r="AKK24">
        <f>SOFR3mo_PX[[#This Row],[Column973]]</f>
        <v>98.18</v>
      </c>
      <c r="AKL24">
        <f>SOFR3mo_PX[[#This Row],[Column974]]</f>
        <v>98.165000000000006</v>
      </c>
      <c r="AKM24">
        <f>SOFR3mo_PX[[#This Row],[Column975]]</f>
        <v>98.17</v>
      </c>
      <c r="AKN24">
        <f>SOFR3mo_PX[[#This Row],[Column976]]</f>
        <v>98.245000000000005</v>
      </c>
      <c r="AKO24">
        <f>SOFR3mo_PX[[#This Row],[Column977]]</f>
        <v>98.29</v>
      </c>
      <c r="AKP24">
        <f>SOFR3mo_PX[[#This Row],[Column978]]</f>
        <v>98.36</v>
      </c>
      <c r="AKQ24">
        <f>SOFR3mo_PX[[#This Row],[Column979]]</f>
        <v>98.45</v>
      </c>
      <c r="AKR24">
        <f>SOFR3mo_PX[[#This Row],[Column980]]</f>
        <v>98.44</v>
      </c>
      <c r="AKS24">
        <f>SOFR3mo_PX[[#This Row],[Column981]]</f>
        <v>98.444999999999993</v>
      </c>
      <c r="AKT24">
        <f>SOFR3mo_PX[[#This Row],[Column982]]</f>
        <v>98.37</v>
      </c>
      <c r="AKU24">
        <f>SOFR3mo_PX[[#This Row],[Column983]]</f>
        <v>98.44</v>
      </c>
      <c r="AKV24">
        <f>SOFR3mo_PX[[#This Row],[Column984]]</f>
        <v>98.484999999999999</v>
      </c>
      <c r="AKW24">
        <f>SOFR3mo_PX[[#This Row],[Column985]]</f>
        <v>98.57</v>
      </c>
      <c r="AKX24">
        <f>SOFR3mo_PX[[#This Row],[Column986]]</f>
        <v>98.51</v>
      </c>
      <c r="AKY24">
        <f>SOFR3mo_PX[[#This Row],[Column987]]</f>
        <v>98.49</v>
      </c>
      <c r="AKZ24">
        <f>SOFR3mo_PX[[#This Row],[Column988]]</f>
        <v>98.555000000000007</v>
      </c>
      <c r="ALA24">
        <f>SOFR3mo_PX[[#This Row],[Column989]]</f>
        <v>98.515000000000001</v>
      </c>
      <c r="ALB24">
        <f>SOFR3mo_PX[[#This Row],[Column990]]</f>
        <v>98.474999999999994</v>
      </c>
      <c r="ALC24">
        <f>SOFR3mo_PX[[#This Row],[Column991]]</f>
        <v>98.53</v>
      </c>
      <c r="ALD24">
        <f>SOFR3mo_PX[[#This Row],[Column992]]</f>
        <v>98.53</v>
      </c>
      <c r="ALE24">
        <f>SOFR3mo_PX[[#This Row],[Column993]]</f>
        <v>98.57</v>
      </c>
      <c r="ALF24">
        <f>SOFR3mo_PX[[#This Row],[Column994]]</f>
        <v>98.56</v>
      </c>
      <c r="ALG24">
        <f>SOFR3mo_PX[[#This Row],[Column995]]</f>
        <v>98.555000000000007</v>
      </c>
      <c r="ALH24">
        <f>SOFR3mo_PX[[#This Row],[Column996]]</f>
        <v>98.575000000000003</v>
      </c>
      <c r="ALI24">
        <f>SOFR3mo_PX[[#This Row],[Column997]]</f>
        <v>98.545000000000002</v>
      </c>
      <c r="ALJ24">
        <f>SOFR3mo_PX[[#This Row],[Column998]]</f>
        <v>98.51</v>
      </c>
      <c r="ALK24">
        <f>SOFR3mo_PX[[#This Row],[Column999]]</f>
        <v>98.52</v>
      </c>
      <c r="ALL24">
        <f>SOFR3mo_PX[[#This Row],[Column1000]]</f>
        <v>98.59</v>
      </c>
      <c r="ALM24">
        <f>SOFR3mo_PX[[#This Row],[Column1001]]</f>
        <v>98.63</v>
      </c>
      <c r="ALN24">
        <f>SOFR3mo_PX[[#This Row],[Column1002]]</f>
        <v>98.62</v>
      </c>
      <c r="ALO24">
        <f>SOFR3mo_PX[[#This Row],[Column1003]]</f>
        <v>98.644999999999996</v>
      </c>
      <c r="ALP24">
        <f>SOFR3mo_PX[[#This Row],[Column1004]]</f>
        <v>98.605000000000004</v>
      </c>
      <c r="ALQ24">
        <f>SOFR3mo_PX[[#This Row],[Column1005]]</f>
        <v>98.635000000000005</v>
      </c>
      <c r="ALR24">
        <f>SOFR3mo_PX[[#This Row],[Column1006]]</f>
        <v>98.64</v>
      </c>
      <c r="ALS24">
        <f>SOFR3mo_PX[[#This Row],[Column1007]]</f>
        <v>98.59</v>
      </c>
      <c r="ALT24">
        <f>SOFR3mo_PX[[#This Row],[Column1008]]</f>
        <v>98.504999999999995</v>
      </c>
      <c r="ALU24">
        <f>SOFR3mo_PX[[#This Row],[Column1009]]</f>
        <v>98.52</v>
      </c>
      <c r="ALV24">
        <f>SOFR3mo_PX[[#This Row],[Column1010]]</f>
        <v>98.534999999999997</v>
      </c>
      <c r="ALW24">
        <f>SOFR3mo_PX[[#This Row],[Column1011]]</f>
        <v>98.56</v>
      </c>
      <c r="ALX24">
        <f>SOFR3mo_PX[[#This Row],[Column1012]]</f>
        <v>98.6</v>
      </c>
      <c r="ALY24">
        <f>SOFR3mo_PX[[#This Row],[Column1013]]</f>
        <v>98.685000000000002</v>
      </c>
      <c r="ALZ24">
        <f>SOFR3mo_PX[[#This Row],[Column1014]]</f>
        <v>98.724999999999994</v>
      </c>
      <c r="AMA24">
        <f>SOFR3mo_PX[[#This Row],[Column1015]]</f>
        <v>98.734999999999999</v>
      </c>
      <c r="AMB24">
        <f>SOFR3mo_PX[[#This Row],[Column1016]]</f>
        <v>98.734999999999999</v>
      </c>
      <c r="AMC24">
        <f>SOFR3mo_PX[[#This Row],[Column1017]]</f>
        <v>98.644999999999996</v>
      </c>
      <c r="AMD24">
        <f>SOFR3mo_PX[[#This Row],[Column1018]]</f>
        <v>98.62</v>
      </c>
      <c r="AME24">
        <f>SOFR3mo_PX[[#This Row],[Column1019]]</f>
        <v>98.64</v>
      </c>
      <c r="AMF24">
        <f>SOFR3mo_PX[[#This Row],[Column1020]]</f>
        <v>98.674999999999997</v>
      </c>
      <c r="AMG24">
        <f>SOFR3mo_PX[[#This Row],[Column1021]]</f>
        <v>98.635000000000005</v>
      </c>
      <c r="AMH24">
        <f>SOFR3mo_PX[[#This Row],[Column1022]]</f>
        <v>98.62</v>
      </c>
      <c r="AMI24">
        <f>SOFR3mo_PX[[#This Row],[Column1023]]</f>
        <v>98.64</v>
      </c>
      <c r="AMJ24">
        <f>SOFR3mo_PX[[#This Row],[Column1024]]</f>
        <v>98.63</v>
      </c>
      <c r="AMK24">
        <f>SOFR3mo_PX[[#This Row],[Column1025]]</f>
        <v>98.734999999999999</v>
      </c>
      <c r="AML24">
        <f>SOFR3mo_PX[[#This Row],[Column1026]]</f>
        <v>98.775000000000006</v>
      </c>
      <c r="AMM24">
        <f>SOFR3mo_PX[[#This Row],[Column1027]]</f>
        <v>98.6</v>
      </c>
      <c r="AMN24">
        <f>SOFR3mo_PX[[#This Row],[Column1028]]</f>
        <v>98.6</v>
      </c>
      <c r="AMO24">
        <f>SOFR3mo_PX[[#This Row],[Column1029]]</f>
        <v>98.51</v>
      </c>
      <c r="AMP24">
        <f>SOFR3mo_PX[[#This Row],[Column1030]]</f>
        <v>98.43</v>
      </c>
      <c r="AMQ24">
        <f>SOFR3mo_PX[[#This Row],[Column1031]]</f>
        <v>98.484999999999999</v>
      </c>
      <c r="AMR24">
        <f>SOFR3mo_PX[[#This Row],[Column1032]]</f>
        <v>98.48</v>
      </c>
      <c r="AMS24">
        <f>SOFR3mo_PX[[#This Row],[Column1033]]</f>
        <v>98.57</v>
      </c>
      <c r="AMT24">
        <f>SOFR3mo_PX[[#This Row],[Column1034]]</f>
        <v>98.55</v>
      </c>
      <c r="AMU24">
        <f>SOFR3mo_PX[[#This Row],[Column1035]]</f>
        <v>98.49</v>
      </c>
      <c r="AMV24">
        <f>SOFR3mo_PX[[#This Row],[Column1036]]</f>
        <v>98.4</v>
      </c>
      <c r="AMW24">
        <f>SOFR3mo_PX[[#This Row],[Column1037]]</f>
        <v>98.4</v>
      </c>
      <c r="AMX24">
        <f>SOFR3mo_PX[[#This Row],[Column1038]]</f>
        <v>98.34</v>
      </c>
      <c r="AMY24">
        <f>SOFR3mo_PX[[#This Row],[Column1039]]</f>
        <v>98.38</v>
      </c>
      <c r="AMZ24">
        <f>SOFR3mo_PX[[#This Row],[Column1040]]</f>
        <v>98.325000000000003</v>
      </c>
      <c r="ANA24">
        <f>SOFR3mo_PX[[#This Row],[Column1041]]</f>
        <v>98.32</v>
      </c>
      <c r="ANB24">
        <f>SOFR3mo_PX[[#This Row],[Column1042]]</f>
        <v>98.254999999999995</v>
      </c>
      <c r="ANC24">
        <f>SOFR3mo_PX[[#This Row],[Column1043]]</f>
        <v>98.305000000000007</v>
      </c>
      <c r="AND24">
        <f>SOFR3mo_PX[[#This Row],[Column1044]]</f>
        <v>98.3</v>
      </c>
      <c r="ANE24">
        <f>SOFR3mo_PX[[#This Row],[Column1045]]</f>
        <v>98.334999999999994</v>
      </c>
      <c r="ANF24">
        <f>SOFR3mo_PX[[#This Row],[Column1046]]</f>
        <v>98.334999999999994</v>
      </c>
      <c r="ANG24">
        <f>SOFR3mo_PX[[#This Row],[Column1047]]</f>
        <v>98.37</v>
      </c>
      <c r="ANH24">
        <f>SOFR3mo_PX[[#This Row],[Column1048]]</f>
        <v>98.275000000000006</v>
      </c>
      <c r="ANI24">
        <f>SOFR3mo_PX[[#This Row],[Column1049]]</f>
        <v>98.135000000000005</v>
      </c>
      <c r="ANJ24">
        <f>SOFR3mo_PX[[#This Row],[Column1050]]</f>
        <v>98.29</v>
      </c>
      <c r="ANK24">
        <f>SOFR3mo_PX[[#This Row],[Column1051]]</f>
        <v>98.27</v>
      </c>
      <c r="ANL24">
        <f>SOFR3mo_PX[[#This Row],[Column1052]]</f>
        <v>98.29</v>
      </c>
      <c r="ANM24">
        <f>SOFR3mo_PX[[#This Row],[Column1053]]</f>
        <v>98.31</v>
      </c>
      <c r="ANN24">
        <f>SOFR3mo_PX[[#This Row],[Column1054]]</f>
        <v>98.275000000000006</v>
      </c>
      <c r="ANO24">
        <f>SOFR3mo_PX[[#This Row],[Column1055]]</f>
        <v>98.224999999999994</v>
      </c>
      <c r="ANP24">
        <f>SOFR3mo_PX[[#This Row],[Column1056]]</f>
        <v>98.18</v>
      </c>
      <c r="ANQ24">
        <f>SOFR3mo_PX[[#This Row],[Column1057]]</f>
        <v>98.17</v>
      </c>
      <c r="ANR24">
        <f>SOFR3mo_PX[[#This Row],[Column1058]]</f>
        <v>98.075000000000003</v>
      </c>
      <c r="ANS24">
        <f>SOFR3mo_PX[[#This Row],[Column1059]]</f>
        <v>98.125</v>
      </c>
      <c r="ANT24">
        <f>SOFR3mo_PX[[#This Row],[Column1060]]</f>
        <v>98.09</v>
      </c>
      <c r="ANU24">
        <f>SOFR3mo_PX[[#This Row],[Column1061]]</f>
        <v>98.14</v>
      </c>
      <c r="ANV24">
        <f>SOFR3mo_PX[[#This Row],[Column1062]]</f>
        <v>98.14</v>
      </c>
      <c r="ANW24">
        <f>SOFR3mo_PX[[#This Row],[Column1063]]</f>
        <v>98.135000000000005</v>
      </c>
      <c r="ANX24">
        <f>SOFR3mo_PX[[#This Row],[Column1064]]</f>
        <v>98.18</v>
      </c>
      <c r="ANY24">
        <f>SOFR3mo_PX[[#This Row],[Column1065]]</f>
        <v>98.19</v>
      </c>
      <c r="ANZ24">
        <f>SOFR3mo_PX[[#This Row],[Column1066]]</f>
        <v>98.135000000000005</v>
      </c>
      <c r="AOA24">
        <f>SOFR3mo_PX[[#This Row],[Column1067]]</f>
        <v>98.094999999999999</v>
      </c>
      <c r="AOB24">
        <f>SOFR3mo_PX[[#This Row],[Column1068]]</f>
        <v>98.105000000000004</v>
      </c>
      <c r="AOC24">
        <f>SOFR3mo_PX[[#This Row],[Column1069]]</f>
        <v>98.04</v>
      </c>
      <c r="AOD24">
        <f>SOFR3mo_PX[[#This Row],[Column1070]]</f>
        <v>98.09</v>
      </c>
      <c r="AOE24">
        <f>SOFR3mo_PX[[#This Row],[Column1071]]</f>
        <v>98.094999999999999</v>
      </c>
      <c r="AOF24">
        <f>SOFR3mo_PX[[#This Row],[Column1072]]</f>
        <v>98.105000000000004</v>
      </c>
      <c r="AOG24">
        <f>SOFR3mo_PX[[#This Row],[Column1073]]</f>
        <v>98.064999999999998</v>
      </c>
      <c r="AOH24">
        <f>SOFR3mo_PX[[#This Row],[Column1074]]</f>
        <v>98.01</v>
      </c>
      <c r="AOI24">
        <f>SOFR3mo_PX[[#This Row],[Column1075]]</f>
        <v>98.11</v>
      </c>
      <c r="AOJ24">
        <f>SOFR3mo_PX[[#This Row],[Column1076]]</f>
        <v>98.135000000000005</v>
      </c>
      <c r="AOK24">
        <f>SOFR3mo_PX[[#This Row],[Column1077]]</f>
        <v>98.15</v>
      </c>
      <c r="AOL24">
        <f>SOFR3mo_PX[[#This Row],[Column1078]]</f>
        <v>98.144999999999996</v>
      </c>
      <c r="AOM24">
        <f>SOFR3mo_PX[[#This Row],[Column1079]]</f>
        <v>98.105000000000004</v>
      </c>
      <c r="AON24">
        <f>SOFR3mo_PX[[#This Row],[Column1080]]</f>
        <v>98.08</v>
      </c>
      <c r="AOO24">
        <f>SOFR3mo_PX[[#This Row],[Column1081]]</f>
        <v>98.055000000000007</v>
      </c>
      <c r="AOP24">
        <f>SOFR3mo_PX[[#This Row],[Column1082]]</f>
        <v>98.02</v>
      </c>
      <c r="AOQ24">
        <f>SOFR3mo_PX[[#This Row],[Column1083]]</f>
        <v>98.02</v>
      </c>
      <c r="AOR24">
        <f>SOFR3mo_PX[[#This Row],[Column1084]]</f>
        <v>98.05</v>
      </c>
      <c r="AOS24">
        <f>SOFR3mo_PX[[#This Row],[Column1085]]</f>
        <v>98.06</v>
      </c>
      <c r="AOT24">
        <f>SOFR3mo_PX[[#This Row],[Column1086]]</f>
        <v>98.12</v>
      </c>
      <c r="AOU24">
        <f>SOFR3mo_PX[[#This Row],[Column1087]]</f>
        <v>98.13</v>
      </c>
      <c r="AOV24">
        <f>SOFR3mo_PX[[#This Row],[Column1088]]</f>
        <v>98.155000000000001</v>
      </c>
      <c r="AOW24">
        <f>SOFR3mo_PX[[#This Row],[Column1089]]</f>
        <v>98.14</v>
      </c>
      <c r="AOX24">
        <f>SOFR3mo_PX[[#This Row],[Column1090]]</f>
        <v>98.144999999999996</v>
      </c>
      <c r="AOY24">
        <f>SOFR3mo_PX[[#This Row],[Column1091]]</f>
        <v>98.12</v>
      </c>
      <c r="AOZ24">
        <f>SOFR3mo_PX[[#This Row],[Column1092]]</f>
        <v>98.135000000000005</v>
      </c>
      <c r="APA24">
        <f>SOFR3mo_PX[[#This Row],[Column1093]]</f>
        <v>98.174999999999997</v>
      </c>
      <c r="APB24">
        <f>SOFR3mo_PX[[#This Row],[Column1094]]</f>
        <v>98.03</v>
      </c>
      <c r="APC24">
        <f>SOFR3mo_PX[[#This Row],[Column1095]]</f>
        <v>98.02</v>
      </c>
      <c r="APD24">
        <f>SOFR3mo_PX[[#This Row],[Column1096]]</f>
        <v>97.924999999999997</v>
      </c>
      <c r="APE24">
        <f>SOFR3mo_PX[[#This Row],[Column1097]]</f>
        <v>97.935000000000002</v>
      </c>
      <c r="APF24">
        <f>SOFR3mo_PX[[#This Row],[Column1098]]</f>
        <v>97.965000000000003</v>
      </c>
      <c r="APG24">
        <f>SOFR3mo_PX[[#This Row],[Column1099]]</f>
        <v>97.924999999999997</v>
      </c>
      <c r="APH24">
        <f>SOFR3mo_PX[[#This Row],[Column1100]]</f>
        <v>97.9</v>
      </c>
      <c r="API24">
        <f>SOFR3mo_PX[[#This Row],[Column1101]]</f>
        <v>97.795000000000002</v>
      </c>
      <c r="APJ24">
        <f>SOFR3mo_PX[[#This Row],[Column1102]]</f>
        <v>97.78</v>
      </c>
      <c r="APK24">
        <f>SOFR3mo_PX[[#This Row],[Column1103]]</f>
        <v>97.844999999999999</v>
      </c>
      <c r="APL24">
        <f>SOFR3mo_PX[[#This Row],[Column1104]]</f>
        <v>97.77</v>
      </c>
      <c r="APM24">
        <f>SOFR3mo_PX[[#This Row],[Column1105]]</f>
        <v>97.805000000000007</v>
      </c>
      <c r="APN24">
        <f>SOFR3mo_PX[[#This Row],[Column1106]]</f>
        <v>97.83</v>
      </c>
      <c r="APO24">
        <f>SOFR3mo_PX[[#This Row],[Column1107]]</f>
        <v>97.91</v>
      </c>
      <c r="APP24">
        <f>SOFR3mo_PX[[#This Row],[Column1108]]</f>
        <v>97.97</v>
      </c>
      <c r="APQ24">
        <f>SOFR3mo_PX[[#This Row],[Column1109]]</f>
        <v>97.98</v>
      </c>
      <c r="APR24">
        <f>SOFR3mo_PX[[#This Row],[Column1110]]</f>
        <v>97.96</v>
      </c>
      <c r="APS24">
        <f>SOFR3mo_PX[[#This Row],[Column1111]]</f>
        <v>97.9</v>
      </c>
      <c r="APT24">
        <f>SOFR3mo_PX[[#This Row],[Column1112]]</f>
        <v>97.855000000000004</v>
      </c>
      <c r="APU24">
        <f>SOFR3mo_PX[[#This Row],[Column1113]]</f>
        <v>97.95</v>
      </c>
      <c r="APV24">
        <f>SOFR3mo_PX[[#This Row],[Column1114]]</f>
        <v>98.14</v>
      </c>
      <c r="APW24">
        <f>SOFR3mo_PX[[#This Row],[Column1115]]</f>
        <v>98.165000000000006</v>
      </c>
      <c r="APX24">
        <f>SOFR3mo_PX[[#This Row],[Column1116]]</f>
        <v>98.16</v>
      </c>
      <c r="APY24">
        <f>SOFR3mo_PX[[#This Row],[Column1117]]</f>
        <v>98.144999999999996</v>
      </c>
      <c r="APZ24">
        <f>SOFR3mo_PX[[#This Row],[Column1118]]</f>
        <v>98.215000000000003</v>
      </c>
      <c r="AQA24">
        <f>SOFR3mo_PX[[#This Row],[Column1119]]</f>
        <v>98.25</v>
      </c>
      <c r="AQB24">
        <f>SOFR3mo_PX[[#This Row],[Column1120]]</f>
        <v>98.22</v>
      </c>
      <c r="AQC24">
        <f>SOFR3mo_PX[[#This Row],[Column1121]]</f>
        <v>98.165000000000006</v>
      </c>
      <c r="AQD24">
        <f>SOFR3mo_PX[[#This Row],[Column1122]]</f>
        <v>98.23</v>
      </c>
      <c r="AQE24">
        <f>SOFR3mo_PX[[#This Row],[Column1123]]</f>
        <v>98.22</v>
      </c>
      <c r="AQF24">
        <f>SOFR3mo_PX[[#This Row],[Column1124]]</f>
        <v>98.284999999999997</v>
      </c>
      <c r="AQG24">
        <f>SOFR3mo_PX[[#This Row],[Column1125]]</f>
        <v>98.34</v>
      </c>
      <c r="AQH24">
        <f>SOFR3mo_PX[[#This Row],[Column1126]]</f>
        <v>98.3</v>
      </c>
      <c r="AQI24">
        <f>SOFR3mo_PX[[#This Row],[Column1127]]</f>
        <v>98.245000000000005</v>
      </c>
      <c r="AQJ24">
        <f>SOFR3mo_PX[[#This Row],[Column1128]]</f>
        <v>98.25</v>
      </c>
      <c r="AQK24">
        <f>SOFR3mo_PX[[#This Row],[Column1129]]</f>
        <v>98.39</v>
      </c>
      <c r="AQL24">
        <f>SOFR3mo_PX[[#This Row],[Column1130]]</f>
        <v>98.415000000000006</v>
      </c>
      <c r="AQM24">
        <f>SOFR3mo_PX[[#This Row],[Column1131]]</f>
        <v>98.405000000000001</v>
      </c>
      <c r="AQN24">
        <f>SOFR3mo_PX[[#This Row],[Column1132]]</f>
        <v>98.44</v>
      </c>
      <c r="AQO24">
        <f>SOFR3mo_PX[[#This Row],[Column1133]]</f>
        <v>98.484999999999999</v>
      </c>
      <c r="AQP24">
        <f>SOFR3mo_PX[[#This Row],[Column1134]]</f>
        <v>98.51</v>
      </c>
      <c r="AQQ24">
        <f>SOFR3mo_PX[[#This Row],[Column1135]]</f>
        <v>98.534999999999997</v>
      </c>
      <c r="AQR24">
        <f>SOFR3mo_PX[[#This Row],[Column1136]]</f>
        <v>98.655000000000001</v>
      </c>
      <c r="AQS24">
        <f>SOFR3mo_PX[[#This Row],[Column1137]]</f>
        <v>98.655000000000001</v>
      </c>
      <c r="AQT24">
        <f>SOFR3mo_PX[[#This Row],[Column1138]]</f>
        <v>98.724999999999994</v>
      </c>
      <c r="AQU24">
        <f>SOFR3mo_PX[[#This Row],[Column1139]]</f>
        <v>98.734999999999999</v>
      </c>
      <c r="AQV24">
        <f>SOFR3mo_PX[[#This Row],[Column1140]]</f>
        <v>98.72</v>
      </c>
      <c r="AQW24">
        <f>SOFR3mo_PX[[#This Row],[Column1141]]</f>
        <v>98.71</v>
      </c>
      <c r="AQX24">
        <f>SOFR3mo_PX[[#This Row],[Column1142]]</f>
        <v>98.73</v>
      </c>
      <c r="AQY24">
        <f>SOFR3mo_PX[[#This Row],[Column1143]]</f>
        <v>98.734999999999999</v>
      </c>
      <c r="AQZ24">
        <f>SOFR3mo_PX[[#This Row],[Column1144]]</f>
        <v>98.84</v>
      </c>
      <c r="ARA24">
        <f>SOFR3mo_PX[[#This Row],[Column1145]]</f>
        <v>98.855000000000004</v>
      </c>
      <c r="ARB24">
        <f>SOFR3mo_PX[[#This Row],[Column1146]]</f>
        <v>98.88</v>
      </c>
      <c r="ARC24">
        <f>SOFR3mo_PX[[#This Row],[Column1147]]</f>
        <v>98.88</v>
      </c>
      <c r="ARD24">
        <f>SOFR3mo_PX[[#This Row],[Column1148]]</f>
        <v>98.885000000000005</v>
      </c>
      <c r="ARE24">
        <f>SOFR3mo_PX[[#This Row],[Column1149]]</f>
        <v>98.89</v>
      </c>
      <c r="ARF24">
        <f>SOFR3mo_PX[[#This Row],[Column1150]]</f>
        <v>98.885000000000005</v>
      </c>
      <c r="ARG24">
        <f>SOFR3mo_PX[[#This Row],[Column1151]]</f>
        <v>98.89</v>
      </c>
      <c r="ARH24">
        <f>SOFR3mo_PX[[#This Row],[Column1152]]</f>
        <v>98.89</v>
      </c>
      <c r="ARI24">
        <f>SOFR3mo_PX[[#This Row],[Column1153]]</f>
        <v>98.885000000000005</v>
      </c>
      <c r="ARJ24">
        <f>SOFR3mo_PX[[#This Row],[Column1154]]</f>
        <v>98.9</v>
      </c>
      <c r="ARK24">
        <f>SOFR3mo_PX[[#This Row],[Column1155]]</f>
        <v>98.9</v>
      </c>
      <c r="ARL24">
        <f>SOFR3mo_PX[[#This Row],[Column1156]]</f>
        <v>98.89</v>
      </c>
      <c r="ARM24">
        <f>SOFR3mo_PX[[#This Row],[Column1157]]</f>
        <v>98.89</v>
      </c>
      <c r="ARN24">
        <f>SOFR3mo_PX[[#This Row],[Column1158]]</f>
        <v>98.92</v>
      </c>
      <c r="ARO24">
        <f>SOFR3mo_PX[[#This Row],[Column1159]]</f>
        <v>98.905000000000001</v>
      </c>
      <c r="ARP24">
        <f>SOFR3mo_PX[[#This Row],[Column1160]]</f>
        <v>98.88</v>
      </c>
      <c r="ARQ24">
        <f>SOFR3mo_PX[[#This Row],[Column1161]]</f>
        <v>98.885000000000005</v>
      </c>
      <c r="ARR24">
        <f>SOFR3mo_PX[[#This Row],[Column1162]]</f>
        <v>98.89</v>
      </c>
      <c r="ARS24">
        <f>SOFR3mo_PX[[#This Row],[Column1163]]</f>
        <v>98.93</v>
      </c>
      <c r="ART24">
        <f>SOFR3mo_PX[[#This Row],[Column1164]]</f>
        <v>99.08</v>
      </c>
      <c r="ARU24">
        <f>SOFR3mo_PX[[#This Row],[Column1165]]</f>
        <v>99.125</v>
      </c>
      <c r="ARV24">
        <f>SOFR3mo_PX[[#This Row],[Column1166]]</f>
        <v>99.135000000000005</v>
      </c>
      <c r="ARW24">
        <f>SOFR3mo_PX[[#This Row],[Column1167]]</f>
        <v>99.125</v>
      </c>
      <c r="ARX24">
        <f>SOFR3mo_PX[[#This Row],[Column1168]]</f>
        <v>99.125</v>
      </c>
      <c r="ARY24">
        <f>SOFR3mo_PX[[#This Row],[Column1169]]</f>
        <v>99.114999999999995</v>
      </c>
      <c r="ARZ24">
        <f>SOFR3mo_PX[[#This Row],[Column1170]]</f>
        <v>99.1</v>
      </c>
      <c r="ASA24">
        <f>SOFR3mo_PX[[#This Row],[Column1171]]</f>
        <v>99.094999999999999</v>
      </c>
      <c r="ASB24">
        <f>SOFR3mo_PX[[#This Row],[Column1172]]</f>
        <v>99.1</v>
      </c>
      <c r="ASC24">
        <f>SOFR3mo_PX[[#This Row],[Column1173]]</f>
        <v>99.1</v>
      </c>
      <c r="ASD24">
        <f>SOFR3mo_PX[[#This Row],[Column1174]]</f>
        <v>99.1</v>
      </c>
      <c r="ASE24">
        <f>SOFR3mo_PX[[#This Row],[Column1175]]</f>
        <v>99.105000000000004</v>
      </c>
      <c r="ASF24">
        <f>SOFR3mo_PX[[#This Row],[Column1176]]</f>
        <v>99.1</v>
      </c>
      <c r="ASG24">
        <f>SOFR3mo_PX[[#This Row],[Column1177]]</f>
        <v>99.1</v>
      </c>
      <c r="ASH24">
        <f>SOFR3mo_PX[[#This Row],[Column1178]]</f>
        <v>99.165000000000006</v>
      </c>
      <c r="ASI24">
        <f>SOFR3mo_PX[[#This Row],[Column1179]]</f>
        <v>99.174999999999997</v>
      </c>
      <c r="ASJ24">
        <f>SOFR3mo_PX[[#This Row],[Column1180]]</f>
        <v>99.24</v>
      </c>
      <c r="ASK24">
        <f>SOFR3mo_PX[[#This Row],[Column1181]]</f>
        <v>99.24</v>
      </c>
      <c r="ASL24">
        <f>SOFR3mo_PX[[#This Row],[Column1182]]</f>
        <v>99.24</v>
      </c>
      <c r="ASM24">
        <f>SOFR3mo_PX[[#This Row],[Column1183]]</f>
        <v>99.204999999999998</v>
      </c>
      <c r="ASN24">
        <f>SOFR3mo_PX[[#This Row],[Column1184]]</f>
        <v>99.534999999999997</v>
      </c>
      <c r="ASO24">
        <f>SOFR3mo_PX[[#This Row],[Column1185]]</f>
        <v>99.64</v>
      </c>
      <c r="ASP24">
        <f>SOFR3mo_PX[[#This Row],[Column1186]]</f>
        <v>99.64</v>
      </c>
      <c r="ASQ24">
        <f>SOFR3mo_PX[[#This Row],[Column1187]]</f>
        <v>99.65</v>
      </c>
      <c r="ASR24">
        <f>SOFR3mo_PX[[#This Row],[Column1188]]</f>
        <v>99.665000000000006</v>
      </c>
      <c r="ASS24">
        <f>SOFR3mo_PX[[#This Row],[Column1189]]</f>
        <v>99.67</v>
      </c>
      <c r="AST24">
        <f>SOFR3mo_PX[[#This Row],[Column1190]]</f>
        <v>99.674999999999997</v>
      </c>
      <c r="ASU24">
        <f>SOFR3mo_PX[[#This Row],[Column1191]]</f>
        <v>99.7</v>
      </c>
      <c r="ASV24">
        <f>SOFR3mo_PX[[#This Row],[Column1192]]</f>
        <v>99.704999999999998</v>
      </c>
      <c r="ASW24">
        <f>SOFR3mo_PX[[#This Row],[Column1193]]</f>
        <v>99.7</v>
      </c>
      <c r="ASX24">
        <f>SOFR3mo_PX[[#This Row],[Column1194]]</f>
        <v>99.7</v>
      </c>
      <c r="ASY24">
        <f>SOFR3mo_PX[[#This Row],[Column1195]]</f>
        <v>99.694999999999993</v>
      </c>
      <c r="ASZ24">
        <f>SOFR3mo_PX[[#This Row],[Column1196]]</f>
        <v>99.69</v>
      </c>
      <c r="ATA24">
        <f>SOFR3mo_PX[[#This Row],[Column1197]]</f>
        <v>99.704999999999998</v>
      </c>
      <c r="ATB24">
        <f>SOFR3mo_PX[[#This Row],[Column1198]]</f>
        <v>99.7</v>
      </c>
      <c r="ATC24">
        <f>SOFR3mo_PX[[#This Row],[Column1199]]</f>
        <v>99.7</v>
      </c>
      <c r="ATD24">
        <f>SOFR3mo_PX[[#This Row],[Column1200]]</f>
        <v>99.704999999999998</v>
      </c>
      <c r="ATE24">
        <f>SOFR3mo_PX[[#This Row],[Column1201]]</f>
        <v>99.694999999999993</v>
      </c>
      <c r="ATF24">
        <f>SOFR3mo_PX[[#This Row],[Column1202]]</f>
        <v>99.694999999999993</v>
      </c>
      <c r="ATG24">
        <f>SOFR3mo_PX[[#This Row],[Column1203]]</f>
        <v>99.69</v>
      </c>
      <c r="ATH24">
        <f>SOFR3mo_PX[[#This Row],[Column1204]]</f>
        <v>99.67</v>
      </c>
      <c r="ATI24">
        <f>SOFR3mo_PX[[#This Row],[Column1205]]</f>
        <v>99.67</v>
      </c>
      <c r="ATJ24">
        <f>SOFR3mo_PX[[#This Row],[Column1206]]</f>
        <v>99.704999999999998</v>
      </c>
      <c r="ATK24">
        <f>SOFR3mo_PX[[#This Row],[Column1207]]</f>
        <v>99.75</v>
      </c>
      <c r="ATL24">
        <f>SOFR3mo_PX[[#This Row],[Column1208]]</f>
        <v>99.754999999999995</v>
      </c>
      <c r="ATM24">
        <f>SOFR3mo_PX[[#This Row],[Column1209]]</f>
        <v>99.775000000000006</v>
      </c>
      <c r="ATN24">
        <f>SOFR3mo_PX[[#This Row],[Column1210]]</f>
        <v>99.745000000000005</v>
      </c>
      <c r="ATO24">
        <f>SOFR3mo_PX[[#This Row],[Column1211]]</f>
        <v>99.754999999999995</v>
      </c>
      <c r="ATP24">
        <f>SOFR3mo_PX[[#This Row],[Column1212]]</f>
        <v>99.75</v>
      </c>
      <c r="ATQ24">
        <f>SOFR3mo_PX[[#This Row],[Column1213]]</f>
        <v>99.754999999999995</v>
      </c>
      <c r="ATR24">
        <f>SOFR3mo_PX[[#This Row],[Column1214]]</f>
        <v>99.765000000000001</v>
      </c>
      <c r="ATS24">
        <f>SOFR3mo_PX[[#This Row],[Column1215]]</f>
        <v>99.765000000000001</v>
      </c>
      <c r="ATT24">
        <f>SOFR3mo_PX[[#This Row],[Column1216]]</f>
        <v>99.76</v>
      </c>
      <c r="ATU24">
        <f>SOFR3mo_PX[[#This Row],[Column1217]]</f>
        <v>99.75</v>
      </c>
      <c r="ATV24">
        <f>SOFR3mo_PX[[#This Row],[Column1218]]</f>
        <v>99.74</v>
      </c>
      <c r="ATW24">
        <f>SOFR3mo_PX[[#This Row],[Column1219]]</f>
        <v>99.765000000000001</v>
      </c>
      <c r="ATX24">
        <f>SOFR3mo_PX[[#This Row],[Column1220]]</f>
        <v>99.765000000000001</v>
      </c>
      <c r="ATY24">
        <f>SOFR3mo_PX[[#This Row],[Column1221]]</f>
        <v>99.775000000000006</v>
      </c>
      <c r="ATZ24">
        <f>SOFR3mo_PX[[#This Row],[Column1222]]</f>
        <v>99.784999999999997</v>
      </c>
      <c r="AUA24">
        <f>SOFR3mo_PX[[#This Row],[Column1223]]</f>
        <v>99.78</v>
      </c>
      <c r="AUB24">
        <f>SOFR3mo_PX[[#This Row],[Column1224]]</f>
        <v>99.784999999999997</v>
      </c>
      <c r="AUC24">
        <f>SOFR3mo_PX[[#This Row],[Column1225]]</f>
        <v>99.78</v>
      </c>
      <c r="AUD24">
        <f>SOFR3mo_PX[[#This Row],[Column1226]]</f>
        <v>99.765000000000001</v>
      </c>
      <c r="AUE24">
        <f>SOFR3mo_PX[[#This Row],[Column1227]]</f>
        <v>99.76</v>
      </c>
      <c r="AUF24">
        <f>SOFR3mo_PX[[#This Row],[Column1228]]</f>
        <v>99.775000000000006</v>
      </c>
      <c r="AUG24">
        <f>SOFR3mo_PX[[#This Row],[Column1229]]</f>
        <v>99.77</v>
      </c>
      <c r="AUH24">
        <f>SOFR3mo_PX[[#This Row],[Column1230]]</f>
        <v>99.795000000000002</v>
      </c>
      <c r="AUI24">
        <f>SOFR3mo_PX[[#This Row],[Column1231]]</f>
        <v>99.795000000000002</v>
      </c>
      <c r="AUJ24">
        <f>SOFR3mo_PX[[#This Row],[Column1232]]</f>
        <v>99.844999999999999</v>
      </c>
      <c r="AUK24">
        <f>SOFR3mo_PX[[#This Row],[Column1233]]</f>
        <v>99.844999999999999</v>
      </c>
      <c r="AUL24">
        <f>SOFR3mo_PX[[#This Row],[Column1234]]</f>
        <v>99.844999999999999</v>
      </c>
      <c r="AUM24">
        <f>SOFR3mo_PX[[#This Row],[Column1235]]</f>
        <v>99.85</v>
      </c>
      <c r="AUN24">
        <f>SOFR3mo_PX[[#This Row],[Column1236]]</f>
        <v>99.85</v>
      </c>
      <c r="AUO24">
        <f>SOFR3mo_PX[[#This Row],[Column1237]]</f>
        <v>99.86</v>
      </c>
      <c r="AUP24">
        <f>SOFR3mo_PX[[#This Row],[Column1238]]</f>
        <v>99.86</v>
      </c>
      <c r="AUQ24">
        <f>SOFR3mo_PX[[#This Row],[Column1239]]</f>
        <v>99.864999999999995</v>
      </c>
      <c r="AUR24">
        <f>SOFR3mo_PX[[#This Row],[Column1240]]</f>
        <v>99.864999999999995</v>
      </c>
      <c r="AUS24">
        <f>SOFR3mo_PX[[#This Row],[Column1241]]</f>
        <v>99.855000000000004</v>
      </c>
      <c r="AUT24">
        <f>SOFR3mo_PX[[#This Row],[Column1242]]</f>
        <v>99.834999999999994</v>
      </c>
      <c r="AUU24">
        <f>SOFR3mo_PX[[#This Row],[Column1243]]</f>
        <v>99.85</v>
      </c>
      <c r="AUV24">
        <f>SOFR3mo_PX[[#This Row],[Column1244]]</f>
        <v>99.844999999999999</v>
      </c>
      <c r="AUW24">
        <f>SOFR3mo_PX[[#This Row],[Column1245]]</f>
        <v>99.875</v>
      </c>
      <c r="AUX24">
        <f>SOFR3mo_PX[[#This Row],[Column1246]]</f>
        <v>99.88</v>
      </c>
      <c r="AUY24">
        <f>SOFR3mo_PX[[#This Row],[Column1247]]</f>
        <v>99.87</v>
      </c>
      <c r="AUZ24">
        <f>SOFR3mo_PX[[#This Row],[Column1248]]</f>
        <v>99.844999999999999</v>
      </c>
      <c r="AVA24">
        <f>SOFR3mo_PX[[#This Row],[Column1249]]</f>
        <v>99.84</v>
      </c>
      <c r="AVB24">
        <f>SOFR3mo_PX[[#This Row],[Column1250]]</f>
        <v>99.844999999999999</v>
      </c>
      <c r="AVC24">
        <f>SOFR3mo_PX[[#This Row],[Column1251]]</f>
        <v>99.834999999999994</v>
      </c>
      <c r="AVD24">
        <f>SOFR3mo_PX[[#This Row],[Column1252]]</f>
        <v>99.834999999999994</v>
      </c>
      <c r="AVE24">
        <f>SOFR3mo_PX[[#This Row],[Column1253]]</f>
        <v>99.864999999999995</v>
      </c>
      <c r="AVF24">
        <f>SOFR3mo_PX[[#This Row],[Column1254]]</f>
        <v>99.855000000000004</v>
      </c>
      <c r="AVG24">
        <f>SOFR3mo_PX[[#This Row],[Column1255]]</f>
        <v>99.864999999999995</v>
      </c>
      <c r="AVH24">
        <f>SOFR3mo_PX[[#This Row],[Column1256]]</f>
        <v>99.86</v>
      </c>
      <c r="AVI24">
        <f>SOFR3mo_PX[[#This Row],[Column1257]]</f>
        <v>99.855000000000004</v>
      </c>
      <c r="AVJ24">
        <f>SOFR3mo_PX[[#This Row],[Column1258]]</f>
        <v>99.834999999999994</v>
      </c>
      <c r="AVK24">
        <f>SOFR3mo_PX[[#This Row],[Column1259]]</f>
        <v>99.844999999999999</v>
      </c>
      <c r="AVL24">
        <f>SOFR3mo_PX[[#This Row],[Column1260]]</f>
        <v>99.85</v>
      </c>
      <c r="AVM24">
        <f>SOFR3mo_PX[[#This Row],[Column1261]]</f>
        <v>99.86</v>
      </c>
      <c r="AVN24">
        <f>SOFR3mo_PX[[#This Row],[Column1262]]</f>
        <v>99.855000000000004</v>
      </c>
      <c r="AVO24">
        <f>SOFR3mo_PX[[#This Row],[Column1263]]</f>
        <v>99.864999999999995</v>
      </c>
      <c r="AVP24">
        <f>SOFR3mo_PX[[#This Row],[Column1264]]</f>
        <v>99.864999999999995</v>
      </c>
      <c r="AVQ24">
        <f>SOFR3mo_PX[[#This Row],[Column1265]]</f>
        <v>99.855000000000004</v>
      </c>
      <c r="AVR24">
        <f>SOFR3mo_PX[[#This Row],[Column1266]]</f>
        <v>99.84</v>
      </c>
      <c r="AVS24">
        <f>SOFR3mo_PX[[#This Row],[Column1267]]</f>
        <v>99.83</v>
      </c>
      <c r="AVT24">
        <f>SOFR3mo_PX[[#This Row],[Column1268]]</f>
        <v>99.83</v>
      </c>
      <c r="AVU24">
        <f>SOFR3mo_PX[[#This Row],[Column1269]]</f>
        <v>99.834999999999994</v>
      </c>
      <c r="AVV24">
        <f>SOFR3mo_PX[[#This Row],[Column1270]]</f>
        <v>99.834999999999994</v>
      </c>
      <c r="AVW24">
        <f>SOFR3mo_PX[[#This Row],[Column1271]]</f>
        <v>99.87</v>
      </c>
      <c r="AVX24">
        <f>SOFR3mo_PX[[#This Row],[Column1272]]</f>
        <v>99.88</v>
      </c>
      <c r="AVY24">
        <f>SOFR3mo_PX[[#This Row],[Column1273]]</f>
        <v>99.9</v>
      </c>
      <c r="AVZ24">
        <f>SOFR3mo_PX[[#This Row],[Column1274]]</f>
        <v>99.905000000000001</v>
      </c>
      <c r="AWA24">
        <f>SOFR3mo_PX[[#This Row],[Column1275]]</f>
        <v>99.915000000000006</v>
      </c>
      <c r="AWB24">
        <f>SOFR3mo_PX[[#This Row],[Column1276]]</f>
        <v>99.905000000000001</v>
      </c>
      <c r="AWC24">
        <f>SOFR3mo_PX[[#This Row],[Column1277]]</f>
        <v>99.9</v>
      </c>
      <c r="AWD24">
        <f>SOFR3mo_PX[[#This Row],[Column1278]]</f>
        <v>99.894999999999996</v>
      </c>
      <c r="AWE24">
        <f>SOFR3mo_PX[[#This Row],[Column1279]]</f>
        <v>99.875</v>
      </c>
      <c r="AWF24">
        <f>SOFR3mo_PX[[#This Row],[Column1280]]</f>
        <v>99.864999999999995</v>
      </c>
      <c r="AWG24">
        <f>SOFR3mo_PX[[#This Row],[Column1281]]</f>
        <v>99.86</v>
      </c>
      <c r="AWH24">
        <f>SOFR3mo_PX[[#This Row],[Column1282]]</f>
        <v>99.87</v>
      </c>
      <c r="AWI24">
        <f>SOFR3mo_PX[[#This Row],[Column1283]]</f>
        <v>99.875</v>
      </c>
      <c r="AWJ24">
        <f>SOFR3mo_PX[[#This Row],[Column1284]]</f>
        <v>99.875</v>
      </c>
      <c r="AWK24">
        <f>SOFR3mo_PX[[#This Row],[Column1285]]</f>
        <v>99.87</v>
      </c>
      <c r="AWL24">
        <f>SOFR3mo_PX[[#This Row],[Column1286]]</f>
        <v>99.87</v>
      </c>
      <c r="AWM24">
        <f>SOFR3mo_PX[[#This Row],[Column1287]]</f>
        <v>99.864999999999995</v>
      </c>
      <c r="AWN24">
        <f>SOFR3mo_PX[[#This Row],[Column1288]]</f>
        <v>99.864999999999995</v>
      </c>
      <c r="AWO24">
        <f>SOFR3mo_PX[[#This Row],[Column1289]]</f>
        <v>99.86</v>
      </c>
      <c r="AWP24">
        <f>SOFR3mo_PX[[#This Row],[Column1290]]</f>
        <v>99.87</v>
      </c>
      <c r="AWQ24">
        <f>SOFR3mo_PX[[#This Row],[Column1291]]</f>
        <v>99.87</v>
      </c>
      <c r="AWR24">
        <f>SOFR3mo_PX[[#This Row],[Column1292]]</f>
        <v>99.885000000000005</v>
      </c>
      <c r="AWS24">
        <f>SOFR3mo_PX[[#This Row],[Column1293]]</f>
        <v>99.9</v>
      </c>
      <c r="AWT24">
        <f>SOFR3mo_PX[[#This Row],[Column1294]]</f>
        <v>99.885000000000005</v>
      </c>
      <c r="AWU24">
        <f>SOFR3mo_PX[[#This Row],[Column1295]]</f>
        <v>99.88</v>
      </c>
      <c r="AWV24">
        <f>SOFR3mo_PX[[#This Row],[Column1296]]</f>
        <v>99.875</v>
      </c>
      <c r="AWW24">
        <f>SOFR3mo_PX[[#This Row],[Column1297]]</f>
        <v>99.875</v>
      </c>
      <c r="AWX24">
        <f>SOFR3mo_PX[[#This Row],[Column1298]]</f>
        <v>99.875</v>
      </c>
      <c r="AWY24">
        <f>SOFR3mo_PX[[#This Row],[Column1299]]</f>
        <v>99.864999999999995</v>
      </c>
      <c r="AWZ24">
        <f>SOFR3mo_PX[[#This Row],[Column1300]]</f>
        <v>99.885000000000005</v>
      </c>
      <c r="AXA24">
        <f>SOFR3mo_PX[[#This Row],[Column1301]]</f>
        <v>99.885000000000005</v>
      </c>
      <c r="AXB24">
        <f>SOFR3mo_PX[[#This Row],[Column1302]]</f>
        <v>99.875</v>
      </c>
      <c r="AXC24">
        <f>SOFR3mo_PX[[#This Row],[Column1303]]</f>
        <v>99.855000000000004</v>
      </c>
      <c r="AXD24">
        <f>SOFR3mo_PX[[#This Row],[Column1304]]</f>
        <v>99.855000000000004</v>
      </c>
      <c r="AXE24">
        <f>SOFR3mo_PX[[#This Row],[Column1305]]</f>
        <v>99.855000000000004</v>
      </c>
      <c r="AXF24">
        <f>SOFR3mo_PX[[#This Row],[Column1306]]</f>
        <v>99.85</v>
      </c>
      <c r="AXG24">
        <f>SOFR3mo_PX[[#This Row],[Column1307]]</f>
        <v>99.84</v>
      </c>
      <c r="AXH24">
        <f>SOFR3mo_PX[[#This Row],[Column1308]]</f>
        <v>99.82</v>
      </c>
      <c r="AXI24">
        <f>SOFR3mo_PX[[#This Row],[Column1309]]</f>
        <v>99.814999999999998</v>
      </c>
      <c r="AXJ24">
        <f>SOFR3mo_PX[[#This Row],[Column1310]]</f>
        <v>99.805000000000007</v>
      </c>
      <c r="AXK24">
        <f>SOFR3mo_PX[[#This Row],[Column1311]]</f>
        <v>99.82</v>
      </c>
      <c r="AXL24">
        <f>SOFR3mo_PX[[#This Row],[Column1312]]</f>
        <v>99.81</v>
      </c>
      <c r="AXM24">
        <f>SOFR3mo_PX[[#This Row],[Column1313]]</f>
        <v>99.82</v>
      </c>
      <c r="AXN24">
        <f>SOFR3mo_PX[[#This Row],[Column1314]]</f>
        <v>99.795000000000002</v>
      </c>
      <c r="AXO24">
        <f>SOFR3mo_PX[[#This Row],[Column1315]]</f>
        <v>99.745000000000005</v>
      </c>
      <c r="AXP24">
        <f>SOFR3mo_PX[[#This Row],[Column1316]]</f>
        <v>99.71</v>
      </c>
      <c r="AXQ24">
        <f>SOFR3mo_PX[[#This Row],[Column1317]]</f>
        <v>99.704999999999998</v>
      </c>
      <c r="AXR24">
        <f>SOFR3mo_PX[[#This Row],[Column1318]]</f>
        <v>99.77</v>
      </c>
      <c r="AXS24">
        <f>SOFR3mo_PX[[#This Row],[Column1319]]</f>
        <v>99.784999999999997</v>
      </c>
      <c r="AXT24">
        <f>SOFR3mo_PX[[#This Row],[Column1320]]</f>
        <v>99.82</v>
      </c>
      <c r="AXU24">
        <f>SOFR3mo_PX[[#This Row],[Column1321]]</f>
        <v>99.825000000000003</v>
      </c>
      <c r="AXV24">
        <f>SOFR3mo_PX[[#This Row],[Column1322]]</f>
        <v>99.814999999999998</v>
      </c>
      <c r="AXW24">
        <f>SOFR3mo_PX[[#This Row],[Column1323]]</f>
        <v>99.795000000000002</v>
      </c>
      <c r="AXX24">
        <f>SOFR3mo_PX[[#This Row],[Column1324]]</f>
        <v>99.8</v>
      </c>
      <c r="AXY24">
        <f>SOFR3mo_PX[[#This Row],[Column1325]]</f>
        <v>99.805000000000007</v>
      </c>
      <c r="AXZ24">
        <f>SOFR3mo_PX[[#This Row],[Column1326]]</f>
        <v>99.81</v>
      </c>
      <c r="AYA24">
        <f>SOFR3mo_PX[[#This Row],[Column1327]]</f>
        <v>99.81</v>
      </c>
      <c r="AYB24">
        <f>SOFR3mo_PX[[#This Row],[Column1328]]</f>
        <v>99.805000000000007</v>
      </c>
      <c r="AYC24">
        <f>SOFR3mo_PX[[#This Row],[Column1329]]</f>
        <v>99.805000000000007</v>
      </c>
      <c r="AYD24">
        <f>SOFR3mo_PX[[#This Row],[Column1330]]</f>
        <v>99.81</v>
      </c>
      <c r="AYE24">
        <f>SOFR3mo_PX[[#This Row],[Column1331]]</f>
        <v>99.81</v>
      </c>
      <c r="AYF24">
        <f>SOFR3mo_PX[[#This Row],[Column1332]]</f>
        <v>99.855000000000004</v>
      </c>
      <c r="AYG24">
        <f>SOFR3mo_PX[[#This Row],[Column1333]]</f>
        <v>99.83</v>
      </c>
      <c r="AYH24">
        <f>SOFR3mo_PX[[#This Row],[Column1334]]</f>
        <v>99.82</v>
      </c>
      <c r="AYI24">
        <f>SOFR3mo_PX[[#This Row],[Column1335]]</f>
        <v>99.8</v>
      </c>
      <c r="AYJ24">
        <f>SOFR3mo_PX[[#This Row],[Column1336]]</f>
        <v>99.8</v>
      </c>
      <c r="AYK24">
        <f>SOFR3mo_PX[[#This Row],[Column1337]]</f>
        <v>99.82</v>
      </c>
      <c r="AYL24">
        <f>SOFR3mo_PX[[#This Row],[Column1338]]</f>
        <v>99.83</v>
      </c>
      <c r="AYM24">
        <f>SOFR3mo_PX[[#This Row],[Column1339]]</f>
        <v>99.775000000000006</v>
      </c>
      <c r="AYN24">
        <f>SOFR3mo_PX[[#This Row],[Column1340]]</f>
        <v>99.76</v>
      </c>
      <c r="AYO24">
        <f>SOFR3mo_PX[[#This Row],[Column1341]]</f>
        <v>99.765000000000001</v>
      </c>
      <c r="AYP24">
        <f>SOFR3mo_PX[[#This Row],[Column1342]]</f>
        <v>99.75</v>
      </c>
      <c r="AYQ24">
        <f>SOFR3mo_PX[[#This Row],[Column1343]]</f>
        <v>99.754999999999995</v>
      </c>
      <c r="AYR24">
        <f>SOFR3mo_PX[[#This Row],[Column1344]]</f>
        <v>99.745000000000005</v>
      </c>
      <c r="AYS24">
        <f>SOFR3mo_PX[[#This Row],[Column1345]]</f>
        <v>99.73</v>
      </c>
      <c r="AYT24">
        <f>SOFR3mo_PX[[#This Row],[Column1346]]</f>
        <v>99.724999999999994</v>
      </c>
      <c r="AYU24">
        <f>SOFR3mo_PX[[#This Row],[Column1347]]</f>
        <v>99.734999999999999</v>
      </c>
      <c r="AYV24">
        <f>SOFR3mo_PX[[#This Row],[Column1348]]</f>
        <v>99.734999999999999</v>
      </c>
      <c r="AYW24">
        <f>SOFR3mo_PX[[#This Row],[Column1349]]</f>
        <v>99.73</v>
      </c>
      <c r="AYX24">
        <f>SOFR3mo_PX[[#This Row],[Column1350]]</f>
        <v>99.74</v>
      </c>
      <c r="AYY24">
        <f>SOFR3mo_PX[[#This Row],[Column1351]]</f>
        <v>99.72</v>
      </c>
      <c r="AYZ24">
        <f>SOFR3mo_PX[[#This Row],[Column1352]]</f>
        <v>99.71</v>
      </c>
      <c r="AZA24">
        <f>SOFR3mo_PX[[#This Row],[Column1353]]</f>
        <v>99.694999999999993</v>
      </c>
      <c r="AZB24">
        <f>SOFR3mo_PX[[#This Row],[Column1354]]</f>
        <v>99.685000000000002</v>
      </c>
      <c r="AZC24">
        <f>SOFR3mo_PX[[#This Row],[Column1355]]</f>
        <v>99.655000000000001</v>
      </c>
      <c r="AZD24">
        <f>SOFR3mo_PX[[#This Row],[Column1356]]</f>
        <v>99.64</v>
      </c>
      <c r="AZE24">
        <f>SOFR3mo_PX[[#This Row],[Column1357]]</f>
        <v>99.65</v>
      </c>
      <c r="AZF24">
        <f>SOFR3mo_PX[[#This Row],[Column1358]]</f>
        <v>99.65</v>
      </c>
      <c r="AZG24">
        <f>SOFR3mo_PX[[#This Row],[Column1359]]</f>
        <v>99.63</v>
      </c>
      <c r="AZH24">
        <f>SOFR3mo_PX[[#This Row],[Column1360]]</f>
        <v>99.614999999999995</v>
      </c>
      <c r="AZI24">
        <f>SOFR3mo_PX[[#This Row],[Column1361]]</f>
        <v>99.66</v>
      </c>
      <c r="AZJ24">
        <f>SOFR3mo_PX[[#This Row],[Column1362]]</f>
        <v>99.72</v>
      </c>
      <c r="AZK24">
        <f>SOFR3mo_PX[[#This Row],[Column1363]]</f>
        <v>99.715000000000003</v>
      </c>
      <c r="AZL24">
        <f>SOFR3mo_PX[[#This Row],[Column1364]]</f>
        <v>99.73</v>
      </c>
      <c r="AZM24">
        <f>SOFR3mo_PX[[#This Row],[Column1365]]</f>
        <v>99.704999999999998</v>
      </c>
      <c r="AZN24">
        <f>SOFR3mo_PX[[#This Row],[Column1366]]</f>
        <v>99.734999999999999</v>
      </c>
      <c r="AZO24">
        <f>SOFR3mo_PX[[#This Row],[Column1367]]</f>
        <v>99.69</v>
      </c>
      <c r="AZP24">
        <f>SOFR3mo_PX[[#This Row],[Column1368]]</f>
        <v>99.67</v>
      </c>
      <c r="AZQ24">
        <f>SOFR3mo_PX[[#This Row],[Column1369]]</f>
        <v>99.64</v>
      </c>
      <c r="AZR24">
        <f>SOFR3mo_PX[[#This Row],[Column1370]]</f>
        <v>99.635000000000005</v>
      </c>
      <c r="AZS24">
        <f>SOFR3mo_PX[[#This Row],[Column1371]]</f>
        <v>99.694999999999993</v>
      </c>
      <c r="AZT24">
        <f>SOFR3mo_PX[[#This Row],[Column1372]]</f>
        <v>99.614999999999995</v>
      </c>
      <c r="AZU24">
        <f>SOFR3mo_PX[[#This Row],[Column1373]]</f>
        <v>99.555000000000007</v>
      </c>
      <c r="AZV24">
        <f>SOFR3mo_PX[[#This Row],[Column1374]]</f>
        <v>99.45</v>
      </c>
      <c r="AZW24">
        <f>SOFR3mo_PX[[#This Row],[Column1375]]</f>
        <v>99.564999999999998</v>
      </c>
      <c r="AZX24">
        <f>SOFR3mo_PX[[#This Row],[Column1376]]</f>
        <v>99.614999999999995</v>
      </c>
      <c r="AZY24">
        <f>SOFR3mo_PX[[#This Row],[Column1377]]</f>
        <v>99.54</v>
      </c>
      <c r="AZZ24">
        <f>SOFR3mo_PX[[#This Row],[Column1378]]</f>
        <v>99.58</v>
      </c>
      <c r="BAA24">
        <f>SOFR3mo_PX[[#This Row],[Column1379]]</f>
        <v>99.51</v>
      </c>
      <c r="BAB24">
        <f>SOFR3mo_PX[[#This Row],[Column1380]]</f>
        <v>99.5</v>
      </c>
      <c r="BAC24">
        <f>SOFR3mo_PX[[#This Row],[Column1381]]</f>
        <v>99.62</v>
      </c>
      <c r="BAD24">
        <f>SOFR3mo_PX[[#This Row],[Column1382]]</f>
        <v>99.545000000000002</v>
      </c>
      <c r="BAE24">
        <f>SOFR3mo_PX[[#This Row],[Column1383]]</f>
        <v>99.46</v>
      </c>
      <c r="BAF24">
        <f>SOFR3mo_PX[[#This Row],[Column1384]]</f>
        <v>99.41</v>
      </c>
      <c r="BAG24">
        <f>SOFR3mo_PX[[#This Row],[Column1385]]</f>
        <v>99.35</v>
      </c>
      <c r="BAH24">
        <f>SOFR3mo_PX[[#This Row],[Column1386]]</f>
        <v>99.28</v>
      </c>
      <c r="BAI24">
        <f>SOFR3mo_PX[[#This Row],[Column1387]]</f>
        <v>99.28</v>
      </c>
      <c r="BAJ24">
        <f>SOFR3mo_PX[[#This Row],[Column1388]]</f>
        <v>99.08</v>
      </c>
      <c r="BAK24">
        <f>SOFR3mo_PX[[#This Row],[Column1389]]</f>
        <v>99.025000000000006</v>
      </c>
      <c r="BAL24">
        <f>SOFR3mo_PX[[#This Row],[Column1390]]</f>
        <v>99.034999999999997</v>
      </c>
      <c r="BAM24">
        <f>SOFR3mo_PX[[#This Row],[Column1391]]</f>
        <v>98.98</v>
      </c>
      <c r="BAN24">
        <f>SOFR3mo_PX[[#This Row],[Column1392]]</f>
        <v>98.87</v>
      </c>
      <c r="BAO24">
        <f>SOFR3mo_PX[[#This Row],[Column1393]]</f>
        <v>98.805000000000007</v>
      </c>
      <c r="BAP24">
        <f>SOFR3mo_PX[[#This Row],[Column1394]]</f>
        <v>98.76</v>
      </c>
      <c r="BAQ24">
        <f>SOFR3mo_PX[[#This Row],[Column1395]]</f>
        <v>98.784999999999997</v>
      </c>
      <c r="BAR24">
        <f>SOFR3mo_PX[[#This Row],[Column1396]]</f>
        <v>98.754999999999995</v>
      </c>
      <c r="BAS24">
        <f>SOFR3mo_PX[[#This Row],[Column1397]]</f>
        <v>98.754999999999995</v>
      </c>
      <c r="BAT24">
        <f>SOFR3mo_PX[[#This Row],[Column1398]]</f>
        <v>98.72</v>
      </c>
      <c r="BAU24">
        <f>SOFR3mo_PX[[#This Row],[Column1399]]</f>
        <v>98.72</v>
      </c>
      <c r="BAV24">
        <f>SOFR3mo_PX[[#This Row],[Column1400]]</f>
        <v>98.76</v>
      </c>
      <c r="BAW24">
        <f>SOFR3mo_PX[[#This Row],[Column1401]]</f>
        <v>98.79</v>
      </c>
      <c r="BAX24">
        <f>SOFR3mo_PX[[#This Row],[Column1402]]</f>
        <v>98.754999999999995</v>
      </c>
      <c r="BAY24">
        <f>SOFR3mo_PX[[#This Row],[Column1403]]</f>
        <v>98.7</v>
      </c>
      <c r="BAZ24">
        <f>SOFR3mo_PX[[#This Row],[Column1404]]</f>
        <v>98.72</v>
      </c>
      <c r="BBA24">
        <f>SOFR3mo_PX[[#This Row],[Column1405]]</f>
        <v>98.76</v>
      </c>
      <c r="BBB24">
        <f>SOFR3mo_PX[[#This Row],[Column1406]]</f>
        <v>98.844999999999999</v>
      </c>
      <c r="BBC24">
        <f>SOFR3mo_PX[[#This Row],[Column1407]]</f>
        <v>98.86</v>
      </c>
      <c r="BBD24">
        <f>SOFR3mo_PX[[#This Row],[Column1408]]</f>
        <v>98.805000000000007</v>
      </c>
      <c r="BBE24">
        <f>SOFR3mo_PX[[#This Row],[Column1409]]</f>
        <v>98.76</v>
      </c>
      <c r="BBF24">
        <f>SOFR3mo_PX[[#This Row],[Column1410]]</f>
        <v>98.71</v>
      </c>
      <c r="BBG24">
        <f>SOFR3mo_PX[[#This Row],[Column1411]]</f>
        <v>98.745000000000005</v>
      </c>
      <c r="BBH24">
        <f>SOFR3mo_PX[[#This Row],[Column1412]]</f>
        <v>98.66</v>
      </c>
      <c r="BBI24">
        <f>SOFR3mo_PX[[#This Row],[Column1413]]</f>
        <v>98.605000000000004</v>
      </c>
      <c r="BBJ24">
        <f>SOFR3mo_PX[[#This Row],[Column1414]]</f>
        <v>98.584999999999994</v>
      </c>
      <c r="BBK24">
        <f>SOFR3mo_PX[[#This Row],[Column1415]]</f>
        <v>98.57</v>
      </c>
      <c r="BBL24">
        <f>SOFR3mo_PX[[#This Row],[Column1416]]</f>
        <v>98.515000000000001</v>
      </c>
      <c r="BBM24">
        <f>SOFR3mo_PX[[#This Row],[Column1417]]</f>
        <v>98.515000000000001</v>
      </c>
      <c r="BBN24">
        <f>SOFR3mo_PX[[#This Row],[Column1418]]</f>
        <v>98.53</v>
      </c>
      <c r="BBO24">
        <f>SOFR3mo_PX[[#This Row],[Column1419]]</f>
        <v>98.54</v>
      </c>
      <c r="BBP24">
        <f>SOFR3mo_PX[[#This Row],[Column1420]]</f>
        <v>98.53</v>
      </c>
      <c r="BBQ24">
        <f>SOFR3mo_PX[[#This Row],[Column1421]]</f>
        <v>98.515000000000001</v>
      </c>
      <c r="BBR24">
        <f>SOFR3mo_PX[[#This Row],[Column1422]]</f>
        <v>98.52</v>
      </c>
      <c r="BBS24">
        <f>SOFR3mo_PX[[#This Row],[Column1423]]</f>
        <v>98.504999999999995</v>
      </c>
      <c r="BBT24">
        <f>SOFR3mo_PX[[#This Row],[Column1424]]</f>
        <v>98.5</v>
      </c>
      <c r="BBU24">
        <f>SOFR3mo_PX[[#This Row],[Column1425]]</f>
        <v>98.545000000000002</v>
      </c>
      <c r="BBV24">
        <f>SOFR3mo_PX[[#This Row],[Column1426]]</f>
        <v>98.555000000000007</v>
      </c>
      <c r="BBW24">
        <f>SOFR3mo_PX[[#This Row],[Column1427]]</f>
        <v>98.56</v>
      </c>
      <c r="BBX24">
        <f>SOFR3mo_PX[[#This Row],[Column1428]]</f>
        <v>98.47</v>
      </c>
      <c r="BBY24">
        <f>SOFR3mo_PX[[#This Row],[Column1429]]</f>
        <v>98.46</v>
      </c>
      <c r="BBZ24">
        <f>SOFR3mo_PX[[#This Row],[Column1430]]</f>
        <v>98.46</v>
      </c>
      <c r="BCA24">
        <f>SOFR3mo_PX[[#This Row],[Column1431]]</f>
        <v>98.465000000000003</v>
      </c>
      <c r="BCB24">
        <f>SOFR3mo_PX[[#This Row],[Column1432]]</f>
        <v>98.465000000000003</v>
      </c>
      <c r="BCC24">
        <f>SOFR3mo_PX[[#This Row],[Column1433]]</f>
        <v>98.424999999999997</v>
      </c>
      <c r="BCD24">
        <f>SOFR3mo_PX[[#This Row],[Column1434]]</f>
        <v>98.424999999999997</v>
      </c>
      <c r="BCE24">
        <f>SOFR3mo_PX[[#This Row],[Column1435]]</f>
        <v>98.424999999999997</v>
      </c>
      <c r="BCF24">
        <f>SOFR3mo_PX[[#This Row],[Column1436]]</f>
        <v>98.405000000000001</v>
      </c>
      <c r="BCG24">
        <f>SOFR3mo_PX[[#This Row],[Column1437]]</f>
        <v>98.444999999999993</v>
      </c>
      <c r="BCH24">
        <f>SOFR3mo_PX[[#This Row],[Column1438]]</f>
        <v>98.46</v>
      </c>
      <c r="BCI24">
        <f>SOFR3mo_PX[[#This Row],[Column1439]]</f>
        <v>98.44</v>
      </c>
      <c r="BCJ24">
        <f>SOFR3mo_PX[[#This Row],[Column1440]]</f>
        <v>98.47</v>
      </c>
      <c r="BCK24">
        <f>SOFR3mo_PX[[#This Row],[Column1441]]</f>
        <v>98.48</v>
      </c>
      <c r="BCL24">
        <f>SOFR3mo_PX[[#This Row],[Column1442]]</f>
        <v>98.555000000000007</v>
      </c>
      <c r="BCM24">
        <f>SOFR3mo_PX[[#This Row],[Column1443]]</f>
        <v>98.474999999999994</v>
      </c>
      <c r="BCN24">
        <f>SOFR3mo_PX[[#This Row],[Column1444]]</f>
        <v>98.56</v>
      </c>
      <c r="BCO24">
        <f>SOFR3mo_PX[[#This Row],[Column1445]]</f>
        <v>98.52</v>
      </c>
      <c r="BCP24">
        <f>SOFR3mo_PX[[#This Row],[Column1446]]</f>
        <v>98.534999999999997</v>
      </c>
      <c r="BCQ24">
        <f>SOFR3mo_PX[[#This Row],[Column1447]]</f>
        <v>98.545000000000002</v>
      </c>
      <c r="BCR24">
        <f>SOFR3mo_PX[[#This Row],[Column1448]]</f>
        <v>98.605000000000004</v>
      </c>
      <c r="BCS24">
        <f>SOFR3mo_PX[[#This Row],[Column1449]]</f>
        <v>98.62</v>
      </c>
      <c r="BCT24">
        <f>SOFR3mo_PX[[#This Row],[Column1450]]</f>
        <v>98.694999999999993</v>
      </c>
      <c r="BCU24">
        <f>SOFR3mo_PX[[#This Row],[Column1451]]</f>
        <v>98.575000000000003</v>
      </c>
      <c r="BCV24">
        <f>SOFR3mo_PX[[#This Row],[Column1452]]</f>
        <v>98.61</v>
      </c>
      <c r="BCW24">
        <f>SOFR3mo_PX[[#This Row],[Column1453]]</f>
        <v>98.6</v>
      </c>
      <c r="BCX24">
        <f>SOFR3mo_PX[[#This Row],[Column1454]]</f>
        <v>98.6</v>
      </c>
      <c r="BCY24">
        <f>SOFR3mo_PX[[#This Row],[Column1455]]</f>
        <v>98.64</v>
      </c>
      <c r="BCZ24">
        <f>SOFR3mo_PX[[#This Row],[Column1456]]</f>
        <v>98.63</v>
      </c>
      <c r="BDA24">
        <f>SOFR3mo_PX[[#This Row],[Column1457]]</f>
        <v>98.614999999999995</v>
      </c>
      <c r="BDB24">
        <f>SOFR3mo_PX[[#This Row],[Column1458]]</f>
        <v>98.635000000000005</v>
      </c>
      <c r="BDC24">
        <f>SOFR3mo_PX[[#This Row],[Column1459]]</f>
        <v>98.665000000000006</v>
      </c>
      <c r="BDD24">
        <f>SOFR3mo_PX[[#This Row],[Column1460]]</f>
        <v>98.63</v>
      </c>
      <c r="BDE24">
        <f>SOFR3mo_PX[[#This Row],[Column1461]]</f>
        <v>98.605000000000004</v>
      </c>
      <c r="BDF24">
        <f>SOFR3mo_PX[[#This Row],[Column1462]]</f>
        <v>98.58</v>
      </c>
      <c r="BDG24">
        <f>SOFR3mo_PX[[#This Row],[Column1463]]</f>
        <v>98.59</v>
      </c>
      <c r="BDH24">
        <f>SOFR3mo_PX[[#This Row],[Column1464]]</f>
        <v>98.54</v>
      </c>
      <c r="BDI24">
        <f>SOFR3mo_PX[[#This Row],[Column1465]]</f>
        <v>98.49</v>
      </c>
      <c r="BDJ24">
        <f>SOFR3mo_PX[[#This Row],[Column1466]]</f>
        <v>98.46</v>
      </c>
      <c r="BDK24">
        <f>SOFR3mo_PX[[#This Row],[Column1467]]</f>
        <v>98.47</v>
      </c>
      <c r="BDL24">
        <f>SOFR3mo_PX[[#This Row],[Column1468]]</f>
        <v>98.454999999999998</v>
      </c>
      <c r="BDM24">
        <f>SOFR3mo_PX[[#This Row],[Column1469]]</f>
        <v>98.564999999999998</v>
      </c>
      <c r="BDN24">
        <f>SOFR3mo_PX[[#This Row],[Column1470]]</f>
        <v>98.54</v>
      </c>
      <c r="BDO24">
        <f>SOFR3mo_PX[[#This Row],[Column1471]]</f>
        <v>98.6</v>
      </c>
      <c r="BDP24">
        <f>SOFR3mo_PX[[#This Row],[Column1472]]</f>
        <v>98.65</v>
      </c>
      <c r="BDQ24">
        <f>SOFR3mo_PX[[#This Row],[Column1473]]</f>
        <v>98.72</v>
      </c>
      <c r="BDR24">
        <f>SOFR3mo_PX[[#This Row],[Column1474]]</f>
        <v>98.594999999999999</v>
      </c>
      <c r="BDS24">
        <f>SOFR3mo_PX[[#This Row],[Column1475]]</f>
        <v>98.575000000000003</v>
      </c>
      <c r="BDT24">
        <f>SOFR3mo_PX[[#This Row],[Column1476]]</f>
        <v>98.58</v>
      </c>
      <c r="BDU24">
        <f>SOFR3mo_PX[[#This Row],[Column1477]]</f>
        <v>98.61</v>
      </c>
      <c r="BDV24">
        <f>SOFR3mo_PX[[#This Row],[Column1478]]</f>
        <v>98.655000000000001</v>
      </c>
      <c r="BDW24">
        <f>SOFR3mo_PX[[#This Row],[Column1479]]</f>
        <v>98.665000000000006</v>
      </c>
      <c r="BDX24">
        <f>SOFR3mo_PX[[#This Row],[Column1480]]</f>
        <v>98.644999999999996</v>
      </c>
      <c r="BDY24">
        <f>SOFR3mo_PX[[#This Row],[Column1481]]</f>
        <v>98.62</v>
      </c>
      <c r="BDZ24">
        <f>SOFR3mo_PX[[#This Row],[Column1482]]</f>
        <v>98.66</v>
      </c>
      <c r="BEA24">
        <f>SOFR3mo_PX[[#This Row],[Column1483]]</f>
        <v>98.635000000000005</v>
      </c>
      <c r="BEB24">
        <f>SOFR3mo_PX[[#This Row],[Column1484]]</f>
        <v>98.66</v>
      </c>
      <c r="BEC24">
        <f>SOFR3mo_PX[[#This Row],[Column1485]]</f>
        <v>98.62</v>
      </c>
      <c r="BED24">
        <f>SOFR3mo_PX[[#This Row],[Column1486]]</f>
        <v>98.674999999999997</v>
      </c>
      <c r="BEE24">
        <f>SOFR3mo_PX[[#This Row],[Column1487]]</f>
        <v>98.655000000000001</v>
      </c>
      <c r="BEF24">
        <f>SOFR3mo_PX[[#This Row],[Column1488]]</f>
        <v>98.784999999999997</v>
      </c>
      <c r="BEG24">
        <f>SOFR3mo_PX[[#This Row],[Column1489]]</f>
        <v>98.85</v>
      </c>
      <c r="BEH24">
        <f>SOFR3mo_PX[[#This Row],[Column1490]]</f>
        <v>98.905000000000001</v>
      </c>
      <c r="BEI24">
        <f>SOFR3mo_PX[[#This Row],[Column1491]]</f>
        <v>98.894999999999996</v>
      </c>
      <c r="BEJ24">
        <f>SOFR3mo_PX[[#This Row],[Column1492]]</f>
        <v>98.965000000000003</v>
      </c>
      <c r="BEK24">
        <f>SOFR3mo_PX[[#This Row],[Column1493]]</f>
        <v>98.974999999999994</v>
      </c>
      <c r="BEL24">
        <f>SOFR3mo_PX[[#This Row],[Column1494]]</f>
        <v>98.875</v>
      </c>
      <c r="BEM24">
        <f>SOFR3mo_PX[[#This Row],[Column1495]]</f>
        <v>98.8</v>
      </c>
      <c r="BEN24">
        <f>SOFR3mo_PX[[#This Row],[Column1496]]</f>
        <v>98.73</v>
      </c>
      <c r="BEO24">
        <f>SOFR3mo_PX[[#This Row],[Column1497]]</f>
        <v>98.74</v>
      </c>
      <c r="BEP24" t="str">
        <f>SOFR3mo_PX[[#This Row],[Column1498]]</f>
        <v>#N/A N/A</v>
      </c>
      <c r="BEQ24" t="str">
        <f>SOFR3mo_PX[[#This Row],[Column1499]]</f>
        <v>#N/A N/A</v>
      </c>
      <c r="BER24" t="str">
        <f>SOFR3mo_PX[[#This Row],[Column1500]]</f>
        <v>#N/A N/A</v>
      </c>
      <c r="BES24" t="str">
        <f>SOFR3mo_PX[[#This Row],[Column1501]]</f>
        <v>#N/A N/A</v>
      </c>
      <c r="BET24" t="str">
        <f>SOFR3mo_PX[[#This Row],[Column1502]]</f>
        <v>#N/A N/A</v>
      </c>
      <c r="BEU24" t="str">
        <f>SOFR3mo_PX[[#This Row],[Column1503]]</f>
        <v>#N/A N/A</v>
      </c>
      <c r="BEV24" t="str">
        <f>SOFR3mo_PX[[#This Row],[Column1504]]</f>
        <v>#N/A N/A</v>
      </c>
      <c r="BEW24" t="str">
        <f>SOFR3mo_PX[[#This Row],[Column1505]]</f>
        <v>#N/A N/A</v>
      </c>
      <c r="BEX24" t="str">
        <f>SOFR3mo_PX[[#This Row],[Column1506]]</f>
        <v>#N/A N/A</v>
      </c>
      <c r="BEY24" t="str">
        <f>SOFR3mo_PX[[#This Row],[Column1507]]</f>
        <v>#N/A N/A</v>
      </c>
      <c r="BEZ24" t="str">
        <f>SOFR3mo_PX[[#This Row],[Column1508]]</f>
        <v>#N/A N/A</v>
      </c>
      <c r="BFA24" t="str">
        <f>SOFR3mo_PX[[#This Row],[Column1509]]</f>
        <v>#N/A N/A</v>
      </c>
      <c r="BFB24" t="str">
        <f>SOFR3mo_PX[[#This Row],[Column1510]]</f>
        <v>#N/A N/A</v>
      </c>
      <c r="BFC24" t="str">
        <f>SOFR3mo_PX[[#This Row],[Column1511]]</f>
        <v>#N/A N/A</v>
      </c>
      <c r="BFD24" t="str">
        <f>SOFR3mo_PX[[#This Row],[Column1512]]</f>
        <v>#N/A N/A</v>
      </c>
      <c r="BFE24" t="str">
        <f>SOFR3mo_PX[[#This Row],[Column1513]]</f>
        <v>#N/A N/A</v>
      </c>
      <c r="BFF24" t="str">
        <f>SOFR3mo_PX[[#This Row],[Column1514]]</f>
        <v>#N/A N/A</v>
      </c>
      <c r="BFG24" t="str">
        <f>SOFR3mo_PX[[#This Row],[Column1515]]</f>
        <v>#N/A N/A</v>
      </c>
      <c r="BFH24" t="str">
        <f>SOFR3mo_PX[[#This Row],[Column1516]]</f>
        <v>#N/A N/A</v>
      </c>
      <c r="BFI24" t="str">
        <f>SOFR3mo_PX[[#This Row],[Column1517]]</f>
        <v>#N/A N/A</v>
      </c>
      <c r="BFJ24" t="str">
        <f>SOFR3mo_PX[[#This Row],[Column1518]]</f>
        <v>#N/A N/A</v>
      </c>
      <c r="BFK24" t="str">
        <f>SOFR3mo_PX[[#This Row],[Column1519]]</f>
        <v>#N/A N/A</v>
      </c>
      <c r="BFL24" t="str">
        <f>SOFR3mo_PX[[#This Row],[Column1520]]</f>
        <v>#N/A N/A</v>
      </c>
      <c r="BFM24" t="str">
        <f>SOFR3mo_PX[[#This Row],[Column1521]]</f>
        <v>#N/A N/A</v>
      </c>
      <c r="BFN24" t="str">
        <f>SOFR3mo_PX[[#This Row],[Column1522]]</f>
        <v>#N/A N/A</v>
      </c>
      <c r="BFO24" t="str">
        <f>SOFR3mo_PX[[#This Row],[Column1523]]</f>
        <v>#N/A N/A</v>
      </c>
      <c r="BFP24" t="str">
        <f>SOFR3mo_PX[[#This Row],[Column1524]]</f>
        <v>#N/A N/A</v>
      </c>
      <c r="BFQ24" t="str">
        <f>SOFR3mo_PX[[#This Row],[Column1525]]</f>
        <v>#N/A N/A</v>
      </c>
      <c r="BFR24" t="str">
        <f>SOFR3mo_PX[[#This Row],[Column1526]]</f>
        <v>#N/A N/A</v>
      </c>
      <c r="BFS24" t="str">
        <f>SOFR3mo_PX[[#This Row],[Column1527]]</f>
        <v>#N/A N/A</v>
      </c>
      <c r="BFT24" t="str">
        <f>SOFR3mo_PX[[#This Row],[Column1528]]</f>
        <v>#N/A N/A</v>
      </c>
      <c r="BFU24" t="str">
        <f>SOFR3mo_PX[[#This Row],[Column1529]]</f>
        <v>#N/A N/A</v>
      </c>
      <c r="BFV24" t="str">
        <f>SOFR3mo_PX[[#This Row],[Column1530]]</f>
        <v>#N/A N/A</v>
      </c>
      <c r="BFW24" t="str">
        <f>SOFR3mo_PX[[#This Row],[Column1531]]</f>
        <v>#N/A N/A</v>
      </c>
      <c r="BFX24" t="str">
        <f>SOFR3mo_PX[[#This Row],[Column1532]]</f>
        <v>#N/A N/A</v>
      </c>
      <c r="BFY24" t="str">
        <f>SOFR3mo_PX[[#This Row],[Column1533]]</f>
        <v>#N/A N/A</v>
      </c>
      <c r="BFZ24" t="str">
        <f>SOFR3mo_PX[[#This Row],[Column1534]]</f>
        <v>#N/A N/A</v>
      </c>
      <c r="BGA24" t="str">
        <f>SOFR3mo_PX[[#This Row],[Column1535]]</f>
        <v>#N/A N/A</v>
      </c>
      <c r="BGB24" t="str">
        <f>SOFR3mo_PX[[#This Row],[Column1536]]</f>
        <v>#N/A N/A</v>
      </c>
      <c r="BGC24" t="str">
        <f>SOFR3mo_PX[[#This Row],[Column1537]]</f>
        <v>#N/A N/A</v>
      </c>
      <c r="BGD24" t="str">
        <f>SOFR3mo_PX[[#This Row],[Column1538]]</f>
        <v>#N/A N/A</v>
      </c>
      <c r="BGE24" t="str">
        <f>SOFR3mo_PX[[#This Row],[Column1539]]</f>
        <v>#N/A N/A</v>
      </c>
      <c r="BGF24" t="str">
        <f>SOFR3mo_PX[[#This Row],[Column1540]]</f>
        <v>#N/A N/A</v>
      </c>
      <c r="BGG24" t="str">
        <f>SOFR3mo_PX[[#This Row],[Column1541]]</f>
        <v>#N/A N/A</v>
      </c>
      <c r="BGH24" t="str">
        <f>SOFR3mo_PX[[#This Row],[Column1542]]</f>
        <v>#N/A N/A</v>
      </c>
      <c r="BGI24" t="str">
        <f>SOFR3mo_PX[[#This Row],[Column1543]]</f>
        <v>#N/A N/A</v>
      </c>
      <c r="BGJ24" t="str">
        <f>SOFR3mo_PX[[#This Row],[Column1544]]</f>
        <v>#N/A N/A</v>
      </c>
      <c r="BGK24" t="str">
        <f>SOFR3mo_PX[[#This Row],[Column1545]]</f>
        <v>#N/A N/A</v>
      </c>
      <c r="BGL24" t="str">
        <f>SOFR3mo_PX[[#This Row],[Column1546]]</f>
        <v>#N/A N/A</v>
      </c>
      <c r="BGM24" t="str">
        <f>SOFR3mo_PX[[#This Row],[Column1547]]</f>
        <v>#N/A N/A</v>
      </c>
      <c r="BGN24" t="str">
        <f>SOFR3mo_PX[[#This Row],[Column1548]]</f>
        <v>#N/A N/A</v>
      </c>
      <c r="BGO24" t="str">
        <f>SOFR3mo_PX[[#This Row],[Column1549]]</f>
        <v>#N/A N/A</v>
      </c>
      <c r="BGP24" t="str">
        <f>SOFR3mo_PX[[#This Row],[Column1550]]</f>
        <v>#N/A N/A</v>
      </c>
      <c r="BGQ24" t="str">
        <f>SOFR3mo_PX[[#This Row],[Column1551]]</f>
        <v>#N/A N/A</v>
      </c>
      <c r="BGR24" t="str">
        <f>SOFR3mo_PX[[#This Row],[Column1552]]</f>
        <v>#N/A N/A</v>
      </c>
      <c r="BGS24" t="str">
        <f>SOFR3mo_PX[[#This Row],[Column1553]]</f>
        <v>#N/A N/A</v>
      </c>
      <c r="BGT24" t="str">
        <f>SOFR3mo_PX[[#This Row],[Column1554]]</f>
        <v>#N/A N/A</v>
      </c>
      <c r="BGU24" t="str">
        <f>SOFR3mo_PX[[#This Row],[Column1555]]</f>
        <v>#N/A N/A</v>
      </c>
      <c r="BGV24" t="str">
        <f>SOFR3mo_PX[[#This Row],[Column1556]]</f>
        <v>#N/A N/A</v>
      </c>
      <c r="BGW24" t="str">
        <f>SOFR3mo_PX[[#This Row],[Column1557]]</f>
        <v>#N/A N/A</v>
      </c>
      <c r="BGX24" t="str">
        <f>SOFR3mo_PX[[#This Row],[Column1558]]</f>
        <v>#N/A N/A</v>
      </c>
      <c r="BGY24" t="str">
        <f>SOFR3mo_PX[[#This Row],[Column1559]]</f>
        <v>#N/A N/A</v>
      </c>
      <c r="BGZ24" t="str">
        <f>SOFR3mo_PX[[#This Row],[Column1560]]</f>
        <v>#N/A N/A</v>
      </c>
      <c r="BHA24" t="str">
        <f>SOFR3mo_PX[[#This Row],[Column1561]]</f>
        <v>#N/A N/A</v>
      </c>
      <c r="BHB24" t="str">
        <f>SOFR3mo_PX[[#This Row],[Column1562]]</f>
        <v>#N/A N/A</v>
      </c>
      <c r="BHC24" t="str">
        <f>SOFR3mo_PX[[#This Row],[Column1563]]</f>
        <v>#N/A N/A</v>
      </c>
      <c r="BHD24" t="str">
        <f>SOFR3mo_PX[[#This Row],[Column1564]]</f>
        <v>#N/A N/A</v>
      </c>
      <c r="BHE24" t="str">
        <f>SOFR3mo_PX[[#This Row],[Column1565]]</f>
        <v>#N/A N/A</v>
      </c>
      <c r="BHF24" t="str">
        <f>SOFR3mo_PX[[#This Row],[Column1566]]</f>
        <v>#N/A N/A</v>
      </c>
      <c r="BHG24" t="str">
        <f>SOFR3mo_PX[[#This Row],[Column1567]]</f>
        <v>#N/A N/A</v>
      </c>
      <c r="BHH24" t="str">
        <f>SOFR3mo_PX[[#This Row],[Column1568]]</f>
        <v>#N/A N/A</v>
      </c>
      <c r="BHI24" t="str">
        <f>SOFR3mo_PX[[#This Row],[Column1569]]</f>
        <v>#N/A N/A</v>
      </c>
      <c r="BHJ24" t="str">
        <f>SOFR3mo_PX[[#This Row],[Column1570]]</f>
        <v>#N/A N/A</v>
      </c>
      <c r="BHK24" t="str">
        <f>SOFR3mo_PX[[#This Row],[Column1571]]</f>
        <v>#N/A N/A</v>
      </c>
      <c r="BHL24" t="str">
        <f>SOFR3mo_PX[[#This Row],[Column1572]]</f>
        <v>#N/A N/A</v>
      </c>
      <c r="BHM24" t="str">
        <f>SOFR3mo_PX[[#This Row],[Column1573]]</f>
        <v>#N/A N/A</v>
      </c>
      <c r="BHN24" t="str">
        <f>SOFR3mo_PX[[#This Row],[Column1574]]</f>
        <v>#N/A N/A</v>
      </c>
      <c r="BHO24" t="str">
        <f>SOFR3mo_PX[[#This Row],[Column1575]]</f>
        <v>#N/A N/A</v>
      </c>
      <c r="BHP24" t="str">
        <f>SOFR3mo_PX[[#This Row],[Column1576]]</f>
        <v>#N/A N/A</v>
      </c>
      <c r="BHQ24" t="str">
        <f>SOFR3mo_PX[[#This Row],[Column1577]]</f>
        <v>#N/A N/A</v>
      </c>
      <c r="BHR24" t="str">
        <f>SOFR3mo_PX[[#This Row],[Column1578]]</f>
        <v>#N/A N/A</v>
      </c>
      <c r="BHS24" t="str">
        <f>SOFR3mo_PX[[#This Row],[Column1579]]</f>
        <v>#N/A N/A</v>
      </c>
      <c r="BHT24" t="str">
        <f>SOFR3mo_PX[[#This Row],[Column1580]]</f>
        <v>#N/A N/A</v>
      </c>
      <c r="BHU24" t="str">
        <f>SOFR3mo_PX[[#This Row],[Column1581]]</f>
        <v>#N/A N/A</v>
      </c>
      <c r="BHV24" t="str">
        <f>SOFR3mo_PX[[#This Row],[Column1582]]</f>
        <v>#N/A N/A</v>
      </c>
      <c r="BHW24" t="str">
        <f>SOFR3mo_PX[[#This Row],[Column1583]]</f>
        <v>#N/A N/A</v>
      </c>
      <c r="BHX24" t="str">
        <f>SOFR3mo_PX[[#This Row],[Column1584]]</f>
        <v>#N/A N/A</v>
      </c>
      <c r="BHY24" t="str">
        <f>SOFR3mo_PX[[#This Row],[Column1585]]</f>
        <v>#N/A N/A</v>
      </c>
      <c r="BHZ24" t="str">
        <f>SOFR3mo_PX[[#This Row],[Column1586]]</f>
        <v>#N/A N/A</v>
      </c>
      <c r="BIA24" t="str">
        <f>SOFR3mo_PX[[#This Row],[Column1587]]</f>
        <v>#N/A N/A</v>
      </c>
      <c r="BIB24" t="str">
        <f>SOFR3mo_PX[[#This Row],[Column1588]]</f>
        <v>#N/A N/A</v>
      </c>
      <c r="BIC24" t="str">
        <f>SOFR3mo_PX[[#This Row],[Column1589]]</f>
        <v>#N/A N/A</v>
      </c>
      <c r="BID24" t="str">
        <f>SOFR3mo_PX[[#This Row],[Column1590]]</f>
        <v>#N/A N/A</v>
      </c>
      <c r="BIE24" t="str">
        <f>SOFR3mo_PX[[#This Row],[Column1591]]</f>
        <v>#N/A N/A</v>
      </c>
      <c r="BIF24" t="str">
        <f>SOFR3mo_PX[[#This Row],[Column1592]]</f>
        <v>#N/A N/A</v>
      </c>
      <c r="BIG24" t="str">
        <f>SOFR3mo_PX[[#This Row],[Column1593]]</f>
        <v>#N/A N/A</v>
      </c>
      <c r="BIH24" t="str">
        <f>SOFR3mo_PX[[#This Row],[Column1594]]</f>
        <v>#N/A N/A</v>
      </c>
      <c r="BII24" t="str">
        <f>SOFR3mo_PX[[#This Row],[Column1595]]</f>
        <v>#N/A N/A</v>
      </c>
      <c r="BIJ24" t="str">
        <f>SOFR3mo_PX[[#This Row],[Column1596]]</f>
        <v>#N/A N/A</v>
      </c>
      <c r="BIK24" t="str">
        <f>SOFR3mo_PX[[#This Row],[Column1597]]</f>
        <v>#N/A N/A</v>
      </c>
      <c r="BIL24" t="str">
        <f>SOFR3mo_PX[[#This Row],[Column1598]]</f>
        <v>#N/A N/A</v>
      </c>
      <c r="BIM24" t="str">
        <f>SOFR3mo_PX[[#This Row],[Column1599]]</f>
        <v>#N/A N/A</v>
      </c>
      <c r="BIN24" t="str">
        <f>SOFR3mo_PX[[#This Row],[Column1600]]</f>
        <v>#N/A N/A</v>
      </c>
      <c r="BIO24" t="str">
        <f>SOFR3mo_PX[[#This Row],[Column1601]]</f>
        <v>#N/A N/A</v>
      </c>
      <c r="BIP24" t="str">
        <f>SOFR3mo_PX[[#This Row],[Column1602]]</f>
        <v>#N/A N/A</v>
      </c>
      <c r="BIQ24" t="str">
        <f>SOFR3mo_PX[[#This Row],[Column1603]]</f>
        <v>#N/A N/A</v>
      </c>
      <c r="BIR24" t="str">
        <f>SOFR3mo_PX[[#This Row],[Column1604]]</f>
        <v>#N/A N/A</v>
      </c>
      <c r="BIS24" t="str">
        <f>SOFR3mo_PX[[#This Row],[Column1605]]</f>
        <v>#N/A N/A</v>
      </c>
      <c r="BIT24" t="str">
        <f>SOFR3mo_PX[[#This Row],[Column1606]]</f>
        <v>#N/A N/A</v>
      </c>
      <c r="BIU24" t="str">
        <f>SOFR3mo_PX[[#This Row],[Column1607]]</f>
        <v>#N/A N/A</v>
      </c>
      <c r="BIV24" t="str">
        <f>SOFR3mo_PX[[#This Row],[Column1608]]</f>
        <v>#N/A N/A</v>
      </c>
      <c r="BIW24" t="str">
        <f>SOFR3mo_PX[[#This Row],[Column1609]]</f>
        <v>#N/A N/A</v>
      </c>
      <c r="BIX24" t="str">
        <f>SOFR3mo_PX[[#This Row],[Column1610]]</f>
        <v>#N/A N/A</v>
      </c>
      <c r="BIY24" t="str">
        <f>SOFR3mo_PX[[#This Row],[Column1611]]</f>
        <v>#N/A N/A</v>
      </c>
      <c r="BIZ24" t="str">
        <f>SOFR3mo_PX[[#This Row],[Column1612]]</f>
        <v>#N/A N/A</v>
      </c>
      <c r="BJA24" t="str">
        <f>SOFR3mo_PX[[#This Row],[Column1613]]</f>
        <v>#N/A N/A</v>
      </c>
      <c r="BJB24" t="str">
        <f>SOFR3mo_PX[[#This Row],[Column1614]]</f>
        <v>#N/A N/A</v>
      </c>
      <c r="BJC24" t="str">
        <f>SOFR3mo_PX[[#This Row],[Column1615]]</f>
        <v>#N/A N/A</v>
      </c>
      <c r="BJD24" t="str">
        <f>SOFR3mo_PX[[#This Row],[Column1616]]</f>
        <v>#N/A N/A</v>
      </c>
      <c r="BJE24" t="str">
        <f>SOFR3mo_PX[[#This Row],[Column1617]]</f>
        <v>#N/A N/A</v>
      </c>
      <c r="BJF24" t="str">
        <f>SOFR3mo_PX[[#This Row],[Column1618]]</f>
        <v>#N/A N/A</v>
      </c>
      <c r="BJG24" t="str">
        <f>SOFR3mo_PX[[#This Row],[Column1619]]</f>
        <v>#N/A N/A</v>
      </c>
      <c r="BJH24" t="str">
        <f>SOFR3mo_PX[[#This Row],[Column1620]]</f>
        <v>#N/A N/A</v>
      </c>
      <c r="BJI24" t="str">
        <f>SOFR3mo_PX[[#This Row],[Column1621]]</f>
        <v>#N/A N/A</v>
      </c>
      <c r="BJJ24" t="str">
        <f>SOFR3mo_PX[[#This Row],[Column1622]]</f>
        <v>#N/A N/A</v>
      </c>
      <c r="BJK24" t="str">
        <f>SOFR3mo_PX[[#This Row],[Column1623]]</f>
        <v>#N/A N/A</v>
      </c>
      <c r="BJL24" t="str">
        <f>SOFR3mo_PX[[#This Row],[Column1624]]</f>
        <v>#N/A N/A</v>
      </c>
      <c r="BJM24" t="str">
        <f>SOFR3mo_PX[[#This Row],[Column1625]]</f>
        <v>#N/A N/A</v>
      </c>
      <c r="BJN24" t="str">
        <f>SOFR3mo_PX[[#This Row],[Column1626]]</f>
        <v>#N/A N/A</v>
      </c>
      <c r="BJO24" t="str">
        <f>SOFR3mo_PX[[#This Row],[Column1627]]</f>
        <v>#N/A N/A</v>
      </c>
      <c r="BJP24" t="str">
        <f>SOFR3mo_PX[[#This Row],[Column1628]]</f>
        <v>#N/A N/A</v>
      </c>
      <c r="BJQ24" t="str">
        <f>SOFR3mo_PX[[#This Row],[Column1629]]</f>
        <v>#N/A N/A</v>
      </c>
      <c r="BJR24" t="str">
        <f>SOFR3mo_PX[[#This Row],[Column1630]]</f>
        <v>#N/A N/A</v>
      </c>
      <c r="BJS24" t="str">
        <f>SOFR3mo_PX[[#This Row],[Column1631]]</f>
        <v>#N/A N/A</v>
      </c>
      <c r="BJT24" t="str">
        <f>SOFR3mo_PX[[#This Row],[Column1632]]</f>
        <v>#N/A N/A</v>
      </c>
      <c r="BJU24" t="str">
        <f>SOFR3mo_PX[[#This Row],[Column1633]]</f>
        <v>#N/A N/A</v>
      </c>
      <c r="BJV24" t="str">
        <f>SOFR3mo_PX[[#This Row],[Column1634]]</f>
        <v>#N/A N/A</v>
      </c>
      <c r="BJW24" t="str">
        <f>SOFR3mo_PX[[#This Row],[Column1635]]</f>
        <v>#N/A N/A</v>
      </c>
      <c r="BJX24" t="str">
        <f>SOFR3mo_PX[[#This Row],[Column1636]]</f>
        <v>#N/A N/A</v>
      </c>
      <c r="BJY24" t="str">
        <f>SOFR3mo_PX[[#This Row],[Column1637]]</f>
        <v>#N/A N/A</v>
      </c>
      <c r="BJZ24" t="str">
        <f>SOFR3mo_PX[[#This Row],[Column1638]]</f>
        <v>#N/A N/A</v>
      </c>
      <c r="BKA24" t="str">
        <f>SOFR3mo_PX[[#This Row],[Column1639]]</f>
        <v>#N/A N/A</v>
      </c>
      <c r="BKB24" t="str">
        <f>SOFR3mo_PX[[#This Row],[Column1640]]</f>
        <v>#N/A N/A</v>
      </c>
      <c r="BKC24" t="str">
        <f>SOFR3mo_PX[[#This Row],[Column1641]]</f>
        <v>#N/A N/A</v>
      </c>
      <c r="BKD24" t="str">
        <f>SOFR3mo_PX[[#This Row],[Column1642]]</f>
        <v>#N/A N/A</v>
      </c>
      <c r="BKE24" t="str">
        <f>SOFR3mo_PX[[#This Row],[Column1643]]</f>
        <v>#N/A N/A</v>
      </c>
      <c r="BKF24" t="str">
        <f>SOFR3mo_PX[[#This Row],[Column1644]]</f>
        <v>#N/A N/A</v>
      </c>
      <c r="BKG24" t="str">
        <f>SOFR3mo_PX[[#This Row],[Column1645]]</f>
        <v>#N/A N/A</v>
      </c>
      <c r="BKH24" t="str">
        <f>SOFR3mo_PX[[#This Row],[Column1646]]</f>
        <v>#N/A N/A</v>
      </c>
      <c r="BKI24" t="str">
        <f>SOFR3mo_PX[[#This Row],[Column1647]]</f>
        <v>#N/A N/A</v>
      </c>
      <c r="BKJ24" t="str">
        <f>SOFR3mo_PX[[#This Row],[Column1648]]</f>
        <v>#N/A N/A</v>
      </c>
      <c r="BKK24" t="str">
        <f>SOFR3mo_PX[[#This Row],[Column1649]]</f>
        <v>#N/A N/A</v>
      </c>
      <c r="BKL24" t="str">
        <f>SOFR3mo_PX[[#This Row],[Column1650]]</f>
        <v>#N/A N/A</v>
      </c>
      <c r="BKM24" t="str">
        <f>SOFR3mo_PX[[#This Row],[Column1651]]</f>
        <v>#N/A N/A</v>
      </c>
      <c r="BKN24" t="str">
        <f>SOFR3mo_PX[[#This Row],[Column1652]]</f>
        <v>#N/A N/A</v>
      </c>
      <c r="BKO24" t="str">
        <f>SOFR3mo_PX[[#This Row],[Column1653]]</f>
        <v>#N/A N/A</v>
      </c>
      <c r="BKP24" t="str">
        <f>SOFR3mo_PX[[#This Row],[Column1654]]</f>
        <v>#N/A N/A</v>
      </c>
      <c r="BKQ24" t="str">
        <f>SOFR3mo_PX[[#This Row],[Column1655]]</f>
        <v>#N/A N/A</v>
      </c>
      <c r="BKR24" t="str">
        <f>SOFR3mo_PX[[#This Row],[Column1656]]</f>
        <v>#N/A N/A</v>
      </c>
      <c r="BKS24" t="str">
        <f>SOFR3mo_PX[[#This Row],[Column1657]]</f>
        <v>#N/A N/A</v>
      </c>
      <c r="BKT24" t="str">
        <f>SOFR3mo_PX[[#This Row],[Column1658]]</f>
        <v>#N/A N/A</v>
      </c>
      <c r="BKU24" t="str">
        <f>SOFR3mo_PX[[#This Row],[Column1659]]</f>
        <v>#N/A N/A</v>
      </c>
      <c r="BKV24" t="str">
        <f>SOFR3mo_PX[[#This Row],[Column1660]]</f>
        <v>#N/A N/A</v>
      </c>
      <c r="BKW24" t="str">
        <f>SOFR3mo_PX[[#This Row],[Column1661]]</f>
        <v>#N/A N/A</v>
      </c>
      <c r="BKX24" t="str">
        <f>SOFR3mo_PX[[#This Row],[Column1662]]</f>
        <v>#N/A N/A</v>
      </c>
      <c r="BKY24" t="str">
        <f>SOFR3mo_PX[[#This Row],[Column1663]]</f>
        <v>#N/A N/A</v>
      </c>
      <c r="BKZ24" t="str">
        <f>SOFR3mo_PX[[#This Row],[Column1664]]</f>
        <v>#N/A N/A</v>
      </c>
      <c r="BLA24" t="str">
        <f>SOFR3mo_PX[[#This Row],[Column1665]]</f>
        <v>#N/A N/A</v>
      </c>
      <c r="BLB24" t="str">
        <f>SOFR3mo_PX[[#This Row],[Column1666]]</f>
        <v>#N/A N/A</v>
      </c>
      <c r="BLC24" t="str">
        <f>SOFR3mo_PX[[#This Row],[Column1667]]</f>
        <v>#N/A N/A</v>
      </c>
      <c r="BLD24" t="str">
        <f>SOFR3mo_PX[[#This Row],[Column1668]]</f>
        <v>#N/A N/A</v>
      </c>
      <c r="BLE24" t="str">
        <f>SOFR3mo_PX[[#This Row],[Column1669]]</f>
        <v>#N/A N/A</v>
      </c>
      <c r="BLF24" t="str">
        <f>SOFR3mo_PX[[#This Row],[Column1670]]</f>
        <v>#N/A N/A</v>
      </c>
      <c r="BLG24" t="str">
        <f>SOFR3mo_PX[[#This Row],[Column1671]]</f>
        <v>#N/A N/A</v>
      </c>
      <c r="BLH24" t="str">
        <f>SOFR3mo_PX[[#This Row],[Column1672]]</f>
        <v>#N/A N/A</v>
      </c>
      <c r="BLI24" t="str">
        <f>SOFR3mo_PX[[#This Row],[Column1673]]</f>
        <v>#N/A N/A</v>
      </c>
      <c r="BLJ24" t="str">
        <f>SOFR3mo_PX[[#This Row],[Column1674]]</f>
        <v>#N/A N/A</v>
      </c>
      <c r="BLK24" t="str">
        <f>SOFR3mo_PX[[#This Row],[Column1675]]</f>
        <v>#N/A N/A</v>
      </c>
      <c r="BLL24" t="str">
        <f>SOFR3mo_PX[[#This Row],[Column1676]]</f>
        <v>#N/A N/A</v>
      </c>
      <c r="BLM24" t="str">
        <f>SOFR3mo_PX[[#This Row],[Column1677]]</f>
        <v>#N/A N/A</v>
      </c>
      <c r="BLN24" t="str">
        <f>SOFR3mo_PX[[#This Row],[Column1678]]</f>
        <v>#N/A N/A</v>
      </c>
      <c r="BLO24" t="str">
        <f>SOFR3mo_PX[[#This Row],[Column1679]]</f>
        <v>#N/A N/A</v>
      </c>
      <c r="BLP24" t="str">
        <f>SOFR3mo_PX[[#This Row],[Column1680]]</f>
        <v>#N/A N/A</v>
      </c>
      <c r="BLQ24" t="str">
        <f>SOFR3mo_PX[[#This Row],[Column1681]]</f>
        <v>#N/A N/A</v>
      </c>
      <c r="BLR24" t="str">
        <f>SOFR3mo_PX[[#This Row],[Column1682]]</f>
        <v>#N/A N/A</v>
      </c>
      <c r="BLS24" t="str">
        <f>SOFR3mo_PX[[#This Row],[Column1683]]</f>
        <v>#N/A N/A</v>
      </c>
      <c r="BLT24" t="str">
        <f>SOFR3mo_PX[[#This Row],[Column1684]]</f>
        <v>#N/A N/A</v>
      </c>
      <c r="BLU24" t="str">
        <f>SOFR3mo_PX[[#This Row],[Column1685]]</f>
        <v>#N/A N/A</v>
      </c>
      <c r="BLV24" t="str">
        <f>SOFR3mo_PX[[#This Row],[Column1686]]</f>
        <v>#N/A N/A</v>
      </c>
      <c r="BLW24" t="str">
        <f>SOFR3mo_PX[[#This Row],[Column1687]]</f>
        <v>#N/A N/A</v>
      </c>
      <c r="BLX24" t="str">
        <f>SOFR3mo_PX[[#This Row],[Column1688]]</f>
        <v>#N/A N/A</v>
      </c>
      <c r="BLY24" t="str">
        <f>SOFR3mo_PX[[#This Row],[Column1689]]</f>
        <v>#N/A N/A</v>
      </c>
      <c r="BLZ24" t="str">
        <f>SOFR3mo_PX[[#This Row],[Column1690]]</f>
        <v>#N/A N/A</v>
      </c>
      <c r="BMA24" t="str">
        <f>SOFR3mo_PX[[#This Row],[Column1691]]</f>
        <v>#N/A N/A</v>
      </c>
      <c r="BMB24" t="str">
        <f>SOFR3mo_PX[[#This Row],[Column1692]]</f>
        <v>#N/A N/A</v>
      </c>
      <c r="BMC24" t="str">
        <f>SOFR3mo_PX[[#This Row],[Column1693]]</f>
        <v>#N/A N/A</v>
      </c>
      <c r="BMD24" t="str">
        <f>SOFR3mo_PX[[#This Row],[Column1694]]</f>
        <v>#N/A N/A</v>
      </c>
      <c r="BME24" t="str">
        <f>SOFR3mo_PX[[#This Row],[Column1695]]</f>
        <v>#N/A N/A</v>
      </c>
      <c r="BMF24" t="str">
        <f>SOFR3mo_PX[[#This Row],[Column1696]]</f>
        <v>#N/A N/A</v>
      </c>
      <c r="BMG24" t="str">
        <f>SOFR3mo_PX[[#This Row],[Column1697]]</f>
        <v>#N/A N/A</v>
      </c>
      <c r="BMH24" t="str">
        <f>SOFR3mo_PX[[#This Row],[Column1698]]</f>
        <v>#N/A N/A</v>
      </c>
      <c r="BMI24" t="str">
        <f>SOFR3mo_PX[[#This Row],[Column1699]]</f>
        <v>#N/A N/A</v>
      </c>
      <c r="BMJ24" t="str">
        <f>SOFR3mo_PX[[#This Row],[Column1700]]</f>
        <v>#N/A N/A</v>
      </c>
      <c r="BMK24" t="str">
        <f>SOFR3mo_PX[[#This Row],[Column1701]]</f>
        <v>#N/A N/A</v>
      </c>
      <c r="BML24" t="str">
        <f>SOFR3mo_PX[[#This Row],[Column1702]]</f>
        <v>#N/A N/A</v>
      </c>
      <c r="BMM24" t="str">
        <f>SOFR3mo_PX[[#This Row],[Column1703]]</f>
        <v>#N/A N/A</v>
      </c>
      <c r="BMN24" t="str">
        <f>SOFR3mo_PX[[#This Row],[Column1704]]</f>
        <v>#N/A N/A</v>
      </c>
      <c r="BMO24" t="str">
        <f>SOFR3mo_PX[[#This Row],[Column1705]]</f>
        <v>#N/A N/A</v>
      </c>
      <c r="BMP24" t="str">
        <f>SOFR3mo_PX[[#This Row],[Column1706]]</f>
        <v>#N/A N/A</v>
      </c>
      <c r="BMQ24" t="str">
        <f>SOFR3mo_PX[[#This Row],[Column1707]]</f>
        <v>#N/A N/A</v>
      </c>
      <c r="BMR24" t="str">
        <f>SOFR3mo_PX[[#This Row],[Column1708]]</f>
        <v>#N/A N/A</v>
      </c>
      <c r="BMS24" t="str">
        <f>SOFR3mo_PX[[#This Row],[Column1709]]</f>
        <v>#N/A N/A</v>
      </c>
      <c r="BMT24" t="str">
        <f>SOFR3mo_PX[[#This Row],[Column1710]]</f>
        <v>#N/A N/A</v>
      </c>
      <c r="BMU24" t="str">
        <f>SOFR3mo_PX[[#This Row],[Column1711]]</f>
        <v>#N/A N/A</v>
      </c>
      <c r="BMV24" t="str">
        <f>SOFR3mo_PX[[#This Row],[Column1712]]</f>
        <v>#N/A N/A</v>
      </c>
      <c r="BMW24" t="str">
        <f>SOFR3mo_PX[[#This Row],[Column1713]]</f>
        <v>#N/A N/A</v>
      </c>
      <c r="BMX24" t="str">
        <f>SOFR3mo_PX[[#This Row],[Column1714]]</f>
        <v>#N/A N/A</v>
      </c>
      <c r="BMY24" t="str">
        <f>SOFR3mo_PX[[#This Row],[Column1715]]</f>
        <v>#N/A N/A</v>
      </c>
      <c r="BMZ24" t="str">
        <f>SOFR3mo_PX[[#This Row],[Column1716]]</f>
        <v>#N/A N/A</v>
      </c>
      <c r="BNA24" t="str">
        <f>SOFR3mo_PX[[#This Row],[Column1717]]</f>
        <v>#N/A N/A</v>
      </c>
      <c r="BNB24" t="str">
        <f>SOFR3mo_PX[[#This Row],[Column1718]]</f>
        <v>#N/A N/A</v>
      </c>
      <c r="BNC24" t="str">
        <f>SOFR3mo_PX[[#This Row],[Column1719]]</f>
        <v>#N/A N/A</v>
      </c>
      <c r="BND24" t="str">
        <f>SOFR3mo_PX[[#This Row],[Column1720]]</f>
        <v>#N/A N/A</v>
      </c>
      <c r="BNE24" t="str">
        <f>SOFR3mo_PX[[#This Row],[Column1721]]</f>
        <v>#N/A N/A</v>
      </c>
      <c r="BNF24" t="str">
        <f>SOFR3mo_PX[[#This Row],[Column1722]]</f>
        <v>#N/A N/A</v>
      </c>
      <c r="BNG24" t="str">
        <f>SOFR3mo_PX[[#This Row],[Column1723]]</f>
        <v>#N/A N/A</v>
      </c>
      <c r="BNH24" t="str">
        <f>SOFR3mo_PX[[#This Row],[Column1724]]</f>
        <v>#N/A N/A</v>
      </c>
      <c r="BNI24" t="str">
        <f>SOFR3mo_PX[[#This Row],[Column1725]]</f>
        <v>#N/A N/A</v>
      </c>
      <c r="BNJ24" t="str">
        <f>SOFR3mo_PX[[#This Row],[Column1726]]</f>
        <v>#N/A N/A</v>
      </c>
      <c r="BNK24" t="str">
        <f>SOFR3mo_PX[[#This Row],[Column1727]]</f>
        <v>#N/A N/A</v>
      </c>
      <c r="BNL24" t="str">
        <f>SOFR3mo_PX[[#This Row],[Column1728]]</f>
        <v>#N/A N/A</v>
      </c>
      <c r="BNM24" t="str">
        <f>SOFR3mo_PX[[#This Row],[Column1729]]</f>
        <v>#N/A N/A</v>
      </c>
      <c r="BNN24" t="str">
        <f>SOFR3mo_PX[[#This Row],[Column1730]]</f>
        <v>#N/A N/A</v>
      </c>
      <c r="BNO24" t="str">
        <f>SOFR3mo_PX[[#This Row],[Column1731]]</f>
        <v>#N/A N/A</v>
      </c>
      <c r="BNP24" t="str">
        <f>SOFR3mo_PX[[#This Row],[Column1732]]</f>
        <v>#N/A N/A</v>
      </c>
      <c r="BNQ24" t="str">
        <f>SOFR3mo_PX[[#This Row],[Column1733]]</f>
        <v>#N/A N/A</v>
      </c>
      <c r="BNR24" t="str">
        <f>SOFR3mo_PX[[#This Row],[Column1734]]</f>
        <v>#N/A N/A</v>
      </c>
      <c r="BNS24" t="str">
        <f>SOFR3mo_PX[[#This Row],[Column1735]]</f>
        <v>#N/A N/A</v>
      </c>
      <c r="BNT24" t="str">
        <f>SOFR3mo_PX[[#This Row],[Column1736]]</f>
        <v>#N/A N/A</v>
      </c>
      <c r="BNU24" t="str">
        <f>SOFR3mo_PX[[#This Row],[Column1737]]</f>
        <v>#N/A N/A</v>
      </c>
      <c r="BNV24" t="str">
        <f>SOFR3mo_PX[[#This Row],[Column1738]]</f>
        <v>#N/A N/A</v>
      </c>
      <c r="BNW24" t="str">
        <f>SOFR3mo_PX[[#This Row],[Column1739]]</f>
        <v>#N/A N/A</v>
      </c>
      <c r="BNX24" t="str">
        <f>SOFR3mo_PX[[#This Row],[Column1740]]</f>
        <v>#N/A N/A</v>
      </c>
      <c r="BNY24" t="str">
        <f>SOFR3mo_PX[[#This Row],[Column1741]]</f>
        <v>#N/A N/A</v>
      </c>
      <c r="BNZ24" t="str">
        <f>SOFR3mo_PX[[#This Row],[Column1742]]</f>
        <v>#N/A N/A</v>
      </c>
      <c r="BOA24" t="str">
        <f>SOFR3mo_PX[[#This Row],[Column1743]]</f>
        <v>#N/A N/A</v>
      </c>
      <c r="BOB24" t="str">
        <f>SOFR3mo_PX[[#This Row],[Column1744]]</f>
        <v>#N/A N/A</v>
      </c>
      <c r="BOC24" t="str">
        <f>SOFR3mo_PX[[#This Row],[Column1745]]</f>
        <v>#N/A N/A</v>
      </c>
      <c r="BOD24" t="str">
        <f>SOFR3mo_PX[[#This Row],[Column1746]]</f>
        <v>#N/A N/A</v>
      </c>
      <c r="BOE24" t="str">
        <f>SOFR3mo_PX[[#This Row],[Column1747]]</f>
        <v>#N/A N/A</v>
      </c>
      <c r="BOF24" t="str">
        <f>SOFR3mo_PX[[#This Row],[Column1748]]</f>
        <v>#N/A N/A</v>
      </c>
      <c r="BOG24" t="str">
        <f>SOFR3mo_PX[[#This Row],[Column1749]]</f>
        <v>#N/A N/A</v>
      </c>
      <c r="BOH24" t="str">
        <f>SOFR3mo_PX[[#This Row],[Column1750]]</f>
        <v>#N/A N/A</v>
      </c>
      <c r="BOI24" t="str">
        <f>SOFR3mo_PX[[#This Row],[Column1751]]</f>
        <v>#N/A N/A</v>
      </c>
      <c r="BOJ24" t="str">
        <f>SOFR3mo_PX[[#This Row],[Column1752]]</f>
        <v>#N/A N/A</v>
      </c>
      <c r="BOK24" t="str">
        <f>SOFR3mo_PX[[#This Row],[Column1753]]</f>
        <v>#N/A N/A</v>
      </c>
      <c r="BOL24" t="str">
        <f>SOFR3mo_PX[[#This Row],[Column1754]]</f>
        <v>#N/A N/A</v>
      </c>
      <c r="BOM24" t="str">
        <f>SOFR3mo_PX[[#This Row],[Column1755]]</f>
        <v>#N/A N/A</v>
      </c>
      <c r="BON24" t="str">
        <f>SOFR3mo_PX[[#This Row],[Column1756]]</f>
        <v>#N/A N/A</v>
      </c>
      <c r="BOO24" t="str">
        <f>SOFR3mo_PX[[#This Row],[Column1757]]</f>
        <v>#N/A N/A</v>
      </c>
      <c r="BOP24" t="str">
        <f>SOFR3mo_PX[[#This Row],[Column1758]]</f>
        <v>#N/A N/A</v>
      </c>
      <c r="BOQ24" t="str">
        <f>SOFR3mo_PX[[#This Row],[Column1759]]</f>
        <v>#N/A N/A</v>
      </c>
      <c r="BOR24" t="str">
        <f>SOFR3mo_PX[[#This Row],[Column1760]]</f>
        <v>#N/A N/A</v>
      </c>
      <c r="BOS24" t="str">
        <f>SOFR3mo_PX[[#This Row],[Column1761]]</f>
        <v>#N/A N/A</v>
      </c>
      <c r="BOT24" t="str">
        <f>SOFR3mo_PX[[#This Row],[Column1762]]</f>
        <v>#N/A N/A</v>
      </c>
      <c r="BOU24" t="str">
        <f>SOFR3mo_PX[[#This Row],[Column1763]]</f>
        <v>#N/A N/A</v>
      </c>
      <c r="BOV24" t="str">
        <f>SOFR3mo_PX[[#This Row],[Column1764]]</f>
        <v>#N/A N/A</v>
      </c>
      <c r="BOW24" t="str">
        <f>SOFR3mo_PX[[#This Row],[Column1765]]</f>
        <v>#N/A N/A</v>
      </c>
      <c r="BOX24" t="str">
        <f>SOFR3mo_PX[[#This Row],[Column1766]]</f>
        <v>#N/A N/A</v>
      </c>
      <c r="BOY24" t="str">
        <f>SOFR3mo_PX[[#This Row],[Column1767]]</f>
        <v>#N/A N/A</v>
      </c>
      <c r="BOZ24" t="str">
        <f>SOFR3mo_PX[[#This Row],[Column1768]]</f>
        <v>#N/A N/A</v>
      </c>
      <c r="BPA24" t="str">
        <f>SOFR3mo_PX[[#This Row],[Column1769]]</f>
        <v>#N/A N/A</v>
      </c>
      <c r="BPB24" t="str">
        <f>SOFR3mo_PX[[#This Row],[Column1770]]</f>
        <v>#N/A N/A</v>
      </c>
      <c r="BPC24" t="str">
        <f>SOFR3mo_PX[[#This Row],[Column1771]]</f>
        <v>#N/A N/A</v>
      </c>
      <c r="BPD24" t="str">
        <f>SOFR3mo_PX[[#This Row],[Column1772]]</f>
        <v>#N/A N/A</v>
      </c>
      <c r="BPE24" t="str">
        <f>SOFR3mo_PX[[#This Row],[Column1773]]</f>
        <v>#N/A N/A</v>
      </c>
      <c r="BPF24" t="str">
        <f>SOFR3mo_PX[[#This Row],[Column1774]]</f>
        <v>#N/A N/A</v>
      </c>
      <c r="BPG24" t="str">
        <f>SOFR3mo_PX[[#This Row],[Column1775]]</f>
        <v>#N/A N/A</v>
      </c>
      <c r="BPH24" t="str">
        <f>SOFR3mo_PX[[#This Row],[Column1776]]</f>
        <v>#N/A N/A</v>
      </c>
      <c r="BPI24" t="str">
        <f>SOFR3mo_PX[[#This Row],[Column1777]]</f>
        <v>#N/A N/A</v>
      </c>
      <c r="BPJ24" t="str">
        <f>SOFR3mo_PX[[#This Row],[Column1778]]</f>
        <v>#N/A N/A</v>
      </c>
      <c r="BPK24" t="str">
        <f>SOFR3mo_PX[[#This Row],[Column1779]]</f>
        <v>#N/A N/A</v>
      </c>
      <c r="BPL24" t="str">
        <f>SOFR3mo_PX[[#This Row],[Column1780]]</f>
        <v>#N/A N/A</v>
      </c>
      <c r="BPM24" t="str">
        <f>SOFR3mo_PX[[#This Row],[Column1781]]</f>
        <v>#N/A N/A</v>
      </c>
      <c r="BPN24" t="str">
        <f>SOFR3mo_PX[[#This Row],[Column1782]]</f>
        <v>#N/A N/A</v>
      </c>
      <c r="BPO24" t="str">
        <f>SOFR3mo_PX[[#This Row],[Column1783]]</f>
        <v>#N/A N/A</v>
      </c>
      <c r="BPP24" t="str">
        <f>SOFR3mo_PX[[#This Row],[Column1784]]</f>
        <v>#N/A N/A</v>
      </c>
      <c r="BPQ24" t="str">
        <f>SOFR3mo_PX[[#This Row],[Column1785]]</f>
        <v>#N/A N/A</v>
      </c>
      <c r="BPR24" t="str">
        <f>SOFR3mo_PX[[#This Row],[Column1786]]</f>
        <v>#N/A N/A</v>
      </c>
      <c r="BPS24" t="str">
        <f>SOFR3mo_PX[[#This Row],[Column1787]]</f>
        <v>#N/A N/A</v>
      </c>
      <c r="BPT24" t="str">
        <f>SOFR3mo_PX[[#This Row],[Column1788]]</f>
        <v>#N/A N/A</v>
      </c>
      <c r="BPU24" t="str">
        <f>SOFR3mo_PX[[#This Row],[Column1789]]</f>
        <v>#N/A N/A</v>
      </c>
      <c r="BPV24" t="str">
        <f>SOFR3mo_PX[[#This Row],[Column1790]]</f>
        <v>#N/A N/A</v>
      </c>
      <c r="BPW24" t="str">
        <f>SOFR3mo_PX[[#This Row],[Column1791]]</f>
        <v>#N/A N/A</v>
      </c>
      <c r="BPX24" t="str">
        <f>SOFR3mo_PX[[#This Row],[Column1792]]</f>
        <v>#N/A N/A</v>
      </c>
      <c r="BPY24" t="str">
        <f>SOFR3mo_PX[[#This Row],[Column1793]]</f>
        <v>#N/A N/A</v>
      </c>
      <c r="BPZ24" t="str">
        <f>SOFR3mo_PX[[#This Row],[Column1794]]</f>
        <v>#N/A N/A</v>
      </c>
      <c r="BQA24" t="str">
        <f>SOFR3mo_PX[[#This Row],[Column1795]]</f>
        <v>#N/A N/A</v>
      </c>
      <c r="BQB24" t="str">
        <f>SOFR3mo_PX[[#This Row],[Column1796]]</f>
        <v>#N/A N/A</v>
      </c>
      <c r="BQC24" t="str">
        <f>SOFR3mo_PX[[#This Row],[Column1797]]</f>
        <v>#N/A N/A</v>
      </c>
      <c r="BQD24" t="str">
        <f>SOFR3mo_PX[[#This Row],[Column1798]]</f>
        <v>#N/A N/A</v>
      </c>
      <c r="BQE24" t="str">
        <f>SOFR3mo_PX[[#This Row],[Column1799]]</f>
        <v>#N/A N/A</v>
      </c>
      <c r="BQF24" t="str">
        <f>SOFR3mo_PX[[#This Row],[Column1800]]</f>
        <v>#N/A N/A</v>
      </c>
      <c r="BQG24" t="str">
        <f>SOFR3mo_PX[[#This Row],[Column1801]]</f>
        <v>#N/A N/A</v>
      </c>
      <c r="BQH24" t="str">
        <f>SOFR3mo_PX[[#This Row],[Column1802]]</f>
        <v>#N/A N/A</v>
      </c>
      <c r="BQI24" t="str">
        <f>SOFR3mo_PX[[#This Row],[Column1803]]</f>
        <v>#N/A N/A</v>
      </c>
      <c r="BQJ24" t="str">
        <f>SOFR3mo_PX[[#This Row],[Column1804]]</f>
        <v>#N/A N/A</v>
      </c>
      <c r="BQK24" t="str">
        <f>SOFR3mo_PX[[#This Row],[Column1805]]</f>
        <v>#N/A N/A</v>
      </c>
      <c r="BQL24" t="str">
        <f>SOFR3mo_PX[[#This Row],[Column1806]]</f>
        <v>#N/A N/A</v>
      </c>
      <c r="BQM24" t="str">
        <f>SOFR3mo_PX[[#This Row],[Column1807]]</f>
        <v>#N/A N/A</v>
      </c>
      <c r="BQN24" t="str">
        <f>SOFR3mo_PX[[#This Row],[Column1808]]</f>
        <v>#N/A N/A</v>
      </c>
      <c r="BQO24" t="str">
        <f>SOFR3mo_PX[[#This Row],[Column1809]]</f>
        <v>#N/A N/A</v>
      </c>
      <c r="BQP24" t="str">
        <f>SOFR3mo_PX[[#This Row],[Column1810]]</f>
        <v>#N/A N/A</v>
      </c>
      <c r="BQQ24" t="str">
        <f>SOFR3mo_PX[[#This Row],[Column1811]]</f>
        <v>#N/A N/A</v>
      </c>
      <c r="BQR24" t="str">
        <f>SOFR3mo_PX[[#This Row],[Column1812]]</f>
        <v>#N/A N/A</v>
      </c>
      <c r="BQS24" t="str">
        <f>SOFR3mo_PX[[#This Row],[Column1813]]</f>
        <v>#N/A N/A</v>
      </c>
      <c r="BQT24" t="str">
        <f>SOFR3mo_PX[[#This Row],[Column1814]]</f>
        <v>#N/A N/A</v>
      </c>
      <c r="BQU24" t="str">
        <f>SOFR3mo_PX[[#This Row],[Column1815]]</f>
        <v>#N/A N/A</v>
      </c>
      <c r="BQV24" t="str">
        <f>SOFR3mo_PX[[#This Row],[Column1816]]</f>
        <v>#N/A N/A</v>
      </c>
      <c r="BQW24" t="str">
        <f>SOFR3mo_PX[[#This Row],[Column1817]]</f>
        <v>#N/A N/A</v>
      </c>
      <c r="BQX24" t="str">
        <f>SOFR3mo_PX[[#This Row],[Column1818]]</f>
        <v>#N/A N/A</v>
      </c>
      <c r="BQY24" t="str">
        <f>SOFR3mo_PX[[#This Row],[Column1819]]</f>
        <v>#N/A N/A</v>
      </c>
      <c r="BQZ24" t="str">
        <f>SOFR3mo_PX[[#This Row],[Column1820]]</f>
        <v>#N/A N/A</v>
      </c>
      <c r="BRA24" t="str">
        <f>SOFR3mo_PX[[#This Row],[Column1821]]</f>
        <v>#N/A N/A</v>
      </c>
      <c r="BRB24" t="str">
        <f>SOFR3mo_PX[[#This Row],[Column1822]]</f>
        <v>#N/A N/A</v>
      </c>
      <c r="BRC24" t="str">
        <f>SOFR3mo_PX[[#This Row],[Column1823]]</f>
        <v>#N/A N/A</v>
      </c>
      <c r="BRD24" t="str">
        <f>SOFR3mo_PX[[#This Row],[Column1824]]</f>
        <v>#N/A N/A</v>
      </c>
      <c r="BRE24" t="str">
        <f>SOFR3mo_PX[[#This Row],[Column1825]]</f>
        <v>#N/A N/A</v>
      </c>
      <c r="BRF24" t="str">
        <f>SOFR3mo_PX[[#This Row],[Column1826]]</f>
        <v>#N/A N/A</v>
      </c>
      <c r="BRG24" t="str">
        <f>SOFR3mo_PX[[#This Row],[Column1827]]</f>
        <v>#N/A N/A</v>
      </c>
      <c r="BRH24" t="str">
        <f>SOFR3mo_PX[[#This Row],[Column1828]]</f>
        <v>#N/A N/A</v>
      </c>
      <c r="BRI24" t="str">
        <f>SOFR3mo_PX[[#This Row],[Column1829]]</f>
        <v>#N/A N/A</v>
      </c>
      <c r="BRJ24" t="str">
        <f>SOFR3mo_PX[[#This Row],[Column1830]]</f>
        <v>#N/A N/A</v>
      </c>
      <c r="BRK24" t="str">
        <f>SOFR3mo_PX[[#This Row],[Column1831]]</f>
        <v>#N/A N/A</v>
      </c>
      <c r="BRL24" t="str">
        <f>SOFR3mo_PX[[#This Row],[Column1832]]</f>
        <v>#N/A N/A</v>
      </c>
      <c r="BRM24" t="str">
        <f>SOFR3mo_PX[[#This Row],[Column1833]]</f>
        <v>#N/A N/A</v>
      </c>
      <c r="BRN24" t="str">
        <f>SOFR3mo_PX[[#This Row],[Column1834]]</f>
        <v>#N/A N/A</v>
      </c>
      <c r="BRO24" t="str">
        <f>SOFR3mo_PX[[#This Row],[Column1835]]</f>
        <v>#N/A N/A</v>
      </c>
      <c r="BRP24" t="str">
        <f>SOFR3mo_PX[[#This Row],[Column1836]]</f>
        <v>#N/A N/A</v>
      </c>
      <c r="BRQ24" t="str">
        <f>SOFR3mo_PX[[#This Row],[Column1837]]</f>
        <v>#N/A N/A</v>
      </c>
      <c r="BRR24" t="str">
        <f>SOFR3mo_PX[[#This Row],[Column1838]]</f>
        <v>#N/A N/A</v>
      </c>
      <c r="BRS24" t="str">
        <f>SOFR3mo_PX[[#This Row],[Column1839]]</f>
        <v>#N/A N/A</v>
      </c>
      <c r="BRT24" t="str">
        <f>SOFR3mo_PX[[#This Row],[Column1840]]</f>
        <v>#N/A N/A</v>
      </c>
      <c r="BRU24" t="str">
        <f>SOFR3mo_PX[[#This Row],[Column1841]]</f>
        <v>#N/A N/A</v>
      </c>
      <c r="BRV24" t="str">
        <f>SOFR3mo_PX[[#This Row],[Column1842]]</f>
        <v>#N/A N/A</v>
      </c>
      <c r="BRW24" t="str">
        <f>SOFR3mo_PX[[#This Row],[Column1843]]</f>
        <v>#N/A N/A</v>
      </c>
      <c r="BRX24" t="str">
        <f>SOFR3mo_PX[[#This Row],[Column1844]]</f>
        <v>#N/A N/A</v>
      </c>
      <c r="BRY24" t="str">
        <f>SOFR3mo_PX[[#This Row],[Column1845]]</f>
        <v>#N/A N/A</v>
      </c>
      <c r="BRZ24" t="str">
        <f>SOFR3mo_PX[[#This Row],[Column1846]]</f>
        <v>#N/A N/A</v>
      </c>
      <c r="BSA24" t="str">
        <f>SOFR3mo_PX[[#This Row],[Column1847]]</f>
        <v>#N/A N/A</v>
      </c>
      <c r="BSB24" t="str">
        <f>SOFR3mo_PX[[#This Row],[Column1848]]</f>
        <v>#N/A N/A</v>
      </c>
      <c r="BSC24" t="str">
        <f>SOFR3mo_PX[[#This Row],[Column1849]]</f>
        <v>#N/A N/A</v>
      </c>
      <c r="BSD24" t="str">
        <f>SOFR3mo_PX[[#This Row],[Column1850]]</f>
        <v>#N/A N/A</v>
      </c>
      <c r="BSE24" t="str">
        <f>SOFR3mo_PX[[#This Row],[Column1851]]</f>
        <v>#N/A N/A</v>
      </c>
      <c r="BSF24" t="str">
        <f>SOFR3mo_PX[[#This Row],[Column1852]]</f>
        <v>#N/A N/A</v>
      </c>
      <c r="BSG24" t="str">
        <f>SOFR3mo_PX[[#This Row],[Column1853]]</f>
        <v>#N/A N/A</v>
      </c>
      <c r="BSH24" t="str">
        <f>SOFR3mo_PX[[#This Row],[Column1854]]</f>
        <v>#N/A N/A</v>
      </c>
      <c r="BSI24" t="str">
        <f>SOFR3mo_PX[[#This Row],[Column1855]]</f>
        <v>#N/A N/A</v>
      </c>
      <c r="BSJ24" t="str">
        <f>SOFR3mo_PX[[#This Row],[Column1856]]</f>
        <v>#N/A N/A</v>
      </c>
      <c r="BSK24" t="str">
        <f>SOFR3mo_PX[[#This Row],[Column1857]]</f>
        <v>#N/A N/A</v>
      </c>
      <c r="BSL24" t="str">
        <f>SOFR3mo_PX[[#This Row],[Column1858]]</f>
        <v>#N/A N/A</v>
      </c>
      <c r="BSM24" t="str">
        <f>SOFR3mo_PX[[#This Row],[Column1859]]</f>
        <v>#N/A N/A</v>
      </c>
      <c r="BSN24" t="str">
        <f>SOFR3mo_PX[[#This Row],[Column1860]]</f>
        <v>#N/A N/A</v>
      </c>
      <c r="BSO24" t="str">
        <f>SOFR3mo_PX[[#This Row],[Column1861]]</f>
        <v>#N/A N/A</v>
      </c>
      <c r="BSP24" t="str">
        <f>SOFR3mo_PX[[#This Row],[Column1862]]</f>
        <v>#N/A N/A</v>
      </c>
      <c r="BSQ24" t="str">
        <f>SOFR3mo_PX[[#This Row],[Column1863]]</f>
        <v>#N/A N/A</v>
      </c>
      <c r="BSR24" t="str">
        <f>SOFR3mo_PX[[#This Row],[Column1864]]</f>
        <v>#N/A N/A</v>
      </c>
      <c r="BSS24" t="str">
        <f>SOFR3mo_PX[[#This Row],[Column1865]]</f>
        <v>#N/A N/A</v>
      </c>
      <c r="BST24" t="str">
        <f>SOFR3mo_PX[[#This Row],[Column1866]]</f>
        <v>#N/A N/A</v>
      </c>
      <c r="BSU24" t="str">
        <f>SOFR3mo_PX[[#This Row],[Column1867]]</f>
        <v>#N/A N/A</v>
      </c>
      <c r="BSV24" t="str">
        <f>SOFR3mo_PX[[#This Row],[Column1868]]</f>
        <v>#N/A N/A</v>
      </c>
      <c r="BSW24" t="str">
        <f>SOFR3mo_PX[[#This Row],[Column1869]]</f>
        <v>#N/A N/A</v>
      </c>
      <c r="BSX24" t="str">
        <f>SOFR3mo_PX[[#This Row],[Column1870]]</f>
        <v>#N/A N/A</v>
      </c>
      <c r="BSY24" t="str">
        <f>SOFR3mo_PX[[#This Row],[Column1871]]</f>
        <v>#N/A N/A</v>
      </c>
      <c r="BSZ24" t="str">
        <f>SOFR3mo_PX[[#This Row],[Column1872]]</f>
        <v>#N/A N/A</v>
      </c>
      <c r="BTA24" t="str">
        <f>SOFR3mo_PX[[#This Row],[Column1873]]</f>
        <v>#N/A N/A</v>
      </c>
      <c r="BTB24" t="str">
        <f>SOFR3mo_PX[[#This Row],[Column1874]]</f>
        <v>#N/A N/A</v>
      </c>
      <c r="BTC24" t="str">
        <f>SOFR3mo_PX[[#This Row],[Column1875]]</f>
        <v>#N/A N/A</v>
      </c>
      <c r="BTD24" t="str">
        <f>SOFR3mo_PX[[#This Row],[Column1876]]</f>
        <v>#N/A N/A</v>
      </c>
      <c r="BTE24" t="str">
        <f>SOFR3mo_PX[[#This Row],[Column1877]]</f>
        <v>#N/A N/A</v>
      </c>
      <c r="BTF24" t="str">
        <f>SOFR3mo_PX[[#This Row],[Column1878]]</f>
        <v>#N/A N/A</v>
      </c>
      <c r="BTG24" t="str">
        <f>SOFR3mo_PX[[#This Row],[Column1879]]</f>
        <v>#N/A N/A</v>
      </c>
      <c r="BTH24" t="str">
        <f>SOFR3mo_PX[[#This Row],[Column1880]]</f>
        <v>#N/A N/A</v>
      </c>
      <c r="BTI24" t="str">
        <f>SOFR3mo_PX[[#This Row],[Column1881]]</f>
        <v>#N/A N/A</v>
      </c>
      <c r="BTJ24" t="str">
        <f>SOFR3mo_PX[[#This Row],[Column1882]]</f>
        <v>#N/A N/A</v>
      </c>
      <c r="BTK24" t="str">
        <f>SOFR3mo_PX[[#This Row],[Column1883]]</f>
        <v>#N/A N/A</v>
      </c>
      <c r="BTL24" t="str">
        <f>SOFR3mo_PX[[#This Row],[Column1884]]</f>
        <v>#N/A N/A</v>
      </c>
      <c r="BTM24" t="str">
        <f>SOFR3mo_PX[[#This Row],[Column1885]]</f>
        <v>#N/A N/A</v>
      </c>
      <c r="BTN24" t="str">
        <f>SOFR3mo_PX[[#This Row],[Column1886]]</f>
        <v>#N/A N/A</v>
      </c>
      <c r="BTO24" t="str">
        <f>SOFR3mo_PX[[#This Row],[Column1887]]</f>
        <v>#N/A N/A</v>
      </c>
      <c r="BTP24" t="str">
        <f>SOFR3mo_PX[[#This Row],[Column1888]]</f>
        <v>#N/A N/A</v>
      </c>
      <c r="BTQ24" t="str">
        <f>SOFR3mo_PX[[#This Row],[Column1889]]</f>
        <v>#N/A N/A</v>
      </c>
      <c r="BTR24" t="str">
        <f>SOFR3mo_PX[[#This Row],[Column1890]]</f>
        <v>#N/A N/A</v>
      </c>
      <c r="BTS24" t="str">
        <f>SOFR3mo_PX[[#This Row],[Column1891]]</f>
        <v>#N/A N/A</v>
      </c>
      <c r="BTT24" t="str">
        <f>SOFR3mo_PX[[#This Row],[Column1892]]</f>
        <v>#N/A N/A</v>
      </c>
      <c r="BTU24" t="str">
        <f>SOFR3mo_PX[[#This Row],[Column1893]]</f>
        <v>#N/A N/A</v>
      </c>
      <c r="BTV24" t="str">
        <f>SOFR3mo_PX[[#This Row],[Column1894]]</f>
        <v>#N/A N/A</v>
      </c>
      <c r="BTW24" t="str">
        <f>SOFR3mo_PX[[#This Row],[Column1895]]</f>
        <v>#N/A N/A</v>
      </c>
      <c r="BTX24" t="str">
        <f>SOFR3mo_PX[[#This Row],[Column1896]]</f>
        <v>#N/A N/A</v>
      </c>
      <c r="BTY24" t="str">
        <f>SOFR3mo_PX[[#This Row],[Column1897]]</f>
        <v>#N/A N/A</v>
      </c>
      <c r="BTZ24" t="str">
        <f>SOFR3mo_PX[[#This Row],[Column1898]]</f>
        <v>#N/A N/A</v>
      </c>
      <c r="BUA24" t="str">
        <f>SOFR3mo_PX[[#This Row],[Column1899]]</f>
        <v>#N/A N/A</v>
      </c>
      <c r="BUB24" t="str">
        <f>SOFR3mo_PX[[#This Row],[Column1900]]</f>
        <v>#N/A N/A</v>
      </c>
      <c r="BUC24" t="str">
        <f>SOFR3mo_PX[[#This Row],[Column1901]]</f>
        <v>#N/A N/A</v>
      </c>
      <c r="BUD24" t="str">
        <f>SOFR3mo_PX[[#This Row],[Column1902]]</f>
        <v>#N/A N/A</v>
      </c>
      <c r="BUE24" t="str">
        <f>SOFR3mo_PX[[#This Row],[Column1903]]</f>
        <v>#N/A N/A</v>
      </c>
      <c r="BUF24" t="str">
        <f>SOFR3mo_PX[[#This Row],[Column1904]]</f>
        <v>#N/A N/A</v>
      </c>
      <c r="BUG24" t="str">
        <f>SOFR3mo_PX[[#This Row],[Column1905]]</f>
        <v>#N/A N/A</v>
      </c>
      <c r="BUH24" t="str">
        <f>SOFR3mo_PX[[#This Row],[Column1906]]</f>
        <v>#N/A N/A</v>
      </c>
      <c r="BUI24" t="str">
        <f>SOFR3mo_PX[[#This Row],[Column1907]]</f>
        <v>#N/A N/A</v>
      </c>
      <c r="BUJ24" t="str">
        <f>SOFR3mo_PX[[#This Row],[Column1908]]</f>
        <v>#N/A N/A</v>
      </c>
      <c r="BUK24" t="str">
        <f>SOFR3mo_PX[[#This Row],[Column1909]]</f>
        <v>#N/A N/A</v>
      </c>
      <c r="BUL24" t="str">
        <f>SOFR3mo_PX[[#This Row],[Column1910]]</f>
        <v>#N/A N/A</v>
      </c>
      <c r="BUM24" t="str">
        <f>SOFR3mo_PX[[#This Row],[Column1911]]</f>
        <v>#N/A N/A</v>
      </c>
      <c r="BUN24" t="str">
        <f>SOFR3mo_PX[[#This Row],[Column1912]]</f>
        <v>#N/A N/A</v>
      </c>
      <c r="BUO24" t="str">
        <f>SOFR3mo_PX[[#This Row],[Column1913]]</f>
        <v>#N/A N/A</v>
      </c>
      <c r="BUP24" t="str">
        <f>SOFR3mo_PX[[#This Row],[Column1914]]</f>
        <v>#N/A N/A</v>
      </c>
      <c r="BUQ24" t="str">
        <f>SOFR3mo_PX[[#This Row],[Column1915]]</f>
        <v>#N/A N/A</v>
      </c>
      <c r="BUR24" t="str">
        <f>SOFR3mo_PX[[#This Row],[Column1916]]</f>
        <v>#N/A N/A</v>
      </c>
      <c r="BUS24" t="str">
        <f>SOFR3mo_PX[[#This Row],[Column1917]]</f>
        <v>#N/A N/A</v>
      </c>
      <c r="BUT24" t="str">
        <f>SOFR3mo_PX[[#This Row],[Column1918]]</f>
        <v>#N/A N/A</v>
      </c>
      <c r="BUU24" t="str">
        <f>SOFR3mo_PX[[#This Row],[Column1919]]</f>
        <v>#N/A N/A</v>
      </c>
      <c r="BUV24" t="str">
        <f>SOFR3mo_PX[[#This Row],[Column1920]]</f>
        <v>#N/A N/A</v>
      </c>
      <c r="BUW24" t="str">
        <f>SOFR3mo_PX[[#This Row],[Column1921]]</f>
        <v>#N/A N/A</v>
      </c>
      <c r="BUX24" t="str">
        <f>SOFR3mo_PX[[#This Row],[Column1922]]</f>
        <v>#N/A N/A</v>
      </c>
      <c r="BUY24" t="str">
        <f>SOFR3mo_PX[[#This Row],[Column1923]]</f>
        <v>#N/A N/A</v>
      </c>
      <c r="BUZ24" t="str">
        <f>SOFR3mo_PX[[#This Row],[Column1924]]</f>
        <v>#N/A N/A</v>
      </c>
      <c r="BVA24" t="str">
        <f>SOFR3mo_PX[[#This Row],[Column1925]]</f>
        <v>#N/A N/A</v>
      </c>
      <c r="BVB24" t="str">
        <f>SOFR3mo_PX[[#This Row],[Column1926]]</f>
        <v>#N/A N/A</v>
      </c>
      <c r="BVC24" t="str">
        <f>SOFR3mo_PX[[#This Row],[Column1927]]</f>
        <v>#N/A N/A</v>
      </c>
      <c r="BVD24" t="str">
        <f>SOFR3mo_PX[[#This Row],[Column1928]]</f>
        <v>#N/A N/A</v>
      </c>
      <c r="BVE24" t="str">
        <f>SOFR3mo_PX[[#This Row],[Column1929]]</f>
        <v>#N/A N/A</v>
      </c>
      <c r="BVF24" t="str">
        <f>SOFR3mo_PX[[#This Row],[Column1930]]</f>
        <v>#N/A N/A</v>
      </c>
      <c r="BVG24" t="str">
        <f>SOFR3mo_PX[[#This Row],[Column1931]]</f>
        <v>#N/A N/A</v>
      </c>
      <c r="BVH24" t="str">
        <f>SOFR3mo_PX[[#This Row],[Column1932]]</f>
        <v>#N/A N/A</v>
      </c>
      <c r="BVI24" t="str">
        <f>SOFR3mo_PX[[#This Row],[Column1933]]</f>
        <v>#N/A N/A</v>
      </c>
      <c r="BVJ24" t="str">
        <f>SOFR3mo_PX[[#This Row],[Column1934]]</f>
        <v>#N/A N/A</v>
      </c>
      <c r="BVK24" t="str">
        <f>SOFR3mo_PX[[#This Row],[Column1935]]</f>
        <v>#N/A N/A</v>
      </c>
      <c r="BVL24" t="str">
        <f>SOFR3mo_PX[[#This Row],[Column1936]]</f>
        <v>#N/A N/A</v>
      </c>
      <c r="BVM24" t="str">
        <f>SOFR3mo_PX[[#This Row],[Column1937]]</f>
        <v>#N/A N/A</v>
      </c>
      <c r="BVN24" t="str">
        <f>SOFR3mo_PX[[#This Row],[Column1938]]</f>
        <v>#N/A N/A</v>
      </c>
      <c r="BVO24" t="str">
        <f>SOFR3mo_PX[[#This Row],[Column1939]]</f>
        <v>#N/A N/A</v>
      </c>
      <c r="BVP24" t="str">
        <f>SOFR3mo_PX[[#This Row],[Column1940]]</f>
        <v>#N/A N/A</v>
      </c>
      <c r="BVQ24" t="str">
        <f>SOFR3mo_PX[[#This Row],[Column1941]]</f>
        <v>#N/A N/A</v>
      </c>
      <c r="BVR24" t="str">
        <f>SOFR3mo_PX[[#This Row],[Column1942]]</f>
        <v>#N/A N/A</v>
      </c>
      <c r="BVS24" t="str">
        <f>SOFR3mo_PX[[#This Row],[Column1943]]</f>
        <v>#N/A N/A</v>
      </c>
      <c r="BVT24" t="str">
        <f>SOFR3mo_PX[[#This Row],[Column1944]]</f>
        <v>#N/A N/A</v>
      </c>
      <c r="BVU24" t="str">
        <f>SOFR3mo_PX[[#This Row],[Column1945]]</f>
        <v>#N/A N/A</v>
      </c>
      <c r="BVV24" t="str">
        <f>SOFR3mo_PX[[#This Row],[Column1946]]</f>
        <v>#N/A N/A</v>
      </c>
      <c r="BVW24" t="str">
        <f>SOFR3mo_PX[[#This Row],[Column1947]]</f>
        <v>#N/A N/A</v>
      </c>
      <c r="BVX24" t="str">
        <f>SOFR3mo_PX[[#This Row],[Column1948]]</f>
        <v>#N/A N/A</v>
      </c>
      <c r="BVY24" t="str">
        <f>SOFR3mo_PX[[#This Row],[Column1949]]</f>
        <v>#N/A N/A</v>
      </c>
      <c r="BVZ24" t="str">
        <f>SOFR3mo_PX[[#This Row],[Column1950]]</f>
        <v>#N/A N/A</v>
      </c>
      <c r="BWA24" t="str">
        <f>SOFR3mo_PX[[#This Row],[Column1951]]</f>
        <v>#N/A N/A</v>
      </c>
      <c r="BWB24" t="str">
        <f>SOFR3mo_PX[[#This Row],[Column1952]]</f>
        <v>#N/A N/A</v>
      </c>
      <c r="BWC24" t="str">
        <f>SOFR3mo_PX[[#This Row],[Column1953]]</f>
        <v>#N/A N/A</v>
      </c>
      <c r="BWD24" t="str">
        <f>SOFR3mo_PX[[#This Row],[Column1954]]</f>
        <v>#N/A N/A</v>
      </c>
    </row>
    <row r="25" spans="1:1954" x14ac:dyDescent="0.25">
      <c r="A25" t="str">
        <f>SOFR3mo_PX[[#This Row],[Column1]]</f>
        <v>SFR23 Comdty</v>
      </c>
      <c r="B25">
        <f>IF(rtd!B23&lt;&gt;"",rtd!B23,SOFR3mo_PX[[#This Row],[Column2]])</f>
        <v>96.004999999999995</v>
      </c>
      <c r="C25">
        <f>SOFR3mo_PX[[#This Row],[Column3]]</f>
        <v>95.99</v>
      </c>
      <c r="D25">
        <f>SOFR3mo_PX[[#This Row],[Column4]]</f>
        <v>95.99</v>
      </c>
      <c r="E25">
        <f>SOFR3mo_PX[[#This Row],[Column5]]</f>
        <v>96.05</v>
      </c>
      <c r="F25">
        <f>SOFR3mo_PX[[#This Row],[Column6]]</f>
        <v>95.99</v>
      </c>
      <c r="G25">
        <f>SOFR3mo_PX[[#This Row],[Column7]]</f>
        <v>96.02</v>
      </c>
      <c r="H25">
        <f>SOFR3mo_PX[[#This Row],[Column8]]</f>
        <v>96.064999999999998</v>
      </c>
      <c r="I25">
        <f>SOFR3mo_PX[[#This Row],[Column9]]</f>
        <v>96.004999999999995</v>
      </c>
      <c r="J25">
        <f>SOFR3mo_PX[[#This Row],[Column10]]</f>
        <v>95.954999999999998</v>
      </c>
      <c r="K25">
        <f>SOFR3mo_PX[[#This Row],[Column11]]</f>
        <v>95.94</v>
      </c>
      <c r="L25">
        <f>SOFR3mo_PX[[#This Row],[Column12]]</f>
        <v>95.935000000000002</v>
      </c>
      <c r="M25">
        <f>SOFR3mo_PX[[#This Row],[Column13]]</f>
        <v>96.04</v>
      </c>
      <c r="N25">
        <f>SOFR3mo_PX[[#This Row],[Column14]]</f>
        <v>96.055000000000007</v>
      </c>
      <c r="O25">
        <f>SOFR3mo_PX[[#This Row],[Column15]]</f>
        <v>95.974999999999994</v>
      </c>
      <c r="P25">
        <f>SOFR3mo_PX[[#This Row],[Column16]]</f>
        <v>95.97</v>
      </c>
      <c r="Q25">
        <f>SOFR3mo_PX[[#This Row],[Column17]]</f>
        <v>96.03</v>
      </c>
      <c r="R25">
        <f>SOFR3mo_PX[[#This Row],[Column18]]</f>
        <v>96.01</v>
      </c>
      <c r="S25">
        <f>SOFR3mo_PX[[#This Row],[Column19]]</f>
        <v>95.98</v>
      </c>
      <c r="T25">
        <f>SOFR3mo_PX[[#This Row],[Column20]]</f>
        <v>96.025000000000006</v>
      </c>
      <c r="U25">
        <f>SOFR3mo_PX[[#This Row],[Column21]]</f>
        <v>95.935000000000002</v>
      </c>
      <c r="V25">
        <f>SOFR3mo_PX[[#This Row],[Column22]]</f>
        <v>95.935000000000002</v>
      </c>
      <c r="W25">
        <f>SOFR3mo_PX[[#This Row],[Column23]]</f>
        <v>95.864999999999995</v>
      </c>
      <c r="X25">
        <f>SOFR3mo_PX[[#This Row],[Column24]]</f>
        <v>95.81</v>
      </c>
      <c r="Y25">
        <f>SOFR3mo_PX[[#This Row],[Column25]]</f>
        <v>95.915000000000006</v>
      </c>
      <c r="Z25">
        <f>SOFR3mo_PX[[#This Row],[Column26]]</f>
        <v>95.915000000000006</v>
      </c>
      <c r="AA25">
        <f>SOFR3mo_PX[[#This Row],[Column27]]</f>
        <v>95.94</v>
      </c>
      <c r="AB25">
        <f>SOFR3mo_PX[[#This Row],[Column28]]</f>
        <v>95.92</v>
      </c>
      <c r="AC25">
        <f>SOFR3mo_PX[[#This Row],[Column29]]</f>
        <v>95.844999999999999</v>
      </c>
      <c r="AD25">
        <f>SOFR3mo_PX[[#This Row],[Column30]]</f>
        <v>95.88</v>
      </c>
      <c r="AE25">
        <f>SOFR3mo_PX[[#This Row],[Column31]]</f>
        <v>95.924999999999997</v>
      </c>
      <c r="AF25">
        <f>SOFR3mo_PX[[#This Row],[Column32]]</f>
        <v>95.99</v>
      </c>
      <c r="AG25">
        <f>SOFR3mo_PX[[#This Row],[Column33]]</f>
        <v>95.99</v>
      </c>
      <c r="AH25">
        <f>SOFR3mo_PX[[#This Row],[Column34]]</f>
        <v>96.09</v>
      </c>
      <c r="AI25">
        <f>SOFR3mo_PX[[#This Row],[Column35]]</f>
        <v>96.04</v>
      </c>
      <c r="AJ25">
        <f>SOFR3mo_PX[[#This Row],[Column36]]</f>
        <v>96.02</v>
      </c>
      <c r="AK25">
        <f>SOFR3mo_PX[[#This Row],[Column37]]</f>
        <v>96.05</v>
      </c>
      <c r="AL25">
        <f>SOFR3mo_PX[[#This Row],[Column38]]</f>
        <v>96.1</v>
      </c>
      <c r="AM25">
        <f>SOFR3mo_PX[[#This Row],[Column39]]</f>
        <v>96.144999999999996</v>
      </c>
      <c r="AN25">
        <f>SOFR3mo_PX[[#This Row],[Column40]]</f>
        <v>96.14</v>
      </c>
      <c r="AO25">
        <f>SOFR3mo_PX[[#This Row],[Column41]]</f>
        <v>96.08</v>
      </c>
      <c r="AP25">
        <f>SOFR3mo_PX[[#This Row],[Column42]]</f>
        <v>96.03</v>
      </c>
      <c r="AQ25">
        <f>SOFR3mo_PX[[#This Row],[Column43]]</f>
        <v>95.97</v>
      </c>
      <c r="AR25">
        <f>SOFR3mo_PX[[#This Row],[Column44]]</f>
        <v>95.9</v>
      </c>
      <c r="AS25">
        <f>SOFR3mo_PX[[#This Row],[Column45]]</f>
        <v>95.88</v>
      </c>
      <c r="AT25">
        <f>SOFR3mo_PX[[#This Row],[Column46]]</f>
        <v>95.855000000000004</v>
      </c>
      <c r="AU25">
        <f>SOFR3mo_PX[[#This Row],[Column47]]</f>
        <v>95.954999999999998</v>
      </c>
      <c r="AV25">
        <f>SOFR3mo_PX[[#This Row],[Column48]]</f>
        <v>95.954999999999998</v>
      </c>
      <c r="AW25">
        <f>SOFR3mo_PX[[#This Row],[Column49]]</f>
        <v>96.03</v>
      </c>
      <c r="AX25">
        <f>SOFR3mo_PX[[#This Row],[Column50]]</f>
        <v>95.99</v>
      </c>
      <c r="AY25">
        <f>SOFR3mo_PX[[#This Row],[Column51]]</f>
        <v>95.954999999999998</v>
      </c>
      <c r="AZ25">
        <f>SOFR3mo_PX[[#This Row],[Column52]]</f>
        <v>95.834999999999994</v>
      </c>
      <c r="BA25">
        <f>SOFR3mo_PX[[#This Row],[Column53]]</f>
        <v>95.974999999999994</v>
      </c>
      <c r="BB25">
        <f>SOFR3mo_PX[[#This Row],[Column54]]</f>
        <v>95.935000000000002</v>
      </c>
      <c r="BC25">
        <f>SOFR3mo_PX[[#This Row],[Column55]]</f>
        <v>96.094999999999999</v>
      </c>
      <c r="BD25">
        <f>SOFR3mo_PX[[#This Row],[Column56]]</f>
        <v>96.174999999999997</v>
      </c>
      <c r="BE25">
        <f>SOFR3mo_PX[[#This Row],[Column57]]</f>
        <v>96.344999999999999</v>
      </c>
      <c r="BF25">
        <f>SOFR3mo_PX[[#This Row],[Column58]]</f>
        <v>96.265000000000001</v>
      </c>
      <c r="BG25">
        <f>SOFR3mo_PX[[#This Row],[Column59]]</f>
        <v>96.11</v>
      </c>
      <c r="BH25">
        <f>SOFR3mo_PX[[#This Row],[Column60]]</f>
        <v>96.17</v>
      </c>
      <c r="BI25">
        <f>SOFR3mo_PX[[#This Row],[Column61]]</f>
        <v>96.064999999999998</v>
      </c>
      <c r="BJ25">
        <f>SOFR3mo_PX[[#This Row],[Column62]]</f>
        <v>96.034999999999997</v>
      </c>
      <c r="BK25">
        <f>SOFR3mo_PX[[#This Row],[Column63]]</f>
        <v>95.915000000000006</v>
      </c>
      <c r="BL25">
        <f>SOFR3mo_PX[[#This Row],[Column64]]</f>
        <v>95.965000000000003</v>
      </c>
      <c r="BM25">
        <f>SOFR3mo_PX[[#This Row],[Column65]]</f>
        <v>95.99</v>
      </c>
      <c r="BN25">
        <f>SOFR3mo_PX[[#This Row],[Column66]]</f>
        <v>95.965000000000003</v>
      </c>
      <c r="BO25">
        <f>SOFR3mo_PX[[#This Row],[Column67]]</f>
        <v>96.045000000000002</v>
      </c>
      <c r="BP25">
        <f>SOFR3mo_PX[[#This Row],[Column68]]</f>
        <v>96.06</v>
      </c>
      <c r="BQ25">
        <f>SOFR3mo_PX[[#This Row],[Column69]]</f>
        <v>96.02</v>
      </c>
      <c r="BR25">
        <f>SOFR3mo_PX[[#This Row],[Column70]]</f>
        <v>96.04</v>
      </c>
      <c r="BS25">
        <f>SOFR3mo_PX[[#This Row],[Column71]]</f>
        <v>96.004999999999995</v>
      </c>
      <c r="BT25">
        <f>SOFR3mo_PX[[#This Row],[Column72]]</f>
        <v>95.98</v>
      </c>
      <c r="BU25">
        <f>SOFR3mo_PX[[#This Row],[Column73]]</f>
        <v>96.04</v>
      </c>
      <c r="BV25">
        <f>SOFR3mo_PX[[#This Row],[Column74]]</f>
        <v>96.01</v>
      </c>
      <c r="BW25">
        <f>SOFR3mo_PX[[#This Row],[Column75]]</f>
        <v>96.04</v>
      </c>
      <c r="BX25">
        <f>SOFR3mo_PX[[#This Row],[Column76]]</f>
        <v>96.135000000000005</v>
      </c>
      <c r="BY25">
        <f>SOFR3mo_PX[[#This Row],[Column77]]</f>
        <v>96.004999999999995</v>
      </c>
      <c r="BZ25">
        <f>SOFR3mo_PX[[#This Row],[Column78]]</f>
        <v>96.03</v>
      </c>
      <c r="CA25">
        <f>SOFR3mo_PX[[#This Row],[Column79]]</f>
        <v>96.055000000000007</v>
      </c>
      <c r="CB25">
        <f>SOFR3mo_PX[[#This Row],[Column80]]</f>
        <v>96.12</v>
      </c>
      <c r="CC25">
        <f>SOFR3mo_PX[[#This Row],[Column81]]</f>
        <v>96.165000000000006</v>
      </c>
      <c r="CD25">
        <f>SOFR3mo_PX[[#This Row],[Column82]]</f>
        <v>96.11</v>
      </c>
      <c r="CE25">
        <f>SOFR3mo_PX[[#This Row],[Column83]]</f>
        <v>96.05</v>
      </c>
      <c r="CF25">
        <f>SOFR3mo_PX[[#This Row],[Column84]]</f>
        <v>96.094999999999999</v>
      </c>
      <c r="CG25">
        <f>SOFR3mo_PX[[#This Row],[Column85]]</f>
        <v>96.025000000000006</v>
      </c>
      <c r="CH25">
        <f>SOFR3mo_PX[[#This Row],[Column86]]</f>
        <v>95.89</v>
      </c>
      <c r="CI25">
        <f>SOFR3mo_PX[[#This Row],[Column87]]</f>
        <v>95.864999999999995</v>
      </c>
      <c r="CJ25">
        <f>SOFR3mo_PX[[#This Row],[Column88]]</f>
        <v>95.784999999999997</v>
      </c>
      <c r="CK25">
        <f>SOFR3mo_PX[[#This Row],[Column89]]</f>
        <v>95.74</v>
      </c>
      <c r="CL25">
        <f>SOFR3mo_PX[[#This Row],[Column90]]</f>
        <v>95.74</v>
      </c>
      <c r="CM25">
        <f>SOFR3mo_PX[[#This Row],[Column91]]</f>
        <v>95.814999999999998</v>
      </c>
      <c r="CN25">
        <f>SOFR3mo_PX[[#This Row],[Column92]]</f>
        <v>95.814999999999998</v>
      </c>
      <c r="CO25">
        <f>SOFR3mo_PX[[#This Row],[Column93]]</f>
        <v>95.75</v>
      </c>
      <c r="CP25">
        <f>SOFR3mo_PX[[#This Row],[Column94]]</f>
        <v>95.635000000000005</v>
      </c>
      <c r="CQ25">
        <f>SOFR3mo_PX[[#This Row],[Column95]]</f>
        <v>95.77</v>
      </c>
      <c r="CR25">
        <f>SOFR3mo_PX[[#This Row],[Column96]]</f>
        <v>95.82</v>
      </c>
      <c r="CS25">
        <f>SOFR3mo_PX[[#This Row],[Column97]]</f>
        <v>95.82</v>
      </c>
      <c r="CT25">
        <f>SOFR3mo_PX[[#This Row],[Column98]]</f>
        <v>95.875</v>
      </c>
      <c r="CU25">
        <f>SOFR3mo_PX[[#This Row],[Column99]]</f>
        <v>95.924999999999997</v>
      </c>
      <c r="CV25">
        <f>SOFR3mo_PX[[#This Row],[Column100]]</f>
        <v>95.814999999999998</v>
      </c>
      <c r="CW25">
        <f>SOFR3mo_PX[[#This Row],[Column101]]</f>
        <v>95.79</v>
      </c>
      <c r="CX25">
        <f>SOFR3mo_PX[[#This Row],[Column102]]</f>
        <v>95.745000000000005</v>
      </c>
      <c r="CY25">
        <f>SOFR3mo_PX[[#This Row],[Column103]]</f>
        <v>95.814999999999998</v>
      </c>
      <c r="CZ25">
        <f>SOFR3mo_PX[[#This Row],[Column104]]</f>
        <v>95.77</v>
      </c>
      <c r="DA25">
        <f>SOFR3mo_PX[[#This Row],[Column105]]</f>
        <v>95.78</v>
      </c>
      <c r="DB25">
        <f>SOFR3mo_PX[[#This Row],[Column106]]</f>
        <v>95.805000000000007</v>
      </c>
      <c r="DC25">
        <f>SOFR3mo_PX[[#This Row],[Column107]]</f>
        <v>95.694999999999993</v>
      </c>
      <c r="DD25">
        <f>SOFR3mo_PX[[#This Row],[Column108]]</f>
        <v>95.694999999999993</v>
      </c>
      <c r="DE25">
        <f>SOFR3mo_PX[[#This Row],[Column109]]</f>
        <v>95.74</v>
      </c>
      <c r="DF25">
        <f>SOFR3mo_PX[[#This Row],[Column110]]</f>
        <v>95.77</v>
      </c>
      <c r="DG25">
        <f>SOFR3mo_PX[[#This Row],[Column111]]</f>
        <v>95.724999999999994</v>
      </c>
      <c r="DH25">
        <f>SOFR3mo_PX[[#This Row],[Column112]]</f>
        <v>95.724999999999994</v>
      </c>
      <c r="DI25">
        <f>SOFR3mo_PX[[#This Row],[Column113]]</f>
        <v>95.724999999999994</v>
      </c>
      <c r="DJ25">
        <f>SOFR3mo_PX[[#This Row],[Column114]]</f>
        <v>95.685000000000002</v>
      </c>
      <c r="DK25">
        <f>SOFR3mo_PX[[#This Row],[Column115]]</f>
        <v>95.54</v>
      </c>
      <c r="DL25">
        <f>SOFR3mo_PX[[#This Row],[Column116]]</f>
        <v>95.525000000000006</v>
      </c>
      <c r="DM25">
        <f>SOFR3mo_PX[[#This Row],[Column117]]</f>
        <v>95.564999999999998</v>
      </c>
      <c r="DN25">
        <f>SOFR3mo_PX[[#This Row],[Column118]]</f>
        <v>95.64</v>
      </c>
      <c r="DO25">
        <f>SOFR3mo_PX[[#This Row],[Column119]]</f>
        <v>95.625</v>
      </c>
      <c r="DP25">
        <f>SOFR3mo_PX[[#This Row],[Column120]]</f>
        <v>95.635000000000005</v>
      </c>
      <c r="DQ25">
        <f>SOFR3mo_PX[[#This Row],[Column121]]</f>
        <v>95.72</v>
      </c>
      <c r="DR25">
        <f>SOFR3mo_PX[[#This Row],[Column122]]</f>
        <v>95.775000000000006</v>
      </c>
      <c r="DS25">
        <f>SOFR3mo_PX[[#This Row],[Column123]]</f>
        <v>95.79</v>
      </c>
      <c r="DT25">
        <f>SOFR3mo_PX[[#This Row],[Column124]]</f>
        <v>95.784999999999997</v>
      </c>
      <c r="DU25">
        <f>SOFR3mo_PX[[#This Row],[Column125]]</f>
        <v>95.784999999999997</v>
      </c>
      <c r="DV25">
        <f>SOFR3mo_PX[[#This Row],[Column126]]</f>
        <v>95.825000000000003</v>
      </c>
      <c r="DW25">
        <f>SOFR3mo_PX[[#This Row],[Column127]]</f>
        <v>95.745000000000005</v>
      </c>
      <c r="DX25">
        <f>SOFR3mo_PX[[#This Row],[Column128]]</f>
        <v>95.805000000000007</v>
      </c>
      <c r="DY25">
        <f>SOFR3mo_PX[[#This Row],[Column129]]</f>
        <v>95.79</v>
      </c>
      <c r="DZ25">
        <f>SOFR3mo_PX[[#This Row],[Column130]]</f>
        <v>95.79</v>
      </c>
      <c r="EA25">
        <f>SOFR3mo_PX[[#This Row],[Column131]]</f>
        <v>95.765000000000001</v>
      </c>
      <c r="EB25">
        <f>SOFR3mo_PX[[#This Row],[Column132]]</f>
        <v>95.864999999999995</v>
      </c>
      <c r="EC25">
        <f>SOFR3mo_PX[[#This Row],[Column133]]</f>
        <v>95.795000000000002</v>
      </c>
      <c r="ED25">
        <f>SOFR3mo_PX[[#This Row],[Column134]]</f>
        <v>95.924999999999997</v>
      </c>
      <c r="EE25">
        <f>SOFR3mo_PX[[#This Row],[Column135]]</f>
        <v>96.064999999999998</v>
      </c>
      <c r="EF25">
        <f>SOFR3mo_PX[[#This Row],[Column136]]</f>
        <v>96.05</v>
      </c>
      <c r="EG25">
        <f>SOFR3mo_PX[[#This Row],[Column137]]</f>
        <v>96.05</v>
      </c>
      <c r="EH25">
        <f>SOFR3mo_PX[[#This Row],[Column138]]</f>
        <v>96.135000000000005</v>
      </c>
      <c r="EI25">
        <f>SOFR3mo_PX[[#This Row],[Column139]]</f>
        <v>96.194999999999993</v>
      </c>
      <c r="EJ25">
        <f>SOFR3mo_PX[[#This Row],[Column140]]</f>
        <v>96.254999999999995</v>
      </c>
      <c r="EK25">
        <f>SOFR3mo_PX[[#This Row],[Column141]]</f>
        <v>96.28</v>
      </c>
      <c r="EL25">
        <f>SOFR3mo_PX[[#This Row],[Column142]]</f>
        <v>96.32</v>
      </c>
      <c r="EM25">
        <f>SOFR3mo_PX[[#This Row],[Column143]]</f>
        <v>96.284999999999997</v>
      </c>
      <c r="EN25">
        <f>SOFR3mo_PX[[#This Row],[Column144]]</f>
        <v>96.27</v>
      </c>
      <c r="EO25">
        <f>SOFR3mo_PX[[#This Row],[Column145]]</f>
        <v>96.24</v>
      </c>
      <c r="EP25">
        <f>SOFR3mo_PX[[#This Row],[Column146]]</f>
        <v>96.275000000000006</v>
      </c>
      <c r="EQ25">
        <f>SOFR3mo_PX[[#This Row],[Column147]]</f>
        <v>96.275000000000006</v>
      </c>
      <c r="ER25">
        <f>SOFR3mo_PX[[#This Row],[Column148]]</f>
        <v>96.24</v>
      </c>
      <c r="ES25">
        <f>SOFR3mo_PX[[#This Row],[Column149]]</f>
        <v>96.24</v>
      </c>
      <c r="ET25">
        <f>SOFR3mo_PX[[#This Row],[Column150]]</f>
        <v>96.174999999999997</v>
      </c>
      <c r="EU25">
        <f>SOFR3mo_PX[[#This Row],[Column151]]</f>
        <v>96.24</v>
      </c>
      <c r="EV25">
        <f>SOFR3mo_PX[[#This Row],[Column152]]</f>
        <v>96.09</v>
      </c>
      <c r="EW25">
        <f>SOFR3mo_PX[[#This Row],[Column153]]</f>
        <v>96.055000000000007</v>
      </c>
      <c r="EX25">
        <f>SOFR3mo_PX[[#This Row],[Column154]]</f>
        <v>96.055000000000007</v>
      </c>
      <c r="EY25">
        <f>SOFR3mo_PX[[#This Row],[Column155]]</f>
        <v>96.084999999999994</v>
      </c>
      <c r="EZ25">
        <f>SOFR3mo_PX[[#This Row],[Column156]]</f>
        <v>96.05</v>
      </c>
      <c r="FA25">
        <f>SOFR3mo_PX[[#This Row],[Column157]]</f>
        <v>96.04</v>
      </c>
      <c r="FB25">
        <f>SOFR3mo_PX[[#This Row],[Column158]]</f>
        <v>96.045000000000002</v>
      </c>
      <c r="FC25">
        <f>SOFR3mo_PX[[#This Row],[Column159]]</f>
        <v>96.01</v>
      </c>
      <c r="FD25">
        <f>SOFR3mo_PX[[#This Row],[Column160]]</f>
        <v>96.034999999999997</v>
      </c>
      <c r="FE25">
        <f>SOFR3mo_PX[[#This Row],[Column161]]</f>
        <v>96.094999999999999</v>
      </c>
      <c r="FF25">
        <f>SOFR3mo_PX[[#This Row],[Column162]]</f>
        <v>96.15</v>
      </c>
      <c r="FG25">
        <f>SOFR3mo_PX[[#This Row],[Column163]]</f>
        <v>96.105000000000004</v>
      </c>
      <c r="FH25">
        <f>SOFR3mo_PX[[#This Row],[Column164]]</f>
        <v>96</v>
      </c>
      <c r="FI25">
        <f>SOFR3mo_PX[[#This Row],[Column165]]</f>
        <v>96.174999999999997</v>
      </c>
      <c r="FJ25">
        <f>SOFR3mo_PX[[#This Row],[Column166]]</f>
        <v>96.15</v>
      </c>
      <c r="FK25">
        <f>SOFR3mo_PX[[#This Row],[Column167]]</f>
        <v>96.084999999999994</v>
      </c>
      <c r="FL25">
        <f>SOFR3mo_PX[[#This Row],[Column168]]</f>
        <v>96.144999999999996</v>
      </c>
      <c r="FM25">
        <f>SOFR3mo_PX[[#This Row],[Column169]]</f>
        <v>96.16</v>
      </c>
      <c r="FN25">
        <f>SOFR3mo_PX[[#This Row],[Column170]]</f>
        <v>96.13</v>
      </c>
      <c r="FO25">
        <f>SOFR3mo_PX[[#This Row],[Column171]]</f>
        <v>96.125</v>
      </c>
      <c r="FP25">
        <f>SOFR3mo_PX[[#This Row],[Column172]]</f>
        <v>96.165000000000006</v>
      </c>
      <c r="FQ25">
        <f>SOFR3mo_PX[[#This Row],[Column173]]</f>
        <v>96.19</v>
      </c>
      <c r="FR25">
        <f>SOFR3mo_PX[[#This Row],[Column174]]</f>
        <v>96.14</v>
      </c>
      <c r="FS25">
        <f>SOFR3mo_PX[[#This Row],[Column175]]</f>
        <v>96.17</v>
      </c>
      <c r="FT25">
        <f>SOFR3mo_PX[[#This Row],[Column176]]</f>
        <v>96.194999999999993</v>
      </c>
      <c r="FU25">
        <f>SOFR3mo_PX[[#This Row],[Column177]]</f>
        <v>96.31</v>
      </c>
      <c r="FV25">
        <f>SOFR3mo_PX[[#This Row],[Column178]]</f>
        <v>96.295000000000002</v>
      </c>
      <c r="FW25">
        <f>SOFR3mo_PX[[#This Row],[Column179]]</f>
        <v>96.394999999999996</v>
      </c>
      <c r="FX25">
        <f>SOFR3mo_PX[[#This Row],[Column180]]</f>
        <v>96.375</v>
      </c>
      <c r="FY25">
        <f>SOFR3mo_PX[[#This Row],[Column181]]</f>
        <v>96.28</v>
      </c>
      <c r="FZ25">
        <f>SOFR3mo_PX[[#This Row],[Column182]]</f>
        <v>96.32</v>
      </c>
      <c r="GA25">
        <f>SOFR3mo_PX[[#This Row],[Column183]]</f>
        <v>96.31</v>
      </c>
      <c r="GB25">
        <f>SOFR3mo_PX[[#This Row],[Column184]]</f>
        <v>96.355000000000004</v>
      </c>
      <c r="GC25">
        <f>SOFR3mo_PX[[#This Row],[Column185]]</f>
        <v>96.38</v>
      </c>
      <c r="GD25">
        <f>SOFR3mo_PX[[#This Row],[Column186]]</f>
        <v>96.394999999999996</v>
      </c>
      <c r="GE25">
        <f>SOFR3mo_PX[[#This Row],[Column187]]</f>
        <v>96.43</v>
      </c>
      <c r="GF25">
        <f>SOFR3mo_PX[[#This Row],[Column188]]</f>
        <v>96.51</v>
      </c>
      <c r="GG25">
        <f>SOFR3mo_PX[[#This Row],[Column189]]</f>
        <v>96.58</v>
      </c>
      <c r="GH25">
        <f>SOFR3mo_PX[[#This Row],[Column190]]</f>
        <v>96.625</v>
      </c>
      <c r="GI25">
        <f>SOFR3mo_PX[[#This Row],[Column191]]</f>
        <v>96.555000000000007</v>
      </c>
      <c r="GJ25">
        <f>SOFR3mo_PX[[#This Row],[Column192]]</f>
        <v>96.594999999999999</v>
      </c>
      <c r="GK25">
        <f>SOFR3mo_PX[[#This Row],[Column193]]</f>
        <v>96.564999999999998</v>
      </c>
      <c r="GL25">
        <f>SOFR3mo_PX[[#This Row],[Column194]]</f>
        <v>96.545000000000002</v>
      </c>
      <c r="GM25">
        <f>SOFR3mo_PX[[#This Row],[Column195]]</f>
        <v>96.584999999999994</v>
      </c>
      <c r="GN25">
        <f>SOFR3mo_PX[[#This Row],[Column196]]</f>
        <v>96.59</v>
      </c>
      <c r="GO25">
        <f>SOFR3mo_PX[[#This Row],[Column197]]</f>
        <v>96.605000000000004</v>
      </c>
      <c r="GP25">
        <f>SOFR3mo_PX[[#This Row],[Column198]]</f>
        <v>96.584999999999994</v>
      </c>
      <c r="GQ25">
        <f>SOFR3mo_PX[[#This Row],[Column199]]</f>
        <v>96.66</v>
      </c>
      <c r="GR25">
        <f>SOFR3mo_PX[[#This Row],[Column200]]</f>
        <v>96.74</v>
      </c>
      <c r="GS25">
        <f>SOFR3mo_PX[[#This Row],[Column201]]</f>
        <v>96.734999999999999</v>
      </c>
      <c r="GT25">
        <f>SOFR3mo_PX[[#This Row],[Column202]]</f>
        <v>96.715000000000003</v>
      </c>
      <c r="GU25">
        <f>SOFR3mo_PX[[#This Row],[Column203]]</f>
        <v>96.704999999999998</v>
      </c>
      <c r="GV25">
        <f>SOFR3mo_PX[[#This Row],[Column204]]</f>
        <v>96.734999999999999</v>
      </c>
      <c r="GW25">
        <f>SOFR3mo_PX[[#This Row],[Column205]]</f>
        <v>96.74</v>
      </c>
      <c r="GX25">
        <f>SOFR3mo_PX[[#This Row],[Column206]]</f>
        <v>96.685000000000002</v>
      </c>
      <c r="GY25">
        <f>SOFR3mo_PX[[#This Row],[Column207]]</f>
        <v>96.66</v>
      </c>
      <c r="GZ25">
        <f>SOFR3mo_PX[[#This Row],[Column208]]</f>
        <v>96.67</v>
      </c>
      <c r="HA25">
        <f>SOFR3mo_PX[[#This Row],[Column209]]</f>
        <v>96.635000000000005</v>
      </c>
      <c r="HB25">
        <f>SOFR3mo_PX[[#This Row],[Column210]]</f>
        <v>96.584999999999994</v>
      </c>
      <c r="HC25">
        <f>SOFR3mo_PX[[#This Row],[Column211]]</f>
        <v>96.504999999999995</v>
      </c>
      <c r="HD25">
        <f>SOFR3mo_PX[[#This Row],[Column212]]</f>
        <v>96.504999999999995</v>
      </c>
      <c r="HE25">
        <f>SOFR3mo_PX[[#This Row],[Column213]]</f>
        <v>96.55</v>
      </c>
      <c r="HF25">
        <f>SOFR3mo_PX[[#This Row],[Column214]]</f>
        <v>96.564999999999998</v>
      </c>
      <c r="HG25">
        <f>SOFR3mo_PX[[#This Row],[Column215]]</f>
        <v>96.58</v>
      </c>
      <c r="HH25">
        <f>SOFR3mo_PX[[#This Row],[Column216]]</f>
        <v>96.6</v>
      </c>
      <c r="HI25">
        <f>SOFR3mo_PX[[#This Row],[Column217]]</f>
        <v>96.59</v>
      </c>
      <c r="HJ25">
        <f>SOFR3mo_PX[[#This Row],[Column218]]</f>
        <v>96.53</v>
      </c>
      <c r="HK25">
        <f>SOFR3mo_PX[[#This Row],[Column219]]</f>
        <v>96.605000000000004</v>
      </c>
      <c r="HL25">
        <f>SOFR3mo_PX[[#This Row],[Column220]]</f>
        <v>96.58</v>
      </c>
      <c r="HM25">
        <f>SOFR3mo_PX[[#This Row],[Column221]]</f>
        <v>96.53</v>
      </c>
      <c r="HN25">
        <f>SOFR3mo_PX[[#This Row],[Column222]]</f>
        <v>96.49</v>
      </c>
      <c r="HO25">
        <f>SOFR3mo_PX[[#This Row],[Column223]]</f>
        <v>96.45</v>
      </c>
      <c r="HP25">
        <f>SOFR3mo_PX[[#This Row],[Column224]]</f>
        <v>96.525000000000006</v>
      </c>
      <c r="HQ25">
        <f>SOFR3mo_PX[[#This Row],[Column225]]</f>
        <v>96.49</v>
      </c>
      <c r="HR25">
        <f>SOFR3mo_PX[[#This Row],[Column226]]</f>
        <v>96.46</v>
      </c>
      <c r="HS25">
        <f>SOFR3mo_PX[[#This Row],[Column227]]</f>
        <v>96.42</v>
      </c>
      <c r="HT25">
        <f>SOFR3mo_PX[[#This Row],[Column228]]</f>
        <v>96.34</v>
      </c>
      <c r="HU25">
        <f>SOFR3mo_PX[[#This Row],[Column229]]</f>
        <v>96.35</v>
      </c>
      <c r="HV25">
        <f>SOFR3mo_PX[[#This Row],[Column230]]</f>
        <v>96.435000000000002</v>
      </c>
      <c r="HW25">
        <f>SOFR3mo_PX[[#This Row],[Column231]]</f>
        <v>96.534999999999997</v>
      </c>
      <c r="HX25">
        <f>SOFR3mo_PX[[#This Row],[Column232]]</f>
        <v>96.545000000000002</v>
      </c>
      <c r="HY25">
        <f>SOFR3mo_PX[[#This Row],[Column233]]</f>
        <v>96.41</v>
      </c>
      <c r="HZ25">
        <f>SOFR3mo_PX[[#This Row],[Column234]]</f>
        <v>96.31</v>
      </c>
      <c r="IA25">
        <f>SOFR3mo_PX[[#This Row],[Column235]]</f>
        <v>96.275000000000006</v>
      </c>
      <c r="IB25">
        <f>SOFR3mo_PX[[#This Row],[Column236]]</f>
        <v>96.24</v>
      </c>
      <c r="IC25">
        <f>SOFR3mo_PX[[#This Row],[Column237]]</f>
        <v>96.215000000000003</v>
      </c>
      <c r="ID25">
        <f>SOFR3mo_PX[[#This Row],[Column238]]</f>
        <v>96.17</v>
      </c>
      <c r="IE25">
        <f>SOFR3mo_PX[[#This Row],[Column239]]</f>
        <v>96.125</v>
      </c>
      <c r="IF25">
        <f>SOFR3mo_PX[[#This Row],[Column240]]</f>
        <v>96.194999999999993</v>
      </c>
      <c r="IG25">
        <f>SOFR3mo_PX[[#This Row],[Column241]]</f>
        <v>96.18</v>
      </c>
      <c r="IH25">
        <f>SOFR3mo_PX[[#This Row],[Column242]]</f>
        <v>96.19</v>
      </c>
      <c r="II25">
        <f>SOFR3mo_PX[[#This Row],[Column243]]</f>
        <v>96.24</v>
      </c>
      <c r="IJ25">
        <f>SOFR3mo_PX[[#This Row],[Column244]]</f>
        <v>96.295000000000002</v>
      </c>
      <c r="IK25">
        <f>SOFR3mo_PX[[#This Row],[Column245]]</f>
        <v>96.27</v>
      </c>
      <c r="IL25">
        <f>SOFR3mo_PX[[#This Row],[Column246]]</f>
        <v>96.194999999999993</v>
      </c>
      <c r="IM25">
        <f>SOFR3mo_PX[[#This Row],[Column247]]</f>
        <v>96.24</v>
      </c>
      <c r="IN25">
        <f>SOFR3mo_PX[[#This Row],[Column248]]</f>
        <v>96.26</v>
      </c>
      <c r="IO25">
        <f>SOFR3mo_PX[[#This Row],[Column249]]</f>
        <v>96.174999999999997</v>
      </c>
      <c r="IP25">
        <f>SOFR3mo_PX[[#This Row],[Column250]]</f>
        <v>96.144999999999996</v>
      </c>
      <c r="IQ25">
        <f>SOFR3mo_PX[[#This Row],[Column251]]</f>
        <v>96.185000000000002</v>
      </c>
      <c r="IR25">
        <f>SOFR3mo_PX[[#This Row],[Column252]]</f>
        <v>96.18</v>
      </c>
      <c r="IS25">
        <f>SOFR3mo_PX[[#This Row],[Column253]]</f>
        <v>96.11</v>
      </c>
      <c r="IT25">
        <f>SOFR3mo_PX[[#This Row],[Column254]]</f>
        <v>96.11</v>
      </c>
      <c r="IU25">
        <f>SOFR3mo_PX[[#This Row],[Column255]]</f>
        <v>96.004999999999995</v>
      </c>
      <c r="IV25">
        <f>SOFR3mo_PX[[#This Row],[Column256]]</f>
        <v>95.96</v>
      </c>
      <c r="IW25">
        <f>SOFR3mo_PX[[#This Row],[Column257]]</f>
        <v>96.12</v>
      </c>
      <c r="IX25">
        <f>SOFR3mo_PX[[#This Row],[Column258]]</f>
        <v>96.185000000000002</v>
      </c>
      <c r="IY25">
        <f>SOFR3mo_PX[[#This Row],[Column259]]</f>
        <v>96.15</v>
      </c>
      <c r="IZ25">
        <f>SOFR3mo_PX[[#This Row],[Column260]]</f>
        <v>96.24</v>
      </c>
      <c r="JA25">
        <f>SOFR3mo_PX[[#This Row],[Column261]]</f>
        <v>96.23</v>
      </c>
      <c r="JB25">
        <f>SOFR3mo_PX[[#This Row],[Column262]]</f>
        <v>96.204999999999998</v>
      </c>
      <c r="JC25">
        <f>SOFR3mo_PX[[#This Row],[Column263]]</f>
        <v>96.215000000000003</v>
      </c>
      <c r="JD25">
        <f>SOFR3mo_PX[[#This Row],[Column264]]</f>
        <v>96.29</v>
      </c>
      <c r="JE25">
        <f>SOFR3mo_PX[[#This Row],[Column265]]</f>
        <v>96.29</v>
      </c>
      <c r="JF25">
        <f>SOFR3mo_PX[[#This Row],[Column266]]</f>
        <v>96.23</v>
      </c>
      <c r="JG25">
        <f>SOFR3mo_PX[[#This Row],[Column267]]</f>
        <v>96.31</v>
      </c>
      <c r="JH25">
        <f>SOFR3mo_PX[[#This Row],[Column268]]</f>
        <v>96.245000000000005</v>
      </c>
      <c r="JI25">
        <f>SOFR3mo_PX[[#This Row],[Column269]]</f>
        <v>96.19</v>
      </c>
      <c r="JJ25">
        <f>SOFR3mo_PX[[#This Row],[Column270]]</f>
        <v>96.075000000000003</v>
      </c>
      <c r="JK25">
        <f>SOFR3mo_PX[[#This Row],[Column271]]</f>
        <v>95.995000000000005</v>
      </c>
      <c r="JL25">
        <f>SOFR3mo_PX[[#This Row],[Column272]]</f>
        <v>96.04</v>
      </c>
      <c r="JM25">
        <f>SOFR3mo_PX[[#This Row],[Column273]]</f>
        <v>96.185000000000002</v>
      </c>
      <c r="JN25">
        <f>SOFR3mo_PX[[#This Row],[Column274]]</f>
        <v>96.185000000000002</v>
      </c>
      <c r="JO25">
        <f>SOFR3mo_PX[[#This Row],[Column275]]</f>
        <v>96.15</v>
      </c>
      <c r="JP25">
        <f>SOFR3mo_PX[[#This Row],[Column276]]</f>
        <v>96.064999999999998</v>
      </c>
      <c r="JQ25">
        <f>SOFR3mo_PX[[#This Row],[Column277]]</f>
        <v>95.94</v>
      </c>
      <c r="JR25">
        <f>SOFR3mo_PX[[#This Row],[Column278]]</f>
        <v>95.915000000000006</v>
      </c>
      <c r="JS25">
        <f>SOFR3mo_PX[[#This Row],[Column279]]</f>
        <v>95.855000000000004</v>
      </c>
      <c r="JT25">
        <f>SOFR3mo_PX[[#This Row],[Column280]]</f>
        <v>95.954999999999998</v>
      </c>
      <c r="JU25">
        <f>SOFR3mo_PX[[#This Row],[Column281]]</f>
        <v>96.03</v>
      </c>
      <c r="JV25">
        <f>SOFR3mo_PX[[#This Row],[Column282]]</f>
        <v>96.03</v>
      </c>
      <c r="JW25">
        <f>SOFR3mo_PX[[#This Row],[Column283]]</f>
        <v>96.015000000000001</v>
      </c>
      <c r="JX25">
        <f>SOFR3mo_PX[[#This Row],[Column284]]</f>
        <v>96.02</v>
      </c>
      <c r="JY25">
        <f>SOFR3mo_PX[[#This Row],[Column285]]</f>
        <v>96.025000000000006</v>
      </c>
      <c r="JZ25">
        <f>SOFR3mo_PX[[#This Row],[Column286]]</f>
        <v>95.995000000000005</v>
      </c>
      <c r="KA25">
        <f>SOFR3mo_PX[[#This Row],[Column287]]</f>
        <v>96.01</v>
      </c>
      <c r="KB25">
        <f>SOFR3mo_PX[[#This Row],[Column288]]</f>
        <v>96.055000000000007</v>
      </c>
      <c r="KC25">
        <f>SOFR3mo_PX[[#This Row],[Column289]]</f>
        <v>96.06</v>
      </c>
      <c r="KD25">
        <f>SOFR3mo_PX[[#This Row],[Column290]]</f>
        <v>95.99</v>
      </c>
      <c r="KE25">
        <f>SOFR3mo_PX[[#This Row],[Column291]]</f>
        <v>95.954999999999998</v>
      </c>
      <c r="KF25">
        <f>SOFR3mo_PX[[#This Row],[Column292]]</f>
        <v>95.93</v>
      </c>
      <c r="KG25">
        <f>SOFR3mo_PX[[#This Row],[Column293]]</f>
        <v>95.984999999999999</v>
      </c>
      <c r="KH25">
        <f>SOFR3mo_PX[[#This Row],[Column294]]</f>
        <v>95.954999999999998</v>
      </c>
      <c r="KI25">
        <f>SOFR3mo_PX[[#This Row],[Column295]]</f>
        <v>95.995000000000005</v>
      </c>
      <c r="KJ25">
        <f>SOFR3mo_PX[[#This Row],[Column296]]</f>
        <v>95.95</v>
      </c>
      <c r="KK25">
        <f>SOFR3mo_PX[[#This Row],[Column297]]</f>
        <v>95.93</v>
      </c>
      <c r="KL25">
        <f>SOFR3mo_PX[[#This Row],[Column298]]</f>
        <v>95.855000000000004</v>
      </c>
      <c r="KM25">
        <f>SOFR3mo_PX[[#This Row],[Column299]]</f>
        <v>95.84</v>
      </c>
      <c r="KN25">
        <f>SOFR3mo_PX[[#This Row],[Column300]]</f>
        <v>95.77</v>
      </c>
      <c r="KO25">
        <f>SOFR3mo_PX[[#This Row],[Column301]]</f>
        <v>95.84</v>
      </c>
      <c r="KP25">
        <f>SOFR3mo_PX[[#This Row],[Column302]]</f>
        <v>95.76</v>
      </c>
      <c r="KQ25">
        <f>SOFR3mo_PX[[#This Row],[Column303]]</f>
        <v>95.72</v>
      </c>
      <c r="KR25">
        <f>SOFR3mo_PX[[#This Row],[Column304]]</f>
        <v>95.775000000000006</v>
      </c>
      <c r="KS25">
        <f>SOFR3mo_PX[[#This Row],[Column305]]</f>
        <v>95.85</v>
      </c>
      <c r="KT25">
        <f>SOFR3mo_PX[[#This Row],[Column306]]</f>
        <v>95.83</v>
      </c>
      <c r="KU25">
        <f>SOFR3mo_PX[[#This Row],[Column307]]</f>
        <v>95.844999999999999</v>
      </c>
      <c r="KV25">
        <f>SOFR3mo_PX[[#This Row],[Column308]]</f>
        <v>95.81</v>
      </c>
      <c r="KW25">
        <f>SOFR3mo_PX[[#This Row],[Column309]]</f>
        <v>95.87</v>
      </c>
      <c r="KX25">
        <f>SOFR3mo_PX[[#This Row],[Column310]]</f>
        <v>95.795000000000002</v>
      </c>
      <c r="KY25">
        <f>SOFR3mo_PX[[#This Row],[Column311]]</f>
        <v>95.83</v>
      </c>
      <c r="KZ25">
        <f>SOFR3mo_PX[[#This Row],[Column312]]</f>
        <v>95.97</v>
      </c>
      <c r="LA25">
        <f>SOFR3mo_PX[[#This Row],[Column313]]</f>
        <v>95.88</v>
      </c>
      <c r="LB25">
        <f>SOFR3mo_PX[[#This Row],[Column314]]</f>
        <v>95.91</v>
      </c>
      <c r="LC25">
        <f>SOFR3mo_PX[[#This Row],[Column315]]</f>
        <v>96.064999999999998</v>
      </c>
      <c r="LD25">
        <f>SOFR3mo_PX[[#This Row],[Column316]]</f>
        <v>96.004999999999995</v>
      </c>
      <c r="LE25">
        <f>SOFR3mo_PX[[#This Row],[Column317]]</f>
        <v>96.05</v>
      </c>
      <c r="LF25">
        <f>SOFR3mo_PX[[#This Row],[Column318]]</f>
        <v>96.1</v>
      </c>
      <c r="LG25">
        <f>SOFR3mo_PX[[#This Row],[Column319]]</f>
        <v>96.05</v>
      </c>
      <c r="LH25">
        <f>SOFR3mo_PX[[#This Row],[Column320]]</f>
        <v>96.04</v>
      </c>
      <c r="LI25">
        <f>SOFR3mo_PX[[#This Row],[Column321]]</f>
        <v>96.084999999999994</v>
      </c>
      <c r="LJ25">
        <f>SOFR3mo_PX[[#This Row],[Column322]]</f>
        <v>96.215000000000003</v>
      </c>
      <c r="LK25">
        <f>SOFR3mo_PX[[#This Row],[Column323]]</f>
        <v>96.215000000000003</v>
      </c>
      <c r="LL25">
        <f>SOFR3mo_PX[[#This Row],[Column324]]</f>
        <v>96.185000000000002</v>
      </c>
      <c r="LM25">
        <f>SOFR3mo_PX[[#This Row],[Column325]]</f>
        <v>96.15</v>
      </c>
      <c r="LN25">
        <f>SOFR3mo_PX[[#This Row],[Column326]]</f>
        <v>96.12</v>
      </c>
      <c r="LO25">
        <f>SOFR3mo_PX[[#This Row],[Column327]]</f>
        <v>96.155000000000001</v>
      </c>
      <c r="LP25">
        <f>SOFR3mo_PX[[#This Row],[Column328]]</f>
        <v>96.094999999999999</v>
      </c>
      <c r="LQ25">
        <f>SOFR3mo_PX[[#This Row],[Column329]]</f>
        <v>96.1</v>
      </c>
      <c r="LR25">
        <f>SOFR3mo_PX[[#This Row],[Column330]]</f>
        <v>96.15</v>
      </c>
      <c r="LS25">
        <f>SOFR3mo_PX[[#This Row],[Column331]]</f>
        <v>96.114999999999995</v>
      </c>
      <c r="LT25">
        <f>SOFR3mo_PX[[#This Row],[Column332]]</f>
        <v>96.155000000000001</v>
      </c>
      <c r="LU25">
        <f>SOFR3mo_PX[[#This Row],[Column333]]</f>
        <v>96.144999999999996</v>
      </c>
      <c r="LV25">
        <f>SOFR3mo_PX[[#This Row],[Column334]]</f>
        <v>96.26</v>
      </c>
      <c r="LW25">
        <f>SOFR3mo_PX[[#This Row],[Column335]]</f>
        <v>96.275000000000006</v>
      </c>
      <c r="LX25">
        <f>SOFR3mo_PX[[#This Row],[Column336]]</f>
        <v>96.325000000000003</v>
      </c>
      <c r="LY25">
        <f>SOFR3mo_PX[[#This Row],[Column337]]</f>
        <v>96.325000000000003</v>
      </c>
      <c r="LZ25">
        <f>SOFR3mo_PX[[#This Row],[Column338]]</f>
        <v>96.34</v>
      </c>
      <c r="MA25">
        <f>SOFR3mo_PX[[#This Row],[Column339]]</f>
        <v>96.334999999999994</v>
      </c>
      <c r="MB25">
        <f>SOFR3mo_PX[[#This Row],[Column340]]</f>
        <v>96.295000000000002</v>
      </c>
      <c r="MC25">
        <f>SOFR3mo_PX[[#This Row],[Column341]]</f>
        <v>96.204999999999998</v>
      </c>
      <c r="MD25">
        <f>SOFR3mo_PX[[#This Row],[Column342]]</f>
        <v>96.23</v>
      </c>
      <c r="ME25">
        <f>SOFR3mo_PX[[#This Row],[Column343]]</f>
        <v>96.17</v>
      </c>
      <c r="MF25">
        <f>SOFR3mo_PX[[#This Row],[Column344]]</f>
        <v>96.165000000000006</v>
      </c>
      <c r="MG25">
        <f>SOFR3mo_PX[[#This Row],[Column345]]</f>
        <v>96.155000000000001</v>
      </c>
      <c r="MH25">
        <f>SOFR3mo_PX[[#This Row],[Column346]]</f>
        <v>96.174999999999997</v>
      </c>
      <c r="MI25">
        <f>SOFR3mo_PX[[#This Row],[Column347]]</f>
        <v>96.185000000000002</v>
      </c>
      <c r="MJ25">
        <f>SOFR3mo_PX[[#This Row],[Column348]]</f>
        <v>96.094999999999999</v>
      </c>
      <c r="MK25">
        <f>SOFR3mo_PX[[#This Row],[Column349]]</f>
        <v>96.07</v>
      </c>
      <c r="ML25">
        <f>SOFR3mo_PX[[#This Row],[Column350]]</f>
        <v>96.114999999999995</v>
      </c>
      <c r="MM25">
        <f>SOFR3mo_PX[[#This Row],[Column351]]</f>
        <v>96.094999999999999</v>
      </c>
      <c r="MN25">
        <f>SOFR3mo_PX[[#This Row],[Column352]]</f>
        <v>96.094999999999999</v>
      </c>
      <c r="MO25">
        <f>SOFR3mo_PX[[#This Row],[Column353]]</f>
        <v>96.135000000000005</v>
      </c>
      <c r="MP25">
        <f>SOFR3mo_PX[[#This Row],[Column354]]</f>
        <v>96.105000000000004</v>
      </c>
      <c r="MQ25">
        <f>SOFR3mo_PX[[#This Row],[Column355]]</f>
        <v>96.064999999999998</v>
      </c>
      <c r="MR25">
        <f>SOFR3mo_PX[[#This Row],[Column356]]</f>
        <v>96.174999999999997</v>
      </c>
      <c r="MS25">
        <f>SOFR3mo_PX[[#This Row],[Column357]]</f>
        <v>96.155000000000001</v>
      </c>
      <c r="MT25">
        <f>SOFR3mo_PX[[#This Row],[Column358]]</f>
        <v>96.17</v>
      </c>
      <c r="MU25">
        <f>SOFR3mo_PX[[#This Row],[Column359]]</f>
        <v>96.254999999999995</v>
      </c>
      <c r="MV25">
        <f>SOFR3mo_PX[[#This Row],[Column360]]</f>
        <v>96.27</v>
      </c>
      <c r="MW25">
        <f>SOFR3mo_PX[[#This Row],[Column361]]</f>
        <v>96.18</v>
      </c>
      <c r="MX25">
        <f>SOFR3mo_PX[[#This Row],[Column362]]</f>
        <v>96.31</v>
      </c>
      <c r="MY25">
        <f>SOFR3mo_PX[[#This Row],[Column363]]</f>
        <v>96.474999999999994</v>
      </c>
      <c r="MZ25">
        <f>SOFR3mo_PX[[#This Row],[Column364]]</f>
        <v>96.355000000000004</v>
      </c>
      <c r="NA25">
        <f>SOFR3mo_PX[[#This Row],[Column365]]</f>
        <v>96.27</v>
      </c>
      <c r="NB25">
        <f>SOFR3mo_PX[[#This Row],[Column366]]</f>
        <v>96.2</v>
      </c>
      <c r="NC25">
        <f>SOFR3mo_PX[[#This Row],[Column367]]</f>
        <v>96.125</v>
      </c>
      <c r="ND25">
        <f>SOFR3mo_PX[[#This Row],[Column368]]</f>
        <v>96.15</v>
      </c>
      <c r="NE25">
        <f>SOFR3mo_PX[[#This Row],[Column369]]</f>
        <v>96.12</v>
      </c>
      <c r="NF25">
        <f>SOFR3mo_PX[[#This Row],[Column370]]</f>
        <v>96.165000000000006</v>
      </c>
      <c r="NG25">
        <f>SOFR3mo_PX[[#This Row],[Column371]]</f>
        <v>96.22</v>
      </c>
      <c r="NH25">
        <f>SOFR3mo_PX[[#This Row],[Column372]]</f>
        <v>96.165000000000006</v>
      </c>
      <c r="NI25">
        <f>SOFR3mo_PX[[#This Row],[Column373]]</f>
        <v>96.155000000000001</v>
      </c>
      <c r="NJ25">
        <f>SOFR3mo_PX[[#This Row],[Column374]]</f>
        <v>96.204999999999998</v>
      </c>
      <c r="NK25">
        <f>SOFR3mo_PX[[#This Row],[Column375]]</f>
        <v>96.22</v>
      </c>
      <c r="NL25">
        <f>SOFR3mo_PX[[#This Row],[Column376]]</f>
        <v>96.344999999999999</v>
      </c>
      <c r="NM25">
        <f>SOFR3mo_PX[[#This Row],[Column377]]</f>
        <v>96.344999999999999</v>
      </c>
      <c r="NN25">
        <f>SOFR3mo_PX[[#This Row],[Column378]]</f>
        <v>96.355000000000004</v>
      </c>
      <c r="NO25">
        <f>SOFR3mo_PX[[#This Row],[Column379]]</f>
        <v>96.314999999999998</v>
      </c>
      <c r="NP25">
        <f>SOFR3mo_PX[[#This Row],[Column380]]</f>
        <v>96.325000000000003</v>
      </c>
      <c r="NQ25">
        <f>SOFR3mo_PX[[#This Row],[Column381]]</f>
        <v>96.33</v>
      </c>
      <c r="NR25">
        <f>SOFR3mo_PX[[#This Row],[Column382]]</f>
        <v>96.32</v>
      </c>
      <c r="NS25">
        <f>SOFR3mo_PX[[#This Row],[Column383]]</f>
        <v>96.375</v>
      </c>
      <c r="NT25">
        <f>SOFR3mo_PX[[#This Row],[Column384]]</f>
        <v>96.465000000000003</v>
      </c>
      <c r="NU25">
        <f>SOFR3mo_PX[[#This Row],[Column385]]</f>
        <v>96.42</v>
      </c>
      <c r="NV25">
        <f>SOFR3mo_PX[[#This Row],[Column386]]</f>
        <v>96.47</v>
      </c>
      <c r="NW25">
        <f>SOFR3mo_PX[[#This Row],[Column387]]</f>
        <v>96.47</v>
      </c>
      <c r="NX25">
        <f>SOFR3mo_PX[[#This Row],[Column388]]</f>
        <v>96.495000000000005</v>
      </c>
      <c r="NY25">
        <f>SOFR3mo_PX[[#This Row],[Column389]]</f>
        <v>96.564999999999998</v>
      </c>
      <c r="NZ25">
        <f>SOFR3mo_PX[[#This Row],[Column390]]</f>
        <v>96.46</v>
      </c>
      <c r="OA25">
        <f>SOFR3mo_PX[[#This Row],[Column391]]</f>
        <v>96.444999999999993</v>
      </c>
      <c r="OB25">
        <f>SOFR3mo_PX[[#This Row],[Column392]]</f>
        <v>96.444999999999993</v>
      </c>
      <c r="OC25">
        <f>SOFR3mo_PX[[#This Row],[Column393]]</f>
        <v>96.48</v>
      </c>
      <c r="OD25">
        <f>SOFR3mo_PX[[#This Row],[Column394]]</f>
        <v>96.515000000000001</v>
      </c>
      <c r="OE25">
        <f>SOFR3mo_PX[[#This Row],[Column395]]</f>
        <v>96.5</v>
      </c>
      <c r="OF25">
        <f>SOFR3mo_PX[[#This Row],[Column396]]</f>
        <v>96.465000000000003</v>
      </c>
      <c r="OG25">
        <f>SOFR3mo_PX[[#This Row],[Column397]]</f>
        <v>96.5</v>
      </c>
      <c r="OH25">
        <f>SOFR3mo_PX[[#This Row],[Column398]]</f>
        <v>96.474999999999994</v>
      </c>
      <c r="OI25">
        <f>SOFR3mo_PX[[#This Row],[Column399]]</f>
        <v>96.375</v>
      </c>
      <c r="OJ25">
        <f>SOFR3mo_PX[[#This Row],[Column400]]</f>
        <v>96.23</v>
      </c>
      <c r="OK25">
        <f>SOFR3mo_PX[[#This Row],[Column401]]</f>
        <v>96.185000000000002</v>
      </c>
      <c r="OL25">
        <f>SOFR3mo_PX[[#This Row],[Column402]]</f>
        <v>96.18</v>
      </c>
      <c r="OM25">
        <f>SOFR3mo_PX[[#This Row],[Column403]]</f>
        <v>96.29</v>
      </c>
      <c r="ON25">
        <f>SOFR3mo_PX[[#This Row],[Column404]]</f>
        <v>96.284999999999997</v>
      </c>
      <c r="OO25">
        <f>SOFR3mo_PX[[#This Row],[Column405]]</f>
        <v>96.22</v>
      </c>
      <c r="OP25">
        <f>SOFR3mo_PX[[#This Row],[Column406]]</f>
        <v>96.09</v>
      </c>
      <c r="OQ25">
        <f>SOFR3mo_PX[[#This Row],[Column407]]</f>
        <v>96.125</v>
      </c>
      <c r="OR25">
        <f>SOFR3mo_PX[[#This Row],[Column408]]</f>
        <v>96.01</v>
      </c>
      <c r="OS25">
        <f>SOFR3mo_PX[[#This Row],[Column409]]</f>
        <v>96.094999999999999</v>
      </c>
      <c r="OT25">
        <f>SOFR3mo_PX[[#This Row],[Column410]]</f>
        <v>96.03</v>
      </c>
      <c r="OU25">
        <f>SOFR3mo_PX[[#This Row],[Column411]]</f>
        <v>96.004999999999995</v>
      </c>
      <c r="OV25">
        <f>SOFR3mo_PX[[#This Row],[Column412]]</f>
        <v>95.885000000000005</v>
      </c>
      <c r="OW25">
        <f>SOFR3mo_PX[[#This Row],[Column413]]</f>
        <v>95.954999999999998</v>
      </c>
      <c r="OX25">
        <f>SOFR3mo_PX[[#This Row],[Column414]]</f>
        <v>95.954999999999998</v>
      </c>
      <c r="OY25">
        <f>SOFR3mo_PX[[#This Row],[Column415]]</f>
        <v>95.944999999999993</v>
      </c>
      <c r="OZ25">
        <f>SOFR3mo_PX[[#This Row],[Column416]]</f>
        <v>95.96</v>
      </c>
      <c r="PA25">
        <f>SOFR3mo_PX[[#This Row],[Column417]]</f>
        <v>95.92</v>
      </c>
      <c r="PB25">
        <f>SOFR3mo_PX[[#This Row],[Column418]]</f>
        <v>95.9</v>
      </c>
      <c r="PC25">
        <f>SOFR3mo_PX[[#This Row],[Column419]]</f>
        <v>95.8</v>
      </c>
      <c r="PD25">
        <f>SOFR3mo_PX[[#This Row],[Column420]]</f>
        <v>95.885000000000005</v>
      </c>
      <c r="PE25">
        <f>SOFR3mo_PX[[#This Row],[Column421]]</f>
        <v>95.7</v>
      </c>
      <c r="PF25">
        <f>SOFR3mo_PX[[#This Row],[Column422]]</f>
        <v>95.704999999999998</v>
      </c>
      <c r="PG25">
        <f>SOFR3mo_PX[[#This Row],[Column423]]</f>
        <v>95.694999999999993</v>
      </c>
      <c r="PH25">
        <f>SOFR3mo_PX[[#This Row],[Column424]]</f>
        <v>95.83</v>
      </c>
      <c r="PI25">
        <f>SOFR3mo_PX[[#This Row],[Column425]]</f>
        <v>95.75</v>
      </c>
      <c r="PJ25">
        <f>SOFR3mo_PX[[#This Row],[Column426]]</f>
        <v>95.635000000000005</v>
      </c>
      <c r="PK25">
        <f>SOFR3mo_PX[[#This Row],[Column427]]</f>
        <v>95.745000000000005</v>
      </c>
      <c r="PL25">
        <f>SOFR3mo_PX[[#This Row],[Column428]]</f>
        <v>95.625</v>
      </c>
      <c r="PM25">
        <f>SOFR3mo_PX[[#This Row],[Column429]]</f>
        <v>95.495000000000005</v>
      </c>
      <c r="PN25">
        <f>SOFR3mo_PX[[#This Row],[Column430]]</f>
        <v>95.405000000000001</v>
      </c>
      <c r="PO25">
        <f>SOFR3mo_PX[[#This Row],[Column431]]</f>
        <v>95.394999999999996</v>
      </c>
      <c r="PP25">
        <f>SOFR3mo_PX[[#This Row],[Column432]]</f>
        <v>95.405000000000001</v>
      </c>
      <c r="PQ25">
        <f>SOFR3mo_PX[[#This Row],[Column433]]</f>
        <v>95.405000000000001</v>
      </c>
      <c r="PR25">
        <f>SOFR3mo_PX[[#This Row],[Column434]]</f>
        <v>95.295000000000002</v>
      </c>
      <c r="PS25">
        <f>SOFR3mo_PX[[#This Row],[Column435]]</f>
        <v>95.435000000000002</v>
      </c>
      <c r="PT25">
        <f>SOFR3mo_PX[[#This Row],[Column436]]</f>
        <v>95.43</v>
      </c>
      <c r="PU25">
        <f>SOFR3mo_PX[[#This Row],[Column437]]</f>
        <v>95.325000000000003</v>
      </c>
      <c r="PV25">
        <f>SOFR3mo_PX[[#This Row],[Column438]]</f>
        <v>95.25</v>
      </c>
      <c r="PW25">
        <f>SOFR3mo_PX[[#This Row],[Column439]]</f>
        <v>95.38</v>
      </c>
      <c r="PX25">
        <f>SOFR3mo_PX[[#This Row],[Column440]]</f>
        <v>95.43</v>
      </c>
      <c r="PY25">
        <f>SOFR3mo_PX[[#This Row],[Column441]]</f>
        <v>95.564999999999998</v>
      </c>
      <c r="PZ25">
        <f>SOFR3mo_PX[[#This Row],[Column442]]</f>
        <v>95.65</v>
      </c>
      <c r="QA25">
        <f>SOFR3mo_PX[[#This Row],[Column443]]</f>
        <v>95.545000000000002</v>
      </c>
      <c r="QB25">
        <f>SOFR3mo_PX[[#This Row],[Column444]]</f>
        <v>95.66</v>
      </c>
      <c r="QC25">
        <f>SOFR3mo_PX[[#This Row],[Column445]]</f>
        <v>95.575000000000003</v>
      </c>
      <c r="QD25">
        <f>SOFR3mo_PX[[#This Row],[Column446]]</f>
        <v>95.56</v>
      </c>
      <c r="QE25">
        <f>SOFR3mo_PX[[#This Row],[Column447]]</f>
        <v>95.43</v>
      </c>
      <c r="QF25">
        <f>SOFR3mo_PX[[#This Row],[Column448]]</f>
        <v>95.49</v>
      </c>
      <c r="QG25">
        <f>SOFR3mo_PX[[#This Row],[Column449]]</f>
        <v>95.465000000000003</v>
      </c>
      <c r="QH25">
        <f>SOFR3mo_PX[[#This Row],[Column450]]</f>
        <v>95.41</v>
      </c>
      <c r="QI25">
        <f>SOFR3mo_PX[[#This Row],[Column451]]</f>
        <v>95.54</v>
      </c>
      <c r="QJ25">
        <f>SOFR3mo_PX[[#This Row],[Column452]]</f>
        <v>95.685000000000002</v>
      </c>
      <c r="QK25">
        <f>SOFR3mo_PX[[#This Row],[Column453]]</f>
        <v>95.65</v>
      </c>
      <c r="QL25">
        <f>SOFR3mo_PX[[#This Row],[Column454]]</f>
        <v>95.655000000000001</v>
      </c>
      <c r="QM25">
        <f>SOFR3mo_PX[[#This Row],[Column455]]</f>
        <v>95.73</v>
      </c>
      <c r="QN25">
        <f>SOFR3mo_PX[[#This Row],[Column456]]</f>
        <v>95.74</v>
      </c>
      <c r="QO25">
        <f>SOFR3mo_PX[[#This Row],[Column457]]</f>
        <v>95.89</v>
      </c>
      <c r="QP25">
        <f>SOFR3mo_PX[[#This Row],[Column458]]</f>
        <v>95.86</v>
      </c>
      <c r="QQ25">
        <f>SOFR3mo_PX[[#This Row],[Column459]]</f>
        <v>96.025000000000006</v>
      </c>
      <c r="QR25">
        <f>SOFR3mo_PX[[#This Row],[Column460]]</f>
        <v>96.025000000000006</v>
      </c>
      <c r="QS25">
        <f>SOFR3mo_PX[[#This Row],[Column461]]</f>
        <v>96.06</v>
      </c>
      <c r="QT25">
        <f>SOFR3mo_PX[[#This Row],[Column462]]</f>
        <v>96.04</v>
      </c>
      <c r="QU25">
        <f>SOFR3mo_PX[[#This Row],[Column463]]</f>
        <v>96.075000000000003</v>
      </c>
      <c r="QV25">
        <f>SOFR3mo_PX[[#This Row],[Column464]]</f>
        <v>96.13</v>
      </c>
      <c r="QW25">
        <f>SOFR3mo_PX[[#This Row],[Column465]]</f>
        <v>96.11</v>
      </c>
      <c r="QX25">
        <f>SOFR3mo_PX[[#This Row],[Column466]]</f>
        <v>96.064999999999998</v>
      </c>
      <c r="QY25">
        <f>SOFR3mo_PX[[#This Row],[Column467]]</f>
        <v>96.105000000000004</v>
      </c>
      <c r="QZ25">
        <f>SOFR3mo_PX[[#This Row],[Column468]]</f>
        <v>96.094999999999999</v>
      </c>
      <c r="RA25">
        <f>SOFR3mo_PX[[#This Row],[Column469]]</f>
        <v>96.08</v>
      </c>
      <c r="RB25">
        <f>SOFR3mo_PX[[#This Row],[Column470]]</f>
        <v>96.08</v>
      </c>
      <c r="RC25">
        <f>SOFR3mo_PX[[#This Row],[Column471]]</f>
        <v>96.15</v>
      </c>
      <c r="RD25">
        <f>SOFR3mo_PX[[#This Row],[Column472]]</f>
        <v>96.15</v>
      </c>
      <c r="RE25">
        <f>SOFR3mo_PX[[#This Row],[Column473]]</f>
        <v>96.245000000000005</v>
      </c>
      <c r="RF25">
        <f>SOFR3mo_PX[[#This Row],[Column474]]</f>
        <v>96.22</v>
      </c>
      <c r="RG25">
        <f>SOFR3mo_PX[[#This Row],[Column475]]</f>
        <v>96.224999999999994</v>
      </c>
      <c r="RH25">
        <f>SOFR3mo_PX[[#This Row],[Column476]]</f>
        <v>96.165000000000006</v>
      </c>
      <c r="RI25">
        <f>SOFR3mo_PX[[#This Row],[Column477]]</f>
        <v>96.125</v>
      </c>
      <c r="RJ25">
        <f>SOFR3mo_PX[[#This Row],[Column478]]</f>
        <v>96.12</v>
      </c>
      <c r="RK25">
        <f>SOFR3mo_PX[[#This Row],[Column479]]</f>
        <v>96.144999999999996</v>
      </c>
      <c r="RL25">
        <f>SOFR3mo_PX[[#This Row],[Column480]]</f>
        <v>95.995000000000005</v>
      </c>
      <c r="RM25">
        <f>SOFR3mo_PX[[#This Row],[Column481]]</f>
        <v>95.97</v>
      </c>
      <c r="RN25">
        <f>SOFR3mo_PX[[#This Row],[Column482]]</f>
        <v>96.064999999999998</v>
      </c>
      <c r="RO25">
        <f>SOFR3mo_PX[[#This Row],[Column483]]</f>
        <v>95.99</v>
      </c>
      <c r="RP25">
        <f>SOFR3mo_PX[[#This Row],[Column484]]</f>
        <v>96.075000000000003</v>
      </c>
      <c r="RQ25">
        <f>SOFR3mo_PX[[#This Row],[Column485]]</f>
        <v>96.11</v>
      </c>
      <c r="RR25">
        <f>SOFR3mo_PX[[#This Row],[Column486]]</f>
        <v>96.17</v>
      </c>
      <c r="RS25">
        <f>SOFR3mo_PX[[#This Row],[Column487]]</f>
        <v>96.15</v>
      </c>
      <c r="RT25">
        <f>SOFR3mo_PX[[#This Row],[Column488]]</f>
        <v>96.245000000000005</v>
      </c>
      <c r="RU25">
        <f>SOFR3mo_PX[[#This Row],[Column489]]</f>
        <v>96.35</v>
      </c>
      <c r="RV25">
        <f>SOFR3mo_PX[[#This Row],[Column490]]</f>
        <v>96.314999999999998</v>
      </c>
      <c r="RW25">
        <f>SOFR3mo_PX[[#This Row],[Column491]]</f>
        <v>96.25</v>
      </c>
      <c r="RX25">
        <f>SOFR3mo_PX[[#This Row],[Column492]]</f>
        <v>96.254999999999995</v>
      </c>
      <c r="RY25">
        <f>SOFR3mo_PX[[#This Row],[Column493]]</f>
        <v>96.105000000000004</v>
      </c>
      <c r="RZ25">
        <f>SOFR3mo_PX[[#This Row],[Column494]]</f>
        <v>96.25</v>
      </c>
      <c r="SA25">
        <f>SOFR3mo_PX[[#This Row],[Column495]]</f>
        <v>96.3</v>
      </c>
      <c r="SB25">
        <f>SOFR3mo_PX[[#This Row],[Column496]]</f>
        <v>96.39</v>
      </c>
      <c r="SC25">
        <f>SOFR3mo_PX[[#This Row],[Column497]]</f>
        <v>96.385000000000005</v>
      </c>
      <c r="SD25">
        <f>SOFR3mo_PX[[#This Row],[Column498]]</f>
        <v>96.34</v>
      </c>
      <c r="SE25">
        <f>SOFR3mo_PX[[#This Row],[Column499]]</f>
        <v>96.51</v>
      </c>
      <c r="SF25">
        <f>SOFR3mo_PX[[#This Row],[Column500]]</f>
        <v>96.454999999999998</v>
      </c>
      <c r="SG25">
        <f>SOFR3mo_PX[[#This Row],[Column501]]</f>
        <v>96.515000000000001</v>
      </c>
      <c r="SH25">
        <f>SOFR3mo_PX[[#This Row],[Column502]]</f>
        <v>96.525000000000006</v>
      </c>
      <c r="SI25">
        <f>SOFR3mo_PX[[#This Row],[Column503]]</f>
        <v>96.504999999999995</v>
      </c>
      <c r="SJ25">
        <f>SOFR3mo_PX[[#This Row],[Column504]]</f>
        <v>96.63</v>
      </c>
      <c r="SK25">
        <f>SOFR3mo_PX[[#This Row],[Column505]]</f>
        <v>96.59</v>
      </c>
      <c r="SL25">
        <f>SOFR3mo_PX[[#This Row],[Column506]]</f>
        <v>96.564999999999998</v>
      </c>
      <c r="SM25">
        <f>SOFR3mo_PX[[#This Row],[Column507]]</f>
        <v>96.525000000000006</v>
      </c>
      <c r="SN25">
        <f>SOFR3mo_PX[[#This Row],[Column508]]</f>
        <v>96.54</v>
      </c>
      <c r="SO25">
        <f>SOFR3mo_PX[[#This Row],[Column509]]</f>
        <v>96.495000000000005</v>
      </c>
      <c r="SP25">
        <f>SOFR3mo_PX[[#This Row],[Column510]]</f>
        <v>96.405000000000001</v>
      </c>
      <c r="SQ25">
        <f>SOFR3mo_PX[[#This Row],[Column511]]</f>
        <v>96.34</v>
      </c>
      <c r="SR25">
        <f>SOFR3mo_PX[[#This Row],[Column512]]</f>
        <v>96.3</v>
      </c>
      <c r="SS25">
        <f>SOFR3mo_PX[[#This Row],[Column513]]</f>
        <v>96.36</v>
      </c>
      <c r="ST25">
        <f>SOFR3mo_PX[[#This Row],[Column514]]</f>
        <v>96.495000000000005</v>
      </c>
      <c r="SU25">
        <f>SOFR3mo_PX[[#This Row],[Column515]]</f>
        <v>96.6</v>
      </c>
      <c r="SV25">
        <f>SOFR3mo_PX[[#This Row],[Column516]]</f>
        <v>96.6</v>
      </c>
      <c r="SW25">
        <f>SOFR3mo_PX[[#This Row],[Column517]]</f>
        <v>96.635000000000005</v>
      </c>
      <c r="SX25">
        <f>SOFR3mo_PX[[#This Row],[Column518]]</f>
        <v>96.57</v>
      </c>
      <c r="SY25">
        <f>SOFR3mo_PX[[#This Row],[Column519]]</f>
        <v>96.715000000000003</v>
      </c>
      <c r="SZ25">
        <f>SOFR3mo_PX[[#This Row],[Column520]]</f>
        <v>96.655000000000001</v>
      </c>
      <c r="TA25">
        <f>SOFR3mo_PX[[#This Row],[Column521]]</f>
        <v>96.685000000000002</v>
      </c>
      <c r="TB25">
        <f>SOFR3mo_PX[[#This Row],[Column522]]</f>
        <v>96.655000000000001</v>
      </c>
      <c r="TC25">
        <f>SOFR3mo_PX[[#This Row],[Column523]]</f>
        <v>96.59</v>
      </c>
      <c r="TD25">
        <f>SOFR3mo_PX[[#This Row],[Column524]]</f>
        <v>96.665000000000006</v>
      </c>
      <c r="TE25">
        <f>SOFR3mo_PX[[#This Row],[Column525]]</f>
        <v>96.7</v>
      </c>
      <c r="TF25">
        <f>SOFR3mo_PX[[#This Row],[Column526]]</f>
        <v>96.63</v>
      </c>
      <c r="TG25">
        <f>SOFR3mo_PX[[#This Row],[Column527]]</f>
        <v>96.63</v>
      </c>
      <c r="TH25">
        <f>SOFR3mo_PX[[#This Row],[Column528]]</f>
        <v>96.665000000000006</v>
      </c>
      <c r="TI25">
        <f>SOFR3mo_PX[[#This Row],[Column529]]</f>
        <v>96.6</v>
      </c>
      <c r="TJ25">
        <f>SOFR3mo_PX[[#This Row],[Column530]]</f>
        <v>96.53</v>
      </c>
      <c r="TK25">
        <f>SOFR3mo_PX[[#This Row],[Column531]]</f>
        <v>96.605000000000004</v>
      </c>
      <c r="TL25">
        <f>SOFR3mo_PX[[#This Row],[Column532]]</f>
        <v>96.61</v>
      </c>
      <c r="TM25">
        <f>SOFR3mo_PX[[#This Row],[Column533]]</f>
        <v>96.614999999999995</v>
      </c>
      <c r="TN25">
        <f>SOFR3mo_PX[[#This Row],[Column534]]</f>
        <v>96.54</v>
      </c>
      <c r="TO25">
        <f>SOFR3mo_PX[[#This Row],[Column535]]</f>
        <v>96.644999999999996</v>
      </c>
      <c r="TP25">
        <f>SOFR3mo_PX[[#This Row],[Column536]]</f>
        <v>96.625</v>
      </c>
      <c r="TQ25">
        <f>SOFR3mo_PX[[#This Row],[Column537]]</f>
        <v>96.594999999999999</v>
      </c>
      <c r="TR25">
        <f>SOFR3mo_PX[[#This Row],[Column538]]</f>
        <v>96.694999999999993</v>
      </c>
      <c r="TS25">
        <f>SOFR3mo_PX[[#This Row],[Column539]]</f>
        <v>96.68</v>
      </c>
      <c r="TT25">
        <f>SOFR3mo_PX[[#This Row],[Column540]]</f>
        <v>96.635000000000005</v>
      </c>
      <c r="TU25">
        <f>SOFR3mo_PX[[#This Row],[Column541]]</f>
        <v>96.525000000000006</v>
      </c>
      <c r="TV25">
        <f>SOFR3mo_PX[[#This Row],[Column542]]</f>
        <v>96.525000000000006</v>
      </c>
      <c r="TW25">
        <f>SOFR3mo_PX[[#This Row],[Column543]]</f>
        <v>96.51</v>
      </c>
      <c r="TX25">
        <f>SOFR3mo_PX[[#This Row],[Column544]]</f>
        <v>96.594999999999999</v>
      </c>
      <c r="TY25">
        <f>SOFR3mo_PX[[#This Row],[Column545]]</f>
        <v>96.6</v>
      </c>
      <c r="TZ25">
        <f>SOFR3mo_PX[[#This Row],[Column546]]</f>
        <v>96.564999999999998</v>
      </c>
      <c r="UA25">
        <f>SOFR3mo_PX[[#This Row],[Column547]]</f>
        <v>96.56</v>
      </c>
      <c r="UB25">
        <f>SOFR3mo_PX[[#This Row],[Column548]]</f>
        <v>96.61</v>
      </c>
      <c r="UC25">
        <f>SOFR3mo_PX[[#This Row],[Column549]]</f>
        <v>96.674999999999997</v>
      </c>
      <c r="UD25">
        <f>SOFR3mo_PX[[#This Row],[Column550]]</f>
        <v>96.69</v>
      </c>
      <c r="UE25">
        <f>SOFR3mo_PX[[#This Row],[Column551]]</f>
        <v>96.74</v>
      </c>
      <c r="UF25">
        <f>SOFR3mo_PX[[#This Row],[Column552]]</f>
        <v>96.78</v>
      </c>
      <c r="UG25">
        <f>SOFR3mo_PX[[#This Row],[Column553]]</f>
        <v>96.834999999999994</v>
      </c>
      <c r="UH25">
        <f>SOFR3mo_PX[[#This Row],[Column554]]</f>
        <v>96.79</v>
      </c>
      <c r="UI25">
        <f>SOFR3mo_PX[[#This Row],[Column555]]</f>
        <v>96.72</v>
      </c>
      <c r="UJ25">
        <f>SOFR3mo_PX[[#This Row],[Column556]]</f>
        <v>96.724999999999994</v>
      </c>
      <c r="UK25">
        <f>SOFR3mo_PX[[#This Row],[Column557]]</f>
        <v>96.77</v>
      </c>
      <c r="UL25">
        <f>SOFR3mo_PX[[#This Row],[Column558]]</f>
        <v>96.844999999999999</v>
      </c>
      <c r="UM25">
        <f>SOFR3mo_PX[[#This Row],[Column559]]</f>
        <v>96.834999999999994</v>
      </c>
      <c r="UN25">
        <f>SOFR3mo_PX[[#This Row],[Column560]]</f>
        <v>96.83</v>
      </c>
      <c r="UO25">
        <f>SOFR3mo_PX[[#This Row],[Column561]]</f>
        <v>96.7</v>
      </c>
      <c r="UP25">
        <f>SOFR3mo_PX[[#This Row],[Column562]]</f>
        <v>96.83</v>
      </c>
      <c r="UQ25">
        <f>SOFR3mo_PX[[#This Row],[Column563]]</f>
        <v>96.765000000000001</v>
      </c>
      <c r="UR25">
        <f>SOFR3mo_PX[[#This Row],[Column564]]</f>
        <v>96.84</v>
      </c>
      <c r="US25">
        <f>SOFR3mo_PX[[#This Row],[Column565]]</f>
        <v>96.89</v>
      </c>
      <c r="UT25">
        <f>SOFR3mo_PX[[#This Row],[Column566]]</f>
        <v>96.82</v>
      </c>
      <c r="UU25">
        <f>SOFR3mo_PX[[#This Row],[Column567]]</f>
        <v>96.765000000000001</v>
      </c>
      <c r="UV25">
        <f>SOFR3mo_PX[[#This Row],[Column568]]</f>
        <v>96.81</v>
      </c>
      <c r="UW25">
        <f>SOFR3mo_PX[[#This Row],[Column569]]</f>
        <v>96.76</v>
      </c>
      <c r="UX25">
        <f>SOFR3mo_PX[[#This Row],[Column570]]</f>
        <v>96.78</v>
      </c>
      <c r="UY25">
        <f>SOFR3mo_PX[[#This Row],[Column571]]</f>
        <v>96.75</v>
      </c>
      <c r="UZ25">
        <f>SOFR3mo_PX[[#This Row],[Column572]]</f>
        <v>96.81</v>
      </c>
      <c r="VA25">
        <f>SOFR3mo_PX[[#This Row],[Column573]]</f>
        <v>96.864999999999995</v>
      </c>
      <c r="VB25">
        <f>SOFR3mo_PX[[#This Row],[Column574]]</f>
        <v>96.92</v>
      </c>
      <c r="VC25">
        <f>SOFR3mo_PX[[#This Row],[Column575]]</f>
        <v>96.91</v>
      </c>
      <c r="VD25">
        <f>SOFR3mo_PX[[#This Row],[Column576]]</f>
        <v>96.9</v>
      </c>
      <c r="VE25">
        <f>SOFR3mo_PX[[#This Row],[Column577]]</f>
        <v>96.954999999999998</v>
      </c>
      <c r="VF25">
        <f>SOFR3mo_PX[[#This Row],[Column578]]</f>
        <v>97.03</v>
      </c>
      <c r="VG25">
        <f>SOFR3mo_PX[[#This Row],[Column579]]</f>
        <v>97.015000000000001</v>
      </c>
      <c r="VH25">
        <f>SOFR3mo_PX[[#This Row],[Column580]]</f>
        <v>96.98</v>
      </c>
      <c r="VI25">
        <f>SOFR3mo_PX[[#This Row],[Column581]]</f>
        <v>96.9</v>
      </c>
      <c r="VJ25">
        <f>SOFR3mo_PX[[#This Row],[Column582]]</f>
        <v>96.844999999999999</v>
      </c>
      <c r="VK25">
        <f>SOFR3mo_PX[[#This Row],[Column583]]</f>
        <v>96.8</v>
      </c>
      <c r="VL25">
        <f>SOFR3mo_PX[[#This Row],[Column584]]</f>
        <v>96.775000000000006</v>
      </c>
      <c r="VM25">
        <f>SOFR3mo_PX[[#This Row],[Column585]]</f>
        <v>96.765000000000001</v>
      </c>
      <c r="VN25">
        <f>SOFR3mo_PX[[#This Row],[Column586]]</f>
        <v>96.795000000000002</v>
      </c>
      <c r="VO25">
        <f>SOFR3mo_PX[[#This Row],[Column587]]</f>
        <v>96.915000000000006</v>
      </c>
      <c r="VP25">
        <f>SOFR3mo_PX[[#This Row],[Column588]]</f>
        <v>96.875</v>
      </c>
      <c r="VQ25">
        <f>SOFR3mo_PX[[#This Row],[Column589]]</f>
        <v>96.805000000000007</v>
      </c>
      <c r="VR25">
        <f>SOFR3mo_PX[[#This Row],[Column590]]</f>
        <v>96.75</v>
      </c>
      <c r="VS25">
        <f>SOFR3mo_PX[[#This Row],[Column591]]</f>
        <v>96.814999999999998</v>
      </c>
      <c r="VT25">
        <f>SOFR3mo_PX[[#This Row],[Column592]]</f>
        <v>96.905000000000001</v>
      </c>
      <c r="VU25">
        <f>SOFR3mo_PX[[#This Row],[Column593]]</f>
        <v>96.74</v>
      </c>
      <c r="VV25">
        <f>SOFR3mo_PX[[#This Row],[Column594]]</f>
        <v>96.81</v>
      </c>
      <c r="VW25">
        <f>SOFR3mo_PX[[#This Row],[Column595]]</f>
        <v>96.74</v>
      </c>
      <c r="VX25">
        <f>SOFR3mo_PX[[#This Row],[Column596]]</f>
        <v>96.795000000000002</v>
      </c>
      <c r="VY25">
        <f>SOFR3mo_PX[[#This Row],[Column597]]</f>
        <v>96.775000000000006</v>
      </c>
      <c r="VZ25">
        <f>SOFR3mo_PX[[#This Row],[Column598]]</f>
        <v>96.575000000000003</v>
      </c>
      <c r="WA25">
        <f>SOFR3mo_PX[[#This Row],[Column599]]</f>
        <v>96.62</v>
      </c>
      <c r="WB25">
        <f>SOFR3mo_PX[[#This Row],[Column600]]</f>
        <v>96.605000000000004</v>
      </c>
      <c r="WC25">
        <f>SOFR3mo_PX[[#This Row],[Column601]]</f>
        <v>96.53</v>
      </c>
      <c r="WD25">
        <f>SOFR3mo_PX[[#This Row],[Column602]]</f>
        <v>96.53</v>
      </c>
      <c r="WE25">
        <f>SOFR3mo_PX[[#This Row],[Column603]]</f>
        <v>96.405000000000001</v>
      </c>
      <c r="WF25">
        <f>SOFR3mo_PX[[#This Row],[Column604]]</f>
        <v>96.51</v>
      </c>
      <c r="WG25">
        <f>SOFR3mo_PX[[#This Row],[Column605]]</f>
        <v>96.594999999999999</v>
      </c>
      <c r="WH25">
        <f>SOFR3mo_PX[[#This Row],[Column606]]</f>
        <v>96.594999999999999</v>
      </c>
      <c r="WI25">
        <f>SOFR3mo_PX[[#This Row],[Column607]]</f>
        <v>96.55</v>
      </c>
      <c r="WJ25">
        <f>SOFR3mo_PX[[#This Row],[Column608]]</f>
        <v>96.6</v>
      </c>
      <c r="WK25">
        <f>SOFR3mo_PX[[#This Row],[Column609]]</f>
        <v>96.545000000000002</v>
      </c>
      <c r="WL25">
        <f>SOFR3mo_PX[[#This Row],[Column610]]</f>
        <v>96.51</v>
      </c>
      <c r="WM25">
        <f>SOFR3mo_PX[[#This Row],[Column611]]</f>
        <v>96.66</v>
      </c>
      <c r="WN25">
        <f>SOFR3mo_PX[[#This Row],[Column612]]</f>
        <v>96.66</v>
      </c>
      <c r="WO25">
        <f>SOFR3mo_PX[[#This Row],[Column613]]</f>
        <v>96.64</v>
      </c>
      <c r="WP25">
        <f>SOFR3mo_PX[[#This Row],[Column614]]</f>
        <v>96.68</v>
      </c>
      <c r="WQ25">
        <f>SOFR3mo_PX[[#This Row],[Column615]]</f>
        <v>96.745000000000005</v>
      </c>
      <c r="WR25">
        <f>SOFR3mo_PX[[#This Row],[Column616]]</f>
        <v>96.754999999999995</v>
      </c>
      <c r="WS25">
        <f>SOFR3mo_PX[[#This Row],[Column617]]</f>
        <v>96.724999999999994</v>
      </c>
      <c r="WT25">
        <f>SOFR3mo_PX[[#This Row],[Column618]]</f>
        <v>96.784999999999997</v>
      </c>
      <c r="WU25">
        <f>SOFR3mo_PX[[#This Row],[Column619]]</f>
        <v>96.81</v>
      </c>
      <c r="WV25">
        <f>SOFR3mo_PX[[#This Row],[Column620]]</f>
        <v>96.79</v>
      </c>
      <c r="WW25">
        <f>SOFR3mo_PX[[#This Row],[Column621]]</f>
        <v>96.82</v>
      </c>
      <c r="WX25">
        <f>SOFR3mo_PX[[#This Row],[Column622]]</f>
        <v>96.9</v>
      </c>
      <c r="WY25">
        <f>SOFR3mo_PX[[#This Row],[Column623]]</f>
        <v>97</v>
      </c>
      <c r="WZ25">
        <f>SOFR3mo_PX[[#This Row],[Column624]]</f>
        <v>97.03</v>
      </c>
      <c r="XA25">
        <f>SOFR3mo_PX[[#This Row],[Column625]]</f>
        <v>96.905000000000001</v>
      </c>
      <c r="XB25">
        <f>SOFR3mo_PX[[#This Row],[Column626]]</f>
        <v>96.875</v>
      </c>
      <c r="XC25">
        <f>SOFR3mo_PX[[#This Row],[Column627]]</f>
        <v>96.915000000000006</v>
      </c>
      <c r="XD25">
        <f>SOFR3mo_PX[[#This Row],[Column628]]</f>
        <v>96.965000000000003</v>
      </c>
      <c r="XE25">
        <f>SOFR3mo_PX[[#This Row],[Column629]]</f>
        <v>96.984999999999999</v>
      </c>
      <c r="XF25">
        <f>SOFR3mo_PX[[#This Row],[Column630]]</f>
        <v>96.984999999999999</v>
      </c>
      <c r="XG25">
        <f>SOFR3mo_PX[[#This Row],[Column631]]</f>
        <v>96.91</v>
      </c>
      <c r="XH25">
        <f>SOFR3mo_PX[[#This Row],[Column632]]</f>
        <v>96.944999999999993</v>
      </c>
      <c r="XI25">
        <f>SOFR3mo_PX[[#This Row],[Column633]]</f>
        <v>97.034999999999997</v>
      </c>
      <c r="XJ25">
        <f>SOFR3mo_PX[[#This Row],[Column634]]</f>
        <v>97.064999999999998</v>
      </c>
      <c r="XK25">
        <f>SOFR3mo_PX[[#This Row],[Column635]]</f>
        <v>96.92</v>
      </c>
      <c r="XL25">
        <f>SOFR3mo_PX[[#This Row],[Column636]]</f>
        <v>96.965000000000003</v>
      </c>
      <c r="XM25">
        <f>SOFR3mo_PX[[#This Row],[Column637]]</f>
        <v>96.965000000000003</v>
      </c>
      <c r="XN25">
        <f>SOFR3mo_PX[[#This Row],[Column638]]</f>
        <v>96.99</v>
      </c>
      <c r="XO25">
        <f>SOFR3mo_PX[[#This Row],[Column639]]</f>
        <v>96.885000000000005</v>
      </c>
      <c r="XP25">
        <f>SOFR3mo_PX[[#This Row],[Column640]]</f>
        <v>96.83</v>
      </c>
      <c r="XQ25">
        <f>SOFR3mo_PX[[#This Row],[Column641]]</f>
        <v>96.944999999999993</v>
      </c>
      <c r="XR25">
        <f>SOFR3mo_PX[[#This Row],[Column642]]</f>
        <v>96.9</v>
      </c>
      <c r="XS25">
        <f>SOFR3mo_PX[[#This Row],[Column643]]</f>
        <v>96.745000000000005</v>
      </c>
      <c r="XT25">
        <f>SOFR3mo_PX[[#This Row],[Column644]]</f>
        <v>96.734999999999999</v>
      </c>
      <c r="XU25">
        <f>SOFR3mo_PX[[#This Row],[Column645]]</f>
        <v>96.63</v>
      </c>
      <c r="XV25">
        <f>SOFR3mo_PX[[#This Row],[Column646]]</f>
        <v>96.56</v>
      </c>
      <c r="XW25">
        <f>SOFR3mo_PX[[#This Row],[Column647]]</f>
        <v>96.56</v>
      </c>
      <c r="XX25">
        <f>SOFR3mo_PX[[#This Row],[Column648]]</f>
        <v>96.525000000000006</v>
      </c>
      <c r="XY25">
        <f>SOFR3mo_PX[[#This Row],[Column649]]</f>
        <v>96.47</v>
      </c>
      <c r="XZ25">
        <f>SOFR3mo_PX[[#This Row],[Column650]]</f>
        <v>96.555000000000007</v>
      </c>
      <c r="YA25">
        <f>SOFR3mo_PX[[#This Row],[Column651]]</f>
        <v>96.64</v>
      </c>
      <c r="YB25">
        <f>SOFR3mo_PX[[#This Row],[Column652]]</f>
        <v>96.64</v>
      </c>
      <c r="YC25">
        <f>SOFR3mo_PX[[#This Row],[Column653]]</f>
        <v>96.67</v>
      </c>
      <c r="YD25">
        <f>SOFR3mo_PX[[#This Row],[Column654]]</f>
        <v>96.644999999999996</v>
      </c>
      <c r="YE25">
        <f>SOFR3mo_PX[[#This Row],[Column655]]</f>
        <v>96.71</v>
      </c>
      <c r="YF25">
        <f>SOFR3mo_PX[[#This Row],[Column656]]</f>
        <v>96.844999999999999</v>
      </c>
      <c r="YG25">
        <f>SOFR3mo_PX[[#This Row],[Column657]]</f>
        <v>96.935000000000002</v>
      </c>
      <c r="YH25">
        <f>SOFR3mo_PX[[#This Row],[Column658]]</f>
        <v>97</v>
      </c>
      <c r="YI25">
        <f>SOFR3mo_PX[[#This Row],[Column659]]</f>
        <v>96.94</v>
      </c>
      <c r="YJ25">
        <f>SOFR3mo_PX[[#This Row],[Column660]]</f>
        <v>96.94</v>
      </c>
      <c r="YK25">
        <f>SOFR3mo_PX[[#This Row],[Column661]]</f>
        <v>96.84</v>
      </c>
      <c r="YL25">
        <f>SOFR3mo_PX[[#This Row],[Column662]]</f>
        <v>96.875</v>
      </c>
      <c r="YM25">
        <f>SOFR3mo_PX[[#This Row],[Column663]]</f>
        <v>96.965000000000003</v>
      </c>
      <c r="YN25">
        <f>SOFR3mo_PX[[#This Row],[Column664]]</f>
        <v>97.075000000000003</v>
      </c>
      <c r="YO25">
        <f>SOFR3mo_PX[[#This Row],[Column665]]</f>
        <v>96.965000000000003</v>
      </c>
      <c r="YP25">
        <f>SOFR3mo_PX[[#This Row],[Column666]]</f>
        <v>96.87</v>
      </c>
      <c r="YQ25">
        <f>SOFR3mo_PX[[#This Row],[Column667]]</f>
        <v>96.97</v>
      </c>
      <c r="YR25">
        <f>SOFR3mo_PX[[#This Row],[Column668]]</f>
        <v>96.924999999999997</v>
      </c>
      <c r="YS25">
        <f>SOFR3mo_PX[[#This Row],[Column669]]</f>
        <v>96.765000000000001</v>
      </c>
      <c r="YT25">
        <f>SOFR3mo_PX[[#This Row],[Column670]]</f>
        <v>96.734999999999999</v>
      </c>
      <c r="YU25">
        <f>SOFR3mo_PX[[#This Row],[Column671]]</f>
        <v>96.78</v>
      </c>
      <c r="YV25">
        <f>SOFR3mo_PX[[#This Row],[Column672]]</f>
        <v>96.765000000000001</v>
      </c>
      <c r="YW25">
        <f>SOFR3mo_PX[[#This Row],[Column673]]</f>
        <v>96.75</v>
      </c>
      <c r="YX25">
        <f>SOFR3mo_PX[[#This Row],[Column674]]</f>
        <v>96.75</v>
      </c>
      <c r="YY25">
        <f>SOFR3mo_PX[[#This Row],[Column675]]</f>
        <v>96.68</v>
      </c>
      <c r="YZ25">
        <f>SOFR3mo_PX[[#This Row],[Column676]]</f>
        <v>96.58</v>
      </c>
      <c r="ZA25">
        <f>SOFR3mo_PX[[#This Row],[Column677]]</f>
        <v>96.57</v>
      </c>
      <c r="ZB25">
        <f>SOFR3mo_PX[[#This Row],[Column678]]</f>
        <v>96.64</v>
      </c>
      <c r="ZC25">
        <f>SOFR3mo_PX[[#This Row],[Column679]]</f>
        <v>96.694999999999993</v>
      </c>
      <c r="ZD25">
        <f>SOFR3mo_PX[[#This Row],[Column680]]</f>
        <v>96.57</v>
      </c>
      <c r="ZE25">
        <f>SOFR3mo_PX[[#This Row],[Column681]]</f>
        <v>96.495000000000005</v>
      </c>
      <c r="ZF25">
        <f>SOFR3mo_PX[[#This Row],[Column682]]</f>
        <v>96.545000000000002</v>
      </c>
      <c r="ZG25">
        <f>SOFR3mo_PX[[#This Row],[Column683]]</f>
        <v>96.525000000000006</v>
      </c>
      <c r="ZH25">
        <f>SOFR3mo_PX[[#This Row],[Column684]]</f>
        <v>96.224999999999994</v>
      </c>
      <c r="ZI25">
        <f>SOFR3mo_PX[[#This Row],[Column685]]</f>
        <v>96.254999999999995</v>
      </c>
      <c r="ZJ25">
        <f>SOFR3mo_PX[[#This Row],[Column686]]</f>
        <v>96.15</v>
      </c>
      <c r="ZK25">
        <f>SOFR3mo_PX[[#This Row],[Column687]]</f>
        <v>96.16</v>
      </c>
      <c r="ZL25">
        <f>SOFR3mo_PX[[#This Row],[Column688]]</f>
        <v>96.19</v>
      </c>
      <c r="ZM25">
        <f>SOFR3mo_PX[[#This Row],[Column689]]</f>
        <v>96.204999999999998</v>
      </c>
      <c r="ZN25">
        <f>SOFR3mo_PX[[#This Row],[Column690]]</f>
        <v>96.185000000000002</v>
      </c>
      <c r="ZO25">
        <f>SOFR3mo_PX[[#This Row],[Column691]]</f>
        <v>96.165000000000006</v>
      </c>
      <c r="ZP25">
        <f>SOFR3mo_PX[[#This Row],[Column692]]</f>
        <v>96.194999999999993</v>
      </c>
      <c r="ZQ25">
        <f>SOFR3mo_PX[[#This Row],[Column693]]</f>
        <v>96.284999999999997</v>
      </c>
      <c r="ZR25">
        <f>SOFR3mo_PX[[#This Row],[Column694]]</f>
        <v>96.224999999999994</v>
      </c>
      <c r="ZS25">
        <f>SOFR3mo_PX[[#This Row],[Column695]]</f>
        <v>96.135000000000005</v>
      </c>
      <c r="ZT25">
        <f>SOFR3mo_PX[[#This Row],[Column696]]</f>
        <v>95.995000000000005</v>
      </c>
      <c r="ZU25">
        <f>SOFR3mo_PX[[#This Row],[Column697]]</f>
        <v>96.04</v>
      </c>
      <c r="ZV25">
        <f>SOFR3mo_PX[[#This Row],[Column698]]</f>
        <v>96.055000000000007</v>
      </c>
      <c r="ZW25">
        <f>SOFR3mo_PX[[#This Row],[Column699]]</f>
        <v>96.18</v>
      </c>
      <c r="ZX25">
        <f>SOFR3mo_PX[[#This Row],[Column700]]</f>
        <v>96.31</v>
      </c>
      <c r="ZY25">
        <f>SOFR3mo_PX[[#This Row],[Column701]]</f>
        <v>96.29</v>
      </c>
      <c r="ZZ25">
        <f>SOFR3mo_PX[[#This Row],[Column702]]</f>
        <v>96.295000000000002</v>
      </c>
      <c r="AAA25">
        <f>SOFR3mo_PX[[#This Row],[Column703]]</f>
        <v>96.34</v>
      </c>
      <c r="AAB25">
        <f>SOFR3mo_PX[[#This Row],[Column704]]</f>
        <v>96.325000000000003</v>
      </c>
      <c r="AAC25">
        <f>SOFR3mo_PX[[#This Row],[Column705]]</f>
        <v>96.284999999999997</v>
      </c>
      <c r="AAD25">
        <f>SOFR3mo_PX[[#This Row],[Column706]]</f>
        <v>96.24</v>
      </c>
      <c r="AAE25">
        <f>SOFR3mo_PX[[#This Row],[Column707]]</f>
        <v>96.33</v>
      </c>
      <c r="AAF25">
        <f>SOFR3mo_PX[[#This Row],[Column708]]</f>
        <v>96.38</v>
      </c>
      <c r="AAG25">
        <f>SOFR3mo_PX[[#This Row],[Column709]]</f>
        <v>96.435000000000002</v>
      </c>
      <c r="AAH25">
        <f>SOFR3mo_PX[[#This Row],[Column710]]</f>
        <v>96.594999999999999</v>
      </c>
      <c r="AAI25">
        <f>SOFR3mo_PX[[#This Row],[Column711]]</f>
        <v>96.5</v>
      </c>
      <c r="AAJ25">
        <f>SOFR3mo_PX[[#This Row],[Column712]]</f>
        <v>96.33</v>
      </c>
      <c r="AAK25">
        <f>SOFR3mo_PX[[#This Row],[Column713]]</f>
        <v>96.394999999999996</v>
      </c>
      <c r="AAL25">
        <f>SOFR3mo_PX[[#This Row],[Column714]]</f>
        <v>96.44</v>
      </c>
      <c r="AAM25">
        <f>SOFR3mo_PX[[#This Row],[Column715]]</f>
        <v>96.275000000000006</v>
      </c>
      <c r="AAN25">
        <f>SOFR3mo_PX[[#This Row],[Column716]]</f>
        <v>96.385000000000005</v>
      </c>
      <c r="AAO25">
        <f>SOFR3mo_PX[[#This Row],[Column717]]</f>
        <v>96.584999999999994</v>
      </c>
      <c r="AAP25">
        <f>SOFR3mo_PX[[#This Row],[Column718]]</f>
        <v>96.515000000000001</v>
      </c>
      <c r="AAQ25">
        <f>SOFR3mo_PX[[#This Row],[Column719]]</f>
        <v>96.694999999999993</v>
      </c>
      <c r="AAR25">
        <f>SOFR3mo_PX[[#This Row],[Column720]]</f>
        <v>96.63</v>
      </c>
      <c r="AAS25">
        <f>SOFR3mo_PX[[#This Row],[Column721]]</f>
        <v>96.72</v>
      </c>
      <c r="AAT25">
        <f>SOFR3mo_PX[[#This Row],[Column722]]</f>
        <v>96.74</v>
      </c>
      <c r="AAU25">
        <f>SOFR3mo_PX[[#This Row],[Column723]]</f>
        <v>96.76</v>
      </c>
      <c r="AAV25">
        <f>SOFR3mo_PX[[#This Row],[Column724]]</f>
        <v>96.834999999999994</v>
      </c>
      <c r="AAW25">
        <f>SOFR3mo_PX[[#This Row],[Column725]]</f>
        <v>96.805000000000007</v>
      </c>
      <c r="AAX25">
        <f>SOFR3mo_PX[[#This Row],[Column726]]</f>
        <v>96.814999999999998</v>
      </c>
      <c r="AAY25">
        <f>SOFR3mo_PX[[#This Row],[Column727]]</f>
        <v>96.864999999999995</v>
      </c>
      <c r="AAZ25">
        <f>SOFR3mo_PX[[#This Row],[Column728]]</f>
        <v>96.88</v>
      </c>
      <c r="ABA25">
        <f>SOFR3mo_PX[[#This Row],[Column729]]</f>
        <v>96.905000000000001</v>
      </c>
      <c r="ABB25">
        <f>SOFR3mo_PX[[#This Row],[Column730]]</f>
        <v>96.81</v>
      </c>
      <c r="ABC25">
        <f>SOFR3mo_PX[[#This Row],[Column731]]</f>
        <v>96.98</v>
      </c>
      <c r="ABD25">
        <f>SOFR3mo_PX[[#This Row],[Column732]]</f>
        <v>96.98</v>
      </c>
      <c r="ABE25">
        <f>SOFR3mo_PX[[#This Row],[Column733]]</f>
        <v>96.924999999999997</v>
      </c>
      <c r="ABF25">
        <f>SOFR3mo_PX[[#This Row],[Column734]]</f>
        <v>97.1</v>
      </c>
      <c r="ABG25">
        <f>SOFR3mo_PX[[#This Row],[Column735]]</f>
        <v>97.15</v>
      </c>
      <c r="ABH25">
        <f>SOFR3mo_PX[[#This Row],[Column736]]</f>
        <v>97.114999999999995</v>
      </c>
      <c r="ABI25">
        <f>SOFR3mo_PX[[#This Row],[Column737]]</f>
        <v>97.224999999999994</v>
      </c>
      <c r="ABJ25">
        <f>SOFR3mo_PX[[#This Row],[Column738]]</f>
        <v>97.25</v>
      </c>
      <c r="ABK25">
        <f>SOFR3mo_PX[[#This Row],[Column739]]</f>
        <v>97.165000000000006</v>
      </c>
      <c r="ABL25">
        <f>SOFR3mo_PX[[#This Row],[Column740]]</f>
        <v>97.234999999999999</v>
      </c>
      <c r="ABM25">
        <f>SOFR3mo_PX[[#This Row],[Column741]]</f>
        <v>97.27</v>
      </c>
      <c r="ABN25">
        <f>SOFR3mo_PX[[#This Row],[Column742]]</f>
        <v>97.295000000000002</v>
      </c>
      <c r="ABO25">
        <f>SOFR3mo_PX[[#This Row],[Column743]]</f>
        <v>97.43</v>
      </c>
      <c r="ABP25">
        <f>SOFR3mo_PX[[#This Row],[Column744]]</f>
        <v>97.415000000000006</v>
      </c>
      <c r="ABQ25">
        <f>SOFR3mo_PX[[#This Row],[Column745]]</f>
        <v>97.495000000000005</v>
      </c>
      <c r="ABR25">
        <f>SOFR3mo_PX[[#This Row],[Column746]]</f>
        <v>97.48</v>
      </c>
      <c r="ABS25">
        <f>SOFR3mo_PX[[#This Row],[Column747]]</f>
        <v>97.394999999999996</v>
      </c>
      <c r="ABT25">
        <f>SOFR3mo_PX[[#This Row],[Column748]]</f>
        <v>97.34</v>
      </c>
      <c r="ABU25">
        <f>SOFR3mo_PX[[#This Row],[Column749]]</f>
        <v>97.49</v>
      </c>
      <c r="ABV25">
        <f>SOFR3mo_PX[[#This Row],[Column750]]</f>
        <v>97.504999999999995</v>
      </c>
      <c r="ABW25">
        <f>SOFR3mo_PX[[#This Row],[Column751]]</f>
        <v>97.5</v>
      </c>
      <c r="ABX25">
        <f>SOFR3mo_PX[[#This Row],[Column752]]</f>
        <v>97.41</v>
      </c>
      <c r="ABY25">
        <f>SOFR3mo_PX[[#This Row],[Column753]]</f>
        <v>97.56</v>
      </c>
      <c r="ABZ25">
        <f>SOFR3mo_PX[[#This Row],[Column754]]</f>
        <v>97.47</v>
      </c>
      <c r="ACA25">
        <f>SOFR3mo_PX[[#This Row],[Column755]]</f>
        <v>97.46</v>
      </c>
      <c r="ACB25">
        <f>SOFR3mo_PX[[#This Row],[Column756]]</f>
        <v>97.555000000000007</v>
      </c>
      <c r="ACC25">
        <f>SOFR3mo_PX[[#This Row],[Column757]]</f>
        <v>97.495000000000005</v>
      </c>
      <c r="ACD25">
        <f>SOFR3mo_PX[[#This Row],[Column758]]</f>
        <v>97.444999999999993</v>
      </c>
      <c r="ACE25">
        <f>SOFR3mo_PX[[#This Row],[Column759]]</f>
        <v>97.394999999999996</v>
      </c>
      <c r="ACF25">
        <f>SOFR3mo_PX[[#This Row],[Column760]]</f>
        <v>97.33</v>
      </c>
      <c r="ACG25">
        <f>SOFR3mo_PX[[#This Row],[Column761]]</f>
        <v>97.295000000000002</v>
      </c>
      <c r="ACH25">
        <f>SOFR3mo_PX[[#This Row],[Column762]]</f>
        <v>97.344999999999999</v>
      </c>
      <c r="ACI25">
        <f>SOFR3mo_PX[[#This Row],[Column763]]</f>
        <v>97.234999999999999</v>
      </c>
      <c r="ACJ25">
        <f>SOFR3mo_PX[[#This Row],[Column764]]</f>
        <v>97.12</v>
      </c>
      <c r="ACK25">
        <f>SOFR3mo_PX[[#This Row],[Column765]]</f>
        <v>97.16</v>
      </c>
      <c r="ACL25">
        <f>SOFR3mo_PX[[#This Row],[Column766]]</f>
        <v>97.194999999999993</v>
      </c>
      <c r="ACM25">
        <f>SOFR3mo_PX[[#This Row],[Column767]]</f>
        <v>97.22</v>
      </c>
      <c r="ACN25">
        <f>SOFR3mo_PX[[#This Row],[Column768]]</f>
        <v>97.155000000000001</v>
      </c>
      <c r="ACO25">
        <f>SOFR3mo_PX[[#This Row],[Column769]]</f>
        <v>97.2</v>
      </c>
      <c r="ACP25">
        <f>SOFR3mo_PX[[#This Row],[Column770]]</f>
        <v>97.09</v>
      </c>
      <c r="ACQ25">
        <f>SOFR3mo_PX[[#This Row],[Column771]]</f>
        <v>97.04</v>
      </c>
      <c r="ACR25">
        <f>SOFR3mo_PX[[#This Row],[Column772]]</f>
        <v>96.894999999999996</v>
      </c>
      <c r="ACS25">
        <f>SOFR3mo_PX[[#This Row],[Column773]]</f>
        <v>96.98</v>
      </c>
      <c r="ACT25">
        <f>SOFR3mo_PX[[#This Row],[Column774]]</f>
        <v>97.094999999999999</v>
      </c>
      <c r="ACU25">
        <f>SOFR3mo_PX[[#This Row],[Column775]]</f>
        <v>97.18</v>
      </c>
      <c r="ACV25">
        <f>SOFR3mo_PX[[#This Row],[Column776]]</f>
        <v>97.094999999999999</v>
      </c>
      <c r="ACW25">
        <f>SOFR3mo_PX[[#This Row],[Column777]]</f>
        <v>97.094999999999999</v>
      </c>
      <c r="ACX25">
        <f>SOFR3mo_PX[[#This Row],[Column778]]</f>
        <v>97.055000000000007</v>
      </c>
      <c r="ACY25">
        <f>SOFR3mo_PX[[#This Row],[Column779]]</f>
        <v>96.93</v>
      </c>
      <c r="ACZ25">
        <f>SOFR3mo_PX[[#This Row],[Column780]]</f>
        <v>96.84</v>
      </c>
      <c r="ADA25">
        <f>SOFR3mo_PX[[#This Row],[Column781]]</f>
        <v>96.86</v>
      </c>
      <c r="ADB25">
        <f>SOFR3mo_PX[[#This Row],[Column782]]</f>
        <v>96.915000000000006</v>
      </c>
      <c r="ADC25">
        <f>SOFR3mo_PX[[#This Row],[Column783]]</f>
        <v>97.01</v>
      </c>
      <c r="ADD25">
        <f>SOFR3mo_PX[[#This Row],[Column784]]</f>
        <v>96.91</v>
      </c>
      <c r="ADE25">
        <f>SOFR3mo_PX[[#This Row],[Column785]]</f>
        <v>96.784999999999997</v>
      </c>
      <c r="ADF25">
        <f>SOFR3mo_PX[[#This Row],[Column786]]</f>
        <v>96.88</v>
      </c>
      <c r="ADG25">
        <f>SOFR3mo_PX[[#This Row],[Column787]]</f>
        <v>96.88</v>
      </c>
      <c r="ADH25">
        <f>SOFR3mo_PX[[#This Row],[Column788]]</f>
        <v>96.805000000000007</v>
      </c>
      <c r="ADI25">
        <f>SOFR3mo_PX[[#This Row],[Column789]]</f>
        <v>96.685000000000002</v>
      </c>
      <c r="ADJ25">
        <f>SOFR3mo_PX[[#This Row],[Column790]]</f>
        <v>96.66</v>
      </c>
      <c r="ADK25">
        <f>SOFR3mo_PX[[#This Row],[Column791]]</f>
        <v>96.76</v>
      </c>
      <c r="ADL25">
        <f>SOFR3mo_PX[[#This Row],[Column792]]</f>
        <v>96.98</v>
      </c>
      <c r="ADM25">
        <f>SOFR3mo_PX[[#This Row],[Column793]]</f>
        <v>97.055000000000007</v>
      </c>
      <c r="ADN25">
        <f>SOFR3mo_PX[[#This Row],[Column794]]</f>
        <v>97.055000000000007</v>
      </c>
      <c r="ADO25">
        <f>SOFR3mo_PX[[#This Row],[Column795]]</f>
        <v>97.105000000000004</v>
      </c>
      <c r="ADP25">
        <f>SOFR3mo_PX[[#This Row],[Column796]]</f>
        <v>97.01</v>
      </c>
      <c r="ADQ25">
        <f>SOFR3mo_PX[[#This Row],[Column797]]</f>
        <v>97.114999999999995</v>
      </c>
      <c r="ADR25">
        <f>SOFR3mo_PX[[#This Row],[Column798]]</f>
        <v>97.165000000000006</v>
      </c>
      <c r="ADS25">
        <f>SOFR3mo_PX[[#This Row],[Column799]]</f>
        <v>97.125</v>
      </c>
      <c r="ADT25">
        <f>SOFR3mo_PX[[#This Row],[Column800]]</f>
        <v>97.18</v>
      </c>
      <c r="ADU25">
        <f>SOFR3mo_PX[[#This Row],[Column801]]</f>
        <v>97.27</v>
      </c>
      <c r="ADV25">
        <f>SOFR3mo_PX[[#This Row],[Column802]]</f>
        <v>97.27</v>
      </c>
      <c r="ADW25">
        <f>SOFR3mo_PX[[#This Row],[Column803]]</f>
        <v>97.254999999999995</v>
      </c>
      <c r="ADX25">
        <f>SOFR3mo_PX[[#This Row],[Column804]]</f>
        <v>97.28</v>
      </c>
      <c r="ADY25">
        <f>SOFR3mo_PX[[#This Row],[Column805]]</f>
        <v>97.28</v>
      </c>
      <c r="ADZ25">
        <f>SOFR3mo_PX[[#This Row],[Column806]]</f>
        <v>97.22</v>
      </c>
      <c r="AEA25">
        <f>SOFR3mo_PX[[#This Row],[Column807]]</f>
        <v>97.28</v>
      </c>
      <c r="AEB25">
        <f>SOFR3mo_PX[[#This Row],[Column808]]</f>
        <v>97.204999999999998</v>
      </c>
      <c r="AEC25">
        <f>SOFR3mo_PX[[#This Row],[Column809]]</f>
        <v>97.174999999999997</v>
      </c>
      <c r="AED25">
        <f>SOFR3mo_PX[[#This Row],[Column810]]</f>
        <v>97.06</v>
      </c>
      <c r="AEE25">
        <f>SOFR3mo_PX[[#This Row],[Column811]]</f>
        <v>97.135000000000005</v>
      </c>
      <c r="AEF25">
        <f>SOFR3mo_PX[[#This Row],[Column812]]</f>
        <v>97.06</v>
      </c>
      <c r="AEG25">
        <f>SOFR3mo_PX[[#This Row],[Column813]]</f>
        <v>97.185000000000002</v>
      </c>
      <c r="AEH25">
        <f>SOFR3mo_PX[[#This Row],[Column814]]</f>
        <v>97.105000000000004</v>
      </c>
      <c r="AEI25">
        <f>SOFR3mo_PX[[#This Row],[Column815]]</f>
        <v>97</v>
      </c>
      <c r="AEJ25">
        <f>SOFR3mo_PX[[#This Row],[Column816]]</f>
        <v>96.89</v>
      </c>
      <c r="AEK25">
        <f>SOFR3mo_PX[[#This Row],[Column817]]</f>
        <v>96.844999999999999</v>
      </c>
      <c r="AEL25">
        <f>SOFR3mo_PX[[#This Row],[Column818]]</f>
        <v>96.93</v>
      </c>
      <c r="AEM25">
        <f>SOFR3mo_PX[[#This Row],[Column819]]</f>
        <v>97.075000000000003</v>
      </c>
      <c r="AEN25">
        <f>SOFR3mo_PX[[#This Row],[Column820]]</f>
        <v>97.075000000000003</v>
      </c>
      <c r="AEO25">
        <f>SOFR3mo_PX[[#This Row],[Column821]]</f>
        <v>97.015000000000001</v>
      </c>
      <c r="AEP25">
        <f>SOFR3mo_PX[[#This Row],[Column822]]</f>
        <v>97.155000000000001</v>
      </c>
      <c r="AEQ25">
        <f>SOFR3mo_PX[[#This Row],[Column823]]</f>
        <v>97.165000000000006</v>
      </c>
      <c r="AER25">
        <f>SOFR3mo_PX[[#This Row],[Column824]]</f>
        <v>97.23</v>
      </c>
      <c r="AES25">
        <f>SOFR3mo_PX[[#This Row],[Column825]]</f>
        <v>97.284999999999997</v>
      </c>
      <c r="AET25">
        <f>SOFR3mo_PX[[#This Row],[Column826]]</f>
        <v>97.275000000000006</v>
      </c>
      <c r="AEU25">
        <f>SOFR3mo_PX[[#This Row],[Column827]]</f>
        <v>97.185000000000002</v>
      </c>
      <c r="AEV25">
        <f>SOFR3mo_PX[[#This Row],[Column828]]</f>
        <v>97.135000000000005</v>
      </c>
      <c r="AEW25">
        <f>SOFR3mo_PX[[#This Row],[Column829]]</f>
        <v>97.204999999999998</v>
      </c>
      <c r="AEX25">
        <f>SOFR3mo_PX[[#This Row],[Column830]]</f>
        <v>97.1</v>
      </c>
      <c r="AEY25">
        <f>SOFR3mo_PX[[#This Row],[Column831]]</f>
        <v>97.15</v>
      </c>
      <c r="AEZ25">
        <f>SOFR3mo_PX[[#This Row],[Column832]]</f>
        <v>97.22</v>
      </c>
      <c r="AFA25">
        <f>SOFR3mo_PX[[#This Row],[Column833]]</f>
        <v>97.22</v>
      </c>
      <c r="AFB25">
        <f>SOFR3mo_PX[[#This Row],[Column834]]</f>
        <v>97.35</v>
      </c>
      <c r="AFC25">
        <f>SOFR3mo_PX[[#This Row],[Column835]]</f>
        <v>97.314999999999998</v>
      </c>
      <c r="AFD25">
        <f>SOFR3mo_PX[[#This Row],[Column836]]</f>
        <v>97.27</v>
      </c>
      <c r="AFE25">
        <f>SOFR3mo_PX[[#This Row],[Column837]]</f>
        <v>97.394999999999996</v>
      </c>
      <c r="AFF25">
        <f>SOFR3mo_PX[[#This Row],[Column838]]</f>
        <v>97.48</v>
      </c>
      <c r="AFG25">
        <f>SOFR3mo_PX[[#This Row],[Column839]]</f>
        <v>97.59</v>
      </c>
      <c r="AFH25">
        <f>SOFR3mo_PX[[#This Row],[Column840]]</f>
        <v>97.685000000000002</v>
      </c>
      <c r="AFI25">
        <f>SOFR3mo_PX[[#This Row],[Column841]]</f>
        <v>97.88</v>
      </c>
      <c r="AFJ25">
        <f>SOFR3mo_PX[[#This Row],[Column842]]</f>
        <v>97.9</v>
      </c>
      <c r="AFK25">
        <f>SOFR3mo_PX[[#This Row],[Column843]]</f>
        <v>97.915000000000006</v>
      </c>
      <c r="AFL25">
        <f>SOFR3mo_PX[[#This Row],[Column844]]</f>
        <v>97.855000000000004</v>
      </c>
      <c r="AFM25">
        <f>SOFR3mo_PX[[#This Row],[Column845]]</f>
        <v>97.795000000000002</v>
      </c>
      <c r="AFN25">
        <f>SOFR3mo_PX[[#This Row],[Column846]]</f>
        <v>97.7</v>
      </c>
      <c r="AFO25">
        <f>SOFR3mo_PX[[#This Row],[Column847]]</f>
        <v>97.65</v>
      </c>
      <c r="AFP25">
        <f>SOFR3mo_PX[[#This Row],[Column848]]</f>
        <v>97.81</v>
      </c>
      <c r="AFQ25">
        <f>SOFR3mo_PX[[#This Row],[Column849]]</f>
        <v>97.834999999999994</v>
      </c>
      <c r="AFR25">
        <f>SOFR3mo_PX[[#This Row],[Column850]]</f>
        <v>97.78</v>
      </c>
      <c r="AFS25">
        <f>SOFR3mo_PX[[#This Row],[Column851]]</f>
        <v>97.844999999999999</v>
      </c>
      <c r="AFT25">
        <f>SOFR3mo_PX[[#This Row],[Column852]]</f>
        <v>97.984999999999999</v>
      </c>
      <c r="AFU25">
        <f>SOFR3mo_PX[[#This Row],[Column853]]</f>
        <v>97.91</v>
      </c>
      <c r="AFV25">
        <f>SOFR3mo_PX[[#This Row],[Column854]]</f>
        <v>97.885000000000005</v>
      </c>
      <c r="AFW25">
        <f>SOFR3mo_PX[[#This Row],[Column855]]</f>
        <v>97.905000000000001</v>
      </c>
      <c r="AFX25">
        <f>SOFR3mo_PX[[#This Row],[Column856]]</f>
        <v>97.93</v>
      </c>
      <c r="AFY25">
        <f>SOFR3mo_PX[[#This Row],[Column857]]</f>
        <v>98.09</v>
      </c>
      <c r="AFZ25">
        <f>SOFR3mo_PX[[#This Row],[Column858]]</f>
        <v>98.1</v>
      </c>
      <c r="AGA25">
        <f>SOFR3mo_PX[[#This Row],[Column859]]</f>
        <v>98.174999999999997</v>
      </c>
      <c r="AGB25">
        <f>SOFR3mo_PX[[#This Row],[Column860]]</f>
        <v>98.265000000000001</v>
      </c>
      <c r="AGC25">
        <f>SOFR3mo_PX[[#This Row],[Column861]]</f>
        <v>98.38</v>
      </c>
      <c r="AGD25">
        <f>SOFR3mo_PX[[#This Row],[Column862]]</f>
        <v>98.38</v>
      </c>
      <c r="AGE25">
        <f>SOFR3mo_PX[[#This Row],[Column863]]</f>
        <v>98.23</v>
      </c>
      <c r="AGF25">
        <f>SOFR3mo_PX[[#This Row],[Column864]]</f>
        <v>98.18</v>
      </c>
      <c r="AGG25">
        <f>SOFR3mo_PX[[#This Row],[Column865]]</f>
        <v>98.33</v>
      </c>
      <c r="AGH25">
        <f>SOFR3mo_PX[[#This Row],[Column866]]</f>
        <v>98.21</v>
      </c>
      <c r="AGI25">
        <f>SOFR3mo_PX[[#This Row],[Column867]]</f>
        <v>98.064999999999998</v>
      </c>
      <c r="AGJ25">
        <f>SOFR3mo_PX[[#This Row],[Column868]]</f>
        <v>98.07</v>
      </c>
      <c r="AGK25">
        <f>SOFR3mo_PX[[#This Row],[Column869]]</f>
        <v>98.09</v>
      </c>
      <c r="AGL25">
        <f>SOFR3mo_PX[[#This Row],[Column870]]</f>
        <v>98.125</v>
      </c>
      <c r="AGM25">
        <f>SOFR3mo_PX[[#This Row],[Column871]]</f>
        <v>98.12</v>
      </c>
      <c r="AGN25">
        <f>SOFR3mo_PX[[#This Row],[Column872]]</f>
        <v>98.12</v>
      </c>
      <c r="AGO25">
        <f>SOFR3mo_PX[[#This Row],[Column873]]</f>
        <v>98.07</v>
      </c>
      <c r="AGP25">
        <f>SOFR3mo_PX[[#This Row],[Column874]]</f>
        <v>97.98</v>
      </c>
      <c r="AGQ25">
        <f>SOFR3mo_PX[[#This Row],[Column875]]</f>
        <v>97.99</v>
      </c>
      <c r="AGR25">
        <f>SOFR3mo_PX[[#This Row],[Column876]]</f>
        <v>98.075000000000003</v>
      </c>
      <c r="AGS25">
        <f>SOFR3mo_PX[[#This Row],[Column877]]</f>
        <v>98.125</v>
      </c>
      <c r="AGT25">
        <f>SOFR3mo_PX[[#This Row],[Column878]]</f>
        <v>98.015000000000001</v>
      </c>
      <c r="AGU25">
        <f>SOFR3mo_PX[[#This Row],[Column879]]</f>
        <v>98.08</v>
      </c>
      <c r="AGV25">
        <f>SOFR3mo_PX[[#This Row],[Column880]]</f>
        <v>98.034999999999997</v>
      </c>
      <c r="AGW25">
        <f>SOFR3mo_PX[[#This Row],[Column881]]</f>
        <v>98.075000000000003</v>
      </c>
      <c r="AGX25">
        <f>SOFR3mo_PX[[#This Row],[Column882]]</f>
        <v>98.06</v>
      </c>
      <c r="AGY25">
        <f>SOFR3mo_PX[[#This Row],[Column883]]</f>
        <v>98.16</v>
      </c>
      <c r="AGZ25">
        <f>SOFR3mo_PX[[#This Row],[Column884]]</f>
        <v>98.23</v>
      </c>
      <c r="AHA25">
        <f>SOFR3mo_PX[[#This Row],[Column885]]</f>
        <v>98.194999999999993</v>
      </c>
      <c r="AHB25">
        <f>SOFR3mo_PX[[#This Row],[Column886]]</f>
        <v>98.204999999999998</v>
      </c>
      <c r="AHC25">
        <f>SOFR3mo_PX[[#This Row],[Column887]]</f>
        <v>98.215000000000003</v>
      </c>
      <c r="AHD25">
        <f>SOFR3mo_PX[[#This Row],[Column888]]</f>
        <v>98.17</v>
      </c>
      <c r="AHE25">
        <f>SOFR3mo_PX[[#This Row],[Column889]]</f>
        <v>98.064999999999998</v>
      </c>
      <c r="AHF25">
        <f>SOFR3mo_PX[[#This Row],[Column890]]</f>
        <v>98.135000000000005</v>
      </c>
      <c r="AHG25">
        <f>SOFR3mo_PX[[#This Row],[Column891]]</f>
        <v>98.2</v>
      </c>
      <c r="AHH25">
        <f>SOFR3mo_PX[[#This Row],[Column892]]</f>
        <v>98.18</v>
      </c>
      <c r="AHI25">
        <f>SOFR3mo_PX[[#This Row],[Column893]]</f>
        <v>98.11</v>
      </c>
      <c r="AHJ25">
        <f>SOFR3mo_PX[[#This Row],[Column894]]</f>
        <v>98.094999999999999</v>
      </c>
      <c r="AHK25">
        <f>SOFR3mo_PX[[#This Row],[Column895]]</f>
        <v>98.045000000000002</v>
      </c>
      <c r="AHL25">
        <f>SOFR3mo_PX[[#This Row],[Column896]]</f>
        <v>98.15</v>
      </c>
      <c r="AHM25">
        <f>SOFR3mo_PX[[#This Row],[Column897]]</f>
        <v>98.15</v>
      </c>
      <c r="AHN25">
        <f>SOFR3mo_PX[[#This Row],[Column898]]</f>
        <v>98.23</v>
      </c>
      <c r="AHO25">
        <f>SOFR3mo_PX[[#This Row],[Column899]]</f>
        <v>98.194999999999993</v>
      </c>
      <c r="AHP25">
        <f>SOFR3mo_PX[[#This Row],[Column900]]</f>
        <v>98.15</v>
      </c>
      <c r="AHQ25">
        <f>SOFR3mo_PX[[#This Row],[Column901]]</f>
        <v>98.1</v>
      </c>
      <c r="AHR25">
        <f>SOFR3mo_PX[[#This Row],[Column902]]</f>
        <v>98.105000000000004</v>
      </c>
      <c r="AHS25">
        <f>SOFR3mo_PX[[#This Row],[Column903]]</f>
        <v>98.14</v>
      </c>
      <c r="AHT25">
        <f>SOFR3mo_PX[[#This Row],[Column904]]</f>
        <v>98.17</v>
      </c>
      <c r="AHU25">
        <f>SOFR3mo_PX[[#This Row],[Column905]]</f>
        <v>98.2</v>
      </c>
      <c r="AHV25">
        <f>SOFR3mo_PX[[#This Row],[Column906]]</f>
        <v>98.245000000000005</v>
      </c>
      <c r="AHW25">
        <f>SOFR3mo_PX[[#This Row],[Column907]]</f>
        <v>98.415000000000006</v>
      </c>
      <c r="AHX25">
        <f>SOFR3mo_PX[[#This Row],[Column908]]</f>
        <v>98.4</v>
      </c>
      <c r="AHY25">
        <f>SOFR3mo_PX[[#This Row],[Column909]]</f>
        <v>98.39</v>
      </c>
      <c r="AHZ25">
        <f>SOFR3mo_PX[[#This Row],[Column910]]</f>
        <v>98.48</v>
      </c>
      <c r="AIA25">
        <f>SOFR3mo_PX[[#This Row],[Column911]]</f>
        <v>98.46</v>
      </c>
      <c r="AIB25">
        <f>SOFR3mo_PX[[#This Row],[Column912]]</f>
        <v>98.435000000000002</v>
      </c>
      <c r="AIC25">
        <f>SOFR3mo_PX[[#This Row],[Column913]]</f>
        <v>98.435000000000002</v>
      </c>
      <c r="AID25">
        <f>SOFR3mo_PX[[#This Row],[Column914]]</f>
        <v>98.46</v>
      </c>
      <c r="AIE25">
        <f>SOFR3mo_PX[[#This Row],[Column915]]</f>
        <v>98.435000000000002</v>
      </c>
      <c r="AIF25">
        <f>SOFR3mo_PX[[#This Row],[Column916]]</f>
        <v>98.525000000000006</v>
      </c>
      <c r="AIG25">
        <f>SOFR3mo_PX[[#This Row],[Column917]]</f>
        <v>98.575000000000003</v>
      </c>
      <c r="AIH25">
        <f>SOFR3mo_PX[[#This Row],[Column918]]</f>
        <v>98.54</v>
      </c>
      <c r="AII25">
        <f>SOFR3mo_PX[[#This Row],[Column919]]</f>
        <v>98.484999999999999</v>
      </c>
      <c r="AIJ25">
        <f>SOFR3mo_PX[[#This Row],[Column920]]</f>
        <v>98.5</v>
      </c>
      <c r="AIK25">
        <f>SOFR3mo_PX[[#This Row],[Column921]]</f>
        <v>98.515000000000001</v>
      </c>
      <c r="AIL25">
        <f>SOFR3mo_PX[[#This Row],[Column922]]</f>
        <v>98.454999999999998</v>
      </c>
      <c r="AIM25">
        <f>SOFR3mo_PX[[#This Row],[Column923]]</f>
        <v>98.484999999999999</v>
      </c>
      <c r="AIN25">
        <f>SOFR3mo_PX[[#This Row],[Column924]]</f>
        <v>98.444999999999993</v>
      </c>
      <c r="AIO25">
        <f>SOFR3mo_PX[[#This Row],[Column925]]</f>
        <v>98.465000000000003</v>
      </c>
      <c r="AIP25">
        <f>SOFR3mo_PX[[#This Row],[Column926]]</f>
        <v>98.51</v>
      </c>
      <c r="AIQ25">
        <f>SOFR3mo_PX[[#This Row],[Column927]]</f>
        <v>98.655000000000001</v>
      </c>
      <c r="AIR25">
        <f>SOFR3mo_PX[[#This Row],[Column928]]</f>
        <v>98.52</v>
      </c>
      <c r="AIS25">
        <f>SOFR3mo_PX[[#This Row],[Column929]]</f>
        <v>98.53</v>
      </c>
      <c r="AIT25">
        <f>SOFR3mo_PX[[#This Row],[Column930]]</f>
        <v>98.46</v>
      </c>
      <c r="AIU25">
        <f>SOFR3mo_PX[[#This Row],[Column931]]</f>
        <v>98.35</v>
      </c>
      <c r="AIV25">
        <f>SOFR3mo_PX[[#This Row],[Column932]]</f>
        <v>98.41</v>
      </c>
      <c r="AIW25">
        <f>SOFR3mo_PX[[#This Row],[Column933]]</f>
        <v>98.234999999999999</v>
      </c>
      <c r="AIX25">
        <f>SOFR3mo_PX[[#This Row],[Column934]]</f>
        <v>98.234999999999999</v>
      </c>
      <c r="AIY25">
        <f>SOFR3mo_PX[[#This Row],[Column935]]</f>
        <v>98.194999999999993</v>
      </c>
      <c r="AIZ25">
        <f>SOFR3mo_PX[[#This Row],[Column936]]</f>
        <v>98.26</v>
      </c>
      <c r="AJA25">
        <f>SOFR3mo_PX[[#This Row],[Column937]]</f>
        <v>98.364999999999995</v>
      </c>
      <c r="AJB25">
        <f>SOFR3mo_PX[[#This Row],[Column938]]</f>
        <v>98.29</v>
      </c>
      <c r="AJC25">
        <f>SOFR3mo_PX[[#This Row],[Column939]]</f>
        <v>98.26</v>
      </c>
      <c r="AJD25">
        <f>SOFR3mo_PX[[#This Row],[Column940]]</f>
        <v>98.234999999999999</v>
      </c>
      <c r="AJE25">
        <f>SOFR3mo_PX[[#This Row],[Column941]]</f>
        <v>98.27</v>
      </c>
      <c r="AJF25">
        <f>SOFR3mo_PX[[#This Row],[Column942]]</f>
        <v>98.31</v>
      </c>
      <c r="AJG25">
        <f>SOFR3mo_PX[[#This Row],[Column943]]</f>
        <v>98.314999999999998</v>
      </c>
      <c r="AJH25">
        <f>SOFR3mo_PX[[#This Row],[Column944]]</f>
        <v>98.35</v>
      </c>
      <c r="AJI25">
        <f>SOFR3mo_PX[[#This Row],[Column945]]</f>
        <v>98.465000000000003</v>
      </c>
      <c r="AJJ25">
        <f>SOFR3mo_PX[[#This Row],[Column946]]</f>
        <v>98.375</v>
      </c>
      <c r="AJK25">
        <f>SOFR3mo_PX[[#This Row],[Column947]]</f>
        <v>98.415000000000006</v>
      </c>
      <c r="AJL25">
        <f>SOFR3mo_PX[[#This Row],[Column948]]</f>
        <v>98.32</v>
      </c>
      <c r="AJM25">
        <f>SOFR3mo_PX[[#This Row],[Column949]]</f>
        <v>98.29</v>
      </c>
      <c r="AJN25">
        <f>SOFR3mo_PX[[#This Row],[Column950]]</f>
        <v>98.31</v>
      </c>
      <c r="AJO25">
        <f>SOFR3mo_PX[[#This Row],[Column951]]</f>
        <v>98.34</v>
      </c>
      <c r="AJP25">
        <f>SOFR3mo_PX[[#This Row],[Column952]]</f>
        <v>98.375</v>
      </c>
      <c r="AJQ25">
        <f>SOFR3mo_PX[[#This Row],[Column953]]</f>
        <v>98.34</v>
      </c>
      <c r="AJR25">
        <f>SOFR3mo_PX[[#This Row],[Column954]]</f>
        <v>98.344999999999999</v>
      </c>
      <c r="AJS25">
        <f>SOFR3mo_PX[[#This Row],[Column955]]</f>
        <v>98.19</v>
      </c>
      <c r="AJT25">
        <f>SOFR3mo_PX[[#This Row],[Column956]]</f>
        <v>98.18</v>
      </c>
      <c r="AJU25">
        <f>SOFR3mo_PX[[#This Row],[Column957]]</f>
        <v>98.18</v>
      </c>
      <c r="AJV25">
        <f>SOFR3mo_PX[[#This Row],[Column958]]</f>
        <v>98.13</v>
      </c>
      <c r="AJW25">
        <f>SOFR3mo_PX[[#This Row],[Column959]]</f>
        <v>98.165000000000006</v>
      </c>
      <c r="AJX25">
        <f>SOFR3mo_PX[[#This Row],[Column960]]</f>
        <v>98.185000000000002</v>
      </c>
      <c r="AJY25">
        <f>SOFR3mo_PX[[#This Row],[Column961]]</f>
        <v>98.26</v>
      </c>
      <c r="AJZ25">
        <f>SOFR3mo_PX[[#This Row],[Column962]]</f>
        <v>98.24</v>
      </c>
      <c r="AKA25">
        <f>SOFR3mo_PX[[#This Row],[Column963]]</f>
        <v>98.295000000000002</v>
      </c>
      <c r="AKB25">
        <f>SOFR3mo_PX[[#This Row],[Column964]]</f>
        <v>98.25</v>
      </c>
      <c r="AKC25">
        <f>SOFR3mo_PX[[#This Row],[Column965]]</f>
        <v>98.17</v>
      </c>
      <c r="AKD25">
        <f>SOFR3mo_PX[[#This Row],[Column966]]</f>
        <v>98.1</v>
      </c>
      <c r="AKE25">
        <f>SOFR3mo_PX[[#This Row],[Column967]]</f>
        <v>98.105000000000004</v>
      </c>
      <c r="AKF25">
        <f>SOFR3mo_PX[[#This Row],[Column968]]</f>
        <v>98.15</v>
      </c>
      <c r="AKG25">
        <f>SOFR3mo_PX[[#This Row],[Column969]]</f>
        <v>98.204999999999998</v>
      </c>
      <c r="AKH25">
        <f>SOFR3mo_PX[[#This Row],[Column970]]</f>
        <v>98.185000000000002</v>
      </c>
      <c r="AKI25">
        <f>SOFR3mo_PX[[#This Row],[Column971]]</f>
        <v>98.24</v>
      </c>
      <c r="AKJ25">
        <f>SOFR3mo_PX[[#This Row],[Column972]]</f>
        <v>98.22</v>
      </c>
      <c r="AKK25">
        <f>SOFR3mo_PX[[#This Row],[Column973]]</f>
        <v>98.15</v>
      </c>
      <c r="AKL25">
        <f>SOFR3mo_PX[[#This Row],[Column974]]</f>
        <v>98.135000000000005</v>
      </c>
      <c r="AKM25">
        <f>SOFR3mo_PX[[#This Row],[Column975]]</f>
        <v>98.144999999999996</v>
      </c>
      <c r="AKN25">
        <f>SOFR3mo_PX[[#This Row],[Column976]]</f>
        <v>98.224999999999994</v>
      </c>
      <c r="AKO25">
        <f>SOFR3mo_PX[[#This Row],[Column977]]</f>
        <v>98.27</v>
      </c>
      <c r="AKP25">
        <f>SOFR3mo_PX[[#This Row],[Column978]]</f>
        <v>98.34</v>
      </c>
      <c r="AKQ25">
        <f>SOFR3mo_PX[[#This Row],[Column979]]</f>
        <v>98.43</v>
      </c>
      <c r="AKR25">
        <f>SOFR3mo_PX[[#This Row],[Column980]]</f>
        <v>98.415000000000006</v>
      </c>
      <c r="AKS25">
        <f>SOFR3mo_PX[[#This Row],[Column981]]</f>
        <v>98.42</v>
      </c>
      <c r="AKT25">
        <f>SOFR3mo_PX[[#This Row],[Column982]]</f>
        <v>98.344999999999999</v>
      </c>
      <c r="AKU25">
        <f>SOFR3mo_PX[[#This Row],[Column983]]</f>
        <v>98.41</v>
      </c>
      <c r="AKV25">
        <f>SOFR3mo_PX[[#This Row],[Column984]]</f>
        <v>98.454999999999998</v>
      </c>
      <c r="AKW25">
        <f>SOFR3mo_PX[[#This Row],[Column985]]</f>
        <v>98.52</v>
      </c>
      <c r="AKX25">
        <f>SOFR3mo_PX[[#This Row],[Column986]]</f>
        <v>98.454999999999998</v>
      </c>
      <c r="AKY25">
        <f>SOFR3mo_PX[[#This Row],[Column987]]</f>
        <v>98.435000000000002</v>
      </c>
      <c r="AKZ25">
        <f>SOFR3mo_PX[[#This Row],[Column988]]</f>
        <v>98.5</v>
      </c>
      <c r="ALA25">
        <f>SOFR3mo_PX[[#This Row],[Column989]]</f>
        <v>98.46</v>
      </c>
      <c r="ALB25">
        <f>SOFR3mo_PX[[#This Row],[Column990]]</f>
        <v>98.415000000000006</v>
      </c>
      <c r="ALC25">
        <f>SOFR3mo_PX[[#This Row],[Column991]]</f>
        <v>98.47</v>
      </c>
      <c r="ALD25">
        <f>SOFR3mo_PX[[#This Row],[Column992]]</f>
        <v>98.47</v>
      </c>
      <c r="ALE25">
        <f>SOFR3mo_PX[[#This Row],[Column993]]</f>
        <v>98.51</v>
      </c>
      <c r="ALF25">
        <f>SOFR3mo_PX[[#This Row],[Column994]]</f>
        <v>98.5</v>
      </c>
      <c r="ALG25">
        <f>SOFR3mo_PX[[#This Row],[Column995]]</f>
        <v>98.495000000000005</v>
      </c>
      <c r="ALH25">
        <f>SOFR3mo_PX[[#This Row],[Column996]]</f>
        <v>98.52</v>
      </c>
      <c r="ALI25">
        <f>SOFR3mo_PX[[#This Row],[Column997]]</f>
        <v>98.495000000000005</v>
      </c>
      <c r="ALJ25">
        <f>SOFR3mo_PX[[#This Row],[Column998]]</f>
        <v>98.46</v>
      </c>
      <c r="ALK25">
        <f>SOFR3mo_PX[[#This Row],[Column999]]</f>
        <v>98.47</v>
      </c>
      <c r="ALL25">
        <f>SOFR3mo_PX[[#This Row],[Column1000]]</f>
        <v>98.54</v>
      </c>
      <c r="ALM25">
        <f>SOFR3mo_PX[[#This Row],[Column1001]]</f>
        <v>98.584999999999994</v>
      </c>
      <c r="ALN25">
        <f>SOFR3mo_PX[[#This Row],[Column1002]]</f>
        <v>98.575000000000003</v>
      </c>
      <c r="ALO25">
        <f>SOFR3mo_PX[[#This Row],[Column1003]]</f>
        <v>98.6</v>
      </c>
      <c r="ALP25">
        <f>SOFR3mo_PX[[#This Row],[Column1004]]</f>
        <v>98.56</v>
      </c>
      <c r="ALQ25">
        <f>SOFR3mo_PX[[#This Row],[Column1005]]</f>
        <v>98.59</v>
      </c>
      <c r="ALR25">
        <f>SOFR3mo_PX[[#This Row],[Column1006]]</f>
        <v>98.594999999999999</v>
      </c>
      <c r="ALS25">
        <f>SOFR3mo_PX[[#This Row],[Column1007]]</f>
        <v>98.545000000000002</v>
      </c>
      <c r="ALT25">
        <f>SOFR3mo_PX[[#This Row],[Column1008]]</f>
        <v>98.454999999999998</v>
      </c>
      <c r="ALU25">
        <f>SOFR3mo_PX[[#This Row],[Column1009]]</f>
        <v>98.47</v>
      </c>
      <c r="ALV25">
        <f>SOFR3mo_PX[[#This Row],[Column1010]]</f>
        <v>98.484999999999999</v>
      </c>
      <c r="ALW25">
        <f>SOFR3mo_PX[[#This Row],[Column1011]]</f>
        <v>98.51</v>
      </c>
      <c r="ALX25">
        <f>SOFR3mo_PX[[#This Row],[Column1012]]</f>
        <v>98.55</v>
      </c>
      <c r="ALY25">
        <f>SOFR3mo_PX[[#This Row],[Column1013]]</f>
        <v>98.635000000000005</v>
      </c>
      <c r="ALZ25">
        <f>SOFR3mo_PX[[#This Row],[Column1014]]</f>
        <v>98.674999999999997</v>
      </c>
      <c r="AMA25">
        <f>SOFR3mo_PX[[#This Row],[Column1015]]</f>
        <v>98.68</v>
      </c>
      <c r="AMB25">
        <f>SOFR3mo_PX[[#This Row],[Column1016]]</f>
        <v>98.68</v>
      </c>
      <c r="AMC25">
        <f>SOFR3mo_PX[[#This Row],[Column1017]]</f>
        <v>98.59</v>
      </c>
      <c r="AMD25">
        <f>SOFR3mo_PX[[#This Row],[Column1018]]</f>
        <v>98.564999999999998</v>
      </c>
      <c r="AME25">
        <f>SOFR3mo_PX[[#This Row],[Column1019]]</f>
        <v>98.584999999999994</v>
      </c>
      <c r="AMF25">
        <f>SOFR3mo_PX[[#This Row],[Column1020]]</f>
        <v>98.62</v>
      </c>
      <c r="AMG25">
        <f>SOFR3mo_PX[[#This Row],[Column1021]]</f>
        <v>98.58</v>
      </c>
      <c r="AMH25">
        <f>SOFR3mo_PX[[#This Row],[Column1022]]</f>
        <v>98.564999999999998</v>
      </c>
      <c r="AMI25">
        <f>SOFR3mo_PX[[#This Row],[Column1023]]</f>
        <v>98.584999999999994</v>
      </c>
      <c r="AMJ25">
        <f>SOFR3mo_PX[[#This Row],[Column1024]]</f>
        <v>98.575000000000003</v>
      </c>
      <c r="AMK25">
        <f>SOFR3mo_PX[[#This Row],[Column1025]]</f>
        <v>98.68</v>
      </c>
      <c r="AML25">
        <f>SOFR3mo_PX[[#This Row],[Column1026]]</f>
        <v>98.73</v>
      </c>
      <c r="AMM25">
        <f>SOFR3mo_PX[[#This Row],[Column1027]]</f>
        <v>98.555000000000007</v>
      </c>
      <c r="AMN25">
        <f>SOFR3mo_PX[[#This Row],[Column1028]]</f>
        <v>98.555000000000007</v>
      </c>
      <c r="AMO25">
        <f>SOFR3mo_PX[[#This Row],[Column1029]]</f>
        <v>98.46</v>
      </c>
      <c r="AMP25">
        <f>SOFR3mo_PX[[#This Row],[Column1030]]</f>
        <v>98.38</v>
      </c>
      <c r="AMQ25">
        <f>SOFR3mo_PX[[#This Row],[Column1031]]</f>
        <v>98.435000000000002</v>
      </c>
      <c r="AMR25">
        <f>SOFR3mo_PX[[#This Row],[Column1032]]</f>
        <v>98.43</v>
      </c>
      <c r="AMS25">
        <f>SOFR3mo_PX[[#This Row],[Column1033]]</f>
        <v>98.52</v>
      </c>
      <c r="AMT25">
        <f>SOFR3mo_PX[[#This Row],[Column1034]]</f>
        <v>98.504999999999995</v>
      </c>
      <c r="AMU25">
        <f>SOFR3mo_PX[[#This Row],[Column1035]]</f>
        <v>98.444999999999993</v>
      </c>
      <c r="AMV25">
        <f>SOFR3mo_PX[[#This Row],[Column1036]]</f>
        <v>98.355000000000004</v>
      </c>
      <c r="AMW25">
        <f>SOFR3mo_PX[[#This Row],[Column1037]]</f>
        <v>98.355000000000004</v>
      </c>
      <c r="AMX25">
        <f>SOFR3mo_PX[[#This Row],[Column1038]]</f>
        <v>98.29</v>
      </c>
      <c r="AMY25">
        <f>SOFR3mo_PX[[#This Row],[Column1039]]</f>
        <v>98.33</v>
      </c>
      <c r="AMZ25">
        <f>SOFR3mo_PX[[#This Row],[Column1040]]</f>
        <v>98.275000000000006</v>
      </c>
      <c r="ANA25">
        <f>SOFR3mo_PX[[#This Row],[Column1041]]</f>
        <v>98.265000000000001</v>
      </c>
      <c r="ANB25">
        <f>SOFR3mo_PX[[#This Row],[Column1042]]</f>
        <v>98.2</v>
      </c>
      <c r="ANC25">
        <f>SOFR3mo_PX[[#This Row],[Column1043]]</f>
        <v>98.25</v>
      </c>
      <c r="AND25">
        <f>SOFR3mo_PX[[#This Row],[Column1044]]</f>
        <v>98.245000000000005</v>
      </c>
      <c r="ANE25">
        <f>SOFR3mo_PX[[#This Row],[Column1045]]</f>
        <v>98.28</v>
      </c>
      <c r="ANF25">
        <f>SOFR3mo_PX[[#This Row],[Column1046]]</f>
        <v>98.275000000000006</v>
      </c>
      <c r="ANG25">
        <f>SOFR3mo_PX[[#This Row],[Column1047]]</f>
        <v>98.314999999999998</v>
      </c>
      <c r="ANH25">
        <f>SOFR3mo_PX[[#This Row],[Column1048]]</f>
        <v>98.215000000000003</v>
      </c>
      <c r="ANI25">
        <f>SOFR3mo_PX[[#This Row],[Column1049]]</f>
        <v>98.075000000000003</v>
      </c>
      <c r="ANJ25">
        <f>SOFR3mo_PX[[#This Row],[Column1050]]</f>
        <v>98.23</v>
      </c>
      <c r="ANK25">
        <f>SOFR3mo_PX[[#This Row],[Column1051]]</f>
        <v>98.21</v>
      </c>
      <c r="ANL25">
        <f>SOFR3mo_PX[[#This Row],[Column1052]]</f>
        <v>98.22</v>
      </c>
      <c r="ANM25">
        <f>SOFR3mo_PX[[#This Row],[Column1053]]</f>
        <v>98.24</v>
      </c>
      <c r="ANN25">
        <f>SOFR3mo_PX[[#This Row],[Column1054]]</f>
        <v>98.204999999999998</v>
      </c>
      <c r="ANO25">
        <f>SOFR3mo_PX[[#This Row],[Column1055]]</f>
        <v>98.155000000000001</v>
      </c>
      <c r="ANP25">
        <f>SOFR3mo_PX[[#This Row],[Column1056]]</f>
        <v>98.11</v>
      </c>
      <c r="ANQ25">
        <f>SOFR3mo_PX[[#This Row],[Column1057]]</f>
        <v>98.1</v>
      </c>
      <c r="ANR25">
        <f>SOFR3mo_PX[[#This Row],[Column1058]]</f>
        <v>98.004999999999995</v>
      </c>
      <c r="ANS25">
        <f>SOFR3mo_PX[[#This Row],[Column1059]]</f>
        <v>98.055000000000007</v>
      </c>
      <c r="ANT25">
        <f>SOFR3mo_PX[[#This Row],[Column1060]]</f>
        <v>98.02</v>
      </c>
      <c r="ANU25">
        <f>SOFR3mo_PX[[#This Row],[Column1061]]</f>
        <v>98.064999999999998</v>
      </c>
      <c r="ANV25">
        <f>SOFR3mo_PX[[#This Row],[Column1062]]</f>
        <v>98.064999999999998</v>
      </c>
      <c r="ANW25">
        <f>SOFR3mo_PX[[#This Row],[Column1063]]</f>
        <v>98.06</v>
      </c>
      <c r="ANX25">
        <f>SOFR3mo_PX[[#This Row],[Column1064]]</f>
        <v>98.11</v>
      </c>
      <c r="ANY25">
        <f>SOFR3mo_PX[[#This Row],[Column1065]]</f>
        <v>98.12</v>
      </c>
      <c r="ANZ25">
        <f>SOFR3mo_PX[[#This Row],[Column1066]]</f>
        <v>98.064999999999998</v>
      </c>
      <c r="AOA25">
        <f>SOFR3mo_PX[[#This Row],[Column1067]]</f>
        <v>98.025000000000006</v>
      </c>
      <c r="AOB25">
        <f>SOFR3mo_PX[[#This Row],[Column1068]]</f>
        <v>98.034999999999997</v>
      </c>
      <c r="AOC25">
        <f>SOFR3mo_PX[[#This Row],[Column1069]]</f>
        <v>97.97</v>
      </c>
      <c r="AOD25">
        <f>SOFR3mo_PX[[#This Row],[Column1070]]</f>
        <v>98.02</v>
      </c>
      <c r="AOE25">
        <f>SOFR3mo_PX[[#This Row],[Column1071]]</f>
        <v>98.025000000000006</v>
      </c>
      <c r="AOF25">
        <f>SOFR3mo_PX[[#This Row],[Column1072]]</f>
        <v>98.034999999999997</v>
      </c>
      <c r="AOG25">
        <f>SOFR3mo_PX[[#This Row],[Column1073]]</f>
        <v>97.995000000000005</v>
      </c>
      <c r="AOH25">
        <f>SOFR3mo_PX[[#This Row],[Column1074]]</f>
        <v>97.94</v>
      </c>
      <c r="AOI25">
        <f>SOFR3mo_PX[[#This Row],[Column1075]]</f>
        <v>98.034999999999997</v>
      </c>
      <c r="AOJ25">
        <f>SOFR3mo_PX[[#This Row],[Column1076]]</f>
        <v>98.06</v>
      </c>
      <c r="AOK25">
        <f>SOFR3mo_PX[[#This Row],[Column1077]]</f>
        <v>98.08</v>
      </c>
      <c r="AOL25">
        <f>SOFR3mo_PX[[#This Row],[Column1078]]</f>
        <v>98.08</v>
      </c>
      <c r="AOM25">
        <f>SOFR3mo_PX[[#This Row],[Column1079]]</f>
        <v>98.04</v>
      </c>
      <c r="AON25">
        <f>SOFR3mo_PX[[#This Row],[Column1080]]</f>
        <v>98.015000000000001</v>
      </c>
      <c r="AOO25">
        <f>SOFR3mo_PX[[#This Row],[Column1081]]</f>
        <v>97.99</v>
      </c>
      <c r="AOP25">
        <f>SOFR3mo_PX[[#This Row],[Column1082]]</f>
        <v>97.954999999999998</v>
      </c>
      <c r="AOQ25">
        <f>SOFR3mo_PX[[#This Row],[Column1083]]</f>
        <v>97.954999999999998</v>
      </c>
      <c r="AOR25">
        <f>SOFR3mo_PX[[#This Row],[Column1084]]</f>
        <v>97.984999999999999</v>
      </c>
      <c r="AOS25">
        <f>SOFR3mo_PX[[#This Row],[Column1085]]</f>
        <v>97.995000000000005</v>
      </c>
      <c r="AOT25">
        <f>SOFR3mo_PX[[#This Row],[Column1086]]</f>
        <v>98.055000000000007</v>
      </c>
      <c r="AOU25">
        <f>SOFR3mo_PX[[#This Row],[Column1087]]</f>
        <v>98.064999999999998</v>
      </c>
      <c r="AOV25">
        <f>SOFR3mo_PX[[#This Row],[Column1088]]</f>
        <v>98.09</v>
      </c>
      <c r="AOW25">
        <f>SOFR3mo_PX[[#This Row],[Column1089]]</f>
        <v>98.07</v>
      </c>
      <c r="AOX25">
        <f>SOFR3mo_PX[[#This Row],[Column1090]]</f>
        <v>98.075000000000003</v>
      </c>
      <c r="AOY25">
        <f>SOFR3mo_PX[[#This Row],[Column1091]]</f>
        <v>98.05</v>
      </c>
      <c r="AOZ25">
        <f>SOFR3mo_PX[[#This Row],[Column1092]]</f>
        <v>98.064999999999998</v>
      </c>
      <c r="APA25">
        <f>SOFR3mo_PX[[#This Row],[Column1093]]</f>
        <v>98.105000000000004</v>
      </c>
      <c r="APB25">
        <f>SOFR3mo_PX[[#This Row],[Column1094]]</f>
        <v>97.96</v>
      </c>
      <c r="APC25">
        <f>SOFR3mo_PX[[#This Row],[Column1095]]</f>
        <v>97.95</v>
      </c>
      <c r="APD25">
        <f>SOFR3mo_PX[[#This Row],[Column1096]]</f>
        <v>97.855000000000004</v>
      </c>
      <c r="APE25">
        <f>SOFR3mo_PX[[#This Row],[Column1097]]</f>
        <v>97.864999999999995</v>
      </c>
      <c r="APF25">
        <f>SOFR3mo_PX[[#This Row],[Column1098]]</f>
        <v>97.894999999999996</v>
      </c>
      <c r="APG25">
        <f>SOFR3mo_PX[[#This Row],[Column1099]]</f>
        <v>97.86</v>
      </c>
      <c r="APH25">
        <f>SOFR3mo_PX[[#This Row],[Column1100]]</f>
        <v>97.834999999999994</v>
      </c>
      <c r="API25">
        <f>SOFR3mo_PX[[#This Row],[Column1101]]</f>
        <v>97.73</v>
      </c>
      <c r="APJ25">
        <f>SOFR3mo_PX[[#This Row],[Column1102]]</f>
        <v>97.715000000000003</v>
      </c>
      <c r="APK25">
        <f>SOFR3mo_PX[[#This Row],[Column1103]]</f>
        <v>97.78</v>
      </c>
      <c r="APL25">
        <f>SOFR3mo_PX[[#This Row],[Column1104]]</f>
        <v>97.7</v>
      </c>
      <c r="APM25">
        <f>SOFR3mo_PX[[#This Row],[Column1105]]</f>
        <v>97.734999999999999</v>
      </c>
      <c r="APN25">
        <f>SOFR3mo_PX[[#This Row],[Column1106]]</f>
        <v>97.76</v>
      </c>
      <c r="APO25">
        <f>SOFR3mo_PX[[#This Row],[Column1107]]</f>
        <v>97.84</v>
      </c>
      <c r="APP25">
        <f>SOFR3mo_PX[[#This Row],[Column1108]]</f>
        <v>97.9</v>
      </c>
      <c r="APQ25">
        <f>SOFR3mo_PX[[#This Row],[Column1109]]</f>
        <v>97.905000000000001</v>
      </c>
      <c r="APR25">
        <f>SOFR3mo_PX[[#This Row],[Column1110]]</f>
        <v>97.885000000000005</v>
      </c>
      <c r="APS25">
        <f>SOFR3mo_PX[[#This Row],[Column1111]]</f>
        <v>97.825000000000003</v>
      </c>
      <c r="APT25">
        <f>SOFR3mo_PX[[#This Row],[Column1112]]</f>
        <v>97.78</v>
      </c>
      <c r="APU25">
        <f>SOFR3mo_PX[[#This Row],[Column1113]]</f>
        <v>97.885000000000005</v>
      </c>
      <c r="APV25">
        <f>SOFR3mo_PX[[#This Row],[Column1114]]</f>
        <v>98.075000000000003</v>
      </c>
      <c r="APW25">
        <f>SOFR3mo_PX[[#This Row],[Column1115]]</f>
        <v>98.094999999999999</v>
      </c>
      <c r="APX25">
        <f>SOFR3mo_PX[[#This Row],[Column1116]]</f>
        <v>98.09</v>
      </c>
      <c r="APY25">
        <f>SOFR3mo_PX[[#This Row],[Column1117]]</f>
        <v>98.075000000000003</v>
      </c>
      <c r="APZ25">
        <f>SOFR3mo_PX[[#This Row],[Column1118]]</f>
        <v>98.144999999999996</v>
      </c>
      <c r="AQA25">
        <f>SOFR3mo_PX[[#This Row],[Column1119]]</f>
        <v>98.174999999999997</v>
      </c>
      <c r="AQB25">
        <f>SOFR3mo_PX[[#This Row],[Column1120]]</f>
        <v>98.144999999999996</v>
      </c>
      <c r="AQC25">
        <f>SOFR3mo_PX[[#This Row],[Column1121]]</f>
        <v>98.09</v>
      </c>
      <c r="AQD25">
        <f>SOFR3mo_PX[[#This Row],[Column1122]]</f>
        <v>98.155000000000001</v>
      </c>
      <c r="AQE25">
        <f>SOFR3mo_PX[[#This Row],[Column1123]]</f>
        <v>98.144999999999996</v>
      </c>
      <c r="AQF25">
        <f>SOFR3mo_PX[[#This Row],[Column1124]]</f>
        <v>98.21</v>
      </c>
      <c r="AQG25">
        <f>SOFR3mo_PX[[#This Row],[Column1125]]</f>
        <v>98.265000000000001</v>
      </c>
      <c r="AQH25">
        <f>SOFR3mo_PX[[#This Row],[Column1126]]</f>
        <v>98.224999999999994</v>
      </c>
      <c r="AQI25">
        <f>SOFR3mo_PX[[#This Row],[Column1127]]</f>
        <v>98.165000000000006</v>
      </c>
      <c r="AQJ25">
        <f>SOFR3mo_PX[[#This Row],[Column1128]]</f>
        <v>98.17</v>
      </c>
      <c r="AQK25">
        <f>SOFR3mo_PX[[#This Row],[Column1129]]</f>
        <v>98.305000000000007</v>
      </c>
      <c r="AQL25">
        <f>SOFR3mo_PX[[#This Row],[Column1130]]</f>
        <v>98.33</v>
      </c>
      <c r="AQM25">
        <f>SOFR3mo_PX[[#This Row],[Column1131]]</f>
        <v>98.32</v>
      </c>
      <c r="AQN25">
        <f>SOFR3mo_PX[[#This Row],[Column1132]]</f>
        <v>98.355000000000004</v>
      </c>
      <c r="AQO25">
        <f>SOFR3mo_PX[[#This Row],[Column1133]]</f>
        <v>98.4</v>
      </c>
      <c r="AQP25">
        <f>SOFR3mo_PX[[#This Row],[Column1134]]</f>
        <v>98.424999999999997</v>
      </c>
      <c r="AQQ25">
        <f>SOFR3mo_PX[[#This Row],[Column1135]]</f>
        <v>98.45</v>
      </c>
      <c r="AQR25">
        <f>SOFR3mo_PX[[#This Row],[Column1136]]</f>
        <v>98.57</v>
      </c>
      <c r="AQS25">
        <f>SOFR3mo_PX[[#This Row],[Column1137]]</f>
        <v>98.57</v>
      </c>
      <c r="AQT25">
        <f>SOFR3mo_PX[[#This Row],[Column1138]]</f>
        <v>98.644999999999996</v>
      </c>
      <c r="AQU25">
        <f>SOFR3mo_PX[[#This Row],[Column1139]]</f>
        <v>98.655000000000001</v>
      </c>
      <c r="AQV25">
        <f>SOFR3mo_PX[[#This Row],[Column1140]]</f>
        <v>98.64</v>
      </c>
      <c r="AQW25">
        <f>SOFR3mo_PX[[#This Row],[Column1141]]</f>
        <v>98.63</v>
      </c>
      <c r="AQX25">
        <f>SOFR3mo_PX[[#This Row],[Column1142]]</f>
        <v>98.65</v>
      </c>
      <c r="AQY25">
        <f>SOFR3mo_PX[[#This Row],[Column1143]]</f>
        <v>98.655000000000001</v>
      </c>
      <c r="AQZ25">
        <f>SOFR3mo_PX[[#This Row],[Column1144]]</f>
        <v>98.77</v>
      </c>
      <c r="ARA25">
        <f>SOFR3mo_PX[[#This Row],[Column1145]]</f>
        <v>98.784999999999997</v>
      </c>
      <c r="ARB25">
        <f>SOFR3mo_PX[[#This Row],[Column1146]]</f>
        <v>98.81</v>
      </c>
      <c r="ARC25">
        <f>SOFR3mo_PX[[#This Row],[Column1147]]</f>
        <v>98.81</v>
      </c>
      <c r="ARD25">
        <f>SOFR3mo_PX[[#This Row],[Column1148]]</f>
        <v>98.814999999999998</v>
      </c>
      <c r="ARE25">
        <f>SOFR3mo_PX[[#This Row],[Column1149]]</f>
        <v>98.814999999999998</v>
      </c>
      <c r="ARF25">
        <f>SOFR3mo_PX[[#This Row],[Column1150]]</f>
        <v>98.81</v>
      </c>
      <c r="ARG25">
        <f>SOFR3mo_PX[[#This Row],[Column1151]]</f>
        <v>98.814999999999998</v>
      </c>
      <c r="ARH25">
        <f>SOFR3mo_PX[[#This Row],[Column1152]]</f>
        <v>98.814999999999998</v>
      </c>
      <c r="ARI25">
        <f>SOFR3mo_PX[[#This Row],[Column1153]]</f>
        <v>98.81</v>
      </c>
      <c r="ARJ25">
        <f>SOFR3mo_PX[[#This Row],[Column1154]]</f>
        <v>98.825000000000003</v>
      </c>
      <c r="ARK25">
        <f>SOFR3mo_PX[[#This Row],[Column1155]]</f>
        <v>98.825000000000003</v>
      </c>
      <c r="ARL25">
        <f>SOFR3mo_PX[[#This Row],[Column1156]]</f>
        <v>98.814999999999998</v>
      </c>
      <c r="ARM25">
        <f>SOFR3mo_PX[[#This Row],[Column1157]]</f>
        <v>98.814999999999998</v>
      </c>
      <c r="ARN25">
        <f>SOFR3mo_PX[[#This Row],[Column1158]]</f>
        <v>98.844999999999999</v>
      </c>
      <c r="ARO25">
        <f>SOFR3mo_PX[[#This Row],[Column1159]]</f>
        <v>98.83</v>
      </c>
      <c r="ARP25">
        <f>SOFR3mo_PX[[#This Row],[Column1160]]</f>
        <v>98.805000000000007</v>
      </c>
      <c r="ARQ25">
        <f>SOFR3mo_PX[[#This Row],[Column1161]]</f>
        <v>98.81</v>
      </c>
      <c r="ARR25">
        <f>SOFR3mo_PX[[#This Row],[Column1162]]</f>
        <v>98.814999999999998</v>
      </c>
      <c r="ARS25">
        <f>SOFR3mo_PX[[#This Row],[Column1163]]</f>
        <v>98.855000000000004</v>
      </c>
      <c r="ART25">
        <f>SOFR3mo_PX[[#This Row],[Column1164]]</f>
        <v>99.01</v>
      </c>
      <c r="ARU25">
        <f>SOFR3mo_PX[[#This Row],[Column1165]]</f>
        <v>99.055000000000007</v>
      </c>
      <c r="ARV25">
        <f>SOFR3mo_PX[[#This Row],[Column1166]]</f>
        <v>99.064999999999998</v>
      </c>
      <c r="ARW25">
        <f>SOFR3mo_PX[[#This Row],[Column1167]]</f>
        <v>99.055000000000007</v>
      </c>
      <c r="ARX25">
        <f>SOFR3mo_PX[[#This Row],[Column1168]]</f>
        <v>99.055000000000007</v>
      </c>
      <c r="ARY25">
        <f>SOFR3mo_PX[[#This Row],[Column1169]]</f>
        <v>99.045000000000002</v>
      </c>
      <c r="ARZ25">
        <f>SOFR3mo_PX[[#This Row],[Column1170]]</f>
        <v>99.03</v>
      </c>
      <c r="ASA25">
        <f>SOFR3mo_PX[[#This Row],[Column1171]]</f>
        <v>99.025000000000006</v>
      </c>
      <c r="ASB25">
        <f>SOFR3mo_PX[[#This Row],[Column1172]]</f>
        <v>99.03</v>
      </c>
      <c r="ASC25">
        <f>SOFR3mo_PX[[#This Row],[Column1173]]</f>
        <v>99.03</v>
      </c>
      <c r="ASD25">
        <f>SOFR3mo_PX[[#This Row],[Column1174]]</f>
        <v>99.03</v>
      </c>
      <c r="ASE25">
        <f>SOFR3mo_PX[[#This Row],[Column1175]]</f>
        <v>99.034999999999997</v>
      </c>
      <c r="ASF25">
        <f>SOFR3mo_PX[[#This Row],[Column1176]]</f>
        <v>99.03</v>
      </c>
      <c r="ASG25">
        <f>SOFR3mo_PX[[#This Row],[Column1177]]</f>
        <v>99.03</v>
      </c>
      <c r="ASH25">
        <f>SOFR3mo_PX[[#This Row],[Column1178]]</f>
        <v>99.1</v>
      </c>
      <c r="ASI25">
        <f>SOFR3mo_PX[[#This Row],[Column1179]]</f>
        <v>99.11</v>
      </c>
      <c r="ASJ25">
        <f>SOFR3mo_PX[[#This Row],[Column1180]]</f>
        <v>99.18</v>
      </c>
      <c r="ASK25">
        <f>SOFR3mo_PX[[#This Row],[Column1181]]</f>
        <v>99.18</v>
      </c>
      <c r="ASL25">
        <f>SOFR3mo_PX[[#This Row],[Column1182]]</f>
        <v>99.18</v>
      </c>
      <c r="ASM25">
        <f>SOFR3mo_PX[[#This Row],[Column1183]]</f>
        <v>99.144999999999996</v>
      </c>
      <c r="ASN25">
        <f>SOFR3mo_PX[[#This Row],[Column1184]]</f>
        <v>99.525000000000006</v>
      </c>
      <c r="ASO25">
        <f>SOFR3mo_PX[[#This Row],[Column1185]]</f>
        <v>99.63</v>
      </c>
      <c r="ASP25">
        <f>SOFR3mo_PX[[#This Row],[Column1186]]</f>
        <v>99.63</v>
      </c>
      <c r="ASQ25">
        <f>SOFR3mo_PX[[#This Row],[Column1187]]</f>
        <v>99.64</v>
      </c>
      <c r="ASR25">
        <f>SOFR3mo_PX[[#This Row],[Column1188]]</f>
        <v>99.655000000000001</v>
      </c>
      <c r="ASS25">
        <f>SOFR3mo_PX[[#This Row],[Column1189]]</f>
        <v>99.66</v>
      </c>
      <c r="AST25">
        <f>SOFR3mo_PX[[#This Row],[Column1190]]</f>
        <v>99.665000000000006</v>
      </c>
      <c r="ASU25">
        <f>SOFR3mo_PX[[#This Row],[Column1191]]</f>
        <v>99.69</v>
      </c>
      <c r="ASV25">
        <f>SOFR3mo_PX[[#This Row],[Column1192]]</f>
        <v>99.694999999999993</v>
      </c>
      <c r="ASW25">
        <f>SOFR3mo_PX[[#This Row],[Column1193]]</f>
        <v>99.69</v>
      </c>
      <c r="ASX25">
        <f>SOFR3mo_PX[[#This Row],[Column1194]]</f>
        <v>99.69</v>
      </c>
      <c r="ASY25">
        <f>SOFR3mo_PX[[#This Row],[Column1195]]</f>
        <v>99.685000000000002</v>
      </c>
      <c r="ASZ25">
        <f>SOFR3mo_PX[[#This Row],[Column1196]]</f>
        <v>99.68</v>
      </c>
      <c r="ATA25">
        <f>SOFR3mo_PX[[#This Row],[Column1197]]</f>
        <v>99.694999999999993</v>
      </c>
      <c r="ATB25">
        <f>SOFR3mo_PX[[#This Row],[Column1198]]</f>
        <v>99.69</v>
      </c>
      <c r="ATC25">
        <f>SOFR3mo_PX[[#This Row],[Column1199]]</f>
        <v>99.69</v>
      </c>
      <c r="ATD25">
        <f>SOFR3mo_PX[[#This Row],[Column1200]]</f>
        <v>99.694999999999993</v>
      </c>
      <c r="ATE25">
        <f>SOFR3mo_PX[[#This Row],[Column1201]]</f>
        <v>99.685000000000002</v>
      </c>
      <c r="ATF25">
        <f>SOFR3mo_PX[[#This Row],[Column1202]]</f>
        <v>99.685000000000002</v>
      </c>
      <c r="ATG25">
        <f>SOFR3mo_PX[[#This Row],[Column1203]]</f>
        <v>99.68</v>
      </c>
      <c r="ATH25">
        <f>SOFR3mo_PX[[#This Row],[Column1204]]</f>
        <v>99.66</v>
      </c>
      <c r="ATI25">
        <f>SOFR3mo_PX[[#This Row],[Column1205]]</f>
        <v>99.66</v>
      </c>
      <c r="ATJ25">
        <f>SOFR3mo_PX[[#This Row],[Column1206]]</f>
        <v>99.694999999999993</v>
      </c>
      <c r="ATK25">
        <f>SOFR3mo_PX[[#This Row],[Column1207]]</f>
        <v>99.74</v>
      </c>
      <c r="ATL25">
        <f>SOFR3mo_PX[[#This Row],[Column1208]]</f>
        <v>99.745000000000005</v>
      </c>
      <c r="ATM25">
        <f>SOFR3mo_PX[[#This Row],[Column1209]]</f>
        <v>99.765000000000001</v>
      </c>
      <c r="ATN25">
        <f>SOFR3mo_PX[[#This Row],[Column1210]]</f>
        <v>99.734999999999999</v>
      </c>
      <c r="ATO25">
        <f>SOFR3mo_PX[[#This Row],[Column1211]]</f>
        <v>99.745000000000005</v>
      </c>
      <c r="ATP25">
        <f>SOFR3mo_PX[[#This Row],[Column1212]]</f>
        <v>99.74</v>
      </c>
      <c r="ATQ25">
        <f>SOFR3mo_PX[[#This Row],[Column1213]]</f>
        <v>99.745000000000005</v>
      </c>
      <c r="ATR25">
        <f>SOFR3mo_PX[[#This Row],[Column1214]]</f>
        <v>99.754999999999995</v>
      </c>
      <c r="ATS25">
        <f>SOFR3mo_PX[[#This Row],[Column1215]]</f>
        <v>99.754999999999995</v>
      </c>
      <c r="ATT25">
        <f>SOFR3mo_PX[[#This Row],[Column1216]]</f>
        <v>99.75</v>
      </c>
      <c r="ATU25">
        <f>SOFR3mo_PX[[#This Row],[Column1217]]</f>
        <v>99.74</v>
      </c>
      <c r="ATV25">
        <f>SOFR3mo_PX[[#This Row],[Column1218]]</f>
        <v>99.73</v>
      </c>
      <c r="ATW25">
        <f>SOFR3mo_PX[[#This Row],[Column1219]]</f>
        <v>99.754999999999995</v>
      </c>
      <c r="ATX25">
        <f>SOFR3mo_PX[[#This Row],[Column1220]]</f>
        <v>99.754999999999995</v>
      </c>
      <c r="ATY25">
        <f>SOFR3mo_PX[[#This Row],[Column1221]]</f>
        <v>99.765000000000001</v>
      </c>
      <c r="ATZ25">
        <f>SOFR3mo_PX[[#This Row],[Column1222]]</f>
        <v>99.775000000000006</v>
      </c>
      <c r="AUA25">
        <f>SOFR3mo_PX[[#This Row],[Column1223]]</f>
        <v>99.77</v>
      </c>
      <c r="AUB25">
        <f>SOFR3mo_PX[[#This Row],[Column1224]]</f>
        <v>99.775000000000006</v>
      </c>
      <c r="AUC25">
        <f>SOFR3mo_PX[[#This Row],[Column1225]]</f>
        <v>99.77</v>
      </c>
      <c r="AUD25">
        <f>SOFR3mo_PX[[#This Row],[Column1226]]</f>
        <v>99.754999999999995</v>
      </c>
      <c r="AUE25">
        <f>SOFR3mo_PX[[#This Row],[Column1227]]</f>
        <v>99.75</v>
      </c>
      <c r="AUF25">
        <f>SOFR3mo_PX[[#This Row],[Column1228]]</f>
        <v>99.765000000000001</v>
      </c>
      <c r="AUG25">
        <f>SOFR3mo_PX[[#This Row],[Column1229]]</f>
        <v>99.76</v>
      </c>
      <c r="AUH25">
        <f>SOFR3mo_PX[[#This Row],[Column1230]]</f>
        <v>99.784999999999997</v>
      </c>
      <c r="AUI25">
        <f>SOFR3mo_PX[[#This Row],[Column1231]]</f>
        <v>99.784999999999997</v>
      </c>
      <c r="AUJ25">
        <f>SOFR3mo_PX[[#This Row],[Column1232]]</f>
        <v>99.834999999999994</v>
      </c>
      <c r="AUK25">
        <f>SOFR3mo_PX[[#This Row],[Column1233]]</f>
        <v>99.834999999999994</v>
      </c>
      <c r="AUL25">
        <f>SOFR3mo_PX[[#This Row],[Column1234]]</f>
        <v>99.834999999999994</v>
      </c>
      <c r="AUM25">
        <f>SOFR3mo_PX[[#This Row],[Column1235]]</f>
        <v>99.84</v>
      </c>
      <c r="AUN25">
        <f>SOFR3mo_PX[[#This Row],[Column1236]]</f>
        <v>99.84</v>
      </c>
      <c r="AUO25">
        <f>SOFR3mo_PX[[#This Row],[Column1237]]</f>
        <v>99.85</v>
      </c>
      <c r="AUP25">
        <f>SOFR3mo_PX[[#This Row],[Column1238]]</f>
        <v>99.85</v>
      </c>
      <c r="AUQ25">
        <f>SOFR3mo_PX[[#This Row],[Column1239]]</f>
        <v>99.855000000000004</v>
      </c>
      <c r="AUR25">
        <f>SOFR3mo_PX[[#This Row],[Column1240]]</f>
        <v>99.855000000000004</v>
      </c>
      <c r="AUS25">
        <f>SOFR3mo_PX[[#This Row],[Column1241]]</f>
        <v>99.844999999999999</v>
      </c>
      <c r="AUT25">
        <f>SOFR3mo_PX[[#This Row],[Column1242]]</f>
        <v>99.825000000000003</v>
      </c>
      <c r="AUU25">
        <f>SOFR3mo_PX[[#This Row],[Column1243]]</f>
        <v>99.84</v>
      </c>
      <c r="AUV25">
        <f>SOFR3mo_PX[[#This Row],[Column1244]]</f>
        <v>99.834999999999994</v>
      </c>
      <c r="AUW25">
        <f>SOFR3mo_PX[[#This Row],[Column1245]]</f>
        <v>99.864999999999995</v>
      </c>
      <c r="AUX25">
        <f>SOFR3mo_PX[[#This Row],[Column1246]]</f>
        <v>99.87</v>
      </c>
      <c r="AUY25">
        <f>SOFR3mo_PX[[#This Row],[Column1247]]</f>
        <v>99.86</v>
      </c>
      <c r="AUZ25">
        <f>SOFR3mo_PX[[#This Row],[Column1248]]</f>
        <v>99.834999999999994</v>
      </c>
      <c r="AVA25">
        <f>SOFR3mo_PX[[#This Row],[Column1249]]</f>
        <v>99.83</v>
      </c>
      <c r="AVB25">
        <f>SOFR3mo_PX[[#This Row],[Column1250]]</f>
        <v>99.834999999999994</v>
      </c>
      <c r="AVC25">
        <f>SOFR3mo_PX[[#This Row],[Column1251]]</f>
        <v>99.825000000000003</v>
      </c>
      <c r="AVD25">
        <f>SOFR3mo_PX[[#This Row],[Column1252]]</f>
        <v>99.825000000000003</v>
      </c>
      <c r="AVE25">
        <f>SOFR3mo_PX[[#This Row],[Column1253]]</f>
        <v>99.855000000000004</v>
      </c>
      <c r="AVF25">
        <f>SOFR3mo_PX[[#This Row],[Column1254]]</f>
        <v>99.844999999999999</v>
      </c>
      <c r="AVG25">
        <f>SOFR3mo_PX[[#This Row],[Column1255]]</f>
        <v>99.855000000000004</v>
      </c>
      <c r="AVH25">
        <f>SOFR3mo_PX[[#This Row],[Column1256]]</f>
        <v>99.85</v>
      </c>
      <c r="AVI25">
        <f>SOFR3mo_PX[[#This Row],[Column1257]]</f>
        <v>99.844999999999999</v>
      </c>
      <c r="AVJ25">
        <f>SOFR3mo_PX[[#This Row],[Column1258]]</f>
        <v>99.825000000000003</v>
      </c>
      <c r="AVK25">
        <f>SOFR3mo_PX[[#This Row],[Column1259]]</f>
        <v>99.834999999999994</v>
      </c>
      <c r="AVL25">
        <f>SOFR3mo_PX[[#This Row],[Column1260]]</f>
        <v>99.84</v>
      </c>
      <c r="AVM25">
        <f>SOFR3mo_PX[[#This Row],[Column1261]]</f>
        <v>99.85</v>
      </c>
      <c r="AVN25">
        <f>SOFR3mo_PX[[#This Row],[Column1262]]</f>
        <v>99.844999999999999</v>
      </c>
      <c r="AVO25">
        <f>SOFR3mo_PX[[#This Row],[Column1263]]</f>
        <v>99.855000000000004</v>
      </c>
      <c r="AVP25">
        <f>SOFR3mo_PX[[#This Row],[Column1264]]</f>
        <v>99.855000000000004</v>
      </c>
      <c r="AVQ25">
        <f>SOFR3mo_PX[[#This Row],[Column1265]]</f>
        <v>99.844999999999999</v>
      </c>
      <c r="AVR25">
        <f>SOFR3mo_PX[[#This Row],[Column1266]]</f>
        <v>99.83</v>
      </c>
      <c r="AVS25">
        <f>SOFR3mo_PX[[#This Row],[Column1267]]</f>
        <v>99.82</v>
      </c>
      <c r="AVT25">
        <f>SOFR3mo_PX[[#This Row],[Column1268]]</f>
        <v>99.82</v>
      </c>
      <c r="AVU25">
        <f>SOFR3mo_PX[[#This Row],[Column1269]]</f>
        <v>99.825000000000003</v>
      </c>
      <c r="AVV25">
        <f>SOFR3mo_PX[[#This Row],[Column1270]]</f>
        <v>99.825000000000003</v>
      </c>
      <c r="AVW25">
        <f>SOFR3mo_PX[[#This Row],[Column1271]]</f>
        <v>99.86</v>
      </c>
      <c r="AVX25">
        <f>SOFR3mo_PX[[#This Row],[Column1272]]</f>
        <v>99.87</v>
      </c>
      <c r="AVY25">
        <f>SOFR3mo_PX[[#This Row],[Column1273]]</f>
        <v>99.89</v>
      </c>
      <c r="AVZ25">
        <f>SOFR3mo_PX[[#This Row],[Column1274]]</f>
        <v>99.894999999999996</v>
      </c>
      <c r="AWA25">
        <f>SOFR3mo_PX[[#This Row],[Column1275]]</f>
        <v>99.905000000000001</v>
      </c>
      <c r="AWB25">
        <f>SOFR3mo_PX[[#This Row],[Column1276]]</f>
        <v>99.894999999999996</v>
      </c>
      <c r="AWC25">
        <f>SOFR3mo_PX[[#This Row],[Column1277]]</f>
        <v>99.89</v>
      </c>
      <c r="AWD25">
        <f>SOFR3mo_PX[[#This Row],[Column1278]]</f>
        <v>99.885000000000005</v>
      </c>
      <c r="AWE25">
        <f>SOFR3mo_PX[[#This Row],[Column1279]]</f>
        <v>99.864999999999995</v>
      </c>
      <c r="AWF25">
        <f>SOFR3mo_PX[[#This Row],[Column1280]]</f>
        <v>99.855000000000004</v>
      </c>
      <c r="AWG25">
        <f>SOFR3mo_PX[[#This Row],[Column1281]]</f>
        <v>99.85</v>
      </c>
      <c r="AWH25">
        <f>SOFR3mo_PX[[#This Row],[Column1282]]</f>
        <v>99.86</v>
      </c>
      <c r="AWI25">
        <f>SOFR3mo_PX[[#This Row],[Column1283]]</f>
        <v>99.864999999999995</v>
      </c>
      <c r="AWJ25">
        <f>SOFR3mo_PX[[#This Row],[Column1284]]</f>
        <v>99.864999999999995</v>
      </c>
      <c r="AWK25">
        <f>SOFR3mo_PX[[#This Row],[Column1285]]</f>
        <v>99.86</v>
      </c>
      <c r="AWL25">
        <f>SOFR3mo_PX[[#This Row],[Column1286]]</f>
        <v>99.86</v>
      </c>
      <c r="AWM25">
        <f>SOFR3mo_PX[[#This Row],[Column1287]]</f>
        <v>99.855000000000004</v>
      </c>
      <c r="AWN25">
        <f>SOFR3mo_PX[[#This Row],[Column1288]]</f>
        <v>99.855000000000004</v>
      </c>
      <c r="AWO25">
        <f>SOFR3mo_PX[[#This Row],[Column1289]]</f>
        <v>99.85</v>
      </c>
      <c r="AWP25">
        <f>SOFR3mo_PX[[#This Row],[Column1290]]</f>
        <v>99.86</v>
      </c>
      <c r="AWQ25">
        <f>SOFR3mo_PX[[#This Row],[Column1291]]</f>
        <v>99.86</v>
      </c>
      <c r="AWR25">
        <f>SOFR3mo_PX[[#This Row],[Column1292]]</f>
        <v>99.875</v>
      </c>
      <c r="AWS25">
        <f>SOFR3mo_PX[[#This Row],[Column1293]]</f>
        <v>99.89</v>
      </c>
      <c r="AWT25">
        <f>SOFR3mo_PX[[#This Row],[Column1294]]</f>
        <v>99.875</v>
      </c>
      <c r="AWU25">
        <f>SOFR3mo_PX[[#This Row],[Column1295]]</f>
        <v>99.87</v>
      </c>
      <c r="AWV25">
        <f>SOFR3mo_PX[[#This Row],[Column1296]]</f>
        <v>99.864999999999995</v>
      </c>
      <c r="AWW25">
        <f>SOFR3mo_PX[[#This Row],[Column1297]]</f>
        <v>99.864999999999995</v>
      </c>
      <c r="AWX25">
        <f>SOFR3mo_PX[[#This Row],[Column1298]]</f>
        <v>99.864999999999995</v>
      </c>
      <c r="AWY25">
        <f>SOFR3mo_PX[[#This Row],[Column1299]]</f>
        <v>99.855000000000004</v>
      </c>
      <c r="AWZ25">
        <f>SOFR3mo_PX[[#This Row],[Column1300]]</f>
        <v>99.875</v>
      </c>
      <c r="AXA25">
        <f>SOFR3mo_PX[[#This Row],[Column1301]]</f>
        <v>99.875</v>
      </c>
      <c r="AXB25">
        <f>SOFR3mo_PX[[#This Row],[Column1302]]</f>
        <v>99.864999999999995</v>
      </c>
      <c r="AXC25">
        <f>SOFR3mo_PX[[#This Row],[Column1303]]</f>
        <v>99.844999999999999</v>
      </c>
      <c r="AXD25">
        <f>SOFR3mo_PX[[#This Row],[Column1304]]</f>
        <v>99.844999999999999</v>
      </c>
      <c r="AXE25">
        <f>SOFR3mo_PX[[#This Row],[Column1305]]</f>
        <v>99.844999999999999</v>
      </c>
      <c r="AXF25">
        <f>SOFR3mo_PX[[#This Row],[Column1306]]</f>
        <v>99.84</v>
      </c>
      <c r="AXG25">
        <f>SOFR3mo_PX[[#This Row],[Column1307]]</f>
        <v>99.83</v>
      </c>
      <c r="AXH25">
        <f>SOFR3mo_PX[[#This Row],[Column1308]]</f>
        <v>99.81</v>
      </c>
      <c r="AXI25">
        <f>SOFR3mo_PX[[#This Row],[Column1309]]</f>
        <v>99.805000000000007</v>
      </c>
      <c r="AXJ25">
        <f>SOFR3mo_PX[[#This Row],[Column1310]]</f>
        <v>99.795000000000002</v>
      </c>
      <c r="AXK25">
        <f>SOFR3mo_PX[[#This Row],[Column1311]]</f>
        <v>99.81</v>
      </c>
      <c r="AXL25">
        <f>SOFR3mo_PX[[#This Row],[Column1312]]</f>
        <v>99.8</v>
      </c>
      <c r="AXM25">
        <f>SOFR3mo_PX[[#This Row],[Column1313]]</f>
        <v>99.81</v>
      </c>
      <c r="AXN25">
        <f>SOFR3mo_PX[[#This Row],[Column1314]]</f>
        <v>99.784999999999997</v>
      </c>
      <c r="AXO25">
        <f>SOFR3mo_PX[[#This Row],[Column1315]]</f>
        <v>99.734999999999999</v>
      </c>
      <c r="AXP25">
        <f>SOFR3mo_PX[[#This Row],[Column1316]]</f>
        <v>99.7</v>
      </c>
      <c r="AXQ25">
        <f>SOFR3mo_PX[[#This Row],[Column1317]]</f>
        <v>99.694999999999993</v>
      </c>
      <c r="AXR25">
        <f>SOFR3mo_PX[[#This Row],[Column1318]]</f>
        <v>99.76</v>
      </c>
      <c r="AXS25">
        <f>SOFR3mo_PX[[#This Row],[Column1319]]</f>
        <v>99.775000000000006</v>
      </c>
      <c r="AXT25">
        <f>SOFR3mo_PX[[#This Row],[Column1320]]</f>
        <v>99.81</v>
      </c>
      <c r="AXU25">
        <f>SOFR3mo_PX[[#This Row],[Column1321]]</f>
        <v>99.814999999999998</v>
      </c>
      <c r="AXV25">
        <f>SOFR3mo_PX[[#This Row],[Column1322]]</f>
        <v>99.805000000000007</v>
      </c>
      <c r="AXW25">
        <f>SOFR3mo_PX[[#This Row],[Column1323]]</f>
        <v>99.784999999999997</v>
      </c>
      <c r="AXX25">
        <f>SOFR3mo_PX[[#This Row],[Column1324]]</f>
        <v>99.79</v>
      </c>
      <c r="AXY25">
        <f>SOFR3mo_PX[[#This Row],[Column1325]]</f>
        <v>99.795000000000002</v>
      </c>
      <c r="AXZ25">
        <f>SOFR3mo_PX[[#This Row],[Column1326]]</f>
        <v>99.8</v>
      </c>
      <c r="AYA25">
        <f>SOFR3mo_PX[[#This Row],[Column1327]]</f>
        <v>99.8</v>
      </c>
      <c r="AYB25">
        <f>SOFR3mo_PX[[#This Row],[Column1328]]</f>
        <v>99.795000000000002</v>
      </c>
      <c r="AYC25">
        <f>SOFR3mo_PX[[#This Row],[Column1329]]</f>
        <v>99.795000000000002</v>
      </c>
      <c r="AYD25">
        <f>SOFR3mo_PX[[#This Row],[Column1330]]</f>
        <v>99.8</v>
      </c>
      <c r="AYE25">
        <f>SOFR3mo_PX[[#This Row],[Column1331]]</f>
        <v>99.8</v>
      </c>
      <c r="AYF25">
        <f>SOFR3mo_PX[[#This Row],[Column1332]]</f>
        <v>99.844999999999999</v>
      </c>
      <c r="AYG25">
        <f>SOFR3mo_PX[[#This Row],[Column1333]]</f>
        <v>99.82</v>
      </c>
      <c r="AYH25">
        <f>SOFR3mo_PX[[#This Row],[Column1334]]</f>
        <v>99.81</v>
      </c>
      <c r="AYI25">
        <f>SOFR3mo_PX[[#This Row],[Column1335]]</f>
        <v>99.79</v>
      </c>
      <c r="AYJ25">
        <f>SOFR3mo_PX[[#This Row],[Column1336]]</f>
        <v>99.79</v>
      </c>
      <c r="AYK25">
        <f>SOFR3mo_PX[[#This Row],[Column1337]]</f>
        <v>99.81</v>
      </c>
      <c r="AYL25">
        <f>SOFR3mo_PX[[#This Row],[Column1338]]</f>
        <v>99.82</v>
      </c>
      <c r="AYM25">
        <f>SOFR3mo_PX[[#This Row],[Column1339]]</f>
        <v>99.765000000000001</v>
      </c>
      <c r="AYN25">
        <f>SOFR3mo_PX[[#This Row],[Column1340]]</f>
        <v>99.75</v>
      </c>
      <c r="AYO25">
        <f>SOFR3mo_PX[[#This Row],[Column1341]]</f>
        <v>99.754999999999995</v>
      </c>
      <c r="AYP25">
        <f>SOFR3mo_PX[[#This Row],[Column1342]]</f>
        <v>99.74</v>
      </c>
      <c r="AYQ25">
        <f>SOFR3mo_PX[[#This Row],[Column1343]]</f>
        <v>99.745000000000005</v>
      </c>
      <c r="AYR25">
        <f>SOFR3mo_PX[[#This Row],[Column1344]]</f>
        <v>99.734999999999999</v>
      </c>
      <c r="AYS25">
        <f>SOFR3mo_PX[[#This Row],[Column1345]]</f>
        <v>99.72</v>
      </c>
      <c r="AYT25">
        <f>SOFR3mo_PX[[#This Row],[Column1346]]</f>
        <v>99.715000000000003</v>
      </c>
      <c r="AYU25">
        <f>SOFR3mo_PX[[#This Row],[Column1347]]</f>
        <v>99.724999999999994</v>
      </c>
      <c r="AYV25">
        <f>SOFR3mo_PX[[#This Row],[Column1348]]</f>
        <v>99.724999999999994</v>
      </c>
      <c r="AYW25">
        <f>SOFR3mo_PX[[#This Row],[Column1349]]</f>
        <v>99.72</v>
      </c>
      <c r="AYX25">
        <f>SOFR3mo_PX[[#This Row],[Column1350]]</f>
        <v>99.73</v>
      </c>
      <c r="AYY25">
        <f>SOFR3mo_PX[[#This Row],[Column1351]]</f>
        <v>99.71</v>
      </c>
      <c r="AYZ25">
        <f>SOFR3mo_PX[[#This Row],[Column1352]]</f>
        <v>99.7</v>
      </c>
      <c r="AZA25">
        <f>SOFR3mo_PX[[#This Row],[Column1353]]</f>
        <v>99.685000000000002</v>
      </c>
      <c r="AZB25">
        <f>SOFR3mo_PX[[#This Row],[Column1354]]</f>
        <v>99.674999999999997</v>
      </c>
      <c r="AZC25">
        <f>SOFR3mo_PX[[#This Row],[Column1355]]</f>
        <v>99.644999999999996</v>
      </c>
      <c r="AZD25">
        <f>SOFR3mo_PX[[#This Row],[Column1356]]</f>
        <v>99.63</v>
      </c>
      <c r="AZE25">
        <f>SOFR3mo_PX[[#This Row],[Column1357]]</f>
        <v>99.64</v>
      </c>
      <c r="AZF25">
        <f>SOFR3mo_PX[[#This Row],[Column1358]]</f>
        <v>99.64</v>
      </c>
      <c r="AZG25">
        <f>SOFR3mo_PX[[#This Row],[Column1359]]</f>
        <v>99.62</v>
      </c>
      <c r="AZH25">
        <f>SOFR3mo_PX[[#This Row],[Column1360]]</f>
        <v>99.605000000000004</v>
      </c>
      <c r="AZI25">
        <f>SOFR3mo_PX[[#This Row],[Column1361]]</f>
        <v>99.65</v>
      </c>
      <c r="AZJ25">
        <f>SOFR3mo_PX[[#This Row],[Column1362]]</f>
        <v>99.71</v>
      </c>
      <c r="AZK25">
        <f>SOFR3mo_PX[[#This Row],[Column1363]]</f>
        <v>99.704999999999998</v>
      </c>
      <c r="AZL25">
        <f>SOFR3mo_PX[[#This Row],[Column1364]]</f>
        <v>99.72</v>
      </c>
      <c r="AZM25">
        <f>SOFR3mo_PX[[#This Row],[Column1365]]</f>
        <v>99.694999999999993</v>
      </c>
      <c r="AZN25">
        <f>SOFR3mo_PX[[#This Row],[Column1366]]</f>
        <v>99.724999999999994</v>
      </c>
      <c r="AZO25">
        <f>SOFR3mo_PX[[#This Row],[Column1367]]</f>
        <v>99.68</v>
      </c>
      <c r="AZP25">
        <f>SOFR3mo_PX[[#This Row],[Column1368]]</f>
        <v>99.66</v>
      </c>
      <c r="AZQ25">
        <f>SOFR3mo_PX[[#This Row],[Column1369]]</f>
        <v>99.63</v>
      </c>
      <c r="AZR25">
        <f>SOFR3mo_PX[[#This Row],[Column1370]]</f>
        <v>99.625</v>
      </c>
      <c r="AZS25">
        <f>SOFR3mo_PX[[#This Row],[Column1371]]</f>
        <v>99.685000000000002</v>
      </c>
      <c r="AZT25">
        <f>SOFR3mo_PX[[#This Row],[Column1372]]</f>
        <v>99.605000000000004</v>
      </c>
      <c r="AZU25">
        <f>SOFR3mo_PX[[#This Row],[Column1373]]</f>
        <v>99.545000000000002</v>
      </c>
      <c r="AZV25">
        <f>SOFR3mo_PX[[#This Row],[Column1374]]</f>
        <v>99.44</v>
      </c>
      <c r="AZW25">
        <f>SOFR3mo_PX[[#This Row],[Column1375]]</f>
        <v>99.555000000000007</v>
      </c>
      <c r="AZX25">
        <f>SOFR3mo_PX[[#This Row],[Column1376]]</f>
        <v>99.605000000000004</v>
      </c>
      <c r="AZY25">
        <f>SOFR3mo_PX[[#This Row],[Column1377]]</f>
        <v>99.53</v>
      </c>
      <c r="AZZ25">
        <f>SOFR3mo_PX[[#This Row],[Column1378]]</f>
        <v>99.57</v>
      </c>
      <c r="BAA25">
        <f>SOFR3mo_PX[[#This Row],[Column1379]]</f>
        <v>99.5</v>
      </c>
      <c r="BAB25">
        <f>SOFR3mo_PX[[#This Row],[Column1380]]</f>
        <v>99.49</v>
      </c>
      <c r="BAC25">
        <f>SOFR3mo_PX[[#This Row],[Column1381]]</f>
        <v>99.61</v>
      </c>
      <c r="BAD25">
        <f>SOFR3mo_PX[[#This Row],[Column1382]]</f>
        <v>99.534999999999997</v>
      </c>
      <c r="BAE25">
        <f>SOFR3mo_PX[[#This Row],[Column1383]]</f>
        <v>99.45</v>
      </c>
      <c r="BAF25">
        <f>SOFR3mo_PX[[#This Row],[Column1384]]</f>
        <v>99.4</v>
      </c>
      <c r="BAG25">
        <f>SOFR3mo_PX[[#This Row],[Column1385]]</f>
        <v>99.34</v>
      </c>
      <c r="BAH25">
        <f>SOFR3mo_PX[[#This Row],[Column1386]]</f>
        <v>99.27</v>
      </c>
      <c r="BAI25">
        <f>SOFR3mo_PX[[#This Row],[Column1387]]</f>
        <v>99.27</v>
      </c>
      <c r="BAJ25">
        <f>SOFR3mo_PX[[#This Row],[Column1388]]</f>
        <v>99.07</v>
      </c>
      <c r="BAK25">
        <f>SOFR3mo_PX[[#This Row],[Column1389]]</f>
        <v>99.015000000000001</v>
      </c>
      <c r="BAL25">
        <f>SOFR3mo_PX[[#This Row],[Column1390]]</f>
        <v>99.025000000000006</v>
      </c>
      <c r="BAM25">
        <f>SOFR3mo_PX[[#This Row],[Column1391]]</f>
        <v>98.97</v>
      </c>
      <c r="BAN25">
        <f>SOFR3mo_PX[[#This Row],[Column1392]]</f>
        <v>98.86</v>
      </c>
      <c r="BAO25">
        <f>SOFR3mo_PX[[#This Row],[Column1393]]</f>
        <v>98.795000000000002</v>
      </c>
      <c r="BAP25">
        <f>SOFR3mo_PX[[#This Row],[Column1394]]</f>
        <v>98.75</v>
      </c>
      <c r="BAQ25">
        <f>SOFR3mo_PX[[#This Row],[Column1395]]</f>
        <v>98.775000000000006</v>
      </c>
      <c r="BAR25">
        <f>SOFR3mo_PX[[#This Row],[Column1396]]</f>
        <v>98.745000000000005</v>
      </c>
      <c r="BAS25">
        <f>SOFR3mo_PX[[#This Row],[Column1397]]</f>
        <v>98.745000000000005</v>
      </c>
      <c r="BAT25">
        <f>SOFR3mo_PX[[#This Row],[Column1398]]</f>
        <v>98.71</v>
      </c>
      <c r="BAU25">
        <f>SOFR3mo_PX[[#This Row],[Column1399]]</f>
        <v>98.71</v>
      </c>
      <c r="BAV25">
        <f>SOFR3mo_PX[[#This Row],[Column1400]]</f>
        <v>98.75</v>
      </c>
      <c r="BAW25">
        <f>SOFR3mo_PX[[#This Row],[Column1401]]</f>
        <v>98.78</v>
      </c>
      <c r="BAX25">
        <f>SOFR3mo_PX[[#This Row],[Column1402]]</f>
        <v>98.745000000000005</v>
      </c>
      <c r="BAY25">
        <f>SOFR3mo_PX[[#This Row],[Column1403]]</f>
        <v>98.69</v>
      </c>
      <c r="BAZ25">
        <f>SOFR3mo_PX[[#This Row],[Column1404]]</f>
        <v>98.71</v>
      </c>
      <c r="BBA25">
        <f>SOFR3mo_PX[[#This Row],[Column1405]]</f>
        <v>98.75</v>
      </c>
      <c r="BBB25">
        <f>SOFR3mo_PX[[#This Row],[Column1406]]</f>
        <v>98.834999999999994</v>
      </c>
      <c r="BBC25">
        <f>SOFR3mo_PX[[#This Row],[Column1407]]</f>
        <v>98.85</v>
      </c>
      <c r="BBD25">
        <f>SOFR3mo_PX[[#This Row],[Column1408]]</f>
        <v>98.795000000000002</v>
      </c>
      <c r="BBE25">
        <f>SOFR3mo_PX[[#This Row],[Column1409]]</f>
        <v>98.75</v>
      </c>
      <c r="BBF25">
        <f>SOFR3mo_PX[[#This Row],[Column1410]]</f>
        <v>98.7</v>
      </c>
      <c r="BBG25">
        <f>SOFR3mo_PX[[#This Row],[Column1411]]</f>
        <v>98.734999999999999</v>
      </c>
      <c r="BBH25">
        <f>SOFR3mo_PX[[#This Row],[Column1412]]</f>
        <v>98.65</v>
      </c>
      <c r="BBI25">
        <f>SOFR3mo_PX[[#This Row],[Column1413]]</f>
        <v>98.594999999999999</v>
      </c>
      <c r="BBJ25">
        <f>SOFR3mo_PX[[#This Row],[Column1414]]</f>
        <v>98.575000000000003</v>
      </c>
      <c r="BBK25">
        <f>SOFR3mo_PX[[#This Row],[Column1415]]</f>
        <v>98.56</v>
      </c>
      <c r="BBL25">
        <f>SOFR3mo_PX[[#This Row],[Column1416]]</f>
        <v>98.504999999999995</v>
      </c>
      <c r="BBM25">
        <f>SOFR3mo_PX[[#This Row],[Column1417]]</f>
        <v>98.504999999999995</v>
      </c>
      <c r="BBN25">
        <f>SOFR3mo_PX[[#This Row],[Column1418]]</f>
        <v>98.52</v>
      </c>
      <c r="BBO25">
        <f>SOFR3mo_PX[[#This Row],[Column1419]]</f>
        <v>98.53</v>
      </c>
      <c r="BBP25">
        <f>SOFR3mo_PX[[#This Row],[Column1420]]</f>
        <v>98.52</v>
      </c>
      <c r="BBQ25">
        <f>SOFR3mo_PX[[#This Row],[Column1421]]</f>
        <v>98.504999999999995</v>
      </c>
      <c r="BBR25">
        <f>SOFR3mo_PX[[#This Row],[Column1422]]</f>
        <v>98.51</v>
      </c>
      <c r="BBS25">
        <f>SOFR3mo_PX[[#This Row],[Column1423]]</f>
        <v>98.495000000000005</v>
      </c>
      <c r="BBT25">
        <f>SOFR3mo_PX[[#This Row],[Column1424]]</f>
        <v>98.49</v>
      </c>
      <c r="BBU25">
        <f>SOFR3mo_PX[[#This Row],[Column1425]]</f>
        <v>98.534999999999997</v>
      </c>
      <c r="BBV25">
        <f>SOFR3mo_PX[[#This Row],[Column1426]]</f>
        <v>98.545000000000002</v>
      </c>
      <c r="BBW25">
        <f>SOFR3mo_PX[[#This Row],[Column1427]]</f>
        <v>98.55</v>
      </c>
      <c r="BBX25">
        <f>SOFR3mo_PX[[#This Row],[Column1428]]</f>
        <v>98.46</v>
      </c>
      <c r="BBY25">
        <f>SOFR3mo_PX[[#This Row],[Column1429]]</f>
        <v>98.45</v>
      </c>
      <c r="BBZ25">
        <f>SOFR3mo_PX[[#This Row],[Column1430]]</f>
        <v>98.45</v>
      </c>
      <c r="BCA25">
        <f>SOFR3mo_PX[[#This Row],[Column1431]]</f>
        <v>98.454999999999998</v>
      </c>
      <c r="BCB25">
        <f>SOFR3mo_PX[[#This Row],[Column1432]]</f>
        <v>98.454999999999998</v>
      </c>
      <c r="BCC25">
        <f>SOFR3mo_PX[[#This Row],[Column1433]]</f>
        <v>98.415000000000006</v>
      </c>
      <c r="BCD25">
        <f>SOFR3mo_PX[[#This Row],[Column1434]]</f>
        <v>98.415000000000006</v>
      </c>
      <c r="BCE25">
        <f>SOFR3mo_PX[[#This Row],[Column1435]]</f>
        <v>98.415000000000006</v>
      </c>
      <c r="BCF25">
        <f>SOFR3mo_PX[[#This Row],[Column1436]]</f>
        <v>98.394999999999996</v>
      </c>
      <c r="BCG25">
        <f>SOFR3mo_PX[[#This Row],[Column1437]]</f>
        <v>98.435000000000002</v>
      </c>
      <c r="BCH25">
        <f>SOFR3mo_PX[[#This Row],[Column1438]]</f>
        <v>98.45</v>
      </c>
      <c r="BCI25">
        <f>SOFR3mo_PX[[#This Row],[Column1439]]</f>
        <v>98.43</v>
      </c>
      <c r="BCJ25">
        <f>SOFR3mo_PX[[#This Row],[Column1440]]</f>
        <v>98.46</v>
      </c>
      <c r="BCK25">
        <f>SOFR3mo_PX[[#This Row],[Column1441]]</f>
        <v>98.47</v>
      </c>
      <c r="BCL25">
        <f>SOFR3mo_PX[[#This Row],[Column1442]]</f>
        <v>98.545000000000002</v>
      </c>
      <c r="BCM25">
        <f>SOFR3mo_PX[[#This Row],[Column1443]]</f>
        <v>98.465000000000003</v>
      </c>
      <c r="BCN25">
        <f>SOFR3mo_PX[[#This Row],[Column1444]]</f>
        <v>98.55</v>
      </c>
      <c r="BCO25">
        <f>SOFR3mo_PX[[#This Row],[Column1445]]</f>
        <v>98.51</v>
      </c>
      <c r="BCP25">
        <f>SOFR3mo_PX[[#This Row],[Column1446]]</f>
        <v>98.525000000000006</v>
      </c>
      <c r="BCQ25">
        <f>SOFR3mo_PX[[#This Row],[Column1447]]</f>
        <v>98.534999999999997</v>
      </c>
      <c r="BCR25">
        <f>SOFR3mo_PX[[#This Row],[Column1448]]</f>
        <v>98.594999999999999</v>
      </c>
      <c r="BCS25">
        <f>SOFR3mo_PX[[#This Row],[Column1449]]</f>
        <v>98.61</v>
      </c>
      <c r="BCT25">
        <f>SOFR3mo_PX[[#This Row],[Column1450]]</f>
        <v>98.685000000000002</v>
      </c>
      <c r="BCU25">
        <f>SOFR3mo_PX[[#This Row],[Column1451]]</f>
        <v>98.564999999999998</v>
      </c>
      <c r="BCV25">
        <f>SOFR3mo_PX[[#This Row],[Column1452]]</f>
        <v>98.6</v>
      </c>
      <c r="BCW25">
        <f>SOFR3mo_PX[[#This Row],[Column1453]]</f>
        <v>98.59</v>
      </c>
      <c r="BCX25">
        <f>SOFR3mo_PX[[#This Row],[Column1454]]</f>
        <v>98.59</v>
      </c>
      <c r="BCY25">
        <f>SOFR3mo_PX[[#This Row],[Column1455]]</f>
        <v>98.63</v>
      </c>
      <c r="BCZ25">
        <f>SOFR3mo_PX[[#This Row],[Column1456]]</f>
        <v>98.62</v>
      </c>
      <c r="BDA25">
        <f>SOFR3mo_PX[[#This Row],[Column1457]]</f>
        <v>98.605000000000004</v>
      </c>
      <c r="BDB25">
        <f>SOFR3mo_PX[[#This Row],[Column1458]]</f>
        <v>98.625</v>
      </c>
      <c r="BDC25">
        <f>SOFR3mo_PX[[#This Row],[Column1459]]</f>
        <v>98.655000000000001</v>
      </c>
      <c r="BDD25">
        <f>SOFR3mo_PX[[#This Row],[Column1460]]</f>
        <v>98.62</v>
      </c>
      <c r="BDE25">
        <f>SOFR3mo_PX[[#This Row],[Column1461]]</f>
        <v>98.594999999999999</v>
      </c>
      <c r="BDF25">
        <f>SOFR3mo_PX[[#This Row],[Column1462]]</f>
        <v>98.57</v>
      </c>
      <c r="BDG25">
        <f>SOFR3mo_PX[[#This Row],[Column1463]]</f>
        <v>98.58</v>
      </c>
      <c r="BDH25">
        <f>SOFR3mo_PX[[#This Row],[Column1464]]</f>
        <v>98.53</v>
      </c>
      <c r="BDI25">
        <f>SOFR3mo_PX[[#This Row],[Column1465]]</f>
        <v>98.48</v>
      </c>
      <c r="BDJ25">
        <f>SOFR3mo_PX[[#This Row],[Column1466]]</f>
        <v>98.45</v>
      </c>
      <c r="BDK25">
        <f>SOFR3mo_PX[[#This Row],[Column1467]]</f>
        <v>98.46</v>
      </c>
      <c r="BDL25">
        <f>SOFR3mo_PX[[#This Row],[Column1468]]</f>
        <v>98.444999999999993</v>
      </c>
      <c r="BDM25">
        <f>SOFR3mo_PX[[#This Row],[Column1469]]</f>
        <v>98.555000000000007</v>
      </c>
      <c r="BDN25">
        <f>SOFR3mo_PX[[#This Row],[Column1470]]</f>
        <v>98.53</v>
      </c>
      <c r="BDO25">
        <f>SOFR3mo_PX[[#This Row],[Column1471]]</f>
        <v>98.59</v>
      </c>
      <c r="BDP25">
        <f>SOFR3mo_PX[[#This Row],[Column1472]]</f>
        <v>98.64</v>
      </c>
      <c r="BDQ25">
        <f>SOFR3mo_PX[[#This Row],[Column1473]]</f>
        <v>98.71</v>
      </c>
      <c r="BDR25">
        <f>SOFR3mo_PX[[#This Row],[Column1474]]</f>
        <v>98.584999999999994</v>
      </c>
      <c r="BDS25">
        <f>SOFR3mo_PX[[#This Row],[Column1475]]</f>
        <v>98.564999999999998</v>
      </c>
      <c r="BDT25">
        <f>SOFR3mo_PX[[#This Row],[Column1476]]</f>
        <v>98.57</v>
      </c>
      <c r="BDU25">
        <f>SOFR3mo_PX[[#This Row],[Column1477]]</f>
        <v>98.6</v>
      </c>
      <c r="BDV25">
        <f>SOFR3mo_PX[[#This Row],[Column1478]]</f>
        <v>98.644999999999996</v>
      </c>
      <c r="BDW25">
        <f>SOFR3mo_PX[[#This Row],[Column1479]]</f>
        <v>98.655000000000001</v>
      </c>
      <c r="BDX25">
        <f>SOFR3mo_PX[[#This Row],[Column1480]]</f>
        <v>98.635000000000005</v>
      </c>
      <c r="BDY25">
        <f>SOFR3mo_PX[[#This Row],[Column1481]]</f>
        <v>98.61</v>
      </c>
      <c r="BDZ25">
        <f>SOFR3mo_PX[[#This Row],[Column1482]]</f>
        <v>98.65</v>
      </c>
      <c r="BEA25">
        <f>SOFR3mo_PX[[#This Row],[Column1483]]</f>
        <v>98.625</v>
      </c>
      <c r="BEB25">
        <f>SOFR3mo_PX[[#This Row],[Column1484]]</f>
        <v>98.65</v>
      </c>
      <c r="BEC25">
        <f>SOFR3mo_PX[[#This Row],[Column1485]]</f>
        <v>98.61</v>
      </c>
      <c r="BED25">
        <f>SOFR3mo_PX[[#This Row],[Column1486]]</f>
        <v>98.665000000000006</v>
      </c>
      <c r="BEE25">
        <f>SOFR3mo_PX[[#This Row],[Column1487]]</f>
        <v>98.644999999999996</v>
      </c>
      <c r="BEF25">
        <f>SOFR3mo_PX[[#This Row],[Column1488]]</f>
        <v>98.775000000000006</v>
      </c>
      <c r="BEG25">
        <f>SOFR3mo_PX[[#This Row],[Column1489]]</f>
        <v>98.84</v>
      </c>
      <c r="BEH25">
        <f>SOFR3mo_PX[[#This Row],[Column1490]]</f>
        <v>98.894999999999996</v>
      </c>
      <c r="BEI25">
        <f>SOFR3mo_PX[[#This Row],[Column1491]]</f>
        <v>98.885000000000005</v>
      </c>
      <c r="BEJ25">
        <f>SOFR3mo_PX[[#This Row],[Column1492]]</f>
        <v>98.954999999999998</v>
      </c>
      <c r="BEK25">
        <f>SOFR3mo_PX[[#This Row],[Column1493]]</f>
        <v>98.965000000000003</v>
      </c>
      <c r="BEL25">
        <f>SOFR3mo_PX[[#This Row],[Column1494]]</f>
        <v>98.864999999999995</v>
      </c>
      <c r="BEM25">
        <f>SOFR3mo_PX[[#This Row],[Column1495]]</f>
        <v>98.79</v>
      </c>
      <c r="BEN25">
        <f>SOFR3mo_PX[[#This Row],[Column1496]]</f>
        <v>98.72</v>
      </c>
      <c r="BEO25">
        <f>SOFR3mo_PX[[#This Row],[Column1497]]</f>
        <v>98.73</v>
      </c>
      <c r="BEP25" t="str">
        <f>SOFR3mo_PX[[#This Row],[Column1498]]</f>
        <v>#N/A N/A</v>
      </c>
      <c r="BEQ25" t="str">
        <f>SOFR3mo_PX[[#This Row],[Column1499]]</f>
        <v>#N/A N/A</v>
      </c>
      <c r="BER25" t="str">
        <f>SOFR3mo_PX[[#This Row],[Column1500]]</f>
        <v>#N/A N/A</v>
      </c>
      <c r="BES25" t="str">
        <f>SOFR3mo_PX[[#This Row],[Column1501]]</f>
        <v>#N/A N/A</v>
      </c>
      <c r="BET25" t="str">
        <f>SOFR3mo_PX[[#This Row],[Column1502]]</f>
        <v>#N/A N/A</v>
      </c>
      <c r="BEU25" t="str">
        <f>SOFR3mo_PX[[#This Row],[Column1503]]</f>
        <v>#N/A N/A</v>
      </c>
      <c r="BEV25" t="str">
        <f>SOFR3mo_PX[[#This Row],[Column1504]]</f>
        <v>#N/A N/A</v>
      </c>
      <c r="BEW25" t="str">
        <f>SOFR3mo_PX[[#This Row],[Column1505]]</f>
        <v>#N/A N/A</v>
      </c>
      <c r="BEX25" t="str">
        <f>SOFR3mo_PX[[#This Row],[Column1506]]</f>
        <v>#N/A N/A</v>
      </c>
      <c r="BEY25" t="str">
        <f>SOFR3mo_PX[[#This Row],[Column1507]]</f>
        <v>#N/A N/A</v>
      </c>
      <c r="BEZ25" t="str">
        <f>SOFR3mo_PX[[#This Row],[Column1508]]</f>
        <v>#N/A N/A</v>
      </c>
      <c r="BFA25" t="str">
        <f>SOFR3mo_PX[[#This Row],[Column1509]]</f>
        <v>#N/A N/A</v>
      </c>
      <c r="BFB25" t="str">
        <f>SOFR3mo_PX[[#This Row],[Column1510]]</f>
        <v>#N/A N/A</v>
      </c>
      <c r="BFC25" t="str">
        <f>SOFR3mo_PX[[#This Row],[Column1511]]</f>
        <v>#N/A N/A</v>
      </c>
      <c r="BFD25" t="str">
        <f>SOFR3mo_PX[[#This Row],[Column1512]]</f>
        <v>#N/A N/A</v>
      </c>
      <c r="BFE25" t="str">
        <f>SOFR3mo_PX[[#This Row],[Column1513]]</f>
        <v>#N/A N/A</v>
      </c>
      <c r="BFF25" t="str">
        <f>SOFR3mo_PX[[#This Row],[Column1514]]</f>
        <v>#N/A N/A</v>
      </c>
      <c r="BFG25" t="str">
        <f>SOFR3mo_PX[[#This Row],[Column1515]]</f>
        <v>#N/A N/A</v>
      </c>
      <c r="BFH25" t="str">
        <f>SOFR3mo_PX[[#This Row],[Column1516]]</f>
        <v>#N/A N/A</v>
      </c>
      <c r="BFI25" t="str">
        <f>SOFR3mo_PX[[#This Row],[Column1517]]</f>
        <v>#N/A N/A</v>
      </c>
      <c r="BFJ25" t="str">
        <f>SOFR3mo_PX[[#This Row],[Column1518]]</f>
        <v>#N/A N/A</v>
      </c>
      <c r="BFK25" t="str">
        <f>SOFR3mo_PX[[#This Row],[Column1519]]</f>
        <v>#N/A N/A</v>
      </c>
      <c r="BFL25" t="str">
        <f>SOFR3mo_PX[[#This Row],[Column1520]]</f>
        <v>#N/A N/A</v>
      </c>
      <c r="BFM25" t="str">
        <f>SOFR3mo_PX[[#This Row],[Column1521]]</f>
        <v>#N/A N/A</v>
      </c>
      <c r="BFN25" t="str">
        <f>SOFR3mo_PX[[#This Row],[Column1522]]</f>
        <v>#N/A N/A</v>
      </c>
      <c r="BFO25" t="str">
        <f>SOFR3mo_PX[[#This Row],[Column1523]]</f>
        <v>#N/A N/A</v>
      </c>
      <c r="BFP25" t="str">
        <f>SOFR3mo_PX[[#This Row],[Column1524]]</f>
        <v>#N/A N/A</v>
      </c>
      <c r="BFQ25" t="str">
        <f>SOFR3mo_PX[[#This Row],[Column1525]]</f>
        <v>#N/A N/A</v>
      </c>
      <c r="BFR25" t="str">
        <f>SOFR3mo_PX[[#This Row],[Column1526]]</f>
        <v>#N/A N/A</v>
      </c>
      <c r="BFS25" t="str">
        <f>SOFR3mo_PX[[#This Row],[Column1527]]</f>
        <v>#N/A N/A</v>
      </c>
      <c r="BFT25" t="str">
        <f>SOFR3mo_PX[[#This Row],[Column1528]]</f>
        <v>#N/A N/A</v>
      </c>
      <c r="BFU25" t="str">
        <f>SOFR3mo_PX[[#This Row],[Column1529]]</f>
        <v>#N/A N/A</v>
      </c>
      <c r="BFV25" t="str">
        <f>SOFR3mo_PX[[#This Row],[Column1530]]</f>
        <v>#N/A N/A</v>
      </c>
      <c r="BFW25" t="str">
        <f>SOFR3mo_PX[[#This Row],[Column1531]]</f>
        <v>#N/A N/A</v>
      </c>
      <c r="BFX25" t="str">
        <f>SOFR3mo_PX[[#This Row],[Column1532]]</f>
        <v>#N/A N/A</v>
      </c>
      <c r="BFY25" t="str">
        <f>SOFR3mo_PX[[#This Row],[Column1533]]</f>
        <v>#N/A N/A</v>
      </c>
      <c r="BFZ25" t="str">
        <f>SOFR3mo_PX[[#This Row],[Column1534]]</f>
        <v>#N/A N/A</v>
      </c>
      <c r="BGA25" t="str">
        <f>SOFR3mo_PX[[#This Row],[Column1535]]</f>
        <v>#N/A N/A</v>
      </c>
      <c r="BGB25" t="str">
        <f>SOFR3mo_PX[[#This Row],[Column1536]]</f>
        <v>#N/A N/A</v>
      </c>
      <c r="BGC25" t="str">
        <f>SOFR3mo_PX[[#This Row],[Column1537]]</f>
        <v>#N/A N/A</v>
      </c>
      <c r="BGD25" t="str">
        <f>SOFR3mo_PX[[#This Row],[Column1538]]</f>
        <v>#N/A N/A</v>
      </c>
      <c r="BGE25" t="str">
        <f>SOFR3mo_PX[[#This Row],[Column1539]]</f>
        <v>#N/A N/A</v>
      </c>
      <c r="BGF25" t="str">
        <f>SOFR3mo_PX[[#This Row],[Column1540]]</f>
        <v>#N/A N/A</v>
      </c>
      <c r="BGG25" t="str">
        <f>SOFR3mo_PX[[#This Row],[Column1541]]</f>
        <v>#N/A N/A</v>
      </c>
      <c r="BGH25" t="str">
        <f>SOFR3mo_PX[[#This Row],[Column1542]]</f>
        <v>#N/A N/A</v>
      </c>
      <c r="BGI25" t="str">
        <f>SOFR3mo_PX[[#This Row],[Column1543]]</f>
        <v>#N/A N/A</v>
      </c>
      <c r="BGJ25" t="str">
        <f>SOFR3mo_PX[[#This Row],[Column1544]]</f>
        <v>#N/A N/A</v>
      </c>
      <c r="BGK25" t="str">
        <f>SOFR3mo_PX[[#This Row],[Column1545]]</f>
        <v>#N/A N/A</v>
      </c>
      <c r="BGL25" t="str">
        <f>SOFR3mo_PX[[#This Row],[Column1546]]</f>
        <v>#N/A N/A</v>
      </c>
      <c r="BGM25" t="str">
        <f>SOFR3mo_PX[[#This Row],[Column1547]]</f>
        <v>#N/A N/A</v>
      </c>
      <c r="BGN25" t="str">
        <f>SOFR3mo_PX[[#This Row],[Column1548]]</f>
        <v>#N/A N/A</v>
      </c>
      <c r="BGO25" t="str">
        <f>SOFR3mo_PX[[#This Row],[Column1549]]</f>
        <v>#N/A N/A</v>
      </c>
      <c r="BGP25" t="str">
        <f>SOFR3mo_PX[[#This Row],[Column1550]]</f>
        <v>#N/A N/A</v>
      </c>
      <c r="BGQ25" t="str">
        <f>SOFR3mo_PX[[#This Row],[Column1551]]</f>
        <v>#N/A N/A</v>
      </c>
      <c r="BGR25" t="str">
        <f>SOFR3mo_PX[[#This Row],[Column1552]]</f>
        <v>#N/A N/A</v>
      </c>
      <c r="BGS25" t="str">
        <f>SOFR3mo_PX[[#This Row],[Column1553]]</f>
        <v>#N/A N/A</v>
      </c>
      <c r="BGT25" t="str">
        <f>SOFR3mo_PX[[#This Row],[Column1554]]</f>
        <v>#N/A N/A</v>
      </c>
      <c r="BGU25" t="str">
        <f>SOFR3mo_PX[[#This Row],[Column1555]]</f>
        <v>#N/A N/A</v>
      </c>
      <c r="BGV25" t="str">
        <f>SOFR3mo_PX[[#This Row],[Column1556]]</f>
        <v>#N/A N/A</v>
      </c>
      <c r="BGW25" t="str">
        <f>SOFR3mo_PX[[#This Row],[Column1557]]</f>
        <v>#N/A N/A</v>
      </c>
      <c r="BGX25" t="str">
        <f>SOFR3mo_PX[[#This Row],[Column1558]]</f>
        <v>#N/A N/A</v>
      </c>
      <c r="BGY25" t="str">
        <f>SOFR3mo_PX[[#This Row],[Column1559]]</f>
        <v>#N/A N/A</v>
      </c>
      <c r="BGZ25" t="str">
        <f>SOFR3mo_PX[[#This Row],[Column1560]]</f>
        <v>#N/A N/A</v>
      </c>
      <c r="BHA25" t="str">
        <f>SOFR3mo_PX[[#This Row],[Column1561]]</f>
        <v>#N/A N/A</v>
      </c>
      <c r="BHB25" t="str">
        <f>SOFR3mo_PX[[#This Row],[Column1562]]</f>
        <v>#N/A N/A</v>
      </c>
      <c r="BHC25" t="str">
        <f>SOFR3mo_PX[[#This Row],[Column1563]]</f>
        <v>#N/A N/A</v>
      </c>
      <c r="BHD25" t="str">
        <f>SOFR3mo_PX[[#This Row],[Column1564]]</f>
        <v>#N/A N/A</v>
      </c>
      <c r="BHE25" t="str">
        <f>SOFR3mo_PX[[#This Row],[Column1565]]</f>
        <v>#N/A N/A</v>
      </c>
      <c r="BHF25" t="str">
        <f>SOFR3mo_PX[[#This Row],[Column1566]]</f>
        <v>#N/A N/A</v>
      </c>
      <c r="BHG25" t="str">
        <f>SOFR3mo_PX[[#This Row],[Column1567]]</f>
        <v>#N/A N/A</v>
      </c>
      <c r="BHH25" t="str">
        <f>SOFR3mo_PX[[#This Row],[Column1568]]</f>
        <v>#N/A N/A</v>
      </c>
      <c r="BHI25" t="str">
        <f>SOFR3mo_PX[[#This Row],[Column1569]]</f>
        <v>#N/A N/A</v>
      </c>
      <c r="BHJ25" t="str">
        <f>SOFR3mo_PX[[#This Row],[Column1570]]</f>
        <v>#N/A N/A</v>
      </c>
      <c r="BHK25" t="str">
        <f>SOFR3mo_PX[[#This Row],[Column1571]]</f>
        <v>#N/A N/A</v>
      </c>
      <c r="BHL25" t="str">
        <f>SOFR3mo_PX[[#This Row],[Column1572]]</f>
        <v>#N/A N/A</v>
      </c>
      <c r="BHM25" t="str">
        <f>SOFR3mo_PX[[#This Row],[Column1573]]</f>
        <v>#N/A N/A</v>
      </c>
      <c r="BHN25" t="str">
        <f>SOFR3mo_PX[[#This Row],[Column1574]]</f>
        <v>#N/A N/A</v>
      </c>
      <c r="BHO25" t="str">
        <f>SOFR3mo_PX[[#This Row],[Column1575]]</f>
        <v>#N/A N/A</v>
      </c>
      <c r="BHP25" t="str">
        <f>SOFR3mo_PX[[#This Row],[Column1576]]</f>
        <v>#N/A N/A</v>
      </c>
      <c r="BHQ25" t="str">
        <f>SOFR3mo_PX[[#This Row],[Column1577]]</f>
        <v>#N/A N/A</v>
      </c>
      <c r="BHR25" t="str">
        <f>SOFR3mo_PX[[#This Row],[Column1578]]</f>
        <v>#N/A N/A</v>
      </c>
      <c r="BHS25" t="str">
        <f>SOFR3mo_PX[[#This Row],[Column1579]]</f>
        <v>#N/A N/A</v>
      </c>
      <c r="BHT25" t="str">
        <f>SOFR3mo_PX[[#This Row],[Column1580]]</f>
        <v>#N/A N/A</v>
      </c>
      <c r="BHU25" t="str">
        <f>SOFR3mo_PX[[#This Row],[Column1581]]</f>
        <v>#N/A N/A</v>
      </c>
      <c r="BHV25" t="str">
        <f>SOFR3mo_PX[[#This Row],[Column1582]]</f>
        <v>#N/A N/A</v>
      </c>
      <c r="BHW25" t="str">
        <f>SOFR3mo_PX[[#This Row],[Column1583]]</f>
        <v>#N/A N/A</v>
      </c>
      <c r="BHX25" t="str">
        <f>SOFR3mo_PX[[#This Row],[Column1584]]</f>
        <v>#N/A N/A</v>
      </c>
      <c r="BHY25" t="str">
        <f>SOFR3mo_PX[[#This Row],[Column1585]]</f>
        <v>#N/A N/A</v>
      </c>
      <c r="BHZ25" t="str">
        <f>SOFR3mo_PX[[#This Row],[Column1586]]</f>
        <v>#N/A N/A</v>
      </c>
      <c r="BIA25" t="str">
        <f>SOFR3mo_PX[[#This Row],[Column1587]]</f>
        <v>#N/A N/A</v>
      </c>
      <c r="BIB25" t="str">
        <f>SOFR3mo_PX[[#This Row],[Column1588]]</f>
        <v>#N/A N/A</v>
      </c>
      <c r="BIC25" t="str">
        <f>SOFR3mo_PX[[#This Row],[Column1589]]</f>
        <v>#N/A N/A</v>
      </c>
      <c r="BID25" t="str">
        <f>SOFR3mo_PX[[#This Row],[Column1590]]</f>
        <v>#N/A N/A</v>
      </c>
      <c r="BIE25" t="str">
        <f>SOFR3mo_PX[[#This Row],[Column1591]]</f>
        <v>#N/A N/A</v>
      </c>
      <c r="BIF25" t="str">
        <f>SOFR3mo_PX[[#This Row],[Column1592]]</f>
        <v>#N/A N/A</v>
      </c>
      <c r="BIG25" t="str">
        <f>SOFR3mo_PX[[#This Row],[Column1593]]</f>
        <v>#N/A N/A</v>
      </c>
      <c r="BIH25" t="str">
        <f>SOFR3mo_PX[[#This Row],[Column1594]]</f>
        <v>#N/A N/A</v>
      </c>
      <c r="BII25" t="str">
        <f>SOFR3mo_PX[[#This Row],[Column1595]]</f>
        <v>#N/A N/A</v>
      </c>
      <c r="BIJ25" t="str">
        <f>SOFR3mo_PX[[#This Row],[Column1596]]</f>
        <v>#N/A N/A</v>
      </c>
      <c r="BIK25" t="str">
        <f>SOFR3mo_PX[[#This Row],[Column1597]]</f>
        <v>#N/A N/A</v>
      </c>
      <c r="BIL25" t="str">
        <f>SOFR3mo_PX[[#This Row],[Column1598]]</f>
        <v>#N/A N/A</v>
      </c>
      <c r="BIM25" t="str">
        <f>SOFR3mo_PX[[#This Row],[Column1599]]</f>
        <v>#N/A N/A</v>
      </c>
      <c r="BIN25" t="str">
        <f>SOFR3mo_PX[[#This Row],[Column1600]]</f>
        <v>#N/A N/A</v>
      </c>
      <c r="BIO25" t="str">
        <f>SOFR3mo_PX[[#This Row],[Column1601]]</f>
        <v>#N/A N/A</v>
      </c>
      <c r="BIP25" t="str">
        <f>SOFR3mo_PX[[#This Row],[Column1602]]</f>
        <v>#N/A N/A</v>
      </c>
      <c r="BIQ25" t="str">
        <f>SOFR3mo_PX[[#This Row],[Column1603]]</f>
        <v>#N/A N/A</v>
      </c>
      <c r="BIR25" t="str">
        <f>SOFR3mo_PX[[#This Row],[Column1604]]</f>
        <v>#N/A N/A</v>
      </c>
      <c r="BIS25" t="str">
        <f>SOFR3mo_PX[[#This Row],[Column1605]]</f>
        <v>#N/A N/A</v>
      </c>
      <c r="BIT25" t="str">
        <f>SOFR3mo_PX[[#This Row],[Column1606]]</f>
        <v>#N/A N/A</v>
      </c>
      <c r="BIU25" t="str">
        <f>SOFR3mo_PX[[#This Row],[Column1607]]</f>
        <v>#N/A N/A</v>
      </c>
      <c r="BIV25" t="str">
        <f>SOFR3mo_PX[[#This Row],[Column1608]]</f>
        <v>#N/A N/A</v>
      </c>
      <c r="BIW25" t="str">
        <f>SOFR3mo_PX[[#This Row],[Column1609]]</f>
        <v>#N/A N/A</v>
      </c>
      <c r="BIX25" t="str">
        <f>SOFR3mo_PX[[#This Row],[Column1610]]</f>
        <v>#N/A N/A</v>
      </c>
      <c r="BIY25" t="str">
        <f>SOFR3mo_PX[[#This Row],[Column1611]]</f>
        <v>#N/A N/A</v>
      </c>
      <c r="BIZ25" t="str">
        <f>SOFR3mo_PX[[#This Row],[Column1612]]</f>
        <v>#N/A N/A</v>
      </c>
      <c r="BJA25" t="str">
        <f>SOFR3mo_PX[[#This Row],[Column1613]]</f>
        <v>#N/A N/A</v>
      </c>
      <c r="BJB25" t="str">
        <f>SOFR3mo_PX[[#This Row],[Column1614]]</f>
        <v>#N/A N/A</v>
      </c>
      <c r="BJC25" t="str">
        <f>SOFR3mo_PX[[#This Row],[Column1615]]</f>
        <v>#N/A N/A</v>
      </c>
      <c r="BJD25" t="str">
        <f>SOFR3mo_PX[[#This Row],[Column1616]]</f>
        <v>#N/A N/A</v>
      </c>
      <c r="BJE25" t="str">
        <f>SOFR3mo_PX[[#This Row],[Column1617]]</f>
        <v>#N/A N/A</v>
      </c>
      <c r="BJF25" t="str">
        <f>SOFR3mo_PX[[#This Row],[Column1618]]</f>
        <v>#N/A N/A</v>
      </c>
      <c r="BJG25" t="str">
        <f>SOFR3mo_PX[[#This Row],[Column1619]]</f>
        <v>#N/A N/A</v>
      </c>
      <c r="BJH25" t="str">
        <f>SOFR3mo_PX[[#This Row],[Column1620]]</f>
        <v>#N/A N/A</v>
      </c>
      <c r="BJI25" t="str">
        <f>SOFR3mo_PX[[#This Row],[Column1621]]</f>
        <v>#N/A N/A</v>
      </c>
      <c r="BJJ25" t="str">
        <f>SOFR3mo_PX[[#This Row],[Column1622]]</f>
        <v>#N/A N/A</v>
      </c>
      <c r="BJK25" t="str">
        <f>SOFR3mo_PX[[#This Row],[Column1623]]</f>
        <v>#N/A N/A</v>
      </c>
      <c r="BJL25" t="str">
        <f>SOFR3mo_PX[[#This Row],[Column1624]]</f>
        <v>#N/A N/A</v>
      </c>
      <c r="BJM25" t="str">
        <f>SOFR3mo_PX[[#This Row],[Column1625]]</f>
        <v>#N/A N/A</v>
      </c>
      <c r="BJN25" t="str">
        <f>SOFR3mo_PX[[#This Row],[Column1626]]</f>
        <v>#N/A N/A</v>
      </c>
      <c r="BJO25" t="str">
        <f>SOFR3mo_PX[[#This Row],[Column1627]]</f>
        <v>#N/A N/A</v>
      </c>
      <c r="BJP25" t="str">
        <f>SOFR3mo_PX[[#This Row],[Column1628]]</f>
        <v>#N/A N/A</v>
      </c>
      <c r="BJQ25" t="str">
        <f>SOFR3mo_PX[[#This Row],[Column1629]]</f>
        <v>#N/A N/A</v>
      </c>
      <c r="BJR25" t="str">
        <f>SOFR3mo_PX[[#This Row],[Column1630]]</f>
        <v>#N/A N/A</v>
      </c>
      <c r="BJS25" t="str">
        <f>SOFR3mo_PX[[#This Row],[Column1631]]</f>
        <v>#N/A N/A</v>
      </c>
      <c r="BJT25" t="str">
        <f>SOFR3mo_PX[[#This Row],[Column1632]]</f>
        <v>#N/A N/A</v>
      </c>
      <c r="BJU25" t="str">
        <f>SOFR3mo_PX[[#This Row],[Column1633]]</f>
        <v>#N/A N/A</v>
      </c>
      <c r="BJV25" t="str">
        <f>SOFR3mo_PX[[#This Row],[Column1634]]</f>
        <v>#N/A N/A</v>
      </c>
      <c r="BJW25" t="str">
        <f>SOFR3mo_PX[[#This Row],[Column1635]]</f>
        <v>#N/A N/A</v>
      </c>
      <c r="BJX25" t="str">
        <f>SOFR3mo_PX[[#This Row],[Column1636]]</f>
        <v>#N/A N/A</v>
      </c>
      <c r="BJY25" t="str">
        <f>SOFR3mo_PX[[#This Row],[Column1637]]</f>
        <v>#N/A N/A</v>
      </c>
      <c r="BJZ25" t="str">
        <f>SOFR3mo_PX[[#This Row],[Column1638]]</f>
        <v>#N/A N/A</v>
      </c>
      <c r="BKA25" t="str">
        <f>SOFR3mo_PX[[#This Row],[Column1639]]</f>
        <v>#N/A N/A</v>
      </c>
      <c r="BKB25" t="str">
        <f>SOFR3mo_PX[[#This Row],[Column1640]]</f>
        <v>#N/A N/A</v>
      </c>
      <c r="BKC25" t="str">
        <f>SOFR3mo_PX[[#This Row],[Column1641]]</f>
        <v>#N/A N/A</v>
      </c>
      <c r="BKD25" t="str">
        <f>SOFR3mo_PX[[#This Row],[Column1642]]</f>
        <v>#N/A N/A</v>
      </c>
      <c r="BKE25" t="str">
        <f>SOFR3mo_PX[[#This Row],[Column1643]]</f>
        <v>#N/A N/A</v>
      </c>
      <c r="BKF25" t="str">
        <f>SOFR3mo_PX[[#This Row],[Column1644]]</f>
        <v>#N/A N/A</v>
      </c>
      <c r="BKG25" t="str">
        <f>SOFR3mo_PX[[#This Row],[Column1645]]</f>
        <v>#N/A N/A</v>
      </c>
      <c r="BKH25" t="str">
        <f>SOFR3mo_PX[[#This Row],[Column1646]]</f>
        <v>#N/A N/A</v>
      </c>
      <c r="BKI25" t="str">
        <f>SOFR3mo_PX[[#This Row],[Column1647]]</f>
        <v>#N/A N/A</v>
      </c>
      <c r="BKJ25" t="str">
        <f>SOFR3mo_PX[[#This Row],[Column1648]]</f>
        <v>#N/A N/A</v>
      </c>
      <c r="BKK25" t="str">
        <f>SOFR3mo_PX[[#This Row],[Column1649]]</f>
        <v>#N/A N/A</v>
      </c>
      <c r="BKL25" t="str">
        <f>SOFR3mo_PX[[#This Row],[Column1650]]</f>
        <v>#N/A N/A</v>
      </c>
      <c r="BKM25" t="str">
        <f>SOFR3mo_PX[[#This Row],[Column1651]]</f>
        <v>#N/A N/A</v>
      </c>
      <c r="BKN25" t="str">
        <f>SOFR3mo_PX[[#This Row],[Column1652]]</f>
        <v>#N/A N/A</v>
      </c>
      <c r="BKO25" t="str">
        <f>SOFR3mo_PX[[#This Row],[Column1653]]</f>
        <v>#N/A N/A</v>
      </c>
      <c r="BKP25" t="str">
        <f>SOFR3mo_PX[[#This Row],[Column1654]]</f>
        <v>#N/A N/A</v>
      </c>
      <c r="BKQ25" t="str">
        <f>SOFR3mo_PX[[#This Row],[Column1655]]</f>
        <v>#N/A N/A</v>
      </c>
      <c r="BKR25" t="str">
        <f>SOFR3mo_PX[[#This Row],[Column1656]]</f>
        <v>#N/A N/A</v>
      </c>
      <c r="BKS25" t="str">
        <f>SOFR3mo_PX[[#This Row],[Column1657]]</f>
        <v>#N/A N/A</v>
      </c>
      <c r="BKT25" t="str">
        <f>SOFR3mo_PX[[#This Row],[Column1658]]</f>
        <v>#N/A N/A</v>
      </c>
      <c r="BKU25" t="str">
        <f>SOFR3mo_PX[[#This Row],[Column1659]]</f>
        <v>#N/A N/A</v>
      </c>
      <c r="BKV25" t="str">
        <f>SOFR3mo_PX[[#This Row],[Column1660]]</f>
        <v>#N/A N/A</v>
      </c>
      <c r="BKW25" t="str">
        <f>SOFR3mo_PX[[#This Row],[Column1661]]</f>
        <v>#N/A N/A</v>
      </c>
      <c r="BKX25" t="str">
        <f>SOFR3mo_PX[[#This Row],[Column1662]]</f>
        <v>#N/A N/A</v>
      </c>
      <c r="BKY25" t="str">
        <f>SOFR3mo_PX[[#This Row],[Column1663]]</f>
        <v>#N/A N/A</v>
      </c>
      <c r="BKZ25" t="str">
        <f>SOFR3mo_PX[[#This Row],[Column1664]]</f>
        <v>#N/A N/A</v>
      </c>
      <c r="BLA25" t="str">
        <f>SOFR3mo_PX[[#This Row],[Column1665]]</f>
        <v>#N/A N/A</v>
      </c>
      <c r="BLB25" t="str">
        <f>SOFR3mo_PX[[#This Row],[Column1666]]</f>
        <v>#N/A N/A</v>
      </c>
      <c r="BLC25" t="str">
        <f>SOFR3mo_PX[[#This Row],[Column1667]]</f>
        <v>#N/A N/A</v>
      </c>
      <c r="BLD25" t="str">
        <f>SOFR3mo_PX[[#This Row],[Column1668]]</f>
        <v>#N/A N/A</v>
      </c>
      <c r="BLE25" t="str">
        <f>SOFR3mo_PX[[#This Row],[Column1669]]</f>
        <v>#N/A N/A</v>
      </c>
      <c r="BLF25" t="str">
        <f>SOFR3mo_PX[[#This Row],[Column1670]]</f>
        <v>#N/A N/A</v>
      </c>
      <c r="BLG25" t="str">
        <f>SOFR3mo_PX[[#This Row],[Column1671]]</f>
        <v>#N/A N/A</v>
      </c>
      <c r="BLH25" t="str">
        <f>SOFR3mo_PX[[#This Row],[Column1672]]</f>
        <v>#N/A N/A</v>
      </c>
      <c r="BLI25" t="str">
        <f>SOFR3mo_PX[[#This Row],[Column1673]]</f>
        <v>#N/A N/A</v>
      </c>
      <c r="BLJ25" t="str">
        <f>SOFR3mo_PX[[#This Row],[Column1674]]</f>
        <v>#N/A N/A</v>
      </c>
      <c r="BLK25" t="str">
        <f>SOFR3mo_PX[[#This Row],[Column1675]]</f>
        <v>#N/A N/A</v>
      </c>
      <c r="BLL25" t="str">
        <f>SOFR3mo_PX[[#This Row],[Column1676]]</f>
        <v>#N/A N/A</v>
      </c>
      <c r="BLM25" t="str">
        <f>SOFR3mo_PX[[#This Row],[Column1677]]</f>
        <v>#N/A N/A</v>
      </c>
      <c r="BLN25" t="str">
        <f>SOFR3mo_PX[[#This Row],[Column1678]]</f>
        <v>#N/A N/A</v>
      </c>
      <c r="BLO25" t="str">
        <f>SOFR3mo_PX[[#This Row],[Column1679]]</f>
        <v>#N/A N/A</v>
      </c>
      <c r="BLP25" t="str">
        <f>SOFR3mo_PX[[#This Row],[Column1680]]</f>
        <v>#N/A N/A</v>
      </c>
      <c r="BLQ25" t="str">
        <f>SOFR3mo_PX[[#This Row],[Column1681]]</f>
        <v>#N/A N/A</v>
      </c>
      <c r="BLR25" t="str">
        <f>SOFR3mo_PX[[#This Row],[Column1682]]</f>
        <v>#N/A N/A</v>
      </c>
      <c r="BLS25" t="str">
        <f>SOFR3mo_PX[[#This Row],[Column1683]]</f>
        <v>#N/A N/A</v>
      </c>
      <c r="BLT25" t="str">
        <f>SOFR3mo_PX[[#This Row],[Column1684]]</f>
        <v>#N/A N/A</v>
      </c>
      <c r="BLU25" t="str">
        <f>SOFR3mo_PX[[#This Row],[Column1685]]</f>
        <v>#N/A N/A</v>
      </c>
      <c r="BLV25" t="str">
        <f>SOFR3mo_PX[[#This Row],[Column1686]]</f>
        <v>#N/A N/A</v>
      </c>
      <c r="BLW25" t="str">
        <f>SOFR3mo_PX[[#This Row],[Column1687]]</f>
        <v>#N/A N/A</v>
      </c>
      <c r="BLX25" t="str">
        <f>SOFR3mo_PX[[#This Row],[Column1688]]</f>
        <v>#N/A N/A</v>
      </c>
      <c r="BLY25" t="str">
        <f>SOFR3mo_PX[[#This Row],[Column1689]]</f>
        <v>#N/A N/A</v>
      </c>
      <c r="BLZ25" t="str">
        <f>SOFR3mo_PX[[#This Row],[Column1690]]</f>
        <v>#N/A N/A</v>
      </c>
      <c r="BMA25" t="str">
        <f>SOFR3mo_PX[[#This Row],[Column1691]]</f>
        <v>#N/A N/A</v>
      </c>
      <c r="BMB25" t="str">
        <f>SOFR3mo_PX[[#This Row],[Column1692]]</f>
        <v>#N/A N/A</v>
      </c>
      <c r="BMC25" t="str">
        <f>SOFR3mo_PX[[#This Row],[Column1693]]</f>
        <v>#N/A N/A</v>
      </c>
      <c r="BMD25" t="str">
        <f>SOFR3mo_PX[[#This Row],[Column1694]]</f>
        <v>#N/A N/A</v>
      </c>
      <c r="BME25" t="str">
        <f>SOFR3mo_PX[[#This Row],[Column1695]]</f>
        <v>#N/A N/A</v>
      </c>
      <c r="BMF25" t="str">
        <f>SOFR3mo_PX[[#This Row],[Column1696]]</f>
        <v>#N/A N/A</v>
      </c>
      <c r="BMG25" t="str">
        <f>SOFR3mo_PX[[#This Row],[Column1697]]</f>
        <v>#N/A N/A</v>
      </c>
      <c r="BMH25" t="str">
        <f>SOFR3mo_PX[[#This Row],[Column1698]]</f>
        <v>#N/A N/A</v>
      </c>
      <c r="BMI25" t="str">
        <f>SOFR3mo_PX[[#This Row],[Column1699]]</f>
        <v>#N/A N/A</v>
      </c>
      <c r="BMJ25" t="str">
        <f>SOFR3mo_PX[[#This Row],[Column1700]]</f>
        <v>#N/A N/A</v>
      </c>
      <c r="BMK25" t="str">
        <f>SOFR3mo_PX[[#This Row],[Column1701]]</f>
        <v>#N/A N/A</v>
      </c>
      <c r="BML25" t="str">
        <f>SOFR3mo_PX[[#This Row],[Column1702]]</f>
        <v>#N/A N/A</v>
      </c>
      <c r="BMM25" t="str">
        <f>SOFR3mo_PX[[#This Row],[Column1703]]</f>
        <v>#N/A N/A</v>
      </c>
      <c r="BMN25" t="str">
        <f>SOFR3mo_PX[[#This Row],[Column1704]]</f>
        <v>#N/A N/A</v>
      </c>
      <c r="BMO25" t="str">
        <f>SOFR3mo_PX[[#This Row],[Column1705]]</f>
        <v>#N/A N/A</v>
      </c>
      <c r="BMP25" t="str">
        <f>SOFR3mo_PX[[#This Row],[Column1706]]</f>
        <v>#N/A N/A</v>
      </c>
      <c r="BMQ25" t="str">
        <f>SOFR3mo_PX[[#This Row],[Column1707]]</f>
        <v>#N/A N/A</v>
      </c>
      <c r="BMR25" t="str">
        <f>SOFR3mo_PX[[#This Row],[Column1708]]</f>
        <v>#N/A N/A</v>
      </c>
      <c r="BMS25" t="str">
        <f>SOFR3mo_PX[[#This Row],[Column1709]]</f>
        <v>#N/A N/A</v>
      </c>
      <c r="BMT25" t="str">
        <f>SOFR3mo_PX[[#This Row],[Column1710]]</f>
        <v>#N/A N/A</v>
      </c>
      <c r="BMU25" t="str">
        <f>SOFR3mo_PX[[#This Row],[Column1711]]</f>
        <v>#N/A N/A</v>
      </c>
      <c r="BMV25" t="str">
        <f>SOFR3mo_PX[[#This Row],[Column1712]]</f>
        <v>#N/A N/A</v>
      </c>
      <c r="BMW25" t="str">
        <f>SOFR3mo_PX[[#This Row],[Column1713]]</f>
        <v>#N/A N/A</v>
      </c>
      <c r="BMX25" t="str">
        <f>SOFR3mo_PX[[#This Row],[Column1714]]</f>
        <v>#N/A N/A</v>
      </c>
      <c r="BMY25" t="str">
        <f>SOFR3mo_PX[[#This Row],[Column1715]]</f>
        <v>#N/A N/A</v>
      </c>
      <c r="BMZ25" t="str">
        <f>SOFR3mo_PX[[#This Row],[Column1716]]</f>
        <v>#N/A N/A</v>
      </c>
      <c r="BNA25" t="str">
        <f>SOFR3mo_PX[[#This Row],[Column1717]]</f>
        <v>#N/A N/A</v>
      </c>
      <c r="BNB25" t="str">
        <f>SOFR3mo_PX[[#This Row],[Column1718]]</f>
        <v>#N/A N/A</v>
      </c>
      <c r="BNC25" t="str">
        <f>SOFR3mo_PX[[#This Row],[Column1719]]</f>
        <v>#N/A N/A</v>
      </c>
      <c r="BND25" t="str">
        <f>SOFR3mo_PX[[#This Row],[Column1720]]</f>
        <v>#N/A N/A</v>
      </c>
      <c r="BNE25" t="str">
        <f>SOFR3mo_PX[[#This Row],[Column1721]]</f>
        <v>#N/A N/A</v>
      </c>
      <c r="BNF25" t="str">
        <f>SOFR3mo_PX[[#This Row],[Column1722]]</f>
        <v>#N/A N/A</v>
      </c>
      <c r="BNG25" t="str">
        <f>SOFR3mo_PX[[#This Row],[Column1723]]</f>
        <v>#N/A N/A</v>
      </c>
      <c r="BNH25" t="str">
        <f>SOFR3mo_PX[[#This Row],[Column1724]]</f>
        <v>#N/A N/A</v>
      </c>
      <c r="BNI25" t="str">
        <f>SOFR3mo_PX[[#This Row],[Column1725]]</f>
        <v>#N/A N/A</v>
      </c>
      <c r="BNJ25" t="str">
        <f>SOFR3mo_PX[[#This Row],[Column1726]]</f>
        <v>#N/A N/A</v>
      </c>
      <c r="BNK25" t="str">
        <f>SOFR3mo_PX[[#This Row],[Column1727]]</f>
        <v>#N/A N/A</v>
      </c>
      <c r="BNL25" t="str">
        <f>SOFR3mo_PX[[#This Row],[Column1728]]</f>
        <v>#N/A N/A</v>
      </c>
      <c r="BNM25" t="str">
        <f>SOFR3mo_PX[[#This Row],[Column1729]]</f>
        <v>#N/A N/A</v>
      </c>
      <c r="BNN25" t="str">
        <f>SOFR3mo_PX[[#This Row],[Column1730]]</f>
        <v>#N/A N/A</v>
      </c>
      <c r="BNO25" t="str">
        <f>SOFR3mo_PX[[#This Row],[Column1731]]</f>
        <v>#N/A N/A</v>
      </c>
      <c r="BNP25" t="str">
        <f>SOFR3mo_PX[[#This Row],[Column1732]]</f>
        <v>#N/A N/A</v>
      </c>
      <c r="BNQ25" t="str">
        <f>SOFR3mo_PX[[#This Row],[Column1733]]</f>
        <v>#N/A N/A</v>
      </c>
      <c r="BNR25" t="str">
        <f>SOFR3mo_PX[[#This Row],[Column1734]]</f>
        <v>#N/A N/A</v>
      </c>
      <c r="BNS25" t="str">
        <f>SOFR3mo_PX[[#This Row],[Column1735]]</f>
        <v>#N/A N/A</v>
      </c>
      <c r="BNT25" t="str">
        <f>SOFR3mo_PX[[#This Row],[Column1736]]</f>
        <v>#N/A N/A</v>
      </c>
      <c r="BNU25" t="str">
        <f>SOFR3mo_PX[[#This Row],[Column1737]]</f>
        <v>#N/A N/A</v>
      </c>
      <c r="BNV25" t="str">
        <f>SOFR3mo_PX[[#This Row],[Column1738]]</f>
        <v>#N/A N/A</v>
      </c>
      <c r="BNW25" t="str">
        <f>SOFR3mo_PX[[#This Row],[Column1739]]</f>
        <v>#N/A N/A</v>
      </c>
      <c r="BNX25" t="str">
        <f>SOFR3mo_PX[[#This Row],[Column1740]]</f>
        <v>#N/A N/A</v>
      </c>
      <c r="BNY25" t="str">
        <f>SOFR3mo_PX[[#This Row],[Column1741]]</f>
        <v>#N/A N/A</v>
      </c>
      <c r="BNZ25" t="str">
        <f>SOFR3mo_PX[[#This Row],[Column1742]]</f>
        <v>#N/A N/A</v>
      </c>
      <c r="BOA25" t="str">
        <f>SOFR3mo_PX[[#This Row],[Column1743]]</f>
        <v>#N/A N/A</v>
      </c>
      <c r="BOB25" t="str">
        <f>SOFR3mo_PX[[#This Row],[Column1744]]</f>
        <v>#N/A N/A</v>
      </c>
      <c r="BOC25" t="str">
        <f>SOFR3mo_PX[[#This Row],[Column1745]]</f>
        <v>#N/A N/A</v>
      </c>
      <c r="BOD25" t="str">
        <f>SOFR3mo_PX[[#This Row],[Column1746]]</f>
        <v>#N/A N/A</v>
      </c>
      <c r="BOE25" t="str">
        <f>SOFR3mo_PX[[#This Row],[Column1747]]</f>
        <v>#N/A N/A</v>
      </c>
      <c r="BOF25" t="str">
        <f>SOFR3mo_PX[[#This Row],[Column1748]]</f>
        <v>#N/A N/A</v>
      </c>
      <c r="BOG25" t="str">
        <f>SOFR3mo_PX[[#This Row],[Column1749]]</f>
        <v>#N/A N/A</v>
      </c>
      <c r="BOH25" t="str">
        <f>SOFR3mo_PX[[#This Row],[Column1750]]</f>
        <v>#N/A N/A</v>
      </c>
      <c r="BOI25" t="str">
        <f>SOFR3mo_PX[[#This Row],[Column1751]]</f>
        <v>#N/A N/A</v>
      </c>
      <c r="BOJ25" t="str">
        <f>SOFR3mo_PX[[#This Row],[Column1752]]</f>
        <v>#N/A N/A</v>
      </c>
      <c r="BOK25" t="str">
        <f>SOFR3mo_PX[[#This Row],[Column1753]]</f>
        <v>#N/A N/A</v>
      </c>
      <c r="BOL25" t="str">
        <f>SOFR3mo_PX[[#This Row],[Column1754]]</f>
        <v>#N/A N/A</v>
      </c>
      <c r="BOM25" t="str">
        <f>SOFR3mo_PX[[#This Row],[Column1755]]</f>
        <v>#N/A N/A</v>
      </c>
      <c r="BON25" t="str">
        <f>SOFR3mo_PX[[#This Row],[Column1756]]</f>
        <v>#N/A N/A</v>
      </c>
      <c r="BOO25" t="str">
        <f>SOFR3mo_PX[[#This Row],[Column1757]]</f>
        <v>#N/A N/A</v>
      </c>
      <c r="BOP25" t="str">
        <f>SOFR3mo_PX[[#This Row],[Column1758]]</f>
        <v>#N/A N/A</v>
      </c>
      <c r="BOQ25" t="str">
        <f>SOFR3mo_PX[[#This Row],[Column1759]]</f>
        <v>#N/A N/A</v>
      </c>
      <c r="BOR25" t="str">
        <f>SOFR3mo_PX[[#This Row],[Column1760]]</f>
        <v>#N/A N/A</v>
      </c>
      <c r="BOS25" t="str">
        <f>SOFR3mo_PX[[#This Row],[Column1761]]</f>
        <v>#N/A N/A</v>
      </c>
      <c r="BOT25" t="str">
        <f>SOFR3mo_PX[[#This Row],[Column1762]]</f>
        <v>#N/A N/A</v>
      </c>
      <c r="BOU25" t="str">
        <f>SOFR3mo_PX[[#This Row],[Column1763]]</f>
        <v>#N/A N/A</v>
      </c>
      <c r="BOV25" t="str">
        <f>SOFR3mo_PX[[#This Row],[Column1764]]</f>
        <v>#N/A N/A</v>
      </c>
      <c r="BOW25" t="str">
        <f>SOFR3mo_PX[[#This Row],[Column1765]]</f>
        <v>#N/A N/A</v>
      </c>
      <c r="BOX25" t="str">
        <f>SOFR3mo_PX[[#This Row],[Column1766]]</f>
        <v>#N/A N/A</v>
      </c>
      <c r="BOY25" t="str">
        <f>SOFR3mo_PX[[#This Row],[Column1767]]</f>
        <v>#N/A N/A</v>
      </c>
      <c r="BOZ25" t="str">
        <f>SOFR3mo_PX[[#This Row],[Column1768]]</f>
        <v>#N/A N/A</v>
      </c>
      <c r="BPA25" t="str">
        <f>SOFR3mo_PX[[#This Row],[Column1769]]</f>
        <v>#N/A N/A</v>
      </c>
      <c r="BPB25" t="str">
        <f>SOFR3mo_PX[[#This Row],[Column1770]]</f>
        <v>#N/A N/A</v>
      </c>
      <c r="BPC25" t="str">
        <f>SOFR3mo_PX[[#This Row],[Column1771]]</f>
        <v>#N/A N/A</v>
      </c>
      <c r="BPD25" t="str">
        <f>SOFR3mo_PX[[#This Row],[Column1772]]</f>
        <v>#N/A N/A</v>
      </c>
      <c r="BPE25" t="str">
        <f>SOFR3mo_PX[[#This Row],[Column1773]]</f>
        <v>#N/A N/A</v>
      </c>
      <c r="BPF25" t="str">
        <f>SOFR3mo_PX[[#This Row],[Column1774]]</f>
        <v>#N/A N/A</v>
      </c>
      <c r="BPG25" t="str">
        <f>SOFR3mo_PX[[#This Row],[Column1775]]</f>
        <v>#N/A N/A</v>
      </c>
      <c r="BPH25" t="str">
        <f>SOFR3mo_PX[[#This Row],[Column1776]]</f>
        <v>#N/A N/A</v>
      </c>
      <c r="BPI25" t="str">
        <f>SOFR3mo_PX[[#This Row],[Column1777]]</f>
        <v>#N/A N/A</v>
      </c>
      <c r="BPJ25" t="str">
        <f>SOFR3mo_PX[[#This Row],[Column1778]]</f>
        <v>#N/A N/A</v>
      </c>
      <c r="BPK25" t="str">
        <f>SOFR3mo_PX[[#This Row],[Column1779]]</f>
        <v>#N/A N/A</v>
      </c>
      <c r="BPL25" t="str">
        <f>SOFR3mo_PX[[#This Row],[Column1780]]</f>
        <v>#N/A N/A</v>
      </c>
      <c r="BPM25" t="str">
        <f>SOFR3mo_PX[[#This Row],[Column1781]]</f>
        <v>#N/A N/A</v>
      </c>
      <c r="BPN25" t="str">
        <f>SOFR3mo_PX[[#This Row],[Column1782]]</f>
        <v>#N/A N/A</v>
      </c>
      <c r="BPO25" t="str">
        <f>SOFR3mo_PX[[#This Row],[Column1783]]</f>
        <v>#N/A N/A</v>
      </c>
      <c r="BPP25" t="str">
        <f>SOFR3mo_PX[[#This Row],[Column1784]]</f>
        <v>#N/A N/A</v>
      </c>
      <c r="BPQ25" t="str">
        <f>SOFR3mo_PX[[#This Row],[Column1785]]</f>
        <v>#N/A N/A</v>
      </c>
      <c r="BPR25" t="str">
        <f>SOFR3mo_PX[[#This Row],[Column1786]]</f>
        <v>#N/A N/A</v>
      </c>
      <c r="BPS25" t="str">
        <f>SOFR3mo_PX[[#This Row],[Column1787]]</f>
        <v>#N/A N/A</v>
      </c>
      <c r="BPT25" t="str">
        <f>SOFR3mo_PX[[#This Row],[Column1788]]</f>
        <v>#N/A N/A</v>
      </c>
      <c r="BPU25" t="str">
        <f>SOFR3mo_PX[[#This Row],[Column1789]]</f>
        <v>#N/A N/A</v>
      </c>
      <c r="BPV25" t="str">
        <f>SOFR3mo_PX[[#This Row],[Column1790]]</f>
        <v>#N/A N/A</v>
      </c>
      <c r="BPW25" t="str">
        <f>SOFR3mo_PX[[#This Row],[Column1791]]</f>
        <v>#N/A N/A</v>
      </c>
      <c r="BPX25" t="str">
        <f>SOFR3mo_PX[[#This Row],[Column1792]]</f>
        <v>#N/A N/A</v>
      </c>
      <c r="BPY25" t="str">
        <f>SOFR3mo_PX[[#This Row],[Column1793]]</f>
        <v>#N/A N/A</v>
      </c>
      <c r="BPZ25" t="str">
        <f>SOFR3mo_PX[[#This Row],[Column1794]]</f>
        <v>#N/A N/A</v>
      </c>
      <c r="BQA25" t="str">
        <f>SOFR3mo_PX[[#This Row],[Column1795]]</f>
        <v>#N/A N/A</v>
      </c>
      <c r="BQB25" t="str">
        <f>SOFR3mo_PX[[#This Row],[Column1796]]</f>
        <v>#N/A N/A</v>
      </c>
      <c r="BQC25" t="str">
        <f>SOFR3mo_PX[[#This Row],[Column1797]]</f>
        <v>#N/A N/A</v>
      </c>
      <c r="BQD25" t="str">
        <f>SOFR3mo_PX[[#This Row],[Column1798]]</f>
        <v>#N/A N/A</v>
      </c>
      <c r="BQE25" t="str">
        <f>SOFR3mo_PX[[#This Row],[Column1799]]</f>
        <v>#N/A N/A</v>
      </c>
      <c r="BQF25" t="str">
        <f>SOFR3mo_PX[[#This Row],[Column1800]]</f>
        <v>#N/A N/A</v>
      </c>
      <c r="BQG25" t="str">
        <f>SOFR3mo_PX[[#This Row],[Column1801]]</f>
        <v>#N/A N/A</v>
      </c>
      <c r="BQH25" t="str">
        <f>SOFR3mo_PX[[#This Row],[Column1802]]</f>
        <v>#N/A N/A</v>
      </c>
      <c r="BQI25" t="str">
        <f>SOFR3mo_PX[[#This Row],[Column1803]]</f>
        <v>#N/A N/A</v>
      </c>
      <c r="BQJ25" t="str">
        <f>SOFR3mo_PX[[#This Row],[Column1804]]</f>
        <v>#N/A N/A</v>
      </c>
      <c r="BQK25" t="str">
        <f>SOFR3mo_PX[[#This Row],[Column1805]]</f>
        <v>#N/A N/A</v>
      </c>
      <c r="BQL25" t="str">
        <f>SOFR3mo_PX[[#This Row],[Column1806]]</f>
        <v>#N/A N/A</v>
      </c>
      <c r="BQM25" t="str">
        <f>SOFR3mo_PX[[#This Row],[Column1807]]</f>
        <v>#N/A N/A</v>
      </c>
      <c r="BQN25" t="str">
        <f>SOFR3mo_PX[[#This Row],[Column1808]]</f>
        <v>#N/A N/A</v>
      </c>
      <c r="BQO25" t="str">
        <f>SOFR3mo_PX[[#This Row],[Column1809]]</f>
        <v>#N/A N/A</v>
      </c>
      <c r="BQP25" t="str">
        <f>SOFR3mo_PX[[#This Row],[Column1810]]</f>
        <v>#N/A N/A</v>
      </c>
      <c r="BQQ25" t="str">
        <f>SOFR3mo_PX[[#This Row],[Column1811]]</f>
        <v>#N/A N/A</v>
      </c>
      <c r="BQR25" t="str">
        <f>SOFR3mo_PX[[#This Row],[Column1812]]</f>
        <v>#N/A N/A</v>
      </c>
      <c r="BQS25" t="str">
        <f>SOFR3mo_PX[[#This Row],[Column1813]]</f>
        <v>#N/A N/A</v>
      </c>
      <c r="BQT25" t="str">
        <f>SOFR3mo_PX[[#This Row],[Column1814]]</f>
        <v>#N/A N/A</v>
      </c>
      <c r="BQU25" t="str">
        <f>SOFR3mo_PX[[#This Row],[Column1815]]</f>
        <v>#N/A N/A</v>
      </c>
      <c r="BQV25" t="str">
        <f>SOFR3mo_PX[[#This Row],[Column1816]]</f>
        <v>#N/A N/A</v>
      </c>
      <c r="BQW25" t="str">
        <f>SOFR3mo_PX[[#This Row],[Column1817]]</f>
        <v>#N/A N/A</v>
      </c>
      <c r="BQX25" t="str">
        <f>SOFR3mo_PX[[#This Row],[Column1818]]</f>
        <v>#N/A N/A</v>
      </c>
      <c r="BQY25" t="str">
        <f>SOFR3mo_PX[[#This Row],[Column1819]]</f>
        <v>#N/A N/A</v>
      </c>
      <c r="BQZ25" t="str">
        <f>SOFR3mo_PX[[#This Row],[Column1820]]</f>
        <v>#N/A N/A</v>
      </c>
      <c r="BRA25" t="str">
        <f>SOFR3mo_PX[[#This Row],[Column1821]]</f>
        <v>#N/A N/A</v>
      </c>
      <c r="BRB25" t="str">
        <f>SOFR3mo_PX[[#This Row],[Column1822]]</f>
        <v>#N/A N/A</v>
      </c>
      <c r="BRC25" t="str">
        <f>SOFR3mo_PX[[#This Row],[Column1823]]</f>
        <v>#N/A N/A</v>
      </c>
      <c r="BRD25" t="str">
        <f>SOFR3mo_PX[[#This Row],[Column1824]]</f>
        <v>#N/A N/A</v>
      </c>
      <c r="BRE25" t="str">
        <f>SOFR3mo_PX[[#This Row],[Column1825]]</f>
        <v>#N/A N/A</v>
      </c>
      <c r="BRF25" t="str">
        <f>SOFR3mo_PX[[#This Row],[Column1826]]</f>
        <v>#N/A N/A</v>
      </c>
      <c r="BRG25" t="str">
        <f>SOFR3mo_PX[[#This Row],[Column1827]]</f>
        <v>#N/A N/A</v>
      </c>
      <c r="BRH25" t="str">
        <f>SOFR3mo_PX[[#This Row],[Column1828]]</f>
        <v>#N/A N/A</v>
      </c>
      <c r="BRI25" t="str">
        <f>SOFR3mo_PX[[#This Row],[Column1829]]</f>
        <v>#N/A N/A</v>
      </c>
      <c r="BRJ25" t="str">
        <f>SOFR3mo_PX[[#This Row],[Column1830]]</f>
        <v>#N/A N/A</v>
      </c>
      <c r="BRK25" t="str">
        <f>SOFR3mo_PX[[#This Row],[Column1831]]</f>
        <v>#N/A N/A</v>
      </c>
      <c r="BRL25" t="str">
        <f>SOFR3mo_PX[[#This Row],[Column1832]]</f>
        <v>#N/A N/A</v>
      </c>
      <c r="BRM25" t="str">
        <f>SOFR3mo_PX[[#This Row],[Column1833]]</f>
        <v>#N/A N/A</v>
      </c>
      <c r="BRN25" t="str">
        <f>SOFR3mo_PX[[#This Row],[Column1834]]</f>
        <v>#N/A N/A</v>
      </c>
      <c r="BRO25" t="str">
        <f>SOFR3mo_PX[[#This Row],[Column1835]]</f>
        <v>#N/A N/A</v>
      </c>
      <c r="BRP25" t="str">
        <f>SOFR3mo_PX[[#This Row],[Column1836]]</f>
        <v>#N/A N/A</v>
      </c>
      <c r="BRQ25" t="str">
        <f>SOFR3mo_PX[[#This Row],[Column1837]]</f>
        <v>#N/A N/A</v>
      </c>
      <c r="BRR25" t="str">
        <f>SOFR3mo_PX[[#This Row],[Column1838]]</f>
        <v>#N/A N/A</v>
      </c>
      <c r="BRS25" t="str">
        <f>SOFR3mo_PX[[#This Row],[Column1839]]</f>
        <v>#N/A N/A</v>
      </c>
      <c r="BRT25" t="str">
        <f>SOFR3mo_PX[[#This Row],[Column1840]]</f>
        <v>#N/A N/A</v>
      </c>
      <c r="BRU25" t="str">
        <f>SOFR3mo_PX[[#This Row],[Column1841]]</f>
        <v>#N/A N/A</v>
      </c>
      <c r="BRV25" t="str">
        <f>SOFR3mo_PX[[#This Row],[Column1842]]</f>
        <v>#N/A N/A</v>
      </c>
      <c r="BRW25" t="str">
        <f>SOFR3mo_PX[[#This Row],[Column1843]]</f>
        <v>#N/A N/A</v>
      </c>
      <c r="BRX25" t="str">
        <f>SOFR3mo_PX[[#This Row],[Column1844]]</f>
        <v>#N/A N/A</v>
      </c>
      <c r="BRY25" t="str">
        <f>SOFR3mo_PX[[#This Row],[Column1845]]</f>
        <v>#N/A N/A</v>
      </c>
      <c r="BRZ25" t="str">
        <f>SOFR3mo_PX[[#This Row],[Column1846]]</f>
        <v>#N/A N/A</v>
      </c>
      <c r="BSA25" t="str">
        <f>SOFR3mo_PX[[#This Row],[Column1847]]</f>
        <v>#N/A N/A</v>
      </c>
      <c r="BSB25" t="str">
        <f>SOFR3mo_PX[[#This Row],[Column1848]]</f>
        <v>#N/A N/A</v>
      </c>
      <c r="BSC25" t="str">
        <f>SOFR3mo_PX[[#This Row],[Column1849]]</f>
        <v>#N/A N/A</v>
      </c>
      <c r="BSD25" t="str">
        <f>SOFR3mo_PX[[#This Row],[Column1850]]</f>
        <v>#N/A N/A</v>
      </c>
      <c r="BSE25" t="str">
        <f>SOFR3mo_PX[[#This Row],[Column1851]]</f>
        <v>#N/A N/A</v>
      </c>
      <c r="BSF25" t="str">
        <f>SOFR3mo_PX[[#This Row],[Column1852]]</f>
        <v>#N/A N/A</v>
      </c>
      <c r="BSG25" t="str">
        <f>SOFR3mo_PX[[#This Row],[Column1853]]</f>
        <v>#N/A N/A</v>
      </c>
      <c r="BSH25" t="str">
        <f>SOFR3mo_PX[[#This Row],[Column1854]]</f>
        <v>#N/A N/A</v>
      </c>
      <c r="BSI25" t="str">
        <f>SOFR3mo_PX[[#This Row],[Column1855]]</f>
        <v>#N/A N/A</v>
      </c>
      <c r="BSJ25" t="str">
        <f>SOFR3mo_PX[[#This Row],[Column1856]]</f>
        <v>#N/A N/A</v>
      </c>
      <c r="BSK25" t="str">
        <f>SOFR3mo_PX[[#This Row],[Column1857]]</f>
        <v>#N/A N/A</v>
      </c>
      <c r="BSL25" t="str">
        <f>SOFR3mo_PX[[#This Row],[Column1858]]</f>
        <v>#N/A N/A</v>
      </c>
      <c r="BSM25" t="str">
        <f>SOFR3mo_PX[[#This Row],[Column1859]]</f>
        <v>#N/A N/A</v>
      </c>
      <c r="BSN25" t="str">
        <f>SOFR3mo_PX[[#This Row],[Column1860]]</f>
        <v>#N/A N/A</v>
      </c>
      <c r="BSO25" t="str">
        <f>SOFR3mo_PX[[#This Row],[Column1861]]</f>
        <v>#N/A N/A</v>
      </c>
      <c r="BSP25" t="str">
        <f>SOFR3mo_PX[[#This Row],[Column1862]]</f>
        <v>#N/A N/A</v>
      </c>
      <c r="BSQ25" t="str">
        <f>SOFR3mo_PX[[#This Row],[Column1863]]</f>
        <v>#N/A N/A</v>
      </c>
      <c r="BSR25" t="str">
        <f>SOFR3mo_PX[[#This Row],[Column1864]]</f>
        <v>#N/A N/A</v>
      </c>
      <c r="BSS25" t="str">
        <f>SOFR3mo_PX[[#This Row],[Column1865]]</f>
        <v>#N/A N/A</v>
      </c>
      <c r="BST25" t="str">
        <f>SOFR3mo_PX[[#This Row],[Column1866]]</f>
        <v>#N/A N/A</v>
      </c>
      <c r="BSU25" t="str">
        <f>SOFR3mo_PX[[#This Row],[Column1867]]</f>
        <v>#N/A N/A</v>
      </c>
      <c r="BSV25" t="str">
        <f>SOFR3mo_PX[[#This Row],[Column1868]]</f>
        <v>#N/A N/A</v>
      </c>
      <c r="BSW25" t="str">
        <f>SOFR3mo_PX[[#This Row],[Column1869]]</f>
        <v>#N/A N/A</v>
      </c>
      <c r="BSX25" t="str">
        <f>SOFR3mo_PX[[#This Row],[Column1870]]</f>
        <v>#N/A N/A</v>
      </c>
      <c r="BSY25" t="str">
        <f>SOFR3mo_PX[[#This Row],[Column1871]]</f>
        <v>#N/A N/A</v>
      </c>
      <c r="BSZ25" t="str">
        <f>SOFR3mo_PX[[#This Row],[Column1872]]</f>
        <v>#N/A N/A</v>
      </c>
      <c r="BTA25" t="str">
        <f>SOFR3mo_PX[[#This Row],[Column1873]]</f>
        <v>#N/A N/A</v>
      </c>
      <c r="BTB25" t="str">
        <f>SOFR3mo_PX[[#This Row],[Column1874]]</f>
        <v>#N/A N/A</v>
      </c>
      <c r="BTC25" t="str">
        <f>SOFR3mo_PX[[#This Row],[Column1875]]</f>
        <v>#N/A N/A</v>
      </c>
      <c r="BTD25" t="str">
        <f>SOFR3mo_PX[[#This Row],[Column1876]]</f>
        <v>#N/A N/A</v>
      </c>
      <c r="BTE25" t="str">
        <f>SOFR3mo_PX[[#This Row],[Column1877]]</f>
        <v>#N/A N/A</v>
      </c>
      <c r="BTF25" t="str">
        <f>SOFR3mo_PX[[#This Row],[Column1878]]</f>
        <v>#N/A N/A</v>
      </c>
      <c r="BTG25" t="str">
        <f>SOFR3mo_PX[[#This Row],[Column1879]]</f>
        <v>#N/A N/A</v>
      </c>
      <c r="BTH25" t="str">
        <f>SOFR3mo_PX[[#This Row],[Column1880]]</f>
        <v>#N/A N/A</v>
      </c>
      <c r="BTI25" t="str">
        <f>SOFR3mo_PX[[#This Row],[Column1881]]</f>
        <v>#N/A N/A</v>
      </c>
      <c r="BTJ25" t="str">
        <f>SOFR3mo_PX[[#This Row],[Column1882]]</f>
        <v>#N/A N/A</v>
      </c>
      <c r="BTK25" t="str">
        <f>SOFR3mo_PX[[#This Row],[Column1883]]</f>
        <v>#N/A N/A</v>
      </c>
      <c r="BTL25" t="str">
        <f>SOFR3mo_PX[[#This Row],[Column1884]]</f>
        <v>#N/A N/A</v>
      </c>
      <c r="BTM25" t="str">
        <f>SOFR3mo_PX[[#This Row],[Column1885]]</f>
        <v>#N/A N/A</v>
      </c>
      <c r="BTN25" t="str">
        <f>SOFR3mo_PX[[#This Row],[Column1886]]</f>
        <v>#N/A N/A</v>
      </c>
      <c r="BTO25" t="str">
        <f>SOFR3mo_PX[[#This Row],[Column1887]]</f>
        <v>#N/A N/A</v>
      </c>
      <c r="BTP25" t="str">
        <f>SOFR3mo_PX[[#This Row],[Column1888]]</f>
        <v>#N/A N/A</v>
      </c>
      <c r="BTQ25" t="str">
        <f>SOFR3mo_PX[[#This Row],[Column1889]]</f>
        <v>#N/A N/A</v>
      </c>
      <c r="BTR25" t="str">
        <f>SOFR3mo_PX[[#This Row],[Column1890]]</f>
        <v>#N/A N/A</v>
      </c>
      <c r="BTS25" t="str">
        <f>SOFR3mo_PX[[#This Row],[Column1891]]</f>
        <v>#N/A N/A</v>
      </c>
      <c r="BTT25" t="str">
        <f>SOFR3mo_PX[[#This Row],[Column1892]]</f>
        <v>#N/A N/A</v>
      </c>
      <c r="BTU25" t="str">
        <f>SOFR3mo_PX[[#This Row],[Column1893]]</f>
        <v>#N/A N/A</v>
      </c>
      <c r="BTV25" t="str">
        <f>SOFR3mo_PX[[#This Row],[Column1894]]</f>
        <v>#N/A N/A</v>
      </c>
      <c r="BTW25" t="str">
        <f>SOFR3mo_PX[[#This Row],[Column1895]]</f>
        <v>#N/A N/A</v>
      </c>
      <c r="BTX25" t="str">
        <f>SOFR3mo_PX[[#This Row],[Column1896]]</f>
        <v>#N/A N/A</v>
      </c>
      <c r="BTY25" t="str">
        <f>SOFR3mo_PX[[#This Row],[Column1897]]</f>
        <v>#N/A N/A</v>
      </c>
      <c r="BTZ25" t="str">
        <f>SOFR3mo_PX[[#This Row],[Column1898]]</f>
        <v>#N/A N/A</v>
      </c>
      <c r="BUA25" t="str">
        <f>SOFR3mo_PX[[#This Row],[Column1899]]</f>
        <v>#N/A N/A</v>
      </c>
      <c r="BUB25" t="str">
        <f>SOFR3mo_PX[[#This Row],[Column1900]]</f>
        <v>#N/A N/A</v>
      </c>
      <c r="BUC25" t="str">
        <f>SOFR3mo_PX[[#This Row],[Column1901]]</f>
        <v>#N/A N/A</v>
      </c>
      <c r="BUD25" t="str">
        <f>SOFR3mo_PX[[#This Row],[Column1902]]</f>
        <v>#N/A N/A</v>
      </c>
      <c r="BUE25" t="str">
        <f>SOFR3mo_PX[[#This Row],[Column1903]]</f>
        <v>#N/A N/A</v>
      </c>
      <c r="BUF25" t="str">
        <f>SOFR3mo_PX[[#This Row],[Column1904]]</f>
        <v>#N/A N/A</v>
      </c>
      <c r="BUG25" t="str">
        <f>SOFR3mo_PX[[#This Row],[Column1905]]</f>
        <v>#N/A N/A</v>
      </c>
      <c r="BUH25" t="str">
        <f>SOFR3mo_PX[[#This Row],[Column1906]]</f>
        <v>#N/A N/A</v>
      </c>
      <c r="BUI25" t="str">
        <f>SOFR3mo_PX[[#This Row],[Column1907]]</f>
        <v>#N/A N/A</v>
      </c>
      <c r="BUJ25" t="str">
        <f>SOFR3mo_PX[[#This Row],[Column1908]]</f>
        <v>#N/A N/A</v>
      </c>
      <c r="BUK25" t="str">
        <f>SOFR3mo_PX[[#This Row],[Column1909]]</f>
        <v>#N/A N/A</v>
      </c>
      <c r="BUL25" t="str">
        <f>SOFR3mo_PX[[#This Row],[Column1910]]</f>
        <v>#N/A N/A</v>
      </c>
      <c r="BUM25" t="str">
        <f>SOFR3mo_PX[[#This Row],[Column1911]]</f>
        <v>#N/A N/A</v>
      </c>
      <c r="BUN25" t="str">
        <f>SOFR3mo_PX[[#This Row],[Column1912]]</f>
        <v>#N/A N/A</v>
      </c>
      <c r="BUO25" t="str">
        <f>SOFR3mo_PX[[#This Row],[Column1913]]</f>
        <v>#N/A N/A</v>
      </c>
      <c r="BUP25" t="str">
        <f>SOFR3mo_PX[[#This Row],[Column1914]]</f>
        <v>#N/A N/A</v>
      </c>
      <c r="BUQ25" t="str">
        <f>SOFR3mo_PX[[#This Row],[Column1915]]</f>
        <v>#N/A N/A</v>
      </c>
      <c r="BUR25" t="str">
        <f>SOFR3mo_PX[[#This Row],[Column1916]]</f>
        <v>#N/A N/A</v>
      </c>
      <c r="BUS25" t="str">
        <f>SOFR3mo_PX[[#This Row],[Column1917]]</f>
        <v>#N/A N/A</v>
      </c>
      <c r="BUT25" t="str">
        <f>SOFR3mo_PX[[#This Row],[Column1918]]</f>
        <v>#N/A N/A</v>
      </c>
      <c r="BUU25" t="str">
        <f>SOFR3mo_PX[[#This Row],[Column1919]]</f>
        <v>#N/A N/A</v>
      </c>
      <c r="BUV25" t="str">
        <f>SOFR3mo_PX[[#This Row],[Column1920]]</f>
        <v>#N/A N/A</v>
      </c>
      <c r="BUW25" t="str">
        <f>SOFR3mo_PX[[#This Row],[Column1921]]</f>
        <v>#N/A N/A</v>
      </c>
      <c r="BUX25" t="str">
        <f>SOFR3mo_PX[[#This Row],[Column1922]]</f>
        <v>#N/A N/A</v>
      </c>
      <c r="BUY25" t="str">
        <f>SOFR3mo_PX[[#This Row],[Column1923]]</f>
        <v>#N/A N/A</v>
      </c>
      <c r="BUZ25" t="str">
        <f>SOFR3mo_PX[[#This Row],[Column1924]]</f>
        <v>#N/A N/A</v>
      </c>
      <c r="BVA25" t="str">
        <f>SOFR3mo_PX[[#This Row],[Column1925]]</f>
        <v>#N/A N/A</v>
      </c>
      <c r="BVB25" t="str">
        <f>SOFR3mo_PX[[#This Row],[Column1926]]</f>
        <v>#N/A N/A</v>
      </c>
      <c r="BVC25" t="str">
        <f>SOFR3mo_PX[[#This Row],[Column1927]]</f>
        <v>#N/A N/A</v>
      </c>
      <c r="BVD25" t="str">
        <f>SOFR3mo_PX[[#This Row],[Column1928]]</f>
        <v>#N/A N/A</v>
      </c>
      <c r="BVE25" t="str">
        <f>SOFR3mo_PX[[#This Row],[Column1929]]</f>
        <v>#N/A N/A</v>
      </c>
      <c r="BVF25" t="str">
        <f>SOFR3mo_PX[[#This Row],[Column1930]]</f>
        <v>#N/A N/A</v>
      </c>
      <c r="BVG25" t="str">
        <f>SOFR3mo_PX[[#This Row],[Column1931]]</f>
        <v>#N/A N/A</v>
      </c>
      <c r="BVH25" t="str">
        <f>SOFR3mo_PX[[#This Row],[Column1932]]</f>
        <v>#N/A N/A</v>
      </c>
      <c r="BVI25" t="str">
        <f>SOFR3mo_PX[[#This Row],[Column1933]]</f>
        <v>#N/A N/A</v>
      </c>
      <c r="BVJ25" t="str">
        <f>SOFR3mo_PX[[#This Row],[Column1934]]</f>
        <v>#N/A N/A</v>
      </c>
      <c r="BVK25" t="str">
        <f>SOFR3mo_PX[[#This Row],[Column1935]]</f>
        <v>#N/A N/A</v>
      </c>
      <c r="BVL25" t="str">
        <f>SOFR3mo_PX[[#This Row],[Column1936]]</f>
        <v>#N/A N/A</v>
      </c>
      <c r="BVM25" t="str">
        <f>SOFR3mo_PX[[#This Row],[Column1937]]</f>
        <v>#N/A N/A</v>
      </c>
      <c r="BVN25" t="str">
        <f>SOFR3mo_PX[[#This Row],[Column1938]]</f>
        <v>#N/A N/A</v>
      </c>
      <c r="BVO25" t="str">
        <f>SOFR3mo_PX[[#This Row],[Column1939]]</f>
        <v>#N/A N/A</v>
      </c>
      <c r="BVP25" t="str">
        <f>SOFR3mo_PX[[#This Row],[Column1940]]</f>
        <v>#N/A N/A</v>
      </c>
      <c r="BVQ25" t="str">
        <f>SOFR3mo_PX[[#This Row],[Column1941]]</f>
        <v>#N/A N/A</v>
      </c>
      <c r="BVR25" t="str">
        <f>SOFR3mo_PX[[#This Row],[Column1942]]</f>
        <v>#N/A N/A</v>
      </c>
      <c r="BVS25" t="str">
        <f>SOFR3mo_PX[[#This Row],[Column1943]]</f>
        <v>#N/A N/A</v>
      </c>
      <c r="BVT25" t="str">
        <f>SOFR3mo_PX[[#This Row],[Column1944]]</f>
        <v>#N/A N/A</v>
      </c>
      <c r="BVU25" t="str">
        <f>SOFR3mo_PX[[#This Row],[Column1945]]</f>
        <v>#N/A N/A</v>
      </c>
      <c r="BVV25" t="str">
        <f>SOFR3mo_PX[[#This Row],[Column1946]]</f>
        <v>#N/A N/A</v>
      </c>
      <c r="BVW25" t="str">
        <f>SOFR3mo_PX[[#This Row],[Column1947]]</f>
        <v>#N/A N/A</v>
      </c>
      <c r="BVX25" t="str">
        <f>SOFR3mo_PX[[#This Row],[Column1948]]</f>
        <v>#N/A N/A</v>
      </c>
      <c r="BVY25" t="str">
        <f>SOFR3mo_PX[[#This Row],[Column1949]]</f>
        <v>#N/A N/A</v>
      </c>
      <c r="BVZ25" t="str">
        <f>SOFR3mo_PX[[#This Row],[Column1950]]</f>
        <v>#N/A N/A</v>
      </c>
      <c r="BWA25" t="str">
        <f>SOFR3mo_PX[[#This Row],[Column1951]]</f>
        <v>#N/A N/A</v>
      </c>
      <c r="BWB25" t="str">
        <f>SOFR3mo_PX[[#This Row],[Column1952]]</f>
        <v>#N/A N/A</v>
      </c>
      <c r="BWC25" t="str">
        <f>SOFR3mo_PX[[#This Row],[Column1953]]</f>
        <v>#N/A N/A</v>
      </c>
      <c r="BWD25" t="str">
        <f>SOFR3mo_PX[[#This Row],[Column1954]]</f>
        <v>#N/A N/A</v>
      </c>
    </row>
    <row r="26" spans="1:1954" x14ac:dyDescent="0.25">
      <c r="A26" t="str">
        <f>SOFR3mo_PX[[#This Row],[Column1]]</f>
        <v>SFR24 Comdty</v>
      </c>
      <c r="B26">
        <f>IF(rtd!B24&lt;&gt;"",rtd!B24,SOFR3mo_PX[[#This Row],[Column2]])</f>
        <v>95.984999999999999</v>
      </c>
      <c r="C26">
        <f>SOFR3mo_PX[[#This Row],[Column3]]</f>
        <v>95.935000000000002</v>
      </c>
      <c r="D26">
        <f>SOFR3mo_PX[[#This Row],[Column4]]</f>
        <v>95.935000000000002</v>
      </c>
      <c r="E26">
        <f>SOFR3mo_PX[[#This Row],[Column5]]</f>
        <v>95.995000000000005</v>
      </c>
      <c r="F26">
        <f>SOFR3mo_PX[[#This Row],[Column6]]</f>
        <v>95.935000000000002</v>
      </c>
      <c r="G26">
        <f>SOFR3mo_PX[[#This Row],[Column7]]</f>
        <v>95.965000000000003</v>
      </c>
      <c r="H26">
        <f>SOFR3mo_PX[[#This Row],[Column8]]</f>
        <v>96.015000000000001</v>
      </c>
      <c r="I26">
        <f>SOFR3mo_PX[[#This Row],[Column9]]</f>
        <v>95.954999999999998</v>
      </c>
      <c r="J26">
        <f>SOFR3mo_PX[[#This Row],[Column10]]</f>
        <v>95.905000000000001</v>
      </c>
      <c r="K26">
        <f>SOFR3mo_PX[[#This Row],[Column11]]</f>
        <v>95.89</v>
      </c>
      <c r="L26">
        <f>SOFR3mo_PX[[#This Row],[Column12]]</f>
        <v>95.885000000000005</v>
      </c>
      <c r="M26">
        <f>SOFR3mo_PX[[#This Row],[Column13]]</f>
        <v>95.99</v>
      </c>
      <c r="N26">
        <f>SOFR3mo_PX[[#This Row],[Column14]]</f>
        <v>96.004999999999995</v>
      </c>
      <c r="O26">
        <f>SOFR3mo_PX[[#This Row],[Column15]]</f>
        <v>95.92</v>
      </c>
      <c r="P26">
        <f>SOFR3mo_PX[[#This Row],[Column16]]</f>
        <v>95.915000000000006</v>
      </c>
      <c r="Q26">
        <f>SOFR3mo_PX[[#This Row],[Column17]]</f>
        <v>95.974999999999994</v>
      </c>
      <c r="R26">
        <f>SOFR3mo_PX[[#This Row],[Column18]]</f>
        <v>95.954999999999998</v>
      </c>
      <c r="S26">
        <f>SOFR3mo_PX[[#This Row],[Column19]]</f>
        <v>95.924999999999997</v>
      </c>
      <c r="T26">
        <f>SOFR3mo_PX[[#This Row],[Column20]]</f>
        <v>95.974999999999994</v>
      </c>
      <c r="U26">
        <f>SOFR3mo_PX[[#This Row],[Column21]]</f>
        <v>95.885000000000005</v>
      </c>
      <c r="V26">
        <f>SOFR3mo_PX[[#This Row],[Column22]]</f>
        <v>95.885000000000005</v>
      </c>
      <c r="W26">
        <f>SOFR3mo_PX[[#This Row],[Column23]]</f>
        <v>95.81</v>
      </c>
      <c r="X26">
        <f>SOFR3mo_PX[[#This Row],[Column24]]</f>
        <v>95.75</v>
      </c>
      <c r="Y26">
        <f>SOFR3mo_PX[[#This Row],[Column25]]</f>
        <v>95.855000000000004</v>
      </c>
      <c r="Z26">
        <f>SOFR3mo_PX[[#This Row],[Column26]]</f>
        <v>95.855000000000004</v>
      </c>
      <c r="AA26">
        <f>SOFR3mo_PX[[#This Row],[Column27]]</f>
        <v>95.89</v>
      </c>
      <c r="AB26">
        <f>SOFR3mo_PX[[#This Row],[Column28]]</f>
        <v>95.87</v>
      </c>
      <c r="AC26">
        <f>SOFR3mo_PX[[#This Row],[Column29]]</f>
        <v>95.795000000000002</v>
      </c>
      <c r="AD26">
        <f>SOFR3mo_PX[[#This Row],[Column30]]</f>
        <v>95.83</v>
      </c>
      <c r="AE26">
        <f>SOFR3mo_PX[[#This Row],[Column31]]</f>
        <v>95.875</v>
      </c>
      <c r="AF26">
        <f>SOFR3mo_PX[[#This Row],[Column32]]</f>
        <v>95.94</v>
      </c>
      <c r="AG26">
        <f>SOFR3mo_PX[[#This Row],[Column33]]</f>
        <v>95.94</v>
      </c>
      <c r="AH26">
        <f>SOFR3mo_PX[[#This Row],[Column34]]</f>
        <v>96.034999999999997</v>
      </c>
      <c r="AI26">
        <f>SOFR3mo_PX[[#This Row],[Column35]]</f>
        <v>95.984999999999999</v>
      </c>
      <c r="AJ26">
        <f>SOFR3mo_PX[[#This Row],[Column36]]</f>
        <v>95.97</v>
      </c>
      <c r="AK26">
        <f>SOFR3mo_PX[[#This Row],[Column37]]</f>
        <v>96</v>
      </c>
      <c r="AL26">
        <f>SOFR3mo_PX[[#This Row],[Column38]]</f>
        <v>96.05</v>
      </c>
      <c r="AM26">
        <f>SOFR3mo_PX[[#This Row],[Column39]]</f>
        <v>96.094999999999999</v>
      </c>
      <c r="AN26">
        <f>SOFR3mo_PX[[#This Row],[Column40]]</f>
        <v>96.09</v>
      </c>
      <c r="AO26">
        <f>SOFR3mo_PX[[#This Row],[Column41]]</f>
        <v>96.03</v>
      </c>
      <c r="AP26">
        <f>SOFR3mo_PX[[#This Row],[Column42]]</f>
        <v>95.98</v>
      </c>
      <c r="AQ26">
        <f>SOFR3mo_PX[[#This Row],[Column43]]</f>
        <v>95.92</v>
      </c>
      <c r="AR26">
        <f>SOFR3mo_PX[[#This Row],[Column44]]</f>
        <v>95.85</v>
      </c>
      <c r="AS26">
        <f>SOFR3mo_PX[[#This Row],[Column45]]</f>
        <v>95.83</v>
      </c>
      <c r="AT26">
        <f>SOFR3mo_PX[[#This Row],[Column46]]</f>
        <v>95.79</v>
      </c>
      <c r="AU26">
        <f>SOFR3mo_PX[[#This Row],[Column47]]</f>
        <v>95.905000000000001</v>
      </c>
      <c r="AV26">
        <f>SOFR3mo_PX[[#This Row],[Column48]]</f>
        <v>95.905000000000001</v>
      </c>
      <c r="AW26">
        <f>SOFR3mo_PX[[#This Row],[Column49]]</f>
        <v>95.98</v>
      </c>
      <c r="AX26">
        <f>SOFR3mo_PX[[#This Row],[Column50]]</f>
        <v>95.94</v>
      </c>
      <c r="AY26">
        <f>SOFR3mo_PX[[#This Row],[Column51]]</f>
        <v>95.915000000000006</v>
      </c>
      <c r="AZ26">
        <f>SOFR3mo_PX[[#This Row],[Column52]]</f>
        <v>95.795000000000002</v>
      </c>
      <c r="BA26">
        <f>SOFR3mo_PX[[#This Row],[Column53]]</f>
        <v>95.935000000000002</v>
      </c>
      <c r="BB26">
        <f>SOFR3mo_PX[[#This Row],[Column54]]</f>
        <v>95.9</v>
      </c>
      <c r="BC26">
        <f>SOFR3mo_PX[[#This Row],[Column55]]</f>
        <v>96.06</v>
      </c>
      <c r="BD26">
        <f>SOFR3mo_PX[[#This Row],[Column56]]</f>
        <v>96.14</v>
      </c>
      <c r="BE26">
        <f>SOFR3mo_PX[[#This Row],[Column57]]</f>
        <v>96.31</v>
      </c>
      <c r="BF26">
        <f>SOFR3mo_PX[[#This Row],[Column58]]</f>
        <v>96.23</v>
      </c>
      <c r="BG26">
        <f>SOFR3mo_PX[[#This Row],[Column59]]</f>
        <v>96.08</v>
      </c>
      <c r="BH26">
        <f>SOFR3mo_PX[[#This Row],[Column60]]</f>
        <v>96.14</v>
      </c>
      <c r="BI26">
        <f>SOFR3mo_PX[[#This Row],[Column61]]</f>
        <v>96.034999999999997</v>
      </c>
      <c r="BJ26">
        <f>SOFR3mo_PX[[#This Row],[Column62]]</f>
        <v>96.004999999999995</v>
      </c>
      <c r="BK26">
        <f>SOFR3mo_PX[[#This Row],[Column63]]</f>
        <v>95.885000000000005</v>
      </c>
      <c r="BL26">
        <f>SOFR3mo_PX[[#This Row],[Column64]]</f>
        <v>95.94</v>
      </c>
      <c r="BM26">
        <f>SOFR3mo_PX[[#This Row],[Column65]]</f>
        <v>95.965000000000003</v>
      </c>
      <c r="BN26">
        <f>SOFR3mo_PX[[#This Row],[Column66]]</f>
        <v>95.94</v>
      </c>
      <c r="BO26">
        <f>SOFR3mo_PX[[#This Row],[Column67]]</f>
        <v>96.02</v>
      </c>
      <c r="BP26">
        <f>SOFR3mo_PX[[#This Row],[Column68]]</f>
        <v>96.034999999999997</v>
      </c>
      <c r="BQ26">
        <f>SOFR3mo_PX[[#This Row],[Column69]]</f>
        <v>95.995000000000005</v>
      </c>
      <c r="BR26">
        <f>SOFR3mo_PX[[#This Row],[Column70]]</f>
        <v>96.01</v>
      </c>
      <c r="BS26">
        <f>SOFR3mo_PX[[#This Row],[Column71]]</f>
        <v>95.974999999999994</v>
      </c>
      <c r="BT26">
        <f>SOFR3mo_PX[[#This Row],[Column72]]</f>
        <v>95.95</v>
      </c>
      <c r="BU26">
        <f>SOFR3mo_PX[[#This Row],[Column73]]</f>
        <v>96.015000000000001</v>
      </c>
      <c r="BV26">
        <f>SOFR3mo_PX[[#This Row],[Column74]]</f>
        <v>95.984999999999999</v>
      </c>
      <c r="BW26">
        <f>SOFR3mo_PX[[#This Row],[Column75]]</f>
        <v>96.015000000000001</v>
      </c>
      <c r="BX26">
        <f>SOFR3mo_PX[[#This Row],[Column76]]</f>
        <v>96.11</v>
      </c>
      <c r="BY26">
        <f>SOFR3mo_PX[[#This Row],[Column77]]</f>
        <v>95.98</v>
      </c>
      <c r="BZ26">
        <f>SOFR3mo_PX[[#This Row],[Column78]]</f>
        <v>96.004999999999995</v>
      </c>
      <c r="CA26">
        <f>SOFR3mo_PX[[#This Row],[Column79]]</f>
        <v>96.03</v>
      </c>
      <c r="CB26">
        <f>SOFR3mo_PX[[#This Row],[Column80]]</f>
        <v>96.094999999999999</v>
      </c>
      <c r="CC26">
        <f>SOFR3mo_PX[[#This Row],[Column81]]</f>
        <v>96.14</v>
      </c>
      <c r="CD26">
        <f>SOFR3mo_PX[[#This Row],[Column82]]</f>
        <v>96.084999999999994</v>
      </c>
      <c r="CE26">
        <f>SOFR3mo_PX[[#This Row],[Column83]]</f>
        <v>96.025000000000006</v>
      </c>
      <c r="CF26">
        <f>SOFR3mo_PX[[#This Row],[Column84]]</f>
        <v>96.07</v>
      </c>
      <c r="CG26">
        <f>SOFR3mo_PX[[#This Row],[Column85]]</f>
        <v>96</v>
      </c>
      <c r="CH26">
        <f>SOFR3mo_PX[[#This Row],[Column86]]</f>
        <v>95.864999999999995</v>
      </c>
      <c r="CI26">
        <f>SOFR3mo_PX[[#This Row],[Column87]]</f>
        <v>95.84</v>
      </c>
      <c r="CJ26">
        <f>SOFR3mo_PX[[#This Row],[Column88]]</f>
        <v>95.76</v>
      </c>
      <c r="CK26">
        <f>SOFR3mo_PX[[#This Row],[Column89]]</f>
        <v>95.71</v>
      </c>
      <c r="CL26">
        <f>SOFR3mo_PX[[#This Row],[Column90]]</f>
        <v>95.71</v>
      </c>
      <c r="CM26">
        <f>SOFR3mo_PX[[#This Row],[Column91]]</f>
        <v>95.79</v>
      </c>
      <c r="CN26">
        <f>SOFR3mo_PX[[#This Row],[Column92]]</f>
        <v>95.79</v>
      </c>
      <c r="CO26">
        <f>SOFR3mo_PX[[#This Row],[Column93]]</f>
        <v>95.724999999999994</v>
      </c>
      <c r="CP26">
        <f>SOFR3mo_PX[[#This Row],[Column94]]</f>
        <v>95.61</v>
      </c>
      <c r="CQ26">
        <f>SOFR3mo_PX[[#This Row],[Column95]]</f>
        <v>95.745000000000005</v>
      </c>
      <c r="CR26">
        <f>SOFR3mo_PX[[#This Row],[Column96]]</f>
        <v>95.795000000000002</v>
      </c>
      <c r="CS26">
        <f>SOFR3mo_PX[[#This Row],[Column97]]</f>
        <v>95.795000000000002</v>
      </c>
      <c r="CT26">
        <f>SOFR3mo_PX[[#This Row],[Column98]]</f>
        <v>95.85</v>
      </c>
      <c r="CU26">
        <f>SOFR3mo_PX[[#This Row],[Column99]]</f>
        <v>95.9</v>
      </c>
      <c r="CV26">
        <f>SOFR3mo_PX[[#This Row],[Column100]]</f>
        <v>95.79</v>
      </c>
      <c r="CW26">
        <f>SOFR3mo_PX[[#This Row],[Column101]]</f>
        <v>95.765000000000001</v>
      </c>
      <c r="CX26">
        <f>SOFR3mo_PX[[#This Row],[Column102]]</f>
        <v>95.72</v>
      </c>
      <c r="CY26">
        <f>SOFR3mo_PX[[#This Row],[Column103]]</f>
        <v>95.79</v>
      </c>
      <c r="CZ26">
        <f>SOFR3mo_PX[[#This Row],[Column104]]</f>
        <v>95.745000000000005</v>
      </c>
      <c r="DA26">
        <f>SOFR3mo_PX[[#This Row],[Column105]]</f>
        <v>95.754999999999995</v>
      </c>
      <c r="DB26">
        <f>SOFR3mo_PX[[#This Row],[Column106]]</f>
        <v>95.78</v>
      </c>
      <c r="DC26">
        <f>SOFR3mo_PX[[#This Row],[Column107]]</f>
        <v>95.67</v>
      </c>
      <c r="DD26">
        <f>SOFR3mo_PX[[#This Row],[Column108]]</f>
        <v>95.67</v>
      </c>
      <c r="DE26">
        <f>SOFR3mo_PX[[#This Row],[Column109]]</f>
        <v>95.715000000000003</v>
      </c>
      <c r="DF26">
        <f>SOFR3mo_PX[[#This Row],[Column110]]</f>
        <v>95.745000000000005</v>
      </c>
      <c r="DG26">
        <f>SOFR3mo_PX[[#This Row],[Column111]]</f>
        <v>95.7</v>
      </c>
      <c r="DH26">
        <f>SOFR3mo_PX[[#This Row],[Column112]]</f>
        <v>95.7</v>
      </c>
      <c r="DI26">
        <f>SOFR3mo_PX[[#This Row],[Column113]]</f>
        <v>95.7</v>
      </c>
      <c r="DJ26">
        <f>SOFR3mo_PX[[#This Row],[Column114]]</f>
        <v>95.66</v>
      </c>
      <c r="DK26">
        <f>SOFR3mo_PX[[#This Row],[Column115]]</f>
        <v>95.515000000000001</v>
      </c>
      <c r="DL26">
        <f>SOFR3mo_PX[[#This Row],[Column116]]</f>
        <v>95.5</v>
      </c>
      <c r="DM26">
        <f>SOFR3mo_PX[[#This Row],[Column117]]</f>
        <v>95.54</v>
      </c>
      <c r="DN26">
        <f>SOFR3mo_PX[[#This Row],[Column118]]</f>
        <v>95.61</v>
      </c>
      <c r="DO26">
        <f>SOFR3mo_PX[[#This Row],[Column119]]</f>
        <v>95.594999999999999</v>
      </c>
      <c r="DP26">
        <f>SOFR3mo_PX[[#This Row],[Column120]]</f>
        <v>95.605000000000004</v>
      </c>
      <c r="DQ26">
        <f>SOFR3mo_PX[[#This Row],[Column121]]</f>
        <v>95.69</v>
      </c>
      <c r="DR26">
        <f>SOFR3mo_PX[[#This Row],[Column122]]</f>
        <v>95.745000000000005</v>
      </c>
      <c r="DS26">
        <f>SOFR3mo_PX[[#This Row],[Column123]]</f>
        <v>95.76</v>
      </c>
      <c r="DT26">
        <f>SOFR3mo_PX[[#This Row],[Column124]]</f>
        <v>95.754999999999995</v>
      </c>
      <c r="DU26">
        <f>SOFR3mo_PX[[#This Row],[Column125]]</f>
        <v>95.754999999999995</v>
      </c>
      <c r="DV26">
        <f>SOFR3mo_PX[[#This Row],[Column126]]</f>
        <v>95.795000000000002</v>
      </c>
      <c r="DW26">
        <f>SOFR3mo_PX[[#This Row],[Column127]]</f>
        <v>95.715000000000003</v>
      </c>
      <c r="DX26">
        <f>SOFR3mo_PX[[#This Row],[Column128]]</f>
        <v>95.775000000000006</v>
      </c>
      <c r="DY26">
        <f>SOFR3mo_PX[[#This Row],[Column129]]</f>
        <v>95.76</v>
      </c>
      <c r="DZ26">
        <f>SOFR3mo_PX[[#This Row],[Column130]]</f>
        <v>95.76</v>
      </c>
      <c r="EA26">
        <f>SOFR3mo_PX[[#This Row],[Column131]]</f>
        <v>95.734999999999999</v>
      </c>
      <c r="EB26">
        <f>SOFR3mo_PX[[#This Row],[Column132]]</f>
        <v>95.834999999999994</v>
      </c>
      <c r="EC26">
        <f>SOFR3mo_PX[[#This Row],[Column133]]</f>
        <v>95.765000000000001</v>
      </c>
      <c r="ED26">
        <f>SOFR3mo_PX[[#This Row],[Column134]]</f>
        <v>95.894999999999996</v>
      </c>
      <c r="EE26">
        <f>SOFR3mo_PX[[#This Row],[Column135]]</f>
        <v>96.04</v>
      </c>
      <c r="EF26">
        <f>SOFR3mo_PX[[#This Row],[Column136]]</f>
        <v>96.025000000000006</v>
      </c>
      <c r="EG26">
        <f>SOFR3mo_PX[[#This Row],[Column137]]</f>
        <v>96.025000000000006</v>
      </c>
      <c r="EH26">
        <f>SOFR3mo_PX[[#This Row],[Column138]]</f>
        <v>96.11</v>
      </c>
      <c r="EI26">
        <f>SOFR3mo_PX[[#This Row],[Column139]]</f>
        <v>96.17</v>
      </c>
      <c r="EJ26">
        <f>SOFR3mo_PX[[#This Row],[Column140]]</f>
        <v>96.23</v>
      </c>
      <c r="EK26">
        <f>SOFR3mo_PX[[#This Row],[Column141]]</f>
        <v>96.254999999999995</v>
      </c>
      <c r="EL26">
        <f>SOFR3mo_PX[[#This Row],[Column142]]</f>
        <v>96.295000000000002</v>
      </c>
      <c r="EM26">
        <f>SOFR3mo_PX[[#This Row],[Column143]]</f>
        <v>96.26</v>
      </c>
      <c r="EN26">
        <f>SOFR3mo_PX[[#This Row],[Column144]]</f>
        <v>96.245000000000005</v>
      </c>
      <c r="EO26">
        <f>SOFR3mo_PX[[#This Row],[Column145]]</f>
        <v>96.215000000000003</v>
      </c>
      <c r="EP26">
        <f>SOFR3mo_PX[[#This Row],[Column146]]</f>
        <v>96.25</v>
      </c>
      <c r="EQ26">
        <f>SOFR3mo_PX[[#This Row],[Column147]]</f>
        <v>96.25</v>
      </c>
      <c r="ER26">
        <f>SOFR3mo_PX[[#This Row],[Column148]]</f>
        <v>96.215000000000003</v>
      </c>
      <c r="ES26">
        <f>SOFR3mo_PX[[#This Row],[Column149]]</f>
        <v>96.215000000000003</v>
      </c>
      <c r="ET26">
        <f>SOFR3mo_PX[[#This Row],[Column150]]</f>
        <v>96.15</v>
      </c>
      <c r="EU26">
        <f>SOFR3mo_PX[[#This Row],[Column151]]</f>
        <v>96.215000000000003</v>
      </c>
      <c r="EV26">
        <f>SOFR3mo_PX[[#This Row],[Column152]]</f>
        <v>96.064999999999998</v>
      </c>
      <c r="EW26">
        <f>SOFR3mo_PX[[#This Row],[Column153]]</f>
        <v>96.03</v>
      </c>
      <c r="EX26">
        <f>SOFR3mo_PX[[#This Row],[Column154]]</f>
        <v>96.03</v>
      </c>
      <c r="EY26">
        <f>SOFR3mo_PX[[#This Row],[Column155]]</f>
        <v>96.06</v>
      </c>
      <c r="EZ26">
        <f>SOFR3mo_PX[[#This Row],[Column156]]</f>
        <v>96.025000000000006</v>
      </c>
      <c r="FA26">
        <f>SOFR3mo_PX[[#This Row],[Column157]]</f>
        <v>96.015000000000001</v>
      </c>
      <c r="FB26">
        <f>SOFR3mo_PX[[#This Row],[Column158]]</f>
        <v>96.02</v>
      </c>
      <c r="FC26">
        <f>SOFR3mo_PX[[#This Row],[Column159]]</f>
        <v>95.984999999999999</v>
      </c>
      <c r="FD26">
        <f>SOFR3mo_PX[[#This Row],[Column160]]</f>
        <v>96.01</v>
      </c>
      <c r="FE26">
        <f>SOFR3mo_PX[[#This Row],[Column161]]</f>
        <v>96.07</v>
      </c>
      <c r="FF26">
        <f>SOFR3mo_PX[[#This Row],[Column162]]</f>
        <v>96.125</v>
      </c>
      <c r="FG26">
        <f>SOFR3mo_PX[[#This Row],[Column163]]</f>
        <v>96.08</v>
      </c>
      <c r="FH26">
        <f>SOFR3mo_PX[[#This Row],[Column164]]</f>
        <v>95.974999999999994</v>
      </c>
      <c r="FI26">
        <f>SOFR3mo_PX[[#This Row],[Column165]]</f>
        <v>96.144999999999996</v>
      </c>
      <c r="FJ26">
        <f>SOFR3mo_PX[[#This Row],[Column166]]</f>
        <v>96.12</v>
      </c>
      <c r="FK26">
        <f>SOFR3mo_PX[[#This Row],[Column167]]</f>
        <v>96.055000000000007</v>
      </c>
      <c r="FL26">
        <f>SOFR3mo_PX[[#This Row],[Column168]]</f>
        <v>96.114999999999995</v>
      </c>
      <c r="FM26">
        <f>SOFR3mo_PX[[#This Row],[Column169]]</f>
        <v>96.125</v>
      </c>
      <c r="FN26">
        <f>SOFR3mo_PX[[#This Row],[Column170]]</f>
        <v>96.094999999999999</v>
      </c>
      <c r="FO26">
        <f>SOFR3mo_PX[[#This Row],[Column171]]</f>
        <v>96.09</v>
      </c>
      <c r="FP26">
        <f>SOFR3mo_PX[[#This Row],[Column172]]</f>
        <v>96.13</v>
      </c>
      <c r="FQ26">
        <f>SOFR3mo_PX[[#This Row],[Column173]]</f>
        <v>96.155000000000001</v>
      </c>
      <c r="FR26">
        <f>SOFR3mo_PX[[#This Row],[Column174]]</f>
        <v>96.105000000000004</v>
      </c>
      <c r="FS26">
        <f>SOFR3mo_PX[[#This Row],[Column175]]</f>
        <v>96.135000000000005</v>
      </c>
      <c r="FT26">
        <f>SOFR3mo_PX[[#This Row],[Column176]]</f>
        <v>96.16</v>
      </c>
      <c r="FU26">
        <f>SOFR3mo_PX[[#This Row],[Column177]]</f>
        <v>96.275000000000006</v>
      </c>
      <c r="FV26">
        <f>SOFR3mo_PX[[#This Row],[Column178]]</f>
        <v>96.26</v>
      </c>
      <c r="FW26">
        <f>SOFR3mo_PX[[#This Row],[Column179]]</f>
        <v>96.36</v>
      </c>
      <c r="FX26">
        <f>SOFR3mo_PX[[#This Row],[Column180]]</f>
        <v>96.34</v>
      </c>
      <c r="FY26">
        <f>SOFR3mo_PX[[#This Row],[Column181]]</f>
        <v>96.245000000000005</v>
      </c>
      <c r="FZ26">
        <f>SOFR3mo_PX[[#This Row],[Column182]]</f>
        <v>96.284999999999997</v>
      </c>
      <c r="GA26">
        <f>SOFR3mo_PX[[#This Row],[Column183]]</f>
        <v>96.275000000000006</v>
      </c>
      <c r="GB26">
        <f>SOFR3mo_PX[[#This Row],[Column184]]</f>
        <v>96.32</v>
      </c>
      <c r="GC26">
        <f>SOFR3mo_PX[[#This Row],[Column185]]</f>
        <v>96.344999999999999</v>
      </c>
      <c r="GD26">
        <f>SOFR3mo_PX[[#This Row],[Column186]]</f>
        <v>96.36</v>
      </c>
      <c r="GE26">
        <f>SOFR3mo_PX[[#This Row],[Column187]]</f>
        <v>96.394999999999996</v>
      </c>
      <c r="GF26">
        <f>SOFR3mo_PX[[#This Row],[Column188]]</f>
        <v>96.474999999999994</v>
      </c>
      <c r="GG26">
        <f>SOFR3mo_PX[[#This Row],[Column189]]</f>
        <v>96.545000000000002</v>
      </c>
      <c r="GH26">
        <f>SOFR3mo_PX[[#This Row],[Column190]]</f>
        <v>96.59</v>
      </c>
      <c r="GI26">
        <f>SOFR3mo_PX[[#This Row],[Column191]]</f>
        <v>96.52</v>
      </c>
      <c r="GJ26">
        <f>SOFR3mo_PX[[#This Row],[Column192]]</f>
        <v>96.56</v>
      </c>
      <c r="GK26">
        <f>SOFR3mo_PX[[#This Row],[Column193]]</f>
        <v>96.53</v>
      </c>
      <c r="GL26">
        <f>SOFR3mo_PX[[#This Row],[Column194]]</f>
        <v>96.51</v>
      </c>
      <c r="GM26">
        <f>SOFR3mo_PX[[#This Row],[Column195]]</f>
        <v>96.55</v>
      </c>
      <c r="GN26">
        <f>SOFR3mo_PX[[#This Row],[Column196]]</f>
        <v>96.555000000000007</v>
      </c>
      <c r="GO26">
        <f>SOFR3mo_PX[[#This Row],[Column197]]</f>
        <v>96.57</v>
      </c>
      <c r="GP26">
        <f>SOFR3mo_PX[[#This Row],[Column198]]</f>
        <v>96.55</v>
      </c>
      <c r="GQ26">
        <f>SOFR3mo_PX[[#This Row],[Column199]]</f>
        <v>96.625</v>
      </c>
      <c r="GR26">
        <f>SOFR3mo_PX[[#This Row],[Column200]]</f>
        <v>96.7</v>
      </c>
      <c r="GS26">
        <f>SOFR3mo_PX[[#This Row],[Column201]]</f>
        <v>96.694999999999993</v>
      </c>
      <c r="GT26">
        <f>SOFR3mo_PX[[#This Row],[Column202]]</f>
        <v>96.674999999999997</v>
      </c>
      <c r="GU26">
        <f>SOFR3mo_PX[[#This Row],[Column203]]</f>
        <v>96.665000000000006</v>
      </c>
      <c r="GV26">
        <f>SOFR3mo_PX[[#This Row],[Column204]]</f>
        <v>96.694999999999993</v>
      </c>
      <c r="GW26">
        <f>SOFR3mo_PX[[#This Row],[Column205]]</f>
        <v>96.7</v>
      </c>
      <c r="GX26">
        <f>SOFR3mo_PX[[#This Row],[Column206]]</f>
        <v>96.644999999999996</v>
      </c>
      <c r="GY26">
        <f>SOFR3mo_PX[[#This Row],[Column207]]</f>
        <v>96.62</v>
      </c>
      <c r="GZ26">
        <f>SOFR3mo_PX[[#This Row],[Column208]]</f>
        <v>96.635000000000005</v>
      </c>
      <c r="HA26">
        <f>SOFR3mo_PX[[#This Row],[Column209]]</f>
        <v>96.6</v>
      </c>
      <c r="HB26">
        <f>SOFR3mo_PX[[#This Row],[Column210]]</f>
        <v>96.55</v>
      </c>
      <c r="HC26">
        <f>SOFR3mo_PX[[#This Row],[Column211]]</f>
        <v>96.47</v>
      </c>
      <c r="HD26">
        <f>SOFR3mo_PX[[#This Row],[Column212]]</f>
        <v>96.47</v>
      </c>
      <c r="HE26">
        <f>SOFR3mo_PX[[#This Row],[Column213]]</f>
        <v>96.515000000000001</v>
      </c>
      <c r="HF26">
        <f>SOFR3mo_PX[[#This Row],[Column214]]</f>
        <v>96.53</v>
      </c>
      <c r="HG26">
        <f>SOFR3mo_PX[[#This Row],[Column215]]</f>
        <v>96.545000000000002</v>
      </c>
      <c r="HH26">
        <f>SOFR3mo_PX[[#This Row],[Column216]]</f>
        <v>96.564999999999998</v>
      </c>
      <c r="HI26">
        <f>SOFR3mo_PX[[#This Row],[Column217]]</f>
        <v>96.555000000000007</v>
      </c>
      <c r="HJ26">
        <f>SOFR3mo_PX[[#This Row],[Column218]]</f>
        <v>96.495000000000005</v>
      </c>
      <c r="HK26">
        <f>SOFR3mo_PX[[#This Row],[Column219]]</f>
        <v>96.57</v>
      </c>
      <c r="HL26">
        <f>SOFR3mo_PX[[#This Row],[Column220]]</f>
        <v>96.545000000000002</v>
      </c>
      <c r="HM26">
        <f>SOFR3mo_PX[[#This Row],[Column221]]</f>
        <v>96.495000000000005</v>
      </c>
      <c r="HN26">
        <f>SOFR3mo_PX[[#This Row],[Column222]]</f>
        <v>96.454999999999998</v>
      </c>
      <c r="HO26">
        <f>SOFR3mo_PX[[#This Row],[Column223]]</f>
        <v>96.415000000000006</v>
      </c>
      <c r="HP26">
        <f>SOFR3mo_PX[[#This Row],[Column224]]</f>
        <v>96.484999999999999</v>
      </c>
      <c r="HQ26">
        <f>SOFR3mo_PX[[#This Row],[Column225]]</f>
        <v>96.45</v>
      </c>
      <c r="HR26">
        <f>SOFR3mo_PX[[#This Row],[Column226]]</f>
        <v>96.42</v>
      </c>
      <c r="HS26">
        <f>SOFR3mo_PX[[#This Row],[Column227]]</f>
        <v>96.38</v>
      </c>
      <c r="HT26">
        <f>SOFR3mo_PX[[#This Row],[Column228]]</f>
        <v>96.3</v>
      </c>
      <c r="HU26">
        <f>SOFR3mo_PX[[#This Row],[Column229]]</f>
        <v>96.31</v>
      </c>
      <c r="HV26">
        <f>SOFR3mo_PX[[#This Row],[Column230]]</f>
        <v>96.394999999999996</v>
      </c>
      <c r="HW26">
        <f>SOFR3mo_PX[[#This Row],[Column231]]</f>
        <v>96.495000000000005</v>
      </c>
      <c r="HX26">
        <f>SOFR3mo_PX[[#This Row],[Column232]]</f>
        <v>96.504999999999995</v>
      </c>
      <c r="HY26">
        <f>SOFR3mo_PX[[#This Row],[Column233]]</f>
        <v>96.375</v>
      </c>
      <c r="HZ26">
        <f>SOFR3mo_PX[[#This Row],[Column234]]</f>
        <v>96.275000000000006</v>
      </c>
      <c r="IA26">
        <f>SOFR3mo_PX[[#This Row],[Column235]]</f>
        <v>96.24</v>
      </c>
      <c r="IB26">
        <f>SOFR3mo_PX[[#This Row],[Column236]]</f>
        <v>96.204999999999998</v>
      </c>
      <c r="IC26">
        <f>SOFR3mo_PX[[#This Row],[Column237]]</f>
        <v>96.18</v>
      </c>
      <c r="ID26">
        <f>SOFR3mo_PX[[#This Row],[Column238]]</f>
        <v>96.135000000000005</v>
      </c>
      <c r="IE26">
        <f>SOFR3mo_PX[[#This Row],[Column239]]</f>
        <v>96.09</v>
      </c>
      <c r="IF26">
        <f>SOFR3mo_PX[[#This Row],[Column240]]</f>
        <v>96.16</v>
      </c>
      <c r="IG26">
        <f>SOFR3mo_PX[[#This Row],[Column241]]</f>
        <v>96.144999999999996</v>
      </c>
      <c r="IH26">
        <f>SOFR3mo_PX[[#This Row],[Column242]]</f>
        <v>96.155000000000001</v>
      </c>
      <c r="II26">
        <f>SOFR3mo_PX[[#This Row],[Column243]]</f>
        <v>96.204999999999998</v>
      </c>
      <c r="IJ26">
        <f>SOFR3mo_PX[[#This Row],[Column244]]</f>
        <v>96.26</v>
      </c>
      <c r="IK26">
        <f>SOFR3mo_PX[[#This Row],[Column245]]</f>
        <v>96.234999999999999</v>
      </c>
      <c r="IL26">
        <f>SOFR3mo_PX[[#This Row],[Column246]]</f>
        <v>96.16</v>
      </c>
      <c r="IM26">
        <f>SOFR3mo_PX[[#This Row],[Column247]]</f>
        <v>96.204999999999998</v>
      </c>
      <c r="IN26">
        <f>SOFR3mo_PX[[#This Row],[Column248]]</f>
        <v>96.224999999999994</v>
      </c>
      <c r="IO26">
        <f>SOFR3mo_PX[[#This Row],[Column249]]</f>
        <v>96.14</v>
      </c>
      <c r="IP26">
        <f>SOFR3mo_PX[[#This Row],[Column250]]</f>
        <v>96.11</v>
      </c>
      <c r="IQ26">
        <f>SOFR3mo_PX[[#This Row],[Column251]]</f>
        <v>96.15</v>
      </c>
      <c r="IR26">
        <f>SOFR3mo_PX[[#This Row],[Column252]]</f>
        <v>96.144999999999996</v>
      </c>
      <c r="IS26">
        <f>SOFR3mo_PX[[#This Row],[Column253]]</f>
        <v>96.08</v>
      </c>
      <c r="IT26">
        <f>SOFR3mo_PX[[#This Row],[Column254]]</f>
        <v>96.08</v>
      </c>
      <c r="IU26">
        <f>SOFR3mo_PX[[#This Row],[Column255]]</f>
        <v>95.974999999999994</v>
      </c>
      <c r="IV26">
        <f>SOFR3mo_PX[[#This Row],[Column256]]</f>
        <v>95.935000000000002</v>
      </c>
      <c r="IW26">
        <f>SOFR3mo_PX[[#This Row],[Column257]]</f>
        <v>96.094999999999999</v>
      </c>
      <c r="IX26">
        <f>SOFR3mo_PX[[#This Row],[Column258]]</f>
        <v>96.16</v>
      </c>
      <c r="IY26">
        <f>SOFR3mo_PX[[#This Row],[Column259]]</f>
        <v>96.125</v>
      </c>
      <c r="IZ26">
        <f>SOFR3mo_PX[[#This Row],[Column260]]</f>
        <v>96.215000000000003</v>
      </c>
      <c r="JA26">
        <f>SOFR3mo_PX[[#This Row],[Column261]]</f>
        <v>96.204999999999998</v>
      </c>
      <c r="JB26">
        <f>SOFR3mo_PX[[#This Row],[Column262]]</f>
        <v>96.18</v>
      </c>
      <c r="JC26">
        <f>SOFR3mo_PX[[#This Row],[Column263]]</f>
        <v>96.19</v>
      </c>
      <c r="JD26">
        <f>SOFR3mo_PX[[#This Row],[Column264]]</f>
        <v>96.254999999999995</v>
      </c>
      <c r="JE26">
        <f>SOFR3mo_PX[[#This Row],[Column265]]</f>
        <v>96.254999999999995</v>
      </c>
      <c r="JF26">
        <f>SOFR3mo_PX[[#This Row],[Column266]]</f>
        <v>96.194999999999993</v>
      </c>
      <c r="JG26">
        <f>SOFR3mo_PX[[#This Row],[Column267]]</f>
        <v>96.275000000000006</v>
      </c>
      <c r="JH26">
        <f>SOFR3mo_PX[[#This Row],[Column268]]</f>
        <v>96.21</v>
      </c>
      <c r="JI26">
        <f>SOFR3mo_PX[[#This Row],[Column269]]</f>
        <v>96.155000000000001</v>
      </c>
      <c r="JJ26">
        <f>SOFR3mo_PX[[#This Row],[Column270]]</f>
        <v>96.04</v>
      </c>
      <c r="JK26">
        <f>SOFR3mo_PX[[#This Row],[Column271]]</f>
        <v>95.96</v>
      </c>
      <c r="JL26">
        <f>SOFR3mo_PX[[#This Row],[Column272]]</f>
        <v>96.004999999999995</v>
      </c>
      <c r="JM26">
        <f>SOFR3mo_PX[[#This Row],[Column273]]</f>
        <v>96.155000000000001</v>
      </c>
      <c r="JN26">
        <f>SOFR3mo_PX[[#This Row],[Column274]]</f>
        <v>96.155000000000001</v>
      </c>
      <c r="JO26">
        <f>SOFR3mo_PX[[#This Row],[Column275]]</f>
        <v>96.12</v>
      </c>
      <c r="JP26">
        <f>SOFR3mo_PX[[#This Row],[Column276]]</f>
        <v>96.034999999999997</v>
      </c>
      <c r="JQ26">
        <f>SOFR3mo_PX[[#This Row],[Column277]]</f>
        <v>95.91</v>
      </c>
      <c r="JR26">
        <f>SOFR3mo_PX[[#This Row],[Column278]]</f>
        <v>95.885000000000005</v>
      </c>
      <c r="JS26">
        <f>SOFR3mo_PX[[#This Row],[Column279]]</f>
        <v>95.825000000000003</v>
      </c>
      <c r="JT26">
        <f>SOFR3mo_PX[[#This Row],[Column280]]</f>
        <v>95.93</v>
      </c>
      <c r="JU26">
        <f>SOFR3mo_PX[[#This Row],[Column281]]</f>
        <v>96.004999999999995</v>
      </c>
      <c r="JV26">
        <f>SOFR3mo_PX[[#This Row],[Column282]]</f>
        <v>96.004999999999995</v>
      </c>
      <c r="JW26">
        <f>SOFR3mo_PX[[#This Row],[Column283]]</f>
        <v>95.984999999999999</v>
      </c>
      <c r="JX26">
        <f>SOFR3mo_PX[[#This Row],[Column284]]</f>
        <v>95.99</v>
      </c>
      <c r="JY26">
        <f>SOFR3mo_PX[[#This Row],[Column285]]</f>
        <v>95.995000000000005</v>
      </c>
      <c r="JZ26">
        <f>SOFR3mo_PX[[#This Row],[Column286]]</f>
        <v>95.965000000000003</v>
      </c>
      <c r="KA26">
        <f>SOFR3mo_PX[[#This Row],[Column287]]</f>
        <v>95.984999999999999</v>
      </c>
      <c r="KB26">
        <f>SOFR3mo_PX[[#This Row],[Column288]]</f>
        <v>96.03</v>
      </c>
      <c r="KC26">
        <f>SOFR3mo_PX[[#This Row],[Column289]]</f>
        <v>96.034999999999997</v>
      </c>
      <c r="KD26">
        <f>SOFR3mo_PX[[#This Row],[Column290]]</f>
        <v>95.965000000000003</v>
      </c>
      <c r="KE26">
        <f>SOFR3mo_PX[[#This Row],[Column291]]</f>
        <v>95.93</v>
      </c>
      <c r="KF26">
        <f>SOFR3mo_PX[[#This Row],[Column292]]</f>
        <v>95.905000000000001</v>
      </c>
      <c r="KG26">
        <f>SOFR3mo_PX[[#This Row],[Column293]]</f>
        <v>95.96</v>
      </c>
      <c r="KH26">
        <f>SOFR3mo_PX[[#This Row],[Column294]]</f>
        <v>95.93</v>
      </c>
      <c r="KI26">
        <f>SOFR3mo_PX[[#This Row],[Column295]]</f>
        <v>95.97</v>
      </c>
      <c r="KJ26">
        <f>SOFR3mo_PX[[#This Row],[Column296]]</f>
        <v>95.924999999999997</v>
      </c>
      <c r="KK26">
        <f>SOFR3mo_PX[[#This Row],[Column297]]</f>
        <v>95.905000000000001</v>
      </c>
      <c r="KL26">
        <f>SOFR3mo_PX[[#This Row],[Column298]]</f>
        <v>95.83</v>
      </c>
      <c r="KM26">
        <f>SOFR3mo_PX[[#This Row],[Column299]]</f>
        <v>95.814999999999998</v>
      </c>
      <c r="KN26">
        <f>SOFR3mo_PX[[#This Row],[Column300]]</f>
        <v>95.745000000000005</v>
      </c>
      <c r="KO26">
        <f>SOFR3mo_PX[[#This Row],[Column301]]</f>
        <v>95.814999999999998</v>
      </c>
      <c r="KP26">
        <f>SOFR3mo_PX[[#This Row],[Column302]]</f>
        <v>95.734999999999999</v>
      </c>
      <c r="KQ26">
        <f>SOFR3mo_PX[[#This Row],[Column303]]</f>
        <v>95.694999999999993</v>
      </c>
      <c r="KR26">
        <f>SOFR3mo_PX[[#This Row],[Column304]]</f>
        <v>95.754999999999995</v>
      </c>
      <c r="KS26">
        <f>SOFR3mo_PX[[#This Row],[Column305]]</f>
        <v>95.83</v>
      </c>
      <c r="KT26">
        <f>SOFR3mo_PX[[#This Row],[Column306]]</f>
        <v>95.81</v>
      </c>
      <c r="KU26">
        <f>SOFR3mo_PX[[#This Row],[Column307]]</f>
        <v>95.825000000000003</v>
      </c>
      <c r="KV26">
        <f>SOFR3mo_PX[[#This Row],[Column308]]</f>
        <v>95.79</v>
      </c>
      <c r="KW26">
        <f>SOFR3mo_PX[[#This Row],[Column309]]</f>
        <v>95.85</v>
      </c>
      <c r="KX26">
        <f>SOFR3mo_PX[[#This Row],[Column310]]</f>
        <v>95.775000000000006</v>
      </c>
      <c r="KY26">
        <f>SOFR3mo_PX[[#This Row],[Column311]]</f>
        <v>95.81</v>
      </c>
      <c r="KZ26">
        <f>SOFR3mo_PX[[#This Row],[Column312]]</f>
        <v>95.95</v>
      </c>
      <c r="LA26">
        <f>SOFR3mo_PX[[#This Row],[Column313]]</f>
        <v>95.86</v>
      </c>
      <c r="LB26">
        <f>SOFR3mo_PX[[#This Row],[Column314]]</f>
        <v>95.89</v>
      </c>
      <c r="LC26">
        <f>SOFR3mo_PX[[#This Row],[Column315]]</f>
        <v>96.04</v>
      </c>
      <c r="LD26">
        <f>SOFR3mo_PX[[#This Row],[Column316]]</f>
        <v>95.98</v>
      </c>
      <c r="LE26">
        <f>SOFR3mo_PX[[#This Row],[Column317]]</f>
        <v>96.025000000000006</v>
      </c>
      <c r="LF26">
        <f>SOFR3mo_PX[[#This Row],[Column318]]</f>
        <v>96.075000000000003</v>
      </c>
      <c r="LG26">
        <f>SOFR3mo_PX[[#This Row],[Column319]]</f>
        <v>96.025000000000006</v>
      </c>
      <c r="LH26">
        <f>SOFR3mo_PX[[#This Row],[Column320]]</f>
        <v>96.015000000000001</v>
      </c>
      <c r="LI26">
        <f>SOFR3mo_PX[[#This Row],[Column321]]</f>
        <v>96.06</v>
      </c>
      <c r="LJ26">
        <f>SOFR3mo_PX[[#This Row],[Column322]]</f>
        <v>96.19</v>
      </c>
      <c r="LK26">
        <f>SOFR3mo_PX[[#This Row],[Column323]]</f>
        <v>96.19</v>
      </c>
      <c r="LL26">
        <f>SOFR3mo_PX[[#This Row],[Column324]]</f>
        <v>96.155000000000001</v>
      </c>
      <c r="LM26">
        <f>SOFR3mo_PX[[#This Row],[Column325]]</f>
        <v>96.12</v>
      </c>
      <c r="LN26">
        <f>SOFR3mo_PX[[#This Row],[Column326]]</f>
        <v>96.09</v>
      </c>
      <c r="LO26">
        <f>SOFR3mo_PX[[#This Row],[Column327]]</f>
        <v>96.125</v>
      </c>
      <c r="LP26">
        <f>SOFR3mo_PX[[#This Row],[Column328]]</f>
        <v>96.064999999999998</v>
      </c>
      <c r="LQ26">
        <f>SOFR3mo_PX[[#This Row],[Column329]]</f>
        <v>96.07</v>
      </c>
      <c r="LR26">
        <f>SOFR3mo_PX[[#This Row],[Column330]]</f>
        <v>96.12</v>
      </c>
      <c r="LS26">
        <f>SOFR3mo_PX[[#This Row],[Column331]]</f>
        <v>96.084999999999994</v>
      </c>
      <c r="LT26">
        <f>SOFR3mo_PX[[#This Row],[Column332]]</f>
        <v>96.125</v>
      </c>
      <c r="LU26">
        <f>SOFR3mo_PX[[#This Row],[Column333]]</f>
        <v>96.114999999999995</v>
      </c>
      <c r="LV26">
        <f>SOFR3mo_PX[[#This Row],[Column334]]</f>
        <v>96.224999999999994</v>
      </c>
      <c r="LW26">
        <f>SOFR3mo_PX[[#This Row],[Column335]]</f>
        <v>96.24</v>
      </c>
      <c r="LX26">
        <f>SOFR3mo_PX[[#This Row],[Column336]]</f>
        <v>96.29</v>
      </c>
      <c r="LY26">
        <f>SOFR3mo_PX[[#This Row],[Column337]]</f>
        <v>96.29</v>
      </c>
      <c r="LZ26">
        <f>SOFR3mo_PX[[#This Row],[Column338]]</f>
        <v>96.31</v>
      </c>
      <c r="MA26">
        <f>SOFR3mo_PX[[#This Row],[Column339]]</f>
        <v>96.305000000000007</v>
      </c>
      <c r="MB26">
        <f>SOFR3mo_PX[[#This Row],[Column340]]</f>
        <v>96.265000000000001</v>
      </c>
      <c r="MC26">
        <f>SOFR3mo_PX[[#This Row],[Column341]]</f>
        <v>96.174999999999997</v>
      </c>
      <c r="MD26">
        <f>SOFR3mo_PX[[#This Row],[Column342]]</f>
        <v>96.2</v>
      </c>
      <c r="ME26">
        <f>SOFR3mo_PX[[#This Row],[Column343]]</f>
        <v>96.144999999999996</v>
      </c>
      <c r="MF26">
        <f>SOFR3mo_PX[[#This Row],[Column344]]</f>
        <v>96.14</v>
      </c>
      <c r="MG26">
        <f>SOFR3mo_PX[[#This Row],[Column345]]</f>
        <v>96.135000000000005</v>
      </c>
      <c r="MH26">
        <f>SOFR3mo_PX[[#This Row],[Column346]]</f>
        <v>96.155000000000001</v>
      </c>
      <c r="MI26">
        <f>SOFR3mo_PX[[#This Row],[Column347]]</f>
        <v>96.165000000000006</v>
      </c>
      <c r="MJ26">
        <f>SOFR3mo_PX[[#This Row],[Column348]]</f>
        <v>96.07</v>
      </c>
      <c r="MK26">
        <f>SOFR3mo_PX[[#This Row],[Column349]]</f>
        <v>96.045000000000002</v>
      </c>
      <c r="ML26">
        <f>SOFR3mo_PX[[#This Row],[Column350]]</f>
        <v>96.09</v>
      </c>
      <c r="MM26">
        <f>SOFR3mo_PX[[#This Row],[Column351]]</f>
        <v>96.07</v>
      </c>
      <c r="MN26">
        <f>SOFR3mo_PX[[#This Row],[Column352]]</f>
        <v>96.07</v>
      </c>
      <c r="MO26">
        <f>SOFR3mo_PX[[#This Row],[Column353]]</f>
        <v>96.11</v>
      </c>
      <c r="MP26">
        <f>SOFR3mo_PX[[#This Row],[Column354]]</f>
        <v>96.08</v>
      </c>
      <c r="MQ26">
        <f>SOFR3mo_PX[[#This Row],[Column355]]</f>
        <v>96.04</v>
      </c>
      <c r="MR26">
        <f>SOFR3mo_PX[[#This Row],[Column356]]</f>
        <v>96.144999999999996</v>
      </c>
      <c r="MS26">
        <f>SOFR3mo_PX[[#This Row],[Column357]]</f>
        <v>96.125</v>
      </c>
      <c r="MT26">
        <f>SOFR3mo_PX[[#This Row],[Column358]]</f>
        <v>96.14</v>
      </c>
      <c r="MU26">
        <f>SOFR3mo_PX[[#This Row],[Column359]]</f>
        <v>96.224999999999994</v>
      </c>
      <c r="MV26">
        <f>SOFR3mo_PX[[#This Row],[Column360]]</f>
        <v>96.24</v>
      </c>
      <c r="MW26">
        <f>SOFR3mo_PX[[#This Row],[Column361]]</f>
        <v>96.15</v>
      </c>
      <c r="MX26">
        <f>SOFR3mo_PX[[#This Row],[Column362]]</f>
        <v>96.28</v>
      </c>
      <c r="MY26">
        <f>SOFR3mo_PX[[#This Row],[Column363]]</f>
        <v>96.44</v>
      </c>
      <c r="MZ26">
        <f>SOFR3mo_PX[[#This Row],[Column364]]</f>
        <v>96.32</v>
      </c>
      <c r="NA26">
        <f>SOFR3mo_PX[[#This Row],[Column365]]</f>
        <v>96.234999999999999</v>
      </c>
      <c r="NB26">
        <f>SOFR3mo_PX[[#This Row],[Column366]]</f>
        <v>96.165000000000006</v>
      </c>
      <c r="NC26">
        <f>SOFR3mo_PX[[#This Row],[Column367]]</f>
        <v>96.09</v>
      </c>
      <c r="ND26">
        <f>SOFR3mo_PX[[#This Row],[Column368]]</f>
        <v>96.12</v>
      </c>
      <c r="NE26">
        <f>SOFR3mo_PX[[#This Row],[Column369]]</f>
        <v>96.09</v>
      </c>
      <c r="NF26">
        <f>SOFR3mo_PX[[#This Row],[Column370]]</f>
        <v>96.135000000000005</v>
      </c>
      <c r="NG26">
        <f>SOFR3mo_PX[[#This Row],[Column371]]</f>
        <v>96.19</v>
      </c>
      <c r="NH26">
        <f>SOFR3mo_PX[[#This Row],[Column372]]</f>
        <v>96.135000000000005</v>
      </c>
      <c r="NI26">
        <f>SOFR3mo_PX[[#This Row],[Column373]]</f>
        <v>96.125</v>
      </c>
      <c r="NJ26">
        <f>SOFR3mo_PX[[#This Row],[Column374]]</f>
        <v>96.17</v>
      </c>
      <c r="NK26">
        <f>SOFR3mo_PX[[#This Row],[Column375]]</f>
        <v>96.185000000000002</v>
      </c>
      <c r="NL26">
        <f>SOFR3mo_PX[[#This Row],[Column376]]</f>
        <v>96.31</v>
      </c>
      <c r="NM26">
        <f>SOFR3mo_PX[[#This Row],[Column377]]</f>
        <v>96.31</v>
      </c>
      <c r="NN26">
        <f>SOFR3mo_PX[[#This Row],[Column378]]</f>
        <v>96.32</v>
      </c>
      <c r="NO26">
        <f>SOFR3mo_PX[[#This Row],[Column379]]</f>
        <v>96.28</v>
      </c>
      <c r="NP26">
        <f>SOFR3mo_PX[[#This Row],[Column380]]</f>
        <v>96.29</v>
      </c>
      <c r="NQ26">
        <f>SOFR3mo_PX[[#This Row],[Column381]]</f>
        <v>96.295000000000002</v>
      </c>
      <c r="NR26">
        <f>SOFR3mo_PX[[#This Row],[Column382]]</f>
        <v>96.284999999999997</v>
      </c>
      <c r="NS26">
        <f>SOFR3mo_PX[[#This Row],[Column383]]</f>
        <v>96.34</v>
      </c>
      <c r="NT26">
        <f>SOFR3mo_PX[[#This Row],[Column384]]</f>
        <v>96.43</v>
      </c>
      <c r="NU26">
        <f>SOFR3mo_PX[[#This Row],[Column385]]</f>
        <v>96.385000000000005</v>
      </c>
      <c r="NV26">
        <f>SOFR3mo_PX[[#This Row],[Column386]]</f>
        <v>96.435000000000002</v>
      </c>
      <c r="NW26">
        <f>SOFR3mo_PX[[#This Row],[Column387]]</f>
        <v>96.435000000000002</v>
      </c>
      <c r="NX26">
        <f>SOFR3mo_PX[[#This Row],[Column388]]</f>
        <v>96.46</v>
      </c>
      <c r="NY26">
        <f>SOFR3mo_PX[[#This Row],[Column389]]</f>
        <v>96.534999999999997</v>
      </c>
      <c r="NZ26">
        <f>SOFR3mo_PX[[#This Row],[Column390]]</f>
        <v>96.43</v>
      </c>
      <c r="OA26">
        <f>SOFR3mo_PX[[#This Row],[Column391]]</f>
        <v>96.415000000000006</v>
      </c>
      <c r="OB26">
        <f>SOFR3mo_PX[[#This Row],[Column392]]</f>
        <v>96.415000000000006</v>
      </c>
      <c r="OC26">
        <f>SOFR3mo_PX[[#This Row],[Column393]]</f>
        <v>96.45</v>
      </c>
      <c r="OD26">
        <f>SOFR3mo_PX[[#This Row],[Column394]]</f>
        <v>96.484999999999999</v>
      </c>
      <c r="OE26">
        <f>SOFR3mo_PX[[#This Row],[Column395]]</f>
        <v>96.47</v>
      </c>
      <c r="OF26">
        <f>SOFR3mo_PX[[#This Row],[Column396]]</f>
        <v>96.435000000000002</v>
      </c>
      <c r="OG26">
        <f>SOFR3mo_PX[[#This Row],[Column397]]</f>
        <v>96.47</v>
      </c>
      <c r="OH26">
        <f>SOFR3mo_PX[[#This Row],[Column398]]</f>
        <v>96.444999999999993</v>
      </c>
      <c r="OI26">
        <f>SOFR3mo_PX[[#This Row],[Column399]]</f>
        <v>96.344999999999999</v>
      </c>
      <c r="OJ26">
        <f>SOFR3mo_PX[[#This Row],[Column400]]</f>
        <v>96.2</v>
      </c>
      <c r="OK26">
        <f>SOFR3mo_PX[[#This Row],[Column401]]</f>
        <v>96.15</v>
      </c>
      <c r="OL26">
        <f>SOFR3mo_PX[[#This Row],[Column402]]</f>
        <v>96.144999999999996</v>
      </c>
      <c r="OM26">
        <f>SOFR3mo_PX[[#This Row],[Column403]]</f>
        <v>96.254999999999995</v>
      </c>
      <c r="ON26">
        <f>SOFR3mo_PX[[#This Row],[Column404]]</f>
        <v>96.25</v>
      </c>
      <c r="OO26">
        <f>SOFR3mo_PX[[#This Row],[Column405]]</f>
        <v>96.185000000000002</v>
      </c>
      <c r="OP26">
        <f>SOFR3mo_PX[[#This Row],[Column406]]</f>
        <v>96.05</v>
      </c>
      <c r="OQ26">
        <f>SOFR3mo_PX[[#This Row],[Column407]]</f>
        <v>96.084999999999994</v>
      </c>
      <c r="OR26">
        <f>SOFR3mo_PX[[#This Row],[Column408]]</f>
        <v>95.97</v>
      </c>
      <c r="OS26">
        <f>SOFR3mo_PX[[#This Row],[Column409]]</f>
        <v>96.055000000000007</v>
      </c>
      <c r="OT26">
        <f>SOFR3mo_PX[[#This Row],[Column410]]</f>
        <v>95.984999999999999</v>
      </c>
      <c r="OU26">
        <f>SOFR3mo_PX[[#This Row],[Column411]]</f>
        <v>95.97</v>
      </c>
      <c r="OV26">
        <f>SOFR3mo_PX[[#This Row],[Column412]]</f>
        <v>95.855000000000004</v>
      </c>
      <c r="OW26">
        <f>SOFR3mo_PX[[#This Row],[Column413]]</f>
        <v>95.924999999999997</v>
      </c>
      <c r="OX26">
        <f>SOFR3mo_PX[[#This Row],[Column414]]</f>
        <v>95.924999999999997</v>
      </c>
      <c r="OY26">
        <f>SOFR3mo_PX[[#This Row],[Column415]]</f>
        <v>95.915000000000006</v>
      </c>
      <c r="OZ26">
        <f>SOFR3mo_PX[[#This Row],[Column416]]</f>
        <v>95.93</v>
      </c>
      <c r="PA26">
        <f>SOFR3mo_PX[[#This Row],[Column417]]</f>
        <v>95.885000000000005</v>
      </c>
      <c r="PB26">
        <f>SOFR3mo_PX[[#This Row],[Column418]]</f>
        <v>95.864999999999995</v>
      </c>
      <c r="PC26">
        <f>SOFR3mo_PX[[#This Row],[Column419]]</f>
        <v>95.77</v>
      </c>
      <c r="PD26">
        <f>SOFR3mo_PX[[#This Row],[Column420]]</f>
        <v>95.855000000000004</v>
      </c>
      <c r="PE26">
        <f>SOFR3mo_PX[[#This Row],[Column421]]</f>
        <v>95.67</v>
      </c>
      <c r="PF26">
        <f>SOFR3mo_PX[[#This Row],[Column422]]</f>
        <v>95.67</v>
      </c>
      <c r="PG26">
        <f>SOFR3mo_PX[[#This Row],[Column423]]</f>
        <v>95.66</v>
      </c>
      <c r="PH26">
        <f>SOFR3mo_PX[[#This Row],[Column424]]</f>
        <v>95.795000000000002</v>
      </c>
      <c r="PI26">
        <f>SOFR3mo_PX[[#This Row],[Column425]]</f>
        <v>95.715000000000003</v>
      </c>
      <c r="PJ26">
        <f>SOFR3mo_PX[[#This Row],[Column426]]</f>
        <v>95.6</v>
      </c>
      <c r="PK26">
        <f>SOFR3mo_PX[[#This Row],[Column427]]</f>
        <v>95.71</v>
      </c>
      <c r="PL26">
        <f>SOFR3mo_PX[[#This Row],[Column428]]</f>
        <v>95.59</v>
      </c>
      <c r="PM26">
        <f>SOFR3mo_PX[[#This Row],[Column429]]</f>
        <v>95.46</v>
      </c>
      <c r="PN26">
        <f>SOFR3mo_PX[[#This Row],[Column430]]</f>
        <v>95.37</v>
      </c>
      <c r="PO26">
        <f>SOFR3mo_PX[[#This Row],[Column431]]</f>
        <v>95.36</v>
      </c>
      <c r="PP26">
        <f>SOFR3mo_PX[[#This Row],[Column432]]</f>
        <v>95.37</v>
      </c>
      <c r="PQ26">
        <f>SOFR3mo_PX[[#This Row],[Column433]]</f>
        <v>95.37</v>
      </c>
      <c r="PR26">
        <f>SOFR3mo_PX[[#This Row],[Column434]]</f>
        <v>95.26</v>
      </c>
      <c r="PS26">
        <f>SOFR3mo_PX[[#This Row],[Column435]]</f>
        <v>95.4</v>
      </c>
      <c r="PT26">
        <f>SOFR3mo_PX[[#This Row],[Column436]]</f>
        <v>95.394999999999996</v>
      </c>
      <c r="PU26">
        <f>SOFR3mo_PX[[#This Row],[Column437]]</f>
        <v>95.29</v>
      </c>
      <c r="PV26">
        <f>SOFR3mo_PX[[#This Row],[Column438]]</f>
        <v>95.215000000000003</v>
      </c>
      <c r="PW26">
        <f>SOFR3mo_PX[[#This Row],[Column439]]</f>
        <v>95.344999999999999</v>
      </c>
      <c r="PX26">
        <f>SOFR3mo_PX[[#This Row],[Column440]]</f>
        <v>95.394999999999996</v>
      </c>
      <c r="PY26">
        <f>SOFR3mo_PX[[#This Row],[Column441]]</f>
        <v>95.525000000000006</v>
      </c>
      <c r="PZ26">
        <f>SOFR3mo_PX[[#This Row],[Column442]]</f>
        <v>95.61</v>
      </c>
      <c r="QA26">
        <f>SOFR3mo_PX[[#This Row],[Column443]]</f>
        <v>95.504999999999995</v>
      </c>
      <c r="QB26">
        <f>SOFR3mo_PX[[#This Row],[Column444]]</f>
        <v>95.62</v>
      </c>
      <c r="QC26">
        <f>SOFR3mo_PX[[#This Row],[Column445]]</f>
        <v>95.534999999999997</v>
      </c>
      <c r="QD26">
        <f>SOFR3mo_PX[[#This Row],[Column446]]</f>
        <v>95.515000000000001</v>
      </c>
      <c r="QE26">
        <f>SOFR3mo_PX[[#This Row],[Column447]]</f>
        <v>95.39</v>
      </c>
      <c r="QF26">
        <f>SOFR3mo_PX[[#This Row],[Column448]]</f>
        <v>95.45</v>
      </c>
      <c r="QG26">
        <f>SOFR3mo_PX[[#This Row],[Column449]]</f>
        <v>95.424999999999997</v>
      </c>
      <c r="QH26">
        <f>SOFR3mo_PX[[#This Row],[Column450]]</f>
        <v>95.37</v>
      </c>
      <c r="QI26">
        <f>SOFR3mo_PX[[#This Row],[Column451]]</f>
        <v>95.5</v>
      </c>
      <c r="QJ26">
        <f>SOFR3mo_PX[[#This Row],[Column452]]</f>
        <v>95.644999999999996</v>
      </c>
      <c r="QK26">
        <f>SOFR3mo_PX[[#This Row],[Column453]]</f>
        <v>95.614999999999995</v>
      </c>
      <c r="QL26">
        <f>SOFR3mo_PX[[#This Row],[Column454]]</f>
        <v>95.62</v>
      </c>
      <c r="QM26">
        <f>SOFR3mo_PX[[#This Row],[Column455]]</f>
        <v>95.694999999999993</v>
      </c>
      <c r="QN26">
        <f>SOFR3mo_PX[[#This Row],[Column456]]</f>
        <v>95.704999999999998</v>
      </c>
      <c r="QO26">
        <f>SOFR3mo_PX[[#This Row],[Column457]]</f>
        <v>95.855000000000004</v>
      </c>
      <c r="QP26">
        <f>SOFR3mo_PX[[#This Row],[Column458]]</f>
        <v>95.825000000000003</v>
      </c>
      <c r="QQ26">
        <f>SOFR3mo_PX[[#This Row],[Column459]]</f>
        <v>95.99</v>
      </c>
      <c r="QR26">
        <f>SOFR3mo_PX[[#This Row],[Column460]]</f>
        <v>95.995000000000005</v>
      </c>
      <c r="QS26">
        <f>SOFR3mo_PX[[#This Row],[Column461]]</f>
        <v>96.03</v>
      </c>
      <c r="QT26">
        <f>SOFR3mo_PX[[#This Row],[Column462]]</f>
        <v>96.01</v>
      </c>
      <c r="QU26">
        <f>SOFR3mo_PX[[#This Row],[Column463]]</f>
        <v>96.045000000000002</v>
      </c>
      <c r="QV26">
        <f>SOFR3mo_PX[[#This Row],[Column464]]</f>
        <v>96.1</v>
      </c>
      <c r="QW26">
        <f>SOFR3mo_PX[[#This Row],[Column465]]</f>
        <v>96.08</v>
      </c>
      <c r="QX26">
        <f>SOFR3mo_PX[[#This Row],[Column466]]</f>
        <v>96.034999999999997</v>
      </c>
      <c r="QY26">
        <f>SOFR3mo_PX[[#This Row],[Column467]]</f>
        <v>96.075000000000003</v>
      </c>
      <c r="QZ26">
        <f>SOFR3mo_PX[[#This Row],[Column468]]</f>
        <v>96.064999999999998</v>
      </c>
      <c r="RA26">
        <f>SOFR3mo_PX[[#This Row],[Column469]]</f>
        <v>96.05</v>
      </c>
      <c r="RB26">
        <f>SOFR3mo_PX[[#This Row],[Column470]]</f>
        <v>96.045000000000002</v>
      </c>
      <c r="RC26">
        <f>SOFR3mo_PX[[#This Row],[Column471]]</f>
        <v>96.114999999999995</v>
      </c>
      <c r="RD26">
        <f>SOFR3mo_PX[[#This Row],[Column472]]</f>
        <v>96.114999999999995</v>
      </c>
      <c r="RE26">
        <f>SOFR3mo_PX[[#This Row],[Column473]]</f>
        <v>96.21</v>
      </c>
      <c r="RF26">
        <f>SOFR3mo_PX[[#This Row],[Column474]]</f>
        <v>96.185000000000002</v>
      </c>
      <c r="RG26">
        <f>SOFR3mo_PX[[#This Row],[Column475]]</f>
        <v>96.19</v>
      </c>
      <c r="RH26">
        <f>SOFR3mo_PX[[#This Row],[Column476]]</f>
        <v>96.14</v>
      </c>
      <c r="RI26">
        <f>SOFR3mo_PX[[#This Row],[Column477]]</f>
        <v>96.1</v>
      </c>
      <c r="RJ26">
        <f>SOFR3mo_PX[[#This Row],[Column478]]</f>
        <v>96.094999999999999</v>
      </c>
      <c r="RK26">
        <f>SOFR3mo_PX[[#This Row],[Column479]]</f>
        <v>96.12</v>
      </c>
      <c r="RL26">
        <f>SOFR3mo_PX[[#This Row],[Column480]]</f>
        <v>95.97</v>
      </c>
      <c r="RM26">
        <f>SOFR3mo_PX[[#This Row],[Column481]]</f>
        <v>95.944999999999993</v>
      </c>
      <c r="RN26">
        <f>SOFR3mo_PX[[#This Row],[Column482]]</f>
        <v>96.04</v>
      </c>
      <c r="RO26">
        <f>SOFR3mo_PX[[#This Row],[Column483]]</f>
        <v>95.965000000000003</v>
      </c>
      <c r="RP26">
        <f>SOFR3mo_PX[[#This Row],[Column484]]</f>
        <v>96.05</v>
      </c>
      <c r="RQ26">
        <f>SOFR3mo_PX[[#This Row],[Column485]]</f>
        <v>96.084999999999994</v>
      </c>
      <c r="RR26">
        <f>SOFR3mo_PX[[#This Row],[Column486]]</f>
        <v>96.144999999999996</v>
      </c>
      <c r="RS26">
        <f>SOFR3mo_PX[[#This Row],[Column487]]</f>
        <v>96.12</v>
      </c>
      <c r="RT26">
        <f>SOFR3mo_PX[[#This Row],[Column488]]</f>
        <v>96.21</v>
      </c>
      <c r="RU26">
        <f>SOFR3mo_PX[[#This Row],[Column489]]</f>
        <v>96.314999999999998</v>
      </c>
      <c r="RV26">
        <f>SOFR3mo_PX[[#This Row],[Column490]]</f>
        <v>96.28</v>
      </c>
      <c r="RW26">
        <f>SOFR3mo_PX[[#This Row],[Column491]]</f>
        <v>96.215000000000003</v>
      </c>
      <c r="RX26">
        <f>SOFR3mo_PX[[#This Row],[Column492]]</f>
        <v>96.22</v>
      </c>
      <c r="RY26">
        <f>SOFR3mo_PX[[#This Row],[Column493]]</f>
        <v>96.075000000000003</v>
      </c>
      <c r="RZ26">
        <f>SOFR3mo_PX[[#This Row],[Column494]]</f>
        <v>96.22</v>
      </c>
      <c r="SA26">
        <f>SOFR3mo_PX[[#This Row],[Column495]]</f>
        <v>96.275000000000006</v>
      </c>
      <c r="SB26">
        <f>SOFR3mo_PX[[#This Row],[Column496]]</f>
        <v>96.364999999999995</v>
      </c>
      <c r="SC26">
        <f>SOFR3mo_PX[[#This Row],[Column497]]</f>
        <v>96.36</v>
      </c>
      <c r="SD26">
        <f>SOFR3mo_PX[[#This Row],[Column498]]</f>
        <v>96.314999999999998</v>
      </c>
      <c r="SE26">
        <f>SOFR3mo_PX[[#This Row],[Column499]]</f>
        <v>96.484999999999999</v>
      </c>
      <c r="SF26">
        <f>SOFR3mo_PX[[#This Row],[Column500]]</f>
        <v>96.435000000000002</v>
      </c>
      <c r="SG26">
        <f>SOFR3mo_PX[[#This Row],[Column501]]</f>
        <v>96.495000000000005</v>
      </c>
      <c r="SH26">
        <f>SOFR3mo_PX[[#This Row],[Column502]]</f>
        <v>96.504999999999995</v>
      </c>
      <c r="SI26">
        <f>SOFR3mo_PX[[#This Row],[Column503]]</f>
        <v>96.484999999999999</v>
      </c>
      <c r="SJ26">
        <f>SOFR3mo_PX[[#This Row],[Column504]]</f>
        <v>96.605000000000004</v>
      </c>
      <c r="SK26">
        <f>SOFR3mo_PX[[#This Row],[Column505]]</f>
        <v>96.564999999999998</v>
      </c>
      <c r="SL26">
        <f>SOFR3mo_PX[[#This Row],[Column506]]</f>
        <v>96.545000000000002</v>
      </c>
      <c r="SM26">
        <f>SOFR3mo_PX[[#This Row],[Column507]]</f>
        <v>96.504999999999995</v>
      </c>
      <c r="SN26">
        <f>SOFR3mo_PX[[#This Row],[Column508]]</f>
        <v>96.52</v>
      </c>
      <c r="SO26">
        <f>SOFR3mo_PX[[#This Row],[Column509]]</f>
        <v>96.474999999999994</v>
      </c>
      <c r="SP26">
        <f>SOFR3mo_PX[[#This Row],[Column510]]</f>
        <v>96.385000000000005</v>
      </c>
      <c r="SQ26">
        <f>SOFR3mo_PX[[#This Row],[Column511]]</f>
        <v>96.32</v>
      </c>
      <c r="SR26">
        <f>SOFR3mo_PX[[#This Row],[Column512]]</f>
        <v>96.28</v>
      </c>
      <c r="SS26">
        <f>SOFR3mo_PX[[#This Row],[Column513]]</f>
        <v>96.34</v>
      </c>
      <c r="ST26">
        <f>SOFR3mo_PX[[#This Row],[Column514]]</f>
        <v>96.474999999999994</v>
      </c>
      <c r="SU26">
        <f>SOFR3mo_PX[[#This Row],[Column515]]</f>
        <v>96.58</v>
      </c>
      <c r="SV26">
        <f>SOFR3mo_PX[[#This Row],[Column516]]</f>
        <v>96.58</v>
      </c>
      <c r="SW26">
        <f>SOFR3mo_PX[[#This Row],[Column517]]</f>
        <v>96.614999999999995</v>
      </c>
      <c r="SX26">
        <f>SOFR3mo_PX[[#This Row],[Column518]]</f>
        <v>96.55</v>
      </c>
      <c r="SY26">
        <f>SOFR3mo_PX[[#This Row],[Column519]]</f>
        <v>96.694999999999993</v>
      </c>
      <c r="SZ26">
        <f>SOFR3mo_PX[[#This Row],[Column520]]</f>
        <v>96.635000000000005</v>
      </c>
      <c r="TA26">
        <f>SOFR3mo_PX[[#This Row],[Column521]]</f>
        <v>96.665000000000006</v>
      </c>
      <c r="TB26">
        <f>SOFR3mo_PX[[#This Row],[Column522]]</f>
        <v>96.635000000000005</v>
      </c>
      <c r="TC26">
        <f>SOFR3mo_PX[[#This Row],[Column523]]</f>
        <v>96.564999999999998</v>
      </c>
      <c r="TD26">
        <f>SOFR3mo_PX[[#This Row],[Column524]]</f>
        <v>96.64</v>
      </c>
      <c r="TE26">
        <f>SOFR3mo_PX[[#This Row],[Column525]]</f>
        <v>96.67</v>
      </c>
      <c r="TF26">
        <f>SOFR3mo_PX[[#This Row],[Column526]]</f>
        <v>96.6</v>
      </c>
      <c r="TG26">
        <f>SOFR3mo_PX[[#This Row],[Column527]]</f>
        <v>96.6</v>
      </c>
      <c r="TH26">
        <f>SOFR3mo_PX[[#This Row],[Column528]]</f>
        <v>96.635000000000005</v>
      </c>
      <c r="TI26">
        <f>SOFR3mo_PX[[#This Row],[Column529]]</f>
        <v>96.57</v>
      </c>
      <c r="TJ26">
        <f>SOFR3mo_PX[[#This Row],[Column530]]</f>
        <v>96.495000000000005</v>
      </c>
      <c r="TK26">
        <f>SOFR3mo_PX[[#This Row],[Column531]]</f>
        <v>96.57</v>
      </c>
      <c r="TL26">
        <f>SOFR3mo_PX[[#This Row],[Column532]]</f>
        <v>96.575000000000003</v>
      </c>
      <c r="TM26">
        <f>SOFR3mo_PX[[#This Row],[Column533]]</f>
        <v>96.58</v>
      </c>
      <c r="TN26">
        <f>SOFR3mo_PX[[#This Row],[Column534]]</f>
        <v>96.504999999999995</v>
      </c>
      <c r="TO26">
        <f>SOFR3mo_PX[[#This Row],[Column535]]</f>
        <v>96.61</v>
      </c>
      <c r="TP26">
        <f>SOFR3mo_PX[[#This Row],[Column536]]</f>
        <v>96.59</v>
      </c>
      <c r="TQ26">
        <f>SOFR3mo_PX[[#This Row],[Column537]]</f>
        <v>96.56</v>
      </c>
      <c r="TR26">
        <f>SOFR3mo_PX[[#This Row],[Column538]]</f>
        <v>96.66</v>
      </c>
      <c r="TS26">
        <f>SOFR3mo_PX[[#This Row],[Column539]]</f>
        <v>96.644999999999996</v>
      </c>
      <c r="TT26">
        <f>SOFR3mo_PX[[#This Row],[Column540]]</f>
        <v>96.6</v>
      </c>
      <c r="TU26">
        <f>SOFR3mo_PX[[#This Row],[Column541]]</f>
        <v>96.49</v>
      </c>
      <c r="TV26">
        <f>SOFR3mo_PX[[#This Row],[Column542]]</f>
        <v>96.49</v>
      </c>
      <c r="TW26">
        <f>SOFR3mo_PX[[#This Row],[Column543]]</f>
        <v>96.47</v>
      </c>
      <c r="TX26">
        <f>SOFR3mo_PX[[#This Row],[Column544]]</f>
        <v>96.555000000000007</v>
      </c>
      <c r="TY26">
        <f>SOFR3mo_PX[[#This Row],[Column545]]</f>
        <v>96.56</v>
      </c>
      <c r="TZ26">
        <f>SOFR3mo_PX[[#This Row],[Column546]]</f>
        <v>96.53</v>
      </c>
      <c r="UA26">
        <f>SOFR3mo_PX[[#This Row],[Column547]]</f>
        <v>96.52</v>
      </c>
      <c r="UB26">
        <f>SOFR3mo_PX[[#This Row],[Column548]]</f>
        <v>96.57</v>
      </c>
      <c r="UC26">
        <f>SOFR3mo_PX[[#This Row],[Column549]]</f>
        <v>96.635000000000005</v>
      </c>
      <c r="UD26">
        <f>SOFR3mo_PX[[#This Row],[Column550]]</f>
        <v>96.65</v>
      </c>
      <c r="UE26">
        <f>SOFR3mo_PX[[#This Row],[Column551]]</f>
        <v>96.704999999999998</v>
      </c>
      <c r="UF26">
        <f>SOFR3mo_PX[[#This Row],[Column552]]</f>
        <v>96.745000000000005</v>
      </c>
      <c r="UG26">
        <f>SOFR3mo_PX[[#This Row],[Column553]]</f>
        <v>96.795000000000002</v>
      </c>
      <c r="UH26">
        <f>SOFR3mo_PX[[#This Row],[Column554]]</f>
        <v>96.75</v>
      </c>
      <c r="UI26">
        <f>SOFR3mo_PX[[#This Row],[Column555]]</f>
        <v>96.685000000000002</v>
      </c>
      <c r="UJ26">
        <f>SOFR3mo_PX[[#This Row],[Column556]]</f>
        <v>96.69</v>
      </c>
      <c r="UK26">
        <f>SOFR3mo_PX[[#This Row],[Column557]]</f>
        <v>96.734999999999999</v>
      </c>
      <c r="UL26">
        <f>SOFR3mo_PX[[#This Row],[Column558]]</f>
        <v>96.805000000000007</v>
      </c>
      <c r="UM26">
        <f>SOFR3mo_PX[[#This Row],[Column559]]</f>
        <v>96.795000000000002</v>
      </c>
      <c r="UN26">
        <f>SOFR3mo_PX[[#This Row],[Column560]]</f>
        <v>96.79</v>
      </c>
      <c r="UO26">
        <f>SOFR3mo_PX[[#This Row],[Column561]]</f>
        <v>96.665000000000006</v>
      </c>
      <c r="UP26">
        <f>SOFR3mo_PX[[#This Row],[Column562]]</f>
        <v>96.79</v>
      </c>
      <c r="UQ26">
        <f>SOFR3mo_PX[[#This Row],[Column563]]</f>
        <v>96.734999999999999</v>
      </c>
      <c r="UR26">
        <f>SOFR3mo_PX[[#This Row],[Column564]]</f>
        <v>96.81</v>
      </c>
      <c r="US26">
        <f>SOFR3mo_PX[[#This Row],[Column565]]</f>
        <v>96.86</v>
      </c>
      <c r="UT26">
        <f>SOFR3mo_PX[[#This Row],[Column566]]</f>
        <v>96.79</v>
      </c>
      <c r="UU26">
        <f>SOFR3mo_PX[[#This Row],[Column567]]</f>
        <v>96.734999999999999</v>
      </c>
      <c r="UV26">
        <f>SOFR3mo_PX[[#This Row],[Column568]]</f>
        <v>96.78</v>
      </c>
      <c r="UW26">
        <f>SOFR3mo_PX[[#This Row],[Column569]]</f>
        <v>96.73</v>
      </c>
      <c r="UX26">
        <f>SOFR3mo_PX[[#This Row],[Column570]]</f>
        <v>96.75</v>
      </c>
      <c r="UY26">
        <f>SOFR3mo_PX[[#This Row],[Column571]]</f>
        <v>96.715000000000003</v>
      </c>
      <c r="UZ26">
        <f>SOFR3mo_PX[[#This Row],[Column572]]</f>
        <v>96.775000000000006</v>
      </c>
      <c r="VA26">
        <f>SOFR3mo_PX[[#This Row],[Column573]]</f>
        <v>96.83</v>
      </c>
      <c r="VB26">
        <f>SOFR3mo_PX[[#This Row],[Column574]]</f>
        <v>96.885000000000005</v>
      </c>
      <c r="VC26">
        <f>SOFR3mo_PX[[#This Row],[Column575]]</f>
        <v>96.88</v>
      </c>
      <c r="VD26">
        <f>SOFR3mo_PX[[#This Row],[Column576]]</f>
        <v>96.87</v>
      </c>
      <c r="VE26">
        <f>SOFR3mo_PX[[#This Row],[Column577]]</f>
        <v>96.924999999999997</v>
      </c>
      <c r="VF26">
        <f>SOFR3mo_PX[[#This Row],[Column578]]</f>
        <v>97</v>
      </c>
      <c r="VG26">
        <f>SOFR3mo_PX[[#This Row],[Column579]]</f>
        <v>96.984999999999999</v>
      </c>
      <c r="VH26">
        <f>SOFR3mo_PX[[#This Row],[Column580]]</f>
        <v>96.95</v>
      </c>
      <c r="VI26">
        <f>SOFR3mo_PX[[#This Row],[Column581]]</f>
        <v>96.875</v>
      </c>
      <c r="VJ26">
        <f>SOFR3mo_PX[[#This Row],[Column582]]</f>
        <v>96.82</v>
      </c>
      <c r="VK26">
        <f>SOFR3mo_PX[[#This Row],[Column583]]</f>
        <v>96.78</v>
      </c>
      <c r="VL26">
        <f>SOFR3mo_PX[[#This Row],[Column584]]</f>
        <v>96.754999999999995</v>
      </c>
      <c r="VM26">
        <f>SOFR3mo_PX[[#This Row],[Column585]]</f>
        <v>96.745000000000005</v>
      </c>
      <c r="VN26">
        <f>SOFR3mo_PX[[#This Row],[Column586]]</f>
        <v>96.775000000000006</v>
      </c>
      <c r="VO26">
        <f>SOFR3mo_PX[[#This Row],[Column587]]</f>
        <v>96.894999999999996</v>
      </c>
      <c r="VP26">
        <f>SOFR3mo_PX[[#This Row],[Column588]]</f>
        <v>96.855000000000004</v>
      </c>
      <c r="VQ26">
        <f>SOFR3mo_PX[[#This Row],[Column589]]</f>
        <v>96.79</v>
      </c>
      <c r="VR26">
        <f>SOFR3mo_PX[[#This Row],[Column590]]</f>
        <v>96.734999999999999</v>
      </c>
      <c r="VS26">
        <f>SOFR3mo_PX[[#This Row],[Column591]]</f>
        <v>96.78</v>
      </c>
      <c r="VT26">
        <f>SOFR3mo_PX[[#This Row],[Column592]]</f>
        <v>96.87</v>
      </c>
      <c r="VU26">
        <f>SOFR3mo_PX[[#This Row],[Column593]]</f>
        <v>96.704999999999998</v>
      </c>
      <c r="VV26">
        <f>SOFR3mo_PX[[#This Row],[Column594]]</f>
        <v>96.77</v>
      </c>
      <c r="VW26">
        <f>SOFR3mo_PX[[#This Row],[Column595]]</f>
        <v>96.715000000000003</v>
      </c>
      <c r="VX26">
        <f>SOFR3mo_PX[[#This Row],[Column596]]</f>
        <v>96.77</v>
      </c>
      <c r="VY26">
        <f>SOFR3mo_PX[[#This Row],[Column597]]</f>
        <v>96.75</v>
      </c>
      <c r="VZ26">
        <f>SOFR3mo_PX[[#This Row],[Column598]]</f>
        <v>96.55</v>
      </c>
      <c r="WA26">
        <f>SOFR3mo_PX[[#This Row],[Column599]]</f>
        <v>96.594999999999999</v>
      </c>
      <c r="WB26">
        <f>SOFR3mo_PX[[#This Row],[Column600]]</f>
        <v>96.58</v>
      </c>
      <c r="WC26">
        <f>SOFR3mo_PX[[#This Row],[Column601]]</f>
        <v>96.504999999999995</v>
      </c>
      <c r="WD26">
        <f>SOFR3mo_PX[[#This Row],[Column602]]</f>
        <v>96.504999999999995</v>
      </c>
      <c r="WE26">
        <f>SOFR3mo_PX[[#This Row],[Column603]]</f>
        <v>96.38</v>
      </c>
      <c r="WF26">
        <f>SOFR3mo_PX[[#This Row],[Column604]]</f>
        <v>96.484999999999999</v>
      </c>
      <c r="WG26">
        <f>SOFR3mo_PX[[#This Row],[Column605]]</f>
        <v>96.57</v>
      </c>
      <c r="WH26">
        <f>SOFR3mo_PX[[#This Row],[Column606]]</f>
        <v>96.57</v>
      </c>
      <c r="WI26">
        <f>SOFR3mo_PX[[#This Row],[Column607]]</f>
        <v>96.525000000000006</v>
      </c>
      <c r="WJ26">
        <f>SOFR3mo_PX[[#This Row],[Column608]]</f>
        <v>96.575000000000003</v>
      </c>
      <c r="WK26">
        <f>SOFR3mo_PX[[#This Row],[Column609]]</f>
        <v>96.525000000000006</v>
      </c>
      <c r="WL26">
        <f>SOFR3mo_PX[[#This Row],[Column610]]</f>
        <v>96.49</v>
      </c>
      <c r="WM26">
        <f>SOFR3mo_PX[[#This Row],[Column611]]</f>
        <v>96.64</v>
      </c>
      <c r="WN26">
        <f>SOFR3mo_PX[[#This Row],[Column612]]</f>
        <v>96.64</v>
      </c>
      <c r="WO26">
        <f>SOFR3mo_PX[[#This Row],[Column613]]</f>
        <v>96.62</v>
      </c>
      <c r="WP26">
        <f>SOFR3mo_PX[[#This Row],[Column614]]</f>
        <v>96.66</v>
      </c>
      <c r="WQ26">
        <f>SOFR3mo_PX[[#This Row],[Column615]]</f>
        <v>96.724999999999994</v>
      </c>
      <c r="WR26">
        <f>SOFR3mo_PX[[#This Row],[Column616]]</f>
        <v>96.73</v>
      </c>
      <c r="WS26">
        <f>SOFR3mo_PX[[#This Row],[Column617]]</f>
        <v>96.7</v>
      </c>
      <c r="WT26">
        <f>SOFR3mo_PX[[#This Row],[Column618]]</f>
        <v>96.765000000000001</v>
      </c>
      <c r="WU26">
        <f>SOFR3mo_PX[[#This Row],[Column619]]</f>
        <v>96.784999999999997</v>
      </c>
      <c r="WV26">
        <f>SOFR3mo_PX[[#This Row],[Column620]]</f>
        <v>96.765000000000001</v>
      </c>
      <c r="WW26">
        <f>SOFR3mo_PX[[#This Row],[Column621]]</f>
        <v>96.79</v>
      </c>
      <c r="WX26">
        <f>SOFR3mo_PX[[#This Row],[Column622]]</f>
        <v>96.87</v>
      </c>
      <c r="WY26">
        <f>SOFR3mo_PX[[#This Row],[Column623]]</f>
        <v>96.97</v>
      </c>
      <c r="WZ26">
        <f>SOFR3mo_PX[[#This Row],[Column624]]</f>
        <v>97</v>
      </c>
      <c r="XA26">
        <f>SOFR3mo_PX[[#This Row],[Column625]]</f>
        <v>96.875</v>
      </c>
      <c r="XB26">
        <f>SOFR3mo_PX[[#This Row],[Column626]]</f>
        <v>96.844999999999999</v>
      </c>
      <c r="XC26">
        <f>SOFR3mo_PX[[#This Row],[Column627]]</f>
        <v>96.885000000000005</v>
      </c>
      <c r="XD26">
        <f>SOFR3mo_PX[[#This Row],[Column628]]</f>
        <v>96.935000000000002</v>
      </c>
      <c r="XE26">
        <f>SOFR3mo_PX[[#This Row],[Column629]]</f>
        <v>96.95</v>
      </c>
      <c r="XF26">
        <f>SOFR3mo_PX[[#This Row],[Column630]]</f>
        <v>96.95</v>
      </c>
      <c r="XG26">
        <f>SOFR3mo_PX[[#This Row],[Column631]]</f>
        <v>96.875</v>
      </c>
      <c r="XH26">
        <f>SOFR3mo_PX[[#This Row],[Column632]]</f>
        <v>96.91</v>
      </c>
      <c r="XI26">
        <f>SOFR3mo_PX[[#This Row],[Column633]]</f>
        <v>97</v>
      </c>
      <c r="XJ26">
        <f>SOFR3mo_PX[[#This Row],[Column634]]</f>
        <v>97.03</v>
      </c>
      <c r="XK26">
        <f>SOFR3mo_PX[[#This Row],[Column635]]</f>
        <v>96.89</v>
      </c>
      <c r="XL26">
        <f>SOFR3mo_PX[[#This Row],[Column636]]</f>
        <v>96.935000000000002</v>
      </c>
      <c r="XM26">
        <f>SOFR3mo_PX[[#This Row],[Column637]]</f>
        <v>96.935000000000002</v>
      </c>
      <c r="XN26">
        <f>SOFR3mo_PX[[#This Row],[Column638]]</f>
        <v>96.96</v>
      </c>
      <c r="XO26">
        <f>SOFR3mo_PX[[#This Row],[Column639]]</f>
        <v>96.86</v>
      </c>
      <c r="XP26">
        <f>SOFR3mo_PX[[#This Row],[Column640]]</f>
        <v>96.805000000000007</v>
      </c>
      <c r="XQ26">
        <f>SOFR3mo_PX[[#This Row],[Column641]]</f>
        <v>96.92</v>
      </c>
      <c r="XR26">
        <f>SOFR3mo_PX[[#This Row],[Column642]]</f>
        <v>96.875</v>
      </c>
      <c r="XS26">
        <f>SOFR3mo_PX[[#This Row],[Column643]]</f>
        <v>96.72</v>
      </c>
      <c r="XT26">
        <f>SOFR3mo_PX[[#This Row],[Column644]]</f>
        <v>96.704999999999998</v>
      </c>
      <c r="XU26">
        <f>SOFR3mo_PX[[#This Row],[Column645]]</f>
        <v>96.6</v>
      </c>
      <c r="XV26">
        <f>SOFR3mo_PX[[#This Row],[Column646]]</f>
        <v>96.53</v>
      </c>
      <c r="XW26">
        <f>SOFR3mo_PX[[#This Row],[Column647]]</f>
        <v>96.53</v>
      </c>
      <c r="XX26">
        <f>SOFR3mo_PX[[#This Row],[Column648]]</f>
        <v>96.495000000000005</v>
      </c>
      <c r="XY26">
        <f>SOFR3mo_PX[[#This Row],[Column649]]</f>
        <v>96.44</v>
      </c>
      <c r="XZ26">
        <f>SOFR3mo_PX[[#This Row],[Column650]]</f>
        <v>96.525000000000006</v>
      </c>
      <c r="YA26">
        <f>SOFR3mo_PX[[#This Row],[Column651]]</f>
        <v>96.61</v>
      </c>
      <c r="YB26">
        <f>SOFR3mo_PX[[#This Row],[Column652]]</f>
        <v>96.61</v>
      </c>
      <c r="YC26">
        <f>SOFR3mo_PX[[#This Row],[Column653]]</f>
        <v>96.64</v>
      </c>
      <c r="YD26">
        <f>SOFR3mo_PX[[#This Row],[Column654]]</f>
        <v>96.614999999999995</v>
      </c>
      <c r="YE26">
        <f>SOFR3mo_PX[[#This Row],[Column655]]</f>
        <v>96.68</v>
      </c>
      <c r="YF26">
        <f>SOFR3mo_PX[[#This Row],[Column656]]</f>
        <v>96.814999999999998</v>
      </c>
      <c r="YG26">
        <f>SOFR3mo_PX[[#This Row],[Column657]]</f>
        <v>96.905000000000001</v>
      </c>
      <c r="YH26">
        <f>SOFR3mo_PX[[#This Row],[Column658]]</f>
        <v>96.97</v>
      </c>
      <c r="YI26">
        <f>SOFR3mo_PX[[#This Row],[Column659]]</f>
        <v>96.91</v>
      </c>
      <c r="YJ26">
        <f>SOFR3mo_PX[[#This Row],[Column660]]</f>
        <v>96.91</v>
      </c>
      <c r="YK26">
        <f>SOFR3mo_PX[[#This Row],[Column661]]</f>
        <v>96.81</v>
      </c>
      <c r="YL26">
        <f>SOFR3mo_PX[[#This Row],[Column662]]</f>
        <v>96.844999999999999</v>
      </c>
      <c r="YM26">
        <f>SOFR3mo_PX[[#This Row],[Column663]]</f>
        <v>96.935000000000002</v>
      </c>
      <c r="YN26">
        <f>SOFR3mo_PX[[#This Row],[Column664]]</f>
        <v>97.045000000000002</v>
      </c>
      <c r="YO26">
        <f>SOFR3mo_PX[[#This Row],[Column665]]</f>
        <v>96.935000000000002</v>
      </c>
      <c r="YP26">
        <f>SOFR3mo_PX[[#This Row],[Column666]]</f>
        <v>96.84</v>
      </c>
      <c r="YQ26">
        <f>SOFR3mo_PX[[#This Row],[Column667]]</f>
        <v>96.94</v>
      </c>
      <c r="YR26">
        <f>SOFR3mo_PX[[#This Row],[Column668]]</f>
        <v>96.894999999999996</v>
      </c>
      <c r="YS26">
        <f>SOFR3mo_PX[[#This Row],[Column669]]</f>
        <v>96.734999999999999</v>
      </c>
      <c r="YT26">
        <f>SOFR3mo_PX[[#This Row],[Column670]]</f>
        <v>96.704999999999998</v>
      </c>
      <c r="YU26">
        <f>SOFR3mo_PX[[#This Row],[Column671]]</f>
        <v>96.75</v>
      </c>
      <c r="YV26">
        <f>SOFR3mo_PX[[#This Row],[Column672]]</f>
        <v>96.734999999999999</v>
      </c>
      <c r="YW26">
        <f>SOFR3mo_PX[[#This Row],[Column673]]</f>
        <v>96.72</v>
      </c>
      <c r="YX26">
        <f>SOFR3mo_PX[[#This Row],[Column674]]</f>
        <v>96.72</v>
      </c>
      <c r="YY26">
        <f>SOFR3mo_PX[[#This Row],[Column675]]</f>
        <v>96.65</v>
      </c>
      <c r="YZ26">
        <f>SOFR3mo_PX[[#This Row],[Column676]]</f>
        <v>96.55</v>
      </c>
      <c r="ZA26">
        <f>SOFR3mo_PX[[#This Row],[Column677]]</f>
        <v>96.534999999999997</v>
      </c>
      <c r="ZB26">
        <f>SOFR3mo_PX[[#This Row],[Column678]]</f>
        <v>96.605000000000004</v>
      </c>
      <c r="ZC26">
        <f>SOFR3mo_PX[[#This Row],[Column679]]</f>
        <v>96.66</v>
      </c>
      <c r="ZD26">
        <f>SOFR3mo_PX[[#This Row],[Column680]]</f>
        <v>96.534999999999997</v>
      </c>
      <c r="ZE26">
        <f>SOFR3mo_PX[[#This Row],[Column681]]</f>
        <v>96.46</v>
      </c>
      <c r="ZF26">
        <f>SOFR3mo_PX[[#This Row],[Column682]]</f>
        <v>96.51</v>
      </c>
      <c r="ZG26">
        <f>SOFR3mo_PX[[#This Row],[Column683]]</f>
        <v>96.49</v>
      </c>
      <c r="ZH26">
        <f>SOFR3mo_PX[[#This Row],[Column684]]</f>
        <v>96.19</v>
      </c>
      <c r="ZI26">
        <f>SOFR3mo_PX[[#This Row],[Column685]]</f>
        <v>96.22</v>
      </c>
      <c r="ZJ26">
        <f>SOFR3mo_PX[[#This Row],[Column686]]</f>
        <v>96.125</v>
      </c>
      <c r="ZK26">
        <f>SOFR3mo_PX[[#This Row],[Column687]]</f>
        <v>96.135000000000005</v>
      </c>
      <c r="ZL26">
        <f>SOFR3mo_PX[[#This Row],[Column688]]</f>
        <v>96.165000000000006</v>
      </c>
      <c r="ZM26">
        <f>SOFR3mo_PX[[#This Row],[Column689]]</f>
        <v>96.18</v>
      </c>
      <c r="ZN26">
        <f>SOFR3mo_PX[[#This Row],[Column690]]</f>
        <v>96.16</v>
      </c>
      <c r="ZO26">
        <f>SOFR3mo_PX[[#This Row],[Column691]]</f>
        <v>96.14</v>
      </c>
      <c r="ZP26">
        <f>SOFR3mo_PX[[#This Row],[Column692]]</f>
        <v>96.17</v>
      </c>
      <c r="ZQ26">
        <f>SOFR3mo_PX[[#This Row],[Column693]]</f>
        <v>96.26</v>
      </c>
      <c r="ZR26">
        <f>SOFR3mo_PX[[#This Row],[Column694]]</f>
        <v>96.2</v>
      </c>
      <c r="ZS26">
        <f>SOFR3mo_PX[[#This Row],[Column695]]</f>
        <v>96.11</v>
      </c>
      <c r="ZT26">
        <f>SOFR3mo_PX[[#This Row],[Column696]]</f>
        <v>95.97</v>
      </c>
      <c r="ZU26">
        <f>SOFR3mo_PX[[#This Row],[Column697]]</f>
        <v>96.015000000000001</v>
      </c>
      <c r="ZV26">
        <f>SOFR3mo_PX[[#This Row],[Column698]]</f>
        <v>96.04</v>
      </c>
      <c r="ZW26">
        <f>SOFR3mo_PX[[#This Row],[Column699]]</f>
        <v>96.165000000000006</v>
      </c>
      <c r="ZX26">
        <f>SOFR3mo_PX[[#This Row],[Column700]]</f>
        <v>96.29</v>
      </c>
      <c r="ZY26">
        <f>SOFR3mo_PX[[#This Row],[Column701]]</f>
        <v>96.27</v>
      </c>
      <c r="ZZ26">
        <f>SOFR3mo_PX[[#This Row],[Column702]]</f>
        <v>96.28</v>
      </c>
      <c r="AAA26">
        <f>SOFR3mo_PX[[#This Row],[Column703]]</f>
        <v>96.325000000000003</v>
      </c>
      <c r="AAB26">
        <f>SOFR3mo_PX[[#This Row],[Column704]]</f>
        <v>96.31</v>
      </c>
      <c r="AAC26">
        <f>SOFR3mo_PX[[#This Row],[Column705]]</f>
        <v>96.27</v>
      </c>
      <c r="AAD26">
        <f>SOFR3mo_PX[[#This Row],[Column706]]</f>
        <v>96.22</v>
      </c>
      <c r="AAE26">
        <f>SOFR3mo_PX[[#This Row],[Column707]]</f>
        <v>96.314999999999998</v>
      </c>
      <c r="AAF26">
        <f>SOFR3mo_PX[[#This Row],[Column708]]</f>
        <v>96.36</v>
      </c>
      <c r="AAG26">
        <f>SOFR3mo_PX[[#This Row],[Column709]]</f>
        <v>96.42</v>
      </c>
      <c r="AAH26">
        <f>SOFR3mo_PX[[#This Row],[Column710]]</f>
        <v>96.575000000000003</v>
      </c>
      <c r="AAI26">
        <f>SOFR3mo_PX[[#This Row],[Column711]]</f>
        <v>96.48</v>
      </c>
      <c r="AAJ26">
        <f>SOFR3mo_PX[[#This Row],[Column712]]</f>
        <v>96.314999999999998</v>
      </c>
      <c r="AAK26">
        <f>SOFR3mo_PX[[#This Row],[Column713]]</f>
        <v>96.38</v>
      </c>
      <c r="AAL26">
        <f>SOFR3mo_PX[[#This Row],[Column714]]</f>
        <v>96.424999999999997</v>
      </c>
      <c r="AAM26">
        <f>SOFR3mo_PX[[#This Row],[Column715]]</f>
        <v>96.265000000000001</v>
      </c>
      <c r="AAN26">
        <f>SOFR3mo_PX[[#This Row],[Column716]]</f>
        <v>96.375</v>
      </c>
      <c r="AAO26">
        <f>SOFR3mo_PX[[#This Row],[Column717]]</f>
        <v>96.575000000000003</v>
      </c>
      <c r="AAP26">
        <f>SOFR3mo_PX[[#This Row],[Column718]]</f>
        <v>96.495000000000005</v>
      </c>
      <c r="AAQ26">
        <f>SOFR3mo_PX[[#This Row],[Column719]]</f>
        <v>96.674999999999997</v>
      </c>
      <c r="AAR26">
        <f>SOFR3mo_PX[[#This Row],[Column720]]</f>
        <v>96.605000000000004</v>
      </c>
      <c r="AAS26">
        <f>SOFR3mo_PX[[#This Row],[Column721]]</f>
        <v>96.694999999999993</v>
      </c>
      <c r="AAT26">
        <f>SOFR3mo_PX[[#This Row],[Column722]]</f>
        <v>96.71</v>
      </c>
      <c r="AAU26">
        <f>SOFR3mo_PX[[#This Row],[Column723]]</f>
        <v>96.734999999999999</v>
      </c>
      <c r="AAV26">
        <f>SOFR3mo_PX[[#This Row],[Column724]]</f>
        <v>96.81</v>
      </c>
      <c r="AAW26">
        <f>SOFR3mo_PX[[#This Row],[Column725]]</f>
        <v>96.78</v>
      </c>
      <c r="AAX26">
        <f>SOFR3mo_PX[[#This Row],[Column726]]</f>
        <v>96.784999999999997</v>
      </c>
      <c r="AAY26">
        <f>SOFR3mo_PX[[#This Row],[Column727]]</f>
        <v>96.84</v>
      </c>
      <c r="AAZ26">
        <f>SOFR3mo_PX[[#This Row],[Column728]]</f>
        <v>96.844999999999999</v>
      </c>
      <c r="ABA26">
        <f>SOFR3mo_PX[[#This Row],[Column729]]</f>
        <v>96.87</v>
      </c>
      <c r="ABB26">
        <f>SOFR3mo_PX[[#This Row],[Column730]]</f>
        <v>96.775000000000006</v>
      </c>
      <c r="ABC26">
        <f>SOFR3mo_PX[[#This Row],[Column731]]</f>
        <v>96.944999999999993</v>
      </c>
      <c r="ABD26">
        <f>SOFR3mo_PX[[#This Row],[Column732]]</f>
        <v>96.944999999999993</v>
      </c>
      <c r="ABE26">
        <f>SOFR3mo_PX[[#This Row],[Column733]]</f>
        <v>96.894999999999996</v>
      </c>
      <c r="ABF26">
        <f>SOFR3mo_PX[[#This Row],[Column734]]</f>
        <v>97.07</v>
      </c>
      <c r="ABG26">
        <f>SOFR3mo_PX[[#This Row],[Column735]]</f>
        <v>97.125</v>
      </c>
      <c r="ABH26">
        <f>SOFR3mo_PX[[#This Row],[Column736]]</f>
        <v>97.084999999999994</v>
      </c>
      <c r="ABI26">
        <f>SOFR3mo_PX[[#This Row],[Column737]]</f>
        <v>97.194999999999993</v>
      </c>
      <c r="ABJ26">
        <f>SOFR3mo_PX[[#This Row],[Column738]]</f>
        <v>97.215000000000003</v>
      </c>
      <c r="ABK26">
        <f>SOFR3mo_PX[[#This Row],[Column739]]</f>
        <v>97.13</v>
      </c>
      <c r="ABL26">
        <f>SOFR3mo_PX[[#This Row],[Column740]]</f>
        <v>97.204999999999998</v>
      </c>
      <c r="ABM26">
        <f>SOFR3mo_PX[[#This Row],[Column741]]</f>
        <v>97.234999999999999</v>
      </c>
      <c r="ABN26">
        <f>SOFR3mo_PX[[#This Row],[Column742]]</f>
        <v>97.26</v>
      </c>
      <c r="ABO26">
        <f>SOFR3mo_PX[[#This Row],[Column743]]</f>
        <v>97.394999999999996</v>
      </c>
      <c r="ABP26">
        <f>SOFR3mo_PX[[#This Row],[Column744]]</f>
        <v>97.385000000000005</v>
      </c>
      <c r="ABQ26">
        <f>SOFR3mo_PX[[#This Row],[Column745]]</f>
        <v>97.454999999999998</v>
      </c>
      <c r="ABR26">
        <f>SOFR3mo_PX[[#This Row],[Column746]]</f>
        <v>97.44</v>
      </c>
      <c r="ABS26">
        <f>SOFR3mo_PX[[#This Row],[Column747]]</f>
        <v>97.355000000000004</v>
      </c>
      <c r="ABT26">
        <f>SOFR3mo_PX[[#This Row],[Column748]]</f>
        <v>97.3</v>
      </c>
      <c r="ABU26">
        <f>SOFR3mo_PX[[#This Row],[Column749]]</f>
        <v>97.454999999999998</v>
      </c>
      <c r="ABV26">
        <f>SOFR3mo_PX[[#This Row],[Column750]]</f>
        <v>97.474999999999994</v>
      </c>
      <c r="ABW26">
        <f>SOFR3mo_PX[[#This Row],[Column751]]</f>
        <v>97.47</v>
      </c>
      <c r="ABX26">
        <f>SOFR3mo_PX[[#This Row],[Column752]]</f>
        <v>97.38</v>
      </c>
      <c r="ABY26">
        <f>SOFR3mo_PX[[#This Row],[Column753]]</f>
        <v>97.525000000000006</v>
      </c>
      <c r="ABZ26">
        <f>SOFR3mo_PX[[#This Row],[Column754]]</f>
        <v>97.44</v>
      </c>
      <c r="ACA26">
        <f>SOFR3mo_PX[[#This Row],[Column755]]</f>
        <v>97.43</v>
      </c>
      <c r="ACB26">
        <f>SOFR3mo_PX[[#This Row],[Column756]]</f>
        <v>97.515000000000001</v>
      </c>
      <c r="ACC26">
        <f>SOFR3mo_PX[[#This Row],[Column757]]</f>
        <v>97.45</v>
      </c>
      <c r="ACD26">
        <f>SOFR3mo_PX[[#This Row],[Column758]]</f>
        <v>97.4</v>
      </c>
      <c r="ACE26">
        <f>SOFR3mo_PX[[#This Row],[Column759]]</f>
        <v>97.35</v>
      </c>
      <c r="ACF26">
        <f>SOFR3mo_PX[[#This Row],[Column760]]</f>
        <v>97.29</v>
      </c>
      <c r="ACG26">
        <f>SOFR3mo_PX[[#This Row],[Column761]]</f>
        <v>97.254999999999995</v>
      </c>
      <c r="ACH26">
        <f>SOFR3mo_PX[[#This Row],[Column762]]</f>
        <v>97.31</v>
      </c>
      <c r="ACI26">
        <f>SOFR3mo_PX[[#This Row],[Column763]]</f>
        <v>97.204999999999998</v>
      </c>
      <c r="ACJ26">
        <f>SOFR3mo_PX[[#This Row],[Column764]]</f>
        <v>97.09</v>
      </c>
      <c r="ACK26">
        <f>SOFR3mo_PX[[#This Row],[Column765]]</f>
        <v>97.13</v>
      </c>
      <c r="ACL26">
        <f>SOFR3mo_PX[[#This Row],[Column766]]</f>
        <v>97.165000000000006</v>
      </c>
      <c r="ACM26">
        <f>SOFR3mo_PX[[#This Row],[Column767]]</f>
        <v>97.19</v>
      </c>
      <c r="ACN26">
        <f>SOFR3mo_PX[[#This Row],[Column768]]</f>
        <v>97.12</v>
      </c>
      <c r="ACO26">
        <f>SOFR3mo_PX[[#This Row],[Column769]]</f>
        <v>97.165000000000006</v>
      </c>
      <c r="ACP26">
        <f>SOFR3mo_PX[[#This Row],[Column770]]</f>
        <v>97.055000000000007</v>
      </c>
      <c r="ACQ26">
        <f>SOFR3mo_PX[[#This Row],[Column771]]</f>
        <v>97.004999999999995</v>
      </c>
      <c r="ACR26">
        <f>SOFR3mo_PX[[#This Row],[Column772]]</f>
        <v>96.86</v>
      </c>
      <c r="ACS26">
        <f>SOFR3mo_PX[[#This Row],[Column773]]</f>
        <v>96.944999999999993</v>
      </c>
      <c r="ACT26">
        <f>SOFR3mo_PX[[#This Row],[Column774]]</f>
        <v>97.06</v>
      </c>
      <c r="ACU26">
        <f>SOFR3mo_PX[[#This Row],[Column775]]</f>
        <v>97.144999999999996</v>
      </c>
      <c r="ACV26">
        <f>SOFR3mo_PX[[#This Row],[Column776]]</f>
        <v>97.064999999999998</v>
      </c>
      <c r="ACW26">
        <f>SOFR3mo_PX[[#This Row],[Column777]]</f>
        <v>97.064999999999998</v>
      </c>
      <c r="ACX26">
        <f>SOFR3mo_PX[[#This Row],[Column778]]</f>
        <v>97.03</v>
      </c>
      <c r="ACY26">
        <f>SOFR3mo_PX[[#This Row],[Column779]]</f>
        <v>96.9</v>
      </c>
      <c r="ACZ26">
        <f>SOFR3mo_PX[[#This Row],[Column780]]</f>
        <v>96.81</v>
      </c>
      <c r="ADA26">
        <f>SOFR3mo_PX[[#This Row],[Column781]]</f>
        <v>96.83</v>
      </c>
      <c r="ADB26">
        <f>SOFR3mo_PX[[#This Row],[Column782]]</f>
        <v>96.885000000000005</v>
      </c>
      <c r="ADC26">
        <f>SOFR3mo_PX[[#This Row],[Column783]]</f>
        <v>96.98</v>
      </c>
      <c r="ADD26">
        <f>SOFR3mo_PX[[#This Row],[Column784]]</f>
        <v>96.88</v>
      </c>
      <c r="ADE26">
        <f>SOFR3mo_PX[[#This Row],[Column785]]</f>
        <v>96.754999999999995</v>
      </c>
      <c r="ADF26">
        <f>SOFR3mo_PX[[#This Row],[Column786]]</f>
        <v>96.85</v>
      </c>
      <c r="ADG26">
        <f>SOFR3mo_PX[[#This Row],[Column787]]</f>
        <v>96.85</v>
      </c>
      <c r="ADH26">
        <f>SOFR3mo_PX[[#This Row],[Column788]]</f>
        <v>96.77</v>
      </c>
      <c r="ADI26">
        <f>SOFR3mo_PX[[#This Row],[Column789]]</f>
        <v>96.66</v>
      </c>
      <c r="ADJ26">
        <f>SOFR3mo_PX[[#This Row],[Column790]]</f>
        <v>96.63</v>
      </c>
      <c r="ADK26">
        <f>SOFR3mo_PX[[#This Row],[Column791]]</f>
        <v>96.73</v>
      </c>
      <c r="ADL26">
        <f>SOFR3mo_PX[[#This Row],[Column792]]</f>
        <v>96.944999999999993</v>
      </c>
      <c r="ADM26">
        <f>SOFR3mo_PX[[#This Row],[Column793]]</f>
        <v>97.015000000000001</v>
      </c>
      <c r="ADN26">
        <f>SOFR3mo_PX[[#This Row],[Column794]]</f>
        <v>97.015000000000001</v>
      </c>
      <c r="ADO26">
        <f>SOFR3mo_PX[[#This Row],[Column795]]</f>
        <v>97.064999999999998</v>
      </c>
      <c r="ADP26">
        <f>SOFR3mo_PX[[#This Row],[Column796]]</f>
        <v>96.97</v>
      </c>
      <c r="ADQ26">
        <f>SOFR3mo_PX[[#This Row],[Column797]]</f>
        <v>97.075000000000003</v>
      </c>
      <c r="ADR26">
        <f>SOFR3mo_PX[[#This Row],[Column798]]</f>
        <v>97.125</v>
      </c>
      <c r="ADS26">
        <f>SOFR3mo_PX[[#This Row],[Column799]]</f>
        <v>97.084999999999994</v>
      </c>
      <c r="ADT26">
        <f>SOFR3mo_PX[[#This Row],[Column800]]</f>
        <v>97.135000000000005</v>
      </c>
      <c r="ADU26">
        <f>SOFR3mo_PX[[#This Row],[Column801]]</f>
        <v>97.224999999999994</v>
      </c>
      <c r="ADV26">
        <f>SOFR3mo_PX[[#This Row],[Column802]]</f>
        <v>97.224999999999994</v>
      </c>
      <c r="ADW26">
        <f>SOFR3mo_PX[[#This Row],[Column803]]</f>
        <v>97.21</v>
      </c>
      <c r="ADX26">
        <f>SOFR3mo_PX[[#This Row],[Column804]]</f>
        <v>97.234999999999999</v>
      </c>
      <c r="ADY26">
        <f>SOFR3mo_PX[[#This Row],[Column805]]</f>
        <v>97.24</v>
      </c>
      <c r="ADZ26">
        <f>SOFR3mo_PX[[#This Row],[Column806]]</f>
        <v>97.185000000000002</v>
      </c>
      <c r="AEA26">
        <f>SOFR3mo_PX[[#This Row],[Column807]]</f>
        <v>97.245000000000005</v>
      </c>
      <c r="AEB26">
        <f>SOFR3mo_PX[[#This Row],[Column808]]</f>
        <v>97.17</v>
      </c>
      <c r="AEC26">
        <f>SOFR3mo_PX[[#This Row],[Column809]]</f>
        <v>97.135000000000005</v>
      </c>
      <c r="AED26">
        <f>SOFR3mo_PX[[#This Row],[Column810]]</f>
        <v>97.015000000000001</v>
      </c>
      <c r="AEE26">
        <f>SOFR3mo_PX[[#This Row],[Column811]]</f>
        <v>97.09</v>
      </c>
      <c r="AEF26">
        <f>SOFR3mo_PX[[#This Row],[Column812]]</f>
        <v>97.025000000000006</v>
      </c>
      <c r="AEG26">
        <f>SOFR3mo_PX[[#This Row],[Column813]]</f>
        <v>97.144999999999996</v>
      </c>
      <c r="AEH26">
        <f>SOFR3mo_PX[[#This Row],[Column814]]</f>
        <v>97.064999999999998</v>
      </c>
      <c r="AEI26">
        <f>SOFR3mo_PX[[#This Row],[Column815]]</f>
        <v>96.95</v>
      </c>
      <c r="AEJ26">
        <f>SOFR3mo_PX[[#This Row],[Column816]]</f>
        <v>96.84</v>
      </c>
      <c r="AEK26">
        <f>SOFR3mo_PX[[#This Row],[Column817]]</f>
        <v>96.8</v>
      </c>
      <c r="AEL26">
        <f>SOFR3mo_PX[[#This Row],[Column818]]</f>
        <v>96.89</v>
      </c>
      <c r="AEM26">
        <f>SOFR3mo_PX[[#This Row],[Column819]]</f>
        <v>97.045000000000002</v>
      </c>
      <c r="AEN26">
        <f>SOFR3mo_PX[[#This Row],[Column820]]</f>
        <v>97.045000000000002</v>
      </c>
      <c r="AEO26">
        <f>SOFR3mo_PX[[#This Row],[Column821]]</f>
        <v>96.984999999999999</v>
      </c>
      <c r="AEP26">
        <f>SOFR3mo_PX[[#This Row],[Column822]]</f>
        <v>97.13</v>
      </c>
      <c r="AEQ26">
        <f>SOFR3mo_PX[[#This Row],[Column823]]</f>
        <v>97.135000000000005</v>
      </c>
      <c r="AER26">
        <f>SOFR3mo_PX[[#This Row],[Column824]]</f>
        <v>97.2</v>
      </c>
      <c r="AES26">
        <f>SOFR3mo_PX[[#This Row],[Column825]]</f>
        <v>97.26</v>
      </c>
      <c r="AET26">
        <f>SOFR3mo_PX[[#This Row],[Column826]]</f>
        <v>97.245000000000005</v>
      </c>
      <c r="AEU26">
        <f>SOFR3mo_PX[[#This Row],[Column827]]</f>
        <v>97.16</v>
      </c>
      <c r="AEV26">
        <f>SOFR3mo_PX[[#This Row],[Column828]]</f>
        <v>97.114999999999995</v>
      </c>
      <c r="AEW26">
        <f>SOFR3mo_PX[[#This Row],[Column829]]</f>
        <v>97.18</v>
      </c>
      <c r="AEX26">
        <f>SOFR3mo_PX[[#This Row],[Column830]]</f>
        <v>97.075000000000003</v>
      </c>
      <c r="AEY26">
        <f>SOFR3mo_PX[[#This Row],[Column831]]</f>
        <v>97.12</v>
      </c>
      <c r="AEZ26">
        <f>SOFR3mo_PX[[#This Row],[Column832]]</f>
        <v>97.2</v>
      </c>
      <c r="AFA26">
        <f>SOFR3mo_PX[[#This Row],[Column833]]</f>
        <v>97.2</v>
      </c>
      <c r="AFB26">
        <f>SOFR3mo_PX[[#This Row],[Column834]]</f>
        <v>97.33</v>
      </c>
      <c r="AFC26">
        <f>SOFR3mo_PX[[#This Row],[Column835]]</f>
        <v>97.29</v>
      </c>
      <c r="AFD26">
        <f>SOFR3mo_PX[[#This Row],[Column836]]</f>
        <v>97.254999999999995</v>
      </c>
      <c r="AFE26">
        <f>SOFR3mo_PX[[#This Row],[Column837]]</f>
        <v>97.38</v>
      </c>
      <c r="AFF26">
        <f>SOFR3mo_PX[[#This Row],[Column838]]</f>
        <v>97.47</v>
      </c>
      <c r="AFG26">
        <f>SOFR3mo_PX[[#This Row],[Column839]]</f>
        <v>97.584999999999994</v>
      </c>
      <c r="AFH26">
        <f>SOFR3mo_PX[[#This Row],[Column840]]</f>
        <v>97.685000000000002</v>
      </c>
      <c r="AFI26">
        <f>SOFR3mo_PX[[#This Row],[Column841]]</f>
        <v>97.86</v>
      </c>
      <c r="AFJ26">
        <f>SOFR3mo_PX[[#This Row],[Column842]]</f>
        <v>97.88</v>
      </c>
      <c r="AFK26">
        <f>SOFR3mo_PX[[#This Row],[Column843]]</f>
        <v>97.894999999999996</v>
      </c>
      <c r="AFL26">
        <f>SOFR3mo_PX[[#This Row],[Column844]]</f>
        <v>97.844999999999999</v>
      </c>
      <c r="AFM26">
        <f>SOFR3mo_PX[[#This Row],[Column845]]</f>
        <v>97.784999999999997</v>
      </c>
      <c r="AFN26">
        <f>SOFR3mo_PX[[#This Row],[Column846]]</f>
        <v>97.694999999999993</v>
      </c>
      <c r="AFO26">
        <f>SOFR3mo_PX[[#This Row],[Column847]]</f>
        <v>97.65</v>
      </c>
      <c r="AFP26">
        <f>SOFR3mo_PX[[#This Row],[Column848]]</f>
        <v>97.805000000000007</v>
      </c>
      <c r="AFQ26">
        <f>SOFR3mo_PX[[#This Row],[Column849]]</f>
        <v>97.825000000000003</v>
      </c>
      <c r="AFR26">
        <f>SOFR3mo_PX[[#This Row],[Column850]]</f>
        <v>97.77</v>
      </c>
      <c r="AFS26">
        <f>SOFR3mo_PX[[#This Row],[Column851]]</f>
        <v>97.834999999999994</v>
      </c>
      <c r="AFT26">
        <f>SOFR3mo_PX[[#This Row],[Column852]]</f>
        <v>97.98</v>
      </c>
      <c r="AFU26">
        <f>SOFR3mo_PX[[#This Row],[Column853]]</f>
        <v>97.905000000000001</v>
      </c>
      <c r="AFV26">
        <f>SOFR3mo_PX[[#This Row],[Column854]]</f>
        <v>97.88</v>
      </c>
      <c r="AFW26">
        <f>SOFR3mo_PX[[#This Row],[Column855]]</f>
        <v>97.9</v>
      </c>
      <c r="AFX26">
        <f>SOFR3mo_PX[[#This Row],[Column856]]</f>
        <v>97.924999999999997</v>
      </c>
      <c r="AFY26">
        <f>SOFR3mo_PX[[#This Row],[Column857]]</f>
        <v>98.084999999999994</v>
      </c>
      <c r="AFZ26">
        <f>SOFR3mo_PX[[#This Row],[Column858]]</f>
        <v>98.094999999999999</v>
      </c>
      <c r="AGA26">
        <f>SOFR3mo_PX[[#This Row],[Column859]]</f>
        <v>98.165000000000006</v>
      </c>
      <c r="AGB26">
        <f>SOFR3mo_PX[[#This Row],[Column860]]</f>
        <v>98.26</v>
      </c>
      <c r="AGC26">
        <f>SOFR3mo_PX[[#This Row],[Column861]]</f>
        <v>98.375</v>
      </c>
      <c r="AGD26">
        <f>SOFR3mo_PX[[#This Row],[Column862]]</f>
        <v>98.364999999999995</v>
      </c>
      <c r="AGE26">
        <f>SOFR3mo_PX[[#This Row],[Column863]]</f>
        <v>98.224999999999994</v>
      </c>
      <c r="AGF26">
        <f>SOFR3mo_PX[[#This Row],[Column864]]</f>
        <v>98.174999999999997</v>
      </c>
      <c r="AGG26">
        <f>SOFR3mo_PX[[#This Row],[Column865]]</f>
        <v>98.325000000000003</v>
      </c>
      <c r="AGH26">
        <f>SOFR3mo_PX[[#This Row],[Column866]]</f>
        <v>98.204999999999998</v>
      </c>
      <c r="AGI26">
        <f>SOFR3mo_PX[[#This Row],[Column867]]</f>
        <v>98.064999999999998</v>
      </c>
      <c r="AGJ26">
        <f>SOFR3mo_PX[[#This Row],[Column868]]</f>
        <v>98.07</v>
      </c>
      <c r="AGK26">
        <f>SOFR3mo_PX[[#This Row],[Column869]]</f>
        <v>98.09</v>
      </c>
      <c r="AGL26">
        <f>SOFR3mo_PX[[#This Row],[Column870]]</f>
        <v>98.13</v>
      </c>
      <c r="AGM26">
        <f>SOFR3mo_PX[[#This Row],[Column871]]</f>
        <v>98.12</v>
      </c>
      <c r="AGN26">
        <f>SOFR3mo_PX[[#This Row],[Column872]]</f>
        <v>98.12</v>
      </c>
      <c r="AGO26">
        <f>SOFR3mo_PX[[#This Row],[Column873]]</f>
        <v>98.07</v>
      </c>
      <c r="AGP26">
        <f>SOFR3mo_PX[[#This Row],[Column874]]</f>
        <v>97.98</v>
      </c>
      <c r="AGQ26">
        <f>SOFR3mo_PX[[#This Row],[Column875]]</f>
        <v>97.99</v>
      </c>
      <c r="AGR26">
        <f>SOFR3mo_PX[[#This Row],[Column876]]</f>
        <v>98.075000000000003</v>
      </c>
      <c r="AGS26">
        <f>SOFR3mo_PX[[#This Row],[Column877]]</f>
        <v>98.125</v>
      </c>
      <c r="AGT26">
        <f>SOFR3mo_PX[[#This Row],[Column878]]</f>
        <v>98.015000000000001</v>
      </c>
      <c r="AGU26">
        <f>SOFR3mo_PX[[#This Row],[Column879]]</f>
        <v>98.08</v>
      </c>
      <c r="AGV26">
        <f>SOFR3mo_PX[[#This Row],[Column880]]</f>
        <v>98.03</v>
      </c>
      <c r="AGW26">
        <f>SOFR3mo_PX[[#This Row],[Column881]]</f>
        <v>98.07</v>
      </c>
      <c r="AGX26">
        <f>SOFR3mo_PX[[#This Row],[Column882]]</f>
        <v>98.055000000000007</v>
      </c>
      <c r="AGY26">
        <f>SOFR3mo_PX[[#This Row],[Column883]]</f>
        <v>98.155000000000001</v>
      </c>
      <c r="AGZ26">
        <f>SOFR3mo_PX[[#This Row],[Column884]]</f>
        <v>98.224999999999994</v>
      </c>
      <c r="AHA26">
        <f>SOFR3mo_PX[[#This Row],[Column885]]</f>
        <v>98.19</v>
      </c>
      <c r="AHB26">
        <f>SOFR3mo_PX[[#This Row],[Column886]]</f>
        <v>98.2</v>
      </c>
      <c r="AHC26">
        <f>SOFR3mo_PX[[#This Row],[Column887]]</f>
        <v>98.21</v>
      </c>
      <c r="AHD26">
        <f>SOFR3mo_PX[[#This Row],[Column888]]</f>
        <v>98.165000000000006</v>
      </c>
      <c r="AHE26">
        <f>SOFR3mo_PX[[#This Row],[Column889]]</f>
        <v>98.06</v>
      </c>
      <c r="AHF26">
        <f>SOFR3mo_PX[[#This Row],[Column890]]</f>
        <v>98.13</v>
      </c>
      <c r="AHG26">
        <f>SOFR3mo_PX[[#This Row],[Column891]]</f>
        <v>98.194999999999993</v>
      </c>
      <c r="AHH26">
        <f>SOFR3mo_PX[[#This Row],[Column892]]</f>
        <v>98.174999999999997</v>
      </c>
      <c r="AHI26">
        <f>SOFR3mo_PX[[#This Row],[Column893]]</f>
        <v>98.105000000000004</v>
      </c>
      <c r="AHJ26">
        <f>SOFR3mo_PX[[#This Row],[Column894]]</f>
        <v>98.09</v>
      </c>
      <c r="AHK26">
        <f>SOFR3mo_PX[[#This Row],[Column895]]</f>
        <v>98.034999999999997</v>
      </c>
      <c r="AHL26">
        <f>SOFR3mo_PX[[#This Row],[Column896]]</f>
        <v>98.14</v>
      </c>
      <c r="AHM26">
        <f>SOFR3mo_PX[[#This Row],[Column897]]</f>
        <v>98.14</v>
      </c>
      <c r="AHN26">
        <f>SOFR3mo_PX[[#This Row],[Column898]]</f>
        <v>98.224999999999994</v>
      </c>
      <c r="AHO26">
        <f>SOFR3mo_PX[[#This Row],[Column899]]</f>
        <v>98.19</v>
      </c>
      <c r="AHP26">
        <f>SOFR3mo_PX[[#This Row],[Column900]]</f>
        <v>98.144999999999996</v>
      </c>
      <c r="AHQ26">
        <f>SOFR3mo_PX[[#This Row],[Column901]]</f>
        <v>98.094999999999999</v>
      </c>
      <c r="AHR26">
        <f>SOFR3mo_PX[[#This Row],[Column902]]</f>
        <v>98.1</v>
      </c>
      <c r="AHS26">
        <f>SOFR3mo_PX[[#This Row],[Column903]]</f>
        <v>98.13</v>
      </c>
      <c r="AHT26">
        <f>SOFR3mo_PX[[#This Row],[Column904]]</f>
        <v>98.16</v>
      </c>
      <c r="AHU26">
        <f>SOFR3mo_PX[[#This Row],[Column905]]</f>
        <v>98.19</v>
      </c>
      <c r="AHV26">
        <f>SOFR3mo_PX[[#This Row],[Column906]]</f>
        <v>98.234999999999999</v>
      </c>
      <c r="AHW26">
        <f>SOFR3mo_PX[[#This Row],[Column907]]</f>
        <v>98.405000000000001</v>
      </c>
      <c r="AHX26">
        <f>SOFR3mo_PX[[#This Row],[Column908]]</f>
        <v>98.39</v>
      </c>
      <c r="AHY26">
        <f>SOFR3mo_PX[[#This Row],[Column909]]</f>
        <v>98.38</v>
      </c>
      <c r="AHZ26">
        <f>SOFR3mo_PX[[#This Row],[Column910]]</f>
        <v>98.474999999999994</v>
      </c>
      <c r="AIA26">
        <f>SOFR3mo_PX[[#This Row],[Column911]]</f>
        <v>98.45</v>
      </c>
      <c r="AIB26">
        <f>SOFR3mo_PX[[#This Row],[Column912]]</f>
        <v>98.42</v>
      </c>
      <c r="AIC26">
        <f>SOFR3mo_PX[[#This Row],[Column913]]</f>
        <v>98.42</v>
      </c>
      <c r="AID26">
        <f>SOFR3mo_PX[[#This Row],[Column914]]</f>
        <v>98.444999999999993</v>
      </c>
      <c r="AIE26">
        <f>SOFR3mo_PX[[#This Row],[Column915]]</f>
        <v>98.415000000000006</v>
      </c>
      <c r="AIF26">
        <f>SOFR3mo_PX[[#This Row],[Column916]]</f>
        <v>98.504999999999995</v>
      </c>
      <c r="AIG26">
        <f>SOFR3mo_PX[[#This Row],[Column917]]</f>
        <v>98.56</v>
      </c>
      <c r="AIH26">
        <f>SOFR3mo_PX[[#This Row],[Column918]]</f>
        <v>98.525000000000006</v>
      </c>
      <c r="AII26">
        <f>SOFR3mo_PX[[#This Row],[Column919]]</f>
        <v>98.48</v>
      </c>
      <c r="AIJ26">
        <f>SOFR3mo_PX[[#This Row],[Column920]]</f>
        <v>98.484999999999999</v>
      </c>
      <c r="AIK26">
        <f>SOFR3mo_PX[[#This Row],[Column921]]</f>
        <v>98.495000000000005</v>
      </c>
      <c r="AIL26">
        <f>SOFR3mo_PX[[#This Row],[Column922]]</f>
        <v>98.435000000000002</v>
      </c>
      <c r="AIM26">
        <f>SOFR3mo_PX[[#This Row],[Column923]]</f>
        <v>98.46</v>
      </c>
      <c r="AIN26">
        <f>SOFR3mo_PX[[#This Row],[Column924]]</f>
        <v>98.42</v>
      </c>
      <c r="AIO26">
        <f>SOFR3mo_PX[[#This Row],[Column925]]</f>
        <v>98.44</v>
      </c>
      <c r="AIP26">
        <f>SOFR3mo_PX[[#This Row],[Column926]]</f>
        <v>98.484999999999999</v>
      </c>
      <c r="AIQ26">
        <f>SOFR3mo_PX[[#This Row],[Column927]]</f>
        <v>98.635000000000005</v>
      </c>
      <c r="AIR26">
        <f>SOFR3mo_PX[[#This Row],[Column928]]</f>
        <v>98.5</v>
      </c>
      <c r="AIS26">
        <f>SOFR3mo_PX[[#This Row],[Column929]]</f>
        <v>98.5</v>
      </c>
      <c r="AIT26">
        <f>SOFR3mo_PX[[#This Row],[Column930]]</f>
        <v>98.43</v>
      </c>
      <c r="AIU26">
        <f>SOFR3mo_PX[[#This Row],[Column931]]</f>
        <v>98.314999999999998</v>
      </c>
      <c r="AIV26">
        <f>SOFR3mo_PX[[#This Row],[Column932]]</f>
        <v>98.385000000000005</v>
      </c>
      <c r="AIW26">
        <f>SOFR3mo_PX[[#This Row],[Column933]]</f>
        <v>98.21</v>
      </c>
      <c r="AIX26">
        <f>SOFR3mo_PX[[#This Row],[Column934]]</f>
        <v>98.21</v>
      </c>
      <c r="AIY26">
        <f>SOFR3mo_PX[[#This Row],[Column935]]</f>
        <v>98.17</v>
      </c>
      <c r="AIZ26">
        <f>SOFR3mo_PX[[#This Row],[Column936]]</f>
        <v>98.234999999999999</v>
      </c>
      <c r="AJA26">
        <f>SOFR3mo_PX[[#This Row],[Column937]]</f>
        <v>98.34</v>
      </c>
      <c r="AJB26">
        <f>SOFR3mo_PX[[#This Row],[Column938]]</f>
        <v>98.265000000000001</v>
      </c>
      <c r="AJC26">
        <f>SOFR3mo_PX[[#This Row],[Column939]]</f>
        <v>98.234999999999999</v>
      </c>
      <c r="AJD26">
        <f>SOFR3mo_PX[[#This Row],[Column940]]</f>
        <v>98.21</v>
      </c>
      <c r="AJE26">
        <f>SOFR3mo_PX[[#This Row],[Column941]]</f>
        <v>98.245000000000005</v>
      </c>
      <c r="AJF26">
        <f>SOFR3mo_PX[[#This Row],[Column942]]</f>
        <v>98.284999999999997</v>
      </c>
      <c r="AJG26">
        <f>SOFR3mo_PX[[#This Row],[Column943]]</f>
        <v>98.295000000000002</v>
      </c>
      <c r="AJH26">
        <f>SOFR3mo_PX[[#This Row],[Column944]]</f>
        <v>98.325000000000003</v>
      </c>
      <c r="AJI26">
        <f>SOFR3mo_PX[[#This Row],[Column945]]</f>
        <v>98.435000000000002</v>
      </c>
      <c r="AJJ26">
        <f>SOFR3mo_PX[[#This Row],[Column946]]</f>
        <v>98.34</v>
      </c>
      <c r="AJK26">
        <f>SOFR3mo_PX[[#This Row],[Column947]]</f>
        <v>98.375</v>
      </c>
      <c r="AJL26">
        <f>SOFR3mo_PX[[#This Row],[Column948]]</f>
        <v>98.28</v>
      </c>
      <c r="AJM26">
        <f>SOFR3mo_PX[[#This Row],[Column949]]</f>
        <v>98.25</v>
      </c>
      <c r="AJN26">
        <f>SOFR3mo_PX[[#This Row],[Column950]]</f>
        <v>98.27</v>
      </c>
      <c r="AJO26">
        <f>SOFR3mo_PX[[#This Row],[Column951]]</f>
        <v>98.3</v>
      </c>
      <c r="AJP26">
        <f>SOFR3mo_PX[[#This Row],[Column952]]</f>
        <v>98.34</v>
      </c>
      <c r="AJQ26">
        <f>SOFR3mo_PX[[#This Row],[Column953]]</f>
        <v>98.305000000000007</v>
      </c>
      <c r="AJR26">
        <f>SOFR3mo_PX[[#This Row],[Column954]]</f>
        <v>98.31</v>
      </c>
      <c r="AJS26">
        <f>SOFR3mo_PX[[#This Row],[Column955]]</f>
        <v>98.155000000000001</v>
      </c>
      <c r="AJT26">
        <f>SOFR3mo_PX[[#This Row],[Column956]]</f>
        <v>98.144999999999996</v>
      </c>
      <c r="AJU26">
        <f>SOFR3mo_PX[[#This Row],[Column957]]</f>
        <v>98.14</v>
      </c>
      <c r="AJV26">
        <f>SOFR3mo_PX[[#This Row],[Column958]]</f>
        <v>98.09</v>
      </c>
      <c r="AJW26">
        <f>SOFR3mo_PX[[#This Row],[Column959]]</f>
        <v>98.125</v>
      </c>
      <c r="AJX26">
        <f>SOFR3mo_PX[[#This Row],[Column960]]</f>
        <v>98.144999999999996</v>
      </c>
      <c r="AJY26">
        <f>SOFR3mo_PX[[#This Row],[Column961]]</f>
        <v>98.224999999999994</v>
      </c>
      <c r="AJZ26">
        <f>SOFR3mo_PX[[#This Row],[Column962]]</f>
        <v>98.204999999999998</v>
      </c>
      <c r="AKA26">
        <f>SOFR3mo_PX[[#This Row],[Column963]]</f>
        <v>98.26</v>
      </c>
      <c r="AKB26">
        <f>SOFR3mo_PX[[#This Row],[Column964]]</f>
        <v>98.22</v>
      </c>
      <c r="AKC26">
        <f>SOFR3mo_PX[[#This Row],[Column965]]</f>
        <v>98.135000000000005</v>
      </c>
      <c r="AKD26">
        <f>SOFR3mo_PX[[#This Row],[Column966]]</f>
        <v>98.055000000000007</v>
      </c>
      <c r="AKE26">
        <f>SOFR3mo_PX[[#This Row],[Column967]]</f>
        <v>98.06</v>
      </c>
      <c r="AKF26">
        <f>SOFR3mo_PX[[#This Row],[Column968]]</f>
        <v>98.105000000000004</v>
      </c>
      <c r="AKG26">
        <f>SOFR3mo_PX[[#This Row],[Column969]]</f>
        <v>98.16</v>
      </c>
      <c r="AKH26">
        <f>SOFR3mo_PX[[#This Row],[Column970]]</f>
        <v>98.14</v>
      </c>
      <c r="AKI26">
        <f>SOFR3mo_PX[[#This Row],[Column971]]</f>
        <v>98.194999999999993</v>
      </c>
      <c r="AKJ26">
        <f>SOFR3mo_PX[[#This Row],[Column972]]</f>
        <v>98.174999999999997</v>
      </c>
      <c r="AKK26">
        <f>SOFR3mo_PX[[#This Row],[Column973]]</f>
        <v>98.11</v>
      </c>
      <c r="AKL26">
        <f>SOFR3mo_PX[[#This Row],[Column974]]</f>
        <v>98.094999999999999</v>
      </c>
      <c r="AKM26">
        <f>SOFR3mo_PX[[#This Row],[Column975]]</f>
        <v>98.105000000000004</v>
      </c>
      <c r="AKN26">
        <f>SOFR3mo_PX[[#This Row],[Column976]]</f>
        <v>98.19</v>
      </c>
      <c r="AKO26">
        <f>SOFR3mo_PX[[#This Row],[Column977]]</f>
        <v>98.234999999999999</v>
      </c>
      <c r="AKP26">
        <f>SOFR3mo_PX[[#This Row],[Column978]]</f>
        <v>98.31</v>
      </c>
      <c r="AKQ26">
        <f>SOFR3mo_PX[[#This Row],[Column979]]</f>
        <v>98.4</v>
      </c>
      <c r="AKR26">
        <f>SOFR3mo_PX[[#This Row],[Column980]]</f>
        <v>98.375</v>
      </c>
      <c r="AKS26">
        <f>SOFR3mo_PX[[#This Row],[Column981]]</f>
        <v>98.38</v>
      </c>
      <c r="AKT26">
        <f>SOFR3mo_PX[[#This Row],[Column982]]</f>
        <v>98.305000000000007</v>
      </c>
      <c r="AKU26">
        <f>SOFR3mo_PX[[#This Row],[Column983]]</f>
        <v>98.37</v>
      </c>
      <c r="AKV26">
        <f>SOFR3mo_PX[[#This Row],[Column984]]</f>
        <v>98.415000000000006</v>
      </c>
      <c r="AKW26">
        <f>SOFR3mo_PX[[#This Row],[Column985]]</f>
        <v>98.49</v>
      </c>
      <c r="AKX26">
        <f>SOFR3mo_PX[[#This Row],[Column986]]</f>
        <v>98.42</v>
      </c>
      <c r="AKY26">
        <f>SOFR3mo_PX[[#This Row],[Column987]]</f>
        <v>98.4</v>
      </c>
      <c r="AKZ26">
        <f>SOFR3mo_PX[[#This Row],[Column988]]</f>
        <v>98.465000000000003</v>
      </c>
      <c r="ALA26">
        <f>SOFR3mo_PX[[#This Row],[Column989]]</f>
        <v>98.43</v>
      </c>
      <c r="ALB26">
        <f>SOFR3mo_PX[[#This Row],[Column990]]</f>
        <v>98.38</v>
      </c>
      <c r="ALC26">
        <f>SOFR3mo_PX[[#This Row],[Column991]]</f>
        <v>98.43</v>
      </c>
      <c r="ALD26">
        <f>SOFR3mo_PX[[#This Row],[Column992]]</f>
        <v>98.43</v>
      </c>
      <c r="ALE26">
        <f>SOFR3mo_PX[[#This Row],[Column993]]</f>
        <v>98.48</v>
      </c>
      <c r="ALF26">
        <f>SOFR3mo_PX[[#This Row],[Column994]]</f>
        <v>98.47</v>
      </c>
      <c r="ALG26">
        <f>SOFR3mo_PX[[#This Row],[Column995]]</f>
        <v>98.465000000000003</v>
      </c>
      <c r="ALH26">
        <f>SOFR3mo_PX[[#This Row],[Column996]]</f>
        <v>98.49</v>
      </c>
      <c r="ALI26">
        <f>SOFR3mo_PX[[#This Row],[Column997]]</f>
        <v>98.465000000000003</v>
      </c>
      <c r="ALJ26">
        <f>SOFR3mo_PX[[#This Row],[Column998]]</f>
        <v>98.435000000000002</v>
      </c>
      <c r="ALK26">
        <f>SOFR3mo_PX[[#This Row],[Column999]]</f>
        <v>98.444999999999993</v>
      </c>
      <c r="ALL26">
        <f>SOFR3mo_PX[[#This Row],[Column1000]]</f>
        <v>98.515000000000001</v>
      </c>
      <c r="ALM26">
        <f>SOFR3mo_PX[[#This Row],[Column1001]]</f>
        <v>98.56</v>
      </c>
      <c r="ALN26">
        <f>SOFR3mo_PX[[#This Row],[Column1002]]</f>
        <v>98.55</v>
      </c>
      <c r="ALO26">
        <f>SOFR3mo_PX[[#This Row],[Column1003]]</f>
        <v>98.58</v>
      </c>
      <c r="ALP26">
        <f>SOFR3mo_PX[[#This Row],[Column1004]]</f>
        <v>98.534999999999997</v>
      </c>
      <c r="ALQ26">
        <f>SOFR3mo_PX[[#This Row],[Column1005]]</f>
        <v>98.564999999999998</v>
      </c>
      <c r="ALR26">
        <f>SOFR3mo_PX[[#This Row],[Column1006]]</f>
        <v>98.57</v>
      </c>
      <c r="ALS26">
        <f>SOFR3mo_PX[[#This Row],[Column1007]]</f>
        <v>98.52</v>
      </c>
      <c r="ALT26">
        <f>SOFR3mo_PX[[#This Row],[Column1008]]</f>
        <v>98.43</v>
      </c>
      <c r="ALU26">
        <f>SOFR3mo_PX[[#This Row],[Column1009]]</f>
        <v>98.444999999999993</v>
      </c>
      <c r="ALV26">
        <f>SOFR3mo_PX[[#This Row],[Column1010]]</f>
        <v>98.46</v>
      </c>
      <c r="ALW26">
        <f>SOFR3mo_PX[[#This Row],[Column1011]]</f>
        <v>98.484999999999999</v>
      </c>
      <c r="ALX26">
        <f>SOFR3mo_PX[[#This Row],[Column1012]]</f>
        <v>98.525000000000006</v>
      </c>
      <c r="ALY26">
        <f>SOFR3mo_PX[[#This Row],[Column1013]]</f>
        <v>98.61</v>
      </c>
      <c r="ALZ26">
        <f>SOFR3mo_PX[[#This Row],[Column1014]]</f>
        <v>98.644999999999996</v>
      </c>
      <c r="AMA26">
        <f>SOFR3mo_PX[[#This Row],[Column1015]]</f>
        <v>98.65</v>
      </c>
      <c r="AMB26">
        <f>SOFR3mo_PX[[#This Row],[Column1016]]</f>
        <v>98.65</v>
      </c>
      <c r="AMC26">
        <f>SOFR3mo_PX[[#This Row],[Column1017]]</f>
        <v>98.555000000000007</v>
      </c>
      <c r="AMD26">
        <f>SOFR3mo_PX[[#This Row],[Column1018]]</f>
        <v>98.534999999999997</v>
      </c>
      <c r="AME26">
        <f>SOFR3mo_PX[[#This Row],[Column1019]]</f>
        <v>98.555000000000007</v>
      </c>
      <c r="AMF26">
        <f>SOFR3mo_PX[[#This Row],[Column1020]]</f>
        <v>98.584999999999994</v>
      </c>
      <c r="AMG26">
        <f>SOFR3mo_PX[[#This Row],[Column1021]]</f>
        <v>98.545000000000002</v>
      </c>
      <c r="AMH26">
        <f>SOFR3mo_PX[[#This Row],[Column1022]]</f>
        <v>98.53</v>
      </c>
      <c r="AMI26">
        <f>SOFR3mo_PX[[#This Row],[Column1023]]</f>
        <v>98.55</v>
      </c>
      <c r="AMJ26">
        <f>SOFR3mo_PX[[#This Row],[Column1024]]</f>
        <v>98.545000000000002</v>
      </c>
      <c r="AMK26">
        <f>SOFR3mo_PX[[#This Row],[Column1025]]</f>
        <v>98.65</v>
      </c>
      <c r="AML26">
        <f>SOFR3mo_PX[[#This Row],[Column1026]]</f>
        <v>98.704999999999998</v>
      </c>
      <c r="AMM26">
        <f>SOFR3mo_PX[[#This Row],[Column1027]]</f>
        <v>98.534999999999997</v>
      </c>
      <c r="AMN26">
        <f>SOFR3mo_PX[[#This Row],[Column1028]]</f>
        <v>98.534999999999997</v>
      </c>
      <c r="AMO26">
        <f>SOFR3mo_PX[[#This Row],[Column1029]]</f>
        <v>98.43</v>
      </c>
      <c r="AMP26">
        <f>SOFR3mo_PX[[#This Row],[Column1030]]</f>
        <v>98.35</v>
      </c>
      <c r="AMQ26">
        <f>SOFR3mo_PX[[#This Row],[Column1031]]</f>
        <v>98.405000000000001</v>
      </c>
      <c r="AMR26">
        <f>SOFR3mo_PX[[#This Row],[Column1032]]</f>
        <v>98.4</v>
      </c>
      <c r="AMS26">
        <f>SOFR3mo_PX[[#This Row],[Column1033]]</f>
        <v>98.495000000000005</v>
      </c>
      <c r="AMT26">
        <f>SOFR3mo_PX[[#This Row],[Column1034]]</f>
        <v>98.48</v>
      </c>
      <c r="AMU26">
        <f>SOFR3mo_PX[[#This Row],[Column1035]]</f>
        <v>98.42</v>
      </c>
      <c r="AMV26">
        <f>SOFR3mo_PX[[#This Row],[Column1036]]</f>
        <v>98.33</v>
      </c>
      <c r="AMW26">
        <f>SOFR3mo_PX[[#This Row],[Column1037]]</f>
        <v>98.33</v>
      </c>
      <c r="AMX26">
        <f>SOFR3mo_PX[[#This Row],[Column1038]]</f>
        <v>98.265000000000001</v>
      </c>
      <c r="AMY26">
        <f>SOFR3mo_PX[[#This Row],[Column1039]]</f>
        <v>98.3</v>
      </c>
      <c r="AMZ26">
        <f>SOFR3mo_PX[[#This Row],[Column1040]]</f>
        <v>98.245000000000005</v>
      </c>
      <c r="ANA26">
        <f>SOFR3mo_PX[[#This Row],[Column1041]]</f>
        <v>98.234999999999999</v>
      </c>
      <c r="ANB26">
        <f>SOFR3mo_PX[[#This Row],[Column1042]]</f>
        <v>98.16</v>
      </c>
      <c r="ANC26">
        <f>SOFR3mo_PX[[#This Row],[Column1043]]</f>
        <v>98.21</v>
      </c>
      <c r="AND26">
        <f>SOFR3mo_PX[[#This Row],[Column1044]]</f>
        <v>98.204999999999998</v>
      </c>
      <c r="ANE26">
        <f>SOFR3mo_PX[[#This Row],[Column1045]]</f>
        <v>98.24</v>
      </c>
      <c r="ANF26">
        <f>SOFR3mo_PX[[#This Row],[Column1046]]</f>
        <v>98.234999999999999</v>
      </c>
      <c r="ANG26">
        <f>SOFR3mo_PX[[#This Row],[Column1047]]</f>
        <v>98.28</v>
      </c>
      <c r="ANH26">
        <f>SOFR3mo_PX[[#This Row],[Column1048]]</f>
        <v>98.18</v>
      </c>
      <c r="ANI26">
        <f>SOFR3mo_PX[[#This Row],[Column1049]]</f>
        <v>98.04</v>
      </c>
      <c r="ANJ26">
        <f>SOFR3mo_PX[[#This Row],[Column1050]]</f>
        <v>98.16</v>
      </c>
      <c r="ANK26">
        <f>SOFR3mo_PX[[#This Row],[Column1051]]</f>
        <v>98.14</v>
      </c>
      <c r="ANL26">
        <f>SOFR3mo_PX[[#This Row],[Column1052]]</f>
        <v>98.14</v>
      </c>
      <c r="ANM26">
        <f>SOFR3mo_PX[[#This Row],[Column1053]]</f>
        <v>98.16</v>
      </c>
      <c r="ANN26">
        <f>SOFR3mo_PX[[#This Row],[Column1054]]</f>
        <v>98.125</v>
      </c>
      <c r="ANO26">
        <f>SOFR3mo_PX[[#This Row],[Column1055]]</f>
        <v>98.075000000000003</v>
      </c>
      <c r="ANP26">
        <f>SOFR3mo_PX[[#This Row],[Column1056]]</f>
        <v>98.03</v>
      </c>
      <c r="ANQ26">
        <f>SOFR3mo_PX[[#This Row],[Column1057]]</f>
        <v>98.02</v>
      </c>
      <c r="ANR26">
        <f>SOFR3mo_PX[[#This Row],[Column1058]]</f>
        <v>97.924999999999997</v>
      </c>
      <c r="ANS26">
        <f>SOFR3mo_PX[[#This Row],[Column1059]]</f>
        <v>97.974999999999994</v>
      </c>
      <c r="ANT26">
        <f>SOFR3mo_PX[[#This Row],[Column1060]]</f>
        <v>97.94</v>
      </c>
      <c r="ANU26">
        <f>SOFR3mo_PX[[#This Row],[Column1061]]</f>
        <v>97.984999999999999</v>
      </c>
      <c r="ANV26">
        <f>SOFR3mo_PX[[#This Row],[Column1062]]</f>
        <v>97.984999999999999</v>
      </c>
      <c r="ANW26">
        <f>SOFR3mo_PX[[#This Row],[Column1063]]</f>
        <v>97.98</v>
      </c>
      <c r="ANX26">
        <f>SOFR3mo_PX[[#This Row],[Column1064]]</f>
        <v>98.03</v>
      </c>
      <c r="ANY26">
        <f>SOFR3mo_PX[[#This Row],[Column1065]]</f>
        <v>98.045000000000002</v>
      </c>
      <c r="ANZ26">
        <f>SOFR3mo_PX[[#This Row],[Column1066]]</f>
        <v>97.984999999999999</v>
      </c>
      <c r="AOA26">
        <f>SOFR3mo_PX[[#This Row],[Column1067]]</f>
        <v>97.944999999999993</v>
      </c>
      <c r="AOB26">
        <f>SOFR3mo_PX[[#This Row],[Column1068]]</f>
        <v>97.954999999999998</v>
      </c>
      <c r="AOC26">
        <f>SOFR3mo_PX[[#This Row],[Column1069]]</f>
        <v>97.89</v>
      </c>
      <c r="AOD26">
        <f>SOFR3mo_PX[[#This Row],[Column1070]]</f>
        <v>97.94</v>
      </c>
      <c r="AOE26">
        <f>SOFR3mo_PX[[#This Row],[Column1071]]</f>
        <v>97.944999999999993</v>
      </c>
      <c r="AOF26">
        <f>SOFR3mo_PX[[#This Row],[Column1072]]</f>
        <v>97.954999999999998</v>
      </c>
      <c r="AOG26">
        <f>SOFR3mo_PX[[#This Row],[Column1073]]</f>
        <v>97.915000000000006</v>
      </c>
      <c r="AOH26">
        <f>SOFR3mo_PX[[#This Row],[Column1074]]</f>
        <v>97.86</v>
      </c>
      <c r="AOI26">
        <f>SOFR3mo_PX[[#This Row],[Column1075]]</f>
        <v>97.954999999999998</v>
      </c>
      <c r="AOJ26">
        <f>SOFR3mo_PX[[#This Row],[Column1076]]</f>
        <v>97.98</v>
      </c>
      <c r="AOK26">
        <f>SOFR3mo_PX[[#This Row],[Column1077]]</f>
        <v>98</v>
      </c>
      <c r="AOL26">
        <f>SOFR3mo_PX[[#This Row],[Column1078]]</f>
        <v>98.004999999999995</v>
      </c>
      <c r="AOM26">
        <f>SOFR3mo_PX[[#This Row],[Column1079]]</f>
        <v>97.97</v>
      </c>
      <c r="AON26">
        <f>SOFR3mo_PX[[#This Row],[Column1080]]</f>
        <v>97.944999999999993</v>
      </c>
      <c r="AOO26">
        <f>SOFR3mo_PX[[#This Row],[Column1081]]</f>
        <v>97.92</v>
      </c>
      <c r="AOP26">
        <f>SOFR3mo_PX[[#This Row],[Column1082]]</f>
        <v>97.885000000000005</v>
      </c>
      <c r="AOQ26">
        <f>SOFR3mo_PX[[#This Row],[Column1083]]</f>
        <v>97.885000000000005</v>
      </c>
      <c r="AOR26">
        <f>SOFR3mo_PX[[#This Row],[Column1084]]</f>
        <v>97.91</v>
      </c>
      <c r="AOS26">
        <f>SOFR3mo_PX[[#This Row],[Column1085]]</f>
        <v>97.92</v>
      </c>
      <c r="AOT26">
        <f>SOFR3mo_PX[[#This Row],[Column1086]]</f>
        <v>97.98</v>
      </c>
      <c r="AOU26">
        <f>SOFR3mo_PX[[#This Row],[Column1087]]</f>
        <v>97.99</v>
      </c>
      <c r="AOV26">
        <f>SOFR3mo_PX[[#This Row],[Column1088]]</f>
        <v>98.015000000000001</v>
      </c>
      <c r="AOW26">
        <f>SOFR3mo_PX[[#This Row],[Column1089]]</f>
        <v>98</v>
      </c>
      <c r="AOX26">
        <f>SOFR3mo_PX[[#This Row],[Column1090]]</f>
        <v>98.004999999999995</v>
      </c>
      <c r="AOY26">
        <f>SOFR3mo_PX[[#This Row],[Column1091]]</f>
        <v>97.98</v>
      </c>
      <c r="AOZ26">
        <f>SOFR3mo_PX[[#This Row],[Column1092]]</f>
        <v>97.995000000000005</v>
      </c>
      <c r="APA26">
        <f>SOFR3mo_PX[[#This Row],[Column1093]]</f>
        <v>98.034999999999997</v>
      </c>
      <c r="APB26">
        <f>SOFR3mo_PX[[#This Row],[Column1094]]</f>
        <v>97.89</v>
      </c>
      <c r="APC26">
        <f>SOFR3mo_PX[[#This Row],[Column1095]]</f>
        <v>97.88</v>
      </c>
      <c r="APD26">
        <f>SOFR3mo_PX[[#This Row],[Column1096]]</f>
        <v>97.784999999999997</v>
      </c>
      <c r="APE26">
        <f>SOFR3mo_PX[[#This Row],[Column1097]]</f>
        <v>97.795000000000002</v>
      </c>
      <c r="APF26">
        <f>SOFR3mo_PX[[#This Row],[Column1098]]</f>
        <v>97.825000000000003</v>
      </c>
      <c r="APG26">
        <f>SOFR3mo_PX[[#This Row],[Column1099]]</f>
        <v>97.795000000000002</v>
      </c>
      <c r="APH26">
        <f>SOFR3mo_PX[[#This Row],[Column1100]]</f>
        <v>97.77</v>
      </c>
      <c r="API26">
        <f>SOFR3mo_PX[[#This Row],[Column1101]]</f>
        <v>97.665000000000006</v>
      </c>
      <c r="APJ26">
        <f>SOFR3mo_PX[[#This Row],[Column1102]]</f>
        <v>97.65</v>
      </c>
      <c r="APK26">
        <f>SOFR3mo_PX[[#This Row],[Column1103]]</f>
        <v>97.715000000000003</v>
      </c>
      <c r="APL26">
        <f>SOFR3mo_PX[[#This Row],[Column1104]]</f>
        <v>97.625</v>
      </c>
      <c r="APM26">
        <f>SOFR3mo_PX[[#This Row],[Column1105]]</f>
        <v>97.66</v>
      </c>
      <c r="APN26">
        <f>SOFR3mo_PX[[#This Row],[Column1106]]</f>
        <v>97.685000000000002</v>
      </c>
      <c r="APO26">
        <f>SOFR3mo_PX[[#This Row],[Column1107]]</f>
        <v>97.765000000000001</v>
      </c>
      <c r="APP26">
        <f>SOFR3mo_PX[[#This Row],[Column1108]]</f>
        <v>97.825000000000003</v>
      </c>
      <c r="APQ26">
        <f>SOFR3mo_PX[[#This Row],[Column1109]]</f>
        <v>97.825000000000003</v>
      </c>
      <c r="APR26">
        <f>SOFR3mo_PX[[#This Row],[Column1110]]</f>
        <v>97.805000000000007</v>
      </c>
      <c r="APS26">
        <f>SOFR3mo_PX[[#This Row],[Column1111]]</f>
        <v>97.745000000000005</v>
      </c>
      <c r="APT26">
        <f>SOFR3mo_PX[[#This Row],[Column1112]]</f>
        <v>97.7</v>
      </c>
      <c r="APU26">
        <f>SOFR3mo_PX[[#This Row],[Column1113]]</f>
        <v>97.81</v>
      </c>
      <c r="APV26">
        <f>SOFR3mo_PX[[#This Row],[Column1114]]</f>
        <v>98</v>
      </c>
      <c r="APW26">
        <f>SOFR3mo_PX[[#This Row],[Column1115]]</f>
        <v>98.03</v>
      </c>
      <c r="APX26">
        <f>SOFR3mo_PX[[#This Row],[Column1116]]</f>
        <v>98.025000000000006</v>
      </c>
      <c r="APY26">
        <f>SOFR3mo_PX[[#This Row],[Column1117]]</f>
        <v>98.01</v>
      </c>
      <c r="APZ26">
        <f>SOFR3mo_PX[[#This Row],[Column1118]]</f>
        <v>98.08</v>
      </c>
      <c r="AQA26">
        <f>SOFR3mo_PX[[#This Row],[Column1119]]</f>
        <v>98.1</v>
      </c>
      <c r="AQB26">
        <f>SOFR3mo_PX[[#This Row],[Column1120]]</f>
        <v>98.07</v>
      </c>
      <c r="AQC26">
        <f>SOFR3mo_PX[[#This Row],[Column1121]]</f>
        <v>98.015000000000001</v>
      </c>
      <c r="AQD26">
        <f>SOFR3mo_PX[[#This Row],[Column1122]]</f>
        <v>98.08</v>
      </c>
      <c r="AQE26">
        <f>SOFR3mo_PX[[#This Row],[Column1123]]</f>
        <v>98.07</v>
      </c>
      <c r="AQF26">
        <f>SOFR3mo_PX[[#This Row],[Column1124]]</f>
        <v>98.135000000000005</v>
      </c>
      <c r="AQG26">
        <f>SOFR3mo_PX[[#This Row],[Column1125]]</f>
        <v>98.19</v>
      </c>
      <c r="AQH26">
        <f>SOFR3mo_PX[[#This Row],[Column1126]]</f>
        <v>98.15</v>
      </c>
      <c r="AQI26">
        <f>SOFR3mo_PX[[#This Row],[Column1127]]</f>
        <v>98.09</v>
      </c>
      <c r="AQJ26">
        <f>SOFR3mo_PX[[#This Row],[Column1128]]</f>
        <v>98.094999999999999</v>
      </c>
      <c r="AQK26">
        <f>SOFR3mo_PX[[#This Row],[Column1129]]</f>
        <v>98.224999999999994</v>
      </c>
      <c r="AQL26">
        <f>SOFR3mo_PX[[#This Row],[Column1130]]</f>
        <v>98.25</v>
      </c>
      <c r="AQM26">
        <f>SOFR3mo_PX[[#This Row],[Column1131]]</f>
        <v>98.24</v>
      </c>
      <c r="AQN26">
        <f>SOFR3mo_PX[[#This Row],[Column1132]]</f>
        <v>98.275000000000006</v>
      </c>
      <c r="AQO26">
        <f>SOFR3mo_PX[[#This Row],[Column1133]]</f>
        <v>98.32</v>
      </c>
      <c r="AQP26">
        <f>SOFR3mo_PX[[#This Row],[Column1134]]</f>
        <v>98.34</v>
      </c>
      <c r="AQQ26">
        <f>SOFR3mo_PX[[#This Row],[Column1135]]</f>
        <v>98.364999999999995</v>
      </c>
      <c r="AQR26">
        <f>SOFR3mo_PX[[#This Row],[Column1136]]</f>
        <v>98.484999999999999</v>
      </c>
      <c r="AQS26">
        <f>SOFR3mo_PX[[#This Row],[Column1137]]</f>
        <v>98.484999999999999</v>
      </c>
      <c r="AQT26">
        <f>SOFR3mo_PX[[#This Row],[Column1138]]</f>
        <v>98.57</v>
      </c>
      <c r="AQU26">
        <f>SOFR3mo_PX[[#This Row],[Column1139]]</f>
        <v>98.58</v>
      </c>
      <c r="AQV26">
        <f>SOFR3mo_PX[[#This Row],[Column1140]]</f>
        <v>98.564999999999998</v>
      </c>
      <c r="AQW26">
        <f>SOFR3mo_PX[[#This Row],[Column1141]]</f>
        <v>98.555000000000007</v>
      </c>
      <c r="AQX26">
        <f>SOFR3mo_PX[[#This Row],[Column1142]]</f>
        <v>98.575000000000003</v>
      </c>
      <c r="AQY26">
        <f>SOFR3mo_PX[[#This Row],[Column1143]]</f>
        <v>98.58</v>
      </c>
      <c r="AQZ26">
        <f>SOFR3mo_PX[[#This Row],[Column1144]]</f>
        <v>98.7</v>
      </c>
      <c r="ARA26">
        <f>SOFR3mo_PX[[#This Row],[Column1145]]</f>
        <v>98.715000000000003</v>
      </c>
      <c r="ARB26">
        <f>SOFR3mo_PX[[#This Row],[Column1146]]</f>
        <v>98.74</v>
      </c>
      <c r="ARC26">
        <f>SOFR3mo_PX[[#This Row],[Column1147]]</f>
        <v>98.74</v>
      </c>
      <c r="ARD26">
        <f>SOFR3mo_PX[[#This Row],[Column1148]]</f>
        <v>98.745000000000005</v>
      </c>
      <c r="ARE26">
        <f>SOFR3mo_PX[[#This Row],[Column1149]]</f>
        <v>98.745000000000005</v>
      </c>
      <c r="ARF26">
        <f>SOFR3mo_PX[[#This Row],[Column1150]]</f>
        <v>98.74</v>
      </c>
      <c r="ARG26">
        <f>SOFR3mo_PX[[#This Row],[Column1151]]</f>
        <v>98.745000000000005</v>
      </c>
      <c r="ARH26">
        <f>SOFR3mo_PX[[#This Row],[Column1152]]</f>
        <v>98.745000000000005</v>
      </c>
      <c r="ARI26">
        <f>SOFR3mo_PX[[#This Row],[Column1153]]</f>
        <v>98.74</v>
      </c>
      <c r="ARJ26">
        <f>SOFR3mo_PX[[#This Row],[Column1154]]</f>
        <v>98.754999999999995</v>
      </c>
      <c r="ARK26">
        <f>SOFR3mo_PX[[#This Row],[Column1155]]</f>
        <v>98.754999999999995</v>
      </c>
      <c r="ARL26">
        <f>SOFR3mo_PX[[#This Row],[Column1156]]</f>
        <v>98.745000000000005</v>
      </c>
      <c r="ARM26">
        <f>SOFR3mo_PX[[#This Row],[Column1157]]</f>
        <v>98.745000000000005</v>
      </c>
      <c r="ARN26">
        <f>SOFR3mo_PX[[#This Row],[Column1158]]</f>
        <v>98.775000000000006</v>
      </c>
      <c r="ARO26">
        <f>SOFR3mo_PX[[#This Row],[Column1159]]</f>
        <v>98.76</v>
      </c>
      <c r="ARP26">
        <f>SOFR3mo_PX[[#This Row],[Column1160]]</f>
        <v>98.734999999999999</v>
      </c>
      <c r="ARQ26">
        <f>SOFR3mo_PX[[#This Row],[Column1161]]</f>
        <v>98.74</v>
      </c>
      <c r="ARR26">
        <f>SOFR3mo_PX[[#This Row],[Column1162]]</f>
        <v>98.745000000000005</v>
      </c>
      <c r="ARS26">
        <f>SOFR3mo_PX[[#This Row],[Column1163]]</f>
        <v>98.784999999999997</v>
      </c>
      <c r="ART26">
        <f>SOFR3mo_PX[[#This Row],[Column1164]]</f>
        <v>98.944999999999993</v>
      </c>
      <c r="ARU26">
        <f>SOFR3mo_PX[[#This Row],[Column1165]]</f>
        <v>98.99</v>
      </c>
      <c r="ARV26">
        <f>SOFR3mo_PX[[#This Row],[Column1166]]</f>
        <v>99</v>
      </c>
      <c r="ARW26">
        <f>SOFR3mo_PX[[#This Row],[Column1167]]</f>
        <v>98.99</v>
      </c>
      <c r="ARX26">
        <f>SOFR3mo_PX[[#This Row],[Column1168]]</f>
        <v>98.99</v>
      </c>
      <c r="ARY26">
        <f>SOFR3mo_PX[[#This Row],[Column1169]]</f>
        <v>98.98</v>
      </c>
      <c r="ARZ26">
        <f>SOFR3mo_PX[[#This Row],[Column1170]]</f>
        <v>98.965000000000003</v>
      </c>
      <c r="ASA26">
        <f>SOFR3mo_PX[[#This Row],[Column1171]]</f>
        <v>98.96</v>
      </c>
      <c r="ASB26">
        <f>SOFR3mo_PX[[#This Row],[Column1172]]</f>
        <v>98.965000000000003</v>
      </c>
      <c r="ASC26">
        <f>SOFR3mo_PX[[#This Row],[Column1173]]</f>
        <v>98.965000000000003</v>
      </c>
      <c r="ASD26">
        <f>SOFR3mo_PX[[#This Row],[Column1174]]</f>
        <v>98.965000000000003</v>
      </c>
      <c r="ASE26">
        <f>SOFR3mo_PX[[#This Row],[Column1175]]</f>
        <v>98.97</v>
      </c>
      <c r="ASF26">
        <f>SOFR3mo_PX[[#This Row],[Column1176]]</f>
        <v>98.965000000000003</v>
      </c>
      <c r="ASG26">
        <f>SOFR3mo_PX[[#This Row],[Column1177]]</f>
        <v>98.965000000000003</v>
      </c>
      <c r="ASH26">
        <f>SOFR3mo_PX[[#This Row],[Column1178]]</f>
        <v>99.034999999999997</v>
      </c>
      <c r="ASI26">
        <f>SOFR3mo_PX[[#This Row],[Column1179]]</f>
        <v>99.045000000000002</v>
      </c>
      <c r="ASJ26">
        <f>SOFR3mo_PX[[#This Row],[Column1180]]</f>
        <v>99.114999999999995</v>
      </c>
      <c r="ASK26">
        <f>SOFR3mo_PX[[#This Row],[Column1181]]</f>
        <v>99.114999999999995</v>
      </c>
      <c r="ASL26">
        <f>SOFR3mo_PX[[#This Row],[Column1182]]</f>
        <v>99.114999999999995</v>
      </c>
      <c r="ASM26">
        <f>SOFR3mo_PX[[#This Row],[Column1183]]</f>
        <v>99.135000000000005</v>
      </c>
      <c r="ASN26">
        <f>SOFR3mo_PX[[#This Row],[Column1184]]</f>
        <v>99.515000000000001</v>
      </c>
      <c r="ASO26">
        <f>SOFR3mo_PX[[#This Row],[Column1185]]</f>
        <v>99.62</v>
      </c>
      <c r="ASP26">
        <f>SOFR3mo_PX[[#This Row],[Column1186]]</f>
        <v>99.62</v>
      </c>
      <c r="ASQ26">
        <f>SOFR3mo_PX[[#This Row],[Column1187]]</f>
        <v>99.63</v>
      </c>
      <c r="ASR26">
        <f>SOFR3mo_PX[[#This Row],[Column1188]]</f>
        <v>99.644999999999996</v>
      </c>
      <c r="ASS26">
        <f>SOFR3mo_PX[[#This Row],[Column1189]]</f>
        <v>99.65</v>
      </c>
      <c r="AST26">
        <f>SOFR3mo_PX[[#This Row],[Column1190]]</f>
        <v>99.655000000000001</v>
      </c>
      <c r="ASU26">
        <f>SOFR3mo_PX[[#This Row],[Column1191]]</f>
        <v>99.68</v>
      </c>
      <c r="ASV26">
        <f>SOFR3mo_PX[[#This Row],[Column1192]]</f>
        <v>99.685000000000002</v>
      </c>
      <c r="ASW26">
        <f>SOFR3mo_PX[[#This Row],[Column1193]]</f>
        <v>99.68</v>
      </c>
      <c r="ASX26">
        <f>SOFR3mo_PX[[#This Row],[Column1194]]</f>
        <v>99.68</v>
      </c>
      <c r="ASY26">
        <f>SOFR3mo_PX[[#This Row],[Column1195]]</f>
        <v>99.674999999999997</v>
      </c>
      <c r="ASZ26">
        <f>SOFR3mo_PX[[#This Row],[Column1196]]</f>
        <v>99.67</v>
      </c>
      <c r="ATA26">
        <f>SOFR3mo_PX[[#This Row],[Column1197]]</f>
        <v>99.685000000000002</v>
      </c>
      <c r="ATB26">
        <f>SOFR3mo_PX[[#This Row],[Column1198]]</f>
        <v>99.68</v>
      </c>
      <c r="ATC26">
        <f>SOFR3mo_PX[[#This Row],[Column1199]]</f>
        <v>99.68</v>
      </c>
      <c r="ATD26">
        <f>SOFR3mo_PX[[#This Row],[Column1200]]</f>
        <v>99.685000000000002</v>
      </c>
      <c r="ATE26">
        <f>SOFR3mo_PX[[#This Row],[Column1201]]</f>
        <v>99.674999999999997</v>
      </c>
      <c r="ATF26">
        <f>SOFR3mo_PX[[#This Row],[Column1202]]</f>
        <v>99.674999999999997</v>
      </c>
      <c r="ATG26">
        <f>SOFR3mo_PX[[#This Row],[Column1203]]</f>
        <v>99.67</v>
      </c>
      <c r="ATH26">
        <f>SOFR3mo_PX[[#This Row],[Column1204]]</f>
        <v>99.65</v>
      </c>
      <c r="ATI26">
        <f>SOFR3mo_PX[[#This Row],[Column1205]]</f>
        <v>99.65</v>
      </c>
      <c r="ATJ26">
        <f>SOFR3mo_PX[[#This Row],[Column1206]]</f>
        <v>99.685000000000002</v>
      </c>
      <c r="ATK26">
        <f>SOFR3mo_PX[[#This Row],[Column1207]]</f>
        <v>99.73</v>
      </c>
      <c r="ATL26">
        <f>SOFR3mo_PX[[#This Row],[Column1208]]</f>
        <v>99.734999999999999</v>
      </c>
      <c r="ATM26">
        <f>SOFR3mo_PX[[#This Row],[Column1209]]</f>
        <v>99.754999999999995</v>
      </c>
      <c r="ATN26">
        <f>SOFR3mo_PX[[#This Row],[Column1210]]</f>
        <v>99.724999999999994</v>
      </c>
      <c r="ATO26">
        <f>SOFR3mo_PX[[#This Row],[Column1211]]</f>
        <v>99.734999999999999</v>
      </c>
      <c r="ATP26">
        <f>SOFR3mo_PX[[#This Row],[Column1212]]</f>
        <v>99.73</v>
      </c>
      <c r="ATQ26">
        <f>SOFR3mo_PX[[#This Row],[Column1213]]</f>
        <v>99.734999999999999</v>
      </c>
      <c r="ATR26">
        <f>SOFR3mo_PX[[#This Row],[Column1214]]</f>
        <v>99.745000000000005</v>
      </c>
      <c r="ATS26">
        <f>SOFR3mo_PX[[#This Row],[Column1215]]</f>
        <v>99.745000000000005</v>
      </c>
      <c r="ATT26">
        <f>SOFR3mo_PX[[#This Row],[Column1216]]</f>
        <v>99.74</v>
      </c>
      <c r="ATU26">
        <f>SOFR3mo_PX[[#This Row],[Column1217]]</f>
        <v>99.73</v>
      </c>
      <c r="ATV26">
        <f>SOFR3mo_PX[[#This Row],[Column1218]]</f>
        <v>99.72</v>
      </c>
      <c r="ATW26">
        <f>SOFR3mo_PX[[#This Row],[Column1219]]</f>
        <v>99.745000000000005</v>
      </c>
      <c r="ATX26">
        <f>SOFR3mo_PX[[#This Row],[Column1220]]</f>
        <v>99.745000000000005</v>
      </c>
      <c r="ATY26">
        <f>SOFR3mo_PX[[#This Row],[Column1221]]</f>
        <v>99.754999999999995</v>
      </c>
      <c r="ATZ26">
        <f>SOFR3mo_PX[[#This Row],[Column1222]]</f>
        <v>99.765000000000001</v>
      </c>
      <c r="AUA26">
        <f>SOFR3mo_PX[[#This Row],[Column1223]]</f>
        <v>99.76</v>
      </c>
      <c r="AUB26">
        <f>SOFR3mo_PX[[#This Row],[Column1224]]</f>
        <v>99.765000000000001</v>
      </c>
      <c r="AUC26">
        <f>SOFR3mo_PX[[#This Row],[Column1225]]</f>
        <v>99.76</v>
      </c>
      <c r="AUD26">
        <f>SOFR3mo_PX[[#This Row],[Column1226]]</f>
        <v>99.745000000000005</v>
      </c>
      <c r="AUE26">
        <f>SOFR3mo_PX[[#This Row],[Column1227]]</f>
        <v>99.74</v>
      </c>
      <c r="AUF26">
        <f>SOFR3mo_PX[[#This Row],[Column1228]]</f>
        <v>99.754999999999995</v>
      </c>
      <c r="AUG26">
        <f>SOFR3mo_PX[[#This Row],[Column1229]]</f>
        <v>99.75</v>
      </c>
      <c r="AUH26">
        <f>SOFR3mo_PX[[#This Row],[Column1230]]</f>
        <v>99.775000000000006</v>
      </c>
      <c r="AUI26">
        <f>SOFR3mo_PX[[#This Row],[Column1231]]</f>
        <v>99.775000000000006</v>
      </c>
      <c r="AUJ26">
        <f>SOFR3mo_PX[[#This Row],[Column1232]]</f>
        <v>99.825000000000003</v>
      </c>
      <c r="AUK26">
        <f>SOFR3mo_PX[[#This Row],[Column1233]]</f>
        <v>99.825000000000003</v>
      </c>
      <c r="AUL26">
        <f>SOFR3mo_PX[[#This Row],[Column1234]]</f>
        <v>99.825000000000003</v>
      </c>
      <c r="AUM26">
        <f>SOFR3mo_PX[[#This Row],[Column1235]]</f>
        <v>99.83</v>
      </c>
      <c r="AUN26">
        <f>SOFR3mo_PX[[#This Row],[Column1236]]</f>
        <v>99.83</v>
      </c>
      <c r="AUO26">
        <f>SOFR3mo_PX[[#This Row],[Column1237]]</f>
        <v>99.84</v>
      </c>
      <c r="AUP26">
        <f>SOFR3mo_PX[[#This Row],[Column1238]]</f>
        <v>99.84</v>
      </c>
      <c r="AUQ26">
        <f>SOFR3mo_PX[[#This Row],[Column1239]]</f>
        <v>99.844999999999999</v>
      </c>
      <c r="AUR26">
        <f>SOFR3mo_PX[[#This Row],[Column1240]]</f>
        <v>99.844999999999999</v>
      </c>
      <c r="AUS26">
        <f>SOFR3mo_PX[[#This Row],[Column1241]]</f>
        <v>99.834999999999994</v>
      </c>
      <c r="AUT26">
        <f>SOFR3mo_PX[[#This Row],[Column1242]]</f>
        <v>99.814999999999998</v>
      </c>
      <c r="AUU26">
        <f>SOFR3mo_PX[[#This Row],[Column1243]]</f>
        <v>99.83</v>
      </c>
      <c r="AUV26">
        <f>SOFR3mo_PX[[#This Row],[Column1244]]</f>
        <v>99.825000000000003</v>
      </c>
      <c r="AUW26">
        <f>SOFR3mo_PX[[#This Row],[Column1245]]</f>
        <v>99.855000000000004</v>
      </c>
      <c r="AUX26">
        <f>SOFR3mo_PX[[#This Row],[Column1246]]</f>
        <v>99.86</v>
      </c>
      <c r="AUY26">
        <f>SOFR3mo_PX[[#This Row],[Column1247]]</f>
        <v>99.85</v>
      </c>
      <c r="AUZ26">
        <f>SOFR3mo_PX[[#This Row],[Column1248]]</f>
        <v>99.825000000000003</v>
      </c>
      <c r="AVA26">
        <f>SOFR3mo_PX[[#This Row],[Column1249]]</f>
        <v>99.82</v>
      </c>
      <c r="AVB26">
        <f>SOFR3mo_PX[[#This Row],[Column1250]]</f>
        <v>99.825000000000003</v>
      </c>
      <c r="AVC26">
        <f>SOFR3mo_PX[[#This Row],[Column1251]]</f>
        <v>99.814999999999998</v>
      </c>
      <c r="AVD26">
        <f>SOFR3mo_PX[[#This Row],[Column1252]]</f>
        <v>99.814999999999998</v>
      </c>
      <c r="AVE26">
        <f>SOFR3mo_PX[[#This Row],[Column1253]]</f>
        <v>99.844999999999999</v>
      </c>
      <c r="AVF26">
        <f>SOFR3mo_PX[[#This Row],[Column1254]]</f>
        <v>99.834999999999994</v>
      </c>
      <c r="AVG26">
        <f>SOFR3mo_PX[[#This Row],[Column1255]]</f>
        <v>99.844999999999999</v>
      </c>
      <c r="AVH26">
        <f>SOFR3mo_PX[[#This Row],[Column1256]]</f>
        <v>99.84</v>
      </c>
      <c r="AVI26">
        <f>SOFR3mo_PX[[#This Row],[Column1257]]</f>
        <v>99.834999999999994</v>
      </c>
      <c r="AVJ26">
        <f>SOFR3mo_PX[[#This Row],[Column1258]]</f>
        <v>99.814999999999998</v>
      </c>
      <c r="AVK26">
        <f>SOFR3mo_PX[[#This Row],[Column1259]]</f>
        <v>99.825000000000003</v>
      </c>
      <c r="AVL26">
        <f>SOFR3mo_PX[[#This Row],[Column1260]]</f>
        <v>99.83</v>
      </c>
      <c r="AVM26">
        <f>SOFR3mo_PX[[#This Row],[Column1261]]</f>
        <v>99.84</v>
      </c>
      <c r="AVN26">
        <f>SOFR3mo_PX[[#This Row],[Column1262]]</f>
        <v>99.834999999999994</v>
      </c>
      <c r="AVO26">
        <f>SOFR3mo_PX[[#This Row],[Column1263]]</f>
        <v>99.844999999999999</v>
      </c>
      <c r="AVP26">
        <f>SOFR3mo_PX[[#This Row],[Column1264]]</f>
        <v>99.844999999999999</v>
      </c>
      <c r="AVQ26">
        <f>SOFR3mo_PX[[#This Row],[Column1265]]</f>
        <v>99.834999999999994</v>
      </c>
      <c r="AVR26">
        <f>SOFR3mo_PX[[#This Row],[Column1266]]</f>
        <v>99.82</v>
      </c>
      <c r="AVS26">
        <f>SOFR3mo_PX[[#This Row],[Column1267]]</f>
        <v>99.81</v>
      </c>
      <c r="AVT26">
        <f>SOFR3mo_PX[[#This Row],[Column1268]]</f>
        <v>99.81</v>
      </c>
      <c r="AVU26">
        <f>SOFR3mo_PX[[#This Row],[Column1269]]</f>
        <v>99.814999999999998</v>
      </c>
      <c r="AVV26">
        <f>SOFR3mo_PX[[#This Row],[Column1270]]</f>
        <v>99.814999999999998</v>
      </c>
      <c r="AVW26">
        <f>SOFR3mo_PX[[#This Row],[Column1271]]</f>
        <v>99.85</v>
      </c>
      <c r="AVX26">
        <f>SOFR3mo_PX[[#This Row],[Column1272]]</f>
        <v>99.86</v>
      </c>
      <c r="AVY26">
        <f>SOFR3mo_PX[[#This Row],[Column1273]]</f>
        <v>99.88</v>
      </c>
      <c r="AVZ26">
        <f>SOFR3mo_PX[[#This Row],[Column1274]]</f>
        <v>99.885000000000005</v>
      </c>
      <c r="AWA26">
        <f>SOFR3mo_PX[[#This Row],[Column1275]]</f>
        <v>99.894999999999996</v>
      </c>
      <c r="AWB26">
        <f>SOFR3mo_PX[[#This Row],[Column1276]]</f>
        <v>99.885000000000005</v>
      </c>
      <c r="AWC26">
        <f>SOFR3mo_PX[[#This Row],[Column1277]]</f>
        <v>99.88</v>
      </c>
      <c r="AWD26">
        <f>SOFR3mo_PX[[#This Row],[Column1278]]</f>
        <v>99.875</v>
      </c>
      <c r="AWE26">
        <f>SOFR3mo_PX[[#This Row],[Column1279]]</f>
        <v>99.855000000000004</v>
      </c>
      <c r="AWF26">
        <f>SOFR3mo_PX[[#This Row],[Column1280]]</f>
        <v>99.844999999999999</v>
      </c>
      <c r="AWG26">
        <f>SOFR3mo_PX[[#This Row],[Column1281]]</f>
        <v>99.84</v>
      </c>
      <c r="AWH26">
        <f>SOFR3mo_PX[[#This Row],[Column1282]]</f>
        <v>99.85</v>
      </c>
      <c r="AWI26">
        <f>SOFR3mo_PX[[#This Row],[Column1283]]</f>
        <v>99.855000000000004</v>
      </c>
      <c r="AWJ26">
        <f>SOFR3mo_PX[[#This Row],[Column1284]]</f>
        <v>99.855000000000004</v>
      </c>
      <c r="AWK26">
        <f>SOFR3mo_PX[[#This Row],[Column1285]]</f>
        <v>99.85</v>
      </c>
      <c r="AWL26">
        <f>SOFR3mo_PX[[#This Row],[Column1286]]</f>
        <v>99.85</v>
      </c>
      <c r="AWM26">
        <f>SOFR3mo_PX[[#This Row],[Column1287]]</f>
        <v>99.844999999999999</v>
      </c>
      <c r="AWN26">
        <f>SOFR3mo_PX[[#This Row],[Column1288]]</f>
        <v>99.844999999999999</v>
      </c>
      <c r="AWO26">
        <f>SOFR3mo_PX[[#This Row],[Column1289]]</f>
        <v>99.84</v>
      </c>
      <c r="AWP26">
        <f>SOFR3mo_PX[[#This Row],[Column1290]]</f>
        <v>99.85</v>
      </c>
      <c r="AWQ26">
        <f>SOFR3mo_PX[[#This Row],[Column1291]]</f>
        <v>99.85</v>
      </c>
      <c r="AWR26">
        <f>SOFR3mo_PX[[#This Row],[Column1292]]</f>
        <v>99.864999999999995</v>
      </c>
      <c r="AWS26">
        <f>SOFR3mo_PX[[#This Row],[Column1293]]</f>
        <v>99.88</v>
      </c>
      <c r="AWT26">
        <f>SOFR3mo_PX[[#This Row],[Column1294]]</f>
        <v>99.864999999999995</v>
      </c>
      <c r="AWU26">
        <f>SOFR3mo_PX[[#This Row],[Column1295]]</f>
        <v>99.86</v>
      </c>
      <c r="AWV26">
        <f>SOFR3mo_PX[[#This Row],[Column1296]]</f>
        <v>99.855000000000004</v>
      </c>
      <c r="AWW26">
        <f>SOFR3mo_PX[[#This Row],[Column1297]]</f>
        <v>99.855000000000004</v>
      </c>
      <c r="AWX26">
        <f>SOFR3mo_PX[[#This Row],[Column1298]]</f>
        <v>99.855000000000004</v>
      </c>
      <c r="AWY26">
        <f>SOFR3mo_PX[[#This Row],[Column1299]]</f>
        <v>99.844999999999999</v>
      </c>
      <c r="AWZ26">
        <f>SOFR3mo_PX[[#This Row],[Column1300]]</f>
        <v>99.864999999999995</v>
      </c>
      <c r="AXA26">
        <f>SOFR3mo_PX[[#This Row],[Column1301]]</f>
        <v>99.864999999999995</v>
      </c>
      <c r="AXB26">
        <f>SOFR3mo_PX[[#This Row],[Column1302]]</f>
        <v>99.855000000000004</v>
      </c>
      <c r="AXC26">
        <f>SOFR3mo_PX[[#This Row],[Column1303]]</f>
        <v>99.834999999999994</v>
      </c>
      <c r="AXD26">
        <f>SOFR3mo_PX[[#This Row],[Column1304]]</f>
        <v>99.834999999999994</v>
      </c>
      <c r="AXE26">
        <f>SOFR3mo_PX[[#This Row],[Column1305]]</f>
        <v>99.834999999999994</v>
      </c>
      <c r="AXF26">
        <f>SOFR3mo_PX[[#This Row],[Column1306]]</f>
        <v>99.83</v>
      </c>
      <c r="AXG26">
        <f>SOFR3mo_PX[[#This Row],[Column1307]]</f>
        <v>99.82</v>
      </c>
      <c r="AXH26">
        <f>SOFR3mo_PX[[#This Row],[Column1308]]</f>
        <v>99.8</v>
      </c>
      <c r="AXI26">
        <f>SOFR3mo_PX[[#This Row],[Column1309]]</f>
        <v>99.795000000000002</v>
      </c>
      <c r="AXJ26">
        <f>SOFR3mo_PX[[#This Row],[Column1310]]</f>
        <v>99.784999999999997</v>
      </c>
      <c r="AXK26">
        <f>SOFR3mo_PX[[#This Row],[Column1311]]</f>
        <v>99.8</v>
      </c>
      <c r="AXL26">
        <f>SOFR3mo_PX[[#This Row],[Column1312]]</f>
        <v>99.79</v>
      </c>
      <c r="AXM26">
        <f>SOFR3mo_PX[[#This Row],[Column1313]]</f>
        <v>99.8</v>
      </c>
      <c r="AXN26">
        <f>SOFR3mo_PX[[#This Row],[Column1314]]</f>
        <v>99.775000000000006</v>
      </c>
      <c r="AXO26">
        <f>SOFR3mo_PX[[#This Row],[Column1315]]</f>
        <v>99.724999999999994</v>
      </c>
      <c r="AXP26">
        <f>SOFR3mo_PX[[#This Row],[Column1316]]</f>
        <v>99.69</v>
      </c>
      <c r="AXQ26">
        <f>SOFR3mo_PX[[#This Row],[Column1317]]</f>
        <v>99.685000000000002</v>
      </c>
      <c r="AXR26">
        <f>SOFR3mo_PX[[#This Row],[Column1318]]</f>
        <v>99.75</v>
      </c>
      <c r="AXS26">
        <f>SOFR3mo_PX[[#This Row],[Column1319]]</f>
        <v>99.765000000000001</v>
      </c>
      <c r="AXT26">
        <f>SOFR3mo_PX[[#This Row],[Column1320]]</f>
        <v>99.8</v>
      </c>
      <c r="AXU26">
        <f>SOFR3mo_PX[[#This Row],[Column1321]]</f>
        <v>99.805000000000007</v>
      </c>
      <c r="AXV26">
        <f>SOFR3mo_PX[[#This Row],[Column1322]]</f>
        <v>99.795000000000002</v>
      </c>
      <c r="AXW26">
        <f>SOFR3mo_PX[[#This Row],[Column1323]]</f>
        <v>99.775000000000006</v>
      </c>
      <c r="AXX26">
        <f>SOFR3mo_PX[[#This Row],[Column1324]]</f>
        <v>99.78</v>
      </c>
      <c r="AXY26">
        <f>SOFR3mo_PX[[#This Row],[Column1325]]</f>
        <v>99.784999999999997</v>
      </c>
      <c r="AXZ26">
        <f>SOFR3mo_PX[[#This Row],[Column1326]]</f>
        <v>99.79</v>
      </c>
      <c r="AYA26">
        <f>SOFR3mo_PX[[#This Row],[Column1327]]</f>
        <v>99.79</v>
      </c>
      <c r="AYB26">
        <f>SOFR3mo_PX[[#This Row],[Column1328]]</f>
        <v>99.784999999999997</v>
      </c>
      <c r="AYC26">
        <f>SOFR3mo_PX[[#This Row],[Column1329]]</f>
        <v>99.784999999999997</v>
      </c>
      <c r="AYD26">
        <f>SOFR3mo_PX[[#This Row],[Column1330]]</f>
        <v>99.79</v>
      </c>
      <c r="AYE26">
        <f>SOFR3mo_PX[[#This Row],[Column1331]]</f>
        <v>99.79</v>
      </c>
      <c r="AYF26">
        <f>SOFR3mo_PX[[#This Row],[Column1332]]</f>
        <v>99.834999999999994</v>
      </c>
      <c r="AYG26">
        <f>SOFR3mo_PX[[#This Row],[Column1333]]</f>
        <v>99.81</v>
      </c>
      <c r="AYH26">
        <f>SOFR3mo_PX[[#This Row],[Column1334]]</f>
        <v>99.8</v>
      </c>
      <c r="AYI26">
        <f>SOFR3mo_PX[[#This Row],[Column1335]]</f>
        <v>99.78</v>
      </c>
      <c r="AYJ26">
        <f>SOFR3mo_PX[[#This Row],[Column1336]]</f>
        <v>99.78</v>
      </c>
      <c r="AYK26">
        <f>SOFR3mo_PX[[#This Row],[Column1337]]</f>
        <v>99.8</v>
      </c>
      <c r="AYL26">
        <f>SOFR3mo_PX[[#This Row],[Column1338]]</f>
        <v>99.81</v>
      </c>
      <c r="AYM26">
        <f>SOFR3mo_PX[[#This Row],[Column1339]]</f>
        <v>99.754999999999995</v>
      </c>
      <c r="AYN26">
        <f>SOFR3mo_PX[[#This Row],[Column1340]]</f>
        <v>99.74</v>
      </c>
      <c r="AYO26">
        <f>SOFR3mo_PX[[#This Row],[Column1341]]</f>
        <v>99.745000000000005</v>
      </c>
      <c r="AYP26">
        <f>SOFR3mo_PX[[#This Row],[Column1342]]</f>
        <v>99.73</v>
      </c>
      <c r="AYQ26">
        <f>SOFR3mo_PX[[#This Row],[Column1343]]</f>
        <v>99.734999999999999</v>
      </c>
      <c r="AYR26">
        <f>SOFR3mo_PX[[#This Row],[Column1344]]</f>
        <v>99.724999999999994</v>
      </c>
      <c r="AYS26">
        <f>SOFR3mo_PX[[#This Row],[Column1345]]</f>
        <v>99.71</v>
      </c>
      <c r="AYT26">
        <f>SOFR3mo_PX[[#This Row],[Column1346]]</f>
        <v>99.704999999999998</v>
      </c>
      <c r="AYU26">
        <f>SOFR3mo_PX[[#This Row],[Column1347]]</f>
        <v>99.715000000000003</v>
      </c>
      <c r="AYV26">
        <f>SOFR3mo_PX[[#This Row],[Column1348]]</f>
        <v>99.715000000000003</v>
      </c>
      <c r="AYW26">
        <f>SOFR3mo_PX[[#This Row],[Column1349]]</f>
        <v>99.71</v>
      </c>
      <c r="AYX26">
        <f>SOFR3mo_PX[[#This Row],[Column1350]]</f>
        <v>99.72</v>
      </c>
      <c r="AYY26">
        <f>SOFR3mo_PX[[#This Row],[Column1351]]</f>
        <v>99.7</v>
      </c>
      <c r="AYZ26">
        <f>SOFR3mo_PX[[#This Row],[Column1352]]</f>
        <v>99.69</v>
      </c>
      <c r="AZA26">
        <f>SOFR3mo_PX[[#This Row],[Column1353]]</f>
        <v>99.674999999999997</v>
      </c>
      <c r="AZB26">
        <f>SOFR3mo_PX[[#This Row],[Column1354]]</f>
        <v>99.665000000000006</v>
      </c>
      <c r="AZC26">
        <f>SOFR3mo_PX[[#This Row],[Column1355]]</f>
        <v>99.635000000000005</v>
      </c>
      <c r="AZD26">
        <f>SOFR3mo_PX[[#This Row],[Column1356]]</f>
        <v>99.62</v>
      </c>
      <c r="AZE26">
        <f>SOFR3mo_PX[[#This Row],[Column1357]]</f>
        <v>99.63</v>
      </c>
      <c r="AZF26">
        <f>SOFR3mo_PX[[#This Row],[Column1358]]</f>
        <v>99.63</v>
      </c>
      <c r="AZG26">
        <f>SOFR3mo_PX[[#This Row],[Column1359]]</f>
        <v>99.61</v>
      </c>
      <c r="AZH26">
        <f>SOFR3mo_PX[[#This Row],[Column1360]]</f>
        <v>99.594999999999999</v>
      </c>
      <c r="AZI26">
        <f>SOFR3mo_PX[[#This Row],[Column1361]]</f>
        <v>99.64</v>
      </c>
      <c r="AZJ26">
        <f>SOFR3mo_PX[[#This Row],[Column1362]]</f>
        <v>99.7</v>
      </c>
      <c r="AZK26">
        <f>SOFR3mo_PX[[#This Row],[Column1363]]</f>
        <v>99.694999999999993</v>
      </c>
      <c r="AZL26">
        <f>SOFR3mo_PX[[#This Row],[Column1364]]</f>
        <v>99.71</v>
      </c>
      <c r="AZM26">
        <f>SOFR3mo_PX[[#This Row],[Column1365]]</f>
        <v>99.685000000000002</v>
      </c>
      <c r="AZN26">
        <f>SOFR3mo_PX[[#This Row],[Column1366]]</f>
        <v>99.715000000000003</v>
      </c>
      <c r="AZO26">
        <f>SOFR3mo_PX[[#This Row],[Column1367]]</f>
        <v>99.67</v>
      </c>
      <c r="AZP26">
        <f>SOFR3mo_PX[[#This Row],[Column1368]]</f>
        <v>99.65</v>
      </c>
      <c r="AZQ26">
        <f>SOFR3mo_PX[[#This Row],[Column1369]]</f>
        <v>99.62</v>
      </c>
      <c r="AZR26">
        <f>SOFR3mo_PX[[#This Row],[Column1370]]</f>
        <v>99.614999999999995</v>
      </c>
      <c r="AZS26">
        <f>SOFR3mo_PX[[#This Row],[Column1371]]</f>
        <v>99.674999999999997</v>
      </c>
      <c r="AZT26">
        <f>SOFR3mo_PX[[#This Row],[Column1372]]</f>
        <v>99.594999999999999</v>
      </c>
      <c r="AZU26">
        <f>SOFR3mo_PX[[#This Row],[Column1373]]</f>
        <v>99.534999999999997</v>
      </c>
      <c r="AZV26">
        <f>SOFR3mo_PX[[#This Row],[Column1374]]</f>
        <v>99.43</v>
      </c>
      <c r="AZW26">
        <f>SOFR3mo_PX[[#This Row],[Column1375]]</f>
        <v>99.545000000000002</v>
      </c>
      <c r="AZX26">
        <f>SOFR3mo_PX[[#This Row],[Column1376]]</f>
        <v>99.594999999999999</v>
      </c>
      <c r="AZY26">
        <f>SOFR3mo_PX[[#This Row],[Column1377]]</f>
        <v>99.52</v>
      </c>
      <c r="AZZ26">
        <f>SOFR3mo_PX[[#This Row],[Column1378]]</f>
        <v>99.56</v>
      </c>
      <c r="BAA26">
        <f>SOFR3mo_PX[[#This Row],[Column1379]]</f>
        <v>99.49</v>
      </c>
      <c r="BAB26">
        <f>SOFR3mo_PX[[#This Row],[Column1380]]</f>
        <v>99.48</v>
      </c>
      <c r="BAC26">
        <f>SOFR3mo_PX[[#This Row],[Column1381]]</f>
        <v>99.6</v>
      </c>
      <c r="BAD26">
        <f>SOFR3mo_PX[[#This Row],[Column1382]]</f>
        <v>99.525000000000006</v>
      </c>
      <c r="BAE26">
        <f>SOFR3mo_PX[[#This Row],[Column1383]]</f>
        <v>99.44</v>
      </c>
      <c r="BAF26">
        <f>SOFR3mo_PX[[#This Row],[Column1384]]</f>
        <v>99.39</v>
      </c>
      <c r="BAG26">
        <f>SOFR3mo_PX[[#This Row],[Column1385]]</f>
        <v>99.33</v>
      </c>
      <c r="BAH26">
        <f>SOFR3mo_PX[[#This Row],[Column1386]]</f>
        <v>99.26</v>
      </c>
      <c r="BAI26">
        <f>SOFR3mo_PX[[#This Row],[Column1387]]</f>
        <v>99.26</v>
      </c>
      <c r="BAJ26">
        <f>SOFR3mo_PX[[#This Row],[Column1388]]</f>
        <v>99.06</v>
      </c>
      <c r="BAK26">
        <f>SOFR3mo_PX[[#This Row],[Column1389]]</f>
        <v>99.004999999999995</v>
      </c>
      <c r="BAL26">
        <f>SOFR3mo_PX[[#This Row],[Column1390]]</f>
        <v>99.015000000000001</v>
      </c>
      <c r="BAM26">
        <f>SOFR3mo_PX[[#This Row],[Column1391]]</f>
        <v>98.96</v>
      </c>
      <c r="BAN26">
        <f>SOFR3mo_PX[[#This Row],[Column1392]]</f>
        <v>98.85</v>
      </c>
      <c r="BAO26">
        <f>SOFR3mo_PX[[#This Row],[Column1393]]</f>
        <v>98.784999999999997</v>
      </c>
      <c r="BAP26">
        <f>SOFR3mo_PX[[#This Row],[Column1394]]</f>
        <v>98.74</v>
      </c>
      <c r="BAQ26">
        <f>SOFR3mo_PX[[#This Row],[Column1395]]</f>
        <v>98.765000000000001</v>
      </c>
      <c r="BAR26">
        <f>SOFR3mo_PX[[#This Row],[Column1396]]</f>
        <v>98.734999999999999</v>
      </c>
      <c r="BAS26">
        <f>SOFR3mo_PX[[#This Row],[Column1397]]</f>
        <v>98.734999999999999</v>
      </c>
      <c r="BAT26">
        <f>SOFR3mo_PX[[#This Row],[Column1398]]</f>
        <v>98.7</v>
      </c>
      <c r="BAU26">
        <f>SOFR3mo_PX[[#This Row],[Column1399]]</f>
        <v>98.7</v>
      </c>
      <c r="BAV26">
        <f>SOFR3mo_PX[[#This Row],[Column1400]]</f>
        <v>98.74</v>
      </c>
      <c r="BAW26">
        <f>SOFR3mo_PX[[#This Row],[Column1401]]</f>
        <v>98.77</v>
      </c>
      <c r="BAX26">
        <f>SOFR3mo_PX[[#This Row],[Column1402]]</f>
        <v>98.734999999999999</v>
      </c>
      <c r="BAY26">
        <f>SOFR3mo_PX[[#This Row],[Column1403]]</f>
        <v>98.68</v>
      </c>
      <c r="BAZ26">
        <f>SOFR3mo_PX[[#This Row],[Column1404]]</f>
        <v>98.7</v>
      </c>
      <c r="BBA26">
        <f>SOFR3mo_PX[[#This Row],[Column1405]]</f>
        <v>98.74</v>
      </c>
      <c r="BBB26">
        <f>SOFR3mo_PX[[#This Row],[Column1406]]</f>
        <v>98.825000000000003</v>
      </c>
      <c r="BBC26">
        <f>SOFR3mo_PX[[#This Row],[Column1407]]</f>
        <v>98.84</v>
      </c>
      <c r="BBD26">
        <f>SOFR3mo_PX[[#This Row],[Column1408]]</f>
        <v>98.784999999999997</v>
      </c>
      <c r="BBE26">
        <f>SOFR3mo_PX[[#This Row],[Column1409]]</f>
        <v>98.74</v>
      </c>
      <c r="BBF26">
        <f>SOFR3mo_PX[[#This Row],[Column1410]]</f>
        <v>98.69</v>
      </c>
      <c r="BBG26">
        <f>SOFR3mo_PX[[#This Row],[Column1411]]</f>
        <v>98.724999999999994</v>
      </c>
      <c r="BBH26">
        <f>SOFR3mo_PX[[#This Row],[Column1412]]</f>
        <v>98.64</v>
      </c>
      <c r="BBI26">
        <f>SOFR3mo_PX[[#This Row],[Column1413]]</f>
        <v>98.584999999999994</v>
      </c>
      <c r="BBJ26">
        <f>SOFR3mo_PX[[#This Row],[Column1414]]</f>
        <v>98.564999999999998</v>
      </c>
      <c r="BBK26">
        <f>SOFR3mo_PX[[#This Row],[Column1415]]</f>
        <v>98.55</v>
      </c>
      <c r="BBL26">
        <f>SOFR3mo_PX[[#This Row],[Column1416]]</f>
        <v>98.495000000000005</v>
      </c>
      <c r="BBM26">
        <f>SOFR3mo_PX[[#This Row],[Column1417]]</f>
        <v>98.495000000000005</v>
      </c>
      <c r="BBN26">
        <f>SOFR3mo_PX[[#This Row],[Column1418]]</f>
        <v>98.51</v>
      </c>
      <c r="BBO26">
        <f>SOFR3mo_PX[[#This Row],[Column1419]]</f>
        <v>98.52</v>
      </c>
      <c r="BBP26">
        <f>SOFR3mo_PX[[#This Row],[Column1420]]</f>
        <v>98.51</v>
      </c>
      <c r="BBQ26">
        <f>SOFR3mo_PX[[#This Row],[Column1421]]</f>
        <v>98.495000000000005</v>
      </c>
      <c r="BBR26">
        <f>SOFR3mo_PX[[#This Row],[Column1422]]</f>
        <v>98.5</v>
      </c>
      <c r="BBS26">
        <f>SOFR3mo_PX[[#This Row],[Column1423]]</f>
        <v>98.484999999999999</v>
      </c>
      <c r="BBT26">
        <f>SOFR3mo_PX[[#This Row],[Column1424]]</f>
        <v>98.48</v>
      </c>
      <c r="BBU26">
        <f>SOFR3mo_PX[[#This Row],[Column1425]]</f>
        <v>98.525000000000006</v>
      </c>
      <c r="BBV26">
        <f>SOFR3mo_PX[[#This Row],[Column1426]]</f>
        <v>98.534999999999997</v>
      </c>
      <c r="BBW26">
        <f>SOFR3mo_PX[[#This Row],[Column1427]]</f>
        <v>98.54</v>
      </c>
      <c r="BBX26">
        <f>SOFR3mo_PX[[#This Row],[Column1428]]</f>
        <v>98.45</v>
      </c>
      <c r="BBY26">
        <f>SOFR3mo_PX[[#This Row],[Column1429]]</f>
        <v>98.44</v>
      </c>
      <c r="BBZ26">
        <f>SOFR3mo_PX[[#This Row],[Column1430]]</f>
        <v>98.44</v>
      </c>
      <c r="BCA26">
        <f>SOFR3mo_PX[[#This Row],[Column1431]]</f>
        <v>98.444999999999993</v>
      </c>
      <c r="BCB26">
        <f>SOFR3mo_PX[[#This Row],[Column1432]]</f>
        <v>98.444999999999993</v>
      </c>
      <c r="BCC26">
        <f>SOFR3mo_PX[[#This Row],[Column1433]]</f>
        <v>98.405000000000001</v>
      </c>
      <c r="BCD26">
        <f>SOFR3mo_PX[[#This Row],[Column1434]]</f>
        <v>98.405000000000001</v>
      </c>
      <c r="BCE26">
        <f>SOFR3mo_PX[[#This Row],[Column1435]]</f>
        <v>98.405000000000001</v>
      </c>
      <c r="BCF26">
        <f>SOFR3mo_PX[[#This Row],[Column1436]]</f>
        <v>98.385000000000005</v>
      </c>
      <c r="BCG26">
        <f>SOFR3mo_PX[[#This Row],[Column1437]]</f>
        <v>98.424999999999997</v>
      </c>
      <c r="BCH26">
        <f>SOFR3mo_PX[[#This Row],[Column1438]]</f>
        <v>98.44</v>
      </c>
      <c r="BCI26">
        <f>SOFR3mo_PX[[#This Row],[Column1439]]</f>
        <v>98.42</v>
      </c>
      <c r="BCJ26">
        <f>SOFR3mo_PX[[#This Row],[Column1440]]</f>
        <v>98.45</v>
      </c>
      <c r="BCK26">
        <f>SOFR3mo_PX[[#This Row],[Column1441]]</f>
        <v>98.46</v>
      </c>
      <c r="BCL26">
        <f>SOFR3mo_PX[[#This Row],[Column1442]]</f>
        <v>98.534999999999997</v>
      </c>
      <c r="BCM26">
        <f>SOFR3mo_PX[[#This Row],[Column1443]]</f>
        <v>98.454999999999998</v>
      </c>
      <c r="BCN26">
        <f>SOFR3mo_PX[[#This Row],[Column1444]]</f>
        <v>98.54</v>
      </c>
      <c r="BCO26">
        <f>SOFR3mo_PX[[#This Row],[Column1445]]</f>
        <v>98.5</v>
      </c>
      <c r="BCP26">
        <f>SOFR3mo_PX[[#This Row],[Column1446]]</f>
        <v>98.515000000000001</v>
      </c>
      <c r="BCQ26">
        <f>SOFR3mo_PX[[#This Row],[Column1447]]</f>
        <v>98.525000000000006</v>
      </c>
      <c r="BCR26">
        <f>SOFR3mo_PX[[#This Row],[Column1448]]</f>
        <v>98.584999999999994</v>
      </c>
      <c r="BCS26">
        <f>SOFR3mo_PX[[#This Row],[Column1449]]</f>
        <v>98.6</v>
      </c>
      <c r="BCT26">
        <f>SOFR3mo_PX[[#This Row],[Column1450]]</f>
        <v>98.674999999999997</v>
      </c>
      <c r="BCU26">
        <f>SOFR3mo_PX[[#This Row],[Column1451]]</f>
        <v>98.555000000000007</v>
      </c>
      <c r="BCV26">
        <f>SOFR3mo_PX[[#This Row],[Column1452]]</f>
        <v>98.59</v>
      </c>
      <c r="BCW26">
        <f>SOFR3mo_PX[[#This Row],[Column1453]]</f>
        <v>98.58</v>
      </c>
      <c r="BCX26">
        <f>SOFR3mo_PX[[#This Row],[Column1454]]</f>
        <v>98.58</v>
      </c>
      <c r="BCY26">
        <f>SOFR3mo_PX[[#This Row],[Column1455]]</f>
        <v>98.62</v>
      </c>
      <c r="BCZ26">
        <f>SOFR3mo_PX[[#This Row],[Column1456]]</f>
        <v>98.61</v>
      </c>
      <c r="BDA26">
        <f>SOFR3mo_PX[[#This Row],[Column1457]]</f>
        <v>98.594999999999999</v>
      </c>
      <c r="BDB26">
        <f>SOFR3mo_PX[[#This Row],[Column1458]]</f>
        <v>98.614999999999995</v>
      </c>
      <c r="BDC26">
        <f>SOFR3mo_PX[[#This Row],[Column1459]]</f>
        <v>98.644999999999996</v>
      </c>
      <c r="BDD26">
        <f>SOFR3mo_PX[[#This Row],[Column1460]]</f>
        <v>98.61</v>
      </c>
      <c r="BDE26">
        <f>SOFR3mo_PX[[#This Row],[Column1461]]</f>
        <v>98.584999999999994</v>
      </c>
      <c r="BDF26">
        <f>SOFR3mo_PX[[#This Row],[Column1462]]</f>
        <v>98.56</v>
      </c>
      <c r="BDG26">
        <f>SOFR3mo_PX[[#This Row],[Column1463]]</f>
        <v>98.57</v>
      </c>
      <c r="BDH26">
        <f>SOFR3mo_PX[[#This Row],[Column1464]]</f>
        <v>98.52</v>
      </c>
      <c r="BDI26">
        <f>SOFR3mo_PX[[#This Row],[Column1465]]</f>
        <v>98.47</v>
      </c>
      <c r="BDJ26">
        <f>SOFR3mo_PX[[#This Row],[Column1466]]</f>
        <v>98.44</v>
      </c>
      <c r="BDK26">
        <f>SOFR3mo_PX[[#This Row],[Column1467]]</f>
        <v>98.45</v>
      </c>
      <c r="BDL26">
        <f>SOFR3mo_PX[[#This Row],[Column1468]]</f>
        <v>98.435000000000002</v>
      </c>
      <c r="BDM26">
        <f>SOFR3mo_PX[[#This Row],[Column1469]]</f>
        <v>98.545000000000002</v>
      </c>
      <c r="BDN26">
        <f>SOFR3mo_PX[[#This Row],[Column1470]]</f>
        <v>98.52</v>
      </c>
      <c r="BDO26">
        <f>SOFR3mo_PX[[#This Row],[Column1471]]</f>
        <v>98.58</v>
      </c>
      <c r="BDP26">
        <f>SOFR3mo_PX[[#This Row],[Column1472]]</f>
        <v>98.63</v>
      </c>
      <c r="BDQ26">
        <f>SOFR3mo_PX[[#This Row],[Column1473]]</f>
        <v>98.7</v>
      </c>
      <c r="BDR26">
        <f>SOFR3mo_PX[[#This Row],[Column1474]]</f>
        <v>98.575000000000003</v>
      </c>
      <c r="BDS26">
        <f>SOFR3mo_PX[[#This Row],[Column1475]]</f>
        <v>98.555000000000007</v>
      </c>
      <c r="BDT26">
        <f>SOFR3mo_PX[[#This Row],[Column1476]]</f>
        <v>98.56</v>
      </c>
      <c r="BDU26">
        <f>SOFR3mo_PX[[#This Row],[Column1477]]</f>
        <v>98.59</v>
      </c>
      <c r="BDV26">
        <f>SOFR3mo_PX[[#This Row],[Column1478]]</f>
        <v>98.635000000000005</v>
      </c>
      <c r="BDW26">
        <f>SOFR3mo_PX[[#This Row],[Column1479]]</f>
        <v>98.644999999999996</v>
      </c>
      <c r="BDX26">
        <f>SOFR3mo_PX[[#This Row],[Column1480]]</f>
        <v>98.625</v>
      </c>
      <c r="BDY26">
        <f>SOFR3mo_PX[[#This Row],[Column1481]]</f>
        <v>98.6</v>
      </c>
      <c r="BDZ26">
        <f>SOFR3mo_PX[[#This Row],[Column1482]]</f>
        <v>98.64</v>
      </c>
      <c r="BEA26">
        <f>SOFR3mo_PX[[#This Row],[Column1483]]</f>
        <v>98.614999999999995</v>
      </c>
      <c r="BEB26">
        <f>SOFR3mo_PX[[#This Row],[Column1484]]</f>
        <v>98.64</v>
      </c>
      <c r="BEC26">
        <f>SOFR3mo_PX[[#This Row],[Column1485]]</f>
        <v>98.6</v>
      </c>
      <c r="BED26">
        <f>SOFR3mo_PX[[#This Row],[Column1486]]</f>
        <v>98.655000000000001</v>
      </c>
      <c r="BEE26">
        <f>SOFR3mo_PX[[#This Row],[Column1487]]</f>
        <v>98.635000000000005</v>
      </c>
      <c r="BEF26">
        <f>SOFR3mo_PX[[#This Row],[Column1488]]</f>
        <v>98.765000000000001</v>
      </c>
      <c r="BEG26">
        <f>SOFR3mo_PX[[#This Row],[Column1489]]</f>
        <v>98.83</v>
      </c>
      <c r="BEH26">
        <f>SOFR3mo_PX[[#This Row],[Column1490]]</f>
        <v>98.885000000000005</v>
      </c>
      <c r="BEI26">
        <f>SOFR3mo_PX[[#This Row],[Column1491]]</f>
        <v>98.875</v>
      </c>
      <c r="BEJ26">
        <f>SOFR3mo_PX[[#This Row],[Column1492]]</f>
        <v>98.944999999999993</v>
      </c>
      <c r="BEK26">
        <f>SOFR3mo_PX[[#This Row],[Column1493]]</f>
        <v>98.954999999999998</v>
      </c>
      <c r="BEL26">
        <f>SOFR3mo_PX[[#This Row],[Column1494]]</f>
        <v>98.855000000000004</v>
      </c>
      <c r="BEM26">
        <f>SOFR3mo_PX[[#This Row],[Column1495]]</f>
        <v>98.78</v>
      </c>
      <c r="BEN26">
        <f>SOFR3mo_PX[[#This Row],[Column1496]]</f>
        <v>98.71</v>
      </c>
      <c r="BEO26">
        <f>SOFR3mo_PX[[#This Row],[Column1497]]</f>
        <v>98.72</v>
      </c>
      <c r="BEP26" t="str">
        <f>SOFR3mo_PX[[#This Row],[Column1498]]</f>
        <v>#N/A N/A</v>
      </c>
      <c r="BEQ26" t="str">
        <f>SOFR3mo_PX[[#This Row],[Column1499]]</f>
        <v>#N/A N/A</v>
      </c>
      <c r="BER26" t="str">
        <f>SOFR3mo_PX[[#This Row],[Column1500]]</f>
        <v>#N/A N/A</v>
      </c>
      <c r="BES26" t="str">
        <f>SOFR3mo_PX[[#This Row],[Column1501]]</f>
        <v>#N/A N/A</v>
      </c>
      <c r="BET26" t="str">
        <f>SOFR3mo_PX[[#This Row],[Column1502]]</f>
        <v>#N/A N/A</v>
      </c>
      <c r="BEU26" t="str">
        <f>SOFR3mo_PX[[#This Row],[Column1503]]</f>
        <v>#N/A N/A</v>
      </c>
      <c r="BEV26" t="str">
        <f>SOFR3mo_PX[[#This Row],[Column1504]]</f>
        <v>#N/A N/A</v>
      </c>
      <c r="BEW26" t="str">
        <f>SOFR3mo_PX[[#This Row],[Column1505]]</f>
        <v>#N/A N/A</v>
      </c>
      <c r="BEX26" t="str">
        <f>SOFR3mo_PX[[#This Row],[Column1506]]</f>
        <v>#N/A N/A</v>
      </c>
      <c r="BEY26" t="str">
        <f>SOFR3mo_PX[[#This Row],[Column1507]]</f>
        <v>#N/A N/A</v>
      </c>
      <c r="BEZ26" t="str">
        <f>SOFR3mo_PX[[#This Row],[Column1508]]</f>
        <v>#N/A N/A</v>
      </c>
      <c r="BFA26" t="str">
        <f>SOFR3mo_PX[[#This Row],[Column1509]]</f>
        <v>#N/A N/A</v>
      </c>
      <c r="BFB26" t="str">
        <f>SOFR3mo_PX[[#This Row],[Column1510]]</f>
        <v>#N/A N/A</v>
      </c>
      <c r="BFC26" t="str">
        <f>SOFR3mo_PX[[#This Row],[Column1511]]</f>
        <v>#N/A N/A</v>
      </c>
      <c r="BFD26" t="str">
        <f>SOFR3mo_PX[[#This Row],[Column1512]]</f>
        <v>#N/A N/A</v>
      </c>
      <c r="BFE26" t="str">
        <f>SOFR3mo_PX[[#This Row],[Column1513]]</f>
        <v>#N/A N/A</v>
      </c>
      <c r="BFF26" t="str">
        <f>SOFR3mo_PX[[#This Row],[Column1514]]</f>
        <v>#N/A N/A</v>
      </c>
      <c r="BFG26" t="str">
        <f>SOFR3mo_PX[[#This Row],[Column1515]]</f>
        <v>#N/A N/A</v>
      </c>
      <c r="BFH26" t="str">
        <f>SOFR3mo_PX[[#This Row],[Column1516]]</f>
        <v>#N/A N/A</v>
      </c>
      <c r="BFI26" t="str">
        <f>SOFR3mo_PX[[#This Row],[Column1517]]</f>
        <v>#N/A N/A</v>
      </c>
      <c r="BFJ26" t="str">
        <f>SOFR3mo_PX[[#This Row],[Column1518]]</f>
        <v>#N/A N/A</v>
      </c>
      <c r="BFK26" t="str">
        <f>SOFR3mo_PX[[#This Row],[Column1519]]</f>
        <v>#N/A N/A</v>
      </c>
      <c r="BFL26" t="str">
        <f>SOFR3mo_PX[[#This Row],[Column1520]]</f>
        <v>#N/A N/A</v>
      </c>
      <c r="BFM26" t="str">
        <f>SOFR3mo_PX[[#This Row],[Column1521]]</f>
        <v>#N/A N/A</v>
      </c>
      <c r="BFN26" t="str">
        <f>SOFR3mo_PX[[#This Row],[Column1522]]</f>
        <v>#N/A N/A</v>
      </c>
      <c r="BFO26" t="str">
        <f>SOFR3mo_PX[[#This Row],[Column1523]]</f>
        <v>#N/A N/A</v>
      </c>
      <c r="BFP26" t="str">
        <f>SOFR3mo_PX[[#This Row],[Column1524]]</f>
        <v>#N/A N/A</v>
      </c>
      <c r="BFQ26" t="str">
        <f>SOFR3mo_PX[[#This Row],[Column1525]]</f>
        <v>#N/A N/A</v>
      </c>
      <c r="BFR26" t="str">
        <f>SOFR3mo_PX[[#This Row],[Column1526]]</f>
        <v>#N/A N/A</v>
      </c>
      <c r="BFS26" t="str">
        <f>SOFR3mo_PX[[#This Row],[Column1527]]</f>
        <v>#N/A N/A</v>
      </c>
      <c r="BFT26" t="str">
        <f>SOFR3mo_PX[[#This Row],[Column1528]]</f>
        <v>#N/A N/A</v>
      </c>
      <c r="BFU26" t="str">
        <f>SOFR3mo_PX[[#This Row],[Column1529]]</f>
        <v>#N/A N/A</v>
      </c>
      <c r="BFV26" t="str">
        <f>SOFR3mo_PX[[#This Row],[Column1530]]</f>
        <v>#N/A N/A</v>
      </c>
      <c r="BFW26" t="str">
        <f>SOFR3mo_PX[[#This Row],[Column1531]]</f>
        <v>#N/A N/A</v>
      </c>
      <c r="BFX26" t="str">
        <f>SOFR3mo_PX[[#This Row],[Column1532]]</f>
        <v>#N/A N/A</v>
      </c>
      <c r="BFY26" t="str">
        <f>SOFR3mo_PX[[#This Row],[Column1533]]</f>
        <v>#N/A N/A</v>
      </c>
      <c r="BFZ26" t="str">
        <f>SOFR3mo_PX[[#This Row],[Column1534]]</f>
        <v>#N/A N/A</v>
      </c>
      <c r="BGA26" t="str">
        <f>SOFR3mo_PX[[#This Row],[Column1535]]</f>
        <v>#N/A N/A</v>
      </c>
      <c r="BGB26" t="str">
        <f>SOFR3mo_PX[[#This Row],[Column1536]]</f>
        <v>#N/A N/A</v>
      </c>
      <c r="BGC26" t="str">
        <f>SOFR3mo_PX[[#This Row],[Column1537]]</f>
        <v>#N/A N/A</v>
      </c>
      <c r="BGD26" t="str">
        <f>SOFR3mo_PX[[#This Row],[Column1538]]</f>
        <v>#N/A N/A</v>
      </c>
      <c r="BGE26" t="str">
        <f>SOFR3mo_PX[[#This Row],[Column1539]]</f>
        <v>#N/A N/A</v>
      </c>
      <c r="BGF26" t="str">
        <f>SOFR3mo_PX[[#This Row],[Column1540]]</f>
        <v>#N/A N/A</v>
      </c>
      <c r="BGG26" t="str">
        <f>SOFR3mo_PX[[#This Row],[Column1541]]</f>
        <v>#N/A N/A</v>
      </c>
      <c r="BGH26" t="str">
        <f>SOFR3mo_PX[[#This Row],[Column1542]]</f>
        <v>#N/A N/A</v>
      </c>
      <c r="BGI26" t="str">
        <f>SOFR3mo_PX[[#This Row],[Column1543]]</f>
        <v>#N/A N/A</v>
      </c>
      <c r="BGJ26" t="str">
        <f>SOFR3mo_PX[[#This Row],[Column1544]]</f>
        <v>#N/A N/A</v>
      </c>
      <c r="BGK26" t="str">
        <f>SOFR3mo_PX[[#This Row],[Column1545]]</f>
        <v>#N/A N/A</v>
      </c>
      <c r="BGL26" t="str">
        <f>SOFR3mo_PX[[#This Row],[Column1546]]</f>
        <v>#N/A N/A</v>
      </c>
      <c r="BGM26" t="str">
        <f>SOFR3mo_PX[[#This Row],[Column1547]]</f>
        <v>#N/A N/A</v>
      </c>
      <c r="BGN26" t="str">
        <f>SOFR3mo_PX[[#This Row],[Column1548]]</f>
        <v>#N/A N/A</v>
      </c>
      <c r="BGO26" t="str">
        <f>SOFR3mo_PX[[#This Row],[Column1549]]</f>
        <v>#N/A N/A</v>
      </c>
      <c r="BGP26" t="str">
        <f>SOFR3mo_PX[[#This Row],[Column1550]]</f>
        <v>#N/A N/A</v>
      </c>
      <c r="BGQ26" t="str">
        <f>SOFR3mo_PX[[#This Row],[Column1551]]</f>
        <v>#N/A N/A</v>
      </c>
      <c r="BGR26" t="str">
        <f>SOFR3mo_PX[[#This Row],[Column1552]]</f>
        <v>#N/A N/A</v>
      </c>
      <c r="BGS26" t="str">
        <f>SOFR3mo_PX[[#This Row],[Column1553]]</f>
        <v>#N/A N/A</v>
      </c>
      <c r="BGT26" t="str">
        <f>SOFR3mo_PX[[#This Row],[Column1554]]</f>
        <v>#N/A N/A</v>
      </c>
      <c r="BGU26" t="str">
        <f>SOFR3mo_PX[[#This Row],[Column1555]]</f>
        <v>#N/A N/A</v>
      </c>
      <c r="BGV26" t="str">
        <f>SOFR3mo_PX[[#This Row],[Column1556]]</f>
        <v>#N/A N/A</v>
      </c>
      <c r="BGW26" t="str">
        <f>SOFR3mo_PX[[#This Row],[Column1557]]</f>
        <v>#N/A N/A</v>
      </c>
      <c r="BGX26" t="str">
        <f>SOFR3mo_PX[[#This Row],[Column1558]]</f>
        <v>#N/A N/A</v>
      </c>
      <c r="BGY26" t="str">
        <f>SOFR3mo_PX[[#This Row],[Column1559]]</f>
        <v>#N/A N/A</v>
      </c>
      <c r="BGZ26" t="str">
        <f>SOFR3mo_PX[[#This Row],[Column1560]]</f>
        <v>#N/A N/A</v>
      </c>
      <c r="BHA26" t="str">
        <f>SOFR3mo_PX[[#This Row],[Column1561]]</f>
        <v>#N/A N/A</v>
      </c>
      <c r="BHB26" t="str">
        <f>SOFR3mo_PX[[#This Row],[Column1562]]</f>
        <v>#N/A N/A</v>
      </c>
      <c r="BHC26" t="str">
        <f>SOFR3mo_PX[[#This Row],[Column1563]]</f>
        <v>#N/A N/A</v>
      </c>
      <c r="BHD26" t="str">
        <f>SOFR3mo_PX[[#This Row],[Column1564]]</f>
        <v>#N/A N/A</v>
      </c>
      <c r="BHE26" t="str">
        <f>SOFR3mo_PX[[#This Row],[Column1565]]</f>
        <v>#N/A N/A</v>
      </c>
      <c r="BHF26" t="str">
        <f>SOFR3mo_PX[[#This Row],[Column1566]]</f>
        <v>#N/A N/A</v>
      </c>
      <c r="BHG26" t="str">
        <f>SOFR3mo_PX[[#This Row],[Column1567]]</f>
        <v>#N/A N/A</v>
      </c>
      <c r="BHH26" t="str">
        <f>SOFR3mo_PX[[#This Row],[Column1568]]</f>
        <v>#N/A N/A</v>
      </c>
      <c r="BHI26" t="str">
        <f>SOFR3mo_PX[[#This Row],[Column1569]]</f>
        <v>#N/A N/A</v>
      </c>
      <c r="BHJ26" t="str">
        <f>SOFR3mo_PX[[#This Row],[Column1570]]</f>
        <v>#N/A N/A</v>
      </c>
      <c r="BHK26" t="str">
        <f>SOFR3mo_PX[[#This Row],[Column1571]]</f>
        <v>#N/A N/A</v>
      </c>
      <c r="BHL26" t="str">
        <f>SOFR3mo_PX[[#This Row],[Column1572]]</f>
        <v>#N/A N/A</v>
      </c>
      <c r="BHM26" t="str">
        <f>SOFR3mo_PX[[#This Row],[Column1573]]</f>
        <v>#N/A N/A</v>
      </c>
      <c r="BHN26" t="str">
        <f>SOFR3mo_PX[[#This Row],[Column1574]]</f>
        <v>#N/A N/A</v>
      </c>
      <c r="BHO26" t="str">
        <f>SOFR3mo_PX[[#This Row],[Column1575]]</f>
        <v>#N/A N/A</v>
      </c>
      <c r="BHP26" t="str">
        <f>SOFR3mo_PX[[#This Row],[Column1576]]</f>
        <v>#N/A N/A</v>
      </c>
      <c r="BHQ26" t="str">
        <f>SOFR3mo_PX[[#This Row],[Column1577]]</f>
        <v>#N/A N/A</v>
      </c>
      <c r="BHR26" t="str">
        <f>SOFR3mo_PX[[#This Row],[Column1578]]</f>
        <v>#N/A N/A</v>
      </c>
      <c r="BHS26" t="str">
        <f>SOFR3mo_PX[[#This Row],[Column1579]]</f>
        <v>#N/A N/A</v>
      </c>
      <c r="BHT26" t="str">
        <f>SOFR3mo_PX[[#This Row],[Column1580]]</f>
        <v>#N/A N/A</v>
      </c>
      <c r="BHU26" t="str">
        <f>SOFR3mo_PX[[#This Row],[Column1581]]</f>
        <v>#N/A N/A</v>
      </c>
      <c r="BHV26" t="str">
        <f>SOFR3mo_PX[[#This Row],[Column1582]]</f>
        <v>#N/A N/A</v>
      </c>
      <c r="BHW26" t="str">
        <f>SOFR3mo_PX[[#This Row],[Column1583]]</f>
        <v>#N/A N/A</v>
      </c>
      <c r="BHX26" t="str">
        <f>SOFR3mo_PX[[#This Row],[Column1584]]</f>
        <v>#N/A N/A</v>
      </c>
      <c r="BHY26" t="str">
        <f>SOFR3mo_PX[[#This Row],[Column1585]]</f>
        <v>#N/A N/A</v>
      </c>
      <c r="BHZ26" t="str">
        <f>SOFR3mo_PX[[#This Row],[Column1586]]</f>
        <v>#N/A N/A</v>
      </c>
      <c r="BIA26" t="str">
        <f>SOFR3mo_PX[[#This Row],[Column1587]]</f>
        <v>#N/A N/A</v>
      </c>
      <c r="BIB26" t="str">
        <f>SOFR3mo_PX[[#This Row],[Column1588]]</f>
        <v>#N/A N/A</v>
      </c>
      <c r="BIC26" t="str">
        <f>SOFR3mo_PX[[#This Row],[Column1589]]</f>
        <v>#N/A N/A</v>
      </c>
      <c r="BID26" t="str">
        <f>SOFR3mo_PX[[#This Row],[Column1590]]</f>
        <v>#N/A N/A</v>
      </c>
      <c r="BIE26" t="str">
        <f>SOFR3mo_PX[[#This Row],[Column1591]]</f>
        <v>#N/A N/A</v>
      </c>
      <c r="BIF26" t="str">
        <f>SOFR3mo_PX[[#This Row],[Column1592]]</f>
        <v>#N/A N/A</v>
      </c>
      <c r="BIG26" t="str">
        <f>SOFR3mo_PX[[#This Row],[Column1593]]</f>
        <v>#N/A N/A</v>
      </c>
      <c r="BIH26" t="str">
        <f>SOFR3mo_PX[[#This Row],[Column1594]]</f>
        <v>#N/A N/A</v>
      </c>
      <c r="BII26" t="str">
        <f>SOFR3mo_PX[[#This Row],[Column1595]]</f>
        <v>#N/A N/A</v>
      </c>
      <c r="BIJ26" t="str">
        <f>SOFR3mo_PX[[#This Row],[Column1596]]</f>
        <v>#N/A N/A</v>
      </c>
      <c r="BIK26" t="str">
        <f>SOFR3mo_PX[[#This Row],[Column1597]]</f>
        <v>#N/A N/A</v>
      </c>
      <c r="BIL26" t="str">
        <f>SOFR3mo_PX[[#This Row],[Column1598]]</f>
        <v>#N/A N/A</v>
      </c>
      <c r="BIM26" t="str">
        <f>SOFR3mo_PX[[#This Row],[Column1599]]</f>
        <v>#N/A N/A</v>
      </c>
      <c r="BIN26" t="str">
        <f>SOFR3mo_PX[[#This Row],[Column1600]]</f>
        <v>#N/A N/A</v>
      </c>
      <c r="BIO26" t="str">
        <f>SOFR3mo_PX[[#This Row],[Column1601]]</f>
        <v>#N/A N/A</v>
      </c>
      <c r="BIP26" t="str">
        <f>SOFR3mo_PX[[#This Row],[Column1602]]</f>
        <v>#N/A N/A</v>
      </c>
      <c r="BIQ26" t="str">
        <f>SOFR3mo_PX[[#This Row],[Column1603]]</f>
        <v>#N/A N/A</v>
      </c>
      <c r="BIR26" t="str">
        <f>SOFR3mo_PX[[#This Row],[Column1604]]</f>
        <v>#N/A N/A</v>
      </c>
      <c r="BIS26" t="str">
        <f>SOFR3mo_PX[[#This Row],[Column1605]]</f>
        <v>#N/A N/A</v>
      </c>
      <c r="BIT26" t="str">
        <f>SOFR3mo_PX[[#This Row],[Column1606]]</f>
        <v>#N/A N/A</v>
      </c>
      <c r="BIU26" t="str">
        <f>SOFR3mo_PX[[#This Row],[Column1607]]</f>
        <v>#N/A N/A</v>
      </c>
      <c r="BIV26" t="str">
        <f>SOFR3mo_PX[[#This Row],[Column1608]]</f>
        <v>#N/A N/A</v>
      </c>
      <c r="BIW26" t="str">
        <f>SOFR3mo_PX[[#This Row],[Column1609]]</f>
        <v>#N/A N/A</v>
      </c>
      <c r="BIX26" t="str">
        <f>SOFR3mo_PX[[#This Row],[Column1610]]</f>
        <v>#N/A N/A</v>
      </c>
      <c r="BIY26" t="str">
        <f>SOFR3mo_PX[[#This Row],[Column1611]]</f>
        <v>#N/A N/A</v>
      </c>
      <c r="BIZ26" t="str">
        <f>SOFR3mo_PX[[#This Row],[Column1612]]</f>
        <v>#N/A N/A</v>
      </c>
      <c r="BJA26" t="str">
        <f>SOFR3mo_PX[[#This Row],[Column1613]]</f>
        <v>#N/A N/A</v>
      </c>
      <c r="BJB26" t="str">
        <f>SOFR3mo_PX[[#This Row],[Column1614]]</f>
        <v>#N/A N/A</v>
      </c>
      <c r="BJC26" t="str">
        <f>SOFR3mo_PX[[#This Row],[Column1615]]</f>
        <v>#N/A N/A</v>
      </c>
      <c r="BJD26" t="str">
        <f>SOFR3mo_PX[[#This Row],[Column1616]]</f>
        <v>#N/A N/A</v>
      </c>
      <c r="BJE26" t="str">
        <f>SOFR3mo_PX[[#This Row],[Column1617]]</f>
        <v>#N/A N/A</v>
      </c>
      <c r="BJF26" t="str">
        <f>SOFR3mo_PX[[#This Row],[Column1618]]</f>
        <v>#N/A N/A</v>
      </c>
      <c r="BJG26" t="str">
        <f>SOFR3mo_PX[[#This Row],[Column1619]]</f>
        <v>#N/A N/A</v>
      </c>
      <c r="BJH26" t="str">
        <f>SOFR3mo_PX[[#This Row],[Column1620]]</f>
        <v>#N/A N/A</v>
      </c>
      <c r="BJI26" t="str">
        <f>SOFR3mo_PX[[#This Row],[Column1621]]</f>
        <v>#N/A N/A</v>
      </c>
      <c r="BJJ26" t="str">
        <f>SOFR3mo_PX[[#This Row],[Column1622]]</f>
        <v>#N/A N/A</v>
      </c>
      <c r="BJK26" t="str">
        <f>SOFR3mo_PX[[#This Row],[Column1623]]</f>
        <v>#N/A N/A</v>
      </c>
      <c r="BJL26" t="str">
        <f>SOFR3mo_PX[[#This Row],[Column1624]]</f>
        <v>#N/A N/A</v>
      </c>
      <c r="BJM26" t="str">
        <f>SOFR3mo_PX[[#This Row],[Column1625]]</f>
        <v>#N/A N/A</v>
      </c>
      <c r="BJN26" t="str">
        <f>SOFR3mo_PX[[#This Row],[Column1626]]</f>
        <v>#N/A N/A</v>
      </c>
      <c r="BJO26" t="str">
        <f>SOFR3mo_PX[[#This Row],[Column1627]]</f>
        <v>#N/A N/A</v>
      </c>
      <c r="BJP26" t="str">
        <f>SOFR3mo_PX[[#This Row],[Column1628]]</f>
        <v>#N/A N/A</v>
      </c>
      <c r="BJQ26" t="str">
        <f>SOFR3mo_PX[[#This Row],[Column1629]]</f>
        <v>#N/A N/A</v>
      </c>
      <c r="BJR26" t="str">
        <f>SOFR3mo_PX[[#This Row],[Column1630]]</f>
        <v>#N/A N/A</v>
      </c>
      <c r="BJS26" t="str">
        <f>SOFR3mo_PX[[#This Row],[Column1631]]</f>
        <v>#N/A N/A</v>
      </c>
      <c r="BJT26" t="str">
        <f>SOFR3mo_PX[[#This Row],[Column1632]]</f>
        <v>#N/A N/A</v>
      </c>
      <c r="BJU26" t="str">
        <f>SOFR3mo_PX[[#This Row],[Column1633]]</f>
        <v>#N/A N/A</v>
      </c>
      <c r="BJV26" t="str">
        <f>SOFR3mo_PX[[#This Row],[Column1634]]</f>
        <v>#N/A N/A</v>
      </c>
      <c r="BJW26" t="str">
        <f>SOFR3mo_PX[[#This Row],[Column1635]]</f>
        <v>#N/A N/A</v>
      </c>
      <c r="BJX26" t="str">
        <f>SOFR3mo_PX[[#This Row],[Column1636]]</f>
        <v>#N/A N/A</v>
      </c>
      <c r="BJY26" t="str">
        <f>SOFR3mo_PX[[#This Row],[Column1637]]</f>
        <v>#N/A N/A</v>
      </c>
      <c r="BJZ26" t="str">
        <f>SOFR3mo_PX[[#This Row],[Column1638]]</f>
        <v>#N/A N/A</v>
      </c>
      <c r="BKA26" t="str">
        <f>SOFR3mo_PX[[#This Row],[Column1639]]</f>
        <v>#N/A N/A</v>
      </c>
      <c r="BKB26" t="str">
        <f>SOFR3mo_PX[[#This Row],[Column1640]]</f>
        <v>#N/A N/A</v>
      </c>
      <c r="BKC26" t="str">
        <f>SOFR3mo_PX[[#This Row],[Column1641]]</f>
        <v>#N/A N/A</v>
      </c>
      <c r="BKD26" t="str">
        <f>SOFR3mo_PX[[#This Row],[Column1642]]</f>
        <v>#N/A N/A</v>
      </c>
      <c r="BKE26" t="str">
        <f>SOFR3mo_PX[[#This Row],[Column1643]]</f>
        <v>#N/A N/A</v>
      </c>
      <c r="BKF26" t="str">
        <f>SOFR3mo_PX[[#This Row],[Column1644]]</f>
        <v>#N/A N/A</v>
      </c>
      <c r="BKG26" t="str">
        <f>SOFR3mo_PX[[#This Row],[Column1645]]</f>
        <v>#N/A N/A</v>
      </c>
      <c r="BKH26" t="str">
        <f>SOFR3mo_PX[[#This Row],[Column1646]]</f>
        <v>#N/A N/A</v>
      </c>
      <c r="BKI26" t="str">
        <f>SOFR3mo_PX[[#This Row],[Column1647]]</f>
        <v>#N/A N/A</v>
      </c>
      <c r="BKJ26" t="str">
        <f>SOFR3mo_PX[[#This Row],[Column1648]]</f>
        <v>#N/A N/A</v>
      </c>
      <c r="BKK26" t="str">
        <f>SOFR3mo_PX[[#This Row],[Column1649]]</f>
        <v>#N/A N/A</v>
      </c>
      <c r="BKL26" t="str">
        <f>SOFR3mo_PX[[#This Row],[Column1650]]</f>
        <v>#N/A N/A</v>
      </c>
      <c r="BKM26" t="str">
        <f>SOFR3mo_PX[[#This Row],[Column1651]]</f>
        <v>#N/A N/A</v>
      </c>
      <c r="BKN26" t="str">
        <f>SOFR3mo_PX[[#This Row],[Column1652]]</f>
        <v>#N/A N/A</v>
      </c>
      <c r="BKO26" t="str">
        <f>SOFR3mo_PX[[#This Row],[Column1653]]</f>
        <v>#N/A N/A</v>
      </c>
      <c r="BKP26" t="str">
        <f>SOFR3mo_PX[[#This Row],[Column1654]]</f>
        <v>#N/A N/A</v>
      </c>
      <c r="BKQ26" t="str">
        <f>SOFR3mo_PX[[#This Row],[Column1655]]</f>
        <v>#N/A N/A</v>
      </c>
      <c r="BKR26" t="str">
        <f>SOFR3mo_PX[[#This Row],[Column1656]]</f>
        <v>#N/A N/A</v>
      </c>
      <c r="BKS26" t="str">
        <f>SOFR3mo_PX[[#This Row],[Column1657]]</f>
        <v>#N/A N/A</v>
      </c>
      <c r="BKT26" t="str">
        <f>SOFR3mo_PX[[#This Row],[Column1658]]</f>
        <v>#N/A N/A</v>
      </c>
      <c r="BKU26" t="str">
        <f>SOFR3mo_PX[[#This Row],[Column1659]]</f>
        <v>#N/A N/A</v>
      </c>
      <c r="BKV26" t="str">
        <f>SOFR3mo_PX[[#This Row],[Column1660]]</f>
        <v>#N/A N/A</v>
      </c>
      <c r="BKW26" t="str">
        <f>SOFR3mo_PX[[#This Row],[Column1661]]</f>
        <v>#N/A N/A</v>
      </c>
      <c r="BKX26" t="str">
        <f>SOFR3mo_PX[[#This Row],[Column1662]]</f>
        <v>#N/A N/A</v>
      </c>
      <c r="BKY26" t="str">
        <f>SOFR3mo_PX[[#This Row],[Column1663]]</f>
        <v>#N/A N/A</v>
      </c>
      <c r="BKZ26" t="str">
        <f>SOFR3mo_PX[[#This Row],[Column1664]]</f>
        <v>#N/A N/A</v>
      </c>
      <c r="BLA26" t="str">
        <f>SOFR3mo_PX[[#This Row],[Column1665]]</f>
        <v>#N/A N/A</v>
      </c>
      <c r="BLB26" t="str">
        <f>SOFR3mo_PX[[#This Row],[Column1666]]</f>
        <v>#N/A N/A</v>
      </c>
      <c r="BLC26" t="str">
        <f>SOFR3mo_PX[[#This Row],[Column1667]]</f>
        <v>#N/A N/A</v>
      </c>
      <c r="BLD26" t="str">
        <f>SOFR3mo_PX[[#This Row],[Column1668]]</f>
        <v>#N/A N/A</v>
      </c>
      <c r="BLE26" t="str">
        <f>SOFR3mo_PX[[#This Row],[Column1669]]</f>
        <v>#N/A N/A</v>
      </c>
      <c r="BLF26" t="str">
        <f>SOFR3mo_PX[[#This Row],[Column1670]]</f>
        <v>#N/A N/A</v>
      </c>
      <c r="BLG26" t="str">
        <f>SOFR3mo_PX[[#This Row],[Column1671]]</f>
        <v>#N/A N/A</v>
      </c>
      <c r="BLH26" t="str">
        <f>SOFR3mo_PX[[#This Row],[Column1672]]</f>
        <v>#N/A N/A</v>
      </c>
      <c r="BLI26" t="str">
        <f>SOFR3mo_PX[[#This Row],[Column1673]]</f>
        <v>#N/A N/A</v>
      </c>
      <c r="BLJ26" t="str">
        <f>SOFR3mo_PX[[#This Row],[Column1674]]</f>
        <v>#N/A N/A</v>
      </c>
      <c r="BLK26" t="str">
        <f>SOFR3mo_PX[[#This Row],[Column1675]]</f>
        <v>#N/A N/A</v>
      </c>
      <c r="BLL26" t="str">
        <f>SOFR3mo_PX[[#This Row],[Column1676]]</f>
        <v>#N/A N/A</v>
      </c>
      <c r="BLM26" t="str">
        <f>SOFR3mo_PX[[#This Row],[Column1677]]</f>
        <v>#N/A N/A</v>
      </c>
      <c r="BLN26" t="str">
        <f>SOFR3mo_PX[[#This Row],[Column1678]]</f>
        <v>#N/A N/A</v>
      </c>
      <c r="BLO26" t="str">
        <f>SOFR3mo_PX[[#This Row],[Column1679]]</f>
        <v>#N/A N/A</v>
      </c>
      <c r="BLP26" t="str">
        <f>SOFR3mo_PX[[#This Row],[Column1680]]</f>
        <v>#N/A N/A</v>
      </c>
      <c r="BLQ26" t="str">
        <f>SOFR3mo_PX[[#This Row],[Column1681]]</f>
        <v>#N/A N/A</v>
      </c>
      <c r="BLR26" t="str">
        <f>SOFR3mo_PX[[#This Row],[Column1682]]</f>
        <v>#N/A N/A</v>
      </c>
      <c r="BLS26" t="str">
        <f>SOFR3mo_PX[[#This Row],[Column1683]]</f>
        <v>#N/A N/A</v>
      </c>
      <c r="BLT26" t="str">
        <f>SOFR3mo_PX[[#This Row],[Column1684]]</f>
        <v>#N/A N/A</v>
      </c>
      <c r="BLU26" t="str">
        <f>SOFR3mo_PX[[#This Row],[Column1685]]</f>
        <v>#N/A N/A</v>
      </c>
      <c r="BLV26" t="str">
        <f>SOFR3mo_PX[[#This Row],[Column1686]]</f>
        <v>#N/A N/A</v>
      </c>
      <c r="BLW26" t="str">
        <f>SOFR3mo_PX[[#This Row],[Column1687]]</f>
        <v>#N/A N/A</v>
      </c>
      <c r="BLX26" t="str">
        <f>SOFR3mo_PX[[#This Row],[Column1688]]</f>
        <v>#N/A N/A</v>
      </c>
      <c r="BLY26" t="str">
        <f>SOFR3mo_PX[[#This Row],[Column1689]]</f>
        <v>#N/A N/A</v>
      </c>
      <c r="BLZ26" t="str">
        <f>SOFR3mo_PX[[#This Row],[Column1690]]</f>
        <v>#N/A N/A</v>
      </c>
      <c r="BMA26" t="str">
        <f>SOFR3mo_PX[[#This Row],[Column1691]]</f>
        <v>#N/A N/A</v>
      </c>
      <c r="BMB26" t="str">
        <f>SOFR3mo_PX[[#This Row],[Column1692]]</f>
        <v>#N/A N/A</v>
      </c>
      <c r="BMC26" t="str">
        <f>SOFR3mo_PX[[#This Row],[Column1693]]</f>
        <v>#N/A N/A</v>
      </c>
      <c r="BMD26" t="str">
        <f>SOFR3mo_PX[[#This Row],[Column1694]]</f>
        <v>#N/A N/A</v>
      </c>
      <c r="BME26" t="str">
        <f>SOFR3mo_PX[[#This Row],[Column1695]]</f>
        <v>#N/A N/A</v>
      </c>
      <c r="BMF26" t="str">
        <f>SOFR3mo_PX[[#This Row],[Column1696]]</f>
        <v>#N/A N/A</v>
      </c>
      <c r="BMG26" t="str">
        <f>SOFR3mo_PX[[#This Row],[Column1697]]</f>
        <v>#N/A N/A</v>
      </c>
      <c r="BMH26" t="str">
        <f>SOFR3mo_PX[[#This Row],[Column1698]]</f>
        <v>#N/A N/A</v>
      </c>
      <c r="BMI26" t="str">
        <f>SOFR3mo_PX[[#This Row],[Column1699]]</f>
        <v>#N/A N/A</v>
      </c>
      <c r="BMJ26" t="str">
        <f>SOFR3mo_PX[[#This Row],[Column1700]]</f>
        <v>#N/A N/A</v>
      </c>
      <c r="BMK26" t="str">
        <f>SOFR3mo_PX[[#This Row],[Column1701]]</f>
        <v>#N/A N/A</v>
      </c>
      <c r="BML26" t="str">
        <f>SOFR3mo_PX[[#This Row],[Column1702]]</f>
        <v>#N/A N/A</v>
      </c>
      <c r="BMM26" t="str">
        <f>SOFR3mo_PX[[#This Row],[Column1703]]</f>
        <v>#N/A N/A</v>
      </c>
      <c r="BMN26" t="str">
        <f>SOFR3mo_PX[[#This Row],[Column1704]]</f>
        <v>#N/A N/A</v>
      </c>
      <c r="BMO26" t="str">
        <f>SOFR3mo_PX[[#This Row],[Column1705]]</f>
        <v>#N/A N/A</v>
      </c>
      <c r="BMP26" t="str">
        <f>SOFR3mo_PX[[#This Row],[Column1706]]</f>
        <v>#N/A N/A</v>
      </c>
      <c r="BMQ26" t="str">
        <f>SOFR3mo_PX[[#This Row],[Column1707]]</f>
        <v>#N/A N/A</v>
      </c>
      <c r="BMR26" t="str">
        <f>SOFR3mo_PX[[#This Row],[Column1708]]</f>
        <v>#N/A N/A</v>
      </c>
      <c r="BMS26" t="str">
        <f>SOFR3mo_PX[[#This Row],[Column1709]]</f>
        <v>#N/A N/A</v>
      </c>
      <c r="BMT26" t="str">
        <f>SOFR3mo_PX[[#This Row],[Column1710]]</f>
        <v>#N/A N/A</v>
      </c>
      <c r="BMU26" t="str">
        <f>SOFR3mo_PX[[#This Row],[Column1711]]</f>
        <v>#N/A N/A</v>
      </c>
      <c r="BMV26" t="str">
        <f>SOFR3mo_PX[[#This Row],[Column1712]]</f>
        <v>#N/A N/A</v>
      </c>
      <c r="BMW26" t="str">
        <f>SOFR3mo_PX[[#This Row],[Column1713]]</f>
        <v>#N/A N/A</v>
      </c>
      <c r="BMX26" t="str">
        <f>SOFR3mo_PX[[#This Row],[Column1714]]</f>
        <v>#N/A N/A</v>
      </c>
      <c r="BMY26" t="str">
        <f>SOFR3mo_PX[[#This Row],[Column1715]]</f>
        <v>#N/A N/A</v>
      </c>
      <c r="BMZ26" t="str">
        <f>SOFR3mo_PX[[#This Row],[Column1716]]</f>
        <v>#N/A N/A</v>
      </c>
      <c r="BNA26" t="str">
        <f>SOFR3mo_PX[[#This Row],[Column1717]]</f>
        <v>#N/A N/A</v>
      </c>
      <c r="BNB26" t="str">
        <f>SOFR3mo_PX[[#This Row],[Column1718]]</f>
        <v>#N/A N/A</v>
      </c>
      <c r="BNC26" t="str">
        <f>SOFR3mo_PX[[#This Row],[Column1719]]</f>
        <v>#N/A N/A</v>
      </c>
      <c r="BND26" t="str">
        <f>SOFR3mo_PX[[#This Row],[Column1720]]</f>
        <v>#N/A N/A</v>
      </c>
      <c r="BNE26" t="str">
        <f>SOFR3mo_PX[[#This Row],[Column1721]]</f>
        <v>#N/A N/A</v>
      </c>
      <c r="BNF26" t="str">
        <f>SOFR3mo_PX[[#This Row],[Column1722]]</f>
        <v>#N/A N/A</v>
      </c>
      <c r="BNG26" t="str">
        <f>SOFR3mo_PX[[#This Row],[Column1723]]</f>
        <v>#N/A N/A</v>
      </c>
      <c r="BNH26" t="str">
        <f>SOFR3mo_PX[[#This Row],[Column1724]]</f>
        <v>#N/A N/A</v>
      </c>
      <c r="BNI26" t="str">
        <f>SOFR3mo_PX[[#This Row],[Column1725]]</f>
        <v>#N/A N/A</v>
      </c>
      <c r="BNJ26" t="str">
        <f>SOFR3mo_PX[[#This Row],[Column1726]]</f>
        <v>#N/A N/A</v>
      </c>
      <c r="BNK26" t="str">
        <f>SOFR3mo_PX[[#This Row],[Column1727]]</f>
        <v>#N/A N/A</v>
      </c>
      <c r="BNL26" t="str">
        <f>SOFR3mo_PX[[#This Row],[Column1728]]</f>
        <v>#N/A N/A</v>
      </c>
      <c r="BNM26" t="str">
        <f>SOFR3mo_PX[[#This Row],[Column1729]]</f>
        <v>#N/A N/A</v>
      </c>
      <c r="BNN26" t="str">
        <f>SOFR3mo_PX[[#This Row],[Column1730]]</f>
        <v>#N/A N/A</v>
      </c>
      <c r="BNO26" t="str">
        <f>SOFR3mo_PX[[#This Row],[Column1731]]</f>
        <v>#N/A N/A</v>
      </c>
      <c r="BNP26" t="str">
        <f>SOFR3mo_PX[[#This Row],[Column1732]]</f>
        <v>#N/A N/A</v>
      </c>
      <c r="BNQ26" t="str">
        <f>SOFR3mo_PX[[#This Row],[Column1733]]</f>
        <v>#N/A N/A</v>
      </c>
      <c r="BNR26" t="str">
        <f>SOFR3mo_PX[[#This Row],[Column1734]]</f>
        <v>#N/A N/A</v>
      </c>
      <c r="BNS26" t="str">
        <f>SOFR3mo_PX[[#This Row],[Column1735]]</f>
        <v>#N/A N/A</v>
      </c>
      <c r="BNT26" t="str">
        <f>SOFR3mo_PX[[#This Row],[Column1736]]</f>
        <v>#N/A N/A</v>
      </c>
      <c r="BNU26" t="str">
        <f>SOFR3mo_PX[[#This Row],[Column1737]]</f>
        <v>#N/A N/A</v>
      </c>
      <c r="BNV26" t="str">
        <f>SOFR3mo_PX[[#This Row],[Column1738]]</f>
        <v>#N/A N/A</v>
      </c>
      <c r="BNW26" t="str">
        <f>SOFR3mo_PX[[#This Row],[Column1739]]</f>
        <v>#N/A N/A</v>
      </c>
      <c r="BNX26" t="str">
        <f>SOFR3mo_PX[[#This Row],[Column1740]]</f>
        <v>#N/A N/A</v>
      </c>
      <c r="BNY26" t="str">
        <f>SOFR3mo_PX[[#This Row],[Column1741]]</f>
        <v>#N/A N/A</v>
      </c>
      <c r="BNZ26" t="str">
        <f>SOFR3mo_PX[[#This Row],[Column1742]]</f>
        <v>#N/A N/A</v>
      </c>
      <c r="BOA26" t="str">
        <f>SOFR3mo_PX[[#This Row],[Column1743]]</f>
        <v>#N/A N/A</v>
      </c>
      <c r="BOB26" t="str">
        <f>SOFR3mo_PX[[#This Row],[Column1744]]</f>
        <v>#N/A N/A</v>
      </c>
      <c r="BOC26" t="str">
        <f>SOFR3mo_PX[[#This Row],[Column1745]]</f>
        <v>#N/A N/A</v>
      </c>
      <c r="BOD26" t="str">
        <f>SOFR3mo_PX[[#This Row],[Column1746]]</f>
        <v>#N/A N/A</v>
      </c>
      <c r="BOE26" t="str">
        <f>SOFR3mo_PX[[#This Row],[Column1747]]</f>
        <v>#N/A N/A</v>
      </c>
      <c r="BOF26" t="str">
        <f>SOFR3mo_PX[[#This Row],[Column1748]]</f>
        <v>#N/A N/A</v>
      </c>
      <c r="BOG26" t="str">
        <f>SOFR3mo_PX[[#This Row],[Column1749]]</f>
        <v>#N/A N/A</v>
      </c>
      <c r="BOH26" t="str">
        <f>SOFR3mo_PX[[#This Row],[Column1750]]</f>
        <v>#N/A N/A</v>
      </c>
      <c r="BOI26" t="str">
        <f>SOFR3mo_PX[[#This Row],[Column1751]]</f>
        <v>#N/A N/A</v>
      </c>
      <c r="BOJ26" t="str">
        <f>SOFR3mo_PX[[#This Row],[Column1752]]</f>
        <v>#N/A N/A</v>
      </c>
      <c r="BOK26" t="str">
        <f>SOFR3mo_PX[[#This Row],[Column1753]]</f>
        <v>#N/A N/A</v>
      </c>
      <c r="BOL26" t="str">
        <f>SOFR3mo_PX[[#This Row],[Column1754]]</f>
        <v>#N/A N/A</v>
      </c>
      <c r="BOM26" t="str">
        <f>SOFR3mo_PX[[#This Row],[Column1755]]</f>
        <v>#N/A N/A</v>
      </c>
      <c r="BON26" t="str">
        <f>SOFR3mo_PX[[#This Row],[Column1756]]</f>
        <v>#N/A N/A</v>
      </c>
      <c r="BOO26" t="str">
        <f>SOFR3mo_PX[[#This Row],[Column1757]]</f>
        <v>#N/A N/A</v>
      </c>
      <c r="BOP26" t="str">
        <f>SOFR3mo_PX[[#This Row],[Column1758]]</f>
        <v>#N/A N/A</v>
      </c>
      <c r="BOQ26" t="str">
        <f>SOFR3mo_PX[[#This Row],[Column1759]]</f>
        <v>#N/A N/A</v>
      </c>
      <c r="BOR26" t="str">
        <f>SOFR3mo_PX[[#This Row],[Column1760]]</f>
        <v>#N/A N/A</v>
      </c>
      <c r="BOS26" t="str">
        <f>SOFR3mo_PX[[#This Row],[Column1761]]</f>
        <v>#N/A N/A</v>
      </c>
      <c r="BOT26" t="str">
        <f>SOFR3mo_PX[[#This Row],[Column1762]]</f>
        <v>#N/A N/A</v>
      </c>
      <c r="BOU26" t="str">
        <f>SOFR3mo_PX[[#This Row],[Column1763]]</f>
        <v>#N/A N/A</v>
      </c>
      <c r="BOV26" t="str">
        <f>SOFR3mo_PX[[#This Row],[Column1764]]</f>
        <v>#N/A N/A</v>
      </c>
      <c r="BOW26" t="str">
        <f>SOFR3mo_PX[[#This Row],[Column1765]]</f>
        <v>#N/A N/A</v>
      </c>
      <c r="BOX26" t="str">
        <f>SOFR3mo_PX[[#This Row],[Column1766]]</f>
        <v>#N/A N/A</v>
      </c>
      <c r="BOY26" t="str">
        <f>SOFR3mo_PX[[#This Row],[Column1767]]</f>
        <v>#N/A N/A</v>
      </c>
      <c r="BOZ26" t="str">
        <f>SOFR3mo_PX[[#This Row],[Column1768]]</f>
        <v>#N/A N/A</v>
      </c>
      <c r="BPA26" t="str">
        <f>SOFR3mo_PX[[#This Row],[Column1769]]</f>
        <v>#N/A N/A</v>
      </c>
      <c r="BPB26" t="str">
        <f>SOFR3mo_PX[[#This Row],[Column1770]]</f>
        <v>#N/A N/A</v>
      </c>
      <c r="BPC26" t="str">
        <f>SOFR3mo_PX[[#This Row],[Column1771]]</f>
        <v>#N/A N/A</v>
      </c>
      <c r="BPD26" t="str">
        <f>SOFR3mo_PX[[#This Row],[Column1772]]</f>
        <v>#N/A N/A</v>
      </c>
      <c r="BPE26" t="str">
        <f>SOFR3mo_PX[[#This Row],[Column1773]]</f>
        <v>#N/A N/A</v>
      </c>
      <c r="BPF26" t="str">
        <f>SOFR3mo_PX[[#This Row],[Column1774]]</f>
        <v>#N/A N/A</v>
      </c>
      <c r="BPG26" t="str">
        <f>SOFR3mo_PX[[#This Row],[Column1775]]</f>
        <v>#N/A N/A</v>
      </c>
      <c r="BPH26" t="str">
        <f>SOFR3mo_PX[[#This Row],[Column1776]]</f>
        <v>#N/A N/A</v>
      </c>
      <c r="BPI26" t="str">
        <f>SOFR3mo_PX[[#This Row],[Column1777]]</f>
        <v>#N/A N/A</v>
      </c>
      <c r="BPJ26" t="str">
        <f>SOFR3mo_PX[[#This Row],[Column1778]]</f>
        <v>#N/A N/A</v>
      </c>
      <c r="BPK26" t="str">
        <f>SOFR3mo_PX[[#This Row],[Column1779]]</f>
        <v>#N/A N/A</v>
      </c>
      <c r="BPL26" t="str">
        <f>SOFR3mo_PX[[#This Row],[Column1780]]</f>
        <v>#N/A N/A</v>
      </c>
      <c r="BPM26" t="str">
        <f>SOFR3mo_PX[[#This Row],[Column1781]]</f>
        <v>#N/A N/A</v>
      </c>
      <c r="BPN26" t="str">
        <f>SOFR3mo_PX[[#This Row],[Column1782]]</f>
        <v>#N/A N/A</v>
      </c>
      <c r="BPO26" t="str">
        <f>SOFR3mo_PX[[#This Row],[Column1783]]</f>
        <v>#N/A N/A</v>
      </c>
      <c r="BPP26" t="str">
        <f>SOFR3mo_PX[[#This Row],[Column1784]]</f>
        <v>#N/A N/A</v>
      </c>
      <c r="BPQ26" t="str">
        <f>SOFR3mo_PX[[#This Row],[Column1785]]</f>
        <v>#N/A N/A</v>
      </c>
      <c r="BPR26" t="str">
        <f>SOFR3mo_PX[[#This Row],[Column1786]]</f>
        <v>#N/A N/A</v>
      </c>
      <c r="BPS26" t="str">
        <f>SOFR3mo_PX[[#This Row],[Column1787]]</f>
        <v>#N/A N/A</v>
      </c>
      <c r="BPT26" t="str">
        <f>SOFR3mo_PX[[#This Row],[Column1788]]</f>
        <v>#N/A N/A</v>
      </c>
      <c r="BPU26" t="str">
        <f>SOFR3mo_PX[[#This Row],[Column1789]]</f>
        <v>#N/A N/A</v>
      </c>
      <c r="BPV26" t="str">
        <f>SOFR3mo_PX[[#This Row],[Column1790]]</f>
        <v>#N/A N/A</v>
      </c>
      <c r="BPW26" t="str">
        <f>SOFR3mo_PX[[#This Row],[Column1791]]</f>
        <v>#N/A N/A</v>
      </c>
      <c r="BPX26" t="str">
        <f>SOFR3mo_PX[[#This Row],[Column1792]]</f>
        <v>#N/A N/A</v>
      </c>
      <c r="BPY26" t="str">
        <f>SOFR3mo_PX[[#This Row],[Column1793]]</f>
        <v>#N/A N/A</v>
      </c>
      <c r="BPZ26" t="str">
        <f>SOFR3mo_PX[[#This Row],[Column1794]]</f>
        <v>#N/A N/A</v>
      </c>
      <c r="BQA26" t="str">
        <f>SOFR3mo_PX[[#This Row],[Column1795]]</f>
        <v>#N/A N/A</v>
      </c>
      <c r="BQB26" t="str">
        <f>SOFR3mo_PX[[#This Row],[Column1796]]</f>
        <v>#N/A N/A</v>
      </c>
      <c r="BQC26" t="str">
        <f>SOFR3mo_PX[[#This Row],[Column1797]]</f>
        <v>#N/A N/A</v>
      </c>
      <c r="BQD26" t="str">
        <f>SOFR3mo_PX[[#This Row],[Column1798]]</f>
        <v>#N/A N/A</v>
      </c>
      <c r="BQE26" t="str">
        <f>SOFR3mo_PX[[#This Row],[Column1799]]</f>
        <v>#N/A N/A</v>
      </c>
      <c r="BQF26" t="str">
        <f>SOFR3mo_PX[[#This Row],[Column1800]]</f>
        <v>#N/A N/A</v>
      </c>
      <c r="BQG26" t="str">
        <f>SOFR3mo_PX[[#This Row],[Column1801]]</f>
        <v>#N/A N/A</v>
      </c>
      <c r="BQH26" t="str">
        <f>SOFR3mo_PX[[#This Row],[Column1802]]</f>
        <v>#N/A N/A</v>
      </c>
      <c r="BQI26" t="str">
        <f>SOFR3mo_PX[[#This Row],[Column1803]]</f>
        <v>#N/A N/A</v>
      </c>
      <c r="BQJ26" t="str">
        <f>SOFR3mo_PX[[#This Row],[Column1804]]</f>
        <v>#N/A N/A</v>
      </c>
      <c r="BQK26" t="str">
        <f>SOFR3mo_PX[[#This Row],[Column1805]]</f>
        <v>#N/A N/A</v>
      </c>
      <c r="BQL26" t="str">
        <f>SOFR3mo_PX[[#This Row],[Column1806]]</f>
        <v>#N/A N/A</v>
      </c>
      <c r="BQM26" t="str">
        <f>SOFR3mo_PX[[#This Row],[Column1807]]</f>
        <v>#N/A N/A</v>
      </c>
      <c r="BQN26" t="str">
        <f>SOFR3mo_PX[[#This Row],[Column1808]]</f>
        <v>#N/A N/A</v>
      </c>
      <c r="BQO26" t="str">
        <f>SOFR3mo_PX[[#This Row],[Column1809]]</f>
        <v>#N/A N/A</v>
      </c>
      <c r="BQP26" t="str">
        <f>SOFR3mo_PX[[#This Row],[Column1810]]</f>
        <v>#N/A N/A</v>
      </c>
      <c r="BQQ26" t="str">
        <f>SOFR3mo_PX[[#This Row],[Column1811]]</f>
        <v>#N/A N/A</v>
      </c>
      <c r="BQR26" t="str">
        <f>SOFR3mo_PX[[#This Row],[Column1812]]</f>
        <v>#N/A N/A</v>
      </c>
      <c r="BQS26" t="str">
        <f>SOFR3mo_PX[[#This Row],[Column1813]]</f>
        <v>#N/A N/A</v>
      </c>
      <c r="BQT26" t="str">
        <f>SOFR3mo_PX[[#This Row],[Column1814]]</f>
        <v>#N/A N/A</v>
      </c>
      <c r="BQU26" t="str">
        <f>SOFR3mo_PX[[#This Row],[Column1815]]</f>
        <v>#N/A N/A</v>
      </c>
      <c r="BQV26" t="str">
        <f>SOFR3mo_PX[[#This Row],[Column1816]]</f>
        <v>#N/A N/A</v>
      </c>
      <c r="BQW26" t="str">
        <f>SOFR3mo_PX[[#This Row],[Column1817]]</f>
        <v>#N/A N/A</v>
      </c>
      <c r="BQX26" t="str">
        <f>SOFR3mo_PX[[#This Row],[Column1818]]</f>
        <v>#N/A N/A</v>
      </c>
      <c r="BQY26" t="str">
        <f>SOFR3mo_PX[[#This Row],[Column1819]]</f>
        <v>#N/A N/A</v>
      </c>
      <c r="BQZ26" t="str">
        <f>SOFR3mo_PX[[#This Row],[Column1820]]</f>
        <v>#N/A N/A</v>
      </c>
      <c r="BRA26" t="str">
        <f>SOFR3mo_PX[[#This Row],[Column1821]]</f>
        <v>#N/A N/A</v>
      </c>
      <c r="BRB26" t="str">
        <f>SOFR3mo_PX[[#This Row],[Column1822]]</f>
        <v>#N/A N/A</v>
      </c>
      <c r="BRC26" t="str">
        <f>SOFR3mo_PX[[#This Row],[Column1823]]</f>
        <v>#N/A N/A</v>
      </c>
      <c r="BRD26" t="str">
        <f>SOFR3mo_PX[[#This Row],[Column1824]]</f>
        <v>#N/A N/A</v>
      </c>
      <c r="BRE26" t="str">
        <f>SOFR3mo_PX[[#This Row],[Column1825]]</f>
        <v>#N/A N/A</v>
      </c>
      <c r="BRF26" t="str">
        <f>SOFR3mo_PX[[#This Row],[Column1826]]</f>
        <v>#N/A N/A</v>
      </c>
      <c r="BRG26" t="str">
        <f>SOFR3mo_PX[[#This Row],[Column1827]]</f>
        <v>#N/A N/A</v>
      </c>
      <c r="BRH26" t="str">
        <f>SOFR3mo_PX[[#This Row],[Column1828]]</f>
        <v>#N/A N/A</v>
      </c>
      <c r="BRI26" t="str">
        <f>SOFR3mo_PX[[#This Row],[Column1829]]</f>
        <v>#N/A N/A</v>
      </c>
      <c r="BRJ26" t="str">
        <f>SOFR3mo_PX[[#This Row],[Column1830]]</f>
        <v>#N/A N/A</v>
      </c>
      <c r="BRK26" t="str">
        <f>SOFR3mo_PX[[#This Row],[Column1831]]</f>
        <v>#N/A N/A</v>
      </c>
      <c r="BRL26" t="str">
        <f>SOFR3mo_PX[[#This Row],[Column1832]]</f>
        <v>#N/A N/A</v>
      </c>
      <c r="BRM26" t="str">
        <f>SOFR3mo_PX[[#This Row],[Column1833]]</f>
        <v>#N/A N/A</v>
      </c>
      <c r="BRN26" t="str">
        <f>SOFR3mo_PX[[#This Row],[Column1834]]</f>
        <v>#N/A N/A</v>
      </c>
      <c r="BRO26" t="str">
        <f>SOFR3mo_PX[[#This Row],[Column1835]]</f>
        <v>#N/A N/A</v>
      </c>
      <c r="BRP26" t="str">
        <f>SOFR3mo_PX[[#This Row],[Column1836]]</f>
        <v>#N/A N/A</v>
      </c>
      <c r="BRQ26" t="str">
        <f>SOFR3mo_PX[[#This Row],[Column1837]]</f>
        <v>#N/A N/A</v>
      </c>
      <c r="BRR26" t="str">
        <f>SOFR3mo_PX[[#This Row],[Column1838]]</f>
        <v>#N/A N/A</v>
      </c>
      <c r="BRS26" t="str">
        <f>SOFR3mo_PX[[#This Row],[Column1839]]</f>
        <v>#N/A N/A</v>
      </c>
      <c r="BRT26" t="str">
        <f>SOFR3mo_PX[[#This Row],[Column1840]]</f>
        <v>#N/A N/A</v>
      </c>
      <c r="BRU26" t="str">
        <f>SOFR3mo_PX[[#This Row],[Column1841]]</f>
        <v>#N/A N/A</v>
      </c>
      <c r="BRV26" t="str">
        <f>SOFR3mo_PX[[#This Row],[Column1842]]</f>
        <v>#N/A N/A</v>
      </c>
      <c r="BRW26" t="str">
        <f>SOFR3mo_PX[[#This Row],[Column1843]]</f>
        <v>#N/A N/A</v>
      </c>
      <c r="BRX26" t="str">
        <f>SOFR3mo_PX[[#This Row],[Column1844]]</f>
        <v>#N/A N/A</v>
      </c>
      <c r="BRY26" t="str">
        <f>SOFR3mo_PX[[#This Row],[Column1845]]</f>
        <v>#N/A N/A</v>
      </c>
      <c r="BRZ26" t="str">
        <f>SOFR3mo_PX[[#This Row],[Column1846]]</f>
        <v>#N/A N/A</v>
      </c>
      <c r="BSA26" t="str">
        <f>SOFR3mo_PX[[#This Row],[Column1847]]</f>
        <v>#N/A N/A</v>
      </c>
      <c r="BSB26" t="str">
        <f>SOFR3mo_PX[[#This Row],[Column1848]]</f>
        <v>#N/A N/A</v>
      </c>
      <c r="BSC26" t="str">
        <f>SOFR3mo_PX[[#This Row],[Column1849]]</f>
        <v>#N/A N/A</v>
      </c>
      <c r="BSD26" t="str">
        <f>SOFR3mo_PX[[#This Row],[Column1850]]</f>
        <v>#N/A N/A</v>
      </c>
      <c r="BSE26" t="str">
        <f>SOFR3mo_PX[[#This Row],[Column1851]]</f>
        <v>#N/A N/A</v>
      </c>
      <c r="BSF26" t="str">
        <f>SOFR3mo_PX[[#This Row],[Column1852]]</f>
        <v>#N/A N/A</v>
      </c>
      <c r="BSG26" t="str">
        <f>SOFR3mo_PX[[#This Row],[Column1853]]</f>
        <v>#N/A N/A</v>
      </c>
      <c r="BSH26" t="str">
        <f>SOFR3mo_PX[[#This Row],[Column1854]]</f>
        <v>#N/A N/A</v>
      </c>
      <c r="BSI26" t="str">
        <f>SOFR3mo_PX[[#This Row],[Column1855]]</f>
        <v>#N/A N/A</v>
      </c>
      <c r="BSJ26" t="str">
        <f>SOFR3mo_PX[[#This Row],[Column1856]]</f>
        <v>#N/A N/A</v>
      </c>
      <c r="BSK26" t="str">
        <f>SOFR3mo_PX[[#This Row],[Column1857]]</f>
        <v>#N/A N/A</v>
      </c>
      <c r="BSL26" t="str">
        <f>SOFR3mo_PX[[#This Row],[Column1858]]</f>
        <v>#N/A N/A</v>
      </c>
      <c r="BSM26" t="str">
        <f>SOFR3mo_PX[[#This Row],[Column1859]]</f>
        <v>#N/A N/A</v>
      </c>
      <c r="BSN26" t="str">
        <f>SOFR3mo_PX[[#This Row],[Column1860]]</f>
        <v>#N/A N/A</v>
      </c>
      <c r="BSO26" t="str">
        <f>SOFR3mo_PX[[#This Row],[Column1861]]</f>
        <v>#N/A N/A</v>
      </c>
      <c r="BSP26" t="str">
        <f>SOFR3mo_PX[[#This Row],[Column1862]]</f>
        <v>#N/A N/A</v>
      </c>
      <c r="BSQ26" t="str">
        <f>SOFR3mo_PX[[#This Row],[Column1863]]</f>
        <v>#N/A N/A</v>
      </c>
      <c r="BSR26" t="str">
        <f>SOFR3mo_PX[[#This Row],[Column1864]]</f>
        <v>#N/A N/A</v>
      </c>
      <c r="BSS26" t="str">
        <f>SOFR3mo_PX[[#This Row],[Column1865]]</f>
        <v>#N/A N/A</v>
      </c>
      <c r="BST26" t="str">
        <f>SOFR3mo_PX[[#This Row],[Column1866]]</f>
        <v>#N/A N/A</v>
      </c>
      <c r="BSU26" t="str">
        <f>SOFR3mo_PX[[#This Row],[Column1867]]</f>
        <v>#N/A N/A</v>
      </c>
      <c r="BSV26" t="str">
        <f>SOFR3mo_PX[[#This Row],[Column1868]]</f>
        <v>#N/A N/A</v>
      </c>
      <c r="BSW26" t="str">
        <f>SOFR3mo_PX[[#This Row],[Column1869]]</f>
        <v>#N/A N/A</v>
      </c>
      <c r="BSX26" t="str">
        <f>SOFR3mo_PX[[#This Row],[Column1870]]</f>
        <v>#N/A N/A</v>
      </c>
      <c r="BSY26" t="str">
        <f>SOFR3mo_PX[[#This Row],[Column1871]]</f>
        <v>#N/A N/A</v>
      </c>
      <c r="BSZ26" t="str">
        <f>SOFR3mo_PX[[#This Row],[Column1872]]</f>
        <v>#N/A N/A</v>
      </c>
      <c r="BTA26" t="str">
        <f>SOFR3mo_PX[[#This Row],[Column1873]]</f>
        <v>#N/A N/A</v>
      </c>
      <c r="BTB26" t="str">
        <f>SOFR3mo_PX[[#This Row],[Column1874]]</f>
        <v>#N/A N/A</v>
      </c>
      <c r="BTC26" t="str">
        <f>SOFR3mo_PX[[#This Row],[Column1875]]</f>
        <v>#N/A N/A</v>
      </c>
      <c r="BTD26" t="str">
        <f>SOFR3mo_PX[[#This Row],[Column1876]]</f>
        <v>#N/A N/A</v>
      </c>
      <c r="BTE26" t="str">
        <f>SOFR3mo_PX[[#This Row],[Column1877]]</f>
        <v>#N/A N/A</v>
      </c>
      <c r="BTF26" t="str">
        <f>SOFR3mo_PX[[#This Row],[Column1878]]</f>
        <v>#N/A N/A</v>
      </c>
      <c r="BTG26" t="str">
        <f>SOFR3mo_PX[[#This Row],[Column1879]]</f>
        <v>#N/A N/A</v>
      </c>
      <c r="BTH26" t="str">
        <f>SOFR3mo_PX[[#This Row],[Column1880]]</f>
        <v>#N/A N/A</v>
      </c>
      <c r="BTI26" t="str">
        <f>SOFR3mo_PX[[#This Row],[Column1881]]</f>
        <v>#N/A N/A</v>
      </c>
      <c r="BTJ26" t="str">
        <f>SOFR3mo_PX[[#This Row],[Column1882]]</f>
        <v>#N/A N/A</v>
      </c>
      <c r="BTK26" t="str">
        <f>SOFR3mo_PX[[#This Row],[Column1883]]</f>
        <v>#N/A N/A</v>
      </c>
      <c r="BTL26" t="str">
        <f>SOFR3mo_PX[[#This Row],[Column1884]]</f>
        <v>#N/A N/A</v>
      </c>
      <c r="BTM26" t="str">
        <f>SOFR3mo_PX[[#This Row],[Column1885]]</f>
        <v>#N/A N/A</v>
      </c>
      <c r="BTN26" t="str">
        <f>SOFR3mo_PX[[#This Row],[Column1886]]</f>
        <v>#N/A N/A</v>
      </c>
      <c r="BTO26" t="str">
        <f>SOFR3mo_PX[[#This Row],[Column1887]]</f>
        <v>#N/A N/A</v>
      </c>
      <c r="BTP26" t="str">
        <f>SOFR3mo_PX[[#This Row],[Column1888]]</f>
        <v>#N/A N/A</v>
      </c>
      <c r="BTQ26" t="str">
        <f>SOFR3mo_PX[[#This Row],[Column1889]]</f>
        <v>#N/A N/A</v>
      </c>
      <c r="BTR26" t="str">
        <f>SOFR3mo_PX[[#This Row],[Column1890]]</f>
        <v>#N/A N/A</v>
      </c>
      <c r="BTS26" t="str">
        <f>SOFR3mo_PX[[#This Row],[Column1891]]</f>
        <v>#N/A N/A</v>
      </c>
      <c r="BTT26" t="str">
        <f>SOFR3mo_PX[[#This Row],[Column1892]]</f>
        <v>#N/A N/A</v>
      </c>
      <c r="BTU26" t="str">
        <f>SOFR3mo_PX[[#This Row],[Column1893]]</f>
        <v>#N/A N/A</v>
      </c>
      <c r="BTV26" t="str">
        <f>SOFR3mo_PX[[#This Row],[Column1894]]</f>
        <v>#N/A N/A</v>
      </c>
      <c r="BTW26" t="str">
        <f>SOFR3mo_PX[[#This Row],[Column1895]]</f>
        <v>#N/A N/A</v>
      </c>
      <c r="BTX26" t="str">
        <f>SOFR3mo_PX[[#This Row],[Column1896]]</f>
        <v>#N/A N/A</v>
      </c>
      <c r="BTY26" t="str">
        <f>SOFR3mo_PX[[#This Row],[Column1897]]</f>
        <v>#N/A N/A</v>
      </c>
      <c r="BTZ26" t="str">
        <f>SOFR3mo_PX[[#This Row],[Column1898]]</f>
        <v>#N/A N/A</v>
      </c>
      <c r="BUA26" t="str">
        <f>SOFR3mo_PX[[#This Row],[Column1899]]</f>
        <v>#N/A N/A</v>
      </c>
      <c r="BUB26" t="str">
        <f>SOFR3mo_PX[[#This Row],[Column1900]]</f>
        <v>#N/A N/A</v>
      </c>
      <c r="BUC26" t="str">
        <f>SOFR3mo_PX[[#This Row],[Column1901]]</f>
        <v>#N/A N/A</v>
      </c>
      <c r="BUD26" t="str">
        <f>SOFR3mo_PX[[#This Row],[Column1902]]</f>
        <v>#N/A N/A</v>
      </c>
      <c r="BUE26" t="str">
        <f>SOFR3mo_PX[[#This Row],[Column1903]]</f>
        <v>#N/A N/A</v>
      </c>
      <c r="BUF26" t="str">
        <f>SOFR3mo_PX[[#This Row],[Column1904]]</f>
        <v>#N/A N/A</v>
      </c>
      <c r="BUG26" t="str">
        <f>SOFR3mo_PX[[#This Row],[Column1905]]</f>
        <v>#N/A N/A</v>
      </c>
      <c r="BUH26" t="str">
        <f>SOFR3mo_PX[[#This Row],[Column1906]]</f>
        <v>#N/A N/A</v>
      </c>
      <c r="BUI26" t="str">
        <f>SOFR3mo_PX[[#This Row],[Column1907]]</f>
        <v>#N/A N/A</v>
      </c>
      <c r="BUJ26" t="str">
        <f>SOFR3mo_PX[[#This Row],[Column1908]]</f>
        <v>#N/A N/A</v>
      </c>
      <c r="BUK26" t="str">
        <f>SOFR3mo_PX[[#This Row],[Column1909]]</f>
        <v>#N/A N/A</v>
      </c>
      <c r="BUL26" t="str">
        <f>SOFR3mo_PX[[#This Row],[Column1910]]</f>
        <v>#N/A N/A</v>
      </c>
      <c r="BUM26" t="str">
        <f>SOFR3mo_PX[[#This Row],[Column1911]]</f>
        <v>#N/A N/A</v>
      </c>
      <c r="BUN26" t="str">
        <f>SOFR3mo_PX[[#This Row],[Column1912]]</f>
        <v>#N/A N/A</v>
      </c>
      <c r="BUO26" t="str">
        <f>SOFR3mo_PX[[#This Row],[Column1913]]</f>
        <v>#N/A N/A</v>
      </c>
      <c r="BUP26" t="str">
        <f>SOFR3mo_PX[[#This Row],[Column1914]]</f>
        <v>#N/A N/A</v>
      </c>
      <c r="BUQ26" t="str">
        <f>SOFR3mo_PX[[#This Row],[Column1915]]</f>
        <v>#N/A N/A</v>
      </c>
      <c r="BUR26" t="str">
        <f>SOFR3mo_PX[[#This Row],[Column1916]]</f>
        <v>#N/A N/A</v>
      </c>
      <c r="BUS26" t="str">
        <f>SOFR3mo_PX[[#This Row],[Column1917]]</f>
        <v>#N/A N/A</v>
      </c>
      <c r="BUT26" t="str">
        <f>SOFR3mo_PX[[#This Row],[Column1918]]</f>
        <v>#N/A N/A</v>
      </c>
      <c r="BUU26" t="str">
        <f>SOFR3mo_PX[[#This Row],[Column1919]]</f>
        <v>#N/A N/A</v>
      </c>
      <c r="BUV26" t="str">
        <f>SOFR3mo_PX[[#This Row],[Column1920]]</f>
        <v>#N/A N/A</v>
      </c>
      <c r="BUW26" t="str">
        <f>SOFR3mo_PX[[#This Row],[Column1921]]</f>
        <v>#N/A N/A</v>
      </c>
      <c r="BUX26" t="str">
        <f>SOFR3mo_PX[[#This Row],[Column1922]]</f>
        <v>#N/A N/A</v>
      </c>
      <c r="BUY26" t="str">
        <f>SOFR3mo_PX[[#This Row],[Column1923]]</f>
        <v>#N/A N/A</v>
      </c>
      <c r="BUZ26" t="str">
        <f>SOFR3mo_PX[[#This Row],[Column1924]]</f>
        <v>#N/A N/A</v>
      </c>
      <c r="BVA26" t="str">
        <f>SOFR3mo_PX[[#This Row],[Column1925]]</f>
        <v>#N/A N/A</v>
      </c>
      <c r="BVB26" t="str">
        <f>SOFR3mo_PX[[#This Row],[Column1926]]</f>
        <v>#N/A N/A</v>
      </c>
      <c r="BVC26" t="str">
        <f>SOFR3mo_PX[[#This Row],[Column1927]]</f>
        <v>#N/A N/A</v>
      </c>
      <c r="BVD26" t="str">
        <f>SOFR3mo_PX[[#This Row],[Column1928]]</f>
        <v>#N/A N/A</v>
      </c>
      <c r="BVE26" t="str">
        <f>SOFR3mo_PX[[#This Row],[Column1929]]</f>
        <v>#N/A N/A</v>
      </c>
      <c r="BVF26" t="str">
        <f>SOFR3mo_PX[[#This Row],[Column1930]]</f>
        <v>#N/A N/A</v>
      </c>
      <c r="BVG26" t="str">
        <f>SOFR3mo_PX[[#This Row],[Column1931]]</f>
        <v>#N/A N/A</v>
      </c>
      <c r="BVH26" t="str">
        <f>SOFR3mo_PX[[#This Row],[Column1932]]</f>
        <v>#N/A N/A</v>
      </c>
      <c r="BVI26" t="str">
        <f>SOFR3mo_PX[[#This Row],[Column1933]]</f>
        <v>#N/A N/A</v>
      </c>
      <c r="BVJ26" t="str">
        <f>SOFR3mo_PX[[#This Row],[Column1934]]</f>
        <v>#N/A N/A</v>
      </c>
      <c r="BVK26" t="str">
        <f>SOFR3mo_PX[[#This Row],[Column1935]]</f>
        <v>#N/A N/A</v>
      </c>
      <c r="BVL26" t="str">
        <f>SOFR3mo_PX[[#This Row],[Column1936]]</f>
        <v>#N/A N/A</v>
      </c>
      <c r="BVM26" t="str">
        <f>SOFR3mo_PX[[#This Row],[Column1937]]</f>
        <v>#N/A N/A</v>
      </c>
      <c r="BVN26" t="str">
        <f>SOFR3mo_PX[[#This Row],[Column1938]]</f>
        <v>#N/A N/A</v>
      </c>
      <c r="BVO26" t="str">
        <f>SOFR3mo_PX[[#This Row],[Column1939]]</f>
        <v>#N/A N/A</v>
      </c>
      <c r="BVP26" t="str">
        <f>SOFR3mo_PX[[#This Row],[Column1940]]</f>
        <v>#N/A N/A</v>
      </c>
      <c r="BVQ26" t="str">
        <f>SOFR3mo_PX[[#This Row],[Column1941]]</f>
        <v>#N/A N/A</v>
      </c>
      <c r="BVR26" t="str">
        <f>SOFR3mo_PX[[#This Row],[Column1942]]</f>
        <v>#N/A N/A</v>
      </c>
      <c r="BVS26" t="str">
        <f>SOFR3mo_PX[[#This Row],[Column1943]]</f>
        <v>#N/A N/A</v>
      </c>
      <c r="BVT26" t="str">
        <f>SOFR3mo_PX[[#This Row],[Column1944]]</f>
        <v>#N/A N/A</v>
      </c>
      <c r="BVU26" t="str">
        <f>SOFR3mo_PX[[#This Row],[Column1945]]</f>
        <v>#N/A N/A</v>
      </c>
      <c r="BVV26" t="str">
        <f>SOFR3mo_PX[[#This Row],[Column1946]]</f>
        <v>#N/A N/A</v>
      </c>
      <c r="BVW26" t="str">
        <f>SOFR3mo_PX[[#This Row],[Column1947]]</f>
        <v>#N/A N/A</v>
      </c>
      <c r="BVX26" t="str">
        <f>SOFR3mo_PX[[#This Row],[Column1948]]</f>
        <v>#N/A N/A</v>
      </c>
      <c r="BVY26" t="str">
        <f>SOFR3mo_PX[[#This Row],[Column1949]]</f>
        <v>#N/A N/A</v>
      </c>
      <c r="BVZ26" t="str">
        <f>SOFR3mo_PX[[#This Row],[Column1950]]</f>
        <v>#N/A N/A</v>
      </c>
      <c r="BWA26" t="str">
        <f>SOFR3mo_PX[[#This Row],[Column1951]]</f>
        <v>#N/A N/A</v>
      </c>
      <c r="BWB26" t="str">
        <f>SOFR3mo_PX[[#This Row],[Column1952]]</f>
        <v>#N/A N/A</v>
      </c>
      <c r="BWC26" t="str">
        <f>SOFR3mo_PX[[#This Row],[Column1953]]</f>
        <v>#N/A N/A</v>
      </c>
      <c r="BWD26" t="str">
        <f>SOFR3mo_PX[[#This Row],[Column1954]]</f>
        <v>#N/A N/A</v>
      </c>
    </row>
    <row r="27" spans="1:1954" x14ac:dyDescent="0.25">
      <c r="A27" t="str">
        <f>SOFR3mo_PX[[#This Row],[Column1]]</f>
        <v>SFR25 Comdty</v>
      </c>
      <c r="B27">
        <f>IF(rtd!B25&lt;&gt;"",rtd!B25,SOFR3mo_PX[[#This Row],[Column2]])</f>
        <v>95.782499999999999</v>
      </c>
      <c r="C27">
        <f>SOFR3mo_PX[[#This Row],[Column3]]</f>
        <v>95.875</v>
      </c>
      <c r="D27">
        <f>SOFR3mo_PX[[#This Row],[Column4]]</f>
        <v>95.875</v>
      </c>
      <c r="E27">
        <f>SOFR3mo_PX[[#This Row],[Column5]]</f>
        <v>95.94</v>
      </c>
      <c r="F27">
        <f>SOFR3mo_PX[[#This Row],[Column6]]</f>
        <v>95.885000000000005</v>
      </c>
      <c r="G27">
        <f>SOFR3mo_PX[[#This Row],[Column7]]</f>
        <v>95.915000000000006</v>
      </c>
      <c r="H27">
        <f>SOFR3mo_PX[[#This Row],[Column8]]</f>
        <v>95.965000000000003</v>
      </c>
      <c r="I27">
        <f>SOFR3mo_PX[[#This Row],[Column9]]</f>
        <v>95.905000000000001</v>
      </c>
      <c r="J27">
        <f>SOFR3mo_PX[[#This Row],[Column10]]</f>
        <v>95.855000000000004</v>
      </c>
      <c r="K27">
        <f>SOFR3mo_PX[[#This Row],[Column11]]</f>
        <v>95.84</v>
      </c>
      <c r="L27">
        <f>SOFR3mo_PX[[#This Row],[Column12]]</f>
        <v>95.834999999999994</v>
      </c>
      <c r="M27">
        <f>SOFR3mo_PX[[#This Row],[Column13]]</f>
        <v>95.94</v>
      </c>
      <c r="N27">
        <f>SOFR3mo_PX[[#This Row],[Column14]]</f>
        <v>95.954999999999998</v>
      </c>
      <c r="O27">
        <f>SOFR3mo_PX[[#This Row],[Column15]]</f>
        <v>95.864999999999995</v>
      </c>
      <c r="P27">
        <f>SOFR3mo_PX[[#This Row],[Column16]]</f>
        <v>95.86</v>
      </c>
      <c r="Q27">
        <f>SOFR3mo_PX[[#This Row],[Column17]]</f>
        <v>95.92</v>
      </c>
      <c r="R27">
        <f>SOFR3mo_PX[[#This Row],[Column18]]</f>
        <v>95.9</v>
      </c>
      <c r="S27">
        <f>SOFR3mo_PX[[#This Row],[Column19]]</f>
        <v>95.87</v>
      </c>
      <c r="T27">
        <f>SOFR3mo_PX[[#This Row],[Column20]]</f>
        <v>95.92</v>
      </c>
      <c r="U27">
        <f>SOFR3mo_PX[[#This Row],[Column21]]</f>
        <v>95.83</v>
      </c>
      <c r="V27">
        <f>SOFR3mo_PX[[#This Row],[Column22]]</f>
        <v>95.83</v>
      </c>
      <c r="W27">
        <f>SOFR3mo_PX[[#This Row],[Column23]]</f>
        <v>95.754999999999995</v>
      </c>
      <c r="X27">
        <f>SOFR3mo_PX[[#This Row],[Column24]]</f>
        <v>95.694999999999993</v>
      </c>
      <c r="Y27">
        <f>SOFR3mo_PX[[#This Row],[Column25]]</f>
        <v>95.8</v>
      </c>
      <c r="Z27">
        <f>SOFR3mo_PX[[#This Row],[Column26]]</f>
        <v>95.8</v>
      </c>
      <c r="AA27">
        <f>SOFR3mo_PX[[#This Row],[Column27]]</f>
        <v>95.84</v>
      </c>
      <c r="AB27">
        <f>SOFR3mo_PX[[#This Row],[Column28]]</f>
        <v>95.82</v>
      </c>
      <c r="AC27">
        <f>SOFR3mo_PX[[#This Row],[Column29]]</f>
        <v>95.745000000000005</v>
      </c>
      <c r="AD27">
        <f>SOFR3mo_PX[[#This Row],[Column30]]</f>
        <v>95.78</v>
      </c>
      <c r="AE27">
        <f>SOFR3mo_PX[[#This Row],[Column31]]</f>
        <v>95.825000000000003</v>
      </c>
      <c r="AF27">
        <f>SOFR3mo_PX[[#This Row],[Column32]]</f>
        <v>95.89</v>
      </c>
      <c r="AG27">
        <f>SOFR3mo_PX[[#This Row],[Column33]]</f>
        <v>95.89</v>
      </c>
      <c r="AH27">
        <f>SOFR3mo_PX[[#This Row],[Column34]]</f>
        <v>95.984999999999999</v>
      </c>
      <c r="AI27">
        <f>SOFR3mo_PX[[#This Row],[Column35]]</f>
        <v>95.935000000000002</v>
      </c>
      <c r="AJ27">
        <f>SOFR3mo_PX[[#This Row],[Column36]]</f>
        <v>95.92</v>
      </c>
      <c r="AK27">
        <f>SOFR3mo_PX[[#This Row],[Column37]]</f>
        <v>95.95</v>
      </c>
      <c r="AL27">
        <f>SOFR3mo_PX[[#This Row],[Column38]]</f>
        <v>96</v>
      </c>
      <c r="AM27">
        <f>SOFR3mo_PX[[#This Row],[Column39]]</f>
        <v>96.045000000000002</v>
      </c>
      <c r="AN27">
        <f>SOFR3mo_PX[[#This Row],[Column40]]</f>
        <v>96.04</v>
      </c>
      <c r="AO27">
        <f>SOFR3mo_PX[[#This Row],[Column41]]</f>
        <v>95.98</v>
      </c>
      <c r="AP27">
        <f>SOFR3mo_PX[[#This Row],[Column42]]</f>
        <v>95.93</v>
      </c>
      <c r="AQ27">
        <f>SOFR3mo_PX[[#This Row],[Column43]]</f>
        <v>95.87</v>
      </c>
      <c r="AR27">
        <f>SOFR3mo_PX[[#This Row],[Column44]]</f>
        <v>95.8</v>
      </c>
      <c r="AS27">
        <f>SOFR3mo_PX[[#This Row],[Column45]]</f>
        <v>95.775000000000006</v>
      </c>
      <c r="AT27">
        <f>SOFR3mo_PX[[#This Row],[Column46]]</f>
        <v>95.724999999999994</v>
      </c>
      <c r="AU27">
        <f>SOFR3mo_PX[[#This Row],[Column47]]</f>
        <v>95.855000000000004</v>
      </c>
      <c r="AV27">
        <f>SOFR3mo_PX[[#This Row],[Column48]]</f>
        <v>95.855000000000004</v>
      </c>
      <c r="AW27">
        <f>SOFR3mo_PX[[#This Row],[Column49]]</f>
        <v>95.93</v>
      </c>
      <c r="AX27">
        <f>SOFR3mo_PX[[#This Row],[Column50]]</f>
        <v>95.89</v>
      </c>
      <c r="AY27">
        <f>SOFR3mo_PX[[#This Row],[Column51]]</f>
        <v>95.864999999999995</v>
      </c>
      <c r="AZ27">
        <f>SOFR3mo_PX[[#This Row],[Column52]]</f>
        <v>95.754999999999995</v>
      </c>
      <c r="BA27">
        <f>SOFR3mo_PX[[#This Row],[Column53]]</f>
        <v>95.894999999999996</v>
      </c>
      <c r="BB27">
        <f>SOFR3mo_PX[[#This Row],[Column54]]</f>
        <v>95.864999999999995</v>
      </c>
      <c r="BC27">
        <f>SOFR3mo_PX[[#This Row],[Column55]]</f>
        <v>96.025000000000006</v>
      </c>
      <c r="BD27">
        <f>SOFR3mo_PX[[#This Row],[Column56]]</f>
        <v>96.105000000000004</v>
      </c>
      <c r="BE27">
        <f>SOFR3mo_PX[[#This Row],[Column57]]</f>
        <v>96.28</v>
      </c>
      <c r="BF27">
        <f>SOFR3mo_PX[[#This Row],[Column58]]</f>
        <v>96.2</v>
      </c>
      <c r="BG27">
        <f>SOFR3mo_PX[[#This Row],[Column59]]</f>
        <v>96.05</v>
      </c>
      <c r="BH27">
        <f>SOFR3mo_PX[[#This Row],[Column60]]</f>
        <v>96.11</v>
      </c>
      <c r="BI27">
        <f>SOFR3mo_PX[[#This Row],[Column61]]</f>
        <v>96.004999999999995</v>
      </c>
      <c r="BJ27">
        <f>SOFR3mo_PX[[#This Row],[Column62]]</f>
        <v>95.974999999999994</v>
      </c>
      <c r="BK27">
        <f>SOFR3mo_PX[[#This Row],[Column63]]</f>
        <v>95.855000000000004</v>
      </c>
      <c r="BL27">
        <f>SOFR3mo_PX[[#This Row],[Column64]]</f>
        <v>95.91</v>
      </c>
      <c r="BM27">
        <f>SOFR3mo_PX[[#This Row],[Column65]]</f>
        <v>95.94</v>
      </c>
      <c r="BN27">
        <f>SOFR3mo_PX[[#This Row],[Column66]]</f>
        <v>95.915000000000006</v>
      </c>
      <c r="BO27">
        <f>SOFR3mo_PX[[#This Row],[Column67]]</f>
        <v>95.995000000000005</v>
      </c>
      <c r="BP27">
        <f>SOFR3mo_PX[[#This Row],[Column68]]</f>
        <v>96.01</v>
      </c>
      <c r="BQ27">
        <f>SOFR3mo_PX[[#This Row],[Column69]]</f>
        <v>95.97</v>
      </c>
      <c r="BR27">
        <f>SOFR3mo_PX[[#This Row],[Column70]]</f>
        <v>95.984999999999999</v>
      </c>
      <c r="BS27">
        <f>SOFR3mo_PX[[#This Row],[Column71]]</f>
        <v>95.95</v>
      </c>
      <c r="BT27">
        <f>SOFR3mo_PX[[#This Row],[Column72]]</f>
        <v>95.924999999999997</v>
      </c>
      <c r="BU27">
        <f>SOFR3mo_PX[[#This Row],[Column73]]</f>
        <v>95.99</v>
      </c>
      <c r="BV27">
        <f>SOFR3mo_PX[[#This Row],[Column74]]</f>
        <v>95.96</v>
      </c>
      <c r="BW27">
        <f>SOFR3mo_PX[[#This Row],[Column75]]</f>
        <v>95.99</v>
      </c>
      <c r="BX27">
        <f>SOFR3mo_PX[[#This Row],[Column76]]</f>
        <v>96.084999999999994</v>
      </c>
      <c r="BY27">
        <f>SOFR3mo_PX[[#This Row],[Column77]]</f>
        <v>95.954999999999998</v>
      </c>
      <c r="BZ27">
        <f>SOFR3mo_PX[[#This Row],[Column78]]</f>
        <v>95.98</v>
      </c>
      <c r="CA27">
        <f>SOFR3mo_PX[[#This Row],[Column79]]</f>
        <v>96.004999999999995</v>
      </c>
      <c r="CB27">
        <f>SOFR3mo_PX[[#This Row],[Column80]]</f>
        <v>96.064999999999998</v>
      </c>
      <c r="CC27">
        <f>SOFR3mo_PX[[#This Row],[Column81]]</f>
        <v>96.11</v>
      </c>
      <c r="CD27">
        <f>SOFR3mo_PX[[#This Row],[Column82]]</f>
        <v>96.055000000000007</v>
      </c>
      <c r="CE27">
        <f>SOFR3mo_PX[[#This Row],[Column83]]</f>
        <v>95.995000000000005</v>
      </c>
      <c r="CF27">
        <f>SOFR3mo_PX[[#This Row],[Column84]]</f>
        <v>96.04</v>
      </c>
      <c r="CG27">
        <f>SOFR3mo_PX[[#This Row],[Column85]]</f>
        <v>95.97</v>
      </c>
      <c r="CH27">
        <f>SOFR3mo_PX[[#This Row],[Column86]]</f>
        <v>95.834999999999994</v>
      </c>
      <c r="CI27">
        <f>SOFR3mo_PX[[#This Row],[Column87]]</f>
        <v>95.81</v>
      </c>
      <c r="CJ27">
        <f>SOFR3mo_PX[[#This Row],[Column88]]</f>
        <v>95.73</v>
      </c>
      <c r="CK27">
        <f>SOFR3mo_PX[[#This Row],[Column89]]</f>
        <v>95.68</v>
      </c>
      <c r="CL27">
        <f>SOFR3mo_PX[[#This Row],[Column90]]</f>
        <v>95.68</v>
      </c>
      <c r="CM27">
        <f>SOFR3mo_PX[[#This Row],[Column91]]</f>
        <v>95.754999999999995</v>
      </c>
      <c r="CN27">
        <f>SOFR3mo_PX[[#This Row],[Column92]]</f>
        <v>95.754999999999995</v>
      </c>
      <c r="CO27">
        <f>SOFR3mo_PX[[#This Row],[Column93]]</f>
        <v>95.694999999999993</v>
      </c>
      <c r="CP27">
        <f>SOFR3mo_PX[[#This Row],[Column94]]</f>
        <v>95.58</v>
      </c>
      <c r="CQ27">
        <f>SOFR3mo_PX[[#This Row],[Column95]]</f>
        <v>95.715000000000003</v>
      </c>
      <c r="CR27">
        <f>SOFR3mo_PX[[#This Row],[Column96]]</f>
        <v>95.765000000000001</v>
      </c>
      <c r="CS27">
        <f>SOFR3mo_PX[[#This Row],[Column97]]</f>
        <v>95.765000000000001</v>
      </c>
      <c r="CT27">
        <f>SOFR3mo_PX[[#This Row],[Column98]]</f>
        <v>95.825000000000003</v>
      </c>
      <c r="CU27">
        <f>SOFR3mo_PX[[#This Row],[Column99]]</f>
        <v>95.875</v>
      </c>
      <c r="CV27">
        <f>SOFR3mo_PX[[#This Row],[Column100]]</f>
        <v>95.765000000000001</v>
      </c>
      <c r="CW27">
        <f>SOFR3mo_PX[[#This Row],[Column101]]</f>
        <v>95.74</v>
      </c>
      <c r="CX27">
        <f>SOFR3mo_PX[[#This Row],[Column102]]</f>
        <v>95.694999999999993</v>
      </c>
      <c r="CY27">
        <f>SOFR3mo_PX[[#This Row],[Column103]]</f>
        <v>95.765000000000001</v>
      </c>
      <c r="CZ27">
        <f>SOFR3mo_PX[[#This Row],[Column104]]</f>
        <v>95.72</v>
      </c>
      <c r="DA27">
        <f>SOFR3mo_PX[[#This Row],[Column105]]</f>
        <v>95.73</v>
      </c>
      <c r="DB27">
        <f>SOFR3mo_PX[[#This Row],[Column106]]</f>
        <v>95.754999999999995</v>
      </c>
      <c r="DC27">
        <f>SOFR3mo_PX[[#This Row],[Column107]]</f>
        <v>95.644999999999996</v>
      </c>
      <c r="DD27">
        <f>SOFR3mo_PX[[#This Row],[Column108]]</f>
        <v>95.644999999999996</v>
      </c>
      <c r="DE27">
        <f>SOFR3mo_PX[[#This Row],[Column109]]</f>
        <v>95.694999999999993</v>
      </c>
      <c r="DF27">
        <f>SOFR3mo_PX[[#This Row],[Column110]]</f>
        <v>95.724999999999994</v>
      </c>
      <c r="DG27">
        <f>SOFR3mo_PX[[#This Row],[Column111]]</f>
        <v>95.68</v>
      </c>
      <c r="DH27">
        <f>SOFR3mo_PX[[#This Row],[Column112]]</f>
        <v>95.68</v>
      </c>
      <c r="DI27">
        <f>SOFR3mo_PX[[#This Row],[Column113]]</f>
        <v>95.68</v>
      </c>
      <c r="DJ27">
        <f>SOFR3mo_PX[[#This Row],[Column114]]</f>
        <v>95.64</v>
      </c>
      <c r="DK27">
        <f>SOFR3mo_PX[[#This Row],[Column115]]</f>
        <v>95.495000000000005</v>
      </c>
      <c r="DL27">
        <f>SOFR3mo_PX[[#This Row],[Column116]]</f>
        <v>95.474999999999994</v>
      </c>
      <c r="DM27">
        <f>SOFR3mo_PX[[#This Row],[Column117]]</f>
        <v>95.515000000000001</v>
      </c>
      <c r="DN27">
        <f>SOFR3mo_PX[[#This Row],[Column118]]</f>
        <v>95.58</v>
      </c>
      <c r="DO27">
        <f>SOFR3mo_PX[[#This Row],[Column119]]</f>
        <v>95.564999999999998</v>
      </c>
      <c r="DP27">
        <f>SOFR3mo_PX[[#This Row],[Column120]]</f>
        <v>95.575000000000003</v>
      </c>
      <c r="DQ27">
        <f>SOFR3mo_PX[[#This Row],[Column121]]</f>
        <v>95.66</v>
      </c>
      <c r="DR27">
        <f>SOFR3mo_PX[[#This Row],[Column122]]</f>
        <v>95.715000000000003</v>
      </c>
      <c r="DS27">
        <f>SOFR3mo_PX[[#This Row],[Column123]]</f>
        <v>95.73</v>
      </c>
      <c r="DT27">
        <f>SOFR3mo_PX[[#This Row],[Column124]]</f>
        <v>95.724999999999994</v>
      </c>
      <c r="DU27">
        <f>SOFR3mo_PX[[#This Row],[Column125]]</f>
        <v>95.724999999999994</v>
      </c>
      <c r="DV27">
        <f>SOFR3mo_PX[[#This Row],[Column126]]</f>
        <v>95.765000000000001</v>
      </c>
      <c r="DW27">
        <f>SOFR3mo_PX[[#This Row],[Column127]]</f>
        <v>95.685000000000002</v>
      </c>
      <c r="DX27">
        <f>SOFR3mo_PX[[#This Row],[Column128]]</f>
        <v>95.745000000000005</v>
      </c>
      <c r="DY27">
        <f>SOFR3mo_PX[[#This Row],[Column129]]</f>
        <v>95.73</v>
      </c>
      <c r="DZ27">
        <f>SOFR3mo_PX[[#This Row],[Column130]]</f>
        <v>95.73</v>
      </c>
      <c r="EA27">
        <f>SOFR3mo_PX[[#This Row],[Column131]]</f>
        <v>95.704999999999998</v>
      </c>
      <c r="EB27">
        <f>SOFR3mo_PX[[#This Row],[Column132]]</f>
        <v>95.805000000000007</v>
      </c>
      <c r="EC27">
        <f>SOFR3mo_PX[[#This Row],[Column133]]</f>
        <v>95.734999999999999</v>
      </c>
      <c r="ED27">
        <f>SOFR3mo_PX[[#This Row],[Column134]]</f>
        <v>95.864999999999995</v>
      </c>
      <c r="EE27">
        <f>SOFR3mo_PX[[#This Row],[Column135]]</f>
        <v>96.01</v>
      </c>
      <c r="EF27">
        <f>SOFR3mo_PX[[#This Row],[Column136]]</f>
        <v>95.995000000000005</v>
      </c>
      <c r="EG27">
        <f>SOFR3mo_PX[[#This Row],[Column137]]</f>
        <v>96</v>
      </c>
      <c r="EH27">
        <f>SOFR3mo_PX[[#This Row],[Column138]]</f>
        <v>96.084999999999994</v>
      </c>
      <c r="EI27">
        <f>SOFR3mo_PX[[#This Row],[Column139]]</f>
        <v>96.144999999999996</v>
      </c>
      <c r="EJ27">
        <f>SOFR3mo_PX[[#This Row],[Column140]]</f>
        <v>96.204999999999998</v>
      </c>
      <c r="EK27">
        <f>SOFR3mo_PX[[#This Row],[Column141]]</f>
        <v>96.23</v>
      </c>
      <c r="EL27">
        <f>SOFR3mo_PX[[#This Row],[Column142]]</f>
        <v>96.27</v>
      </c>
      <c r="EM27">
        <f>SOFR3mo_PX[[#This Row],[Column143]]</f>
        <v>96.234999999999999</v>
      </c>
      <c r="EN27">
        <f>SOFR3mo_PX[[#This Row],[Column144]]</f>
        <v>96.22</v>
      </c>
      <c r="EO27">
        <f>SOFR3mo_PX[[#This Row],[Column145]]</f>
        <v>96.19</v>
      </c>
      <c r="EP27">
        <f>SOFR3mo_PX[[#This Row],[Column146]]</f>
        <v>96.224999999999994</v>
      </c>
      <c r="EQ27">
        <f>SOFR3mo_PX[[#This Row],[Column147]]</f>
        <v>96.224999999999994</v>
      </c>
      <c r="ER27">
        <f>SOFR3mo_PX[[#This Row],[Column148]]</f>
        <v>96.19</v>
      </c>
      <c r="ES27">
        <f>SOFR3mo_PX[[#This Row],[Column149]]</f>
        <v>96.19</v>
      </c>
      <c r="ET27">
        <f>SOFR3mo_PX[[#This Row],[Column150]]</f>
        <v>96.125</v>
      </c>
      <c r="EU27">
        <f>SOFR3mo_PX[[#This Row],[Column151]]</f>
        <v>96.19</v>
      </c>
      <c r="EV27">
        <f>SOFR3mo_PX[[#This Row],[Column152]]</f>
        <v>96.04</v>
      </c>
      <c r="EW27">
        <f>SOFR3mo_PX[[#This Row],[Column153]]</f>
        <v>96.004999999999995</v>
      </c>
      <c r="EX27">
        <f>SOFR3mo_PX[[#This Row],[Column154]]</f>
        <v>96</v>
      </c>
      <c r="EY27">
        <f>SOFR3mo_PX[[#This Row],[Column155]]</f>
        <v>96.03</v>
      </c>
      <c r="EZ27">
        <f>SOFR3mo_PX[[#This Row],[Column156]]</f>
        <v>95.995000000000005</v>
      </c>
      <c r="FA27">
        <f>SOFR3mo_PX[[#This Row],[Column157]]</f>
        <v>95.984999999999999</v>
      </c>
      <c r="FB27">
        <f>SOFR3mo_PX[[#This Row],[Column158]]</f>
        <v>95.99</v>
      </c>
      <c r="FC27">
        <f>SOFR3mo_PX[[#This Row],[Column159]]</f>
        <v>95.954999999999998</v>
      </c>
      <c r="FD27">
        <f>SOFR3mo_PX[[#This Row],[Column160]]</f>
        <v>95.98</v>
      </c>
      <c r="FE27">
        <f>SOFR3mo_PX[[#This Row],[Column161]]</f>
        <v>96.04</v>
      </c>
      <c r="FF27">
        <f>SOFR3mo_PX[[#This Row],[Column162]]</f>
        <v>96.094999999999999</v>
      </c>
      <c r="FG27">
        <f>SOFR3mo_PX[[#This Row],[Column163]]</f>
        <v>96.05</v>
      </c>
      <c r="FH27">
        <f>SOFR3mo_PX[[#This Row],[Column164]]</f>
        <v>95.944999999999993</v>
      </c>
      <c r="FI27">
        <f>SOFR3mo_PX[[#This Row],[Column165]]</f>
        <v>96.114999999999995</v>
      </c>
      <c r="FJ27">
        <f>SOFR3mo_PX[[#This Row],[Column166]]</f>
        <v>96.09</v>
      </c>
      <c r="FK27">
        <f>SOFR3mo_PX[[#This Row],[Column167]]</f>
        <v>96.025000000000006</v>
      </c>
      <c r="FL27">
        <f>SOFR3mo_PX[[#This Row],[Column168]]</f>
        <v>96.084999999999994</v>
      </c>
      <c r="FM27">
        <f>SOFR3mo_PX[[#This Row],[Column169]]</f>
        <v>96.094999999999999</v>
      </c>
      <c r="FN27">
        <f>SOFR3mo_PX[[#This Row],[Column170]]</f>
        <v>96.064999999999998</v>
      </c>
      <c r="FO27">
        <f>SOFR3mo_PX[[#This Row],[Column171]]</f>
        <v>96.06</v>
      </c>
      <c r="FP27">
        <f>SOFR3mo_PX[[#This Row],[Column172]]</f>
        <v>96.094999999999999</v>
      </c>
      <c r="FQ27">
        <f>SOFR3mo_PX[[#This Row],[Column173]]</f>
        <v>96.12</v>
      </c>
      <c r="FR27">
        <f>SOFR3mo_PX[[#This Row],[Column174]]</f>
        <v>96.07</v>
      </c>
      <c r="FS27">
        <f>SOFR3mo_PX[[#This Row],[Column175]]</f>
        <v>96.1</v>
      </c>
      <c r="FT27">
        <f>SOFR3mo_PX[[#This Row],[Column176]]</f>
        <v>96.125</v>
      </c>
      <c r="FU27">
        <f>SOFR3mo_PX[[#This Row],[Column177]]</f>
        <v>96.24</v>
      </c>
      <c r="FV27">
        <f>SOFR3mo_PX[[#This Row],[Column178]]</f>
        <v>96.224999999999994</v>
      </c>
      <c r="FW27">
        <f>SOFR3mo_PX[[#This Row],[Column179]]</f>
        <v>96.325000000000003</v>
      </c>
      <c r="FX27">
        <f>SOFR3mo_PX[[#This Row],[Column180]]</f>
        <v>96.305000000000007</v>
      </c>
      <c r="FY27">
        <f>SOFR3mo_PX[[#This Row],[Column181]]</f>
        <v>96.21</v>
      </c>
      <c r="FZ27">
        <f>SOFR3mo_PX[[#This Row],[Column182]]</f>
        <v>96.25</v>
      </c>
      <c r="GA27">
        <f>SOFR3mo_PX[[#This Row],[Column183]]</f>
        <v>96.24</v>
      </c>
      <c r="GB27">
        <f>SOFR3mo_PX[[#This Row],[Column184]]</f>
        <v>96.284999999999997</v>
      </c>
      <c r="GC27">
        <f>SOFR3mo_PX[[#This Row],[Column185]]</f>
        <v>96.31</v>
      </c>
      <c r="GD27">
        <f>SOFR3mo_PX[[#This Row],[Column186]]</f>
        <v>96.325000000000003</v>
      </c>
      <c r="GE27">
        <f>SOFR3mo_PX[[#This Row],[Column187]]</f>
        <v>96.36</v>
      </c>
      <c r="GF27">
        <f>SOFR3mo_PX[[#This Row],[Column188]]</f>
        <v>96.44</v>
      </c>
      <c r="GG27">
        <f>SOFR3mo_PX[[#This Row],[Column189]]</f>
        <v>96.51</v>
      </c>
      <c r="GH27">
        <f>SOFR3mo_PX[[#This Row],[Column190]]</f>
        <v>96.555000000000007</v>
      </c>
      <c r="GI27">
        <f>SOFR3mo_PX[[#This Row],[Column191]]</f>
        <v>96.484999999999999</v>
      </c>
      <c r="GJ27">
        <f>SOFR3mo_PX[[#This Row],[Column192]]</f>
        <v>96.525000000000006</v>
      </c>
      <c r="GK27">
        <f>SOFR3mo_PX[[#This Row],[Column193]]</f>
        <v>96.495000000000005</v>
      </c>
      <c r="GL27">
        <f>SOFR3mo_PX[[#This Row],[Column194]]</f>
        <v>96.474999999999994</v>
      </c>
      <c r="GM27">
        <f>SOFR3mo_PX[[#This Row],[Column195]]</f>
        <v>96.515000000000001</v>
      </c>
      <c r="GN27">
        <f>SOFR3mo_PX[[#This Row],[Column196]]</f>
        <v>96.52</v>
      </c>
      <c r="GO27">
        <f>SOFR3mo_PX[[#This Row],[Column197]]</f>
        <v>96.534999999999997</v>
      </c>
      <c r="GP27">
        <f>SOFR3mo_PX[[#This Row],[Column198]]</f>
        <v>96.515000000000001</v>
      </c>
      <c r="GQ27">
        <f>SOFR3mo_PX[[#This Row],[Column199]]</f>
        <v>96.59</v>
      </c>
      <c r="GR27">
        <f>SOFR3mo_PX[[#This Row],[Column200]]</f>
        <v>96.665000000000006</v>
      </c>
      <c r="GS27">
        <f>SOFR3mo_PX[[#This Row],[Column201]]</f>
        <v>96.655000000000001</v>
      </c>
      <c r="GT27">
        <f>SOFR3mo_PX[[#This Row],[Column202]]</f>
        <v>96.635000000000005</v>
      </c>
      <c r="GU27">
        <f>SOFR3mo_PX[[#This Row],[Column203]]</f>
        <v>96.625</v>
      </c>
      <c r="GV27">
        <f>SOFR3mo_PX[[#This Row],[Column204]]</f>
        <v>96.655000000000001</v>
      </c>
      <c r="GW27">
        <f>SOFR3mo_PX[[#This Row],[Column205]]</f>
        <v>96.66</v>
      </c>
      <c r="GX27">
        <f>SOFR3mo_PX[[#This Row],[Column206]]</f>
        <v>96.605000000000004</v>
      </c>
      <c r="GY27">
        <f>SOFR3mo_PX[[#This Row],[Column207]]</f>
        <v>96.58</v>
      </c>
      <c r="GZ27">
        <f>SOFR3mo_PX[[#This Row],[Column208]]</f>
        <v>96.594999999999999</v>
      </c>
      <c r="HA27">
        <f>SOFR3mo_PX[[#This Row],[Column209]]</f>
        <v>96.56</v>
      </c>
      <c r="HB27">
        <f>SOFR3mo_PX[[#This Row],[Column210]]</f>
        <v>96.51</v>
      </c>
      <c r="HC27">
        <f>SOFR3mo_PX[[#This Row],[Column211]]</f>
        <v>96.43</v>
      </c>
      <c r="HD27">
        <f>SOFR3mo_PX[[#This Row],[Column212]]</f>
        <v>96.43</v>
      </c>
      <c r="HE27">
        <f>SOFR3mo_PX[[#This Row],[Column213]]</f>
        <v>96.474999999999994</v>
      </c>
      <c r="HF27">
        <f>SOFR3mo_PX[[#This Row],[Column214]]</f>
        <v>96.49</v>
      </c>
      <c r="HG27">
        <f>SOFR3mo_PX[[#This Row],[Column215]]</f>
        <v>96.504999999999995</v>
      </c>
      <c r="HH27">
        <f>SOFR3mo_PX[[#This Row],[Column216]]</f>
        <v>96.525000000000006</v>
      </c>
      <c r="HI27">
        <f>SOFR3mo_PX[[#This Row],[Column217]]</f>
        <v>96.515000000000001</v>
      </c>
      <c r="HJ27">
        <f>SOFR3mo_PX[[#This Row],[Column218]]</f>
        <v>96.454999999999998</v>
      </c>
      <c r="HK27">
        <f>SOFR3mo_PX[[#This Row],[Column219]]</f>
        <v>96.53</v>
      </c>
      <c r="HL27">
        <f>SOFR3mo_PX[[#This Row],[Column220]]</f>
        <v>96.504999999999995</v>
      </c>
      <c r="HM27">
        <f>SOFR3mo_PX[[#This Row],[Column221]]</f>
        <v>96.454999999999998</v>
      </c>
      <c r="HN27">
        <f>SOFR3mo_PX[[#This Row],[Column222]]</f>
        <v>96.415000000000006</v>
      </c>
      <c r="HO27">
        <f>SOFR3mo_PX[[#This Row],[Column223]]</f>
        <v>96.375</v>
      </c>
      <c r="HP27">
        <f>SOFR3mo_PX[[#This Row],[Column224]]</f>
        <v>96.444999999999993</v>
      </c>
      <c r="HQ27">
        <f>SOFR3mo_PX[[#This Row],[Column225]]</f>
        <v>96.41</v>
      </c>
      <c r="HR27">
        <f>SOFR3mo_PX[[#This Row],[Column226]]</f>
        <v>96.38</v>
      </c>
      <c r="HS27">
        <f>SOFR3mo_PX[[#This Row],[Column227]]</f>
        <v>96.34</v>
      </c>
      <c r="HT27">
        <f>SOFR3mo_PX[[#This Row],[Column228]]</f>
        <v>96.26</v>
      </c>
      <c r="HU27">
        <f>SOFR3mo_PX[[#This Row],[Column229]]</f>
        <v>96.27</v>
      </c>
      <c r="HV27">
        <f>SOFR3mo_PX[[#This Row],[Column230]]</f>
        <v>96.36</v>
      </c>
      <c r="HW27">
        <f>SOFR3mo_PX[[#This Row],[Column231]]</f>
        <v>96.46</v>
      </c>
      <c r="HX27">
        <f>SOFR3mo_PX[[#This Row],[Column232]]</f>
        <v>96.47</v>
      </c>
      <c r="HY27">
        <f>SOFR3mo_PX[[#This Row],[Column233]]</f>
        <v>96.34</v>
      </c>
      <c r="HZ27">
        <f>SOFR3mo_PX[[#This Row],[Column234]]</f>
        <v>96.24</v>
      </c>
      <c r="IA27">
        <f>SOFR3mo_PX[[#This Row],[Column235]]</f>
        <v>96.204999999999998</v>
      </c>
      <c r="IB27">
        <f>SOFR3mo_PX[[#This Row],[Column236]]</f>
        <v>96.17</v>
      </c>
      <c r="IC27">
        <f>SOFR3mo_PX[[#This Row],[Column237]]</f>
        <v>96.144999999999996</v>
      </c>
      <c r="ID27">
        <f>SOFR3mo_PX[[#This Row],[Column238]]</f>
        <v>96.105000000000004</v>
      </c>
      <c r="IE27">
        <f>SOFR3mo_PX[[#This Row],[Column239]]</f>
        <v>96.06</v>
      </c>
      <c r="IF27">
        <f>SOFR3mo_PX[[#This Row],[Column240]]</f>
        <v>96.13</v>
      </c>
      <c r="IG27">
        <f>SOFR3mo_PX[[#This Row],[Column241]]</f>
        <v>96.114999999999995</v>
      </c>
      <c r="IH27">
        <f>SOFR3mo_PX[[#This Row],[Column242]]</f>
        <v>96.125</v>
      </c>
      <c r="II27">
        <f>SOFR3mo_PX[[#This Row],[Column243]]</f>
        <v>96.174999999999997</v>
      </c>
      <c r="IJ27">
        <f>SOFR3mo_PX[[#This Row],[Column244]]</f>
        <v>96.23</v>
      </c>
      <c r="IK27">
        <f>SOFR3mo_PX[[#This Row],[Column245]]</f>
        <v>96.204999999999998</v>
      </c>
      <c r="IL27">
        <f>SOFR3mo_PX[[#This Row],[Column246]]</f>
        <v>96.13</v>
      </c>
      <c r="IM27">
        <f>SOFR3mo_PX[[#This Row],[Column247]]</f>
        <v>96.174999999999997</v>
      </c>
      <c r="IN27">
        <f>SOFR3mo_PX[[#This Row],[Column248]]</f>
        <v>96.194999999999993</v>
      </c>
      <c r="IO27">
        <f>SOFR3mo_PX[[#This Row],[Column249]]</f>
        <v>96.11</v>
      </c>
      <c r="IP27">
        <f>SOFR3mo_PX[[#This Row],[Column250]]</f>
        <v>96.08</v>
      </c>
      <c r="IQ27">
        <f>SOFR3mo_PX[[#This Row],[Column251]]</f>
        <v>96.12</v>
      </c>
      <c r="IR27">
        <f>SOFR3mo_PX[[#This Row],[Column252]]</f>
        <v>96.114999999999995</v>
      </c>
      <c r="IS27">
        <f>SOFR3mo_PX[[#This Row],[Column253]]</f>
        <v>96.05</v>
      </c>
      <c r="IT27">
        <f>SOFR3mo_PX[[#This Row],[Column254]]</f>
        <v>96.05</v>
      </c>
      <c r="IU27">
        <f>SOFR3mo_PX[[#This Row],[Column255]]</f>
        <v>95.944999999999993</v>
      </c>
      <c r="IV27">
        <f>SOFR3mo_PX[[#This Row],[Column256]]</f>
        <v>95.91</v>
      </c>
      <c r="IW27">
        <f>SOFR3mo_PX[[#This Row],[Column257]]</f>
        <v>96.07</v>
      </c>
      <c r="IX27">
        <f>SOFR3mo_PX[[#This Row],[Column258]]</f>
        <v>96.135000000000005</v>
      </c>
      <c r="IY27">
        <f>SOFR3mo_PX[[#This Row],[Column259]]</f>
        <v>96.1</v>
      </c>
      <c r="IZ27">
        <f>SOFR3mo_PX[[#This Row],[Column260]]</f>
        <v>96.19</v>
      </c>
      <c r="JA27">
        <f>SOFR3mo_PX[[#This Row],[Column261]]</f>
        <v>96.18</v>
      </c>
      <c r="JB27">
        <f>SOFR3mo_PX[[#This Row],[Column262]]</f>
        <v>96.155000000000001</v>
      </c>
      <c r="JC27">
        <f>SOFR3mo_PX[[#This Row],[Column263]]</f>
        <v>96.165000000000006</v>
      </c>
      <c r="JD27">
        <f>SOFR3mo_PX[[#This Row],[Column264]]</f>
        <v>96.23</v>
      </c>
      <c r="JE27">
        <f>SOFR3mo_PX[[#This Row],[Column265]]</f>
        <v>96.23</v>
      </c>
      <c r="JF27">
        <f>SOFR3mo_PX[[#This Row],[Column266]]</f>
        <v>96.17</v>
      </c>
      <c r="JG27">
        <f>SOFR3mo_PX[[#This Row],[Column267]]</f>
        <v>96.25</v>
      </c>
      <c r="JH27">
        <f>SOFR3mo_PX[[#This Row],[Column268]]</f>
        <v>96.185000000000002</v>
      </c>
      <c r="JI27">
        <f>SOFR3mo_PX[[#This Row],[Column269]]</f>
        <v>96.13</v>
      </c>
      <c r="JJ27">
        <f>SOFR3mo_PX[[#This Row],[Column270]]</f>
        <v>96.015000000000001</v>
      </c>
      <c r="JK27">
        <f>SOFR3mo_PX[[#This Row],[Column271]]</f>
        <v>95.935000000000002</v>
      </c>
      <c r="JL27">
        <f>SOFR3mo_PX[[#This Row],[Column272]]</f>
        <v>95.98</v>
      </c>
      <c r="JM27">
        <f>SOFR3mo_PX[[#This Row],[Column273]]</f>
        <v>96.13</v>
      </c>
      <c r="JN27">
        <f>SOFR3mo_PX[[#This Row],[Column274]]</f>
        <v>96.13</v>
      </c>
      <c r="JO27">
        <f>SOFR3mo_PX[[#This Row],[Column275]]</f>
        <v>96.094999999999999</v>
      </c>
      <c r="JP27">
        <f>SOFR3mo_PX[[#This Row],[Column276]]</f>
        <v>96.015000000000001</v>
      </c>
      <c r="JQ27">
        <f>SOFR3mo_PX[[#This Row],[Column277]]</f>
        <v>95.89</v>
      </c>
      <c r="JR27">
        <f>SOFR3mo_PX[[#This Row],[Column278]]</f>
        <v>95.864999999999995</v>
      </c>
      <c r="JS27">
        <f>SOFR3mo_PX[[#This Row],[Column279]]</f>
        <v>95.805000000000007</v>
      </c>
      <c r="JT27">
        <f>SOFR3mo_PX[[#This Row],[Column280]]</f>
        <v>95.91</v>
      </c>
      <c r="JU27">
        <f>SOFR3mo_PX[[#This Row],[Column281]]</f>
        <v>95.984999999999999</v>
      </c>
      <c r="JV27">
        <f>SOFR3mo_PX[[#This Row],[Column282]]</f>
        <v>95.984999999999999</v>
      </c>
      <c r="JW27">
        <f>SOFR3mo_PX[[#This Row],[Column283]]</f>
        <v>95.965000000000003</v>
      </c>
      <c r="JX27">
        <f>SOFR3mo_PX[[#This Row],[Column284]]</f>
        <v>95.965000000000003</v>
      </c>
      <c r="JY27">
        <f>SOFR3mo_PX[[#This Row],[Column285]]</f>
        <v>95.97</v>
      </c>
      <c r="JZ27">
        <f>SOFR3mo_PX[[#This Row],[Column286]]</f>
        <v>95.94</v>
      </c>
      <c r="KA27">
        <f>SOFR3mo_PX[[#This Row],[Column287]]</f>
        <v>95.96</v>
      </c>
      <c r="KB27">
        <f>SOFR3mo_PX[[#This Row],[Column288]]</f>
        <v>96.004999999999995</v>
      </c>
      <c r="KC27">
        <f>SOFR3mo_PX[[#This Row],[Column289]]</f>
        <v>96.01</v>
      </c>
      <c r="KD27">
        <f>SOFR3mo_PX[[#This Row],[Column290]]</f>
        <v>95.94</v>
      </c>
      <c r="KE27">
        <f>SOFR3mo_PX[[#This Row],[Column291]]</f>
        <v>95.905000000000001</v>
      </c>
      <c r="KF27">
        <f>SOFR3mo_PX[[#This Row],[Column292]]</f>
        <v>95.88</v>
      </c>
      <c r="KG27">
        <f>SOFR3mo_PX[[#This Row],[Column293]]</f>
        <v>95.935000000000002</v>
      </c>
      <c r="KH27">
        <f>SOFR3mo_PX[[#This Row],[Column294]]</f>
        <v>95.905000000000001</v>
      </c>
      <c r="KI27">
        <f>SOFR3mo_PX[[#This Row],[Column295]]</f>
        <v>95.944999999999993</v>
      </c>
      <c r="KJ27">
        <f>SOFR3mo_PX[[#This Row],[Column296]]</f>
        <v>95.9</v>
      </c>
      <c r="KK27">
        <f>SOFR3mo_PX[[#This Row],[Column297]]</f>
        <v>95.88</v>
      </c>
      <c r="KL27">
        <f>SOFR3mo_PX[[#This Row],[Column298]]</f>
        <v>95.805000000000007</v>
      </c>
      <c r="KM27">
        <f>SOFR3mo_PX[[#This Row],[Column299]]</f>
        <v>95.79</v>
      </c>
      <c r="KN27">
        <f>SOFR3mo_PX[[#This Row],[Column300]]</f>
        <v>95.724999999999994</v>
      </c>
      <c r="KO27">
        <f>SOFR3mo_PX[[#This Row],[Column301]]</f>
        <v>95.795000000000002</v>
      </c>
      <c r="KP27">
        <f>SOFR3mo_PX[[#This Row],[Column302]]</f>
        <v>95.715000000000003</v>
      </c>
      <c r="KQ27">
        <f>SOFR3mo_PX[[#This Row],[Column303]]</f>
        <v>95.674999999999997</v>
      </c>
      <c r="KR27">
        <f>SOFR3mo_PX[[#This Row],[Column304]]</f>
        <v>95.734999999999999</v>
      </c>
      <c r="KS27">
        <f>SOFR3mo_PX[[#This Row],[Column305]]</f>
        <v>95.81</v>
      </c>
      <c r="KT27">
        <f>SOFR3mo_PX[[#This Row],[Column306]]</f>
        <v>95.79</v>
      </c>
      <c r="KU27">
        <f>SOFR3mo_PX[[#This Row],[Column307]]</f>
        <v>95.805000000000007</v>
      </c>
      <c r="KV27">
        <f>SOFR3mo_PX[[#This Row],[Column308]]</f>
        <v>95.77</v>
      </c>
      <c r="KW27">
        <f>SOFR3mo_PX[[#This Row],[Column309]]</f>
        <v>95.83</v>
      </c>
      <c r="KX27">
        <f>SOFR3mo_PX[[#This Row],[Column310]]</f>
        <v>95.754999999999995</v>
      </c>
      <c r="KY27">
        <f>SOFR3mo_PX[[#This Row],[Column311]]</f>
        <v>95.79</v>
      </c>
      <c r="KZ27">
        <f>SOFR3mo_PX[[#This Row],[Column312]]</f>
        <v>95.93</v>
      </c>
      <c r="LA27">
        <f>SOFR3mo_PX[[#This Row],[Column313]]</f>
        <v>95.84</v>
      </c>
      <c r="LB27">
        <f>SOFR3mo_PX[[#This Row],[Column314]]</f>
        <v>95.87</v>
      </c>
      <c r="LC27">
        <f>SOFR3mo_PX[[#This Row],[Column315]]</f>
        <v>96.015000000000001</v>
      </c>
      <c r="LD27">
        <f>SOFR3mo_PX[[#This Row],[Column316]]</f>
        <v>95.954999999999998</v>
      </c>
      <c r="LE27">
        <f>SOFR3mo_PX[[#This Row],[Column317]]</f>
        <v>96</v>
      </c>
      <c r="LF27">
        <f>SOFR3mo_PX[[#This Row],[Column318]]</f>
        <v>96.05</v>
      </c>
      <c r="LG27">
        <f>SOFR3mo_PX[[#This Row],[Column319]]</f>
        <v>96</v>
      </c>
      <c r="LH27">
        <f>SOFR3mo_PX[[#This Row],[Column320]]</f>
        <v>95.99</v>
      </c>
      <c r="LI27">
        <f>SOFR3mo_PX[[#This Row],[Column321]]</f>
        <v>96.034999999999997</v>
      </c>
      <c r="LJ27">
        <f>SOFR3mo_PX[[#This Row],[Column322]]</f>
        <v>96.165000000000006</v>
      </c>
      <c r="LK27">
        <f>SOFR3mo_PX[[#This Row],[Column323]]</f>
        <v>96.165000000000006</v>
      </c>
      <c r="LL27">
        <f>SOFR3mo_PX[[#This Row],[Column324]]</f>
        <v>96.13</v>
      </c>
      <c r="LM27">
        <f>SOFR3mo_PX[[#This Row],[Column325]]</f>
        <v>96.094999999999999</v>
      </c>
      <c r="LN27">
        <f>SOFR3mo_PX[[#This Row],[Column326]]</f>
        <v>96.064999999999998</v>
      </c>
      <c r="LO27">
        <f>SOFR3mo_PX[[#This Row],[Column327]]</f>
        <v>96.1</v>
      </c>
      <c r="LP27">
        <f>SOFR3mo_PX[[#This Row],[Column328]]</f>
        <v>96.04</v>
      </c>
      <c r="LQ27">
        <f>SOFR3mo_PX[[#This Row],[Column329]]</f>
        <v>96.045000000000002</v>
      </c>
      <c r="LR27">
        <f>SOFR3mo_PX[[#This Row],[Column330]]</f>
        <v>96.09</v>
      </c>
      <c r="LS27">
        <f>SOFR3mo_PX[[#This Row],[Column331]]</f>
        <v>96.055000000000007</v>
      </c>
      <c r="LT27">
        <f>SOFR3mo_PX[[#This Row],[Column332]]</f>
        <v>96.094999999999999</v>
      </c>
      <c r="LU27">
        <f>SOFR3mo_PX[[#This Row],[Column333]]</f>
        <v>96.084999999999994</v>
      </c>
      <c r="LV27">
        <f>SOFR3mo_PX[[#This Row],[Column334]]</f>
        <v>96.194999999999993</v>
      </c>
      <c r="LW27">
        <f>SOFR3mo_PX[[#This Row],[Column335]]</f>
        <v>96.21</v>
      </c>
      <c r="LX27">
        <f>SOFR3mo_PX[[#This Row],[Column336]]</f>
        <v>96.26</v>
      </c>
      <c r="LY27">
        <f>SOFR3mo_PX[[#This Row],[Column337]]</f>
        <v>96.254999999999995</v>
      </c>
      <c r="LZ27">
        <f>SOFR3mo_PX[[#This Row],[Column338]]</f>
        <v>96.275000000000006</v>
      </c>
      <c r="MA27">
        <f>SOFR3mo_PX[[#This Row],[Column339]]</f>
        <v>96.27</v>
      </c>
      <c r="MB27">
        <f>SOFR3mo_PX[[#This Row],[Column340]]</f>
        <v>96.23</v>
      </c>
      <c r="MC27">
        <f>SOFR3mo_PX[[#This Row],[Column341]]</f>
        <v>96.14</v>
      </c>
      <c r="MD27">
        <f>SOFR3mo_PX[[#This Row],[Column342]]</f>
        <v>96.165000000000006</v>
      </c>
      <c r="ME27">
        <f>SOFR3mo_PX[[#This Row],[Column343]]</f>
        <v>96.12</v>
      </c>
      <c r="MF27">
        <f>SOFR3mo_PX[[#This Row],[Column344]]</f>
        <v>96.11</v>
      </c>
      <c r="MG27">
        <f>SOFR3mo_PX[[#This Row],[Column345]]</f>
        <v>96.11</v>
      </c>
      <c r="MH27">
        <f>SOFR3mo_PX[[#This Row],[Column346]]</f>
        <v>96.13</v>
      </c>
      <c r="MI27">
        <f>SOFR3mo_PX[[#This Row],[Column347]]</f>
        <v>96.14</v>
      </c>
      <c r="MJ27">
        <f>SOFR3mo_PX[[#This Row],[Column348]]</f>
        <v>96.045000000000002</v>
      </c>
      <c r="MK27">
        <f>SOFR3mo_PX[[#This Row],[Column349]]</f>
        <v>96.015000000000001</v>
      </c>
      <c r="ML27">
        <f>SOFR3mo_PX[[#This Row],[Column350]]</f>
        <v>96.06</v>
      </c>
      <c r="MM27">
        <f>SOFR3mo_PX[[#This Row],[Column351]]</f>
        <v>96.04</v>
      </c>
      <c r="MN27">
        <f>SOFR3mo_PX[[#This Row],[Column352]]</f>
        <v>96.04</v>
      </c>
      <c r="MO27">
        <f>SOFR3mo_PX[[#This Row],[Column353]]</f>
        <v>96.08</v>
      </c>
      <c r="MP27">
        <f>SOFR3mo_PX[[#This Row],[Column354]]</f>
        <v>96.055000000000007</v>
      </c>
      <c r="MQ27">
        <f>SOFR3mo_PX[[#This Row],[Column355]]</f>
        <v>96.015000000000001</v>
      </c>
      <c r="MR27">
        <f>SOFR3mo_PX[[#This Row],[Column356]]</f>
        <v>96.114999999999995</v>
      </c>
      <c r="MS27">
        <f>SOFR3mo_PX[[#This Row],[Column357]]</f>
        <v>96.094999999999999</v>
      </c>
      <c r="MT27">
        <f>SOFR3mo_PX[[#This Row],[Column358]]</f>
        <v>96.11</v>
      </c>
      <c r="MU27">
        <f>SOFR3mo_PX[[#This Row],[Column359]]</f>
        <v>96.194999999999993</v>
      </c>
      <c r="MV27">
        <f>SOFR3mo_PX[[#This Row],[Column360]]</f>
        <v>96.21</v>
      </c>
      <c r="MW27">
        <f>SOFR3mo_PX[[#This Row],[Column361]]</f>
        <v>96.12</v>
      </c>
      <c r="MX27">
        <f>SOFR3mo_PX[[#This Row],[Column362]]</f>
        <v>96.25</v>
      </c>
      <c r="MY27">
        <f>SOFR3mo_PX[[#This Row],[Column363]]</f>
        <v>96.41</v>
      </c>
      <c r="MZ27">
        <f>SOFR3mo_PX[[#This Row],[Column364]]</f>
        <v>96.29</v>
      </c>
      <c r="NA27">
        <f>SOFR3mo_PX[[#This Row],[Column365]]</f>
        <v>96.204999999999998</v>
      </c>
      <c r="NB27">
        <f>SOFR3mo_PX[[#This Row],[Column366]]</f>
        <v>96.135000000000005</v>
      </c>
      <c r="NC27">
        <f>SOFR3mo_PX[[#This Row],[Column367]]</f>
        <v>96.06</v>
      </c>
      <c r="ND27">
        <f>SOFR3mo_PX[[#This Row],[Column368]]</f>
        <v>96.09</v>
      </c>
      <c r="NE27">
        <f>SOFR3mo_PX[[#This Row],[Column369]]</f>
        <v>96.06</v>
      </c>
      <c r="NF27">
        <f>SOFR3mo_PX[[#This Row],[Column370]]</f>
        <v>96.105000000000004</v>
      </c>
      <c r="NG27">
        <f>SOFR3mo_PX[[#This Row],[Column371]]</f>
        <v>96.16</v>
      </c>
      <c r="NH27">
        <f>SOFR3mo_PX[[#This Row],[Column372]]</f>
        <v>96.105000000000004</v>
      </c>
      <c r="NI27">
        <f>SOFR3mo_PX[[#This Row],[Column373]]</f>
        <v>96.094999999999999</v>
      </c>
      <c r="NJ27">
        <f>SOFR3mo_PX[[#This Row],[Column374]]</f>
        <v>96.14</v>
      </c>
      <c r="NK27">
        <f>SOFR3mo_PX[[#This Row],[Column375]]</f>
        <v>96.155000000000001</v>
      </c>
      <c r="NL27">
        <f>SOFR3mo_PX[[#This Row],[Column376]]</f>
        <v>96.28</v>
      </c>
      <c r="NM27">
        <f>SOFR3mo_PX[[#This Row],[Column377]]</f>
        <v>96.28</v>
      </c>
      <c r="NN27">
        <f>SOFR3mo_PX[[#This Row],[Column378]]</f>
        <v>96.29</v>
      </c>
      <c r="NO27">
        <f>SOFR3mo_PX[[#This Row],[Column379]]</f>
        <v>96.25</v>
      </c>
      <c r="NP27">
        <f>SOFR3mo_PX[[#This Row],[Column380]]</f>
        <v>96.26</v>
      </c>
      <c r="NQ27">
        <f>SOFR3mo_PX[[#This Row],[Column381]]</f>
        <v>96.265000000000001</v>
      </c>
      <c r="NR27">
        <f>SOFR3mo_PX[[#This Row],[Column382]]</f>
        <v>96.254999999999995</v>
      </c>
      <c r="NS27">
        <f>SOFR3mo_PX[[#This Row],[Column383]]</f>
        <v>96.31</v>
      </c>
      <c r="NT27">
        <f>SOFR3mo_PX[[#This Row],[Column384]]</f>
        <v>96.4</v>
      </c>
      <c r="NU27">
        <f>SOFR3mo_PX[[#This Row],[Column385]]</f>
        <v>96.355000000000004</v>
      </c>
      <c r="NV27">
        <f>SOFR3mo_PX[[#This Row],[Column386]]</f>
        <v>96.405000000000001</v>
      </c>
      <c r="NW27">
        <f>SOFR3mo_PX[[#This Row],[Column387]]</f>
        <v>96.405000000000001</v>
      </c>
      <c r="NX27">
        <f>SOFR3mo_PX[[#This Row],[Column388]]</f>
        <v>96.43</v>
      </c>
      <c r="NY27">
        <f>SOFR3mo_PX[[#This Row],[Column389]]</f>
        <v>96.504999999999995</v>
      </c>
      <c r="NZ27">
        <f>SOFR3mo_PX[[#This Row],[Column390]]</f>
        <v>96.4</v>
      </c>
      <c r="OA27">
        <f>SOFR3mo_PX[[#This Row],[Column391]]</f>
        <v>96.385000000000005</v>
      </c>
      <c r="OB27">
        <f>SOFR3mo_PX[[#This Row],[Column392]]</f>
        <v>96.385000000000005</v>
      </c>
      <c r="OC27">
        <f>SOFR3mo_PX[[#This Row],[Column393]]</f>
        <v>96.42</v>
      </c>
      <c r="OD27">
        <f>SOFR3mo_PX[[#This Row],[Column394]]</f>
        <v>96.454999999999998</v>
      </c>
      <c r="OE27">
        <f>SOFR3mo_PX[[#This Row],[Column395]]</f>
        <v>96.44</v>
      </c>
      <c r="OF27">
        <f>SOFR3mo_PX[[#This Row],[Column396]]</f>
        <v>96.405000000000001</v>
      </c>
      <c r="OG27">
        <f>SOFR3mo_PX[[#This Row],[Column397]]</f>
        <v>96.44</v>
      </c>
      <c r="OH27">
        <f>SOFR3mo_PX[[#This Row],[Column398]]</f>
        <v>96.415000000000006</v>
      </c>
      <c r="OI27">
        <f>SOFR3mo_PX[[#This Row],[Column399]]</f>
        <v>96.314999999999998</v>
      </c>
      <c r="OJ27">
        <f>SOFR3mo_PX[[#This Row],[Column400]]</f>
        <v>96.165000000000006</v>
      </c>
      <c r="OK27">
        <f>SOFR3mo_PX[[#This Row],[Column401]]</f>
        <v>96.114999999999995</v>
      </c>
      <c r="OL27">
        <f>SOFR3mo_PX[[#This Row],[Column402]]</f>
        <v>96.11</v>
      </c>
      <c r="OM27">
        <f>SOFR3mo_PX[[#This Row],[Column403]]</f>
        <v>96.22</v>
      </c>
      <c r="ON27">
        <f>SOFR3mo_PX[[#This Row],[Column404]]</f>
        <v>96.215000000000003</v>
      </c>
      <c r="OO27">
        <f>SOFR3mo_PX[[#This Row],[Column405]]</f>
        <v>96.15</v>
      </c>
      <c r="OP27">
        <f>SOFR3mo_PX[[#This Row],[Column406]]</f>
        <v>96.015000000000001</v>
      </c>
      <c r="OQ27">
        <f>SOFR3mo_PX[[#This Row],[Column407]]</f>
        <v>96.045000000000002</v>
      </c>
      <c r="OR27">
        <f>SOFR3mo_PX[[#This Row],[Column408]]</f>
        <v>95.93</v>
      </c>
      <c r="OS27">
        <f>SOFR3mo_PX[[#This Row],[Column409]]</f>
        <v>96.015000000000001</v>
      </c>
      <c r="OT27">
        <f>SOFR3mo_PX[[#This Row],[Column410]]</f>
        <v>95.944999999999993</v>
      </c>
      <c r="OU27">
        <f>SOFR3mo_PX[[#This Row],[Column411]]</f>
        <v>95.935000000000002</v>
      </c>
      <c r="OV27">
        <f>SOFR3mo_PX[[#This Row],[Column412]]</f>
        <v>95.82</v>
      </c>
      <c r="OW27">
        <f>SOFR3mo_PX[[#This Row],[Column413]]</f>
        <v>95.89</v>
      </c>
      <c r="OX27">
        <f>SOFR3mo_PX[[#This Row],[Column414]]</f>
        <v>95.89</v>
      </c>
      <c r="OY27">
        <f>SOFR3mo_PX[[#This Row],[Column415]]</f>
        <v>95.88</v>
      </c>
      <c r="OZ27">
        <f>SOFR3mo_PX[[#This Row],[Column416]]</f>
        <v>95.894999999999996</v>
      </c>
      <c r="PA27">
        <f>SOFR3mo_PX[[#This Row],[Column417]]</f>
        <v>95.85</v>
      </c>
      <c r="PB27">
        <f>SOFR3mo_PX[[#This Row],[Column418]]</f>
        <v>95.83</v>
      </c>
      <c r="PC27">
        <f>SOFR3mo_PX[[#This Row],[Column419]]</f>
        <v>95.734999999999999</v>
      </c>
      <c r="PD27">
        <f>SOFR3mo_PX[[#This Row],[Column420]]</f>
        <v>95.82</v>
      </c>
      <c r="PE27">
        <f>SOFR3mo_PX[[#This Row],[Column421]]</f>
        <v>95.644999999999996</v>
      </c>
      <c r="PF27">
        <f>SOFR3mo_PX[[#This Row],[Column422]]</f>
        <v>95.64</v>
      </c>
      <c r="PG27">
        <f>SOFR3mo_PX[[#This Row],[Column423]]</f>
        <v>95.63</v>
      </c>
      <c r="PH27">
        <f>SOFR3mo_PX[[#This Row],[Column424]]</f>
        <v>95.76</v>
      </c>
      <c r="PI27">
        <f>SOFR3mo_PX[[#This Row],[Column425]]</f>
        <v>95.68</v>
      </c>
      <c r="PJ27">
        <f>SOFR3mo_PX[[#This Row],[Column426]]</f>
        <v>95.564999999999998</v>
      </c>
      <c r="PK27">
        <f>SOFR3mo_PX[[#This Row],[Column427]]</f>
        <v>95.674999999999997</v>
      </c>
      <c r="PL27">
        <f>SOFR3mo_PX[[#This Row],[Column428]]</f>
        <v>95.555000000000007</v>
      </c>
      <c r="PM27">
        <f>SOFR3mo_PX[[#This Row],[Column429]]</f>
        <v>95.424999999999997</v>
      </c>
      <c r="PN27">
        <f>SOFR3mo_PX[[#This Row],[Column430]]</f>
        <v>95.334999999999994</v>
      </c>
      <c r="PO27">
        <f>SOFR3mo_PX[[#This Row],[Column431]]</f>
        <v>95.325000000000003</v>
      </c>
      <c r="PP27">
        <f>SOFR3mo_PX[[#This Row],[Column432]]</f>
        <v>95.334999999999994</v>
      </c>
      <c r="PQ27">
        <f>SOFR3mo_PX[[#This Row],[Column433]]</f>
        <v>95.334999999999994</v>
      </c>
      <c r="PR27">
        <f>SOFR3mo_PX[[#This Row],[Column434]]</f>
        <v>95.224999999999994</v>
      </c>
      <c r="PS27">
        <f>SOFR3mo_PX[[#This Row],[Column435]]</f>
        <v>95.364999999999995</v>
      </c>
      <c r="PT27">
        <f>SOFR3mo_PX[[#This Row],[Column436]]</f>
        <v>95.36</v>
      </c>
      <c r="PU27">
        <f>SOFR3mo_PX[[#This Row],[Column437]]</f>
        <v>95.254999999999995</v>
      </c>
      <c r="PV27">
        <f>SOFR3mo_PX[[#This Row],[Column438]]</f>
        <v>95.18</v>
      </c>
      <c r="PW27">
        <f>SOFR3mo_PX[[#This Row],[Column439]]</f>
        <v>95.31</v>
      </c>
      <c r="PX27">
        <f>SOFR3mo_PX[[#This Row],[Column440]]</f>
        <v>95.36</v>
      </c>
      <c r="PY27">
        <f>SOFR3mo_PX[[#This Row],[Column441]]</f>
        <v>95.49</v>
      </c>
      <c r="PZ27">
        <f>SOFR3mo_PX[[#This Row],[Column442]]</f>
        <v>95.57</v>
      </c>
      <c r="QA27">
        <f>SOFR3mo_PX[[#This Row],[Column443]]</f>
        <v>95.465000000000003</v>
      </c>
      <c r="QB27">
        <f>SOFR3mo_PX[[#This Row],[Column444]]</f>
        <v>95.58</v>
      </c>
      <c r="QC27">
        <f>SOFR3mo_PX[[#This Row],[Column445]]</f>
        <v>95.495000000000005</v>
      </c>
      <c r="QD27">
        <f>SOFR3mo_PX[[#This Row],[Column446]]</f>
        <v>95.474999999999994</v>
      </c>
      <c r="QE27">
        <f>SOFR3mo_PX[[#This Row],[Column447]]</f>
        <v>95.35</v>
      </c>
      <c r="QF27">
        <f>SOFR3mo_PX[[#This Row],[Column448]]</f>
        <v>95.41</v>
      </c>
      <c r="QG27">
        <f>SOFR3mo_PX[[#This Row],[Column449]]</f>
        <v>95.385000000000005</v>
      </c>
      <c r="QH27">
        <f>SOFR3mo_PX[[#This Row],[Column450]]</f>
        <v>95.33</v>
      </c>
      <c r="QI27">
        <f>SOFR3mo_PX[[#This Row],[Column451]]</f>
        <v>95.46</v>
      </c>
      <c r="QJ27">
        <f>SOFR3mo_PX[[#This Row],[Column452]]</f>
        <v>95.61</v>
      </c>
      <c r="QK27">
        <f>SOFR3mo_PX[[#This Row],[Column453]]</f>
        <v>95.58</v>
      </c>
      <c r="QL27">
        <f>SOFR3mo_PX[[#This Row],[Column454]]</f>
        <v>95.59</v>
      </c>
      <c r="QM27">
        <f>SOFR3mo_PX[[#This Row],[Column455]]</f>
        <v>95.665000000000006</v>
      </c>
      <c r="QN27">
        <f>SOFR3mo_PX[[#This Row],[Column456]]</f>
        <v>95.674999999999997</v>
      </c>
      <c r="QO27">
        <f>SOFR3mo_PX[[#This Row],[Column457]]</f>
        <v>95.825000000000003</v>
      </c>
      <c r="QP27">
        <f>SOFR3mo_PX[[#This Row],[Column458]]</f>
        <v>95.795000000000002</v>
      </c>
      <c r="QQ27">
        <f>SOFR3mo_PX[[#This Row],[Column459]]</f>
        <v>95.96</v>
      </c>
      <c r="QR27">
        <f>SOFR3mo_PX[[#This Row],[Column460]]</f>
        <v>95.96</v>
      </c>
      <c r="QS27">
        <f>SOFR3mo_PX[[#This Row],[Column461]]</f>
        <v>95.995000000000005</v>
      </c>
      <c r="QT27">
        <f>SOFR3mo_PX[[#This Row],[Column462]]</f>
        <v>95.974999999999994</v>
      </c>
      <c r="QU27">
        <f>SOFR3mo_PX[[#This Row],[Column463]]</f>
        <v>96.01</v>
      </c>
      <c r="QV27">
        <f>SOFR3mo_PX[[#This Row],[Column464]]</f>
        <v>96.064999999999998</v>
      </c>
      <c r="QW27">
        <f>SOFR3mo_PX[[#This Row],[Column465]]</f>
        <v>96.045000000000002</v>
      </c>
      <c r="QX27">
        <f>SOFR3mo_PX[[#This Row],[Column466]]</f>
        <v>96</v>
      </c>
      <c r="QY27">
        <f>SOFR3mo_PX[[#This Row],[Column467]]</f>
        <v>96.04</v>
      </c>
      <c r="QZ27">
        <f>SOFR3mo_PX[[#This Row],[Column468]]</f>
        <v>96.03</v>
      </c>
      <c r="RA27">
        <f>SOFR3mo_PX[[#This Row],[Column469]]</f>
        <v>96.015000000000001</v>
      </c>
      <c r="RB27">
        <f>SOFR3mo_PX[[#This Row],[Column470]]</f>
        <v>96.01</v>
      </c>
      <c r="RC27">
        <f>SOFR3mo_PX[[#This Row],[Column471]]</f>
        <v>96.08</v>
      </c>
      <c r="RD27">
        <f>SOFR3mo_PX[[#This Row],[Column472]]</f>
        <v>96.08</v>
      </c>
      <c r="RE27">
        <f>SOFR3mo_PX[[#This Row],[Column473]]</f>
        <v>96.174999999999997</v>
      </c>
      <c r="RF27">
        <f>SOFR3mo_PX[[#This Row],[Column474]]</f>
        <v>96.15</v>
      </c>
      <c r="RG27">
        <f>SOFR3mo_PX[[#This Row],[Column475]]</f>
        <v>96.155000000000001</v>
      </c>
      <c r="RH27">
        <f>SOFR3mo_PX[[#This Row],[Column476]]</f>
        <v>96.11</v>
      </c>
      <c r="RI27">
        <f>SOFR3mo_PX[[#This Row],[Column477]]</f>
        <v>96.07</v>
      </c>
      <c r="RJ27">
        <f>SOFR3mo_PX[[#This Row],[Column478]]</f>
        <v>96.064999999999998</v>
      </c>
      <c r="RK27">
        <f>SOFR3mo_PX[[#This Row],[Column479]]</f>
        <v>96.09</v>
      </c>
      <c r="RL27">
        <f>SOFR3mo_PX[[#This Row],[Column480]]</f>
        <v>95.94</v>
      </c>
      <c r="RM27">
        <f>SOFR3mo_PX[[#This Row],[Column481]]</f>
        <v>95.915000000000006</v>
      </c>
      <c r="RN27">
        <f>SOFR3mo_PX[[#This Row],[Column482]]</f>
        <v>96.01</v>
      </c>
      <c r="RO27">
        <f>SOFR3mo_PX[[#This Row],[Column483]]</f>
        <v>95.935000000000002</v>
      </c>
      <c r="RP27">
        <f>SOFR3mo_PX[[#This Row],[Column484]]</f>
        <v>96.02</v>
      </c>
      <c r="RQ27">
        <f>SOFR3mo_PX[[#This Row],[Column485]]</f>
        <v>96.055000000000007</v>
      </c>
      <c r="RR27">
        <f>SOFR3mo_PX[[#This Row],[Column486]]</f>
        <v>96.114999999999995</v>
      </c>
      <c r="RS27">
        <f>SOFR3mo_PX[[#This Row],[Column487]]</f>
        <v>96.09</v>
      </c>
      <c r="RT27">
        <f>SOFR3mo_PX[[#This Row],[Column488]]</f>
        <v>96.18</v>
      </c>
      <c r="RU27">
        <f>SOFR3mo_PX[[#This Row],[Column489]]</f>
        <v>96.284999999999997</v>
      </c>
      <c r="RV27">
        <f>SOFR3mo_PX[[#This Row],[Column490]]</f>
        <v>96.25</v>
      </c>
      <c r="RW27">
        <f>SOFR3mo_PX[[#This Row],[Column491]]</f>
        <v>96.185000000000002</v>
      </c>
      <c r="RX27">
        <f>SOFR3mo_PX[[#This Row],[Column492]]</f>
        <v>96.19</v>
      </c>
      <c r="RY27">
        <f>SOFR3mo_PX[[#This Row],[Column493]]</f>
        <v>96.045000000000002</v>
      </c>
      <c r="RZ27">
        <f>SOFR3mo_PX[[#This Row],[Column494]]</f>
        <v>96.194999999999993</v>
      </c>
      <c r="SA27">
        <f>SOFR3mo_PX[[#This Row],[Column495]]</f>
        <v>96.25</v>
      </c>
      <c r="SB27">
        <f>SOFR3mo_PX[[#This Row],[Column496]]</f>
        <v>96.34</v>
      </c>
      <c r="SC27">
        <f>SOFR3mo_PX[[#This Row],[Column497]]</f>
        <v>96.334999999999994</v>
      </c>
      <c r="SD27">
        <f>SOFR3mo_PX[[#This Row],[Column498]]</f>
        <v>96.29</v>
      </c>
      <c r="SE27">
        <f>SOFR3mo_PX[[#This Row],[Column499]]</f>
        <v>96.46</v>
      </c>
      <c r="SF27">
        <f>SOFR3mo_PX[[#This Row],[Column500]]</f>
        <v>96.41</v>
      </c>
      <c r="SG27">
        <f>SOFR3mo_PX[[#This Row],[Column501]]</f>
        <v>96.47</v>
      </c>
      <c r="SH27">
        <f>SOFR3mo_PX[[#This Row],[Column502]]</f>
        <v>96.48</v>
      </c>
      <c r="SI27">
        <f>SOFR3mo_PX[[#This Row],[Column503]]</f>
        <v>96.46</v>
      </c>
      <c r="SJ27">
        <f>SOFR3mo_PX[[#This Row],[Column504]]</f>
        <v>96.58</v>
      </c>
      <c r="SK27">
        <f>SOFR3mo_PX[[#This Row],[Column505]]</f>
        <v>96.54</v>
      </c>
      <c r="SL27">
        <f>SOFR3mo_PX[[#This Row],[Column506]]</f>
        <v>96.525000000000006</v>
      </c>
      <c r="SM27">
        <f>SOFR3mo_PX[[#This Row],[Column507]]</f>
        <v>96.484999999999999</v>
      </c>
      <c r="SN27">
        <f>SOFR3mo_PX[[#This Row],[Column508]]</f>
        <v>96.5</v>
      </c>
      <c r="SO27">
        <f>SOFR3mo_PX[[#This Row],[Column509]]</f>
        <v>96.46</v>
      </c>
      <c r="SP27">
        <f>SOFR3mo_PX[[#This Row],[Column510]]</f>
        <v>96.37</v>
      </c>
      <c r="SQ27">
        <f>SOFR3mo_PX[[#This Row],[Column511]]</f>
        <v>96.305000000000007</v>
      </c>
      <c r="SR27">
        <f>SOFR3mo_PX[[#This Row],[Column512]]</f>
        <v>96.265000000000001</v>
      </c>
      <c r="SS27">
        <f>SOFR3mo_PX[[#This Row],[Column513]]</f>
        <v>96.32</v>
      </c>
      <c r="ST27">
        <f>SOFR3mo_PX[[#This Row],[Column514]]</f>
        <v>96.45</v>
      </c>
      <c r="SU27">
        <f>SOFR3mo_PX[[#This Row],[Column515]]</f>
        <v>96.555000000000007</v>
      </c>
      <c r="SV27">
        <f>SOFR3mo_PX[[#This Row],[Column516]]</f>
        <v>96.555000000000007</v>
      </c>
      <c r="SW27">
        <f>SOFR3mo_PX[[#This Row],[Column517]]</f>
        <v>96.59</v>
      </c>
      <c r="SX27">
        <f>SOFR3mo_PX[[#This Row],[Column518]]</f>
        <v>96.525000000000006</v>
      </c>
      <c r="SY27">
        <f>SOFR3mo_PX[[#This Row],[Column519]]</f>
        <v>96.67</v>
      </c>
      <c r="SZ27">
        <f>SOFR3mo_PX[[#This Row],[Column520]]</f>
        <v>96.614999999999995</v>
      </c>
      <c r="TA27">
        <f>SOFR3mo_PX[[#This Row],[Column521]]</f>
        <v>96.644999999999996</v>
      </c>
      <c r="TB27">
        <f>SOFR3mo_PX[[#This Row],[Column522]]</f>
        <v>96.614999999999995</v>
      </c>
      <c r="TC27">
        <f>SOFR3mo_PX[[#This Row],[Column523]]</f>
        <v>96.545000000000002</v>
      </c>
      <c r="TD27">
        <f>SOFR3mo_PX[[#This Row],[Column524]]</f>
        <v>96.62</v>
      </c>
      <c r="TE27">
        <f>SOFR3mo_PX[[#This Row],[Column525]]</f>
        <v>96.644999999999996</v>
      </c>
      <c r="TF27">
        <f>SOFR3mo_PX[[#This Row],[Column526]]</f>
        <v>96.575000000000003</v>
      </c>
      <c r="TG27">
        <f>SOFR3mo_PX[[#This Row],[Column527]]</f>
        <v>96.575000000000003</v>
      </c>
      <c r="TH27">
        <f>SOFR3mo_PX[[#This Row],[Column528]]</f>
        <v>96.61</v>
      </c>
      <c r="TI27">
        <f>SOFR3mo_PX[[#This Row],[Column529]]</f>
        <v>96.545000000000002</v>
      </c>
      <c r="TJ27">
        <f>SOFR3mo_PX[[#This Row],[Column530]]</f>
        <v>96.465000000000003</v>
      </c>
      <c r="TK27">
        <f>SOFR3mo_PX[[#This Row],[Column531]]</f>
        <v>96.54</v>
      </c>
      <c r="TL27">
        <f>SOFR3mo_PX[[#This Row],[Column532]]</f>
        <v>96.545000000000002</v>
      </c>
      <c r="TM27">
        <f>SOFR3mo_PX[[#This Row],[Column533]]</f>
        <v>96.55</v>
      </c>
      <c r="TN27">
        <f>SOFR3mo_PX[[#This Row],[Column534]]</f>
        <v>96.474999999999994</v>
      </c>
      <c r="TO27">
        <f>SOFR3mo_PX[[#This Row],[Column535]]</f>
        <v>96.58</v>
      </c>
      <c r="TP27">
        <f>SOFR3mo_PX[[#This Row],[Column536]]</f>
        <v>96.56</v>
      </c>
      <c r="TQ27">
        <f>SOFR3mo_PX[[#This Row],[Column537]]</f>
        <v>96.53</v>
      </c>
      <c r="TR27">
        <f>SOFR3mo_PX[[#This Row],[Column538]]</f>
        <v>96.63</v>
      </c>
      <c r="TS27">
        <f>SOFR3mo_PX[[#This Row],[Column539]]</f>
        <v>96.614999999999995</v>
      </c>
      <c r="TT27">
        <f>SOFR3mo_PX[[#This Row],[Column540]]</f>
        <v>96.57</v>
      </c>
      <c r="TU27">
        <f>SOFR3mo_PX[[#This Row],[Column541]]</f>
        <v>96.46</v>
      </c>
      <c r="TV27">
        <f>SOFR3mo_PX[[#This Row],[Column542]]</f>
        <v>96.46</v>
      </c>
      <c r="TW27">
        <f>SOFR3mo_PX[[#This Row],[Column543]]</f>
        <v>96.44</v>
      </c>
      <c r="TX27">
        <f>SOFR3mo_PX[[#This Row],[Column544]]</f>
        <v>96.525000000000006</v>
      </c>
      <c r="TY27">
        <f>SOFR3mo_PX[[#This Row],[Column545]]</f>
        <v>96.534999999999997</v>
      </c>
      <c r="TZ27">
        <f>SOFR3mo_PX[[#This Row],[Column546]]</f>
        <v>96.504999999999995</v>
      </c>
      <c r="UA27">
        <f>SOFR3mo_PX[[#This Row],[Column547]]</f>
        <v>96.495000000000005</v>
      </c>
      <c r="UB27">
        <f>SOFR3mo_PX[[#This Row],[Column548]]</f>
        <v>96.545000000000002</v>
      </c>
      <c r="UC27">
        <f>SOFR3mo_PX[[#This Row],[Column549]]</f>
        <v>96.61</v>
      </c>
      <c r="UD27">
        <f>SOFR3mo_PX[[#This Row],[Column550]]</f>
        <v>96.625</v>
      </c>
      <c r="UE27">
        <f>SOFR3mo_PX[[#This Row],[Column551]]</f>
        <v>96.68</v>
      </c>
      <c r="UF27">
        <f>SOFR3mo_PX[[#This Row],[Column552]]</f>
        <v>96.72</v>
      </c>
      <c r="UG27">
        <f>SOFR3mo_PX[[#This Row],[Column553]]</f>
        <v>96.765000000000001</v>
      </c>
      <c r="UH27">
        <f>SOFR3mo_PX[[#This Row],[Column554]]</f>
        <v>96.72</v>
      </c>
      <c r="UI27">
        <f>SOFR3mo_PX[[#This Row],[Column555]]</f>
        <v>96.655000000000001</v>
      </c>
      <c r="UJ27">
        <f>SOFR3mo_PX[[#This Row],[Column556]]</f>
        <v>96.66</v>
      </c>
      <c r="UK27">
        <f>SOFR3mo_PX[[#This Row],[Column557]]</f>
        <v>96.704999999999998</v>
      </c>
      <c r="UL27">
        <f>SOFR3mo_PX[[#This Row],[Column558]]</f>
        <v>96.775000000000006</v>
      </c>
      <c r="UM27">
        <f>SOFR3mo_PX[[#This Row],[Column559]]</f>
        <v>96.76</v>
      </c>
      <c r="UN27">
        <f>SOFR3mo_PX[[#This Row],[Column560]]</f>
        <v>96.754999999999995</v>
      </c>
      <c r="UO27">
        <f>SOFR3mo_PX[[#This Row],[Column561]]</f>
        <v>96.63</v>
      </c>
      <c r="UP27">
        <f>SOFR3mo_PX[[#This Row],[Column562]]</f>
        <v>96.754999999999995</v>
      </c>
      <c r="UQ27">
        <f>SOFR3mo_PX[[#This Row],[Column563]]</f>
        <v>96.71</v>
      </c>
      <c r="UR27">
        <f>SOFR3mo_PX[[#This Row],[Column564]]</f>
        <v>96.784999999999997</v>
      </c>
      <c r="US27">
        <f>SOFR3mo_PX[[#This Row],[Column565]]</f>
        <v>96.834999999999994</v>
      </c>
      <c r="UT27">
        <f>SOFR3mo_PX[[#This Row],[Column566]]</f>
        <v>96.77</v>
      </c>
      <c r="UU27">
        <f>SOFR3mo_PX[[#This Row],[Column567]]</f>
        <v>96.715000000000003</v>
      </c>
      <c r="UV27">
        <f>SOFR3mo_PX[[#This Row],[Column568]]</f>
        <v>96.76</v>
      </c>
      <c r="UW27">
        <f>SOFR3mo_PX[[#This Row],[Column569]]</f>
        <v>96.71</v>
      </c>
      <c r="UX27">
        <f>SOFR3mo_PX[[#This Row],[Column570]]</f>
        <v>96.73</v>
      </c>
      <c r="UY27">
        <f>SOFR3mo_PX[[#This Row],[Column571]]</f>
        <v>96.694999999999993</v>
      </c>
      <c r="UZ27">
        <f>SOFR3mo_PX[[#This Row],[Column572]]</f>
        <v>96.754999999999995</v>
      </c>
      <c r="VA27">
        <f>SOFR3mo_PX[[#This Row],[Column573]]</f>
        <v>96.81</v>
      </c>
      <c r="VB27">
        <f>SOFR3mo_PX[[#This Row],[Column574]]</f>
        <v>96.864999999999995</v>
      </c>
      <c r="VC27">
        <f>SOFR3mo_PX[[#This Row],[Column575]]</f>
        <v>96.86</v>
      </c>
      <c r="VD27">
        <f>SOFR3mo_PX[[#This Row],[Column576]]</f>
        <v>96.85</v>
      </c>
      <c r="VE27">
        <f>SOFR3mo_PX[[#This Row],[Column577]]</f>
        <v>96.905000000000001</v>
      </c>
      <c r="VF27">
        <f>SOFR3mo_PX[[#This Row],[Column578]]</f>
        <v>96.98</v>
      </c>
      <c r="VG27">
        <f>SOFR3mo_PX[[#This Row],[Column579]]</f>
        <v>96.965000000000003</v>
      </c>
      <c r="VH27">
        <f>SOFR3mo_PX[[#This Row],[Column580]]</f>
        <v>96.93</v>
      </c>
      <c r="VI27">
        <f>SOFR3mo_PX[[#This Row],[Column581]]</f>
        <v>96.86</v>
      </c>
      <c r="VJ27">
        <f>SOFR3mo_PX[[#This Row],[Column582]]</f>
        <v>96.805000000000007</v>
      </c>
      <c r="VK27">
        <f>SOFR3mo_PX[[#This Row],[Column583]]</f>
        <v>96.77</v>
      </c>
      <c r="VL27">
        <f>SOFR3mo_PX[[#This Row],[Column584]]</f>
        <v>96.745000000000005</v>
      </c>
      <c r="VM27">
        <f>SOFR3mo_PX[[#This Row],[Column585]]</f>
        <v>96.734999999999999</v>
      </c>
      <c r="VN27">
        <f>SOFR3mo_PX[[#This Row],[Column586]]</f>
        <v>96.765000000000001</v>
      </c>
      <c r="VO27">
        <f>SOFR3mo_PX[[#This Row],[Column587]]</f>
        <v>96.885000000000005</v>
      </c>
      <c r="VP27">
        <f>SOFR3mo_PX[[#This Row],[Column588]]</f>
        <v>96.844999999999999</v>
      </c>
      <c r="VQ27">
        <f>SOFR3mo_PX[[#This Row],[Column589]]</f>
        <v>96.78</v>
      </c>
      <c r="VR27">
        <f>SOFR3mo_PX[[#This Row],[Column590]]</f>
        <v>96.724999999999994</v>
      </c>
      <c r="VS27">
        <f>SOFR3mo_PX[[#This Row],[Column591]]</f>
        <v>96.765000000000001</v>
      </c>
      <c r="VT27">
        <f>SOFR3mo_PX[[#This Row],[Column592]]</f>
        <v>96.85</v>
      </c>
      <c r="VU27">
        <f>SOFR3mo_PX[[#This Row],[Column593]]</f>
        <v>96.68</v>
      </c>
      <c r="VV27">
        <f>SOFR3mo_PX[[#This Row],[Column594]]</f>
        <v>96.745000000000005</v>
      </c>
      <c r="VW27">
        <f>SOFR3mo_PX[[#This Row],[Column595]]</f>
        <v>96.67</v>
      </c>
      <c r="VX27">
        <f>SOFR3mo_PX[[#This Row],[Column596]]</f>
        <v>96.745000000000005</v>
      </c>
      <c r="VY27">
        <f>SOFR3mo_PX[[#This Row],[Column597]]</f>
        <v>96.724999999999994</v>
      </c>
      <c r="VZ27">
        <f>SOFR3mo_PX[[#This Row],[Column598]]</f>
        <v>96.525000000000006</v>
      </c>
      <c r="WA27">
        <f>SOFR3mo_PX[[#This Row],[Column599]]</f>
        <v>96.57</v>
      </c>
      <c r="WB27">
        <f>SOFR3mo_PX[[#This Row],[Column600]]</f>
        <v>96.555000000000007</v>
      </c>
      <c r="WC27">
        <f>SOFR3mo_PX[[#This Row],[Column601]]</f>
        <v>96.48</v>
      </c>
      <c r="WD27">
        <f>SOFR3mo_PX[[#This Row],[Column602]]</f>
        <v>96.48</v>
      </c>
      <c r="WE27">
        <f>SOFR3mo_PX[[#This Row],[Column603]]</f>
        <v>96.355000000000004</v>
      </c>
      <c r="WF27">
        <f>SOFR3mo_PX[[#This Row],[Column604]]</f>
        <v>96.46</v>
      </c>
      <c r="WG27">
        <f>SOFR3mo_PX[[#This Row],[Column605]]</f>
        <v>96.545000000000002</v>
      </c>
      <c r="WH27">
        <f>SOFR3mo_PX[[#This Row],[Column606]]</f>
        <v>96.545000000000002</v>
      </c>
      <c r="WI27">
        <f>SOFR3mo_PX[[#This Row],[Column607]]</f>
        <v>96.504999999999995</v>
      </c>
      <c r="WJ27">
        <f>SOFR3mo_PX[[#This Row],[Column608]]</f>
        <v>96.555000000000007</v>
      </c>
      <c r="WK27">
        <f>SOFR3mo_PX[[#This Row],[Column609]]</f>
        <v>96.504999999999995</v>
      </c>
      <c r="WL27">
        <f>SOFR3mo_PX[[#This Row],[Column610]]</f>
        <v>96.47</v>
      </c>
      <c r="WM27">
        <f>SOFR3mo_PX[[#This Row],[Column611]]</f>
        <v>96.62</v>
      </c>
      <c r="WN27">
        <f>SOFR3mo_PX[[#This Row],[Column612]]</f>
        <v>96.62</v>
      </c>
      <c r="WO27">
        <f>SOFR3mo_PX[[#This Row],[Column613]]</f>
        <v>96.6</v>
      </c>
      <c r="WP27">
        <f>SOFR3mo_PX[[#This Row],[Column614]]</f>
        <v>96.64</v>
      </c>
      <c r="WQ27">
        <f>SOFR3mo_PX[[#This Row],[Column615]]</f>
        <v>96.704999999999998</v>
      </c>
      <c r="WR27">
        <f>SOFR3mo_PX[[#This Row],[Column616]]</f>
        <v>96.7</v>
      </c>
      <c r="WS27">
        <f>SOFR3mo_PX[[#This Row],[Column617]]</f>
        <v>96.67</v>
      </c>
      <c r="WT27">
        <f>SOFR3mo_PX[[#This Row],[Column618]]</f>
        <v>96.734999999999999</v>
      </c>
      <c r="WU27">
        <f>SOFR3mo_PX[[#This Row],[Column619]]</f>
        <v>96.754999999999995</v>
      </c>
      <c r="WV27">
        <f>SOFR3mo_PX[[#This Row],[Column620]]</f>
        <v>96.734999999999999</v>
      </c>
      <c r="WW27">
        <f>SOFR3mo_PX[[#This Row],[Column621]]</f>
        <v>96.76</v>
      </c>
      <c r="WX27">
        <f>SOFR3mo_PX[[#This Row],[Column622]]</f>
        <v>96.834999999999994</v>
      </c>
      <c r="WY27">
        <f>SOFR3mo_PX[[#This Row],[Column623]]</f>
        <v>96.935000000000002</v>
      </c>
      <c r="WZ27">
        <f>SOFR3mo_PX[[#This Row],[Column624]]</f>
        <v>96.965000000000003</v>
      </c>
      <c r="XA27">
        <f>SOFR3mo_PX[[#This Row],[Column625]]</f>
        <v>96.84</v>
      </c>
      <c r="XB27">
        <f>SOFR3mo_PX[[#This Row],[Column626]]</f>
        <v>96.81</v>
      </c>
      <c r="XC27">
        <f>SOFR3mo_PX[[#This Row],[Column627]]</f>
        <v>96.844999999999999</v>
      </c>
      <c r="XD27">
        <f>SOFR3mo_PX[[#This Row],[Column628]]</f>
        <v>96.894999999999996</v>
      </c>
      <c r="XE27">
        <f>SOFR3mo_PX[[#This Row],[Column629]]</f>
        <v>96.91</v>
      </c>
      <c r="XF27">
        <f>SOFR3mo_PX[[#This Row],[Column630]]</f>
        <v>96.91</v>
      </c>
      <c r="XG27">
        <f>SOFR3mo_PX[[#This Row],[Column631]]</f>
        <v>96.834999999999994</v>
      </c>
      <c r="XH27">
        <f>SOFR3mo_PX[[#This Row],[Column632]]</f>
        <v>96.87</v>
      </c>
      <c r="XI27">
        <f>SOFR3mo_PX[[#This Row],[Column633]]</f>
        <v>96.96</v>
      </c>
      <c r="XJ27">
        <f>SOFR3mo_PX[[#This Row],[Column634]]</f>
        <v>96.99</v>
      </c>
      <c r="XK27">
        <f>SOFR3mo_PX[[#This Row],[Column635]]</f>
        <v>96.855000000000004</v>
      </c>
      <c r="XL27">
        <f>SOFR3mo_PX[[#This Row],[Column636]]</f>
        <v>96.9</v>
      </c>
      <c r="XM27">
        <f>SOFR3mo_PX[[#This Row],[Column637]]</f>
        <v>96.9</v>
      </c>
      <c r="XN27">
        <f>SOFR3mo_PX[[#This Row],[Column638]]</f>
        <v>96.924999999999997</v>
      </c>
      <c r="XO27">
        <f>SOFR3mo_PX[[#This Row],[Column639]]</f>
        <v>96.825000000000003</v>
      </c>
      <c r="XP27">
        <f>SOFR3mo_PX[[#This Row],[Column640]]</f>
        <v>96.77</v>
      </c>
      <c r="XQ27">
        <f>SOFR3mo_PX[[#This Row],[Column641]]</f>
        <v>96.885000000000005</v>
      </c>
      <c r="XR27">
        <f>SOFR3mo_PX[[#This Row],[Column642]]</f>
        <v>96.84</v>
      </c>
      <c r="XS27">
        <f>SOFR3mo_PX[[#This Row],[Column643]]</f>
        <v>96.685000000000002</v>
      </c>
      <c r="XT27">
        <f>SOFR3mo_PX[[#This Row],[Column644]]</f>
        <v>96.67</v>
      </c>
      <c r="XU27">
        <f>SOFR3mo_PX[[#This Row],[Column645]]</f>
        <v>96.57</v>
      </c>
      <c r="XV27">
        <f>SOFR3mo_PX[[#This Row],[Column646]]</f>
        <v>96.5</v>
      </c>
      <c r="XW27">
        <f>SOFR3mo_PX[[#This Row],[Column647]]</f>
        <v>96.5</v>
      </c>
      <c r="XX27">
        <f>SOFR3mo_PX[[#This Row],[Column648]]</f>
        <v>96.46</v>
      </c>
      <c r="XY27">
        <f>SOFR3mo_PX[[#This Row],[Column649]]</f>
        <v>96.405000000000001</v>
      </c>
      <c r="XZ27">
        <f>SOFR3mo_PX[[#This Row],[Column650]]</f>
        <v>96.49</v>
      </c>
      <c r="YA27">
        <f>SOFR3mo_PX[[#This Row],[Column651]]</f>
        <v>96.575000000000003</v>
      </c>
      <c r="YB27">
        <f>SOFR3mo_PX[[#This Row],[Column652]]</f>
        <v>96.575000000000003</v>
      </c>
      <c r="YC27">
        <f>SOFR3mo_PX[[#This Row],[Column653]]</f>
        <v>96.605000000000004</v>
      </c>
      <c r="YD27">
        <f>SOFR3mo_PX[[#This Row],[Column654]]</f>
        <v>96.58</v>
      </c>
      <c r="YE27">
        <f>SOFR3mo_PX[[#This Row],[Column655]]</f>
        <v>96.65</v>
      </c>
      <c r="YF27">
        <f>SOFR3mo_PX[[#This Row],[Column656]]</f>
        <v>96.79</v>
      </c>
      <c r="YG27">
        <f>SOFR3mo_PX[[#This Row],[Column657]]</f>
        <v>96.88</v>
      </c>
      <c r="YH27">
        <f>SOFR3mo_PX[[#This Row],[Column658]]</f>
        <v>96.944999999999993</v>
      </c>
      <c r="YI27">
        <f>SOFR3mo_PX[[#This Row],[Column659]]</f>
        <v>96.885000000000005</v>
      </c>
      <c r="YJ27">
        <f>SOFR3mo_PX[[#This Row],[Column660]]</f>
        <v>96.885000000000005</v>
      </c>
      <c r="YK27">
        <f>SOFR3mo_PX[[#This Row],[Column661]]</f>
        <v>96.784999999999997</v>
      </c>
      <c r="YL27">
        <f>SOFR3mo_PX[[#This Row],[Column662]]</f>
        <v>96.82</v>
      </c>
      <c r="YM27">
        <f>SOFR3mo_PX[[#This Row],[Column663]]</f>
        <v>96.91</v>
      </c>
      <c r="YN27">
        <f>SOFR3mo_PX[[#This Row],[Column664]]</f>
        <v>97.02</v>
      </c>
      <c r="YO27">
        <f>SOFR3mo_PX[[#This Row],[Column665]]</f>
        <v>96.91</v>
      </c>
      <c r="YP27">
        <f>SOFR3mo_PX[[#This Row],[Column666]]</f>
        <v>96.814999999999998</v>
      </c>
      <c r="YQ27">
        <f>SOFR3mo_PX[[#This Row],[Column667]]</f>
        <v>96.915000000000006</v>
      </c>
      <c r="YR27">
        <f>SOFR3mo_PX[[#This Row],[Column668]]</f>
        <v>96.87</v>
      </c>
      <c r="YS27">
        <f>SOFR3mo_PX[[#This Row],[Column669]]</f>
        <v>96.71</v>
      </c>
      <c r="YT27">
        <f>SOFR3mo_PX[[#This Row],[Column670]]</f>
        <v>96.68</v>
      </c>
      <c r="YU27">
        <f>SOFR3mo_PX[[#This Row],[Column671]]</f>
        <v>96.724999999999994</v>
      </c>
      <c r="YV27">
        <f>SOFR3mo_PX[[#This Row],[Column672]]</f>
        <v>96.71</v>
      </c>
      <c r="YW27">
        <f>SOFR3mo_PX[[#This Row],[Column673]]</f>
        <v>96.694999999999993</v>
      </c>
      <c r="YX27">
        <f>SOFR3mo_PX[[#This Row],[Column674]]</f>
        <v>96.694999999999993</v>
      </c>
      <c r="YY27">
        <f>SOFR3mo_PX[[#This Row],[Column675]]</f>
        <v>96.625</v>
      </c>
      <c r="YZ27">
        <f>SOFR3mo_PX[[#This Row],[Column676]]</f>
        <v>96.525000000000006</v>
      </c>
      <c r="ZA27">
        <f>SOFR3mo_PX[[#This Row],[Column677]]</f>
        <v>96.504999999999995</v>
      </c>
      <c r="ZB27">
        <f>SOFR3mo_PX[[#This Row],[Column678]]</f>
        <v>96.575000000000003</v>
      </c>
      <c r="ZC27">
        <f>SOFR3mo_PX[[#This Row],[Column679]]</f>
        <v>96.63</v>
      </c>
      <c r="ZD27">
        <f>SOFR3mo_PX[[#This Row],[Column680]]</f>
        <v>96.504999999999995</v>
      </c>
      <c r="ZE27">
        <f>SOFR3mo_PX[[#This Row],[Column681]]</f>
        <v>96.43</v>
      </c>
      <c r="ZF27">
        <f>SOFR3mo_PX[[#This Row],[Column682]]</f>
        <v>96.48</v>
      </c>
      <c r="ZG27">
        <f>SOFR3mo_PX[[#This Row],[Column683]]</f>
        <v>96.46</v>
      </c>
      <c r="ZH27">
        <f>SOFR3mo_PX[[#This Row],[Column684]]</f>
        <v>96.165000000000006</v>
      </c>
      <c r="ZI27">
        <f>SOFR3mo_PX[[#This Row],[Column685]]</f>
        <v>96.194999999999993</v>
      </c>
      <c r="ZJ27">
        <f>SOFR3mo_PX[[#This Row],[Column686]]</f>
        <v>96.105000000000004</v>
      </c>
      <c r="ZK27">
        <f>SOFR3mo_PX[[#This Row],[Column687]]</f>
        <v>96.114999999999995</v>
      </c>
      <c r="ZL27">
        <f>SOFR3mo_PX[[#This Row],[Column688]]</f>
        <v>96.144999999999996</v>
      </c>
      <c r="ZM27">
        <f>SOFR3mo_PX[[#This Row],[Column689]]</f>
        <v>96.16</v>
      </c>
      <c r="ZN27">
        <f>SOFR3mo_PX[[#This Row],[Column690]]</f>
        <v>96.14</v>
      </c>
      <c r="ZO27">
        <f>SOFR3mo_PX[[#This Row],[Column691]]</f>
        <v>96.114999999999995</v>
      </c>
      <c r="ZP27">
        <f>SOFR3mo_PX[[#This Row],[Column692]]</f>
        <v>96.144999999999996</v>
      </c>
      <c r="ZQ27">
        <f>SOFR3mo_PX[[#This Row],[Column693]]</f>
        <v>96.24</v>
      </c>
      <c r="ZR27">
        <f>SOFR3mo_PX[[#This Row],[Column694]]</f>
        <v>96.18</v>
      </c>
      <c r="ZS27">
        <f>SOFR3mo_PX[[#This Row],[Column695]]</f>
        <v>96.09</v>
      </c>
      <c r="ZT27">
        <f>SOFR3mo_PX[[#This Row],[Column696]]</f>
        <v>95.95</v>
      </c>
      <c r="ZU27">
        <f>SOFR3mo_PX[[#This Row],[Column697]]</f>
        <v>95.995000000000005</v>
      </c>
      <c r="ZV27">
        <f>SOFR3mo_PX[[#This Row],[Column698]]</f>
        <v>96.034999999999997</v>
      </c>
      <c r="ZW27">
        <f>SOFR3mo_PX[[#This Row],[Column699]]</f>
        <v>96.144999999999996</v>
      </c>
      <c r="ZX27">
        <f>SOFR3mo_PX[[#This Row],[Column700]]</f>
        <v>96.27</v>
      </c>
      <c r="ZY27">
        <f>SOFR3mo_PX[[#This Row],[Column701]]</f>
        <v>96.25</v>
      </c>
      <c r="ZZ27">
        <f>SOFR3mo_PX[[#This Row],[Column702]]</f>
        <v>96.26</v>
      </c>
      <c r="AAA27">
        <f>SOFR3mo_PX[[#This Row],[Column703]]</f>
        <v>96.305000000000007</v>
      </c>
      <c r="AAB27">
        <f>SOFR3mo_PX[[#This Row],[Column704]]</f>
        <v>96.29</v>
      </c>
      <c r="AAC27">
        <f>SOFR3mo_PX[[#This Row],[Column705]]</f>
        <v>96.25</v>
      </c>
      <c r="AAD27">
        <f>SOFR3mo_PX[[#This Row],[Column706]]</f>
        <v>96.2</v>
      </c>
      <c r="AAE27">
        <f>SOFR3mo_PX[[#This Row],[Column707]]</f>
        <v>96.295000000000002</v>
      </c>
      <c r="AAF27">
        <f>SOFR3mo_PX[[#This Row],[Column708]]</f>
        <v>96.34</v>
      </c>
      <c r="AAG27">
        <f>SOFR3mo_PX[[#This Row],[Column709]]</f>
        <v>96.4</v>
      </c>
      <c r="AAH27">
        <f>SOFR3mo_PX[[#This Row],[Column710]]</f>
        <v>96.555000000000007</v>
      </c>
      <c r="AAI27">
        <f>SOFR3mo_PX[[#This Row],[Column711]]</f>
        <v>96.46</v>
      </c>
      <c r="AAJ27">
        <f>SOFR3mo_PX[[#This Row],[Column712]]</f>
        <v>96.3</v>
      </c>
      <c r="AAK27">
        <f>SOFR3mo_PX[[#This Row],[Column713]]</f>
        <v>96.364999999999995</v>
      </c>
      <c r="AAL27">
        <f>SOFR3mo_PX[[#This Row],[Column714]]</f>
        <v>96.41</v>
      </c>
      <c r="AAM27">
        <f>SOFR3mo_PX[[#This Row],[Column715]]</f>
        <v>96.254999999999995</v>
      </c>
      <c r="AAN27">
        <f>SOFR3mo_PX[[#This Row],[Column716]]</f>
        <v>96.364999999999995</v>
      </c>
      <c r="AAO27">
        <f>SOFR3mo_PX[[#This Row],[Column717]]</f>
        <v>96.564999999999998</v>
      </c>
      <c r="AAP27">
        <f>SOFR3mo_PX[[#This Row],[Column718]]</f>
        <v>96.474999999999994</v>
      </c>
      <c r="AAQ27">
        <f>SOFR3mo_PX[[#This Row],[Column719]]</f>
        <v>96.655000000000001</v>
      </c>
      <c r="AAR27">
        <f>SOFR3mo_PX[[#This Row],[Column720]]</f>
        <v>96.59</v>
      </c>
      <c r="AAS27">
        <f>SOFR3mo_PX[[#This Row],[Column721]]</f>
        <v>96.68</v>
      </c>
      <c r="AAT27">
        <f>SOFR3mo_PX[[#This Row],[Column722]]</f>
        <v>96.685000000000002</v>
      </c>
      <c r="AAU27">
        <f>SOFR3mo_PX[[#This Row],[Column723]]</f>
        <v>96.71</v>
      </c>
      <c r="AAV27">
        <f>SOFR3mo_PX[[#This Row],[Column724]]</f>
        <v>96.784999999999997</v>
      </c>
      <c r="AAW27">
        <f>SOFR3mo_PX[[#This Row],[Column725]]</f>
        <v>96.754999999999995</v>
      </c>
      <c r="AAX27">
        <f>SOFR3mo_PX[[#This Row],[Column726]]</f>
        <v>96.75</v>
      </c>
      <c r="AAY27">
        <f>SOFR3mo_PX[[#This Row],[Column727]]</f>
        <v>96.81</v>
      </c>
      <c r="AAZ27">
        <f>SOFR3mo_PX[[#This Row],[Column728]]</f>
        <v>96.82</v>
      </c>
      <c r="ABA27">
        <f>SOFR3mo_PX[[#This Row],[Column729]]</f>
        <v>96.85</v>
      </c>
      <c r="ABB27">
        <f>SOFR3mo_PX[[#This Row],[Column730]]</f>
        <v>96.745000000000005</v>
      </c>
      <c r="ABC27">
        <f>SOFR3mo_PX[[#This Row],[Column731]]</f>
        <v>96.915000000000006</v>
      </c>
      <c r="ABD27">
        <f>SOFR3mo_PX[[#This Row],[Column732]]</f>
        <v>96.915000000000006</v>
      </c>
      <c r="ABE27">
        <f>SOFR3mo_PX[[#This Row],[Column733]]</f>
        <v>96.87</v>
      </c>
      <c r="ABF27">
        <f>SOFR3mo_PX[[#This Row],[Column734]]</f>
        <v>97.045000000000002</v>
      </c>
      <c r="ABG27">
        <f>SOFR3mo_PX[[#This Row],[Column735]]</f>
        <v>97.1</v>
      </c>
      <c r="ABH27">
        <f>SOFR3mo_PX[[#This Row],[Column736]]</f>
        <v>97.055000000000007</v>
      </c>
      <c r="ABI27">
        <f>SOFR3mo_PX[[#This Row],[Column737]]</f>
        <v>97.165000000000006</v>
      </c>
      <c r="ABJ27">
        <f>SOFR3mo_PX[[#This Row],[Column738]]</f>
        <v>97.185000000000002</v>
      </c>
      <c r="ABK27">
        <f>SOFR3mo_PX[[#This Row],[Column739]]</f>
        <v>97.094999999999999</v>
      </c>
      <c r="ABL27">
        <f>SOFR3mo_PX[[#This Row],[Column740]]</f>
        <v>97.17</v>
      </c>
      <c r="ABM27">
        <f>SOFR3mo_PX[[#This Row],[Column741]]</f>
        <v>97.2</v>
      </c>
      <c r="ABN27">
        <f>SOFR3mo_PX[[#This Row],[Column742]]</f>
        <v>97.224999999999994</v>
      </c>
      <c r="ABO27">
        <f>SOFR3mo_PX[[#This Row],[Column743]]</f>
        <v>97.355000000000004</v>
      </c>
      <c r="ABP27">
        <f>SOFR3mo_PX[[#This Row],[Column744]]</f>
        <v>97.344999999999999</v>
      </c>
      <c r="ABQ27">
        <f>SOFR3mo_PX[[#This Row],[Column745]]</f>
        <v>97.42</v>
      </c>
      <c r="ABR27">
        <f>SOFR3mo_PX[[#This Row],[Column746]]</f>
        <v>97.4</v>
      </c>
      <c r="ABS27">
        <f>SOFR3mo_PX[[#This Row],[Column747]]</f>
        <v>97.314999999999998</v>
      </c>
      <c r="ABT27">
        <f>SOFR3mo_PX[[#This Row],[Column748]]</f>
        <v>97.26</v>
      </c>
      <c r="ABU27">
        <f>SOFR3mo_PX[[#This Row],[Column749]]</f>
        <v>97.424999999999997</v>
      </c>
      <c r="ABV27">
        <f>SOFR3mo_PX[[#This Row],[Column750]]</f>
        <v>97.444999999999993</v>
      </c>
      <c r="ABW27">
        <f>SOFR3mo_PX[[#This Row],[Column751]]</f>
        <v>97.435000000000002</v>
      </c>
      <c r="ABX27">
        <f>SOFR3mo_PX[[#This Row],[Column752]]</f>
        <v>97.344999999999999</v>
      </c>
      <c r="ABY27">
        <f>SOFR3mo_PX[[#This Row],[Column753]]</f>
        <v>97.484999999999999</v>
      </c>
      <c r="ABZ27">
        <f>SOFR3mo_PX[[#This Row],[Column754]]</f>
        <v>97.405000000000001</v>
      </c>
      <c r="ACA27">
        <f>SOFR3mo_PX[[#This Row],[Column755]]</f>
        <v>97.394999999999996</v>
      </c>
      <c r="ACB27">
        <f>SOFR3mo_PX[[#This Row],[Column756]]</f>
        <v>97.47</v>
      </c>
      <c r="ACC27">
        <f>SOFR3mo_PX[[#This Row],[Column757]]</f>
        <v>97.4</v>
      </c>
      <c r="ACD27">
        <f>SOFR3mo_PX[[#This Row],[Column758]]</f>
        <v>97.35</v>
      </c>
      <c r="ACE27">
        <f>SOFR3mo_PX[[#This Row],[Column759]]</f>
        <v>97.305000000000007</v>
      </c>
      <c r="ACF27">
        <f>SOFR3mo_PX[[#This Row],[Column760]]</f>
        <v>97.25</v>
      </c>
      <c r="ACG27">
        <f>SOFR3mo_PX[[#This Row],[Column761]]</f>
        <v>97.215000000000003</v>
      </c>
      <c r="ACH27">
        <f>SOFR3mo_PX[[#This Row],[Column762]]</f>
        <v>97.275000000000006</v>
      </c>
      <c r="ACI27">
        <f>SOFR3mo_PX[[#This Row],[Column763]]</f>
        <v>97.17</v>
      </c>
      <c r="ACJ27">
        <f>SOFR3mo_PX[[#This Row],[Column764]]</f>
        <v>97.06</v>
      </c>
      <c r="ACK27">
        <f>SOFR3mo_PX[[#This Row],[Column765]]</f>
        <v>97.094999999999999</v>
      </c>
      <c r="ACL27">
        <f>SOFR3mo_PX[[#This Row],[Column766]]</f>
        <v>97.13</v>
      </c>
      <c r="ACM27">
        <f>SOFR3mo_PX[[#This Row],[Column767]]</f>
        <v>97.155000000000001</v>
      </c>
      <c r="ACN27">
        <f>SOFR3mo_PX[[#This Row],[Column768]]</f>
        <v>97.084999999999994</v>
      </c>
      <c r="ACO27">
        <f>SOFR3mo_PX[[#This Row],[Column769]]</f>
        <v>97.13</v>
      </c>
      <c r="ACP27">
        <f>SOFR3mo_PX[[#This Row],[Column770]]</f>
        <v>97.015000000000001</v>
      </c>
      <c r="ACQ27">
        <f>SOFR3mo_PX[[#This Row],[Column771]]</f>
        <v>96.965000000000003</v>
      </c>
      <c r="ACR27">
        <f>SOFR3mo_PX[[#This Row],[Column772]]</f>
        <v>96.82</v>
      </c>
      <c r="ACS27">
        <f>SOFR3mo_PX[[#This Row],[Column773]]</f>
        <v>96.905000000000001</v>
      </c>
      <c r="ACT27">
        <f>SOFR3mo_PX[[#This Row],[Column774]]</f>
        <v>97.02</v>
      </c>
      <c r="ACU27">
        <f>SOFR3mo_PX[[#This Row],[Column775]]</f>
        <v>97.105000000000004</v>
      </c>
      <c r="ACV27">
        <f>SOFR3mo_PX[[#This Row],[Column776]]</f>
        <v>97.025000000000006</v>
      </c>
      <c r="ACW27">
        <f>SOFR3mo_PX[[#This Row],[Column777]]</f>
        <v>97.025000000000006</v>
      </c>
      <c r="ACX27">
        <f>SOFR3mo_PX[[#This Row],[Column778]]</f>
        <v>96.995000000000005</v>
      </c>
      <c r="ACY27">
        <f>SOFR3mo_PX[[#This Row],[Column779]]</f>
        <v>96.87</v>
      </c>
      <c r="ACZ27">
        <f>SOFR3mo_PX[[#This Row],[Column780]]</f>
        <v>96.775000000000006</v>
      </c>
      <c r="ADA27">
        <f>SOFR3mo_PX[[#This Row],[Column781]]</f>
        <v>96.795000000000002</v>
      </c>
      <c r="ADB27">
        <f>SOFR3mo_PX[[#This Row],[Column782]]</f>
        <v>96.85</v>
      </c>
      <c r="ADC27">
        <f>SOFR3mo_PX[[#This Row],[Column783]]</f>
        <v>96.944999999999993</v>
      </c>
      <c r="ADD27">
        <f>SOFR3mo_PX[[#This Row],[Column784]]</f>
        <v>96.844999999999999</v>
      </c>
      <c r="ADE27">
        <f>SOFR3mo_PX[[#This Row],[Column785]]</f>
        <v>96.715000000000003</v>
      </c>
      <c r="ADF27">
        <f>SOFR3mo_PX[[#This Row],[Column786]]</f>
        <v>96.814999999999998</v>
      </c>
      <c r="ADG27">
        <f>SOFR3mo_PX[[#This Row],[Column787]]</f>
        <v>96.814999999999998</v>
      </c>
      <c r="ADH27">
        <f>SOFR3mo_PX[[#This Row],[Column788]]</f>
        <v>96.734999999999999</v>
      </c>
      <c r="ADI27">
        <f>SOFR3mo_PX[[#This Row],[Column789]]</f>
        <v>96.63</v>
      </c>
      <c r="ADJ27">
        <f>SOFR3mo_PX[[#This Row],[Column790]]</f>
        <v>96.605000000000004</v>
      </c>
      <c r="ADK27">
        <f>SOFR3mo_PX[[#This Row],[Column791]]</f>
        <v>96.704999999999998</v>
      </c>
      <c r="ADL27">
        <f>SOFR3mo_PX[[#This Row],[Column792]]</f>
        <v>96.915000000000006</v>
      </c>
      <c r="ADM27">
        <f>SOFR3mo_PX[[#This Row],[Column793]]</f>
        <v>96.98</v>
      </c>
      <c r="ADN27">
        <f>SOFR3mo_PX[[#This Row],[Column794]]</f>
        <v>96.98</v>
      </c>
      <c r="ADO27">
        <f>SOFR3mo_PX[[#This Row],[Column795]]</f>
        <v>97.034999999999997</v>
      </c>
      <c r="ADP27">
        <f>SOFR3mo_PX[[#This Row],[Column796]]</f>
        <v>96.935000000000002</v>
      </c>
      <c r="ADQ27">
        <f>SOFR3mo_PX[[#This Row],[Column797]]</f>
        <v>97.04</v>
      </c>
      <c r="ADR27">
        <f>SOFR3mo_PX[[#This Row],[Column798]]</f>
        <v>97.09</v>
      </c>
      <c r="ADS27">
        <f>SOFR3mo_PX[[#This Row],[Column799]]</f>
        <v>97.05</v>
      </c>
      <c r="ADT27">
        <f>SOFR3mo_PX[[#This Row],[Column800]]</f>
        <v>97.1</v>
      </c>
      <c r="ADU27">
        <f>SOFR3mo_PX[[#This Row],[Column801]]</f>
        <v>97.19</v>
      </c>
      <c r="ADV27">
        <f>SOFR3mo_PX[[#This Row],[Column802]]</f>
        <v>97.19</v>
      </c>
      <c r="ADW27">
        <f>SOFR3mo_PX[[#This Row],[Column803]]</f>
        <v>97.17</v>
      </c>
      <c r="ADX27">
        <f>SOFR3mo_PX[[#This Row],[Column804]]</f>
        <v>97.2</v>
      </c>
      <c r="ADY27">
        <f>SOFR3mo_PX[[#This Row],[Column805]]</f>
        <v>97.204999999999998</v>
      </c>
      <c r="ADZ27">
        <f>SOFR3mo_PX[[#This Row],[Column806]]</f>
        <v>97.16</v>
      </c>
      <c r="AEA27">
        <f>SOFR3mo_PX[[#This Row],[Column807]]</f>
        <v>97.22</v>
      </c>
      <c r="AEB27">
        <f>SOFR3mo_PX[[#This Row],[Column808]]</f>
        <v>97.14</v>
      </c>
      <c r="AEC27">
        <f>SOFR3mo_PX[[#This Row],[Column809]]</f>
        <v>97.105000000000004</v>
      </c>
      <c r="AED27">
        <f>SOFR3mo_PX[[#This Row],[Column810]]</f>
        <v>96.974999999999994</v>
      </c>
      <c r="AEE27">
        <f>SOFR3mo_PX[[#This Row],[Column811]]</f>
        <v>97.055000000000007</v>
      </c>
      <c r="AEF27">
        <f>SOFR3mo_PX[[#This Row],[Column812]]</f>
        <v>96.99</v>
      </c>
      <c r="AEG27">
        <f>SOFR3mo_PX[[#This Row],[Column813]]</f>
        <v>97.11</v>
      </c>
      <c r="AEH27">
        <f>SOFR3mo_PX[[#This Row],[Column814]]</f>
        <v>97.03</v>
      </c>
      <c r="AEI27">
        <f>SOFR3mo_PX[[#This Row],[Column815]]</f>
        <v>96.91</v>
      </c>
      <c r="AEJ27">
        <f>SOFR3mo_PX[[#This Row],[Column816]]</f>
        <v>96.8</v>
      </c>
      <c r="AEK27">
        <f>SOFR3mo_PX[[#This Row],[Column817]]</f>
        <v>96.765000000000001</v>
      </c>
      <c r="AEL27">
        <f>SOFR3mo_PX[[#This Row],[Column818]]</f>
        <v>96.86</v>
      </c>
      <c r="AEM27">
        <f>SOFR3mo_PX[[#This Row],[Column819]]</f>
        <v>97.02</v>
      </c>
      <c r="AEN27">
        <f>SOFR3mo_PX[[#This Row],[Column820]]</f>
        <v>97.025000000000006</v>
      </c>
      <c r="AEO27">
        <f>SOFR3mo_PX[[#This Row],[Column821]]</f>
        <v>96.965000000000003</v>
      </c>
      <c r="AEP27">
        <f>SOFR3mo_PX[[#This Row],[Column822]]</f>
        <v>97.11</v>
      </c>
      <c r="AEQ27">
        <f>SOFR3mo_PX[[#This Row],[Column823]]</f>
        <v>97.114999999999995</v>
      </c>
      <c r="AER27">
        <f>SOFR3mo_PX[[#This Row],[Column824]]</f>
        <v>97.174999999999997</v>
      </c>
      <c r="AES27">
        <f>SOFR3mo_PX[[#This Row],[Column825]]</f>
        <v>97.24</v>
      </c>
      <c r="AET27">
        <f>SOFR3mo_PX[[#This Row],[Column826]]</f>
        <v>97.224999999999994</v>
      </c>
      <c r="AEU27">
        <f>SOFR3mo_PX[[#This Row],[Column827]]</f>
        <v>97.14</v>
      </c>
      <c r="AEV27">
        <f>SOFR3mo_PX[[#This Row],[Column828]]</f>
        <v>97.1</v>
      </c>
      <c r="AEW27">
        <f>SOFR3mo_PX[[#This Row],[Column829]]</f>
        <v>97.165000000000006</v>
      </c>
      <c r="AEX27">
        <f>SOFR3mo_PX[[#This Row],[Column830]]</f>
        <v>97.06</v>
      </c>
      <c r="AEY27">
        <f>SOFR3mo_PX[[#This Row],[Column831]]</f>
        <v>97.1</v>
      </c>
      <c r="AEZ27">
        <f>SOFR3mo_PX[[#This Row],[Column832]]</f>
        <v>97.185000000000002</v>
      </c>
      <c r="AFA27">
        <f>SOFR3mo_PX[[#This Row],[Column833]]</f>
        <v>97.185000000000002</v>
      </c>
      <c r="AFB27">
        <f>SOFR3mo_PX[[#This Row],[Column834]]</f>
        <v>97.314999999999998</v>
      </c>
      <c r="AFC27">
        <f>SOFR3mo_PX[[#This Row],[Column835]]</f>
        <v>97.27</v>
      </c>
      <c r="AFD27">
        <f>SOFR3mo_PX[[#This Row],[Column836]]</f>
        <v>97.24</v>
      </c>
      <c r="AFE27">
        <f>SOFR3mo_PX[[#This Row],[Column837]]</f>
        <v>97.364999999999995</v>
      </c>
      <c r="AFF27">
        <f>SOFR3mo_PX[[#This Row],[Column838]]</f>
        <v>97.465000000000003</v>
      </c>
      <c r="AFG27">
        <f>SOFR3mo_PX[[#This Row],[Column839]]</f>
        <v>97.584999999999994</v>
      </c>
      <c r="AFH27">
        <f>SOFR3mo_PX[[#This Row],[Column840]]</f>
        <v>97.694999999999993</v>
      </c>
      <c r="AFI27">
        <f>SOFR3mo_PX[[#This Row],[Column841]]</f>
        <v>97.85</v>
      </c>
      <c r="AFJ27">
        <f>SOFR3mo_PX[[#This Row],[Column842]]</f>
        <v>97.87</v>
      </c>
      <c r="AFK27">
        <f>SOFR3mo_PX[[#This Row],[Column843]]</f>
        <v>97.885000000000005</v>
      </c>
      <c r="AFL27">
        <f>SOFR3mo_PX[[#This Row],[Column844]]</f>
        <v>97.84</v>
      </c>
      <c r="AFM27">
        <f>SOFR3mo_PX[[#This Row],[Column845]]</f>
        <v>97.78</v>
      </c>
      <c r="AFN27">
        <f>SOFR3mo_PX[[#This Row],[Column846]]</f>
        <v>97.69</v>
      </c>
      <c r="AFO27">
        <f>SOFR3mo_PX[[#This Row],[Column847]]</f>
        <v>97.665000000000006</v>
      </c>
      <c r="AFP27">
        <f>SOFR3mo_PX[[#This Row],[Column848]]</f>
        <v>97.81</v>
      </c>
      <c r="AFQ27">
        <f>SOFR3mo_PX[[#This Row],[Column849]]</f>
        <v>97.825000000000003</v>
      </c>
      <c r="AFR27">
        <f>SOFR3mo_PX[[#This Row],[Column850]]</f>
        <v>97.77</v>
      </c>
      <c r="AFS27">
        <f>SOFR3mo_PX[[#This Row],[Column851]]</f>
        <v>97.834999999999994</v>
      </c>
      <c r="AFT27">
        <f>SOFR3mo_PX[[#This Row],[Column852]]</f>
        <v>97.974999999999994</v>
      </c>
      <c r="AFU27">
        <f>SOFR3mo_PX[[#This Row],[Column853]]</f>
        <v>97.905000000000001</v>
      </c>
      <c r="AFV27">
        <f>SOFR3mo_PX[[#This Row],[Column854]]</f>
        <v>97.88</v>
      </c>
      <c r="AFW27">
        <f>SOFR3mo_PX[[#This Row],[Column855]]</f>
        <v>97.89</v>
      </c>
      <c r="AFX27">
        <f>SOFR3mo_PX[[#This Row],[Column856]]</f>
        <v>97.915000000000006</v>
      </c>
      <c r="AFY27">
        <f>SOFR3mo_PX[[#This Row],[Column857]]</f>
        <v>98.075000000000003</v>
      </c>
      <c r="AFZ27">
        <f>SOFR3mo_PX[[#This Row],[Column858]]</f>
        <v>98.084999999999994</v>
      </c>
      <c r="AGA27">
        <f>SOFR3mo_PX[[#This Row],[Column859]]</f>
        <v>98.16</v>
      </c>
      <c r="AGB27">
        <f>SOFR3mo_PX[[#This Row],[Column860]]</f>
        <v>98.254999999999995</v>
      </c>
      <c r="AGC27">
        <f>SOFR3mo_PX[[#This Row],[Column861]]</f>
        <v>98.37</v>
      </c>
      <c r="AGD27">
        <f>SOFR3mo_PX[[#This Row],[Column862]]</f>
        <v>98.35</v>
      </c>
      <c r="AGE27">
        <f>SOFR3mo_PX[[#This Row],[Column863]]</f>
        <v>98.21</v>
      </c>
      <c r="AGF27">
        <f>SOFR3mo_PX[[#This Row],[Column864]]</f>
        <v>98.165000000000006</v>
      </c>
      <c r="AGG27">
        <f>SOFR3mo_PX[[#This Row],[Column865]]</f>
        <v>98.305000000000007</v>
      </c>
      <c r="AGH27">
        <f>SOFR3mo_PX[[#This Row],[Column866]]</f>
        <v>98.194999999999993</v>
      </c>
      <c r="AGI27">
        <f>SOFR3mo_PX[[#This Row],[Column867]]</f>
        <v>98.055000000000007</v>
      </c>
      <c r="AGJ27">
        <f>SOFR3mo_PX[[#This Row],[Column868]]</f>
        <v>98.064999999999998</v>
      </c>
      <c r="AGK27">
        <f>SOFR3mo_PX[[#This Row],[Column869]]</f>
        <v>98.084999999999994</v>
      </c>
      <c r="AGL27">
        <f>SOFR3mo_PX[[#This Row],[Column870]]</f>
        <v>98.125</v>
      </c>
      <c r="AGM27">
        <f>SOFR3mo_PX[[#This Row],[Column871]]</f>
        <v>98.11</v>
      </c>
      <c r="AGN27">
        <f>SOFR3mo_PX[[#This Row],[Column872]]</f>
        <v>98.11</v>
      </c>
      <c r="AGO27">
        <f>SOFR3mo_PX[[#This Row],[Column873]]</f>
        <v>98.06</v>
      </c>
      <c r="AGP27">
        <f>SOFR3mo_PX[[#This Row],[Column874]]</f>
        <v>97.97</v>
      </c>
      <c r="AGQ27">
        <f>SOFR3mo_PX[[#This Row],[Column875]]</f>
        <v>97.98</v>
      </c>
      <c r="AGR27">
        <f>SOFR3mo_PX[[#This Row],[Column876]]</f>
        <v>98.064999999999998</v>
      </c>
      <c r="AGS27">
        <f>SOFR3mo_PX[[#This Row],[Column877]]</f>
        <v>98.114999999999995</v>
      </c>
      <c r="AGT27">
        <f>SOFR3mo_PX[[#This Row],[Column878]]</f>
        <v>98.004999999999995</v>
      </c>
      <c r="AGU27">
        <f>SOFR3mo_PX[[#This Row],[Column879]]</f>
        <v>98.075000000000003</v>
      </c>
      <c r="AGV27">
        <f>SOFR3mo_PX[[#This Row],[Column880]]</f>
        <v>98.025000000000006</v>
      </c>
      <c r="AGW27">
        <f>SOFR3mo_PX[[#This Row],[Column881]]</f>
        <v>98.064999999999998</v>
      </c>
      <c r="AGX27">
        <f>SOFR3mo_PX[[#This Row],[Column882]]</f>
        <v>98.05</v>
      </c>
      <c r="AGY27">
        <f>SOFR3mo_PX[[#This Row],[Column883]]</f>
        <v>98.15</v>
      </c>
      <c r="AGZ27">
        <f>SOFR3mo_PX[[#This Row],[Column884]]</f>
        <v>98.21</v>
      </c>
      <c r="AHA27">
        <f>SOFR3mo_PX[[#This Row],[Column885]]</f>
        <v>98.174999999999997</v>
      </c>
      <c r="AHB27">
        <f>SOFR3mo_PX[[#This Row],[Column886]]</f>
        <v>98.185000000000002</v>
      </c>
      <c r="AHC27">
        <f>SOFR3mo_PX[[#This Row],[Column887]]</f>
        <v>98.2</v>
      </c>
      <c r="AHD27">
        <f>SOFR3mo_PX[[#This Row],[Column888]]</f>
        <v>98.16</v>
      </c>
      <c r="AHE27">
        <f>SOFR3mo_PX[[#This Row],[Column889]]</f>
        <v>98.055000000000007</v>
      </c>
      <c r="AHF27">
        <f>SOFR3mo_PX[[#This Row],[Column890]]</f>
        <v>98.12</v>
      </c>
      <c r="AHG27">
        <f>SOFR3mo_PX[[#This Row],[Column891]]</f>
        <v>98.185000000000002</v>
      </c>
      <c r="AHH27">
        <f>SOFR3mo_PX[[#This Row],[Column892]]</f>
        <v>98.165000000000006</v>
      </c>
      <c r="AHI27">
        <f>SOFR3mo_PX[[#This Row],[Column893]]</f>
        <v>98.094999999999999</v>
      </c>
      <c r="AHJ27">
        <f>SOFR3mo_PX[[#This Row],[Column894]]</f>
        <v>98.08</v>
      </c>
      <c r="AHK27">
        <f>SOFR3mo_PX[[#This Row],[Column895]]</f>
        <v>98.025000000000006</v>
      </c>
      <c r="AHL27">
        <f>SOFR3mo_PX[[#This Row],[Column896]]</f>
        <v>98.13</v>
      </c>
      <c r="AHM27">
        <f>SOFR3mo_PX[[#This Row],[Column897]]</f>
        <v>98.13</v>
      </c>
      <c r="AHN27">
        <f>SOFR3mo_PX[[#This Row],[Column898]]</f>
        <v>98.21</v>
      </c>
      <c r="AHO27">
        <f>SOFR3mo_PX[[#This Row],[Column899]]</f>
        <v>98.18</v>
      </c>
      <c r="AHP27">
        <f>SOFR3mo_PX[[#This Row],[Column900]]</f>
        <v>98.135000000000005</v>
      </c>
      <c r="AHQ27">
        <f>SOFR3mo_PX[[#This Row],[Column901]]</f>
        <v>98.084999999999994</v>
      </c>
      <c r="AHR27">
        <f>SOFR3mo_PX[[#This Row],[Column902]]</f>
        <v>98.09</v>
      </c>
      <c r="AHS27">
        <f>SOFR3mo_PX[[#This Row],[Column903]]</f>
        <v>98.114999999999995</v>
      </c>
      <c r="AHT27">
        <f>SOFR3mo_PX[[#This Row],[Column904]]</f>
        <v>98.14</v>
      </c>
      <c r="AHU27">
        <f>SOFR3mo_PX[[#This Row],[Column905]]</f>
        <v>98.17</v>
      </c>
      <c r="AHV27">
        <f>SOFR3mo_PX[[#This Row],[Column906]]</f>
        <v>98.22</v>
      </c>
      <c r="AHW27">
        <f>SOFR3mo_PX[[#This Row],[Column907]]</f>
        <v>98.39</v>
      </c>
      <c r="AHX27">
        <f>SOFR3mo_PX[[#This Row],[Column908]]</f>
        <v>98.375</v>
      </c>
      <c r="AHY27">
        <f>SOFR3mo_PX[[#This Row],[Column909]]</f>
        <v>98.364999999999995</v>
      </c>
      <c r="AHZ27">
        <f>SOFR3mo_PX[[#This Row],[Column910]]</f>
        <v>98.46</v>
      </c>
      <c r="AIA27">
        <f>SOFR3mo_PX[[#This Row],[Column911]]</f>
        <v>98.435000000000002</v>
      </c>
      <c r="AIB27">
        <f>SOFR3mo_PX[[#This Row],[Column912]]</f>
        <v>98.4</v>
      </c>
      <c r="AIC27">
        <f>SOFR3mo_PX[[#This Row],[Column913]]</f>
        <v>98.4</v>
      </c>
      <c r="AID27">
        <f>SOFR3mo_PX[[#This Row],[Column914]]</f>
        <v>98.424999999999997</v>
      </c>
      <c r="AIE27">
        <f>SOFR3mo_PX[[#This Row],[Column915]]</f>
        <v>98.394999999999996</v>
      </c>
      <c r="AIF27">
        <f>SOFR3mo_PX[[#This Row],[Column916]]</f>
        <v>98.484999999999999</v>
      </c>
      <c r="AIG27">
        <f>SOFR3mo_PX[[#This Row],[Column917]]</f>
        <v>98.545000000000002</v>
      </c>
      <c r="AIH27">
        <f>SOFR3mo_PX[[#This Row],[Column918]]</f>
        <v>98.51</v>
      </c>
      <c r="AII27">
        <f>SOFR3mo_PX[[#This Row],[Column919]]</f>
        <v>98.47</v>
      </c>
      <c r="AIJ27">
        <f>SOFR3mo_PX[[#This Row],[Column920]]</f>
        <v>98.48</v>
      </c>
      <c r="AIK27">
        <f>SOFR3mo_PX[[#This Row],[Column921]]</f>
        <v>98.484999999999999</v>
      </c>
      <c r="AIL27">
        <f>SOFR3mo_PX[[#This Row],[Column922]]</f>
        <v>98.42</v>
      </c>
      <c r="AIM27">
        <f>SOFR3mo_PX[[#This Row],[Column923]]</f>
        <v>98.444999999999993</v>
      </c>
      <c r="AIN27">
        <f>SOFR3mo_PX[[#This Row],[Column924]]</f>
        <v>98.405000000000001</v>
      </c>
      <c r="AIO27">
        <f>SOFR3mo_PX[[#This Row],[Column925]]</f>
        <v>98.424999999999997</v>
      </c>
      <c r="AIP27">
        <f>SOFR3mo_PX[[#This Row],[Column926]]</f>
        <v>98.47</v>
      </c>
      <c r="AIQ27">
        <f>SOFR3mo_PX[[#This Row],[Column927]]</f>
        <v>98.62</v>
      </c>
      <c r="AIR27">
        <f>SOFR3mo_PX[[#This Row],[Column928]]</f>
        <v>98.484999999999999</v>
      </c>
      <c r="AIS27">
        <f>SOFR3mo_PX[[#This Row],[Column929]]</f>
        <v>98.474999999999994</v>
      </c>
      <c r="AIT27">
        <f>SOFR3mo_PX[[#This Row],[Column930]]</f>
        <v>98.405000000000001</v>
      </c>
      <c r="AIU27">
        <f>SOFR3mo_PX[[#This Row],[Column931]]</f>
        <v>98.284999999999997</v>
      </c>
      <c r="AIV27">
        <f>SOFR3mo_PX[[#This Row],[Column932]]</f>
        <v>98.364999999999995</v>
      </c>
      <c r="AIW27">
        <f>SOFR3mo_PX[[#This Row],[Column933]]</f>
        <v>98.19</v>
      </c>
      <c r="AIX27">
        <f>SOFR3mo_PX[[#This Row],[Column934]]</f>
        <v>98.19</v>
      </c>
      <c r="AIY27">
        <f>SOFR3mo_PX[[#This Row],[Column935]]</f>
        <v>98.15</v>
      </c>
      <c r="AIZ27">
        <f>SOFR3mo_PX[[#This Row],[Column936]]</f>
        <v>98.215000000000003</v>
      </c>
      <c r="AJA27">
        <f>SOFR3mo_PX[[#This Row],[Column937]]</f>
        <v>98.32</v>
      </c>
      <c r="AJB27">
        <f>SOFR3mo_PX[[#This Row],[Column938]]</f>
        <v>98.245000000000005</v>
      </c>
      <c r="AJC27">
        <f>SOFR3mo_PX[[#This Row],[Column939]]</f>
        <v>98.215000000000003</v>
      </c>
      <c r="AJD27">
        <f>SOFR3mo_PX[[#This Row],[Column940]]</f>
        <v>98.19</v>
      </c>
      <c r="AJE27">
        <f>SOFR3mo_PX[[#This Row],[Column941]]</f>
        <v>98.224999999999994</v>
      </c>
      <c r="AJF27">
        <f>SOFR3mo_PX[[#This Row],[Column942]]</f>
        <v>98.27</v>
      </c>
      <c r="AJG27">
        <f>SOFR3mo_PX[[#This Row],[Column943]]</f>
        <v>98.284999999999997</v>
      </c>
      <c r="AJH27">
        <f>SOFR3mo_PX[[#This Row],[Column944]]</f>
        <v>98.314999999999998</v>
      </c>
      <c r="AJI27">
        <f>SOFR3mo_PX[[#This Row],[Column945]]</f>
        <v>98.415000000000006</v>
      </c>
      <c r="AJJ27">
        <f>SOFR3mo_PX[[#This Row],[Column946]]</f>
        <v>98.32</v>
      </c>
      <c r="AJK27">
        <f>SOFR3mo_PX[[#This Row],[Column947]]</f>
        <v>98.35</v>
      </c>
      <c r="AJL27">
        <f>SOFR3mo_PX[[#This Row],[Column948]]</f>
        <v>98.25</v>
      </c>
      <c r="AJM27">
        <f>SOFR3mo_PX[[#This Row],[Column949]]</f>
        <v>98.22</v>
      </c>
      <c r="AJN27">
        <f>SOFR3mo_PX[[#This Row],[Column950]]</f>
        <v>98.24</v>
      </c>
      <c r="AJO27">
        <f>SOFR3mo_PX[[#This Row],[Column951]]</f>
        <v>98.27</v>
      </c>
      <c r="AJP27">
        <f>SOFR3mo_PX[[#This Row],[Column952]]</f>
        <v>98.31</v>
      </c>
      <c r="AJQ27">
        <f>SOFR3mo_PX[[#This Row],[Column953]]</f>
        <v>98.275000000000006</v>
      </c>
      <c r="AJR27">
        <f>SOFR3mo_PX[[#This Row],[Column954]]</f>
        <v>98.284999999999997</v>
      </c>
      <c r="AJS27">
        <f>SOFR3mo_PX[[#This Row],[Column955]]</f>
        <v>98.125</v>
      </c>
      <c r="AJT27">
        <f>SOFR3mo_PX[[#This Row],[Column956]]</f>
        <v>98.114999999999995</v>
      </c>
      <c r="AJU27">
        <f>SOFR3mo_PX[[#This Row],[Column957]]</f>
        <v>98.11</v>
      </c>
      <c r="AJV27">
        <f>SOFR3mo_PX[[#This Row],[Column958]]</f>
        <v>98.055000000000007</v>
      </c>
      <c r="AJW27">
        <f>SOFR3mo_PX[[#This Row],[Column959]]</f>
        <v>98.09</v>
      </c>
      <c r="AJX27">
        <f>SOFR3mo_PX[[#This Row],[Column960]]</f>
        <v>98.114999999999995</v>
      </c>
      <c r="AJY27">
        <f>SOFR3mo_PX[[#This Row],[Column961]]</f>
        <v>98.2</v>
      </c>
      <c r="AJZ27">
        <f>SOFR3mo_PX[[#This Row],[Column962]]</f>
        <v>98.18</v>
      </c>
      <c r="AKA27">
        <f>SOFR3mo_PX[[#This Row],[Column963]]</f>
        <v>98.234999999999999</v>
      </c>
      <c r="AKB27">
        <f>SOFR3mo_PX[[#This Row],[Column964]]</f>
        <v>98.194999999999993</v>
      </c>
      <c r="AKC27">
        <f>SOFR3mo_PX[[#This Row],[Column965]]</f>
        <v>98.105000000000004</v>
      </c>
      <c r="AKD27">
        <f>SOFR3mo_PX[[#This Row],[Column966]]</f>
        <v>98.02</v>
      </c>
      <c r="AKE27">
        <f>SOFR3mo_PX[[#This Row],[Column967]]</f>
        <v>98.02</v>
      </c>
      <c r="AKF27">
        <f>SOFR3mo_PX[[#This Row],[Column968]]</f>
        <v>98.07</v>
      </c>
      <c r="AKG27">
        <f>SOFR3mo_PX[[#This Row],[Column969]]</f>
        <v>98.125</v>
      </c>
      <c r="AKH27">
        <f>SOFR3mo_PX[[#This Row],[Column970]]</f>
        <v>98.105000000000004</v>
      </c>
      <c r="AKI27">
        <f>SOFR3mo_PX[[#This Row],[Column971]]</f>
        <v>98.16</v>
      </c>
      <c r="AKJ27">
        <f>SOFR3mo_PX[[#This Row],[Column972]]</f>
        <v>98.135000000000005</v>
      </c>
      <c r="AKK27">
        <f>SOFR3mo_PX[[#This Row],[Column973]]</f>
        <v>98.075000000000003</v>
      </c>
      <c r="AKL27">
        <f>SOFR3mo_PX[[#This Row],[Column974]]</f>
        <v>98.064999999999998</v>
      </c>
      <c r="AKM27">
        <f>SOFR3mo_PX[[#This Row],[Column975]]</f>
        <v>98.075000000000003</v>
      </c>
      <c r="AKN27">
        <f>SOFR3mo_PX[[#This Row],[Column976]]</f>
        <v>98.16</v>
      </c>
      <c r="AKO27">
        <f>SOFR3mo_PX[[#This Row],[Column977]]</f>
        <v>98.21</v>
      </c>
      <c r="AKP27">
        <f>SOFR3mo_PX[[#This Row],[Column978]]</f>
        <v>98.284999999999997</v>
      </c>
      <c r="AKQ27">
        <f>SOFR3mo_PX[[#This Row],[Column979]]</f>
        <v>98.375</v>
      </c>
      <c r="AKR27">
        <f>SOFR3mo_PX[[#This Row],[Column980]]</f>
        <v>98.344999999999999</v>
      </c>
      <c r="AKS27">
        <f>SOFR3mo_PX[[#This Row],[Column981]]</f>
        <v>98.35</v>
      </c>
      <c r="AKT27">
        <f>SOFR3mo_PX[[#This Row],[Column982]]</f>
        <v>98.275000000000006</v>
      </c>
      <c r="AKU27">
        <f>SOFR3mo_PX[[#This Row],[Column983]]</f>
        <v>98.34</v>
      </c>
      <c r="AKV27">
        <f>SOFR3mo_PX[[#This Row],[Column984]]</f>
        <v>98.385000000000005</v>
      </c>
      <c r="AKW27">
        <f>SOFR3mo_PX[[#This Row],[Column985]]</f>
        <v>98.45</v>
      </c>
      <c r="AKX27">
        <f>SOFR3mo_PX[[#This Row],[Column986]]</f>
        <v>98.38</v>
      </c>
      <c r="AKY27">
        <f>SOFR3mo_PX[[#This Row],[Column987]]</f>
        <v>98.36</v>
      </c>
      <c r="AKZ27">
        <f>SOFR3mo_PX[[#This Row],[Column988]]</f>
        <v>98.42</v>
      </c>
      <c r="ALA27">
        <f>SOFR3mo_PX[[#This Row],[Column989]]</f>
        <v>98.385000000000005</v>
      </c>
      <c r="ALB27">
        <f>SOFR3mo_PX[[#This Row],[Column990]]</f>
        <v>98.334999999999994</v>
      </c>
      <c r="ALC27">
        <f>SOFR3mo_PX[[#This Row],[Column991]]</f>
        <v>98.385000000000005</v>
      </c>
      <c r="ALD27">
        <f>SOFR3mo_PX[[#This Row],[Column992]]</f>
        <v>98.385000000000005</v>
      </c>
      <c r="ALE27">
        <f>SOFR3mo_PX[[#This Row],[Column993]]</f>
        <v>98.44</v>
      </c>
      <c r="ALF27">
        <f>SOFR3mo_PX[[#This Row],[Column994]]</f>
        <v>98.43</v>
      </c>
      <c r="ALG27">
        <f>SOFR3mo_PX[[#This Row],[Column995]]</f>
        <v>98.42</v>
      </c>
      <c r="ALH27">
        <f>SOFR3mo_PX[[#This Row],[Column996]]</f>
        <v>98.45</v>
      </c>
      <c r="ALI27">
        <f>SOFR3mo_PX[[#This Row],[Column997]]</f>
        <v>98.424999999999997</v>
      </c>
      <c r="ALJ27">
        <f>SOFR3mo_PX[[#This Row],[Column998]]</f>
        <v>98.394999999999996</v>
      </c>
      <c r="ALK27">
        <f>SOFR3mo_PX[[#This Row],[Column999]]</f>
        <v>98.405000000000001</v>
      </c>
      <c r="ALL27">
        <f>SOFR3mo_PX[[#This Row],[Column1000]]</f>
        <v>98.48</v>
      </c>
      <c r="ALM27">
        <f>SOFR3mo_PX[[#This Row],[Column1001]]</f>
        <v>98.525000000000006</v>
      </c>
      <c r="ALN27">
        <f>SOFR3mo_PX[[#This Row],[Column1002]]</f>
        <v>98.515000000000001</v>
      </c>
      <c r="ALO27">
        <f>SOFR3mo_PX[[#This Row],[Column1003]]</f>
        <v>98.545000000000002</v>
      </c>
      <c r="ALP27">
        <f>SOFR3mo_PX[[#This Row],[Column1004]]</f>
        <v>98.495000000000005</v>
      </c>
      <c r="ALQ27">
        <f>SOFR3mo_PX[[#This Row],[Column1005]]</f>
        <v>98.53</v>
      </c>
      <c r="ALR27">
        <f>SOFR3mo_PX[[#This Row],[Column1006]]</f>
        <v>98.534999999999997</v>
      </c>
      <c r="ALS27">
        <f>SOFR3mo_PX[[#This Row],[Column1007]]</f>
        <v>98.484999999999999</v>
      </c>
      <c r="ALT27">
        <f>SOFR3mo_PX[[#This Row],[Column1008]]</f>
        <v>98.394999999999996</v>
      </c>
      <c r="ALU27">
        <f>SOFR3mo_PX[[#This Row],[Column1009]]</f>
        <v>98.41</v>
      </c>
      <c r="ALV27">
        <f>SOFR3mo_PX[[#This Row],[Column1010]]</f>
        <v>98.43</v>
      </c>
      <c r="ALW27">
        <f>SOFR3mo_PX[[#This Row],[Column1011]]</f>
        <v>98.45</v>
      </c>
      <c r="ALX27">
        <f>SOFR3mo_PX[[#This Row],[Column1012]]</f>
        <v>98.484999999999999</v>
      </c>
      <c r="ALY27">
        <f>SOFR3mo_PX[[#This Row],[Column1013]]</f>
        <v>98.575000000000003</v>
      </c>
      <c r="ALZ27">
        <f>SOFR3mo_PX[[#This Row],[Column1014]]</f>
        <v>98.6</v>
      </c>
      <c r="AMA27">
        <f>SOFR3mo_PX[[#This Row],[Column1015]]</f>
        <v>98.605000000000004</v>
      </c>
      <c r="AMB27">
        <f>SOFR3mo_PX[[#This Row],[Column1016]]</f>
        <v>98.61</v>
      </c>
      <c r="AMC27">
        <f>SOFR3mo_PX[[#This Row],[Column1017]]</f>
        <v>98.515000000000001</v>
      </c>
      <c r="AMD27">
        <f>SOFR3mo_PX[[#This Row],[Column1018]]</f>
        <v>98.495000000000005</v>
      </c>
      <c r="AME27">
        <f>SOFR3mo_PX[[#This Row],[Column1019]]</f>
        <v>98.515000000000001</v>
      </c>
      <c r="AMF27">
        <f>SOFR3mo_PX[[#This Row],[Column1020]]</f>
        <v>98.54</v>
      </c>
      <c r="AMG27">
        <f>SOFR3mo_PX[[#This Row],[Column1021]]</f>
        <v>98.5</v>
      </c>
      <c r="AMH27">
        <f>SOFR3mo_PX[[#This Row],[Column1022]]</f>
        <v>98.484999999999999</v>
      </c>
      <c r="AMI27">
        <f>SOFR3mo_PX[[#This Row],[Column1023]]</f>
        <v>98.504999999999995</v>
      </c>
      <c r="AMJ27">
        <f>SOFR3mo_PX[[#This Row],[Column1024]]</f>
        <v>98.5</v>
      </c>
      <c r="AMK27">
        <f>SOFR3mo_PX[[#This Row],[Column1025]]</f>
        <v>98.605000000000004</v>
      </c>
      <c r="AML27">
        <f>SOFR3mo_PX[[#This Row],[Column1026]]</f>
        <v>98.67</v>
      </c>
      <c r="AMM27">
        <f>SOFR3mo_PX[[#This Row],[Column1027]]</f>
        <v>98.5</v>
      </c>
      <c r="AMN27">
        <f>SOFR3mo_PX[[#This Row],[Column1028]]</f>
        <v>98.5</v>
      </c>
      <c r="AMO27">
        <f>SOFR3mo_PX[[#This Row],[Column1029]]</f>
        <v>98.39</v>
      </c>
      <c r="AMP27">
        <f>SOFR3mo_PX[[#This Row],[Column1030]]</f>
        <v>98.305000000000007</v>
      </c>
      <c r="AMQ27">
        <f>SOFR3mo_PX[[#This Row],[Column1031]]</f>
        <v>98.37</v>
      </c>
      <c r="AMR27">
        <f>SOFR3mo_PX[[#This Row],[Column1032]]</f>
        <v>98.364999999999995</v>
      </c>
      <c r="AMS27">
        <f>SOFR3mo_PX[[#This Row],[Column1033]]</f>
        <v>98.46</v>
      </c>
      <c r="AMT27">
        <f>SOFR3mo_PX[[#This Row],[Column1034]]</f>
        <v>98.444999999999993</v>
      </c>
      <c r="AMU27">
        <f>SOFR3mo_PX[[#This Row],[Column1035]]</f>
        <v>98.385000000000005</v>
      </c>
      <c r="AMV27">
        <f>SOFR3mo_PX[[#This Row],[Column1036]]</f>
        <v>98.295000000000002</v>
      </c>
      <c r="AMW27">
        <f>SOFR3mo_PX[[#This Row],[Column1037]]</f>
        <v>98.295000000000002</v>
      </c>
      <c r="AMX27">
        <f>SOFR3mo_PX[[#This Row],[Column1038]]</f>
        <v>98.23</v>
      </c>
      <c r="AMY27">
        <f>SOFR3mo_PX[[#This Row],[Column1039]]</f>
        <v>98.26</v>
      </c>
      <c r="AMZ27">
        <f>SOFR3mo_PX[[#This Row],[Column1040]]</f>
        <v>98.2</v>
      </c>
      <c r="ANA27">
        <f>SOFR3mo_PX[[#This Row],[Column1041]]</f>
        <v>98.194999999999993</v>
      </c>
      <c r="ANB27">
        <f>SOFR3mo_PX[[#This Row],[Column1042]]</f>
        <v>98.114999999999995</v>
      </c>
      <c r="ANC27">
        <f>SOFR3mo_PX[[#This Row],[Column1043]]</f>
        <v>98.16</v>
      </c>
      <c r="AND27">
        <f>SOFR3mo_PX[[#This Row],[Column1044]]</f>
        <v>98.155000000000001</v>
      </c>
      <c r="ANE27">
        <f>SOFR3mo_PX[[#This Row],[Column1045]]</f>
        <v>98.19</v>
      </c>
      <c r="ANF27">
        <f>SOFR3mo_PX[[#This Row],[Column1046]]</f>
        <v>98.185000000000002</v>
      </c>
      <c r="ANG27">
        <f>SOFR3mo_PX[[#This Row],[Column1047]]</f>
        <v>98.24</v>
      </c>
      <c r="ANH27">
        <f>SOFR3mo_PX[[#This Row],[Column1048]]</f>
        <v>98.135000000000005</v>
      </c>
      <c r="ANI27">
        <f>SOFR3mo_PX[[#This Row],[Column1049]]</f>
        <v>97.995000000000005</v>
      </c>
      <c r="ANJ27">
        <f>SOFR3mo_PX[[#This Row],[Column1050]]</f>
        <v>98.114999999999995</v>
      </c>
      <c r="ANK27">
        <f>SOFR3mo_PX[[#This Row],[Column1051]]</f>
        <v>98.094999999999999</v>
      </c>
      <c r="ANL27">
        <f>SOFR3mo_PX[[#This Row],[Column1052]]</f>
        <v>98.09</v>
      </c>
      <c r="ANM27">
        <f>SOFR3mo_PX[[#This Row],[Column1053]]</f>
        <v>98.11</v>
      </c>
      <c r="ANN27">
        <f>SOFR3mo_PX[[#This Row],[Column1054]]</f>
        <v>98.075000000000003</v>
      </c>
      <c r="ANO27">
        <f>SOFR3mo_PX[[#This Row],[Column1055]]</f>
        <v>98.025000000000006</v>
      </c>
      <c r="ANP27">
        <f>SOFR3mo_PX[[#This Row],[Column1056]]</f>
        <v>97.98</v>
      </c>
      <c r="ANQ27">
        <f>SOFR3mo_PX[[#This Row],[Column1057]]</f>
        <v>97.97</v>
      </c>
      <c r="ANR27">
        <f>SOFR3mo_PX[[#This Row],[Column1058]]</f>
        <v>97.875</v>
      </c>
      <c r="ANS27">
        <f>SOFR3mo_PX[[#This Row],[Column1059]]</f>
        <v>97.924999999999997</v>
      </c>
      <c r="ANT27">
        <f>SOFR3mo_PX[[#This Row],[Column1060]]</f>
        <v>97.89</v>
      </c>
      <c r="ANU27">
        <f>SOFR3mo_PX[[#This Row],[Column1061]]</f>
        <v>97.935000000000002</v>
      </c>
      <c r="ANV27">
        <f>SOFR3mo_PX[[#This Row],[Column1062]]</f>
        <v>97.935000000000002</v>
      </c>
      <c r="ANW27">
        <f>SOFR3mo_PX[[#This Row],[Column1063]]</f>
        <v>97.924999999999997</v>
      </c>
      <c r="ANX27">
        <f>SOFR3mo_PX[[#This Row],[Column1064]]</f>
        <v>97.974999999999994</v>
      </c>
      <c r="ANY27">
        <f>SOFR3mo_PX[[#This Row],[Column1065]]</f>
        <v>97.99</v>
      </c>
      <c r="ANZ27">
        <f>SOFR3mo_PX[[#This Row],[Column1066]]</f>
        <v>97.935000000000002</v>
      </c>
      <c r="AOA27">
        <f>SOFR3mo_PX[[#This Row],[Column1067]]</f>
        <v>97.894999999999996</v>
      </c>
      <c r="AOB27">
        <f>SOFR3mo_PX[[#This Row],[Column1068]]</f>
        <v>97.9</v>
      </c>
      <c r="AOC27">
        <f>SOFR3mo_PX[[#This Row],[Column1069]]</f>
        <v>97.84</v>
      </c>
      <c r="AOD27">
        <f>SOFR3mo_PX[[#This Row],[Column1070]]</f>
        <v>97.885000000000005</v>
      </c>
      <c r="AOE27">
        <f>SOFR3mo_PX[[#This Row],[Column1071]]</f>
        <v>97.89</v>
      </c>
      <c r="AOF27">
        <f>SOFR3mo_PX[[#This Row],[Column1072]]</f>
        <v>97.9</v>
      </c>
      <c r="AOG27">
        <f>SOFR3mo_PX[[#This Row],[Column1073]]</f>
        <v>97.855000000000004</v>
      </c>
      <c r="AOH27">
        <f>SOFR3mo_PX[[#This Row],[Column1074]]</f>
        <v>97.8</v>
      </c>
      <c r="AOI27">
        <f>SOFR3mo_PX[[#This Row],[Column1075]]</f>
        <v>97.894999999999996</v>
      </c>
      <c r="AOJ27">
        <f>SOFR3mo_PX[[#This Row],[Column1076]]</f>
        <v>97.92</v>
      </c>
      <c r="AOK27">
        <f>SOFR3mo_PX[[#This Row],[Column1077]]</f>
        <v>97.944999999999993</v>
      </c>
      <c r="AOL27">
        <f>SOFR3mo_PX[[#This Row],[Column1078]]</f>
        <v>97.954999999999998</v>
      </c>
      <c r="AOM27">
        <f>SOFR3mo_PX[[#This Row],[Column1079]]</f>
        <v>97.915000000000006</v>
      </c>
      <c r="AON27">
        <f>SOFR3mo_PX[[#This Row],[Column1080]]</f>
        <v>97.89</v>
      </c>
      <c r="AOO27">
        <f>SOFR3mo_PX[[#This Row],[Column1081]]</f>
        <v>97.864999999999995</v>
      </c>
      <c r="AOP27">
        <f>SOFR3mo_PX[[#This Row],[Column1082]]</f>
        <v>97.83</v>
      </c>
      <c r="AOQ27">
        <f>SOFR3mo_PX[[#This Row],[Column1083]]</f>
        <v>97.83</v>
      </c>
      <c r="AOR27">
        <f>SOFR3mo_PX[[#This Row],[Column1084]]</f>
        <v>97.86</v>
      </c>
      <c r="AOS27">
        <f>SOFR3mo_PX[[#This Row],[Column1085]]</f>
        <v>97.87</v>
      </c>
      <c r="AOT27">
        <f>SOFR3mo_PX[[#This Row],[Column1086]]</f>
        <v>97.93</v>
      </c>
      <c r="AOU27">
        <f>SOFR3mo_PX[[#This Row],[Column1087]]</f>
        <v>97.94</v>
      </c>
      <c r="AOV27">
        <f>SOFR3mo_PX[[#This Row],[Column1088]]</f>
        <v>97.965000000000003</v>
      </c>
      <c r="AOW27">
        <f>SOFR3mo_PX[[#This Row],[Column1089]]</f>
        <v>97.944999999999993</v>
      </c>
      <c r="AOX27">
        <f>SOFR3mo_PX[[#This Row],[Column1090]]</f>
        <v>97.95</v>
      </c>
      <c r="AOY27">
        <f>SOFR3mo_PX[[#This Row],[Column1091]]</f>
        <v>97.924999999999997</v>
      </c>
      <c r="AOZ27">
        <f>SOFR3mo_PX[[#This Row],[Column1092]]</f>
        <v>97.94</v>
      </c>
      <c r="APA27">
        <f>SOFR3mo_PX[[#This Row],[Column1093]]</f>
        <v>97.98</v>
      </c>
      <c r="APB27">
        <f>SOFR3mo_PX[[#This Row],[Column1094]]</f>
        <v>97.834999999999994</v>
      </c>
      <c r="APC27">
        <f>SOFR3mo_PX[[#This Row],[Column1095]]</f>
        <v>97.825000000000003</v>
      </c>
      <c r="APD27">
        <f>SOFR3mo_PX[[#This Row],[Column1096]]</f>
        <v>97.73</v>
      </c>
      <c r="APE27">
        <f>SOFR3mo_PX[[#This Row],[Column1097]]</f>
        <v>97.74</v>
      </c>
      <c r="APF27">
        <f>SOFR3mo_PX[[#This Row],[Column1098]]</f>
        <v>97.77</v>
      </c>
      <c r="APG27">
        <f>SOFR3mo_PX[[#This Row],[Column1099]]</f>
        <v>97.745000000000005</v>
      </c>
      <c r="APH27">
        <f>SOFR3mo_PX[[#This Row],[Column1100]]</f>
        <v>97.72</v>
      </c>
      <c r="API27">
        <f>SOFR3mo_PX[[#This Row],[Column1101]]</f>
        <v>97.614999999999995</v>
      </c>
      <c r="APJ27">
        <f>SOFR3mo_PX[[#This Row],[Column1102]]</f>
        <v>97.6</v>
      </c>
      <c r="APK27">
        <f>SOFR3mo_PX[[#This Row],[Column1103]]</f>
        <v>97.665000000000006</v>
      </c>
      <c r="APL27">
        <f>SOFR3mo_PX[[#This Row],[Column1104]]</f>
        <v>97.564999999999998</v>
      </c>
      <c r="APM27">
        <f>SOFR3mo_PX[[#This Row],[Column1105]]</f>
        <v>97.6</v>
      </c>
      <c r="APN27">
        <f>SOFR3mo_PX[[#This Row],[Column1106]]</f>
        <v>97.625</v>
      </c>
      <c r="APO27">
        <f>SOFR3mo_PX[[#This Row],[Column1107]]</f>
        <v>97.704999999999998</v>
      </c>
      <c r="APP27">
        <f>SOFR3mo_PX[[#This Row],[Column1108]]</f>
        <v>97.765000000000001</v>
      </c>
      <c r="APQ27">
        <f>SOFR3mo_PX[[#This Row],[Column1109]]</f>
        <v>97.754999999999995</v>
      </c>
      <c r="APR27">
        <f>SOFR3mo_PX[[#This Row],[Column1110]]</f>
        <v>97.734999999999999</v>
      </c>
      <c r="APS27">
        <f>SOFR3mo_PX[[#This Row],[Column1111]]</f>
        <v>97.674999999999997</v>
      </c>
      <c r="APT27">
        <f>SOFR3mo_PX[[#This Row],[Column1112]]</f>
        <v>97.63</v>
      </c>
      <c r="APU27">
        <f>SOFR3mo_PX[[#This Row],[Column1113]]</f>
        <v>97.76</v>
      </c>
      <c r="APV27">
        <f>SOFR3mo_PX[[#This Row],[Column1114]]</f>
        <v>97.95</v>
      </c>
      <c r="APW27">
        <f>SOFR3mo_PX[[#This Row],[Column1115]]</f>
        <v>97.954999999999998</v>
      </c>
      <c r="APX27">
        <f>SOFR3mo_PX[[#This Row],[Column1116]]</f>
        <v>97.95</v>
      </c>
      <c r="APY27">
        <f>SOFR3mo_PX[[#This Row],[Column1117]]</f>
        <v>97.935000000000002</v>
      </c>
      <c r="APZ27">
        <f>SOFR3mo_PX[[#This Row],[Column1118]]</f>
        <v>98.004999999999995</v>
      </c>
      <c r="AQA27">
        <f>SOFR3mo_PX[[#This Row],[Column1119]]</f>
        <v>98.025000000000006</v>
      </c>
      <c r="AQB27">
        <f>SOFR3mo_PX[[#This Row],[Column1120]]</f>
        <v>97.995000000000005</v>
      </c>
      <c r="AQC27">
        <f>SOFR3mo_PX[[#This Row],[Column1121]]</f>
        <v>97.94</v>
      </c>
      <c r="AQD27">
        <f>SOFR3mo_PX[[#This Row],[Column1122]]</f>
        <v>98.004999999999995</v>
      </c>
      <c r="AQE27">
        <f>SOFR3mo_PX[[#This Row],[Column1123]]</f>
        <v>97.995000000000005</v>
      </c>
      <c r="AQF27">
        <f>SOFR3mo_PX[[#This Row],[Column1124]]</f>
        <v>98.06</v>
      </c>
      <c r="AQG27">
        <f>SOFR3mo_PX[[#This Row],[Column1125]]</f>
        <v>98.114999999999995</v>
      </c>
      <c r="AQH27">
        <f>SOFR3mo_PX[[#This Row],[Column1126]]</f>
        <v>98.075000000000003</v>
      </c>
      <c r="AQI27">
        <f>SOFR3mo_PX[[#This Row],[Column1127]]</f>
        <v>98.015000000000001</v>
      </c>
      <c r="AQJ27">
        <f>SOFR3mo_PX[[#This Row],[Column1128]]</f>
        <v>98.02</v>
      </c>
      <c r="AQK27">
        <f>SOFR3mo_PX[[#This Row],[Column1129]]</f>
        <v>98.14</v>
      </c>
      <c r="AQL27">
        <f>SOFR3mo_PX[[#This Row],[Column1130]]</f>
        <v>98.165000000000006</v>
      </c>
      <c r="AQM27">
        <f>SOFR3mo_PX[[#This Row],[Column1131]]</f>
        <v>98.155000000000001</v>
      </c>
      <c r="AQN27">
        <f>SOFR3mo_PX[[#This Row],[Column1132]]</f>
        <v>98.19</v>
      </c>
      <c r="AQO27">
        <f>SOFR3mo_PX[[#This Row],[Column1133]]</f>
        <v>98.234999999999999</v>
      </c>
      <c r="AQP27">
        <f>SOFR3mo_PX[[#This Row],[Column1134]]</f>
        <v>98.254999999999995</v>
      </c>
      <c r="AQQ27">
        <f>SOFR3mo_PX[[#This Row],[Column1135]]</f>
        <v>98.28</v>
      </c>
      <c r="AQR27">
        <f>SOFR3mo_PX[[#This Row],[Column1136]]</f>
        <v>98.4</v>
      </c>
      <c r="AQS27">
        <f>SOFR3mo_PX[[#This Row],[Column1137]]</f>
        <v>98.4</v>
      </c>
      <c r="AQT27">
        <f>SOFR3mo_PX[[#This Row],[Column1138]]</f>
        <v>98.484999999999999</v>
      </c>
      <c r="AQU27">
        <f>SOFR3mo_PX[[#This Row],[Column1139]]</f>
        <v>98.495000000000005</v>
      </c>
      <c r="AQV27">
        <f>SOFR3mo_PX[[#This Row],[Column1140]]</f>
        <v>98.48</v>
      </c>
      <c r="AQW27">
        <f>SOFR3mo_PX[[#This Row],[Column1141]]</f>
        <v>98.47</v>
      </c>
      <c r="AQX27">
        <f>SOFR3mo_PX[[#This Row],[Column1142]]</f>
        <v>98.49</v>
      </c>
      <c r="AQY27">
        <f>SOFR3mo_PX[[#This Row],[Column1143]]</f>
        <v>98.495000000000005</v>
      </c>
      <c r="AQZ27">
        <f>SOFR3mo_PX[[#This Row],[Column1144]]</f>
        <v>98.584999999999994</v>
      </c>
      <c r="ARA27">
        <f>SOFR3mo_PX[[#This Row],[Column1145]]</f>
        <v>98.6</v>
      </c>
      <c r="ARB27">
        <f>SOFR3mo_PX[[#This Row],[Column1146]]</f>
        <v>98.665000000000006</v>
      </c>
      <c r="ARC27">
        <f>SOFR3mo_PX[[#This Row],[Column1147]]</f>
        <v>98.665000000000006</v>
      </c>
      <c r="ARD27">
        <f>SOFR3mo_PX[[#This Row],[Column1148]]</f>
        <v>98.67</v>
      </c>
      <c r="ARE27">
        <f>SOFR3mo_PX[[#This Row],[Column1149]]</f>
        <v>98.67</v>
      </c>
      <c r="ARF27">
        <f>SOFR3mo_PX[[#This Row],[Column1150]]</f>
        <v>98.665000000000006</v>
      </c>
      <c r="ARG27">
        <f>SOFR3mo_PX[[#This Row],[Column1151]]</f>
        <v>98.67</v>
      </c>
      <c r="ARH27">
        <f>SOFR3mo_PX[[#This Row],[Column1152]]</f>
        <v>98.67</v>
      </c>
      <c r="ARI27">
        <f>SOFR3mo_PX[[#This Row],[Column1153]]</f>
        <v>98.665000000000006</v>
      </c>
      <c r="ARJ27">
        <f>SOFR3mo_PX[[#This Row],[Column1154]]</f>
        <v>98.68</v>
      </c>
      <c r="ARK27">
        <f>SOFR3mo_PX[[#This Row],[Column1155]]</f>
        <v>98.68</v>
      </c>
      <c r="ARL27">
        <f>SOFR3mo_PX[[#This Row],[Column1156]]</f>
        <v>98.67</v>
      </c>
      <c r="ARM27">
        <f>SOFR3mo_PX[[#This Row],[Column1157]]</f>
        <v>98.67</v>
      </c>
      <c r="ARN27">
        <f>SOFR3mo_PX[[#This Row],[Column1158]]</f>
        <v>98.7</v>
      </c>
      <c r="ARO27">
        <f>SOFR3mo_PX[[#This Row],[Column1159]]</f>
        <v>98.685000000000002</v>
      </c>
      <c r="ARP27">
        <f>SOFR3mo_PX[[#This Row],[Column1160]]</f>
        <v>98.66</v>
      </c>
      <c r="ARQ27">
        <f>SOFR3mo_PX[[#This Row],[Column1161]]</f>
        <v>98.665000000000006</v>
      </c>
      <c r="ARR27">
        <f>SOFR3mo_PX[[#This Row],[Column1162]]</f>
        <v>98.67</v>
      </c>
      <c r="ARS27">
        <f>SOFR3mo_PX[[#This Row],[Column1163]]</f>
        <v>98.71</v>
      </c>
      <c r="ART27">
        <f>SOFR3mo_PX[[#This Row],[Column1164]]</f>
        <v>98.875</v>
      </c>
      <c r="ARU27">
        <f>SOFR3mo_PX[[#This Row],[Column1165]]</f>
        <v>98.92</v>
      </c>
      <c r="ARV27">
        <f>SOFR3mo_PX[[#This Row],[Column1166]]</f>
        <v>98.93</v>
      </c>
      <c r="ARW27">
        <f>SOFR3mo_PX[[#This Row],[Column1167]]</f>
        <v>98.92</v>
      </c>
      <c r="ARX27">
        <f>SOFR3mo_PX[[#This Row],[Column1168]]</f>
        <v>98.92</v>
      </c>
      <c r="ARY27">
        <f>SOFR3mo_PX[[#This Row],[Column1169]]</f>
        <v>98.91</v>
      </c>
      <c r="ARZ27">
        <f>SOFR3mo_PX[[#This Row],[Column1170]]</f>
        <v>98.894999999999996</v>
      </c>
      <c r="ASA27">
        <f>SOFR3mo_PX[[#This Row],[Column1171]]</f>
        <v>98.89</v>
      </c>
      <c r="ASB27">
        <f>SOFR3mo_PX[[#This Row],[Column1172]]</f>
        <v>98.894999999999996</v>
      </c>
      <c r="ASC27">
        <f>SOFR3mo_PX[[#This Row],[Column1173]]</f>
        <v>98.894999999999996</v>
      </c>
      <c r="ASD27">
        <f>SOFR3mo_PX[[#This Row],[Column1174]]</f>
        <v>98.894999999999996</v>
      </c>
      <c r="ASE27">
        <f>SOFR3mo_PX[[#This Row],[Column1175]]</f>
        <v>98.9</v>
      </c>
      <c r="ASF27">
        <f>SOFR3mo_PX[[#This Row],[Column1176]]</f>
        <v>98.894999999999996</v>
      </c>
      <c r="ASG27">
        <f>SOFR3mo_PX[[#This Row],[Column1177]]</f>
        <v>98.894999999999996</v>
      </c>
      <c r="ASH27">
        <f>SOFR3mo_PX[[#This Row],[Column1178]]</f>
        <v>98.974999999999994</v>
      </c>
      <c r="ASI27">
        <f>SOFR3mo_PX[[#This Row],[Column1179]]</f>
        <v>98.984999999999999</v>
      </c>
      <c r="ASJ27">
        <f>SOFR3mo_PX[[#This Row],[Column1180]]</f>
        <v>99.05</v>
      </c>
      <c r="ASK27">
        <f>SOFR3mo_PX[[#This Row],[Column1181]]</f>
        <v>99.05</v>
      </c>
      <c r="ASL27">
        <f>SOFR3mo_PX[[#This Row],[Column1182]]</f>
        <v>99.05</v>
      </c>
      <c r="ASM27">
        <f>SOFR3mo_PX[[#This Row],[Column1183]]</f>
        <v>99.125</v>
      </c>
      <c r="ASN27">
        <f>SOFR3mo_PX[[#This Row],[Column1184]]</f>
        <v>99.504999999999995</v>
      </c>
      <c r="ASO27">
        <f>SOFR3mo_PX[[#This Row],[Column1185]]</f>
        <v>99.61</v>
      </c>
      <c r="ASP27">
        <f>SOFR3mo_PX[[#This Row],[Column1186]]</f>
        <v>99.61</v>
      </c>
      <c r="ASQ27">
        <f>SOFR3mo_PX[[#This Row],[Column1187]]</f>
        <v>99.62</v>
      </c>
      <c r="ASR27">
        <f>SOFR3mo_PX[[#This Row],[Column1188]]</f>
        <v>99.635000000000005</v>
      </c>
      <c r="ASS27">
        <f>SOFR3mo_PX[[#This Row],[Column1189]]</f>
        <v>99.64</v>
      </c>
      <c r="AST27">
        <f>SOFR3mo_PX[[#This Row],[Column1190]]</f>
        <v>99.644999999999996</v>
      </c>
      <c r="ASU27">
        <f>SOFR3mo_PX[[#This Row],[Column1191]]</f>
        <v>99.67</v>
      </c>
      <c r="ASV27">
        <f>SOFR3mo_PX[[#This Row],[Column1192]]</f>
        <v>99.674999999999997</v>
      </c>
      <c r="ASW27">
        <f>SOFR3mo_PX[[#This Row],[Column1193]]</f>
        <v>99.67</v>
      </c>
      <c r="ASX27">
        <f>SOFR3mo_PX[[#This Row],[Column1194]]</f>
        <v>99.67</v>
      </c>
      <c r="ASY27">
        <f>SOFR3mo_PX[[#This Row],[Column1195]]</f>
        <v>99.665000000000006</v>
      </c>
      <c r="ASZ27">
        <f>SOFR3mo_PX[[#This Row],[Column1196]]</f>
        <v>99.66</v>
      </c>
      <c r="ATA27">
        <f>SOFR3mo_PX[[#This Row],[Column1197]]</f>
        <v>99.674999999999997</v>
      </c>
      <c r="ATB27">
        <f>SOFR3mo_PX[[#This Row],[Column1198]]</f>
        <v>99.67</v>
      </c>
      <c r="ATC27">
        <f>SOFR3mo_PX[[#This Row],[Column1199]]</f>
        <v>99.67</v>
      </c>
      <c r="ATD27">
        <f>SOFR3mo_PX[[#This Row],[Column1200]]</f>
        <v>99.674999999999997</v>
      </c>
      <c r="ATE27">
        <f>SOFR3mo_PX[[#This Row],[Column1201]]</f>
        <v>99.665000000000006</v>
      </c>
      <c r="ATF27">
        <f>SOFR3mo_PX[[#This Row],[Column1202]]</f>
        <v>99.665000000000006</v>
      </c>
      <c r="ATG27">
        <f>SOFR3mo_PX[[#This Row],[Column1203]]</f>
        <v>99.66</v>
      </c>
      <c r="ATH27">
        <f>SOFR3mo_PX[[#This Row],[Column1204]]</f>
        <v>99.64</v>
      </c>
      <c r="ATI27">
        <f>SOFR3mo_PX[[#This Row],[Column1205]]</f>
        <v>99.64</v>
      </c>
      <c r="ATJ27">
        <f>SOFR3mo_PX[[#This Row],[Column1206]]</f>
        <v>99.674999999999997</v>
      </c>
      <c r="ATK27">
        <f>SOFR3mo_PX[[#This Row],[Column1207]]</f>
        <v>99.72</v>
      </c>
      <c r="ATL27">
        <f>SOFR3mo_PX[[#This Row],[Column1208]]</f>
        <v>99.724999999999994</v>
      </c>
      <c r="ATM27">
        <f>SOFR3mo_PX[[#This Row],[Column1209]]</f>
        <v>99.745000000000005</v>
      </c>
      <c r="ATN27">
        <f>SOFR3mo_PX[[#This Row],[Column1210]]</f>
        <v>99.715000000000003</v>
      </c>
      <c r="ATO27">
        <f>SOFR3mo_PX[[#This Row],[Column1211]]</f>
        <v>99.724999999999994</v>
      </c>
      <c r="ATP27">
        <f>SOFR3mo_PX[[#This Row],[Column1212]]</f>
        <v>99.72</v>
      </c>
      <c r="ATQ27">
        <f>SOFR3mo_PX[[#This Row],[Column1213]]</f>
        <v>99.724999999999994</v>
      </c>
      <c r="ATR27">
        <f>SOFR3mo_PX[[#This Row],[Column1214]]</f>
        <v>99.734999999999999</v>
      </c>
      <c r="ATS27">
        <f>SOFR3mo_PX[[#This Row],[Column1215]]</f>
        <v>99.734999999999999</v>
      </c>
      <c r="ATT27">
        <f>SOFR3mo_PX[[#This Row],[Column1216]]</f>
        <v>99.73</v>
      </c>
      <c r="ATU27">
        <f>SOFR3mo_PX[[#This Row],[Column1217]]</f>
        <v>99.72</v>
      </c>
      <c r="ATV27">
        <f>SOFR3mo_PX[[#This Row],[Column1218]]</f>
        <v>99.71</v>
      </c>
      <c r="ATW27">
        <f>SOFR3mo_PX[[#This Row],[Column1219]]</f>
        <v>99.734999999999999</v>
      </c>
      <c r="ATX27">
        <f>SOFR3mo_PX[[#This Row],[Column1220]]</f>
        <v>99.734999999999999</v>
      </c>
      <c r="ATY27">
        <f>SOFR3mo_PX[[#This Row],[Column1221]]</f>
        <v>99.745000000000005</v>
      </c>
      <c r="ATZ27">
        <f>SOFR3mo_PX[[#This Row],[Column1222]]</f>
        <v>99.754999999999995</v>
      </c>
      <c r="AUA27">
        <f>SOFR3mo_PX[[#This Row],[Column1223]]</f>
        <v>99.75</v>
      </c>
      <c r="AUB27">
        <f>SOFR3mo_PX[[#This Row],[Column1224]]</f>
        <v>99.754999999999995</v>
      </c>
      <c r="AUC27">
        <f>SOFR3mo_PX[[#This Row],[Column1225]]</f>
        <v>99.75</v>
      </c>
      <c r="AUD27">
        <f>SOFR3mo_PX[[#This Row],[Column1226]]</f>
        <v>99.734999999999999</v>
      </c>
      <c r="AUE27">
        <f>SOFR3mo_PX[[#This Row],[Column1227]]</f>
        <v>99.73</v>
      </c>
      <c r="AUF27">
        <f>SOFR3mo_PX[[#This Row],[Column1228]]</f>
        <v>99.745000000000005</v>
      </c>
      <c r="AUG27">
        <f>SOFR3mo_PX[[#This Row],[Column1229]]</f>
        <v>99.74</v>
      </c>
      <c r="AUH27">
        <f>SOFR3mo_PX[[#This Row],[Column1230]]</f>
        <v>99.765000000000001</v>
      </c>
      <c r="AUI27">
        <f>SOFR3mo_PX[[#This Row],[Column1231]]</f>
        <v>99.765000000000001</v>
      </c>
      <c r="AUJ27">
        <f>SOFR3mo_PX[[#This Row],[Column1232]]</f>
        <v>99.814999999999998</v>
      </c>
      <c r="AUK27">
        <f>SOFR3mo_PX[[#This Row],[Column1233]]</f>
        <v>99.814999999999998</v>
      </c>
      <c r="AUL27">
        <f>SOFR3mo_PX[[#This Row],[Column1234]]</f>
        <v>99.814999999999998</v>
      </c>
      <c r="AUM27">
        <f>SOFR3mo_PX[[#This Row],[Column1235]]</f>
        <v>99.82</v>
      </c>
      <c r="AUN27">
        <f>SOFR3mo_PX[[#This Row],[Column1236]]</f>
        <v>99.82</v>
      </c>
      <c r="AUO27">
        <f>SOFR3mo_PX[[#This Row],[Column1237]]</f>
        <v>99.83</v>
      </c>
      <c r="AUP27">
        <f>SOFR3mo_PX[[#This Row],[Column1238]]</f>
        <v>99.83</v>
      </c>
      <c r="AUQ27">
        <f>SOFR3mo_PX[[#This Row],[Column1239]]</f>
        <v>99.834999999999994</v>
      </c>
      <c r="AUR27">
        <f>SOFR3mo_PX[[#This Row],[Column1240]]</f>
        <v>99.834999999999994</v>
      </c>
      <c r="AUS27">
        <f>SOFR3mo_PX[[#This Row],[Column1241]]</f>
        <v>99.825000000000003</v>
      </c>
      <c r="AUT27">
        <f>SOFR3mo_PX[[#This Row],[Column1242]]</f>
        <v>99.805000000000007</v>
      </c>
      <c r="AUU27">
        <f>SOFR3mo_PX[[#This Row],[Column1243]]</f>
        <v>99.82</v>
      </c>
      <c r="AUV27">
        <f>SOFR3mo_PX[[#This Row],[Column1244]]</f>
        <v>99.814999999999998</v>
      </c>
      <c r="AUW27">
        <f>SOFR3mo_PX[[#This Row],[Column1245]]</f>
        <v>99.844999999999999</v>
      </c>
      <c r="AUX27">
        <f>SOFR3mo_PX[[#This Row],[Column1246]]</f>
        <v>99.85</v>
      </c>
      <c r="AUY27">
        <f>SOFR3mo_PX[[#This Row],[Column1247]]</f>
        <v>99.84</v>
      </c>
      <c r="AUZ27">
        <f>SOFR3mo_PX[[#This Row],[Column1248]]</f>
        <v>99.814999999999998</v>
      </c>
      <c r="AVA27">
        <f>SOFR3mo_PX[[#This Row],[Column1249]]</f>
        <v>99.81</v>
      </c>
      <c r="AVB27">
        <f>SOFR3mo_PX[[#This Row],[Column1250]]</f>
        <v>99.814999999999998</v>
      </c>
      <c r="AVC27">
        <f>SOFR3mo_PX[[#This Row],[Column1251]]</f>
        <v>99.805000000000007</v>
      </c>
      <c r="AVD27">
        <f>SOFR3mo_PX[[#This Row],[Column1252]]</f>
        <v>99.805000000000007</v>
      </c>
      <c r="AVE27">
        <f>SOFR3mo_PX[[#This Row],[Column1253]]</f>
        <v>99.834999999999994</v>
      </c>
      <c r="AVF27">
        <f>SOFR3mo_PX[[#This Row],[Column1254]]</f>
        <v>99.825000000000003</v>
      </c>
      <c r="AVG27">
        <f>SOFR3mo_PX[[#This Row],[Column1255]]</f>
        <v>99.834999999999994</v>
      </c>
      <c r="AVH27">
        <f>SOFR3mo_PX[[#This Row],[Column1256]]</f>
        <v>99.83</v>
      </c>
      <c r="AVI27">
        <f>SOFR3mo_PX[[#This Row],[Column1257]]</f>
        <v>99.825000000000003</v>
      </c>
      <c r="AVJ27">
        <f>SOFR3mo_PX[[#This Row],[Column1258]]</f>
        <v>99.805000000000007</v>
      </c>
      <c r="AVK27">
        <f>SOFR3mo_PX[[#This Row],[Column1259]]</f>
        <v>99.814999999999998</v>
      </c>
      <c r="AVL27">
        <f>SOFR3mo_PX[[#This Row],[Column1260]]</f>
        <v>99.82</v>
      </c>
      <c r="AVM27">
        <f>SOFR3mo_PX[[#This Row],[Column1261]]</f>
        <v>99.83</v>
      </c>
      <c r="AVN27">
        <f>SOFR3mo_PX[[#This Row],[Column1262]]</f>
        <v>99.825000000000003</v>
      </c>
      <c r="AVO27">
        <f>SOFR3mo_PX[[#This Row],[Column1263]]</f>
        <v>99.834999999999994</v>
      </c>
      <c r="AVP27">
        <f>SOFR3mo_PX[[#This Row],[Column1264]]</f>
        <v>99.834999999999994</v>
      </c>
      <c r="AVQ27">
        <f>SOFR3mo_PX[[#This Row],[Column1265]]</f>
        <v>99.825000000000003</v>
      </c>
      <c r="AVR27">
        <f>SOFR3mo_PX[[#This Row],[Column1266]]</f>
        <v>99.81</v>
      </c>
      <c r="AVS27">
        <f>SOFR3mo_PX[[#This Row],[Column1267]]</f>
        <v>99.8</v>
      </c>
      <c r="AVT27">
        <f>SOFR3mo_PX[[#This Row],[Column1268]]</f>
        <v>99.8</v>
      </c>
      <c r="AVU27">
        <f>SOFR3mo_PX[[#This Row],[Column1269]]</f>
        <v>99.805000000000007</v>
      </c>
      <c r="AVV27">
        <f>SOFR3mo_PX[[#This Row],[Column1270]]</f>
        <v>99.805000000000007</v>
      </c>
      <c r="AVW27">
        <f>SOFR3mo_PX[[#This Row],[Column1271]]</f>
        <v>99.84</v>
      </c>
      <c r="AVX27">
        <f>SOFR3mo_PX[[#This Row],[Column1272]]</f>
        <v>99.85</v>
      </c>
      <c r="AVY27">
        <f>SOFR3mo_PX[[#This Row],[Column1273]]</f>
        <v>99.87</v>
      </c>
      <c r="AVZ27">
        <f>SOFR3mo_PX[[#This Row],[Column1274]]</f>
        <v>99.875</v>
      </c>
      <c r="AWA27">
        <f>SOFR3mo_PX[[#This Row],[Column1275]]</f>
        <v>99.885000000000005</v>
      </c>
      <c r="AWB27">
        <f>SOFR3mo_PX[[#This Row],[Column1276]]</f>
        <v>99.875</v>
      </c>
      <c r="AWC27">
        <f>SOFR3mo_PX[[#This Row],[Column1277]]</f>
        <v>99.87</v>
      </c>
      <c r="AWD27">
        <f>SOFR3mo_PX[[#This Row],[Column1278]]</f>
        <v>99.864999999999995</v>
      </c>
      <c r="AWE27">
        <f>SOFR3mo_PX[[#This Row],[Column1279]]</f>
        <v>99.844999999999999</v>
      </c>
      <c r="AWF27">
        <f>SOFR3mo_PX[[#This Row],[Column1280]]</f>
        <v>99.834999999999994</v>
      </c>
      <c r="AWG27">
        <f>SOFR3mo_PX[[#This Row],[Column1281]]</f>
        <v>99.83</v>
      </c>
      <c r="AWH27">
        <f>SOFR3mo_PX[[#This Row],[Column1282]]</f>
        <v>99.84</v>
      </c>
      <c r="AWI27">
        <f>SOFR3mo_PX[[#This Row],[Column1283]]</f>
        <v>99.844999999999999</v>
      </c>
      <c r="AWJ27">
        <f>SOFR3mo_PX[[#This Row],[Column1284]]</f>
        <v>99.844999999999999</v>
      </c>
      <c r="AWK27">
        <f>SOFR3mo_PX[[#This Row],[Column1285]]</f>
        <v>99.84</v>
      </c>
      <c r="AWL27">
        <f>SOFR3mo_PX[[#This Row],[Column1286]]</f>
        <v>99.84</v>
      </c>
      <c r="AWM27">
        <f>SOFR3mo_PX[[#This Row],[Column1287]]</f>
        <v>99.834999999999994</v>
      </c>
      <c r="AWN27">
        <f>SOFR3mo_PX[[#This Row],[Column1288]]</f>
        <v>99.834999999999994</v>
      </c>
      <c r="AWO27">
        <f>SOFR3mo_PX[[#This Row],[Column1289]]</f>
        <v>99.83</v>
      </c>
      <c r="AWP27">
        <f>SOFR3mo_PX[[#This Row],[Column1290]]</f>
        <v>99.84</v>
      </c>
      <c r="AWQ27">
        <f>SOFR3mo_PX[[#This Row],[Column1291]]</f>
        <v>99.84</v>
      </c>
      <c r="AWR27">
        <f>SOFR3mo_PX[[#This Row],[Column1292]]</f>
        <v>99.855000000000004</v>
      </c>
      <c r="AWS27">
        <f>SOFR3mo_PX[[#This Row],[Column1293]]</f>
        <v>99.87</v>
      </c>
      <c r="AWT27">
        <f>SOFR3mo_PX[[#This Row],[Column1294]]</f>
        <v>99.855000000000004</v>
      </c>
      <c r="AWU27">
        <f>SOFR3mo_PX[[#This Row],[Column1295]]</f>
        <v>99.85</v>
      </c>
      <c r="AWV27">
        <f>SOFR3mo_PX[[#This Row],[Column1296]]</f>
        <v>99.844999999999999</v>
      </c>
      <c r="AWW27">
        <f>SOFR3mo_PX[[#This Row],[Column1297]]</f>
        <v>99.844999999999999</v>
      </c>
      <c r="AWX27">
        <f>SOFR3mo_PX[[#This Row],[Column1298]]</f>
        <v>99.844999999999999</v>
      </c>
      <c r="AWY27">
        <f>SOFR3mo_PX[[#This Row],[Column1299]]</f>
        <v>99.834999999999994</v>
      </c>
      <c r="AWZ27">
        <f>SOFR3mo_PX[[#This Row],[Column1300]]</f>
        <v>99.855000000000004</v>
      </c>
      <c r="AXA27">
        <f>SOFR3mo_PX[[#This Row],[Column1301]]</f>
        <v>99.855000000000004</v>
      </c>
      <c r="AXB27">
        <f>SOFR3mo_PX[[#This Row],[Column1302]]</f>
        <v>99.844999999999999</v>
      </c>
      <c r="AXC27">
        <f>SOFR3mo_PX[[#This Row],[Column1303]]</f>
        <v>99.825000000000003</v>
      </c>
      <c r="AXD27">
        <f>SOFR3mo_PX[[#This Row],[Column1304]]</f>
        <v>99.825000000000003</v>
      </c>
      <c r="AXE27">
        <f>SOFR3mo_PX[[#This Row],[Column1305]]</f>
        <v>99.825000000000003</v>
      </c>
      <c r="AXF27">
        <f>SOFR3mo_PX[[#This Row],[Column1306]]</f>
        <v>99.82</v>
      </c>
      <c r="AXG27">
        <f>SOFR3mo_PX[[#This Row],[Column1307]]</f>
        <v>99.81</v>
      </c>
      <c r="AXH27">
        <f>SOFR3mo_PX[[#This Row],[Column1308]]</f>
        <v>99.79</v>
      </c>
      <c r="AXI27">
        <f>SOFR3mo_PX[[#This Row],[Column1309]]</f>
        <v>99.784999999999997</v>
      </c>
      <c r="AXJ27">
        <f>SOFR3mo_PX[[#This Row],[Column1310]]</f>
        <v>99.775000000000006</v>
      </c>
      <c r="AXK27">
        <f>SOFR3mo_PX[[#This Row],[Column1311]]</f>
        <v>99.79</v>
      </c>
      <c r="AXL27">
        <f>SOFR3mo_PX[[#This Row],[Column1312]]</f>
        <v>99.78</v>
      </c>
      <c r="AXM27">
        <f>SOFR3mo_PX[[#This Row],[Column1313]]</f>
        <v>99.79</v>
      </c>
      <c r="AXN27">
        <f>SOFR3mo_PX[[#This Row],[Column1314]]</f>
        <v>99.765000000000001</v>
      </c>
      <c r="AXO27">
        <f>SOFR3mo_PX[[#This Row],[Column1315]]</f>
        <v>99.715000000000003</v>
      </c>
      <c r="AXP27">
        <f>SOFR3mo_PX[[#This Row],[Column1316]]</f>
        <v>99.68</v>
      </c>
      <c r="AXQ27">
        <f>SOFR3mo_PX[[#This Row],[Column1317]]</f>
        <v>99.674999999999997</v>
      </c>
      <c r="AXR27">
        <f>SOFR3mo_PX[[#This Row],[Column1318]]</f>
        <v>99.74</v>
      </c>
      <c r="AXS27">
        <f>SOFR3mo_PX[[#This Row],[Column1319]]</f>
        <v>99.754999999999995</v>
      </c>
      <c r="AXT27">
        <f>SOFR3mo_PX[[#This Row],[Column1320]]</f>
        <v>99.79</v>
      </c>
      <c r="AXU27">
        <f>SOFR3mo_PX[[#This Row],[Column1321]]</f>
        <v>99.795000000000002</v>
      </c>
      <c r="AXV27">
        <f>SOFR3mo_PX[[#This Row],[Column1322]]</f>
        <v>99.784999999999997</v>
      </c>
      <c r="AXW27">
        <f>SOFR3mo_PX[[#This Row],[Column1323]]</f>
        <v>99.765000000000001</v>
      </c>
      <c r="AXX27">
        <f>SOFR3mo_PX[[#This Row],[Column1324]]</f>
        <v>99.77</v>
      </c>
      <c r="AXY27">
        <f>SOFR3mo_PX[[#This Row],[Column1325]]</f>
        <v>99.775000000000006</v>
      </c>
      <c r="AXZ27">
        <f>SOFR3mo_PX[[#This Row],[Column1326]]</f>
        <v>99.78</v>
      </c>
      <c r="AYA27">
        <f>SOFR3mo_PX[[#This Row],[Column1327]]</f>
        <v>99.78</v>
      </c>
      <c r="AYB27">
        <f>SOFR3mo_PX[[#This Row],[Column1328]]</f>
        <v>99.775000000000006</v>
      </c>
      <c r="AYC27">
        <f>SOFR3mo_PX[[#This Row],[Column1329]]</f>
        <v>99.775000000000006</v>
      </c>
      <c r="AYD27">
        <f>SOFR3mo_PX[[#This Row],[Column1330]]</f>
        <v>99.78</v>
      </c>
      <c r="AYE27">
        <f>SOFR3mo_PX[[#This Row],[Column1331]]</f>
        <v>99.78</v>
      </c>
      <c r="AYF27">
        <f>SOFR3mo_PX[[#This Row],[Column1332]]</f>
        <v>99.825000000000003</v>
      </c>
      <c r="AYG27">
        <f>SOFR3mo_PX[[#This Row],[Column1333]]</f>
        <v>99.8</v>
      </c>
      <c r="AYH27">
        <f>SOFR3mo_PX[[#This Row],[Column1334]]</f>
        <v>99.79</v>
      </c>
      <c r="AYI27">
        <f>SOFR3mo_PX[[#This Row],[Column1335]]</f>
        <v>99.77</v>
      </c>
      <c r="AYJ27">
        <f>SOFR3mo_PX[[#This Row],[Column1336]]</f>
        <v>99.77</v>
      </c>
      <c r="AYK27">
        <f>SOFR3mo_PX[[#This Row],[Column1337]]</f>
        <v>99.79</v>
      </c>
      <c r="AYL27">
        <f>SOFR3mo_PX[[#This Row],[Column1338]]</f>
        <v>99.8</v>
      </c>
      <c r="AYM27">
        <f>SOFR3mo_PX[[#This Row],[Column1339]]</f>
        <v>99.745000000000005</v>
      </c>
      <c r="AYN27">
        <f>SOFR3mo_PX[[#This Row],[Column1340]]</f>
        <v>99.73</v>
      </c>
      <c r="AYO27">
        <f>SOFR3mo_PX[[#This Row],[Column1341]]</f>
        <v>99.734999999999999</v>
      </c>
      <c r="AYP27">
        <f>SOFR3mo_PX[[#This Row],[Column1342]]</f>
        <v>99.72</v>
      </c>
      <c r="AYQ27">
        <f>SOFR3mo_PX[[#This Row],[Column1343]]</f>
        <v>99.724999999999994</v>
      </c>
      <c r="AYR27">
        <f>SOFR3mo_PX[[#This Row],[Column1344]]</f>
        <v>99.715000000000003</v>
      </c>
      <c r="AYS27">
        <f>SOFR3mo_PX[[#This Row],[Column1345]]</f>
        <v>99.7</v>
      </c>
      <c r="AYT27">
        <f>SOFR3mo_PX[[#This Row],[Column1346]]</f>
        <v>99.694999999999993</v>
      </c>
      <c r="AYU27">
        <f>SOFR3mo_PX[[#This Row],[Column1347]]</f>
        <v>99.704999999999998</v>
      </c>
      <c r="AYV27">
        <f>SOFR3mo_PX[[#This Row],[Column1348]]</f>
        <v>99.704999999999998</v>
      </c>
      <c r="AYW27">
        <f>SOFR3mo_PX[[#This Row],[Column1349]]</f>
        <v>99.7</v>
      </c>
      <c r="AYX27">
        <f>SOFR3mo_PX[[#This Row],[Column1350]]</f>
        <v>99.71</v>
      </c>
      <c r="AYY27">
        <f>SOFR3mo_PX[[#This Row],[Column1351]]</f>
        <v>99.69</v>
      </c>
      <c r="AYZ27">
        <f>SOFR3mo_PX[[#This Row],[Column1352]]</f>
        <v>99.68</v>
      </c>
      <c r="AZA27">
        <f>SOFR3mo_PX[[#This Row],[Column1353]]</f>
        <v>99.665000000000006</v>
      </c>
      <c r="AZB27">
        <f>SOFR3mo_PX[[#This Row],[Column1354]]</f>
        <v>99.655000000000001</v>
      </c>
      <c r="AZC27">
        <f>SOFR3mo_PX[[#This Row],[Column1355]]</f>
        <v>99.625</v>
      </c>
      <c r="AZD27">
        <f>SOFR3mo_PX[[#This Row],[Column1356]]</f>
        <v>99.61</v>
      </c>
      <c r="AZE27">
        <f>SOFR3mo_PX[[#This Row],[Column1357]]</f>
        <v>99.62</v>
      </c>
      <c r="AZF27">
        <f>SOFR3mo_PX[[#This Row],[Column1358]]</f>
        <v>99.62</v>
      </c>
      <c r="AZG27">
        <f>SOFR3mo_PX[[#This Row],[Column1359]]</f>
        <v>99.6</v>
      </c>
      <c r="AZH27">
        <f>SOFR3mo_PX[[#This Row],[Column1360]]</f>
        <v>99.584999999999994</v>
      </c>
      <c r="AZI27">
        <f>SOFR3mo_PX[[#This Row],[Column1361]]</f>
        <v>99.63</v>
      </c>
      <c r="AZJ27">
        <f>SOFR3mo_PX[[#This Row],[Column1362]]</f>
        <v>99.69</v>
      </c>
      <c r="AZK27">
        <f>SOFR3mo_PX[[#This Row],[Column1363]]</f>
        <v>99.685000000000002</v>
      </c>
      <c r="AZL27">
        <f>SOFR3mo_PX[[#This Row],[Column1364]]</f>
        <v>99.7</v>
      </c>
      <c r="AZM27">
        <f>SOFR3mo_PX[[#This Row],[Column1365]]</f>
        <v>99.674999999999997</v>
      </c>
      <c r="AZN27">
        <f>SOFR3mo_PX[[#This Row],[Column1366]]</f>
        <v>99.704999999999998</v>
      </c>
      <c r="AZO27">
        <f>SOFR3mo_PX[[#This Row],[Column1367]]</f>
        <v>99.66</v>
      </c>
      <c r="AZP27">
        <f>SOFR3mo_PX[[#This Row],[Column1368]]</f>
        <v>99.64</v>
      </c>
      <c r="AZQ27">
        <f>SOFR3mo_PX[[#This Row],[Column1369]]</f>
        <v>99.61</v>
      </c>
      <c r="AZR27">
        <f>SOFR3mo_PX[[#This Row],[Column1370]]</f>
        <v>99.605000000000004</v>
      </c>
      <c r="AZS27">
        <f>SOFR3mo_PX[[#This Row],[Column1371]]</f>
        <v>99.665000000000006</v>
      </c>
      <c r="AZT27">
        <f>SOFR3mo_PX[[#This Row],[Column1372]]</f>
        <v>99.584999999999994</v>
      </c>
      <c r="AZU27">
        <f>SOFR3mo_PX[[#This Row],[Column1373]]</f>
        <v>99.525000000000006</v>
      </c>
      <c r="AZV27">
        <f>SOFR3mo_PX[[#This Row],[Column1374]]</f>
        <v>99.42</v>
      </c>
      <c r="AZW27">
        <f>SOFR3mo_PX[[#This Row],[Column1375]]</f>
        <v>99.534999999999997</v>
      </c>
      <c r="AZX27">
        <f>SOFR3mo_PX[[#This Row],[Column1376]]</f>
        <v>99.584999999999994</v>
      </c>
      <c r="AZY27">
        <f>SOFR3mo_PX[[#This Row],[Column1377]]</f>
        <v>99.51</v>
      </c>
      <c r="AZZ27">
        <f>SOFR3mo_PX[[#This Row],[Column1378]]</f>
        <v>99.55</v>
      </c>
      <c r="BAA27">
        <f>SOFR3mo_PX[[#This Row],[Column1379]]</f>
        <v>99.48</v>
      </c>
      <c r="BAB27">
        <f>SOFR3mo_PX[[#This Row],[Column1380]]</f>
        <v>99.47</v>
      </c>
      <c r="BAC27">
        <f>SOFR3mo_PX[[#This Row],[Column1381]]</f>
        <v>99.59</v>
      </c>
      <c r="BAD27">
        <f>SOFR3mo_PX[[#This Row],[Column1382]]</f>
        <v>99.515000000000001</v>
      </c>
      <c r="BAE27">
        <f>SOFR3mo_PX[[#This Row],[Column1383]]</f>
        <v>99.43</v>
      </c>
      <c r="BAF27">
        <f>SOFR3mo_PX[[#This Row],[Column1384]]</f>
        <v>99.38</v>
      </c>
      <c r="BAG27">
        <f>SOFR3mo_PX[[#This Row],[Column1385]]</f>
        <v>99.32</v>
      </c>
      <c r="BAH27">
        <f>SOFR3mo_PX[[#This Row],[Column1386]]</f>
        <v>99.25</v>
      </c>
      <c r="BAI27">
        <f>SOFR3mo_PX[[#This Row],[Column1387]]</f>
        <v>99.25</v>
      </c>
      <c r="BAJ27">
        <f>SOFR3mo_PX[[#This Row],[Column1388]]</f>
        <v>99.05</v>
      </c>
      <c r="BAK27">
        <f>SOFR3mo_PX[[#This Row],[Column1389]]</f>
        <v>98.995000000000005</v>
      </c>
      <c r="BAL27">
        <f>SOFR3mo_PX[[#This Row],[Column1390]]</f>
        <v>99.004999999999995</v>
      </c>
      <c r="BAM27">
        <f>SOFR3mo_PX[[#This Row],[Column1391]]</f>
        <v>98.95</v>
      </c>
      <c r="BAN27">
        <f>SOFR3mo_PX[[#This Row],[Column1392]]</f>
        <v>98.84</v>
      </c>
      <c r="BAO27">
        <f>SOFR3mo_PX[[#This Row],[Column1393]]</f>
        <v>98.775000000000006</v>
      </c>
      <c r="BAP27">
        <f>SOFR3mo_PX[[#This Row],[Column1394]]</f>
        <v>98.73</v>
      </c>
      <c r="BAQ27">
        <f>SOFR3mo_PX[[#This Row],[Column1395]]</f>
        <v>98.754999999999995</v>
      </c>
      <c r="BAR27">
        <f>SOFR3mo_PX[[#This Row],[Column1396]]</f>
        <v>98.724999999999994</v>
      </c>
      <c r="BAS27">
        <f>SOFR3mo_PX[[#This Row],[Column1397]]</f>
        <v>98.724999999999994</v>
      </c>
      <c r="BAT27">
        <f>SOFR3mo_PX[[#This Row],[Column1398]]</f>
        <v>98.69</v>
      </c>
      <c r="BAU27">
        <f>SOFR3mo_PX[[#This Row],[Column1399]]</f>
        <v>98.69</v>
      </c>
      <c r="BAV27">
        <f>SOFR3mo_PX[[#This Row],[Column1400]]</f>
        <v>98.73</v>
      </c>
      <c r="BAW27">
        <f>SOFR3mo_PX[[#This Row],[Column1401]]</f>
        <v>98.76</v>
      </c>
      <c r="BAX27">
        <f>SOFR3mo_PX[[#This Row],[Column1402]]</f>
        <v>98.724999999999994</v>
      </c>
      <c r="BAY27">
        <f>SOFR3mo_PX[[#This Row],[Column1403]]</f>
        <v>98.67</v>
      </c>
      <c r="BAZ27">
        <f>SOFR3mo_PX[[#This Row],[Column1404]]</f>
        <v>98.69</v>
      </c>
      <c r="BBA27">
        <f>SOFR3mo_PX[[#This Row],[Column1405]]</f>
        <v>98.73</v>
      </c>
      <c r="BBB27">
        <f>SOFR3mo_PX[[#This Row],[Column1406]]</f>
        <v>98.814999999999998</v>
      </c>
      <c r="BBC27">
        <f>SOFR3mo_PX[[#This Row],[Column1407]]</f>
        <v>98.83</v>
      </c>
      <c r="BBD27">
        <f>SOFR3mo_PX[[#This Row],[Column1408]]</f>
        <v>98.775000000000006</v>
      </c>
      <c r="BBE27">
        <f>SOFR3mo_PX[[#This Row],[Column1409]]</f>
        <v>98.73</v>
      </c>
      <c r="BBF27">
        <f>SOFR3mo_PX[[#This Row],[Column1410]]</f>
        <v>98.68</v>
      </c>
      <c r="BBG27">
        <f>SOFR3mo_PX[[#This Row],[Column1411]]</f>
        <v>98.715000000000003</v>
      </c>
      <c r="BBH27">
        <f>SOFR3mo_PX[[#This Row],[Column1412]]</f>
        <v>98.63</v>
      </c>
      <c r="BBI27">
        <f>SOFR3mo_PX[[#This Row],[Column1413]]</f>
        <v>98.575000000000003</v>
      </c>
      <c r="BBJ27">
        <f>SOFR3mo_PX[[#This Row],[Column1414]]</f>
        <v>98.555000000000007</v>
      </c>
      <c r="BBK27">
        <f>SOFR3mo_PX[[#This Row],[Column1415]]</f>
        <v>98.54</v>
      </c>
      <c r="BBL27">
        <f>SOFR3mo_PX[[#This Row],[Column1416]]</f>
        <v>98.484999999999999</v>
      </c>
      <c r="BBM27">
        <f>SOFR3mo_PX[[#This Row],[Column1417]]</f>
        <v>98.484999999999999</v>
      </c>
      <c r="BBN27">
        <f>SOFR3mo_PX[[#This Row],[Column1418]]</f>
        <v>98.5</v>
      </c>
      <c r="BBO27">
        <f>SOFR3mo_PX[[#This Row],[Column1419]]</f>
        <v>98.51</v>
      </c>
      <c r="BBP27">
        <f>SOFR3mo_PX[[#This Row],[Column1420]]</f>
        <v>98.5</v>
      </c>
      <c r="BBQ27">
        <f>SOFR3mo_PX[[#This Row],[Column1421]]</f>
        <v>98.484999999999999</v>
      </c>
      <c r="BBR27">
        <f>SOFR3mo_PX[[#This Row],[Column1422]]</f>
        <v>98.49</v>
      </c>
      <c r="BBS27">
        <f>SOFR3mo_PX[[#This Row],[Column1423]]</f>
        <v>98.474999999999994</v>
      </c>
      <c r="BBT27">
        <f>SOFR3mo_PX[[#This Row],[Column1424]]</f>
        <v>98.47</v>
      </c>
      <c r="BBU27">
        <f>SOFR3mo_PX[[#This Row],[Column1425]]</f>
        <v>98.515000000000001</v>
      </c>
      <c r="BBV27">
        <f>SOFR3mo_PX[[#This Row],[Column1426]]</f>
        <v>98.525000000000006</v>
      </c>
      <c r="BBW27">
        <f>SOFR3mo_PX[[#This Row],[Column1427]]</f>
        <v>98.53</v>
      </c>
      <c r="BBX27">
        <f>SOFR3mo_PX[[#This Row],[Column1428]]</f>
        <v>98.44</v>
      </c>
      <c r="BBY27">
        <f>SOFR3mo_PX[[#This Row],[Column1429]]</f>
        <v>98.43</v>
      </c>
      <c r="BBZ27">
        <f>SOFR3mo_PX[[#This Row],[Column1430]]</f>
        <v>98.43</v>
      </c>
      <c r="BCA27">
        <f>SOFR3mo_PX[[#This Row],[Column1431]]</f>
        <v>98.435000000000002</v>
      </c>
      <c r="BCB27">
        <f>SOFR3mo_PX[[#This Row],[Column1432]]</f>
        <v>98.435000000000002</v>
      </c>
      <c r="BCC27">
        <f>SOFR3mo_PX[[#This Row],[Column1433]]</f>
        <v>98.394999999999996</v>
      </c>
      <c r="BCD27">
        <f>SOFR3mo_PX[[#This Row],[Column1434]]</f>
        <v>98.394999999999996</v>
      </c>
      <c r="BCE27">
        <f>SOFR3mo_PX[[#This Row],[Column1435]]</f>
        <v>98.394999999999996</v>
      </c>
      <c r="BCF27">
        <f>SOFR3mo_PX[[#This Row],[Column1436]]</f>
        <v>98.375</v>
      </c>
      <c r="BCG27">
        <f>SOFR3mo_PX[[#This Row],[Column1437]]</f>
        <v>98.415000000000006</v>
      </c>
      <c r="BCH27">
        <f>SOFR3mo_PX[[#This Row],[Column1438]]</f>
        <v>98.43</v>
      </c>
      <c r="BCI27">
        <f>SOFR3mo_PX[[#This Row],[Column1439]]</f>
        <v>98.41</v>
      </c>
      <c r="BCJ27">
        <f>SOFR3mo_PX[[#This Row],[Column1440]]</f>
        <v>98.44</v>
      </c>
      <c r="BCK27">
        <f>SOFR3mo_PX[[#This Row],[Column1441]]</f>
        <v>98.45</v>
      </c>
      <c r="BCL27">
        <f>SOFR3mo_PX[[#This Row],[Column1442]]</f>
        <v>98.525000000000006</v>
      </c>
      <c r="BCM27">
        <f>SOFR3mo_PX[[#This Row],[Column1443]]</f>
        <v>98.444999999999993</v>
      </c>
      <c r="BCN27">
        <f>SOFR3mo_PX[[#This Row],[Column1444]]</f>
        <v>98.53</v>
      </c>
      <c r="BCO27">
        <f>SOFR3mo_PX[[#This Row],[Column1445]]</f>
        <v>98.49</v>
      </c>
      <c r="BCP27">
        <f>SOFR3mo_PX[[#This Row],[Column1446]]</f>
        <v>98.504999999999995</v>
      </c>
      <c r="BCQ27">
        <f>SOFR3mo_PX[[#This Row],[Column1447]]</f>
        <v>98.515000000000001</v>
      </c>
      <c r="BCR27">
        <f>SOFR3mo_PX[[#This Row],[Column1448]]</f>
        <v>98.575000000000003</v>
      </c>
      <c r="BCS27">
        <f>SOFR3mo_PX[[#This Row],[Column1449]]</f>
        <v>98.59</v>
      </c>
      <c r="BCT27">
        <f>SOFR3mo_PX[[#This Row],[Column1450]]</f>
        <v>98.665000000000006</v>
      </c>
      <c r="BCU27">
        <f>SOFR3mo_PX[[#This Row],[Column1451]]</f>
        <v>98.545000000000002</v>
      </c>
      <c r="BCV27">
        <f>SOFR3mo_PX[[#This Row],[Column1452]]</f>
        <v>98.58</v>
      </c>
      <c r="BCW27">
        <f>SOFR3mo_PX[[#This Row],[Column1453]]</f>
        <v>98.57</v>
      </c>
      <c r="BCX27">
        <f>SOFR3mo_PX[[#This Row],[Column1454]]</f>
        <v>98.57</v>
      </c>
      <c r="BCY27">
        <f>SOFR3mo_PX[[#This Row],[Column1455]]</f>
        <v>98.61</v>
      </c>
      <c r="BCZ27">
        <f>SOFR3mo_PX[[#This Row],[Column1456]]</f>
        <v>98.6</v>
      </c>
      <c r="BDA27">
        <f>SOFR3mo_PX[[#This Row],[Column1457]]</f>
        <v>98.584999999999994</v>
      </c>
      <c r="BDB27">
        <f>SOFR3mo_PX[[#This Row],[Column1458]]</f>
        <v>98.605000000000004</v>
      </c>
      <c r="BDC27">
        <f>SOFR3mo_PX[[#This Row],[Column1459]]</f>
        <v>98.635000000000005</v>
      </c>
      <c r="BDD27">
        <f>SOFR3mo_PX[[#This Row],[Column1460]]</f>
        <v>98.6</v>
      </c>
      <c r="BDE27">
        <f>SOFR3mo_PX[[#This Row],[Column1461]]</f>
        <v>98.575000000000003</v>
      </c>
      <c r="BDF27">
        <f>SOFR3mo_PX[[#This Row],[Column1462]]</f>
        <v>98.55</v>
      </c>
      <c r="BDG27">
        <f>SOFR3mo_PX[[#This Row],[Column1463]]</f>
        <v>98.56</v>
      </c>
      <c r="BDH27">
        <f>SOFR3mo_PX[[#This Row],[Column1464]]</f>
        <v>98.51</v>
      </c>
      <c r="BDI27">
        <f>SOFR3mo_PX[[#This Row],[Column1465]]</f>
        <v>98.46</v>
      </c>
      <c r="BDJ27">
        <f>SOFR3mo_PX[[#This Row],[Column1466]]</f>
        <v>98.43</v>
      </c>
      <c r="BDK27">
        <f>SOFR3mo_PX[[#This Row],[Column1467]]</f>
        <v>98.44</v>
      </c>
      <c r="BDL27">
        <f>SOFR3mo_PX[[#This Row],[Column1468]]</f>
        <v>98.424999999999997</v>
      </c>
      <c r="BDM27">
        <f>SOFR3mo_PX[[#This Row],[Column1469]]</f>
        <v>98.534999999999997</v>
      </c>
      <c r="BDN27">
        <f>SOFR3mo_PX[[#This Row],[Column1470]]</f>
        <v>98.51</v>
      </c>
      <c r="BDO27">
        <f>SOFR3mo_PX[[#This Row],[Column1471]]</f>
        <v>98.57</v>
      </c>
      <c r="BDP27">
        <f>SOFR3mo_PX[[#This Row],[Column1472]]</f>
        <v>98.62</v>
      </c>
      <c r="BDQ27">
        <f>SOFR3mo_PX[[#This Row],[Column1473]]</f>
        <v>98.69</v>
      </c>
      <c r="BDR27">
        <f>SOFR3mo_PX[[#This Row],[Column1474]]</f>
        <v>98.564999999999998</v>
      </c>
      <c r="BDS27">
        <f>SOFR3mo_PX[[#This Row],[Column1475]]</f>
        <v>98.545000000000002</v>
      </c>
      <c r="BDT27">
        <f>SOFR3mo_PX[[#This Row],[Column1476]]</f>
        <v>98.55</v>
      </c>
      <c r="BDU27">
        <f>SOFR3mo_PX[[#This Row],[Column1477]]</f>
        <v>98.58</v>
      </c>
      <c r="BDV27">
        <f>SOFR3mo_PX[[#This Row],[Column1478]]</f>
        <v>98.625</v>
      </c>
      <c r="BDW27">
        <f>SOFR3mo_PX[[#This Row],[Column1479]]</f>
        <v>98.635000000000005</v>
      </c>
      <c r="BDX27">
        <f>SOFR3mo_PX[[#This Row],[Column1480]]</f>
        <v>98.614999999999995</v>
      </c>
      <c r="BDY27">
        <f>SOFR3mo_PX[[#This Row],[Column1481]]</f>
        <v>98.59</v>
      </c>
      <c r="BDZ27">
        <f>SOFR3mo_PX[[#This Row],[Column1482]]</f>
        <v>98.63</v>
      </c>
      <c r="BEA27">
        <f>SOFR3mo_PX[[#This Row],[Column1483]]</f>
        <v>98.605000000000004</v>
      </c>
      <c r="BEB27">
        <f>SOFR3mo_PX[[#This Row],[Column1484]]</f>
        <v>98.63</v>
      </c>
      <c r="BEC27">
        <f>SOFR3mo_PX[[#This Row],[Column1485]]</f>
        <v>98.59</v>
      </c>
      <c r="BED27">
        <f>SOFR3mo_PX[[#This Row],[Column1486]]</f>
        <v>98.644999999999996</v>
      </c>
      <c r="BEE27">
        <f>SOFR3mo_PX[[#This Row],[Column1487]]</f>
        <v>98.625</v>
      </c>
      <c r="BEF27">
        <f>SOFR3mo_PX[[#This Row],[Column1488]]</f>
        <v>98.754999999999995</v>
      </c>
      <c r="BEG27">
        <f>SOFR3mo_PX[[#This Row],[Column1489]]</f>
        <v>98.82</v>
      </c>
      <c r="BEH27">
        <f>SOFR3mo_PX[[#This Row],[Column1490]]</f>
        <v>98.875</v>
      </c>
      <c r="BEI27">
        <f>SOFR3mo_PX[[#This Row],[Column1491]]</f>
        <v>98.864999999999995</v>
      </c>
      <c r="BEJ27">
        <f>SOFR3mo_PX[[#This Row],[Column1492]]</f>
        <v>98.935000000000002</v>
      </c>
      <c r="BEK27">
        <f>SOFR3mo_PX[[#This Row],[Column1493]]</f>
        <v>98.944999999999993</v>
      </c>
      <c r="BEL27">
        <f>SOFR3mo_PX[[#This Row],[Column1494]]</f>
        <v>98.844999999999999</v>
      </c>
      <c r="BEM27">
        <f>SOFR3mo_PX[[#This Row],[Column1495]]</f>
        <v>98.77</v>
      </c>
      <c r="BEN27">
        <f>SOFR3mo_PX[[#This Row],[Column1496]]</f>
        <v>98.7</v>
      </c>
      <c r="BEO27">
        <f>SOFR3mo_PX[[#This Row],[Column1497]]</f>
        <v>98.71</v>
      </c>
      <c r="BEP27" t="str">
        <f>SOFR3mo_PX[[#This Row],[Column1498]]</f>
        <v>#N/A N/A</v>
      </c>
      <c r="BEQ27" t="str">
        <f>SOFR3mo_PX[[#This Row],[Column1499]]</f>
        <v>#N/A N/A</v>
      </c>
      <c r="BER27" t="str">
        <f>SOFR3mo_PX[[#This Row],[Column1500]]</f>
        <v>#N/A N/A</v>
      </c>
      <c r="BES27" t="str">
        <f>SOFR3mo_PX[[#This Row],[Column1501]]</f>
        <v>#N/A N/A</v>
      </c>
      <c r="BET27" t="str">
        <f>SOFR3mo_PX[[#This Row],[Column1502]]</f>
        <v>#N/A N/A</v>
      </c>
      <c r="BEU27" t="str">
        <f>SOFR3mo_PX[[#This Row],[Column1503]]</f>
        <v>#N/A N/A</v>
      </c>
      <c r="BEV27" t="str">
        <f>SOFR3mo_PX[[#This Row],[Column1504]]</f>
        <v>#N/A N/A</v>
      </c>
      <c r="BEW27" t="str">
        <f>SOFR3mo_PX[[#This Row],[Column1505]]</f>
        <v>#N/A N/A</v>
      </c>
      <c r="BEX27" t="str">
        <f>SOFR3mo_PX[[#This Row],[Column1506]]</f>
        <v>#N/A N/A</v>
      </c>
      <c r="BEY27" t="str">
        <f>SOFR3mo_PX[[#This Row],[Column1507]]</f>
        <v>#N/A N/A</v>
      </c>
      <c r="BEZ27" t="str">
        <f>SOFR3mo_PX[[#This Row],[Column1508]]</f>
        <v>#N/A N/A</v>
      </c>
      <c r="BFA27" t="str">
        <f>SOFR3mo_PX[[#This Row],[Column1509]]</f>
        <v>#N/A N/A</v>
      </c>
      <c r="BFB27" t="str">
        <f>SOFR3mo_PX[[#This Row],[Column1510]]</f>
        <v>#N/A N/A</v>
      </c>
      <c r="BFC27" t="str">
        <f>SOFR3mo_PX[[#This Row],[Column1511]]</f>
        <v>#N/A N/A</v>
      </c>
      <c r="BFD27" t="str">
        <f>SOFR3mo_PX[[#This Row],[Column1512]]</f>
        <v>#N/A N/A</v>
      </c>
      <c r="BFE27" t="str">
        <f>SOFR3mo_PX[[#This Row],[Column1513]]</f>
        <v>#N/A N/A</v>
      </c>
      <c r="BFF27" t="str">
        <f>SOFR3mo_PX[[#This Row],[Column1514]]</f>
        <v>#N/A N/A</v>
      </c>
      <c r="BFG27" t="str">
        <f>SOFR3mo_PX[[#This Row],[Column1515]]</f>
        <v>#N/A N/A</v>
      </c>
      <c r="BFH27" t="str">
        <f>SOFR3mo_PX[[#This Row],[Column1516]]</f>
        <v>#N/A N/A</v>
      </c>
      <c r="BFI27" t="str">
        <f>SOFR3mo_PX[[#This Row],[Column1517]]</f>
        <v>#N/A N/A</v>
      </c>
      <c r="BFJ27" t="str">
        <f>SOFR3mo_PX[[#This Row],[Column1518]]</f>
        <v>#N/A N/A</v>
      </c>
      <c r="BFK27" t="str">
        <f>SOFR3mo_PX[[#This Row],[Column1519]]</f>
        <v>#N/A N/A</v>
      </c>
      <c r="BFL27" t="str">
        <f>SOFR3mo_PX[[#This Row],[Column1520]]</f>
        <v>#N/A N/A</v>
      </c>
      <c r="BFM27" t="str">
        <f>SOFR3mo_PX[[#This Row],[Column1521]]</f>
        <v>#N/A N/A</v>
      </c>
      <c r="BFN27" t="str">
        <f>SOFR3mo_PX[[#This Row],[Column1522]]</f>
        <v>#N/A N/A</v>
      </c>
      <c r="BFO27" t="str">
        <f>SOFR3mo_PX[[#This Row],[Column1523]]</f>
        <v>#N/A N/A</v>
      </c>
      <c r="BFP27" t="str">
        <f>SOFR3mo_PX[[#This Row],[Column1524]]</f>
        <v>#N/A N/A</v>
      </c>
      <c r="BFQ27" t="str">
        <f>SOFR3mo_PX[[#This Row],[Column1525]]</f>
        <v>#N/A N/A</v>
      </c>
      <c r="BFR27" t="str">
        <f>SOFR3mo_PX[[#This Row],[Column1526]]</f>
        <v>#N/A N/A</v>
      </c>
      <c r="BFS27" t="str">
        <f>SOFR3mo_PX[[#This Row],[Column1527]]</f>
        <v>#N/A N/A</v>
      </c>
      <c r="BFT27" t="str">
        <f>SOFR3mo_PX[[#This Row],[Column1528]]</f>
        <v>#N/A N/A</v>
      </c>
      <c r="BFU27" t="str">
        <f>SOFR3mo_PX[[#This Row],[Column1529]]</f>
        <v>#N/A N/A</v>
      </c>
      <c r="BFV27" t="str">
        <f>SOFR3mo_PX[[#This Row],[Column1530]]</f>
        <v>#N/A N/A</v>
      </c>
      <c r="BFW27" t="str">
        <f>SOFR3mo_PX[[#This Row],[Column1531]]</f>
        <v>#N/A N/A</v>
      </c>
      <c r="BFX27" t="str">
        <f>SOFR3mo_PX[[#This Row],[Column1532]]</f>
        <v>#N/A N/A</v>
      </c>
      <c r="BFY27" t="str">
        <f>SOFR3mo_PX[[#This Row],[Column1533]]</f>
        <v>#N/A N/A</v>
      </c>
      <c r="BFZ27" t="str">
        <f>SOFR3mo_PX[[#This Row],[Column1534]]</f>
        <v>#N/A N/A</v>
      </c>
      <c r="BGA27" t="str">
        <f>SOFR3mo_PX[[#This Row],[Column1535]]</f>
        <v>#N/A N/A</v>
      </c>
      <c r="BGB27" t="str">
        <f>SOFR3mo_PX[[#This Row],[Column1536]]</f>
        <v>#N/A N/A</v>
      </c>
      <c r="BGC27" t="str">
        <f>SOFR3mo_PX[[#This Row],[Column1537]]</f>
        <v>#N/A N/A</v>
      </c>
      <c r="BGD27" t="str">
        <f>SOFR3mo_PX[[#This Row],[Column1538]]</f>
        <v>#N/A N/A</v>
      </c>
      <c r="BGE27" t="str">
        <f>SOFR3mo_PX[[#This Row],[Column1539]]</f>
        <v>#N/A N/A</v>
      </c>
      <c r="BGF27" t="str">
        <f>SOFR3mo_PX[[#This Row],[Column1540]]</f>
        <v>#N/A N/A</v>
      </c>
      <c r="BGG27" t="str">
        <f>SOFR3mo_PX[[#This Row],[Column1541]]</f>
        <v>#N/A N/A</v>
      </c>
      <c r="BGH27" t="str">
        <f>SOFR3mo_PX[[#This Row],[Column1542]]</f>
        <v>#N/A N/A</v>
      </c>
      <c r="BGI27" t="str">
        <f>SOFR3mo_PX[[#This Row],[Column1543]]</f>
        <v>#N/A N/A</v>
      </c>
      <c r="BGJ27" t="str">
        <f>SOFR3mo_PX[[#This Row],[Column1544]]</f>
        <v>#N/A N/A</v>
      </c>
      <c r="BGK27" t="str">
        <f>SOFR3mo_PX[[#This Row],[Column1545]]</f>
        <v>#N/A N/A</v>
      </c>
      <c r="BGL27" t="str">
        <f>SOFR3mo_PX[[#This Row],[Column1546]]</f>
        <v>#N/A N/A</v>
      </c>
      <c r="BGM27" t="str">
        <f>SOFR3mo_PX[[#This Row],[Column1547]]</f>
        <v>#N/A N/A</v>
      </c>
      <c r="BGN27" t="str">
        <f>SOFR3mo_PX[[#This Row],[Column1548]]</f>
        <v>#N/A N/A</v>
      </c>
      <c r="BGO27" t="str">
        <f>SOFR3mo_PX[[#This Row],[Column1549]]</f>
        <v>#N/A N/A</v>
      </c>
      <c r="BGP27" t="str">
        <f>SOFR3mo_PX[[#This Row],[Column1550]]</f>
        <v>#N/A N/A</v>
      </c>
      <c r="BGQ27" t="str">
        <f>SOFR3mo_PX[[#This Row],[Column1551]]</f>
        <v>#N/A N/A</v>
      </c>
      <c r="BGR27" t="str">
        <f>SOFR3mo_PX[[#This Row],[Column1552]]</f>
        <v>#N/A N/A</v>
      </c>
      <c r="BGS27" t="str">
        <f>SOFR3mo_PX[[#This Row],[Column1553]]</f>
        <v>#N/A N/A</v>
      </c>
      <c r="BGT27" t="str">
        <f>SOFR3mo_PX[[#This Row],[Column1554]]</f>
        <v>#N/A N/A</v>
      </c>
      <c r="BGU27" t="str">
        <f>SOFR3mo_PX[[#This Row],[Column1555]]</f>
        <v>#N/A N/A</v>
      </c>
      <c r="BGV27" t="str">
        <f>SOFR3mo_PX[[#This Row],[Column1556]]</f>
        <v>#N/A N/A</v>
      </c>
      <c r="BGW27" t="str">
        <f>SOFR3mo_PX[[#This Row],[Column1557]]</f>
        <v>#N/A N/A</v>
      </c>
      <c r="BGX27" t="str">
        <f>SOFR3mo_PX[[#This Row],[Column1558]]</f>
        <v>#N/A N/A</v>
      </c>
      <c r="BGY27" t="str">
        <f>SOFR3mo_PX[[#This Row],[Column1559]]</f>
        <v>#N/A N/A</v>
      </c>
      <c r="BGZ27" t="str">
        <f>SOFR3mo_PX[[#This Row],[Column1560]]</f>
        <v>#N/A N/A</v>
      </c>
      <c r="BHA27" t="str">
        <f>SOFR3mo_PX[[#This Row],[Column1561]]</f>
        <v>#N/A N/A</v>
      </c>
      <c r="BHB27" t="str">
        <f>SOFR3mo_PX[[#This Row],[Column1562]]</f>
        <v>#N/A N/A</v>
      </c>
      <c r="BHC27" t="str">
        <f>SOFR3mo_PX[[#This Row],[Column1563]]</f>
        <v>#N/A N/A</v>
      </c>
      <c r="BHD27" t="str">
        <f>SOFR3mo_PX[[#This Row],[Column1564]]</f>
        <v>#N/A N/A</v>
      </c>
      <c r="BHE27" t="str">
        <f>SOFR3mo_PX[[#This Row],[Column1565]]</f>
        <v>#N/A N/A</v>
      </c>
      <c r="BHF27" t="str">
        <f>SOFR3mo_PX[[#This Row],[Column1566]]</f>
        <v>#N/A N/A</v>
      </c>
      <c r="BHG27" t="str">
        <f>SOFR3mo_PX[[#This Row],[Column1567]]</f>
        <v>#N/A N/A</v>
      </c>
      <c r="BHH27" t="str">
        <f>SOFR3mo_PX[[#This Row],[Column1568]]</f>
        <v>#N/A N/A</v>
      </c>
      <c r="BHI27" t="str">
        <f>SOFR3mo_PX[[#This Row],[Column1569]]</f>
        <v>#N/A N/A</v>
      </c>
      <c r="BHJ27" t="str">
        <f>SOFR3mo_PX[[#This Row],[Column1570]]</f>
        <v>#N/A N/A</v>
      </c>
      <c r="BHK27" t="str">
        <f>SOFR3mo_PX[[#This Row],[Column1571]]</f>
        <v>#N/A N/A</v>
      </c>
      <c r="BHL27" t="str">
        <f>SOFR3mo_PX[[#This Row],[Column1572]]</f>
        <v>#N/A N/A</v>
      </c>
      <c r="BHM27" t="str">
        <f>SOFR3mo_PX[[#This Row],[Column1573]]</f>
        <v>#N/A N/A</v>
      </c>
      <c r="BHN27" t="str">
        <f>SOFR3mo_PX[[#This Row],[Column1574]]</f>
        <v>#N/A N/A</v>
      </c>
      <c r="BHO27" t="str">
        <f>SOFR3mo_PX[[#This Row],[Column1575]]</f>
        <v>#N/A N/A</v>
      </c>
      <c r="BHP27" t="str">
        <f>SOFR3mo_PX[[#This Row],[Column1576]]</f>
        <v>#N/A N/A</v>
      </c>
      <c r="BHQ27" t="str">
        <f>SOFR3mo_PX[[#This Row],[Column1577]]</f>
        <v>#N/A N/A</v>
      </c>
      <c r="BHR27" t="str">
        <f>SOFR3mo_PX[[#This Row],[Column1578]]</f>
        <v>#N/A N/A</v>
      </c>
      <c r="BHS27" t="str">
        <f>SOFR3mo_PX[[#This Row],[Column1579]]</f>
        <v>#N/A N/A</v>
      </c>
      <c r="BHT27" t="str">
        <f>SOFR3mo_PX[[#This Row],[Column1580]]</f>
        <v>#N/A N/A</v>
      </c>
      <c r="BHU27" t="str">
        <f>SOFR3mo_PX[[#This Row],[Column1581]]</f>
        <v>#N/A N/A</v>
      </c>
      <c r="BHV27" t="str">
        <f>SOFR3mo_PX[[#This Row],[Column1582]]</f>
        <v>#N/A N/A</v>
      </c>
      <c r="BHW27" t="str">
        <f>SOFR3mo_PX[[#This Row],[Column1583]]</f>
        <v>#N/A N/A</v>
      </c>
      <c r="BHX27" t="str">
        <f>SOFR3mo_PX[[#This Row],[Column1584]]</f>
        <v>#N/A N/A</v>
      </c>
      <c r="BHY27" t="str">
        <f>SOFR3mo_PX[[#This Row],[Column1585]]</f>
        <v>#N/A N/A</v>
      </c>
      <c r="BHZ27" t="str">
        <f>SOFR3mo_PX[[#This Row],[Column1586]]</f>
        <v>#N/A N/A</v>
      </c>
      <c r="BIA27" t="str">
        <f>SOFR3mo_PX[[#This Row],[Column1587]]</f>
        <v>#N/A N/A</v>
      </c>
      <c r="BIB27" t="str">
        <f>SOFR3mo_PX[[#This Row],[Column1588]]</f>
        <v>#N/A N/A</v>
      </c>
      <c r="BIC27" t="str">
        <f>SOFR3mo_PX[[#This Row],[Column1589]]</f>
        <v>#N/A N/A</v>
      </c>
      <c r="BID27" t="str">
        <f>SOFR3mo_PX[[#This Row],[Column1590]]</f>
        <v>#N/A N/A</v>
      </c>
      <c r="BIE27" t="str">
        <f>SOFR3mo_PX[[#This Row],[Column1591]]</f>
        <v>#N/A N/A</v>
      </c>
      <c r="BIF27" t="str">
        <f>SOFR3mo_PX[[#This Row],[Column1592]]</f>
        <v>#N/A N/A</v>
      </c>
      <c r="BIG27" t="str">
        <f>SOFR3mo_PX[[#This Row],[Column1593]]</f>
        <v>#N/A N/A</v>
      </c>
      <c r="BIH27" t="str">
        <f>SOFR3mo_PX[[#This Row],[Column1594]]</f>
        <v>#N/A N/A</v>
      </c>
      <c r="BII27" t="str">
        <f>SOFR3mo_PX[[#This Row],[Column1595]]</f>
        <v>#N/A N/A</v>
      </c>
      <c r="BIJ27" t="str">
        <f>SOFR3mo_PX[[#This Row],[Column1596]]</f>
        <v>#N/A N/A</v>
      </c>
      <c r="BIK27" t="str">
        <f>SOFR3mo_PX[[#This Row],[Column1597]]</f>
        <v>#N/A N/A</v>
      </c>
      <c r="BIL27" t="str">
        <f>SOFR3mo_PX[[#This Row],[Column1598]]</f>
        <v>#N/A N/A</v>
      </c>
      <c r="BIM27" t="str">
        <f>SOFR3mo_PX[[#This Row],[Column1599]]</f>
        <v>#N/A N/A</v>
      </c>
      <c r="BIN27" t="str">
        <f>SOFR3mo_PX[[#This Row],[Column1600]]</f>
        <v>#N/A N/A</v>
      </c>
      <c r="BIO27" t="str">
        <f>SOFR3mo_PX[[#This Row],[Column1601]]</f>
        <v>#N/A N/A</v>
      </c>
      <c r="BIP27" t="str">
        <f>SOFR3mo_PX[[#This Row],[Column1602]]</f>
        <v>#N/A N/A</v>
      </c>
      <c r="BIQ27" t="str">
        <f>SOFR3mo_PX[[#This Row],[Column1603]]</f>
        <v>#N/A N/A</v>
      </c>
      <c r="BIR27" t="str">
        <f>SOFR3mo_PX[[#This Row],[Column1604]]</f>
        <v>#N/A N/A</v>
      </c>
      <c r="BIS27" t="str">
        <f>SOFR3mo_PX[[#This Row],[Column1605]]</f>
        <v>#N/A N/A</v>
      </c>
      <c r="BIT27" t="str">
        <f>SOFR3mo_PX[[#This Row],[Column1606]]</f>
        <v>#N/A N/A</v>
      </c>
      <c r="BIU27" t="str">
        <f>SOFR3mo_PX[[#This Row],[Column1607]]</f>
        <v>#N/A N/A</v>
      </c>
      <c r="BIV27" t="str">
        <f>SOFR3mo_PX[[#This Row],[Column1608]]</f>
        <v>#N/A N/A</v>
      </c>
      <c r="BIW27" t="str">
        <f>SOFR3mo_PX[[#This Row],[Column1609]]</f>
        <v>#N/A N/A</v>
      </c>
      <c r="BIX27" t="str">
        <f>SOFR3mo_PX[[#This Row],[Column1610]]</f>
        <v>#N/A N/A</v>
      </c>
      <c r="BIY27" t="str">
        <f>SOFR3mo_PX[[#This Row],[Column1611]]</f>
        <v>#N/A N/A</v>
      </c>
      <c r="BIZ27" t="str">
        <f>SOFR3mo_PX[[#This Row],[Column1612]]</f>
        <v>#N/A N/A</v>
      </c>
      <c r="BJA27" t="str">
        <f>SOFR3mo_PX[[#This Row],[Column1613]]</f>
        <v>#N/A N/A</v>
      </c>
      <c r="BJB27" t="str">
        <f>SOFR3mo_PX[[#This Row],[Column1614]]</f>
        <v>#N/A N/A</v>
      </c>
      <c r="BJC27" t="str">
        <f>SOFR3mo_PX[[#This Row],[Column1615]]</f>
        <v>#N/A N/A</v>
      </c>
      <c r="BJD27" t="str">
        <f>SOFR3mo_PX[[#This Row],[Column1616]]</f>
        <v>#N/A N/A</v>
      </c>
      <c r="BJE27" t="str">
        <f>SOFR3mo_PX[[#This Row],[Column1617]]</f>
        <v>#N/A N/A</v>
      </c>
      <c r="BJF27" t="str">
        <f>SOFR3mo_PX[[#This Row],[Column1618]]</f>
        <v>#N/A N/A</v>
      </c>
      <c r="BJG27" t="str">
        <f>SOFR3mo_PX[[#This Row],[Column1619]]</f>
        <v>#N/A N/A</v>
      </c>
      <c r="BJH27" t="str">
        <f>SOFR3mo_PX[[#This Row],[Column1620]]</f>
        <v>#N/A N/A</v>
      </c>
      <c r="BJI27" t="str">
        <f>SOFR3mo_PX[[#This Row],[Column1621]]</f>
        <v>#N/A N/A</v>
      </c>
      <c r="BJJ27" t="str">
        <f>SOFR3mo_PX[[#This Row],[Column1622]]</f>
        <v>#N/A N/A</v>
      </c>
      <c r="BJK27" t="str">
        <f>SOFR3mo_PX[[#This Row],[Column1623]]</f>
        <v>#N/A N/A</v>
      </c>
      <c r="BJL27" t="str">
        <f>SOFR3mo_PX[[#This Row],[Column1624]]</f>
        <v>#N/A N/A</v>
      </c>
      <c r="BJM27" t="str">
        <f>SOFR3mo_PX[[#This Row],[Column1625]]</f>
        <v>#N/A N/A</v>
      </c>
      <c r="BJN27" t="str">
        <f>SOFR3mo_PX[[#This Row],[Column1626]]</f>
        <v>#N/A N/A</v>
      </c>
      <c r="BJO27" t="str">
        <f>SOFR3mo_PX[[#This Row],[Column1627]]</f>
        <v>#N/A N/A</v>
      </c>
      <c r="BJP27" t="str">
        <f>SOFR3mo_PX[[#This Row],[Column1628]]</f>
        <v>#N/A N/A</v>
      </c>
      <c r="BJQ27" t="str">
        <f>SOFR3mo_PX[[#This Row],[Column1629]]</f>
        <v>#N/A N/A</v>
      </c>
      <c r="BJR27" t="str">
        <f>SOFR3mo_PX[[#This Row],[Column1630]]</f>
        <v>#N/A N/A</v>
      </c>
      <c r="BJS27" t="str">
        <f>SOFR3mo_PX[[#This Row],[Column1631]]</f>
        <v>#N/A N/A</v>
      </c>
      <c r="BJT27" t="str">
        <f>SOFR3mo_PX[[#This Row],[Column1632]]</f>
        <v>#N/A N/A</v>
      </c>
      <c r="BJU27" t="str">
        <f>SOFR3mo_PX[[#This Row],[Column1633]]</f>
        <v>#N/A N/A</v>
      </c>
      <c r="BJV27" t="str">
        <f>SOFR3mo_PX[[#This Row],[Column1634]]</f>
        <v>#N/A N/A</v>
      </c>
      <c r="BJW27" t="str">
        <f>SOFR3mo_PX[[#This Row],[Column1635]]</f>
        <v>#N/A N/A</v>
      </c>
      <c r="BJX27" t="str">
        <f>SOFR3mo_PX[[#This Row],[Column1636]]</f>
        <v>#N/A N/A</v>
      </c>
      <c r="BJY27" t="str">
        <f>SOFR3mo_PX[[#This Row],[Column1637]]</f>
        <v>#N/A N/A</v>
      </c>
      <c r="BJZ27" t="str">
        <f>SOFR3mo_PX[[#This Row],[Column1638]]</f>
        <v>#N/A N/A</v>
      </c>
      <c r="BKA27" t="str">
        <f>SOFR3mo_PX[[#This Row],[Column1639]]</f>
        <v>#N/A N/A</v>
      </c>
      <c r="BKB27" t="str">
        <f>SOFR3mo_PX[[#This Row],[Column1640]]</f>
        <v>#N/A N/A</v>
      </c>
      <c r="BKC27" t="str">
        <f>SOFR3mo_PX[[#This Row],[Column1641]]</f>
        <v>#N/A N/A</v>
      </c>
      <c r="BKD27" t="str">
        <f>SOFR3mo_PX[[#This Row],[Column1642]]</f>
        <v>#N/A N/A</v>
      </c>
      <c r="BKE27" t="str">
        <f>SOFR3mo_PX[[#This Row],[Column1643]]</f>
        <v>#N/A N/A</v>
      </c>
      <c r="BKF27" t="str">
        <f>SOFR3mo_PX[[#This Row],[Column1644]]</f>
        <v>#N/A N/A</v>
      </c>
      <c r="BKG27" t="str">
        <f>SOFR3mo_PX[[#This Row],[Column1645]]</f>
        <v>#N/A N/A</v>
      </c>
      <c r="BKH27" t="str">
        <f>SOFR3mo_PX[[#This Row],[Column1646]]</f>
        <v>#N/A N/A</v>
      </c>
      <c r="BKI27" t="str">
        <f>SOFR3mo_PX[[#This Row],[Column1647]]</f>
        <v>#N/A N/A</v>
      </c>
      <c r="BKJ27" t="str">
        <f>SOFR3mo_PX[[#This Row],[Column1648]]</f>
        <v>#N/A N/A</v>
      </c>
      <c r="BKK27" t="str">
        <f>SOFR3mo_PX[[#This Row],[Column1649]]</f>
        <v>#N/A N/A</v>
      </c>
      <c r="BKL27" t="str">
        <f>SOFR3mo_PX[[#This Row],[Column1650]]</f>
        <v>#N/A N/A</v>
      </c>
      <c r="BKM27" t="str">
        <f>SOFR3mo_PX[[#This Row],[Column1651]]</f>
        <v>#N/A N/A</v>
      </c>
      <c r="BKN27" t="str">
        <f>SOFR3mo_PX[[#This Row],[Column1652]]</f>
        <v>#N/A N/A</v>
      </c>
      <c r="BKO27" t="str">
        <f>SOFR3mo_PX[[#This Row],[Column1653]]</f>
        <v>#N/A N/A</v>
      </c>
      <c r="BKP27" t="str">
        <f>SOFR3mo_PX[[#This Row],[Column1654]]</f>
        <v>#N/A N/A</v>
      </c>
      <c r="BKQ27" t="str">
        <f>SOFR3mo_PX[[#This Row],[Column1655]]</f>
        <v>#N/A N/A</v>
      </c>
      <c r="BKR27" t="str">
        <f>SOFR3mo_PX[[#This Row],[Column1656]]</f>
        <v>#N/A N/A</v>
      </c>
      <c r="BKS27" t="str">
        <f>SOFR3mo_PX[[#This Row],[Column1657]]</f>
        <v>#N/A N/A</v>
      </c>
      <c r="BKT27" t="str">
        <f>SOFR3mo_PX[[#This Row],[Column1658]]</f>
        <v>#N/A N/A</v>
      </c>
      <c r="BKU27" t="str">
        <f>SOFR3mo_PX[[#This Row],[Column1659]]</f>
        <v>#N/A N/A</v>
      </c>
      <c r="BKV27" t="str">
        <f>SOFR3mo_PX[[#This Row],[Column1660]]</f>
        <v>#N/A N/A</v>
      </c>
      <c r="BKW27" t="str">
        <f>SOFR3mo_PX[[#This Row],[Column1661]]</f>
        <v>#N/A N/A</v>
      </c>
      <c r="BKX27" t="str">
        <f>SOFR3mo_PX[[#This Row],[Column1662]]</f>
        <v>#N/A N/A</v>
      </c>
      <c r="BKY27" t="str">
        <f>SOFR3mo_PX[[#This Row],[Column1663]]</f>
        <v>#N/A N/A</v>
      </c>
      <c r="BKZ27" t="str">
        <f>SOFR3mo_PX[[#This Row],[Column1664]]</f>
        <v>#N/A N/A</v>
      </c>
      <c r="BLA27" t="str">
        <f>SOFR3mo_PX[[#This Row],[Column1665]]</f>
        <v>#N/A N/A</v>
      </c>
      <c r="BLB27" t="str">
        <f>SOFR3mo_PX[[#This Row],[Column1666]]</f>
        <v>#N/A N/A</v>
      </c>
      <c r="BLC27" t="str">
        <f>SOFR3mo_PX[[#This Row],[Column1667]]</f>
        <v>#N/A N/A</v>
      </c>
      <c r="BLD27" t="str">
        <f>SOFR3mo_PX[[#This Row],[Column1668]]</f>
        <v>#N/A N/A</v>
      </c>
      <c r="BLE27" t="str">
        <f>SOFR3mo_PX[[#This Row],[Column1669]]</f>
        <v>#N/A N/A</v>
      </c>
      <c r="BLF27" t="str">
        <f>SOFR3mo_PX[[#This Row],[Column1670]]</f>
        <v>#N/A N/A</v>
      </c>
      <c r="BLG27" t="str">
        <f>SOFR3mo_PX[[#This Row],[Column1671]]</f>
        <v>#N/A N/A</v>
      </c>
      <c r="BLH27" t="str">
        <f>SOFR3mo_PX[[#This Row],[Column1672]]</f>
        <v>#N/A N/A</v>
      </c>
      <c r="BLI27" t="str">
        <f>SOFR3mo_PX[[#This Row],[Column1673]]</f>
        <v>#N/A N/A</v>
      </c>
      <c r="BLJ27" t="str">
        <f>SOFR3mo_PX[[#This Row],[Column1674]]</f>
        <v>#N/A N/A</v>
      </c>
      <c r="BLK27" t="str">
        <f>SOFR3mo_PX[[#This Row],[Column1675]]</f>
        <v>#N/A N/A</v>
      </c>
      <c r="BLL27" t="str">
        <f>SOFR3mo_PX[[#This Row],[Column1676]]</f>
        <v>#N/A N/A</v>
      </c>
      <c r="BLM27" t="str">
        <f>SOFR3mo_PX[[#This Row],[Column1677]]</f>
        <v>#N/A N/A</v>
      </c>
      <c r="BLN27" t="str">
        <f>SOFR3mo_PX[[#This Row],[Column1678]]</f>
        <v>#N/A N/A</v>
      </c>
      <c r="BLO27" t="str">
        <f>SOFR3mo_PX[[#This Row],[Column1679]]</f>
        <v>#N/A N/A</v>
      </c>
      <c r="BLP27" t="str">
        <f>SOFR3mo_PX[[#This Row],[Column1680]]</f>
        <v>#N/A N/A</v>
      </c>
      <c r="BLQ27" t="str">
        <f>SOFR3mo_PX[[#This Row],[Column1681]]</f>
        <v>#N/A N/A</v>
      </c>
      <c r="BLR27" t="str">
        <f>SOFR3mo_PX[[#This Row],[Column1682]]</f>
        <v>#N/A N/A</v>
      </c>
      <c r="BLS27" t="str">
        <f>SOFR3mo_PX[[#This Row],[Column1683]]</f>
        <v>#N/A N/A</v>
      </c>
      <c r="BLT27" t="str">
        <f>SOFR3mo_PX[[#This Row],[Column1684]]</f>
        <v>#N/A N/A</v>
      </c>
      <c r="BLU27" t="str">
        <f>SOFR3mo_PX[[#This Row],[Column1685]]</f>
        <v>#N/A N/A</v>
      </c>
      <c r="BLV27" t="str">
        <f>SOFR3mo_PX[[#This Row],[Column1686]]</f>
        <v>#N/A N/A</v>
      </c>
      <c r="BLW27" t="str">
        <f>SOFR3mo_PX[[#This Row],[Column1687]]</f>
        <v>#N/A N/A</v>
      </c>
      <c r="BLX27" t="str">
        <f>SOFR3mo_PX[[#This Row],[Column1688]]</f>
        <v>#N/A N/A</v>
      </c>
      <c r="BLY27" t="str">
        <f>SOFR3mo_PX[[#This Row],[Column1689]]</f>
        <v>#N/A N/A</v>
      </c>
      <c r="BLZ27" t="str">
        <f>SOFR3mo_PX[[#This Row],[Column1690]]</f>
        <v>#N/A N/A</v>
      </c>
      <c r="BMA27" t="str">
        <f>SOFR3mo_PX[[#This Row],[Column1691]]</f>
        <v>#N/A N/A</v>
      </c>
      <c r="BMB27" t="str">
        <f>SOFR3mo_PX[[#This Row],[Column1692]]</f>
        <v>#N/A N/A</v>
      </c>
      <c r="BMC27" t="str">
        <f>SOFR3mo_PX[[#This Row],[Column1693]]</f>
        <v>#N/A N/A</v>
      </c>
      <c r="BMD27" t="str">
        <f>SOFR3mo_PX[[#This Row],[Column1694]]</f>
        <v>#N/A N/A</v>
      </c>
      <c r="BME27" t="str">
        <f>SOFR3mo_PX[[#This Row],[Column1695]]</f>
        <v>#N/A N/A</v>
      </c>
      <c r="BMF27" t="str">
        <f>SOFR3mo_PX[[#This Row],[Column1696]]</f>
        <v>#N/A N/A</v>
      </c>
      <c r="BMG27" t="str">
        <f>SOFR3mo_PX[[#This Row],[Column1697]]</f>
        <v>#N/A N/A</v>
      </c>
      <c r="BMH27" t="str">
        <f>SOFR3mo_PX[[#This Row],[Column1698]]</f>
        <v>#N/A N/A</v>
      </c>
      <c r="BMI27" t="str">
        <f>SOFR3mo_PX[[#This Row],[Column1699]]</f>
        <v>#N/A N/A</v>
      </c>
      <c r="BMJ27" t="str">
        <f>SOFR3mo_PX[[#This Row],[Column1700]]</f>
        <v>#N/A N/A</v>
      </c>
      <c r="BMK27" t="str">
        <f>SOFR3mo_PX[[#This Row],[Column1701]]</f>
        <v>#N/A N/A</v>
      </c>
      <c r="BML27" t="str">
        <f>SOFR3mo_PX[[#This Row],[Column1702]]</f>
        <v>#N/A N/A</v>
      </c>
      <c r="BMM27" t="str">
        <f>SOFR3mo_PX[[#This Row],[Column1703]]</f>
        <v>#N/A N/A</v>
      </c>
      <c r="BMN27" t="str">
        <f>SOFR3mo_PX[[#This Row],[Column1704]]</f>
        <v>#N/A N/A</v>
      </c>
      <c r="BMO27" t="str">
        <f>SOFR3mo_PX[[#This Row],[Column1705]]</f>
        <v>#N/A N/A</v>
      </c>
      <c r="BMP27" t="str">
        <f>SOFR3mo_PX[[#This Row],[Column1706]]</f>
        <v>#N/A N/A</v>
      </c>
      <c r="BMQ27" t="str">
        <f>SOFR3mo_PX[[#This Row],[Column1707]]</f>
        <v>#N/A N/A</v>
      </c>
      <c r="BMR27" t="str">
        <f>SOFR3mo_PX[[#This Row],[Column1708]]</f>
        <v>#N/A N/A</v>
      </c>
      <c r="BMS27" t="str">
        <f>SOFR3mo_PX[[#This Row],[Column1709]]</f>
        <v>#N/A N/A</v>
      </c>
      <c r="BMT27" t="str">
        <f>SOFR3mo_PX[[#This Row],[Column1710]]</f>
        <v>#N/A N/A</v>
      </c>
      <c r="BMU27" t="str">
        <f>SOFR3mo_PX[[#This Row],[Column1711]]</f>
        <v>#N/A N/A</v>
      </c>
      <c r="BMV27" t="str">
        <f>SOFR3mo_PX[[#This Row],[Column1712]]</f>
        <v>#N/A N/A</v>
      </c>
      <c r="BMW27" t="str">
        <f>SOFR3mo_PX[[#This Row],[Column1713]]</f>
        <v>#N/A N/A</v>
      </c>
      <c r="BMX27" t="str">
        <f>SOFR3mo_PX[[#This Row],[Column1714]]</f>
        <v>#N/A N/A</v>
      </c>
      <c r="BMY27" t="str">
        <f>SOFR3mo_PX[[#This Row],[Column1715]]</f>
        <v>#N/A N/A</v>
      </c>
      <c r="BMZ27" t="str">
        <f>SOFR3mo_PX[[#This Row],[Column1716]]</f>
        <v>#N/A N/A</v>
      </c>
      <c r="BNA27" t="str">
        <f>SOFR3mo_PX[[#This Row],[Column1717]]</f>
        <v>#N/A N/A</v>
      </c>
      <c r="BNB27" t="str">
        <f>SOFR3mo_PX[[#This Row],[Column1718]]</f>
        <v>#N/A N/A</v>
      </c>
      <c r="BNC27" t="str">
        <f>SOFR3mo_PX[[#This Row],[Column1719]]</f>
        <v>#N/A N/A</v>
      </c>
      <c r="BND27" t="str">
        <f>SOFR3mo_PX[[#This Row],[Column1720]]</f>
        <v>#N/A N/A</v>
      </c>
      <c r="BNE27" t="str">
        <f>SOFR3mo_PX[[#This Row],[Column1721]]</f>
        <v>#N/A N/A</v>
      </c>
      <c r="BNF27" t="str">
        <f>SOFR3mo_PX[[#This Row],[Column1722]]</f>
        <v>#N/A N/A</v>
      </c>
      <c r="BNG27" t="str">
        <f>SOFR3mo_PX[[#This Row],[Column1723]]</f>
        <v>#N/A N/A</v>
      </c>
      <c r="BNH27" t="str">
        <f>SOFR3mo_PX[[#This Row],[Column1724]]</f>
        <v>#N/A N/A</v>
      </c>
      <c r="BNI27" t="str">
        <f>SOFR3mo_PX[[#This Row],[Column1725]]</f>
        <v>#N/A N/A</v>
      </c>
      <c r="BNJ27" t="str">
        <f>SOFR3mo_PX[[#This Row],[Column1726]]</f>
        <v>#N/A N/A</v>
      </c>
      <c r="BNK27" t="str">
        <f>SOFR3mo_PX[[#This Row],[Column1727]]</f>
        <v>#N/A N/A</v>
      </c>
      <c r="BNL27" t="str">
        <f>SOFR3mo_PX[[#This Row],[Column1728]]</f>
        <v>#N/A N/A</v>
      </c>
      <c r="BNM27" t="str">
        <f>SOFR3mo_PX[[#This Row],[Column1729]]</f>
        <v>#N/A N/A</v>
      </c>
      <c r="BNN27" t="str">
        <f>SOFR3mo_PX[[#This Row],[Column1730]]</f>
        <v>#N/A N/A</v>
      </c>
      <c r="BNO27" t="str">
        <f>SOFR3mo_PX[[#This Row],[Column1731]]</f>
        <v>#N/A N/A</v>
      </c>
      <c r="BNP27" t="str">
        <f>SOFR3mo_PX[[#This Row],[Column1732]]</f>
        <v>#N/A N/A</v>
      </c>
      <c r="BNQ27" t="str">
        <f>SOFR3mo_PX[[#This Row],[Column1733]]</f>
        <v>#N/A N/A</v>
      </c>
      <c r="BNR27" t="str">
        <f>SOFR3mo_PX[[#This Row],[Column1734]]</f>
        <v>#N/A N/A</v>
      </c>
      <c r="BNS27" t="str">
        <f>SOFR3mo_PX[[#This Row],[Column1735]]</f>
        <v>#N/A N/A</v>
      </c>
      <c r="BNT27" t="str">
        <f>SOFR3mo_PX[[#This Row],[Column1736]]</f>
        <v>#N/A N/A</v>
      </c>
      <c r="BNU27" t="str">
        <f>SOFR3mo_PX[[#This Row],[Column1737]]</f>
        <v>#N/A N/A</v>
      </c>
      <c r="BNV27" t="str">
        <f>SOFR3mo_PX[[#This Row],[Column1738]]</f>
        <v>#N/A N/A</v>
      </c>
      <c r="BNW27" t="str">
        <f>SOFR3mo_PX[[#This Row],[Column1739]]</f>
        <v>#N/A N/A</v>
      </c>
      <c r="BNX27" t="str">
        <f>SOFR3mo_PX[[#This Row],[Column1740]]</f>
        <v>#N/A N/A</v>
      </c>
      <c r="BNY27" t="str">
        <f>SOFR3mo_PX[[#This Row],[Column1741]]</f>
        <v>#N/A N/A</v>
      </c>
      <c r="BNZ27" t="str">
        <f>SOFR3mo_PX[[#This Row],[Column1742]]</f>
        <v>#N/A N/A</v>
      </c>
      <c r="BOA27" t="str">
        <f>SOFR3mo_PX[[#This Row],[Column1743]]</f>
        <v>#N/A N/A</v>
      </c>
      <c r="BOB27" t="str">
        <f>SOFR3mo_PX[[#This Row],[Column1744]]</f>
        <v>#N/A N/A</v>
      </c>
      <c r="BOC27" t="str">
        <f>SOFR3mo_PX[[#This Row],[Column1745]]</f>
        <v>#N/A N/A</v>
      </c>
      <c r="BOD27" t="str">
        <f>SOFR3mo_PX[[#This Row],[Column1746]]</f>
        <v>#N/A N/A</v>
      </c>
      <c r="BOE27" t="str">
        <f>SOFR3mo_PX[[#This Row],[Column1747]]</f>
        <v>#N/A N/A</v>
      </c>
      <c r="BOF27" t="str">
        <f>SOFR3mo_PX[[#This Row],[Column1748]]</f>
        <v>#N/A N/A</v>
      </c>
      <c r="BOG27" t="str">
        <f>SOFR3mo_PX[[#This Row],[Column1749]]</f>
        <v>#N/A N/A</v>
      </c>
      <c r="BOH27" t="str">
        <f>SOFR3mo_PX[[#This Row],[Column1750]]</f>
        <v>#N/A N/A</v>
      </c>
      <c r="BOI27" t="str">
        <f>SOFR3mo_PX[[#This Row],[Column1751]]</f>
        <v>#N/A N/A</v>
      </c>
      <c r="BOJ27" t="str">
        <f>SOFR3mo_PX[[#This Row],[Column1752]]</f>
        <v>#N/A N/A</v>
      </c>
      <c r="BOK27" t="str">
        <f>SOFR3mo_PX[[#This Row],[Column1753]]</f>
        <v>#N/A N/A</v>
      </c>
      <c r="BOL27" t="str">
        <f>SOFR3mo_PX[[#This Row],[Column1754]]</f>
        <v>#N/A N/A</v>
      </c>
      <c r="BOM27" t="str">
        <f>SOFR3mo_PX[[#This Row],[Column1755]]</f>
        <v>#N/A N/A</v>
      </c>
      <c r="BON27" t="str">
        <f>SOFR3mo_PX[[#This Row],[Column1756]]</f>
        <v>#N/A N/A</v>
      </c>
      <c r="BOO27" t="str">
        <f>SOFR3mo_PX[[#This Row],[Column1757]]</f>
        <v>#N/A N/A</v>
      </c>
      <c r="BOP27" t="str">
        <f>SOFR3mo_PX[[#This Row],[Column1758]]</f>
        <v>#N/A N/A</v>
      </c>
      <c r="BOQ27" t="str">
        <f>SOFR3mo_PX[[#This Row],[Column1759]]</f>
        <v>#N/A N/A</v>
      </c>
      <c r="BOR27" t="str">
        <f>SOFR3mo_PX[[#This Row],[Column1760]]</f>
        <v>#N/A N/A</v>
      </c>
      <c r="BOS27" t="str">
        <f>SOFR3mo_PX[[#This Row],[Column1761]]</f>
        <v>#N/A N/A</v>
      </c>
      <c r="BOT27" t="str">
        <f>SOFR3mo_PX[[#This Row],[Column1762]]</f>
        <v>#N/A N/A</v>
      </c>
      <c r="BOU27" t="str">
        <f>SOFR3mo_PX[[#This Row],[Column1763]]</f>
        <v>#N/A N/A</v>
      </c>
      <c r="BOV27" t="str">
        <f>SOFR3mo_PX[[#This Row],[Column1764]]</f>
        <v>#N/A N/A</v>
      </c>
      <c r="BOW27" t="str">
        <f>SOFR3mo_PX[[#This Row],[Column1765]]</f>
        <v>#N/A N/A</v>
      </c>
      <c r="BOX27" t="str">
        <f>SOFR3mo_PX[[#This Row],[Column1766]]</f>
        <v>#N/A N/A</v>
      </c>
      <c r="BOY27" t="str">
        <f>SOFR3mo_PX[[#This Row],[Column1767]]</f>
        <v>#N/A N/A</v>
      </c>
      <c r="BOZ27" t="str">
        <f>SOFR3mo_PX[[#This Row],[Column1768]]</f>
        <v>#N/A N/A</v>
      </c>
      <c r="BPA27" t="str">
        <f>SOFR3mo_PX[[#This Row],[Column1769]]</f>
        <v>#N/A N/A</v>
      </c>
      <c r="BPB27" t="str">
        <f>SOFR3mo_PX[[#This Row],[Column1770]]</f>
        <v>#N/A N/A</v>
      </c>
      <c r="BPC27" t="str">
        <f>SOFR3mo_PX[[#This Row],[Column1771]]</f>
        <v>#N/A N/A</v>
      </c>
      <c r="BPD27" t="str">
        <f>SOFR3mo_PX[[#This Row],[Column1772]]</f>
        <v>#N/A N/A</v>
      </c>
      <c r="BPE27" t="str">
        <f>SOFR3mo_PX[[#This Row],[Column1773]]</f>
        <v>#N/A N/A</v>
      </c>
      <c r="BPF27" t="str">
        <f>SOFR3mo_PX[[#This Row],[Column1774]]</f>
        <v>#N/A N/A</v>
      </c>
      <c r="BPG27" t="str">
        <f>SOFR3mo_PX[[#This Row],[Column1775]]</f>
        <v>#N/A N/A</v>
      </c>
      <c r="BPH27" t="str">
        <f>SOFR3mo_PX[[#This Row],[Column1776]]</f>
        <v>#N/A N/A</v>
      </c>
      <c r="BPI27" t="str">
        <f>SOFR3mo_PX[[#This Row],[Column1777]]</f>
        <v>#N/A N/A</v>
      </c>
      <c r="BPJ27" t="str">
        <f>SOFR3mo_PX[[#This Row],[Column1778]]</f>
        <v>#N/A N/A</v>
      </c>
      <c r="BPK27" t="str">
        <f>SOFR3mo_PX[[#This Row],[Column1779]]</f>
        <v>#N/A N/A</v>
      </c>
      <c r="BPL27" t="str">
        <f>SOFR3mo_PX[[#This Row],[Column1780]]</f>
        <v>#N/A N/A</v>
      </c>
      <c r="BPM27" t="str">
        <f>SOFR3mo_PX[[#This Row],[Column1781]]</f>
        <v>#N/A N/A</v>
      </c>
      <c r="BPN27" t="str">
        <f>SOFR3mo_PX[[#This Row],[Column1782]]</f>
        <v>#N/A N/A</v>
      </c>
      <c r="BPO27" t="str">
        <f>SOFR3mo_PX[[#This Row],[Column1783]]</f>
        <v>#N/A N/A</v>
      </c>
      <c r="BPP27" t="str">
        <f>SOFR3mo_PX[[#This Row],[Column1784]]</f>
        <v>#N/A N/A</v>
      </c>
      <c r="BPQ27" t="str">
        <f>SOFR3mo_PX[[#This Row],[Column1785]]</f>
        <v>#N/A N/A</v>
      </c>
      <c r="BPR27" t="str">
        <f>SOFR3mo_PX[[#This Row],[Column1786]]</f>
        <v>#N/A N/A</v>
      </c>
      <c r="BPS27" t="str">
        <f>SOFR3mo_PX[[#This Row],[Column1787]]</f>
        <v>#N/A N/A</v>
      </c>
      <c r="BPT27" t="str">
        <f>SOFR3mo_PX[[#This Row],[Column1788]]</f>
        <v>#N/A N/A</v>
      </c>
      <c r="BPU27" t="str">
        <f>SOFR3mo_PX[[#This Row],[Column1789]]</f>
        <v>#N/A N/A</v>
      </c>
      <c r="BPV27" t="str">
        <f>SOFR3mo_PX[[#This Row],[Column1790]]</f>
        <v>#N/A N/A</v>
      </c>
      <c r="BPW27" t="str">
        <f>SOFR3mo_PX[[#This Row],[Column1791]]</f>
        <v>#N/A N/A</v>
      </c>
      <c r="BPX27" t="str">
        <f>SOFR3mo_PX[[#This Row],[Column1792]]</f>
        <v>#N/A N/A</v>
      </c>
      <c r="BPY27" t="str">
        <f>SOFR3mo_PX[[#This Row],[Column1793]]</f>
        <v>#N/A N/A</v>
      </c>
      <c r="BPZ27" t="str">
        <f>SOFR3mo_PX[[#This Row],[Column1794]]</f>
        <v>#N/A N/A</v>
      </c>
      <c r="BQA27" t="str">
        <f>SOFR3mo_PX[[#This Row],[Column1795]]</f>
        <v>#N/A N/A</v>
      </c>
      <c r="BQB27" t="str">
        <f>SOFR3mo_PX[[#This Row],[Column1796]]</f>
        <v>#N/A N/A</v>
      </c>
      <c r="BQC27" t="str">
        <f>SOFR3mo_PX[[#This Row],[Column1797]]</f>
        <v>#N/A N/A</v>
      </c>
      <c r="BQD27" t="str">
        <f>SOFR3mo_PX[[#This Row],[Column1798]]</f>
        <v>#N/A N/A</v>
      </c>
      <c r="BQE27" t="str">
        <f>SOFR3mo_PX[[#This Row],[Column1799]]</f>
        <v>#N/A N/A</v>
      </c>
      <c r="BQF27" t="str">
        <f>SOFR3mo_PX[[#This Row],[Column1800]]</f>
        <v>#N/A N/A</v>
      </c>
      <c r="BQG27" t="str">
        <f>SOFR3mo_PX[[#This Row],[Column1801]]</f>
        <v>#N/A N/A</v>
      </c>
      <c r="BQH27" t="str">
        <f>SOFR3mo_PX[[#This Row],[Column1802]]</f>
        <v>#N/A N/A</v>
      </c>
      <c r="BQI27" t="str">
        <f>SOFR3mo_PX[[#This Row],[Column1803]]</f>
        <v>#N/A N/A</v>
      </c>
      <c r="BQJ27" t="str">
        <f>SOFR3mo_PX[[#This Row],[Column1804]]</f>
        <v>#N/A N/A</v>
      </c>
      <c r="BQK27" t="str">
        <f>SOFR3mo_PX[[#This Row],[Column1805]]</f>
        <v>#N/A N/A</v>
      </c>
      <c r="BQL27" t="str">
        <f>SOFR3mo_PX[[#This Row],[Column1806]]</f>
        <v>#N/A N/A</v>
      </c>
      <c r="BQM27" t="str">
        <f>SOFR3mo_PX[[#This Row],[Column1807]]</f>
        <v>#N/A N/A</v>
      </c>
      <c r="BQN27" t="str">
        <f>SOFR3mo_PX[[#This Row],[Column1808]]</f>
        <v>#N/A N/A</v>
      </c>
      <c r="BQO27" t="str">
        <f>SOFR3mo_PX[[#This Row],[Column1809]]</f>
        <v>#N/A N/A</v>
      </c>
      <c r="BQP27" t="str">
        <f>SOFR3mo_PX[[#This Row],[Column1810]]</f>
        <v>#N/A N/A</v>
      </c>
      <c r="BQQ27" t="str">
        <f>SOFR3mo_PX[[#This Row],[Column1811]]</f>
        <v>#N/A N/A</v>
      </c>
      <c r="BQR27" t="str">
        <f>SOFR3mo_PX[[#This Row],[Column1812]]</f>
        <v>#N/A N/A</v>
      </c>
      <c r="BQS27" t="str">
        <f>SOFR3mo_PX[[#This Row],[Column1813]]</f>
        <v>#N/A N/A</v>
      </c>
      <c r="BQT27" t="str">
        <f>SOFR3mo_PX[[#This Row],[Column1814]]</f>
        <v>#N/A N/A</v>
      </c>
      <c r="BQU27" t="str">
        <f>SOFR3mo_PX[[#This Row],[Column1815]]</f>
        <v>#N/A N/A</v>
      </c>
      <c r="BQV27" t="str">
        <f>SOFR3mo_PX[[#This Row],[Column1816]]</f>
        <v>#N/A N/A</v>
      </c>
      <c r="BQW27" t="str">
        <f>SOFR3mo_PX[[#This Row],[Column1817]]</f>
        <v>#N/A N/A</v>
      </c>
      <c r="BQX27" t="str">
        <f>SOFR3mo_PX[[#This Row],[Column1818]]</f>
        <v>#N/A N/A</v>
      </c>
      <c r="BQY27" t="str">
        <f>SOFR3mo_PX[[#This Row],[Column1819]]</f>
        <v>#N/A N/A</v>
      </c>
      <c r="BQZ27" t="str">
        <f>SOFR3mo_PX[[#This Row],[Column1820]]</f>
        <v>#N/A N/A</v>
      </c>
      <c r="BRA27" t="str">
        <f>SOFR3mo_PX[[#This Row],[Column1821]]</f>
        <v>#N/A N/A</v>
      </c>
      <c r="BRB27" t="str">
        <f>SOFR3mo_PX[[#This Row],[Column1822]]</f>
        <v>#N/A N/A</v>
      </c>
      <c r="BRC27" t="str">
        <f>SOFR3mo_PX[[#This Row],[Column1823]]</f>
        <v>#N/A N/A</v>
      </c>
      <c r="BRD27" t="str">
        <f>SOFR3mo_PX[[#This Row],[Column1824]]</f>
        <v>#N/A N/A</v>
      </c>
      <c r="BRE27" t="str">
        <f>SOFR3mo_PX[[#This Row],[Column1825]]</f>
        <v>#N/A N/A</v>
      </c>
      <c r="BRF27" t="str">
        <f>SOFR3mo_PX[[#This Row],[Column1826]]</f>
        <v>#N/A N/A</v>
      </c>
      <c r="BRG27" t="str">
        <f>SOFR3mo_PX[[#This Row],[Column1827]]</f>
        <v>#N/A N/A</v>
      </c>
      <c r="BRH27" t="str">
        <f>SOFR3mo_PX[[#This Row],[Column1828]]</f>
        <v>#N/A N/A</v>
      </c>
      <c r="BRI27" t="str">
        <f>SOFR3mo_PX[[#This Row],[Column1829]]</f>
        <v>#N/A N/A</v>
      </c>
      <c r="BRJ27" t="str">
        <f>SOFR3mo_PX[[#This Row],[Column1830]]</f>
        <v>#N/A N/A</v>
      </c>
      <c r="BRK27" t="str">
        <f>SOFR3mo_PX[[#This Row],[Column1831]]</f>
        <v>#N/A N/A</v>
      </c>
      <c r="BRL27" t="str">
        <f>SOFR3mo_PX[[#This Row],[Column1832]]</f>
        <v>#N/A N/A</v>
      </c>
      <c r="BRM27" t="str">
        <f>SOFR3mo_PX[[#This Row],[Column1833]]</f>
        <v>#N/A N/A</v>
      </c>
      <c r="BRN27" t="str">
        <f>SOFR3mo_PX[[#This Row],[Column1834]]</f>
        <v>#N/A N/A</v>
      </c>
      <c r="BRO27" t="str">
        <f>SOFR3mo_PX[[#This Row],[Column1835]]</f>
        <v>#N/A N/A</v>
      </c>
      <c r="BRP27" t="str">
        <f>SOFR3mo_PX[[#This Row],[Column1836]]</f>
        <v>#N/A N/A</v>
      </c>
      <c r="BRQ27" t="str">
        <f>SOFR3mo_PX[[#This Row],[Column1837]]</f>
        <v>#N/A N/A</v>
      </c>
      <c r="BRR27" t="str">
        <f>SOFR3mo_PX[[#This Row],[Column1838]]</f>
        <v>#N/A N/A</v>
      </c>
      <c r="BRS27" t="str">
        <f>SOFR3mo_PX[[#This Row],[Column1839]]</f>
        <v>#N/A N/A</v>
      </c>
      <c r="BRT27" t="str">
        <f>SOFR3mo_PX[[#This Row],[Column1840]]</f>
        <v>#N/A N/A</v>
      </c>
      <c r="BRU27" t="str">
        <f>SOFR3mo_PX[[#This Row],[Column1841]]</f>
        <v>#N/A N/A</v>
      </c>
      <c r="BRV27" t="str">
        <f>SOFR3mo_PX[[#This Row],[Column1842]]</f>
        <v>#N/A N/A</v>
      </c>
      <c r="BRW27" t="str">
        <f>SOFR3mo_PX[[#This Row],[Column1843]]</f>
        <v>#N/A N/A</v>
      </c>
      <c r="BRX27" t="str">
        <f>SOFR3mo_PX[[#This Row],[Column1844]]</f>
        <v>#N/A N/A</v>
      </c>
      <c r="BRY27" t="str">
        <f>SOFR3mo_PX[[#This Row],[Column1845]]</f>
        <v>#N/A N/A</v>
      </c>
      <c r="BRZ27" t="str">
        <f>SOFR3mo_PX[[#This Row],[Column1846]]</f>
        <v>#N/A N/A</v>
      </c>
      <c r="BSA27" t="str">
        <f>SOFR3mo_PX[[#This Row],[Column1847]]</f>
        <v>#N/A N/A</v>
      </c>
      <c r="BSB27" t="str">
        <f>SOFR3mo_PX[[#This Row],[Column1848]]</f>
        <v>#N/A N/A</v>
      </c>
      <c r="BSC27" t="str">
        <f>SOFR3mo_PX[[#This Row],[Column1849]]</f>
        <v>#N/A N/A</v>
      </c>
      <c r="BSD27" t="str">
        <f>SOFR3mo_PX[[#This Row],[Column1850]]</f>
        <v>#N/A N/A</v>
      </c>
      <c r="BSE27" t="str">
        <f>SOFR3mo_PX[[#This Row],[Column1851]]</f>
        <v>#N/A N/A</v>
      </c>
      <c r="BSF27" t="str">
        <f>SOFR3mo_PX[[#This Row],[Column1852]]</f>
        <v>#N/A N/A</v>
      </c>
      <c r="BSG27" t="str">
        <f>SOFR3mo_PX[[#This Row],[Column1853]]</f>
        <v>#N/A N/A</v>
      </c>
      <c r="BSH27" t="str">
        <f>SOFR3mo_PX[[#This Row],[Column1854]]</f>
        <v>#N/A N/A</v>
      </c>
      <c r="BSI27" t="str">
        <f>SOFR3mo_PX[[#This Row],[Column1855]]</f>
        <v>#N/A N/A</v>
      </c>
      <c r="BSJ27" t="str">
        <f>SOFR3mo_PX[[#This Row],[Column1856]]</f>
        <v>#N/A N/A</v>
      </c>
      <c r="BSK27" t="str">
        <f>SOFR3mo_PX[[#This Row],[Column1857]]</f>
        <v>#N/A N/A</v>
      </c>
      <c r="BSL27" t="str">
        <f>SOFR3mo_PX[[#This Row],[Column1858]]</f>
        <v>#N/A N/A</v>
      </c>
      <c r="BSM27" t="str">
        <f>SOFR3mo_PX[[#This Row],[Column1859]]</f>
        <v>#N/A N/A</v>
      </c>
      <c r="BSN27" t="str">
        <f>SOFR3mo_PX[[#This Row],[Column1860]]</f>
        <v>#N/A N/A</v>
      </c>
      <c r="BSO27" t="str">
        <f>SOFR3mo_PX[[#This Row],[Column1861]]</f>
        <v>#N/A N/A</v>
      </c>
      <c r="BSP27" t="str">
        <f>SOFR3mo_PX[[#This Row],[Column1862]]</f>
        <v>#N/A N/A</v>
      </c>
      <c r="BSQ27" t="str">
        <f>SOFR3mo_PX[[#This Row],[Column1863]]</f>
        <v>#N/A N/A</v>
      </c>
      <c r="BSR27" t="str">
        <f>SOFR3mo_PX[[#This Row],[Column1864]]</f>
        <v>#N/A N/A</v>
      </c>
      <c r="BSS27" t="str">
        <f>SOFR3mo_PX[[#This Row],[Column1865]]</f>
        <v>#N/A N/A</v>
      </c>
      <c r="BST27" t="str">
        <f>SOFR3mo_PX[[#This Row],[Column1866]]</f>
        <v>#N/A N/A</v>
      </c>
      <c r="BSU27" t="str">
        <f>SOFR3mo_PX[[#This Row],[Column1867]]</f>
        <v>#N/A N/A</v>
      </c>
      <c r="BSV27" t="str">
        <f>SOFR3mo_PX[[#This Row],[Column1868]]</f>
        <v>#N/A N/A</v>
      </c>
      <c r="BSW27" t="str">
        <f>SOFR3mo_PX[[#This Row],[Column1869]]</f>
        <v>#N/A N/A</v>
      </c>
      <c r="BSX27" t="str">
        <f>SOFR3mo_PX[[#This Row],[Column1870]]</f>
        <v>#N/A N/A</v>
      </c>
      <c r="BSY27" t="str">
        <f>SOFR3mo_PX[[#This Row],[Column1871]]</f>
        <v>#N/A N/A</v>
      </c>
      <c r="BSZ27" t="str">
        <f>SOFR3mo_PX[[#This Row],[Column1872]]</f>
        <v>#N/A N/A</v>
      </c>
      <c r="BTA27" t="str">
        <f>SOFR3mo_PX[[#This Row],[Column1873]]</f>
        <v>#N/A N/A</v>
      </c>
      <c r="BTB27" t="str">
        <f>SOFR3mo_PX[[#This Row],[Column1874]]</f>
        <v>#N/A N/A</v>
      </c>
      <c r="BTC27" t="str">
        <f>SOFR3mo_PX[[#This Row],[Column1875]]</f>
        <v>#N/A N/A</v>
      </c>
      <c r="BTD27" t="str">
        <f>SOFR3mo_PX[[#This Row],[Column1876]]</f>
        <v>#N/A N/A</v>
      </c>
      <c r="BTE27" t="str">
        <f>SOFR3mo_PX[[#This Row],[Column1877]]</f>
        <v>#N/A N/A</v>
      </c>
      <c r="BTF27" t="str">
        <f>SOFR3mo_PX[[#This Row],[Column1878]]</f>
        <v>#N/A N/A</v>
      </c>
      <c r="BTG27" t="str">
        <f>SOFR3mo_PX[[#This Row],[Column1879]]</f>
        <v>#N/A N/A</v>
      </c>
      <c r="BTH27" t="str">
        <f>SOFR3mo_PX[[#This Row],[Column1880]]</f>
        <v>#N/A N/A</v>
      </c>
      <c r="BTI27" t="str">
        <f>SOFR3mo_PX[[#This Row],[Column1881]]</f>
        <v>#N/A N/A</v>
      </c>
      <c r="BTJ27" t="str">
        <f>SOFR3mo_PX[[#This Row],[Column1882]]</f>
        <v>#N/A N/A</v>
      </c>
      <c r="BTK27" t="str">
        <f>SOFR3mo_PX[[#This Row],[Column1883]]</f>
        <v>#N/A N/A</v>
      </c>
      <c r="BTL27" t="str">
        <f>SOFR3mo_PX[[#This Row],[Column1884]]</f>
        <v>#N/A N/A</v>
      </c>
      <c r="BTM27" t="str">
        <f>SOFR3mo_PX[[#This Row],[Column1885]]</f>
        <v>#N/A N/A</v>
      </c>
      <c r="BTN27" t="str">
        <f>SOFR3mo_PX[[#This Row],[Column1886]]</f>
        <v>#N/A N/A</v>
      </c>
      <c r="BTO27" t="str">
        <f>SOFR3mo_PX[[#This Row],[Column1887]]</f>
        <v>#N/A N/A</v>
      </c>
      <c r="BTP27" t="str">
        <f>SOFR3mo_PX[[#This Row],[Column1888]]</f>
        <v>#N/A N/A</v>
      </c>
      <c r="BTQ27" t="str">
        <f>SOFR3mo_PX[[#This Row],[Column1889]]</f>
        <v>#N/A N/A</v>
      </c>
      <c r="BTR27" t="str">
        <f>SOFR3mo_PX[[#This Row],[Column1890]]</f>
        <v>#N/A N/A</v>
      </c>
      <c r="BTS27" t="str">
        <f>SOFR3mo_PX[[#This Row],[Column1891]]</f>
        <v>#N/A N/A</v>
      </c>
      <c r="BTT27" t="str">
        <f>SOFR3mo_PX[[#This Row],[Column1892]]</f>
        <v>#N/A N/A</v>
      </c>
      <c r="BTU27" t="str">
        <f>SOFR3mo_PX[[#This Row],[Column1893]]</f>
        <v>#N/A N/A</v>
      </c>
      <c r="BTV27" t="str">
        <f>SOFR3mo_PX[[#This Row],[Column1894]]</f>
        <v>#N/A N/A</v>
      </c>
      <c r="BTW27" t="str">
        <f>SOFR3mo_PX[[#This Row],[Column1895]]</f>
        <v>#N/A N/A</v>
      </c>
      <c r="BTX27" t="str">
        <f>SOFR3mo_PX[[#This Row],[Column1896]]</f>
        <v>#N/A N/A</v>
      </c>
      <c r="BTY27" t="str">
        <f>SOFR3mo_PX[[#This Row],[Column1897]]</f>
        <v>#N/A N/A</v>
      </c>
      <c r="BTZ27" t="str">
        <f>SOFR3mo_PX[[#This Row],[Column1898]]</f>
        <v>#N/A N/A</v>
      </c>
      <c r="BUA27" t="str">
        <f>SOFR3mo_PX[[#This Row],[Column1899]]</f>
        <v>#N/A N/A</v>
      </c>
      <c r="BUB27" t="str">
        <f>SOFR3mo_PX[[#This Row],[Column1900]]</f>
        <v>#N/A N/A</v>
      </c>
      <c r="BUC27" t="str">
        <f>SOFR3mo_PX[[#This Row],[Column1901]]</f>
        <v>#N/A N/A</v>
      </c>
      <c r="BUD27" t="str">
        <f>SOFR3mo_PX[[#This Row],[Column1902]]</f>
        <v>#N/A N/A</v>
      </c>
      <c r="BUE27" t="str">
        <f>SOFR3mo_PX[[#This Row],[Column1903]]</f>
        <v>#N/A N/A</v>
      </c>
      <c r="BUF27" t="str">
        <f>SOFR3mo_PX[[#This Row],[Column1904]]</f>
        <v>#N/A N/A</v>
      </c>
      <c r="BUG27" t="str">
        <f>SOFR3mo_PX[[#This Row],[Column1905]]</f>
        <v>#N/A N/A</v>
      </c>
      <c r="BUH27" t="str">
        <f>SOFR3mo_PX[[#This Row],[Column1906]]</f>
        <v>#N/A N/A</v>
      </c>
      <c r="BUI27" t="str">
        <f>SOFR3mo_PX[[#This Row],[Column1907]]</f>
        <v>#N/A N/A</v>
      </c>
      <c r="BUJ27" t="str">
        <f>SOFR3mo_PX[[#This Row],[Column1908]]</f>
        <v>#N/A N/A</v>
      </c>
      <c r="BUK27" t="str">
        <f>SOFR3mo_PX[[#This Row],[Column1909]]</f>
        <v>#N/A N/A</v>
      </c>
      <c r="BUL27" t="str">
        <f>SOFR3mo_PX[[#This Row],[Column1910]]</f>
        <v>#N/A N/A</v>
      </c>
      <c r="BUM27" t="str">
        <f>SOFR3mo_PX[[#This Row],[Column1911]]</f>
        <v>#N/A N/A</v>
      </c>
      <c r="BUN27" t="str">
        <f>SOFR3mo_PX[[#This Row],[Column1912]]</f>
        <v>#N/A N/A</v>
      </c>
      <c r="BUO27" t="str">
        <f>SOFR3mo_PX[[#This Row],[Column1913]]</f>
        <v>#N/A N/A</v>
      </c>
      <c r="BUP27" t="str">
        <f>SOFR3mo_PX[[#This Row],[Column1914]]</f>
        <v>#N/A N/A</v>
      </c>
      <c r="BUQ27" t="str">
        <f>SOFR3mo_PX[[#This Row],[Column1915]]</f>
        <v>#N/A N/A</v>
      </c>
      <c r="BUR27" t="str">
        <f>SOFR3mo_PX[[#This Row],[Column1916]]</f>
        <v>#N/A N/A</v>
      </c>
      <c r="BUS27" t="str">
        <f>SOFR3mo_PX[[#This Row],[Column1917]]</f>
        <v>#N/A N/A</v>
      </c>
      <c r="BUT27" t="str">
        <f>SOFR3mo_PX[[#This Row],[Column1918]]</f>
        <v>#N/A N/A</v>
      </c>
      <c r="BUU27" t="str">
        <f>SOFR3mo_PX[[#This Row],[Column1919]]</f>
        <v>#N/A N/A</v>
      </c>
      <c r="BUV27" t="str">
        <f>SOFR3mo_PX[[#This Row],[Column1920]]</f>
        <v>#N/A N/A</v>
      </c>
      <c r="BUW27" t="str">
        <f>SOFR3mo_PX[[#This Row],[Column1921]]</f>
        <v>#N/A N/A</v>
      </c>
      <c r="BUX27" t="str">
        <f>SOFR3mo_PX[[#This Row],[Column1922]]</f>
        <v>#N/A N/A</v>
      </c>
      <c r="BUY27" t="str">
        <f>SOFR3mo_PX[[#This Row],[Column1923]]</f>
        <v>#N/A N/A</v>
      </c>
      <c r="BUZ27" t="str">
        <f>SOFR3mo_PX[[#This Row],[Column1924]]</f>
        <v>#N/A N/A</v>
      </c>
      <c r="BVA27" t="str">
        <f>SOFR3mo_PX[[#This Row],[Column1925]]</f>
        <v>#N/A N/A</v>
      </c>
      <c r="BVB27" t="str">
        <f>SOFR3mo_PX[[#This Row],[Column1926]]</f>
        <v>#N/A N/A</v>
      </c>
      <c r="BVC27" t="str">
        <f>SOFR3mo_PX[[#This Row],[Column1927]]</f>
        <v>#N/A N/A</v>
      </c>
      <c r="BVD27" t="str">
        <f>SOFR3mo_PX[[#This Row],[Column1928]]</f>
        <v>#N/A N/A</v>
      </c>
      <c r="BVE27" t="str">
        <f>SOFR3mo_PX[[#This Row],[Column1929]]</f>
        <v>#N/A N/A</v>
      </c>
      <c r="BVF27" t="str">
        <f>SOFR3mo_PX[[#This Row],[Column1930]]</f>
        <v>#N/A N/A</v>
      </c>
      <c r="BVG27" t="str">
        <f>SOFR3mo_PX[[#This Row],[Column1931]]</f>
        <v>#N/A N/A</v>
      </c>
      <c r="BVH27" t="str">
        <f>SOFR3mo_PX[[#This Row],[Column1932]]</f>
        <v>#N/A N/A</v>
      </c>
      <c r="BVI27" t="str">
        <f>SOFR3mo_PX[[#This Row],[Column1933]]</f>
        <v>#N/A N/A</v>
      </c>
      <c r="BVJ27" t="str">
        <f>SOFR3mo_PX[[#This Row],[Column1934]]</f>
        <v>#N/A N/A</v>
      </c>
      <c r="BVK27" t="str">
        <f>SOFR3mo_PX[[#This Row],[Column1935]]</f>
        <v>#N/A N/A</v>
      </c>
      <c r="BVL27" t="str">
        <f>SOFR3mo_PX[[#This Row],[Column1936]]</f>
        <v>#N/A N/A</v>
      </c>
      <c r="BVM27" t="str">
        <f>SOFR3mo_PX[[#This Row],[Column1937]]</f>
        <v>#N/A N/A</v>
      </c>
      <c r="BVN27" t="str">
        <f>SOFR3mo_PX[[#This Row],[Column1938]]</f>
        <v>#N/A N/A</v>
      </c>
      <c r="BVO27" t="str">
        <f>SOFR3mo_PX[[#This Row],[Column1939]]</f>
        <v>#N/A N/A</v>
      </c>
      <c r="BVP27" t="str">
        <f>SOFR3mo_PX[[#This Row],[Column1940]]</f>
        <v>#N/A N/A</v>
      </c>
      <c r="BVQ27" t="str">
        <f>SOFR3mo_PX[[#This Row],[Column1941]]</f>
        <v>#N/A N/A</v>
      </c>
      <c r="BVR27" t="str">
        <f>SOFR3mo_PX[[#This Row],[Column1942]]</f>
        <v>#N/A N/A</v>
      </c>
      <c r="BVS27" t="str">
        <f>SOFR3mo_PX[[#This Row],[Column1943]]</f>
        <v>#N/A N/A</v>
      </c>
      <c r="BVT27" t="str">
        <f>SOFR3mo_PX[[#This Row],[Column1944]]</f>
        <v>#N/A N/A</v>
      </c>
      <c r="BVU27" t="str">
        <f>SOFR3mo_PX[[#This Row],[Column1945]]</f>
        <v>#N/A N/A</v>
      </c>
      <c r="BVV27" t="str">
        <f>SOFR3mo_PX[[#This Row],[Column1946]]</f>
        <v>#N/A N/A</v>
      </c>
      <c r="BVW27" t="str">
        <f>SOFR3mo_PX[[#This Row],[Column1947]]</f>
        <v>#N/A N/A</v>
      </c>
      <c r="BVX27" t="str">
        <f>SOFR3mo_PX[[#This Row],[Column1948]]</f>
        <v>#N/A N/A</v>
      </c>
      <c r="BVY27" t="str">
        <f>SOFR3mo_PX[[#This Row],[Column1949]]</f>
        <v>#N/A N/A</v>
      </c>
      <c r="BVZ27" t="str">
        <f>SOFR3mo_PX[[#This Row],[Column1950]]</f>
        <v>#N/A N/A</v>
      </c>
      <c r="BWA27" t="str">
        <f>SOFR3mo_PX[[#This Row],[Column1951]]</f>
        <v>#N/A N/A</v>
      </c>
      <c r="BWB27" t="str">
        <f>SOFR3mo_PX[[#This Row],[Column1952]]</f>
        <v>#N/A N/A</v>
      </c>
      <c r="BWC27" t="str">
        <f>SOFR3mo_PX[[#This Row],[Column1953]]</f>
        <v>#N/A N/A</v>
      </c>
      <c r="BWD27" t="str">
        <f>SOFR3mo_PX[[#This Row],[Column1954]]</f>
        <v>#N/A N/A</v>
      </c>
    </row>
    <row r="28" spans="1:1954" x14ac:dyDescent="0.25">
      <c r="A28" t="str">
        <f>SOFR3mo_PX[[#This Row],[Column1]]</f>
        <v>SFR26 Comdty</v>
      </c>
      <c r="B28">
        <f>IF(rtd!B26&lt;&gt;"",rtd!B26,SOFR3mo_PX[[#This Row],[Column2]])</f>
        <v>95.825000000000003</v>
      </c>
      <c r="C28">
        <f>SOFR3mo_PX[[#This Row],[Column3]]</f>
        <v>95.825000000000003</v>
      </c>
      <c r="D28">
        <f>SOFR3mo_PX[[#This Row],[Column4]]</f>
        <v>95.825000000000003</v>
      </c>
      <c r="E28">
        <f>SOFR3mo_PX[[#This Row],[Column5]]</f>
        <v>95.88</v>
      </c>
      <c r="F28">
        <f>SOFR3mo_PX[[#This Row],[Column6]]</f>
        <v>95.825000000000003</v>
      </c>
      <c r="G28">
        <f>SOFR3mo_PX[[#This Row],[Column7]]</f>
        <v>95.864999999999995</v>
      </c>
      <c r="H28">
        <f>SOFR3mo_PX[[#This Row],[Column8]]</f>
        <v>95.915000000000006</v>
      </c>
      <c r="I28">
        <f>SOFR3mo_PX[[#This Row],[Column9]]</f>
        <v>95.855000000000004</v>
      </c>
      <c r="J28">
        <f>SOFR3mo_PX[[#This Row],[Column10]]</f>
        <v>95.805000000000007</v>
      </c>
      <c r="K28">
        <f>SOFR3mo_PX[[#This Row],[Column11]]</f>
        <v>95.79</v>
      </c>
      <c r="L28">
        <f>SOFR3mo_PX[[#This Row],[Column12]]</f>
        <v>95.784999999999997</v>
      </c>
      <c r="M28">
        <f>SOFR3mo_PX[[#This Row],[Column13]]</f>
        <v>95.89</v>
      </c>
      <c r="N28">
        <f>SOFR3mo_PX[[#This Row],[Column14]]</f>
        <v>95.905000000000001</v>
      </c>
      <c r="O28">
        <f>SOFR3mo_PX[[#This Row],[Column15]]</f>
        <v>95.814999999999998</v>
      </c>
      <c r="P28">
        <f>SOFR3mo_PX[[#This Row],[Column16]]</f>
        <v>95.81</v>
      </c>
      <c r="Q28">
        <f>SOFR3mo_PX[[#This Row],[Column17]]</f>
        <v>95.87</v>
      </c>
      <c r="R28">
        <f>SOFR3mo_PX[[#This Row],[Column18]]</f>
        <v>95.85</v>
      </c>
      <c r="S28">
        <f>SOFR3mo_PX[[#This Row],[Column19]]</f>
        <v>95.82</v>
      </c>
      <c r="T28">
        <f>SOFR3mo_PX[[#This Row],[Column20]]</f>
        <v>95.87</v>
      </c>
      <c r="U28">
        <f>SOFR3mo_PX[[#This Row],[Column21]]</f>
        <v>95.78</v>
      </c>
      <c r="V28">
        <f>SOFR3mo_PX[[#This Row],[Column22]]</f>
        <v>95.78</v>
      </c>
      <c r="W28">
        <f>SOFR3mo_PX[[#This Row],[Column23]]</f>
        <v>95.704999999999998</v>
      </c>
      <c r="X28">
        <f>SOFR3mo_PX[[#This Row],[Column24]]</f>
        <v>95.644999999999996</v>
      </c>
      <c r="Y28">
        <f>SOFR3mo_PX[[#This Row],[Column25]]</f>
        <v>95.75</v>
      </c>
      <c r="Z28">
        <f>SOFR3mo_PX[[#This Row],[Column26]]</f>
        <v>95.75</v>
      </c>
      <c r="AA28">
        <f>SOFR3mo_PX[[#This Row],[Column27]]</f>
        <v>95.79</v>
      </c>
      <c r="AB28">
        <f>SOFR3mo_PX[[#This Row],[Column28]]</f>
        <v>95.77</v>
      </c>
      <c r="AC28">
        <f>SOFR3mo_PX[[#This Row],[Column29]]</f>
        <v>95.7</v>
      </c>
      <c r="AD28">
        <f>SOFR3mo_PX[[#This Row],[Column30]]</f>
        <v>95.734999999999999</v>
      </c>
      <c r="AE28">
        <f>SOFR3mo_PX[[#This Row],[Column31]]</f>
        <v>95.784999999999997</v>
      </c>
      <c r="AF28">
        <f>SOFR3mo_PX[[#This Row],[Column32]]</f>
        <v>95.844999999999999</v>
      </c>
      <c r="AG28">
        <f>SOFR3mo_PX[[#This Row],[Column33]]</f>
        <v>95.844999999999999</v>
      </c>
      <c r="AH28">
        <f>SOFR3mo_PX[[#This Row],[Column34]]</f>
        <v>95.94</v>
      </c>
      <c r="AI28">
        <f>SOFR3mo_PX[[#This Row],[Column35]]</f>
        <v>95.89</v>
      </c>
      <c r="AJ28">
        <f>SOFR3mo_PX[[#This Row],[Column36]]</f>
        <v>95.875</v>
      </c>
      <c r="AK28">
        <f>SOFR3mo_PX[[#This Row],[Column37]]</f>
        <v>95.91</v>
      </c>
      <c r="AL28">
        <f>SOFR3mo_PX[[#This Row],[Column38]]</f>
        <v>95.96</v>
      </c>
      <c r="AM28">
        <f>SOFR3mo_PX[[#This Row],[Column39]]</f>
        <v>96.01</v>
      </c>
      <c r="AN28">
        <f>SOFR3mo_PX[[#This Row],[Column40]]</f>
        <v>95.99</v>
      </c>
      <c r="AO28">
        <f>SOFR3mo_PX[[#This Row],[Column41]]</f>
        <v>95.93</v>
      </c>
      <c r="AP28">
        <f>SOFR3mo_PX[[#This Row],[Column42]]</f>
        <v>95.88</v>
      </c>
      <c r="AQ28">
        <f>SOFR3mo_PX[[#This Row],[Column43]]</f>
        <v>95.82</v>
      </c>
      <c r="AR28">
        <f>SOFR3mo_PX[[#This Row],[Column44]]</f>
        <v>95.75</v>
      </c>
      <c r="AS28">
        <f>SOFR3mo_PX[[#This Row],[Column45]]</f>
        <v>95.724999999999994</v>
      </c>
      <c r="AT28">
        <f>SOFR3mo_PX[[#This Row],[Column46]]</f>
        <v>95.674999999999997</v>
      </c>
      <c r="AU28">
        <f>SOFR3mo_PX[[#This Row],[Column47]]</f>
        <v>95.814999999999998</v>
      </c>
      <c r="AV28">
        <f>SOFR3mo_PX[[#This Row],[Column48]]</f>
        <v>95.814999999999998</v>
      </c>
      <c r="AW28">
        <f>SOFR3mo_PX[[#This Row],[Column49]]</f>
        <v>95.89</v>
      </c>
      <c r="AX28">
        <f>SOFR3mo_PX[[#This Row],[Column50]]</f>
        <v>95.855000000000004</v>
      </c>
      <c r="AY28">
        <f>SOFR3mo_PX[[#This Row],[Column51]]</f>
        <v>95.83</v>
      </c>
      <c r="AZ28">
        <f>SOFR3mo_PX[[#This Row],[Column52]]</f>
        <v>95.724999999999994</v>
      </c>
      <c r="BA28">
        <f>SOFR3mo_PX[[#This Row],[Column53]]</f>
        <v>95.864999999999995</v>
      </c>
      <c r="BB28">
        <f>SOFR3mo_PX[[#This Row],[Column54]]</f>
        <v>95.834999999999994</v>
      </c>
      <c r="BC28">
        <f>SOFR3mo_PX[[#This Row],[Column55]]</f>
        <v>95.995000000000005</v>
      </c>
      <c r="BD28">
        <f>SOFR3mo_PX[[#This Row],[Column56]]</f>
        <v>96.075000000000003</v>
      </c>
      <c r="BE28">
        <f>SOFR3mo_PX[[#This Row],[Column57]]</f>
        <v>96.25</v>
      </c>
      <c r="BF28">
        <f>SOFR3mo_PX[[#This Row],[Column58]]</f>
        <v>96.17</v>
      </c>
      <c r="BG28">
        <f>SOFR3mo_PX[[#This Row],[Column59]]</f>
        <v>96.025000000000006</v>
      </c>
      <c r="BH28">
        <f>SOFR3mo_PX[[#This Row],[Column60]]</f>
        <v>96.084999999999994</v>
      </c>
      <c r="BI28">
        <f>SOFR3mo_PX[[#This Row],[Column61]]</f>
        <v>95.98</v>
      </c>
      <c r="BJ28">
        <f>SOFR3mo_PX[[#This Row],[Column62]]</f>
        <v>95.95</v>
      </c>
      <c r="BK28">
        <f>SOFR3mo_PX[[#This Row],[Column63]]</f>
        <v>95.83</v>
      </c>
      <c r="BL28">
        <f>SOFR3mo_PX[[#This Row],[Column64]]</f>
        <v>95.885000000000005</v>
      </c>
      <c r="BM28">
        <f>SOFR3mo_PX[[#This Row],[Column65]]</f>
        <v>95.91</v>
      </c>
      <c r="BN28">
        <f>SOFR3mo_PX[[#This Row],[Column66]]</f>
        <v>95.885000000000005</v>
      </c>
      <c r="BO28">
        <f>SOFR3mo_PX[[#This Row],[Column67]]</f>
        <v>95.965000000000003</v>
      </c>
      <c r="BP28">
        <f>SOFR3mo_PX[[#This Row],[Column68]]</f>
        <v>95.98</v>
      </c>
      <c r="BQ28">
        <f>SOFR3mo_PX[[#This Row],[Column69]]</f>
        <v>95.94</v>
      </c>
      <c r="BR28">
        <f>SOFR3mo_PX[[#This Row],[Column70]]</f>
        <v>95.96</v>
      </c>
      <c r="BS28">
        <f>SOFR3mo_PX[[#This Row],[Column71]]</f>
        <v>95.924999999999997</v>
      </c>
      <c r="BT28">
        <f>SOFR3mo_PX[[#This Row],[Column72]]</f>
        <v>95.9</v>
      </c>
      <c r="BU28">
        <f>SOFR3mo_PX[[#This Row],[Column73]]</f>
        <v>95.965000000000003</v>
      </c>
      <c r="BV28">
        <f>SOFR3mo_PX[[#This Row],[Column74]]</f>
        <v>95.935000000000002</v>
      </c>
      <c r="BW28">
        <f>SOFR3mo_PX[[#This Row],[Column75]]</f>
        <v>95.965000000000003</v>
      </c>
      <c r="BX28">
        <f>SOFR3mo_PX[[#This Row],[Column76]]</f>
        <v>96.06</v>
      </c>
      <c r="BY28">
        <f>SOFR3mo_PX[[#This Row],[Column77]]</f>
        <v>95.93</v>
      </c>
      <c r="BZ28">
        <f>SOFR3mo_PX[[#This Row],[Column78]]</f>
        <v>95.954999999999998</v>
      </c>
      <c r="CA28">
        <f>SOFR3mo_PX[[#This Row],[Column79]]</f>
        <v>95.98</v>
      </c>
      <c r="CB28">
        <f>SOFR3mo_PX[[#This Row],[Column80]]</f>
        <v>96.04</v>
      </c>
      <c r="CC28">
        <f>SOFR3mo_PX[[#This Row],[Column81]]</f>
        <v>96.084999999999994</v>
      </c>
      <c r="CD28">
        <f>SOFR3mo_PX[[#This Row],[Column82]]</f>
        <v>96.025000000000006</v>
      </c>
      <c r="CE28">
        <f>SOFR3mo_PX[[#This Row],[Column83]]</f>
        <v>95.965000000000003</v>
      </c>
      <c r="CF28">
        <f>SOFR3mo_PX[[#This Row],[Column84]]</f>
        <v>96.01</v>
      </c>
      <c r="CG28">
        <f>SOFR3mo_PX[[#This Row],[Column85]]</f>
        <v>95.94</v>
      </c>
      <c r="CH28">
        <f>SOFR3mo_PX[[#This Row],[Column86]]</f>
        <v>95.805000000000007</v>
      </c>
      <c r="CI28">
        <f>SOFR3mo_PX[[#This Row],[Column87]]</f>
        <v>95.78</v>
      </c>
      <c r="CJ28">
        <f>SOFR3mo_PX[[#This Row],[Column88]]</f>
        <v>95.7</v>
      </c>
      <c r="CK28">
        <f>SOFR3mo_PX[[#This Row],[Column89]]</f>
        <v>95.65</v>
      </c>
      <c r="CL28">
        <f>SOFR3mo_PX[[#This Row],[Column90]]</f>
        <v>95.65</v>
      </c>
      <c r="CM28">
        <f>SOFR3mo_PX[[#This Row],[Column91]]</f>
        <v>95.724999999999994</v>
      </c>
      <c r="CN28">
        <f>SOFR3mo_PX[[#This Row],[Column92]]</f>
        <v>95.724999999999994</v>
      </c>
      <c r="CO28">
        <f>SOFR3mo_PX[[#This Row],[Column93]]</f>
        <v>95.67</v>
      </c>
      <c r="CP28">
        <f>SOFR3mo_PX[[#This Row],[Column94]]</f>
        <v>95.555000000000007</v>
      </c>
      <c r="CQ28">
        <f>SOFR3mo_PX[[#This Row],[Column95]]</f>
        <v>95.69</v>
      </c>
      <c r="CR28">
        <f>SOFR3mo_PX[[#This Row],[Column96]]</f>
        <v>95.74</v>
      </c>
      <c r="CS28">
        <f>SOFR3mo_PX[[#This Row],[Column97]]</f>
        <v>95.74</v>
      </c>
      <c r="CT28">
        <f>SOFR3mo_PX[[#This Row],[Column98]]</f>
        <v>95.8</v>
      </c>
      <c r="CU28">
        <f>SOFR3mo_PX[[#This Row],[Column99]]</f>
        <v>95.85</v>
      </c>
      <c r="CV28">
        <f>SOFR3mo_PX[[#This Row],[Column100]]</f>
        <v>95.74</v>
      </c>
      <c r="CW28">
        <f>SOFR3mo_PX[[#This Row],[Column101]]</f>
        <v>95.715000000000003</v>
      </c>
      <c r="CX28">
        <f>SOFR3mo_PX[[#This Row],[Column102]]</f>
        <v>95.67</v>
      </c>
      <c r="CY28">
        <f>SOFR3mo_PX[[#This Row],[Column103]]</f>
        <v>95.74</v>
      </c>
      <c r="CZ28">
        <f>SOFR3mo_PX[[#This Row],[Column104]]</f>
        <v>95.694999999999993</v>
      </c>
      <c r="DA28">
        <f>SOFR3mo_PX[[#This Row],[Column105]]</f>
        <v>95.704999999999998</v>
      </c>
      <c r="DB28">
        <f>SOFR3mo_PX[[#This Row],[Column106]]</f>
        <v>95.73</v>
      </c>
      <c r="DC28">
        <f>SOFR3mo_PX[[#This Row],[Column107]]</f>
        <v>95.62</v>
      </c>
      <c r="DD28">
        <f>SOFR3mo_PX[[#This Row],[Column108]]</f>
        <v>95.62</v>
      </c>
      <c r="DE28">
        <f>SOFR3mo_PX[[#This Row],[Column109]]</f>
        <v>95.674999999999997</v>
      </c>
      <c r="DF28">
        <f>SOFR3mo_PX[[#This Row],[Column110]]</f>
        <v>95.704999999999998</v>
      </c>
      <c r="DG28">
        <f>SOFR3mo_PX[[#This Row],[Column111]]</f>
        <v>95.66</v>
      </c>
      <c r="DH28">
        <f>SOFR3mo_PX[[#This Row],[Column112]]</f>
        <v>95.66</v>
      </c>
      <c r="DI28">
        <f>SOFR3mo_PX[[#This Row],[Column113]]</f>
        <v>95.66</v>
      </c>
      <c r="DJ28">
        <f>SOFR3mo_PX[[#This Row],[Column114]]</f>
        <v>95.62</v>
      </c>
      <c r="DK28">
        <f>SOFR3mo_PX[[#This Row],[Column115]]</f>
        <v>95.474999999999994</v>
      </c>
      <c r="DL28">
        <f>SOFR3mo_PX[[#This Row],[Column116]]</f>
        <v>95.454999999999998</v>
      </c>
      <c r="DM28">
        <f>SOFR3mo_PX[[#This Row],[Column117]]</f>
        <v>95.495000000000005</v>
      </c>
      <c r="DN28">
        <f>SOFR3mo_PX[[#This Row],[Column118]]</f>
        <v>95.555000000000007</v>
      </c>
      <c r="DO28">
        <f>SOFR3mo_PX[[#This Row],[Column119]]</f>
        <v>95.54</v>
      </c>
      <c r="DP28">
        <f>SOFR3mo_PX[[#This Row],[Column120]]</f>
        <v>95.55</v>
      </c>
      <c r="DQ28">
        <f>SOFR3mo_PX[[#This Row],[Column121]]</f>
        <v>95.635000000000005</v>
      </c>
      <c r="DR28">
        <f>SOFR3mo_PX[[#This Row],[Column122]]</f>
        <v>95.69</v>
      </c>
      <c r="DS28">
        <f>SOFR3mo_PX[[#This Row],[Column123]]</f>
        <v>95.704999999999998</v>
      </c>
      <c r="DT28">
        <f>SOFR3mo_PX[[#This Row],[Column124]]</f>
        <v>95.7</v>
      </c>
      <c r="DU28">
        <f>SOFR3mo_PX[[#This Row],[Column125]]</f>
        <v>95.7</v>
      </c>
      <c r="DV28">
        <f>SOFR3mo_PX[[#This Row],[Column126]]</f>
        <v>95.74</v>
      </c>
      <c r="DW28">
        <f>SOFR3mo_PX[[#This Row],[Column127]]</f>
        <v>95.66</v>
      </c>
      <c r="DX28">
        <f>SOFR3mo_PX[[#This Row],[Column128]]</f>
        <v>95.72</v>
      </c>
      <c r="DY28">
        <f>SOFR3mo_PX[[#This Row],[Column129]]</f>
        <v>95.704999999999998</v>
      </c>
      <c r="DZ28">
        <f>SOFR3mo_PX[[#This Row],[Column130]]</f>
        <v>95.704999999999998</v>
      </c>
      <c r="EA28">
        <f>SOFR3mo_PX[[#This Row],[Column131]]</f>
        <v>95.68</v>
      </c>
      <c r="EB28">
        <f>SOFR3mo_PX[[#This Row],[Column132]]</f>
        <v>95.78</v>
      </c>
      <c r="EC28">
        <f>SOFR3mo_PX[[#This Row],[Column133]]</f>
        <v>95.71</v>
      </c>
      <c r="ED28">
        <f>SOFR3mo_PX[[#This Row],[Column134]]</f>
        <v>95.84</v>
      </c>
      <c r="EE28">
        <f>SOFR3mo_PX[[#This Row],[Column135]]</f>
        <v>95.98</v>
      </c>
      <c r="EF28">
        <f>SOFR3mo_PX[[#This Row],[Column136]]</f>
        <v>95.965000000000003</v>
      </c>
      <c r="EG28">
        <f>SOFR3mo_PX[[#This Row],[Column137]]</f>
        <v>95.97</v>
      </c>
      <c r="EH28">
        <f>SOFR3mo_PX[[#This Row],[Column138]]</f>
        <v>96.055000000000007</v>
      </c>
      <c r="EI28">
        <f>SOFR3mo_PX[[#This Row],[Column139]]</f>
        <v>96.12</v>
      </c>
      <c r="EJ28">
        <f>SOFR3mo_PX[[#This Row],[Column140]]</f>
        <v>96.18</v>
      </c>
      <c r="EK28">
        <f>SOFR3mo_PX[[#This Row],[Column141]]</f>
        <v>96.204999999999998</v>
      </c>
      <c r="EL28">
        <f>SOFR3mo_PX[[#This Row],[Column142]]</f>
        <v>96.245000000000005</v>
      </c>
      <c r="EM28">
        <f>SOFR3mo_PX[[#This Row],[Column143]]</f>
        <v>96.21</v>
      </c>
      <c r="EN28">
        <f>SOFR3mo_PX[[#This Row],[Column144]]</f>
        <v>96.194999999999993</v>
      </c>
      <c r="EO28">
        <f>SOFR3mo_PX[[#This Row],[Column145]]</f>
        <v>96.165000000000006</v>
      </c>
      <c r="EP28">
        <f>SOFR3mo_PX[[#This Row],[Column146]]</f>
        <v>96.2</v>
      </c>
      <c r="EQ28">
        <f>SOFR3mo_PX[[#This Row],[Column147]]</f>
        <v>96.2</v>
      </c>
      <c r="ER28">
        <f>SOFR3mo_PX[[#This Row],[Column148]]</f>
        <v>96.165000000000006</v>
      </c>
      <c r="ES28">
        <f>SOFR3mo_PX[[#This Row],[Column149]]</f>
        <v>96.165000000000006</v>
      </c>
      <c r="ET28">
        <f>SOFR3mo_PX[[#This Row],[Column150]]</f>
        <v>96.1</v>
      </c>
      <c r="EU28">
        <f>SOFR3mo_PX[[#This Row],[Column151]]</f>
        <v>96.165000000000006</v>
      </c>
      <c r="EV28">
        <f>SOFR3mo_PX[[#This Row],[Column152]]</f>
        <v>96.015000000000001</v>
      </c>
      <c r="EW28">
        <f>SOFR3mo_PX[[#This Row],[Column153]]</f>
        <v>95.98</v>
      </c>
      <c r="EX28">
        <f>SOFR3mo_PX[[#This Row],[Column154]]</f>
        <v>95.974999999999994</v>
      </c>
      <c r="EY28">
        <f>SOFR3mo_PX[[#This Row],[Column155]]</f>
        <v>96.004999999999995</v>
      </c>
      <c r="EZ28">
        <f>SOFR3mo_PX[[#This Row],[Column156]]</f>
        <v>95.97</v>
      </c>
      <c r="FA28">
        <f>SOFR3mo_PX[[#This Row],[Column157]]</f>
        <v>95.96</v>
      </c>
      <c r="FB28">
        <f>SOFR3mo_PX[[#This Row],[Column158]]</f>
        <v>95.965000000000003</v>
      </c>
      <c r="FC28">
        <f>SOFR3mo_PX[[#This Row],[Column159]]</f>
        <v>95.93</v>
      </c>
      <c r="FD28">
        <f>SOFR3mo_PX[[#This Row],[Column160]]</f>
        <v>95.954999999999998</v>
      </c>
      <c r="FE28">
        <f>SOFR3mo_PX[[#This Row],[Column161]]</f>
        <v>96.015000000000001</v>
      </c>
      <c r="FF28">
        <f>SOFR3mo_PX[[#This Row],[Column162]]</f>
        <v>96.064999999999998</v>
      </c>
      <c r="FG28">
        <f>SOFR3mo_PX[[#This Row],[Column163]]</f>
        <v>96.02</v>
      </c>
      <c r="FH28">
        <f>SOFR3mo_PX[[#This Row],[Column164]]</f>
        <v>95.915000000000006</v>
      </c>
      <c r="FI28">
        <f>SOFR3mo_PX[[#This Row],[Column165]]</f>
        <v>96.084999999999994</v>
      </c>
      <c r="FJ28">
        <f>SOFR3mo_PX[[#This Row],[Column166]]</f>
        <v>96.06</v>
      </c>
      <c r="FK28">
        <f>SOFR3mo_PX[[#This Row],[Column167]]</f>
        <v>95.995000000000005</v>
      </c>
      <c r="FL28">
        <f>SOFR3mo_PX[[#This Row],[Column168]]</f>
        <v>96.055000000000007</v>
      </c>
      <c r="FM28">
        <f>SOFR3mo_PX[[#This Row],[Column169]]</f>
        <v>96.064999999999998</v>
      </c>
      <c r="FN28">
        <f>SOFR3mo_PX[[#This Row],[Column170]]</f>
        <v>96.034999999999997</v>
      </c>
      <c r="FO28">
        <f>SOFR3mo_PX[[#This Row],[Column171]]</f>
        <v>96.03</v>
      </c>
      <c r="FP28">
        <f>SOFR3mo_PX[[#This Row],[Column172]]</f>
        <v>96.064999999999998</v>
      </c>
      <c r="FQ28">
        <f>SOFR3mo_PX[[#This Row],[Column173]]</f>
        <v>96.09</v>
      </c>
      <c r="FR28">
        <f>SOFR3mo_PX[[#This Row],[Column174]]</f>
        <v>96.04</v>
      </c>
      <c r="FS28">
        <f>SOFR3mo_PX[[#This Row],[Column175]]</f>
        <v>96.07</v>
      </c>
      <c r="FT28">
        <f>SOFR3mo_PX[[#This Row],[Column176]]</f>
        <v>96.094999999999999</v>
      </c>
      <c r="FU28">
        <f>SOFR3mo_PX[[#This Row],[Column177]]</f>
        <v>96.21</v>
      </c>
      <c r="FV28">
        <f>SOFR3mo_PX[[#This Row],[Column178]]</f>
        <v>96.194999999999993</v>
      </c>
      <c r="FW28">
        <f>SOFR3mo_PX[[#This Row],[Column179]]</f>
        <v>96.295000000000002</v>
      </c>
      <c r="FX28">
        <f>SOFR3mo_PX[[#This Row],[Column180]]</f>
        <v>96.275000000000006</v>
      </c>
      <c r="FY28">
        <f>SOFR3mo_PX[[#This Row],[Column181]]</f>
        <v>96.18</v>
      </c>
      <c r="FZ28">
        <f>SOFR3mo_PX[[#This Row],[Column182]]</f>
        <v>96.22</v>
      </c>
      <c r="GA28">
        <f>SOFR3mo_PX[[#This Row],[Column183]]</f>
        <v>96.21</v>
      </c>
      <c r="GB28">
        <f>SOFR3mo_PX[[#This Row],[Column184]]</f>
        <v>96.254999999999995</v>
      </c>
      <c r="GC28">
        <f>SOFR3mo_PX[[#This Row],[Column185]]</f>
        <v>96.28</v>
      </c>
      <c r="GD28">
        <f>SOFR3mo_PX[[#This Row],[Column186]]</f>
        <v>96.295000000000002</v>
      </c>
      <c r="GE28">
        <f>SOFR3mo_PX[[#This Row],[Column187]]</f>
        <v>96.33</v>
      </c>
      <c r="GF28">
        <f>SOFR3mo_PX[[#This Row],[Column188]]</f>
        <v>96.41</v>
      </c>
      <c r="GG28">
        <f>SOFR3mo_PX[[#This Row],[Column189]]</f>
        <v>96.48</v>
      </c>
      <c r="GH28">
        <f>SOFR3mo_PX[[#This Row],[Column190]]</f>
        <v>96.525000000000006</v>
      </c>
      <c r="GI28">
        <f>SOFR3mo_PX[[#This Row],[Column191]]</f>
        <v>96.454999999999998</v>
      </c>
      <c r="GJ28">
        <f>SOFR3mo_PX[[#This Row],[Column192]]</f>
        <v>96.495000000000005</v>
      </c>
      <c r="GK28">
        <f>SOFR3mo_PX[[#This Row],[Column193]]</f>
        <v>96.465000000000003</v>
      </c>
      <c r="GL28">
        <f>SOFR3mo_PX[[#This Row],[Column194]]</f>
        <v>96.444999999999993</v>
      </c>
      <c r="GM28">
        <f>SOFR3mo_PX[[#This Row],[Column195]]</f>
        <v>96.484999999999999</v>
      </c>
      <c r="GN28">
        <f>SOFR3mo_PX[[#This Row],[Column196]]</f>
        <v>96.49</v>
      </c>
      <c r="GO28">
        <f>SOFR3mo_PX[[#This Row],[Column197]]</f>
        <v>96.504999999999995</v>
      </c>
      <c r="GP28">
        <f>SOFR3mo_PX[[#This Row],[Column198]]</f>
        <v>96.484999999999999</v>
      </c>
      <c r="GQ28">
        <f>SOFR3mo_PX[[#This Row],[Column199]]</f>
        <v>96.56</v>
      </c>
      <c r="GR28">
        <f>SOFR3mo_PX[[#This Row],[Column200]]</f>
        <v>96.63</v>
      </c>
      <c r="GS28">
        <f>SOFR3mo_PX[[#This Row],[Column201]]</f>
        <v>96.62</v>
      </c>
      <c r="GT28">
        <f>SOFR3mo_PX[[#This Row],[Column202]]</f>
        <v>96.6</v>
      </c>
      <c r="GU28">
        <f>SOFR3mo_PX[[#This Row],[Column203]]</f>
        <v>96.59</v>
      </c>
      <c r="GV28">
        <f>SOFR3mo_PX[[#This Row],[Column204]]</f>
        <v>96.62</v>
      </c>
      <c r="GW28">
        <f>SOFR3mo_PX[[#This Row],[Column205]]</f>
        <v>96.625</v>
      </c>
      <c r="GX28">
        <f>SOFR3mo_PX[[#This Row],[Column206]]</f>
        <v>96.57</v>
      </c>
      <c r="GY28">
        <f>SOFR3mo_PX[[#This Row],[Column207]]</f>
        <v>96.545000000000002</v>
      </c>
      <c r="GZ28">
        <f>SOFR3mo_PX[[#This Row],[Column208]]</f>
        <v>96.56</v>
      </c>
      <c r="HA28">
        <f>SOFR3mo_PX[[#This Row],[Column209]]</f>
        <v>96.525000000000006</v>
      </c>
      <c r="HB28">
        <f>SOFR3mo_PX[[#This Row],[Column210]]</f>
        <v>96.474999999999994</v>
      </c>
      <c r="HC28">
        <f>SOFR3mo_PX[[#This Row],[Column211]]</f>
        <v>96.394999999999996</v>
      </c>
      <c r="HD28">
        <f>SOFR3mo_PX[[#This Row],[Column212]]</f>
        <v>96.394999999999996</v>
      </c>
      <c r="HE28">
        <f>SOFR3mo_PX[[#This Row],[Column213]]</f>
        <v>96.44</v>
      </c>
      <c r="HF28">
        <f>SOFR3mo_PX[[#This Row],[Column214]]</f>
        <v>96.454999999999998</v>
      </c>
      <c r="HG28">
        <f>SOFR3mo_PX[[#This Row],[Column215]]</f>
        <v>96.47</v>
      </c>
      <c r="HH28">
        <f>SOFR3mo_PX[[#This Row],[Column216]]</f>
        <v>96.49</v>
      </c>
      <c r="HI28">
        <f>SOFR3mo_PX[[#This Row],[Column217]]</f>
        <v>96.48</v>
      </c>
      <c r="HJ28">
        <f>SOFR3mo_PX[[#This Row],[Column218]]</f>
        <v>96.42</v>
      </c>
      <c r="HK28">
        <f>SOFR3mo_PX[[#This Row],[Column219]]</f>
        <v>96.495000000000005</v>
      </c>
      <c r="HL28">
        <f>SOFR3mo_PX[[#This Row],[Column220]]</f>
        <v>96.47</v>
      </c>
      <c r="HM28">
        <f>SOFR3mo_PX[[#This Row],[Column221]]</f>
        <v>96.42</v>
      </c>
      <c r="HN28">
        <f>SOFR3mo_PX[[#This Row],[Column222]]</f>
        <v>96.38</v>
      </c>
      <c r="HO28">
        <f>SOFR3mo_PX[[#This Row],[Column223]]</f>
        <v>96.34</v>
      </c>
      <c r="HP28">
        <f>SOFR3mo_PX[[#This Row],[Column224]]</f>
        <v>96.41</v>
      </c>
      <c r="HQ28">
        <f>SOFR3mo_PX[[#This Row],[Column225]]</f>
        <v>96.375</v>
      </c>
      <c r="HR28">
        <f>SOFR3mo_PX[[#This Row],[Column226]]</f>
        <v>96.344999999999999</v>
      </c>
      <c r="HS28">
        <f>SOFR3mo_PX[[#This Row],[Column227]]</f>
        <v>96.305000000000007</v>
      </c>
      <c r="HT28">
        <f>SOFR3mo_PX[[#This Row],[Column228]]</f>
        <v>96.224999999999994</v>
      </c>
      <c r="HU28">
        <f>SOFR3mo_PX[[#This Row],[Column229]]</f>
        <v>96.234999999999999</v>
      </c>
      <c r="HV28">
        <f>SOFR3mo_PX[[#This Row],[Column230]]</f>
        <v>96.325000000000003</v>
      </c>
      <c r="HW28">
        <f>SOFR3mo_PX[[#This Row],[Column231]]</f>
        <v>96.424999999999997</v>
      </c>
      <c r="HX28">
        <f>SOFR3mo_PX[[#This Row],[Column232]]</f>
        <v>96.435000000000002</v>
      </c>
      <c r="HY28">
        <f>SOFR3mo_PX[[#This Row],[Column233]]</f>
        <v>96.31</v>
      </c>
      <c r="HZ28">
        <f>SOFR3mo_PX[[#This Row],[Column234]]</f>
        <v>96.21</v>
      </c>
      <c r="IA28">
        <f>SOFR3mo_PX[[#This Row],[Column235]]</f>
        <v>96.174999999999997</v>
      </c>
      <c r="IB28">
        <f>SOFR3mo_PX[[#This Row],[Column236]]</f>
        <v>96.14</v>
      </c>
      <c r="IC28">
        <f>SOFR3mo_PX[[#This Row],[Column237]]</f>
        <v>96.114999999999995</v>
      </c>
      <c r="ID28">
        <f>SOFR3mo_PX[[#This Row],[Column238]]</f>
        <v>96.075000000000003</v>
      </c>
      <c r="IE28">
        <f>SOFR3mo_PX[[#This Row],[Column239]]</f>
        <v>96.03</v>
      </c>
      <c r="IF28">
        <f>SOFR3mo_PX[[#This Row],[Column240]]</f>
        <v>96.105000000000004</v>
      </c>
      <c r="IG28">
        <f>SOFR3mo_PX[[#This Row],[Column241]]</f>
        <v>96.09</v>
      </c>
      <c r="IH28">
        <f>SOFR3mo_PX[[#This Row],[Column242]]</f>
        <v>96.1</v>
      </c>
      <c r="II28">
        <f>SOFR3mo_PX[[#This Row],[Column243]]</f>
        <v>96.15</v>
      </c>
      <c r="IJ28">
        <f>SOFR3mo_PX[[#This Row],[Column244]]</f>
        <v>96.204999999999998</v>
      </c>
      <c r="IK28">
        <f>SOFR3mo_PX[[#This Row],[Column245]]</f>
        <v>96.18</v>
      </c>
      <c r="IL28">
        <f>SOFR3mo_PX[[#This Row],[Column246]]</f>
        <v>96.105000000000004</v>
      </c>
      <c r="IM28">
        <f>SOFR3mo_PX[[#This Row],[Column247]]</f>
        <v>96.15</v>
      </c>
      <c r="IN28">
        <f>SOFR3mo_PX[[#This Row],[Column248]]</f>
        <v>96.17</v>
      </c>
      <c r="IO28">
        <f>SOFR3mo_PX[[#This Row],[Column249]]</f>
        <v>96.084999999999994</v>
      </c>
      <c r="IP28">
        <f>SOFR3mo_PX[[#This Row],[Column250]]</f>
        <v>96.055000000000007</v>
      </c>
      <c r="IQ28">
        <f>SOFR3mo_PX[[#This Row],[Column251]]</f>
        <v>96.094999999999999</v>
      </c>
      <c r="IR28">
        <f>SOFR3mo_PX[[#This Row],[Column252]]</f>
        <v>96.09</v>
      </c>
      <c r="IS28">
        <f>SOFR3mo_PX[[#This Row],[Column253]]</f>
        <v>96.025000000000006</v>
      </c>
      <c r="IT28">
        <f>SOFR3mo_PX[[#This Row],[Column254]]</f>
        <v>96.025000000000006</v>
      </c>
      <c r="IU28">
        <f>SOFR3mo_PX[[#This Row],[Column255]]</f>
        <v>95.92</v>
      </c>
      <c r="IV28">
        <f>SOFR3mo_PX[[#This Row],[Column256]]</f>
        <v>95.885000000000005</v>
      </c>
      <c r="IW28">
        <f>SOFR3mo_PX[[#This Row],[Column257]]</f>
        <v>96.045000000000002</v>
      </c>
      <c r="IX28">
        <f>SOFR3mo_PX[[#This Row],[Column258]]</f>
        <v>96.11</v>
      </c>
      <c r="IY28">
        <f>SOFR3mo_PX[[#This Row],[Column259]]</f>
        <v>96.075000000000003</v>
      </c>
      <c r="IZ28">
        <f>SOFR3mo_PX[[#This Row],[Column260]]</f>
        <v>96.165000000000006</v>
      </c>
      <c r="JA28">
        <f>SOFR3mo_PX[[#This Row],[Column261]]</f>
        <v>96.155000000000001</v>
      </c>
      <c r="JB28">
        <f>SOFR3mo_PX[[#This Row],[Column262]]</f>
        <v>96.13</v>
      </c>
      <c r="JC28">
        <f>SOFR3mo_PX[[#This Row],[Column263]]</f>
        <v>96.14</v>
      </c>
      <c r="JD28">
        <f>SOFR3mo_PX[[#This Row],[Column264]]</f>
        <v>96.204999999999998</v>
      </c>
      <c r="JE28">
        <f>SOFR3mo_PX[[#This Row],[Column265]]</f>
        <v>96.204999999999998</v>
      </c>
      <c r="JF28">
        <f>SOFR3mo_PX[[#This Row],[Column266]]</f>
        <v>96.144999999999996</v>
      </c>
      <c r="JG28">
        <f>SOFR3mo_PX[[#This Row],[Column267]]</f>
        <v>96.224999999999994</v>
      </c>
      <c r="JH28">
        <f>SOFR3mo_PX[[#This Row],[Column268]]</f>
        <v>96.16</v>
      </c>
      <c r="JI28">
        <f>SOFR3mo_PX[[#This Row],[Column269]]</f>
        <v>96.105000000000004</v>
      </c>
      <c r="JJ28">
        <f>SOFR3mo_PX[[#This Row],[Column270]]</f>
        <v>95.99</v>
      </c>
      <c r="JK28">
        <f>SOFR3mo_PX[[#This Row],[Column271]]</f>
        <v>95.91</v>
      </c>
      <c r="JL28">
        <f>SOFR3mo_PX[[#This Row],[Column272]]</f>
        <v>95.954999999999998</v>
      </c>
      <c r="JM28">
        <f>SOFR3mo_PX[[#This Row],[Column273]]</f>
        <v>96.105000000000004</v>
      </c>
      <c r="JN28">
        <f>SOFR3mo_PX[[#This Row],[Column274]]</f>
        <v>96.105000000000004</v>
      </c>
      <c r="JO28">
        <f>SOFR3mo_PX[[#This Row],[Column275]]</f>
        <v>96.07</v>
      </c>
      <c r="JP28">
        <f>SOFR3mo_PX[[#This Row],[Column276]]</f>
        <v>95.99</v>
      </c>
      <c r="JQ28">
        <f>SOFR3mo_PX[[#This Row],[Column277]]</f>
        <v>95.864999999999995</v>
      </c>
      <c r="JR28">
        <f>SOFR3mo_PX[[#This Row],[Column278]]</f>
        <v>95.84</v>
      </c>
      <c r="JS28">
        <f>SOFR3mo_PX[[#This Row],[Column279]]</f>
        <v>95.78</v>
      </c>
      <c r="JT28">
        <f>SOFR3mo_PX[[#This Row],[Column280]]</f>
        <v>95.885000000000005</v>
      </c>
      <c r="JU28">
        <f>SOFR3mo_PX[[#This Row],[Column281]]</f>
        <v>95.96</v>
      </c>
      <c r="JV28">
        <f>SOFR3mo_PX[[#This Row],[Column282]]</f>
        <v>95.96</v>
      </c>
      <c r="JW28">
        <f>SOFR3mo_PX[[#This Row],[Column283]]</f>
        <v>95.94</v>
      </c>
      <c r="JX28">
        <f>SOFR3mo_PX[[#This Row],[Column284]]</f>
        <v>95.94</v>
      </c>
      <c r="JY28">
        <f>SOFR3mo_PX[[#This Row],[Column285]]</f>
        <v>95.944999999999993</v>
      </c>
      <c r="JZ28">
        <f>SOFR3mo_PX[[#This Row],[Column286]]</f>
        <v>95.915000000000006</v>
      </c>
      <c r="KA28">
        <f>SOFR3mo_PX[[#This Row],[Column287]]</f>
        <v>95.935000000000002</v>
      </c>
      <c r="KB28">
        <f>SOFR3mo_PX[[#This Row],[Column288]]</f>
        <v>95.98</v>
      </c>
      <c r="KC28">
        <f>SOFR3mo_PX[[#This Row],[Column289]]</f>
        <v>95.984999999999999</v>
      </c>
      <c r="KD28">
        <f>SOFR3mo_PX[[#This Row],[Column290]]</f>
        <v>95.915000000000006</v>
      </c>
      <c r="KE28">
        <f>SOFR3mo_PX[[#This Row],[Column291]]</f>
        <v>95.88</v>
      </c>
      <c r="KF28">
        <f>SOFR3mo_PX[[#This Row],[Column292]]</f>
        <v>95.855000000000004</v>
      </c>
      <c r="KG28">
        <f>SOFR3mo_PX[[#This Row],[Column293]]</f>
        <v>95.91</v>
      </c>
      <c r="KH28">
        <f>SOFR3mo_PX[[#This Row],[Column294]]</f>
        <v>95.88</v>
      </c>
      <c r="KI28">
        <f>SOFR3mo_PX[[#This Row],[Column295]]</f>
        <v>95.92</v>
      </c>
      <c r="KJ28">
        <f>SOFR3mo_PX[[#This Row],[Column296]]</f>
        <v>95.875</v>
      </c>
      <c r="KK28">
        <f>SOFR3mo_PX[[#This Row],[Column297]]</f>
        <v>95.855000000000004</v>
      </c>
      <c r="KL28">
        <f>SOFR3mo_PX[[#This Row],[Column298]]</f>
        <v>95.78</v>
      </c>
      <c r="KM28">
        <f>SOFR3mo_PX[[#This Row],[Column299]]</f>
        <v>95.765000000000001</v>
      </c>
      <c r="KN28">
        <f>SOFR3mo_PX[[#This Row],[Column300]]</f>
        <v>95.7</v>
      </c>
      <c r="KO28">
        <f>SOFR3mo_PX[[#This Row],[Column301]]</f>
        <v>95.77</v>
      </c>
      <c r="KP28">
        <f>SOFR3mo_PX[[#This Row],[Column302]]</f>
        <v>95.69</v>
      </c>
      <c r="KQ28">
        <f>SOFR3mo_PX[[#This Row],[Column303]]</f>
        <v>95.65</v>
      </c>
      <c r="KR28">
        <f>SOFR3mo_PX[[#This Row],[Column304]]</f>
        <v>95.71</v>
      </c>
      <c r="KS28">
        <f>SOFR3mo_PX[[#This Row],[Column305]]</f>
        <v>95.784999999999997</v>
      </c>
      <c r="KT28">
        <f>SOFR3mo_PX[[#This Row],[Column306]]</f>
        <v>95.765000000000001</v>
      </c>
      <c r="KU28">
        <f>SOFR3mo_PX[[#This Row],[Column307]]</f>
        <v>95.78</v>
      </c>
      <c r="KV28">
        <f>SOFR3mo_PX[[#This Row],[Column308]]</f>
        <v>95.745000000000005</v>
      </c>
      <c r="KW28">
        <f>SOFR3mo_PX[[#This Row],[Column309]]</f>
        <v>95.805000000000007</v>
      </c>
      <c r="KX28">
        <f>SOFR3mo_PX[[#This Row],[Column310]]</f>
        <v>95.73</v>
      </c>
      <c r="KY28">
        <f>SOFR3mo_PX[[#This Row],[Column311]]</f>
        <v>95.765000000000001</v>
      </c>
      <c r="KZ28">
        <f>SOFR3mo_PX[[#This Row],[Column312]]</f>
        <v>95.905000000000001</v>
      </c>
      <c r="LA28">
        <f>SOFR3mo_PX[[#This Row],[Column313]]</f>
        <v>95.814999999999998</v>
      </c>
      <c r="LB28">
        <f>SOFR3mo_PX[[#This Row],[Column314]]</f>
        <v>95.844999999999999</v>
      </c>
      <c r="LC28">
        <f>SOFR3mo_PX[[#This Row],[Column315]]</f>
        <v>95.99</v>
      </c>
      <c r="LD28">
        <f>SOFR3mo_PX[[#This Row],[Column316]]</f>
        <v>95.93</v>
      </c>
      <c r="LE28">
        <f>SOFR3mo_PX[[#This Row],[Column317]]</f>
        <v>95.974999999999994</v>
      </c>
      <c r="LF28">
        <f>SOFR3mo_PX[[#This Row],[Column318]]</f>
        <v>96.025000000000006</v>
      </c>
      <c r="LG28">
        <f>SOFR3mo_PX[[#This Row],[Column319]]</f>
        <v>95.974999999999994</v>
      </c>
      <c r="LH28">
        <f>SOFR3mo_PX[[#This Row],[Column320]]</f>
        <v>95.965000000000003</v>
      </c>
      <c r="LI28">
        <f>SOFR3mo_PX[[#This Row],[Column321]]</f>
        <v>96.01</v>
      </c>
      <c r="LJ28">
        <f>SOFR3mo_PX[[#This Row],[Column322]]</f>
        <v>96.14</v>
      </c>
      <c r="LK28">
        <f>SOFR3mo_PX[[#This Row],[Column323]]</f>
        <v>96.14</v>
      </c>
      <c r="LL28">
        <f>SOFR3mo_PX[[#This Row],[Column324]]</f>
        <v>96.105000000000004</v>
      </c>
      <c r="LM28">
        <f>SOFR3mo_PX[[#This Row],[Column325]]</f>
        <v>96.07</v>
      </c>
      <c r="LN28">
        <f>SOFR3mo_PX[[#This Row],[Column326]]</f>
        <v>96.04</v>
      </c>
      <c r="LO28">
        <f>SOFR3mo_PX[[#This Row],[Column327]]</f>
        <v>96.075000000000003</v>
      </c>
      <c r="LP28">
        <f>SOFR3mo_PX[[#This Row],[Column328]]</f>
        <v>96.015000000000001</v>
      </c>
      <c r="LQ28">
        <f>SOFR3mo_PX[[#This Row],[Column329]]</f>
        <v>96.02</v>
      </c>
      <c r="LR28">
        <f>SOFR3mo_PX[[#This Row],[Column330]]</f>
        <v>96.064999999999998</v>
      </c>
      <c r="LS28">
        <f>SOFR3mo_PX[[#This Row],[Column331]]</f>
        <v>96.034999999999997</v>
      </c>
      <c r="LT28">
        <f>SOFR3mo_PX[[#This Row],[Column332]]</f>
        <v>96.075000000000003</v>
      </c>
      <c r="LU28">
        <f>SOFR3mo_PX[[#This Row],[Column333]]</f>
        <v>96.06</v>
      </c>
      <c r="LV28">
        <f>SOFR3mo_PX[[#This Row],[Column334]]</f>
        <v>96.17</v>
      </c>
      <c r="LW28">
        <f>SOFR3mo_PX[[#This Row],[Column335]]</f>
        <v>96.185000000000002</v>
      </c>
      <c r="LX28">
        <f>SOFR3mo_PX[[#This Row],[Column336]]</f>
        <v>96.234999999999999</v>
      </c>
      <c r="LY28">
        <f>SOFR3mo_PX[[#This Row],[Column337]]</f>
        <v>96.23</v>
      </c>
      <c r="LZ28">
        <f>SOFR3mo_PX[[#This Row],[Column338]]</f>
        <v>96.25</v>
      </c>
      <c r="MA28">
        <f>SOFR3mo_PX[[#This Row],[Column339]]</f>
        <v>96.245000000000005</v>
      </c>
      <c r="MB28">
        <f>SOFR3mo_PX[[#This Row],[Column340]]</f>
        <v>96.204999999999998</v>
      </c>
      <c r="MC28">
        <f>SOFR3mo_PX[[#This Row],[Column341]]</f>
        <v>96.114999999999995</v>
      </c>
      <c r="MD28">
        <f>SOFR3mo_PX[[#This Row],[Column342]]</f>
        <v>96.14</v>
      </c>
      <c r="ME28">
        <f>SOFR3mo_PX[[#This Row],[Column343]]</f>
        <v>96.094999999999999</v>
      </c>
      <c r="MF28">
        <f>SOFR3mo_PX[[#This Row],[Column344]]</f>
        <v>96.084999999999994</v>
      </c>
      <c r="MG28">
        <f>SOFR3mo_PX[[#This Row],[Column345]]</f>
        <v>96.09</v>
      </c>
      <c r="MH28">
        <f>SOFR3mo_PX[[#This Row],[Column346]]</f>
        <v>96.11</v>
      </c>
      <c r="MI28">
        <f>SOFR3mo_PX[[#This Row],[Column347]]</f>
        <v>96.12</v>
      </c>
      <c r="MJ28">
        <f>SOFR3mo_PX[[#This Row],[Column348]]</f>
        <v>96.025000000000006</v>
      </c>
      <c r="MK28">
        <f>SOFR3mo_PX[[#This Row],[Column349]]</f>
        <v>95.995000000000005</v>
      </c>
      <c r="ML28">
        <f>SOFR3mo_PX[[#This Row],[Column350]]</f>
        <v>96.04</v>
      </c>
      <c r="MM28">
        <f>SOFR3mo_PX[[#This Row],[Column351]]</f>
        <v>96.015000000000001</v>
      </c>
      <c r="MN28">
        <f>SOFR3mo_PX[[#This Row],[Column352]]</f>
        <v>96.015000000000001</v>
      </c>
      <c r="MO28">
        <f>SOFR3mo_PX[[#This Row],[Column353]]</f>
        <v>96.055000000000007</v>
      </c>
      <c r="MP28">
        <f>SOFR3mo_PX[[#This Row],[Column354]]</f>
        <v>96.03</v>
      </c>
      <c r="MQ28">
        <f>SOFR3mo_PX[[#This Row],[Column355]]</f>
        <v>95.99</v>
      </c>
      <c r="MR28">
        <f>SOFR3mo_PX[[#This Row],[Column356]]</f>
        <v>96.09</v>
      </c>
      <c r="MS28">
        <f>SOFR3mo_PX[[#This Row],[Column357]]</f>
        <v>96.07</v>
      </c>
      <c r="MT28">
        <f>SOFR3mo_PX[[#This Row],[Column358]]</f>
        <v>96.084999999999994</v>
      </c>
      <c r="MU28">
        <f>SOFR3mo_PX[[#This Row],[Column359]]</f>
        <v>96.17</v>
      </c>
      <c r="MV28">
        <f>SOFR3mo_PX[[#This Row],[Column360]]</f>
        <v>96.185000000000002</v>
      </c>
      <c r="MW28">
        <f>SOFR3mo_PX[[#This Row],[Column361]]</f>
        <v>96.094999999999999</v>
      </c>
      <c r="MX28">
        <f>SOFR3mo_PX[[#This Row],[Column362]]</f>
        <v>96.224999999999994</v>
      </c>
      <c r="MY28">
        <f>SOFR3mo_PX[[#This Row],[Column363]]</f>
        <v>96.385000000000005</v>
      </c>
      <c r="MZ28">
        <f>SOFR3mo_PX[[#This Row],[Column364]]</f>
        <v>96.265000000000001</v>
      </c>
      <c r="NA28">
        <f>SOFR3mo_PX[[#This Row],[Column365]]</f>
        <v>96.18</v>
      </c>
      <c r="NB28">
        <f>SOFR3mo_PX[[#This Row],[Column366]]</f>
        <v>96.11</v>
      </c>
      <c r="NC28">
        <f>SOFR3mo_PX[[#This Row],[Column367]]</f>
        <v>96.04</v>
      </c>
      <c r="ND28">
        <f>SOFR3mo_PX[[#This Row],[Column368]]</f>
        <v>96.07</v>
      </c>
      <c r="NE28">
        <f>SOFR3mo_PX[[#This Row],[Column369]]</f>
        <v>96.04</v>
      </c>
      <c r="NF28">
        <f>SOFR3mo_PX[[#This Row],[Column370]]</f>
        <v>96.084999999999994</v>
      </c>
      <c r="NG28">
        <f>SOFR3mo_PX[[#This Row],[Column371]]</f>
        <v>96.14</v>
      </c>
      <c r="NH28">
        <f>SOFR3mo_PX[[#This Row],[Column372]]</f>
        <v>96.084999999999994</v>
      </c>
      <c r="NI28">
        <f>SOFR3mo_PX[[#This Row],[Column373]]</f>
        <v>96.075000000000003</v>
      </c>
      <c r="NJ28">
        <f>SOFR3mo_PX[[#This Row],[Column374]]</f>
        <v>96.114999999999995</v>
      </c>
      <c r="NK28">
        <f>SOFR3mo_PX[[#This Row],[Column375]]</f>
        <v>96.13</v>
      </c>
      <c r="NL28">
        <f>SOFR3mo_PX[[#This Row],[Column376]]</f>
        <v>96.254999999999995</v>
      </c>
      <c r="NM28">
        <f>SOFR3mo_PX[[#This Row],[Column377]]</f>
        <v>96.254999999999995</v>
      </c>
      <c r="NN28">
        <f>SOFR3mo_PX[[#This Row],[Column378]]</f>
        <v>96.265000000000001</v>
      </c>
      <c r="NO28">
        <f>SOFR3mo_PX[[#This Row],[Column379]]</f>
        <v>96.224999999999994</v>
      </c>
      <c r="NP28">
        <f>SOFR3mo_PX[[#This Row],[Column380]]</f>
        <v>96.234999999999999</v>
      </c>
      <c r="NQ28">
        <f>SOFR3mo_PX[[#This Row],[Column381]]</f>
        <v>96.24</v>
      </c>
      <c r="NR28">
        <f>SOFR3mo_PX[[#This Row],[Column382]]</f>
        <v>96.23</v>
      </c>
      <c r="NS28">
        <f>SOFR3mo_PX[[#This Row],[Column383]]</f>
        <v>96.284999999999997</v>
      </c>
      <c r="NT28">
        <f>SOFR3mo_PX[[#This Row],[Column384]]</f>
        <v>96.375</v>
      </c>
      <c r="NU28">
        <f>SOFR3mo_PX[[#This Row],[Column385]]</f>
        <v>96.33</v>
      </c>
      <c r="NV28">
        <f>SOFR3mo_PX[[#This Row],[Column386]]</f>
        <v>96.38</v>
      </c>
      <c r="NW28">
        <f>SOFR3mo_PX[[#This Row],[Column387]]</f>
        <v>96.38</v>
      </c>
      <c r="NX28">
        <f>SOFR3mo_PX[[#This Row],[Column388]]</f>
        <v>96.405000000000001</v>
      </c>
      <c r="NY28">
        <f>SOFR3mo_PX[[#This Row],[Column389]]</f>
        <v>96.48</v>
      </c>
      <c r="NZ28">
        <f>SOFR3mo_PX[[#This Row],[Column390]]</f>
        <v>96.375</v>
      </c>
      <c r="OA28">
        <f>SOFR3mo_PX[[#This Row],[Column391]]</f>
        <v>96.36</v>
      </c>
      <c r="OB28">
        <f>SOFR3mo_PX[[#This Row],[Column392]]</f>
        <v>96.36</v>
      </c>
      <c r="OC28">
        <f>SOFR3mo_PX[[#This Row],[Column393]]</f>
        <v>96.394999999999996</v>
      </c>
      <c r="OD28">
        <f>SOFR3mo_PX[[#This Row],[Column394]]</f>
        <v>96.43</v>
      </c>
      <c r="OE28">
        <f>SOFR3mo_PX[[#This Row],[Column395]]</f>
        <v>96.41</v>
      </c>
      <c r="OF28">
        <f>SOFR3mo_PX[[#This Row],[Column396]]</f>
        <v>96.375</v>
      </c>
      <c r="OG28">
        <f>SOFR3mo_PX[[#This Row],[Column397]]</f>
        <v>96.41</v>
      </c>
      <c r="OH28">
        <f>SOFR3mo_PX[[#This Row],[Column398]]</f>
        <v>96.385000000000005</v>
      </c>
      <c r="OI28">
        <f>SOFR3mo_PX[[#This Row],[Column399]]</f>
        <v>96.284999999999997</v>
      </c>
      <c r="OJ28">
        <f>SOFR3mo_PX[[#This Row],[Column400]]</f>
        <v>96.135000000000005</v>
      </c>
      <c r="OK28">
        <f>SOFR3mo_PX[[#This Row],[Column401]]</f>
        <v>96.08</v>
      </c>
      <c r="OL28">
        <f>SOFR3mo_PX[[#This Row],[Column402]]</f>
        <v>96.075000000000003</v>
      </c>
      <c r="OM28">
        <f>SOFR3mo_PX[[#This Row],[Column403]]</f>
        <v>96.185000000000002</v>
      </c>
      <c r="ON28">
        <f>SOFR3mo_PX[[#This Row],[Column404]]</f>
        <v>96.18</v>
      </c>
      <c r="OO28">
        <f>SOFR3mo_PX[[#This Row],[Column405]]</f>
        <v>96.114999999999995</v>
      </c>
      <c r="OP28">
        <f>SOFR3mo_PX[[#This Row],[Column406]]</f>
        <v>95.98</v>
      </c>
      <c r="OQ28">
        <f>SOFR3mo_PX[[#This Row],[Column407]]</f>
        <v>96.01</v>
      </c>
      <c r="OR28">
        <f>SOFR3mo_PX[[#This Row],[Column408]]</f>
        <v>95.894999999999996</v>
      </c>
      <c r="OS28">
        <f>SOFR3mo_PX[[#This Row],[Column409]]</f>
        <v>95.98</v>
      </c>
      <c r="OT28">
        <f>SOFR3mo_PX[[#This Row],[Column410]]</f>
        <v>95.905000000000001</v>
      </c>
      <c r="OU28">
        <f>SOFR3mo_PX[[#This Row],[Column411]]</f>
        <v>95.9</v>
      </c>
      <c r="OV28">
        <f>SOFR3mo_PX[[#This Row],[Column412]]</f>
        <v>95.784999999999997</v>
      </c>
      <c r="OW28">
        <f>SOFR3mo_PX[[#This Row],[Column413]]</f>
        <v>95.855000000000004</v>
      </c>
      <c r="OX28">
        <f>SOFR3mo_PX[[#This Row],[Column414]]</f>
        <v>95.855000000000004</v>
      </c>
      <c r="OY28">
        <f>SOFR3mo_PX[[#This Row],[Column415]]</f>
        <v>95.844999999999999</v>
      </c>
      <c r="OZ28">
        <f>SOFR3mo_PX[[#This Row],[Column416]]</f>
        <v>95.864999999999995</v>
      </c>
      <c r="PA28">
        <f>SOFR3mo_PX[[#This Row],[Column417]]</f>
        <v>95.82</v>
      </c>
      <c r="PB28">
        <f>SOFR3mo_PX[[#This Row],[Column418]]</f>
        <v>95.8</v>
      </c>
      <c r="PC28">
        <f>SOFR3mo_PX[[#This Row],[Column419]]</f>
        <v>95.704999999999998</v>
      </c>
      <c r="PD28">
        <f>SOFR3mo_PX[[#This Row],[Column420]]</f>
        <v>95.79</v>
      </c>
      <c r="PE28">
        <f>SOFR3mo_PX[[#This Row],[Column421]]</f>
        <v>95.62</v>
      </c>
      <c r="PF28">
        <f>SOFR3mo_PX[[#This Row],[Column422]]</f>
        <v>95.614999999999995</v>
      </c>
      <c r="PG28">
        <f>SOFR3mo_PX[[#This Row],[Column423]]</f>
        <v>95.6</v>
      </c>
      <c r="PH28">
        <f>SOFR3mo_PX[[#This Row],[Column424]]</f>
        <v>95.73</v>
      </c>
      <c r="PI28">
        <f>SOFR3mo_PX[[#This Row],[Column425]]</f>
        <v>95.644999999999996</v>
      </c>
      <c r="PJ28">
        <f>SOFR3mo_PX[[#This Row],[Column426]]</f>
        <v>95.53</v>
      </c>
      <c r="PK28">
        <f>SOFR3mo_PX[[#This Row],[Column427]]</f>
        <v>95.64</v>
      </c>
      <c r="PL28">
        <f>SOFR3mo_PX[[#This Row],[Column428]]</f>
        <v>95.52</v>
      </c>
      <c r="PM28">
        <f>SOFR3mo_PX[[#This Row],[Column429]]</f>
        <v>95.39</v>
      </c>
      <c r="PN28">
        <f>SOFR3mo_PX[[#This Row],[Column430]]</f>
        <v>95.3</v>
      </c>
      <c r="PO28">
        <f>SOFR3mo_PX[[#This Row],[Column431]]</f>
        <v>95.29</v>
      </c>
      <c r="PP28">
        <f>SOFR3mo_PX[[#This Row],[Column432]]</f>
        <v>95.3</v>
      </c>
      <c r="PQ28">
        <f>SOFR3mo_PX[[#This Row],[Column433]]</f>
        <v>95.305000000000007</v>
      </c>
      <c r="PR28">
        <f>SOFR3mo_PX[[#This Row],[Column434]]</f>
        <v>95.194999999999993</v>
      </c>
      <c r="PS28">
        <f>SOFR3mo_PX[[#This Row],[Column435]]</f>
        <v>95.334999999999994</v>
      </c>
      <c r="PT28">
        <f>SOFR3mo_PX[[#This Row],[Column436]]</f>
        <v>95.33</v>
      </c>
      <c r="PU28">
        <f>SOFR3mo_PX[[#This Row],[Column437]]</f>
        <v>95.224999999999994</v>
      </c>
      <c r="PV28">
        <f>SOFR3mo_PX[[#This Row],[Column438]]</f>
        <v>95.15</v>
      </c>
      <c r="PW28">
        <f>SOFR3mo_PX[[#This Row],[Column439]]</f>
        <v>95.28</v>
      </c>
      <c r="PX28">
        <f>SOFR3mo_PX[[#This Row],[Column440]]</f>
        <v>95.325000000000003</v>
      </c>
      <c r="PY28">
        <f>SOFR3mo_PX[[#This Row],[Column441]]</f>
        <v>95.454999999999998</v>
      </c>
      <c r="PZ28">
        <f>SOFR3mo_PX[[#This Row],[Column442]]</f>
        <v>95.53</v>
      </c>
      <c r="QA28">
        <f>SOFR3mo_PX[[#This Row],[Column443]]</f>
        <v>95.424999999999997</v>
      </c>
      <c r="QB28">
        <f>SOFR3mo_PX[[#This Row],[Column444]]</f>
        <v>95.54</v>
      </c>
      <c r="QC28">
        <f>SOFR3mo_PX[[#This Row],[Column445]]</f>
        <v>95.45</v>
      </c>
      <c r="QD28">
        <f>SOFR3mo_PX[[#This Row],[Column446]]</f>
        <v>95.43</v>
      </c>
      <c r="QE28">
        <f>SOFR3mo_PX[[#This Row],[Column447]]</f>
        <v>95.305000000000007</v>
      </c>
      <c r="QF28">
        <f>SOFR3mo_PX[[#This Row],[Column448]]</f>
        <v>95.364999999999995</v>
      </c>
      <c r="QG28">
        <f>SOFR3mo_PX[[#This Row],[Column449]]</f>
        <v>95.34</v>
      </c>
      <c r="QH28">
        <f>SOFR3mo_PX[[#This Row],[Column450]]</f>
        <v>95.284999999999997</v>
      </c>
      <c r="QI28">
        <f>SOFR3mo_PX[[#This Row],[Column451]]</f>
        <v>95.415000000000006</v>
      </c>
      <c r="QJ28">
        <f>SOFR3mo_PX[[#This Row],[Column452]]</f>
        <v>95.57</v>
      </c>
      <c r="QK28">
        <f>SOFR3mo_PX[[#This Row],[Column453]]</f>
        <v>95.545000000000002</v>
      </c>
      <c r="QL28">
        <f>SOFR3mo_PX[[#This Row],[Column454]]</f>
        <v>95.56</v>
      </c>
      <c r="QM28">
        <f>SOFR3mo_PX[[#This Row],[Column455]]</f>
        <v>95.635000000000005</v>
      </c>
      <c r="QN28">
        <f>SOFR3mo_PX[[#This Row],[Column456]]</f>
        <v>95.644999999999996</v>
      </c>
      <c r="QO28">
        <f>SOFR3mo_PX[[#This Row],[Column457]]</f>
        <v>95.795000000000002</v>
      </c>
      <c r="QP28">
        <f>SOFR3mo_PX[[#This Row],[Column458]]</f>
        <v>95.765000000000001</v>
      </c>
      <c r="QQ28">
        <f>SOFR3mo_PX[[#This Row],[Column459]]</f>
        <v>95.93</v>
      </c>
      <c r="QR28">
        <f>SOFR3mo_PX[[#This Row],[Column460]]</f>
        <v>95.93</v>
      </c>
      <c r="QS28">
        <f>SOFR3mo_PX[[#This Row],[Column461]]</f>
        <v>95.965000000000003</v>
      </c>
      <c r="QT28">
        <f>SOFR3mo_PX[[#This Row],[Column462]]</f>
        <v>95.944999999999993</v>
      </c>
      <c r="QU28">
        <f>SOFR3mo_PX[[#This Row],[Column463]]</f>
        <v>95.98</v>
      </c>
      <c r="QV28">
        <f>SOFR3mo_PX[[#This Row],[Column464]]</f>
        <v>96.034999999999997</v>
      </c>
      <c r="QW28">
        <f>SOFR3mo_PX[[#This Row],[Column465]]</f>
        <v>96.015000000000001</v>
      </c>
      <c r="QX28">
        <f>SOFR3mo_PX[[#This Row],[Column466]]</f>
        <v>95.97</v>
      </c>
      <c r="QY28">
        <f>SOFR3mo_PX[[#This Row],[Column467]]</f>
        <v>96.01</v>
      </c>
      <c r="QZ28">
        <f>SOFR3mo_PX[[#This Row],[Column468]]</f>
        <v>96</v>
      </c>
      <c r="RA28">
        <f>SOFR3mo_PX[[#This Row],[Column469]]</f>
        <v>95.984999999999999</v>
      </c>
      <c r="RB28">
        <f>SOFR3mo_PX[[#This Row],[Column470]]</f>
        <v>95.98</v>
      </c>
      <c r="RC28">
        <f>SOFR3mo_PX[[#This Row],[Column471]]</f>
        <v>96.05</v>
      </c>
      <c r="RD28">
        <f>SOFR3mo_PX[[#This Row],[Column472]]</f>
        <v>96.05</v>
      </c>
      <c r="RE28">
        <f>SOFR3mo_PX[[#This Row],[Column473]]</f>
        <v>96.144999999999996</v>
      </c>
      <c r="RF28">
        <f>SOFR3mo_PX[[#This Row],[Column474]]</f>
        <v>96.12</v>
      </c>
      <c r="RG28">
        <f>SOFR3mo_PX[[#This Row],[Column475]]</f>
        <v>96.125</v>
      </c>
      <c r="RH28">
        <f>SOFR3mo_PX[[#This Row],[Column476]]</f>
        <v>96.08</v>
      </c>
      <c r="RI28">
        <f>SOFR3mo_PX[[#This Row],[Column477]]</f>
        <v>96.04</v>
      </c>
      <c r="RJ28">
        <f>SOFR3mo_PX[[#This Row],[Column478]]</f>
        <v>96.034999999999997</v>
      </c>
      <c r="RK28">
        <f>SOFR3mo_PX[[#This Row],[Column479]]</f>
        <v>96.06</v>
      </c>
      <c r="RL28">
        <f>SOFR3mo_PX[[#This Row],[Column480]]</f>
        <v>95.91</v>
      </c>
      <c r="RM28">
        <f>SOFR3mo_PX[[#This Row],[Column481]]</f>
        <v>95.88</v>
      </c>
      <c r="RN28">
        <f>SOFR3mo_PX[[#This Row],[Column482]]</f>
        <v>95.974999999999994</v>
      </c>
      <c r="RO28">
        <f>SOFR3mo_PX[[#This Row],[Column483]]</f>
        <v>95.9</v>
      </c>
      <c r="RP28">
        <f>SOFR3mo_PX[[#This Row],[Column484]]</f>
        <v>95.984999999999999</v>
      </c>
      <c r="RQ28">
        <f>SOFR3mo_PX[[#This Row],[Column485]]</f>
        <v>96.02</v>
      </c>
      <c r="RR28">
        <f>SOFR3mo_PX[[#This Row],[Column486]]</f>
        <v>96.08</v>
      </c>
      <c r="RS28">
        <f>SOFR3mo_PX[[#This Row],[Column487]]</f>
        <v>96.055000000000007</v>
      </c>
      <c r="RT28">
        <f>SOFR3mo_PX[[#This Row],[Column488]]</f>
        <v>96.144999999999996</v>
      </c>
      <c r="RU28">
        <f>SOFR3mo_PX[[#This Row],[Column489]]</f>
        <v>96.25</v>
      </c>
      <c r="RV28">
        <f>SOFR3mo_PX[[#This Row],[Column490]]</f>
        <v>96.215000000000003</v>
      </c>
      <c r="RW28">
        <f>SOFR3mo_PX[[#This Row],[Column491]]</f>
        <v>96.15</v>
      </c>
      <c r="RX28">
        <f>SOFR3mo_PX[[#This Row],[Column492]]</f>
        <v>96.16</v>
      </c>
      <c r="RY28">
        <f>SOFR3mo_PX[[#This Row],[Column493]]</f>
        <v>96.015000000000001</v>
      </c>
      <c r="RZ28">
        <f>SOFR3mo_PX[[#This Row],[Column494]]</f>
        <v>96.17</v>
      </c>
      <c r="SA28">
        <f>SOFR3mo_PX[[#This Row],[Column495]]</f>
        <v>96.224999999999994</v>
      </c>
      <c r="SB28">
        <f>SOFR3mo_PX[[#This Row],[Column496]]</f>
        <v>96.314999999999998</v>
      </c>
      <c r="SC28">
        <f>SOFR3mo_PX[[#This Row],[Column497]]</f>
        <v>96.31</v>
      </c>
      <c r="SD28">
        <f>SOFR3mo_PX[[#This Row],[Column498]]</f>
        <v>96.265000000000001</v>
      </c>
      <c r="SE28">
        <f>SOFR3mo_PX[[#This Row],[Column499]]</f>
        <v>96.435000000000002</v>
      </c>
      <c r="SF28">
        <f>SOFR3mo_PX[[#This Row],[Column500]]</f>
        <v>96.385000000000005</v>
      </c>
      <c r="SG28">
        <f>SOFR3mo_PX[[#This Row],[Column501]]</f>
        <v>96.444999999999993</v>
      </c>
      <c r="SH28">
        <f>SOFR3mo_PX[[#This Row],[Column502]]</f>
        <v>96.454999999999998</v>
      </c>
      <c r="SI28">
        <f>SOFR3mo_PX[[#This Row],[Column503]]</f>
        <v>96.435000000000002</v>
      </c>
      <c r="SJ28">
        <f>SOFR3mo_PX[[#This Row],[Column504]]</f>
        <v>96.555000000000007</v>
      </c>
      <c r="SK28">
        <f>SOFR3mo_PX[[#This Row],[Column505]]</f>
        <v>96.515000000000001</v>
      </c>
      <c r="SL28">
        <f>SOFR3mo_PX[[#This Row],[Column506]]</f>
        <v>96.5</v>
      </c>
      <c r="SM28">
        <f>SOFR3mo_PX[[#This Row],[Column507]]</f>
        <v>96.46</v>
      </c>
      <c r="SN28">
        <f>SOFR3mo_PX[[#This Row],[Column508]]</f>
        <v>96.47</v>
      </c>
      <c r="SO28">
        <f>SOFR3mo_PX[[#This Row],[Column509]]</f>
        <v>96.44</v>
      </c>
      <c r="SP28">
        <f>SOFR3mo_PX[[#This Row],[Column510]]</f>
        <v>96.35</v>
      </c>
      <c r="SQ28">
        <f>SOFR3mo_PX[[#This Row],[Column511]]</f>
        <v>96.284999999999997</v>
      </c>
      <c r="SR28">
        <f>SOFR3mo_PX[[#This Row],[Column512]]</f>
        <v>96.245000000000005</v>
      </c>
      <c r="SS28">
        <f>SOFR3mo_PX[[#This Row],[Column513]]</f>
        <v>96.3</v>
      </c>
      <c r="ST28">
        <f>SOFR3mo_PX[[#This Row],[Column514]]</f>
        <v>96.43</v>
      </c>
      <c r="SU28">
        <f>SOFR3mo_PX[[#This Row],[Column515]]</f>
        <v>96.534999999999997</v>
      </c>
      <c r="SV28">
        <f>SOFR3mo_PX[[#This Row],[Column516]]</f>
        <v>96.534999999999997</v>
      </c>
      <c r="SW28">
        <f>SOFR3mo_PX[[#This Row],[Column517]]</f>
        <v>96.57</v>
      </c>
      <c r="SX28">
        <f>SOFR3mo_PX[[#This Row],[Column518]]</f>
        <v>96.504999999999995</v>
      </c>
      <c r="SY28">
        <f>SOFR3mo_PX[[#This Row],[Column519]]</f>
        <v>96.65</v>
      </c>
      <c r="SZ28">
        <f>SOFR3mo_PX[[#This Row],[Column520]]</f>
        <v>96.594999999999999</v>
      </c>
      <c r="TA28">
        <f>SOFR3mo_PX[[#This Row],[Column521]]</f>
        <v>96.625</v>
      </c>
      <c r="TB28">
        <f>SOFR3mo_PX[[#This Row],[Column522]]</f>
        <v>96.594999999999999</v>
      </c>
      <c r="TC28">
        <f>SOFR3mo_PX[[#This Row],[Column523]]</f>
        <v>96.525000000000006</v>
      </c>
      <c r="TD28">
        <f>SOFR3mo_PX[[#This Row],[Column524]]</f>
        <v>96.6</v>
      </c>
      <c r="TE28">
        <f>SOFR3mo_PX[[#This Row],[Column525]]</f>
        <v>96.62</v>
      </c>
      <c r="TF28">
        <f>SOFR3mo_PX[[#This Row],[Column526]]</f>
        <v>96.55</v>
      </c>
      <c r="TG28">
        <f>SOFR3mo_PX[[#This Row],[Column527]]</f>
        <v>96.55</v>
      </c>
      <c r="TH28">
        <f>SOFR3mo_PX[[#This Row],[Column528]]</f>
        <v>96.584999999999994</v>
      </c>
      <c r="TI28">
        <f>SOFR3mo_PX[[#This Row],[Column529]]</f>
        <v>96.515000000000001</v>
      </c>
      <c r="TJ28">
        <f>SOFR3mo_PX[[#This Row],[Column530]]</f>
        <v>96.435000000000002</v>
      </c>
      <c r="TK28">
        <f>SOFR3mo_PX[[#This Row],[Column531]]</f>
        <v>96.51</v>
      </c>
      <c r="TL28">
        <f>SOFR3mo_PX[[#This Row],[Column532]]</f>
        <v>96.515000000000001</v>
      </c>
      <c r="TM28">
        <f>SOFR3mo_PX[[#This Row],[Column533]]</f>
        <v>96.52</v>
      </c>
      <c r="TN28">
        <f>SOFR3mo_PX[[#This Row],[Column534]]</f>
        <v>96.444999999999993</v>
      </c>
      <c r="TO28">
        <f>SOFR3mo_PX[[#This Row],[Column535]]</f>
        <v>96.55</v>
      </c>
      <c r="TP28">
        <f>SOFR3mo_PX[[#This Row],[Column536]]</f>
        <v>96.53</v>
      </c>
      <c r="TQ28">
        <f>SOFR3mo_PX[[#This Row],[Column537]]</f>
        <v>96.5</v>
      </c>
      <c r="TR28">
        <f>SOFR3mo_PX[[#This Row],[Column538]]</f>
        <v>96.6</v>
      </c>
      <c r="TS28">
        <f>SOFR3mo_PX[[#This Row],[Column539]]</f>
        <v>96.584999999999994</v>
      </c>
      <c r="TT28">
        <f>SOFR3mo_PX[[#This Row],[Column540]]</f>
        <v>96.54</v>
      </c>
      <c r="TU28">
        <f>SOFR3mo_PX[[#This Row],[Column541]]</f>
        <v>96.43</v>
      </c>
      <c r="TV28">
        <f>SOFR3mo_PX[[#This Row],[Column542]]</f>
        <v>96.43</v>
      </c>
      <c r="TW28">
        <f>SOFR3mo_PX[[#This Row],[Column543]]</f>
        <v>96.415000000000006</v>
      </c>
      <c r="TX28">
        <f>SOFR3mo_PX[[#This Row],[Column544]]</f>
        <v>96.5</v>
      </c>
      <c r="TY28">
        <f>SOFR3mo_PX[[#This Row],[Column545]]</f>
        <v>96.515000000000001</v>
      </c>
      <c r="TZ28">
        <f>SOFR3mo_PX[[#This Row],[Column546]]</f>
        <v>96.484999999999999</v>
      </c>
      <c r="UA28">
        <f>SOFR3mo_PX[[#This Row],[Column547]]</f>
        <v>96.474999999999994</v>
      </c>
      <c r="UB28">
        <f>SOFR3mo_PX[[#This Row],[Column548]]</f>
        <v>96.525000000000006</v>
      </c>
      <c r="UC28">
        <f>SOFR3mo_PX[[#This Row],[Column549]]</f>
        <v>96.584999999999994</v>
      </c>
      <c r="UD28">
        <f>SOFR3mo_PX[[#This Row],[Column550]]</f>
        <v>96.6</v>
      </c>
      <c r="UE28">
        <f>SOFR3mo_PX[[#This Row],[Column551]]</f>
        <v>96.655000000000001</v>
      </c>
      <c r="UF28">
        <f>SOFR3mo_PX[[#This Row],[Column552]]</f>
        <v>96.694999999999993</v>
      </c>
      <c r="UG28">
        <f>SOFR3mo_PX[[#This Row],[Column553]]</f>
        <v>96.734999999999999</v>
      </c>
      <c r="UH28">
        <f>SOFR3mo_PX[[#This Row],[Column554]]</f>
        <v>96.69</v>
      </c>
      <c r="UI28">
        <f>SOFR3mo_PX[[#This Row],[Column555]]</f>
        <v>96.625</v>
      </c>
      <c r="UJ28">
        <f>SOFR3mo_PX[[#This Row],[Column556]]</f>
        <v>96.63</v>
      </c>
      <c r="UK28">
        <f>SOFR3mo_PX[[#This Row],[Column557]]</f>
        <v>96.674999999999997</v>
      </c>
      <c r="UL28">
        <f>SOFR3mo_PX[[#This Row],[Column558]]</f>
        <v>96.745000000000005</v>
      </c>
      <c r="UM28">
        <f>SOFR3mo_PX[[#This Row],[Column559]]</f>
        <v>96.724999999999994</v>
      </c>
      <c r="UN28">
        <f>SOFR3mo_PX[[#This Row],[Column560]]</f>
        <v>96.72</v>
      </c>
      <c r="UO28">
        <f>SOFR3mo_PX[[#This Row],[Column561]]</f>
        <v>96.59</v>
      </c>
      <c r="UP28">
        <f>SOFR3mo_PX[[#This Row],[Column562]]</f>
        <v>96.715000000000003</v>
      </c>
      <c r="UQ28">
        <f>SOFR3mo_PX[[#This Row],[Column563]]</f>
        <v>96.685000000000002</v>
      </c>
      <c r="UR28">
        <f>SOFR3mo_PX[[#This Row],[Column564]]</f>
        <v>96.76</v>
      </c>
      <c r="US28">
        <f>SOFR3mo_PX[[#This Row],[Column565]]</f>
        <v>96.81</v>
      </c>
      <c r="UT28">
        <f>SOFR3mo_PX[[#This Row],[Column566]]</f>
        <v>96.75</v>
      </c>
      <c r="UU28">
        <f>SOFR3mo_PX[[#This Row],[Column567]]</f>
        <v>96.694999999999993</v>
      </c>
      <c r="UV28">
        <f>SOFR3mo_PX[[#This Row],[Column568]]</f>
        <v>96.74</v>
      </c>
      <c r="UW28">
        <f>SOFR3mo_PX[[#This Row],[Column569]]</f>
        <v>96.69</v>
      </c>
      <c r="UX28">
        <f>SOFR3mo_PX[[#This Row],[Column570]]</f>
        <v>96.71</v>
      </c>
      <c r="UY28">
        <f>SOFR3mo_PX[[#This Row],[Column571]]</f>
        <v>96.67</v>
      </c>
      <c r="UZ28">
        <f>SOFR3mo_PX[[#This Row],[Column572]]</f>
        <v>96.73</v>
      </c>
      <c r="VA28">
        <f>SOFR3mo_PX[[#This Row],[Column573]]</f>
        <v>96.784999999999997</v>
      </c>
      <c r="VB28">
        <f>SOFR3mo_PX[[#This Row],[Column574]]</f>
        <v>96.84</v>
      </c>
      <c r="VC28">
        <f>SOFR3mo_PX[[#This Row],[Column575]]</f>
        <v>96.834999999999994</v>
      </c>
      <c r="VD28">
        <f>SOFR3mo_PX[[#This Row],[Column576]]</f>
        <v>96.825000000000003</v>
      </c>
      <c r="VE28">
        <f>SOFR3mo_PX[[#This Row],[Column577]]</f>
        <v>96.88</v>
      </c>
      <c r="VF28">
        <f>SOFR3mo_PX[[#This Row],[Column578]]</f>
        <v>96.954999999999998</v>
      </c>
      <c r="VG28">
        <f>SOFR3mo_PX[[#This Row],[Column579]]</f>
        <v>96.94</v>
      </c>
      <c r="VH28">
        <f>SOFR3mo_PX[[#This Row],[Column580]]</f>
        <v>96.905000000000001</v>
      </c>
      <c r="VI28">
        <f>SOFR3mo_PX[[#This Row],[Column581]]</f>
        <v>96.834999999999994</v>
      </c>
      <c r="VJ28">
        <f>SOFR3mo_PX[[#This Row],[Column582]]</f>
        <v>96.78</v>
      </c>
      <c r="VK28">
        <f>SOFR3mo_PX[[#This Row],[Column583]]</f>
        <v>96.745000000000005</v>
      </c>
      <c r="VL28">
        <f>SOFR3mo_PX[[#This Row],[Column584]]</f>
        <v>96.72</v>
      </c>
      <c r="VM28">
        <f>SOFR3mo_PX[[#This Row],[Column585]]</f>
        <v>96.71</v>
      </c>
      <c r="VN28">
        <f>SOFR3mo_PX[[#This Row],[Column586]]</f>
        <v>96.74</v>
      </c>
      <c r="VO28">
        <f>SOFR3mo_PX[[#This Row],[Column587]]</f>
        <v>96.86</v>
      </c>
      <c r="VP28">
        <f>SOFR3mo_PX[[#This Row],[Column588]]</f>
        <v>96.82</v>
      </c>
      <c r="VQ28">
        <f>SOFR3mo_PX[[#This Row],[Column589]]</f>
        <v>96.77</v>
      </c>
      <c r="VR28">
        <f>SOFR3mo_PX[[#This Row],[Column590]]</f>
        <v>96.715000000000003</v>
      </c>
      <c r="VS28">
        <f>SOFR3mo_PX[[#This Row],[Column591]]</f>
        <v>96.754999999999995</v>
      </c>
      <c r="VT28">
        <f>SOFR3mo_PX[[#This Row],[Column592]]</f>
        <v>96.834999999999994</v>
      </c>
      <c r="VU28">
        <f>SOFR3mo_PX[[#This Row],[Column593]]</f>
        <v>96.65</v>
      </c>
      <c r="VV28">
        <f>SOFR3mo_PX[[#This Row],[Column594]]</f>
        <v>96.715000000000003</v>
      </c>
      <c r="VW28">
        <f>SOFR3mo_PX[[#This Row],[Column595]]</f>
        <v>96.644999999999996</v>
      </c>
      <c r="VX28">
        <f>SOFR3mo_PX[[#This Row],[Column596]]</f>
        <v>96.72</v>
      </c>
      <c r="VY28">
        <f>SOFR3mo_PX[[#This Row],[Column597]]</f>
        <v>96.7</v>
      </c>
      <c r="VZ28">
        <f>SOFR3mo_PX[[#This Row],[Column598]]</f>
        <v>96.5</v>
      </c>
      <c r="WA28">
        <f>SOFR3mo_PX[[#This Row],[Column599]]</f>
        <v>96.545000000000002</v>
      </c>
      <c r="WB28">
        <f>SOFR3mo_PX[[#This Row],[Column600]]</f>
        <v>96.53</v>
      </c>
      <c r="WC28">
        <f>SOFR3mo_PX[[#This Row],[Column601]]</f>
        <v>96.454999999999998</v>
      </c>
      <c r="WD28">
        <f>SOFR3mo_PX[[#This Row],[Column602]]</f>
        <v>96.454999999999998</v>
      </c>
      <c r="WE28">
        <f>SOFR3mo_PX[[#This Row],[Column603]]</f>
        <v>96.33</v>
      </c>
      <c r="WF28">
        <f>SOFR3mo_PX[[#This Row],[Column604]]</f>
        <v>96.435000000000002</v>
      </c>
      <c r="WG28">
        <f>SOFR3mo_PX[[#This Row],[Column605]]</f>
        <v>96.52</v>
      </c>
      <c r="WH28">
        <f>SOFR3mo_PX[[#This Row],[Column606]]</f>
        <v>96.52</v>
      </c>
      <c r="WI28">
        <f>SOFR3mo_PX[[#This Row],[Column607]]</f>
        <v>96.48</v>
      </c>
      <c r="WJ28">
        <f>SOFR3mo_PX[[#This Row],[Column608]]</f>
        <v>96.53</v>
      </c>
      <c r="WK28">
        <f>SOFR3mo_PX[[#This Row],[Column609]]</f>
        <v>96.48</v>
      </c>
      <c r="WL28">
        <f>SOFR3mo_PX[[#This Row],[Column610]]</f>
        <v>96.444999999999993</v>
      </c>
      <c r="WM28">
        <f>SOFR3mo_PX[[#This Row],[Column611]]</f>
        <v>96.594999999999999</v>
      </c>
      <c r="WN28">
        <f>SOFR3mo_PX[[#This Row],[Column612]]</f>
        <v>96.594999999999999</v>
      </c>
      <c r="WO28">
        <f>SOFR3mo_PX[[#This Row],[Column613]]</f>
        <v>96.575000000000003</v>
      </c>
      <c r="WP28">
        <f>SOFR3mo_PX[[#This Row],[Column614]]</f>
        <v>96.614999999999995</v>
      </c>
      <c r="WQ28">
        <f>SOFR3mo_PX[[#This Row],[Column615]]</f>
        <v>96.68</v>
      </c>
      <c r="WR28">
        <f>SOFR3mo_PX[[#This Row],[Column616]]</f>
        <v>96.67</v>
      </c>
      <c r="WS28">
        <f>SOFR3mo_PX[[#This Row],[Column617]]</f>
        <v>96.64</v>
      </c>
      <c r="WT28">
        <f>SOFR3mo_PX[[#This Row],[Column618]]</f>
        <v>96.704999999999998</v>
      </c>
      <c r="WU28">
        <f>SOFR3mo_PX[[#This Row],[Column619]]</f>
        <v>96.724999999999994</v>
      </c>
      <c r="WV28">
        <f>SOFR3mo_PX[[#This Row],[Column620]]</f>
        <v>96.704999999999998</v>
      </c>
      <c r="WW28">
        <f>SOFR3mo_PX[[#This Row],[Column621]]</f>
        <v>96.73</v>
      </c>
      <c r="WX28">
        <f>SOFR3mo_PX[[#This Row],[Column622]]</f>
        <v>96.805000000000007</v>
      </c>
      <c r="WY28">
        <f>SOFR3mo_PX[[#This Row],[Column623]]</f>
        <v>96.905000000000001</v>
      </c>
      <c r="WZ28">
        <f>SOFR3mo_PX[[#This Row],[Column624]]</f>
        <v>96.935000000000002</v>
      </c>
      <c r="XA28">
        <f>SOFR3mo_PX[[#This Row],[Column625]]</f>
        <v>96.81</v>
      </c>
      <c r="XB28">
        <f>SOFR3mo_PX[[#This Row],[Column626]]</f>
        <v>96.78</v>
      </c>
      <c r="XC28">
        <f>SOFR3mo_PX[[#This Row],[Column627]]</f>
        <v>96.814999999999998</v>
      </c>
      <c r="XD28">
        <f>SOFR3mo_PX[[#This Row],[Column628]]</f>
        <v>96.864999999999995</v>
      </c>
      <c r="XE28">
        <f>SOFR3mo_PX[[#This Row],[Column629]]</f>
        <v>96.88</v>
      </c>
      <c r="XF28">
        <f>SOFR3mo_PX[[#This Row],[Column630]]</f>
        <v>96.88</v>
      </c>
      <c r="XG28">
        <f>SOFR3mo_PX[[#This Row],[Column631]]</f>
        <v>96.805000000000007</v>
      </c>
      <c r="XH28">
        <f>SOFR3mo_PX[[#This Row],[Column632]]</f>
        <v>96.844999999999999</v>
      </c>
      <c r="XI28">
        <f>SOFR3mo_PX[[#This Row],[Column633]]</f>
        <v>96.935000000000002</v>
      </c>
      <c r="XJ28">
        <f>SOFR3mo_PX[[#This Row],[Column634]]</f>
        <v>96.965000000000003</v>
      </c>
      <c r="XK28">
        <f>SOFR3mo_PX[[#This Row],[Column635]]</f>
        <v>96.83</v>
      </c>
      <c r="XL28">
        <f>SOFR3mo_PX[[#This Row],[Column636]]</f>
        <v>96.875</v>
      </c>
      <c r="XM28">
        <f>SOFR3mo_PX[[#This Row],[Column637]]</f>
        <v>96.875</v>
      </c>
      <c r="XN28">
        <f>SOFR3mo_PX[[#This Row],[Column638]]</f>
        <v>96.9</v>
      </c>
      <c r="XO28">
        <f>SOFR3mo_PX[[#This Row],[Column639]]</f>
        <v>96.805000000000007</v>
      </c>
      <c r="XP28">
        <f>SOFR3mo_PX[[#This Row],[Column640]]</f>
        <v>96.75</v>
      </c>
      <c r="XQ28">
        <f>SOFR3mo_PX[[#This Row],[Column641]]</f>
        <v>96.864999999999995</v>
      </c>
      <c r="XR28">
        <f>SOFR3mo_PX[[#This Row],[Column642]]</f>
        <v>96.82</v>
      </c>
      <c r="XS28">
        <f>SOFR3mo_PX[[#This Row],[Column643]]</f>
        <v>96.665000000000006</v>
      </c>
      <c r="XT28">
        <f>SOFR3mo_PX[[#This Row],[Column644]]</f>
        <v>96.65</v>
      </c>
      <c r="XU28">
        <f>SOFR3mo_PX[[#This Row],[Column645]]</f>
        <v>96.55</v>
      </c>
      <c r="XV28">
        <f>SOFR3mo_PX[[#This Row],[Column646]]</f>
        <v>96.48</v>
      </c>
      <c r="XW28">
        <f>SOFR3mo_PX[[#This Row],[Column647]]</f>
        <v>96.48</v>
      </c>
      <c r="XX28">
        <f>SOFR3mo_PX[[#This Row],[Column648]]</f>
        <v>96.44</v>
      </c>
      <c r="XY28">
        <f>SOFR3mo_PX[[#This Row],[Column649]]</f>
        <v>96.385000000000005</v>
      </c>
      <c r="XZ28">
        <f>SOFR3mo_PX[[#This Row],[Column650]]</f>
        <v>96.47</v>
      </c>
      <c r="YA28">
        <f>SOFR3mo_PX[[#This Row],[Column651]]</f>
        <v>96.555000000000007</v>
      </c>
      <c r="YB28">
        <f>SOFR3mo_PX[[#This Row],[Column652]]</f>
        <v>96.555000000000007</v>
      </c>
      <c r="YC28">
        <f>SOFR3mo_PX[[#This Row],[Column653]]</f>
        <v>96.584999999999994</v>
      </c>
      <c r="YD28">
        <f>SOFR3mo_PX[[#This Row],[Column654]]</f>
        <v>96.56</v>
      </c>
      <c r="YE28">
        <f>SOFR3mo_PX[[#This Row],[Column655]]</f>
        <v>96.614999999999995</v>
      </c>
      <c r="YF28">
        <f>SOFR3mo_PX[[#This Row],[Column656]]</f>
        <v>96.754999999999995</v>
      </c>
      <c r="YG28">
        <f>SOFR3mo_PX[[#This Row],[Column657]]</f>
        <v>96.85</v>
      </c>
      <c r="YH28">
        <f>SOFR3mo_PX[[#This Row],[Column658]]</f>
        <v>96.915000000000006</v>
      </c>
      <c r="YI28">
        <f>SOFR3mo_PX[[#This Row],[Column659]]</f>
        <v>96.855000000000004</v>
      </c>
      <c r="YJ28">
        <f>SOFR3mo_PX[[#This Row],[Column660]]</f>
        <v>96.855000000000004</v>
      </c>
      <c r="YK28">
        <f>SOFR3mo_PX[[#This Row],[Column661]]</f>
        <v>96.754999999999995</v>
      </c>
      <c r="YL28">
        <f>SOFR3mo_PX[[#This Row],[Column662]]</f>
        <v>96.79</v>
      </c>
      <c r="YM28">
        <f>SOFR3mo_PX[[#This Row],[Column663]]</f>
        <v>96.88</v>
      </c>
      <c r="YN28">
        <f>SOFR3mo_PX[[#This Row],[Column664]]</f>
        <v>96.99</v>
      </c>
      <c r="YO28">
        <f>SOFR3mo_PX[[#This Row],[Column665]]</f>
        <v>96.88</v>
      </c>
      <c r="YP28">
        <f>SOFR3mo_PX[[#This Row],[Column666]]</f>
        <v>96.784999999999997</v>
      </c>
      <c r="YQ28">
        <f>SOFR3mo_PX[[#This Row],[Column667]]</f>
        <v>96.885000000000005</v>
      </c>
      <c r="YR28">
        <f>SOFR3mo_PX[[#This Row],[Column668]]</f>
        <v>96.84</v>
      </c>
      <c r="YS28">
        <f>SOFR3mo_PX[[#This Row],[Column669]]</f>
        <v>96.68</v>
      </c>
      <c r="YT28">
        <f>SOFR3mo_PX[[#This Row],[Column670]]</f>
        <v>96.65</v>
      </c>
      <c r="YU28">
        <f>SOFR3mo_PX[[#This Row],[Column671]]</f>
        <v>96.694999999999993</v>
      </c>
      <c r="YV28">
        <f>SOFR3mo_PX[[#This Row],[Column672]]</f>
        <v>96.68</v>
      </c>
      <c r="YW28">
        <f>SOFR3mo_PX[[#This Row],[Column673]]</f>
        <v>96.665000000000006</v>
      </c>
      <c r="YX28">
        <f>SOFR3mo_PX[[#This Row],[Column674]]</f>
        <v>96.665000000000006</v>
      </c>
      <c r="YY28">
        <f>SOFR3mo_PX[[#This Row],[Column675]]</f>
        <v>96.594999999999999</v>
      </c>
      <c r="YZ28">
        <f>SOFR3mo_PX[[#This Row],[Column676]]</f>
        <v>96.495000000000005</v>
      </c>
      <c r="ZA28">
        <f>SOFR3mo_PX[[#This Row],[Column677]]</f>
        <v>96.474999999999994</v>
      </c>
      <c r="ZB28">
        <f>SOFR3mo_PX[[#This Row],[Column678]]</f>
        <v>96.545000000000002</v>
      </c>
      <c r="ZC28">
        <f>SOFR3mo_PX[[#This Row],[Column679]]</f>
        <v>96.6</v>
      </c>
      <c r="ZD28">
        <f>SOFR3mo_PX[[#This Row],[Column680]]</f>
        <v>96.474999999999994</v>
      </c>
      <c r="ZE28">
        <f>SOFR3mo_PX[[#This Row],[Column681]]</f>
        <v>96.4</v>
      </c>
      <c r="ZF28">
        <f>SOFR3mo_PX[[#This Row],[Column682]]</f>
        <v>96.45</v>
      </c>
      <c r="ZG28">
        <f>SOFR3mo_PX[[#This Row],[Column683]]</f>
        <v>96.435000000000002</v>
      </c>
      <c r="ZH28">
        <f>SOFR3mo_PX[[#This Row],[Column684]]</f>
        <v>96.14</v>
      </c>
      <c r="ZI28">
        <f>SOFR3mo_PX[[#This Row],[Column685]]</f>
        <v>96.174999999999997</v>
      </c>
      <c r="ZJ28">
        <f>SOFR3mo_PX[[#This Row],[Column686]]</f>
        <v>96.09</v>
      </c>
      <c r="ZK28">
        <f>SOFR3mo_PX[[#This Row],[Column687]]</f>
        <v>96.105000000000004</v>
      </c>
      <c r="ZL28">
        <f>SOFR3mo_PX[[#This Row],[Column688]]</f>
        <v>96.135000000000005</v>
      </c>
      <c r="ZM28">
        <f>SOFR3mo_PX[[#This Row],[Column689]]</f>
        <v>96.144999999999996</v>
      </c>
      <c r="ZN28">
        <f>SOFR3mo_PX[[#This Row],[Column690]]</f>
        <v>96.125</v>
      </c>
      <c r="ZO28">
        <f>SOFR3mo_PX[[#This Row],[Column691]]</f>
        <v>96.084999999999994</v>
      </c>
      <c r="ZP28">
        <f>SOFR3mo_PX[[#This Row],[Column692]]</f>
        <v>96.114999999999995</v>
      </c>
      <c r="ZQ28">
        <f>SOFR3mo_PX[[#This Row],[Column693]]</f>
        <v>96.21</v>
      </c>
      <c r="ZR28">
        <f>SOFR3mo_PX[[#This Row],[Column694]]</f>
        <v>96.15</v>
      </c>
      <c r="ZS28">
        <f>SOFR3mo_PX[[#This Row],[Column695]]</f>
        <v>96.06</v>
      </c>
      <c r="ZT28">
        <f>SOFR3mo_PX[[#This Row],[Column696]]</f>
        <v>95.92</v>
      </c>
      <c r="ZU28">
        <f>SOFR3mo_PX[[#This Row],[Column697]]</f>
        <v>95.97</v>
      </c>
      <c r="ZV28">
        <f>SOFR3mo_PX[[#This Row],[Column698]]</f>
        <v>96.02</v>
      </c>
      <c r="ZW28">
        <f>SOFR3mo_PX[[#This Row],[Column699]]</f>
        <v>96.13</v>
      </c>
      <c r="ZX28">
        <f>SOFR3mo_PX[[#This Row],[Column700]]</f>
        <v>96.254999999999995</v>
      </c>
      <c r="ZY28">
        <f>SOFR3mo_PX[[#This Row],[Column701]]</f>
        <v>96.234999999999999</v>
      </c>
      <c r="ZZ28">
        <f>SOFR3mo_PX[[#This Row],[Column702]]</f>
        <v>96.25</v>
      </c>
      <c r="AAA28">
        <f>SOFR3mo_PX[[#This Row],[Column703]]</f>
        <v>96.295000000000002</v>
      </c>
      <c r="AAB28">
        <f>SOFR3mo_PX[[#This Row],[Column704]]</f>
        <v>96.28</v>
      </c>
      <c r="AAC28">
        <f>SOFR3mo_PX[[#This Row],[Column705]]</f>
        <v>96.24</v>
      </c>
      <c r="AAD28">
        <f>SOFR3mo_PX[[#This Row],[Column706]]</f>
        <v>96.19</v>
      </c>
      <c r="AAE28">
        <f>SOFR3mo_PX[[#This Row],[Column707]]</f>
        <v>96.284999999999997</v>
      </c>
      <c r="AAF28">
        <f>SOFR3mo_PX[[#This Row],[Column708]]</f>
        <v>96.33</v>
      </c>
      <c r="AAG28">
        <f>SOFR3mo_PX[[#This Row],[Column709]]</f>
        <v>96.375</v>
      </c>
      <c r="AAH28">
        <f>SOFR3mo_PX[[#This Row],[Column710]]</f>
        <v>96.525000000000006</v>
      </c>
      <c r="AAI28">
        <f>SOFR3mo_PX[[#This Row],[Column711]]</f>
        <v>96.44</v>
      </c>
      <c r="AAJ28">
        <f>SOFR3mo_PX[[#This Row],[Column712]]</f>
        <v>96.284999999999997</v>
      </c>
      <c r="AAK28">
        <f>SOFR3mo_PX[[#This Row],[Column713]]</f>
        <v>96.35</v>
      </c>
      <c r="AAL28">
        <f>SOFR3mo_PX[[#This Row],[Column714]]</f>
        <v>96.394999999999996</v>
      </c>
      <c r="AAM28">
        <f>SOFR3mo_PX[[#This Row],[Column715]]</f>
        <v>96.25</v>
      </c>
      <c r="AAN28">
        <f>SOFR3mo_PX[[#This Row],[Column716]]</f>
        <v>96.375</v>
      </c>
      <c r="AAO28">
        <f>SOFR3mo_PX[[#This Row],[Column717]]</f>
        <v>96.56</v>
      </c>
      <c r="AAP28">
        <f>SOFR3mo_PX[[#This Row],[Column718]]</f>
        <v>96.46</v>
      </c>
      <c r="AAQ28">
        <f>SOFR3mo_PX[[#This Row],[Column719]]</f>
        <v>96.635000000000005</v>
      </c>
      <c r="AAR28">
        <f>SOFR3mo_PX[[#This Row],[Column720]]</f>
        <v>96.57</v>
      </c>
      <c r="AAS28">
        <f>SOFR3mo_PX[[#This Row],[Column721]]</f>
        <v>96.66</v>
      </c>
      <c r="AAT28">
        <f>SOFR3mo_PX[[#This Row],[Column722]]</f>
        <v>96.665000000000006</v>
      </c>
      <c r="AAU28">
        <f>SOFR3mo_PX[[#This Row],[Column723]]</f>
        <v>96.69</v>
      </c>
      <c r="AAV28">
        <f>SOFR3mo_PX[[#This Row],[Column724]]</f>
        <v>96.77</v>
      </c>
      <c r="AAW28">
        <f>SOFR3mo_PX[[#This Row],[Column725]]</f>
        <v>96.74</v>
      </c>
      <c r="AAX28">
        <f>SOFR3mo_PX[[#This Row],[Column726]]</f>
        <v>96.73</v>
      </c>
      <c r="AAY28">
        <f>SOFR3mo_PX[[#This Row],[Column727]]</f>
        <v>96.79</v>
      </c>
      <c r="AAZ28">
        <f>SOFR3mo_PX[[#This Row],[Column728]]</f>
        <v>96.795000000000002</v>
      </c>
      <c r="ABA28">
        <f>SOFR3mo_PX[[#This Row],[Column729]]</f>
        <v>96.825000000000003</v>
      </c>
      <c r="ABB28">
        <f>SOFR3mo_PX[[#This Row],[Column730]]</f>
        <v>96.72</v>
      </c>
      <c r="ABC28">
        <f>SOFR3mo_PX[[#This Row],[Column731]]</f>
        <v>96.89</v>
      </c>
      <c r="ABD28">
        <f>SOFR3mo_PX[[#This Row],[Column732]]</f>
        <v>96.89</v>
      </c>
      <c r="ABE28">
        <f>SOFR3mo_PX[[#This Row],[Column733]]</f>
        <v>96.85</v>
      </c>
      <c r="ABF28">
        <f>SOFR3mo_PX[[#This Row],[Column734]]</f>
        <v>97.03</v>
      </c>
      <c r="ABG28">
        <f>SOFR3mo_PX[[#This Row],[Column735]]</f>
        <v>97.07</v>
      </c>
      <c r="ABH28">
        <f>SOFR3mo_PX[[#This Row],[Column736]]</f>
        <v>97.025000000000006</v>
      </c>
      <c r="ABI28">
        <f>SOFR3mo_PX[[#This Row],[Column737]]</f>
        <v>97.135000000000005</v>
      </c>
      <c r="ABJ28">
        <f>SOFR3mo_PX[[#This Row],[Column738]]</f>
        <v>97.15</v>
      </c>
      <c r="ABK28">
        <f>SOFR3mo_PX[[#This Row],[Column739]]</f>
        <v>97.06</v>
      </c>
      <c r="ABL28">
        <f>SOFR3mo_PX[[#This Row],[Column740]]</f>
        <v>97.14</v>
      </c>
      <c r="ABM28">
        <f>SOFR3mo_PX[[#This Row],[Column741]]</f>
        <v>97.174999999999997</v>
      </c>
      <c r="ABN28">
        <f>SOFR3mo_PX[[#This Row],[Column742]]</f>
        <v>97.194999999999993</v>
      </c>
      <c r="ABO28">
        <f>SOFR3mo_PX[[#This Row],[Column743]]</f>
        <v>97.325000000000003</v>
      </c>
      <c r="ABP28">
        <f>SOFR3mo_PX[[#This Row],[Column744]]</f>
        <v>97.31</v>
      </c>
      <c r="ABQ28">
        <f>SOFR3mo_PX[[#This Row],[Column745]]</f>
        <v>97.385000000000005</v>
      </c>
      <c r="ABR28">
        <f>SOFR3mo_PX[[#This Row],[Column746]]</f>
        <v>97.36</v>
      </c>
      <c r="ABS28">
        <f>SOFR3mo_PX[[#This Row],[Column747]]</f>
        <v>97.275000000000006</v>
      </c>
      <c r="ABT28">
        <f>SOFR3mo_PX[[#This Row],[Column748]]</f>
        <v>97.22</v>
      </c>
      <c r="ABU28">
        <f>SOFR3mo_PX[[#This Row],[Column749]]</f>
        <v>97.39</v>
      </c>
      <c r="ABV28">
        <f>SOFR3mo_PX[[#This Row],[Column750]]</f>
        <v>97.424999999999997</v>
      </c>
      <c r="ABW28">
        <f>SOFR3mo_PX[[#This Row],[Column751]]</f>
        <v>97.405000000000001</v>
      </c>
      <c r="ABX28">
        <f>SOFR3mo_PX[[#This Row],[Column752]]</f>
        <v>97.314999999999998</v>
      </c>
      <c r="ABY28">
        <f>SOFR3mo_PX[[#This Row],[Column753]]</f>
        <v>97.454999999999998</v>
      </c>
      <c r="ABZ28">
        <f>SOFR3mo_PX[[#This Row],[Column754]]</f>
        <v>97.375</v>
      </c>
      <c r="ACA28">
        <f>SOFR3mo_PX[[#This Row],[Column755]]</f>
        <v>97.37</v>
      </c>
      <c r="ACB28">
        <f>SOFR3mo_PX[[#This Row],[Column756]]</f>
        <v>97.43</v>
      </c>
      <c r="ACC28">
        <f>SOFR3mo_PX[[#This Row],[Column757]]</f>
        <v>97.36</v>
      </c>
      <c r="ACD28">
        <f>SOFR3mo_PX[[#This Row],[Column758]]</f>
        <v>97.31</v>
      </c>
      <c r="ACE28">
        <f>SOFR3mo_PX[[#This Row],[Column759]]</f>
        <v>97.265000000000001</v>
      </c>
      <c r="ACF28">
        <f>SOFR3mo_PX[[#This Row],[Column760]]</f>
        <v>97.21</v>
      </c>
      <c r="ACG28">
        <f>SOFR3mo_PX[[#This Row],[Column761]]</f>
        <v>97.174999999999997</v>
      </c>
      <c r="ACH28">
        <f>SOFR3mo_PX[[#This Row],[Column762]]</f>
        <v>97.24</v>
      </c>
      <c r="ACI28">
        <f>SOFR3mo_PX[[#This Row],[Column763]]</f>
        <v>97.135000000000005</v>
      </c>
      <c r="ACJ28">
        <f>SOFR3mo_PX[[#This Row],[Column764]]</f>
        <v>97.025000000000006</v>
      </c>
      <c r="ACK28">
        <f>SOFR3mo_PX[[#This Row],[Column765]]</f>
        <v>97.06</v>
      </c>
      <c r="ACL28">
        <f>SOFR3mo_PX[[#This Row],[Column766]]</f>
        <v>97.1</v>
      </c>
      <c r="ACM28">
        <f>SOFR3mo_PX[[#This Row],[Column767]]</f>
        <v>97.125</v>
      </c>
      <c r="ACN28">
        <f>SOFR3mo_PX[[#This Row],[Column768]]</f>
        <v>97.06</v>
      </c>
      <c r="ACO28">
        <f>SOFR3mo_PX[[#This Row],[Column769]]</f>
        <v>97.094999999999999</v>
      </c>
      <c r="ACP28">
        <f>SOFR3mo_PX[[#This Row],[Column770]]</f>
        <v>96.974999999999994</v>
      </c>
      <c r="ACQ28">
        <f>SOFR3mo_PX[[#This Row],[Column771]]</f>
        <v>96.924999999999997</v>
      </c>
      <c r="ACR28">
        <f>SOFR3mo_PX[[#This Row],[Column772]]</f>
        <v>96.78</v>
      </c>
      <c r="ACS28">
        <f>SOFR3mo_PX[[#This Row],[Column773]]</f>
        <v>96.864999999999995</v>
      </c>
      <c r="ACT28">
        <f>SOFR3mo_PX[[#This Row],[Column774]]</f>
        <v>96.98</v>
      </c>
      <c r="ACU28">
        <f>SOFR3mo_PX[[#This Row],[Column775]]</f>
        <v>97.064999999999998</v>
      </c>
      <c r="ACV28">
        <f>SOFR3mo_PX[[#This Row],[Column776]]</f>
        <v>96.99</v>
      </c>
      <c r="ACW28">
        <f>SOFR3mo_PX[[#This Row],[Column777]]</f>
        <v>96.99</v>
      </c>
      <c r="ACX28">
        <f>SOFR3mo_PX[[#This Row],[Column778]]</f>
        <v>96.96</v>
      </c>
      <c r="ACY28">
        <f>SOFR3mo_PX[[#This Row],[Column779]]</f>
        <v>96.844999999999999</v>
      </c>
      <c r="ACZ28">
        <f>SOFR3mo_PX[[#This Row],[Column780]]</f>
        <v>96.745000000000005</v>
      </c>
      <c r="ADA28">
        <f>SOFR3mo_PX[[#This Row],[Column781]]</f>
        <v>96.76</v>
      </c>
      <c r="ADB28">
        <f>SOFR3mo_PX[[#This Row],[Column782]]</f>
        <v>96.814999999999998</v>
      </c>
      <c r="ADC28">
        <f>SOFR3mo_PX[[#This Row],[Column783]]</f>
        <v>96.91</v>
      </c>
      <c r="ADD28">
        <f>SOFR3mo_PX[[#This Row],[Column784]]</f>
        <v>96.81</v>
      </c>
      <c r="ADE28">
        <f>SOFR3mo_PX[[#This Row],[Column785]]</f>
        <v>96.68</v>
      </c>
      <c r="ADF28">
        <f>SOFR3mo_PX[[#This Row],[Column786]]</f>
        <v>96.78</v>
      </c>
      <c r="ADG28">
        <f>SOFR3mo_PX[[#This Row],[Column787]]</f>
        <v>96.78</v>
      </c>
      <c r="ADH28">
        <f>SOFR3mo_PX[[#This Row],[Column788]]</f>
        <v>96.7</v>
      </c>
      <c r="ADI28">
        <f>SOFR3mo_PX[[#This Row],[Column789]]</f>
        <v>96.6</v>
      </c>
      <c r="ADJ28">
        <f>SOFR3mo_PX[[#This Row],[Column790]]</f>
        <v>96.575000000000003</v>
      </c>
      <c r="ADK28">
        <f>SOFR3mo_PX[[#This Row],[Column791]]</f>
        <v>96.67</v>
      </c>
      <c r="ADL28">
        <f>SOFR3mo_PX[[#This Row],[Column792]]</f>
        <v>96.88</v>
      </c>
      <c r="ADM28">
        <f>SOFR3mo_PX[[#This Row],[Column793]]</f>
        <v>96.94</v>
      </c>
      <c r="ADN28">
        <f>SOFR3mo_PX[[#This Row],[Column794]]</f>
        <v>96.94</v>
      </c>
      <c r="ADO28">
        <f>SOFR3mo_PX[[#This Row],[Column795]]</f>
        <v>96.995000000000005</v>
      </c>
      <c r="ADP28">
        <f>SOFR3mo_PX[[#This Row],[Column796]]</f>
        <v>96.894999999999996</v>
      </c>
      <c r="ADQ28">
        <f>SOFR3mo_PX[[#This Row],[Column797]]</f>
        <v>97</v>
      </c>
      <c r="ADR28">
        <f>SOFR3mo_PX[[#This Row],[Column798]]</f>
        <v>97.05</v>
      </c>
      <c r="ADS28">
        <f>SOFR3mo_PX[[#This Row],[Column799]]</f>
        <v>97.004999999999995</v>
      </c>
      <c r="ADT28">
        <f>SOFR3mo_PX[[#This Row],[Column800]]</f>
        <v>97.055000000000007</v>
      </c>
      <c r="ADU28">
        <f>SOFR3mo_PX[[#This Row],[Column801]]</f>
        <v>97.144999999999996</v>
      </c>
      <c r="ADV28">
        <f>SOFR3mo_PX[[#This Row],[Column802]]</f>
        <v>97.144999999999996</v>
      </c>
      <c r="ADW28">
        <f>SOFR3mo_PX[[#This Row],[Column803]]</f>
        <v>97.125</v>
      </c>
      <c r="ADX28">
        <f>SOFR3mo_PX[[#This Row],[Column804]]</f>
        <v>97.16</v>
      </c>
      <c r="ADY28">
        <f>SOFR3mo_PX[[#This Row],[Column805]]</f>
        <v>97.165000000000006</v>
      </c>
      <c r="ADZ28">
        <f>SOFR3mo_PX[[#This Row],[Column806]]</f>
        <v>97.135000000000005</v>
      </c>
      <c r="AEA28">
        <f>SOFR3mo_PX[[#This Row],[Column807]]</f>
        <v>97.194999999999993</v>
      </c>
      <c r="AEB28">
        <f>SOFR3mo_PX[[#This Row],[Column808]]</f>
        <v>97.105000000000004</v>
      </c>
      <c r="AEC28">
        <f>SOFR3mo_PX[[#This Row],[Column809]]</f>
        <v>97.07</v>
      </c>
      <c r="AED28">
        <f>SOFR3mo_PX[[#This Row],[Column810]]</f>
        <v>96.935000000000002</v>
      </c>
      <c r="AEE28">
        <f>SOFR3mo_PX[[#This Row],[Column811]]</f>
        <v>97.01</v>
      </c>
      <c r="AEF28">
        <f>SOFR3mo_PX[[#This Row],[Column812]]</f>
        <v>96.954999999999998</v>
      </c>
      <c r="AEG28">
        <f>SOFR3mo_PX[[#This Row],[Column813]]</f>
        <v>97.07</v>
      </c>
      <c r="AEH28">
        <f>SOFR3mo_PX[[#This Row],[Column814]]</f>
        <v>96.984999999999999</v>
      </c>
      <c r="AEI28">
        <f>SOFR3mo_PX[[#This Row],[Column815]]</f>
        <v>96.86</v>
      </c>
      <c r="AEJ28">
        <f>SOFR3mo_PX[[#This Row],[Column816]]</f>
        <v>96.754999999999995</v>
      </c>
      <c r="AEK28">
        <f>SOFR3mo_PX[[#This Row],[Column817]]</f>
        <v>96.72</v>
      </c>
      <c r="AEL28">
        <f>SOFR3mo_PX[[#This Row],[Column818]]</f>
        <v>96.82</v>
      </c>
      <c r="AEM28">
        <f>SOFR3mo_PX[[#This Row],[Column819]]</f>
        <v>96.98</v>
      </c>
      <c r="AEN28">
        <f>SOFR3mo_PX[[#This Row],[Column820]]</f>
        <v>96.995000000000005</v>
      </c>
      <c r="AEO28">
        <f>SOFR3mo_PX[[#This Row],[Column821]]</f>
        <v>96.93</v>
      </c>
      <c r="AEP28">
        <f>SOFR3mo_PX[[#This Row],[Column822]]</f>
        <v>97.075000000000003</v>
      </c>
      <c r="AEQ28">
        <f>SOFR3mo_PX[[#This Row],[Column823]]</f>
        <v>97.08</v>
      </c>
      <c r="AER28">
        <f>SOFR3mo_PX[[#This Row],[Column824]]</f>
        <v>97.14</v>
      </c>
      <c r="AES28">
        <f>SOFR3mo_PX[[#This Row],[Column825]]</f>
        <v>97.21</v>
      </c>
      <c r="AET28">
        <f>SOFR3mo_PX[[#This Row],[Column826]]</f>
        <v>97.194999999999993</v>
      </c>
      <c r="AEU28">
        <f>SOFR3mo_PX[[#This Row],[Column827]]</f>
        <v>97.11</v>
      </c>
      <c r="AEV28">
        <f>SOFR3mo_PX[[#This Row],[Column828]]</f>
        <v>97.07</v>
      </c>
      <c r="AEW28">
        <f>SOFR3mo_PX[[#This Row],[Column829]]</f>
        <v>97.135000000000005</v>
      </c>
      <c r="AEX28">
        <f>SOFR3mo_PX[[#This Row],[Column830]]</f>
        <v>97.034999999999997</v>
      </c>
      <c r="AEY28">
        <f>SOFR3mo_PX[[#This Row],[Column831]]</f>
        <v>97.07</v>
      </c>
      <c r="AEZ28">
        <f>SOFR3mo_PX[[#This Row],[Column832]]</f>
        <v>97.16</v>
      </c>
      <c r="AFA28">
        <f>SOFR3mo_PX[[#This Row],[Column833]]</f>
        <v>97.16</v>
      </c>
      <c r="AFB28">
        <f>SOFR3mo_PX[[#This Row],[Column834]]</f>
        <v>97.295000000000002</v>
      </c>
      <c r="AFC28">
        <f>SOFR3mo_PX[[#This Row],[Column835]]</f>
        <v>97.24</v>
      </c>
      <c r="AFD28">
        <f>SOFR3mo_PX[[#This Row],[Column836]]</f>
        <v>97.215000000000003</v>
      </c>
      <c r="AFE28">
        <f>SOFR3mo_PX[[#This Row],[Column837]]</f>
        <v>97.34</v>
      </c>
      <c r="AFF28">
        <f>SOFR3mo_PX[[#This Row],[Column838]]</f>
        <v>97.435000000000002</v>
      </c>
      <c r="AFG28">
        <f>SOFR3mo_PX[[#This Row],[Column839]]</f>
        <v>97.57</v>
      </c>
      <c r="AFH28">
        <f>SOFR3mo_PX[[#This Row],[Column840]]</f>
        <v>97.68</v>
      </c>
      <c r="AFI28">
        <f>SOFR3mo_PX[[#This Row],[Column841]]</f>
        <v>97.83</v>
      </c>
      <c r="AFJ28">
        <f>SOFR3mo_PX[[#This Row],[Column842]]</f>
        <v>97.85</v>
      </c>
      <c r="AFK28">
        <f>SOFR3mo_PX[[#This Row],[Column843]]</f>
        <v>97.87</v>
      </c>
      <c r="AFL28">
        <f>SOFR3mo_PX[[#This Row],[Column844]]</f>
        <v>97.825000000000003</v>
      </c>
      <c r="AFM28">
        <f>SOFR3mo_PX[[#This Row],[Column845]]</f>
        <v>97.765000000000001</v>
      </c>
      <c r="AFN28">
        <f>SOFR3mo_PX[[#This Row],[Column846]]</f>
        <v>97.68</v>
      </c>
      <c r="AFO28">
        <f>SOFR3mo_PX[[#This Row],[Column847]]</f>
        <v>97.65</v>
      </c>
      <c r="AFP28">
        <f>SOFR3mo_PX[[#This Row],[Column848]]</f>
        <v>97.795000000000002</v>
      </c>
      <c r="AFQ28">
        <f>SOFR3mo_PX[[#This Row],[Column849]]</f>
        <v>97.814999999999998</v>
      </c>
      <c r="AFR28">
        <f>SOFR3mo_PX[[#This Row],[Column850]]</f>
        <v>97.76</v>
      </c>
      <c r="AFS28">
        <f>SOFR3mo_PX[[#This Row],[Column851]]</f>
        <v>97.825000000000003</v>
      </c>
      <c r="AFT28">
        <f>SOFR3mo_PX[[#This Row],[Column852]]</f>
        <v>97.97</v>
      </c>
      <c r="AFU28">
        <f>SOFR3mo_PX[[#This Row],[Column853]]</f>
        <v>97.894999999999996</v>
      </c>
      <c r="AFV28">
        <f>SOFR3mo_PX[[#This Row],[Column854]]</f>
        <v>97.875</v>
      </c>
      <c r="AFW28">
        <f>SOFR3mo_PX[[#This Row],[Column855]]</f>
        <v>97.89</v>
      </c>
      <c r="AFX28">
        <f>SOFR3mo_PX[[#This Row],[Column856]]</f>
        <v>97.915000000000006</v>
      </c>
      <c r="AFY28">
        <f>SOFR3mo_PX[[#This Row],[Column857]]</f>
        <v>98.075000000000003</v>
      </c>
      <c r="AFZ28">
        <f>SOFR3mo_PX[[#This Row],[Column858]]</f>
        <v>98.084999999999994</v>
      </c>
      <c r="AGA28">
        <f>SOFR3mo_PX[[#This Row],[Column859]]</f>
        <v>98.16</v>
      </c>
      <c r="AGB28">
        <f>SOFR3mo_PX[[#This Row],[Column860]]</f>
        <v>98.25</v>
      </c>
      <c r="AGC28">
        <f>SOFR3mo_PX[[#This Row],[Column861]]</f>
        <v>98.364999999999995</v>
      </c>
      <c r="AGD28">
        <f>SOFR3mo_PX[[#This Row],[Column862]]</f>
        <v>98.344999999999999</v>
      </c>
      <c r="AGE28">
        <f>SOFR3mo_PX[[#This Row],[Column863]]</f>
        <v>98.21</v>
      </c>
      <c r="AGF28">
        <f>SOFR3mo_PX[[#This Row],[Column864]]</f>
        <v>98.165000000000006</v>
      </c>
      <c r="AGG28">
        <f>SOFR3mo_PX[[#This Row],[Column865]]</f>
        <v>98.305000000000007</v>
      </c>
      <c r="AGH28">
        <f>SOFR3mo_PX[[#This Row],[Column866]]</f>
        <v>98.19</v>
      </c>
      <c r="AGI28">
        <f>SOFR3mo_PX[[#This Row],[Column867]]</f>
        <v>98.05</v>
      </c>
      <c r="AGJ28">
        <f>SOFR3mo_PX[[#This Row],[Column868]]</f>
        <v>98.06</v>
      </c>
      <c r="AGK28">
        <f>SOFR3mo_PX[[#This Row],[Column869]]</f>
        <v>98.08</v>
      </c>
      <c r="AGL28">
        <f>SOFR3mo_PX[[#This Row],[Column870]]</f>
        <v>98.12</v>
      </c>
      <c r="AGM28">
        <f>SOFR3mo_PX[[#This Row],[Column871]]</f>
        <v>98.11</v>
      </c>
      <c r="AGN28">
        <f>SOFR3mo_PX[[#This Row],[Column872]]</f>
        <v>98.11</v>
      </c>
      <c r="AGO28">
        <f>SOFR3mo_PX[[#This Row],[Column873]]</f>
        <v>98.06</v>
      </c>
      <c r="AGP28">
        <f>SOFR3mo_PX[[#This Row],[Column874]]</f>
        <v>97.97</v>
      </c>
      <c r="AGQ28">
        <f>SOFR3mo_PX[[#This Row],[Column875]]</f>
        <v>97.98</v>
      </c>
      <c r="AGR28">
        <f>SOFR3mo_PX[[#This Row],[Column876]]</f>
        <v>98.064999999999998</v>
      </c>
      <c r="AGS28">
        <f>SOFR3mo_PX[[#This Row],[Column877]]</f>
        <v>98.114999999999995</v>
      </c>
      <c r="AGT28">
        <f>SOFR3mo_PX[[#This Row],[Column878]]</f>
        <v>98.004999999999995</v>
      </c>
      <c r="AGU28">
        <f>SOFR3mo_PX[[#This Row],[Column879]]</f>
        <v>98.075000000000003</v>
      </c>
      <c r="AGV28">
        <f>SOFR3mo_PX[[#This Row],[Column880]]</f>
        <v>98.025000000000006</v>
      </c>
      <c r="AGW28">
        <f>SOFR3mo_PX[[#This Row],[Column881]]</f>
        <v>98.064999999999998</v>
      </c>
      <c r="AGX28">
        <f>SOFR3mo_PX[[#This Row],[Column882]]</f>
        <v>98.05</v>
      </c>
      <c r="AGY28">
        <f>SOFR3mo_PX[[#This Row],[Column883]]</f>
        <v>98.155000000000001</v>
      </c>
      <c r="AGZ28">
        <f>SOFR3mo_PX[[#This Row],[Column884]]</f>
        <v>98.215000000000003</v>
      </c>
      <c r="AHA28">
        <f>SOFR3mo_PX[[#This Row],[Column885]]</f>
        <v>98.18</v>
      </c>
      <c r="AHB28">
        <f>SOFR3mo_PX[[#This Row],[Column886]]</f>
        <v>98.19</v>
      </c>
      <c r="AHC28">
        <f>SOFR3mo_PX[[#This Row],[Column887]]</f>
        <v>98.2</v>
      </c>
      <c r="AHD28">
        <f>SOFR3mo_PX[[#This Row],[Column888]]</f>
        <v>98.16</v>
      </c>
      <c r="AHE28">
        <f>SOFR3mo_PX[[#This Row],[Column889]]</f>
        <v>98.055000000000007</v>
      </c>
      <c r="AHF28">
        <f>SOFR3mo_PX[[#This Row],[Column890]]</f>
        <v>98.12</v>
      </c>
      <c r="AHG28">
        <f>SOFR3mo_PX[[#This Row],[Column891]]</f>
        <v>98.185000000000002</v>
      </c>
      <c r="AHH28">
        <f>SOFR3mo_PX[[#This Row],[Column892]]</f>
        <v>98.165000000000006</v>
      </c>
      <c r="AHI28">
        <f>SOFR3mo_PX[[#This Row],[Column893]]</f>
        <v>98.094999999999999</v>
      </c>
      <c r="AHJ28">
        <f>SOFR3mo_PX[[#This Row],[Column894]]</f>
        <v>98.084999999999994</v>
      </c>
      <c r="AHK28">
        <f>SOFR3mo_PX[[#This Row],[Column895]]</f>
        <v>98.03</v>
      </c>
      <c r="AHL28">
        <f>SOFR3mo_PX[[#This Row],[Column896]]</f>
        <v>98.135000000000005</v>
      </c>
      <c r="AHM28">
        <f>SOFR3mo_PX[[#This Row],[Column897]]</f>
        <v>98.135000000000005</v>
      </c>
      <c r="AHN28">
        <f>SOFR3mo_PX[[#This Row],[Column898]]</f>
        <v>98.21</v>
      </c>
      <c r="AHO28">
        <f>SOFR3mo_PX[[#This Row],[Column899]]</f>
        <v>98.18</v>
      </c>
      <c r="AHP28">
        <f>SOFR3mo_PX[[#This Row],[Column900]]</f>
        <v>98.135000000000005</v>
      </c>
      <c r="AHQ28">
        <f>SOFR3mo_PX[[#This Row],[Column901]]</f>
        <v>98.084999999999994</v>
      </c>
      <c r="AHR28">
        <f>SOFR3mo_PX[[#This Row],[Column902]]</f>
        <v>98.09</v>
      </c>
      <c r="AHS28">
        <f>SOFR3mo_PX[[#This Row],[Column903]]</f>
        <v>98.114999999999995</v>
      </c>
      <c r="AHT28">
        <f>SOFR3mo_PX[[#This Row],[Column904]]</f>
        <v>98.14</v>
      </c>
      <c r="AHU28">
        <f>SOFR3mo_PX[[#This Row],[Column905]]</f>
        <v>98.165000000000006</v>
      </c>
      <c r="AHV28">
        <f>SOFR3mo_PX[[#This Row],[Column906]]</f>
        <v>98.22</v>
      </c>
      <c r="AHW28">
        <f>SOFR3mo_PX[[#This Row],[Column907]]</f>
        <v>98.39</v>
      </c>
      <c r="AHX28">
        <f>SOFR3mo_PX[[#This Row],[Column908]]</f>
        <v>98.375</v>
      </c>
      <c r="AHY28">
        <f>SOFR3mo_PX[[#This Row],[Column909]]</f>
        <v>98.364999999999995</v>
      </c>
      <c r="AHZ28">
        <f>SOFR3mo_PX[[#This Row],[Column910]]</f>
        <v>98.46</v>
      </c>
      <c r="AIA28">
        <f>SOFR3mo_PX[[#This Row],[Column911]]</f>
        <v>98.435000000000002</v>
      </c>
      <c r="AIB28">
        <f>SOFR3mo_PX[[#This Row],[Column912]]</f>
        <v>98.4</v>
      </c>
      <c r="AIC28">
        <f>SOFR3mo_PX[[#This Row],[Column913]]</f>
        <v>98.4</v>
      </c>
      <c r="AID28">
        <f>SOFR3mo_PX[[#This Row],[Column914]]</f>
        <v>98.424999999999997</v>
      </c>
      <c r="AIE28">
        <f>SOFR3mo_PX[[#This Row],[Column915]]</f>
        <v>98.394999999999996</v>
      </c>
      <c r="AIF28">
        <f>SOFR3mo_PX[[#This Row],[Column916]]</f>
        <v>98.49</v>
      </c>
      <c r="AIG28">
        <f>SOFR3mo_PX[[#This Row],[Column917]]</f>
        <v>98.555000000000007</v>
      </c>
      <c r="AIH28">
        <f>SOFR3mo_PX[[#This Row],[Column918]]</f>
        <v>98.52</v>
      </c>
      <c r="AII28">
        <f>SOFR3mo_PX[[#This Row],[Column919]]</f>
        <v>98.48</v>
      </c>
      <c r="AIJ28">
        <f>SOFR3mo_PX[[#This Row],[Column920]]</f>
        <v>98.465000000000003</v>
      </c>
      <c r="AIK28">
        <f>SOFR3mo_PX[[#This Row],[Column921]]</f>
        <v>98.47</v>
      </c>
      <c r="AIL28">
        <f>SOFR3mo_PX[[#This Row],[Column922]]</f>
        <v>98.405000000000001</v>
      </c>
      <c r="AIM28">
        <f>SOFR3mo_PX[[#This Row],[Column923]]</f>
        <v>98.43</v>
      </c>
      <c r="AIN28">
        <f>SOFR3mo_PX[[#This Row],[Column924]]</f>
        <v>98.39</v>
      </c>
      <c r="AIO28">
        <f>SOFR3mo_PX[[#This Row],[Column925]]</f>
        <v>98.41</v>
      </c>
      <c r="AIP28">
        <f>SOFR3mo_PX[[#This Row],[Column926]]</f>
        <v>98.45</v>
      </c>
      <c r="AIQ28">
        <f>SOFR3mo_PX[[#This Row],[Column927]]</f>
        <v>98.6</v>
      </c>
      <c r="AIR28">
        <f>SOFR3mo_PX[[#This Row],[Column928]]</f>
        <v>98.46</v>
      </c>
      <c r="AIS28">
        <f>SOFR3mo_PX[[#This Row],[Column929]]</f>
        <v>98.45</v>
      </c>
      <c r="AIT28">
        <f>SOFR3mo_PX[[#This Row],[Column930]]</f>
        <v>98.37</v>
      </c>
      <c r="AIU28">
        <f>SOFR3mo_PX[[#This Row],[Column931]]</f>
        <v>98.25</v>
      </c>
      <c r="AIV28">
        <f>SOFR3mo_PX[[#This Row],[Column932]]</f>
        <v>98.34</v>
      </c>
      <c r="AIW28">
        <f>SOFR3mo_PX[[#This Row],[Column933]]</f>
        <v>98.165000000000006</v>
      </c>
      <c r="AIX28">
        <f>SOFR3mo_PX[[#This Row],[Column934]]</f>
        <v>98.165000000000006</v>
      </c>
      <c r="AIY28">
        <f>SOFR3mo_PX[[#This Row],[Column935]]</f>
        <v>98.125</v>
      </c>
      <c r="AIZ28">
        <f>SOFR3mo_PX[[#This Row],[Column936]]</f>
        <v>98.19</v>
      </c>
      <c r="AJA28">
        <f>SOFR3mo_PX[[#This Row],[Column937]]</f>
        <v>98.295000000000002</v>
      </c>
      <c r="AJB28">
        <f>SOFR3mo_PX[[#This Row],[Column938]]</f>
        <v>98.224999999999994</v>
      </c>
      <c r="AJC28">
        <f>SOFR3mo_PX[[#This Row],[Column939]]</f>
        <v>98.194999999999993</v>
      </c>
      <c r="AJD28">
        <f>SOFR3mo_PX[[#This Row],[Column940]]</f>
        <v>98.17</v>
      </c>
      <c r="AJE28">
        <f>SOFR3mo_PX[[#This Row],[Column941]]</f>
        <v>98.204999999999998</v>
      </c>
      <c r="AJF28">
        <f>SOFR3mo_PX[[#This Row],[Column942]]</f>
        <v>98.25</v>
      </c>
      <c r="AJG28">
        <f>SOFR3mo_PX[[#This Row],[Column943]]</f>
        <v>98.265000000000001</v>
      </c>
      <c r="AJH28">
        <f>SOFR3mo_PX[[#This Row],[Column944]]</f>
        <v>98.295000000000002</v>
      </c>
      <c r="AJI28">
        <f>SOFR3mo_PX[[#This Row],[Column945]]</f>
        <v>98.385000000000005</v>
      </c>
      <c r="AJJ28">
        <f>SOFR3mo_PX[[#This Row],[Column946]]</f>
        <v>98.29</v>
      </c>
      <c r="AJK28">
        <f>SOFR3mo_PX[[#This Row],[Column947]]</f>
        <v>98.314999999999998</v>
      </c>
      <c r="AJL28">
        <f>SOFR3mo_PX[[#This Row],[Column948]]</f>
        <v>98.215000000000003</v>
      </c>
      <c r="AJM28">
        <f>SOFR3mo_PX[[#This Row],[Column949]]</f>
        <v>98.185000000000002</v>
      </c>
      <c r="AJN28">
        <f>SOFR3mo_PX[[#This Row],[Column950]]</f>
        <v>98.204999999999998</v>
      </c>
      <c r="AJO28">
        <f>SOFR3mo_PX[[#This Row],[Column951]]</f>
        <v>98.24</v>
      </c>
      <c r="AJP28">
        <f>SOFR3mo_PX[[#This Row],[Column952]]</f>
        <v>98.28</v>
      </c>
      <c r="AJQ28">
        <f>SOFR3mo_PX[[#This Row],[Column953]]</f>
        <v>98.245000000000005</v>
      </c>
      <c r="AJR28">
        <f>SOFR3mo_PX[[#This Row],[Column954]]</f>
        <v>98.26</v>
      </c>
      <c r="AJS28">
        <f>SOFR3mo_PX[[#This Row],[Column955]]</f>
        <v>98.09</v>
      </c>
      <c r="AJT28">
        <f>SOFR3mo_PX[[#This Row],[Column956]]</f>
        <v>98.08</v>
      </c>
      <c r="AJU28">
        <f>SOFR3mo_PX[[#This Row],[Column957]]</f>
        <v>98.064999999999998</v>
      </c>
      <c r="AJV28">
        <f>SOFR3mo_PX[[#This Row],[Column958]]</f>
        <v>98.01</v>
      </c>
      <c r="AJW28">
        <f>SOFR3mo_PX[[#This Row],[Column959]]</f>
        <v>98.045000000000002</v>
      </c>
      <c r="AJX28">
        <f>SOFR3mo_PX[[#This Row],[Column960]]</f>
        <v>98.07</v>
      </c>
      <c r="AJY28">
        <f>SOFR3mo_PX[[#This Row],[Column961]]</f>
        <v>98.165000000000006</v>
      </c>
      <c r="AJZ28">
        <f>SOFR3mo_PX[[#This Row],[Column962]]</f>
        <v>98.144999999999996</v>
      </c>
      <c r="AKA28">
        <f>SOFR3mo_PX[[#This Row],[Column963]]</f>
        <v>98.2</v>
      </c>
      <c r="AKB28">
        <f>SOFR3mo_PX[[#This Row],[Column964]]</f>
        <v>98.16</v>
      </c>
      <c r="AKC28">
        <f>SOFR3mo_PX[[#This Row],[Column965]]</f>
        <v>98.06</v>
      </c>
      <c r="AKD28">
        <f>SOFR3mo_PX[[#This Row],[Column966]]</f>
        <v>97.974999999999994</v>
      </c>
      <c r="AKE28">
        <f>SOFR3mo_PX[[#This Row],[Column967]]</f>
        <v>97.97</v>
      </c>
      <c r="AKF28">
        <f>SOFR3mo_PX[[#This Row],[Column968]]</f>
        <v>98.02</v>
      </c>
      <c r="AKG28">
        <f>SOFR3mo_PX[[#This Row],[Column969]]</f>
        <v>98.08</v>
      </c>
      <c r="AKH28">
        <f>SOFR3mo_PX[[#This Row],[Column970]]</f>
        <v>98.06</v>
      </c>
      <c r="AKI28">
        <f>SOFR3mo_PX[[#This Row],[Column971]]</f>
        <v>98.11</v>
      </c>
      <c r="AKJ28">
        <f>SOFR3mo_PX[[#This Row],[Column972]]</f>
        <v>98.084999999999994</v>
      </c>
      <c r="AKK28">
        <f>SOFR3mo_PX[[#This Row],[Column973]]</f>
        <v>98.025000000000006</v>
      </c>
      <c r="AKL28">
        <f>SOFR3mo_PX[[#This Row],[Column974]]</f>
        <v>98.015000000000001</v>
      </c>
      <c r="AKM28">
        <f>SOFR3mo_PX[[#This Row],[Column975]]</f>
        <v>98.03</v>
      </c>
      <c r="AKN28">
        <f>SOFR3mo_PX[[#This Row],[Column976]]</f>
        <v>98.12</v>
      </c>
      <c r="AKO28">
        <f>SOFR3mo_PX[[#This Row],[Column977]]</f>
        <v>98.17</v>
      </c>
      <c r="AKP28">
        <f>SOFR3mo_PX[[#This Row],[Column978]]</f>
        <v>98.25</v>
      </c>
      <c r="AKQ28">
        <f>SOFR3mo_PX[[#This Row],[Column979]]</f>
        <v>98.344999999999999</v>
      </c>
      <c r="AKR28">
        <f>SOFR3mo_PX[[#This Row],[Column980]]</f>
        <v>98.3</v>
      </c>
      <c r="AKS28">
        <f>SOFR3mo_PX[[#This Row],[Column981]]</f>
        <v>98.305000000000007</v>
      </c>
      <c r="AKT28">
        <f>SOFR3mo_PX[[#This Row],[Column982]]</f>
        <v>98.23</v>
      </c>
      <c r="AKU28">
        <f>SOFR3mo_PX[[#This Row],[Column983]]</f>
        <v>98.3</v>
      </c>
      <c r="AKV28">
        <f>SOFR3mo_PX[[#This Row],[Column984]]</f>
        <v>98.34</v>
      </c>
      <c r="AKW28">
        <f>SOFR3mo_PX[[#This Row],[Column985]]</f>
        <v>98.42</v>
      </c>
      <c r="AKX28">
        <f>SOFR3mo_PX[[#This Row],[Column986]]</f>
        <v>98.344999999999999</v>
      </c>
      <c r="AKY28">
        <f>SOFR3mo_PX[[#This Row],[Column987]]</f>
        <v>98.314999999999998</v>
      </c>
      <c r="AKZ28">
        <f>SOFR3mo_PX[[#This Row],[Column988]]</f>
        <v>98.385000000000005</v>
      </c>
      <c r="ALA28">
        <f>SOFR3mo_PX[[#This Row],[Column989]]</f>
        <v>98.35</v>
      </c>
      <c r="ALB28">
        <f>SOFR3mo_PX[[#This Row],[Column990]]</f>
        <v>98.3</v>
      </c>
      <c r="ALC28">
        <f>SOFR3mo_PX[[#This Row],[Column991]]</f>
        <v>98.35</v>
      </c>
      <c r="ALD28">
        <f>SOFR3mo_PX[[#This Row],[Column992]]</f>
        <v>98.35</v>
      </c>
      <c r="ALE28">
        <f>SOFR3mo_PX[[#This Row],[Column993]]</f>
        <v>98.405000000000001</v>
      </c>
      <c r="ALF28">
        <f>SOFR3mo_PX[[#This Row],[Column994]]</f>
        <v>98.394999999999996</v>
      </c>
      <c r="ALG28">
        <f>SOFR3mo_PX[[#This Row],[Column995]]</f>
        <v>98.38</v>
      </c>
      <c r="ALH28">
        <f>SOFR3mo_PX[[#This Row],[Column996]]</f>
        <v>98.415000000000006</v>
      </c>
      <c r="ALI28">
        <f>SOFR3mo_PX[[#This Row],[Column997]]</f>
        <v>98.394999999999996</v>
      </c>
      <c r="ALJ28">
        <f>SOFR3mo_PX[[#This Row],[Column998]]</f>
        <v>98.364999999999995</v>
      </c>
      <c r="ALK28">
        <f>SOFR3mo_PX[[#This Row],[Column999]]</f>
        <v>98.375</v>
      </c>
      <c r="ALL28">
        <f>SOFR3mo_PX[[#This Row],[Column1000]]</f>
        <v>98.45</v>
      </c>
      <c r="ALM28">
        <f>SOFR3mo_PX[[#This Row],[Column1001]]</f>
        <v>98.5</v>
      </c>
      <c r="ALN28">
        <f>SOFR3mo_PX[[#This Row],[Column1002]]</f>
        <v>98.49</v>
      </c>
      <c r="ALO28">
        <f>SOFR3mo_PX[[#This Row],[Column1003]]</f>
        <v>98.515000000000001</v>
      </c>
      <c r="ALP28">
        <f>SOFR3mo_PX[[#This Row],[Column1004]]</f>
        <v>98.465000000000003</v>
      </c>
      <c r="ALQ28">
        <f>SOFR3mo_PX[[#This Row],[Column1005]]</f>
        <v>98.504999999999995</v>
      </c>
      <c r="ALR28">
        <f>SOFR3mo_PX[[#This Row],[Column1006]]</f>
        <v>98.51</v>
      </c>
      <c r="ALS28">
        <f>SOFR3mo_PX[[#This Row],[Column1007]]</f>
        <v>98.46</v>
      </c>
      <c r="ALT28">
        <f>SOFR3mo_PX[[#This Row],[Column1008]]</f>
        <v>98.37</v>
      </c>
      <c r="ALU28">
        <f>SOFR3mo_PX[[#This Row],[Column1009]]</f>
        <v>98.385000000000005</v>
      </c>
      <c r="ALV28">
        <f>SOFR3mo_PX[[#This Row],[Column1010]]</f>
        <v>98.405000000000001</v>
      </c>
      <c r="ALW28">
        <f>SOFR3mo_PX[[#This Row],[Column1011]]</f>
        <v>98.42</v>
      </c>
      <c r="ALX28">
        <f>SOFR3mo_PX[[#This Row],[Column1012]]</f>
        <v>98.454999999999998</v>
      </c>
      <c r="ALY28">
        <f>SOFR3mo_PX[[#This Row],[Column1013]]</f>
        <v>98.55</v>
      </c>
      <c r="ALZ28">
        <f>SOFR3mo_PX[[#This Row],[Column1014]]</f>
        <v>98.57</v>
      </c>
      <c r="AMA28">
        <f>SOFR3mo_PX[[#This Row],[Column1015]]</f>
        <v>98.57</v>
      </c>
      <c r="AMB28">
        <f>SOFR3mo_PX[[#This Row],[Column1016]]</f>
        <v>98.575000000000003</v>
      </c>
      <c r="AMC28">
        <f>SOFR3mo_PX[[#This Row],[Column1017]]</f>
        <v>98.48</v>
      </c>
      <c r="AMD28">
        <f>SOFR3mo_PX[[#This Row],[Column1018]]</f>
        <v>98.46</v>
      </c>
      <c r="AME28">
        <f>SOFR3mo_PX[[#This Row],[Column1019]]</f>
        <v>98.484999999999999</v>
      </c>
      <c r="AMF28">
        <f>SOFR3mo_PX[[#This Row],[Column1020]]</f>
        <v>98.51</v>
      </c>
      <c r="AMG28">
        <f>SOFR3mo_PX[[#This Row],[Column1021]]</f>
        <v>98.465000000000003</v>
      </c>
      <c r="AMH28">
        <f>SOFR3mo_PX[[#This Row],[Column1022]]</f>
        <v>98.45</v>
      </c>
      <c r="AMI28">
        <f>SOFR3mo_PX[[#This Row],[Column1023]]</f>
        <v>98.47</v>
      </c>
      <c r="AMJ28">
        <f>SOFR3mo_PX[[#This Row],[Column1024]]</f>
        <v>98.465000000000003</v>
      </c>
      <c r="AMK28">
        <f>SOFR3mo_PX[[#This Row],[Column1025]]</f>
        <v>98.57</v>
      </c>
      <c r="AML28">
        <f>SOFR3mo_PX[[#This Row],[Column1026]]</f>
        <v>98.644999999999996</v>
      </c>
      <c r="AMM28">
        <f>SOFR3mo_PX[[#This Row],[Column1027]]</f>
        <v>98.47</v>
      </c>
      <c r="AMN28">
        <f>SOFR3mo_PX[[#This Row],[Column1028]]</f>
        <v>98.47</v>
      </c>
      <c r="AMO28">
        <f>SOFR3mo_PX[[#This Row],[Column1029]]</f>
        <v>98.36</v>
      </c>
      <c r="AMP28">
        <f>SOFR3mo_PX[[#This Row],[Column1030]]</f>
        <v>98.27</v>
      </c>
      <c r="AMQ28">
        <f>SOFR3mo_PX[[#This Row],[Column1031]]</f>
        <v>98.34</v>
      </c>
      <c r="AMR28">
        <f>SOFR3mo_PX[[#This Row],[Column1032]]</f>
        <v>98.334999999999994</v>
      </c>
      <c r="AMS28">
        <f>SOFR3mo_PX[[#This Row],[Column1033]]</f>
        <v>98.43</v>
      </c>
      <c r="AMT28">
        <f>SOFR3mo_PX[[#This Row],[Column1034]]</f>
        <v>98.415000000000006</v>
      </c>
      <c r="AMU28">
        <f>SOFR3mo_PX[[#This Row],[Column1035]]</f>
        <v>98.355000000000004</v>
      </c>
      <c r="AMV28">
        <f>SOFR3mo_PX[[#This Row],[Column1036]]</f>
        <v>98.265000000000001</v>
      </c>
      <c r="AMW28">
        <f>SOFR3mo_PX[[#This Row],[Column1037]]</f>
        <v>98.265000000000001</v>
      </c>
      <c r="AMX28">
        <f>SOFR3mo_PX[[#This Row],[Column1038]]</f>
        <v>98.2</v>
      </c>
      <c r="AMY28">
        <f>SOFR3mo_PX[[#This Row],[Column1039]]</f>
        <v>98.234999999999999</v>
      </c>
      <c r="AMZ28">
        <f>SOFR3mo_PX[[#This Row],[Column1040]]</f>
        <v>98.17</v>
      </c>
      <c r="ANA28">
        <f>SOFR3mo_PX[[#This Row],[Column1041]]</f>
        <v>98.16</v>
      </c>
      <c r="ANB28">
        <f>SOFR3mo_PX[[#This Row],[Column1042]]</f>
        <v>98.075000000000003</v>
      </c>
      <c r="ANC28">
        <f>SOFR3mo_PX[[#This Row],[Column1043]]</f>
        <v>98.12</v>
      </c>
      <c r="AND28">
        <f>SOFR3mo_PX[[#This Row],[Column1044]]</f>
        <v>98.114999999999995</v>
      </c>
      <c r="ANE28">
        <f>SOFR3mo_PX[[#This Row],[Column1045]]</f>
        <v>98.15</v>
      </c>
      <c r="ANF28">
        <f>SOFR3mo_PX[[#This Row],[Column1046]]</f>
        <v>98.144999999999996</v>
      </c>
      <c r="ANG28">
        <f>SOFR3mo_PX[[#This Row],[Column1047]]</f>
        <v>98.204999999999998</v>
      </c>
      <c r="ANH28">
        <f>SOFR3mo_PX[[#This Row],[Column1048]]</f>
        <v>98.1</v>
      </c>
      <c r="ANI28">
        <f>SOFR3mo_PX[[#This Row],[Column1049]]</f>
        <v>97.96</v>
      </c>
      <c r="ANJ28">
        <f>SOFR3mo_PX[[#This Row],[Column1050]]</f>
        <v>98.06</v>
      </c>
      <c r="ANK28">
        <f>SOFR3mo_PX[[#This Row],[Column1051]]</f>
        <v>98.045000000000002</v>
      </c>
      <c r="ANL28">
        <f>SOFR3mo_PX[[#This Row],[Column1052]]</f>
        <v>98.03</v>
      </c>
      <c r="ANM28">
        <f>SOFR3mo_PX[[#This Row],[Column1053]]</f>
        <v>98.05</v>
      </c>
      <c r="ANN28">
        <f>SOFR3mo_PX[[#This Row],[Column1054]]</f>
        <v>98.015000000000001</v>
      </c>
      <c r="ANO28">
        <f>SOFR3mo_PX[[#This Row],[Column1055]]</f>
        <v>97.965000000000003</v>
      </c>
      <c r="ANP28">
        <f>SOFR3mo_PX[[#This Row],[Column1056]]</f>
        <v>97.92</v>
      </c>
      <c r="ANQ28">
        <f>SOFR3mo_PX[[#This Row],[Column1057]]</f>
        <v>97.91</v>
      </c>
      <c r="ANR28">
        <f>SOFR3mo_PX[[#This Row],[Column1058]]</f>
        <v>97.814999999999998</v>
      </c>
      <c r="ANS28">
        <f>SOFR3mo_PX[[#This Row],[Column1059]]</f>
        <v>97.864999999999995</v>
      </c>
      <c r="ANT28">
        <f>SOFR3mo_PX[[#This Row],[Column1060]]</f>
        <v>97.83</v>
      </c>
      <c r="ANU28">
        <f>SOFR3mo_PX[[#This Row],[Column1061]]</f>
        <v>97.875</v>
      </c>
      <c r="ANV28">
        <f>SOFR3mo_PX[[#This Row],[Column1062]]</f>
        <v>97.875</v>
      </c>
      <c r="ANW28">
        <f>SOFR3mo_PX[[#This Row],[Column1063]]</f>
        <v>97.864999999999995</v>
      </c>
      <c r="ANX28">
        <f>SOFR3mo_PX[[#This Row],[Column1064]]</f>
        <v>97.915000000000006</v>
      </c>
      <c r="ANY28">
        <f>SOFR3mo_PX[[#This Row],[Column1065]]</f>
        <v>97.93</v>
      </c>
      <c r="ANZ28">
        <f>SOFR3mo_PX[[#This Row],[Column1066]]</f>
        <v>97.88</v>
      </c>
      <c r="AOA28">
        <f>SOFR3mo_PX[[#This Row],[Column1067]]</f>
        <v>97.84</v>
      </c>
      <c r="AOB28">
        <f>SOFR3mo_PX[[#This Row],[Column1068]]</f>
        <v>97.844999999999999</v>
      </c>
      <c r="AOC28">
        <f>SOFR3mo_PX[[#This Row],[Column1069]]</f>
        <v>97.784999999999997</v>
      </c>
      <c r="AOD28">
        <f>SOFR3mo_PX[[#This Row],[Column1070]]</f>
        <v>97.825000000000003</v>
      </c>
      <c r="AOE28">
        <f>SOFR3mo_PX[[#This Row],[Column1071]]</f>
        <v>97.83</v>
      </c>
      <c r="AOF28">
        <f>SOFR3mo_PX[[#This Row],[Column1072]]</f>
        <v>97.84</v>
      </c>
      <c r="AOG28">
        <f>SOFR3mo_PX[[#This Row],[Column1073]]</f>
        <v>97.795000000000002</v>
      </c>
      <c r="AOH28">
        <f>SOFR3mo_PX[[#This Row],[Column1074]]</f>
        <v>97.74</v>
      </c>
      <c r="AOI28">
        <f>SOFR3mo_PX[[#This Row],[Column1075]]</f>
        <v>97.834999999999994</v>
      </c>
      <c r="AOJ28">
        <f>SOFR3mo_PX[[#This Row],[Column1076]]</f>
        <v>97.86</v>
      </c>
      <c r="AOK28">
        <f>SOFR3mo_PX[[#This Row],[Column1077]]</f>
        <v>97.89</v>
      </c>
      <c r="AOL28">
        <f>SOFR3mo_PX[[#This Row],[Column1078]]</f>
        <v>97.9</v>
      </c>
      <c r="AOM28">
        <f>SOFR3mo_PX[[#This Row],[Column1079]]</f>
        <v>97.86</v>
      </c>
      <c r="AON28">
        <f>SOFR3mo_PX[[#This Row],[Column1080]]</f>
        <v>97.834999999999994</v>
      </c>
      <c r="AOO28">
        <f>SOFR3mo_PX[[#This Row],[Column1081]]</f>
        <v>97.81</v>
      </c>
      <c r="AOP28">
        <f>SOFR3mo_PX[[#This Row],[Column1082]]</f>
        <v>97.775000000000006</v>
      </c>
      <c r="AOQ28">
        <f>SOFR3mo_PX[[#This Row],[Column1083]]</f>
        <v>97.775000000000006</v>
      </c>
      <c r="AOR28">
        <f>SOFR3mo_PX[[#This Row],[Column1084]]</f>
        <v>97.805000000000007</v>
      </c>
      <c r="AOS28">
        <f>SOFR3mo_PX[[#This Row],[Column1085]]</f>
        <v>97.814999999999998</v>
      </c>
      <c r="AOT28">
        <f>SOFR3mo_PX[[#This Row],[Column1086]]</f>
        <v>97.875</v>
      </c>
      <c r="AOU28">
        <f>SOFR3mo_PX[[#This Row],[Column1087]]</f>
        <v>97.885000000000005</v>
      </c>
      <c r="AOV28">
        <f>SOFR3mo_PX[[#This Row],[Column1088]]</f>
        <v>97.91</v>
      </c>
      <c r="AOW28">
        <f>SOFR3mo_PX[[#This Row],[Column1089]]</f>
        <v>97.894999999999996</v>
      </c>
      <c r="AOX28">
        <f>SOFR3mo_PX[[#This Row],[Column1090]]</f>
        <v>97.9</v>
      </c>
      <c r="AOY28">
        <f>SOFR3mo_PX[[#This Row],[Column1091]]</f>
        <v>97.875</v>
      </c>
      <c r="AOZ28">
        <f>SOFR3mo_PX[[#This Row],[Column1092]]</f>
        <v>97.89</v>
      </c>
      <c r="APA28">
        <f>SOFR3mo_PX[[#This Row],[Column1093]]</f>
        <v>97.93</v>
      </c>
      <c r="APB28">
        <f>SOFR3mo_PX[[#This Row],[Column1094]]</f>
        <v>97.784999999999997</v>
      </c>
      <c r="APC28">
        <f>SOFR3mo_PX[[#This Row],[Column1095]]</f>
        <v>97.775000000000006</v>
      </c>
      <c r="APD28">
        <f>SOFR3mo_PX[[#This Row],[Column1096]]</f>
        <v>97.68</v>
      </c>
      <c r="APE28">
        <f>SOFR3mo_PX[[#This Row],[Column1097]]</f>
        <v>97.69</v>
      </c>
      <c r="APF28">
        <f>SOFR3mo_PX[[#This Row],[Column1098]]</f>
        <v>97.72</v>
      </c>
      <c r="APG28">
        <f>SOFR3mo_PX[[#This Row],[Column1099]]</f>
        <v>97.69</v>
      </c>
      <c r="APH28">
        <f>SOFR3mo_PX[[#This Row],[Column1100]]</f>
        <v>97.665000000000006</v>
      </c>
      <c r="API28">
        <f>SOFR3mo_PX[[#This Row],[Column1101]]</f>
        <v>97.56</v>
      </c>
      <c r="APJ28">
        <f>SOFR3mo_PX[[#This Row],[Column1102]]</f>
        <v>97.545000000000002</v>
      </c>
      <c r="APK28">
        <f>SOFR3mo_PX[[#This Row],[Column1103]]</f>
        <v>97.61</v>
      </c>
      <c r="APL28">
        <f>SOFR3mo_PX[[#This Row],[Column1104]]</f>
        <v>97.504999999999995</v>
      </c>
      <c r="APM28">
        <f>SOFR3mo_PX[[#This Row],[Column1105]]</f>
        <v>97.54</v>
      </c>
      <c r="APN28">
        <f>SOFR3mo_PX[[#This Row],[Column1106]]</f>
        <v>97.564999999999998</v>
      </c>
      <c r="APO28">
        <f>SOFR3mo_PX[[#This Row],[Column1107]]</f>
        <v>97.644999999999996</v>
      </c>
      <c r="APP28">
        <f>SOFR3mo_PX[[#This Row],[Column1108]]</f>
        <v>97.704999999999998</v>
      </c>
      <c r="APQ28">
        <f>SOFR3mo_PX[[#This Row],[Column1109]]</f>
        <v>97.69</v>
      </c>
      <c r="APR28">
        <f>SOFR3mo_PX[[#This Row],[Column1110]]</f>
        <v>97.67</v>
      </c>
      <c r="APS28">
        <f>SOFR3mo_PX[[#This Row],[Column1111]]</f>
        <v>97.61</v>
      </c>
      <c r="APT28">
        <f>SOFR3mo_PX[[#This Row],[Column1112]]</f>
        <v>97.564999999999998</v>
      </c>
      <c r="APU28">
        <f>SOFR3mo_PX[[#This Row],[Column1113]]</f>
        <v>97.71</v>
      </c>
      <c r="APV28">
        <f>SOFR3mo_PX[[#This Row],[Column1114]]</f>
        <v>97.9</v>
      </c>
      <c r="APW28">
        <f>SOFR3mo_PX[[#This Row],[Column1115]]</f>
        <v>97.905000000000001</v>
      </c>
      <c r="APX28">
        <f>SOFR3mo_PX[[#This Row],[Column1116]]</f>
        <v>97.9</v>
      </c>
      <c r="APY28">
        <f>SOFR3mo_PX[[#This Row],[Column1117]]</f>
        <v>97.885000000000005</v>
      </c>
      <c r="APZ28">
        <f>SOFR3mo_PX[[#This Row],[Column1118]]</f>
        <v>97.954999999999998</v>
      </c>
      <c r="AQA28">
        <f>SOFR3mo_PX[[#This Row],[Column1119]]</f>
        <v>97.974999999999994</v>
      </c>
      <c r="AQB28">
        <f>SOFR3mo_PX[[#This Row],[Column1120]]</f>
        <v>97.944999999999993</v>
      </c>
      <c r="AQC28">
        <f>SOFR3mo_PX[[#This Row],[Column1121]]</f>
        <v>97.89</v>
      </c>
      <c r="AQD28">
        <f>SOFR3mo_PX[[#This Row],[Column1122]]</f>
        <v>97.954999999999998</v>
      </c>
      <c r="AQE28">
        <f>SOFR3mo_PX[[#This Row],[Column1123]]</f>
        <v>97.944999999999993</v>
      </c>
      <c r="AQF28">
        <f>SOFR3mo_PX[[#This Row],[Column1124]]</f>
        <v>98.01</v>
      </c>
      <c r="AQG28">
        <f>SOFR3mo_PX[[#This Row],[Column1125]]</f>
        <v>98.064999999999998</v>
      </c>
      <c r="AQH28">
        <f>SOFR3mo_PX[[#This Row],[Column1126]]</f>
        <v>98.025000000000006</v>
      </c>
      <c r="AQI28">
        <f>SOFR3mo_PX[[#This Row],[Column1127]]</f>
        <v>97.96</v>
      </c>
      <c r="AQJ28">
        <f>SOFR3mo_PX[[#This Row],[Column1128]]</f>
        <v>97.965000000000003</v>
      </c>
      <c r="AQK28">
        <f>SOFR3mo_PX[[#This Row],[Column1129]]</f>
        <v>98.07</v>
      </c>
      <c r="AQL28">
        <f>SOFR3mo_PX[[#This Row],[Column1130]]</f>
        <v>98.094999999999999</v>
      </c>
      <c r="AQM28">
        <f>SOFR3mo_PX[[#This Row],[Column1131]]</f>
        <v>98.084999999999994</v>
      </c>
      <c r="AQN28">
        <f>SOFR3mo_PX[[#This Row],[Column1132]]</f>
        <v>98.12</v>
      </c>
      <c r="AQO28">
        <f>SOFR3mo_PX[[#This Row],[Column1133]]</f>
        <v>98.165000000000006</v>
      </c>
      <c r="AQP28">
        <f>SOFR3mo_PX[[#This Row],[Column1134]]</f>
        <v>98.19</v>
      </c>
      <c r="AQQ28">
        <f>SOFR3mo_PX[[#This Row],[Column1135]]</f>
        <v>98.215000000000003</v>
      </c>
      <c r="AQR28">
        <f>SOFR3mo_PX[[#This Row],[Column1136]]</f>
        <v>98.334999999999994</v>
      </c>
      <c r="AQS28">
        <f>SOFR3mo_PX[[#This Row],[Column1137]]</f>
        <v>98.334999999999994</v>
      </c>
      <c r="AQT28">
        <f>SOFR3mo_PX[[#This Row],[Column1138]]</f>
        <v>98.42</v>
      </c>
      <c r="AQU28">
        <f>SOFR3mo_PX[[#This Row],[Column1139]]</f>
        <v>98.43</v>
      </c>
      <c r="AQV28">
        <f>SOFR3mo_PX[[#This Row],[Column1140]]</f>
        <v>98.415000000000006</v>
      </c>
      <c r="AQW28">
        <f>SOFR3mo_PX[[#This Row],[Column1141]]</f>
        <v>98.405000000000001</v>
      </c>
      <c r="AQX28">
        <f>SOFR3mo_PX[[#This Row],[Column1142]]</f>
        <v>98.424999999999997</v>
      </c>
      <c r="AQY28">
        <f>SOFR3mo_PX[[#This Row],[Column1143]]</f>
        <v>98.43</v>
      </c>
      <c r="AQZ28">
        <f>SOFR3mo_PX[[#This Row],[Column1144]]</f>
        <v>98.525000000000006</v>
      </c>
      <c r="ARA28">
        <f>SOFR3mo_PX[[#This Row],[Column1145]]</f>
        <v>98.54</v>
      </c>
      <c r="ARB28">
        <f>SOFR3mo_PX[[#This Row],[Column1146]]</f>
        <v>98.605000000000004</v>
      </c>
      <c r="ARC28">
        <f>SOFR3mo_PX[[#This Row],[Column1147]]</f>
        <v>98.605000000000004</v>
      </c>
      <c r="ARD28">
        <f>SOFR3mo_PX[[#This Row],[Column1148]]</f>
        <v>98.61</v>
      </c>
      <c r="ARE28">
        <f>SOFR3mo_PX[[#This Row],[Column1149]]</f>
        <v>98.61</v>
      </c>
      <c r="ARF28">
        <f>SOFR3mo_PX[[#This Row],[Column1150]]</f>
        <v>98.605000000000004</v>
      </c>
      <c r="ARG28">
        <f>SOFR3mo_PX[[#This Row],[Column1151]]</f>
        <v>98.61</v>
      </c>
      <c r="ARH28">
        <f>SOFR3mo_PX[[#This Row],[Column1152]]</f>
        <v>98.61</v>
      </c>
      <c r="ARI28">
        <f>SOFR3mo_PX[[#This Row],[Column1153]]</f>
        <v>98.605000000000004</v>
      </c>
      <c r="ARJ28">
        <f>SOFR3mo_PX[[#This Row],[Column1154]]</f>
        <v>98.62</v>
      </c>
      <c r="ARK28">
        <f>SOFR3mo_PX[[#This Row],[Column1155]]</f>
        <v>98.62</v>
      </c>
      <c r="ARL28">
        <f>SOFR3mo_PX[[#This Row],[Column1156]]</f>
        <v>98.61</v>
      </c>
      <c r="ARM28">
        <f>SOFR3mo_PX[[#This Row],[Column1157]]</f>
        <v>98.61</v>
      </c>
      <c r="ARN28">
        <f>SOFR3mo_PX[[#This Row],[Column1158]]</f>
        <v>98.64</v>
      </c>
      <c r="ARO28">
        <f>SOFR3mo_PX[[#This Row],[Column1159]]</f>
        <v>98.625</v>
      </c>
      <c r="ARP28">
        <f>SOFR3mo_PX[[#This Row],[Column1160]]</f>
        <v>98.6</v>
      </c>
      <c r="ARQ28">
        <f>SOFR3mo_PX[[#This Row],[Column1161]]</f>
        <v>98.605000000000004</v>
      </c>
      <c r="ARR28">
        <f>SOFR3mo_PX[[#This Row],[Column1162]]</f>
        <v>98.61</v>
      </c>
      <c r="ARS28">
        <f>SOFR3mo_PX[[#This Row],[Column1163]]</f>
        <v>98.65</v>
      </c>
      <c r="ART28">
        <f>SOFR3mo_PX[[#This Row],[Column1164]]</f>
        <v>98.82</v>
      </c>
      <c r="ARU28">
        <f>SOFR3mo_PX[[#This Row],[Column1165]]</f>
        <v>98.864999999999995</v>
      </c>
      <c r="ARV28">
        <f>SOFR3mo_PX[[#This Row],[Column1166]]</f>
        <v>98.875</v>
      </c>
      <c r="ARW28">
        <f>SOFR3mo_PX[[#This Row],[Column1167]]</f>
        <v>98.864999999999995</v>
      </c>
      <c r="ARX28">
        <f>SOFR3mo_PX[[#This Row],[Column1168]]</f>
        <v>98.864999999999995</v>
      </c>
      <c r="ARY28">
        <f>SOFR3mo_PX[[#This Row],[Column1169]]</f>
        <v>98.855000000000004</v>
      </c>
      <c r="ARZ28">
        <f>SOFR3mo_PX[[#This Row],[Column1170]]</f>
        <v>98.84</v>
      </c>
      <c r="ASA28">
        <f>SOFR3mo_PX[[#This Row],[Column1171]]</f>
        <v>98.834999999999994</v>
      </c>
      <c r="ASB28">
        <f>SOFR3mo_PX[[#This Row],[Column1172]]</f>
        <v>98.84</v>
      </c>
      <c r="ASC28">
        <f>SOFR3mo_PX[[#This Row],[Column1173]]</f>
        <v>98.84</v>
      </c>
      <c r="ASD28">
        <f>SOFR3mo_PX[[#This Row],[Column1174]]</f>
        <v>98.84</v>
      </c>
      <c r="ASE28">
        <f>SOFR3mo_PX[[#This Row],[Column1175]]</f>
        <v>98.844999999999999</v>
      </c>
      <c r="ASF28">
        <f>SOFR3mo_PX[[#This Row],[Column1176]]</f>
        <v>98.84</v>
      </c>
      <c r="ASG28">
        <f>SOFR3mo_PX[[#This Row],[Column1177]]</f>
        <v>98.84</v>
      </c>
      <c r="ASH28">
        <f>SOFR3mo_PX[[#This Row],[Column1178]]</f>
        <v>98.93</v>
      </c>
      <c r="ASI28">
        <f>SOFR3mo_PX[[#This Row],[Column1179]]</f>
        <v>98.94</v>
      </c>
      <c r="ASJ28">
        <f>SOFR3mo_PX[[#This Row],[Column1180]]</f>
        <v>98.99</v>
      </c>
      <c r="ASK28">
        <f>SOFR3mo_PX[[#This Row],[Column1181]]</f>
        <v>98.99</v>
      </c>
      <c r="ASL28">
        <f>SOFR3mo_PX[[#This Row],[Column1182]]</f>
        <v>98.99</v>
      </c>
      <c r="ASM28">
        <f>SOFR3mo_PX[[#This Row],[Column1183]]</f>
        <v>99.114999999999995</v>
      </c>
      <c r="ASN28">
        <f>SOFR3mo_PX[[#This Row],[Column1184]]</f>
        <v>99.495000000000005</v>
      </c>
      <c r="ASO28">
        <f>SOFR3mo_PX[[#This Row],[Column1185]]</f>
        <v>99.6</v>
      </c>
      <c r="ASP28">
        <f>SOFR3mo_PX[[#This Row],[Column1186]]</f>
        <v>99.6</v>
      </c>
      <c r="ASQ28">
        <f>SOFR3mo_PX[[#This Row],[Column1187]]</f>
        <v>99.61</v>
      </c>
      <c r="ASR28">
        <f>SOFR3mo_PX[[#This Row],[Column1188]]</f>
        <v>99.625</v>
      </c>
      <c r="ASS28">
        <f>SOFR3mo_PX[[#This Row],[Column1189]]</f>
        <v>99.63</v>
      </c>
      <c r="AST28">
        <f>SOFR3mo_PX[[#This Row],[Column1190]]</f>
        <v>99.635000000000005</v>
      </c>
      <c r="ASU28">
        <f>SOFR3mo_PX[[#This Row],[Column1191]]</f>
        <v>99.66</v>
      </c>
      <c r="ASV28">
        <f>SOFR3mo_PX[[#This Row],[Column1192]]</f>
        <v>99.665000000000006</v>
      </c>
      <c r="ASW28">
        <f>SOFR3mo_PX[[#This Row],[Column1193]]</f>
        <v>99.66</v>
      </c>
      <c r="ASX28">
        <f>SOFR3mo_PX[[#This Row],[Column1194]]</f>
        <v>99.66</v>
      </c>
      <c r="ASY28">
        <f>SOFR3mo_PX[[#This Row],[Column1195]]</f>
        <v>99.655000000000001</v>
      </c>
      <c r="ASZ28">
        <f>SOFR3mo_PX[[#This Row],[Column1196]]</f>
        <v>99.65</v>
      </c>
      <c r="ATA28">
        <f>SOFR3mo_PX[[#This Row],[Column1197]]</f>
        <v>99.665000000000006</v>
      </c>
      <c r="ATB28">
        <f>SOFR3mo_PX[[#This Row],[Column1198]]</f>
        <v>99.66</v>
      </c>
      <c r="ATC28">
        <f>SOFR3mo_PX[[#This Row],[Column1199]]</f>
        <v>99.66</v>
      </c>
      <c r="ATD28">
        <f>SOFR3mo_PX[[#This Row],[Column1200]]</f>
        <v>99.665000000000006</v>
      </c>
      <c r="ATE28">
        <f>SOFR3mo_PX[[#This Row],[Column1201]]</f>
        <v>99.655000000000001</v>
      </c>
      <c r="ATF28">
        <f>SOFR3mo_PX[[#This Row],[Column1202]]</f>
        <v>99.655000000000001</v>
      </c>
      <c r="ATG28">
        <f>SOFR3mo_PX[[#This Row],[Column1203]]</f>
        <v>99.65</v>
      </c>
      <c r="ATH28">
        <f>SOFR3mo_PX[[#This Row],[Column1204]]</f>
        <v>99.63</v>
      </c>
      <c r="ATI28">
        <f>SOFR3mo_PX[[#This Row],[Column1205]]</f>
        <v>99.63</v>
      </c>
      <c r="ATJ28">
        <f>SOFR3mo_PX[[#This Row],[Column1206]]</f>
        <v>99.665000000000006</v>
      </c>
      <c r="ATK28">
        <f>SOFR3mo_PX[[#This Row],[Column1207]]</f>
        <v>99.71</v>
      </c>
      <c r="ATL28">
        <f>SOFR3mo_PX[[#This Row],[Column1208]]</f>
        <v>99.715000000000003</v>
      </c>
      <c r="ATM28">
        <f>SOFR3mo_PX[[#This Row],[Column1209]]</f>
        <v>99.734999999999999</v>
      </c>
      <c r="ATN28">
        <f>SOFR3mo_PX[[#This Row],[Column1210]]</f>
        <v>99.704999999999998</v>
      </c>
      <c r="ATO28">
        <f>SOFR3mo_PX[[#This Row],[Column1211]]</f>
        <v>99.715000000000003</v>
      </c>
      <c r="ATP28">
        <f>SOFR3mo_PX[[#This Row],[Column1212]]</f>
        <v>99.71</v>
      </c>
      <c r="ATQ28">
        <f>SOFR3mo_PX[[#This Row],[Column1213]]</f>
        <v>99.715000000000003</v>
      </c>
      <c r="ATR28">
        <f>SOFR3mo_PX[[#This Row],[Column1214]]</f>
        <v>99.724999999999994</v>
      </c>
      <c r="ATS28">
        <f>SOFR3mo_PX[[#This Row],[Column1215]]</f>
        <v>99.724999999999994</v>
      </c>
      <c r="ATT28">
        <f>SOFR3mo_PX[[#This Row],[Column1216]]</f>
        <v>99.72</v>
      </c>
      <c r="ATU28">
        <f>SOFR3mo_PX[[#This Row],[Column1217]]</f>
        <v>99.71</v>
      </c>
      <c r="ATV28">
        <f>SOFR3mo_PX[[#This Row],[Column1218]]</f>
        <v>99.7</v>
      </c>
      <c r="ATW28">
        <f>SOFR3mo_PX[[#This Row],[Column1219]]</f>
        <v>99.724999999999994</v>
      </c>
      <c r="ATX28">
        <f>SOFR3mo_PX[[#This Row],[Column1220]]</f>
        <v>99.724999999999994</v>
      </c>
      <c r="ATY28">
        <f>SOFR3mo_PX[[#This Row],[Column1221]]</f>
        <v>99.734999999999999</v>
      </c>
      <c r="ATZ28">
        <f>SOFR3mo_PX[[#This Row],[Column1222]]</f>
        <v>99.745000000000005</v>
      </c>
      <c r="AUA28">
        <f>SOFR3mo_PX[[#This Row],[Column1223]]</f>
        <v>99.74</v>
      </c>
      <c r="AUB28">
        <f>SOFR3mo_PX[[#This Row],[Column1224]]</f>
        <v>99.745000000000005</v>
      </c>
      <c r="AUC28">
        <f>SOFR3mo_PX[[#This Row],[Column1225]]</f>
        <v>99.74</v>
      </c>
      <c r="AUD28">
        <f>SOFR3mo_PX[[#This Row],[Column1226]]</f>
        <v>99.724999999999994</v>
      </c>
      <c r="AUE28">
        <f>SOFR3mo_PX[[#This Row],[Column1227]]</f>
        <v>99.72</v>
      </c>
      <c r="AUF28">
        <f>SOFR3mo_PX[[#This Row],[Column1228]]</f>
        <v>99.734999999999999</v>
      </c>
      <c r="AUG28">
        <f>SOFR3mo_PX[[#This Row],[Column1229]]</f>
        <v>99.73</v>
      </c>
      <c r="AUH28">
        <f>SOFR3mo_PX[[#This Row],[Column1230]]</f>
        <v>99.754999999999995</v>
      </c>
      <c r="AUI28">
        <f>SOFR3mo_PX[[#This Row],[Column1231]]</f>
        <v>99.754999999999995</v>
      </c>
      <c r="AUJ28">
        <f>SOFR3mo_PX[[#This Row],[Column1232]]</f>
        <v>99.805000000000007</v>
      </c>
      <c r="AUK28">
        <f>SOFR3mo_PX[[#This Row],[Column1233]]</f>
        <v>99.805000000000007</v>
      </c>
      <c r="AUL28">
        <f>SOFR3mo_PX[[#This Row],[Column1234]]</f>
        <v>99.805000000000007</v>
      </c>
      <c r="AUM28">
        <f>SOFR3mo_PX[[#This Row],[Column1235]]</f>
        <v>99.81</v>
      </c>
      <c r="AUN28">
        <f>SOFR3mo_PX[[#This Row],[Column1236]]</f>
        <v>99.81</v>
      </c>
      <c r="AUO28">
        <f>SOFR3mo_PX[[#This Row],[Column1237]]</f>
        <v>99.82</v>
      </c>
      <c r="AUP28">
        <f>SOFR3mo_PX[[#This Row],[Column1238]]</f>
        <v>99.82</v>
      </c>
      <c r="AUQ28">
        <f>SOFR3mo_PX[[#This Row],[Column1239]]</f>
        <v>99.825000000000003</v>
      </c>
      <c r="AUR28">
        <f>SOFR3mo_PX[[#This Row],[Column1240]]</f>
        <v>99.825000000000003</v>
      </c>
      <c r="AUS28">
        <f>SOFR3mo_PX[[#This Row],[Column1241]]</f>
        <v>99.814999999999998</v>
      </c>
      <c r="AUT28">
        <f>SOFR3mo_PX[[#This Row],[Column1242]]</f>
        <v>99.795000000000002</v>
      </c>
      <c r="AUU28">
        <f>SOFR3mo_PX[[#This Row],[Column1243]]</f>
        <v>99.81</v>
      </c>
      <c r="AUV28">
        <f>SOFR3mo_PX[[#This Row],[Column1244]]</f>
        <v>99.805000000000007</v>
      </c>
      <c r="AUW28">
        <f>SOFR3mo_PX[[#This Row],[Column1245]]</f>
        <v>99.834999999999994</v>
      </c>
      <c r="AUX28">
        <f>SOFR3mo_PX[[#This Row],[Column1246]]</f>
        <v>99.84</v>
      </c>
      <c r="AUY28">
        <f>SOFR3mo_PX[[#This Row],[Column1247]]</f>
        <v>99.83</v>
      </c>
      <c r="AUZ28">
        <f>SOFR3mo_PX[[#This Row],[Column1248]]</f>
        <v>99.805000000000007</v>
      </c>
      <c r="AVA28">
        <f>SOFR3mo_PX[[#This Row],[Column1249]]</f>
        <v>99.8</v>
      </c>
      <c r="AVB28">
        <f>SOFR3mo_PX[[#This Row],[Column1250]]</f>
        <v>99.805000000000007</v>
      </c>
      <c r="AVC28">
        <f>SOFR3mo_PX[[#This Row],[Column1251]]</f>
        <v>99.795000000000002</v>
      </c>
      <c r="AVD28">
        <f>SOFR3mo_PX[[#This Row],[Column1252]]</f>
        <v>99.795000000000002</v>
      </c>
      <c r="AVE28">
        <f>SOFR3mo_PX[[#This Row],[Column1253]]</f>
        <v>99.825000000000003</v>
      </c>
      <c r="AVF28">
        <f>SOFR3mo_PX[[#This Row],[Column1254]]</f>
        <v>99.814999999999998</v>
      </c>
      <c r="AVG28">
        <f>SOFR3mo_PX[[#This Row],[Column1255]]</f>
        <v>99.825000000000003</v>
      </c>
      <c r="AVH28">
        <f>SOFR3mo_PX[[#This Row],[Column1256]]</f>
        <v>99.82</v>
      </c>
      <c r="AVI28">
        <f>SOFR3mo_PX[[#This Row],[Column1257]]</f>
        <v>99.814999999999998</v>
      </c>
      <c r="AVJ28">
        <f>SOFR3mo_PX[[#This Row],[Column1258]]</f>
        <v>99.795000000000002</v>
      </c>
      <c r="AVK28">
        <f>SOFR3mo_PX[[#This Row],[Column1259]]</f>
        <v>99.805000000000007</v>
      </c>
      <c r="AVL28">
        <f>SOFR3mo_PX[[#This Row],[Column1260]]</f>
        <v>99.81</v>
      </c>
      <c r="AVM28">
        <f>SOFR3mo_PX[[#This Row],[Column1261]]</f>
        <v>99.82</v>
      </c>
      <c r="AVN28">
        <f>SOFR3mo_PX[[#This Row],[Column1262]]</f>
        <v>99.814999999999998</v>
      </c>
      <c r="AVO28">
        <f>SOFR3mo_PX[[#This Row],[Column1263]]</f>
        <v>99.825000000000003</v>
      </c>
      <c r="AVP28">
        <f>SOFR3mo_PX[[#This Row],[Column1264]]</f>
        <v>99.825000000000003</v>
      </c>
      <c r="AVQ28">
        <f>SOFR3mo_PX[[#This Row],[Column1265]]</f>
        <v>99.814999999999998</v>
      </c>
      <c r="AVR28">
        <f>SOFR3mo_PX[[#This Row],[Column1266]]</f>
        <v>99.8</v>
      </c>
      <c r="AVS28">
        <f>SOFR3mo_PX[[#This Row],[Column1267]]</f>
        <v>99.79</v>
      </c>
      <c r="AVT28">
        <f>SOFR3mo_PX[[#This Row],[Column1268]]</f>
        <v>99.79</v>
      </c>
      <c r="AVU28">
        <f>SOFR3mo_PX[[#This Row],[Column1269]]</f>
        <v>99.795000000000002</v>
      </c>
      <c r="AVV28">
        <f>SOFR3mo_PX[[#This Row],[Column1270]]</f>
        <v>99.795000000000002</v>
      </c>
      <c r="AVW28">
        <f>SOFR3mo_PX[[#This Row],[Column1271]]</f>
        <v>99.83</v>
      </c>
      <c r="AVX28">
        <f>SOFR3mo_PX[[#This Row],[Column1272]]</f>
        <v>99.84</v>
      </c>
      <c r="AVY28">
        <f>SOFR3mo_PX[[#This Row],[Column1273]]</f>
        <v>99.86</v>
      </c>
      <c r="AVZ28">
        <f>SOFR3mo_PX[[#This Row],[Column1274]]</f>
        <v>99.864999999999995</v>
      </c>
      <c r="AWA28">
        <f>SOFR3mo_PX[[#This Row],[Column1275]]</f>
        <v>99.875</v>
      </c>
      <c r="AWB28">
        <f>SOFR3mo_PX[[#This Row],[Column1276]]</f>
        <v>99.864999999999995</v>
      </c>
      <c r="AWC28">
        <f>SOFR3mo_PX[[#This Row],[Column1277]]</f>
        <v>99.86</v>
      </c>
      <c r="AWD28">
        <f>SOFR3mo_PX[[#This Row],[Column1278]]</f>
        <v>99.855000000000004</v>
      </c>
      <c r="AWE28">
        <f>SOFR3mo_PX[[#This Row],[Column1279]]</f>
        <v>99.834999999999994</v>
      </c>
      <c r="AWF28">
        <f>SOFR3mo_PX[[#This Row],[Column1280]]</f>
        <v>99.825000000000003</v>
      </c>
      <c r="AWG28">
        <f>SOFR3mo_PX[[#This Row],[Column1281]]</f>
        <v>99.82</v>
      </c>
      <c r="AWH28">
        <f>SOFR3mo_PX[[#This Row],[Column1282]]</f>
        <v>99.83</v>
      </c>
      <c r="AWI28">
        <f>SOFR3mo_PX[[#This Row],[Column1283]]</f>
        <v>99.834999999999994</v>
      </c>
      <c r="AWJ28">
        <f>SOFR3mo_PX[[#This Row],[Column1284]]</f>
        <v>99.834999999999994</v>
      </c>
      <c r="AWK28">
        <f>SOFR3mo_PX[[#This Row],[Column1285]]</f>
        <v>99.83</v>
      </c>
      <c r="AWL28">
        <f>SOFR3mo_PX[[#This Row],[Column1286]]</f>
        <v>99.83</v>
      </c>
      <c r="AWM28">
        <f>SOFR3mo_PX[[#This Row],[Column1287]]</f>
        <v>99.825000000000003</v>
      </c>
      <c r="AWN28">
        <f>SOFR3mo_PX[[#This Row],[Column1288]]</f>
        <v>99.825000000000003</v>
      </c>
      <c r="AWO28">
        <f>SOFR3mo_PX[[#This Row],[Column1289]]</f>
        <v>99.82</v>
      </c>
      <c r="AWP28">
        <f>SOFR3mo_PX[[#This Row],[Column1290]]</f>
        <v>99.83</v>
      </c>
      <c r="AWQ28">
        <f>SOFR3mo_PX[[#This Row],[Column1291]]</f>
        <v>99.83</v>
      </c>
      <c r="AWR28">
        <f>SOFR3mo_PX[[#This Row],[Column1292]]</f>
        <v>99.844999999999999</v>
      </c>
      <c r="AWS28">
        <f>SOFR3mo_PX[[#This Row],[Column1293]]</f>
        <v>99.86</v>
      </c>
      <c r="AWT28">
        <f>SOFR3mo_PX[[#This Row],[Column1294]]</f>
        <v>99.844999999999999</v>
      </c>
      <c r="AWU28">
        <f>SOFR3mo_PX[[#This Row],[Column1295]]</f>
        <v>99.84</v>
      </c>
      <c r="AWV28">
        <f>SOFR3mo_PX[[#This Row],[Column1296]]</f>
        <v>99.834999999999994</v>
      </c>
      <c r="AWW28">
        <f>SOFR3mo_PX[[#This Row],[Column1297]]</f>
        <v>99.834999999999994</v>
      </c>
      <c r="AWX28">
        <f>SOFR3mo_PX[[#This Row],[Column1298]]</f>
        <v>99.834999999999994</v>
      </c>
      <c r="AWY28">
        <f>SOFR3mo_PX[[#This Row],[Column1299]]</f>
        <v>99.825000000000003</v>
      </c>
      <c r="AWZ28">
        <f>SOFR3mo_PX[[#This Row],[Column1300]]</f>
        <v>99.844999999999999</v>
      </c>
      <c r="AXA28">
        <f>SOFR3mo_PX[[#This Row],[Column1301]]</f>
        <v>99.844999999999999</v>
      </c>
      <c r="AXB28">
        <f>SOFR3mo_PX[[#This Row],[Column1302]]</f>
        <v>99.834999999999994</v>
      </c>
      <c r="AXC28">
        <f>SOFR3mo_PX[[#This Row],[Column1303]]</f>
        <v>99.814999999999998</v>
      </c>
      <c r="AXD28">
        <f>SOFR3mo_PX[[#This Row],[Column1304]]</f>
        <v>99.814999999999998</v>
      </c>
      <c r="AXE28">
        <f>SOFR3mo_PX[[#This Row],[Column1305]]</f>
        <v>99.814999999999998</v>
      </c>
      <c r="AXF28">
        <f>SOFR3mo_PX[[#This Row],[Column1306]]</f>
        <v>99.81</v>
      </c>
      <c r="AXG28">
        <f>SOFR3mo_PX[[#This Row],[Column1307]]</f>
        <v>99.8</v>
      </c>
      <c r="AXH28">
        <f>SOFR3mo_PX[[#This Row],[Column1308]]</f>
        <v>99.78</v>
      </c>
      <c r="AXI28">
        <f>SOFR3mo_PX[[#This Row],[Column1309]]</f>
        <v>99.775000000000006</v>
      </c>
      <c r="AXJ28">
        <f>SOFR3mo_PX[[#This Row],[Column1310]]</f>
        <v>99.765000000000001</v>
      </c>
      <c r="AXK28">
        <f>SOFR3mo_PX[[#This Row],[Column1311]]</f>
        <v>99.78</v>
      </c>
      <c r="AXL28">
        <f>SOFR3mo_PX[[#This Row],[Column1312]]</f>
        <v>99.77</v>
      </c>
      <c r="AXM28">
        <f>SOFR3mo_PX[[#This Row],[Column1313]]</f>
        <v>99.78</v>
      </c>
      <c r="AXN28">
        <f>SOFR3mo_PX[[#This Row],[Column1314]]</f>
        <v>99.754999999999995</v>
      </c>
      <c r="AXO28">
        <f>SOFR3mo_PX[[#This Row],[Column1315]]</f>
        <v>99.704999999999998</v>
      </c>
      <c r="AXP28">
        <f>SOFR3mo_PX[[#This Row],[Column1316]]</f>
        <v>99.67</v>
      </c>
      <c r="AXQ28">
        <f>SOFR3mo_PX[[#This Row],[Column1317]]</f>
        <v>99.665000000000006</v>
      </c>
      <c r="AXR28">
        <f>SOFR3mo_PX[[#This Row],[Column1318]]</f>
        <v>99.73</v>
      </c>
      <c r="AXS28">
        <f>SOFR3mo_PX[[#This Row],[Column1319]]</f>
        <v>99.745000000000005</v>
      </c>
      <c r="AXT28">
        <f>SOFR3mo_PX[[#This Row],[Column1320]]</f>
        <v>99.78</v>
      </c>
      <c r="AXU28">
        <f>SOFR3mo_PX[[#This Row],[Column1321]]</f>
        <v>99.784999999999997</v>
      </c>
      <c r="AXV28">
        <f>SOFR3mo_PX[[#This Row],[Column1322]]</f>
        <v>99.775000000000006</v>
      </c>
      <c r="AXW28">
        <f>SOFR3mo_PX[[#This Row],[Column1323]]</f>
        <v>99.754999999999995</v>
      </c>
      <c r="AXX28">
        <f>SOFR3mo_PX[[#This Row],[Column1324]]</f>
        <v>99.76</v>
      </c>
      <c r="AXY28">
        <f>SOFR3mo_PX[[#This Row],[Column1325]]</f>
        <v>99.765000000000001</v>
      </c>
      <c r="AXZ28">
        <f>SOFR3mo_PX[[#This Row],[Column1326]]</f>
        <v>99.77</v>
      </c>
      <c r="AYA28">
        <f>SOFR3mo_PX[[#This Row],[Column1327]]</f>
        <v>99.77</v>
      </c>
      <c r="AYB28">
        <f>SOFR3mo_PX[[#This Row],[Column1328]]</f>
        <v>99.765000000000001</v>
      </c>
      <c r="AYC28">
        <f>SOFR3mo_PX[[#This Row],[Column1329]]</f>
        <v>99.765000000000001</v>
      </c>
      <c r="AYD28">
        <f>SOFR3mo_PX[[#This Row],[Column1330]]</f>
        <v>99.77</v>
      </c>
      <c r="AYE28">
        <f>SOFR3mo_PX[[#This Row],[Column1331]]</f>
        <v>99.77</v>
      </c>
      <c r="AYF28">
        <f>SOFR3mo_PX[[#This Row],[Column1332]]</f>
        <v>99.814999999999998</v>
      </c>
      <c r="AYG28">
        <f>SOFR3mo_PX[[#This Row],[Column1333]]</f>
        <v>99.79</v>
      </c>
      <c r="AYH28">
        <f>SOFR3mo_PX[[#This Row],[Column1334]]</f>
        <v>99.78</v>
      </c>
      <c r="AYI28">
        <f>SOFR3mo_PX[[#This Row],[Column1335]]</f>
        <v>99.76</v>
      </c>
      <c r="AYJ28">
        <f>SOFR3mo_PX[[#This Row],[Column1336]]</f>
        <v>99.76</v>
      </c>
      <c r="AYK28">
        <f>SOFR3mo_PX[[#This Row],[Column1337]]</f>
        <v>99.78</v>
      </c>
      <c r="AYL28">
        <f>SOFR3mo_PX[[#This Row],[Column1338]]</f>
        <v>99.79</v>
      </c>
      <c r="AYM28">
        <f>SOFR3mo_PX[[#This Row],[Column1339]]</f>
        <v>99.734999999999999</v>
      </c>
      <c r="AYN28">
        <f>SOFR3mo_PX[[#This Row],[Column1340]]</f>
        <v>99.72</v>
      </c>
      <c r="AYO28">
        <f>SOFR3mo_PX[[#This Row],[Column1341]]</f>
        <v>99.724999999999994</v>
      </c>
      <c r="AYP28">
        <f>SOFR3mo_PX[[#This Row],[Column1342]]</f>
        <v>99.71</v>
      </c>
      <c r="AYQ28">
        <f>SOFR3mo_PX[[#This Row],[Column1343]]</f>
        <v>99.715000000000003</v>
      </c>
      <c r="AYR28">
        <f>SOFR3mo_PX[[#This Row],[Column1344]]</f>
        <v>99.704999999999998</v>
      </c>
      <c r="AYS28">
        <f>SOFR3mo_PX[[#This Row],[Column1345]]</f>
        <v>99.69</v>
      </c>
      <c r="AYT28">
        <f>SOFR3mo_PX[[#This Row],[Column1346]]</f>
        <v>99.685000000000002</v>
      </c>
      <c r="AYU28">
        <f>SOFR3mo_PX[[#This Row],[Column1347]]</f>
        <v>99.694999999999993</v>
      </c>
      <c r="AYV28">
        <f>SOFR3mo_PX[[#This Row],[Column1348]]</f>
        <v>99.694999999999993</v>
      </c>
      <c r="AYW28">
        <f>SOFR3mo_PX[[#This Row],[Column1349]]</f>
        <v>99.69</v>
      </c>
      <c r="AYX28">
        <f>SOFR3mo_PX[[#This Row],[Column1350]]</f>
        <v>99.7</v>
      </c>
      <c r="AYY28">
        <f>SOFR3mo_PX[[#This Row],[Column1351]]</f>
        <v>99.68</v>
      </c>
      <c r="AYZ28">
        <f>SOFR3mo_PX[[#This Row],[Column1352]]</f>
        <v>99.67</v>
      </c>
      <c r="AZA28">
        <f>SOFR3mo_PX[[#This Row],[Column1353]]</f>
        <v>99.655000000000001</v>
      </c>
      <c r="AZB28">
        <f>SOFR3mo_PX[[#This Row],[Column1354]]</f>
        <v>99.644999999999996</v>
      </c>
      <c r="AZC28">
        <f>SOFR3mo_PX[[#This Row],[Column1355]]</f>
        <v>99.614999999999995</v>
      </c>
      <c r="AZD28">
        <f>SOFR3mo_PX[[#This Row],[Column1356]]</f>
        <v>99.6</v>
      </c>
      <c r="AZE28">
        <f>SOFR3mo_PX[[#This Row],[Column1357]]</f>
        <v>99.61</v>
      </c>
      <c r="AZF28">
        <f>SOFR3mo_PX[[#This Row],[Column1358]]</f>
        <v>99.61</v>
      </c>
      <c r="AZG28">
        <f>SOFR3mo_PX[[#This Row],[Column1359]]</f>
        <v>99.59</v>
      </c>
      <c r="AZH28">
        <f>SOFR3mo_PX[[#This Row],[Column1360]]</f>
        <v>99.575000000000003</v>
      </c>
      <c r="AZI28">
        <f>SOFR3mo_PX[[#This Row],[Column1361]]</f>
        <v>99.62</v>
      </c>
      <c r="AZJ28">
        <f>SOFR3mo_PX[[#This Row],[Column1362]]</f>
        <v>99.68</v>
      </c>
      <c r="AZK28">
        <f>SOFR3mo_PX[[#This Row],[Column1363]]</f>
        <v>99.674999999999997</v>
      </c>
      <c r="AZL28">
        <f>SOFR3mo_PX[[#This Row],[Column1364]]</f>
        <v>99.69</v>
      </c>
      <c r="AZM28">
        <f>SOFR3mo_PX[[#This Row],[Column1365]]</f>
        <v>99.665000000000006</v>
      </c>
      <c r="AZN28">
        <f>SOFR3mo_PX[[#This Row],[Column1366]]</f>
        <v>99.694999999999993</v>
      </c>
      <c r="AZO28">
        <f>SOFR3mo_PX[[#This Row],[Column1367]]</f>
        <v>99.65</v>
      </c>
      <c r="AZP28">
        <f>SOFR3mo_PX[[#This Row],[Column1368]]</f>
        <v>99.63</v>
      </c>
      <c r="AZQ28">
        <f>SOFR3mo_PX[[#This Row],[Column1369]]</f>
        <v>99.6</v>
      </c>
      <c r="AZR28">
        <f>SOFR3mo_PX[[#This Row],[Column1370]]</f>
        <v>99.594999999999999</v>
      </c>
      <c r="AZS28">
        <f>SOFR3mo_PX[[#This Row],[Column1371]]</f>
        <v>99.655000000000001</v>
      </c>
      <c r="AZT28">
        <f>SOFR3mo_PX[[#This Row],[Column1372]]</f>
        <v>99.575000000000003</v>
      </c>
      <c r="AZU28">
        <f>SOFR3mo_PX[[#This Row],[Column1373]]</f>
        <v>99.515000000000001</v>
      </c>
      <c r="AZV28">
        <f>SOFR3mo_PX[[#This Row],[Column1374]]</f>
        <v>99.41</v>
      </c>
      <c r="AZW28">
        <f>SOFR3mo_PX[[#This Row],[Column1375]]</f>
        <v>99.525000000000006</v>
      </c>
      <c r="AZX28">
        <f>SOFR3mo_PX[[#This Row],[Column1376]]</f>
        <v>99.575000000000003</v>
      </c>
      <c r="AZY28">
        <f>SOFR3mo_PX[[#This Row],[Column1377]]</f>
        <v>99.5</v>
      </c>
      <c r="AZZ28">
        <f>SOFR3mo_PX[[#This Row],[Column1378]]</f>
        <v>99.54</v>
      </c>
      <c r="BAA28">
        <f>SOFR3mo_PX[[#This Row],[Column1379]]</f>
        <v>99.47</v>
      </c>
      <c r="BAB28">
        <f>SOFR3mo_PX[[#This Row],[Column1380]]</f>
        <v>99.46</v>
      </c>
      <c r="BAC28">
        <f>SOFR3mo_PX[[#This Row],[Column1381]]</f>
        <v>99.58</v>
      </c>
      <c r="BAD28">
        <f>SOFR3mo_PX[[#This Row],[Column1382]]</f>
        <v>99.504999999999995</v>
      </c>
      <c r="BAE28">
        <f>SOFR3mo_PX[[#This Row],[Column1383]]</f>
        <v>99.42</v>
      </c>
      <c r="BAF28">
        <f>SOFR3mo_PX[[#This Row],[Column1384]]</f>
        <v>99.37</v>
      </c>
      <c r="BAG28">
        <f>SOFR3mo_PX[[#This Row],[Column1385]]</f>
        <v>99.31</v>
      </c>
      <c r="BAH28">
        <f>SOFR3mo_PX[[#This Row],[Column1386]]</f>
        <v>99.24</v>
      </c>
      <c r="BAI28">
        <f>SOFR3mo_PX[[#This Row],[Column1387]]</f>
        <v>99.24</v>
      </c>
      <c r="BAJ28">
        <f>SOFR3mo_PX[[#This Row],[Column1388]]</f>
        <v>99.04</v>
      </c>
      <c r="BAK28">
        <f>SOFR3mo_PX[[#This Row],[Column1389]]</f>
        <v>98.984999999999999</v>
      </c>
      <c r="BAL28">
        <f>SOFR3mo_PX[[#This Row],[Column1390]]</f>
        <v>98.995000000000005</v>
      </c>
      <c r="BAM28">
        <f>SOFR3mo_PX[[#This Row],[Column1391]]</f>
        <v>98.94</v>
      </c>
      <c r="BAN28">
        <f>SOFR3mo_PX[[#This Row],[Column1392]]</f>
        <v>98.83</v>
      </c>
      <c r="BAO28">
        <f>SOFR3mo_PX[[#This Row],[Column1393]]</f>
        <v>98.765000000000001</v>
      </c>
      <c r="BAP28">
        <f>SOFR3mo_PX[[#This Row],[Column1394]]</f>
        <v>98.72</v>
      </c>
      <c r="BAQ28">
        <f>SOFR3mo_PX[[#This Row],[Column1395]]</f>
        <v>98.745000000000005</v>
      </c>
      <c r="BAR28">
        <f>SOFR3mo_PX[[#This Row],[Column1396]]</f>
        <v>98.715000000000003</v>
      </c>
      <c r="BAS28">
        <f>SOFR3mo_PX[[#This Row],[Column1397]]</f>
        <v>98.715000000000003</v>
      </c>
      <c r="BAT28">
        <f>SOFR3mo_PX[[#This Row],[Column1398]]</f>
        <v>98.68</v>
      </c>
      <c r="BAU28">
        <f>SOFR3mo_PX[[#This Row],[Column1399]]</f>
        <v>98.68</v>
      </c>
      <c r="BAV28">
        <f>SOFR3mo_PX[[#This Row],[Column1400]]</f>
        <v>98.72</v>
      </c>
      <c r="BAW28">
        <f>SOFR3mo_PX[[#This Row],[Column1401]]</f>
        <v>98.75</v>
      </c>
      <c r="BAX28">
        <f>SOFR3mo_PX[[#This Row],[Column1402]]</f>
        <v>98.715000000000003</v>
      </c>
      <c r="BAY28">
        <f>SOFR3mo_PX[[#This Row],[Column1403]]</f>
        <v>98.66</v>
      </c>
      <c r="BAZ28">
        <f>SOFR3mo_PX[[#This Row],[Column1404]]</f>
        <v>98.68</v>
      </c>
      <c r="BBA28">
        <f>SOFR3mo_PX[[#This Row],[Column1405]]</f>
        <v>98.72</v>
      </c>
      <c r="BBB28">
        <f>SOFR3mo_PX[[#This Row],[Column1406]]</f>
        <v>98.805000000000007</v>
      </c>
      <c r="BBC28">
        <f>SOFR3mo_PX[[#This Row],[Column1407]]</f>
        <v>98.82</v>
      </c>
      <c r="BBD28">
        <f>SOFR3mo_PX[[#This Row],[Column1408]]</f>
        <v>98.765000000000001</v>
      </c>
      <c r="BBE28">
        <f>SOFR3mo_PX[[#This Row],[Column1409]]</f>
        <v>98.72</v>
      </c>
      <c r="BBF28">
        <f>SOFR3mo_PX[[#This Row],[Column1410]]</f>
        <v>98.67</v>
      </c>
      <c r="BBG28">
        <f>SOFR3mo_PX[[#This Row],[Column1411]]</f>
        <v>98.704999999999998</v>
      </c>
      <c r="BBH28">
        <f>SOFR3mo_PX[[#This Row],[Column1412]]</f>
        <v>98.62</v>
      </c>
      <c r="BBI28">
        <f>SOFR3mo_PX[[#This Row],[Column1413]]</f>
        <v>98.564999999999998</v>
      </c>
      <c r="BBJ28">
        <f>SOFR3mo_PX[[#This Row],[Column1414]]</f>
        <v>98.545000000000002</v>
      </c>
      <c r="BBK28">
        <f>SOFR3mo_PX[[#This Row],[Column1415]]</f>
        <v>98.53</v>
      </c>
      <c r="BBL28">
        <f>SOFR3mo_PX[[#This Row],[Column1416]]</f>
        <v>98.474999999999994</v>
      </c>
      <c r="BBM28">
        <f>SOFR3mo_PX[[#This Row],[Column1417]]</f>
        <v>98.474999999999994</v>
      </c>
      <c r="BBN28">
        <f>SOFR3mo_PX[[#This Row],[Column1418]]</f>
        <v>98.49</v>
      </c>
      <c r="BBO28">
        <f>SOFR3mo_PX[[#This Row],[Column1419]]</f>
        <v>98.5</v>
      </c>
      <c r="BBP28">
        <f>SOFR3mo_PX[[#This Row],[Column1420]]</f>
        <v>98.49</v>
      </c>
      <c r="BBQ28">
        <f>SOFR3mo_PX[[#This Row],[Column1421]]</f>
        <v>98.474999999999994</v>
      </c>
      <c r="BBR28">
        <f>SOFR3mo_PX[[#This Row],[Column1422]]</f>
        <v>98.48</v>
      </c>
      <c r="BBS28">
        <f>SOFR3mo_PX[[#This Row],[Column1423]]</f>
        <v>98.465000000000003</v>
      </c>
      <c r="BBT28">
        <f>SOFR3mo_PX[[#This Row],[Column1424]]</f>
        <v>98.46</v>
      </c>
      <c r="BBU28">
        <f>SOFR3mo_PX[[#This Row],[Column1425]]</f>
        <v>98.504999999999995</v>
      </c>
      <c r="BBV28">
        <f>SOFR3mo_PX[[#This Row],[Column1426]]</f>
        <v>98.515000000000001</v>
      </c>
      <c r="BBW28">
        <f>SOFR3mo_PX[[#This Row],[Column1427]]</f>
        <v>98.52</v>
      </c>
      <c r="BBX28">
        <f>SOFR3mo_PX[[#This Row],[Column1428]]</f>
        <v>98.43</v>
      </c>
      <c r="BBY28">
        <f>SOFR3mo_PX[[#This Row],[Column1429]]</f>
        <v>98.42</v>
      </c>
      <c r="BBZ28">
        <f>SOFR3mo_PX[[#This Row],[Column1430]]</f>
        <v>98.42</v>
      </c>
      <c r="BCA28">
        <f>SOFR3mo_PX[[#This Row],[Column1431]]</f>
        <v>98.424999999999997</v>
      </c>
      <c r="BCB28">
        <f>SOFR3mo_PX[[#This Row],[Column1432]]</f>
        <v>98.424999999999997</v>
      </c>
      <c r="BCC28">
        <f>SOFR3mo_PX[[#This Row],[Column1433]]</f>
        <v>98.385000000000005</v>
      </c>
      <c r="BCD28">
        <f>SOFR3mo_PX[[#This Row],[Column1434]]</f>
        <v>98.385000000000005</v>
      </c>
      <c r="BCE28">
        <f>SOFR3mo_PX[[#This Row],[Column1435]]</f>
        <v>98.385000000000005</v>
      </c>
      <c r="BCF28">
        <f>SOFR3mo_PX[[#This Row],[Column1436]]</f>
        <v>98.364999999999995</v>
      </c>
      <c r="BCG28">
        <f>SOFR3mo_PX[[#This Row],[Column1437]]</f>
        <v>98.405000000000001</v>
      </c>
      <c r="BCH28">
        <f>SOFR3mo_PX[[#This Row],[Column1438]]</f>
        <v>98.42</v>
      </c>
      <c r="BCI28">
        <f>SOFR3mo_PX[[#This Row],[Column1439]]</f>
        <v>98.4</v>
      </c>
      <c r="BCJ28">
        <f>SOFR3mo_PX[[#This Row],[Column1440]]</f>
        <v>98.43</v>
      </c>
      <c r="BCK28">
        <f>SOFR3mo_PX[[#This Row],[Column1441]]</f>
        <v>98.44</v>
      </c>
      <c r="BCL28">
        <f>SOFR3mo_PX[[#This Row],[Column1442]]</f>
        <v>98.515000000000001</v>
      </c>
      <c r="BCM28">
        <f>SOFR3mo_PX[[#This Row],[Column1443]]</f>
        <v>98.435000000000002</v>
      </c>
      <c r="BCN28">
        <f>SOFR3mo_PX[[#This Row],[Column1444]]</f>
        <v>98.52</v>
      </c>
      <c r="BCO28">
        <f>SOFR3mo_PX[[#This Row],[Column1445]]</f>
        <v>98.48</v>
      </c>
      <c r="BCP28">
        <f>SOFR3mo_PX[[#This Row],[Column1446]]</f>
        <v>98.495000000000005</v>
      </c>
      <c r="BCQ28">
        <f>SOFR3mo_PX[[#This Row],[Column1447]]</f>
        <v>98.504999999999995</v>
      </c>
      <c r="BCR28">
        <f>SOFR3mo_PX[[#This Row],[Column1448]]</f>
        <v>98.564999999999998</v>
      </c>
      <c r="BCS28">
        <f>SOFR3mo_PX[[#This Row],[Column1449]]</f>
        <v>98.58</v>
      </c>
      <c r="BCT28">
        <f>SOFR3mo_PX[[#This Row],[Column1450]]</f>
        <v>98.655000000000001</v>
      </c>
      <c r="BCU28">
        <f>SOFR3mo_PX[[#This Row],[Column1451]]</f>
        <v>98.534999999999997</v>
      </c>
      <c r="BCV28">
        <f>SOFR3mo_PX[[#This Row],[Column1452]]</f>
        <v>98.57</v>
      </c>
      <c r="BCW28">
        <f>SOFR3mo_PX[[#This Row],[Column1453]]</f>
        <v>98.56</v>
      </c>
      <c r="BCX28">
        <f>SOFR3mo_PX[[#This Row],[Column1454]]</f>
        <v>98.56</v>
      </c>
      <c r="BCY28">
        <f>SOFR3mo_PX[[#This Row],[Column1455]]</f>
        <v>98.6</v>
      </c>
      <c r="BCZ28">
        <f>SOFR3mo_PX[[#This Row],[Column1456]]</f>
        <v>98.59</v>
      </c>
      <c r="BDA28">
        <f>SOFR3mo_PX[[#This Row],[Column1457]]</f>
        <v>98.575000000000003</v>
      </c>
      <c r="BDB28">
        <f>SOFR3mo_PX[[#This Row],[Column1458]]</f>
        <v>98.594999999999999</v>
      </c>
      <c r="BDC28">
        <f>SOFR3mo_PX[[#This Row],[Column1459]]</f>
        <v>98.625</v>
      </c>
      <c r="BDD28">
        <f>SOFR3mo_PX[[#This Row],[Column1460]]</f>
        <v>98.59</v>
      </c>
      <c r="BDE28">
        <f>SOFR3mo_PX[[#This Row],[Column1461]]</f>
        <v>98.564999999999998</v>
      </c>
      <c r="BDF28">
        <f>SOFR3mo_PX[[#This Row],[Column1462]]</f>
        <v>98.54</v>
      </c>
      <c r="BDG28">
        <f>SOFR3mo_PX[[#This Row],[Column1463]]</f>
        <v>98.55</v>
      </c>
      <c r="BDH28">
        <f>SOFR3mo_PX[[#This Row],[Column1464]]</f>
        <v>98.5</v>
      </c>
      <c r="BDI28">
        <f>SOFR3mo_PX[[#This Row],[Column1465]]</f>
        <v>98.45</v>
      </c>
      <c r="BDJ28">
        <f>SOFR3mo_PX[[#This Row],[Column1466]]</f>
        <v>98.42</v>
      </c>
      <c r="BDK28">
        <f>SOFR3mo_PX[[#This Row],[Column1467]]</f>
        <v>98.43</v>
      </c>
      <c r="BDL28">
        <f>SOFR3mo_PX[[#This Row],[Column1468]]</f>
        <v>98.415000000000006</v>
      </c>
      <c r="BDM28">
        <f>SOFR3mo_PX[[#This Row],[Column1469]]</f>
        <v>98.525000000000006</v>
      </c>
      <c r="BDN28">
        <f>SOFR3mo_PX[[#This Row],[Column1470]]</f>
        <v>98.5</v>
      </c>
      <c r="BDO28">
        <f>SOFR3mo_PX[[#This Row],[Column1471]]</f>
        <v>98.56</v>
      </c>
      <c r="BDP28">
        <f>SOFR3mo_PX[[#This Row],[Column1472]]</f>
        <v>98.61</v>
      </c>
      <c r="BDQ28">
        <f>SOFR3mo_PX[[#This Row],[Column1473]]</f>
        <v>98.68</v>
      </c>
      <c r="BDR28">
        <f>SOFR3mo_PX[[#This Row],[Column1474]]</f>
        <v>98.555000000000007</v>
      </c>
      <c r="BDS28">
        <f>SOFR3mo_PX[[#This Row],[Column1475]]</f>
        <v>98.534999999999997</v>
      </c>
      <c r="BDT28">
        <f>SOFR3mo_PX[[#This Row],[Column1476]]</f>
        <v>98.54</v>
      </c>
      <c r="BDU28">
        <f>SOFR3mo_PX[[#This Row],[Column1477]]</f>
        <v>98.57</v>
      </c>
      <c r="BDV28">
        <f>SOFR3mo_PX[[#This Row],[Column1478]]</f>
        <v>98.614999999999995</v>
      </c>
      <c r="BDW28">
        <f>SOFR3mo_PX[[#This Row],[Column1479]]</f>
        <v>98.625</v>
      </c>
      <c r="BDX28">
        <f>SOFR3mo_PX[[#This Row],[Column1480]]</f>
        <v>98.605000000000004</v>
      </c>
      <c r="BDY28">
        <f>SOFR3mo_PX[[#This Row],[Column1481]]</f>
        <v>98.58</v>
      </c>
      <c r="BDZ28">
        <f>SOFR3mo_PX[[#This Row],[Column1482]]</f>
        <v>98.62</v>
      </c>
      <c r="BEA28">
        <f>SOFR3mo_PX[[#This Row],[Column1483]]</f>
        <v>98.594999999999999</v>
      </c>
      <c r="BEB28">
        <f>SOFR3mo_PX[[#This Row],[Column1484]]</f>
        <v>98.62</v>
      </c>
      <c r="BEC28">
        <f>SOFR3mo_PX[[#This Row],[Column1485]]</f>
        <v>98.58</v>
      </c>
      <c r="BED28">
        <f>SOFR3mo_PX[[#This Row],[Column1486]]</f>
        <v>98.635000000000005</v>
      </c>
      <c r="BEE28">
        <f>SOFR3mo_PX[[#This Row],[Column1487]]</f>
        <v>98.614999999999995</v>
      </c>
      <c r="BEF28">
        <f>SOFR3mo_PX[[#This Row],[Column1488]]</f>
        <v>98.745000000000005</v>
      </c>
      <c r="BEG28">
        <f>SOFR3mo_PX[[#This Row],[Column1489]]</f>
        <v>98.81</v>
      </c>
      <c r="BEH28">
        <f>SOFR3mo_PX[[#This Row],[Column1490]]</f>
        <v>98.864999999999995</v>
      </c>
      <c r="BEI28">
        <f>SOFR3mo_PX[[#This Row],[Column1491]]</f>
        <v>98.855000000000004</v>
      </c>
      <c r="BEJ28">
        <f>SOFR3mo_PX[[#This Row],[Column1492]]</f>
        <v>98.924999999999997</v>
      </c>
      <c r="BEK28">
        <f>SOFR3mo_PX[[#This Row],[Column1493]]</f>
        <v>98.935000000000002</v>
      </c>
      <c r="BEL28">
        <f>SOFR3mo_PX[[#This Row],[Column1494]]</f>
        <v>98.834999999999994</v>
      </c>
      <c r="BEM28">
        <f>SOFR3mo_PX[[#This Row],[Column1495]]</f>
        <v>98.76</v>
      </c>
      <c r="BEN28">
        <f>SOFR3mo_PX[[#This Row],[Column1496]]</f>
        <v>98.69</v>
      </c>
      <c r="BEO28">
        <f>SOFR3mo_PX[[#This Row],[Column1497]]</f>
        <v>98.7</v>
      </c>
      <c r="BEP28" t="str">
        <f>SOFR3mo_PX[[#This Row],[Column1498]]</f>
        <v>#N/A N/A</v>
      </c>
      <c r="BEQ28" t="str">
        <f>SOFR3mo_PX[[#This Row],[Column1499]]</f>
        <v>#N/A N/A</v>
      </c>
      <c r="BER28" t="str">
        <f>SOFR3mo_PX[[#This Row],[Column1500]]</f>
        <v>#N/A N/A</v>
      </c>
      <c r="BES28" t="str">
        <f>SOFR3mo_PX[[#This Row],[Column1501]]</f>
        <v>#N/A N/A</v>
      </c>
      <c r="BET28" t="str">
        <f>SOFR3mo_PX[[#This Row],[Column1502]]</f>
        <v>#N/A N/A</v>
      </c>
      <c r="BEU28" t="str">
        <f>SOFR3mo_PX[[#This Row],[Column1503]]</f>
        <v>#N/A N/A</v>
      </c>
      <c r="BEV28" t="str">
        <f>SOFR3mo_PX[[#This Row],[Column1504]]</f>
        <v>#N/A N/A</v>
      </c>
      <c r="BEW28" t="str">
        <f>SOFR3mo_PX[[#This Row],[Column1505]]</f>
        <v>#N/A N/A</v>
      </c>
      <c r="BEX28" t="str">
        <f>SOFR3mo_PX[[#This Row],[Column1506]]</f>
        <v>#N/A N/A</v>
      </c>
      <c r="BEY28" t="str">
        <f>SOFR3mo_PX[[#This Row],[Column1507]]</f>
        <v>#N/A N/A</v>
      </c>
      <c r="BEZ28" t="str">
        <f>SOFR3mo_PX[[#This Row],[Column1508]]</f>
        <v>#N/A N/A</v>
      </c>
      <c r="BFA28" t="str">
        <f>SOFR3mo_PX[[#This Row],[Column1509]]</f>
        <v>#N/A N/A</v>
      </c>
      <c r="BFB28" t="str">
        <f>SOFR3mo_PX[[#This Row],[Column1510]]</f>
        <v>#N/A N/A</v>
      </c>
      <c r="BFC28" t="str">
        <f>SOFR3mo_PX[[#This Row],[Column1511]]</f>
        <v>#N/A N/A</v>
      </c>
      <c r="BFD28" t="str">
        <f>SOFR3mo_PX[[#This Row],[Column1512]]</f>
        <v>#N/A N/A</v>
      </c>
      <c r="BFE28" t="str">
        <f>SOFR3mo_PX[[#This Row],[Column1513]]</f>
        <v>#N/A N/A</v>
      </c>
      <c r="BFF28" t="str">
        <f>SOFR3mo_PX[[#This Row],[Column1514]]</f>
        <v>#N/A N/A</v>
      </c>
      <c r="BFG28" t="str">
        <f>SOFR3mo_PX[[#This Row],[Column1515]]</f>
        <v>#N/A N/A</v>
      </c>
      <c r="BFH28" t="str">
        <f>SOFR3mo_PX[[#This Row],[Column1516]]</f>
        <v>#N/A N/A</v>
      </c>
      <c r="BFI28" t="str">
        <f>SOFR3mo_PX[[#This Row],[Column1517]]</f>
        <v>#N/A N/A</v>
      </c>
      <c r="BFJ28" t="str">
        <f>SOFR3mo_PX[[#This Row],[Column1518]]</f>
        <v>#N/A N/A</v>
      </c>
      <c r="BFK28" t="str">
        <f>SOFR3mo_PX[[#This Row],[Column1519]]</f>
        <v>#N/A N/A</v>
      </c>
      <c r="BFL28" t="str">
        <f>SOFR3mo_PX[[#This Row],[Column1520]]</f>
        <v>#N/A N/A</v>
      </c>
      <c r="BFM28" t="str">
        <f>SOFR3mo_PX[[#This Row],[Column1521]]</f>
        <v>#N/A N/A</v>
      </c>
      <c r="BFN28" t="str">
        <f>SOFR3mo_PX[[#This Row],[Column1522]]</f>
        <v>#N/A N/A</v>
      </c>
      <c r="BFO28" t="str">
        <f>SOFR3mo_PX[[#This Row],[Column1523]]</f>
        <v>#N/A N/A</v>
      </c>
      <c r="BFP28" t="str">
        <f>SOFR3mo_PX[[#This Row],[Column1524]]</f>
        <v>#N/A N/A</v>
      </c>
      <c r="BFQ28" t="str">
        <f>SOFR3mo_PX[[#This Row],[Column1525]]</f>
        <v>#N/A N/A</v>
      </c>
      <c r="BFR28" t="str">
        <f>SOFR3mo_PX[[#This Row],[Column1526]]</f>
        <v>#N/A N/A</v>
      </c>
      <c r="BFS28" t="str">
        <f>SOFR3mo_PX[[#This Row],[Column1527]]</f>
        <v>#N/A N/A</v>
      </c>
      <c r="BFT28" t="str">
        <f>SOFR3mo_PX[[#This Row],[Column1528]]</f>
        <v>#N/A N/A</v>
      </c>
      <c r="BFU28" t="str">
        <f>SOFR3mo_PX[[#This Row],[Column1529]]</f>
        <v>#N/A N/A</v>
      </c>
      <c r="BFV28" t="str">
        <f>SOFR3mo_PX[[#This Row],[Column1530]]</f>
        <v>#N/A N/A</v>
      </c>
      <c r="BFW28" t="str">
        <f>SOFR3mo_PX[[#This Row],[Column1531]]</f>
        <v>#N/A N/A</v>
      </c>
      <c r="BFX28" t="str">
        <f>SOFR3mo_PX[[#This Row],[Column1532]]</f>
        <v>#N/A N/A</v>
      </c>
      <c r="BFY28" t="str">
        <f>SOFR3mo_PX[[#This Row],[Column1533]]</f>
        <v>#N/A N/A</v>
      </c>
      <c r="BFZ28" t="str">
        <f>SOFR3mo_PX[[#This Row],[Column1534]]</f>
        <v>#N/A N/A</v>
      </c>
      <c r="BGA28" t="str">
        <f>SOFR3mo_PX[[#This Row],[Column1535]]</f>
        <v>#N/A N/A</v>
      </c>
      <c r="BGB28" t="str">
        <f>SOFR3mo_PX[[#This Row],[Column1536]]</f>
        <v>#N/A N/A</v>
      </c>
      <c r="BGC28" t="str">
        <f>SOFR3mo_PX[[#This Row],[Column1537]]</f>
        <v>#N/A N/A</v>
      </c>
      <c r="BGD28" t="str">
        <f>SOFR3mo_PX[[#This Row],[Column1538]]</f>
        <v>#N/A N/A</v>
      </c>
      <c r="BGE28" t="str">
        <f>SOFR3mo_PX[[#This Row],[Column1539]]</f>
        <v>#N/A N/A</v>
      </c>
      <c r="BGF28" t="str">
        <f>SOFR3mo_PX[[#This Row],[Column1540]]</f>
        <v>#N/A N/A</v>
      </c>
      <c r="BGG28" t="str">
        <f>SOFR3mo_PX[[#This Row],[Column1541]]</f>
        <v>#N/A N/A</v>
      </c>
      <c r="BGH28" t="str">
        <f>SOFR3mo_PX[[#This Row],[Column1542]]</f>
        <v>#N/A N/A</v>
      </c>
      <c r="BGI28" t="str">
        <f>SOFR3mo_PX[[#This Row],[Column1543]]</f>
        <v>#N/A N/A</v>
      </c>
      <c r="BGJ28" t="str">
        <f>SOFR3mo_PX[[#This Row],[Column1544]]</f>
        <v>#N/A N/A</v>
      </c>
      <c r="BGK28" t="str">
        <f>SOFR3mo_PX[[#This Row],[Column1545]]</f>
        <v>#N/A N/A</v>
      </c>
      <c r="BGL28" t="str">
        <f>SOFR3mo_PX[[#This Row],[Column1546]]</f>
        <v>#N/A N/A</v>
      </c>
      <c r="BGM28" t="str">
        <f>SOFR3mo_PX[[#This Row],[Column1547]]</f>
        <v>#N/A N/A</v>
      </c>
      <c r="BGN28" t="str">
        <f>SOFR3mo_PX[[#This Row],[Column1548]]</f>
        <v>#N/A N/A</v>
      </c>
      <c r="BGO28" t="str">
        <f>SOFR3mo_PX[[#This Row],[Column1549]]</f>
        <v>#N/A N/A</v>
      </c>
      <c r="BGP28" t="str">
        <f>SOFR3mo_PX[[#This Row],[Column1550]]</f>
        <v>#N/A N/A</v>
      </c>
      <c r="BGQ28" t="str">
        <f>SOFR3mo_PX[[#This Row],[Column1551]]</f>
        <v>#N/A N/A</v>
      </c>
      <c r="BGR28" t="str">
        <f>SOFR3mo_PX[[#This Row],[Column1552]]</f>
        <v>#N/A N/A</v>
      </c>
      <c r="BGS28" t="str">
        <f>SOFR3mo_PX[[#This Row],[Column1553]]</f>
        <v>#N/A N/A</v>
      </c>
      <c r="BGT28" t="str">
        <f>SOFR3mo_PX[[#This Row],[Column1554]]</f>
        <v>#N/A N/A</v>
      </c>
      <c r="BGU28" t="str">
        <f>SOFR3mo_PX[[#This Row],[Column1555]]</f>
        <v>#N/A N/A</v>
      </c>
      <c r="BGV28" t="str">
        <f>SOFR3mo_PX[[#This Row],[Column1556]]</f>
        <v>#N/A N/A</v>
      </c>
      <c r="BGW28" t="str">
        <f>SOFR3mo_PX[[#This Row],[Column1557]]</f>
        <v>#N/A N/A</v>
      </c>
      <c r="BGX28" t="str">
        <f>SOFR3mo_PX[[#This Row],[Column1558]]</f>
        <v>#N/A N/A</v>
      </c>
      <c r="BGY28" t="str">
        <f>SOFR3mo_PX[[#This Row],[Column1559]]</f>
        <v>#N/A N/A</v>
      </c>
      <c r="BGZ28" t="str">
        <f>SOFR3mo_PX[[#This Row],[Column1560]]</f>
        <v>#N/A N/A</v>
      </c>
      <c r="BHA28" t="str">
        <f>SOFR3mo_PX[[#This Row],[Column1561]]</f>
        <v>#N/A N/A</v>
      </c>
      <c r="BHB28" t="str">
        <f>SOFR3mo_PX[[#This Row],[Column1562]]</f>
        <v>#N/A N/A</v>
      </c>
      <c r="BHC28" t="str">
        <f>SOFR3mo_PX[[#This Row],[Column1563]]</f>
        <v>#N/A N/A</v>
      </c>
      <c r="BHD28" t="str">
        <f>SOFR3mo_PX[[#This Row],[Column1564]]</f>
        <v>#N/A N/A</v>
      </c>
      <c r="BHE28" t="str">
        <f>SOFR3mo_PX[[#This Row],[Column1565]]</f>
        <v>#N/A N/A</v>
      </c>
      <c r="BHF28" t="str">
        <f>SOFR3mo_PX[[#This Row],[Column1566]]</f>
        <v>#N/A N/A</v>
      </c>
      <c r="BHG28" t="str">
        <f>SOFR3mo_PX[[#This Row],[Column1567]]</f>
        <v>#N/A N/A</v>
      </c>
      <c r="BHH28" t="str">
        <f>SOFR3mo_PX[[#This Row],[Column1568]]</f>
        <v>#N/A N/A</v>
      </c>
      <c r="BHI28" t="str">
        <f>SOFR3mo_PX[[#This Row],[Column1569]]</f>
        <v>#N/A N/A</v>
      </c>
      <c r="BHJ28" t="str">
        <f>SOFR3mo_PX[[#This Row],[Column1570]]</f>
        <v>#N/A N/A</v>
      </c>
      <c r="BHK28" t="str">
        <f>SOFR3mo_PX[[#This Row],[Column1571]]</f>
        <v>#N/A N/A</v>
      </c>
      <c r="BHL28" t="str">
        <f>SOFR3mo_PX[[#This Row],[Column1572]]</f>
        <v>#N/A N/A</v>
      </c>
      <c r="BHM28" t="str">
        <f>SOFR3mo_PX[[#This Row],[Column1573]]</f>
        <v>#N/A N/A</v>
      </c>
      <c r="BHN28" t="str">
        <f>SOFR3mo_PX[[#This Row],[Column1574]]</f>
        <v>#N/A N/A</v>
      </c>
      <c r="BHO28" t="str">
        <f>SOFR3mo_PX[[#This Row],[Column1575]]</f>
        <v>#N/A N/A</v>
      </c>
      <c r="BHP28" t="str">
        <f>SOFR3mo_PX[[#This Row],[Column1576]]</f>
        <v>#N/A N/A</v>
      </c>
      <c r="BHQ28" t="str">
        <f>SOFR3mo_PX[[#This Row],[Column1577]]</f>
        <v>#N/A N/A</v>
      </c>
      <c r="BHR28" t="str">
        <f>SOFR3mo_PX[[#This Row],[Column1578]]</f>
        <v>#N/A N/A</v>
      </c>
      <c r="BHS28" t="str">
        <f>SOFR3mo_PX[[#This Row],[Column1579]]</f>
        <v>#N/A N/A</v>
      </c>
      <c r="BHT28" t="str">
        <f>SOFR3mo_PX[[#This Row],[Column1580]]</f>
        <v>#N/A N/A</v>
      </c>
      <c r="BHU28" t="str">
        <f>SOFR3mo_PX[[#This Row],[Column1581]]</f>
        <v>#N/A N/A</v>
      </c>
      <c r="BHV28" t="str">
        <f>SOFR3mo_PX[[#This Row],[Column1582]]</f>
        <v>#N/A N/A</v>
      </c>
      <c r="BHW28" t="str">
        <f>SOFR3mo_PX[[#This Row],[Column1583]]</f>
        <v>#N/A N/A</v>
      </c>
      <c r="BHX28" t="str">
        <f>SOFR3mo_PX[[#This Row],[Column1584]]</f>
        <v>#N/A N/A</v>
      </c>
      <c r="BHY28" t="str">
        <f>SOFR3mo_PX[[#This Row],[Column1585]]</f>
        <v>#N/A N/A</v>
      </c>
      <c r="BHZ28" t="str">
        <f>SOFR3mo_PX[[#This Row],[Column1586]]</f>
        <v>#N/A N/A</v>
      </c>
      <c r="BIA28" t="str">
        <f>SOFR3mo_PX[[#This Row],[Column1587]]</f>
        <v>#N/A N/A</v>
      </c>
      <c r="BIB28" t="str">
        <f>SOFR3mo_PX[[#This Row],[Column1588]]</f>
        <v>#N/A N/A</v>
      </c>
      <c r="BIC28" t="str">
        <f>SOFR3mo_PX[[#This Row],[Column1589]]</f>
        <v>#N/A N/A</v>
      </c>
      <c r="BID28" t="str">
        <f>SOFR3mo_PX[[#This Row],[Column1590]]</f>
        <v>#N/A N/A</v>
      </c>
      <c r="BIE28" t="str">
        <f>SOFR3mo_PX[[#This Row],[Column1591]]</f>
        <v>#N/A N/A</v>
      </c>
      <c r="BIF28" t="str">
        <f>SOFR3mo_PX[[#This Row],[Column1592]]</f>
        <v>#N/A N/A</v>
      </c>
      <c r="BIG28" t="str">
        <f>SOFR3mo_PX[[#This Row],[Column1593]]</f>
        <v>#N/A N/A</v>
      </c>
      <c r="BIH28" t="str">
        <f>SOFR3mo_PX[[#This Row],[Column1594]]</f>
        <v>#N/A N/A</v>
      </c>
      <c r="BII28" t="str">
        <f>SOFR3mo_PX[[#This Row],[Column1595]]</f>
        <v>#N/A N/A</v>
      </c>
      <c r="BIJ28" t="str">
        <f>SOFR3mo_PX[[#This Row],[Column1596]]</f>
        <v>#N/A N/A</v>
      </c>
      <c r="BIK28" t="str">
        <f>SOFR3mo_PX[[#This Row],[Column1597]]</f>
        <v>#N/A N/A</v>
      </c>
      <c r="BIL28" t="str">
        <f>SOFR3mo_PX[[#This Row],[Column1598]]</f>
        <v>#N/A N/A</v>
      </c>
      <c r="BIM28" t="str">
        <f>SOFR3mo_PX[[#This Row],[Column1599]]</f>
        <v>#N/A N/A</v>
      </c>
      <c r="BIN28" t="str">
        <f>SOFR3mo_PX[[#This Row],[Column1600]]</f>
        <v>#N/A N/A</v>
      </c>
      <c r="BIO28" t="str">
        <f>SOFR3mo_PX[[#This Row],[Column1601]]</f>
        <v>#N/A N/A</v>
      </c>
      <c r="BIP28" t="str">
        <f>SOFR3mo_PX[[#This Row],[Column1602]]</f>
        <v>#N/A N/A</v>
      </c>
      <c r="BIQ28" t="str">
        <f>SOFR3mo_PX[[#This Row],[Column1603]]</f>
        <v>#N/A N/A</v>
      </c>
      <c r="BIR28" t="str">
        <f>SOFR3mo_PX[[#This Row],[Column1604]]</f>
        <v>#N/A N/A</v>
      </c>
      <c r="BIS28" t="str">
        <f>SOFR3mo_PX[[#This Row],[Column1605]]</f>
        <v>#N/A N/A</v>
      </c>
      <c r="BIT28" t="str">
        <f>SOFR3mo_PX[[#This Row],[Column1606]]</f>
        <v>#N/A N/A</v>
      </c>
      <c r="BIU28" t="str">
        <f>SOFR3mo_PX[[#This Row],[Column1607]]</f>
        <v>#N/A N/A</v>
      </c>
      <c r="BIV28" t="str">
        <f>SOFR3mo_PX[[#This Row],[Column1608]]</f>
        <v>#N/A N/A</v>
      </c>
      <c r="BIW28" t="str">
        <f>SOFR3mo_PX[[#This Row],[Column1609]]</f>
        <v>#N/A N/A</v>
      </c>
      <c r="BIX28" t="str">
        <f>SOFR3mo_PX[[#This Row],[Column1610]]</f>
        <v>#N/A N/A</v>
      </c>
      <c r="BIY28" t="str">
        <f>SOFR3mo_PX[[#This Row],[Column1611]]</f>
        <v>#N/A N/A</v>
      </c>
      <c r="BIZ28" t="str">
        <f>SOFR3mo_PX[[#This Row],[Column1612]]</f>
        <v>#N/A N/A</v>
      </c>
      <c r="BJA28" t="str">
        <f>SOFR3mo_PX[[#This Row],[Column1613]]</f>
        <v>#N/A N/A</v>
      </c>
      <c r="BJB28" t="str">
        <f>SOFR3mo_PX[[#This Row],[Column1614]]</f>
        <v>#N/A N/A</v>
      </c>
      <c r="BJC28" t="str">
        <f>SOFR3mo_PX[[#This Row],[Column1615]]</f>
        <v>#N/A N/A</v>
      </c>
      <c r="BJD28" t="str">
        <f>SOFR3mo_PX[[#This Row],[Column1616]]</f>
        <v>#N/A N/A</v>
      </c>
      <c r="BJE28" t="str">
        <f>SOFR3mo_PX[[#This Row],[Column1617]]</f>
        <v>#N/A N/A</v>
      </c>
      <c r="BJF28" t="str">
        <f>SOFR3mo_PX[[#This Row],[Column1618]]</f>
        <v>#N/A N/A</v>
      </c>
      <c r="BJG28" t="str">
        <f>SOFR3mo_PX[[#This Row],[Column1619]]</f>
        <v>#N/A N/A</v>
      </c>
      <c r="BJH28" t="str">
        <f>SOFR3mo_PX[[#This Row],[Column1620]]</f>
        <v>#N/A N/A</v>
      </c>
      <c r="BJI28" t="str">
        <f>SOFR3mo_PX[[#This Row],[Column1621]]</f>
        <v>#N/A N/A</v>
      </c>
      <c r="BJJ28" t="str">
        <f>SOFR3mo_PX[[#This Row],[Column1622]]</f>
        <v>#N/A N/A</v>
      </c>
      <c r="BJK28" t="str">
        <f>SOFR3mo_PX[[#This Row],[Column1623]]</f>
        <v>#N/A N/A</v>
      </c>
      <c r="BJL28" t="str">
        <f>SOFR3mo_PX[[#This Row],[Column1624]]</f>
        <v>#N/A N/A</v>
      </c>
      <c r="BJM28" t="str">
        <f>SOFR3mo_PX[[#This Row],[Column1625]]</f>
        <v>#N/A N/A</v>
      </c>
      <c r="BJN28" t="str">
        <f>SOFR3mo_PX[[#This Row],[Column1626]]</f>
        <v>#N/A N/A</v>
      </c>
      <c r="BJO28" t="str">
        <f>SOFR3mo_PX[[#This Row],[Column1627]]</f>
        <v>#N/A N/A</v>
      </c>
      <c r="BJP28" t="str">
        <f>SOFR3mo_PX[[#This Row],[Column1628]]</f>
        <v>#N/A N/A</v>
      </c>
      <c r="BJQ28" t="str">
        <f>SOFR3mo_PX[[#This Row],[Column1629]]</f>
        <v>#N/A N/A</v>
      </c>
      <c r="BJR28" t="str">
        <f>SOFR3mo_PX[[#This Row],[Column1630]]</f>
        <v>#N/A N/A</v>
      </c>
      <c r="BJS28" t="str">
        <f>SOFR3mo_PX[[#This Row],[Column1631]]</f>
        <v>#N/A N/A</v>
      </c>
      <c r="BJT28" t="str">
        <f>SOFR3mo_PX[[#This Row],[Column1632]]</f>
        <v>#N/A N/A</v>
      </c>
      <c r="BJU28" t="str">
        <f>SOFR3mo_PX[[#This Row],[Column1633]]</f>
        <v>#N/A N/A</v>
      </c>
      <c r="BJV28" t="str">
        <f>SOFR3mo_PX[[#This Row],[Column1634]]</f>
        <v>#N/A N/A</v>
      </c>
      <c r="BJW28" t="str">
        <f>SOFR3mo_PX[[#This Row],[Column1635]]</f>
        <v>#N/A N/A</v>
      </c>
      <c r="BJX28" t="str">
        <f>SOFR3mo_PX[[#This Row],[Column1636]]</f>
        <v>#N/A N/A</v>
      </c>
      <c r="BJY28" t="str">
        <f>SOFR3mo_PX[[#This Row],[Column1637]]</f>
        <v>#N/A N/A</v>
      </c>
      <c r="BJZ28" t="str">
        <f>SOFR3mo_PX[[#This Row],[Column1638]]</f>
        <v>#N/A N/A</v>
      </c>
      <c r="BKA28" t="str">
        <f>SOFR3mo_PX[[#This Row],[Column1639]]</f>
        <v>#N/A N/A</v>
      </c>
      <c r="BKB28" t="str">
        <f>SOFR3mo_PX[[#This Row],[Column1640]]</f>
        <v>#N/A N/A</v>
      </c>
      <c r="BKC28" t="str">
        <f>SOFR3mo_PX[[#This Row],[Column1641]]</f>
        <v>#N/A N/A</v>
      </c>
      <c r="BKD28" t="str">
        <f>SOFR3mo_PX[[#This Row],[Column1642]]</f>
        <v>#N/A N/A</v>
      </c>
      <c r="BKE28" t="str">
        <f>SOFR3mo_PX[[#This Row],[Column1643]]</f>
        <v>#N/A N/A</v>
      </c>
      <c r="BKF28" t="str">
        <f>SOFR3mo_PX[[#This Row],[Column1644]]</f>
        <v>#N/A N/A</v>
      </c>
      <c r="BKG28" t="str">
        <f>SOFR3mo_PX[[#This Row],[Column1645]]</f>
        <v>#N/A N/A</v>
      </c>
      <c r="BKH28" t="str">
        <f>SOFR3mo_PX[[#This Row],[Column1646]]</f>
        <v>#N/A N/A</v>
      </c>
      <c r="BKI28" t="str">
        <f>SOFR3mo_PX[[#This Row],[Column1647]]</f>
        <v>#N/A N/A</v>
      </c>
      <c r="BKJ28" t="str">
        <f>SOFR3mo_PX[[#This Row],[Column1648]]</f>
        <v>#N/A N/A</v>
      </c>
      <c r="BKK28" t="str">
        <f>SOFR3mo_PX[[#This Row],[Column1649]]</f>
        <v>#N/A N/A</v>
      </c>
      <c r="BKL28" t="str">
        <f>SOFR3mo_PX[[#This Row],[Column1650]]</f>
        <v>#N/A N/A</v>
      </c>
      <c r="BKM28" t="str">
        <f>SOFR3mo_PX[[#This Row],[Column1651]]</f>
        <v>#N/A N/A</v>
      </c>
      <c r="BKN28" t="str">
        <f>SOFR3mo_PX[[#This Row],[Column1652]]</f>
        <v>#N/A N/A</v>
      </c>
      <c r="BKO28" t="str">
        <f>SOFR3mo_PX[[#This Row],[Column1653]]</f>
        <v>#N/A N/A</v>
      </c>
      <c r="BKP28" t="str">
        <f>SOFR3mo_PX[[#This Row],[Column1654]]</f>
        <v>#N/A N/A</v>
      </c>
      <c r="BKQ28" t="str">
        <f>SOFR3mo_PX[[#This Row],[Column1655]]</f>
        <v>#N/A N/A</v>
      </c>
      <c r="BKR28" t="str">
        <f>SOFR3mo_PX[[#This Row],[Column1656]]</f>
        <v>#N/A N/A</v>
      </c>
      <c r="BKS28" t="str">
        <f>SOFR3mo_PX[[#This Row],[Column1657]]</f>
        <v>#N/A N/A</v>
      </c>
      <c r="BKT28" t="str">
        <f>SOFR3mo_PX[[#This Row],[Column1658]]</f>
        <v>#N/A N/A</v>
      </c>
      <c r="BKU28" t="str">
        <f>SOFR3mo_PX[[#This Row],[Column1659]]</f>
        <v>#N/A N/A</v>
      </c>
      <c r="BKV28" t="str">
        <f>SOFR3mo_PX[[#This Row],[Column1660]]</f>
        <v>#N/A N/A</v>
      </c>
      <c r="BKW28" t="str">
        <f>SOFR3mo_PX[[#This Row],[Column1661]]</f>
        <v>#N/A N/A</v>
      </c>
      <c r="BKX28" t="str">
        <f>SOFR3mo_PX[[#This Row],[Column1662]]</f>
        <v>#N/A N/A</v>
      </c>
      <c r="BKY28" t="str">
        <f>SOFR3mo_PX[[#This Row],[Column1663]]</f>
        <v>#N/A N/A</v>
      </c>
      <c r="BKZ28" t="str">
        <f>SOFR3mo_PX[[#This Row],[Column1664]]</f>
        <v>#N/A N/A</v>
      </c>
      <c r="BLA28" t="str">
        <f>SOFR3mo_PX[[#This Row],[Column1665]]</f>
        <v>#N/A N/A</v>
      </c>
      <c r="BLB28" t="str">
        <f>SOFR3mo_PX[[#This Row],[Column1666]]</f>
        <v>#N/A N/A</v>
      </c>
      <c r="BLC28" t="str">
        <f>SOFR3mo_PX[[#This Row],[Column1667]]</f>
        <v>#N/A N/A</v>
      </c>
      <c r="BLD28" t="str">
        <f>SOFR3mo_PX[[#This Row],[Column1668]]</f>
        <v>#N/A N/A</v>
      </c>
      <c r="BLE28" t="str">
        <f>SOFR3mo_PX[[#This Row],[Column1669]]</f>
        <v>#N/A N/A</v>
      </c>
      <c r="BLF28" t="str">
        <f>SOFR3mo_PX[[#This Row],[Column1670]]</f>
        <v>#N/A N/A</v>
      </c>
      <c r="BLG28" t="str">
        <f>SOFR3mo_PX[[#This Row],[Column1671]]</f>
        <v>#N/A N/A</v>
      </c>
      <c r="BLH28" t="str">
        <f>SOFR3mo_PX[[#This Row],[Column1672]]</f>
        <v>#N/A N/A</v>
      </c>
      <c r="BLI28" t="str">
        <f>SOFR3mo_PX[[#This Row],[Column1673]]</f>
        <v>#N/A N/A</v>
      </c>
      <c r="BLJ28" t="str">
        <f>SOFR3mo_PX[[#This Row],[Column1674]]</f>
        <v>#N/A N/A</v>
      </c>
      <c r="BLK28" t="str">
        <f>SOFR3mo_PX[[#This Row],[Column1675]]</f>
        <v>#N/A N/A</v>
      </c>
      <c r="BLL28" t="str">
        <f>SOFR3mo_PX[[#This Row],[Column1676]]</f>
        <v>#N/A N/A</v>
      </c>
      <c r="BLM28" t="str">
        <f>SOFR3mo_PX[[#This Row],[Column1677]]</f>
        <v>#N/A N/A</v>
      </c>
      <c r="BLN28" t="str">
        <f>SOFR3mo_PX[[#This Row],[Column1678]]</f>
        <v>#N/A N/A</v>
      </c>
      <c r="BLO28" t="str">
        <f>SOFR3mo_PX[[#This Row],[Column1679]]</f>
        <v>#N/A N/A</v>
      </c>
      <c r="BLP28" t="str">
        <f>SOFR3mo_PX[[#This Row],[Column1680]]</f>
        <v>#N/A N/A</v>
      </c>
      <c r="BLQ28" t="str">
        <f>SOFR3mo_PX[[#This Row],[Column1681]]</f>
        <v>#N/A N/A</v>
      </c>
      <c r="BLR28" t="str">
        <f>SOFR3mo_PX[[#This Row],[Column1682]]</f>
        <v>#N/A N/A</v>
      </c>
      <c r="BLS28" t="str">
        <f>SOFR3mo_PX[[#This Row],[Column1683]]</f>
        <v>#N/A N/A</v>
      </c>
      <c r="BLT28" t="str">
        <f>SOFR3mo_PX[[#This Row],[Column1684]]</f>
        <v>#N/A N/A</v>
      </c>
      <c r="BLU28" t="str">
        <f>SOFR3mo_PX[[#This Row],[Column1685]]</f>
        <v>#N/A N/A</v>
      </c>
      <c r="BLV28" t="str">
        <f>SOFR3mo_PX[[#This Row],[Column1686]]</f>
        <v>#N/A N/A</v>
      </c>
      <c r="BLW28" t="str">
        <f>SOFR3mo_PX[[#This Row],[Column1687]]</f>
        <v>#N/A N/A</v>
      </c>
      <c r="BLX28" t="str">
        <f>SOFR3mo_PX[[#This Row],[Column1688]]</f>
        <v>#N/A N/A</v>
      </c>
      <c r="BLY28" t="str">
        <f>SOFR3mo_PX[[#This Row],[Column1689]]</f>
        <v>#N/A N/A</v>
      </c>
      <c r="BLZ28" t="str">
        <f>SOFR3mo_PX[[#This Row],[Column1690]]</f>
        <v>#N/A N/A</v>
      </c>
      <c r="BMA28" t="str">
        <f>SOFR3mo_PX[[#This Row],[Column1691]]</f>
        <v>#N/A N/A</v>
      </c>
      <c r="BMB28" t="str">
        <f>SOFR3mo_PX[[#This Row],[Column1692]]</f>
        <v>#N/A N/A</v>
      </c>
      <c r="BMC28" t="str">
        <f>SOFR3mo_PX[[#This Row],[Column1693]]</f>
        <v>#N/A N/A</v>
      </c>
      <c r="BMD28" t="str">
        <f>SOFR3mo_PX[[#This Row],[Column1694]]</f>
        <v>#N/A N/A</v>
      </c>
      <c r="BME28" t="str">
        <f>SOFR3mo_PX[[#This Row],[Column1695]]</f>
        <v>#N/A N/A</v>
      </c>
      <c r="BMF28" t="str">
        <f>SOFR3mo_PX[[#This Row],[Column1696]]</f>
        <v>#N/A N/A</v>
      </c>
      <c r="BMG28" t="str">
        <f>SOFR3mo_PX[[#This Row],[Column1697]]</f>
        <v>#N/A N/A</v>
      </c>
      <c r="BMH28" t="str">
        <f>SOFR3mo_PX[[#This Row],[Column1698]]</f>
        <v>#N/A N/A</v>
      </c>
      <c r="BMI28" t="str">
        <f>SOFR3mo_PX[[#This Row],[Column1699]]</f>
        <v>#N/A N/A</v>
      </c>
      <c r="BMJ28" t="str">
        <f>SOFR3mo_PX[[#This Row],[Column1700]]</f>
        <v>#N/A N/A</v>
      </c>
      <c r="BMK28" t="str">
        <f>SOFR3mo_PX[[#This Row],[Column1701]]</f>
        <v>#N/A N/A</v>
      </c>
      <c r="BML28" t="str">
        <f>SOFR3mo_PX[[#This Row],[Column1702]]</f>
        <v>#N/A N/A</v>
      </c>
      <c r="BMM28" t="str">
        <f>SOFR3mo_PX[[#This Row],[Column1703]]</f>
        <v>#N/A N/A</v>
      </c>
      <c r="BMN28" t="str">
        <f>SOFR3mo_PX[[#This Row],[Column1704]]</f>
        <v>#N/A N/A</v>
      </c>
      <c r="BMO28" t="str">
        <f>SOFR3mo_PX[[#This Row],[Column1705]]</f>
        <v>#N/A N/A</v>
      </c>
      <c r="BMP28" t="str">
        <f>SOFR3mo_PX[[#This Row],[Column1706]]</f>
        <v>#N/A N/A</v>
      </c>
      <c r="BMQ28" t="str">
        <f>SOFR3mo_PX[[#This Row],[Column1707]]</f>
        <v>#N/A N/A</v>
      </c>
      <c r="BMR28" t="str">
        <f>SOFR3mo_PX[[#This Row],[Column1708]]</f>
        <v>#N/A N/A</v>
      </c>
      <c r="BMS28" t="str">
        <f>SOFR3mo_PX[[#This Row],[Column1709]]</f>
        <v>#N/A N/A</v>
      </c>
      <c r="BMT28" t="str">
        <f>SOFR3mo_PX[[#This Row],[Column1710]]</f>
        <v>#N/A N/A</v>
      </c>
      <c r="BMU28" t="str">
        <f>SOFR3mo_PX[[#This Row],[Column1711]]</f>
        <v>#N/A N/A</v>
      </c>
      <c r="BMV28" t="str">
        <f>SOFR3mo_PX[[#This Row],[Column1712]]</f>
        <v>#N/A N/A</v>
      </c>
      <c r="BMW28" t="str">
        <f>SOFR3mo_PX[[#This Row],[Column1713]]</f>
        <v>#N/A N/A</v>
      </c>
      <c r="BMX28" t="str">
        <f>SOFR3mo_PX[[#This Row],[Column1714]]</f>
        <v>#N/A N/A</v>
      </c>
      <c r="BMY28" t="str">
        <f>SOFR3mo_PX[[#This Row],[Column1715]]</f>
        <v>#N/A N/A</v>
      </c>
      <c r="BMZ28" t="str">
        <f>SOFR3mo_PX[[#This Row],[Column1716]]</f>
        <v>#N/A N/A</v>
      </c>
      <c r="BNA28" t="str">
        <f>SOFR3mo_PX[[#This Row],[Column1717]]</f>
        <v>#N/A N/A</v>
      </c>
      <c r="BNB28" t="str">
        <f>SOFR3mo_PX[[#This Row],[Column1718]]</f>
        <v>#N/A N/A</v>
      </c>
      <c r="BNC28" t="str">
        <f>SOFR3mo_PX[[#This Row],[Column1719]]</f>
        <v>#N/A N/A</v>
      </c>
      <c r="BND28" t="str">
        <f>SOFR3mo_PX[[#This Row],[Column1720]]</f>
        <v>#N/A N/A</v>
      </c>
      <c r="BNE28" t="str">
        <f>SOFR3mo_PX[[#This Row],[Column1721]]</f>
        <v>#N/A N/A</v>
      </c>
      <c r="BNF28" t="str">
        <f>SOFR3mo_PX[[#This Row],[Column1722]]</f>
        <v>#N/A N/A</v>
      </c>
      <c r="BNG28" t="str">
        <f>SOFR3mo_PX[[#This Row],[Column1723]]</f>
        <v>#N/A N/A</v>
      </c>
      <c r="BNH28" t="str">
        <f>SOFR3mo_PX[[#This Row],[Column1724]]</f>
        <v>#N/A N/A</v>
      </c>
      <c r="BNI28" t="str">
        <f>SOFR3mo_PX[[#This Row],[Column1725]]</f>
        <v>#N/A N/A</v>
      </c>
      <c r="BNJ28" t="str">
        <f>SOFR3mo_PX[[#This Row],[Column1726]]</f>
        <v>#N/A N/A</v>
      </c>
      <c r="BNK28" t="str">
        <f>SOFR3mo_PX[[#This Row],[Column1727]]</f>
        <v>#N/A N/A</v>
      </c>
      <c r="BNL28" t="str">
        <f>SOFR3mo_PX[[#This Row],[Column1728]]</f>
        <v>#N/A N/A</v>
      </c>
      <c r="BNM28" t="str">
        <f>SOFR3mo_PX[[#This Row],[Column1729]]</f>
        <v>#N/A N/A</v>
      </c>
      <c r="BNN28" t="str">
        <f>SOFR3mo_PX[[#This Row],[Column1730]]</f>
        <v>#N/A N/A</v>
      </c>
      <c r="BNO28" t="str">
        <f>SOFR3mo_PX[[#This Row],[Column1731]]</f>
        <v>#N/A N/A</v>
      </c>
      <c r="BNP28" t="str">
        <f>SOFR3mo_PX[[#This Row],[Column1732]]</f>
        <v>#N/A N/A</v>
      </c>
      <c r="BNQ28" t="str">
        <f>SOFR3mo_PX[[#This Row],[Column1733]]</f>
        <v>#N/A N/A</v>
      </c>
      <c r="BNR28" t="str">
        <f>SOFR3mo_PX[[#This Row],[Column1734]]</f>
        <v>#N/A N/A</v>
      </c>
      <c r="BNS28" t="str">
        <f>SOFR3mo_PX[[#This Row],[Column1735]]</f>
        <v>#N/A N/A</v>
      </c>
      <c r="BNT28" t="str">
        <f>SOFR3mo_PX[[#This Row],[Column1736]]</f>
        <v>#N/A N/A</v>
      </c>
      <c r="BNU28" t="str">
        <f>SOFR3mo_PX[[#This Row],[Column1737]]</f>
        <v>#N/A N/A</v>
      </c>
      <c r="BNV28" t="str">
        <f>SOFR3mo_PX[[#This Row],[Column1738]]</f>
        <v>#N/A N/A</v>
      </c>
      <c r="BNW28" t="str">
        <f>SOFR3mo_PX[[#This Row],[Column1739]]</f>
        <v>#N/A N/A</v>
      </c>
      <c r="BNX28" t="str">
        <f>SOFR3mo_PX[[#This Row],[Column1740]]</f>
        <v>#N/A N/A</v>
      </c>
      <c r="BNY28" t="str">
        <f>SOFR3mo_PX[[#This Row],[Column1741]]</f>
        <v>#N/A N/A</v>
      </c>
      <c r="BNZ28" t="str">
        <f>SOFR3mo_PX[[#This Row],[Column1742]]</f>
        <v>#N/A N/A</v>
      </c>
      <c r="BOA28" t="str">
        <f>SOFR3mo_PX[[#This Row],[Column1743]]</f>
        <v>#N/A N/A</v>
      </c>
      <c r="BOB28" t="str">
        <f>SOFR3mo_PX[[#This Row],[Column1744]]</f>
        <v>#N/A N/A</v>
      </c>
      <c r="BOC28" t="str">
        <f>SOFR3mo_PX[[#This Row],[Column1745]]</f>
        <v>#N/A N/A</v>
      </c>
      <c r="BOD28" t="str">
        <f>SOFR3mo_PX[[#This Row],[Column1746]]</f>
        <v>#N/A N/A</v>
      </c>
      <c r="BOE28" t="str">
        <f>SOFR3mo_PX[[#This Row],[Column1747]]</f>
        <v>#N/A N/A</v>
      </c>
      <c r="BOF28" t="str">
        <f>SOFR3mo_PX[[#This Row],[Column1748]]</f>
        <v>#N/A N/A</v>
      </c>
      <c r="BOG28" t="str">
        <f>SOFR3mo_PX[[#This Row],[Column1749]]</f>
        <v>#N/A N/A</v>
      </c>
      <c r="BOH28" t="str">
        <f>SOFR3mo_PX[[#This Row],[Column1750]]</f>
        <v>#N/A N/A</v>
      </c>
      <c r="BOI28" t="str">
        <f>SOFR3mo_PX[[#This Row],[Column1751]]</f>
        <v>#N/A N/A</v>
      </c>
      <c r="BOJ28" t="str">
        <f>SOFR3mo_PX[[#This Row],[Column1752]]</f>
        <v>#N/A N/A</v>
      </c>
      <c r="BOK28" t="str">
        <f>SOFR3mo_PX[[#This Row],[Column1753]]</f>
        <v>#N/A N/A</v>
      </c>
      <c r="BOL28" t="str">
        <f>SOFR3mo_PX[[#This Row],[Column1754]]</f>
        <v>#N/A N/A</v>
      </c>
      <c r="BOM28" t="str">
        <f>SOFR3mo_PX[[#This Row],[Column1755]]</f>
        <v>#N/A N/A</v>
      </c>
      <c r="BON28" t="str">
        <f>SOFR3mo_PX[[#This Row],[Column1756]]</f>
        <v>#N/A N/A</v>
      </c>
      <c r="BOO28" t="str">
        <f>SOFR3mo_PX[[#This Row],[Column1757]]</f>
        <v>#N/A N/A</v>
      </c>
      <c r="BOP28" t="str">
        <f>SOFR3mo_PX[[#This Row],[Column1758]]</f>
        <v>#N/A N/A</v>
      </c>
      <c r="BOQ28" t="str">
        <f>SOFR3mo_PX[[#This Row],[Column1759]]</f>
        <v>#N/A N/A</v>
      </c>
      <c r="BOR28" t="str">
        <f>SOFR3mo_PX[[#This Row],[Column1760]]</f>
        <v>#N/A N/A</v>
      </c>
      <c r="BOS28" t="str">
        <f>SOFR3mo_PX[[#This Row],[Column1761]]</f>
        <v>#N/A N/A</v>
      </c>
      <c r="BOT28" t="str">
        <f>SOFR3mo_PX[[#This Row],[Column1762]]</f>
        <v>#N/A N/A</v>
      </c>
      <c r="BOU28" t="str">
        <f>SOFR3mo_PX[[#This Row],[Column1763]]</f>
        <v>#N/A N/A</v>
      </c>
      <c r="BOV28" t="str">
        <f>SOFR3mo_PX[[#This Row],[Column1764]]</f>
        <v>#N/A N/A</v>
      </c>
      <c r="BOW28" t="str">
        <f>SOFR3mo_PX[[#This Row],[Column1765]]</f>
        <v>#N/A N/A</v>
      </c>
      <c r="BOX28" t="str">
        <f>SOFR3mo_PX[[#This Row],[Column1766]]</f>
        <v>#N/A N/A</v>
      </c>
      <c r="BOY28" t="str">
        <f>SOFR3mo_PX[[#This Row],[Column1767]]</f>
        <v>#N/A N/A</v>
      </c>
      <c r="BOZ28" t="str">
        <f>SOFR3mo_PX[[#This Row],[Column1768]]</f>
        <v>#N/A N/A</v>
      </c>
      <c r="BPA28" t="str">
        <f>SOFR3mo_PX[[#This Row],[Column1769]]</f>
        <v>#N/A N/A</v>
      </c>
      <c r="BPB28" t="str">
        <f>SOFR3mo_PX[[#This Row],[Column1770]]</f>
        <v>#N/A N/A</v>
      </c>
      <c r="BPC28" t="str">
        <f>SOFR3mo_PX[[#This Row],[Column1771]]</f>
        <v>#N/A N/A</v>
      </c>
      <c r="BPD28" t="str">
        <f>SOFR3mo_PX[[#This Row],[Column1772]]</f>
        <v>#N/A N/A</v>
      </c>
      <c r="BPE28" t="str">
        <f>SOFR3mo_PX[[#This Row],[Column1773]]</f>
        <v>#N/A N/A</v>
      </c>
      <c r="BPF28" t="str">
        <f>SOFR3mo_PX[[#This Row],[Column1774]]</f>
        <v>#N/A N/A</v>
      </c>
      <c r="BPG28" t="str">
        <f>SOFR3mo_PX[[#This Row],[Column1775]]</f>
        <v>#N/A N/A</v>
      </c>
      <c r="BPH28" t="str">
        <f>SOFR3mo_PX[[#This Row],[Column1776]]</f>
        <v>#N/A N/A</v>
      </c>
      <c r="BPI28" t="str">
        <f>SOFR3mo_PX[[#This Row],[Column1777]]</f>
        <v>#N/A N/A</v>
      </c>
      <c r="BPJ28" t="str">
        <f>SOFR3mo_PX[[#This Row],[Column1778]]</f>
        <v>#N/A N/A</v>
      </c>
      <c r="BPK28" t="str">
        <f>SOFR3mo_PX[[#This Row],[Column1779]]</f>
        <v>#N/A N/A</v>
      </c>
      <c r="BPL28" t="str">
        <f>SOFR3mo_PX[[#This Row],[Column1780]]</f>
        <v>#N/A N/A</v>
      </c>
      <c r="BPM28" t="str">
        <f>SOFR3mo_PX[[#This Row],[Column1781]]</f>
        <v>#N/A N/A</v>
      </c>
      <c r="BPN28" t="str">
        <f>SOFR3mo_PX[[#This Row],[Column1782]]</f>
        <v>#N/A N/A</v>
      </c>
      <c r="BPO28" t="str">
        <f>SOFR3mo_PX[[#This Row],[Column1783]]</f>
        <v>#N/A N/A</v>
      </c>
      <c r="BPP28" t="str">
        <f>SOFR3mo_PX[[#This Row],[Column1784]]</f>
        <v>#N/A N/A</v>
      </c>
      <c r="BPQ28" t="str">
        <f>SOFR3mo_PX[[#This Row],[Column1785]]</f>
        <v>#N/A N/A</v>
      </c>
      <c r="BPR28" t="str">
        <f>SOFR3mo_PX[[#This Row],[Column1786]]</f>
        <v>#N/A N/A</v>
      </c>
      <c r="BPS28" t="str">
        <f>SOFR3mo_PX[[#This Row],[Column1787]]</f>
        <v>#N/A N/A</v>
      </c>
      <c r="BPT28" t="str">
        <f>SOFR3mo_PX[[#This Row],[Column1788]]</f>
        <v>#N/A N/A</v>
      </c>
      <c r="BPU28" t="str">
        <f>SOFR3mo_PX[[#This Row],[Column1789]]</f>
        <v>#N/A N/A</v>
      </c>
      <c r="BPV28" t="str">
        <f>SOFR3mo_PX[[#This Row],[Column1790]]</f>
        <v>#N/A N/A</v>
      </c>
      <c r="BPW28" t="str">
        <f>SOFR3mo_PX[[#This Row],[Column1791]]</f>
        <v>#N/A N/A</v>
      </c>
      <c r="BPX28" t="str">
        <f>SOFR3mo_PX[[#This Row],[Column1792]]</f>
        <v>#N/A N/A</v>
      </c>
      <c r="BPY28" t="str">
        <f>SOFR3mo_PX[[#This Row],[Column1793]]</f>
        <v>#N/A N/A</v>
      </c>
      <c r="BPZ28" t="str">
        <f>SOFR3mo_PX[[#This Row],[Column1794]]</f>
        <v>#N/A N/A</v>
      </c>
      <c r="BQA28" t="str">
        <f>SOFR3mo_PX[[#This Row],[Column1795]]</f>
        <v>#N/A N/A</v>
      </c>
      <c r="BQB28" t="str">
        <f>SOFR3mo_PX[[#This Row],[Column1796]]</f>
        <v>#N/A N/A</v>
      </c>
      <c r="BQC28" t="str">
        <f>SOFR3mo_PX[[#This Row],[Column1797]]</f>
        <v>#N/A N/A</v>
      </c>
      <c r="BQD28" t="str">
        <f>SOFR3mo_PX[[#This Row],[Column1798]]</f>
        <v>#N/A N/A</v>
      </c>
      <c r="BQE28" t="str">
        <f>SOFR3mo_PX[[#This Row],[Column1799]]</f>
        <v>#N/A N/A</v>
      </c>
      <c r="BQF28" t="str">
        <f>SOFR3mo_PX[[#This Row],[Column1800]]</f>
        <v>#N/A N/A</v>
      </c>
      <c r="BQG28" t="str">
        <f>SOFR3mo_PX[[#This Row],[Column1801]]</f>
        <v>#N/A N/A</v>
      </c>
      <c r="BQH28" t="str">
        <f>SOFR3mo_PX[[#This Row],[Column1802]]</f>
        <v>#N/A N/A</v>
      </c>
      <c r="BQI28" t="str">
        <f>SOFR3mo_PX[[#This Row],[Column1803]]</f>
        <v>#N/A N/A</v>
      </c>
      <c r="BQJ28" t="str">
        <f>SOFR3mo_PX[[#This Row],[Column1804]]</f>
        <v>#N/A N/A</v>
      </c>
      <c r="BQK28" t="str">
        <f>SOFR3mo_PX[[#This Row],[Column1805]]</f>
        <v>#N/A N/A</v>
      </c>
      <c r="BQL28" t="str">
        <f>SOFR3mo_PX[[#This Row],[Column1806]]</f>
        <v>#N/A N/A</v>
      </c>
      <c r="BQM28" t="str">
        <f>SOFR3mo_PX[[#This Row],[Column1807]]</f>
        <v>#N/A N/A</v>
      </c>
      <c r="BQN28" t="str">
        <f>SOFR3mo_PX[[#This Row],[Column1808]]</f>
        <v>#N/A N/A</v>
      </c>
      <c r="BQO28" t="str">
        <f>SOFR3mo_PX[[#This Row],[Column1809]]</f>
        <v>#N/A N/A</v>
      </c>
      <c r="BQP28" t="str">
        <f>SOFR3mo_PX[[#This Row],[Column1810]]</f>
        <v>#N/A N/A</v>
      </c>
      <c r="BQQ28" t="str">
        <f>SOFR3mo_PX[[#This Row],[Column1811]]</f>
        <v>#N/A N/A</v>
      </c>
      <c r="BQR28" t="str">
        <f>SOFR3mo_PX[[#This Row],[Column1812]]</f>
        <v>#N/A N/A</v>
      </c>
      <c r="BQS28" t="str">
        <f>SOFR3mo_PX[[#This Row],[Column1813]]</f>
        <v>#N/A N/A</v>
      </c>
      <c r="BQT28" t="str">
        <f>SOFR3mo_PX[[#This Row],[Column1814]]</f>
        <v>#N/A N/A</v>
      </c>
      <c r="BQU28" t="str">
        <f>SOFR3mo_PX[[#This Row],[Column1815]]</f>
        <v>#N/A N/A</v>
      </c>
      <c r="BQV28" t="str">
        <f>SOFR3mo_PX[[#This Row],[Column1816]]</f>
        <v>#N/A N/A</v>
      </c>
      <c r="BQW28" t="str">
        <f>SOFR3mo_PX[[#This Row],[Column1817]]</f>
        <v>#N/A N/A</v>
      </c>
      <c r="BQX28" t="str">
        <f>SOFR3mo_PX[[#This Row],[Column1818]]</f>
        <v>#N/A N/A</v>
      </c>
      <c r="BQY28" t="str">
        <f>SOFR3mo_PX[[#This Row],[Column1819]]</f>
        <v>#N/A N/A</v>
      </c>
      <c r="BQZ28" t="str">
        <f>SOFR3mo_PX[[#This Row],[Column1820]]</f>
        <v>#N/A N/A</v>
      </c>
      <c r="BRA28" t="str">
        <f>SOFR3mo_PX[[#This Row],[Column1821]]</f>
        <v>#N/A N/A</v>
      </c>
      <c r="BRB28" t="str">
        <f>SOFR3mo_PX[[#This Row],[Column1822]]</f>
        <v>#N/A N/A</v>
      </c>
      <c r="BRC28" t="str">
        <f>SOFR3mo_PX[[#This Row],[Column1823]]</f>
        <v>#N/A N/A</v>
      </c>
      <c r="BRD28" t="str">
        <f>SOFR3mo_PX[[#This Row],[Column1824]]</f>
        <v>#N/A N/A</v>
      </c>
      <c r="BRE28" t="str">
        <f>SOFR3mo_PX[[#This Row],[Column1825]]</f>
        <v>#N/A N/A</v>
      </c>
      <c r="BRF28" t="str">
        <f>SOFR3mo_PX[[#This Row],[Column1826]]</f>
        <v>#N/A N/A</v>
      </c>
      <c r="BRG28" t="str">
        <f>SOFR3mo_PX[[#This Row],[Column1827]]</f>
        <v>#N/A N/A</v>
      </c>
      <c r="BRH28" t="str">
        <f>SOFR3mo_PX[[#This Row],[Column1828]]</f>
        <v>#N/A N/A</v>
      </c>
      <c r="BRI28" t="str">
        <f>SOFR3mo_PX[[#This Row],[Column1829]]</f>
        <v>#N/A N/A</v>
      </c>
      <c r="BRJ28" t="str">
        <f>SOFR3mo_PX[[#This Row],[Column1830]]</f>
        <v>#N/A N/A</v>
      </c>
      <c r="BRK28" t="str">
        <f>SOFR3mo_PX[[#This Row],[Column1831]]</f>
        <v>#N/A N/A</v>
      </c>
      <c r="BRL28" t="str">
        <f>SOFR3mo_PX[[#This Row],[Column1832]]</f>
        <v>#N/A N/A</v>
      </c>
      <c r="BRM28" t="str">
        <f>SOFR3mo_PX[[#This Row],[Column1833]]</f>
        <v>#N/A N/A</v>
      </c>
      <c r="BRN28" t="str">
        <f>SOFR3mo_PX[[#This Row],[Column1834]]</f>
        <v>#N/A N/A</v>
      </c>
      <c r="BRO28" t="str">
        <f>SOFR3mo_PX[[#This Row],[Column1835]]</f>
        <v>#N/A N/A</v>
      </c>
      <c r="BRP28" t="str">
        <f>SOFR3mo_PX[[#This Row],[Column1836]]</f>
        <v>#N/A N/A</v>
      </c>
      <c r="BRQ28" t="str">
        <f>SOFR3mo_PX[[#This Row],[Column1837]]</f>
        <v>#N/A N/A</v>
      </c>
      <c r="BRR28" t="str">
        <f>SOFR3mo_PX[[#This Row],[Column1838]]</f>
        <v>#N/A N/A</v>
      </c>
      <c r="BRS28" t="str">
        <f>SOFR3mo_PX[[#This Row],[Column1839]]</f>
        <v>#N/A N/A</v>
      </c>
      <c r="BRT28" t="str">
        <f>SOFR3mo_PX[[#This Row],[Column1840]]</f>
        <v>#N/A N/A</v>
      </c>
      <c r="BRU28" t="str">
        <f>SOFR3mo_PX[[#This Row],[Column1841]]</f>
        <v>#N/A N/A</v>
      </c>
      <c r="BRV28" t="str">
        <f>SOFR3mo_PX[[#This Row],[Column1842]]</f>
        <v>#N/A N/A</v>
      </c>
      <c r="BRW28" t="str">
        <f>SOFR3mo_PX[[#This Row],[Column1843]]</f>
        <v>#N/A N/A</v>
      </c>
      <c r="BRX28" t="str">
        <f>SOFR3mo_PX[[#This Row],[Column1844]]</f>
        <v>#N/A N/A</v>
      </c>
      <c r="BRY28" t="str">
        <f>SOFR3mo_PX[[#This Row],[Column1845]]</f>
        <v>#N/A N/A</v>
      </c>
      <c r="BRZ28" t="str">
        <f>SOFR3mo_PX[[#This Row],[Column1846]]</f>
        <v>#N/A N/A</v>
      </c>
      <c r="BSA28" t="str">
        <f>SOFR3mo_PX[[#This Row],[Column1847]]</f>
        <v>#N/A N/A</v>
      </c>
      <c r="BSB28" t="str">
        <f>SOFR3mo_PX[[#This Row],[Column1848]]</f>
        <v>#N/A N/A</v>
      </c>
      <c r="BSC28" t="str">
        <f>SOFR3mo_PX[[#This Row],[Column1849]]</f>
        <v>#N/A N/A</v>
      </c>
      <c r="BSD28" t="str">
        <f>SOFR3mo_PX[[#This Row],[Column1850]]</f>
        <v>#N/A N/A</v>
      </c>
      <c r="BSE28" t="str">
        <f>SOFR3mo_PX[[#This Row],[Column1851]]</f>
        <v>#N/A N/A</v>
      </c>
      <c r="BSF28" t="str">
        <f>SOFR3mo_PX[[#This Row],[Column1852]]</f>
        <v>#N/A N/A</v>
      </c>
      <c r="BSG28" t="str">
        <f>SOFR3mo_PX[[#This Row],[Column1853]]</f>
        <v>#N/A N/A</v>
      </c>
      <c r="BSH28" t="str">
        <f>SOFR3mo_PX[[#This Row],[Column1854]]</f>
        <v>#N/A N/A</v>
      </c>
      <c r="BSI28" t="str">
        <f>SOFR3mo_PX[[#This Row],[Column1855]]</f>
        <v>#N/A N/A</v>
      </c>
      <c r="BSJ28" t="str">
        <f>SOFR3mo_PX[[#This Row],[Column1856]]</f>
        <v>#N/A N/A</v>
      </c>
      <c r="BSK28" t="str">
        <f>SOFR3mo_PX[[#This Row],[Column1857]]</f>
        <v>#N/A N/A</v>
      </c>
      <c r="BSL28" t="str">
        <f>SOFR3mo_PX[[#This Row],[Column1858]]</f>
        <v>#N/A N/A</v>
      </c>
      <c r="BSM28" t="str">
        <f>SOFR3mo_PX[[#This Row],[Column1859]]</f>
        <v>#N/A N/A</v>
      </c>
      <c r="BSN28" t="str">
        <f>SOFR3mo_PX[[#This Row],[Column1860]]</f>
        <v>#N/A N/A</v>
      </c>
      <c r="BSO28" t="str">
        <f>SOFR3mo_PX[[#This Row],[Column1861]]</f>
        <v>#N/A N/A</v>
      </c>
      <c r="BSP28" t="str">
        <f>SOFR3mo_PX[[#This Row],[Column1862]]</f>
        <v>#N/A N/A</v>
      </c>
      <c r="BSQ28" t="str">
        <f>SOFR3mo_PX[[#This Row],[Column1863]]</f>
        <v>#N/A N/A</v>
      </c>
      <c r="BSR28" t="str">
        <f>SOFR3mo_PX[[#This Row],[Column1864]]</f>
        <v>#N/A N/A</v>
      </c>
      <c r="BSS28" t="str">
        <f>SOFR3mo_PX[[#This Row],[Column1865]]</f>
        <v>#N/A N/A</v>
      </c>
      <c r="BST28" t="str">
        <f>SOFR3mo_PX[[#This Row],[Column1866]]</f>
        <v>#N/A N/A</v>
      </c>
      <c r="BSU28" t="str">
        <f>SOFR3mo_PX[[#This Row],[Column1867]]</f>
        <v>#N/A N/A</v>
      </c>
      <c r="BSV28" t="str">
        <f>SOFR3mo_PX[[#This Row],[Column1868]]</f>
        <v>#N/A N/A</v>
      </c>
      <c r="BSW28" t="str">
        <f>SOFR3mo_PX[[#This Row],[Column1869]]</f>
        <v>#N/A N/A</v>
      </c>
      <c r="BSX28" t="str">
        <f>SOFR3mo_PX[[#This Row],[Column1870]]</f>
        <v>#N/A N/A</v>
      </c>
      <c r="BSY28" t="str">
        <f>SOFR3mo_PX[[#This Row],[Column1871]]</f>
        <v>#N/A N/A</v>
      </c>
      <c r="BSZ28" t="str">
        <f>SOFR3mo_PX[[#This Row],[Column1872]]</f>
        <v>#N/A N/A</v>
      </c>
      <c r="BTA28" t="str">
        <f>SOFR3mo_PX[[#This Row],[Column1873]]</f>
        <v>#N/A N/A</v>
      </c>
      <c r="BTB28" t="str">
        <f>SOFR3mo_PX[[#This Row],[Column1874]]</f>
        <v>#N/A N/A</v>
      </c>
      <c r="BTC28" t="str">
        <f>SOFR3mo_PX[[#This Row],[Column1875]]</f>
        <v>#N/A N/A</v>
      </c>
      <c r="BTD28" t="str">
        <f>SOFR3mo_PX[[#This Row],[Column1876]]</f>
        <v>#N/A N/A</v>
      </c>
      <c r="BTE28" t="str">
        <f>SOFR3mo_PX[[#This Row],[Column1877]]</f>
        <v>#N/A N/A</v>
      </c>
      <c r="BTF28" t="str">
        <f>SOFR3mo_PX[[#This Row],[Column1878]]</f>
        <v>#N/A N/A</v>
      </c>
      <c r="BTG28" t="str">
        <f>SOFR3mo_PX[[#This Row],[Column1879]]</f>
        <v>#N/A N/A</v>
      </c>
      <c r="BTH28" t="str">
        <f>SOFR3mo_PX[[#This Row],[Column1880]]</f>
        <v>#N/A N/A</v>
      </c>
      <c r="BTI28" t="str">
        <f>SOFR3mo_PX[[#This Row],[Column1881]]</f>
        <v>#N/A N/A</v>
      </c>
      <c r="BTJ28" t="str">
        <f>SOFR3mo_PX[[#This Row],[Column1882]]</f>
        <v>#N/A N/A</v>
      </c>
      <c r="BTK28" t="str">
        <f>SOFR3mo_PX[[#This Row],[Column1883]]</f>
        <v>#N/A N/A</v>
      </c>
      <c r="BTL28" t="str">
        <f>SOFR3mo_PX[[#This Row],[Column1884]]</f>
        <v>#N/A N/A</v>
      </c>
      <c r="BTM28" t="str">
        <f>SOFR3mo_PX[[#This Row],[Column1885]]</f>
        <v>#N/A N/A</v>
      </c>
      <c r="BTN28" t="str">
        <f>SOFR3mo_PX[[#This Row],[Column1886]]</f>
        <v>#N/A N/A</v>
      </c>
      <c r="BTO28" t="str">
        <f>SOFR3mo_PX[[#This Row],[Column1887]]</f>
        <v>#N/A N/A</v>
      </c>
      <c r="BTP28" t="str">
        <f>SOFR3mo_PX[[#This Row],[Column1888]]</f>
        <v>#N/A N/A</v>
      </c>
      <c r="BTQ28" t="str">
        <f>SOFR3mo_PX[[#This Row],[Column1889]]</f>
        <v>#N/A N/A</v>
      </c>
      <c r="BTR28" t="str">
        <f>SOFR3mo_PX[[#This Row],[Column1890]]</f>
        <v>#N/A N/A</v>
      </c>
      <c r="BTS28" t="str">
        <f>SOFR3mo_PX[[#This Row],[Column1891]]</f>
        <v>#N/A N/A</v>
      </c>
      <c r="BTT28" t="str">
        <f>SOFR3mo_PX[[#This Row],[Column1892]]</f>
        <v>#N/A N/A</v>
      </c>
      <c r="BTU28" t="str">
        <f>SOFR3mo_PX[[#This Row],[Column1893]]</f>
        <v>#N/A N/A</v>
      </c>
      <c r="BTV28" t="str">
        <f>SOFR3mo_PX[[#This Row],[Column1894]]</f>
        <v>#N/A N/A</v>
      </c>
      <c r="BTW28" t="str">
        <f>SOFR3mo_PX[[#This Row],[Column1895]]</f>
        <v>#N/A N/A</v>
      </c>
      <c r="BTX28" t="str">
        <f>SOFR3mo_PX[[#This Row],[Column1896]]</f>
        <v>#N/A N/A</v>
      </c>
      <c r="BTY28" t="str">
        <f>SOFR3mo_PX[[#This Row],[Column1897]]</f>
        <v>#N/A N/A</v>
      </c>
      <c r="BTZ28" t="str">
        <f>SOFR3mo_PX[[#This Row],[Column1898]]</f>
        <v>#N/A N/A</v>
      </c>
      <c r="BUA28" t="str">
        <f>SOFR3mo_PX[[#This Row],[Column1899]]</f>
        <v>#N/A N/A</v>
      </c>
      <c r="BUB28" t="str">
        <f>SOFR3mo_PX[[#This Row],[Column1900]]</f>
        <v>#N/A N/A</v>
      </c>
      <c r="BUC28" t="str">
        <f>SOFR3mo_PX[[#This Row],[Column1901]]</f>
        <v>#N/A N/A</v>
      </c>
      <c r="BUD28" t="str">
        <f>SOFR3mo_PX[[#This Row],[Column1902]]</f>
        <v>#N/A N/A</v>
      </c>
      <c r="BUE28" t="str">
        <f>SOFR3mo_PX[[#This Row],[Column1903]]</f>
        <v>#N/A N/A</v>
      </c>
      <c r="BUF28" t="str">
        <f>SOFR3mo_PX[[#This Row],[Column1904]]</f>
        <v>#N/A N/A</v>
      </c>
      <c r="BUG28" t="str">
        <f>SOFR3mo_PX[[#This Row],[Column1905]]</f>
        <v>#N/A N/A</v>
      </c>
      <c r="BUH28" t="str">
        <f>SOFR3mo_PX[[#This Row],[Column1906]]</f>
        <v>#N/A N/A</v>
      </c>
      <c r="BUI28" t="str">
        <f>SOFR3mo_PX[[#This Row],[Column1907]]</f>
        <v>#N/A N/A</v>
      </c>
      <c r="BUJ28" t="str">
        <f>SOFR3mo_PX[[#This Row],[Column1908]]</f>
        <v>#N/A N/A</v>
      </c>
      <c r="BUK28" t="str">
        <f>SOFR3mo_PX[[#This Row],[Column1909]]</f>
        <v>#N/A N/A</v>
      </c>
      <c r="BUL28" t="str">
        <f>SOFR3mo_PX[[#This Row],[Column1910]]</f>
        <v>#N/A N/A</v>
      </c>
      <c r="BUM28" t="str">
        <f>SOFR3mo_PX[[#This Row],[Column1911]]</f>
        <v>#N/A N/A</v>
      </c>
      <c r="BUN28" t="str">
        <f>SOFR3mo_PX[[#This Row],[Column1912]]</f>
        <v>#N/A N/A</v>
      </c>
      <c r="BUO28" t="str">
        <f>SOFR3mo_PX[[#This Row],[Column1913]]</f>
        <v>#N/A N/A</v>
      </c>
      <c r="BUP28" t="str">
        <f>SOFR3mo_PX[[#This Row],[Column1914]]</f>
        <v>#N/A N/A</v>
      </c>
      <c r="BUQ28" t="str">
        <f>SOFR3mo_PX[[#This Row],[Column1915]]</f>
        <v>#N/A N/A</v>
      </c>
      <c r="BUR28" t="str">
        <f>SOFR3mo_PX[[#This Row],[Column1916]]</f>
        <v>#N/A N/A</v>
      </c>
      <c r="BUS28" t="str">
        <f>SOFR3mo_PX[[#This Row],[Column1917]]</f>
        <v>#N/A N/A</v>
      </c>
      <c r="BUT28" t="str">
        <f>SOFR3mo_PX[[#This Row],[Column1918]]</f>
        <v>#N/A N/A</v>
      </c>
      <c r="BUU28" t="str">
        <f>SOFR3mo_PX[[#This Row],[Column1919]]</f>
        <v>#N/A N/A</v>
      </c>
      <c r="BUV28" t="str">
        <f>SOFR3mo_PX[[#This Row],[Column1920]]</f>
        <v>#N/A N/A</v>
      </c>
      <c r="BUW28" t="str">
        <f>SOFR3mo_PX[[#This Row],[Column1921]]</f>
        <v>#N/A N/A</v>
      </c>
      <c r="BUX28" t="str">
        <f>SOFR3mo_PX[[#This Row],[Column1922]]</f>
        <v>#N/A N/A</v>
      </c>
      <c r="BUY28" t="str">
        <f>SOFR3mo_PX[[#This Row],[Column1923]]</f>
        <v>#N/A N/A</v>
      </c>
      <c r="BUZ28" t="str">
        <f>SOFR3mo_PX[[#This Row],[Column1924]]</f>
        <v>#N/A N/A</v>
      </c>
      <c r="BVA28" t="str">
        <f>SOFR3mo_PX[[#This Row],[Column1925]]</f>
        <v>#N/A N/A</v>
      </c>
      <c r="BVB28" t="str">
        <f>SOFR3mo_PX[[#This Row],[Column1926]]</f>
        <v>#N/A N/A</v>
      </c>
      <c r="BVC28" t="str">
        <f>SOFR3mo_PX[[#This Row],[Column1927]]</f>
        <v>#N/A N/A</v>
      </c>
      <c r="BVD28" t="str">
        <f>SOFR3mo_PX[[#This Row],[Column1928]]</f>
        <v>#N/A N/A</v>
      </c>
      <c r="BVE28" t="str">
        <f>SOFR3mo_PX[[#This Row],[Column1929]]</f>
        <v>#N/A N/A</v>
      </c>
      <c r="BVF28" t="str">
        <f>SOFR3mo_PX[[#This Row],[Column1930]]</f>
        <v>#N/A N/A</v>
      </c>
      <c r="BVG28" t="str">
        <f>SOFR3mo_PX[[#This Row],[Column1931]]</f>
        <v>#N/A N/A</v>
      </c>
      <c r="BVH28" t="str">
        <f>SOFR3mo_PX[[#This Row],[Column1932]]</f>
        <v>#N/A N/A</v>
      </c>
      <c r="BVI28" t="str">
        <f>SOFR3mo_PX[[#This Row],[Column1933]]</f>
        <v>#N/A N/A</v>
      </c>
      <c r="BVJ28" t="str">
        <f>SOFR3mo_PX[[#This Row],[Column1934]]</f>
        <v>#N/A N/A</v>
      </c>
      <c r="BVK28" t="str">
        <f>SOFR3mo_PX[[#This Row],[Column1935]]</f>
        <v>#N/A N/A</v>
      </c>
      <c r="BVL28" t="str">
        <f>SOFR3mo_PX[[#This Row],[Column1936]]</f>
        <v>#N/A N/A</v>
      </c>
      <c r="BVM28" t="str">
        <f>SOFR3mo_PX[[#This Row],[Column1937]]</f>
        <v>#N/A N/A</v>
      </c>
      <c r="BVN28" t="str">
        <f>SOFR3mo_PX[[#This Row],[Column1938]]</f>
        <v>#N/A N/A</v>
      </c>
      <c r="BVO28" t="str">
        <f>SOFR3mo_PX[[#This Row],[Column1939]]</f>
        <v>#N/A N/A</v>
      </c>
      <c r="BVP28" t="str">
        <f>SOFR3mo_PX[[#This Row],[Column1940]]</f>
        <v>#N/A N/A</v>
      </c>
      <c r="BVQ28" t="str">
        <f>SOFR3mo_PX[[#This Row],[Column1941]]</f>
        <v>#N/A N/A</v>
      </c>
      <c r="BVR28" t="str">
        <f>SOFR3mo_PX[[#This Row],[Column1942]]</f>
        <v>#N/A N/A</v>
      </c>
      <c r="BVS28" t="str">
        <f>SOFR3mo_PX[[#This Row],[Column1943]]</f>
        <v>#N/A N/A</v>
      </c>
      <c r="BVT28" t="str">
        <f>SOFR3mo_PX[[#This Row],[Column1944]]</f>
        <v>#N/A N/A</v>
      </c>
      <c r="BVU28" t="str">
        <f>SOFR3mo_PX[[#This Row],[Column1945]]</f>
        <v>#N/A N/A</v>
      </c>
      <c r="BVV28" t="str">
        <f>SOFR3mo_PX[[#This Row],[Column1946]]</f>
        <v>#N/A N/A</v>
      </c>
      <c r="BVW28" t="str">
        <f>SOFR3mo_PX[[#This Row],[Column1947]]</f>
        <v>#N/A N/A</v>
      </c>
      <c r="BVX28" t="str">
        <f>SOFR3mo_PX[[#This Row],[Column1948]]</f>
        <v>#N/A N/A</v>
      </c>
      <c r="BVY28" t="str">
        <f>SOFR3mo_PX[[#This Row],[Column1949]]</f>
        <v>#N/A N/A</v>
      </c>
      <c r="BVZ28" t="str">
        <f>SOFR3mo_PX[[#This Row],[Column1950]]</f>
        <v>#N/A N/A</v>
      </c>
      <c r="BWA28" t="str">
        <f>SOFR3mo_PX[[#This Row],[Column1951]]</f>
        <v>#N/A N/A</v>
      </c>
      <c r="BWB28" t="str">
        <f>SOFR3mo_PX[[#This Row],[Column1952]]</f>
        <v>#N/A N/A</v>
      </c>
      <c r="BWC28" t="str">
        <f>SOFR3mo_PX[[#This Row],[Column1953]]</f>
        <v>#N/A N/A</v>
      </c>
      <c r="BWD28" t="str">
        <f>SOFR3mo_PX[[#This Row],[Column1954]]</f>
        <v>#N/A N/A</v>
      </c>
    </row>
    <row r="29" spans="1:1954" x14ac:dyDescent="0.25">
      <c r="A29" t="str">
        <f>SOFR3mo_PX[[#This Row],[Column1]]</f>
        <v>SFR27 Comdty</v>
      </c>
      <c r="B29">
        <f>IF(rtd!B27&lt;&gt;"",rtd!B27,SOFR3mo_PX[[#This Row],[Column2]])</f>
        <v>95.775000000000006</v>
      </c>
      <c r="C29">
        <f>SOFR3mo_PX[[#This Row],[Column3]]</f>
        <v>95.775000000000006</v>
      </c>
      <c r="D29">
        <f>SOFR3mo_PX[[#This Row],[Column4]]</f>
        <v>95.775000000000006</v>
      </c>
      <c r="E29">
        <f>SOFR3mo_PX[[#This Row],[Column5]]</f>
        <v>95.83</v>
      </c>
      <c r="F29">
        <f>SOFR3mo_PX[[#This Row],[Column6]]</f>
        <v>95.775000000000006</v>
      </c>
      <c r="G29">
        <f>SOFR3mo_PX[[#This Row],[Column7]]</f>
        <v>95.814999999999998</v>
      </c>
      <c r="H29">
        <f>SOFR3mo_PX[[#This Row],[Column8]]</f>
        <v>95.864999999999995</v>
      </c>
      <c r="I29">
        <f>SOFR3mo_PX[[#This Row],[Column9]]</f>
        <v>95.805000000000007</v>
      </c>
      <c r="J29">
        <f>SOFR3mo_PX[[#This Row],[Column10]]</f>
        <v>95.754999999999995</v>
      </c>
      <c r="K29">
        <f>SOFR3mo_PX[[#This Row],[Column11]]</f>
        <v>95.74</v>
      </c>
      <c r="L29">
        <f>SOFR3mo_PX[[#This Row],[Column12]]</f>
        <v>95.734999999999999</v>
      </c>
      <c r="M29">
        <f>SOFR3mo_PX[[#This Row],[Column13]]</f>
        <v>95.834999999999994</v>
      </c>
      <c r="N29">
        <f>SOFR3mo_PX[[#This Row],[Column14]]</f>
        <v>95.86</v>
      </c>
      <c r="O29">
        <f>SOFR3mo_PX[[#This Row],[Column15]]</f>
        <v>95.77</v>
      </c>
      <c r="P29">
        <f>SOFR3mo_PX[[#This Row],[Column16]]</f>
        <v>95.765000000000001</v>
      </c>
      <c r="Q29">
        <f>SOFR3mo_PX[[#This Row],[Column17]]</f>
        <v>95.825000000000003</v>
      </c>
      <c r="R29">
        <f>SOFR3mo_PX[[#This Row],[Column18]]</f>
        <v>95.805000000000007</v>
      </c>
      <c r="S29">
        <f>SOFR3mo_PX[[#This Row],[Column19]]</f>
        <v>95.775000000000006</v>
      </c>
      <c r="T29">
        <f>SOFR3mo_PX[[#This Row],[Column20]]</f>
        <v>95.825000000000003</v>
      </c>
      <c r="U29">
        <f>SOFR3mo_PX[[#This Row],[Column21]]</f>
        <v>95.734999999999999</v>
      </c>
      <c r="V29">
        <f>SOFR3mo_PX[[#This Row],[Column22]]</f>
        <v>95.734999999999999</v>
      </c>
      <c r="W29">
        <f>SOFR3mo_PX[[#This Row],[Column23]]</f>
        <v>95.66</v>
      </c>
      <c r="X29">
        <f>SOFR3mo_PX[[#This Row],[Column24]]</f>
        <v>95.6</v>
      </c>
      <c r="Y29">
        <f>SOFR3mo_PX[[#This Row],[Column25]]</f>
        <v>95.704999999999998</v>
      </c>
      <c r="Z29">
        <f>SOFR3mo_PX[[#This Row],[Column26]]</f>
        <v>95.704999999999998</v>
      </c>
      <c r="AA29">
        <f>SOFR3mo_PX[[#This Row],[Column27]]</f>
        <v>95.745000000000005</v>
      </c>
      <c r="AB29">
        <f>SOFR3mo_PX[[#This Row],[Column28]]</f>
        <v>95.724999999999994</v>
      </c>
      <c r="AC29">
        <f>SOFR3mo_PX[[#This Row],[Column29]]</f>
        <v>95.655000000000001</v>
      </c>
      <c r="AD29">
        <f>SOFR3mo_PX[[#This Row],[Column30]]</f>
        <v>95.69</v>
      </c>
      <c r="AE29">
        <f>SOFR3mo_PX[[#This Row],[Column31]]</f>
        <v>95.74</v>
      </c>
      <c r="AF29">
        <f>SOFR3mo_PX[[#This Row],[Column32]]</f>
        <v>95.8</v>
      </c>
      <c r="AG29">
        <f>SOFR3mo_PX[[#This Row],[Column33]]</f>
        <v>95.8</v>
      </c>
      <c r="AH29">
        <f>SOFR3mo_PX[[#This Row],[Column34]]</f>
        <v>95.894999999999996</v>
      </c>
      <c r="AI29">
        <f>SOFR3mo_PX[[#This Row],[Column35]]</f>
        <v>95.844999999999999</v>
      </c>
      <c r="AJ29">
        <f>SOFR3mo_PX[[#This Row],[Column36]]</f>
        <v>95.834999999999994</v>
      </c>
      <c r="AK29">
        <f>SOFR3mo_PX[[#This Row],[Column37]]</f>
        <v>95.87</v>
      </c>
      <c r="AL29">
        <f>SOFR3mo_PX[[#This Row],[Column38]]</f>
        <v>95.92</v>
      </c>
      <c r="AM29">
        <f>SOFR3mo_PX[[#This Row],[Column39]]</f>
        <v>95.97</v>
      </c>
      <c r="AN29">
        <f>SOFR3mo_PX[[#This Row],[Column40]]</f>
        <v>95.944999999999993</v>
      </c>
      <c r="AO29">
        <f>SOFR3mo_PX[[#This Row],[Column41]]</f>
        <v>95.885000000000005</v>
      </c>
      <c r="AP29">
        <f>SOFR3mo_PX[[#This Row],[Column42]]</f>
        <v>95.834999999999994</v>
      </c>
      <c r="AQ29">
        <f>SOFR3mo_PX[[#This Row],[Column43]]</f>
        <v>95.775000000000006</v>
      </c>
      <c r="AR29">
        <f>SOFR3mo_PX[[#This Row],[Column44]]</f>
        <v>95.704999999999998</v>
      </c>
      <c r="AS29">
        <f>SOFR3mo_PX[[#This Row],[Column45]]</f>
        <v>95.674999999999997</v>
      </c>
      <c r="AT29">
        <f>SOFR3mo_PX[[#This Row],[Column46]]</f>
        <v>95.625</v>
      </c>
      <c r="AU29">
        <f>SOFR3mo_PX[[#This Row],[Column47]]</f>
        <v>95.765000000000001</v>
      </c>
      <c r="AV29">
        <f>SOFR3mo_PX[[#This Row],[Column48]]</f>
        <v>95.765000000000001</v>
      </c>
      <c r="AW29">
        <f>SOFR3mo_PX[[#This Row],[Column49]]</f>
        <v>95.85</v>
      </c>
      <c r="AX29">
        <f>SOFR3mo_PX[[#This Row],[Column50]]</f>
        <v>95.814999999999998</v>
      </c>
      <c r="AY29">
        <f>SOFR3mo_PX[[#This Row],[Column51]]</f>
        <v>95.79</v>
      </c>
      <c r="AZ29">
        <f>SOFR3mo_PX[[#This Row],[Column52]]</f>
        <v>95.685000000000002</v>
      </c>
      <c r="BA29">
        <f>SOFR3mo_PX[[#This Row],[Column53]]</f>
        <v>95.825000000000003</v>
      </c>
      <c r="BB29">
        <f>SOFR3mo_PX[[#This Row],[Column54]]</f>
        <v>95.795000000000002</v>
      </c>
      <c r="BC29">
        <f>SOFR3mo_PX[[#This Row],[Column55]]</f>
        <v>95.954999999999998</v>
      </c>
      <c r="BD29">
        <f>SOFR3mo_PX[[#This Row],[Column56]]</f>
        <v>96.04</v>
      </c>
      <c r="BE29">
        <f>SOFR3mo_PX[[#This Row],[Column57]]</f>
        <v>96.215000000000003</v>
      </c>
      <c r="BF29">
        <f>SOFR3mo_PX[[#This Row],[Column58]]</f>
        <v>96.135000000000005</v>
      </c>
      <c r="BG29">
        <f>SOFR3mo_PX[[#This Row],[Column59]]</f>
        <v>95.99</v>
      </c>
      <c r="BH29">
        <f>SOFR3mo_PX[[#This Row],[Column60]]</f>
        <v>96.05</v>
      </c>
      <c r="BI29">
        <f>SOFR3mo_PX[[#This Row],[Column61]]</f>
        <v>95.944999999999993</v>
      </c>
      <c r="BJ29">
        <f>SOFR3mo_PX[[#This Row],[Column62]]</f>
        <v>95.915000000000006</v>
      </c>
      <c r="BK29">
        <f>SOFR3mo_PX[[#This Row],[Column63]]</f>
        <v>95.8</v>
      </c>
      <c r="BL29">
        <f>SOFR3mo_PX[[#This Row],[Column64]]</f>
        <v>95.855000000000004</v>
      </c>
      <c r="BM29">
        <f>SOFR3mo_PX[[#This Row],[Column65]]</f>
        <v>95.885000000000005</v>
      </c>
      <c r="BN29">
        <f>SOFR3mo_PX[[#This Row],[Column66]]</f>
        <v>95.86</v>
      </c>
      <c r="BO29">
        <f>SOFR3mo_PX[[#This Row],[Column67]]</f>
        <v>95.94</v>
      </c>
      <c r="BP29">
        <f>SOFR3mo_PX[[#This Row],[Column68]]</f>
        <v>95.954999999999998</v>
      </c>
      <c r="BQ29">
        <f>SOFR3mo_PX[[#This Row],[Column69]]</f>
        <v>95.915000000000006</v>
      </c>
      <c r="BR29">
        <f>SOFR3mo_PX[[#This Row],[Column70]]</f>
        <v>95.93</v>
      </c>
      <c r="BS29">
        <f>SOFR3mo_PX[[#This Row],[Column71]]</f>
        <v>95.894999999999996</v>
      </c>
      <c r="BT29">
        <f>SOFR3mo_PX[[#This Row],[Column72]]</f>
        <v>95.87</v>
      </c>
      <c r="BU29">
        <f>SOFR3mo_PX[[#This Row],[Column73]]</f>
        <v>95.94</v>
      </c>
      <c r="BV29">
        <f>SOFR3mo_PX[[#This Row],[Column74]]</f>
        <v>95.91</v>
      </c>
      <c r="BW29">
        <f>SOFR3mo_PX[[#This Row],[Column75]]</f>
        <v>95.94</v>
      </c>
      <c r="BX29">
        <f>SOFR3mo_PX[[#This Row],[Column76]]</f>
        <v>96.034999999999997</v>
      </c>
      <c r="BY29">
        <f>SOFR3mo_PX[[#This Row],[Column77]]</f>
        <v>95.905000000000001</v>
      </c>
      <c r="BZ29">
        <f>SOFR3mo_PX[[#This Row],[Column78]]</f>
        <v>95.93</v>
      </c>
      <c r="CA29">
        <f>SOFR3mo_PX[[#This Row],[Column79]]</f>
        <v>95.954999999999998</v>
      </c>
      <c r="CB29">
        <f>SOFR3mo_PX[[#This Row],[Column80]]</f>
        <v>96.015000000000001</v>
      </c>
      <c r="CC29">
        <f>SOFR3mo_PX[[#This Row],[Column81]]</f>
        <v>96.06</v>
      </c>
      <c r="CD29">
        <f>SOFR3mo_PX[[#This Row],[Column82]]</f>
        <v>96</v>
      </c>
      <c r="CE29">
        <f>SOFR3mo_PX[[#This Row],[Column83]]</f>
        <v>95.94</v>
      </c>
      <c r="CF29">
        <f>SOFR3mo_PX[[#This Row],[Column84]]</f>
        <v>95.984999999999999</v>
      </c>
      <c r="CG29">
        <f>SOFR3mo_PX[[#This Row],[Column85]]</f>
        <v>95.915000000000006</v>
      </c>
      <c r="CH29">
        <f>SOFR3mo_PX[[#This Row],[Column86]]</f>
        <v>95.78</v>
      </c>
      <c r="CI29">
        <f>SOFR3mo_PX[[#This Row],[Column87]]</f>
        <v>95.754999999999995</v>
      </c>
      <c r="CJ29">
        <f>SOFR3mo_PX[[#This Row],[Column88]]</f>
        <v>95.674999999999997</v>
      </c>
      <c r="CK29">
        <f>SOFR3mo_PX[[#This Row],[Column89]]</f>
        <v>95.625</v>
      </c>
      <c r="CL29">
        <f>SOFR3mo_PX[[#This Row],[Column90]]</f>
        <v>95.625</v>
      </c>
      <c r="CM29">
        <f>SOFR3mo_PX[[#This Row],[Column91]]</f>
        <v>95.7</v>
      </c>
      <c r="CN29">
        <f>SOFR3mo_PX[[#This Row],[Column92]]</f>
        <v>95.7</v>
      </c>
      <c r="CO29">
        <f>SOFR3mo_PX[[#This Row],[Column93]]</f>
        <v>95.644999999999996</v>
      </c>
      <c r="CP29">
        <f>SOFR3mo_PX[[#This Row],[Column94]]</f>
        <v>95.53</v>
      </c>
      <c r="CQ29">
        <f>SOFR3mo_PX[[#This Row],[Column95]]</f>
        <v>95.665000000000006</v>
      </c>
      <c r="CR29">
        <f>SOFR3mo_PX[[#This Row],[Column96]]</f>
        <v>95.715000000000003</v>
      </c>
      <c r="CS29">
        <f>SOFR3mo_PX[[#This Row],[Column97]]</f>
        <v>95.715000000000003</v>
      </c>
      <c r="CT29">
        <f>SOFR3mo_PX[[#This Row],[Column98]]</f>
        <v>95.775000000000006</v>
      </c>
      <c r="CU29">
        <f>SOFR3mo_PX[[#This Row],[Column99]]</f>
        <v>95.825000000000003</v>
      </c>
      <c r="CV29">
        <f>SOFR3mo_PX[[#This Row],[Column100]]</f>
        <v>95.715000000000003</v>
      </c>
      <c r="CW29">
        <f>SOFR3mo_PX[[#This Row],[Column101]]</f>
        <v>95.69</v>
      </c>
      <c r="CX29">
        <f>SOFR3mo_PX[[#This Row],[Column102]]</f>
        <v>95.644999999999996</v>
      </c>
      <c r="CY29">
        <f>SOFR3mo_PX[[#This Row],[Column103]]</f>
        <v>95.715000000000003</v>
      </c>
      <c r="CZ29">
        <f>SOFR3mo_PX[[#This Row],[Column104]]</f>
        <v>95.67</v>
      </c>
      <c r="DA29">
        <f>SOFR3mo_PX[[#This Row],[Column105]]</f>
        <v>95.68</v>
      </c>
      <c r="DB29">
        <f>SOFR3mo_PX[[#This Row],[Column106]]</f>
        <v>95.704999999999998</v>
      </c>
      <c r="DC29">
        <f>SOFR3mo_PX[[#This Row],[Column107]]</f>
        <v>95.594999999999999</v>
      </c>
      <c r="DD29">
        <f>SOFR3mo_PX[[#This Row],[Column108]]</f>
        <v>95.594999999999999</v>
      </c>
      <c r="DE29">
        <f>SOFR3mo_PX[[#This Row],[Column109]]</f>
        <v>95.65</v>
      </c>
      <c r="DF29">
        <f>SOFR3mo_PX[[#This Row],[Column110]]</f>
        <v>95.68</v>
      </c>
      <c r="DG29">
        <f>SOFR3mo_PX[[#This Row],[Column111]]</f>
        <v>95.635000000000005</v>
      </c>
      <c r="DH29">
        <f>SOFR3mo_PX[[#This Row],[Column112]]</f>
        <v>95.635000000000005</v>
      </c>
      <c r="DI29">
        <f>SOFR3mo_PX[[#This Row],[Column113]]</f>
        <v>95.635000000000005</v>
      </c>
      <c r="DJ29">
        <f>SOFR3mo_PX[[#This Row],[Column114]]</f>
        <v>95.594999999999999</v>
      </c>
      <c r="DK29">
        <f>SOFR3mo_PX[[#This Row],[Column115]]</f>
        <v>95.45</v>
      </c>
      <c r="DL29">
        <f>SOFR3mo_PX[[#This Row],[Column116]]</f>
        <v>95.43</v>
      </c>
      <c r="DM29">
        <f>SOFR3mo_PX[[#This Row],[Column117]]</f>
        <v>95.47</v>
      </c>
      <c r="DN29">
        <f>SOFR3mo_PX[[#This Row],[Column118]]</f>
        <v>95.53</v>
      </c>
      <c r="DO29">
        <f>SOFR3mo_PX[[#This Row],[Column119]]</f>
        <v>95.515000000000001</v>
      </c>
      <c r="DP29">
        <f>SOFR3mo_PX[[#This Row],[Column120]]</f>
        <v>95.525000000000006</v>
      </c>
      <c r="DQ29">
        <f>SOFR3mo_PX[[#This Row],[Column121]]</f>
        <v>95.61</v>
      </c>
      <c r="DR29">
        <f>SOFR3mo_PX[[#This Row],[Column122]]</f>
        <v>95.665000000000006</v>
      </c>
      <c r="DS29">
        <f>SOFR3mo_PX[[#This Row],[Column123]]</f>
        <v>95.68</v>
      </c>
      <c r="DT29">
        <f>SOFR3mo_PX[[#This Row],[Column124]]</f>
        <v>95.674999999999997</v>
      </c>
      <c r="DU29">
        <f>SOFR3mo_PX[[#This Row],[Column125]]</f>
        <v>95.674999999999997</v>
      </c>
      <c r="DV29">
        <f>SOFR3mo_PX[[#This Row],[Column126]]</f>
        <v>95.715000000000003</v>
      </c>
      <c r="DW29">
        <f>SOFR3mo_PX[[#This Row],[Column127]]</f>
        <v>95.635000000000005</v>
      </c>
      <c r="DX29">
        <f>SOFR3mo_PX[[#This Row],[Column128]]</f>
        <v>95.694999999999993</v>
      </c>
      <c r="DY29">
        <f>SOFR3mo_PX[[#This Row],[Column129]]</f>
        <v>95.68</v>
      </c>
      <c r="DZ29">
        <f>SOFR3mo_PX[[#This Row],[Column130]]</f>
        <v>95.68</v>
      </c>
      <c r="EA29">
        <f>SOFR3mo_PX[[#This Row],[Column131]]</f>
        <v>95.655000000000001</v>
      </c>
      <c r="EB29">
        <f>SOFR3mo_PX[[#This Row],[Column132]]</f>
        <v>95.754999999999995</v>
      </c>
      <c r="EC29">
        <f>SOFR3mo_PX[[#This Row],[Column133]]</f>
        <v>95.685000000000002</v>
      </c>
      <c r="ED29">
        <f>SOFR3mo_PX[[#This Row],[Column134]]</f>
        <v>95.814999999999998</v>
      </c>
      <c r="EE29">
        <f>SOFR3mo_PX[[#This Row],[Column135]]</f>
        <v>95.954999999999998</v>
      </c>
      <c r="EF29">
        <f>SOFR3mo_PX[[#This Row],[Column136]]</f>
        <v>95.94</v>
      </c>
      <c r="EG29">
        <f>SOFR3mo_PX[[#This Row],[Column137]]</f>
        <v>95.944999999999993</v>
      </c>
      <c r="EH29">
        <f>SOFR3mo_PX[[#This Row],[Column138]]</f>
        <v>96.03</v>
      </c>
      <c r="EI29">
        <f>SOFR3mo_PX[[#This Row],[Column139]]</f>
        <v>96.094999999999999</v>
      </c>
      <c r="EJ29">
        <f>SOFR3mo_PX[[#This Row],[Column140]]</f>
        <v>96.155000000000001</v>
      </c>
      <c r="EK29">
        <f>SOFR3mo_PX[[#This Row],[Column141]]</f>
        <v>96.18</v>
      </c>
      <c r="EL29">
        <f>SOFR3mo_PX[[#This Row],[Column142]]</f>
        <v>96.22</v>
      </c>
      <c r="EM29">
        <f>SOFR3mo_PX[[#This Row],[Column143]]</f>
        <v>96.185000000000002</v>
      </c>
      <c r="EN29">
        <f>SOFR3mo_PX[[#This Row],[Column144]]</f>
        <v>96.17</v>
      </c>
      <c r="EO29">
        <f>SOFR3mo_PX[[#This Row],[Column145]]</f>
        <v>96.14</v>
      </c>
      <c r="EP29">
        <f>SOFR3mo_PX[[#This Row],[Column146]]</f>
        <v>96.174999999999997</v>
      </c>
      <c r="EQ29">
        <f>SOFR3mo_PX[[#This Row],[Column147]]</f>
        <v>96.174999999999997</v>
      </c>
      <c r="ER29">
        <f>SOFR3mo_PX[[#This Row],[Column148]]</f>
        <v>96.14</v>
      </c>
      <c r="ES29">
        <f>SOFR3mo_PX[[#This Row],[Column149]]</f>
        <v>96.14</v>
      </c>
      <c r="ET29">
        <f>SOFR3mo_PX[[#This Row],[Column150]]</f>
        <v>96.075000000000003</v>
      </c>
      <c r="EU29">
        <f>SOFR3mo_PX[[#This Row],[Column151]]</f>
        <v>96.14</v>
      </c>
      <c r="EV29">
        <f>SOFR3mo_PX[[#This Row],[Column152]]</f>
        <v>95.99</v>
      </c>
      <c r="EW29">
        <f>SOFR3mo_PX[[#This Row],[Column153]]</f>
        <v>95.954999999999998</v>
      </c>
      <c r="EX29">
        <f>SOFR3mo_PX[[#This Row],[Column154]]</f>
        <v>95.95</v>
      </c>
      <c r="EY29">
        <f>SOFR3mo_PX[[#This Row],[Column155]]</f>
        <v>95.98</v>
      </c>
      <c r="EZ29">
        <f>SOFR3mo_PX[[#This Row],[Column156]]</f>
        <v>95.944999999999993</v>
      </c>
      <c r="FA29">
        <f>SOFR3mo_PX[[#This Row],[Column157]]</f>
        <v>95.935000000000002</v>
      </c>
      <c r="FB29">
        <f>SOFR3mo_PX[[#This Row],[Column158]]</f>
        <v>95.94</v>
      </c>
      <c r="FC29">
        <f>SOFR3mo_PX[[#This Row],[Column159]]</f>
        <v>95.905000000000001</v>
      </c>
      <c r="FD29">
        <f>SOFR3mo_PX[[#This Row],[Column160]]</f>
        <v>95.93</v>
      </c>
      <c r="FE29">
        <f>SOFR3mo_PX[[#This Row],[Column161]]</f>
        <v>95.99</v>
      </c>
      <c r="FF29">
        <f>SOFR3mo_PX[[#This Row],[Column162]]</f>
        <v>96.04</v>
      </c>
      <c r="FG29">
        <f>SOFR3mo_PX[[#This Row],[Column163]]</f>
        <v>95.995000000000005</v>
      </c>
      <c r="FH29">
        <f>SOFR3mo_PX[[#This Row],[Column164]]</f>
        <v>95.89</v>
      </c>
      <c r="FI29">
        <f>SOFR3mo_PX[[#This Row],[Column165]]</f>
        <v>96.06</v>
      </c>
      <c r="FJ29">
        <f>SOFR3mo_PX[[#This Row],[Column166]]</f>
        <v>96.034999999999997</v>
      </c>
      <c r="FK29">
        <f>SOFR3mo_PX[[#This Row],[Column167]]</f>
        <v>95.97</v>
      </c>
      <c r="FL29">
        <f>SOFR3mo_PX[[#This Row],[Column168]]</f>
        <v>96.03</v>
      </c>
      <c r="FM29">
        <f>SOFR3mo_PX[[#This Row],[Column169]]</f>
        <v>96.04</v>
      </c>
      <c r="FN29">
        <f>SOFR3mo_PX[[#This Row],[Column170]]</f>
        <v>96.01</v>
      </c>
      <c r="FO29">
        <f>SOFR3mo_PX[[#This Row],[Column171]]</f>
        <v>96.004999999999995</v>
      </c>
      <c r="FP29">
        <f>SOFR3mo_PX[[#This Row],[Column172]]</f>
        <v>96.04</v>
      </c>
      <c r="FQ29">
        <f>SOFR3mo_PX[[#This Row],[Column173]]</f>
        <v>96.064999999999998</v>
      </c>
      <c r="FR29">
        <f>SOFR3mo_PX[[#This Row],[Column174]]</f>
        <v>96.015000000000001</v>
      </c>
      <c r="FS29">
        <f>SOFR3mo_PX[[#This Row],[Column175]]</f>
        <v>96.045000000000002</v>
      </c>
      <c r="FT29">
        <f>SOFR3mo_PX[[#This Row],[Column176]]</f>
        <v>96.07</v>
      </c>
      <c r="FU29">
        <f>SOFR3mo_PX[[#This Row],[Column177]]</f>
        <v>96.185000000000002</v>
      </c>
      <c r="FV29">
        <f>SOFR3mo_PX[[#This Row],[Column178]]</f>
        <v>96.17</v>
      </c>
      <c r="FW29">
        <f>SOFR3mo_PX[[#This Row],[Column179]]</f>
        <v>96.27</v>
      </c>
      <c r="FX29">
        <f>SOFR3mo_PX[[#This Row],[Column180]]</f>
        <v>96.25</v>
      </c>
      <c r="FY29">
        <f>SOFR3mo_PX[[#This Row],[Column181]]</f>
        <v>96.155000000000001</v>
      </c>
      <c r="FZ29">
        <f>SOFR3mo_PX[[#This Row],[Column182]]</f>
        <v>96.194999999999993</v>
      </c>
      <c r="GA29">
        <f>SOFR3mo_PX[[#This Row],[Column183]]</f>
        <v>96.185000000000002</v>
      </c>
      <c r="GB29">
        <f>SOFR3mo_PX[[#This Row],[Column184]]</f>
        <v>96.23</v>
      </c>
      <c r="GC29">
        <f>SOFR3mo_PX[[#This Row],[Column185]]</f>
        <v>96.254999999999995</v>
      </c>
      <c r="GD29">
        <f>SOFR3mo_PX[[#This Row],[Column186]]</f>
        <v>96.27</v>
      </c>
      <c r="GE29">
        <f>SOFR3mo_PX[[#This Row],[Column187]]</f>
        <v>96.305000000000007</v>
      </c>
      <c r="GF29">
        <f>SOFR3mo_PX[[#This Row],[Column188]]</f>
        <v>96.385000000000005</v>
      </c>
      <c r="GG29">
        <f>SOFR3mo_PX[[#This Row],[Column189]]</f>
        <v>96.454999999999998</v>
      </c>
      <c r="GH29">
        <f>SOFR3mo_PX[[#This Row],[Column190]]</f>
        <v>96.5</v>
      </c>
      <c r="GI29">
        <f>SOFR3mo_PX[[#This Row],[Column191]]</f>
        <v>96.43</v>
      </c>
      <c r="GJ29">
        <f>SOFR3mo_PX[[#This Row],[Column192]]</f>
        <v>96.47</v>
      </c>
      <c r="GK29">
        <f>SOFR3mo_PX[[#This Row],[Column193]]</f>
        <v>96.44</v>
      </c>
      <c r="GL29">
        <f>SOFR3mo_PX[[#This Row],[Column194]]</f>
        <v>96.42</v>
      </c>
      <c r="GM29">
        <f>SOFR3mo_PX[[#This Row],[Column195]]</f>
        <v>96.46</v>
      </c>
      <c r="GN29">
        <f>SOFR3mo_PX[[#This Row],[Column196]]</f>
        <v>96.465000000000003</v>
      </c>
      <c r="GO29">
        <f>SOFR3mo_PX[[#This Row],[Column197]]</f>
        <v>96.48</v>
      </c>
      <c r="GP29">
        <f>SOFR3mo_PX[[#This Row],[Column198]]</f>
        <v>96.46</v>
      </c>
      <c r="GQ29">
        <f>SOFR3mo_PX[[#This Row],[Column199]]</f>
        <v>96.534999999999997</v>
      </c>
      <c r="GR29">
        <f>SOFR3mo_PX[[#This Row],[Column200]]</f>
        <v>96.6</v>
      </c>
      <c r="GS29">
        <f>SOFR3mo_PX[[#This Row],[Column201]]</f>
        <v>96.59</v>
      </c>
      <c r="GT29">
        <f>SOFR3mo_PX[[#This Row],[Column202]]</f>
        <v>96.57</v>
      </c>
      <c r="GU29">
        <f>SOFR3mo_PX[[#This Row],[Column203]]</f>
        <v>96.56</v>
      </c>
      <c r="GV29">
        <f>SOFR3mo_PX[[#This Row],[Column204]]</f>
        <v>96.59</v>
      </c>
      <c r="GW29">
        <f>SOFR3mo_PX[[#This Row],[Column205]]</f>
        <v>96.594999999999999</v>
      </c>
      <c r="GX29">
        <f>SOFR3mo_PX[[#This Row],[Column206]]</f>
        <v>96.54</v>
      </c>
      <c r="GY29">
        <f>SOFR3mo_PX[[#This Row],[Column207]]</f>
        <v>96.515000000000001</v>
      </c>
      <c r="GZ29">
        <f>SOFR3mo_PX[[#This Row],[Column208]]</f>
        <v>96.53</v>
      </c>
      <c r="HA29">
        <f>SOFR3mo_PX[[#This Row],[Column209]]</f>
        <v>96.495000000000005</v>
      </c>
      <c r="HB29">
        <f>SOFR3mo_PX[[#This Row],[Column210]]</f>
        <v>96.444999999999993</v>
      </c>
      <c r="HC29">
        <f>SOFR3mo_PX[[#This Row],[Column211]]</f>
        <v>96.364999999999995</v>
      </c>
      <c r="HD29">
        <f>SOFR3mo_PX[[#This Row],[Column212]]</f>
        <v>96.364999999999995</v>
      </c>
      <c r="HE29">
        <f>SOFR3mo_PX[[#This Row],[Column213]]</f>
        <v>96.41</v>
      </c>
      <c r="HF29">
        <f>SOFR3mo_PX[[#This Row],[Column214]]</f>
        <v>96.424999999999997</v>
      </c>
      <c r="HG29">
        <f>SOFR3mo_PX[[#This Row],[Column215]]</f>
        <v>96.44</v>
      </c>
      <c r="HH29">
        <f>SOFR3mo_PX[[#This Row],[Column216]]</f>
        <v>96.46</v>
      </c>
      <c r="HI29">
        <f>SOFR3mo_PX[[#This Row],[Column217]]</f>
        <v>96.45</v>
      </c>
      <c r="HJ29">
        <f>SOFR3mo_PX[[#This Row],[Column218]]</f>
        <v>96.39</v>
      </c>
      <c r="HK29">
        <f>SOFR3mo_PX[[#This Row],[Column219]]</f>
        <v>96.465000000000003</v>
      </c>
      <c r="HL29">
        <f>SOFR3mo_PX[[#This Row],[Column220]]</f>
        <v>96.44</v>
      </c>
      <c r="HM29">
        <f>SOFR3mo_PX[[#This Row],[Column221]]</f>
        <v>96.39</v>
      </c>
      <c r="HN29">
        <f>SOFR3mo_PX[[#This Row],[Column222]]</f>
        <v>96.35</v>
      </c>
      <c r="HO29">
        <f>SOFR3mo_PX[[#This Row],[Column223]]</f>
        <v>96.31</v>
      </c>
      <c r="HP29">
        <f>SOFR3mo_PX[[#This Row],[Column224]]</f>
        <v>96.38</v>
      </c>
      <c r="HQ29">
        <f>SOFR3mo_PX[[#This Row],[Column225]]</f>
        <v>96.344999999999999</v>
      </c>
      <c r="HR29">
        <f>SOFR3mo_PX[[#This Row],[Column226]]</f>
        <v>96.314999999999998</v>
      </c>
      <c r="HS29">
        <f>SOFR3mo_PX[[#This Row],[Column227]]</f>
        <v>96.275000000000006</v>
      </c>
      <c r="HT29">
        <f>SOFR3mo_PX[[#This Row],[Column228]]</f>
        <v>96.194999999999993</v>
      </c>
      <c r="HU29">
        <f>SOFR3mo_PX[[#This Row],[Column229]]</f>
        <v>96.204999999999998</v>
      </c>
      <c r="HV29">
        <f>SOFR3mo_PX[[#This Row],[Column230]]</f>
        <v>96.295000000000002</v>
      </c>
      <c r="HW29">
        <f>SOFR3mo_PX[[#This Row],[Column231]]</f>
        <v>96.39</v>
      </c>
      <c r="HX29">
        <f>SOFR3mo_PX[[#This Row],[Column232]]</f>
        <v>96.4</v>
      </c>
      <c r="HY29">
        <f>SOFR3mo_PX[[#This Row],[Column233]]</f>
        <v>96.275000000000006</v>
      </c>
      <c r="HZ29">
        <f>SOFR3mo_PX[[#This Row],[Column234]]</f>
        <v>96.174999999999997</v>
      </c>
      <c r="IA29">
        <f>SOFR3mo_PX[[#This Row],[Column235]]</f>
        <v>96.14</v>
      </c>
      <c r="IB29">
        <f>SOFR3mo_PX[[#This Row],[Column236]]</f>
        <v>96.105000000000004</v>
      </c>
      <c r="IC29">
        <f>SOFR3mo_PX[[#This Row],[Column237]]</f>
        <v>96.08</v>
      </c>
      <c r="ID29">
        <f>SOFR3mo_PX[[#This Row],[Column238]]</f>
        <v>96.04</v>
      </c>
      <c r="IE29">
        <f>SOFR3mo_PX[[#This Row],[Column239]]</f>
        <v>95.995000000000005</v>
      </c>
      <c r="IF29">
        <f>SOFR3mo_PX[[#This Row],[Column240]]</f>
        <v>96.075000000000003</v>
      </c>
      <c r="IG29">
        <f>SOFR3mo_PX[[#This Row],[Column241]]</f>
        <v>96.06</v>
      </c>
      <c r="IH29">
        <f>SOFR3mo_PX[[#This Row],[Column242]]</f>
        <v>96.07</v>
      </c>
      <c r="II29">
        <f>SOFR3mo_PX[[#This Row],[Column243]]</f>
        <v>96.12</v>
      </c>
      <c r="IJ29">
        <f>SOFR3mo_PX[[#This Row],[Column244]]</f>
        <v>96.174999999999997</v>
      </c>
      <c r="IK29">
        <f>SOFR3mo_PX[[#This Row],[Column245]]</f>
        <v>96.15</v>
      </c>
      <c r="IL29">
        <f>SOFR3mo_PX[[#This Row],[Column246]]</f>
        <v>96.075000000000003</v>
      </c>
      <c r="IM29">
        <f>SOFR3mo_PX[[#This Row],[Column247]]</f>
        <v>96.12</v>
      </c>
      <c r="IN29">
        <f>SOFR3mo_PX[[#This Row],[Column248]]</f>
        <v>96.14</v>
      </c>
      <c r="IO29">
        <f>SOFR3mo_PX[[#This Row],[Column249]]</f>
        <v>96.06</v>
      </c>
      <c r="IP29">
        <f>SOFR3mo_PX[[#This Row],[Column250]]</f>
        <v>96.03</v>
      </c>
      <c r="IQ29">
        <f>SOFR3mo_PX[[#This Row],[Column251]]</f>
        <v>96.07</v>
      </c>
      <c r="IR29">
        <f>SOFR3mo_PX[[#This Row],[Column252]]</f>
        <v>96.064999999999998</v>
      </c>
      <c r="IS29">
        <f>SOFR3mo_PX[[#This Row],[Column253]]</f>
        <v>96.004999999999995</v>
      </c>
      <c r="IT29">
        <f>SOFR3mo_PX[[#This Row],[Column254]]</f>
        <v>96.004999999999995</v>
      </c>
      <c r="IU29">
        <f>SOFR3mo_PX[[#This Row],[Column255]]</f>
        <v>95.9</v>
      </c>
      <c r="IV29">
        <f>SOFR3mo_PX[[#This Row],[Column256]]</f>
        <v>95.864999999999995</v>
      </c>
      <c r="IW29">
        <f>SOFR3mo_PX[[#This Row],[Column257]]</f>
        <v>96.025000000000006</v>
      </c>
      <c r="IX29">
        <f>SOFR3mo_PX[[#This Row],[Column258]]</f>
        <v>96.09</v>
      </c>
      <c r="IY29">
        <f>SOFR3mo_PX[[#This Row],[Column259]]</f>
        <v>96.055000000000007</v>
      </c>
      <c r="IZ29">
        <f>SOFR3mo_PX[[#This Row],[Column260]]</f>
        <v>96.144999999999996</v>
      </c>
      <c r="JA29">
        <f>SOFR3mo_PX[[#This Row],[Column261]]</f>
        <v>96.135000000000005</v>
      </c>
      <c r="JB29">
        <f>SOFR3mo_PX[[#This Row],[Column262]]</f>
        <v>96.11</v>
      </c>
      <c r="JC29">
        <f>SOFR3mo_PX[[#This Row],[Column263]]</f>
        <v>96.12</v>
      </c>
      <c r="JD29">
        <f>SOFR3mo_PX[[#This Row],[Column264]]</f>
        <v>96.18</v>
      </c>
      <c r="JE29">
        <f>SOFR3mo_PX[[#This Row],[Column265]]</f>
        <v>96.18</v>
      </c>
      <c r="JF29">
        <f>SOFR3mo_PX[[#This Row],[Column266]]</f>
        <v>96.12</v>
      </c>
      <c r="JG29">
        <f>SOFR3mo_PX[[#This Row],[Column267]]</f>
        <v>96.2</v>
      </c>
      <c r="JH29">
        <f>SOFR3mo_PX[[#This Row],[Column268]]</f>
        <v>96.135000000000005</v>
      </c>
      <c r="JI29">
        <f>SOFR3mo_PX[[#This Row],[Column269]]</f>
        <v>96.08</v>
      </c>
      <c r="JJ29">
        <f>SOFR3mo_PX[[#This Row],[Column270]]</f>
        <v>95.965000000000003</v>
      </c>
      <c r="JK29">
        <f>SOFR3mo_PX[[#This Row],[Column271]]</f>
        <v>95.885000000000005</v>
      </c>
      <c r="JL29">
        <f>SOFR3mo_PX[[#This Row],[Column272]]</f>
        <v>95.93</v>
      </c>
      <c r="JM29">
        <f>SOFR3mo_PX[[#This Row],[Column273]]</f>
        <v>96.08</v>
      </c>
      <c r="JN29">
        <f>SOFR3mo_PX[[#This Row],[Column274]]</f>
        <v>96.08</v>
      </c>
      <c r="JO29">
        <f>SOFR3mo_PX[[#This Row],[Column275]]</f>
        <v>96.045000000000002</v>
      </c>
      <c r="JP29">
        <f>SOFR3mo_PX[[#This Row],[Column276]]</f>
        <v>95.965000000000003</v>
      </c>
      <c r="JQ29">
        <f>SOFR3mo_PX[[#This Row],[Column277]]</f>
        <v>95.844999999999999</v>
      </c>
      <c r="JR29">
        <f>SOFR3mo_PX[[#This Row],[Column278]]</f>
        <v>95.82</v>
      </c>
      <c r="JS29">
        <f>SOFR3mo_PX[[#This Row],[Column279]]</f>
        <v>95.76</v>
      </c>
      <c r="JT29">
        <f>SOFR3mo_PX[[#This Row],[Column280]]</f>
        <v>95.864999999999995</v>
      </c>
      <c r="JU29">
        <f>SOFR3mo_PX[[#This Row],[Column281]]</f>
        <v>95.94</v>
      </c>
      <c r="JV29">
        <f>SOFR3mo_PX[[#This Row],[Column282]]</f>
        <v>95.94</v>
      </c>
      <c r="JW29">
        <f>SOFR3mo_PX[[#This Row],[Column283]]</f>
        <v>95.92</v>
      </c>
      <c r="JX29">
        <f>SOFR3mo_PX[[#This Row],[Column284]]</f>
        <v>95.92</v>
      </c>
      <c r="JY29">
        <f>SOFR3mo_PX[[#This Row],[Column285]]</f>
        <v>95.924999999999997</v>
      </c>
      <c r="JZ29">
        <f>SOFR3mo_PX[[#This Row],[Column286]]</f>
        <v>95.894999999999996</v>
      </c>
      <c r="KA29">
        <f>SOFR3mo_PX[[#This Row],[Column287]]</f>
        <v>95.915000000000006</v>
      </c>
      <c r="KB29">
        <f>SOFR3mo_PX[[#This Row],[Column288]]</f>
        <v>95.96</v>
      </c>
      <c r="KC29">
        <f>SOFR3mo_PX[[#This Row],[Column289]]</f>
        <v>95.965000000000003</v>
      </c>
      <c r="KD29">
        <f>SOFR3mo_PX[[#This Row],[Column290]]</f>
        <v>95.894999999999996</v>
      </c>
      <c r="KE29">
        <f>SOFR3mo_PX[[#This Row],[Column291]]</f>
        <v>95.86</v>
      </c>
      <c r="KF29">
        <f>SOFR3mo_PX[[#This Row],[Column292]]</f>
        <v>95.834999999999994</v>
      </c>
      <c r="KG29">
        <f>SOFR3mo_PX[[#This Row],[Column293]]</f>
        <v>95.89</v>
      </c>
      <c r="KH29">
        <f>SOFR3mo_PX[[#This Row],[Column294]]</f>
        <v>95.86</v>
      </c>
      <c r="KI29">
        <f>SOFR3mo_PX[[#This Row],[Column295]]</f>
        <v>95.9</v>
      </c>
      <c r="KJ29">
        <f>SOFR3mo_PX[[#This Row],[Column296]]</f>
        <v>95.855000000000004</v>
      </c>
      <c r="KK29">
        <f>SOFR3mo_PX[[#This Row],[Column297]]</f>
        <v>95.834999999999994</v>
      </c>
      <c r="KL29">
        <f>SOFR3mo_PX[[#This Row],[Column298]]</f>
        <v>95.76</v>
      </c>
      <c r="KM29">
        <f>SOFR3mo_PX[[#This Row],[Column299]]</f>
        <v>95.745000000000005</v>
      </c>
      <c r="KN29">
        <f>SOFR3mo_PX[[#This Row],[Column300]]</f>
        <v>95.68</v>
      </c>
      <c r="KO29">
        <f>SOFR3mo_PX[[#This Row],[Column301]]</f>
        <v>95.75</v>
      </c>
      <c r="KP29">
        <f>SOFR3mo_PX[[#This Row],[Column302]]</f>
        <v>95.67</v>
      </c>
      <c r="KQ29">
        <f>SOFR3mo_PX[[#This Row],[Column303]]</f>
        <v>95.63</v>
      </c>
      <c r="KR29">
        <f>SOFR3mo_PX[[#This Row],[Column304]]</f>
        <v>95.69</v>
      </c>
      <c r="KS29">
        <f>SOFR3mo_PX[[#This Row],[Column305]]</f>
        <v>95.765000000000001</v>
      </c>
      <c r="KT29">
        <f>SOFR3mo_PX[[#This Row],[Column306]]</f>
        <v>95.745000000000005</v>
      </c>
      <c r="KU29">
        <f>SOFR3mo_PX[[#This Row],[Column307]]</f>
        <v>95.76</v>
      </c>
      <c r="KV29">
        <f>SOFR3mo_PX[[#This Row],[Column308]]</f>
        <v>95.724999999999994</v>
      </c>
      <c r="KW29">
        <f>SOFR3mo_PX[[#This Row],[Column309]]</f>
        <v>95.784999999999997</v>
      </c>
      <c r="KX29">
        <f>SOFR3mo_PX[[#This Row],[Column310]]</f>
        <v>95.71</v>
      </c>
      <c r="KY29">
        <f>SOFR3mo_PX[[#This Row],[Column311]]</f>
        <v>95.745000000000005</v>
      </c>
      <c r="KZ29">
        <f>SOFR3mo_PX[[#This Row],[Column312]]</f>
        <v>95.885000000000005</v>
      </c>
      <c r="LA29">
        <f>SOFR3mo_PX[[#This Row],[Column313]]</f>
        <v>95.795000000000002</v>
      </c>
      <c r="LB29">
        <f>SOFR3mo_PX[[#This Row],[Column314]]</f>
        <v>95.825000000000003</v>
      </c>
      <c r="LC29">
        <f>SOFR3mo_PX[[#This Row],[Column315]]</f>
        <v>95.97</v>
      </c>
      <c r="LD29">
        <f>SOFR3mo_PX[[#This Row],[Column316]]</f>
        <v>95.91</v>
      </c>
      <c r="LE29">
        <f>SOFR3mo_PX[[#This Row],[Column317]]</f>
        <v>95.954999999999998</v>
      </c>
      <c r="LF29">
        <f>SOFR3mo_PX[[#This Row],[Column318]]</f>
        <v>96.004999999999995</v>
      </c>
      <c r="LG29">
        <f>SOFR3mo_PX[[#This Row],[Column319]]</f>
        <v>95.954999999999998</v>
      </c>
      <c r="LH29">
        <f>SOFR3mo_PX[[#This Row],[Column320]]</f>
        <v>95.944999999999993</v>
      </c>
      <c r="LI29">
        <f>SOFR3mo_PX[[#This Row],[Column321]]</f>
        <v>95.99</v>
      </c>
      <c r="LJ29">
        <f>SOFR3mo_PX[[#This Row],[Column322]]</f>
        <v>96.12</v>
      </c>
      <c r="LK29">
        <f>SOFR3mo_PX[[#This Row],[Column323]]</f>
        <v>96.12</v>
      </c>
      <c r="LL29">
        <f>SOFR3mo_PX[[#This Row],[Column324]]</f>
        <v>96.084999999999994</v>
      </c>
      <c r="LM29">
        <f>SOFR3mo_PX[[#This Row],[Column325]]</f>
        <v>96.05</v>
      </c>
      <c r="LN29">
        <f>SOFR3mo_PX[[#This Row],[Column326]]</f>
        <v>96.02</v>
      </c>
      <c r="LO29">
        <f>SOFR3mo_PX[[#This Row],[Column327]]</f>
        <v>96.055000000000007</v>
      </c>
      <c r="LP29">
        <f>SOFR3mo_PX[[#This Row],[Column328]]</f>
        <v>95.995000000000005</v>
      </c>
      <c r="LQ29">
        <f>SOFR3mo_PX[[#This Row],[Column329]]</f>
        <v>96</v>
      </c>
      <c r="LR29">
        <f>SOFR3mo_PX[[#This Row],[Column330]]</f>
        <v>96.04</v>
      </c>
      <c r="LS29">
        <f>SOFR3mo_PX[[#This Row],[Column331]]</f>
        <v>96.01</v>
      </c>
      <c r="LT29">
        <f>SOFR3mo_PX[[#This Row],[Column332]]</f>
        <v>96.05</v>
      </c>
      <c r="LU29">
        <f>SOFR3mo_PX[[#This Row],[Column333]]</f>
        <v>96.034999999999997</v>
      </c>
      <c r="LV29">
        <f>SOFR3mo_PX[[#This Row],[Column334]]</f>
        <v>96.144999999999996</v>
      </c>
      <c r="LW29">
        <f>SOFR3mo_PX[[#This Row],[Column335]]</f>
        <v>96.16</v>
      </c>
      <c r="LX29">
        <f>SOFR3mo_PX[[#This Row],[Column336]]</f>
        <v>96.21</v>
      </c>
      <c r="LY29">
        <f>SOFR3mo_PX[[#This Row],[Column337]]</f>
        <v>96.204999999999998</v>
      </c>
      <c r="LZ29">
        <f>SOFR3mo_PX[[#This Row],[Column338]]</f>
        <v>96.224999999999994</v>
      </c>
      <c r="MA29">
        <f>SOFR3mo_PX[[#This Row],[Column339]]</f>
        <v>96.22</v>
      </c>
      <c r="MB29">
        <f>SOFR3mo_PX[[#This Row],[Column340]]</f>
        <v>96.18</v>
      </c>
      <c r="MC29">
        <f>SOFR3mo_PX[[#This Row],[Column341]]</f>
        <v>96.09</v>
      </c>
      <c r="MD29">
        <f>SOFR3mo_PX[[#This Row],[Column342]]</f>
        <v>96.12</v>
      </c>
      <c r="ME29">
        <f>SOFR3mo_PX[[#This Row],[Column343]]</f>
        <v>96.075000000000003</v>
      </c>
      <c r="MF29">
        <f>SOFR3mo_PX[[#This Row],[Column344]]</f>
        <v>96.064999999999998</v>
      </c>
      <c r="MG29">
        <f>SOFR3mo_PX[[#This Row],[Column345]]</f>
        <v>96.07</v>
      </c>
      <c r="MH29">
        <f>SOFR3mo_PX[[#This Row],[Column346]]</f>
        <v>96.09</v>
      </c>
      <c r="MI29">
        <f>SOFR3mo_PX[[#This Row],[Column347]]</f>
        <v>96.1</v>
      </c>
      <c r="MJ29">
        <f>SOFR3mo_PX[[#This Row],[Column348]]</f>
        <v>96.004999999999995</v>
      </c>
      <c r="MK29">
        <f>SOFR3mo_PX[[#This Row],[Column349]]</f>
        <v>95.974999999999994</v>
      </c>
      <c r="ML29">
        <f>SOFR3mo_PX[[#This Row],[Column350]]</f>
        <v>96.02</v>
      </c>
      <c r="MM29">
        <f>SOFR3mo_PX[[#This Row],[Column351]]</f>
        <v>95.995000000000005</v>
      </c>
      <c r="MN29">
        <f>SOFR3mo_PX[[#This Row],[Column352]]</f>
        <v>95.995000000000005</v>
      </c>
      <c r="MO29">
        <f>SOFR3mo_PX[[#This Row],[Column353]]</f>
        <v>96.034999999999997</v>
      </c>
      <c r="MP29">
        <f>SOFR3mo_PX[[#This Row],[Column354]]</f>
        <v>96.01</v>
      </c>
      <c r="MQ29">
        <f>SOFR3mo_PX[[#This Row],[Column355]]</f>
        <v>95.97</v>
      </c>
      <c r="MR29">
        <f>SOFR3mo_PX[[#This Row],[Column356]]</f>
        <v>96.07</v>
      </c>
      <c r="MS29">
        <f>SOFR3mo_PX[[#This Row],[Column357]]</f>
        <v>96.05</v>
      </c>
      <c r="MT29">
        <f>SOFR3mo_PX[[#This Row],[Column358]]</f>
        <v>96.064999999999998</v>
      </c>
      <c r="MU29">
        <f>SOFR3mo_PX[[#This Row],[Column359]]</f>
        <v>96.15</v>
      </c>
      <c r="MV29">
        <f>SOFR3mo_PX[[#This Row],[Column360]]</f>
        <v>96.165000000000006</v>
      </c>
      <c r="MW29">
        <f>SOFR3mo_PX[[#This Row],[Column361]]</f>
        <v>96.075000000000003</v>
      </c>
      <c r="MX29">
        <f>SOFR3mo_PX[[#This Row],[Column362]]</f>
        <v>96.204999999999998</v>
      </c>
      <c r="MY29">
        <f>SOFR3mo_PX[[#This Row],[Column363]]</f>
        <v>96.364999999999995</v>
      </c>
      <c r="MZ29">
        <f>SOFR3mo_PX[[#This Row],[Column364]]</f>
        <v>96.245000000000005</v>
      </c>
      <c r="NA29">
        <f>SOFR3mo_PX[[#This Row],[Column365]]</f>
        <v>96.16</v>
      </c>
      <c r="NB29">
        <f>SOFR3mo_PX[[#This Row],[Column366]]</f>
        <v>96.09</v>
      </c>
      <c r="NC29">
        <f>SOFR3mo_PX[[#This Row],[Column367]]</f>
        <v>96.02</v>
      </c>
      <c r="ND29">
        <f>SOFR3mo_PX[[#This Row],[Column368]]</f>
        <v>96.05</v>
      </c>
      <c r="NE29">
        <f>SOFR3mo_PX[[#This Row],[Column369]]</f>
        <v>96.02</v>
      </c>
      <c r="NF29">
        <f>SOFR3mo_PX[[#This Row],[Column370]]</f>
        <v>96.064999999999998</v>
      </c>
      <c r="NG29">
        <f>SOFR3mo_PX[[#This Row],[Column371]]</f>
        <v>96.12</v>
      </c>
      <c r="NH29">
        <f>SOFR3mo_PX[[#This Row],[Column372]]</f>
        <v>96.064999999999998</v>
      </c>
      <c r="NI29">
        <f>SOFR3mo_PX[[#This Row],[Column373]]</f>
        <v>96.055000000000007</v>
      </c>
      <c r="NJ29">
        <f>SOFR3mo_PX[[#This Row],[Column374]]</f>
        <v>96.094999999999999</v>
      </c>
      <c r="NK29">
        <f>SOFR3mo_PX[[#This Row],[Column375]]</f>
        <v>96.11</v>
      </c>
      <c r="NL29">
        <f>SOFR3mo_PX[[#This Row],[Column376]]</f>
        <v>96.224999999999994</v>
      </c>
      <c r="NM29">
        <f>SOFR3mo_PX[[#This Row],[Column377]]</f>
        <v>96.224999999999994</v>
      </c>
      <c r="NN29">
        <f>SOFR3mo_PX[[#This Row],[Column378]]</f>
        <v>96.245000000000005</v>
      </c>
      <c r="NO29">
        <f>SOFR3mo_PX[[#This Row],[Column379]]</f>
        <v>96.204999999999998</v>
      </c>
      <c r="NP29">
        <f>SOFR3mo_PX[[#This Row],[Column380]]</f>
        <v>96.215000000000003</v>
      </c>
      <c r="NQ29">
        <f>SOFR3mo_PX[[#This Row],[Column381]]</f>
        <v>96.22</v>
      </c>
      <c r="NR29">
        <f>SOFR3mo_PX[[#This Row],[Column382]]</f>
        <v>96.21</v>
      </c>
      <c r="NS29">
        <f>SOFR3mo_PX[[#This Row],[Column383]]</f>
        <v>96.265000000000001</v>
      </c>
      <c r="NT29">
        <f>SOFR3mo_PX[[#This Row],[Column384]]</f>
        <v>96.355000000000004</v>
      </c>
      <c r="NU29">
        <f>SOFR3mo_PX[[#This Row],[Column385]]</f>
        <v>96.31</v>
      </c>
      <c r="NV29">
        <f>SOFR3mo_PX[[#This Row],[Column386]]</f>
        <v>96.36</v>
      </c>
      <c r="NW29">
        <f>SOFR3mo_PX[[#This Row],[Column387]]</f>
        <v>96.36</v>
      </c>
      <c r="NX29">
        <f>SOFR3mo_PX[[#This Row],[Column388]]</f>
        <v>96.385000000000005</v>
      </c>
      <c r="NY29">
        <f>SOFR3mo_PX[[#This Row],[Column389]]</f>
        <v>96.454999999999998</v>
      </c>
      <c r="NZ29">
        <f>SOFR3mo_PX[[#This Row],[Column390]]</f>
        <v>96.35</v>
      </c>
      <c r="OA29">
        <f>SOFR3mo_PX[[#This Row],[Column391]]</f>
        <v>96.334999999999994</v>
      </c>
      <c r="OB29">
        <f>SOFR3mo_PX[[#This Row],[Column392]]</f>
        <v>96.334999999999994</v>
      </c>
      <c r="OC29">
        <f>SOFR3mo_PX[[#This Row],[Column393]]</f>
        <v>96.37</v>
      </c>
      <c r="OD29">
        <f>SOFR3mo_PX[[#This Row],[Column394]]</f>
        <v>96.405000000000001</v>
      </c>
      <c r="OE29">
        <f>SOFR3mo_PX[[#This Row],[Column395]]</f>
        <v>96.385000000000005</v>
      </c>
      <c r="OF29">
        <f>SOFR3mo_PX[[#This Row],[Column396]]</f>
        <v>96.35</v>
      </c>
      <c r="OG29">
        <f>SOFR3mo_PX[[#This Row],[Column397]]</f>
        <v>96.385000000000005</v>
      </c>
      <c r="OH29">
        <f>SOFR3mo_PX[[#This Row],[Column398]]</f>
        <v>96.36</v>
      </c>
      <c r="OI29">
        <f>SOFR3mo_PX[[#This Row],[Column399]]</f>
        <v>96.26</v>
      </c>
      <c r="OJ29">
        <f>SOFR3mo_PX[[#This Row],[Column400]]</f>
        <v>96.11</v>
      </c>
      <c r="OK29">
        <f>SOFR3mo_PX[[#This Row],[Column401]]</f>
        <v>96.055000000000007</v>
      </c>
      <c r="OL29">
        <f>SOFR3mo_PX[[#This Row],[Column402]]</f>
        <v>96.05</v>
      </c>
      <c r="OM29">
        <f>SOFR3mo_PX[[#This Row],[Column403]]</f>
        <v>96.16</v>
      </c>
      <c r="ON29">
        <f>SOFR3mo_PX[[#This Row],[Column404]]</f>
        <v>96.155000000000001</v>
      </c>
      <c r="OO29">
        <f>SOFR3mo_PX[[#This Row],[Column405]]</f>
        <v>96.09</v>
      </c>
      <c r="OP29">
        <f>SOFR3mo_PX[[#This Row],[Column406]]</f>
        <v>95.954999999999998</v>
      </c>
      <c r="OQ29">
        <f>SOFR3mo_PX[[#This Row],[Column407]]</f>
        <v>95.984999999999999</v>
      </c>
      <c r="OR29">
        <f>SOFR3mo_PX[[#This Row],[Column408]]</f>
        <v>95.87</v>
      </c>
      <c r="OS29">
        <f>SOFR3mo_PX[[#This Row],[Column409]]</f>
        <v>95.954999999999998</v>
      </c>
      <c r="OT29">
        <f>SOFR3mo_PX[[#This Row],[Column410]]</f>
        <v>95.88</v>
      </c>
      <c r="OU29">
        <f>SOFR3mo_PX[[#This Row],[Column411]]</f>
        <v>95.875</v>
      </c>
      <c r="OV29">
        <f>SOFR3mo_PX[[#This Row],[Column412]]</f>
        <v>95.76</v>
      </c>
      <c r="OW29">
        <f>SOFR3mo_PX[[#This Row],[Column413]]</f>
        <v>95.83</v>
      </c>
      <c r="OX29">
        <f>SOFR3mo_PX[[#This Row],[Column414]]</f>
        <v>95.83</v>
      </c>
      <c r="OY29">
        <f>SOFR3mo_PX[[#This Row],[Column415]]</f>
        <v>95.82</v>
      </c>
      <c r="OZ29">
        <f>SOFR3mo_PX[[#This Row],[Column416]]</f>
        <v>95.84</v>
      </c>
      <c r="PA29">
        <f>SOFR3mo_PX[[#This Row],[Column417]]</f>
        <v>95.795000000000002</v>
      </c>
      <c r="PB29">
        <f>SOFR3mo_PX[[#This Row],[Column418]]</f>
        <v>95.775000000000006</v>
      </c>
      <c r="PC29">
        <f>SOFR3mo_PX[[#This Row],[Column419]]</f>
        <v>95.68</v>
      </c>
      <c r="PD29">
        <f>SOFR3mo_PX[[#This Row],[Column420]]</f>
        <v>95.765000000000001</v>
      </c>
      <c r="PE29">
        <f>SOFR3mo_PX[[#This Row],[Column421]]</f>
        <v>95.594999999999999</v>
      </c>
      <c r="PF29">
        <f>SOFR3mo_PX[[#This Row],[Column422]]</f>
        <v>95.59</v>
      </c>
      <c r="PG29">
        <f>SOFR3mo_PX[[#This Row],[Column423]]</f>
        <v>95.57</v>
      </c>
      <c r="PH29">
        <f>SOFR3mo_PX[[#This Row],[Column424]]</f>
        <v>95.7</v>
      </c>
      <c r="PI29">
        <f>SOFR3mo_PX[[#This Row],[Column425]]</f>
        <v>95.614999999999995</v>
      </c>
      <c r="PJ29">
        <f>SOFR3mo_PX[[#This Row],[Column426]]</f>
        <v>95.5</v>
      </c>
      <c r="PK29">
        <f>SOFR3mo_PX[[#This Row],[Column427]]</f>
        <v>95.61</v>
      </c>
      <c r="PL29">
        <f>SOFR3mo_PX[[#This Row],[Column428]]</f>
        <v>95.49</v>
      </c>
      <c r="PM29">
        <f>SOFR3mo_PX[[#This Row],[Column429]]</f>
        <v>95.36</v>
      </c>
      <c r="PN29">
        <f>SOFR3mo_PX[[#This Row],[Column430]]</f>
        <v>95.27</v>
      </c>
      <c r="PO29">
        <f>SOFR3mo_PX[[#This Row],[Column431]]</f>
        <v>95.26</v>
      </c>
      <c r="PP29">
        <f>SOFR3mo_PX[[#This Row],[Column432]]</f>
        <v>95.27</v>
      </c>
      <c r="PQ29">
        <f>SOFR3mo_PX[[#This Row],[Column433]]</f>
        <v>95.275000000000006</v>
      </c>
      <c r="PR29">
        <f>SOFR3mo_PX[[#This Row],[Column434]]</f>
        <v>95.165000000000006</v>
      </c>
      <c r="PS29">
        <f>SOFR3mo_PX[[#This Row],[Column435]]</f>
        <v>95.305000000000007</v>
      </c>
      <c r="PT29">
        <f>SOFR3mo_PX[[#This Row],[Column436]]</f>
        <v>95.3</v>
      </c>
      <c r="PU29">
        <f>SOFR3mo_PX[[#This Row],[Column437]]</f>
        <v>95.194999999999993</v>
      </c>
      <c r="PV29">
        <f>SOFR3mo_PX[[#This Row],[Column438]]</f>
        <v>95.12</v>
      </c>
      <c r="PW29">
        <f>SOFR3mo_PX[[#This Row],[Column439]]</f>
        <v>95.25</v>
      </c>
      <c r="PX29">
        <f>SOFR3mo_PX[[#This Row],[Column440]]</f>
        <v>95.295000000000002</v>
      </c>
      <c r="PY29">
        <f>SOFR3mo_PX[[#This Row],[Column441]]</f>
        <v>95.42</v>
      </c>
      <c r="PZ29">
        <f>SOFR3mo_PX[[#This Row],[Column442]]</f>
        <v>95.495000000000005</v>
      </c>
      <c r="QA29">
        <f>SOFR3mo_PX[[#This Row],[Column443]]</f>
        <v>95.39</v>
      </c>
      <c r="QB29">
        <f>SOFR3mo_PX[[#This Row],[Column444]]</f>
        <v>95.504999999999995</v>
      </c>
      <c r="QC29">
        <f>SOFR3mo_PX[[#This Row],[Column445]]</f>
        <v>95.415000000000006</v>
      </c>
      <c r="QD29">
        <f>SOFR3mo_PX[[#This Row],[Column446]]</f>
        <v>95.394999999999996</v>
      </c>
      <c r="QE29">
        <f>SOFR3mo_PX[[#This Row],[Column447]]</f>
        <v>95.27</v>
      </c>
      <c r="QF29">
        <f>SOFR3mo_PX[[#This Row],[Column448]]</f>
        <v>95.33</v>
      </c>
      <c r="QG29">
        <f>SOFR3mo_PX[[#This Row],[Column449]]</f>
        <v>95.305000000000007</v>
      </c>
      <c r="QH29">
        <f>SOFR3mo_PX[[#This Row],[Column450]]</f>
        <v>95.25</v>
      </c>
      <c r="QI29">
        <f>SOFR3mo_PX[[#This Row],[Column451]]</f>
        <v>95.38</v>
      </c>
      <c r="QJ29">
        <f>SOFR3mo_PX[[#This Row],[Column452]]</f>
        <v>95.54</v>
      </c>
      <c r="QK29">
        <f>SOFR3mo_PX[[#This Row],[Column453]]</f>
        <v>95.515000000000001</v>
      </c>
      <c r="QL29">
        <f>SOFR3mo_PX[[#This Row],[Column454]]</f>
        <v>95.534999999999997</v>
      </c>
      <c r="QM29">
        <f>SOFR3mo_PX[[#This Row],[Column455]]</f>
        <v>95.61</v>
      </c>
      <c r="QN29">
        <f>SOFR3mo_PX[[#This Row],[Column456]]</f>
        <v>95.62</v>
      </c>
      <c r="QO29">
        <f>SOFR3mo_PX[[#This Row],[Column457]]</f>
        <v>95.77</v>
      </c>
      <c r="QP29">
        <f>SOFR3mo_PX[[#This Row],[Column458]]</f>
        <v>95.74</v>
      </c>
      <c r="QQ29">
        <f>SOFR3mo_PX[[#This Row],[Column459]]</f>
        <v>95.91</v>
      </c>
      <c r="QR29">
        <f>SOFR3mo_PX[[#This Row],[Column460]]</f>
        <v>95.9</v>
      </c>
      <c r="QS29">
        <f>SOFR3mo_PX[[#This Row],[Column461]]</f>
        <v>95.935000000000002</v>
      </c>
      <c r="QT29">
        <f>SOFR3mo_PX[[#This Row],[Column462]]</f>
        <v>95.915000000000006</v>
      </c>
      <c r="QU29">
        <f>SOFR3mo_PX[[#This Row],[Column463]]</f>
        <v>95.95</v>
      </c>
      <c r="QV29">
        <f>SOFR3mo_PX[[#This Row],[Column464]]</f>
        <v>96.004999999999995</v>
      </c>
      <c r="QW29">
        <f>SOFR3mo_PX[[#This Row],[Column465]]</f>
        <v>95.984999999999999</v>
      </c>
      <c r="QX29">
        <f>SOFR3mo_PX[[#This Row],[Column466]]</f>
        <v>95.94</v>
      </c>
      <c r="QY29">
        <f>SOFR3mo_PX[[#This Row],[Column467]]</f>
        <v>95.98</v>
      </c>
      <c r="QZ29">
        <f>SOFR3mo_PX[[#This Row],[Column468]]</f>
        <v>95.97</v>
      </c>
      <c r="RA29">
        <f>SOFR3mo_PX[[#This Row],[Column469]]</f>
        <v>95.954999999999998</v>
      </c>
      <c r="RB29">
        <f>SOFR3mo_PX[[#This Row],[Column470]]</f>
        <v>95.95</v>
      </c>
      <c r="RC29">
        <f>SOFR3mo_PX[[#This Row],[Column471]]</f>
        <v>96.02</v>
      </c>
      <c r="RD29">
        <f>SOFR3mo_PX[[#This Row],[Column472]]</f>
        <v>96.02</v>
      </c>
      <c r="RE29">
        <f>SOFR3mo_PX[[#This Row],[Column473]]</f>
        <v>96.114999999999995</v>
      </c>
      <c r="RF29">
        <f>SOFR3mo_PX[[#This Row],[Column474]]</f>
        <v>96.09</v>
      </c>
      <c r="RG29">
        <f>SOFR3mo_PX[[#This Row],[Column475]]</f>
        <v>96.094999999999999</v>
      </c>
      <c r="RH29">
        <f>SOFR3mo_PX[[#This Row],[Column476]]</f>
        <v>96.05</v>
      </c>
      <c r="RI29">
        <f>SOFR3mo_PX[[#This Row],[Column477]]</f>
        <v>96.01</v>
      </c>
      <c r="RJ29">
        <f>SOFR3mo_PX[[#This Row],[Column478]]</f>
        <v>96.004999999999995</v>
      </c>
      <c r="RK29">
        <f>SOFR3mo_PX[[#This Row],[Column479]]</f>
        <v>96.03</v>
      </c>
      <c r="RL29">
        <f>SOFR3mo_PX[[#This Row],[Column480]]</f>
        <v>95.88</v>
      </c>
      <c r="RM29">
        <f>SOFR3mo_PX[[#This Row],[Column481]]</f>
        <v>95.85</v>
      </c>
      <c r="RN29">
        <f>SOFR3mo_PX[[#This Row],[Column482]]</f>
        <v>95.944999999999993</v>
      </c>
      <c r="RO29">
        <f>SOFR3mo_PX[[#This Row],[Column483]]</f>
        <v>95.87</v>
      </c>
      <c r="RP29">
        <f>SOFR3mo_PX[[#This Row],[Column484]]</f>
        <v>95.954999999999998</v>
      </c>
      <c r="RQ29">
        <f>SOFR3mo_PX[[#This Row],[Column485]]</f>
        <v>95.99</v>
      </c>
      <c r="RR29">
        <f>SOFR3mo_PX[[#This Row],[Column486]]</f>
        <v>96.05</v>
      </c>
      <c r="RS29">
        <f>SOFR3mo_PX[[#This Row],[Column487]]</f>
        <v>96.025000000000006</v>
      </c>
      <c r="RT29">
        <f>SOFR3mo_PX[[#This Row],[Column488]]</f>
        <v>96.114999999999995</v>
      </c>
      <c r="RU29">
        <f>SOFR3mo_PX[[#This Row],[Column489]]</f>
        <v>96.22</v>
      </c>
      <c r="RV29">
        <f>SOFR3mo_PX[[#This Row],[Column490]]</f>
        <v>96.185000000000002</v>
      </c>
      <c r="RW29">
        <f>SOFR3mo_PX[[#This Row],[Column491]]</f>
        <v>96.12</v>
      </c>
      <c r="RX29">
        <f>SOFR3mo_PX[[#This Row],[Column492]]</f>
        <v>96.135000000000005</v>
      </c>
      <c r="RY29">
        <f>SOFR3mo_PX[[#This Row],[Column493]]</f>
        <v>95.99</v>
      </c>
      <c r="RZ29">
        <f>SOFR3mo_PX[[#This Row],[Column494]]</f>
        <v>96.15</v>
      </c>
      <c r="SA29">
        <f>SOFR3mo_PX[[#This Row],[Column495]]</f>
        <v>96.204999999999998</v>
      </c>
      <c r="SB29">
        <f>SOFR3mo_PX[[#This Row],[Column496]]</f>
        <v>96.295000000000002</v>
      </c>
      <c r="SC29">
        <f>SOFR3mo_PX[[#This Row],[Column497]]</f>
        <v>96.29</v>
      </c>
      <c r="SD29">
        <f>SOFR3mo_PX[[#This Row],[Column498]]</f>
        <v>96.245000000000005</v>
      </c>
      <c r="SE29">
        <f>SOFR3mo_PX[[#This Row],[Column499]]</f>
        <v>96.415000000000006</v>
      </c>
      <c r="SF29">
        <f>SOFR3mo_PX[[#This Row],[Column500]]</f>
        <v>96.364999999999995</v>
      </c>
      <c r="SG29">
        <f>SOFR3mo_PX[[#This Row],[Column501]]</f>
        <v>96.424999999999997</v>
      </c>
      <c r="SH29">
        <f>SOFR3mo_PX[[#This Row],[Column502]]</f>
        <v>96.435000000000002</v>
      </c>
      <c r="SI29">
        <f>SOFR3mo_PX[[#This Row],[Column503]]</f>
        <v>96.415000000000006</v>
      </c>
      <c r="SJ29">
        <f>SOFR3mo_PX[[#This Row],[Column504]]</f>
        <v>96.534999999999997</v>
      </c>
      <c r="SK29">
        <f>SOFR3mo_PX[[#This Row],[Column505]]</f>
        <v>96.495000000000005</v>
      </c>
      <c r="SL29">
        <f>SOFR3mo_PX[[#This Row],[Column506]]</f>
        <v>96.48</v>
      </c>
      <c r="SM29">
        <f>SOFR3mo_PX[[#This Row],[Column507]]</f>
        <v>96.44</v>
      </c>
      <c r="SN29">
        <f>SOFR3mo_PX[[#This Row],[Column508]]</f>
        <v>96.45</v>
      </c>
      <c r="SO29">
        <f>SOFR3mo_PX[[#This Row],[Column509]]</f>
        <v>96.42</v>
      </c>
      <c r="SP29">
        <f>SOFR3mo_PX[[#This Row],[Column510]]</f>
        <v>96.33</v>
      </c>
      <c r="SQ29">
        <f>SOFR3mo_PX[[#This Row],[Column511]]</f>
        <v>96.265000000000001</v>
      </c>
      <c r="SR29">
        <f>SOFR3mo_PX[[#This Row],[Column512]]</f>
        <v>96.224999999999994</v>
      </c>
      <c r="SS29">
        <f>SOFR3mo_PX[[#This Row],[Column513]]</f>
        <v>96.28</v>
      </c>
      <c r="ST29">
        <f>SOFR3mo_PX[[#This Row],[Column514]]</f>
        <v>96.41</v>
      </c>
      <c r="SU29">
        <f>SOFR3mo_PX[[#This Row],[Column515]]</f>
        <v>96.515000000000001</v>
      </c>
      <c r="SV29">
        <f>SOFR3mo_PX[[#This Row],[Column516]]</f>
        <v>96.515000000000001</v>
      </c>
      <c r="SW29">
        <f>SOFR3mo_PX[[#This Row],[Column517]]</f>
        <v>96.55</v>
      </c>
      <c r="SX29">
        <f>SOFR3mo_PX[[#This Row],[Column518]]</f>
        <v>96.484999999999999</v>
      </c>
      <c r="SY29">
        <f>SOFR3mo_PX[[#This Row],[Column519]]</f>
        <v>96.63</v>
      </c>
      <c r="SZ29">
        <f>SOFR3mo_PX[[#This Row],[Column520]]</f>
        <v>96.575000000000003</v>
      </c>
      <c r="TA29">
        <f>SOFR3mo_PX[[#This Row],[Column521]]</f>
        <v>96.605000000000004</v>
      </c>
      <c r="TB29">
        <f>SOFR3mo_PX[[#This Row],[Column522]]</f>
        <v>96.575000000000003</v>
      </c>
      <c r="TC29">
        <f>SOFR3mo_PX[[#This Row],[Column523]]</f>
        <v>96.504999999999995</v>
      </c>
      <c r="TD29">
        <f>SOFR3mo_PX[[#This Row],[Column524]]</f>
        <v>96.58</v>
      </c>
      <c r="TE29">
        <f>SOFR3mo_PX[[#This Row],[Column525]]</f>
        <v>96.6</v>
      </c>
      <c r="TF29">
        <f>SOFR3mo_PX[[#This Row],[Column526]]</f>
        <v>96.53</v>
      </c>
      <c r="TG29">
        <f>SOFR3mo_PX[[#This Row],[Column527]]</f>
        <v>96.53</v>
      </c>
      <c r="TH29">
        <f>SOFR3mo_PX[[#This Row],[Column528]]</f>
        <v>96.564999999999998</v>
      </c>
      <c r="TI29">
        <f>SOFR3mo_PX[[#This Row],[Column529]]</f>
        <v>96.495000000000005</v>
      </c>
      <c r="TJ29">
        <f>SOFR3mo_PX[[#This Row],[Column530]]</f>
        <v>96.415000000000006</v>
      </c>
      <c r="TK29">
        <f>SOFR3mo_PX[[#This Row],[Column531]]</f>
        <v>96.49</v>
      </c>
      <c r="TL29">
        <f>SOFR3mo_PX[[#This Row],[Column532]]</f>
        <v>96.495000000000005</v>
      </c>
      <c r="TM29">
        <f>SOFR3mo_PX[[#This Row],[Column533]]</f>
        <v>96.5</v>
      </c>
      <c r="TN29">
        <f>SOFR3mo_PX[[#This Row],[Column534]]</f>
        <v>96.424999999999997</v>
      </c>
      <c r="TO29">
        <f>SOFR3mo_PX[[#This Row],[Column535]]</f>
        <v>96.53</v>
      </c>
      <c r="TP29">
        <f>SOFR3mo_PX[[#This Row],[Column536]]</f>
        <v>96.51</v>
      </c>
      <c r="TQ29">
        <f>SOFR3mo_PX[[#This Row],[Column537]]</f>
        <v>96.48</v>
      </c>
      <c r="TR29">
        <f>SOFR3mo_PX[[#This Row],[Column538]]</f>
        <v>96.58</v>
      </c>
      <c r="TS29">
        <f>SOFR3mo_PX[[#This Row],[Column539]]</f>
        <v>96.564999999999998</v>
      </c>
      <c r="TT29">
        <f>SOFR3mo_PX[[#This Row],[Column540]]</f>
        <v>96.52</v>
      </c>
      <c r="TU29">
        <f>SOFR3mo_PX[[#This Row],[Column541]]</f>
        <v>96.41</v>
      </c>
      <c r="TV29">
        <f>SOFR3mo_PX[[#This Row],[Column542]]</f>
        <v>96.41</v>
      </c>
      <c r="TW29">
        <f>SOFR3mo_PX[[#This Row],[Column543]]</f>
        <v>96.394999999999996</v>
      </c>
      <c r="TX29">
        <f>SOFR3mo_PX[[#This Row],[Column544]]</f>
        <v>96.48</v>
      </c>
      <c r="TY29">
        <f>SOFR3mo_PX[[#This Row],[Column545]]</f>
        <v>96.495000000000005</v>
      </c>
      <c r="TZ29">
        <f>SOFR3mo_PX[[#This Row],[Column546]]</f>
        <v>96.465000000000003</v>
      </c>
      <c r="UA29">
        <f>SOFR3mo_PX[[#This Row],[Column547]]</f>
        <v>96.454999999999998</v>
      </c>
      <c r="UB29">
        <f>SOFR3mo_PX[[#This Row],[Column548]]</f>
        <v>96.504999999999995</v>
      </c>
      <c r="UC29">
        <f>SOFR3mo_PX[[#This Row],[Column549]]</f>
        <v>96.56</v>
      </c>
      <c r="UD29">
        <f>SOFR3mo_PX[[#This Row],[Column550]]</f>
        <v>96.575000000000003</v>
      </c>
      <c r="UE29">
        <f>SOFR3mo_PX[[#This Row],[Column551]]</f>
        <v>96.63</v>
      </c>
      <c r="UF29">
        <f>SOFR3mo_PX[[#This Row],[Column552]]</f>
        <v>96.67</v>
      </c>
      <c r="UG29">
        <f>SOFR3mo_PX[[#This Row],[Column553]]</f>
        <v>96.71</v>
      </c>
      <c r="UH29">
        <f>SOFR3mo_PX[[#This Row],[Column554]]</f>
        <v>96.665000000000006</v>
      </c>
      <c r="UI29">
        <f>SOFR3mo_PX[[#This Row],[Column555]]</f>
        <v>96.6</v>
      </c>
      <c r="UJ29">
        <f>SOFR3mo_PX[[#This Row],[Column556]]</f>
        <v>96.605000000000004</v>
      </c>
      <c r="UK29">
        <f>SOFR3mo_PX[[#This Row],[Column557]]</f>
        <v>96.65</v>
      </c>
      <c r="UL29">
        <f>SOFR3mo_PX[[#This Row],[Column558]]</f>
        <v>96.72</v>
      </c>
      <c r="UM29">
        <f>SOFR3mo_PX[[#This Row],[Column559]]</f>
        <v>96.694999999999993</v>
      </c>
      <c r="UN29">
        <f>SOFR3mo_PX[[#This Row],[Column560]]</f>
        <v>96.69</v>
      </c>
      <c r="UO29">
        <f>SOFR3mo_PX[[#This Row],[Column561]]</f>
        <v>96.555000000000007</v>
      </c>
      <c r="UP29">
        <f>SOFR3mo_PX[[#This Row],[Column562]]</f>
        <v>96.68</v>
      </c>
      <c r="UQ29">
        <f>SOFR3mo_PX[[#This Row],[Column563]]</f>
        <v>96.66</v>
      </c>
      <c r="UR29">
        <f>SOFR3mo_PX[[#This Row],[Column564]]</f>
        <v>96.734999999999999</v>
      </c>
      <c r="US29">
        <f>SOFR3mo_PX[[#This Row],[Column565]]</f>
        <v>96.784999999999997</v>
      </c>
      <c r="UT29">
        <f>SOFR3mo_PX[[#This Row],[Column566]]</f>
        <v>96.724999999999994</v>
      </c>
      <c r="UU29">
        <f>SOFR3mo_PX[[#This Row],[Column567]]</f>
        <v>96.67</v>
      </c>
      <c r="UV29">
        <f>SOFR3mo_PX[[#This Row],[Column568]]</f>
        <v>96.715000000000003</v>
      </c>
      <c r="UW29">
        <f>SOFR3mo_PX[[#This Row],[Column569]]</f>
        <v>96.665000000000006</v>
      </c>
      <c r="UX29">
        <f>SOFR3mo_PX[[#This Row],[Column570]]</f>
        <v>96.685000000000002</v>
      </c>
      <c r="UY29">
        <f>SOFR3mo_PX[[#This Row],[Column571]]</f>
        <v>96.64</v>
      </c>
      <c r="UZ29">
        <f>SOFR3mo_PX[[#This Row],[Column572]]</f>
        <v>96.7</v>
      </c>
      <c r="VA29">
        <f>SOFR3mo_PX[[#This Row],[Column573]]</f>
        <v>96.754999999999995</v>
      </c>
      <c r="VB29">
        <f>SOFR3mo_PX[[#This Row],[Column574]]</f>
        <v>96.81</v>
      </c>
      <c r="VC29">
        <f>SOFR3mo_PX[[#This Row],[Column575]]</f>
        <v>96.805000000000007</v>
      </c>
      <c r="VD29">
        <f>SOFR3mo_PX[[#This Row],[Column576]]</f>
        <v>96.795000000000002</v>
      </c>
      <c r="VE29">
        <f>SOFR3mo_PX[[#This Row],[Column577]]</f>
        <v>96.85</v>
      </c>
      <c r="VF29">
        <f>SOFR3mo_PX[[#This Row],[Column578]]</f>
        <v>96.924999999999997</v>
      </c>
      <c r="VG29">
        <f>SOFR3mo_PX[[#This Row],[Column579]]</f>
        <v>96.91</v>
      </c>
      <c r="VH29">
        <f>SOFR3mo_PX[[#This Row],[Column580]]</f>
        <v>96.875</v>
      </c>
      <c r="VI29">
        <f>SOFR3mo_PX[[#This Row],[Column581]]</f>
        <v>96.81</v>
      </c>
      <c r="VJ29">
        <f>SOFR3mo_PX[[#This Row],[Column582]]</f>
        <v>96.754999999999995</v>
      </c>
      <c r="VK29">
        <f>SOFR3mo_PX[[#This Row],[Column583]]</f>
        <v>96.72</v>
      </c>
      <c r="VL29">
        <f>SOFR3mo_PX[[#This Row],[Column584]]</f>
        <v>96.694999999999993</v>
      </c>
      <c r="VM29">
        <f>SOFR3mo_PX[[#This Row],[Column585]]</f>
        <v>96.685000000000002</v>
      </c>
      <c r="VN29">
        <f>SOFR3mo_PX[[#This Row],[Column586]]</f>
        <v>96.715000000000003</v>
      </c>
      <c r="VO29">
        <f>SOFR3mo_PX[[#This Row],[Column587]]</f>
        <v>96.834999999999994</v>
      </c>
      <c r="VP29">
        <f>SOFR3mo_PX[[#This Row],[Column588]]</f>
        <v>96.795000000000002</v>
      </c>
      <c r="VQ29">
        <f>SOFR3mo_PX[[#This Row],[Column589]]</f>
        <v>96.745000000000005</v>
      </c>
      <c r="VR29">
        <f>SOFR3mo_PX[[#This Row],[Column590]]</f>
        <v>96.69</v>
      </c>
      <c r="VS29">
        <f>SOFR3mo_PX[[#This Row],[Column591]]</f>
        <v>96.73</v>
      </c>
      <c r="VT29">
        <f>SOFR3mo_PX[[#This Row],[Column592]]</f>
        <v>96.81</v>
      </c>
      <c r="VU29">
        <f>SOFR3mo_PX[[#This Row],[Column593]]</f>
        <v>96.625</v>
      </c>
      <c r="VV29">
        <f>SOFR3mo_PX[[#This Row],[Column594]]</f>
        <v>96.69</v>
      </c>
      <c r="VW29">
        <f>SOFR3mo_PX[[#This Row],[Column595]]</f>
        <v>96.614999999999995</v>
      </c>
      <c r="VX29">
        <f>SOFR3mo_PX[[#This Row],[Column596]]</f>
        <v>96.69</v>
      </c>
      <c r="VY29">
        <f>SOFR3mo_PX[[#This Row],[Column597]]</f>
        <v>96.67</v>
      </c>
      <c r="VZ29">
        <f>SOFR3mo_PX[[#This Row],[Column598]]</f>
        <v>96.47</v>
      </c>
      <c r="WA29">
        <f>SOFR3mo_PX[[#This Row],[Column599]]</f>
        <v>96.515000000000001</v>
      </c>
      <c r="WB29">
        <f>SOFR3mo_PX[[#This Row],[Column600]]</f>
        <v>96.5</v>
      </c>
      <c r="WC29">
        <f>SOFR3mo_PX[[#This Row],[Column601]]</f>
        <v>96.424999999999997</v>
      </c>
      <c r="WD29">
        <f>SOFR3mo_PX[[#This Row],[Column602]]</f>
        <v>96.424999999999997</v>
      </c>
      <c r="WE29">
        <f>SOFR3mo_PX[[#This Row],[Column603]]</f>
        <v>96.3</v>
      </c>
      <c r="WF29">
        <f>SOFR3mo_PX[[#This Row],[Column604]]</f>
        <v>96.405000000000001</v>
      </c>
      <c r="WG29">
        <f>SOFR3mo_PX[[#This Row],[Column605]]</f>
        <v>96.49</v>
      </c>
      <c r="WH29">
        <f>SOFR3mo_PX[[#This Row],[Column606]]</f>
        <v>96.49</v>
      </c>
      <c r="WI29">
        <f>SOFR3mo_PX[[#This Row],[Column607]]</f>
        <v>96.45</v>
      </c>
      <c r="WJ29">
        <f>SOFR3mo_PX[[#This Row],[Column608]]</f>
        <v>96.5</v>
      </c>
      <c r="WK29">
        <f>SOFR3mo_PX[[#This Row],[Column609]]</f>
        <v>96.45</v>
      </c>
      <c r="WL29">
        <f>SOFR3mo_PX[[#This Row],[Column610]]</f>
        <v>96.415000000000006</v>
      </c>
      <c r="WM29">
        <f>SOFR3mo_PX[[#This Row],[Column611]]</f>
        <v>96.564999999999998</v>
      </c>
      <c r="WN29">
        <f>SOFR3mo_PX[[#This Row],[Column612]]</f>
        <v>96.564999999999998</v>
      </c>
      <c r="WO29">
        <f>SOFR3mo_PX[[#This Row],[Column613]]</f>
        <v>96.545000000000002</v>
      </c>
      <c r="WP29">
        <f>SOFR3mo_PX[[#This Row],[Column614]]</f>
        <v>96.584999999999994</v>
      </c>
      <c r="WQ29">
        <f>SOFR3mo_PX[[#This Row],[Column615]]</f>
        <v>96.65</v>
      </c>
      <c r="WR29">
        <f>SOFR3mo_PX[[#This Row],[Column616]]</f>
        <v>96.635000000000005</v>
      </c>
      <c r="WS29">
        <f>SOFR3mo_PX[[#This Row],[Column617]]</f>
        <v>96.605000000000004</v>
      </c>
      <c r="WT29">
        <f>SOFR3mo_PX[[#This Row],[Column618]]</f>
        <v>96.67</v>
      </c>
      <c r="WU29">
        <f>SOFR3mo_PX[[#This Row],[Column619]]</f>
        <v>96.69</v>
      </c>
      <c r="WV29">
        <f>SOFR3mo_PX[[#This Row],[Column620]]</f>
        <v>96.67</v>
      </c>
      <c r="WW29">
        <f>SOFR3mo_PX[[#This Row],[Column621]]</f>
        <v>96.694999999999993</v>
      </c>
      <c r="WX29">
        <f>SOFR3mo_PX[[#This Row],[Column622]]</f>
        <v>96.77</v>
      </c>
      <c r="WY29">
        <f>SOFR3mo_PX[[#This Row],[Column623]]</f>
        <v>96.87</v>
      </c>
      <c r="WZ29">
        <f>SOFR3mo_PX[[#This Row],[Column624]]</f>
        <v>96.9</v>
      </c>
      <c r="XA29">
        <f>SOFR3mo_PX[[#This Row],[Column625]]</f>
        <v>96.78</v>
      </c>
      <c r="XB29">
        <f>SOFR3mo_PX[[#This Row],[Column626]]</f>
        <v>96.75</v>
      </c>
      <c r="XC29">
        <f>SOFR3mo_PX[[#This Row],[Column627]]</f>
        <v>96.784999999999997</v>
      </c>
      <c r="XD29">
        <f>SOFR3mo_PX[[#This Row],[Column628]]</f>
        <v>96.834999999999994</v>
      </c>
      <c r="XE29">
        <f>SOFR3mo_PX[[#This Row],[Column629]]</f>
        <v>96.85</v>
      </c>
      <c r="XF29">
        <f>SOFR3mo_PX[[#This Row],[Column630]]</f>
        <v>96.85</v>
      </c>
      <c r="XG29">
        <f>SOFR3mo_PX[[#This Row],[Column631]]</f>
        <v>96.775000000000006</v>
      </c>
      <c r="XH29">
        <f>SOFR3mo_PX[[#This Row],[Column632]]</f>
        <v>96.814999999999998</v>
      </c>
      <c r="XI29">
        <f>SOFR3mo_PX[[#This Row],[Column633]]</f>
        <v>96.905000000000001</v>
      </c>
      <c r="XJ29">
        <f>SOFR3mo_PX[[#This Row],[Column634]]</f>
        <v>96.935000000000002</v>
      </c>
      <c r="XK29">
        <f>SOFR3mo_PX[[#This Row],[Column635]]</f>
        <v>96.8</v>
      </c>
      <c r="XL29">
        <f>SOFR3mo_PX[[#This Row],[Column636]]</f>
        <v>96.844999999999999</v>
      </c>
      <c r="XM29">
        <f>SOFR3mo_PX[[#This Row],[Column637]]</f>
        <v>96.844999999999999</v>
      </c>
      <c r="XN29">
        <f>SOFR3mo_PX[[#This Row],[Column638]]</f>
        <v>96.87</v>
      </c>
      <c r="XO29">
        <f>SOFR3mo_PX[[#This Row],[Column639]]</f>
        <v>96.79</v>
      </c>
      <c r="XP29">
        <f>SOFR3mo_PX[[#This Row],[Column640]]</f>
        <v>96.734999999999999</v>
      </c>
      <c r="XQ29">
        <f>SOFR3mo_PX[[#This Row],[Column641]]</f>
        <v>96.85</v>
      </c>
      <c r="XR29">
        <f>SOFR3mo_PX[[#This Row],[Column642]]</f>
        <v>96.805000000000007</v>
      </c>
      <c r="XS29">
        <f>SOFR3mo_PX[[#This Row],[Column643]]</f>
        <v>96.65</v>
      </c>
      <c r="XT29">
        <f>SOFR3mo_PX[[#This Row],[Column644]]</f>
        <v>96.635000000000005</v>
      </c>
      <c r="XU29">
        <f>SOFR3mo_PX[[#This Row],[Column645]]</f>
        <v>96.534999999999997</v>
      </c>
      <c r="XV29">
        <f>SOFR3mo_PX[[#This Row],[Column646]]</f>
        <v>96.465000000000003</v>
      </c>
      <c r="XW29">
        <f>SOFR3mo_PX[[#This Row],[Column647]]</f>
        <v>96.465000000000003</v>
      </c>
      <c r="XX29">
        <f>SOFR3mo_PX[[#This Row],[Column648]]</f>
        <v>96.424999999999997</v>
      </c>
      <c r="XY29">
        <f>SOFR3mo_PX[[#This Row],[Column649]]</f>
        <v>96.37</v>
      </c>
      <c r="XZ29">
        <f>SOFR3mo_PX[[#This Row],[Column650]]</f>
        <v>96.454999999999998</v>
      </c>
      <c r="YA29">
        <f>SOFR3mo_PX[[#This Row],[Column651]]</f>
        <v>96.54</v>
      </c>
      <c r="YB29">
        <f>SOFR3mo_PX[[#This Row],[Column652]]</f>
        <v>96.54</v>
      </c>
      <c r="YC29">
        <f>SOFR3mo_PX[[#This Row],[Column653]]</f>
        <v>96.57</v>
      </c>
      <c r="YD29">
        <f>SOFR3mo_PX[[#This Row],[Column654]]</f>
        <v>96.545000000000002</v>
      </c>
      <c r="YE29">
        <f>SOFR3mo_PX[[#This Row],[Column655]]</f>
        <v>96.594999999999999</v>
      </c>
      <c r="YF29">
        <f>SOFR3mo_PX[[#This Row],[Column656]]</f>
        <v>96.734999999999999</v>
      </c>
      <c r="YG29">
        <f>SOFR3mo_PX[[#This Row],[Column657]]</f>
        <v>96.83</v>
      </c>
      <c r="YH29">
        <f>SOFR3mo_PX[[#This Row],[Column658]]</f>
        <v>96.894999999999996</v>
      </c>
      <c r="YI29">
        <f>SOFR3mo_PX[[#This Row],[Column659]]</f>
        <v>96.834999999999994</v>
      </c>
      <c r="YJ29">
        <f>SOFR3mo_PX[[#This Row],[Column660]]</f>
        <v>96.834999999999994</v>
      </c>
      <c r="YK29">
        <f>SOFR3mo_PX[[#This Row],[Column661]]</f>
        <v>96.734999999999999</v>
      </c>
      <c r="YL29">
        <f>SOFR3mo_PX[[#This Row],[Column662]]</f>
        <v>96.77</v>
      </c>
      <c r="YM29">
        <f>SOFR3mo_PX[[#This Row],[Column663]]</f>
        <v>96.86</v>
      </c>
      <c r="YN29">
        <f>SOFR3mo_PX[[#This Row],[Column664]]</f>
        <v>96.97</v>
      </c>
      <c r="YO29">
        <f>SOFR3mo_PX[[#This Row],[Column665]]</f>
        <v>96.86</v>
      </c>
      <c r="YP29">
        <f>SOFR3mo_PX[[#This Row],[Column666]]</f>
        <v>96.765000000000001</v>
      </c>
      <c r="YQ29">
        <f>SOFR3mo_PX[[#This Row],[Column667]]</f>
        <v>96.864999999999995</v>
      </c>
      <c r="YR29">
        <f>SOFR3mo_PX[[#This Row],[Column668]]</f>
        <v>96.82</v>
      </c>
      <c r="YS29">
        <f>SOFR3mo_PX[[#This Row],[Column669]]</f>
        <v>96.66</v>
      </c>
      <c r="YT29">
        <f>SOFR3mo_PX[[#This Row],[Column670]]</f>
        <v>96.63</v>
      </c>
      <c r="YU29">
        <f>SOFR3mo_PX[[#This Row],[Column671]]</f>
        <v>96.674999999999997</v>
      </c>
      <c r="YV29">
        <f>SOFR3mo_PX[[#This Row],[Column672]]</f>
        <v>96.66</v>
      </c>
      <c r="YW29">
        <f>SOFR3mo_PX[[#This Row],[Column673]]</f>
        <v>96.644999999999996</v>
      </c>
      <c r="YX29">
        <f>SOFR3mo_PX[[#This Row],[Column674]]</f>
        <v>96.644999999999996</v>
      </c>
      <c r="YY29">
        <f>SOFR3mo_PX[[#This Row],[Column675]]</f>
        <v>96.575000000000003</v>
      </c>
      <c r="YZ29">
        <f>SOFR3mo_PX[[#This Row],[Column676]]</f>
        <v>96.474999999999994</v>
      </c>
      <c r="ZA29">
        <f>SOFR3mo_PX[[#This Row],[Column677]]</f>
        <v>96.454999999999998</v>
      </c>
      <c r="ZB29">
        <f>SOFR3mo_PX[[#This Row],[Column678]]</f>
        <v>96.525000000000006</v>
      </c>
      <c r="ZC29">
        <f>SOFR3mo_PX[[#This Row],[Column679]]</f>
        <v>96.58</v>
      </c>
      <c r="ZD29">
        <f>SOFR3mo_PX[[#This Row],[Column680]]</f>
        <v>96.454999999999998</v>
      </c>
      <c r="ZE29">
        <f>SOFR3mo_PX[[#This Row],[Column681]]</f>
        <v>96.38</v>
      </c>
      <c r="ZF29">
        <f>SOFR3mo_PX[[#This Row],[Column682]]</f>
        <v>96.43</v>
      </c>
      <c r="ZG29">
        <f>SOFR3mo_PX[[#This Row],[Column683]]</f>
        <v>96.42</v>
      </c>
      <c r="ZH29">
        <f>SOFR3mo_PX[[#This Row],[Column684]]</f>
        <v>96.125</v>
      </c>
      <c r="ZI29">
        <f>SOFR3mo_PX[[#This Row],[Column685]]</f>
        <v>96.165000000000006</v>
      </c>
      <c r="ZJ29">
        <f>SOFR3mo_PX[[#This Row],[Column686]]</f>
        <v>96.08</v>
      </c>
      <c r="ZK29">
        <f>SOFR3mo_PX[[#This Row],[Column687]]</f>
        <v>96.094999999999999</v>
      </c>
      <c r="ZL29">
        <f>SOFR3mo_PX[[#This Row],[Column688]]</f>
        <v>96.125</v>
      </c>
      <c r="ZM29">
        <f>SOFR3mo_PX[[#This Row],[Column689]]</f>
        <v>96.13</v>
      </c>
      <c r="ZN29">
        <f>SOFR3mo_PX[[#This Row],[Column690]]</f>
        <v>96.11</v>
      </c>
      <c r="ZO29">
        <f>SOFR3mo_PX[[#This Row],[Column691]]</f>
        <v>96.07</v>
      </c>
      <c r="ZP29">
        <f>SOFR3mo_PX[[#This Row],[Column692]]</f>
        <v>96.1</v>
      </c>
      <c r="ZQ29">
        <f>SOFR3mo_PX[[#This Row],[Column693]]</f>
        <v>96.194999999999993</v>
      </c>
      <c r="ZR29">
        <f>SOFR3mo_PX[[#This Row],[Column694]]</f>
        <v>96.135000000000005</v>
      </c>
      <c r="ZS29">
        <f>SOFR3mo_PX[[#This Row],[Column695]]</f>
        <v>96.045000000000002</v>
      </c>
      <c r="ZT29">
        <f>SOFR3mo_PX[[#This Row],[Column696]]</f>
        <v>95.905000000000001</v>
      </c>
      <c r="ZU29">
        <f>SOFR3mo_PX[[#This Row],[Column697]]</f>
        <v>95.954999999999998</v>
      </c>
      <c r="ZV29">
        <f>SOFR3mo_PX[[#This Row],[Column698]]</f>
        <v>96.01</v>
      </c>
      <c r="ZW29">
        <f>SOFR3mo_PX[[#This Row],[Column699]]</f>
        <v>96.12</v>
      </c>
      <c r="ZX29">
        <f>SOFR3mo_PX[[#This Row],[Column700]]</f>
        <v>96.245000000000005</v>
      </c>
      <c r="ZY29">
        <f>SOFR3mo_PX[[#This Row],[Column701]]</f>
        <v>96.224999999999994</v>
      </c>
      <c r="ZZ29">
        <f>SOFR3mo_PX[[#This Row],[Column702]]</f>
        <v>96.24</v>
      </c>
      <c r="AAA29">
        <f>SOFR3mo_PX[[#This Row],[Column703]]</f>
        <v>96.284999999999997</v>
      </c>
      <c r="AAB29">
        <f>SOFR3mo_PX[[#This Row],[Column704]]</f>
        <v>96.27</v>
      </c>
      <c r="AAC29">
        <f>SOFR3mo_PX[[#This Row],[Column705]]</f>
        <v>96.23</v>
      </c>
      <c r="AAD29">
        <f>SOFR3mo_PX[[#This Row],[Column706]]</f>
        <v>96.18</v>
      </c>
      <c r="AAE29">
        <f>SOFR3mo_PX[[#This Row],[Column707]]</f>
        <v>96.28</v>
      </c>
      <c r="AAF29">
        <f>SOFR3mo_PX[[#This Row],[Column708]]</f>
        <v>96.325000000000003</v>
      </c>
      <c r="AAG29">
        <f>SOFR3mo_PX[[#This Row],[Column709]]</f>
        <v>96.364999999999995</v>
      </c>
      <c r="AAH29">
        <f>SOFR3mo_PX[[#This Row],[Column710]]</f>
        <v>96.51</v>
      </c>
      <c r="AAI29">
        <f>SOFR3mo_PX[[#This Row],[Column711]]</f>
        <v>96.43</v>
      </c>
      <c r="AAJ29">
        <f>SOFR3mo_PX[[#This Row],[Column712]]</f>
        <v>96.275000000000006</v>
      </c>
      <c r="AAK29">
        <f>SOFR3mo_PX[[#This Row],[Column713]]</f>
        <v>96.334999999999994</v>
      </c>
      <c r="AAL29">
        <f>SOFR3mo_PX[[#This Row],[Column714]]</f>
        <v>96.38</v>
      </c>
      <c r="AAM29">
        <f>SOFR3mo_PX[[#This Row],[Column715]]</f>
        <v>96.245000000000005</v>
      </c>
      <c r="AAN29">
        <f>SOFR3mo_PX[[#This Row],[Column716]]</f>
        <v>96.37</v>
      </c>
      <c r="AAO29">
        <f>SOFR3mo_PX[[#This Row],[Column717]]</f>
        <v>96.555000000000007</v>
      </c>
      <c r="AAP29">
        <f>SOFR3mo_PX[[#This Row],[Column718]]</f>
        <v>96.444999999999993</v>
      </c>
      <c r="AAQ29">
        <f>SOFR3mo_PX[[#This Row],[Column719]]</f>
        <v>96.62</v>
      </c>
      <c r="AAR29">
        <f>SOFR3mo_PX[[#This Row],[Column720]]</f>
        <v>96.55</v>
      </c>
      <c r="AAS29">
        <f>SOFR3mo_PX[[#This Row],[Column721]]</f>
        <v>96.64</v>
      </c>
      <c r="AAT29">
        <f>SOFR3mo_PX[[#This Row],[Column722]]</f>
        <v>96.644999999999996</v>
      </c>
      <c r="AAU29">
        <f>SOFR3mo_PX[[#This Row],[Column723]]</f>
        <v>96.67</v>
      </c>
      <c r="AAV29">
        <f>SOFR3mo_PX[[#This Row],[Column724]]</f>
        <v>96.75</v>
      </c>
      <c r="AAW29">
        <f>SOFR3mo_PX[[#This Row],[Column725]]</f>
        <v>96.72</v>
      </c>
      <c r="AAX29">
        <f>SOFR3mo_PX[[#This Row],[Column726]]</f>
        <v>96.71</v>
      </c>
      <c r="AAY29">
        <f>SOFR3mo_PX[[#This Row],[Column727]]</f>
        <v>96.765000000000001</v>
      </c>
      <c r="AAZ29">
        <f>SOFR3mo_PX[[#This Row],[Column728]]</f>
        <v>96.77</v>
      </c>
      <c r="ABA29">
        <f>SOFR3mo_PX[[#This Row],[Column729]]</f>
        <v>96.8</v>
      </c>
      <c r="ABB29">
        <f>SOFR3mo_PX[[#This Row],[Column730]]</f>
        <v>96.69</v>
      </c>
      <c r="ABC29">
        <f>SOFR3mo_PX[[#This Row],[Column731]]</f>
        <v>96.86</v>
      </c>
      <c r="ABD29">
        <f>SOFR3mo_PX[[#This Row],[Column732]]</f>
        <v>96.86</v>
      </c>
      <c r="ABE29">
        <f>SOFR3mo_PX[[#This Row],[Column733]]</f>
        <v>96.82</v>
      </c>
      <c r="ABF29">
        <f>SOFR3mo_PX[[#This Row],[Column734]]</f>
        <v>97</v>
      </c>
      <c r="ABG29">
        <f>SOFR3mo_PX[[#This Row],[Column735]]</f>
        <v>97.034999999999997</v>
      </c>
      <c r="ABH29">
        <f>SOFR3mo_PX[[#This Row],[Column736]]</f>
        <v>96.99</v>
      </c>
      <c r="ABI29">
        <f>SOFR3mo_PX[[#This Row],[Column737]]</f>
        <v>97.1</v>
      </c>
      <c r="ABJ29">
        <f>SOFR3mo_PX[[#This Row],[Column738]]</f>
        <v>97.114999999999995</v>
      </c>
      <c r="ABK29">
        <f>SOFR3mo_PX[[#This Row],[Column739]]</f>
        <v>97.025000000000006</v>
      </c>
      <c r="ABL29">
        <f>SOFR3mo_PX[[#This Row],[Column740]]</f>
        <v>97.105000000000004</v>
      </c>
      <c r="ABM29">
        <f>SOFR3mo_PX[[#This Row],[Column741]]</f>
        <v>97.14</v>
      </c>
      <c r="ABN29">
        <f>SOFR3mo_PX[[#This Row],[Column742]]</f>
        <v>97.16</v>
      </c>
      <c r="ABO29">
        <f>SOFR3mo_PX[[#This Row],[Column743]]</f>
        <v>97.29</v>
      </c>
      <c r="ABP29">
        <f>SOFR3mo_PX[[#This Row],[Column744]]</f>
        <v>97.275000000000006</v>
      </c>
      <c r="ABQ29">
        <f>SOFR3mo_PX[[#This Row],[Column745]]</f>
        <v>97.344999999999999</v>
      </c>
      <c r="ABR29">
        <f>SOFR3mo_PX[[#This Row],[Column746]]</f>
        <v>97.32</v>
      </c>
      <c r="ABS29">
        <f>SOFR3mo_PX[[#This Row],[Column747]]</f>
        <v>97.234999999999999</v>
      </c>
      <c r="ABT29">
        <f>SOFR3mo_PX[[#This Row],[Column748]]</f>
        <v>97.18</v>
      </c>
      <c r="ABU29">
        <f>SOFR3mo_PX[[#This Row],[Column749]]</f>
        <v>97.355000000000004</v>
      </c>
      <c r="ABV29">
        <f>SOFR3mo_PX[[#This Row],[Column750]]</f>
        <v>97.394999999999996</v>
      </c>
      <c r="ABW29">
        <f>SOFR3mo_PX[[#This Row],[Column751]]</f>
        <v>97.375</v>
      </c>
      <c r="ABX29">
        <f>SOFR3mo_PX[[#This Row],[Column752]]</f>
        <v>97.284999999999997</v>
      </c>
      <c r="ABY29">
        <f>SOFR3mo_PX[[#This Row],[Column753]]</f>
        <v>97.424999999999997</v>
      </c>
      <c r="ABZ29">
        <f>SOFR3mo_PX[[#This Row],[Column754]]</f>
        <v>97.344999999999999</v>
      </c>
      <c r="ACA29">
        <f>SOFR3mo_PX[[#This Row],[Column755]]</f>
        <v>97.33</v>
      </c>
      <c r="ACB29">
        <f>SOFR3mo_PX[[#This Row],[Column756]]</f>
        <v>97.39</v>
      </c>
      <c r="ACC29">
        <f>SOFR3mo_PX[[#This Row],[Column757]]</f>
        <v>97.32</v>
      </c>
      <c r="ACD29">
        <f>SOFR3mo_PX[[#This Row],[Column758]]</f>
        <v>97.275000000000006</v>
      </c>
      <c r="ACE29">
        <f>SOFR3mo_PX[[#This Row],[Column759]]</f>
        <v>97.224999999999994</v>
      </c>
      <c r="ACF29">
        <f>SOFR3mo_PX[[#This Row],[Column760]]</f>
        <v>97.17</v>
      </c>
      <c r="ACG29">
        <f>SOFR3mo_PX[[#This Row],[Column761]]</f>
        <v>97.135000000000005</v>
      </c>
      <c r="ACH29">
        <f>SOFR3mo_PX[[#This Row],[Column762]]</f>
        <v>97.2</v>
      </c>
      <c r="ACI29">
        <f>SOFR3mo_PX[[#This Row],[Column763]]</f>
        <v>97.094999999999999</v>
      </c>
      <c r="ACJ29">
        <f>SOFR3mo_PX[[#This Row],[Column764]]</f>
        <v>96.984999999999999</v>
      </c>
      <c r="ACK29">
        <f>SOFR3mo_PX[[#This Row],[Column765]]</f>
        <v>97.02</v>
      </c>
      <c r="ACL29">
        <f>SOFR3mo_PX[[#This Row],[Column766]]</f>
        <v>97.06</v>
      </c>
      <c r="ACM29">
        <f>SOFR3mo_PX[[#This Row],[Column767]]</f>
        <v>97.084999999999994</v>
      </c>
      <c r="ACN29">
        <f>SOFR3mo_PX[[#This Row],[Column768]]</f>
        <v>97.02</v>
      </c>
      <c r="ACO29">
        <f>SOFR3mo_PX[[#This Row],[Column769]]</f>
        <v>97.05</v>
      </c>
      <c r="ACP29">
        <f>SOFR3mo_PX[[#This Row],[Column770]]</f>
        <v>96.93</v>
      </c>
      <c r="ACQ29">
        <f>SOFR3mo_PX[[#This Row],[Column771]]</f>
        <v>96.875</v>
      </c>
      <c r="ACR29">
        <f>SOFR3mo_PX[[#This Row],[Column772]]</f>
        <v>96.74</v>
      </c>
      <c r="ACS29">
        <f>SOFR3mo_PX[[#This Row],[Column773]]</f>
        <v>96.825000000000003</v>
      </c>
      <c r="ACT29">
        <f>SOFR3mo_PX[[#This Row],[Column774]]</f>
        <v>96.94</v>
      </c>
      <c r="ACU29">
        <f>SOFR3mo_PX[[#This Row],[Column775]]</f>
        <v>97.025000000000006</v>
      </c>
      <c r="ACV29">
        <f>SOFR3mo_PX[[#This Row],[Column776]]</f>
        <v>96.95</v>
      </c>
      <c r="ACW29">
        <f>SOFR3mo_PX[[#This Row],[Column777]]</f>
        <v>96.95</v>
      </c>
      <c r="ACX29">
        <f>SOFR3mo_PX[[#This Row],[Column778]]</f>
        <v>96.92</v>
      </c>
      <c r="ACY29">
        <f>SOFR3mo_PX[[#This Row],[Column779]]</f>
        <v>96.805000000000007</v>
      </c>
      <c r="ACZ29">
        <f>SOFR3mo_PX[[#This Row],[Column780]]</f>
        <v>96.704999999999998</v>
      </c>
      <c r="ADA29">
        <f>SOFR3mo_PX[[#This Row],[Column781]]</f>
        <v>96.72</v>
      </c>
      <c r="ADB29">
        <f>SOFR3mo_PX[[#This Row],[Column782]]</f>
        <v>96.775000000000006</v>
      </c>
      <c r="ADC29">
        <f>SOFR3mo_PX[[#This Row],[Column783]]</f>
        <v>96.87</v>
      </c>
      <c r="ADD29">
        <f>SOFR3mo_PX[[#This Row],[Column784]]</f>
        <v>96.77</v>
      </c>
      <c r="ADE29">
        <f>SOFR3mo_PX[[#This Row],[Column785]]</f>
        <v>96.64</v>
      </c>
      <c r="ADF29">
        <f>SOFR3mo_PX[[#This Row],[Column786]]</f>
        <v>96.74</v>
      </c>
      <c r="ADG29">
        <f>SOFR3mo_PX[[#This Row],[Column787]]</f>
        <v>96.74</v>
      </c>
      <c r="ADH29">
        <f>SOFR3mo_PX[[#This Row],[Column788]]</f>
        <v>96.66</v>
      </c>
      <c r="ADI29">
        <f>SOFR3mo_PX[[#This Row],[Column789]]</f>
        <v>96.564999999999998</v>
      </c>
      <c r="ADJ29">
        <f>SOFR3mo_PX[[#This Row],[Column790]]</f>
        <v>96.545000000000002</v>
      </c>
      <c r="ADK29">
        <f>SOFR3mo_PX[[#This Row],[Column791]]</f>
        <v>96.635000000000005</v>
      </c>
      <c r="ADL29">
        <f>SOFR3mo_PX[[#This Row],[Column792]]</f>
        <v>96.844999999999999</v>
      </c>
      <c r="ADM29">
        <f>SOFR3mo_PX[[#This Row],[Column793]]</f>
        <v>96.905000000000001</v>
      </c>
      <c r="ADN29">
        <f>SOFR3mo_PX[[#This Row],[Column794]]</f>
        <v>96.905000000000001</v>
      </c>
      <c r="ADO29">
        <f>SOFR3mo_PX[[#This Row],[Column795]]</f>
        <v>96.96</v>
      </c>
      <c r="ADP29">
        <f>SOFR3mo_PX[[#This Row],[Column796]]</f>
        <v>96.86</v>
      </c>
      <c r="ADQ29">
        <f>SOFR3mo_PX[[#This Row],[Column797]]</f>
        <v>96.965000000000003</v>
      </c>
      <c r="ADR29">
        <f>SOFR3mo_PX[[#This Row],[Column798]]</f>
        <v>97.015000000000001</v>
      </c>
      <c r="ADS29">
        <f>SOFR3mo_PX[[#This Row],[Column799]]</f>
        <v>96.97</v>
      </c>
      <c r="ADT29">
        <f>SOFR3mo_PX[[#This Row],[Column800]]</f>
        <v>97.01</v>
      </c>
      <c r="ADU29">
        <f>SOFR3mo_PX[[#This Row],[Column801]]</f>
        <v>97.105000000000004</v>
      </c>
      <c r="ADV29">
        <f>SOFR3mo_PX[[#This Row],[Column802]]</f>
        <v>97.105000000000004</v>
      </c>
      <c r="ADW29">
        <f>SOFR3mo_PX[[#This Row],[Column803]]</f>
        <v>97.084999999999994</v>
      </c>
      <c r="ADX29">
        <f>SOFR3mo_PX[[#This Row],[Column804]]</f>
        <v>97.125</v>
      </c>
      <c r="ADY29">
        <f>SOFR3mo_PX[[#This Row],[Column805]]</f>
        <v>97.13</v>
      </c>
      <c r="ADZ29">
        <f>SOFR3mo_PX[[#This Row],[Column806]]</f>
        <v>97.11</v>
      </c>
      <c r="AEA29">
        <f>SOFR3mo_PX[[#This Row],[Column807]]</f>
        <v>97.17</v>
      </c>
      <c r="AEB29">
        <f>SOFR3mo_PX[[#This Row],[Column808]]</f>
        <v>97.07</v>
      </c>
      <c r="AEC29">
        <f>SOFR3mo_PX[[#This Row],[Column809]]</f>
        <v>97.034999999999997</v>
      </c>
      <c r="AED29">
        <f>SOFR3mo_PX[[#This Row],[Column810]]</f>
        <v>96.9</v>
      </c>
      <c r="AEE29">
        <f>SOFR3mo_PX[[#This Row],[Column811]]</f>
        <v>96.974999999999994</v>
      </c>
      <c r="AEF29">
        <f>SOFR3mo_PX[[#This Row],[Column812]]</f>
        <v>96.924999999999997</v>
      </c>
      <c r="AEG29">
        <f>SOFR3mo_PX[[#This Row],[Column813]]</f>
        <v>97.034999999999997</v>
      </c>
      <c r="AEH29">
        <f>SOFR3mo_PX[[#This Row],[Column814]]</f>
        <v>96.944999999999993</v>
      </c>
      <c r="AEI29">
        <f>SOFR3mo_PX[[#This Row],[Column815]]</f>
        <v>96.82</v>
      </c>
      <c r="AEJ29">
        <f>SOFR3mo_PX[[#This Row],[Column816]]</f>
        <v>96.72</v>
      </c>
      <c r="AEK29">
        <f>SOFR3mo_PX[[#This Row],[Column817]]</f>
        <v>96.685000000000002</v>
      </c>
      <c r="AEL29">
        <f>SOFR3mo_PX[[#This Row],[Column818]]</f>
        <v>96.79</v>
      </c>
      <c r="AEM29">
        <f>SOFR3mo_PX[[#This Row],[Column819]]</f>
        <v>96.95</v>
      </c>
      <c r="AEN29">
        <f>SOFR3mo_PX[[#This Row],[Column820]]</f>
        <v>96.97</v>
      </c>
      <c r="AEO29">
        <f>SOFR3mo_PX[[#This Row],[Column821]]</f>
        <v>96.905000000000001</v>
      </c>
      <c r="AEP29">
        <f>SOFR3mo_PX[[#This Row],[Column822]]</f>
        <v>97.05</v>
      </c>
      <c r="AEQ29">
        <f>SOFR3mo_PX[[#This Row],[Column823]]</f>
        <v>97.05</v>
      </c>
      <c r="AER29">
        <f>SOFR3mo_PX[[#This Row],[Column824]]</f>
        <v>97.114999999999995</v>
      </c>
      <c r="AES29">
        <f>SOFR3mo_PX[[#This Row],[Column825]]</f>
        <v>97.185000000000002</v>
      </c>
      <c r="AET29">
        <f>SOFR3mo_PX[[#This Row],[Column826]]</f>
        <v>97.17</v>
      </c>
      <c r="AEU29">
        <f>SOFR3mo_PX[[#This Row],[Column827]]</f>
        <v>97.084999999999994</v>
      </c>
      <c r="AEV29">
        <f>SOFR3mo_PX[[#This Row],[Column828]]</f>
        <v>97.05</v>
      </c>
      <c r="AEW29">
        <f>SOFR3mo_PX[[#This Row],[Column829]]</f>
        <v>97.114999999999995</v>
      </c>
      <c r="AEX29">
        <f>SOFR3mo_PX[[#This Row],[Column830]]</f>
        <v>97.015000000000001</v>
      </c>
      <c r="AEY29">
        <f>SOFR3mo_PX[[#This Row],[Column831]]</f>
        <v>97.05</v>
      </c>
      <c r="AEZ29">
        <f>SOFR3mo_PX[[#This Row],[Column832]]</f>
        <v>97.14</v>
      </c>
      <c r="AFA29">
        <f>SOFR3mo_PX[[#This Row],[Column833]]</f>
        <v>97.14</v>
      </c>
      <c r="AFB29">
        <f>SOFR3mo_PX[[#This Row],[Column834]]</f>
        <v>97.275000000000006</v>
      </c>
      <c r="AFC29">
        <f>SOFR3mo_PX[[#This Row],[Column835]]</f>
        <v>97.22</v>
      </c>
      <c r="AFD29">
        <f>SOFR3mo_PX[[#This Row],[Column836]]</f>
        <v>97.2</v>
      </c>
      <c r="AFE29">
        <f>SOFR3mo_PX[[#This Row],[Column837]]</f>
        <v>97.325000000000003</v>
      </c>
      <c r="AFF29">
        <f>SOFR3mo_PX[[#This Row],[Column838]]</f>
        <v>97.42</v>
      </c>
      <c r="AFG29">
        <f>SOFR3mo_PX[[#This Row],[Column839]]</f>
        <v>97.56</v>
      </c>
      <c r="AFH29">
        <f>SOFR3mo_PX[[#This Row],[Column840]]</f>
        <v>97.67</v>
      </c>
      <c r="AFI29">
        <f>SOFR3mo_PX[[#This Row],[Column841]]</f>
        <v>97.814999999999998</v>
      </c>
      <c r="AFJ29">
        <f>SOFR3mo_PX[[#This Row],[Column842]]</f>
        <v>97.834999999999994</v>
      </c>
      <c r="AFK29">
        <f>SOFR3mo_PX[[#This Row],[Column843]]</f>
        <v>97.86</v>
      </c>
      <c r="AFL29">
        <f>SOFR3mo_PX[[#This Row],[Column844]]</f>
        <v>97.814999999999998</v>
      </c>
      <c r="AFM29">
        <f>SOFR3mo_PX[[#This Row],[Column845]]</f>
        <v>97.76</v>
      </c>
      <c r="AFN29">
        <f>SOFR3mo_PX[[#This Row],[Column846]]</f>
        <v>97.674999999999997</v>
      </c>
      <c r="AFO29">
        <f>SOFR3mo_PX[[#This Row],[Column847]]</f>
        <v>97.644999999999996</v>
      </c>
      <c r="AFP29">
        <f>SOFR3mo_PX[[#This Row],[Column848]]</f>
        <v>97.79</v>
      </c>
      <c r="AFQ29">
        <f>SOFR3mo_PX[[#This Row],[Column849]]</f>
        <v>97.814999999999998</v>
      </c>
      <c r="AFR29">
        <f>SOFR3mo_PX[[#This Row],[Column850]]</f>
        <v>97.76</v>
      </c>
      <c r="AFS29">
        <f>SOFR3mo_PX[[#This Row],[Column851]]</f>
        <v>97.825000000000003</v>
      </c>
      <c r="AFT29">
        <f>SOFR3mo_PX[[#This Row],[Column852]]</f>
        <v>97.965000000000003</v>
      </c>
      <c r="AFU29">
        <f>SOFR3mo_PX[[#This Row],[Column853]]</f>
        <v>97.89</v>
      </c>
      <c r="AFV29">
        <f>SOFR3mo_PX[[#This Row],[Column854]]</f>
        <v>97.87</v>
      </c>
      <c r="AFW29">
        <f>SOFR3mo_PX[[#This Row],[Column855]]</f>
        <v>97.88</v>
      </c>
      <c r="AFX29">
        <f>SOFR3mo_PX[[#This Row],[Column856]]</f>
        <v>97.905000000000001</v>
      </c>
      <c r="AFY29">
        <f>SOFR3mo_PX[[#This Row],[Column857]]</f>
        <v>98.064999999999998</v>
      </c>
      <c r="AFZ29">
        <f>SOFR3mo_PX[[#This Row],[Column858]]</f>
        <v>98.075000000000003</v>
      </c>
      <c r="AGA29">
        <f>SOFR3mo_PX[[#This Row],[Column859]]</f>
        <v>98.15</v>
      </c>
      <c r="AGB29">
        <f>SOFR3mo_PX[[#This Row],[Column860]]</f>
        <v>98.245000000000005</v>
      </c>
      <c r="AGC29">
        <f>SOFR3mo_PX[[#This Row],[Column861]]</f>
        <v>98.36</v>
      </c>
      <c r="AGD29">
        <f>SOFR3mo_PX[[#This Row],[Column862]]</f>
        <v>98.334999999999994</v>
      </c>
      <c r="AGE29">
        <f>SOFR3mo_PX[[#This Row],[Column863]]</f>
        <v>98.2</v>
      </c>
      <c r="AGF29">
        <f>SOFR3mo_PX[[#This Row],[Column864]]</f>
        <v>98.155000000000001</v>
      </c>
      <c r="AGG29">
        <f>SOFR3mo_PX[[#This Row],[Column865]]</f>
        <v>98.295000000000002</v>
      </c>
      <c r="AGH29">
        <f>SOFR3mo_PX[[#This Row],[Column866]]</f>
        <v>98.18</v>
      </c>
      <c r="AGI29">
        <f>SOFR3mo_PX[[#This Row],[Column867]]</f>
        <v>98.04</v>
      </c>
      <c r="AGJ29">
        <f>SOFR3mo_PX[[#This Row],[Column868]]</f>
        <v>98.05</v>
      </c>
      <c r="AGK29">
        <f>SOFR3mo_PX[[#This Row],[Column869]]</f>
        <v>98.075000000000003</v>
      </c>
      <c r="AGL29">
        <f>SOFR3mo_PX[[#This Row],[Column870]]</f>
        <v>98.114999999999995</v>
      </c>
      <c r="AGM29">
        <f>SOFR3mo_PX[[#This Row],[Column871]]</f>
        <v>98.105000000000004</v>
      </c>
      <c r="AGN29">
        <f>SOFR3mo_PX[[#This Row],[Column872]]</f>
        <v>98.105000000000004</v>
      </c>
      <c r="AGO29">
        <f>SOFR3mo_PX[[#This Row],[Column873]]</f>
        <v>98.055000000000007</v>
      </c>
      <c r="AGP29">
        <f>SOFR3mo_PX[[#This Row],[Column874]]</f>
        <v>97.965000000000003</v>
      </c>
      <c r="AGQ29">
        <f>SOFR3mo_PX[[#This Row],[Column875]]</f>
        <v>97.974999999999994</v>
      </c>
      <c r="AGR29">
        <f>SOFR3mo_PX[[#This Row],[Column876]]</f>
        <v>98.06</v>
      </c>
      <c r="AGS29">
        <f>SOFR3mo_PX[[#This Row],[Column877]]</f>
        <v>98.105000000000004</v>
      </c>
      <c r="AGT29">
        <f>SOFR3mo_PX[[#This Row],[Column878]]</f>
        <v>97.995000000000005</v>
      </c>
      <c r="AGU29">
        <f>SOFR3mo_PX[[#This Row],[Column879]]</f>
        <v>98.064999999999998</v>
      </c>
      <c r="AGV29">
        <f>SOFR3mo_PX[[#This Row],[Column880]]</f>
        <v>98.02</v>
      </c>
      <c r="AGW29">
        <f>SOFR3mo_PX[[#This Row],[Column881]]</f>
        <v>98.06</v>
      </c>
      <c r="AGX29">
        <f>SOFR3mo_PX[[#This Row],[Column882]]</f>
        <v>98.045000000000002</v>
      </c>
      <c r="AGY29">
        <f>SOFR3mo_PX[[#This Row],[Column883]]</f>
        <v>98.15</v>
      </c>
      <c r="AGZ29">
        <f>SOFR3mo_PX[[#This Row],[Column884]]</f>
        <v>98.21</v>
      </c>
      <c r="AHA29">
        <f>SOFR3mo_PX[[#This Row],[Column885]]</f>
        <v>98.174999999999997</v>
      </c>
      <c r="AHB29">
        <f>SOFR3mo_PX[[#This Row],[Column886]]</f>
        <v>98.185000000000002</v>
      </c>
      <c r="AHC29">
        <f>SOFR3mo_PX[[#This Row],[Column887]]</f>
        <v>98.194999999999993</v>
      </c>
      <c r="AHD29">
        <f>SOFR3mo_PX[[#This Row],[Column888]]</f>
        <v>98.155000000000001</v>
      </c>
      <c r="AHE29">
        <f>SOFR3mo_PX[[#This Row],[Column889]]</f>
        <v>98.05</v>
      </c>
      <c r="AHF29">
        <f>SOFR3mo_PX[[#This Row],[Column890]]</f>
        <v>98.114999999999995</v>
      </c>
      <c r="AHG29">
        <f>SOFR3mo_PX[[#This Row],[Column891]]</f>
        <v>98.18</v>
      </c>
      <c r="AHH29">
        <f>SOFR3mo_PX[[#This Row],[Column892]]</f>
        <v>98.16</v>
      </c>
      <c r="AHI29">
        <f>SOFR3mo_PX[[#This Row],[Column893]]</f>
        <v>98.09</v>
      </c>
      <c r="AHJ29">
        <f>SOFR3mo_PX[[#This Row],[Column894]]</f>
        <v>98.08</v>
      </c>
      <c r="AHK29">
        <f>SOFR3mo_PX[[#This Row],[Column895]]</f>
        <v>98.025000000000006</v>
      </c>
      <c r="AHL29">
        <f>SOFR3mo_PX[[#This Row],[Column896]]</f>
        <v>98.13</v>
      </c>
      <c r="AHM29">
        <f>SOFR3mo_PX[[#This Row],[Column897]]</f>
        <v>98.13</v>
      </c>
      <c r="AHN29">
        <f>SOFR3mo_PX[[#This Row],[Column898]]</f>
        <v>98.204999999999998</v>
      </c>
      <c r="AHO29">
        <f>SOFR3mo_PX[[#This Row],[Column899]]</f>
        <v>98.174999999999997</v>
      </c>
      <c r="AHP29">
        <f>SOFR3mo_PX[[#This Row],[Column900]]</f>
        <v>98.13</v>
      </c>
      <c r="AHQ29">
        <f>SOFR3mo_PX[[#This Row],[Column901]]</f>
        <v>98.08</v>
      </c>
      <c r="AHR29">
        <f>SOFR3mo_PX[[#This Row],[Column902]]</f>
        <v>98.08</v>
      </c>
      <c r="AHS29">
        <f>SOFR3mo_PX[[#This Row],[Column903]]</f>
        <v>98.105000000000004</v>
      </c>
      <c r="AHT29">
        <f>SOFR3mo_PX[[#This Row],[Column904]]</f>
        <v>98.13</v>
      </c>
      <c r="AHU29">
        <f>SOFR3mo_PX[[#This Row],[Column905]]</f>
        <v>98.15</v>
      </c>
      <c r="AHV29">
        <f>SOFR3mo_PX[[#This Row],[Column906]]</f>
        <v>98.21</v>
      </c>
      <c r="AHW29">
        <f>SOFR3mo_PX[[#This Row],[Column907]]</f>
        <v>98.38</v>
      </c>
      <c r="AHX29">
        <f>SOFR3mo_PX[[#This Row],[Column908]]</f>
        <v>98.364999999999995</v>
      </c>
      <c r="AHY29">
        <f>SOFR3mo_PX[[#This Row],[Column909]]</f>
        <v>98.355000000000004</v>
      </c>
      <c r="AHZ29">
        <f>SOFR3mo_PX[[#This Row],[Column910]]</f>
        <v>98.45</v>
      </c>
      <c r="AIA29">
        <f>SOFR3mo_PX[[#This Row],[Column911]]</f>
        <v>98.424999999999997</v>
      </c>
      <c r="AIB29">
        <f>SOFR3mo_PX[[#This Row],[Column912]]</f>
        <v>98.39</v>
      </c>
      <c r="AIC29">
        <f>SOFR3mo_PX[[#This Row],[Column913]]</f>
        <v>98.39</v>
      </c>
      <c r="AID29">
        <f>SOFR3mo_PX[[#This Row],[Column914]]</f>
        <v>98.415000000000006</v>
      </c>
      <c r="AIE29">
        <f>SOFR3mo_PX[[#This Row],[Column915]]</f>
        <v>98.38</v>
      </c>
      <c r="AIF29">
        <f>SOFR3mo_PX[[#This Row],[Column916]]</f>
        <v>98.474999999999994</v>
      </c>
      <c r="AIG29">
        <f>SOFR3mo_PX[[#This Row],[Column917]]</f>
        <v>98.545000000000002</v>
      </c>
      <c r="AIH29">
        <f>SOFR3mo_PX[[#This Row],[Column918]]</f>
        <v>98.51</v>
      </c>
      <c r="AII29">
        <f>SOFR3mo_PX[[#This Row],[Column919]]</f>
        <v>98.47</v>
      </c>
      <c r="AIJ29">
        <f>SOFR3mo_PX[[#This Row],[Column920]]</f>
        <v>98.47</v>
      </c>
      <c r="AIK29">
        <f>SOFR3mo_PX[[#This Row],[Column921]]</f>
        <v>98.474999999999994</v>
      </c>
      <c r="AIL29">
        <f>SOFR3mo_PX[[#This Row],[Column922]]</f>
        <v>98.41</v>
      </c>
      <c r="AIM29">
        <f>SOFR3mo_PX[[#This Row],[Column923]]</f>
        <v>98.435000000000002</v>
      </c>
      <c r="AIN29">
        <f>SOFR3mo_PX[[#This Row],[Column924]]</f>
        <v>98.394999999999996</v>
      </c>
      <c r="AIO29">
        <f>SOFR3mo_PX[[#This Row],[Column925]]</f>
        <v>98.415000000000006</v>
      </c>
      <c r="AIP29">
        <f>SOFR3mo_PX[[#This Row],[Column926]]</f>
        <v>98.45</v>
      </c>
      <c r="AIQ29">
        <f>SOFR3mo_PX[[#This Row],[Column927]]</f>
        <v>98.6</v>
      </c>
      <c r="AIR29">
        <f>SOFR3mo_PX[[#This Row],[Column928]]</f>
        <v>98.454999999999998</v>
      </c>
      <c r="AIS29">
        <f>SOFR3mo_PX[[#This Row],[Column929]]</f>
        <v>98.444999999999993</v>
      </c>
      <c r="AIT29">
        <f>SOFR3mo_PX[[#This Row],[Column930]]</f>
        <v>98.36</v>
      </c>
      <c r="AIU29">
        <f>SOFR3mo_PX[[#This Row],[Column931]]</f>
        <v>98.24</v>
      </c>
      <c r="AIV29">
        <f>SOFR3mo_PX[[#This Row],[Column932]]</f>
        <v>98.334999999999994</v>
      </c>
      <c r="AIW29">
        <f>SOFR3mo_PX[[#This Row],[Column933]]</f>
        <v>98.16</v>
      </c>
      <c r="AIX29">
        <f>SOFR3mo_PX[[#This Row],[Column934]]</f>
        <v>98.16</v>
      </c>
      <c r="AIY29">
        <f>SOFR3mo_PX[[#This Row],[Column935]]</f>
        <v>98.12</v>
      </c>
      <c r="AIZ29">
        <f>SOFR3mo_PX[[#This Row],[Column936]]</f>
        <v>98.19</v>
      </c>
      <c r="AJA29">
        <f>SOFR3mo_PX[[#This Row],[Column937]]</f>
        <v>98.295000000000002</v>
      </c>
      <c r="AJB29">
        <f>SOFR3mo_PX[[#This Row],[Column938]]</f>
        <v>98.224999999999994</v>
      </c>
      <c r="AJC29">
        <f>SOFR3mo_PX[[#This Row],[Column939]]</f>
        <v>98.194999999999993</v>
      </c>
      <c r="AJD29">
        <f>SOFR3mo_PX[[#This Row],[Column940]]</f>
        <v>98.17</v>
      </c>
      <c r="AJE29">
        <f>SOFR3mo_PX[[#This Row],[Column941]]</f>
        <v>98.21</v>
      </c>
      <c r="AJF29">
        <f>SOFR3mo_PX[[#This Row],[Column942]]</f>
        <v>98.25</v>
      </c>
      <c r="AJG29">
        <f>SOFR3mo_PX[[#This Row],[Column943]]</f>
        <v>98.265000000000001</v>
      </c>
      <c r="AJH29">
        <f>SOFR3mo_PX[[#This Row],[Column944]]</f>
        <v>98.295000000000002</v>
      </c>
      <c r="AJI29">
        <f>SOFR3mo_PX[[#This Row],[Column945]]</f>
        <v>98.375</v>
      </c>
      <c r="AJJ29">
        <f>SOFR3mo_PX[[#This Row],[Column946]]</f>
        <v>98.28</v>
      </c>
      <c r="AJK29">
        <f>SOFR3mo_PX[[#This Row],[Column947]]</f>
        <v>98.305000000000007</v>
      </c>
      <c r="AJL29">
        <f>SOFR3mo_PX[[#This Row],[Column948]]</f>
        <v>98.204999999999998</v>
      </c>
      <c r="AJM29">
        <f>SOFR3mo_PX[[#This Row],[Column949]]</f>
        <v>98.174999999999997</v>
      </c>
      <c r="AJN29">
        <f>SOFR3mo_PX[[#This Row],[Column950]]</f>
        <v>98.194999999999993</v>
      </c>
      <c r="AJO29">
        <f>SOFR3mo_PX[[#This Row],[Column951]]</f>
        <v>98.23</v>
      </c>
      <c r="AJP29">
        <f>SOFR3mo_PX[[#This Row],[Column952]]</f>
        <v>98.27</v>
      </c>
      <c r="AJQ29">
        <f>SOFR3mo_PX[[#This Row],[Column953]]</f>
        <v>98.234999999999999</v>
      </c>
      <c r="AJR29">
        <f>SOFR3mo_PX[[#This Row],[Column954]]</f>
        <v>98.254999999999995</v>
      </c>
      <c r="AJS29">
        <f>SOFR3mo_PX[[#This Row],[Column955]]</f>
        <v>98.08</v>
      </c>
      <c r="AJT29">
        <f>SOFR3mo_PX[[#This Row],[Column956]]</f>
        <v>98.07</v>
      </c>
      <c r="AJU29">
        <f>SOFR3mo_PX[[#This Row],[Column957]]</f>
        <v>98.045000000000002</v>
      </c>
      <c r="AJV29">
        <f>SOFR3mo_PX[[#This Row],[Column958]]</f>
        <v>97.99</v>
      </c>
      <c r="AJW29">
        <f>SOFR3mo_PX[[#This Row],[Column959]]</f>
        <v>98.025000000000006</v>
      </c>
      <c r="AJX29">
        <f>SOFR3mo_PX[[#This Row],[Column960]]</f>
        <v>98.05</v>
      </c>
      <c r="AJY29">
        <f>SOFR3mo_PX[[#This Row],[Column961]]</f>
        <v>98.15</v>
      </c>
      <c r="AJZ29">
        <f>SOFR3mo_PX[[#This Row],[Column962]]</f>
        <v>98.125</v>
      </c>
      <c r="AKA29">
        <f>SOFR3mo_PX[[#This Row],[Column963]]</f>
        <v>98.18</v>
      </c>
      <c r="AKB29">
        <f>SOFR3mo_PX[[#This Row],[Column964]]</f>
        <v>98.14</v>
      </c>
      <c r="AKC29">
        <f>SOFR3mo_PX[[#This Row],[Column965]]</f>
        <v>98.034999999999997</v>
      </c>
      <c r="AKD29">
        <f>SOFR3mo_PX[[#This Row],[Column966]]</f>
        <v>97.944999999999993</v>
      </c>
      <c r="AKE29">
        <f>SOFR3mo_PX[[#This Row],[Column967]]</f>
        <v>97.94</v>
      </c>
      <c r="AKF29">
        <f>SOFR3mo_PX[[#This Row],[Column968]]</f>
        <v>97.99</v>
      </c>
      <c r="AKG29">
        <f>SOFR3mo_PX[[#This Row],[Column969]]</f>
        <v>98.05</v>
      </c>
      <c r="AKH29">
        <f>SOFR3mo_PX[[#This Row],[Column970]]</f>
        <v>98.03</v>
      </c>
      <c r="AKI29">
        <f>SOFR3mo_PX[[#This Row],[Column971]]</f>
        <v>98.08</v>
      </c>
      <c r="AKJ29">
        <f>SOFR3mo_PX[[#This Row],[Column972]]</f>
        <v>98.055000000000007</v>
      </c>
      <c r="AKK29">
        <f>SOFR3mo_PX[[#This Row],[Column973]]</f>
        <v>97.995000000000005</v>
      </c>
      <c r="AKL29">
        <f>SOFR3mo_PX[[#This Row],[Column974]]</f>
        <v>97.984999999999999</v>
      </c>
      <c r="AKM29">
        <f>SOFR3mo_PX[[#This Row],[Column975]]</f>
        <v>98.01</v>
      </c>
      <c r="AKN29">
        <f>SOFR3mo_PX[[#This Row],[Column976]]</f>
        <v>98.105000000000004</v>
      </c>
      <c r="AKO29">
        <f>SOFR3mo_PX[[#This Row],[Column977]]</f>
        <v>98.155000000000001</v>
      </c>
      <c r="AKP29">
        <f>SOFR3mo_PX[[#This Row],[Column978]]</f>
        <v>98.234999999999999</v>
      </c>
      <c r="AKQ29">
        <f>SOFR3mo_PX[[#This Row],[Column979]]</f>
        <v>98.33</v>
      </c>
      <c r="AKR29">
        <f>SOFR3mo_PX[[#This Row],[Column980]]</f>
        <v>98.275000000000006</v>
      </c>
      <c r="AKS29">
        <f>SOFR3mo_PX[[#This Row],[Column981]]</f>
        <v>98.28</v>
      </c>
      <c r="AKT29">
        <f>SOFR3mo_PX[[#This Row],[Column982]]</f>
        <v>98.204999999999998</v>
      </c>
      <c r="AKU29">
        <f>SOFR3mo_PX[[#This Row],[Column983]]</f>
        <v>98.275000000000006</v>
      </c>
      <c r="AKV29">
        <f>SOFR3mo_PX[[#This Row],[Column984]]</f>
        <v>98.314999999999998</v>
      </c>
      <c r="AKW29">
        <f>SOFR3mo_PX[[#This Row],[Column985]]</f>
        <v>98.375</v>
      </c>
      <c r="AKX29">
        <f>SOFR3mo_PX[[#This Row],[Column986]]</f>
        <v>98.295000000000002</v>
      </c>
      <c r="AKY29">
        <f>SOFR3mo_PX[[#This Row],[Column987]]</f>
        <v>98.265000000000001</v>
      </c>
      <c r="AKZ29">
        <f>SOFR3mo_PX[[#This Row],[Column988]]</f>
        <v>98.34</v>
      </c>
      <c r="ALA29">
        <f>SOFR3mo_PX[[#This Row],[Column989]]</f>
        <v>98.3</v>
      </c>
      <c r="ALB29">
        <f>SOFR3mo_PX[[#This Row],[Column990]]</f>
        <v>98.25</v>
      </c>
      <c r="ALC29">
        <f>SOFR3mo_PX[[#This Row],[Column991]]</f>
        <v>98.3</v>
      </c>
      <c r="ALD29">
        <f>SOFR3mo_PX[[#This Row],[Column992]]</f>
        <v>98.3</v>
      </c>
      <c r="ALE29">
        <f>SOFR3mo_PX[[#This Row],[Column993]]</f>
        <v>98.355000000000004</v>
      </c>
      <c r="ALF29">
        <f>SOFR3mo_PX[[#This Row],[Column994]]</f>
        <v>98.344999999999999</v>
      </c>
      <c r="ALG29">
        <f>SOFR3mo_PX[[#This Row],[Column995]]</f>
        <v>98.33</v>
      </c>
      <c r="ALH29">
        <f>SOFR3mo_PX[[#This Row],[Column996]]</f>
        <v>98.364999999999995</v>
      </c>
      <c r="ALI29">
        <f>SOFR3mo_PX[[#This Row],[Column997]]</f>
        <v>98.355000000000004</v>
      </c>
      <c r="ALJ29">
        <f>SOFR3mo_PX[[#This Row],[Column998]]</f>
        <v>98.325000000000003</v>
      </c>
      <c r="ALK29">
        <f>SOFR3mo_PX[[#This Row],[Column999]]</f>
        <v>98.334999999999994</v>
      </c>
      <c r="ALL29">
        <f>SOFR3mo_PX[[#This Row],[Column1000]]</f>
        <v>98.41</v>
      </c>
      <c r="ALM29">
        <f>SOFR3mo_PX[[#This Row],[Column1001]]</f>
        <v>98.465000000000003</v>
      </c>
      <c r="ALN29">
        <f>SOFR3mo_PX[[#This Row],[Column1002]]</f>
        <v>98.454999999999998</v>
      </c>
      <c r="ALO29">
        <f>SOFR3mo_PX[[#This Row],[Column1003]]</f>
        <v>98.48</v>
      </c>
      <c r="ALP29">
        <f>SOFR3mo_PX[[#This Row],[Column1004]]</f>
        <v>98.43</v>
      </c>
      <c r="ALQ29">
        <f>SOFR3mo_PX[[#This Row],[Column1005]]</f>
        <v>98.47</v>
      </c>
      <c r="ALR29">
        <f>SOFR3mo_PX[[#This Row],[Column1006]]</f>
        <v>98.474999999999994</v>
      </c>
      <c r="ALS29">
        <f>SOFR3mo_PX[[#This Row],[Column1007]]</f>
        <v>98.424999999999997</v>
      </c>
      <c r="ALT29">
        <f>SOFR3mo_PX[[#This Row],[Column1008]]</f>
        <v>98.33</v>
      </c>
      <c r="ALU29">
        <f>SOFR3mo_PX[[#This Row],[Column1009]]</f>
        <v>98.344999999999999</v>
      </c>
      <c r="ALV29">
        <f>SOFR3mo_PX[[#This Row],[Column1010]]</f>
        <v>98.364999999999995</v>
      </c>
      <c r="ALW29">
        <f>SOFR3mo_PX[[#This Row],[Column1011]]</f>
        <v>98.38</v>
      </c>
      <c r="ALX29">
        <f>SOFR3mo_PX[[#This Row],[Column1012]]</f>
        <v>98.415000000000006</v>
      </c>
      <c r="ALY29">
        <f>SOFR3mo_PX[[#This Row],[Column1013]]</f>
        <v>98.51</v>
      </c>
      <c r="ALZ29">
        <f>SOFR3mo_PX[[#This Row],[Column1014]]</f>
        <v>98.53</v>
      </c>
      <c r="AMA29">
        <f>SOFR3mo_PX[[#This Row],[Column1015]]</f>
        <v>98.525000000000006</v>
      </c>
      <c r="AMB29">
        <f>SOFR3mo_PX[[#This Row],[Column1016]]</f>
        <v>98.53</v>
      </c>
      <c r="AMC29">
        <f>SOFR3mo_PX[[#This Row],[Column1017]]</f>
        <v>98.435000000000002</v>
      </c>
      <c r="AMD29">
        <f>SOFR3mo_PX[[#This Row],[Column1018]]</f>
        <v>98.415000000000006</v>
      </c>
      <c r="AME29">
        <f>SOFR3mo_PX[[#This Row],[Column1019]]</f>
        <v>98.44</v>
      </c>
      <c r="AMF29">
        <f>SOFR3mo_PX[[#This Row],[Column1020]]</f>
        <v>98.465000000000003</v>
      </c>
      <c r="AMG29">
        <f>SOFR3mo_PX[[#This Row],[Column1021]]</f>
        <v>98.42</v>
      </c>
      <c r="AMH29">
        <f>SOFR3mo_PX[[#This Row],[Column1022]]</f>
        <v>98.4</v>
      </c>
      <c r="AMI29">
        <f>SOFR3mo_PX[[#This Row],[Column1023]]</f>
        <v>98.424999999999997</v>
      </c>
      <c r="AMJ29">
        <f>SOFR3mo_PX[[#This Row],[Column1024]]</f>
        <v>98.42</v>
      </c>
      <c r="AMK29">
        <f>SOFR3mo_PX[[#This Row],[Column1025]]</f>
        <v>98.525000000000006</v>
      </c>
      <c r="AML29">
        <f>SOFR3mo_PX[[#This Row],[Column1026]]</f>
        <v>98.605000000000004</v>
      </c>
      <c r="AMM29">
        <f>SOFR3mo_PX[[#This Row],[Column1027]]</f>
        <v>98.43</v>
      </c>
      <c r="AMN29">
        <f>SOFR3mo_PX[[#This Row],[Column1028]]</f>
        <v>98.43</v>
      </c>
      <c r="AMO29">
        <f>SOFR3mo_PX[[#This Row],[Column1029]]</f>
        <v>98.32</v>
      </c>
      <c r="AMP29">
        <f>SOFR3mo_PX[[#This Row],[Column1030]]</f>
        <v>98.23</v>
      </c>
      <c r="AMQ29">
        <f>SOFR3mo_PX[[#This Row],[Column1031]]</f>
        <v>98.295000000000002</v>
      </c>
      <c r="AMR29">
        <f>SOFR3mo_PX[[#This Row],[Column1032]]</f>
        <v>98.29</v>
      </c>
      <c r="AMS29">
        <f>SOFR3mo_PX[[#This Row],[Column1033]]</f>
        <v>98.385000000000005</v>
      </c>
      <c r="AMT29">
        <f>SOFR3mo_PX[[#This Row],[Column1034]]</f>
        <v>98.37</v>
      </c>
      <c r="AMU29">
        <f>SOFR3mo_PX[[#This Row],[Column1035]]</f>
        <v>98.314999999999998</v>
      </c>
      <c r="AMV29">
        <f>SOFR3mo_PX[[#This Row],[Column1036]]</f>
        <v>98.23</v>
      </c>
      <c r="AMW29">
        <f>SOFR3mo_PX[[#This Row],[Column1037]]</f>
        <v>98.23</v>
      </c>
      <c r="AMX29">
        <f>SOFR3mo_PX[[#This Row],[Column1038]]</f>
        <v>98.165000000000006</v>
      </c>
      <c r="AMY29">
        <f>SOFR3mo_PX[[#This Row],[Column1039]]</f>
        <v>98.2</v>
      </c>
      <c r="AMZ29">
        <f>SOFR3mo_PX[[#This Row],[Column1040]]</f>
        <v>98.13</v>
      </c>
      <c r="ANA29">
        <f>SOFR3mo_PX[[#This Row],[Column1041]]</f>
        <v>98.12</v>
      </c>
      <c r="ANB29">
        <f>SOFR3mo_PX[[#This Row],[Column1042]]</f>
        <v>98.034999999999997</v>
      </c>
      <c r="ANC29">
        <f>SOFR3mo_PX[[#This Row],[Column1043]]</f>
        <v>98.08</v>
      </c>
      <c r="AND29">
        <f>SOFR3mo_PX[[#This Row],[Column1044]]</f>
        <v>98.07</v>
      </c>
      <c r="ANE29">
        <f>SOFR3mo_PX[[#This Row],[Column1045]]</f>
        <v>98.105000000000004</v>
      </c>
      <c r="ANF29">
        <f>SOFR3mo_PX[[#This Row],[Column1046]]</f>
        <v>98.1</v>
      </c>
      <c r="ANG29">
        <f>SOFR3mo_PX[[#This Row],[Column1047]]</f>
        <v>98.16</v>
      </c>
      <c r="ANH29">
        <f>SOFR3mo_PX[[#This Row],[Column1048]]</f>
        <v>98.055000000000007</v>
      </c>
      <c r="ANI29">
        <f>SOFR3mo_PX[[#This Row],[Column1049]]</f>
        <v>97.915000000000006</v>
      </c>
      <c r="ANJ29">
        <f>SOFR3mo_PX[[#This Row],[Column1050]]</f>
        <v>98.015000000000001</v>
      </c>
      <c r="ANK29">
        <f>SOFR3mo_PX[[#This Row],[Column1051]]</f>
        <v>98</v>
      </c>
      <c r="ANL29">
        <f>SOFR3mo_PX[[#This Row],[Column1052]]</f>
        <v>97.974999999999994</v>
      </c>
      <c r="ANM29">
        <f>SOFR3mo_PX[[#This Row],[Column1053]]</f>
        <v>97.995000000000005</v>
      </c>
      <c r="ANN29">
        <f>SOFR3mo_PX[[#This Row],[Column1054]]</f>
        <v>97.96</v>
      </c>
      <c r="ANO29">
        <f>SOFR3mo_PX[[#This Row],[Column1055]]</f>
        <v>97.91</v>
      </c>
      <c r="ANP29">
        <f>SOFR3mo_PX[[#This Row],[Column1056]]</f>
        <v>97.864999999999995</v>
      </c>
      <c r="ANQ29">
        <f>SOFR3mo_PX[[#This Row],[Column1057]]</f>
        <v>97.855000000000004</v>
      </c>
      <c r="ANR29">
        <f>SOFR3mo_PX[[#This Row],[Column1058]]</f>
        <v>97.76</v>
      </c>
      <c r="ANS29">
        <f>SOFR3mo_PX[[#This Row],[Column1059]]</f>
        <v>97.81</v>
      </c>
      <c r="ANT29">
        <f>SOFR3mo_PX[[#This Row],[Column1060]]</f>
        <v>97.775000000000006</v>
      </c>
      <c r="ANU29">
        <f>SOFR3mo_PX[[#This Row],[Column1061]]</f>
        <v>97.82</v>
      </c>
      <c r="ANV29">
        <f>SOFR3mo_PX[[#This Row],[Column1062]]</f>
        <v>97.82</v>
      </c>
      <c r="ANW29">
        <f>SOFR3mo_PX[[#This Row],[Column1063]]</f>
        <v>97.81</v>
      </c>
      <c r="ANX29">
        <f>SOFR3mo_PX[[#This Row],[Column1064]]</f>
        <v>97.86</v>
      </c>
      <c r="ANY29">
        <f>SOFR3mo_PX[[#This Row],[Column1065]]</f>
        <v>97.88</v>
      </c>
      <c r="ANZ29">
        <f>SOFR3mo_PX[[#This Row],[Column1066]]</f>
        <v>97.83</v>
      </c>
      <c r="AOA29">
        <f>SOFR3mo_PX[[#This Row],[Column1067]]</f>
        <v>97.79</v>
      </c>
      <c r="AOB29">
        <f>SOFR3mo_PX[[#This Row],[Column1068]]</f>
        <v>97.795000000000002</v>
      </c>
      <c r="AOC29">
        <f>SOFR3mo_PX[[#This Row],[Column1069]]</f>
        <v>97.734999999999999</v>
      </c>
      <c r="AOD29">
        <f>SOFR3mo_PX[[#This Row],[Column1070]]</f>
        <v>97.775000000000006</v>
      </c>
      <c r="AOE29">
        <f>SOFR3mo_PX[[#This Row],[Column1071]]</f>
        <v>97.78</v>
      </c>
      <c r="AOF29">
        <f>SOFR3mo_PX[[#This Row],[Column1072]]</f>
        <v>97.79</v>
      </c>
      <c r="AOG29">
        <f>SOFR3mo_PX[[#This Row],[Column1073]]</f>
        <v>97.745000000000005</v>
      </c>
      <c r="AOH29">
        <f>SOFR3mo_PX[[#This Row],[Column1074]]</f>
        <v>97.69</v>
      </c>
      <c r="AOI29">
        <f>SOFR3mo_PX[[#This Row],[Column1075]]</f>
        <v>97.784999999999997</v>
      </c>
      <c r="AOJ29">
        <f>SOFR3mo_PX[[#This Row],[Column1076]]</f>
        <v>97.81</v>
      </c>
      <c r="AOK29">
        <f>SOFR3mo_PX[[#This Row],[Column1077]]</f>
        <v>97.84</v>
      </c>
      <c r="AOL29">
        <f>SOFR3mo_PX[[#This Row],[Column1078]]</f>
        <v>97.855000000000004</v>
      </c>
      <c r="AOM29">
        <f>SOFR3mo_PX[[#This Row],[Column1079]]</f>
        <v>97.82</v>
      </c>
      <c r="AON29">
        <f>SOFR3mo_PX[[#This Row],[Column1080]]</f>
        <v>97.795000000000002</v>
      </c>
      <c r="AOO29">
        <f>SOFR3mo_PX[[#This Row],[Column1081]]</f>
        <v>97.77</v>
      </c>
      <c r="AOP29">
        <f>SOFR3mo_PX[[#This Row],[Column1082]]</f>
        <v>97.734999999999999</v>
      </c>
      <c r="AOQ29">
        <f>SOFR3mo_PX[[#This Row],[Column1083]]</f>
        <v>97.734999999999999</v>
      </c>
      <c r="AOR29">
        <f>SOFR3mo_PX[[#This Row],[Column1084]]</f>
        <v>97.76</v>
      </c>
      <c r="AOS29">
        <f>SOFR3mo_PX[[#This Row],[Column1085]]</f>
        <v>97.77</v>
      </c>
      <c r="AOT29">
        <f>SOFR3mo_PX[[#This Row],[Column1086]]</f>
        <v>97.83</v>
      </c>
      <c r="AOU29">
        <f>SOFR3mo_PX[[#This Row],[Column1087]]</f>
        <v>97.84</v>
      </c>
      <c r="AOV29">
        <f>SOFR3mo_PX[[#This Row],[Column1088]]</f>
        <v>97.864999999999995</v>
      </c>
      <c r="AOW29">
        <f>SOFR3mo_PX[[#This Row],[Column1089]]</f>
        <v>97.85</v>
      </c>
      <c r="AOX29">
        <f>SOFR3mo_PX[[#This Row],[Column1090]]</f>
        <v>97.855000000000004</v>
      </c>
      <c r="AOY29">
        <f>SOFR3mo_PX[[#This Row],[Column1091]]</f>
        <v>97.83</v>
      </c>
      <c r="AOZ29">
        <f>SOFR3mo_PX[[#This Row],[Column1092]]</f>
        <v>97.844999999999999</v>
      </c>
      <c r="APA29">
        <f>SOFR3mo_PX[[#This Row],[Column1093]]</f>
        <v>97.885000000000005</v>
      </c>
      <c r="APB29">
        <f>SOFR3mo_PX[[#This Row],[Column1094]]</f>
        <v>97.74</v>
      </c>
      <c r="APC29">
        <f>SOFR3mo_PX[[#This Row],[Column1095]]</f>
        <v>97.73</v>
      </c>
      <c r="APD29">
        <f>SOFR3mo_PX[[#This Row],[Column1096]]</f>
        <v>97.635000000000005</v>
      </c>
      <c r="APE29">
        <f>SOFR3mo_PX[[#This Row],[Column1097]]</f>
        <v>97.644999999999996</v>
      </c>
      <c r="APF29">
        <f>SOFR3mo_PX[[#This Row],[Column1098]]</f>
        <v>97.674999999999997</v>
      </c>
      <c r="APG29">
        <f>SOFR3mo_PX[[#This Row],[Column1099]]</f>
        <v>97.65</v>
      </c>
      <c r="APH29">
        <f>SOFR3mo_PX[[#This Row],[Column1100]]</f>
        <v>97.625</v>
      </c>
      <c r="API29">
        <f>SOFR3mo_PX[[#This Row],[Column1101]]</f>
        <v>97.52</v>
      </c>
      <c r="APJ29">
        <f>SOFR3mo_PX[[#This Row],[Column1102]]</f>
        <v>97.504999999999995</v>
      </c>
      <c r="APK29">
        <f>SOFR3mo_PX[[#This Row],[Column1103]]</f>
        <v>97.57</v>
      </c>
      <c r="APL29">
        <f>SOFR3mo_PX[[#This Row],[Column1104]]</f>
        <v>97.46</v>
      </c>
      <c r="APM29">
        <f>SOFR3mo_PX[[#This Row],[Column1105]]</f>
        <v>97.495000000000005</v>
      </c>
      <c r="APN29">
        <f>SOFR3mo_PX[[#This Row],[Column1106]]</f>
        <v>97.52</v>
      </c>
      <c r="APO29">
        <f>SOFR3mo_PX[[#This Row],[Column1107]]</f>
        <v>97.6</v>
      </c>
      <c r="APP29">
        <f>SOFR3mo_PX[[#This Row],[Column1108]]</f>
        <v>97.66</v>
      </c>
      <c r="APQ29">
        <f>SOFR3mo_PX[[#This Row],[Column1109]]</f>
        <v>97.64</v>
      </c>
      <c r="APR29">
        <f>SOFR3mo_PX[[#This Row],[Column1110]]</f>
        <v>97.62</v>
      </c>
      <c r="APS29">
        <f>SOFR3mo_PX[[#This Row],[Column1111]]</f>
        <v>97.56</v>
      </c>
      <c r="APT29">
        <f>SOFR3mo_PX[[#This Row],[Column1112]]</f>
        <v>97.515000000000001</v>
      </c>
      <c r="APU29">
        <f>SOFR3mo_PX[[#This Row],[Column1113]]</f>
        <v>97.67</v>
      </c>
      <c r="APV29">
        <f>SOFR3mo_PX[[#This Row],[Column1114]]</f>
        <v>97.86</v>
      </c>
      <c r="APW29">
        <f>SOFR3mo_PX[[#This Row],[Column1115]]</f>
        <v>97.855000000000004</v>
      </c>
      <c r="APX29">
        <f>SOFR3mo_PX[[#This Row],[Column1116]]</f>
        <v>97.85</v>
      </c>
      <c r="APY29">
        <f>SOFR3mo_PX[[#This Row],[Column1117]]</f>
        <v>97.834999999999994</v>
      </c>
      <c r="APZ29">
        <f>SOFR3mo_PX[[#This Row],[Column1118]]</f>
        <v>97.905000000000001</v>
      </c>
      <c r="AQA29">
        <f>SOFR3mo_PX[[#This Row],[Column1119]]</f>
        <v>97.915000000000006</v>
      </c>
      <c r="AQB29">
        <f>SOFR3mo_PX[[#This Row],[Column1120]]</f>
        <v>97.885000000000005</v>
      </c>
      <c r="AQC29">
        <f>SOFR3mo_PX[[#This Row],[Column1121]]</f>
        <v>97.83</v>
      </c>
      <c r="AQD29">
        <f>SOFR3mo_PX[[#This Row],[Column1122]]</f>
        <v>97.894999999999996</v>
      </c>
      <c r="AQE29">
        <f>SOFR3mo_PX[[#This Row],[Column1123]]</f>
        <v>97.885000000000005</v>
      </c>
      <c r="AQF29">
        <f>SOFR3mo_PX[[#This Row],[Column1124]]</f>
        <v>97.95</v>
      </c>
      <c r="AQG29">
        <f>SOFR3mo_PX[[#This Row],[Column1125]]</f>
        <v>98.004999999999995</v>
      </c>
      <c r="AQH29">
        <f>SOFR3mo_PX[[#This Row],[Column1126]]</f>
        <v>97.965000000000003</v>
      </c>
      <c r="AQI29">
        <f>SOFR3mo_PX[[#This Row],[Column1127]]</f>
        <v>97.894999999999996</v>
      </c>
      <c r="AQJ29">
        <f>SOFR3mo_PX[[#This Row],[Column1128]]</f>
        <v>97.9</v>
      </c>
      <c r="AQK29">
        <f>SOFR3mo_PX[[#This Row],[Column1129]]</f>
        <v>97.995000000000005</v>
      </c>
      <c r="AQL29">
        <f>SOFR3mo_PX[[#This Row],[Column1130]]</f>
        <v>98.02</v>
      </c>
      <c r="AQM29">
        <f>SOFR3mo_PX[[#This Row],[Column1131]]</f>
        <v>98.01</v>
      </c>
      <c r="AQN29">
        <f>SOFR3mo_PX[[#This Row],[Column1132]]</f>
        <v>98.045000000000002</v>
      </c>
      <c r="AQO29">
        <f>SOFR3mo_PX[[#This Row],[Column1133]]</f>
        <v>98.09</v>
      </c>
      <c r="AQP29">
        <f>SOFR3mo_PX[[#This Row],[Column1134]]</f>
        <v>98.12</v>
      </c>
      <c r="AQQ29">
        <f>SOFR3mo_PX[[#This Row],[Column1135]]</f>
        <v>98.144999999999996</v>
      </c>
      <c r="AQR29">
        <f>SOFR3mo_PX[[#This Row],[Column1136]]</f>
        <v>98.265000000000001</v>
      </c>
      <c r="AQS29">
        <f>SOFR3mo_PX[[#This Row],[Column1137]]</f>
        <v>98.265000000000001</v>
      </c>
      <c r="AQT29">
        <f>SOFR3mo_PX[[#This Row],[Column1138]]</f>
        <v>98.355000000000004</v>
      </c>
      <c r="AQU29">
        <f>SOFR3mo_PX[[#This Row],[Column1139]]</f>
        <v>98.364999999999995</v>
      </c>
      <c r="AQV29">
        <f>SOFR3mo_PX[[#This Row],[Column1140]]</f>
        <v>98.35</v>
      </c>
      <c r="AQW29">
        <f>SOFR3mo_PX[[#This Row],[Column1141]]</f>
        <v>98.34</v>
      </c>
      <c r="AQX29">
        <f>SOFR3mo_PX[[#This Row],[Column1142]]</f>
        <v>98.36</v>
      </c>
      <c r="AQY29">
        <f>SOFR3mo_PX[[#This Row],[Column1143]]</f>
        <v>98.364999999999995</v>
      </c>
      <c r="AQZ29">
        <f>SOFR3mo_PX[[#This Row],[Column1144]]</f>
        <v>98.465000000000003</v>
      </c>
      <c r="ARA29">
        <f>SOFR3mo_PX[[#This Row],[Column1145]]</f>
        <v>98.48</v>
      </c>
      <c r="ARB29">
        <f>SOFR3mo_PX[[#This Row],[Column1146]]</f>
        <v>98.545000000000002</v>
      </c>
      <c r="ARC29">
        <f>SOFR3mo_PX[[#This Row],[Column1147]]</f>
        <v>98.545000000000002</v>
      </c>
      <c r="ARD29">
        <f>SOFR3mo_PX[[#This Row],[Column1148]]</f>
        <v>98.55</v>
      </c>
      <c r="ARE29">
        <f>SOFR3mo_PX[[#This Row],[Column1149]]</f>
        <v>98.545000000000002</v>
      </c>
      <c r="ARF29">
        <f>SOFR3mo_PX[[#This Row],[Column1150]]</f>
        <v>98.54</v>
      </c>
      <c r="ARG29">
        <f>SOFR3mo_PX[[#This Row],[Column1151]]</f>
        <v>98.545000000000002</v>
      </c>
      <c r="ARH29">
        <f>SOFR3mo_PX[[#This Row],[Column1152]]</f>
        <v>98.545000000000002</v>
      </c>
      <c r="ARI29">
        <f>SOFR3mo_PX[[#This Row],[Column1153]]</f>
        <v>98.54</v>
      </c>
      <c r="ARJ29">
        <f>SOFR3mo_PX[[#This Row],[Column1154]]</f>
        <v>98.555000000000007</v>
      </c>
      <c r="ARK29">
        <f>SOFR3mo_PX[[#This Row],[Column1155]]</f>
        <v>98.555000000000007</v>
      </c>
      <c r="ARL29">
        <f>SOFR3mo_PX[[#This Row],[Column1156]]</f>
        <v>98.545000000000002</v>
      </c>
      <c r="ARM29">
        <f>SOFR3mo_PX[[#This Row],[Column1157]]</f>
        <v>98.545000000000002</v>
      </c>
      <c r="ARN29">
        <f>SOFR3mo_PX[[#This Row],[Column1158]]</f>
        <v>98.58</v>
      </c>
      <c r="ARO29">
        <f>SOFR3mo_PX[[#This Row],[Column1159]]</f>
        <v>98.564999999999998</v>
      </c>
      <c r="ARP29">
        <f>SOFR3mo_PX[[#This Row],[Column1160]]</f>
        <v>98.54</v>
      </c>
      <c r="ARQ29">
        <f>SOFR3mo_PX[[#This Row],[Column1161]]</f>
        <v>98.545000000000002</v>
      </c>
      <c r="ARR29">
        <f>SOFR3mo_PX[[#This Row],[Column1162]]</f>
        <v>98.55</v>
      </c>
      <c r="ARS29">
        <f>SOFR3mo_PX[[#This Row],[Column1163]]</f>
        <v>98.59</v>
      </c>
      <c r="ART29">
        <f>SOFR3mo_PX[[#This Row],[Column1164]]</f>
        <v>98.77</v>
      </c>
      <c r="ARU29">
        <f>SOFR3mo_PX[[#This Row],[Column1165]]</f>
        <v>98.814999999999998</v>
      </c>
      <c r="ARV29">
        <f>SOFR3mo_PX[[#This Row],[Column1166]]</f>
        <v>98.825000000000003</v>
      </c>
      <c r="ARW29">
        <f>SOFR3mo_PX[[#This Row],[Column1167]]</f>
        <v>98.814999999999998</v>
      </c>
      <c r="ARX29">
        <f>SOFR3mo_PX[[#This Row],[Column1168]]</f>
        <v>98.814999999999998</v>
      </c>
      <c r="ARY29">
        <f>SOFR3mo_PX[[#This Row],[Column1169]]</f>
        <v>98.805000000000007</v>
      </c>
      <c r="ARZ29">
        <f>SOFR3mo_PX[[#This Row],[Column1170]]</f>
        <v>98.79</v>
      </c>
      <c r="ASA29">
        <f>SOFR3mo_PX[[#This Row],[Column1171]]</f>
        <v>98.784999999999997</v>
      </c>
      <c r="ASB29">
        <f>SOFR3mo_PX[[#This Row],[Column1172]]</f>
        <v>98.79</v>
      </c>
      <c r="ASC29">
        <f>SOFR3mo_PX[[#This Row],[Column1173]]</f>
        <v>98.79</v>
      </c>
      <c r="ASD29">
        <f>SOFR3mo_PX[[#This Row],[Column1174]]</f>
        <v>98.79</v>
      </c>
      <c r="ASE29">
        <f>SOFR3mo_PX[[#This Row],[Column1175]]</f>
        <v>98.795000000000002</v>
      </c>
      <c r="ASF29">
        <f>SOFR3mo_PX[[#This Row],[Column1176]]</f>
        <v>98.79</v>
      </c>
      <c r="ASG29">
        <f>SOFR3mo_PX[[#This Row],[Column1177]]</f>
        <v>98.79</v>
      </c>
      <c r="ASH29">
        <f>SOFR3mo_PX[[#This Row],[Column1178]]</f>
        <v>98.88</v>
      </c>
      <c r="ASI29">
        <f>SOFR3mo_PX[[#This Row],[Column1179]]</f>
        <v>98.89</v>
      </c>
      <c r="ASJ29">
        <f>SOFR3mo_PX[[#This Row],[Column1180]]</f>
        <v>98.944999999999993</v>
      </c>
      <c r="ASK29">
        <f>SOFR3mo_PX[[#This Row],[Column1181]]</f>
        <v>98.944999999999993</v>
      </c>
      <c r="ASL29">
        <f>SOFR3mo_PX[[#This Row],[Column1182]]</f>
        <v>98.944999999999993</v>
      </c>
      <c r="ASM29">
        <f>SOFR3mo_PX[[#This Row],[Column1183]]</f>
        <v>99.105000000000004</v>
      </c>
      <c r="ASN29">
        <f>SOFR3mo_PX[[#This Row],[Column1184]]</f>
        <v>99.484999999999999</v>
      </c>
      <c r="ASO29">
        <f>SOFR3mo_PX[[#This Row],[Column1185]]</f>
        <v>99.59</v>
      </c>
      <c r="ASP29">
        <f>SOFR3mo_PX[[#This Row],[Column1186]]</f>
        <v>99.59</v>
      </c>
      <c r="ASQ29">
        <f>SOFR3mo_PX[[#This Row],[Column1187]]</f>
        <v>99.6</v>
      </c>
      <c r="ASR29">
        <f>SOFR3mo_PX[[#This Row],[Column1188]]</f>
        <v>99.614999999999995</v>
      </c>
      <c r="ASS29">
        <f>SOFR3mo_PX[[#This Row],[Column1189]]</f>
        <v>99.62</v>
      </c>
      <c r="AST29">
        <f>SOFR3mo_PX[[#This Row],[Column1190]]</f>
        <v>99.625</v>
      </c>
      <c r="ASU29">
        <f>SOFR3mo_PX[[#This Row],[Column1191]]</f>
        <v>99.65</v>
      </c>
      <c r="ASV29">
        <f>SOFR3mo_PX[[#This Row],[Column1192]]</f>
        <v>99.655000000000001</v>
      </c>
      <c r="ASW29">
        <f>SOFR3mo_PX[[#This Row],[Column1193]]</f>
        <v>99.65</v>
      </c>
      <c r="ASX29">
        <f>SOFR3mo_PX[[#This Row],[Column1194]]</f>
        <v>99.65</v>
      </c>
      <c r="ASY29">
        <f>SOFR3mo_PX[[#This Row],[Column1195]]</f>
        <v>99.644999999999996</v>
      </c>
      <c r="ASZ29">
        <f>SOFR3mo_PX[[#This Row],[Column1196]]</f>
        <v>99.64</v>
      </c>
      <c r="ATA29">
        <f>SOFR3mo_PX[[#This Row],[Column1197]]</f>
        <v>99.655000000000001</v>
      </c>
      <c r="ATB29">
        <f>SOFR3mo_PX[[#This Row],[Column1198]]</f>
        <v>99.65</v>
      </c>
      <c r="ATC29">
        <f>SOFR3mo_PX[[#This Row],[Column1199]]</f>
        <v>99.65</v>
      </c>
      <c r="ATD29">
        <f>SOFR3mo_PX[[#This Row],[Column1200]]</f>
        <v>99.655000000000001</v>
      </c>
      <c r="ATE29">
        <f>SOFR3mo_PX[[#This Row],[Column1201]]</f>
        <v>99.644999999999996</v>
      </c>
      <c r="ATF29">
        <f>SOFR3mo_PX[[#This Row],[Column1202]]</f>
        <v>99.644999999999996</v>
      </c>
      <c r="ATG29">
        <f>SOFR3mo_PX[[#This Row],[Column1203]]</f>
        <v>99.64</v>
      </c>
      <c r="ATH29">
        <f>SOFR3mo_PX[[#This Row],[Column1204]]</f>
        <v>99.62</v>
      </c>
      <c r="ATI29">
        <f>SOFR3mo_PX[[#This Row],[Column1205]]</f>
        <v>99.62</v>
      </c>
      <c r="ATJ29">
        <f>SOFR3mo_PX[[#This Row],[Column1206]]</f>
        <v>99.655000000000001</v>
      </c>
      <c r="ATK29">
        <f>SOFR3mo_PX[[#This Row],[Column1207]]</f>
        <v>99.7</v>
      </c>
      <c r="ATL29">
        <f>SOFR3mo_PX[[#This Row],[Column1208]]</f>
        <v>99.704999999999998</v>
      </c>
      <c r="ATM29">
        <f>SOFR3mo_PX[[#This Row],[Column1209]]</f>
        <v>99.724999999999994</v>
      </c>
      <c r="ATN29">
        <f>SOFR3mo_PX[[#This Row],[Column1210]]</f>
        <v>99.694999999999993</v>
      </c>
      <c r="ATO29">
        <f>SOFR3mo_PX[[#This Row],[Column1211]]</f>
        <v>99.704999999999998</v>
      </c>
      <c r="ATP29">
        <f>SOFR3mo_PX[[#This Row],[Column1212]]</f>
        <v>99.7</v>
      </c>
      <c r="ATQ29">
        <f>SOFR3mo_PX[[#This Row],[Column1213]]</f>
        <v>99.704999999999998</v>
      </c>
      <c r="ATR29">
        <f>SOFR3mo_PX[[#This Row],[Column1214]]</f>
        <v>99.715000000000003</v>
      </c>
      <c r="ATS29">
        <f>SOFR3mo_PX[[#This Row],[Column1215]]</f>
        <v>99.715000000000003</v>
      </c>
      <c r="ATT29">
        <f>SOFR3mo_PX[[#This Row],[Column1216]]</f>
        <v>99.71</v>
      </c>
      <c r="ATU29">
        <f>SOFR3mo_PX[[#This Row],[Column1217]]</f>
        <v>99.7</v>
      </c>
      <c r="ATV29">
        <f>SOFR3mo_PX[[#This Row],[Column1218]]</f>
        <v>99.69</v>
      </c>
      <c r="ATW29">
        <f>SOFR3mo_PX[[#This Row],[Column1219]]</f>
        <v>99.715000000000003</v>
      </c>
      <c r="ATX29">
        <f>SOFR3mo_PX[[#This Row],[Column1220]]</f>
        <v>99.715000000000003</v>
      </c>
      <c r="ATY29">
        <f>SOFR3mo_PX[[#This Row],[Column1221]]</f>
        <v>99.724999999999994</v>
      </c>
      <c r="ATZ29">
        <f>SOFR3mo_PX[[#This Row],[Column1222]]</f>
        <v>99.734999999999999</v>
      </c>
      <c r="AUA29">
        <f>SOFR3mo_PX[[#This Row],[Column1223]]</f>
        <v>99.73</v>
      </c>
      <c r="AUB29">
        <f>SOFR3mo_PX[[#This Row],[Column1224]]</f>
        <v>99.734999999999999</v>
      </c>
      <c r="AUC29">
        <f>SOFR3mo_PX[[#This Row],[Column1225]]</f>
        <v>99.73</v>
      </c>
      <c r="AUD29">
        <f>SOFR3mo_PX[[#This Row],[Column1226]]</f>
        <v>99.715000000000003</v>
      </c>
      <c r="AUE29">
        <f>SOFR3mo_PX[[#This Row],[Column1227]]</f>
        <v>99.71</v>
      </c>
      <c r="AUF29">
        <f>SOFR3mo_PX[[#This Row],[Column1228]]</f>
        <v>99.724999999999994</v>
      </c>
      <c r="AUG29">
        <f>SOFR3mo_PX[[#This Row],[Column1229]]</f>
        <v>99.72</v>
      </c>
      <c r="AUH29">
        <f>SOFR3mo_PX[[#This Row],[Column1230]]</f>
        <v>99.745000000000005</v>
      </c>
      <c r="AUI29">
        <f>SOFR3mo_PX[[#This Row],[Column1231]]</f>
        <v>99.745000000000005</v>
      </c>
      <c r="AUJ29">
        <f>SOFR3mo_PX[[#This Row],[Column1232]]</f>
        <v>99.795000000000002</v>
      </c>
      <c r="AUK29">
        <f>SOFR3mo_PX[[#This Row],[Column1233]]</f>
        <v>99.795000000000002</v>
      </c>
      <c r="AUL29">
        <f>SOFR3mo_PX[[#This Row],[Column1234]]</f>
        <v>99.795000000000002</v>
      </c>
      <c r="AUM29">
        <f>SOFR3mo_PX[[#This Row],[Column1235]]</f>
        <v>99.8</v>
      </c>
      <c r="AUN29">
        <f>SOFR3mo_PX[[#This Row],[Column1236]]</f>
        <v>99.8</v>
      </c>
      <c r="AUO29">
        <f>SOFR3mo_PX[[#This Row],[Column1237]]</f>
        <v>99.81</v>
      </c>
      <c r="AUP29">
        <f>SOFR3mo_PX[[#This Row],[Column1238]]</f>
        <v>99.81</v>
      </c>
      <c r="AUQ29">
        <f>SOFR3mo_PX[[#This Row],[Column1239]]</f>
        <v>99.814999999999998</v>
      </c>
      <c r="AUR29">
        <f>SOFR3mo_PX[[#This Row],[Column1240]]</f>
        <v>99.814999999999998</v>
      </c>
      <c r="AUS29">
        <f>SOFR3mo_PX[[#This Row],[Column1241]]</f>
        <v>99.805000000000007</v>
      </c>
      <c r="AUT29">
        <f>SOFR3mo_PX[[#This Row],[Column1242]]</f>
        <v>99.784999999999997</v>
      </c>
      <c r="AUU29">
        <f>SOFR3mo_PX[[#This Row],[Column1243]]</f>
        <v>99.8</v>
      </c>
      <c r="AUV29">
        <f>SOFR3mo_PX[[#This Row],[Column1244]]</f>
        <v>99.795000000000002</v>
      </c>
      <c r="AUW29">
        <f>SOFR3mo_PX[[#This Row],[Column1245]]</f>
        <v>99.825000000000003</v>
      </c>
      <c r="AUX29">
        <f>SOFR3mo_PX[[#This Row],[Column1246]]</f>
        <v>99.83</v>
      </c>
      <c r="AUY29">
        <f>SOFR3mo_PX[[#This Row],[Column1247]]</f>
        <v>99.82</v>
      </c>
      <c r="AUZ29">
        <f>SOFR3mo_PX[[#This Row],[Column1248]]</f>
        <v>99.795000000000002</v>
      </c>
      <c r="AVA29">
        <f>SOFR3mo_PX[[#This Row],[Column1249]]</f>
        <v>99.79</v>
      </c>
      <c r="AVB29">
        <f>SOFR3mo_PX[[#This Row],[Column1250]]</f>
        <v>99.795000000000002</v>
      </c>
      <c r="AVC29">
        <f>SOFR3mo_PX[[#This Row],[Column1251]]</f>
        <v>99.784999999999997</v>
      </c>
      <c r="AVD29">
        <f>SOFR3mo_PX[[#This Row],[Column1252]]</f>
        <v>99.784999999999997</v>
      </c>
      <c r="AVE29">
        <f>SOFR3mo_PX[[#This Row],[Column1253]]</f>
        <v>99.814999999999998</v>
      </c>
      <c r="AVF29">
        <f>SOFR3mo_PX[[#This Row],[Column1254]]</f>
        <v>99.805000000000007</v>
      </c>
      <c r="AVG29">
        <f>SOFR3mo_PX[[#This Row],[Column1255]]</f>
        <v>99.814999999999998</v>
      </c>
      <c r="AVH29">
        <f>SOFR3mo_PX[[#This Row],[Column1256]]</f>
        <v>99.81</v>
      </c>
      <c r="AVI29">
        <f>SOFR3mo_PX[[#This Row],[Column1257]]</f>
        <v>99.805000000000007</v>
      </c>
      <c r="AVJ29">
        <f>SOFR3mo_PX[[#This Row],[Column1258]]</f>
        <v>99.784999999999997</v>
      </c>
      <c r="AVK29">
        <f>SOFR3mo_PX[[#This Row],[Column1259]]</f>
        <v>99.795000000000002</v>
      </c>
      <c r="AVL29">
        <f>SOFR3mo_PX[[#This Row],[Column1260]]</f>
        <v>99.8</v>
      </c>
      <c r="AVM29">
        <f>SOFR3mo_PX[[#This Row],[Column1261]]</f>
        <v>99.81</v>
      </c>
      <c r="AVN29">
        <f>SOFR3mo_PX[[#This Row],[Column1262]]</f>
        <v>99.805000000000007</v>
      </c>
      <c r="AVO29">
        <f>SOFR3mo_PX[[#This Row],[Column1263]]</f>
        <v>99.814999999999998</v>
      </c>
      <c r="AVP29">
        <f>SOFR3mo_PX[[#This Row],[Column1264]]</f>
        <v>99.814999999999998</v>
      </c>
      <c r="AVQ29">
        <f>SOFR3mo_PX[[#This Row],[Column1265]]</f>
        <v>99.805000000000007</v>
      </c>
      <c r="AVR29">
        <f>SOFR3mo_PX[[#This Row],[Column1266]]</f>
        <v>99.79</v>
      </c>
      <c r="AVS29">
        <f>SOFR3mo_PX[[#This Row],[Column1267]]</f>
        <v>99.78</v>
      </c>
      <c r="AVT29">
        <f>SOFR3mo_PX[[#This Row],[Column1268]]</f>
        <v>99.78</v>
      </c>
      <c r="AVU29">
        <f>SOFR3mo_PX[[#This Row],[Column1269]]</f>
        <v>99.784999999999997</v>
      </c>
      <c r="AVV29">
        <f>SOFR3mo_PX[[#This Row],[Column1270]]</f>
        <v>99.784999999999997</v>
      </c>
      <c r="AVW29">
        <f>SOFR3mo_PX[[#This Row],[Column1271]]</f>
        <v>99.82</v>
      </c>
      <c r="AVX29">
        <f>SOFR3mo_PX[[#This Row],[Column1272]]</f>
        <v>99.83</v>
      </c>
      <c r="AVY29">
        <f>SOFR3mo_PX[[#This Row],[Column1273]]</f>
        <v>99.85</v>
      </c>
      <c r="AVZ29">
        <f>SOFR3mo_PX[[#This Row],[Column1274]]</f>
        <v>99.855000000000004</v>
      </c>
      <c r="AWA29">
        <f>SOFR3mo_PX[[#This Row],[Column1275]]</f>
        <v>99.864999999999995</v>
      </c>
      <c r="AWB29">
        <f>SOFR3mo_PX[[#This Row],[Column1276]]</f>
        <v>99.855000000000004</v>
      </c>
      <c r="AWC29">
        <f>SOFR3mo_PX[[#This Row],[Column1277]]</f>
        <v>99.85</v>
      </c>
      <c r="AWD29">
        <f>SOFR3mo_PX[[#This Row],[Column1278]]</f>
        <v>99.844999999999999</v>
      </c>
      <c r="AWE29">
        <f>SOFR3mo_PX[[#This Row],[Column1279]]</f>
        <v>99.825000000000003</v>
      </c>
      <c r="AWF29">
        <f>SOFR3mo_PX[[#This Row],[Column1280]]</f>
        <v>99.814999999999998</v>
      </c>
      <c r="AWG29">
        <f>SOFR3mo_PX[[#This Row],[Column1281]]</f>
        <v>99.81</v>
      </c>
      <c r="AWH29">
        <f>SOFR3mo_PX[[#This Row],[Column1282]]</f>
        <v>99.82</v>
      </c>
      <c r="AWI29">
        <f>SOFR3mo_PX[[#This Row],[Column1283]]</f>
        <v>99.825000000000003</v>
      </c>
      <c r="AWJ29">
        <f>SOFR3mo_PX[[#This Row],[Column1284]]</f>
        <v>99.825000000000003</v>
      </c>
      <c r="AWK29">
        <f>SOFR3mo_PX[[#This Row],[Column1285]]</f>
        <v>99.82</v>
      </c>
      <c r="AWL29">
        <f>SOFR3mo_PX[[#This Row],[Column1286]]</f>
        <v>99.82</v>
      </c>
      <c r="AWM29">
        <f>SOFR3mo_PX[[#This Row],[Column1287]]</f>
        <v>99.814999999999998</v>
      </c>
      <c r="AWN29">
        <f>SOFR3mo_PX[[#This Row],[Column1288]]</f>
        <v>99.814999999999998</v>
      </c>
      <c r="AWO29">
        <f>SOFR3mo_PX[[#This Row],[Column1289]]</f>
        <v>99.81</v>
      </c>
      <c r="AWP29">
        <f>SOFR3mo_PX[[#This Row],[Column1290]]</f>
        <v>99.82</v>
      </c>
      <c r="AWQ29">
        <f>SOFR3mo_PX[[#This Row],[Column1291]]</f>
        <v>99.82</v>
      </c>
      <c r="AWR29">
        <f>SOFR3mo_PX[[#This Row],[Column1292]]</f>
        <v>99.834999999999994</v>
      </c>
      <c r="AWS29">
        <f>SOFR3mo_PX[[#This Row],[Column1293]]</f>
        <v>99.85</v>
      </c>
      <c r="AWT29">
        <f>SOFR3mo_PX[[#This Row],[Column1294]]</f>
        <v>99.834999999999994</v>
      </c>
      <c r="AWU29">
        <f>SOFR3mo_PX[[#This Row],[Column1295]]</f>
        <v>99.83</v>
      </c>
      <c r="AWV29">
        <f>SOFR3mo_PX[[#This Row],[Column1296]]</f>
        <v>99.825000000000003</v>
      </c>
      <c r="AWW29">
        <f>SOFR3mo_PX[[#This Row],[Column1297]]</f>
        <v>99.825000000000003</v>
      </c>
      <c r="AWX29">
        <f>SOFR3mo_PX[[#This Row],[Column1298]]</f>
        <v>99.825000000000003</v>
      </c>
      <c r="AWY29">
        <f>SOFR3mo_PX[[#This Row],[Column1299]]</f>
        <v>99.814999999999998</v>
      </c>
      <c r="AWZ29">
        <f>SOFR3mo_PX[[#This Row],[Column1300]]</f>
        <v>99.834999999999994</v>
      </c>
      <c r="AXA29">
        <f>SOFR3mo_PX[[#This Row],[Column1301]]</f>
        <v>99.834999999999994</v>
      </c>
      <c r="AXB29">
        <f>SOFR3mo_PX[[#This Row],[Column1302]]</f>
        <v>99.825000000000003</v>
      </c>
      <c r="AXC29">
        <f>SOFR3mo_PX[[#This Row],[Column1303]]</f>
        <v>99.805000000000007</v>
      </c>
      <c r="AXD29">
        <f>SOFR3mo_PX[[#This Row],[Column1304]]</f>
        <v>99.805000000000007</v>
      </c>
      <c r="AXE29">
        <f>SOFR3mo_PX[[#This Row],[Column1305]]</f>
        <v>99.805000000000007</v>
      </c>
      <c r="AXF29">
        <f>SOFR3mo_PX[[#This Row],[Column1306]]</f>
        <v>99.8</v>
      </c>
      <c r="AXG29">
        <f>SOFR3mo_PX[[#This Row],[Column1307]]</f>
        <v>99.79</v>
      </c>
      <c r="AXH29">
        <f>SOFR3mo_PX[[#This Row],[Column1308]]</f>
        <v>99.77</v>
      </c>
      <c r="AXI29">
        <f>SOFR3mo_PX[[#This Row],[Column1309]]</f>
        <v>99.765000000000001</v>
      </c>
      <c r="AXJ29">
        <f>SOFR3mo_PX[[#This Row],[Column1310]]</f>
        <v>99.754999999999995</v>
      </c>
      <c r="AXK29">
        <f>SOFR3mo_PX[[#This Row],[Column1311]]</f>
        <v>99.77</v>
      </c>
      <c r="AXL29">
        <f>SOFR3mo_PX[[#This Row],[Column1312]]</f>
        <v>99.76</v>
      </c>
      <c r="AXM29">
        <f>SOFR3mo_PX[[#This Row],[Column1313]]</f>
        <v>99.77</v>
      </c>
      <c r="AXN29">
        <f>SOFR3mo_PX[[#This Row],[Column1314]]</f>
        <v>99.745000000000005</v>
      </c>
      <c r="AXO29">
        <f>SOFR3mo_PX[[#This Row],[Column1315]]</f>
        <v>99.694999999999993</v>
      </c>
      <c r="AXP29">
        <f>SOFR3mo_PX[[#This Row],[Column1316]]</f>
        <v>99.66</v>
      </c>
      <c r="AXQ29">
        <f>SOFR3mo_PX[[#This Row],[Column1317]]</f>
        <v>99.655000000000001</v>
      </c>
      <c r="AXR29">
        <f>SOFR3mo_PX[[#This Row],[Column1318]]</f>
        <v>99.72</v>
      </c>
      <c r="AXS29">
        <f>SOFR3mo_PX[[#This Row],[Column1319]]</f>
        <v>99.734999999999999</v>
      </c>
      <c r="AXT29">
        <f>SOFR3mo_PX[[#This Row],[Column1320]]</f>
        <v>99.77</v>
      </c>
      <c r="AXU29">
        <f>SOFR3mo_PX[[#This Row],[Column1321]]</f>
        <v>99.775000000000006</v>
      </c>
      <c r="AXV29">
        <f>SOFR3mo_PX[[#This Row],[Column1322]]</f>
        <v>99.765000000000001</v>
      </c>
      <c r="AXW29">
        <f>SOFR3mo_PX[[#This Row],[Column1323]]</f>
        <v>99.745000000000005</v>
      </c>
      <c r="AXX29">
        <f>SOFR3mo_PX[[#This Row],[Column1324]]</f>
        <v>99.75</v>
      </c>
      <c r="AXY29">
        <f>SOFR3mo_PX[[#This Row],[Column1325]]</f>
        <v>99.754999999999995</v>
      </c>
      <c r="AXZ29">
        <f>SOFR3mo_PX[[#This Row],[Column1326]]</f>
        <v>99.76</v>
      </c>
      <c r="AYA29">
        <f>SOFR3mo_PX[[#This Row],[Column1327]]</f>
        <v>99.76</v>
      </c>
      <c r="AYB29">
        <f>SOFR3mo_PX[[#This Row],[Column1328]]</f>
        <v>99.754999999999995</v>
      </c>
      <c r="AYC29">
        <f>SOFR3mo_PX[[#This Row],[Column1329]]</f>
        <v>99.754999999999995</v>
      </c>
      <c r="AYD29">
        <f>SOFR3mo_PX[[#This Row],[Column1330]]</f>
        <v>99.76</v>
      </c>
      <c r="AYE29">
        <f>SOFR3mo_PX[[#This Row],[Column1331]]</f>
        <v>99.76</v>
      </c>
      <c r="AYF29">
        <f>SOFR3mo_PX[[#This Row],[Column1332]]</f>
        <v>99.805000000000007</v>
      </c>
      <c r="AYG29">
        <f>SOFR3mo_PX[[#This Row],[Column1333]]</f>
        <v>99.78</v>
      </c>
      <c r="AYH29">
        <f>SOFR3mo_PX[[#This Row],[Column1334]]</f>
        <v>99.77</v>
      </c>
      <c r="AYI29">
        <f>SOFR3mo_PX[[#This Row],[Column1335]]</f>
        <v>99.75</v>
      </c>
      <c r="AYJ29">
        <f>SOFR3mo_PX[[#This Row],[Column1336]]</f>
        <v>99.75</v>
      </c>
      <c r="AYK29">
        <f>SOFR3mo_PX[[#This Row],[Column1337]]</f>
        <v>99.77</v>
      </c>
      <c r="AYL29">
        <f>SOFR3mo_PX[[#This Row],[Column1338]]</f>
        <v>99.78</v>
      </c>
      <c r="AYM29">
        <f>SOFR3mo_PX[[#This Row],[Column1339]]</f>
        <v>99.724999999999994</v>
      </c>
      <c r="AYN29">
        <f>SOFR3mo_PX[[#This Row],[Column1340]]</f>
        <v>99.71</v>
      </c>
      <c r="AYO29">
        <f>SOFR3mo_PX[[#This Row],[Column1341]]</f>
        <v>99.715000000000003</v>
      </c>
      <c r="AYP29">
        <f>SOFR3mo_PX[[#This Row],[Column1342]]</f>
        <v>99.7</v>
      </c>
      <c r="AYQ29">
        <f>SOFR3mo_PX[[#This Row],[Column1343]]</f>
        <v>99.704999999999998</v>
      </c>
      <c r="AYR29">
        <f>SOFR3mo_PX[[#This Row],[Column1344]]</f>
        <v>99.694999999999993</v>
      </c>
      <c r="AYS29">
        <f>SOFR3mo_PX[[#This Row],[Column1345]]</f>
        <v>99.68</v>
      </c>
      <c r="AYT29">
        <f>SOFR3mo_PX[[#This Row],[Column1346]]</f>
        <v>99.674999999999997</v>
      </c>
      <c r="AYU29">
        <f>SOFR3mo_PX[[#This Row],[Column1347]]</f>
        <v>99.685000000000002</v>
      </c>
      <c r="AYV29">
        <f>SOFR3mo_PX[[#This Row],[Column1348]]</f>
        <v>99.685000000000002</v>
      </c>
      <c r="AYW29">
        <f>SOFR3mo_PX[[#This Row],[Column1349]]</f>
        <v>99.68</v>
      </c>
      <c r="AYX29">
        <f>SOFR3mo_PX[[#This Row],[Column1350]]</f>
        <v>99.69</v>
      </c>
      <c r="AYY29">
        <f>SOFR3mo_PX[[#This Row],[Column1351]]</f>
        <v>99.67</v>
      </c>
      <c r="AYZ29">
        <f>SOFR3mo_PX[[#This Row],[Column1352]]</f>
        <v>99.66</v>
      </c>
      <c r="AZA29">
        <f>SOFR3mo_PX[[#This Row],[Column1353]]</f>
        <v>99.644999999999996</v>
      </c>
      <c r="AZB29">
        <f>SOFR3mo_PX[[#This Row],[Column1354]]</f>
        <v>99.635000000000005</v>
      </c>
      <c r="AZC29">
        <f>SOFR3mo_PX[[#This Row],[Column1355]]</f>
        <v>99.605000000000004</v>
      </c>
      <c r="AZD29">
        <f>SOFR3mo_PX[[#This Row],[Column1356]]</f>
        <v>99.59</v>
      </c>
      <c r="AZE29">
        <f>SOFR3mo_PX[[#This Row],[Column1357]]</f>
        <v>99.6</v>
      </c>
      <c r="AZF29">
        <f>SOFR3mo_PX[[#This Row],[Column1358]]</f>
        <v>99.6</v>
      </c>
      <c r="AZG29">
        <f>SOFR3mo_PX[[#This Row],[Column1359]]</f>
        <v>99.58</v>
      </c>
      <c r="AZH29">
        <f>SOFR3mo_PX[[#This Row],[Column1360]]</f>
        <v>99.564999999999998</v>
      </c>
      <c r="AZI29">
        <f>SOFR3mo_PX[[#This Row],[Column1361]]</f>
        <v>99.61</v>
      </c>
      <c r="AZJ29">
        <f>SOFR3mo_PX[[#This Row],[Column1362]]</f>
        <v>99.67</v>
      </c>
      <c r="AZK29">
        <f>SOFR3mo_PX[[#This Row],[Column1363]]</f>
        <v>99.665000000000006</v>
      </c>
      <c r="AZL29">
        <f>SOFR3mo_PX[[#This Row],[Column1364]]</f>
        <v>99.68</v>
      </c>
      <c r="AZM29">
        <f>SOFR3mo_PX[[#This Row],[Column1365]]</f>
        <v>99.655000000000001</v>
      </c>
      <c r="AZN29">
        <f>SOFR3mo_PX[[#This Row],[Column1366]]</f>
        <v>99.685000000000002</v>
      </c>
      <c r="AZO29">
        <f>SOFR3mo_PX[[#This Row],[Column1367]]</f>
        <v>99.64</v>
      </c>
      <c r="AZP29">
        <f>SOFR3mo_PX[[#This Row],[Column1368]]</f>
        <v>99.62</v>
      </c>
      <c r="AZQ29">
        <f>SOFR3mo_PX[[#This Row],[Column1369]]</f>
        <v>99.59</v>
      </c>
      <c r="AZR29">
        <f>SOFR3mo_PX[[#This Row],[Column1370]]</f>
        <v>99.584999999999994</v>
      </c>
      <c r="AZS29">
        <f>SOFR3mo_PX[[#This Row],[Column1371]]</f>
        <v>99.644999999999996</v>
      </c>
      <c r="AZT29">
        <f>SOFR3mo_PX[[#This Row],[Column1372]]</f>
        <v>99.564999999999998</v>
      </c>
      <c r="AZU29">
        <f>SOFR3mo_PX[[#This Row],[Column1373]]</f>
        <v>99.504999999999995</v>
      </c>
      <c r="AZV29">
        <f>SOFR3mo_PX[[#This Row],[Column1374]]</f>
        <v>99.4</v>
      </c>
      <c r="AZW29">
        <f>SOFR3mo_PX[[#This Row],[Column1375]]</f>
        <v>99.515000000000001</v>
      </c>
      <c r="AZX29">
        <f>SOFR3mo_PX[[#This Row],[Column1376]]</f>
        <v>99.564999999999998</v>
      </c>
      <c r="AZY29">
        <f>SOFR3mo_PX[[#This Row],[Column1377]]</f>
        <v>99.49</v>
      </c>
      <c r="AZZ29">
        <f>SOFR3mo_PX[[#This Row],[Column1378]]</f>
        <v>99.53</v>
      </c>
      <c r="BAA29">
        <f>SOFR3mo_PX[[#This Row],[Column1379]]</f>
        <v>99.46</v>
      </c>
      <c r="BAB29">
        <f>SOFR3mo_PX[[#This Row],[Column1380]]</f>
        <v>99.45</v>
      </c>
      <c r="BAC29">
        <f>SOFR3mo_PX[[#This Row],[Column1381]]</f>
        <v>99.57</v>
      </c>
      <c r="BAD29">
        <f>SOFR3mo_PX[[#This Row],[Column1382]]</f>
        <v>99.495000000000005</v>
      </c>
      <c r="BAE29">
        <f>SOFR3mo_PX[[#This Row],[Column1383]]</f>
        <v>99.41</v>
      </c>
      <c r="BAF29">
        <f>SOFR3mo_PX[[#This Row],[Column1384]]</f>
        <v>99.36</v>
      </c>
      <c r="BAG29">
        <f>SOFR3mo_PX[[#This Row],[Column1385]]</f>
        <v>99.3</v>
      </c>
      <c r="BAH29">
        <f>SOFR3mo_PX[[#This Row],[Column1386]]</f>
        <v>99.23</v>
      </c>
      <c r="BAI29">
        <f>SOFR3mo_PX[[#This Row],[Column1387]]</f>
        <v>99.23</v>
      </c>
      <c r="BAJ29">
        <f>SOFR3mo_PX[[#This Row],[Column1388]]</f>
        <v>99.03</v>
      </c>
      <c r="BAK29">
        <f>SOFR3mo_PX[[#This Row],[Column1389]]</f>
        <v>98.974999999999994</v>
      </c>
      <c r="BAL29">
        <f>SOFR3mo_PX[[#This Row],[Column1390]]</f>
        <v>98.984999999999999</v>
      </c>
      <c r="BAM29">
        <f>SOFR3mo_PX[[#This Row],[Column1391]]</f>
        <v>98.93</v>
      </c>
      <c r="BAN29">
        <f>SOFR3mo_PX[[#This Row],[Column1392]]</f>
        <v>98.82</v>
      </c>
      <c r="BAO29">
        <f>SOFR3mo_PX[[#This Row],[Column1393]]</f>
        <v>98.754999999999995</v>
      </c>
      <c r="BAP29">
        <f>SOFR3mo_PX[[#This Row],[Column1394]]</f>
        <v>98.71</v>
      </c>
      <c r="BAQ29">
        <f>SOFR3mo_PX[[#This Row],[Column1395]]</f>
        <v>98.734999999999999</v>
      </c>
      <c r="BAR29">
        <f>SOFR3mo_PX[[#This Row],[Column1396]]</f>
        <v>98.704999999999998</v>
      </c>
      <c r="BAS29">
        <f>SOFR3mo_PX[[#This Row],[Column1397]]</f>
        <v>98.704999999999998</v>
      </c>
      <c r="BAT29">
        <f>SOFR3mo_PX[[#This Row],[Column1398]]</f>
        <v>98.67</v>
      </c>
      <c r="BAU29">
        <f>SOFR3mo_PX[[#This Row],[Column1399]]</f>
        <v>98.67</v>
      </c>
      <c r="BAV29">
        <f>SOFR3mo_PX[[#This Row],[Column1400]]</f>
        <v>98.71</v>
      </c>
      <c r="BAW29">
        <f>SOFR3mo_PX[[#This Row],[Column1401]]</f>
        <v>98.74</v>
      </c>
      <c r="BAX29">
        <f>SOFR3mo_PX[[#This Row],[Column1402]]</f>
        <v>98.704999999999998</v>
      </c>
      <c r="BAY29">
        <f>SOFR3mo_PX[[#This Row],[Column1403]]</f>
        <v>98.65</v>
      </c>
      <c r="BAZ29">
        <f>SOFR3mo_PX[[#This Row],[Column1404]]</f>
        <v>98.67</v>
      </c>
      <c r="BBA29">
        <f>SOFR3mo_PX[[#This Row],[Column1405]]</f>
        <v>98.71</v>
      </c>
      <c r="BBB29">
        <f>SOFR3mo_PX[[#This Row],[Column1406]]</f>
        <v>98.795000000000002</v>
      </c>
      <c r="BBC29">
        <f>SOFR3mo_PX[[#This Row],[Column1407]]</f>
        <v>98.81</v>
      </c>
      <c r="BBD29">
        <f>SOFR3mo_PX[[#This Row],[Column1408]]</f>
        <v>98.754999999999995</v>
      </c>
      <c r="BBE29">
        <f>SOFR3mo_PX[[#This Row],[Column1409]]</f>
        <v>98.71</v>
      </c>
      <c r="BBF29">
        <f>SOFR3mo_PX[[#This Row],[Column1410]]</f>
        <v>98.66</v>
      </c>
      <c r="BBG29">
        <f>SOFR3mo_PX[[#This Row],[Column1411]]</f>
        <v>98.694999999999993</v>
      </c>
      <c r="BBH29">
        <f>SOFR3mo_PX[[#This Row],[Column1412]]</f>
        <v>98.61</v>
      </c>
      <c r="BBI29">
        <f>SOFR3mo_PX[[#This Row],[Column1413]]</f>
        <v>98.555000000000007</v>
      </c>
      <c r="BBJ29">
        <f>SOFR3mo_PX[[#This Row],[Column1414]]</f>
        <v>98.534999999999997</v>
      </c>
      <c r="BBK29">
        <f>SOFR3mo_PX[[#This Row],[Column1415]]</f>
        <v>98.52</v>
      </c>
      <c r="BBL29">
        <f>SOFR3mo_PX[[#This Row],[Column1416]]</f>
        <v>98.465000000000003</v>
      </c>
      <c r="BBM29">
        <f>SOFR3mo_PX[[#This Row],[Column1417]]</f>
        <v>98.465000000000003</v>
      </c>
      <c r="BBN29">
        <f>SOFR3mo_PX[[#This Row],[Column1418]]</f>
        <v>98.48</v>
      </c>
      <c r="BBO29">
        <f>SOFR3mo_PX[[#This Row],[Column1419]]</f>
        <v>98.49</v>
      </c>
      <c r="BBP29">
        <f>SOFR3mo_PX[[#This Row],[Column1420]]</f>
        <v>98.48</v>
      </c>
      <c r="BBQ29">
        <f>SOFR3mo_PX[[#This Row],[Column1421]]</f>
        <v>98.465000000000003</v>
      </c>
      <c r="BBR29">
        <f>SOFR3mo_PX[[#This Row],[Column1422]]</f>
        <v>98.47</v>
      </c>
      <c r="BBS29">
        <f>SOFR3mo_PX[[#This Row],[Column1423]]</f>
        <v>98.454999999999998</v>
      </c>
      <c r="BBT29">
        <f>SOFR3mo_PX[[#This Row],[Column1424]]</f>
        <v>98.45</v>
      </c>
      <c r="BBU29">
        <f>SOFR3mo_PX[[#This Row],[Column1425]]</f>
        <v>98.495000000000005</v>
      </c>
      <c r="BBV29">
        <f>SOFR3mo_PX[[#This Row],[Column1426]]</f>
        <v>98.504999999999995</v>
      </c>
      <c r="BBW29">
        <f>SOFR3mo_PX[[#This Row],[Column1427]]</f>
        <v>98.51</v>
      </c>
      <c r="BBX29">
        <f>SOFR3mo_PX[[#This Row],[Column1428]]</f>
        <v>98.42</v>
      </c>
      <c r="BBY29">
        <f>SOFR3mo_PX[[#This Row],[Column1429]]</f>
        <v>98.41</v>
      </c>
      <c r="BBZ29">
        <f>SOFR3mo_PX[[#This Row],[Column1430]]</f>
        <v>98.41</v>
      </c>
      <c r="BCA29">
        <f>SOFR3mo_PX[[#This Row],[Column1431]]</f>
        <v>98.415000000000006</v>
      </c>
      <c r="BCB29">
        <f>SOFR3mo_PX[[#This Row],[Column1432]]</f>
        <v>98.415000000000006</v>
      </c>
      <c r="BCC29">
        <f>SOFR3mo_PX[[#This Row],[Column1433]]</f>
        <v>98.375</v>
      </c>
      <c r="BCD29">
        <f>SOFR3mo_PX[[#This Row],[Column1434]]</f>
        <v>98.375</v>
      </c>
      <c r="BCE29">
        <f>SOFR3mo_PX[[#This Row],[Column1435]]</f>
        <v>98.375</v>
      </c>
      <c r="BCF29">
        <f>SOFR3mo_PX[[#This Row],[Column1436]]</f>
        <v>98.355000000000004</v>
      </c>
      <c r="BCG29">
        <f>SOFR3mo_PX[[#This Row],[Column1437]]</f>
        <v>98.394999999999996</v>
      </c>
      <c r="BCH29">
        <f>SOFR3mo_PX[[#This Row],[Column1438]]</f>
        <v>98.41</v>
      </c>
      <c r="BCI29">
        <f>SOFR3mo_PX[[#This Row],[Column1439]]</f>
        <v>98.39</v>
      </c>
      <c r="BCJ29">
        <f>SOFR3mo_PX[[#This Row],[Column1440]]</f>
        <v>98.42</v>
      </c>
      <c r="BCK29">
        <f>SOFR3mo_PX[[#This Row],[Column1441]]</f>
        <v>98.43</v>
      </c>
      <c r="BCL29">
        <f>SOFR3mo_PX[[#This Row],[Column1442]]</f>
        <v>98.504999999999995</v>
      </c>
      <c r="BCM29">
        <f>SOFR3mo_PX[[#This Row],[Column1443]]</f>
        <v>98.424999999999997</v>
      </c>
      <c r="BCN29">
        <f>SOFR3mo_PX[[#This Row],[Column1444]]</f>
        <v>98.51</v>
      </c>
      <c r="BCO29">
        <f>SOFR3mo_PX[[#This Row],[Column1445]]</f>
        <v>98.47</v>
      </c>
      <c r="BCP29">
        <f>SOFR3mo_PX[[#This Row],[Column1446]]</f>
        <v>98.484999999999999</v>
      </c>
      <c r="BCQ29">
        <f>SOFR3mo_PX[[#This Row],[Column1447]]</f>
        <v>98.495000000000005</v>
      </c>
      <c r="BCR29">
        <f>SOFR3mo_PX[[#This Row],[Column1448]]</f>
        <v>98.555000000000007</v>
      </c>
      <c r="BCS29">
        <f>SOFR3mo_PX[[#This Row],[Column1449]]</f>
        <v>98.57</v>
      </c>
      <c r="BCT29">
        <f>SOFR3mo_PX[[#This Row],[Column1450]]</f>
        <v>98.644999999999996</v>
      </c>
      <c r="BCU29">
        <f>SOFR3mo_PX[[#This Row],[Column1451]]</f>
        <v>98.525000000000006</v>
      </c>
      <c r="BCV29">
        <f>SOFR3mo_PX[[#This Row],[Column1452]]</f>
        <v>98.56</v>
      </c>
      <c r="BCW29">
        <f>SOFR3mo_PX[[#This Row],[Column1453]]</f>
        <v>98.55</v>
      </c>
      <c r="BCX29">
        <f>SOFR3mo_PX[[#This Row],[Column1454]]</f>
        <v>98.55</v>
      </c>
      <c r="BCY29">
        <f>SOFR3mo_PX[[#This Row],[Column1455]]</f>
        <v>98.59</v>
      </c>
      <c r="BCZ29">
        <f>SOFR3mo_PX[[#This Row],[Column1456]]</f>
        <v>98.58</v>
      </c>
      <c r="BDA29">
        <f>SOFR3mo_PX[[#This Row],[Column1457]]</f>
        <v>98.564999999999998</v>
      </c>
      <c r="BDB29">
        <f>SOFR3mo_PX[[#This Row],[Column1458]]</f>
        <v>98.584999999999994</v>
      </c>
      <c r="BDC29">
        <f>SOFR3mo_PX[[#This Row],[Column1459]]</f>
        <v>98.614999999999995</v>
      </c>
      <c r="BDD29">
        <f>SOFR3mo_PX[[#This Row],[Column1460]]</f>
        <v>98.58</v>
      </c>
      <c r="BDE29">
        <f>SOFR3mo_PX[[#This Row],[Column1461]]</f>
        <v>98.555000000000007</v>
      </c>
      <c r="BDF29">
        <f>SOFR3mo_PX[[#This Row],[Column1462]]</f>
        <v>98.53</v>
      </c>
      <c r="BDG29">
        <f>SOFR3mo_PX[[#This Row],[Column1463]]</f>
        <v>98.54</v>
      </c>
      <c r="BDH29">
        <f>SOFR3mo_PX[[#This Row],[Column1464]]</f>
        <v>98.49</v>
      </c>
      <c r="BDI29">
        <f>SOFR3mo_PX[[#This Row],[Column1465]]</f>
        <v>98.44</v>
      </c>
      <c r="BDJ29">
        <f>SOFR3mo_PX[[#This Row],[Column1466]]</f>
        <v>98.41</v>
      </c>
      <c r="BDK29">
        <f>SOFR3mo_PX[[#This Row],[Column1467]]</f>
        <v>98.42</v>
      </c>
      <c r="BDL29">
        <f>SOFR3mo_PX[[#This Row],[Column1468]]</f>
        <v>98.405000000000001</v>
      </c>
      <c r="BDM29">
        <f>SOFR3mo_PX[[#This Row],[Column1469]]</f>
        <v>98.515000000000001</v>
      </c>
      <c r="BDN29">
        <f>SOFR3mo_PX[[#This Row],[Column1470]]</f>
        <v>98.49</v>
      </c>
      <c r="BDO29">
        <f>SOFR3mo_PX[[#This Row],[Column1471]]</f>
        <v>98.55</v>
      </c>
      <c r="BDP29">
        <f>SOFR3mo_PX[[#This Row],[Column1472]]</f>
        <v>98.6</v>
      </c>
      <c r="BDQ29">
        <f>SOFR3mo_PX[[#This Row],[Column1473]]</f>
        <v>98.67</v>
      </c>
      <c r="BDR29">
        <f>SOFR3mo_PX[[#This Row],[Column1474]]</f>
        <v>98.545000000000002</v>
      </c>
      <c r="BDS29">
        <f>SOFR3mo_PX[[#This Row],[Column1475]]</f>
        <v>98.525000000000006</v>
      </c>
      <c r="BDT29">
        <f>SOFR3mo_PX[[#This Row],[Column1476]]</f>
        <v>98.53</v>
      </c>
      <c r="BDU29">
        <f>SOFR3mo_PX[[#This Row],[Column1477]]</f>
        <v>98.56</v>
      </c>
      <c r="BDV29">
        <f>SOFR3mo_PX[[#This Row],[Column1478]]</f>
        <v>98.605000000000004</v>
      </c>
      <c r="BDW29">
        <f>SOFR3mo_PX[[#This Row],[Column1479]]</f>
        <v>98.614999999999995</v>
      </c>
      <c r="BDX29">
        <f>SOFR3mo_PX[[#This Row],[Column1480]]</f>
        <v>98.594999999999999</v>
      </c>
      <c r="BDY29">
        <f>SOFR3mo_PX[[#This Row],[Column1481]]</f>
        <v>98.57</v>
      </c>
      <c r="BDZ29">
        <f>SOFR3mo_PX[[#This Row],[Column1482]]</f>
        <v>98.61</v>
      </c>
      <c r="BEA29">
        <f>SOFR3mo_PX[[#This Row],[Column1483]]</f>
        <v>98.584999999999994</v>
      </c>
      <c r="BEB29">
        <f>SOFR3mo_PX[[#This Row],[Column1484]]</f>
        <v>98.61</v>
      </c>
      <c r="BEC29">
        <f>SOFR3mo_PX[[#This Row],[Column1485]]</f>
        <v>98.57</v>
      </c>
      <c r="BED29">
        <f>SOFR3mo_PX[[#This Row],[Column1486]]</f>
        <v>98.625</v>
      </c>
      <c r="BEE29">
        <f>SOFR3mo_PX[[#This Row],[Column1487]]</f>
        <v>98.605000000000004</v>
      </c>
      <c r="BEF29">
        <f>SOFR3mo_PX[[#This Row],[Column1488]]</f>
        <v>98.734999999999999</v>
      </c>
      <c r="BEG29">
        <f>SOFR3mo_PX[[#This Row],[Column1489]]</f>
        <v>98.8</v>
      </c>
      <c r="BEH29">
        <f>SOFR3mo_PX[[#This Row],[Column1490]]</f>
        <v>98.855000000000004</v>
      </c>
      <c r="BEI29">
        <f>SOFR3mo_PX[[#This Row],[Column1491]]</f>
        <v>98.844999999999999</v>
      </c>
      <c r="BEJ29">
        <f>SOFR3mo_PX[[#This Row],[Column1492]]</f>
        <v>98.915000000000006</v>
      </c>
      <c r="BEK29">
        <f>SOFR3mo_PX[[#This Row],[Column1493]]</f>
        <v>98.924999999999997</v>
      </c>
      <c r="BEL29">
        <f>SOFR3mo_PX[[#This Row],[Column1494]]</f>
        <v>98.825000000000003</v>
      </c>
      <c r="BEM29">
        <f>SOFR3mo_PX[[#This Row],[Column1495]]</f>
        <v>98.75</v>
      </c>
      <c r="BEN29">
        <f>SOFR3mo_PX[[#This Row],[Column1496]]</f>
        <v>98.68</v>
      </c>
      <c r="BEO29">
        <f>SOFR3mo_PX[[#This Row],[Column1497]]</f>
        <v>98.69</v>
      </c>
      <c r="BEP29" t="str">
        <f>SOFR3mo_PX[[#This Row],[Column1498]]</f>
        <v>#N/A N/A</v>
      </c>
      <c r="BEQ29" t="str">
        <f>SOFR3mo_PX[[#This Row],[Column1499]]</f>
        <v>#N/A N/A</v>
      </c>
      <c r="BER29" t="str">
        <f>SOFR3mo_PX[[#This Row],[Column1500]]</f>
        <v>#N/A N/A</v>
      </c>
      <c r="BES29" t="str">
        <f>SOFR3mo_PX[[#This Row],[Column1501]]</f>
        <v>#N/A N/A</v>
      </c>
      <c r="BET29" t="str">
        <f>SOFR3mo_PX[[#This Row],[Column1502]]</f>
        <v>#N/A N/A</v>
      </c>
      <c r="BEU29" t="str">
        <f>SOFR3mo_PX[[#This Row],[Column1503]]</f>
        <v>#N/A N/A</v>
      </c>
      <c r="BEV29" t="str">
        <f>SOFR3mo_PX[[#This Row],[Column1504]]</f>
        <v>#N/A N/A</v>
      </c>
      <c r="BEW29" t="str">
        <f>SOFR3mo_PX[[#This Row],[Column1505]]</f>
        <v>#N/A N/A</v>
      </c>
      <c r="BEX29" t="str">
        <f>SOFR3mo_PX[[#This Row],[Column1506]]</f>
        <v>#N/A N/A</v>
      </c>
      <c r="BEY29" t="str">
        <f>SOFR3mo_PX[[#This Row],[Column1507]]</f>
        <v>#N/A N/A</v>
      </c>
      <c r="BEZ29" t="str">
        <f>SOFR3mo_PX[[#This Row],[Column1508]]</f>
        <v>#N/A N/A</v>
      </c>
      <c r="BFA29" t="str">
        <f>SOFR3mo_PX[[#This Row],[Column1509]]</f>
        <v>#N/A N/A</v>
      </c>
      <c r="BFB29" t="str">
        <f>SOFR3mo_PX[[#This Row],[Column1510]]</f>
        <v>#N/A N/A</v>
      </c>
      <c r="BFC29" t="str">
        <f>SOFR3mo_PX[[#This Row],[Column1511]]</f>
        <v>#N/A N/A</v>
      </c>
      <c r="BFD29" t="str">
        <f>SOFR3mo_PX[[#This Row],[Column1512]]</f>
        <v>#N/A N/A</v>
      </c>
      <c r="BFE29" t="str">
        <f>SOFR3mo_PX[[#This Row],[Column1513]]</f>
        <v>#N/A N/A</v>
      </c>
      <c r="BFF29" t="str">
        <f>SOFR3mo_PX[[#This Row],[Column1514]]</f>
        <v>#N/A N/A</v>
      </c>
      <c r="BFG29" t="str">
        <f>SOFR3mo_PX[[#This Row],[Column1515]]</f>
        <v>#N/A N/A</v>
      </c>
      <c r="BFH29" t="str">
        <f>SOFR3mo_PX[[#This Row],[Column1516]]</f>
        <v>#N/A N/A</v>
      </c>
      <c r="BFI29" t="str">
        <f>SOFR3mo_PX[[#This Row],[Column1517]]</f>
        <v>#N/A N/A</v>
      </c>
      <c r="BFJ29" t="str">
        <f>SOFR3mo_PX[[#This Row],[Column1518]]</f>
        <v>#N/A N/A</v>
      </c>
      <c r="BFK29" t="str">
        <f>SOFR3mo_PX[[#This Row],[Column1519]]</f>
        <v>#N/A N/A</v>
      </c>
      <c r="BFL29" t="str">
        <f>SOFR3mo_PX[[#This Row],[Column1520]]</f>
        <v>#N/A N/A</v>
      </c>
      <c r="BFM29" t="str">
        <f>SOFR3mo_PX[[#This Row],[Column1521]]</f>
        <v>#N/A N/A</v>
      </c>
      <c r="BFN29" t="str">
        <f>SOFR3mo_PX[[#This Row],[Column1522]]</f>
        <v>#N/A N/A</v>
      </c>
      <c r="BFO29" t="str">
        <f>SOFR3mo_PX[[#This Row],[Column1523]]</f>
        <v>#N/A N/A</v>
      </c>
      <c r="BFP29" t="str">
        <f>SOFR3mo_PX[[#This Row],[Column1524]]</f>
        <v>#N/A N/A</v>
      </c>
      <c r="BFQ29" t="str">
        <f>SOFR3mo_PX[[#This Row],[Column1525]]</f>
        <v>#N/A N/A</v>
      </c>
      <c r="BFR29" t="str">
        <f>SOFR3mo_PX[[#This Row],[Column1526]]</f>
        <v>#N/A N/A</v>
      </c>
      <c r="BFS29" t="str">
        <f>SOFR3mo_PX[[#This Row],[Column1527]]</f>
        <v>#N/A N/A</v>
      </c>
      <c r="BFT29" t="str">
        <f>SOFR3mo_PX[[#This Row],[Column1528]]</f>
        <v>#N/A N/A</v>
      </c>
      <c r="BFU29" t="str">
        <f>SOFR3mo_PX[[#This Row],[Column1529]]</f>
        <v>#N/A N/A</v>
      </c>
      <c r="BFV29" t="str">
        <f>SOFR3mo_PX[[#This Row],[Column1530]]</f>
        <v>#N/A N/A</v>
      </c>
      <c r="BFW29" t="str">
        <f>SOFR3mo_PX[[#This Row],[Column1531]]</f>
        <v>#N/A N/A</v>
      </c>
      <c r="BFX29" t="str">
        <f>SOFR3mo_PX[[#This Row],[Column1532]]</f>
        <v>#N/A N/A</v>
      </c>
      <c r="BFY29" t="str">
        <f>SOFR3mo_PX[[#This Row],[Column1533]]</f>
        <v>#N/A N/A</v>
      </c>
      <c r="BFZ29" t="str">
        <f>SOFR3mo_PX[[#This Row],[Column1534]]</f>
        <v>#N/A N/A</v>
      </c>
      <c r="BGA29" t="str">
        <f>SOFR3mo_PX[[#This Row],[Column1535]]</f>
        <v>#N/A N/A</v>
      </c>
      <c r="BGB29" t="str">
        <f>SOFR3mo_PX[[#This Row],[Column1536]]</f>
        <v>#N/A N/A</v>
      </c>
      <c r="BGC29" t="str">
        <f>SOFR3mo_PX[[#This Row],[Column1537]]</f>
        <v>#N/A N/A</v>
      </c>
      <c r="BGD29" t="str">
        <f>SOFR3mo_PX[[#This Row],[Column1538]]</f>
        <v>#N/A N/A</v>
      </c>
      <c r="BGE29" t="str">
        <f>SOFR3mo_PX[[#This Row],[Column1539]]</f>
        <v>#N/A N/A</v>
      </c>
      <c r="BGF29" t="str">
        <f>SOFR3mo_PX[[#This Row],[Column1540]]</f>
        <v>#N/A N/A</v>
      </c>
      <c r="BGG29" t="str">
        <f>SOFR3mo_PX[[#This Row],[Column1541]]</f>
        <v>#N/A N/A</v>
      </c>
      <c r="BGH29" t="str">
        <f>SOFR3mo_PX[[#This Row],[Column1542]]</f>
        <v>#N/A N/A</v>
      </c>
      <c r="BGI29" t="str">
        <f>SOFR3mo_PX[[#This Row],[Column1543]]</f>
        <v>#N/A N/A</v>
      </c>
      <c r="BGJ29" t="str">
        <f>SOFR3mo_PX[[#This Row],[Column1544]]</f>
        <v>#N/A N/A</v>
      </c>
      <c r="BGK29" t="str">
        <f>SOFR3mo_PX[[#This Row],[Column1545]]</f>
        <v>#N/A N/A</v>
      </c>
      <c r="BGL29" t="str">
        <f>SOFR3mo_PX[[#This Row],[Column1546]]</f>
        <v>#N/A N/A</v>
      </c>
      <c r="BGM29" t="str">
        <f>SOFR3mo_PX[[#This Row],[Column1547]]</f>
        <v>#N/A N/A</v>
      </c>
      <c r="BGN29" t="str">
        <f>SOFR3mo_PX[[#This Row],[Column1548]]</f>
        <v>#N/A N/A</v>
      </c>
      <c r="BGO29" t="str">
        <f>SOFR3mo_PX[[#This Row],[Column1549]]</f>
        <v>#N/A N/A</v>
      </c>
      <c r="BGP29" t="str">
        <f>SOFR3mo_PX[[#This Row],[Column1550]]</f>
        <v>#N/A N/A</v>
      </c>
      <c r="BGQ29" t="str">
        <f>SOFR3mo_PX[[#This Row],[Column1551]]</f>
        <v>#N/A N/A</v>
      </c>
      <c r="BGR29" t="str">
        <f>SOFR3mo_PX[[#This Row],[Column1552]]</f>
        <v>#N/A N/A</v>
      </c>
      <c r="BGS29" t="str">
        <f>SOFR3mo_PX[[#This Row],[Column1553]]</f>
        <v>#N/A N/A</v>
      </c>
      <c r="BGT29" t="str">
        <f>SOFR3mo_PX[[#This Row],[Column1554]]</f>
        <v>#N/A N/A</v>
      </c>
      <c r="BGU29" t="str">
        <f>SOFR3mo_PX[[#This Row],[Column1555]]</f>
        <v>#N/A N/A</v>
      </c>
      <c r="BGV29" t="str">
        <f>SOFR3mo_PX[[#This Row],[Column1556]]</f>
        <v>#N/A N/A</v>
      </c>
      <c r="BGW29" t="str">
        <f>SOFR3mo_PX[[#This Row],[Column1557]]</f>
        <v>#N/A N/A</v>
      </c>
      <c r="BGX29" t="str">
        <f>SOFR3mo_PX[[#This Row],[Column1558]]</f>
        <v>#N/A N/A</v>
      </c>
      <c r="BGY29" t="str">
        <f>SOFR3mo_PX[[#This Row],[Column1559]]</f>
        <v>#N/A N/A</v>
      </c>
      <c r="BGZ29" t="str">
        <f>SOFR3mo_PX[[#This Row],[Column1560]]</f>
        <v>#N/A N/A</v>
      </c>
      <c r="BHA29" t="str">
        <f>SOFR3mo_PX[[#This Row],[Column1561]]</f>
        <v>#N/A N/A</v>
      </c>
      <c r="BHB29" t="str">
        <f>SOFR3mo_PX[[#This Row],[Column1562]]</f>
        <v>#N/A N/A</v>
      </c>
      <c r="BHC29" t="str">
        <f>SOFR3mo_PX[[#This Row],[Column1563]]</f>
        <v>#N/A N/A</v>
      </c>
      <c r="BHD29" t="str">
        <f>SOFR3mo_PX[[#This Row],[Column1564]]</f>
        <v>#N/A N/A</v>
      </c>
      <c r="BHE29" t="str">
        <f>SOFR3mo_PX[[#This Row],[Column1565]]</f>
        <v>#N/A N/A</v>
      </c>
      <c r="BHF29" t="str">
        <f>SOFR3mo_PX[[#This Row],[Column1566]]</f>
        <v>#N/A N/A</v>
      </c>
      <c r="BHG29" t="str">
        <f>SOFR3mo_PX[[#This Row],[Column1567]]</f>
        <v>#N/A N/A</v>
      </c>
      <c r="BHH29" t="str">
        <f>SOFR3mo_PX[[#This Row],[Column1568]]</f>
        <v>#N/A N/A</v>
      </c>
      <c r="BHI29" t="str">
        <f>SOFR3mo_PX[[#This Row],[Column1569]]</f>
        <v>#N/A N/A</v>
      </c>
      <c r="BHJ29" t="str">
        <f>SOFR3mo_PX[[#This Row],[Column1570]]</f>
        <v>#N/A N/A</v>
      </c>
      <c r="BHK29" t="str">
        <f>SOFR3mo_PX[[#This Row],[Column1571]]</f>
        <v>#N/A N/A</v>
      </c>
      <c r="BHL29" t="str">
        <f>SOFR3mo_PX[[#This Row],[Column1572]]</f>
        <v>#N/A N/A</v>
      </c>
      <c r="BHM29" t="str">
        <f>SOFR3mo_PX[[#This Row],[Column1573]]</f>
        <v>#N/A N/A</v>
      </c>
      <c r="BHN29" t="str">
        <f>SOFR3mo_PX[[#This Row],[Column1574]]</f>
        <v>#N/A N/A</v>
      </c>
      <c r="BHO29" t="str">
        <f>SOFR3mo_PX[[#This Row],[Column1575]]</f>
        <v>#N/A N/A</v>
      </c>
      <c r="BHP29" t="str">
        <f>SOFR3mo_PX[[#This Row],[Column1576]]</f>
        <v>#N/A N/A</v>
      </c>
      <c r="BHQ29" t="str">
        <f>SOFR3mo_PX[[#This Row],[Column1577]]</f>
        <v>#N/A N/A</v>
      </c>
      <c r="BHR29" t="str">
        <f>SOFR3mo_PX[[#This Row],[Column1578]]</f>
        <v>#N/A N/A</v>
      </c>
      <c r="BHS29" t="str">
        <f>SOFR3mo_PX[[#This Row],[Column1579]]</f>
        <v>#N/A N/A</v>
      </c>
      <c r="BHT29" t="str">
        <f>SOFR3mo_PX[[#This Row],[Column1580]]</f>
        <v>#N/A N/A</v>
      </c>
      <c r="BHU29" t="str">
        <f>SOFR3mo_PX[[#This Row],[Column1581]]</f>
        <v>#N/A N/A</v>
      </c>
      <c r="BHV29" t="str">
        <f>SOFR3mo_PX[[#This Row],[Column1582]]</f>
        <v>#N/A N/A</v>
      </c>
      <c r="BHW29" t="str">
        <f>SOFR3mo_PX[[#This Row],[Column1583]]</f>
        <v>#N/A N/A</v>
      </c>
      <c r="BHX29" t="str">
        <f>SOFR3mo_PX[[#This Row],[Column1584]]</f>
        <v>#N/A N/A</v>
      </c>
      <c r="BHY29" t="str">
        <f>SOFR3mo_PX[[#This Row],[Column1585]]</f>
        <v>#N/A N/A</v>
      </c>
      <c r="BHZ29" t="str">
        <f>SOFR3mo_PX[[#This Row],[Column1586]]</f>
        <v>#N/A N/A</v>
      </c>
      <c r="BIA29" t="str">
        <f>SOFR3mo_PX[[#This Row],[Column1587]]</f>
        <v>#N/A N/A</v>
      </c>
      <c r="BIB29" t="str">
        <f>SOFR3mo_PX[[#This Row],[Column1588]]</f>
        <v>#N/A N/A</v>
      </c>
      <c r="BIC29" t="str">
        <f>SOFR3mo_PX[[#This Row],[Column1589]]</f>
        <v>#N/A N/A</v>
      </c>
      <c r="BID29" t="str">
        <f>SOFR3mo_PX[[#This Row],[Column1590]]</f>
        <v>#N/A N/A</v>
      </c>
      <c r="BIE29" t="str">
        <f>SOFR3mo_PX[[#This Row],[Column1591]]</f>
        <v>#N/A N/A</v>
      </c>
      <c r="BIF29" t="str">
        <f>SOFR3mo_PX[[#This Row],[Column1592]]</f>
        <v>#N/A N/A</v>
      </c>
      <c r="BIG29" t="str">
        <f>SOFR3mo_PX[[#This Row],[Column1593]]</f>
        <v>#N/A N/A</v>
      </c>
      <c r="BIH29" t="str">
        <f>SOFR3mo_PX[[#This Row],[Column1594]]</f>
        <v>#N/A N/A</v>
      </c>
      <c r="BII29" t="str">
        <f>SOFR3mo_PX[[#This Row],[Column1595]]</f>
        <v>#N/A N/A</v>
      </c>
      <c r="BIJ29" t="str">
        <f>SOFR3mo_PX[[#This Row],[Column1596]]</f>
        <v>#N/A N/A</v>
      </c>
      <c r="BIK29" t="str">
        <f>SOFR3mo_PX[[#This Row],[Column1597]]</f>
        <v>#N/A N/A</v>
      </c>
      <c r="BIL29" t="str">
        <f>SOFR3mo_PX[[#This Row],[Column1598]]</f>
        <v>#N/A N/A</v>
      </c>
      <c r="BIM29" t="str">
        <f>SOFR3mo_PX[[#This Row],[Column1599]]</f>
        <v>#N/A N/A</v>
      </c>
      <c r="BIN29" t="str">
        <f>SOFR3mo_PX[[#This Row],[Column1600]]</f>
        <v>#N/A N/A</v>
      </c>
      <c r="BIO29" t="str">
        <f>SOFR3mo_PX[[#This Row],[Column1601]]</f>
        <v>#N/A N/A</v>
      </c>
      <c r="BIP29" t="str">
        <f>SOFR3mo_PX[[#This Row],[Column1602]]</f>
        <v>#N/A N/A</v>
      </c>
      <c r="BIQ29" t="str">
        <f>SOFR3mo_PX[[#This Row],[Column1603]]</f>
        <v>#N/A N/A</v>
      </c>
      <c r="BIR29" t="str">
        <f>SOFR3mo_PX[[#This Row],[Column1604]]</f>
        <v>#N/A N/A</v>
      </c>
      <c r="BIS29" t="str">
        <f>SOFR3mo_PX[[#This Row],[Column1605]]</f>
        <v>#N/A N/A</v>
      </c>
      <c r="BIT29" t="str">
        <f>SOFR3mo_PX[[#This Row],[Column1606]]</f>
        <v>#N/A N/A</v>
      </c>
      <c r="BIU29" t="str">
        <f>SOFR3mo_PX[[#This Row],[Column1607]]</f>
        <v>#N/A N/A</v>
      </c>
      <c r="BIV29" t="str">
        <f>SOFR3mo_PX[[#This Row],[Column1608]]</f>
        <v>#N/A N/A</v>
      </c>
      <c r="BIW29" t="str">
        <f>SOFR3mo_PX[[#This Row],[Column1609]]</f>
        <v>#N/A N/A</v>
      </c>
      <c r="BIX29" t="str">
        <f>SOFR3mo_PX[[#This Row],[Column1610]]</f>
        <v>#N/A N/A</v>
      </c>
      <c r="BIY29" t="str">
        <f>SOFR3mo_PX[[#This Row],[Column1611]]</f>
        <v>#N/A N/A</v>
      </c>
      <c r="BIZ29" t="str">
        <f>SOFR3mo_PX[[#This Row],[Column1612]]</f>
        <v>#N/A N/A</v>
      </c>
      <c r="BJA29" t="str">
        <f>SOFR3mo_PX[[#This Row],[Column1613]]</f>
        <v>#N/A N/A</v>
      </c>
      <c r="BJB29" t="str">
        <f>SOFR3mo_PX[[#This Row],[Column1614]]</f>
        <v>#N/A N/A</v>
      </c>
      <c r="BJC29" t="str">
        <f>SOFR3mo_PX[[#This Row],[Column1615]]</f>
        <v>#N/A N/A</v>
      </c>
      <c r="BJD29" t="str">
        <f>SOFR3mo_PX[[#This Row],[Column1616]]</f>
        <v>#N/A N/A</v>
      </c>
      <c r="BJE29" t="str">
        <f>SOFR3mo_PX[[#This Row],[Column1617]]</f>
        <v>#N/A N/A</v>
      </c>
      <c r="BJF29" t="str">
        <f>SOFR3mo_PX[[#This Row],[Column1618]]</f>
        <v>#N/A N/A</v>
      </c>
      <c r="BJG29" t="str">
        <f>SOFR3mo_PX[[#This Row],[Column1619]]</f>
        <v>#N/A N/A</v>
      </c>
      <c r="BJH29" t="str">
        <f>SOFR3mo_PX[[#This Row],[Column1620]]</f>
        <v>#N/A N/A</v>
      </c>
      <c r="BJI29" t="str">
        <f>SOFR3mo_PX[[#This Row],[Column1621]]</f>
        <v>#N/A N/A</v>
      </c>
      <c r="BJJ29" t="str">
        <f>SOFR3mo_PX[[#This Row],[Column1622]]</f>
        <v>#N/A N/A</v>
      </c>
      <c r="BJK29" t="str">
        <f>SOFR3mo_PX[[#This Row],[Column1623]]</f>
        <v>#N/A N/A</v>
      </c>
      <c r="BJL29" t="str">
        <f>SOFR3mo_PX[[#This Row],[Column1624]]</f>
        <v>#N/A N/A</v>
      </c>
      <c r="BJM29" t="str">
        <f>SOFR3mo_PX[[#This Row],[Column1625]]</f>
        <v>#N/A N/A</v>
      </c>
      <c r="BJN29" t="str">
        <f>SOFR3mo_PX[[#This Row],[Column1626]]</f>
        <v>#N/A N/A</v>
      </c>
      <c r="BJO29" t="str">
        <f>SOFR3mo_PX[[#This Row],[Column1627]]</f>
        <v>#N/A N/A</v>
      </c>
      <c r="BJP29" t="str">
        <f>SOFR3mo_PX[[#This Row],[Column1628]]</f>
        <v>#N/A N/A</v>
      </c>
      <c r="BJQ29" t="str">
        <f>SOFR3mo_PX[[#This Row],[Column1629]]</f>
        <v>#N/A N/A</v>
      </c>
      <c r="BJR29" t="str">
        <f>SOFR3mo_PX[[#This Row],[Column1630]]</f>
        <v>#N/A N/A</v>
      </c>
      <c r="BJS29" t="str">
        <f>SOFR3mo_PX[[#This Row],[Column1631]]</f>
        <v>#N/A N/A</v>
      </c>
      <c r="BJT29" t="str">
        <f>SOFR3mo_PX[[#This Row],[Column1632]]</f>
        <v>#N/A N/A</v>
      </c>
      <c r="BJU29" t="str">
        <f>SOFR3mo_PX[[#This Row],[Column1633]]</f>
        <v>#N/A N/A</v>
      </c>
      <c r="BJV29" t="str">
        <f>SOFR3mo_PX[[#This Row],[Column1634]]</f>
        <v>#N/A N/A</v>
      </c>
      <c r="BJW29" t="str">
        <f>SOFR3mo_PX[[#This Row],[Column1635]]</f>
        <v>#N/A N/A</v>
      </c>
      <c r="BJX29" t="str">
        <f>SOFR3mo_PX[[#This Row],[Column1636]]</f>
        <v>#N/A N/A</v>
      </c>
      <c r="BJY29" t="str">
        <f>SOFR3mo_PX[[#This Row],[Column1637]]</f>
        <v>#N/A N/A</v>
      </c>
      <c r="BJZ29" t="str">
        <f>SOFR3mo_PX[[#This Row],[Column1638]]</f>
        <v>#N/A N/A</v>
      </c>
      <c r="BKA29" t="str">
        <f>SOFR3mo_PX[[#This Row],[Column1639]]</f>
        <v>#N/A N/A</v>
      </c>
      <c r="BKB29" t="str">
        <f>SOFR3mo_PX[[#This Row],[Column1640]]</f>
        <v>#N/A N/A</v>
      </c>
      <c r="BKC29" t="str">
        <f>SOFR3mo_PX[[#This Row],[Column1641]]</f>
        <v>#N/A N/A</v>
      </c>
      <c r="BKD29" t="str">
        <f>SOFR3mo_PX[[#This Row],[Column1642]]</f>
        <v>#N/A N/A</v>
      </c>
      <c r="BKE29" t="str">
        <f>SOFR3mo_PX[[#This Row],[Column1643]]</f>
        <v>#N/A N/A</v>
      </c>
      <c r="BKF29" t="str">
        <f>SOFR3mo_PX[[#This Row],[Column1644]]</f>
        <v>#N/A N/A</v>
      </c>
      <c r="BKG29" t="str">
        <f>SOFR3mo_PX[[#This Row],[Column1645]]</f>
        <v>#N/A N/A</v>
      </c>
      <c r="BKH29" t="str">
        <f>SOFR3mo_PX[[#This Row],[Column1646]]</f>
        <v>#N/A N/A</v>
      </c>
      <c r="BKI29" t="str">
        <f>SOFR3mo_PX[[#This Row],[Column1647]]</f>
        <v>#N/A N/A</v>
      </c>
      <c r="BKJ29" t="str">
        <f>SOFR3mo_PX[[#This Row],[Column1648]]</f>
        <v>#N/A N/A</v>
      </c>
      <c r="BKK29" t="str">
        <f>SOFR3mo_PX[[#This Row],[Column1649]]</f>
        <v>#N/A N/A</v>
      </c>
      <c r="BKL29" t="str">
        <f>SOFR3mo_PX[[#This Row],[Column1650]]</f>
        <v>#N/A N/A</v>
      </c>
      <c r="BKM29" t="str">
        <f>SOFR3mo_PX[[#This Row],[Column1651]]</f>
        <v>#N/A N/A</v>
      </c>
      <c r="BKN29" t="str">
        <f>SOFR3mo_PX[[#This Row],[Column1652]]</f>
        <v>#N/A N/A</v>
      </c>
      <c r="BKO29" t="str">
        <f>SOFR3mo_PX[[#This Row],[Column1653]]</f>
        <v>#N/A N/A</v>
      </c>
      <c r="BKP29" t="str">
        <f>SOFR3mo_PX[[#This Row],[Column1654]]</f>
        <v>#N/A N/A</v>
      </c>
      <c r="BKQ29" t="str">
        <f>SOFR3mo_PX[[#This Row],[Column1655]]</f>
        <v>#N/A N/A</v>
      </c>
      <c r="BKR29" t="str">
        <f>SOFR3mo_PX[[#This Row],[Column1656]]</f>
        <v>#N/A N/A</v>
      </c>
      <c r="BKS29" t="str">
        <f>SOFR3mo_PX[[#This Row],[Column1657]]</f>
        <v>#N/A N/A</v>
      </c>
      <c r="BKT29" t="str">
        <f>SOFR3mo_PX[[#This Row],[Column1658]]</f>
        <v>#N/A N/A</v>
      </c>
      <c r="BKU29" t="str">
        <f>SOFR3mo_PX[[#This Row],[Column1659]]</f>
        <v>#N/A N/A</v>
      </c>
      <c r="BKV29" t="str">
        <f>SOFR3mo_PX[[#This Row],[Column1660]]</f>
        <v>#N/A N/A</v>
      </c>
      <c r="BKW29" t="str">
        <f>SOFR3mo_PX[[#This Row],[Column1661]]</f>
        <v>#N/A N/A</v>
      </c>
      <c r="BKX29" t="str">
        <f>SOFR3mo_PX[[#This Row],[Column1662]]</f>
        <v>#N/A N/A</v>
      </c>
      <c r="BKY29" t="str">
        <f>SOFR3mo_PX[[#This Row],[Column1663]]</f>
        <v>#N/A N/A</v>
      </c>
      <c r="BKZ29" t="str">
        <f>SOFR3mo_PX[[#This Row],[Column1664]]</f>
        <v>#N/A N/A</v>
      </c>
      <c r="BLA29" t="str">
        <f>SOFR3mo_PX[[#This Row],[Column1665]]</f>
        <v>#N/A N/A</v>
      </c>
      <c r="BLB29" t="str">
        <f>SOFR3mo_PX[[#This Row],[Column1666]]</f>
        <v>#N/A N/A</v>
      </c>
      <c r="BLC29" t="str">
        <f>SOFR3mo_PX[[#This Row],[Column1667]]</f>
        <v>#N/A N/A</v>
      </c>
      <c r="BLD29" t="str">
        <f>SOFR3mo_PX[[#This Row],[Column1668]]</f>
        <v>#N/A N/A</v>
      </c>
      <c r="BLE29" t="str">
        <f>SOFR3mo_PX[[#This Row],[Column1669]]</f>
        <v>#N/A N/A</v>
      </c>
      <c r="BLF29" t="str">
        <f>SOFR3mo_PX[[#This Row],[Column1670]]</f>
        <v>#N/A N/A</v>
      </c>
      <c r="BLG29" t="str">
        <f>SOFR3mo_PX[[#This Row],[Column1671]]</f>
        <v>#N/A N/A</v>
      </c>
      <c r="BLH29" t="str">
        <f>SOFR3mo_PX[[#This Row],[Column1672]]</f>
        <v>#N/A N/A</v>
      </c>
      <c r="BLI29" t="str">
        <f>SOFR3mo_PX[[#This Row],[Column1673]]</f>
        <v>#N/A N/A</v>
      </c>
      <c r="BLJ29" t="str">
        <f>SOFR3mo_PX[[#This Row],[Column1674]]</f>
        <v>#N/A N/A</v>
      </c>
      <c r="BLK29" t="str">
        <f>SOFR3mo_PX[[#This Row],[Column1675]]</f>
        <v>#N/A N/A</v>
      </c>
      <c r="BLL29" t="str">
        <f>SOFR3mo_PX[[#This Row],[Column1676]]</f>
        <v>#N/A N/A</v>
      </c>
      <c r="BLM29" t="str">
        <f>SOFR3mo_PX[[#This Row],[Column1677]]</f>
        <v>#N/A N/A</v>
      </c>
      <c r="BLN29" t="str">
        <f>SOFR3mo_PX[[#This Row],[Column1678]]</f>
        <v>#N/A N/A</v>
      </c>
      <c r="BLO29" t="str">
        <f>SOFR3mo_PX[[#This Row],[Column1679]]</f>
        <v>#N/A N/A</v>
      </c>
      <c r="BLP29" t="str">
        <f>SOFR3mo_PX[[#This Row],[Column1680]]</f>
        <v>#N/A N/A</v>
      </c>
      <c r="BLQ29" t="str">
        <f>SOFR3mo_PX[[#This Row],[Column1681]]</f>
        <v>#N/A N/A</v>
      </c>
      <c r="BLR29" t="str">
        <f>SOFR3mo_PX[[#This Row],[Column1682]]</f>
        <v>#N/A N/A</v>
      </c>
      <c r="BLS29" t="str">
        <f>SOFR3mo_PX[[#This Row],[Column1683]]</f>
        <v>#N/A N/A</v>
      </c>
      <c r="BLT29" t="str">
        <f>SOFR3mo_PX[[#This Row],[Column1684]]</f>
        <v>#N/A N/A</v>
      </c>
      <c r="BLU29" t="str">
        <f>SOFR3mo_PX[[#This Row],[Column1685]]</f>
        <v>#N/A N/A</v>
      </c>
      <c r="BLV29" t="str">
        <f>SOFR3mo_PX[[#This Row],[Column1686]]</f>
        <v>#N/A N/A</v>
      </c>
      <c r="BLW29" t="str">
        <f>SOFR3mo_PX[[#This Row],[Column1687]]</f>
        <v>#N/A N/A</v>
      </c>
      <c r="BLX29" t="str">
        <f>SOFR3mo_PX[[#This Row],[Column1688]]</f>
        <v>#N/A N/A</v>
      </c>
      <c r="BLY29" t="str">
        <f>SOFR3mo_PX[[#This Row],[Column1689]]</f>
        <v>#N/A N/A</v>
      </c>
      <c r="BLZ29" t="str">
        <f>SOFR3mo_PX[[#This Row],[Column1690]]</f>
        <v>#N/A N/A</v>
      </c>
      <c r="BMA29" t="str">
        <f>SOFR3mo_PX[[#This Row],[Column1691]]</f>
        <v>#N/A N/A</v>
      </c>
      <c r="BMB29" t="str">
        <f>SOFR3mo_PX[[#This Row],[Column1692]]</f>
        <v>#N/A N/A</v>
      </c>
      <c r="BMC29" t="str">
        <f>SOFR3mo_PX[[#This Row],[Column1693]]</f>
        <v>#N/A N/A</v>
      </c>
      <c r="BMD29" t="str">
        <f>SOFR3mo_PX[[#This Row],[Column1694]]</f>
        <v>#N/A N/A</v>
      </c>
      <c r="BME29" t="str">
        <f>SOFR3mo_PX[[#This Row],[Column1695]]</f>
        <v>#N/A N/A</v>
      </c>
      <c r="BMF29" t="str">
        <f>SOFR3mo_PX[[#This Row],[Column1696]]</f>
        <v>#N/A N/A</v>
      </c>
      <c r="BMG29" t="str">
        <f>SOFR3mo_PX[[#This Row],[Column1697]]</f>
        <v>#N/A N/A</v>
      </c>
      <c r="BMH29" t="str">
        <f>SOFR3mo_PX[[#This Row],[Column1698]]</f>
        <v>#N/A N/A</v>
      </c>
      <c r="BMI29" t="str">
        <f>SOFR3mo_PX[[#This Row],[Column1699]]</f>
        <v>#N/A N/A</v>
      </c>
      <c r="BMJ29" t="str">
        <f>SOFR3mo_PX[[#This Row],[Column1700]]</f>
        <v>#N/A N/A</v>
      </c>
      <c r="BMK29" t="str">
        <f>SOFR3mo_PX[[#This Row],[Column1701]]</f>
        <v>#N/A N/A</v>
      </c>
      <c r="BML29" t="str">
        <f>SOFR3mo_PX[[#This Row],[Column1702]]</f>
        <v>#N/A N/A</v>
      </c>
      <c r="BMM29" t="str">
        <f>SOFR3mo_PX[[#This Row],[Column1703]]</f>
        <v>#N/A N/A</v>
      </c>
      <c r="BMN29" t="str">
        <f>SOFR3mo_PX[[#This Row],[Column1704]]</f>
        <v>#N/A N/A</v>
      </c>
      <c r="BMO29" t="str">
        <f>SOFR3mo_PX[[#This Row],[Column1705]]</f>
        <v>#N/A N/A</v>
      </c>
      <c r="BMP29" t="str">
        <f>SOFR3mo_PX[[#This Row],[Column1706]]</f>
        <v>#N/A N/A</v>
      </c>
      <c r="BMQ29" t="str">
        <f>SOFR3mo_PX[[#This Row],[Column1707]]</f>
        <v>#N/A N/A</v>
      </c>
      <c r="BMR29" t="str">
        <f>SOFR3mo_PX[[#This Row],[Column1708]]</f>
        <v>#N/A N/A</v>
      </c>
      <c r="BMS29" t="str">
        <f>SOFR3mo_PX[[#This Row],[Column1709]]</f>
        <v>#N/A N/A</v>
      </c>
      <c r="BMT29" t="str">
        <f>SOFR3mo_PX[[#This Row],[Column1710]]</f>
        <v>#N/A N/A</v>
      </c>
      <c r="BMU29" t="str">
        <f>SOFR3mo_PX[[#This Row],[Column1711]]</f>
        <v>#N/A N/A</v>
      </c>
      <c r="BMV29" t="str">
        <f>SOFR3mo_PX[[#This Row],[Column1712]]</f>
        <v>#N/A N/A</v>
      </c>
      <c r="BMW29" t="str">
        <f>SOFR3mo_PX[[#This Row],[Column1713]]</f>
        <v>#N/A N/A</v>
      </c>
      <c r="BMX29" t="str">
        <f>SOFR3mo_PX[[#This Row],[Column1714]]</f>
        <v>#N/A N/A</v>
      </c>
      <c r="BMY29" t="str">
        <f>SOFR3mo_PX[[#This Row],[Column1715]]</f>
        <v>#N/A N/A</v>
      </c>
      <c r="BMZ29" t="str">
        <f>SOFR3mo_PX[[#This Row],[Column1716]]</f>
        <v>#N/A N/A</v>
      </c>
      <c r="BNA29" t="str">
        <f>SOFR3mo_PX[[#This Row],[Column1717]]</f>
        <v>#N/A N/A</v>
      </c>
      <c r="BNB29" t="str">
        <f>SOFR3mo_PX[[#This Row],[Column1718]]</f>
        <v>#N/A N/A</v>
      </c>
      <c r="BNC29" t="str">
        <f>SOFR3mo_PX[[#This Row],[Column1719]]</f>
        <v>#N/A N/A</v>
      </c>
      <c r="BND29" t="str">
        <f>SOFR3mo_PX[[#This Row],[Column1720]]</f>
        <v>#N/A N/A</v>
      </c>
      <c r="BNE29" t="str">
        <f>SOFR3mo_PX[[#This Row],[Column1721]]</f>
        <v>#N/A N/A</v>
      </c>
      <c r="BNF29" t="str">
        <f>SOFR3mo_PX[[#This Row],[Column1722]]</f>
        <v>#N/A N/A</v>
      </c>
      <c r="BNG29" t="str">
        <f>SOFR3mo_PX[[#This Row],[Column1723]]</f>
        <v>#N/A N/A</v>
      </c>
      <c r="BNH29" t="str">
        <f>SOFR3mo_PX[[#This Row],[Column1724]]</f>
        <v>#N/A N/A</v>
      </c>
      <c r="BNI29" t="str">
        <f>SOFR3mo_PX[[#This Row],[Column1725]]</f>
        <v>#N/A N/A</v>
      </c>
      <c r="BNJ29" t="str">
        <f>SOFR3mo_PX[[#This Row],[Column1726]]</f>
        <v>#N/A N/A</v>
      </c>
      <c r="BNK29" t="str">
        <f>SOFR3mo_PX[[#This Row],[Column1727]]</f>
        <v>#N/A N/A</v>
      </c>
      <c r="BNL29" t="str">
        <f>SOFR3mo_PX[[#This Row],[Column1728]]</f>
        <v>#N/A N/A</v>
      </c>
      <c r="BNM29" t="str">
        <f>SOFR3mo_PX[[#This Row],[Column1729]]</f>
        <v>#N/A N/A</v>
      </c>
      <c r="BNN29" t="str">
        <f>SOFR3mo_PX[[#This Row],[Column1730]]</f>
        <v>#N/A N/A</v>
      </c>
      <c r="BNO29" t="str">
        <f>SOFR3mo_PX[[#This Row],[Column1731]]</f>
        <v>#N/A N/A</v>
      </c>
      <c r="BNP29" t="str">
        <f>SOFR3mo_PX[[#This Row],[Column1732]]</f>
        <v>#N/A N/A</v>
      </c>
      <c r="BNQ29" t="str">
        <f>SOFR3mo_PX[[#This Row],[Column1733]]</f>
        <v>#N/A N/A</v>
      </c>
      <c r="BNR29" t="str">
        <f>SOFR3mo_PX[[#This Row],[Column1734]]</f>
        <v>#N/A N/A</v>
      </c>
      <c r="BNS29" t="str">
        <f>SOFR3mo_PX[[#This Row],[Column1735]]</f>
        <v>#N/A N/A</v>
      </c>
      <c r="BNT29" t="str">
        <f>SOFR3mo_PX[[#This Row],[Column1736]]</f>
        <v>#N/A N/A</v>
      </c>
      <c r="BNU29" t="str">
        <f>SOFR3mo_PX[[#This Row],[Column1737]]</f>
        <v>#N/A N/A</v>
      </c>
      <c r="BNV29" t="str">
        <f>SOFR3mo_PX[[#This Row],[Column1738]]</f>
        <v>#N/A N/A</v>
      </c>
      <c r="BNW29" t="str">
        <f>SOFR3mo_PX[[#This Row],[Column1739]]</f>
        <v>#N/A N/A</v>
      </c>
      <c r="BNX29" t="str">
        <f>SOFR3mo_PX[[#This Row],[Column1740]]</f>
        <v>#N/A N/A</v>
      </c>
      <c r="BNY29" t="str">
        <f>SOFR3mo_PX[[#This Row],[Column1741]]</f>
        <v>#N/A N/A</v>
      </c>
      <c r="BNZ29" t="str">
        <f>SOFR3mo_PX[[#This Row],[Column1742]]</f>
        <v>#N/A N/A</v>
      </c>
      <c r="BOA29" t="str">
        <f>SOFR3mo_PX[[#This Row],[Column1743]]</f>
        <v>#N/A N/A</v>
      </c>
      <c r="BOB29" t="str">
        <f>SOFR3mo_PX[[#This Row],[Column1744]]</f>
        <v>#N/A N/A</v>
      </c>
      <c r="BOC29" t="str">
        <f>SOFR3mo_PX[[#This Row],[Column1745]]</f>
        <v>#N/A N/A</v>
      </c>
      <c r="BOD29" t="str">
        <f>SOFR3mo_PX[[#This Row],[Column1746]]</f>
        <v>#N/A N/A</v>
      </c>
      <c r="BOE29" t="str">
        <f>SOFR3mo_PX[[#This Row],[Column1747]]</f>
        <v>#N/A N/A</v>
      </c>
      <c r="BOF29" t="str">
        <f>SOFR3mo_PX[[#This Row],[Column1748]]</f>
        <v>#N/A N/A</v>
      </c>
      <c r="BOG29" t="str">
        <f>SOFR3mo_PX[[#This Row],[Column1749]]</f>
        <v>#N/A N/A</v>
      </c>
      <c r="BOH29" t="str">
        <f>SOFR3mo_PX[[#This Row],[Column1750]]</f>
        <v>#N/A N/A</v>
      </c>
      <c r="BOI29" t="str">
        <f>SOFR3mo_PX[[#This Row],[Column1751]]</f>
        <v>#N/A N/A</v>
      </c>
      <c r="BOJ29" t="str">
        <f>SOFR3mo_PX[[#This Row],[Column1752]]</f>
        <v>#N/A N/A</v>
      </c>
      <c r="BOK29" t="str">
        <f>SOFR3mo_PX[[#This Row],[Column1753]]</f>
        <v>#N/A N/A</v>
      </c>
      <c r="BOL29" t="str">
        <f>SOFR3mo_PX[[#This Row],[Column1754]]</f>
        <v>#N/A N/A</v>
      </c>
      <c r="BOM29" t="str">
        <f>SOFR3mo_PX[[#This Row],[Column1755]]</f>
        <v>#N/A N/A</v>
      </c>
      <c r="BON29" t="str">
        <f>SOFR3mo_PX[[#This Row],[Column1756]]</f>
        <v>#N/A N/A</v>
      </c>
      <c r="BOO29" t="str">
        <f>SOFR3mo_PX[[#This Row],[Column1757]]</f>
        <v>#N/A N/A</v>
      </c>
      <c r="BOP29" t="str">
        <f>SOFR3mo_PX[[#This Row],[Column1758]]</f>
        <v>#N/A N/A</v>
      </c>
      <c r="BOQ29" t="str">
        <f>SOFR3mo_PX[[#This Row],[Column1759]]</f>
        <v>#N/A N/A</v>
      </c>
      <c r="BOR29" t="str">
        <f>SOFR3mo_PX[[#This Row],[Column1760]]</f>
        <v>#N/A N/A</v>
      </c>
      <c r="BOS29" t="str">
        <f>SOFR3mo_PX[[#This Row],[Column1761]]</f>
        <v>#N/A N/A</v>
      </c>
      <c r="BOT29" t="str">
        <f>SOFR3mo_PX[[#This Row],[Column1762]]</f>
        <v>#N/A N/A</v>
      </c>
      <c r="BOU29" t="str">
        <f>SOFR3mo_PX[[#This Row],[Column1763]]</f>
        <v>#N/A N/A</v>
      </c>
      <c r="BOV29" t="str">
        <f>SOFR3mo_PX[[#This Row],[Column1764]]</f>
        <v>#N/A N/A</v>
      </c>
      <c r="BOW29" t="str">
        <f>SOFR3mo_PX[[#This Row],[Column1765]]</f>
        <v>#N/A N/A</v>
      </c>
      <c r="BOX29" t="str">
        <f>SOFR3mo_PX[[#This Row],[Column1766]]</f>
        <v>#N/A N/A</v>
      </c>
      <c r="BOY29" t="str">
        <f>SOFR3mo_PX[[#This Row],[Column1767]]</f>
        <v>#N/A N/A</v>
      </c>
      <c r="BOZ29" t="str">
        <f>SOFR3mo_PX[[#This Row],[Column1768]]</f>
        <v>#N/A N/A</v>
      </c>
      <c r="BPA29" t="str">
        <f>SOFR3mo_PX[[#This Row],[Column1769]]</f>
        <v>#N/A N/A</v>
      </c>
      <c r="BPB29" t="str">
        <f>SOFR3mo_PX[[#This Row],[Column1770]]</f>
        <v>#N/A N/A</v>
      </c>
      <c r="BPC29" t="str">
        <f>SOFR3mo_PX[[#This Row],[Column1771]]</f>
        <v>#N/A N/A</v>
      </c>
      <c r="BPD29" t="str">
        <f>SOFR3mo_PX[[#This Row],[Column1772]]</f>
        <v>#N/A N/A</v>
      </c>
      <c r="BPE29" t="str">
        <f>SOFR3mo_PX[[#This Row],[Column1773]]</f>
        <v>#N/A N/A</v>
      </c>
      <c r="BPF29" t="str">
        <f>SOFR3mo_PX[[#This Row],[Column1774]]</f>
        <v>#N/A N/A</v>
      </c>
      <c r="BPG29" t="str">
        <f>SOFR3mo_PX[[#This Row],[Column1775]]</f>
        <v>#N/A N/A</v>
      </c>
      <c r="BPH29" t="str">
        <f>SOFR3mo_PX[[#This Row],[Column1776]]</f>
        <v>#N/A N/A</v>
      </c>
      <c r="BPI29" t="str">
        <f>SOFR3mo_PX[[#This Row],[Column1777]]</f>
        <v>#N/A N/A</v>
      </c>
      <c r="BPJ29" t="str">
        <f>SOFR3mo_PX[[#This Row],[Column1778]]</f>
        <v>#N/A N/A</v>
      </c>
      <c r="BPK29" t="str">
        <f>SOFR3mo_PX[[#This Row],[Column1779]]</f>
        <v>#N/A N/A</v>
      </c>
      <c r="BPL29" t="str">
        <f>SOFR3mo_PX[[#This Row],[Column1780]]</f>
        <v>#N/A N/A</v>
      </c>
      <c r="BPM29" t="str">
        <f>SOFR3mo_PX[[#This Row],[Column1781]]</f>
        <v>#N/A N/A</v>
      </c>
      <c r="BPN29" t="str">
        <f>SOFR3mo_PX[[#This Row],[Column1782]]</f>
        <v>#N/A N/A</v>
      </c>
      <c r="BPO29" t="str">
        <f>SOFR3mo_PX[[#This Row],[Column1783]]</f>
        <v>#N/A N/A</v>
      </c>
      <c r="BPP29" t="str">
        <f>SOFR3mo_PX[[#This Row],[Column1784]]</f>
        <v>#N/A N/A</v>
      </c>
      <c r="BPQ29" t="str">
        <f>SOFR3mo_PX[[#This Row],[Column1785]]</f>
        <v>#N/A N/A</v>
      </c>
      <c r="BPR29" t="str">
        <f>SOFR3mo_PX[[#This Row],[Column1786]]</f>
        <v>#N/A N/A</v>
      </c>
      <c r="BPS29" t="str">
        <f>SOFR3mo_PX[[#This Row],[Column1787]]</f>
        <v>#N/A N/A</v>
      </c>
      <c r="BPT29" t="str">
        <f>SOFR3mo_PX[[#This Row],[Column1788]]</f>
        <v>#N/A N/A</v>
      </c>
      <c r="BPU29" t="str">
        <f>SOFR3mo_PX[[#This Row],[Column1789]]</f>
        <v>#N/A N/A</v>
      </c>
      <c r="BPV29" t="str">
        <f>SOFR3mo_PX[[#This Row],[Column1790]]</f>
        <v>#N/A N/A</v>
      </c>
      <c r="BPW29" t="str">
        <f>SOFR3mo_PX[[#This Row],[Column1791]]</f>
        <v>#N/A N/A</v>
      </c>
      <c r="BPX29" t="str">
        <f>SOFR3mo_PX[[#This Row],[Column1792]]</f>
        <v>#N/A N/A</v>
      </c>
      <c r="BPY29" t="str">
        <f>SOFR3mo_PX[[#This Row],[Column1793]]</f>
        <v>#N/A N/A</v>
      </c>
      <c r="BPZ29" t="str">
        <f>SOFR3mo_PX[[#This Row],[Column1794]]</f>
        <v>#N/A N/A</v>
      </c>
      <c r="BQA29" t="str">
        <f>SOFR3mo_PX[[#This Row],[Column1795]]</f>
        <v>#N/A N/A</v>
      </c>
      <c r="BQB29" t="str">
        <f>SOFR3mo_PX[[#This Row],[Column1796]]</f>
        <v>#N/A N/A</v>
      </c>
      <c r="BQC29" t="str">
        <f>SOFR3mo_PX[[#This Row],[Column1797]]</f>
        <v>#N/A N/A</v>
      </c>
      <c r="BQD29" t="str">
        <f>SOFR3mo_PX[[#This Row],[Column1798]]</f>
        <v>#N/A N/A</v>
      </c>
      <c r="BQE29" t="str">
        <f>SOFR3mo_PX[[#This Row],[Column1799]]</f>
        <v>#N/A N/A</v>
      </c>
      <c r="BQF29" t="str">
        <f>SOFR3mo_PX[[#This Row],[Column1800]]</f>
        <v>#N/A N/A</v>
      </c>
      <c r="BQG29" t="str">
        <f>SOFR3mo_PX[[#This Row],[Column1801]]</f>
        <v>#N/A N/A</v>
      </c>
      <c r="BQH29" t="str">
        <f>SOFR3mo_PX[[#This Row],[Column1802]]</f>
        <v>#N/A N/A</v>
      </c>
      <c r="BQI29" t="str">
        <f>SOFR3mo_PX[[#This Row],[Column1803]]</f>
        <v>#N/A N/A</v>
      </c>
      <c r="BQJ29" t="str">
        <f>SOFR3mo_PX[[#This Row],[Column1804]]</f>
        <v>#N/A N/A</v>
      </c>
      <c r="BQK29" t="str">
        <f>SOFR3mo_PX[[#This Row],[Column1805]]</f>
        <v>#N/A N/A</v>
      </c>
      <c r="BQL29" t="str">
        <f>SOFR3mo_PX[[#This Row],[Column1806]]</f>
        <v>#N/A N/A</v>
      </c>
      <c r="BQM29" t="str">
        <f>SOFR3mo_PX[[#This Row],[Column1807]]</f>
        <v>#N/A N/A</v>
      </c>
      <c r="BQN29" t="str">
        <f>SOFR3mo_PX[[#This Row],[Column1808]]</f>
        <v>#N/A N/A</v>
      </c>
      <c r="BQO29" t="str">
        <f>SOFR3mo_PX[[#This Row],[Column1809]]</f>
        <v>#N/A N/A</v>
      </c>
      <c r="BQP29" t="str">
        <f>SOFR3mo_PX[[#This Row],[Column1810]]</f>
        <v>#N/A N/A</v>
      </c>
      <c r="BQQ29" t="str">
        <f>SOFR3mo_PX[[#This Row],[Column1811]]</f>
        <v>#N/A N/A</v>
      </c>
      <c r="BQR29" t="str">
        <f>SOFR3mo_PX[[#This Row],[Column1812]]</f>
        <v>#N/A N/A</v>
      </c>
      <c r="BQS29" t="str">
        <f>SOFR3mo_PX[[#This Row],[Column1813]]</f>
        <v>#N/A N/A</v>
      </c>
      <c r="BQT29" t="str">
        <f>SOFR3mo_PX[[#This Row],[Column1814]]</f>
        <v>#N/A N/A</v>
      </c>
      <c r="BQU29" t="str">
        <f>SOFR3mo_PX[[#This Row],[Column1815]]</f>
        <v>#N/A N/A</v>
      </c>
      <c r="BQV29" t="str">
        <f>SOFR3mo_PX[[#This Row],[Column1816]]</f>
        <v>#N/A N/A</v>
      </c>
      <c r="BQW29" t="str">
        <f>SOFR3mo_PX[[#This Row],[Column1817]]</f>
        <v>#N/A N/A</v>
      </c>
      <c r="BQX29" t="str">
        <f>SOFR3mo_PX[[#This Row],[Column1818]]</f>
        <v>#N/A N/A</v>
      </c>
      <c r="BQY29" t="str">
        <f>SOFR3mo_PX[[#This Row],[Column1819]]</f>
        <v>#N/A N/A</v>
      </c>
      <c r="BQZ29" t="str">
        <f>SOFR3mo_PX[[#This Row],[Column1820]]</f>
        <v>#N/A N/A</v>
      </c>
      <c r="BRA29" t="str">
        <f>SOFR3mo_PX[[#This Row],[Column1821]]</f>
        <v>#N/A N/A</v>
      </c>
      <c r="BRB29" t="str">
        <f>SOFR3mo_PX[[#This Row],[Column1822]]</f>
        <v>#N/A N/A</v>
      </c>
      <c r="BRC29" t="str">
        <f>SOFR3mo_PX[[#This Row],[Column1823]]</f>
        <v>#N/A N/A</v>
      </c>
      <c r="BRD29" t="str">
        <f>SOFR3mo_PX[[#This Row],[Column1824]]</f>
        <v>#N/A N/A</v>
      </c>
      <c r="BRE29" t="str">
        <f>SOFR3mo_PX[[#This Row],[Column1825]]</f>
        <v>#N/A N/A</v>
      </c>
      <c r="BRF29" t="str">
        <f>SOFR3mo_PX[[#This Row],[Column1826]]</f>
        <v>#N/A N/A</v>
      </c>
      <c r="BRG29" t="str">
        <f>SOFR3mo_PX[[#This Row],[Column1827]]</f>
        <v>#N/A N/A</v>
      </c>
      <c r="BRH29" t="str">
        <f>SOFR3mo_PX[[#This Row],[Column1828]]</f>
        <v>#N/A N/A</v>
      </c>
      <c r="BRI29" t="str">
        <f>SOFR3mo_PX[[#This Row],[Column1829]]</f>
        <v>#N/A N/A</v>
      </c>
      <c r="BRJ29" t="str">
        <f>SOFR3mo_PX[[#This Row],[Column1830]]</f>
        <v>#N/A N/A</v>
      </c>
      <c r="BRK29" t="str">
        <f>SOFR3mo_PX[[#This Row],[Column1831]]</f>
        <v>#N/A N/A</v>
      </c>
      <c r="BRL29" t="str">
        <f>SOFR3mo_PX[[#This Row],[Column1832]]</f>
        <v>#N/A N/A</v>
      </c>
      <c r="BRM29" t="str">
        <f>SOFR3mo_PX[[#This Row],[Column1833]]</f>
        <v>#N/A N/A</v>
      </c>
      <c r="BRN29" t="str">
        <f>SOFR3mo_PX[[#This Row],[Column1834]]</f>
        <v>#N/A N/A</v>
      </c>
      <c r="BRO29" t="str">
        <f>SOFR3mo_PX[[#This Row],[Column1835]]</f>
        <v>#N/A N/A</v>
      </c>
      <c r="BRP29" t="str">
        <f>SOFR3mo_PX[[#This Row],[Column1836]]</f>
        <v>#N/A N/A</v>
      </c>
      <c r="BRQ29" t="str">
        <f>SOFR3mo_PX[[#This Row],[Column1837]]</f>
        <v>#N/A N/A</v>
      </c>
      <c r="BRR29" t="str">
        <f>SOFR3mo_PX[[#This Row],[Column1838]]</f>
        <v>#N/A N/A</v>
      </c>
      <c r="BRS29" t="str">
        <f>SOFR3mo_PX[[#This Row],[Column1839]]</f>
        <v>#N/A N/A</v>
      </c>
      <c r="BRT29" t="str">
        <f>SOFR3mo_PX[[#This Row],[Column1840]]</f>
        <v>#N/A N/A</v>
      </c>
      <c r="BRU29" t="str">
        <f>SOFR3mo_PX[[#This Row],[Column1841]]</f>
        <v>#N/A N/A</v>
      </c>
      <c r="BRV29" t="str">
        <f>SOFR3mo_PX[[#This Row],[Column1842]]</f>
        <v>#N/A N/A</v>
      </c>
      <c r="BRW29" t="str">
        <f>SOFR3mo_PX[[#This Row],[Column1843]]</f>
        <v>#N/A N/A</v>
      </c>
      <c r="BRX29" t="str">
        <f>SOFR3mo_PX[[#This Row],[Column1844]]</f>
        <v>#N/A N/A</v>
      </c>
      <c r="BRY29" t="str">
        <f>SOFR3mo_PX[[#This Row],[Column1845]]</f>
        <v>#N/A N/A</v>
      </c>
      <c r="BRZ29" t="str">
        <f>SOFR3mo_PX[[#This Row],[Column1846]]</f>
        <v>#N/A N/A</v>
      </c>
      <c r="BSA29" t="str">
        <f>SOFR3mo_PX[[#This Row],[Column1847]]</f>
        <v>#N/A N/A</v>
      </c>
      <c r="BSB29" t="str">
        <f>SOFR3mo_PX[[#This Row],[Column1848]]</f>
        <v>#N/A N/A</v>
      </c>
      <c r="BSC29" t="str">
        <f>SOFR3mo_PX[[#This Row],[Column1849]]</f>
        <v>#N/A N/A</v>
      </c>
      <c r="BSD29" t="str">
        <f>SOFR3mo_PX[[#This Row],[Column1850]]</f>
        <v>#N/A N/A</v>
      </c>
      <c r="BSE29" t="str">
        <f>SOFR3mo_PX[[#This Row],[Column1851]]</f>
        <v>#N/A N/A</v>
      </c>
      <c r="BSF29" t="str">
        <f>SOFR3mo_PX[[#This Row],[Column1852]]</f>
        <v>#N/A N/A</v>
      </c>
      <c r="BSG29" t="str">
        <f>SOFR3mo_PX[[#This Row],[Column1853]]</f>
        <v>#N/A N/A</v>
      </c>
      <c r="BSH29" t="str">
        <f>SOFR3mo_PX[[#This Row],[Column1854]]</f>
        <v>#N/A N/A</v>
      </c>
      <c r="BSI29" t="str">
        <f>SOFR3mo_PX[[#This Row],[Column1855]]</f>
        <v>#N/A N/A</v>
      </c>
      <c r="BSJ29" t="str">
        <f>SOFR3mo_PX[[#This Row],[Column1856]]</f>
        <v>#N/A N/A</v>
      </c>
      <c r="BSK29" t="str">
        <f>SOFR3mo_PX[[#This Row],[Column1857]]</f>
        <v>#N/A N/A</v>
      </c>
      <c r="BSL29" t="str">
        <f>SOFR3mo_PX[[#This Row],[Column1858]]</f>
        <v>#N/A N/A</v>
      </c>
      <c r="BSM29" t="str">
        <f>SOFR3mo_PX[[#This Row],[Column1859]]</f>
        <v>#N/A N/A</v>
      </c>
      <c r="BSN29" t="str">
        <f>SOFR3mo_PX[[#This Row],[Column1860]]</f>
        <v>#N/A N/A</v>
      </c>
      <c r="BSO29" t="str">
        <f>SOFR3mo_PX[[#This Row],[Column1861]]</f>
        <v>#N/A N/A</v>
      </c>
      <c r="BSP29" t="str">
        <f>SOFR3mo_PX[[#This Row],[Column1862]]</f>
        <v>#N/A N/A</v>
      </c>
      <c r="BSQ29" t="str">
        <f>SOFR3mo_PX[[#This Row],[Column1863]]</f>
        <v>#N/A N/A</v>
      </c>
      <c r="BSR29" t="str">
        <f>SOFR3mo_PX[[#This Row],[Column1864]]</f>
        <v>#N/A N/A</v>
      </c>
      <c r="BSS29" t="str">
        <f>SOFR3mo_PX[[#This Row],[Column1865]]</f>
        <v>#N/A N/A</v>
      </c>
      <c r="BST29" t="str">
        <f>SOFR3mo_PX[[#This Row],[Column1866]]</f>
        <v>#N/A N/A</v>
      </c>
      <c r="BSU29" t="str">
        <f>SOFR3mo_PX[[#This Row],[Column1867]]</f>
        <v>#N/A N/A</v>
      </c>
      <c r="BSV29" t="str">
        <f>SOFR3mo_PX[[#This Row],[Column1868]]</f>
        <v>#N/A N/A</v>
      </c>
      <c r="BSW29" t="str">
        <f>SOFR3mo_PX[[#This Row],[Column1869]]</f>
        <v>#N/A N/A</v>
      </c>
      <c r="BSX29" t="str">
        <f>SOFR3mo_PX[[#This Row],[Column1870]]</f>
        <v>#N/A N/A</v>
      </c>
      <c r="BSY29" t="str">
        <f>SOFR3mo_PX[[#This Row],[Column1871]]</f>
        <v>#N/A N/A</v>
      </c>
      <c r="BSZ29" t="str">
        <f>SOFR3mo_PX[[#This Row],[Column1872]]</f>
        <v>#N/A N/A</v>
      </c>
      <c r="BTA29" t="str">
        <f>SOFR3mo_PX[[#This Row],[Column1873]]</f>
        <v>#N/A N/A</v>
      </c>
      <c r="BTB29" t="str">
        <f>SOFR3mo_PX[[#This Row],[Column1874]]</f>
        <v>#N/A N/A</v>
      </c>
      <c r="BTC29" t="str">
        <f>SOFR3mo_PX[[#This Row],[Column1875]]</f>
        <v>#N/A N/A</v>
      </c>
      <c r="BTD29" t="str">
        <f>SOFR3mo_PX[[#This Row],[Column1876]]</f>
        <v>#N/A N/A</v>
      </c>
      <c r="BTE29" t="str">
        <f>SOFR3mo_PX[[#This Row],[Column1877]]</f>
        <v>#N/A N/A</v>
      </c>
      <c r="BTF29" t="str">
        <f>SOFR3mo_PX[[#This Row],[Column1878]]</f>
        <v>#N/A N/A</v>
      </c>
      <c r="BTG29" t="str">
        <f>SOFR3mo_PX[[#This Row],[Column1879]]</f>
        <v>#N/A N/A</v>
      </c>
      <c r="BTH29" t="str">
        <f>SOFR3mo_PX[[#This Row],[Column1880]]</f>
        <v>#N/A N/A</v>
      </c>
      <c r="BTI29" t="str">
        <f>SOFR3mo_PX[[#This Row],[Column1881]]</f>
        <v>#N/A N/A</v>
      </c>
      <c r="BTJ29" t="str">
        <f>SOFR3mo_PX[[#This Row],[Column1882]]</f>
        <v>#N/A N/A</v>
      </c>
      <c r="BTK29" t="str">
        <f>SOFR3mo_PX[[#This Row],[Column1883]]</f>
        <v>#N/A N/A</v>
      </c>
      <c r="BTL29" t="str">
        <f>SOFR3mo_PX[[#This Row],[Column1884]]</f>
        <v>#N/A N/A</v>
      </c>
      <c r="BTM29" t="str">
        <f>SOFR3mo_PX[[#This Row],[Column1885]]</f>
        <v>#N/A N/A</v>
      </c>
      <c r="BTN29" t="str">
        <f>SOFR3mo_PX[[#This Row],[Column1886]]</f>
        <v>#N/A N/A</v>
      </c>
      <c r="BTO29" t="str">
        <f>SOFR3mo_PX[[#This Row],[Column1887]]</f>
        <v>#N/A N/A</v>
      </c>
      <c r="BTP29" t="str">
        <f>SOFR3mo_PX[[#This Row],[Column1888]]</f>
        <v>#N/A N/A</v>
      </c>
      <c r="BTQ29" t="str">
        <f>SOFR3mo_PX[[#This Row],[Column1889]]</f>
        <v>#N/A N/A</v>
      </c>
      <c r="BTR29" t="str">
        <f>SOFR3mo_PX[[#This Row],[Column1890]]</f>
        <v>#N/A N/A</v>
      </c>
      <c r="BTS29" t="str">
        <f>SOFR3mo_PX[[#This Row],[Column1891]]</f>
        <v>#N/A N/A</v>
      </c>
      <c r="BTT29" t="str">
        <f>SOFR3mo_PX[[#This Row],[Column1892]]</f>
        <v>#N/A N/A</v>
      </c>
      <c r="BTU29" t="str">
        <f>SOFR3mo_PX[[#This Row],[Column1893]]</f>
        <v>#N/A N/A</v>
      </c>
      <c r="BTV29" t="str">
        <f>SOFR3mo_PX[[#This Row],[Column1894]]</f>
        <v>#N/A N/A</v>
      </c>
      <c r="BTW29" t="str">
        <f>SOFR3mo_PX[[#This Row],[Column1895]]</f>
        <v>#N/A N/A</v>
      </c>
      <c r="BTX29" t="str">
        <f>SOFR3mo_PX[[#This Row],[Column1896]]</f>
        <v>#N/A N/A</v>
      </c>
      <c r="BTY29" t="str">
        <f>SOFR3mo_PX[[#This Row],[Column1897]]</f>
        <v>#N/A N/A</v>
      </c>
      <c r="BTZ29" t="str">
        <f>SOFR3mo_PX[[#This Row],[Column1898]]</f>
        <v>#N/A N/A</v>
      </c>
      <c r="BUA29" t="str">
        <f>SOFR3mo_PX[[#This Row],[Column1899]]</f>
        <v>#N/A N/A</v>
      </c>
      <c r="BUB29" t="str">
        <f>SOFR3mo_PX[[#This Row],[Column1900]]</f>
        <v>#N/A N/A</v>
      </c>
      <c r="BUC29" t="str">
        <f>SOFR3mo_PX[[#This Row],[Column1901]]</f>
        <v>#N/A N/A</v>
      </c>
      <c r="BUD29" t="str">
        <f>SOFR3mo_PX[[#This Row],[Column1902]]</f>
        <v>#N/A N/A</v>
      </c>
      <c r="BUE29" t="str">
        <f>SOFR3mo_PX[[#This Row],[Column1903]]</f>
        <v>#N/A N/A</v>
      </c>
      <c r="BUF29" t="str">
        <f>SOFR3mo_PX[[#This Row],[Column1904]]</f>
        <v>#N/A N/A</v>
      </c>
      <c r="BUG29" t="str">
        <f>SOFR3mo_PX[[#This Row],[Column1905]]</f>
        <v>#N/A N/A</v>
      </c>
      <c r="BUH29" t="str">
        <f>SOFR3mo_PX[[#This Row],[Column1906]]</f>
        <v>#N/A N/A</v>
      </c>
      <c r="BUI29" t="str">
        <f>SOFR3mo_PX[[#This Row],[Column1907]]</f>
        <v>#N/A N/A</v>
      </c>
      <c r="BUJ29" t="str">
        <f>SOFR3mo_PX[[#This Row],[Column1908]]</f>
        <v>#N/A N/A</v>
      </c>
      <c r="BUK29" t="str">
        <f>SOFR3mo_PX[[#This Row],[Column1909]]</f>
        <v>#N/A N/A</v>
      </c>
      <c r="BUL29" t="str">
        <f>SOFR3mo_PX[[#This Row],[Column1910]]</f>
        <v>#N/A N/A</v>
      </c>
      <c r="BUM29" t="str">
        <f>SOFR3mo_PX[[#This Row],[Column1911]]</f>
        <v>#N/A N/A</v>
      </c>
      <c r="BUN29" t="str">
        <f>SOFR3mo_PX[[#This Row],[Column1912]]</f>
        <v>#N/A N/A</v>
      </c>
      <c r="BUO29" t="str">
        <f>SOFR3mo_PX[[#This Row],[Column1913]]</f>
        <v>#N/A N/A</v>
      </c>
      <c r="BUP29" t="str">
        <f>SOFR3mo_PX[[#This Row],[Column1914]]</f>
        <v>#N/A N/A</v>
      </c>
      <c r="BUQ29" t="str">
        <f>SOFR3mo_PX[[#This Row],[Column1915]]</f>
        <v>#N/A N/A</v>
      </c>
      <c r="BUR29" t="str">
        <f>SOFR3mo_PX[[#This Row],[Column1916]]</f>
        <v>#N/A N/A</v>
      </c>
      <c r="BUS29" t="str">
        <f>SOFR3mo_PX[[#This Row],[Column1917]]</f>
        <v>#N/A N/A</v>
      </c>
      <c r="BUT29" t="str">
        <f>SOFR3mo_PX[[#This Row],[Column1918]]</f>
        <v>#N/A N/A</v>
      </c>
      <c r="BUU29" t="str">
        <f>SOFR3mo_PX[[#This Row],[Column1919]]</f>
        <v>#N/A N/A</v>
      </c>
      <c r="BUV29" t="str">
        <f>SOFR3mo_PX[[#This Row],[Column1920]]</f>
        <v>#N/A N/A</v>
      </c>
      <c r="BUW29" t="str">
        <f>SOFR3mo_PX[[#This Row],[Column1921]]</f>
        <v>#N/A N/A</v>
      </c>
      <c r="BUX29" t="str">
        <f>SOFR3mo_PX[[#This Row],[Column1922]]</f>
        <v>#N/A N/A</v>
      </c>
      <c r="BUY29" t="str">
        <f>SOFR3mo_PX[[#This Row],[Column1923]]</f>
        <v>#N/A N/A</v>
      </c>
      <c r="BUZ29" t="str">
        <f>SOFR3mo_PX[[#This Row],[Column1924]]</f>
        <v>#N/A N/A</v>
      </c>
      <c r="BVA29" t="str">
        <f>SOFR3mo_PX[[#This Row],[Column1925]]</f>
        <v>#N/A N/A</v>
      </c>
      <c r="BVB29" t="str">
        <f>SOFR3mo_PX[[#This Row],[Column1926]]</f>
        <v>#N/A N/A</v>
      </c>
      <c r="BVC29" t="str">
        <f>SOFR3mo_PX[[#This Row],[Column1927]]</f>
        <v>#N/A N/A</v>
      </c>
      <c r="BVD29" t="str">
        <f>SOFR3mo_PX[[#This Row],[Column1928]]</f>
        <v>#N/A N/A</v>
      </c>
      <c r="BVE29" t="str">
        <f>SOFR3mo_PX[[#This Row],[Column1929]]</f>
        <v>#N/A N/A</v>
      </c>
      <c r="BVF29" t="str">
        <f>SOFR3mo_PX[[#This Row],[Column1930]]</f>
        <v>#N/A N/A</v>
      </c>
      <c r="BVG29" t="str">
        <f>SOFR3mo_PX[[#This Row],[Column1931]]</f>
        <v>#N/A N/A</v>
      </c>
      <c r="BVH29" t="str">
        <f>SOFR3mo_PX[[#This Row],[Column1932]]</f>
        <v>#N/A N/A</v>
      </c>
      <c r="BVI29" t="str">
        <f>SOFR3mo_PX[[#This Row],[Column1933]]</f>
        <v>#N/A N/A</v>
      </c>
      <c r="BVJ29" t="str">
        <f>SOFR3mo_PX[[#This Row],[Column1934]]</f>
        <v>#N/A N/A</v>
      </c>
      <c r="BVK29" t="str">
        <f>SOFR3mo_PX[[#This Row],[Column1935]]</f>
        <v>#N/A N/A</v>
      </c>
      <c r="BVL29" t="str">
        <f>SOFR3mo_PX[[#This Row],[Column1936]]</f>
        <v>#N/A N/A</v>
      </c>
      <c r="BVM29" t="str">
        <f>SOFR3mo_PX[[#This Row],[Column1937]]</f>
        <v>#N/A N/A</v>
      </c>
      <c r="BVN29" t="str">
        <f>SOFR3mo_PX[[#This Row],[Column1938]]</f>
        <v>#N/A N/A</v>
      </c>
      <c r="BVO29" t="str">
        <f>SOFR3mo_PX[[#This Row],[Column1939]]</f>
        <v>#N/A N/A</v>
      </c>
      <c r="BVP29" t="str">
        <f>SOFR3mo_PX[[#This Row],[Column1940]]</f>
        <v>#N/A N/A</v>
      </c>
      <c r="BVQ29" t="str">
        <f>SOFR3mo_PX[[#This Row],[Column1941]]</f>
        <v>#N/A N/A</v>
      </c>
      <c r="BVR29" t="str">
        <f>SOFR3mo_PX[[#This Row],[Column1942]]</f>
        <v>#N/A N/A</v>
      </c>
      <c r="BVS29" t="str">
        <f>SOFR3mo_PX[[#This Row],[Column1943]]</f>
        <v>#N/A N/A</v>
      </c>
      <c r="BVT29" t="str">
        <f>SOFR3mo_PX[[#This Row],[Column1944]]</f>
        <v>#N/A N/A</v>
      </c>
      <c r="BVU29" t="str">
        <f>SOFR3mo_PX[[#This Row],[Column1945]]</f>
        <v>#N/A N/A</v>
      </c>
      <c r="BVV29" t="str">
        <f>SOFR3mo_PX[[#This Row],[Column1946]]</f>
        <v>#N/A N/A</v>
      </c>
      <c r="BVW29" t="str">
        <f>SOFR3mo_PX[[#This Row],[Column1947]]</f>
        <v>#N/A N/A</v>
      </c>
      <c r="BVX29" t="str">
        <f>SOFR3mo_PX[[#This Row],[Column1948]]</f>
        <v>#N/A N/A</v>
      </c>
      <c r="BVY29" t="str">
        <f>SOFR3mo_PX[[#This Row],[Column1949]]</f>
        <v>#N/A N/A</v>
      </c>
      <c r="BVZ29" t="str">
        <f>SOFR3mo_PX[[#This Row],[Column1950]]</f>
        <v>#N/A N/A</v>
      </c>
      <c r="BWA29" t="str">
        <f>SOFR3mo_PX[[#This Row],[Column1951]]</f>
        <v>#N/A N/A</v>
      </c>
      <c r="BWB29" t="str">
        <f>SOFR3mo_PX[[#This Row],[Column1952]]</f>
        <v>#N/A N/A</v>
      </c>
      <c r="BWC29" t="str">
        <f>SOFR3mo_PX[[#This Row],[Column1953]]</f>
        <v>#N/A N/A</v>
      </c>
      <c r="BWD29" t="str">
        <f>SOFR3mo_PX[[#This Row],[Column1954]]</f>
        <v>#N/A N/A</v>
      </c>
    </row>
    <row r="30" spans="1:1954" x14ac:dyDescent="0.25">
      <c r="A30" t="str">
        <f>SOFR3mo_PX[[#This Row],[Column1]]</f>
        <v>SFR28 Comdty</v>
      </c>
      <c r="B30">
        <f>IF(rtd!B28&lt;&gt;"",rtd!B28,SOFR3mo_PX[[#This Row],[Column2]])</f>
        <v>95.73</v>
      </c>
      <c r="C30">
        <f>SOFR3mo_PX[[#This Row],[Column3]]</f>
        <v>95.73</v>
      </c>
      <c r="D30">
        <f>SOFR3mo_PX[[#This Row],[Column4]]</f>
        <v>95.73</v>
      </c>
      <c r="E30">
        <f>SOFR3mo_PX[[#This Row],[Column5]]</f>
        <v>95.784999999999997</v>
      </c>
      <c r="F30">
        <f>SOFR3mo_PX[[#This Row],[Column6]]</f>
        <v>95.73</v>
      </c>
      <c r="G30">
        <f>SOFR3mo_PX[[#This Row],[Column7]]</f>
        <v>95.77</v>
      </c>
      <c r="H30">
        <f>SOFR3mo_PX[[#This Row],[Column8]]</f>
        <v>95.82</v>
      </c>
      <c r="I30">
        <f>SOFR3mo_PX[[#This Row],[Column9]]</f>
        <v>95.76</v>
      </c>
      <c r="J30">
        <f>SOFR3mo_PX[[#This Row],[Column10]]</f>
        <v>95.71</v>
      </c>
      <c r="K30">
        <f>SOFR3mo_PX[[#This Row],[Column11]]</f>
        <v>95.694999999999993</v>
      </c>
      <c r="L30">
        <f>SOFR3mo_PX[[#This Row],[Column12]]</f>
        <v>95.69</v>
      </c>
      <c r="M30">
        <f>SOFR3mo_PX[[#This Row],[Column13]]</f>
        <v>95.79</v>
      </c>
      <c r="N30">
        <f>SOFR3mo_PX[[#This Row],[Column14]]</f>
        <v>95.814999999999998</v>
      </c>
      <c r="O30">
        <f>SOFR3mo_PX[[#This Row],[Column15]]</f>
        <v>95.724999999999994</v>
      </c>
      <c r="P30">
        <f>SOFR3mo_PX[[#This Row],[Column16]]</f>
        <v>95.72</v>
      </c>
      <c r="Q30">
        <f>SOFR3mo_PX[[#This Row],[Column17]]</f>
        <v>95.78</v>
      </c>
      <c r="R30">
        <f>SOFR3mo_PX[[#This Row],[Column18]]</f>
        <v>95.76</v>
      </c>
      <c r="S30">
        <f>SOFR3mo_PX[[#This Row],[Column19]]</f>
        <v>95.73</v>
      </c>
      <c r="T30">
        <f>SOFR3mo_PX[[#This Row],[Column20]]</f>
        <v>95.78</v>
      </c>
      <c r="U30">
        <f>SOFR3mo_PX[[#This Row],[Column21]]</f>
        <v>95.69</v>
      </c>
      <c r="V30">
        <f>SOFR3mo_PX[[#This Row],[Column22]]</f>
        <v>95.69</v>
      </c>
      <c r="W30">
        <f>SOFR3mo_PX[[#This Row],[Column23]]</f>
        <v>95.614999999999995</v>
      </c>
      <c r="X30">
        <f>SOFR3mo_PX[[#This Row],[Column24]]</f>
        <v>95.555000000000007</v>
      </c>
      <c r="Y30">
        <f>SOFR3mo_PX[[#This Row],[Column25]]</f>
        <v>95.66</v>
      </c>
      <c r="Z30">
        <f>SOFR3mo_PX[[#This Row],[Column26]]</f>
        <v>95.66</v>
      </c>
      <c r="AA30">
        <f>SOFR3mo_PX[[#This Row],[Column27]]</f>
        <v>95.7</v>
      </c>
      <c r="AB30">
        <f>SOFR3mo_PX[[#This Row],[Column28]]</f>
        <v>95.68</v>
      </c>
      <c r="AC30">
        <f>SOFR3mo_PX[[#This Row],[Column29]]</f>
        <v>95.61</v>
      </c>
      <c r="AD30">
        <f>SOFR3mo_PX[[#This Row],[Column30]]</f>
        <v>95.644999999999996</v>
      </c>
      <c r="AE30">
        <f>SOFR3mo_PX[[#This Row],[Column31]]</f>
        <v>95.694999999999993</v>
      </c>
      <c r="AF30">
        <f>SOFR3mo_PX[[#This Row],[Column32]]</f>
        <v>95.754999999999995</v>
      </c>
      <c r="AG30">
        <f>SOFR3mo_PX[[#This Row],[Column33]]</f>
        <v>95.754999999999995</v>
      </c>
      <c r="AH30">
        <f>SOFR3mo_PX[[#This Row],[Column34]]</f>
        <v>95.85</v>
      </c>
      <c r="AI30">
        <f>SOFR3mo_PX[[#This Row],[Column35]]</f>
        <v>95.8</v>
      </c>
      <c r="AJ30">
        <f>SOFR3mo_PX[[#This Row],[Column36]]</f>
        <v>95.795000000000002</v>
      </c>
      <c r="AK30">
        <f>SOFR3mo_PX[[#This Row],[Column37]]</f>
        <v>95.83</v>
      </c>
      <c r="AL30">
        <f>SOFR3mo_PX[[#This Row],[Column38]]</f>
        <v>95.88</v>
      </c>
      <c r="AM30">
        <f>SOFR3mo_PX[[#This Row],[Column39]]</f>
        <v>95.93</v>
      </c>
      <c r="AN30">
        <f>SOFR3mo_PX[[#This Row],[Column40]]</f>
        <v>95.905000000000001</v>
      </c>
      <c r="AO30">
        <f>SOFR3mo_PX[[#This Row],[Column41]]</f>
        <v>95.844999999999999</v>
      </c>
      <c r="AP30">
        <f>SOFR3mo_PX[[#This Row],[Column42]]</f>
        <v>95.795000000000002</v>
      </c>
      <c r="AQ30">
        <f>SOFR3mo_PX[[#This Row],[Column43]]</f>
        <v>95.734999999999999</v>
      </c>
      <c r="AR30">
        <f>SOFR3mo_PX[[#This Row],[Column44]]</f>
        <v>95.665000000000006</v>
      </c>
      <c r="AS30">
        <f>SOFR3mo_PX[[#This Row],[Column45]]</f>
        <v>95.635000000000005</v>
      </c>
      <c r="AT30">
        <f>SOFR3mo_PX[[#This Row],[Column46]]</f>
        <v>95.584999999999994</v>
      </c>
      <c r="AU30">
        <f>SOFR3mo_PX[[#This Row],[Column47]]</f>
        <v>95.724999999999994</v>
      </c>
      <c r="AV30">
        <f>SOFR3mo_PX[[#This Row],[Column48]]</f>
        <v>95.724999999999994</v>
      </c>
      <c r="AW30">
        <f>SOFR3mo_PX[[#This Row],[Column49]]</f>
        <v>95.81</v>
      </c>
      <c r="AX30">
        <f>SOFR3mo_PX[[#This Row],[Column50]]</f>
        <v>95.78</v>
      </c>
      <c r="AY30">
        <f>SOFR3mo_PX[[#This Row],[Column51]]</f>
        <v>95.754999999999995</v>
      </c>
      <c r="AZ30">
        <f>SOFR3mo_PX[[#This Row],[Column52]]</f>
        <v>95.65</v>
      </c>
      <c r="BA30">
        <f>SOFR3mo_PX[[#This Row],[Column53]]</f>
        <v>95.795000000000002</v>
      </c>
      <c r="BB30">
        <f>SOFR3mo_PX[[#This Row],[Column54]]</f>
        <v>95.765000000000001</v>
      </c>
      <c r="BC30">
        <f>SOFR3mo_PX[[#This Row],[Column55]]</f>
        <v>95.924999999999997</v>
      </c>
      <c r="BD30">
        <f>SOFR3mo_PX[[#This Row],[Column56]]</f>
        <v>96.015000000000001</v>
      </c>
      <c r="BE30">
        <f>SOFR3mo_PX[[#This Row],[Column57]]</f>
        <v>96.19</v>
      </c>
      <c r="BF30">
        <f>SOFR3mo_PX[[#This Row],[Column58]]</f>
        <v>96.11</v>
      </c>
      <c r="BG30">
        <f>SOFR3mo_PX[[#This Row],[Column59]]</f>
        <v>95.965000000000003</v>
      </c>
      <c r="BH30">
        <f>SOFR3mo_PX[[#This Row],[Column60]]</f>
        <v>96.025000000000006</v>
      </c>
      <c r="BI30">
        <f>SOFR3mo_PX[[#This Row],[Column61]]</f>
        <v>95.92</v>
      </c>
      <c r="BJ30">
        <f>SOFR3mo_PX[[#This Row],[Column62]]</f>
        <v>95.89</v>
      </c>
      <c r="BK30">
        <f>SOFR3mo_PX[[#This Row],[Column63]]</f>
        <v>95.775000000000006</v>
      </c>
      <c r="BL30">
        <f>SOFR3mo_PX[[#This Row],[Column64]]</f>
        <v>95.834999999999994</v>
      </c>
      <c r="BM30">
        <f>SOFR3mo_PX[[#This Row],[Column65]]</f>
        <v>95.864999999999995</v>
      </c>
      <c r="BN30">
        <f>SOFR3mo_PX[[#This Row],[Column66]]</f>
        <v>95.84</v>
      </c>
      <c r="BO30">
        <f>SOFR3mo_PX[[#This Row],[Column67]]</f>
        <v>95.92</v>
      </c>
      <c r="BP30">
        <f>SOFR3mo_PX[[#This Row],[Column68]]</f>
        <v>95.935000000000002</v>
      </c>
      <c r="BQ30">
        <f>SOFR3mo_PX[[#This Row],[Column69]]</f>
        <v>95.894999999999996</v>
      </c>
      <c r="BR30">
        <f>SOFR3mo_PX[[#This Row],[Column70]]</f>
        <v>95.905000000000001</v>
      </c>
      <c r="BS30">
        <f>SOFR3mo_PX[[#This Row],[Column71]]</f>
        <v>95.87</v>
      </c>
      <c r="BT30">
        <f>SOFR3mo_PX[[#This Row],[Column72]]</f>
        <v>95.844999999999999</v>
      </c>
      <c r="BU30">
        <f>SOFR3mo_PX[[#This Row],[Column73]]</f>
        <v>95.92</v>
      </c>
      <c r="BV30">
        <f>SOFR3mo_PX[[#This Row],[Column74]]</f>
        <v>95.89</v>
      </c>
      <c r="BW30">
        <f>SOFR3mo_PX[[#This Row],[Column75]]</f>
        <v>95.92</v>
      </c>
      <c r="BX30">
        <f>SOFR3mo_PX[[#This Row],[Column76]]</f>
        <v>96.015000000000001</v>
      </c>
      <c r="BY30">
        <f>SOFR3mo_PX[[#This Row],[Column77]]</f>
        <v>95.885000000000005</v>
      </c>
      <c r="BZ30">
        <f>SOFR3mo_PX[[#This Row],[Column78]]</f>
        <v>95.91</v>
      </c>
      <c r="CA30">
        <f>SOFR3mo_PX[[#This Row],[Column79]]</f>
        <v>95.935000000000002</v>
      </c>
      <c r="CB30">
        <f>SOFR3mo_PX[[#This Row],[Column80]]</f>
        <v>95.995000000000005</v>
      </c>
      <c r="CC30">
        <f>SOFR3mo_PX[[#This Row],[Column81]]</f>
        <v>96.04</v>
      </c>
      <c r="CD30">
        <f>SOFR3mo_PX[[#This Row],[Column82]]</f>
        <v>95.98</v>
      </c>
      <c r="CE30">
        <f>SOFR3mo_PX[[#This Row],[Column83]]</f>
        <v>95.92</v>
      </c>
      <c r="CF30">
        <f>SOFR3mo_PX[[#This Row],[Column84]]</f>
        <v>95.965000000000003</v>
      </c>
      <c r="CG30">
        <f>SOFR3mo_PX[[#This Row],[Column85]]</f>
        <v>95.894999999999996</v>
      </c>
      <c r="CH30">
        <f>SOFR3mo_PX[[#This Row],[Column86]]</f>
        <v>95.76</v>
      </c>
      <c r="CI30">
        <f>SOFR3mo_PX[[#This Row],[Column87]]</f>
        <v>95.734999999999999</v>
      </c>
      <c r="CJ30">
        <f>SOFR3mo_PX[[#This Row],[Column88]]</f>
        <v>95.655000000000001</v>
      </c>
      <c r="CK30">
        <f>SOFR3mo_PX[[#This Row],[Column89]]</f>
        <v>95.605000000000004</v>
      </c>
      <c r="CL30">
        <f>SOFR3mo_PX[[#This Row],[Column90]]</f>
        <v>95.605000000000004</v>
      </c>
      <c r="CM30">
        <f>SOFR3mo_PX[[#This Row],[Column91]]</f>
        <v>95.68</v>
      </c>
      <c r="CN30">
        <f>SOFR3mo_PX[[#This Row],[Column92]]</f>
        <v>95.68</v>
      </c>
      <c r="CO30">
        <f>SOFR3mo_PX[[#This Row],[Column93]]</f>
        <v>95.625</v>
      </c>
      <c r="CP30">
        <f>SOFR3mo_PX[[#This Row],[Column94]]</f>
        <v>95.51</v>
      </c>
      <c r="CQ30">
        <f>SOFR3mo_PX[[#This Row],[Column95]]</f>
        <v>95.644999999999996</v>
      </c>
      <c r="CR30">
        <f>SOFR3mo_PX[[#This Row],[Column96]]</f>
        <v>95.694999999999993</v>
      </c>
      <c r="CS30">
        <f>SOFR3mo_PX[[#This Row],[Column97]]</f>
        <v>95.694999999999993</v>
      </c>
      <c r="CT30">
        <f>SOFR3mo_PX[[#This Row],[Column98]]</f>
        <v>95.754999999999995</v>
      </c>
      <c r="CU30">
        <f>SOFR3mo_PX[[#This Row],[Column99]]</f>
        <v>95.805000000000007</v>
      </c>
      <c r="CV30">
        <f>SOFR3mo_PX[[#This Row],[Column100]]</f>
        <v>95.694999999999993</v>
      </c>
      <c r="CW30">
        <f>SOFR3mo_PX[[#This Row],[Column101]]</f>
        <v>95.67</v>
      </c>
      <c r="CX30">
        <f>SOFR3mo_PX[[#This Row],[Column102]]</f>
        <v>95.625</v>
      </c>
      <c r="CY30">
        <f>SOFR3mo_PX[[#This Row],[Column103]]</f>
        <v>95.694999999999993</v>
      </c>
      <c r="CZ30">
        <f>SOFR3mo_PX[[#This Row],[Column104]]</f>
        <v>95.65</v>
      </c>
      <c r="DA30">
        <f>SOFR3mo_PX[[#This Row],[Column105]]</f>
        <v>95.66</v>
      </c>
      <c r="DB30">
        <f>SOFR3mo_PX[[#This Row],[Column106]]</f>
        <v>95.685000000000002</v>
      </c>
      <c r="DC30">
        <f>SOFR3mo_PX[[#This Row],[Column107]]</f>
        <v>95.575000000000003</v>
      </c>
      <c r="DD30">
        <f>SOFR3mo_PX[[#This Row],[Column108]]</f>
        <v>95.575000000000003</v>
      </c>
      <c r="DE30">
        <f>SOFR3mo_PX[[#This Row],[Column109]]</f>
        <v>95.63</v>
      </c>
      <c r="DF30">
        <f>SOFR3mo_PX[[#This Row],[Column110]]</f>
        <v>95.66</v>
      </c>
      <c r="DG30">
        <f>SOFR3mo_PX[[#This Row],[Column111]]</f>
        <v>95.614999999999995</v>
      </c>
      <c r="DH30">
        <f>SOFR3mo_PX[[#This Row],[Column112]]</f>
        <v>95.614999999999995</v>
      </c>
      <c r="DI30">
        <f>SOFR3mo_PX[[#This Row],[Column113]]</f>
        <v>95.614999999999995</v>
      </c>
      <c r="DJ30">
        <f>SOFR3mo_PX[[#This Row],[Column114]]</f>
        <v>95.575000000000003</v>
      </c>
      <c r="DK30">
        <f>SOFR3mo_PX[[#This Row],[Column115]]</f>
        <v>95.43</v>
      </c>
      <c r="DL30">
        <f>SOFR3mo_PX[[#This Row],[Column116]]</f>
        <v>95.41</v>
      </c>
      <c r="DM30">
        <f>SOFR3mo_PX[[#This Row],[Column117]]</f>
        <v>95.45</v>
      </c>
      <c r="DN30">
        <f>SOFR3mo_PX[[#This Row],[Column118]]</f>
        <v>95.51</v>
      </c>
      <c r="DO30">
        <f>SOFR3mo_PX[[#This Row],[Column119]]</f>
        <v>95.495000000000005</v>
      </c>
      <c r="DP30">
        <f>SOFR3mo_PX[[#This Row],[Column120]]</f>
        <v>95.504999999999995</v>
      </c>
      <c r="DQ30">
        <f>SOFR3mo_PX[[#This Row],[Column121]]</f>
        <v>95.59</v>
      </c>
      <c r="DR30">
        <f>SOFR3mo_PX[[#This Row],[Column122]]</f>
        <v>95.644999999999996</v>
      </c>
      <c r="DS30">
        <f>SOFR3mo_PX[[#This Row],[Column123]]</f>
        <v>95.66</v>
      </c>
      <c r="DT30">
        <f>SOFR3mo_PX[[#This Row],[Column124]]</f>
        <v>95.655000000000001</v>
      </c>
      <c r="DU30">
        <f>SOFR3mo_PX[[#This Row],[Column125]]</f>
        <v>95.655000000000001</v>
      </c>
      <c r="DV30">
        <f>SOFR3mo_PX[[#This Row],[Column126]]</f>
        <v>95.694999999999993</v>
      </c>
      <c r="DW30">
        <f>SOFR3mo_PX[[#This Row],[Column127]]</f>
        <v>95.614999999999995</v>
      </c>
      <c r="DX30">
        <f>SOFR3mo_PX[[#This Row],[Column128]]</f>
        <v>95.674999999999997</v>
      </c>
      <c r="DY30">
        <f>SOFR3mo_PX[[#This Row],[Column129]]</f>
        <v>95.66</v>
      </c>
      <c r="DZ30">
        <f>SOFR3mo_PX[[#This Row],[Column130]]</f>
        <v>95.66</v>
      </c>
      <c r="EA30">
        <f>SOFR3mo_PX[[#This Row],[Column131]]</f>
        <v>95.635000000000005</v>
      </c>
      <c r="EB30">
        <f>SOFR3mo_PX[[#This Row],[Column132]]</f>
        <v>95.734999999999999</v>
      </c>
      <c r="EC30">
        <f>SOFR3mo_PX[[#This Row],[Column133]]</f>
        <v>95.665000000000006</v>
      </c>
      <c r="ED30">
        <f>SOFR3mo_PX[[#This Row],[Column134]]</f>
        <v>95.795000000000002</v>
      </c>
      <c r="EE30">
        <f>SOFR3mo_PX[[#This Row],[Column135]]</f>
        <v>95.93</v>
      </c>
      <c r="EF30">
        <f>SOFR3mo_PX[[#This Row],[Column136]]</f>
        <v>95.915000000000006</v>
      </c>
      <c r="EG30">
        <f>SOFR3mo_PX[[#This Row],[Column137]]</f>
        <v>95.92</v>
      </c>
      <c r="EH30">
        <f>SOFR3mo_PX[[#This Row],[Column138]]</f>
        <v>96.004999999999995</v>
      </c>
      <c r="EI30">
        <f>SOFR3mo_PX[[#This Row],[Column139]]</f>
        <v>96.07</v>
      </c>
      <c r="EJ30">
        <f>SOFR3mo_PX[[#This Row],[Column140]]</f>
        <v>96.13</v>
      </c>
      <c r="EK30">
        <f>SOFR3mo_PX[[#This Row],[Column141]]</f>
        <v>96.155000000000001</v>
      </c>
      <c r="EL30">
        <f>SOFR3mo_PX[[#This Row],[Column142]]</f>
        <v>96.194999999999993</v>
      </c>
      <c r="EM30">
        <f>SOFR3mo_PX[[#This Row],[Column143]]</f>
        <v>96.16</v>
      </c>
      <c r="EN30">
        <f>SOFR3mo_PX[[#This Row],[Column144]]</f>
        <v>96.144999999999996</v>
      </c>
      <c r="EO30">
        <f>SOFR3mo_PX[[#This Row],[Column145]]</f>
        <v>96.114999999999995</v>
      </c>
      <c r="EP30">
        <f>SOFR3mo_PX[[#This Row],[Column146]]</f>
        <v>96.15</v>
      </c>
      <c r="EQ30">
        <f>SOFR3mo_PX[[#This Row],[Column147]]</f>
        <v>96.15</v>
      </c>
      <c r="ER30">
        <f>SOFR3mo_PX[[#This Row],[Column148]]</f>
        <v>96.114999999999995</v>
      </c>
      <c r="ES30">
        <f>SOFR3mo_PX[[#This Row],[Column149]]</f>
        <v>96.114999999999995</v>
      </c>
      <c r="ET30">
        <f>SOFR3mo_PX[[#This Row],[Column150]]</f>
        <v>96.05</v>
      </c>
      <c r="EU30">
        <f>SOFR3mo_PX[[#This Row],[Column151]]</f>
        <v>96.114999999999995</v>
      </c>
      <c r="EV30">
        <f>SOFR3mo_PX[[#This Row],[Column152]]</f>
        <v>95.965000000000003</v>
      </c>
      <c r="EW30">
        <f>SOFR3mo_PX[[#This Row],[Column153]]</f>
        <v>95.93</v>
      </c>
      <c r="EX30">
        <f>SOFR3mo_PX[[#This Row],[Column154]]</f>
        <v>95.924999999999997</v>
      </c>
      <c r="EY30">
        <f>SOFR3mo_PX[[#This Row],[Column155]]</f>
        <v>95.954999999999998</v>
      </c>
      <c r="EZ30">
        <f>SOFR3mo_PX[[#This Row],[Column156]]</f>
        <v>95.92</v>
      </c>
      <c r="FA30">
        <f>SOFR3mo_PX[[#This Row],[Column157]]</f>
        <v>95.91</v>
      </c>
      <c r="FB30">
        <f>SOFR3mo_PX[[#This Row],[Column158]]</f>
        <v>95.915000000000006</v>
      </c>
      <c r="FC30">
        <f>SOFR3mo_PX[[#This Row],[Column159]]</f>
        <v>95.88</v>
      </c>
      <c r="FD30">
        <f>SOFR3mo_PX[[#This Row],[Column160]]</f>
        <v>95.905000000000001</v>
      </c>
      <c r="FE30">
        <f>SOFR3mo_PX[[#This Row],[Column161]]</f>
        <v>95.965000000000003</v>
      </c>
      <c r="FF30">
        <f>SOFR3mo_PX[[#This Row],[Column162]]</f>
        <v>96.015000000000001</v>
      </c>
      <c r="FG30">
        <f>SOFR3mo_PX[[#This Row],[Column163]]</f>
        <v>95.97</v>
      </c>
      <c r="FH30">
        <f>SOFR3mo_PX[[#This Row],[Column164]]</f>
        <v>95.864999999999995</v>
      </c>
      <c r="FI30">
        <f>SOFR3mo_PX[[#This Row],[Column165]]</f>
        <v>96.034999999999997</v>
      </c>
      <c r="FJ30">
        <f>SOFR3mo_PX[[#This Row],[Column166]]</f>
        <v>96.01</v>
      </c>
      <c r="FK30">
        <f>SOFR3mo_PX[[#This Row],[Column167]]</f>
        <v>95.944999999999993</v>
      </c>
      <c r="FL30">
        <f>SOFR3mo_PX[[#This Row],[Column168]]</f>
        <v>96.004999999999995</v>
      </c>
      <c r="FM30">
        <f>SOFR3mo_PX[[#This Row],[Column169]]</f>
        <v>96.015000000000001</v>
      </c>
      <c r="FN30">
        <f>SOFR3mo_PX[[#This Row],[Column170]]</f>
        <v>95.984999999999999</v>
      </c>
      <c r="FO30">
        <f>SOFR3mo_PX[[#This Row],[Column171]]</f>
        <v>95.98</v>
      </c>
      <c r="FP30">
        <f>SOFR3mo_PX[[#This Row],[Column172]]</f>
        <v>96.015000000000001</v>
      </c>
      <c r="FQ30">
        <f>SOFR3mo_PX[[#This Row],[Column173]]</f>
        <v>96.04</v>
      </c>
      <c r="FR30">
        <f>SOFR3mo_PX[[#This Row],[Column174]]</f>
        <v>95.99</v>
      </c>
      <c r="FS30">
        <f>SOFR3mo_PX[[#This Row],[Column175]]</f>
        <v>96.02</v>
      </c>
      <c r="FT30">
        <f>SOFR3mo_PX[[#This Row],[Column176]]</f>
        <v>96.045000000000002</v>
      </c>
      <c r="FU30">
        <f>SOFR3mo_PX[[#This Row],[Column177]]</f>
        <v>96.16</v>
      </c>
      <c r="FV30">
        <f>SOFR3mo_PX[[#This Row],[Column178]]</f>
        <v>96.144999999999996</v>
      </c>
      <c r="FW30">
        <f>SOFR3mo_PX[[#This Row],[Column179]]</f>
        <v>96.245000000000005</v>
      </c>
      <c r="FX30">
        <f>SOFR3mo_PX[[#This Row],[Column180]]</f>
        <v>96.224999999999994</v>
      </c>
      <c r="FY30">
        <f>SOFR3mo_PX[[#This Row],[Column181]]</f>
        <v>96.13</v>
      </c>
      <c r="FZ30">
        <f>SOFR3mo_PX[[#This Row],[Column182]]</f>
        <v>96.17</v>
      </c>
      <c r="GA30">
        <f>SOFR3mo_PX[[#This Row],[Column183]]</f>
        <v>96.16</v>
      </c>
      <c r="GB30">
        <f>SOFR3mo_PX[[#This Row],[Column184]]</f>
        <v>96.204999999999998</v>
      </c>
      <c r="GC30">
        <f>SOFR3mo_PX[[#This Row],[Column185]]</f>
        <v>96.23</v>
      </c>
      <c r="GD30">
        <f>SOFR3mo_PX[[#This Row],[Column186]]</f>
        <v>96.245000000000005</v>
      </c>
      <c r="GE30">
        <f>SOFR3mo_PX[[#This Row],[Column187]]</f>
        <v>96.28</v>
      </c>
      <c r="GF30">
        <f>SOFR3mo_PX[[#This Row],[Column188]]</f>
        <v>96.36</v>
      </c>
      <c r="GG30">
        <f>SOFR3mo_PX[[#This Row],[Column189]]</f>
        <v>96.43</v>
      </c>
      <c r="GH30">
        <f>SOFR3mo_PX[[#This Row],[Column190]]</f>
        <v>96.474999999999994</v>
      </c>
      <c r="GI30">
        <f>SOFR3mo_PX[[#This Row],[Column191]]</f>
        <v>96.405000000000001</v>
      </c>
      <c r="GJ30">
        <f>SOFR3mo_PX[[#This Row],[Column192]]</f>
        <v>96.444999999999993</v>
      </c>
      <c r="GK30">
        <f>SOFR3mo_PX[[#This Row],[Column193]]</f>
        <v>96.415000000000006</v>
      </c>
      <c r="GL30">
        <f>SOFR3mo_PX[[#This Row],[Column194]]</f>
        <v>96.394999999999996</v>
      </c>
      <c r="GM30">
        <f>SOFR3mo_PX[[#This Row],[Column195]]</f>
        <v>96.435000000000002</v>
      </c>
      <c r="GN30">
        <f>SOFR3mo_PX[[#This Row],[Column196]]</f>
        <v>96.44</v>
      </c>
      <c r="GO30">
        <f>SOFR3mo_PX[[#This Row],[Column197]]</f>
        <v>96.454999999999998</v>
      </c>
      <c r="GP30">
        <f>SOFR3mo_PX[[#This Row],[Column198]]</f>
        <v>96.435000000000002</v>
      </c>
      <c r="GQ30">
        <f>SOFR3mo_PX[[#This Row],[Column199]]</f>
        <v>96.51</v>
      </c>
      <c r="GR30">
        <f>SOFR3mo_PX[[#This Row],[Column200]]</f>
        <v>96.575000000000003</v>
      </c>
      <c r="GS30">
        <f>SOFR3mo_PX[[#This Row],[Column201]]</f>
        <v>96.564999999999998</v>
      </c>
      <c r="GT30">
        <f>SOFR3mo_PX[[#This Row],[Column202]]</f>
        <v>96.545000000000002</v>
      </c>
      <c r="GU30">
        <f>SOFR3mo_PX[[#This Row],[Column203]]</f>
        <v>96.54</v>
      </c>
      <c r="GV30">
        <f>SOFR3mo_PX[[#This Row],[Column204]]</f>
        <v>96.57</v>
      </c>
      <c r="GW30">
        <f>SOFR3mo_PX[[#This Row],[Column205]]</f>
        <v>96.575000000000003</v>
      </c>
      <c r="GX30">
        <f>SOFR3mo_PX[[#This Row],[Column206]]</f>
        <v>96.52</v>
      </c>
      <c r="GY30">
        <f>SOFR3mo_PX[[#This Row],[Column207]]</f>
        <v>96.495000000000005</v>
      </c>
      <c r="GZ30">
        <f>SOFR3mo_PX[[#This Row],[Column208]]</f>
        <v>96.51</v>
      </c>
      <c r="HA30">
        <f>SOFR3mo_PX[[#This Row],[Column209]]</f>
        <v>96.474999999999994</v>
      </c>
      <c r="HB30">
        <f>SOFR3mo_PX[[#This Row],[Column210]]</f>
        <v>96.424999999999997</v>
      </c>
      <c r="HC30">
        <f>SOFR3mo_PX[[#This Row],[Column211]]</f>
        <v>96.344999999999999</v>
      </c>
      <c r="HD30">
        <f>SOFR3mo_PX[[#This Row],[Column212]]</f>
        <v>96.344999999999999</v>
      </c>
      <c r="HE30">
        <f>SOFR3mo_PX[[#This Row],[Column213]]</f>
        <v>96.39</v>
      </c>
      <c r="HF30">
        <f>SOFR3mo_PX[[#This Row],[Column214]]</f>
        <v>96.405000000000001</v>
      </c>
      <c r="HG30">
        <f>SOFR3mo_PX[[#This Row],[Column215]]</f>
        <v>96.42</v>
      </c>
      <c r="HH30">
        <f>SOFR3mo_PX[[#This Row],[Column216]]</f>
        <v>96.44</v>
      </c>
      <c r="HI30">
        <f>SOFR3mo_PX[[#This Row],[Column217]]</f>
        <v>96.43</v>
      </c>
      <c r="HJ30">
        <f>SOFR3mo_PX[[#This Row],[Column218]]</f>
        <v>96.37</v>
      </c>
      <c r="HK30">
        <f>SOFR3mo_PX[[#This Row],[Column219]]</f>
        <v>96.444999999999993</v>
      </c>
      <c r="HL30">
        <f>SOFR3mo_PX[[#This Row],[Column220]]</f>
        <v>96.42</v>
      </c>
      <c r="HM30">
        <f>SOFR3mo_PX[[#This Row],[Column221]]</f>
        <v>96.37</v>
      </c>
      <c r="HN30">
        <f>SOFR3mo_PX[[#This Row],[Column222]]</f>
        <v>96.33</v>
      </c>
      <c r="HO30">
        <f>SOFR3mo_PX[[#This Row],[Column223]]</f>
        <v>96.29</v>
      </c>
      <c r="HP30">
        <f>SOFR3mo_PX[[#This Row],[Column224]]</f>
        <v>96.36</v>
      </c>
      <c r="HQ30">
        <f>SOFR3mo_PX[[#This Row],[Column225]]</f>
        <v>96.325000000000003</v>
      </c>
      <c r="HR30">
        <f>SOFR3mo_PX[[#This Row],[Column226]]</f>
        <v>96.295000000000002</v>
      </c>
      <c r="HS30">
        <f>SOFR3mo_PX[[#This Row],[Column227]]</f>
        <v>96.254999999999995</v>
      </c>
      <c r="HT30">
        <f>SOFR3mo_PX[[#This Row],[Column228]]</f>
        <v>96.174999999999997</v>
      </c>
      <c r="HU30">
        <f>SOFR3mo_PX[[#This Row],[Column229]]</f>
        <v>96.185000000000002</v>
      </c>
      <c r="HV30">
        <f>SOFR3mo_PX[[#This Row],[Column230]]</f>
        <v>96.275000000000006</v>
      </c>
      <c r="HW30">
        <f>SOFR3mo_PX[[#This Row],[Column231]]</f>
        <v>96.375</v>
      </c>
      <c r="HX30">
        <f>SOFR3mo_PX[[#This Row],[Column232]]</f>
        <v>96.38</v>
      </c>
      <c r="HY30">
        <f>SOFR3mo_PX[[#This Row],[Column233]]</f>
        <v>96.254999999999995</v>
      </c>
      <c r="HZ30">
        <f>SOFR3mo_PX[[#This Row],[Column234]]</f>
        <v>96.155000000000001</v>
      </c>
      <c r="IA30">
        <f>SOFR3mo_PX[[#This Row],[Column235]]</f>
        <v>96.12</v>
      </c>
      <c r="IB30">
        <f>SOFR3mo_PX[[#This Row],[Column236]]</f>
        <v>96.084999999999994</v>
      </c>
      <c r="IC30">
        <f>SOFR3mo_PX[[#This Row],[Column237]]</f>
        <v>96.06</v>
      </c>
      <c r="ID30">
        <f>SOFR3mo_PX[[#This Row],[Column238]]</f>
        <v>96.02</v>
      </c>
      <c r="IE30">
        <f>SOFR3mo_PX[[#This Row],[Column239]]</f>
        <v>95.974999999999994</v>
      </c>
      <c r="IF30">
        <f>SOFR3mo_PX[[#This Row],[Column240]]</f>
        <v>96.06</v>
      </c>
      <c r="IG30">
        <f>SOFR3mo_PX[[#This Row],[Column241]]</f>
        <v>96.045000000000002</v>
      </c>
      <c r="IH30">
        <f>SOFR3mo_PX[[#This Row],[Column242]]</f>
        <v>96.055000000000007</v>
      </c>
      <c r="II30">
        <f>SOFR3mo_PX[[#This Row],[Column243]]</f>
        <v>96.105000000000004</v>
      </c>
      <c r="IJ30">
        <f>SOFR3mo_PX[[#This Row],[Column244]]</f>
        <v>96.16</v>
      </c>
      <c r="IK30">
        <f>SOFR3mo_PX[[#This Row],[Column245]]</f>
        <v>96.135000000000005</v>
      </c>
      <c r="IL30">
        <f>SOFR3mo_PX[[#This Row],[Column246]]</f>
        <v>96.06</v>
      </c>
      <c r="IM30">
        <f>SOFR3mo_PX[[#This Row],[Column247]]</f>
        <v>96.105000000000004</v>
      </c>
      <c r="IN30">
        <f>SOFR3mo_PX[[#This Row],[Column248]]</f>
        <v>96.125</v>
      </c>
      <c r="IO30">
        <f>SOFR3mo_PX[[#This Row],[Column249]]</f>
        <v>96.045000000000002</v>
      </c>
      <c r="IP30">
        <f>SOFR3mo_PX[[#This Row],[Column250]]</f>
        <v>96.015000000000001</v>
      </c>
      <c r="IQ30">
        <f>SOFR3mo_PX[[#This Row],[Column251]]</f>
        <v>96.055000000000007</v>
      </c>
      <c r="IR30">
        <f>SOFR3mo_PX[[#This Row],[Column252]]</f>
        <v>96.05</v>
      </c>
      <c r="IS30">
        <f>SOFR3mo_PX[[#This Row],[Column253]]</f>
        <v>95.99</v>
      </c>
      <c r="IT30">
        <f>SOFR3mo_PX[[#This Row],[Column254]]</f>
        <v>95.99</v>
      </c>
      <c r="IU30">
        <f>SOFR3mo_PX[[#This Row],[Column255]]</f>
        <v>95.885000000000005</v>
      </c>
      <c r="IV30">
        <f>SOFR3mo_PX[[#This Row],[Column256]]</f>
        <v>95.85</v>
      </c>
      <c r="IW30">
        <f>SOFR3mo_PX[[#This Row],[Column257]]</f>
        <v>96.01</v>
      </c>
      <c r="IX30">
        <f>SOFR3mo_PX[[#This Row],[Column258]]</f>
        <v>96.075000000000003</v>
      </c>
      <c r="IY30">
        <f>SOFR3mo_PX[[#This Row],[Column259]]</f>
        <v>96.04</v>
      </c>
      <c r="IZ30">
        <f>SOFR3mo_PX[[#This Row],[Column260]]</f>
        <v>96.13</v>
      </c>
      <c r="JA30">
        <f>SOFR3mo_PX[[#This Row],[Column261]]</f>
        <v>96.12</v>
      </c>
      <c r="JB30">
        <f>SOFR3mo_PX[[#This Row],[Column262]]</f>
        <v>96.094999999999999</v>
      </c>
      <c r="JC30">
        <f>SOFR3mo_PX[[#This Row],[Column263]]</f>
        <v>96.105000000000004</v>
      </c>
      <c r="JD30">
        <f>SOFR3mo_PX[[#This Row],[Column264]]</f>
        <v>96.16</v>
      </c>
      <c r="JE30">
        <f>SOFR3mo_PX[[#This Row],[Column265]]</f>
        <v>96.16</v>
      </c>
      <c r="JF30">
        <f>SOFR3mo_PX[[#This Row],[Column266]]</f>
        <v>96.1</v>
      </c>
      <c r="JG30">
        <f>SOFR3mo_PX[[#This Row],[Column267]]</f>
        <v>96.18</v>
      </c>
      <c r="JH30">
        <f>SOFR3mo_PX[[#This Row],[Column268]]</f>
        <v>96.114999999999995</v>
      </c>
      <c r="JI30">
        <f>SOFR3mo_PX[[#This Row],[Column269]]</f>
        <v>96.06</v>
      </c>
      <c r="JJ30">
        <f>SOFR3mo_PX[[#This Row],[Column270]]</f>
        <v>95.944999999999993</v>
      </c>
      <c r="JK30">
        <f>SOFR3mo_PX[[#This Row],[Column271]]</f>
        <v>95.864999999999995</v>
      </c>
      <c r="JL30">
        <f>SOFR3mo_PX[[#This Row],[Column272]]</f>
        <v>95.91</v>
      </c>
      <c r="JM30">
        <f>SOFR3mo_PX[[#This Row],[Column273]]</f>
        <v>96.06</v>
      </c>
      <c r="JN30">
        <f>SOFR3mo_PX[[#This Row],[Column274]]</f>
        <v>96.06</v>
      </c>
      <c r="JO30">
        <f>SOFR3mo_PX[[#This Row],[Column275]]</f>
        <v>96.025000000000006</v>
      </c>
      <c r="JP30">
        <f>SOFR3mo_PX[[#This Row],[Column276]]</f>
        <v>95.944999999999993</v>
      </c>
      <c r="JQ30">
        <f>SOFR3mo_PX[[#This Row],[Column277]]</f>
        <v>95.83</v>
      </c>
      <c r="JR30">
        <f>SOFR3mo_PX[[#This Row],[Column278]]</f>
        <v>95.805000000000007</v>
      </c>
      <c r="JS30">
        <f>SOFR3mo_PX[[#This Row],[Column279]]</f>
        <v>95.745000000000005</v>
      </c>
      <c r="JT30">
        <f>SOFR3mo_PX[[#This Row],[Column280]]</f>
        <v>95.85</v>
      </c>
      <c r="JU30">
        <f>SOFR3mo_PX[[#This Row],[Column281]]</f>
        <v>95.924999999999997</v>
      </c>
      <c r="JV30">
        <f>SOFR3mo_PX[[#This Row],[Column282]]</f>
        <v>95.924999999999997</v>
      </c>
      <c r="JW30">
        <f>SOFR3mo_PX[[#This Row],[Column283]]</f>
        <v>95.905000000000001</v>
      </c>
      <c r="JX30">
        <f>SOFR3mo_PX[[#This Row],[Column284]]</f>
        <v>95.905000000000001</v>
      </c>
      <c r="JY30">
        <f>SOFR3mo_PX[[#This Row],[Column285]]</f>
        <v>95.91</v>
      </c>
      <c r="JZ30">
        <f>SOFR3mo_PX[[#This Row],[Column286]]</f>
        <v>95.88</v>
      </c>
      <c r="KA30">
        <f>SOFR3mo_PX[[#This Row],[Column287]]</f>
        <v>95.9</v>
      </c>
      <c r="KB30">
        <f>SOFR3mo_PX[[#This Row],[Column288]]</f>
        <v>95.944999999999993</v>
      </c>
      <c r="KC30">
        <f>SOFR3mo_PX[[#This Row],[Column289]]</f>
        <v>95.95</v>
      </c>
      <c r="KD30">
        <f>SOFR3mo_PX[[#This Row],[Column290]]</f>
        <v>95.88</v>
      </c>
      <c r="KE30">
        <f>SOFR3mo_PX[[#This Row],[Column291]]</f>
        <v>95.844999999999999</v>
      </c>
      <c r="KF30">
        <f>SOFR3mo_PX[[#This Row],[Column292]]</f>
        <v>95.82</v>
      </c>
      <c r="KG30">
        <f>SOFR3mo_PX[[#This Row],[Column293]]</f>
        <v>95.875</v>
      </c>
      <c r="KH30">
        <f>SOFR3mo_PX[[#This Row],[Column294]]</f>
        <v>95.844999999999999</v>
      </c>
      <c r="KI30">
        <f>SOFR3mo_PX[[#This Row],[Column295]]</f>
        <v>95.885000000000005</v>
      </c>
      <c r="KJ30">
        <f>SOFR3mo_PX[[#This Row],[Column296]]</f>
        <v>95.84</v>
      </c>
      <c r="KK30">
        <f>SOFR3mo_PX[[#This Row],[Column297]]</f>
        <v>95.82</v>
      </c>
      <c r="KL30">
        <f>SOFR3mo_PX[[#This Row],[Column298]]</f>
        <v>95.745000000000005</v>
      </c>
      <c r="KM30">
        <f>SOFR3mo_PX[[#This Row],[Column299]]</f>
        <v>95.73</v>
      </c>
      <c r="KN30">
        <f>SOFR3mo_PX[[#This Row],[Column300]]</f>
        <v>95.665000000000006</v>
      </c>
      <c r="KO30">
        <f>SOFR3mo_PX[[#This Row],[Column301]]</f>
        <v>95.734999999999999</v>
      </c>
      <c r="KP30">
        <f>SOFR3mo_PX[[#This Row],[Column302]]</f>
        <v>95.655000000000001</v>
      </c>
      <c r="KQ30">
        <f>SOFR3mo_PX[[#This Row],[Column303]]</f>
        <v>95.614999999999995</v>
      </c>
      <c r="KR30">
        <f>SOFR3mo_PX[[#This Row],[Column304]]</f>
        <v>95.674999999999997</v>
      </c>
      <c r="KS30">
        <f>SOFR3mo_PX[[#This Row],[Column305]]</f>
        <v>95.75</v>
      </c>
      <c r="KT30">
        <f>SOFR3mo_PX[[#This Row],[Column306]]</f>
        <v>95.73</v>
      </c>
      <c r="KU30">
        <f>SOFR3mo_PX[[#This Row],[Column307]]</f>
        <v>95.745000000000005</v>
      </c>
      <c r="KV30">
        <f>SOFR3mo_PX[[#This Row],[Column308]]</f>
        <v>95.71</v>
      </c>
      <c r="KW30">
        <f>SOFR3mo_PX[[#This Row],[Column309]]</f>
        <v>95.77</v>
      </c>
      <c r="KX30">
        <f>SOFR3mo_PX[[#This Row],[Column310]]</f>
        <v>95.694999999999993</v>
      </c>
      <c r="KY30">
        <f>SOFR3mo_PX[[#This Row],[Column311]]</f>
        <v>95.73</v>
      </c>
      <c r="KZ30">
        <f>SOFR3mo_PX[[#This Row],[Column312]]</f>
        <v>95.87</v>
      </c>
      <c r="LA30">
        <f>SOFR3mo_PX[[#This Row],[Column313]]</f>
        <v>95.78</v>
      </c>
      <c r="LB30">
        <f>SOFR3mo_PX[[#This Row],[Column314]]</f>
        <v>95.81</v>
      </c>
      <c r="LC30">
        <f>SOFR3mo_PX[[#This Row],[Column315]]</f>
        <v>95.954999999999998</v>
      </c>
      <c r="LD30">
        <f>SOFR3mo_PX[[#This Row],[Column316]]</f>
        <v>95.894999999999996</v>
      </c>
      <c r="LE30">
        <f>SOFR3mo_PX[[#This Row],[Column317]]</f>
        <v>95.94</v>
      </c>
      <c r="LF30">
        <f>SOFR3mo_PX[[#This Row],[Column318]]</f>
        <v>95.99</v>
      </c>
      <c r="LG30">
        <f>SOFR3mo_PX[[#This Row],[Column319]]</f>
        <v>95.94</v>
      </c>
      <c r="LH30">
        <f>SOFR3mo_PX[[#This Row],[Column320]]</f>
        <v>95.93</v>
      </c>
      <c r="LI30">
        <f>SOFR3mo_PX[[#This Row],[Column321]]</f>
        <v>95.974999999999994</v>
      </c>
      <c r="LJ30">
        <f>SOFR3mo_PX[[#This Row],[Column322]]</f>
        <v>96.105000000000004</v>
      </c>
      <c r="LK30">
        <f>SOFR3mo_PX[[#This Row],[Column323]]</f>
        <v>96.105000000000004</v>
      </c>
      <c r="LL30">
        <f>SOFR3mo_PX[[#This Row],[Column324]]</f>
        <v>96.07</v>
      </c>
      <c r="LM30">
        <f>SOFR3mo_PX[[#This Row],[Column325]]</f>
        <v>96.034999999999997</v>
      </c>
      <c r="LN30">
        <f>SOFR3mo_PX[[#This Row],[Column326]]</f>
        <v>96.004999999999995</v>
      </c>
      <c r="LO30">
        <f>SOFR3mo_PX[[#This Row],[Column327]]</f>
        <v>96.04</v>
      </c>
      <c r="LP30">
        <f>SOFR3mo_PX[[#This Row],[Column328]]</f>
        <v>95.98</v>
      </c>
      <c r="LQ30">
        <f>SOFR3mo_PX[[#This Row],[Column329]]</f>
        <v>95.984999999999999</v>
      </c>
      <c r="LR30">
        <f>SOFR3mo_PX[[#This Row],[Column330]]</f>
        <v>96.02</v>
      </c>
      <c r="LS30">
        <f>SOFR3mo_PX[[#This Row],[Column331]]</f>
        <v>95.99</v>
      </c>
      <c r="LT30">
        <f>SOFR3mo_PX[[#This Row],[Column332]]</f>
        <v>96.03</v>
      </c>
      <c r="LU30">
        <f>SOFR3mo_PX[[#This Row],[Column333]]</f>
        <v>96.015000000000001</v>
      </c>
      <c r="LV30">
        <f>SOFR3mo_PX[[#This Row],[Column334]]</f>
        <v>96.125</v>
      </c>
      <c r="LW30">
        <f>SOFR3mo_PX[[#This Row],[Column335]]</f>
        <v>96.14</v>
      </c>
      <c r="LX30">
        <f>SOFR3mo_PX[[#This Row],[Column336]]</f>
        <v>96.19</v>
      </c>
      <c r="LY30">
        <f>SOFR3mo_PX[[#This Row],[Column337]]</f>
        <v>96.185000000000002</v>
      </c>
      <c r="LZ30">
        <f>SOFR3mo_PX[[#This Row],[Column338]]</f>
        <v>96.204999999999998</v>
      </c>
      <c r="MA30">
        <f>SOFR3mo_PX[[#This Row],[Column339]]</f>
        <v>96.2</v>
      </c>
      <c r="MB30">
        <f>SOFR3mo_PX[[#This Row],[Column340]]</f>
        <v>96.16</v>
      </c>
      <c r="MC30">
        <f>SOFR3mo_PX[[#This Row],[Column341]]</f>
        <v>96.07</v>
      </c>
      <c r="MD30">
        <f>SOFR3mo_PX[[#This Row],[Column342]]</f>
        <v>96.1</v>
      </c>
      <c r="ME30">
        <f>SOFR3mo_PX[[#This Row],[Column343]]</f>
        <v>96.055000000000007</v>
      </c>
      <c r="MF30">
        <f>SOFR3mo_PX[[#This Row],[Column344]]</f>
        <v>96.045000000000002</v>
      </c>
      <c r="MG30">
        <f>SOFR3mo_PX[[#This Row],[Column345]]</f>
        <v>96.05</v>
      </c>
      <c r="MH30">
        <f>SOFR3mo_PX[[#This Row],[Column346]]</f>
        <v>96.07</v>
      </c>
      <c r="MI30">
        <f>SOFR3mo_PX[[#This Row],[Column347]]</f>
        <v>96.08</v>
      </c>
      <c r="MJ30">
        <f>SOFR3mo_PX[[#This Row],[Column348]]</f>
        <v>95.984999999999999</v>
      </c>
      <c r="MK30">
        <f>SOFR3mo_PX[[#This Row],[Column349]]</f>
        <v>95.954999999999998</v>
      </c>
      <c r="ML30">
        <f>SOFR3mo_PX[[#This Row],[Column350]]</f>
        <v>96</v>
      </c>
      <c r="MM30">
        <f>SOFR3mo_PX[[#This Row],[Column351]]</f>
        <v>95.974999999999994</v>
      </c>
      <c r="MN30">
        <f>SOFR3mo_PX[[#This Row],[Column352]]</f>
        <v>95.974999999999994</v>
      </c>
      <c r="MO30">
        <f>SOFR3mo_PX[[#This Row],[Column353]]</f>
        <v>96.015000000000001</v>
      </c>
      <c r="MP30">
        <f>SOFR3mo_PX[[#This Row],[Column354]]</f>
        <v>95.99</v>
      </c>
      <c r="MQ30">
        <f>SOFR3mo_PX[[#This Row],[Column355]]</f>
        <v>95.95</v>
      </c>
      <c r="MR30">
        <f>SOFR3mo_PX[[#This Row],[Column356]]</f>
        <v>96.05</v>
      </c>
      <c r="MS30">
        <f>SOFR3mo_PX[[#This Row],[Column357]]</f>
        <v>96.03</v>
      </c>
      <c r="MT30">
        <f>SOFR3mo_PX[[#This Row],[Column358]]</f>
        <v>96.045000000000002</v>
      </c>
      <c r="MU30">
        <f>SOFR3mo_PX[[#This Row],[Column359]]</f>
        <v>96.13</v>
      </c>
      <c r="MV30">
        <f>SOFR3mo_PX[[#This Row],[Column360]]</f>
        <v>96.144999999999996</v>
      </c>
      <c r="MW30">
        <f>SOFR3mo_PX[[#This Row],[Column361]]</f>
        <v>96.055000000000007</v>
      </c>
      <c r="MX30">
        <f>SOFR3mo_PX[[#This Row],[Column362]]</f>
        <v>96.185000000000002</v>
      </c>
      <c r="MY30">
        <f>SOFR3mo_PX[[#This Row],[Column363]]</f>
        <v>96.344999999999999</v>
      </c>
      <c r="MZ30">
        <f>SOFR3mo_PX[[#This Row],[Column364]]</f>
        <v>96.224999999999994</v>
      </c>
      <c r="NA30">
        <f>SOFR3mo_PX[[#This Row],[Column365]]</f>
        <v>96.14</v>
      </c>
      <c r="NB30">
        <f>SOFR3mo_PX[[#This Row],[Column366]]</f>
        <v>96.07</v>
      </c>
      <c r="NC30">
        <f>SOFR3mo_PX[[#This Row],[Column367]]</f>
        <v>96</v>
      </c>
      <c r="ND30">
        <f>SOFR3mo_PX[[#This Row],[Column368]]</f>
        <v>96.034999999999997</v>
      </c>
      <c r="NE30">
        <f>SOFR3mo_PX[[#This Row],[Column369]]</f>
        <v>96.004999999999995</v>
      </c>
      <c r="NF30">
        <f>SOFR3mo_PX[[#This Row],[Column370]]</f>
        <v>96.05</v>
      </c>
      <c r="NG30">
        <f>SOFR3mo_PX[[#This Row],[Column371]]</f>
        <v>96.105000000000004</v>
      </c>
      <c r="NH30">
        <f>SOFR3mo_PX[[#This Row],[Column372]]</f>
        <v>96.05</v>
      </c>
      <c r="NI30">
        <f>SOFR3mo_PX[[#This Row],[Column373]]</f>
        <v>96.04</v>
      </c>
      <c r="NJ30">
        <f>SOFR3mo_PX[[#This Row],[Column374]]</f>
        <v>96.075000000000003</v>
      </c>
      <c r="NK30">
        <f>SOFR3mo_PX[[#This Row],[Column375]]</f>
        <v>96.084999999999994</v>
      </c>
      <c r="NL30">
        <f>SOFR3mo_PX[[#This Row],[Column376]]</f>
        <v>96.2</v>
      </c>
      <c r="NM30">
        <f>SOFR3mo_PX[[#This Row],[Column377]]</f>
        <v>96.2</v>
      </c>
      <c r="NN30">
        <f>SOFR3mo_PX[[#This Row],[Column378]]</f>
        <v>96.23</v>
      </c>
      <c r="NO30">
        <f>SOFR3mo_PX[[#This Row],[Column379]]</f>
        <v>96.19</v>
      </c>
      <c r="NP30">
        <f>SOFR3mo_PX[[#This Row],[Column380]]</f>
        <v>96.2</v>
      </c>
      <c r="NQ30">
        <f>SOFR3mo_PX[[#This Row],[Column381]]</f>
        <v>96.204999999999998</v>
      </c>
      <c r="NR30">
        <f>SOFR3mo_PX[[#This Row],[Column382]]</f>
        <v>96.194999999999993</v>
      </c>
      <c r="NS30">
        <f>SOFR3mo_PX[[#This Row],[Column383]]</f>
        <v>96.25</v>
      </c>
      <c r="NT30">
        <f>SOFR3mo_PX[[#This Row],[Column384]]</f>
        <v>96.334999999999994</v>
      </c>
      <c r="NU30">
        <f>SOFR3mo_PX[[#This Row],[Column385]]</f>
        <v>96.29</v>
      </c>
      <c r="NV30">
        <f>SOFR3mo_PX[[#This Row],[Column386]]</f>
        <v>96.34</v>
      </c>
      <c r="NW30">
        <f>SOFR3mo_PX[[#This Row],[Column387]]</f>
        <v>96.34</v>
      </c>
      <c r="NX30">
        <f>SOFR3mo_PX[[#This Row],[Column388]]</f>
        <v>96.364999999999995</v>
      </c>
      <c r="NY30">
        <f>SOFR3mo_PX[[#This Row],[Column389]]</f>
        <v>96.435000000000002</v>
      </c>
      <c r="NZ30">
        <f>SOFR3mo_PX[[#This Row],[Column390]]</f>
        <v>96.33</v>
      </c>
      <c r="OA30">
        <f>SOFR3mo_PX[[#This Row],[Column391]]</f>
        <v>96.314999999999998</v>
      </c>
      <c r="OB30">
        <f>SOFR3mo_PX[[#This Row],[Column392]]</f>
        <v>96.314999999999998</v>
      </c>
      <c r="OC30">
        <f>SOFR3mo_PX[[#This Row],[Column393]]</f>
        <v>96.35</v>
      </c>
      <c r="OD30">
        <f>SOFR3mo_PX[[#This Row],[Column394]]</f>
        <v>96.385000000000005</v>
      </c>
      <c r="OE30">
        <f>SOFR3mo_PX[[#This Row],[Column395]]</f>
        <v>96.36</v>
      </c>
      <c r="OF30">
        <f>SOFR3mo_PX[[#This Row],[Column396]]</f>
        <v>96.325000000000003</v>
      </c>
      <c r="OG30">
        <f>SOFR3mo_PX[[#This Row],[Column397]]</f>
        <v>96.36</v>
      </c>
      <c r="OH30">
        <f>SOFR3mo_PX[[#This Row],[Column398]]</f>
        <v>96.334999999999994</v>
      </c>
      <c r="OI30">
        <f>SOFR3mo_PX[[#This Row],[Column399]]</f>
        <v>96.234999999999999</v>
      </c>
      <c r="OJ30">
        <f>SOFR3mo_PX[[#This Row],[Column400]]</f>
        <v>96.084999999999994</v>
      </c>
      <c r="OK30">
        <f>SOFR3mo_PX[[#This Row],[Column401]]</f>
        <v>96.03</v>
      </c>
      <c r="OL30">
        <f>SOFR3mo_PX[[#This Row],[Column402]]</f>
        <v>96.025000000000006</v>
      </c>
      <c r="OM30">
        <f>SOFR3mo_PX[[#This Row],[Column403]]</f>
        <v>96.135000000000005</v>
      </c>
      <c r="ON30">
        <f>SOFR3mo_PX[[#This Row],[Column404]]</f>
        <v>96.13</v>
      </c>
      <c r="OO30">
        <f>SOFR3mo_PX[[#This Row],[Column405]]</f>
        <v>96.064999999999998</v>
      </c>
      <c r="OP30">
        <f>SOFR3mo_PX[[#This Row],[Column406]]</f>
        <v>95.93</v>
      </c>
      <c r="OQ30">
        <f>SOFR3mo_PX[[#This Row],[Column407]]</f>
        <v>95.96</v>
      </c>
      <c r="OR30">
        <f>SOFR3mo_PX[[#This Row],[Column408]]</f>
        <v>95.844999999999999</v>
      </c>
      <c r="OS30">
        <f>SOFR3mo_PX[[#This Row],[Column409]]</f>
        <v>95.93</v>
      </c>
      <c r="OT30">
        <f>SOFR3mo_PX[[#This Row],[Column410]]</f>
        <v>95.855000000000004</v>
      </c>
      <c r="OU30">
        <f>SOFR3mo_PX[[#This Row],[Column411]]</f>
        <v>95.85</v>
      </c>
      <c r="OV30">
        <f>SOFR3mo_PX[[#This Row],[Column412]]</f>
        <v>95.734999999999999</v>
      </c>
      <c r="OW30">
        <f>SOFR3mo_PX[[#This Row],[Column413]]</f>
        <v>95.8</v>
      </c>
      <c r="OX30">
        <f>SOFR3mo_PX[[#This Row],[Column414]]</f>
        <v>95.8</v>
      </c>
      <c r="OY30">
        <f>SOFR3mo_PX[[#This Row],[Column415]]</f>
        <v>95.79</v>
      </c>
      <c r="OZ30">
        <f>SOFR3mo_PX[[#This Row],[Column416]]</f>
        <v>95.81</v>
      </c>
      <c r="PA30">
        <f>SOFR3mo_PX[[#This Row],[Column417]]</f>
        <v>95.765000000000001</v>
      </c>
      <c r="PB30">
        <f>SOFR3mo_PX[[#This Row],[Column418]]</f>
        <v>95.745000000000005</v>
      </c>
      <c r="PC30">
        <f>SOFR3mo_PX[[#This Row],[Column419]]</f>
        <v>95.65</v>
      </c>
      <c r="PD30">
        <f>SOFR3mo_PX[[#This Row],[Column420]]</f>
        <v>95.734999999999999</v>
      </c>
      <c r="PE30">
        <f>SOFR3mo_PX[[#This Row],[Column421]]</f>
        <v>95.564999999999998</v>
      </c>
      <c r="PF30">
        <f>SOFR3mo_PX[[#This Row],[Column422]]</f>
        <v>95.56</v>
      </c>
      <c r="PG30">
        <f>SOFR3mo_PX[[#This Row],[Column423]]</f>
        <v>95.54</v>
      </c>
      <c r="PH30">
        <f>SOFR3mo_PX[[#This Row],[Column424]]</f>
        <v>95.67</v>
      </c>
      <c r="PI30">
        <f>SOFR3mo_PX[[#This Row],[Column425]]</f>
        <v>95.584999999999994</v>
      </c>
      <c r="PJ30">
        <f>SOFR3mo_PX[[#This Row],[Column426]]</f>
        <v>95.47</v>
      </c>
      <c r="PK30">
        <f>SOFR3mo_PX[[#This Row],[Column427]]</f>
        <v>95.58</v>
      </c>
      <c r="PL30">
        <f>SOFR3mo_PX[[#This Row],[Column428]]</f>
        <v>95.46</v>
      </c>
      <c r="PM30">
        <f>SOFR3mo_PX[[#This Row],[Column429]]</f>
        <v>95.33</v>
      </c>
      <c r="PN30">
        <f>SOFR3mo_PX[[#This Row],[Column430]]</f>
        <v>95.24</v>
      </c>
      <c r="PO30">
        <f>SOFR3mo_PX[[#This Row],[Column431]]</f>
        <v>95.23</v>
      </c>
      <c r="PP30">
        <f>SOFR3mo_PX[[#This Row],[Column432]]</f>
        <v>95.24</v>
      </c>
      <c r="PQ30">
        <f>SOFR3mo_PX[[#This Row],[Column433]]</f>
        <v>95.245000000000005</v>
      </c>
      <c r="PR30">
        <f>SOFR3mo_PX[[#This Row],[Column434]]</f>
        <v>95.135000000000005</v>
      </c>
      <c r="PS30">
        <f>SOFR3mo_PX[[#This Row],[Column435]]</f>
        <v>95.275000000000006</v>
      </c>
      <c r="PT30">
        <f>SOFR3mo_PX[[#This Row],[Column436]]</f>
        <v>95.27</v>
      </c>
      <c r="PU30">
        <f>SOFR3mo_PX[[#This Row],[Column437]]</f>
        <v>95.165000000000006</v>
      </c>
      <c r="PV30">
        <f>SOFR3mo_PX[[#This Row],[Column438]]</f>
        <v>95.09</v>
      </c>
      <c r="PW30">
        <f>SOFR3mo_PX[[#This Row],[Column439]]</f>
        <v>95.22</v>
      </c>
      <c r="PX30">
        <f>SOFR3mo_PX[[#This Row],[Column440]]</f>
        <v>95.265000000000001</v>
      </c>
      <c r="PY30">
        <f>SOFR3mo_PX[[#This Row],[Column441]]</f>
        <v>95.39</v>
      </c>
      <c r="PZ30">
        <f>SOFR3mo_PX[[#This Row],[Column442]]</f>
        <v>95.465000000000003</v>
      </c>
      <c r="QA30">
        <f>SOFR3mo_PX[[#This Row],[Column443]]</f>
        <v>95.36</v>
      </c>
      <c r="QB30">
        <f>SOFR3mo_PX[[#This Row],[Column444]]</f>
        <v>95.474999999999994</v>
      </c>
      <c r="QC30">
        <f>SOFR3mo_PX[[#This Row],[Column445]]</f>
        <v>95.385000000000005</v>
      </c>
      <c r="QD30">
        <f>SOFR3mo_PX[[#This Row],[Column446]]</f>
        <v>95.364999999999995</v>
      </c>
      <c r="QE30">
        <f>SOFR3mo_PX[[#This Row],[Column447]]</f>
        <v>95.24</v>
      </c>
      <c r="QF30">
        <f>SOFR3mo_PX[[#This Row],[Column448]]</f>
        <v>95.3</v>
      </c>
      <c r="QG30">
        <f>SOFR3mo_PX[[#This Row],[Column449]]</f>
        <v>95.275000000000006</v>
      </c>
      <c r="QH30">
        <f>SOFR3mo_PX[[#This Row],[Column450]]</f>
        <v>95.22</v>
      </c>
      <c r="QI30">
        <f>SOFR3mo_PX[[#This Row],[Column451]]</f>
        <v>95.35</v>
      </c>
      <c r="QJ30">
        <f>SOFR3mo_PX[[#This Row],[Column452]]</f>
        <v>95.51</v>
      </c>
      <c r="QK30">
        <f>SOFR3mo_PX[[#This Row],[Column453]]</f>
        <v>95.49</v>
      </c>
      <c r="QL30">
        <f>SOFR3mo_PX[[#This Row],[Column454]]</f>
        <v>95.515000000000001</v>
      </c>
      <c r="QM30">
        <f>SOFR3mo_PX[[#This Row],[Column455]]</f>
        <v>95.59</v>
      </c>
      <c r="QN30">
        <f>SOFR3mo_PX[[#This Row],[Column456]]</f>
        <v>95.6</v>
      </c>
      <c r="QO30">
        <f>SOFR3mo_PX[[#This Row],[Column457]]</f>
        <v>95.75</v>
      </c>
      <c r="QP30">
        <f>SOFR3mo_PX[[#This Row],[Column458]]</f>
        <v>95.72</v>
      </c>
      <c r="QQ30">
        <f>SOFR3mo_PX[[#This Row],[Column459]]</f>
        <v>95.89</v>
      </c>
      <c r="QR30">
        <f>SOFR3mo_PX[[#This Row],[Column460]]</f>
        <v>95.88</v>
      </c>
      <c r="QS30">
        <f>SOFR3mo_PX[[#This Row],[Column461]]</f>
        <v>95.915000000000006</v>
      </c>
      <c r="QT30">
        <f>SOFR3mo_PX[[#This Row],[Column462]]</f>
        <v>95.894999999999996</v>
      </c>
      <c r="QU30">
        <f>SOFR3mo_PX[[#This Row],[Column463]]</f>
        <v>95.93</v>
      </c>
      <c r="QV30">
        <f>SOFR3mo_PX[[#This Row],[Column464]]</f>
        <v>95.984999999999999</v>
      </c>
      <c r="QW30">
        <f>SOFR3mo_PX[[#This Row],[Column465]]</f>
        <v>95.965000000000003</v>
      </c>
      <c r="QX30">
        <f>SOFR3mo_PX[[#This Row],[Column466]]</f>
        <v>95.92</v>
      </c>
      <c r="QY30">
        <f>SOFR3mo_PX[[#This Row],[Column467]]</f>
        <v>95.96</v>
      </c>
      <c r="QZ30">
        <f>SOFR3mo_PX[[#This Row],[Column468]]</f>
        <v>95.95</v>
      </c>
      <c r="RA30">
        <f>SOFR3mo_PX[[#This Row],[Column469]]</f>
        <v>95.935000000000002</v>
      </c>
      <c r="RB30">
        <f>SOFR3mo_PX[[#This Row],[Column470]]</f>
        <v>95.93</v>
      </c>
      <c r="RC30">
        <f>SOFR3mo_PX[[#This Row],[Column471]]</f>
        <v>96</v>
      </c>
      <c r="RD30">
        <f>SOFR3mo_PX[[#This Row],[Column472]]</f>
        <v>96</v>
      </c>
      <c r="RE30">
        <f>SOFR3mo_PX[[#This Row],[Column473]]</f>
        <v>96.094999999999999</v>
      </c>
      <c r="RF30">
        <f>SOFR3mo_PX[[#This Row],[Column474]]</f>
        <v>96.07</v>
      </c>
      <c r="RG30">
        <f>SOFR3mo_PX[[#This Row],[Column475]]</f>
        <v>96.075000000000003</v>
      </c>
      <c r="RH30">
        <f>SOFR3mo_PX[[#This Row],[Column476]]</f>
        <v>96.03</v>
      </c>
      <c r="RI30">
        <f>SOFR3mo_PX[[#This Row],[Column477]]</f>
        <v>95.99</v>
      </c>
      <c r="RJ30">
        <f>SOFR3mo_PX[[#This Row],[Column478]]</f>
        <v>95.984999999999999</v>
      </c>
      <c r="RK30">
        <f>SOFR3mo_PX[[#This Row],[Column479]]</f>
        <v>96.01</v>
      </c>
      <c r="RL30">
        <f>SOFR3mo_PX[[#This Row],[Column480]]</f>
        <v>95.86</v>
      </c>
      <c r="RM30">
        <f>SOFR3mo_PX[[#This Row],[Column481]]</f>
        <v>95.83</v>
      </c>
      <c r="RN30">
        <f>SOFR3mo_PX[[#This Row],[Column482]]</f>
        <v>95.924999999999997</v>
      </c>
      <c r="RO30">
        <f>SOFR3mo_PX[[#This Row],[Column483]]</f>
        <v>95.85</v>
      </c>
      <c r="RP30">
        <f>SOFR3mo_PX[[#This Row],[Column484]]</f>
        <v>95.935000000000002</v>
      </c>
      <c r="RQ30">
        <f>SOFR3mo_PX[[#This Row],[Column485]]</f>
        <v>95.97</v>
      </c>
      <c r="RR30">
        <f>SOFR3mo_PX[[#This Row],[Column486]]</f>
        <v>96.03</v>
      </c>
      <c r="RS30">
        <f>SOFR3mo_PX[[#This Row],[Column487]]</f>
        <v>96.004999999999995</v>
      </c>
      <c r="RT30">
        <f>SOFR3mo_PX[[#This Row],[Column488]]</f>
        <v>96.094999999999999</v>
      </c>
      <c r="RU30">
        <f>SOFR3mo_PX[[#This Row],[Column489]]</f>
        <v>96.2</v>
      </c>
      <c r="RV30">
        <f>SOFR3mo_PX[[#This Row],[Column490]]</f>
        <v>96.165000000000006</v>
      </c>
      <c r="RW30">
        <f>SOFR3mo_PX[[#This Row],[Column491]]</f>
        <v>96.1</v>
      </c>
      <c r="RX30">
        <f>SOFR3mo_PX[[#This Row],[Column492]]</f>
        <v>96.114999999999995</v>
      </c>
      <c r="RY30">
        <f>SOFR3mo_PX[[#This Row],[Column493]]</f>
        <v>95.97</v>
      </c>
      <c r="RZ30">
        <f>SOFR3mo_PX[[#This Row],[Column494]]</f>
        <v>96.135000000000005</v>
      </c>
      <c r="SA30">
        <f>SOFR3mo_PX[[#This Row],[Column495]]</f>
        <v>96.19</v>
      </c>
      <c r="SB30">
        <f>SOFR3mo_PX[[#This Row],[Column496]]</f>
        <v>96.28</v>
      </c>
      <c r="SC30">
        <f>SOFR3mo_PX[[#This Row],[Column497]]</f>
        <v>96.275000000000006</v>
      </c>
      <c r="SD30">
        <f>SOFR3mo_PX[[#This Row],[Column498]]</f>
        <v>96.23</v>
      </c>
      <c r="SE30">
        <f>SOFR3mo_PX[[#This Row],[Column499]]</f>
        <v>96.4</v>
      </c>
      <c r="SF30">
        <f>SOFR3mo_PX[[#This Row],[Column500]]</f>
        <v>96.35</v>
      </c>
      <c r="SG30">
        <f>SOFR3mo_PX[[#This Row],[Column501]]</f>
        <v>96.41</v>
      </c>
      <c r="SH30">
        <f>SOFR3mo_PX[[#This Row],[Column502]]</f>
        <v>96.42</v>
      </c>
      <c r="SI30">
        <f>SOFR3mo_PX[[#This Row],[Column503]]</f>
        <v>96.4</v>
      </c>
      <c r="SJ30">
        <f>SOFR3mo_PX[[#This Row],[Column504]]</f>
        <v>96.52</v>
      </c>
      <c r="SK30">
        <f>SOFR3mo_PX[[#This Row],[Column505]]</f>
        <v>96.48</v>
      </c>
      <c r="SL30">
        <f>SOFR3mo_PX[[#This Row],[Column506]]</f>
        <v>96.465000000000003</v>
      </c>
      <c r="SM30">
        <f>SOFR3mo_PX[[#This Row],[Column507]]</f>
        <v>96.424999999999997</v>
      </c>
      <c r="SN30">
        <f>SOFR3mo_PX[[#This Row],[Column508]]</f>
        <v>96.435000000000002</v>
      </c>
      <c r="SO30">
        <f>SOFR3mo_PX[[#This Row],[Column509]]</f>
        <v>96.405000000000001</v>
      </c>
      <c r="SP30">
        <f>SOFR3mo_PX[[#This Row],[Column510]]</f>
        <v>96.314999999999998</v>
      </c>
      <c r="SQ30">
        <f>SOFR3mo_PX[[#This Row],[Column511]]</f>
        <v>96.25</v>
      </c>
      <c r="SR30">
        <f>SOFR3mo_PX[[#This Row],[Column512]]</f>
        <v>96.21</v>
      </c>
      <c r="SS30">
        <f>SOFR3mo_PX[[#This Row],[Column513]]</f>
        <v>96.265000000000001</v>
      </c>
      <c r="ST30">
        <f>SOFR3mo_PX[[#This Row],[Column514]]</f>
        <v>96.394999999999996</v>
      </c>
      <c r="SU30">
        <f>SOFR3mo_PX[[#This Row],[Column515]]</f>
        <v>96.5</v>
      </c>
      <c r="SV30">
        <f>SOFR3mo_PX[[#This Row],[Column516]]</f>
        <v>96.5</v>
      </c>
      <c r="SW30">
        <f>SOFR3mo_PX[[#This Row],[Column517]]</f>
        <v>96.534999999999997</v>
      </c>
      <c r="SX30">
        <f>SOFR3mo_PX[[#This Row],[Column518]]</f>
        <v>96.47</v>
      </c>
      <c r="SY30">
        <f>SOFR3mo_PX[[#This Row],[Column519]]</f>
        <v>96.614999999999995</v>
      </c>
      <c r="SZ30">
        <f>SOFR3mo_PX[[#This Row],[Column520]]</f>
        <v>96.56</v>
      </c>
      <c r="TA30">
        <f>SOFR3mo_PX[[#This Row],[Column521]]</f>
        <v>96.59</v>
      </c>
      <c r="TB30">
        <f>SOFR3mo_PX[[#This Row],[Column522]]</f>
        <v>96.56</v>
      </c>
      <c r="TC30">
        <f>SOFR3mo_PX[[#This Row],[Column523]]</f>
        <v>96.49</v>
      </c>
      <c r="TD30">
        <f>SOFR3mo_PX[[#This Row],[Column524]]</f>
        <v>96.564999999999998</v>
      </c>
      <c r="TE30">
        <f>SOFR3mo_PX[[#This Row],[Column525]]</f>
        <v>96.58</v>
      </c>
      <c r="TF30">
        <f>SOFR3mo_PX[[#This Row],[Column526]]</f>
        <v>96.51</v>
      </c>
      <c r="TG30">
        <f>SOFR3mo_PX[[#This Row],[Column527]]</f>
        <v>96.51</v>
      </c>
      <c r="TH30">
        <f>SOFR3mo_PX[[#This Row],[Column528]]</f>
        <v>96.545000000000002</v>
      </c>
      <c r="TI30">
        <f>SOFR3mo_PX[[#This Row],[Column529]]</f>
        <v>96.474999999999994</v>
      </c>
      <c r="TJ30">
        <f>SOFR3mo_PX[[#This Row],[Column530]]</f>
        <v>96.394999999999996</v>
      </c>
      <c r="TK30">
        <f>SOFR3mo_PX[[#This Row],[Column531]]</f>
        <v>96.47</v>
      </c>
      <c r="TL30">
        <f>SOFR3mo_PX[[#This Row],[Column532]]</f>
        <v>96.474999999999994</v>
      </c>
      <c r="TM30">
        <f>SOFR3mo_PX[[#This Row],[Column533]]</f>
        <v>96.48</v>
      </c>
      <c r="TN30">
        <f>SOFR3mo_PX[[#This Row],[Column534]]</f>
        <v>96.405000000000001</v>
      </c>
      <c r="TO30">
        <f>SOFR3mo_PX[[#This Row],[Column535]]</f>
        <v>96.51</v>
      </c>
      <c r="TP30">
        <f>SOFR3mo_PX[[#This Row],[Column536]]</f>
        <v>96.49</v>
      </c>
      <c r="TQ30">
        <f>SOFR3mo_PX[[#This Row],[Column537]]</f>
        <v>96.46</v>
      </c>
      <c r="TR30">
        <f>SOFR3mo_PX[[#This Row],[Column538]]</f>
        <v>96.56</v>
      </c>
      <c r="TS30">
        <f>SOFR3mo_PX[[#This Row],[Column539]]</f>
        <v>96.545000000000002</v>
      </c>
      <c r="TT30">
        <f>SOFR3mo_PX[[#This Row],[Column540]]</f>
        <v>96.5</v>
      </c>
      <c r="TU30">
        <f>SOFR3mo_PX[[#This Row],[Column541]]</f>
        <v>96.39</v>
      </c>
      <c r="TV30">
        <f>SOFR3mo_PX[[#This Row],[Column542]]</f>
        <v>96.39</v>
      </c>
      <c r="TW30">
        <f>SOFR3mo_PX[[#This Row],[Column543]]</f>
        <v>96.375</v>
      </c>
      <c r="TX30">
        <f>SOFR3mo_PX[[#This Row],[Column544]]</f>
        <v>96.46</v>
      </c>
      <c r="TY30">
        <f>SOFR3mo_PX[[#This Row],[Column545]]</f>
        <v>96.474999999999994</v>
      </c>
      <c r="TZ30">
        <f>SOFR3mo_PX[[#This Row],[Column546]]</f>
        <v>96.444999999999993</v>
      </c>
      <c r="UA30">
        <f>SOFR3mo_PX[[#This Row],[Column547]]</f>
        <v>96.435000000000002</v>
      </c>
      <c r="UB30">
        <f>SOFR3mo_PX[[#This Row],[Column548]]</f>
        <v>96.484999999999999</v>
      </c>
      <c r="UC30">
        <f>SOFR3mo_PX[[#This Row],[Column549]]</f>
        <v>96.54</v>
      </c>
      <c r="UD30">
        <f>SOFR3mo_PX[[#This Row],[Column550]]</f>
        <v>96.555000000000007</v>
      </c>
      <c r="UE30">
        <f>SOFR3mo_PX[[#This Row],[Column551]]</f>
        <v>96.61</v>
      </c>
      <c r="UF30">
        <f>SOFR3mo_PX[[#This Row],[Column552]]</f>
        <v>96.65</v>
      </c>
      <c r="UG30">
        <f>SOFR3mo_PX[[#This Row],[Column553]]</f>
        <v>96.69</v>
      </c>
      <c r="UH30">
        <f>SOFR3mo_PX[[#This Row],[Column554]]</f>
        <v>96.644999999999996</v>
      </c>
      <c r="UI30">
        <f>SOFR3mo_PX[[#This Row],[Column555]]</f>
        <v>96.58</v>
      </c>
      <c r="UJ30">
        <f>SOFR3mo_PX[[#This Row],[Column556]]</f>
        <v>96.59</v>
      </c>
      <c r="UK30">
        <f>SOFR3mo_PX[[#This Row],[Column557]]</f>
        <v>96.635000000000005</v>
      </c>
      <c r="UL30">
        <f>SOFR3mo_PX[[#This Row],[Column558]]</f>
        <v>96.704999999999998</v>
      </c>
      <c r="UM30">
        <f>SOFR3mo_PX[[#This Row],[Column559]]</f>
        <v>96.674999999999997</v>
      </c>
      <c r="UN30">
        <f>SOFR3mo_PX[[#This Row],[Column560]]</f>
        <v>96.665000000000006</v>
      </c>
      <c r="UO30">
        <f>SOFR3mo_PX[[#This Row],[Column561]]</f>
        <v>96.53</v>
      </c>
      <c r="UP30">
        <f>SOFR3mo_PX[[#This Row],[Column562]]</f>
        <v>96.66</v>
      </c>
      <c r="UQ30">
        <f>SOFR3mo_PX[[#This Row],[Column563]]</f>
        <v>96.64</v>
      </c>
      <c r="UR30">
        <f>SOFR3mo_PX[[#This Row],[Column564]]</f>
        <v>96.715000000000003</v>
      </c>
      <c r="US30">
        <f>SOFR3mo_PX[[#This Row],[Column565]]</f>
        <v>96.765000000000001</v>
      </c>
      <c r="UT30">
        <f>SOFR3mo_PX[[#This Row],[Column566]]</f>
        <v>96.704999999999998</v>
      </c>
      <c r="UU30">
        <f>SOFR3mo_PX[[#This Row],[Column567]]</f>
        <v>96.65</v>
      </c>
      <c r="UV30">
        <f>SOFR3mo_PX[[#This Row],[Column568]]</f>
        <v>96.694999999999993</v>
      </c>
      <c r="UW30">
        <f>SOFR3mo_PX[[#This Row],[Column569]]</f>
        <v>96.644999999999996</v>
      </c>
      <c r="UX30">
        <f>SOFR3mo_PX[[#This Row],[Column570]]</f>
        <v>96.665000000000006</v>
      </c>
      <c r="UY30">
        <f>SOFR3mo_PX[[#This Row],[Column571]]</f>
        <v>96.62</v>
      </c>
      <c r="UZ30">
        <f>SOFR3mo_PX[[#This Row],[Column572]]</f>
        <v>96.68</v>
      </c>
      <c r="VA30">
        <f>SOFR3mo_PX[[#This Row],[Column573]]</f>
        <v>96.734999999999999</v>
      </c>
      <c r="VB30">
        <f>SOFR3mo_PX[[#This Row],[Column574]]</f>
        <v>96.79</v>
      </c>
      <c r="VC30">
        <f>SOFR3mo_PX[[#This Row],[Column575]]</f>
        <v>96.784999999999997</v>
      </c>
      <c r="VD30">
        <f>SOFR3mo_PX[[#This Row],[Column576]]</f>
        <v>96.775000000000006</v>
      </c>
      <c r="VE30">
        <f>SOFR3mo_PX[[#This Row],[Column577]]</f>
        <v>96.83</v>
      </c>
      <c r="VF30">
        <f>SOFR3mo_PX[[#This Row],[Column578]]</f>
        <v>96.905000000000001</v>
      </c>
      <c r="VG30">
        <f>SOFR3mo_PX[[#This Row],[Column579]]</f>
        <v>96.89</v>
      </c>
      <c r="VH30">
        <f>SOFR3mo_PX[[#This Row],[Column580]]</f>
        <v>96.855000000000004</v>
      </c>
      <c r="VI30">
        <f>SOFR3mo_PX[[#This Row],[Column581]]</f>
        <v>96.79</v>
      </c>
      <c r="VJ30">
        <f>SOFR3mo_PX[[#This Row],[Column582]]</f>
        <v>96.734999999999999</v>
      </c>
      <c r="VK30">
        <f>SOFR3mo_PX[[#This Row],[Column583]]</f>
        <v>96.7</v>
      </c>
      <c r="VL30">
        <f>SOFR3mo_PX[[#This Row],[Column584]]</f>
        <v>96.674999999999997</v>
      </c>
      <c r="VM30">
        <f>SOFR3mo_PX[[#This Row],[Column585]]</f>
        <v>96.665000000000006</v>
      </c>
      <c r="VN30">
        <f>SOFR3mo_PX[[#This Row],[Column586]]</f>
        <v>96.694999999999993</v>
      </c>
      <c r="VO30">
        <f>SOFR3mo_PX[[#This Row],[Column587]]</f>
        <v>96.814999999999998</v>
      </c>
      <c r="VP30">
        <f>SOFR3mo_PX[[#This Row],[Column588]]</f>
        <v>96.775000000000006</v>
      </c>
      <c r="VQ30">
        <f>SOFR3mo_PX[[#This Row],[Column589]]</f>
        <v>96.724999999999994</v>
      </c>
      <c r="VR30">
        <f>SOFR3mo_PX[[#This Row],[Column590]]</f>
        <v>96.67</v>
      </c>
      <c r="VS30">
        <f>SOFR3mo_PX[[#This Row],[Column591]]</f>
        <v>96.704999999999998</v>
      </c>
      <c r="VT30">
        <f>SOFR3mo_PX[[#This Row],[Column592]]</f>
        <v>96.784999999999997</v>
      </c>
      <c r="VU30">
        <f>SOFR3mo_PX[[#This Row],[Column593]]</f>
        <v>96.6</v>
      </c>
      <c r="VV30">
        <f>SOFR3mo_PX[[#This Row],[Column594]]</f>
        <v>96.665000000000006</v>
      </c>
      <c r="VW30">
        <f>SOFR3mo_PX[[#This Row],[Column595]]</f>
        <v>96.59</v>
      </c>
      <c r="VX30">
        <f>SOFR3mo_PX[[#This Row],[Column596]]</f>
        <v>96.665000000000006</v>
      </c>
      <c r="VY30">
        <f>SOFR3mo_PX[[#This Row],[Column597]]</f>
        <v>96.644999999999996</v>
      </c>
      <c r="VZ30">
        <f>SOFR3mo_PX[[#This Row],[Column598]]</f>
        <v>96.444999999999993</v>
      </c>
      <c r="WA30">
        <f>SOFR3mo_PX[[#This Row],[Column599]]</f>
        <v>96.49</v>
      </c>
      <c r="WB30">
        <f>SOFR3mo_PX[[#This Row],[Column600]]</f>
        <v>96.47</v>
      </c>
      <c r="WC30">
        <f>SOFR3mo_PX[[#This Row],[Column601]]</f>
        <v>96.394999999999996</v>
      </c>
      <c r="WD30">
        <f>SOFR3mo_PX[[#This Row],[Column602]]</f>
        <v>96.394999999999996</v>
      </c>
      <c r="WE30">
        <f>SOFR3mo_PX[[#This Row],[Column603]]</f>
        <v>96.27</v>
      </c>
      <c r="WF30">
        <f>SOFR3mo_PX[[#This Row],[Column604]]</f>
        <v>96.375</v>
      </c>
      <c r="WG30">
        <f>SOFR3mo_PX[[#This Row],[Column605]]</f>
        <v>96.46</v>
      </c>
      <c r="WH30">
        <f>SOFR3mo_PX[[#This Row],[Column606]]</f>
        <v>96.46</v>
      </c>
      <c r="WI30">
        <f>SOFR3mo_PX[[#This Row],[Column607]]</f>
        <v>96.42</v>
      </c>
      <c r="WJ30">
        <f>SOFR3mo_PX[[#This Row],[Column608]]</f>
        <v>96.47</v>
      </c>
      <c r="WK30">
        <f>SOFR3mo_PX[[#This Row],[Column609]]</f>
        <v>96.42</v>
      </c>
      <c r="WL30">
        <f>SOFR3mo_PX[[#This Row],[Column610]]</f>
        <v>96.385000000000005</v>
      </c>
      <c r="WM30">
        <f>SOFR3mo_PX[[#This Row],[Column611]]</f>
        <v>96.534999999999997</v>
      </c>
      <c r="WN30">
        <f>SOFR3mo_PX[[#This Row],[Column612]]</f>
        <v>96.534999999999997</v>
      </c>
      <c r="WO30">
        <f>SOFR3mo_PX[[#This Row],[Column613]]</f>
        <v>96.515000000000001</v>
      </c>
      <c r="WP30">
        <f>SOFR3mo_PX[[#This Row],[Column614]]</f>
        <v>96.555000000000007</v>
      </c>
      <c r="WQ30">
        <f>SOFR3mo_PX[[#This Row],[Column615]]</f>
        <v>96.62</v>
      </c>
      <c r="WR30">
        <f>SOFR3mo_PX[[#This Row],[Column616]]</f>
        <v>96.605000000000004</v>
      </c>
      <c r="WS30">
        <f>SOFR3mo_PX[[#This Row],[Column617]]</f>
        <v>96.575000000000003</v>
      </c>
      <c r="WT30">
        <f>SOFR3mo_PX[[#This Row],[Column618]]</f>
        <v>96.64</v>
      </c>
      <c r="WU30">
        <f>SOFR3mo_PX[[#This Row],[Column619]]</f>
        <v>96.66</v>
      </c>
      <c r="WV30">
        <f>SOFR3mo_PX[[#This Row],[Column620]]</f>
        <v>96.64</v>
      </c>
      <c r="WW30">
        <f>SOFR3mo_PX[[#This Row],[Column621]]</f>
        <v>96.665000000000006</v>
      </c>
      <c r="WX30">
        <f>SOFR3mo_PX[[#This Row],[Column622]]</f>
        <v>96.74</v>
      </c>
      <c r="WY30">
        <f>SOFR3mo_PX[[#This Row],[Column623]]</f>
        <v>96.83</v>
      </c>
      <c r="WZ30">
        <f>SOFR3mo_PX[[#This Row],[Column624]]</f>
        <v>96.86</v>
      </c>
      <c r="XA30">
        <f>SOFR3mo_PX[[#This Row],[Column625]]</f>
        <v>96.76</v>
      </c>
      <c r="XB30">
        <f>SOFR3mo_PX[[#This Row],[Column626]]</f>
        <v>96.73</v>
      </c>
      <c r="XC30">
        <f>SOFR3mo_PX[[#This Row],[Column627]]</f>
        <v>96.765000000000001</v>
      </c>
      <c r="XD30">
        <f>SOFR3mo_PX[[#This Row],[Column628]]</f>
        <v>96.814999999999998</v>
      </c>
      <c r="XE30">
        <f>SOFR3mo_PX[[#This Row],[Column629]]</f>
        <v>96.83</v>
      </c>
      <c r="XF30">
        <f>SOFR3mo_PX[[#This Row],[Column630]]</f>
        <v>96.83</v>
      </c>
      <c r="XG30">
        <f>SOFR3mo_PX[[#This Row],[Column631]]</f>
        <v>96.754999999999995</v>
      </c>
      <c r="XH30">
        <f>SOFR3mo_PX[[#This Row],[Column632]]</f>
        <v>96.795000000000002</v>
      </c>
      <c r="XI30">
        <f>SOFR3mo_PX[[#This Row],[Column633]]</f>
        <v>96.885000000000005</v>
      </c>
      <c r="XJ30">
        <f>SOFR3mo_PX[[#This Row],[Column634]]</f>
        <v>96.915000000000006</v>
      </c>
      <c r="XK30">
        <f>SOFR3mo_PX[[#This Row],[Column635]]</f>
        <v>96.78</v>
      </c>
      <c r="XL30">
        <f>SOFR3mo_PX[[#This Row],[Column636]]</f>
        <v>96.825000000000003</v>
      </c>
      <c r="XM30">
        <f>SOFR3mo_PX[[#This Row],[Column637]]</f>
        <v>96.825000000000003</v>
      </c>
      <c r="XN30">
        <f>SOFR3mo_PX[[#This Row],[Column638]]</f>
        <v>96.85</v>
      </c>
      <c r="XO30">
        <f>SOFR3mo_PX[[#This Row],[Column639]]</f>
        <v>96.775000000000006</v>
      </c>
      <c r="XP30">
        <f>SOFR3mo_PX[[#This Row],[Column640]]</f>
        <v>96.72</v>
      </c>
      <c r="XQ30">
        <f>SOFR3mo_PX[[#This Row],[Column641]]</f>
        <v>96.834999999999994</v>
      </c>
      <c r="XR30">
        <f>SOFR3mo_PX[[#This Row],[Column642]]</f>
        <v>96.79</v>
      </c>
      <c r="XS30">
        <f>SOFR3mo_PX[[#This Row],[Column643]]</f>
        <v>96.635000000000005</v>
      </c>
      <c r="XT30">
        <f>SOFR3mo_PX[[#This Row],[Column644]]</f>
        <v>96.62</v>
      </c>
      <c r="XU30">
        <f>SOFR3mo_PX[[#This Row],[Column645]]</f>
        <v>96.52</v>
      </c>
      <c r="XV30">
        <f>SOFR3mo_PX[[#This Row],[Column646]]</f>
        <v>96.45</v>
      </c>
      <c r="XW30">
        <f>SOFR3mo_PX[[#This Row],[Column647]]</f>
        <v>96.45</v>
      </c>
      <c r="XX30">
        <f>SOFR3mo_PX[[#This Row],[Column648]]</f>
        <v>96.41</v>
      </c>
      <c r="XY30">
        <f>SOFR3mo_PX[[#This Row],[Column649]]</f>
        <v>96.355000000000004</v>
      </c>
      <c r="XZ30">
        <f>SOFR3mo_PX[[#This Row],[Column650]]</f>
        <v>96.44</v>
      </c>
      <c r="YA30">
        <f>SOFR3mo_PX[[#This Row],[Column651]]</f>
        <v>96.525000000000006</v>
      </c>
      <c r="YB30">
        <f>SOFR3mo_PX[[#This Row],[Column652]]</f>
        <v>96.525000000000006</v>
      </c>
      <c r="YC30">
        <f>SOFR3mo_PX[[#This Row],[Column653]]</f>
        <v>96.555000000000007</v>
      </c>
      <c r="YD30">
        <f>SOFR3mo_PX[[#This Row],[Column654]]</f>
        <v>96.53</v>
      </c>
      <c r="YE30">
        <f>SOFR3mo_PX[[#This Row],[Column655]]</f>
        <v>96.58</v>
      </c>
      <c r="YF30">
        <f>SOFR3mo_PX[[#This Row],[Column656]]</f>
        <v>96.72</v>
      </c>
      <c r="YG30">
        <f>SOFR3mo_PX[[#This Row],[Column657]]</f>
        <v>96.814999999999998</v>
      </c>
      <c r="YH30">
        <f>SOFR3mo_PX[[#This Row],[Column658]]</f>
        <v>96.88</v>
      </c>
      <c r="YI30">
        <f>SOFR3mo_PX[[#This Row],[Column659]]</f>
        <v>96.82</v>
      </c>
      <c r="YJ30">
        <f>SOFR3mo_PX[[#This Row],[Column660]]</f>
        <v>96.82</v>
      </c>
      <c r="YK30">
        <f>SOFR3mo_PX[[#This Row],[Column661]]</f>
        <v>96.72</v>
      </c>
      <c r="YL30">
        <f>SOFR3mo_PX[[#This Row],[Column662]]</f>
        <v>96.754999999999995</v>
      </c>
      <c r="YM30">
        <f>SOFR3mo_PX[[#This Row],[Column663]]</f>
        <v>96.844999999999999</v>
      </c>
      <c r="YN30">
        <f>SOFR3mo_PX[[#This Row],[Column664]]</f>
        <v>96.954999999999998</v>
      </c>
      <c r="YO30">
        <f>SOFR3mo_PX[[#This Row],[Column665]]</f>
        <v>96.844999999999999</v>
      </c>
      <c r="YP30">
        <f>SOFR3mo_PX[[#This Row],[Column666]]</f>
        <v>96.75</v>
      </c>
      <c r="YQ30">
        <f>SOFR3mo_PX[[#This Row],[Column667]]</f>
        <v>96.85</v>
      </c>
      <c r="YR30">
        <f>SOFR3mo_PX[[#This Row],[Column668]]</f>
        <v>96.805000000000007</v>
      </c>
      <c r="YS30">
        <f>SOFR3mo_PX[[#This Row],[Column669]]</f>
        <v>96.644999999999996</v>
      </c>
      <c r="YT30">
        <f>SOFR3mo_PX[[#This Row],[Column670]]</f>
        <v>96.614999999999995</v>
      </c>
      <c r="YU30">
        <f>SOFR3mo_PX[[#This Row],[Column671]]</f>
        <v>96.66</v>
      </c>
      <c r="YV30">
        <f>SOFR3mo_PX[[#This Row],[Column672]]</f>
        <v>96.644999999999996</v>
      </c>
      <c r="YW30">
        <f>SOFR3mo_PX[[#This Row],[Column673]]</f>
        <v>96.63</v>
      </c>
      <c r="YX30">
        <f>SOFR3mo_PX[[#This Row],[Column674]]</f>
        <v>96.63</v>
      </c>
      <c r="YY30">
        <f>SOFR3mo_PX[[#This Row],[Column675]]</f>
        <v>96.56</v>
      </c>
      <c r="YZ30">
        <f>SOFR3mo_PX[[#This Row],[Column676]]</f>
        <v>96.46</v>
      </c>
      <c r="ZA30">
        <f>SOFR3mo_PX[[#This Row],[Column677]]</f>
        <v>96.44</v>
      </c>
      <c r="ZB30">
        <f>SOFR3mo_PX[[#This Row],[Column678]]</f>
        <v>96.51</v>
      </c>
      <c r="ZC30">
        <f>SOFR3mo_PX[[#This Row],[Column679]]</f>
        <v>96.564999999999998</v>
      </c>
      <c r="ZD30">
        <f>SOFR3mo_PX[[#This Row],[Column680]]</f>
        <v>96.44</v>
      </c>
      <c r="ZE30">
        <f>SOFR3mo_PX[[#This Row],[Column681]]</f>
        <v>96.364999999999995</v>
      </c>
      <c r="ZF30">
        <f>SOFR3mo_PX[[#This Row],[Column682]]</f>
        <v>96.415000000000006</v>
      </c>
      <c r="ZG30">
        <f>SOFR3mo_PX[[#This Row],[Column683]]</f>
        <v>96.405000000000001</v>
      </c>
      <c r="ZH30">
        <f>SOFR3mo_PX[[#This Row],[Column684]]</f>
        <v>96.11</v>
      </c>
      <c r="ZI30">
        <f>SOFR3mo_PX[[#This Row],[Column685]]</f>
        <v>96.15</v>
      </c>
      <c r="ZJ30">
        <f>SOFR3mo_PX[[#This Row],[Column686]]</f>
        <v>96.064999999999998</v>
      </c>
      <c r="ZK30">
        <f>SOFR3mo_PX[[#This Row],[Column687]]</f>
        <v>96.08</v>
      </c>
      <c r="ZL30">
        <f>SOFR3mo_PX[[#This Row],[Column688]]</f>
        <v>96.11</v>
      </c>
      <c r="ZM30">
        <f>SOFR3mo_PX[[#This Row],[Column689]]</f>
        <v>96.114999999999995</v>
      </c>
      <c r="ZN30">
        <f>SOFR3mo_PX[[#This Row],[Column690]]</f>
        <v>96.094999999999999</v>
      </c>
      <c r="ZO30">
        <f>SOFR3mo_PX[[#This Row],[Column691]]</f>
        <v>96.055000000000007</v>
      </c>
      <c r="ZP30">
        <f>SOFR3mo_PX[[#This Row],[Column692]]</f>
        <v>96.084999999999994</v>
      </c>
      <c r="ZQ30">
        <f>SOFR3mo_PX[[#This Row],[Column693]]</f>
        <v>96.18</v>
      </c>
      <c r="ZR30">
        <f>SOFR3mo_PX[[#This Row],[Column694]]</f>
        <v>96.12</v>
      </c>
      <c r="ZS30">
        <f>SOFR3mo_PX[[#This Row],[Column695]]</f>
        <v>96.03</v>
      </c>
      <c r="ZT30">
        <f>SOFR3mo_PX[[#This Row],[Column696]]</f>
        <v>95.89</v>
      </c>
      <c r="ZU30">
        <f>SOFR3mo_PX[[#This Row],[Column697]]</f>
        <v>95.94</v>
      </c>
      <c r="ZV30">
        <f>SOFR3mo_PX[[#This Row],[Column698]]</f>
        <v>95.995000000000005</v>
      </c>
      <c r="ZW30">
        <f>SOFR3mo_PX[[#This Row],[Column699]]</f>
        <v>96.105000000000004</v>
      </c>
      <c r="ZX30">
        <f>SOFR3mo_PX[[#This Row],[Column700]]</f>
        <v>96.23</v>
      </c>
      <c r="ZY30">
        <f>SOFR3mo_PX[[#This Row],[Column701]]</f>
        <v>96.21</v>
      </c>
      <c r="ZZ30">
        <f>SOFR3mo_PX[[#This Row],[Column702]]</f>
        <v>96.224999999999994</v>
      </c>
      <c r="AAA30">
        <f>SOFR3mo_PX[[#This Row],[Column703]]</f>
        <v>96.27</v>
      </c>
      <c r="AAB30">
        <f>SOFR3mo_PX[[#This Row],[Column704]]</f>
        <v>96.254999999999995</v>
      </c>
      <c r="AAC30">
        <f>SOFR3mo_PX[[#This Row],[Column705]]</f>
        <v>96.215000000000003</v>
      </c>
      <c r="AAD30">
        <f>SOFR3mo_PX[[#This Row],[Column706]]</f>
        <v>96.165000000000006</v>
      </c>
      <c r="AAE30">
        <f>SOFR3mo_PX[[#This Row],[Column707]]</f>
        <v>96.265000000000001</v>
      </c>
      <c r="AAF30">
        <f>SOFR3mo_PX[[#This Row],[Column708]]</f>
        <v>96.31</v>
      </c>
      <c r="AAG30">
        <f>SOFR3mo_PX[[#This Row],[Column709]]</f>
        <v>96.355000000000004</v>
      </c>
      <c r="AAH30">
        <f>SOFR3mo_PX[[#This Row],[Column710]]</f>
        <v>96.49</v>
      </c>
      <c r="AAI30">
        <f>SOFR3mo_PX[[#This Row],[Column711]]</f>
        <v>96.41</v>
      </c>
      <c r="AAJ30">
        <f>SOFR3mo_PX[[#This Row],[Column712]]</f>
        <v>96.254999999999995</v>
      </c>
      <c r="AAK30">
        <f>SOFR3mo_PX[[#This Row],[Column713]]</f>
        <v>96.314999999999998</v>
      </c>
      <c r="AAL30">
        <f>SOFR3mo_PX[[#This Row],[Column714]]</f>
        <v>96.36</v>
      </c>
      <c r="AAM30">
        <f>SOFR3mo_PX[[#This Row],[Column715]]</f>
        <v>96.23</v>
      </c>
      <c r="AAN30">
        <f>SOFR3mo_PX[[#This Row],[Column716]]</f>
        <v>96.355000000000004</v>
      </c>
      <c r="AAO30">
        <f>SOFR3mo_PX[[#This Row],[Column717]]</f>
        <v>96.54</v>
      </c>
      <c r="AAP30">
        <f>SOFR3mo_PX[[#This Row],[Column718]]</f>
        <v>96.424999999999997</v>
      </c>
      <c r="AAQ30">
        <f>SOFR3mo_PX[[#This Row],[Column719]]</f>
        <v>96.6</v>
      </c>
      <c r="AAR30">
        <f>SOFR3mo_PX[[#This Row],[Column720]]</f>
        <v>96.534999999999997</v>
      </c>
      <c r="AAS30">
        <f>SOFR3mo_PX[[#This Row],[Column721]]</f>
        <v>96.625</v>
      </c>
      <c r="AAT30">
        <f>SOFR3mo_PX[[#This Row],[Column722]]</f>
        <v>96.63</v>
      </c>
      <c r="AAU30">
        <f>SOFR3mo_PX[[#This Row],[Column723]]</f>
        <v>96.655000000000001</v>
      </c>
      <c r="AAV30">
        <f>SOFR3mo_PX[[#This Row],[Column724]]</f>
        <v>96.734999999999999</v>
      </c>
      <c r="AAW30">
        <f>SOFR3mo_PX[[#This Row],[Column725]]</f>
        <v>96.704999999999998</v>
      </c>
      <c r="AAX30">
        <f>SOFR3mo_PX[[#This Row],[Column726]]</f>
        <v>96.694999999999993</v>
      </c>
      <c r="AAY30">
        <f>SOFR3mo_PX[[#This Row],[Column727]]</f>
        <v>96.75</v>
      </c>
      <c r="AAZ30">
        <f>SOFR3mo_PX[[#This Row],[Column728]]</f>
        <v>96.754999999999995</v>
      </c>
      <c r="ABA30">
        <f>SOFR3mo_PX[[#This Row],[Column729]]</f>
        <v>96.784999999999997</v>
      </c>
      <c r="ABB30">
        <f>SOFR3mo_PX[[#This Row],[Column730]]</f>
        <v>96.665000000000006</v>
      </c>
      <c r="ABC30">
        <f>SOFR3mo_PX[[#This Row],[Column731]]</f>
        <v>96.834999999999994</v>
      </c>
      <c r="ABD30">
        <f>SOFR3mo_PX[[#This Row],[Column732]]</f>
        <v>96.834999999999994</v>
      </c>
      <c r="ABE30">
        <f>SOFR3mo_PX[[#This Row],[Column733]]</f>
        <v>96.795000000000002</v>
      </c>
      <c r="ABF30">
        <f>SOFR3mo_PX[[#This Row],[Column734]]</f>
        <v>96.974999999999994</v>
      </c>
      <c r="ABG30">
        <f>SOFR3mo_PX[[#This Row],[Column735]]</f>
        <v>97.01</v>
      </c>
      <c r="ABH30">
        <f>SOFR3mo_PX[[#This Row],[Column736]]</f>
        <v>96.965000000000003</v>
      </c>
      <c r="ABI30">
        <f>SOFR3mo_PX[[#This Row],[Column737]]</f>
        <v>97.075000000000003</v>
      </c>
      <c r="ABJ30">
        <f>SOFR3mo_PX[[#This Row],[Column738]]</f>
        <v>97.09</v>
      </c>
      <c r="ABK30">
        <f>SOFR3mo_PX[[#This Row],[Column739]]</f>
        <v>97</v>
      </c>
      <c r="ABL30">
        <f>SOFR3mo_PX[[#This Row],[Column740]]</f>
        <v>97.08</v>
      </c>
      <c r="ABM30">
        <f>SOFR3mo_PX[[#This Row],[Column741]]</f>
        <v>97.105000000000004</v>
      </c>
      <c r="ABN30">
        <f>SOFR3mo_PX[[#This Row],[Column742]]</f>
        <v>97.125</v>
      </c>
      <c r="ABO30">
        <f>SOFR3mo_PX[[#This Row],[Column743]]</f>
        <v>97.254999999999995</v>
      </c>
      <c r="ABP30">
        <f>SOFR3mo_PX[[#This Row],[Column744]]</f>
        <v>97.24</v>
      </c>
      <c r="ABQ30">
        <f>SOFR3mo_PX[[#This Row],[Column745]]</f>
        <v>97.314999999999998</v>
      </c>
      <c r="ABR30">
        <f>SOFR3mo_PX[[#This Row],[Column746]]</f>
        <v>97.29</v>
      </c>
      <c r="ABS30">
        <f>SOFR3mo_PX[[#This Row],[Column747]]</f>
        <v>97.204999999999998</v>
      </c>
      <c r="ABT30">
        <f>SOFR3mo_PX[[#This Row],[Column748]]</f>
        <v>97.15</v>
      </c>
      <c r="ABU30">
        <f>SOFR3mo_PX[[#This Row],[Column749]]</f>
        <v>97.325000000000003</v>
      </c>
      <c r="ABV30">
        <f>SOFR3mo_PX[[#This Row],[Column750]]</f>
        <v>97.364999999999995</v>
      </c>
      <c r="ABW30">
        <f>SOFR3mo_PX[[#This Row],[Column751]]</f>
        <v>97.344999999999999</v>
      </c>
      <c r="ABX30">
        <f>SOFR3mo_PX[[#This Row],[Column752]]</f>
        <v>97.254999999999995</v>
      </c>
      <c r="ABY30">
        <f>SOFR3mo_PX[[#This Row],[Column753]]</f>
        <v>97.394999999999996</v>
      </c>
      <c r="ABZ30">
        <f>SOFR3mo_PX[[#This Row],[Column754]]</f>
        <v>97.314999999999998</v>
      </c>
      <c r="ACA30">
        <f>SOFR3mo_PX[[#This Row],[Column755]]</f>
        <v>97.295000000000002</v>
      </c>
      <c r="ACB30">
        <f>SOFR3mo_PX[[#This Row],[Column756]]</f>
        <v>97.355000000000004</v>
      </c>
      <c r="ACC30">
        <f>SOFR3mo_PX[[#This Row],[Column757]]</f>
        <v>97.284999999999997</v>
      </c>
      <c r="ACD30">
        <f>SOFR3mo_PX[[#This Row],[Column758]]</f>
        <v>97.24</v>
      </c>
      <c r="ACE30">
        <f>SOFR3mo_PX[[#This Row],[Column759]]</f>
        <v>97.19</v>
      </c>
      <c r="ACF30">
        <f>SOFR3mo_PX[[#This Row],[Column760]]</f>
        <v>97.135000000000005</v>
      </c>
      <c r="ACG30">
        <f>SOFR3mo_PX[[#This Row],[Column761]]</f>
        <v>97.1</v>
      </c>
      <c r="ACH30">
        <f>SOFR3mo_PX[[#This Row],[Column762]]</f>
        <v>97.17</v>
      </c>
      <c r="ACI30">
        <f>SOFR3mo_PX[[#This Row],[Column763]]</f>
        <v>97.064999999999998</v>
      </c>
      <c r="ACJ30">
        <f>SOFR3mo_PX[[#This Row],[Column764]]</f>
        <v>96.954999999999998</v>
      </c>
      <c r="ACK30">
        <f>SOFR3mo_PX[[#This Row],[Column765]]</f>
        <v>96.99</v>
      </c>
      <c r="ACL30">
        <f>SOFR3mo_PX[[#This Row],[Column766]]</f>
        <v>97.03</v>
      </c>
      <c r="ACM30">
        <f>SOFR3mo_PX[[#This Row],[Column767]]</f>
        <v>97.055000000000007</v>
      </c>
      <c r="ACN30">
        <f>SOFR3mo_PX[[#This Row],[Column768]]</f>
        <v>96.99</v>
      </c>
      <c r="ACO30">
        <f>SOFR3mo_PX[[#This Row],[Column769]]</f>
        <v>97.02</v>
      </c>
      <c r="ACP30">
        <f>SOFR3mo_PX[[#This Row],[Column770]]</f>
        <v>96.9</v>
      </c>
      <c r="ACQ30">
        <f>SOFR3mo_PX[[#This Row],[Column771]]</f>
        <v>96.844999999999999</v>
      </c>
      <c r="ACR30">
        <f>SOFR3mo_PX[[#This Row],[Column772]]</f>
        <v>96.71</v>
      </c>
      <c r="ACS30">
        <f>SOFR3mo_PX[[#This Row],[Column773]]</f>
        <v>96.795000000000002</v>
      </c>
      <c r="ACT30">
        <f>SOFR3mo_PX[[#This Row],[Column774]]</f>
        <v>96.91</v>
      </c>
      <c r="ACU30">
        <f>SOFR3mo_PX[[#This Row],[Column775]]</f>
        <v>96.995000000000005</v>
      </c>
      <c r="ACV30">
        <f>SOFR3mo_PX[[#This Row],[Column776]]</f>
        <v>96.92</v>
      </c>
      <c r="ACW30">
        <f>SOFR3mo_PX[[#This Row],[Column777]]</f>
        <v>96.92</v>
      </c>
      <c r="ACX30">
        <f>SOFR3mo_PX[[#This Row],[Column778]]</f>
        <v>96.89</v>
      </c>
      <c r="ACY30">
        <f>SOFR3mo_PX[[#This Row],[Column779]]</f>
        <v>96.775000000000006</v>
      </c>
      <c r="ACZ30">
        <f>SOFR3mo_PX[[#This Row],[Column780]]</f>
        <v>96.674999999999997</v>
      </c>
      <c r="ADA30">
        <f>SOFR3mo_PX[[#This Row],[Column781]]</f>
        <v>96.69</v>
      </c>
      <c r="ADB30">
        <f>SOFR3mo_PX[[#This Row],[Column782]]</f>
        <v>96.745000000000005</v>
      </c>
      <c r="ADC30">
        <f>SOFR3mo_PX[[#This Row],[Column783]]</f>
        <v>96.84</v>
      </c>
      <c r="ADD30">
        <f>SOFR3mo_PX[[#This Row],[Column784]]</f>
        <v>96.74</v>
      </c>
      <c r="ADE30">
        <f>SOFR3mo_PX[[#This Row],[Column785]]</f>
        <v>96.61</v>
      </c>
      <c r="ADF30">
        <f>SOFR3mo_PX[[#This Row],[Column786]]</f>
        <v>96.71</v>
      </c>
      <c r="ADG30">
        <f>SOFR3mo_PX[[#This Row],[Column787]]</f>
        <v>96.71</v>
      </c>
      <c r="ADH30">
        <f>SOFR3mo_PX[[#This Row],[Column788]]</f>
        <v>96.63</v>
      </c>
      <c r="ADI30">
        <f>SOFR3mo_PX[[#This Row],[Column789]]</f>
        <v>96.54</v>
      </c>
      <c r="ADJ30">
        <f>SOFR3mo_PX[[#This Row],[Column790]]</f>
        <v>96.51</v>
      </c>
      <c r="ADK30">
        <f>SOFR3mo_PX[[#This Row],[Column791]]</f>
        <v>96.594999999999999</v>
      </c>
      <c r="ADL30">
        <f>SOFR3mo_PX[[#This Row],[Column792]]</f>
        <v>96.805000000000007</v>
      </c>
      <c r="ADM30">
        <f>SOFR3mo_PX[[#This Row],[Column793]]</f>
        <v>96.86</v>
      </c>
      <c r="ADN30">
        <f>SOFR3mo_PX[[#This Row],[Column794]]</f>
        <v>96.86</v>
      </c>
      <c r="ADO30">
        <f>SOFR3mo_PX[[#This Row],[Column795]]</f>
        <v>96.915000000000006</v>
      </c>
      <c r="ADP30">
        <f>SOFR3mo_PX[[#This Row],[Column796]]</f>
        <v>96.814999999999998</v>
      </c>
      <c r="ADQ30">
        <f>SOFR3mo_PX[[#This Row],[Column797]]</f>
        <v>96.92</v>
      </c>
      <c r="ADR30">
        <f>SOFR3mo_PX[[#This Row],[Column798]]</f>
        <v>96.97</v>
      </c>
      <c r="ADS30">
        <f>SOFR3mo_PX[[#This Row],[Column799]]</f>
        <v>96.924999999999997</v>
      </c>
      <c r="ADT30">
        <f>SOFR3mo_PX[[#This Row],[Column800]]</f>
        <v>96.96</v>
      </c>
      <c r="ADU30">
        <f>SOFR3mo_PX[[#This Row],[Column801]]</f>
        <v>97.06</v>
      </c>
      <c r="ADV30">
        <f>SOFR3mo_PX[[#This Row],[Column802]]</f>
        <v>97.06</v>
      </c>
      <c r="ADW30">
        <f>SOFR3mo_PX[[#This Row],[Column803]]</f>
        <v>97.04</v>
      </c>
      <c r="ADX30">
        <f>SOFR3mo_PX[[#This Row],[Column804]]</f>
        <v>97.08</v>
      </c>
      <c r="ADY30">
        <f>SOFR3mo_PX[[#This Row],[Column805]]</f>
        <v>97.09</v>
      </c>
      <c r="ADZ30">
        <f>SOFR3mo_PX[[#This Row],[Column806]]</f>
        <v>97.07</v>
      </c>
      <c r="AEA30">
        <f>SOFR3mo_PX[[#This Row],[Column807]]</f>
        <v>97.13</v>
      </c>
      <c r="AEB30">
        <f>SOFR3mo_PX[[#This Row],[Column808]]</f>
        <v>97.025000000000006</v>
      </c>
      <c r="AEC30">
        <f>SOFR3mo_PX[[#This Row],[Column809]]</f>
        <v>96.99</v>
      </c>
      <c r="AED30">
        <f>SOFR3mo_PX[[#This Row],[Column810]]</f>
        <v>96.855000000000004</v>
      </c>
      <c r="AEE30">
        <f>SOFR3mo_PX[[#This Row],[Column811]]</f>
        <v>96.93</v>
      </c>
      <c r="AEF30">
        <f>SOFR3mo_PX[[#This Row],[Column812]]</f>
        <v>96.88</v>
      </c>
      <c r="AEG30">
        <f>SOFR3mo_PX[[#This Row],[Column813]]</f>
        <v>96.99</v>
      </c>
      <c r="AEH30">
        <f>SOFR3mo_PX[[#This Row],[Column814]]</f>
        <v>96.9</v>
      </c>
      <c r="AEI30">
        <f>SOFR3mo_PX[[#This Row],[Column815]]</f>
        <v>96.775000000000006</v>
      </c>
      <c r="AEJ30">
        <f>SOFR3mo_PX[[#This Row],[Column816]]</f>
        <v>96.674999999999997</v>
      </c>
      <c r="AEK30">
        <f>SOFR3mo_PX[[#This Row],[Column817]]</f>
        <v>96.64</v>
      </c>
      <c r="AEL30">
        <f>SOFR3mo_PX[[#This Row],[Column818]]</f>
        <v>96.745000000000005</v>
      </c>
      <c r="AEM30">
        <f>SOFR3mo_PX[[#This Row],[Column819]]</f>
        <v>96.92</v>
      </c>
      <c r="AEN30">
        <f>SOFR3mo_PX[[#This Row],[Column820]]</f>
        <v>96.94</v>
      </c>
      <c r="AEO30">
        <f>SOFR3mo_PX[[#This Row],[Column821]]</f>
        <v>96.875</v>
      </c>
      <c r="AEP30">
        <f>SOFR3mo_PX[[#This Row],[Column822]]</f>
        <v>97.02</v>
      </c>
      <c r="AEQ30">
        <f>SOFR3mo_PX[[#This Row],[Column823]]</f>
        <v>97.02</v>
      </c>
      <c r="AER30">
        <f>SOFR3mo_PX[[#This Row],[Column824]]</f>
        <v>97.084999999999994</v>
      </c>
      <c r="AES30">
        <f>SOFR3mo_PX[[#This Row],[Column825]]</f>
        <v>97.155000000000001</v>
      </c>
      <c r="AET30">
        <f>SOFR3mo_PX[[#This Row],[Column826]]</f>
        <v>97.135000000000005</v>
      </c>
      <c r="AEU30">
        <f>SOFR3mo_PX[[#This Row],[Column827]]</f>
        <v>97.05</v>
      </c>
      <c r="AEV30">
        <f>SOFR3mo_PX[[#This Row],[Column828]]</f>
        <v>97.015000000000001</v>
      </c>
      <c r="AEW30">
        <f>SOFR3mo_PX[[#This Row],[Column829]]</f>
        <v>97.07</v>
      </c>
      <c r="AEX30">
        <f>SOFR3mo_PX[[#This Row],[Column830]]</f>
        <v>96.98</v>
      </c>
      <c r="AEY30">
        <f>SOFR3mo_PX[[#This Row],[Column831]]</f>
        <v>97.015000000000001</v>
      </c>
      <c r="AEZ30">
        <f>SOFR3mo_PX[[#This Row],[Column832]]</f>
        <v>97.114999999999995</v>
      </c>
      <c r="AFA30">
        <f>SOFR3mo_PX[[#This Row],[Column833]]</f>
        <v>97.114999999999995</v>
      </c>
      <c r="AFB30">
        <f>SOFR3mo_PX[[#This Row],[Column834]]</f>
        <v>97.25</v>
      </c>
      <c r="AFC30">
        <f>SOFR3mo_PX[[#This Row],[Column835]]</f>
        <v>97.194999999999993</v>
      </c>
      <c r="AFD30">
        <f>SOFR3mo_PX[[#This Row],[Column836]]</f>
        <v>97.18</v>
      </c>
      <c r="AFE30">
        <f>SOFR3mo_PX[[#This Row],[Column837]]</f>
        <v>97.305000000000007</v>
      </c>
      <c r="AFF30">
        <f>SOFR3mo_PX[[#This Row],[Column838]]</f>
        <v>97.4</v>
      </c>
      <c r="AFG30">
        <f>SOFR3mo_PX[[#This Row],[Column839]]</f>
        <v>97.54</v>
      </c>
      <c r="AFH30">
        <f>SOFR3mo_PX[[#This Row],[Column840]]</f>
        <v>97.65</v>
      </c>
      <c r="AFI30">
        <f>SOFR3mo_PX[[#This Row],[Column841]]</f>
        <v>97.795000000000002</v>
      </c>
      <c r="AFJ30">
        <f>SOFR3mo_PX[[#This Row],[Column842]]</f>
        <v>97.814999999999998</v>
      </c>
      <c r="AFK30">
        <f>SOFR3mo_PX[[#This Row],[Column843]]</f>
        <v>97.844999999999999</v>
      </c>
      <c r="AFL30">
        <f>SOFR3mo_PX[[#This Row],[Column844]]</f>
        <v>97.8</v>
      </c>
      <c r="AFM30">
        <f>SOFR3mo_PX[[#This Row],[Column845]]</f>
        <v>97.75</v>
      </c>
      <c r="AFN30">
        <f>SOFR3mo_PX[[#This Row],[Column846]]</f>
        <v>97.665000000000006</v>
      </c>
      <c r="AFO30">
        <f>SOFR3mo_PX[[#This Row],[Column847]]</f>
        <v>97.64</v>
      </c>
      <c r="AFP30">
        <f>SOFR3mo_PX[[#This Row],[Column848]]</f>
        <v>97.78</v>
      </c>
      <c r="AFQ30">
        <f>SOFR3mo_PX[[#This Row],[Column849]]</f>
        <v>97.81</v>
      </c>
      <c r="AFR30">
        <f>SOFR3mo_PX[[#This Row],[Column850]]</f>
        <v>97.754999999999995</v>
      </c>
      <c r="AFS30">
        <f>SOFR3mo_PX[[#This Row],[Column851]]</f>
        <v>97.82</v>
      </c>
      <c r="AFT30">
        <f>SOFR3mo_PX[[#This Row],[Column852]]</f>
        <v>97.96</v>
      </c>
      <c r="AFU30">
        <f>SOFR3mo_PX[[#This Row],[Column853]]</f>
        <v>97.885000000000005</v>
      </c>
      <c r="AFV30">
        <f>SOFR3mo_PX[[#This Row],[Column854]]</f>
        <v>97.864999999999995</v>
      </c>
      <c r="AFW30">
        <f>SOFR3mo_PX[[#This Row],[Column855]]</f>
        <v>97.875</v>
      </c>
      <c r="AFX30">
        <f>SOFR3mo_PX[[#This Row],[Column856]]</f>
        <v>97.9</v>
      </c>
      <c r="AFY30">
        <f>SOFR3mo_PX[[#This Row],[Column857]]</f>
        <v>98.06</v>
      </c>
      <c r="AFZ30">
        <f>SOFR3mo_PX[[#This Row],[Column858]]</f>
        <v>98.07</v>
      </c>
      <c r="AGA30">
        <f>SOFR3mo_PX[[#This Row],[Column859]]</f>
        <v>98.144999999999996</v>
      </c>
      <c r="AGB30">
        <f>SOFR3mo_PX[[#This Row],[Column860]]</f>
        <v>98.24</v>
      </c>
      <c r="AGC30">
        <f>SOFR3mo_PX[[#This Row],[Column861]]</f>
        <v>98.355000000000004</v>
      </c>
      <c r="AGD30">
        <f>SOFR3mo_PX[[#This Row],[Column862]]</f>
        <v>98.33</v>
      </c>
      <c r="AGE30">
        <f>SOFR3mo_PX[[#This Row],[Column863]]</f>
        <v>98.194999999999993</v>
      </c>
      <c r="AGF30">
        <f>SOFR3mo_PX[[#This Row],[Column864]]</f>
        <v>98.15</v>
      </c>
      <c r="AGG30">
        <f>SOFR3mo_PX[[#This Row],[Column865]]</f>
        <v>98.295000000000002</v>
      </c>
      <c r="AGH30">
        <f>SOFR3mo_PX[[#This Row],[Column866]]</f>
        <v>98.18</v>
      </c>
      <c r="AGI30">
        <f>SOFR3mo_PX[[#This Row],[Column867]]</f>
        <v>98.04</v>
      </c>
      <c r="AGJ30">
        <f>SOFR3mo_PX[[#This Row],[Column868]]</f>
        <v>98.05</v>
      </c>
      <c r="AGK30">
        <f>SOFR3mo_PX[[#This Row],[Column869]]</f>
        <v>98.075000000000003</v>
      </c>
      <c r="AGL30">
        <f>SOFR3mo_PX[[#This Row],[Column870]]</f>
        <v>98.114999999999995</v>
      </c>
      <c r="AGM30">
        <f>SOFR3mo_PX[[#This Row],[Column871]]</f>
        <v>98.105000000000004</v>
      </c>
      <c r="AGN30">
        <f>SOFR3mo_PX[[#This Row],[Column872]]</f>
        <v>98.105000000000004</v>
      </c>
      <c r="AGO30">
        <f>SOFR3mo_PX[[#This Row],[Column873]]</f>
        <v>98.055000000000007</v>
      </c>
      <c r="AGP30">
        <f>SOFR3mo_PX[[#This Row],[Column874]]</f>
        <v>97.965000000000003</v>
      </c>
      <c r="AGQ30">
        <f>SOFR3mo_PX[[#This Row],[Column875]]</f>
        <v>97.974999999999994</v>
      </c>
      <c r="AGR30">
        <f>SOFR3mo_PX[[#This Row],[Column876]]</f>
        <v>98.06</v>
      </c>
      <c r="AGS30">
        <f>SOFR3mo_PX[[#This Row],[Column877]]</f>
        <v>98.105000000000004</v>
      </c>
      <c r="AGT30">
        <f>SOFR3mo_PX[[#This Row],[Column878]]</f>
        <v>97.995000000000005</v>
      </c>
      <c r="AGU30">
        <f>SOFR3mo_PX[[#This Row],[Column879]]</f>
        <v>98.064999999999998</v>
      </c>
      <c r="AGV30">
        <f>SOFR3mo_PX[[#This Row],[Column880]]</f>
        <v>98.025000000000006</v>
      </c>
      <c r="AGW30">
        <f>SOFR3mo_PX[[#This Row],[Column881]]</f>
        <v>98.064999999999998</v>
      </c>
      <c r="AGX30">
        <f>SOFR3mo_PX[[#This Row],[Column882]]</f>
        <v>98.05</v>
      </c>
      <c r="AGY30">
        <f>SOFR3mo_PX[[#This Row],[Column883]]</f>
        <v>98.155000000000001</v>
      </c>
      <c r="AGZ30">
        <f>SOFR3mo_PX[[#This Row],[Column884]]</f>
        <v>98.21</v>
      </c>
      <c r="AHA30">
        <f>SOFR3mo_PX[[#This Row],[Column885]]</f>
        <v>98.174999999999997</v>
      </c>
      <c r="AHB30">
        <f>SOFR3mo_PX[[#This Row],[Column886]]</f>
        <v>98.185000000000002</v>
      </c>
      <c r="AHC30">
        <f>SOFR3mo_PX[[#This Row],[Column887]]</f>
        <v>98.194999999999993</v>
      </c>
      <c r="AHD30">
        <f>SOFR3mo_PX[[#This Row],[Column888]]</f>
        <v>98.155000000000001</v>
      </c>
      <c r="AHE30">
        <f>SOFR3mo_PX[[#This Row],[Column889]]</f>
        <v>98.05</v>
      </c>
      <c r="AHF30">
        <f>SOFR3mo_PX[[#This Row],[Column890]]</f>
        <v>98.114999999999995</v>
      </c>
      <c r="AHG30">
        <f>SOFR3mo_PX[[#This Row],[Column891]]</f>
        <v>98.18</v>
      </c>
      <c r="AHH30">
        <f>SOFR3mo_PX[[#This Row],[Column892]]</f>
        <v>98.165000000000006</v>
      </c>
      <c r="AHI30">
        <f>SOFR3mo_PX[[#This Row],[Column893]]</f>
        <v>98.094999999999999</v>
      </c>
      <c r="AHJ30">
        <f>SOFR3mo_PX[[#This Row],[Column894]]</f>
        <v>98.084999999999994</v>
      </c>
      <c r="AHK30">
        <f>SOFR3mo_PX[[#This Row],[Column895]]</f>
        <v>98.03</v>
      </c>
      <c r="AHL30">
        <f>SOFR3mo_PX[[#This Row],[Column896]]</f>
        <v>98.135000000000005</v>
      </c>
      <c r="AHM30">
        <f>SOFR3mo_PX[[#This Row],[Column897]]</f>
        <v>98.135000000000005</v>
      </c>
      <c r="AHN30">
        <f>SOFR3mo_PX[[#This Row],[Column898]]</f>
        <v>98.21</v>
      </c>
      <c r="AHO30">
        <f>SOFR3mo_PX[[#This Row],[Column899]]</f>
        <v>98.18</v>
      </c>
      <c r="AHP30">
        <f>SOFR3mo_PX[[#This Row],[Column900]]</f>
        <v>98.135000000000005</v>
      </c>
      <c r="AHQ30">
        <f>SOFR3mo_PX[[#This Row],[Column901]]</f>
        <v>98.084999999999994</v>
      </c>
      <c r="AHR30">
        <f>SOFR3mo_PX[[#This Row],[Column902]]</f>
        <v>98.08</v>
      </c>
      <c r="AHS30">
        <f>SOFR3mo_PX[[#This Row],[Column903]]</f>
        <v>98.1</v>
      </c>
      <c r="AHT30">
        <f>SOFR3mo_PX[[#This Row],[Column904]]</f>
        <v>98.125</v>
      </c>
      <c r="AHU30">
        <f>SOFR3mo_PX[[#This Row],[Column905]]</f>
        <v>98.14</v>
      </c>
      <c r="AHV30">
        <f>SOFR3mo_PX[[#This Row],[Column906]]</f>
        <v>98.2</v>
      </c>
      <c r="AHW30">
        <f>SOFR3mo_PX[[#This Row],[Column907]]</f>
        <v>98.37</v>
      </c>
      <c r="AHX30">
        <f>SOFR3mo_PX[[#This Row],[Column908]]</f>
        <v>98.355000000000004</v>
      </c>
      <c r="AHY30">
        <f>SOFR3mo_PX[[#This Row],[Column909]]</f>
        <v>98.344999999999999</v>
      </c>
      <c r="AHZ30">
        <f>SOFR3mo_PX[[#This Row],[Column910]]</f>
        <v>98.44</v>
      </c>
      <c r="AIA30">
        <f>SOFR3mo_PX[[#This Row],[Column911]]</f>
        <v>98.415000000000006</v>
      </c>
      <c r="AIB30">
        <f>SOFR3mo_PX[[#This Row],[Column912]]</f>
        <v>98.38</v>
      </c>
      <c r="AIC30">
        <f>SOFR3mo_PX[[#This Row],[Column913]]</f>
        <v>98.38</v>
      </c>
      <c r="AID30">
        <f>SOFR3mo_PX[[#This Row],[Column914]]</f>
        <v>98.405000000000001</v>
      </c>
      <c r="AIE30">
        <f>SOFR3mo_PX[[#This Row],[Column915]]</f>
        <v>98.364999999999995</v>
      </c>
      <c r="AIF30">
        <f>SOFR3mo_PX[[#This Row],[Column916]]</f>
        <v>98.46</v>
      </c>
      <c r="AIG30">
        <f>SOFR3mo_PX[[#This Row],[Column917]]</f>
        <v>98.534999999999997</v>
      </c>
      <c r="AIH30">
        <f>SOFR3mo_PX[[#This Row],[Column918]]</f>
        <v>98.495000000000005</v>
      </c>
      <c r="AII30">
        <f>SOFR3mo_PX[[#This Row],[Column919]]</f>
        <v>98.465000000000003</v>
      </c>
      <c r="AIJ30">
        <f>SOFR3mo_PX[[#This Row],[Column920]]</f>
        <v>98.46</v>
      </c>
      <c r="AIK30">
        <f>SOFR3mo_PX[[#This Row],[Column921]]</f>
        <v>98.465000000000003</v>
      </c>
      <c r="AIL30">
        <f>SOFR3mo_PX[[#This Row],[Column922]]</f>
        <v>98.4</v>
      </c>
      <c r="AIM30">
        <f>SOFR3mo_PX[[#This Row],[Column923]]</f>
        <v>98.424999999999997</v>
      </c>
      <c r="AIN30">
        <f>SOFR3mo_PX[[#This Row],[Column924]]</f>
        <v>98.385000000000005</v>
      </c>
      <c r="AIO30">
        <f>SOFR3mo_PX[[#This Row],[Column925]]</f>
        <v>98.405000000000001</v>
      </c>
      <c r="AIP30">
        <f>SOFR3mo_PX[[#This Row],[Column926]]</f>
        <v>98.435000000000002</v>
      </c>
      <c r="AIQ30">
        <f>SOFR3mo_PX[[#This Row],[Column927]]</f>
        <v>98.584999999999994</v>
      </c>
      <c r="AIR30">
        <f>SOFR3mo_PX[[#This Row],[Column928]]</f>
        <v>98.44</v>
      </c>
      <c r="AIS30">
        <f>SOFR3mo_PX[[#This Row],[Column929]]</f>
        <v>98.43</v>
      </c>
      <c r="AIT30">
        <f>SOFR3mo_PX[[#This Row],[Column930]]</f>
        <v>98.344999999999999</v>
      </c>
      <c r="AIU30">
        <f>SOFR3mo_PX[[#This Row],[Column931]]</f>
        <v>98.224999999999994</v>
      </c>
      <c r="AIV30">
        <f>SOFR3mo_PX[[#This Row],[Column932]]</f>
        <v>98.33</v>
      </c>
      <c r="AIW30">
        <f>SOFR3mo_PX[[#This Row],[Column933]]</f>
        <v>98.155000000000001</v>
      </c>
      <c r="AIX30">
        <f>SOFR3mo_PX[[#This Row],[Column934]]</f>
        <v>98.155000000000001</v>
      </c>
      <c r="AIY30">
        <f>SOFR3mo_PX[[#This Row],[Column935]]</f>
        <v>98.114999999999995</v>
      </c>
      <c r="AIZ30">
        <f>SOFR3mo_PX[[#This Row],[Column936]]</f>
        <v>98.185000000000002</v>
      </c>
      <c r="AJA30">
        <f>SOFR3mo_PX[[#This Row],[Column937]]</f>
        <v>98.29</v>
      </c>
      <c r="AJB30">
        <f>SOFR3mo_PX[[#This Row],[Column938]]</f>
        <v>98.22</v>
      </c>
      <c r="AJC30">
        <f>SOFR3mo_PX[[#This Row],[Column939]]</f>
        <v>98.19</v>
      </c>
      <c r="AJD30">
        <f>SOFR3mo_PX[[#This Row],[Column940]]</f>
        <v>98.165000000000006</v>
      </c>
      <c r="AJE30">
        <f>SOFR3mo_PX[[#This Row],[Column941]]</f>
        <v>98.21</v>
      </c>
      <c r="AJF30">
        <f>SOFR3mo_PX[[#This Row],[Column942]]</f>
        <v>98.24</v>
      </c>
      <c r="AJG30">
        <f>SOFR3mo_PX[[#This Row],[Column943]]</f>
        <v>98.254999999999995</v>
      </c>
      <c r="AJH30">
        <f>SOFR3mo_PX[[#This Row],[Column944]]</f>
        <v>98.28</v>
      </c>
      <c r="AJI30">
        <f>SOFR3mo_PX[[#This Row],[Column945]]</f>
        <v>98.35</v>
      </c>
      <c r="AJJ30">
        <f>SOFR3mo_PX[[#This Row],[Column946]]</f>
        <v>98.254999999999995</v>
      </c>
      <c r="AJK30">
        <f>SOFR3mo_PX[[#This Row],[Column947]]</f>
        <v>98.28</v>
      </c>
      <c r="AJL30">
        <f>SOFR3mo_PX[[#This Row],[Column948]]</f>
        <v>98.185000000000002</v>
      </c>
      <c r="AJM30">
        <f>SOFR3mo_PX[[#This Row],[Column949]]</f>
        <v>98.155000000000001</v>
      </c>
      <c r="AJN30">
        <f>SOFR3mo_PX[[#This Row],[Column950]]</f>
        <v>98.174999999999997</v>
      </c>
      <c r="AJO30">
        <f>SOFR3mo_PX[[#This Row],[Column951]]</f>
        <v>98.21</v>
      </c>
      <c r="AJP30">
        <f>SOFR3mo_PX[[#This Row],[Column952]]</f>
        <v>98.25</v>
      </c>
      <c r="AJQ30">
        <f>SOFR3mo_PX[[#This Row],[Column953]]</f>
        <v>98.215000000000003</v>
      </c>
      <c r="AJR30">
        <f>SOFR3mo_PX[[#This Row],[Column954]]</f>
        <v>98.234999999999999</v>
      </c>
      <c r="AJS30">
        <f>SOFR3mo_PX[[#This Row],[Column955]]</f>
        <v>98.06</v>
      </c>
      <c r="AJT30">
        <f>SOFR3mo_PX[[#This Row],[Column956]]</f>
        <v>98.05</v>
      </c>
      <c r="AJU30">
        <f>SOFR3mo_PX[[#This Row],[Column957]]</f>
        <v>98.015000000000001</v>
      </c>
      <c r="AJV30">
        <f>SOFR3mo_PX[[#This Row],[Column958]]</f>
        <v>97.96</v>
      </c>
      <c r="AJW30">
        <f>SOFR3mo_PX[[#This Row],[Column959]]</f>
        <v>97.995000000000005</v>
      </c>
      <c r="AJX30">
        <f>SOFR3mo_PX[[#This Row],[Column960]]</f>
        <v>98.02</v>
      </c>
      <c r="AJY30">
        <f>SOFR3mo_PX[[#This Row],[Column961]]</f>
        <v>98.12</v>
      </c>
      <c r="AJZ30">
        <f>SOFR3mo_PX[[#This Row],[Column962]]</f>
        <v>98.094999999999999</v>
      </c>
      <c r="AKA30">
        <f>SOFR3mo_PX[[#This Row],[Column963]]</f>
        <v>98.15</v>
      </c>
      <c r="AKB30">
        <f>SOFR3mo_PX[[#This Row],[Column964]]</f>
        <v>98.11</v>
      </c>
      <c r="AKC30">
        <f>SOFR3mo_PX[[#This Row],[Column965]]</f>
        <v>98</v>
      </c>
      <c r="AKD30">
        <f>SOFR3mo_PX[[#This Row],[Column966]]</f>
        <v>97.91</v>
      </c>
      <c r="AKE30">
        <f>SOFR3mo_PX[[#This Row],[Column967]]</f>
        <v>97.905000000000001</v>
      </c>
      <c r="AKF30">
        <f>SOFR3mo_PX[[#This Row],[Column968]]</f>
        <v>97.954999999999998</v>
      </c>
      <c r="AKG30">
        <f>SOFR3mo_PX[[#This Row],[Column969]]</f>
        <v>98.015000000000001</v>
      </c>
      <c r="AKH30">
        <f>SOFR3mo_PX[[#This Row],[Column970]]</f>
        <v>97.995000000000005</v>
      </c>
      <c r="AKI30">
        <f>SOFR3mo_PX[[#This Row],[Column971]]</f>
        <v>98.045000000000002</v>
      </c>
      <c r="AKJ30">
        <f>SOFR3mo_PX[[#This Row],[Column972]]</f>
        <v>98.02</v>
      </c>
      <c r="AKK30">
        <f>SOFR3mo_PX[[#This Row],[Column973]]</f>
        <v>97.96</v>
      </c>
      <c r="AKL30">
        <f>SOFR3mo_PX[[#This Row],[Column974]]</f>
        <v>97.95</v>
      </c>
      <c r="AKM30">
        <f>SOFR3mo_PX[[#This Row],[Column975]]</f>
        <v>97.984999999999999</v>
      </c>
      <c r="AKN30">
        <f>SOFR3mo_PX[[#This Row],[Column976]]</f>
        <v>98.08</v>
      </c>
      <c r="AKO30">
        <f>SOFR3mo_PX[[#This Row],[Column977]]</f>
        <v>98.13</v>
      </c>
      <c r="AKP30">
        <f>SOFR3mo_PX[[#This Row],[Column978]]</f>
        <v>98.21</v>
      </c>
      <c r="AKQ30">
        <f>SOFR3mo_PX[[#This Row],[Column979]]</f>
        <v>98.305000000000007</v>
      </c>
      <c r="AKR30">
        <f>SOFR3mo_PX[[#This Row],[Column980]]</f>
        <v>98.245000000000005</v>
      </c>
      <c r="AKS30">
        <f>SOFR3mo_PX[[#This Row],[Column981]]</f>
        <v>98.25</v>
      </c>
      <c r="AKT30">
        <f>SOFR3mo_PX[[#This Row],[Column982]]</f>
        <v>98.174999999999997</v>
      </c>
      <c r="AKU30">
        <f>SOFR3mo_PX[[#This Row],[Column983]]</f>
        <v>98.245000000000005</v>
      </c>
      <c r="AKV30">
        <f>SOFR3mo_PX[[#This Row],[Column984]]</f>
        <v>98.284999999999997</v>
      </c>
      <c r="AKW30">
        <f>SOFR3mo_PX[[#This Row],[Column985]]</f>
        <v>98.35</v>
      </c>
      <c r="AKX30">
        <f>SOFR3mo_PX[[#This Row],[Column986]]</f>
        <v>98.27</v>
      </c>
      <c r="AKY30">
        <f>SOFR3mo_PX[[#This Row],[Column987]]</f>
        <v>98.24</v>
      </c>
      <c r="AKZ30">
        <f>SOFR3mo_PX[[#This Row],[Column988]]</f>
        <v>98.314999999999998</v>
      </c>
      <c r="ALA30">
        <f>SOFR3mo_PX[[#This Row],[Column989]]</f>
        <v>98.275000000000006</v>
      </c>
      <c r="ALB30">
        <f>SOFR3mo_PX[[#This Row],[Column990]]</f>
        <v>98.224999999999994</v>
      </c>
      <c r="ALC30">
        <f>SOFR3mo_PX[[#This Row],[Column991]]</f>
        <v>98.275000000000006</v>
      </c>
      <c r="ALD30">
        <f>SOFR3mo_PX[[#This Row],[Column992]]</f>
        <v>98.275000000000006</v>
      </c>
      <c r="ALE30">
        <f>SOFR3mo_PX[[#This Row],[Column993]]</f>
        <v>98.33</v>
      </c>
      <c r="ALF30">
        <f>SOFR3mo_PX[[#This Row],[Column994]]</f>
        <v>98.32</v>
      </c>
      <c r="ALG30">
        <f>SOFR3mo_PX[[#This Row],[Column995]]</f>
        <v>98.305000000000007</v>
      </c>
      <c r="ALH30">
        <f>SOFR3mo_PX[[#This Row],[Column996]]</f>
        <v>98.34</v>
      </c>
      <c r="ALI30">
        <f>SOFR3mo_PX[[#This Row],[Column997]]</f>
        <v>98.334999999999994</v>
      </c>
      <c r="ALJ30">
        <f>SOFR3mo_PX[[#This Row],[Column998]]</f>
        <v>98.305000000000007</v>
      </c>
      <c r="ALK30">
        <f>SOFR3mo_PX[[#This Row],[Column999]]</f>
        <v>98.314999999999998</v>
      </c>
      <c r="ALL30">
        <f>SOFR3mo_PX[[#This Row],[Column1000]]</f>
        <v>98.39</v>
      </c>
      <c r="ALM30">
        <f>SOFR3mo_PX[[#This Row],[Column1001]]</f>
        <v>98.444999999999993</v>
      </c>
      <c r="ALN30">
        <f>SOFR3mo_PX[[#This Row],[Column1002]]</f>
        <v>98.435000000000002</v>
      </c>
      <c r="ALO30">
        <f>SOFR3mo_PX[[#This Row],[Column1003]]</f>
        <v>98.46</v>
      </c>
      <c r="ALP30">
        <f>SOFR3mo_PX[[#This Row],[Column1004]]</f>
        <v>98.41</v>
      </c>
      <c r="ALQ30">
        <f>SOFR3mo_PX[[#This Row],[Column1005]]</f>
        <v>98.45</v>
      </c>
      <c r="ALR30">
        <f>SOFR3mo_PX[[#This Row],[Column1006]]</f>
        <v>98.454999999999998</v>
      </c>
      <c r="ALS30">
        <f>SOFR3mo_PX[[#This Row],[Column1007]]</f>
        <v>98.405000000000001</v>
      </c>
      <c r="ALT30">
        <f>SOFR3mo_PX[[#This Row],[Column1008]]</f>
        <v>98.31</v>
      </c>
      <c r="ALU30">
        <f>SOFR3mo_PX[[#This Row],[Column1009]]</f>
        <v>98.325000000000003</v>
      </c>
      <c r="ALV30">
        <f>SOFR3mo_PX[[#This Row],[Column1010]]</f>
        <v>98.344999999999999</v>
      </c>
      <c r="ALW30">
        <f>SOFR3mo_PX[[#This Row],[Column1011]]</f>
        <v>98.36</v>
      </c>
      <c r="ALX30">
        <f>SOFR3mo_PX[[#This Row],[Column1012]]</f>
        <v>98.394999999999996</v>
      </c>
      <c r="ALY30">
        <f>SOFR3mo_PX[[#This Row],[Column1013]]</f>
        <v>98.49</v>
      </c>
      <c r="ALZ30">
        <f>SOFR3mo_PX[[#This Row],[Column1014]]</f>
        <v>98.504999999999995</v>
      </c>
      <c r="AMA30">
        <f>SOFR3mo_PX[[#This Row],[Column1015]]</f>
        <v>98.5</v>
      </c>
      <c r="AMB30">
        <f>SOFR3mo_PX[[#This Row],[Column1016]]</f>
        <v>98.504999999999995</v>
      </c>
      <c r="AMC30">
        <f>SOFR3mo_PX[[#This Row],[Column1017]]</f>
        <v>98.41</v>
      </c>
      <c r="AMD30">
        <f>SOFR3mo_PX[[#This Row],[Column1018]]</f>
        <v>98.39</v>
      </c>
      <c r="AME30">
        <f>SOFR3mo_PX[[#This Row],[Column1019]]</f>
        <v>98.415000000000006</v>
      </c>
      <c r="AMF30">
        <f>SOFR3mo_PX[[#This Row],[Column1020]]</f>
        <v>98.435000000000002</v>
      </c>
      <c r="AMG30">
        <f>SOFR3mo_PX[[#This Row],[Column1021]]</f>
        <v>98.394999999999996</v>
      </c>
      <c r="AMH30">
        <f>SOFR3mo_PX[[#This Row],[Column1022]]</f>
        <v>98.375</v>
      </c>
      <c r="AMI30">
        <f>SOFR3mo_PX[[#This Row],[Column1023]]</f>
        <v>98.4</v>
      </c>
      <c r="AMJ30">
        <f>SOFR3mo_PX[[#This Row],[Column1024]]</f>
        <v>98.394999999999996</v>
      </c>
      <c r="AMK30">
        <f>SOFR3mo_PX[[#This Row],[Column1025]]</f>
        <v>98.504999999999995</v>
      </c>
      <c r="AML30">
        <f>SOFR3mo_PX[[#This Row],[Column1026]]</f>
        <v>98.59</v>
      </c>
      <c r="AMM30">
        <f>SOFR3mo_PX[[#This Row],[Column1027]]</f>
        <v>98.415000000000006</v>
      </c>
      <c r="AMN30">
        <f>SOFR3mo_PX[[#This Row],[Column1028]]</f>
        <v>98.41</v>
      </c>
      <c r="AMO30">
        <f>SOFR3mo_PX[[#This Row],[Column1029]]</f>
        <v>98.3</v>
      </c>
      <c r="AMP30">
        <f>SOFR3mo_PX[[#This Row],[Column1030]]</f>
        <v>98.21</v>
      </c>
      <c r="AMQ30">
        <f>SOFR3mo_PX[[#This Row],[Column1031]]</f>
        <v>98.275000000000006</v>
      </c>
      <c r="AMR30">
        <f>SOFR3mo_PX[[#This Row],[Column1032]]</f>
        <v>98.27</v>
      </c>
      <c r="AMS30">
        <f>SOFR3mo_PX[[#This Row],[Column1033]]</f>
        <v>98.364999999999995</v>
      </c>
      <c r="AMT30">
        <f>SOFR3mo_PX[[#This Row],[Column1034]]</f>
        <v>98.35</v>
      </c>
      <c r="AMU30">
        <f>SOFR3mo_PX[[#This Row],[Column1035]]</f>
        <v>98.295000000000002</v>
      </c>
      <c r="AMV30">
        <f>SOFR3mo_PX[[#This Row],[Column1036]]</f>
        <v>98.21</v>
      </c>
      <c r="AMW30">
        <f>SOFR3mo_PX[[#This Row],[Column1037]]</f>
        <v>98.21</v>
      </c>
      <c r="AMX30">
        <f>SOFR3mo_PX[[#This Row],[Column1038]]</f>
        <v>98.144999999999996</v>
      </c>
      <c r="AMY30">
        <f>SOFR3mo_PX[[#This Row],[Column1039]]</f>
        <v>98.18</v>
      </c>
      <c r="AMZ30">
        <f>SOFR3mo_PX[[#This Row],[Column1040]]</f>
        <v>98.105000000000004</v>
      </c>
      <c r="ANA30">
        <f>SOFR3mo_PX[[#This Row],[Column1041]]</f>
        <v>98.094999999999999</v>
      </c>
      <c r="ANB30">
        <f>SOFR3mo_PX[[#This Row],[Column1042]]</f>
        <v>98.01</v>
      </c>
      <c r="ANC30">
        <f>SOFR3mo_PX[[#This Row],[Column1043]]</f>
        <v>98.055000000000007</v>
      </c>
      <c r="AND30">
        <f>SOFR3mo_PX[[#This Row],[Column1044]]</f>
        <v>98.045000000000002</v>
      </c>
      <c r="ANE30">
        <f>SOFR3mo_PX[[#This Row],[Column1045]]</f>
        <v>98.08</v>
      </c>
      <c r="ANF30">
        <f>SOFR3mo_PX[[#This Row],[Column1046]]</f>
        <v>98.075000000000003</v>
      </c>
      <c r="ANG30">
        <f>SOFR3mo_PX[[#This Row],[Column1047]]</f>
        <v>98.135000000000005</v>
      </c>
      <c r="ANH30">
        <f>SOFR3mo_PX[[#This Row],[Column1048]]</f>
        <v>98.03</v>
      </c>
      <c r="ANI30">
        <f>SOFR3mo_PX[[#This Row],[Column1049]]</f>
        <v>97.89</v>
      </c>
      <c r="ANJ30">
        <f>SOFR3mo_PX[[#This Row],[Column1050]]</f>
        <v>97.965000000000003</v>
      </c>
      <c r="ANK30">
        <f>SOFR3mo_PX[[#This Row],[Column1051]]</f>
        <v>97.95</v>
      </c>
      <c r="ANL30">
        <f>SOFR3mo_PX[[#This Row],[Column1052]]</f>
        <v>97.91</v>
      </c>
      <c r="ANM30">
        <f>SOFR3mo_PX[[#This Row],[Column1053]]</f>
        <v>97.93</v>
      </c>
      <c r="ANN30">
        <f>SOFR3mo_PX[[#This Row],[Column1054]]</f>
        <v>97.894999999999996</v>
      </c>
      <c r="ANO30">
        <f>SOFR3mo_PX[[#This Row],[Column1055]]</f>
        <v>97.844999999999999</v>
      </c>
      <c r="ANP30">
        <f>SOFR3mo_PX[[#This Row],[Column1056]]</f>
        <v>97.8</v>
      </c>
      <c r="ANQ30">
        <f>SOFR3mo_PX[[#This Row],[Column1057]]</f>
        <v>97.79</v>
      </c>
      <c r="ANR30">
        <f>SOFR3mo_PX[[#This Row],[Column1058]]</f>
        <v>97.694999999999993</v>
      </c>
      <c r="ANS30">
        <f>SOFR3mo_PX[[#This Row],[Column1059]]</f>
        <v>97.745000000000005</v>
      </c>
      <c r="ANT30">
        <f>SOFR3mo_PX[[#This Row],[Column1060]]</f>
        <v>97.71</v>
      </c>
      <c r="ANU30">
        <f>SOFR3mo_PX[[#This Row],[Column1061]]</f>
        <v>97.754999999999995</v>
      </c>
      <c r="ANV30">
        <f>SOFR3mo_PX[[#This Row],[Column1062]]</f>
        <v>97.754999999999995</v>
      </c>
      <c r="ANW30">
        <f>SOFR3mo_PX[[#This Row],[Column1063]]</f>
        <v>97.75</v>
      </c>
      <c r="ANX30">
        <f>SOFR3mo_PX[[#This Row],[Column1064]]</f>
        <v>97.8</v>
      </c>
      <c r="ANY30">
        <f>SOFR3mo_PX[[#This Row],[Column1065]]</f>
        <v>97.82</v>
      </c>
      <c r="ANZ30">
        <f>SOFR3mo_PX[[#This Row],[Column1066]]</f>
        <v>97.77</v>
      </c>
      <c r="AOA30">
        <f>SOFR3mo_PX[[#This Row],[Column1067]]</f>
        <v>97.73</v>
      </c>
      <c r="AOB30">
        <f>SOFR3mo_PX[[#This Row],[Column1068]]</f>
        <v>97.734999999999999</v>
      </c>
      <c r="AOC30">
        <f>SOFR3mo_PX[[#This Row],[Column1069]]</f>
        <v>97.674999999999997</v>
      </c>
      <c r="AOD30">
        <f>SOFR3mo_PX[[#This Row],[Column1070]]</f>
        <v>97.715000000000003</v>
      </c>
      <c r="AOE30">
        <f>SOFR3mo_PX[[#This Row],[Column1071]]</f>
        <v>97.72</v>
      </c>
      <c r="AOF30">
        <f>SOFR3mo_PX[[#This Row],[Column1072]]</f>
        <v>97.73</v>
      </c>
      <c r="AOG30">
        <f>SOFR3mo_PX[[#This Row],[Column1073]]</f>
        <v>97.685000000000002</v>
      </c>
      <c r="AOH30">
        <f>SOFR3mo_PX[[#This Row],[Column1074]]</f>
        <v>97.63</v>
      </c>
      <c r="AOI30">
        <f>SOFR3mo_PX[[#This Row],[Column1075]]</f>
        <v>97.73</v>
      </c>
      <c r="AOJ30">
        <f>SOFR3mo_PX[[#This Row],[Column1076]]</f>
        <v>97.754999999999995</v>
      </c>
      <c r="AOK30">
        <f>SOFR3mo_PX[[#This Row],[Column1077]]</f>
        <v>97.784999999999997</v>
      </c>
      <c r="AOL30">
        <f>SOFR3mo_PX[[#This Row],[Column1078]]</f>
        <v>97.8</v>
      </c>
      <c r="AOM30">
        <f>SOFR3mo_PX[[#This Row],[Column1079]]</f>
        <v>97.77</v>
      </c>
      <c r="AON30">
        <f>SOFR3mo_PX[[#This Row],[Column1080]]</f>
        <v>97.745000000000005</v>
      </c>
      <c r="AOO30">
        <f>SOFR3mo_PX[[#This Row],[Column1081]]</f>
        <v>97.72</v>
      </c>
      <c r="AOP30">
        <f>SOFR3mo_PX[[#This Row],[Column1082]]</f>
        <v>97.685000000000002</v>
      </c>
      <c r="AOQ30">
        <f>SOFR3mo_PX[[#This Row],[Column1083]]</f>
        <v>97.685000000000002</v>
      </c>
      <c r="AOR30">
        <f>SOFR3mo_PX[[#This Row],[Column1084]]</f>
        <v>97.71</v>
      </c>
      <c r="AOS30">
        <f>SOFR3mo_PX[[#This Row],[Column1085]]</f>
        <v>97.72</v>
      </c>
      <c r="AOT30">
        <f>SOFR3mo_PX[[#This Row],[Column1086]]</f>
        <v>97.78</v>
      </c>
      <c r="AOU30">
        <f>SOFR3mo_PX[[#This Row],[Column1087]]</f>
        <v>97.79</v>
      </c>
      <c r="AOV30">
        <f>SOFR3mo_PX[[#This Row],[Column1088]]</f>
        <v>97.814999999999998</v>
      </c>
      <c r="AOW30">
        <f>SOFR3mo_PX[[#This Row],[Column1089]]</f>
        <v>97.805000000000007</v>
      </c>
      <c r="AOX30">
        <f>SOFR3mo_PX[[#This Row],[Column1090]]</f>
        <v>97.81</v>
      </c>
      <c r="AOY30">
        <f>SOFR3mo_PX[[#This Row],[Column1091]]</f>
        <v>97.784999999999997</v>
      </c>
      <c r="AOZ30">
        <f>SOFR3mo_PX[[#This Row],[Column1092]]</f>
        <v>97.8</v>
      </c>
      <c r="APA30">
        <f>SOFR3mo_PX[[#This Row],[Column1093]]</f>
        <v>97.84</v>
      </c>
      <c r="APB30">
        <f>SOFR3mo_PX[[#This Row],[Column1094]]</f>
        <v>97.694999999999993</v>
      </c>
      <c r="APC30">
        <f>SOFR3mo_PX[[#This Row],[Column1095]]</f>
        <v>97.685000000000002</v>
      </c>
      <c r="APD30">
        <f>SOFR3mo_PX[[#This Row],[Column1096]]</f>
        <v>97.59</v>
      </c>
      <c r="APE30">
        <f>SOFR3mo_PX[[#This Row],[Column1097]]</f>
        <v>97.6</v>
      </c>
      <c r="APF30">
        <f>SOFR3mo_PX[[#This Row],[Column1098]]</f>
        <v>97.63</v>
      </c>
      <c r="APG30">
        <f>SOFR3mo_PX[[#This Row],[Column1099]]</f>
        <v>97.605000000000004</v>
      </c>
      <c r="APH30">
        <f>SOFR3mo_PX[[#This Row],[Column1100]]</f>
        <v>97.58</v>
      </c>
      <c r="API30">
        <f>SOFR3mo_PX[[#This Row],[Column1101]]</f>
        <v>97.474999999999994</v>
      </c>
      <c r="APJ30">
        <f>SOFR3mo_PX[[#This Row],[Column1102]]</f>
        <v>97.46</v>
      </c>
      <c r="APK30">
        <f>SOFR3mo_PX[[#This Row],[Column1103]]</f>
        <v>97.525000000000006</v>
      </c>
      <c r="APL30">
        <f>SOFR3mo_PX[[#This Row],[Column1104]]</f>
        <v>97.405000000000001</v>
      </c>
      <c r="APM30">
        <f>SOFR3mo_PX[[#This Row],[Column1105]]</f>
        <v>97.44</v>
      </c>
      <c r="APN30">
        <f>SOFR3mo_PX[[#This Row],[Column1106]]</f>
        <v>97.465000000000003</v>
      </c>
      <c r="APO30">
        <f>SOFR3mo_PX[[#This Row],[Column1107]]</f>
        <v>97.545000000000002</v>
      </c>
      <c r="APP30">
        <f>SOFR3mo_PX[[#This Row],[Column1108]]</f>
        <v>97.605000000000004</v>
      </c>
      <c r="APQ30">
        <f>SOFR3mo_PX[[#This Row],[Column1109]]</f>
        <v>97.58</v>
      </c>
      <c r="APR30">
        <f>SOFR3mo_PX[[#This Row],[Column1110]]</f>
        <v>97.56</v>
      </c>
      <c r="APS30">
        <f>SOFR3mo_PX[[#This Row],[Column1111]]</f>
        <v>97.5</v>
      </c>
      <c r="APT30">
        <f>SOFR3mo_PX[[#This Row],[Column1112]]</f>
        <v>97.454999999999998</v>
      </c>
      <c r="APU30">
        <f>SOFR3mo_PX[[#This Row],[Column1113]]</f>
        <v>97.62</v>
      </c>
      <c r="APV30">
        <f>SOFR3mo_PX[[#This Row],[Column1114]]</f>
        <v>97.81</v>
      </c>
      <c r="APW30">
        <f>SOFR3mo_PX[[#This Row],[Column1115]]</f>
        <v>97.814999999999998</v>
      </c>
      <c r="APX30">
        <f>SOFR3mo_PX[[#This Row],[Column1116]]</f>
        <v>97.81</v>
      </c>
      <c r="APY30">
        <f>SOFR3mo_PX[[#This Row],[Column1117]]</f>
        <v>97.795000000000002</v>
      </c>
      <c r="APZ30">
        <f>SOFR3mo_PX[[#This Row],[Column1118]]</f>
        <v>97.864999999999995</v>
      </c>
      <c r="AQA30">
        <f>SOFR3mo_PX[[#This Row],[Column1119]]</f>
        <v>97.86</v>
      </c>
      <c r="AQB30">
        <f>SOFR3mo_PX[[#This Row],[Column1120]]</f>
        <v>97.83</v>
      </c>
      <c r="AQC30">
        <f>SOFR3mo_PX[[#This Row],[Column1121]]</f>
        <v>97.775000000000006</v>
      </c>
      <c r="AQD30">
        <f>SOFR3mo_PX[[#This Row],[Column1122]]</f>
        <v>97.84</v>
      </c>
      <c r="AQE30">
        <f>SOFR3mo_PX[[#This Row],[Column1123]]</f>
        <v>97.83</v>
      </c>
      <c r="AQF30">
        <f>SOFR3mo_PX[[#This Row],[Column1124]]</f>
        <v>97.894999999999996</v>
      </c>
      <c r="AQG30">
        <f>SOFR3mo_PX[[#This Row],[Column1125]]</f>
        <v>97.95</v>
      </c>
      <c r="AQH30">
        <f>SOFR3mo_PX[[#This Row],[Column1126]]</f>
        <v>97.91</v>
      </c>
      <c r="AQI30">
        <f>SOFR3mo_PX[[#This Row],[Column1127]]</f>
        <v>97.83</v>
      </c>
      <c r="AQJ30">
        <f>SOFR3mo_PX[[#This Row],[Column1128]]</f>
        <v>97.834999999999994</v>
      </c>
      <c r="AQK30">
        <f>SOFR3mo_PX[[#This Row],[Column1129]]</f>
        <v>97.93</v>
      </c>
      <c r="AQL30">
        <f>SOFR3mo_PX[[#This Row],[Column1130]]</f>
        <v>97.954999999999998</v>
      </c>
      <c r="AQM30">
        <f>SOFR3mo_PX[[#This Row],[Column1131]]</f>
        <v>97.944999999999993</v>
      </c>
      <c r="AQN30">
        <f>SOFR3mo_PX[[#This Row],[Column1132]]</f>
        <v>97.98</v>
      </c>
      <c r="AQO30">
        <f>SOFR3mo_PX[[#This Row],[Column1133]]</f>
        <v>98.025000000000006</v>
      </c>
      <c r="AQP30">
        <f>SOFR3mo_PX[[#This Row],[Column1134]]</f>
        <v>98.06</v>
      </c>
      <c r="AQQ30">
        <f>SOFR3mo_PX[[#This Row],[Column1135]]</f>
        <v>98.084999999999994</v>
      </c>
      <c r="AQR30">
        <f>SOFR3mo_PX[[#This Row],[Column1136]]</f>
        <v>98.204999999999998</v>
      </c>
      <c r="AQS30">
        <f>SOFR3mo_PX[[#This Row],[Column1137]]</f>
        <v>98.204999999999998</v>
      </c>
      <c r="AQT30">
        <f>SOFR3mo_PX[[#This Row],[Column1138]]</f>
        <v>98.3</v>
      </c>
      <c r="AQU30">
        <f>SOFR3mo_PX[[#This Row],[Column1139]]</f>
        <v>98.31</v>
      </c>
      <c r="AQV30">
        <f>SOFR3mo_PX[[#This Row],[Column1140]]</f>
        <v>98.295000000000002</v>
      </c>
      <c r="AQW30">
        <f>SOFR3mo_PX[[#This Row],[Column1141]]</f>
        <v>98.284999999999997</v>
      </c>
      <c r="AQX30">
        <f>SOFR3mo_PX[[#This Row],[Column1142]]</f>
        <v>98.305000000000007</v>
      </c>
      <c r="AQY30">
        <f>SOFR3mo_PX[[#This Row],[Column1143]]</f>
        <v>98.31</v>
      </c>
      <c r="AQZ30">
        <f>SOFR3mo_PX[[#This Row],[Column1144]]</f>
        <v>98.415000000000006</v>
      </c>
      <c r="ARA30">
        <f>SOFR3mo_PX[[#This Row],[Column1145]]</f>
        <v>98.43</v>
      </c>
      <c r="ARB30">
        <f>SOFR3mo_PX[[#This Row],[Column1146]]</f>
        <v>98.495000000000005</v>
      </c>
      <c r="ARC30">
        <f>SOFR3mo_PX[[#This Row],[Column1147]]</f>
        <v>98.495000000000005</v>
      </c>
      <c r="ARD30">
        <f>SOFR3mo_PX[[#This Row],[Column1148]]</f>
        <v>98.5</v>
      </c>
      <c r="ARE30">
        <f>SOFR3mo_PX[[#This Row],[Column1149]]</f>
        <v>98.495000000000005</v>
      </c>
      <c r="ARF30">
        <f>SOFR3mo_PX[[#This Row],[Column1150]]</f>
        <v>98.49</v>
      </c>
      <c r="ARG30">
        <f>SOFR3mo_PX[[#This Row],[Column1151]]</f>
        <v>98.495000000000005</v>
      </c>
      <c r="ARH30">
        <f>SOFR3mo_PX[[#This Row],[Column1152]]</f>
        <v>98.495000000000005</v>
      </c>
      <c r="ARI30">
        <f>SOFR3mo_PX[[#This Row],[Column1153]]</f>
        <v>98.49</v>
      </c>
      <c r="ARJ30">
        <f>SOFR3mo_PX[[#This Row],[Column1154]]</f>
        <v>98.504999999999995</v>
      </c>
      <c r="ARK30">
        <f>SOFR3mo_PX[[#This Row],[Column1155]]</f>
        <v>98.504999999999995</v>
      </c>
      <c r="ARL30">
        <f>SOFR3mo_PX[[#This Row],[Column1156]]</f>
        <v>98.495000000000005</v>
      </c>
      <c r="ARM30">
        <f>SOFR3mo_PX[[#This Row],[Column1157]]</f>
        <v>98.495000000000005</v>
      </c>
      <c r="ARN30">
        <f>SOFR3mo_PX[[#This Row],[Column1158]]</f>
        <v>98.53</v>
      </c>
      <c r="ARO30">
        <f>SOFR3mo_PX[[#This Row],[Column1159]]</f>
        <v>98.515000000000001</v>
      </c>
      <c r="ARP30">
        <f>SOFR3mo_PX[[#This Row],[Column1160]]</f>
        <v>98.49</v>
      </c>
      <c r="ARQ30">
        <f>SOFR3mo_PX[[#This Row],[Column1161]]</f>
        <v>98.495000000000005</v>
      </c>
      <c r="ARR30">
        <f>SOFR3mo_PX[[#This Row],[Column1162]]</f>
        <v>98.5</v>
      </c>
      <c r="ARS30">
        <f>SOFR3mo_PX[[#This Row],[Column1163]]</f>
        <v>98.54</v>
      </c>
      <c r="ART30">
        <f>SOFR3mo_PX[[#This Row],[Column1164]]</f>
        <v>98.724999999999994</v>
      </c>
      <c r="ARU30">
        <f>SOFR3mo_PX[[#This Row],[Column1165]]</f>
        <v>98.77</v>
      </c>
      <c r="ARV30">
        <f>SOFR3mo_PX[[#This Row],[Column1166]]</f>
        <v>98.78</v>
      </c>
      <c r="ARW30">
        <f>SOFR3mo_PX[[#This Row],[Column1167]]</f>
        <v>98.77</v>
      </c>
      <c r="ARX30">
        <f>SOFR3mo_PX[[#This Row],[Column1168]]</f>
        <v>98.77</v>
      </c>
      <c r="ARY30">
        <f>SOFR3mo_PX[[#This Row],[Column1169]]</f>
        <v>98.76</v>
      </c>
      <c r="ARZ30">
        <f>SOFR3mo_PX[[#This Row],[Column1170]]</f>
        <v>98.745000000000005</v>
      </c>
      <c r="ASA30">
        <f>SOFR3mo_PX[[#This Row],[Column1171]]</f>
        <v>98.74</v>
      </c>
      <c r="ASB30">
        <f>SOFR3mo_PX[[#This Row],[Column1172]]</f>
        <v>98.745000000000005</v>
      </c>
      <c r="ASC30">
        <f>SOFR3mo_PX[[#This Row],[Column1173]]</f>
        <v>98.745000000000005</v>
      </c>
      <c r="ASD30">
        <f>SOFR3mo_PX[[#This Row],[Column1174]]</f>
        <v>98.745000000000005</v>
      </c>
      <c r="ASE30">
        <f>SOFR3mo_PX[[#This Row],[Column1175]]</f>
        <v>98.75</v>
      </c>
      <c r="ASF30">
        <f>SOFR3mo_PX[[#This Row],[Column1176]]</f>
        <v>98.745000000000005</v>
      </c>
      <c r="ASG30">
        <f>SOFR3mo_PX[[#This Row],[Column1177]]</f>
        <v>98.745000000000005</v>
      </c>
      <c r="ASH30">
        <f>SOFR3mo_PX[[#This Row],[Column1178]]</f>
        <v>98.834999999999994</v>
      </c>
      <c r="ASI30">
        <f>SOFR3mo_PX[[#This Row],[Column1179]]</f>
        <v>98.844999999999999</v>
      </c>
      <c r="ASJ30">
        <f>SOFR3mo_PX[[#This Row],[Column1180]]</f>
        <v>98.894999999999996</v>
      </c>
      <c r="ASK30">
        <f>SOFR3mo_PX[[#This Row],[Column1181]]</f>
        <v>98.894999999999996</v>
      </c>
      <c r="ASL30">
        <f>SOFR3mo_PX[[#This Row],[Column1182]]</f>
        <v>98.894999999999996</v>
      </c>
      <c r="ASM30">
        <f>SOFR3mo_PX[[#This Row],[Column1183]]</f>
        <v>99.094999999999999</v>
      </c>
      <c r="ASN30">
        <f>SOFR3mo_PX[[#This Row],[Column1184]]</f>
        <v>99.474999999999994</v>
      </c>
      <c r="ASO30">
        <f>SOFR3mo_PX[[#This Row],[Column1185]]</f>
        <v>99.58</v>
      </c>
      <c r="ASP30">
        <f>SOFR3mo_PX[[#This Row],[Column1186]]</f>
        <v>99.58</v>
      </c>
      <c r="ASQ30">
        <f>SOFR3mo_PX[[#This Row],[Column1187]]</f>
        <v>99.59</v>
      </c>
      <c r="ASR30">
        <f>SOFR3mo_PX[[#This Row],[Column1188]]</f>
        <v>99.605000000000004</v>
      </c>
      <c r="ASS30">
        <f>SOFR3mo_PX[[#This Row],[Column1189]]</f>
        <v>99.61</v>
      </c>
      <c r="AST30">
        <f>SOFR3mo_PX[[#This Row],[Column1190]]</f>
        <v>99.614999999999995</v>
      </c>
      <c r="ASU30">
        <f>SOFR3mo_PX[[#This Row],[Column1191]]</f>
        <v>99.64</v>
      </c>
      <c r="ASV30">
        <f>SOFR3mo_PX[[#This Row],[Column1192]]</f>
        <v>99.644999999999996</v>
      </c>
      <c r="ASW30">
        <f>SOFR3mo_PX[[#This Row],[Column1193]]</f>
        <v>99.64</v>
      </c>
      <c r="ASX30">
        <f>SOFR3mo_PX[[#This Row],[Column1194]]</f>
        <v>99.64</v>
      </c>
      <c r="ASY30">
        <f>SOFR3mo_PX[[#This Row],[Column1195]]</f>
        <v>99.635000000000005</v>
      </c>
      <c r="ASZ30">
        <f>SOFR3mo_PX[[#This Row],[Column1196]]</f>
        <v>99.63</v>
      </c>
      <c r="ATA30">
        <f>SOFR3mo_PX[[#This Row],[Column1197]]</f>
        <v>99.644999999999996</v>
      </c>
      <c r="ATB30">
        <f>SOFR3mo_PX[[#This Row],[Column1198]]</f>
        <v>99.64</v>
      </c>
      <c r="ATC30">
        <f>SOFR3mo_PX[[#This Row],[Column1199]]</f>
        <v>99.64</v>
      </c>
      <c r="ATD30">
        <f>SOFR3mo_PX[[#This Row],[Column1200]]</f>
        <v>99.644999999999996</v>
      </c>
      <c r="ATE30">
        <f>SOFR3mo_PX[[#This Row],[Column1201]]</f>
        <v>99.635000000000005</v>
      </c>
      <c r="ATF30">
        <f>SOFR3mo_PX[[#This Row],[Column1202]]</f>
        <v>99.635000000000005</v>
      </c>
      <c r="ATG30">
        <f>SOFR3mo_PX[[#This Row],[Column1203]]</f>
        <v>99.63</v>
      </c>
      <c r="ATH30">
        <f>SOFR3mo_PX[[#This Row],[Column1204]]</f>
        <v>99.61</v>
      </c>
      <c r="ATI30">
        <f>SOFR3mo_PX[[#This Row],[Column1205]]</f>
        <v>99.61</v>
      </c>
      <c r="ATJ30">
        <f>SOFR3mo_PX[[#This Row],[Column1206]]</f>
        <v>99.644999999999996</v>
      </c>
      <c r="ATK30">
        <f>SOFR3mo_PX[[#This Row],[Column1207]]</f>
        <v>99.69</v>
      </c>
      <c r="ATL30">
        <f>SOFR3mo_PX[[#This Row],[Column1208]]</f>
        <v>99.694999999999993</v>
      </c>
      <c r="ATM30">
        <f>SOFR3mo_PX[[#This Row],[Column1209]]</f>
        <v>99.715000000000003</v>
      </c>
      <c r="ATN30">
        <f>SOFR3mo_PX[[#This Row],[Column1210]]</f>
        <v>99.685000000000002</v>
      </c>
      <c r="ATO30">
        <f>SOFR3mo_PX[[#This Row],[Column1211]]</f>
        <v>99.694999999999993</v>
      </c>
      <c r="ATP30">
        <f>SOFR3mo_PX[[#This Row],[Column1212]]</f>
        <v>99.69</v>
      </c>
      <c r="ATQ30">
        <f>SOFR3mo_PX[[#This Row],[Column1213]]</f>
        <v>99.694999999999993</v>
      </c>
      <c r="ATR30">
        <f>SOFR3mo_PX[[#This Row],[Column1214]]</f>
        <v>99.704999999999998</v>
      </c>
      <c r="ATS30">
        <f>SOFR3mo_PX[[#This Row],[Column1215]]</f>
        <v>99.704999999999998</v>
      </c>
      <c r="ATT30">
        <f>SOFR3mo_PX[[#This Row],[Column1216]]</f>
        <v>99.7</v>
      </c>
      <c r="ATU30">
        <f>SOFR3mo_PX[[#This Row],[Column1217]]</f>
        <v>99.69</v>
      </c>
      <c r="ATV30">
        <f>SOFR3mo_PX[[#This Row],[Column1218]]</f>
        <v>99.68</v>
      </c>
      <c r="ATW30">
        <f>SOFR3mo_PX[[#This Row],[Column1219]]</f>
        <v>99.704999999999998</v>
      </c>
      <c r="ATX30">
        <f>SOFR3mo_PX[[#This Row],[Column1220]]</f>
        <v>99.704999999999998</v>
      </c>
      <c r="ATY30">
        <f>SOFR3mo_PX[[#This Row],[Column1221]]</f>
        <v>99.715000000000003</v>
      </c>
      <c r="ATZ30">
        <f>SOFR3mo_PX[[#This Row],[Column1222]]</f>
        <v>99.724999999999994</v>
      </c>
      <c r="AUA30">
        <f>SOFR3mo_PX[[#This Row],[Column1223]]</f>
        <v>99.72</v>
      </c>
      <c r="AUB30">
        <f>SOFR3mo_PX[[#This Row],[Column1224]]</f>
        <v>99.724999999999994</v>
      </c>
      <c r="AUC30">
        <f>SOFR3mo_PX[[#This Row],[Column1225]]</f>
        <v>99.72</v>
      </c>
      <c r="AUD30">
        <f>SOFR3mo_PX[[#This Row],[Column1226]]</f>
        <v>99.704999999999998</v>
      </c>
      <c r="AUE30">
        <f>SOFR3mo_PX[[#This Row],[Column1227]]</f>
        <v>99.7</v>
      </c>
      <c r="AUF30">
        <f>SOFR3mo_PX[[#This Row],[Column1228]]</f>
        <v>99.715000000000003</v>
      </c>
      <c r="AUG30">
        <f>SOFR3mo_PX[[#This Row],[Column1229]]</f>
        <v>99.71</v>
      </c>
      <c r="AUH30">
        <f>SOFR3mo_PX[[#This Row],[Column1230]]</f>
        <v>99.734999999999999</v>
      </c>
      <c r="AUI30">
        <f>SOFR3mo_PX[[#This Row],[Column1231]]</f>
        <v>99.734999999999999</v>
      </c>
      <c r="AUJ30">
        <f>SOFR3mo_PX[[#This Row],[Column1232]]</f>
        <v>99.784999999999997</v>
      </c>
      <c r="AUK30">
        <f>SOFR3mo_PX[[#This Row],[Column1233]]</f>
        <v>99.784999999999997</v>
      </c>
      <c r="AUL30">
        <f>SOFR3mo_PX[[#This Row],[Column1234]]</f>
        <v>99.784999999999997</v>
      </c>
      <c r="AUM30">
        <f>SOFR3mo_PX[[#This Row],[Column1235]]</f>
        <v>99.79</v>
      </c>
      <c r="AUN30">
        <f>SOFR3mo_PX[[#This Row],[Column1236]]</f>
        <v>99.79</v>
      </c>
      <c r="AUO30">
        <f>SOFR3mo_PX[[#This Row],[Column1237]]</f>
        <v>99.8</v>
      </c>
      <c r="AUP30">
        <f>SOFR3mo_PX[[#This Row],[Column1238]]</f>
        <v>99.8</v>
      </c>
      <c r="AUQ30">
        <f>SOFR3mo_PX[[#This Row],[Column1239]]</f>
        <v>99.805000000000007</v>
      </c>
      <c r="AUR30">
        <f>SOFR3mo_PX[[#This Row],[Column1240]]</f>
        <v>99.805000000000007</v>
      </c>
      <c r="AUS30">
        <f>SOFR3mo_PX[[#This Row],[Column1241]]</f>
        <v>99.795000000000002</v>
      </c>
      <c r="AUT30">
        <f>SOFR3mo_PX[[#This Row],[Column1242]]</f>
        <v>99.775000000000006</v>
      </c>
      <c r="AUU30">
        <f>SOFR3mo_PX[[#This Row],[Column1243]]</f>
        <v>99.79</v>
      </c>
      <c r="AUV30">
        <f>SOFR3mo_PX[[#This Row],[Column1244]]</f>
        <v>99.784999999999997</v>
      </c>
      <c r="AUW30">
        <f>SOFR3mo_PX[[#This Row],[Column1245]]</f>
        <v>99.814999999999998</v>
      </c>
      <c r="AUX30">
        <f>SOFR3mo_PX[[#This Row],[Column1246]]</f>
        <v>99.82</v>
      </c>
      <c r="AUY30">
        <f>SOFR3mo_PX[[#This Row],[Column1247]]</f>
        <v>99.81</v>
      </c>
      <c r="AUZ30">
        <f>SOFR3mo_PX[[#This Row],[Column1248]]</f>
        <v>99.784999999999997</v>
      </c>
      <c r="AVA30">
        <f>SOFR3mo_PX[[#This Row],[Column1249]]</f>
        <v>99.78</v>
      </c>
      <c r="AVB30">
        <f>SOFR3mo_PX[[#This Row],[Column1250]]</f>
        <v>99.784999999999997</v>
      </c>
      <c r="AVC30">
        <f>SOFR3mo_PX[[#This Row],[Column1251]]</f>
        <v>99.775000000000006</v>
      </c>
      <c r="AVD30">
        <f>SOFR3mo_PX[[#This Row],[Column1252]]</f>
        <v>99.775000000000006</v>
      </c>
      <c r="AVE30">
        <f>SOFR3mo_PX[[#This Row],[Column1253]]</f>
        <v>99.805000000000007</v>
      </c>
      <c r="AVF30">
        <f>SOFR3mo_PX[[#This Row],[Column1254]]</f>
        <v>99.795000000000002</v>
      </c>
      <c r="AVG30">
        <f>SOFR3mo_PX[[#This Row],[Column1255]]</f>
        <v>99.805000000000007</v>
      </c>
      <c r="AVH30">
        <f>SOFR3mo_PX[[#This Row],[Column1256]]</f>
        <v>99.8</v>
      </c>
      <c r="AVI30">
        <f>SOFR3mo_PX[[#This Row],[Column1257]]</f>
        <v>99.795000000000002</v>
      </c>
      <c r="AVJ30">
        <f>SOFR3mo_PX[[#This Row],[Column1258]]</f>
        <v>99.775000000000006</v>
      </c>
      <c r="AVK30">
        <f>SOFR3mo_PX[[#This Row],[Column1259]]</f>
        <v>99.784999999999997</v>
      </c>
      <c r="AVL30">
        <f>SOFR3mo_PX[[#This Row],[Column1260]]</f>
        <v>99.79</v>
      </c>
      <c r="AVM30">
        <f>SOFR3mo_PX[[#This Row],[Column1261]]</f>
        <v>99.8</v>
      </c>
      <c r="AVN30">
        <f>SOFR3mo_PX[[#This Row],[Column1262]]</f>
        <v>99.795000000000002</v>
      </c>
      <c r="AVO30">
        <f>SOFR3mo_PX[[#This Row],[Column1263]]</f>
        <v>99.805000000000007</v>
      </c>
      <c r="AVP30">
        <f>SOFR3mo_PX[[#This Row],[Column1264]]</f>
        <v>99.805000000000007</v>
      </c>
      <c r="AVQ30">
        <f>SOFR3mo_PX[[#This Row],[Column1265]]</f>
        <v>99.795000000000002</v>
      </c>
      <c r="AVR30">
        <f>SOFR3mo_PX[[#This Row],[Column1266]]</f>
        <v>99.78</v>
      </c>
      <c r="AVS30">
        <f>SOFR3mo_PX[[#This Row],[Column1267]]</f>
        <v>99.77</v>
      </c>
      <c r="AVT30">
        <f>SOFR3mo_PX[[#This Row],[Column1268]]</f>
        <v>99.77</v>
      </c>
      <c r="AVU30">
        <f>SOFR3mo_PX[[#This Row],[Column1269]]</f>
        <v>99.775000000000006</v>
      </c>
      <c r="AVV30">
        <f>SOFR3mo_PX[[#This Row],[Column1270]]</f>
        <v>99.775000000000006</v>
      </c>
      <c r="AVW30">
        <f>SOFR3mo_PX[[#This Row],[Column1271]]</f>
        <v>99.81</v>
      </c>
      <c r="AVX30">
        <f>SOFR3mo_PX[[#This Row],[Column1272]]</f>
        <v>99.82</v>
      </c>
      <c r="AVY30">
        <f>SOFR3mo_PX[[#This Row],[Column1273]]</f>
        <v>99.84</v>
      </c>
      <c r="AVZ30">
        <f>SOFR3mo_PX[[#This Row],[Column1274]]</f>
        <v>99.844999999999999</v>
      </c>
      <c r="AWA30">
        <f>SOFR3mo_PX[[#This Row],[Column1275]]</f>
        <v>99.855000000000004</v>
      </c>
      <c r="AWB30">
        <f>SOFR3mo_PX[[#This Row],[Column1276]]</f>
        <v>99.844999999999999</v>
      </c>
      <c r="AWC30">
        <f>SOFR3mo_PX[[#This Row],[Column1277]]</f>
        <v>99.84</v>
      </c>
      <c r="AWD30">
        <f>SOFR3mo_PX[[#This Row],[Column1278]]</f>
        <v>99.834999999999994</v>
      </c>
      <c r="AWE30">
        <f>SOFR3mo_PX[[#This Row],[Column1279]]</f>
        <v>99.814999999999998</v>
      </c>
      <c r="AWF30">
        <f>SOFR3mo_PX[[#This Row],[Column1280]]</f>
        <v>99.805000000000007</v>
      </c>
      <c r="AWG30">
        <f>SOFR3mo_PX[[#This Row],[Column1281]]</f>
        <v>99.8</v>
      </c>
      <c r="AWH30">
        <f>SOFR3mo_PX[[#This Row],[Column1282]]</f>
        <v>99.81</v>
      </c>
      <c r="AWI30">
        <f>SOFR3mo_PX[[#This Row],[Column1283]]</f>
        <v>99.814999999999998</v>
      </c>
      <c r="AWJ30">
        <f>SOFR3mo_PX[[#This Row],[Column1284]]</f>
        <v>99.814999999999998</v>
      </c>
      <c r="AWK30">
        <f>SOFR3mo_PX[[#This Row],[Column1285]]</f>
        <v>99.81</v>
      </c>
      <c r="AWL30">
        <f>SOFR3mo_PX[[#This Row],[Column1286]]</f>
        <v>99.81</v>
      </c>
      <c r="AWM30">
        <f>SOFR3mo_PX[[#This Row],[Column1287]]</f>
        <v>99.805000000000007</v>
      </c>
      <c r="AWN30">
        <f>SOFR3mo_PX[[#This Row],[Column1288]]</f>
        <v>99.805000000000007</v>
      </c>
      <c r="AWO30">
        <f>SOFR3mo_PX[[#This Row],[Column1289]]</f>
        <v>99.8</v>
      </c>
      <c r="AWP30">
        <f>SOFR3mo_PX[[#This Row],[Column1290]]</f>
        <v>99.81</v>
      </c>
      <c r="AWQ30">
        <f>SOFR3mo_PX[[#This Row],[Column1291]]</f>
        <v>99.81</v>
      </c>
      <c r="AWR30">
        <f>SOFR3mo_PX[[#This Row],[Column1292]]</f>
        <v>99.825000000000003</v>
      </c>
      <c r="AWS30">
        <f>SOFR3mo_PX[[#This Row],[Column1293]]</f>
        <v>99.84</v>
      </c>
      <c r="AWT30">
        <f>SOFR3mo_PX[[#This Row],[Column1294]]</f>
        <v>99.825000000000003</v>
      </c>
      <c r="AWU30">
        <f>SOFR3mo_PX[[#This Row],[Column1295]]</f>
        <v>99.82</v>
      </c>
      <c r="AWV30">
        <f>SOFR3mo_PX[[#This Row],[Column1296]]</f>
        <v>99.814999999999998</v>
      </c>
      <c r="AWW30">
        <f>SOFR3mo_PX[[#This Row],[Column1297]]</f>
        <v>99.814999999999998</v>
      </c>
      <c r="AWX30">
        <f>SOFR3mo_PX[[#This Row],[Column1298]]</f>
        <v>99.814999999999998</v>
      </c>
      <c r="AWY30">
        <f>SOFR3mo_PX[[#This Row],[Column1299]]</f>
        <v>99.805000000000007</v>
      </c>
      <c r="AWZ30">
        <f>SOFR3mo_PX[[#This Row],[Column1300]]</f>
        <v>99.825000000000003</v>
      </c>
      <c r="AXA30">
        <f>SOFR3mo_PX[[#This Row],[Column1301]]</f>
        <v>99.825000000000003</v>
      </c>
      <c r="AXB30">
        <f>SOFR3mo_PX[[#This Row],[Column1302]]</f>
        <v>99.814999999999998</v>
      </c>
      <c r="AXC30">
        <f>SOFR3mo_PX[[#This Row],[Column1303]]</f>
        <v>99.795000000000002</v>
      </c>
      <c r="AXD30">
        <f>SOFR3mo_PX[[#This Row],[Column1304]]</f>
        <v>99.795000000000002</v>
      </c>
      <c r="AXE30">
        <f>SOFR3mo_PX[[#This Row],[Column1305]]</f>
        <v>99.795000000000002</v>
      </c>
      <c r="AXF30">
        <f>SOFR3mo_PX[[#This Row],[Column1306]]</f>
        <v>99.79</v>
      </c>
      <c r="AXG30">
        <f>SOFR3mo_PX[[#This Row],[Column1307]]</f>
        <v>99.78</v>
      </c>
      <c r="AXH30">
        <f>SOFR3mo_PX[[#This Row],[Column1308]]</f>
        <v>99.76</v>
      </c>
      <c r="AXI30">
        <f>SOFR3mo_PX[[#This Row],[Column1309]]</f>
        <v>99.754999999999995</v>
      </c>
      <c r="AXJ30">
        <f>SOFR3mo_PX[[#This Row],[Column1310]]</f>
        <v>99.745000000000005</v>
      </c>
      <c r="AXK30">
        <f>SOFR3mo_PX[[#This Row],[Column1311]]</f>
        <v>99.76</v>
      </c>
      <c r="AXL30">
        <f>SOFR3mo_PX[[#This Row],[Column1312]]</f>
        <v>99.75</v>
      </c>
      <c r="AXM30">
        <f>SOFR3mo_PX[[#This Row],[Column1313]]</f>
        <v>99.76</v>
      </c>
      <c r="AXN30">
        <f>SOFR3mo_PX[[#This Row],[Column1314]]</f>
        <v>99.734999999999999</v>
      </c>
      <c r="AXO30">
        <f>SOFR3mo_PX[[#This Row],[Column1315]]</f>
        <v>99.685000000000002</v>
      </c>
      <c r="AXP30">
        <f>SOFR3mo_PX[[#This Row],[Column1316]]</f>
        <v>99.65</v>
      </c>
      <c r="AXQ30">
        <f>SOFR3mo_PX[[#This Row],[Column1317]]</f>
        <v>99.644999999999996</v>
      </c>
      <c r="AXR30">
        <f>SOFR3mo_PX[[#This Row],[Column1318]]</f>
        <v>99.71</v>
      </c>
      <c r="AXS30">
        <f>SOFR3mo_PX[[#This Row],[Column1319]]</f>
        <v>99.724999999999994</v>
      </c>
      <c r="AXT30">
        <f>SOFR3mo_PX[[#This Row],[Column1320]]</f>
        <v>99.76</v>
      </c>
      <c r="AXU30">
        <f>SOFR3mo_PX[[#This Row],[Column1321]]</f>
        <v>99.765000000000001</v>
      </c>
      <c r="AXV30">
        <f>SOFR3mo_PX[[#This Row],[Column1322]]</f>
        <v>99.754999999999995</v>
      </c>
      <c r="AXW30">
        <f>SOFR3mo_PX[[#This Row],[Column1323]]</f>
        <v>99.734999999999999</v>
      </c>
      <c r="AXX30">
        <f>SOFR3mo_PX[[#This Row],[Column1324]]</f>
        <v>99.74</v>
      </c>
      <c r="AXY30">
        <f>SOFR3mo_PX[[#This Row],[Column1325]]</f>
        <v>99.745000000000005</v>
      </c>
      <c r="AXZ30">
        <f>SOFR3mo_PX[[#This Row],[Column1326]]</f>
        <v>99.75</v>
      </c>
      <c r="AYA30">
        <f>SOFR3mo_PX[[#This Row],[Column1327]]</f>
        <v>99.75</v>
      </c>
      <c r="AYB30">
        <f>SOFR3mo_PX[[#This Row],[Column1328]]</f>
        <v>99.745000000000005</v>
      </c>
      <c r="AYC30">
        <f>SOFR3mo_PX[[#This Row],[Column1329]]</f>
        <v>99.745000000000005</v>
      </c>
      <c r="AYD30">
        <f>SOFR3mo_PX[[#This Row],[Column1330]]</f>
        <v>99.75</v>
      </c>
      <c r="AYE30">
        <f>SOFR3mo_PX[[#This Row],[Column1331]]</f>
        <v>99.75</v>
      </c>
      <c r="AYF30">
        <f>SOFR3mo_PX[[#This Row],[Column1332]]</f>
        <v>99.795000000000002</v>
      </c>
      <c r="AYG30">
        <f>SOFR3mo_PX[[#This Row],[Column1333]]</f>
        <v>99.77</v>
      </c>
      <c r="AYH30">
        <f>SOFR3mo_PX[[#This Row],[Column1334]]</f>
        <v>99.76</v>
      </c>
      <c r="AYI30">
        <f>SOFR3mo_PX[[#This Row],[Column1335]]</f>
        <v>99.74</v>
      </c>
      <c r="AYJ30">
        <f>SOFR3mo_PX[[#This Row],[Column1336]]</f>
        <v>99.74</v>
      </c>
      <c r="AYK30">
        <f>SOFR3mo_PX[[#This Row],[Column1337]]</f>
        <v>99.76</v>
      </c>
      <c r="AYL30">
        <f>SOFR3mo_PX[[#This Row],[Column1338]]</f>
        <v>99.77</v>
      </c>
      <c r="AYM30">
        <f>SOFR3mo_PX[[#This Row],[Column1339]]</f>
        <v>99.715000000000003</v>
      </c>
      <c r="AYN30">
        <f>SOFR3mo_PX[[#This Row],[Column1340]]</f>
        <v>99.7</v>
      </c>
      <c r="AYO30">
        <f>SOFR3mo_PX[[#This Row],[Column1341]]</f>
        <v>99.704999999999998</v>
      </c>
      <c r="AYP30">
        <f>SOFR3mo_PX[[#This Row],[Column1342]]</f>
        <v>99.69</v>
      </c>
      <c r="AYQ30">
        <f>SOFR3mo_PX[[#This Row],[Column1343]]</f>
        <v>99.694999999999993</v>
      </c>
      <c r="AYR30">
        <f>SOFR3mo_PX[[#This Row],[Column1344]]</f>
        <v>99.685000000000002</v>
      </c>
      <c r="AYS30">
        <f>SOFR3mo_PX[[#This Row],[Column1345]]</f>
        <v>99.67</v>
      </c>
      <c r="AYT30">
        <f>SOFR3mo_PX[[#This Row],[Column1346]]</f>
        <v>99.665000000000006</v>
      </c>
      <c r="AYU30">
        <f>SOFR3mo_PX[[#This Row],[Column1347]]</f>
        <v>99.674999999999997</v>
      </c>
      <c r="AYV30">
        <f>SOFR3mo_PX[[#This Row],[Column1348]]</f>
        <v>99.674999999999997</v>
      </c>
      <c r="AYW30">
        <f>SOFR3mo_PX[[#This Row],[Column1349]]</f>
        <v>99.67</v>
      </c>
      <c r="AYX30">
        <f>SOFR3mo_PX[[#This Row],[Column1350]]</f>
        <v>99.68</v>
      </c>
      <c r="AYY30">
        <f>SOFR3mo_PX[[#This Row],[Column1351]]</f>
        <v>99.66</v>
      </c>
      <c r="AYZ30">
        <f>SOFR3mo_PX[[#This Row],[Column1352]]</f>
        <v>99.65</v>
      </c>
      <c r="AZA30">
        <f>SOFR3mo_PX[[#This Row],[Column1353]]</f>
        <v>99.635000000000005</v>
      </c>
      <c r="AZB30">
        <f>SOFR3mo_PX[[#This Row],[Column1354]]</f>
        <v>99.625</v>
      </c>
      <c r="AZC30">
        <f>SOFR3mo_PX[[#This Row],[Column1355]]</f>
        <v>99.594999999999999</v>
      </c>
      <c r="AZD30">
        <f>SOFR3mo_PX[[#This Row],[Column1356]]</f>
        <v>99.58</v>
      </c>
      <c r="AZE30">
        <f>SOFR3mo_PX[[#This Row],[Column1357]]</f>
        <v>99.59</v>
      </c>
      <c r="AZF30">
        <f>SOFR3mo_PX[[#This Row],[Column1358]]</f>
        <v>99.59</v>
      </c>
      <c r="AZG30">
        <f>SOFR3mo_PX[[#This Row],[Column1359]]</f>
        <v>99.57</v>
      </c>
      <c r="AZH30">
        <f>SOFR3mo_PX[[#This Row],[Column1360]]</f>
        <v>99.555000000000007</v>
      </c>
      <c r="AZI30">
        <f>SOFR3mo_PX[[#This Row],[Column1361]]</f>
        <v>99.6</v>
      </c>
      <c r="AZJ30">
        <f>SOFR3mo_PX[[#This Row],[Column1362]]</f>
        <v>99.66</v>
      </c>
      <c r="AZK30">
        <f>SOFR3mo_PX[[#This Row],[Column1363]]</f>
        <v>99.655000000000001</v>
      </c>
      <c r="AZL30">
        <f>SOFR3mo_PX[[#This Row],[Column1364]]</f>
        <v>99.67</v>
      </c>
      <c r="AZM30">
        <f>SOFR3mo_PX[[#This Row],[Column1365]]</f>
        <v>99.644999999999996</v>
      </c>
      <c r="AZN30">
        <f>SOFR3mo_PX[[#This Row],[Column1366]]</f>
        <v>99.674999999999997</v>
      </c>
      <c r="AZO30">
        <f>SOFR3mo_PX[[#This Row],[Column1367]]</f>
        <v>99.63</v>
      </c>
      <c r="AZP30">
        <f>SOFR3mo_PX[[#This Row],[Column1368]]</f>
        <v>99.61</v>
      </c>
      <c r="AZQ30">
        <f>SOFR3mo_PX[[#This Row],[Column1369]]</f>
        <v>99.58</v>
      </c>
      <c r="AZR30">
        <f>SOFR3mo_PX[[#This Row],[Column1370]]</f>
        <v>99.575000000000003</v>
      </c>
      <c r="AZS30">
        <f>SOFR3mo_PX[[#This Row],[Column1371]]</f>
        <v>99.635000000000005</v>
      </c>
      <c r="AZT30">
        <f>SOFR3mo_PX[[#This Row],[Column1372]]</f>
        <v>99.555000000000007</v>
      </c>
      <c r="AZU30">
        <f>SOFR3mo_PX[[#This Row],[Column1373]]</f>
        <v>99.495000000000005</v>
      </c>
      <c r="AZV30">
        <f>SOFR3mo_PX[[#This Row],[Column1374]]</f>
        <v>99.39</v>
      </c>
      <c r="AZW30">
        <f>SOFR3mo_PX[[#This Row],[Column1375]]</f>
        <v>99.504999999999995</v>
      </c>
      <c r="AZX30">
        <f>SOFR3mo_PX[[#This Row],[Column1376]]</f>
        <v>99.555000000000007</v>
      </c>
      <c r="AZY30">
        <f>SOFR3mo_PX[[#This Row],[Column1377]]</f>
        <v>99.48</v>
      </c>
      <c r="AZZ30">
        <f>SOFR3mo_PX[[#This Row],[Column1378]]</f>
        <v>99.52</v>
      </c>
      <c r="BAA30">
        <f>SOFR3mo_PX[[#This Row],[Column1379]]</f>
        <v>99.45</v>
      </c>
      <c r="BAB30">
        <f>SOFR3mo_PX[[#This Row],[Column1380]]</f>
        <v>99.44</v>
      </c>
      <c r="BAC30">
        <f>SOFR3mo_PX[[#This Row],[Column1381]]</f>
        <v>99.56</v>
      </c>
      <c r="BAD30">
        <f>SOFR3mo_PX[[#This Row],[Column1382]]</f>
        <v>99.484999999999999</v>
      </c>
      <c r="BAE30">
        <f>SOFR3mo_PX[[#This Row],[Column1383]]</f>
        <v>99.4</v>
      </c>
      <c r="BAF30">
        <f>SOFR3mo_PX[[#This Row],[Column1384]]</f>
        <v>99.35</v>
      </c>
      <c r="BAG30">
        <f>SOFR3mo_PX[[#This Row],[Column1385]]</f>
        <v>99.29</v>
      </c>
      <c r="BAH30">
        <f>SOFR3mo_PX[[#This Row],[Column1386]]</f>
        <v>99.22</v>
      </c>
      <c r="BAI30">
        <f>SOFR3mo_PX[[#This Row],[Column1387]]</f>
        <v>99.22</v>
      </c>
      <c r="BAJ30">
        <f>SOFR3mo_PX[[#This Row],[Column1388]]</f>
        <v>99.02</v>
      </c>
      <c r="BAK30">
        <f>SOFR3mo_PX[[#This Row],[Column1389]]</f>
        <v>98.965000000000003</v>
      </c>
      <c r="BAL30">
        <f>SOFR3mo_PX[[#This Row],[Column1390]]</f>
        <v>98.974999999999994</v>
      </c>
      <c r="BAM30">
        <f>SOFR3mo_PX[[#This Row],[Column1391]]</f>
        <v>98.92</v>
      </c>
      <c r="BAN30">
        <f>SOFR3mo_PX[[#This Row],[Column1392]]</f>
        <v>98.81</v>
      </c>
      <c r="BAO30">
        <f>SOFR3mo_PX[[#This Row],[Column1393]]</f>
        <v>98.745000000000005</v>
      </c>
      <c r="BAP30">
        <f>SOFR3mo_PX[[#This Row],[Column1394]]</f>
        <v>98.7</v>
      </c>
      <c r="BAQ30">
        <f>SOFR3mo_PX[[#This Row],[Column1395]]</f>
        <v>98.724999999999994</v>
      </c>
      <c r="BAR30">
        <f>SOFR3mo_PX[[#This Row],[Column1396]]</f>
        <v>98.694999999999993</v>
      </c>
      <c r="BAS30">
        <f>SOFR3mo_PX[[#This Row],[Column1397]]</f>
        <v>98.694999999999993</v>
      </c>
      <c r="BAT30">
        <f>SOFR3mo_PX[[#This Row],[Column1398]]</f>
        <v>98.66</v>
      </c>
      <c r="BAU30">
        <f>SOFR3mo_PX[[#This Row],[Column1399]]</f>
        <v>98.66</v>
      </c>
      <c r="BAV30">
        <f>SOFR3mo_PX[[#This Row],[Column1400]]</f>
        <v>98.7</v>
      </c>
      <c r="BAW30">
        <f>SOFR3mo_PX[[#This Row],[Column1401]]</f>
        <v>98.73</v>
      </c>
      <c r="BAX30">
        <f>SOFR3mo_PX[[#This Row],[Column1402]]</f>
        <v>98.694999999999993</v>
      </c>
      <c r="BAY30">
        <f>SOFR3mo_PX[[#This Row],[Column1403]]</f>
        <v>98.64</v>
      </c>
      <c r="BAZ30">
        <f>SOFR3mo_PX[[#This Row],[Column1404]]</f>
        <v>98.66</v>
      </c>
      <c r="BBA30">
        <f>SOFR3mo_PX[[#This Row],[Column1405]]</f>
        <v>98.7</v>
      </c>
      <c r="BBB30">
        <f>SOFR3mo_PX[[#This Row],[Column1406]]</f>
        <v>98.784999999999997</v>
      </c>
      <c r="BBC30">
        <f>SOFR3mo_PX[[#This Row],[Column1407]]</f>
        <v>98.8</v>
      </c>
      <c r="BBD30">
        <f>SOFR3mo_PX[[#This Row],[Column1408]]</f>
        <v>98.745000000000005</v>
      </c>
      <c r="BBE30">
        <f>SOFR3mo_PX[[#This Row],[Column1409]]</f>
        <v>98.7</v>
      </c>
      <c r="BBF30">
        <f>SOFR3mo_PX[[#This Row],[Column1410]]</f>
        <v>98.65</v>
      </c>
      <c r="BBG30">
        <f>SOFR3mo_PX[[#This Row],[Column1411]]</f>
        <v>98.685000000000002</v>
      </c>
      <c r="BBH30">
        <f>SOFR3mo_PX[[#This Row],[Column1412]]</f>
        <v>98.6</v>
      </c>
      <c r="BBI30">
        <f>SOFR3mo_PX[[#This Row],[Column1413]]</f>
        <v>98.545000000000002</v>
      </c>
      <c r="BBJ30">
        <f>SOFR3mo_PX[[#This Row],[Column1414]]</f>
        <v>98.525000000000006</v>
      </c>
      <c r="BBK30">
        <f>SOFR3mo_PX[[#This Row],[Column1415]]</f>
        <v>98.51</v>
      </c>
      <c r="BBL30">
        <f>SOFR3mo_PX[[#This Row],[Column1416]]</f>
        <v>98.454999999999998</v>
      </c>
      <c r="BBM30">
        <f>SOFR3mo_PX[[#This Row],[Column1417]]</f>
        <v>98.454999999999998</v>
      </c>
      <c r="BBN30">
        <f>SOFR3mo_PX[[#This Row],[Column1418]]</f>
        <v>98.47</v>
      </c>
      <c r="BBO30">
        <f>SOFR3mo_PX[[#This Row],[Column1419]]</f>
        <v>98.48</v>
      </c>
      <c r="BBP30">
        <f>SOFR3mo_PX[[#This Row],[Column1420]]</f>
        <v>98.47</v>
      </c>
      <c r="BBQ30">
        <f>SOFR3mo_PX[[#This Row],[Column1421]]</f>
        <v>98.454999999999998</v>
      </c>
      <c r="BBR30">
        <f>SOFR3mo_PX[[#This Row],[Column1422]]</f>
        <v>98.46</v>
      </c>
      <c r="BBS30">
        <f>SOFR3mo_PX[[#This Row],[Column1423]]</f>
        <v>98.444999999999993</v>
      </c>
      <c r="BBT30">
        <f>SOFR3mo_PX[[#This Row],[Column1424]]</f>
        <v>98.44</v>
      </c>
      <c r="BBU30">
        <f>SOFR3mo_PX[[#This Row],[Column1425]]</f>
        <v>98.484999999999999</v>
      </c>
      <c r="BBV30">
        <f>SOFR3mo_PX[[#This Row],[Column1426]]</f>
        <v>98.495000000000005</v>
      </c>
      <c r="BBW30">
        <f>SOFR3mo_PX[[#This Row],[Column1427]]</f>
        <v>98.5</v>
      </c>
      <c r="BBX30">
        <f>SOFR3mo_PX[[#This Row],[Column1428]]</f>
        <v>98.41</v>
      </c>
      <c r="BBY30">
        <f>SOFR3mo_PX[[#This Row],[Column1429]]</f>
        <v>98.4</v>
      </c>
      <c r="BBZ30">
        <f>SOFR3mo_PX[[#This Row],[Column1430]]</f>
        <v>98.4</v>
      </c>
      <c r="BCA30">
        <f>SOFR3mo_PX[[#This Row],[Column1431]]</f>
        <v>98.405000000000001</v>
      </c>
      <c r="BCB30">
        <f>SOFR3mo_PX[[#This Row],[Column1432]]</f>
        <v>98.405000000000001</v>
      </c>
      <c r="BCC30">
        <f>SOFR3mo_PX[[#This Row],[Column1433]]</f>
        <v>98.364999999999995</v>
      </c>
      <c r="BCD30">
        <f>SOFR3mo_PX[[#This Row],[Column1434]]</f>
        <v>98.364999999999995</v>
      </c>
      <c r="BCE30">
        <f>SOFR3mo_PX[[#This Row],[Column1435]]</f>
        <v>98.364999999999995</v>
      </c>
      <c r="BCF30">
        <f>SOFR3mo_PX[[#This Row],[Column1436]]</f>
        <v>98.344999999999999</v>
      </c>
      <c r="BCG30">
        <f>SOFR3mo_PX[[#This Row],[Column1437]]</f>
        <v>98.385000000000005</v>
      </c>
      <c r="BCH30">
        <f>SOFR3mo_PX[[#This Row],[Column1438]]</f>
        <v>98.4</v>
      </c>
      <c r="BCI30">
        <f>SOFR3mo_PX[[#This Row],[Column1439]]</f>
        <v>98.38</v>
      </c>
      <c r="BCJ30">
        <f>SOFR3mo_PX[[#This Row],[Column1440]]</f>
        <v>98.41</v>
      </c>
      <c r="BCK30">
        <f>SOFR3mo_PX[[#This Row],[Column1441]]</f>
        <v>98.42</v>
      </c>
      <c r="BCL30">
        <f>SOFR3mo_PX[[#This Row],[Column1442]]</f>
        <v>98.495000000000005</v>
      </c>
      <c r="BCM30">
        <f>SOFR3mo_PX[[#This Row],[Column1443]]</f>
        <v>98.415000000000006</v>
      </c>
      <c r="BCN30">
        <f>SOFR3mo_PX[[#This Row],[Column1444]]</f>
        <v>98.5</v>
      </c>
      <c r="BCO30">
        <f>SOFR3mo_PX[[#This Row],[Column1445]]</f>
        <v>98.46</v>
      </c>
      <c r="BCP30">
        <f>SOFR3mo_PX[[#This Row],[Column1446]]</f>
        <v>98.474999999999994</v>
      </c>
      <c r="BCQ30">
        <f>SOFR3mo_PX[[#This Row],[Column1447]]</f>
        <v>98.484999999999999</v>
      </c>
      <c r="BCR30">
        <f>SOFR3mo_PX[[#This Row],[Column1448]]</f>
        <v>98.545000000000002</v>
      </c>
      <c r="BCS30">
        <f>SOFR3mo_PX[[#This Row],[Column1449]]</f>
        <v>98.56</v>
      </c>
      <c r="BCT30">
        <f>SOFR3mo_PX[[#This Row],[Column1450]]</f>
        <v>98.635000000000005</v>
      </c>
      <c r="BCU30">
        <f>SOFR3mo_PX[[#This Row],[Column1451]]</f>
        <v>98.515000000000001</v>
      </c>
      <c r="BCV30">
        <f>SOFR3mo_PX[[#This Row],[Column1452]]</f>
        <v>98.55</v>
      </c>
      <c r="BCW30">
        <f>SOFR3mo_PX[[#This Row],[Column1453]]</f>
        <v>98.54</v>
      </c>
      <c r="BCX30">
        <f>SOFR3mo_PX[[#This Row],[Column1454]]</f>
        <v>98.54</v>
      </c>
      <c r="BCY30">
        <f>SOFR3mo_PX[[#This Row],[Column1455]]</f>
        <v>98.58</v>
      </c>
      <c r="BCZ30">
        <f>SOFR3mo_PX[[#This Row],[Column1456]]</f>
        <v>98.57</v>
      </c>
      <c r="BDA30">
        <f>SOFR3mo_PX[[#This Row],[Column1457]]</f>
        <v>98.555000000000007</v>
      </c>
      <c r="BDB30">
        <f>SOFR3mo_PX[[#This Row],[Column1458]]</f>
        <v>98.575000000000003</v>
      </c>
      <c r="BDC30">
        <f>SOFR3mo_PX[[#This Row],[Column1459]]</f>
        <v>98.605000000000004</v>
      </c>
      <c r="BDD30">
        <f>SOFR3mo_PX[[#This Row],[Column1460]]</f>
        <v>98.57</v>
      </c>
      <c r="BDE30">
        <f>SOFR3mo_PX[[#This Row],[Column1461]]</f>
        <v>98.545000000000002</v>
      </c>
      <c r="BDF30">
        <f>SOFR3mo_PX[[#This Row],[Column1462]]</f>
        <v>98.52</v>
      </c>
      <c r="BDG30">
        <f>SOFR3mo_PX[[#This Row],[Column1463]]</f>
        <v>98.53</v>
      </c>
      <c r="BDH30">
        <f>SOFR3mo_PX[[#This Row],[Column1464]]</f>
        <v>98.48</v>
      </c>
      <c r="BDI30">
        <f>SOFR3mo_PX[[#This Row],[Column1465]]</f>
        <v>98.43</v>
      </c>
      <c r="BDJ30">
        <f>SOFR3mo_PX[[#This Row],[Column1466]]</f>
        <v>98.4</v>
      </c>
      <c r="BDK30">
        <f>SOFR3mo_PX[[#This Row],[Column1467]]</f>
        <v>98.41</v>
      </c>
      <c r="BDL30">
        <f>SOFR3mo_PX[[#This Row],[Column1468]]</f>
        <v>98.394999999999996</v>
      </c>
      <c r="BDM30">
        <f>SOFR3mo_PX[[#This Row],[Column1469]]</f>
        <v>98.504999999999995</v>
      </c>
      <c r="BDN30">
        <f>SOFR3mo_PX[[#This Row],[Column1470]]</f>
        <v>98.48</v>
      </c>
      <c r="BDO30">
        <f>SOFR3mo_PX[[#This Row],[Column1471]]</f>
        <v>98.54</v>
      </c>
      <c r="BDP30">
        <f>SOFR3mo_PX[[#This Row],[Column1472]]</f>
        <v>98.59</v>
      </c>
      <c r="BDQ30">
        <f>SOFR3mo_PX[[#This Row],[Column1473]]</f>
        <v>98.66</v>
      </c>
      <c r="BDR30">
        <f>SOFR3mo_PX[[#This Row],[Column1474]]</f>
        <v>98.534999999999997</v>
      </c>
      <c r="BDS30">
        <f>SOFR3mo_PX[[#This Row],[Column1475]]</f>
        <v>98.515000000000001</v>
      </c>
      <c r="BDT30">
        <f>SOFR3mo_PX[[#This Row],[Column1476]]</f>
        <v>98.52</v>
      </c>
      <c r="BDU30">
        <f>SOFR3mo_PX[[#This Row],[Column1477]]</f>
        <v>98.55</v>
      </c>
      <c r="BDV30">
        <f>SOFR3mo_PX[[#This Row],[Column1478]]</f>
        <v>98.594999999999999</v>
      </c>
      <c r="BDW30">
        <f>SOFR3mo_PX[[#This Row],[Column1479]]</f>
        <v>98.605000000000004</v>
      </c>
      <c r="BDX30">
        <f>SOFR3mo_PX[[#This Row],[Column1480]]</f>
        <v>98.584999999999994</v>
      </c>
      <c r="BDY30">
        <f>SOFR3mo_PX[[#This Row],[Column1481]]</f>
        <v>98.56</v>
      </c>
      <c r="BDZ30">
        <f>SOFR3mo_PX[[#This Row],[Column1482]]</f>
        <v>98.6</v>
      </c>
      <c r="BEA30">
        <f>SOFR3mo_PX[[#This Row],[Column1483]]</f>
        <v>98.575000000000003</v>
      </c>
      <c r="BEB30">
        <f>SOFR3mo_PX[[#This Row],[Column1484]]</f>
        <v>98.6</v>
      </c>
      <c r="BEC30">
        <f>SOFR3mo_PX[[#This Row],[Column1485]]</f>
        <v>98.56</v>
      </c>
      <c r="BED30">
        <f>SOFR3mo_PX[[#This Row],[Column1486]]</f>
        <v>98.614999999999995</v>
      </c>
      <c r="BEE30">
        <f>SOFR3mo_PX[[#This Row],[Column1487]]</f>
        <v>98.594999999999999</v>
      </c>
      <c r="BEF30">
        <f>SOFR3mo_PX[[#This Row],[Column1488]]</f>
        <v>98.724999999999994</v>
      </c>
      <c r="BEG30">
        <f>SOFR3mo_PX[[#This Row],[Column1489]]</f>
        <v>98.79</v>
      </c>
      <c r="BEH30">
        <f>SOFR3mo_PX[[#This Row],[Column1490]]</f>
        <v>98.844999999999999</v>
      </c>
      <c r="BEI30">
        <f>SOFR3mo_PX[[#This Row],[Column1491]]</f>
        <v>98.834999999999994</v>
      </c>
      <c r="BEJ30">
        <f>SOFR3mo_PX[[#This Row],[Column1492]]</f>
        <v>98.905000000000001</v>
      </c>
      <c r="BEK30">
        <f>SOFR3mo_PX[[#This Row],[Column1493]]</f>
        <v>98.915000000000006</v>
      </c>
      <c r="BEL30">
        <f>SOFR3mo_PX[[#This Row],[Column1494]]</f>
        <v>98.814999999999998</v>
      </c>
      <c r="BEM30">
        <f>SOFR3mo_PX[[#This Row],[Column1495]]</f>
        <v>98.74</v>
      </c>
      <c r="BEN30">
        <f>SOFR3mo_PX[[#This Row],[Column1496]]</f>
        <v>98.67</v>
      </c>
      <c r="BEO30">
        <f>SOFR3mo_PX[[#This Row],[Column1497]]</f>
        <v>98.68</v>
      </c>
      <c r="BEP30" t="str">
        <f>SOFR3mo_PX[[#This Row],[Column1498]]</f>
        <v>#N/A N/A</v>
      </c>
      <c r="BEQ30" t="str">
        <f>SOFR3mo_PX[[#This Row],[Column1499]]</f>
        <v>#N/A N/A</v>
      </c>
      <c r="BER30" t="str">
        <f>SOFR3mo_PX[[#This Row],[Column1500]]</f>
        <v>#N/A N/A</v>
      </c>
      <c r="BES30" t="str">
        <f>SOFR3mo_PX[[#This Row],[Column1501]]</f>
        <v>#N/A N/A</v>
      </c>
      <c r="BET30" t="str">
        <f>SOFR3mo_PX[[#This Row],[Column1502]]</f>
        <v>#N/A N/A</v>
      </c>
      <c r="BEU30" t="str">
        <f>SOFR3mo_PX[[#This Row],[Column1503]]</f>
        <v>#N/A N/A</v>
      </c>
      <c r="BEV30" t="str">
        <f>SOFR3mo_PX[[#This Row],[Column1504]]</f>
        <v>#N/A N/A</v>
      </c>
      <c r="BEW30" t="str">
        <f>SOFR3mo_PX[[#This Row],[Column1505]]</f>
        <v>#N/A N/A</v>
      </c>
      <c r="BEX30" t="str">
        <f>SOFR3mo_PX[[#This Row],[Column1506]]</f>
        <v>#N/A N/A</v>
      </c>
      <c r="BEY30" t="str">
        <f>SOFR3mo_PX[[#This Row],[Column1507]]</f>
        <v>#N/A N/A</v>
      </c>
      <c r="BEZ30" t="str">
        <f>SOFR3mo_PX[[#This Row],[Column1508]]</f>
        <v>#N/A N/A</v>
      </c>
      <c r="BFA30" t="str">
        <f>SOFR3mo_PX[[#This Row],[Column1509]]</f>
        <v>#N/A N/A</v>
      </c>
      <c r="BFB30" t="str">
        <f>SOFR3mo_PX[[#This Row],[Column1510]]</f>
        <v>#N/A N/A</v>
      </c>
      <c r="BFC30" t="str">
        <f>SOFR3mo_PX[[#This Row],[Column1511]]</f>
        <v>#N/A N/A</v>
      </c>
      <c r="BFD30" t="str">
        <f>SOFR3mo_PX[[#This Row],[Column1512]]</f>
        <v>#N/A N/A</v>
      </c>
      <c r="BFE30" t="str">
        <f>SOFR3mo_PX[[#This Row],[Column1513]]</f>
        <v>#N/A N/A</v>
      </c>
      <c r="BFF30" t="str">
        <f>SOFR3mo_PX[[#This Row],[Column1514]]</f>
        <v>#N/A N/A</v>
      </c>
      <c r="BFG30" t="str">
        <f>SOFR3mo_PX[[#This Row],[Column1515]]</f>
        <v>#N/A N/A</v>
      </c>
      <c r="BFH30" t="str">
        <f>SOFR3mo_PX[[#This Row],[Column1516]]</f>
        <v>#N/A N/A</v>
      </c>
      <c r="BFI30" t="str">
        <f>SOFR3mo_PX[[#This Row],[Column1517]]</f>
        <v>#N/A N/A</v>
      </c>
      <c r="BFJ30" t="str">
        <f>SOFR3mo_PX[[#This Row],[Column1518]]</f>
        <v>#N/A N/A</v>
      </c>
      <c r="BFK30" t="str">
        <f>SOFR3mo_PX[[#This Row],[Column1519]]</f>
        <v>#N/A N/A</v>
      </c>
      <c r="BFL30" t="str">
        <f>SOFR3mo_PX[[#This Row],[Column1520]]</f>
        <v>#N/A N/A</v>
      </c>
      <c r="BFM30" t="str">
        <f>SOFR3mo_PX[[#This Row],[Column1521]]</f>
        <v>#N/A N/A</v>
      </c>
      <c r="BFN30" t="str">
        <f>SOFR3mo_PX[[#This Row],[Column1522]]</f>
        <v>#N/A N/A</v>
      </c>
      <c r="BFO30" t="str">
        <f>SOFR3mo_PX[[#This Row],[Column1523]]</f>
        <v>#N/A N/A</v>
      </c>
      <c r="BFP30" t="str">
        <f>SOFR3mo_PX[[#This Row],[Column1524]]</f>
        <v>#N/A N/A</v>
      </c>
      <c r="BFQ30" t="str">
        <f>SOFR3mo_PX[[#This Row],[Column1525]]</f>
        <v>#N/A N/A</v>
      </c>
      <c r="BFR30" t="str">
        <f>SOFR3mo_PX[[#This Row],[Column1526]]</f>
        <v>#N/A N/A</v>
      </c>
      <c r="BFS30" t="str">
        <f>SOFR3mo_PX[[#This Row],[Column1527]]</f>
        <v>#N/A N/A</v>
      </c>
      <c r="BFT30" t="str">
        <f>SOFR3mo_PX[[#This Row],[Column1528]]</f>
        <v>#N/A N/A</v>
      </c>
      <c r="BFU30" t="str">
        <f>SOFR3mo_PX[[#This Row],[Column1529]]</f>
        <v>#N/A N/A</v>
      </c>
      <c r="BFV30" t="str">
        <f>SOFR3mo_PX[[#This Row],[Column1530]]</f>
        <v>#N/A N/A</v>
      </c>
      <c r="BFW30" t="str">
        <f>SOFR3mo_PX[[#This Row],[Column1531]]</f>
        <v>#N/A N/A</v>
      </c>
      <c r="BFX30" t="str">
        <f>SOFR3mo_PX[[#This Row],[Column1532]]</f>
        <v>#N/A N/A</v>
      </c>
      <c r="BFY30" t="str">
        <f>SOFR3mo_PX[[#This Row],[Column1533]]</f>
        <v>#N/A N/A</v>
      </c>
      <c r="BFZ30" t="str">
        <f>SOFR3mo_PX[[#This Row],[Column1534]]</f>
        <v>#N/A N/A</v>
      </c>
      <c r="BGA30" t="str">
        <f>SOFR3mo_PX[[#This Row],[Column1535]]</f>
        <v>#N/A N/A</v>
      </c>
      <c r="BGB30" t="str">
        <f>SOFR3mo_PX[[#This Row],[Column1536]]</f>
        <v>#N/A N/A</v>
      </c>
      <c r="BGC30" t="str">
        <f>SOFR3mo_PX[[#This Row],[Column1537]]</f>
        <v>#N/A N/A</v>
      </c>
      <c r="BGD30" t="str">
        <f>SOFR3mo_PX[[#This Row],[Column1538]]</f>
        <v>#N/A N/A</v>
      </c>
      <c r="BGE30" t="str">
        <f>SOFR3mo_PX[[#This Row],[Column1539]]</f>
        <v>#N/A N/A</v>
      </c>
      <c r="BGF30" t="str">
        <f>SOFR3mo_PX[[#This Row],[Column1540]]</f>
        <v>#N/A N/A</v>
      </c>
      <c r="BGG30" t="str">
        <f>SOFR3mo_PX[[#This Row],[Column1541]]</f>
        <v>#N/A N/A</v>
      </c>
      <c r="BGH30" t="str">
        <f>SOFR3mo_PX[[#This Row],[Column1542]]</f>
        <v>#N/A N/A</v>
      </c>
      <c r="BGI30" t="str">
        <f>SOFR3mo_PX[[#This Row],[Column1543]]</f>
        <v>#N/A N/A</v>
      </c>
      <c r="BGJ30" t="str">
        <f>SOFR3mo_PX[[#This Row],[Column1544]]</f>
        <v>#N/A N/A</v>
      </c>
      <c r="BGK30" t="str">
        <f>SOFR3mo_PX[[#This Row],[Column1545]]</f>
        <v>#N/A N/A</v>
      </c>
      <c r="BGL30" t="str">
        <f>SOFR3mo_PX[[#This Row],[Column1546]]</f>
        <v>#N/A N/A</v>
      </c>
      <c r="BGM30" t="str">
        <f>SOFR3mo_PX[[#This Row],[Column1547]]</f>
        <v>#N/A N/A</v>
      </c>
      <c r="BGN30" t="str">
        <f>SOFR3mo_PX[[#This Row],[Column1548]]</f>
        <v>#N/A N/A</v>
      </c>
      <c r="BGO30" t="str">
        <f>SOFR3mo_PX[[#This Row],[Column1549]]</f>
        <v>#N/A N/A</v>
      </c>
      <c r="BGP30" t="str">
        <f>SOFR3mo_PX[[#This Row],[Column1550]]</f>
        <v>#N/A N/A</v>
      </c>
      <c r="BGQ30" t="str">
        <f>SOFR3mo_PX[[#This Row],[Column1551]]</f>
        <v>#N/A N/A</v>
      </c>
      <c r="BGR30" t="str">
        <f>SOFR3mo_PX[[#This Row],[Column1552]]</f>
        <v>#N/A N/A</v>
      </c>
      <c r="BGS30" t="str">
        <f>SOFR3mo_PX[[#This Row],[Column1553]]</f>
        <v>#N/A N/A</v>
      </c>
      <c r="BGT30" t="str">
        <f>SOFR3mo_PX[[#This Row],[Column1554]]</f>
        <v>#N/A N/A</v>
      </c>
      <c r="BGU30" t="str">
        <f>SOFR3mo_PX[[#This Row],[Column1555]]</f>
        <v>#N/A N/A</v>
      </c>
      <c r="BGV30" t="str">
        <f>SOFR3mo_PX[[#This Row],[Column1556]]</f>
        <v>#N/A N/A</v>
      </c>
      <c r="BGW30" t="str">
        <f>SOFR3mo_PX[[#This Row],[Column1557]]</f>
        <v>#N/A N/A</v>
      </c>
      <c r="BGX30" t="str">
        <f>SOFR3mo_PX[[#This Row],[Column1558]]</f>
        <v>#N/A N/A</v>
      </c>
      <c r="BGY30" t="str">
        <f>SOFR3mo_PX[[#This Row],[Column1559]]</f>
        <v>#N/A N/A</v>
      </c>
      <c r="BGZ30" t="str">
        <f>SOFR3mo_PX[[#This Row],[Column1560]]</f>
        <v>#N/A N/A</v>
      </c>
      <c r="BHA30" t="str">
        <f>SOFR3mo_PX[[#This Row],[Column1561]]</f>
        <v>#N/A N/A</v>
      </c>
      <c r="BHB30" t="str">
        <f>SOFR3mo_PX[[#This Row],[Column1562]]</f>
        <v>#N/A N/A</v>
      </c>
      <c r="BHC30" t="str">
        <f>SOFR3mo_PX[[#This Row],[Column1563]]</f>
        <v>#N/A N/A</v>
      </c>
      <c r="BHD30" t="str">
        <f>SOFR3mo_PX[[#This Row],[Column1564]]</f>
        <v>#N/A N/A</v>
      </c>
      <c r="BHE30" t="str">
        <f>SOFR3mo_PX[[#This Row],[Column1565]]</f>
        <v>#N/A N/A</v>
      </c>
      <c r="BHF30" t="str">
        <f>SOFR3mo_PX[[#This Row],[Column1566]]</f>
        <v>#N/A N/A</v>
      </c>
      <c r="BHG30" t="str">
        <f>SOFR3mo_PX[[#This Row],[Column1567]]</f>
        <v>#N/A N/A</v>
      </c>
      <c r="BHH30" t="str">
        <f>SOFR3mo_PX[[#This Row],[Column1568]]</f>
        <v>#N/A N/A</v>
      </c>
      <c r="BHI30" t="str">
        <f>SOFR3mo_PX[[#This Row],[Column1569]]</f>
        <v>#N/A N/A</v>
      </c>
      <c r="BHJ30" t="str">
        <f>SOFR3mo_PX[[#This Row],[Column1570]]</f>
        <v>#N/A N/A</v>
      </c>
      <c r="BHK30" t="str">
        <f>SOFR3mo_PX[[#This Row],[Column1571]]</f>
        <v>#N/A N/A</v>
      </c>
      <c r="BHL30" t="str">
        <f>SOFR3mo_PX[[#This Row],[Column1572]]</f>
        <v>#N/A N/A</v>
      </c>
      <c r="BHM30" t="str">
        <f>SOFR3mo_PX[[#This Row],[Column1573]]</f>
        <v>#N/A N/A</v>
      </c>
      <c r="BHN30" t="str">
        <f>SOFR3mo_PX[[#This Row],[Column1574]]</f>
        <v>#N/A N/A</v>
      </c>
      <c r="BHO30" t="str">
        <f>SOFR3mo_PX[[#This Row],[Column1575]]</f>
        <v>#N/A N/A</v>
      </c>
      <c r="BHP30" t="str">
        <f>SOFR3mo_PX[[#This Row],[Column1576]]</f>
        <v>#N/A N/A</v>
      </c>
      <c r="BHQ30" t="str">
        <f>SOFR3mo_PX[[#This Row],[Column1577]]</f>
        <v>#N/A N/A</v>
      </c>
      <c r="BHR30" t="str">
        <f>SOFR3mo_PX[[#This Row],[Column1578]]</f>
        <v>#N/A N/A</v>
      </c>
      <c r="BHS30" t="str">
        <f>SOFR3mo_PX[[#This Row],[Column1579]]</f>
        <v>#N/A N/A</v>
      </c>
      <c r="BHT30" t="str">
        <f>SOFR3mo_PX[[#This Row],[Column1580]]</f>
        <v>#N/A N/A</v>
      </c>
      <c r="BHU30" t="str">
        <f>SOFR3mo_PX[[#This Row],[Column1581]]</f>
        <v>#N/A N/A</v>
      </c>
      <c r="BHV30" t="str">
        <f>SOFR3mo_PX[[#This Row],[Column1582]]</f>
        <v>#N/A N/A</v>
      </c>
      <c r="BHW30" t="str">
        <f>SOFR3mo_PX[[#This Row],[Column1583]]</f>
        <v>#N/A N/A</v>
      </c>
      <c r="BHX30" t="str">
        <f>SOFR3mo_PX[[#This Row],[Column1584]]</f>
        <v>#N/A N/A</v>
      </c>
      <c r="BHY30" t="str">
        <f>SOFR3mo_PX[[#This Row],[Column1585]]</f>
        <v>#N/A N/A</v>
      </c>
      <c r="BHZ30" t="str">
        <f>SOFR3mo_PX[[#This Row],[Column1586]]</f>
        <v>#N/A N/A</v>
      </c>
      <c r="BIA30" t="str">
        <f>SOFR3mo_PX[[#This Row],[Column1587]]</f>
        <v>#N/A N/A</v>
      </c>
      <c r="BIB30" t="str">
        <f>SOFR3mo_PX[[#This Row],[Column1588]]</f>
        <v>#N/A N/A</v>
      </c>
      <c r="BIC30" t="str">
        <f>SOFR3mo_PX[[#This Row],[Column1589]]</f>
        <v>#N/A N/A</v>
      </c>
      <c r="BID30" t="str">
        <f>SOFR3mo_PX[[#This Row],[Column1590]]</f>
        <v>#N/A N/A</v>
      </c>
      <c r="BIE30" t="str">
        <f>SOFR3mo_PX[[#This Row],[Column1591]]</f>
        <v>#N/A N/A</v>
      </c>
      <c r="BIF30" t="str">
        <f>SOFR3mo_PX[[#This Row],[Column1592]]</f>
        <v>#N/A N/A</v>
      </c>
      <c r="BIG30" t="str">
        <f>SOFR3mo_PX[[#This Row],[Column1593]]</f>
        <v>#N/A N/A</v>
      </c>
      <c r="BIH30" t="str">
        <f>SOFR3mo_PX[[#This Row],[Column1594]]</f>
        <v>#N/A N/A</v>
      </c>
      <c r="BII30" t="str">
        <f>SOFR3mo_PX[[#This Row],[Column1595]]</f>
        <v>#N/A N/A</v>
      </c>
      <c r="BIJ30" t="str">
        <f>SOFR3mo_PX[[#This Row],[Column1596]]</f>
        <v>#N/A N/A</v>
      </c>
      <c r="BIK30" t="str">
        <f>SOFR3mo_PX[[#This Row],[Column1597]]</f>
        <v>#N/A N/A</v>
      </c>
      <c r="BIL30" t="str">
        <f>SOFR3mo_PX[[#This Row],[Column1598]]</f>
        <v>#N/A N/A</v>
      </c>
      <c r="BIM30" t="str">
        <f>SOFR3mo_PX[[#This Row],[Column1599]]</f>
        <v>#N/A N/A</v>
      </c>
      <c r="BIN30" t="str">
        <f>SOFR3mo_PX[[#This Row],[Column1600]]</f>
        <v>#N/A N/A</v>
      </c>
      <c r="BIO30" t="str">
        <f>SOFR3mo_PX[[#This Row],[Column1601]]</f>
        <v>#N/A N/A</v>
      </c>
      <c r="BIP30" t="str">
        <f>SOFR3mo_PX[[#This Row],[Column1602]]</f>
        <v>#N/A N/A</v>
      </c>
      <c r="BIQ30" t="str">
        <f>SOFR3mo_PX[[#This Row],[Column1603]]</f>
        <v>#N/A N/A</v>
      </c>
      <c r="BIR30" t="str">
        <f>SOFR3mo_PX[[#This Row],[Column1604]]</f>
        <v>#N/A N/A</v>
      </c>
      <c r="BIS30" t="str">
        <f>SOFR3mo_PX[[#This Row],[Column1605]]</f>
        <v>#N/A N/A</v>
      </c>
      <c r="BIT30" t="str">
        <f>SOFR3mo_PX[[#This Row],[Column1606]]</f>
        <v>#N/A N/A</v>
      </c>
      <c r="BIU30" t="str">
        <f>SOFR3mo_PX[[#This Row],[Column1607]]</f>
        <v>#N/A N/A</v>
      </c>
      <c r="BIV30" t="str">
        <f>SOFR3mo_PX[[#This Row],[Column1608]]</f>
        <v>#N/A N/A</v>
      </c>
      <c r="BIW30" t="str">
        <f>SOFR3mo_PX[[#This Row],[Column1609]]</f>
        <v>#N/A N/A</v>
      </c>
      <c r="BIX30" t="str">
        <f>SOFR3mo_PX[[#This Row],[Column1610]]</f>
        <v>#N/A N/A</v>
      </c>
      <c r="BIY30" t="str">
        <f>SOFR3mo_PX[[#This Row],[Column1611]]</f>
        <v>#N/A N/A</v>
      </c>
      <c r="BIZ30" t="str">
        <f>SOFR3mo_PX[[#This Row],[Column1612]]</f>
        <v>#N/A N/A</v>
      </c>
      <c r="BJA30" t="str">
        <f>SOFR3mo_PX[[#This Row],[Column1613]]</f>
        <v>#N/A N/A</v>
      </c>
      <c r="BJB30" t="str">
        <f>SOFR3mo_PX[[#This Row],[Column1614]]</f>
        <v>#N/A N/A</v>
      </c>
      <c r="BJC30" t="str">
        <f>SOFR3mo_PX[[#This Row],[Column1615]]</f>
        <v>#N/A N/A</v>
      </c>
      <c r="BJD30" t="str">
        <f>SOFR3mo_PX[[#This Row],[Column1616]]</f>
        <v>#N/A N/A</v>
      </c>
      <c r="BJE30" t="str">
        <f>SOFR3mo_PX[[#This Row],[Column1617]]</f>
        <v>#N/A N/A</v>
      </c>
      <c r="BJF30" t="str">
        <f>SOFR3mo_PX[[#This Row],[Column1618]]</f>
        <v>#N/A N/A</v>
      </c>
      <c r="BJG30" t="str">
        <f>SOFR3mo_PX[[#This Row],[Column1619]]</f>
        <v>#N/A N/A</v>
      </c>
      <c r="BJH30" t="str">
        <f>SOFR3mo_PX[[#This Row],[Column1620]]</f>
        <v>#N/A N/A</v>
      </c>
      <c r="BJI30" t="str">
        <f>SOFR3mo_PX[[#This Row],[Column1621]]</f>
        <v>#N/A N/A</v>
      </c>
      <c r="BJJ30" t="str">
        <f>SOFR3mo_PX[[#This Row],[Column1622]]</f>
        <v>#N/A N/A</v>
      </c>
      <c r="BJK30" t="str">
        <f>SOFR3mo_PX[[#This Row],[Column1623]]</f>
        <v>#N/A N/A</v>
      </c>
      <c r="BJL30" t="str">
        <f>SOFR3mo_PX[[#This Row],[Column1624]]</f>
        <v>#N/A N/A</v>
      </c>
      <c r="BJM30" t="str">
        <f>SOFR3mo_PX[[#This Row],[Column1625]]</f>
        <v>#N/A N/A</v>
      </c>
      <c r="BJN30" t="str">
        <f>SOFR3mo_PX[[#This Row],[Column1626]]</f>
        <v>#N/A N/A</v>
      </c>
      <c r="BJO30" t="str">
        <f>SOFR3mo_PX[[#This Row],[Column1627]]</f>
        <v>#N/A N/A</v>
      </c>
      <c r="BJP30" t="str">
        <f>SOFR3mo_PX[[#This Row],[Column1628]]</f>
        <v>#N/A N/A</v>
      </c>
      <c r="BJQ30" t="str">
        <f>SOFR3mo_PX[[#This Row],[Column1629]]</f>
        <v>#N/A N/A</v>
      </c>
      <c r="BJR30" t="str">
        <f>SOFR3mo_PX[[#This Row],[Column1630]]</f>
        <v>#N/A N/A</v>
      </c>
      <c r="BJS30" t="str">
        <f>SOFR3mo_PX[[#This Row],[Column1631]]</f>
        <v>#N/A N/A</v>
      </c>
      <c r="BJT30" t="str">
        <f>SOFR3mo_PX[[#This Row],[Column1632]]</f>
        <v>#N/A N/A</v>
      </c>
      <c r="BJU30" t="str">
        <f>SOFR3mo_PX[[#This Row],[Column1633]]</f>
        <v>#N/A N/A</v>
      </c>
      <c r="BJV30" t="str">
        <f>SOFR3mo_PX[[#This Row],[Column1634]]</f>
        <v>#N/A N/A</v>
      </c>
      <c r="BJW30" t="str">
        <f>SOFR3mo_PX[[#This Row],[Column1635]]</f>
        <v>#N/A N/A</v>
      </c>
      <c r="BJX30" t="str">
        <f>SOFR3mo_PX[[#This Row],[Column1636]]</f>
        <v>#N/A N/A</v>
      </c>
      <c r="BJY30" t="str">
        <f>SOFR3mo_PX[[#This Row],[Column1637]]</f>
        <v>#N/A N/A</v>
      </c>
      <c r="BJZ30" t="str">
        <f>SOFR3mo_PX[[#This Row],[Column1638]]</f>
        <v>#N/A N/A</v>
      </c>
      <c r="BKA30" t="str">
        <f>SOFR3mo_PX[[#This Row],[Column1639]]</f>
        <v>#N/A N/A</v>
      </c>
      <c r="BKB30" t="str">
        <f>SOFR3mo_PX[[#This Row],[Column1640]]</f>
        <v>#N/A N/A</v>
      </c>
      <c r="BKC30" t="str">
        <f>SOFR3mo_PX[[#This Row],[Column1641]]</f>
        <v>#N/A N/A</v>
      </c>
      <c r="BKD30" t="str">
        <f>SOFR3mo_PX[[#This Row],[Column1642]]</f>
        <v>#N/A N/A</v>
      </c>
      <c r="BKE30" t="str">
        <f>SOFR3mo_PX[[#This Row],[Column1643]]</f>
        <v>#N/A N/A</v>
      </c>
      <c r="BKF30" t="str">
        <f>SOFR3mo_PX[[#This Row],[Column1644]]</f>
        <v>#N/A N/A</v>
      </c>
      <c r="BKG30" t="str">
        <f>SOFR3mo_PX[[#This Row],[Column1645]]</f>
        <v>#N/A N/A</v>
      </c>
      <c r="BKH30" t="str">
        <f>SOFR3mo_PX[[#This Row],[Column1646]]</f>
        <v>#N/A N/A</v>
      </c>
      <c r="BKI30" t="str">
        <f>SOFR3mo_PX[[#This Row],[Column1647]]</f>
        <v>#N/A N/A</v>
      </c>
      <c r="BKJ30" t="str">
        <f>SOFR3mo_PX[[#This Row],[Column1648]]</f>
        <v>#N/A N/A</v>
      </c>
      <c r="BKK30" t="str">
        <f>SOFR3mo_PX[[#This Row],[Column1649]]</f>
        <v>#N/A N/A</v>
      </c>
      <c r="BKL30" t="str">
        <f>SOFR3mo_PX[[#This Row],[Column1650]]</f>
        <v>#N/A N/A</v>
      </c>
      <c r="BKM30" t="str">
        <f>SOFR3mo_PX[[#This Row],[Column1651]]</f>
        <v>#N/A N/A</v>
      </c>
      <c r="BKN30" t="str">
        <f>SOFR3mo_PX[[#This Row],[Column1652]]</f>
        <v>#N/A N/A</v>
      </c>
      <c r="BKO30" t="str">
        <f>SOFR3mo_PX[[#This Row],[Column1653]]</f>
        <v>#N/A N/A</v>
      </c>
      <c r="BKP30" t="str">
        <f>SOFR3mo_PX[[#This Row],[Column1654]]</f>
        <v>#N/A N/A</v>
      </c>
      <c r="BKQ30" t="str">
        <f>SOFR3mo_PX[[#This Row],[Column1655]]</f>
        <v>#N/A N/A</v>
      </c>
      <c r="BKR30" t="str">
        <f>SOFR3mo_PX[[#This Row],[Column1656]]</f>
        <v>#N/A N/A</v>
      </c>
      <c r="BKS30" t="str">
        <f>SOFR3mo_PX[[#This Row],[Column1657]]</f>
        <v>#N/A N/A</v>
      </c>
      <c r="BKT30" t="str">
        <f>SOFR3mo_PX[[#This Row],[Column1658]]</f>
        <v>#N/A N/A</v>
      </c>
      <c r="BKU30" t="str">
        <f>SOFR3mo_PX[[#This Row],[Column1659]]</f>
        <v>#N/A N/A</v>
      </c>
      <c r="BKV30" t="str">
        <f>SOFR3mo_PX[[#This Row],[Column1660]]</f>
        <v>#N/A N/A</v>
      </c>
      <c r="BKW30" t="str">
        <f>SOFR3mo_PX[[#This Row],[Column1661]]</f>
        <v>#N/A N/A</v>
      </c>
      <c r="BKX30" t="str">
        <f>SOFR3mo_PX[[#This Row],[Column1662]]</f>
        <v>#N/A N/A</v>
      </c>
      <c r="BKY30" t="str">
        <f>SOFR3mo_PX[[#This Row],[Column1663]]</f>
        <v>#N/A N/A</v>
      </c>
      <c r="BKZ30" t="str">
        <f>SOFR3mo_PX[[#This Row],[Column1664]]</f>
        <v>#N/A N/A</v>
      </c>
      <c r="BLA30" t="str">
        <f>SOFR3mo_PX[[#This Row],[Column1665]]</f>
        <v>#N/A N/A</v>
      </c>
      <c r="BLB30" t="str">
        <f>SOFR3mo_PX[[#This Row],[Column1666]]</f>
        <v>#N/A N/A</v>
      </c>
      <c r="BLC30" t="str">
        <f>SOFR3mo_PX[[#This Row],[Column1667]]</f>
        <v>#N/A N/A</v>
      </c>
      <c r="BLD30" t="str">
        <f>SOFR3mo_PX[[#This Row],[Column1668]]</f>
        <v>#N/A N/A</v>
      </c>
      <c r="BLE30" t="str">
        <f>SOFR3mo_PX[[#This Row],[Column1669]]</f>
        <v>#N/A N/A</v>
      </c>
      <c r="BLF30" t="str">
        <f>SOFR3mo_PX[[#This Row],[Column1670]]</f>
        <v>#N/A N/A</v>
      </c>
      <c r="BLG30" t="str">
        <f>SOFR3mo_PX[[#This Row],[Column1671]]</f>
        <v>#N/A N/A</v>
      </c>
      <c r="BLH30" t="str">
        <f>SOFR3mo_PX[[#This Row],[Column1672]]</f>
        <v>#N/A N/A</v>
      </c>
      <c r="BLI30" t="str">
        <f>SOFR3mo_PX[[#This Row],[Column1673]]</f>
        <v>#N/A N/A</v>
      </c>
      <c r="BLJ30" t="str">
        <f>SOFR3mo_PX[[#This Row],[Column1674]]</f>
        <v>#N/A N/A</v>
      </c>
      <c r="BLK30" t="str">
        <f>SOFR3mo_PX[[#This Row],[Column1675]]</f>
        <v>#N/A N/A</v>
      </c>
      <c r="BLL30" t="str">
        <f>SOFR3mo_PX[[#This Row],[Column1676]]</f>
        <v>#N/A N/A</v>
      </c>
      <c r="BLM30" t="str">
        <f>SOFR3mo_PX[[#This Row],[Column1677]]</f>
        <v>#N/A N/A</v>
      </c>
      <c r="BLN30" t="str">
        <f>SOFR3mo_PX[[#This Row],[Column1678]]</f>
        <v>#N/A N/A</v>
      </c>
      <c r="BLO30" t="str">
        <f>SOFR3mo_PX[[#This Row],[Column1679]]</f>
        <v>#N/A N/A</v>
      </c>
      <c r="BLP30" t="str">
        <f>SOFR3mo_PX[[#This Row],[Column1680]]</f>
        <v>#N/A N/A</v>
      </c>
      <c r="BLQ30" t="str">
        <f>SOFR3mo_PX[[#This Row],[Column1681]]</f>
        <v>#N/A N/A</v>
      </c>
      <c r="BLR30" t="str">
        <f>SOFR3mo_PX[[#This Row],[Column1682]]</f>
        <v>#N/A N/A</v>
      </c>
      <c r="BLS30" t="str">
        <f>SOFR3mo_PX[[#This Row],[Column1683]]</f>
        <v>#N/A N/A</v>
      </c>
      <c r="BLT30" t="str">
        <f>SOFR3mo_PX[[#This Row],[Column1684]]</f>
        <v>#N/A N/A</v>
      </c>
      <c r="BLU30" t="str">
        <f>SOFR3mo_PX[[#This Row],[Column1685]]</f>
        <v>#N/A N/A</v>
      </c>
      <c r="BLV30" t="str">
        <f>SOFR3mo_PX[[#This Row],[Column1686]]</f>
        <v>#N/A N/A</v>
      </c>
      <c r="BLW30" t="str">
        <f>SOFR3mo_PX[[#This Row],[Column1687]]</f>
        <v>#N/A N/A</v>
      </c>
      <c r="BLX30" t="str">
        <f>SOFR3mo_PX[[#This Row],[Column1688]]</f>
        <v>#N/A N/A</v>
      </c>
      <c r="BLY30" t="str">
        <f>SOFR3mo_PX[[#This Row],[Column1689]]</f>
        <v>#N/A N/A</v>
      </c>
      <c r="BLZ30" t="str">
        <f>SOFR3mo_PX[[#This Row],[Column1690]]</f>
        <v>#N/A N/A</v>
      </c>
      <c r="BMA30" t="str">
        <f>SOFR3mo_PX[[#This Row],[Column1691]]</f>
        <v>#N/A N/A</v>
      </c>
      <c r="BMB30" t="str">
        <f>SOFR3mo_PX[[#This Row],[Column1692]]</f>
        <v>#N/A N/A</v>
      </c>
      <c r="BMC30" t="str">
        <f>SOFR3mo_PX[[#This Row],[Column1693]]</f>
        <v>#N/A N/A</v>
      </c>
      <c r="BMD30" t="str">
        <f>SOFR3mo_PX[[#This Row],[Column1694]]</f>
        <v>#N/A N/A</v>
      </c>
      <c r="BME30" t="str">
        <f>SOFR3mo_PX[[#This Row],[Column1695]]</f>
        <v>#N/A N/A</v>
      </c>
      <c r="BMF30" t="str">
        <f>SOFR3mo_PX[[#This Row],[Column1696]]</f>
        <v>#N/A N/A</v>
      </c>
      <c r="BMG30" t="str">
        <f>SOFR3mo_PX[[#This Row],[Column1697]]</f>
        <v>#N/A N/A</v>
      </c>
      <c r="BMH30" t="str">
        <f>SOFR3mo_PX[[#This Row],[Column1698]]</f>
        <v>#N/A N/A</v>
      </c>
      <c r="BMI30" t="str">
        <f>SOFR3mo_PX[[#This Row],[Column1699]]</f>
        <v>#N/A N/A</v>
      </c>
      <c r="BMJ30" t="str">
        <f>SOFR3mo_PX[[#This Row],[Column1700]]</f>
        <v>#N/A N/A</v>
      </c>
      <c r="BMK30" t="str">
        <f>SOFR3mo_PX[[#This Row],[Column1701]]</f>
        <v>#N/A N/A</v>
      </c>
      <c r="BML30" t="str">
        <f>SOFR3mo_PX[[#This Row],[Column1702]]</f>
        <v>#N/A N/A</v>
      </c>
      <c r="BMM30" t="str">
        <f>SOFR3mo_PX[[#This Row],[Column1703]]</f>
        <v>#N/A N/A</v>
      </c>
      <c r="BMN30" t="str">
        <f>SOFR3mo_PX[[#This Row],[Column1704]]</f>
        <v>#N/A N/A</v>
      </c>
      <c r="BMO30" t="str">
        <f>SOFR3mo_PX[[#This Row],[Column1705]]</f>
        <v>#N/A N/A</v>
      </c>
      <c r="BMP30" t="str">
        <f>SOFR3mo_PX[[#This Row],[Column1706]]</f>
        <v>#N/A N/A</v>
      </c>
      <c r="BMQ30" t="str">
        <f>SOFR3mo_PX[[#This Row],[Column1707]]</f>
        <v>#N/A N/A</v>
      </c>
      <c r="BMR30" t="str">
        <f>SOFR3mo_PX[[#This Row],[Column1708]]</f>
        <v>#N/A N/A</v>
      </c>
      <c r="BMS30" t="str">
        <f>SOFR3mo_PX[[#This Row],[Column1709]]</f>
        <v>#N/A N/A</v>
      </c>
      <c r="BMT30" t="str">
        <f>SOFR3mo_PX[[#This Row],[Column1710]]</f>
        <v>#N/A N/A</v>
      </c>
      <c r="BMU30" t="str">
        <f>SOFR3mo_PX[[#This Row],[Column1711]]</f>
        <v>#N/A N/A</v>
      </c>
      <c r="BMV30" t="str">
        <f>SOFR3mo_PX[[#This Row],[Column1712]]</f>
        <v>#N/A N/A</v>
      </c>
      <c r="BMW30" t="str">
        <f>SOFR3mo_PX[[#This Row],[Column1713]]</f>
        <v>#N/A N/A</v>
      </c>
      <c r="BMX30" t="str">
        <f>SOFR3mo_PX[[#This Row],[Column1714]]</f>
        <v>#N/A N/A</v>
      </c>
      <c r="BMY30" t="str">
        <f>SOFR3mo_PX[[#This Row],[Column1715]]</f>
        <v>#N/A N/A</v>
      </c>
      <c r="BMZ30" t="str">
        <f>SOFR3mo_PX[[#This Row],[Column1716]]</f>
        <v>#N/A N/A</v>
      </c>
      <c r="BNA30" t="str">
        <f>SOFR3mo_PX[[#This Row],[Column1717]]</f>
        <v>#N/A N/A</v>
      </c>
      <c r="BNB30" t="str">
        <f>SOFR3mo_PX[[#This Row],[Column1718]]</f>
        <v>#N/A N/A</v>
      </c>
      <c r="BNC30" t="str">
        <f>SOFR3mo_PX[[#This Row],[Column1719]]</f>
        <v>#N/A N/A</v>
      </c>
      <c r="BND30" t="str">
        <f>SOFR3mo_PX[[#This Row],[Column1720]]</f>
        <v>#N/A N/A</v>
      </c>
      <c r="BNE30" t="str">
        <f>SOFR3mo_PX[[#This Row],[Column1721]]</f>
        <v>#N/A N/A</v>
      </c>
      <c r="BNF30" t="str">
        <f>SOFR3mo_PX[[#This Row],[Column1722]]</f>
        <v>#N/A N/A</v>
      </c>
      <c r="BNG30" t="str">
        <f>SOFR3mo_PX[[#This Row],[Column1723]]</f>
        <v>#N/A N/A</v>
      </c>
      <c r="BNH30" t="str">
        <f>SOFR3mo_PX[[#This Row],[Column1724]]</f>
        <v>#N/A N/A</v>
      </c>
      <c r="BNI30" t="str">
        <f>SOFR3mo_PX[[#This Row],[Column1725]]</f>
        <v>#N/A N/A</v>
      </c>
      <c r="BNJ30" t="str">
        <f>SOFR3mo_PX[[#This Row],[Column1726]]</f>
        <v>#N/A N/A</v>
      </c>
      <c r="BNK30" t="str">
        <f>SOFR3mo_PX[[#This Row],[Column1727]]</f>
        <v>#N/A N/A</v>
      </c>
      <c r="BNL30" t="str">
        <f>SOFR3mo_PX[[#This Row],[Column1728]]</f>
        <v>#N/A N/A</v>
      </c>
      <c r="BNM30" t="str">
        <f>SOFR3mo_PX[[#This Row],[Column1729]]</f>
        <v>#N/A N/A</v>
      </c>
      <c r="BNN30" t="str">
        <f>SOFR3mo_PX[[#This Row],[Column1730]]</f>
        <v>#N/A N/A</v>
      </c>
      <c r="BNO30" t="str">
        <f>SOFR3mo_PX[[#This Row],[Column1731]]</f>
        <v>#N/A N/A</v>
      </c>
      <c r="BNP30" t="str">
        <f>SOFR3mo_PX[[#This Row],[Column1732]]</f>
        <v>#N/A N/A</v>
      </c>
      <c r="BNQ30" t="str">
        <f>SOFR3mo_PX[[#This Row],[Column1733]]</f>
        <v>#N/A N/A</v>
      </c>
      <c r="BNR30" t="str">
        <f>SOFR3mo_PX[[#This Row],[Column1734]]</f>
        <v>#N/A N/A</v>
      </c>
      <c r="BNS30" t="str">
        <f>SOFR3mo_PX[[#This Row],[Column1735]]</f>
        <v>#N/A N/A</v>
      </c>
      <c r="BNT30" t="str">
        <f>SOFR3mo_PX[[#This Row],[Column1736]]</f>
        <v>#N/A N/A</v>
      </c>
      <c r="BNU30" t="str">
        <f>SOFR3mo_PX[[#This Row],[Column1737]]</f>
        <v>#N/A N/A</v>
      </c>
      <c r="BNV30" t="str">
        <f>SOFR3mo_PX[[#This Row],[Column1738]]</f>
        <v>#N/A N/A</v>
      </c>
      <c r="BNW30" t="str">
        <f>SOFR3mo_PX[[#This Row],[Column1739]]</f>
        <v>#N/A N/A</v>
      </c>
      <c r="BNX30" t="str">
        <f>SOFR3mo_PX[[#This Row],[Column1740]]</f>
        <v>#N/A N/A</v>
      </c>
      <c r="BNY30" t="str">
        <f>SOFR3mo_PX[[#This Row],[Column1741]]</f>
        <v>#N/A N/A</v>
      </c>
      <c r="BNZ30" t="str">
        <f>SOFR3mo_PX[[#This Row],[Column1742]]</f>
        <v>#N/A N/A</v>
      </c>
      <c r="BOA30" t="str">
        <f>SOFR3mo_PX[[#This Row],[Column1743]]</f>
        <v>#N/A N/A</v>
      </c>
      <c r="BOB30" t="str">
        <f>SOFR3mo_PX[[#This Row],[Column1744]]</f>
        <v>#N/A N/A</v>
      </c>
      <c r="BOC30" t="str">
        <f>SOFR3mo_PX[[#This Row],[Column1745]]</f>
        <v>#N/A N/A</v>
      </c>
      <c r="BOD30" t="str">
        <f>SOFR3mo_PX[[#This Row],[Column1746]]</f>
        <v>#N/A N/A</v>
      </c>
      <c r="BOE30" t="str">
        <f>SOFR3mo_PX[[#This Row],[Column1747]]</f>
        <v>#N/A N/A</v>
      </c>
      <c r="BOF30" t="str">
        <f>SOFR3mo_PX[[#This Row],[Column1748]]</f>
        <v>#N/A N/A</v>
      </c>
      <c r="BOG30" t="str">
        <f>SOFR3mo_PX[[#This Row],[Column1749]]</f>
        <v>#N/A N/A</v>
      </c>
      <c r="BOH30" t="str">
        <f>SOFR3mo_PX[[#This Row],[Column1750]]</f>
        <v>#N/A N/A</v>
      </c>
      <c r="BOI30" t="str">
        <f>SOFR3mo_PX[[#This Row],[Column1751]]</f>
        <v>#N/A N/A</v>
      </c>
      <c r="BOJ30" t="str">
        <f>SOFR3mo_PX[[#This Row],[Column1752]]</f>
        <v>#N/A N/A</v>
      </c>
      <c r="BOK30" t="str">
        <f>SOFR3mo_PX[[#This Row],[Column1753]]</f>
        <v>#N/A N/A</v>
      </c>
      <c r="BOL30" t="str">
        <f>SOFR3mo_PX[[#This Row],[Column1754]]</f>
        <v>#N/A N/A</v>
      </c>
      <c r="BOM30" t="str">
        <f>SOFR3mo_PX[[#This Row],[Column1755]]</f>
        <v>#N/A N/A</v>
      </c>
      <c r="BON30" t="str">
        <f>SOFR3mo_PX[[#This Row],[Column1756]]</f>
        <v>#N/A N/A</v>
      </c>
      <c r="BOO30" t="str">
        <f>SOFR3mo_PX[[#This Row],[Column1757]]</f>
        <v>#N/A N/A</v>
      </c>
      <c r="BOP30" t="str">
        <f>SOFR3mo_PX[[#This Row],[Column1758]]</f>
        <v>#N/A N/A</v>
      </c>
      <c r="BOQ30" t="str">
        <f>SOFR3mo_PX[[#This Row],[Column1759]]</f>
        <v>#N/A N/A</v>
      </c>
      <c r="BOR30" t="str">
        <f>SOFR3mo_PX[[#This Row],[Column1760]]</f>
        <v>#N/A N/A</v>
      </c>
      <c r="BOS30" t="str">
        <f>SOFR3mo_PX[[#This Row],[Column1761]]</f>
        <v>#N/A N/A</v>
      </c>
      <c r="BOT30" t="str">
        <f>SOFR3mo_PX[[#This Row],[Column1762]]</f>
        <v>#N/A N/A</v>
      </c>
      <c r="BOU30" t="str">
        <f>SOFR3mo_PX[[#This Row],[Column1763]]</f>
        <v>#N/A N/A</v>
      </c>
      <c r="BOV30" t="str">
        <f>SOFR3mo_PX[[#This Row],[Column1764]]</f>
        <v>#N/A N/A</v>
      </c>
      <c r="BOW30" t="str">
        <f>SOFR3mo_PX[[#This Row],[Column1765]]</f>
        <v>#N/A N/A</v>
      </c>
      <c r="BOX30" t="str">
        <f>SOFR3mo_PX[[#This Row],[Column1766]]</f>
        <v>#N/A N/A</v>
      </c>
      <c r="BOY30" t="str">
        <f>SOFR3mo_PX[[#This Row],[Column1767]]</f>
        <v>#N/A N/A</v>
      </c>
      <c r="BOZ30" t="str">
        <f>SOFR3mo_PX[[#This Row],[Column1768]]</f>
        <v>#N/A N/A</v>
      </c>
      <c r="BPA30" t="str">
        <f>SOFR3mo_PX[[#This Row],[Column1769]]</f>
        <v>#N/A N/A</v>
      </c>
      <c r="BPB30" t="str">
        <f>SOFR3mo_PX[[#This Row],[Column1770]]</f>
        <v>#N/A N/A</v>
      </c>
      <c r="BPC30" t="str">
        <f>SOFR3mo_PX[[#This Row],[Column1771]]</f>
        <v>#N/A N/A</v>
      </c>
      <c r="BPD30" t="str">
        <f>SOFR3mo_PX[[#This Row],[Column1772]]</f>
        <v>#N/A N/A</v>
      </c>
      <c r="BPE30" t="str">
        <f>SOFR3mo_PX[[#This Row],[Column1773]]</f>
        <v>#N/A N/A</v>
      </c>
      <c r="BPF30" t="str">
        <f>SOFR3mo_PX[[#This Row],[Column1774]]</f>
        <v>#N/A N/A</v>
      </c>
      <c r="BPG30" t="str">
        <f>SOFR3mo_PX[[#This Row],[Column1775]]</f>
        <v>#N/A N/A</v>
      </c>
      <c r="BPH30" t="str">
        <f>SOFR3mo_PX[[#This Row],[Column1776]]</f>
        <v>#N/A N/A</v>
      </c>
      <c r="BPI30" t="str">
        <f>SOFR3mo_PX[[#This Row],[Column1777]]</f>
        <v>#N/A N/A</v>
      </c>
      <c r="BPJ30" t="str">
        <f>SOFR3mo_PX[[#This Row],[Column1778]]</f>
        <v>#N/A N/A</v>
      </c>
      <c r="BPK30" t="str">
        <f>SOFR3mo_PX[[#This Row],[Column1779]]</f>
        <v>#N/A N/A</v>
      </c>
      <c r="BPL30" t="str">
        <f>SOFR3mo_PX[[#This Row],[Column1780]]</f>
        <v>#N/A N/A</v>
      </c>
      <c r="BPM30" t="str">
        <f>SOFR3mo_PX[[#This Row],[Column1781]]</f>
        <v>#N/A N/A</v>
      </c>
      <c r="BPN30" t="str">
        <f>SOFR3mo_PX[[#This Row],[Column1782]]</f>
        <v>#N/A N/A</v>
      </c>
      <c r="BPO30" t="str">
        <f>SOFR3mo_PX[[#This Row],[Column1783]]</f>
        <v>#N/A N/A</v>
      </c>
      <c r="BPP30" t="str">
        <f>SOFR3mo_PX[[#This Row],[Column1784]]</f>
        <v>#N/A N/A</v>
      </c>
      <c r="BPQ30" t="str">
        <f>SOFR3mo_PX[[#This Row],[Column1785]]</f>
        <v>#N/A N/A</v>
      </c>
      <c r="BPR30" t="str">
        <f>SOFR3mo_PX[[#This Row],[Column1786]]</f>
        <v>#N/A N/A</v>
      </c>
      <c r="BPS30" t="str">
        <f>SOFR3mo_PX[[#This Row],[Column1787]]</f>
        <v>#N/A N/A</v>
      </c>
      <c r="BPT30" t="str">
        <f>SOFR3mo_PX[[#This Row],[Column1788]]</f>
        <v>#N/A N/A</v>
      </c>
      <c r="BPU30" t="str">
        <f>SOFR3mo_PX[[#This Row],[Column1789]]</f>
        <v>#N/A N/A</v>
      </c>
      <c r="BPV30" t="str">
        <f>SOFR3mo_PX[[#This Row],[Column1790]]</f>
        <v>#N/A N/A</v>
      </c>
      <c r="BPW30" t="str">
        <f>SOFR3mo_PX[[#This Row],[Column1791]]</f>
        <v>#N/A N/A</v>
      </c>
      <c r="BPX30" t="str">
        <f>SOFR3mo_PX[[#This Row],[Column1792]]</f>
        <v>#N/A N/A</v>
      </c>
      <c r="BPY30" t="str">
        <f>SOFR3mo_PX[[#This Row],[Column1793]]</f>
        <v>#N/A N/A</v>
      </c>
      <c r="BPZ30" t="str">
        <f>SOFR3mo_PX[[#This Row],[Column1794]]</f>
        <v>#N/A N/A</v>
      </c>
      <c r="BQA30" t="str">
        <f>SOFR3mo_PX[[#This Row],[Column1795]]</f>
        <v>#N/A N/A</v>
      </c>
      <c r="BQB30" t="str">
        <f>SOFR3mo_PX[[#This Row],[Column1796]]</f>
        <v>#N/A N/A</v>
      </c>
      <c r="BQC30" t="str">
        <f>SOFR3mo_PX[[#This Row],[Column1797]]</f>
        <v>#N/A N/A</v>
      </c>
      <c r="BQD30" t="str">
        <f>SOFR3mo_PX[[#This Row],[Column1798]]</f>
        <v>#N/A N/A</v>
      </c>
      <c r="BQE30" t="str">
        <f>SOFR3mo_PX[[#This Row],[Column1799]]</f>
        <v>#N/A N/A</v>
      </c>
      <c r="BQF30" t="str">
        <f>SOFR3mo_PX[[#This Row],[Column1800]]</f>
        <v>#N/A N/A</v>
      </c>
      <c r="BQG30" t="str">
        <f>SOFR3mo_PX[[#This Row],[Column1801]]</f>
        <v>#N/A N/A</v>
      </c>
      <c r="BQH30" t="str">
        <f>SOFR3mo_PX[[#This Row],[Column1802]]</f>
        <v>#N/A N/A</v>
      </c>
      <c r="BQI30" t="str">
        <f>SOFR3mo_PX[[#This Row],[Column1803]]</f>
        <v>#N/A N/A</v>
      </c>
      <c r="BQJ30" t="str">
        <f>SOFR3mo_PX[[#This Row],[Column1804]]</f>
        <v>#N/A N/A</v>
      </c>
      <c r="BQK30" t="str">
        <f>SOFR3mo_PX[[#This Row],[Column1805]]</f>
        <v>#N/A N/A</v>
      </c>
      <c r="BQL30" t="str">
        <f>SOFR3mo_PX[[#This Row],[Column1806]]</f>
        <v>#N/A N/A</v>
      </c>
      <c r="BQM30" t="str">
        <f>SOFR3mo_PX[[#This Row],[Column1807]]</f>
        <v>#N/A N/A</v>
      </c>
      <c r="BQN30" t="str">
        <f>SOFR3mo_PX[[#This Row],[Column1808]]</f>
        <v>#N/A N/A</v>
      </c>
      <c r="BQO30" t="str">
        <f>SOFR3mo_PX[[#This Row],[Column1809]]</f>
        <v>#N/A N/A</v>
      </c>
      <c r="BQP30" t="str">
        <f>SOFR3mo_PX[[#This Row],[Column1810]]</f>
        <v>#N/A N/A</v>
      </c>
      <c r="BQQ30" t="str">
        <f>SOFR3mo_PX[[#This Row],[Column1811]]</f>
        <v>#N/A N/A</v>
      </c>
      <c r="BQR30" t="str">
        <f>SOFR3mo_PX[[#This Row],[Column1812]]</f>
        <v>#N/A N/A</v>
      </c>
      <c r="BQS30" t="str">
        <f>SOFR3mo_PX[[#This Row],[Column1813]]</f>
        <v>#N/A N/A</v>
      </c>
      <c r="BQT30" t="str">
        <f>SOFR3mo_PX[[#This Row],[Column1814]]</f>
        <v>#N/A N/A</v>
      </c>
      <c r="BQU30" t="str">
        <f>SOFR3mo_PX[[#This Row],[Column1815]]</f>
        <v>#N/A N/A</v>
      </c>
      <c r="BQV30" t="str">
        <f>SOFR3mo_PX[[#This Row],[Column1816]]</f>
        <v>#N/A N/A</v>
      </c>
      <c r="BQW30" t="str">
        <f>SOFR3mo_PX[[#This Row],[Column1817]]</f>
        <v>#N/A N/A</v>
      </c>
      <c r="BQX30" t="str">
        <f>SOFR3mo_PX[[#This Row],[Column1818]]</f>
        <v>#N/A N/A</v>
      </c>
      <c r="BQY30" t="str">
        <f>SOFR3mo_PX[[#This Row],[Column1819]]</f>
        <v>#N/A N/A</v>
      </c>
      <c r="BQZ30" t="str">
        <f>SOFR3mo_PX[[#This Row],[Column1820]]</f>
        <v>#N/A N/A</v>
      </c>
      <c r="BRA30" t="str">
        <f>SOFR3mo_PX[[#This Row],[Column1821]]</f>
        <v>#N/A N/A</v>
      </c>
      <c r="BRB30" t="str">
        <f>SOFR3mo_PX[[#This Row],[Column1822]]</f>
        <v>#N/A N/A</v>
      </c>
      <c r="BRC30" t="str">
        <f>SOFR3mo_PX[[#This Row],[Column1823]]</f>
        <v>#N/A N/A</v>
      </c>
      <c r="BRD30" t="str">
        <f>SOFR3mo_PX[[#This Row],[Column1824]]</f>
        <v>#N/A N/A</v>
      </c>
      <c r="BRE30" t="str">
        <f>SOFR3mo_PX[[#This Row],[Column1825]]</f>
        <v>#N/A N/A</v>
      </c>
      <c r="BRF30" t="str">
        <f>SOFR3mo_PX[[#This Row],[Column1826]]</f>
        <v>#N/A N/A</v>
      </c>
      <c r="BRG30" t="str">
        <f>SOFR3mo_PX[[#This Row],[Column1827]]</f>
        <v>#N/A N/A</v>
      </c>
      <c r="BRH30" t="str">
        <f>SOFR3mo_PX[[#This Row],[Column1828]]</f>
        <v>#N/A N/A</v>
      </c>
      <c r="BRI30" t="str">
        <f>SOFR3mo_PX[[#This Row],[Column1829]]</f>
        <v>#N/A N/A</v>
      </c>
      <c r="BRJ30" t="str">
        <f>SOFR3mo_PX[[#This Row],[Column1830]]</f>
        <v>#N/A N/A</v>
      </c>
      <c r="BRK30" t="str">
        <f>SOFR3mo_PX[[#This Row],[Column1831]]</f>
        <v>#N/A N/A</v>
      </c>
      <c r="BRL30" t="str">
        <f>SOFR3mo_PX[[#This Row],[Column1832]]</f>
        <v>#N/A N/A</v>
      </c>
      <c r="BRM30" t="str">
        <f>SOFR3mo_PX[[#This Row],[Column1833]]</f>
        <v>#N/A N/A</v>
      </c>
      <c r="BRN30" t="str">
        <f>SOFR3mo_PX[[#This Row],[Column1834]]</f>
        <v>#N/A N/A</v>
      </c>
      <c r="BRO30" t="str">
        <f>SOFR3mo_PX[[#This Row],[Column1835]]</f>
        <v>#N/A N/A</v>
      </c>
      <c r="BRP30" t="str">
        <f>SOFR3mo_PX[[#This Row],[Column1836]]</f>
        <v>#N/A N/A</v>
      </c>
      <c r="BRQ30" t="str">
        <f>SOFR3mo_PX[[#This Row],[Column1837]]</f>
        <v>#N/A N/A</v>
      </c>
      <c r="BRR30" t="str">
        <f>SOFR3mo_PX[[#This Row],[Column1838]]</f>
        <v>#N/A N/A</v>
      </c>
      <c r="BRS30" t="str">
        <f>SOFR3mo_PX[[#This Row],[Column1839]]</f>
        <v>#N/A N/A</v>
      </c>
      <c r="BRT30" t="str">
        <f>SOFR3mo_PX[[#This Row],[Column1840]]</f>
        <v>#N/A N/A</v>
      </c>
      <c r="BRU30" t="str">
        <f>SOFR3mo_PX[[#This Row],[Column1841]]</f>
        <v>#N/A N/A</v>
      </c>
      <c r="BRV30" t="str">
        <f>SOFR3mo_PX[[#This Row],[Column1842]]</f>
        <v>#N/A N/A</v>
      </c>
      <c r="BRW30" t="str">
        <f>SOFR3mo_PX[[#This Row],[Column1843]]</f>
        <v>#N/A N/A</v>
      </c>
      <c r="BRX30" t="str">
        <f>SOFR3mo_PX[[#This Row],[Column1844]]</f>
        <v>#N/A N/A</v>
      </c>
      <c r="BRY30" t="str">
        <f>SOFR3mo_PX[[#This Row],[Column1845]]</f>
        <v>#N/A N/A</v>
      </c>
      <c r="BRZ30" t="str">
        <f>SOFR3mo_PX[[#This Row],[Column1846]]</f>
        <v>#N/A N/A</v>
      </c>
      <c r="BSA30" t="str">
        <f>SOFR3mo_PX[[#This Row],[Column1847]]</f>
        <v>#N/A N/A</v>
      </c>
      <c r="BSB30" t="str">
        <f>SOFR3mo_PX[[#This Row],[Column1848]]</f>
        <v>#N/A N/A</v>
      </c>
      <c r="BSC30" t="str">
        <f>SOFR3mo_PX[[#This Row],[Column1849]]</f>
        <v>#N/A N/A</v>
      </c>
      <c r="BSD30" t="str">
        <f>SOFR3mo_PX[[#This Row],[Column1850]]</f>
        <v>#N/A N/A</v>
      </c>
      <c r="BSE30" t="str">
        <f>SOFR3mo_PX[[#This Row],[Column1851]]</f>
        <v>#N/A N/A</v>
      </c>
      <c r="BSF30" t="str">
        <f>SOFR3mo_PX[[#This Row],[Column1852]]</f>
        <v>#N/A N/A</v>
      </c>
      <c r="BSG30" t="str">
        <f>SOFR3mo_PX[[#This Row],[Column1853]]</f>
        <v>#N/A N/A</v>
      </c>
      <c r="BSH30" t="str">
        <f>SOFR3mo_PX[[#This Row],[Column1854]]</f>
        <v>#N/A N/A</v>
      </c>
      <c r="BSI30" t="str">
        <f>SOFR3mo_PX[[#This Row],[Column1855]]</f>
        <v>#N/A N/A</v>
      </c>
      <c r="BSJ30" t="str">
        <f>SOFR3mo_PX[[#This Row],[Column1856]]</f>
        <v>#N/A N/A</v>
      </c>
      <c r="BSK30" t="str">
        <f>SOFR3mo_PX[[#This Row],[Column1857]]</f>
        <v>#N/A N/A</v>
      </c>
      <c r="BSL30" t="str">
        <f>SOFR3mo_PX[[#This Row],[Column1858]]</f>
        <v>#N/A N/A</v>
      </c>
      <c r="BSM30" t="str">
        <f>SOFR3mo_PX[[#This Row],[Column1859]]</f>
        <v>#N/A N/A</v>
      </c>
      <c r="BSN30" t="str">
        <f>SOFR3mo_PX[[#This Row],[Column1860]]</f>
        <v>#N/A N/A</v>
      </c>
      <c r="BSO30" t="str">
        <f>SOFR3mo_PX[[#This Row],[Column1861]]</f>
        <v>#N/A N/A</v>
      </c>
      <c r="BSP30" t="str">
        <f>SOFR3mo_PX[[#This Row],[Column1862]]</f>
        <v>#N/A N/A</v>
      </c>
      <c r="BSQ30" t="str">
        <f>SOFR3mo_PX[[#This Row],[Column1863]]</f>
        <v>#N/A N/A</v>
      </c>
      <c r="BSR30" t="str">
        <f>SOFR3mo_PX[[#This Row],[Column1864]]</f>
        <v>#N/A N/A</v>
      </c>
      <c r="BSS30" t="str">
        <f>SOFR3mo_PX[[#This Row],[Column1865]]</f>
        <v>#N/A N/A</v>
      </c>
      <c r="BST30" t="str">
        <f>SOFR3mo_PX[[#This Row],[Column1866]]</f>
        <v>#N/A N/A</v>
      </c>
      <c r="BSU30" t="str">
        <f>SOFR3mo_PX[[#This Row],[Column1867]]</f>
        <v>#N/A N/A</v>
      </c>
      <c r="BSV30" t="str">
        <f>SOFR3mo_PX[[#This Row],[Column1868]]</f>
        <v>#N/A N/A</v>
      </c>
      <c r="BSW30" t="str">
        <f>SOFR3mo_PX[[#This Row],[Column1869]]</f>
        <v>#N/A N/A</v>
      </c>
      <c r="BSX30" t="str">
        <f>SOFR3mo_PX[[#This Row],[Column1870]]</f>
        <v>#N/A N/A</v>
      </c>
      <c r="BSY30" t="str">
        <f>SOFR3mo_PX[[#This Row],[Column1871]]</f>
        <v>#N/A N/A</v>
      </c>
      <c r="BSZ30" t="str">
        <f>SOFR3mo_PX[[#This Row],[Column1872]]</f>
        <v>#N/A N/A</v>
      </c>
      <c r="BTA30" t="str">
        <f>SOFR3mo_PX[[#This Row],[Column1873]]</f>
        <v>#N/A N/A</v>
      </c>
      <c r="BTB30" t="str">
        <f>SOFR3mo_PX[[#This Row],[Column1874]]</f>
        <v>#N/A N/A</v>
      </c>
      <c r="BTC30" t="str">
        <f>SOFR3mo_PX[[#This Row],[Column1875]]</f>
        <v>#N/A N/A</v>
      </c>
      <c r="BTD30" t="str">
        <f>SOFR3mo_PX[[#This Row],[Column1876]]</f>
        <v>#N/A N/A</v>
      </c>
      <c r="BTE30" t="str">
        <f>SOFR3mo_PX[[#This Row],[Column1877]]</f>
        <v>#N/A N/A</v>
      </c>
      <c r="BTF30" t="str">
        <f>SOFR3mo_PX[[#This Row],[Column1878]]</f>
        <v>#N/A N/A</v>
      </c>
      <c r="BTG30" t="str">
        <f>SOFR3mo_PX[[#This Row],[Column1879]]</f>
        <v>#N/A N/A</v>
      </c>
      <c r="BTH30" t="str">
        <f>SOFR3mo_PX[[#This Row],[Column1880]]</f>
        <v>#N/A N/A</v>
      </c>
      <c r="BTI30" t="str">
        <f>SOFR3mo_PX[[#This Row],[Column1881]]</f>
        <v>#N/A N/A</v>
      </c>
      <c r="BTJ30" t="str">
        <f>SOFR3mo_PX[[#This Row],[Column1882]]</f>
        <v>#N/A N/A</v>
      </c>
      <c r="BTK30" t="str">
        <f>SOFR3mo_PX[[#This Row],[Column1883]]</f>
        <v>#N/A N/A</v>
      </c>
      <c r="BTL30" t="str">
        <f>SOFR3mo_PX[[#This Row],[Column1884]]</f>
        <v>#N/A N/A</v>
      </c>
      <c r="BTM30" t="str">
        <f>SOFR3mo_PX[[#This Row],[Column1885]]</f>
        <v>#N/A N/A</v>
      </c>
      <c r="BTN30" t="str">
        <f>SOFR3mo_PX[[#This Row],[Column1886]]</f>
        <v>#N/A N/A</v>
      </c>
      <c r="BTO30" t="str">
        <f>SOFR3mo_PX[[#This Row],[Column1887]]</f>
        <v>#N/A N/A</v>
      </c>
      <c r="BTP30" t="str">
        <f>SOFR3mo_PX[[#This Row],[Column1888]]</f>
        <v>#N/A N/A</v>
      </c>
      <c r="BTQ30" t="str">
        <f>SOFR3mo_PX[[#This Row],[Column1889]]</f>
        <v>#N/A N/A</v>
      </c>
      <c r="BTR30" t="str">
        <f>SOFR3mo_PX[[#This Row],[Column1890]]</f>
        <v>#N/A N/A</v>
      </c>
      <c r="BTS30" t="str">
        <f>SOFR3mo_PX[[#This Row],[Column1891]]</f>
        <v>#N/A N/A</v>
      </c>
      <c r="BTT30" t="str">
        <f>SOFR3mo_PX[[#This Row],[Column1892]]</f>
        <v>#N/A N/A</v>
      </c>
      <c r="BTU30" t="str">
        <f>SOFR3mo_PX[[#This Row],[Column1893]]</f>
        <v>#N/A N/A</v>
      </c>
      <c r="BTV30" t="str">
        <f>SOFR3mo_PX[[#This Row],[Column1894]]</f>
        <v>#N/A N/A</v>
      </c>
      <c r="BTW30" t="str">
        <f>SOFR3mo_PX[[#This Row],[Column1895]]</f>
        <v>#N/A N/A</v>
      </c>
      <c r="BTX30" t="str">
        <f>SOFR3mo_PX[[#This Row],[Column1896]]</f>
        <v>#N/A N/A</v>
      </c>
      <c r="BTY30" t="str">
        <f>SOFR3mo_PX[[#This Row],[Column1897]]</f>
        <v>#N/A N/A</v>
      </c>
      <c r="BTZ30" t="str">
        <f>SOFR3mo_PX[[#This Row],[Column1898]]</f>
        <v>#N/A N/A</v>
      </c>
      <c r="BUA30" t="str">
        <f>SOFR3mo_PX[[#This Row],[Column1899]]</f>
        <v>#N/A N/A</v>
      </c>
      <c r="BUB30" t="str">
        <f>SOFR3mo_PX[[#This Row],[Column1900]]</f>
        <v>#N/A N/A</v>
      </c>
      <c r="BUC30" t="str">
        <f>SOFR3mo_PX[[#This Row],[Column1901]]</f>
        <v>#N/A N/A</v>
      </c>
      <c r="BUD30" t="str">
        <f>SOFR3mo_PX[[#This Row],[Column1902]]</f>
        <v>#N/A N/A</v>
      </c>
      <c r="BUE30" t="str">
        <f>SOFR3mo_PX[[#This Row],[Column1903]]</f>
        <v>#N/A N/A</v>
      </c>
      <c r="BUF30" t="str">
        <f>SOFR3mo_PX[[#This Row],[Column1904]]</f>
        <v>#N/A N/A</v>
      </c>
      <c r="BUG30" t="str">
        <f>SOFR3mo_PX[[#This Row],[Column1905]]</f>
        <v>#N/A N/A</v>
      </c>
      <c r="BUH30" t="str">
        <f>SOFR3mo_PX[[#This Row],[Column1906]]</f>
        <v>#N/A N/A</v>
      </c>
      <c r="BUI30" t="str">
        <f>SOFR3mo_PX[[#This Row],[Column1907]]</f>
        <v>#N/A N/A</v>
      </c>
      <c r="BUJ30" t="str">
        <f>SOFR3mo_PX[[#This Row],[Column1908]]</f>
        <v>#N/A N/A</v>
      </c>
      <c r="BUK30" t="str">
        <f>SOFR3mo_PX[[#This Row],[Column1909]]</f>
        <v>#N/A N/A</v>
      </c>
      <c r="BUL30" t="str">
        <f>SOFR3mo_PX[[#This Row],[Column1910]]</f>
        <v>#N/A N/A</v>
      </c>
      <c r="BUM30" t="str">
        <f>SOFR3mo_PX[[#This Row],[Column1911]]</f>
        <v>#N/A N/A</v>
      </c>
      <c r="BUN30" t="str">
        <f>SOFR3mo_PX[[#This Row],[Column1912]]</f>
        <v>#N/A N/A</v>
      </c>
      <c r="BUO30" t="str">
        <f>SOFR3mo_PX[[#This Row],[Column1913]]</f>
        <v>#N/A N/A</v>
      </c>
      <c r="BUP30" t="str">
        <f>SOFR3mo_PX[[#This Row],[Column1914]]</f>
        <v>#N/A N/A</v>
      </c>
      <c r="BUQ30" t="str">
        <f>SOFR3mo_PX[[#This Row],[Column1915]]</f>
        <v>#N/A N/A</v>
      </c>
      <c r="BUR30" t="str">
        <f>SOFR3mo_PX[[#This Row],[Column1916]]</f>
        <v>#N/A N/A</v>
      </c>
      <c r="BUS30" t="str">
        <f>SOFR3mo_PX[[#This Row],[Column1917]]</f>
        <v>#N/A N/A</v>
      </c>
      <c r="BUT30" t="str">
        <f>SOFR3mo_PX[[#This Row],[Column1918]]</f>
        <v>#N/A N/A</v>
      </c>
      <c r="BUU30" t="str">
        <f>SOFR3mo_PX[[#This Row],[Column1919]]</f>
        <v>#N/A N/A</v>
      </c>
      <c r="BUV30" t="str">
        <f>SOFR3mo_PX[[#This Row],[Column1920]]</f>
        <v>#N/A N/A</v>
      </c>
      <c r="BUW30" t="str">
        <f>SOFR3mo_PX[[#This Row],[Column1921]]</f>
        <v>#N/A N/A</v>
      </c>
      <c r="BUX30" t="str">
        <f>SOFR3mo_PX[[#This Row],[Column1922]]</f>
        <v>#N/A N/A</v>
      </c>
      <c r="BUY30" t="str">
        <f>SOFR3mo_PX[[#This Row],[Column1923]]</f>
        <v>#N/A N/A</v>
      </c>
      <c r="BUZ30" t="str">
        <f>SOFR3mo_PX[[#This Row],[Column1924]]</f>
        <v>#N/A N/A</v>
      </c>
      <c r="BVA30" t="str">
        <f>SOFR3mo_PX[[#This Row],[Column1925]]</f>
        <v>#N/A N/A</v>
      </c>
      <c r="BVB30" t="str">
        <f>SOFR3mo_PX[[#This Row],[Column1926]]</f>
        <v>#N/A N/A</v>
      </c>
      <c r="BVC30" t="str">
        <f>SOFR3mo_PX[[#This Row],[Column1927]]</f>
        <v>#N/A N/A</v>
      </c>
      <c r="BVD30" t="str">
        <f>SOFR3mo_PX[[#This Row],[Column1928]]</f>
        <v>#N/A N/A</v>
      </c>
      <c r="BVE30" t="str">
        <f>SOFR3mo_PX[[#This Row],[Column1929]]</f>
        <v>#N/A N/A</v>
      </c>
      <c r="BVF30" t="str">
        <f>SOFR3mo_PX[[#This Row],[Column1930]]</f>
        <v>#N/A N/A</v>
      </c>
      <c r="BVG30" t="str">
        <f>SOFR3mo_PX[[#This Row],[Column1931]]</f>
        <v>#N/A N/A</v>
      </c>
      <c r="BVH30" t="str">
        <f>SOFR3mo_PX[[#This Row],[Column1932]]</f>
        <v>#N/A N/A</v>
      </c>
      <c r="BVI30" t="str">
        <f>SOFR3mo_PX[[#This Row],[Column1933]]</f>
        <v>#N/A N/A</v>
      </c>
      <c r="BVJ30" t="str">
        <f>SOFR3mo_PX[[#This Row],[Column1934]]</f>
        <v>#N/A N/A</v>
      </c>
      <c r="BVK30" t="str">
        <f>SOFR3mo_PX[[#This Row],[Column1935]]</f>
        <v>#N/A N/A</v>
      </c>
      <c r="BVL30" t="str">
        <f>SOFR3mo_PX[[#This Row],[Column1936]]</f>
        <v>#N/A N/A</v>
      </c>
      <c r="BVM30" t="str">
        <f>SOFR3mo_PX[[#This Row],[Column1937]]</f>
        <v>#N/A N/A</v>
      </c>
      <c r="BVN30" t="str">
        <f>SOFR3mo_PX[[#This Row],[Column1938]]</f>
        <v>#N/A N/A</v>
      </c>
      <c r="BVO30" t="str">
        <f>SOFR3mo_PX[[#This Row],[Column1939]]</f>
        <v>#N/A N/A</v>
      </c>
      <c r="BVP30" t="str">
        <f>SOFR3mo_PX[[#This Row],[Column1940]]</f>
        <v>#N/A N/A</v>
      </c>
      <c r="BVQ30" t="str">
        <f>SOFR3mo_PX[[#This Row],[Column1941]]</f>
        <v>#N/A N/A</v>
      </c>
      <c r="BVR30" t="str">
        <f>SOFR3mo_PX[[#This Row],[Column1942]]</f>
        <v>#N/A N/A</v>
      </c>
      <c r="BVS30" t="str">
        <f>SOFR3mo_PX[[#This Row],[Column1943]]</f>
        <v>#N/A N/A</v>
      </c>
      <c r="BVT30" t="str">
        <f>SOFR3mo_PX[[#This Row],[Column1944]]</f>
        <v>#N/A N/A</v>
      </c>
      <c r="BVU30" t="str">
        <f>SOFR3mo_PX[[#This Row],[Column1945]]</f>
        <v>#N/A N/A</v>
      </c>
      <c r="BVV30" t="str">
        <f>SOFR3mo_PX[[#This Row],[Column1946]]</f>
        <v>#N/A N/A</v>
      </c>
      <c r="BVW30" t="str">
        <f>SOFR3mo_PX[[#This Row],[Column1947]]</f>
        <v>#N/A N/A</v>
      </c>
      <c r="BVX30" t="str">
        <f>SOFR3mo_PX[[#This Row],[Column1948]]</f>
        <v>#N/A N/A</v>
      </c>
      <c r="BVY30" t="str">
        <f>SOFR3mo_PX[[#This Row],[Column1949]]</f>
        <v>#N/A N/A</v>
      </c>
      <c r="BVZ30" t="str">
        <f>SOFR3mo_PX[[#This Row],[Column1950]]</f>
        <v>#N/A N/A</v>
      </c>
      <c r="BWA30" t="str">
        <f>SOFR3mo_PX[[#This Row],[Column1951]]</f>
        <v>#N/A N/A</v>
      </c>
      <c r="BWB30" t="str">
        <f>SOFR3mo_PX[[#This Row],[Column1952]]</f>
        <v>#N/A N/A</v>
      </c>
      <c r="BWC30" t="str">
        <f>SOFR3mo_PX[[#This Row],[Column1953]]</f>
        <v>#N/A N/A</v>
      </c>
      <c r="BWD30" t="str">
        <f>SOFR3mo_PX[[#This Row],[Column1954]]</f>
        <v>#N/A N/A</v>
      </c>
    </row>
    <row r="31" spans="1:1954" x14ac:dyDescent="0.25">
      <c r="A31" t="str">
        <f>SOFR3mo_PX[[#This Row],[Column1]]</f>
        <v>SFR29 Comdty</v>
      </c>
      <c r="B31">
        <f>IF(rtd!B29&lt;&gt;"",rtd!B29,SOFR3mo_PX[[#This Row],[Column2]])</f>
        <v>95.685000000000002</v>
      </c>
      <c r="C31">
        <f>SOFR3mo_PX[[#This Row],[Column3]]</f>
        <v>95.685000000000002</v>
      </c>
      <c r="D31">
        <f>SOFR3mo_PX[[#This Row],[Column4]]</f>
        <v>95.685000000000002</v>
      </c>
      <c r="E31">
        <f>SOFR3mo_PX[[#This Row],[Column5]]</f>
        <v>95.74</v>
      </c>
      <c r="F31">
        <f>SOFR3mo_PX[[#This Row],[Column6]]</f>
        <v>95.685000000000002</v>
      </c>
      <c r="G31">
        <f>SOFR3mo_PX[[#This Row],[Column7]]</f>
        <v>95.724999999999994</v>
      </c>
      <c r="H31">
        <f>SOFR3mo_PX[[#This Row],[Column8]]</f>
        <v>95.775000000000006</v>
      </c>
      <c r="I31">
        <f>SOFR3mo_PX[[#This Row],[Column9]]</f>
        <v>95.715000000000003</v>
      </c>
      <c r="J31">
        <f>SOFR3mo_PX[[#This Row],[Column10]]</f>
        <v>95.665000000000006</v>
      </c>
      <c r="K31">
        <f>SOFR3mo_PX[[#This Row],[Column11]]</f>
        <v>95.65</v>
      </c>
      <c r="L31">
        <f>SOFR3mo_PX[[#This Row],[Column12]]</f>
        <v>95.644999999999996</v>
      </c>
      <c r="M31">
        <f>SOFR3mo_PX[[#This Row],[Column13]]</f>
        <v>95.745000000000005</v>
      </c>
      <c r="N31">
        <f>SOFR3mo_PX[[#This Row],[Column14]]</f>
        <v>95.77</v>
      </c>
      <c r="O31">
        <f>SOFR3mo_PX[[#This Row],[Column15]]</f>
        <v>95.68</v>
      </c>
      <c r="P31">
        <f>SOFR3mo_PX[[#This Row],[Column16]]</f>
        <v>95.674999999999997</v>
      </c>
      <c r="Q31">
        <f>SOFR3mo_PX[[#This Row],[Column17]]</f>
        <v>95.734999999999999</v>
      </c>
      <c r="R31">
        <f>SOFR3mo_PX[[#This Row],[Column18]]</f>
        <v>95.715000000000003</v>
      </c>
      <c r="S31">
        <f>SOFR3mo_PX[[#This Row],[Column19]]</f>
        <v>95.685000000000002</v>
      </c>
      <c r="T31">
        <f>SOFR3mo_PX[[#This Row],[Column20]]</f>
        <v>95.734999999999999</v>
      </c>
      <c r="U31">
        <f>SOFR3mo_PX[[#This Row],[Column21]]</f>
        <v>95.644999999999996</v>
      </c>
      <c r="V31">
        <f>SOFR3mo_PX[[#This Row],[Column22]]</f>
        <v>95.644999999999996</v>
      </c>
      <c r="W31">
        <f>SOFR3mo_PX[[#This Row],[Column23]]</f>
        <v>95.57</v>
      </c>
      <c r="X31">
        <f>SOFR3mo_PX[[#This Row],[Column24]]</f>
        <v>95.51</v>
      </c>
      <c r="Y31">
        <f>SOFR3mo_PX[[#This Row],[Column25]]</f>
        <v>95.614999999999995</v>
      </c>
      <c r="Z31">
        <f>SOFR3mo_PX[[#This Row],[Column26]]</f>
        <v>95.614999999999995</v>
      </c>
      <c r="AA31">
        <f>SOFR3mo_PX[[#This Row],[Column27]]</f>
        <v>95.655000000000001</v>
      </c>
      <c r="AB31">
        <f>SOFR3mo_PX[[#This Row],[Column28]]</f>
        <v>95.635000000000005</v>
      </c>
      <c r="AC31">
        <f>SOFR3mo_PX[[#This Row],[Column29]]</f>
        <v>95.564999999999998</v>
      </c>
      <c r="AD31">
        <f>SOFR3mo_PX[[#This Row],[Column30]]</f>
        <v>95.6</v>
      </c>
      <c r="AE31">
        <f>SOFR3mo_PX[[#This Row],[Column31]]</f>
        <v>95.65</v>
      </c>
      <c r="AF31">
        <f>SOFR3mo_PX[[#This Row],[Column32]]</f>
        <v>95.71</v>
      </c>
      <c r="AG31">
        <f>SOFR3mo_PX[[#This Row],[Column33]]</f>
        <v>95.71</v>
      </c>
      <c r="AH31">
        <f>SOFR3mo_PX[[#This Row],[Column34]]</f>
        <v>95.805000000000007</v>
      </c>
      <c r="AI31">
        <f>SOFR3mo_PX[[#This Row],[Column35]]</f>
        <v>95.754999999999995</v>
      </c>
      <c r="AJ31">
        <f>SOFR3mo_PX[[#This Row],[Column36]]</f>
        <v>95.75</v>
      </c>
      <c r="AK31">
        <f>SOFR3mo_PX[[#This Row],[Column37]]</f>
        <v>95.784999999999997</v>
      </c>
      <c r="AL31">
        <f>SOFR3mo_PX[[#This Row],[Column38]]</f>
        <v>95.83</v>
      </c>
      <c r="AM31">
        <f>SOFR3mo_PX[[#This Row],[Column39]]</f>
        <v>95.88</v>
      </c>
      <c r="AN31">
        <f>SOFR3mo_PX[[#This Row],[Column40]]</f>
        <v>95.855000000000004</v>
      </c>
      <c r="AO31">
        <f>SOFR3mo_PX[[#This Row],[Column41]]</f>
        <v>95.795000000000002</v>
      </c>
      <c r="AP31">
        <f>SOFR3mo_PX[[#This Row],[Column42]]</f>
        <v>95.745000000000005</v>
      </c>
      <c r="AQ31">
        <f>SOFR3mo_PX[[#This Row],[Column43]]</f>
        <v>95.685000000000002</v>
      </c>
      <c r="AR31">
        <f>SOFR3mo_PX[[#This Row],[Column44]]</f>
        <v>95.614999999999995</v>
      </c>
      <c r="AS31">
        <f>SOFR3mo_PX[[#This Row],[Column45]]</f>
        <v>95.584999999999994</v>
      </c>
      <c r="AT31">
        <f>SOFR3mo_PX[[#This Row],[Column46]]</f>
        <v>95.534999999999997</v>
      </c>
      <c r="AU31">
        <f>SOFR3mo_PX[[#This Row],[Column47]]</f>
        <v>95.69</v>
      </c>
      <c r="AV31">
        <f>SOFR3mo_PX[[#This Row],[Column48]]</f>
        <v>95.69</v>
      </c>
      <c r="AW31">
        <f>SOFR3mo_PX[[#This Row],[Column49]]</f>
        <v>95.775000000000006</v>
      </c>
      <c r="AX31">
        <f>SOFR3mo_PX[[#This Row],[Column50]]</f>
        <v>95.75</v>
      </c>
      <c r="AY31">
        <f>SOFR3mo_PX[[#This Row],[Column51]]</f>
        <v>95.73</v>
      </c>
      <c r="AZ31">
        <f>SOFR3mo_PX[[#This Row],[Column52]]</f>
        <v>95.625</v>
      </c>
      <c r="BA31">
        <f>SOFR3mo_PX[[#This Row],[Column53]]</f>
        <v>95.77</v>
      </c>
      <c r="BB31">
        <f>SOFR3mo_PX[[#This Row],[Column54]]</f>
        <v>95.74</v>
      </c>
      <c r="BC31">
        <f>SOFR3mo_PX[[#This Row],[Column55]]</f>
        <v>95.9</v>
      </c>
      <c r="BD31">
        <f>SOFR3mo_PX[[#This Row],[Column56]]</f>
        <v>95.99</v>
      </c>
      <c r="BE31">
        <f>SOFR3mo_PX[[#This Row],[Column57]]</f>
        <v>96.165000000000006</v>
      </c>
      <c r="BF31">
        <f>SOFR3mo_PX[[#This Row],[Column58]]</f>
        <v>96.084999999999994</v>
      </c>
      <c r="BG31">
        <f>SOFR3mo_PX[[#This Row],[Column59]]</f>
        <v>95.944999999999993</v>
      </c>
      <c r="BH31">
        <f>SOFR3mo_PX[[#This Row],[Column60]]</f>
        <v>96.004999999999995</v>
      </c>
      <c r="BI31">
        <f>SOFR3mo_PX[[#This Row],[Column61]]</f>
        <v>95.9</v>
      </c>
      <c r="BJ31">
        <f>SOFR3mo_PX[[#This Row],[Column62]]</f>
        <v>95.87</v>
      </c>
      <c r="BK31">
        <f>SOFR3mo_PX[[#This Row],[Column63]]</f>
        <v>95.754999999999995</v>
      </c>
      <c r="BL31">
        <f>SOFR3mo_PX[[#This Row],[Column64]]</f>
        <v>95.82</v>
      </c>
      <c r="BM31">
        <f>SOFR3mo_PX[[#This Row],[Column65]]</f>
        <v>95.85</v>
      </c>
      <c r="BN31">
        <f>SOFR3mo_PX[[#This Row],[Column66]]</f>
        <v>95.825000000000003</v>
      </c>
      <c r="BO31">
        <f>SOFR3mo_PX[[#This Row],[Column67]]</f>
        <v>95.905000000000001</v>
      </c>
      <c r="BP31">
        <f>SOFR3mo_PX[[#This Row],[Column68]]</f>
        <v>95.92</v>
      </c>
      <c r="BQ31">
        <f>SOFR3mo_PX[[#This Row],[Column69]]</f>
        <v>95.88</v>
      </c>
      <c r="BR31">
        <f>SOFR3mo_PX[[#This Row],[Column70]]</f>
        <v>95.885000000000005</v>
      </c>
      <c r="BS31">
        <f>SOFR3mo_PX[[#This Row],[Column71]]</f>
        <v>95.85</v>
      </c>
      <c r="BT31">
        <f>SOFR3mo_PX[[#This Row],[Column72]]</f>
        <v>95.825000000000003</v>
      </c>
      <c r="BU31">
        <f>SOFR3mo_PX[[#This Row],[Column73]]</f>
        <v>95.9</v>
      </c>
      <c r="BV31">
        <f>SOFR3mo_PX[[#This Row],[Column74]]</f>
        <v>95.87</v>
      </c>
      <c r="BW31">
        <f>SOFR3mo_PX[[#This Row],[Column75]]</f>
        <v>95.9</v>
      </c>
      <c r="BX31">
        <f>SOFR3mo_PX[[#This Row],[Column76]]</f>
        <v>95.995000000000005</v>
      </c>
      <c r="BY31">
        <f>SOFR3mo_PX[[#This Row],[Column77]]</f>
        <v>95.864999999999995</v>
      </c>
      <c r="BZ31">
        <f>SOFR3mo_PX[[#This Row],[Column78]]</f>
        <v>95.89</v>
      </c>
      <c r="CA31">
        <f>SOFR3mo_PX[[#This Row],[Column79]]</f>
        <v>95.915000000000006</v>
      </c>
      <c r="CB31">
        <f>SOFR3mo_PX[[#This Row],[Column80]]</f>
        <v>95.974999999999994</v>
      </c>
      <c r="CC31">
        <f>SOFR3mo_PX[[#This Row],[Column81]]</f>
        <v>96.02</v>
      </c>
      <c r="CD31">
        <f>SOFR3mo_PX[[#This Row],[Column82]]</f>
        <v>95.96</v>
      </c>
      <c r="CE31">
        <f>SOFR3mo_PX[[#This Row],[Column83]]</f>
        <v>95.9</v>
      </c>
      <c r="CF31">
        <f>SOFR3mo_PX[[#This Row],[Column84]]</f>
        <v>95.944999999999993</v>
      </c>
      <c r="CG31">
        <f>SOFR3mo_PX[[#This Row],[Column85]]</f>
        <v>95.875</v>
      </c>
      <c r="CH31">
        <f>SOFR3mo_PX[[#This Row],[Column86]]</f>
        <v>95.74</v>
      </c>
      <c r="CI31">
        <f>SOFR3mo_PX[[#This Row],[Column87]]</f>
        <v>95.715000000000003</v>
      </c>
      <c r="CJ31">
        <f>SOFR3mo_PX[[#This Row],[Column88]]</f>
        <v>95.635000000000005</v>
      </c>
      <c r="CK31">
        <f>SOFR3mo_PX[[#This Row],[Column89]]</f>
        <v>95.584999999999994</v>
      </c>
      <c r="CL31">
        <f>SOFR3mo_PX[[#This Row],[Column90]]</f>
        <v>95.584999999999994</v>
      </c>
      <c r="CM31">
        <f>SOFR3mo_PX[[#This Row],[Column91]]</f>
        <v>95.66</v>
      </c>
      <c r="CN31">
        <f>SOFR3mo_PX[[#This Row],[Column92]]</f>
        <v>95.66</v>
      </c>
      <c r="CO31">
        <f>SOFR3mo_PX[[#This Row],[Column93]]</f>
        <v>95.605000000000004</v>
      </c>
      <c r="CP31">
        <f>SOFR3mo_PX[[#This Row],[Column94]]</f>
        <v>95.49</v>
      </c>
      <c r="CQ31">
        <f>SOFR3mo_PX[[#This Row],[Column95]]</f>
        <v>95.625</v>
      </c>
      <c r="CR31">
        <f>SOFR3mo_PX[[#This Row],[Column96]]</f>
        <v>95.674999999999997</v>
      </c>
      <c r="CS31">
        <f>SOFR3mo_PX[[#This Row],[Column97]]</f>
        <v>95.674999999999997</v>
      </c>
      <c r="CT31">
        <f>SOFR3mo_PX[[#This Row],[Column98]]</f>
        <v>95.734999999999999</v>
      </c>
      <c r="CU31">
        <f>SOFR3mo_PX[[#This Row],[Column99]]</f>
        <v>95.784999999999997</v>
      </c>
      <c r="CV31">
        <f>SOFR3mo_PX[[#This Row],[Column100]]</f>
        <v>95.674999999999997</v>
      </c>
      <c r="CW31">
        <f>SOFR3mo_PX[[#This Row],[Column101]]</f>
        <v>95.65</v>
      </c>
      <c r="CX31">
        <f>SOFR3mo_PX[[#This Row],[Column102]]</f>
        <v>95.605000000000004</v>
      </c>
      <c r="CY31">
        <f>SOFR3mo_PX[[#This Row],[Column103]]</f>
        <v>95.674999999999997</v>
      </c>
      <c r="CZ31">
        <f>SOFR3mo_PX[[#This Row],[Column104]]</f>
        <v>95.63</v>
      </c>
      <c r="DA31">
        <f>SOFR3mo_PX[[#This Row],[Column105]]</f>
        <v>95.64</v>
      </c>
      <c r="DB31">
        <f>SOFR3mo_PX[[#This Row],[Column106]]</f>
        <v>95.665000000000006</v>
      </c>
      <c r="DC31">
        <f>SOFR3mo_PX[[#This Row],[Column107]]</f>
        <v>95.555000000000007</v>
      </c>
      <c r="DD31">
        <f>SOFR3mo_PX[[#This Row],[Column108]]</f>
        <v>95.555000000000007</v>
      </c>
      <c r="DE31">
        <f>SOFR3mo_PX[[#This Row],[Column109]]</f>
        <v>95.61</v>
      </c>
      <c r="DF31">
        <f>SOFR3mo_PX[[#This Row],[Column110]]</f>
        <v>95.64</v>
      </c>
      <c r="DG31">
        <f>SOFR3mo_PX[[#This Row],[Column111]]</f>
        <v>95.594999999999999</v>
      </c>
      <c r="DH31">
        <f>SOFR3mo_PX[[#This Row],[Column112]]</f>
        <v>95.594999999999999</v>
      </c>
      <c r="DI31">
        <f>SOFR3mo_PX[[#This Row],[Column113]]</f>
        <v>95.594999999999999</v>
      </c>
      <c r="DJ31">
        <f>SOFR3mo_PX[[#This Row],[Column114]]</f>
        <v>95.555000000000007</v>
      </c>
      <c r="DK31">
        <f>SOFR3mo_PX[[#This Row],[Column115]]</f>
        <v>95.41</v>
      </c>
      <c r="DL31">
        <f>SOFR3mo_PX[[#This Row],[Column116]]</f>
        <v>95.39</v>
      </c>
      <c r="DM31">
        <f>SOFR3mo_PX[[#This Row],[Column117]]</f>
        <v>95.43</v>
      </c>
      <c r="DN31">
        <f>SOFR3mo_PX[[#This Row],[Column118]]</f>
        <v>95.49</v>
      </c>
      <c r="DO31">
        <f>SOFR3mo_PX[[#This Row],[Column119]]</f>
        <v>95.474999999999994</v>
      </c>
      <c r="DP31">
        <f>SOFR3mo_PX[[#This Row],[Column120]]</f>
        <v>95.484999999999999</v>
      </c>
      <c r="DQ31">
        <f>SOFR3mo_PX[[#This Row],[Column121]]</f>
        <v>95.57</v>
      </c>
      <c r="DR31">
        <f>SOFR3mo_PX[[#This Row],[Column122]]</f>
        <v>95.625</v>
      </c>
      <c r="DS31">
        <f>SOFR3mo_PX[[#This Row],[Column123]]</f>
        <v>95.64</v>
      </c>
      <c r="DT31">
        <f>SOFR3mo_PX[[#This Row],[Column124]]</f>
        <v>95.635000000000005</v>
      </c>
      <c r="DU31">
        <f>SOFR3mo_PX[[#This Row],[Column125]]</f>
        <v>95.635000000000005</v>
      </c>
      <c r="DV31">
        <f>SOFR3mo_PX[[#This Row],[Column126]]</f>
        <v>95.674999999999997</v>
      </c>
      <c r="DW31">
        <f>SOFR3mo_PX[[#This Row],[Column127]]</f>
        <v>95.594999999999999</v>
      </c>
      <c r="DX31">
        <f>SOFR3mo_PX[[#This Row],[Column128]]</f>
        <v>95.655000000000001</v>
      </c>
      <c r="DY31">
        <f>SOFR3mo_PX[[#This Row],[Column129]]</f>
        <v>95.64</v>
      </c>
      <c r="DZ31">
        <f>SOFR3mo_PX[[#This Row],[Column130]]</f>
        <v>95.64</v>
      </c>
      <c r="EA31">
        <f>SOFR3mo_PX[[#This Row],[Column131]]</f>
        <v>95.614999999999995</v>
      </c>
      <c r="EB31">
        <f>SOFR3mo_PX[[#This Row],[Column132]]</f>
        <v>95.715000000000003</v>
      </c>
      <c r="EC31">
        <f>SOFR3mo_PX[[#This Row],[Column133]]</f>
        <v>95.644999999999996</v>
      </c>
      <c r="ED31">
        <f>SOFR3mo_PX[[#This Row],[Column134]]</f>
        <v>95.775000000000006</v>
      </c>
      <c r="EE31">
        <f>SOFR3mo_PX[[#This Row],[Column135]]</f>
        <v>95.91</v>
      </c>
      <c r="EF31">
        <f>SOFR3mo_PX[[#This Row],[Column136]]</f>
        <v>95.894999999999996</v>
      </c>
      <c r="EG31">
        <f>SOFR3mo_PX[[#This Row],[Column137]]</f>
        <v>95.9</v>
      </c>
      <c r="EH31">
        <f>SOFR3mo_PX[[#This Row],[Column138]]</f>
        <v>95.984999999999999</v>
      </c>
      <c r="EI31">
        <f>SOFR3mo_PX[[#This Row],[Column139]]</f>
        <v>96.05</v>
      </c>
      <c r="EJ31">
        <f>SOFR3mo_PX[[#This Row],[Column140]]</f>
        <v>96.11</v>
      </c>
      <c r="EK31">
        <f>SOFR3mo_PX[[#This Row],[Column141]]</f>
        <v>96.135000000000005</v>
      </c>
      <c r="EL31">
        <f>SOFR3mo_PX[[#This Row],[Column142]]</f>
        <v>96.174999999999997</v>
      </c>
      <c r="EM31">
        <f>SOFR3mo_PX[[#This Row],[Column143]]</f>
        <v>96.14</v>
      </c>
      <c r="EN31">
        <f>SOFR3mo_PX[[#This Row],[Column144]]</f>
        <v>96.125</v>
      </c>
      <c r="EO31">
        <f>SOFR3mo_PX[[#This Row],[Column145]]</f>
        <v>96.094999999999999</v>
      </c>
      <c r="EP31">
        <f>SOFR3mo_PX[[#This Row],[Column146]]</f>
        <v>96.13</v>
      </c>
      <c r="EQ31">
        <f>SOFR3mo_PX[[#This Row],[Column147]]</f>
        <v>96.13</v>
      </c>
      <c r="ER31">
        <f>SOFR3mo_PX[[#This Row],[Column148]]</f>
        <v>96.094999999999999</v>
      </c>
      <c r="ES31">
        <f>SOFR3mo_PX[[#This Row],[Column149]]</f>
        <v>96.094999999999999</v>
      </c>
      <c r="ET31">
        <f>SOFR3mo_PX[[#This Row],[Column150]]</f>
        <v>96.03</v>
      </c>
      <c r="EU31">
        <f>SOFR3mo_PX[[#This Row],[Column151]]</f>
        <v>96.094999999999999</v>
      </c>
      <c r="EV31">
        <f>SOFR3mo_PX[[#This Row],[Column152]]</f>
        <v>95.944999999999993</v>
      </c>
      <c r="EW31">
        <f>SOFR3mo_PX[[#This Row],[Column153]]</f>
        <v>95.91</v>
      </c>
      <c r="EX31">
        <f>SOFR3mo_PX[[#This Row],[Column154]]</f>
        <v>95.905000000000001</v>
      </c>
      <c r="EY31">
        <f>SOFR3mo_PX[[#This Row],[Column155]]</f>
        <v>95.935000000000002</v>
      </c>
      <c r="EZ31">
        <f>SOFR3mo_PX[[#This Row],[Column156]]</f>
        <v>95.9</v>
      </c>
      <c r="FA31">
        <f>SOFR3mo_PX[[#This Row],[Column157]]</f>
        <v>95.89</v>
      </c>
      <c r="FB31">
        <f>SOFR3mo_PX[[#This Row],[Column158]]</f>
        <v>95.894999999999996</v>
      </c>
      <c r="FC31">
        <f>SOFR3mo_PX[[#This Row],[Column159]]</f>
        <v>95.86</v>
      </c>
      <c r="FD31">
        <f>SOFR3mo_PX[[#This Row],[Column160]]</f>
        <v>95.885000000000005</v>
      </c>
      <c r="FE31">
        <f>SOFR3mo_PX[[#This Row],[Column161]]</f>
        <v>95.944999999999993</v>
      </c>
      <c r="FF31">
        <f>SOFR3mo_PX[[#This Row],[Column162]]</f>
        <v>95.995000000000005</v>
      </c>
      <c r="FG31">
        <f>SOFR3mo_PX[[#This Row],[Column163]]</f>
        <v>95.95</v>
      </c>
      <c r="FH31">
        <f>SOFR3mo_PX[[#This Row],[Column164]]</f>
        <v>95.844999999999999</v>
      </c>
      <c r="FI31">
        <f>SOFR3mo_PX[[#This Row],[Column165]]</f>
        <v>96.015000000000001</v>
      </c>
      <c r="FJ31">
        <f>SOFR3mo_PX[[#This Row],[Column166]]</f>
        <v>95.99</v>
      </c>
      <c r="FK31">
        <f>SOFR3mo_PX[[#This Row],[Column167]]</f>
        <v>95.924999999999997</v>
      </c>
      <c r="FL31">
        <f>SOFR3mo_PX[[#This Row],[Column168]]</f>
        <v>95.984999999999999</v>
      </c>
      <c r="FM31">
        <f>SOFR3mo_PX[[#This Row],[Column169]]</f>
        <v>95.995000000000005</v>
      </c>
      <c r="FN31">
        <f>SOFR3mo_PX[[#This Row],[Column170]]</f>
        <v>95.965000000000003</v>
      </c>
      <c r="FO31">
        <f>SOFR3mo_PX[[#This Row],[Column171]]</f>
        <v>95.96</v>
      </c>
      <c r="FP31">
        <f>SOFR3mo_PX[[#This Row],[Column172]]</f>
        <v>95.995000000000005</v>
      </c>
      <c r="FQ31">
        <f>SOFR3mo_PX[[#This Row],[Column173]]</f>
        <v>96.02</v>
      </c>
      <c r="FR31">
        <f>SOFR3mo_PX[[#This Row],[Column174]]</f>
        <v>95.97</v>
      </c>
      <c r="FS31">
        <f>SOFR3mo_PX[[#This Row],[Column175]]</f>
        <v>96</v>
      </c>
      <c r="FT31">
        <f>SOFR3mo_PX[[#This Row],[Column176]]</f>
        <v>96.025000000000006</v>
      </c>
      <c r="FU31">
        <f>SOFR3mo_PX[[#This Row],[Column177]]</f>
        <v>96.14</v>
      </c>
      <c r="FV31">
        <f>SOFR3mo_PX[[#This Row],[Column178]]</f>
        <v>96.125</v>
      </c>
      <c r="FW31">
        <f>SOFR3mo_PX[[#This Row],[Column179]]</f>
        <v>96.224999999999994</v>
      </c>
      <c r="FX31">
        <f>SOFR3mo_PX[[#This Row],[Column180]]</f>
        <v>96.204999999999998</v>
      </c>
      <c r="FY31">
        <f>SOFR3mo_PX[[#This Row],[Column181]]</f>
        <v>96.11</v>
      </c>
      <c r="FZ31">
        <f>SOFR3mo_PX[[#This Row],[Column182]]</f>
        <v>96.15</v>
      </c>
      <c r="GA31">
        <f>SOFR3mo_PX[[#This Row],[Column183]]</f>
        <v>96.14</v>
      </c>
      <c r="GB31">
        <f>SOFR3mo_PX[[#This Row],[Column184]]</f>
        <v>96.185000000000002</v>
      </c>
      <c r="GC31">
        <f>SOFR3mo_PX[[#This Row],[Column185]]</f>
        <v>96.21</v>
      </c>
      <c r="GD31">
        <f>SOFR3mo_PX[[#This Row],[Column186]]</f>
        <v>96.224999999999994</v>
      </c>
      <c r="GE31">
        <f>SOFR3mo_PX[[#This Row],[Column187]]</f>
        <v>96.26</v>
      </c>
      <c r="GF31">
        <f>SOFR3mo_PX[[#This Row],[Column188]]</f>
        <v>96.34</v>
      </c>
      <c r="GG31">
        <f>SOFR3mo_PX[[#This Row],[Column189]]</f>
        <v>96.41</v>
      </c>
      <c r="GH31">
        <f>SOFR3mo_PX[[#This Row],[Column190]]</f>
        <v>96.454999999999998</v>
      </c>
      <c r="GI31">
        <f>SOFR3mo_PX[[#This Row],[Column191]]</f>
        <v>96.385000000000005</v>
      </c>
      <c r="GJ31">
        <f>SOFR3mo_PX[[#This Row],[Column192]]</f>
        <v>96.424999999999997</v>
      </c>
      <c r="GK31">
        <f>SOFR3mo_PX[[#This Row],[Column193]]</f>
        <v>96.394999999999996</v>
      </c>
      <c r="GL31">
        <f>SOFR3mo_PX[[#This Row],[Column194]]</f>
        <v>96.375</v>
      </c>
      <c r="GM31">
        <f>SOFR3mo_PX[[#This Row],[Column195]]</f>
        <v>96.415000000000006</v>
      </c>
      <c r="GN31">
        <f>SOFR3mo_PX[[#This Row],[Column196]]</f>
        <v>96.42</v>
      </c>
      <c r="GO31">
        <f>SOFR3mo_PX[[#This Row],[Column197]]</f>
        <v>96.435000000000002</v>
      </c>
      <c r="GP31">
        <f>SOFR3mo_PX[[#This Row],[Column198]]</f>
        <v>96.415000000000006</v>
      </c>
      <c r="GQ31">
        <f>SOFR3mo_PX[[#This Row],[Column199]]</f>
        <v>96.49</v>
      </c>
      <c r="GR31">
        <f>SOFR3mo_PX[[#This Row],[Column200]]</f>
        <v>96.55</v>
      </c>
      <c r="GS31">
        <f>SOFR3mo_PX[[#This Row],[Column201]]</f>
        <v>96.54</v>
      </c>
      <c r="GT31">
        <f>SOFR3mo_PX[[#This Row],[Column202]]</f>
        <v>96.52</v>
      </c>
      <c r="GU31">
        <f>SOFR3mo_PX[[#This Row],[Column203]]</f>
        <v>96.515000000000001</v>
      </c>
      <c r="GV31">
        <f>SOFR3mo_PX[[#This Row],[Column204]]</f>
        <v>96.545000000000002</v>
      </c>
      <c r="GW31">
        <f>SOFR3mo_PX[[#This Row],[Column205]]</f>
        <v>96.55</v>
      </c>
      <c r="GX31">
        <f>SOFR3mo_PX[[#This Row],[Column206]]</f>
        <v>96.495000000000005</v>
      </c>
      <c r="GY31">
        <f>SOFR3mo_PX[[#This Row],[Column207]]</f>
        <v>96.47</v>
      </c>
      <c r="GZ31">
        <f>SOFR3mo_PX[[#This Row],[Column208]]</f>
        <v>96.484999999999999</v>
      </c>
      <c r="HA31">
        <f>SOFR3mo_PX[[#This Row],[Column209]]</f>
        <v>96.45</v>
      </c>
      <c r="HB31">
        <f>SOFR3mo_PX[[#This Row],[Column210]]</f>
        <v>96.4</v>
      </c>
      <c r="HC31">
        <f>SOFR3mo_PX[[#This Row],[Column211]]</f>
        <v>96.32</v>
      </c>
      <c r="HD31">
        <f>SOFR3mo_PX[[#This Row],[Column212]]</f>
        <v>96.32</v>
      </c>
      <c r="HE31">
        <f>SOFR3mo_PX[[#This Row],[Column213]]</f>
        <v>96.364999999999995</v>
      </c>
      <c r="HF31">
        <f>SOFR3mo_PX[[#This Row],[Column214]]</f>
        <v>96.38</v>
      </c>
      <c r="HG31">
        <f>SOFR3mo_PX[[#This Row],[Column215]]</f>
        <v>96.394999999999996</v>
      </c>
      <c r="HH31">
        <f>SOFR3mo_PX[[#This Row],[Column216]]</f>
        <v>96.415000000000006</v>
      </c>
      <c r="HI31">
        <f>SOFR3mo_PX[[#This Row],[Column217]]</f>
        <v>96.405000000000001</v>
      </c>
      <c r="HJ31">
        <f>SOFR3mo_PX[[#This Row],[Column218]]</f>
        <v>96.344999999999999</v>
      </c>
      <c r="HK31">
        <f>SOFR3mo_PX[[#This Row],[Column219]]</f>
        <v>96.42</v>
      </c>
      <c r="HL31">
        <f>SOFR3mo_PX[[#This Row],[Column220]]</f>
        <v>96.394999999999996</v>
      </c>
      <c r="HM31">
        <f>SOFR3mo_PX[[#This Row],[Column221]]</f>
        <v>96.344999999999999</v>
      </c>
      <c r="HN31">
        <f>SOFR3mo_PX[[#This Row],[Column222]]</f>
        <v>96.305000000000007</v>
      </c>
      <c r="HO31">
        <f>SOFR3mo_PX[[#This Row],[Column223]]</f>
        <v>96.265000000000001</v>
      </c>
      <c r="HP31">
        <f>SOFR3mo_PX[[#This Row],[Column224]]</f>
        <v>96.334999999999994</v>
      </c>
      <c r="HQ31">
        <f>SOFR3mo_PX[[#This Row],[Column225]]</f>
        <v>96.3</v>
      </c>
      <c r="HR31">
        <f>SOFR3mo_PX[[#This Row],[Column226]]</f>
        <v>96.27</v>
      </c>
      <c r="HS31">
        <f>SOFR3mo_PX[[#This Row],[Column227]]</f>
        <v>96.23</v>
      </c>
      <c r="HT31">
        <f>SOFR3mo_PX[[#This Row],[Column228]]</f>
        <v>96.15</v>
      </c>
      <c r="HU31">
        <f>SOFR3mo_PX[[#This Row],[Column229]]</f>
        <v>96.16</v>
      </c>
      <c r="HV31">
        <f>SOFR3mo_PX[[#This Row],[Column230]]</f>
        <v>96.254999999999995</v>
      </c>
      <c r="HW31">
        <f>SOFR3mo_PX[[#This Row],[Column231]]</f>
        <v>96.355000000000004</v>
      </c>
      <c r="HX31">
        <f>SOFR3mo_PX[[#This Row],[Column232]]</f>
        <v>96.36</v>
      </c>
      <c r="HY31">
        <f>SOFR3mo_PX[[#This Row],[Column233]]</f>
        <v>96.234999999999999</v>
      </c>
      <c r="HZ31">
        <f>SOFR3mo_PX[[#This Row],[Column234]]</f>
        <v>96.135000000000005</v>
      </c>
      <c r="IA31">
        <f>SOFR3mo_PX[[#This Row],[Column235]]</f>
        <v>96.1</v>
      </c>
      <c r="IB31">
        <f>SOFR3mo_PX[[#This Row],[Column236]]</f>
        <v>96.064999999999998</v>
      </c>
      <c r="IC31">
        <f>SOFR3mo_PX[[#This Row],[Column237]]</f>
        <v>96.04</v>
      </c>
      <c r="ID31">
        <f>SOFR3mo_PX[[#This Row],[Column238]]</f>
        <v>96</v>
      </c>
      <c r="IE31">
        <f>SOFR3mo_PX[[#This Row],[Column239]]</f>
        <v>95.954999999999998</v>
      </c>
      <c r="IF31">
        <f>SOFR3mo_PX[[#This Row],[Column240]]</f>
        <v>96.04</v>
      </c>
      <c r="IG31">
        <f>SOFR3mo_PX[[#This Row],[Column241]]</f>
        <v>96.025000000000006</v>
      </c>
      <c r="IH31">
        <f>SOFR3mo_PX[[#This Row],[Column242]]</f>
        <v>96.034999999999997</v>
      </c>
      <c r="II31">
        <f>SOFR3mo_PX[[#This Row],[Column243]]</f>
        <v>96.084999999999994</v>
      </c>
      <c r="IJ31">
        <f>SOFR3mo_PX[[#This Row],[Column244]]</f>
        <v>96.14</v>
      </c>
      <c r="IK31">
        <f>SOFR3mo_PX[[#This Row],[Column245]]</f>
        <v>96.114999999999995</v>
      </c>
      <c r="IL31">
        <f>SOFR3mo_PX[[#This Row],[Column246]]</f>
        <v>96.04</v>
      </c>
      <c r="IM31">
        <f>SOFR3mo_PX[[#This Row],[Column247]]</f>
        <v>96.084999999999994</v>
      </c>
      <c r="IN31">
        <f>SOFR3mo_PX[[#This Row],[Column248]]</f>
        <v>96.105000000000004</v>
      </c>
      <c r="IO31">
        <f>SOFR3mo_PX[[#This Row],[Column249]]</f>
        <v>96.025000000000006</v>
      </c>
      <c r="IP31">
        <f>SOFR3mo_PX[[#This Row],[Column250]]</f>
        <v>95.995000000000005</v>
      </c>
      <c r="IQ31">
        <f>SOFR3mo_PX[[#This Row],[Column251]]</f>
        <v>96.034999999999997</v>
      </c>
      <c r="IR31">
        <f>SOFR3mo_PX[[#This Row],[Column252]]</f>
        <v>96.03</v>
      </c>
      <c r="IS31">
        <f>SOFR3mo_PX[[#This Row],[Column253]]</f>
        <v>95.974999999999994</v>
      </c>
      <c r="IT31">
        <f>SOFR3mo_PX[[#This Row],[Column254]]</f>
        <v>95.974999999999994</v>
      </c>
      <c r="IU31">
        <f>SOFR3mo_PX[[#This Row],[Column255]]</f>
        <v>95.87</v>
      </c>
      <c r="IV31">
        <f>SOFR3mo_PX[[#This Row],[Column256]]</f>
        <v>95.834999999999994</v>
      </c>
      <c r="IW31">
        <f>SOFR3mo_PX[[#This Row],[Column257]]</f>
        <v>95.995000000000005</v>
      </c>
      <c r="IX31">
        <f>SOFR3mo_PX[[#This Row],[Column258]]</f>
        <v>96.06</v>
      </c>
      <c r="IY31">
        <f>SOFR3mo_PX[[#This Row],[Column259]]</f>
        <v>96.025000000000006</v>
      </c>
      <c r="IZ31">
        <f>SOFR3mo_PX[[#This Row],[Column260]]</f>
        <v>96.114999999999995</v>
      </c>
      <c r="JA31">
        <f>SOFR3mo_PX[[#This Row],[Column261]]</f>
        <v>96.105000000000004</v>
      </c>
      <c r="JB31">
        <f>SOFR3mo_PX[[#This Row],[Column262]]</f>
        <v>96.08</v>
      </c>
      <c r="JC31">
        <f>SOFR3mo_PX[[#This Row],[Column263]]</f>
        <v>96.09</v>
      </c>
      <c r="JD31">
        <f>SOFR3mo_PX[[#This Row],[Column264]]</f>
        <v>96.144999999999996</v>
      </c>
      <c r="JE31">
        <f>SOFR3mo_PX[[#This Row],[Column265]]</f>
        <v>96.144999999999996</v>
      </c>
      <c r="JF31">
        <f>SOFR3mo_PX[[#This Row],[Column266]]</f>
        <v>96.084999999999994</v>
      </c>
      <c r="JG31">
        <f>SOFR3mo_PX[[#This Row],[Column267]]</f>
        <v>96.165000000000006</v>
      </c>
      <c r="JH31">
        <f>SOFR3mo_PX[[#This Row],[Column268]]</f>
        <v>96.1</v>
      </c>
      <c r="JI31">
        <f>SOFR3mo_PX[[#This Row],[Column269]]</f>
        <v>96.045000000000002</v>
      </c>
      <c r="JJ31">
        <f>SOFR3mo_PX[[#This Row],[Column270]]</f>
        <v>95.93</v>
      </c>
      <c r="JK31">
        <f>SOFR3mo_PX[[#This Row],[Column271]]</f>
        <v>95.85</v>
      </c>
      <c r="JL31">
        <f>SOFR3mo_PX[[#This Row],[Column272]]</f>
        <v>95.894999999999996</v>
      </c>
      <c r="JM31">
        <f>SOFR3mo_PX[[#This Row],[Column273]]</f>
        <v>96.045000000000002</v>
      </c>
      <c r="JN31">
        <f>SOFR3mo_PX[[#This Row],[Column274]]</f>
        <v>96.045000000000002</v>
      </c>
      <c r="JO31">
        <f>SOFR3mo_PX[[#This Row],[Column275]]</f>
        <v>96.01</v>
      </c>
      <c r="JP31">
        <f>SOFR3mo_PX[[#This Row],[Column276]]</f>
        <v>95.935000000000002</v>
      </c>
      <c r="JQ31">
        <f>SOFR3mo_PX[[#This Row],[Column277]]</f>
        <v>95.82</v>
      </c>
      <c r="JR31">
        <f>SOFR3mo_PX[[#This Row],[Column278]]</f>
        <v>95.795000000000002</v>
      </c>
      <c r="JS31">
        <f>SOFR3mo_PX[[#This Row],[Column279]]</f>
        <v>95.734999999999999</v>
      </c>
      <c r="JT31">
        <f>SOFR3mo_PX[[#This Row],[Column280]]</f>
        <v>95.84</v>
      </c>
      <c r="JU31">
        <f>SOFR3mo_PX[[#This Row],[Column281]]</f>
        <v>95.915000000000006</v>
      </c>
      <c r="JV31">
        <f>SOFR3mo_PX[[#This Row],[Column282]]</f>
        <v>95.915000000000006</v>
      </c>
      <c r="JW31">
        <f>SOFR3mo_PX[[#This Row],[Column283]]</f>
        <v>95.894999999999996</v>
      </c>
      <c r="JX31">
        <f>SOFR3mo_PX[[#This Row],[Column284]]</f>
        <v>95.894999999999996</v>
      </c>
      <c r="JY31">
        <f>SOFR3mo_PX[[#This Row],[Column285]]</f>
        <v>95.9</v>
      </c>
      <c r="JZ31">
        <f>SOFR3mo_PX[[#This Row],[Column286]]</f>
        <v>95.87</v>
      </c>
      <c r="KA31">
        <f>SOFR3mo_PX[[#This Row],[Column287]]</f>
        <v>95.89</v>
      </c>
      <c r="KB31">
        <f>SOFR3mo_PX[[#This Row],[Column288]]</f>
        <v>95.935000000000002</v>
      </c>
      <c r="KC31">
        <f>SOFR3mo_PX[[#This Row],[Column289]]</f>
        <v>95.94</v>
      </c>
      <c r="KD31">
        <f>SOFR3mo_PX[[#This Row],[Column290]]</f>
        <v>95.87</v>
      </c>
      <c r="KE31">
        <f>SOFR3mo_PX[[#This Row],[Column291]]</f>
        <v>95.834999999999994</v>
      </c>
      <c r="KF31">
        <f>SOFR3mo_PX[[#This Row],[Column292]]</f>
        <v>95.81</v>
      </c>
      <c r="KG31">
        <f>SOFR3mo_PX[[#This Row],[Column293]]</f>
        <v>95.864999999999995</v>
      </c>
      <c r="KH31">
        <f>SOFR3mo_PX[[#This Row],[Column294]]</f>
        <v>95.834999999999994</v>
      </c>
      <c r="KI31">
        <f>SOFR3mo_PX[[#This Row],[Column295]]</f>
        <v>95.875</v>
      </c>
      <c r="KJ31">
        <f>SOFR3mo_PX[[#This Row],[Column296]]</f>
        <v>95.83</v>
      </c>
      <c r="KK31">
        <f>SOFR3mo_PX[[#This Row],[Column297]]</f>
        <v>95.81</v>
      </c>
      <c r="KL31">
        <f>SOFR3mo_PX[[#This Row],[Column298]]</f>
        <v>95.734999999999999</v>
      </c>
      <c r="KM31">
        <f>SOFR3mo_PX[[#This Row],[Column299]]</f>
        <v>95.72</v>
      </c>
      <c r="KN31">
        <f>SOFR3mo_PX[[#This Row],[Column300]]</f>
        <v>95.655000000000001</v>
      </c>
      <c r="KO31">
        <f>SOFR3mo_PX[[#This Row],[Column301]]</f>
        <v>95.724999999999994</v>
      </c>
      <c r="KP31">
        <f>SOFR3mo_PX[[#This Row],[Column302]]</f>
        <v>95.644999999999996</v>
      </c>
      <c r="KQ31">
        <f>SOFR3mo_PX[[#This Row],[Column303]]</f>
        <v>95.605000000000004</v>
      </c>
      <c r="KR31">
        <f>SOFR3mo_PX[[#This Row],[Column304]]</f>
        <v>95.665000000000006</v>
      </c>
      <c r="KS31">
        <f>SOFR3mo_PX[[#This Row],[Column305]]</f>
        <v>95.74</v>
      </c>
      <c r="KT31">
        <f>SOFR3mo_PX[[#This Row],[Column306]]</f>
        <v>95.72</v>
      </c>
      <c r="KU31">
        <f>SOFR3mo_PX[[#This Row],[Column307]]</f>
        <v>95.734999999999999</v>
      </c>
      <c r="KV31">
        <f>SOFR3mo_PX[[#This Row],[Column308]]</f>
        <v>95.7</v>
      </c>
      <c r="KW31">
        <f>SOFR3mo_PX[[#This Row],[Column309]]</f>
        <v>95.76</v>
      </c>
      <c r="KX31">
        <f>SOFR3mo_PX[[#This Row],[Column310]]</f>
        <v>95.685000000000002</v>
      </c>
      <c r="KY31">
        <f>SOFR3mo_PX[[#This Row],[Column311]]</f>
        <v>95.72</v>
      </c>
      <c r="KZ31">
        <f>SOFR3mo_PX[[#This Row],[Column312]]</f>
        <v>95.86</v>
      </c>
      <c r="LA31">
        <f>SOFR3mo_PX[[#This Row],[Column313]]</f>
        <v>95.77</v>
      </c>
      <c r="LB31">
        <f>SOFR3mo_PX[[#This Row],[Column314]]</f>
        <v>95.8</v>
      </c>
      <c r="LC31">
        <f>SOFR3mo_PX[[#This Row],[Column315]]</f>
        <v>95.944999999999993</v>
      </c>
      <c r="LD31">
        <f>SOFR3mo_PX[[#This Row],[Column316]]</f>
        <v>95.885000000000005</v>
      </c>
      <c r="LE31">
        <f>SOFR3mo_PX[[#This Row],[Column317]]</f>
        <v>95.93</v>
      </c>
      <c r="LF31">
        <f>SOFR3mo_PX[[#This Row],[Column318]]</f>
        <v>95.98</v>
      </c>
      <c r="LG31">
        <f>SOFR3mo_PX[[#This Row],[Column319]]</f>
        <v>95.93</v>
      </c>
      <c r="LH31">
        <f>SOFR3mo_PX[[#This Row],[Column320]]</f>
        <v>95.92</v>
      </c>
      <c r="LI31">
        <f>SOFR3mo_PX[[#This Row],[Column321]]</f>
        <v>95.965000000000003</v>
      </c>
      <c r="LJ31">
        <f>SOFR3mo_PX[[#This Row],[Column322]]</f>
        <v>96.094999999999999</v>
      </c>
      <c r="LK31">
        <f>SOFR3mo_PX[[#This Row],[Column323]]</f>
        <v>96.094999999999999</v>
      </c>
      <c r="LL31">
        <f>SOFR3mo_PX[[#This Row],[Column324]]</f>
        <v>96.06</v>
      </c>
      <c r="LM31">
        <f>SOFR3mo_PX[[#This Row],[Column325]]</f>
        <v>96.025000000000006</v>
      </c>
      <c r="LN31">
        <f>SOFR3mo_PX[[#This Row],[Column326]]</f>
        <v>95.995000000000005</v>
      </c>
      <c r="LO31">
        <f>SOFR3mo_PX[[#This Row],[Column327]]</f>
        <v>96.03</v>
      </c>
      <c r="LP31">
        <f>SOFR3mo_PX[[#This Row],[Column328]]</f>
        <v>95.97</v>
      </c>
      <c r="LQ31">
        <f>SOFR3mo_PX[[#This Row],[Column329]]</f>
        <v>95.974999999999994</v>
      </c>
      <c r="LR31">
        <f>SOFR3mo_PX[[#This Row],[Column330]]</f>
        <v>96.004999999999995</v>
      </c>
      <c r="LS31">
        <f>SOFR3mo_PX[[#This Row],[Column331]]</f>
        <v>95.974999999999994</v>
      </c>
      <c r="LT31">
        <f>SOFR3mo_PX[[#This Row],[Column332]]</f>
        <v>96.015000000000001</v>
      </c>
      <c r="LU31">
        <f>SOFR3mo_PX[[#This Row],[Column333]]</f>
        <v>96</v>
      </c>
      <c r="LV31">
        <f>SOFR3mo_PX[[#This Row],[Column334]]</f>
        <v>96.11</v>
      </c>
      <c r="LW31">
        <f>SOFR3mo_PX[[#This Row],[Column335]]</f>
        <v>96.125</v>
      </c>
      <c r="LX31">
        <f>SOFR3mo_PX[[#This Row],[Column336]]</f>
        <v>96.174999999999997</v>
      </c>
      <c r="LY31">
        <f>SOFR3mo_PX[[#This Row],[Column337]]</f>
        <v>96.17</v>
      </c>
      <c r="LZ31">
        <f>SOFR3mo_PX[[#This Row],[Column338]]</f>
        <v>96.19</v>
      </c>
      <c r="MA31">
        <f>SOFR3mo_PX[[#This Row],[Column339]]</f>
        <v>96.185000000000002</v>
      </c>
      <c r="MB31">
        <f>SOFR3mo_PX[[#This Row],[Column340]]</f>
        <v>96.144999999999996</v>
      </c>
      <c r="MC31">
        <f>SOFR3mo_PX[[#This Row],[Column341]]</f>
        <v>96.055000000000007</v>
      </c>
      <c r="MD31">
        <f>SOFR3mo_PX[[#This Row],[Column342]]</f>
        <v>96.084999999999994</v>
      </c>
      <c r="ME31">
        <f>SOFR3mo_PX[[#This Row],[Column343]]</f>
        <v>96.04</v>
      </c>
      <c r="MF31">
        <f>SOFR3mo_PX[[#This Row],[Column344]]</f>
        <v>96.03</v>
      </c>
      <c r="MG31">
        <f>SOFR3mo_PX[[#This Row],[Column345]]</f>
        <v>96.034999999999997</v>
      </c>
      <c r="MH31">
        <f>SOFR3mo_PX[[#This Row],[Column346]]</f>
        <v>96.055000000000007</v>
      </c>
      <c r="MI31">
        <f>SOFR3mo_PX[[#This Row],[Column347]]</f>
        <v>96.064999999999998</v>
      </c>
      <c r="MJ31">
        <f>SOFR3mo_PX[[#This Row],[Column348]]</f>
        <v>95.97</v>
      </c>
      <c r="MK31">
        <f>SOFR3mo_PX[[#This Row],[Column349]]</f>
        <v>95.94</v>
      </c>
      <c r="ML31">
        <f>SOFR3mo_PX[[#This Row],[Column350]]</f>
        <v>95.984999999999999</v>
      </c>
      <c r="MM31">
        <f>SOFR3mo_PX[[#This Row],[Column351]]</f>
        <v>95.96</v>
      </c>
      <c r="MN31">
        <f>SOFR3mo_PX[[#This Row],[Column352]]</f>
        <v>95.96</v>
      </c>
      <c r="MO31">
        <f>SOFR3mo_PX[[#This Row],[Column353]]</f>
        <v>96</v>
      </c>
      <c r="MP31">
        <f>SOFR3mo_PX[[#This Row],[Column354]]</f>
        <v>95.974999999999994</v>
      </c>
      <c r="MQ31">
        <f>SOFR3mo_PX[[#This Row],[Column355]]</f>
        <v>95.935000000000002</v>
      </c>
      <c r="MR31">
        <f>SOFR3mo_PX[[#This Row],[Column356]]</f>
        <v>96.034999999999997</v>
      </c>
      <c r="MS31">
        <f>SOFR3mo_PX[[#This Row],[Column357]]</f>
        <v>96.015000000000001</v>
      </c>
      <c r="MT31">
        <f>SOFR3mo_PX[[#This Row],[Column358]]</f>
        <v>96.03</v>
      </c>
      <c r="MU31">
        <f>SOFR3mo_PX[[#This Row],[Column359]]</f>
        <v>96.114999999999995</v>
      </c>
      <c r="MV31">
        <f>SOFR3mo_PX[[#This Row],[Column360]]</f>
        <v>96.13</v>
      </c>
      <c r="MW31">
        <f>SOFR3mo_PX[[#This Row],[Column361]]</f>
        <v>96.04</v>
      </c>
      <c r="MX31">
        <f>SOFR3mo_PX[[#This Row],[Column362]]</f>
        <v>96.17</v>
      </c>
      <c r="MY31">
        <f>SOFR3mo_PX[[#This Row],[Column363]]</f>
        <v>96.33</v>
      </c>
      <c r="MZ31">
        <f>SOFR3mo_PX[[#This Row],[Column364]]</f>
        <v>96.21</v>
      </c>
      <c r="NA31">
        <f>SOFR3mo_PX[[#This Row],[Column365]]</f>
        <v>96.125</v>
      </c>
      <c r="NB31">
        <f>SOFR3mo_PX[[#This Row],[Column366]]</f>
        <v>96.055000000000007</v>
      </c>
      <c r="NC31">
        <f>SOFR3mo_PX[[#This Row],[Column367]]</f>
        <v>95.984999999999999</v>
      </c>
      <c r="ND31">
        <f>SOFR3mo_PX[[#This Row],[Column368]]</f>
        <v>96.02</v>
      </c>
      <c r="NE31">
        <f>SOFR3mo_PX[[#This Row],[Column369]]</f>
        <v>95.99</v>
      </c>
      <c r="NF31">
        <f>SOFR3mo_PX[[#This Row],[Column370]]</f>
        <v>96.034999999999997</v>
      </c>
      <c r="NG31">
        <f>SOFR3mo_PX[[#This Row],[Column371]]</f>
        <v>96.09</v>
      </c>
      <c r="NH31">
        <f>SOFR3mo_PX[[#This Row],[Column372]]</f>
        <v>96.034999999999997</v>
      </c>
      <c r="NI31">
        <f>SOFR3mo_PX[[#This Row],[Column373]]</f>
        <v>96.025000000000006</v>
      </c>
      <c r="NJ31">
        <f>SOFR3mo_PX[[#This Row],[Column374]]</f>
        <v>96.06</v>
      </c>
      <c r="NK31">
        <f>SOFR3mo_PX[[#This Row],[Column375]]</f>
        <v>96.07</v>
      </c>
      <c r="NL31">
        <f>SOFR3mo_PX[[#This Row],[Column376]]</f>
        <v>96.185000000000002</v>
      </c>
      <c r="NM31">
        <f>SOFR3mo_PX[[#This Row],[Column377]]</f>
        <v>96.185000000000002</v>
      </c>
      <c r="NN31">
        <f>SOFR3mo_PX[[#This Row],[Column378]]</f>
        <v>96.22</v>
      </c>
      <c r="NO31">
        <f>SOFR3mo_PX[[#This Row],[Column379]]</f>
        <v>96.18</v>
      </c>
      <c r="NP31">
        <f>SOFR3mo_PX[[#This Row],[Column380]]</f>
        <v>96.19</v>
      </c>
      <c r="NQ31">
        <f>SOFR3mo_PX[[#This Row],[Column381]]</f>
        <v>96.194999999999993</v>
      </c>
      <c r="NR31">
        <f>SOFR3mo_PX[[#This Row],[Column382]]</f>
        <v>96.19</v>
      </c>
      <c r="NS31">
        <f>SOFR3mo_PX[[#This Row],[Column383]]</f>
        <v>96.245000000000005</v>
      </c>
      <c r="NT31">
        <f>SOFR3mo_PX[[#This Row],[Column384]]</f>
        <v>96.325000000000003</v>
      </c>
      <c r="NU31">
        <f>SOFR3mo_PX[[#This Row],[Column385]]</f>
        <v>96.28</v>
      </c>
      <c r="NV31">
        <f>SOFR3mo_PX[[#This Row],[Column386]]</f>
        <v>96.314999999999998</v>
      </c>
      <c r="NW31">
        <f>SOFR3mo_PX[[#This Row],[Column387]]</f>
        <v>96.314999999999998</v>
      </c>
      <c r="NX31">
        <f>SOFR3mo_PX[[#This Row],[Column388]]</f>
        <v>96.34</v>
      </c>
      <c r="NY31">
        <f>SOFR3mo_PX[[#This Row],[Column389]]</f>
        <v>96.41</v>
      </c>
      <c r="NZ31">
        <f>SOFR3mo_PX[[#This Row],[Column390]]</f>
        <v>96.305000000000007</v>
      </c>
      <c r="OA31">
        <f>SOFR3mo_PX[[#This Row],[Column391]]</f>
        <v>96.29</v>
      </c>
      <c r="OB31">
        <f>SOFR3mo_PX[[#This Row],[Column392]]</f>
        <v>96.29</v>
      </c>
      <c r="OC31">
        <f>SOFR3mo_PX[[#This Row],[Column393]]</f>
        <v>96.325000000000003</v>
      </c>
      <c r="OD31">
        <f>SOFR3mo_PX[[#This Row],[Column394]]</f>
        <v>96.36</v>
      </c>
      <c r="OE31">
        <f>SOFR3mo_PX[[#This Row],[Column395]]</f>
        <v>96.34</v>
      </c>
      <c r="OF31">
        <f>SOFR3mo_PX[[#This Row],[Column396]]</f>
        <v>96.305000000000007</v>
      </c>
      <c r="OG31">
        <f>SOFR3mo_PX[[#This Row],[Column397]]</f>
        <v>96.34</v>
      </c>
      <c r="OH31">
        <f>SOFR3mo_PX[[#This Row],[Column398]]</f>
        <v>96.314999999999998</v>
      </c>
      <c r="OI31">
        <f>SOFR3mo_PX[[#This Row],[Column399]]</f>
        <v>96.215000000000003</v>
      </c>
      <c r="OJ31">
        <f>SOFR3mo_PX[[#This Row],[Column400]]</f>
        <v>96.064999999999998</v>
      </c>
      <c r="OK31">
        <f>SOFR3mo_PX[[#This Row],[Column401]]</f>
        <v>96.01</v>
      </c>
      <c r="OL31">
        <f>SOFR3mo_PX[[#This Row],[Column402]]</f>
        <v>96.004999999999995</v>
      </c>
      <c r="OM31">
        <f>SOFR3mo_PX[[#This Row],[Column403]]</f>
        <v>96.114999999999995</v>
      </c>
      <c r="ON31">
        <f>SOFR3mo_PX[[#This Row],[Column404]]</f>
        <v>96.11</v>
      </c>
      <c r="OO31">
        <f>SOFR3mo_PX[[#This Row],[Column405]]</f>
        <v>96.045000000000002</v>
      </c>
      <c r="OP31">
        <f>SOFR3mo_PX[[#This Row],[Column406]]</f>
        <v>95.91</v>
      </c>
      <c r="OQ31">
        <f>SOFR3mo_PX[[#This Row],[Column407]]</f>
        <v>95.94</v>
      </c>
      <c r="OR31">
        <f>SOFR3mo_PX[[#This Row],[Column408]]</f>
        <v>95.825000000000003</v>
      </c>
      <c r="OS31">
        <f>SOFR3mo_PX[[#This Row],[Column409]]</f>
        <v>95.91</v>
      </c>
      <c r="OT31">
        <f>SOFR3mo_PX[[#This Row],[Column410]]</f>
        <v>95.834999999999994</v>
      </c>
      <c r="OU31">
        <f>SOFR3mo_PX[[#This Row],[Column411]]</f>
        <v>95.83</v>
      </c>
      <c r="OV31">
        <f>SOFR3mo_PX[[#This Row],[Column412]]</f>
        <v>95.715000000000003</v>
      </c>
      <c r="OW31">
        <f>SOFR3mo_PX[[#This Row],[Column413]]</f>
        <v>95.775000000000006</v>
      </c>
      <c r="OX31">
        <f>SOFR3mo_PX[[#This Row],[Column414]]</f>
        <v>95.775000000000006</v>
      </c>
      <c r="OY31">
        <f>SOFR3mo_PX[[#This Row],[Column415]]</f>
        <v>95.765000000000001</v>
      </c>
      <c r="OZ31">
        <f>SOFR3mo_PX[[#This Row],[Column416]]</f>
        <v>95.784999999999997</v>
      </c>
      <c r="PA31">
        <f>SOFR3mo_PX[[#This Row],[Column417]]</f>
        <v>95.74</v>
      </c>
      <c r="PB31">
        <f>SOFR3mo_PX[[#This Row],[Column418]]</f>
        <v>95.72</v>
      </c>
      <c r="PC31">
        <f>SOFR3mo_PX[[#This Row],[Column419]]</f>
        <v>95.625</v>
      </c>
      <c r="PD31">
        <f>SOFR3mo_PX[[#This Row],[Column420]]</f>
        <v>95.71</v>
      </c>
      <c r="PE31">
        <f>SOFR3mo_PX[[#This Row],[Column421]]</f>
        <v>95.54</v>
      </c>
      <c r="PF31">
        <f>SOFR3mo_PX[[#This Row],[Column422]]</f>
        <v>95.534999999999997</v>
      </c>
      <c r="PG31">
        <f>SOFR3mo_PX[[#This Row],[Column423]]</f>
        <v>95.515000000000001</v>
      </c>
      <c r="PH31">
        <f>SOFR3mo_PX[[#This Row],[Column424]]</f>
        <v>95.644999999999996</v>
      </c>
      <c r="PI31">
        <f>SOFR3mo_PX[[#This Row],[Column425]]</f>
        <v>95.56</v>
      </c>
      <c r="PJ31">
        <f>SOFR3mo_PX[[#This Row],[Column426]]</f>
        <v>95.444999999999993</v>
      </c>
      <c r="PK31">
        <f>SOFR3mo_PX[[#This Row],[Column427]]</f>
        <v>95.555000000000007</v>
      </c>
      <c r="PL31">
        <f>SOFR3mo_PX[[#This Row],[Column428]]</f>
        <v>95.435000000000002</v>
      </c>
      <c r="PM31">
        <f>SOFR3mo_PX[[#This Row],[Column429]]</f>
        <v>95.305000000000007</v>
      </c>
      <c r="PN31">
        <f>SOFR3mo_PX[[#This Row],[Column430]]</f>
        <v>95.215000000000003</v>
      </c>
      <c r="PO31">
        <f>SOFR3mo_PX[[#This Row],[Column431]]</f>
        <v>95.204999999999998</v>
      </c>
      <c r="PP31">
        <f>SOFR3mo_PX[[#This Row],[Column432]]</f>
        <v>95.215000000000003</v>
      </c>
      <c r="PQ31">
        <f>SOFR3mo_PX[[#This Row],[Column433]]</f>
        <v>95.22</v>
      </c>
      <c r="PR31">
        <f>SOFR3mo_PX[[#This Row],[Column434]]</f>
        <v>95.11</v>
      </c>
      <c r="PS31">
        <f>SOFR3mo_PX[[#This Row],[Column435]]</f>
        <v>95.25</v>
      </c>
      <c r="PT31">
        <f>SOFR3mo_PX[[#This Row],[Column436]]</f>
        <v>95.245000000000005</v>
      </c>
      <c r="PU31">
        <f>SOFR3mo_PX[[#This Row],[Column437]]</f>
        <v>95.14</v>
      </c>
      <c r="PV31">
        <f>SOFR3mo_PX[[#This Row],[Column438]]</f>
        <v>95.064999999999998</v>
      </c>
      <c r="PW31">
        <f>SOFR3mo_PX[[#This Row],[Column439]]</f>
        <v>95.194999999999993</v>
      </c>
      <c r="PX31">
        <f>SOFR3mo_PX[[#This Row],[Column440]]</f>
        <v>95.24</v>
      </c>
      <c r="PY31">
        <f>SOFR3mo_PX[[#This Row],[Column441]]</f>
        <v>95.364999999999995</v>
      </c>
      <c r="PZ31">
        <f>SOFR3mo_PX[[#This Row],[Column442]]</f>
        <v>95.44</v>
      </c>
      <c r="QA31">
        <f>SOFR3mo_PX[[#This Row],[Column443]]</f>
        <v>95.334999999999994</v>
      </c>
      <c r="QB31">
        <f>SOFR3mo_PX[[#This Row],[Column444]]</f>
        <v>95.45</v>
      </c>
      <c r="QC31">
        <f>SOFR3mo_PX[[#This Row],[Column445]]</f>
        <v>95.36</v>
      </c>
      <c r="QD31">
        <f>SOFR3mo_PX[[#This Row],[Column446]]</f>
        <v>95.34</v>
      </c>
      <c r="QE31">
        <f>SOFR3mo_PX[[#This Row],[Column447]]</f>
        <v>95.215000000000003</v>
      </c>
      <c r="QF31">
        <f>SOFR3mo_PX[[#This Row],[Column448]]</f>
        <v>95.275000000000006</v>
      </c>
      <c r="QG31">
        <f>SOFR3mo_PX[[#This Row],[Column449]]</f>
        <v>95.25</v>
      </c>
      <c r="QH31">
        <f>SOFR3mo_PX[[#This Row],[Column450]]</f>
        <v>95.194999999999993</v>
      </c>
      <c r="QI31">
        <f>SOFR3mo_PX[[#This Row],[Column451]]</f>
        <v>95.325000000000003</v>
      </c>
      <c r="QJ31">
        <f>SOFR3mo_PX[[#This Row],[Column452]]</f>
        <v>95.484999999999999</v>
      </c>
      <c r="QK31">
        <f>SOFR3mo_PX[[#This Row],[Column453]]</f>
        <v>95.47</v>
      </c>
      <c r="QL31">
        <f>SOFR3mo_PX[[#This Row],[Column454]]</f>
        <v>95.495000000000005</v>
      </c>
      <c r="QM31">
        <f>SOFR3mo_PX[[#This Row],[Column455]]</f>
        <v>95.57</v>
      </c>
      <c r="QN31">
        <f>SOFR3mo_PX[[#This Row],[Column456]]</f>
        <v>95.58</v>
      </c>
      <c r="QO31">
        <f>SOFR3mo_PX[[#This Row],[Column457]]</f>
        <v>95.73</v>
      </c>
      <c r="QP31">
        <f>SOFR3mo_PX[[#This Row],[Column458]]</f>
        <v>95.7</v>
      </c>
      <c r="QQ31">
        <f>SOFR3mo_PX[[#This Row],[Column459]]</f>
        <v>95.87</v>
      </c>
      <c r="QR31">
        <f>SOFR3mo_PX[[#This Row],[Column460]]</f>
        <v>95.86</v>
      </c>
      <c r="QS31">
        <f>SOFR3mo_PX[[#This Row],[Column461]]</f>
        <v>95.894999999999996</v>
      </c>
      <c r="QT31">
        <f>SOFR3mo_PX[[#This Row],[Column462]]</f>
        <v>95.875</v>
      </c>
      <c r="QU31">
        <f>SOFR3mo_PX[[#This Row],[Column463]]</f>
        <v>95.91</v>
      </c>
      <c r="QV31">
        <f>SOFR3mo_PX[[#This Row],[Column464]]</f>
        <v>95.97</v>
      </c>
      <c r="QW31">
        <f>SOFR3mo_PX[[#This Row],[Column465]]</f>
        <v>95.95</v>
      </c>
      <c r="QX31">
        <f>SOFR3mo_PX[[#This Row],[Column466]]</f>
        <v>95.905000000000001</v>
      </c>
      <c r="QY31">
        <f>SOFR3mo_PX[[#This Row],[Column467]]</f>
        <v>95.944999999999993</v>
      </c>
      <c r="QZ31">
        <f>SOFR3mo_PX[[#This Row],[Column468]]</f>
        <v>95.935000000000002</v>
      </c>
      <c r="RA31">
        <f>SOFR3mo_PX[[#This Row],[Column469]]</f>
        <v>95.92</v>
      </c>
      <c r="RB31">
        <f>SOFR3mo_PX[[#This Row],[Column470]]</f>
        <v>95.915000000000006</v>
      </c>
      <c r="RC31">
        <f>SOFR3mo_PX[[#This Row],[Column471]]</f>
        <v>95.984999999999999</v>
      </c>
      <c r="RD31">
        <f>SOFR3mo_PX[[#This Row],[Column472]]</f>
        <v>95.984999999999999</v>
      </c>
      <c r="RE31">
        <f>SOFR3mo_PX[[#This Row],[Column473]]</f>
        <v>96.08</v>
      </c>
      <c r="RF31">
        <f>SOFR3mo_PX[[#This Row],[Column474]]</f>
        <v>96.055000000000007</v>
      </c>
      <c r="RG31">
        <f>SOFR3mo_PX[[#This Row],[Column475]]</f>
        <v>96.06</v>
      </c>
      <c r="RH31">
        <f>SOFR3mo_PX[[#This Row],[Column476]]</f>
        <v>96.015000000000001</v>
      </c>
      <c r="RI31">
        <f>SOFR3mo_PX[[#This Row],[Column477]]</f>
        <v>95.974999999999994</v>
      </c>
      <c r="RJ31">
        <f>SOFR3mo_PX[[#This Row],[Column478]]</f>
        <v>95.97</v>
      </c>
      <c r="RK31">
        <f>SOFR3mo_PX[[#This Row],[Column479]]</f>
        <v>95.995000000000005</v>
      </c>
      <c r="RL31">
        <f>SOFR3mo_PX[[#This Row],[Column480]]</f>
        <v>95.844999999999999</v>
      </c>
      <c r="RM31">
        <f>SOFR3mo_PX[[#This Row],[Column481]]</f>
        <v>95.814999999999998</v>
      </c>
      <c r="RN31">
        <f>SOFR3mo_PX[[#This Row],[Column482]]</f>
        <v>95.91</v>
      </c>
      <c r="RO31">
        <f>SOFR3mo_PX[[#This Row],[Column483]]</f>
        <v>95.834999999999994</v>
      </c>
      <c r="RP31">
        <f>SOFR3mo_PX[[#This Row],[Column484]]</f>
        <v>95.92</v>
      </c>
      <c r="RQ31">
        <f>SOFR3mo_PX[[#This Row],[Column485]]</f>
        <v>95.954999999999998</v>
      </c>
      <c r="RR31">
        <f>SOFR3mo_PX[[#This Row],[Column486]]</f>
        <v>96.015000000000001</v>
      </c>
      <c r="RS31">
        <f>SOFR3mo_PX[[#This Row],[Column487]]</f>
        <v>95.99</v>
      </c>
      <c r="RT31">
        <f>SOFR3mo_PX[[#This Row],[Column488]]</f>
        <v>96.08</v>
      </c>
      <c r="RU31">
        <f>SOFR3mo_PX[[#This Row],[Column489]]</f>
        <v>96.185000000000002</v>
      </c>
      <c r="RV31">
        <f>SOFR3mo_PX[[#This Row],[Column490]]</f>
        <v>96.15</v>
      </c>
      <c r="RW31">
        <f>SOFR3mo_PX[[#This Row],[Column491]]</f>
        <v>96.084999999999994</v>
      </c>
      <c r="RX31">
        <f>SOFR3mo_PX[[#This Row],[Column492]]</f>
        <v>96.1</v>
      </c>
      <c r="RY31">
        <f>SOFR3mo_PX[[#This Row],[Column493]]</f>
        <v>95.954999999999998</v>
      </c>
      <c r="RZ31">
        <f>SOFR3mo_PX[[#This Row],[Column494]]</f>
        <v>96.125</v>
      </c>
      <c r="SA31">
        <f>SOFR3mo_PX[[#This Row],[Column495]]</f>
        <v>96.18</v>
      </c>
      <c r="SB31">
        <f>SOFR3mo_PX[[#This Row],[Column496]]</f>
        <v>96.27</v>
      </c>
      <c r="SC31">
        <f>SOFR3mo_PX[[#This Row],[Column497]]</f>
        <v>96.265000000000001</v>
      </c>
      <c r="SD31">
        <f>SOFR3mo_PX[[#This Row],[Column498]]</f>
        <v>96.22</v>
      </c>
      <c r="SE31">
        <f>SOFR3mo_PX[[#This Row],[Column499]]</f>
        <v>96.39</v>
      </c>
      <c r="SF31">
        <f>SOFR3mo_PX[[#This Row],[Column500]]</f>
        <v>96.34</v>
      </c>
      <c r="SG31">
        <f>SOFR3mo_PX[[#This Row],[Column501]]</f>
        <v>96.4</v>
      </c>
      <c r="SH31">
        <f>SOFR3mo_PX[[#This Row],[Column502]]</f>
        <v>96.41</v>
      </c>
      <c r="SI31">
        <f>SOFR3mo_PX[[#This Row],[Column503]]</f>
        <v>96.39</v>
      </c>
      <c r="SJ31">
        <f>SOFR3mo_PX[[#This Row],[Column504]]</f>
        <v>96.51</v>
      </c>
      <c r="SK31">
        <f>SOFR3mo_PX[[#This Row],[Column505]]</f>
        <v>96.47</v>
      </c>
      <c r="SL31">
        <f>SOFR3mo_PX[[#This Row],[Column506]]</f>
        <v>96.454999999999998</v>
      </c>
      <c r="SM31">
        <f>SOFR3mo_PX[[#This Row],[Column507]]</f>
        <v>96.415000000000006</v>
      </c>
      <c r="SN31">
        <f>SOFR3mo_PX[[#This Row],[Column508]]</f>
        <v>96.424999999999997</v>
      </c>
      <c r="SO31">
        <f>SOFR3mo_PX[[#This Row],[Column509]]</f>
        <v>96.394999999999996</v>
      </c>
      <c r="SP31">
        <f>SOFR3mo_PX[[#This Row],[Column510]]</f>
        <v>96.305000000000007</v>
      </c>
      <c r="SQ31">
        <f>SOFR3mo_PX[[#This Row],[Column511]]</f>
        <v>96.24</v>
      </c>
      <c r="SR31">
        <f>SOFR3mo_PX[[#This Row],[Column512]]</f>
        <v>96.2</v>
      </c>
      <c r="SS31">
        <f>SOFR3mo_PX[[#This Row],[Column513]]</f>
        <v>96.254999999999995</v>
      </c>
      <c r="ST31">
        <f>SOFR3mo_PX[[#This Row],[Column514]]</f>
        <v>96.38</v>
      </c>
      <c r="SU31">
        <f>SOFR3mo_PX[[#This Row],[Column515]]</f>
        <v>96.484999999999999</v>
      </c>
      <c r="SV31">
        <f>SOFR3mo_PX[[#This Row],[Column516]]</f>
        <v>96.484999999999999</v>
      </c>
      <c r="SW31">
        <f>SOFR3mo_PX[[#This Row],[Column517]]</f>
        <v>96.52</v>
      </c>
      <c r="SX31">
        <f>SOFR3mo_PX[[#This Row],[Column518]]</f>
        <v>96.454999999999998</v>
      </c>
      <c r="SY31">
        <f>SOFR3mo_PX[[#This Row],[Column519]]</f>
        <v>96.6</v>
      </c>
      <c r="SZ31">
        <f>SOFR3mo_PX[[#This Row],[Column520]]</f>
        <v>96.545000000000002</v>
      </c>
      <c r="TA31">
        <f>SOFR3mo_PX[[#This Row],[Column521]]</f>
        <v>96.575000000000003</v>
      </c>
      <c r="TB31">
        <f>SOFR3mo_PX[[#This Row],[Column522]]</f>
        <v>96.545000000000002</v>
      </c>
      <c r="TC31">
        <f>SOFR3mo_PX[[#This Row],[Column523]]</f>
        <v>96.474999999999994</v>
      </c>
      <c r="TD31">
        <f>SOFR3mo_PX[[#This Row],[Column524]]</f>
        <v>96.55</v>
      </c>
      <c r="TE31">
        <f>SOFR3mo_PX[[#This Row],[Column525]]</f>
        <v>96.564999999999998</v>
      </c>
      <c r="TF31">
        <f>SOFR3mo_PX[[#This Row],[Column526]]</f>
        <v>96.495000000000005</v>
      </c>
      <c r="TG31">
        <f>SOFR3mo_PX[[#This Row],[Column527]]</f>
        <v>96.495000000000005</v>
      </c>
      <c r="TH31">
        <f>SOFR3mo_PX[[#This Row],[Column528]]</f>
        <v>96.53</v>
      </c>
      <c r="TI31">
        <f>SOFR3mo_PX[[#This Row],[Column529]]</f>
        <v>96.46</v>
      </c>
      <c r="TJ31">
        <f>SOFR3mo_PX[[#This Row],[Column530]]</f>
        <v>96.38</v>
      </c>
      <c r="TK31">
        <f>SOFR3mo_PX[[#This Row],[Column531]]</f>
        <v>96.454999999999998</v>
      </c>
      <c r="TL31">
        <f>SOFR3mo_PX[[#This Row],[Column532]]</f>
        <v>96.46</v>
      </c>
      <c r="TM31">
        <f>SOFR3mo_PX[[#This Row],[Column533]]</f>
        <v>96.465000000000003</v>
      </c>
      <c r="TN31">
        <f>SOFR3mo_PX[[#This Row],[Column534]]</f>
        <v>96.39</v>
      </c>
      <c r="TO31">
        <f>SOFR3mo_PX[[#This Row],[Column535]]</f>
        <v>96.495000000000005</v>
      </c>
      <c r="TP31">
        <f>SOFR3mo_PX[[#This Row],[Column536]]</f>
        <v>96.474999999999994</v>
      </c>
      <c r="TQ31">
        <f>SOFR3mo_PX[[#This Row],[Column537]]</f>
        <v>96.444999999999993</v>
      </c>
      <c r="TR31">
        <f>SOFR3mo_PX[[#This Row],[Column538]]</f>
        <v>96.545000000000002</v>
      </c>
      <c r="TS31">
        <f>SOFR3mo_PX[[#This Row],[Column539]]</f>
        <v>96.53</v>
      </c>
      <c r="TT31">
        <f>SOFR3mo_PX[[#This Row],[Column540]]</f>
        <v>96.484999999999999</v>
      </c>
      <c r="TU31">
        <f>SOFR3mo_PX[[#This Row],[Column541]]</f>
        <v>96.375</v>
      </c>
      <c r="TV31">
        <f>SOFR3mo_PX[[#This Row],[Column542]]</f>
        <v>96.375</v>
      </c>
      <c r="TW31">
        <f>SOFR3mo_PX[[#This Row],[Column543]]</f>
        <v>96.36</v>
      </c>
      <c r="TX31">
        <f>SOFR3mo_PX[[#This Row],[Column544]]</f>
        <v>96.444999999999993</v>
      </c>
      <c r="TY31">
        <f>SOFR3mo_PX[[#This Row],[Column545]]</f>
        <v>96.46</v>
      </c>
      <c r="TZ31">
        <f>SOFR3mo_PX[[#This Row],[Column546]]</f>
        <v>96.43</v>
      </c>
      <c r="UA31">
        <f>SOFR3mo_PX[[#This Row],[Column547]]</f>
        <v>96.42</v>
      </c>
      <c r="UB31">
        <f>SOFR3mo_PX[[#This Row],[Column548]]</f>
        <v>96.47</v>
      </c>
      <c r="UC31">
        <f>SOFR3mo_PX[[#This Row],[Column549]]</f>
        <v>96.525000000000006</v>
      </c>
      <c r="UD31">
        <f>SOFR3mo_PX[[#This Row],[Column550]]</f>
        <v>96.54</v>
      </c>
      <c r="UE31">
        <f>SOFR3mo_PX[[#This Row],[Column551]]</f>
        <v>96.594999999999999</v>
      </c>
      <c r="UF31">
        <f>SOFR3mo_PX[[#This Row],[Column552]]</f>
        <v>96.635000000000005</v>
      </c>
      <c r="UG31">
        <f>SOFR3mo_PX[[#This Row],[Column553]]</f>
        <v>96.674999999999997</v>
      </c>
      <c r="UH31">
        <f>SOFR3mo_PX[[#This Row],[Column554]]</f>
        <v>96.63</v>
      </c>
      <c r="UI31">
        <f>SOFR3mo_PX[[#This Row],[Column555]]</f>
        <v>96.564999999999998</v>
      </c>
      <c r="UJ31">
        <f>SOFR3mo_PX[[#This Row],[Column556]]</f>
        <v>96.575000000000003</v>
      </c>
      <c r="UK31">
        <f>SOFR3mo_PX[[#This Row],[Column557]]</f>
        <v>96.62</v>
      </c>
      <c r="UL31">
        <f>SOFR3mo_PX[[#This Row],[Column558]]</f>
        <v>96.69</v>
      </c>
      <c r="UM31">
        <f>SOFR3mo_PX[[#This Row],[Column559]]</f>
        <v>96.655000000000001</v>
      </c>
      <c r="UN31">
        <f>SOFR3mo_PX[[#This Row],[Column560]]</f>
        <v>96.644999999999996</v>
      </c>
      <c r="UO31">
        <f>SOFR3mo_PX[[#This Row],[Column561]]</f>
        <v>96.51</v>
      </c>
      <c r="UP31">
        <f>SOFR3mo_PX[[#This Row],[Column562]]</f>
        <v>96.64</v>
      </c>
      <c r="UQ31">
        <f>SOFR3mo_PX[[#This Row],[Column563]]</f>
        <v>96.625</v>
      </c>
      <c r="UR31">
        <f>SOFR3mo_PX[[#This Row],[Column564]]</f>
        <v>96.7</v>
      </c>
      <c r="US31">
        <f>SOFR3mo_PX[[#This Row],[Column565]]</f>
        <v>96.75</v>
      </c>
      <c r="UT31">
        <f>SOFR3mo_PX[[#This Row],[Column566]]</f>
        <v>96.69</v>
      </c>
      <c r="UU31">
        <f>SOFR3mo_PX[[#This Row],[Column567]]</f>
        <v>96.635000000000005</v>
      </c>
      <c r="UV31">
        <f>SOFR3mo_PX[[#This Row],[Column568]]</f>
        <v>96.68</v>
      </c>
      <c r="UW31">
        <f>SOFR3mo_PX[[#This Row],[Column569]]</f>
        <v>96.635000000000005</v>
      </c>
      <c r="UX31">
        <f>SOFR3mo_PX[[#This Row],[Column570]]</f>
        <v>96.655000000000001</v>
      </c>
      <c r="UY31">
        <f>SOFR3mo_PX[[#This Row],[Column571]]</f>
        <v>96.61</v>
      </c>
      <c r="UZ31">
        <f>SOFR3mo_PX[[#This Row],[Column572]]</f>
        <v>96.67</v>
      </c>
      <c r="VA31">
        <f>SOFR3mo_PX[[#This Row],[Column573]]</f>
        <v>96.724999999999994</v>
      </c>
      <c r="VB31">
        <f>SOFR3mo_PX[[#This Row],[Column574]]</f>
        <v>96.78</v>
      </c>
      <c r="VC31">
        <f>SOFR3mo_PX[[#This Row],[Column575]]</f>
        <v>96.775000000000006</v>
      </c>
      <c r="VD31">
        <f>SOFR3mo_PX[[#This Row],[Column576]]</f>
        <v>96.765000000000001</v>
      </c>
      <c r="VE31">
        <f>SOFR3mo_PX[[#This Row],[Column577]]</f>
        <v>96.82</v>
      </c>
      <c r="VF31">
        <f>SOFR3mo_PX[[#This Row],[Column578]]</f>
        <v>96.894999999999996</v>
      </c>
      <c r="VG31">
        <f>SOFR3mo_PX[[#This Row],[Column579]]</f>
        <v>96.88</v>
      </c>
      <c r="VH31">
        <f>SOFR3mo_PX[[#This Row],[Column580]]</f>
        <v>96.844999999999999</v>
      </c>
      <c r="VI31">
        <f>SOFR3mo_PX[[#This Row],[Column581]]</f>
        <v>96.784999999999997</v>
      </c>
      <c r="VJ31">
        <f>SOFR3mo_PX[[#This Row],[Column582]]</f>
        <v>96.73</v>
      </c>
      <c r="VK31">
        <f>SOFR3mo_PX[[#This Row],[Column583]]</f>
        <v>96.694999999999993</v>
      </c>
      <c r="VL31">
        <f>SOFR3mo_PX[[#This Row],[Column584]]</f>
        <v>96.67</v>
      </c>
      <c r="VM31">
        <f>SOFR3mo_PX[[#This Row],[Column585]]</f>
        <v>96.66</v>
      </c>
      <c r="VN31">
        <f>SOFR3mo_PX[[#This Row],[Column586]]</f>
        <v>96.69</v>
      </c>
      <c r="VO31">
        <f>SOFR3mo_PX[[#This Row],[Column587]]</f>
        <v>96.81</v>
      </c>
      <c r="VP31">
        <f>SOFR3mo_PX[[#This Row],[Column588]]</f>
        <v>96.77</v>
      </c>
      <c r="VQ31">
        <f>SOFR3mo_PX[[#This Row],[Column589]]</f>
        <v>96.72</v>
      </c>
      <c r="VR31">
        <f>SOFR3mo_PX[[#This Row],[Column590]]</f>
        <v>96.665000000000006</v>
      </c>
      <c r="VS31">
        <f>SOFR3mo_PX[[#This Row],[Column591]]</f>
        <v>96.69</v>
      </c>
      <c r="VT31">
        <f>SOFR3mo_PX[[#This Row],[Column592]]</f>
        <v>96.77</v>
      </c>
      <c r="VU31">
        <f>SOFR3mo_PX[[#This Row],[Column593]]</f>
        <v>96.584999999999994</v>
      </c>
      <c r="VV31">
        <f>SOFR3mo_PX[[#This Row],[Column594]]</f>
        <v>96.65</v>
      </c>
      <c r="VW31">
        <f>SOFR3mo_PX[[#This Row],[Column595]]</f>
        <v>96.564999999999998</v>
      </c>
      <c r="VX31">
        <f>SOFR3mo_PX[[#This Row],[Column596]]</f>
        <v>96.64</v>
      </c>
      <c r="VY31">
        <f>SOFR3mo_PX[[#This Row],[Column597]]</f>
        <v>96.62</v>
      </c>
      <c r="VZ31">
        <f>SOFR3mo_PX[[#This Row],[Column598]]</f>
        <v>96.42</v>
      </c>
      <c r="WA31">
        <f>SOFR3mo_PX[[#This Row],[Column599]]</f>
        <v>96.465000000000003</v>
      </c>
      <c r="WB31">
        <f>SOFR3mo_PX[[#This Row],[Column600]]</f>
        <v>96.444999999999993</v>
      </c>
      <c r="WC31">
        <f>SOFR3mo_PX[[#This Row],[Column601]]</f>
        <v>96.37</v>
      </c>
      <c r="WD31">
        <f>SOFR3mo_PX[[#This Row],[Column602]]</f>
        <v>96.37</v>
      </c>
      <c r="WE31">
        <f>SOFR3mo_PX[[#This Row],[Column603]]</f>
        <v>96.245000000000005</v>
      </c>
      <c r="WF31">
        <f>SOFR3mo_PX[[#This Row],[Column604]]</f>
        <v>96.35</v>
      </c>
      <c r="WG31">
        <f>SOFR3mo_PX[[#This Row],[Column605]]</f>
        <v>96.435000000000002</v>
      </c>
      <c r="WH31">
        <f>SOFR3mo_PX[[#This Row],[Column606]]</f>
        <v>96.435000000000002</v>
      </c>
      <c r="WI31">
        <f>SOFR3mo_PX[[#This Row],[Column607]]</f>
        <v>96.394999999999996</v>
      </c>
      <c r="WJ31">
        <f>SOFR3mo_PX[[#This Row],[Column608]]</f>
        <v>96.444999999999993</v>
      </c>
      <c r="WK31">
        <f>SOFR3mo_PX[[#This Row],[Column609]]</f>
        <v>96.394999999999996</v>
      </c>
      <c r="WL31">
        <f>SOFR3mo_PX[[#This Row],[Column610]]</f>
        <v>96.36</v>
      </c>
      <c r="WM31">
        <f>SOFR3mo_PX[[#This Row],[Column611]]</f>
        <v>96.51</v>
      </c>
      <c r="WN31">
        <f>SOFR3mo_PX[[#This Row],[Column612]]</f>
        <v>96.51</v>
      </c>
      <c r="WO31">
        <f>SOFR3mo_PX[[#This Row],[Column613]]</f>
        <v>96.49</v>
      </c>
      <c r="WP31">
        <f>SOFR3mo_PX[[#This Row],[Column614]]</f>
        <v>96.53</v>
      </c>
      <c r="WQ31">
        <f>SOFR3mo_PX[[#This Row],[Column615]]</f>
        <v>96.594999999999999</v>
      </c>
      <c r="WR31">
        <f>SOFR3mo_PX[[#This Row],[Column616]]</f>
        <v>96.58</v>
      </c>
      <c r="WS31">
        <f>SOFR3mo_PX[[#This Row],[Column617]]</f>
        <v>96.55</v>
      </c>
      <c r="WT31">
        <f>SOFR3mo_PX[[#This Row],[Column618]]</f>
        <v>96.614999999999995</v>
      </c>
      <c r="WU31">
        <f>SOFR3mo_PX[[#This Row],[Column619]]</f>
        <v>96.635000000000005</v>
      </c>
      <c r="WV31">
        <f>SOFR3mo_PX[[#This Row],[Column620]]</f>
        <v>96.614999999999995</v>
      </c>
      <c r="WW31">
        <f>SOFR3mo_PX[[#This Row],[Column621]]</f>
        <v>96.64</v>
      </c>
      <c r="WX31">
        <f>SOFR3mo_PX[[#This Row],[Column622]]</f>
        <v>96.715000000000003</v>
      </c>
      <c r="WY31">
        <f>SOFR3mo_PX[[#This Row],[Column623]]</f>
        <v>96.805000000000007</v>
      </c>
      <c r="WZ31">
        <f>SOFR3mo_PX[[#This Row],[Column624]]</f>
        <v>96.834999999999994</v>
      </c>
      <c r="XA31">
        <f>SOFR3mo_PX[[#This Row],[Column625]]</f>
        <v>96.734999999999999</v>
      </c>
      <c r="XB31">
        <f>SOFR3mo_PX[[#This Row],[Column626]]</f>
        <v>96.704999999999998</v>
      </c>
      <c r="XC31">
        <f>SOFR3mo_PX[[#This Row],[Column627]]</f>
        <v>96.74</v>
      </c>
      <c r="XD31">
        <f>SOFR3mo_PX[[#This Row],[Column628]]</f>
        <v>96.79</v>
      </c>
      <c r="XE31">
        <f>SOFR3mo_PX[[#This Row],[Column629]]</f>
        <v>96.805000000000007</v>
      </c>
      <c r="XF31">
        <f>SOFR3mo_PX[[#This Row],[Column630]]</f>
        <v>96.805000000000007</v>
      </c>
      <c r="XG31">
        <f>SOFR3mo_PX[[#This Row],[Column631]]</f>
        <v>96.73</v>
      </c>
      <c r="XH31">
        <f>SOFR3mo_PX[[#This Row],[Column632]]</f>
        <v>96.77</v>
      </c>
      <c r="XI31">
        <f>SOFR3mo_PX[[#This Row],[Column633]]</f>
        <v>96.86</v>
      </c>
      <c r="XJ31">
        <f>SOFR3mo_PX[[#This Row],[Column634]]</f>
        <v>96.89</v>
      </c>
      <c r="XK31">
        <f>SOFR3mo_PX[[#This Row],[Column635]]</f>
        <v>96.754999999999995</v>
      </c>
      <c r="XL31">
        <f>SOFR3mo_PX[[#This Row],[Column636]]</f>
        <v>96.8</v>
      </c>
      <c r="XM31">
        <f>SOFR3mo_PX[[#This Row],[Column637]]</f>
        <v>96.8</v>
      </c>
      <c r="XN31">
        <f>SOFR3mo_PX[[#This Row],[Column638]]</f>
        <v>96.825000000000003</v>
      </c>
      <c r="XO31">
        <f>SOFR3mo_PX[[#This Row],[Column639]]</f>
        <v>96.75</v>
      </c>
      <c r="XP31">
        <f>SOFR3mo_PX[[#This Row],[Column640]]</f>
        <v>96.694999999999993</v>
      </c>
      <c r="XQ31">
        <f>SOFR3mo_PX[[#This Row],[Column641]]</f>
        <v>96.81</v>
      </c>
      <c r="XR31">
        <f>SOFR3mo_PX[[#This Row],[Column642]]</f>
        <v>96.765000000000001</v>
      </c>
      <c r="XS31">
        <f>SOFR3mo_PX[[#This Row],[Column643]]</f>
        <v>96.61</v>
      </c>
      <c r="XT31">
        <f>SOFR3mo_PX[[#This Row],[Column644]]</f>
        <v>96.594999999999999</v>
      </c>
      <c r="XU31">
        <f>SOFR3mo_PX[[#This Row],[Column645]]</f>
        <v>96.495000000000005</v>
      </c>
      <c r="XV31">
        <f>SOFR3mo_PX[[#This Row],[Column646]]</f>
        <v>96.424999999999997</v>
      </c>
      <c r="XW31">
        <f>SOFR3mo_PX[[#This Row],[Column647]]</f>
        <v>96.424999999999997</v>
      </c>
      <c r="XX31">
        <f>SOFR3mo_PX[[#This Row],[Column648]]</f>
        <v>96.385000000000005</v>
      </c>
      <c r="XY31">
        <f>SOFR3mo_PX[[#This Row],[Column649]]</f>
        <v>96.33</v>
      </c>
      <c r="XZ31">
        <f>SOFR3mo_PX[[#This Row],[Column650]]</f>
        <v>96.415000000000006</v>
      </c>
      <c r="YA31">
        <f>SOFR3mo_PX[[#This Row],[Column651]]</f>
        <v>96.5</v>
      </c>
      <c r="YB31">
        <f>SOFR3mo_PX[[#This Row],[Column652]]</f>
        <v>96.5</v>
      </c>
      <c r="YC31">
        <f>SOFR3mo_PX[[#This Row],[Column653]]</f>
        <v>96.53</v>
      </c>
      <c r="YD31">
        <f>SOFR3mo_PX[[#This Row],[Column654]]</f>
        <v>96.504999999999995</v>
      </c>
      <c r="YE31">
        <f>SOFR3mo_PX[[#This Row],[Column655]]</f>
        <v>96.564999999999998</v>
      </c>
      <c r="YF31">
        <f>SOFR3mo_PX[[#This Row],[Column656]]</f>
        <v>96.704999999999998</v>
      </c>
      <c r="YG31">
        <f>SOFR3mo_PX[[#This Row],[Column657]]</f>
        <v>96.8</v>
      </c>
      <c r="YH31">
        <f>SOFR3mo_PX[[#This Row],[Column658]]</f>
        <v>96.864999999999995</v>
      </c>
      <c r="YI31">
        <f>SOFR3mo_PX[[#This Row],[Column659]]</f>
        <v>96.805000000000007</v>
      </c>
      <c r="YJ31">
        <f>SOFR3mo_PX[[#This Row],[Column660]]</f>
        <v>96.805000000000007</v>
      </c>
      <c r="YK31">
        <f>SOFR3mo_PX[[#This Row],[Column661]]</f>
        <v>96.704999999999998</v>
      </c>
      <c r="YL31">
        <f>SOFR3mo_PX[[#This Row],[Column662]]</f>
        <v>96.74</v>
      </c>
      <c r="YM31">
        <f>SOFR3mo_PX[[#This Row],[Column663]]</f>
        <v>96.83</v>
      </c>
      <c r="YN31">
        <f>SOFR3mo_PX[[#This Row],[Column664]]</f>
        <v>96.94</v>
      </c>
      <c r="YO31">
        <f>SOFR3mo_PX[[#This Row],[Column665]]</f>
        <v>96.83</v>
      </c>
      <c r="YP31">
        <f>SOFR3mo_PX[[#This Row],[Column666]]</f>
        <v>96.734999999999999</v>
      </c>
      <c r="YQ31">
        <f>SOFR3mo_PX[[#This Row],[Column667]]</f>
        <v>96.834999999999994</v>
      </c>
      <c r="YR31">
        <f>SOFR3mo_PX[[#This Row],[Column668]]</f>
        <v>96.79</v>
      </c>
      <c r="YS31">
        <f>SOFR3mo_PX[[#This Row],[Column669]]</f>
        <v>96.63</v>
      </c>
      <c r="YT31">
        <f>SOFR3mo_PX[[#This Row],[Column670]]</f>
        <v>96.6</v>
      </c>
      <c r="YU31">
        <f>SOFR3mo_PX[[#This Row],[Column671]]</f>
        <v>96.644999999999996</v>
      </c>
      <c r="YV31">
        <f>SOFR3mo_PX[[#This Row],[Column672]]</f>
        <v>96.63</v>
      </c>
      <c r="YW31">
        <f>SOFR3mo_PX[[#This Row],[Column673]]</f>
        <v>96.614999999999995</v>
      </c>
      <c r="YX31">
        <f>SOFR3mo_PX[[#This Row],[Column674]]</f>
        <v>96.614999999999995</v>
      </c>
      <c r="YY31">
        <f>SOFR3mo_PX[[#This Row],[Column675]]</f>
        <v>96.545000000000002</v>
      </c>
      <c r="YZ31">
        <f>SOFR3mo_PX[[#This Row],[Column676]]</f>
        <v>96.444999999999993</v>
      </c>
      <c r="ZA31">
        <f>SOFR3mo_PX[[#This Row],[Column677]]</f>
        <v>96.424999999999997</v>
      </c>
      <c r="ZB31">
        <f>SOFR3mo_PX[[#This Row],[Column678]]</f>
        <v>96.495000000000005</v>
      </c>
      <c r="ZC31">
        <f>SOFR3mo_PX[[#This Row],[Column679]]</f>
        <v>96.55</v>
      </c>
      <c r="ZD31">
        <f>SOFR3mo_PX[[#This Row],[Column680]]</f>
        <v>96.424999999999997</v>
      </c>
      <c r="ZE31">
        <f>SOFR3mo_PX[[#This Row],[Column681]]</f>
        <v>96.35</v>
      </c>
      <c r="ZF31">
        <f>SOFR3mo_PX[[#This Row],[Column682]]</f>
        <v>96.4</v>
      </c>
      <c r="ZG31">
        <f>SOFR3mo_PX[[#This Row],[Column683]]</f>
        <v>96.39</v>
      </c>
      <c r="ZH31">
        <f>SOFR3mo_PX[[#This Row],[Column684]]</f>
        <v>96.094999999999999</v>
      </c>
      <c r="ZI31">
        <f>SOFR3mo_PX[[#This Row],[Column685]]</f>
        <v>96.135000000000005</v>
      </c>
      <c r="ZJ31">
        <f>SOFR3mo_PX[[#This Row],[Column686]]</f>
        <v>96.05</v>
      </c>
      <c r="ZK31">
        <f>SOFR3mo_PX[[#This Row],[Column687]]</f>
        <v>96.064999999999998</v>
      </c>
      <c r="ZL31">
        <f>SOFR3mo_PX[[#This Row],[Column688]]</f>
        <v>96.094999999999999</v>
      </c>
      <c r="ZM31">
        <f>SOFR3mo_PX[[#This Row],[Column689]]</f>
        <v>96.1</v>
      </c>
      <c r="ZN31">
        <f>SOFR3mo_PX[[#This Row],[Column690]]</f>
        <v>96.08</v>
      </c>
      <c r="ZO31">
        <f>SOFR3mo_PX[[#This Row],[Column691]]</f>
        <v>96.04</v>
      </c>
      <c r="ZP31">
        <f>SOFR3mo_PX[[#This Row],[Column692]]</f>
        <v>96.07</v>
      </c>
      <c r="ZQ31">
        <f>SOFR3mo_PX[[#This Row],[Column693]]</f>
        <v>96.165000000000006</v>
      </c>
      <c r="ZR31">
        <f>SOFR3mo_PX[[#This Row],[Column694]]</f>
        <v>96.105000000000004</v>
      </c>
      <c r="ZS31">
        <f>SOFR3mo_PX[[#This Row],[Column695]]</f>
        <v>96.015000000000001</v>
      </c>
      <c r="ZT31">
        <f>SOFR3mo_PX[[#This Row],[Column696]]</f>
        <v>95.875</v>
      </c>
      <c r="ZU31">
        <f>SOFR3mo_PX[[#This Row],[Column697]]</f>
        <v>95.924999999999997</v>
      </c>
      <c r="ZV31">
        <f>SOFR3mo_PX[[#This Row],[Column698]]</f>
        <v>95.98</v>
      </c>
      <c r="ZW31">
        <f>SOFR3mo_PX[[#This Row],[Column699]]</f>
        <v>96.09</v>
      </c>
      <c r="ZX31">
        <f>SOFR3mo_PX[[#This Row],[Column700]]</f>
        <v>96.215000000000003</v>
      </c>
      <c r="ZY31">
        <f>SOFR3mo_PX[[#This Row],[Column701]]</f>
        <v>96.194999999999993</v>
      </c>
      <c r="ZZ31">
        <f>SOFR3mo_PX[[#This Row],[Column702]]</f>
        <v>96.21</v>
      </c>
      <c r="AAA31">
        <f>SOFR3mo_PX[[#This Row],[Column703]]</f>
        <v>96.254999999999995</v>
      </c>
      <c r="AAB31">
        <f>SOFR3mo_PX[[#This Row],[Column704]]</f>
        <v>96.245000000000005</v>
      </c>
      <c r="AAC31">
        <f>SOFR3mo_PX[[#This Row],[Column705]]</f>
        <v>96.204999999999998</v>
      </c>
      <c r="AAD31">
        <f>SOFR3mo_PX[[#This Row],[Column706]]</f>
        <v>96.155000000000001</v>
      </c>
      <c r="AAE31">
        <f>SOFR3mo_PX[[#This Row],[Column707]]</f>
        <v>96.254999999999995</v>
      </c>
      <c r="AAF31">
        <f>SOFR3mo_PX[[#This Row],[Column708]]</f>
        <v>96.3</v>
      </c>
      <c r="AAG31">
        <f>SOFR3mo_PX[[#This Row],[Column709]]</f>
        <v>96.344999999999999</v>
      </c>
      <c r="AAH31">
        <f>SOFR3mo_PX[[#This Row],[Column710]]</f>
        <v>96.48</v>
      </c>
      <c r="AAI31">
        <f>SOFR3mo_PX[[#This Row],[Column711]]</f>
        <v>96.4</v>
      </c>
      <c r="AAJ31">
        <f>SOFR3mo_PX[[#This Row],[Column712]]</f>
        <v>96.245000000000005</v>
      </c>
      <c r="AAK31">
        <f>SOFR3mo_PX[[#This Row],[Column713]]</f>
        <v>96.305000000000007</v>
      </c>
      <c r="AAL31">
        <f>SOFR3mo_PX[[#This Row],[Column714]]</f>
        <v>96.35</v>
      </c>
      <c r="AAM31">
        <f>SOFR3mo_PX[[#This Row],[Column715]]</f>
        <v>96.22</v>
      </c>
      <c r="AAN31">
        <f>SOFR3mo_PX[[#This Row],[Column716]]</f>
        <v>96.344999999999999</v>
      </c>
      <c r="AAO31">
        <f>SOFR3mo_PX[[#This Row],[Column717]]</f>
        <v>96.525000000000006</v>
      </c>
      <c r="AAP31">
        <f>SOFR3mo_PX[[#This Row],[Column718]]</f>
        <v>96.405000000000001</v>
      </c>
      <c r="AAQ31">
        <f>SOFR3mo_PX[[#This Row],[Column719]]</f>
        <v>96.58</v>
      </c>
      <c r="AAR31">
        <f>SOFR3mo_PX[[#This Row],[Column720]]</f>
        <v>96.515000000000001</v>
      </c>
      <c r="AAS31">
        <f>SOFR3mo_PX[[#This Row],[Column721]]</f>
        <v>96.605000000000004</v>
      </c>
      <c r="AAT31">
        <f>SOFR3mo_PX[[#This Row],[Column722]]</f>
        <v>96.61</v>
      </c>
      <c r="AAU31">
        <f>SOFR3mo_PX[[#This Row],[Column723]]</f>
        <v>96.635000000000005</v>
      </c>
      <c r="AAV31">
        <f>SOFR3mo_PX[[#This Row],[Column724]]</f>
        <v>96.715000000000003</v>
      </c>
      <c r="AAW31">
        <f>SOFR3mo_PX[[#This Row],[Column725]]</f>
        <v>96.685000000000002</v>
      </c>
      <c r="AAX31">
        <f>SOFR3mo_PX[[#This Row],[Column726]]</f>
        <v>96.67</v>
      </c>
      <c r="AAY31">
        <f>SOFR3mo_PX[[#This Row],[Column727]]</f>
        <v>96.73</v>
      </c>
      <c r="AAZ31">
        <f>SOFR3mo_PX[[#This Row],[Column728]]</f>
        <v>96.734999999999999</v>
      </c>
      <c r="ABA31">
        <f>SOFR3mo_PX[[#This Row],[Column729]]</f>
        <v>96.77</v>
      </c>
      <c r="ABB31">
        <f>SOFR3mo_PX[[#This Row],[Column730]]</f>
        <v>96.635000000000005</v>
      </c>
      <c r="ABC31">
        <f>SOFR3mo_PX[[#This Row],[Column731]]</f>
        <v>96.805000000000007</v>
      </c>
      <c r="ABD31">
        <f>SOFR3mo_PX[[#This Row],[Column732]]</f>
        <v>96.805000000000007</v>
      </c>
      <c r="ABE31">
        <f>SOFR3mo_PX[[#This Row],[Column733]]</f>
        <v>96.77</v>
      </c>
      <c r="ABF31">
        <f>SOFR3mo_PX[[#This Row],[Column734]]</f>
        <v>96.95</v>
      </c>
      <c r="ABG31">
        <f>SOFR3mo_PX[[#This Row],[Column735]]</f>
        <v>96.995000000000005</v>
      </c>
      <c r="ABH31">
        <f>SOFR3mo_PX[[#This Row],[Column736]]</f>
        <v>96.93</v>
      </c>
      <c r="ABI31">
        <f>SOFR3mo_PX[[#This Row],[Column737]]</f>
        <v>97.04</v>
      </c>
      <c r="ABJ31">
        <f>SOFR3mo_PX[[#This Row],[Column738]]</f>
        <v>97.055000000000007</v>
      </c>
      <c r="ABK31">
        <f>SOFR3mo_PX[[#This Row],[Column739]]</f>
        <v>96.965000000000003</v>
      </c>
      <c r="ABL31">
        <f>SOFR3mo_PX[[#This Row],[Column740]]</f>
        <v>97.045000000000002</v>
      </c>
      <c r="ABM31">
        <f>SOFR3mo_PX[[#This Row],[Column741]]</f>
        <v>97.06</v>
      </c>
      <c r="ABN31">
        <f>SOFR3mo_PX[[#This Row],[Column742]]</f>
        <v>97.08</v>
      </c>
      <c r="ABO31">
        <f>SOFR3mo_PX[[#This Row],[Column743]]</f>
        <v>97.21</v>
      </c>
      <c r="ABP31">
        <f>SOFR3mo_PX[[#This Row],[Column744]]</f>
        <v>97.2</v>
      </c>
      <c r="ABQ31">
        <f>SOFR3mo_PX[[#This Row],[Column745]]</f>
        <v>97.275000000000006</v>
      </c>
      <c r="ABR31">
        <f>SOFR3mo_PX[[#This Row],[Column746]]</f>
        <v>97.25</v>
      </c>
      <c r="ABS31">
        <f>SOFR3mo_PX[[#This Row],[Column747]]</f>
        <v>97.165000000000006</v>
      </c>
      <c r="ABT31">
        <f>SOFR3mo_PX[[#This Row],[Column748]]</f>
        <v>97.11</v>
      </c>
      <c r="ABU31">
        <f>SOFR3mo_PX[[#This Row],[Column749]]</f>
        <v>97.284999999999997</v>
      </c>
      <c r="ABV31">
        <f>SOFR3mo_PX[[#This Row],[Column750]]</f>
        <v>97.325000000000003</v>
      </c>
      <c r="ABW31">
        <f>SOFR3mo_PX[[#This Row],[Column751]]</f>
        <v>97.305000000000007</v>
      </c>
      <c r="ABX31">
        <f>SOFR3mo_PX[[#This Row],[Column752]]</f>
        <v>97.215000000000003</v>
      </c>
      <c r="ABY31">
        <f>SOFR3mo_PX[[#This Row],[Column753]]</f>
        <v>97.355000000000004</v>
      </c>
      <c r="ABZ31">
        <f>SOFR3mo_PX[[#This Row],[Column754]]</f>
        <v>97.275000000000006</v>
      </c>
      <c r="ACA31">
        <f>SOFR3mo_PX[[#This Row],[Column755]]</f>
        <v>97.254999999999995</v>
      </c>
      <c r="ACB31">
        <f>SOFR3mo_PX[[#This Row],[Column756]]</f>
        <v>97.31</v>
      </c>
      <c r="ACC31">
        <f>SOFR3mo_PX[[#This Row],[Column757]]</f>
        <v>97.24</v>
      </c>
      <c r="ACD31">
        <f>SOFR3mo_PX[[#This Row],[Column758]]</f>
        <v>97.2</v>
      </c>
      <c r="ACE31">
        <f>SOFR3mo_PX[[#This Row],[Column759]]</f>
        <v>97.15</v>
      </c>
      <c r="ACF31">
        <f>SOFR3mo_PX[[#This Row],[Column760]]</f>
        <v>97.094999999999999</v>
      </c>
      <c r="ACG31">
        <f>SOFR3mo_PX[[#This Row],[Column761]]</f>
        <v>97.06</v>
      </c>
      <c r="ACH31">
        <f>SOFR3mo_PX[[#This Row],[Column762]]</f>
        <v>97.13</v>
      </c>
      <c r="ACI31">
        <f>SOFR3mo_PX[[#This Row],[Column763]]</f>
        <v>97.025000000000006</v>
      </c>
      <c r="ACJ31">
        <f>SOFR3mo_PX[[#This Row],[Column764]]</f>
        <v>96.915000000000006</v>
      </c>
      <c r="ACK31">
        <f>SOFR3mo_PX[[#This Row],[Column765]]</f>
        <v>96.95</v>
      </c>
      <c r="ACL31">
        <f>SOFR3mo_PX[[#This Row],[Column766]]</f>
        <v>96.99</v>
      </c>
      <c r="ACM31">
        <f>SOFR3mo_PX[[#This Row],[Column767]]</f>
        <v>97.015000000000001</v>
      </c>
      <c r="ACN31">
        <f>SOFR3mo_PX[[#This Row],[Column768]]</f>
        <v>96.95</v>
      </c>
      <c r="ACO31">
        <f>SOFR3mo_PX[[#This Row],[Column769]]</f>
        <v>96.98</v>
      </c>
      <c r="ACP31">
        <f>SOFR3mo_PX[[#This Row],[Column770]]</f>
        <v>96.86</v>
      </c>
      <c r="ACQ31">
        <f>SOFR3mo_PX[[#This Row],[Column771]]</f>
        <v>96.805000000000007</v>
      </c>
      <c r="ACR31">
        <f>SOFR3mo_PX[[#This Row],[Column772]]</f>
        <v>96.67</v>
      </c>
      <c r="ACS31">
        <f>SOFR3mo_PX[[#This Row],[Column773]]</f>
        <v>96.754999999999995</v>
      </c>
      <c r="ACT31">
        <f>SOFR3mo_PX[[#This Row],[Column774]]</f>
        <v>96.87</v>
      </c>
      <c r="ACU31">
        <f>SOFR3mo_PX[[#This Row],[Column775]]</f>
        <v>96.954999999999998</v>
      </c>
      <c r="ACV31">
        <f>SOFR3mo_PX[[#This Row],[Column776]]</f>
        <v>96.88</v>
      </c>
      <c r="ACW31">
        <f>SOFR3mo_PX[[#This Row],[Column777]]</f>
        <v>96.88</v>
      </c>
      <c r="ACX31">
        <f>SOFR3mo_PX[[#This Row],[Column778]]</f>
        <v>96.85</v>
      </c>
      <c r="ACY31">
        <f>SOFR3mo_PX[[#This Row],[Column779]]</f>
        <v>96.734999999999999</v>
      </c>
      <c r="ACZ31">
        <f>SOFR3mo_PX[[#This Row],[Column780]]</f>
        <v>96.635000000000005</v>
      </c>
      <c r="ADA31">
        <f>SOFR3mo_PX[[#This Row],[Column781]]</f>
        <v>96.65</v>
      </c>
      <c r="ADB31">
        <f>SOFR3mo_PX[[#This Row],[Column782]]</f>
        <v>96.704999999999998</v>
      </c>
      <c r="ADC31">
        <f>SOFR3mo_PX[[#This Row],[Column783]]</f>
        <v>96.8</v>
      </c>
      <c r="ADD31">
        <f>SOFR3mo_PX[[#This Row],[Column784]]</f>
        <v>96.7</v>
      </c>
      <c r="ADE31">
        <f>SOFR3mo_PX[[#This Row],[Column785]]</f>
        <v>96.57</v>
      </c>
      <c r="ADF31">
        <f>SOFR3mo_PX[[#This Row],[Column786]]</f>
        <v>96.67</v>
      </c>
      <c r="ADG31">
        <f>SOFR3mo_PX[[#This Row],[Column787]]</f>
        <v>96.67</v>
      </c>
      <c r="ADH31">
        <f>SOFR3mo_PX[[#This Row],[Column788]]</f>
        <v>96.59</v>
      </c>
      <c r="ADI31">
        <f>SOFR3mo_PX[[#This Row],[Column789]]</f>
        <v>96.5</v>
      </c>
      <c r="ADJ31">
        <f>SOFR3mo_PX[[#This Row],[Column790]]</f>
        <v>96.48</v>
      </c>
      <c r="ADK31">
        <f>SOFR3mo_PX[[#This Row],[Column791]]</f>
        <v>96.564999999999998</v>
      </c>
      <c r="ADL31">
        <f>SOFR3mo_PX[[#This Row],[Column792]]</f>
        <v>96.77</v>
      </c>
      <c r="ADM31">
        <f>SOFR3mo_PX[[#This Row],[Column793]]</f>
        <v>96.825000000000003</v>
      </c>
      <c r="ADN31">
        <f>SOFR3mo_PX[[#This Row],[Column794]]</f>
        <v>96.825000000000003</v>
      </c>
      <c r="ADO31">
        <f>SOFR3mo_PX[[#This Row],[Column795]]</f>
        <v>96.88</v>
      </c>
      <c r="ADP31">
        <f>SOFR3mo_PX[[#This Row],[Column796]]</f>
        <v>96.78</v>
      </c>
      <c r="ADQ31">
        <f>SOFR3mo_PX[[#This Row],[Column797]]</f>
        <v>96.885000000000005</v>
      </c>
      <c r="ADR31">
        <f>SOFR3mo_PX[[#This Row],[Column798]]</f>
        <v>96.935000000000002</v>
      </c>
      <c r="ADS31">
        <f>SOFR3mo_PX[[#This Row],[Column799]]</f>
        <v>96.89</v>
      </c>
      <c r="ADT31">
        <f>SOFR3mo_PX[[#This Row],[Column800]]</f>
        <v>96.924999999999997</v>
      </c>
      <c r="ADU31">
        <f>SOFR3mo_PX[[#This Row],[Column801]]</f>
        <v>97.025000000000006</v>
      </c>
      <c r="ADV31">
        <f>SOFR3mo_PX[[#This Row],[Column802]]</f>
        <v>97.025000000000006</v>
      </c>
      <c r="ADW31">
        <f>SOFR3mo_PX[[#This Row],[Column803]]</f>
        <v>97.004999999999995</v>
      </c>
      <c r="ADX31">
        <f>SOFR3mo_PX[[#This Row],[Column804]]</f>
        <v>97.045000000000002</v>
      </c>
      <c r="ADY31">
        <f>SOFR3mo_PX[[#This Row],[Column805]]</f>
        <v>97.055000000000007</v>
      </c>
      <c r="ADZ31">
        <f>SOFR3mo_PX[[#This Row],[Column806]]</f>
        <v>97.034999999999997</v>
      </c>
      <c r="AEA31">
        <f>SOFR3mo_PX[[#This Row],[Column807]]</f>
        <v>97.094999999999999</v>
      </c>
      <c r="AEB31">
        <f>SOFR3mo_PX[[#This Row],[Column808]]</f>
        <v>96.99</v>
      </c>
      <c r="AEC31">
        <f>SOFR3mo_PX[[#This Row],[Column809]]</f>
        <v>96.954999999999998</v>
      </c>
      <c r="AED31">
        <f>SOFR3mo_PX[[#This Row],[Column810]]</f>
        <v>96.82</v>
      </c>
      <c r="AEE31">
        <f>SOFR3mo_PX[[#This Row],[Column811]]</f>
        <v>96.894999999999996</v>
      </c>
      <c r="AEF31">
        <f>SOFR3mo_PX[[#This Row],[Column812]]</f>
        <v>96.844999999999999</v>
      </c>
      <c r="AEG31">
        <f>SOFR3mo_PX[[#This Row],[Column813]]</f>
        <v>96.954999999999998</v>
      </c>
      <c r="AEH31">
        <f>SOFR3mo_PX[[#This Row],[Column814]]</f>
        <v>96.864999999999995</v>
      </c>
      <c r="AEI31">
        <f>SOFR3mo_PX[[#This Row],[Column815]]</f>
        <v>96.74</v>
      </c>
      <c r="AEJ31">
        <f>SOFR3mo_PX[[#This Row],[Column816]]</f>
        <v>96.64</v>
      </c>
      <c r="AEK31">
        <f>SOFR3mo_PX[[#This Row],[Column817]]</f>
        <v>96.61</v>
      </c>
      <c r="AEL31">
        <f>SOFR3mo_PX[[#This Row],[Column818]]</f>
        <v>96.715000000000003</v>
      </c>
      <c r="AEM31">
        <f>SOFR3mo_PX[[#This Row],[Column819]]</f>
        <v>96.894999999999996</v>
      </c>
      <c r="AEN31">
        <f>SOFR3mo_PX[[#This Row],[Column820]]</f>
        <v>96.92</v>
      </c>
      <c r="AEO31">
        <f>SOFR3mo_PX[[#This Row],[Column821]]</f>
        <v>96.855000000000004</v>
      </c>
      <c r="AEP31">
        <f>SOFR3mo_PX[[#This Row],[Column822]]</f>
        <v>97</v>
      </c>
      <c r="AEQ31">
        <f>SOFR3mo_PX[[#This Row],[Column823]]</f>
        <v>97</v>
      </c>
      <c r="AER31">
        <f>SOFR3mo_PX[[#This Row],[Column824]]</f>
        <v>97.064999999999998</v>
      </c>
      <c r="AES31">
        <f>SOFR3mo_PX[[#This Row],[Column825]]</f>
        <v>97.135000000000005</v>
      </c>
      <c r="AET31">
        <f>SOFR3mo_PX[[#This Row],[Column826]]</f>
        <v>97.114999999999995</v>
      </c>
      <c r="AEU31">
        <f>SOFR3mo_PX[[#This Row],[Column827]]</f>
        <v>97.03</v>
      </c>
      <c r="AEV31">
        <f>SOFR3mo_PX[[#This Row],[Column828]]</f>
        <v>96.995000000000005</v>
      </c>
      <c r="AEW31">
        <f>SOFR3mo_PX[[#This Row],[Column829]]</f>
        <v>97.05</v>
      </c>
      <c r="AEX31">
        <f>SOFR3mo_PX[[#This Row],[Column830]]</f>
        <v>96.954999999999998</v>
      </c>
      <c r="AEY31">
        <f>SOFR3mo_PX[[#This Row],[Column831]]</f>
        <v>96.99</v>
      </c>
      <c r="AEZ31">
        <f>SOFR3mo_PX[[#This Row],[Column832]]</f>
        <v>97.094999999999999</v>
      </c>
      <c r="AFA31">
        <f>SOFR3mo_PX[[#This Row],[Column833]]</f>
        <v>97.094999999999999</v>
      </c>
      <c r="AFB31">
        <f>SOFR3mo_PX[[#This Row],[Column834]]</f>
        <v>97.23</v>
      </c>
      <c r="AFC31">
        <f>SOFR3mo_PX[[#This Row],[Column835]]</f>
        <v>97.174999999999997</v>
      </c>
      <c r="AFD31">
        <f>SOFR3mo_PX[[#This Row],[Column836]]</f>
        <v>97.17</v>
      </c>
      <c r="AFE31">
        <f>SOFR3mo_PX[[#This Row],[Column837]]</f>
        <v>97.295000000000002</v>
      </c>
      <c r="AFF31">
        <f>SOFR3mo_PX[[#This Row],[Column838]]</f>
        <v>97.394999999999996</v>
      </c>
      <c r="AFG31">
        <f>SOFR3mo_PX[[#This Row],[Column839]]</f>
        <v>97.54</v>
      </c>
      <c r="AFH31">
        <f>SOFR3mo_PX[[#This Row],[Column840]]</f>
        <v>97.66</v>
      </c>
      <c r="AFI31">
        <f>SOFR3mo_PX[[#This Row],[Column841]]</f>
        <v>97.78</v>
      </c>
      <c r="AFJ31">
        <f>SOFR3mo_PX[[#This Row],[Column842]]</f>
        <v>97.8</v>
      </c>
      <c r="AFK31">
        <f>SOFR3mo_PX[[#This Row],[Column843]]</f>
        <v>97.84</v>
      </c>
      <c r="AFL31">
        <f>SOFR3mo_PX[[#This Row],[Column844]]</f>
        <v>97.795000000000002</v>
      </c>
      <c r="AFM31">
        <f>SOFR3mo_PX[[#This Row],[Column845]]</f>
        <v>97.745000000000005</v>
      </c>
      <c r="AFN31">
        <f>SOFR3mo_PX[[#This Row],[Column846]]</f>
        <v>97.665000000000006</v>
      </c>
      <c r="AFO31">
        <f>SOFR3mo_PX[[#This Row],[Column847]]</f>
        <v>97.644999999999996</v>
      </c>
      <c r="AFP31">
        <f>SOFR3mo_PX[[#This Row],[Column848]]</f>
        <v>97.78</v>
      </c>
      <c r="AFQ31">
        <f>SOFR3mo_PX[[#This Row],[Column849]]</f>
        <v>97.814999999999998</v>
      </c>
      <c r="AFR31">
        <f>SOFR3mo_PX[[#This Row],[Column850]]</f>
        <v>97.76</v>
      </c>
      <c r="AFS31">
        <f>SOFR3mo_PX[[#This Row],[Column851]]</f>
        <v>97.825000000000003</v>
      </c>
      <c r="AFT31">
        <f>SOFR3mo_PX[[#This Row],[Column852]]</f>
        <v>97.965000000000003</v>
      </c>
      <c r="AFU31">
        <f>SOFR3mo_PX[[#This Row],[Column853]]</f>
        <v>97.89</v>
      </c>
      <c r="AFV31">
        <f>SOFR3mo_PX[[#This Row],[Column854]]</f>
        <v>97.87</v>
      </c>
      <c r="AFW31">
        <f>SOFR3mo_PX[[#This Row],[Column855]]</f>
        <v>97.87</v>
      </c>
      <c r="AFX31">
        <f>SOFR3mo_PX[[#This Row],[Column856]]</f>
        <v>97.894999999999996</v>
      </c>
      <c r="AFY31">
        <f>SOFR3mo_PX[[#This Row],[Column857]]</f>
        <v>98.055000000000007</v>
      </c>
      <c r="AFZ31">
        <f>SOFR3mo_PX[[#This Row],[Column858]]</f>
        <v>98.064999999999998</v>
      </c>
      <c r="AGA31">
        <f>SOFR3mo_PX[[#This Row],[Column859]]</f>
        <v>98.14</v>
      </c>
      <c r="AGB31">
        <f>SOFR3mo_PX[[#This Row],[Column860]]</f>
        <v>98.234999999999999</v>
      </c>
      <c r="AGC31">
        <f>SOFR3mo_PX[[#This Row],[Column861]]</f>
        <v>98.35</v>
      </c>
      <c r="AGD31">
        <f>SOFR3mo_PX[[#This Row],[Column862]]</f>
        <v>98.325000000000003</v>
      </c>
      <c r="AGE31">
        <f>SOFR3mo_PX[[#This Row],[Column863]]</f>
        <v>98.19</v>
      </c>
      <c r="AGF31">
        <f>SOFR3mo_PX[[#This Row],[Column864]]</f>
        <v>98.144999999999996</v>
      </c>
      <c r="AGG31">
        <f>SOFR3mo_PX[[#This Row],[Column865]]</f>
        <v>98.29</v>
      </c>
      <c r="AGH31">
        <f>SOFR3mo_PX[[#This Row],[Column866]]</f>
        <v>98.18</v>
      </c>
      <c r="AGI31">
        <f>SOFR3mo_PX[[#This Row],[Column867]]</f>
        <v>98.04</v>
      </c>
      <c r="AGJ31">
        <f>SOFR3mo_PX[[#This Row],[Column868]]</f>
        <v>98.05</v>
      </c>
      <c r="AGK31">
        <f>SOFR3mo_PX[[#This Row],[Column869]]</f>
        <v>98.075000000000003</v>
      </c>
      <c r="AGL31">
        <f>SOFR3mo_PX[[#This Row],[Column870]]</f>
        <v>98.114999999999995</v>
      </c>
      <c r="AGM31">
        <f>SOFR3mo_PX[[#This Row],[Column871]]</f>
        <v>98.105000000000004</v>
      </c>
      <c r="AGN31">
        <f>SOFR3mo_PX[[#This Row],[Column872]]</f>
        <v>98.105000000000004</v>
      </c>
      <c r="AGO31">
        <f>SOFR3mo_PX[[#This Row],[Column873]]</f>
        <v>98.055000000000007</v>
      </c>
      <c r="AGP31">
        <f>SOFR3mo_PX[[#This Row],[Column874]]</f>
        <v>97.965000000000003</v>
      </c>
      <c r="AGQ31">
        <f>SOFR3mo_PX[[#This Row],[Column875]]</f>
        <v>97.974999999999994</v>
      </c>
      <c r="AGR31">
        <f>SOFR3mo_PX[[#This Row],[Column876]]</f>
        <v>98.06</v>
      </c>
      <c r="AGS31">
        <f>SOFR3mo_PX[[#This Row],[Column877]]</f>
        <v>98.105000000000004</v>
      </c>
      <c r="AGT31">
        <f>SOFR3mo_PX[[#This Row],[Column878]]</f>
        <v>97.995000000000005</v>
      </c>
      <c r="AGU31">
        <f>SOFR3mo_PX[[#This Row],[Column879]]</f>
        <v>98.064999999999998</v>
      </c>
      <c r="AGV31">
        <f>SOFR3mo_PX[[#This Row],[Column880]]</f>
        <v>98.025000000000006</v>
      </c>
      <c r="AGW31">
        <f>SOFR3mo_PX[[#This Row],[Column881]]</f>
        <v>98.064999999999998</v>
      </c>
      <c r="AGX31">
        <f>SOFR3mo_PX[[#This Row],[Column882]]</f>
        <v>98.05</v>
      </c>
      <c r="AGY31">
        <f>SOFR3mo_PX[[#This Row],[Column883]]</f>
        <v>98.16</v>
      </c>
      <c r="AGZ31">
        <f>SOFR3mo_PX[[#This Row],[Column884]]</f>
        <v>98.204999999999998</v>
      </c>
      <c r="AHA31">
        <f>SOFR3mo_PX[[#This Row],[Column885]]</f>
        <v>98.17</v>
      </c>
      <c r="AHB31">
        <f>SOFR3mo_PX[[#This Row],[Column886]]</f>
        <v>98.18</v>
      </c>
      <c r="AHC31">
        <f>SOFR3mo_PX[[#This Row],[Column887]]</f>
        <v>98.19</v>
      </c>
      <c r="AHD31">
        <f>SOFR3mo_PX[[#This Row],[Column888]]</f>
        <v>98.15</v>
      </c>
      <c r="AHE31">
        <f>SOFR3mo_PX[[#This Row],[Column889]]</f>
        <v>98.045000000000002</v>
      </c>
      <c r="AHF31">
        <f>SOFR3mo_PX[[#This Row],[Column890]]</f>
        <v>98.11</v>
      </c>
      <c r="AHG31">
        <f>SOFR3mo_PX[[#This Row],[Column891]]</f>
        <v>98.174999999999997</v>
      </c>
      <c r="AHH31">
        <f>SOFR3mo_PX[[#This Row],[Column892]]</f>
        <v>98.16</v>
      </c>
      <c r="AHI31">
        <f>SOFR3mo_PX[[#This Row],[Column893]]</f>
        <v>98.09</v>
      </c>
      <c r="AHJ31">
        <f>SOFR3mo_PX[[#This Row],[Column894]]</f>
        <v>98.08</v>
      </c>
      <c r="AHK31">
        <f>SOFR3mo_PX[[#This Row],[Column895]]</f>
        <v>98.025000000000006</v>
      </c>
      <c r="AHL31">
        <f>SOFR3mo_PX[[#This Row],[Column896]]</f>
        <v>98.13</v>
      </c>
      <c r="AHM31">
        <f>SOFR3mo_PX[[#This Row],[Column897]]</f>
        <v>98.13</v>
      </c>
      <c r="AHN31">
        <f>SOFR3mo_PX[[#This Row],[Column898]]</f>
        <v>98.204999999999998</v>
      </c>
      <c r="AHO31">
        <f>SOFR3mo_PX[[#This Row],[Column899]]</f>
        <v>98.174999999999997</v>
      </c>
      <c r="AHP31">
        <f>SOFR3mo_PX[[#This Row],[Column900]]</f>
        <v>98.13</v>
      </c>
      <c r="AHQ31">
        <f>SOFR3mo_PX[[#This Row],[Column901]]</f>
        <v>98.08</v>
      </c>
      <c r="AHR31">
        <f>SOFR3mo_PX[[#This Row],[Column902]]</f>
        <v>98.075000000000003</v>
      </c>
      <c r="AHS31">
        <f>SOFR3mo_PX[[#This Row],[Column903]]</f>
        <v>98.09</v>
      </c>
      <c r="AHT31">
        <f>SOFR3mo_PX[[#This Row],[Column904]]</f>
        <v>98.114999999999995</v>
      </c>
      <c r="AHU31">
        <f>SOFR3mo_PX[[#This Row],[Column905]]</f>
        <v>98.13</v>
      </c>
      <c r="AHV31">
        <f>SOFR3mo_PX[[#This Row],[Column906]]</f>
        <v>98.19</v>
      </c>
      <c r="AHW31">
        <f>SOFR3mo_PX[[#This Row],[Column907]]</f>
        <v>98.36</v>
      </c>
      <c r="AHX31">
        <f>SOFR3mo_PX[[#This Row],[Column908]]</f>
        <v>98.344999999999999</v>
      </c>
      <c r="AHY31">
        <f>SOFR3mo_PX[[#This Row],[Column909]]</f>
        <v>98.334999999999994</v>
      </c>
      <c r="AHZ31">
        <f>SOFR3mo_PX[[#This Row],[Column910]]</f>
        <v>98.43</v>
      </c>
      <c r="AIA31">
        <f>SOFR3mo_PX[[#This Row],[Column911]]</f>
        <v>98.4</v>
      </c>
      <c r="AIB31">
        <f>SOFR3mo_PX[[#This Row],[Column912]]</f>
        <v>98.364999999999995</v>
      </c>
      <c r="AIC31">
        <f>SOFR3mo_PX[[#This Row],[Column913]]</f>
        <v>98.364999999999995</v>
      </c>
      <c r="AID31">
        <f>SOFR3mo_PX[[#This Row],[Column914]]</f>
        <v>98.39</v>
      </c>
      <c r="AIE31">
        <f>SOFR3mo_PX[[#This Row],[Column915]]</f>
        <v>98.35</v>
      </c>
      <c r="AIF31">
        <f>SOFR3mo_PX[[#This Row],[Column916]]</f>
        <v>98.444999999999993</v>
      </c>
      <c r="AIG31">
        <f>SOFR3mo_PX[[#This Row],[Column917]]</f>
        <v>98.525000000000006</v>
      </c>
      <c r="AIH31">
        <f>SOFR3mo_PX[[#This Row],[Column918]]</f>
        <v>98.484999999999999</v>
      </c>
      <c r="AII31">
        <f>SOFR3mo_PX[[#This Row],[Column919]]</f>
        <v>98.454999999999998</v>
      </c>
      <c r="AIJ31">
        <f>SOFR3mo_PX[[#This Row],[Column920]]</f>
        <v>98.45</v>
      </c>
      <c r="AIK31">
        <f>SOFR3mo_PX[[#This Row],[Column921]]</f>
        <v>98.454999999999998</v>
      </c>
      <c r="AIL31">
        <f>SOFR3mo_PX[[#This Row],[Column922]]</f>
        <v>98.39</v>
      </c>
      <c r="AIM31">
        <f>SOFR3mo_PX[[#This Row],[Column923]]</f>
        <v>98.415000000000006</v>
      </c>
      <c r="AIN31">
        <f>SOFR3mo_PX[[#This Row],[Column924]]</f>
        <v>98.37</v>
      </c>
      <c r="AIO31">
        <f>SOFR3mo_PX[[#This Row],[Column925]]</f>
        <v>98.394999999999996</v>
      </c>
      <c r="AIP31">
        <f>SOFR3mo_PX[[#This Row],[Column926]]</f>
        <v>98.424999999999997</v>
      </c>
      <c r="AIQ31">
        <f>SOFR3mo_PX[[#This Row],[Column927]]</f>
        <v>98.57</v>
      </c>
      <c r="AIR31">
        <f>SOFR3mo_PX[[#This Row],[Column928]]</f>
        <v>98.42</v>
      </c>
      <c r="AIS31">
        <f>SOFR3mo_PX[[#This Row],[Column929]]</f>
        <v>98.394999999999996</v>
      </c>
      <c r="AIT31">
        <f>SOFR3mo_PX[[#This Row],[Column930]]</f>
        <v>98.33</v>
      </c>
      <c r="AIU31">
        <f>SOFR3mo_PX[[#This Row],[Column931]]</f>
        <v>98.215000000000003</v>
      </c>
      <c r="AIV31">
        <f>SOFR3mo_PX[[#This Row],[Column932]]</f>
        <v>98.32</v>
      </c>
      <c r="AIW31">
        <f>SOFR3mo_PX[[#This Row],[Column933]]</f>
        <v>98.144999999999996</v>
      </c>
      <c r="AIX31">
        <f>SOFR3mo_PX[[#This Row],[Column934]]</f>
        <v>98.144999999999996</v>
      </c>
      <c r="AIY31">
        <f>SOFR3mo_PX[[#This Row],[Column935]]</f>
        <v>98.105000000000004</v>
      </c>
      <c r="AIZ31">
        <f>SOFR3mo_PX[[#This Row],[Column936]]</f>
        <v>98.174999999999997</v>
      </c>
      <c r="AJA31">
        <f>SOFR3mo_PX[[#This Row],[Column937]]</f>
        <v>98.28</v>
      </c>
      <c r="AJB31">
        <f>SOFR3mo_PX[[#This Row],[Column938]]</f>
        <v>98.21</v>
      </c>
      <c r="AJC31">
        <f>SOFR3mo_PX[[#This Row],[Column939]]</f>
        <v>98.185000000000002</v>
      </c>
      <c r="AJD31">
        <f>SOFR3mo_PX[[#This Row],[Column940]]</f>
        <v>98.16</v>
      </c>
      <c r="AJE31">
        <f>SOFR3mo_PX[[#This Row],[Column941]]</f>
        <v>98.204999999999998</v>
      </c>
      <c r="AJF31">
        <f>SOFR3mo_PX[[#This Row],[Column942]]</f>
        <v>98.23</v>
      </c>
      <c r="AJG31">
        <f>SOFR3mo_PX[[#This Row],[Column943]]</f>
        <v>98.245000000000005</v>
      </c>
      <c r="AJH31">
        <f>SOFR3mo_PX[[#This Row],[Column944]]</f>
        <v>98.265000000000001</v>
      </c>
      <c r="AJI31">
        <f>SOFR3mo_PX[[#This Row],[Column945]]</f>
        <v>98.325000000000003</v>
      </c>
      <c r="AJJ31">
        <f>SOFR3mo_PX[[#This Row],[Column946]]</f>
        <v>98.23</v>
      </c>
      <c r="AJK31">
        <f>SOFR3mo_PX[[#This Row],[Column947]]</f>
        <v>98.254999999999995</v>
      </c>
      <c r="AJL31">
        <f>SOFR3mo_PX[[#This Row],[Column948]]</f>
        <v>98.16</v>
      </c>
      <c r="AJM31">
        <f>SOFR3mo_PX[[#This Row],[Column949]]</f>
        <v>98.13</v>
      </c>
      <c r="AJN31">
        <f>SOFR3mo_PX[[#This Row],[Column950]]</f>
        <v>98.15</v>
      </c>
      <c r="AJO31">
        <f>SOFR3mo_PX[[#This Row],[Column951]]</f>
        <v>98.185000000000002</v>
      </c>
      <c r="AJP31">
        <f>SOFR3mo_PX[[#This Row],[Column952]]</f>
        <v>98.224999999999994</v>
      </c>
      <c r="AJQ31">
        <f>SOFR3mo_PX[[#This Row],[Column953]]</f>
        <v>98.194999999999993</v>
      </c>
      <c r="AJR31">
        <f>SOFR3mo_PX[[#This Row],[Column954]]</f>
        <v>98.215000000000003</v>
      </c>
      <c r="AJS31">
        <f>SOFR3mo_PX[[#This Row],[Column955]]</f>
        <v>98.034999999999997</v>
      </c>
      <c r="AJT31">
        <f>SOFR3mo_PX[[#This Row],[Column956]]</f>
        <v>98.025000000000006</v>
      </c>
      <c r="AJU31">
        <f>SOFR3mo_PX[[#This Row],[Column957]]</f>
        <v>97.99</v>
      </c>
      <c r="AJV31">
        <f>SOFR3mo_PX[[#This Row],[Column958]]</f>
        <v>97.935000000000002</v>
      </c>
      <c r="AJW31">
        <f>SOFR3mo_PX[[#This Row],[Column959]]</f>
        <v>97.97</v>
      </c>
      <c r="AJX31">
        <f>SOFR3mo_PX[[#This Row],[Column960]]</f>
        <v>97.995000000000005</v>
      </c>
      <c r="AJY31">
        <f>SOFR3mo_PX[[#This Row],[Column961]]</f>
        <v>98.1</v>
      </c>
      <c r="AJZ31">
        <f>SOFR3mo_PX[[#This Row],[Column962]]</f>
        <v>98.07</v>
      </c>
      <c r="AKA31">
        <f>SOFR3mo_PX[[#This Row],[Column963]]</f>
        <v>98.125</v>
      </c>
      <c r="AKB31">
        <f>SOFR3mo_PX[[#This Row],[Column964]]</f>
        <v>98.084999999999994</v>
      </c>
      <c r="AKC31">
        <f>SOFR3mo_PX[[#This Row],[Column965]]</f>
        <v>97.974999999999994</v>
      </c>
      <c r="AKD31">
        <f>SOFR3mo_PX[[#This Row],[Column966]]</f>
        <v>97.88</v>
      </c>
      <c r="AKE31">
        <f>SOFR3mo_PX[[#This Row],[Column967]]</f>
        <v>97.875</v>
      </c>
      <c r="AKF31">
        <f>SOFR3mo_PX[[#This Row],[Column968]]</f>
        <v>97.924999999999997</v>
      </c>
      <c r="AKG31">
        <f>SOFR3mo_PX[[#This Row],[Column969]]</f>
        <v>97.984999999999999</v>
      </c>
      <c r="AKH31">
        <f>SOFR3mo_PX[[#This Row],[Column970]]</f>
        <v>97.965000000000003</v>
      </c>
      <c r="AKI31">
        <f>SOFR3mo_PX[[#This Row],[Column971]]</f>
        <v>98.015000000000001</v>
      </c>
      <c r="AKJ31">
        <f>SOFR3mo_PX[[#This Row],[Column972]]</f>
        <v>97.99</v>
      </c>
      <c r="AKK31">
        <f>SOFR3mo_PX[[#This Row],[Column973]]</f>
        <v>97.935000000000002</v>
      </c>
      <c r="AKL31">
        <f>SOFR3mo_PX[[#This Row],[Column974]]</f>
        <v>97.924999999999997</v>
      </c>
      <c r="AKM31">
        <f>SOFR3mo_PX[[#This Row],[Column975]]</f>
        <v>97.965000000000003</v>
      </c>
      <c r="AKN31">
        <f>SOFR3mo_PX[[#This Row],[Column976]]</f>
        <v>98.06</v>
      </c>
      <c r="AKO31">
        <f>SOFR3mo_PX[[#This Row],[Column977]]</f>
        <v>98.11</v>
      </c>
      <c r="AKP31">
        <f>SOFR3mo_PX[[#This Row],[Column978]]</f>
        <v>98.19</v>
      </c>
      <c r="AKQ31">
        <f>SOFR3mo_PX[[#This Row],[Column979]]</f>
        <v>98.284999999999997</v>
      </c>
      <c r="AKR31">
        <f>SOFR3mo_PX[[#This Row],[Column980]]</f>
        <v>98.22</v>
      </c>
      <c r="AKS31">
        <f>SOFR3mo_PX[[#This Row],[Column981]]</f>
        <v>98.224999999999994</v>
      </c>
      <c r="AKT31">
        <f>SOFR3mo_PX[[#This Row],[Column982]]</f>
        <v>98.15</v>
      </c>
      <c r="AKU31">
        <f>SOFR3mo_PX[[#This Row],[Column983]]</f>
        <v>98.22</v>
      </c>
      <c r="AKV31">
        <f>SOFR3mo_PX[[#This Row],[Column984]]</f>
        <v>98.26</v>
      </c>
      <c r="AKW31">
        <f>SOFR3mo_PX[[#This Row],[Column985]]</f>
        <v>98.32</v>
      </c>
      <c r="AKX31">
        <f>SOFR3mo_PX[[#This Row],[Column986]]</f>
        <v>98.24</v>
      </c>
      <c r="AKY31">
        <f>SOFR3mo_PX[[#This Row],[Column987]]</f>
        <v>98.21</v>
      </c>
      <c r="AKZ31">
        <f>SOFR3mo_PX[[#This Row],[Column988]]</f>
        <v>98.284999999999997</v>
      </c>
      <c r="ALA31">
        <f>SOFR3mo_PX[[#This Row],[Column989]]</f>
        <v>98.245000000000005</v>
      </c>
      <c r="ALB31">
        <f>SOFR3mo_PX[[#This Row],[Column990]]</f>
        <v>98.194999999999993</v>
      </c>
      <c r="ALC31">
        <f>SOFR3mo_PX[[#This Row],[Column991]]</f>
        <v>98.245000000000005</v>
      </c>
      <c r="ALD31">
        <f>SOFR3mo_PX[[#This Row],[Column992]]</f>
        <v>98.245000000000005</v>
      </c>
      <c r="ALE31">
        <f>SOFR3mo_PX[[#This Row],[Column993]]</f>
        <v>98.3</v>
      </c>
      <c r="ALF31">
        <f>SOFR3mo_PX[[#This Row],[Column994]]</f>
        <v>98.29</v>
      </c>
      <c r="ALG31">
        <f>SOFR3mo_PX[[#This Row],[Column995]]</f>
        <v>98.275000000000006</v>
      </c>
      <c r="ALH31">
        <f>SOFR3mo_PX[[#This Row],[Column996]]</f>
        <v>98.31</v>
      </c>
      <c r="ALI31">
        <f>SOFR3mo_PX[[#This Row],[Column997]]</f>
        <v>98.305000000000007</v>
      </c>
      <c r="ALJ31">
        <f>SOFR3mo_PX[[#This Row],[Column998]]</f>
        <v>98.275000000000006</v>
      </c>
      <c r="ALK31">
        <f>SOFR3mo_PX[[#This Row],[Column999]]</f>
        <v>98.284999999999997</v>
      </c>
      <c r="ALL31">
        <f>SOFR3mo_PX[[#This Row],[Column1000]]</f>
        <v>98.36</v>
      </c>
      <c r="ALM31">
        <f>SOFR3mo_PX[[#This Row],[Column1001]]</f>
        <v>98.415000000000006</v>
      </c>
      <c r="ALN31">
        <f>SOFR3mo_PX[[#This Row],[Column1002]]</f>
        <v>98.405000000000001</v>
      </c>
      <c r="ALO31">
        <f>SOFR3mo_PX[[#This Row],[Column1003]]</f>
        <v>98.43</v>
      </c>
      <c r="ALP31">
        <f>SOFR3mo_PX[[#This Row],[Column1004]]</f>
        <v>98.38</v>
      </c>
      <c r="ALQ31">
        <f>SOFR3mo_PX[[#This Row],[Column1005]]</f>
        <v>98.42</v>
      </c>
      <c r="ALR31">
        <f>SOFR3mo_PX[[#This Row],[Column1006]]</f>
        <v>98.424999999999997</v>
      </c>
      <c r="ALS31">
        <f>SOFR3mo_PX[[#This Row],[Column1007]]</f>
        <v>98.375</v>
      </c>
      <c r="ALT31">
        <f>SOFR3mo_PX[[#This Row],[Column1008]]</f>
        <v>98.28</v>
      </c>
      <c r="ALU31">
        <f>SOFR3mo_PX[[#This Row],[Column1009]]</f>
        <v>98.295000000000002</v>
      </c>
      <c r="ALV31">
        <f>SOFR3mo_PX[[#This Row],[Column1010]]</f>
        <v>98.314999999999998</v>
      </c>
      <c r="ALW31">
        <f>SOFR3mo_PX[[#This Row],[Column1011]]</f>
        <v>98.33</v>
      </c>
      <c r="ALX31">
        <f>SOFR3mo_PX[[#This Row],[Column1012]]</f>
        <v>98.364999999999995</v>
      </c>
      <c r="ALY31">
        <f>SOFR3mo_PX[[#This Row],[Column1013]]</f>
        <v>98.46</v>
      </c>
      <c r="ALZ31">
        <f>SOFR3mo_PX[[#This Row],[Column1014]]</f>
        <v>98.47</v>
      </c>
      <c r="AMA31">
        <f>SOFR3mo_PX[[#This Row],[Column1015]]</f>
        <v>98.465000000000003</v>
      </c>
      <c r="AMB31">
        <f>SOFR3mo_PX[[#This Row],[Column1016]]</f>
        <v>98.47</v>
      </c>
      <c r="AMC31">
        <f>SOFR3mo_PX[[#This Row],[Column1017]]</f>
        <v>98.375</v>
      </c>
      <c r="AMD31">
        <f>SOFR3mo_PX[[#This Row],[Column1018]]</f>
        <v>98.355000000000004</v>
      </c>
      <c r="AME31">
        <f>SOFR3mo_PX[[#This Row],[Column1019]]</f>
        <v>98.38</v>
      </c>
      <c r="AMF31">
        <f>SOFR3mo_PX[[#This Row],[Column1020]]</f>
        <v>98.4</v>
      </c>
      <c r="AMG31">
        <f>SOFR3mo_PX[[#This Row],[Column1021]]</f>
        <v>98.364999999999995</v>
      </c>
      <c r="AMH31">
        <f>SOFR3mo_PX[[#This Row],[Column1022]]</f>
        <v>98.344999999999999</v>
      </c>
      <c r="AMI31">
        <f>SOFR3mo_PX[[#This Row],[Column1023]]</f>
        <v>98.37</v>
      </c>
      <c r="AMJ31">
        <f>SOFR3mo_PX[[#This Row],[Column1024]]</f>
        <v>98.364999999999995</v>
      </c>
      <c r="AMK31">
        <f>SOFR3mo_PX[[#This Row],[Column1025]]</f>
        <v>98.48</v>
      </c>
      <c r="AML31">
        <f>SOFR3mo_PX[[#This Row],[Column1026]]</f>
        <v>98.564999999999998</v>
      </c>
      <c r="AMM31">
        <f>SOFR3mo_PX[[#This Row],[Column1027]]</f>
        <v>98.39</v>
      </c>
      <c r="AMN31">
        <f>SOFR3mo_PX[[#This Row],[Column1028]]</f>
        <v>98.38</v>
      </c>
      <c r="AMO31">
        <f>SOFR3mo_PX[[#This Row],[Column1029]]</f>
        <v>98.27</v>
      </c>
      <c r="AMP31">
        <f>SOFR3mo_PX[[#This Row],[Column1030]]</f>
        <v>98.18</v>
      </c>
      <c r="AMQ31">
        <f>SOFR3mo_PX[[#This Row],[Column1031]]</f>
        <v>98.245000000000005</v>
      </c>
      <c r="AMR31">
        <f>SOFR3mo_PX[[#This Row],[Column1032]]</f>
        <v>98.24</v>
      </c>
      <c r="AMS31">
        <f>SOFR3mo_PX[[#This Row],[Column1033]]</f>
        <v>98.334999999999994</v>
      </c>
      <c r="AMT31">
        <f>SOFR3mo_PX[[#This Row],[Column1034]]</f>
        <v>98.32</v>
      </c>
      <c r="AMU31">
        <f>SOFR3mo_PX[[#This Row],[Column1035]]</f>
        <v>98.265000000000001</v>
      </c>
      <c r="AMV31">
        <f>SOFR3mo_PX[[#This Row],[Column1036]]</f>
        <v>98.18</v>
      </c>
      <c r="AMW31">
        <f>SOFR3mo_PX[[#This Row],[Column1037]]</f>
        <v>98.18</v>
      </c>
      <c r="AMX31">
        <f>SOFR3mo_PX[[#This Row],[Column1038]]</f>
        <v>98.114999999999995</v>
      </c>
      <c r="AMY31">
        <f>SOFR3mo_PX[[#This Row],[Column1039]]</f>
        <v>98.15</v>
      </c>
      <c r="AMZ31">
        <f>SOFR3mo_PX[[#This Row],[Column1040]]</f>
        <v>98.07</v>
      </c>
      <c r="ANA31">
        <f>SOFR3mo_PX[[#This Row],[Column1041]]</f>
        <v>98.06</v>
      </c>
      <c r="ANB31">
        <f>SOFR3mo_PX[[#This Row],[Column1042]]</f>
        <v>97.974999999999994</v>
      </c>
      <c r="ANC31">
        <f>SOFR3mo_PX[[#This Row],[Column1043]]</f>
        <v>98.02</v>
      </c>
      <c r="AND31">
        <f>SOFR3mo_PX[[#This Row],[Column1044]]</f>
        <v>98.01</v>
      </c>
      <c r="ANE31">
        <f>SOFR3mo_PX[[#This Row],[Column1045]]</f>
        <v>98.045000000000002</v>
      </c>
      <c r="ANF31">
        <f>SOFR3mo_PX[[#This Row],[Column1046]]</f>
        <v>98.04</v>
      </c>
      <c r="ANG31">
        <f>SOFR3mo_PX[[#This Row],[Column1047]]</f>
        <v>98.1</v>
      </c>
      <c r="ANH31">
        <f>SOFR3mo_PX[[#This Row],[Column1048]]</f>
        <v>97.995000000000005</v>
      </c>
      <c r="ANI31">
        <f>SOFR3mo_PX[[#This Row],[Column1049]]</f>
        <v>97.855000000000004</v>
      </c>
      <c r="ANJ31">
        <f>SOFR3mo_PX[[#This Row],[Column1050]]</f>
        <v>97.935000000000002</v>
      </c>
      <c r="ANK31">
        <f>SOFR3mo_PX[[#This Row],[Column1051]]</f>
        <v>97.92</v>
      </c>
      <c r="ANL31">
        <f>SOFR3mo_PX[[#This Row],[Column1052]]</f>
        <v>97.864999999999995</v>
      </c>
      <c r="ANM31">
        <f>SOFR3mo_PX[[#This Row],[Column1053]]</f>
        <v>97.885000000000005</v>
      </c>
      <c r="ANN31">
        <f>SOFR3mo_PX[[#This Row],[Column1054]]</f>
        <v>97.85</v>
      </c>
      <c r="ANO31">
        <f>SOFR3mo_PX[[#This Row],[Column1055]]</f>
        <v>97.8</v>
      </c>
      <c r="ANP31">
        <f>SOFR3mo_PX[[#This Row],[Column1056]]</f>
        <v>97.754999999999995</v>
      </c>
      <c r="ANQ31">
        <f>SOFR3mo_PX[[#This Row],[Column1057]]</f>
        <v>97.745000000000005</v>
      </c>
      <c r="ANR31">
        <f>SOFR3mo_PX[[#This Row],[Column1058]]</f>
        <v>97.65</v>
      </c>
      <c r="ANS31">
        <f>SOFR3mo_PX[[#This Row],[Column1059]]</f>
        <v>97.7</v>
      </c>
      <c r="ANT31">
        <f>SOFR3mo_PX[[#This Row],[Column1060]]</f>
        <v>97.665000000000006</v>
      </c>
      <c r="ANU31">
        <f>SOFR3mo_PX[[#This Row],[Column1061]]</f>
        <v>97.71</v>
      </c>
      <c r="ANV31">
        <f>SOFR3mo_PX[[#This Row],[Column1062]]</f>
        <v>97.71</v>
      </c>
      <c r="ANW31">
        <f>SOFR3mo_PX[[#This Row],[Column1063]]</f>
        <v>97.71</v>
      </c>
      <c r="ANX31">
        <f>SOFR3mo_PX[[#This Row],[Column1064]]</f>
        <v>97.76</v>
      </c>
      <c r="ANY31">
        <f>SOFR3mo_PX[[#This Row],[Column1065]]</f>
        <v>97.78</v>
      </c>
      <c r="ANZ31">
        <f>SOFR3mo_PX[[#This Row],[Column1066]]</f>
        <v>97.73</v>
      </c>
      <c r="AOA31">
        <f>SOFR3mo_PX[[#This Row],[Column1067]]</f>
        <v>97.69</v>
      </c>
      <c r="AOB31">
        <f>SOFR3mo_PX[[#This Row],[Column1068]]</f>
        <v>97.694999999999993</v>
      </c>
      <c r="AOC31">
        <f>SOFR3mo_PX[[#This Row],[Column1069]]</f>
        <v>97.635000000000005</v>
      </c>
      <c r="AOD31">
        <f>SOFR3mo_PX[[#This Row],[Column1070]]</f>
        <v>97.674999999999997</v>
      </c>
      <c r="AOE31">
        <f>SOFR3mo_PX[[#This Row],[Column1071]]</f>
        <v>97.68</v>
      </c>
      <c r="AOF31">
        <f>SOFR3mo_PX[[#This Row],[Column1072]]</f>
        <v>97.69</v>
      </c>
      <c r="AOG31">
        <f>SOFR3mo_PX[[#This Row],[Column1073]]</f>
        <v>97.644999999999996</v>
      </c>
      <c r="AOH31">
        <f>SOFR3mo_PX[[#This Row],[Column1074]]</f>
        <v>97.59</v>
      </c>
      <c r="AOI31">
        <f>SOFR3mo_PX[[#This Row],[Column1075]]</f>
        <v>97.69</v>
      </c>
      <c r="AOJ31">
        <f>SOFR3mo_PX[[#This Row],[Column1076]]</f>
        <v>97.715000000000003</v>
      </c>
      <c r="AOK31">
        <f>SOFR3mo_PX[[#This Row],[Column1077]]</f>
        <v>97.745000000000005</v>
      </c>
      <c r="AOL31">
        <f>SOFR3mo_PX[[#This Row],[Column1078]]</f>
        <v>97.76</v>
      </c>
      <c r="AOM31">
        <f>SOFR3mo_PX[[#This Row],[Column1079]]</f>
        <v>97.734999999999999</v>
      </c>
      <c r="AON31">
        <f>SOFR3mo_PX[[#This Row],[Column1080]]</f>
        <v>97.71</v>
      </c>
      <c r="AOO31">
        <f>SOFR3mo_PX[[#This Row],[Column1081]]</f>
        <v>97.685000000000002</v>
      </c>
      <c r="AOP31">
        <f>SOFR3mo_PX[[#This Row],[Column1082]]</f>
        <v>97.65</v>
      </c>
      <c r="AOQ31">
        <f>SOFR3mo_PX[[#This Row],[Column1083]]</f>
        <v>97.65</v>
      </c>
      <c r="AOR31">
        <f>SOFR3mo_PX[[#This Row],[Column1084]]</f>
        <v>97.674999999999997</v>
      </c>
      <c r="AOS31">
        <f>SOFR3mo_PX[[#This Row],[Column1085]]</f>
        <v>97.685000000000002</v>
      </c>
      <c r="AOT31">
        <f>SOFR3mo_PX[[#This Row],[Column1086]]</f>
        <v>97.745000000000005</v>
      </c>
      <c r="AOU31">
        <f>SOFR3mo_PX[[#This Row],[Column1087]]</f>
        <v>97.754999999999995</v>
      </c>
      <c r="AOV31">
        <f>SOFR3mo_PX[[#This Row],[Column1088]]</f>
        <v>97.78</v>
      </c>
      <c r="AOW31">
        <f>SOFR3mo_PX[[#This Row],[Column1089]]</f>
        <v>97.77</v>
      </c>
      <c r="AOX31">
        <f>SOFR3mo_PX[[#This Row],[Column1090]]</f>
        <v>97.775000000000006</v>
      </c>
      <c r="AOY31">
        <f>SOFR3mo_PX[[#This Row],[Column1091]]</f>
        <v>97.75</v>
      </c>
      <c r="AOZ31">
        <f>SOFR3mo_PX[[#This Row],[Column1092]]</f>
        <v>97.765000000000001</v>
      </c>
      <c r="APA31">
        <f>SOFR3mo_PX[[#This Row],[Column1093]]</f>
        <v>97.805000000000007</v>
      </c>
      <c r="APB31">
        <f>SOFR3mo_PX[[#This Row],[Column1094]]</f>
        <v>97.66</v>
      </c>
      <c r="APC31">
        <f>SOFR3mo_PX[[#This Row],[Column1095]]</f>
        <v>97.65</v>
      </c>
      <c r="APD31">
        <f>SOFR3mo_PX[[#This Row],[Column1096]]</f>
        <v>97.555000000000007</v>
      </c>
      <c r="APE31">
        <f>SOFR3mo_PX[[#This Row],[Column1097]]</f>
        <v>97.564999999999998</v>
      </c>
      <c r="APF31">
        <f>SOFR3mo_PX[[#This Row],[Column1098]]</f>
        <v>97.594999999999999</v>
      </c>
      <c r="APG31">
        <f>SOFR3mo_PX[[#This Row],[Column1099]]</f>
        <v>97.564999999999998</v>
      </c>
      <c r="APH31">
        <f>SOFR3mo_PX[[#This Row],[Column1100]]</f>
        <v>97.54</v>
      </c>
      <c r="API31">
        <f>SOFR3mo_PX[[#This Row],[Column1101]]</f>
        <v>97.435000000000002</v>
      </c>
      <c r="APJ31">
        <f>SOFR3mo_PX[[#This Row],[Column1102]]</f>
        <v>97.42</v>
      </c>
      <c r="APK31">
        <f>SOFR3mo_PX[[#This Row],[Column1103]]</f>
        <v>97.484999999999999</v>
      </c>
      <c r="APL31">
        <f>SOFR3mo_PX[[#This Row],[Column1104]]</f>
        <v>97.364999999999995</v>
      </c>
      <c r="APM31">
        <f>SOFR3mo_PX[[#This Row],[Column1105]]</f>
        <v>97.4</v>
      </c>
      <c r="APN31">
        <f>SOFR3mo_PX[[#This Row],[Column1106]]</f>
        <v>97.424999999999997</v>
      </c>
      <c r="APO31">
        <f>SOFR3mo_PX[[#This Row],[Column1107]]</f>
        <v>97.504999999999995</v>
      </c>
      <c r="APP31">
        <f>SOFR3mo_PX[[#This Row],[Column1108]]</f>
        <v>97.564999999999998</v>
      </c>
      <c r="APQ31">
        <f>SOFR3mo_PX[[#This Row],[Column1109]]</f>
        <v>97.534999999999997</v>
      </c>
      <c r="APR31">
        <f>SOFR3mo_PX[[#This Row],[Column1110]]</f>
        <v>97.515000000000001</v>
      </c>
      <c r="APS31">
        <f>SOFR3mo_PX[[#This Row],[Column1111]]</f>
        <v>97.454999999999998</v>
      </c>
      <c r="APT31">
        <f>SOFR3mo_PX[[#This Row],[Column1112]]</f>
        <v>97.41</v>
      </c>
      <c r="APU31">
        <f>SOFR3mo_PX[[#This Row],[Column1113]]</f>
        <v>97.584999999999994</v>
      </c>
      <c r="APV31">
        <f>SOFR3mo_PX[[#This Row],[Column1114]]</f>
        <v>97.775000000000006</v>
      </c>
      <c r="APW31">
        <f>SOFR3mo_PX[[#This Row],[Column1115]]</f>
        <v>97.765000000000001</v>
      </c>
      <c r="APX31">
        <f>SOFR3mo_PX[[#This Row],[Column1116]]</f>
        <v>97.76</v>
      </c>
      <c r="APY31">
        <f>SOFR3mo_PX[[#This Row],[Column1117]]</f>
        <v>97.745000000000005</v>
      </c>
      <c r="APZ31">
        <f>SOFR3mo_PX[[#This Row],[Column1118]]</f>
        <v>97.814999999999998</v>
      </c>
      <c r="AQA31">
        <f>SOFR3mo_PX[[#This Row],[Column1119]]</f>
        <v>97.805000000000007</v>
      </c>
      <c r="AQB31">
        <f>SOFR3mo_PX[[#This Row],[Column1120]]</f>
        <v>97.775000000000006</v>
      </c>
      <c r="AQC31">
        <f>SOFR3mo_PX[[#This Row],[Column1121]]</f>
        <v>97.72</v>
      </c>
      <c r="AQD31">
        <f>SOFR3mo_PX[[#This Row],[Column1122]]</f>
        <v>97.784999999999997</v>
      </c>
      <c r="AQE31">
        <f>SOFR3mo_PX[[#This Row],[Column1123]]</f>
        <v>97.775000000000006</v>
      </c>
      <c r="AQF31">
        <f>SOFR3mo_PX[[#This Row],[Column1124]]</f>
        <v>97.84</v>
      </c>
      <c r="AQG31">
        <f>SOFR3mo_PX[[#This Row],[Column1125]]</f>
        <v>97.894999999999996</v>
      </c>
      <c r="AQH31">
        <f>SOFR3mo_PX[[#This Row],[Column1126]]</f>
        <v>97.855000000000004</v>
      </c>
      <c r="AQI31">
        <f>SOFR3mo_PX[[#This Row],[Column1127]]</f>
        <v>97.765000000000001</v>
      </c>
      <c r="AQJ31">
        <f>SOFR3mo_PX[[#This Row],[Column1128]]</f>
        <v>97.77</v>
      </c>
      <c r="AQK31">
        <f>SOFR3mo_PX[[#This Row],[Column1129]]</f>
        <v>97.864999999999995</v>
      </c>
      <c r="AQL31">
        <f>SOFR3mo_PX[[#This Row],[Column1130]]</f>
        <v>97.89</v>
      </c>
      <c r="AQM31">
        <f>SOFR3mo_PX[[#This Row],[Column1131]]</f>
        <v>97.88</v>
      </c>
      <c r="AQN31">
        <f>SOFR3mo_PX[[#This Row],[Column1132]]</f>
        <v>97.915000000000006</v>
      </c>
      <c r="AQO31">
        <f>SOFR3mo_PX[[#This Row],[Column1133]]</f>
        <v>97.96</v>
      </c>
      <c r="AQP31">
        <f>SOFR3mo_PX[[#This Row],[Column1134]]</f>
        <v>98</v>
      </c>
      <c r="AQQ31">
        <f>SOFR3mo_PX[[#This Row],[Column1135]]</f>
        <v>98.025000000000006</v>
      </c>
      <c r="AQR31">
        <f>SOFR3mo_PX[[#This Row],[Column1136]]</f>
        <v>98.144999999999996</v>
      </c>
      <c r="AQS31">
        <f>SOFR3mo_PX[[#This Row],[Column1137]]</f>
        <v>98.144999999999996</v>
      </c>
      <c r="AQT31">
        <f>SOFR3mo_PX[[#This Row],[Column1138]]</f>
        <v>98.24</v>
      </c>
      <c r="AQU31">
        <f>SOFR3mo_PX[[#This Row],[Column1139]]</f>
        <v>98.25</v>
      </c>
      <c r="AQV31">
        <f>SOFR3mo_PX[[#This Row],[Column1140]]</f>
        <v>98.234999999999999</v>
      </c>
      <c r="AQW31">
        <f>SOFR3mo_PX[[#This Row],[Column1141]]</f>
        <v>98.224999999999994</v>
      </c>
      <c r="AQX31">
        <f>SOFR3mo_PX[[#This Row],[Column1142]]</f>
        <v>98.245000000000005</v>
      </c>
      <c r="AQY31">
        <f>SOFR3mo_PX[[#This Row],[Column1143]]</f>
        <v>98.25</v>
      </c>
      <c r="AQZ31">
        <f>SOFR3mo_PX[[#This Row],[Column1144]]</f>
        <v>98.37</v>
      </c>
      <c r="ARA31">
        <f>SOFR3mo_PX[[#This Row],[Column1145]]</f>
        <v>98.385000000000005</v>
      </c>
      <c r="ARB31">
        <f>SOFR3mo_PX[[#This Row],[Column1146]]</f>
        <v>98.45</v>
      </c>
      <c r="ARC31">
        <f>SOFR3mo_PX[[#This Row],[Column1147]]</f>
        <v>98.45</v>
      </c>
      <c r="ARD31">
        <f>SOFR3mo_PX[[#This Row],[Column1148]]</f>
        <v>98.454999999999998</v>
      </c>
      <c r="ARE31">
        <f>SOFR3mo_PX[[#This Row],[Column1149]]</f>
        <v>98.45</v>
      </c>
      <c r="ARF31">
        <f>SOFR3mo_PX[[#This Row],[Column1150]]</f>
        <v>98.444999999999993</v>
      </c>
      <c r="ARG31">
        <f>SOFR3mo_PX[[#This Row],[Column1151]]</f>
        <v>98.45</v>
      </c>
      <c r="ARH31">
        <f>SOFR3mo_PX[[#This Row],[Column1152]]</f>
        <v>98.45</v>
      </c>
      <c r="ARI31">
        <f>SOFR3mo_PX[[#This Row],[Column1153]]</f>
        <v>98.444999999999993</v>
      </c>
      <c r="ARJ31">
        <f>SOFR3mo_PX[[#This Row],[Column1154]]</f>
        <v>98.46</v>
      </c>
      <c r="ARK31">
        <f>SOFR3mo_PX[[#This Row],[Column1155]]</f>
        <v>98.46</v>
      </c>
      <c r="ARL31">
        <f>SOFR3mo_PX[[#This Row],[Column1156]]</f>
        <v>98.45</v>
      </c>
      <c r="ARM31">
        <f>SOFR3mo_PX[[#This Row],[Column1157]]</f>
        <v>98.45</v>
      </c>
      <c r="ARN31">
        <f>SOFR3mo_PX[[#This Row],[Column1158]]</f>
        <v>98.47</v>
      </c>
      <c r="ARO31">
        <f>SOFR3mo_PX[[#This Row],[Column1159]]</f>
        <v>98.454999999999998</v>
      </c>
      <c r="ARP31">
        <f>SOFR3mo_PX[[#This Row],[Column1160]]</f>
        <v>98.43</v>
      </c>
      <c r="ARQ31">
        <f>SOFR3mo_PX[[#This Row],[Column1161]]</f>
        <v>98.435000000000002</v>
      </c>
      <c r="ARR31">
        <f>SOFR3mo_PX[[#This Row],[Column1162]]</f>
        <v>98.44</v>
      </c>
      <c r="ARS31">
        <f>SOFR3mo_PX[[#This Row],[Column1163]]</f>
        <v>98.48</v>
      </c>
      <c r="ART31">
        <f>SOFR3mo_PX[[#This Row],[Column1164]]</f>
        <v>98.67</v>
      </c>
      <c r="ARU31">
        <f>SOFR3mo_PX[[#This Row],[Column1165]]</f>
        <v>98.715000000000003</v>
      </c>
      <c r="ARV31">
        <f>SOFR3mo_PX[[#This Row],[Column1166]]</f>
        <v>98.724999999999994</v>
      </c>
      <c r="ARW31">
        <f>SOFR3mo_PX[[#This Row],[Column1167]]</f>
        <v>98.715000000000003</v>
      </c>
      <c r="ARX31">
        <f>SOFR3mo_PX[[#This Row],[Column1168]]</f>
        <v>98.715000000000003</v>
      </c>
      <c r="ARY31">
        <f>SOFR3mo_PX[[#This Row],[Column1169]]</f>
        <v>98.704999999999998</v>
      </c>
      <c r="ARZ31">
        <f>SOFR3mo_PX[[#This Row],[Column1170]]</f>
        <v>98.69</v>
      </c>
      <c r="ASA31">
        <f>SOFR3mo_PX[[#This Row],[Column1171]]</f>
        <v>98.685000000000002</v>
      </c>
      <c r="ASB31">
        <f>SOFR3mo_PX[[#This Row],[Column1172]]</f>
        <v>98.69</v>
      </c>
      <c r="ASC31">
        <f>SOFR3mo_PX[[#This Row],[Column1173]]</f>
        <v>98.69</v>
      </c>
      <c r="ASD31">
        <f>SOFR3mo_PX[[#This Row],[Column1174]]</f>
        <v>98.69</v>
      </c>
      <c r="ASE31">
        <f>SOFR3mo_PX[[#This Row],[Column1175]]</f>
        <v>98.694999999999993</v>
      </c>
      <c r="ASF31">
        <f>SOFR3mo_PX[[#This Row],[Column1176]]</f>
        <v>98.69</v>
      </c>
      <c r="ASG31">
        <f>SOFR3mo_PX[[#This Row],[Column1177]]</f>
        <v>98.69</v>
      </c>
      <c r="ASH31">
        <f>SOFR3mo_PX[[#This Row],[Column1178]]</f>
        <v>98.79</v>
      </c>
      <c r="ASI31">
        <f>SOFR3mo_PX[[#This Row],[Column1179]]</f>
        <v>98.8</v>
      </c>
      <c r="ASJ31">
        <f>SOFR3mo_PX[[#This Row],[Column1180]]</f>
        <v>98.85</v>
      </c>
      <c r="ASK31">
        <f>SOFR3mo_PX[[#This Row],[Column1181]]</f>
        <v>98.85</v>
      </c>
      <c r="ASL31">
        <f>SOFR3mo_PX[[#This Row],[Column1182]]</f>
        <v>98.85</v>
      </c>
      <c r="ASM31">
        <f>SOFR3mo_PX[[#This Row],[Column1183]]</f>
        <v>99.084999999999994</v>
      </c>
      <c r="ASN31">
        <f>SOFR3mo_PX[[#This Row],[Column1184]]</f>
        <v>99.465000000000003</v>
      </c>
      <c r="ASO31">
        <f>SOFR3mo_PX[[#This Row],[Column1185]]</f>
        <v>99.57</v>
      </c>
      <c r="ASP31">
        <f>SOFR3mo_PX[[#This Row],[Column1186]]</f>
        <v>99.57</v>
      </c>
      <c r="ASQ31">
        <f>SOFR3mo_PX[[#This Row],[Column1187]]</f>
        <v>99.58</v>
      </c>
      <c r="ASR31">
        <f>SOFR3mo_PX[[#This Row],[Column1188]]</f>
        <v>99.594999999999999</v>
      </c>
      <c r="ASS31">
        <f>SOFR3mo_PX[[#This Row],[Column1189]]</f>
        <v>99.6</v>
      </c>
      <c r="AST31">
        <f>SOFR3mo_PX[[#This Row],[Column1190]]</f>
        <v>99.605000000000004</v>
      </c>
      <c r="ASU31">
        <f>SOFR3mo_PX[[#This Row],[Column1191]]</f>
        <v>99.63</v>
      </c>
      <c r="ASV31">
        <f>SOFR3mo_PX[[#This Row],[Column1192]]</f>
        <v>99.635000000000005</v>
      </c>
      <c r="ASW31">
        <f>SOFR3mo_PX[[#This Row],[Column1193]]</f>
        <v>99.63</v>
      </c>
      <c r="ASX31">
        <f>SOFR3mo_PX[[#This Row],[Column1194]]</f>
        <v>99.63</v>
      </c>
      <c r="ASY31">
        <f>SOFR3mo_PX[[#This Row],[Column1195]]</f>
        <v>99.625</v>
      </c>
      <c r="ASZ31">
        <f>SOFR3mo_PX[[#This Row],[Column1196]]</f>
        <v>99.62</v>
      </c>
      <c r="ATA31">
        <f>SOFR3mo_PX[[#This Row],[Column1197]]</f>
        <v>99.635000000000005</v>
      </c>
      <c r="ATB31">
        <f>SOFR3mo_PX[[#This Row],[Column1198]]</f>
        <v>99.63</v>
      </c>
      <c r="ATC31">
        <f>SOFR3mo_PX[[#This Row],[Column1199]]</f>
        <v>99.63</v>
      </c>
      <c r="ATD31">
        <f>SOFR3mo_PX[[#This Row],[Column1200]]</f>
        <v>99.635000000000005</v>
      </c>
      <c r="ATE31">
        <f>SOFR3mo_PX[[#This Row],[Column1201]]</f>
        <v>99.625</v>
      </c>
      <c r="ATF31">
        <f>SOFR3mo_PX[[#This Row],[Column1202]]</f>
        <v>99.625</v>
      </c>
      <c r="ATG31">
        <f>SOFR3mo_PX[[#This Row],[Column1203]]</f>
        <v>99.62</v>
      </c>
      <c r="ATH31">
        <f>SOFR3mo_PX[[#This Row],[Column1204]]</f>
        <v>99.6</v>
      </c>
      <c r="ATI31">
        <f>SOFR3mo_PX[[#This Row],[Column1205]]</f>
        <v>99.6</v>
      </c>
      <c r="ATJ31">
        <f>SOFR3mo_PX[[#This Row],[Column1206]]</f>
        <v>99.635000000000005</v>
      </c>
      <c r="ATK31">
        <f>SOFR3mo_PX[[#This Row],[Column1207]]</f>
        <v>99.68</v>
      </c>
      <c r="ATL31">
        <f>SOFR3mo_PX[[#This Row],[Column1208]]</f>
        <v>99.685000000000002</v>
      </c>
      <c r="ATM31">
        <f>SOFR3mo_PX[[#This Row],[Column1209]]</f>
        <v>99.704999999999998</v>
      </c>
      <c r="ATN31">
        <f>SOFR3mo_PX[[#This Row],[Column1210]]</f>
        <v>99.674999999999997</v>
      </c>
      <c r="ATO31">
        <f>SOFR3mo_PX[[#This Row],[Column1211]]</f>
        <v>99.685000000000002</v>
      </c>
      <c r="ATP31">
        <f>SOFR3mo_PX[[#This Row],[Column1212]]</f>
        <v>99.68</v>
      </c>
      <c r="ATQ31">
        <f>SOFR3mo_PX[[#This Row],[Column1213]]</f>
        <v>99.685000000000002</v>
      </c>
      <c r="ATR31">
        <f>SOFR3mo_PX[[#This Row],[Column1214]]</f>
        <v>99.694999999999993</v>
      </c>
      <c r="ATS31">
        <f>SOFR3mo_PX[[#This Row],[Column1215]]</f>
        <v>99.694999999999993</v>
      </c>
      <c r="ATT31">
        <f>SOFR3mo_PX[[#This Row],[Column1216]]</f>
        <v>99.69</v>
      </c>
      <c r="ATU31">
        <f>SOFR3mo_PX[[#This Row],[Column1217]]</f>
        <v>99.68</v>
      </c>
      <c r="ATV31">
        <f>SOFR3mo_PX[[#This Row],[Column1218]]</f>
        <v>99.67</v>
      </c>
      <c r="ATW31">
        <f>SOFR3mo_PX[[#This Row],[Column1219]]</f>
        <v>99.694999999999993</v>
      </c>
      <c r="ATX31">
        <f>SOFR3mo_PX[[#This Row],[Column1220]]</f>
        <v>99.694999999999993</v>
      </c>
      <c r="ATY31">
        <f>SOFR3mo_PX[[#This Row],[Column1221]]</f>
        <v>99.704999999999998</v>
      </c>
      <c r="ATZ31">
        <f>SOFR3mo_PX[[#This Row],[Column1222]]</f>
        <v>99.715000000000003</v>
      </c>
      <c r="AUA31">
        <f>SOFR3mo_PX[[#This Row],[Column1223]]</f>
        <v>99.71</v>
      </c>
      <c r="AUB31">
        <f>SOFR3mo_PX[[#This Row],[Column1224]]</f>
        <v>99.715000000000003</v>
      </c>
      <c r="AUC31">
        <f>SOFR3mo_PX[[#This Row],[Column1225]]</f>
        <v>99.71</v>
      </c>
      <c r="AUD31">
        <f>SOFR3mo_PX[[#This Row],[Column1226]]</f>
        <v>99.694999999999993</v>
      </c>
      <c r="AUE31">
        <f>SOFR3mo_PX[[#This Row],[Column1227]]</f>
        <v>99.69</v>
      </c>
      <c r="AUF31">
        <f>SOFR3mo_PX[[#This Row],[Column1228]]</f>
        <v>99.704999999999998</v>
      </c>
      <c r="AUG31">
        <f>SOFR3mo_PX[[#This Row],[Column1229]]</f>
        <v>99.7</v>
      </c>
      <c r="AUH31">
        <f>SOFR3mo_PX[[#This Row],[Column1230]]</f>
        <v>99.724999999999994</v>
      </c>
      <c r="AUI31">
        <f>SOFR3mo_PX[[#This Row],[Column1231]]</f>
        <v>99.724999999999994</v>
      </c>
      <c r="AUJ31">
        <f>SOFR3mo_PX[[#This Row],[Column1232]]</f>
        <v>99.775000000000006</v>
      </c>
      <c r="AUK31">
        <f>SOFR3mo_PX[[#This Row],[Column1233]]</f>
        <v>99.775000000000006</v>
      </c>
      <c r="AUL31">
        <f>SOFR3mo_PX[[#This Row],[Column1234]]</f>
        <v>99.775000000000006</v>
      </c>
      <c r="AUM31">
        <f>SOFR3mo_PX[[#This Row],[Column1235]]</f>
        <v>99.78</v>
      </c>
      <c r="AUN31">
        <f>SOFR3mo_PX[[#This Row],[Column1236]]</f>
        <v>99.78</v>
      </c>
      <c r="AUO31">
        <f>SOFR3mo_PX[[#This Row],[Column1237]]</f>
        <v>99.79</v>
      </c>
      <c r="AUP31">
        <f>SOFR3mo_PX[[#This Row],[Column1238]]</f>
        <v>99.79</v>
      </c>
      <c r="AUQ31">
        <f>SOFR3mo_PX[[#This Row],[Column1239]]</f>
        <v>99.795000000000002</v>
      </c>
      <c r="AUR31">
        <f>SOFR3mo_PX[[#This Row],[Column1240]]</f>
        <v>99.795000000000002</v>
      </c>
      <c r="AUS31">
        <f>SOFR3mo_PX[[#This Row],[Column1241]]</f>
        <v>99.784999999999997</v>
      </c>
      <c r="AUT31">
        <f>SOFR3mo_PX[[#This Row],[Column1242]]</f>
        <v>99.765000000000001</v>
      </c>
      <c r="AUU31">
        <f>SOFR3mo_PX[[#This Row],[Column1243]]</f>
        <v>99.78</v>
      </c>
      <c r="AUV31">
        <f>SOFR3mo_PX[[#This Row],[Column1244]]</f>
        <v>99.775000000000006</v>
      </c>
      <c r="AUW31">
        <f>SOFR3mo_PX[[#This Row],[Column1245]]</f>
        <v>99.805000000000007</v>
      </c>
      <c r="AUX31">
        <f>SOFR3mo_PX[[#This Row],[Column1246]]</f>
        <v>99.81</v>
      </c>
      <c r="AUY31">
        <f>SOFR3mo_PX[[#This Row],[Column1247]]</f>
        <v>99.8</v>
      </c>
      <c r="AUZ31">
        <f>SOFR3mo_PX[[#This Row],[Column1248]]</f>
        <v>99.775000000000006</v>
      </c>
      <c r="AVA31">
        <f>SOFR3mo_PX[[#This Row],[Column1249]]</f>
        <v>99.77</v>
      </c>
      <c r="AVB31">
        <f>SOFR3mo_PX[[#This Row],[Column1250]]</f>
        <v>99.775000000000006</v>
      </c>
      <c r="AVC31">
        <f>SOFR3mo_PX[[#This Row],[Column1251]]</f>
        <v>99.765000000000001</v>
      </c>
      <c r="AVD31">
        <f>SOFR3mo_PX[[#This Row],[Column1252]]</f>
        <v>99.765000000000001</v>
      </c>
      <c r="AVE31">
        <f>SOFR3mo_PX[[#This Row],[Column1253]]</f>
        <v>99.795000000000002</v>
      </c>
      <c r="AVF31">
        <f>SOFR3mo_PX[[#This Row],[Column1254]]</f>
        <v>99.784999999999997</v>
      </c>
      <c r="AVG31">
        <f>SOFR3mo_PX[[#This Row],[Column1255]]</f>
        <v>99.795000000000002</v>
      </c>
      <c r="AVH31">
        <f>SOFR3mo_PX[[#This Row],[Column1256]]</f>
        <v>99.79</v>
      </c>
      <c r="AVI31">
        <f>SOFR3mo_PX[[#This Row],[Column1257]]</f>
        <v>99.784999999999997</v>
      </c>
      <c r="AVJ31">
        <f>SOFR3mo_PX[[#This Row],[Column1258]]</f>
        <v>99.765000000000001</v>
      </c>
      <c r="AVK31">
        <f>SOFR3mo_PX[[#This Row],[Column1259]]</f>
        <v>99.775000000000006</v>
      </c>
      <c r="AVL31">
        <f>SOFR3mo_PX[[#This Row],[Column1260]]</f>
        <v>99.78</v>
      </c>
      <c r="AVM31">
        <f>SOFR3mo_PX[[#This Row],[Column1261]]</f>
        <v>99.79</v>
      </c>
      <c r="AVN31">
        <f>SOFR3mo_PX[[#This Row],[Column1262]]</f>
        <v>99.784999999999997</v>
      </c>
      <c r="AVO31">
        <f>SOFR3mo_PX[[#This Row],[Column1263]]</f>
        <v>99.795000000000002</v>
      </c>
      <c r="AVP31">
        <f>SOFR3mo_PX[[#This Row],[Column1264]]</f>
        <v>99.795000000000002</v>
      </c>
      <c r="AVQ31">
        <f>SOFR3mo_PX[[#This Row],[Column1265]]</f>
        <v>99.784999999999997</v>
      </c>
      <c r="AVR31">
        <f>SOFR3mo_PX[[#This Row],[Column1266]]</f>
        <v>99.77</v>
      </c>
      <c r="AVS31">
        <f>SOFR3mo_PX[[#This Row],[Column1267]]</f>
        <v>99.76</v>
      </c>
      <c r="AVT31">
        <f>SOFR3mo_PX[[#This Row],[Column1268]]</f>
        <v>99.76</v>
      </c>
      <c r="AVU31">
        <f>SOFR3mo_PX[[#This Row],[Column1269]]</f>
        <v>99.765000000000001</v>
      </c>
      <c r="AVV31">
        <f>SOFR3mo_PX[[#This Row],[Column1270]]</f>
        <v>99.765000000000001</v>
      </c>
      <c r="AVW31">
        <f>SOFR3mo_PX[[#This Row],[Column1271]]</f>
        <v>99.8</v>
      </c>
      <c r="AVX31">
        <f>SOFR3mo_PX[[#This Row],[Column1272]]</f>
        <v>99.81</v>
      </c>
      <c r="AVY31">
        <f>SOFR3mo_PX[[#This Row],[Column1273]]</f>
        <v>99.83</v>
      </c>
      <c r="AVZ31">
        <f>SOFR3mo_PX[[#This Row],[Column1274]]</f>
        <v>99.834999999999994</v>
      </c>
      <c r="AWA31">
        <f>SOFR3mo_PX[[#This Row],[Column1275]]</f>
        <v>99.844999999999999</v>
      </c>
      <c r="AWB31">
        <f>SOFR3mo_PX[[#This Row],[Column1276]]</f>
        <v>99.834999999999994</v>
      </c>
      <c r="AWC31">
        <f>SOFR3mo_PX[[#This Row],[Column1277]]</f>
        <v>99.83</v>
      </c>
      <c r="AWD31">
        <f>SOFR3mo_PX[[#This Row],[Column1278]]</f>
        <v>99.825000000000003</v>
      </c>
      <c r="AWE31">
        <f>SOFR3mo_PX[[#This Row],[Column1279]]</f>
        <v>99.805000000000007</v>
      </c>
      <c r="AWF31">
        <f>SOFR3mo_PX[[#This Row],[Column1280]]</f>
        <v>99.795000000000002</v>
      </c>
      <c r="AWG31">
        <f>SOFR3mo_PX[[#This Row],[Column1281]]</f>
        <v>99.79</v>
      </c>
      <c r="AWH31">
        <f>SOFR3mo_PX[[#This Row],[Column1282]]</f>
        <v>99.8</v>
      </c>
      <c r="AWI31">
        <f>SOFR3mo_PX[[#This Row],[Column1283]]</f>
        <v>99.805000000000007</v>
      </c>
      <c r="AWJ31">
        <f>SOFR3mo_PX[[#This Row],[Column1284]]</f>
        <v>99.805000000000007</v>
      </c>
      <c r="AWK31">
        <f>SOFR3mo_PX[[#This Row],[Column1285]]</f>
        <v>99.8</v>
      </c>
      <c r="AWL31">
        <f>SOFR3mo_PX[[#This Row],[Column1286]]</f>
        <v>99.8</v>
      </c>
      <c r="AWM31">
        <f>SOFR3mo_PX[[#This Row],[Column1287]]</f>
        <v>99.795000000000002</v>
      </c>
      <c r="AWN31">
        <f>SOFR3mo_PX[[#This Row],[Column1288]]</f>
        <v>99.795000000000002</v>
      </c>
      <c r="AWO31">
        <f>SOFR3mo_PX[[#This Row],[Column1289]]</f>
        <v>99.79</v>
      </c>
      <c r="AWP31">
        <f>SOFR3mo_PX[[#This Row],[Column1290]]</f>
        <v>99.8</v>
      </c>
      <c r="AWQ31">
        <f>SOFR3mo_PX[[#This Row],[Column1291]]</f>
        <v>99.8</v>
      </c>
      <c r="AWR31">
        <f>SOFR3mo_PX[[#This Row],[Column1292]]</f>
        <v>99.814999999999998</v>
      </c>
      <c r="AWS31">
        <f>SOFR3mo_PX[[#This Row],[Column1293]]</f>
        <v>99.83</v>
      </c>
      <c r="AWT31">
        <f>SOFR3mo_PX[[#This Row],[Column1294]]</f>
        <v>99.814999999999998</v>
      </c>
      <c r="AWU31">
        <f>SOFR3mo_PX[[#This Row],[Column1295]]</f>
        <v>99.81</v>
      </c>
      <c r="AWV31">
        <f>SOFR3mo_PX[[#This Row],[Column1296]]</f>
        <v>99.805000000000007</v>
      </c>
      <c r="AWW31">
        <f>SOFR3mo_PX[[#This Row],[Column1297]]</f>
        <v>99.805000000000007</v>
      </c>
      <c r="AWX31">
        <f>SOFR3mo_PX[[#This Row],[Column1298]]</f>
        <v>99.805000000000007</v>
      </c>
      <c r="AWY31">
        <f>SOFR3mo_PX[[#This Row],[Column1299]]</f>
        <v>99.795000000000002</v>
      </c>
      <c r="AWZ31">
        <f>SOFR3mo_PX[[#This Row],[Column1300]]</f>
        <v>99.814999999999998</v>
      </c>
      <c r="AXA31">
        <f>SOFR3mo_PX[[#This Row],[Column1301]]</f>
        <v>99.814999999999998</v>
      </c>
      <c r="AXB31">
        <f>SOFR3mo_PX[[#This Row],[Column1302]]</f>
        <v>99.805000000000007</v>
      </c>
      <c r="AXC31">
        <f>SOFR3mo_PX[[#This Row],[Column1303]]</f>
        <v>99.784999999999997</v>
      </c>
      <c r="AXD31">
        <f>SOFR3mo_PX[[#This Row],[Column1304]]</f>
        <v>99.784999999999997</v>
      </c>
      <c r="AXE31">
        <f>SOFR3mo_PX[[#This Row],[Column1305]]</f>
        <v>99.784999999999997</v>
      </c>
      <c r="AXF31">
        <f>SOFR3mo_PX[[#This Row],[Column1306]]</f>
        <v>99.78</v>
      </c>
      <c r="AXG31">
        <f>SOFR3mo_PX[[#This Row],[Column1307]]</f>
        <v>99.77</v>
      </c>
      <c r="AXH31">
        <f>SOFR3mo_PX[[#This Row],[Column1308]]</f>
        <v>99.75</v>
      </c>
      <c r="AXI31">
        <f>SOFR3mo_PX[[#This Row],[Column1309]]</f>
        <v>99.745000000000005</v>
      </c>
      <c r="AXJ31">
        <f>SOFR3mo_PX[[#This Row],[Column1310]]</f>
        <v>99.734999999999999</v>
      </c>
      <c r="AXK31">
        <f>SOFR3mo_PX[[#This Row],[Column1311]]</f>
        <v>99.75</v>
      </c>
      <c r="AXL31">
        <f>SOFR3mo_PX[[#This Row],[Column1312]]</f>
        <v>99.74</v>
      </c>
      <c r="AXM31">
        <f>SOFR3mo_PX[[#This Row],[Column1313]]</f>
        <v>99.75</v>
      </c>
      <c r="AXN31">
        <f>SOFR3mo_PX[[#This Row],[Column1314]]</f>
        <v>99.724999999999994</v>
      </c>
      <c r="AXO31">
        <f>SOFR3mo_PX[[#This Row],[Column1315]]</f>
        <v>99.674999999999997</v>
      </c>
      <c r="AXP31">
        <f>SOFR3mo_PX[[#This Row],[Column1316]]</f>
        <v>99.64</v>
      </c>
      <c r="AXQ31">
        <f>SOFR3mo_PX[[#This Row],[Column1317]]</f>
        <v>99.635000000000005</v>
      </c>
      <c r="AXR31">
        <f>SOFR3mo_PX[[#This Row],[Column1318]]</f>
        <v>99.7</v>
      </c>
      <c r="AXS31">
        <f>SOFR3mo_PX[[#This Row],[Column1319]]</f>
        <v>99.715000000000003</v>
      </c>
      <c r="AXT31">
        <f>SOFR3mo_PX[[#This Row],[Column1320]]</f>
        <v>99.75</v>
      </c>
      <c r="AXU31">
        <f>SOFR3mo_PX[[#This Row],[Column1321]]</f>
        <v>99.754999999999995</v>
      </c>
      <c r="AXV31">
        <f>SOFR3mo_PX[[#This Row],[Column1322]]</f>
        <v>99.745000000000005</v>
      </c>
      <c r="AXW31">
        <f>SOFR3mo_PX[[#This Row],[Column1323]]</f>
        <v>99.724999999999994</v>
      </c>
      <c r="AXX31">
        <f>SOFR3mo_PX[[#This Row],[Column1324]]</f>
        <v>99.73</v>
      </c>
      <c r="AXY31">
        <f>SOFR3mo_PX[[#This Row],[Column1325]]</f>
        <v>99.734999999999999</v>
      </c>
      <c r="AXZ31">
        <f>SOFR3mo_PX[[#This Row],[Column1326]]</f>
        <v>99.74</v>
      </c>
      <c r="AYA31">
        <f>SOFR3mo_PX[[#This Row],[Column1327]]</f>
        <v>99.74</v>
      </c>
      <c r="AYB31">
        <f>SOFR3mo_PX[[#This Row],[Column1328]]</f>
        <v>99.734999999999999</v>
      </c>
      <c r="AYC31">
        <f>SOFR3mo_PX[[#This Row],[Column1329]]</f>
        <v>99.734999999999999</v>
      </c>
      <c r="AYD31">
        <f>SOFR3mo_PX[[#This Row],[Column1330]]</f>
        <v>99.74</v>
      </c>
      <c r="AYE31">
        <f>SOFR3mo_PX[[#This Row],[Column1331]]</f>
        <v>99.74</v>
      </c>
      <c r="AYF31">
        <f>SOFR3mo_PX[[#This Row],[Column1332]]</f>
        <v>99.784999999999997</v>
      </c>
      <c r="AYG31">
        <f>SOFR3mo_PX[[#This Row],[Column1333]]</f>
        <v>99.76</v>
      </c>
      <c r="AYH31">
        <f>SOFR3mo_PX[[#This Row],[Column1334]]</f>
        <v>99.75</v>
      </c>
      <c r="AYI31">
        <f>SOFR3mo_PX[[#This Row],[Column1335]]</f>
        <v>99.73</v>
      </c>
      <c r="AYJ31">
        <f>SOFR3mo_PX[[#This Row],[Column1336]]</f>
        <v>99.73</v>
      </c>
      <c r="AYK31">
        <f>SOFR3mo_PX[[#This Row],[Column1337]]</f>
        <v>99.75</v>
      </c>
      <c r="AYL31">
        <f>SOFR3mo_PX[[#This Row],[Column1338]]</f>
        <v>99.76</v>
      </c>
      <c r="AYM31">
        <f>SOFR3mo_PX[[#This Row],[Column1339]]</f>
        <v>99.704999999999998</v>
      </c>
      <c r="AYN31">
        <f>SOFR3mo_PX[[#This Row],[Column1340]]</f>
        <v>99.69</v>
      </c>
      <c r="AYO31">
        <f>SOFR3mo_PX[[#This Row],[Column1341]]</f>
        <v>99.694999999999993</v>
      </c>
      <c r="AYP31">
        <f>SOFR3mo_PX[[#This Row],[Column1342]]</f>
        <v>99.68</v>
      </c>
      <c r="AYQ31">
        <f>SOFR3mo_PX[[#This Row],[Column1343]]</f>
        <v>99.685000000000002</v>
      </c>
      <c r="AYR31">
        <f>SOFR3mo_PX[[#This Row],[Column1344]]</f>
        <v>99.674999999999997</v>
      </c>
      <c r="AYS31">
        <f>SOFR3mo_PX[[#This Row],[Column1345]]</f>
        <v>99.66</v>
      </c>
      <c r="AYT31">
        <f>SOFR3mo_PX[[#This Row],[Column1346]]</f>
        <v>99.655000000000001</v>
      </c>
      <c r="AYU31">
        <f>SOFR3mo_PX[[#This Row],[Column1347]]</f>
        <v>99.665000000000006</v>
      </c>
      <c r="AYV31">
        <f>SOFR3mo_PX[[#This Row],[Column1348]]</f>
        <v>99.665000000000006</v>
      </c>
      <c r="AYW31">
        <f>SOFR3mo_PX[[#This Row],[Column1349]]</f>
        <v>99.66</v>
      </c>
      <c r="AYX31">
        <f>SOFR3mo_PX[[#This Row],[Column1350]]</f>
        <v>99.67</v>
      </c>
      <c r="AYY31">
        <f>SOFR3mo_PX[[#This Row],[Column1351]]</f>
        <v>99.65</v>
      </c>
      <c r="AYZ31">
        <f>SOFR3mo_PX[[#This Row],[Column1352]]</f>
        <v>99.64</v>
      </c>
      <c r="AZA31">
        <f>SOFR3mo_PX[[#This Row],[Column1353]]</f>
        <v>99.625</v>
      </c>
      <c r="AZB31">
        <f>SOFR3mo_PX[[#This Row],[Column1354]]</f>
        <v>99.614999999999995</v>
      </c>
      <c r="AZC31">
        <f>SOFR3mo_PX[[#This Row],[Column1355]]</f>
        <v>99.584999999999994</v>
      </c>
      <c r="AZD31">
        <f>SOFR3mo_PX[[#This Row],[Column1356]]</f>
        <v>99.57</v>
      </c>
      <c r="AZE31">
        <f>SOFR3mo_PX[[#This Row],[Column1357]]</f>
        <v>99.58</v>
      </c>
      <c r="AZF31">
        <f>SOFR3mo_PX[[#This Row],[Column1358]]</f>
        <v>99.58</v>
      </c>
      <c r="AZG31">
        <f>SOFR3mo_PX[[#This Row],[Column1359]]</f>
        <v>99.56</v>
      </c>
      <c r="AZH31">
        <f>SOFR3mo_PX[[#This Row],[Column1360]]</f>
        <v>99.545000000000002</v>
      </c>
      <c r="AZI31">
        <f>SOFR3mo_PX[[#This Row],[Column1361]]</f>
        <v>99.59</v>
      </c>
      <c r="AZJ31">
        <f>SOFR3mo_PX[[#This Row],[Column1362]]</f>
        <v>99.65</v>
      </c>
      <c r="AZK31">
        <f>SOFR3mo_PX[[#This Row],[Column1363]]</f>
        <v>99.644999999999996</v>
      </c>
      <c r="AZL31">
        <f>SOFR3mo_PX[[#This Row],[Column1364]]</f>
        <v>99.66</v>
      </c>
      <c r="AZM31">
        <f>SOFR3mo_PX[[#This Row],[Column1365]]</f>
        <v>99.635000000000005</v>
      </c>
      <c r="AZN31">
        <f>SOFR3mo_PX[[#This Row],[Column1366]]</f>
        <v>99.665000000000006</v>
      </c>
      <c r="AZO31">
        <f>SOFR3mo_PX[[#This Row],[Column1367]]</f>
        <v>99.62</v>
      </c>
      <c r="AZP31">
        <f>SOFR3mo_PX[[#This Row],[Column1368]]</f>
        <v>99.6</v>
      </c>
      <c r="AZQ31">
        <f>SOFR3mo_PX[[#This Row],[Column1369]]</f>
        <v>99.57</v>
      </c>
      <c r="AZR31">
        <f>SOFR3mo_PX[[#This Row],[Column1370]]</f>
        <v>99.564999999999998</v>
      </c>
      <c r="AZS31">
        <f>SOFR3mo_PX[[#This Row],[Column1371]]</f>
        <v>99.625</v>
      </c>
      <c r="AZT31">
        <f>SOFR3mo_PX[[#This Row],[Column1372]]</f>
        <v>99.545000000000002</v>
      </c>
      <c r="AZU31">
        <f>SOFR3mo_PX[[#This Row],[Column1373]]</f>
        <v>99.484999999999999</v>
      </c>
      <c r="AZV31">
        <f>SOFR3mo_PX[[#This Row],[Column1374]]</f>
        <v>99.38</v>
      </c>
      <c r="AZW31">
        <f>SOFR3mo_PX[[#This Row],[Column1375]]</f>
        <v>99.495000000000005</v>
      </c>
      <c r="AZX31">
        <f>SOFR3mo_PX[[#This Row],[Column1376]]</f>
        <v>99.545000000000002</v>
      </c>
      <c r="AZY31">
        <f>SOFR3mo_PX[[#This Row],[Column1377]]</f>
        <v>99.47</v>
      </c>
      <c r="AZZ31">
        <f>SOFR3mo_PX[[#This Row],[Column1378]]</f>
        <v>99.51</v>
      </c>
      <c r="BAA31">
        <f>SOFR3mo_PX[[#This Row],[Column1379]]</f>
        <v>99.44</v>
      </c>
      <c r="BAB31">
        <f>SOFR3mo_PX[[#This Row],[Column1380]]</f>
        <v>99.43</v>
      </c>
      <c r="BAC31">
        <f>SOFR3mo_PX[[#This Row],[Column1381]]</f>
        <v>99.55</v>
      </c>
      <c r="BAD31">
        <f>SOFR3mo_PX[[#This Row],[Column1382]]</f>
        <v>99.474999999999994</v>
      </c>
      <c r="BAE31">
        <f>SOFR3mo_PX[[#This Row],[Column1383]]</f>
        <v>99.39</v>
      </c>
      <c r="BAF31">
        <f>SOFR3mo_PX[[#This Row],[Column1384]]</f>
        <v>99.34</v>
      </c>
      <c r="BAG31">
        <f>SOFR3mo_PX[[#This Row],[Column1385]]</f>
        <v>99.28</v>
      </c>
      <c r="BAH31">
        <f>SOFR3mo_PX[[#This Row],[Column1386]]</f>
        <v>99.21</v>
      </c>
      <c r="BAI31">
        <f>SOFR3mo_PX[[#This Row],[Column1387]]</f>
        <v>99.21</v>
      </c>
      <c r="BAJ31">
        <f>SOFR3mo_PX[[#This Row],[Column1388]]</f>
        <v>99.01</v>
      </c>
      <c r="BAK31">
        <f>SOFR3mo_PX[[#This Row],[Column1389]]</f>
        <v>98.954999999999998</v>
      </c>
      <c r="BAL31">
        <f>SOFR3mo_PX[[#This Row],[Column1390]]</f>
        <v>98.965000000000003</v>
      </c>
      <c r="BAM31">
        <f>SOFR3mo_PX[[#This Row],[Column1391]]</f>
        <v>98.91</v>
      </c>
      <c r="BAN31">
        <f>SOFR3mo_PX[[#This Row],[Column1392]]</f>
        <v>98.8</v>
      </c>
      <c r="BAO31">
        <f>SOFR3mo_PX[[#This Row],[Column1393]]</f>
        <v>98.734999999999999</v>
      </c>
      <c r="BAP31">
        <f>SOFR3mo_PX[[#This Row],[Column1394]]</f>
        <v>98.69</v>
      </c>
      <c r="BAQ31">
        <f>SOFR3mo_PX[[#This Row],[Column1395]]</f>
        <v>98.715000000000003</v>
      </c>
      <c r="BAR31">
        <f>SOFR3mo_PX[[#This Row],[Column1396]]</f>
        <v>98.685000000000002</v>
      </c>
      <c r="BAS31">
        <f>SOFR3mo_PX[[#This Row],[Column1397]]</f>
        <v>98.685000000000002</v>
      </c>
      <c r="BAT31">
        <f>SOFR3mo_PX[[#This Row],[Column1398]]</f>
        <v>98.65</v>
      </c>
      <c r="BAU31">
        <f>SOFR3mo_PX[[#This Row],[Column1399]]</f>
        <v>98.65</v>
      </c>
      <c r="BAV31">
        <f>SOFR3mo_PX[[#This Row],[Column1400]]</f>
        <v>98.69</v>
      </c>
      <c r="BAW31">
        <f>SOFR3mo_PX[[#This Row],[Column1401]]</f>
        <v>98.72</v>
      </c>
      <c r="BAX31">
        <f>SOFR3mo_PX[[#This Row],[Column1402]]</f>
        <v>98.685000000000002</v>
      </c>
      <c r="BAY31">
        <f>SOFR3mo_PX[[#This Row],[Column1403]]</f>
        <v>98.63</v>
      </c>
      <c r="BAZ31">
        <f>SOFR3mo_PX[[#This Row],[Column1404]]</f>
        <v>98.65</v>
      </c>
      <c r="BBA31">
        <f>SOFR3mo_PX[[#This Row],[Column1405]]</f>
        <v>98.69</v>
      </c>
      <c r="BBB31">
        <f>SOFR3mo_PX[[#This Row],[Column1406]]</f>
        <v>98.775000000000006</v>
      </c>
      <c r="BBC31">
        <f>SOFR3mo_PX[[#This Row],[Column1407]]</f>
        <v>98.79</v>
      </c>
      <c r="BBD31">
        <f>SOFR3mo_PX[[#This Row],[Column1408]]</f>
        <v>98.734999999999999</v>
      </c>
      <c r="BBE31">
        <f>SOFR3mo_PX[[#This Row],[Column1409]]</f>
        <v>98.69</v>
      </c>
      <c r="BBF31">
        <f>SOFR3mo_PX[[#This Row],[Column1410]]</f>
        <v>98.64</v>
      </c>
      <c r="BBG31">
        <f>SOFR3mo_PX[[#This Row],[Column1411]]</f>
        <v>98.674999999999997</v>
      </c>
      <c r="BBH31">
        <f>SOFR3mo_PX[[#This Row],[Column1412]]</f>
        <v>98.59</v>
      </c>
      <c r="BBI31">
        <f>SOFR3mo_PX[[#This Row],[Column1413]]</f>
        <v>98.534999999999997</v>
      </c>
      <c r="BBJ31">
        <f>SOFR3mo_PX[[#This Row],[Column1414]]</f>
        <v>98.515000000000001</v>
      </c>
      <c r="BBK31">
        <f>SOFR3mo_PX[[#This Row],[Column1415]]</f>
        <v>98.5</v>
      </c>
      <c r="BBL31">
        <f>SOFR3mo_PX[[#This Row],[Column1416]]</f>
        <v>98.444999999999993</v>
      </c>
      <c r="BBM31">
        <f>SOFR3mo_PX[[#This Row],[Column1417]]</f>
        <v>98.444999999999993</v>
      </c>
      <c r="BBN31">
        <f>SOFR3mo_PX[[#This Row],[Column1418]]</f>
        <v>98.46</v>
      </c>
      <c r="BBO31">
        <f>SOFR3mo_PX[[#This Row],[Column1419]]</f>
        <v>98.47</v>
      </c>
      <c r="BBP31">
        <f>SOFR3mo_PX[[#This Row],[Column1420]]</f>
        <v>98.46</v>
      </c>
      <c r="BBQ31">
        <f>SOFR3mo_PX[[#This Row],[Column1421]]</f>
        <v>98.444999999999993</v>
      </c>
      <c r="BBR31">
        <f>SOFR3mo_PX[[#This Row],[Column1422]]</f>
        <v>98.45</v>
      </c>
      <c r="BBS31">
        <f>SOFR3mo_PX[[#This Row],[Column1423]]</f>
        <v>98.435000000000002</v>
      </c>
      <c r="BBT31">
        <f>SOFR3mo_PX[[#This Row],[Column1424]]</f>
        <v>98.43</v>
      </c>
      <c r="BBU31">
        <f>SOFR3mo_PX[[#This Row],[Column1425]]</f>
        <v>98.474999999999994</v>
      </c>
      <c r="BBV31">
        <f>SOFR3mo_PX[[#This Row],[Column1426]]</f>
        <v>98.484999999999999</v>
      </c>
      <c r="BBW31">
        <f>SOFR3mo_PX[[#This Row],[Column1427]]</f>
        <v>98.49</v>
      </c>
      <c r="BBX31">
        <f>SOFR3mo_PX[[#This Row],[Column1428]]</f>
        <v>98.4</v>
      </c>
      <c r="BBY31">
        <f>SOFR3mo_PX[[#This Row],[Column1429]]</f>
        <v>98.39</v>
      </c>
      <c r="BBZ31">
        <f>SOFR3mo_PX[[#This Row],[Column1430]]</f>
        <v>98.39</v>
      </c>
      <c r="BCA31">
        <f>SOFR3mo_PX[[#This Row],[Column1431]]</f>
        <v>98.394999999999996</v>
      </c>
      <c r="BCB31">
        <f>SOFR3mo_PX[[#This Row],[Column1432]]</f>
        <v>98.394999999999996</v>
      </c>
      <c r="BCC31">
        <f>SOFR3mo_PX[[#This Row],[Column1433]]</f>
        <v>98.355000000000004</v>
      </c>
      <c r="BCD31">
        <f>SOFR3mo_PX[[#This Row],[Column1434]]</f>
        <v>98.355000000000004</v>
      </c>
      <c r="BCE31">
        <f>SOFR3mo_PX[[#This Row],[Column1435]]</f>
        <v>98.355000000000004</v>
      </c>
      <c r="BCF31">
        <f>SOFR3mo_PX[[#This Row],[Column1436]]</f>
        <v>98.334999999999994</v>
      </c>
      <c r="BCG31">
        <f>SOFR3mo_PX[[#This Row],[Column1437]]</f>
        <v>98.375</v>
      </c>
      <c r="BCH31">
        <f>SOFR3mo_PX[[#This Row],[Column1438]]</f>
        <v>98.39</v>
      </c>
      <c r="BCI31">
        <f>SOFR3mo_PX[[#This Row],[Column1439]]</f>
        <v>98.37</v>
      </c>
      <c r="BCJ31">
        <f>SOFR3mo_PX[[#This Row],[Column1440]]</f>
        <v>98.4</v>
      </c>
      <c r="BCK31">
        <f>SOFR3mo_PX[[#This Row],[Column1441]]</f>
        <v>98.41</v>
      </c>
      <c r="BCL31">
        <f>SOFR3mo_PX[[#This Row],[Column1442]]</f>
        <v>98.484999999999999</v>
      </c>
      <c r="BCM31">
        <f>SOFR3mo_PX[[#This Row],[Column1443]]</f>
        <v>98.405000000000001</v>
      </c>
      <c r="BCN31">
        <f>SOFR3mo_PX[[#This Row],[Column1444]]</f>
        <v>98.49</v>
      </c>
      <c r="BCO31">
        <f>SOFR3mo_PX[[#This Row],[Column1445]]</f>
        <v>98.45</v>
      </c>
      <c r="BCP31">
        <f>SOFR3mo_PX[[#This Row],[Column1446]]</f>
        <v>98.465000000000003</v>
      </c>
      <c r="BCQ31">
        <f>SOFR3mo_PX[[#This Row],[Column1447]]</f>
        <v>98.474999999999994</v>
      </c>
      <c r="BCR31">
        <f>SOFR3mo_PX[[#This Row],[Column1448]]</f>
        <v>98.534999999999997</v>
      </c>
      <c r="BCS31">
        <f>SOFR3mo_PX[[#This Row],[Column1449]]</f>
        <v>98.55</v>
      </c>
      <c r="BCT31">
        <f>SOFR3mo_PX[[#This Row],[Column1450]]</f>
        <v>98.625</v>
      </c>
      <c r="BCU31">
        <f>SOFR3mo_PX[[#This Row],[Column1451]]</f>
        <v>98.504999999999995</v>
      </c>
      <c r="BCV31">
        <f>SOFR3mo_PX[[#This Row],[Column1452]]</f>
        <v>98.54</v>
      </c>
      <c r="BCW31">
        <f>SOFR3mo_PX[[#This Row],[Column1453]]</f>
        <v>98.53</v>
      </c>
      <c r="BCX31">
        <f>SOFR3mo_PX[[#This Row],[Column1454]]</f>
        <v>98.53</v>
      </c>
      <c r="BCY31">
        <f>SOFR3mo_PX[[#This Row],[Column1455]]</f>
        <v>98.57</v>
      </c>
      <c r="BCZ31">
        <f>SOFR3mo_PX[[#This Row],[Column1456]]</f>
        <v>98.56</v>
      </c>
      <c r="BDA31">
        <f>SOFR3mo_PX[[#This Row],[Column1457]]</f>
        <v>98.545000000000002</v>
      </c>
      <c r="BDB31">
        <f>SOFR3mo_PX[[#This Row],[Column1458]]</f>
        <v>98.564999999999998</v>
      </c>
      <c r="BDC31">
        <f>SOFR3mo_PX[[#This Row],[Column1459]]</f>
        <v>98.594999999999999</v>
      </c>
      <c r="BDD31">
        <f>SOFR3mo_PX[[#This Row],[Column1460]]</f>
        <v>98.56</v>
      </c>
      <c r="BDE31">
        <f>SOFR3mo_PX[[#This Row],[Column1461]]</f>
        <v>98.534999999999997</v>
      </c>
      <c r="BDF31">
        <f>SOFR3mo_PX[[#This Row],[Column1462]]</f>
        <v>98.51</v>
      </c>
      <c r="BDG31">
        <f>SOFR3mo_PX[[#This Row],[Column1463]]</f>
        <v>98.52</v>
      </c>
      <c r="BDH31">
        <f>SOFR3mo_PX[[#This Row],[Column1464]]</f>
        <v>98.47</v>
      </c>
      <c r="BDI31">
        <f>SOFR3mo_PX[[#This Row],[Column1465]]</f>
        <v>98.42</v>
      </c>
      <c r="BDJ31">
        <f>SOFR3mo_PX[[#This Row],[Column1466]]</f>
        <v>98.39</v>
      </c>
      <c r="BDK31">
        <f>SOFR3mo_PX[[#This Row],[Column1467]]</f>
        <v>98.4</v>
      </c>
      <c r="BDL31">
        <f>SOFR3mo_PX[[#This Row],[Column1468]]</f>
        <v>98.385000000000005</v>
      </c>
      <c r="BDM31">
        <f>SOFR3mo_PX[[#This Row],[Column1469]]</f>
        <v>98.495000000000005</v>
      </c>
      <c r="BDN31">
        <f>SOFR3mo_PX[[#This Row],[Column1470]]</f>
        <v>98.47</v>
      </c>
      <c r="BDO31">
        <f>SOFR3mo_PX[[#This Row],[Column1471]]</f>
        <v>98.53</v>
      </c>
      <c r="BDP31">
        <f>SOFR3mo_PX[[#This Row],[Column1472]]</f>
        <v>98.58</v>
      </c>
      <c r="BDQ31">
        <f>SOFR3mo_PX[[#This Row],[Column1473]]</f>
        <v>98.65</v>
      </c>
      <c r="BDR31">
        <f>SOFR3mo_PX[[#This Row],[Column1474]]</f>
        <v>98.525000000000006</v>
      </c>
      <c r="BDS31">
        <f>SOFR3mo_PX[[#This Row],[Column1475]]</f>
        <v>98.504999999999995</v>
      </c>
      <c r="BDT31">
        <f>SOFR3mo_PX[[#This Row],[Column1476]]</f>
        <v>98.51</v>
      </c>
      <c r="BDU31">
        <f>SOFR3mo_PX[[#This Row],[Column1477]]</f>
        <v>98.54</v>
      </c>
      <c r="BDV31">
        <f>SOFR3mo_PX[[#This Row],[Column1478]]</f>
        <v>98.584999999999994</v>
      </c>
      <c r="BDW31">
        <f>SOFR3mo_PX[[#This Row],[Column1479]]</f>
        <v>98.594999999999999</v>
      </c>
      <c r="BDX31">
        <f>SOFR3mo_PX[[#This Row],[Column1480]]</f>
        <v>98.575000000000003</v>
      </c>
      <c r="BDY31">
        <f>SOFR3mo_PX[[#This Row],[Column1481]]</f>
        <v>98.55</v>
      </c>
      <c r="BDZ31">
        <f>SOFR3mo_PX[[#This Row],[Column1482]]</f>
        <v>98.59</v>
      </c>
      <c r="BEA31">
        <f>SOFR3mo_PX[[#This Row],[Column1483]]</f>
        <v>98.564999999999998</v>
      </c>
      <c r="BEB31">
        <f>SOFR3mo_PX[[#This Row],[Column1484]]</f>
        <v>98.59</v>
      </c>
      <c r="BEC31">
        <f>SOFR3mo_PX[[#This Row],[Column1485]]</f>
        <v>98.55</v>
      </c>
      <c r="BED31">
        <f>SOFR3mo_PX[[#This Row],[Column1486]]</f>
        <v>98.605000000000004</v>
      </c>
      <c r="BEE31">
        <f>SOFR3mo_PX[[#This Row],[Column1487]]</f>
        <v>98.584999999999994</v>
      </c>
      <c r="BEF31">
        <f>SOFR3mo_PX[[#This Row],[Column1488]]</f>
        <v>98.715000000000003</v>
      </c>
      <c r="BEG31">
        <f>SOFR3mo_PX[[#This Row],[Column1489]]</f>
        <v>98.78</v>
      </c>
      <c r="BEH31">
        <f>SOFR3mo_PX[[#This Row],[Column1490]]</f>
        <v>98.834999999999994</v>
      </c>
      <c r="BEI31">
        <f>SOFR3mo_PX[[#This Row],[Column1491]]</f>
        <v>98.825000000000003</v>
      </c>
      <c r="BEJ31">
        <f>SOFR3mo_PX[[#This Row],[Column1492]]</f>
        <v>98.894999999999996</v>
      </c>
      <c r="BEK31">
        <f>SOFR3mo_PX[[#This Row],[Column1493]]</f>
        <v>98.905000000000001</v>
      </c>
      <c r="BEL31">
        <f>SOFR3mo_PX[[#This Row],[Column1494]]</f>
        <v>98.805000000000007</v>
      </c>
      <c r="BEM31">
        <f>SOFR3mo_PX[[#This Row],[Column1495]]</f>
        <v>98.73</v>
      </c>
      <c r="BEN31">
        <f>SOFR3mo_PX[[#This Row],[Column1496]]</f>
        <v>98.66</v>
      </c>
      <c r="BEO31">
        <f>SOFR3mo_PX[[#This Row],[Column1497]]</f>
        <v>98.67</v>
      </c>
      <c r="BEP31" t="str">
        <f>SOFR3mo_PX[[#This Row],[Column1498]]</f>
        <v>#N/A N/A</v>
      </c>
      <c r="BEQ31" t="str">
        <f>SOFR3mo_PX[[#This Row],[Column1499]]</f>
        <v>#N/A N/A</v>
      </c>
      <c r="BER31" t="str">
        <f>SOFR3mo_PX[[#This Row],[Column1500]]</f>
        <v>#N/A N/A</v>
      </c>
      <c r="BES31" t="str">
        <f>SOFR3mo_PX[[#This Row],[Column1501]]</f>
        <v>#N/A N/A</v>
      </c>
      <c r="BET31" t="str">
        <f>SOFR3mo_PX[[#This Row],[Column1502]]</f>
        <v>#N/A N/A</v>
      </c>
      <c r="BEU31" t="str">
        <f>SOFR3mo_PX[[#This Row],[Column1503]]</f>
        <v>#N/A N/A</v>
      </c>
      <c r="BEV31" t="str">
        <f>SOFR3mo_PX[[#This Row],[Column1504]]</f>
        <v>#N/A N/A</v>
      </c>
      <c r="BEW31" t="str">
        <f>SOFR3mo_PX[[#This Row],[Column1505]]</f>
        <v>#N/A N/A</v>
      </c>
      <c r="BEX31" t="str">
        <f>SOFR3mo_PX[[#This Row],[Column1506]]</f>
        <v>#N/A N/A</v>
      </c>
      <c r="BEY31" t="str">
        <f>SOFR3mo_PX[[#This Row],[Column1507]]</f>
        <v>#N/A N/A</v>
      </c>
      <c r="BEZ31" t="str">
        <f>SOFR3mo_PX[[#This Row],[Column1508]]</f>
        <v>#N/A N/A</v>
      </c>
      <c r="BFA31" t="str">
        <f>SOFR3mo_PX[[#This Row],[Column1509]]</f>
        <v>#N/A N/A</v>
      </c>
      <c r="BFB31" t="str">
        <f>SOFR3mo_PX[[#This Row],[Column1510]]</f>
        <v>#N/A N/A</v>
      </c>
      <c r="BFC31" t="str">
        <f>SOFR3mo_PX[[#This Row],[Column1511]]</f>
        <v>#N/A N/A</v>
      </c>
      <c r="BFD31" t="str">
        <f>SOFR3mo_PX[[#This Row],[Column1512]]</f>
        <v>#N/A N/A</v>
      </c>
      <c r="BFE31" t="str">
        <f>SOFR3mo_PX[[#This Row],[Column1513]]</f>
        <v>#N/A N/A</v>
      </c>
      <c r="BFF31" t="str">
        <f>SOFR3mo_PX[[#This Row],[Column1514]]</f>
        <v>#N/A N/A</v>
      </c>
      <c r="BFG31" t="str">
        <f>SOFR3mo_PX[[#This Row],[Column1515]]</f>
        <v>#N/A N/A</v>
      </c>
      <c r="BFH31" t="str">
        <f>SOFR3mo_PX[[#This Row],[Column1516]]</f>
        <v>#N/A N/A</v>
      </c>
      <c r="BFI31" t="str">
        <f>SOFR3mo_PX[[#This Row],[Column1517]]</f>
        <v>#N/A N/A</v>
      </c>
      <c r="BFJ31" t="str">
        <f>SOFR3mo_PX[[#This Row],[Column1518]]</f>
        <v>#N/A N/A</v>
      </c>
      <c r="BFK31" t="str">
        <f>SOFR3mo_PX[[#This Row],[Column1519]]</f>
        <v>#N/A N/A</v>
      </c>
      <c r="BFL31" t="str">
        <f>SOFR3mo_PX[[#This Row],[Column1520]]</f>
        <v>#N/A N/A</v>
      </c>
      <c r="BFM31" t="str">
        <f>SOFR3mo_PX[[#This Row],[Column1521]]</f>
        <v>#N/A N/A</v>
      </c>
      <c r="BFN31" t="str">
        <f>SOFR3mo_PX[[#This Row],[Column1522]]</f>
        <v>#N/A N/A</v>
      </c>
      <c r="BFO31" t="str">
        <f>SOFR3mo_PX[[#This Row],[Column1523]]</f>
        <v>#N/A N/A</v>
      </c>
      <c r="BFP31" t="str">
        <f>SOFR3mo_PX[[#This Row],[Column1524]]</f>
        <v>#N/A N/A</v>
      </c>
      <c r="BFQ31" t="str">
        <f>SOFR3mo_PX[[#This Row],[Column1525]]</f>
        <v>#N/A N/A</v>
      </c>
      <c r="BFR31" t="str">
        <f>SOFR3mo_PX[[#This Row],[Column1526]]</f>
        <v>#N/A N/A</v>
      </c>
      <c r="BFS31" t="str">
        <f>SOFR3mo_PX[[#This Row],[Column1527]]</f>
        <v>#N/A N/A</v>
      </c>
      <c r="BFT31" t="str">
        <f>SOFR3mo_PX[[#This Row],[Column1528]]</f>
        <v>#N/A N/A</v>
      </c>
      <c r="BFU31" t="str">
        <f>SOFR3mo_PX[[#This Row],[Column1529]]</f>
        <v>#N/A N/A</v>
      </c>
      <c r="BFV31" t="str">
        <f>SOFR3mo_PX[[#This Row],[Column1530]]</f>
        <v>#N/A N/A</v>
      </c>
      <c r="BFW31" t="str">
        <f>SOFR3mo_PX[[#This Row],[Column1531]]</f>
        <v>#N/A N/A</v>
      </c>
      <c r="BFX31" t="str">
        <f>SOFR3mo_PX[[#This Row],[Column1532]]</f>
        <v>#N/A N/A</v>
      </c>
      <c r="BFY31" t="str">
        <f>SOFR3mo_PX[[#This Row],[Column1533]]</f>
        <v>#N/A N/A</v>
      </c>
      <c r="BFZ31" t="str">
        <f>SOFR3mo_PX[[#This Row],[Column1534]]</f>
        <v>#N/A N/A</v>
      </c>
      <c r="BGA31" t="str">
        <f>SOFR3mo_PX[[#This Row],[Column1535]]</f>
        <v>#N/A N/A</v>
      </c>
      <c r="BGB31" t="str">
        <f>SOFR3mo_PX[[#This Row],[Column1536]]</f>
        <v>#N/A N/A</v>
      </c>
      <c r="BGC31" t="str">
        <f>SOFR3mo_PX[[#This Row],[Column1537]]</f>
        <v>#N/A N/A</v>
      </c>
      <c r="BGD31" t="str">
        <f>SOFR3mo_PX[[#This Row],[Column1538]]</f>
        <v>#N/A N/A</v>
      </c>
      <c r="BGE31" t="str">
        <f>SOFR3mo_PX[[#This Row],[Column1539]]</f>
        <v>#N/A N/A</v>
      </c>
      <c r="BGF31" t="str">
        <f>SOFR3mo_PX[[#This Row],[Column1540]]</f>
        <v>#N/A N/A</v>
      </c>
      <c r="BGG31" t="str">
        <f>SOFR3mo_PX[[#This Row],[Column1541]]</f>
        <v>#N/A N/A</v>
      </c>
      <c r="BGH31" t="str">
        <f>SOFR3mo_PX[[#This Row],[Column1542]]</f>
        <v>#N/A N/A</v>
      </c>
      <c r="BGI31" t="str">
        <f>SOFR3mo_PX[[#This Row],[Column1543]]</f>
        <v>#N/A N/A</v>
      </c>
      <c r="BGJ31" t="str">
        <f>SOFR3mo_PX[[#This Row],[Column1544]]</f>
        <v>#N/A N/A</v>
      </c>
      <c r="BGK31" t="str">
        <f>SOFR3mo_PX[[#This Row],[Column1545]]</f>
        <v>#N/A N/A</v>
      </c>
      <c r="BGL31" t="str">
        <f>SOFR3mo_PX[[#This Row],[Column1546]]</f>
        <v>#N/A N/A</v>
      </c>
      <c r="BGM31" t="str">
        <f>SOFR3mo_PX[[#This Row],[Column1547]]</f>
        <v>#N/A N/A</v>
      </c>
      <c r="BGN31" t="str">
        <f>SOFR3mo_PX[[#This Row],[Column1548]]</f>
        <v>#N/A N/A</v>
      </c>
      <c r="BGO31" t="str">
        <f>SOFR3mo_PX[[#This Row],[Column1549]]</f>
        <v>#N/A N/A</v>
      </c>
      <c r="BGP31" t="str">
        <f>SOFR3mo_PX[[#This Row],[Column1550]]</f>
        <v>#N/A N/A</v>
      </c>
      <c r="BGQ31" t="str">
        <f>SOFR3mo_PX[[#This Row],[Column1551]]</f>
        <v>#N/A N/A</v>
      </c>
      <c r="BGR31" t="str">
        <f>SOFR3mo_PX[[#This Row],[Column1552]]</f>
        <v>#N/A N/A</v>
      </c>
      <c r="BGS31" t="str">
        <f>SOFR3mo_PX[[#This Row],[Column1553]]</f>
        <v>#N/A N/A</v>
      </c>
      <c r="BGT31" t="str">
        <f>SOFR3mo_PX[[#This Row],[Column1554]]</f>
        <v>#N/A N/A</v>
      </c>
      <c r="BGU31" t="str">
        <f>SOFR3mo_PX[[#This Row],[Column1555]]</f>
        <v>#N/A N/A</v>
      </c>
      <c r="BGV31" t="str">
        <f>SOFR3mo_PX[[#This Row],[Column1556]]</f>
        <v>#N/A N/A</v>
      </c>
      <c r="BGW31" t="str">
        <f>SOFR3mo_PX[[#This Row],[Column1557]]</f>
        <v>#N/A N/A</v>
      </c>
      <c r="BGX31" t="str">
        <f>SOFR3mo_PX[[#This Row],[Column1558]]</f>
        <v>#N/A N/A</v>
      </c>
      <c r="BGY31" t="str">
        <f>SOFR3mo_PX[[#This Row],[Column1559]]</f>
        <v>#N/A N/A</v>
      </c>
      <c r="BGZ31" t="str">
        <f>SOFR3mo_PX[[#This Row],[Column1560]]</f>
        <v>#N/A N/A</v>
      </c>
      <c r="BHA31" t="str">
        <f>SOFR3mo_PX[[#This Row],[Column1561]]</f>
        <v>#N/A N/A</v>
      </c>
      <c r="BHB31" t="str">
        <f>SOFR3mo_PX[[#This Row],[Column1562]]</f>
        <v>#N/A N/A</v>
      </c>
      <c r="BHC31" t="str">
        <f>SOFR3mo_PX[[#This Row],[Column1563]]</f>
        <v>#N/A N/A</v>
      </c>
      <c r="BHD31" t="str">
        <f>SOFR3mo_PX[[#This Row],[Column1564]]</f>
        <v>#N/A N/A</v>
      </c>
      <c r="BHE31" t="str">
        <f>SOFR3mo_PX[[#This Row],[Column1565]]</f>
        <v>#N/A N/A</v>
      </c>
      <c r="BHF31" t="str">
        <f>SOFR3mo_PX[[#This Row],[Column1566]]</f>
        <v>#N/A N/A</v>
      </c>
      <c r="BHG31" t="str">
        <f>SOFR3mo_PX[[#This Row],[Column1567]]</f>
        <v>#N/A N/A</v>
      </c>
      <c r="BHH31" t="str">
        <f>SOFR3mo_PX[[#This Row],[Column1568]]</f>
        <v>#N/A N/A</v>
      </c>
      <c r="BHI31" t="str">
        <f>SOFR3mo_PX[[#This Row],[Column1569]]</f>
        <v>#N/A N/A</v>
      </c>
      <c r="BHJ31" t="str">
        <f>SOFR3mo_PX[[#This Row],[Column1570]]</f>
        <v>#N/A N/A</v>
      </c>
      <c r="BHK31" t="str">
        <f>SOFR3mo_PX[[#This Row],[Column1571]]</f>
        <v>#N/A N/A</v>
      </c>
      <c r="BHL31" t="str">
        <f>SOFR3mo_PX[[#This Row],[Column1572]]</f>
        <v>#N/A N/A</v>
      </c>
      <c r="BHM31" t="str">
        <f>SOFR3mo_PX[[#This Row],[Column1573]]</f>
        <v>#N/A N/A</v>
      </c>
      <c r="BHN31" t="str">
        <f>SOFR3mo_PX[[#This Row],[Column1574]]</f>
        <v>#N/A N/A</v>
      </c>
      <c r="BHO31" t="str">
        <f>SOFR3mo_PX[[#This Row],[Column1575]]</f>
        <v>#N/A N/A</v>
      </c>
      <c r="BHP31" t="str">
        <f>SOFR3mo_PX[[#This Row],[Column1576]]</f>
        <v>#N/A N/A</v>
      </c>
      <c r="BHQ31" t="str">
        <f>SOFR3mo_PX[[#This Row],[Column1577]]</f>
        <v>#N/A N/A</v>
      </c>
      <c r="BHR31" t="str">
        <f>SOFR3mo_PX[[#This Row],[Column1578]]</f>
        <v>#N/A N/A</v>
      </c>
      <c r="BHS31" t="str">
        <f>SOFR3mo_PX[[#This Row],[Column1579]]</f>
        <v>#N/A N/A</v>
      </c>
      <c r="BHT31" t="str">
        <f>SOFR3mo_PX[[#This Row],[Column1580]]</f>
        <v>#N/A N/A</v>
      </c>
      <c r="BHU31" t="str">
        <f>SOFR3mo_PX[[#This Row],[Column1581]]</f>
        <v>#N/A N/A</v>
      </c>
      <c r="BHV31" t="str">
        <f>SOFR3mo_PX[[#This Row],[Column1582]]</f>
        <v>#N/A N/A</v>
      </c>
      <c r="BHW31" t="str">
        <f>SOFR3mo_PX[[#This Row],[Column1583]]</f>
        <v>#N/A N/A</v>
      </c>
      <c r="BHX31" t="str">
        <f>SOFR3mo_PX[[#This Row],[Column1584]]</f>
        <v>#N/A N/A</v>
      </c>
      <c r="BHY31" t="str">
        <f>SOFR3mo_PX[[#This Row],[Column1585]]</f>
        <v>#N/A N/A</v>
      </c>
      <c r="BHZ31" t="str">
        <f>SOFR3mo_PX[[#This Row],[Column1586]]</f>
        <v>#N/A N/A</v>
      </c>
      <c r="BIA31" t="str">
        <f>SOFR3mo_PX[[#This Row],[Column1587]]</f>
        <v>#N/A N/A</v>
      </c>
      <c r="BIB31" t="str">
        <f>SOFR3mo_PX[[#This Row],[Column1588]]</f>
        <v>#N/A N/A</v>
      </c>
      <c r="BIC31" t="str">
        <f>SOFR3mo_PX[[#This Row],[Column1589]]</f>
        <v>#N/A N/A</v>
      </c>
      <c r="BID31" t="str">
        <f>SOFR3mo_PX[[#This Row],[Column1590]]</f>
        <v>#N/A N/A</v>
      </c>
      <c r="BIE31" t="str">
        <f>SOFR3mo_PX[[#This Row],[Column1591]]</f>
        <v>#N/A N/A</v>
      </c>
      <c r="BIF31" t="str">
        <f>SOFR3mo_PX[[#This Row],[Column1592]]</f>
        <v>#N/A N/A</v>
      </c>
      <c r="BIG31" t="str">
        <f>SOFR3mo_PX[[#This Row],[Column1593]]</f>
        <v>#N/A N/A</v>
      </c>
      <c r="BIH31" t="str">
        <f>SOFR3mo_PX[[#This Row],[Column1594]]</f>
        <v>#N/A N/A</v>
      </c>
      <c r="BII31" t="str">
        <f>SOFR3mo_PX[[#This Row],[Column1595]]</f>
        <v>#N/A N/A</v>
      </c>
      <c r="BIJ31" t="str">
        <f>SOFR3mo_PX[[#This Row],[Column1596]]</f>
        <v>#N/A N/A</v>
      </c>
      <c r="BIK31" t="str">
        <f>SOFR3mo_PX[[#This Row],[Column1597]]</f>
        <v>#N/A N/A</v>
      </c>
      <c r="BIL31" t="str">
        <f>SOFR3mo_PX[[#This Row],[Column1598]]</f>
        <v>#N/A N/A</v>
      </c>
      <c r="BIM31" t="str">
        <f>SOFR3mo_PX[[#This Row],[Column1599]]</f>
        <v>#N/A N/A</v>
      </c>
      <c r="BIN31" t="str">
        <f>SOFR3mo_PX[[#This Row],[Column1600]]</f>
        <v>#N/A N/A</v>
      </c>
      <c r="BIO31" t="str">
        <f>SOFR3mo_PX[[#This Row],[Column1601]]</f>
        <v>#N/A N/A</v>
      </c>
      <c r="BIP31" t="str">
        <f>SOFR3mo_PX[[#This Row],[Column1602]]</f>
        <v>#N/A N/A</v>
      </c>
      <c r="BIQ31" t="str">
        <f>SOFR3mo_PX[[#This Row],[Column1603]]</f>
        <v>#N/A N/A</v>
      </c>
      <c r="BIR31" t="str">
        <f>SOFR3mo_PX[[#This Row],[Column1604]]</f>
        <v>#N/A N/A</v>
      </c>
      <c r="BIS31" t="str">
        <f>SOFR3mo_PX[[#This Row],[Column1605]]</f>
        <v>#N/A N/A</v>
      </c>
      <c r="BIT31" t="str">
        <f>SOFR3mo_PX[[#This Row],[Column1606]]</f>
        <v>#N/A N/A</v>
      </c>
      <c r="BIU31" t="str">
        <f>SOFR3mo_PX[[#This Row],[Column1607]]</f>
        <v>#N/A N/A</v>
      </c>
      <c r="BIV31" t="str">
        <f>SOFR3mo_PX[[#This Row],[Column1608]]</f>
        <v>#N/A N/A</v>
      </c>
      <c r="BIW31" t="str">
        <f>SOFR3mo_PX[[#This Row],[Column1609]]</f>
        <v>#N/A N/A</v>
      </c>
      <c r="BIX31" t="str">
        <f>SOFR3mo_PX[[#This Row],[Column1610]]</f>
        <v>#N/A N/A</v>
      </c>
      <c r="BIY31" t="str">
        <f>SOFR3mo_PX[[#This Row],[Column1611]]</f>
        <v>#N/A N/A</v>
      </c>
      <c r="BIZ31" t="str">
        <f>SOFR3mo_PX[[#This Row],[Column1612]]</f>
        <v>#N/A N/A</v>
      </c>
      <c r="BJA31" t="str">
        <f>SOFR3mo_PX[[#This Row],[Column1613]]</f>
        <v>#N/A N/A</v>
      </c>
      <c r="BJB31" t="str">
        <f>SOFR3mo_PX[[#This Row],[Column1614]]</f>
        <v>#N/A N/A</v>
      </c>
      <c r="BJC31" t="str">
        <f>SOFR3mo_PX[[#This Row],[Column1615]]</f>
        <v>#N/A N/A</v>
      </c>
      <c r="BJD31" t="str">
        <f>SOFR3mo_PX[[#This Row],[Column1616]]</f>
        <v>#N/A N/A</v>
      </c>
      <c r="BJE31" t="str">
        <f>SOFR3mo_PX[[#This Row],[Column1617]]</f>
        <v>#N/A N/A</v>
      </c>
      <c r="BJF31" t="str">
        <f>SOFR3mo_PX[[#This Row],[Column1618]]</f>
        <v>#N/A N/A</v>
      </c>
      <c r="BJG31" t="str">
        <f>SOFR3mo_PX[[#This Row],[Column1619]]</f>
        <v>#N/A N/A</v>
      </c>
      <c r="BJH31" t="str">
        <f>SOFR3mo_PX[[#This Row],[Column1620]]</f>
        <v>#N/A N/A</v>
      </c>
      <c r="BJI31" t="str">
        <f>SOFR3mo_PX[[#This Row],[Column1621]]</f>
        <v>#N/A N/A</v>
      </c>
      <c r="BJJ31" t="str">
        <f>SOFR3mo_PX[[#This Row],[Column1622]]</f>
        <v>#N/A N/A</v>
      </c>
      <c r="BJK31" t="str">
        <f>SOFR3mo_PX[[#This Row],[Column1623]]</f>
        <v>#N/A N/A</v>
      </c>
      <c r="BJL31" t="str">
        <f>SOFR3mo_PX[[#This Row],[Column1624]]</f>
        <v>#N/A N/A</v>
      </c>
      <c r="BJM31" t="str">
        <f>SOFR3mo_PX[[#This Row],[Column1625]]</f>
        <v>#N/A N/A</v>
      </c>
      <c r="BJN31" t="str">
        <f>SOFR3mo_PX[[#This Row],[Column1626]]</f>
        <v>#N/A N/A</v>
      </c>
      <c r="BJO31" t="str">
        <f>SOFR3mo_PX[[#This Row],[Column1627]]</f>
        <v>#N/A N/A</v>
      </c>
      <c r="BJP31" t="str">
        <f>SOFR3mo_PX[[#This Row],[Column1628]]</f>
        <v>#N/A N/A</v>
      </c>
      <c r="BJQ31" t="str">
        <f>SOFR3mo_PX[[#This Row],[Column1629]]</f>
        <v>#N/A N/A</v>
      </c>
      <c r="BJR31" t="str">
        <f>SOFR3mo_PX[[#This Row],[Column1630]]</f>
        <v>#N/A N/A</v>
      </c>
      <c r="BJS31" t="str">
        <f>SOFR3mo_PX[[#This Row],[Column1631]]</f>
        <v>#N/A N/A</v>
      </c>
      <c r="BJT31" t="str">
        <f>SOFR3mo_PX[[#This Row],[Column1632]]</f>
        <v>#N/A N/A</v>
      </c>
      <c r="BJU31" t="str">
        <f>SOFR3mo_PX[[#This Row],[Column1633]]</f>
        <v>#N/A N/A</v>
      </c>
      <c r="BJV31" t="str">
        <f>SOFR3mo_PX[[#This Row],[Column1634]]</f>
        <v>#N/A N/A</v>
      </c>
      <c r="BJW31" t="str">
        <f>SOFR3mo_PX[[#This Row],[Column1635]]</f>
        <v>#N/A N/A</v>
      </c>
      <c r="BJX31" t="str">
        <f>SOFR3mo_PX[[#This Row],[Column1636]]</f>
        <v>#N/A N/A</v>
      </c>
      <c r="BJY31" t="str">
        <f>SOFR3mo_PX[[#This Row],[Column1637]]</f>
        <v>#N/A N/A</v>
      </c>
      <c r="BJZ31" t="str">
        <f>SOFR3mo_PX[[#This Row],[Column1638]]</f>
        <v>#N/A N/A</v>
      </c>
      <c r="BKA31" t="str">
        <f>SOFR3mo_PX[[#This Row],[Column1639]]</f>
        <v>#N/A N/A</v>
      </c>
      <c r="BKB31" t="str">
        <f>SOFR3mo_PX[[#This Row],[Column1640]]</f>
        <v>#N/A N/A</v>
      </c>
      <c r="BKC31" t="str">
        <f>SOFR3mo_PX[[#This Row],[Column1641]]</f>
        <v>#N/A N/A</v>
      </c>
      <c r="BKD31" t="str">
        <f>SOFR3mo_PX[[#This Row],[Column1642]]</f>
        <v>#N/A N/A</v>
      </c>
      <c r="BKE31" t="str">
        <f>SOFR3mo_PX[[#This Row],[Column1643]]</f>
        <v>#N/A N/A</v>
      </c>
      <c r="BKF31" t="str">
        <f>SOFR3mo_PX[[#This Row],[Column1644]]</f>
        <v>#N/A N/A</v>
      </c>
      <c r="BKG31" t="str">
        <f>SOFR3mo_PX[[#This Row],[Column1645]]</f>
        <v>#N/A N/A</v>
      </c>
      <c r="BKH31" t="str">
        <f>SOFR3mo_PX[[#This Row],[Column1646]]</f>
        <v>#N/A N/A</v>
      </c>
      <c r="BKI31" t="str">
        <f>SOFR3mo_PX[[#This Row],[Column1647]]</f>
        <v>#N/A N/A</v>
      </c>
      <c r="BKJ31" t="str">
        <f>SOFR3mo_PX[[#This Row],[Column1648]]</f>
        <v>#N/A N/A</v>
      </c>
      <c r="BKK31" t="str">
        <f>SOFR3mo_PX[[#This Row],[Column1649]]</f>
        <v>#N/A N/A</v>
      </c>
      <c r="BKL31" t="str">
        <f>SOFR3mo_PX[[#This Row],[Column1650]]</f>
        <v>#N/A N/A</v>
      </c>
      <c r="BKM31" t="str">
        <f>SOFR3mo_PX[[#This Row],[Column1651]]</f>
        <v>#N/A N/A</v>
      </c>
      <c r="BKN31" t="str">
        <f>SOFR3mo_PX[[#This Row],[Column1652]]</f>
        <v>#N/A N/A</v>
      </c>
      <c r="BKO31" t="str">
        <f>SOFR3mo_PX[[#This Row],[Column1653]]</f>
        <v>#N/A N/A</v>
      </c>
      <c r="BKP31" t="str">
        <f>SOFR3mo_PX[[#This Row],[Column1654]]</f>
        <v>#N/A N/A</v>
      </c>
      <c r="BKQ31" t="str">
        <f>SOFR3mo_PX[[#This Row],[Column1655]]</f>
        <v>#N/A N/A</v>
      </c>
      <c r="BKR31" t="str">
        <f>SOFR3mo_PX[[#This Row],[Column1656]]</f>
        <v>#N/A N/A</v>
      </c>
      <c r="BKS31" t="str">
        <f>SOFR3mo_PX[[#This Row],[Column1657]]</f>
        <v>#N/A N/A</v>
      </c>
      <c r="BKT31" t="str">
        <f>SOFR3mo_PX[[#This Row],[Column1658]]</f>
        <v>#N/A N/A</v>
      </c>
      <c r="BKU31" t="str">
        <f>SOFR3mo_PX[[#This Row],[Column1659]]</f>
        <v>#N/A N/A</v>
      </c>
      <c r="BKV31" t="str">
        <f>SOFR3mo_PX[[#This Row],[Column1660]]</f>
        <v>#N/A N/A</v>
      </c>
      <c r="BKW31" t="str">
        <f>SOFR3mo_PX[[#This Row],[Column1661]]</f>
        <v>#N/A N/A</v>
      </c>
      <c r="BKX31" t="str">
        <f>SOFR3mo_PX[[#This Row],[Column1662]]</f>
        <v>#N/A N/A</v>
      </c>
      <c r="BKY31" t="str">
        <f>SOFR3mo_PX[[#This Row],[Column1663]]</f>
        <v>#N/A N/A</v>
      </c>
      <c r="BKZ31" t="str">
        <f>SOFR3mo_PX[[#This Row],[Column1664]]</f>
        <v>#N/A N/A</v>
      </c>
      <c r="BLA31" t="str">
        <f>SOFR3mo_PX[[#This Row],[Column1665]]</f>
        <v>#N/A N/A</v>
      </c>
      <c r="BLB31" t="str">
        <f>SOFR3mo_PX[[#This Row],[Column1666]]</f>
        <v>#N/A N/A</v>
      </c>
      <c r="BLC31" t="str">
        <f>SOFR3mo_PX[[#This Row],[Column1667]]</f>
        <v>#N/A N/A</v>
      </c>
      <c r="BLD31" t="str">
        <f>SOFR3mo_PX[[#This Row],[Column1668]]</f>
        <v>#N/A N/A</v>
      </c>
      <c r="BLE31" t="str">
        <f>SOFR3mo_PX[[#This Row],[Column1669]]</f>
        <v>#N/A N/A</v>
      </c>
      <c r="BLF31" t="str">
        <f>SOFR3mo_PX[[#This Row],[Column1670]]</f>
        <v>#N/A N/A</v>
      </c>
      <c r="BLG31" t="str">
        <f>SOFR3mo_PX[[#This Row],[Column1671]]</f>
        <v>#N/A N/A</v>
      </c>
      <c r="BLH31" t="str">
        <f>SOFR3mo_PX[[#This Row],[Column1672]]</f>
        <v>#N/A N/A</v>
      </c>
      <c r="BLI31" t="str">
        <f>SOFR3mo_PX[[#This Row],[Column1673]]</f>
        <v>#N/A N/A</v>
      </c>
      <c r="BLJ31" t="str">
        <f>SOFR3mo_PX[[#This Row],[Column1674]]</f>
        <v>#N/A N/A</v>
      </c>
      <c r="BLK31" t="str">
        <f>SOFR3mo_PX[[#This Row],[Column1675]]</f>
        <v>#N/A N/A</v>
      </c>
      <c r="BLL31" t="str">
        <f>SOFR3mo_PX[[#This Row],[Column1676]]</f>
        <v>#N/A N/A</v>
      </c>
      <c r="BLM31" t="str">
        <f>SOFR3mo_PX[[#This Row],[Column1677]]</f>
        <v>#N/A N/A</v>
      </c>
      <c r="BLN31" t="str">
        <f>SOFR3mo_PX[[#This Row],[Column1678]]</f>
        <v>#N/A N/A</v>
      </c>
      <c r="BLO31" t="str">
        <f>SOFR3mo_PX[[#This Row],[Column1679]]</f>
        <v>#N/A N/A</v>
      </c>
      <c r="BLP31" t="str">
        <f>SOFR3mo_PX[[#This Row],[Column1680]]</f>
        <v>#N/A N/A</v>
      </c>
      <c r="BLQ31" t="str">
        <f>SOFR3mo_PX[[#This Row],[Column1681]]</f>
        <v>#N/A N/A</v>
      </c>
      <c r="BLR31" t="str">
        <f>SOFR3mo_PX[[#This Row],[Column1682]]</f>
        <v>#N/A N/A</v>
      </c>
      <c r="BLS31" t="str">
        <f>SOFR3mo_PX[[#This Row],[Column1683]]</f>
        <v>#N/A N/A</v>
      </c>
      <c r="BLT31" t="str">
        <f>SOFR3mo_PX[[#This Row],[Column1684]]</f>
        <v>#N/A N/A</v>
      </c>
      <c r="BLU31" t="str">
        <f>SOFR3mo_PX[[#This Row],[Column1685]]</f>
        <v>#N/A N/A</v>
      </c>
      <c r="BLV31" t="str">
        <f>SOFR3mo_PX[[#This Row],[Column1686]]</f>
        <v>#N/A N/A</v>
      </c>
      <c r="BLW31" t="str">
        <f>SOFR3mo_PX[[#This Row],[Column1687]]</f>
        <v>#N/A N/A</v>
      </c>
      <c r="BLX31" t="str">
        <f>SOFR3mo_PX[[#This Row],[Column1688]]</f>
        <v>#N/A N/A</v>
      </c>
      <c r="BLY31" t="str">
        <f>SOFR3mo_PX[[#This Row],[Column1689]]</f>
        <v>#N/A N/A</v>
      </c>
      <c r="BLZ31" t="str">
        <f>SOFR3mo_PX[[#This Row],[Column1690]]</f>
        <v>#N/A N/A</v>
      </c>
      <c r="BMA31" t="str">
        <f>SOFR3mo_PX[[#This Row],[Column1691]]</f>
        <v>#N/A N/A</v>
      </c>
      <c r="BMB31" t="str">
        <f>SOFR3mo_PX[[#This Row],[Column1692]]</f>
        <v>#N/A N/A</v>
      </c>
      <c r="BMC31" t="str">
        <f>SOFR3mo_PX[[#This Row],[Column1693]]</f>
        <v>#N/A N/A</v>
      </c>
      <c r="BMD31" t="str">
        <f>SOFR3mo_PX[[#This Row],[Column1694]]</f>
        <v>#N/A N/A</v>
      </c>
      <c r="BME31" t="str">
        <f>SOFR3mo_PX[[#This Row],[Column1695]]</f>
        <v>#N/A N/A</v>
      </c>
      <c r="BMF31" t="str">
        <f>SOFR3mo_PX[[#This Row],[Column1696]]</f>
        <v>#N/A N/A</v>
      </c>
      <c r="BMG31" t="str">
        <f>SOFR3mo_PX[[#This Row],[Column1697]]</f>
        <v>#N/A N/A</v>
      </c>
      <c r="BMH31" t="str">
        <f>SOFR3mo_PX[[#This Row],[Column1698]]</f>
        <v>#N/A N/A</v>
      </c>
      <c r="BMI31" t="str">
        <f>SOFR3mo_PX[[#This Row],[Column1699]]</f>
        <v>#N/A N/A</v>
      </c>
      <c r="BMJ31" t="str">
        <f>SOFR3mo_PX[[#This Row],[Column1700]]</f>
        <v>#N/A N/A</v>
      </c>
      <c r="BMK31" t="str">
        <f>SOFR3mo_PX[[#This Row],[Column1701]]</f>
        <v>#N/A N/A</v>
      </c>
      <c r="BML31" t="str">
        <f>SOFR3mo_PX[[#This Row],[Column1702]]</f>
        <v>#N/A N/A</v>
      </c>
      <c r="BMM31" t="str">
        <f>SOFR3mo_PX[[#This Row],[Column1703]]</f>
        <v>#N/A N/A</v>
      </c>
      <c r="BMN31" t="str">
        <f>SOFR3mo_PX[[#This Row],[Column1704]]</f>
        <v>#N/A N/A</v>
      </c>
      <c r="BMO31" t="str">
        <f>SOFR3mo_PX[[#This Row],[Column1705]]</f>
        <v>#N/A N/A</v>
      </c>
      <c r="BMP31" t="str">
        <f>SOFR3mo_PX[[#This Row],[Column1706]]</f>
        <v>#N/A N/A</v>
      </c>
      <c r="BMQ31" t="str">
        <f>SOFR3mo_PX[[#This Row],[Column1707]]</f>
        <v>#N/A N/A</v>
      </c>
      <c r="BMR31" t="str">
        <f>SOFR3mo_PX[[#This Row],[Column1708]]</f>
        <v>#N/A N/A</v>
      </c>
      <c r="BMS31" t="str">
        <f>SOFR3mo_PX[[#This Row],[Column1709]]</f>
        <v>#N/A N/A</v>
      </c>
      <c r="BMT31" t="str">
        <f>SOFR3mo_PX[[#This Row],[Column1710]]</f>
        <v>#N/A N/A</v>
      </c>
      <c r="BMU31" t="str">
        <f>SOFR3mo_PX[[#This Row],[Column1711]]</f>
        <v>#N/A N/A</v>
      </c>
      <c r="BMV31" t="str">
        <f>SOFR3mo_PX[[#This Row],[Column1712]]</f>
        <v>#N/A N/A</v>
      </c>
      <c r="BMW31" t="str">
        <f>SOFR3mo_PX[[#This Row],[Column1713]]</f>
        <v>#N/A N/A</v>
      </c>
      <c r="BMX31" t="str">
        <f>SOFR3mo_PX[[#This Row],[Column1714]]</f>
        <v>#N/A N/A</v>
      </c>
      <c r="BMY31" t="str">
        <f>SOFR3mo_PX[[#This Row],[Column1715]]</f>
        <v>#N/A N/A</v>
      </c>
      <c r="BMZ31" t="str">
        <f>SOFR3mo_PX[[#This Row],[Column1716]]</f>
        <v>#N/A N/A</v>
      </c>
      <c r="BNA31" t="str">
        <f>SOFR3mo_PX[[#This Row],[Column1717]]</f>
        <v>#N/A N/A</v>
      </c>
      <c r="BNB31" t="str">
        <f>SOFR3mo_PX[[#This Row],[Column1718]]</f>
        <v>#N/A N/A</v>
      </c>
      <c r="BNC31" t="str">
        <f>SOFR3mo_PX[[#This Row],[Column1719]]</f>
        <v>#N/A N/A</v>
      </c>
      <c r="BND31" t="str">
        <f>SOFR3mo_PX[[#This Row],[Column1720]]</f>
        <v>#N/A N/A</v>
      </c>
      <c r="BNE31" t="str">
        <f>SOFR3mo_PX[[#This Row],[Column1721]]</f>
        <v>#N/A N/A</v>
      </c>
      <c r="BNF31" t="str">
        <f>SOFR3mo_PX[[#This Row],[Column1722]]</f>
        <v>#N/A N/A</v>
      </c>
      <c r="BNG31" t="str">
        <f>SOFR3mo_PX[[#This Row],[Column1723]]</f>
        <v>#N/A N/A</v>
      </c>
      <c r="BNH31" t="str">
        <f>SOFR3mo_PX[[#This Row],[Column1724]]</f>
        <v>#N/A N/A</v>
      </c>
      <c r="BNI31" t="str">
        <f>SOFR3mo_PX[[#This Row],[Column1725]]</f>
        <v>#N/A N/A</v>
      </c>
      <c r="BNJ31" t="str">
        <f>SOFR3mo_PX[[#This Row],[Column1726]]</f>
        <v>#N/A N/A</v>
      </c>
      <c r="BNK31" t="str">
        <f>SOFR3mo_PX[[#This Row],[Column1727]]</f>
        <v>#N/A N/A</v>
      </c>
      <c r="BNL31" t="str">
        <f>SOFR3mo_PX[[#This Row],[Column1728]]</f>
        <v>#N/A N/A</v>
      </c>
      <c r="BNM31" t="str">
        <f>SOFR3mo_PX[[#This Row],[Column1729]]</f>
        <v>#N/A N/A</v>
      </c>
      <c r="BNN31" t="str">
        <f>SOFR3mo_PX[[#This Row],[Column1730]]</f>
        <v>#N/A N/A</v>
      </c>
      <c r="BNO31" t="str">
        <f>SOFR3mo_PX[[#This Row],[Column1731]]</f>
        <v>#N/A N/A</v>
      </c>
      <c r="BNP31" t="str">
        <f>SOFR3mo_PX[[#This Row],[Column1732]]</f>
        <v>#N/A N/A</v>
      </c>
      <c r="BNQ31" t="str">
        <f>SOFR3mo_PX[[#This Row],[Column1733]]</f>
        <v>#N/A N/A</v>
      </c>
      <c r="BNR31" t="str">
        <f>SOFR3mo_PX[[#This Row],[Column1734]]</f>
        <v>#N/A N/A</v>
      </c>
      <c r="BNS31" t="str">
        <f>SOFR3mo_PX[[#This Row],[Column1735]]</f>
        <v>#N/A N/A</v>
      </c>
      <c r="BNT31" t="str">
        <f>SOFR3mo_PX[[#This Row],[Column1736]]</f>
        <v>#N/A N/A</v>
      </c>
      <c r="BNU31" t="str">
        <f>SOFR3mo_PX[[#This Row],[Column1737]]</f>
        <v>#N/A N/A</v>
      </c>
      <c r="BNV31" t="str">
        <f>SOFR3mo_PX[[#This Row],[Column1738]]</f>
        <v>#N/A N/A</v>
      </c>
      <c r="BNW31" t="str">
        <f>SOFR3mo_PX[[#This Row],[Column1739]]</f>
        <v>#N/A N/A</v>
      </c>
      <c r="BNX31" t="str">
        <f>SOFR3mo_PX[[#This Row],[Column1740]]</f>
        <v>#N/A N/A</v>
      </c>
      <c r="BNY31" t="str">
        <f>SOFR3mo_PX[[#This Row],[Column1741]]</f>
        <v>#N/A N/A</v>
      </c>
      <c r="BNZ31" t="str">
        <f>SOFR3mo_PX[[#This Row],[Column1742]]</f>
        <v>#N/A N/A</v>
      </c>
      <c r="BOA31" t="str">
        <f>SOFR3mo_PX[[#This Row],[Column1743]]</f>
        <v>#N/A N/A</v>
      </c>
      <c r="BOB31" t="str">
        <f>SOFR3mo_PX[[#This Row],[Column1744]]</f>
        <v>#N/A N/A</v>
      </c>
      <c r="BOC31" t="str">
        <f>SOFR3mo_PX[[#This Row],[Column1745]]</f>
        <v>#N/A N/A</v>
      </c>
      <c r="BOD31" t="str">
        <f>SOFR3mo_PX[[#This Row],[Column1746]]</f>
        <v>#N/A N/A</v>
      </c>
      <c r="BOE31" t="str">
        <f>SOFR3mo_PX[[#This Row],[Column1747]]</f>
        <v>#N/A N/A</v>
      </c>
      <c r="BOF31" t="str">
        <f>SOFR3mo_PX[[#This Row],[Column1748]]</f>
        <v>#N/A N/A</v>
      </c>
      <c r="BOG31" t="str">
        <f>SOFR3mo_PX[[#This Row],[Column1749]]</f>
        <v>#N/A N/A</v>
      </c>
      <c r="BOH31" t="str">
        <f>SOFR3mo_PX[[#This Row],[Column1750]]</f>
        <v>#N/A N/A</v>
      </c>
      <c r="BOI31" t="str">
        <f>SOFR3mo_PX[[#This Row],[Column1751]]</f>
        <v>#N/A N/A</v>
      </c>
      <c r="BOJ31" t="str">
        <f>SOFR3mo_PX[[#This Row],[Column1752]]</f>
        <v>#N/A N/A</v>
      </c>
      <c r="BOK31" t="str">
        <f>SOFR3mo_PX[[#This Row],[Column1753]]</f>
        <v>#N/A N/A</v>
      </c>
      <c r="BOL31" t="str">
        <f>SOFR3mo_PX[[#This Row],[Column1754]]</f>
        <v>#N/A N/A</v>
      </c>
      <c r="BOM31" t="str">
        <f>SOFR3mo_PX[[#This Row],[Column1755]]</f>
        <v>#N/A N/A</v>
      </c>
      <c r="BON31" t="str">
        <f>SOFR3mo_PX[[#This Row],[Column1756]]</f>
        <v>#N/A N/A</v>
      </c>
      <c r="BOO31" t="str">
        <f>SOFR3mo_PX[[#This Row],[Column1757]]</f>
        <v>#N/A N/A</v>
      </c>
      <c r="BOP31" t="str">
        <f>SOFR3mo_PX[[#This Row],[Column1758]]</f>
        <v>#N/A N/A</v>
      </c>
      <c r="BOQ31" t="str">
        <f>SOFR3mo_PX[[#This Row],[Column1759]]</f>
        <v>#N/A N/A</v>
      </c>
      <c r="BOR31" t="str">
        <f>SOFR3mo_PX[[#This Row],[Column1760]]</f>
        <v>#N/A N/A</v>
      </c>
      <c r="BOS31" t="str">
        <f>SOFR3mo_PX[[#This Row],[Column1761]]</f>
        <v>#N/A N/A</v>
      </c>
      <c r="BOT31" t="str">
        <f>SOFR3mo_PX[[#This Row],[Column1762]]</f>
        <v>#N/A N/A</v>
      </c>
      <c r="BOU31" t="str">
        <f>SOFR3mo_PX[[#This Row],[Column1763]]</f>
        <v>#N/A N/A</v>
      </c>
      <c r="BOV31" t="str">
        <f>SOFR3mo_PX[[#This Row],[Column1764]]</f>
        <v>#N/A N/A</v>
      </c>
      <c r="BOW31" t="str">
        <f>SOFR3mo_PX[[#This Row],[Column1765]]</f>
        <v>#N/A N/A</v>
      </c>
      <c r="BOX31" t="str">
        <f>SOFR3mo_PX[[#This Row],[Column1766]]</f>
        <v>#N/A N/A</v>
      </c>
      <c r="BOY31" t="str">
        <f>SOFR3mo_PX[[#This Row],[Column1767]]</f>
        <v>#N/A N/A</v>
      </c>
      <c r="BOZ31" t="str">
        <f>SOFR3mo_PX[[#This Row],[Column1768]]</f>
        <v>#N/A N/A</v>
      </c>
      <c r="BPA31" t="str">
        <f>SOFR3mo_PX[[#This Row],[Column1769]]</f>
        <v>#N/A N/A</v>
      </c>
      <c r="BPB31" t="str">
        <f>SOFR3mo_PX[[#This Row],[Column1770]]</f>
        <v>#N/A N/A</v>
      </c>
      <c r="BPC31" t="str">
        <f>SOFR3mo_PX[[#This Row],[Column1771]]</f>
        <v>#N/A N/A</v>
      </c>
      <c r="BPD31" t="str">
        <f>SOFR3mo_PX[[#This Row],[Column1772]]</f>
        <v>#N/A N/A</v>
      </c>
      <c r="BPE31" t="str">
        <f>SOFR3mo_PX[[#This Row],[Column1773]]</f>
        <v>#N/A N/A</v>
      </c>
      <c r="BPF31" t="str">
        <f>SOFR3mo_PX[[#This Row],[Column1774]]</f>
        <v>#N/A N/A</v>
      </c>
      <c r="BPG31" t="str">
        <f>SOFR3mo_PX[[#This Row],[Column1775]]</f>
        <v>#N/A N/A</v>
      </c>
      <c r="BPH31" t="str">
        <f>SOFR3mo_PX[[#This Row],[Column1776]]</f>
        <v>#N/A N/A</v>
      </c>
      <c r="BPI31" t="str">
        <f>SOFR3mo_PX[[#This Row],[Column1777]]</f>
        <v>#N/A N/A</v>
      </c>
      <c r="BPJ31" t="str">
        <f>SOFR3mo_PX[[#This Row],[Column1778]]</f>
        <v>#N/A N/A</v>
      </c>
      <c r="BPK31" t="str">
        <f>SOFR3mo_PX[[#This Row],[Column1779]]</f>
        <v>#N/A N/A</v>
      </c>
      <c r="BPL31" t="str">
        <f>SOFR3mo_PX[[#This Row],[Column1780]]</f>
        <v>#N/A N/A</v>
      </c>
      <c r="BPM31" t="str">
        <f>SOFR3mo_PX[[#This Row],[Column1781]]</f>
        <v>#N/A N/A</v>
      </c>
      <c r="BPN31" t="str">
        <f>SOFR3mo_PX[[#This Row],[Column1782]]</f>
        <v>#N/A N/A</v>
      </c>
      <c r="BPO31" t="str">
        <f>SOFR3mo_PX[[#This Row],[Column1783]]</f>
        <v>#N/A N/A</v>
      </c>
      <c r="BPP31" t="str">
        <f>SOFR3mo_PX[[#This Row],[Column1784]]</f>
        <v>#N/A N/A</v>
      </c>
      <c r="BPQ31" t="str">
        <f>SOFR3mo_PX[[#This Row],[Column1785]]</f>
        <v>#N/A N/A</v>
      </c>
      <c r="BPR31" t="str">
        <f>SOFR3mo_PX[[#This Row],[Column1786]]</f>
        <v>#N/A N/A</v>
      </c>
      <c r="BPS31" t="str">
        <f>SOFR3mo_PX[[#This Row],[Column1787]]</f>
        <v>#N/A N/A</v>
      </c>
      <c r="BPT31" t="str">
        <f>SOFR3mo_PX[[#This Row],[Column1788]]</f>
        <v>#N/A N/A</v>
      </c>
      <c r="BPU31" t="str">
        <f>SOFR3mo_PX[[#This Row],[Column1789]]</f>
        <v>#N/A N/A</v>
      </c>
      <c r="BPV31" t="str">
        <f>SOFR3mo_PX[[#This Row],[Column1790]]</f>
        <v>#N/A N/A</v>
      </c>
      <c r="BPW31" t="str">
        <f>SOFR3mo_PX[[#This Row],[Column1791]]</f>
        <v>#N/A N/A</v>
      </c>
      <c r="BPX31" t="str">
        <f>SOFR3mo_PX[[#This Row],[Column1792]]</f>
        <v>#N/A N/A</v>
      </c>
      <c r="BPY31" t="str">
        <f>SOFR3mo_PX[[#This Row],[Column1793]]</f>
        <v>#N/A N/A</v>
      </c>
      <c r="BPZ31" t="str">
        <f>SOFR3mo_PX[[#This Row],[Column1794]]</f>
        <v>#N/A N/A</v>
      </c>
      <c r="BQA31" t="str">
        <f>SOFR3mo_PX[[#This Row],[Column1795]]</f>
        <v>#N/A N/A</v>
      </c>
      <c r="BQB31" t="str">
        <f>SOFR3mo_PX[[#This Row],[Column1796]]</f>
        <v>#N/A N/A</v>
      </c>
      <c r="BQC31" t="str">
        <f>SOFR3mo_PX[[#This Row],[Column1797]]</f>
        <v>#N/A N/A</v>
      </c>
      <c r="BQD31" t="str">
        <f>SOFR3mo_PX[[#This Row],[Column1798]]</f>
        <v>#N/A N/A</v>
      </c>
      <c r="BQE31" t="str">
        <f>SOFR3mo_PX[[#This Row],[Column1799]]</f>
        <v>#N/A N/A</v>
      </c>
      <c r="BQF31" t="str">
        <f>SOFR3mo_PX[[#This Row],[Column1800]]</f>
        <v>#N/A N/A</v>
      </c>
      <c r="BQG31" t="str">
        <f>SOFR3mo_PX[[#This Row],[Column1801]]</f>
        <v>#N/A N/A</v>
      </c>
      <c r="BQH31" t="str">
        <f>SOFR3mo_PX[[#This Row],[Column1802]]</f>
        <v>#N/A N/A</v>
      </c>
      <c r="BQI31" t="str">
        <f>SOFR3mo_PX[[#This Row],[Column1803]]</f>
        <v>#N/A N/A</v>
      </c>
      <c r="BQJ31" t="str">
        <f>SOFR3mo_PX[[#This Row],[Column1804]]</f>
        <v>#N/A N/A</v>
      </c>
      <c r="BQK31" t="str">
        <f>SOFR3mo_PX[[#This Row],[Column1805]]</f>
        <v>#N/A N/A</v>
      </c>
      <c r="BQL31" t="str">
        <f>SOFR3mo_PX[[#This Row],[Column1806]]</f>
        <v>#N/A N/A</v>
      </c>
      <c r="BQM31" t="str">
        <f>SOFR3mo_PX[[#This Row],[Column1807]]</f>
        <v>#N/A N/A</v>
      </c>
      <c r="BQN31" t="str">
        <f>SOFR3mo_PX[[#This Row],[Column1808]]</f>
        <v>#N/A N/A</v>
      </c>
      <c r="BQO31" t="str">
        <f>SOFR3mo_PX[[#This Row],[Column1809]]</f>
        <v>#N/A N/A</v>
      </c>
      <c r="BQP31" t="str">
        <f>SOFR3mo_PX[[#This Row],[Column1810]]</f>
        <v>#N/A N/A</v>
      </c>
      <c r="BQQ31" t="str">
        <f>SOFR3mo_PX[[#This Row],[Column1811]]</f>
        <v>#N/A N/A</v>
      </c>
      <c r="BQR31" t="str">
        <f>SOFR3mo_PX[[#This Row],[Column1812]]</f>
        <v>#N/A N/A</v>
      </c>
      <c r="BQS31" t="str">
        <f>SOFR3mo_PX[[#This Row],[Column1813]]</f>
        <v>#N/A N/A</v>
      </c>
      <c r="BQT31" t="str">
        <f>SOFR3mo_PX[[#This Row],[Column1814]]</f>
        <v>#N/A N/A</v>
      </c>
      <c r="BQU31" t="str">
        <f>SOFR3mo_PX[[#This Row],[Column1815]]</f>
        <v>#N/A N/A</v>
      </c>
      <c r="BQV31" t="str">
        <f>SOFR3mo_PX[[#This Row],[Column1816]]</f>
        <v>#N/A N/A</v>
      </c>
      <c r="BQW31" t="str">
        <f>SOFR3mo_PX[[#This Row],[Column1817]]</f>
        <v>#N/A N/A</v>
      </c>
      <c r="BQX31" t="str">
        <f>SOFR3mo_PX[[#This Row],[Column1818]]</f>
        <v>#N/A N/A</v>
      </c>
      <c r="BQY31" t="str">
        <f>SOFR3mo_PX[[#This Row],[Column1819]]</f>
        <v>#N/A N/A</v>
      </c>
      <c r="BQZ31" t="str">
        <f>SOFR3mo_PX[[#This Row],[Column1820]]</f>
        <v>#N/A N/A</v>
      </c>
      <c r="BRA31" t="str">
        <f>SOFR3mo_PX[[#This Row],[Column1821]]</f>
        <v>#N/A N/A</v>
      </c>
      <c r="BRB31" t="str">
        <f>SOFR3mo_PX[[#This Row],[Column1822]]</f>
        <v>#N/A N/A</v>
      </c>
      <c r="BRC31" t="str">
        <f>SOFR3mo_PX[[#This Row],[Column1823]]</f>
        <v>#N/A N/A</v>
      </c>
      <c r="BRD31" t="str">
        <f>SOFR3mo_PX[[#This Row],[Column1824]]</f>
        <v>#N/A N/A</v>
      </c>
      <c r="BRE31" t="str">
        <f>SOFR3mo_PX[[#This Row],[Column1825]]</f>
        <v>#N/A N/A</v>
      </c>
      <c r="BRF31" t="str">
        <f>SOFR3mo_PX[[#This Row],[Column1826]]</f>
        <v>#N/A N/A</v>
      </c>
      <c r="BRG31" t="str">
        <f>SOFR3mo_PX[[#This Row],[Column1827]]</f>
        <v>#N/A N/A</v>
      </c>
      <c r="BRH31" t="str">
        <f>SOFR3mo_PX[[#This Row],[Column1828]]</f>
        <v>#N/A N/A</v>
      </c>
      <c r="BRI31" t="str">
        <f>SOFR3mo_PX[[#This Row],[Column1829]]</f>
        <v>#N/A N/A</v>
      </c>
      <c r="BRJ31" t="str">
        <f>SOFR3mo_PX[[#This Row],[Column1830]]</f>
        <v>#N/A N/A</v>
      </c>
      <c r="BRK31" t="str">
        <f>SOFR3mo_PX[[#This Row],[Column1831]]</f>
        <v>#N/A N/A</v>
      </c>
      <c r="BRL31" t="str">
        <f>SOFR3mo_PX[[#This Row],[Column1832]]</f>
        <v>#N/A N/A</v>
      </c>
      <c r="BRM31" t="str">
        <f>SOFR3mo_PX[[#This Row],[Column1833]]</f>
        <v>#N/A N/A</v>
      </c>
      <c r="BRN31" t="str">
        <f>SOFR3mo_PX[[#This Row],[Column1834]]</f>
        <v>#N/A N/A</v>
      </c>
      <c r="BRO31" t="str">
        <f>SOFR3mo_PX[[#This Row],[Column1835]]</f>
        <v>#N/A N/A</v>
      </c>
      <c r="BRP31" t="str">
        <f>SOFR3mo_PX[[#This Row],[Column1836]]</f>
        <v>#N/A N/A</v>
      </c>
      <c r="BRQ31" t="str">
        <f>SOFR3mo_PX[[#This Row],[Column1837]]</f>
        <v>#N/A N/A</v>
      </c>
      <c r="BRR31" t="str">
        <f>SOFR3mo_PX[[#This Row],[Column1838]]</f>
        <v>#N/A N/A</v>
      </c>
      <c r="BRS31" t="str">
        <f>SOFR3mo_PX[[#This Row],[Column1839]]</f>
        <v>#N/A N/A</v>
      </c>
      <c r="BRT31" t="str">
        <f>SOFR3mo_PX[[#This Row],[Column1840]]</f>
        <v>#N/A N/A</v>
      </c>
      <c r="BRU31" t="str">
        <f>SOFR3mo_PX[[#This Row],[Column1841]]</f>
        <v>#N/A N/A</v>
      </c>
      <c r="BRV31" t="str">
        <f>SOFR3mo_PX[[#This Row],[Column1842]]</f>
        <v>#N/A N/A</v>
      </c>
      <c r="BRW31" t="str">
        <f>SOFR3mo_PX[[#This Row],[Column1843]]</f>
        <v>#N/A N/A</v>
      </c>
      <c r="BRX31" t="str">
        <f>SOFR3mo_PX[[#This Row],[Column1844]]</f>
        <v>#N/A N/A</v>
      </c>
      <c r="BRY31" t="str">
        <f>SOFR3mo_PX[[#This Row],[Column1845]]</f>
        <v>#N/A N/A</v>
      </c>
      <c r="BRZ31" t="str">
        <f>SOFR3mo_PX[[#This Row],[Column1846]]</f>
        <v>#N/A N/A</v>
      </c>
      <c r="BSA31" t="str">
        <f>SOFR3mo_PX[[#This Row],[Column1847]]</f>
        <v>#N/A N/A</v>
      </c>
      <c r="BSB31" t="str">
        <f>SOFR3mo_PX[[#This Row],[Column1848]]</f>
        <v>#N/A N/A</v>
      </c>
      <c r="BSC31" t="str">
        <f>SOFR3mo_PX[[#This Row],[Column1849]]</f>
        <v>#N/A N/A</v>
      </c>
      <c r="BSD31" t="str">
        <f>SOFR3mo_PX[[#This Row],[Column1850]]</f>
        <v>#N/A N/A</v>
      </c>
      <c r="BSE31" t="str">
        <f>SOFR3mo_PX[[#This Row],[Column1851]]</f>
        <v>#N/A N/A</v>
      </c>
      <c r="BSF31" t="str">
        <f>SOFR3mo_PX[[#This Row],[Column1852]]</f>
        <v>#N/A N/A</v>
      </c>
      <c r="BSG31" t="str">
        <f>SOFR3mo_PX[[#This Row],[Column1853]]</f>
        <v>#N/A N/A</v>
      </c>
      <c r="BSH31" t="str">
        <f>SOFR3mo_PX[[#This Row],[Column1854]]</f>
        <v>#N/A N/A</v>
      </c>
      <c r="BSI31" t="str">
        <f>SOFR3mo_PX[[#This Row],[Column1855]]</f>
        <v>#N/A N/A</v>
      </c>
      <c r="BSJ31" t="str">
        <f>SOFR3mo_PX[[#This Row],[Column1856]]</f>
        <v>#N/A N/A</v>
      </c>
      <c r="BSK31" t="str">
        <f>SOFR3mo_PX[[#This Row],[Column1857]]</f>
        <v>#N/A N/A</v>
      </c>
      <c r="BSL31" t="str">
        <f>SOFR3mo_PX[[#This Row],[Column1858]]</f>
        <v>#N/A N/A</v>
      </c>
      <c r="BSM31" t="str">
        <f>SOFR3mo_PX[[#This Row],[Column1859]]</f>
        <v>#N/A N/A</v>
      </c>
      <c r="BSN31" t="str">
        <f>SOFR3mo_PX[[#This Row],[Column1860]]</f>
        <v>#N/A N/A</v>
      </c>
      <c r="BSO31" t="str">
        <f>SOFR3mo_PX[[#This Row],[Column1861]]</f>
        <v>#N/A N/A</v>
      </c>
      <c r="BSP31" t="str">
        <f>SOFR3mo_PX[[#This Row],[Column1862]]</f>
        <v>#N/A N/A</v>
      </c>
      <c r="BSQ31" t="str">
        <f>SOFR3mo_PX[[#This Row],[Column1863]]</f>
        <v>#N/A N/A</v>
      </c>
      <c r="BSR31" t="str">
        <f>SOFR3mo_PX[[#This Row],[Column1864]]</f>
        <v>#N/A N/A</v>
      </c>
      <c r="BSS31" t="str">
        <f>SOFR3mo_PX[[#This Row],[Column1865]]</f>
        <v>#N/A N/A</v>
      </c>
      <c r="BST31" t="str">
        <f>SOFR3mo_PX[[#This Row],[Column1866]]</f>
        <v>#N/A N/A</v>
      </c>
      <c r="BSU31" t="str">
        <f>SOFR3mo_PX[[#This Row],[Column1867]]</f>
        <v>#N/A N/A</v>
      </c>
      <c r="BSV31" t="str">
        <f>SOFR3mo_PX[[#This Row],[Column1868]]</f>
        <v>#N/A N/A</v>
      </c>
      <c r="BSW31" t="str">
        <f>SOFR3mo_PX[[#This Row],[Column1869]]</f>
        <v>#N/A N/A</v>
      </c>
      <c r="BSX31" t="str">
        <f>SOFR3mo_PX[[#This Row],[Column1870]]</f>
        <v>#N/A N/A</v>
      </c>
      <c r="BSY31" t="str">
        <f>SOFR3mo_PX[[#This Row],[Column1871]]</f>
        <v>#N/A N/A</v>
      </c>
      <c r="BSZ31" t="str">
        <f>SOFR3mo_PX[[#This Row],[Column1872]]</f>
        <v>#N/A N/A</v>
      </c>
      <c r="BTA31" t="str">
        <f>SOFR3mo_PX[[#This Row],[Column1873]]</f>
        <v>#N/A N/A</v>
      </c>
      <c r="BTB31" t="str">
        <f>SOFR3mo_PX[[#This Row],[Column1874]]</f>
        <v>#N/A N/A</v>
      </c>
      <c r="BTC31" t="str">
        <f>SOFR3mo_PX[[#This Row],[Column1875]]</f>
        <v>#N/A N/A</v>
      </c>
      <c r="BTD31" t="str">
        <f>SOFR3mo_PX[[#This Row],[Column1876]]</f>
        <v>#N/A N/A</v>
      </c>
      <c r="BTE31" t="str">
        <f>SOFR3mo_PX[[#This Row],[Column1877]]</f>
        <v>#N/A N/A</v>
      </c>
      <c r="BTF31" t="str">
        <f>SOFR3mo_PX[[#This Row],[Column1878]]</f>
        <v>#N/A N/A</v>
      </c>
      <c r="BTG31" t="str">
        <f>SOFR3mo_PX[[#This Row],[Column1879]]</f>
        <v>#N/A N/A</v>
      </c>
      <c r="BTH31" t="str">
        <f>SOFR3mo_PX[[#This Row],[Column1880]]</f>
        <v>#N/A N/A</v>
      </c>
      <c r="BTI31" t="str">
        <f>SOFR3mo_PX[[#This Row],[Column1881]]</f>
        <v>#N/A N/A</v>
      </c>
      <c r="BTJ31" t="str">
        <f>SOFR3mo_PX[[#This Row],[Column1882]]</f>
        <v>#N/A N/A</v>
      </c>
      <c r="BTK31" t="str">
        <f>SOFR3mo_PX[[#This Row],[Column1883]]</f>
        <v>#N/A N/A</v>
      </c>
      <c r="BTL31" t="str">
        <f>SOFR3mo_PX[[#This Row],[Column1884]]</f>
        <v>#N/A N/A</v>
      </c>
      <c r="BTM31" t="str">
        <f>SOFR3mo_PX[[#This Row],[Column1885]]</f>
        <v>#N/A N/A</v>
      </c>
      <c r="BTN31" t="str">
        <f>SOFR3mo_PX[[#This Row],[Column1886]]</f>
        <v>#N/A N/A</v>
      </c>
      <c r="BTO31" t="str">
        <f>SOFR3mo_PX[[#This Row],[Column1887]]</f>
        <v>#N/A N/A</v>
      </c>
      <c r="BTP31" t="str">
        <f>SOFR3mo_PX[[#This Row],[Column1888]]</f>
        <v>#N/A N/A</v>
      </c>
      <c r="BTQ31" t="str">
        <f>SOFR3mo_PX[[#This Row],[Column1889]]</f>
        <v>#N/A N/A</v>
      </c>
      <c r="BTR31" t="str">
        <f>SOFR3mo_PX[[#This Row],[Column1890]]</f>
        <v>#N/A N/A</v>
      </c>
      <c r="BTS31" t="str">
        <f>SOFR3mo_PX[[#This Row],[Column1891]]</f>
        <v>#N/A N/A</v>
      </c>
      <c r="BTT31" t="str">
        <f>SOFR3mo_PX[[#This Row],[Column1892]]</f>
        <v>#N/A N/A</v>
      </c>
      <c r="BTU31" t="str">
        <f>SOFR3mo_PX[[#This Row],[Column1893]]</f>
        <v>#N/A N/A</v>
      </c>
      <c r="BTV31" t="str">
        <f>SOFR3mo_PX[[#This Row],[Column1894]]</f>
        <v>#N/A N/A</v>
      </c>
      <c r="BTW31" t="str">
        <f>SOFR3mo_PX[[#This Row],[Column1895]]</f>
        <v>#N/A N/A</v>
      </c>
      <c r="BTX31" t="str">
        <f>SOFR3mo_PX[[#This Row],[Column1896]]</f>
        <v>#N/A N/A</v>
      </c>
      <c r="BTY31" t="str">
        <f>SOFR3mo_PX[[#This Row],[Column1897]]</f>
        <v>#N/A N/A</v>
      </c>
      <c r="BTZ31" t="str">
        <f>SOFR3mo_PX[[#This Row],[Column1898]]</f>
        <v>#N/A N/A</v>
      </c>
      <c r="BUA31" t="str">
        <f>SOFR3mo_PX[[#This Row],[Column1899]]</f>
        <v>#N/A N/A</v>
      </c>
      <c r="BUB31" t="str">
        <f>SOFR3mo_PX[[#This Row],[Column1900]]</f>
        <v>#N/A N/A</v>
      </c>
      <c r="BUC31" t="str">
        <f>SOFR3mo_PX[[#This Row],[Column1901]]</f>
        <v>#N/A N/A</v>
      </c>
      <c r="BUD31" t="str">
        <f>SOFR3mo_PX[[#This Row],[Column1902]]</f>
        <v>#N/A N/A</v>
      </c>
      <c r="BUE31" t="str">
        <f>SOFR3mo_PX[[#This Row],[Column1903]]</f>
        <v>#N/A N/A</v>
      </c>
      <c r="BUF31" t="str">
        <f>SOFR3mo_PX[[#This Row],[Column1904]]</f>
        <v>#N/A N/A</v>
      </c>
      <c r="BUG31" t="str">
        <f>SOFR3mo_PX[[#This Row],[Column1905]]</f>
        <v>#N/A N/A</v>
      </c>
      <c r="BUH31" t="str">
        <f>SOFR3mo_PX[[#This Row],[Column1906]]</f>
        <v>#N/A N/A</v>
      </c>
      <c r="BUI31" t="str">
        <f>SOFR3mo_PX[[#This Row],[Column1907]]</f>
        <v>#N/A N/A</v>
      </c>
      <c r="BUJ31" t="str">
        <f>SOFR3mo_PX[[#This Row],[Column1908]]</f>
        <v>#N/A N/A</v>
      </c>
      <c r="BUK31" t="str">
        <f>SOFR3mo_PX[[#This Row],[Column1909]]</f>
        <v>#N/A N/A</v>
      </c>
      <c r="BUL31" t="str">
        <f>SOFR3mo_PX[[#This Row],[Column1910]]</f>
        <v>#N/A N/A</v>
      </c>
      <c r="BUM31" t="str">
        <f>SOFR3mo_PX[[#This Row],[Column1911]]</f>
        <v>#N/A N/A</v>
      </c>
      <c r="BUN31" t="str">
        <f>SOFR3mo_PX[[#This Row],[Column1912]]</f>
        <v>#N/A N/A</v>
      </c>
      <c r="BUO31" t="str">
        <f>SOFR3mo_PX[[#This Row],[Column1913]]</f>
        <v>#N/A N/A</v>
      </c>
      <c r="BUP31" t="str">
        <f>SOFR3mo_PX[[#This Row],[Column1914]]</f>
        <v>#N/A N/A</v>
      </c>
      <c r="BUQ31" t="str">
        <f>SOFR3mo_PX[[#This Row],[Column1915]]</f>
        <v>#N/A N/A</v>
      </c>
      <c r="BUR31" t="str">
        <f>SOFR3mo_PX[[#This Row],[Column1916]]</f>
        <v>#N/A N/A</v>
      </c>
      <c r="BUS31" t="str">
        <f>SOFR3mo_PX[[#This Row],[Column1917]]</f>
        <v>#N/A N/A</v>
      </c>
      <c r="BUT31" t="str">
        <f>SOFR3mo_PX[[#This Row],[Column1918]]</f>
        <v>#N/A N/A</v>
      </c>
      <c r="BUU31" t="str">
        <f>SOFR3mo_PX[[#This Row],[Column1919]]</f>
        <v>#N/A N/A</v>
      </c>
      <c r="BUV31" t="str">
        <f>SOFR3mo_PX[[#This Row],[Column1920]]</f>
        <v>#N/A N/A</v>
      </c>
      <c r="BUW31" t="str">
        <f>SOFR3mo_PX[[#This Row],[Column1921]]</f>
        <v>#N/A N/A</v>
      </c>
      <c r="BUX31" t="str">
        <f>SOFR3mo_PX[[#This Row],[Column1922]]</f>
        <v>#N/A N/A</v>
      </c>
      <c r="BUY31" t="str">
        <f>SOFR3mo_PX[[#This Row],[Column1923]]</f>
        <v>#N/A N/A</v>
      </c>
      <c r="BUZ31" t="str">
        <f>SOFR3mo_PX[[#This Row],[Column1924]]</f>
        <v>#N/A N/A</v>
      </c>
      <c r="BVA31" t="str">
        <f>SOFR3mo_PX[[#This Row],[Column1925]]</f>
        <v>#N/A N/A</v>
      </c>
      <c r="BVB31" t="str">
        <f>SOFR3mo_PX[[#This Row],[Column1926]]</f>
        <v>#N/A N/A</v>
      </c>
      <c r="BVC31" t="str">
        <f>SOFR3mo_PX[[#This Row],[Column1927]]</f>
        <v>#N/A N/A</v>
      </c>
      <c r="BVD31" t="str">
        <f>SOFR3mo_PX[[#This Row],[Column1928]]</f>
        <v>#N/A N/A</v>
      </c>
      <c r="BVE31" t="str">
        <f>SOFR3mo_PX[[#This Row],[Column1929]]</f>
        <v>#N/A N/A</v>
      </c>
      <c r="BVF31" t="str">
        <f>SOFR3mo_PX[[#This Row],[Column1930]]</f>
        <v>#N/A N/A</v>
      </c>
      <c r="BVG31" t="str">
        <f>SOFR3mo_PX[[#This Row],[Column1931]]</f>
        <v>#N/A N/A</v>
      </c>
      <c r="BVH31" t="str">
        <f>SOFR3mo_PX[[#This Row],[Column1932]]</f>
        <v>#N/A N/A</v>
      </c>
      <c r="BVI31" t="str">
        <f>SOFR3mo_PX[[#This Row],[Column1933]]</f>
        <v>#N/A N/A</v>
      </c>
      <c r="BVJ31" t="str">
        <f>SOFR3mo_PX[[#This Row],[Column1934]]</f>
        <v>#N/A N/A</v>
      </c>
      <c r="BVK31" t="str">
        <f>SOFR3mo_PX[[#This Row],[Column1935]]</f>
        <v>#N/A N/A</v>
      </c>
      <c r="BVL31" t="str">
        <f>SOFR3mo_PX[[#This Row],[Column1936]]</f>
        <v>#N/A N/A</v>
      </c>
      <c r="BVM31" t="str">
        <f>SOFR3mo_PX[[#This Row],[Column1937]]</f>
        <v>#N/A N/A</v>
      </c>
      <c r="BVN31" t="str">
        <f>SOFR3mo_PX[[#This Row],[Column1938]]</f>
        <v>#N/A N/A</v>
      </c>
      <c r="BVO31" t="str">
        <f>SOFR3mo_PX[[#This Row],[Column1939]]</f>
        <v>#N/A N/A</v>
      </c>
      <c r="BVP31" t="str">
        <f>SOFR3mo_PX[[#This Row],[Column1940]]</f>
        <v>#N/A N/A</v>
      </c>
      <c r="BVQ31" t="str">
        <f>SOFR3mo_PX[[#This Row],[Column1941]]</f>
        <v>#N/A N/A</v>
      </c>
      <c r="BVR31" t="str">
        <f>SOFR3mo_PX[[#This Row],[Column1942]]</f>
        <v>#N/A N/A</v>
      </c>
      <c r="BVS31" t="str">
        <f>SOFR3mo_PX[[#This Row],[Column1943]]</f>
        <v>#N/A N/A</v>
      </c>
      <c r="BVT31" t="str">
        <f>SOFR3mo_PX[[#This Row],[Column1944]]</f>
        <v>#N/A N/A</v>
      </c>
      <c r="BVU31" t="str">
        <f>SOFR3mo_PX[[#This Row],[Column1945]]</f>
        <v>#N/A N/A</v>
      </c>
      <c r="BVV31" t="str">
        <f>SOFR3mo_PX[[#This Row],[Column1946]]</f>
        <v>#N/A N/A</v>
      </c>
      <c r="BVW31" t="str">
        <f>SOFR3mo_PX[[#This Row],[Column1947]]</f>
        <v>#N/A N/A</v>
      </c>
      <c r="BVX31" t="str">
        <f>SOFR3mo_PX[[#This Row],[Column1948]]</f>
        <v>#N/A N/A</v>
      </c>
      <c r="BVY31" t="str">
        <f>SOFR3mo_PX[[#This Row],[Column1949]]</f>
        <v>#N/A N/A</v>
      </c>
      <c r="BVZ31" t="str">
        <f>SOFR3mo_PX[[#This Row],[Column1950]]</f>
        <v>#N/A N/A</v>
      </c>
      <c r="BWA31" t="str">
        <f>SOFR3mo_PX[[#This Row],[Column1951]]</f>
        <v>#N/A N/A</v>
      </c>
      <c r="BWB31" t="str">
        <f>SOFR3mo_PX[[#This Row],[Column1952]]</f>
        <v>#N/A N/A</v>
      </c>
      <c r="BWC31" t="str">
        <f>SOFR3mo_PX[[#This Row],[Column1953]]</f>
        <v>#N/A N/A</v>
      </c>
      <c r="BWD31" t="str">
        <f>SOFR3mo_PX[[#This Row],[Column1954]]</f>
        <v>#N/A N/A</v>
      </c>
    </row>
    <row r="32" spans="1:1954" x14ac:dyDescent="0.25">
      <c r="A32" t="str">
        <f>SOFR3mo_PX[[#This Row],[Column1]]</f>
        <v>SFR31 Comdty</v>
      </c>
      <c r="B32">
        <f>IF(rtd!B30&lt;&gt;"",rtd!B30,SOFR3mo_PX[[#This Row],[Column2]])</f>
        <v>95.61</v>
      </c>
      <c r="C32">
        <f>SOFR3mo_PX[[#This Row],[Column3]]</f>
        <v>95.61</v>
      </c>
      <c r="D32">
        <f>SOFR3mo_PX[[#This Row],[Column4]]</f>
        <v>95.61</v>
      </c>
      <c r="E32">
        <f>SOFR3mo_PX[[#This Row],[Column5]]</f>
        <v>95.655000000000001</v>
      </c>
      <c r="F32">
        <f>SOFR3mo_PX[[#This Row],[Column6]]</f>
        <v>95.6</v>
      </c>
      <c r="G32">
        <f>SOFR3mo_PX[[#This Row],[Column7]]</f>
        <v>95.644999999999996</v>
      </c>
      <c r="H32">
        <f>SOFR3mo_PX[[#This Row],[Column8]]</f>
        <v>95.694999999999993</v>
      </c>
      <c r="I32">
        <f>SOFR3mo_PX[[#This Row],[Column9]]</f>
        <v>95.635000000000005</v>
      </c>
      <c r="J32">
        <f>SOFR3mo_PX[[#This Row],[Column10]]</f>
        <v>95.584999999999994</v>
      </c>
      <c r="K32">
        <f>SOFR3mo_PX[[#This Row],[Column11]]</f>
        <v>95.57</v>
      </c>
      <c r="L32">
        <f>SOFR3mo_PX[[#This Row],[Column12]]</f>
        <v>95.564999999999998</v>
      </c>
      <c r="M32">
        <f>SOFR3mo_PX[[#This Row],[Column13]]</f>
        <v>95.665000000000006</v>
      </c>
      <c r="N32">
        <f>SOFR3mo_PX[[#This Row],[Column14]]</f>
        <v>95.69</v>
      </c>
      <c r="O32">
        <f>SOFR3mo_PX[[#This Row],[Column15]]</f>
        <v>95.6</v>
      </c>
      <c r="P32">
        <f>SOFR3mo_PX[[#This Row],[Column16]]</f>
        <v>95.594999999999999</v>
      </c>
      <c r="Q32">
        <f>SOFR3mo_PX[[#This Row],[Column17]]</f>
        <v>95.655000000000001</v>
      </c>
      <c r="R32">
        <f>SOFR3mo_PX[[#This Row],[Column18]]</f>
        <v>95.635000000000005</v>
      </c>
      <c r="S32">
        <f>SOFR3mo_PX[[#This Row],[Column19]]</f>
        <v>95.605000000000004</v>
      </c>
      <c r="T32">
        <f>SOFR3mo_PX[[#This Row],[Column20]]</f>
        <v>95.655000000000001</v>
      </c>
      <c r="U32">
        <f>SOFR3mo_PX[[#This Row],[Column21]]</f>
        <v>95.564999999999998</v>
      </c>
      <c r="V32">
        <f>SOFR3mo_PX[[#This Row],[Column22]]</f>
        <v>95.564999999999998</v>
      </c>
      <c r="W32">
        <f>SOFR3mo_PX[[#This Row],[Column23]]</f>
        <v>95.49</v>
      </c>
      <c r="X32">
        <f>SOFR3mo_PX[[#This Row],[Column24]]</f>
        <v>95.43</v>
      </c>
      <c r="Y32">
        <f>SOFR3mo_PX[[#This Row],[Column25]]</f>
        <v>95.534999999999997</v>
      </c>
      <c r="Z32">
        <f>SOFR3mo_PX[[#This Row],[Column26]]</f>
        <v>95.534999999999997</v>
      </c>
      <c r="AA32">
        <f>SOFR3mo_PX[[#This Row],[Column27]]</f>
        <v>95.575000000000003</v>
      </c>
      <c r="AB32">
        <f>SOFR3mo_PX[[#This Row],[Column28]]</f>
        <v>95.555000000000007</v>
      </c>
      <c r="AC32">
        <f>SOFR3mo_PX[[#This Row],[Column29]]</f>
        <v>95.484999999999999</v>
      </c>
      <c r="AD32">
        <f>SOFR3mo_PX[[#This Row],[Column30]]</f>
        <v>95.52</v>
      </c>
      <c r="AE32">
        <f>SOFR3mo_PX[[#This Row],[Column31]]</f>
        <v>95.57</v>
      </c>
      <c r="AF32">
        <f>SOFR3mo_PX[[#This Row],[Column32]]</f>
        <v>95.625</v>
      </c>
      <c r="AG32">
        <f>SOFR3mo_PX[[#This Row],[Column33]]</f>
        <v>95.625</v>
      </c>
      <c r="AH32">
        <f>SOFR3mo_PX[[#This Row],[Column34]]</f>
        <v>95.72</v>
      </c>
      <c r="AI32">
        <f>SOFR3mo_PX[[#This Row],[Column35]]</f>
        <v>95.67</v>
      </c>
      <c r="AJ32">
        <f>SOFR3mo_PX[[#This Row],[Column36]]</f>
        <v>95.665000000000006</v>
      </c>
      <c r="AK32">
        <f>SOFR3mo_PX[[#This Row],[Column37]]</f>
        <v>95.7</v>
      </c>
      <c r="AL32">
        <f>SOFR3mo_PX[[#This Row],[Column38]]</f>
        <v>95.745000000000005</v>
      </c>
      <c r="AM32">
        <f>SOFR3mo_PX[[#This Row],[Column39]]</f>
        <v>95.795000000000002</v>
      </c>
      <c r="AN32">
        <f>SOFR3mo_PX[[#This Row],[Column40]]</f>
        <v>95.77</v>
      </c>
      <c r="AO32">
        <f>SOFR3mo_PX[[#This Row],[Column41]]</f>
        <v>95.71</v>
      </c>
      <c r="AP32">
        <f>SOFR3mo_PX[[#This Row],[Column42]]</f>
        <v>95.66</v>
      </c>
      <c r="AQ32">
        <f>SOFR3mo_PX[[#This Row],[Column43]]</f>
        <v>95.6</v>
      </c>
      <c r="AR32">
        <f>SOFR3mo_PX[[#This Row],[Column44]]</f>
        <v>95.53</v>
      </c>
      <c r="AS32">
        <f>SOFR3mo_PX[[#This Row],[Column45]]</f>
        <v>95.5</v>
      </c>
      <c r="AT32">
        <f>SOFR3mo_PX[[#This Row],[Column46]]</f>
        <v>95.45</v>
      </c>
      <c r="AU32">
        <f>SOFR3mo_PX[[#This Row],[Column47]]</f>
        <v>95.63</v>
      </c>
      <c r="AV32">
        <f>SOFR3mo_PX[[#This Row],[Column48]]</f>
        <v>95.63</v>
      </c>
      <c r="AW32">
        <f>SOFR3mo_PX[[#This Row],[Column49]]</f>
        <v>95.72</v>
      </c>
      <c r="AX32">
        <f>SOFR3mo_PX[[#This Row],[Column50]]</f>
        <v>95.694999999999993</v>
      </c>
      <c r="AY32">
        <f>SOFR3mo_PX[[#This Row],[Column51]]</f>
        <v>95.68</v>
      </c>
      <c r="AZ32">
        <f>SOFR3mo_PX[[#This Row],[Column52]]</f>
        <v>95.575000000000003</v>
      </c>
      <c r="BA32">
        <f>SOFR3mo_PX[[#This Row],[Column53]]</f>
        <v>95.72</v>
      </c>
      <c r="BB32">
        <f>SOFR3mo_PX[[#This Row],[Column54]]</f>
        <v>95.69</v>
      </c>
      <c r="BC32">
        <f>SOFR3mo_PX[[#This Row],[Column55]]</f>
        <v>95.85</v>
      </c>
      <c r="BD32">
        <f>SOFR3mo_PX[[#This Row],[Column56]]</f>
        <v>95.94</v>
      </c>
      <c r="BE32">
        <f>SOFR3mo_PX[[#This Row],[Column57]]</f>
        <v>96.12</v>
      </c>
      <c r="BF32">
        <f>SOFR3mo_PX[[#This Row],[Column58]]</f>
        <v>96.04</v>
      </c>
      <c r="BG32">
        <f>SOFR3mo_PX[[#This Row],[Column59]]</f>
        <v>95.9</v>
      </c>
      <c r="BH32">
        <f>SOFR3mo_PX[[#This Row],[Column60]]</f>
        <v>95.96</v>
      </c>
      <c r="BI32">
        <f>SOFR3mo_PX[[#This Row],[Column61]]</f>
        <v>95.855000000000004</v>
      </c>
      <c r="BJ32">
        <f>SOFR3mo_PX[[#This Row],[Column62]]</f>
        <v>95.825000000000003</v>
      </c>
      <c r="BK32">
        <f>SOFR3mo_PX[[#This Row],[Column63]]</f>
        <v>95.71</v>
      </c>
      <c r="BL32">
        <f>SOFR3mo_PX[[#This Row],[Column64]]</f>
        <v>95.795000000000002</v>
      </c>
      <c r="BM32">
        <f>SOFR3mo_PX[[#This Row],[Column65]]</f>
        <v>95.825000000000003</v>
      </c>
      <c r="BN32">
        <f>SOFR3mo_PX[[#This Row],[Column66]]</f>
        <v>95.8</v>
      </c>
      <c r="BO32">
        <f>SOFR3mo_PX[[#This Row],[Column67]]</f>
        <v>95.88</v>
      </c>
      <c r="BP32">
        <f>SOFR3mo_PX[[#This Row],[Column68]]</f>
        <v>95.894999999999996</v>
      </c>
      <c r="BQ32">
        <f>SOFR3mo_PX[[#This Row],[Column69]]</f>
        <v>95.855000000000004</v>
      </c>
      <c r="BR32">
        <f>SOFR3mo_PX[[#This Row],[Column70]]</f>
        <v>95.855000000000004</v>
      </c>
      <c r="BS32">
        <f>SOFR3mo_PX[[#This Row],[Column71]]</f>
        <v>95.82</v>
      </c>
      <c r="BT32">
        <f>SOFR3mo_PX[[#This Row],[Column72]]</f>
        <v>95.795000000000002</v>
      </c>
      <c r="BU32">
        <f>SOFR3mo_PX[[#This Row],[Column73]]</f>
        <v>95.87</v>
      </c>
      <c r="BV32">
        <f>SOFR3mo_PX[[#This Row],[Column74]]</f>
        <v>95.84</v>
      </c>
      <c r="BW32">
        <f>SOFR3mo_PX[[#This Row],[Column75]]</f>
        <v>95.87</v>
      </c>
      <c r="BX32">
        <f>SOFR3mo_PX[[#This Row],[Column76]]</f>
        <v>95.965000000000003</v>
      </c>
      <c r="BY32">
        <f>SOFR3mo_PX[[#This Row],[Column77]]</f>
        <v>95.834999999999994</v>
      </c>
      <c r="BZ32">
        <f>SOFR3mo_PX[[#This Row],[Column78]]</f>
        <v>95.86</v>
      </c>
      <c r="CA32">
        <f>SOFR3mo_PX[[#This Row],[Column79]]</f>
        <v>95.885000000000005</v>
      </c>
      <c r="CB32">
        <f>SOFR3mo_PX[[#This Row],[Column80]]</f>
        <v>95.944999999999993</v>
      </c>
      <c r="CC32">
        <f>SOFR3mo_PX[[#This Row],[Column81]]</f>
        <v>95.99</v>
      </c>
      <c r="CD32">
        <f>SOFR3mo_PX[[#This Row],[Column82]]</f>
        <v>95.93</v>
      </c>
      <c r="CE32">
        <f>SOFR3mo_PX[[#This Row],[Column83]]</f>
        <v>95.87</v>
      </c>
      <c r="CF32">
        <f>SOFR3mo_PX[[#This Row],[Column84]]</f>
        <v>95.915000000000006</v>
      </c>
      <c r="CG32">
        <f>SOFR3mo_PX[[#This Row],[Column85]]</f>
        <v>95.844999999999999</v>
      </c>
      <c r="CH32">
        <f>SOFR3mo_PX[[#This Row],[Column86]]</f>
        <v>95.71</v>
      </c>
      <c r="CI32">
        <f>SOFR3mo_PX[[#This Row],[Column87]]</f>
        <v>95.685000000000002</v>
      </c>
      <c r="CJ32">
        <f>SOFR3mo_PX[[#This Row],[Column88]]</f>
        <v>95.605000000000004</v>
      </c>
      <c r="CK32">
        <f>SOFR3mo_PX[[#This Row],[Column89]]</f>
        <v>95.555000000000007</v>
      </c>
      <c r="CL32">
        <f>SOFR3mo_PX[[#This Row],[Column90]]</f>
        <v>95.555000000000007</v>
      </c>
      <c r="CM32">
        <f>SOFR3mo_PX[[#This Row],[Column91]]</f>
        <v>95.63</v>
      </c>
      <c r="CN32">
        <f>SOFR3mo_PX[[#This Row],[Column92]]</f>
        <v>95.63</v>
      </c>
      <c r="CO32">
        <f>SOFR3mo_PX[[#This Row],[Column93]]</f>
        <v>95.575000000000003</v>
      </c>
      <c r="CP32">
        <f>SOFR3mo_PX[[#This Row],[Column94]]</f>
        <v>95.465000000000003</v>
      </c>
      <c r="CQ32">
        <f>SOFR3mo_PX[[#This Row],[Column95]]</f>
        <v>95.605000000000004</v>
      </c>
      <c r="CR32">
        <f>SOFR3mo_PX[[#This Row],[Column96]]</f>
        <v>95.655000000000001</v>
      </c>
      <c r="CS32">
        <f>SOFR3mo_PX[[#This Row],[Column97]]</f>
        <v>95.655000000000001</v>
      </c>
      <c r="CT32">
        <f>SOFR3mo_PX[[#This Row],[Column98]]</f>
        <v>95.715000000000003</v>
      </c>
      <c r="CU32">
        <f>SOFR3mo_PX[[#This Row],[Column99]]</f>
        <v>95.765000000000001</v>
      </c>
      <c r="CV32">
        <f>SOFR3mo_PX[[#This Row],[Column100]]</f>
        <v>95.655000000000001</v>
      </c>
      <c r="CW32">
        <f>SOFR3mo_PX[[#This Row],[Column101]]</f>
        <v>95.63</v>
      </c>
      <c r="CX32">
        <f>SOFR3mo_PX[[#This Row],[Column102]]</f>
        <v>95.584999999999994</v>
      </c>
      <c r="CY32">
        <f>SOFR3mo_PX[[#This Row],[Column103]]</f>
        <v>95.655000000000001</v>
      </c>
      <c r="CZ32">
        <f>SOFR3mo_PX[[#This Row],[Column104]]</f>
        <v>95.61</v>
      </c>
      <c r="DA32">
        <f>SOFR3mo_PX[[#This Row],[Column105]]</f>
        <v>95.62</v>
      </c>
      <c r="DB32">
        <f>SOFR3mo_PX[[#This Row],[Column106]]</f>
        <v>95.644999999999996</v>
      </c>
      <c r="DC32">
        <f>SOFR3mo_PX[[#This Row],[Column107]]</f>
        <v>95.534999999999997</v>
      </c>
      <c r="DD32">
        <f>SOFR3mo_PX[[#This Row],[Column108]]</f>
        <v>95.534999999999997</v>
      </c>
      <c r="DE32">
        <f>SOFR3mo_PX[[#This Row],[Column109]]</f>
        <v>95.59</v>
      </c>
      <c r="DF32">
        <f>SOFR3mo_PX[[#This Row],[Column110]]</f>
        <v>95.62</v>
      </c>
      <c r="DG32">
        <f>SOFR3mo_PX[[#This Row],[Column111]]</f>
        <v>95.575000000000003</v>
      </c>
      <c r="DH32">
        <f>SOFR3mo_PX[[#This Row],[Column112]]</f>
        <v>95.575000000000003</v>
      </c>
      <c r="DI32">
        <f>SOFR3mo_PX[[#This Row],[Column113]]</f>
        <v>95.575000000000003</v>
      </c>
      <c r="DJ32">
        <f>SOFR3mo_PX[[#This Row],[Column114]]</f>
        <v>95.534999999999997</v>
      </c>
      <c r="DK32">
        <f>SOFR3mo_PX[[#This Row],[Column115]]</f>
        <v>95.39</v>
      </c>
      <c r="DL32">
        <f>SOFR3mo_PX[[#This Row],[Column116]]</f>
        <v>95.37</v>
      </c>
      <c r="DM32">
        <f>SOFR3mo_PX[[#This Row],[Column117]]</f>
        <v>95.41</v>
      </c>
      <c r="DN32">
        <f>SOFR3mo_PX[[#This Row],[Column118]]</f>
        <v>95.47</v>
      </c>
      <c r="DO32">
        <f>SOFR3mo_PX[[#This Row],[Column119]]</f>
        <v>95.454999999999998</v>
      </c>
      <c r="DP32">
        <f>SOFR3mo_PX[[#This Row],[Column120]]</f>
        <v>95.465000000000003</v>
      </c>
      <c r="DQ32">
        <f>SOFR3mo_PX[[#This Row],[Column121]]</f>
        <v>95.55</v>
      </c>
      <c r="DR32">
        <f>SOFR3mo_PX[[#This Row],[Column122]]</f>
        <v>95.605000000000004</v>
      </c>
      <c r="DS32">
        <f>SOFR3mo_PX[[#This Row],[Column123]]</f>
        <v>95.62</v>
      </c>
      <c r="DT32">
        <f>SOFR3mo_PX[[#This Row],[Column124]]</f>
        <v>95.614999999999995</v>
      </c>
      <c r="DU32">
        <f>SOFR3mo_PX[[#This Row],[Column125]]</f>
        <v>95.614999999999995</v>
      </c>
      <c r="DV32">
        <f>SOFR3mo_PX[[#This Row],[Column126]]</f>
        <v>95.655000000000001</v>
      </c>
      <c r="DW32">
        <f>SOFR3mo_PX[[#This Row],[Column127]]</f>
        <v>95.575000000000003</v>
      </c>
      <c r="DX32">
        <f>SOFR3mo_PX[[#This Row],[Column128]]</f>
        <v>95.635000000000005</v>
      </c>
      <c r="DY32">
        <f>SOFR3mo_PX[[#This Row],[Column129]]</f>
        <v>95.62</v>
      </c>
      <c r="DZ32">
        <f>SOFR3mo_PX[[#This Row],[Column130]]</f>
        <v>95.62</v>
      </c>
      <c r="EA32">
        <f>SOFR3mo_PX[[#This Row],[Column131]]</f>
        <v>95.594999999999999</v>
      </c>
      <c r="EB32">
        <f>SOFR3mo_PX[[#This Row],[Column132]]</f>
        <v>95.694999999999993</v>
      </c>
      <c r="EC32">
        <f>SOFR3mo_PX[[#This Row],[Column133]]</f>
        <v>95.625</v>
      </c>
      <c r="ED32">
        <f>SOFR3mo_PX[[#This Row],[Column134]]</f>
        <v>95.754999999999995</v>
      </c>
      <c r="EE32">
        <f>SOFR3mo_PX[[#This Row],[Column135]]</f>
        <v>95.88</v>
      </c>
      <c r="EF32">
        <f>SOFR3mo_PX[[#This Row],[Column136]]</f>
        <v>95.864999999999995</v>
      </c>
      <c r="EG32">
        <f>SOFR3mo_PX[[#This Row],[Column137]]</f>
        <v>95.87</v>
      </c>
      <c r="EH32">
        <f>SOFR3mo_PX[[#This Row],[Column138]]</f>
        <v>95.954999999999998</v>
      </c>
      <c r="EI32">
        <f>SOFR3mo_PX[[#This Row],[Column139]]</f>
        <v>96.02</v>
      </c>
      <c r="EJ32">
        <f>SOFR3mo_PX[[#This Row],[Column140]]</f>
        <v>96.08</v>
      </c>
      <c r="EK32">
        <f>SOFR3mo_PX[[#This Row],[Column141]]</f>
        <v>96.105000000000004</v>
      </c>
      <c r="EL32">
        <f>SOFR3mo_PX[[#This Row],[Column142]]</f>
        <v>96.144999999999996</v>
      </c>
      <c r="EM32">
        <f>SOFR3mo_PX[[#This Row],[Column143]]</f>
        <v>96.11</v>
      </c>
      <c r="EN32">
        <f>SOFR3mo_PX[[#This Row],[Column144]]</f>
        <v>96.094999999999999</v>
      </c>
      <c r="EO32">
        <f>SOFR3mo_PX[[#This Row],[Column145]]</f>
        <v>96.064999999999998</v>
      </c>
      <c r="EP32">
        <f>SOFR3mo_PX[[#This Row],[Column146]]</f>
        <v>96.1</v>
      </c>
      <c r="EQ32">
        <f>SOFR3mo_PX[[#This Row],[Column147]]</f>
        <v>96.1</v>
      </c>
      <c r="ER32">
        <f>SOFR3mo_PX[[#This Row],[Column148]]</f>
        <v>96.064999999999998</v>
      </c>
      <c r="ES32">
        <f>SOFR3mo_PX[[#This Row],[Column149]]</f>
        <v>96.064999999999998</v>
      </c>
      <c r="ET32">
        <f>SOFR3mo_PX[[#This Row],[Column150]]</f>
        <v>96</v>
      </c>
      <c r="EU32">
        <f>SOFR3mo_PX[[#This Row],[Column151]]</f>
        <v>96.064999999999998</v>
      </c>
      <c r="EV32">
        <f>SOFR3mo_PX[[#This Row],[Column152]]</f>
        <v>95.915000000000006</v>
      </c>
      <c r="EW32">
        <f>SOFR3mo_PX[[#This Row],[Column153]]</f>
        <v>95.88</v>
      </c>
      <c r="EX32">
        <f>SOFR3mo_PX[[#This Row],[Column154]]</f>
        <v>95.875</v>
      </c>
      <c r="EY32">
        <f>SOFR3mo_PX[[#This Row],[Column155]]</f>
        <v>95.905000000000001</v>
      </c>
      <c r="EZ32">
        <f>SOFR3mo_PX[[#This Row],[Column156]]</f>
        <v>95.87</v>
      </c>
      <c r="FA32">
        <f>SOFR3mo_PX[[#This Row],[Column157]]</f>
        <v>95.86</v>
      </c>
      <c r="FB32">
        <f>SOFR3mo_PX[[#This Row],[Column158]]</f>
        <v>95.864999999999995</v>
      </c>
      <c r="FC32">
        <f>SOFR3mo_PX[[#This Row],[Column159]]</f>
        <v>95.83</v>
      </c>
      <c r="FD32">
        <f>SOFR3mo_PX[[#This Row],[Column160]]</f>
        <v>95.855000000000004</v>
      </c>
      <c r="FE32">
        <f>SOFR3mo_PX[[#This Row],[Column161]]</f>
        <v>95.915000000000006</v>
      </c>
      <c r="FF32">
        <f>SOFR3mo_PX[[#This Row],[Column162]]</f>
        <v>95.965000000000003</v>
      </c>
      <c r="FG32">
        <f>SOFR3mo_PX[[#This Row],[Column163]]</f>
        <v>95.92</v>
      </c>
      <c r="FH32">
        <f>SOFR3mo_PX[[#This Row],[Column164]]</f>
        <v>95.814999999999998</v>
      </c>
      <c r="FI32">
        <f>SOFR3mo_PX[[#This Row],[Column165]]</f>
        <v>95.984999999999999</v>
      </c>
      <c r="FJ32">
        <f>SOFR3mo_PX[[#This Row],[Column166]]</f>
        <v>95.96</v>
      </c>
      <c r="FK32">
        <f>SOFR3mo_PX[[#This Row],[Column167]]</f>
        <v>95.894999999999996</v>
      </c>
      <c r="FL32">
        <f>SOFR3mo_PX[[#This Row],[Column168]]</f>
        <v>95.954999999999998</v>
      </c>
      <c r="FM32">
        <f>SOFR3mo_PX[[#This Row],[Column169]]</f>
        <v>95.965000000000003</v>
      </c>
      <c r="FN32">
        <f>SOFR3mo_PX[[#This Row],[Column170]]</f>
        <v>95.935000000000002</v>
      </c>
      <c r="FO32">
        <f>SOFR3mo_PX[[#This Row],[Column171]]</f>
        <v>95.93</v>
      </c>
      <c r="FP32">
        <f>SOFR3mo_PX[[#This Row],[Column172]]</f>
        <v>95.965000000000003</v>
      </c>
      <c r="FQ32">
        <f>SOFR3mo_PX[[#This Row],[Column173]]</f>
        <v>95.99</v>
      </c>
      <c r="FR32">
        <f>SOFR3mo_PX[[#This Row],[Column174]]</f>
        <v>95.94</v>
      </c>
      <c r="FS32">
        <f>SOFR3mo_PX[[#This Row],[Column175]]</f>
        <v>95.97</v>
      </c>
      <c r="FT32">
        <f>SOFR3mo_PX[[#This Row],[Column176]]</f>
        <v>95.995000000000005</v>
      </c>
      <c r="FU32">
        <f>SOFR3mo_PX[[#This Row],[Column177]]</f>
        <v>96.11</v>
      </c>
      <c r="FV32">
        <f>SOFR3mo_PX[[#This Row],[Column178]]</f>
        <v>96.094999999999999</v>
      </c>
      <c r="FW32">
        <f>SOFR3mo_PX[[#This Row],[Column179]]</f>
        <v>96.194999999999993</v>
      </c>
      <c r="FX32">
        <f>SOFR3mo_PX[[#This Row],[Column180]]</f>
        <v>96.174999999999997</v>
      </c>
      <c r="FY32">
        <f>SOFR3mo_PX[[#This Row],[Column181]]</f>
        <v>96.08</v>
      </c>
      <c r="FZ32">
        <f>SOFR3mo_PX[[#This Row],[Column182]]</f>
        <v>96.12</v>
      </c>
      <c r="GA32">
        <f>SOFR3mo_PX[[#This Row],[Column183]]</f>
        <v>96.11</v>
      </c>
      <c r="GB32">
        <f>SOFR3mo_PX[[#This Row],[Column184]]</f>
        <v>96.155000000000001</v>
      </c>
      <c r="GC32">
        <f>SOFR3mo_PX[[#This Row],[Column185]]</f>
        <v>96.18</v>
      </c>
      <c r="GD32">
        <f>SOFR3mo_PX[[#This Row],[Column186]]</f>
        <v>96.194999999999993</v>
      </c>
      <c r="GE32">
        <f>SOFR3mo_PX[[#This Row],[Column187]]</f>
        <v>96.23</v>
      </c>
      <c r="GF32">
        <f>SOFR3mo_PX[[#This Row],[Column188]]</f>
        <v>96.31</v>
      </c>
      <c r="GG32">
        <f>SOFR3mo_PX[[#This Row],[Column189]]</f>
        <v>96.38</v>
      </c>
      <c r="GH32">
        <f>SOFR3mo_PX[[#This Row],[Column190]]</f>
        <v>96.424999999999997</v>
      </c>
      <c r="GI32">
        <f>SOFR3mo_PX[[#This Row],[Column191]]</f>
        <v>96.355000000000004</v>
      </c>
      <c r="GJ32">
        <f>SOFR3mo_PX[[#This Row],[Column192]]</f>
        <v>96.394999999999996</v>
      </c>
      <c r="GK32">
        <f>SOFR3mo_PX[[#This Row],[Column193]]</f>
        <v>96.364999999999995</v>
      </c>
      <c r="GL32">
        <f>SOFR3mo_PX[[#This Row],[Column194]]</f>
        <v>96.344999999999999</v>
      </c>
      <c r="GM32">
        <f>SOFR3mo_PX[[#This Row],[Column195]]</f>
        <v>96.385000000000005</v>
      </c>
      <c r="GN32">
        <f>SOFR3mo_PX[[#This Row],[Column196]]</f>
        <v>96.39</v>
      </c>
      <c r="GO32">
        <f>SOFR3mo_PX[[#This Row],[Column197]]</f>
        <v>96.405000000000001</v>
      </c>
      <c r="GP32">
        <f>SOFR3mo_PX[[#This Row],[Column198]]</f>
        <v>96.385000000000005</v>
      </c>
      <c r="GQ32">
        <f>SOFR3mo_PX[[#This Row],[Column199]]</f>
        <v>96.46</v>
      </c>
      <c r="GR32">
        <f>SOFR3mo_PX[[#This Row],[Column200]]</f>
        <v>96.51</v>
      </c>
      <c r="GS32">
        <f>SOFR3mo_PX[[#This Row],[Column201]]</f>
        <v>96.5</v>
      </c>
      <c r="GT32">
        <f>SOFR3mo_PX[[#This Row],[Column202]]</f>
        <v>96.48</v>
      </c>
      <c r="GU32">
        <f>SOFR3mo_PX[[#This Row],[Column203]]</f>
        <v>96.474999999999994</v>
      </c>
      <c r="GV32">
        <f>SOFR3mo_PX[[#This Row],[Column204]]</f>
        <v>96.504999999999995</v>
      </c>
      <c r="GW32">
        <f>SOFR3mo_PX[[#This Row],[Column205]]</f>
        <v>96.51</v>
      </c>
      <c r="GX32">
        <f>SOFR3mo_PX[[#This Row],[Column206]]</f>
        <v>96.454999999999998</v>
      </c>
      <c r="GY32">
        <f>SOFR3mo_PX[[#This Row],[Column207]]</f>
        <v>96.43</v>
      </c>
      <c r="GZ32">
        <f>SOFR3mo_PX[[#This Row],[Column208]]</f>
        <v>96.444999999999993</v>
      </c>
      <c r="HA32">
        <f>SOFR3mo_PX[[#This Row],[Column209]]</f>
        <v>96.41</v>
      </c>
      <c r="HB32">
        <f>SOFR3mo_PX[[#This Row],[Column210]]</f>
        <v>96.36</v>
      </c>
      <c r="HC32">
        <f>SOFR3mo_PX[[#This Row],[Column211]]</f>
        <v>96.28</v>
      </c>
      <c r="HD32">
        <f>SOFR3mo_PX[[#This Row],[Column212]]</f>
        <v>96.28</v>
      </c>
      <c r="HE32">
        <f>SOFR3mo_PX[[#This Row],[Column213]]</f>
        <v>96.325000000000003</v>
      </c>
      <c r="HF32">
        <f>SOFR3mo_PX[[#This Row],[Column214]]</f>
        <v>96.34</v>
      </c>
      <c r="HG32">
        <f>SOFR3mo_PX[[#This Row],[Column215]]</f>
        <v>96.355000000000004</v>
      </c>
      <c r="HH32">
        <f>SOFR3mo_PX[[#This Row],[Column216]]</f>
        <v>96.375</v>
      </c>
      <c r="HI32">
        <f>SOFR3mo_PX[[#This Row],[Column217]]</f>
        <v>96.364999999999995</v>
      </c>
      <c r="HJ32">
        <f>SOFR3mo_PX[[#This Row],[Column218]]</f>
        <v>96.305000000000007</v>
      </c>
      <c r="HK32">
        <f>SOFR3mo_PX[[#This Row],[Column219]]</f>
        <v>96.38</v>
      </c>
      <c r="HL32">
        <f>SOFR3mo_PX[[#This Row],[Column220]]</f>
        <v>96.355000000000004</v>
      </c>
      <c r="HM32">
        <f>SOFR3mo_PX[[#This Row],[Column221]]</f>
        <v>96.305000000000007</v>
      </c>
      <c r="HN32">
        <f>SOFR3mo_PX[[#This Row],[Column222]]</f>
        <v>96.265000000000001</v>
      </c>
      <c r="HO32">
        <f>SOFR3mo_PX[[#This Row],[Column223]]</f>
        <v>96.224999999999994</v>
      </c>
      <c r="HP32">
        <f>SOFR3mo_PX[[#This Row],[Column224]]</f>
        <v>96.295000000000002</v>
      </c>
      <c r="HQ32">
        <f>SOFR3mo_PX[[#This Row],[Column225]]</f>
        <v>96.26</v>
      </c>
      <c r="HR32">
        <f>SOFR3mo_PX[[#This Row],[Column226]]</f>
        <v>96.23</v>
      </c>
      <c r="HS32">
        <f>SOFR3mo_PX[[#This Row],[Column227]]</f>
        <v>96.19</v>
      </c>
      <c r="HT32">
        <f>SOFR3mo_PX[[#This Row],[Column228]]</f>
        <v>96.11</v>
      </c>
      <c r="HU32">
        <f>SOFR3mo_PX[[#This Row],[Column229]]</f>
        <v>96.12</v>
      </c>
      <c r="HV32">
        <f>SOFR3mo_PX[[#This Row],[Column230]]</f>
        <v>96.215000000000003</v>
      </c>
      <c r="HW32">
        <f>SOFR3mo_PX[[#This Row],[Column231]]</f>
        <v>96.314999999999998</v>
      </c>
      <c r="HX32">
        <f>SOFR3mo_PX[[#This Row],[Column232]]</f>
        <v>96.32</v>
      </c>
      <c r="HY32">
        <f>SOFR3mo_PX[[#This Row],[Column233]]</f>
        <v>96.194999999999993</v>
      </c>
      <c r="HZ32">
        <f>SOFR3mo_PX[[#This Row],[Column234]]</f>
        <v>96.094999999999999</v>
      </c>
      <c r="IA32">
        <f>SOFR3mo_PX[[#This Row],[Column235]]</f>
        <v>96.06</v>
      </c>
      <c r="IB32">
        <f>SOFR3mo_PX[[#This Row],[Column236]]</f>
        <v>96.025000000000006</v>
      </c>
      <c r="IC32">
        <f>SOFR3mo_PX[[#This Row],[Column237]]</f>
        <v>96</v>
      </c>
      <c r="ID32">
        <f>SOFR3mo_PX[[#This Row],[Column238]]</f>
        <v>95.96</v>
      </c>
      <c r="IE32">
        <f>SOFR3mo_PX[[#This Row],[Column239]]</f>
        <v>95.915000000000006</v>
      </c>
      <c r="IF32">
        <f>SOFR3mo_PX[[#This Row],[Column240]]</f>
        <v>96.004999999999995</v>
      </c>
      <c r="IG32">
        <f>SOFR3mo_PX[[#This Row],[Column241]]</f>
        <v>95.99</v>
      </c>
      <c r="IH32">
        <f>SOFR3mo_PX[[#This Row],[Column242]]</f>
        <v>96</v>
      </c>
      <c r="II32">
        <f>SOFR3mo_PX[[#This Row],[Column243]]</f>
        <v>96.05</v>
      </c>
      <c r="IJ32">
        <f>SOFR3mo_PX[[#This Row],[Column244]]</f>
        <v>96.105000000000004</v>
      </c>
      <c r="IK32">
        <f>SOFR3mo_PX[[#This Row],[Column245]]</f>
        <v>96.08</v>
      </c>
      <c r="IL32">
        <f>SOFR3mo_PX[[#This Row],[Column246]]</f>
        <v>96.004999999999995</v>
      </c>
      <c r="IM32">
        <f>SOFR3mo_PX[[#This Row],[Column247]]</f>
        <v>96.05</v>
      </c>
      <c r="IN32">
        <f>SOFR3mo_PX[[#This Row],[Column248]]</f>
        <v>96.07</v>
      </c>
      <c r="IO32">
        <f>SOFR3mo_PX[[#This Row],[Column249]]</f>
        <v>95.99</v>
      </c>
      <c r="IP32">
        <f>SOFR3mo_PX[[#This Row],[Column250]]</f>
        <v>95.96</v>
      </c>
      <c r="IQ32">
        <f>SOFR3mo_PX[[#This Row],[Column251]]</f>
        <v>96</v>
      </c>
      <c r="IR32">
        <f>SOFR3mo_PX[[#This Row],[Column252]]</f>
        <v>95.995000000000005</v>
      </c>
      <c r="IS32">
        <f>SOFR3mo_PX[[#This Row],[Column253]]</f>
        <v>95.94</v>
      </c>
      <c r="IT32">
        <f>SOFR3mo_PX[[#This Row],[Column254]]</f>
        <v>95.94</v>
      </c>
      <c r="IU32">
        <f>SOFR3mo_PX[[#This Row],[Column255]]</f>
        <v>95.834999999999994</v>
      </c>
      <c r="IV32">
        <f>SOFR3mo_PX[[#This Row],[Column256]]</f>
        <v>95.8</v>
      </c>
      <c r="IW32">
        <f>SOFR3mo_PX[[#This Row],[Column257]]</f>
        <v>95.96</v>
      </c>
      <c r="IX32">
        <f>SOFR3mo_PX[[#This Row],[Column258]]</f>
        <v>96.025000000000006</v>
      </c>
      <c r="IY32">
        <f>SOFR3mo_PX[[#This Row],[Column259]]</f>
        <v>95.99</v>
      </c>
      <c r="IZ32">
        <f>SOFR3mo_PX[[#This Row],[Column260]]</f>
        <v>96.08</v>
      </c>
      <c r="JA32">
        <f>SOFR3mo_PX[[#This Row],[Column261]]</f>
        <v>96.07</v>
      </c>
      <c r="JB32">
        <f>SOFR3mo_PX[[#This Row],[Column262]]</f>
        <v>96.045000000000002</v>
      </c>
      <c r="JC32">
        <f>SOFR3mo_PX[[#This Row],[Column263]]</f>
        <v>96.055000000000007</v>
      </c>
      <c r="JD32">
        <f>SOFR3mo_PX[[#This Row],[Column264]]</f>
        <v>96.11</v>
      </c>
      <c r="JE32">
        <f>SOFR3mo_PX[[#This Row],[Column265]]</f>
        <v>96.11</v>
      </c>
      <c r="JF32">
        <f>SOFR3mo_PX[[#This Row],[Column266]]</f>
        <v>96.05</v>
      </c>
      <c r="JG32">
        <f>SOFR3mo_PX[[#This Row],[Column267]]</f>
        <v>96.13</v>
      </c>
      <c r="JH32">
        <f>SOFR3mo_PX[[#This Row],[Column268]]</f>
        <v>96.064999999999998</v>
      </c>
      <c r="JI32">
        <f>SOFR3mo_PX[[#This Row],[Column269]]</f>
        <v>96.01</v>
      </c>
      <c r="JJ32">
        <f>SOFR3mo_PX[[#This Row],[Column270]]</f>
        <v>95.894999999999996</v>
      </c>
      <c r="JK32">
        <f>SOFR3mo_PX[[#This Row],[Column271]]</f>
        <v>95.814999999999998</v>
      </c>
      <c r="JL32">
        <f>SOFR3mo_PX[[#This Row],[Column272]]</f>
        <v>95.86</v>
      </c>
      <c r="JM32">
        <f>SOFR3mo_PX[[#This Row],[Column273]]</f>
        <v>96.01</v>
      </c>
      <c r="JN32">
        <f>SOFR3mo_PX[[#This Row],[Column274]]</f>
        <v>96.01</v>
      </c>
      <c r="JO32">
        <f>SOFR3mo_PX[[#This Row],[Column275]]</f>
        <v>95.974999999999994</v>
      </c>
      <c r="JP32">
        <f>SOFR3mo_PX[[#This Row],[Column276]]</f>
        <v>95.9</v>
      </c>
      <c r="JQ32">
        <f>SOFR3mo_PX[[#This Row],[Column277]]</f>
        <v>95.79</v>
      </c>
      <c r="JR32">
        <f>SOFR3mo_PX[[#This Row],[Column278]]</f>
        <v>95.765000000000001</v>
      </c>
      <c r="JS32">
        <f>SOFR3mo_PX[[#This Row],[Column279]]</f>
        <v>95.704999999999998</v>
      </c>
      <c r="JT32">
        <f>SOFR3mo_PX[[#This Row],[Column280]]</f>
        <v>95.81</v>
      </c>
      <c r="JU32">
        <f>SOFR3mo_PX[[#This Row],[Column281]]</f>
        <v>95.885000000000005</v>
      </c>
      <c r="JV32">
        <f>SOFR3mo_PX[[#This Row],[Column282]]</f>
        <v>95.885000000000005</v>
      </c>
      <c r="JW32">
        <f>SOFR3mo_PX[[#This Row],[Column283]]</f>
        <v>95.864999999999995</v>
      </c>
      <c r="JX32">
        <f>SOFR3mo_PX[[#This Row],[Column284]]</f>
        <v>95.864999999999995</v>
      </c>
      <c r="JY32">
        <f>SOFR3mo_PX[[#This Row],[Column285]]</f>
        <v>95.87</v>
      </c>
      <c r="JZ32">
        <f>SOFR3mo_PX[[#This Row],[Column286]]</f>
        <v>95.84</v>
      </c>
      <c r="KA32">
        <f>SOFR3mo_PX[[#This Row],[Column287]]</f>
        <v>95.86</v>
      </c>
      <c r="KB32">
        <f>SOFR3mo_PX[[#This Row],[Column288]]</f>
        <v>95.905000000000001</v>
      </c>
      <c r="KC32">
        <f>SOFR3mo_PX[[#This Row],[Column289]]</f>
        <v>95.91</v>
      </c>
      <c r="KD32">
        <f>SOFR3mo_PX[[#This Row],[Column290]]</f>
        <v>95.84</v>
      </c>
      <c r="KE32">
        <f>SOFR3mo_PX[[#This Row],[Column291]]</f>
        <v>95.805000000000007</v>
      </c>
      <c r="KF32">
        <f>SOFR3mo_PX[[#This Row],[Column292]]</f>
        <v>95.78</v>
      </c>
      <c r="KG32">
        <f>SOFR3mo_PX[[#This Row],[Column293]]</f>
        <v>95.834999999999994</v>
      </c>
      <c r="KH32">
        <f>SOFR3mo_PX[[#This Row],[Column294]]</f>
        <v>95.805000000000007</v>
      </c>
      <c r="KI32">
        <f>SOFR3mo_PX[[#This Row],[Column295]]</f>
        <v>95.844999999999999</v>
      </c>
      <c r="KJ32">
        <f>SOFR3mo_PX[[#This Row],[Column296]]</f>
        <v>95.8</v>
      </c>
      <c r="KK32">
        <f>SOFR3mo_PX[[#This Row],[Column297]]</f>
        <v>95.78</v>
      </c>
      <c r="KL32">
        <f>SOFR3mo_PX[[#This Row],[Column298]]</f>
        <v>95.704999999999998</v>
      </c>
      <c r="KM32">
        <f>SOFR3mo_PX[[#This Row],[Column299]]</f>
        <v>95.69</v>
      </c>
      <c r="KN32">
        <f>SOFR3mo_PX[[#This Row],[Column300]]</f>
        <v>95.625</v>
      </c>
      <c r="KO32">
        <f>SOFR3mo_PX[[#This Row],[Column301]]</f>
        <v>95.694999999999993</v>
      </c>
      <c r="KP32">
        <f>SOFR3mo_PX[[#This Row],[Column302]]</f>
        <v>95.614999999999995</v>
      </c>
      <c r="KQ32">
        <f>SOFR3mo_PX[[#This Row],[Column303]]</f>
        <v>95.575000000000003</v>
      </c>
      <c r="KR32">
        <f>SOFR3mo_PX[[#This Row],[Column304]]</f>
        <v>95.635000000000005</v>
      </c>
      <c r="KS32">
        <f>SOFR3mo_PX[[#This Row],[Column305]]</f>
        <v>95.71</v>
      </c>
      <c r="KT32">
        <f>SOFR3mo_PX[[#This Row],[Column306]]</f>
        <v>95.69</v>
      </c>
      <c r="KU32">
        <f>SOFR3mo_PX[[#This Row],[Column307]]</f>
        <v>95.704999999999998</v>
      </c>
      <c r="KV32">
        <f>SOFR3mo_PX[[#This Row],[Column308]]</f>
        <v>95.67</v>
      </c>
      <c r="KW32">
        <f>SOFR3mo_PX[[#This Row],[Column309]]</f>
        <v>95.73</v>
      </c>
      <c r="KX32">
        <f>SOFR3mo_PX[[#This Row],[Column310]]</f>
        <v>95.655000000000001</v>
      </c>
      <c r="KY32">
        <f>SOFR3mo_PX[[#This Row],[Column311]]</f>
        <v>95.69</v>
      </c>
      <c r="KZ32">
        <f>SOFR3mo_PX[[#This Row],[Column312]]</f>
        <v>95.83</v>
      </c>
      <c r="LA32">
        <f>SOFR3mo_PX[[#This Row],[Column313]]</f>
        <v>95.74</v>
      </c>
      <c r="LB32">
        <f>SOFR3mo_PX[[#This Row],[Column314]]</f>
        <v>95.77</v>
      </c>
      <c r="LC32">
        <f>SOFR3mo_PX[[#This Row],[Column315]]</f>
        <v>95.915000000000006</v>
      </c>
      <c r="LD32">
        <f>SOFR3mo_PX[[#This Row],[Column316]]</f>
        <v>95.855000000000004</v>
      </c>
      <c r="LE32">
        <f>SOFR3mo_PX[[#This Row],[Column317]]</f>
        <v>95.9</v>
      </c>
      <c r="LF32">
        <f>SOFR3mo_PX[[#This Row],[Column318]]</f>
        <v>95.95</v>
      </c>
      <c r="LG32">
        <f>SOFR3mo_PX[[#This Row],[Column319]]</f>
        <v>95.9</v>
      </c>
      <c r="LH32">
        <f>SOFR3mo_PX[[#This Row],[Column320]]</f>
        <v>95.89</v>
      </c>
      <c r="LI32">
        <f>SOFR3mo_PX[[#This Row],[Column321]]</f>
        <v>95.935000000000002</v>
      </c>
      <c r="LJ32">
        <f>SOFR3mo_PX[[#This Row],[Column322]]</f>
        <v>96.064999999999998</v>
      </c>
      <c r="LK32">
        <f>SOFR3mo_PX[[#This Row],[Column323]]</f>
        <v>96.064999999999998</v>
      </c>
      <c r="LL32">
        <f>SOFR3mo_PX[[#This Row],[Column324]]</f>
        <v>96.03</v>
      </c>
      <c r="LM32">
        <f>SOFR3mo_PX[[#This Row],[Column325]]</f>
        <v>95.995000000000005</v>
      </c>
      <c r="LN32">
        <f>SOFR3mo_PX[[#This Row],[Column326]]</f>
        <v>95.965000000000003</v>
      </c>
      <c r="LO32">
        <f>SOFR3mo_PX[[#This Row],[Column327]]</f>
        <v>96</v>
      </c>
      <c r="LP32">
        <f>SOFR3mo_PX[[#This Row],[Column328]]</f>
        <v>95.94</v>
      </c>
      <c r="LQ32">
        <f>SOFR3mo_PX[[#This Row],[Column329]]</f>
        <v>95.944999999999993</v>
      </c>
      <c r="LR32">
        <f>SOFR3mo_PX[[#This Row],[Column330]]</f>
        <v>95.984999999999999</v>
      </c>
      <c r="LS32">
        <f>SOFR3mo_PX[[#This Row],[Column331]]</f>
        <v>95.954999999999998</v>
      </c>
      <c r="LT32">
        <f>SOFR3mo_PX[[#This Row],[Column332]]</f>
        <v>95.995000000000005</v>
      </c>
      <c r="LU32">
        <f>SOFR3mo_PX[[#This Row],[Column333]]</f>
        <v>95.98</v>
      </c>
      <c r="LV32">
        <f>SOFR3mo_PX[[#This Row],[Column334]]</f>
        <v>96.09</v>
      </c>
      <c r="LW32">
        <f>SOFR3mo_PX[[#This Row],[Column335]]</f>
        <v>96.105000000000004</v>
      </c>
      <c r="LX32">
        <f>SOFR3mo_PX[[#This Row],[Column336]]</f>
        <v>96.155000000000001</v>
      </c>
      <c r="LY32">
        <f>SOFR3mo_PX[[#This Row],[Column337]]</f>
        <v>96.15</v>
      </c>
      <c r="LZ32">
        <f>SOFR3mo_PX[[#This Row],[Column338]]</f>
        <v>96.17</v>
      </c>
      <c r="MA32">
        <f>SOFR3mo_PX[[#This Row],[Column339]]</f>
        <v>96.165000000000006</v>
      </c>
      <c r="MB32">
        <f>SOFR3mo_PX[[#This Row],[Column340]]</f>
        <v>96.125</v>
      </c>
      <c r="MC32">
        <f>SOFR3mo_PX[[#This Row],[Column341]]</f>
        <v>96.034999999999997</v>
      </c>
      <c r="MD32">
        <f>SOFR3mo_PX[[#This Row],[Column342]]</f>
        <v>96.064999999999998</v>
      </c>
      <c r="ME32">
        <f>SOFR3mo_PX[[#This Row],[Column343]]</f>
        <v>96.02</v>
      </c>
      <c r="MF32">
        <f>SOFR3mo_PX[[#This Row],[Column344]]</f>
        <v>96.01</v>
      </c>
      <c r="MG32">
        <f>SOFR3mo_PX[[#This Row],[Column345]]</f>
        <v>96.015000000000001</v>
      </c>
      <c r="MH32">
        <f>SOFR3mo_PX[[#This Row],[Column346]]</f>
        <v>96.034999999999997</v>
      </c>
      <c r="MI32">
        <f>SOFR3mo_PX[[#This Row],[Column347]]</f>
        <v>96.045000000000002</v>
      </c>
      <c r="MJ32">
        <f>SOFR3mo_PX[[#This Row],[Column348]]</f>
        <v>95.95</v>
      </c>
      <c r="MK32">
        <f>SOFR3mo_PX[[#This Row],[Column349]]</f>
        <v>95.92</v>
      </c>
      <c r="ML32">
        <f>SOFR3mo_PX[[#This Row],[Column350]]</f>
        <v>95.965000000000003</v>
      </c>
      <c r="MM32">
        <f>SOFR3mo_PX[[#This Row],[Column351]]</f>
        <v>95.94</v>
      </c>
      <c r="MN32">
        <f>SOFR3mo_PX[[#This Row],[Column352]]</f>
        <v>95.94</v>
      </c>
      <c r="MO32">
        <f>SOFR3mo_PX[[#This Row],[Column353]]</f>
        <v>95.98</v>
      </c>
      <c r="MP32">
        <f>SOFR3mo_PX[[#This Row],[Column354]]</f>
        <v>95.954999999999998</v>
      </c>
      <c r="MQ32">
        <f>SOFR3mo_PX[[#This Row],[Column355]]</f>
        <v>95.915000000000006</v>
      </c>
      <c r="MR32">
        <f>SOFR3mo_PX[[#This Row],[Column356]]</f>
        <v>96.015000000000001</v>
      </c>
      <c r="MS32">
        <f>SOFR3mo_PX[[#This Row],[Column357]]</f>
        <v>95.995000000000005</v>
      </c>
      <c r="MT32">
        <f>SOFR3mo_PX[[#This Row],[Column358]]</f>
        <v>96.01</v>
      </c>
      <c r="MU32">
        <f>SOFR3mo_PX[[#This Row],[Column359]]</f>
        <v>96.094999999999999</v>
      </c>
      <c r="MV32">
        <f>SOFR3mo_PX[[#This Row],[Column360]]</f>
        <v>96.11</v>
      </c>
      <c r="MW32">
        <f>SOFR3mo_PX[[#This Row],[Column361]]</f>
        <v>96.02</v>
      </c>
      <c r="MX32">
        <f>SOFR3mo_PX[[#This Row],[Column362]]</f>
        <v>96.15</v>
      </c>
      <c r="MY32">
        <f>SOFR3mo_PX[[#This Row],[Column363]]</f>
        <v>96.31</v>
      </c>
      <c r="MZ32">
        <f>SOFR3mo_PX[[#This Row],[Column364]]</f>
        <v>96.19</v>
      </c>
      <c r="NA32">
        <f>SOFR3mo_PX[[#This Row],[Column365]]</f>
        <v>96.105000000000004</v>
      </c>
      <c r="NB32">
        <f>SOFR3mo_PX[[#This Row],[Column366]]</f>
        <v>96.034999999999997</v>
      </c>
      <c r="NC32">
        <f>SOFR3mo_PX[[#This Row],[Column367]]</f>
        <v>95.97</v>
      </c>
      <c r="ND32">
        <f>SOFR3mo_PX[[#This Row],[Column368]]</f>
        <v>96.004999999999995</v>
      </c>
      <c r="NE32">
        <f>SOFR3mo_PX[[#This Row],[Column369]]</f>
        <v>95.98</v>
      </c>
      <c r="NF32">
        <f>SOFR3mo_PX[[#This Row],[Column370]]</f>
        <v>96.025000000000006</v>
      </c>
      <c r="NG32">
        <f>SOFR3mo_PX[[#This Row],[Column371]]</f>
        <v>96.075000000000003</v>
      </c>
      <c r="NH32">
        <f>SOFR3mo_PX[[#This Row],[Column372]]</f>
        <v>96.02</v>
      </c>
      <c r="NI32">
        <f>SOFR3mo_PX[[#This Row],[Column373]]</f>
        <v>96.01</v>
      </c>
      <c r="NJ32">
        <f>SOFR3mo_PX[[#This Row],[Column374]]</f>
        <v>96.045000000000002</v>
      </c>
      <c r="NK32">
        <f>SOFR3mo_PX[[#This Row],[Column375]]</f>
        <v>96.055000000000007</v>
      </c>
      <c r="NL32">
        <f>SOFR3mo_PX[[#This Row],[Column376]]</f>
        <v>96.17</v>
      </c>
      <c r="NM32">
        <f>SOFR3mo_PX[[#This Row],[Column377]]</f>
        <v>96.17</v>
      </c>
      <c r="NN32">
        <f>SOFR3mo_PX[[#This Row],[Column378]]</f>
        <v>96.204999999999998</v>
      </c>
      <c r="NO32">
        <f>SOFR3mo_PX[[#This Row],[Column379]]</f>
        <v>96.165000000000006</v>
      </c>
      <c r="NP32">
        <f>SOFR3mo_PX[[#This Row],[Column380]]</f>
        <v>96.174999999999997</v>
      </c>
      <c r="NQ32">
        <f>SOFR3mo_PX[[#This Row],[Column381]]</f>
        <v>96.18</v>
      </c>
      <c r="NR32">
        <f>SOFR3mo_PX[[#This Row],[Column382]]</f>
        <v>96.174999999999997</v>
      </c>
      <c r="NS32">
        <f>SOFR3mo_PX[[#This Row],[Column383]]</f>
        <v>96.23</v>
      </c>
      <c r="NT32">
        <f>SOFR3mo_PX[[#This Row],[Column384]]</f>
        <v>96.31</v>
      </c>
      <c r="NU32">
        <f>SOFR3mo_PX[[#This Row],[Column385]]</f>
        <v>96.265000000000001</v>
      </c>
      <c r="NV32">
        <f>SOFR3mo_PX[[#This Row],[Column386]]</f>
        <v>96.284999999999997</v>
      </c>
      <c r="NW32">
        <f>SOFR3mo_PX[[#This Row],[Column387]]</f>
        <v>96.284999999999997</v>
      </c>
      <c r="NX32">
        <f>SOFR3mo_PX[[#This Row],[Column388]]</f>
        <v>96.31</v>
      </c>
      <c r="NY32">
        <f>SOFR3mo_PX[[#This Row],[Column389]]</f>
        <v>96.375</v>
      </c>
      <c r="NZ32">
        <f>SOFR3mo_PX[[#This Row],[Column390]]</f>
        <v>96.27</v>
      </c>
      <c r="OA32">
        <f>SOFR3mo_PX[[#This Row],[Column391]]</f>
        <v>96.254999999999995</v>
      </c>
      <c r="OB32">
        <f>SOFR3mo_PX[[#This Row],[Column392]]</f>
        <v>96.254999999999995</v>
      </c>
      <c r="OC32">
        <f>SOFR3mo_PX[[#This Row],[Column393]]</f>
        <v>96.29</v>
      </c>
      <c r="OD32">
        <f>SOFR3mo_PX[[#This Row],[Column394]]</f>
        <v>96.325000000000003</v>
      </c>
      <c r="OE32">
        <f>SOFR3mo_PX[[#This Row],[Column395]]</f>
        <v>96.295000000000002</v>
      </c>
      <c r="OF32">
        <f>SOFR3mo_PX[[#This Row],[Column396]]</f>
        <v>96.26</v>
      </c>
      <c r="OG32">
        <f>SOFR3mo_PX[[#This Row],[Column397]]</f>
        <v>96.295000000000002</v>
      </c>
      <c r="OH32">
        <f>SOFR3mo_PX[[#This Row],[Column398]]</f>
        <v>96.27</v>
      </c>
      <c r="OI32">
        <f>SOFR3mo_PX[[#This Row],[Column399]]</f>
        <v>96.17</v>
      </c>
      <c r="OJ32">
        <f>SOFR3mo_PX[[#This Row],[Column400]]</f>
        <v>96.02</v>
      </c>
      <c r="OK32">
        <f>SOFR3mo_PX[[#This Row],[Column401]]</f>
        <v>95.965000000000003</v>
      </c>
      <c r="OL32">
        <f>SOFR3mo_PX[[#This Row],[Column402]]</f>
        <v>95.96</v>
      </c>
      <c r="OM32">
        <f>SOFR3mo_PX[[#This Row],[Column403]]</f>
        <v>96.07</v>
      </c>
      <c r="ON32">
        <f>SOFR3mo_PX[[#This Row],[Column404]]</f>
        <v>96.064999999999998</v>
      </c>
      <c r="OO32">
        <f>SOFR3mo_PX[[#This Row],[Column405]]</f>
        <v>96</v>
      </c>
      <c r="OP32">
        <f>SOFR3mo_PX[[#This Row],[Column406]]</f>
        <v>95.864999999999995</v>
      </c>
      <c r="OQ32">
        <f>SOFR3mo_PX[[#This Row],[Column407]]</f>
        <v>95.894999999999996</v>
      </c>
      <c r="OR32">
        <f>SOFR3mo_PX[[#This Row],[Column408]]</f>
        <v>95.78</v>
      </c>
      <c r="OS32">
        <f>SOFR3mo_PX[[#This Row],[Column409]]</f>
        <v>95.864999999999995</v>
      </c>
      <c r="OT32">
        <f>SOFR3mo_PX[[#This Row],[Column410]]</f>
        <v>95.79</v>
      </c>
      <c r="OU32">
        <f>SOFR3mo_PX[[#This Row],[Column411]]</f>
        <v>95.795000000000002</v>
      </c>
      <c r="OV32">
        <f>SOFR3mo_PX[[#This Row],[Column412]]</f>
        <v>95.685000000000002</v>
      </c>
      <c r="OW32">
        <f>SOFR3mo_PX[[#This Row],[Column413]]</f>
        <v>95.73</v>
      </c>
      <c r="OX32">
        <f>SOFR3mo_PX[[#This Row],[Column414]]</f>
        <v>95.73</v>
      </c>
      <c r="OY32">
        <f>SOFR3mo_PX[[#This Row],[Column415]]</f>
        <v>95.72</v>
      </c>
      <c r="OZ32">
        <f>SOFR3mo_PX[[#This Row],[Column416]]</f>
        <v>95.74</v>
      </c>
      <c r="PA32">
        <f>SOFR3mo_PX[[#This Row],[Column417]]</f>
        <v>95.694999999999993</v>
      </c>
      <c r="PB32">
        <f>SOFR3mo_PX[[#This Row],[Column418]]</f>
        <v>95.674999999999997</v>
      </c>
      <c r="PC32">
        <f>SOFR3mo_PX[[#This Row],[Column419]]</f>
        <v>95.58</v>
      </c>
      <c r="PD32">
        <f>SOFR3mo_PX[[#This Row],[Column420]]</f>
        <v>95.665000000000006</v>
      </c>
      <c r="PE32">
        <f>SOFR3mo_PX[[#This Row],[Column421]]</f>
        <v>95.495000000000005</v>
      </c>
      <c r="PF32">
        <f>SOFR3mo_PX[[#This Row],[Column422]]</f>
        <v>95.484999999999999</v>
      </c>
      <c r="PG32">
        <f>SOFR3mo_PX[[#This Row],[Column423]]</f>
        <v>95.465000000000003</v>
      </c>
      <c r="PH32">
        <f>SOFR3mo_PX[[#This Row],[Column424]]</f>
        <v>95.594999999999999</v>
      </c>
      <c r="PI32">
        <f>SOFR3mo_PX[[#This Row],[Column425]]</f>
        <v>95.51</v>
      </c>
      <c r="PJ32">
        <f>SOFR3mo_PX[[#This Row],[Column426]]</f>
        <v>95.394999999999996</v>
      </c>
      <c r="PK32">
        <f>SOFR3mo_PX[[#This Row],[Column427]]</f>
        <v>95.504999999999995</v>
      </c>
      <c r="PL32">
        <f>SOFR3mo_PX[[#This Row],[Column428]]</f>
        <v>95.385000000000005</v>
      </c>
      <c r="PM32">
        <f>SOFR3mo_PX[[#This Row],[Column429]]</f>
        <v>95.254999999999995</v>
      </c>
      <c r="PN32">
        <f>SOFR3mo_PX[[#This Row],[Column430]]</f>
        <v>95.165000000000006</v>
      </c>
      <c r="PO32">
        <f>SOFR3mo_PX[[#This Row],[Column431]]</f>
        <v>95.155000000000001</v>
      </c>
      <c r="PP32">
        <f>SOFR3mo_PX[[#This Row],[Column432]]</f>
        <v>95.165000000000006</v>
      </c>
      <c r="PQ32">
        <f>SOFR3mo_PX[[#This Row],[Column433]]</f>
        <v>95.17</v>
      </c>
      <c r="PR32">
        <f>SOFR3mo_PX[[#This Row],[Column434]]</f>
        <v>95.06</v>
      </c>
      <c r="PS32">
        <f>SOFR3mo_PX[[#This Row],[Column435]]</f>
        <v>95.2</v>
      </c>
      <c r="PT32">
        <f>SOFR3mo_PX[[#This Row],[Column436]]</f>
        <v>95.194999999999993</v>
      </c>
      <c r="PU32">
        <f>SOFR3mo_PX[[#This Row],[Column437]]</f>
        <v>95.09</v>
      </c>
      <c r="PV32">
        <f>SOFR3mo_PX[[#This Row],[Column438]]</f>
        <v>95.015000000000001</v>
      </c>
      <c r="PW32">
        <f>SOFR3mo_PX[[#This Row],[Column439]]</f>
        <v>95.144999999999996</v>
      </c>
      <c r="PX32">
        <f>SOFR3mo_PX[[#This Row],[Column440]]</f>
        <v>95.19</v>
      </c>
      <c r="PY32">
        <f>SOFR3mo_PX[[#This Row],[Column441]]</f>
        <v>95.314999999999998</v>
      </c>
      <c r="PZ32">
        <f>SOFR3mo_PX[[#This Row],[Column442]]</f>
        <v>95.39</v>
      </c>
      <c r="QA32">
        <f>SOFR3mo_PX[[#This Row],[Column443]]</f>
        <v>95.284999999999997</v>
      </c>
      <c r="QB32">
        <f>SOFR3mo_PX[[#This Row],[Column444]]</f>
        <v>95.4</v>
      </c>
      <c r="QC32">
        <f>SOFR3mo_PX[[#This Row],[Column445]]</f>
        <v>95.31</v>
      </c>
      <c r="QD32">
        <f>SOFR3mo_PX[[#This Row],[Column446]]</f>
        <v>95.29</v>
      </c>
      <c r="QE32">
        <f>SOFR3mo_PX[[#This Row],[Column447]]</f>
        <v>95.17</v>
      </c>
      <c r="QF32">
        <f>SOFR3mo_PX[[#This Row],[Column448]]</f>
        <v>95.23</v>
      </c>
      <c r="QG32">
        <f>SOFR3mo_PX[[#This Row],[Column449]]</f>
        <v>95.204999999999998</v>
      </c>
      <c r="QH32">
        <f>SOFR3mo_PX[[#This Row],[Column450]]</f>
        <v>95.15</v>
      </c>
      <c r="QI32">
        <f>SOFR3mo_PX[[#This Row],[Column451]]</f>
        <v>95.28</v>
      </c>
      <c r="QJ32">
        <f>SOFR3mo_PX[[#This Row],[Column452]]</f>
        <v>95.45</v>
      </c>
      <c r="QK32">
        <f>SOFR3mo_PX[[#This Row],[Column453]]</f>
        <v>95.44</v>
      </c>
      <c r="QL32">
        <f>SOFR3mo_PX[[#This Row],[Column454]]</f>
        <v>95.465000000000003</v>
      </c>
      <c r="QM32">
        <f>SOFR3mo_PX[[#This Row],[Column455]]</f>
        <v>95.54</v>
      </c>
      <c r="QN32">
        <f>SOFR3mo_PX[[#This Row],[Column456]]</f>
        <v>95.55</v>
      </c>
      <c r="QO32">
        <f>SOFR3mo_PX[[#This Row],[Column457]]</f>
        <v>95.7</v>
      </c>
      <c r="QP32">
        <f>SOFR3mo_PX[[#This Row],[Column458]]</f>
        <v>95.67</v>
      </c>
      <c r="QQ32">
        <f>SOFR3mo_PX[[#This Row],[Column459]]</f>
        <v>95.834999999999994</v>
      </c>
      <c r="QR32">
        <f>SOFR3mo_PX[[#This Row],[Column460]]</f>
        <v>95.814999999999998</v>
      </c>
      <c r="QS32">
        <f>SOFR3mo_PX[[#This Row],[Column461]]</f>
        <v>95.85</v>
      </c>
      <c r="QT32">
        <f>SOFR3mo_PX[[#This Row],[Column462]]</f>
        <v>95.83</v>
      </c>
      <c r="QU32">
        <f>SOFR3mo_PX[[#This Row],[Column463]]</f>
        <v>95.864999999999995</v>
      </c>
      <c r="QV32">
        <f>SOFR3mo_PX[[#This Row],[Column464]]</f>
        <v>95.924999999999997</v>
      </c>
      <c r="QW32">
        <f>SOFR3mo_PX[[#This Row],[Column465]]</f>
        <v>95.905000000000001</v>
      </c>
      <c r="QX32">
        <f>SOFR3mo_PX[[#This Row],[Column466]]</f>
        <v>95.86</v>
      </c>
      <c r="QY32">
        <f>SOFR3mo_PX[[#This Row],[Column467]]</f>
        <v>95.9</v>
      </c>
      <c r="QZ32">
        <f>SOFR3mo_PX[[#This Row],[Column468]]</f>
        <v>95.89</v>
      </c>
      <c r="RA32">
        <f>SOFR3mo_PX[[#This Row],[Column469]]</f>
        <v>95.875</v>
      </c>
      <c r="RB32">
        <f>SOFR3mo_PX[[#This Row],[Column470]]</f>
        <v>95.87</v>
      </c>
      <c r="RC32">
        <f>SOFR3mo_PX[[#This Row],[Column471]]</f>
        <v>95.94</v>
      </c>
      <c r="RD32">
        <f>SOFR3mo_PX[[#This Row],[Column472]]</f>
        <v>95.94</v>
      </c>
      <c r="RE32">
        <f>SOFR3mo_PX[[#This Row],[Column473]]</f>
        <v>96.034999999999997</v>
      </c>
      <c r="RF32">
        <f>SOFR3mo_PX[[#This Row],[Column474]]</f>
        <v>96.01</v>
      </c>
      <c r="RG32">
        <f>SOFR3mo_PX[[#This Row],[Column475]]</f>
        <v>96.015000000000001</v>
      </c>
      <c r="RH32">
        <f>SOFR3mo_PX[[#This Row],[Column476]]</f>
        <v>95.98</v>
      </c>
      <c r="RI32">
        <f>SOFR3mo_PX[[#This Row],[Column477]]</f>
        <v>95.94</v>
      </c>
      <c r="RJ32">
        <f>SOFR3mo_PX[[#This Row],[Column478]]</f>
        <v>95.935000000000002</v>
      </c>
      <c r="RK32">
        <f>SOFR3mo_PX[[#This Row],[Column479]]</f>
        <v>95.96</v>
      </c>
      <c r="RL32">
        <f>SOFR3mo_PX[[#This Row],[Column480]]</f>
        <v>95.81</v>
      </c>
      <c r="RM32">
        <f>SOFR3mo_PX[[#This Row],[Column481]]</f>
        <v>95.78</v>
      </c>
      <c r="RN32">
        <f>SOFR3mo_PX[[#This Row],[Column482]]</f>
        <v>95.875</v>
      </c>
      <c r="RO32">
        <f>SOFR3mo_PX[[#This Row],[Column483]]</f>
        <v>95.8</v>
      </c>
      <c r="RP32">
        <f>SOFR3mo_PX[[#This Row],[Column484]]</f>
        <v>95.885000000000005</v>
      </c>
      <c r="RQ32">
        <f>SOFR3mo_PX[[#This Row],[Column485]]</f>
        <v>95.92</v>
      </c>
      <c r="RR32">
        <f>SOFR3mo_PX[[#This Row],[Column486]]</f>
        <v>95.98</v>
      </c>
      <c r="RS32">
        <f>SOFR3mo_PX[[#This Row],[Column487]]</f>
        <v>95.954999999999998</v>
      </c>
      <c r="RT32">
        <f>SOFR3mo_PX[[#This Row],[Column488]]</f>
        <v>96.045000000000002</v>
      </c>
      <c r="RU32">
        <f>SOFR3mo_PX[[#This Row],[Column489]]</f>
        <v>96.15</v>
      </c>
      <c r="RV32">
        <f>SOFR3mo_PX[[#This Row],[Column490]]</f>
        <v>96.114999999999995</v>
      </c>
      <c r="RW32">
        <f>SOFR3mo_PX[[#This Row],[Column491]]</f>
        <v>96.05</v>
      </c>
      <c r="RX32">
        <f>SOFR3mo_PX[[#This Row],[Column492]]</f>
        <v>96.075000000000003</v>
      </c>
      <c r="RY32">
        <f>SOFR3mo_PX[[#This Row],[Column493]]</f>
        <v>95.935000000000002</v>
      </c>
      <c r="RZ32">
        <f>SOFR3mo_PX[[#This Row],[Column494]]</f>
        <v>96.105000000000004</v>
      </c>
      <c r="SA32">
        <f>SOFR3mo_PX[[#This Row],[Column495]]</f>
        <v>96.16</v>
      </c>
      <c r="SB32">
        <f>SOFR3mo_PX[[#This Row],[Column496]]</f>
        <v>96.25</v>
      </c>
      <c r="SC32">
        <f>SOFR3mo_PX[[#This Row],[Column497]]</f>
        <v>96.245000000000005</v>
      </c>
      <c r="SD32">
        <f>SOFR3mo_PX[[#This Row],[Column498]]</f>
        <v>96.2</v>
      </c>
      <c r="SE32">
        <f>SOFR3mo_PX[[#This Row],[Column499]]</f>
        <v>96.37</v>
      </c>
      <c r="SF32">
        <f>SOFR3mo_PX[[#This Row],[Column500]]</f>
        <v>96.32</v>
      </c>
      <c r="SG32">
        <f>SOFR3mo_PX[[#This Row],[Column501]]</f>
        <v>96.38</v>
      </c>
      <c r="SH32">
        <f>SOFR3mo_PX[[#This Row],[Column502]]</f>
        <v>96.39</v>
      </c>
      <c r="SI32">
        <f>SOFR3mo_PX[[#This Row],[Column503]]</f>
        <v>96.37</v>
      </c>
      <c r="SJ32">
        <f>SOFR3mo_PX[[#This Row],[Column504]]</f>
        <v>96.49</v>
      </c>
      <c r="SK32">
        <f>SOFR3mo_PX[[#This Row],[Column505]]</f>
        <v>96.45</v>
      </c>
      <c r="SL32">
        <f>SOFR3mo_PX[[#This Row],[Column506]]</f>
        <v>96.435000000000002</v>
      </c>
      <c r="SM32">
        <f>SOFR3mo_PX[[#This Row],[Column507]]</f>
        <v>96.394999999999996</v>
      </c>
      <c r="SN32">
        <f>SOFR3mo_PX[[#This Row],[Column508]]</f>
        <v>96.405000000000001</v>
      </c>
      <c r="SO32">
        <f>SOFR3mo_PX[[#This Row],[Column509]]</f>
        <v>96.375</v>
      </c>
      <c r="SP32">
        <f>SOFR3mo_PX[[#This Row],[Column510]]</f>
        <v>96.284999999999997</v>
      </c>
      <c r="SQ32">
        <f>SOFR3mo_PX[[#This Row],[Column511]]</f>
        <v>96.22</v>
      </c>
      <c r="SR32">
        <f>SOFR3mo_PX[[#This Row],[Column512]]</f>
        <v>96.18</v>
      </c>
      <c r="SS32">
        <f>SOFR3mo_PX[[#This Row],[Column513]]</f>
        <v>96.234999999999999</v>
      </c>
      <c r="ST32">
        <f>SOFR3mo_PX[[#This Row],[Column514]]</f>
        <v>96.334999999999994</v>
      </c>
      <c r="SU32">
        <f>SOFR3mo_PX[[#This Row],[Column515]]</f>
        <v>96.44</v>
      </c>
      <c r="SV32">
        <f>SOFR3mo_PX[[#This Row],[Column516]]</f>
        <v>96.44</v>
      </c>
      <c r="SW32">
        <f>SOFR3mo_PX[[#This Row],[Column517]]</f>
        <v>96.474999999999994</v>
      </c>
      <c r="SX32">
        <f>SOFR3mo_PX[[#This Row],[Column518]]</f>
        <v>96.41</v>
      </c>
      <c r="SY32">
        <f>SOFR3mo_PX[[#This Row],[Column519]]</f>
        <v>96.555000000000007</v>
      </c>
      <c r="SZ32">
        <f>SOFR3mo_PX[[#This Row],[Column520]]</f>
        <v>96.5</v>
      </c>
      <c r="TA32">
        <f>SOFR3mo_PX[[#This Row],[Column521]]</f>
        <v>96.53</v>
      </c>
      <c r="TB32">
        <f>SOFR3mo_PX[[#This Row],[Column522]]</f>
        <v>96.5</v>
      </c>
      <c r="TC32">
        <f>SOFR3mo_PX[[#This Row],[Column523]]</f>
        <v>96.43</v>
      </c>
      <c r="TD32">
        <f>SOFR3mo_PX[[#This Row],[Column524]]</f>
        <v>96.504999999999995</v>
      </c>
      <c r="TE32">
        <f>SOFR3mo_PX[[#This Row],[Column525]]</f>
        <v>96.525000000000006</v>
      </c>
      <c r="TF32">
        <f>SOFR3mo_PX[[#This Row],[Column526]]</f>
        <v>96.454999999999998</v>
      </c>
      <c r="TG32">
        <f>SOFR3mo_PX[[#This Row],[Column527]]</f>
        <v>96.454999999999998</v>
      </c>
      <c r="TH32">
        <f>SOFR3mo_PX[[#This Row],[Column528]]</f>
        <v>96.49</v>
      </c>
      <c r="TI32">
        <f>SOFR3mo_PX[[#This Row],[Column529]]</f>
        <v>96.42</v>
      </c>
      <c r="TJ32">
        <f>SOFR3mo_PX[[#This Row],[Column530]]</f>
        <v>96.34</v>
      </c>
      <c r="TK32">
        <f>SOFR3mo_PX[[#This Row],[Column531]]</f>
        <v>96.415000000000006</v>
      </c>
      <c r="TL32">
        <f>SOFR3mo_PX[[#This Row],[Column532]]</f>
        <v>96.42</v>
      </c>
      <c r="TM32">
        <f>SOFR3mo_PX[[#This Row],[Column533]]</f>
        <v>96.424999999999997</v>
      </c>
      <c r="TN32">
        <f>SOFR3mo_PX[[#This Row],[Column534]]</f>
        <v>96.35</v>
      </c>
      <c r="TO32">
        <f>SOFR3mo_PX[[#This Row],[Column535]]</f>
        <v>96.454999999999998</v>
      </c>
      <c r="TP32">
        <f>SOFR3mo_PX[[#This Row],[Column536]]</f>
        <v>96.435000000000002</v>
      </c>
      <c r="TQ32">
        <f>SOFR3mo_PX[[#This Row],[Column537]]</f>
        <v>96.405000000000001</v>
      </c>
      <c r="TR32">
        <f>SOFR3mo_PX[[#This Row],[Column538]]</f>
        <v>96.504999999999995</v>
      </c>
      <c r="TS32">
        <f>SOFR3mo_PX[[#This Row],[Column539]]</f>
        <v>96.49</v>
      </c>
      <c r="TT32">
        <f>SOFR3mo_PX[[#This Row],[Column540]]</f>
        <v>96.444999999999993</v>
      </c>
      <c r="TU32">
        <f>SOFR3mo_PX[[#This Row],[Column541]]</f>
        <v>96.334999999999994</v>
      </c>
      <c r="TV32">
        <f>SOFR3mo_PX[[#This Row],[Column542]]</f>
        <v>96.334999999999994</v>
      </c>
      <c r="TW32">
        <f>SOFR3mo_PX[[#This Row],[Column543]]</f>
        <v>96.32</v>
      </c>
      <c r="TX32">
        <f>SOFR3mo_PX[[#This Row],[Column544]]</f>
        <v>96.405000000000001</v>
      </c>
      <c r="TY32">
        <f>SOFR3mo_PX[[#This Row],[Column545]]</f>
        <v>96.42</v>
      </c>
      <c r="TZ32">
        <f>SOFR3mo_PX[[#This Row],[Column546]]</f>
        <v>96.39</v>
      </c>
      <c r="UA32">
        <f>SOFR3mo_PX[[#This Row],[Column547]]</f>
        <v>96.38</v>
      </c>
      <c r="UB32">
        <f>SOFR3mo_PX[[#This Row],[Column548]]</f>
        <v>96.43</v>
      </c>
      <c r="UC32">
        <f>SOFR3mo_PX[[#This Row],[Column549]]</f>
        <v>96.484999999999999</v>
      </c>
      <c r="UD32">
        <f>SOFR3mo_PX[[#This Row],[Column550]]</f>
        <v>96.5</v>
      </c>
      <c r="UE32">
        <f>SOFR3mo_PX[[#This Row],[Column551]]</f>
        <v>96.555000000000007</v>
      </c>
      <c r="UF32">
        <f>SOFR3mo_PX[[#This Row],[Column552]]</f>
        <v>96.594999999999999</v>
      </c>
      <c r="UG32">
        <f>SOFR3mo_PX[[#This Row],[Column553]]</f>
        <v>96.635000000000005</v>
      </c>
      <c r="UH32">
        <f>SOFR3mo_PX[[#This Row],[Column554]]</f>
        <v>96.59</v>
      </c>
      <c r="UI32">
        <f>SOFR3mo_PX[[#This Row],[Column555]]</f>
        <v>96.525000000000006</v>
      </c>
      <c r="UJ32">
        <f>SOFR3mo_PX[[#This Row],[Column556]]</f>
        <v>96.534999999999997</v>
      </c>
      <c r="UK32">
        <f>SOFR3mo_PX[[#This Row],[Column557]]</f>
        <v>96.58</v>
      </c>
      <c r="UL32">
        <f>SOFR3mo_PX[[#This Row],[Column558]]</f>
        <v>96.65</v>
      </c>
      <c r="UM32">
        <f>SOFR3mo_PX[[#This Row],[Column559]]</f>
        <v>96.6</v>
      </c>
      <c r="UN32">
        <f>SOFR3mo_PX[[#This Row],[Column560]]</f>
        <v>96.584999999999994</v>
      </c>
      <c r="UO32">
        <f>SOFR3mo_PX[[#This Row],[Column561]]</f>
        <v>96.45</v>
      </c>
      <c r="UP32">
        <f>SOFR3mo_PX[[#This Row],[Column562]]</f>
        <v>96.58</v>
      </c>
      <c r="UQ32">
        <f>SOFR3mo_PX[[#This Row],[Column563]]</f>
        <v>96.58</v>
      </c>
      <c r="UR32">
        <f>SOFR3mo_PX[[#This Row],[Column564]]</f>
        <v>96.655000000000001</v>
      </c>
      <c r="US32">
        <f>SOFR3mo_PX[[#This Row],[Column565]]</f>
        <v>96.704999999999998</v>
      </c>
      <c r="UT32">
        <f>SOFR3mo_PX[[#This Row],[Column566]]</f>
        <v>96.644999999999996</v>
      </c>
      <c r="UU32">
        <f>SOFR3mo_PX[[#This Row],[Column567]]</f>
        <v>96.59</v>
      </c>
      <c r="UV32">
        <f>SOFR3mo_PX[[#This Row],[Column568]]</f>
        <v>96.635000000000005</v>
      </c>
      <c r="UW32">
        <f>SOFR3mo_PX[[#This Row],[Column569]]</f>
        <v>96.6</v>
      </c>
      <c r="UX32">
        <f>SOFR3mo_PX[[#This Row],[Column570]]</f>
        <v>96.62</v>
      </c>
      <c r="UY32">
        <f>SOFR3mo_PX[[#This Row],[Column571]]</f>
        <v>96.575000000000003</v>
      </c>
      <c r="UZ32">
        <f>SOFR3mo_PX[[#This Row],[Column572]]</f>
        <v>96.635000000000005</v>
      </c>
      <c r="VA32">
        <f>SOFR3mo_PX[[#This Row],[Column573]]</f>
        <v>96.69</v>
      </c>
      <c r="VB32">
        <f>SOFR3mo_PX[[#This Row],[Column574]]</f>
        <v>96.745000000000005</v>
      </c>
      <c r="VC32">
        <f>SOFR3mo_PX[[#This Row],[Column575]]</f>
        <v>96.745000000000005</v>
      </c>
      <c r="VD32">
        <f>SOFR3mo_PX[[#This Row],[Column576]]</f>
        <v>96.734999999999999</v>
      </c>
      <c r="VE32">
        <f>SOFR3mo_PX[[#This Row],[Column577]]</f>
        <v>96.79</v>
      </c>
      <c r="VF32">
        <f>SOFR3mo_PX[[#This Row],[Column578]]</f>
        <v>96.864999999999995</v>
      </c>
      <c r="VG32">
        <f>SOFR3mo_PX[[#This Row],[Column579]]</f>
        <v>96.85</v>
      </c>
      <c r="VH32">
        <f>SOFR3mo_PX[[#This Row],[Column580]]</f>
        <v>96.814999999999998</v>
      </c>
      <c r="VI32">
        <f>SOFR3mo_PX[[#This Row],[Column581]]</f>
        <v>96.754999999999995</v>
      </c>
      <c r="VJ32">
        <f>SOFR3mo_PX[[#This Row],[Column582]]</f>
        <v>96.7</v>
      </c>
      <c r="VK32">
        <f>SOFR3mo_PX[[#This Row],[Column583]]</f>
        <v>96.665000000000006</v>
      </c>
      <c r="VL32">
        <f>SOFR3mo_PX[[#This Row],[Column584]]</f>
        <v>96.64</v>
      </c>
      <c r="VM32">
        <f>SOFR3mo_PX[[#This Row],[Column585]]</f>
        <v>96.63</v>
      </c>
      <c r="VN32">
        <f>SOFR3mo_PX[[#This Row],[Column586]]</f>
        <v>96.66</v>
      </c>
      <c r="VO32">
        <f>SOFR3mo_PX[[#This Row],[Column587]]</f>
        <v>96.78</v>
      </c>
      <c r="VP32">
        <f>SOFR3mo_PX[[#This Row],[Column588]]</f>
        <v>96.74</v>
      </c>
      <c r="VQ32">
        <f>SOFR3mo_PX[[#This Row],[Column589]]</f>
        <v>96.69</v>
      </c>
      <c r="VR32">
        <f>SOFR3mo_PX[[#This Row],[Column590]]</f>
        <v>96.635000000000005</v>
      </c>
      <c r="VS32">
        <f>SOFR3mo_PX[[#This Row],[Column591]]</f>
        <v>96.66</v>
      </c>
      <c r="VT32">
        <f>SOFR3mo_PX[[#This Row],[Column592]]</f>
        <v>96.734999999999999</v>
      </c>
      <c r="VU32">
        <f>SOFR3mo_PX[[#This Row],[Column593]]</f>
        <v>96.55</v>
      </c>
      <c r="VV32">
        <f>SOFR3mo_PX[[#This Row],[Column594]]</f>
        <v>96.62</v>
      </c>
      <c r="VW32">
        <f>SOFR3mo_PX[[#This Row],[Column595]]</f>
        <v>96.53</v>
      </c>
      <c r="VX32">
        <f>SOFR3mo_PX[[#This Row],[Column596]]</f>
        <v>96.605000000000004</v>
      </c>
      <c r="VY32">
        <f>SOFR3mo_PX[[#This Row],[Column597]]</f>
        <v>96.584999999999994</v>
      </c>
      <c r="VZ32">
        <f>SOFR3mo_PX[[#This Row],[Column598]]</f>
        <v>96.385000000000005</v>
      </c>
      <c r="WA32">
        <f>SOFR3mo_PX[[#This Row],[Column599]]</f>
        <v>96.43</v>
      </c>
      <c r="WB32">
        <f>SOFR3mo_PX[[#This Row],[Column600]]</f>
        <v>96.41</v>
      </c>
      <c r="WC32">
        <f>SOFR3mo_PX[[#This Row],[Column601]]</f>
        <v>96.334999999999994</v>
      </c>
      <c r="WD32">
        <f>SOFR3mo_PX[[#This Row],[Column602]]</f>
        <v>96.334999999999994</v>
      </c>
      <c r="WE32">
        <f>SOFR3mo_PX[[#This Row],[Column603]]</f>
        <v>96.21</v>
      </c>
      <c r="WF32">
        <f>SOFR3mo_PX[[#This Row],[Column604]]</f>
        <v>96.314999999999998</v>
      </c>
      <c r="WG32">
        <f>SOFR3mo_PX[[#This Row],[Column605]]</f>
        <v>96.4</v>
      </c>
      <c r="WH32">
        <f>SOFR3mo_PX[[#This Row],[Column606]]</f>
        <v>96.4</v>
      </c>
      <c r="WI32">
        <f>SOFR3mo_PX[[#This Row],[Column607]]</f>
        <v>96.36</v>
      </c>
      <c r="WJ32">
        <f>SOFR3mo_PX[[#This Row],[Column608]]</f>
        <v>96.41</v>
      </c>
      <c r="WK32">
        <f>SOFR3mo_PX[[#This Row],[Column609]]</f>
        <v>96.36</v>
      </c>
      <c r="WL32">
        <f>SOFR3mo_PX[[#This Row],[Column610]]</f>
        <v>96.325000000000003</v>
      </c>
      <c r="WM32">
        <f>SOFR3mo_PX[[#This Row],[Column611]]</f>
        <v>96.474999999999994</v>
      </c>
      <c r="WN32">
        <f>SOFR3mo_PX[[#This Row],[Column612]]</f>
        <v>96.474999999999994</v>
      </c>
      <c r="WO32">
        <f>SOFR3mo_PX[[#This Row],[Column613]]</f>
        <v>96.454999999999998</v>
      </c>
      <c r="WP32">
        <f>SOFR3mo_PX[[#This Row],[Column614]]</f>
        <v>96.495000000000005</v>
      </c>
      <c r="WQ32">
        <f>SOFR3mo_PX[[#This Row],[Column615]]</f>
        <v>96.56</v>
      </c>
      <c r="WR32">
        <f>SOFR3mo_PX[[#This Row],[Column616]]</f>
        <v>96.545000000000002</v>
      </c>
      <c r="WS32">
        <f>SOFR3mo_PX[[#This Row],[Column617]]</f>
        <v>96.515000000000001</v>
      </c>
      <c r="WT32">
        <f>SOFR3mo_PX[[#This Row],[Column618]]</f>
        <v>96.58</v>
      </c>
      <c r="WU32">
        <f>SOFR3mo_PX[[#This Row],[Column619]]</f>
        <v>96.6</v>
      </c>
      <c r="WV32">
        <f>SOFR3mo_PX[[#This Row],[Column620]]</f>
        <v>96.58</v>
      </c>
      <c r="WW32">
        <f>SOFR3mo_PX[[#This Row],[Column621]]</f>
        <v>96.605000000000004</v>
      </c>
      <c r="WX32">
        <f>SOFR3mo_PX[[#This Row],[Column622]]</f>
        <v>96.68</v>
      </c>
      <c r="WY32">
        <f>SOFR3mo_PX[[#This Row],[Column623]]</f>
        <v>96.77</v>
      </c>
      <c r="WZ32">
        <f>SOFR3mo_PX[[#This Row],[Column624]]</f>
        <v>96.805000000000007</v>
      </c>
      <c r="XA32">
        <f>SOFR3mo_PX[[#This Row],[Column625]]</f>
        <v>96.704999999999998</v>
      </c>
      <c r="XB32">
        <f>SOFR3mo_PX[[#This Row],[Column626]]</f>
        <v>96.674999999999997</v>
      </c>
      <c r="XC32">
        <f>SOFR3mo_PX[[#This Row],[Column627]]</f>
        <v>96.71</v>
      </c>
      <c r="XD32">
        <f>SOFR3mo_PX[[#This Row],[Column628]]</f>
        <v>96.76</v>
      </c>
      <c r="XE32">
        <f>SOFR3mo_PX[[#This Row],[Column629]]</f>
        <v>96.775000000000006</v>
      </c>
      <c r="XF32">
        <f>SOFR3mo_PX[[#This Row],[Column630]]</f>
        <v>96.775000000000006</v>
      </c>
      <c r="XG32">
        <f>SOFR3mo_PX[[#This Row],[Column631]]</f>
        <v>96.7</v>
      </c>
      <c r="XH32">
        <f>SOFR3mo_PX[[#This Row],[Column632]]</f>
        <v>96.74</v>
      </c>
      <c r="XI32">
        <f>SOFR3mo_PX[[#This Row],[Column633]]</f>
        <v>96.83</v>
      </c>
      <c r="XJ32">
        <f>SOFR3mo_PX[[#This Row],[Column634]]</f>
        <v>96.86</v>
      </c>
      <c r="XK32">
        <f>SOFR3mo_PX[[#This Row],[Column635]]</f>
        <v>96.73</v>
      </c>
      <c r="XL32">
        <f>SOFR3mo_PX[[#This Row],[Column636]]</f>
        <v>96.775000000000006</v>
      </c>
      <c r="XM32">
        <f>SOFR3mo_PX[[#This Row],[Column637]]</f>
        <v>96.775000000000006</v>
      </c>
      <c r="XN32">
        <f>SOFR3mo_PX[[#This Row],[Column638]]</f>
        <v>96.8</v>
      </c>
      <c r="XO32">
        <f>SOFR3mo_PX[[#This Row],[Column639]]</f>
        <v>96.724999999999994</v>
      </c>
      <c r="XP32">
        <f>SOFR3mo_PX[[#This Row],[Column640]]</f>
        <v>96.67</v>
      </c>
      <c r="XQ32">
        <f>SOFR3mo_PX[[#This Row],[Column641]]</f>
        <v>96.784999999999997</v>
      </c>
      <c r="XR32">
        <f>SOFR3mo_PX[[#This Row],[Column642]]</f>
        <v>96.74</v>
      </c>
      <c r="XS32">
        <f>SOFR3mo_PX[[#This Row],[Column643]]</f>
        <v>96.59</v>
      </c>
      <c r="XT32">
        <f>SOFR3mo_PX[[#This Row],[Column644]]</f>
        <v>96.575000000000003</v>
      </c>
      <c r="XU32">
        <f>SOFR3mo_PX[[#This Row],[Column645]]</f>
        <v>96.474999999999994</v>
      </c>
      <c r="XV32">
        <f>SOFR3mo_PX[[#This Row],[Column646]]</f>
        <v>96.405000000000001</v>
      </c>
      <c r="XW32">
        <f>SOFR3mo_PX[[#This Row],[Column647]]</f>
        <v>96.405000000000001</v>
      </c>
      <c r="XX32">
        <f>SOFR3mo_PX[[#This Row],[Column648]]</f>
        <v>96.364999999999995</v>
      </c>
      <c r="XY32">
        <f>SOFR3mo_PX[[#This Row],[Column649]]</f>
        <v>96.31</v>
      </c>
      <c r="XZ32">
        <f>SOFR3mo_PX[[#This Row],[Column650]]</f>
        <v>96.394999999999996</v>
      </c>
      <c r="YA32">
        <f>SOFR3mo_PX[[#This Row],[Column651]]</f>
        <v>96.48</v>
      </c>
      <c r="YB32">
        <f>SOFR3mo_PX[[#This Row],[Column652]]</f>
        <v>96.48</v>
      </c>
      <c r="YC32">
        <f>SOFR3mo_PX[[#This Row],[Column653]]</f>
        <v>96.51</v>
      </c>
      <c r="YD32">
        <f>SOFR3mo_PX[[#This Row],[Column654]]</f>
        <v>96.484999999999999</v>
      </c>
      <c r="YE32">
        <f>SOFR3mo_PX[[#This Row],[Column655]]</f>
        <v>96.534999999999997</v>
      </c>
      <c r="YF32">
        <f>SOFR3mo_PX[[#This Row],[Column656]]</f>
        <v>96.674999999999997</v>
      </c>
      <c r="YG32">
        <f>SOFR3mo_PX[[#This Row],[Column657]]</f>
        <v>96.77</v>
      </c>
      <c r="YH32">
        <f>SOFR3mo_PX[[#This Row],[Column658]]</f>
        <v>96.834999999999994</v>
      </c>
      <c r="YI32">
        <f>SOFR3mo_PX[[#This Row],[Column659]]</f>
        <v>96.775000000000006</v>
      </c>
      <c r="YJ32">
        <f>SOFR3mo_PX[[#This Row],[Column660]]</f>
        <v>96.775000000000006</v>
      </c>
      <c r="YK32">
        <f>SOFR3mo_PX[[#This Row],[Column661]]</f>
        <v>96.674999999999997</v>
      </c>
      <c r="YL32">
        <f>SOFR3mo_PX[[#This Row],[Column662]]</f>
        <v>96.71</v>
      </c>
      <c r="YM32">
        <f>SOFR3mo_PX[[#This Row],[Column663]]</f>
        <v>96.8</v>
      </c>
      <c r="YN32">
        <f>SOFR3mo_PX[[#This Row],[Column664]]</f>
        <v>96.91</v>
      </c>
      <c r="YO32">
        <f>SOFR3mo_PX[[#This Row],[Column665]]</f>
        <v>96.8</v>
      </c>
      <c r="YP32">
        <f>SOFR3mo_PX[[#This Row],[Column666]]</f>
        <v>96.704999999999998</v>
      </c>
      <c r="YQ32">
        <f>SOFR3mo_PX[[#This Row],[Column667]]</f>
        <v>96.805000000000007</v>
      </c>
      <c r="YR32">
        <f>SOFR3mo_PX[[#This Row],[Column668]]</f>
        <v>96.76</v>
      </c>
      <c r="YS32">
        <f>SOFR3mo_PX[[#This Row],[Column669]]</f>
        <v>96.6</v>
      </c>
      <c r="YT32">
        <f>SOFR3mo_PX[[#This Row],[Column670]]</f>
        <v>96.57</v>
      </c>
      <c r="YU32">
        <f>SOFR3mo_PX[[#This Row],[Column671]]</f>
        <v>96.614999999999995</v>
      </c>
      <c r="YV32">
        <f>SOFR3mo_PX[[#This Row],[Column672]]</f>
        <v>96.6</v>
      </c>
      <c r="YW32">
        <f>SOFR3mo_PX[[#This Row],[Column673]]</f>
        <v>96.584999999999994</v>
      </c>
      <c r="YX32">
        <f>SOFR3mo_PX[[#This Row],[Column674]]</f>
        <v>96.584999999999994</v>
      </c>
      <c r="YY32">
        <f>SOFR3mo_PX[[#This Row],[Column675]]</f>
        <v>96.515000000000001</v>
      </c>
      <c r="YZ32">
        <f>SOFR3mo_PX[[#This Row],[Column676]]</f>
        <v>96.415000000000006</v>
      </c>
      <c r="ZA32">
        <f>SOFR3mo_PX[[#This Row],[Column677]]</f>
        <v>96.394999999999996</v>
      </c>
      <c r="ZB32">
        <f>SOFR3mo_PX[[#This Row],[Column678]]</f>
        <v>96.465000000000003</v>
      </c>
      <c r="ZC32">
        <f>SOFR3mo_PX[[#This Row],[Column679]]</f>
        <v>96.52</v>
      </c>
      <c r="ZD32">
        <f>SOFR3mo_PX[[#This Row],[Column680]]</f>
        <v>96.394999999999996</v>
      </c>
      <c r="ZE32">
        <f>SOFR3mo_PX[[#This Row],[Column681]]</f>
        <v>96.32</v>
      </c>
      <c r="ZF32">
        <f>SOFR3mo_PX[[#This Row],[Column682]]</f>
        <v>96.37</v>
      </c>
      <c r="ZG32">
        <f>SOFR3mo_PX[[#This Row],[Column683]]</f>
        <v>96.36</v>
      </c>
      <c r="ZH32">
        <f>SOFR3mo_PX[[#This Row],[Column684]]</f>
        <v>96.064999999999998</v>
      </c>
      <c r="ZI32">
        <f>SOFR3mo_PX[[#This Row],[Column685]]</f>
        <v>96.105000000000004</v>
      </c>
      <c r="ZJ32">
        <f>SOFR3mo_PX[[#This Row],[Column686]]</f>
        <v>96.02</v>
      </c>
      <c r="ZK32">
        <f>SOFR3mo_PX[[#This Row],[Column687]]</f>
        <v>96.034999999999997</v>
      </c>
      <c r="ZL32">
        <f>SOFR3mo_PX[[#This Row],[Column688]]</f>
        <v>96.064999999999998</v>
      </c>
      <c r="ZM32">
        <f>SOFR3mo_PX[[#This Row],[Column689]]</f>
        <v>96.07</v>
      </c>
      <c r="ZN32">
        <f>SOFR3mo_PX[[#This Row],[Column690]]</f>
        <v>96.05</v>
      </c>
      <c r="ZO32">
        <f>SOFR3mo_PX[[#This Row],[Column691]]</f>
        <v>96.01</v>
      </c>
      <c r="ZP32">
        <f>SOFR3mo_PX[[#This Row],[Column692]]</f>
        <v>96.04</v>
      </c>
      <c r="ZQ32">
        <f>SOFR3mo_PX[[#This Row],[Column693]]</f>
        <v>96.135000000000005</v>
      </c>
      <c r="ZR32">
        <f>SOFR3mo_PX[[#This Row],[Column694]]</f>
        <v>96.075000000000003</v>
      </c>
      <c r="ZS32">
        <f>SOFR3mo_PX[[#This Row],[Column695]]</f>
        <v>95.984999999999999</v>
      </c>
      <c r="ZT32">
        <f>SOFR3mo_PX[[#This Row],[Column696]]</f>
        <v>95.844999999999999</v>
      </c>
      <c r="ZU32">
        <f>SOFR3mo_PX[[#This Row],[Column697]]</f>
        <v>95.894999999999996</v>
      </c>
      <c r="ZV32">
        <f>SOFR3mo_PX[[#This Row],[Column698]]</f>
        <v>95.965000000000003</v>
      </c>
      <c r="ZW32">
        <f>SOFR3mo_PX[[#This Row],[Column699]]</f>
        <v>96.064999999999998</v>
      </c>
      <c r="ZX32">
        <f>SOFR3mo_PX[[#This Row],[Column700]]</f>
        <v>96.19</v>
      </c>
      <c r="ZY32">
        <f>SOFR3mo_PX[[#This Row],[Column701]]</f>
        <v>96.17</v>
      </c>
      <c r="ZZ32">
        <f>SOFR3mo_PX[[#This Row],[Column702]]</f>
        <v>96.185000000000002</v>
      </c>
      <c r="AAA32">
        <f>SOFR3mo_PX[[#This Row],[Column703]]</f>
        <v>96.23</v>
      </c>
      <c r="AAB32">
        <f>SOFR3mo_PX[[#This Row],[Column704]]</f>
        <v>96.22</v>
      </c>
      <c r="AAC32">
        <f>SOFR3mo_PX[[#This Row],[Column705]]</f>
        <v>96.18</v>
      </c>
      <c r="AAD32">
        <f>SOFR3mo_PX[[#This Row],[Column706]]</f>
        <v>96.13</v>
      </c>
      <c r="AAE32">
        <f>SOFR3mo_PX[[#This Row],[Column707]]</f>
        <v>96.23</v>
      </c>
      <c r="AAF32">
        <f>SOFR3mo_PX[[#This Row],[Column708]]</f>
        <v>96.275000000000006</v>
      </c>
      <c r="AAG32">
        <f>SOFR3mo_PX[[#This Row],[Column709]]</f>
        <v>96.32</v>
      </c>
      <c r="AAH32">
        <f>SOFR3mo_PX[[#This Row],[Column710]]</f>
        <v>96.454999999999998</v>
      </c>
      <c r="AAI32">
        <f>SOFR3mo_PX[[#This Row],[Column711]]</f>
        <v>96.39</v>
      </c>
      <c r="AAJ32">
        <f>SOFR3mo_PX[[#This Row],[Column712]]</f>
        <v>96.24</v>
      </c>
      <c r="AAK32">
        <f>SOFR3mo_PX[[#This Row],[Column713]]</f>
        <v>96.3</v>
      </c>
      <c r="AAL32">
        <f>SOFR3mo_PX[[#This Row],[Column714]]</f>
        <v>96.35</v>
      </c>
      <c r="AAM32">
        <f>SOFR3mo_PX[[#This Row],[Column715]]</f>
        <v>96.224999999999994</v>
      </c>
      <c r="AAN32">
        <f>SOFR3mo_PX[[#This Row],[Column716]]</f>
        <v>96.35</v>
      </c>
      <c r="AAO32">
        <f>SOFR3mo_PX[[#This Row],[Column717]]</f>
        <v>96.525000000000006</v>
      </c>
      <c r="AAP32">
        <f>SOFR3mo_PX[[#This Row],[Column718]]</f>
        <v>96.375</v>
      </c>
      <c r="AAQ32">
        <f>SOFR3mo_PX[[#This Row],[Column719]]</f>
        <v>96.55</v>
      </c>
      <c r="AAR32">
        <f>SOFR3mo_PX[[#This Row],[Column720]]</f>
        <v>96.47</v>
      </c>
      <c r="AAS32">
        <f>SOFR3mo_PX[[#This Row],[Column721]]</f>
        <v>96.56</v>
      </c>
      <c r="AAT32">
        <f>SOFR3mo_PX[[#This Row],[Column722]]</f>
        <v>96.564999999999998</v>
      </c>
      <c r="AAU32">
        <f>SOFR3mo_PX[[#This Row],[Column723]]</f>
        <v>96.59</v>
      </c>
      <c r="AAV32">
        <f>SOFR3mo_PX[[#This Row],[Column724]]</f>
        <v>96.67</v>
      </c>
      <c r="AAW32">
        <f>SOFR3mo_PX[[#This Row],[Column725]]</f>
        <v>96.64</v>
      </c>
      <c r="AAX32">
        <f>SOFR3mo_PX[[#This Row],[Column726]]</f>
        <v>96.614999999999995</v>
      </c>
      <c r="AAY32">
        <f>SOFR3mo_PX[[#This Row],[Column727]]</f>
        <v>96.674999999999997</v>
      </c>
      <c r="AAZ32">
        <f>SOFR3mo_PX[[#This Row],[Column728]]</f>
        <v>96.68</v>
      </c>
      <c r="ABA32">
        <f>SOFR3mo_PX[[#This Row],[Column729]]</f>
        <v>96.72</v>
      </c>
      <c r="ABB32">
        <f>SOFR3mo_PX[[#This Row],[Column730]]</f>
        <v>96.59</v>
      </c>
      <c r="ABC32">
        <f>SOFR3mo_PX[[#This Row],[Column731]]</f>
        <v>96.76</v>
      </c>
      <c r="ABD32">
        <f>SOFR3mo_PX[[#This Row],[Column732]]</f>
        <v>96.76</v>
      </c>
      <c r="ABE32">
        <f>SOFR3mo_PX[[#This Row],[Column733]]</f>
        <v>96.724999999999994</v>
      </c>
      <c r="ABF32">
        <f>SOFR3mo_PX[[#This Row],[Column734]]</f>
        <v>96.905000000000001</v>
      </c>
      <c r="ABG32">
        <f>SOFR3mo_PX[[#This Row],[Column735]]</f>
        <v>96.944999999999993</v>
      </c>
      <c r="ABH32">
        <f>SOFR3mo_PX[[#This Row],[Column736]]</f>
        <v>96.875</v>
      </c>
      <c r="ABI32">
        <f>SOFR3mo_PX[[#This Row],[Column737]]</f>
        <v>96.984999999999999</v>
      </c>
      <c r="ABJ32">
        <f>SOFR3mo_PX[[#This Row],[Column738]]</f>
        <v>97</v>
      </c>
      <c r="ABK32">
        <f>SOFR3mo_PX[[#This Row],[Column739]]</f>
        <v>96.91</v>
      </c>
      <c r="ABL32">
        <f>SOFR3mo_PX[[#This Row],[Column740]]</f>
        <v>96.99</v>
      </c>
      <c r="ABM32">
        <f>SOFR3mo_PX[[#This Row],[Column741]]</f>
        <v>97.004999999999995</v>
      </c>
      <c r="ABN32">
        <f>SOFR3mo_PX[[#This Row],[Column742]]</f>
        <v>97.02</v>
      </c>
      <c r="ABO32">
        <f>SOFR3mo_PX[[#This Row],[Column743]]</f>
        <v>97.144999999999996</v>
      </c>
      <c r="ABP32">
        <f>SOFR3mo_PX[[#This Row],[Column744]]</f>
        <v>97.135000000000005</v>
      </c>
      <c r="ABQ32">
        <f>SOFR3mo_PX[[#This Row],[Column745]]</f>
        <v>97.21</v>
      </c>
      <c r="ABR32">
        <f>SOFR3mo_PX[[#This Row],[Column746]]</f>
        <v>97.185000000000002</v>
      </c>
      <c r="ABS32">
        <f>SOFR3mo_PX[[#This Row],[Column747]]</f>
        <v>97.1</v>
      </c>
      <c r="ABT32">
        <f>SOFR3mo_PX[[#This Row],[Column748]]</f>
        <v>97.045000000000002</v>
      </c>
      <c r="ABU32">
        <f>SOFR3mo_PX[[#This Row],[Column749]]</f>
        <v>97.22</v>
      </c>
      <c r="ABV32">
        <f>SOFR3mo_PX[[#This Row],[Column750]]</f>
        <v>97.26</v>
      </c>
      <c r="ABW32">
        <f>SOFR3mo_PX[[#This Row],[Column751]]</f>
        <v>97.25</v>
      </c>
      <c r="ABX32">
        <f>SOFR3mo_PX[[#This Row],[Column752]]</f>
        <v>97.16</v>
      </c>
      <c r="ABY32">
        <f>SOFR3mo_PX[[#This Row],[Column753]]</f>
        <v>97.29</v>
      </c>
      <c r="ABZ32">
        <f>SOFR3mo_PX[[#This Row],[Column754]]</f>
        <v>97.22</v>
      </c>
      <c r="ACA32">
        <f>SOFR3mo_PX[[#This Row],[Column755]]</f>
        <v>97.2</v>
      </c>
      <c r="ACB32">
        <f>SOFR3mo_PX[[#This Row],[Column756]]</f>
        <v>97.23</v>
      </c>
      <c r="ACC32">
        <f>SOFR3mo_PX[[#This Row],[Column757]]</f>
        <v>97.16</v>
      </c>
      <c r="ACD32">
        <f>SOFR3mo_PX[[#This Row],[Column758]]</f>
        <v>97.12</v>
      </c>
      <c r="ACE32">
        <f>SOFR3mo_PX[[#This Row],[Column759]]</f>
        <v>97.075000000000003</v>
      </c>
      <c r="ACF32">
        <f>SOFR3mo_PX[[#This Row],[Column760]]</f>
        <v>97.03</v>
      </c>
      <c r="ACG32">
        <f>SOFR3mo_PX[[#This Row],[Column761]]</f>
        <v>96.995000000000005</v>
      </c>
      <c r="ACH32">
        <f>SOFR3mo_PX[[#This Row],[Column762]]</f>
        <v>97.064999999999998</v>
      </c>
      <c r="ACI32">
        <f>SOFR3mo_PX[[#This Row],[Column763]]</f>
        <v>96.96</v>
      </c>
      <c r="ACJ32">
        <f>SOFR3mo_PX[[#This Row],[Column764]]</f>
        <v>96.85</v>
      </c>
      <c r="ACK32">
        <f>SOFR3mo_PX[[#This Row],[Column765]]</f>
        <v>96.885000000000005</v>
      </c>
      <c r="ACL32">
        <f>SOFR3mo_PX[[#This Row],[Column766]]</f>
        <v>96.924999999999997</v>
      </c>
      <c r="ACM32">
        <f>SOFR3mo_PX[[#This Row],[Column767]]</f>
        <v>96.95</v>
      </c>
      <c r="ACN32">
        <f>SOFR3mo_PX[[#This Row],[Column768]]</f>
        <v>96.885000000000005</v>
      </c>
      <c r="ACO32">
        <f>SOFR3mo_PX[[#This Row],[Column769]]</f>
        <v>96.915000000000006</v>
      </c>
      <c r="ACP32">
        <f>SOFR3mo_PX[[#This Row],[Column770]]</f>
        <v>96.795000000000002</v>
      </c>
      <c r="ACQ32">
        <f>SOFR3mo_PX[[#This Row],[Column771]]</f>
        <v>96.74</v>
      </c>
      <c r="ACR32">
        <f>SOFR3mo_PX[[#This Row],[Column772]]</f>
        <v>96.61</v>
      </c>
      <c r="ACS32">
        <f>SOFR3mo_PX[[#This Row],[Column773]]</f>
        <v>96.694999999999993</v>
      </c>
      <c r="ACT32">
        <f>SOFR3mo_PX[[#This Row],[Column774]]</f>
        <v>96.81</v>
      </c>
      <c r="ACU32">
        <f>SOFR3mo_PX[[#This Row],[Column775]]</f>
        <v>96.894999999999996</v>
      </c>
      <c r="ACV32">
        <f>SOFR3mo_PX[[#This Row],[Column776]]</f>
        <v>96.82</v>
      </c>
      <c r="ACW32">
        <f>SOFR3mo_PX[[#This Row],[Column777]]</f>
        <v>96.82</v>
      </c>
      <c r="ACX32">
        <f>SOFR3mo_PX[[#This Row],[Column778]]</f>
        <v>96.79</v>
      </c>
      <c r="ACY32">
        <f>SOFR3mo_PX[[#This Row],[Column779]]</f>
        <v>96.674999999999997</v>
      </c>
      <c r="ACZ32">
        <f>SOFR3mo_PX[[#This Row],[Column780]]</f>
        <v>96.575000000000003</v>
      </c>
      <c r="ADA32">
        <f>SOFR3mo_PX[[#This Row],[Column781]]</f>
        <v>96.59</v>
      </c>
      <c r="ADB32">
        <f>SOFR3mo_PX[[#This Row],[Column782]]</f>
        <v>96.644999999999996</v>
      </c>
      <c r="ADC32">
        <f>SOFR3mo_PX[[#This Row],[Column783]]</f>
        <v>96.74</v>
      </c>
      <c r="ADD32">
        <f>SOFR3mo_PX[[#This Row],[Column784]]</f>
        <v>96.64</v>
      </c>
      <c r="ADE32">
        <f>SOFR3mo_PX[[#This Row],[Column785]]</f>
        <v>96.51</v>
      </c>
      <c r="ADF32">
        <f>SOFR3mo_PX[[#This Row],[Column786]]</f>
        <v>96.61</v>
      </c>
      <c r="ADG32">
        <f>SOFR3mo_PX[[#This Row],[Column787]]</f>
        <v>96.61</v>
      </c>
      <c r="ADH32">
        <f>SOFR3mo_PX[[#This Row],[Column788]]</f>
        <v>96.53</v>
      </c>
      <c r="ADI32">
        <f>SOFR3mo_PX[[#This Row],[Column789]]</f>
        <v>96.444999999999993</v>
      </c>
      <c r="ADJ32">
        <f>SOFR3mo_PX[[#This Row],[Column790]]</f>
        <v>96.41</v>
      </c>
      <c r="ADK32">
        <f>SOFR3mo_PX[[#This Row],[Column791]]</f>
        <v>96.49</v>
      </c>
      <c r="ADL32">
        <f>SOFR3mo_PX[[#This Row],[Column792]]</f>
        <v>96.694999999999993</v>
      </c>
      <c r="ADM32">
        <f>SOFR3mo_PX[[#This Row],[Column793]]</f>
        <v>96.75</v>
      </c>
      <c r="ADN32">
        <f>SOFR3mo_PX[[#This Row],[Column794]]</f>
        <v>96.75</v>
      </c>
      <c r="ADO32">
        <f>SOFR3mo_PX[[#This Row],[Column795]]</f>
        <v>96.805000000000007</v>
      </c>
      <c r="ADP32">
        <f>SOFR3mo_PX[[#This Row],[Column796]]</f>
        <v>96.704999999999998</v>
      </c>
      <c r="ADQ32">
        <f>SOFR3mo_PX[[#This Row],[Column797]]</f>
        <v>96.81</v>
      </c>
      <c r="ADR32">
        <f>SOFR3mo_PX[[#This Row],[Column798]]</f>
        <v>96.86</v>
      </c>
      <c r="ADS32">
        <f>SOFR3mo_PX[[#This Row],[Column799]]</f>
        <v>96.814999999999998</v>
      </c>
      <c r="ADT32">
        <f>SOFR3mo_PX[[#This Row],[Column800]]</f>
        <v>96.85</v>
      </c>
      <c r="ADU32">
        <f>SOFR3mo_PX[[#This Row],[Column801]]</f>
        <v>96.954999999999998</v>
      </c>
      <c r="ADV32">
        <f>SOFR3mo_PX[[#This Row],[Column802]]</f>
        <v>96.954999999999998</v>
      </c>
      <c r="ADW32">
        <f>SOFR3mo_PX[[#This Row],[Column803]]</f>
        <v>96.935000000000002</v>
      </c>
      <c r="ADX32">
        <f>SOFR3mo_PX[[#This Row],[Column804]]</f>
        <v>96.984999999999999</v>
      </c>
      <c r="ADY32">
        <f>SOFR3mo_PX[[#This Row],[Column805]]</f>
        <v>96.995000000000005</v>
      </c>
      <c r="ADZ32">
        <f>SOFR3mo_PX[[#This Row],[Column806]]</f>
        <v>96.98</v>
      </c>
      <c r="AEA32">
        <f>SOFR3mo_PX[[#This Row],[Column807]]</f>
        <v>97.04</v>
      </c>
      <c r="AEB32">
        <f>SOFR3mo_PX[[#This Row],[Column808]]</f>
        <v>96.915000000000006</v>
      </c>
      <c r="AEC32">
        <f>SOFR3mo_PX[[#This Row],[Column809]]</f>
        <v>96.875</v>
      </c>
      <c r="AED32">
        <f>SOFR3mo_PX[[#This Row],[Column810]]</f>
        <v>96.74</v>
      </c>
      <c r="AEE32">
        <f>SOFR3mo_PX[[#This Row],[Column811]]</f>
        <v>96.814999999999998</v>
      </c>
      <c r="AEF32">
        <f>SOFR3mo_PX[[#This Row],[Column812]]</f>
        <v>96.765000000000001</v>
      </c>
      <c r="AEG32">
        <f>SOFR3mo_PX[[#This Row],[Column813]]</f>
        <v>96.88</v>
      </c>
      <c r="AEH32">
        <f>SOFR3mo_PX[[#This Row],[Column814]]</f>
        <v>96.79</v>
      </c>
      <c r="AEI32">
        <f>SOFR3mo_PX[[#This Row],[Column815]]</f>
        <v>96.665000000000006</v>
      </c>
      <c r="AEJ32">
        <f>SOFR3mo_PX[[#This Row],[Column816]]</f>
        <v>96.564999999999998</v>
      </c>
      <c r="AEK32">
        <f>SOFR3mo_PX[[#This Row],[Column817]]</f>
        <v>96.545000000000002</v>
      </c>
      <c r="AEL32">
        <f>SOFR3mo_PX[[#This Row],[Column818]]</f>
        <v>96.66</v>
      </c>
      <c r="AEM32">
        <f>SOFR3mo_PX[[#This Row],[Column819]]</f>
        <v>96.844999999999999</v>
      </c>
      <c r="AEN32">
        <f>SOFR3mo_PX[[#This Row],[Column820]]</f>
        <v>96.875</v>
      </c>
      <c r="AEO32">
        <f>SOFR3mo_PX[[#This Row],[Column821]]</f>
        <v>96.81</v>
      </c>
      <c r="AEP32">
        <f>SOFR3mo_PX[[#This Row],[Column822]]</f>
        <v>96.954999999999998</v>
      </c>
      <c r="AEQ32">
        <f>SOFR3mo_PX[[#This Row],[Column823]]</f>
        <v>96.954999999999998</v>
      </c>
      <c r="AER32">
        <f>SOFR3mo_PX[[#This Row],[Column824]]</f>
        <v>97.02</v>
      </c>
      <c r="AES32">
        <f>SOFR3mo_PX[[#This Row],[Column825]]</f>
        <v>97.094999999999999</v>
      </c>
      <c r="AET32">
        <f>SOFR3mo_PX[[#This Row],[Column826]]</f>
        <v>97.075000000000003</v>
      </c>
      <c r="AEU32">
        <f>SOFR3mo_PX[[#This Row],[Column827]]</f>
        <v>96.99</v>
      </c>
      <c r="AEV32">
        <f>SOFR3mo_PX[[#This Row],[Column828]]</f>
        <v>96.954999999999998</v>
      </c>
      <c r="AEW32">
        <f>SOFR3mo_PX[[#This Row],[Column829]]</f>
        <v>97.01</v>
      </c>
      <c r="AEX32">
        <f>SOFR3mo_PX[[#This Row],[Column830]]</f>
        <v>96.915000000000006</v>
      </c>
      <c r="AEY32">
        <f>SOFR3mo_PX[[#This Row],[Column831]]</f>
        <v>96.95</v>
      </c>
      <c r="AEZ32">
        <f>SOFR3mo_PX[[#This Row],[Column832]]</f>
        <v>97.055000000000007</v>
      </c>
      <c r="AFA32">
        <f>SOFR3mo_PX[[#This Row],[Column833]]</f>
        <v>97.055000000000007</v>
      </c>
      <c r="AFB32">
        <f>SOFR3mo_PX[[#This Row],[Column834]]</f>
        <v>97.19</v>
      </c>
      <c r="AFC32">
        <f>SOFR3mo_PX[[#This Row],[Column835]]</f>
        <v>97.135000000000005</v>
      </c>
      <c r="AFD32">
        <f>SOFR3mo_PX[[#This Row],[Column836]]</f>
        <v>97.144999999999996</v>
      </c>
      <c r="AFE32">
        <f>SOFR3mo_PX[[#This Row],[Column837]]</f>
        <v>97.27</v>
      </c>
      <c r="AFF32">
        <f>SOFR3mo_PX[[#This Row],[Column838]]</f>
        <v>97.375</v>
      </c>
      <c r="AFG32">
        <f>SOFR3mo_PX[[#This Row],[Column839]]</f>
        <v>97.525000000000006</v>
      </c>
      <c r="AFH32">
        <f>SOFR3mo_PX[[#This Row],[Column840]]</f>
        <v>97.65</v>
      </c>
      <c r="AFI32">
        <f>SOFR3mo_PX[[#This Row],[Column841]]</f>
        <v>97.754999999999995</v>
      </c>
      <c r="AFJ32">
        <f>SOFR3mo_PX[[#This Row],[Column842]]</f>
        <v>97.775000000000006</v>
      </c>
      <c r="AFK32">
        <f>SOFR3mo_PX[[#This Row],[Column843]]</f>
        <v>97.82</v>
      </c>
      <c r="AFL32">
        <f>SOFR3mo_PX[[#This Row],[Column844]]</f>
        <v>97.78</v>
      </c>
      <c r="AFM32">
        <f>SOFR3mo_PX[[#This Row],[Column845]]</f>
        <v>97.73</v>
      </c>
      <c r="AFN32">
        <f>SOFR3mo_PX[[#This Row],[Column846]]</f>
        <v>97.66</v>
      </c>
      <c r="AFO32">
        <f>SOFR3mo_PX[[#This Row],[Column847]]</f>
        <v>97.64</v>
      </c>
      <c r="AFP32">
        <f>SOFR3mo_PX[[#This Row],[Column848]]</f>
        <v>97.775000000000006</v>
      </c>
      <c r="AFQ32">
        <f>SOFR3mo_PX[[#This Row],[Column849]]</f>
        <v>97.814999999999998</v>
      </c>
      <c r="AFR32">
        <f>SOFR3mo_PX[[#This Row],[Column850]]</f>
        <v>97.76</v>
      </c>
      <c r="AFS32">
        <f>SOFR3mo_PX[[#This Row],[Column851]]</f>
        <v>97.825000000000003</v>
      </c>
      <c r="AFT32">
        <f>SOFR3mo_PX[[#This Row],[Column852]]</f>
        <v>97.965000000000003</v>
      </c>
      <c r="AFU32">
        <f>SOFR3mo_PX[[#This Row],[Column853]]</f>
        <v>97.89</v>
      </c>
      <c r="AFV32">
        <f>SOFR3mo_PX[[#This Row],[Column854]]</f>
        <v>97.87</v>
      </c>
      <c r="AFW32">
        <f>SOFR3mo_PX[[#This Row],[Column855]]</f>
        <v>97.875</v>
      </c>
      <c r="AFX32">
        <f>SOFR3mo_PX[[#This Row],[Column856]]</f>
        <v>97.9</v>
      </c>
      <c r="AFY32">
        <f>SOFR3mo_PX[[#This Row],[Column857]]</f>
        <v>98.06</v>
      </c>
      <c r="AFZ32">
        <f>SOFR3mo_PX[[#This Row],[Column858]]</f>
        <v>98.07</v>
      </c>
      <c r="AGA32">
        <f>SOFR3mo_PX[[#This Row],[Column859]]</f>
        <v>98.144999999999996</v>
      </c>
      <c r="AGB32">
        <f>SOFR3mo_PX[[#This Row],[Column860]]</f>
        <v>98.24</v>
      </c>
      <c r="AGC32">
        <f>SOFR3mo_PX[[#This Row],[Column861]]</f>
        <v>98.355000000000004</v>
      </c>
      <c r="AGD32">
        <f>SOFR3mo_PX[[#This Row],[Column862]]</f>
        <v>98.33</v>
      </c>
      <c r="AGE32">
        <f>SOFR3mo_PX[[#This Row],[Column863]]</f>
        <v>98.194999999999993</v>
      </c>
      <c r="AGF32">
        <f>SOFR3mo_PX[[#This Row],[Column864]]</f>
        <v>98.15</v>
      </c>
      <c r="AGG32">
        <f>SOFR3mo_PX[[#This Row],[Column865]]</f>
        <v>98.295000000000002</v>
      </c>
      <c r="AGH32">
        <f>SOFR3mo_PX[[#This Row],[Column866]]</f>
        <v>98.185000000000002</v>
      </c>
      <c r="AGI32">
        <f>SOFR3mo_PX[[#This Row],[Column867]]</f>
        <v>98.045000000000002</v>
      </c>
      <c r="AGJ32">
        <f>SOFR3mo_PX[[#This Row],[Column868]]</f>
        <v>98.055000000000007</v>
      </c>
      <c r="AGK32">
        <f>SOFR3mo_PX[[#This Row],[Column869]]</f>
        <v>98.08</v>
      </c>
      <c r="AGL32">
        <f>SOFR3mo_PX[[#This Row],[Column870]]</f>
        <v>98.12</v>
      </c>
      <c r="AGM32">
        <f>SOFR3mo_PX[[#This Row],[Column871]]</f>
        <v>98.11</v>
      </c>
      <c r="AGN32">
        <f>SOFR3mo_PX[[#This Row],[Column872]]</f>
        <v>98.11</v>
      </c>
      <c r="AGO32">
        <f>SOFR3mo_PX[[#This Row],[Column873]]</f>
        <v>98.064999999999998</v>
      </c>
      <c r="AGP32">
        <f>SOFR3mo_PX[[#This Row],[Column874]]</f>
        <v>97.974999999999994</v>
      </c>
      <c r="AGQ32">
        <f>SOFR3mo_PX[[#This Row],[Column875]]</f>
        <v>97.984999999999999</v>
      </c>
      <c r="AGR32">
        <f>SOFR3mo_PX[[#This Row],[Column876]]</f>
        <v>98.07</v>
      </c>
      <c r="AGS32">
        <f>SOFR3mo_PX[[#This Row],[Column877]]</f>
        <v>98.114999999999995</v>
      </c>
      <c r="AGT32">
        <f>SOFR3mo_PX[[#This Row],[Column878]]</f>
        <v>98.004999999999995</v>
      </c>
      <c r="AGU32">
        <f>SOFR3mo_PX[[#This Row],[Column879]]</f>
        <v>98.075000000000003</v>
      </c>
      <c r="AGV32">
        <f>SOFR3mo_PX[[#This Row],[Column880]]</f>
        <v>98.034999999999997</v>
      </c>
      <c r="AGW32">
        <f>SOFR3mo_PX[[#This Row],[Column881]]</f>
        <v>98.075000000000003</v>
      </c>
      <c r="AGX32">
        <f>SOFR3mo_PX[[#This Row],[Column882]]</f>
        <v>98.06</v>
      </c>
      <c r="AGY32">
        <f>SOFR3mo_PX[[#This Row],[Column883]]</f>
        <v>98.17</v>
      </c>
      <c r="AGZ32">
        <f>SOFR3mo_PX[[#This Row],[Column884]]</f>
        <v>98.204999999999998</v>
      </c>
      <c r="AHA32">
        <f>SOFR3mo_PX[[#This Row],[Column885]]</f>
        <v>98.17</v>
      </c>
      <c r="AHB32">
        <f>SOFR3mo_PX[[#This Row],[Column886]]</f>
        <v>98.18</v>
      </c>
      <c r="AHC32">
        <f>SOFR3mo_PX[[#This Row],[Column887]]</f>
        <v>98.19</v>
      </c>
      <c r="AHD32">
        <f>SOFR3mo_PX[[#This Row],[Column888]]</f>
        <v>98.15</v>
      </c>
      <c r="AHE32">
        <f>SOFR3mo_PX[[#This Row],[Column889]]</f>
        <v>98.045000000000002</v>
      </c>
      <c r="AHF32">
        <f>SOFR3mo_PX[[#This Row],[Column890]]</f>
        <v>98.11</v>
      </c>
      <c r="AHG32">
        <f>SOFR3mo_PX[[#This Row],[Column891]]</f>
        <v>98.174999999999997</v>
      </c>
      <c r="AHH32">
        <f>SOFR3mo_PX[[#This Row],[Column892]]</f>
        <v>98.16</v>
      </c>
      <c r="AHI32">
        <f>SOFR3mo_PX[[#This Row],[Column893]]</f>
        <v>98.09</v>
      </c>
      <c r="AHJ32">
        <f>SOFR3mo_PX[[#This Row],[Column894]]</f>
        <v>98.08</v>
      </c>
      <c r="AHK32">
        <f>SOFR3mo_PX[[#This Row],[Column895]]</f>
        <v>98.025000000000006</v>
      </c>
      <c r="AHL32">
        <f>SOFR3mo_PX[[#This Row],[Column896]]</f>
        <v>98.13</v>
      </c>
      <c r="AHM32">
        <f>SOFR3mo_PX[[#This Row],[Column897]]</f>
        <v>98.13</v>
      </c>
      <c r="AHN32">
        <f>SOFR3mo_PX[[#This Row],[Column898]]</f>
        <v>98.204999999999998</v>
      </c>
      <c r="AHO32">
        <f>SOFR3mo_PX[[#This Row],[Column899]]</f>
        <v>98.174999999999997</v>
      </c>
      <c r="AHP32">
        <f>SOFR3mo_PX[[#This Row],[Column900]]</f>
        <v>98.13</v>
      </c>
      <c r="AHQ32">
        <f>SOFR3mo_PX[[#This Row],[Column901]]</f>
        <v>98.08</v>
      </c>
      <c r="AHR32">
        <f>SOFR3mo_PX[[#This Row],[Column902]]</f>
        <v>98.075000000000003</v>
      </c>
      <c r="AHS32">
        <f>SOFR3mo_PX[[#This Row],[Column903]]</f>
        <v>98.09</v>
      </c>
      <c r="AHT32">
        <f>SOFR3mo_PX[[#This Row],[Column904]]</f>
        <v>98.114999999999995</v>
      </c>
      <c r="AHU32">
        <f>SOFR3mo_PX[[#This Row],[Column905]]</f>
        <v>98.13</v>
      </c>
      <c r="AHV32">
        <f>SOFR3mo_PX[[#This Row],[Column906]]</f>
        <v>98.19</v>
      </c>
      <c r="AHW32">
        <f>SOFR3mo_PX[[#This Row],[Column907]]</f>
        <v>98.36</v>
      </c>
      <c r="AHX32">
        <f>SOFR3mo_PX[[#This Row],[Column908]]</f>
        <v>98.344999999999999</v>
      </c>
      <c r="AHY32">
        <f>SOFR3mo_PX[[#This Row],[Column909]]</f>
        <v>98.334999999999994</v>
      </c>
      <c r="AHZ32">
        <f>SOFR3mo_PX[[#This Row],[Column910]]</f>
        <v>98.43</v>
      </c>
      <c r="AIA32">
        <f>SOFR3mo_PX[[#This Row],[Column911]]</f>
        <v>98.4</v>
      </c>
      <c r="AIB32">
        <f>SOFR3mo_PX[[#This Row],[Column912]]</f>
        <v>98.364999999999995</v>
      </c>
      <c r="AIC32">
        <f>SOFR3mo_PX[[#This Row],[Column913]]</f>
        <v>98.364999999999995</v>
      </c>
      <c r="AID32">
        <f>SOFR3mo_PX[[#This Row],[Column914]]</f>
        <v>98.39</v>
      </c>
      <c r="AIE32">
        <f>SOFR3mo_PX[[#This Row],[Column915]]</f>
        <v>98.35</v>
      </c>
      <c r="AIF32">
        <f>SOFR3mo_PX[[#This Row],[Column916]]</f>
        <v>98.444999999999993</v>
      </c>
      <c r="AIG32">
        <f>SOFR3mo_PX[[#This Row],[Column917]]</f>
        <v>98.53</v>
      </c>
      <c r="AIH32">
        <f>SOFR3mo_PX[[#This Row],[Column918]]</f>
        <v>98.49</v>
      </c>
      <c r="AII32">
        <f>SOFR3mo_PX[[#This Row],[Column919]]</f>
        <v>98.47</v>
      </c>
      <c r="AIJ32">
        <f>SOFR3mo_PX[[#This Row],[Column920]]</f>
        <v>98.44</v>
      </c>
      <c r="AIK32">
        <f>SOFR3mo_PX[[#This Row],[Column921]]</f>
        <v>98.435000000000002</v>
      </c>
      <c r="AIL32">
        <f>SOFR3mo_PX[[#This Row],[Column922]]</f>
        <v>98.37</v>
      </c>
      <c r="AIM32">
        <f>SOFR3mo_PX[[#This Row],[Column923]]</f>
        <v>98.394999999999996</v>
      </c>
      <c r="AIN32">
        <f>SOFR3mo_PX[[#This Row],[Column924]]</f>
        <v>98.344999999999999</v>
      </c>
      <c r="AIO32">
        <f>SOFR3mo_PX[[#This Row],[Column925]]</f>
        <v>98.37</v>
      </c>
      <c r="AIP32">
        <f>SOFR3mo_PX[[#This Row],[Column926]]</f>
        <v>98.4</v>
      </c>
      <c r="AIQ32">
        <f>SOFR3mo_PX[[#This Row],[Column927]]</f>
        <v>98.545000000000002</v>
      </c>
      <c r="AIR32">
        <f>SOFR3mo_PX[[#This Row],[Column928]]</f>
        <v>98.39</v>
      </c>
      <c r="AIS32">
        <f>SOFR3mo_PX[[#This Row],[Column929]]</f>
        <v>98.35</v>
      </c>
      <c r="AIT32">
        <f>SOFR3mo_PX[[#This Row],[Column930]]</f>
        <v>98.284999999999997</v>
      </c>
      <c r="AIU32">
        <f>SOFR3mo_PX[[#This Row],[Column931]]</f>
        <v>98.17</v>
      </c>
      <c r="AIV32">
        <f>SOFR3mo_PX[[#This Row],[Column932]]</f>
        <v>98.3</v>
      </c>
      <c r="AIW32">
        <f>SOFR3mo_PX[[#This Row],[Column933]]</f>
        <v>98.125</v>
      </c>
      <c r="AIX32">
        <f>SOFR3mo_PX[[#This Row],[Column934]]</f>
        <v>98.125</v>
      </c>
      <c r="AIY32">
        <f>SOFR3mo_PX[[#This Row],[Column935]]</f>
        <v>98.084999999999994</v>
      </c>
      <c r="AIZ32">
        <f>SOFR3mo_PX[[#This Row],[Column936]]</f>
        <v>98.155000000000001</v>
      </c>
      <c r="AJA32">
        <f>SOFR3mo_PX[[#This Row],[Column937]]</f>
        <v>98.26</v>
      </c>
      <c r="AJB32">
        <f>SOFR3mo_PX[[#This Row],[Column938]]</f>
        <v>98.194999999999993</v>
      </c>
      <c r="AJC32">
        <f>SOFR3mo_PX[[#This Row],[Column939]]</f>
        <v>98.17</v>
      </c>
      <c r="AJD32">
        <f>SOFR3mo_PX[[#This Row],[Column940]]</f>
        <v>98.144999999999996</v>
      </c>
      <c r="AJE32">
        <f>SOFR3mo_PX[[#This Row],[Column941]]</f>
        <v>98.185000000000002</v>
      </c>
      <c r="AJF32">
        <f>SOFR3mo_PX[[#This Row],[Column942]]</f>
        <v>98.21</v>
      </c>
      <c r="AJG32">
        <f>SOFR3mo_PX[[#This Row],[Column943]]</f>
        <v>98.224999999999994</v>
      </c>
      <c r="AJH32">
        <f>SOFR3mo_PX[[#This Row],[Column944]]</f>
        <v>98.24</v>
      </c>
      <c r="AJI32">
        <f>SOFR3mo_PX[[#This Row],[Column945]]</f>
        <v>98.284999999999997</v>
      </c>
      <c r="AJJ32">
        <f>SOFR3mo_PX[[#This Row],[Column946]]</f>
        <v>98.185000000000002</v>
      </c>
      <c r="AJK32">
        <f>SOFR3mo_PX[[#This Row],[Column947]]</f>
        <v>98.21</v>
      </c>
      <c r="AJL32">
        <f>SOFR3mo_PX[[#This Row],[Column948]]</f>
        <v>98.114999999999995</v>
      </c>
      <c r="AJM32">
        <f>SOFR3mo_PX[[#This Row],[Column949]]</f>
        <v>98.084999999999994</v>
      </c>
      <c r="AJN32">
        <f>SOFR3mo_PX[[#This Row],[Column950]]</f>
        <v>98.105000000000004</v>
      </c>
      <c r="AJO32">
        <f>SOFR3mo_PX[[#This Row],[Column951]]</f>
        <v>98.14</v>
      </c>
      <c r="AJP32">
        <f>SOFR3mo_PX[[#This Row],[Column952]]</f>
        <v>98.18</v>
      </c>
      <c r="AJQ32">
        <f>SOFR3mo_PX[[#This Row],[Column953]]</f>
        <v>98.15</v>
      </c>
      <c r="AJR32">
        <f>SOFR3mo_PX[[#This Row],[Column954]]</f>
        <v>98.17</v>
      </c>
      <c r="AJS32">
        <f>SOFR3mo_PX[[#This Row],[Column955]]</f>
        <v>97.984999999999999</v>
      </c>
      <c r="AJT32">
        <f>SOFR3mo_PX[[#This Row],[Column956]]</f>
        <v>97.974999999999994</v>
      </c>
      <c r="AJU32">
        <f>SOFR3mo_PX[[#This Row],[Column957]]</f>
        <v>97.935000000000002</v>
      </c>
      <c r="AJV32">
        <f>SOFR3mo_PX[[#This Row],[Column958]]</f>
        <v>97.88</v>
      </c>
      <c r="AJW32">
        <f>SOFR3mo_PX[[#This Row],[Column959]]</f>
        <v>97.915000000000006</v>
      </c>
      <c r="AJX32">
        <f>SOFR3mo_PX[[#This Row],[Column960]]</f>
        <v>97.944999999999993</v>
      </c>
      <c r="AJY32">
        <f>SOFR3mo_PX[[#This Row],[Column961]]</f>
        <v>98.06</v>
      </c>
      <c r="AJZ32">
        <f>SOFR3mo_PX[[#This Row],[Column962]]</f>
        <v>98.03</v>
      </c>
      <c r="AKA32">
        <f>SOFR3mo_PX[[#This Row],[Column963]]</f>
        <v>98.084999999999994</v>
      </c>
      <c r="AKB32">
        <f>SOFR3mo_PX[[#This Row],[Column964]]</f>
        <v>98.045000000000002</v>
      </c>
      <c r="AKC32">
        <f>SOFR3mo_PX[[#This Row],[Column965]]</f>
        <v>97.915000000000006</v>
      </c>
      <c r="AKD32">
        <f>SOFR3mo_PX[[#This Row],[Column966]]</f>
        <v>97.82</v>
      </c>
      <c r="AKE32">
        <f>SOFR3mo_PX[[#This Row],[Column967]]</f>
        <v>97.814999999999998</v>
      </c>
      <c r="AKF32">
        <f>SOFR3mo_PX[[#This Row],[Column968]]</f>
        <v>97.864999999999995</v>
      </c>
      <c r="AKG32">
        <f>SOFR3mo_PX[[#This Row],[Column969]]</f>
        <v>97.924999999999997</v>
      </c>
      <c r="AKH32">
        <f>SOFR3mo_PX[[#This Row],[Column970]]</f>
        <v>97.905000000000001</v>
      </c>
      <c r="AKI32">
        <f>SOFR3mo_PX[[#This Row],[Column971]]</f>
        <v>97.954999999999998</v>
      </c>
      <c r="AKJ32">
        <f>SOFR3mo_PX[[#This Row],[Column972]]</f>
        <v>97.93</v>
      </c>
      <c r="AKK32">
        <f>SOFR3mo_PX[[#This Row],[Column973]]</f>
        <v>97.88</v>
      </c>
      <c r="AKL32">
        <f>SOFR3mo_PX[[#This Row],[Column974]]</f>
        <v>97.875</v>
      </c>
      <c r="AKM32">
        <f>SOFR3mo_PX[[#This Row],[Column975]]</f>
        <v>97.915000000000006</v>
      </c>
      <c r="AKN32">
        <f>SOFR3mo_PX[[#This Row],[Column976]]</f>
        <v>98.02</v>
      </c>
      <c r="AKO32">
        <f>SOFR3mo_PX[[#This Row],[Column977]]</f>
        <v>98.07</v>
      </c>
      <c r="AKP32">
        <f>SOFR3mo_PX[[#This Row],[Column978]]</f>
        <v>98.15</v>
      </c>
      <c r="AKQ32">
        <f>SOFR3mo_PX[[#This Row],[Column979]]</f>
        <v>98.245000000000005</v>
      </c>
      <c r="AKR32">
        <f>SOFR3mo_PX[[#This Row],[Column980]]</f>
        <v>98.16</v>
      </c>
      <c r="AKS32">
        <f>SOFR3mo_PX[[#This Row],[Column981]]</f>
        <v>98.165000000000006</v>
      </c>
      <c r="AKT32">
        <f>SOFR3mo_PX[[#This Row],[Column982]]</f>
        <v>98.09</v>
      </c>
      <c r="AKU32">
        <f>SOFR3mo_PX[[#This Row],[Column983]]</f>
        <v>98.16</v>
      </c>
      <c r="AKV32">
        <f>SOFR3mo_PX[[#This Row],[Column984]]</f>
        <v>98.2</v>
      </c>
      <c r="AKW32">
        <f>SOFR3mo_PX[[#This Row],[Column985]]</f>
        <v>98.26</v>
      </c>
      <c r="AKX32">
        <f>SOFR3mo_PX[[#This Row],[Column986]]</f>
        <v>98.18</v>
      </c>
      <c r="AKY32">
        <f>SOFR3mo_PX[[#This Row],[Column987]]</f>
        <v>98.15</v>
      </c>
      <c r="AKZ32">
        <f>SOFR3mo_PX[[#This Row],[Column988]]</f>
        <v>98.224999999999994</v>
      </c>
      <c r="ALA32">
        <f>SOFR3mo_PX[[#This Row],[Column989]]</f>
        <v>98.185000000000002</v>
      </c>
      <c r="ALB32">
        <f>SOFR3mo_PX[[#This Row],[Column990]]</f>
        <v>98.135000000000005</v>
      </c>
      <c r="ALC32">
        <f>SOFR3mo_PX[[#This Row],[Column991]]</f>
        <v>98.185000000000002</v>
      </c>
      <c r="ALD32">
        <f>SOFR3mo_PX[[#This Row],[Column992]]</f>
        <v>98.185000000000002</v>
      </c>
      <c r="ALE32">
        <f>SOFR3mo_PX[[#This Row],[Column993]]</f>
        <v>98.245000000000005</v>
      </c>
      <c r="ALF32">
        <f>SOFR3mo_PX[[#This Row],[Column994]]</f>
        <v>98.234999999999999</v>
      </c>
      <c r="ALG32">
        <f>SOFR3mo_PX[[#This Row],[Column995]]</f>
        <v>98.22</v>
      </c>
      <c r="ALH32">
        <f>SOFR3mo_PX[[#This Row],[Column996]]</f>
        <v>98.265000000000001</v>
      </c>
      <c r="ALI32">
        <f>SOFR3mo_PX[[#This Row],[Column997]]</f>
        <v>98.26</v>
      </c>
      <c r="ALJ32">
        <f>SOFR3mo_PX[[#This Row],[Column998]]</f>
        <v>98.23</v>
      </c>
      <c r="ALK32">
        <f>SOFR3mo_PX[[#This Row],[Column999]]</f>
        <v>98.24</v>
      </c>
      <c r="ALL32">
        <f>SOFR3mo_PX[[#This Row],[Column1000]]</f>
        <v>98.314999999999998</v>
      </c>
      <c r="ALM32">
        <f>SOFR3mo_PX[[#This Row],[Column1001]]</f>
        <v>98.37</v>
      </c>
      <c r="ALN32">
        <f>SOFR3mo_PX[[#This Row],[Column1002]]</f>
        <v>98.36</v>
      </c>
      <c r="ALO32">
        <f>SOFR3mo_PX[[#This Row],[Column1003]]</f>
        <v>98.385000000000005</v>
      </c>
      <c r="ALP32">
        <f>SOFR3mo_PX[[#This Row],[Column1004]]</f>
        <v>98.334999999999994</v>
      </c>
      <c r="ALQ32">
        <f>SOFR3mo_PX[[#This Row],[Column1005]]</f>
        <v>98.375</v>
      </c>
      <c r="ALR32">
        <f>SOFR3mo_PX[[#This Row],[Column1006]]</f>
        <v>98.38</v>
      </c>
      <c r="ALS32">
        <f>SOFR3mo_PX[[#This Row],[Column1007]]</f>
        <v>98.33</v>
      </c>
      <c r="ALT32">
        <f>SOFR3mo_PX[[#This Row],[Column1008]]</f>
        <v>98.234999999999999</v>
      </c>
      <c r="ALU32">
        <f>SOFR3mo_PX[[#This Row],[Column1009]]</f>
        <v>98.254999999999995</v>
      </c>
      <c r="ALV32">
        <f>SOFR3mo_PX[[#This Row],[Column1010]]</f>
        <v>98.275000000000006</v>
      </c>
      <c r="ALW32">
        <f>SOFR3mo_PX[[#This Row],[Column1011]]</f>
        <v>98.29</v>
      </c>
      <c r="ALX32">
        <f>SOFR3mo_PX[[#This Row],[Column1012]]</f>
        <v>98.325000000000003</v>
      </c>
      <c r="ALY32">
        <f>SOFR3mo_PX[[#This Row],[Column1013]]</f>
        <v>98.42</v>
      </c>
      <c r="ALZ32">
        <f>SOFR3mo_PX[[#This Row],[Column1014]]</f>
        <v>98.424999999999997</v>
      </c>
      <c r="AMA32">
        <f>SOFR3mo_PX[[#This Row],[Column1015]]</f>
        <v>98.42</v>
      </c>
      <c r="AMB32">
        <f>SOFR3mo_PX[[#This Row],[Column1016]]</f>
        <v>98.424999999999997</v>
      </c>
      <c r="AMC32">
        <f>SOFR3mo_PX[[#This Row],[Column1017]]</f>
        <v>98.33</v>
      </c>
      <c r="AMD32">
        <f>SOFR3mo_PX[[#This Row],[Column1018]]</f>
        <v>98.31</v>
      </c>
      <c r="AME32">
        <f>SOFR3mo_PX[[#This Row],[Column1019]]</f>
        <v>98.334999999999994</v>
      </c>
      <c r="AMF32">
        <f>SOFR3mo_PX[[#This Row],[Column1020]]</f>
        <v>98.355000000000004</v>
      </c>
      <c r="AMG32">
        <f>SOFR3mo_PX[[#This Row],[Column1021]]</f>
        <v>98.32</v>
      </c>
      <c r="AMH32">
        <f>SOFR3mo_PX[[#This Row],[Column1022]]</f>
        <v>98.3</v>
      </c>
      <c r="AMI32">
        <f>SOFR3mo_PX[[#This Row],[Column1023]]</f>
        <v>98.325000000000003</v>
      </c>
      <c r="AMJ32">
        <f>SOFR3mo_PX[[#This Row],[Column1024]]</f>
        <v>98.32</v>
      </c>
      <c r="AMK32">
        <f>SOFR3mo_PX[[#This Row],[Column1025]]</f>
        <v>98.435000000000002</v>
      </c>
      <c r="AML32">
        <f>SOFR3mo_PX[[#This Row],[Column1026]]</f>
        <v>98.525000000000006</v>
      </c>
      <c r="AMM32">
        <f>SOFR3mo_PX[[#This Row],[Column1027]]</f>
        <v>98.344999999999999</v>
      </c>
      <c r="AMN32">
        <f>SOFR3mo_PX[[#This Row],[Column1028]]</f>
        <v>98.325000000000003</v>
      </c>
      <c r="AMO32">
        <f>SOFR3mo_PX[[#This Row],[Column1029]]</f>
        <v>98.22</v>
      </c>
      <c r="AMP32">
        <f>SOFR3mo_PX[[#This Row],[Column1030]]</f>
        <v>98.13</v>
      </c>
      <c r="AMQ32">
        <f>SOFR3mo_PX[[#This Row],[Column1031]]</f>
        <v>98.194999999999993</v>
      </c>
      <c r="AMR32">
        <f>SOFR3mo_PX[[#This Row],[Column1032]]</f>
        <v>98.19</v>
      </c>
      <c r="AMS32">
        <f>SOFR3mo_PX[[#This Row],[Column1033]]</f>
        <v>98.284999999999997</v>
      </c>
      <c r="AMT32">
        <f>SOFR3mo_PX[[#This Row],[Column1034]]</f>
        <v>98.27</v>
      </c>
      <c r="AMU32">
        <f>SOFR3mo_PX[[#This Row],[Column1035]]</f>
        <v>98.215000000000003</v>
      </c>
      <c r="AMV32">
        <f>SOFR3mo_PX[[#This Row],[Column1036]]</f>
        <v>98.13</v>
      </c>
      <c r="AMW32">
        <f>SOFR3mo_PX[[#This Row],[Column1037]]</f>
        <v>98.13</v>
      </c>
      <c r="AMX32">
        <f>SOFR3mo_PX[[#This Row],[Column1038]]</f>
        <v>98.064999999999998</v>
      </c>
      <c r="AMY32">
        <f>SOFR3mo_PX[[#This Row],[Column1039]]</f>
        <v>98.1</v>
      </c>
      <c r="AMZ32">
        <f>SOFR3mo_PX[[#This Row],[Column1040]]</f>
        <v>98.02</v>
      </c>
      <c r="ANA32">
        <f>SOFR3mo_PX[[#This Row],[Column1041]]</f>
        <v>98.01</v>
      </c>
      <c r="ANB32">
        <f>SOFR3mo_PX[[#This Row],[Column1042]]</f>
        <v>97.924999999999997</v>
      </c>
      <c r="ANC32">
        <f>SOFR3mo_PX[[#This Row],[Column1043]]</f>
        <v>97.97</v>
      </c>
      <c r="AND32">
        <f>SOFR3mo_PX[[#This Row],[Column1044]]</f>
        <v>97.96</v>
      </c>
      <c r="ANE32">
        <f>SOFR3mo_PX[[#This Row],[Column1045]]</f>
        <v>97.995000000000005</v>
      </c>
      <c r="ANF32">
        <f>SOFR3mo_PX[[#This Row],[Column1046]]</f>
        <v>97.99</v>
      </c>
      <c r="ANG32">
        <f>SOFR3mo_PX[[#This Row],[Column1047]]</f>
        <v>98.05</v>
      </c>
      <c r="ANH32">
        <f>SOFR3mo_PX[[#This Row],[Column1048]]</f>
        <v>97.944999999999993</v>
      </c>
      <c r="ANI32">
        <f>SOFR3mo_PX[[#This Row],[Column1049]]</f>
        <v>97.805000000000007</v>
      </c>
      <c r="ANJ32">
        <f>SOFR3mo_PX[[#This Row],[Column1050]]</f>
        <v>97.86</v>
      </c>
      <c r="ANK32">
        <f>SOFR3mo_PX[[#This Row],[Column1051]]</f>
        <v>97.844999999999999</v>
      </c>
      <c r="ANL32">
        <f>SOFR3mo_PX[[#This Row],[Column1052]]</f>
        <v>97.784999999999997</v>
      </c>
      <c r="ANM32">
        <f>SOFR3mo_PX[[#This Row],[Column1053]]</f>
        <v>97.805000000000007</v>
      </c>
      <c r="ANN32">
        <f>SOFR3mo_PX[[#This Row],[Column1054]]</f>
        <v>97.77</v>
      </c>
      <c r="ANO32">
        <f>SOFR3mo_PX[[#This Row],[Column1055]]</f>
        <v>97.72</v>
      </c>
      <c r="ANP32">
        <f>SOFR3mo_PX[[#This Row],[Column1056]]</f>
        <v>97.674999999999997</v>
      </c>
      <c r="ANQ32">
        <f>SOFR3mo_PX[[#This Row],[Column1057]]</f>
        <v>97.665000000000006</v>
      </c>
      <c r="ANR32">
        <f>SOFR3mo_PX[[#This Row],[Column1058]]</f>
        <v>97.57</v>
      </c>
      <c r="ANS32">
        <f>SOFR3mo_PX[[#This Row],[Column1059]]</f>
        <v>97.62</v>
      </c>
      <c r="ANT32">
        <f>SOFR3mo_PX[[#This Row],[Column1060]]</f>
        <v>97.584999999999994</v>
      </c>
      <c r="ANU32">
        <f>SOFR3mo_PX[[#This Row],[Column1061]]</f>
        <v>97.63</v>
      </c>
      <c r="ANV32">
        <f>SOFR3mo_PX[[#This Row],[Column1062]]</f>
        <v>97.63</v>
      </c>
      <c r="ANW32">
        <f>SOFR3mo_PX[[#This Row],[Column1063]]</f>
        <v>97.64</v>
      </c>
      <c r="ANX32">
        <f>SOFR3mo_PX[[#This Row],[Column1064]]</f>
        <v>97.69</v>
      </c>
      <c r="ANY32">
        <f>SOFR3mo_PX[[#This Row],[Column1065]]</f>
        <v>97.71</v>
      </c>
      <c r="ANZ32">
        <f>SOFR3mo_PX[[#This Row],[Column1066]]</f>
        <v>97.66</v>
      </c>
      <c r="AOA32">
        <f>SOFR3mo_PX[[#This Row],[Column1067]]</f>
        <v>97.62</v>
      </c>
      <c r="AOB32">
        <f>SOFR3mo_PX[[#This Row],[Column1068]]</f>
        <v>97.625</v>
      </c>
      <c r="AOC32">
        <f>SOFR3mo_PX[[#This Row],[Column1069]]</f>
        <v>97.564999999999998</v>
      </c>
      <c r="AOD32">
        <f>SOFR3mo_PX[[#This Row],[Column1070]]</f>
        <v>97.605000000000004</v>
      </c>
      <c r="AOE32">
        <f>SOFR3mo_PX[[#This Row],[Column1071]]</f>
        <v>97.61</v>
      </c>
      <c r="AOF32">
        <f>SOFR3mo_PX[[#This Row],[Column1072]]</f>
        <v>97.62</v>
      </c>
      <c r="AOG32">
        <f>SOFR3mo_PX[[#This Row],[Column1073]]</f>
        <v>97.575000000000003</v>
      </c>
      <c r="AOH32">
        <f>SOFR3mo_PX[[#This Row],[Column1074]]</f>
        <v>97.52</v>
      </c>
      <c r="AOI32">
        <f>SOFR3mo_PX[[#This Row],[Column1075]]</f>
        <v>97.62</v>
      </c>
      <c r="AOJ32">
        <f>SOFR3mo_PX[[#This Row],[Column1076]]</f>
        <v>97.644999999999996</v>
      </c>
      <c r="AOK32">
        <f>SOFR3mo_PX[[#This Row],[Column1077]]</f>
        <v>97.674999999999997</v>
      </c>
      <c r="AOL32">
        <f>SOFR3mo_PX[[#This Row],[Column1078]]</f>
        <v>97.69</v>
      </c>
      <c r="AOM32">
        <f>SOFR3mo_PX[[#This Row],[Column1079]]</f>
        <v>97.665000000000006</v>
      </c>
      <c r="AON32">
        <f>SOFR3mo_PX[[#This Row],[Column1080]]</f>
        <v>97.64</v>
      </c>
      <c r="AOO32">
        <f>SOFR3mo_PX[[#This Row],[Column1081]]</f>
        <v>97.614999999999995</v>
      </c>
      <c r="AOP32">
        <f>SOFR3mo_PX[[#This Row],[Column1082]]</f>
        <v>97.58</v>
      </c>
      <c r="AOQ32">
        <f>SOFR3mo_PX[[#This Row],[Column1083]]</f>
        <v>97.58</v>
      </c>
      <c r="AOR32">
        <f>SOFR3mo_PX[[#This Row],[Column1084]]</f>
        <v>97.605000000000004</v>
      </c>
      <c r="AOS32">
        <f>SOFR3mo_PX[[#This Row],[Column1085]]</f>
        <v>97.614999999999995</v>
      </c>
      <c r="AOT32">
        <f>SOFR3mo_PX[[#This Row],[Column1086]]</f>
        <v>97.674999999999997</v>
      </c>
      <c r="AOU32">
        <f>SOFR3mo_PX[[#This Row],[Column1087]]</f>
        <v>97.685000000000002</v>
      </c>
      <c r="AOV32">
        <f>SOFR3mo_PX[[#This Row],[Column1088]]</f>
        <v>97.71</v>
      </c>
      <c r="AOW32">
        <f>SOFR3mo_PX[[#This Row],[Column1089]]</f>
        <v>97.71</v>
      </c>
      <c r="AOX32">
        <f>SOFR3mo_PX[[#This Row],[Column1090]]</f>
        <v>97.715000000000003</v>
      </c>
      <c r="AOY32">
        <f>SOFR3mo_PX[[#This Row],[Column1091]]</f>
        <v>97.69</v>
      </c>
      <c r="AOZ32">
        <f>SOFR3mo_PX[[#This Row],[Column1092]]</f>
        <v>97.704999999999998</v>
      </c>
      <c r="APA32">
        <f>SOFR3mo_PX[[#This Row],[Column1093]]</f>
        <v>97.745000000000005</v>
      </c>
      <c r="APB32">
        <f>SOFR3mo_PX[[#This Row],[Column1094]]</f>
        <v>97.6</v>
      </c>
      <c r="APC32">
        <f>SOFR3mo_PX[[#This Row],[Column1095]]</f>
        <v>97.59</v>
      </c>
      <c r="APD32">
        <f>SOFR3mo_PX[[#This Row],[Column1096]]</f>
        <v>97.495000000000005</v>
      </c>
      <c r="APE32">
        <f>SOFR3mo_PX[[#This Row],[Column1097]]</f>
        <v>97.504999999999995</v>
      </c>
      <c r="APF32">
        <f>SOFR3mo_PX[[#This Row],[Column1098]]</f>
        <v>97.534999999999997</v>
      </c>
      <c r="APG32">
        <f>SOFR3mo_PX[[#This Row],[Column1099]]</f>
        <v>97.495000000000005</v>
      </c>
      <c r="APH32">
        <f>SOFR3mo_PX[[#This Row],[Column1100]]</f>
        <v>97.47</v>
      </c>
      <c r="API32">
        <f>SOFR3mo_PX[[#This Row],[Column1101]]</f>
        <v>97.364999999999995</v>
      </c>
      <c r="APJ32">
        <f>SOFR3mo_PX[[#This Row],[Column1102]]</f>
        <v>97.35</v>
      </c>
      <c r="APK32">
        <f>SOFR3mo_PX[[#This Row],[Column1103]]</f>
        <v>97.415000000000006</v>
      </c>
      <c r="APL32">
        <f>SOFR3mo_PX[[#This Row],[Column1104]]</f>
        <v>97.29</v>
      </c>
      <c r="APM32">
        <f>SOFR3mo_PX[[#This Row],[Column1105]]</f>
        <v>97.325000000000003</v>
      </c>
      <c r="APN32">
        <f>SOFR3mo_PX[[#This Row],[Column1106]]</f>
        <v>97.35</v>
      </c>
      <c r="APO32">
        <f>SOFR3mo_PX[[#This Row],[Column1107]]</f>
        <v>97.43</v>
      </c>
      <c r="APP32">
        <f>SOFR3mo_PX[[#This Row],[Column1108]]</f>
        <v>97.49</v>
      </c>
      <c r="APQ32">
        <f>SOFR3mo_PX[[#This Row],[Column1109]]</f>
        <v>97.454999999999998</v>
      </c>
      <c r="APR32">
        <f>SOFR3mo_PX[[#This Row],[Column1110]]</f>
        <v>97.435000000000002</v>
      </c>
      <c r="APS32">
        <f>SOFR3mo_PX[[#This Row],[Column1111]]</f>
        <v>97.375</v>
      </c>
      <c r="APT32">
        <f>SOFR3mo_PX[[#This Row],[Column1112]]</f>
        <v>97.33</v>
      </c>
      <c r="APU32">
        <f>SOFR3mo_PX[[#This Row],[Column1113]]</f>
        <v>97.5</v>
      </c>
      <c r="APV32">
        <f>SOFR3mo_PX[[#This Row],[Column1114]]</f>
        <v>97.69</v>
      </c>
      <c r="APW32">
        <f>SOFR3mo_PX[[#This Row],[Column1115]]</f>
        <v>97.685000000000002</v>
      </c>
      <c r="APX32">
        <f>SOFR3mo_PX[[#This Row],[Column1116]]</f>
        <v>97.68</v>
      </c>
      <c r="APY32">
        <f>SOFR3mo_PX[[#This Row],[Column1117]]</f>
        <v>97.665000000000006</v>
      </c>
      <c r="APZ32">
        <f>SOFR3mo_PX[[#This Row],[Column1118]]</f>
        <v>97.734999999999999</v>
      </c>
      <c r="AQA32">
        <f>SOFR3mo_PX[[#This Row],[Column1119]]</f>
        <v>97.73</v>
      </c>
      <c r="AQB32">
        <f>SOFR3mo_PX[[#This Row],[Column1120]]</f>
        <v>97.7</v>
      </c>
      <c r="AQC32">
        <f>SOFR3mo_PX[[#This Row],[Column1121]]</f>
        <v>97.644999999999996</v>
      </c>
      <c r="AQD32">
        <f>SOFR3mo_PX[[#This Row],[Column1122]]</f>
        <v>97.71</v>
      </c>
      <c r="AQE32">
        <f>SOFR3mo_PX[[#This Row],[Column1123]]</f>
        <v>97.7</v>
      </c>
      <c r="AQF32">
        <f>SOFR3mo_PX[[#This Row],[Column1124]]</f>
        <v>97.765000000000001</v>
      </c>
      <c r="AQG32">
        <f>SOFR3mo_PX[[#This Row],[Column1125]]</f>
        <v>97.82</v>
      </c>
      <c r="AQH32">
        <f>SOFR3mo_PX[[#This Row],[Column1126]]</f>
        <v>97.78</v>
      </c>
      <c r="AQI32">
        <f>SOFR3mo_PX[[#This Row],[Column1127]]</f>
        <v>97.67</v>
      </c>
      <c r="AQJ32">
        <f>SOFR3mo_PX[[#This Row],[Column1128]]</f>
        <v>97.674999999999997</v>
      </c>
      <c r="AQK32">
        <f>SOFR3mo_PX[[#This Row],[Column1129]]</f>
        <v>97.77</v>
      </c>
      <c r="AQL32">
        <f>SOFR3mo_PX[[#This Row],[Column1130]]</f>
        <v>97.795000000000002</v>
      </c>
      <c r="AQM32">
        <f>SOFR3mo_PX[[#This Row],[Column1131]]</f>
        <v>97.784999999999997</v>
      </c>
      <c r="AQN32">
        <f>SOFR3mo_PX[[#This Row],[Column1132]]</f>
        <v>97.82</v>
      </c>
      <c r="AQO32">
        <f>SOFR3mo_PX[[#This Row],[Column1133]]</f>
        <v>97.864999999999995</v>
      </c>
      <c r="AQP32">
        <f>SOFR3mo_PX[[#This Row],[Column1134]]</f>
        <v>97.905000000000001</v>
      </c>
      <c r="AQQ32">
        <f>SOFR3mo_PX[[#This Row],[Column1135]]</f>
        <v>97.93</v>
      </c>
      <c r="AQR32">
        <f>SOFR3mo_PX[[#This Row],[Column1136]]</f>
        <v>98.05</v>
      </c>
      <c r="AQS32">
        <f>SOFR3mo_PX[[#This Row],[Column1137]]</f>
        <v>98.05</v>
      </c>
      <c r="AQT32">
        <f>SOFR3mo_PX[[#This Row],[Column1138]]</f>
        <v>98.155000000000001</v>
      </c>
      <c r="AQU32">
        <f>SOFR3mo_PX[[#This Row],[Column1139]]</f>
        <v>98.165000000000006</v>
      </c>
      <c r="AQV32">
        <f>SOFR3mo_PX[[#This Row],[Column1140]]</f>
        <v>98.15</v>
      </c>
      <c r="AQW32">
        <f>SOFR3mo_PX[[#This Row],[Column1141]]</f>
        <v>98.14</v>
      </c>
      <c r="AQX32">
        <f>SOFR3mo_PX[[#This Row],[Column1142]]</f>
        <v>98.16</v>
      </c>
      <c r="AQY32">
        <f>SOFR3mo_PX[[#This Row],[Column1143]]</f>
        <v>98.165000000000006</v>
      </c>
      <c r="AQZ32">
        <f>SOFR3mo_PX[[#This Row],[Column1144]]</f>
        <v>98.295000000000002</v>
      </c>
      <c r="ARA32">
        <f>SOFR3mo_PX[[#This Row],[Column1145]]</f>
        <v>98.31</v>
      </c>
      <c r="ARB32">
        <f>SOFR3mo_PX[[#This Row],[Column1146]]</f>
        <v>98.375</v>
      </c>
      <c r="ARC32">
        <f>SOFR3mo_PX[[#This Row],[Column1147]]</f>
        <v>98.375</v>
      </c>
      <c r="ARD32">
        <f>SOFR3mo_PX[[#This Row],[Column1148]]</f>
        <v>98.38</v>
      </c>
      <c r="ARE32">
        <f>SOFR3mo_PX[[#This Row],[Column1149]]</f>
        <v>98.364999999999995</v>
      </c>
      <c r="ARF32">
        <f>SOFR3mo_PX[[#This Row],[Column1150]]</f>
        <v>98.36</v>
      </c>
      <c r="ARG32">
        <f>SOFR3mo_PX[[#This Row],[Column1151]]</f>
        <v>98.364999999999995</v>
      </c>
      <c r="ARH32">
        <f>SOFR3mo_PX[[#This Row],[Column1152]]</f>
        <v>98.364999999999995</v>
      </c>
      <c r="ARI32">
        <f>SOFR3mo_PX[[#This Row],[Column1153]]</f>
        <v>98.36</v>
      </c>
      <c r="ARJ32">
        <f>SOFR3mo_PX[[#This Row],[Column1154]]</f>
        <v>98.375</v>
      </c>
      <c r="ARK32">
        <f>SOFR3mo_PX[[#This Row],[Column1155]]</f>
        <v>98.375</v>
      </c>
      <c r="ARL32">
        <f>SOFR3mo_PX[[#This Row],[Column1156]]</f>
        <v>98.364999999999995</v>
      </c>
      <c r="ARM32">
        <f>SOFR3mo_PX[[#This Row],[Column1157]]</f>
        <v>98.364999999999995</v>
      </c>
      <c r="ARN32">
        <f>SOFR3mo_PX[[#This Row],[Column1158]]</f>
        <v>98.405000000000001</v>
      </c>
      <c r="ARO32">
        <f>SOFR3mo_PX[[#This Row],[Column1159]]</f>
        <v>98.39</v>
      </c>
      <c r="ARP32">
        <f>SOFR3mo_PX[[#This Row],[Column1160]]</f>
        <v>98.364999999999995</v>
      </c>
      <c r="ARQ32">
        <f>SOFR3mo_PX[[#This Row],[Column1161]]</f>
        <v>98.37</v>
      </c>
      <c r="ARR32">
        <f>SOFR3mo_PX[[#This Row],[Column1162]]</f>
        <v>98.375</v>
      </c>
      <c r="ARS32">
        <f>SOFR3mo_PX[[#This Row],[Column1163]]</f>
        <v>98.415000000000006</v>
      </c>
      <c r="ART32">
        <f>SOFR3mo_PX[[#This Row],[Column1164]]</f>
        <v>98.614999999999995</v>
      </c>
      <c r="ARU32">
        <f>SOFR3mo_PX[[#This Row],[Column1165]]</f>
        <v>98.66</v>
      </c>
      <c r="ARV32">
        <f>SOFR3mo_PX[[#This Row],[Column1166]]</f>
        <v>98.67</v>
      </c>
      <c r="ARW32">
        <f>SOFR3mo_PX[[#This Row],[Column1167]]</f>
        <v>98.66</v>
      </c>
      <c r="ARX32">
        <f>SOFR3mo_PX[[#This Row],[Column1168]]</f>
        <v>98.66</v>
      </c>
      <c r="ARY32">
        <f>SOFR3mo_PX[[#This Row],[Column1169]]</f>
        <v>98.65</v>
      </c>
      <c r="ARZ32">
        <f>SOFR3mo_PX[[#This Row],[Column1170]]</f>
        <v>98.635000000000005</v>
      </c>
      <c r="ASA32">
        <f>SOFR3mo_PX[[#This Row],[Column1171]]</f>
        <v>98.63</v>
      </c>
      <c r="ASB32">
        <f>SOFR3mo_PX[[#This Row],[Column1172]]</f>
        <v>98.635000000000005</v>
      </c>
      <c r="ASC32">
        <f>SOFR3mo_PX[[#This Row],[Column1173]]</f>
        <v>98.635000000000005</v>
      </c>
      <c r="ASD32">
        <f>SOFR3mo_PX[[#This Row],[Column1174]]</f>
        <v>98.635000000000005</v>
      </c>
      <c r="ASE32">
        <f>SOFR3mo_PX[[#This Row],[Column1175]]</f>
        <v>98.64</v>
      </c>
      <c r="ASF32">
        <f>SOFR3mo_PX[[#This Row],[Column1176]]</f>
        <v>98.635000000000005</v>
      </c>
      <c r="ASG32">
        <f>SOFR3mo_PX[[#This Row],[Column1177]]</f>
        <v>98.635000000000005</v>
      </c>
      <c r="ASH32">
        <f>SOFR3mo_PX[[#This Row],[Column1178]]</f>
        <v>98.73</v>
      </c>
      <c r="ASI32">
        <f>SOFR3mo_PX[[#This Row],[Column1179]]</f>
        <v>98.74</v>
      </c>
      <c r="ASJ32">
        <f>SOFR3mo_PX[[#This Row],[Column1180]]</f>
        <v>98.78</v>
      </c>
      <c r="ASK32">
        <f>SOFR3mo_PX[[#This Row],[Column1181]]</f>
        <v>98.78</v>
      </c>
      <c r="ASL32">
        <f>SOFR3mo_PX[[#This Row],[Column1182]]</f>
        <v>98.78</v>
      </c>
      <c r="ASM32">
        <f>SOFR3mo_PX[[#This Row],[Column1183]]</f>
        <v>99.064999999999998</v>
      </c>
      <c r="ASN32">
        <f>SOFR3mo_PX[[#This Row],[Column1184]]</f>
        <v>99.444999999999993</v>
      </c>
      <c r="ASO32">
        <f>SOFR3mo_PX[[#This Row],[Column1185]]</f>
        <v>99.55</v>
      </c>
      <c r="ASP32">
        <f>SOFR3mo_PX[[#This Row],[Column1186]]</f>
        <v>99.55</v>
      </c>
      <c r="ASQ32">
        <f>SOFR3mo_PX[[#This Row],[Column1187]]</f>
        <v>99.56</v>
      </c>
      <c r="ASR32">
        <f>SOFR3mo_PX[[#This Row],[Column1188]]</f>
        <v>99.575000000000003</v>
      </c>
      <c r="ASS32">
        <f>SOFR3mo_PX[[#This Row],[Column1189]]</f>
        <v>99.58</v>
      </c>
      <c r="AST32">
        <f>SOFR3mo_PX[[#This Row],[Column1190]]</f>
        <v>99.584999999999994</v>
      </c>
      <c r="ASU32">
        <f>SOFR3mo_PX[[#This Row],[Column1191]]</f>
        <v>99.61</v>
      </c>
      <c r="ASV32">
        <f>SOFR3mo_PX[[#This Row],[Column1192]]</f>
        <v>99.614999999999995</v>
      </c>
      <c r="ASW32">
        <f>SOFR3mo_PX[[#This Row],[Column1193]]</f>
        <v>99.61</v>
      </c>
      <c r="ASX32">
        <f>SOFR3mo_PX[[#This Row],[Column1194]]</f>
        <v>99.61</v>
      </c>
      <c r="ASY32">
        <f>SOFR3mo_PX[[#This Row],[Column1195]]</f>
        <v>99.605000000000004</v>
      </c>
      <c r="ASZ32">
        <f>SOFR3mo_PX[[#This Row],[Column1196]]</f>
        <v>99.6</v>
      </c>
      <c r="ATA32">
        <f>SOFR3mo_PX[[#This Row],[Column1197]]</f>
        <v>99.614999999999995</v>
      </c>
      <c r="ATB32">
        <f>SOFR3mo_PX[[#This Row],[Column1198]]</f>
        <v>99.61</v>
      </c>
      <c r="ATC32">
        <f>SOFR3mo_PX[[#This Row],[Column1199]]</f>
        <v>99.61</v>
      </c>
      <c r="ATD32">
        <f>SOFR3mo_PX[[#This Row],[Column1200]]</f>
        <v>99.614999999999995</v>
      </c>
      <c r="ATE32">
        <f>SOFR3mo_PX[[#This Row],[Column1201]]</f>
        <v>99.605000000000004</v>
      </c>
      <c r="ATF32">
        <f>SOFR3mo_PX[[#This Row],[Column1202]]</f>
        <v>99.605000000000004</v>
      </c>
      <c r="ATG32">
        <f>SOFR3mo_PX[[#This Row],[Column1203]]</f>
        <v>99.6</v>
      </c>
      <c r="ATH32">
        <f>SOFR3mo_PX[[#This Row],[Column1204]]</f>
        <v>99.58</v>
      </c>
      <c r="ATI32">
        <f>SOFR3mo_PX[[#This Row],[Column1205]]</f>
        <v>99.58</v>
      </c>
      <c r="ATJ32">
        <f>SOFR3mo_PX[[#This Row],[Column1206]]</f>
        <v>99.614999999999995</v>
      </c>
      <c r="ATK32">
        <f>SOFR3mo_PX[[#This Row],[Column1207]]</f>
        <v>99.66</v>
      </c>
      <c r="ATL32">
        <f>SOFR3mo_PX[[#This Row],[Column1208]]</f>
        <v>99.665000000000006</v>
      </c>
      <c r="ATM32">
        <f>SOFR3mo_PX[[#This Row],[Column1209]]</f>
        <v>99.685000000000002</v>
      </c>
      <c r="ATN32">
        <f>SOFR3mo_PX[[#This Row],[Column1210]]</f>
        <v>99.655000000000001</v>
      </c>
      <c r="ATO32">
        <f>SOFR3mo_PX[[#This Row],[Column1211]]</f>
        <v>99.665000000000006</v>
      </c>
      <c r="ATP32">
        <f>SOFR3mo_PX[[#This Row],[Column1212]]</f>
        <v>99.66</v>
      </c>
      <c r="ATQ32">
        <f>SOFR3mo_PX[[#This Row],[Column1213]]</f>
        <v>99.665000000000006</v>
      </c>
      <c r="ATR32">
        <f>SOFR3mo_PX[[#This Row],[Column1214]]</f>
        <v>99.674999999999997</v>
      </c>
      <c r="ATS32">
        <f>SOFR3mo_PX[[#This Row],[Column1215]]</f>
        <v>99.674999999999997</v>
      </c>
      <c r="ATT32">
        <f>SOFR3mo_PX[[#This Row],[Column1216]]</f>
        <v>99.67</v>
      </c>
      <c r="ATU32">
        <f>SOFR3mo_PX[[#This Row],[Column1217]]</f>
        <v>99.66</v>
      </c>
      <c r="ATV32">
        <f>SOFR3mo_PX[[#This Row],[Column1218]]</f>
        <v>99.65</v>
      </c>
      <c r="ATW32">
        <f>SOFR3mo_PX[[#This Row],[Column1219]]</f>
        <v>99.674999999999997</v>
      </c>
      <c r="ATX32">
        <f>SOFR3mo_PX[[#This Row],[Column1220]]</f>
        <v>99.674999999999997</v>
      </c>
      <c r="ATY32">
        <f>SOFR3mo_PX[[#This Row],[Column1221]]</f>
        <v>99.685000000000002</v>
      </c>
      <c r="ATZ32">
        <f>SOFR3mo_PX[[#This Row],[Column1222]]</f>
        <v>99.694999999999993</v>
      </c>
      <c r="AUA32">
        <f>SOFR3mo_PX[[#This Row],[Column1223]]</f>
        <v>99.69</v>
      </c>
      <c r="AUB32">
        <f>SOFR3mo_PX[[#This Row],[Column1224]]</f>
        <v>99.694999999999993</v>
      </c>
      <c r="AUC32">
        <f>SOFR3mo_PX[[#This Row],[Column1225]]</f>
        <v>99.69</v>
      </c>
      <c r="AUD32">
        <f>SOFR3mo_PX[[#This Row],[Column1226]]</f>
        <v>99.674999999999997</v>
      </c>
      <c r="AUE32">
        <f>SOFR3mo_PX[[#This Row],[Column1227]]</f>
        <v>99.67</v>
      </c>
      <c r="AUF32">
        <f>SOFR3mo_PX[[#This Row],[Column1228]]</f>
        <v>99.685000000000002</v>
      </c>
      <c r="AUG32">
        <f>SOFR3mo_PX[[#This Row],[Column1229]]</f>
        <v>99.68</v>
      </c>
      <c r="AUH32">
        <f>SOFR3mo_PX[[#This Row],[Column1230]]</f>
        <v>99.704999999999998</v>
      </c>
      <c r="AUI32">
        <f>SOFR3mo_PX[[#This Row],[Column1231]]</f>
        <v>99.704999999999998</v>
      </c>
      <c r="AUJ32">
        <f>SOFR3mo_PX[[#This Row],[Column1232]]</f>
        <v>99.754999999999995</v>
      </c>
      <c r="AUK32">
        <f>SOFR3mo_PX[[#This Row],[Column1233]]</f>
        <v>99.754999999999995</v>
      </c>
      <c r="AUL32">
        <f>SOFR3mo_PX[[#This Row],[Column1234]]</f>
        <v>99.754999999999995</v>
      </c>
      <c r="AUM32">
        <f>SOFR3mo_PX[[#This Row],[Column1235]]</f>
        <v>99.76</v>
      </c>
      <c r="AUN32">
        <f>SOFR3mo_PX[[#This Row],[Column1236]]</f>
        <v>99.76</v>
      </c>
      <c r="AUO32">
        <f>SOFR3mo_PX[[#This Row],[Column1237]]</f>
        <v>99.77</v>
      </c>
      <c r="AUP32">
        <f>SOFR3mo_PX[[#This Row],[Column1238]]</f>
        <v>99.77</v>
      </c>
      <c r="AUQ32">
        <f>SOFR3mo_PX[[#This Row],[Column1239]]</f>
        <v>99.775000000000006</v>
      </c>
      <c r="AUR32">
        <f>SOFR3mo_PX[[#This Row],[Column1240]]</f>
        <v>99.775000000000006</v>
      </c>
      <c r="AUS32">
        <f>SOFR3mo_PX[[#This Row],[Column1241]]</f>
        <v>99.765000000000001</v>
      </c>
      <c r="AUT32">
        <f>SOFR3mo_PX[[#This Row],[Column1242]]</f>
        <v>99.745000000000005</v>
      </c>
      <c r="AUU32">
        <f>SOFR3mo_PX[[#This Row],[Column1243]]</f>
        <v>99.76</v>
      </c>
      <c r="AUV32">
        <f>SOFR3mo_PX[[#This Row],[Column1244]]</f>
        <v>99.754999999999995</v>
      </c>
      <c r="AUW32">
        <f>SOFR3mo_PX[[#This Row],[Column1245]]</f>
        <v>99.784999999999997</v>
      </c>
      <c r="AUX32">
        <f>SOFR3mo_PX[[#This Row],[Column1246]]</f>
        <v>99.79</v>
      </c>
      <c r="AUY32">
        <f>SOFR3mo_PX[[#This Row],[Column1247]]</f>
        <v>99.78</v>
      </c>
      <c r="AUZ32">
        <f>SOFR3mo_PX[[#This Row],[Column1248]]</f>
        <v>99.754999999999995</v>
      </c>
      <c r="AVA32">
        <f>SOFR3mo_PX[[#This Row],[Column1249]]</f>
        <v>99.75</v>
      </c>
      <c r="AVB32">
        <f>SOFR3mo_PX[[#This Row],[Column1250]]</f>
        <v>99.754999999999995</v>
      </c>
      <c r="AVC32">
        <f>SOFR3mo_PX[[#This Row],[Column1251]]</f>
        <v>99.745000000000005</v>
      </c>
      <c r="AVD32">
        <f>SOFR3mo_PX[[#This Row],[Column1252]]</f>
        <v>99.745000000000005</v>
      </c>
      <c r="AVE32">
        <f>SOFR3mo_PX[[#This Row],[Column1253]]</f>
        <v>99.775000000000006</v>
      </c>
      <c r="AVF32">
        <f>SOFR3mo_PX[[#This Row],[Column1254]]</f>
        <v>99.765000000000001</v>
      </c>
      <c r="AVG32">
        <f>SOFR3mo_PX[[#This Row],[Column1255]]</f>
        <v>99.775000000000006</v>
      </c>
      <c r="AVH32">
        <f>SOFR3mo_PX[[#This Row],[Column1256]]</f>
        <v>99.77</v>
      </c>
      <c r="AVI32">
        <f>SOFR3mo_PX[[#This Row],[Column1257]]</f>
        <v>99.765000000000001</v>
      </c>
      <c r="AVJ32">
        <f>SOFR3mo_PX[[#This Row],[Column1258]]</f>
        <v>99.745000000000005</v>
      </c>
      <c r="AVK32">
        <f>SOFR3mo_PX[[#This Row],[Column1259]]</f>
        <v>99.754999999999995</v>
      </c>
      <c r="AVL32">
        <f>SOFR3mo_PX[[#This Row],[Column1260]]</f>
        <v>99.76</v>
      </c>
      <c r="AVM32">
        <f>SOFR3mo_PX[[#This Row],[Column1261]]</f>
        <v>99.77</v>
      </c>
      <c r="AVN32">
        <f>SOFR3mo_PX[[#This Row],[Column1262]]</f>
        <v>99.765000000000001</v>
      </c>
      <c r="AVO32">
        <f>SOFR3mo_PX[[#This Row],[Column1263]]</f>
        <v>99.775000000000006</v>
      </c>
      <c r="AVP32">
        <f>SOFR3mo_PX[[#This Row],[Column1264]]</f>
        <v>99.775000000000006</v>
      </c>
      <c r="AVQ32">
        <f>SOFR3mo_PX[[#This Row],[Column1265]]</f>
        <v>99.765000000000001</v>
      </c>
      <c r="AVR32">
        <f>SOFR3mo_PX[[#This Row],[Column1266]]</f>
        <v>99.75</v>
      </c>
      <c r="AVS32">
        <f>SOFR3mo_PX[[#This Row],[Column1267]]</f>
        <v>99.74</v>
      </c>
      <c r="AVT32">
        <f>SOFR3mo_PX[[#This Row],[Column1268]]</f>
        <v>99.74</v>
      </c>
      <c r="AVU32">
        <f>SOFR3mo_PX[[#This Row],[Column1269]]</f>
        <v>99.745000000000005</v>
      </c>
      <c r="AVV32">
        <f>SOFR3mo_PX[[#This Row],[Column1270]]</f>
        <v>99.745000000000005</v>
      </c>
      <c r="AVW32">
        <f>SOFR3mo_PX[[#This Row],[Column1271]]</f>
        <v>99.78</v>
      </c>
      <c r="AVX32">
        <f>SOFR3mo_PX[[#This Row],[Column1272]]</f>
        <v>99.79</v>
      </c>
      <c r="AVY32">
        <f>SOFR3mo_PX[[#This Row],[Column1273]]</f>
        <v>99.81</v>
      </c>
      <c r="AVZ32">
        <f>SOFR3mo_PX[[#This Row],[Column1274]]</f>
        <v>99.814999999999998</v>
      </c>
      <c r="AWA32">
        <f>SOFR3mo_PX[[#This Row],[Column1275]]</f>
        <v>99.825000000000003</v>
      </c>
      <c r="AWB32">
        <f>SOFR3mo_PX[[#This Row],[Column1276]]</f>
        <v>99.814999999999998</v>
      </c>
      <c r="AWC32">
        <f>SOFR3mo_PX[[#This Row],[Column1277]]</f>
        <v>99.81</v>
      </c>
      <c r="AWD32">
        <f>SOFR3mo_PX[[#This Row],[Column1278]]</f>
        <v>99.805000000000007</v>
      </c>
      <c r="AWE32">
        <f>SOFR3mo_PX[[#This Row],[Column1279]]</f>
        <v>99.784999999999997</v>
      </c>
      <c r="AWF32">
        <f>SOFR3mo_PX[[#This Row],[Column1280]]</f>
        <v>99.775000000000006</v>
      </c>
      <c r="AWG32">
        <f>SOFR3mo_PX[[#This Row],[Column1281]]</f>
        <v>99.77</v>
      </c>
      <c r="AWH32">
        <f>SOFR3mo_PX[[#This Row],[Column1282]]</f>
        <v>99.78</v>
      </c>
      <c r="AWI32">
        <f>SOFR3mo_PX[[#This Row],[Column1283]]</f>
        <v>99.784999999999997</v>
      </c>
      <c r="AWJ32">
        <f>SOFR3mo_PX[[#This Row],[Column1284]]</f>
        <v>99.784999999999997</v>
      </c>
      <c r="AWK32">
        <f>SOFR3mo_PX[[#This Row],[Column1285]]</f>
        <v>99.78</v>
      </c>
      <c r="AWL32">
        <f>SOFR3mo_PX[[#This Row],[Column1286]]</f>
        <v>99.78</v>
      </c>
      <c r="AWM32">
        <f>SOFR3mo_PX[[#This Row],[Column1287]]</f>
        <v>99.775000000000006</v>
      </c>
      <c r="AWN32">
        <f>SOFR3mo_PX[[#This Row],[Column1288]]</f>
        <v>99.775000000000006</v>
      </c>
      <c r="AWO32">
        <f>SOFR3mo_PX[[#This Row],[Column1289]]</f>
        <v>99.77</v>
      </c>
      <c r="AWP32">
        <f>SOFR3mo_PX[[#This Row],[Column1290]]</f>
        <v>99.78</v>
      </c>
      <c r="AWQ32">
        <f>SOFR3mo_PX[[#This Row],[Column1291]]</f>
        <v>99.78</v>
      </c>
      <c r="AWR32">
        <f>SOFR3mo_PX[[#This Row],[Column1292]]</f>
        <v>99.795000000000002</v>
      </c>
      <c r="AWS32">
        <f>SOFR3mo_PX[[#This Row],[Column1293]]</f>
        <v>99.81</v>
      </c>
      <c r="AWT32">
        <f>SOFR3mo_PX[[#This Row],[Column1294]]</f>
        <v>99.795000000000002</v>
      </c>
      <c r="AWU32">
        <f>SOFR3mo_PX[[#This Row],[Column1295]]</f>
        <v>99.79</v>
      </c>
      <c r="AWV32">
        <f>SOFR3mo_PX[[#This Row],[Column1296]]</f>
        <v>99.784999999999997</v>
      </c>
      <c r="AWW32">
        <f>SOFR3mo_PX[[#This Row],[Column1297]]</f>
        <v>99.784999999999997</v>
      </c>
      <c r="AWX32">
        <f>SOFR3mo_PX[[#This Row],[Column1298]]</f>
        <v>99.784999999999997</v>
      </c>
      <c r="AWY32">
        <f>SOFR3mo_PX[[#This Row],[Column1299]]</f>
        <v>99.775000000000006</v>
      </c>
      <c r="AWZ32">
        <f>SOFR3mo_PX[[#This Row],[Column1300]]</f>
        <v>99.795000000000002</v>
      </c>
      <c r="AXA32">
        <f>SOFR3mo_PX[[#This Row],[Column1301]]</f>
        <v>99.795000000000002</v>
      </c>
      <c r="AXB32">
        <f>SOFR3mo_PX[[#This Row],[Column1302]]</f>
        <v>99.784999999999997</v>
      </c>
      <c r="AXC32">
        <f>SOFR3mo_PX[[#This Row],[Column1303]]</f>
        <v>99.765000000000001</v>
      </c>
      <c r="AXD32">
        <f>SOFR3mo_PX[[#This Row],[Column1304]]</f>
        <v>99.765000000000001</v>
      </c>
      <c r="AXE32">
        <f>SOFR3mo_PX[[#This Row],[Column1305]]</f>
        <v>99.765000000000001</v>
      </c>
      <c r="AXF32">
        <f>SOFR3mo_PX[[#This Row],[Column1306]]</f>
        <v>99.76</v>
      </c>
      <c r="AXG32">
        <f>SOFR3mo_PX[[#This Row],[Column1307]]</f>
        <v>99.75</v>
      </c>
      <c r="AXH32">
        <f>SOFR3mo_PX[[#This Row],[Column1308]]</f>
        <v>99.73</v>
      </c>
      <c r="AXI32">
        <f>SOFR3mo_PX[[#This Row],[Column1309]]</f>
        <v>99.724999999999994</v>
      </c>
      <c r="AXJ32">
        <f>SOFR3mo_PX[[#This Row],[Column1310]]</f>
        <v>99.715000000000003</v>
      </c>
      <c r="AXK32">
        <f>SOFR3mo_PX[[#This Row],[Column1311]]</f>
        <v>99.73</v>
      </c>
      <c r="AXL32">
        <f>SOFR3mo_PX[[#This Row],[Column1312]]</f>
        <v>99.72</v>
      </c>
      <c r="AXM32">
        <f>SOFR3mo_PX[[#This Row],[Column1313]]</f>
        <v>99.73</v>
      </c>
      <c r="AXN32">
        <f>SOFR3mo_PX[[#This Row],[Column1314]]</f>
        <v>99.704999999999998</v>
      </c>
      <c r="AXO32">
        <f>SOFR3mo_PX[[#This Row],[Column1315]]</f>
        <v>99.655000000000001</v>
      </c>
      <c r="AXP32">
        <f>SOFR3mo_PX[[#This Row],[Column1316]]</f>
        <v>99.62</v>
      </c>
      <c r="AXQ32">
        <f>SOFR3mo_PX[[#This Row],[Column1317]]</f>
        <v>99.614999999999995</v>
      </c>
      <c r="AXR32">
        <f>SOFR3mo_PX[[#This Row],[Column1318]]</f>
        <v>99.68</v>
      </c>
      <c r="AXS32">
        <f>SOFR3mo_PX[[#This Row],[Column1319]]</f>
        <v>99.694999999999993</v>
      </c>
      <c r="AXT32">
        <f>SOFR3mo_PX[[#This Row],[Column1320]]</f>
        <v>99.73</v>
      </c>
      <c r="AXU32">
        <f>SOFR3mo_PX[[#This Row],[Column1321]]</f>
        <v>99.734999999999999</v>
      </c>
      <c r="AXV32">
        <f>SOFR3mo_PX[[#This Row],[Column1322]]</f>
        <v>99.724999999999994</v>
      </c>
      <c r="AXW32">
        <f>SOFR3mo_PX[[#This Row],[Column1323]]</f>
        <v>99.704999999999998</v>
      </c>
      <c r="AXX32">
        <f>SOFR3mo_PX[[#This Row],[Column1324]]</f>
        <v>99.71</v>
      </c>
      <c r="AXY32">
        <f>SOFR3mo_PX[[#This Row],[Column1325]]</f>
        <v>99.715000000000003</v>
      </c>
      <c r="AXZ32">
        <f>SOFR3mo_PX[[#This Row],[Column1326]]</f>
        <v>99.72</v>
      </c>
      <c r="AYA32">
        <f>SOFR3mo_PX[[#This Row],[Column1327]]</f>
        <v>99.72</v>
      </c>
      <c r="AYB32">
        <f>SOFR3mo_PX[[#This Row],[Column1328]]</f>
        <v>99.715000000000003</v>
      </c>
      <c r="AYC32">
        <f>SOFR3mo_PX[[#This Row],[Column1329]]</f>
        <v>99.715000000000003</v>
      </c>
      <c r="AYD32">
        <f>SOFR3mo_PX[[#This Row],[Column1330]]</f>
        <v>99.72</v>
      </c>
      <c r="AYE32">
        <f>SOFR3mo_PX[[#This Row],[Column1331]]</f>
        <v>99.72</v>
      </c>
      <c r="AYF32">
        <f>SOFR3mo_PX[[#This Row],[Column1332]]</f>
        <v>99.765000000000001</v>
      </c>
      <c r="AYG32">
        <f>SOFR3mo_PX[[#This Row],[Column1333]]</f>
        <v>99.74</v>
      </c>
      <c r="AYH32">
        <f>SOFR3mo_PX[[#This Row],[Column1334]]</f>
        <v>99.73</v>
      </c>
      <c r="AYI32">
        <f>SOFR3mo_PX[[#This Row],[Column1335]]</f>
        <v>99.71</v>
      </c>
      <c r="AYJ32">
        <f>SOFR3mo_PX[[#This Row],[Column1336]]</f>
        <v>99.71</v>
      </c>
      <c r="AYK32">
        <f>SOFR3mo_PX[[#This Row],[Column1337]]</f>
        <v>99.73</v>
      </c>
      <c r="AYL32">
        <f>SOFR3mo_PX[[#This Row],[Column1338]]</f>
        <v>99.74</v>
      </c>
      <c r="AYM32">
        <f>SOFR3mo_PX[[#This Row],[Column1339]]</f>
        <v>99.685000000000002</v>
      </c>
      <c r="AYN32">
        <f>SOFR3mo_PX[[#This Row],[Column1340]]</f>
        <v>99.67</v>
      </c>
      <c r="AYO32">
        <f>SOFR3mo_PX[[#This Row],[Column1341]]</f>
        <v>99.674999999999997</v>
      </c>
      <c r="AYP32">
        <f>SOFR3mo_PX[[#This Row],[Column1342]]</f>
        <v>99.66</v>
      </c>
      <c r="AYQ32">
        <f>SOFR3mo_PX[[#This Row],[Column1343]]</f>
        <v>99.665000000000006</v>
      </c>
      <c r="AYR32">
        <f>SOFR3mo_PX[[#This Row],[Column1344]]</f>
        <v>99.655000000000001</v>
      </c>
      <c r="AYS32">
        <f>SOFR3mo_PX[[#This Row],[Column1345]]</f>
        <v>99.64</v>
      </c>
      <c r="AYT32">
        <f>SOFR3mo_PX[[#This Row],[Column1346]]</f>
        <v>99.635000000000005</v>
      </c>
      <c r="AYU32">
        <f>SOFR3mo_PX[[#This Row],[Column1347]]</f>
        <v>99.644999999999996</v>
      </c>
      <c r="AYV32">
        <f>SOFR3mo_PX[[#This Row],[Column1348]]</f>
        <v>99.644999999999996</v>
      </c>
      <c r="AYW32">
        <f>SOFR3mo_PX[[#This Row],[Column1349]]</f>
        <v>99.64</v>
      </c>
      <c r="AYX32">
        <f>SOFR3mo_PX[[#This Row],[Column1350]]</f>
        <v>99.65</v>
      </c>
      <c r="AYY32">
        <f>SOFR3mo_PX[[#This Row],[Column1351]]</f>
        <v>99.63</v>
      </c>
      <c r="AYZ32">
        <f>SOFR3mo_PX[[#This Row],[Column1352]]</f>
        <v>99.62</v>
      </c>
      <c r="AZA32">
        <f>SOFR3mo_PX[[#This Row],[Column1353]]</f>
        <v>99.605000000000004</v>
      </c>
      <c r="AZB32">
        <f>SOFR3mo_PX[[#This Row],[Column1354]]</f>
        <v>99.594999999999999</v>
      </c>
      <c r="AZC32">
        <f>SOFR3mo_PX[[#This Row],[Column1355]]</f>
        <v>99.564999999999998</v>
      </c>
      <c r="AZD32">
        <f>SOFR3mo_PX[[#This Row],[Column1356]]</f>
        <v>99.55</v>
      </c>
      <c r="AZE32">
        <f>SOFR3mo_PX[[#This Row],[Column1357]]</f>
        <v>99.56</v>
      </c>
      <c r="AZF32">
        <f>SOFR3mo_PX[[#This Row],[Column1358]]</f>
        <v>99.56</v>
      </c>
      <c r="AZG32">
        <f>SOFR3mo_PX[[#This Row],[Column1359]]</f>
        <v>99.54</v>
      </c>
      <c r="AZH32">
        <f>SOFR3mo_PX[[#This Row],[Column1360]]</f>
        <v>99.525000000000006</v>
      </c>
      <c r="AZI32">
        <f>SOFR3mo_PX[[#This Row],[Column1361]]</f>
        <v>99.57</v>
      </c>
      <c r="AZJ32">
        <f>SOFR3mo_PX[[#This Row],[Column1362]]</f>
        <v>99.63</v>
      </c>
      <c r="AZK32">
        <f>SOFR3mo_PX[[#This Row],[Column1363]]</f>
        <v>99.625</v>
      </c>
      <c r="AZL32">
        <f>SOFR3mo_PX[[#This Row],[Column1364]]</f>
        <v>99.64</v>
      </c>
      <c r="AZM32">
        <f>SOFR3mo_PX[[#This Row],[Column1365]]</f>
        <v>99.614999999999995</v>
      </c>
      <c r="AZN32">
        <f>SOFR3mo_PX[[#This Row],[Column1366]]</f>
        <v>99.644999999999996</v>
      </c>
      <c r="AZO32">
        <f>SOFR3mo_PX[[#This Row],[Column1367]]</f>
        <v>99.6</v>
      </c>
      <c r="AZP32">
        <f>SOFR3mo_PX[[#This Row],[Column1368]]</f>
        <v>99.58</v>
      </c>
      <c r="AZQ32">
        <f>SOFR3mo_PX[[#This Row],[Column1369]]</f>
        <v>99.55</v>
      </c>
      <c r="AZR32">
        <f>SOFR3mo_PX[[#This Row],[Column1370]]</f>
        <v>99.545000000000002</v>
      </c>
      <c r="AZS32">
        <f>SOFR3mo_PX[[#This Row],[Column1371]]</f>
        <v>99.605000000000004</v>
      </c>
      <c r="AZT32">
        <f>SOFR3mo_PX[[#This Row],[Column1372]]</f>
        <v>99.525000000000006</v>
      </c>
      <c r="AZU32">
        <f>SOFR3mo_PX[[#This Row],[Column1373]]</f>
        <v>99.465000000000003</v>
      </c>
      <c r="AZV32">
        <f>SOFR3mo_PX[[#This Row],[Column1374]]</f>
        <v>99.36</v>
      </c>
      <c r="AZW32">
        <f>SOFR3mo_PX[[#This Row],[Column1375]]</f>
        <v>99.474999999999994</v>
      </c>
      <c r="AZX32">
        <f>SOFR3mo_PX[[#This Row],[Column1376]]</f>
        <v>99.525000000000006</v>
      </c>
      <c r="AZY32">
        <f>SOFR3mo_PX[[#This Row],[Column1377]]</f>
        <v>99.45</v>
      </c>
      <c r="AZZ32">
        <f>SOFR3mo_PX[[#This Row],[Column1378]]</f>
        <v>99.49</v>
      </c>
      <c r="BAA32">
        <f>SOFR3mo_PX[[#This Row],[Column1379]]</f>
        <v>99.42</v>
      </c>
      <c r="BAB32">
        <f>SOFR3mo_PX[[#This Row],[Column1380]]</f>
        <v>99.41</v>
      </c>
      <c r="BAC32">
        <f>SOFR3mo_PX[[#This Row],[Column1381]]</f>
        <v>99.53</v>
      </c>
      <c r="BAD32">
        <f>SOFR3mo_PX[[#This Row],[Column1382]]</f>
        <v>99.454999999999998</v>
      </c>
      <c r="BAE32">
        <f>SOFR3mo_PX[[#This Row],[Column1383]]</f>
        <v>99.37</v>
      </c>
      <c r="BAF32">
        <f>SOFR3mo_PX[[#This Row],[Column1384]]</f>
        <v>99.32</v>
      </c>
      <c r="BAG32">
        <f>SOFR3mo_PX[[#This Row],[Column1385]]</f>
        <v>99.26</v>
      </c>
      <c r="BAH32">
        <f>SOFR3mo_PX[[#This Row],[Column1386]]</f>
        <v>99.19</v>
      </c>
      <c r="BAI32">
        <f>SOFR3mo_PX[[#This Row],[Column1387]]</f>
        <v>99.19</v>
      </c>
      <c r="BAJ32">
        <f>SOFR3mo_PX[[#This Row],[Column1388]]</f>
        <v>98.99</v>
      </c>
      <c r="BAK32">
        <f>SOFR3mo_PX[[#This Row],[Column1389]]</f>
        <v>98.935000000000002</v>
      </c>
      <c r="BAL32">
        <f>SOFR3mo_PX[[#This Row],[Column1390]]</f>
        <v>98.944999999999993</v>
      </c>
      <c r="BAM32">
        <f>SOFR3mo_PX[[#This Row],[Column1391]]</f>
        <v>98.89</v>
      </c>
      <c r="BAN32">
        <f>SOFR3mo_PX[[#This Row],[Column1392]]</f>
        <v>98.78</v>
      </c>
      <c r="BAO32">
        <f>SOFR3mo_PX[[#This Row],[Column1393]]</f>
        <v>98.715000000000003</v>
      </c>
      <c r="BAP32">
        <f>SOFR3mo_PX[[#This Row],[Column1394]]</f>
        <v>98.67</v>
      </c>
      <c r="BAQ32">
        <f>SOFR3mo_PX[[#This Row],[Column1395]]</f>
        <v>98.694999999999993</v>
      </c>
      <c r="BAR32">
        <f>SOFR3mo_PX[[#This Row],[Column1396]]</f>
        <v>98.665000000000006</v>
      </c>
      <c r="BAS32">
        <f>SOFR3mo_PX[[#This Row],[Column1397]]</f>
        <v>98.665000000000006</v>
      </c>
      <c r="BAT32">
        <f>SOFR3mo_PX[[#This Row],[Column1398]]</f>
        <v>98.63</v>
      </c>
      <c r="BAU32">
        <f>SOFR3mo_PX[[#This Row],[Column1399]]</f>
        <v>98.63</v>
      </c>
      <c r="BAV32">
        <f>SOFR3mo_PX[[#This Row],[Column1400]]</f>
        <v>98.67</v>
      </c>
      <c r="BAW32">
        <f>SOFR3mo_PX[[#This Row],[Column1401]]</f>
        <v>98.7</v>
      </c>
      <c r="BAX32">
        <f>SOFR3mo_PX[[#This Row],[Column1402]]</f>
        <v>98.665000000000006</v>
      </c>
      <c r="BAY32">
        <f>SOFR3mo_PX[[#This Row],[Column1403]]</f>
        <v>98.61</v>
      </c>
      <c r="BAZ32">
        <f>SOFR3mo_PX[[#This Row],[Column1404]]</f>
        <v>98.63</v>
      </c>
      <c r="BBA32">
        <f>SOFR3mo_PX[[#This Row],[Column1405]]</f>
        <v>98.67</v>
      </c>
      <c r="BBB32">
        <f>SOFR3mo_PX[[#This Row],[Column1406]]</f>
        <v>98.754999999999995</v>
      </c>
      <c r="BBC32">
        <f>SOFR3mo_PX[[#This Row],[Column1407]]</f>
        <v>98.77</v>
      </c>
      <c r="BBD32">
        <f>SOFR3mo_PX[[#This Row],[Column1408]]</f>
        <v>98.715000000000003</v>
      </c>
      <c r="BBE32">
        <f>SOFR3mo_PX[[#This Row],[Column1409]]</f>
        <v>98.67</v>
      </c>
      <c r="BBF32">
        <f>SOFR3mo_PX[[#This Row],[Column1410]]</f>
        <v>98.62</v>
      </c>
      <c r="BBG32">
        <f>SOFR3mo_PX[[#This Row],[Column1411]]</f>
        <v>98.655000000000001</v>
      </c>
      <c r="BBH32">
        <f>SOFR3mo_PX[[#This Row],[Column1412]]</f>
        <v>98.57</v>
      </c>
      <c r="BBI32">
        <f>SOFR3mo_PX[[#This Row],[Column1413]]</f>
        <v>98.515000000000001</v>
      </c>
      <c r="BBJ32">
        <f>SOFR3mo_PX[[#This Row],[Column1414]]</f>
        <v>98.495000000000005</v>
      </c>
      <c r="BBK32">
        <f>SOFR3mo_PX[[#This Row],[Column1415]]</f>
        <v>98.48</v>
      </c>
      <c r="BBL32">
        <f>SOFR3mo_PX[[#This Row],[Column1416]]</f>
        <v>98.424999999999997</v>
      </c>
      <c r="BBM32">
        <f>SOFR3mo_PX[[#This Row],[Column1417]]</f>
        <v>98.424999999999997</v>
      </c>
      <c r="BBN32">
        <f>SOFR3mo_PX[[#This Row],[Column1418]]</f>
        <v>98.44</v>
      </c>
      <c r="BBO32">
        <f>SOFR3mo_PX[[#This Row],[Column1419]]</f>
        <v>98.45</v>
      </c>
      <c r="BBP32">
        <f>SOFR3mo_PX[[#This Row],[Column1420]]</f>
        <v>98.44</v>
      </c>
      <c r="BBQ32">
        <f>SOFR3mo_PX[[#This Row],[Column1421]]</f>
        <v>98.424999999999997</v>
      </c>
      <c r="BBR32">
        <f>SOFR3mo_PX[[#This Row],[Column1422]]</f>
        <v>98.43</v>
      </c>
      <c r="BBS32">
        <f>SOFR3mo_PX[[#This Row],[Column1423]]</f>
        <v>98.415000000000006</v>
      </c>
      <c r="BBT32">
        <f>SOFR3mo_PX[[#This Row],[Column1424]]</f>
        <v>98.41</v>
      </c>
      <c r="BBU32">
        <f>SOFR3mo_PX[[#This Row],[Column1425]]</f>
        <v>98.454999999999998</v>
      </c>
      <c r="BBV32">
        <f>SOFR3mo_PX[[#This Row],[Column1426]]</f>
        <v>98.465000000000003</v>
      </c>
      <c r="BBW32">
        <f>SOFR3mo_PX[[#This Row],[Column1427]]</f>
        <v>98.47</v>
      </c>
      <c r="BBX32">
        <f>SOFR3mo_PX[[#This Row],[Column1428]]</f>
        <v>98.38</v>
      </c>
      <c r="BBY32">
        <f>SOFR3mo_PX[[#This Row],[Column1429]]</f>
        <v>98.37</v>
      </c>
      <c r="BBZ32">
        <f>SOFR3mo_PX[[#This Row],[Column1430]]</f>
        <v>98.37</v>
      </c>
      <c r="BCA32">
        <f>SOFR3mo_PX[[#This Row],[Column1431]]</f>
        <v>98.375</v>
      </c>
      <c r="BCB32">
        <f>SOFR3mo_PX[[#This Row],[Column1432]]</f>
        <v>98.375</v>
      </c>
      <c r="BCC32">
        <f>SOFR3mo_PX[[#This Row],[Column1433]]</f>
        <v>98.334999999999994</v>
      </c>
      <c r="BCD32">
        <f>SOFR3mo_PX[[#This Row],[Column1434]]</f>
        <v>98.334999999999994</v>
      </c>
      <c r="BCE32">
        <f>SOFR3mo_PX[[#This Row],[Column1435]]</f>
        <v>98.334999999999994</v>
      </c>
      <c r="BCF32">
        <f>SOFR3mo_PX[[#This Row],[Column1436]]</f>
        <v>98.314999999999998</v>
      </c>
      <c r="BCG32">
        <f>SOFR3mo_PX[[#This Row],[Column1437]]</f>
        <v>98.355000000000004</v>
      </c>
      <c r="BCH32">
        <f>SOFR3mo_PX[[#This Row],[Column1438]]</f>
        <v>98.37</v>
      </c>
      <c r="BCI32">
        <f>SOFR3mo_PX[[#This Row],[Column1439]]</f>
        <v>98.35</v>
      </c>
      <c r="BCJ32">
        <f>SOFR3mo_PX[[#This Row],[Column1440]]</f>
        <v>98.38</v>
      </c>
      <c r="BCK32">
        <f>SOFR3mo_PX[[#This Row],[Column1441]]</f>
        <v>98.39</v>
      </c>
      <c r="BCL32">
        <f>SOFR3mo_PX[[#This Row],[Column1442]]</f>
        <v>98.465000000000003</v>
      </c>
      <c r="BCM32">
        <f>SOFR3mo_PX[[#This Row],[Column1443]]</f>
        <v>98.385000000000005</v>
      </c>
      <c r="BCN32">
        <f>SOFR3mo_PX[[#This Row],[Column1444]]</f>
        <v>98.47</v>
      </c>
      <c r="BCO32">
        <f>SOFR3mo_PX[[#This Row],[Column1445]]</f>
        <v>98.43</v>
      </c>
      <c r="BCP32">
        <f>SOFR3mo_PX[[#This Row],[Column1446]]</f>
        <v>98.444999999999993</v>
      </c>
      <c r="BCQ32">
        <f>SOFR3mo_PX[[#This Row],[Column1447]]</f>
        <v>98.454999999999998</v>
      </c>
      <c r="BCR32">
        <f>SOFR3mo_PX[[#This Row],[Column1448]]</f>
        <v>98.515000000000001</v>
      </c>
      <c r="BCS32">
        <f>SOFR3mo_PX[[#This Row],[Column1449]]</f>
        <v>98.53</v>
      </c>
      <c r="BCT32">
        <f>SOFR3mo_PX[[#This Row],[Column1450]]</f>
        <v>98.605000000000004</v>
      </c>
      <c r="BCU32">
        <f>SOFR3mo_PX[[#This Row],[Column1451]]</f>
        <v>98.484999999999999</v>
      </c>
      <c r="BCV32">
        <f>SOFR3mo_PX[[#This Row],[Column1452]]</f>
        <v>98.52</v>
      </c>
      <c r="BCW32">
        <f>SOFR3mo_PX[[#This Row],[Column1453]]</f>
        <v>98.51</v>
      </c>
      <c r="BCX32">
        <f>SOFR3mo_PX[[#This Row],[Column1454]]</f>
        <v>98.51</v>
      </c>
      <c r="BCY32">
        <f>SOFR3mo_PX[[#This Row],[Column1455]]</f>
        <v>98.55</v>
      </c>
      <c r="BCZ32">
        <f>SOFR3mo_PX[[#This Row],[Column1456]]</f>
        <v>98.54</v>
      </c>
      <c r="BDA32">
        <f>SOFR3mo_PX[[#This Row],[Column1457]]</f>
        <v>98.525000000000006</v>
      </c>
      <c r="BDB32">
        <f>SOFR3mo_PX[[#This Row],[Column1458]]</f>
        <v>98.545000000000002</v>
      </c>
      <c r="BDC32">
        <f>SOFR3mo_PX[[#This Row],[Column1459]]</f>
        <v>98.575000000000003</v>
      </c>
      <c r="BDD32">
        <f>SOFR3mo_PX[[#This Row],[Column1460]]</f>
        <v>98.54</v>
      </c>
      <c r="BDE32">
        <f>SOFR3mo_PX[[#This Row],[Column1461]]</f>
        <v>98.515000000000001</v>
      </c>
      <c r="BDF32">
        <f>SOFR3mo_PX[[#This Row],[Column1462]]</f>
        <v>98.49</v>
      </c>
      <c r="BDG32">
        <f>SOFR3mo_PX[[#This Row],[Column1463]]</f>
        <v>98.5</v>
      </c>
      <c r="BDH32">
        <f>SOFR3mo_PX[[#This Row],[Column1464]]</f>
        <v>98.45</v>
      </c>
      <c r="BDI32">
        <f>SOFR3mo_PX[[#This Row],[Column1465]]</f>
        <v>98.4</v>
      </c>
      <c r="BDJ32">
        <f>SOFR3mo_PX[[#This Row],[Column1466]]</f>
        <v>98.37</v>
      </c>
      <c r="BDK32">
        <f>SOFR3mo_PX[[#This Row],[Column1467]]</f>
        <v>98.38</v>
      </c>
      <c r="BDL32">
        <f>SOFR3mo_PX[[#This Row],[Column1468]]</f>
        <v>98.364999999999995</v>
      </c>
      <c r="BDM32">
        <f>SOFR3mo_PX[[#This Row],[Column1469]]</f>
        <v>98.474999999999994</v>
      </c>
      <c r="BDN32">
        <f>SOFR3mo_PX[[#This Row],[Column1470]]</f>
        <v>98.45</v>
      </c>
      <c r="BDO32">
        <f>SOFR3mo_PX[[#This Row],[Column1471]]</f>
        <v>98.51</v>
      </c>
      <c r="BDP32">
        <f>SOFR3mo_PX[[#This Row],[Column1472]]</f>
        <v>98.56</v>
      </c>
      <c r="BDQ32">
        <f>SOFR3mo_PX[[#This Row],[Column1473]]</f>
        <v>98.63</v>
      </c>
      <c r="BDR32">
        <f>SOFR3mo_PX[[#This Row],[Column1474]]</f>
        <v>98.504999999999995</v>
      </c>
      <c r="BDS32">
        <f>SOFR3mo_PX[[#This Row],[Column1475]]</f>
        <v>98.484999999999999</v>
      </c>
      <c r="BDT32">
        <f>SOFR3mo_PX[[#This Row],[Column1476]]</f>
        <v>98.49</v>
      </c>
      <c r="BDU32">
        <f>SOFR3mo_PX[[#This Row],[Column1477]]</f>
        <v>98.52</v>
      </c>
      <c r="BDV32">
        <f>SOFR3mo_PX[[#This Row],[Column1478]]</f>
        <v>98.564999999999998</v>
      </c>
      <c r="BDW32">
        <f>SOFR3mo_PX[[#This Row],[Column1479]]</f>
        <v>98.575000000000003</v>
      </c>
      <c r="BDX32">
        <f>SOFR3mo_PX[[#This Row],[Column1480]]</f>
        <v>98.555000000000007</v>
      </c>
      <c r="BDY32">
        <f>SOFR3mo_PX[[#This Row],[Column1481]]</f>
        <v>98.53</v>
      </c>
      <c r="BDZ32">
        <f>SOFR3mo_PX[[#This Row],[Column1482]]</f>
        <v>98.57</v>
      </c>
      <c r="BEA32">
        <f>SOFR3mo_PX[[#This Row],[Column1483]]</f>
        <v>98.545000000000002</v>
      </c>
      <c r="BEB32">
        <f>SOFR3mo_PX[[#This Row],[Column1484]]</f>
        <v>98.57</v>
      </c>
      <c r="BEC32">
        <f>SOFR3mo_PX[[#This Row],[Column1485]]</f>
        <v>98.53</v>
      </c>
      <c r="BED32">
        <f>SOFR3mo_PX[[#This Row],[Column1486]]</f>
        <v>98.584999999999994</v>
      </c>
      <c r="BEE32">
        <f>SOFR3mo_PX[[#This Row],[Column1487]]</f>
        <v>98.564999999999998</v>
      </c>
      <c r="BEF32">
        <f>SOFR3mo_PX[[#This Row],[Column1488]]</f>
        <v>98.694999999999993</v>
      </c>
      <c r="BEG32">
        <f>SOFR3mo_PX[[#This Row],[Column1489]]</f>
        <v>98.76</v>
      </c>
      <c r="BEH32">
        <f>SOFR3mo_PX[[#This Row],[Column1490]]</f>
        <v>98.814999999999998</v>
      </c>
      <c r="BEI32">
        <f>SOFR3mo_PX[[#This Row],[Column1491]]</f>
        <v>98.805000000000007</v>
      </c>
      <c r="BEJ32">
        <f>SOFR3mo_PX[[#This Row],[Column1492]]</f>
        <v>98.875</v>
      </c>
      <c r="BEK32">
        <f>SOFR3mo_PX[[#This Row],[Column1493]]</f>
        <v>98.885000000000005</v>
      </c>
      <c r="BEL32">
        <f>SOFR3mo_PX[[#This Row],[Column1494]]</f>
        <v>98.784999999999997</v>
      </c>
      <c r="BEM32">
        <f>SOFR3mo_PX[[#This Row],[Column1495]]</f>
        <v>98.71</v>
      </c>
      <c r="BEN32">
        <f>SOFR3mo_PX[[#This Row],[Column1496]]</f>
        <v>98.64</v>
      </c>
      <c r="BEO32">
        <f>SOFR3mo_PX[[#This Row],[Column1497]]</f>
        <v>98.65</v>
      </c>
      <c r="BEP32" t="str">
        <f>SOFR3mo_PX[[#This Row],[Column1498]]</f>
        <v>#N/A N/A</v>
      </c>
      <c r="BEQ32" t="str">
        <f>SOFR3mo_PX[[#This Row],[Column1499]]</f>
        <v>#N/A N/A</v>
      </c>
      <c r="BER32" t="str">
        <f>SOFR3mo_PX[[#This Row],[Column1500]]</f>
        <v>#N/A N/A</v>
      </c>
      <c r="BES32" t="str">
        <f>SOFR3mo_PX[[#This Row],[Column1501]]</f>
        <v>#N/A N/A</v>
      </c>
      <c r="BET32" t="str">
        <f>SOFR3mo_PX[[#This Row],[Column1502]]</f>
        <v>#N/A N/A</v>
      </c>
      <c r="BEU32" t="str">
        <f>SOFR3mo_PX[[#This Row],[Column1503]]</f>
        <v>#N/A N/A</v>
      </c>
      <c r="BEV32" t="str">
        <f>SOFR3mo_PX[[#This Row],[Column1504]]</f>
        <v>#N/A N/A</v>
      </c>
      <c r="BEW32" t="str">
        <f>SOFR3mo_PX[[#This Row],[Column1505]]</f>
        <v>#N/A N/A</v>
      </c>
      <c r="BEX32" t="str">
        <f>SOFR3mo_PX[[#This Row],[Column1506]]</f>
        <v>#N/A N/A</v>
      </c>
      <c r="BEY32" t="str">
        <f>SOFR3mo_PX[[#This Row],[Column1507]]</f>
        <v>#N/A N/A</v>
      </c>
      <c r="BEZ32" t="str">
        <f>SOFR3mo_PX[[#This Row],[Column1508]]</f>
        <v>#N/A N/A</v>
      </c>
      <c r="BFA32" t="str">
        <f>SOFR3mo_PX[[#This Row],[Column1509]]</f>
        <v>#N/A N/A</v>
      </c>
      <c r="BFB32" t="str">
        <f>SOFR3mo_PX[[#This Row],[Column1510]]</f>
        <v>#N/A N/A</v>
      </c>
      <c r="BFC32" t="str">
        <f>SOFR3mo_PX[[#This Row],[Column1511]]</f>
        <v>#N/A N/A</v>
      </c>
      <c r="BFD32" t="str">
        <f>SOFR3mo_PX[[#This Row],[Column1512]]</f>
        <v>#N/A N/A</v>
      </c>
      <c r="BFE32" t="str">
        <f>SOFR3mo_PX[[#This Row],[Column1513]]</f>
        <v>#N/A N/A</v>
      </c>
      <c r="BFF32" t="str">
        <f>SOFR3mo_PX[[#This Row],[Column1514]]</f>
        <v>#N/A N/A</v>
      </c>
      <c r="BFG32" t="str">
        <f>SOFR3mo_PX[[#This Row],[Column1515]]</f>
        <v>#N/A N/A</v>
      </c>
      <c r="BFH32" t="str">
        <f>SOFR3mo_PX[[#This Row],[Column1516]]</f>
        <v>#N/A N/A</v>
      </c>
      <c r="BFI32" t="str">
        <f>SOFR3mo_PX[[#This Row],[Column1517]]</f>
        <v>#N/A N/A</v>
      </c>
      <c r="BFJ32" t="str">
        <f>SOFR3mo_PX[[#This Row],[Column1518]]</f>
        <v>#N/A N/A</v>
      </c>
      <c r="BFK32" t="str">
        <f>SOFR3mo_PX[[#This Row],[Column1519]]</f>
        <v>#N/A N/A</v>
      </c>
      <c r="BFL32" t="str">
        <f>SOFR3mo_PX[[#This Row],[Column1520]]</f>
        <v>#N/A N/A</v>
      </c>
      <c r="BFM32" t="str">
        <f>SOFR3mo_PX[[#This Row],[Column1521]]</f>
        <v>#N/A N/A</v>
      </c>
      <c r="BFN32" t="str">
        <f>SOFR3mo_PX[[#This Row],[Column1522]]</f>
        <v>#N/A N/A</v>
      </c>
      <c r="BFO32" t="str">
        <f>SOFR3mo_PX[[#This Row],[Column1523]]</f>
        <v>#N/A N/A</v>
      </c>
      <c r="BFP32" t="str">
        <f>SOFR3mo_PX[[#This Row],[Column1524]]</f>
        <v>#N/A N/A</v>
      </c>
      <c r="BFQ32" t="str">
        <f>SOFR3mo_PX[[#This Row],[Column1525]]</f>
        <v>#N/A N/A</v>
      </c>
      <c r="BFR32" t="str">
        <f>SOFR3mo_PX[[#This Row],[Column1526]]</f>
        <v>#N/A N/A</v>
      </c>
      <c r="BFS32" t="str">
        <f>SOFR3mo_PX[[#This Row],[Column1527]]</f>
        <v>#N/A N/A</v>
      </c>
      <c r="BFT32" t="str">
        <f>SOFR3mo_PX[[#This Row],[Column1528]]</f>
        <v>#N/A N/A</v>
      </c>
      <c r="BFU32" t="str">
        <f>SOFR3mo_PX[[#This Row],[Column1529]]</f>
        <v>#N/A N/A</v>
      </c>
      <c r="BFV32" t="str">
        <f>SOFR3mo_PX[[#This Row],[Column1530]]</f>
        <v>#N/A N/A</v>
      </c>
      <c r="BFW32" t="str">
        <f>SOFR3mo_PX[[#This Row],[Column1531]]</f>
        <v>#N/A N/A</v>
      </c>
      <c r="BFX32" t="str">
        <f>SOFR3mo_PX[[#This Row],[Column1532]]</f>
        <v>#N/A N/A</v>
      </c>
      <c r="BFY32" t="str">
        <f>SOFR3mo_PX[[#This Row],[Column1533]]</f>
        <v>#N/A N/A</v>
      </c>
      <c r="BFZ32" t="str">
        <f>SOFR3mo_PX[[#This Row],[Column1534]]</f>
        <v>#N/A N/A</v>
      </c>
      <c r="BGA32" t="str">
        <f>SOFR3mo_PX[[#This Row],[Column1535]]</f>
        <v>#N/A N/A</v>
      </c>
      <c r="BGB32" t="str">
        <f>SOFR3mo_PX[[#This Row],[Column1536]]</f>
        <v>#N/A N/A</v>
      </c>
      <c r="BGC32" t="str">
        <f>SOFR3mo_PX[[#This Row],[Column1537]]</f>
        <v>#N/A N/A</v>
      </c>
      <c r="BGD32" t="str">
        <f>SOFR3mo_PX[[#This Row],[Column1538]]</f>
        <v>#N/A N/A</v>
      </c>
      <c r="BGE32" t="str">
        <f>SOFR3mo_PX[[#This Row],[Column1539]]</f>
        <v>#N/A N/A</v>
      </c>
      <c r="BGF32" t="str">
        <f>SOFR3mo_PX[[#This Row],[Column1540]]</f>
        <v>#N/A N/A</v>
      </c>
      <c r="BGG32" t="str">
        <f>SOFR3mo_PX[[#This Row],[Column1541]]</f>
        <v>#N/A N/A</v>
      </c>
      <c r="BGH32" t="str">
        <f>SOFR3mo_PX[[#This Row],[Column1542]]</f>
        <v>#N/A N/A</v>
      </c>
      <c r="BGI32" t="str">
        <f>SOFR3mo_PX[[#This Row],[Column1543]]</f>
        <v>#N/A N/A</v>
      </c>
      <c r="BGJ32" t="str">
        <f>SOFR3mo_PX[[#This Row],[Column1544]]</f>
        <v>#N/A N/A</v>
      </c>
      <c r="BGK32" t="str">
        <f>SOFR3mo_PX[[#This Row],[Column1545]]</f>
        <v>#N/A N/A</v>
      </c>
      <c r="BGL32" t="str">
        <f>SOFR3mo_PX[[#This Row],[Column1546]]</f>
        <v>#N/A N/A</v>
      </c>
      <c r="BGM32" t="str">
        <f>SOFR3mo_PX[[#This Row],[Column1547]]</f>
        <v>#N/A N/A</v>
      </c>
      <c r="BGN32" t="str">
        <f>SOFR3mo_PX[[#This Row],[Column1548]]</f>
        <v>#N/A N/A</v>
      </c>
      <c r="BGO32" t="str">
        <f>SOFR3mo_PX[[#This Row],[Column1549]]</f>
        <v>#N/A N/A</v>
      </c>
      <c r="BGP32" t="str">
        <f>SOFR3mo_PX[[#This Row],[Column1550]]</f>
        <v>#N/A N/A</v>
      </c>
      <c r="BGQ32" t="str">
        <f>SOFR3mo_PX[[#This Row],[Column1551]]</f>
        <v>#N/A N/A</v>
      </c>
      <c r="BGR32" t="str">
        <f>SOFR3mo_PX[[#This Row],[Column1552]]</f>
        <v>#N/A N/A</v>
      </c>
      <c r="BGS32" t="str">
        <f>SOFR3mo_PX[[#This Row],[Column1553]]</f>
        <v>#N/A N/A</v>
      </c>
      <c r="BGT32" t="str">
        <f>SOFR3mo_PX[[#This Row],[Column1554]]</f>
        <v>#N/A N/A</v>
      </c>
      <c r="BGU32" t="str">
        <f>SOFR3mo_PX[[#This Row],[Column1555]]</f>
        <v>#N/A N/A</v>
      </c>
      <c r="BGV32" t="str">
        <f>SOFR3mo_PX[[#This Row],[Column1556]]</f>
        <v>#N/A N/A</v>
      </c>
      <c r="BGW32" t="str">
        <f>SOFR3mo_PX[[#This Row],[Column1557]]</f>
        <v>#N/A N/A</v>
      </c>
      <c r="BGX32" t="str">
        <f>SOFR3mo_PX[[#This Row],[Column1558]]</f>
        <v>#N/A N/A</v>
      </c>
      <c r="BGY32" t="str">
        <f>SOFR3mo_PX[[#This Row],[Column1559]]</f>
        <v>#N/A N/A</v>
      </c>
      <c r="BGZ32" t="str">
        <f>SOFR3mo_PX[[#This Row],[Column1560]]</f>
        <v>#N/A N/A</v>
      </c>
      <c r="BHA32" t="str">
        <f>SOFR3mo_PX[[#This Row],[Column1561]]</f>
        <v>#N/A N/A</v>
      </c>
      <c r="BHB32" t="str">
        <f>SOFR3mo_PX[[#This Row],[Column1562]]</f>
        <v>#N/A N/A</v>
      </c>
      <c r="BHC32" t="str">
        <f>SOFR3mo_PX[[#This Row],[Column1563]]</f>
        <v>#N/A N/A</v>
      </c>
      <c r="BHD32" t="str">
        <f>SOFR3mo_PX[[#This Row],[Column1564]]</f>
        <v>#N/A N/A</v>
      </c>
      <c r="BHE32" t="str">
        <f>SOFR3mo_PX[[#This Row],[Column1565]]</f>
        <v>#N/A N/A</v>
      </c>
      <c r="BHF32" t="str">
        <f>SOFR3mo_PX[[#This Row],[Column1566]]</f>
        <v>#N/A N/A</v>
      </c>
      <c r="BHG32" t="str">
        <f>SOFR3mo_PX[[#This Row],[Column1567]]</f>
        <v>#N/A N/A</v>
      </c>
      <c r="BHH32" t="str">
        <f>SOFR3mo_PX[[#This Row],[Column1568]]</f>
        <v>#N/A N/A</v>
      </c>
      <c r="BHI32" t="str">
        <f>SOFR3mo_PX[[#This Row],[Column1569]]</f>
        <v>#N/A N/A</v>
      </c>
      <c r="BHJ32" t="str">
        <f>SOFR3mo_PX[[#This Row],[Column1570]]</f>
        <v>#N/A N/A</v>
      </c>
      <c r="BHK32" t="str">
        <f>SOFR3mo_PX[[#This Row],[Column1571]]</f>
        <v>#N/A N/A</v>
      </c>
      <c r="BHL32" t="str">
        <f>SOFR3mo_PX[[#This Row],[Column1572]]</f>
        <v>#N/A N/A</v>
      </c>
      <c r="BHM32" t="str">
        <f>SOFR3mo_PX[[#This Row],[Column1573]]</f>
        <v>#N/A N/A</v>
      </c>
      <c r="BHN32" t="str">
        <f>SOFR3mo_PX[[#This Row],[Column1574]]</f>
        <v>#N/A N/A</v>
      </c>
      <c r="BHO32" t="str">
        <f>SOFR3mo_PX[[#This Row],[Column1575]]</f>
        <v>#N/A N/A</v>
      </c>
      <c r="BHP32" t="str">
        <f>SOFR3mo_PX[[#This Row],[Column1576]]</f>
        <v>#N/A N/A</v>
      </c>
      <c r="BHQ32" t="str">
        <f>SOFR3mo_PX[[#This Row],[Column1577]]</f>
        <v>#N/A N/A</v>
      </c>
      <c r="BHR32" t="str">
        <f>SOFR3mo_PX[[#This Row],[Column1578]]</f>
        <v>#N/A N/A</v>
      </c>
      <c r="BHS32" t="str">
        <f>SOFR3mo_PX[[#This Row],[Column1579]]</f>
        <v>#N/A N/A</v>
      </c>
      <c r="BHT32" t="str">
        <f>SOFR3mo_PX[[#This Row],[Column1580]]</f>
        <v>#N/A N/A</v>
      </c>
      <c r="BHU32" t="str">
        <f>SOFR3mo_PX[[#This Row],[Column1581]]</f>
        <v>#N/A N/A</v>
      </c>
      <c r="BHV32" t="str">
        <f>SOFR3mo_PX[[#This Row],[Column1582]]</f>
        <v>#N/A N/A</v>
      </c>
      <c r="BHW32" t="str">
        <f>SOFR3mo_PX[[#This Row],[Column1583]]</f>
        <v>#N/A N/A</v>
      </c>
      <c r="BHX32" t="str">
        <f>SOFR3mo_PX[[#This Row],[Column1584]]</f>
        <v>#N/A N/A</v>
      </c>
      <c r="BHY32" t="str">
        <f>SOFR3mo_PX[[#This Row],[Column1585]]</f>
        <v>#N/A N/A</v>
      </c>
      <c r="BHZ32" t="str">
        <f>SOFR3mo_PX[[#This Row],[Column1586]]</f>
        <v>#N/A N/A</v>
      </c>
      <c r="BIA32" t="str">
        <f>SOFR3mo_PX[[#This Row],[Column1587]]</f>
        <v>#N/A N/A</v>
      </c>
      <c r="BIB32" t="str">
        <f>SOFR3mo_PX[[#This Row],[Column1588]]</f>
        <v>#N/A N/A</v>
      </c>
      <c r="BIC32" t="str">
        <f>SOFR3mo_PX[[#This Row],[Column1589]]</f>
        <v>#N/A N/A</v>
      </c>
      <c r="BID32" t="str">
        <f>SOFR3mo_PX[[#This Row],[Column1590]]</f>
        <v>#N/A N/A</v>
      </c>
      <c r="BIE32" t="str">
        <f>SOFR3mo_PX[[#This Row],[Column1591]]</f>
        <v>#N/A N/A</v>
      </c>
      <c r="BIF32" t="str">
        <f>SOFR3mo_PX[[#This Row],[Column1592]]</f>
        <v>#N/A N/A</v>
      </c>
      <c r="BIG32" t="str">
        <f>SOFR3mo_PX[[#This Row],[Column1593]]</f>
        <v>#N/A N/A</v>
      </c>
      <c r="BIH32" t="str">
        <f>SOFR3mo_PX[[#This Row],[Column1594]]</f>
        <v>#N/A N/A</v>
      </c>
      <c r="BII32" t="str">
        <f>SOFR3mo_PX[[#This Row],[Column1595]]</f>
        <v>#N/A N/A</v>
      </c>
      <c r="BIJ32" t="str">
        <f>SOFR3mo_PX[[#This Row],[Column1596]]</f>
        <v>#N/A N/A</v>
      </c>
      <c r="BIK32" t="str">
        <f>SOFR3mo_PX[[#This Row],[Column1597]]</f>
        <v>#N/A N/A</v>
      </c>
      <c r="BIL32" t="str">
        <f>SOFR3mo_PX[[#This Row],[Column1598]]</f>
        <v>#N/A N/A</v>
      </c>
      <c r="BIM32" t="str">
        <f>SOFR3mo_PX[[#This Row],[Column1599]]</f>
        <v>#N/A N/A</v>
      </c>
      <c r="BIN32" t="str">
        <f>SOFR3mo_PX[[#This Row],[Column1600]]</f>
        <v>#N/A N/A</v>
      </c>
      <c r="BIO32" t="str">
        <f>SOFR3mo_PX[[#This Row],[Column1601]]</f>
        <v>#N/A N/A</v>
      </c>
      <c r="BIP32" t="str">
        <f>SOFR3mo_PX[[#This Row],[Column1602]]</f>
        <v>#N/A N/A</v>
      </c>
      <c r="BIQ32" t="str">
        <f>SOFR3mo_PX[[#This Row],[Column1603]]</f>
        <v>#N/A N/A</v>
      </c>
      <c r="BIR32" t="str">
        <f>SOFR3mo_PX[[#This Row],[Column1604]]</f>
        <v>#N/A N/A</v>
      </c>
      <c r="BIS32" t="str">
        <f>SOFR3mo_PX[[#This Row],[Column1605]]</f>
        <v>#N/A N/A</v>
      </c>
      <c r="BIT32" t="str">
        <f>SOFR3mo_PX[[#This Row],[Column1606]]</f>
        <v>#N/A N/A</v>
      </c>
      <c r="BIU32" t="str">
        <f>SOFR3mo_PX[[#This Row],[Column1607]]</f>
        <v>#N/A N/A</v>
      </c>
      <c r="BIV32" t="str">
        <f>SOFR3mo_PX[[#This Row],[Column1608]]</f>
        <v>#N/A N/A</v>
      </c>
      <c r="BIW32" t="str">
        <f>SOFR3mo_PX[[#This Row],[Column1609]]</f>
        <v>#N/A N/A</v>
      </c>
      <c r="BIX32" t="str">
        <f>SOFR3mo_PX[[#This Row],[Column1610]]</f>
        <v>#N/A N/A</v>
      </c>
      <c r="BIY32" t="str">
        <f>SOFR3mo_PX[[#This Row],[Column1611]]</f>
        <v>#N/A N/A</v>
      </c>
      <c r="BIZ32" t="str">
        <f>SOFR3mo_PX[[#This Row],[Column1612]]</f>
        <v>#N/A N/A</v>
      </c>
      <c r="BJA32" t="str">
        <f>SOFR3mo_PX[[#This Row],[Column1613]]</f>
        <v>#N/A N/A</v>
      </c>
      <c r="BJB32" t="str">
        <f>SOFR3mo_PX[[#This Row],[Column1614]]</f>
        <v>#N/A N/A</v>
      </c>
      <c r="BJC32" t="str">
        <f>SOFR3mo_PX[[#This Row],[Column1615]]</f>
        <v>#N/A N/A</v>
      </c>
      <c r="BJD32" t="str">
        <f>SOFR3mo_PX[[#This Row],[Column1616]]</f>
        <v>#N/A N/A</v>
      </c>
      <c r="BJE32" t="str">
        <f>SOFR3mo_PX[[#This Row],[Column1617]]</f>
        <v>#N/A N/A</v>
      </c>
      <c r="BJF32" t="str">
        <f>SOFR3mo_PX[[#This Row],[Column1618]]</f>
        <v>#N/A N/A</v>
      </c>
      <c r="BJG32" t="str">
        <f>SOFR3mo_PX[[#This Row],[Column1619]]</f>
        <v>#N/A N/A</v>
      </c>
      <c r="BJH32" t="str">
        <f>SOFR3mo_PX[[#This Row],[Column1620]]</f>
        <v>#N/A N/A</v>
      </c>
      <c r="BJI32" t="str">
        <f>SOFR3mo_PX[[#This Row],[Column1621]]</f>
        <v>#N/A N/A</v>
      </c>
      <c r="BJJ32" t="str">
        <f>SOFR3mo_PX[[#This Row],[Column1622]]</f>
        <v>#N/A N/A</v>
      </c>
      <c r="BJK32" t="str">
        <f>SOFR3mo_PX[[#This Row],[Column1623]]</f>
        <v>#N/A N/A</v>
      </c>
      <c r="BJL32" t="str">
        <f>SOFR3mo_PX[[#This Row],[Column1624]]</f>
        <v>#N/A N/A</v>
      </c>
      <c r="BJM32" t="str">
        <f>SOFR3mo_PX[[#This Row],[Column1625]]</f>
        <v>#N/A N/A</v>
      </c>
      <c r="BJN32" t="str">
        <f>SOFR3mo_PX[[#This Row],[Column1626]]</f>
        <v>#N/A N/A</v>
      </c>
      <c r="BJO32" t="str">
        <f>SOFR3mo_PX[[#This Row],[Column1627]]</f>
        <v>#N/A N/A</v>
      </c>
      <c r="BJP32" t="str">
        <f>SOFR3mo_PX[[#This Row],[Column1628]]</f>
        <v>#N/A N/A</v>
      </c>
      <c r="BJQ32" t="str">
        <f>SOFR3mo_PX[[#This Row],[Column1629]]</f>
        <v>#N/A N/A</v>
      </c>
      <c r="BJR32" t="str">
        <f>SOFR3mo_PX[[#This Row],[Column1630]]</f>
        <v>#N/A N/A</v>
      </c>
      <c r="BJS32" t="str">
        <f>SOFR3mo_PX[[#This Row],[Column1631]]</f>
        <v>#N/A N/A</v>
      </c>
      <c r="BJT32" t="str">
        <f>SOFR3mo_PX[[#This Row],[Column1632]]</f>
        <v>#N/A N/A</v>
      </c>
      <c r="BJU32" t="str">
        <f>SOFR3mo_PX[[#This Row],[Column1633]]</f>
        <v>#N/A N/A</v>
      </c>
      <c r="BJV32" t="str">
        <f>SOFR3mo_PX[[#This Row],[Column1634]]</f>
        <v>#N/A N/A</v>
      </c>
      <c r="BJW32" t="str">
        <f>SOFR3mo_PX[[#This Row],[Column1635]]</f>
        <v>#N/A N/A</v>
      </c>
      <c r="BJX32" t="str">
        <f>SOFR3mo_PX[[#This Row],[Column1636]]</f>
        <v>#N/A N/A</v>
      </c>
      <c r="BJY32" t="str">
        <f>SOFR3mo_PX[[#This Row],[Column1637]]</f>
        <v>#N/A N/A</v>
      </c>
      <c r="BJZ32" t="str">
        <f>SOFR3mo_PX[[#This Row],[Column1638]]</f>
        <v>#N/A N/A</v>
      </c>
      <c r="BKA32" t="str">
        <f>SOFR3mo_PX[[#This Row],[Column1639]]</f>
        <v>#N/A N/A</v>
      </c>
      <c r="BKB32" t="str">
        <f>SOFR3mo_PX[[#This Row],[Column1640]]</f>
        <v>#N/A N/A</v>
      </c>
      <c r="BKC32" t="str">
        <f>SOFR3mo_PX[[#This Row],[Column1641]]</f>
        <v>#N/A N/A</v>
      </c>
      <c r="BKD32" t="str">
        <f>SOFR3mo_PX[[#This Row],[Column1642]]</f>
        <v>#N/A N/A</v>
      </c>
      <c r="BKE32" t="str">
        <f>SOFR3mo_PX[[#This Row],[Column1643]]</f>
        <v>#N/A N/A</v>
      </c>
      <c r="BKF32" t="str">
        <f>SOFR3mo_PX[[#This Row],[Column1644]]</f>
        <v>#N/A N/A</v>
      </c>
      <c r="BKG32" t="str">
        <f>SOFR3mo_PX[[#This Row],[Column1645]]</f>
        <v>#N/A N/A</v>
      </c>
      <c r="BKH32" t="str">
        <f>SOFR3mo_PX[[#This Row],[Column1646]]</f>
        <v>#N/A N/A</v>
      </c>
      <c r="BKI32" t="str">
        <f>SOFR3mo_PX[[#This Row],[Column1647]]</f>
        <v>#N/A N/A</v>
      </c>
      <c r="BKJ32" t="str">
        <f>SOFR3mo_PX[[#This Row],[Column1648]]</f>
        <v>#N/A N/A</v>
      </c>
      <c r="BKK32" t="str">
        <f>SOFR3mo_PX[[#This Row],[Column1649]]</f>
        <v>#N/A N/A</v>
      </c>
      <c r="BKL32" t="str">
        <f>SOFR3mo_PX[[#This Row],[Column1650]]</f>
        <v>#N/A N/A</v>
      </c>
      <c r="BKM32" t="str">
        <f>SOFR3mo_PX[[#This Row],[Column1651]]</f>
        <v>#N/A N/A</v>
      </c>
      <c r="BKN32" t="str">
        <f>SOFR3mo_PX[[#This Row],[Column1652]]</f>
        <v>#N/A N/A</v>
      </c>
      <c r="BKO32" t="str">
        <f>SOFR3mo_PX[[#This Row],[Column1653]]</f>
        <v>#N/A N/A</v>
      </c>
      <c r="BKP32" t="str">
        <f>SOFR3mo_PX[[#This Row],[Column1654]]</f>
        <v>#N/A N/A</v>
      </c>
      <c r="BKQ32" t="str">
        <f>SOFR3mo_PX[[#This Row],[Column1655]]</f>
        <v>#N/A N/A</v>
      </c>
      <c r="BKR32" t="str">
        <f>SOFR3mo_PX[[#This Row],[Column1656]]</f>
        <v>#N/A N/A</v>
      </c>
      <c r="BKS32" t="str">
        <f>SOFR3mo_PX[[#This Row],[Column1657]]</f>
        <v>#N/A N/A</v>
      </c>
      <c r="BKT32" t="str">
        <f>SOFR3mo_PX[[#This Row],[Column1658]]</f>
        <v>#N/A N/A</v>
      </c>
      <c r="BKU32" t="str">
        <f>SOFR3mo_PX[[#This Row],[Column1659]]</f>
        <v>#N/A N/A</v>
      </c>
      <c r="BKV32" t="str">
        <f>SOFR3mo_PX[[#This Row],[Column1660]]</f>
        <v>#N/A N/A</v>
      </c>
      <c r="BKW32" t="str">
        <f>SOFR3mo_PX[[#This Row],[Column1661]]</f>
        <v>#N/A N/A</v>
      </c>
      <c r="BKX32" t="str">
        <f>SOFR3mo_PX[[#This Row],[Column1662]]</f>
        <v>#N/A N/A</v>
      </c>
      <c r="BKY32" t="str">
        <f>SOFR3mo_PX[[#This Row],[Column1663]]</f>
        <v>#N/A N/A</v>
      </c>
      <c r="BKZ32" t="str">
        <f>SOFR3mo_PX[[#This Row],[Column1664]]</f>
        <v>#N/A N/A</v>
      </c>
      <c r="BLA32" t="str">
        <f>SOFR3mo_PX[[#This Row],[Column1665]]</f>
        <v>#N/A N/A</v>
      </c>
      <c r="BLB32" t="str">
        <f>SOFR3mo_PX[[#This Row],[Column1666]]</f>
        <v>#N/A N/A</v>
      </c>
      <c r="BLC32" t="str">
        <f>SOFR3mo_PX[[#This Row],[Column1667]]</f>
        <v>#N/A N/A</v>
      </c>
      <c r="BLD32" t="str">
        <f>SOFR3mo_PX[[#This Row],[Column1668]]</f>
        <v>#N/A N/A</v>
      </c>
      <c r="BLE32" t="str">
        <f>SOFR3mo_PX[[#This Row],[Column1669]]</f>
        <v>#N/A N/A</v>
      </c>
      <c r="BLF32" t="str">
        <f>SOFR3mo_PX[[#This Row],[Column1670]]</f>
        <v>#N/A N/A</v>
      </c>
      <c r="BLG32" t="str">
        <f>SOFR3mo_PX[[#This Row],[Column1671]]</f>
        <v>#N/A N/A</v>
      </c>
      <c r="BLH32" t="str">
        <f>SOFR3mo_PX[[#This Row],[Column1672]]</f>
        <v>#N/A N/A</v>
      </c>
      <c r="BLI32" t="str">
        <f>SOFR3mo_PX[[#This Row],[Column1673]]</f>
        <v>#N/A N/A</v>
      </c>
      <c r="BLJ32" t="str">
        <f>SOFR3mo_PX[[#This Row],[Column1674]]</f>
        <v>#N/A N/A</v>
      </c>
      <c r="BLK32" t="str">
        <f>SOFR3mo_PX[[#This Row],[Column1675]]</f>
        <v>#N/A N/A</v>
      </c>
      <c r="BLL32" t="str">
        <f>SOFR3mo_PX[[#This Row],[Column1676]]</f>
        <v>#N/A N/A</v>
      </c>
      <c r="BLM32" t="str">
        <f>SOFR3mo_PX[[#This Row],[Column1677]]</f>
        <v>#N/A N/A</v>
      </c>
      <c r="BLN32" t="str">
        <f>SOFR3mo_PX[[#This Row],[Column1678]]</f>
        <v>#N/A N/A</v>
      </c>
      <c r="BLO32" t="str">
        <f>SOFR3mo_PX[[#This Row],[Column1679]]</f>
        <v>#N/A N/A</v>
      </c>
      <c r="BLP32" t="str">
        <f>SOFR3mo_PX[[#This Row],[Column1680]]</f>
        <v>#N/A N/A</v>
      </c>
      <c r="BLQ32" t="str">
        <f>SOFR3mo_PX[[#This Row],[Column1681]]</f>
        <v>#N/A N/A</v>
      </c>
      <c r="BLR32" t="str">
        <f>SOFR3mo_PX[[#This Row],[Column1682]]</f>
        <v>#N/A N/A</v>
      </c>
      <c r="BLS32" t="str">
        <f>SOFR3mo_PX[[#This Row],[Column1683]]</f>
        <v>#N/A N/A</v>
      </c>
      <c r="BLT32" t="str">
        <f>SOFR3mo_PX[[#This Row],[Column1684]]</f>
        <v>#N/A N/A</v>
      </c>
      <c r="BLU32" t="str">
        <f>SOFR3mo_PX[[#This Row],[Column1685]]</f>
        <v>#N/A N/A</v>
      </c>
      <c r="BLV32" t="str">
        <f>SOFR3mo_PX[[#This Row],[Column1686]]</f>
        <v>#N/A N/A</v>
      </c>
      <c r="BLW32" t="str">
        <f>SOFR3mo_PX[[#This Row],[Column1687]]</f>
        <v>#N/A N/A</v>
      </c>
      <c r="BLX32" t="str">
        <f>SOFR3mo_PX[[#This Row],[Column1688]]</f>
        <v>#N/A N/A</v>
      </c>
      <c r="BLY32" t="str">
        <f>SOFR3mo_PX[[#This Row],[Column1689]]</f>
        <v>#N/A N/A</v>
      </c>
      <c r="BLZ32" t="str">
        <f>SOFR3mo_PX[[#This Row],[Column1690]]</f>
        <v>#N/A N/A</v>
      </c>
      <c r="BMA32" t="str">
        <f>SOFR3mo_PX[[#This Row],[Column1691]]</f>
        <v>#N/A N/A</v>
      </c>
      <c r="BMB32" t="str">
        <f>SOFR3mo_PX[[#This Row],[Column1692]]</f>
        <v>#N/A N/A</v>
      </c>
      <c r="BMC32" t="str">
        <f>SOFR3mo_PX[[#This Row],[Column1693]]</f>
        <v>#N/A N/A</v>
      </c>
      <c r="BMD32" t="str">
        <f>SOFR3mo_PX[[#This Row],[Column1694]]</f>
        <v>#N/A N/A</v>
      </c>
      <c r="BME32" t="str">
        <f>SOFR3mo_PX[[#This Row],[Column1695]]</f>
        <v>#N/A N/A</v>
      </c>
      <c r="BMF32" t="str">
        <f>SOFR3mo_PX[[#This Row],[Column1696]]</f>
        <v>#N/A N/A</v>
      </c>
      <c r="BMG32" t="str">
        <f>SOFR3mo_PX[[#This Row],[Column1697]]</f>
        <v>#N/A N/A</v>
      </c>
      <c r="BMH32" t="str">
        <f>SOFR3mo_PX[[#This Row],[Column1698]]</f>
        <v>#N/A N/A</v>
      </c>
      <c r="BMI32" t="str">
        <f>SOFR3mo_PX[[#This Row],[Column1699]]</f>
        <v>#N/A N/A</v>
      </c>
      <c r="BMJ32" t="str">
        <f>SOFR3mo_PX[[#This Row],[Column1700]]</f>
        <v>#N/A N/A</v>
      </c>
      <c r="BMK32" t="str">
        <f>SOFR3mo_PX[[#This Row],[Column1701]]</f>
        <v>#N/A N/A</v>
      </c>
      <c r="BML32" t="str">
        <f>SOFR3mo_PX[[#This Row],[Column1702]]</f>
        <v>#N/A N/A</v>
      </c>
      <c r="BMM32" t="str">
        <f>SOFR3mo_PX[[#This Row],[Column1703]]</f>
        <v>#N/A N/A</v>
      </c>
      <c r="BMN32" t="str">
        <f>SOFR3mo_PX[[#This Row],[Column1704]]</f>
        <v>#N/A N/A</v>
      </c>
      <c r="BMO32" t="str">
        <f>SOFR3mo_PX[[#This Row],[Column1705]]</f>
        <v>#N/A N/A</v>
      </c>
      <c r="BMP32" t="str">
        <f>SOFR3mo_PX[[#This Row],[Column1706]]</f>
        <v>#N/A N/A</v>
      </c>
      <c r="BMQ32" t="str">
        <f>SOFR3mo_PX[[#This Row],[Column1707]]</f>
        <v>#N/A N/A</v>
      </c>
      <c r="BMR32" t="str">
        <f>SOFR3mo_PX[[#This Row],[Column1708]]</f>
        <v>#N/A N/A</v>
      </c>
      <c r="BMS32" t="str">
        <f>SOFR3mo_PX[[#This Row],[Column1709]]</f>
        <v>#N/A N/A</v>
      </c>
      <c r="BMT32" t="str">
        <f>SOFR3mo_PX[[#This Row],[Column1710]]</f>
        <v>#N/A N/A</v>
      </c>
      <c r="BMU32" t="str">
        <f>SOFR3mo_PX[[#This Row],[Column1711]]</f>
        <v>#N/A N/A</v>
      </c>
      <c r="BMV32" t="str">
        <f>SOFR3mo_PX[[#This Row],[Column1712]]</f>
        <v>#N/A N/A</v>
      </c>
      <c r="BMW32" t="str">
        <f>SOFR3mo_PX[[#This Row],[Column1713]]</f>
        <v>#N/A N/A</v>
      </c>
      <c r="BMX32" t="str">
        <f>SOFR3mo_PX[[#This Row],[Column1714]]</f>
        <v>#N/A N/A</v>
      </c>
      <c r="BMY32" t="str">
        <f>SOFR3mo_PX[[#This Row],[Column1715]]</f>
        <v>#N/A N/A</v>
      </c>
      <c r="BMZ32" t="str">
        <f>SOFR3mo_PX[[#This Row],[Column1716]]</f>
        <v>#N/A N/A</v>
      </c>
      <c r="BNA32" t="str">
        <f>SOFR3mo_PX[[#This Row],[Column1717]]</f>
        <v>#N/A N/A</v>
      </c>
      <c r="BNB32" t="str">
        <f>SOFR3mo_PX[[#This Row],[Column1718]]</f>
        <v>#N/A N/A</v>
      </c>
      <c r="BNC32" t="str">
        <f>SOFR3mo_PX[[#This Row],[Column1719]]</f>
        <v>#N/A N/A</v>
      </c>
      <c r="BND32" t="str">
        <f>SOFR3mo_PX[[#This Row],[Column1720]]</f>
        <v>#N/A N/A</v>
      </c>
      <c r="BNE32" t="str">
        <f>SOFR3mo_PX[[#This Row],[Column1721]]</f>
        <v>#N/A N/A</v>
      </c>
      <c r="BNF32" t="str">
        <f>SOFR3mo_PX[[#This Row],[Column1722]]</f>
        <v>#N/A N/A</v>
      </c>
      <c r="BNG32" t="str">
        <f>SOFR3mo_PX[[#This Row],[Column1723]]</f>
        <v>#N/A N/A</v>
      </c>
      <c r="BNH32" t="str">
        <f>SOFR3mo_PX[[#This Row],[Column1724]]</f>
        <v>#N/A N/A</v>
      </c>
      <c r="BNI32" t="str">
        <f>SOFR3mo_PX[[#This Row],[Column1725]]</f>
        <v>#N/A N/A</v>
      </c>
      <c r="BNJ32" t="str">
        <f>SOFR3mo_PX[[#This Row],[Column1726]]</f>
        <v>#N/A N/A</v>
      </c>
      <c r="BNK32" t="str">
        <f>SOFR3mo_PX[[#This Row],[Column1727]]</f>
        <v>#N/A N/A</v>
      </c>
      <c r="BNL32" t="str">
        <f>SOFR3mo_PX[[#This Row],[Column1728]]</f>
        <v>#N/A N/A</v>
      </c>
      <c r="BNM32" t="str">
        <f>SOFR3mo_PX[[#This Row],[Column1729]]</f>
        <v>#N/A N/A</v>
      </c>
      <c r="BNN32" t="str">
        <f>SOFR3mo_PX[[#This Row],[Column1730]]</f>
        <v>#N/A N/A</v>
      </c>
      <c r="BNO32" t="str">
        <f>SOFR3mo_PX[[#This Row],[Column1731]]</f>
        <v>#N/A N/A</v>
      </c>
      <c r="BNP32" t="str">
        <f>SOFR3mo_PX[[#This Row],[Column1732]]</f>
        <v>#N/A N/A</v>
      </c>
      <c r="BNQ32" t="str">
        <f>SOFR3mo_PX[[#This Row],[Column1733]]</f>
        <v>#N/A N/A</v>
      </c>
      <c r="BNR32" t="str">
        <f>SOFR3mo_PX[[#This Row],[Column1734]]</f>
        <v>#N/A N/A</v>
      </c>
      <c r="BNS32" t="str">
        <f>SOFR3mo_PX[[#This Row],[Column1735]]</f>
        <v>#N/A N/A</v>
      </c>
      <c r="BNT32" t="str">
        <f>SOFR3mo_PX[[#This Row],[Column1736]]</f>
        <v>#N/A N/A</v>
      </c>
      <c r="BNU32" t="str">
        <f>SOFR3mo_PX[[#This Row],[Column1737]]</f>
        <v>#N/A N/A</v>
      </c>
      <c r="BNV32" t="str">
        <f>SOFR3mo_PX[[#This Row],[Column1738]]</f>
        <v>#N/A N/A</v>
      </c>
      <c r="BNW32" t="str">
        <f>SOFR3mo_PX[[#This Row],[Column1739]]</f>
        <v>#N/A N/A</v>
      </c>
      <c r="BNX32" t="str">
        <f>SOFR3mo_PX[[#This Row],[Column1740]]</f>
        <v>#N/A N/A</v>
      </c>
      <c r="BNY32" t="str">
        <f>SOFR3mo_PX[[#This Row],[Column1741]]</f>
        <v>#N/A N/A</v>
      </c>
      <c r="BNZ32" t="str">
        <f>SOFR3mo_PX[[#This Row],[Column1742]]</f>
        <v>#N/A N/A</v>
      </c>
      <c r="BOA32" t="str">
        <f>SOFR3mo_PX[[#This Row],[Column1743]]</f>
        <v>#N/A N/A</v>
      </c>
      <c r="BOB32" t="str">
        <f>SOFR3mo_PX[[#This Row],[Column1744]]</f>
        <v>#N/A N/A</v>
      </c>
      <c r="BOC32" t="str">
        <f>SOFR3mo_PX[[#This Row],[Column1745]]</f>
        <v>#N/A N/A</v>
      </c>
      <c r="BOD32" t="str">
        <f>SOFR3mo_PX[[#This Row],[Column1746]]</f>
        <v>#N/A N/A</v>
      </c>
      <c r="BOE32" t="str">
        <f>SOFR3mo_PX[[#This Row],[Column1747]]</f>
        <v>#N/A N/A</v>
      </c>
      <c r="BOF32" t="str">
        <f>SOFR3mo_PX[[#This Row],[Column1748]]</f>
        <v>#N/A N/A</v>
      </c>
      <c r="BOG32" t="str">
        <f>SOFR3mo_PX[[#This Row],[Column1749]]</f>
        <v>#N/A N/A</v>
      </c>
      <c r="BOH32" t="str">
        <f>SOFR3mo_PX[[#This Row],[Column1750]]</f>
        <v>#N/A N/A</v>
      </c>
      <c r="BOI32" t="str">
        <f>SOFR3mo_PX[[#This Row],[Column1751]]</f>
        <v>#N/A N/A</v>
      </c>
      <c r="BOJ32" t="str">
        <f>SOFR3mo_PX[[#This Row],[Column1752]]</f>
        <v>#N/A N/A</v>
      </c>
      <c r="BOK32" t="str">
        <f>SOFR3mo_PX[[#This Row],[Column1753]]</f>
        <v>#N/A N/A</v>
      </c>
      <c r="BOL32" t="str">
        <f>SOFR3mo_PX[[#This Row],[Column1754]]</f>
        <v>#N/A N/A</v>
      </c>
      <c r="BOM32" t="str">
        <f>SOFR3mo_PX[[#This Row],[Column1755]]</f>
        <v>#N/A N/A</v>
      </c>
      <c r="BON32" t="str">
        <f>SOFR3mo_PX[[#This Row],[Column1756]]</f>
        <v>#N/A N/A</v>
      </c>
      <c r="BOO32" t="str">
        <f>SOFR3mo_PX[[#This Row],[Column1757]]</f>
        <v>#N/A N/A</v>
      </c>
      <c r="BOP32" t="str">
        <f>SOFR3mo_PX[[#This Row],[Column1758]]</f>
        <v>#N/A N/A</v>
      </c>
      <c r="BOQ32" t="str">
        <f>SOFR3mo_PX[[#This Row],[Column1759]]</f>
        <v>#N/A N/A</v>
      </c>
      <c r="BOR32" t="str">
        <f>SOFR3mo_PX[[#This Row],[Column1760]]</f>
        <v>#N/A N/A</v>
      </c>
      <c r="BOS32" t="str">
        <f>SOFR3mo_PX[[#This Row],[Column1761]]</f>
        <v>#N/A N/A</v>
      </c>
      <c r="BOT32" t="str">
        <f>SOFR3mo_PX[[#This Row],[Column1762]]</f>
        <v>#N/A N/A</v>
      </c>
      <c r="BOU32" t="str">
        <f>SOFR3mo_PX[[#This Row],[Column1763]]</f>
        <v>#N/A N/A</v>
      </c>
      <c r="BOV32" t="str">
        <f>SOFR3mo_PX[[#This Row],[Column1764]]</f>
        <v>#N/A N/A</v>
      </c>
      <c r="BOW32" t="str">
        <f>SOFR3mo_PX[[#This Row],[Column1765]]</f>
        <v>#N/A N/A</v>
      </c>
      <c r="BOX32" t="str">
        <f>SOFR3mo_PX[[#This Row],[Column1766]]</f>
        <v>#N/A N/A</v>
      </c>
      <c r="BOY32" t="str">
        <f>SOFR3mo_PX[[#This Row],[Column1767]]</f>
        <v>#N/A N/A</v>
      </c>
      <c r="BOZ32" t="str">
        <f>SOFR3mo_PX[[#This Row],[Column1768]]</f>
        <v>#N/A N/A</v>
      </c>
      <c r="BPA32" t="str">
        <f>SOFR3mo_PX[[#This Row],[Column1769]]</f>
        <v>#N/A N/A</v>
      </c>
      <c r="BPB32" t="str">
        <f>SOFR3mo_PX[[#This Row],[Column1770]]</f>
        <v>#N/A N/A</v>
      </c>
      <c r="BPC32" t="str">
        <f>SOFR3mo_PX[[#This Row],[Column1771]]</f>
        <v>#N/A N/A</v>
      </c>
      <c r="BPD32" t="str">
        <f>SOFR3mo_PX[[#This Row],[Column1772]]</f>
        <v>#N/A N/A</v>
      </c>
      <c r="BPE32" t="str">
        <f>SOFR3mo_PX[[#This Row],[Column1773]]</f>
        <v>#N/A N/A</v>
      </c>
      <c r="BPF32" t="str">
        <f>SOFR3mo_PX[[#This Row],[Column1774]]</f>
        <v>#N/A N/A</v>
      </c>
      <c r="BPG32" t="str">
        <f>SOFR3mo_PX[[#This Row],[Column1775]]</f>
        <v>#N/A N/A</v>
      </c>
      <c r="BPH32" t="str">
        <f>SOFR3mo_PX[[#This Row],[Column1776]]</f>
        <v>#N/A N/A</v>
      </c>
      <c r="BPI32" t="str">
        <f>SOFR3mo_PX[[#This Row],[Column1777]]</f>
        <v>#N/A N/A</v>
      </c>
      <c r="BPJ32" t="str">
        <f>SOFR3mo_PX[[#This Row],[Column1778]]</f>
        <v>#N/A N/A</v>
      </c>
      <c r="BPK32" t="str">
        <f>SOFR3mo_PX[[#This Row],[Column1779]]</f>
        <v>#N/A N/A</v>
      </c>
      <c r="BPL32" t="str">
        <f>SOFR3mo_PX[[#This Row],[Column1780]]</f>
        <v>#N/A N/A</v>
      </c>
      <c r="BPM32" t="str">
        <f>SOFR3mo_PX[[#This Row],[Column1781]]</f>
        <v>#N/A N/A</v>
      </c>
      <c r="BPN32" t="str">
        <f>SOFR3mo_PX[[#This Row],[Column1782]]</f>
        <v>#N/A N/A</v>
      </c>
      <c r="BPO32" t="str">
        <f>SOFR3mo_PX[[#This Row],[Column1783]]</f>
        <v>#N/A N/A</v>
      </c>
      <c r="BPP32" t="str">
        <f>SOFR3mo_PX[[#This Row],[Column1784]]</f>
        <v>#N/A N/A</v>
      </c>
      <c r="BPQ32" t="str">
        <f>SOFR3mo_PX[[#This Row],[Column1785]]</f>
        <v>#N/A N/A</v>
      </c>
      <c r="BPR32" t="str">
        <f>SOFR3mo_PX[[#This Row],[Column1786]]</f>
        <v>#N/A N/A</v>
      </c>
      <c r="BPS32" t="str">
        <f>SOFR3mo_PX[[#This Row],[Column1787]]</f>
        <v>#N/A N/A</v>
      </c>
      <c r="BPT32" t="str">
        <f>SOFR3mo_PX[[#This Row],[Column1788]]</f>
        <v>#N/A N/A</v>
      </c>
      <c r="BPU32" t="str">
        <f>SOFR3mo_PX[[#This Row],[Column1789]]</f>
        <v>#N/A N/A</v>
      </c>
      <c r="BPV32" t="str">
        <f>SOFR3mo_PX[[#This Row],[Column1790]]</f>
        <v>#N/A N/A</v>
      </c>
      <c r="BPW32" t="str">
        <f>SOFR3mo_PX[[#This Row],[Column1791]]</f>
        <v>#N/A N/A</v>
      </c>
      <c r="BPX32" t="str">
        <f>SOFR3mo_PX[[#This Row],[Column1792]]</f>
        <v>#N/A N/A</v>
      </c>
      <c r="BPY32" t="str">
        <f>SOFR3mo_PX[[#This Row],[Column1793]]</f>
        <v>#N/A N/A</v>
      </c>
      <c r="BPZ32" t="str">
        <f>SOFR3mo_PX[[#This Row],[Column1794]]</f>
        <v>#N/A N/A</v>
      </c>
      <c r="BQA32" t="str">
        <f>SOFR3mo_PX[[#This Row],[Column1795]]</f>
        <v>#N/A N/A</v>
      </c>
      <c r="BQB32" t="str">
        <f>SOFR3mo_PX[[#This Row],[Column1796]]</f>
        <v>#N/A N/A</v>
      </c>
      <c r="BQC32" t="str">
        <f>SOFR3mo_PX[[#This Row],[Column1797]]</f>
        <v>#N/A N/A</v>
      </c>
      <c r="BQD32" t="str">
        <f>SOFR3mo_PX[[#This Row],[Column1798]]</f>
        <v>#N/A N/A</v>
      </c>
      <c r="BQE32" t="str">
        <f>SOFR3mo_PX[[#This Row],[Column1799]]</f>
        <v>#N/A N/A</v>
      </c>
      <c r="BQF32" t="str">
        <f>SOFR3mo_PX[[#This Row],[Column1800]]</f>
        <v>#N/A N/A</v>
      </c>
      <c r="BQG32" t="str">
        <f>SOFR3mo_PX[[#This Row],[Column1801]]</f>
        <v>#N/A N/A</v>
      </c>
      <c r="BQH32" t="str">
        <f>SOFR3mo_PX[[#This Row],[Column1802]]</f>
        <v>#N/A N/A</v>
      </c>
      <c r="BQI32" t="str">
        <f>SOFR3mo_PX[[#This Row],[Column1803]]</f>
        <v>#N/A N/A</v>
      </c>
      <c r="BQJ32" t="str">
        <f>SOFR3mo_PX[[#This Row],[Column1804]]</f>
        <v>#N/A N/A</v>
      </c>
      <c r="BQK32" t="str">
        <f>SOFR3mo_PX[[#This Row],[Column1805]]</f>
        <v>#N/A N/A</v>
      </c>
      <c r="BQL32" t="str">
        <f>SOFR3mo_PX[[#This Row],[Column1806]]</f>
        <v>#N/A N/A</v>
      </c>
      <c r="BQM32" t="str">
        <f>SOFR3mo_PX[[#This Row],[Column1807]]</f>
        <v>#N/A N/A</v>
      </c>
      <c r="BQN32" t="str">
        <f>SOFR3mo_PX[[#This Row],[Column1808]]</f>
        <v>#N/A N/A</v>
      </c>
      <c r="BQO32" t="str">
        <f>SOFR3mo_PX[[#This Row],[Column1809]]</f>
        <v>#N/A N/A</v>
      </c>
      <c r="BQP32" t="str">
        <f>SOFR3mo_PX[[#This Row],[Column1810]]</f>
        <v>#N/A N/A</v>
      </c>
      <c r="BQQ32" t="str">
        <f>SOFR3mo_PX[[#This Row],[Column1811]]</f>
        <v>#N/A N/A</v>
      </c>
      <c r="BQR32" t="str">
        <f>SOFR3mo_PX[[#This Row],[Column1812]]</f>
        <v>#N/A N/A</v>
      </c>
      <c r="BQS32" t="str">
        <f>SOFR3mo_PX[[#This Row],[Column1813]]</f>
        <v>#N/A N/A</v>
      </c>
      <c r="BQT32" t="str">
        <f>SOFR3mo_PX[[#This Row],[Column1814]]</f>
        <v>#N/A N/A</v>
      </c>
      <c r="BQU32" t="str">
        <f>SOFR3mo_PX[[#This Row],[Column1815]]</f>
        <v>#N/A N/A</v>
      </c>
      <c r="BQV32" t="str">
        <f>SOFR3mo_PX[[#This Row],[Column1816]]</f>
        <v>#N/A N/A</v>
      </c>
      <c r="BQW32" t="str">
        <f>SOFR3mo_PX[[#This Row],[Column1817]]</f>
        <v>#N/A N/A</v>
      </c>
      <c r="BQX32" t="str">
        <f>SOFR3mo_PX[[#This Row],[Column1818]]</f>
        <v>#N/A N/A</v>
      </c>
      <c r="BQY32" t="str">
        <f>SOFR3mo_PX[[#This Row],[Column1819]]</f>
        <v>#N/A N/A</v>
      </c>
      <c r="BQZ32" t="str">
        <f>SOFR3mo_PX[[#This Row],[Column1820]]</f>
        <v>#N/A N/A</v>
      </c>
      <c r="BRA32" t="str">
        <f>SOFR3mo_PX[[#This Row],[Column1821]]</f>
        <v>#N/A N/A</v>
      </c>
      <c r="BRB32" t="str">
        <f>SOFR3mo_PX[[#This Row],[Column1822]]</f>
        <v>#N/A N/A</v>
      </c>
      <c r="BRC32" t="str">
        <f>SOFR3mo_PX[[#This Row],[Column1823]]</f>
        <v>#N/A N/A</v>
      </c>
      <c r="BRD32" t="str">
        <f>SOFR3mo_PX[[#This Row],[Column1824]]</f>
        <v>#N/A N/A</v>
      </c>
      <c r="BRE32" t="str">
        <f>SOFR3mo_PX[[#This Row],[Column1825]]</f>
        <v>#N/A N/A</v>
      </c>
      <c r="BRF32" t="str">
        <f>SOFR3mo_PX[[#This Row],[Column1826]]</f>
        <v>#N/A N/A</v>
      </c>
      <c r="BRG32" t="str">
        <f>SOFR3mo_PX[[#This Row],[Column1827]]</f>
        <v>#N/A N/A</v>
      </c>
      <c r="BRH32" t="str">
        <f>SOFR3mo_PX[[#This Row],[Column1828]]</f>
        <v>#N/A N/A</v>
      </c>
      <c r="BRI32" t="str">
        <f>SOFR3mo_PX[[#This Row],[Column1829]]</f>
        <v>#N/A N/A</v>
      </c>
      <c r="BRJ32" t="str">
        <f>SOFR3mo_PX[[#This Row],[Column1830]]</f>
        <v>#N/A N/A</v>
      </c>
      <c r="BRK32" t="str">
        <f>SOFR3mo_PX[[#This Row],[Column1831]]</f>
        <v>#N/A N/A</v>
      </c>
      <c r="BRL32" t="str">
        <f>SOFR3mo_PX[[#This Row],[Column1832]]</f>
        <v>#N/A N/A</v>
      </c>
      <c r="BRM32" t="str">
        <f>SOFR3mo_PX[[#This Row],[Column1833]]</f>
        <v>#N/A N/A</v>
      </c>
      <c r="BRN32" t="str">
        <f>SOFR3mo_PX[[#This Row],[Column1834]]</f>
        <v>#N/A N/A</v>
      </c>
      <c r="BRO32" t="str">
        <f>SOFR3mo_PX[[#This Row],[Column1835]]</f>
        <v>#N/A N/A</v>
      </c>
      <c r="BRP32" t="str">
        <f>SOFR3mo_PX[[#This Row],[Column1836]]</f>
        <v>#N/A N/A</v>
      </c>
      <c r="BRQ32" t="str">
        <f>SOFR3mo_PX[[#This Row],[Column1837]]</f>
        <v>#N/A N/A</v>
      </c>
      <c r="BRR32" t="str">
        <f>SOFR3mo_PX[[#This Row],[Column1838]]</f>
        <v>#N/A N/A</v>
      </c>
      <c r="BRS32" t="str">
        <f>SOFR3mo_PX[[#This Row],[Column1839]]</f>
        <v>#N/A N/A</v>
      </c>
      <c r="BRT32" t="str">
        <f>SOFR3mo_PX[[#This Row],[Column1840]]</f>
        <v>#N/A N/A</v>
      </c>
      <c r="BRU32" t="str">
        <f>SOFR3mo_PX[[#This Row],[Column1841]]</f>
        <v>#N/A N/A</v>
      </c>
      <c r="BRV32" t="str">
        <f>SOFR3mo_PX[[#This Row],[Column1842]]</f>
        <v>#N/A N/A</v>
      </c>
      <c r="BRW32" t="str">
        <f>SOFR3mo_PX[[#This Row],[Column1843]]</f>
        <v>#N/A N/A</v>
      </c>
      <c r="BRX32" t="str">
        <f>SOFR3mo_PX[[#This Row],[Column1844]]</f>
        <v>#N/A N/A</v>
      </c>
      <c r="BRY32" t="str">
        <f>SOFR3mo_PX[[#This Row],[Column1845]]</f>
        <v>#N/A N/A</v>
      </c>
      <c r="BRZ32" t="str">
        <f>SOFR3mo_PX[[#This Row],[Column1846]]</f>
        <v>#N/A N/A</v>
      </c>
      <c r="BSA32" t="str">
        <f>SOFR3mo_PX[[#This Row],[Column1847]]</f>
        <v>#N/A N/A</v>
      </c>
      <c r="BSB32" t="str">
        <f>SOFR3mo_PX[[#This Row],[Column1848]]</f>
        <v>#N/A N/A</v>
      </c>
      <c r="BSC32" t="str">
        <f>SOFR3mo_PX[[#This Row],[Column1849]]</f>
        <v>#N/A N/A</v>
      </c>
      <c r="BSD32" t="str">
        <f>SOFR3mo_PX[[#This Row],[Column1850]]</f>
        <v>#N/A N/A</v>
      </c>
      <c r="BSE32" t="str">
        <f>SOFR3mo_PX[[#This Row],[Column1851]]</f>
        <v>#N/A N/A</v>
      </c>
      <c r="BSF32" t="str">
        <f>SOFR3mo_PX[[#This Row],[Column1852]]</f>
        <v>#N/A N/A</v>
      </c>
      <c r="BSG32" t="str">
        <f>SOFR3mo_PX[[#This Row],[Column1853]]</f>
        <v>#N/A N/A</v>
      </c>
      <c r="BSH32" t="str">
        <f>SOFR3mo_PX[[#This Row],[Column1854]]</f>
        <v>#N/A N/A</v>
      </c>
      <c r="BSI32" t="str">
        <f>SOFR3mo_PX[[#This Row],[Column1855]]</f>
        <v>#N/A N/A</v>
      </c>
      <c r="BSJ32" t="str">
        <f>SOFR3mo_PX[[#This Row],[Column1856]]</f>
        <v>#N/A N/A</v>
      </c>
      <c r="BSK32" t="str">
        <f>SOFR3mo_PX[[#This Row],[Column1857]]</f>
        <v>#N/A N/A</v>
      </c>
      <c r="BSL32" t="str">
        <f>SOFR3mo_PX[[#This Row],[Column1858]]</f>
        <v>#N/A N/A</v>
      </c>
      <c r="BSM32" t="str">
        <f>SOFR3mo_PX[[#This Row],[Column1859]]</f>
        <v>#N/A N/A</v>
      </c>
      <c r="BSN32" t="str">
        <f>SOFR3mo_PX[[#This Row],[Column1860]]</f>
        <v>#N/A N/A</v>
      </c>
      <c r="BSO32" t="str">
        <f>SOFR3mo_PX[[#This Row],[Column1861]]</f>
        <v>#N/A N/A</v>
      </c>
      <c r="BSP32" t="str">
        <f>SOFR3mo_PX[[#This Row],[Column1862]]</f>
        <v>#N/A N/A</v>
      </c>
      <c r="BSQ32" t="str">
        <f>SOFR3mo_PX[[#This Row],[Column1863]]</f>
        <v>#N/A N/A</v>
      </c>
      <c r="BSR32" t="str">
        <f>SOFR3mo_PX[[#This Row],[Column1864]]</f>
        <v>#N/A N/A</v>
      </c>
      <c r="BSS32" t="str">
        <f>SOFR3mo_PX[[#This Row],[Column1865]]</f>
        <v>#N/A N/A</v>
      </c>
      <c r="BST32" t="str">
        <f>SOFR3mo_PX[[#This Row],[Column1866]]</f>
        <v>#N/A N/A</v>
      </c>
      <c r="BSU32" t="str">
        <f>SOFR3mo_PX[[#This Row],[Column1867]]</f>
        <v>#N/A N/A</v>
      </c>
      <c r="BSV32" t="str">
        <f>SOFR3mo_PX[[#This Row],[Column1868]]</f>
        <v>#N/A N/A</v>
      </c>
      <c r="BSW32" t="str">
        <f>SOFR3mo_PX[[#This Row],[Column1869]]</f>
        <v>#N/A N/A</v>
      </c>
      <c r="BSX32" t="str">
        <f>SOFR3mo_PX[[#This Row],[Column1870]]</f>
        <v>#N/A N/A</v>
      </c>
      <c r="BSY32" t="str">
        <f>SOFR3mo_PX[[#This Row],[Column1871]]</f>
        <v>#N/A N/A</v>
      </c>
      <c r="BSZ32" t="str">
        <f>SOFR3mo_PX[[#This Row],[Column1872]]</f>
        <v>#N/A N/A</v>
      </c>
      <c r="BTA32" t="str">
        <f>SOFR3mo_PX[[#This Row],[Column1873]]</f>
        <v>#N/A N/A</v>
      </c>
      <c r="BTB32" t="str">
        <f>SOFR3mo_PX[[#This Row],[Column1874]]</f>
        <v>#N/A N/A</v>
      </c>
      <c r="BTC32" t="str">
        <f>SOFR3mo_PX[[#This Row],[Column1875]]</f>
        <v>#N/A N/A</v>
      </c>
      <c r="BTD32" t="str">
        <f>SOFR3mo_PX[[#This Row],[Column1876]]</f>
        <v>#N/A N/A</v>
      </c>
      <c r="BTE32" t="str">
        <f>SOFR3mo_PX[[#This Row],[Column1877]]</f>
        <v>#N/A N/A</v>
      </c>
      <c r="BTF32" t="str">
        <f>SOFR3mo_PX[[#This Row],[Column1878]]</f>
        <v>#N/A N/A</v>
      </c>
      <c r="BTG32" t="str">
        <f>SOFR3mo_PX[[#This Row],[Column1879]]</f>
        <v>#N/A N/A</v>
      </c>
      <c r="BTH32" t="str">
        <f>SOFR3mo_PX[[#This Row],[Column1880]]</f>
        <v>#N/A N/A</v>
      </c>
      <c r="BTI32" t="str">
        <f>SOFR3mo_PX[[#This Row],[Column1881]]</f>
        <v>#N/A N/A</v>
      </c>
      <c r="BTJ32" t="str">
        <f>SOFR3mo_PX[[#This Row],[Column1882]]</f>
        <v>#N/A N/A</v>
      </c>
      <c r="BTK32" t="str">
        <f>SOFR3mo_PX[[#This Row],[Column1883]]</f>
        <v>#N/A N/A</v>
      </c>
      <c r="BTL32" t="str">
        <f>SOFR3mo_PX[[#This Row],[Column1884]]</f>
        <v>#N/A N/A</v>
      </c>
      <c r="BTM32" t="str">
        <f>SOFR3mo_PX[[#This Row],[Column1885]]</f>
        <v>#N/A N/A</v>
      </c>
      <c r="BTN32" t="str">
        <f>SOFR3mo_PX[[#This Row],[Column1886]]</f>
        <v>#N/A N/A</v>
      </c>
      <c r="BTO32" t="str">
        <f>SOFR3mo_PX[[#This Row],[Column1887]]</f>
        <v>#N/A N/A</v>
      </c>
      <c r="BTP32" t="str">
        <f>SOFR3mo_PX[[#This Row],[Column1888]]</f>
        <v>#N/A N/A</v>
      </c>
      <c r="BTQ32" t="str">
        <f>SOFR3mo_PX[[#This Row],[Column1889]]</f>
        <v>#N/A N/A</v>
      </c>
      <c r="BTR32" t="str">
        <f>SOFR3mo_PX[[#This Row],[Column1890]]</f>
        <v>#N/A N/A</v>
      </c>
      <c r="BTS32" t="str">
        <f>SOFR3mo_PX[[#This Row],[Column1891]]</f>
        <v>#N/A N/A</v>
      </c>
      <c r="BTT32" t="str">
        <f>SOFR3mo_PX[[#This Row],[Column1892]]</f>
        <v>#N/A N/A</v>
      </c>
      <c r="BTU32" t="str">
        <f>SOFR3mo_PX[[#This Row],[Column1893]]</f>
        <v>#N/A N/A</v>
      </c>
      <c r="BTV32" t="str">
        <f>SOFR3mo_PX[[#This Row],[Column1894]]</f>
        <v>#N/A N/A</v>
      </c>
      <c r="BTW32" t="str">
        <f>SOFR3mo_PX[[#This Row],[Column1895]]</f>
        <v>#N/A N/A</v>
      </c>
      <c r="BTX32" t="str">
        <f>SOFR3mo_PX[[#This Row],[Column1896]]</f>
        <v>#N/A N/A</v>
      </c>
      <c r="BTY32" t="str">
        <f>SOFR3mo_PX[[#This Row],[Column1897]]</f>
        <v>#N/A N/A</v>
      </c>
      <c r="BTZ32" t="str">
        <f>SOFR3mo_PX[[#This Row],[Column1898]]</f>
        <v>#N/A N/A</v>
      </c>
      <c r="BUA32" t="str">
        <f>SOFR3mo_PX[[#This Row],[Column1899]]</f>
        <v>#N/A N/A</v>
      </c>
      <c r="BUB32" t="str">
        <f>SOFR3mo_PX[[#This Row],[Column1900]]</f>
        <v>#N/A N/A</v>
      </c>
      <c r="BUC32" t="str">
        <f>SOFR3mo_PX[[#This Row],[Column1901]]</f>
        <v>#N/A N/A</v>
      </c>
      <c r="BUD32" t="str">
        <f>SOFR3mo_PX[[#This Row],[Column1902]]</f>
        <v>#N/A N/A</v>
      </c>
      <c r="BUE32" t="str">
        <f>SOFR3mo_PX[[#This Row],[Column1903]]</f>
        <v>#N/A N/A</v>
      </c>
      <c r="BUF32" t="str">
        <f>SOFR3mo_PX[[#This Row],[Column1904]]</f>
        <v>#N/A N/A</v>
      </c>
      <c r="BUG32" t="str">
        <f>SOFR3mo_PX[[#This Row],[Column1905]]</f>
        <v>#N/A N/A</v>
      </c>
      <c r="BUH32" t="str">
        <f>SOFR3mo_PX[[#This Row],[Column1906]]</f>
        <v>#N/A N/A</v>
      </c>
      <c r="BUI32" t="str">
        <f>SOFR3mo_PX[[#This Row],[Column1907]]</f>
        <v>#N/A N/A</v>
      </c>
      <c r="BUJ32" t="str">
        <f>SOFR3mo_PX[[#This Row],[Column1908]]</f>
        <v>#N/A N/A</v>
      </c>
      <c r="BUK32" t="str">
        <f>SOFR3mo_PX[[#This Row],[Column1909]]</f>
        <v>#N/A N/A</v>
      </c>
      <c r="BUL32" t="str">
        <f>SOFR3mo_PX[[#This Row],[Column1910]]</f>
        <v>#N/A N/A</v>
      </c>
      <c r="BUM32" t="str">
        <f>SOFR3mo_PX[[#This Row],[Column1911]]</f>
        <v>#N/A N/A</v>
      </c>
      <c r="BUN32" t="str">
        <f>SOFR3mo_PX[[#This Row],[Column1912]]</f>
        <v>#N/A N/A</v>
      </c>
      <c r="BUO32" t="str">
        <f>SOFR3mo_PX[[#This Row],[Column1913]]</f>
        <v>#N/A N/A</v>
      </c>
      <c r="BUP32" t="str">
        <f>SOFR3mo_PX[[#This Row],[Column1914]]</f>
        <v>#N/A N/A</v>
      </c>
      <c r="BUQ32" t="str">
        <f>SOFR3mo_PX[[#This Row],[Column1915]]</f>
        <v>#N/A N/A</v>
      </c>
      <c r="BUR32" t="str">
        <f>SOFR3mo_PX[[#This Row],[Column1916]]</f>
        <v>#N/A N/A</v>
      </c>
      <c r="BUS32" t="str">
        <f>SOFR3mo_PX[[#This Row],[Column1917]]</f>
        <v>#N/A N/A</v>
      </c>
      <c r="BUT32" t="str">
        <f>SOFR3mo_PX[[#This Row],[Column1918]]</f>
        <v>#N/A N/A</v>
      </c>
      <c r="BUU32" t="str">
        <f>SOFR3mo_PX[[#This Row],[Column1919]]</f>
        <v>#N/A N/A</v>
      </c>
      <c r="BUV32" t="str">
        <f>SOFR3mo_PX[[#This Row],[Column1920]]</f>
        <v>#N/A N/A</v>
      </c>
      <c r="BUW32" t="str">
        <f>SOFR3mo_PX[[#This Row],[Column1921]]</f>
        <v>#N/A N/A</v>
      </c>
      <c r="BUX32" t="str">
        <f>SOFR3mo_PX[[#This Row],[Column1922]]</f>
        <v>#N/A N/A</v>
      </c>
      <c r="BUY32" t="str">
        <f>SOFR3mo_PX[[#This Row],[Column1923]]</f>
        <v>#N/A N/A</v>
      </c>
      <c r="BUZ32" t="str">
        <f>SOFR3mo_PX[[#This Row],[Column1924]]</f>
        <v>#N/A N/A</v>
      </c>
      <c r="BVA32" t="str">
        <f>SOFR3mo_PX[[#This Row],[Column1925]]</f>
        <v>#N/A N/A</v>
      </c>
      <c r="BVB32" t="str">
        <f>SOFR3mo_PX[[#This Row],[Column1926]]</f>
        <v>#N/A N/A</v>
      </c>
      <c r="BVC32" t="str">
        <f>SOFR3mo_PX[[#This Row],[Column1927]]</f>
        <v>#N/A N/A</v>
      </c>
      <c r="BVD32" t="str">
        <f>SOFR3mo_PX[[#This Row],[Column1928]]</f>
        <v>#N/A N/A</v>
      </c>
      <c r="BVE32" t="str">
        <f>SOFR3mo_PX[[#This Row],[Column1929]]</f>
        <v>#N/A N/A</v>
      </c>
      <c r="BVF32" t="str">
        <f>SOFR3mo_PX[[#This Row],[Column1930]]</f>
        <v>#N/A N/A</v>
      </c>
      <c r="BVG32" t="str">
        <f>SOFR3mo_PX[[#This Row],[Column1931]]</f>
        <v>#N/A N/A</v>
      </c>
      <c r="BVH32" t="str">
        <f>SOFR3mo_PX[[#This Row],[Column1932]]</f>
        <v>#N/A N/A</v>
      </c>
      <c r="BVI32" t="str">
        <f>SOFR3mo_PX[[#This Row],[Column1933]]</f>
        <v>#N/A N/A</v>
      </c>
      <c r="BVJ32" t="str">
        <f>SOFR3mo_PX[[#This Row],[Column1934]]</f>
        <v>#N/A N/A</v>
      </c>
      <c r="BVK32" t="str">
        <f>SOFR3mo_PX[[#This Row],[Column1935]]</f>
        <v>#N/A N/A</v>
      </c>
      <c r="BVL32" t="str">
        <f>SOFR3mo_PX[[#This Row],[Column1936]]</f>
        <v>#N/A N/A</v>
      </c>
      <c r="BVM32" t="str">
        <f>SOFR3mo_PX[[#This Row],[Column1937]]</f>
        <v>#N/A N/A</v>
      </c>
      <c r="BVN32" t="str">
        <f>SOFR3mo_PX[[#This Row],[Column1938]]</f>
        <v>#N/A N/A</v>
      </c>
      <c r="BVO32" t="str">
        <f>SOFR3mo_PX[[#This Row],[Column1939]]</f>
        <v>#N/A N/A</v>
      </c>
      <c r="BVP32" t="str">
        <f>SOFR3mo_PX[[#This Row],[Column1940]]</f>
        <v>#N/A N/A</v>
      </c>
      <c r="BVQ32" t="str">
        <f>SOFR3mo_PX[[#This Row],[Column1941]]</f>
        <v>#N/A N/A</v>
      </c>
      <c r="BVR32" t="str">
        <f>SOFR3mo_PX[[#This Row],[Column1942]]</f>
        <v>#N/A N/A</v>
      </c>
      <c r="BVS32" t="str">
        <f>SOFR3mo_PX[[#This Row],[Column1943]]</f>
        <v>#N/A N/A</v>
      </c>
      <c r="BVT32" t="str">
        <f>SOFR3mo_PX[[#This Row],[Column1944]]</f>
        <v>#N/A N/A</v>
      </c>
      <c r="BVU32" t="str">
        <f>SOFR3mo_PX[[#This Row],[Column1945]]</f>
        <v>#N/A N/A</v>
      </c>
      <c r="BVV32" t="str">
        <f>SOFR3mo_PX[[#This Row],[Column1946]]</f>
        <v>#N/A N/A</v>
      </c>
      <c r="BVW32" t="str">
        <f>SOFR3mo_PX[[#This Row],[Column1947]]</f>
        <v>#N/A N/A</v>
      </c>
      <c r="BVX32" t="str">
        <f>SOFR3mo_PX[[#This Row],[Column1948]]</f>
        <v>#N/A N/A</v>
      </c>
      <c r="BVY32" t="str">
        <f>SOFR3mo_PX[[#This Row],[Column1949]]</f>
        <v>#N/A N/A</v>
      </c>
      <c r="BVZ32" t="str">
        <f>SOFR3mo_PX[[#This Row],[Column1950]]</f>
        <v>#N/A N/A</v>
      </c>
      <c r="BWA32" t="str">
        <f>SOFR3mo_PX[[#This Row],[Column1951]]</f>
        <v>#N/A N/A</v>
      </c>
      <c r="BWB32" t="str">
        <f>SOFR3mo_PX[[#This Row],[Column1952]]</f>
        <v>#N/A N/A</v>
      </c>
      <c r="BWC32" t="str">
        <f>SOFR3mo_PX[[#This Row],[Column1953]]</f>
        <v>#N/A N/A</v>
      </c>
      <c r="BWD32" t="str">
        <f>SOFR3mo_PX[[#This Row],[Column1954]]</f>
        <v>#N/A N/A</v>
      </c>
    </row>
    <row r="33" spans="1:1954" x14ac:dyDescent="0.25">
      <c r="A33" t="str">
        <f>SOFR3mo_PX[[#This Row],[Column1]]</f>
        <v>SFR32 Comdty</v>
      </c>
      <c r="B33">
        <f>IF(rtd!B31&lt;&gt;"",rtd!B31,SOFR3mo_PX[[#This Row],[Column2]])</f>
        <v>95.58</v>
      </c>
      <c r="C33">
        <f>SOFR3mo_PX[[#This Row],[Column3]]</f>
        <v>95.58</v>
      </c>
      <c r="D33">
        <f>SOFR3mo_PX[[#This Row],[Column4]]</f>
        <v>95.58</v>
      </c>
      <c r="E33">
        <f>SOFR3mo_PX[[#This Row],[Column5]]</f>
        <v>95.62</v>
      </c>
      <c r="F33">
        <f>SOFR3mo_PX[[#This Row],[Column6]]</f>
        <v>95.564999999999998</v>
      </c>
      <c r="G33">
        <f>SOFR3mo_PX[[#This Row],[Column7]]</f>
        <v>95.61</v>
      </c>
      <c r="H33">
        <f>SOFR3mo_PX[[#This Row],[Column8]]</f>
        <v>95.66</v>
      </c>
      <c r="I33">
        <f>SOFR3mo_PX[[#This Row],[Column9]]</f>
        <v>95.6</v>
      </c>
      <c r="J33">
        <f>SOFR3mo_PX[[#This Row],[Column10]]</f>
        <v>95.55</v>
      </c>
      <c r="K33">
        <f>SOFR3mo_PX[[#This Row],[Column11]]</f>
        <v>95.534999999999997</v>
      </c>
      <c r="L33">
        <f>SOFR3mo_PX[[#This Row],[Column12]]</f>
        <v>95.53</v>
      </c>
      <c r="M33">
        <f>SOFR3mo_PX[[#This Row],[Column13]]</f>
        <v>95.63</v>
      </c>
      <c r="N33">
        <f>SOFR3mo_PX[[#This Row],[Column14]]</f>
        <v>95.655000000000001</v>
      </c>
      <c r="O33">
        <f>SOFR3mo_PX[[#This Row],[Column15]]</f>
        <v>95.564999999999998</v>
      </c>
      <c r="P33">
        <f>SOFR3mo_PX[[#This Row],[Column16]]</f>
        <v>95.56</v>
      </c>
      <c r="Q33">
        <f>SOFR3mo_PX[[#This Row],[Column17]]</f>
        <v>95.62</v>
      </c>
      <c r="R33">
        <f>SOFR3mo_PX[[#This Row],[Column18]]</f>
        <v>95.6</v>
      </c>
      <c r="S33">
        <f>SOFR3mo_PX[[#This Row],[Column19]]</f>
        <v>95.57</v>
      </c>
      <c r="T33">
        <f>SOFR3mo_PX[[#This Row],[Column20]]</f>
        <v>95.62</v>
      </c>
      <c r="U33">
        <f>SOFR3mo_PX[[#This Row],[Column21]]</f>
        <v>95.53</v>
      </c>
      <c r="V33">
        <f>SOFR3mo_PX[[#This Row],[Column22]]</f>
        <v>95.53</v>
      </c>
      <c r="W33">
        <f>SOFR3mo_PX[[#This Row],[Column23]]</f>
        <v>95.454999999999998</v>
      </c>
      <c r="X33">
        <f>SOFR3mo_PX[[#This Row],[Column24]]</f>
        <v>95.394999999999996</v>
      </c>
      <c r="Y33">
        <f>SOFR3mo_PX[[#This Row],[Column25]]</f>
        <v>95.5</v>
      </c>
      <c r="Z33">
        <f>SOFR3mo_PX[[#This Row],[Column26]]</f>
        <v>95.5</v>
      </c>
      <c r="AA33">
        <f>SOFR3mo_PX[[#This Row],[Column27]]</f>
        <v>95.54</v>
      </c>
      <c r="AB33">
        <f>SOFR3mo_PX[[#This Row],[Column28]]</f>
        <v>95.52</v>
      </c>
      <c r="AC33">
        <f>SOFR3mo_PX[[#This Row],[Column29]]</f>
        <v>95.45</v>
      </c>
      <c r="AD33">
        <f>SOFR3mo_PX[[#This Row],[Column30]]</f>
        <v>95.484999999999999</v>
      </c>
      <c r="AE33">
        <f>SOFR3mo_PX[[#This Row],[Column31]]</f>
        <v>95.534999999999997</v>
      </c>
      <c r="AF33">
        <f>SOFR3mo_PX[[#This Row],[Column32]]</f>
        <v>95.59</v>
      </c>
      <c r="AG33">
        <f>SOFR3mo_PX[[#This Row],[Column33]]</f>
        <v>95.59</v>
      </c>
      <c r="AH33">
        <f>SOFR3mo_PX[[#This Row],[Column34]]</f>
        <v>95.685000000000002</v>
      </c>
      <c r="AI33">
        <f>SOFR3mo_PX[[#This Row],[Column35]]</f>
        <v>95.635000000000005</v>
      </c>
      <c r="AJ33">
        <f>SOFR3mo_PX[[#This Row],[Column36]]</f>
        <v>95.63</v>
      </c>
      <c r="AK33">
        <f>SOFR3mo_PX[[#This Row],[Column37]]</f>
        <v>95.665000000000006</v>
      </c>
      <c r="AL33">
        <f>SOFR3mo_PX[[#This Row],[Column38]]</f>
        <v>95.71</v>
      </c>
      <c r="AM33">
        <f>SOFR3mo_PX[[#This Row],[Column39]]</f>
        <v>95.76</v>
      </c>
      <c r="AN33">
        <f>SOFR3mo_PX[[#This Row],[Column40]]</f>
        <v>95.734999999999999</v>
      </c>
      <c r="AO33">
        <f>SOFR3mo_PX[[#This Row],[Column41]]</f>
        <v>95.674999999999997</v>
      </c>
      <c r="AP33">
        <f>SOFR3mo_PX[[#This Row],[Column42]]</f>
        <v>95.625</v>
      </c>
      <c r="AQ33">
        <f>SOFR3mo_PX[[#This Row],[Column43]]</f>
        <v>95.564999999999998</v>
      </c>
      <c r="AR33">
        <f>SOFR3mo_PX[[#This Row],[Column44]]</f>
        <v>95.495000000000005</v>
      </c>
      <c r="AS33">
        <f>SOFR3mo_PX[[#This Row],[Column45]]</f>
        <v>95.465000000000003</v>
      </c>
      <c r="AT33">
        <f>SOFR3mo_PX[[#This Row],[Column46]]</f>
        <v>95.415000000000006</v>
      </c>
      <c r="AU33">
        <f>SOFR3mo_PX[[#This Row],[Column47]]</f>
        <v>95.594999999999999</v>
      </c>
      <c r="AV33">
        <f>SOFR3mo_PX[[#This Row],[Column48]]</f>
        <v>95.594999999999999</v>
      </c>
      <c r="AW33">
        <f>SOFR3mo_PX[[#This Row],[Column49]]</f>
        <v>95.685000000000002</v>
      </c>
      <c r="AX33">
        <f>SOFR3mo_PX[[#This Row],[Column50]]</f>
        <v>95.66</v>
      </c>
      <c r="AY33">
        <f>SOFR3mo_PX[[#This Row],[Column51]]</f>
        <v>95.644999999999996</v>
      </c>
      <c r="AZ33">
        <f>SOFR3mo_PX[[#This Row],[Column52]]</f>
        <v>95.54</v>
      </c>
      <c r="BA33">
        <f>SOFR3mo_PX[[#This Row],[Column53]]</f>
        <v>95.685000000000002</v>
      </c>
      <c r="BB33">
        <f>SOFR3mo_PX[[#This Row],[Column54]]</f>
        <v>95.655000000000001</v>
      </c>
      <c r="BC33">
        <f>SOFR3mo_PX[[#This Row],[Column55]]</f>
        <v>95.814999999999998</v>
      </c>
      <c r="BD33">
        <f>SOFR3mo_PX[[#This Row],[Column56]]</f>
        <v>95.905000000000001</v>
      </c>
      <c r="BE33">
        <f>SOFR3mo_PX[[#This Row],[Column57]]</f>
        <v>96.084999999999994</v>
      </c>
      <c r="BF33">
        <f>SOFR3mo_PX[[#This Row],[Column58]]</f>
        <v>96.004999999999995</v>
      </c>
      <c r="BG33">
        <f>SOFR3mo_PX[[#This Row],[Column59]]</f>
        <v>95.864999999999995</v>
      </c>
      <c r="BH33">
        <f>SOFR3mo_PX[[#This Row],[Column60]]</f>
        <v>95.924999999999997</v>
      </c>
      <c r="BI33">
        <f>SOFR3mo_PX[[#This Row],[Column61]]</f>
        <v>95.82</v>
      </c>
      <c r="BJ33">
        <f>SOFR3mo_PX[[#This Row],[Column62]]</f>
        <v>95.79</v>
      </c>
      <c r="BK33">
        <f>SOFR3mo_PX[[#This Row],[Column63]]</f>
        <v>95.674999999999997</v>
      </c>
      <c r="BL33">
        <f>SOFR3mo_PX[[#This Row],[Column64]]</f>
        <v>95.76</v>
      </c>
      <c r="BM33">
        <f>SOFR3mo_PX[[#This Row],[Column65]]</f>
        <v>95.79</v>
      </c>
      <c r="BN33">
        <f>SOFR3mo_PX[[#This Row],[Column66]]</f>
        <v>95.765000000000001</v>
      </c>
      <c r="BO33">
        <f>SOFR3mo_PX[[#This Row],[Column67]]</f>
        <v>95.844999999999999</v>
      </c>
      <c r="BP33">
        <f>SOFR3mo_PX[[#This Row],[Column68]]</f>
        <v>95.86</v>
      </c>
      <c r="BQ33">
        <f>SOFR3mo_PX[[#This Row],[Column69]]</f>
        <v>95.82</v>
      </c>
      <c r="BR33">
        <f>SOFR3mo_PX[[#This Row],[Column70]]</f>
        <v>95.844999999999999</v>
      </c>
      <c r="BS33">
        <f>SOFR3mo_PX[[#This Row],[Column71]]</f>
        <v>95.81</v>
      </c>
      <c r="BT33">
        <f>SOFR3mo_PX[[#This Row],[Column72]]</f>
        <v>95.784999999999997</v>
      </c>
      <c r="BU33">
        <f>SOFR3mo_PX[[#This Row],[Column73]]</f>
        <v>95.86</v>
      </c>
      <c r="BV33">
        <f>SOFR3mo_PX[[#This Row],[Column74]]</f>
        <v>95.83</v>
      </c>
      <c r="BW33">
        <f>SOFR3mo_PX[[#This Row],[Column75]]</f>
        <v>95.86</v>
      </c>
      <c r="BX33">
        <f>SOFR3mo_PX[[#This Row],[Column76]]</f>
        <v>95.954999999999998</v>
      </c>
      <c r="BY33">
        <f>SOFR3mo_PX[[#This Row],[Column77]]</f>
        <v>95.825000000000003</v>
      </c>
      <c r="BZ33">
        <f>SOFR3mo_PX[[#This Row],[Column78]]</f>
        <v>95.85</v>
      </c>
      <c r="CA33">
        <f>SOFR3mo_PX[[#This Row],[Column79]]</f>
        <v>95.875</v>
      </c>
      <c r="CB33">
        <f>SOFR3mo_PX[[#This Row],[Column80]]</f>
        <v>95.935000000000002</v>
      </c>
      <c r="CC33">
        <f>SOFR3mo_PX[[#This Row],[Column81]]</f>
        <v>95.98</v>
      </c>
      <c r="CD33">
        <f>SOFR3mo_PX[[#This Row],[Column82]]</f>
        <v>95.92</v>
      </c>
      <c r="CE33">
        <f>SOFR3mo_PX[[#This Row],[Column83]]</f>
        <v>95.86</v>
      </c>
      <c r="CF33">
        <f>SOFR3mo_PX[[#This Row],[Column84]]</f>
        <v>95.905000000000001</v>
      </c>
      <c r="CG33">
        <f>SOFR3mo_PX[[#This Row],[Column85]]</f>
        <v>95.834999999999994</v>
      </c>
      <c r="CH33">
        <f>SOFR3mo_PX[[#This Row],[Column86]]</f>
        <v>95.7</v>
      </c>
      <c r="CI33">
        <f>SOFR3mo_PX[[#This Row],[Column87]]</f>
        <v>95.674999999999997</v>
      </c>
      <c r="CJ33">
        <f>SOFR3mo_PX[[#This Row],[Column88]]</f>
        <v>95.594999999999999</v>
      </c>
      <c r="CK33">
        <f>SOFR3mo_PX[[#This Row],[Column89]]</f>
        <v>95.545000000000002</v>
      </c>
      <c r="CL33">
        <f>SOFR3mo_PX[[#This Row],[Column90]]</f>
        <v>95.545000000000002</v>
      </c>
      <c r="CM33">
        <f>SOFR3mo_PX[[#This Row],[Column91]]</f>
        <v>95.62</v>
      </c>
      <c r="CN33">
        <f>SOFR3mo_PX[[#This Row],[Column92]]</f>
        <v>95.62</v>
      </c>
      <c r="CO33">
        <f>SOFR3mo_PX[[#This Row],[Column93]]</f>
        <v>95.564999999999998</v>
      </c>
      <c r="CP33">
        <f>SOFR3mo_PX[[#This Row],[Column94]]</f>
        <v>95.454999999999998</v>
      </c>
      <c r="CQ33">
        <f>SOFR3mo_PX[[#This Row],[Column95]]</f>
        <v>95.594999999999999</v>
      </c>
      <c r="CR33">
        <f>SOFR3mo_PX[[#This Row],[Column96]]</f>
        <v>95.644999999999996</v>
      </c>
      <c r="CS33">
        <f>SOFR3mo_PX[[#This Row],[Column97]]</f>
        <v>95.644999999999996</v>
      </c>
      <c r="CT33">
        <f>SOFR3mo_PX[[#This Row],[Column98]]</f>
        <v>95.704999999999998</v>
      </c>
      <c r="CU33">
        <f>SOFR3mo_PX[[#This Row],[Column99]]</f>
        <v>95.754999999999995</v>
      </c>
      <c r="CV33">
        <f>SOFR3mo_PX[[#This Row],[Column100]]</f>
        <v>95.644999999999996</v>
      </c>
      <c r="CW33">
        <f>SOFR3mo_PX[[#This Row],[Column101]]</f>
        <v>95.62</v>
      </c>
      <c r="CX33">
        <f>SOFR3mo_PX[[#This Row],[Column102]]</f>
        <v>95.575000000000003</v>
      </c>
      <c r="CY33">
        <f>SOFR3mo_PX[[#This Row],[Column103]]</f>
        <v>95.644999999999996</v>
      </c>
      <c r="CZ33">
        <f>SOFR3mo_PX[[#This Row],[Column104]]</f>
        <v>95.6</v>
      </c>
      <c r="DA33">
        <f>SOFR3mo_PX[[#This Row],[Column105]]</f>
        <v>95.61</v>
      </c>
      <c r="DB33">
        <f>SOFR3mo_PX[[#This Row],[Column106]]</f>
        <v>95.635000000000005</v>
      </c>
      <c r="DC33">
        <f>SOFR3mo_PX[[#This Row],[Column107]]</f>
        <v>95.525000000000006</v>
      </c>
      <c r="DD33">
        <f>SOFR3mo_PX[[#This Row],[Column108]]</f>
        <v>95.525000000000006</v>
      </c>
      <c r="DE33">
        <f>SOFR3mo_PX[[#This Row],[Column109]]</f>
        <v>95.58</v>
      </c>
      <c r="DF33">
        <f>SOFR3mo_PX[[#This Row],[Column110]]</f>
        <v>95.61</v>
      </c>
      <c r="DG33">
        <f>SOFR3mo_PX[[#This Row],[Column111]]</f>
        <v>95.564999999999998</v>
      </c>
      <c r="DH33">
        <f>SOFR3mo_PX[[#This Row],[Column112]]</f>
        <v>95.564999999999998</v>
      </c>
      <c r="DI33">
        <f>SOFR3mo_PX[[#This Row],[Column113]]</f>
        <v>95.564999999999998</v>
      </c>
      <c r="DJ33">
        <f>SOFR3mo_PX[[#This Row],[Column114]]</f>
        <v>95.525000000000006</v>
      </c>
      <c r="DK33">
        <f>SOFR3mo_PX[[#This Row],[Column115]]</f>
        <v>95.38</v>
      </c>
      <c r="DL33">
        <f>SOFR3mo_PX[[#This Row],[Column116]]</f>
        <v>95.36</v>
      </c>
      <c r="DM33">
        <f>SOFR3mo_PX[[#This Row],[Column117]]</f>
        <v>95.4</v>
      </c>
      <c r="DN33">
        <f>SOFR3mo_PX[[#This Row],[Column118]]</f>
        <v>95.46</v>
      </c>
      <c r="DO33">
        <f>SOFR3mo_PX[[#This Row],[Column119]]</f>
        <v>95.444999999999993</v>
      </c>
      <c r="DP33">
        <f>SOFR3mo_PX[[#This Row],[Column120]]</f>
        <v>95.454999999999998</v>
      </c>
      <c r="DQ33">
        <f>SOFR3mo_PX[[#This Row],[Column121]]</f>
        <v>95.54</v>
      </c>
      <c r="DR33">
        <f>SOFR3mo_PX[[#This Row],[Column122]]</f>
        <v>95.594999999999999</v>
      </c>
      <c r="DS33">
        <f>SOFR3mo_PX[[#This Row],[Column123]]</f>
        <v>95.61</v>
      </c>
      <c r="DT33">
        <f>SOFR3mo_PX[[#This Row],[Column124]]</f>
        <v>95.605000000000004</v>
      </c>
      <c r="DU33">
        <f>SOFR3mo_PX[[#This Row],[Column125]]</f>
        <v>95.605000000000004</v>
      </c>
      <c r="DV33">
        <f>SOFR3mo_PX[[#This Row],[Column126]]</f>
        <v>95.644999999999996</v>
      </c>
      <c r="DW33">
        <f>SOFR3mo_PX[[#This Row],[Column127]]</f>
        <v>95.564999999999998</v>
      </c>
      <c r="DX33">
        <f>SOFR3mo_PX[[#This Row],[Column128]]</f>
        <v>95.625</v>
      </c>
      <c r="DY33">
        <f>SOFR3mo_PX[[#This Row],[Column129]]</f>
        <v>95.61</v>
      </c>
      <c r="DZ33">
        <f>SOFR3mo_PX[[#This Row],[Column130]]</f>
        <v>95.61</v>
      </c>
      <c r="EA33">
        <f>SOFR3mo_PX[[#This Row],[Column131]]</f>
        <v>95.584999999999994</v>
      </c>
      <c r="EB33">
        <f>SOFR3mo_PX[[#This Row],[Column132]]</f>
        <v>95.685000000000002</v>
      </c>
      <c r="EC33">
        <f>SOFR3mo_PX[[#This Row],[Column133]]</f>
        <v>95.614999999999995</v>
      </c>
      <c r="ED33">
        <f>SOFR3mo_PX[[#This Row],[Column134]]</f>
        <v>95.745000000000005</v>
      </c>
      <c r="EE33">
        <f>SOFR3mo_PX[[#This Row],[Column135]]</f>
        <v>95.87</v>
      </c>
      <c r="EF33">
        <f>SOFR3mo_PX[[#This Row],[Column136]]</f>
        <v>95.855000000000004</v>
      </c>
      <c r="EG33">
        <f>SOFR3mo_PX[[#This Row],[Column137]]</f>
        <v>95.86</v>
      </c>
      <c r="EH33">
        <f>SOFR3mo_PX[[#This Row],[Column138]]</f>
        <v>95.944999999999993</v>
      </c>
      <c r="EI33">
        <f>SOFR3mo_PX[[#This Row],[Column139]]</f>
        <v>96.01</v>
      </c>
      <c r="EJ33">
        <f>SOFR3mo_PX[[#This Row],[Column140]]</f>
        <v>96.07</v>
      </c>
      <c r="EK33">
        <f>SOFR3mo_PX[[#This Row],[Column141]]</f>
        <v>96.094999999999999</v>
      </c>
      <c r="EL33">
        <f>SOFR3mo_PX[[#This Row],[Column142]]</f>
        <v>96.135000000000005</v>
      </c>
      <c r="EM33">
        <f>SOFR3mo_PX[[#This Row],[Column143]]</f>
        <v>96.1</v>
      </c>
      <c r="EN33">
        <f>SOFR3mo_PX[[#This Row],[Column144]]</f>
        <v>96.084999999999994</v>
      </c>
      <c r="EO33">
        <f>SOFR3mo_PX[[#This Row],[Column145]]</f>
        <v>96.06</v>
      </c>
      <c r="EP33">
        <f>SOFR3mo_PX[[#This Row],[Column146]]</f>
        <v>96.094999999999999</v>
      </c>
      <c r="EQ33">
        <f>SOFR3mo_PX[[#This Row],[Column147]]</f>
        <v>96.094999999999999</v>
      </c>
      <c r="ER33">
        <f>SOFR3mo_PX[[#This Row],[Column148]]</f>
        <v>96.06</v>
      </c>
      <c r="ES33">
        <f>SOFR3mo_PX[[#This Row],[Column149]]</f>
        <v>96.06</v>
      </c>
      <c r="ET33">
        <f>SOFR3mo_PX[[#This Row],[Column150]]</f>
        <v>95.995000000000005</v>
      </c>
      <c r="EU33">
        <f>SOFR3mo_PX[[#This Row],[Column151]]</f>
        <v>96.06</v>
      </c>
      <c r="EV33">
        <f>SOFR3mo_PX[[#This Row],[Column152]]</f>
        <v>95.91</v>
      </c>
      <c r="EW33">
        <f>SOFR3mo_PX[[#This Row],[Column153]]</f>
        <v>95.875</v>
      </c>
      <c r="EX33">
        <f>SOFR3mo_PX[[#This Row],[Column154]]</f>
        <v>95.87</v>
      </c>
      <c r="EY33">
        <f>SOFR3mo_PX[[#This Row],[Column155]]</f>
        <v>95.9</v>
      </c>
      <c r="EZ33">
        <f>SOFR3mo_PX[[#This Row],[Column156]]</f>
        <v>95.864999999999995</v>
      </c>
      <c r="FA33">
        <f>SOFR3mo_PX[[#This Row],[Column157]]</f>
        <v>95.855000000000004</v>
      </c>
      <c r="FB33">
        <f>SOFR3mo_PX[[#This Row],[Column158]]</f>
        <v>95.86</v>
      </c>
      <c r="FC33">
        <f>SOFR3mo_PX[[#This Row],[Column159]]</f>
        <v>95.825000000000003</v>
      </c>
      <c r="FD33">
        <f>SOFR3mo_PX[[#This Row],[Column160]]</f>
        <v>95.85</v>
      </c>
      <c r="FE33">
        <f>SOFR3mo_PX[[#This Row],[Column161]]</f>
        <v>95.91</v>
      </c>
      <c r="FF33">
        <f>SOFR3mo_PX[[#This Row],[Column162]]</f>
        <v>95.96</v>
      </c>
      <c r="FG33">
        <f>SOFR3mo_PX[[#This Row],[Column163]]</f>
        <v>95.915000000000006</v>
      </c>
      <c r="FH33">
        <f>SOFR3mo_PX[[#This Row],[Column164]]</f>
        <v>95.81</v>
      </c>
      <c r="FI33">
        <f>SOFR3mo_PX[[#This Row],[Column165]]</f>
        <v>95.98</v>
      </c>
      <c r="FJ33">
        <f>SOFR3mo_PX[[#This Row],[Column166]]</f>
        <v>95.954999999999998</v>
      </c>
      <c r="FK33">
        <f>SOFR3mo_PX[[#This Row],[Column167]]</f>
        <v>95.89</v>
      </c>
      <c r="FL33">
        <f>SOFR3mo_PX[[#This Row],[Column168]]</f>
        <v>95.95</v>
      </c>
      <c r="FM33">
        <f>SOFR3mo_PX[[#This Row],[Column169]]</f>
        <v>95.96</v>
      </c>
      <c r="FN33">
        <f>SOFR3mo_PX[[#This Row],[Column170]]</f>
        <v>95.93</v>
      </c>
      <c r="FO33">
        <f>SOFR3mo_PX[[#This Row],[Column171]]</f>
        <v>95.924999999999997</v>
      </c>
      <c r="FP33">
        <f>SOFR3mo_PX[[#This Row],[Column172]]</f>
        <v>95.96</v>
      </c>
      <c r="FQ33">
        <f>SOFR3mo_PX[[#This Row],[Column173]]</f>
        <v>95.984999999999999</v>
      </c>
      <c r="FR33">
        <f>SOFR3mo_PX[[#This Row],[Column174]]</f>
        <v>95.935000000000002</v>
      </c>
      <c r="FS33">
        <f>SOFR3mo_PX[[#This Row],[Column175]]</f>
        <v>95.965000000000003</v>
      </c>
      <c r="FT33">
        <f>SOFR3mo_PX[[#This Row],[Column176]]</f>
        <v>95.99</v>
      </c>
      <c r="FU33">
        <f>SOFR3mo_PX[[#This Row],[Column177]]</f>
        <v>96.105000000000004</v>
      </c>
      <c r="FV33">
        <f>SOFR3mo_PX[[#This Row],[Column178]]</f>
        <v>96.09</v>
      </c>
      <c r="FW33">
        <f>SOFR3mo_PX[[#This Row],[Column179]]</f>
        <v>96.19</v>
      </c>
      <c r="FX33">
        <f>SOFR3mo_PX[[#This Row],[Column180]]</f>
        <v>96.17</v>
      </c>
      <c r="FY33">
        <f>SOFR3mo_PX[[#This Row],[Column181]]</f>
        <v>96.075000000000003</v>
      </c>
      <c r="FZ33">
        <f>SOFR3mo_PX[[#This Row],[Column182]]</f>
        <v>96.114999999999995</v>
      </c>
      <c r="GA33">
        <f>SOFR3mo_PX[[#This Row],[Column183]]</f>
        <v>96.105000000000004</v>
      </c>
      <c r="GB33">
        <f>SOFR3mo_PX[[#This Row],[Column184]]</f>
        <v>96.15</v>
      </c>
      <c r="GC33">
        <f>SOFR3mo_PX[[#This Row],[Column185]]</f>
        <v>96.174999999999997</v>
      </c>
      <c r="GD33">
        <f>SOFR3mo_PX[[#This Row],[Column186]]</f>
        <v>96.19</v>
      </c>
      <c r="GE33">
        <f>SOFR3mo_PX[[#This Row],[Column187]]</f>
        <v>96.224999999999994</v>
      </c>
      <c r="GF33">
        <f>SOFR3mo_PX[[#This Row],[Column188]]</f>
        <v>96.305000000000007</v>
      </c>
      <c r="GG33">
        <f>SOFR3mo_PX[[#This Row],[Column189]]</f>
        <v>96.375</v>
      </c>
      <c r="GH33">
        <f>SOFR3mo_PX[[#This Row],[Column190]]</f>
        <v>96.42</v>
      </c>
      <c r="GI33">
        <f>SOFR3mo_PX[[#This Row],[Column191]]</f>
        <v>96.35</v>
      </c>
      <c r="GJ33">
        <f>SOFR3mo_PX[[#This Row],[Column192]]</f>
        <v>96.39</v>
      </c>
      <c r="GK33">
        <f>SOFR3mo_PX[[#This Row],[Column193]]</f>
        <v>96.36</v>
      </c>
      <c r="GL33">
        <f>SOFR3mo_PX[[#This Row],[Column194]]</f>
        <v>96.34</v>
      </c>
      <c r="GM33">
        <f>SOFR3mo_PX[[#This Row],[Column195]]</f>
        <v>96.38</v>
      </c>
      <c r="GN33">
        <f>SOFR3mo_PX[[#This Row],[Column196]]</f>
        <v>96.385000000000005</v>
      </c>
      <c r="GO33">
        <f>SOFR3mo_PX[[#This Row],[Column197]]</f>
        <v>96.4</v>
      </c>
      <c r="GP33">
        <f>SOFR3mo_PX[[#This Row],[Column198]]</f>
        <v>96.38</v>
      </c>
      <c r="GQ33">
        <f>SOFR3mo_PX[[#This Row],[Column199]]</f>
        <v>96.454999999999998</v>
      </c>
      <c r="GR33">
        <f>SOFR3mo_PX[[#This Row],[Column200]]</f>
        <v>96.5</v>
      </c>
      <c r="GS33">
        <f>SOFR3mo_PX[[#This Row],[Column201]]</f>
        <v>96.49</v>
      </c>
      <c r="GT33">
        <f>SOFR3mo_PX[[#This Row],[Column202]]</f>
        <v>96.47</v>
      </c>
      <c r="GU33">
        <f>SOFR3mo_PX[[#This Row],[Column203]]</f>
        <v>96.465000000000003</v>
      </c>
      <c r="GV33">
        <f>SOFR3mo_PX[[#This Row],[Column204]]</f>
        <v>96.495000000000005</v>
      </c>
      <c r="GW33">
        <f>SOFR3mo_PX[[#This Row],[Column205]]</f>
        <v>96.5</v>
      </c>
      <c r="GX33">
        <f>SOFR3mo_PX[[#This Row],[Column206]]</f>
        <v>96.444999999999993</v>
      </c>
      <c r="GY33">
        <f>SOFR3mo_PX[[#This Row],[Column207]]</f>
        <v>96.42</v>
      </c>
      <c r="GZ33">
        <f>SOFR3mo_PX[[#This Row],[Column208]]</f>
        <v>96.435000000000002</v>
      </c>
      <c r="HA33">
        <f>SOFR3mo_PX[[#This Row],[Column209]]</f>
        <v>96.4</v>
      </c>
      <c r="HB33">
        <f>SOFR3mo_PX[[#This Row],[Column210]]</f>
        <v>96.35</v>
      </c>
      <c r="HC33">
        <f>SOFR3mo_PX[[#This Row],[Column211]]</f>
        <v>96.27</v>
      </c>
      <c r="HD33">
        <f>SOFR3mo_PX[[#This Row],[Column212]]</f>
        <v>96.27</v>
      </c>
      <c r="HE33">
        <f>SOFR3mo_PX[[#This Row],[Column213]]</f>
        <v>96.314999999999998</v>
      </c>
      <c r="HF33">
        <f>SOFR3mo_PX[[#This Row],[Column214]]</f>
        <v>96.33</v>
      </c>
      <c r="HG33">
        <f>SOFR3mo_PX[[#This Row],[Column215]]</f>
        <v>96.344999999999999</v>
      </c>
      <c r="HH33">
        <f>SOFR3mo_PX[[#This Row],[Column216]]</f>
        <v>96.364999999999995</v>
      </c>
      <c r="HI33">
        <f>SOFR3mo_PX[[#This Row],[Column217]]</f>
        <v>96.355000000000004</v>
      </c>
      <c r="HJ33">
        <f>SOFR3mo_PX[[#This Row],[Column218]]</f>
        <v>96.295000000000002</v>
      </c>
      <c r="HK33">
        <f>SOFR3mo_PX[[#This Row],[Column219]]</f>
        <v>96.37</v>
      </c>
      <c r="HL33">
        <f>SOFR3mo_PX[[#This Row],[Column220]]</f>
        <v>96.344999999999999</v>
      </c>
      <c r="HM33">
        <f>SOFR3mo_PX[[#This Row],[Column221]]</f>
        <v>96.295000000000002</v>
      </c>
      <c r="HN33">
        <f>SOFR3mo_PX[[#This Row],[Column222]]</f>
        <v>96.254999999999995</v>
      </c>
      <c r="HO33">
        <f>SOFR3mo_PX[[#This Row],[Column223]]</f>
        <v>96.215000000000003</v>
      </c>
      <c r="HP33">
        <f>SOFR3mo_PX[[#This Row],[Column224]]</f>
        <v>96.284999999999997</v>
      </c>
      <c r="HQ33">
        <f>SOFR3mo_PX[[#This Row],[Column225]]</f>
        <v>96.25</v>
      </c>
      <c r="HR33">
        <f>SOFR3mo_PX[[#This Row],[Column226]]</f>
        <v>96.22</v>
      </c>
      <c r="HS33">
        <f>SOFR3mo_PX[[#This Row],[Column227]]</f>
        <v>96.18</v>
      </c>
      <c r="HT33">
        <f>SOFR3mo_PX[[#This Row],[Column228]]</f>
        <v>96.1</v>
      </c>
      <c r="HU33">
        <f>SOFR3mo_PX[[#This Row],[Column229]]</f>
        <v>96.11</v>
      </c>
      <c r="HV33">
        <f>SOFR3mo_PX[[#This Row],[Column230]]</f>
        <v>96.204999999999998</v>
      </c>
      <c r="HW33">
        <f>SOFR3mo_PX[[#This Row],[Column231]]</f>
        <v>96.305000000000007</v>
      </c>
      <c r="HX33">
        <f>SOFR3mo_PX[[#This Row],[Column232]]</f>
        <v>96.31</v>
      </c>
      <c r="HY33">
        <f>SOFR3mo_PX[[#This Row],[Column233]]</f>
        <v>96.185000000000002</v>
      </c>
      <c r="HZ33">
        <f>SOFR3mo_PX[[#This Row],[Column234]]</f>
        <v>96.084999999999994</v>
      </c>
      <c r="IA33">
        <f>SOFR3mo_PX[[#This Row],[Column235]]</f>
        <v>96.05</v>
      </c>
      <c r="IB33">
        <f>SOFR3mo_PX[[#This Row],[Column236]]</f>
        <v>96.015000000000001</v>
      </c>
      <c r="IC33">
        <f>SOFR3mo_PX[[#This Row],[Column237]]</f>
        <v>95.99</v>
      </c>
      <c r="ID33">
        <f>SOFR3mo_PX[[#This Row],[Column238]]</f>
        <v>95.95</v>
      </c>
      <c r="IE33">
        <f>SOFR3mo_PX[[#This Row],[Column239]]</f>
        <v>95.905000000000001</v>
      </c>
      <c r="IF33">
        <f>SOFR3mo_PX[[#This Row],[Column240]]</f>
        <v>95.995000000000005</v>
      </c>
      <c r="IG33">
        <f>SOFR3mo_PX[[#This Row],[Column241]]</f>
        <v>95.98</v>
      </c>
      <c r="IH33">
        <f>SOFR3mo_PX[[#This Row],[Column242]]</f>
        <v>95.99</v>
      </c>
      <c r="II33">
        <f>SOFR3mo_PX[[#This Row],[Column243]]</f>
        <v>96.04</v>
      </c>
      <c r="IJ33">
        <f>SOFR3mo_PX[[#This Row],[Column244]]</f>
        <v>96.094999999999999</v>
      </c>
      <c r="IK33">
        <f>SOFR3mo_PX[[#This Row],[Column245]]</f>
        <v>96.07</v>
      </c>
      <c r="IL33">
        <f>SOFR3mo_PX[[#This Row],[Column246]]</f>
        <v>95.995000000000005</v>
      </c>
      <c r="IM33">
        <f>SOFR3mo_PX[[#This Row],[Column247]]</f>
        <v>96.04</v>
      </c>
      <c r="IN33">
        <f>SOFR3mo_PX[[#This Row],[Column248]]</f>
        <v>96.06</v>
      </c>
      <c r="IO33">
        <f>SOFR3mo_PX[[#This Row],[Column249]]</f>
        <v>95.98</v>
      </c>
      <c r="IP33">
        <f>SOFR3mo_PX[[#This Row],[Column250]]</f>
        <v>95.95</v>
      </c>
      <c r="IQ33">
        <f>SOFR3mo_PX[[#This Row],[Column251]]</f>
        <v>95.99</v>
      </c>
      <c r="IR33">
        <f>SOFR3mo_PX[[#This Row],[Column252]]</f>
        <v>95.984999999999999</v>
      </c>
      <c r="IS33">
        <f>SOFR3mo_PX[[#This Row],[Column253]]</f>
        <v>95.93</v>
      </c>
      <c r="IT33">
        <f>SOFR3mo_PX[[#This Row],[Column254]]</f>
        <v>95.93</v>
      </c>
      <c r="IU33">
        <f>SOFR3mo_PX[[#This Row],[Column255]]</f>
        <v>95.825000000000003</v>
      </c>
      <c r="IV33">
        <f>SOFR3mo_PX[[#This Row],[Column256]]</f>
        <v>95.79</v>
      </c>
      <c r="IW33">
        <f>SOFR3mo_PX[[#This Row],[Column257]]</f>
        <v>95.95</v>
      </c>
      <c r="IX33">
        <f>SOFR3mo_PX[[#This Row],[Column258]]</f>
        <v>96.015000000000001</v>
      </c>
      <c r="IY33">
        <f>SOFR3mo_PX[[#This Row],[Column259]]</f>
        <v>95.98</v>
      </c>
      <c r="IZ33">
        <f>SOFR3mo_PX[[#This Row],[Column260]]</f>
        <v>96.07</v>
      </c>
      <c r="JA33">
        <f>SOFR3mo_PX[[#This Row],[Column261]]</f>
        <v>96.06</v>
      </c>
      <c r="JB33">
        <f>SOFR3mo_PX[[#This Row],[Column262]]</f>
        <v>96.034999999999997</v>
      </c>
      <c r="JC33">
        <f>SOFR3mo_PX[[#This Row],[Column263]]</f>
        <v>96.045000000000002</v>
      </c>
      <c r="JD33">
        <f>SOFR3mo_PX[[#This Row],[Column264]]</f>
        <v>96.094999999999999</v>
      </c>
      <c r="JE33">
        <f>SOFR3mo_PX[[#This Row],[Column265]]</f>
        <v>96.094999999999999</v>
      </c>
      <c r="JF33">
        <f>SOFR3mo_PX[[#This Row],[Column266]]</f>
        <v>96.034999999999997</v>
      </c>
      <c r="JG33">
        <f>SOFR3mo_PX[[#This Row],[Column267]]</f>
        <v>96.114999999999995</v>
      </c>
      <c r="JH33">
        <f>SOFR3mo_PX[[#This Row],[Column268]]</f>
        <v>96.05</v>
      </c>
      <c r="JI33">
        <f>SOFR3mo_PX[[#This Row],[Column269]]</f>
        <v>95.995000000000005</v>
      </c>
      <c r="JJ33">
        <f>SOFR3mo_PX[[#This Row],[Column270]]</f>
        <v>95.88</v>
      </c>
      <c r="JK33">
        <f>SOFR3mo_PX[[#This Row],[Column271]]</f>
        <v>95.8</v>
      </c>
      <c r="JL33">
        <f>SOFR3mo_PX[[#This Row],[Column272]]</f>
        <v>95.844999999999999</v>
      </c>
      <c r="JM33">
        <f>SOFR3mo_PX[[#This Row],[Column273]]</f>
        <v>95.995000000000005</v>
      </c>
      <c r="JN33">
        <f>SOFR3mo_PX[[#This Row],[Column274]]</f>
        <v>95.995000000000005</v>
      </c>
      <c r="JO33">
        <f>SOFR3mo_PX[[#This Row],[Column275]]</f>
        <v>95.96</v>
      </c>
      <c r="JP33">
        <f>SOFR3mo_PX[[#This Row],[Column276]]</f>
        <v>95.88</v>
      </c>
      <c r="JQ33">
        <f>SOFR3mo_PX[[#This Row],[Column277]]</f>
        <v>95.77</v>
      </c>
      <c r="JR33">
        <f>SOFR3mo_PX[[#This Row],[Column278]]</f>
        <v>95.745000000000005</v>
      </c>
      <c r="JS33">
        <f>SOFR3mo_PX[[#This Row],[Column279]]</f>
        <v>95.685000000000002</v>
      </c>
      <c r="JT33">
        <f>SOFR3mo_PX[[#This Row],[Column280]]</f>
        <v>95.79</v>
      </c>
      <c r="JU33">
        <f>SOFR3mo_PX[[#This Row],[Column281]]</f>
        <v>95.864999999999995</v>
      </c>
      <c r="JV33">
        <f>SOFR3mo_PX[[#This Row],[Column282]]</f>
        <v>95.864999999999995</v>
      </c>
      <c r="JW33">
        <f>SOFR3mo_PX[[#This Row],[Column283]]</f>
        <v>95.844999999999999</v>
      </c>
      <c r="JX33">
        <f>SOFR3mo_PX[[#This Row],[Column284]]</f>
        <v>95.844999999999999</v>
      </c>
      <c r="JY33">
        <f>SOFR3mo_PX[[#This Row],[Column285]]</f>
        <v>95.85</v>
      </c>
      <c r="JZ33">
        <f>SOFR3mo_PX[[#This Row],[Column286]]</f>
        <v>95.82</v>
      </c>
      <c r="KA33">
        <f>SOFR3mo_PX[[#This Row],[Column287]]</f>
        <v>95.84</v>
      </c>
      <c r="KB33">
        <f>SOFR3mo_PX[[#This Row],[Column288]]</f>
        <v>95.885000000000005</v>
      </c>
      <c r="KC33">
        <f>SOFR3mo_PX[[#This Row],[Column289]]</f>
        <v>95.89</v>
      </c>
      <c r="KD33">
        <f>SOFR3mo_PX[[#This Row],[Column290]]</f>
        <v>95.82</v>
      </c>
      <c r="KE33">
        <f>SOFR3mo_PX[[#This Row],[Column291]]</f>
        <v>95.784999999999997</v>
      </c>
      <c r="KF33">
        <f>SOFR3mo_PX[[#This Row],[Column292]]</f>
        <v>95.76</v>
      </c>
      <c r="KG33">
        <f>SOFR3mo_PX[[#This Row],[Column293]]</f>
        <v>95.814999999999998</v>
      </c>
      <c r="KH33">
        <f>SOFR3mo_PX[[#This Row],[Column294]]</f>
        <v>95.784999999999997</v>
      </c>
      <c r="KI33">
        <f>SOFR3mo_PX[[#This Row],[Column295]]</f>
        <v>95.825000000000003</v>
      </c>
      <c r="KJ33">
        <f>SOFR3mo_PX[[#This Row],[Column296]]</f>
        <v>95.78</v>
      </c>
      <c r="KK33">
        <f>SOFR3mo_PX[[#This Row],[Column297]]</f>
        <v>95.76</v>
      </c>
      <c r="KL33">
        <f>SOFR3mo_PX[[#This Row],[Column298]]</f>
        <v>95.685000000000002</v>
      </c>
      <c r="KM33">
        <f>SOFR3mo_PX[[#This Row],[Column299]]</f>
        <v>95.67</v>
      </c>
      <c r="KN33">
        <f>SOFR3mo_PX[[#This Row],[Column300]]</f>
        <v>95.605000000000004</v>
      </c>
      <c r="KO33">
        <f>SOFR3mo_PX[[#This Row],[Column301]]</f>
        <v>95.674999999999997</v>
      </c>
      <c r="KP33">
        <f>SOFR3mo_PX[[#This Row],[Column302]]</f>
        <v>95.594999999999999</v>
      </c>
      <c r="KQ33">
        <f>SOFR3mo_PX[[#This Row],[Column303]]</f>
        <v>95.555000000000007</v>
      </c>
      <c r="KR33">
        <f>SOFR3mo_PX[[#This Row],[Column304]]</f>
        <v>95.614999999999995</v>
      </c>
      <c r="KS33">
        <f>SOFR3mo_PX[[#This Row],[Column305]]</f>
        <v>95.69</v>
      </c>
      <c r="KT33">
        <f>SOFR3mo_PX[[#This Row],[Column306]]</f>
        <v>95.67</v>
      </c>
      <c r="KU33">
        <f>SOFR3mo_PX[[#This Row],[Column307]]</f>
        <v>95.685000000000002</v>
      </c>
      <c r="KV33">
        <f>SOFR3mo_PX[[#This Row],[Column308]]</f>
        <v>95.65</v>
      </c>
      <c r="KW33">
        <f>SOFR3mo_PX[[#This Row],[Column309]]</f>
        <v>95.71</v>
      </c>
      <c r="KX33">
        <f>SOFR3mo_PX[[#This Row],[Column310]]</f>
        <v>95.635000000000005</v>
      </c>
      <c r="KY33">
        <f>SOFR3mo_PX[[#This Row],[Column311]]</f>
        <v>95.67</v>
      </c>
      <c r="KZ33">
        <f>SOFR3mo_PX[[#This Row],[Column312]]</f>
        <v>95.81</v>
      </c>
      <c r="LA33">
        <f>SOFR3mo_PX[[#This Row],[Column313]]</f>
        <v>95.72</v>
      </c>
      <c r="LB33">
        <f>SOFR3mo_PX[[#This Row],[Column314]]</f>
        <v>95.75</v>
      </c>
      <c r="LC33">
        <f>SOFR3mo_PX[[#This Row],[Column315]]</f>
        <v>95.894999999999996</v>
      </c>
      <c r="LD33">
        <f>SOFR3mo_PX[[#This Row],[Column316]]</f>
        <v>95.834999999999994</v>
      </c>
      <c r="LE33">
        <f>SOFR3mo_PX[[#This Row],[Column317]]</f>
        <v>95.88</v>
      </c>
      <c r="LF33">
        <f>SOFR3mo_PX[[#This Row],[Column318]]</f>
        <v>95.93</v>
      </c>
      <c r="LG33">
        <f>SOFR3mo_PX[[#This Row],[Column319]]</f>
        <v>95.88</v>
      </c>
      <c r="LH33">
        <f>SOFR3mo_PX[[#This Row],[Column320]]</f>
        <v>95.87</v>
      </c>
      <c r="LI33">
        <f>SOFR3mo_PX[[#This Row],[Column321]]</f>
        <v>95.915000000000006</v>
      </c>
      <c r="LJ33">
        <f>SOFR3mo_PX[[#This Row],[Column322]]</f>
        <v>96.045000000000002</v>
      </c>
      <c r="LK33">
        <f>SOFR3mo_PX[[#This Row],[Column323]]</f>
        <v>96.045000000000002</v>
      </c>
      <c r="LL33">
        <f>SOFR3mo_PX[[#This Row],[Column324]]</f>
        <v>96.01</v>
      </c>
      <c r="LM33">
        <f>SOFR3mo_PX[[#This Row],[Column325]]</f>
        <v>95.974999999999994</v>
      </c>
      <c r="LN33">
        <f>SOFR3mo_PX[[#This Row],[Column326]]</f>
        <v>95.944999999999993</v>
      </c>
      <c r="LO33">
        <f>SOFR3mo_PX[[#This Row],[Column327]]</f>
        <v>95.98</v>
      </c>
      <c r="LP33">
        <f>SOFR3mo_PX[[#This Row],[Column328]]</f>
        <v>95.92</v>
      </c>
      <c r="LQ33">
        <f>SOFR3mo_PX[[#This Row],[Column329]]</f>
        <v>95.924999999999997</v>
      </c>
      <c r="LR33">
        <f>SOFR3mo_PX[[#This Row],[Column330]]</f>
        <v>95.965000000000003</v>
      </c>
      <c r="LS33">
        <f>SOFR3mo_PX[[#This Row],[Column331]]</f>
        <v>95.935000000000002</v>
      </c>
      <c r="LT33">
        <f>SOFR3mo_PX[[#This Row],[Column332]]</f>
        <v>95.974999999999994</v>
      </c>
      <c r="LU33">
        <f>SOFR3mo_PX[[#This Row],[Column333]]</f>
        <v>95.96</v>
      </c>
      <c r="LV33">
        <f>SOFR3mo_PX[[#This Row],[Column334]]</f>
        <v>96.07</v>
      </c>
      <c r="LW33">
        <f>SOFR3mo_PX[[#This Row],[Column335]]</f>
        <v>96.084999999999994</v>
      </c>
      <c r="LX33">
        <f>SOFR3mo_PX[[#This Row],[Column336]]</f>
        <v>96.135000000000005</v>
      </c>
      <c r="LY33">
        <f>SOFR3mo_PX[[#This Row],[Column337]]</f>
        <v>96.13</v>
      </c>
      <c r="LZ33">
        <f>SOFR3mo_PX[[#This Row],[Column338]]</f>
        <v>96.15</v>
      </c>
      <c r="MA33">
        <f>SOFR3mo_PX[[#This Row],[Column339]]</f>
        <v>96.144999999999996</v>
      </c>
      <c r="MB33">
        <f>SOFR3mo_PX[[#This Row],[Column340]]</f>
        <v>96.105000000000004</v>
      </c>
      <c r="MC33">
        <f>SOFR3mo_PX[[#This Row],[Column341]]</f>
        <v>96.015000000000001</v>
      </c>
      <c r="MD33">
        <f>SOFR3mo_PX[[#This Row],[Column342]]</f>
        <v>96.045000000000002</v>
      </c>
      <c r="ME33">
        <f>SOFR3mo_PX[[#This Row],[Column343]]</f>
        <v>96</v>
      </c>
      <c r="MF33">
        <f>SOFR3mo_PX[[#This Row],[Column344]]</f>
        <v>95.99</v>
      </c>
      <c r="MG33">
        <f>SOFR3mo_PX[[#This Row],[Column345]]</f>
        <v>95.995000000000005</v>
      </c>
      <c r="MH33">
        <f>SOFR3mo_PX[[#This Row],[Column346]]</f>
        <v>96.015000000000001</v>
      </c>
      <c r="MI33">
        <f>SOFR3mo_PX[[#This Row],[Column347]]</f>
        <v>96.025000000000006</v>
      </c>
      <c r="MJ33">
        <f>SOFR3mo_PX[[#This Row],[Column348]]</f>
        <v>95.93</v>
      </c>
      <c r="MK33">
        <f>SOFR3mo_PX[[#This Row],[Column349]]</f>
        <v>95.9</v>
      </c>
      <c r="ML33">
        <f>SOFR3mo_PX[[#This Row],[Column350]]</f>
        <v>95.944999999999993</v>
      </c>
      <c r="MM33">
        <f>SOFR3mo_PX[[#This Row],[Column351]]</f>
        <v>95.92</v>
      </c>
      <c r="MN33">
        <f>SOFR3mo_PX[[#This Row],[Column352]]</f>
        <v>95.92</v>
      </c>
      <c r="MO33">
        <f>SOFR3mo_PX[[#This Row],[Column353]]</f>
        <v>95.96</v>
      </c>
      <c r="MP33">
        <f>SOFR3mo_PX[[#This Row],[Column354]]</f>
        <v>95.935000000000002</v>
      </c>
      <c r="MQ33">
        <f>SOFR3mo_PX[[#This Row],[Column355]]</f>
        <v>95.894999999999996</v>
      </c>
      <c r="MR33">
        <f>SOFR3mo_PX[[#This Row],[Column356]]</f>
        <v>95.995000000000005</v>
      </c>
      <c r="MS33">
        <f>SOFR3mo_PX[[#This Row],[Column357]]</f>
        <v>95.974999999999994</v>
      </c>
      <c r="MT33">
        <f>SOFR3mo_PX[[#This Row],[Column358]]</f>
        <v>95.99</v>
      </c>
      <c r="MU33">
        <f>SOFR3mo_PX[[#This Row],[Column359]]</f>
        <v>96.075000000000003</v>
      </c>
      <c r="MV33">
        <f>SOFR3mo_PX[[#This Row],[Column360]]</f>
        <v>96.09</v>
      </c>
      <c r="MW33">
        <f>SOFR3mo_PX[[#This Row],[Column361]]</f>
        <v>96</v>
      </c>
      <c r="MX33">
        <f>SOFR3mo_PX[[#This Row],[Column362]]</f>
        <v>96.135000000000005</v>
      </c>
      <c r="MY33">
        <f>SOFR3mo_PX[[#This Row],[Column363]]</f>
        <v>96.295000000000002</v>
      </c>
      <c r="MZ33">
        <f>SOFR3mo_PX[[#This Row],[Column364]]</f>
        <v>96.18</v>
      </c>
      <c r="NA33">
        <f>SOFR3mo_PX[[#This Row],[Column365]]</f>
        <v>96.094999999999999</v>
      </c>
      <c r="NB33">
        <f>SOFR3mo_PX[[#This Row],[Column366]]</f>
        <v>96.025000000000006</v>
      </c>
      <c r="NC33">
        <f>SOFR3mo_PX[[#This Row],[Column367]]</f>
        <v>95.97</v>
      </c>
      <c r="ND33">
        <f>SOFR3mo_PX[[#This Row],[Column368]]</f>
        <v>96.004999999999995</v>
      </c>
      <c r="NE33">
        <f>SOFR3mo_PX[[#This Row],[Column369]]</f>
        <v>95.984999999999999</v>
      </c>
      <c r="NF33">
        <f>SOFR3mo_PX[[#This Row],[Column370]]</f>
        <v>96.03</v>
      </c>
      <c r="NG33">
        <f>SOFR3mo_PX[[#This Row],[Column371]]</f>
        <v>96.075000000000003</v>
      </c>
      <c r="NH33">
        <f>SOFR3mo_PX[[#This Row],[Column372]]</f>
        <v>96.02</v>
      </c>
      <c r="NI33">
        <f>SOFR3mo_PX[[#This Row],[Column373]]</f>
        <v>96.01</v>
      </c>
      <c r="NJ33">
        <f>SOFR3mo_PX[[#This Row],[Column374]]</f>
        <v>96.045000000000002</v>
      </c>
      <c r="NK33">
        <f>SOFR3mo_PX[[#This Row],[Column375]]</f>
        <v>96.055000000000007</v>
      </c>
      <c r="NL33">
        <f>SOFR3mo_PX[[#This Row],[Column376]]</f>
        <v>96.17</v>
      </c>
      <c r="NM33">
        <f>SOFR3mo_PX[[#This Row],[Column377]]</f>
        <v>96.17</v>
      </c>
      <c r="NN33">
        <f>SOFR3mo_PX[[#This Row],[Column378]]</f>
        <v>96.204999999999998</v>
      </c>
      <c r="NO33">
        <f>SOFR3mo_PX[[#This Row],[Column379]]</f>
        <v>96.165000000000006</v>
      </c>
      <c r="NP33">
        <f>SOFR3mo_PX[[#This Row],[Column380]]</f>
        <v>96.174999999999997</v>
      </c>
      <c r="NQ33">
        <f>SOFR3mo_PX[[#This Row],[Column381]]</f>
        <v>96.18</v>
      </c>
      <c r="NR33">
        <f>SOFR3mo_PX[[#This Row],[Column382]]</f>
        <v>96.18</v>
      </c>
      <c r="NS33">
        <f>SOFR3mo_PX[[#This Row],[Column383]]</f>
        <v>96.234999999999999</v>
      </c>
      <c r="NT33">
        <f>SOFR3mo_PX[[#This Row],[Column384]]</f>
        <v>96.305000000000007</v>
      </c>
      <c r="NU33">
        <f>SOFR3mo_PX[[#This Row],[Column385]]</f>
        <v>96.26</v>
      </c>
      <c r="NV33">
        <f>SOFR3mo_PX[[#This Row],[Column386]]</f>
        <v>96.28</v>
      </c>
      <c r="NW33">
        <f>SOFR3mo_PX[[#This Row],[Column387]]</f>
        <v>96.28</v>
      </c>
      <c r="NX33">
        <f>SOFR3mo_PX[[#This Row],[Column388]]</f>
        <v>96.305000000000007</v>
      </c>
      <c r="NY33">
        <f>SOFR3mo_PX[[#This Row],[Column389]]</f>
        <v>96.37</v>
      </c>
      <c r="NZ33">
        <f>SOFR3mo_PX[[#This Row],[Column390]]</f>
        <v>96.265000000000001</v>
      </c>
      <c r="OA33">
        <f>SOFR3mo_PX[[#This Row],[Column391]]</f>
        <v>96.25</v>
      </c>
      <c r="OB33">
        <f>SOFR3mo_PX[[#This Row],[Column392]]</f>
        <v>96.25</v>
      </c>
      <c r="OC33">
        <f>SOFR3mo_PX[[#This Row],[Column393]]</f>
        <v>96.284999999999997</v>
      </c>
      <c r="OD33">
        <f>SOFR3mo_PX[[#This Row],[Column394]]</f>
        <v>96.32</v>
      </c>
      <c r="OE33">
        <f>SOFR3mo_PX[[#This Row],[Column395]]</f>
        <v>96.28</v>
      </c>
      <c r="OF33">
        <f>SOFR3mo_PX[[#This Row],[Column396]]</f>
        <v>96.245000000000005</v>
      </c>
      <c r="OG33">
        <f>SOFR3mo_PX[[#This Row],[Column397]]</f>
        <v>96.28</v>
      </c>
      <c r="OH33">
        <f>SOFR3mo_PX[[#This Row],[Column398]]</f>
        <v>96.254999999999995</v>
      </c>
      <c r="OI33">
        <f>SOFR3mo_PX[[#This Row],[Column399]]</f>
        <v>96.155000000000001</v>
      </c>
      <c r="OJ33">
        <f>SOFR3mo_PX[[#This Row],[Column400]]</f>
        <v>96.01</v>
      </c>
      <c r="OK33">
        <f>SOFR3mo_PX[[#This Row],[Column401]]</f>
        <v>95.954999999999998</v>
      </c>
      <c r="OL33">
        <f>SOFR3mo_PX[[#This Row],[Column402]]</f>
        <v>95.95</v>
      </c>
      <c r="OM33">
        <f>SOFR3mo_PX[[#This Row],[Column403]]</f>
        <v>96.06</v>
      </c>
      <c r="ON33">
        <f>SOFR3mo_PX[[#This Row],[Column404]]</f>
        <v>96.055000000000007</v>
      </c>
      <c r="OO33">
        <f>SOFR3mo_PX[[#This Row],[Column405]]</f>
        <v>95.99</v>
      </c>
      <c r="OP33">
        <f>SOFR3mo_PX[[#This Row],[Column406]]</f>
        <v>95.855000000000004</v>
      </c>
      <c r="OQ33">
        <f>SOFR3mo_PX[[#This Row],[Column407]]</f>
        <v>95.885000000000005</v>
      </c>
      <c r="OR33">
        <f>SOFR3mo_PX[[#This Row],[Column408]]</f>
        <v>95.77</v>
      </c>
      <c r="OS33">
        <f>SOFR3mo_PX[[#This Row],[Column409]]</f>
        <v>95.855000000000004</v>
      </c>
      <c r="OT33">
        <f>SOFR3mo_PX[[#This Row],[Column410]]</f>
        <v>95.78</v>
      </c>
      <c r="OU33">
        <f>SOFR3mo_PX[[#This Row],[Column411]]</f>
        <v>95.784999999999997</v>
      </c>
      <c r="OV33">
        <f>SOFR3mo_PX[[#This Row],[Column412]]</f>
        <v>95.674999999999997</v>
      </c>
      <c r="OW33">
        <f>SOFR3mo_PX[[#This Row],[Column413]]</f>
        <v>95.72</v>
      </c>
      <c r="OX33">
        <f>SOFR3mo_PX[[#This Row],[Column414]]</f>
        <v>95.72</v>
      </c>
      <c r="OY33">
        <f>SOFR3mo_PX[[#This Row],[Column415]]</f>
        <v>95.71</v>
      </c>
      <c r="OZ33">
        <f>SOFR3mo_PX[[#This Row],[Column416]]</f>
        <v>95.73</v>
      </c>
      <c r="PA33">
        <f>SOFR3mo_PX[[#This Row],[Column417]]</f>
        <v>95.685000000000002</v>
      </c>
      <c r="PB33">
        <f>SOFR3mo_PX[[#This Row],[Column418]]</f>
        <v>95.665000000000006</v>
      </c>
      <c r="PC33">
        <f>SOFR3mo_PX[[#This Row],[Column419]]</f>
        <v>95.57</v>
      </c>
      <c r="PD33">
        <f>SOFR3mo_PX[[#This Row],[Column420]]</f>
        <v>95.644999999999996</v>
      </c>
      <c r="PE33">
        <f>SOFR3mo_PX[[#This Row],[Column421]]</f>
        <v>95.474999999999994</v>
      </c>
      <c r="PF33">
        <f>SOFR3mo_PX[[#This Row],[Column422]]</f>
        <v>95.465000000000003</v>
      </c>
      <c r="PG33">
        <f>SOFR3mo_PX[[#This Row],[Column423]]</f>
        <v>95.444999999999993</v>
      </c>
      <c r="PH33">
        <f>SOFR3mo_PX[[#This Row],[Column424]]</f>
        <v>95.575000000000003</v>
      </c>
      <c r="PI33">
        <f>SOFR3mo_PX[[#This Row],[Column425]]</f>
        <v>95.49</v>
      </c>
      <c r="PJ33">
        <f>SOFR3mo_PX[[#This Row],[Column426]]</f>
        <v>95.375</v>
      </c>
      <c r="PK33">
        <f>SOFR3mo_PX[[#This Row],[Column427]]</f>
        <v>95.484999999999999</v>
      </c>
      <c r="PL33">
        <f>SOFR3mo_PX[[#This Row],[Column428]]</f>
        <v>95.364999999999995</v>
      </c>
      <c r="PM33">
        <f>SOFR3mo_PX[[#This Row],[Column429]]</f>
        <v>95.234999999999999</v>
      </c>
      <c r="PN33">
        <f>SOFR3mo_PX[[#This Row],[Column430]]</f>
        <v>95.144999999999996</v>
      </c>
      <c r="PO33">
        <f>SOFR3mo_PX[[#This Row],[Column431]]</f>
        <v>95.135000000000005</v>
      </c>
      <c r="PP33">
        <f>SOFR3mo_PX[[#This Row],[Column432]]</f>
        <v>95.144999999999996</v>
      </c>
      <c r="PQ33">
        <f>SOFR3mo_PX[[#This Row],[Column433]]</f>
        <v>95.15</v>
      </c>
      <c r="PR33">
        <f>SOFR3mo_PX[[#This Row],[Column434]]</f>
        <v>95.04</v>
      </c>
      <c r="PS33">
        <f>SOFR3mo_PX[[#This Row],[Column435]]</f>
        <v>95.18</v>
      </c>
      <c r="PT33">
        <f>SOFR3mo_PX[[#This Row],[Column436]]</f>
        <v>95.174999999999997</v>
      </c>
      <c r="PU33">
        <f>SOFR3mo_PX[[#This Row],[Column437]]</f>
        <v>95.07</v>
      </c>
      <c r="PV33">
        <f>SOFR3mo_PX[[#This Row],[Column438]]</f>
        <v>94.995000000000005</v>
      </c>
      <c r="PW33">
        <f>SOFR3mo_PX[[#This Row],[Column439]]</f>
        <v>95.125</v>
      </c>
      <c r="PX33">
        <f>SOFR3mo_PX[[#This Row],[Column440]]</f>
        <v>95.17</v>
      </c>
      <c r="PY33">
        <f>SOFR3mo_PX[[#This Row],[Column441]]</f>
        <v>95.295000000000002</v>
      </c>
      <c r="PZ33">
        <f>SOFR3mo_PX[[#This Row],[Column442]]</f>
        <v>95.37</v>
      </c>
      <c r="QA33">
        <f>SOFR3mo_PX[[#This Row],[Column443]]</f>
        <v>95.265000000000001</v>
      </c>
      <c r="QB33">
        <f>SOFR3mo_PX[[#This Row],[Column444]]</f>
        <v>95.38</v>
      </c>
      <c r="QC33">
        <f>SOFR3mo_PX[[#This Row],[Column445]]</f>
        <v>95.29</v>
      </c>
      <c r="QD33">
        <f>SOFR3mo_PX[[#This Row],[Column446]]</f>
        <v>95.27</v>
      </c>
      <c r="QE33">
        <f>SOFR3mo_PX[[#This Row],[Column447]]</f>
        <v>95.15</v>
      </c>
      <c r="QF33">
        <f>SOFR3mo_PX[[#This Row],[Column448]]</f>
        <v>95.21</v>
      </c>
      <c r="QG33">
        <f>SOFR3mo_PX[[#This Row],[Column449]]</f>
        <v>95.185000000000002</v>
      </c>
      <c r="QH33">
        <f>SOFR3mo_PX[[#This Row],[Column450]]</f>
        <v>95.13</v>
      </c>
      <c r="QI33">
        <f>SOFR3mo_PX[[#This Row],[Column451]]</f>
        <v>95.26</v>
      </c>
      <c r="QJ33">
        <f>SOFR3mo_PX[[#This Row],[Column452]]</f>
        <v>95.435000000000002</v>
      </c>
      <c r="QK33">
        <f>SOFR3mo_PX[[#This Row],[Column453]]</f>
        <v>95.424999999999997</v>
      </c>
      <c r="QL33">
        <f>SOFR3mo_PX[[#This Row],[Column454]]</f>
        <v>95.45</v>
      </c>
      <c r="QM33">
        <f>SOFR3mo_PX[[#This Row],[Column455]]</f>
        <v>95.525000000000006</v>
      </c>
      <c r="QN33">
        <f>SOFR3mo_PX[[#This Row],[Column456]]</f>
        <v>95.534999999999997</v>
      </c>
      <c r="QO33">
        <f>SOFR3mo_PX[[#This Row],[Column457]]</f>
        <v>95.685000000000002</v>
      </c>
      <c r="QP33">
        <f>SOFR3mo_PX[[#This Row],[Column458]]</f>
        <v>95.655000000000001</v>
      </c>
      <c r="QQ33">
        <f>SOFR3mo_PX[[#This Row],[Column459]]</f>
        <v>95.82</v>
      </c>
      <c r="QR33">
        <f>SOFR3mo_PX[[#This Row],[Column460]]</f>
        <v>95.805000000000007</v>
      </c>
      <c r="QS33">
        <f>SOFR3mo_PX[[#This Row],[Column461]]</f>
        <v>95.84</v>
      </c>
      <c r="QT33">
        <f>SOFR3mo_PX[[#This Row],[Column462]]</f>
        <v>95.82</v>
      </c>
      <c r="QU33">
        <f>SOFR3mo_PX[[#This Row],[Column463]]</f>
        <v>95.855000000000004</v>
      </c>
      <c r="QV33">
        <f>SOFR3mo_PX[[#This Row],[Column464]]</f>
        <v>95.915000000000006</v>
      </c>
      <c r="QW33">
        <f>SOFR3mo_PX[[#This Row],[Column465]]</f>
        <v>95.894999999999996</v>
      </c>
      <c r="QX33">
        <f>SOFR3mo_PX[[#This Row],[Column466]]</f>
        <v>95.85</v>
      </c>
      <c r="QY33">
        <f>SOFR3mo_PX[[#This Row],[Column467]]</f>
        <v>95.89</v>
      </c>
      <c r="QZ33">
        <f>SOFR3mo_PX[[#This Row],[Column468]]</f>
        <v>95.88</v>
      </c>
      <c r="RA33">
        <f>SOFR3mo_PX[[#This Row],[Column469]]</f>
        <v>95.864999999999995</v>
      </c>
      <c r="RB33">
        <f>SOFR3mo_PX[[#This Row],[Column470]]</f>
        <v>95.86</v>
      </c>
      <c r="RC33">
        <f>SOFR3mo_PX[[#This Row],[Column471]]</f>
        <v>95.93</v>
      </c>
      <c r="RD33">
        <f>SOFR3mo_PX[[#This Row],[Column472]]</f>
        <v>95.93</v>
      </c>
      <c r="RE33">
        <f>SOFR3mo_PX[[#This Row],[Column473]]</f>
        <v>96.025000000000006</v>
      </c>
      <c r="RF33">
        <f>SOFR3mo_PX[[#This Row],[Column474]]</f>
        <v>96</v>
      </c>
      <c r="RG33">
        <f>SOFR3mo_PX[[#This Row],[Column475]]</f>
        <v>96.004999999999995</v>
      </c>
      <c r="RH33">
        <f>SOFR3mo_PX[[#This Row],[Column476]]</f>
        <v>95.97</v>
      </c>
      <c r="RI33">
        <f>SOFR3mo_PX[[#This Row],[Column477]]</f>
        <v>95.93</v>
      </c>
      <c r="RJ33">
        <f>SOFR3mo_PX[[#This Row],[Column478]]</f>
        <v>95.924999999999997</v>
      </c>
      <c r="RK33">
        <f>SOFR3mo_PX[[#This Row],[Column479]]</f>
        <v>95.95</v>
      </c>
      <c r="RL33">
        <f>SOFR3mo_PX[[#This Row],[Column480]]</f>
        <v>95.8</v>
      </c>
      <c r="RM33">
        <f>SOFR3mo_PX[[#This Row],[Column481]]</f>
        <v>95.77</v>
      </c>
      <c r="RN33">
        <f>SOFR3mo_PX[[#This Row],[Column482]]</f>
        <v>95.864999999999995</v>
      </c>
      <c r="RO33">
        <f>SOFR3mo_PX[[#This Row],[Column483]]</f>
        <v>95.79</v>
      </c>
      <c r="RP33">
        <f>SOFR3mo_PX[[#This Row],[Column484]]</f>
        <v>95.875</v>
      </c>
      <c r="RQ33">
        <f>SOFR3mo_PX[[#This Row],[Column485]]</f>
        <v>95.91</v>
      </c>
      <c r="RR33">
        <f>SOFR3mo_PX[[#This Row],[Column486]]</f>
        <v>95.97</v>
      </c>
      <c r="RS33">
        <f>SOFR3mo_PX[[#This Row],[Column487]]</f>
        <v>95.944999999999993</v>
      </c>
      <c r="RT33">
        <f>SOFR3mo_PX[[#This Row],[Column488]]</f>
        <v>96.034999999999997</v>
      </c>
      <c r="RU33">
        <f>SOFR3mo_PX[[#This Row],[Column489]]</f>
        <v>96.14</v>
      </c>
      <c r="RV33">
        <f>SOFR3mo_PX[[#This Row],[Column490]]</f>
        <v>96.105000000000004</v>
      </c>
      <c r="RW33">
        <f>SOFR3mo_PX[[#This Row],[Column491]]</f>
        <v>96.04</v>
      </c>
      <c r="RX33">
        <f>SOFR3mo_PX[[#This Row],[Column492]]</f>
        <v>96.064999999999998</v>
      </c>
      <c r="RY33">
        <f>SOFR3mo_PX[[#This Row],[Column493]]</f>
        <v>95.924999999999997</v>
      </c>
      <c r="RZ33">
        <f>SOFR3mo_PX[[#This Row],[Column494]]</f>
        <v>96.094999999999999</v>
      </c>
      <c r="SA33">
        <f>SOFR3mo_PX[[#This Row],[Column495]]</f>
        <v>96.15</v>
      </c>
      <c r="SB33">
        <f>SOFR3mo_PX[[#This Row],[Column496]]</f>
        <v>96.24</v>
      </c>
      <c r="SC33">
        <f>SOFR3mo_PX[[#This Row],[Column497]]</f>
        <v>96.234999999999999</v>
      </c>
      <c r="SD33">
        <f>SOFR3mo_PX[[#This Row],[Column498]]</f>
        <v>96.19</v>
      </c>
      <c r="SE33">
        <f>SOFR3mo_PX[[#This Row],[Column499]]</f>
        <v>96.36</v>
      </c>
      <c r="SF33">
        <f>SOFR3mo_PX[[#This Row],[Column500]]</f>
        <v>96.31</v>
      </c>
      <c r="SG33">
        <f>SOFR3mo_PX[[#This Row],[Column501]]</f>
        <v>96.37</v>
      </c>
      <c r="SH33">
        <f>SOFR3mo_PX[[#This Row],[Column502]]</f>
        <v>96.38</v>
      </c>
      <c r="SI33">
        <f>SOFR3mo_PX[[#This Row],[Column503]]</f>
        <v>96.36</v>
      </c>
      <c r="SJ33">
        <f>SOFR3mo_PX[[#This Row],[Column504]]</f>
        <v>96.48</v>
      </c>
      <c r="SK33">
        <f>SOFR3mo_PX[[#This Row],[Column505]]</f>
        <v>96.44</v>
      </c>
      <c r="SL33">
        <f>SOFR3mo_PX[[#This Row],[Column506]]</f>
        <v>96.424999999999997</v>
      </c>
      <c r="SM33">
        <f>SOFR3mo_PX[[#This Row],[Column507]]</f>
        <v>96.385000000000005</v>
      </c>
      <c r="SN33">
        <f>SOFR3mo_PX[[#This Row],[Column508]]</f>
        <v>96.394999999999996</v>
      </c>
      <c r="SO33">
        <f>SOFR3mo_PX[[#This Row],[Column509]]</f>
        <v>96.364999999999995</v>
      </c>
      <c r="SP33">
        <f>SOFR3mo_PX[[#This Row],[Column510]]</f>
        <v>96.275000000000006</v>
      </c>
      <c r="SQ33">
        <f>SOFR3mo_PX[[#This Row],[Column511]]</f>
        <v>96.21</v>
      </c>
      <c r="SR33">
        <f>SOFR3mo_PX[[#This Row],[Column512]]</f>
        <v>96.17</v>
      </c>
      <c r="SS33">
        <f>SOFR3mo_PX[[#This Row],[Column513]]</f>
        <v>96.224999999999994</v>
      </c>
      <c r="ST33">
        <f>SOFR3mo_PX[[#This Row],[Column514]]</f>
        <v>96.325000000000003</v>
      </c>
      <c r="SU33">
        <f>SOFR3mo_PX[[#This Row],[Column515]]</f>
        <v>96.43</v>
      </c>
      <c r="SV33">
        <f>SOFR3mo_PX[[#This Row],[Column516]]</f>
        <v>96.43</v>
      </c>
      <c r="SW33">
        <f>SOFR3mo_PX[[#This Row],[Column517]]</f>
        <v>96.465000000000003</v>
      </c>
      <c r="SX33">
        <f>SOFR3mo_PX[[#This Row],[Column518]]</f>
        <v>96.4</v>
      </c>
      <c r="SY33">
        <f>SOFR3mo_PX[[#This Row],[Column519]]</f>
        <v>96.545000000000002</v>
      </c>
      <c r="SZ33">
        <f>SOFR3mo_PX[[#This Row],[Column520]]</f>
        <v>96.49</v>
      </c>
      <c r="TA33">
        <f>SOFR3mo_PX[[#This Row],[Column521]]</f>
        <v>96.52</v>
      </c>
      <c r="TB33">
        <f>SOFR3mo_PX[[#This Row],[Column522]]</f>
        <v>96.49</v>
      </c>
      <c r="TC33">
        <f>SOFR3mo_PX[[#This Row],[Column523]]</f>
        <v>96.42</v>
      </c>
      <c r="TD33">
        <f>SOFR3mo_PX[[#This Row],[Column524]]</f>
        <v>96.495000000000005</v>
      </c>
      <c r="TE33">
        <f>SOFR3mo_PX[[#This Row],[Column525]]</f>
        <v>96.504999999999995</v>
      </c>
      <c r="TF33">
        <f>SOFR3mo_PX[[#This Row],[Column526]]</f>
        <v>96.435000000000002</v>
      </c>
      <c r="TG33">
        <f>SOFR3mo_PX[[#This Row],[Column527]]</f>
        <v>96.435000000000002</v>
      </c>
      <c r="TH33">
        <f>SOFR3mo_PX[[#This Row],[Column528]]</f>
        <v>96.47</v>
      </c>
      <c r="TI33">
        <f>SOFR3mo_PX[[#This Row],[Column529]]</f>
        <v>96.4</v>
      </c>
      <c r="TJ33">
        <f>SOFR3mo_PX[[#This Row],[Column530]]</f>
        <v>96.32</v>
      </c>
      <c r="TK33">
        <f>SOFR3mo_PX[[#This Row],[Column531]]</f>
        <v>96.394999999999996</v>
      </c>
      <c r="TL33">
        <f>SOFR3mo_PX[[#This Row],[Column532]]</f>
        <v>96.4</v>
      </c>
      <c r="TM33">
        <f>SOFR3mo_PX[[#This Row],[Column533]]</f>
        <v>96.405000000000001</v>
      </c>
      <c r="TN33">
        <f>SOFR3mo_PX[[#This Row],[Column534]]</f>
        <v>96.33</v>
      </c>
      <c r="TO33">
        <f>SOFR3mo_PX[[#This Row],[Column535]]</f>
        <v>96.435000000000002</v>
      </c>
      <c r="TP33">
        <f>SOFR3mo_PX[[#This Row],[Column536]]</f>
        <v>96.415000000000006</v>
      </c>
      <c r="TQ33">
        <f>SOFR3mo_PX[[#This Row],[Column537]]</f>
        <v>96.385000000000005</v>
      </c>
      <c r="TR33">
        <f>SOFR3mo_PX[[#This Row],[Column538]]</f>
        <v>96.484999999999999</v>
      </c>
      <c r="TS33">
        <f>SOFR3mo_PX[[#This Row],[Column539]]</f>
        <v>96.47</v>
      </c>
      <c r="TT33">
        <f>SOFR3mo_PX[[#This Row],[Column540]]</f>
        <v>96.424999999999997</v>
      </c>
      <c r="TU33">
        <f>SOFR3mo_PX[[#This Row],[Column541]]</f>
        <v>96.314999999999998</v>
      </c>
      <c r="TV33">
        <f>SOFR3mo_PX[[#This Row],[Column542]]</f>
        <v>96.314999999999998</v>
      </c>
      <c r="TW33">
        <f>SOFR3mo_PX[[#This Row],[Column543]]</f>
        <v>96.3</v>
      </c>
      <c r="TX33">
        <f>SOFR3mo_PX[[#This Row],[Column544]]</f>
        <v>96.385000000000005</v>
      </c>
      <c r="TY33">
        <f>SOFR3mo_PX[[#This Row],[Column545]]</f>
        <v>96.4</v>
      </c>
      <c r="TZ33">
        <f>SOFR3mo_PX[[#This Row],[Column546]]</f>
        <v>96.37</v>
      </c>
      <c r="UA33">
        <f>SOFR3mo_PX[[#This Row],[Column547]]</f>
        <v>96.36</v>
      </c>
      <c r="UB33">
        <f>SOFR3mo_PX[[#This Row],[Column548]]</f>
        <v>96.41</v>
      </c>
      <c r="UC33">
        <f>SOFR3mo_PX[[#This Row],[Column549]]</f>
        <v>96.465000000000003</v>
      </c>
      <c r="UD33">
        <f>SOFR3mo_PX[[#This Row],[Column550]]</f>
        <v>96.48</v>
      </c>
      <c r="UE33">
        <f>SOFR3mo_PX[[#This Row],[Column551]]</f>
        <v>96.534999999999997</v>
      </c>
      <c r="UF33">
        <f>SOFR3mo_PX[[#This Row],[Column552]]</f>
        <v>96.575000000000003</v>
      </c>
      <c r="UG33">
        <f>SOFR3mo_PX[[#This Row],[Column553]]</f>
        <v>96.614999999999995</v>
      </c>
      <c r="UH33">
        <f>SOFR3mo_PX[[#This Row],[Column554]]</f>
        <v>96.57</v>
      </c>
      <c r="UI33">
        <f>SOFR3mo_PX[[#This Row],[Column555]]</f>
        <v>96.504999999999995</v>
      </c>
      <c r="UJ33">
        <f>SOFR3mo_PX[[#This Row],[Column556]]</f>
        <v>96.515000000000001</v>
      </c>
      <c r="UK33">
        <f>SOFR3mo_PX[[#This Row],[Column557]]</f>
        <v>96.56</v>
      </c>
      <c r="UL33">
        <f>SOFR3mo_PX[[#This Row],[Column558]]</f>
        <v>96.63</v>
      </c>
      <c r="UM33">
        <f>SOFR3mo_PX[[#This Row],[Column559]]</f>
        <v>96.58</v>
      </c>
      <c r="UN33">
        <f>SOFR3mo_PX[[#This Row],[Column560]]</f>
        <v>96.564999999999998</v>
      </c>
      <c r="UO33">
        <f>SOFR3mo_PX[[#This Row],[Column561]]</f>
        <v>96.435000000000002</v>
      </c>
      <c r="UP33">
        <f>SOFR3mo_PX[[#This Row],[Column562]]</f>
        <v>96.564999999999998</v>
      </c>
      <c r="UQ33">
        <f>SOFR3mo_PX[[#This Row],[Column563]]</f>
        <v>96.564999999999998</v>
      </c>
      <c r="UR33">
        <f>SOFR3mo_PX[[#This Row],[Column564]]</f>
        <v>96.64</v>
      </c>
      <c r="US33">
        <f>SOFR3mo_PX[[#This Row],[Column565]]</f>
        <v>96.69</v>
      </c>
      <c r="UT33">
        <f>SOFR3mo_PX[[#This Row],[Column566]]</f>
        <v>96.63</v>
      </c>
      <c r="UU33">
        <f>SOFR3mo_PX[[#This Row],[Column567]]</f>
        <v>96.575000000000003</v>
      </c>
      <c r="UV33">
        <f>SOFR3mo_PX[[#This Row],[Column568]]</f>
        <v>96.62</v>
      </c>
      <c r="UW33">
        <f>SOFR3mo_PX[[#This Row],[Column569]]</f>
        <v>96.584999999999994</v>
      </c>
      <c r="UX33">
        <f>SOFR3mo_PX[[#This Row],[Column570]]</f>
        <v>96.605000000000004</v>
      </c>
      <c r="UY33">
        <f>SOFR3mo_PX[[#This Row],[Column571]]</f>
        <v>96.56</v>
      </c>
      <c r="UZ33">
        <f>SOFR3mo_PX[[#This Row],[Column572]]</f>
        <v>96.62</v>
      </c>
      <c r="VA33">
        <f>SOFR3mo_PX[[#This Row],[Column573]]</f>
        <v>96.674999999999997</v>
      </c>
      <c r="VB33">
        <f>SOFR3mo_PX[[#This Row],[Column574]]</f>
        <v>96.73</v>
      </c>
      <c r="VC33">
        <f>SOFR3mo_PX[[#This Row],[Column575]]</f>
        <v>96.73</v>
      </c>
      <c r="VD33">
        <f>SOFR3mo_PX[[#This Row],[Column576]]</f>
        <v>96.72</v>
      </c>
      <c r="VE33">
        <f>SOFR3mo_PX[[#This Row],[Column577]]</f>
        <v>96.775000000000006</v>
      </c>
      <c r="VF33">
        <f>SOFR3mo_PX[[#This Row],[Column578]]</f>
        <v>96.85</v>
      </c>
      <c r="VG33">
        <f>SOFR3mo_PX[[#This Row],[Column579]]</f>
        <v>96.834999999999994</v>
      </c>
      <c r="VH33">
        <f>SOFR3mo_PX[[#This Row],[Column580]]</f>
        <v>96.8</v>
      </c>
      <c r="VI33">
        <f>SOFR3mo_PX[[#This Row],[Column581]]</f>
        <v>96.74</v>
      </c>
      <c r="VJ33">
        <f>SOFR3mo_PX[[#This Row],[Column582]]</f>
        <v>96.685000000000002</v>
      </c>
      <c r="VK33">
        <f>SOFR3mo_PX[[#This Row],[Column583]]</f>
        <v>96.65</v>
      </c>
      <c r="VL33">
        <f>SOFR3mo_PX[[#This Row],[Column584]]</f>
        <v>96.625</v>
      </c>
      <c r="VM33">
        <f>SOFR3mo_PX[[#This Row],[Column585]]</f>
        <v>96.614999999999995</v>
      </c>
      <c r="VN33">
        <f>SOFR3mo_PX[[#This Row],[Column586]]</f>
        <v>96.644999999999996</v>
      </c>
      <c r="VO33">
        <f>SOFR3mo_PX[[#This Row],[Column587]]</f>
        <v>96.765000000000001</v>
      </c>
      <c r="VP33">
        <f>SOFR3mo_PX[[#This Row],[Column588]]</f>
        <v>96.724999999999994</v>
      </c>
      <c r="VQ33">
        <f>SOFR3mo_PX[[#This Row],[Column589]]</f>
        <v>96.674999999999997</v>
      </c>
      <c r="VR33">
        <f>SOFR3mo_PX[[#This Row],[Column590]]</f>
        <v>96.62</v>
      </c>
      <c r="VS33">
        <f>SOFR3mo_PX[[#This Row],[Column591]]</f>
        <v>96.644999999999996</v>
      </c>
      <c r="VT33">
        <f>SOFR3mo_PX[[#This Row],[Column592]]</f>
        <v>96.72</v>
      </c>
      <c r="VU33">
        <f>SOFR3mo_PX[[#This Row],[Column593]]</f>
        <v>96.534999999999997</v>
      </c>
      <c r="VV33">
        <f>SOFR3mo_PX[[#This Row],[Column594]]</f>
        <v>96.61</v>
      </c>
      <c r="VW33">
        <f>SOFR3mo_PX[[#This Row],[Column595]]</f>
        <v>96.52</v>
      </c>
      <c r="VX33">
        <f>SOFR3mo_PX[[#This Row],[Column596]]</f>
        <v>96.594999999999999</v>
      </c>
      <c r="VY33">
        <f>SOFR3mo_PX[[#This Row],[Column597]]</f>
        <v>96.575000000000003</v>
      </c>
      <c r="VZ33">
        <f>SOFR3mo_PX[[#This Row],[Column598]]</f>
        <v>96.375</v>
      </c>
      <c r="WA33">
        <f>SOFR3mo_PX[[#This Row],[Column599]]</f>
        <v>96.42</v>
      </c>
      <c r="WB33">
        <f>SOFR3mo_PX[[#This Row],[Column600]]</f>
        <v>96.4</v>
      </c>
      <c r="WC33">
        <f>SOFR3mo_PX[[#This Row],[Column601]]</f>
        <v>96.325000000000003</v>
      </c>
      <c r="WD33">
        <f>SOFR3mo_PX[[#This Row],[Column602]]</f>
        <v>96.325000000000003</v>
      </c>
      <c r="WE33">
        <f>SOFR3mo_PX[[#This Row],[Column603]]</f>
        <v>96.2</v>
      </c>
      <c r="WF33">
        <f>SOFR3mo_PX[[#This Row],[Column604]]</f>
        <v>96.305000000000007</v>
      </c>
      <c r="WG33">
        <f>SOFR3mo_PX[[#This Row],[Column605]]</f>
        <v>96.39</v>
      </c>
      <c r="WH33">
        <f>SOFR3mo_PX[[#This Row],[Column606]]</f>
        <v>96.39</v>
      </c>
      <c r="WI33">
        <f>SOFR3mo_PX[[#This Row],[Column607]]</f>
        <v>96.35</v>
      </c>
      <c r="WJ33">
        <f>SOFR3mo_PX[[#This Row],[Column608]]</f>
        <v>96.4</v>
      </c>
      <c r="WK33">
        <f>SOFR3mo_PX[[#This Row],[Column609]]</f>
        <v>96.35</v>
      </c>
      <c r="WL33">
        <f>SOFR3mo_PX[[#This Row],[Column610]]</f>
        <v>96.314999999999998</v>
      </c>
      <c r="WM33">
        <f>SOFR3mo_PX[[#This Row],[Column611]]</f>
        <v>96.465000000000003</v>
      </c>
      <c r="WN33">
        <f>SOFR3mo_PX[[#This Row],[Column612]]</f>
        <v>96.465000000000003</v>
      </c>
      <c r="WO33">
        <f>SOFR3mo_PX[[#This Row],[Column613]]</f>
        <v>96.444999999999993</v>
      </c>
      <c r="WP33">
        <f>SOFR3mo_PX[[#This Row],[Column614]]</f>
        <v>96.484999999999999</v>
      </c>
      <c r="WQ33">
        <f>SOFR3mo_PX[[#This Row],[Column615]]</f>
        <v>96.55</v>
      </c>
      <c r="WR33">
        <f>SOFR3mo_PX[[#This Row],[Column616]]</f>
        <v>96.534999999999997</v>
      </c>
      <c r="WS33">
        <f>SOFR3mo_PX[[#This Row],[Column617]]</f>
        <v>96.504999999999995</v>
      </c>
      <c r="WT33">
        <f>SOFR3mo_PX[[#This Row],[Column618]]</f>
        <v>96.57</v>
      </c>
      <c r="WU33">
        <f>SOFR3mo_PX[[#This Row],[Column619]]</f>
        <v>96.59</v>
      </c>
      <c r="WV33">
        <f>SOFR3mo_PX[[#This Row],[Column620]]</f>
        <v>96.57</v>
      </c>
      <c r="WW33">
        <f>SOFR3mo_PX[[#This Row],[Column621]]</f>
        <v>96.594999999999999</v>
      </c>
      <c r="WX33">
        <f>SOFR3mo_PX[[#This Row],[Column622]]</f>
        <v>96.67</v>
      </c>
      <c r="WY33">
        <f>SOFR3mo_PX[[#This Row],[Column623]]</f>
        <v>96.76</v>
      </c>
      <c r="WZ33">
        <f>SOFR3mo_PX[[#This Row],[Column624]]</f>
        <v>96.795000000000002</v>
      </c>
      <c r="XA33">
        <f>SOFR3mo_PX[[#This Row],[Column625]]</f>
        <v>96.694999999999993</v>
      </c>
      <c r="XB33">
        <f>SOFR3mo_PX[[#This Row],[Column626]]</f>
        <v>96.665000000000006</v>
      </c>
      <c r="XC33">
        <f>SOFR3mo_PX[[#This Row],[Column627]]</f>
        <v>96.7</v>
      </c>
      <c r="XD33">
        <f>SOFR3mo_PX[[#This Row],[Column628]]</f>
        <v>96.75</v>
      </c>
      <c r="XE33">
        <f>SOFR3mo_PX[[#This Row],[Column629]]</f>
        <v>96.765000000000001</v>
      </c>
      <c r="XF33">
        <f>SOFR3mo_PX[[#This Row],[Column630]]</f>
        <v>96.765000000000001</v>
      </c>
      <c r="XG33">
        <f>SOFR3mo_PX[[#This Row],[Column631]]</f>
        <v>96.69</v>
      </c>
      <c r="XH33">
        <f>SOFR3mo_PX[[#This Row],[Column632]]</f>
        <v>96.734999999999999</v>
      </c>
      <c r="XI33">
        <f>SOFR3mo_PX[[#This Row],[Column633]]</f>
        <v>96.825000000000003</v>
      </c>
      <c r="XJ33">
        <f>SOFR3mo_PX[[#This Row],[Column634]]</f>
        <v>96.855000000000004</v>
      </c>
      <c r="XK33">
        <f>SOFR3mo_PX[[#This Row],[Column635]]</f>
        <v>96.73</v>
      </c>
      <c r="XL33">
        <f>SOFR3mo_PX[[#This Row],[Column636]]</f>
        <v>96.775000000000006</v>
      </c>
      <c r="XM33">
        <f>SOFR3mo_PX[[#This Row],[Column637]]</f>
        <v>96.775000000000006</v>
      </c>
      <c r="XN33">
        <f>SOFR3mo_PX[[#This Row],[Column638]]</f>
        <v>96.8</v>
      </c>
      <c r="XO33">
        <f>SOFR3mo_PX[[#This Row],[Column639]]</f>
        <v>96.724999999999994</v>
      </c>
      <c r="XP33">
        <f>SOFR3mo_PX[[#This Row],[Column640]]</f>
        <v>96.67</v>
      </c>
      <c r="XQ33">
        <f>SOFR3mo_PX[[#This Row],[Column641]]</f>
        <v>96.784999999999997</v>
      </c>
      <c r="XR33">
        <f>SOFR3mo_PX[[#This Row],[Column642]]</f>
        <v>96.74</v>
      </c>
      <c r="XS33">
        <f>SOFR3mo_PX[[#This Row],[Column643]]</f>
        <v>96.59</v>
      </c>
      <c r="XT33">
        <f>SOFR3mo_PX[[#This Row],[Column644]]</f>
        <v>96.575000000000003</v>
      </c>
      <c r="XU33">
        <f>SOFR3mo_PX[[#This Row],[Column645]]</f>
        <v>96.474999999999994</v>
      </c>
      <c r="XV33">
        <f>SOFR3mo_PX[[#This Row],[Column646]]</f>
        <v>96.405000000000001</v>
      </c>
      <c r="XW33">
        <f>SOFR3mo_PX[[#This Row],[Column647]]</f>
        <v>96.405000000000001</v>
      </c>
      <c r="XX33">
        <f>SOFR3mo_PX[[#This Row],[Column648]]</f>
        <v>96.364999999999995</v>
      </c>
      <c r="XY33">
        <f>SOFR3mo_PX[[#This Row],[Column649]]</f>
        <v>96.31</v>
      </c>
      <c r="XZ33">
        <f>SOFR3mo_PX[[#This Row],[Column650]]</f>
        <v>96.394999999999996</v>
      </c>
      <c r="YA33">
        <f>SOFR3mo_PX[[#This Row],[Column651]]</f>
        <v>96.48</v>
      </c>
      <c r="YB33">
        <f>SOFR3mo_PX[[#This Row],[Column652]]</f>
        <v>96.48</v>
      </c>
      <c r="YC33">
        <f>SOFR3mo_PX[[#This Row],[Column653]]</f>
        <v>96.51</v>
      </c>
      <c r="YD33">
        <f>SOFR3mo_PX[[#This Row],[Column654]]</f>
        <v>96.484999999999999</v>
      </c>
      <c r="YE33">
        <f>SOFR3mo_PX[[#This Row],[Column655]]</f>
        <v>96.52</v>
      </c>
      <c r="YF33">
        <f>SOFR3mo_PX[[#This Row],[Column656]]</f>
        <v>96.66</v>
      </c>
      <c r="YG33">
        <f>SOFR3mo_PX[[#This Row],[Column657]]</f>
        <v>96.754999999999995</v>
      </c>
      <c r="YH33">
        <f>SOFR3mo_PX[[#This Row],[Column658]]</f>
        <v>96.82</v>
      </c>
      <c r="YI33">
        <f>SOFR3mo_PX[[#This Row],[Column659]]</f>
        <v>96.76</v>
      </c>
      <c r="YJ33">
        <f>SOFR3mo_PX[[#This Row],[Column660]]</f>
        <v>96.76</v>
      </c>
      <c r="YK33">
        <f>SOFR3mo_PX[[#This Row],[Column661]]</f>
        <v>96.66</v>
      </c>
      <c r="YL33">
        <f>SOFR3mo_PX[[#This Row],[Column662]]</f>
        <v>96.694999999999993</v>
      </c>
      <c r="YM33">
        <f>SOFR3mo_PX[[#This Row],[Column663]]</f>
        <v>96.784999999999997</v>
      </c>
      <c r="YN33">
        <f>SOFR3mo_PX[[#This Row],[Column664]]</f>
        <v>96.894999999999996</v>
      </c>
      <c r="YO33">
        <f>SOFR3mo_PX[[#This Row],[Column665]]</f>
        <v>96.784999999999997</v>
      </c>
      <c r="YP33">
        <f>SOFR3mo_PX[[#This Row],[Column666]]</f>
        <v>96.69</v>
      </c>
      <c r="YQ33">
        <f>SOFR3mo_PX[[#This Row],[Column667]]</f>
        <v>96.79</v>
      </c>
      <c r="YR33">
        <f>SOFR3mo_PX[[#This Row],[Column668]]</f>
        <v>96.745000000000005</v>
      </c>
      <c r="YS33">
        <f>SOFR3mo_PX[[#This Row],[Column669]]</f>
        <v>96.584999999999994</v>
      </c>
      <c r="YT33">
        <f>SOFR3mo_PX[[#This Row],[Column670]]</f>
        <v>96.555000000000007</v>
      </c>
      <c r="YU33">
        <f>SOFR3mo_PX[[#This Row],[Column671]]</f>
        <v>96.6</v>
      </c>
      <c r="YV33">
        <f>SOFR3mo_PX[[#This Row],[Column672]]</f>
        <v>96.584999999999994</v>
      </c>
      <c r="YW33">
        <f>SOFR3mo_PX[[#This Row],[Column673]]</f>
        <v>96.57</v>
      </c>
      <c r="YX33">
        <f>SOFR3mo_PX[[#This Row],[Column674]]</f>
        <v>96.57</v>
      </c>
      <c r="YY33">
        <f>SOFR3mo_PX[[#This Row],[Column675]]</f>
        <v>96.5</v>
      </c>
      <c r="YZ33">
        <f>SOFR3mo_PX[[#This Row],[Column676]]</f>
        <v>96.4</v>
      </c>
      <c r="ZA33">
        <f>SOFR3mo_PX[[#This Row],[Column677]]</f>
        <v>96.38</v>
      </c>
      <c r="ZB33">
        <f>SOFR3mo_PX[[#This Row],[Column678]]</f>
        <v>96.45</v>
      </c>
      <c r="ZC33">
        <f>SOFR3mo_PX[[#This Row],[Column679]]</f>
        <v>96.504999999999995</v>
      </c>
      <c r="ZD33">
        <f>SOFR3mo_PX[[#This Row],[Column680]]</f>
        <v>96.38</v>
      </c>
      <c r="ZE33">
        <f>SOFR3mo_PX[[#This Row],[Column681]]</f>
        <v>96.305000000000007</v>
      </c>
      <c r="ZF33">
        <f>SOFR3mo_PX[[#This Row],[Column682]]</f>
        <v>96.355000000000004</v>
      </c>
      <c r="ZG33">
        <f>SOFR3mo_PX[[#This Row],[Column683]]</f>
        <v>96.344999999999999</v>
      </c>
      <c r="ZH33">
        <f>SOFR3mo_PX[[#This Row],[Column684]]</f>
        <v>96.05</v>
      </c>
      <c r="ZI33">
        <f>SOFR3mo_PX[[#This Row],[Column685]]</f>
        <v>96.09</v>
      </c>
      <c r="ZJ33">
        <f>SOFR3mo_PX[[#This Row],[Column686]]</f>
        <v>96.004999999999995</v>
      </c>
      <c r="ZK33">
        <f>SOFR3mo_PX[[#This Row],[Column687]]</f>
        <v>96.02</v>
      </c>
      <c r="ZL33">
        <f>SOFR3mo_PX[[#This Row],[Column688]]</f>
        <v>96.05</v>
      </c>
      <c r="ZM33">
        <f>SOFR3mo_PX[[#This Row],[Column689]]</f>
        <v>96.055000000000007</v>
      </c>
      <c r="ZN33">
        <f>SOFR3mo_PX[[#This Row],[Column690]]</f>
        <v>96.034999999999997</v>
      </c>
      <c r="ZO33">
        <f>SOFR3mo_PX[[#This Row],[Column691]]</f>
        <v>95.995000000000005</v>
      </c>
      <c r="ZP33">
        <f>SOFR3mo_PX[[#This Row],[Column692]]</f>
        <v>96.025000000000006</v>
      </c>
      <c r="ZQ33">
        <f>SOFR3mo_PX[[#This Row],[Column693]]</f>
        <v>96.12</v>
      </c>
      <c r="ZR33">
        <f>SOFR3mo_PX[[#This Row],[Column694]]</f>
        <v>96.06</v>
      </c>
      <c r="ZS33">
        <f>SOFR3mo_PX[[#This Row],[Column695]]</f>
        <v>95.97</v>
      </c>
      <c r="ZT33">
        <f>SOFR3mo_PX[[#This Row],[Column696]]</f>
        <v>95.83</v>
      </c>
      <c r="ZU33">
        <f>SOFR3mo_PX[[#This Row],[Column697]]</f>
        <v>95.88</v>
      </c>
      <c r="ZV33">
        <f>SOFR3mo_PX[[#This Row],[Column698]]</f>
        <v>95.95</v>
      </c>
      <c r="ZW33">
        <f>SOFR3mo_PX[[#This Row],[Column699]]</f>
        <v>96.05</v>
      </c>
      <c r="ZX33">
        <f>SOFR3mo_PX[[#This Row],[Column700]]</f>
        <v>96.174999999999997</v>
      </c>
      <c r="ZY33">
        <f>SOFR3mo_PX[[#This Row],[Column701]]</f>
        <v>96.155000000000001</v>
      </c>
      <c r="ZZ33">
        <f>SOFR3mo_PX[[#This Row],[Column702]]</f>
        <v>96.17</v>
      </c>
      <c r="AAA33">
        <f>SOFR3mo_PX[[#This Row],[Column703]]</f>
        <v>96.215000000000003</v>
      </c>
      <c r="AAB33">
        <f>SOFR3mo_PX[[#This Row],[Column704]]</f>
        <v>96.204999999999998</v>
      </c>
      <c r="AAC33">
        <f>SOFR3mo_PX[[#This Row],[Column705]]</f>
        <v>96.165000000000006</v>
      </c>
      <c r="AAD33">
        <f>SOFR3mo_PX[[#This Row],[Column706]]</f>
        <v>96.114999999999995</v>
      </c>
      <c r="AAE33">
        <f>SOFR3mo_PX[[#This Row],[Column707]]</f>
        <v>96.215000000000003</v>
      </c>
      <c r="AAF33">
        <f>SOFR3mo_PX[[#This Row],[Column708]]</f>
        <v>96.26</v>
      </c>
      <c r="AAG33">
        <f>SOFR3mo_PX[[#This Row],[Column709]]</f>
        <v>96.305000000000007</v>
      </c>
      <c r="AAH33">
        <f>SOFR3mo_PX[[#This Row],[Column710]]</f>
        <v>96.44</v>
      </c>
      <c r="AAI33">
        <f>SOFR3mo_PX[[#This Row],[Column711]]</f>
        <v>96.375</v>
      </c>
      <c r="AAJ33">
        <f>SOFR3mo_PX[[#This Row],[Column712]]</f>
        <v>96.224999999999994</v>
      </c>
      <c r="AAK33">
        <f>SOFR3mo_PX[[#This Row],[Column713]]</f>
        <v>96.284999999999997</v>
      </c>
      <c r="AAL33">
        <f>SOFR3mo_PX[[#This Row],[Column714]]</f>
        <v>96.334999999999994</v>
      </c>
      <c r="AAM33">
        <f>SOFR3mo_PX[[#This Row],[Column715]]</f>
        <v>96.215000000000003</v>
      </c>
      <c r="AAN33">
        <f>SOFR3mo_PX[[#This Row],[Column716]]</f>
        <v>96.34</v>
      </c>
      <c r="AAO33">
        <f>SOFR3mo_PX[[#This Row],[Column717]]</f>
        <v>96.515000000000001</v>
      </c>
      <c r="AAP33">
        <f>SOFR3mo_PX[[#This Row],[Column718]]</f>
        <v>96.364999999999995</v>
      </c>
      <c r="AAQ33">
        <f>SOFR3mo_PX[[#This Row],[Column719]]</f>
        <v>96.54</v>
      </c>
      <c r="AAR33">
        <f>SOFR3mo_PX[[#This Row],[Column720]]</f>
        <v>96.465000000000003</v>
      </c>
      <c r="AAS33">
        <f>SOFR3mo_PX[[#This Row],[Column721]]</f>
        <v>96.555000000000007</v>
      </c>
      <c r="AAT33">
        <f>SOFR3mo_PX[[#This Row],[Column722]]</f>
        <v>96.555000000000007</v>
      </c>
      <c r="AAU33">
        <f>SOFR3mo_PX[[#This Row],[Column723]]</f>
        <v>96.58</v>
      </c>
      <c r="AAV33">
        <f>SOFR3mo_PX[[#This Row],[Column724]]</f>
        <v>96.66</v>
      </c>
      <c r="AAW33">
        <f>SOFR3mo_PX[[#This Row],[Column725]]</f>
        <v>96.63</v>
      </c>
      <c r="AAX33">
        <f>SOFR3mo_PX[[#This Row],[Column726]]</f>
        <v>96.605000000000004</v>
      </c>
      <c r="AAY33">
        <f>SOFR3mo_PX[[#This Row],[Column727]]</f>
        <v>96.66</v>
      </c>
      <c r="AAZ33">
        <f>SOFR3mo_PX[[#This Row],[Column728]]</f>
        <v>96.665000000000006</v>
      </c>
      <c r="ABA33">
        <f>SOFR3mo_PX[[#This Row],[Column729]]</f>
        <v>96.704999999999998</v>
      </c>
      <c r="ABB33">
        <f>SOFR3mo_PX[[#This Row],[Column730]]</f>
        <v>96.575000000000003</v>
      </c>
      <c r="ABC33">
        <f>SOFR3mo_PX[[#This Row],[Column731]]</f>
        <v>96.745000000000005</v>
      </c>
      <c r="ABD33">
        <f>SOFR3mo_PX[[#This Row],[Column732]]</f>
        <v>96.745000000000005</v>
      </c>
      <c r="ABE33">
        <f>SOFR3mo_PX[[#This Row],[Column733]]</f>
        <v>96.71</v>
      </c>
      <c r="ABF33">
        <f>SOFR3mo_PX[[#This Row],[Column734]]</f>
        <v>96.89</v>
      </c>
      <c r="ABG33">
        <f>SOFR3mo_PX[[#This Row],[Column735]]</f>
        <v>96.93</v>
      </c>
      <c r="ABH33">
        <f>SOFR3mo_PX[[#This Row],[Column736]]</f>
        <v>96.86</v>
      </c>
      <c r="ABI33">
        <f>SOFR3mo_PX[[#This Row],[Column737]]</f>
        <v>96.97</v>
      </c>
      <c r="ABJ33">
        <f>SOFR3mo_PX[[#This Row],[Column738]]</f>
        <v>96.984999999999999</v>
      </c>
      <c r="ABK33">
        <f>SOFR3mo_PX[[#This Row],[Column739]]</f>
        <v>96.894999999999996</v>
      </c>
      <c r="ABL33">
        <f>SOFR3mo_PX[[#This Row],[Column740]]</f>
        <v>96.974999999999994</v>
      </c>
      <c r="ABM33">
        <f>SOFR3mo_PX[[#This Row],[Column741]]</f>
        <v>96.99</v>
      </c>
      <c r="ABN33">
        <f>SOFR3mo_PX[[#This Row],[Column742]]</f>
        <v>97.004999999999995</v>
      </c>
      <c r="ABO33">
        <f>SOFR3mo_PX[[#This Row],[Column743]]</f>
        <v>97.13</v>
      </c>
      <c r="ABP33">
        <f>SOFR3mo_PX[[#This Row],[Column744]]</f>
        <v>97.12</v>
      </c>
      <c r="ABQ33">
        <f>SOFR3mo_PX[[#This Row],[Column745]]</f>
        <v>97.194999999999993</v>
      </c>
      <c r="ABR33">
        <f>SOFR3mo_PX[[#This Row],[Column746]]</f>
        <v>97.17</v>
      </c>
      <c r="ABS33">
        <f>SOFR3mo_PX[[#This Row],[Column747]]</f>
        <v>97.084999999999994</v>
      </c>
      <c r="ABT33">
        <f>SOFR3mo_PX[[#This Row],[Column748]]</f>
        <v>97.03</v>
      </c>
      <c r="ABU33">
        <f>SOFR3mo_PX[[#This Row],[Column749]]</f>
        <v>97.21</v>
      </c>
      <c r="ABV33">
        <f>SOFR3mo_PX[[#This Row],[Column750]]</f>
        <v>97.254999999999995</v>
      </c>
      <c r="ABW33">
        <f>SOFR3mo_PX[[#This Row],[Column751]]</f>
        <v>97.224999999999994</v>
      </c>
      <c r="ABX33">
        <f>SOFR3mo_PX[[#This Row],[Column752]]</f>
        <v>97.135000000000005</v>
      </c>
      <c r="ABY33">
        <f>SOFR3mo_PX[[#This Row],[Column753]]</f>
        <v>97.265000000000001</v>
      </c>
      <c r="ABZ33">
        <f>SOFR3mo_PX[[#This Row],[Column754]]</f>
        <v>97.194999999999993</v>
      </c>
      <c r="ACA33">
        <f>SOFR3mo_PX[[#This Row],[Column755]]</f>
        <v>97.174999999999997</v>
      </c>
      <c r="ACB33">
        <f>SOFR3mo_PX[[#This Row],[Column756]]</f>
        <v>97.204999999999998</v>
      </c>
      <c r="ACC33">
        <f>SOFR3mo_PX[[#This Row],[Column757]]</f>
        <v>97.135000000000005</v>
      </c>
      <c r="ACD33">
        <f>SOFR3mo_PX[[#This Row],[Column758]]</f>
        <v>97.094999999999999</v>
      </c>
      <c r="ACE33">
        <f>SOFR3mo_PX[[#This Row],[Column759]]</f>
        <v>97.05</v>
      </c>
      <c r="ACF33">
        <f>SOFR3mo_PX[[#This Row],[Column760]]</f>
        <v>97.004999999999995</v>
      </c>
      <c r="ACG33">
        <f>SOFR3mo_PX[[#This Row],[Column761]]</f>
        <v>96.97</v>
      </c>
      <c r="ACH33">
        <f>SOFR3mo_PX[[#This Row],[Column762]]</f>
        <v>97.04</v>
      </c>
      <c r="ACI33">
        <f>SOFR3mo_PX[[#This Row],[Column763]]</f>
        <v>96.935000000000002</v>
      </c>
      <c r="ACJ33">
        <f>SOFR3mo_PX[[#This Row],[Column764]]</f>
        <v>96.825000000000003</v>
      </c>
      <c r="ACK33">
        <f>SOFR3mo_PX[[#This Row],[Column765]]</f>
        <v>96.86</v>
      </c>
      <c r="ACL33">
        <f>SOFR3mo_PX[[#This Row],[Column766]]</f>
        <v>96.9</v>
      </c>
      <c r="ACM33">
        <f>SOFR3mo_PX[[#This Row],[Column767]]</f>
        <v>96.924999999999997</v>
      </c>
      <c r="ACN33">
        <f>SOFR3mo_PX[[#This Row],[Column768]]</f>
        <v>96.86</v>
      </c>
      <c r="ACO33">
        <f>SOFR3mo_PX[[#This Row],[Column769]]</f>
        <v>96.89</v>
      </c>
      <c r="ACP33">
        <f>SOFR3mo_PX[[#This Row],[Column770]]</f>
        <v>96.77</v>
      </c>
      <c r="ACQ33">
        <f>SOFR3mo_PX[[#This Row],[Column771]]</f>
        <v>96.715000000000003</v>
      </c>
      <c r="ACR33">
        <f>SOFR3mo_PX[[#This Row],[Column772]]</f>
        <v>96.584999999999994</v>
      </c>
      <c r="ACS33">
        <f>SOFR3mo_PX[[#This Row],[Column773]]</f>
        <v>96.67</v>
      </c>
      <c r="ACT33">
        <f>SOFR3mo_PX[[#This Row],[Column774]]</f>
        <v>96.784999999999997</v>
      </c>
      <c r="ACU33">
        <f>SOFR3mo_PX[[#This Row],[Column775]]</f>
        <v>96.87</v>
      </c>
      <c r="ACV33">
        <f>SOFR3mo_PX[[#This Row],[Column776]]</f>
        <v>96.795000000000002</v>
      </c>
      <c r="ACW33">
        <f>SOFR3mo_PX[[#This Row],[Column777]]</f>
        <v>96.795000000000002</v>
      </c>
      <c r="ACX33">
        <f>SOFR3mo_PX[[#This Row],[Column778]]</f>
        <v>96.765000000000001</v>
      </c>
      <c r="ACY33">
        <f>SOFR3mo_PX[[#This Row],[Column779]]</f>
        <v>96.65</v>
      </c>
      <c r="ACZ33">
        <f>SOFR3mo_PX[[#This Row],[Column780]]</f>
        <v>96.55</v>
      </c>
      <c r="ADA33">
        <f>SOFR3mo_PX[[#This Row],[Column781]]</f>
        <v>96.564999999999998</v>
      </c>
      <c r="ADB33">
        <f>SOFR3mo_PX[[#This Row],[Column782]]</f>
        <v>96.62</v>
      </c>
      <c r="ADC33">
        <f>SOFR3mo_PX[[#This Row],[Column783]]</f>
        <v>96.715000000000003</v>
      </c>
      <c r="ADD33">
        <f>SOFR3mo_PX[[#This Row],[Column784]]</f>
        <v>96.614999999999995</v>
      </c>
      <c r="ADE33">
        <f>SOFR3mo_PX[[#This Row],[Column785]]</f>
        <v>96.484999999999999</v>
      </c>
      <c r="ADF33">
        <f>SOFR3mo_PX[[#This Row],[Column786]]</f>
        <v>96.584999999999994</v>
      </c>
      <c r="ADG33">
        <f>SOFR3mo_PX[[#This Row],[Column787]]</f>
        <v>96.584999999999994</v>
      </c>
      <c r="ADH33">
        <f>SOFR3mo_PX[[#This Row],[Column788]]</f>
        <v>96.504999999999995</v>
      </c>
      <c r="ADI33">
        <f>SOFR3mo_PX[[#This Row],[Column789]]</f>
        <v>96.42</v>
      </c>
      <c r="ADJ33">
        <f>SOFR3mo_PX[[#This Row],[Column790]]</f>
        <v>96.385000000000005</v>
      </c>
      <c r="ADK33">
        <f>SOFR3mo_PX[[#This Row],[Column791]]</f>
        <v>96.454999999999998</v>
      </c>
      <c r="ADL33">
        <f>SOFR3mo_PX[[#This Row],[Column792]]</f>
        <v>96.66</v>
      </c>
      <c r="ADM33">
        <f>SOFR3mo_PX[[#This Row],[Column793]]</f>
        <v>96.71</v>
      </c>
      <c r="ADN33">
        <f>SOFR3mo_PX[[#This Row],[Column794]]</f>
        <v>96.71</v>
      </c>
      <c r="ADO33">
        <f>SOFR3mo_PX[[#This Row],[Column795]]</f>
        <v>96.76</v>
      </c>
      <c r="ADP33">
        <f>SOFR3mo_PX[[#This Row],[Column796]]</f>
        <v>96.66</v>
      </c>
      <c r="ADQ33">
        <f>SOFR3mo_PX[[#This Row],[Column797]]</f>
        <v>96.765000000000001</v>
      </c>
      <c r="ADR33">
        <f>SOFR3mo_PX[[#This Row],[Column798]]</f>
        <v>96.814999999999998</v>
      </c>
      <c r="ADS33">
        <f>SOFR3mo_PX[[#This Row],[Column799]]</f>
        <v>96.77</v>
      </c>
      <c r="ADT33">
        <f>SOFR3mo_PX[[#This Row],[Column800]]</f>
        <v>96.805000000000007</v>
      </c>
      <c r="ADU33">
        <f>SOFR3mo_PX[[#This Row],[Column801]]</f>
        <v>96.91</v>
      </c>
      <c r="ADV33">
        <f>SOFR3mo_PX[[#This Row],[Column802]]</f>
        <v>96.91</v>
      </c>
      <c r="ADW33">
        <f>SOFR3mo_PX[[#This Row],[Column803]]</f>
        <v>96.89</v>
      </c>
      <c r="ADX33">
        <f>SOFR3mo_PX[[#This Row],[Column804]]</f>
        <v>96.944999999999993</v>
      </c>
      <c r="ADY33">
        <f>SOFR3mo_PX[[#This Row],[Column805]]</f>
        <v>96.96</v>
      </c>
      <c r="ADZ33">
        <f>SOFR3mo_PX[[#This Row],[Column806]]</f>
        <v>96.954999999999998</v>
      </c>
      <c r="AEA33">
        <f>SOFR3mo_PX[[#This Row],[Column807]]</f>
        <v>97.015000000000001</v>
      </c>
      <c r="AEB33">
        <f>SOFR3mo_PX[[#This Row],[Column808]]</f>
        <v>96.89</v>
      </c>
      <c r="AEC33">
        <f>SOFR3mo_PX[[#This Row],[Column809]]</f>
        <v>96.85</v>
      </c>
      <c r="AED33">
        <f>SOFR3mo_PX[[#This Row],[Column810]]</f>
        <v>96.715000000000003</v>
      </c>
      <c r="AEE33">
        <f>SOFR3mo_PX[[#This Row],[Column811]]</f>
        <v>96.79</v>
      </c>
      <c r="AEF33">
        <f>SOFR3mo_PX[[#This Row],[Column812]]</f>
        <v>96.74</v>
      </c>
      <c r="AEG33">
        <f>SOFR3mo_PX[[#This Row],[Column813]]</f>
        <v>96.84</v>
      </c>
      <c r="AEH33">
        <f>SOFR3mo_PX[[#This Row],[Column814]]</f>
        <v>96.75</v>
      </c>
      <c r="AEI33">
        <f>SOFR3mo_PX[[#This Row],[Column815]]</f>
        <v>96.625</v>
      </c>
      <c r="AEJ33">
        <f>SOFR3mo_PX[[#This Row],[Column816]]</f>
        <v>96.525000000000006</v>
      </c>
      <c r="AEK33">
        <f>SOFR3mo_PX[[#This Row],[Column817]]</f>
        <v>96.504999999999995</v>
      </c>
      <c r="AEL33">
        <f>SOFR3mo_PX[[#This Row],[Column818]]</f>
        <v>96.625</v>
      </c>
      <c r="AEM33">
        <f>SOFR3mo_PX[[#This Row],[Column819]]</f>
        <v>96.82</v>
      </c>
      <c r="AEN33">
        <f>SOFR3mo_PX[[#This Row],[Column820]]</f>
        <v>96.85</v>
      </c>
      <c r="AEO33">
        <f>SOFR3mo_PX[[#This Row],[Column821]]</f>
        <v>96.784999999999997</v>
      </c>
      <c r="AEP33">
        <f>SOFR3mo_PX[[#This Row],[Column822]]</f>
        <v>96.93</v>
      </c>
      <c r="AEQ33">
        <f>SOFR3mo_PX[[#This Row],[Column823]]</f>
        <v>96.93</v>
      </c>
      <c r="AER33">
        <f>SOFR3mo_PX[[#This Row],[Column824]]</f>
        <v>96.995000000000005</v>
      </c>
      <c r="AES33">
        <f>SOFR3mo_PX[[#This Row],[Column825]]</f>
        <v>97.07</v>
      </c>
      <c r="AET33">
        <f>SOFR3mo_PX[[#This Row],[Column826]]</f>
        <v>97.05</v>
      </c>
      <c r="AEU33">
        <f>SOFR3mo_PX[[#This Row],[Column827]]</f>
        <v>96.965000000000003</v>
      </c>
      <c r="AEV33">
        <f>SOFR3mo_PX[[#This Row],[Column828]]</f>
        <v>96.93</v>
      </c>
      <c r="AEW33">
        <f>SOFR3mo_PX[[#This Row],[Column829]]</f>
        <v>96.984999999999999</v>
      </c>
      <c r="AEX33">
        <f>SOFR3mo_PX[[#This Row],[Column830]]</f>
        <v>96.89</v>
      </c>
      <c r="AEY33">
        <f>SOFR3mo_PX[[#This Row],[Column831]]</f>
        <v>96.924999999999997</v>
      </c>
      <c r="AEZ33">
        <f>SOFR3mo_PX[[#This Row],[Column832]]</f>
        <v>97.03</v>
      </c>
      <c r="AFA33">
        <f>SOFR3mo_PX[[#This Row],[Column833]]</f>
        <v>97.03</v>
      </c>
      <c r="AFB33">
        <f>SOFR3mo_PX[[#This Row],[Column834]]</f>
        <v>97.165000000000006</v>
      </c>
      <c r="AFC33">
        <f>SOFR3mo_PX[[#This Row],[Column835]]</f>
        <v>97.11</v>
      </c>
      <c r="AFD33">
        <f>SOFR3mo_PX[[#This Row],[Column836]]</f>
        <v>97.12</v>
      </c>
      <c r="AFE33">
        <f>SOFR3mo_PX[[#This Row],[Column837]]</f>
        <v>97.245000000000005</v>
      </c>
      <c r="AFF33">
        <f>SOFR3mo_PX[[#This Row],[Column838]]</f>
        <v>97.35</v>
      </c>
      <c r="AFG33">
        <f>SOFR3mo_PX[[#This Row],[Column839]]</f>
        <v>97.504999999999995</v>
      </c>
      <c r="AFH33">
        <f>SOFR3mo_PX[[#This Row],[Column840]]</f>
        <v>97.63</v>
      </c>
      <c r="AFI33">
        <f>SOFR3mo_PX[[#This Row],[Column841]]</f>
        <v>97.745000000000005</v>
      </c>
      <c r="AFJ33">
        <f>SOFR3mo_PX[[#This Row],[Column842]]</f>
        <v>97.765000000000001</v>
      </c>
      <c r="AFK33">
        <f>SOFR3mo_PX[[#This Row],[Column843]]</f>
        <v>97.81</v>
      </c>
      <c r="AFL33">
        <f>SOFR3mo_PX[[#This Row],[Column844]]</f>
        <v>97.77</v>
      </c>
      <c r="AFM33">
        <f>SOFR3mo_PX[[#This Row],[Column845]]</f>
        <v>97.72</v>
      </c>
      <c r="AFN33">
        <f>SOFR3mo_PX[[#This Row],[Column846]]</f>
        <v>97.65</v>
      </c>
      <c r="AFO33">
        <f>SOFR3mo_PX[[#This Row],[Column847]]</f>
        <v>97.64</v>
      </c>
      <c r="AFP33">
        <f>SOFR3mo_PX[[#This Row],[Column848]]</f>
        <v>97.775000000000006</v>
      </c>
      <c r="AFQ33">
        <f>SOFR3mo_PX[[#This Row],[Column849]]</f>
        <v>97.814999999999998</v>
      </c>
      <c r="AFR33">
        <f>SOFR3mo_PX[[#This Row],[Column850]]</f>
        <v>97.76</v>
      </c>
      <c r="AFS33">
        <f>SOFR3mo_PX[[#This Row],[Column851]]</f>
        <v>97.825000000000003</v>
      </c>
      <c r="AFT33">
        <f>SOFR3mo_PX[[#This Row],[Column852]]</f>
        <v>97.965000000000003</v>
      </c>
      <c r="AFU33">
        <f>SOFR3mo_PX[[#This Row],[Column853]]</f>
        <v>97.89</v>
      </c>
      <c r="AFV33">
        <f>SOFR3mo_PX[[#This Row],[Column854]]</f>
        <v>97.87</v>
      </c>
      <c r="AFW33">
        <f>SOFR3mo_PX[[#This Row],[Column855]]</f>
        <v>97.875</v>
      </c>
      <c r="AFX33">
        <f>SOFR3mo_PX[[#This Row],[Column856]]</f>
        <v>97.9</v>
      </c>
      <c r="AFY33">
        <f>SOFR3mo_PX[[#This Row],[Column857]]</f>
        <v>98.06</v>
      </c>
      <c r="AFZ33">
        <f>SOFR3mo_PX[[#This Row],[Column858]]</f>
        <v>98.07</v>
      </c>
      <c r="AGA33">
        <f>SOFR3mo_PX[[#This Row],[Column859]]</f>
        <v>98.144999999999996</v>
      </c>
      <c r="AGB33">
        <f>SOFR3mo_PX[[#This Row],[Column860]]</f>
        <v>98.24</v>
      </c>
      <c r="AGC33">
        <f>SOFR3mo_PX[[#This Row],[Column861]]</f>
        <v>98.355000000000004</v>
      </c>
      <c r="AGD33">
        <f>SOFR3mo_PX[[#This Row],[Column862]]</f>
        <v>98.33</v>
      </c>
      <c r="AGE33">
        <f>SOFR3mo_PX[[#This Row],[Column863]]</f>
        <v>98.194999999999993</v>
      </c>
      <c r="AGF33">
        <f>SOFR3mo_PX[[#This Row],[Column864]]</f>
        <v>98.15</v>
      </c>
      <c r="AGG33">
        <f>SOFR3mo_PX[[#This Row],[Column865]]</f>
        <v>98.295000000000002</v>
      </c>
      <c r="AGH33">
        <f>SOFR3mo_PX[[#This Row],[Column866]]</f>
        <v>98.185000000000002</v>
      </c>
      <c r="AGI33">
        <f>SOFR3mo_PX[[#This Row],[Column867]]</f>
        <v>98.045000000000002</v>
      </c>
      <c r="AGJ33">
        <f>SOFR3mo_PX[[#This Row],[Column868]]</f>
        <v>98.055000000000007</v>
      </c>
      <c r="AGK33">
        <f>SOFR3mo_PX[[#This Row],[Column869]]</f>
        <v>98.08</v>
      </c>
      <c r="AGL33">
        <f>SOFR3mo_PX[[#This Row],[Column870]]</f>
        <v>98.12</v>
      </c>
      <c r="AGM33">
        <f>SOFR3mo_PX[[#This Row],[Column871]]</f>
        <v>98.11</v>
      </c>
      <c r="AGN33">
        <f>SOFR3mo_PX[[#This Row],[Column872]]</f>
        <v>98.11</v>
      </c>
      <c r="AGO33">
        <f>SOFR3mo_PX[[#This Row],[Column873]]</f>
        <v>98.064999999999998</v>
      </c>
      <c r="AGP33">
        <f>SOFR3mo_PX[[#This Row],[Column874]]</f>
        <v>97.974999999999994</v>
      </c>
      <c r="AGQ33">
        <f>SOFR3mo_PX[[#This Row],[Column875]]</f>
        <v>97.984999999999999</v>
      </c>
      <c r="AGR33">
        <f>SOFR3mo_PX[[#This Row],[Column876]]</f>
        <v>98.07</v>
      </c>
      <c r="AGS33">
        <f>SOFR3mo_PX[[#This Row],[Column877]]</f>
        <v>98.114999999999995</v>
      </c>
      <c r="AGT33">
        <f>SOFR3mo_PX[[#This Row],[Column878]]</f>
        <v>98.004999999999995</v>
      </c>
      <c r="AGU33">
        <f>SOFR3mo_PX[[#This Row],[Column879]]</f>
        <v>98.075000000000003</v>
      </c>
      <c r="AGV33">
        <f>SOFR3mo_PX[[#This Row],[Column880]]</f>
        <v>98.034999999999997</v>
      </c>
      <c r="AGW33">
        <f>SOFR3mo_PX[[#This Row],[Column881]]</f>
        <v>98.075000000000003</v>
      </c>
      <c r="AGX33">
        <f>SOFR3mo_PX[[#This Row],[Column882]]</f>
        <v>98.06</v>
      </c>
      <c r="AGY33">
        <f>SOFR3mo_PX[[#This Row],[Column883]]</f>
        <v>98.17</v>
      </c>
      <c r="AGZ33">
        <f>SOFR3mo_PX[[#This Row],[Column884]]</f>
        <v>98.204999999999998</v>
      </c>
      <c r="AHA33">
        <f>SOFR3mo_PX[[#This Row],[Column885]]</f>
        <v>98.17</v>
      </c>
      <c r="AHB33">
        <f>SOFR3mo_PX[[#This Row],[Column886]]</f>
        <v>98.18</v>
      </c>
      <c r="AHC33">
        <f>SOFR3mo_PX[[#This Row],[Column887]]</f>
        <v>98.19</v>
      </c>
      <c r="AHD33">
        <f>SOFR3mo_PX[[#This Row],[Column888]]</f>
        <v>98.15</v>
      </c>
      <c r="AHE33">
        <f>SOFR3mo_PX[[#This Row],[Column889]]</f>
        <v>98.045000000000002</v>
      </c>
      <c r="AHF33">
        <f>SOFR3mo_PX[[#This Row],[Column890]]</f>
        <v>98.11</v>
      </c>
      <c r="AHG33">
        <f>SOFR3mo_PX[[#This Row],[Column891]]</f>
        <v>98.174999999999997</v>
      </c>
      <c r="AHH33">
        <f>SOFR3mo_PX[[#This Row],[Column892]]</f>
        <v>98.16</v>
      </c>
      <c r="AHI33">
        <f>SOFR3mo_PX[[#This Row],[Column893]]</f>
        <v>98.09</v>
      </c>
      <c r="AHJ33">
        <f>SOFR3mo_PX[[#This Row],[Column894]]</f>
        <v>98.08</v>
      </c>
      <c r="AHK33">
        <f>SOFR3mo_PX[[#This Row],[Column895]]</f>
        <v>98.025000000000006</v>
      </c>
      <c r="AHL33">
        <f>SOFR3mo_PX[[#This Row],[Column896]]</f>
        <v>98.13</v>
      </c>
      <c r="AHM33">
        <f>SOFR3mo_PX[[#This Row],[Column897]]</f>
        <v>98.13</v>
      </c>
      <c r="AHN33">
        <f>SOFR3mo_PX[[#This Row],[Column898]]</f>
        <v>98.204999999999998</v>
      </c>
      <c r="AHO33">
        <f>SOFR3mo_PX[[#This Row],[Column899]]</f>
        <v>98.174999999999997</v>
      </c>
      <c r="AHP33">
        <f>SOFR3mo_PX[[#This Row],[Column900]]</f>
        <v>98.13</v>
      </c>
      <c r="AHQ33">
        <f>SOFR3mo_PX[[#This Row],[Column901]]</f>
        <v>98.08</v>
      </c>
      <c r="AHR33">
        <f>SOFR3mo_PX[[#This Row],[Column902]]</f>
        <v>98.075000000000003</v>
      </c>
      <c r="AHS33">
        <f>SOFR3mo_PX[[#This Row],[Column903]]</f>
        <v>98.09</v>
      </c>
      <c r="AHT33">
        <f>SOFR3mo_PX[[#This Row],[Column904]]</f>
        <v>98.114999999999995</v>
      </c>
      <c r="AHU33">
        <f>SOFR3mo_PX[[#This Row],[Column905]]</f>
        <v>98.13</v>
      </c>
      <c r="AHV33">
        <f>SOFR3mo_PX[[#This Row],[Column906]]</f>
        <v>98.19</v>
      </c>
      <c r="AHW33">
        <f>SOFR3mo_PX[[#This Row],[Column907]]</f>
        <v>98.36</v>
      </c>
      <c r="AHX33">
        <f>SOFR3mo_PX[[#This Row],[Column908]]</f>
        <v>98.344999999999999</v>
      </c>
      <c r="AHY33">
        <f>SOFR3mo_PX[[#This Row],[Column909]]</f>
        <v>98.334999999999994</v>
      </c>
      <c r="AHZ33">
        <f>SOFR3mo_PX[[#This Row],[Column910]]</f>
        <v>98.43</v>
      </c>
      <c r="AIA33">
        <f>SOFR3mo_PX[[#This Row],[Column911]]</f>
        <v>98.4</v>
      </c>
      <c r="AIB33">
        <f>SOFR3mo_PX[[#This Row],[Column912]]</f>
        <v>98.364999999999995</v>
      </c>
      <c r="AIC33">
        <f>SOFR3mo_PX[[#This Row],[Column913]]</f>
        <v>98.364999999999995</v>
      </c>
      <c r="AID33">
        <f>SOFR3mo_PX[[#This Row],[Column914]]</f>
        <v>98.39</v>
      </c>
      <c r="AIE33">
        <f>SOFR3mo_PX[[#This Row],[Column915]]</f>
        <v>98.35</v>
      </c>
      <c r="AIF33">
        <f>SOFR3mo_PX[[#This Row],[Column916]]</f>
        <v>98.444999999999993</v>
      </c>
      <c r="AIG33">
        <f>SOFR3mo_PX[[#This Row],[Column917]]</f>
        <v>98.53</v>
      </c>
      <c r="AIH33">
        <f>SOFR3mo_PX[[#This Row],[Column918]]</f>
        <v>98.49</v>
      </c>
      <c r="AII33">
        <f>SOFR3mo_PX[[#This Row],[Column919]]</f>
        <v>98.47</v>
      </c>
      <c r="AIJ33">
        <f>SOFR3mo_PX[[#This Row],[Column920]]</f>
        <v>98.444999999999993</v>
      </c>
      <c r="AIK33">
        <f>SOFR3mo_PX[[#This Row],[Column921]]</f>
        <v>98.44</v>
      </c>
      <c r="AIL33">
        <f>SOFR3mo_PX[[#This Row],[Column922]]</f>
        <v>98.375</v>
      </c>
      <c r="AIM33">
        <f>SOFR3mo_PX[[#This Row],[Column923]]</f>
        <v>98.4</v>
      </c>
      <c r="AIN33">
        <f>SOFR3mo_PX[[#This Row],[Column924]]</f>
        <v>98.35</v>
      </c>
      <c r="AIO33">
        <f>SOFR3mo_PX[[#This Row],[Column925]]</f>
        <v>98.37</v>
      </c>
      <c r="AIP33">
        <f>SOFR3mo_PX[[#This Row],[Column926]]</f>
        <v>98.394999999999996</v>
      </c>
      <c r="AIQ33">
        <f>SOFR3mo_PX[[#This Row],[Column927]]</f>
        <v>98.54</v>
      </c>
      <c r="AIR33">
        <f>SOFR3mo_PX[[#This Row],[Column928]]</f>
        <v>98.385000000000005</v>
      </c>
      <c r="AIS33">
        <f>SOFR3mo_PX[[#This Row],[Column929]]</f>
        <v>98.344999999999999</v>
      </c>
      <c r="AIT33">
        <f>SOFR3mo_PX[[#This Row],[Column930]]</f>
        <v>98.265000000000001</v>
      </c>
      <c r="AIU33">
        <f>SOFR3mo_PX[[#This Row],[Column931]]</f>
        <v>98.15</v>
      </c>
      <c r="AIV33">
        <f>SOFR3mo_PX[[#This Row],[Column932]]</f>
        <v>98.295000000000002</v>
      </c>
      <c r="AIW33">
        <f>SOFR3mo_PX[[#This Row],[Column933]]</f>
        <v>98.12</v>
      </c>
      <c r="AIX33">
        <f>SOFR3mo_PX[[#This Row],[Column934]]</f>
        <v>98.12</v>
      </c>
      <c r="AIY33">
        <f>SOFR3mo_PX[[#This Row],[Column935]]</f>
        <v>98.08</v>
      </c>
      <c r="AIZ33">
        <f>SOFR3mo_PX[[#This Row],[Column936]]</f>
        <v>98.15</v>
      </c>
      <c r="AJA33">
        <f>SOFR3mo_PX[[#This Row],[Column937]]</f>
        <v>98.254999999999995</v>
      </c>
      <c r="AJB33">
        <f>SOFR3mo_PX[[#This Row],[Column938]]</f>
        <v>98.19</v>
      </c>
      <c r="AJC33">
        <f>SOFR3mo_PX[[#This Row],[Column939]]</f>
        <v>98.165000000000006</v>
      </c>
      <c r="AJD33">
        <f>SOFR3mo_PX[[#This Row],[Column940]]</f>
        <v>98.14</v>
      </c>
      <c r="AJE33">
        <f>SOFR3mo_PX[[#This Row],[Column941]]</f>
        <v>98.18</v>
      </c>
      <c r="AJF33">
        <f>SOFR3mo_PX[[#This Row],[Column942]]</f>
        <v>98.204999999999998</v>
      </c>
      <c r="AJG33">
        <f>SOFR3mo_PX[[#This Row],[Column943]]</f>
        <v>98.22</v>
      </c>
      <c r="AJH33">
        <f>SOFR3mo_PX[[#This Row],[Column944]]</f>
        <v>98.234999999999999</v>
      </c>
      <c r="AJI33">
        <f>SOFR3mo_PX[[#This Row],[Column945]]</f>
        <v>98.27</v>
      </c>
      <c r="AJJ33">
        <f>SOFR3mo_PX[[#This Row],[Column946]]</f>
        <v>98.17</v>
      </c>
      <c r="AJK33">
        <f>SOFR3mo_PX[[#This Row],[Column947]]</f>
        <v>98.194999999999993</v>
      </c>
      <c r="AJL33">
        <f>SOFR3mo_PX[[#This Row],[Column948]]</f>
        <v>98.1</v>
      </c>
      <c r="AJM33">
        <f>SOFR3mo_PX[[#This Row],[Column949]]</f>
        <v>98.07</v>
      </c>
      <c r="AJN33">
        <f>SOFR3mo_PX[[#This Row],[Column950]]</f>
        <v>98.09</v>
      </c>
      <c r="AJO33">
        <f>SOFR3mo_PX[[#This Row],[Column951]]</f>
        <v>98.125</v>
      </c>
      <c r="AJP33">
        <f>SOFR3mo_PX[[#This Row],[Column952]]</f>
        <v>98.165000000000006</v>
      </c>
      <c r="AJQ33">
        <f>SOFR3mo_PX[[#This Row],[Column953]]</f>
        <v>98.135000000000005</v>
      </c>
      <c r="AJR33">
        <f>SOFR3mo_PX[[#This Row],[Column954]]</f>
        <v>98.16</v>
      </c>
      <c r="AJS33">
        <f>SOFR3mo_PX[[#This Row],[Column955]]</f>
        <v>97.965000000000003</v>
      </c>
      <c r="AJT33">
        <f>SOFR3mo_PX[[#This Row],[Column956]]</f>
        <v>97.954999999999998</v>
      </c>
      <c r="AJU33">
        <f>SOFR3mo_PX[[#This Row],[Column957]]</f>
        <v>97.91</v>
      </c>
      <c r="AJV33">
        <f>SOFR3mo_PX[[#This Row],[Column958]]</f>
        <v>97.855000000000004</v>
      </c>
      <c r="AJW33">
        <f>SOFR3mo_PX[[#This Row],[Column959]]</f>
        <v>97.89</v>
      </c>
      <c r="AJX33">
        <f>SOFR3mo_PX[[#This Row],[Column960]]</f>
        <v>97.92</v>
      </c>
      <c r="AJY33">
        <f>SOFR3mo_PX[[#This Row],[Column961]]</f>
        <v>98.034999999999997</v>
      </c>
      <c r="AJZ33">
        <f>SOFR3mo_PX[[#This Row],[Column962]]</f>
        <v>98</v>
      </c>
      <c r="AKA33">
        <f>SOFR3mo_PX[[#This Row],[Column963]]</f>
        <v>98.055000000000007</v>
      </c>
      <c r="AKB33">
        <f>SOFR3mo_PX[[#This Row],[Column964]]</f>
        <v>98.015000000000001</v>
      </c>
      <c r="AKC33">
        <f>SOFR3mo_PX[[#This Row],[Column965]]</f>
        <v>97.885000000000005</v>
      </c>
      <c r="AKD33">
        <f>SOFR3mo_PX[[#This Row],[Column966]]</f>
        <v>97.79</v>
      </c>
      <c r="AKE33">
        <f>SOFR3mo_PX[[#This Row],[Column967]]</f>
        <v>97.784999999999997</v>
      </c>
      <c r="AKF33">
        <f>SOFR3mo_PX[[#This Row],[Column968]]</f>
        <v>97.834999999999994</v>
      </c>
      <c r="AKG33">
        <f>SOFR3mo_PX[[#This Row],[Column969]]</f>
        <v>97.894999999999996</v>
      </c>
      <c r="AKH33">
        <f>SOFR3mo_PX[[#This Row],[Column970]]</f>
        <v>97.875</v>
      </c>
      <c r="AKI33">
        <f>SOFR3mo_PX[[#This Row],[Column971]]</f>
        <v>97.924999999999997</v>
      </c>
      <c r="AKJ33">
        <f>SOFR3mo_PX[[#This Row],[Column972]]</f>
        <v>97.9</v>
      </c>
      <c r="AKK33">
        <f>SOFR3mo_PX[[#This Row],[Column973]]</f>
        <v>97.85</v>
      </c>
      <c r="AKL33">
        <f>SOFR3mo_PX[[#This Row],[Column974]]</f>
        <v>97.844999999999999</v>
      </c>
      <c r="AKM33">
        <f>SOFR3mo_PX[[#This Row],[Column975]]</f>
        <v>97.894999999999996</v>
      </c>
      <c r="AKN33">
        <f>SOFR3mo_PX[[#This Row],[Column976]]</f>
        <v>98</v>
      </c>
      <c r="AKO33">
        <f>SOFR3mo_PX[[#This Row],[Column977]]</f>
        <v>98.05</v>
      </c>
      <c r="AKP33">
        <f>SOFR3mo_PX[[#This Row],[Column978]]</f>
        <v>98.13</v>
      </c>
      <c r="AKQ33">
        <f>SOFR3mo_PX[[#This Row],[Column979]]</f>
        <v>98.224999999999994</v>
      </c>
      <c r="AKR33">
        <f>SOFR3mo_PX[[#This Row],[Column980]]</f>
        <v>98.14</v>
      </c>
      <c r="AKS33">
        <f>SOFR3mo_PX[[#This Row],[Column981]]</f>
        <v>98.144999999999996</v>
      </c>
      <c r="AKT33">
        <f>SOFR3mo_PX[[#This Row],[Column982]]</f>
        <v>98.07</v>
      </c>
      <c r="AKU33">
        <f>SOFR3mo_PX[[#This Row],[Column983]]</f>
        <v>98.14</v>
      </c>
      <c r="AKV33">
        <f>SOFR3mo_PX[[#This Row],[Column984]]</f>
        <v>98.18</v>
      </c>
      <c r="AKW33">
        <f>SOFR3mo_PX[[#This Row],[Column985]]</f>
        <v>98.234999999999999</v>
      </c>
      <c r="AKX33">
        <f>SOFR3mo_PX[[#This Row],[Column986]]</f>
        <v>98.155000000000001</v>
      </c>
      <c r="AKY33">
        <f>SOFR3mo_PX[[#This Row],[Column987]]</f>
        <v>98.125</v>
      </c>
      <c r="AKZ33">
        <f>SOFR3mo_PX[[#This Row],[Column988]]</f>
        <v>98.204999999999998</v>
      </c>
      <c r="ALA33">
        <f>SOFR3mo_PX[[#This Row],[Column989]]</f>
        <v>98.165000000000006</v>
      </c>
      <c r="ALB33">
        <f>SOFR3mo_PX[[#This Row],[Column990]]</f>
        <v>98.114999999999995</v>
      </c>
      <c r="ALC33">
        <f>SOFR3mo_PX[[#This Row],[Column991]]</f>
        <v>98.165000000000006</v>
      </c>
      <c r="ALD33">
        <f>SOFR3mo_PX[[#This Row],[Column992]]</f>
        <v>98.165000000000006</v>
      </c>
      <c r="ALE33">
        <f>SOFR3mo_PX[[#This Row],[Column993]]</f>
        <v>98.224999999999994</v>
      </c>
      <c r="ALF33">
        <f>SOFR3mo_PX[[#This Row],[Column994]]</f>
        <v>98.215000000000003</v>
      </c>
      <c r="ALG33">
        <f>SOFR3mo_PX[[#This Row],[Column995]]</f>
        <v>98.2</v>
      </c>
      <c r="ALH33">
        <f>SOFR3mo_PX[[#This Row],[Column996]]</f>
        <v>98.245000000000005</v>
      </c>
      <c r="ALI33">
        <f>SOFR3mo_PX[[#This Row],[Column997]]</f>
        <v>98.254999999999995</v>
      </c>
      <c r="ALJ33">
        <f>SOFR3mo_PX[[#This Row],[Column998]]</f>
        <v>98.224999999999994</v>
      </c>
      <c r="ALK33">
        <f>SOFR3mo_PX[[#This Row],[Column999]]</f>
        <v>98.234999999999999</v>
      </c>
      <c r="ALL33">
        <f>SOFR3mo_PX[[#This Row],[Column1000]]</f>
        <v>98.31</v>
      </c>
      <c r="ALM33">
        <f>SOFR3mo_PX[[#This Row],[Column1001]]</f>
        <v>98.364999999999995</v>
      </c>
      <c r="ALN33">
        <f>SOFR3mo_PX[[#This Row],[Column1002]]</f>
        <v>98.355000000000004</v>
      </c>
      <c r="ALO33">
        <f>SOFR3mo_PX[[#This Row],[Column1003]]</f>
        <v>98.38</v>
      </c>
      <c r="ALP33">
        <f>SOFR3mo_PX[[#This Row],[Column1004]]</f>
        <v>98.33</v>
      </c>
      <c r="ALQ33">
        <f>SOFR3mo_PX[[#This Row],[Column1005]]</f>
        <v>98.37</v>
      </c>
      <c r="ALR33">
        <f>SOFR3mo_PX[[#This Row],[Column1006]]</f>
        <v>98.375</v>
      </c>
      <c r="ALS33">
        <f>SOFR3mo_PX[[#This Row],[Column1007]]</f>
        <v>98.325000000000003</v>
      </c>
      <c r="ALT33">
        <f>SOFR3mo_PX[[#This Row],[Column1008]]</f>
        <v>98.23</v>
      </c>
      <c r="ALU33">
        <f>SOFR3mo_PX[[#This Row],[Column1009]]</f>
        <v>98.25</v>
      </c>
      <c r="ALV33">
        <f>SOFR3mo_PX[[#This Row],[Column1010]]</f>
        <v>98.275000000000006</v>
      </c>
      <c r="ALW33">
        <f>SOFR3mo_PX[[#This Row],[Column1011]]</f>
        <v>98.284999999999997</v>
      </c>
      <c r="ALX33">
        <f>SOFR3mo_PX[[#This Row],[Column1012]]</f>
        <v>98.32</v>
      </c>
      <c r="ALY33">
        <f>SOFR3mo_PX[[#This Row],[Column1013]]</f>
        <v>98.415000000000006</v>
      </c>
      <c r="ALZ33">
        <f>SOFR3mo_PX[[#This Row],[Column1014]]</f>
        <v>98.415000000000006</v>
      </c>
      <c r="AMA33">
        <f>SOFR3mo_PX[[#This Row],[Column1015]]</f>
        <v>98.41</v>
      </c>
      <c r="AMB33">
        <f>SOFR3mo_PX[[#This Row],[Column1016]]</f>
        <v>98.415000000000006</v>
      </c>
      <c r="AMC33">
        <f>SOFR3mo_PX[[#This Row],[Column1017]]</f>
        <v>98.32</v>
      </c>
      <c r="AMD33">
        <f>SOFR3mo_PX[[#This Row],[Column1018]]</f>
        <v>98.3</v>
      </c>
      <c r="AME33">
        <f>SOFR3mo_PX[[#This Row],[Column1019]]</f>
        <v>98.325000000000003</v>
      </c>
      <c r="AMF33">
        <f>SOFR3mo_PX[[#This Row],[Column1020]]</f>
        <v>98.344999999999999</v>
      </c>
      <c r="AMG33">
        <f>SOFR3mo_PX[[#This Row],[Column1021]]</f>
        <v>98.31</v>
      </c>
      <c r="AMH33">
        <f>SOFR3mo_PX[[#This Row],[Column1022]]</f>
        <v>98.29</v>
      </c>
      <c r="AMI33">
        <f>SOFR3mo_PX[[#This Row],[Column1023]]</f>
        <v>98.314999999999998</v>
      </c>
      <c r="AMJ33">
        <f>SOFR3mo_PX[[#This Row],[Column1024]]</f>
        <v>98.31</v>
      </c>
      <c r="AMK33">
        <f>SOFR3mo_PX[[#This Row],[Column1025]]</f>
        <v>98.424999999999997</v>
      </c>
      <c r="AML33">
        <f>SOFR3mo_PX[[#This Row],[Column1026]]</f>
        <v>98.52</v>
      </c>
      <c r="AMM33">
        <f>SOFR3mo_PX[[#This Row],[Column1027]]</f>
        <v>98.34</v>
      </c>
      <c r="AMN33">
        <f>SOFR3mo_PX[[#This Row],[Column1028]]</f>
        <v>98.314999999999998</v>
      </c>
      <c r="AMO33">
        <f>SOFR3mo_PX[[#This Row],[Column1029]]</f>
        <v>98.215000000000003</v>
      </c>
      <c r="AMP33">
        <f>SOFR3mo_PX[[#This Row],[Column1030]]</f>
        <v>98.125</v>
      </c>
      <c r="AMQ33">
        <f>SOFR3mo_PX[[#This Row],[Column1031]]</f>
        <v>98.19</v>
      </c>
      <c r="AMR33">
        <f>SOFR3mo_PX[[#This Row],[Column1032]]</f>
        <v>98.185000000000002</v>
      </c>
      <c r="AMS33">
        <f>SOFR3mo_PX[[#This Row],[Column1033]]</f>
        <v>98.28</v>
      </c>
      <c r="AMT33">
        <f>SOFR3mo_PX[[#This Row],[Column1034]]</f>
        <v>98.265000000000001</v>
      </c>
      <c r="AMU33">
        <f>SOFR3mo_PX[[#This Row],[Column1035]]</f>
        <v>98.21</v>
      </c>
      <c r="AMV33">
        <f>SOFR3mo_PX[[#This Row],[Column1036]]</f>
        <v>98.125</v>
      </c>
      <c r="AMW33">
        <f>SOFR3mo_PX[[#This Row],[Column1037]]</f>
        <v>98.125</v>
      </c>
      <c r="AMX33">
        <f>SOFR3mo_PX[[#This Row],[Column1038]]</f>
        <v>98.06</v>
      </c>
      <c r="AMY33">
        <f>SOFR3mo_PX[[#This Row],[Column1039]]</f>
        <v>98.094999999999999</v>
      </c>
      <c r="AMZ33">
        <f>SOFR3mo_PX[[#This Row],[Column1040]]</f>
        <v>98.01</v>
      </c>
      <c r="ANA33">
        <f>SOFR3mo_PX[[#This Row],[Column1041]]</f>
        <v>98</v>
      </c>
      <c r="ANB33">
        <f>SOFR3mo_PX[[#This Row],[Column1042]]</f>
        <v>97.915000000000006</v>
      </c>
      <c r="ANC33">
        <f>SOFR3mo_PX[[#This Row],[Column1043]]</f>
        <v>97.96</v>
      </c>
      <c r="AND33">
        <f>SOFR3mo_PX[[#This Row],[Column1044]]</f>
        <v>97.95</v>
      </c>
      <c r="ANE33">
        <f>SOFR3mo_PX[[#This Row],[Column1045]]</f>
        <v>97.984999999999999</v>
      </c>
      <c r="ANF33">
        <f>SOFR3mo_PX[[#This Row],[Column1046]]</f>
        <v>97.98</v>
      </c>
      <c r="ANG33">
        <f>SOFR3mo_PX[[#This Row],[Column1047]]</f>
        <v>98.04</v>
      </c>
      <c r="ANH33">
        <f>SOFR3mo_PX[[#This Row],[Column1048]]</f>
        <v>97.924999999999997</v>
      </c>
      <c r="ANI33">
        <f>SOFR3mo_PX[[#This Row],[Column1049]]</f>
        <v>97.784999999999997</v>
      </c>
      <c r="ANJ33">
        <f>SOFR3mo_PX[[#This Row],[Column1050]]</f>
        <v>97.825000000000003</v>
      </c>
      <c r="ANK33">
        <f>SOFR3mo_PX[[#This Row],[Column1051]]</f>
        <v>97.81</v>
      </c>
      <c r="ANL33">
        <f>SOFR3mo_PX[[#This Row],[Column1052]]</f>
        <v>97.75</v>
      </c>
      <c r="ANM33">
        <f>SOFR3mo_PX[[#This Row],[Column1053]]</f>
        <v>97.77</v>
      </c>
      <c r="ANN33">
        <f>SOFR3mo_PX[[#This Row],[Column1054]]</f>
        <v>97.734999999999999</v>
      </c>
      <c r="ANO33">
        <f>SOFR3mo_PX[[#This Row],[Column1055]]</f>
        <v>97.685000000000002</v>
      </c>
      <c r="ANP33">
        <f>SOFR3mo_PX[[#This Row],[Column1056]]</f>
        <v>97.64</v>
      </c>
      <c r="ANQ33">
        <f>SOFR3mo_PX[[#This Row],[Column1057]]</f>
        <v>97.63</v>
      </c>
      <c r="ANR33">
        <f>SOFR3mo_PX[[#This Row],[Column1058]]</f>
        <v>97.534999999999997</v>
      </c>
      <c r="ANS33">
        <f>SOFR3mo_PX[[#This Row],[Column1059]]</f>
        <v>97.584999999999994</v>
      </c>
      <c r="ANT33">
        <f>SOFR3mo_PX[[#This Row],[Column1060]]</f>
        <v>97.55</v>
      </c>
      <c r="ANU33">
        <f>SOFR3mo_PX[[#This Row],[Column1061]]</f>
        <v>97.594999999999999</v>
      </c>
      <c r="ANV33">
        <f>SOFR3mo_PX[[#This Row],[Column1062]]</f>
        <v>97.594999999999999</v>
      </c>
      <c r="ANW33">
        <f>SOFR3mo_PX[[#This Row],[Column1063]]</f>
        <v>97.61</v>
      </c>
      <c r="ANX33">
        <f>SOFR3mo_PX[[#This Row],[Column1064]]</f>
        <v>97.66</v>
      </c>
      <c r="ANY33">
        <f>SOFR3mo_PX[[#This Row],[Column1065]]</f>
        <v>97.68</v>
      </c>
      <c r="ANZ33">
        <f>SOFR3mo_PX[[#This Row],[Column1066]]</f>
        <v>97.63</v>
      </c>
      <c r="AOA33">
        <f>SOFR3mo_PX[[#This Row],[Column1067]]</f>
        <v>97.59</v>
      </c>
      <c r="AOB33">
        <f>SOFR3mo_PX[[#This Row],[Column1068]]</f>
        <v>97.594999999999999</v>
      </c>
      <c r="AOC33">
        <f>SOFR3mo_PX[[#This Row],[Column1069]]</f>
        <v>97.534999999999997</v>
      </c>
      <c r="AOD33">
        <f>SOFR3mo_PX[[#This Row],[Column1070]]</f>
        <v>97.575000000000003</v>
      </c>
      <c r="AOE33">
        <f>SOFR3mo_PX[[#This Row],[Column1071]]</f>
        <v>97.58</v>
      </c>
      <c r="AOF33">
        <f>SOFR3mo_PX[[#This Row],[Column1072]]</f>
        <v>97.59</v>
      </c>
      <c r="AOG33">
        <f>SOFR3mo_PX[[#This Row],[Column1073]]</f>
        <v>97.545000000000002</v>
      </c>
      <c r="AOH33">
        <f>SOFR3mo_PX[[#This Row],[Column1074]]</f>
        <v>97.49</v>
      </c>
      <c r="AOI33">
        <f>SOFR3mo_PX[[#This Row],[Column1075]]</f>
        <v>97.59</v>
      </c>
      <c r="AOJ33">
        <f>SOFR3mo_PX[[#This Row],[Column1076]]</f>
        <v>97.614999999999995</v>
      </c>
      <c r="AOK33">
        <f>SOFR3mo_PX[[#This Row],[Column1077]]</f>
        <v>97.644999999999996</v>
      </c>
      <c r="AOL33">
        <f>SOFR3mo_PX[[#This Row],[Column1078]]</f>
        <v>97.66</v>
      </c>
      <c r="AOM33">
        <f>SOFR3mo_PX[[#This Row],[Column1079]]</f>
        <v>97.635000000000005</v>
      </c>
      <c r="AON33">
        <f>SOFR3mo_PX[[#This Row],[Column1080]]</f>
        <v>97.61</v>
      </c>
      <c r="AOO33">
        <f>SOFR3mo_PX[[#This Row],[Column1081]]</f>
        <v>97.584999999999994</v>
      </c>
      <c r="AOP33">
        <f>SOFR3mo_PX[[#This Row],[Column1082]]</f>
        <v>97.55</v>
      </c>
      <c r="AOQ33">
        <f>SOFR3mo_PX[[#This Row],[Column1083]]</f>
        <v>97.55</v>
      </c>
      <c r="AOR33">
        <f>SOFR3mo_PX[[#This Row],[Column1084]]</f>
        <v>97.575000000000003</v>
      </c>
      <c r="AOS33">
        <f>SOFR3mo_PX[[#This Row],[Column1085]]</f>
        <v>97.584999999999994</v>
      </c>
      <c r="AOT33">
        <f>SOFR3mo_PX[[#This Row],[Column1086]]</f>
        <v>97.644999999999996</v>
      </c>
      <c r="AOU33">
        <f>SOFR3mo_PX[[#This Row],[Column1087]]</f>
        <v>97.655000000000001</v>
      </c>
      <c r="AOV33">
        <f>SOFR3mo_PX[[#This Row],[Column1088]]</f>
        <v>97.68</v>
      </c>
      <c r="AOW33">
        <f>SOFR3mo_PX[[#This Row],[Column1089]]</f>
        <v>97.68</v>
      </c>
      <c r="AOX33">
        <f>SOFR3mo_PX[[#This Row],[Column1090]]</f>
        <v>97.685000000000002</v>
      </c>
      <c r="AOY33">
        <f>SOFR3mo_PX[[#This Row],[Column1091]]</f>
        <v>97.66</v>
      </c>
      <c r="AOZ33">
        <f>SOFR3mo_PX[[#This Row],[Column1092]]</f>
        <v>97.674999999999997</v>
      </c>
      <c r="APA33">
        <f>SOFR3mo_PX[[#This Row],[Column1093]]</f>
        <v>97.715000000000003</v>
      </c>
      <c r="APB33">
        <f>SOFR3mo_PX[[#This Row],[Column1094]]</f>
        <v>97.57</v>
      </c>
      <c r="APC33">
        <f>SOFR3mo_PX[[#This Row],[Column1095]]</f>
        <v>97.56</v>
      </c>
      <c r="APD33">
        <f>SOFR3mo_PX[[#This Row],[Column1096]]</f>
        <v>97.465000000000003</v>
      </c>
      <c r="APE33">
        <f>SOFR3mo_PX[[#This Row],[Column1097]]</f>
        <v>97.474999999999994</v>
      </c>
      <c r="APF33">
        <f>SOFR3mo_PX[[#This Row],[Column1098]]</f>
        <v>97.504999999999995</v>
      </c>
      <c r="APG33">
        <f>SOFR3mo_PX[[#This Row],[Column1099]]</f>
        <v>97.465000000000003</v>
      </c>
      <c r="APH33">
        <f>SOFR3mo_PX[[#This Row],[Column1100]]</f>
        <v>97.44</v>
      </c>
      <c r="API33">
        <f>SOFR3mo_PX[[#This Row],[Column1101]]</f>
        <v>97.334999999999994</v>
      </c>
      <c r="APJ33">
        <f>SOFR3mo_PX[[#This Row],[Column1102]]</f>
        <v>97.32</v>
      </c>
      <c r="APK33">
        <f>SOFR3mo_PX[[#This Row],[Column1103]]</f>
        <v>97.385000000000005</v>
      </c>
      <c r="APL33">
        <f>SOFR3mo_PX[[#This Row],[Column1104]]</f>
        <v>97.254999999999995</v>
      </c>
      <c r="APM33">
        <f>SOFR3mo_PX[[#This Row],[Column1105]]</f>
        <v>97.29</v>
      </c>
      <c r="APN33">
        <f>SOFR3mo_PX[[#This Row],[Column1106]]</f>
        <v>97.314999999999998</v>
      </c>
      <c r="APO33">
        <f>SOFR3mo_PX[[#This Row],[Column1107]]</f>
        <v>97.394999999999996</v>
      </c>
      <c r="APP33">
        <f>SOFR3mo_PX[[#This Row],[Column1108]]</f>
        <v>97.454999999999998</v>
      </c>
      <c r="APQ33">
        <f>SOFR3mo_PX[[#This Row],[Column1109]]</f>
        <v>97.42</v>
      </c>
      <c r="APR33">
        <f>SOFR3mo_PX[[#This Row],[Column1110]]</f>
        <v>97.4</v>
      </c>
      <c r="APS33">
        <f>SOFR3mo_PX[[#This Row],[Column1111]]</f>
        <v>97.34</v>
      </c>
      <c r="APT33">
        <f>SOFR3mo_PX[[#This Row],[Column1112]]</f>
        <v>97.295000000000002</v>
      </c>
      <c r="APU33">
        <f>SOFR3mo_PX[[#This Row],[Column1113]]</f>
        <v>97.465000000000003</v>
      </c>
      <c r="APV33">
        <f>SOFR3mo_PX[[#This Row],[Column1114]]</f>
        <v>97.655000000000001</v>
      </c>
      <c r="APW33">
        <f>SOFR3mo_PX[[#This Row],[Column1115]]</f>
        <v>97.644999999999996</v>
      </c>
      <c r="APX33">
        <f>SOFR3mo_PX[[#This Row],[Column1116]]</f>
        <v>97.64</v>
      </c>
      <c r="APY33">
        <f>SOFR3mo_PX[[#This Row],[Column1117]]</f>
        <v>97.625</v>
      </c>
      <c r="APZ33">
        <f>SOFR3mo_PX[[#This Row],[Column1118]]</f>
        <v>97.694999999999993</v>
      </c>
      <c r="AQA33">
        <f>SOFR3mo_PX[[#This Row],[Column1119]]</f>
        <v>97.7</v>
      </c>
      <c r="AQB33">
        <f>SOFR3mo_PX[[#This Row],[Column1120]]</f>
        <v>97.67</v>
      </c>
      <c r="AQC33">
        <f>SOFR3mo_PX[[#This Row],[Column1121]]</f>
        <v>97.614999999999995</v>
      </c>
      <c r="AQD33">
        <f>SOFR3mo_PX[[#This Row],[Column1122]]</f>
        <v>97.68</v>
      </c>
      <c r="AQE33">
        <f>SOFR3mo_PX[[#This Row],[Column1123]]</f>
        <v>97.67</v>
      </c>
      <c r="AQF33">
        <f>SOFR3mo_PX[[#This Row],[Column1124]]</f>
        <v>97.734999999999999</v>
      </c>
      <c r="AQG33">
        <f>SOFR3mo_PX[[#This Row],[Column1125]]</f>
        <v>97.79</v>
      </c>
      <c r="AQH33">
        <f>SOFR3mo_PX[[#This Row],[Column1126]]</f>
        <v>97.75</v>
      </c>
      <c r="AQI33">
        <f>SOFR3mo_PX[[#This Row],[Column1127]]</f>
        <v>97.63</v>
      </c>
      <c r="AQJ33">
        <f>SOFR3mo_PX[[#This Row],[Column1128]]</f>
        <v>97.635000000000005</v>
      </c>
      <c r="AQK33">
        <f>SOFR3mo_PX[[#This Row],[Column1129]]</f>
        <v>97.724999999999994</v>
      </c>
      <c r="AQL33">
        <f>SOFR3mo_PX[[#This Row],[Column1130]]</f>
        <v>97.75</v>
      </c>
      <c r="AQM33">
        <f>SOFR3mo_PX[[#This Row],[Column1131]]</f>
        <v>97.74</v>
      </c>
      <c r="AQN33">
        <f>SOFR3mo_PX[[#This Row],[Column1132]]</f>
        <v>97.775000000000006</v>
      </c>
      <c r="AQO33">
        <f>SOFR3mo_PX[[#This Row],[Column1133]]</f>
        <v>97.82</v>
      </c>
      <c r="AQP33">
        <f>SOFR3mo_PX[[#This Row],[Column1134]]</f>
        <v>97.864999999999995</v>
      </c>
      <c r="AQQ33">
        <f>SOFR3mo_PX[[#This Row],[Column1135]]</f>
        <v>97.89</v>
      </c>
      <c r="AQR33">
        <f>SOFR3mo_PX[[#This Row],[Column1136]]</f>
        <v>98.01</v>
      </c>
      <c r="AQS33">
        <f>SOFR3mo_PX[[#This Row],[Column1137]]</f>
        <v>98.01</v>
      </c>
      <c r="AQT33">
        <f>SOFR3mo_PX[[#This Row],[Column1138]]</f>
        <v>98.12</v>
      </c>
      <c r="AQU33">
        <f>SOFR3mo_PX[[#This Row],[Column1139]]</f>
        <v>98.13</v>
      </c>
      <c r="AQV33">
        <f>SOFR3mo_PX[[#This Row],[Column1140]]</f>
        <v>98.114999999999995</v>
      </c>
      <c r="AQW33">
        <f>SOFR3mo_PX[[#This Row],[Column1141]]</f>
        <v>98.105000000000004</v>
      </c>
      <c r="AQX33">
        <f>SOFR3mo_PX[[#This Row],[Column1142]]</f>
        <v>98.125</v>
      </c>
      <c r="AQY33">
        <f>SOFR3mo_PX[[#This Row],[Column1143]]</f>
        <v>98.13</v>
      </c>
      <c r="AQZ33">
        <f>SOFR3mo_PX[[#This Row],[Column1144]]</f>
        <v>98.26</v>
      </c>
      <c r="ARA33">
        <f>SOFR3mo_PX[[#This Row],[Column1145]]</f>
        <v>98.275000000000006</v>
      </c>
      <c r="ARB33">
        <f>SOFR3mo_PX[[#This Row],[Column1146]]</f>
        <v>98.34</v>
      </c>
      <c r="ARC33">
        <f>SOFR3mo_PX[[#This Row],[Column1147]]</f>
        <v>98.34</v>
      </c>
      <c r="ARD33">
        <f>SOFR3mo_PX[[#This Row],[Column1148]]</f>
        <v>98.344999999999999</v>
      </c>
      <c r="ARE33">
        <f>SOFR3mo_PX[[#This Row],[Column1149]]</f>
        <v>98.334999999999994</v>
      </c>
      <c r="ARF33">
        <f>SOFR3mo_PX[[#This Row],[Column1150]]</f>
        <v>98.33</v>
      </c>
      <c r="ARG33">
        <f>SOFR3mo_PX[[#This Row],[Column1151]]</f>
        <v>98.334999999999994</v>
      </c>
      <c r="ARH33">
        <f>SOFR3mo_PX[[#This Row],[Column1152]]</f>
        <v>98.334999999999994</v>
      </c>
      <c r="ARI33">
        <f>SOFR3mo_PX[[#This Row],[Column1153]]</f>
        <v>98.33</v>
      </c>
      <c r="ARJ33">
        <f>SOFR3mo_PX[[#This Row],[Column1154]]</f>
        <v>98.344999999999999</v>
      </c>
      <c r="ARK33">
        <f>SOFR3mo_PX[[#This Row],[Column1155]]</f>
        <v>98.344999999999999</v>
      </c>
      <c r="ARL33">
        <f>SOFR3mo_PX[[#This Row],[Column1156]]</f>
        <v>98.334999999999994</v>
      </c>
      <c r="ARM33">
        <f>SOFR3mo_PX[[#This Row],[Column1157]]</f>
        <v>98.334999999999994</v>
      </c>
      <c r="ARN33">
        <f>SOFR3mo_PX[[#This Row],[Column1158]]</f>
        <v>98.375</v>
      </c>
      <c r="ARO33">
        <f>SOFR3mo_PX[[#This Row],[Column1159]]</f>
        <v>98.36</v>
      </c>
      <c r="ARP33">
        <f>SOFR3mo_PX[[#This Row],[Column1160]]</f>
        <v>98.334999999999994</v>
      </c>
      <c r="ARQ33">
        <f>SOFR3mo_PX[[#This Row],[Column1161]]</f>
        <v>98.34</v>
      </c>
      <c r="ARR33">
        <f>SOFR3mo_PX[[#This Row],[Column1162]]</f>
        <v>98.344999999999999</v>
      </c>
      <c r="ARS33">
        <f>SOFR3mo_PX[[#This Row],[Column1163]]</f>
        <v>98.385000000000005</v>
      </c>
      <c r="ART33">
        <f>SOFR3mo_PX[[#This Row],[Column1164]]</f>
        <v>98.594999999999999</v>
      </c>
      <c r="ARU33">
        <f>SOFR3mo_PX[[#This Row],[Column1165]]</f>
        <v>98.64</v>
      </c>
      <c r="ARV33">
        <f>SOFR3mo_PX[[#This Row],[Column1166]]</f>
        <v>98.65</v>
      </c>
      <c r="ARW33">
        <f>SOFR3mo_PX[[#This Row],[Column1167]]</f>
        <v>98.64</v>
      </c>
      <c r="ARX33">
        <f>SOFR3mo_PX[[#This Row],[Column1168]]</f>
        <v>98.64</v>
      </c>
      <c r="ARY33">
        <f>SOFR3mo_PX[[#This Row],[Column1169]]</f>
        <v>98.63</v>
      </c>
      <c r="ARZ33">
        <f>SOFR3mo_PX[[#This Row],[Column1170]]</f>
        <v>98.614999999999995</v>
      </c>
      <c r="ASA33">
        <f>SOFR3mo_PX[[#This Row],[Column1171]]</f>
        <v>98.61</v>
      </c>
      <c r="ASB33">
        <f>SOFR3mo_PX[[#This Row],[Column1172]]</f>
        <v>98.614999999999995</v>
      </c>
      <c r="ASC33">
        <f>SOFR3mo_PX[[#This Row],[Column1173]]</f>
        <v>98.614999999999995</v>
      </c>
      <c r="ASD33">
        <f>SOFR3mo_PX[[#This Row],[Column1174]]</f>
        <v>98.614999999999995</v>
      </c>
      <c r="ASE33">
        <f>SOFR3mo_PX[[#This Row],[Column1175]]</f>
        <v>98.62</v>
      </c>
      <c r="ASF33">
        <f>SOFR3mo_PX[[#This Row],[Column1176]]</f>
        <v>98.614999999999995</v>
      </c>
      <c r="ASG33">
        <f>SOFR3mo_PX[[#This Row],[Column1177]]</f>
        <v>98.614999999999995</v>
      </c>
      <c r="ASH33">
        <f>SOFR3mo_PX[[#This Row],[Column1178]]</f>
        <v>98.71</v>
      </c>
      <c r="ASI33">
        <f>SOFR3mo_PX[[#This Row],[Column1179]]</f>
        <v>98.72</v>
      </c>
      <c r="ASJ33">
        <f>SOFR3mo_PX[[#This Row],[Column1180]]</f>
        <v>98.745000000000005</v>
      </c>
      <c r="ASK33">
        <f>SOFR3mo_PX[[#This Row],[Column1181]]</f>
        <v>98.745000000000005</v>
      </c>
      <c r="ASL33">
        <f>SOFR3mo_PX[[#This Row],[Column1182]]</f>
        <v>98.745000000000005</v>
      </c>
      <c r="ASM33">
        <f>SOFR3mo_PX[[#This Row],[Column1183]]</f>
        <v>99.055000000000007</v>
      </c>
      <c r="ASN33">
        <f>SOFR3mo_PX[[#This Row],[Column1184]]</f>
        <v>99.435000000000002</v>
      </c>
      <c r="ASO33">
        <f>SOFR3mo_PX[[#This Row],[Column1185]]</f>
        <v>99.54</v>
      </c>
      <c r="ASP33">
        <f>SOFR3mo_PX[[#This Row],[Column1186]]</f>
        <v>99.54</v>
      </c>
      <c r="ASQ33">
        <f>SOFR3mo_PX[[#This Row],[Column1187]]</f>
        <v>99.55</v>
      </c>
      <c r="ASR33">
        <f>SOFR3mo_PX[[#This Row],[Column1188]]</f>
        <v>99.564999999999998</v>
      </c>
      <c r="ASS33">
        <f>SOFR3mo_PX[[#This Row],[Column1189]]</f>
        <v>99.57</v>
      </c>
      <c r="AST33">
        <f>SOFR3mo_PX[[#This Row],[Column1190]]</f>
        <v>99.575000000000003</v>
      </c>
      <c r="ASU33">
        <f>SOFR3mo_PX[[#This Row],[Column1191]]</f>
        <v>99.6</v>
      </c>
      <c r="ASV33">
        <f>SOFR3mo_PX[[#This Row],[Column1192]]</f>
        <v>99.605000000000004</v>
      </c>
      <c r="ASW33">
        <f>SOFR3mo_PX[[#This Row],[Column1193]]</f>
        <v>99.6</v>
      </c>
      <c r="ASX33">
        <f>SOFR3mo_PX[[#This Row],[Column1194]]</f>
        <v>99.6</v>
      </c>
      <c r="ASY33">
        <f>SOFR3mo_PX[[#This Row],[Column1195]]</f>
        <v>99.594999999999999</v>
      </c>
      <c r="ASZ33">
        <f>SOFR3mo_PX[[#This Row],[Column1196]]</f>
        <v>99.59</v>
      </c>
      <c r="ATA33">
        <f>SOFR3mo_PX[[#This Row],[Column1197]]</f>
        <v>99.605000000000004</v>
      </c>
      <c r="ATB33">
        <f>SOFR3mo_PX[[#This Row],[Column1198]]</f>
        <v>99.6</v>
      </c>
      <c r="ATC33">
        <f>SOFR3mo_PX[[#This Row],[Column1199]]</f>
        <v>99.6</v>
      </c>
      <c r="ATD33">
        <f>SOFR3mo_PX[[#This Row],[Column1200]]</f>
        <v>99.605000000000004</v>
      </c>
      <c r="ATE33">
        <f>SOFR3mo_PX[[#This Row],[Column1201]]</f>
        <v>99.594999999999999</v>
      </c>
      <c r="ATF33">
        <f>SOFR3mo_PX[[#This Row],[Column1202]]</f>
        <v>99.594999999999999</v>
      </c>
      <c r="ATG33">
        <f>SOFR3mo_PX[[#This Row],[Column1203]]</f>
        <v>99.59</v>
      </c>
      <c r="ATH33">
        <f>SOFR3mo_PX[[#This Row],[Column1204]]</f>
        <v>99.57</v>
      </c>
      <c r="ATI33">
        <f>SOFR3mo_PX[[#This Row],[Column1205]]</f>
        <v>99.57</v>
      </c>
      <c r="ATJ33">
        <f>SOFR3mo_PX[[#This Row],[Column1206]]</f>
        <v>99.605000000000004</v>
      </c>
      <c r="ATK33">
        <f>SOFR3mo_PX[[#This Row],[Column1207]]</f>
        <v>99.65</v>
      </c>
      <c r="ATL33">
        <f>SOFR3mo_PX[[#This Row],[Column1208]]</f>
        <v>99.655000000000001</v>
      </c>
      <c r="ATM33">
        <f>SOFR3mo_PX[[#This Row],[Column1209]]</f>
        <v>99.674999999999997</v>
      </c>
      <c r="ATN33">
        <f>SOFR3mo_PX[[#This Row],[Column1210]]</f>
        <v>99.644999999999996</v>
      </c>
      <c r="ATO33">
        <f>SOFR3mo_PX[[#This Row],[Column1211]]</f>
        <v>99.655000000000001</v>
      </c>
      <c r="ATP33">
        <f>SOFR3mo_PX[[#This Row],[Column1212]]</f>
        <v>99.65</v>
      </c>
      <c r="ATQ33">
        <f>SOFR3mo_PX[[#This Row],[Column1213]]</f>
        <v>99.655000000000001</v>
      </c>
      <c r="ATR33">
        <f>SOFR3mo_PX[[#This Row],[Column1214]]</f>
        <v>99.665000000000006</v>
      </c>
      <c r="ATS33">
        <f>SOFR3mo_PX[[#This Row],[Column1215]]</f>
        <v>99.665000000000006</v>
      </c>
      <c r="ATT33">
        <f>SOFR3mo_PX[[#This Row],[Column1216]]</f>
        <v>99.66</v>
      </c>
      <c r="ATU33">
        <f>SOFR3mo_PX[[#This Row],[Column1217]]</f>
        <v>99.65</v>
      </c>
      <c r="ATV33">
        <f>SOFR3mo_PX[[#This Row],[Column1218]]</f>
        <v>99.64</v>
      </c>
      <c r="ATW33">
        <f>SOFR3mo_PX[[#This Row],[Column1219]]</f>
        <v>99.665000000000006</v>
      </c>
      <c r="ATX33">
        <f>SOFR3mo_PX[[#This Row],[Column1220]]</f>
        <v>99.665000000000006</v>
      </c>
      <c r="ATY33">
        <f>SOFR3mo_PX[[#This Row],[Column1221]]</f>
        <v>99.674999999999997</v>
      </c>
      <c r="ATZ33">
        <f>SOFR3mo_PX[[#This Row],[Column1222]]</f>
        <v>99.685000000000002</v>
      </c>
      <c r="AUA33">
        <f>SOFR3mo_PX[[#This Row],[Column1223]]</f>
        <v>99.68</v>
      </c>
      <c r="AUB33">
        <f>SOFR3mo_PX[[#This Row],[Column1224]]</f>
        <v>99.685000000000002</v>
      </c>
      <c r="AUC33">
        <f>SOFR3mo_PX[[#This Row],[Column1225]]</f>
        <v>99.68</v>
      </c>
      <c r="AUD33">
        <f>SOFR3mo_PX[[#This Row],[Column1226]]</f>
        <v>99.665000000000006</v>
      </c>
      <c r="AUE33">
        <f>SOFR3mo_PX[[#This Row],[Column1227]]</f>
        <v>99.66</v>
      </c>
      <c r="AUF33">
        <f>SOFR3mo_PX[[#This Row],[Column1228]]</f>
        <v>99.674999999999997</v>
      </c>
      <c r="AUG33">
        <f>SOFR3mo_PX[[#This Row],[Column1229]]</f>
        <v>99.67</v>
      </c>
      <c r="AUH33">
        <f>SOFR3mo_PX[[#This Row],[Column1230]]</f>
        <v>99.694999999999993</v>
      </c>
      <c r="AUI33">
        <f>SOFR3mo_PX[[#This Row],[Column1231]]</f>
        <v>99.694999999999993</v>
      </c>
      <c r="AUJ33">
        <f>SOFR3mo_PX[[#This Row],[Column1232]]</f>
        <v>99.745000000000005</v>
      </c>
      <c r="AUK33">
        <f>SOFR3mo_PX[[#This Row],[Column1233]]</f>
        <v>99.745000000000005</v>
      </c>
      <c r="AUL33">
        <f>SOFR3mo_PX[[#This Row],[Column1234]]</f>
        <v>99.745000000000005</v>
      </c>
      <c r="AUM33">
        <f>SOFR3mo_PX[[#This Row],[Column1235]]</f>
        <v>99.75</v>
      </c>
      <c r="AUN33">
        <f>SOFR3mo_PX[[#This Row],[Column1236]]</f>
        <v>99.75</v>
      </c>
      <c r="AUO33">
        <f>SOFR3mo_PX[[#This Row],[Column1237]]</f>
        <v>99.76</v>
      </c>
      <c r="AUP33">
        <f>SOFR3mo_PX[[#This Row],[Column1238]]</f>
        <v>99.76</v>
      </c>
      <c r="AUQ33">
        <f>SOFR3mo_PX[[#This Row],[Column1239]]</f>
        <v>99.765000000000001</v>
      </c>
      <c r="AUR33">
        <f>SOFR3mo_PX[[#This Row],[Column1240]]</f>
        <v>99.765000000000001</v>
      </c>
      <c r="AUS33">
        <f>SOFR3mo_PX[[#This Row],[Column1241]]</f>
        <v>99.754999999999995</v>
      </c>
      <c r="AUT33">
        <f>SOFR3mo_PX[[#This Row],[Column1242]]</f>
        <v>99.734999999999999</v>
      </c>
      <c r="AUU33">
        <f>SOFR3mo_PX[[#This Row],[Column1243]]</f>
        <v>99.75</v>
      </c>
      <c r="AUV33">
        <f>SOFR3mo_PX[[#This Row],[Column1244]]</f>
        <v>99.745000000000005</v>
      </c>
      <c r="AUW33">
        <f>SOFR3mo_PX[[#This Row],[Column1245]]</f>
        <v>99.775000000000006</v>
      </c>
      <c r="AUX33">
        <f>SOFR3mo_PX[[#This Row],[Column1246]]</f>
        <v>99.78</v>
      </c>
      <c r="AUY33">
        <f>SOFR3mo_PX[[#This Row],[Column1247]]</f>
        <v>99.77</v>
      </c>
      <c r="AUZ33">
        <f>SOFR3mo_PX[[#This Row],[Column1248]]</f>
        <v>99.745000000000005</v>
      </c>
      <c r="AVA33">
        <f>SOFR3mo_PX[[#This Row],[Column1249]]</f>
        <v>99.74</v>
      </c>
      <c r="AVB33">
        <f>SOFR3mo_PX[[#This Row],[Column1250]]</f>
        <v>99.745000000000005</v>
      </c>
      <c r="AVC33">
        <f>SOFR3mo_PX[[#This Row],[Column1251]]</f>
        <v>99.734999999999999</v>
      </c>
      <c r="AVD33">
        <f>SOFR3mo_PX[[#This Row],[Column1252]]</f>
        <v>99.734999999999999</v>
      </c>
      <c r="AVE33">
        <f>SOFR3mo_PX[[#This Row],[Column1253]]</f>
        <v>99.765000000000001</v>
      </c>
      <c r="AVF33">
        <f>SOFR3mo_PX[[#This Row],[Column1254]]</f>
        <v>99.754999999999995</v>
      </c>
      <c r="AVG33">
        <f>SOFR3mo_PX[[#This Row],[Column1255]]</f>
        <v>99.765000000000001</v>
      </c>
      <c r="AVH33">
        <f>SOFR3mo_PX[[#This Row],[Column1256]]</f>
        <v>99.76</v>
      </c>
      <c r="AVI33">
        <f>SOFR3mo_PX[[#This Row],[Column1257]]</f>
        <v>99.754999999999995</v>
      </c>
      <c r="AVJ33">
        <f>SOFR3mo_PX[[#This Row],[Column1258]]</f>
        <v>99.734999999999999</v>
      </c>
      <c r="AVK33">
        <f>SOFR3mo_PX[[#This Row],[Column1259]]</f>
        <v>99.745000000000005</v>
      </c>
      <c r="AVL33">
        <f>SOFR3mo_PX[[#This Row],[Column1260]]</f>
        <v>99.75</v>
      </c>
      <c r="AVM33">
        <f>SOFR3mo_PX[[#This Row],[Column1261]]</f>
        <v>99.76</v>
      </c>
      <c r="AVN33">
        <f>SOFR3mo_PX[[#This Row],[Column1262]]</f>
        <v>99.754999999999995</v>
      </c>
      <c r="AVO33">
        <f>SOFR3mo_PX[[#This Row],[Column1263]]</f>
        <v>99.765000000000001</v>
      </c>
      <c r="AVP33">
        <f>SOFR3mo_PX[[#This Row],[Column1264]]</f>
        <v>99.765000000000001</v>
      </c>
      <c r="AVQ33">
        <f>SOFR3mo_PX[[#This Row],[Column1265]]</f>
        <v>99.754999999999995</v>
      </c>
      <c r="AVR33">
        <f>SOFR3mo_PX[[#This Row],[Column1266]]</f>
        <v>99.74</v>
      </c>
      <c r="AVS33">
        <f>SOFR3mo_PX[[#This Row],[Column1267]]</f>
        <v>99.73</v>
      </c>
      <c r="AVT33">
        <f>SOFR3mo_PX[[#This Row],[Column1268]]</f>
        <v>99.73</v>
      </c>
      <c r="AVU33">
        <f>SOFR3mo_PX[[#This Row],[Column1269]]</f>
        <v>99.734999999999999</v>
      </c>
      <c r="AVV33">
        <f>SOFR3mo_PX[[#This Row],[Column1270]]</f>
        <v>99.734999999999999</v>
      </c>
      <c r="AVW33">
        <f>SOFR3mo_PX[[#This Row],[Column1271]]</f>
        <v>99.77</v>
      </c>
      <c r="AVX33">
        <f>SOFR3mo_PX[[#This Row],[Column1272]]</f>
        <v>99.78</v>
      </c>
      <c r="AVY33">
        <f>SOFR3mo_PX[[#This Row],[Column1273]]</f>
        <v>99.8</v>
      </c>
      <c r="AVZ33">
        <f>SOFR3mo_PX[[#This Row],[Column1274]]</f>
        <v>99.805000000000007</v>
      </c>
      <c r="AWA33">
        <f>SOFR3mo_PX[[#This Row],[Column1275]]</f>
        <v>99.814999999999998</v>
      </c>
      <c r="AWB33">
        <f>SOFR3mo_PX[[#This Row],[Column1276]]</f>
        <v>99.805000000000007</v>
      </c>
      <c r="AWC33">
        <f>SOFR3mo_PX[[#This Row],[Column1277]]</f>
        <v>99.8</v>
      </c>
      <c r="AWD33">
        <f>SOFR3mo_PX[[#This Row],[Column1278]]</f>
        <v>99.795000000000002</v>
      </c>
      <c r="AWE33">
        <f>SOFR3mo_PX[[#This Row],[Column1279]]</f>
        <v>99.775000000000006</v>
      </c>
      <c r="AWF33">
        <f>SOFR3mo_PX[[#This Row],[Column1280]]</f>
        <v>99.765000000000001</v>
      </c>
      <c r="AWG33">
        <f>SOFR3mo_PX[[#This Row],[Column1281]]</f>
        <v>99.76</v>
      </c>
      <c r="AWH33">
        <f>SOFR3mo_PX[[#This Row],[Column1282]]</f>
        <v>99.77</v>
      </c>
      <c r="AWI33">
        <f>SOFR3mo_PX[[#This Row],[Column1283]]</f>
        <v>99.775000000000006</v>
      </c>
      <c r="AWJ33">
        <f>SOFR3mo_PX[[#This Row],[Column1284]]</f>
        <v>99.775000000000006</v>
      </c>
      <c r="AWK33">
        <f>SOFR3mo_PX[[#This Row],[Column1285]]</f>
        <v>99.77</v>
      </c>
      <c r="AWL33">
        <f>SOFR3mo_PX[[#This Row],[Column1286]]</f>
        <v>99.77</v>
      </c>
      <c r="AWM33">
        <f>SOFR3mo_PX[[#This Row],[Column1287]]</f>
        <v>99.765000000000001</v>
      </c>
      <c r="AWN33">
        <f>SOFR3mo_PX[[#This Row],[Column1288]]</f>
        <v>99.765000000000001</v>
      </c>
      <c r="AWO33">
        <f>SOFR3mo_PX[[#This Row],[Column1289]]</f>
        <v>99.76</v>
      </c>
      <c r="AWP33">
        <f>SOFR3mo_PX[[#This Row],[Column1290]]</f>
        <v>99.77</v>
      </c>
      <c r="AWQ33">
        <f>SOFR3mo_PX[[#This Row],[Column1291]]</f>
        <v>99.77</v>
      </c>
      <c r="AWR33">
        <f>SOFR3mo_PX[[#This Row],[Column1292]]</f>
        <v>99.784999999999997</v>
      </c>
      <c r="AWS33">
        <f>SOFR3mo_PX[[#This Row],[Column1293]]</f>
        <v>99.8</v>
      </c>
      <c r="AWT33">
        <f>SOFR3mo_PX[[#This Row],[Column1294]]</f>
        <v>99.784999999999997</v>
      </c>
      <c r="AWU33">
        <f>SOFR3mo_PX[[#This Row],[Column1295]]</f>
        <v>99.78</v>
      </c>
      <c r="AWV33">
        <f>SOFR3mo_PX[[#This Row],[Column1296]]</f>
        <v>99.775000000000006</v>
      </c>
      <c r="AWW33">
        <f>SOFR3mo_PX[[#This Row],[Column1297]]</f>
        <v>99.775000000000006</v>
      </c>
      <c r="AWX33">
        <f>SOFR3mo_PX[[#This Row],[Column1298]]</f>
        <v>99.775000000000006</v>
      </c>
      <c r="AWY33">
        <f>SOFR3mo_PX[[#This Row],[Column1299]]</f>
        <v>99.765000000000001</v>
      </c>
      <c r="AWZ33">
        <f>SOFR3mo_PX[[#This Row],[Column1300]]</f>
        <v>99.784999999999997</v>
      </c>
      <c r="AXA33">
        <f>SOFR3mo_PX[[#This Row],[Column1301]]</f>
        <v>99.784999999999997</v>
      </c>
      <c r="AXB33">
        <f>SOFR3mo_PX[[#This Row],[Column1302]]</f>
        <v>99.775000000000006</v>
      </c>
      <c r="AXC33">
        <f>SOFR3mo_PX[[#This Row],[Column1303]]</f>
        <v>99.754999999999995</v>
      </c>
      <c r="AXD33">
        <f>SOFR3mo_PX[[#This Row],[Column1304]]</f>
        <v>99.754999999999995</v>
      </c>
      <c r="AXE33">
        <f>SOFR3mo_PX[[#This Row],[Column1305]]</f>
        <v>99.754999999999995</v>
      </c>
      <c r="AXF33">
        <f>SOFR3mo_PX[[#This Row],[Column1306]]</f>
        <v>99.75</v>
      </c>
      <c r="AXG33">
        <f>SOFR3mo_PX[[#This Row],[Column1307]]</f>
        <v>99.74</v>
      </c>
      <c r="AXH33">
        <f>SOFR3mo_PX[[#This Row],[Column1308]]</f>
        <v>99.72</v>
      </c>
      <c r="AXI33">
        <f>SOFR3mo_PX[[#This Row],[Column1309]]</f>
        <v>99.715000000000003</v>
      </c>
      <c r="AXJ33">
        <f>SOFR3mo_PX[[#This Row],[Column1310]]</f>
        <v>99.704999999999998</v>
      </c>
      <c r="AXK33">
        <f>SOFR3mo_PX[[#This Row],[Column1311]]</f>
        <v>99.72</v>
      </c>
      <c r="AXL33">
        <f>SOFR3mo_PX[[#This Row],[Column1312]]</f>
        <v>99.71</v>
      </c>
      <c r="AXM33">
        <f>SOFR3mo_PX[[#This Row],[Column1313]]</f>
        <v>99.72</v>
      </c>
      <c r="AXN33">
        <f>SOFR3mo_PX[[#This Row],[Column1314]]</f>
        <v>99.694999999999993</v>
      </c>
      <c r="AXO33">
        <f>SOFR3mo_PX[[#This Row],[Column1315]]</f>
        <v>99.644999999999996</v>
      </c>
      <c r="AXP33">
        <f>SOFR3mo_PX[[#This Row],[Column1316]]</f>
        <v>99.61</v>
      </c>
      <c r="AXQ33">
        <f>SOFR3mo_PX[[#This Row],[Column1317]]</f>
        <v>99.605000000000004</v>
      </c>
      <c r="AXR33">
        <f>SOFR3mo_PX[[#This Row],[Column1318]]</f>
        <v>99.67</v>
      </c>
      <c r="AXS33">
        <f>SOFR3mo_PX[[#This Row],[Column1319]]</f>
        <v>99.685000000000002</v>
      </c>
      <c r="AXT33">
        <f>SOFR3mo_PX[[#This Row],[Column1320]]</f>
        <v>99.72</v>
      </c>
      <c r="AXU33">
        <f>SOFR3mo_PX[[#This Row],[Column1321]]</f>
        <v>99.724999999999994</v>
      </c>
      <c r="AXV33">
        <f>SOFR3mo_PX[[#This Row],[Column1322]]</f>
        <v>99.715000000000003</v>
      </c>
      <c r="AXW33">
        <f>SOFR3mo_PX[[#This Row],[Column1323]]</f>
        <v>99.694999999999993</v>
      </c>
      <c r="AXX33">
        <f>SOFR3mo_PX[[#This Row],[Column1324]]</f>
        <v>99.7</v>
      </c>
      <c r="AXY33">
        <f>SOFR3mo_PX[[#This Row],[Column1325]]</f>
        <v>99.704999999999998</v>
      </c>
      <c r="AXZ33">
        <f>SOFR3mo_PX[[#This Row],[Column1326]]</f>
        <v>99.71</v>
      </c>
      <c r="AYA33">
        <f>SOFR3mo_PX[[#This Row],[Column1327]]</f>
        <v>99.71</v>
      </c>
      <c r="AYB33">
        <f>SOFR3mo_PX[[#This Row],[Column1328]]</f>
        <v>99.704999999999998</v>
      </c>
      <c r="AYC33">
        <f>SOFR3mo_PX[[#This Row],[Column1329]]</f>
        <v>99.704999999999998</v>
      </c>
      <c r="AYD33">
        <f>SOFR3mo_PX[[#This Row],[Column1330]]</f>
        <v>99.71</v>
      </c>
      <c r="AYE33">
        <f>SOFR3mo_PX[[#This Row],[Column1331]]</f>
        <v>99.71</v>
      </c>
      <c r="AYF33">
        <f>SOFR3mo_PX[[#This Row],[Column1332]]</f>
        <v>99.754999999999995</v>
      </c>
      <c r="AYG33">
        <f>SOFR3mo_PX[[#This Row],[Column1333]]</f>
        <v>99.73</v>
      </c>
      <c r="AYH33">
        <f>SOFR3mo_PX[[#This Row],[Column1334]]</f>
        <v>99.72</v>
      </c>
      <c r="AYI33">
        <f>SOFR3mo_PX[[#This Row],[Column1335]]</f>
        <v>99.7</v>
      </c>
      <c r="AYJ33">
        <f>SOFR3mo_PX[[#This Row],[Column1336]]</f>
        <v>99.7</v>
      </c>
      <c r="AYK33">
        <f>SOFR3mo_PX[[#This Row],[Column1337]]</f>
        <v>99.72</v>
      </c>
      <c r="AYL33">
        <f>SOFR3mo_PX[[#This Row],[Column1338]]</f>
        <v>99.73</v>
      </c>
      <c r="AYM33">
        <f>SOFR3mo_PX[[#This Row],[Column1339]]</f>
        <v>99.674999999999997</v>
      </c>
      <c r="AYN33">
        <f>SOFR3mo_PX[[#This Row],[Column1340]]</f>
        <v>99.66</v>
      </c>
      <c r="AYO33">
        <f>SOFR3mo_PX[[#This Row],[Column1341]]</f>
        <v>99.665000000000006</v>
      </c>
      <c r="AYP33">
        <f>SOFR3mo_PX[[#This Row],[Column1342]]</f>
        <v>99.65</v>
      </c>
      <c r="AYQ33">
        <f>SOFR3mo_PX[[#This Row],[Column1343]]</f>
        <v>99.655000000000001</v>
      </c>
      <c r="AYR33">
        <f>SOFR3mo_PX[[#This Row],[Column1344]]</f>
        <v>99.644999999999996</v>
      </c>
      <c r="AYS33">
        <f>SOFR3mo_PX[[#This Row],[Column1345]]</f>
        <v>99.63</v>
      </c>
      <c r="AYT33">
        <f>SOFR3mo_PX[[#This Row],[Column1346]]</f>
        <v>99.625</v>
      </c>
      <c r="AYU33">
        <f>SOFR3mo_PX[[#This Row],[Column1347]]</f>
        <v>99.635000000000005</v>
      </c>
      <c r="AYV33">
        <f>SOFR3mo_PX[[#This Row],[Column1348]]</f>
        <v>99.635000000000005</v>
      </c>
      <c r="AYW33">
        <f>SOFR3mo_PX[[#This Row],[Column1349]]</f>
        <v>99.63</v>
      </c>
      <c r="AYX33">
        <f>SOFR3mo_PX[[#This Row],[Column1350]]</f>
        <v>99.64</v>
      </c>
      <c r="AYY33">
        <f>SOFR3mo_PX[[#This Row],[Column1351]]</f>
        <v>99.62</v>
      </c>
      <c r="AYZ33">
        <f>SOFR3mo_PX[[#This Row],[Column1352]]</f>
        <v>99.61</v>
      </c>
      <c r="AZA33">
        <f>SOFR3mo_PX[[#This Row],[Column1353]]</f>
        <v>99.594999999999999</v>
      </c>
      <c r="AZB33">
        <f>SOFR3mo_PX[[#This Row],[Column1354]]</f>
        <v>99.584999999999994</v>
      </c>
      <c r="AZC33">
        <f>SOFR3mo_PX[[#This Row],[Column1355]]</f>
        <v>99.555000000000007</v>
      </c>
      <c r="AZD33">
        <f>SOFR3mo_PX[[#This Row],[Column1356]]</f>
        <v>99.54</v>
      </c>
      <c r="AZE33">
        <f>SOFR3mo_PX[[#This Row],[Column1357]]</f>
        <v>99.55</v>
      </c>
      <c r="AZF33">
        <f>SOFR3mo_PX[[#This Row],[Column1358]]</f>
        <v>99.55</v>
      </c>
      <c r="AZG33">
        <f>SOFR3mo_PX[[#This Row],[Column1359]]</f>
        <v>99.53</v>
      </c>
      <c r="AZH33">
        <f>SOFR3mo_PX[[#This Row],[Column1360]]</f>
        <v>99.515000000000001</v>
      </c>
      <c r="AZI33">
        <f>SOFR3mo_PX[[#This Row],[Column1361]]</f>
        <v>99.56</v>
      </c>
      <c r="AZJ33">
        <f>SOFR3mo_PX[[#This Row],[Column1362]]</f>
        <v>99.62</v>
      </c>
      <c r="AZK33">
        <f>SOFR3mo_PX[[#This Row],[Column1363]]</f>
        <v>99.614999999999995</v>
      </c>
      <c r="AZL33">
        <f>SOFR3mo_PX[[#This Row],[Column1364]]</f>
        <v>99.63</v>
      </c>
      <c r="AZM33">
        <f>SOFR3mo_PX[[#This Row],[Column1365]]</f>
        <v>99.605000000000004</v>
      </c>
      <c r="AZN33">
        <f>SOFR3mo_PX[[#This Row],[Column1366]]</f>
        <v>99.635000000000005</v>
      </c>
      <c r="AZO33">
        <f>SOFR3mo_PX[[#This Row],[Column1367]]</f>
        <v>99.59</v>
      </c>
      <c r="AZP33">
        <f>SOFR3mo_PX[[#This Row],[Column1368]]</f>
        <v>99.57</v>
      </c>
      <c r="AZQ33">
        <f>SOFR3mo_PX[[#This Row],[Column1369]]</f>
        <v>99.54</v>
      </c>
      <c r="AZR33">
        <f>SOFR3mo_PX[[#This Row],[Column1370]]</f>
        <v>99.534999999999997</v>
      </c>
      <c r="AZS33">
        <f>SOFR3mo_PX[[#This Row],[Column1371]]</f>
        <v>99.594999999999999</v>
      </c>
      <c r="AZT33">
        <f>SOFR3mo_PX[[#This Row],[Column1372]]</f>
        <v>99.515000000000001</v>
      </c>
      <c r="AZU33">
        <f>SOFR3mo_PX[[#This Row],[Column1373]]</f>
        <v>99.454999999999998</v>
      </c>
      <c r="AZV33">
        <f>SOFR3mo_PX[[#This Row],[Column1374]]</f>
        <v>99.35</v>
      </c>
      <c r="AZW33">
        <f>SOFR3mo_PX[[#This Row],[Column1375]]</f>
        <v>99.465000000000003</v>
      </c>
      <c r="AZX33">
        <f>SOFR3mo_PX[[#This Row],[Column1376]]</f>
        <v>99.515000000000001</v>
      </c>
      <c r="AZY33">
        <f>SOFR3mo_PX[[#This Row],[Column1377]]</f>
        <v>99.44</v>
      </c>
      <c r="AZZ33">
        <f>SOFR3mo_PX[[#This Row],[Column1378]]</f>
        <v>99.48</v>
      </c>
      <c r="BAA33">
        <f>SOFR3mo_PX[[#This Row],[Column1379]]</f>
        <v>99.41</v>
      </c>
      <c r="BAB33">
        <f>SOFR3mo_PX[[#This Row],[Column1380]]</f>
        <v>99.4</v>
      </c>
      <c r="BAC33">
        <f>SOFR3mo_PX[[#This Row],[Column1381]]</f>
        <v>99.52</v>
      </c>
      <c r="BAD33">
        <f>SOFR3mo_PX[[#This Row],[Column1382]]</f>
        <v>99.444999999999993</v>
      </c>
      <c r="BAE33">
        <f>SOFR3mo_PX[[#This Row],[Column1383]]</f>
        <v>99.36</v>
      </c>
      <c r="BAF33">
        <f>SOFR3mo_PX[[#This Row],[Column1384]]</f>
        <v>99.31</v>
      </c>
      <c r="BAG33">
        <f>SOFR3mo_PX[[#This Row],[Column1385]]</f>
        <v>99.25</v>
      </c>
      <c r="BAH33">
        <f>SOFR3mo_PX[[#This Row],[Column1386]]</f>
        <v>99.18</v>
      </c>
      <c r="BAI33">
        <f>SOFR3mo_PX[[#This Row],[Column1387]]</f>
        <v>99.18</v>
      </c>
      <c r="BAJ33">
        <f>SOFR3mo_PX[[#This Row],[Column1388]]</f>
        <v>98.98</v>
      </c>
      <c r="BAK33">
        <f>SOFR3mo_PX[[#This Row],[Column1389]]</f>
        <v>98.924999999999997</v>
      </c>
      <c r="BAL33">
        <f>SOFR3mo_PX[[#This Row],[Column1390]]</f>
        <v>98.935000000000002</v>
      </c>
      <c r="BAM33">
        <f>SOFR3mo_PX[[#This Row],[Column1391]]</f>
        <v>98.88</v>
      </c>
      <c r="BAN33">
        <f>SOFR3mo_PX[[#This Row],[Column1392]]</f>
        <v>98.77</v>
      </c>
      <c r="BAO33">
        <f>SOFR3mo_PX[[#This Row],[Column1393]]</f>
        <v>98.704999999999998</v>
      </c>
      <c r="BAP33">
        <f>SOFR3mo_PX[[#This Row],[Column1394]]</f>
        <v>98.66</v>
      </c>
      <c r="BAQ33">
        <f>SOFR3mo_PX[[#This Row],[Column1395]]</f>
        <v>98.685000000000002</v>
      </c>
      <c r="BAR33">
        <f>SOFR3mo_PX[[#This Row],[Column1396]]</f>
        <v>98.655000000000001</v>
      </c>
      <c r="BAS33">
        <f>SOFR3mo_PX[[#This Row],[Column1397]]</f>
        <v>98.655000000000001</v>
      </c>
      <c r="BAT33">
        <f>SOFR3mo_PX[[#This Row],[Column1398]]</f>
        <v>98.62</v>
      </c>
      <c r="BAU33">
        <f>SOFR3mo_PX[[#This Row],[Column1399]]</f>
        <v>98.62</v>
      </c>
      <c r="BAV33">
        <f>SOFR3mo_PX[[#This Row],[Column1400]]</f>
        <v>98.66</v>
      </c>
      <c r="BAW33">
        <f>SOFR3mo_PX[[#This Row],[Column1401]]</f>
        <v>98.69</v>
      </c>
      <c r="BAX33">
        <f>SOFR3mo_PX[[#This Row],[Column1402]]</f>
        <v>98.655000000000001</v>
      </c>
      <c r="BAY33">
        <f>SOFR3mo_PX[[#This Row],[Column1403]]</f>
        <v>98.6</v>
      </c>
      <c r="BAZ33">
        <f>SOFR3mo_PX[[#This Row],[Column1404]]</f>
        <v>98.62</v>
      </c>
      <c r="BBA33">
        <f>SOFR3mo_PX[[#This Row],[Column1405]]</f>
        <v>98.66</v>
      </c>
      <c r="BBB33">
        <f>SOFR3mo_PX[[#This Row],[Column1406]]</f>
        <v>98.745000000000005</v>
      </c>
      <c r="BBC33">
        <f>SOFR3mo_PX[[#This Row],[Column1407]]</f>
        <v>98.76</v>
      </c>
      <c r="BBD33">
        <f>SOFR3mo_PX[[#This Row],[Column1408]]</f>
        <v>98.704999999999998</v>
      </c>
      <c r="BBE33">
        <f>SOFR3mo_PX[[#This Row],[Column1409]]</f>
        <v>98.66</v>
      </c>
      <c r="BBF33">
        <f>SOFR3mo_PX[[#This Row],[Column1410]]</f>
        <v>98.61</v>
      </c>
      <c r="BBG33">
        <f>SOFR3mo_PX[[#This Row],[Column1411]]</f>
        <v>98.644999999999996</v>
      </c>
      <c r="BBH33">
        <f>SOFR3mo_PX[[#This Row],[Column1412]]</f>
        <v>98.56</v>
      </c>
      <c r="BBI33">
        <f>SOFR3mo_PX[[#This Row],[Column1413]]</f>
        <v>98.504999999999995</v>
      </c>
      <c r="BBJ33">
        <f>SOFR3mo_PX[[#This Row],[Column1414]]</f>
        <v>98.484999999999999</v>
      </c>
      <c r="BBK33">
        <f>SOFR3mo_PX[[#This Row],[Column1415]]</f>
        <v>98.47</v>
      </c>
      <c r="BBL33">
        <f>SOFR3mo_PX[[#This Row],[Column1416]]</f>
        <v>98.415000000000006</v>
      </c>
      <c r="BBM33">
        <f>SOFR3mo_PX[[#This Row],[Column1417]]</f>
        <v>98.415000000000006</v>
      </c>
      <c r="BBN33">
        <f>SOFR3mo_PX[[#This Row],[Column1418]]</f>
        <v>98.43</v>
      </c>
      <c r="BBO33">
        <f>SOFR3mo_PX[[#This Row],[Column1419]]</f>
        <v>98.44</v>
      </c>
      <c r="BBP33">
        <f>SOFR3mo_PX[[#This Row],[Column1420]]</f>
        <v>98.43</v>
      </c>
      <c r="BBQ33">
        <f>SOFR3mo_PX[[#This Row],[Column1421]]</f>
        <v>98.415000000000006</v>
      </c>
      <c r="BBR33">
        <f>SOFR3mo_PX[[#This Row],[Column1422]]</f>
        <v>98.42</v>
      </c>
      <c r="BBS33">
        <f>SOFR3mo_PX[[#This Row],[Column1423]]</f>
        <v>98.405000000000001</v>
      </c>
      <c r="BBT33">
        <f>SOFR3mo_PX[[#This Row],[Column1424]]</f>
        <v>98.4</v>
      </c>
      <c r="BBU33">
        <f>SOFR3mo_PX[[#This Row],[Column1425]]</f>
        <v>98.444999999999993</v>
      </c>
      <c r="BBV33">
        <f>SOFR3mo_PX[[#This Row],[Column1426]]</f>
        <v>98.454999999999998</v>
      </c>
      <c r="BBW33">
        <f>SOFR3mo_PX[[#This Row],[Column1427]]</f>
        <v>98.46</v>
      </c>
      <c r="BBX33">
        <f>SOFR3mo_PX[[#This Row],[Column1428]]</f>
        <v>98.37</v>
      </c>
      <c r="BBY33">
        <f>SOFR3mo_PX[[#This Row],[Column1429]]</f>
        <v>98.36</v>
      </c>
      <c r="BBZ33">
        <f>SOFR3mo_PX[[#This Row],[Column1430]]</f>
        <v>98.36</v>
      </c>
      <c r="BCA33">
        <f>SOFR3mo_PX[[#This Row],[Column1431]]</f>
        <v>98.364999999999995</v>
      </c>
      <c r="BCB33">
        <f>SOFR3mo_PX[[#This Row],[Column1432]]</f>
        <v>98.364999999999995</v>
      </c>
      <c r="BCC33">
        <f>SOFR3mo_PX[[#This Row],[Column1433]]</f>
        <v>98.325000000000003</v>
      </c>
      <c r="BCD33">
        <f>SOFR3mo_PX[[#This Row],[Column1434]]</f>
        <v>98.325000000000003</v>
      </c>
      <c r="BCE33">
        <f>SOFR3mo_PX[[#This Row],[Column1435]]</f>
        <v>98.325000000000003</v>
      </c>
      <c r="BCF33">
        <f>SOFR3mo_PX[[#This Row],[Column1436]]</f>
        <v>98.305000000000007</v>
      </c>
      <c r="BCG33">
        <f>SOFR3mo_PX[[#This Row],[Column1437]]</f>
        <v>98.344999999999999</v>
      </c>
      <c r="BCH33">
        <f>SOFR3mo_PX[[#This Row],[Column1438]]</f>
        <v>98.36</v>
      </c>
      <c r="BCI33">
        <f>SOFR3mo_PX[[#This Row],[Column1439]]</f>
        <v>98.34</v>
      </c>
      <c r="BCJ33">
        <f>SOFR3mo_PX[[#This Row],[Column1440]]</f>
        <v>98.37</v>
      </c>
      <c r="BCK33">
        <f>SOFR3mo_PX[[#This Row],[Column1441]]</f>
        <v>98.38</v>
      </c>
      <c r="BCL33">
        <f>SOFR3mo_PX[[#This Row],[Column1442]]</f>
        <v>98.454999999999998</v>
      </c>
      <c r="BCM33">
        <f>SOFR3mo_PX[[#This Row],[Column1443]]</f>
        <v>98.375</v>
      </c>
      <c r="BCN33">
        <f>SOFR3mo_PX[[#This Row],[Column1444]]</f>
        <v>98.46</v>
      </c>
      <c r="BCO33">
        <f>SOFR3mo_PX[[#This Row],[Column1445]]</f>
        <v>98.42</v>
      </c>
      <c r="BCP33">
        <f>SOFR3mo_PX[[#This Row],[Column1446]]</f>
        <v>98.435000000000002</v>
      </c>
      <c r="BCQ33">
        <f>SOFR3mo_PX[[#This Row],[Column1447]]</f>
        <v>98.444999999999993</v>
      </c>
      <c r="BCR33">
        <f>SOFR3mo_PX[[#This Row],[Column1448]]</f>
        <v>98.504999999999995</v>
      </c>
      <c r="BCS33">
        <f>SOFR3mo_PX[[#This Row],[Column1449]]</f>
        <v>98.52</v>
      </c>
      <c r="BCT33">
        <f>SOFR3mo_PX[[#This Row],[Column1450]]</f>
        <v>98.594999999999999</v>
      </c>
      <c r="BCU33">
        <f>SOFR3mo_PX[[#This Row],[Column1451]]</f>
        <v>98.474999999999994</v>
      </c>
      <c r="BCV33">
        <f>SOFR3mo_PX[[#This Row],[Column1452]]</f>
        <v>98.51</v>
      </c>
      <c r="BCW33">
        <f>SOFR3mo_PX[[#This Row],[Column1453]]</f>
        <v>98.5</v>
      </c>
      <c r="BCX33">
        <f>SOFR3mo_PX[[#This Row],[Column1454]]</f>
        <v>98.5</v>
      </c>
      <c r="BCY33">
        <f>SOFR3mo_PX[[#This Row],[Column1455]]</f>
        <v>98.54</v>
      </c>
      <c r="BCZ33">
        <f>SOFR3mo_PX[[#This Row],[Column1456]]</f>
        <v>98.53</v>
      </c>
      <c r="BDA33">
        <f>SOFR3mo_PX[[#This Row],[Column1457]]</f>
        <v>98.515000000000001</v>
      </c>
      <c r="BDB33">
        <f>SOFR3mo_PX[[#This Row],[Column1458]]</f>
        <v>98.534999999999997</v>
      </c>
      <c r="BDC33">
        <f>SOFR3mo_PX[[#This Row],[Column1459]]</f>
        <v>98.564999999999998</v>
      </c>
      <c r="BDD33">
        <f>SOFR3mo_PX[[#This Row],[Column1460]]</f>
        <v>98.53</v>
      </c>
      <c r="BDE33">
        <f>SOFR3mo_PX[[#This Row],[Column1461]]</f>
        <v>98.504999999999995</v>
      </c>
      <c r="BDF33">
        <f>SOFR3mo_PX[[#This Row],[Column1462]]</f>
        <v>98.48</v>
      </c>
      <c r="BDG33">
        <f>SOFR3mo_PX[[#This Row],[Column1463]]</f>
        <v>98.49</v>
      </c>
      <c r="BDH33">
        <f>SOFR3mo_PX[[#This Row],[Column1464]]</f>
        <v>98.44</v>
      </c>
      <c r="BDI33">
        <f>SOFR3mo_PX[[#This Row],[Column1465]]</f>
        <v>98.39</v>
      </c>
      <c r="BDJ33">
        <f>SOFR3mo_PX[[#This Row],[Column1466]]</f>
        <v>98.36</v>
      </c>
      <c r="BDK33">
        <f>SOFR3mo_PX[[#This Row],[Column1467]]</f>
        <v>98.37</v>
      </c>
      <c r="BDL33">
        <f>SOFR3mo_PX[[#This Row],[Column1468]]</f>
        <v>98.355000000000004</v>
      </c>
      <c r="BDM33">
        <f>SOFR3mo_PX[[#This Row],[Column1469]]</f>
        <v>98.465000000000003</v>
      </c>
      <c r="BDN33">
        <f>SOFR3mo_PX[[#This Row],[Column1470]]</f>
        <v>98.44</v>
      </c>
      <c r="BDO33">
        <f>SOFR3mo_PX[[#This Row],[Column1471]]</f>
        <v>98.5</v>
      </c>
      <c r="BDP33">
        <f>SOFR3mo_PX[[#This Row],[Column1472]]</f>
        <v>98.55</v>
      </c>
      <c r="BDQ33">
        <f>SOFR3mo_PX[[#This Row],[Column1473]]</f>
        <v>98.62</v>
      </c>
      <c r="BDR33">
        <f>SOFR3mo_PX[[#This Row],[Column1474]]</f>
        <v>98.495000000000005</v>
      </c>
      <c r="BDS33">
        <f>SOFR3mo_PX[[#This Row],[Column1475]]</f>
        <v>98.474999999999994</v>
      </c>
      <c r="BDT33">
        <f>SOFR3mo_PX[[#This Row],[Column1476]]</f>
        <v>98.48</v>
      </c>
      <c r="BDU33">
        <f>SOFR3mo_PX[[#This Row],[Column1477]]</f>
        <v>98.51</v>
      </c>
      <c r="BDV33">
        <f>SOFR3mo_PX[[#This Row],[Column1478]]</f>
        <v>98.555000000000007</v>
      </c>
      <c r="BDW33">
        <f>SOFR3mo_PX[[#This Row],[Column1479]]</f>
        <v>98.564999999999998</v>
      </c>
      <c r="BDX33">
        <f>SOFR3mo_PX[[#This Row],[Column1480]]</f>
        <v>98.545000000000002</v>
      </c>
      <c r="BDY33">
        <f>SOFR3mo_PX[[#This Row],[Column1481]]</f>
        <v>98.52</v>
      </c>
      <c r="BDZ33">
        <f>SOFR3mo_PX[[#This Row],[Column1482]]</f>
        <v>98.56</v>
      </c>
      <c r="BEA33">
        <f>SOFR3mo_PX[[#This Row],[Column1483]]</f>
        <v>98.534999999999997</v>
      </c>
      <c r="BEB33">
        <f>SOFR3mo_PX[[#This Row],[Column1484]]</f>
        <v>98.56</v>
      </c>
      <c r="BEC33">
        <f>SOFR3mo_PX[[#This Row],[Column1485]]</f>
        <v>98.52</v>
      </c>
      <c r="BED33">
        <f>SOFR3mo_PX[[#This Row],[Column1486]]</f>
        <v>98.575000000000003</v>
      </c>
      <c r="BEE33">
        <f>SOFR3mo_PX[[#This Row],[Column1487]]</f>
        <v>98.555000000000007</v>
      </c>
      <c r="BEF33">
        <f>SOFR3mo_PX[[#This Row],[Column1488]]</f>
        <v>98.685000000000002</v>
      </c>
      <c r="BEG33">
        <f>SOFR3mo_PX[[#This Row],[Column1489]]</f>
        <v>98.75</v>
      </c>
      <c r="BEH33">
        <f>SOFR3mo_PX[[#This Row],[Column1490]]</f>
        <v>98.805000000000007</v>
      </c>
      <c r="BEI33">
        <f>SOFR3mo_PX[[#This Row],[Column1491]]</f>
        <v>98.795000000000002</v>
      </c>
      <c r="BEJ33">
        <f>SOFR3mo_PX[[#This Row],[Column1492]]</f>
        <v>98.864999999999995</v>
      </c>
      <c r="BEK33">
        <f>SOFR3mo_PX[[#This Row],[Column1493]]</f>
        <v>98.875</v>
      </c>
      <c r="BEL33">
        <f>SOFR3mo_PX[[#This Row],[Column1494]]</f>
        <v>98.775000000000006</v>
      </c>
      <c r="BEM33">
        <f>SOFR3mo_PX[[#This Row],[Column1495]]</f>
        <v>98.7</v>
      </c>
      <c r="BEN33">
        <f>SOFR3mo_PX[[#This Row],[Column1496]]</f>
        <v>98.63</v>
      </c>
      <c r="BEO33">
        <f>SOFR3mo_PX[[#This Row],[Column1497]]</f>
        <v>98.64</v>
      </c>
      <c r="BEP33" t="str">
        <f>SOFR3mo_PX[[#This Row],[Column1498]]</f>
        <v>#N/A N/A</v>
      </c>
      <c r="BEQ33" t="str">
        <f>SOFR3mo_PX[[#This Row],[Column1499]]</f>
        <v>#N/A N/A</v>
      </c>
      <c r="BER33" t="str">
        <f>SOFR3mo_PX[[#This Row],[Column1500]]</f>
        <v>#N/A N/A</v>
      </c>
      <c r="BES33" t="str">
        <f>SOFR3mo_PX[[#This Row],[Column1501]]</f>
        <v>#N/A N/A</v>
      </c>
      <c r="BET33" t="str">
        <f>SOFR3mo_PX[[#This Row],[Column1502]]</f>
        <v>#N/A N/A</v>
      </c>
      <c r="BEU33" t="str">
        <f>SOFR3mo_PX[[#This Row],[Column1503]]</f>
        <v>#N/A N/A</v>
      </c>
      <c r="BEV33" t="str">
        <f>SOFR3mo_PX[[#This Row],[Column1504]]</f>
        <v>#N/A N/A</v>
      </c>
      <c r="BEW33" t="str">
        <f>SOFR3mo_PX[[#This Row],[Column1505]]</f>
        <v>#N/A N/A</v>
      </c>
      <c r="BEX33" t="str">
        <f>SOFR3mo_PX[[#This Row],[Column1506]]</f>
        <v>#N/A N/A</v>
      </c>
      <c r="BEY33" t="str">
        <f>SOFR3mo_PX[[#This Row],[Column1507]]</f>
        <v>#N/A N/A</v>
      </c>
      <c r="BEZ33" t="str">
        <f>SOFR3mo_PX[[#This Row],[Column1508]]</f>
        <v>#N/A N/A</v>
      </c>
      <c r="BFA33" t="str">
        <f>SOFR3mo_PX[[#This Row],[Column1509]]</f>
        <v>#N/A N/A</v>
      </c>
      <c r="BFB33" t="str">
        <f>SOFR3mo_PX[[#This Row],[Column1510]]</f>
        <v>#N/A N/A</v>
      </c>
      <c r="BFC33" t="str">
        <f>SOFR3mo_PX[[#This Row],[Column1511]]</f>
        <v>#N/A N/A</v>
      </c>
      <c r="BFD33" t="str">
        <f>SOFR3mo_PX[[#This Row],[Column1512]]</f>
        <v>#N/A N/A</v>
      </c>
      <c r="BFE33" t="str">
        <f>SOFR3mo_PX[[#This Row],[Column1513]]</f>
        <v>#N/A N/A</v>
      </c>
      <c r="BFF33" t="str">
        <f>SOFR3mo_PX[[#This Row],[Column1514]]</f>
        <v>#N/A N/A</v>
      </c>
      <c r="BFG33" t="str">
        <f>SOFR3mo_PX[[#This Row],[Column1515]]</f>
        <v>#N/A N/A</v>
      </c>
      <c r="BFH33" t="str">
        <f>SOFR3mo_PX[[#This Row],[Column1516]]</f>
        <v>#N/A N/A</v>
      </c>
      <c r="BFI33" t="str">
        <f>SOFR3mo_PX[[#This Row],[Column1517]]</f>
        <v>#N/A N/A</v>
      </c>
      <c r="BFJ33" t="str">
        <f>SOFR3mo_PX[[#This Row],[Column1518]]</f>
        <v>#N/A N/A</v>
      </c>
      <c r="BFK33" t="str">
        <f>SOFR3mo_PX[[#This Row],[Column1519]]</f>
        <v>#N/A N/A</v>
      </c>
      <c r="BFL33" t="str">
        <f>SOFR3mo_PX[[#This Row],[Column1520]]</f>
        <v>#N/A N/A</v>
      </c>
      <c r="BFM33" t="str">
        <f>SOFR3mo_PX[[#This Row],[Column1521]]</f>
        <v>#N/A N/A</v>
      </c>
      <c r="BFN33" t="str">
        <f>SOFR3mo_PX[[#This Row],[Column1522]]</f>
        <v>#N/A N/A</v>
      </c>
      <c r="BFO33" t="str">
        <f>SOFR3mo_PX[[#This Row],[Column1523]]</f>
        <v>#N/A N/A</v>
      </c>
      <c r="BFP33" t="str">
        <f>SOFR3mo_PX[[#This Row],[Column1524]]</f>
        <v>#N/A N/A</v>
      </c>
      <c r="BFQ33" t="str">
        <f>SOFR3mo_PX[[#This Row],[Column1525]]</f>
        <v>#N/A N/A</v>
      </c>
      <c r="BFR33" t="str">
        <f>SOFR3mo_PX[[#This Row],[Column1526]]</f>
        <v>#N/A N/A</v>
      </c>
      <c r="BFS33" t="str">
        <f>SOFR3mo_PX[[#This Row],[Column1527]]</f>
        <v>#N/A N/A</v>
      </c>
      <c r="BFT33" t="str">
        <f>SOFR3mo_PX[[#This Row],[Column1528]]</f>
        <v>#N/A N/A</v>
      </c>
      <c r="BFU33" t="str">
        <f>SOFR3mo_PX[[#This Row],[Column1529]]</f>
        <v>#N/A N/A</v>
      </c>
      <c r="BFV33" t="str">
        <f>SOFR3mo_PX[[#This Row],[Column1530]]</f>
        <v>#N/A N/A</v>
      </c>
      <c r="BFW33" t="str">
        <f>SOFR3mo_PX[[#This Row],[Column1531]]</f>
        <v>#N/A N/A</v>
      </c>
      <c r="BFX33" t="str">
        <f>SOFR3mo_PX[[#This Row],[Column1532]]</f>
        <v>#N/A N/A</v>
      </c>
      <c r="BFY33" t="str">
        <f>SOFR3mo_PX[[#This Row],[Column1533]]</f>
        <v>#N/A N/A</v>
      </c>
      <c r="BFZ33" t="str">
        <f>SOFR3mo_PX[[#This Row],[Column1534]]</f>
        <v>#N/A N/A</v>
      </c>
      <c r="BGA33" t="str">
        <f>SOFR3mo_PX[[#This Row],[Column1535]]</f>
        <v>#N/A N/A</v>
      </c>
      <c r="BGB33" t="str">
        <f>SOFR3mo_PX[[#This Row],[Column1536]]</f>
        <v>#N/A N/A</v>
      </c>
      <c r="BGC33" t="str">
        <f>SOFR3mo_PX[[#This Row],[Column1537]]</f>
        <v>#N/A N/A</v>
      </c>
      <c r="BGD33" t="str">
        <f>SOFR3mo_PX[[#This Row],[Column1538]]</f>
        <v>#N/A N/A</v>
      </c>
      <c r="BGE33" t="str">
        <f>SOFR3mo_PX[[#This Row],[Column1539]]</f>
        <v>#N/A N/A</v>
      </c>
      <c r="BGF33" t="str">
        <f>SOFR3mo_PX[[#This Row],[Column1540]]</f>
        <v>#N/A N/A</v>
      </c>
      <c r="BGG33" t="str">
        <f>SOFR3mo_PX[[#This Row],[Column1541]]</f>
        <v>#N/A N/A</v>
      </c>
      <c r="BGH33" t="str">
        <f>SOFR3mo_PX[[#This Row],[Column1542]]</f>
        <v>#N/A N/A</v>
      </c>
      <c r="BGI33" t="str">
        <f>SOFR3mo_PX[[#This Row],[Column1543]]</f>
        <v>#N/A N/A</v>
      </c>
      <c r="BGJ33" t="str">
        <f>SOFR3mo_PX[[#This Row],[Column1544]]</f>
        <v>#N/A N/A</v>
      </c>
      <c r="BGK33" t="str">
        <f>SOFR3mo_PX[[#This Row],[Column1545]]</f>
        <v>#N/A N/A</v>
      </c>
      <c r="BGL33" t="str">
        <f>SOFR3mo_PX[[#This Row],[Column1546]]</f>
        <v>#N/A N/A</v>
      </c>
      <c r="BGM33" t="str">
        <f>SOFR3mo_PX[[#This Row],[Column1547]]</f>
        <v>#N/A N/A</v>
      </c>
      <c r="BGN33" t="str">
        <f>SOFR3mo_PX[[#This Row],[Column1548]]</f>
        <v>#N/A N/A</v>
      </c>
      <c r="BGO33" t="str">
        <f>SOFR3mo_PX[[#This Row],[Column1549]]</f>
        <v>#N/A N/A</v>
      </c>
      <c r="BGP33" t="str">
        <f>SOFR3mo_PX[[#This Row],[Column1550]]</f>
        <v>#N/A N/A</v>
      </c>
      <c r="BGQ33" t="str">
        <f>SOFR3mo_PX[[#This Row],[Column1551]]</f>
        <v>#N/A N/A</v>
      </c>
      <c r="BGR33" t="str">
        <f>SOFR3mo_PX[[#This Row],[Column1552]]</f>
        <v>#N/A N/A</v>
      </c>
      <c r="BGS33" t="str">
        <f>SOFR3mo_PX[[#This Row],[Column1553]]</f>
        <v>#N/A N/A</v>
      </c>
      <c r="BGT33" t="str">
        <f>SOFR3mo_PX[[#This Row],[Column1554]]</f>
        <v>#N/A N/A</v>
      </c>
      <c r="BGU33" t="str">
        <f>SOFR3mo_PX[[#This Row],[Column1555]]</f>
        <v>#N/A N/A</v>
      </c>
      <c r="BGV33" t="str">
        <f>SOFR3mo_PX[[#This Row],[Column1556]]</f>
        <v>#N/A N/A</v>
      </c>
      <c r="BGW33" t="str">
        <f>SOFR3mo_PX[[#This Row],[Column1557]]</f>
        <v>#N/A N/A</v>
      </c>
      <c r="BGX33" t="str">
        <f>SOFR3mo_PX[[#This Row],[Column1558]]</f>
        <v>#N/A N/A</v>
      </c>
      <c r="BGY33" t="str">
        <f>SOFR3mo_PX[[#This Row],[Column1559]]</f>
        <v>#N/A N/A</v>
      </c>
      <c r="BGZ33" t="str">
        <f>SOFR3mo_PX[[#This Row],[Column1560]]</f>
        <v>#N/A N/A</v>
      </c>
      <c r="BHA33" t="str">
        <f>SOFR3mo_PX[[#This Row],[Column1561]]</f>
        <v>#N/A N/A</v>
      </c>
      <c r="BHB33" t="str">
        <f>SOFR3mo_PX[[#This Row],[Column1562]]</f>
        <v>#N/A N/A</v>
      </c>
      <c r="BHC33" t="str">
        <f>SOFR3mo_PX[[#This Row],[Column1563]]</f>
        <v>#N/A N/A</v>
      </c>
      <c r="BHD33" t="str">
        <f>SOFR3mo_PX[[#This Row],[Column1564]]</f>
        <v>#N/A N/A</v>
      </c>
      <c r="BHE33" t="str">
        <f>SOFR3mo_PX[[#This Row],[Column1565]]</f>
        <v>#N/A N/A</v>
      </c>
      <c r="BHF33" t="str">
        <f>SOFR3mo_PX[[#This Row],[Column1566]]</f>
        <v>#N/A N/A</v>
      </c>
      <c r="BHG33" t="str">
        <f>SOFR3mo_PX[[#This Row],[Column1567]]</f>
        <v>#N/A N/A</v>
      </c>
      <c r="BHH33" t="str">
        <f>SOFR3mo_PX[[#This Row],[Column1568]]</f>
        <v>#N/A N/A</v>
      </c>
      <c r="BHI33" t="str">
        <f>SOFR3mo_PX[[#This Row],[Column1569]]</f>
        <v>#N/A N/A</v>
      </c>
      <c r="BHJ33" t="str">
        <f>SOFR3mo_PX[[#This Row],[Column1570]]</f>
        <v>#N/A N/A</v>
      </c>
      <c r="BHK33" t="str">
        <f>SOFR3mo_PX[[#This Row],[Column1571]]</f>
        <v>#N/A N/A</v>
      </c>
      <c r="BHL33" t="str">
        <f>SOFR3mo_PX[[#This Row],[Column1572]]</f>
        <v>#N/A N/A</v>
      </c>
      <c r="BHM33" t="str">
        <f>SOFR3mo_PX[[#This Row],[Column1573]]</f>
        <v>#N/A N/A</v>
      </c>
      <c r="BHN33" t="str">
        <f>SOFR3mo_PX[[#This Row],[Column1574]]</f>
        <v>#N/A N/A</v>
      </c>
      <c r="BHO33" t="str">
        <f>SOFR3mo_PX[[#This Row],[Column1575]]</f>
        <v>#N/A N/A</v>
      </c>
      <c r="BHP33" t="str">
        <f>SOFR3mo_PX[[#This Row],[Column1576]]</f>
        <v>#N/A N/A</v>
      </c>
      <c r="BHQ33" t="str">
        <f>SOFR3mo_PX[[#This Row],[Column1577]]</f>
        <v>#N/A N/A</v>
      </c>
      <c r="BHR33" t="str">
        <f>SOFR3mo_PX[[#This Row],[Column1578]]</f>
        <v>#N/A N/A</v>
      </c>
      <c r="BHS33" t="str">
        <f>SOFR3mo_PX[[#This Row],[Column1579]]</f>
        <v>#N/A N/A</v>
      </c>
      <c r="BHT33" t="str">
        <f>SOFR3mo_PX[[#This Row],[Column1580]]</f>
        <v>#N/A N/A</v>
      </c>
      <c r="BHU33" t="str">
        <f>SOFR3mo_PX[[#This Row],[Column1581]]</f>
        <v>#N/A N/A</v>
      </c>
      <c r="BHV33" t="str">
        <f>SOFR3mo_PX[[#This Row],[Column1582]]</f>
        <v>#N/A N/A</v>
      </c>
      <c r="BHW33" t="str">
        <f>SOFR3mo_PX[[#This Row],[Column1583]]</f>
        <v>#N/A N/A</v>
      </c>
      <c r="BHX33" t="str">
        <f>SOFR3mo_PX[[#This Row],[Column1584]]</f>
        <v>#N/A N/A</v>
      </c>
      <c r="BHY33" t="str">
        <f>SOFR3mo_PX[[#This Row],[Column1585]]</f>
        <v>#N/A N/A</v>
      </c>
      <c r="BHZ33" t="str">
        <f>SOFR3mo_PX[[#This Row],[Column1586]]</f>
        <v>#N/A N/A</v>
      </c>
      <c r="BIA33" t="str">
        <f>SOFR3mo_PX[[#This Row],[Column1587]]</f>
        <v>#N/A N/A</v>
      </c>
      <c r="BIB33" t="str">
        <f>SOFR3mo_PX[[#This Row],[Column1588]]</f>
        <v>#N/A N/A</v>
      </c>
      <c r="BIC33" t="str">
        <f>SOFR3mo_PX[[#This Row],[Column1589]]</f>
        <v>#N/A N/A</v>
      </c>
      <c r="BID33" t="str">
        <f>SOFR3mo_PX[[#This Row],[Column1590]]</f>
        <v>#N/A N/A</v>
      </c>
      <c r="BIE33" t="str">
        <f>SOFR3mo_PX[[#This Row],[Column1591]]</f>
        <v>#N/A N/A</v>
      </c>
      <c r="BIF33" t="str">
        <f>SOFR3mo_PX[[#This Row],[Column1592]]</f>
        <v>#N/A N/A</v>
      </c>
      <c r="BIG33" t="str">
        <f>SOFR3mo_PX[[#This Row],[Column1593]]</f>
        <v>#N/A N/A</v>
      </c>
      <c r="BIH33" t="str">
        <f>SOFR3mo_PX[[#This Row],[Column1594]]</f>
        <v>#N/A N/A</v>
      </c>
      <c r="BII33" t="str">
        <f>SOFR3mo_PX[[#This Row],[Column1595]]</f>
        <v>#N/A N/A</v>
      </c>
      <c r="BIJ33" t="str">
        <f>SOFR3mo_PX[[#This Row],[Column1596]]</f>
        <v>#N/A N/A</v>
      </c>
      <c r="BIK33" t="str">
        <f>SOFR3mo_PX[[#This Row],[Column1597]]</f>
        <v>#N/A N/A</v>
      </c>
      <c r="BIL33" t="str">
        <f>SOFR3mo_PX[[#This Row],[Column1598]]</f>
        <v>#N/A N/A</v>
      </c>
      <c r="BIM33" t="str">
        <f>SOFR3mo_PX[[#This Row],[Column1599]]</f>
        <v>#N/A N/A</v>
      </c>
      <c r="BIN33" t="str">
        <f>SOFR3mo_PX[[#This Row],[Column1600]]</f>
        <v>#N/A N/A</v>
      </c>
      <c r="BIO33" t="str">
        <f>SOFR3mo_PX[[#This Row],[Column1601]]</f>
        <v>#N/A N/A</v>
      </c>
      <c r="BIP33" t="str">
        <f>SOFR3mo_PX[[#This Row],[Column1602]]</f>
        <v>#N/A N/A</v>
      </c>
      <c r="BIQ33" t="str">
        <f>SOFR3mo_PX[[#This Row],[Column1603]]</f>
        <v>#N/A N/A</v>
      </c>
      <c r="BIR33" t="str">
        <f>SOFR3mo_PX[[#This Row],[Column1604]]</f>
        <v>#N/A N/A</v>
      </c>
      <c r="BIS33" t="str">
        <f>SOFR3mo_PX[[#This Row],[Column1605]]</f>
        <v>#N/A N/A</v>
      </c>
      <c r="BIT33" t="str">
        <f>SOFR3mo_PX[[#This Row],[Column1606]]</f>
        <v>#N/A N/A</v>
      </c>
      <c r="BIU33" t="str">
        <f>SOFR3mo_PX[[#This Row],[Column1607]]</f>
        <v>#N/A N/A</v>
      </c>
      <c r="BIV33" t="str">
        <f>SOFR3mo_PX[[#This Row],[Column1608]]</f>
        <v>#N/A N/A</v>
      </c>
      <c r="BIW33" t="str">
        <f>SOFR3mo_PX[[#This Row],[Column1609]]</f>
        <v>#N/A N/A</v>
      </c>
      <c r="BIX33" t="str">
        <f>SOFR3mo_PX[[#This Row],[Column1610]]</f>
        <v>#N/A N/A</v>
      </c>
      <c r="BIY33" t="str">
        <f>SOFR3mo_PX[[#This Row],[Column1611]]</f>
        <v>#N/A N/A</v>
      </c>
      <c r="BIZ33" t="str">
        <f>SOFR3mo_PX[[#This Row],[Column1612]]</f>
        <v>#N/A N/A</v>
      </c>
      <c r="BJA33" t="str">
        <f>SOFR3mo_PX[[#This Row],[Column1613]]</f>
        <v>#N/A N/A</v>
      </c>
      <c r="BJB33" t="str">
        <f>SOFR3mo_PX[[#This Row],[Column1614]]</f>
        <v>#N/A N/A</v>
      </c>
      <c r="BJC33" t="str">
        <f>SOFR3mo_PX[[#This Row],[Column1615]]</f>
        <v>#N/A N/A</v>
      </c>
      <c r="BJD33" t="str">
        <f>SOFR3mo_PX[[#This Row],[Column1616]]</f>
        <v>#N/A N/A</v>
      </c>
      <c r="BJE33" t="str">
        <f>SOFR3mo_PX[[#This Row],[Column1617]]</f>
        <v>#N/A N/A</v>
      </c>
      <c r="BJF33" t="str">
        <f>SOFR3mo_PX[[#This Row],[Column1618]]</f>
        <v>#N/A N/A</v>
      </c>
      <c r="BJG33" t="str">
        <f>SOFR3mo_PX[[#This Row],[Column1619]]</f>
        <v>#N/A N/A</v>
      </c>
      <c r="BJH33" t="str">
        <f>SOFR3mo_PX[[#This Row],[Column1620]]</f>
        <v>#N/A N/A</v>
      </c>
      <c r="BJI33" t="str">
        <f>SOFR3mo_PX[[#This Row],[Column1621]]</f>
        <v>#N/A N/A</v>
      </c>
      <c r="BJJ33" t="str">
        <f>SOFR3mo_PX[[#This Row],[Column1622]]</f>
        <v>#N/A N/A</v>
      </c>
      <c r="BJK33" t="str">
        <f>SOFR3mo_PX[[#This Row],[Column1623]]</f>
        <v>#N/A N/A</v>
      </c>
      <c r="BJL33" t="str">
        <f>SOFR3mo_PX[[#This Row],[Column1624]]</f>
        <v>#N/A N/A</v>
      </c>
      <c r="BJM33" t="str">
        <f>SOFR3mo_PX[[#This Row],[Column1625]]</f>
        <v>#N/A N/A</v>
      </c>
      <c r="BJN33" t="str">
        <f>SOFR3mo_PX[[#This Row],[Column1626]]</f>
        <v>#N/A N/A</v>
      </c>
      <c r="BJO33" t="str">
        <f>SOFR3mo_PX[[#This Row],[Column1627]]</f>
        <v>#N/A N/A</v>
      </c>
      <c r="BJP33" t="str">
        <f>SOFR3mo_PX[[#This Row],[Column1628]]</f>
        <v>#N/A N/A</v>
      </c>
      <c r="BJQ33" t="str">
        <f>SOFR3mo_PX[[#This Row],[Column1629]]</f>
        <v>#N/A N/A</v>
      </c>
      <c r="BJR33" t="str">
        <f>SOFR3mo_PX[[#This Row],[Column1630]]</f>
        <v>#N/A N/A</v>
      </c>
      <c r="BJS33" t="str">
        <f>SOFR3mo_PX[[#This Row],[Column1631]]</f>
        <v>#N/A N/A</v>
      </c>
      <c r="BJT33" t="str">
        <f>SOFR3mo_PX[[#This Row],[Column1632]]</f>
        <v>#N/A N/A</v>
      </c>
      <c r="BJU33" t="str">
        <f>SOFR3mo_PX[[#This Row],[Column1633]]</f>
        <v>#N/A N/A</v>
      </c>
      <c r="BJV33" t="str">
        <f>SOFR3mo_PX[[#This Row],[Column1634]]</f>
        <v>#N/A N/A</v>
      </c>
      <c r="BJW33" t="str">
        <f>SOFR3mo_PX[[#This Row],[Column1635]]</f>
        <v>#N/A N/A</v>
      </c>
      <c r="BJX33" t="str">
        <f>SOFR3mo_PX[[#This Row],[Column1636]]</f>
        <v>#N/A N/A</v>
      </c>
      <c r="BJY33" t="str">
        <f>SOFR3mo_PX[[#This Row],[Column1637]]</f>
        <v>#N/A N/A</v>
      </c>
      <c r="BJZ33" t="str">
        <f>SOFR3mo_PX[[#This Row],[Column1638]]</f>
        <v>#N/A N/A</v>
      </c>
      <c r="BKA33" t="str">
        <f>SOFR3mo_PX[[#This Row],[Column1639]]</f>
        <v>#N/A N/A</v>
      </c>
      <c r="BKB33" t="str">
        <f>SOFR3mo_PX[[#This Row],[Column1640]]</f>
        <v>#N/A N/A</v>
      </c>
      <c r="BKC33" t="str">
        <f>SOFR3mo_PX[[#This Row],[Column1641]]</f>
        <v>#N/A N/A</v>
      </c>
      <c r="BKD33" t="str">
        <f>SOFR3mo_PX[[#This Row],[Column1642]]</f>
        <v>#N/A N/A</v>
      </c>
      <c r="BKE33" t="str">
        <f>SOFR3mo_PX[[#This Row],[Column1643]]</f>
        <v>#N/A N/A</v>
      </c>
      <c r="BKF33" t="str">
        <f>SOFR3mo_PX[[#This Row],[Column1644]]</f>
        <v>#N/A N/A</v>
      </c>
      <c r="BKG33" t="str">
        <f>SOFR3mo_PX[[#This Row],[Column1645]]</f>
        <v>#N/A N/A</v>
      </c>
      <c r="BKH33" t="str">
        <f>SOFR3mo_PX[[#This Row],[Column1646]]</f>
        <v>#N/A N/A</v>
      </c>
      <c r="BKI33" t="str">
        <f>SOFR3mo_PX[[#This Row],[Column1647]]</f>
        <v>#N/A N/A</v>
      </c>
      <c r="BKJ33" t="str">
        <f>SOFR3mo_PX[[#This Row],[Column1648]]</f>
        <v>#N/A N/A</v>
      </c>
      <c r="BKK33" t="str">
        <f>SOFR3mo_PX[[#This Row],[Column1649]]</f>
        <v>#N/A N/A</v>
      </c>
      <c r="BKL33" t="str">
        <f>SOFR3mo_PX[[#This Row],[Column1650]]</f>
        <v>#N/A N/A</v>
      </c>
      <c r="BKM33" t="str">
        <f>SOFR3mo_PX[[#This Row],[Column1651]]</f>
        <v>#N/A N/A</v>
      </c>
      <c r="BKN33" t="str">
        <f>SOFR3mo_PX[[#This Row],[Column1652]]</f>
        <v>#N/A N/A</v>
      </c>
      <c r="BKO33" t="str">
        <f>SOFR3mo_PX[[#This Row],[Column1653]]</f>
        <v>#N/A N/A</v>
      </c>
      <c r="BKP33" t="str">
        <f>SOFR3mo_PX[[#This Row],[Column1654]]</f>
        <v>#N/A N/A</v>
      </c>
      <c r="BKQ33" t="str">
        <f>SOFR3mo_PX[[#This Row],[Column1655]]</f>
        <v>#N/A N/A</v>
      </c>
      <c r="BKR33" t="str">
        <f>SOFR3mo_PX[[#This Row],[Column1656]]</f>
        <v>#N/A N/A</v>
      </c>
      <c r="BKS33" t="str">
        <f>SOFR3mo_PX[[#This Row],[Column1657]]</f>
        <v>#N/A N/A</v>
      </c>
      <c r="BKT33" t="str">
        <f>SOFR3mo_PX[[#This Row],[Column1658]]</f>
        <v>#N/A N/A</v>
      </c>
      <c r="BKU33" t="str">
        <f>SOFR3mo_PX[[#This Row],[Column1659]]</f>
        <v>#N/A N/A</v>
      </c>
      <c r="BKV33" t="str">
        <f>SOFR3mo_PX[[#This Row],[Column1660]]</f>
        <v>#N/A N/A</v>
      </c>
      <c r="BKW33" t="str">
        <f>SOFR3mo_PX[[#This Row],[Column1661]]</f>
        <v>#N/A N/A</v>
      </c>
      <c r="BKX33" t="str">
        <f>SOFR3mo_PX[[#This Row],[Column1662]]</f>
        <v>#N/A N/A</v>
      </c>
      <c r="BKY33" t="str">
        <f>SOFR3mo_PX[[#This Row],[Column1663]]</f>
        <v>#N/A N/A</v>
      </c>
      <c r="BKZ33" t="str">
        <f>SOFR3mo_PX[[#This Row],[Column1664]]</f>
        <v>#N/A N/A</v>
      </c>
      <c r="BLA33" t="str">
        <f>SOFR3mo_PX[[#This Row],[Column1665]]</f>
        <v>#N/A N/A</v>
      </c>
      <c r="BLB33" t="str">
        <f>SOFR3mo_PX[[#This Row],[Column1666]]</f>
        <v>#N/A N/A</v>
      </c>
      <c r="BLC33" t="str">
        <f>SOFR3mo_PX[[#This Row],[Column1667]]</f>
        <v>#N/A N/A</v>
      </c>
      <c r="BLD33" t="str">
        <f>SOFR3mo_PX[[#This Row],[Column1668]]</f>
        <v>#N/A N/A</v>
      </c>
      <c r="BLE33" t="str">
        <f>SOFR3mo_PX[[#This Row],[Column1669]]</f>
        <v>#N/A N/A</v>
      </c>
      <c r="BLF33" t="str">
        <f>SOFR3mo_PX[[#This Row],[Column1670]]</f>
        <v>#N/A N/A</v>
      </c>
      <c r="BLG33" t="str">
        <f>SOFR3mo_PX[[#This Row],[Column1671]]</f>
        <v>#N/A N/A</v>
      </c>
      <c r="BLH33" t="str">
        <f>SOFR3mo_PX[[#This Row],[Column1672]]</f>
        <v>#N/A N/A</v>
      </c>
      <c r="BLI33" t="str">
        <f>SOFR3mo_PX[[#This Row],[Column1673]]</f>
        <v>#N/A N/A</v>
      </c>
      <c r="BLJ33" t="str">
        <f>SOFR3mo_PX[[#This Row],[Column1674]]</f>
        <v>#N/A N/A</v>
      </c>
      <c r="BLK33" t="str">
        <f>SOFR3mo_PX[[#This Row],[Column1675]]</f>
        <v>#N/A N/A</v>
      </c>
      <c r="BLL33" t="str">
        <f>SOFR3mo_PX[[#This Row],[Column1676]]</f>
        <v>#N/A N/A</v>
      </c>
      <c r="BLM33" t="str">
        <f>SOFR3mo_PX[[#This Row],[Column1677]]</f>
        <v>#N/A N/A</v>
      </c>
      <c r="BLN33" t="str">
        <f>SOFR3mo_PX[[#This Row],[Column1678]]</f>
        <v>#N/A N/A</v>
      </c>
      <c r="BLO33" t="str">
        <f>SOFR3mo_PX[[#This Row],[Column1679]]</f>
        <v>#N/A N/A</v>
      </c>
      <c r="BLP33" t="str">
        <f>SOFR3mo_PX[[#This Row],[Column1680]]</f>
        <v>#N/A N/A</v>
      </c>
      <c r="BLQ33" t="str">
        <f>SOFR3mo_PX[[#This Row],[Column1681]]</f>
        <v>#N/A N/A</v>
      </c>
      <c r="BLR33" t="str">
        <f>SOFR3mo_PX[[#This Row],[Column1682]]</f>
        <v>#N/A N/A</v>
      </c>
      <c r="BLS33" t="str">
        <f>SOFR3mo_PX[[#This Row],[Column1683]]</f>
        <v>#N/A N/A</v>
      </c>
      <c r="BLT33" t="str">
        <f>SOFR3mo_PX[[#This Row],[Column1684]]</f>
        <v>#N/A N/A</v>
      </c>
      <c r="BLU33" t="str">
        <f>SOFR3mo_PX[[#This Row],[Column1685]]</f>
        <v>#N/A N/A</v>
      </c>
      <c r="BLV33" t="str">
        <f>SOFR3mo_PX[[#This Row],[Column1686]]</f>
        <v>#N/A N/A</v>
      </c>
      <c r="BLW33" t="str">
        <f>SOFR3mo_PX[[#This Row],[Column1687]]</f>
        <v>#N/A N/A</v>
      </c>
      <c r="BLX33" t="str">
        <f>SOFR3mo_PX[[#This Row],[Column1688]]</f>
        <v>#N/A N/A</v>
      </c>
      <c r="BLY33" t="str">
        <f>SOFR3mo_PX[[#This Row],[Column1689]]</f>
        <v>#N/A N/A</v>
      </c>
      <c r="BLZ33" t="str">
        <f>SOFR3mo_PX[[#This Row],[Column1690]]</f>
        <v>#N/A N/A</v>
      </c>
      <c r="BMA33" t="str">
        <f>SOFR3mo_PX[[#This Row],[Column1691]]</f>
        <v>#N/A N/A</v>
      </c>
      <c r="BMB33" t="str">
        <f>SOFR3mo_PX[[#This Row],[Column1692]]</f>
        <v>#N/A N/A</v>
      </c>
      <c r="BMC33" t="str">
        <f>SOFR3mo_PX[[#This Row],[Column1693]]</f>
        <v>#N/A N/A</v>
      </c>
      <c r="BMD33" t="str">
        <f>SOFR3mo_PX[[#This Row],[Column1694]]</f>
        <v>#N/A N/A</v>
      </c>
      <c r="BME33" t="str">
        <f>SOFR3mo_PX[[#This Row],[Column1695]]</f>
        <v>#N/A N/A</v>
      </c>
      <c r="BMF33" t="str">
        <f>SOFR3mo_PX[[#This Row],[Column1696]]</f>
        <v>#N/A N/A</v>
      </c>
      <c r="BMG33" t="str">
        <f>SOFR3mo_PX[[#This Row],[Column1697]]</f>
        <v>#N/A N/A</v>
      </c>
      <c r="BMH33" t="str">
        <f>SOFR3mo_PX[[#This Row],[Column1698]]</f>
        <v>#N/A N/A</v>
      </c>
      <c r="BMI33" t="str">
        <f>SOFR3mo_PX[[#This Row],[Column1699]]</f>
        <v>#N/A N/A</v>
      </c>
      <c r="BMJ33" t="str">
        <f>SOFR3mo_PX[[#This Row],[Column1700]]</f>
        <v>#N/A N/A</v>
      </c>
      <c r="BMK33" t="str">
        <f>SOFR3mo_PX[[#This Row],[Column1701]]</f>
        <v>#N/A N/A</v>
      </c>
      <c r="BML33" t="str">
        <f>SOFR3mo_PX[[#This Row],[Column1702]]</f>
        <v>#N/A N/A</v>
      </c>
      <c r="BMM33" t="str">
        <f>SOFR3mo_PX[[#This Row],[Column1703]]</f>
        <v>#N/A N/A</v>
      </c>
      <c r="BMN33" t="str">
        <f>SOFR3mo_PX[[#This Row],[Column1704]]</f>
        <v>#N/A N/A</v>
      </c>
      <c r="BMO33" t="str">
        <f>SOFR3mo_PX[[#This Row],[Column1705]]</f>
        <v>#N/A N/A</v>
      </c>
      <c r="BMP33" t="str">
        <f>SOFR3mo_PX[[#This Row],[Column1706]]</f>
        <v>#N/A N/A</v>
      </c>
      <c r="BMQ33" t="str">
        <f>SOFR3mo_PX[[#This Row],[Column1707]]</f>
        <v>#N/A N/A</v>
      </c>
      <c r="BMR33" t="str">
        <f>SOFR3mo_PX[[#This Row],[Column1708]]</f>
        <v>#N/A N/A</v>
      </c>
      <c r="BMS33" t="str">
        <f>SOFR3mo_PX[[#This Row],[Column1709]]</f>
        <v>#N/A N/A</v>
      </c>
      <c r="BMT33" t="str">
        <f>SOFR3mo_PX[[#This Row],[Column1710]]</f>
        <v>#N/A N/A</v>
      </c>
      <c r="BMU33" t="str">
        <f>SOFR3mo_PX[[#This Row],[Column1711]]</f>
        <v>#N/A N/A</v>
      </c>
      <c r="BMV33" t="str">
        <f>SOFR3mo_PX[[#This Row],[Column1712]]</f>
        <v>#N/A N/A</v>
      </c>
      <c r="BMW33" t="str">
        <f>SOFR3mo_PX[[#This Row],[Column1713]]</f>
        <v>#N/A N/A</v>
      </c>
      <c r="BMX33" t="str">
        <f>SOFR3mo_PX[[#This Row],[Column1714]]</f>
        <v>#N/A N/A</v>
      </c>
      <c r="BMY33" t="str">
        <f>SOFR3mo_PX[[#This Row],[Column1715]]</f>
        <v>#N/A N/A</v>
      </c>
      <c r="BMZ33" t="str">
        <f>SOFR3mo_PX[[#This Row],[Column1716]]</f>
        <v>#N/A N/A</v>
      </c>
      <c r="BNA33" t="str">
        <f>SOFR3mo_PX[[#This Row],[Column1717]]</f>
        <v>#N/A N/A</v>
      </c>
      <c r="BNB33" t="str">
        <f>SOFR3mo_PX[[#This Row],[Column1718]]</f>
        <v>#N/A N/A</v>
      </c>
      <c r="BNC33" t="str">
        <f>SOFR3mo_PX[[#This Row],[Column1719]]</f>
        <v>#N/A N/A</v>
      </c>
      <c r="BND33" t="str">
        <f>SOFR3mo_PX[[#This Row],[Column1720]]</f>
        <v>#N/A N/A</v>
      </c>
      <c r="BNE33" t="str">
        <f>SOFR3mo_PX[[#This Row],[Column1721]]</f>
        <v>#N/A N/A</v>
      </c>
      <c r="BNF33" t="str">
        <f>SOFR3mo_PX[[#This Row],[Column1722]]</f>
        <v>#N/A N/A</v>
      </c>
      <c r="BNG33" t="str">
        <f>SOFR3mo_PX[[#This Row],[Column1723]]</f>
        <v>#N/A N/A</v>
      </c>
      <c r="BNH33" t="str">
        <f>SOFR3mo_PX[[#This Row],[Column1724]]</f>
        <v>#N/A N/A</v>
      </c>
      <c r="BNI33" t="str">
        <f>SOFR3mo_PX[[#This Row],[Column1725]]</f>
        <v>#N/A N/A</v>
      </c>
      <c r="BNJ33" t="str">
        <f>SOFR3mo_PX[[#This Row],[Column1726]]</f>
        <v>#N/A N/A</v>
      </c>
      <c r="BNK33" t="str">
        <f>SOFR3mo_PX[[#This Row],[Column1727]]</f>
        <v>#N/A N/A</v>
      </c>
      <c r="BNL33" t="str">
        <f>SOFR3mo_PX[[#This Row],[Column1728]]</f>
        <v>#N/A N/A</v>
      </c>
      <c r="BNM33" t="str">
        <f>SOFR3mo_PX[[#This Row],[Column1729]]</f>
        <v>#N/A N/A</v>
      </c>
      <c r="BNN33" t="str">
        <f>SOFR3mo_PX[[#This Row],[Column1730]]</f>
        <v>#N/A N/A</v>
      </c>
      <c r="BNO33" t="str">
        <f>SOFR3mo_PX[[#This Row],[Column1731]]</f>
        <v>#N/A N/A</v>
      </c>
      <c r="BNP33" t="str">
        <f>SOFR3mo_PX[[#This Row],[Column1732]]</f>
        <v>#N/A N/A</v>
      </c>
      <c r="BNQ33" t="str">
        <f>SOFR3mo_PX[[#This Row],[Column1733]]</f>
        <v>#N/A N/A</v>
      </c>
      <c r="BNR33" t="str">
        <f>SOFR3mo_PX[[#This Row],[Column1734]]</f>
        <v>#N/A N/A</v>
      </c>
      <c r="BNS33" t="str">
        <f>SOFR3mo_PX[[#This Row],[Column1735]]</f>
        <v>#N/A N/A</v>
      </c>
      <c r="BNT33" t="str">
        <f>SOFR3mo_PX[[#This Row],[Column1736]]</f>
        <v>#N/A N/A</v>
      </c>
      <c r="BNU33" t="str">
        <f>SOFR3mo_PX[[#This Row],[Column1737]]</f>
        <v>#N/A N/A</v>
      </c>
      <c r="BNV33" t="str">
        <f>SOFR3mo_PX[[#This Row],[Column1738]]</f>
        <v>#N/A N/A</v>
      </c>
      <c r="BNW33" t="str">
        <f>SOFR3mo_PX[[#This Row],[Column1739]]</f>
        <v>#N/A N/A</v>
      </c>
      <c r="BNX33" t="str">
        <f>SOFR3mo_PX[[#This Row],[Column1740]]</f>
        <v>#N/A N/A</v>
      </c>
      <c r="BNY33" t="str">
        <f>SOFR3mo_PX[[#This Row],[Column1741]]</f>
        <v>#N/A N/A</v>
      </c>
      <c r="BNZ33" t="str">
        <f>SOFR3mo_PX[[#This Row],[Column1742]]</f>
        <v>#N/A N/A</v>
      </c>
      <c r="BOA33" t="str">
        <f>SOFR3mo_PX[[#This Row],[Column1743]]</f>
        <v>#N/A N/A</v>
      </c>
      <c r="BOB33" t="str">
        <f>SOFR3mo_PX[[#This Row],[Column1744]]</f>
        <v>#N/A N/A</v>
      </c>
      <c r="BOC33" t="str">
        <f>SOFR3mo_PX[[#This Row],[Column1745]]</f>
        <v>#N/A N/A</v>
      </c>
      <c r="BOD33" t="str">
        <f>SOFR3mo_PX[[#This Row],[Column1746]]</f>
        <v>#N/A N/A</v>
      </c>
      <c r="BOE33" t="str">
        <f>SOFR3mo_PX[[#This Row],[Column1747]]</f>
        <v>#N/A N/A</v>
      </c>
      <c r="BOF33" t="str">
        <f>SOFR3mo_PX[[#This Row],[Column1748]]</f>
        <v>#N/A N/A</v>
      </c>
      <c r="BOG33" t="str">
        <f>SOFR3mo_PX[[#This Row],[Column1749]]</f>
        <v>#N/A N/A</v>
      </c>
      <c r="BOH33" t="str">
        <f>SOFR3mo_PX[[#This Row],[Column1750]]</f>
        <v>#N/A N/A</v>
      </c>
      <c r="BOI33" t="str">
        <f>SOFR3mo_PX[[#This Row],[Column1751]]</f>
        <v>#N/A N/A</v>
      </c>
      <c r="BOJ33" t="str">
        <f>SOFR3mo_PX[[#This Row],[Column1752]]</f>
        <v>#N/A N/A</v>
      </c>
      <c r="BOK33" t="str">
        <f>SOFR3mo_PX[[#This Row],[Column1753]]</f>
        <v>#N/A N/A</v>
      </c>
      <c r="BOL33" t="str">
        <f>SOFR3mo_PX[[#This Row],[Column1754]]</f>
        <v>#N/A N/A</v>
      </c>
      <c r="BOM33" t="str">
        <f>SOFR3mo_PX[[#This Row],[Column1755]]</f>
        <v>#N/A N/A</v>
      </c>
      <c r="BON33" t="str">
        <f>SOFR3mo_PX[[#This Row],[Column1756]]</f>
        <v>#N/A N/A</v>
      </c>
      <c r="BOO33" t="str">
        <f>SOFR3mo_PX[[#This Row],[Column1757]]</f>
        <v>#N/A N/A</v>
      </c>
      <c r="BOP33" t="str">
        <f>SOFR3mo_PX[[#This Row],[Column1758]]</f>
        <v>#N/A N/A</v>
      </c>
      <c r="BOQ33" t="str">
        <f>SOFR3mo_PX[[#This Row],[Column1759]]</f>
        <v>#N/A N/A</v>
      </c>
      <c r="BOR33" t="str">
        <f>SOFR3mo_PX[[#This Row],[Column1760]]</f>
        <v>#N/A N/A</v>
      </c>
      <c r="BOS33" t="str">
        <f>SOFR3mo_PX[[#This Row],[Column1761]]</f>
        <v>#N/A N/A</v>
      </c>
      <c r="BOT33" t="str">
        <f>SOFR3mo_PX[[#This Row],[Column1762]]</f>
        <v>#N/A N/A</v>
      </c>
      <c r="BOU33" t="str">
        <f>SOFR3mo_PX[[#This Row],[Column1763]]</f>
        <v>#N/A N/A</v>
      </c>
      <c r="BOV33" t="str">
        <f>SOFR3mo_PX[[#This Row],[Column1764]]</f>
        <v>#N/A N/A</v>
      </c>
      <c r="BOW33" t="str">
        <f>SOFR3mo_PX[[#This Row],[Column1765]]</f>
        <v>#N/A N/A</v>
      </c>
      <c r="BOX33" t="str">
        <f>SOFR3mo_PX[[#This Row],[Column1766]]</f>
        <v>#N/A N/A</v>
      </c>
      <c r="BOY33" t="str">
        <f>SOFR3mo_PX[[#This Row],[Column1767]]</f>
        <v>#N/A N/A</v>
      </c>
      <c r="BOZ33" t="str">
        <f>SOFR3mo_PX[[#This Row],[Column1768]]</f>
        <v>#N/A N/A</v>
      </c>
      <c r="BPA33" t="str">
        <f>SOFR3mo_PX[[#This Row],[Column1769]]</f>
        <v>#N/A N/A</v>
      </c>
      <c r="BPB33" t="str">
        <f>SOFR3mo_PX[[#This Row],[Column1770]]</f>
        <v>#N/A N/A</v>
      </c>
      <c r="BPC33" t="str">
        <f>SOFR3mo_PX[[#This Row],[Column1771]]</f>
        <v>#N/A N/A</v>
      </c>
      <c r="BPD33" t="str">
        <f>SOFR3mo_PX[[#This Row],[Column1772]]</f>
        <v>#N/A N/A</v>
      </c>
      <c r="BPE33" t="str">
        <f>SOFR3mo_PX[[#This Row],[Column1773]]</f>
        <v>#N/A N/A</v>
      </c>
      <c r="BPF33" t="str">
        <f>SOFR3mo_PX[[#This Row],[Column1774]]</f>
        <v>#N/A N/A</v>
      </c>
      <c r="BPG33" t="str">
        <f>SOFR3mo_PX[[#This Row],[Column1775]]</f>
        <v>#N/A N/A</v>
      </c>
      <c r="BPH33" t="str">
        <f>SOFR3mo_PX[[#This Row],[Column1776]]</f>
        <v>#N/A N/A</v>
      </c>
      <c r="BPI33" t="str">
        <f>SOFR3mo_PX[[#This Row],[Column1777]]</f>
        <v>#N/A N/A</v>
      </c>
      <c r="BPJ33" t="str">
        <f>SOFR3mo_PX[[#This Row],[Column1778]]</f>
        <v>#N/A N/A</v>
      </c>
      <c r="BPK33" t="str">
        <f>SOFR3mo_PX[[#This Row],[Column1779]]</f>
        <v>#N/A N/A</v>
      </c>
      <c r="BPL33" t="str">
        <f>SOFR3mo_PX[[#This Row],[Column1780]]</f>
        <v>#N/A N/A</v>
      </c>
      <c r="BPM33" t="str">
        <f>SOFR3mo_PX[[#This Row],[Column1781]]</f>
        <v>#N/A N/A</v>
      </c>
      <c r="BPN33" t="str">
        <f>SOFR3mo_PX[[#This Row],[Column1782]]</f>
        <v>#N/A N/A</v>
      </c>
      <c r="BPO33" t="str">
        <f>SOFR3mo_PX[[#This Row],[Column1783]]</f>
        <v>#N/A N/A</v>
      </c>
      <c r="BPP33" t="str">
        <f>SOFR3mo_PX[[#This Row],[Column1784]]</f>
        <v>#N/A N/A</v>
      </c>
      <c r="BPQ33" t="str">
        <f>SOFR3mo_PX[[#This Row],[Column1785]]</f>
        <v>#N/A N/A</v>
      </c>
      <c r="BPR33" t="str">
        <f>SOFR3mo_PX[[#This Row],[Column1786]]</f>
        <v>#N/A N/A</v>
      </c>
      <c r="BPS33" t="str">
        <f>SOFR3mo_PX[[#This Row],[Column1787]]</f>
        <v>#N/A N/A</v>
      </c>
      <c r="BPT33" t="str">
        <f>SOFR3mo_PX[[#This Row],[Column1788]]</f>
        <v>#N/A N/A</v>
      </c>
      <c r="BPU33" t="str">
        <f>SOFR3mo_PX[[#This Row],[Column1789]]</f>
        <v>#N/A N/A</v>
      </c>
      <c r="BPV33" t="str">
        <f>SOFR3mo_PX[[#This Row],[Column1790]]</f>
        <v>#N/A N/A</v>
      </c>
      <c r="BPW33" t="str">
        <f>SOFR3mo_PX[[#This Row],[Column1791]]</f>
        <v>#N/A N/A</v>
      </c>
      <c r="BPX33" t="str">
        <f>SOFR3mo_PX[[#This Row],[Column1792]]</f>
        <v>#N/A N/A</v>
      </c>
      <c r="BPY33" t="str">
        <f>SOFR3mo_PX[[#This Row],[Column1793]]</f>
        <v>#N/A N/A</v>
      </c>
      <c r="BPZ33" t="str">
        <f>SOFR3mo_PX[[#This Row],[Column1794]]</f>
        <v>#N/A N/A</v>
      </c>
      <c r="BQA33" t="str">
        <f>SOFR3mo_PX[[#This Row],[Column1795]]</f>
        <v>#N/A N/A</v>
      </c>
      <c r="BQB33" t="str">
        <f>SOFR3mo_PX[[#This Row],[Column1796]]</f>
        <v>#N/A N/A</v>
      </c>
      <c r="BQC33" t="str">
        <f>SOFR3mo_PX[[#This Row],[Column1797]]</f>
        <v>#N/A N/A</v>
      </c>
      <c r="BQD33" t="str">
        <f>SOFR3mo_PX[[#This Row],[Column1798]]</f>
        <v>#N/A N/A</v>
      </c>
      <c r="BQE33" t="str">
        <f>SOFR3mo_PX[[#This Row],[Column1799]]</f>
        <v>#N/A N/A</v>
      </c>
      <c r="BQF33" t="str">
        <f>SOFR3mo_PX[[#This Row],[Column1800]]</f>
        <v>#N/A N/A</v>
      </c>
      <c r="BQG33" t="str">
        <f>SOFR3mo_PX[[#This Row],[Column1801]]</f>
        <v>#N/A N/A</v>
      </c>
      <c r="BQH33" t="str">
        <f>SOFR3mo_PX[[#This Row],[Column1802]]</f>
        <v>#N/A N/A</v>
      </c>
      <c r="BQI33" t="str">
        <f>SOFR3mo_PX[[#This Row],[Column1803]]</f>
        <v>#N/A N/A</v>
      </c>
      <c r="BQJ33" t="str">
        <f>SOFR3mo_PX[[#This Row],[Column1804]]</f>
        <v>#N/A N/A</v>
      </c>
      <c r="BQK33" t="str">
        <f>SOFR3mo_PX[[#This Row],[Column1805]]</f>
        <v>#N/A N/A</v>
      </c>
      <c r="BQL33" t="str">
        <f>SOFR3mo_PX[[#This Row],[Column1806]]</f>
        <v>#N/A N/A</v>
      </c>
      <c r="BQM33" t="str">
        <f>SOFR3mo_PX[[#This Row],[Column1807]]</f>
        <v>#N/A N/A</v>
      </c>
      <c r="BQN33" t="str">
        <f>SOFR3mo_PX[[#This Row],[Column1808]]</f>
        <v>#N/A N/A</v>
      </c>
      <c r="BQO33" t="str">
        <f>SOFR3mo_PX[[#This Row],[Column1809]]</f>
        <v>#N/A N/A</v>
      </c>
      <c r="BQP33" t="str">
        <f>SOFR3mo_PX[[#This Row],[Column1810]]</f>
        <v>#N/A N/A</v>
      </c>
      <c r="BQQ33" t="str">
        <f>SOFR3mo_PX[[#This Row],[Column1811]]</f>
        <v>#N/A N/A</v>
      </c>
      <c r="BQR33" t="str">
        <f>SOFR3mo_PX[[#This Row],[Column1812]]</f>
        <v>#N/A N/A</v>
      </c>
      <c r="BQS33" t="str">
        <f>SOFR3mo_PX[[#This Row],[Column1813]]</f>
        <v>#N/A N/A</v>
      </c>
      <c r="BQT33" t="str">
        <f>SOFR3mo_PX[[#This Row],[Column1814]]</f>
        <v>#N/A N/A</v>
      </c>
      <c r="BQU33" t="str">
        <f>SOFR3mo_PX[[#This Row],[Column1815]]</f>
        <v>#N/A N/A</v>
      </c>
      <c r="BQV33" t="str">
        <f>SOFR3mo_PX[[#This Row],[Column1816]]</f>
        <v>#N/A N/A</v>
      </c>
      <c r="BQW33" t="str">
        <f>SOFR3mo_PX[[#This Row],[Column1817]]</f>
        <v>#N/A N/A</v>
      </c>
      <c r="BQX33" t="str">
        <f>SOFR3mo_PX[[#This Row],[Column1818]]</f>
        <v>#N/A N/A</v>
      </c>
      <c r="BQY33" t="str">
        <f>SOFR3mo_PX[[#This Row],[Column1819]]</f>
        <v>#N/A N/A</v>
      </c>
      <c r="BQZ33" t="str">
        <f>SOFR3mo_PX[[#This Row],[Column1820]]</f>
        <v>#N/A N/A</v>
      </c>
      <c r="BRA33" t="str">
        <f>SOFR3mo_PX[[#This Row],[Column1821]]</f>
        <v>#N/A N/A</v>
      </c>
      <c r="BRB33" t="str">
        <f>SOFR3mo_PX[[#This Row],[Column1822]]</f>
        <v>#N/A N/A</v>
      </c>
      <c r="BRC33" t="str">
        <f>SOFR3mo_PX[[#This Row],[Column1823]]</f>
        <v>#N/A N/A</v>
      </c>
      <c r="BRD33" t="str">
        <f>SOFR3mo_PX[[#This Row],[Column1824]]</f>
        <v>#N/A N/A</v>
      </c>
      <c r="BRE33" t="str">
        <f>SOFR3mo_PX[[#This Row],[Column1825]]</f>
        <v>#N/A N/A</v>
      </c>
      <c r="BRF33" t="str">
        <f>SOFR3mo_PX[[#This Row],[Column1826]]</f>
        <v>#N/A N/A</v>
      </c>
      <c r="BRG33" t="str">
        <f>SOFR3mo_PX[[#This Row],[Column1827]]</f>
        <v>#N/A N/A</v>
      </c>
      <c r="BRH33" t="str">
        <f>SOFR3mo_PX[[#This Row],[Column1828]]</f>
        <v>#N/A N/A</v>
      </c>
      <c r="BRI33" t="str">
        <f>SOFR3mo_PX[[#This Row],[Column1829]]</f>
        <v>#N/A N/A</v>
      </c>
      <c r="BRJ33" t="str">
        <f>SOFR3mo_PX[[#This Row],[Column1830]]</f>
        <v>#N/A N/A</v>
      </c>
      <c r="BRK33" t="str">
        <f>SOFR3mo_PX[[#This Row],[Column1831]]</f>
        <v>#N/A N/A</v>
      </c>
      <c r="BRL33" t="str">
        <f>SOFR3mo_PX[[#This Row],[Column1832]]</f>
        <v>#N/A N/A</v>
      </c>
      <c r="BRM33" t="str">
        <f>SOFR3mo_PX[[#This Row],[Column1833]]</f>
        <v>#N/A N/A</v>
      </c>
      <c r="BRN33" t="str">
        <f>SOFR3mo_PX[[#This Row],[Column1834]]</f>
        <v>#N/A N/A</v>
      </c>
      <c r="BRO33" t="str">
        <f>SOFR3mo_PX[[#This Row],[Column1835]]</f>
        <v>#N/A N/A</v>
      </c>
      <c r="BRP33" t="str">
        <f>SOFR3mo_PX[[#This Row],[Column1836]]</f>
        <v>#N/A N/A</v>
      </c>
      <c r="BRQ33" t="str">
        <f>SOFR3mo_PX[[#This Row],[Column1837]]</f>
        <v>#N/A N/A</v>
      </c>
      <c r="BRR33" t="str">
        <f>SOFR3mo_PX[[#This Row],[Column1838]]</f>
        <v>#N/A N/A</v>
      </c>
      <c r="BRS33" t="str">
        <f>SOFR3mo_PX[[#This Row],[Column1839]]</f>
        <v>#N/A N/A</v>
      </c>
      <c r="BRT33" t="str">
        <f>SOFR3mo_PX[[#This Row],[Column1840]]</f>
        <v>#N/A N/A</v>
      </c>
      <c r="BRU33" t="str">
        <f>SOFR3mo_PX[[#This Row],[Column1841]]</f>
        <v>#N/A N/A</v>
      </c>
      <c r="BRV33" t="str">
        <f>SOFR3mo_PX[[#This Row],[Column1842]]</f>
        <v>#N/A N/A</v>
      </c>
      <c r="BRW33" t="str">
        <f>SOFR3mo_PX[[#This Row],[Column1843]]</f>
        <v>#N/A N/A</v>
      </c>
      <c r="BRX33" t="str">
        <f>SOFR3mo_PX[[#This Row],[Column1844]]</f>
        <v>#N/A N/A</v>
      </c>
      <c r="BRY33" t="str">
        <f>SOFR3mo_PX[[#This Row],[Column1845]]</f>
        <v>#N/A N/A</v>
      </c>
      <c r="BRZ33" t="str">
        <f>SOFR3mo_PX[[#This Row],[Column1846]]</f>
        <v>#N/A N/A</v>
      </c>
      <c r="BSA33" t="str">
        <f>SOFR3mo_PX[[#This Row],[Column1847]]</f>
        <v>#N/A N/A</v>
      </c>
      <c r="BSB33" t="str">
        <f>SOFR3mo_PX[[#This Row],[Column1848]]</f>
        <v>#N/A N/A</v>
      </c>
      <c r="BSC33" t="str">
        <f>SOFR3mo_PX[[#This Row],[Column1849]]</f>
        <v>#N/A N/A</v>
      </c>
      <c r="BSD33" t="str">
        <f>SOFR3mo_PX[[#This Row],[Column1850]]</f>
        <v>#N/A N/A</v>
      </c>
      <c r="BSE33" t="str">
        <f>SOFR3mo_PX[[#This Row],[Column1851]]</f>
        <v>#N/A N/A</v>
      </c>
      <c r="BSF33" t="str">
        <f>SOFR3mo_PX[[#This Row],[Column1852]]</f>
        <v>#N/A N/A</v>
      </c>
      <c r="BSG33" t="str">
        <f>SOFR3mo_PX[[#This Row],[Column1853]]</f>
        <v>#N/A N/A</v>
      </c>
      <c r="BSH33" t="str">
        <f>SOFR3mo_PX[[#This Row],[Column1854]]</f>
        <v>#N/A N/A</v>
      </c>
      <c r="BSI33" t="str">
        <f>SOFR3mo_PX[[#This Row],[Column1855]]</f>
        <v>#N/A N/A</v>
      </c>
      <c r="BSJ33" t="str">
        <f>SOFR3mo_PX[[#This Row],[Column1856]]</f>
        <v>#N/A N/A</v>
      </c>
      <c r="BSK33" t="str">
        <f>SOFR3mo_PX[[#This Row],[Column1857]]</f>
        <v>#N/A N/A</v>
      </c>
      <c r="BSL33" t="str">
        <f>SOFR3mo_PX[[#This Row],[Column1858]]</f>
        <v>#N/A N/A</v>
      </c>
      <c r="BSM33" t="str">
        <f>SOFR3mo_PX[[#This Row],[Column1859]]</f>
        <v>#N/A N/A</v>
      </c>
      <c r="BSN33" t="str">
        <f>SOFR3mo_PX[[#This Row],[Column1860]]</f>
        <v>#N/A N/A</v>
      </c>
      <c r="BSO33" t="str">
        <f>SOFR3mo_PX[[#This Row],[Column1861]]</f>
        <v>#N/A N/A</v>
      </c>
      <c r="BSP33" t="str">
        <f>SOFR3mo_PX[[#This Row],[Column1862]]</f>
        <v>#N/A N/A</v>
      </c>
      <c r="BSQ33" t="str">
        <f>SOFR3mo_PX[[#This Row],[Column1863]]</f>
        <v>#N/A N/A</v>
      </c>
      <c r="BSR33" t="str">
        <f>SOFR3mo_PX[[#This Row],[Column1864]]</f>
        <v>#N/A N/A</v>
      </c>
      <c r="BSS33" t="str">
        <f>SOFR3mo_PX[[#This Row],[Column1865]]</f>
        <v>#N/A N/A</v>
      </c>
      <c r="BST33" t="str">
        <f>SOFR3mo_PX[[#This Row],[Column1866]]</f>
        <v>#N/A N/A</v>
      </c>
      <c r="BSU33" t="str">
        <f>SOFR3mo_PX[[#This Row],[Column1867]]</f>
        <v>#N/A N/A</v>
      </c>
      <c r="BSV33" t="str">
        <f>SOFR3mo_PX[[#This Row],[Column1868]]</f>
        <v>#N/A N/A</v>
      </c>
      <c r="BSW33" t="str">
        <f>SOFR3mo_PX[[#This Row],[Column1869]]</f>
        <v>#N/A N/A</v>
      </c>
      <c r="BSX33" t="str">
        <f>SOFR3mo_PX[[#This Row],[Column1870]]</f>
        <v>#N/A N/A</v>
      </c>
      <c r="BSY33" t="str">
        <f>SOFR3mo_PX[[#This Row],[Column1871]]</f>
        <v>#N/A N/A</v>
      </c>
      <c r="BSZ33" t="str">
        <f>SOFR3mo_PX[[#This Row],[Column1872]]</f>
        <v>#N/A N/A</v>
      </c>
      <c r="BTA33" t="str">
        <f>SOFR3mo_PX[[#This Row],[Column1873]]</f>
        <v>#N/A N/A</v>
      </c>
      <c r="BTB33" t="str">
        <f>SOFR3mo_PX[[#This Row],[Column1874]]</f>
        <v>#N/A N/A</v>
      </c>
      <c r="BTC33" t="str">
        <f>SOFR3mo_PX[[#This Row],[Column1875]]</f>
        <v>#N/A N/A</v>
      </c>
      <c r="BTD33" t="str">
        <f>SOFR3mo_PX[[#This Row],[Column1876]]</f>
        <v>#N/A N/A</v>
      </c>
      <c r="BTE33" t="str">
        <f>SOFR3mo_PX[[#This Row],[Column1877]]</f>
        <v>#N/A N/A</v>
      </c>
      <c r="BTF33" t="str">
        <f>SOFR3mo_PX[[#This Row],[Column1878]]</f>
        <v>#N/A N/A</v>
      </c>
      <c r="BTG33" t="str">
        <f>SOFR3mo_PX[[#This Row],[Column1879]]</f>
        <v>#N/A N/A</v>
      </c>
      <c r="BTH33" t="str">
        <f>SOFR3mo_PX[[#This Row],[Column1880]]</f>
        <v>#N/A N/A</v>
      </c>
      <c r="BTI33" t="str">
        <f>SOFR3mo_PX[[#This Row],[Column1881]]</f>
        <v>#N/A N/A</v>
      </c>
      <c r="BTJ33" t="str">
        <f>SOFR3mo_PX[[#This Row],[Column1882]]</f>
        <v>#N/A N/A</v>
      </c>
      <c r="BTK33" t="str">
        <f>SOFR3mo_PX[[#This Row],[Column1883]]</f>
        <v>#N/A N/A</v>
      </c>
      <c r="BTL33" t="str">
        <f>SOFR3mo_PX[[#This Row],[Column1884]]</f>
        <v>#N/A N/A</v>
      </c>
      <c r="BTM33" t="str">
        <f>SOFR3mo_PX[[#This Row],[Column1885]]</f>
        <v>#N/A N/A</v>
      </c>
      <c r="BTN33" t="str">
        <f>SOFR3mo_PX[[#This Row],[Column1886]]</f>
        <v>#N/A N/A</v>
      </c>
      <c r="BTO33" t="str">
        <f>SOFR3mo_PX[[#This Row],[Column1887]]</f>
        <v>#N/A N/A</v>
      </c>
      <c r="BTP33" t="str">
        <f>SOFR3mo_PX[[#This Row],[Column1888]]</f>
        <v>#N/A N/A</v>
      </c>
      <c r="BTQ33" t="str">
        <f>SOFR3mo_PX[[#This Row],[Column1889]]</f>
        <v>#N/A N/A</v>
      </c>
      <c r="BTR33" t="str">
        <f>SOFR3mo_PX[[#This Row],[Column1890]]</f>
        <v>#N/A N/A</v>
      </c>
      <c r="BTS33" t="str">
        <f>SOFR3mo_PX[[#This Row],[Column1891]]</f>
        <v>#N/A N/A</v>
      </c>
      <c r="BTT33" t="str">
        <f>SOFR3mo_PX[[#This Row],[Column1892]]</f>
        <v>#N/A N/A</v>
      </c>
      <c r="BTU33" t="str">
        <f>SOFR3mo_PX[[#This Row],[Column1893]]</f>
        <v>#N/A N/A</v>
      </c>
      <c r="BTV33" t="str">
        <f>SOFR3mo_PX[[#This Row],[Column1894]]</f>
        <v>#N/A N/A</v>
      </c>
      <c r="BTW33" t="str">
        <f>SOFR3mo_PX[[#This Row],[Column1895]]</f>
        <v>#N/A N/A</v>
      </c>
      <c r="BTX33" t="str">
        <f>SOFR3mo_PX[[#This Row],[Column1896]]</f>
        <v>#N/A N/A</v>
      </c>
      <c r="BTY33" t="str">
        <f>SOFR3mo_PX[[#This Row],[Column1897]]</f>
        <v>#N/A N/A</v>
      </c>
      <c r="BTZ33" t="str">
        <f>SOFR3mo_PX[[#This Row],[Column1898]]</f>
        <v>#N/A N/A</v>
      </c>
      <c r="BUA33" t="str">
        <f>SOFR3mo_PX[[#This Row],[Column1899]]</f>
        <v>#N/A N/A</v>
      </c>
      <c r="BUB33" t="str">
        <f>SOFR3mo_PX[[#This Row],[Column1900]]</f>
        <v>#N/A N/A</v>
      </c>
      <c r="BUC33" t="str">
        <f>SOFR3mo_PX[[#This Row],[Column1901]]</f>
        <v>#N/A N/A</v>
      </c>
      <c r="BUD33" t="str">
        <f>SOFR3mo_PX[[#This Row],[Column1902]]</f>
        <v>#N/A N/A</v>
      </c>
      <c r="BUE33" t="str">
        <f>SOFR3mo_PX[[#This Row],[Column1903]]</f>
        <v>#N/A N/A</v>
      </c>
      <c r="BUF33" t="str">
        <f>SOFR3mo_PX[[#This Row],[Column1904]]</f>
        <v>#N/A N/A</v>
      </c>
      <c r="BUG33" t="str">
        <f>SOFR3mo_PX[[#This Row],[Column1905]]</f>
        <v>#N/A N/A</v>
      </c>
      <c r="BUH33" t="str">
        <f>SOFR3mo_PX[[#This Row],[Column1906]]</f>
        <v>#N/A N/A</v>
      </c>
      <c r="BUI33" t="str">
        <f>SOFR3mo_PX[[#This Row],[Column1907]]</f>
        <v>#N/A N/A</v>
      </c>
      <c r="BUJ33" t="str">
        <f>SOFR3mo_PX[[#This Row],[Column1908]]</f>
        <v>#N/A N/A</v>
      </c>
      <c r="BUK33" t="str">
        <f>SOFR3mo_PX[[#This Row],[Column1909]]</f>
        <v>#N/A N/A</v>
      </c>
      <c r="BUL33" t="str">
        <f>SOFR3mo_PX[[#This Row],[Column1910]]</f>
        <v>#N/A N/A</v>
      </c>
      <c r="BUM33" t="str">
        <f>SOFR3mo_PX[[#This Row],[Column1911]]</f>
        <v>#N/A N/A</v>
      </c>
      <c r="BUN33" t="str">
        <f>SOFR3mo_PX[[#This Row],[Column1912]]</f>
        <v>#N/A N/A</v>
      </c>
      <c r="BUO33" t="str">
        <f>SOFR3mo_PX[[#This Row],[Column1913]]</f>
        <v>#N/A N/A</v>
      </c>
      <c r="BUP33" t="str">
        <f>SOFR3mo_PX[[#This Row],[Column1914]]</f>
        <v>#N/A N/A</v>
      </c>
      <c r="BUQ33" t="str">
        <f>SOFR3mo_PX[[#This Row],[Column1915]]</f>
        <v>#N/A N/A</v>
      </c>
      <c r="BUR33" t="str">
        <f>SOFR3mo_PX[[#This Row],[Column1916]]</f>
        <v>#N/A N/A</v>
      </c>
      <c r="BUS33" t="str">
        <f>SOFR3mo_PX[[#This Row],[Column1917]]</f>
        <v>#N/A N/A</v>
      </c>
      <c r="BUT33" t="str">
        <f>SOFR3mo_PX[[#This Row],[Column1918]]</f>
        <v>#N/A N/A</v>
      </c>
      <c r="BUU33" t="str">
        <f>SOFR3mo_PX[[#This Row],[Column1919]]</f>
        <v>#N/A N/A</v>
      </c>
      <c r="BUV33" t="str">
        <f>SOFR3mo_PX[[#This Row],[Column1920]]</f>
        <v>#N/A N/A</v>
      </c>
      <c r="BUW33" t="str">
        <f>SOFR3mo_PX[[#This Row],[Column1921]]</f>
        <v>#N/A N/A</v>
      </c>
      <c r="BUX33" t="str">
        <f>SOFR3mo_PX[[#This Row],[Column1922]]</f>
        <v>#N/A N/A</v>
      </c>
      <c r="BUY33" t="str">
        <f>SOFR3mo_PX[[#This Row],[Column1923]]</f>
        <v>#N/A N/A</v>
      </c>
      <c r="BUZ33" t="str">
        <f>SOFR3mo_PX[[#This Row],[Column1924]]</f>
        <v>#N/A N/A</v>
      </c>
      <c r="BVA33" t="str">
        <f>SOFR3mo_PX[[#This Row],[Column1925]]</f>
        <v>#N/A N/A</v>
      </c>
      <c r="BVB33" t="str">
        <f>SOFR3mo_PX[[#This Row],[Column1926]]</f>
        <v>#N/A N/A</v>
      </c>
      <c r="BVC33" t="str">
        <f>SOFR3mo_PX[[#This Row],[Column1927]]</f>
        <v>#N/A N/A</v>
      </c>
      <c r="BVD33" t="str">
        <f>SOFR3mo_PX[[#This Row],[Column1928]]</f>
        <v>#N/A N/A</v>
      </c>
      <c r="BVE33" t="str">
        <f>SOFR3mo_PX[[#This Row],[Column1929]]</f>
        <v>#N/A N/A</v>
      </c>
      <c r="BVF33" t="str">
        <f>SOFR3mo_PX[[#This Row],[Column1930]]</f>
        <v>#N/A N/A</v>
      </c>
      <c r="BVG33" t="str">
        <f>SOFR3mo_PX[[#This Row],[Column1931]]</f>
        <v>#N/A N/A</v>
      </c>
      <c r="BVH33" t="str">
        <f>SOFR3mo_PX[[#This Row],[Column1932]]</f>
        <v>#N/A N/A</v>
      </c>
      <c r="BVI33" t="str">
        <f>SOFR3mo_PX[[#This Row],[Column1933]]</f>
        <v>#N/A N/A</v>
      </c>
      <c r="BVJ33" t="str">
        <f>SOFR3mo_PX[[#This Row],[Column1934]]</f>
        <v>#N/A N/A</v>
      </c>
      <c r="BVK33" t="str">
        <f>SOFR3mo_PX[[#This Row],[Column1935]]</f>
        <v>#N/A N/A</v>
      </c>
      <c r="BVL33" t="str">
        <f>SOFR3mo_PX[[#This Row],[Column1936]]</f>
        <v>#N/A N/A</v>
      </c>
      <c r="BVM33" t="str">
        <f>SOFR3mo_PX[[#This Row],[Column1937]]</f>
        <v>#N/A N/A</v>
      </c>
      <c r="BVN33" t="str">
        <f>SOFR3mo_PX[[#This Row],[Column1938]]</f>
        <v>#N/A N/A</v>
      </c>
      <c r="BVO33" t="str">
        <f>SOFR3mo_PX[[#This Row],[Column1939]]</f>
        <v>#N/A N/A</v>
      </c>
      <c r="BVP33" t="str">
        <f>SOFR3mo_PX[[#This Row],[Column1940]]</f>
        <v>#N/A N/A</v>
      </c>
      <c r="BVQ33" t="str">
        <f>SOFR3mo_PX[[#This Row],[Column1941]]</f>
        <v>#N/A N/A</v>
      </c>
      <c r="BVR33" t="str">
        <f>SOFR3mo_PX[[#This Row],[Column1942]]</f>
        <v>#N/A N/A</v>
      </c>
      <c r="BVS33" t="str">
        <f>SOFR3mo_PX[[#This Row],[Column1943]]</f>
        <v>#N/A N/A</v>
      </c>
      <c r="BVT33" t="str">
        <f>SOFR3mo_PX[[#This Row],[Column1944]]</f>
        <v>#N/A N/A</v>
      </c>
      <c r="BVU33" t="str">
        <f>SOFR3mo_PX[[#This Row],[Column1945]]</f>
        <v>#N/A N/A</v>
      </c>
      <c r="BVV33" t="str">
        <f>SOFR3mo_PX[[#This Row],[Column1946]]</f>
        <v>#N/A N/A</v>
      </c>
      <c r="BVW33" t="str">
        <f>SOFR3mo_PX[[#This Row],[Column1947]]</f>
        <v>#N/A N/A</v>
      </c>
      <c r="BVX33" t="str">
        <f>SOFR3mo_PX[[#This Row],[Column1948]]</f>
        <v>#N/A N/A</v>
      </c>
      <c r="BVY33" t="str">
        <f>SOFR3mo_PX[[#This Row],[Column1949]]</f>
        <v>#N/A N/A</v>
      </c>
      <c r="BVZ33" t="str">
        <f>SOFR3mo_PX[[#This Row],[Column1950]]</f>
        <v>#N/A N/A</v>
      </c>
      <c r="BWA33" t="str">
        <f>SOFR3mo_PX[[#This Row],[Column1951]]</f>
        <v>#N/A N/A</v>
      </c>
      <c r="BWB33" t="str">
        <f>SOFR3mo_PX[[#This Row],[Column1952]]</f>
        <v>#N/A N/A</v>
      </c>
      <c r="BWC33" t="str">
        <f>SOFR3mo_PX[[#This Row],[Column1953]]</f>
        <v>#N/A N/A</v>
      </c>
      <c r="BWD33" t="str">
        <f>SOFR3mo_PX[[#This Row],[Column1954]]</f>
        <v>#N/A N/A</v>
      </c>
    </row>
    <row r="34" spans="1:1954" x14ac:dyDescent="0.25">
      <c r="A34" t="str">
        <f>SOFR3mo_PX[[#This Row],[Column1]]</f>
        <v>SFR33 Comdty</v>
      </c>
      <c r="B34">
        <f>IF(rtd!B32&lt;&gt;"",rtd!B32,SOFR3mo_PX[[#This Row],[Column2]])</f>
        <v>95.55</v>
      </c>
      <c r="C34">
        <f>SOFR3mo_PX[[#This Row],[Column3]]</f>
        <v>95.55</v>
      </c>
      <c r="D34">
        <f>SOFR3mo_PX[[#This Row],[Column4]]</f>
        <v>95.55</v>
      </c>
      <c r="E34">
        <f>SOFR3mo_PX[[#This Row],[Column5]]</f>
        <v>95.59</v>
      </c>
      <c r="F34">
        <f>SOFR3mo_PX[[#This Row],[Column6]]</f>
        <v>95.534999999999997</v>
      </c>
      <c r="G34">
        <f>SOFR3mo_PX[[#This Row],[Column7]]</f>
        <v>95.584999999999994</v>
      </c>
      <c r="H34">
        <f>SOFR3mo_PX[[#This Row],[Column8]]</f>
        <v>95.635000000000005</v>
      </c>
      <c r="I34">
        <f>SOFR3mo_PX[[#This Row],[Column9]]</f>
        <v>95.575000000000003</v>
      </c>
      <c r="J34">
        <f>SOFR3mo_PX[[#This Row],[Column10]]</f>
        <v>95.525000000000006</v>
      </c>
      <c r="K34">
        <f>SOFR3mo_PX[[#This Row],[Column11]]</f>
        <v>95.51</v>
      </c>
      <c r="L34">
        <f>SOFR3mo_PX[[#This Row],[Column12]]</f>
        <v>95.504999999999995</v>
      </c>
      <c r="M34">
        <f>SOFR3mo_PX[[#This Row],[Column13]]</f>
        <v>95.605000000000004</v>
      </c>
      <c r="N34">
        <f>SOFR3mo_PX[[#This Row],[Column14]]</f>
        <v>95.63</v>
      </c>
      <c r="O34">
        <f>SOFR3mo_PX[[#This Row],[Column15]]</f>
        <v>95.54</v>
      </c>
      <c r="P34">
        <f>SOFR3mo_PX[[#This Row],[Column16]]</f>
        <v>95.534999999999997</v>
      </c>
      <c r="Q34">
        <f>SOFR3mo_PX[[#This Row],[Column17]]</f>
        <v>95.594999999999999</v>
      </c>
      <c r="R34">
        <f>SOFR3mo_PX[[#This Row],[Column18]]</f>
        <v>95.575000000000003</v>
      </c>
      <c r="S34">
        <f>SOFR3mo_PX[[#This Row],[Column19]]</f>
        <v>95.545000000000002</v>
      </c>
      <c r="T34">
        <f>SOFR3mo_PX[[#This Row],[Column20]]</f>
        <v>95.594999999999999</v>
      </c>
      <c r="U34">
        <f>SOFR3mo_PX[[#This Row],[Column21]]</f>
        <v>95.504999999999995</v>
      </c>
      <c r="V34">
        <f>SOFR3mo_PX[[#This Row],[Column22]]</f>
        <v>95.504999999999995</v>
      </c>
      <c r="W34">
        <f>SOFR3mo_PX[[#This Row],[Column23]]</f>
        <v>95.43</v>
      </c>
      <c r="X34">
        <f>SOFR3mo_PX[[#This Row],[Column24]]</f>
        <v>95.37</v>
      </c>
      <c r="Y34">
        <f>SOFR3mo_PX[[#This Row],[Column25]]</f>
        <v>95.474999999999994</v>
      </c>
      <c r="Z34">
        <f>SOFR3mo_PX[[#This Row],[Column26]]</f>
        <v>95.474999999999994</v>
      </c>
      <c r="AA34">
        <f>SOFR3mo_PX[[#This Row],[Column27]]</f>
        <v>95.515000000000001</v>
      </c>
      <c r="AB34">
        <f>SOFR3mo_PX[[#This Row],[Column28]]</f>
        <v>95.495000000000005</v>
      </c>
      <c r="AC34">
        <f>SOFR3mo_PX[[#This Row],[Column29]]</f>
        <v>95.424999999999997</v>
      </c>
      <c r="AD34">
        <f>SOFR3mo_PX[[#This Row],[Column30]]</f>
        <v>95.46</v>
      </c>
      <c r="AE34">
        <f>SOFR3mo_PX[[#This Row],[Column31]]</f>
        <v>95.51</v>
      </c>
      <c r="AF34">
        <f>SOFR3mo_PX[[#This Row],[Column32]]</f>
        <v>95.564999999999998</v>
      </c>
      <c r="AG34">
        <f>SOFR3mo_PX[[#This Row],[Column33]]</f>
        <v>95.564999999999998</v>
      </c>
      <c r="AH34">
        <f>SOFR3mo_PX[[#This Row],[Column34]]</f>
        <v>95.66</v>
      </c>
      <c r="AI34">
        <f>SOFR3mo_PX[[#This Row],[Column35]]</f>
        <v>95.61</v>
      </c>
      <c r="AJ34">
        <f>SOFR3mo_PX[[#This Row],[Column36]]</f>
        <v>95.605000000000004</v>
      </c>
      <c r="AK34">
        <f>SOFR3mo_PX[[#This Row],[Column37]]</f>
        <v>95.64</v>
      </c>
      <c r="AL34">
        <f>SOFR3mo_PX[[#This Row],[Column38]]</f>
        <v>95.685000000000002</v>
      </c>
      <c r="AM34">
        <f>SOFR3mo_PX[[#This Row],[Column39]]</f>
        <v>95.734999999999999</v>
      </c>
      <c r="AN34">
        <f>SOFR3mo_PX[[#This Row],[Column40]]</f>
        <v>95.71</v>
      </c>
      <c r="AO34">
        <f>SOFR3mo_PX[[#This Row],[Column41]]</f>
        <v>95.65</v>
      </c>
      <c r="AP34">
        <f>SOFR3mo_PX[[#This Row],[Column42]]</f>
        <v>95.6</v>
      </c>
      <c r="AQ34">
        <f>SOFR3mo_PX[[#This Row],[Column43]]</f>
        <v>95.54</v>
      </c>
      <c r="AR34">
        <f>SOFR3mo_PX[[#This Row],[Column44]]</f>
        <v>95.47</v>
      </c>
      <c r="AS34">
        <f>SOFR3mo_PX[[#This Row],[Column45]]</f>
        <v>95.44</v>
      </c>
      <c r="AT34">
        <f>SOFR3mo_PX[[#This Row],[Column46]]</f>
        <v>95.39</v>
      </c>
      <c r="AU34">
        <f>SOFR3mo_PX[[#This Row],[Column47]]</f>
        <v>95.58</v>
      </c>
      <c r="AV34">
        <f>SOFR3mo_PX[[#This Row],[Column48]]</f>
        <v>95.58</v>
      </c>
      <c r="AW34">
        <f>SOFR3mo_PX[[#This Row],[Column49]]</f>
        <v>95.67</v>
      </c>
      <c r="AX34">
        <f>SOFR3mo_PX[[#This Row],[Column50]]</f>
        <v>95.644999999999996</v>
      </c>
      <c r="AY34">
        <f>SOFR3mo_PX[[#This Row],[Column51]]</f>
        <v>95.63</v>
      </c>
      <c r="AZ34">
        <f>SOFR3mo_PX[[#This Row],[Column52]]</f>
        <v>95.525000000000006</v>
      </c>
      <c r="BA34">
        <f>SOFR3mo_PX[[#This Row],[Column53]]</f>
        <v>95.674999999999997</v>
      </c>
      <c r="BB34">
        <f>SOFR3mo_PX[[#This Row],[Column54]]</f>
        <v>95.644999999999996</v>
      </c>
      <c r="BC34">
        <f>SOFR3mo_PX[[#This Row],[Column55]]</f>
        <v>95.81</v>
      </c>
      <c r="BD34">
        <f>SOFR3mo_PX[[#This Row],[Column56]]</f>
        <v>95.9</v>
      </c>
      <c r="BE34">
        <f>SOFR3mo_PX[[#This Row],[Column57]]</f>
        <v>96.08</v>
      </c>
      <c r="BF34">
        <f>SOFR3mo_PX[[#This Row],[Column58]]</f>
        <v>96</v>
      </c>
      <c r="BG34">
        <f>SOFR3mo_PX[[#This Row],[Column59]]</f>
        <v>95.86</v>
      </c>
      <c r="BH34">
        <f>SOFR3mo_PX[[#This Row],[Column60]]</f>
        <v>95.92</v>
      </c>
      <c r="BI34">
        <f>SOFR3mo_PX[[#This Row],[Column61]]</f>
        <v>95.814999999999998</v>
      </c>
      <c r="BJ34">
        <f>SOFR3mo_PX[[#This Row],[Column62]]</f>
        <v>95.784999999999997</v>
      </c>
      <c r="BK34">
        <f>SOFR3mo_PX[[#This Row],[Column63]]</f>
        <v>95.67</v>
      </c>
      <c r="BL34">
        <f>SOFR3mo_PX[[#This Row],[Column64]]</f>
        <v>95.754999999999995</v>
      </c>
      <c r="BM34">
        <f>SOFR3mo_PX[[#This Row],[Column65]]</f>
        <v>95.784999999999997</v>
      </c>
      <c r="BN34">
        <f>SOFR3mo_PX[[#This Row],[Column66]]</f>
        <v>95.76</v>
      </c>
      <c r="BO34">
        <f>SOFR3mo_PX[[#This Row],[Column67]]</f>
        <v>95.84</v>
      </c>
      <c r="BP34">
        <f>SOFR3mo_PX[[#This Row],[Column68]]</f>
        <v>95.855000000000004</v>
      </c>
      <c r="BQ34">
        <f>SOFR3mo_PX[[#This Row],[Column69]]</f>
        <v>95.814999999999998</v>
      </c>
      <c r="BR34">
        <f>SOFR3mo_PX[[#This Row],[Column70]]</f>
        <v>95.81</v>
      </c>
      <c r="BS34">
        <f>SOFR3mo_PX[[#This Row],[Column71]]</f>
        <v>95.775000000000006</v>
      </c>
      <c r="BT34">
        <f>SOFR3mo_PX[[#This Row],[Column72]]</f>
        <v>95.75</v>
      </c>
      <c r="BU34">
        <f>SOFR3mo_PX[[#This Row],[Column73]]</f>
        <v>95.825000000000003</v>
      </c>
      <c r="BV34">
        <f>SOFR3mo_PX[[#This Row],[Column74]]</f>
        <v>95.795000000000002</v>
      </c>
      <c r="BW34">
        <f>SOFR3mo_PX[[#This Row],[Column75]]</f>
        <v>95.825000000000003</v>
      </c>
      <c r="BX34">
        <f>SOFR3mo_PX[[#This Row],[Column76]]</f>
        <v>95.92</v>
      </c>
      <c r="BY34">
        <f>SOFR3mo_PX[[#This Row],[Column77]]</f>
        <v>95.79</v>
      </c>
      <c r="BZ34">
        <f>SOFR3mo_PX[[#This Row],[Column78]]</f>
        <v>95.814999999999998</v>
      </c>
      <c r="CA34">
        <f>SOFR3mo_PX[[#This Row],[Column79]]</f>
        <v>95.84</v>
      </c>
      <c r="CB34">
        <f>SOFR3mo_PX[[#This Row],[Column80]]</f>
        <v>95.9</v>
      </c>
      <c r="CC34">
        <f>SOFR3mo_PX[[#This Row],[Column81]]</f>
        <v>95.944999999999993</v>
      </c>
      <c r="CD34">
        <f>SOFR3mo_PX[[#This Row],[Column82]]</f>
        <v>95.885000000000005</v>
      </c>
      <c r="CE34">
        <f>SOFR3mo_PX[[#This Row],[Column83]]</f>
        <v>95.825000000000003</v>
      </c>
      <c r="CF34">
        <f>SOFR3mo_PX[[#This Row],[Column84]]</f>
        <v>95.87</v>
      </c>
      <c r="CG34">
        <f>SOFR3mo_PX[[#This Row],[Column85]]</f>
        <v>95.8</v>
      </c>
      <c r="CH34">
        <f>SOFR3mo_PX[[#This Row],[Column86]]</f>
        <v>95.665000000000006</v>
      </c>
      <c r="CI34">
        <f>SOFR3mo_PX[[#This Row],[Column87]]</f>
        <v>95.64</v>
      </c>
      <c r="CJ34">
        <f>SOFR3mo_PX[[#This Row],[Column88]]</f>
        <v>95.56</v>
      </c>
      <c r="CK34">
        <f>SOFR3mo_PX[[#This Row],[Column89]]</f>
        <v>95.51</v>
      </c>
      <c r="CL34">
        <f>SOFR3mo_PX[[#This Row],[Column90]]</f>
        <v>95.51</v>
      </c>
      <c r="CM34">
        <f>SOFR3mo_PX[[#This Row],[Column91]]</f>
        <v>95.584999999999994</v>
      </c>
      <c r="CN34">
        <f>SOFR3mo_PX[[#This Row],[Column92]]</f>
        <v>95.584999999999994</v>
      </c>
      <c r="CO34">
        <f>SOFR3mo_PX[[#This Row],[Column93]]</f>
        <v>95.53</v>
      </c>
      <c r="CP34">
        <f>SOFR3mo_PX[[#This Row],[Column94]]</f>
        <v>95.42</v>
      </c>
      <c r="CQ34">
        <f>SOFR3mo_PX[[#This Row],[Column95]]</f>
        <v>95.56</v>
      </c>
      <c r="CR34">
        <f>SOFR3mo_PX[[#This Row],[Column96]]</f>
        <v>95.61</v>
      </c>
      <c r="CS34">
        <f>SOFR3mo_PX[[#This Row],[Column97]]</f>
        <v>95.61</v>
      </c>
      <c r="CT34">
        <f>SOFR3mo_PX[[#This Row],[Column98]]</f>
        <v>95.67</v>
      </c>
      <c r="CU34">
        <f>SOFR3mo_PX[[#This Row],[Column99]]</f>
        <v>95.72</v>
      </c>
      <c r="CV34">
        <f>SOFR3mo_PX[[#This Row],[Column100]]</f>
        <v>95.61</v>
      </c>
      <c r="CW34">
        <f>SOFR3mo_PX[[#This Row],[Column101]]</f>
        <v>95.584999999999994</v>
      </c>
      <c r="CX34">
        <f>SOFR3mo_PX[[#This Row],[Column102]]</f>
        <v>95.54</v>
      </c>
      <c r="CY34">
        <f>SOFR3mo_PX[[#This Row],[Column103]]</f>
        <v>95.61</v>
      </c>
      <c r="CZ34">
        <f>SOFR3mo_PX[[#This Row],[Column104]]</f>
        <v>95.564999999999998</v>
      </c>
      <c r="DA34">
        <f>SOFR3mo_PX[[#This Row],[Column105]]</f>
        <v>95.575000000000003</v>
      </c>
      <c r="DB34">
        <f>SOFR3mo_PX[[#This Row],[Column106]]</f>
        <v>95.6</v>
      </c>
      <c r="DC34">
        <f>SOFR3mo_PX[[#This Row],[Column107]]</f>
        <v>95.49</v>
      </c>
      <c r="DD34">
        <f>SOFR3mo_PX[[#This Row],[Column108]]</f>
        <v>95.49</v>
      </c>
      <c r="DE34">
        <f>SOFR3mo_PX[[#This Row],[Column109]]</f>
        <v>95.545000000000002</v>
      </c>
      <c r="DF34">
        <f>SOFR3mo_PX[[#This Row],[Column110]]</f>
        <v>95.575000000000003</v>
      </c>
      <c r="DG34">
        <f>SOFR3mo_PX[[#This Row],[Column111]]</f>
        <v>95.53</v>
      </c>
      <c r="DH34">
        <f>SOFR3mo_PX[[#This Row],[Column112]]</f>
        <v>95.53</v>
      </c>
      <c r="DI34">
        <f>SOFR3mo_PX[[#This Row],[Column113]]</f>
        <v>95.53</v>
      </c>
      <c r="DJ34">
        <f>SOFR3mo_PX[[#This Row],[Column114]]</f>
        <v>95.49</v>
      </c>
      <c r="DK34">
        <f>SOFR3mo_PX[[#This Row],[Column115]]</f>
        <v>95.344999999999999</v>
      </c>
      <c r="DL34">
        <f>SOFR3mo_PX[[#This Row],[Column116]]</f>
        <v>95.325000000000003</v>
      </c>
      <c r="DM34">
        <f>SOFR3mo_PX[[#This Row],[Column117]]</f>
        <v>95.364999999999995</v>
      </c>
      <c r="DN34">
        <f>SOFR3mo_PX[[#This Row],[Column118]]</f>
        <v>95.424999999999997</v>
      </c>
      <c r="DO34">
        <f>SOFR3mo_PX[[#This Row],[Column119]]</f>
        <v>95.41</v>
      </c>
      <c r="DP34">
        <f>SOFR3mo_PX[[#This Row],[Column120]]</f>
        <v>95.42</v>
      </c>
      <c r="DQ34">
        <f>SOFR3mo_PX[[#This Row],[Column121]]</f>
        <v>95.5</v>
      </c>
      <c r="DR34">
        <f>SOFR3mo_PX[[#This Row],[Column122]]</f>
        <v>95.555000000000007</v>
      </c>
      <c r="DS34">
        <f>SOFR3mo_PX[[#This Row],[Column123]]</f>
        <v>95.564999999999998</v>
      </c>
      <c r="DT34">
        <f>SOFR3mo_PX[[#This Row],[Column124]]</f>
        <v>95.56</v>
      </c>
      <c r="DU34">
        <f>SOFR3mo_PX[[#This Row],[Column125]]</f>
        <v>95.56</v>
      </c>
      <c r="DV34">
        <f>SOFR3mo_PX[[#This Row],[Column126]]</f>
        <v>95.6</v>
      </c>
      <c r="DW34">
        <f>SOFR3mo_PX[[#This Row],[Column127]]</f>
        <v>95.52</v>
      </c>
      <c r="DX34">
        <f>SOFR3mo_PX[[#This Row],[Column128]]</f>
        <v>95.58</v>
      </c>
      <c r="DY34">
        <f>SOFR3mo_PX[[#This Row],[Column129]]</f>
        <v>95.564999999999998</v>
      </c>
      <c r="DZ34">
        <f>SOFR3mo_PX[[#This Row],[Column130]]</f>
        <v>95.564999999999998</v>
      </c>
      <c r="EA34">
        <f>SOFR3mo_PX[[#This Row],[Column131]]</f>
        <v>95.54</v>
      </c>
      <c r="EB34">
        <f>SOFR3mo_PX[[#This Row],[Column132]]</f>
        <v>95.64</v>
      </c>
      <c r="EC34">
        <f>SOFR3mo_PX[[#This Row],[Column133]]</f>
        <v>95.57</v>
      </c>
      <c r="ED34">
        <f>SOFR3mo_PX[[#This Row],[Column134]]</f>
        <v>95.7</v>
      </c>
      <c r="EE34">
        <f>SOFR3mo_PX[[#This Row],[Column135]]</f>
        <v>95.86</v>
      </c>
      <c r="EF34">
        <f>SOFR3mo_PX[[#This Row],[Column136]]</f>
        <v>95.844999999999999</v>
      </c>
      <c r="EG34">
        <f>SOFR3mo_PX[[#This Row],[Column137]]</f>
        <v>95.85</v>
      </c>
      <c r="EH34">
        <f>SOFR3mo_PX[[#This Row],[Column138]]</f>
        <v>95.935000000000002</v>
      </c>
      <c r="EI34">
        <f>SOFR3mo_PX[[#This Row],[Column139]]</f>
        <v>96</v>
      </c>
      <c r="EJ34">
        <f>SOFR3mo_PX[[#This Row],[Column140]]</f>
        <v>96.06</v>
      </c>
      <c r="EK34">
        <f>SOFR3mo_PX[[#This Row],[Column141]]</f>
        <v>96.084999999999994</v>
      </c>
      <c r="EL34">
        <f>SOFR3mo_PX[[#This Row],[Column142]]</f>
        <v>96.125</v>
      </c>
      <c r="EM34">
        <f>SOFR3mo_PX[[#This Row],[Column143]]</f>
        <v>96.09</v>
      </c>
      <c r="EN34">
        <f>SOFR3mo_PX[[#This Row],[Column144]]</f>
        <v>96.075000000000003</v>
      </c>
      <c r="EO34">
        <f>SOFR3mo_PX[[#This Row],[Column145]]</f>
        <v>96.05</v>
      </c>
      <c r="EP34">
        <f>SOFR3mo_PX[[#This Row],[Column146]]</f>
        <v>96.084999999999994</v>
      </c>
      <c r="EQ34">
        <f>SOFR3mo_PX[[#This Row],[Column147]]</f>
        <v>96.084999999999994</v>
      </c>
      <c r="ER34">
        <f>SOFR3mo_PX[[#This Row],[Column148]]</f>
        <v>96.05</v>
      </c>
      <c r="ES34">
        <f>SOFR3mo_PX[[#This Row],[Column149]]</f>
        <v>96.05</v>
      </c>
      <c r="ET34">
        <f>SOFR3mo_PX[[#This Row],[Column150]]</f>
        <v>95.984999999999999</v>
      </c>
      <c r="EU34">
        <f>SOFR3mo_PX[[#This Row],[Column151]]</f>
        <v>96.05</v>
      </c>
      <c r="EV34">
        <f>SOFR3mo_PX[[#This Row],[Column152]]</f>
        <v>95.9</v>
      </c>
      <c r="EW34">
        <f>SOFR3mo_PX[[#This Row],[Column153]]</f>
        <v>95.864999999999995</v>
      </c>
      <c r="EX34">
        <f>SOFR3mo_PX[[#This Row],[Column154]]</f>
        <v>95.86</v>
      </c>
      <c r="EY34">
        <f>SOFR3mo_PX[[#This Row],[Column155]]</f>
        <v>95.89</v>
      </c>
      <c r="EZ34">
        <f>SOFR3mo_PX[[#This Row],[Column156]]</f>
        <v>95.855000000000004</v>
      </c>
      <c r="FA34">
        <f>SOFR3mo_PX[[#This Row],[Column157]]</f>
        <v>95.844999999999999</v>
      </c>
      <c r="FB34">
        <f>SOFR3mo_PX[[#This Row],[Column158]]</f>
        <v>95.85</v>
      </c>
      <c r="FC34">
        <f>SOFR3mo_PX[[#This Row],[Column159]]</f>
        <v>95.814999999999998</v>
      </c>
      <c r="FD34">
        <f>SOFR3mo_PX[[#This Row],[Column160]]</f>
        <v>95.84</v>
      </c>
      <c r="FE34">
        <f>SOFR3mo_PX[[#This Row],[Column161]]</f>
        <v>95.9</v>
      </c>
      <c r="FF34">
        <f>SOFR3mo_PX[[#This Row],[Column162]]</f>
        <v>95.95</v>
      </c>
      <c r="FG34">
        <f>SOFR3mo_PX[[#This Row],[Column163]]</f>
        <v>95.905000000000001</v>
      </c>
      <c r="FH34">
        <f>SOFR3mo_PX[[#This Row],[Column164]]</f>
        <v>95.8</v>
      </c>
      <c r="FI34">
        <f>SOFR3mo_PX[[#This Row],[Column165]]</f>
        <v>95.97</v>
      </c>
      <c r="FJ34">
        <f>SOFR3mo_PX[[#This Row],[Column166]]</f>
        <v>95.944999999999993</v>
      </c>
      <c r="FK34">
        <f>SOFR3mo_PX[[#This Row],[Column167]]</f>
        <v>95.88</v>
      </c>
      <c r="FL34">
        <f>SOFR3mo_PX[[#This Row],[Column168]]</f>
        <v>95.94</v>
      </c>
      <c r="FM34">
        <f>SOFR3mo_PX[[#This Row],[Column169]]</f>
        <v>95.95</v>
      </c>
      <c r="FN34">
        <f>SOFR3mo_PX[[#This Row],[Column170]]</f>
        <v>95.92</v>
      </c>
      <c r="FO34">
        <f>SOFR3mo_PX[[#This Row],[Column171]]</f>
        <v>95.915000000000006</v>
      </c>
      <c r="FP34">
        <f>SOFR3mo_PX[[#This Row],[Column172]]</f>
        <v>95.95</v>
      </c>
      <c r="FQ34">
        <f>SOFR3mo_PX[[#This Row],[Column173]]</f>
        <v>95.974999999999994</v>
      </c>
      <c r="FR34">
        <f>SOFR3mo_PX[[#This Row],[Column174]]</f>
        <v>95.924999999999997</v>
      </c>
      <c r="FS34">
        <f>SOFR3mo_PX[[#This Row],[Column175]]</f>
        <v>95.954999999999998</v>
      </c>
      <c r="FT34">
        <f>SOFR3mo_PX[[#This Row],[Column176]]</f>
        <v>95.98</v>
      </c>
      <c r="FU34">
        <f>SOFR3mo_PX[[#This Row],[Column177]]</f>
        <v>96.094999999999999</v>
      </c>
      <c r="FV34">
        <f>SOFR3mo_PX[[#This Row],[Column178]]</f>
        <v>96.08</v>
      </c>
      <c r="FW34">
        <f>SOFR3mo_PX[[#This Row],[Column179]]</f>
        <v>96.18</v>
      </c>
      <c r="FX34">
        <f>SOFR3mo_PX[[#This Row],[Column180]]</f>
        <v>96.16</v>
      </c>
      <c r="FY34">
        <f>SOFR3mo_PX[[#This Row],[Column181]]</f>
        <v>96.064999999999998</v>
      </c>
      <c r="FZ34">
        <f>SOFR3mo_PX[[#This Row],[Column182]]</f>
        <v>96.105000000000004</v>
      </c>
      <c r="GA34">
        <f>SOFR3mo_PX[[#This Row],[Column183]]</f>
        <v>96.094999999999999</v>
      </c>
      <c r="GB34">
        <f>SOFR3mo_PX[[#This Row],[Column184]]</f>
        <v>96.14</v>
      </c>
      <c r="GC34">
        <f>SOFR3mo_PX[[#This Row],[Column185]]</f>
        <v>96.165000000000006</v>
      </c>
      <c r="GD34">
        <f>SOFR3mo_PX[[#This Row],[Column186]]</f>
        <v>96.18</v>
      </c>
      <c r="GE34">
        <f>SOFR3mo_PX[[#This Row],[Column187]]</f>
        <v>96.215000000000003</v>
      </c>
      <c r="GF34">
        <f>SOFR3mo_PX[[#This Row],[Column188]]</f>
        <v>96.295000000000002</v>
      </c>
      <c r="GG34">
        <f>SOFR3mo_PX[[#This Row],[Column189]]</f>
        <v>96.364999999999995</v>
      </c>
      <c r="GH34">
        <f>SOFR3mo_PX[[#This Row],[Column190]]</f>
        <v>96.41</v>
      </c>
      <c r="GI34">
        <f>SOFR3mo_PX[[#This Row],[Column191]]</f>
        <v>96.34</v>
      </c>
      <c r="GJ34">
        <f>SOFR3mo_PX[[#This Row],[Column192]]</f>
        <v>96.38</v>
      </c>
      <c r="GK34">
        <f>SOFR3mo_PX[[#This Row],[Column193]]</f>
        <v>96.35</v>
      </c>
      <c r="GL34">
        <f>SOFR3mo_PX[[#This Row],[Column194]]</f>
        <v>96.33</v>
      </c>
      <c r="GM34">
        <f>SOFR3mo_PX[[#This Row],[Column195]]</f>
        <v>96.37</v>
      </c>
      <c r="GN34">
        <f>SOFR3mo_PX[[#This Row],[Column196]]</f>
        <v>96.375</v>
      </c>
      <c r="GO34">
        <f>SOFR3mo_PX[[#This Row],[Column197]]</f>
        <v>96.39</v>
      </c>
      <c r="GP34">
        <f>SOFR3mo_PX[[#This Row],[Column198]]</f>
        <v>96.37</v>
      </c>
      <c r="GQ34">
        <f>SOFR3mo_PX[[#This Row],[Column199]]</f>
        <v>96.444999999999993</v>
      </c>
      <c r="GR34">
        <f>SOFR3mo_PX[[#This Row],[Column200]]</f>
        <v>96.495000000000005</v>
      </c>
      <c r="GS34">
        <f>SOFR3mo_PX[[#This Row],[Column201]]</f>
        <v>96.484999999999999</v>
      </c>
      <c r="GT34">
        <f>SOFR3mo_PX[[#This Row],[Column202]]</f>
        <v>96.465000000000003</v>
      </c>
      <c r="GU34">
        <f>SOFR3mo_PX[[#This Row],[Column203]]</f>
        <v>96.46</v>
      </c>
      <c r="GV34">
        <f>SOFR3mo_PX[[#This Row],[Column204]]</f>
        <v>96.49</v>
      </c>
      <c r="GW34">
        <f>SOFR3mo_PX[[#This Row],[Column205]]</f>
        <v>96.495000000000005</v>
      </c>
      <c r="GX34">
        <f>SOFR3mo_PX[[#This Row],[Column206]]</f>
        <v>96.44</v>
      </c>
      <c r="GY34">
        <f>SOFR3mo_PX[[#This Row],[Column207]]</f>
        <v>96.415000000000006</v>
      </c>
      <c r="GZ34">
        <f>SOFR3mo_PX[[#This Row],[Column208]]</f>
        <v>96.43</v>
      </c>
      <c r="HA34">
        <f>SOFR3mo_PX[[#This Row],[Column209]]</f>
        <v>96.394999999999996</v>
      </c>
      <c r="HB34">
        <f>SOFR3mo_PX[[#This Row],[Column210]]</f>
        <v>96.344999999999999</v>
      </c>
      <c r="HC34">
        <f>SOFR3mo_PX[[#This Row],[Column211]]</f>
        <v>96.265000000000001</v>
      </c>
      <c r="HD34">
        <f>SOFR3mo_PX[[#This Row],[Column212]]</f>
        <v>96.265000000000001</v>
      </c>
      <c r="HE34">
        <f>SOFR3mo_PX[[#This Row],[Column213]]</f>
        <v>96.31</v>
      </c>
      <c r="HF34">
        <f>SOFR3mo_PX[[#This Row],[Column214]]</f>
        <v>96.325000000000003</v>
      </c>
      <c r="HG34">
        <f>SOFR3mo_PX[[#This Row],[Column215]]</f>
        <v>96.34</v>
      </c>
      <c r="HH34">
        <f>SOFR3mo_PX[[#This Row],[Column216]]</f>
        <v>96.36</v>
      </c>
      <c r="HI34">
        <f>SOFR3mo_PX[[#This Row],[Column217]]</f>
        <v>96.35</v>
      </c>
      <c r="HJ34">
        <f>SOFR3mo_PX[[#This Row],[Column218]]</f>
        <v>96.29</v>
      </c>
      <c r="HK34">
        <f>SOFR3mo_PX[[#This Row],[Column219]]</f>
        <v>96.364999999999995</v>
      </c>
      <c r="HL34">
        <f>SOFR3mo_PX[[#This Row],[Column220]]</f>
        <v>96.34</v>
      </c>
      <c r="HM34">
        <f>SOFR3mo_PX[[#This Row],[Column221]]</f>
        <v>96.29</v>
      </c>
      <c r="HN34">
        <f>SOFR3mo_PX[[#This Row],[Column222]]</f>
        <v>96.25</v>
      </c>
      <c r="HO34">
        <f>SOFR3mo_PX[[#This Row],[Column223]]</f>
        <v>96.21</v>
      </c>
      <c r="HP34">
        <f>SOFR3mo_PX[[#This Row],[Column224]]</f>
        <v>96.28</v>
      </c>
      <c r="HQ34">
        <f>SOFR3mo_PX[[#This Row],[Column225]]</f>
        <v>96.245000000000005</v>
      </c>
      <c r="HR34">
        <f>SOFR3mo_PX[[#This Row],[Column226]]</f>
        <v>96.215000000000003</v>
      </c>
      <c r="HS34">
        <f>SOFR3mo_PX[[#This Row],[Column227]]</f>
        <v>96.174999999999997</v>
      </c>
      <c r="HT34">
        <f>SOFR3mo_PX[[#This Row],[Column228]]</f>
        <v>96.094999999999999</v>
      </c>
      <c r="HU34">
        <f>SOFR3mo_PX[[#This Row],[Column229]]</f>
        <v>96.105000000000004</v>
      </c>
      <c r="HV34">
        <f>SOFR3mo_PX[[#This Row],[Column230]]</f>
        <v>96.2</v>
      </c>
      <c r="HW34">
        <f>SOFR3mo_PX[[#This Row],[Column231]]</f>
        <v>96.3</v>
      </c>
      <c r="HX34">
        <f>SOFR3mo_PX[[#This Row],[Column232]]</f>
        <v>96.305000000000007</v>
      </c>
      <c r="HY34">
        <f>SOFR3mo_PX[[#This Row],[Column233]]</f>
        <v>96.18</v>
      </c>
      <c r="HZ34">
        <f>SOFR3mo_PX[[#This Row],[Column234]]</f>
        <v>96.08</v>
      </c>
      <c r="IA34">
        <f>SOFR3mo_PX[[#This Row],[Column235]]</f>
        <v>96.045000000000002</v>
      </c>
      <c r="IB34">
        <f>SOFR3mo_PX[[#This Row],[Column236]]</f>
        <v>96.01</v>
      </c>
      <c r="IC34">
        <f>SOFR3mo_PX[[#This Row],[Column237]]</f>
        <v>95.984999999999999</v>
      </c>
      <c r="ID34">
        <f>SOFR3mo_PX[[#This Row],[Column238]]</f>
        <v>95.944999999999993</v>
      </c>
      <c r="IE34">
        <f>SOFR3mo_PX[[#This Row],[Column239]]</f>
        <v>95.905000000000001</v>
      </c>
      <c r="IF34">
        <f>SOFR3mo_PX[[#This Row],[Column240]]</f>
        <v>95.995000000000005</v>
      </c>
      <c r="IG34">
        <f>SOFR3mo_PX[[#This Row],[Column241]]</f>
        <v>95.98</v>
      </c>
      <c r="IH34">
        <f>SOFR3mo_PX[[#This Row],[Column242]]</f>
        <v>95.99</v>
      </c>
      <c r="II34">
        <f>SOFR3mo_PX[[#This Row],[Column243]]</f>
        <v>96.04</v>
      </c>
      <c r="IJ34">
        <f>SOFR3mo_PX[[#This Row],[Column244]]</f>
        <v>96.094999999999999</v>
      </c>
      <c r="IK34">
        <f>SOFR3mo_PX[[#This Row],[Column245]]</f>
        <v>96.07</v>
      </c>
      <c r="IL34">
        <f>SOFR3mo_PX[[#This Row],[Column246]]</f>
        <v>95.995000000000005</v>
      </c>
      <c r="IM34">
        <f>SOFR3mo_PX[[#This Row],[Column247]]</f>
        <v>96.04</v>
      </c>
      <c r="IN34">
        <f>SOFR3mo_PX[[#This Row],[Column248]]</f>
        <v>96.06</v>
      </c>
      <c r="IO34">
        <f>SOFR3mo_PX[[#This Row],[Column249]]</f>
        <v>95.98</v>
      </c>
      <c r="IP34">
        <f>SOFR3mo_PX[[#This Row],[Column250]]</f>
        <v>95.95</v>
      </c>
      <c r="IQ34">
        <f>SOFR3mo_PX[[#This Row],[Column251]]</f>
        <v>95.99</v>
      </c>
      <c r="IR34">
        <f>SOFR3mo_PX[[#This Row],[Column252]]</f>
        <v>95.984999999999999</v>
      </c>
      <c r="IS34">
        <f>SOFR3mo_PX[[#This Row],[Column253]]</f>
        <v>95.93</v>
      </c>
      <c r="IT34">
        <f>SOFR3mo_PX[[#This Row],[Column254]]</f>
        <v>95.93</v>
      </c>
      <c r="IU34">
        <f>SOFR3mo_PX[[#This Row],[Column255]]</f>
        <v>95.825000000000003</v>
      </c>
      <c r="IV34">
        <f>SOFR3mo_PX[[#This Row],[Column256]]</f>
        <v>95.79</v>
      </c>
      <c r="IW34">
        <f>SOFR3mo_PX[[#This Row],[Column257]]</f>
        <v>95.95</v>
      </c>
      <c r="IX34">
        <f>SOFR3mo_PX[[#This Row],[Column258]]</f>
        <v>96.015000000000001</v>
      </c>
      <c r="IY34">
        <f>SOFR3mo_PX[[#This Row],[Column259]]</f>
        <v>95.984999999999999</v>
      </c>
      <c r="IZ34">
        <f>SOFR3mo_PX[[#This Row],[Column260]]</f>
        <v>96.075000000000003</v>
      </c>
      <c r="JA34">
        <f>SOFR3mo_PX[[#This Row],[Column261]]</f>
        <v>96.064999999999998</v>
      </c>
      <c r="JB34">
        <f>SOFR3mo_PX[[#This Row],[Column262]]</f>
        <v>96.045000000000002</v>
      </c>
      <c r="JC34">
        <f>SOFR3mo_PX[[#This Row],[Column263]]</f>
        <v>96.055000000000007</v>
      </c>
      <c r="JD34">
        <f>SOFR3mo_PX[[#This Row],[Column264]]</f>
        <v>96.084999999999994</v>
      </c>
      <c r="JE34">
        <f>SOFR3mo_PX[[#This Row],[Column265]]</f>
        <v>96.084999999999994</v>
      </c>
      <c r="JF34">
        <f>SOFR3mo_PX[[#This Row],[Column266]]</f>
        <v>96.025000000000006</v>
      </c>
      <c r="JG34">
        <f>SOFR3mo_PX[[#This Row],[Column267]]</f>
        <v>96.105000000000004</v>
      </c>
      <c r="JH34">
        <f>SOFR3mo_PX[[#This Row],[Column268]]</f>
        <v>96.04</v>
      </c>
      <c r="JI34">
        <f>SOFR3mo_PX[[#This Row],[Column269]]</f>
        <v>95.984999999999999</v>
      </c>
      <c r="JJ34">
        <f>SOFR3mo_PX[[#This Row],[Column270]]</f>
        <v>95.87</v>
      </c>
      <c r="JK34">
        <f>SOFR3mo_PX[[#This Row],[Column271]]</f>
        <v>95.79</v>
      </c>
      <c r="JL34">
        <f>SOFR3mo_PX[[#This Row],[Column272]]</f>
        <v>95.834999999999994</v>
      </c>
      <c r="JM34">
        <f>SOFR3mo_PX[[#This Row],[Column273]]</f>
        <v>95.984999999999999</v>
      </c>
      <c r="JN34">
        <f>SOFR3mo_PX[[#This Row],[Column274]]</f>
        <v>95.984999999999999</v>
      </c>
      <c r="JO34">
        <f>SOFR3mo_PX[[#This Row],[Column275]]</f>
        <v>95.95</v>
      </c>
      <c r="JP34">
        <f>SOFR3mo_PX[[#This Row],[Column276]]</f>
        <v>95.87</v>
      </c>
      <c r="JQ34">
        <f>SOFR3mo_PX[[#This Row],[Column277]]</f>
        <v>95.76</v>
      </c>
      <c r="JR34">
        <f>SOFR3mo_PX[[#This Row],[Column278]]</f>
        <v>95.734999999999999</v>
      </c>
      <c r="JS34">
        <f>SOFR3mo_PX[[#This Row],[Column279]]</f>
        <v>95.674999999999997</v>
      </c>
      <c r="JT34">
        <f>SOFR3mo_PX[[#This Row],[Column280]]</f>
        <v>95.78</v>
      </c>
      <c r="JU34">
        <f>SOFR3mo_PX[[#This Row],[Column281]]</f>
        <v>95.855000000000004</v>
      </c>
      <c r="JV34">
        <f>SOFR3mo_PX[[#This Row],[Column282]]</f>
        <v>95.855000000000004</v>
      </c>
      <c r="JW34">
        <f>SOFR3mo_PX[[#This Row],[Column283]]</f>
        <v>95.834999999999994</v>
      </c>
      <c r="JX34">
        <f>SOFR3mo_PX[[#This Row],[Column284]]</f>
        <v>95.834999999999994</v>
      </c>
      <c r="JY34">
        <f>SOFR3mo_PX[[#This Row],[Column285]]</f>
        <v>95.84</v>
      </c>
      <c r="JZ34">
        <f>SOFR3mo_PX[[#This Row],[Column286]]</f>
        <v>95.81</v>
      </c>
      <c r="KA34">
        <f>SOFR3mo_PX[[#This Row],[Column287]]</f>
        <v>95.83</v>
      </c>
      <c r="KB34">
        <f>SOFR3mo_PX[[#This Row],[Column288]]</f>
        <v>95.875</v>
      </c>
      <c r="KC34">
        <f>SOFR3mo_PX[[#This Row],[Column289]]</f>
        <v>95.88</v>
      </c>
      <c r="KD34">
        <f>SOFR3mo_PX[[#This Row],[Column290]]</f>
        <v>95.81</v>
      </c>
      <c r="KE34">
        <f>SOFR3mo_PX[[#This Row],[Column291]]</f>
        <v>95.775000000000006</v>
      </c>
      <c r="KF34">
        <f>SOFR3mo_PX[[#This Row],[Column292]]</f>
        <v>95.75</v>
      </c>
      <c r="KG34">
        <f>SOFR3mo_PX[[#This Row],[Column293]]</f>
        <v>95.805000000000007</v>
      </c>
      <c r="KH34">
        <f>SOFR3mo_PX[[#This Row],[Column294]]</f>
        <v>95.775000000000006</v>
      </c>
      <c r="KI34">
        <f>SOFR3mo_PX[[#This Row],[Column295]]</f>
        <v>95.814999999999998</v>
      </c>
      <c r="KJ34">
        <f>SOFR3mo_PX[[#This Row],[Column296]]</f>
        <v>95.77</v>
      </c>
      <c r="KK34">
        <f>SOFR3mo_PX[[#This Row],[Column297]]</f>
        <v>95.75</v>
      </c>
      <c r="KL34">
        <f>SOFR3mo_PX[[#This Row],[Column298]]</f>
        <v>95.674999999999997</v>
      </c>
      <c r="KM34">
        <f>SOFR3mo_PX[[#This Row],[Column299]]</f>
        <v>95.66</v>
      </c>
      <c r="KN34">
        <f>SOFR3mo_PX[[#This Row],[Column300]]</f>
        <v>95.594999999999999</v>
      </c>
      <c r="KO34">
        <f>SOFR3mo_PX[[#This Row],[Column301]]</f>
        <v>95.665000000000006</v>
      </c>
      <c r="KP34">
        <f>SOFR3mo_PX[[#This Row],[Column302]]</f>
        <v>95.584999999999994</v>
      </c>
      <c r="KQ34">
        <f>SOFR3mo_PX[[#This Row],[Column303]]</f>
        <v>95.545000000000002</v>
      </c>
      <c r="KR34">
        <f>SOFR3mo_PX[[#This Row],[Column304]]</f>
        <v>95.605000000000004</v>
      </c>
      <c r="KS34">
        <f>SOFR3mo_PX[[#This Row],[Column305]]</f>
        <v>95.68</v>
      </c>
      <c r="KT34">
        <f>SOFR3mo_PX[[#This Row],[Column306]]</f>
        <v>95.66</v>
      </c>
      <c r="KU34">
        <f>SOFR3mo_PX[[#This Row],[Column307]]</f>
        <v>95.674999999999997</v>
      </c>
      <c r="KV34">
        <f>SOFR3mo_PX[[#This Row],[Column308]]</f>
        <v>95.64</v>
      </c>
      <c r="KW34">
        <f>SOFR3mo_PX[[#This Row],[Column309]]</f>
        <v>95.7</v>
      </c>
      <c r="KX34">
        <f>SOFR3mo_PX[[#This Row],[Column310]]</f>
        <v>95.625</v>
      </c>
      <c r="KY34">
        <f>SOFR3mo_PX[[#This Row],[Column311]]</f>
        <v>95.66</v>
      </c>
      <c r="KZ34">
        <f>SOFR3mo_PX[[#This Row],[Column312]]</f>
        <v>95.8</v>
      </c>
      <c r="LA34">
        <f>SOFR3mo_PX[[#This Row],[Column313]]</f>
        <v>95.71</v>
      </c>
      <c r="LB34">
        <f>SOFR3mo_PX[[#This Row],[Column314]]</f>
        <v>95.74</v>
      </c>
      <c r="LC34">
        <f>SOFR3mo_PX[[#This Row],[Column315]]</f>
        <v>95.885000000000005</v>
      </c>
      <c r="LD34">
        <f>SOFR3mo_PX[[#This Row],[Column316]]</f>
        <v>95.825000000000003</v>
      </c>
      <c r="LE34">
        <f>SOFR3mo_PX[[#This Row],[Column317]]</f>
        <v>95.87</v>
      </c>
      <c r="LF34">
        <f>SOFR3mo_PX[[#This Row],[Column318]]</f>
        <v>95.92</v>
      </c>
      <c r="LG34">
        <f>SOFR3mo_PX[[#This Row],[Column319]]</f>
        <v>95.87</v>
      </c>
      <c r="LH34">
        <f>SOFR3mo_PX[[#This Row],[Column320]]</f>
        <v>95.86</v>
      </c>
      <c r="LI34">
        <f>SOFR3mo_PX[[#This Row],[Column321]]</f>
        <v>95.905000000000001</v>
      </c>
      <c r="LJ34">
        <f>SOFR3mo_PX[[#This Row],[Column322]]</f>
        <v>96.034999999999997</v>
      </c>
      <c r="LK34">
        <f>SOFR3mo_PX[[#This Row],[Column323]]</f>
        <v>96.034999999999997</v>
      </c>
      <c r="LL34">
        <f>SOFR3mo_PX[[#This Row],[Column324]]</f>
        <v>96</v>
      </c>
      <c r="LM34">
        <f>SOFR3mo_PX[[#This Row],[Column325]]</f>
        <v>95.965000000000003</v>
      </c>
      <c r="LN34">
        <f>SOFR3mo_PX[[#This Row],[Column326]]</f>
        <v>95.935000000000002</v>
      </c>
      <c r="LO34">
        <f>SOFR3mo_PX[[#This Row],[Column327]]</f>
        <v>95.97</v>
      </c>
      <c r="LP34">
        <f>SOFR3mo_PX[[#This Row],[Column328]]</f>
        <v>95.91</v>
      </c>
      <c r="LQ34">
        <f>SOFR3mo_PX[[#This Row],[Column329]]</f>
        <v>95.915000000000006</v>
      </c>
      <c r="LR34">
        <f>SOFR3mo_PX[[#This Row],[Column330]]</f>
        <v>95.944999999999993</v>
      </c>
      <c r="LS34">
        <f>SOFR3mo_PX[[#This Row],[Column331]]</f>
        <v>95.915000000000006</v>
      </c>
      <c r="LT34">
        <f>SOFR3mo_PX[[#This Row],[Column332]]</f>
        <v>95.954999999999998</v>
      </c>
      <c r="LU34">
        <f>SOFR3mo_PX[[#This Row],[Column333]]</f>
        <v>95.94</v>
      </c>
      <c r="LV34">
        <f>SOFR3mo_PX[[#This Row],[Column334]]</f>
        <v>96.05</v>
      </c>
      <c r="LW34">
        <f>SOFR3mo_PX[[#This Row],[Column335]]</f>
        <v>96.064999999999998</v>
      </c>
      <c r="LX34">
        <f>SOFR3mo_PX[[#This Row],[Column336]]</f>
        <v>96.114999999999995</v>
      </c>
      <c r="LY34">
        <f>SOFR3mo_PX[[#This Row],[Column337]]</f>
        <v>96.11</v>
      </c>
      <c r="LZ34">
        <f>SOFR3mo_PX[[#This Row],[Column338]]</f>
        <v>96.13</v>
      </c>
      <c r="MA34">
        <f>SOFR3mo_PX[[#This Row],[Column339]]</f>
        <v>96.125</v>
      </c>
      <c r="MB34">
        <f>SOFR3mo_PX[[#This Row],[Column340]]</f>
        <v>96.084999999999994</v>
      </c>
      <c r="MC34">
        <f>SOFR3mo_PX[[#This Row],[Column341]]</f>
        <v>96</v>
      </c>
      <c r="MD34">
        <f>SOFR3mo_PX[[#This Row],[Column342]]</f>
        <v>96.03</v>
      </c>
      <c r="ME34">
        <f>SOFR3mo_PX[[#This Row],[Column343]]</f>
        <v>95.984999999999999</v>
      </c>
      <c r="MF34">
        <f>SOFR3mo_PX[[#This Row],[Column344]]</f>
        <v>95.974999999999994</v>
      </c>
      <c r="MG34">
        <f>SOFR3mo_PX[[#This Row],[Column345]]</f>
        <v>95.98</v>
      </c>
      <c r="MH34">
        <f>SOFR3mo_PX[[#This Row],[Column346]]</f>
        <v>96</v>
      </c>
      <c r="MI34">
        <f>SOFR3mo_PX[[#This Row],[Column347]]</f>
        <v>96.01</v>
      </c>
      <c r="MJ34">
        <f>SOFR3mo_PX[[#This Row],[Column348]]</f>
        <v>95.915000000000006</v>
      </c>
      <c r="MK34">
        <f>SOFR3mo_PX[[#This Row],[Column349]]</f>
        <v>95.885000000000005</v>
      </c>
      <c r="ML34">
        <f>SOFR3mo_PX[[#This Row],[Column350]]</f>
        <v>95.93</v>
      </c>
      <c r="MM34">
        <f>SOFR3mo_PX[[#This Row],[Column351]]</f>
        <v>95.905000000000001</v>
      </c>
      <c r="MN34">
        <f>SOFR3mo_PX[[#This Row],[Column352]]</f>
        <v>95.905000000000001</v>
      </c>
      <c r="MO34">
        <f>SOFR3mo_PX[[#This Row],[Column353]]</f>
        <v>95.944999999999993</v>
      </c>
      <c r="MP34">
        <f>SOFR3mo_PX[[#This Row],[Column354]]</f>
        <v>95.92</v>
      </c>
      <c r="MQ34">
        <f>SOFR3mo_PX[[#This Row],[Column355]]</f>
        <v>95.88</v>
      </c>
      <c r="MR34">
        <f>SOFR3mo_PX[[#This Row],[Column356]]</f>
        <v>95.974999999999994</v>
      </c>
      <c r="MS34">
        <f>SOFR3mo_PX[[#This Row],[Column357]]</f>
        <v>95.954999999999998</v>
      </c>
      <c r="MT34">
        <f>SOFR3mo_PX[[#This Row],[Column358]]</f>
        <v>95.97</v>
      </c>
      <c r="MU34">
        <f>SOFR3mo_PX[[#This Row],[Column359]]</f>
        <v>96.055000000000007</v>
      </c>
      <c r="MV34">
        <f>SOFR3mo_PX[[#This Row],[Column360]]</f>
        <v>96.064999999999998</v>
      </c>
      <c r="MW34">
        <f>SOFR3mo_PX[[#This Row],[Column361]]</f>
        <v>95.974999999999994</v>
      </c>
      <c r="MX34">
        <f>SOFR3mo_PX[[#This Row],[Column362]]</f>
        <v>96.105000000000004</v>
      </c>
      <c r="MY34">
        <f>SOFR3mo_PX[[#This Row],[Column363]]</f>
        <v>96.265000000000001</v>
      </c>
      <c r="MZ34">
        <f>SOFR3mo_PX[[#This Row],[Column364]]</f>
        <v>96.165000000000006</v>
      </c>
      <c r="NA34">
        <f>SOFR3mo_PX[[#This Row],[Column365]]</f>
        <v>96.08</v>
      </c>
      <c r="NB34">
        <f>SOFR3mo_PX[[#This Row],[Column366]]</f>
        <v>96.01</v>
      </c>
      <c r="NC34">
        <f>SOFR3mo_PX[[#This Row],[Column367]]</f>
        <v>95.96</v>
      </c>
      <c r="ND34">
        <f>SOFR3mo_PX[[#This Row],[Column368]]</f>
        <v>95.995000000000005</v>
      </c>
      <c r="NE34">
        <f>SOFR3mo_PX[[#This Row],[Column369]]</f>
        <v>95.974999999999994</v>
      </c>
      <c r="NF34">
        <f>SOFR3mo_PX[[#This Row],[Column370]]</f>
        <v>96.02</v>
      </c>
      <c r="NG34">
        <f>SOFR3mo_PX[[#This Row],[Column371]]</f>
        <v>96.064999999999998</v>
      </c>
      <c r="NH34">
        <f>SOFR3mo_PX[[#This Row],[Column372]]</f>
        <v>96.01</v>
      </c>
      <c r="NI34">
        <f>SOFR3mo_PX[[#This Row],[Column373]]</f>
        <v>96</v>
      </c>
      <c r="NJ34">
        <f>SOFR3mo_PX[[#This Row],[Column374]]</f>
        <v>96.034999999999997</v>
      </c>
      <c r="NK34">
        <f>SOFR3mo_PX[[#This Row],[Column375]]</f>
        <v>96.045000000000002</v>
      </c>
      <c r="NL34">
        <f>SOFR3mo_PX[[#This Row],[Column376]]</f>
        <v>96.16</v>
      </c>
      <c r="NM34">
        <f>SOFR3mo_PX[[#This Row],[Column377]]</f>
        <v>96.16</v>
      </c>
      <c r="NN34">
        <f>SOFR3mo_PX[[#This Row],[Column378]]</f>
        <v>96.204999999999998</v>
      </c>
      <c r="NO34">
        <f>SOFR3mo_PX[[#This Row],[Column379]]</f>
        <v>96.165000000000006</v>
      </c>
      <c r="NP34">
        <f>SOFR3mo_PX[[#This Row],[Column380]]</f>
        <v>96.174999999999997</v>
      </c>
      <c r="NQ34">
        <f>SOFR3mo_PX[[#This Row],[Column381]]</f>
        <v>96.18</v>
      </c>
      <c r="NR34">
        <f>SOFR3mo_PX[[#This Row],[Column382]]</f>
        <v>96.18</v>
      </c>
      <c r="NS34">
        <f>SOFR3mo_PX[[#This Row],[Column383]]</f>
        <v>96.234999999999999</v>
      </c>
      <c r="NT34">
        <f>SOFR3mo_PX[[#This Row],[Column384]]</f>
        <v>96.305000000000007</v>
      </c>
      <c r="NU34">
        <f>SOFR3mo_PX[[#This Row],[Column385]]</f>
        <v>96.26</v>
      </c>
      <c r="NV34">
        <f>SOFR3mo_PX[[#This Row],[Column386]]</f>
        <v>96.28</v>
      </c>
      <c r="NW34">
        <f>SOFR3mo_PX[[#This Row],[Column387]]</f>
        <v>96.28</v>
      </c>
      <c r="NX34">
        <f>SOFR3mo_PX[[#This Row],[Column388]]</f>
        <v>96.305000000000007</v>
      </c>
      <c r="NY34">
        <f>SOFR3mo_PX[[#This Row],[Column389]]</f>
        <v>96.37</v>
      </c>
      <c r="NZ34">
        <f>SOFR3mo_PX[[#This Row],[Column390]]</f>
        <v>96.265000000000001</v>
      </c>
      <c r="OA34">
        <f>SOFR3mo_PX[[#This Row],[Column391]]</f>
        <v>96.25</v>
      </c>
      <c r="OB34">
        <f>SOFR3mo_PX[[#This Row],[Column392]]</f>
        <v>96.25</v>
      </c>
      <c r="OC34">
        <f>SOFR3mo_PX[[#This Row],[Column393]]</f>
        <v>96.284999999999997</v>
      </c>
      <c r="OD34">
        <f>SOFR3mo_PX[[#This Row],[Column394]]</f>
        <v>96.32</v>
      </c>
      <c r="OE34">
        <f>SOFR3mo_PX[[#This Row],[Column395]]</f>
        <v>96.275000000000006</v>
      </c>
      <c r="OF34">
        <f>SOFR3mo_PX[[#This Row],[Column396]]</f>
        <v>96.24</v>
      </c>
      <c r="OG34">
        <f>SOFR3mo_PX[[#This Row],[Column397]]</f>
        <v>96.275000000000006</v>
      </c>
      <c r="OH34">
        <f>SOFR3mo_PX[[#This Row],[Column398]]</f>
        <v>96.25</v>
      </c>
      <c r="OI34">
        <f>SOFR3mo_PX[[#This Row],[Column399]]</f>
        <v>96.15</v>
      </c>
      <c r="OJ34">
        <f>SOFR3mo_PX[[#This Row],[Column400]]</f>
        <v>96.004999999999995</v>
      </c>
      <c r="OK34">
        <f>SOFR3mo_PX[[#This Row],[Column401]]</f>
        <v>95.95</v>
      </c>
      <c r="OL34">
        <f>SOFR3mo_PX[[#This Row],[Column402]]</f>
        <v>95.944999999999993</v>
      </c>
      <c r="OM34">
        <f>SOFR3mo_PX[[#This Row],[Column403]]</f>
        <v>96.055000000000007</v>
      </c>
      <c r="ON34">
        <f>SOFR3mo_PX[[#This Row],[Column404]]</f>
        <v>96.05</v>
      </c>
      <c r="OO34">
        <f>SOFR3mo_PX[[#This Row],[Column405]]</f>
        <v>95.984999999999999</v>
      </c>
      <c r="OP34">
        <f>SOFR3mo_PX[[#This Row],[Column406]]</f>
        <v>95.85</v>
      </c>
      <c r="OQ34">
        <f>SOFR3mo_PX[[#This Row],[Column407]]</f>
        <v>95.88</v>
      </c>
      <c r="OR34">
        <f>SOFR3mo_PX[[#This Row],[Column408]]</f>
        <v>95.765000000000001</v>
      </c>
      <c r="OS34">
        <f>SOFR3mo_PX[[#This Row],[Column409]]</f>
        <v>95.85</v>
      </c>
      <c r="OT34">
        <f>SOFR3mo_PX[[#This Row],[Column410]]</f>
        <v>95.775000000000006</v>
      </c>
      <c r="OU34">
        <f>SOFR3mo_PX[[#This Row],[Column411]]</f>
        <v>95.78</v>
      </c>
      <c r="OV34">
        <f>SOFR3mo_PX[[#This Row],[Column412]]</f>
        <v>95.67</v>
      </c>
      <c r="OW34">
        <f>SOFR3mo_PX[[#This Row],[Column413]]</f>
        <v>95.715000000000003</v>
      </c>
      <c r="OX34">
        <f>SOFR3mo_PX[[#This Row],[Column414]]</f>
        <v>95.715000000000003</v>
      </c>
      <c r="OY34">
        <f>SOFR3mo_PX[[#This Row],[Column415]]</f>
        <v>95.704999999999998</v>
      </c>
      <c r="OZ34">
        <f>SOFR3mo_PX[[#This Row],[Column416]]</f>
        <v>95.724999999999994</v>
      </c>
      <c r="PA34">
        <f>SOFR3mo_PX[[#This Row],[Column417]]</f>
        <v>95.68</v>
      </c>
      <c r="PB34">
        <f>SOFR3mo_PX[[#This Row],[Column418]]</f>
        <v>95.66</v>
      </c>
      <c r="PC34">
        <f>SOFR3mo_PX[[#This Row],[Column419]]</f>
        <v>95.564999999999998</v>
      </c>
      <c r="PD34">
        <f>SOFR3mo_PX[[#This Row],[Column420]]</f>
        <v>95.625</v>
      </c>
      <c r="PE34">
        <f>SOFR3mo_PX[[#This Row],[Column421]]</f>
        <v>95.454999999999998</v>
      </c>
      <c r="PF34">
        <f>SOFR3mo_PX[[#This Row],[Column422]]</f>
        <v>95.444999999999993</v>
      </c>
      <c r="PG34">
        <f>SOFR3mo_PX[[#This Row],[Column423]]</f>
        <v>95.424999999999997</v>
      </c>
      <c r="PH34">
        <f>SOFR3mo_PX[[#This Row],[Column424]]</f>
        <v>95.555000000000007</v>
      </c>
      <c r="PI34">
        <f>SOFR3mo_PX[[#This Row],[Column425]]</f>
        <v>95.47</v>
      </c>
      <c r="PJ34">
        <f>SOFR3mo_PX[[#This Row],[Column426]]</f>
        <v>95.355000000000004</v>
      </c>
      <c r="PK34">
        <f>SOFR3mo_PX[[#This Row],[Column427]]</f>
        <v>95.465000000000003</v>
      </c>
      <c r="PL34">
        <f>SOFR3mo_PX[[#This Row],[Column428]]</f>
        <v>95.344999999999999</v>
      </c>
      <c r="PM34">
        <f>SOFR3mo_PX[[#This Row],[Column429]]</f>
        <v>95.215000000000003</v>
      </c>
      <c r="PN34">
        <f>SOFR3mo_PX[[#This Row],[Column430]]</f>
        <v>95.125</v>
      </c>
      <c r="PO34">
        <f>SOFR3mo_PX[[#This Row],[Column431]]</f>
        <v>95.114999999999995</v>
      </c>
      <c r="PP34">
        <f>SOFR3mo_PX[[#This Row],[Column432]]</f>
        <v>95.125</v>
      </c>
      <c r="PQ34">
        <f>SOFR3mo_PX[[#This Row],[Column433]]</f>
        <v>95.13</v>
      </c>
      <c r="PR34">
        <f>SOFR3mo_PX[[#This Row],[Column434]]</f>
        <v>95.02</v>
      </c>
      <c r="PS34">
        <f>SOFR3mo_PX[[#This Row],[Column435]]</f>
        <v>95.16</v>
      </c>
      <c r="PT34">
        <f>SOFR3mo_PX[[#This Row],[Column436]]</f>
        <v>95.155000000000001</v>
      </c>
      <c r="PU34">
        <f>SOFR3mo_PX[[#This Row],[Column437]]</f>
        <v>95.05</v>
      </c>
      <c r="PV34">
        <f>SOFR3mo_PX[[#This Row],[Column438]]</f>
        <v>94.974999999999994</v>
      </c>
      <c r="PW34">
        <f>SOFR3mo_PX[[#This Row],[Column439]]</f>
        <v>95.105000000000004</v>
      </c>
      <c r="PX34">
        <f>SOFR3mo_PX[[#This Row],[Column440]]</f>
        <v>95.15</v>
      </c>
      <c r="PY34">
        <f>SOFR3mo_PX[[#This Row],[Column441]]</f>
        <v>95.275000000000006</v>
      </c>
      <c r="PZ34">
        <f>SOFR3mo_PX[[#This Row],[Column442]]</f>
        <v>95.35</v>
      </c>
      <c r="QA34">
        <f>SOFR3mo_PX[[#This Row],[Column443]]</f>
        <v>95.245000000000005</v>
      </c>
      <c r="QB34">
        <f>SOFR3mo_PX[[#This Row],[Column444]]</f>
        <v>95.36</v>
      </c>
      <c r="QC34">
        <f>SOFR3mo_PX[[#This Row],[Column445]]</f>
        <v>95.27</v>
      </c>
      <c r="QD34">
        <f>SOFR3mo_PX[[#This Row],[Column446]]</f>
        <v>95.25</v>
      </c>
      <c r="QE34">
        <f>SOFR3mo_PX[[#This Row],[Column447]]</f>
        <v>95.13</v>
      </c>
      <c r="QF34">
        <f>SOFR3mo_PX[[#This Row],[Column448]]</f>
        <v>95.19</v>
      </c>
      <c r="QG34">
        <f>SOFR3mo_PX[[#This Row],[Column449]]</f>
        <v>95.165000000000006</v>
      </c>
      <c r="QH34">
        <f>SOFR3mo_PX[[#This Row],[Column450]]</f>
        <v>95.11</v>
      </c>
      <c r="QI34">
        <f>SOFR3mo_PX[[#This Row],[Column451]]</f>
        <v>95.24</v>
      </c>
      <c r="QJ34">
        <f>SOFR3mo_PX[[#This Row],[Column452]]</f>
        <v>95.415000000000006</v>
      </c>
      <c r="QK34">
        <f>SOFR3mo_PX[[#This Row],[Column453]]</f>
        <v>95.405000000000001</v>
      </c>
      <c r="QL34">
        <f>SOFR3mo_PX[[#This Row],[Column454]]</f>
        <v>95.43</v>
      </c>
      <c r="QM34">
        <f>SOFR3mo_PX[[#This Row],[Column455]]</f>
        <v>95.504999999999995</v>
      </c>
      <c r="QN34">
        <f>SOFR3mo_PX[[#This Row],[Column456]]</f>
        <v>95.515000000000001</v>
      </c>
      <c r="QO34">
        <f>SOFR3mo_PX[[#This Row],[Column457]]</f>
        <v>95.665000000000006</v>
      </c>
      <c r="QP34">
        <f>SOFR3mo_PX[[#This Row],[Column458]]</f>
        <v>95.635000000000005</v>
      </c>
      <c r="QQ34">
        <f>SOFR3mo_PX[[#This Row],[Column459]]</f>
        <v>95.8</v>
      </c>
      <c r="QR34">
        <f>SOFR3mo_PX[[#This Row],[Column460]]</f>
        <v>95.79</v>
      </c>
      <c r="QS34">
        <f>SOFR3mo_PX[[#This Row],[Column461]]</f>
        <v>95.825000000000003</v>
      </c>
      <c r="QT34">
        <f>SOFR3mo_PX[[#This Row],[Column462]]</f>
        <v>95.805000000000007</v>
      </c>
      <c r="QU34">
        <f>SOFR3mo_PX[[#This Row],[Column463]]</f>
        <v>95.84</v>
      </c>
      <c r="QV34">
        <f>SOFR3mo_PX[[#This Row],[Column464]]</f>
        <v>95.9</v>
      </c>
      <c r="QW34">
        <f>SOFR3mo_PX[[#This Row],[Column465]]</f>
        <v>95.88</v>
      </c>
      <c r="QX34">
        <f>SOFR3mo_PX[[#This Row],[Column466]]</f>
        <v>95.834999999999994</v>
      </c>
      <c r="QY34">
        <f>SOFR3mo_PX[[#This Row],[Column467]]</f>
        <v>95.875</v>
      </c>
      <c r="QZ34">
        <f>SOFR3mo_PX[[#This Row],[Column468]]</f>
        <v>95.864999999999995</v>
      </c>
      <c r="RA34">
        <f>SOFR3mo_PX[[#This Row],[Column469]]</f>
        <v>95.85</v>
      </c>
      <c r="RB34">
        <f>SOFR3mo_PX[[#This Row],[Column470]]</f>
        <v>95.844999999999999</v>
      </c>
      <c r="RC34">
        <f>SOFR3mo_PX[[#This Row],[Column471]]</f>
        <v>95.915000000000006</v>
      </c>
      <c r="RD34">
        <f>SOFR3mo_PX[[#This Row],[Column472]]</f>
        <v>95.915000000000006</v>
      </c>
      <c r="RE34">
        <f>SOFR3mo_PX[[#This Row],[Column473]]</f>
        <v>96.01</v>
      </c>
      <c r="RF34">
        <f>SOFR3mo_PX[[#This Row],[Column474]]</f>
        <v>95.984999999999999</v>
      </c>
      <c r="RG34">
        <f>SOFR3mo_PX[[#This Row],[Column475]]</f>
        <v>95.99</v>
      </c>
      <c r="RH34">
        <f>SOFR3mo_PX[[#This Row],[Column476]]</f>
        <v>95.954999999999998</v>
      </c>
      <c r="RI34">
        <f>SOFR3mo_PX[[#This Row],[Column477]]</f>
        <v>95.915000000000006</v>
      </c>
      <c r="RJ34">
        <f>SOFR3mo_PX[[#This Row],[Column478]]</f>
        <v>95.91</v>
      </c>
      <c r="RK34">
        <f>SOFR3mo_PX[[#This Row],[Column479]]</f>
        <v>95.935000000000002</v>
      </c>
      <c r="RL34">
        <f>SOFR3mo_PX[[#This Row],[Column480]]</f>
        <v>95.784999999999997</v>
      </c>
      <c r="RM34">
        <f>SOFR3mo_PX[[#This Row],[Column481]]</f>
        <v>95.754999999999995</v>
      </c>
      <c r="RN34">
        <f>SOFR3mo_PX[[#This Row],[Column482]]</f>
        <v>95.85</v>
      </c>
      <c r="RO34">
        <f>SOFR3mo_PX[[#This Row],[Column483]]</f>
        <v>95.775000000000006</v>
      </c>
      <c r="RP34">
        <f>SOFR3mo_PX[[#This Row],[Column484]]</f>
        <v>95.86</v>
      </c>
      <c r="RQ34">
        <f>SOFR3mo_PX[[#This Row],[Column485]]</f>
        <v>95.894999999999996</v>
      </c>
      <c r="RR34">
        <f>SOFR3mo_PX[[#This Row],[Column486]]</f>
        <v>95.954999999999998</v>
      </c>
      <c r="RS34">
        <f>SOFR3mo_PX[[#This Row],[Column487]]</f>
        <v>95.93</v>
      </c>
      <c r="RT34">
        <f>SOFR3mo_PX[[#This Row],[Column488]]</f>
        <v>96.02</v>
      </c>
      <c r="RU34">
        <f>SOFR3mo_PX[[#This Row],[Column489]]</f>
        <v>96.125</v>
      </c>
      <c r="RV34">
        <f>SOFR3mo_PX[[#This Row],[Column490]]</f>
        <v>96.09</v>
      </c>
      <c r="RW34">
        <f>SOFR3mo_PX[[#This Row],[Column491]]</f>
        <v>96.025000000000006</v>
      </c>
      <c r="RX34">
        <f>SOFR3mo_PX[[#This Row],[Column492]]</f>
        <v>96.05</v>
      </c>
      <c r="RY34">
        <f>SOFR3mo_PX[[#This Row],[Column493]]</f>
        <v>95.91</v>
      </c>
      <c r="RZ34">
        <f>SOFR3mo_PX[[#This Row],[Column494]]</f>
        <v>96.08</v>
      </c>
      <c r="SA34">
        <f>SOFR3mo_PX[[#This Row],[Column495]]</f>
        <v>96.135000000000005</v>
      </c>
      <c r="SB34">
        <f>SOFR3mo_PX[[#This Row],[Column496]]</f>
        <v>96.224999999999994</v>
      </c>
      <c r="SC34">
        <f>SOFR3mo_PX[[#This Row],[Column497]]</f>
        <v>96.22</v>
      </c>
      <c r="SD34">
        <f>SOFR3mo_PX[[#This Row],[Column498]]</f>
        <v>96.174999999999997</v>
      </c>
      <c r="SE34">
        <f>SOFR3mo_PX[[#This Row],[Column499]]</f>
        <v>96.344999999999999</v>
      </c>
      <c r="SF34">
        <f>SOFR3mo_PX[[#This Row],[Column500]]</f>
        <v>96.295000000000002</v>
      </c>
      <c r="SG34">
        <f>SOFR3mo_PX[[#This Row],[Column501]]</f>
        <v>96.355000000000004</v>
      </c>
      <c r="SH34">
        <f>SOFR3mo_PX[[#This Row],[Column502]]</f>
        <v>96.364999999999995</v>
      </c>
      <c r="SI34">
        <f>SOFR3mo_PX[[#This Row],[Column503]]</f>
        <v>96.344999999999999</v>
      </c>
      <c r="SJ34">
        <f>SOFR3mo_PX[[#This Row],[Column504]]</f>
        <v>96.465000000000003</v>
      </c>
      <c r="SK34">
        <f>SOFR3mo_PX[[#This Row],[Column505]]</f>
        <v>96.424999999999997</v>
      </c>
      <c r="SL34">
        <f>SOFR3mo_PX[[#This Row],[Column506]]</f>
        <v>96.41</v>
      </c>
      <c r="SM34">
        <f>SOFR3mo_PX[[#This Row],[Column507]]</f>
        <v>96.37</v>
      </c>
      <c r="SN34">
        <f>SOFR3mo_PX[[#This Row],[Column508]]</f>
        <v>96.38</v>
      </c>
      <c r="SO34">
        <f>SOFR3mo_PX[[#This Row],[Column509]]</f>
        <v>96.35</v>
      </c>
      <c r="SP34">
        <f>SOFR3mo_PX[[#This Row],[Column510]]</f>
        <v>96.26</v>
      </c>
      <c r="SQ34">
        <f>SOFR3mo_PX[[#This Row],[Column511]]</f>
        <v>96.194999999999993</v>
      </c>
      <c r="SR34">
        <f>SOFR3mo_PX[[#This Row],[Column512]]</f>
        <v>96.155000000000001</v>
      </c>
      <c r="SS34">
        <f>SOFR3mo_PX[[#This Row],[Column513]]</f>
        <v>96.21</v>
      </c>
      <c r="ST34">
        <f>SOFR3mo_PX[[#This Row],[Column514]]</f>
        <v>96.31</v>
      </c>
      <c r="SU34">
        <f>SOFR3mo_PX[[#This Row],[Column515]]</f>
        <v>96.415000000000006</v>
      </c>
      <c r="SV34">
        <f>SOFR3mo_PX[[#This Row],[Column516]]</f>
        <v>96.415000000000006</v>
      </c>
      <c r="SW34">
        <f>SOFR3mo_PX[[#This Row],[Column517]]</f>
        <v>96.45</v>
      </c>
      <c r="SX34">
        <f>SOFR3mo_PX[[#This Row],[Column518]]</f>
        <v>96.385000000000005</v>
      </c>
      <c r="SY34">
        <f>SOFR3mo_PX[[#This Row],[Column519]]</f>
        <v>96.53</v>
      </c>
      <c r="SZ34">
        <f>SOFR3mo_PX[[#This Row],[Column520]]</f>
        <v>96.474999999999994</v>
      </c>
      <c r="TA34">
        <f>SOFR3mo_PX[[#This Row],[Column521]]</f>
        <v>96.504999999999995</v>
      </c>
      <c r="TB34">
        <f>SOFR3mo_PX[[#This Row],[Column522]]</f>
        <v>96.474999999999994</v>
      </c>
      <c r="TC34">
        <f>SOFR3mo_PX[[#This Row],[Column523]]</f>
        <v>96.405000000000001</v>
      </c>
      <c r="TD34">
        <f>SOFR3mo_PX[[#This Row],[Column524]]</f>
        <v>96.48</v>
      </c>
      <c r="TE34">
        <f>SOFR3mo_PX[[#This Row],[Column525]]</f>
        <v>96.495000000000005</v>
      </c>
      <c r="TF34">
        <f>SOFR3mo_PX[[#This Row],[Column526]]</f>
        <v>96.424999999999997</v>
      </c>
      <c r="TG34">
        <f>SOFR3mo_PX[[#This Row],[Column527]]</f>
        <v>96.424999999999997</v>
      </c>
      <c r="TH34">
        <f>SOFR3mo_PX[[#This Row],[Column528]]</f>
        <v>96.46</v>
      </c>
      <c r="TI34">
        <f>SOFR3mo_PX[[#This Row],[Column529]]</f>
        <v>96.39</v>
      </c>
      <c r="TJ34">
        <f>SOFR3mo_PX[[#This Row],[Column530]]</f>
        <v>96.31</v>
      </c>
      <c r="TK34">
        <f>SOFR3mo_PX[[#This Row],[Column531]]</f>
        <v>96.385000000000005</v>
      </c>
      <c r="TL34">
        <f>SOFR3mo_PX[[#This Row],[Column532]]</f>
        <v>96.39</v>
      </c>
      <c r="TM34">
        <f>SOFR3mo_PX[[#This Row],[Column533]]</f>
        <v>96.394999999999996</v>
      </c>
      <c r="TN34">
        <f>SOFR3mo_PX[[#This Row],[Column534]]</f>
        <v>96.32</v>
      </c>
      <c r="TO34">
        <f>SOFR3mo_PX[[#This Row],[Column535]]</f>
        <v>96.424999999999997</v>
      </c>
      <c r="TP34">
        <f>SOFR3mo_PX[[#This Row],[Column536]]</f>
        <v>96.405000000000001</v>
      </c>
      <c r="TQ34">
        <f>SOFR3mo_PX[[#This Row],[Column537]]</f>
        <v>96.375</v>
      </c>
      <c r="TR34">
        <f>SOFR3mo_PX[[#This Row],[Column538]]</f>
        <v>96.474999999999994</v>
      </c>
      <c r="TS34">
        <f>SOFR3mo_PX[[#This Row],[Column539]]</f>
        <v>96.46</v>
      </c>
      <c r="TT34">
        <f>SOFR3mo_PX[[#This Row],[Column540]]</f>
        <v>96.415000000000006</v>
      </c>
      <c r="TU34">
        <f>SOFR3mo_PX[[#This Row],[Column541]]</f>
        <v>96.305000000000007</v>
      </c>
      <c r="TV34">
        <f>SOFR3mo_PX[[#This Row],[Column542]]</f>
        <v>96.305000000000007</v>
      </c>
      <c r="TW34">
        <f>SOFR3mo_PX[[#This Row],[Column543]]</f>
        <v>96.29</v>
      </c>
      <c r="TX34">
        <f>SOFR3mo_PX[[#This Row],[Column544]]</f>
        <v>96.375</v>
      </c>
      <c r="TY34">
        <f>SOFR3mo_PX[[#This Row],[Column545]]</f>
        <v>96.39</v>
      </c>
      <c r="TZ34">
        <f>SOFR3mo_PX[[#This Row],[Column546]]</f>
        <v>96.36</v>
      </c>
      <c r="UA34">
        <f>SOFR3mo_PX[[#This Row],[Column547]]</f>
        <v>96.35</v>
      </c>
      <c r="UB34">
        <f>SOFR3mo_PX[[#This Row],[Column548]]</f>
        <v>96.405000000000001</v>
      </c>
      <c r="UC34">
        <f>SOFR3mo_PX[[#This Row],[Column549]]</f>
        <v>96.46</v>
      </c>
      <c r="UD34">
        <f>SOFR3mo_PX[[#This Row],[Column550]]</f>
        <v>96.474999999999994</v>
      </c>
      <c r="UE34">
        <f>SOFR3mo_PX[[#This Row],[Column551]]</f>
        <v>96.53</v>
      </c>
      <c r="UF34">
        <f>SOFR3mo_PX[[#This Row],[Column552]]</f>
        <v>96.57</v>
      </c>
      <c r="UG34">
        <f>SOFR3mo_PX[[#This Row],[Column553]]</f>
        <v>96.61</v>
      </c>
      <c r="UH34">
        <f>SOFR3mo_PX[[#This Row],[Column554]]</f>
        <v>96.564999999999998</v>
      </c>
      <c r="UI34">
        <f>SOFR3mo_PX[[#This Row],[Column555]]</f>
        <v>96.5</v>
      </c>
      <c r="UJ34">
        <f>SOFR3mo_PX[[#This Row],[Column556]]</f>
        <v>96.51</v>
      </c>
      <c r="UK34">
        <f>SOFR3mo_PX[[#This Row],[Column557]]</f>
        <v>96.555000000000007</v>
      </c>
      <c r="UL34">
        <f>SOFR3mo_PX[[#This Row],[Column558]]</f>
        <v>96.625</v>
      </c>
      <c r="UM34">
        <f>SOFR3mo_PX[[#This Row],[Column559]]</f>
        <v>96.575000000000003</v>
      </c>
      <c r="UN34">
        <f>SOFR3mo_PX[[#This Row],[Column560]]</f>
        <v>96.56</v>
      </c>
      <c r="UO34">
        <f>SOFR3mo_PX[[#This Row],[Column561]]</f>
        <v>96.43</v>
      </c>
      <c r="UP34">
        <f>SOFR3mo_PX[[#This Row],[Column562]]</f>
        <v>96.56</v>
      </c>
      <c r="UQ34">
        <f>SOFR3mo_PX[[#This Row],[Column563]]</f>
        <v>96.56</v>
      </c>
      <c r="UR34">
        <f>SOFR3mo_PX[[#This Row],[Column564]]</f>
        <v>96.635000000000005</v>
      </c>
      <c r="US34">
        <f>SOFR3mo_PX[[#This Row],[Column565]]</f>
        <v>96.685000000000002</v>
      </c>
      <c r="UT34">
        <f>SOFR3mo_PX[[#This Row],[Column566]]</f>
        <v>96.625</v>
      </c>
      <c r="UU34">
        <f>SOFR3mo_PX[[#This Row],[Column567]]</f>
        <v>96.57</v>
      </c>
      <c r="UV34">
        <f>SOFR3mo_PX[[#This Row],[Column568]]</f>
        <v>96.614999999999995</v>
      </c>
      <c r="UW34">
        <f>SOFR3mo_PX[[#This Row],[Column569]]</f>
        <v>96.58</v>
      </c>
      <c r="UX34">
        <f>SOFR3mo_PX[[#This Row],[Column570]]</f>
        <v>96.6</v>
      </c>
      <c r="UY34">
        <f>SOFR3mo_PX[[#This Row],[Column571]]</f>
        <v>96.555000000000007</v>
      </c>
      <c r="UZ34">
        <f>SOFR3mo_PX[[#This Row],[Column572]]</f>
        <v>96.614999999999995</v>
      </c>
      <c r="VA34">
        <f>SOFR3mo_PX[[#This Row],[Column573]]</f>
        <v>96.67</v>
      </c>
      <c r="VB34">
        <f>SOFR3mo_PX[[#This Row],[Column574]]</f>
        <v>96.724999999999994</v>
      </c>
      <c r="VC34">
        <f>SOFR3mo_PX[[#This Row],[Column575]]</f>
        <v>96.724999999999994</v>
      </c>
      <c r="VD34">
        <f>SOFR3mo_PX[[#This Row],[Column576]]</f>
        <v>96.715000000000003</v>
      </c>
      <c r="VE34">
        <f>SOFR3mo_PX[[#This Row],[Column577]]</f>
        <v>96.77</v>
      </c>
      <c r="VF34">
        <f>SOFR3mo_PX[[#This Row],[Column578]]</f>
        <v>96.844999999999999</v>
      </c>
      <c r="VG34">
        <f>SOFR3mo_PX[[#This Row],[Column579]]</f>
        <v>96.83</v>
      </c>
      <c r="VH34">
        <f>SOFR3mo_PX[[#This Row],[Column580]]</f>
        <v>96.795000000000002</v>
      </c>
      <c r="VI34">
        <f>SOFR3mo_PX[[#This Row],[Column581]]</f>
        <v>96.734999999999999</v>
      </c>
      <c r="VJ34">
        <f>SOFR3mo_PX[[#This Row],[Column582]]</f>
        <v>96.68</v>
      </c>
      <c r="VK34">
        <f>SOFR3mo_PX[[#This Row],[Column583]]</f>
        <v>96.644999999999996</v>
      </c>
      <c r="VL34">
        <f>SOFR3mo_PX[[#This Row],[Column584]]</f>
        <v>96.62</v>
      </c>
      <c r="VM34">
        <f>SOFR3mo_PX[[#This Row],[Column585]]</f>
        <v>96.61</v>
      </c>
      <c r="VN34">
        <f>SOFR3mo_PX[[#This Row],[Column586]]</f>
        <v>96.64</v>
      </c>
      <c r="VO34">
        <f>SOFR3mo_PX[[#This Row],[Column587]]</f>
        <v>96.76</v>
      </c>
      <c r="VP34">
        <f>SOFR3mo_PX[[#This Row],[Column588]]</f>
        <v>96.72</v>
      </c>
      <c r="VQ34">
        <f>SOFR3mo_PX[[#This Row],[Column589]]</f>
        <v>96.67</v>
      </c>
      <c r="VR34">
        <f>SOFR3mo_PX[[#This Row],[Column590]]</f>
        <v>96.614999999999995</v>
      </c>
      <c r="VS34">
        <f>SOFR3mo_PX[[#This Row],[Column591]]</f>
        <v>96.64</v>
      </c>
      <c r="VT34">
        <f>SOFR3mo_PX[[#This Row],[Column592]]</f>
        <v>96.715000000000003</v>
      </c>
      <c r="VU34">
        <f>SOFR3mo_PX[[#This Row],[Column593]]</f>
        <v>96.53</v>
      </c>
      <c r="VV34">
        <f>SOFR3mo_PX[[#This Row],[Column594]]</f>
        <v>96.614999999999995</v>
      </c>
      <c r="VW34">
        <f>SOFR3mo_PX[[#This Row],[Column595]]</f>
        <v>96.51</v>
      </c>
      <c r="VX34">
        <f>SOFR3mo_PX[[#This Row],[Column596]]</f>
        <v>96.584999999999994</v>
      </c>
      <c r="VY34">
        <f>SOFR3mo_PX[[#This Row],[Column597]]</f>
        <v>96.564999999999998</v>
      </c>
      <c r="VZ34">
        <f>SOFR3mo_PX[[#This Row],[Column598]]</f>
        <v>96.364999999999995</v>
      </c>
      <c r="WA34">
        <f>SOFR3mo_PX[[#This Row],[Column599]]</f>
        <v>96.41</v>
      </c>
      <c r="WB34">
        <f>SOFR3mo_PX[[#This Row],[Column600]]</f>
        <v>96.39</v>
      </c>
      <c r="WC34">
        <f>SOFR3mo_PX[[#This Row],[Column601]]</f>
        <v>96.314999999999998</v>
      </c>
      <c r="WD34">
        <f>SOFR3mo_PX[[#This Row],[Column602]]</f>
        <v>96.314999999999998</v>
      </c>
      <c r="WE34">
        <f>SOFR3mo_PX[[#This Row],[Column603]]</f>
        <v>96.19</v>
      </c>
      <c r="WF34">
        <f>SOFR3mo_PX[[#This Row],[Column604]]</f>
        <v>96.295000000000002</v>
      </c>
      <c r="WG34">
        <f>SOFR3mo_PX[[#This Row],[Column605]]</f>
        <v>96.38</v>
      </c>
      <c r="WH34">
        <f>SOFR3mo_PX[[#This Row],[Column606]]</f>
        <v>96.38</v>
      </c>
      <c r="WI34">
        <f>SOFR3mo_PX[[#This Row],[Column607]]</f>
        <v>96.34</v>
      </c>
      <c r="WJ34">
        <f>SOFR3mo_PX[[#This Row],[Column608]]</f>
        <v>96.39</v>
      </c>
      <c r="WK34">
        <f>SOFR3mo_PX[[#This Row],[Column609]]</f>
        <v>96.34</v>
      </c>
      <c r="WL34">
        <f>SOFR3mo_PX[[#This Row],[Column610]]</f>
        <v>96.305000000000007</v>
      </c>
      <c r="WM34">
        <f>SOFR3mo_PX[[#This Row],[Column611]]</f>
        <v>96.454999999999998</v>
      </c>
      <c r="WN34">
        <f>SOFR3mo_PX[[#This Row],[Column612]]</f>
        <v>96.454999999999998</v>
      </c>
      <c r="WO34">
        <f>SOFR3mo_PX[[#This Row],[Column613]]</f>
        <v>96.435000000000002</v>
      </c>
      <c r="WP34">
        <f>SOFR3mo_PX[[#This Row],[Column614]]</f>
        <v>96.474999999999994</v>
      </c>
      <c r="WQ34">
        <f>SOFR3mo_PX[[#This Row],[Column615]]</f>
        <v>96.54</v>
      </c>
      <c r="WR34">
        <f>SOFR3mo_PX[[#This Row],[Column616]]</f>
        <v>96.525000000000006</v>
      </c>
      <c r="WS34">
        <f>SOFR3mo_PX[[#This Row],[Column617]]</f>
        <v>96.495000000000005</v>
      </c>
      <c r="WT34">
        <f>SOFR3mo_PX[[#This Row],[Column618]]</f>
        <v>96.56</v>
      </c>
      <c r="WU34">
        <f>SOFR3mo_PX[[#This Row],[Column619]]</f>
        <v>96.58</v>
      </c>
      <c r="WV34">
        <f>SOFR3mo_PX[[#This Row],[Column620]]</f>
        <v>96.56</v>
      </c>
      <c r="WW34">
        <f>SOFR3mo_PX[[#This Row],[Column621]]</f>
        <v>96.584999999999994</v>
      </c>
      <c r="WX34">
        <f>SOFR3mo_PX[[#This Row],[Column622]]</f>
        <v>96.66</v>
      </c>
      <c r="WY34">
        <f>SOFR3mo_PX[[#This Row],[Column623]]</f>
        <v>96.75</v>
      </c>
      <c r="WZ34">
        <f>SOFR3mo_PX[[#This Row],[Column624]]</f>
        <v>96.784999999999997</v>
      </c>
      <c r="XA34">
        <f>SOFR3mo_PX[[#This Row],[Column625]]</f>
        <v>96.685000000000002</v>
      </c>
      <c r="XB34">
        <f>SOFR3mo_PX[[#This Row],[Column626]]</f>
        <v>96.655000000000001</v>
      </c>
      <c r="XC34">
        <f>SOFR3mo_PX[[#This Row],[Column627]]</f>
        <v>96.69</v>
      </c>
      <c r="XD34">
        <f>SOFR3mo_PX[[#This Row],[Column628]]</f>
        <v>96.74</v>
      </c>
      <c r="XE34">
        <f>SOFR3mo_PX[[#This Row],[Column629]]</f>
        <v>96.754999999999995</v>
      </c>
      <c r="XF34">
        <f>SOFR3mo_PX[[#This Row],[Column630]]</f>
        <v>96.754999999999995</v>
      </c>
      <c r="XG34">
        <f>SOFR3mo_PX[[#This Row],[Column631]]</f>
        <v>96.68</v>
      </c>
      <c r="XH34">
        <f>SOFR3mo_PX[[#This Row],[Column632]]</f>
        <v>96.724999999999994</v>
      </c>
      <c r="XI34">
        <f>SOFR3mo_PX[[#This Row],[Column633]]</f>
        <v>96.814999999999998</v>
      </c>
      <c r="XJ34">
        <f>SOFR3mo_PX[[#This Row],[Column634]]</f>
        <v>96.844999999999999</v>
      </c>
      <c r="XK34">
        <f>SOFR3mo_PX[[#This Row],[Column635]]</f>
        <v>96.72</v>
      </c>
      <c r="XL34">
        <f>SOFR3mo_PX[[#This Row],[Column636]]</f>
        <v>96.765000000000001</v>
      </c>
      <c r="XM34">
        <f>SOFR3mo_PX[[#This Row],[Column637]]</f>
        <v>96.765000000000001</v>
      </c>
      <c r="XN34">
        <f>SOFR3mo_PX[[#This Row],[Column638]]</f>
        <v>96.79</v>
      </c>
      <c r="XO34">
        <f>SOFR3mo_PX[[#This Row],[Column639]]</f>
        <v>96.715000000000003</v>
      </c>
      <c r="XP34">
        <f>SOFR3mo_PX[[#This Row],[Column640]]</f>
        <v>96.66</v>
      </c>
      <c r="XQ34">
        <f>SOFR3mo_PX[[#This Row],[Column641]]</f>
        <v>96.775000000000006</v>
      </c>
      <c r="XR34">
        <f>SOFR3mo_PX[[#This Row],[Column642]]</f>
        <v>96.73</v>
      </c>
      <c r="XS34">
        <f>SOFR3mo_PX[[#This Row],[Column643]]</f>
        <v>96.58</v>
      </c>
      <c r="XT34">
        <f>SOFR3mo_PX[[#This Row],[Column644]]</f>
        <v>96.564999999999998</v>
      </c>
      <c r="XU34">
        <f>SOFR3mo_PX[[#This Row],[Column645]]</f>
        <v>96.465000000000003</v>
      </c>
      <c r="XV34">
        <f>SOFR3mo_PX[[#This Row],[Column646]]</f>
        <v>96.394999999999996</v>
      </c>
      <c r="XW34">
        <f>SOFR3mo_PX[[#This Row],[Column647]]</f>
        <v>96.394999999999996</v>
      </c>
      <c r="XX34">
        <f>SOFR3mo_PX[[#This Row],[Column648]]</f>
        <v>96.355000000000004</v>
      </c>
      <c r="XY34">
        <f>SOFR3mo_PX[[#This Row],[Column649]]</f>
        <v>96.3</v>
      </c>
      <c r="XZ34">
        <f>SOFR3mo_PX[[#This Row],[Column650]]</f>
        <v>96.385000000000005</v>
      </c>
      <c r="YA34">
        <f>SOFR3mo_PX[[#This Row],[Column651]]</f>
        <v>96.47</v>
      </c>
      <c r="YB34">
        <f>SOFR3mo_PX[[#This Row],[Column652]]</f>
        <v>96.47</v>
      </c>
      <c r="YC34">
        <f>SOFR3mo_PX[[#This Row],[Column653]]</f>
        <v>96.5</v>
      </c>
      <c r="YD34">
        <f>SOFR3mo_PX[[#This Row],[Column654]]</f>
        <v>96.474999999999994</v>
      </c>
      <c r="YE34">
        <f>SOFR3mo_PX[[#This Row],[Column655]]</f>
        <v>96.52</v>
      </c>
      <c r="YF34">
        <f>SOFR3mo_PX[[#This Row],[Column656]]</f>
        <v>96.66</v>
      </c>
      <c r="YG34">
        <f>SOFR3mo_PX[[#This Row],[Column657]]</f>
        <v>96.754999999999995</v>
      </c>
      <c r="YH34">
        <f>SOFR3mo_PX[[#This Row],[Column658]]</f>
        <v>96.82</v>
      </c>
      <c r="YI34">
        <f>SOFR3mo_PX[[#This Row],[Column659]]</f>
        <v>96.76</v>
      </c>
      <c r="YJ34">
        <f>SOFR3mo_PX[[#This Row],[Column660]]</f>
        <v>96.76</v>
      </c>
      <c r="YK34">
        <f>SOFR3mo_PX[[#This Row],[Column661]]</f>
        <v>96.66</v>
      </c>
      <c r="YL34">
        <f>SOFR3mo_PX[[#This Row],[Column662]]</f>
        <v>96.694999999999993</v>
      </c>
      <c r="YM34">
        <f>SOFR3mo_PX[[#This Row],[Column663]]</f>
        <v>96.784999999999997</v>
      </c>
      <c r="YN34">
        <f>SOFR3mo_PX[[#This Row],[Column664]]</f>
        <v>96.894999999999996</v>
      </c>
      <c r="YO34">
        <f>SOFR3mo_PX[[#This Row],[Column665]]</f>
        <v>96.784999999999997</v>
      </c>
      <c r="YP34">
        <f>SOFR3mo_PX[[#This Row],[Column666]]</f>
        <v>96.69</v>
      </c>
      <c r="YQ34">
        <f>SOFR3mo_PX[[#This Row],[Column667]]</f>
        <v>96.79</v>
      </c>
      <c r="YR34">
        <f>SOFR3mo_PX[[#This Row],[Column668]]</f>
        <v>96.745000000000005</v>
      </c>
      <c r="YS34">
        <f>SOFR3mo_PX[[#This Row],[Column669]]</f>
        <v>96.584999999999994</v>
      </c>
      <c r="YT34">
        <f>SOFR3mo_PX[[#This Row],[Column670]]</f>
        <v>96.555000000000007</v>
      </c>
      <c r="YU34">
        <f>SOFR3mo_PX[[#This Row],[Column671]]</f>
        <v>96.6</v>
      </c>
      <c r="YV34">
        <f>SOFR3mo_PX[[#This Row],[Column672]]</f>
        <v>96.584999999999994</v>
      </c>
      <c r="YW34">
        <f>SOFR3mo_PX[[#This Row],[Column673]]</f>
        <v>96.57</v>
      </c>
      <c r="YX34">
        <f>SOFR3mo_PX[[#This Row],[Column674]]</f>
        <v>96.57</v>
      </c>
      <c r="YY34">
        <f>SOFR3mo_PX[[#This Row],[Column675]]</f>
        <v>96.5</v>
      </c>
      <c r="YZ34">
        <f>SOFR3mo_PX[[#This Row],[Column676]]</f>
        <v>96.4</v>
      </c>
      <c r="ZA34">
        <f>SOFR3mo_PX[[#This Row],[Column677]]</f>
        <v>96.38</v>
      </c>
      <c r="ZB34">
        <f>SOFR3mo_PX[[#This Row],[Column678]]</f>
        <v>96.45</v>
      </c>
      <c r="ZC34">
        <f>SOFR3mo_PX[[#This Row],[Column679]]</f>
        <v>96.504999999999995</v>
      </c>
      <c r="ZD34">
        <f>SOFR3mo_PX[[#This Row],[Column680]]</f>
        <v>96.38</v>
      </c>
      <c r="ZE34">
        <f>SOFR3mo_PX[[#This Row],[Column681]]</f>
        <v>96.305000000000007</v>
      </c>
      <c r="ZF34">
        <f>SOFR3mo_PX[[#This Row],[Column682]]</f>
        <v>96.355000000000004</v>
      </c>
      <c r="ZG34">
        <f>SOFR3mo_PX[[#This Row],[Column683]]</f>
        <v>96.344999999999999</v>
      </c>
      <c r="ZH34">
        <f>SOFR3mo_PX[[#This Row],[Column684]]</f>
        <v>96.05</v>
      </c>
      <c r="ZI34">
        <f>SOFR3mo_PX[[#This Row],[Column685]]</f>
        <v>96.09</v>
      </c>
      <c r="ZJ34">
        <f>SOFR3mo_PX[[#This Row],[Column686]]</f>
        <v>96.004999999999995</v>
      </c>
      <c r="ZK34">
        <f>SOFR3mo_PX[[#This Row],[Column687]]</f>
        <v>96.02</v>
      </c>
      <c r="ZL34">
        <f>SOFR3mo_PX[[#This Row],[Column688]]</f>
        <v>96.05</v>
      </c>
      <c r="ZM34">
        <f>SOFR3mo_PX[[#This Row],[Column689]]</f>
        <v>96.055000000000007</v>
      </c>
      <c r="ZN34">
        <f>SOFR3mo_PX[[#This Row],[Column690]]</f>
        <v>96.034999999999997</v>
      </c>
      <c r="ZO34">
        <f>SOFR3mo_PX[[#This Row],[Column691]]</f>
        <v>95.995000000000005</v>
      </c>
      <c r="ZP34">
        <f>SOFR3mo_PX[[#This Row],[Column692]]</f>
        <v>96.025000000000006</v>
      </c>
      <c r="ZQ34">
        <f>SOFR3mo_PX[[#This Row],[Column693]]</f>
        <v>96.12</v>
      </c>
      <c r="ZR34">
        <f>SOFR3mo_PX[[#This Row],[Column694]]</f>
        <v>96.06</v>
      </c>
      <c r="ZS34">
        <f>SOFR3mo_PX[[#This Row],[Column695]]</f>
        <v>95.97</v>
      </c>
      <c r="ZT34">
        <f>SOFR3mo_PX[[#This Row],[Column696]]</f>
        <v>95.83</v>
      </c>
      <c r="ZU34">
        <f>SOFR3mo_PX[[#This Row],[Column697]]</f>
        <v>95.88</v>
      </c>
      <c r="ZV34">
        <f>SOFR3mo_PX[[#This Row],[Column698]]</f>
        <v>95.95</v>
      </c>
      <c r="ZW34">
        <f>SOFR3mo_PX[[#This Row],[Column699]]</f>
        <v>96.05</v>
      </c>
      <c r="ZX34">
        <f>SOFR3mo_PX[[#This Row],[Column700]]</f>
        <v>96.174999999999997</v>
      </c>
      <c r="ZY34">
        <f>SOFR3mo_PX[[#This Row],[Column701]]</f>
        <v>96.155000000000001</v>
      </c>
      <c r="ZZ34">
        <f>SOFR3mo_PX[[#This Row],[Column702]]</f>
        <v>96.17</v>
      </c>
      <c r="AAA34">
        <f>SOFR3mo_PX[[#This Row],[Column703]]</f>
        <v>96.215000000000003</v>
      </c>
      <c r="AAB34">
        <f>SOFR3mo_PX[[#This Row],[Column704]]</f>
        <v>96.204999999999998</v>
      </c>
      <c r="AAC34">
        <f>SOFR3mo_PX[[#This Row],[Column705]]</f>
        <v>96.165000000000006</v>
      </c>
      <c r="AAD34">
        <f>SOFR3mo_PX[[#This Row],[Column706]]</f>
        <v>96.114999999999995</v>
      </c>
      <c r="AAE34">
        <f>SOFR3mo_PX[[#This Row],[Column707]]</f>
        <v>96.215000000000003</v>
      </c>
      <c r="AAF34">
        <f>SOFR3mo_PX[[#This Row],[Column708]]</f>
        <v>96.26</v>
      </c>
      <c r="AAG34">
        <f>SOFR3mo_PX[[#This Row],[Column709]]</f>
        <v>96.29</v>
      </c>
      <c r="AAH34">
        <f>SOFR3mo_PX[[#This Row],[Column710]]</f>
        <v>96.424999999999997</v>
      </c>
      <c r="AAI34">
        <f>SOFR3mo_PX[[#This Row],[Column711]]</f>
        <v>96.36</v>
      </c>
      <c r="AAJ34">
        <f>SOFR3mo_PX[[#This Row],[Column712]]</f>
        <v>96.21</v>
      </c>
      <c r="AAK34">
        <f>SOFR3mo_PX[[#This Row],[Column713]]</f>
        <v>96.27</v>
      </c>
      <c r="AAL34">
        <f>SOFR3mo_PX[[#This Row],[Column714]]</f>
        <v>96.32</v>
      </c>
      <c r="AAM34">
        <f>SOFR3mo_PX[[#This Row],[Column715]]</f>
        <v>96.2</v>
      </c>
      <c r="AAN34">
        <f>SOFR3mo_PX[[#This Row],[Column716]]</f>
        <v>96.325000000000003</v>
      </c>
      <c r="AAO34">
        <f>SOFR3mo_PX[[#This Row],[Column717]]</f>
        <v>96.5</v>
      </c>
      <c r="AAP34">
        <f>SOFR3mo_PX[[#This Row],[Column718]]</f>
        <v>96.34</v>
      </c>
      <c r="AAQ34">
        <f>SOFR3mo_PX[[#This Row],[Column719]]</f>
        <v>96.515000000000001</v>
      </c>
      <c r="AAR34">
        <f>SOFR3mo_PX[[#This Row],[Column720]]</f>
        <v>96.454999999999998</v>
      </c>
      <c r="AAS34">
        <f>SOFR3mo_PX[[#This Row],[Column721]]</f>
        <v>96.545000000000002</v>
      </c>
      <c r="AAT34">
        <f>SOFR3mo_PX[[#This Row],[Column722]]</f>
        <v>96.545000000000002</v>
      </c>
      <c r="AAU34">
        <f>SOFR3mo_PX[[#This Row],[Column723]]</f>
        <v>96.57</v>
      </c>
      <c r="AAV34">
        <f>SOFR3mo_PX[[#This Row],[Column724]]</f>
        <v>96.65</v>
      </c>
      <c r="AAW34">
        <f>SOFR3mo_PX[[#This Row],[Column725]]</f>
        <v>96.62</v>
      </c>
      <c r="AAX34">
        <f>SOFR3mo_PX[[#This Row],[Column726]]</f>
        <v>96.594999999999999</v>
      </c>
      <c r="AAY34">
        <f>SOFR3mo_PX[[#This Row],[Column727]]</f>
        <v>96.65</v>
      </c>
      <c r="AAZ34">
        <f>SOFR3mo_PX[[#This Row],[Column728]]</f>
        <v>96.65</v>
      </c>
      <c r="ABA34">
        <f>SOFR3mo_PX[[#This Row],[Column729]]</f>
        <v>96.69</v>
      </c>
      <c r="ABB34">
        <f>SOFR3mo_PX[[#This Row],[Column730]]</f>
        <v>96.545000000000002</v>
      </c>
      <c r="ABC34">
        <f>SOFR3mo_PX[[#This Row],[Column731]]</f>
        <v>96.715000000000003</v>
      </c>
      <c r="ABD34">
        <f>SOFR3mo_PX[[#This Row],[Column732]]</f>
        <v>96.715000000000003</v>
      </c>
      <c r="ABE34">
        <f>SOFR3mo_PX[[#This Row],[Column733]]</f>
        <v>96.68</v>
      </c>
      <c r="ABF34">
        <f>SOFR3mo_PX[[#This Row],[Column734]]</f>
        <v>96.86</v>
      </c>
      <c r="ABG34">
        <f>SOFR3mo_PX[[#This Row],[Column735]]</f>
        <v>96.9</v>
      </c>
      <c r="ABH34">
        <f>SOFR3mo_PX[[#This Row],[Column736]]</f>
        <v>96.83</v>
      </c>
      <c r="ABI34">
        <f>SOFR3mo_PX[[#This Row],[Column737]]</f>
        <v>96.94</v>
      </c>
      <c r="ABJ34">
        <f>SOFR3mo_PX[[#This Row],[Column738]]</f>
        <v>96.954999999999998</v>
      </c>
      <c r="ABK34">
        <f>SOFR3mo_PX[[#This Row],[Column739]]</f>
        <v>96.864999999999995</v>
      </c>
      <c r="ABL34">
        <f>SOFR3mo_PX[[#This Row],[Column740]]</f>
        <v>96.944999999999993</v>
      </c>
      <c r="ABM34">
        <f>SOFR3mo_PX[[#This Row],[Column741]]</f>
        <v>96.96</v>
      </c>
      <c r="ABN34">
        <f>SOFR3mo_PX[[#This Row],[Column742]]</f>
        <v>96.974999999999994</v>
      </c>
      <c r="ABO34">
        <f>SOFR3mo_PX[[#This Row],[Column743]]</f>
        <v>97.1</v>
      </c>
      <c r="ABP34">
        <f>SOFR3mo_PX[[#This Row],[Column744]]</f>
        <v>97.09</v>
      </c>
      <c r="ABQ34">
        <f>SOFR3mo_PX[[#This Row],[Column745]]</f>
        <v>97.165000000000006</v>
      </c>
      <c r="ABR34">
        <f>SOFR3mo_PX[[#This Row],[Column746]]</f>
        <v>97.14</v>
      </c>
      <c r="ABS34">
        <f>SOFR3mo_PX[[#This Row],[Column747]]</f>
        <v>97.055000000000007</v>
      </c>
      <c r="ABT34">
        <f>SOFR3mo_PX[[#This Row],[Column748]]</f>
        <v>97</v>
      </c>
      <c r="ABU34">
        <f>SOFR3mo_PX[[#This Row],[Column749]]</f>
        <v>97.185000000000002</v>
      </c>
      <c r="ABV34">
        <f>SOFR3mo_PX[[#This Row],[Column750]]</f>
        <v>97.23</v>
      </c>
      <c r="ABW34">
        <f>SOFR3mo_PX[[#This Row],[Column751]]</f>
        <v>97.185000000000002</v>
      </c>
      <c r="ABX34">
        <f>SOFR3mo_PX[[#This Row],[Column752]]</f>
        <v>97.094999999999999</v>
      </c>
      <c r="ABY34">
        <f>SOFR3mo_PX[[#This Row],[Column753]]</f>
        <v>97.224999999999994</v>
      </c>
      <c r="ABZ34">
        <f>SOFR3mo_PX[[#This Row],[Column754]]</f>
        <v>97.155000000000001</v>
      </c>
      <c r="ACA34">
        <f>SOFR3mo_PX[[#This Row],[Column755]]</f>
        <v>97.135000000000005</v>
      </c>
      <c r="ACB34">
        <f>SOFR3mo_PX[[#This Row],[Column756]]</f>
        <v>97.165000000000006</v>
      </c>
      <c r="ACC34">
        <f>SOFR3mo_PX[[#This Row],[Column757]]</f>
        <v>97.094999999999999</v>
      </c>
      <c r="ACD34">
        <f>SOFR3mo_PX[[#This Row],[Column758]]</f>
        <v>97.055000000000007</v>
      </c>
      <c r="ACE34">
        <f>SOFR3mo_PX[[#This Row],[Column759]]</f>
        <v>97.01</v>
      </c>
      <c r="ACF34">
        <f>SOFR3mo_PX[[#This Row],[Column760]]</f>
        <v>96.965000000000003</v>
      </c>
      <c r="ACG34">
        <f>SOFR3mo_PX[[#This Row],[Column761]]</f>
        <v>96.93</v>
      </c>
      <c r="ACH34">
        <f>SOFR3mo_PX[[#This Row],[Column762]]</f>
        <v>97</v>
      </c>
      <c r="ACI34">
        <f>SOFR3mo_PX[[#This Row],[Column763]]</f>
        <v>96.894999999999996</v>
      </c>
      <c r="ACJ34">
        <f>SOFR3mo_PX[[#This Row],[Column764]]</f>
        <v>96.784999999999997</v>
      </c>
      <c r="ACK34">
        <f>SOFR3mo_PX[[#This Row],[Column765]]</f>
        <v>96.82</v>
      </c>
      <c r="ACL34">
        <f>SOFR3mo_PX[[#This Row],[Column766]]</f>
        <v>96.86</v>
      </c>
      <c r="ACM34">
        <f>SOFR3mo_PX[[#This Row],[Column767]]</f>
        <v>96.885000000000005</v>
      </c>
      <c r="ACN34">
        <f>SOFR3mo_PX[[#This Row],[Column768]]</f>
        <v>96.82</v>
      </c>
      <c r="ACO34">
        <f>SOFR3mo_PX[[#This Row],[Column769]]</f>
        <v>96.85</v>
      </c>
      <c r="ACP34">
        <f>SOFR3mo_PX[[#This Row],[Column770]]</f>
        <v>96.73</v>
      </c>
      <c r="ACQ34">
        <f>SOFR3mo_PX[[#This Row],[Column771]]</f>
        <v>96.674999999999997</v>
      </c>
      <c r="ACR34">
        <f>SOFR3mo_PX[[#This Row],[Column772]]</f>
        <v>96.545000000000002</v>
      </c>
      <c r="ACS34">
        <f>SOFR3mo_PX[[#This Row],[Column773]]</f>
        <v>96.63</v>
      </c>
      <c r="ACT34">
        <f>SOFR3mo_PX[[#This Row],[Column774]]</f>
        <v>96.745000000000005</v>
      </c>
      <c r="ACU34">
        <f>SOFR3mo_PX[[#This Row],[Column775]]</f>
        <v>96.83</v>
      </c>
      <c r="ACV34">
        <f>SOFR3mo_PX[[#This Row],[Column776]]</f>
        <v>96.754999999999995</v>
      </c>
      <c r="ACW34">
        <f>SOFR3mo_PX[[#This Row],[Column777]]</f>
        <v>96.754999999999995</v>
      </c>
      <c r="ACX34">
        <f>SOFR3mo_PX[[#This Row],[Column778]]</f>
        <v>96.724999999999994</v>
      </c>
      <c r="ACY34">
        <f>SOFR3mo_PX[[#This Row],[Column779]]</f>
        <v>96.61</v>
      </c>
      <c r="ACZ34">
        <f>SOFR3mo_PX[[#This Row],[Column780]]</f>
        <v>96.51</v>
      </c>
      <c r="ADA34">
        <f>SOFR3mo_PX[[#This Row],[Column781]]</f>
        <v>96.525000000000006</v>
      </c>
      <c r="ADB34">
        <f>SOFR3mo_PX[[#This Row],[Column782]]</f>
        <v>96.58</v>
      </c>
      <c r="ADC34">
        <f>SOFR3mo_PX[[#This Row],[Column783]]</f>
        <v>96.674999999999997</v>
      </c>
      <c r="ADD34">
        <f>SOFR3mo_PX[[#This Row],[Column784]]</f>
        <v>96.575000000000003</v>
      </c>
      <c r="ADE34">
        <f>SOFR3mo_PX[[#This Row],[Column785]]</f>
        <v>96.444999999999993</v>
      </c>
      <c r="ADF34">
        <f>SOFR3mo_PX[[#This Row],[Column786]]</f>
        <v>96.545000000000002</v>
      </c>
      <c r="ADG34">
        <f>SOFR3mo_PX[[#This Row],[Column787]]</f>
        <v>96.545000000000002</v>
      </c>
      <c r="ADH34">
        <f>SOFR3mo_PX[[#This Row],[Column788]]</f>
        <v>96.465000000000003</v>
      </c>
      <c r="ADI34">
        <f>SOFR3mo_PX[[#This Row],[Column789]]</f>
        <v>96.38</v>
      </c>
      <c r="ADJ34">
        <f>SOFR3mo_PX[[#This Row],[Column790]]</f>
        <v>96.36</v>
      </c>
      <c r="ADK34">
        <f>SOFR3mo_PX[[#This Row],[Column791]]</f>
        <v>96.43</v>
      </c>
      <c r="ADL34">
        <f>SOFR3mo_PX[[#This Row],[Column792]]</f>
        <v>96.635000000000005</v>
      </c>
      <c r="ADM34">
        <f>SOFR3mo_PX[[#This Row],[Column793]]</f>
        <v>96.685000000000002</v>
      </c>
      <c r="ADN34">
        <f>SOFR3mo_PX[[#This Row],[Column794]]</f>
        <v>96.685000000000002</v>
      </c>
      <c r="ADO34">
        <f>SOFR3mo_PX[[#This Row],[Column795]]</f>
        <v>96.734999999999999</v>
      </c>
      <c r="ADP34">
        <f>SOFR3mo_PX[[#This Row],[Column796]]</f>
        <v>96.635000000000005</v>
      </c>
      <c r="ADQ34">
        <f>SOFR3mo_PX[[#This Row],[Column797]]</f>
        <v>96.74</v>
      </c>
      <c r="ADR34">
        <f>SOFR3mo_PX[[#This Row],[Column798]]</f>
        <v>96.79</v>
      </c>
      <c r="ADS34">
        <f>SOFR3mo_PX[[#This Row],[Column799]]</f>
        <v>96.745000000000005</v>
      </c>
      <c r="ADT34">
        <f>SOFR3mo_PX[[#This Row],[Column800]]</f>
        <v>96.78</v>
      </c>
      <c r="ADU34">
        <f>SOFR3mo_PX[[#This Row],[Column801]]</f>
        <v>96.885000000000005</v>
      </c>
      <c r="ADV34">
        <f>SOFR3mo_PX[[#This Row],[Column802]]</f>
        <v>96.885000000000005</v>
      </c>
      <c r="ADW34">
        <f>SOFR3mo_PX[[#This Row],[Column803]]</f>
        <v>96.864999999999995</v>
      </c>
      <c r="ADX34">
        <f>SOFR3mo_PX[[#This Row],[Column804]]</f>
        <v>96.924999999999997</v>
      </c>
      <c r="ADY34">
        <f>SOFR3mo_PX[[#This Row],[Column805]]</f>
        <v>96.94</v>
      </c>
      <c r="ADZ34">
        <f>SOFR3mo_PX[[#This Row],[Column806]]</f>
        <v>96.935000000000002</v>
      </c>
      <c r="AEA34">
        <f>SOFR3mo_PX[[#This Row],[Column807]]</f>
        <v>96.995000000000005</v>
      </c>
      <c r="AEB34">
        <f>SOFR3mo_PX[[#This Row],[Column808]]</f>
        <v>96.87</v>
      </c>
      <c r="AEC34">
        <f>SOFR3mo_PX[[#This Row],[Column809]]</f>
        <v>96.83</v>
      </c>
      <c r="AED34">
        <f>SOFR3mo_PX[[#This Row],[Column810]]</f>
        <v>96.694999999999993</v>
      </c>
      <c r="AEE34">
        <f>SOFR3mo_PX[[#This Row],[Column811]]</f>
        <v>96.77</v>
      </c>
      <c r="AEF34">
        <f>SOFR3mo_PX[[#This Row],[Column812]]</f>
        <v>96.72</v>
      </c>
      <c r="AEG34">
        <f>SOFR3mo_PX[[#This Row],[Column813]]</f>
        <v>96.82</v>
      </c>
      <c r="AEH34">
        <f>SOFR3mo_PX[[#This Row],[Column814]]</f>
        <v>96.73</v>
      </c>
      <c r="AEI34">
        <f>SOFR3mo_PX[[#This Row],[Column815]]</f>
        <v>96.605000000000004</v>
      </c>
      <c r="AEJ34">
        <f>SOFR3mo_PX[[#This Row],[Column816]]</f>
        <v>96.504999999999995</v>
      </c>
      <c r="AEK34">
        <f>SOFR3mo_PX[[#This Row],[Column817]]</f>
        <v>96.49</v>
      </c>
      <c r="AEL34">
        <f>SOFR3mo_PX[[#This Row],[Column818]]</f>
        <v>96.61</v>
      </c>
      <c r="AEM34">
        <f>SOFR3mo_PX[[#This Row],[Column819]]</f>
        <v>96.81</v>
      </c>
      <c r="AEN34">
        <f>SOFR3mo_PX[[#This Row],[Column820]]</f>
        <v>96.84</v>
      </c>
      <c r="AEO34">
        <f>SOFR3mo_PX[[#This Row],[Column821]]</f>
        <v>96.775000000000006</v>
      </c>
      <c r="AEP34">
        <f>SOFR3mo_PX[[#This Row],[Column822]]</f>
        <v>96.92</v>
      </c>
      <c r="AEQ34">
        <f>SOFR3mo_PX[[#This Row],[Column823]]</f>
        <v>96.92</v>
      </c>
      <c r="AER34">
        <f>SOFR3mo_PX[[#This Row],[Column824]]</f>
        <v>96.984999999999999</v>
      </c>
      <c r="AES34">
        <f>SOFR3mo_PX[[#This Row],[Column825]]</f>
        <v>97.06</v>
      </c>
      <c r="AET34">
        <f>SOFR3mo_PX[[#This Row],[Column826]]</f>
        <v>97.04</v>
      </c>
      <c r="AEU34">
        <f>SOFR3mo_PX[[#This Row],[Column827]]</f>
        <v>96.954999999999998</v>
      </c>
      <c r="AEV34">
        <f>SOFR3mo_PX[[#This Row],[Column828]]</f>
        <v>96.92</v>
      </c>
      <c r="AEW34">
        <f>SOFR3mo_PX[[#This Row],[Column829]]</f>
        <v>96.974999999999994</v>
      </c>
      <c r="AEX34">
        <f>SOFR3mo_PX[[#This Row],[Column830]]</f>
        <v>96.885000000000005</v>
      </c>
      <c r="AEY34">
        <f>SOFR3mo_PX[[#This Row],[Column831]]</f>
        <v>96.92</v>
      </c>
      <c r="AEZ34">
        <f>SOFR3mo_PX[[#This Row],[Column832]]</f>
        <v>97.025000000000006</v>
      </c>
      <c r="AFA34">
        <f>SOFR3mo_PX[[#This Row],[Column833]]</f>
        <v>97.025000000000006</v>
      </c>
      <c r="AFB34">
        <f>SOFR3mo_PX[[#This Row],[Column834]]</f>
        <v>97.16</v>
      </c>
      <c r="AFC34">
        <f>SOFR3mo_PX[[#This Row],[Column835]]</f>
        <v>97.105000000000004</v>
      </c>
      <c r="AFD34">
        <f>SOFR3mo_PX[[#This Row],[Column836]]</f>
        <v>97.114999999999995</v>
      </c>
      <c r="AFE34">
        <f>SOFR3mo_PX[[#This Row],[Column837]]</f>
        <v>97.24</v>
      </c>
      <c r="AFF34">
        <f>SOFR3mo_PX[[#This Row],[Column838]]</f>
        <v>97.344999999999999</v>
      </c>
      <c r="AFG34">
        <f>SOFR3mo_PX[[#This Row],[Column839]]</f>
        <v>97.5</v>
      </c>
      <c r="AFH34">
        <f>SOFR3mo_PX[[#This Row],[Column840]]</f>
        <v>97.625</v>
      </c>
      <c r="AFI34">
        <f>SOFR3mo_PX[[#This Row],[Column841]]</f>
        <v>97.74</v>
      </c>
      <c r="AFJ34">
        <f>SOFR3mo_PX[[#This Row],[Column842]]</f>
        <v>97.76</v>
      </c>
      <c r="AFK34">
        <f>SOFR3mo_PX[[#This Row],[Column843]]</f>
        <v>97.82</v>
      </c>
      <c r="AFL34">
        <f>SOFR3mo_PX[[#This Row],[Column844]]</f>
        <v>97.78</v>
      </c>
      <c r="AFM34">
        <f>SOFR3mo_PX[[#This Row],[Column845]]</f>
        <v>97.73</v>
      </c>
      <c r="AFN34">
        <f>SOFR3mo_PX[[#This Row],[Column846]]</f>
        <v>97.66</v>
      </c>
      <c r="AFO34">
        <f>SOFR3mo_PX[[#This Row],[Column847]]</f>
        <v>97.65</v>
      </c>
      <c r="AFP34">
        <f>SOFR3mo_PX[[#This Row],[Column848]]</f>
        <v>97.784999999999997</v>
      </c>
      <c r="AFQ34">
        <f>SOFR3mo_PX[[#This Row],[Column849]]</f>
        <v>97.825000000000003</v>
      </c>
      <c r="AFR34">
        <f>SOFR3mo_PX[[#This Row],[Column850]]</f>
        <v>97.77</v>
      </c>
      <c r="AFS34">
        <f>SOFR3mo_PX[[#This Row],[Column851]]</f>
        <v>97.834999999999994</v>
      </c>
      <c r="AFT34">
        <f>SOFR3mo_PX[[#This Row],[Column852]]</f>
        <v>97.974999999999994</v>
      </c>
      <c r="AFU34">
        <f>SOFR3mo_PX[[#This Row],[Column853]]</f>
        <v>97.9</v>
      </c>
      <c r="AFV34">
        <f>SOFR3mo_PX[[#This Row],[Column854]]</f>
        <v>97.88</v>
      </c>
      <c r="AFW34">
        <f>SOFR3mo_PX[[#This Row],[Column855]]</f>
        <v>97.875</v>
      </c>
      <c r="AFX34">
        <f>SOFR3mo_PX[[#This Row],[Column856]]</f>
        <v>97.9</v>
      </c>
      <c r="AFY34">
        <f>SOFR3mo_PX[[#This Row],[Column857]]</f>
        <v>98.06</v>
      </c>
      <c r="AFZ34">
        <f>SOFR3mo_PX[[#This Row],[Column858]]</f>
        <v>98.07</v>
      </c>
      <c r="AGA34">
        <f>SOFR3mo_PX[[#This Row],[Column859]]</f>
        <v>98.144999999999996</v>
      </c>
      <c r="AGB34">
        <f>SOFR3mo_PX[[#This Row],[Column860]]</f>
        <v>98.24</v>
      </c>
      <c r="AGC34">
        <f>SOFR3mo_PX[[#This Row],[Column861]]</f>
        <v>98.355000000000004</v>
      </c>
      <c r="AGD34">
        <f>SOFR3mo_PX[[#This Row],[Column862]]</f>
        <v>98.33</v>
      </c>
      <c r="AGE34">
        <f>SOFR3mo_PX[[#This Row],[Column863]]</f>
        <v>98.194999999999993</v>
      </c>
      <c r="AGF34">
        <f>SOFR3mo_PX[[#This Row],[Column864]]</f>
        <v>98.15</v>
      </c>
      <c r="AGG34">
        <f>SOFR3mo_PX[[#This Row],[Column865]]</f>
        <v>98.295000000000002</v>
      </c>
      <c r="AGH34">
        <f>SOFR3mo_PX[[#This Row],[Column866]]</f>
        <v>98.185000000000002</v>
      </c>
      <c r="AGI34">
        <f>SOFR3mo_PX[[#This Row],[Column867]]</f>
        <v>98.045000000000002</v>
      </c>
      <c r="AGJ34">
        <f>SOFR3mo_PX[[#This Row],[Column868]]</f>
        <v>98.055000000000007</v>
      </c>
      <c r="AGK34">
        <f>SOFR3mo_PX[[#This Row],[Column869]]</f>
        <v>98.08</v>
      </c>
      <c r="AGL34">
        <f>SOFR3mo_PX[[#This Row],[Column870]]</f>
        <v>98.12</v>
      </c>
      <c r="AGM34">
        <f>SOFR3mo_PX[[#This Row],[Column871]]</f>
        <v>98.11</v>
      </c>
      <c r="AGN34">
        <f>SOFR3mo_PX[[#This Row],[Column872]]</f>
        <v>98.11</v>
      </c>
      <c r="AGO34">
        <f>SOFR3mo_PX[[#This Row],[Column873]]</f>
        <v>98.064999999999998</v>
      </c>
      <c r="AGP34">
        <f>SOFR3mo_PX[[#This Row],[Column874]]</f>
        <v>97.974999999999994</v>
      </c>
      <c r="AGQ34">
        <f>SOFR3mo_PX[[#This Row],[Column875]]</f>
        <v>97.984999999999999</v>
      </c>
      <c r="AGR34">
        <f>SOFR3mo_PX[[#This Row],[Column876]]</f>
        <v>98.07</v>
      </c>
      <c r="AGS34">
        <f>SOFR3mo_PX[[#This Row],[Column877]]</f>
        <v>98.114999999999995</v>
      </c>
      <c r="AGT34">
        <f>SOFR3mo_PX[[#This Row],[Column878]]</f>
        <v>98.004999999999995</v>
      </c>
      <c r="AGU34">
        <f>SOFR3mo_PX[[#This Row],[Column879]]</f>
        <v>98.075000000000003</v>
      </c>
      <c r="AGV34">
        <f>SOFR3mo_PX[[#This Row],[Column880]]</f>
        <v>98.034999999999997</v>
      </c>
      <c r="AGW34">
        <f>SOFR3mo_PX[[#This Row],[Column881]]</f>
        <v>98.075000000000003</v>
      </c>
      <c r="AGX34">
        <f>SOFR3mo_PX[[#This Row],[Column882]]</f>
        <v>98.06</v>
      </c>
      <c r="AGY34">
        <f>SOFR3mo_PX[[#This Row],[Column883]]</f>
        <v>98.174999999999997</v>
      </c>
      <c r="AGZ34">
        <f>SOFR3mo_PX[[#This Row],[Column884]]</f>
        <v>98.21</v>
      </c>
      <c r="AHA34">
        <f>SOFR3mo_PX[[#This Row],[Column885]]</f>
        <v>98.174999999999997</v>
      </c>
      <c r="AHB34">
        <f>SOFR3mo_PX[[#This Row],[Column886]]</f>
        <v>98.185000000000002</v>
      </c>
      <c r="AHC34">
        <f>SOFR3mo_PX[[#This Row],[Column887]]</f>
        <v>98.194999999999993</v>
      </c>
      <c r="AHD34">
        <f>SOFR3mo_PX[[#This Row],[Column888]]</f>
        <v>98.155000000000001</v>
      </c>
      <c r="AHE34">
        <f>SOFR3mo_PX[[#This Row],[Column889]]</f>
        <v>98.05</v>
      </c>
      <c r="AHF34">
        <f>SOFR3mo_PX[[#This Row],[Column890]]</f>
        <v>98.114999999999995</v>
      </c>
      <c r="AHG34">
        <f>SOFR3mo_PX[[#This Row],[Column891]]</f>
        <v>98.18</v>
      </c>
      <c r="AHH34">
        <f>SOFR3mo_PX[[#This Row],[Column892]]</f>
        <v>98.165000000000006</v>
      </c>
      <c r="AHI34">
        <f>SOFR3mo_PX[[#This Row],[Column893]]</f>
        <v>98.094999999999999</v>
      </c>
      <c r="AHJ34">
        <f>SOFR3mo_PX[[#This Row],[Column894]]</f>
        <v>98.084999999999994</v>
      </c>
      <c r="AHK34">
        <f>SOFR3mo_PX[[#This Row],[Column895]]</f>
        <v>98.03</v>
      </c>
      <c r="AHL34">
        <f>SOFR3mo_PX[[#This Row],[Column896]]</f>
        <v>98.13</v>
      </c>
      <c r="AHM34">
        <f>SOFR3mo_PX[[#This Row],[Column897]]</f>
        <v>98.13</v>
      </c>
      <c r="AHN34">
        <f>SOFR3mo_PX[[#This Row],[Column898]]</f>
        <v>98.2</v>
      </c>
      <c r="AHO34">
        <f>SOFR3mo_PX[[#This Row],[Column899]]</f>
        <v>98.17</v>
      </c>
      <c r="AHP34">
        <f>SOFR3mo_PX[[#This Row],[Column900]]</f>
        <v>98.125</v>
      </c>
      <c r="AHQ34">
        <f>SOFR3mo_PX[[#This Row],[Column901]]</f>
        <v>98.075000000000003</v>
      </c>
      <c r="AHR34">
        <f>SOFR3mo_PX[[#This Row],[Column902]]</f>
        <v>98.06</v>
      </c>
      <c r="AHS34">
        <f>SOFR3mo_PX[[#This Row],[Column903]]</f>
        <v>98.075000000000003</v>
      </c>
      <c r="AHT34">
        <f>SOFR3mo_PX[[#This Row],[Column904]]</f>
        <v>98.1</v>
      </c>
      <c r="AHU34">
        <f>SOFR3mo_PX[[#This Row],[Column905]]</f>
        <v>98.114999999999995</v>
      </c>
      <c r="AHV34">
        <f>SOFR3mo_PX[[#This Row],[Column906]]</f>
        <v>98.174999999999997</v>
      </c>
      <c r="AHW34">
        <f>SOFR3mo_PX[[#This Row],[Column907]]</f>
        <v>98.344999999999999</v>
      </c>
      <c r="AHX34">
        <f>SOFR3mo_PX[[#This Row],[Column908]]</f>
        <v>98.33</v>
      </c>
      <c r="AHY34">
        <f>SOFR3mo_PX[[#This Row],[Column909]]</f>
        <v>98.32</v>
      </c>
      <c r="AHZ34">
        <f>SOFR3mo_PX[[#This Row],[Column910]]</f>
        <v>98.415000000000006</v>
      </c>
      <c r="AIA34">
        <f>SOFR3mo_PX[[#This Row],[Column911]]</f>
        <v>98.385000000000005</v>
      </c>
      <c r="AIB34">
        <f>SOFR3mo_PX[[#This Row],[Column912]]</f>
        <v>98.35</v>
      </c>
      <c r="AIC34">
        <f>SOFR3mo_PX[[#This Row],[Column913]]</f>
        <v>98.35</v>
      </c>
      <c r="AID34">
        <f>SOFR3mo_PX[[#This Row],[Column914]]</f>
        <v>98.375</v>
      </c>
      <c r="AIE34">
        <f>SOFR3mo_PX[[#This Row],[Column915]]</f>
        <v>98.334999999999994</v>
      </c>
      <c r="AIF34">
        <f>SOFR3mo_PX[[#This Row],[Column916]]</f>
        <v>98.43</v>
      </c>
      <c r="AIG34">
        <f>SOFR3mo_PX[[#This Row],[Column917]]</f>
        <v>98.515000000000001</v>
      </c>
      <c r="AIH34">
        <f>SOFR3mo_PX[[#This Row],[Column918]]</f>
        <v>98.474999999999994</v>
      </c>
      <c r="AII34">
        <f>SOFR3mo_PX[[#This Row],[Column919]]</f>
        <v>98.454999999999998</v>
      </c>
      <c r="AIJ34">
        <f>SOFR3mo_PX[[#This Row],[Column920]]</f>
        <v>98.444999999999993</v>
      </c>
      <c r="AIK34">
        <f>SOFR3mo_PX[[#This Row],[Column921]]</f>
        <v>98.44</v>
      </c>
      <c r="AIL34">
        <f>SOFR3mo_PX[[#This Row],[Column922]]</f>
        <v>98.375</v>
      </c>
      <c r="AIM34">
        <f>SOFR3mo_PX[[#This Row],[Column923]]</f>
        <v>98.4</v>
      </c>
      <c r="AIN34">
        <f>SOFR3mo_PX[[#This Row],[Column924]]</f>
        <v>98.344999999999999</v>
      </c>
      <c r="AIO34">
        <f>SOFR3mo_PX[[#This Row],[Column925]]</f>
        <v>98.364999999999995</v>
      </c>
      <c r="AIP34">
        <f>SOFR3mo_PX[[#This Row],[Column926]]</f>
        <v>98.385000000000005</v>
      </c>
      <c r="AIQ34">
        <f>SOFR3mo_PX[[#This Row],[Column927]]</f>
        <v>98.53</v>
      </c>
      <c r="AIR34">
        <f>SOFR3mo_PX[[#This Row],[Column928]]</f>
        <v>98.375</v>
      </c>
      <c r="AIS34">
        <f>SOFR3mo_PX[[#This Row],[Column929]]</f>
        <v>98.334999999999994</v>
      </c>
      <c r="AIT34">
        <f>SOFR3mo_PX[[#This Row],[Column930]]</f>
        <v>98.26</v>
      </c>
      <c r="AIU34">
        <f>SOFR3mo_PX[[#This Row],[Column931]]</f>
        <v>98.144999999999996</v>
      </c>
      <c r="AIV34">
        <f>SOFR3mo_PX[[#This Row],[Column932]]</f>
        <v>98.3</v>
      </c>
      <c r="AIW34">
        <f>SOFR3mo_PX[[#This Row],[Column933]]</f>
        <v>98.125</v>
      </c>
      <c r="AIX34">
        <f>SOFR3mo_PX[[#This Row],[Column934]]</f>
        <v>98.125</v>
      </c>
      <c r="AIY34">
        <f>SOFR3mo_PX[[#This Row],[Column935]]</f>
        <v>98.084999999999994</v>
      </c>
      <c r="AIZ34">
        <f>SOFR3mo_PX[[#This Row],[Column936]]</f>
        <v>98.155000000000001</v>
      </c>
      <c r="AJA34">
        <f>SOFR3mo_PX[[#This Row],[Column937]]</f>
        <v>98.26</v>
      </c>
      <c r="AJB34">
        <f>SOFR3mo_PX[[#This Row],[Column938]]</f>
        <v>98.194999999999993</v>
      </c>
      <c r="AJC34">
        <f>SOFR3mo_PX[[#This Row],[Column939]]</f>
        <v>98.17</v>
      </c>
      <c r="AJD34">
        <f>SOFR3mo_PX[[#This Row],[Column940]]</f>
        <v>98.144999999999996</v>
      </c>
      <c r="AJE34">
        <f>SOFR3mo_PX[[#This Row],[Column941]]</f>
        <v>98.185000000000002</v>
      </c>
      <c r="AJF34">
        <f>SOFR3mo_PX[[#This Row],[Column942]]</f>
        <v>98.19</v>
      </c>
      <c r="AJG34">
        <f>SOFR3mo_PX[[#This Row],[Column943]]</f>
        <v>98.204999999999998</v>
      </c>
      <c r="AJH34">
        <f>SOFR3mo_PX[[#This Row],[Column944]]</f>
        <v>98.22</v>
      </c>
      <c r="AJI34">
        <f>SOFR3mo_PX[[#This Row],[Column945]]</f>
        <v>98.254999999999995</v>
      </c>
      <c r="AJJ34">
        <f>SOFR3mo_PX[[#This Row],[Column946]]</f>
        <v>98.155000000000001</v>
      </c>
      <c r="AJK34">
        <f>SOFR3mo_PX[[#This Row],[Column947]]</f>
        <v>98.18</v>
      </c>
      <c r="AJL34">
        <f>SOFR3mo_PX[[#This Row],[Column948]]</f>
        <v>98.084999999999994</v>
      </c>
      <c r="AJM34">
        <f>SOFR3mo_PX[[#This Row],[Column949]]</f>
        <v>98.055000000000007</v>
      </c>
      <c r="AJN34">
        <f>SOFR3mo_PX[[#This Row],[Column950]]</f>
        <v>98.075000000000003</v>
      </c>
      <c r="AJO34">
        <f>SOFR3mo_PX[[#This Row],[Column951]]</f>
        <v>98.11</v>
      </c>
      <c r="AJP34">
        <f>SOFR3mo_PX[[#This Row],[Column952]]</f>
        <v>98.15</v>
      </c>
      <c r="AJQ34">
        <f>SOFR3mo_PX[[#This Row],[Column953]]</f>
        <v>98.12</v>
      </c>
      <c r="AJR34">
        <f>SOFR3mo_PX[[#This Row],[Column954]]</f>
        <v>98.144999999999996</v>
      </c>
      <c r="AJS34">
        <f>SOFR3mo_PX[[#This Row],[Column955]]</f>
        <v>97.95</v>
      </c>
      <c r="AJT34">
        <f>SOFR3mo_PX[[#This Row],[Column956]]</f>
        <v>97.94</v>
      </c>
      <c r="AJU34">
        <f>SOFR3mo_PX[[#This Row],[Column957]]</f>
        <v>97.894999999999996</v>
      </c>
      <c r="AJV34">
        <f>SOFR3mo_PX[[#This Row],[Column958]]</f>
        <v>97.84</v>
      </c>
      <c r="AJW34">
        <f>SOFR3mo_PX[[#This Row],[Column959]]</f>
        <v>97.875</v>
      </c>
      <c r="AJX34">
        <f>SOFR3mo_PX[[#This Row],[Column960]]</f>
        <v>97.905000000000001</v>
      </c>
      <c r="AJY34">
        <f>SOFR3mo_PX[[#This Row],[Column961]]</f>
        <v>98.02</v>
      </c>
      <c r="AJZ34">
        <f>SOFR3mo_PX[[#This Row],[Column962]]</f>
        <v>97.984999999999999</v>
      </c>
      <c r="AKA34">
        <f>SOFR3mo_PX[[#This Row],[Column963]]</f>
        <v>98.04</v>
      </c>
      <c r="AKB34">
        <f>SOFR3mo_PX[[#This Row],[Column964]]</f>
        <v>98</v>
      </c>
      <c r="AKC34">
        <f>SOFR3mo_PX[[#This Row],[Column965]]</f>
        <v>97.87</v>
      </c>
      <c r="AKD34">
        <f>SOFR3mo_PX[[#This Row],[Column966]]</f>
        <v>97.775000000000006</v>
      </c>
      <c r="AKE34">
        <f>SOFR3mo_PX[[#This Row],[Column967]]</f>
        <v>97.77</v>
      </c>
      <c r="AKF34">
        <f>SOFR3mo_PX[[#This Row],[Column968]]</f>
        <v>97.82</v>
      </c>
      <c r="AKG34">
        <f>SOFR3mo_PX[[#This Row],[Column969]]</f>
        <v>97.88</v>
      </c>
      <c r="AKH34">
        <f>SOFR3mo_PX[[#This Row],[Column970]]</f>
        <v>97.86</v>
      </c>
      <c r="AKI34">
        <f>SOFR3mo_PX[[#This Row],[Column971]]</f>
        <v>97.91</v>
      </c>
      <c r="AKJ34">
        <f>SOFR3mo_PX[[#This Row],[Column972]]</f>
        <v>97.885000000000005</v>
      </c>
      <c r="AKK34">
        <f>SOFR3mo_PX[[#This Row],[Column973]]</f>
        <v>97.834999999999994</v>
      </c>
      <c r="AKL34">
        <f>SOFR3mo_PX[[#This Row],[Column974]]</f>
        <v>97.825000000000003</v>
      </c>
      <c r="AKM34">
        <f>SOFR3mo_PX[[#This Row],[Column975]]</f>
        <v>97.885000000000005</v>
      </c>
      <c r="AKN34">
        <f>SOFR3mo_PX[[#This Row],[Column976]]</f>
        <v>97.99</v>
      </c>
      <c r="AKO34">
        <f>SOFR3mo_PX[[#This Row],[Column977]]</f>
        <v>98.04</v>
      </c>
      <c r="AKP34">
        <f>SOFR3mo_PX[[#This Row],[Column978]]</f>
        <v>98.12</v>
      </c>
      <c r="AKQ34">
        <f>SOFR3mo_PX[[#This Row],[Column979]]</f>
        <v>98.215000000000003</v>
      </c>
      <c r="AKR34">
        <f>SOFR3mo_PX[[#This Row],[Column980]]</f>
        <v>98.13</v>
      </c>
      <c r="AKS34">
        <f>SOFR3mo_PX[[#This Row],[Column981]]</f>
        <v>98.135000000000005</v>
      </c>
      <c r="AKT34">
        <f>SOFR3mo_PX[[#This Row],[Column982]]</f>
        <v>98.06</v>
      </c>
      <c r="AKU34">
        <f>SOFR3mo_PX[[#This Row],[Column983]]</f>
        <v>98.13</v>
      </c>
      <c r="AKV34">
        <f>SOFR3mo_PX[[#This Row],[Column984]]</f>
        <v>98.17</v>
      </c>
      <c r="AKW34">
        <f>SOFR3mo_PX[[#This Row],[Column985]]</f>
        <v>98.215000000000003</v>
      </c>
      <c r="AKX34">
        <f>SOFR3mo_PX[[#This Row],[Column986]]</f>
        <v>98.135000000000005</v>
      </c>
      <c r="AKY34">
        <f>SOFR3mo_PX[[#This Row],[Column987]]</f>
        <v>98.105000000000004</v>
      </c>
      <c r="AKZ34">
        <f>SOFR3mo_PX[[#This Row],[Column988]]</f>
        <v>98.185000000000002</v>
      </c>
      <c r="ALA34">
        <f>SOFR3mo_PX[[#This Row],[Column989]]</f>
        <v>98.144999999999996</v>
      </c>
      <c r="ALB34">
        <f>SOFR3mo_PX[[#This Row],[Column990]]</f>
        <v>98.094999999999999</v>
      </c>
      <c r="ALC34">
        <f>SOFR3mo_PX[[#This Row],[Column991]]</f>
        <v>98.144999999999996</v>
      </c>
      <c r="ALD34">
        <f>SOFR3mo_PX[[#This Row],[Column992]]</f>
        <v>98.144999999999996</v>
      </c>
      <c r="ALE34">
        <f>SOFR3mo_PX[[#This Row],[Column993]]</f>
        <v>98.204999999999998</v>
      </c>
      <c r="ALF34">
        <f>SOFR3mo_PX[[#This Row],[Column994]]</f>
        <v>98.194999999999993</v>
      </c>
      <c r="ALG34">
        <f>SOFR3mo_PX[[#This Row],[Column995]]</f>
        <v>98.18</v>
      </c>
      <c r="ALH34">
        <f>SOFR3mo_PX[[#This Row],[Column996]]</f>
        <v>98.224999999999994</v>
      </c>
      <c r="ALI34">
        <f>SOFR3mo_PX[[#This Row],[Column997]]</f>
        <v>98.24</v>
      </c>
      <c r="ALJ34">
        <f>SOFR3mo_PX[[#This Row],[Column998]]</f>
        <v>98.21</v>
      </c>
      <c r="ALK34">
        <f>SOFR3mo_PX[[#This Row],[Column999]]</f>
        <v>98.22</v>
      </c>
      <c r="ALL34">
        <f>SOFR3mo_PX[[#This Row],[Column1000]]</f>
        <v>98.295000000000002</v>
      </c>
      <c r="ALM34">
        <f>SOFR3mo_PX[[#This Row],[Column1001]]</f>
        <v>98.35</v>
      </c>
      <c r="ALN34">
        <f>SOFR3mo_PX[[#This Row],[Column1002]]</f>
        <v>98.34</v>
      </c>
      <c r="ALO34">
        <f>SOFR3mo_PX[[#This Row],[Column1003]]</f>
        <v>98.364999999999995</v>
      </c>
      <c r="ALP34">
        <f>SOFR3mo_PX[[#This Row],[Column1004]]</f>
        <v>98.314999999999998</v>
      </c>
      <c r="ALQ34">
        <f>SOFR3mo_PX[[#This Row],[Column1005]]</f>
        <v>98.355000000000004</v>
      </c>
      <c r="ALR34">
        <f>SOFR3mo_PX[[#This Row],[Column1006]]</f>
        <v>98.36</v>
      </c>
      <c r="ALS34">
        <f>SOFR3mo_PX[[#This Row],[Column1007]]</f>
        <v>98.31</v>
      </c>
      <c r="ALT34">
        <f>SOFR3mo_PX[[#This Row],[Column1008]]</f>
        <v>98.215000000000003</v>
      </c>
      <c r="ALU34">
        <f>SOFR3mo_PX[[#This Row],[Column1009]]</f>
        <v>98.234999999999999</v>
      </c>
      <c r="ALV34">
        <f>SOFR3mo_PX[[#This Row],[Column1010]]</f>
        <v>98.26</v>
      </c>
      <c r="ALW34">
        <f>SOFR3mo_PX[[#This Row],[Column1011]]</f>
        <v>98.27</v>
      </c>
      <c r="ALX34">
        <f>SOFR3mo_PX[[#This Row],[Column1012]]</f>
        <v>98.305000000000007</v>
      </c>
      <c r="ALY34">
        <f>SOFR3mo_PX[[#This Row],[Column1013]]</f>
        <v>98.4</v>
      </c>
      <c r="ALZ34">
        <f>SOFR3mo_PX[[#This Row],[Column1014]]</f>
        <v>98.394999999999996</v>
      </c>
      <c r="AMA34">
        <f>SOFR3mo_PX[[#This Row],[Column1015]]</f>
        <v>98.39</v>
      </c>
      <c r="AMB34">
        <f>SOFR3mo_PX[[#This Row],[Column1016]]</f>
        <v>98.394999999999996</v>
      </c>
      <c r="AMC34">
        <f>SOFR3mo_PX[[#This Row],[Column1017]]</f>
        <v>98.3</v>
      </c>
      <c r="AMD34">
        <f>SOFR3mo_PX[[#This Row],[Column1018]]</f>
        <v>98.28</v>
      </c>
      <c r="AME34">
        <f>SOFR3mo_PX[[#This Row],[Column1019]]</f>
        <v>98.305000000000007</v>
      </c>
      <c r="AMF34">
        <f>SOFR3mo_PX[[#This Row],[Column1020]]</f>
        <v>98.325000000000003</v>
      </c>
      <c r="AMG34">
        <f>SOFR3mo_PX[[#This Row],[Column1021]]</f>
        <v>98.29</v>
      </c>
      <c r="AMH34">
        <f>SOFR3mo_PX[[#This Row],[Column1022]]</f>
        <v>98.27</v>
      </c>
      <c r="AMI34">
        <f>SOFR3mo_PX[[#This Row],[Column1023]]</f>
        <v>98.295000000000002</v>
      </c>
      <c r="AMJ34">
        <f>SOFR3mo_PX[[#This Row],[Column1024]]</f>
        <v>98.29</v>
      </c>
      <c r="AMK34">
        <f>SOFR3mo_PX[[#This Row],[Column1025]]</f>
        <v>98.405000000000001</v>
      </c>
      <c r="AML34">
        <f>SOFR3mo_PX[[#This Row],[Column1026]]</f>
        <v>98.5</v>
      </c>
      <c r="AMM34">
        <f>SOFR3mo_PX[[#This Row],[Column1027]]</f>
        <v>98.32</v>
      </c>
      <c r="AMN34">
        <f>SOFR3mo_PX[[#This Row],[Column1028]]</f>
        <v>98.295000000000002</v>
      </c>
      <c r="AMO34">
        <f>SOFR3mo_PX[[#This Row],[Column1029]]</f>
        <v>98.194999999999993</v>
      </c>
      <c r="AMP34">
        <f>SOFR3mo_PX[[#This Row],[Column1030]]</f>
        <v>98.105000000000004</v>
      </c>
      <c r="AMQ34">
        <f>SOFR3mo_PX[[#This Row],[Column1031]]</f>
        <v>98.17</v>
      </c>
      <c r="AMR34">
        <f>SOFR3mo_PX[[#This Row],[Column1032]]</f>
        <v>98.165000000000006</v>
      </c>
      <c r="AMS34">
        <f>SOFR3mo_PX[[#This Row],[Column1033]]</f>
        <v>98.26</v>
      </c>
      <c r="AMT34">
        <f>SOFR3mo_PX[[#This Row],[Column1034]]</f>
        <v>98.245000000000005</v>
      </c>
      <c r="AMU34">
        <f>SOFR3mo_PX[[#This Row],[Column1035]]</f>
        <v>98.19</v>
      </c>
      <c r="AMV34">
        <f>SOFR3mo_PX[[#This Row],[Column1036]]</f>
        <v>98.105000000000004</v>
      </c>
      <c r="AMW34">
        <f>SOFR3mo_PX[[#This Row],[Column1037]]</f>
        <v>98.105000000000004</v>
      </c>
      <c r="AMX34">
        <f>SOFR3mo_PX[[#This Row],[Column1038]]</f>
        <v>98.04</v>
      </c>
      <c r="AMY34">
        <f>SOFR3mo_PX[[#This Row],[Column1039]]</f>
        <v>98.075000000000003</v>
      </c>
      <c r="AMZ34">
        <f>SOFR3mo_PX[[#This Row],[Column1040]]</f>
        <v>97.984999999999999</v>
      </c>
      <c r="ANA34">
        <f>SOFR3mo_PX[[#This Row],[Column1041]]</f>
        <v>97.974999999999994</v>
      </c>
      <c r="ANB34">
        <f>SOFR3mo_PX[[#This Row],[Column1042]]</f>
        <v>97.89</v>
      </c>
      <c r="ANC34">
        <f>SOFR3mo_PX[[#This Row],[Column1043]]</f>
        <v>97.94</v>
      </c>
      <c r="AND34">
        <f>SOFR3mo_PX[[#This Row],[Column1044]]</f>
        <v>97.93</v>
      </c>
      <c r="ANE34">
        <f>SOFR3mo_PX[[#This Row],[Column1045]]</f>
        <v>97.965000000000003</v>
      </c>
      <c r="ANF34">
        <f>SOFR3mo_PX[[#This Row],[Column1046]]</f>
        <v>97.96</v>
      </c>
      <c r="ANG34">
        <f>SOFR3mo_PX[[#This Row],[Column1047]]</f>
        <v>98.02</v>
      </c>
      <c r="ANH34">
        <f>SOFR3mo_PX[[#This Row],[Column1048]]</f>
        <v>97.905000000000001</v>
      </c>
      <c r="ANI34">
        <f>SOFR3mo_PX[[#This Row],[Column1049]]</f>
        <v>97.765000000000001</v>
      </c>
      <c r="ANJ34">
        <f>SOFR3mo_PX[[#This Row],[Column1050]]</f>
        <v>97.805000000000007</v>
      </c>
      <c r="ANK34">
        <f>SOFR3mo_PX[[#This Row],[Column1051]]</f>
        <v>97.79</v>
      </c>
      <c r="ANL34">
        <f>SOFR3mo_PX[[#This Row],[Column1052]]</f>
        <v>97.724999999999994</v>
      </c>
      <c r="ANM34">
        <f>SOFR3mo_PX[[#This Row],[Column1053]]</f>
        <v>97.745000000000005</v>
      </c>
      <c r="ANN34">
        <f>SOFR3mo_PX[[#This Row],[Column1054]]</f>
        <v>97.71</v>
      </c>
      <c r="ANO34">
        <f>SOFR3mo_PX[[#This Row],[Column1055]]</f>
        <v>97.66</v>
      </c>
      <c r="ANP34">
        <f>SOFR3mo_PX[[#This Row],[Column1056]]</f>
        <v>97.614999999999995</v>
      </c>
      <c r="ANQ34">
        <f>SOFR3mo_PX[[#This Row],[Column1057]]</f>
        <v>97.605000000000004</v>
      </c>
      <c r="ANR34">
        <f>SOFR3mo_PX[[#This Row],[Column1058]]</f>
        <v>97.51</v>
      </c>
      <c r="ANS34">
        <f>SOFR3mo_PX[[#This Row],[Column1059]]</f>
        <v>97.56</v>
      </c>
      <c r="ANT34">
        <f>SOFR3mo_PX[[#This Row],[Column1060]]</f>
        <v>97.525000000000006</v>
      </c>
      <c r="ANU34">
        <f>SOFR3mo_PX[[#This Row],[Column1061]]</f>
        <v>97.57</v>
      </c>
      <c r="ANV34">
        <f>SOFR3mo_PX[[#This Row],[Column1062]]</f>
        <v>97.57</v>
      </c>
      <c r="ANW34">
        <f>SOFR3mo_PX[[#This Row],[Column1063]]</f>
        <v>97.584999999999994</v>
      </c>
      <c r="ANX34">
        <f>SOFR3mo_PX[[#This Row],[Column1064]]</f>
        <v>97.635000000000005</v>
      </c>
      <c r="ANY34">
        <f>SOFR3mo_PX[[#This Row],[Column1065]]</f>
        <v>97.655000000000001</v>
      </c>
      <c r="ANZ34">
        <f>SOFR3mo_PX[[#This Row],[Column1066]]</f>
        <v>97.605000000000004</v>
      </c>
      <c r="AOA34">
        <f>SOFR3mo_PX[[#This Row],[Column1067]]</f>
        <v>97.564999999999998</v>
      </c>
      <c r="AOB34">
        <f>SOFR3mo_PX[[#This Row],[Column1068]]</f>
        <v>97.57</v>
      </c>
      <c r="AOC34">
        <f>SOFR3mo_PX[[#This Row],[Column1069]]</f>
        <v>97.51</v>
      </c>
      <c r="AOD34">
        <f>SOFR3mo_PX[[#This Row],[Column1070]]</f>
        <v>97.55</v>
      </c>
      <c r="AOE34">
        <f>SOFR3mo_PX[[#This Row],[Column1071]]</f>
        <v>97.555000000000007</v>
      </c>
      <c r="AOF34">
        <f>SOFR3mo_PX[[#This Row],[Column1072]]</f>
        <v>97.564999999999998</v>
      </c>
      <c r="AOG34">
        <f>SOFR3mo_PX[[#This Row],[Column1073]]</f>
        <v>97.52</v>
      </c>
      <c r="AOH34">
        <f>SOFR3mo_PX[[#This Row],[Column1074]]</f>
        <v>97.465000000000003</v>
      </c>
      <c r="AOI34">
        <f>SOFR3mo_PX[[#This Row],[Column1075]]</f>
        <v>97.564999999999998</v>
      </c>
      <c r="AOJ34">
        <f>SOFR3mo_PX[[#This Row],[Column1076]]</f>
        <v>97.59</v>
      </c>
      <c r="AOK34">
        <f>SOFR3mo_PX[[#This Row],[Column1077]]</f>
        <v>97.62</v>
      </c>
      <c r="AOL34">
        <f>SOFR3mo_PX[[#This Row],[Column1078]]</f>
        <v>97.635000000000005</v>
      </c>
      <c r="AOM34">
        <f>SOFR3mo_PX[[#This Row],[Column1079]]</f>
        <v>97.61</v>
      </c>
      <c r="AON34">
        <f>SOFR3mo_PX[[#This Row],[Column1080]]</f>
        <v>97.584999999999994</v>
      </c>
      <c r="AOO34">
        <f>SOFR3mo_PX[[#This Row],[Column1081]]</f>
        <v>97.56</v>
      </c>
      <c r="AOP34">
        <f>SOFR3mo_PX[[#This Row],[Column1082]]</f>
        <v>97.525000000000006</v>
      </c>
      <c r="AOQ34">
        <f>SOFR3mo_PX[[#This Row],[Column1083]]</f>
        <v>97.525000000000006</v>
      </c>
      <c r="AOR34">
        <f>SOFR3mo_PX[[#This Row],[Column1084]]</f>
        <v>97.55</v>
      </c>
      <c r="AOS34">
        <f>SOFR3mo_PX[[#This Row],[Column1085]]</f>
        <v>97.56</v>
      </c>
      <c r="AOT34">
        <f>SOFR3mo_PX[[#This Row],[Column1086]]</f>
        <v>97.62</v>
      </c>
      <c r="AOU34">
        <f>SOFR3mo_PX[[#This Row],[Column1087]]</f>
        <v>97.63</v>
      </c>
      <c r="AOV34">
        <f>SOFR3mo_PX[[#This Row],[Column1088]]</f>
        <v>97.655000000000001</v>
      </c>
      <c r="AOW34">
        <f>SOFR3mo_PX[[#This Row],[Column1089]]</f>
        <v>97.655000000000001</v>
      </c>
      <c r="AOX34">
        <f>SOFR3mo_PX[[#This Row],[Column1090]]</f>
        <v>97.66</v>
      </c>
      <c r="AOY34">
        <f>SOFR3mo_PX[[#This Row],[Column1091]]</f>
        <v>97.635000000000005</v>
      </c>
      <c r="AOZ34">
        <f>SOFR3mo_PX[[#This Row],[Column1092]]</f>
        <v>97.65</v>
      </c>
      <c r="APA34">
        <f>SOFR3mo_PX[[#This Row],[Column1093]]</f>
        <v>97.69</v>
      </c>
      <c r="APB34">
        <f>SOFR3mo_PX[[#This Row],[Column1094]]</f>
        <v>97.545000000000002</v>
      </c>
      <c r="APC34">
        <f>SOFR3mo_PX[[#This Row],[Column1095]]</f>
        <v>97.534999999999997</v>
      </c>
      <c r="APD34">
        <f>SOFR3mo_PX[[#This Row],[Column1096]]</f>
        <v>97.44</v>
      </c>
      <c r="APE34">
        <f>SOFR3mo_PX[[#This Row],[Column1097]]</f>
        <v>97.45</v>
      </c>
      <c r="APF34">
        <f>SOFR3mo_PX[[#This Row],[Column1098]]</f>
        <v>97.48</v>
      </c>
      <c r="APG34">
        <f>SOFR3mo_PX[[#This Row],[Column1099]]</f>
        <v>97.44</v>
      </c>
      <c r="APH34">
        <f>SOFR3mo_PX[[#This Row],[Column1100]]</f>
        <v>97.415000000000006</v>
      </c>
      <c r="API34">
        <f>SOFR3mo_PX[[#This Row],[Column1101]]</f>
        <v>97.31</v>
      </c>
      <c r="APJ34">
        <f>SOFR3mo_PX[[#This Row],[Column1102]]</f>
        <v>97.295000000000002</v>
      </c>
      <c r="APK34">
        <f>SOFR3mo_PX[[#This Row],[Column1103]]</f>
        <v>97.36</v>
      </c>
      <c r="APL34">
        <f>SOFR3mo_PX[[#This Row],[Column1104]]</f>
        <v>97.23</v>
      </c>
      <c r="APM34">
        <f>SOFR3mo_PX[[#This Row],[Column1105]]</f>
        <v>97.265000000000001</v>
      </c>
      <c r="APN34">
        <f>SOFR3mo_PX[[#This Row],[Column1106]]</f>
        <v>97.29</v>
      </c>
      <c r="APO34">
        <f>SOFR3mo_PX[[#This Row],[Column1107]]</f>
        <v>97.37</v>
      </c>
      <c r="APP34">
        <f>SOFR3mo_PX[[#This Row],[Column1108]]</f>
        <v>97.43</v>
      </c>
      <c r="APQ34">
        <f>SOFR3mo_PX[[#This Row],[Column1109]]</f>
        <v>97.394999999999996</v>
      </c>
      <c r="APR34">
        <f>SOFR3mo_PX[[#This Row],[Column1110]]</f>
        <v>97.375</v>
      </c>
      <c r="APS34">
        <f>SOFR3mo_PX[[#This Row],[Column1111]]</f>
        <v>97.314999999999998</v>
      </c>
      <c r="APT34">
        <f>SOFR3mo_PX[[#This Row],[Column1112]]</f>
        <v>97.27</v>
      </c>
      <c r="APU34">
        <f>SOFR3mo_PX[[#This Row],[Column1113]]</f>
        <v>97.45</v>
      </c>
      <c r="APV34">
        <f>SOFR3mo_PX[[#This Row],[Column1114]]</f>
        <v>97.64</v>
      </c>
      <c r="APW34">
        <f>SOFR3mo_PX[[#This Row],[Column1115]]</f>
        <v>97.61</v>
      </c>
      <c r="APX34">
        <f>SOFR3mo_PX[[#This Row],[Column1116]]</f>
        <v>97.605000000000004</v>
      </c>
      <c r="APY34">
        <f>SOFR3mo_PX[[#This Row],[Column1117]]</f>
        <v>97.59</v>
      </c>
      <c r="APZ34">
        <f>SOFR3mo_PX[[#This Row],[Column1118]]</f>
        <v>97.66</v>
      </c>
      <c r="AQA34">
        <f>SOFR3mo_PX[[#This Row],[Column1119]]</f>
        <v>97.66</v>
      </c>
      <c r="AQB34">
        <f>SOFR3mo_PX[[#This Row],[Column1120]]</f>
        <v>97.63</v>
      </c>
      <c r="AQC34">
        <f>SOFR3mo_PX[[#This Row],[Column1121]]</f>
        <v>97.575000000000003</v>
      </c>
      <c r="AQD34">
        <f>SOFR3mo_PX[[#This Row],[Column1122]]</f>
        <v>97.64</v>
      </c>
      <c r="AQE34">
        <f>SOFR3mo_PX[[#This Row],[Column1123]]</f>
        <v>97.63</v>
      </c>
      <c r="AQF34">
        <f>SOFR3mo_PX[[#This Row],[Column1124]]</f>
        <v>97.694999999999993</v>
      </c>
      <c r="AQG34">
        <f>SOFR3mo_PX[[#This Row],[Column1125]]</f>
        <v>97.75</v>
      </c>
      <c r="AQH34">
        <f>SOFR3mo_PX[[#This Row],[Column1126]]</f>
        <v>97.71</v>
      </c>
      <c r="AQI34">
        <f>SOFR3mo_PX[[#This Row],[Column1127]]</f>
        <v>97.594999999999999</v>
      </c>
      <c r="AQJ34">
        <f>SOFR3mo_PX[[#This Row],[Column1128]]</f>
        <v>97.6</v>
      </c>
      <c r="AQK34">
        <f>SOFR3mo_PX[[#This Row],[Column1129]]</f>
        <v>97.69</v>
      </c>
      <c r="AQL34">
        <f>SOFR3mo_PX[[#This Row],[Column1130]]</f>
        <v>97.715000000000003</v>
      </c>
      <c r="AQM34">
        <f>SOFR3mo_PX[[#This Row],[Column1131]]</f>
        <v>97.704999999999998</v>
      </c>
      <c r="AQN34">
        <f>SOFR3mo_PX[[#This Row],[Column1132]]</f>
        <v>97.74</v>
      </c>
      <c r="AQO34">
        <f>SOFR3mo_PX[[#This Row],[Column1133]]</f>
        <v>97.784999999999997</v>
      </c>
      <c r="AQP34">
        <f>SOFR3mo_PX[[#This Row],[Column1134]]</f>
        <v>97.84</v>
      </c>
      <c r="AQQ34">
        <f>SOFR3mo_PX[[#This Row],[Column1135]]</f>
        <v>97.864999999999995</v>
      </c>
      <c r="AQR34">
        <f>SOFR3mo_PX[[#This Row],[Column1136]]</f>
        <v>97.984999999999999</v>
      </c>
      <c r="AQS34">
        <f>SOFR3mo_PX[[#This Row],[Column1137]]</f>
        <v>97.984999999999999</v>
      </c>
      <c r="AQT34">
        <f>SOFR3mo_PX[[#This Row],[Column1138]]</f>
        <v>98.094999999999999</v>
      </c>
      <c r="AQU34">
        <f>SOFR3mo_PX[[#This Row],[Column1139]]</f>
        <v>98.105000000000004</v>
      </c>
      <c r="AQV34">
        <f>SOFR3mo_PX[[#This Row],[Column1140]]</f>
        <v>98.09</v>
      </c>
      <c r="AQW34">
        <f>SOFR3mo_PX[[#This Row],[Column1141]]</f>
        <v>98.08</v>
      </c>
      <c r="AQX34">
        <f>SOFR3mo_PX[[#This Row],[Column1142]]</f>
        <v>98.1</v>
      </c>
      <c r="AQY34">
        <f>SOFR3mo_PX[[#This Row],[Column1143]]</f>
        <v>98.105000000000004</v>
      </c>
      <c r="AQZ34">
        <f>SOFR3mo_PX[[#This Row],[Column1144]]</f>
        <v>98.245000000000005</v>
      </c>
      <c r="ARA34">
        <f>SOFR3mo_PX[[#This Row],[Column1145]]</f>
        <v>98.26</v>
      </c>
      <c r="ARB34">
        <f>SOFR3mo_PX[[#This Row],[Column1146]]</f>
        <v>98.325000000000003</v>
      </c>
      <c r="ARC34">
        <f>SOFR3mo_PX[[#This Row],[Column1147]]</f>
        <v>98.325000000000003</v>
      </c>
      <c r="ARD34">
        <f>SOFR3mo_PX[[#This Row],[Column1148]]</f>
        <v>98.33</v>
      </c>
      <c r="ARE34">
        <f>SOFR3mo_PX[[#This Row],[Column1149]]</f>
        <v>98.32</v>
      </c>
      <c r="ARF34">
        <f>SOFR3mo_PX[[#This Row],[Column1150]]</f>
        <v>98.314999999999998</v>
      </c>
      <c r="ARG34">
        <f>SOFR3mo_PX[[#This Row],[Column1151]]</f>
        <v>98.32</v>
      </c>
      <c r="ARH34">
        <f>SOFR3mo_PX[[#This Row],[Column1152]]</f>
        <v>98.32</v>
      </c>
      <c r="ARI34">
        <f>SOFR3mo_PX[[#This Row],[Column1153]]</f>
        <v>98.314999999999998</v>
      </c>
      <c r="ARJ34">
        <f>SOFR3mo_PX[[#This Row],[Column1154]]</f>
        <v>98.33</v>
      </c>
      <c r="ARK34">
        <f>SOFR3mo_PX[[#This Row],[Column1155]]</f>
        <v>98.33</v>
      </c>
      <c r="ARL34">
        <f>SOFR3mo_PX[[#This Row],[Column1156]]</f>
        <v>98.32</v>
      </c>
      <c r="ARM34">
        <f>SOFR3mo_PX[[#This Row],[Column1157]]</f>
        <v>98.32</v>
      </c>
      <c r="ARN34">
        <f>SOFR3mo_PX[[#This Row],[Column1158]]</f>
        <v>98.33</v>
      </c>
      <c r="ARO34">
        <f>SOFR3mo_PX[[#This Row],[Column1159]]</f>
        <v>98.314999999999998</v>
      </c>
      <c r="ARP34">
        <f>SOFR3mo_PX[[#This Row],[Column1160]]</f>
        <v>98.29</v>
      </c>
      <c r="ARQ34">
        <f>SOFR3mo_PX[[#This Row],[Column1161]]</f>
        <v>98.295000000000002</v>
      </c>
      <c r="ARR34">
        <f>SOFR3mo_PX[[#This Row],[Column1162]]</f>
        <v>98.3</v>
      </c>
      <c r="ARS34">
        <f>SOFR3mo_PX[[#This Row],[Column1163]]</f>
        <v>98.34</v>
      </c>
      <c r="ART34">
        <f>SOFR3mo_PX[[#This Row],[Column1164]]</f>
        <v>98.57</v>
      </c>
      <c r="ARU34">
        <f>SOFR3mo_PX[[#This Row],[Column1165]]</f>
        <v>98.614999999999995</v>
      </c>
      <c r="ARV34">
        <f>SOFR3mo_PX[[#This Row],[Column1166]]</f>
        <v>98.625</v>
      </c>
      <c r="ARW34">
        <f>SOFR3mo_PX[[#This Row],[Column1167]]</f>
        <v>98.614999999999995</v>
      </c>
      <c r="ARX34">
        <f>SOFR3mo_PX[[#This Row],[Column1168]]</f>
        <v>98.614999999999995</v>
      </c>
      <c r="ARY34">
        <f>SOFR3mo_PX[[#This Row],[Column1169]]</f>
        <v>98.605000000000004</v>
      </c>
      <c r="ARZ34">
        <f>SOFR3mo_PX[[#This Row],[Column1170]]</f>
        <v>98.59</v>
      </c>
      <c r="ASA34">
        <f>SOFR3mo_PX[[#This Row],[Column1171]]</f>
        <v>98.584999999999994</v>
      </c>
      <c r="ASB34">
        <f>SOFR3mo_PX[[#This Row],[Column1172]]</f>
        <v>98.59</v>
      </c>
      <c r="ASC34">
        <f>SOFR3mo_PX[[#This Row],[Column1173]]</f>
        <v>98.59</v>
      </c>
      <c r="ASD34">
        <f>SOFR3mo_PX[[#This Row],[Column1174]]</f>
        <v>98.59</v>
      </c>
      <c r="ASE34">
        <f>SOFR3mo_PX[[#This Row],[Column1175]]</f>
        <v>98.594999999999999</v>
      </c>
      <c r="ASF34">
        <f>SOFR3mo_PX[[#This Row],[Column1176]]</f>
        <v>98.59</v>
      </c>
      <c r="ASG34">
        <f>SOFR3mo_PX[[#This Row],[Column1177]]</f>
        <v>98.59</v>
      </c>
      <c r="ASH34">
        <f>SOFR3mo_PX[[#This Row],[Column1178]]</f>
        <v>98.685000000000002</v>
      </c>
      <c r="ASI34">
        <f>SOFR3mo_PX[[#This Row],[Column1179]]</f>
        <v>98.694999999999993</v>
      </c>
      <c r="ASJ34">
        <f>SOFR3mo_PX[[#This Row],[Column1180]]</f>
        <v>98.724999999999994</v>
      </c>
      <c r="ASK34">
        <f>SOFR3mo_PX[[#This Row],[Column1181]]</f>
        <v>98.724999999999994</v>
      </c>
      <c r="ASL34">
        <f>SOFR3mo_PX[[#This Row],[Column1182]]</f>
        <v>98.724999999999994</v>
      </c>
      <c r="ASM34">
        <f>SOFR3mo_PX[[#This Row],[Column1183]]</f>
        <v>99.045000000000002</v>
      </c>
      <c r="ASN34">
        <f>SOFR3mo_PX[[#This Row],[Column1184]]</f>
        <v>99.424999999999997</v>
      </c>
      <c r="ASO34">
        <f>SOFR3mo_PX[[#This Row],[Column1185]]</f>
        <v>99.53</v>
      </c>
      <c r="ASP34">
        <f>SOFR3mo_PX[[#This Row],[Column1186]]</f>
        <v>99.53</v>
      </c>
      <c r="ASQ34">
        <f>SOFR3mo_PX[[#This Row],[Column1187]]</f>
        <v>99.54</v>
      </c>
      <c r="ASR34">
        <f>SOFR3mo_PX[[#This Row],[Column1188]]</f>
        <v>99.555000000000007</v>
      </c>
      <c r="ASS34">
        <f>SOFR3mo_PX[[#This Row],[Column1189]]</f>
        <v>99.56</v>
      </c>
      <c r="AST34">
        <f>SOFR3mo_PX[[#This Row],[Column1190]]</f>
        <v>99.564999999999998</v>
      </c>
      <c r="ASU34">
        <f>SOFR3mo_PX[[#This Row],[Column1191]]</f>
        <v>99.59</v>
      </c>
      <c r="ASV34">
        <f>SOFR3mo_PX[[#This Row],[Column1192]]</f>
        <v>99.594999999999999</v>
      </c>
      <c r="ASW34">
        <f>SOFR3mo_PX[[#This Row],[Column1193]]</f>
        <v>99.59</v>
      </c>
      <c r="ASX34">
        <f>SOFR3mo_PX[[#This Row],[Column1194]]</f>
        <v>99.59</v>
      </c>
      <c r="ASY34">
        <f>SOFR3mo_PX[[#This Row],[Column1195]]</f>
        <v>99.584999999999994</v>
      </c>
      <c r="ASZ34">
        <f>SOFR3mo_PX[[#This Row],[Column1196]]</f>
        <v>99.58</v>
      </c>
      <c r="ATA34">
        <f>SOFR3mo_PX[[#This Row],[Column1197]]</f>
        <v>99.594999999999999</v>
      </c>
      <c r="ATB34">
        <f>SOFR3mo_PX[[#This Row],[Column1198]]</f>
        <v>99.59</v>
      </c>
      <c r="ATC34">
        <f>SOFR3mo_PX[[#This Row],[Column1199]]</f>
        <v>99.59</v>
      </c>
      <c r="ATD34">
        <f>SOFR3mo_PX[[#This Row],[Column1200]]</f>
        <v>99.594999999999999</v>
      </c>
      <c r="ATE34">
        <f>SOFR3mo_PX[[#This Row],[Column1201]]</f>
        <v>99.584999999999994</v>
      </c>
      <c r="ATF34">
        <f>SOFR3mo_PX[[#This Row],[Column1202]]</f>
        <v>99.584999999999994</v>
      </c>
      <c r="ATG34">
        <f>SOFR3mo_PX[[#This Row],[Column1203]]</f>
        <v>99.58</v>
      </c>
      <c r="ATH34">
        <f>SOFR3mo_PX[[#This Row],[Column1204]]</f>
        <v>99.56</v>
      </c>
      <c r="ATI34">
        <f>SOFR3mo_PX[[#This Row],[Column1205]]</f>
        <v>99.56</v>
      </c>
      <c r="ATJ34">
        <f>SOFR3mo_PX[[#This Row],[Column1206]]</f>
        <v>99.594999999999999</v>
      </c>
      <c r="ATK34">
        <f>SOFR3mo_PX[[#This Row],[Column1207]]</f>
        <v>99.64</v>
      </c>
      <c r="ATL34">
        <f>SOFR3mo_PX[[#This Row],[Column1208]]</f>
        <v>99.644999999999996</v>
      </c>
      <c r="ATM34">
        <f>SOFR3mo_PX[[#This Row],[Column1209]]</f>
        <v>99.665000000000006</v>
      </c>
      <c r="ATN34">
        <f>SOFR3mo_PX[[#This Row],[Column1210]]</f>
        <v>99.635000000000005</v>
      </c>
      <c r="ATO34">
        <f>SOFR3mo_PX[[#This Row],[Column1211]]</f>
        <v>99.644999999999996</v>
      </c>
      <c r="ATP34">
        <f>SOFR3mo_PX[[#This Row],[Column1212]]</f>
        <v>99.64</v>
      </c>
      <c r="ATQ34">
        <f>SOFR3mo_PX[[#This Row],[Column1213]]</f>
        <v>99.644999999999996</v>
      </c>
      <c r="ATR34">
        <f>SOFR3mo_PX[[#This Row],[Column1214]]</f>
        <v>99.655000000000001</v>
      </c>
      <c r="ATS34">
        <f>SOFR3mo_PX[[#This Row],[Column1215]]</f>
        <v>99.655000000000001</v>
      </c>
      <c r="ATT34">
        <f>SOFR3mo_PX[[#This Row],[Column1216]]</f>
        <v>99.65</v>
      </c>
      <c r="ATU34">
        <f>SOFR3mo_PX[[#This Row],[Column1217]]</f>
        <v>99.64</v>
      </c>
      <c r="ATV34">
        <f>SOFR3mo_PX[[#This Row],[Column1218]]</f>
        <v>99.63</v>
      </c>
      <c r="ATW34">
        <f>SOFR3mo_PX[[#This Row],[Column1219]]</f>
        <v>99.655000000000001</v>
      </c>
      <c r="ATX34">
        <f>SOFR3mo_PX[[#This Row],[Column1220]]</f>
        <v>99.655000000000001</v>
      </c>
      <c r="ATY34">
        <f>SOFR3mo_PX[[#This Row],[Column1221]]</f>
        <v>99.665000000000006</v>
      </c>
      <c r="ATZ34">
        <f>SOFR3mo_PX[[#This Row],[Column1222]]</f>
        <v>99.674999999999997</v>
      </c>
      <c r="AUA34">
        <f>SOFR3mo_PX[[#This Row],[Column1223]]</f>
        <v>99.67</v>
      </c>
      <c r="AUB34">
        <f>SOFR3mo_PX[[#This Row],[Column1224]]</f>
        <v>99.674999999999997</v>
      </c>
      <c r="AUC34">
        <f>SOFR3mo_PX[[#This Row],[Column1225]]</f>
        <v>99.67</v>
      </c>
      <c r="AUD34">
        <f>SOFR3mo_PX[[#This Row],[Column1226]]</f>
        <v>99.655000000000001</v>
      </c>
      <c r="AUE34">
        <f>SOFR3mo_PX[[#This Row],[Column1227]]</f>
        <v>99.65</v>
      </c>
      <c r="AUF34">
        <f>SOFR3mo_PX[[#This Row],[Column1228]]</f>
        <v>99.665000000000006</v>
      </c>
      <c r="AUG34">
        <f>SOFR3mo_PX[[#This Row],[Column1229]]</f>
        <v>99.66</v>
      </c>
      <c r="AUH34">
        <f>SOFR3mo_PX[[#This Row],[Column1230]]</f>
        <v>99.685000000000002</v>
      </c>
      <c r="AUI34">
        <f>SOFR3mo_PX[[#This Row],[Column1231]]</f>
        <v>99.685000000000002</v>
      </c>
      <c r="AUJ34">
        <f>SOFR3mo_PX[[#This Row],[Column1232]]</f>
        <v>99.734999999999999</v>
      </c>
      <c r="AUK34">
        <f>SOFR3mo_PX[[#This Row],[Column1233]]</f>
        <v>99.734999999999999</v>
      </c>
      <c r="AUL34">
        <f>SOFR3mo_PX[[#This Row],[Column1234]]</f>
        <v>99.734999999999999</v>
      </c>
      <c r="AUM34">
        <f>SOFR3mo_PX[[#This Row],[Column1235]]</f>
        <v>99.74</v>
      </c>
      <c r="AUN34">
        <f>SOFR3mo_PX[[#This Row],[Column1236]]</f>
        <v>99.74</v>
      </c>
      <c r="AUO34">
        <f>SOFR3mo_PX[[#This Row],[Column1237]]</f>
        <v>99.75</v>
      </c>
      <c r="AUP34">
        <f>SOFR3mo_PX[[#This Row],[Column1238]]</f>
        <v>99.75</v>
      </c>
      <c r="AUQ34">
        <f>SOFR3mo_PX[[#This Row],[Column1239]]</f>
        <v>99.754999999999995</v>
      </c>
      <c r="AUR34">
        <f>SOFR3mo_PX[[#This Row],[Column1240]]</f>
        <v>99.754999999999995</v>
      </c>
      <c r="AUS34">
        <f>SOFR3mo_PX[[#This Row],[Column1241]]</f>
        <v>99.745000000000005</v>
      </c>
      <c r="AUT34">
        <f>SOFR3mo_PX[[#This Row],[Column1242]]</f>
        <v>99.724999999999994</v>
      </c>
      <c r="AUU34">
        <f>SOFR3mo_PX[[#This Row],[Column1243]]</f>
        <v>99.74</v>
      </c>
      <c r="AUV34">
        <f>SOFR3mo_PX[[#This Row],[Column1244]]</f>
        <v>99.734999999999999</v>
      </c>
      <c r="AUW34">
        <f>SOFR3mo_PX[[#This Row],[Column1245]]</f>
        <v>99.765000000000001</v>
      </c>
      <c r="AUX34">
        <f>SOFR3mo_PX[[#This Row],[Column1246]]</f>
        <v>99.77</v>
      </c>
      <c r="AUY34">
        <f>SOFR3mo_PX[[#This Row],[Column1247]]</f>
        <v>99.76</v>
      </c>
      <c r="AUZ34">
        <f>SOFR3mo_PX[[#This Row],[Column1248]]</f>
        <v>99.734999999999999</v>
      </c>
      <c r="AVA34">
        <f>SOFR3mo_PX[[#This Row],[Column1249]]</f>
        <v>99.73</v>
      </c>
      <c r="AVB34">
        <f>SOFR3mo_PX[[#This Row],[Column1250]]</f>
        <v>99.734999999999999</v>
      </c>
      <c r="AVC34">
        <f>SOFR3mo_PX[[#This Row],[Column1251]]</f>
        <v>99.724999999999994</v>
      </c>
      <c r="AVD34">
        <f>SOFR3mo_PX[[#This Row],[Column1252]]</f>
        <v>99.724999999999994</v>
      </c>
      <c r="AVE34">
        <f>SOFR3mo_PX[[#This Row],[Column1253]]</f>
        <v>99.754999999999995</v>
      </c>
      <c r="AVF34">
        <f>SOFR3mo_PX[[#This Row],[Column1254]]</f>
        <v>99.745000000000005</v>
      </c>
      <c r="AVG34">
        <f>SOFR3mo_PX[[#This Row],[Column1255]]</f>
        <v>99.754999999999995</v>
      </c>
      <c r="AVH34">
        <f>SOFR3mo_PX[[#This Row],[Column1256]]</f>
        <v>99.75</v>
      </c>
      <c r="AVI34">
        <f>SOFR3mo_PX[[#This Row],[Column1257]]</f>
        <v>99.745000000000005</v>
      </c>
      <c r="AVJ34">
        <f>SOFR3mo_PX[[#This Row],[Column1258]]</f>
        <v>99.724999999999994</v>
      </c>
      <c r="AVK34">
        <f>SOFR3mo_PX[[#This Row],[Column1259]]</f>
        <v>99.734999999999999</v>
      </c>
      <c r="AVL34">
        <f>SOFR3mo_PX[[#This Row],[Column1260]]</f>
        <v>99.74</v>
      </c>
      <c r="AVM34">
        <f>SOFR3mo_PX[[#This Row],[Column1261]]</f>
        <v>99.75</v>
      </c>
      <c r="AVN34">
        <f>SOFR3mo_PX[[#This Row],[Column1262]]</f>
        <v>99.745000000000005</v>
      </c>
      <c r="AVO34">
        <f>SOFR3mo_PX[[#This Row],[Column1263]]</f>
        <v>99.754999999999995</v>
      </c>
      <c r="AVP34">
        <f>SOFR3mo_PX[[#This Row],[Column1264]]</f>
        <v>99.754999999999995</v>
      </c>
      <c r="AVQ34">
        <f>SOFR3mo_PX[[#This Row],[Column1265]]</f>
        <v>99.745000000000005</v>
      </c>
      <c r="AVR34">
        <f>SOFR3mo_PX[[#This Row],[Column1266]]</f>
        <v>99.73</v>
      </c>
      <c r="AVS34">
        <f>SOFR3mo_PX[[#This Row],[Column1267]]</f>
        <v>99.72</v>
      </c>
      <c r="AVT34">
        <f>SOFR3mo_PX[[#This Row],[Column1268]]</f>
        <v>99.72</v>
      </c>
      <c r="AVU34">
        <f>SOFR3mo_PX[[#This Row],[Column1269]]</f>
        <v>99.724999999999994</v>
      </c>
      <c r="AVV34">
        <f>SOFR3mo_PX[[#This Row],[Column1270]]</f>
        <v>99.724999999999994</v>
      </c>
      <c r="AVW34">
        <f>SOFR3mo_PX[[#This Row],[Column1271]]</f>
        <v>99.76</v>
      </c>
      <c r="AVX34">
        <f>SOFR3mo_PX[[#This Row],[Column1272]]</f>
        <v>99.77</v>
      </c>
      <c r="AVY34">
        <f>SOFR3mo_PX[[#This Row],[Column1273]]</f>
        <v>99.79</v>
      </c>
      <c r="AVZ34">
        <f>SOFR3mo_PX[[#This Row],[Column1274]]</f>
        <v>99.795000000000002</v>
      </c>
      <c r="AWA34">
        <f>SOFR3mo_PX[[#This Row],[Column1275]]</f>
        <v>99.805000000000007</v>
      </c>
      <c r="AWB34">
        <f>SOFR3mo_PX[[#This Row],[Column1276]]</f>
        <v>99.795000000000002</v>
      </c>
      <c r="AWC34">
        <f>SOFR3mo_PX[[#This Row],[Column1277]]</f>
        <v>99.79</v>
      </c>
      <c r="AWD34">
        <f>SOFR3mo_PX[[#This Row],[Column1278]]</f>
        <v>99.784999999999997</v>
      </c>
      <c r="AWE34">
        <f>SOFR3mo_PX[[#This Row],[Column1279]]</f>
        <v>99.765000000000001</v>
      </c>
      <c r="AWF34">
        <f>SOFR3mo_PX[[#This Row],[Column1280]]</f>
        <v>99.754999999999995</v>
      </c>
      <c r="AWG34">
        <f>SOFR3mo_PX[[#This Row],[Column1281]]</f>
        <v>99.75</v>
      </c>
      <c r="AWH34">
        <f>SOFR3mo_PX[[#This Row],[Column1282]]</f>
        <v>99.76</v>
      </c>
      <c r="AWI34">
        <f>SOFR3mo_PX[[#This Row],[Column1283]]</f>
        <v>99.765000000000001</v>
      </c>
      <c r="AWJ34">
        <f>SOFR3mo_PX[[#This Row],[Column1284]]</f>
        <v>99.765000000000001</v>
      </c>
      <c r="AWK34">
        <f>SOFR3mo_PX[[#This Row],[Column1285]]</f>
        <v>99.76</v>
      </c>
      <c r="AWL34">
        <f>SOFR3mo_PX[[#This Row],[Column1286]]</f>
        <v>99.76</v>
      </c>
      <c r="AWM34">
        <f>SOFR3mo_PX[[#This Row],[Column1287]]</f>
        <v>99.754999999999995</v>
      </c>
      <c r="AWN34">
        <f>SOFR3mo_PX[[#This Row],[Column1288]]</f>
        <v>99.754999999999995</v>
      </c>
      <c r="AWO34">
        <f>SOFR3mo_PX[[#This Row],[Column1289]]</f>
        <v>99.75</v>
      </c>
      <c r="AWP34">
        <f>SOFR3mo_PX[[#This Row],[Column1290]]</f>
        <v>99.76</v>
      </c>
      <c r="AWQ34">
        <f>SOFR3mo_PX[[#This Row],[Column1291]]</f>
        <v>99.76</v>
      </c>
      <c r="AWR34">
        <f>SOFR3mo_PX[[#This Row],[Column1292]]</f>
        <v>99.775000000000006</v>
      </c>
      <c r="AWS34">
        <f>SOFR3mo_PX[[#This Row],[Column1293]]</f>
        <v>99.79</v>
      </c>
      <c r="AWT34">
        <f>SOFR3mo_PX[[#This Row],[Column1294]]</f>
        <v>99.775000000000006</v>
      </c>
      <c r="AWU34">
        <f>SOFR3mo_PX[[#This Row],[Column1295]]</f>
        <v>99.77</v>
      </c>
      <c r="AWV34">
        <f>SOFR3mo_PX[[#This Row],[Column1296]]</f>
        <v>99.765000000000001</v>
      </c>
      <c r="AWW34">
        <f>SOFR3mo_PX[[#This Row],[Column1297]]</f>
        <v>99.765000000000001</v>
      </c>
      <c r="AWX34">
        <f>SOFR3mo_PX[[#This Row],[Column1298]]</f>
        <v>99.765000000000001</v>
      </c>
      <c r="AWY34">
        <f>SOFR3mo_PX[[#This Row],[Column1299]]</f>
        <v>99.754999999999995</v>
      </c>
      <c r="AWZ34">
        <f>SOFR3mo_PX[[#This Row],[Column1300]]</f>
        <v>99.775000000000006</v>
      </c>
      <c r="AXA34">
        <f>SOFR3mo_PX[[#This Row],[Column1301]]</f>
        <v>99.775000000000006</v>
      </c>
      <c r="AXB34">
        <f>SOFR3mo_PX[[#This Row],[Column1302]]</f>
        <v>99.765000000000001</v>
      </c>
      <c r="AXC34">
        <f>SOFR3mo_PX[[#This Row],[Column1303]]</f>
        <v>99.745000000000005</v>
      </c>
      <c r="AXD34">
        <f>SOFR3mo_PX[[#This Row],[Column1304]]</f>
        <v>99.745000000000005</v>
      </c>
      <c r="AXE34">
        <f>SOFR3mo_PX[[#This Row],[Column1305]]</f>
        <v>99.745000000000005</v>
      </c>
      <c r="AXF34">
        <f>SOFR3mo_PX[[#This Row],[Column1306]]</f>
        <v>99.74</v>
      </c>
      <c r="AXG34">
        <f>SOFR3mo_PX[[#This Row],[Column1307]]</f>
        <v>99.73</v>
      </c>
      <c r="AXH34">
        <f>SOFR3mo_PX[[#This Row],[Column1308]]</f>
        <v>99.71</v>
      </c>
      <c r="AXI34">
        <f>SOFR3mo_PX[[#This Row],[Column1309]]</f>
        <v>99.704999999999998</v>
      </c>
      <c r="AXJ34">
        <f>SOFR3mo_PX[[#This Row],[Column1310]]</f>
        <v>99.694999999999993</v>
      </c>
      <c r="AXK34">
        <f>SOFR3mo_PX[[#This Row],[Column1311]]</f>
        <v>99.71</v>
      </c>
      <c r="AXL34">
        <f>SOFR3mo_PX[[#This Row],[Column1312]]</f>
        <v>99.7</v>
      </c>
      <c r="AXM34">
        <f>SOFR3mo_PX[[#This Row],[Column1313]]</f>
        <v>99.71</v>
      </c>
      <c r="AXN34">
        <f>SOFR3mo_PX[[#This Row],[Column1314]]</f>
        <v>99.685000000000002</v>
      </c>
      <c r="AXO34">
        <f>SOFR3mo_PX[[#This Row],[Column1315]]</f>
        <v>99.635000000000005</v>
      </c>
      <c r="AXP34">
        <f>SOFR3mo_PX[[#This Row],[Column1316]]</f>
        <v>99.6</v>
      </c>
      <c r="AXQ34">
        <f>SOFR3mo_PX[[#This Row],[Column1317]]</f>
        <v>99.594999999999999</v>
      </c>
      <c r="AXR34">
        <f>SOFR3mo_PX[[#This Row],[Column1318]]</f>
        <v>99.66</v>
      </c>
      <c r="AXS34">
        <f>SOFR3mo_PX[[#This Row],[Column1319]]</f>
        <v>99.674999999999997</v>
      </c>
      <c r="AXT34">
        <f>SOFR3mo_PX[[#This Row],[Column1320]]</f>
        <v>99.71</v>
      </c>
      <c r="AXU34">
        <f>SOFR3mo_PX[[#This Row],[Column1321]]</f>
        <v>99.715000000000003</v>
      </c>
      <c r="AXV34">
        <f>SOFR3mo_PX[[#This Row],[Column1322]]</f>
        <v>99.704999999999998</v>
      </c>
      <c r="AXW34">
        <f>SOFR3mo_PX[[#This Row],[Column1323]]</f>
        <v>99.685000000000002</v>
      </c>
      <c r="AXX34">
        <f>SOFR3mo_PX[[#This Row],[Column1324]]</f>
        <v>99.69</v>
      </c>
      <c r="AXY34">
        <f>SOFR3mo_PX[[#This Row],[Column1325]]</f>
        <v>99.694999999999993</v>
      </c>
      <c r="AXZ34">
        <f>SOFR3mo_PX[[#This Row],[Column1326]]</f>
        <v>99.7</v>
      </c>
      <c r="AYA34">
        <f>SOFR3mo_PX[[#This Row],[Column1327]]</f>
        <v>99.7</v>
      </c>
      <c r="AYB34">
        <f>SOFR3mo_PX[[#This Row],[Column1328]]</f>
        <v>99.694999999999993</v>
      </c>
      <c r="AYC34">
        <f>SOFR3mo_PX[[#This Row],[Column1329]]</f>
        <v>99.694999999999993</v>
      </c>
      <c r="AYD34">
        <f>SOFR3mo_PX[[#This Row],[Column1330]]</f>
        <v>99.7</v>
      </c>
      <c r="AYE34">
        <f>SOFR3mo_PX[[#This Row],[Column1331]]</f>
        <v>99.7</v>
      </c>
      <c r="AYF34">
        <f>SOFR3mo_PX[[#This Row],[Column1332]]</f>
        <v>99.745000000000005</v>
      </c>
      <c r="AYG34">
        <f>SOFR3mo_PX[[#This Row],[Column1333]]</f>
        <v>99.72</v>
      </c>
      <c r="AYH34">
        <f>SOFR3mo_PX[[#This Row],[Column1334]]</f>
        <v>99.71</v>
      </c>
      <c r="AYI34">
        <f>SOFR3mo_PX[[#This Row],[Column1335]]</f>
        <v>99.69</v>
      </c>
      <c r="AYJ34">
        <f>SOFR3mo_PX[[#This Row],[Column1336]]</f>
        <v>99.69</v>
      </c>
      <c r="AYK34">
        <f>SOFR3mo_PX[[#This Row],[Column1337]]</f>
        <v>99.71</v>
      </c>
      <c r="AYL34">
        <f>SOFR3mo_PX[[#This Row],[Column1338]]</f>
        <v>99.72</v>
      </c>
      <c r="AYM34">
        <f>SOFR3mo_PX[[#This Row],[Column1339]]</f>
        <v>99.665000000000006</v>
      </c>
      <c r="AYN34">
        <f>SOFR3mo_PX[[#This Row],[Column1340]]</f>
        <v>99.65</v>
      </c>
      <c r="AYO34">
        <f>SOFR3mo_PX[[#This Row],[Column1341]]</f>
        <v>99.655000000000001</v>
      </c>
      <c r="AYP34">
        <f>SOFR3mo_PX[[#This Row],[Column1342]]</f>
        <v>99.64</v>
      </c>
      <c r="AYQ34">
        <f>SOFR3mo_PX[[#This Row],[Column1343]]</f>
        <v>99.644999999999996</v>
      </c>
      <c r="AYR34">
        <f>SOFR3mo_PX[[#This Row],[Column1344]]</f>
        <v>99.635000000000005</v>
      </c>
      <c r="AYS34">
        <f>SOFR3mo_PX[[#This Row],[Column1345]]</f>
        <v>99.62</v>
      </c>
      <c r="AYT34">
        <f>SOFR3mo_PX[[#This Row],[Column1346]]</f>
        <v>99.614999999999995</v>
      </c>
      <c r="AYU34">
        <f>SOFR3mo_PX[[#This Row],[Column1347]]</f>
        <v>99.625</v>
      </c>
      <c r="AYV34">
        <f>SOFR3mo_PX[[#This Row],[Column1348]]</f>
        <v>99.625</v>
      </c>
      <c r="AYW34">
        <f>SOFR3mo_PX[[#This Row],[Column1349]]</f>
        <v>99.62</v>
      </c>
      <c r="AYX34">
        <f>SOFR3mo_PX[[#This Row],[Column1350]]</f>
        <v>99.63</v>
      </c>
      <c r="AYY34">
        <f>SOFR3mo_PX[[#This Row],[Column1351]]</f>
        <v>99.61</v>
      </c>
      <c r="AYZ34">
        <f>SOFR3mo_PX[[#This Row],[Column1352]]</f>
        <v>99.6</v>
      </c>
      <c r="AZA34">
        <f>SOFR3mo_PX[[#This Row],[Column1353]]</f>
        <v>99.584999999999994</v>
      </c>
      <c r="AZB34">
        <f>SOFR3mo_PX[[#This Row],[Column1354]]</f>
        <v>99.575000000000003</v>
      </c>
      <c r="AZC34">
        <f>SOFR3mo_PX[[#This Row],[Column1355]]</f>
        <v>99.545000000000002</v>
      </c>
      <c r="AZD34">
        <f>SOFR3mo_PX[[#This Row],[Column1356]]</f>
        <v>99.53</v>
      </c>
      <c r="AZE34">
        <f>SOFR3mo_PX[[#This Row],[Column1357]]</f>
        <v>99.54</v>
      </c>
      <c r="AZF34">
        <f>SOFR3mo_PX[[#This Row],[Column1358]]</f>
        <v>99.54</v>
      </c>
      <c r="AZG34">
        <f>SOFR3mo_PX[[#This Row],[Column1359]]</f>
        <v>99.52</v>
      </c>
      <c r="AZH34">
        <f>SOFR3mo_PX[[#This Row],[Column1360]]</f>
        <v>99.504999999999995</v>
      </c>
      <c r="AZI34">
        <f>SOFR3mo_PX[[#This Row],[Column1361]]</f>
        <v>99.55</v>
      </c>
      <c r="AZJ34">
        <f>SOFR3mo_PX[[#This Row],[Column1362]]</f>
        <v>99.61</v>
      </c>
      <c r="AZK34">
        <f>SOFR3mo_PX[[#This Row],[Column1363]]</f>
        <v>99.605000000000004</v>
      </c>
      <c r="AZL34">
        <f>SOFR3mo_PX[[#This Row],[Column1364]]</f>
        <v>99.62</v>
      </c>
      <c r="AZM34">
        <f>SOFR3mo_PX[[#This Row],[Column1365]]</f>
        <v>99.594999999999999</v>
      </c>
      <c r="AZN34">
        <f>SOFR3mo_PX[[#This Row],[Column1366]]</f>
        <v>99.625</v>
      </c>
      <c r="AZO34">
        <f>SOFR3mo_PX[[#This Row],[Column1367]]</f>
        <v>99.58</v>
      </c>
      <c r="AZP34">
        <f>SOFR3mo_PX[[#This Row],[Column1368]]</f>
        <v>99.56</v>
      </c>
      <c r="AZQ34">
        <f>SOFR3mo_PX[[#This Row],[Column1369]]</f>
        <v>99.53</v>
      </c>
      <c r="AZR34">
        <f>SOFR3mo_PX[[#This Row],[Column1370]]</f>
        <v>99.525000000000006</v>
      </c>
      <c r="AZS34">
        <f>SOFR3mo_PX[[#This Row],[Column1371]]</f>
        <v>99.584999999999994</v>
      </c>
      <c r="AZT34">
        <f>SOFR3mo_PX[[#This Row],[Column1372]]</f>
        <v>99.504999999999995</v>
      </c>
      <c r="AZU34">
        <f>SOFR3mo_PX[[#This Row],[Column1373]]</f>
        <v>99.444999999999993</v>
      </c>
      <c r="AZV34">
        <f>SOFR3mo_PX[[#This Row],[Column1374]]</f>
        <v>99.34</v>
      </c>
      <c r="AZW34">
        <f>SOFR3mo_PX[[#This Row],[Column1375]]</f>
        <v>99.454999999999998</v>
      </c>
      <c r="AZX34">
        <f>SOFR3mo_PX[[#This Row],[Column1376]]</f>
        <v>99.504999999999995</v>
      </c>
      <c r="AZY34">
        <f>SOFR3mo_PX[[#This Row],[Column1377]]</f>
        <v>99.43</v>
      </c>
      <c r="AZZ34">
        <f>SOFR3mo_PX[[#This Row],[Column1378]]</f>
        <v>99.47</v>
      </c>
      <c r="BAA34">
        <f>SOFR3mo_PX[[#This Row],[Column1379]]</f>
        <v>99.4</v>
      </c>
      <c r="BAB34">
        <f>SOFR3mo_PX[[#This Row],[Column1380]]</f>
        <v>99.39</v>
      </c>
      <c r="BAC34">
        <f>SOFR3mo_PX[[#This Row],[Column1381]]</f>
        <v>99.51</v>
      </c>
      <c r="BAD34">
        <f>SOFR3mo_PX[[#This Row],[Column1382]]</f>
        <v>99.435000000000002</v>
      </c>
      <c r="BAE34">
        <f>SOFR3mo_PX[[#This Row],[Column1383]]</f>
        <v>99.35</v>
      </c>
      <c r="BAF34">
        <f>SOFR3mo_PX[[#This Row],[Column1384]]</f>
        <v>99.3</v>
      </c>
      <c r="BAG34">
        <f>SOFR3mo_PX[[#This Row],[Column1385]]</f>
        <v>99.24</v>
      </c>
      <c r="BAH34">
        <f>SOFR3mo_PX[[#This Row],[Column1386]]</f>
        <v>99.17</v>
      </c>
      <c r="BAI34">
        <f>SOFR3mo_PX[[#This Row],[Column1387]]</f>
        <v>99.17</v>
      </c>
      <c r="BAJ34">
        <f>SOFR3mo_PX[[#This Row],[Column1388]]</f>
        <v>98.97</v>
      </c>
      <c r="BAK34">
        <f>SOFR3mo_PX[[#This Row],[Column1389]]</f>
        <v>98.915000000000006</v>
      </c>
      <c r="BAL34">
        <f>SOFR3mo_PX[[#This Row],[Column1390]]</f>
        <v>98.924999999999997</v>
      </c>
      <c r="BAM34">
        <f>SOFR3mo_PX[[#This Row],[Column1391]]</f>
        <v>98.87</v>
      </c>
      <c r="BAN34">
        <f>SOFR3mo_PX[[#This Row],[Column1392]]</f>
        <v>98.76</v>
      </c>
      <c r="BAO34">
        <f>SOFR3mo_PX[[#This Row],[Column1393]]</f>
        <v>98.694999999999993</v>
      </c>
      <c r="BAP34">
        <f>SOFR3mo_PX[[#This Row],[Column1394]]</f>
        <v>98.65</v>
      </c>
      <c r="BAQ34">
        <f>SOFR3mo_PX[[#This Row],[Column1395]]</f>
        <v>98.674999999999997</v>
      </c>
      <c r="BAR34">
        <f>SOFR3mo_PX[[#This Row],[Column1396]]</f>
        <v>98.644999999999996</v>
      </c>
      <c r="BAS34">
        <f>SOFR3mo_PX[[#This Row],[Column1397]]</f>
        <v>98.644999999999996</v>
      </c>
      <c r="BAT34">
        <f>SOFR3mo_PX[[#This Row],[Column1398]]</f>
        <v>98.61</v>
      </c>
      <c r="BAU34">
        <f>SOFR3mo_PX[[#This Row],[Column1399]]</f>
        <v>98.61</v>
      </c>
      <c r="BAV34">
        <f>SOFR3mo_PX[[#This Row],[Column1400]]</f>
        <v>98.65</v>
      </c>
      <c r="BAW34">
        <f>SOFR3mo_PX[[#This Row],[Column1401]]</f>
        <v>98.68</v>
      </c>
      <c r="BAX34">
        <f>SOFR3mo_PX[[#This Row],[Column1402]]</f>
        <v>98.644999999999996</v>
      </c>
      <c r="BAY34">
        <f>SOFR3mo_PX[[#This Row],[Column1403]]</f>
        <v>98.59</v>
      </c>
      <c r="BAZ34">
        <f>SOFR3mo_PX[[#This Row],[Column1404]]</f>
        <v>98.61</v>
      </c>
      <c r="BBA34">
        <f>SOFR3mo_PX[[#This Row],[Column1405]]</f>
        <v>98.65</v>
      </c>
      <c r="BBB34">
        <f>SOFR3mo_PX[[#This Row],[Column1406]]</f>
        <v>98.734999999999999</v>
      </c>
      <c r="BBC34">
        <f>SOFR3mo_PX[[#This Row],[Column1407]]</f>
        <v>98.75</v>
      </c>
      <c r="BBD34">
        <f>SOFR3mo_PX[[#This Row],[Column1408]]</f>
        <v>98.694999999999993</v>
      </c>
      <c r="BBE34">
        <f>SOFR3mo_PX[[#This Row],[Column1409]]</f>
        <v>98.65</v>
      </c>
      <c r="BBF34">
        <f>SOFR3mo_PX[[#This Row],[Column1410]]</f>
        <v>98.6</v>
      </c>
      <c r="BBG34">
        <f>SOFR3mo_PX[[#This Row],[Column1411]]</f>
        <v>98.635000000000005</v>
      </c>
      <c r="BBH34">
        <f>SOFR3mo_PX[[#This Row],[Column1412]]</f>
        <v>98.55</v>
      </c>
      <c r="BBI34">
        <f>SOFR3mo_PX[[#This Row],[Column1413]]</f>
        <v>98.495000000000005</v>
      </c>
      <c r="BBJ34">
        <f>SOFR3mo_PX[[#This Row],[Column1414]]</f>
        <v>98.474999999999994</v>
      </c>
      <c r="BBK34">
        <f>SOFR3mo_PX[[#This Row],[Column1415]]</f>
        <v>98.46</v>
      </c>
      <c r="BBL34">
        <f>SOFR3mo_PX[[#This Row],[Column1416]]</f>
        <v>98.405000000000001</v>
      </c>
      <c r="BBM34">
        <f>SOFR3mo_PX[[#This Row],[Column1417]]</f>
        <v>98.405000000000001</v>
      </c>
      <c r="BBN34">
        <f>SOFR3mo_PX[[#This Row],[Column1418]]</f>
        <v>98.42</v>
      </c>
      <c r="BBO34">
        <f>SOFR3mo_PX[[#This Row],[Column1419]]</f>
        <v>98.43</v>
      </c>
      <c r="BBP34">
        <f>SOFR3mo_PX[[#This Row],[Column1420]]</f>
        <v>98.42</v>
      </c>
      <c r="BBQ34">
        <f>SOFR3mo_PX[[#This Row],[Column1421]]</f>
        <v>98.405000000000001</v>
      </c>
      <c r="BBR34">
        <f>SOFR3mo_PX[[#This Row],[Column1422]]</f>
        <v>98.41</v>
      </c>
      <c r="BBS34">
        <f>SOFR3mo_PX[[#This Row],[Column1423]]</f>
        <v>98.394999999999996</v>
      </c>
      <c r="BBT34">
        <f>SOFR3mo_PX[[#This Row],[Column1424]]</f>
        <v>98.39</v>
      </c>
      <c r="BBU34">
        <f>SOFR3mo_PX[[#This Row],[Column1425]]</f>
        <v>98.435000000000002</v>
      </c>
      <c r="BBV34">
        <f>SOFR3mo_PX[[#This Row],[Column1426]]</f>
        <v>98.444999999999993</v>
      </c>
      <c r="BBW34">
        <f>SOFR3mo_PX[[#This Row],[Column1427]]</f>
        <v>98.45</v>
      </c>
      <c r="BBX34">
        <f>SOFR3mo_PX[[#This Row],[Column1428]]</f>
        <v>98.36</v>
      </c>
      <c r="BBY34">
        <f>SOFR3mo_PX[[#This Row],[Column1429]]</f>
        <v>98.35</v>
      </c>
      <c r="BBZ34">
        <f>SOFR3mo_PX[[#This Row],[Column1430]]</f>
        <v>98.35</v>
      </c>
      <c r="BCA34">
        <f>SOFR3mo_PX[[#This Row],[Column1431]]</f>
        <v>98.355000000000004</v>
      </c>
      <c r="BCB34">
        <f>SOFR3mo_PX[[#This Row],[Column1432]]</f>
        <v>98.355000000000004</v>
      </c>
      <c r="BCC34">
        <f>SOFR3mo_PX[[#This Row],[Column1433]]</f>
        <v>98.314999999999998</v>
      </c>
      <c r="BCD34">
        <f>SOFR3mo_PX[[#This Row],[Column1434]]</f>
        <v>98.314999999999998</v>
      </c>
      <c r="BCE34">
        <f>SOFR3mo_PX[[#This Row],[Column1435]]</f>
        <v>98.314999999999998</v>
      </c>
      <c r="BCF34">
        <f>SOFR3mo_PX[[#This Row],[Column1436]]</f>
        <v>98.295000000000002</v>
      </c>
      <c r="BCG34">
        <f>SOFR3mo_PX[[#This Row],[Column1437]]</f>
        <v>98.334999999999994</v>
      </c>
      <c r="BCH34">
        <f>SOFR3mo_PX[[#This Row],[Column1438]]</f>
        <v>98.35</v>
      </c>
      <c r="BCI34">
        <f>SOFR3mo_PX[[#This Row],[Column1439]]</f>
        <v>98.33</v>
      </c>
      <c r="BCJ34">
        <f>SOFR3mo_PX[[#This Row],[Column1440]]</f>
        <v>98.36</v>
      </c>
      <c r="BCK34">
        <f>SOFR3mo_PX[[#This Row],[Column1441]]</f>
        <v>98.37</v>
      </c>
      <c r="BCL34">
        <f>SOFR3mo_PX[[#This Row],[Column1442]]</f>
        <v>98.444999999999993</v>
      </c>
      <c r="BCM34">
        <f>SOFR3mo_PX[[#This Row],[Column1443]]</f>
        <v>98.364999999999995</v>
      </c>
      <c r="BCN34">
        <f>SOFR3mo_PX[[#This Row],[Column1444]]</f>
        <v>98.45</v>
      </c>
      <c r="BCO34">
        <f>SOFR3mo_PX[[#This Row],[Column1445]]</f>
        <v>98.41</v>
      </c>
      <c r="BCP34">
        <f>SOFR3mo_PX[[#This Row],[Column1446]]</f>
        <v>98.424999999999997</v>
      </c>
      <c r="BCQ34">
        <f>SOFR3mo_PX[[#This Row],[Column1447]]</f>
        <v>98.435000000000002</v>
      </c>
      <c r="BCR34">
        <f>SOFR3mo_PX[[#This Row],[Column1448]]</f>
        <v>98.495000000000005</v>
      </c>
      <c r="BCS34">
        <f>SOFR3mo_PX[[#This Row],[Column1449]]</f>
        <v>98.51</v>
      </c>
      <c r="BCT34">
        <f>SOFR3mo_PX[[#This Row],[Column1450]]</f>
        <v>98.584999999999994</v>
      </c>
      <c r="BCU34">
        <f>SOFR3mo_PX[[#This Row],[Column1451]]</f>
        <v>98.465000000000003</v>
      </c>
      <c r="BCV34">
        <f>SOFR3mo_PX[[#This Row],[Column1452]]</f>
        <v>98.5</v>
      </c>
      <c r="BCW34">
        <f>SOFR3mo_PX[[#This Row],[Column1453]]</f>
        <v>98.49</v>
      </c>
      <c r="BCX34">
        <f>SOFR3mo_PX[[#This Row],[Column1454]]</f>
        <v>98.49</v>
      </c>
      <c r="BCY34">
        <f>SOFR3mo_PX[[#This Row],[Column1455]]</f>
        <v>98.53</v>
      </c>
      <c r="BCZ34">
        <f>SOFR3mo_PX[[#This Row],[Column1456]]</f>
        <v>98.52</v>
      </c>
      <c r="BDA34">
        <f>SOFR3mo_PX[[#This Row],[Column1457]]</f>
        <v>98.504999999999995</v>
      </c>
      <c r="BDB34">
        <f>SOFR3mo_PX[[#This Row],[Column1458]]</f>
        <v>98.525000000000006</v>
      </c>
      <c r="BDC34">
        <f>SOFR3mo_PX[[#This Row],[Column1459]]</f>
        <v>98.555000000000007</v>
      </c>
      <c r="BDD34">
        <f>SOFR3mo_PX[[#This Row],[Column1460]]</f>
        <v>98.52</v>
      </c>
      <c r="BDE34">
        <f>SOFR3mo_PX[[#This Row],[Column1461]]</f>
        <v>98.495000000000005</v>
      </c>
      <c r="BDF34">
        <f>SOFR3mo_PX[[#This Row],[Column1462]]</f>
        <v>98.47</v>
      </c>
      <c r="BDG34">
        <f>SOFR3mo_PX[[#This Row],[Column1463]]</f>
        <v>98.48</v>
      </c>
      <c r="BDH34">
        <f>SOFR3mo_PX[[#This Row],[Column1464]]</f>
        <v>98.43</v>
      </c>
      <c r="BDI34">
        <f>SOFR3mo_PX[[#This Row],[Column1465]]</f>
        <v>98.38</v>
      </c>
      <c r="BDJ34">
        <f>SOFR3mo_PX[[#This Row],[Column1466]]</f>
        <v>98.35</v>
      </c>
      <c r="BDK34">
        <f>SOFR3mo_PX[[#This Row],[Column1467]]</f>
        <v>98.36</v>
      </c>
      <c r="BDL34">
        <f>SOFR3mo_PX[[#This Row],[Column1468]]</f>
        <v>98.344999999999999</v>
      </c>
      <c r="BDM34">
        <f>SOFR3mo_PX[[#This Row],[Column1469]]</f>
        <v>98.454999999999998</v>
      </c>
      <c r="BDN34">
        <f>SOFR3mo_PX[[#This Row],[Column1470]]</f>
        <v>98.43</v>
      </c>
      <c r="BDO34">
        <f>SOFR3mo_PX[[#This Row],[Column1471]]</f>
        <v>98.49</v>
      </c>
      <c r="BDP34">
        <f>SOFR3mo_PX[[#This Row],[Column1472]]</f>
        <v>98.54</v>
      </c>
      <c r="BDQ34">
        <f>SOFR3mo_PX[[#This Row],[Column1473]]</f>
        <v>98.61</v>
      </c>
      <c r="BDR34">
        <f>SOFR3mo_PX[[#This Row],[Column1474]]</f>
        <v>98.484999999999999</v>
      </c>
      <c r="BDS34">
        <f>SOFR3mo_PX[[#This Row],[Column1475]]</f>
        <v>98.465000000000003</v>
      </c>
      <c r="BDT34">
        <f>SOFR3mo_PX[[#This Row],[Column1476]]</f>
        <v>98.47</v>
      </c>
      <c r="BDU34">
        <f>SOFR3mo_PX[[#This Row],[Column1477]]</f>
        <v>98.5</v>
      </c>
      <c r="BDV34">
        <f>SOFR3mo_PX[[#This Row],[Column1478]]</f>
        <v>98.545000000000002</v>
      </c>
      <c r="BDW34">
        <f>SOFR3mo_PX[[#This Row],[Column1479]]</f>
        <v>98.555000000000007</v>
      </c>
      <c r="BDX34">
        <f>SOFR3mo_PX[[#This Row],[Column1480]]</f>
        <v>98.534999999999997</v>
      </c>
      <c r="BDY34">
        <f>SOFR3mo_PX[[#This Row],[Column1481]]</f>
        <v>98.51</v>
      </c>
      <c r="BDZ34">
        <f>SOFR3mo_PX[[#This Row],[Column1482]]</f>
        <v>98.55</v>
      </c>
      <c r="BEA34">
        <f>SOFR3mo_PX[[#This Row],[Column1483]]</f>
        <v>98.525000000000006</v>
      </c>
      <c r="BEB34">
        <f>SOFR3mo_PX[[#This Row],[Column1484]]</f>
        <v>98.55</v>
      </c>
      <c r="BEC34">
        <f>SOFR3mo_PX[[#This Row],[Column1485]]</f>
        <v>98.51</v>
      </c>
      <c r="BED34">
        <f>SOFR3mo_PX[[#This Row],[Column1486]]</f>
        <v>98.564999999999998</v>
      </c>
      <c r="BEE34">
        <f>SOFR3mo_PX[[#This Row],[Column1487]]</f>
        <v>98.545000000000002</v>
      </c>
      <c r="BEF34">
        <f>SOFR3mo_PX[[#This Row],[Column1488]]</f>
        <v>98.674999999999997</v>
      </c>
      <c r="BEG34">
        <f>SOFR3mo_PX[[#This Row],[Column1489]]</f>
        <v>98.74</v>
      </c>
      <c r="BEH34">
        <f>SOFR3mo_PX[[#This Row],[Column1490]]</f>
        <v>98.795000000000002</v>
      </c>
      <c r="BEI34">
        <f>SOFR3mo_PX[[#This Row],[Column1491]]</f>
        <v>98.784999999999997</v>
      </c>
      <c r="BEJ34">
        <f>SOFR3mo_PX[[#This Row],[Column1492]]</f>
        <v>98.855000000000004</v>
      </c>
      <c r="BEK34">
        <f>SOFR3mo_PX[[#This Row],[Column1493]]</f>
        <v>98.864999999999995</v>
      </c>
      <c r="BEL34">
        <f>SOFR3mo_PX[[#This Row],[Column1494]]</f>
        <v>98.765000000000001</v>
      </c>
      <c r="BEM34">
        <f>SOFR3mo_PX[[#This Row],[Column1495]]</f>
        <v>98.69</v>
      </c>
      <c r="BEN34">
        <f>SOFR3mo_PX[[#This Row],[Column1496]]</f>
        <v>98.62</v>
      </c>
      <c r="BEO34">
        <f>SOFR3mo_PX[[#This Row],[Column1497]]</f>
        <v>98.63</v>
      </c>
      <c r="BEP34" t="str">
        <f>SOFR3mo_PX[[#This Row],[Column1498]]</f>
        <v>#N/A N/A</v>
      </c>
      <c r="BEQ34" t="str">
        <f>SOFR3mo_PX[[#This Row],[Column1499]]</f>
        <v>#N/A N/A</v>
      </c>
      <c r="BER34" t="str">
        <f>SOFR3mo_PX[[#This Row],[Column1500]]</f>
        <v>#N/A N/A</v>
      </c>
      <c r="BES34" t="str">
        <f>SOFR3mo_PX[[#This Row],[Column1501]]</f>
        <v>#N/A N/A</v>
      </c>
      <c r="BET34" t="str">
        <f>SOFR3mo_PX[[#This Row],[Column1502]]</f>
        <v>#N/A N/A</v>
      </c>
      <c r="BEU34" t="str">
        <f>SOFR3mo_PX[[#This Row],[Column1503]]</f>
        <v>#N/A N/A</v>
      </c>
      <c r="BEV34" t="str">
        <f>SOFR3mo_PX[[#This Row],[Column1504]]</f>
        <v>#N/A N/A</v>
      </c>
      <c r="BEW34" t="str">
        <f>SOFR3mo_PX[[#This Row],[Column1505]]</f>
        <v>#N/A N/A</v>
      </c>
      <c r="BEX34" t="str">
        <f>SOFR3mo_PX[[#This Row],[Column1506]]</f>
        <v>#N/A N/A</v>
      </c>
      <c r="BEY34" t="str">
        <f>SOFR3mo_PX[[#This Row],[Column1507]]</f>
        <v>#N/A N/A</v>
      </c>
      <c r="BEZ34" t="str">
        <f>SOFR3mo_PX[[#This Row],[Column1508]]</f>
        <v>#N/A N/A</v>
      </c>
      <c r="BFA34" t="str">
        <f>SOFR3mo_PX[[#This Row],[Column1509]]</f>
        <v>#N/A N/A</v>
      </c>
      <c r="BFB34" t="str">
        <f>SOFR3mo_PX[[#This Row],[Column1510]]</f>
        <v>#N/A N/A</v>
      </c>
      <c r="BFC34" t="str">
        <f>SOFR3mo_PX[[#This Row],[Column1511]]</f>
        <v>#N/A N/A</v>
      </c>
      <c r="BFD34" t="str">
        <f>SOFR3mo_PX[[#This Row],[Column1512]]</f>
        <v>#N/A N/A</v>
      </c>
      <c r="BFE34" t="str">
        <f>SOFR3mo_PX[[#This Row],[Column1513]]</f>
        <v>#N/A N/A</v>
      </c>
      <c r="BFF34" t="str">
        <f>SOFR3mo_PX[[#This Row],[Column1514]]</f>
        <v>#N/A N/A</v>
      </c>
      <c r="BFG34" t="str">
        <f>SOFR3mo_PX[[#This Row],[Column1515]]</f>
        <v>#N/A N/A</v>
      </c>
      <c r="BFH34" t="str">
        <f>SOFR3mo_PX[[#This Row],[Column1516]]</f>
        <v>#N/A N/A</v>
      </c>
      <c r="BFI34" t="str">
        <f>SOFR3mo_PX[[#This Row],[Column1517]]</f>
        <v>#N/A N/A</v>
      </c>
      <c r="BFJ34" t="str">
        <f>SOFR3mo_PX[[#This Row],[Column1518]]</f>
        <v>#N/A N/A</v>
      </c>
      <c r="BFK34" t="str">
        <f>SOFR3mo_PX[[#This Row],[Column1519]]</f>
        <v>#N/A N/A</v>
      </c>
      <c r="BFL34" t="str">
        <f>SOFR3mo_PX[[#This Row],[Column1520]]</f>
        <v>#N/A N/A</v>
      </c>
      <c r="BFM34" t="str">
        <f>SOFR3mo_PX[[#This Row],[Column1521]]</f>
        <v>#N/A N/A</v>
      </c>
      <c r="BFN34" t="str">
        <f>SOFR3mo_PX[[#This Row],[Column1522]]</f>
        <v>#N/A N/A</v>
      </c>
      <c r="BFO34" t="str">
        <f>SOFR3mo_PX[[#This Row],[Column1523]]</f>
        <v>#N/A N/A</v>
      </c>
      <c r="BFP34" t="str">
        <f>SOFR3mo_PX[[#This Row],[Column1524]]</f>
        <v>#N/A N/A</v>
      </c>
      <c r="BFQ34" t="str">
        <f>SOFR3mo_PX[[#This Row],[Column1525]]</f>
        <v>#N/A N/A</v>
      </c>
      <c r="BFR34" t="str">
        <f>SOFR3mo_PX[[#This Row],[Column1526]]</f>
        <v>#N/A N/A</v>
      </c>
      <c r="BFS34" t="str">
        <f>SOFR3mo_PX[[#This Row],[Column1527]]</f>
        <v>#N/A N/A</v>
      </c>
      <c r="BFT34" t="str">
        <f>SOFR3mo_PX[[#This Row],[Column1528]]</f>
        <v>#N/A N/A</v>
      </c>
      <c r="BFU34" t="str">
        <f>SOFR3mo_PX[[#This Row],[Column1529]]</f>
        <v>#N/A N/A</v>
      </c>
      <c r="BFV34" t="str">
        <f>SOFR3mo_PX[[#This Row],[Column1530]]</f>
        <v>#N/A N/A</v>
      </c>
      <c r="BFW34" t="str">
        <f>SOFR3mo_PX[[#This Row],[Column1531]]</f>
        <v>#N/A N/A</v>
      </c>
      <c r="BFX34" t="str">
        <f>SOFR3mo_PX[[#This Row],[Column1532]]</f>
        <v>#N/A N/A</v>
      </c>
      <c r="BFY34" t="str">
        <f>SOFR3mo_PX[[#This Row],[Column1533]]</f>
        <v>#N/A N/A</v>
      </c>
      <c r="BFZ34" t="str">
        <f>SOFR3mo_PX[[#This Row],[Column1534]]</f>
        <v>#N/A N/A</v>
      </c>
      <c r="BGA34" t="str">
        <f>SOFR3mo_PX[[#This Row],[Column1535]]</f>
        <v>#N/A N/A</v>
      </c>
      <c r="BGB34" t="str">
        <f>SOFR3mo_PX[[#This Row],[Column1536]]</f>
        <v>#N/A N/A</v>
      </c>
      <c r="BGC34" t="str">
        <f>SOFR3mo_PX[[#This Row],[Column1537]]</f>
        <v>#N/A N/A</v>
      </c>
      <c r="BGD34" t="str">
        <f>SOFR3mo_PX[[#This Row],[Column1538]]</f>
        <v>#N/A N/A</v>
      </c>
      <c r="BGE34" t="str">
        <f>SOFR3mo_PX[[#This Row],[Column1539]]</f>
        <v>#N/A N/A</v>
      </c>
      <c r="BGF34" t="str">
        <f>SOFR3mo_PX[[#This Row],[Column1540]]</f>
        <v>#N/A N/A</v>
      </c>
      <c r="BGG34" t="str">
        <f>SOFR3mo_PX[[#This Row],[Column1541]]</f>
        <v>#N/A N/A</v>
      </c>
      <c r="BGH34" t="str">
        <f>SOFR3mo_PX[[#This Row],[Column1542]]</f>
        <v>#N/A N/A</v>
      </c>
      <c r="BGI34" t="str">
        <f>SOFR3mo_PX[[#This Row],[Column1543]]</f>
        <v>#N/A N/A</v>
      </c>
      <c r="BGJ34" t="str">
        <f>SOFR3mo_PX[[#This Row],[Column1544]]</f>
        <v>#N/A N/A</v>
      </c>
      <c r="BGK34" t="str">
        <f>SOFR3mo_PX[[#This Row],[Column1545]]</f>
        <v>#N/A N/A</v>
      </c>
      <c r="BGL34" t="str">
        <f>SOFR3mo_PX[[#This Row],[Column1546]]</f>
        <v>#N/A N/A</v>
      </c>
      <c r="BGM34" t="str">
        <f>SOFR3mo_PX[[#This Row],[Column1547]]</f>
        <v>#N/A N/A</v>
      </c>
      <c r="BGN34" t="str">
        <f>SOFR3mo_PX[[#This Row],[Column1548]]</f>
        <v>#N/A N/A</v>
      </c>
      <c r="BGO34" t="str">
        <f>SOFR3mo_PX[[#This Row],[Column1549]]</f>
        <v>#N/A N/A</v>
      </c>
      <c r="BGP34" t="str">
        <f>SOFR3mo_PX[[#This Row],[Column1550]]</f>
        <v>#N/A N/A</v>
      </c>
      <c r="BGQ34" t="str">
        <f>SOFR3mo_PX[[#This Row],[Column1551]]</f>
        <v>#N/A N/A</v>
      </c>
      <c r="BGR34" t="str">
        <f>SOFR3mo_PX[[#This Row],[Column1552]]</f>
        <v>#N/A N/A</v>
      </c>
      <c r="BGS34" t="str">
        <f>SOFR3mo_PX[[#This Row],[Column1553]]</f>
        <v>#N/A N/A</v>
      </c>
      <c r="BGT34" t="str">
        <f>SOFR3mo_PX[[#This Row],[Column1554]]</f>
        <v>#N/A N/A</v>
      </c>
      <c r="BGU34" t="str">
        <f>SOFR3mo_PX[[#This Row],[Column1555]]</f>
        <v>#N/A N/A</v>
      </c>
      <c r="BGV34" t="str">
        <f>SOFR3mo_PX[[#This Row],[Column1556]]</f>
        <v>#N/A N/A</v>
      </c>
      <c r="BGW34" t="str">
        <f>SOFR3mo_PX[[#This Row],[Column1557]]</f>
        <v>#N/A N/A</v>
      </c>
      <c r="BGX34" t="str">
        <f>SOFR3mo_PX[[#This Row],[Column1558]]</f>
        <v>#N/A N/A</v>
      </c>
      <c r="BGY34" t="str">
        <f>SOFR3mo_PX[[#This Row],[Column1559]]</f>
        <v>#N/A N/A</v>
      </c>
      <c r="BGZ34" t="str">
        <f>SOFR3mo_PX[[#This Row],[Column1560]]</f>
        <v>#N/A N/A</v>
      </c>
      <c r="BHA34" t="str">
        <f>SOFR3mo_PX[[#This Row],[Column1561]]</f>
        <v>#N/A N/A</v>
      </c>
      <c r="BHB34" t="str">
        <f>SOFR3mo_PX[[#This Row],[Column1562]]</f>
        <v>#N/A N/A</v>
      </c>
      <c r="BHC34" t="str">
        <f>SOFR3mo_PX[[#This Row],[Column1563]]</f>
        <v>#N/A N/A</v>
      </c>
      <c r="BHD34" t="str">
        <f>SOFR3mo_PX[[#This Row],[Column1564]]</f>
        <v>#N/A N/A</v>
      </c>
      <c r="BHE34" t="str">
        <f>SOFR3mo_PX[[#This Row],[Column1565]]</f>
        <v>#N/A N/A</v>
      </c>
      <c r="BHF34" t="str">
        <f>SOFR3mo_PX[[#This Row],[Column1566]]</f>
        <v>#N/A N/A</v>
      </c>
      <c r="BHG34" t="str">
        <f>SOFR3mo_PX[[#This Row],[Column1567]]</f>
        <v>#N/A N/A</v>
      </c>
      <c r="BHH34" t="str">
        <f>SOFR3mo_PX[[#This Row],[Column1568]]</f>
        <v>#N/A N/A</v>
      </c>
      <c r="BHI34" t="str">
        <f>SOFR3mo_PX[[#This Row],[Column1569]]</f>
        <v>#N/A N/A</v>
      </c>
      <c r="BHJ34" t="str">
        <f>SOFR3mo_PX[[#This Row],[Column1570]]</f>
        <v>#N/A N/A</v>
      </c>
      <c r="BHK34" t="str">
        <f>SOFR3mo_PX[[#This Row],[Column1571]]</f>
        <v>#N/A N/A</v>
      </c>
      <c r="BHL34" t="str">
        <f>SOFR3mo_PX[[#This Row],[Column1572]]</f>
        <v>#N/A N/A</v>
      </c>
      <c r="BHM34" t="str">
        <f>SOFR3mo_PX[[#This Row],[Column1573]]</f>
        <v>#N/A N/A</v>
      </c>
      <c r="BHN34" t="str">
        <f>SOFR3mo_PX[[#This Row],[Column1574]]</f>
        <v>#N/A N/A</v>
      </c>
      <c r="BHO34" t="str">
        <f>SOFR3mo_PX[[#This Row],[Column1575]]</f>
        <v>#N/A N/A</v>
      </c>
      <c r="BHP34" t="str">
        <f>SOFR3mo_PX[[#This Row],[Column1576]]</f>
        <v>#N/A N/A</v>
      </c>
      <c r="BHQ34" t="str">
        <f>SOFR3mo_PX[[#This Row],[Column1577]]</f>
        <v>#N/A N/A</v>
      </c>
      <c r="BHR34" t="str">
        <f>SOFR3mo_PX[[#This Row],[Column1578]]</f>
        <v>#N/A N/A</v>
      </c>
      <c r="BHS34" t="str">
        <f>SOFR3mo_PX[[#This Row],[Column1579]]</f>
        <v>#N/A N/A</v>
      </c>
      <c r="BHT34" t="str">
        <f>SOFR3mo_PX[[#This Row],[Column1580]]</f>
        <v>#N/A N/A</v>
      </c>
      <c r="BHU34" t="str">
        <f>SOFR3mo_PX[[#This Row],[Column1581]]</f>
        <v>#N/A N/A</v>
      </c>
      <c r="BHV34" t="str">
        <f>SOFR3mo_PX[[#This Row],[Column1582]]</f>
        <v>#N/A N/A</v>
      </c>
      <c r="BHW34" t="str">
        <f>SOFR3mo_PX[[#This Row],[Column1583]]</f>
        <v>#N/A N/A</v>
      </c>
      <c r="BHX34" t="str">
        <f>SOFR3mo_PX[[#This Row],[Column1584]]</f>
        <v>#N/A N/A</v>
      </c>
      <c r="BHY34" t="str">
        <f>SOFR3mo_PX[[#This Row],[Column1585]]</f>
        <v>#N/A N/A</v>
      </c>
      <c r="BHZ34" t="str">
        <f>SOFR3mo_PX[[#This Row],[Column1586]]</f>
        <v>#N/A N/A</v>
      </c>
      <c r="BIA34" t="str">
        <f>SOFR3mo_PX[[#This Row],[Column1587]]</f>
        <v>#N/A N/A</v>
      </c>
      <c r="BIB34" t="str">
        <f>SOFR3mo_PX[[#This Row],[Column1588]]</f>
        <v>#N/A N/A</v>
      </c>
      <c r="BIC34" t="str">
        <f>SOFR3mo_PX[[#This Row],[Column1589]]</f>
        <v>#N/A N/A</v>
      </c>
      <c r="BID34" t="str">
        <f>SOFR3mo_PX[[#This Row],[Column1590]]</f>
        <v>#N/A N/A</v>
      </c>
      <c r="BIE34" t="str">
        <f>SOFR3mo_PX[[#This Row],[Column1591]]</f>
        <v>#N/A N/A</v>
      </c>
      <c r="BIF34" t="str">
        <f>SOFR3mo_PX[[#This Row],[Column1592]]</f>
        <v>#N/A N/A</v>
      </c>
      <c r="BIG34" t="str">
        <f>SOFR3mo_PX[[#This Row],[Column1593]]</f>
        <v>#N/A N/A</v>
      </c>
      <c r="BIH34" t="str">
        <f>SOFR3mo_PX[[#This Row],[Column1594]]</f>
        <v>#N/A N/A</v>
      </c>
      <c r="BII34" t="str">
        <f>SOFR3mo_PX[[#This Row],[Column1595]]</f>
        <v>#N/A N/A</v>
      </c>
      <c r="BIJ34" t="str">
        <f>SOFR3mo_PX[[#This Row],[Column1596]]</f>
        <v>#N/A N/A</v>
      </c>
      <c r="BIK34" t="str">
        <f>SOFR3mo_PX[[#This Row],[Column1597]]</f>
        <v>#N/A N/A</v>
      </c>
      <c r="BIL34" t="str">
        <f>SOFR3mo_PX[[#This Row],[Column1598]]</f>
        <v>#N/A N/A</v>
      </c>
      <c r="BIM34" t="str">
        <f>SOFR3mo_PX[[#This Row],[Column1599]]</f>
        <v>#N/A N/A</v>
      </c>
      <c r="BIN34" t="str">
        <f>SOFR3mo_PX[[#This Row],[Column1600]]</f>
        <v>#N/A N/A</v>
      </c>
      <c r="BIO34" t="str">
        <f>SOFR3mo_PX[[#This Row],[Column1601]]</f>
        <v>#N/A N/A</v>
      </c>
      <c r="BIP34" t="str">
        <f>SOFR3mo_PX[[#This Row],[Column1602]]</f>
        <v>#N/A N/A</v>
      </c>
      <c r="BIQ34" t="str">
        <f>SOFR3mo_PX[[#This Row],[Column1603]]</f>
        <v>#N/A N/A</v>
      </c>
      <c r="BIR34" t="str">
        <f>SOFR3mo_PX[[#This Row],[Column1604]]</f>
        <v>#N/A N/A</v>
      </c>
      <c r="BIS34" t="str">
        <f>SOFR3mo_PX[[#This Row],[Column1605]]</f>
        <v>#N/A N/A</v>
      </c>
      <c r="BIT34" t="str">
        <f>SOFR3mo_PX[[#This Row],[Column1606]]</f>
        <v>#N/A N/A</v>
      </c>
      <c r="BIU34" t="str">
        <f>SOFR3mo_PX[[#This Row],[Column1607]]</f>
        <v>#N/A N/A</v>
      </c>
      <c r="BIV34" t="str">
        <f>SOFR3mo_PX[[#This Row],[Column1608]]</f>
        <v>#N/A N/A</v>
      </c>
      <c r="BIW34" t="str">
        <f>SOFR3mo_PX[[#This Row],[Column1609]]</f>
        <v>#N/A N/A</v>
      </c>
      <c r="BIX34" t="str">
        <f>SOFR3mo_PX[[#This Row],[Column1610]]</f>
        <v>#N/A N/A</v>
      </c>
      <c r="BIY34" t="str">
        <f>SOFR3mo_PX[[#This Row],[Column1611]]</f>
        <v>#N/A N/A</v>
      </c>
      <c r="BIZ34" t="str">
        <f>SOFR3mo_PX[[#This Row],[Column1612]]</f>
        <v>#N/A N/A</v>
      </c>
      <c r="BJA34" t="str">
        <f>SOFR3mo_PX[[#This Row],[Column1613]]</f>
        <v>#N/A N/A</v>
      </c>
      <c r="BJB34" t="str">
        <f>SOFR3mo_PX[[#This Row],[Column1614]]</f>
        <v>#N/A N/A</v>
      </c>
      <c r="BJC34" t="str">
        <f>SOFR3mo_PX[[#This Row],[Column1615]]</f>
        <v>#N/A N/A</v>
      </c>
      <c r="BJD34" t="str">
        <f>SOFR3mo_PX[[#This Row],[Column1616]]</f>
        <v>#N/A N/A</v>
      </c>
      <c r="BJE34" t="str">
        <f>SOFR3mo_PX[[#This Row],[Column1617]]</f>
        <v>#N/A N/A</v>
      </c>
      <c r="BJF34" t="str">
        <f>SOFR3mo_PX[[#This Row],[Column1618]]</f>
        <v>#N/A N/A</v>
      </c>
      <c r="BJG34" t="str">
        <f>SOFR3mo_PX[[#This Row],[Column1619]]</f>
        <v>#N/A N/A</v>
      </c>
      <c r="BJH34" t="str">
        <f>SOFR3mo_PX[[#This Row],[Column1620]]</f>
        <v>#N/A N/A</v>
      </c>
      <c r="BJI34" t="str">
        <f>SOFR3mo_PX[[#This Row],[Column1621]]</f>
        <v>#N/A N/A</v>
      </c>
      <c r="BJJ34" t="str">
        <f>SOFR3mo_PX[[#This Row],[Column1622]]</f>
        <v>#N/A N/A</v>
      </c>
      <c r="BJK34" t="str">
        <f>SOFR3mo_PX[[#This Row],[Column1623]]</f>
        <v>#N/A N/A</v>
      </c>
      <c r="BJL34" t="str">
        <f>SOFR3mo_PX[[#This Row],[Column1624]]</f>
        <v>#N/A N/A</v>
      </c>
      <c r="BJM34" t="str">
        <f>SOFR3mo_PX[[#This Row],[Column1625]]</f>
        <v>#N/A N/A</v>
      </c>
      <c r="BJN34" t="str">
        <f>SOFR3mo_PX[[#This Row],[Column1626]]</f>
        <v>#N/A N/A</v>
      </c>
      <c r="BJO34" t="str">
        <f>SOFR3mo_PX[[#This Row],[Column1627]]</f>
        <v>#N/A N/A</v>
      </c>
      <c r="BJP34" t="str">
        <f>SOFR3mo_PX[[#This Row],[Column1628]]</f>
        <v>#N/A N/A</v>
      </c>
      <c r="BJQ34" t="str">
        <f>SOFR3mo_PX[[#This Row],[Column1629]]</f>
        <v>#N/A N/A</v>
      </c>
      <c r="BJR34" t="str">
        <f>SOFR3mo_PX[[#This Row],[Column1630]]</f>
        <v>#N/A N/A</v>
      </c>
      <c r="BJS34" t="str">
        <f>SOFR3mo_PX[[#This Row],[Column1631]]</f>
        <v>#N/A N/A</v>
      </c>
      <c r="BJT34" t="str">
        <f>SOFR3mo_PX[[#This Row],[Column1632]]</f>
        <v>#N/A N/A</v>
      </c>
      <c r="BJU34" t="str">
        <f>SOFR3mo_PX[[#This Row],[Column1633]]</f>
        <v>#N/A N/A</v>
      </c>
      <c r="BJV34" t="str">
        <f>SOFR3mo_PX[[#This Row],[Column1634]]</f>
        <v>#N/A N/A</v>
      </c>
      <c r="BJW34" t="str">
        <f>SOFR3mo_PX[[#This Row],[Column1635]]</f>
        <v>#N/A N/A</v>
      </c>
      <c r="BJX34" t="str">
        <f>SOFR3mo_PX[[#This Row],[Column1636]]</f>
        <v>#N/A N/A</v>
      </c>
      <c r="BJY34" t="str">
        <f>SOFR3mo_PX[[#This Row],[Column1637]]</f>
        <v>#N/A N/A</v>
      </c>
      <c r="BJZ34" t="str">
        <f>SOFR3mo_PX[[#This Row],[Column1638]]</f>
        <v>#N/A N/A</v>
      </c>
      <c r="BKA34" t="str">
        <f>SOFR3mo_PX[[#This Row],[Column1639]]</f>
        <v>#N/A N/A</v>
      </c>
      <c r="BKB34" t="str">
        <f>SOFR3mo_PX[[#This Row],[Column1640]]</f>
        <v>#N/A N/A</v>
      </c>
      <c r="BKC34" t="str">
        <f>SOFR3mo_PX[[#This Row],[Column1641]]</f>
        <v>#N/A N/A</v>
      </c>
      <c r="BKD34" t="str">
        <f>SOFR3mo_PX[[#This Row],[Column1642]]</f>
        <v>#N/A N/A</v>
      </c>
      <c r="BKE34" t="str">
        <f>SOFR3mo_PX[[#This Row],[Column1643]]</f>
        <v>#N/A N/A</v>
      </c>
      <c r="BKF34" t="str">
        <f>SOFR3mo_PX[[#This Row],[Column1644]]</f>
        <v>#N/A N/A</v>
      </c>
      <c r="BKG34" t="str">
        <f>SOFR3mo_PX[[#This Row],[Column1645]]</f>
        <v>#N/A N/A</v>
      </c>
      <c r="BKH34" t="str">
        <f>SOFR3mo_PX[[#This Row],[Column1646]]</f>
        <v>#N/A N/A</v>
      </c>
      <c r="BKI34" t="str">
        <f>SOFR3mo_PX[[#This Row],[Column1647]]</f>
        <v>#N/A N/A</v>
      </c>
      <c r="BKJ34" t="str">
        <f>SOFR3mo_PX[[#This Row],[Column1648]]</f>
        <v>#N/A N/A</v>
      </c>
      <c r="BKK34" t="str">
        <f>SOFR3mo_PX[[#This Row],[Column1649]]</f>
        <v>#N/A N/A</v>
      </c>
      <c r="BKL34" t="str">
        <f>SOFR3mo_PX[[#This Row],[Column1650]]</f>
        <v>#N/A N/A</v>
      </c>
      <c r="BKM34" t="str">
        <f>SOFR3mo_PX[[#This Row],[Column1651]]</f>
        <v>#N/A N/A</v>
      </c>
      <c r="BKN34" t="str">
        <f>SOFR3mo_PX[[#This Row],[Column1652]]</f>
        <v>#N/A N/A</v>
      </c>
      <c r="BKO34" t="str">
        <f>SOFR3mo_PX[[#This Row],[Column1653]]</f>
        <v>#N/A N/A</v>
      </c>
      <c r="BKP34" t="str">
        <f>SOFR3mo_PX[[#This Row],[Column1654]]</f>
        <v>#N/A N/A</v>
      </c>
      <c r="BKQ34" t="str">
        <f>SOFR3mo_PX[[#This Row],[Column1655]]</f>
        <v>#N/A N/A</v>
      </c>
      <c r="BKR34" t="str">
        <f>SOFR3mo_PX[[#This Row],[Column1656]]</f>
        <v>#N/A N/A</v>
      </c>
      <c r="BKS34" t="str">
        <f>SOFR3mo_PX[[#This Row],[Column1657]]</f>
        <v>#N/A N/A</v>
      </c>
      <c r="BKT34" t="str">
        <f>SOFR3mo_PX[[#This Row],[Column1658]]</f>
        <v>#N/A N/A</v>
      </c>
      <c r="BKU34" t="str">
        <f>SOFR3mo_PX[[#This Row],[Column1659]]</f>
        <v>#N/A N/A</v>
      </c>
      <c r="BKV34" t="str">
        <f>SOFR3mo_PX[[#This Row],[Column1660]]</f>
        <v>#N/A N/A</v>
      </c>
      <c r="BKW34" t="str">
        <f>SOFR3mo_PX[[#This Row],[Column1661]]</f>
        <v>#N/A N/A</v>
      </c>
      <c r="BKX34" t="str">
        <f>SOFR3mo_PX[[#This Row],[Column1662]]</f>
        <v>#N/A N/A</v>
      </c>
      <c r="BKY34" t="str">
        <f>SOFR3mo_PX[[#This Row],[Column1663]]</f>
        <v>#N/A N/A</v>
      </c>
      <c r="BKZ34" t="str">
        <f>SOFR3mo_PX[[#This Row],[Column1664]]</f>
        <v>#N/A N/A</v>
      </c>
      <c r="BLA34" t="str">
        <f>SOFR3mo_PX[[#This Row],[Column1665]]</f>
        <v>#N/A N/A</v>
      </c>
      <c r="BLB34" t="str">
        <f>SOFR3mo_PX[[#This Row],[Column1666]]</f>
        <v>#N/A N/A</v>
      </c>
      <c r="BLC34" t="str">
        <f>SOFR3mo_PX[[#This Row],[Column1667]]</f>
        <v>#N/A N/A</v>
      </c>
      <c r="BLD34" t="str">
        <f>SOFR3mo_PX[[#This Row],[Column1668]]</f>
        <v>#N/A N/A</v>
      </c>
      <c r="BLE34" t="str">
        <f>SOFR3mo_PX[[#This Row],[Column1669]]</f>
        <v>#N/A N/A</v>
      </c>
      <c r="BLF34" t="str">
        <f>SOFR3mo_PX[[#This Row],[Column1670]]</f>
        <v>#N/A N/A</v>
      </c>
      <c r="BLG34" t="str">
        <f>SOFR3mo_PX[[#This Row],[Column1671]]</f>
        <v>#N/A N/A</v>
      </c>
      <c r="BLH34" t="str">
        <f>SOFR3mo_PX[[#This Row],[Column1672]]</f>
        <v>#N/A N/A</v>
      </c>
      <c r="BLI34" t="str">
        <f>SOFR3mo_PX[[#This Row],[Column1673]]</f>
        <v>#N/A N/A</v>
      </c>
      <c r="BLJ34" t="str">
        <f>SOFR3mo_PX[[#This Row],[Column1674]]</f>
        <v>#N/A N/A</v>
      </c>
      <c r="BLK34" t="str">
        <f>SOFR3mo_PX[[#This Row],[Column1675]]</f>
        <v>#N/A N/A</v>
      </c>
      <c r="BLL34" t="str">
        <f>SOFR3mo_PX[[#This Row],[Column1676]]</f>
        <v>#N/A N/A</v>
      </c>
      <c r="BLM34" t="str">
        <f>SOFR3mo_PX[[#This Row],[Column1677]]</f>
        <v>#N/A N/A</v>
      </c>
      <c r="BLN34" t="str">
        <f>SOFR3mo_PX[[#This Row],[Column1678]]</f>
        <v>#N/A N/A</v>
      </c>
      <c r="BLO34" t="str">
        <f>SOFR3mo_PX[[#This Row],[Column1679]]</f>
        <v>#N/A N/A</v>
      </c>
      <c r="BLP34" t="str">
        <f>SOFR3mo_PX[[#This Row],[Column1680]]</f>
        <v>#N/A N/A</v>
      </c>
      <c r="BLQ34" t="str">
        <f>SOFR3mo_PX[[#This Row],[Column1681]]</f>
        <v>#N/A N/A</v>
      </c>
      <c r="BLR34" t="str">
        <f>SOFR3mo_PX[[#This Row],[Column1682]]</f>
        <v>#N/A N/A</v>
      </c>
      <c r="BLS34" t="str">
        <f>SOFR3mo_PX[[#This Row],[Column1683]]</f>
        <v>#N/A N/A</v>
      </c>
      <c r="BLT34" t="str">
        <f>SOFR3mo_PX[[#This Row],[Column1684]]</f>
        <v>#N/A N/A</v>
      </c>
      <c r="BLU34" t="str">
        <f>SOFR3mo_PX[[#This Row],[Column1685]]</f>
        <v>#N/A N/A</v>
      </c>
      <c r="BLV34" t="str">
        <f>SOFR3mo_PX[[#This Row],[Column1686]]</f>
        <v>#N/A N/A</v>
      </c>
      <c r="BLW34" t="str">
        <f>SOFR3mo_PX[[#This Row],[Column1687]]</f>
        <v>#N/A N/A</v>
      </c>
      <c r="BLX34" t="str">
        <f>SOFR3mo_PX[[#This Row],[Column1688]]</f>
        <v>#N/A N/A</v>
      </c>
      <c r="BLY34" t="str">
        <f>SOFR3mo_PX[[#This Row],[Column1689]]</f>
        <v>#N/A N/A</v>
      </c>
      <c r="BLZ34" t="str">
        <f>SOFR3mo_PX[[#This Row],[Column1690]]</f>
        <v>#N/A N/A</v>
      </c>
      <c r="BMA34" t="str">
        <f>SOFR3mo_PX[[#This Row],[Column1691]]</f>
        <v>#N/A N/A</v>
      </c>
      <c r="BMB34" t="str">
        <f>SOFR3mo_PX[[#This Row],[Column1692]]</f>
        <v>#N/A N/A</v>
      </c>
      <c r="BMC34" t="str">
        <f>SOFR3mo_PX[[#This Row],[Column1693]]</f>
        <v>#N/A N/A</v>
      </c>
      <c r="BMD34" t="str">
        <f>SOFR3mo_PX[[#This Row],[Column1694]]</f>
        <v>#N/A N/A</v>
      </c>
      <c r="BME34" t="str">
        <f>SOFR3mo_PX[[#This Row],[Column1695]]</f>
        <v>#N/A N/A</v>
      </c>
      <c r="BMF34" t="str">
        <f>SOFR3mo_PX[[#This Row],[Column1696]]</f>
        <v>#N/A N/A</v>
      </c>
      <c r="BMG34" t="str">
        <f>SOFR3mo_PX[[#This Row],[Column1697]]</f>
        <v>#N/A N/A</v>
      </c>
      <c r="BMH34" t="str">
        <f>SOFR3mo_PX[[#This Row],[Column1698]]</f>
        <v>#N/A N/A</v>
      </c>
      <c r="BMI34" t="str">
        <f>SOFR3mo_PX[[#This Row],[Column1699]]</f>
        <v>#N/A N/A</v>
      </c>
      <c r="BMJ34" t="str">
        <f>SOFR3mo_PX[[#This Row],[Column1700]]</f>
        <v>#N/A N/A</v>
      </c>
      <c r="BMK34" t="str">
        <f>SOFR3mo_PX[[#This Row],[Column1701]]</f>
        <v>#N/A N/A</v>
      </c>
      <c r="BML34" t="str">
        <f>SOFR3mo_PX[[#This Row],[Column1702]]</f>
        <v>#N/A N/A</v>
      </c>
      <c r="BMM34" t="str">
        <f>SOFR3mo_PX[[#This Row],[Column1703]]</f>
        <v>#N/A N/A</v>
      </c>
      <c r="BMN34" t="str">
        <f>SOFR3mo_PX[[#This Row],[Column1704]]</f>
        <v>#N/A N/A</v>
      </c>
      <c r="BMO34" t="str">
        <f>SOFR3mo_PX[[#This Row],[Column1705]]</f>
        <v>#N/A N/A</v>
      </c>
      <c r="BMP34" t="str">
        <f>SOFR3mo_PX[[#This Row],[Column1706]]</f>
        <v>#N/A N/A</v>
      </c>
      <c r="BMQ34" t="str">
        <f>SOFR3mo_PX[[#This Row],[Column1707]]</f>
        <v>#N/A N/A</v>
      </c>
      <c r="BMR34" t="str">
        <f>SOFR3mo_PX[[#This Row],[Column1708]]</f>
        <v>#N/A N/A</v>
      </c>
      <c r="BMS34" t="str">
        <f>SOFR3mo_PX[[#This Row],[Column1709]]</f>
        <v>#N/A N/A</v>
      </c>
      <c r="BMT34" t="str">
        <f>SOFR3mo_PX[[#This Row],[Column1710]]</f>
        <v>#N/A N/A</v>
      </c>
      <c r="BMU34" t="str">
        <f>SOFR3mo_PX[[#This Row],[Column1711]]</f>
        <v>#N/A N/A</v>
      </c>
      <c r="BMV34" t="str">
        <f>SOFR3mo_PX[[#This Row],[Column1712]]</f>
        <v>#N/A N/A</v>
      </c>
      <c r="BMW34" t="str">
        <f>SOFR3mo_PX[[#This Row],[Column1713]]</f>
        <v>#N/A N/A</v>
      </c>
      <c r="BMX34" t="str">
        <f>SOFR3mo_PX[[#This Row],[Column1714]]</f>
        <v>#N/A N/A</v>
      </c>
      <c r="BMY34" t="str">
        <f>SOFR3mo_PX[[#This Row],[Column1715]]</f>
        <v>#N/A N/A</v>
      </c>
      <c r="BMZ34" t="str">
        <f>SOFR3mo_PX[[#This Row],[Column1716]]</f>
        <v>#N/A N/A</v>
      </c>
      <c r="BNA34" t="str">
        <f>SOFR3mo_PX[[#This Row],[Column1717]]</f>
        <v>#N/A N/A</v>
      </c>
      <c r="BNB34" t="str">
        <f>SOFR3mo_PX[[#This Row],[Column1718]]</f>
        <v>#N/A N/A</v>
      </c>
      <c r="BNC34" t="str">
        <f>SOFR3mo_PX[[#This Row],[Column1719]]</f>
        <v>#N/A N/A</v>
      </c>
      <c r="BND34" t="str">
        <f>SOFR3mo_PX[[#This Row],[Column1720]]</f>
        <v>#N/A N/A</v>
      </c>
      <c r="BNE34" t="str">
        <f>SOFR3mo_PX[[#This Row],[Column1721]]</f>
        <v>#N/A N/A</v>
      </c>
      <c r="BNF34" t="str">
        <f>SOFR3mo_PX[[#This Row],[Column1722]]</f>
        <v>#N/A N/A</v>
      </c>
      <c r="BNG34" t="str">
        <f>SOFR3mo_PX[[#This Row],[Column1723]]</f>
        <v>#N/A N/A</v>
      </c>
      <c r="BNH34" t="str">
        <f>SOFR3mo_PX[[#This Row],[Column1724]]</f>
        <v>#N/A N/A</v>
      </c>
      <c r="BNI34" t="str">
        <f>SOFR3mo_PX[[#This Row],[Column1725]]</f>
        <v>#N/A N/A</v>
      </c>
      <c r="BNJ34" t="str">
        <f>SOFR3mo_PX[[#This Row],[Column1726]]</f>
        <v>#N/A N/A</v>
      </c>
      <c r="BNK34" t="str">
        <f>SOFR3mo_PX[[#This Row],[Column1727]]</f>
        <v>#N/A N/A</v>
      </c>
      <c r="BNL34" t="str">
        <f>SOFR3mo_PX[[#This Row],[Column1728]]</f>
        <v>#N/A N/A</v>
      </c>
      <c r="BNM34" t="str">
        <f>SOFR3mo_PX[[#This Row],[Column1729]]</f>
        <v>#N/A N/A</v>
      </c>
      <c r="BNN34" t="str">
        <f>SOFR3mo_PX[[#This Row],[Column1730]]</f>
        <v>#N/A N/A</v>
      </c>
      <c r="BNO34" t="str">
        <f>SOFR3mo_PX[[#This Row],[Column1731]]</f>
        <v>#N/A N/A</v>
      </c>
      <c r="BNP34" t="str">
        <f>SOFR3mo_PX[[#This Row],[Column1732]]</f>
        <v>#N/A N/A</v>
      </c>
      <c r="BNQ34" t="str">
        <f>SOFR3mo_PX[[#This Row],[Column1733]]</f>
        <v>#N/A N/A</v>
      </c>
      <c r="BNR34" t="str">
        <f>SOFR3mo_PX[[#This Row],[Column1734]]</f>
        <v>#N/A N/A</v>
      </c>
      <c r="BNS34" t="str">
        <f>SOFR3mo_PX[[#This Row],[Column1735]]</f>
        <v>#N/A N/A</v>
      </c>
      <c r="BNT34" t="str">
        <f>SOFR3mo_PX[[#This Row],[Column1736]]</f>
        <v>#N/A N/A</v>
      </c>
      <c r="BNU34" t="str">
        <f>SOFR3mo_PX[[#This Row],[Column1737]]</f>
        <v>#N/A N/A</v>
      </c>
      <c r="BNV34" t="str">
        <f>SOFR3mo_PX[[#This Row],[Column1738]]</f>
        <v>#N/A N/A</v>
      </c>
      <c r="BNW34" t="str">
        <f>SOFR3mo_PX[[#This Row],[Column1739]]</f>
        <v>#N/A N/A</v>
      </c>
      <c r="BNX34" t="str">
        <f>SOFR3mo_PX[[#This Row],[Column1740]]</f>
        <v>#N/A N/A</v>
      </c>
      <c r="BNY34" t="str">
        <f>SOFR3mo_PX[[#This Row],[Column1741]]</f>
        <v>#N/A N/A</v>
      </c>
      <c r="BNZ34" t="str">
        <f>SOFR3mo_PX[[#This Row],[Column1742]]</f>
        <v>#N/A N/A</v>
      </c>
      <c r="BOA34" t="str">
        <f>SOFR3mo_PX[[#This Row],[Column1743]]</f>
        <v>#N/A N/A</v>
      </c>
      <c r="BOB34" t="str">
        <f>SOFR3mo_PX[[#This Row],[Column1744]]</f>
        <v>#N/A N/A</v>
      </c>
      <c r="BOC34" t="str">
        <f>SOFR3mo_PX[[#This Row],[Column1745]]</f>
        <v>#N/A N/A</v>
      </c>
      <c r="BOD34" t="str">
        <f>SOFR3mo_PX[[#This Row],[Column1746]]</f>
        <v>#N/A N/A</v>
      </c>
      <c r="BOE34" t="str">
        <f>SOFR3mo_PX[[#This Row],[Column1747]]</f>
        <v>#N/A N/A</v>
      </c>
      <c r="BOF34" t="str">
        <f>SOFR3mo_PX[[#This Row],[Column1748]]</f>
        <v>#N/A N/A</v>
      </c>
      <c r="BOG34" t="str">
        <f>SOFR3mo_PX[[#This Row],[Column1749]]</f>
        <v>#N/A N/A</v>
      </c>
      <c r="BOH34" t="str">
        <f>SOFR3mo_PX[[#This Row],[Column1750]]</f>
        <v>#N/A N/A</v>
      </c>
      <c r="BOI34" t="str">
        <f>SOFR3mo_PX[[#This Row],[Column1751]]</f>
        <v>#N/A N/A</v>
      </c>
      <c r="BOJ34" t="str">
        <f>SOFR3mo_PX[[#This Row],[Column1752]]</f>
        <v>#N/A N/A</v>
      </c>
      <c r="BOK34" t="str">
        <f>SOFR3mo_PX[[#This Row],[Column1753]]</f>
        <v>#N/A N/A</v>
      </c>
      <c r="BOL34" t="str">
        <f>SOFR3mo_PX[[#This Row],[Column1754]]</f>
        <v>#N/A N/A</v>
      </c>
      <c r="BOM34" t="str">
        <f>SOFR3mo_PX[[#This Row],[Column1755]]</f>
        <v>#N/A N/A</v>
      </c>
      <c r="BON34" t="str">
        <f>SOFR3mo_PX[[#This Row],[Column1756]]</f>
        <v>#N/A N/A</v>
      </c>
      <c r="BOO34" t="str">
        <f>SOFR3mo_PX[[#This Row],[Column1757]]</f>
        <v>#N/A N/A</v>
      </c>
      <c r="BOP34" t="str">
        <f>SOFR3mo_PX[[#This Row],[Column1758]]</f>
        <v>#N/A N/A</v>
      </c>
      <c r="BOQ34" t="str">
        <f>SOFR3mo_PX[[#This Row],[Column1759]]</f>
        <v>#N/A N/A</v>
      </c>
      <c r="BOR34" t="str">
        <f>SOFR3mo_PX[[#This Row],[Column1760]]</f>
        <v>#N/A N/A</v>
      </c>
      <c r="BOS34" t="str">
        <f>SOFR3mo_PX[[#This Row],[Column1761]]</f>
        <v>#N/A N/A</v>
      </c>
      <c r="BOT34" t="str">
        <f>SOFR3mo_PX[[#This Row],[Column1762]]</f>
        <v>#N/A N/A</v>
      </c>
      <c r="BOU34" t="str">
        <f>SOFR3mo_PX[[#This Row],[Column1763]]</f>
        <v>#N/A N/A</v>
      </c>
      <c r="BOV34" t="str">
        <f>SOFR3mo_PX[[#This Row],[Column1764]]</f>
        <v>#N/A N/A</v>
      </c>
      <c r="BOW34" t="str">
        <f>SOFR3mo_PX[[#This Row],[Column1765]]</f>
        <v>#N/A N/A</v>
      </c>
      <c r="BOX34" t="str">
        <f>SOFR3mo_PX[[#This Row],[Column1766]]</f>
        <v>#N/A N/A</v>
      </c>
      <c r="BOY34" t="str">
        <f>SOFR3mo_PX[[#This Row],[Column1767]]</f>
        <v>#N/A N/A</v>
      </c>
      <c r="BOZ34" t="str">
        <f>SOFR3mo_PX[[#This Row],[Column1768]]</f>
        <v>#N/A N/A</v>
      </c>
      <c r="BPA34" t="str">
        <f>SOFR3mo_PX[[#This Row],[Column1769]]</f>
        <v>#N/A N/A</v>
      </c>
      <c r="BPB34" t="str">
        <f>SOFR3mo_PX[[#This Row],[Column1770]]</f>
        <v>#N/A N/A</v>
      </c>
      <c r="BPC34" t="str">
        <f>SOFR3mo_PX[[#This Row],[Column1771]]</f>
        <v>#N/A N/A</v>
      </c>
      <c r="BPD34" t="str">
        <f>SOFR3mo_PX[[#This Row],[Column1772]]</f>
        <v>#N/A N/A</v>
      </c>
      <c r="BPE34" t="str">
        <f>SOFR3mo_PX[[#This Row],[Column1773]]</f>
        <v>#N/A N/A</v>
      </c>
      <c r="BPF34" t="str">
        <f>SOFR3mo_PX[[#This Row],[Column1774]]</f>
        <v>#N/A N/A</v>
      </c>
      <c r="BPG34" t="str">
        <f>SOFR3mo_PX[[#This Row],[Column1775]]</f>
        <v>#N/A N/A</v>
      </c>
      <c r="BPH34" t="str">
        <f>SOFR3mo_PX[[#This Row],[Column1776]]</f>
        <v>#N/A N/A</v>
      </c>
      <c r="BPI34" t="str">
        <f>SOFR3mo_PX[[#This Row],[Column1777]]</f>
        <v>#N/A N/A</v>
      </c>
      <c r="BPJ34" t="str">
        <f>SOFR3mo_PX[[#This Row],[Column1778]]</f>
        <v>#N/A N/A</v>
      </c>
      <c r="BPK34" t="str">
        <f>SOFR3mo_PX[[#This Row],[Column1779]]</f>
        <v>#N/A N/A</v>
      </c>
      <c r="BPL34" t="str">
        <f>SOFR3mo_PX[[#This Row],[Column1780]]</f>
        <v>#N/A N/A</v>
      </c>
      <c r="BPM34" t="str">
        <f>SOFR3mo_PX[[#This Row],[Column1781]]</f>
        <v>#N/A N/A</v>
      </c>
      <c r="BPN34" t="str">
        <f>SOFR3mo_PX[[#This Row],[Column1782]]</f>
        <v>#N/A N/A</v>
      </c>
      <c r="BPO34" t="str">
        <f>SOFR3mo_PX[[#This Row],[Column1783]]</f>
        <v>#N/A N/A</v>
      </c>
      <c r="BPP34" t="str">
        <f>SOFR3mo_PX[[#This Row],[Column1784]]</f>
        <v>#N/A N/A</v>
      </c>
      <c r="BPQ34" t="str">
        <f>SOFR3mo_PX[[#This Row],[Column1785]]</f>
        <v>#N/A N/A</v>
      </c>
      <c r="BPR34" t="str">
        <f>SOFR3mo_PX[[#This Row],[Column1786]]</f>
        <v>#N/A N/A</v>
      </c>
      <c r="BPS34" t="str">
        <f>SOFR3mo_PX[[#This Row],[Column1787]]</f>
        <v>#N/A N/A</v>
      </c>
      <c r="BPT34" t="str">
        <f>SOFR3mo_PX[[#This Row],[Column1788]]</f>
        <v>#N/A N/A</v>
      </c>
      <c r="BPU34" t="str">
        <f>SOFR3mo_PX[[#This Row],[Column1789]]</f>
        <v>#N/A N/A</v>
      </c>
      <c r="BPV34" t="str">
        <f>SOFR3mo_PX[[#This Row],[Column1790]]</f>
        <v>#N/A N/A</v>
      </c>
      <c r="BPW34" t="str">
        <f>SOFR3mo_PX[[#This Row],[Column1791]]</f>
        <v>#N/A N/A</v>
      </c>
      <c r="BPX34" t="str">
        <f>SOFR3mo_PX[[#This Row],[Column1792]]</f>
        <v>#N/A N/A</v>
      </c>
      <c r="BPY34" t="str">
        <f>SOFR3mo_PX[[#This Row],[Column1793]]</f>
        <v>#N/A N/A</v>
      </c>
      <c r="BPZ34" t="str">
        <f>SOFR3mo_PX[[#This Row],[Column1794]]</f>
        <v>#N/A N/A</v>
      </c>
      <c r="BQA34" t="str">
        <f>SOFR3mo_PX[[#This Row],[Column1795]]</f>
        <v>#N/A N/A</v>
      </c>
      <c r="BQB34" t="str">
        <f>SOFR3mo_PX[[#This Row],[Column1796]]</f>
        <v>#N/A N/A</v>
      </c>
      <c r="BQC34" t="str">
        <f>SOFR3mo_PX[[#This Row],[Column1797]]</f>
        <v>#N/A N/A</v>
      </c>
      <c r="BQD34" t="str">
        <f>SOFR3mo_PX[[#This Row],[Column1798]]</f>
        <v>#N/A N/A</v>
      </c>
      <c r="BQE34" t="str">
        <f>SOFR3mo_PX[[#This Row],[Column1799]]</f>
        <v>#N/A N/A</v>
      </c>
      <c r="BQF34" t="str">
        <f>SOFR3mo_PX[[#This Row],[Column1800]]</f>
        <v>#N/A N/A</v>
      </c>
      <c r="BQG34" t="str">
        <f>SOFR3mo_PX[[#This Row],[Column1801]]</f>
        <v>#N/A N/A</v>
      </c>
      <c r="BQH34" t="str">
        <f>SOFR3mo_PX[[#This Row],[Column1802]]</f>
        <v>#N/A N/A</v>
      </c>
      <c r="BQI34" t="str">
        <f>SOFR3mo_PX[[#This Row],[Column1803]]</f>
        <v>#N/A N/A</v>
      </c>
      <c r="BQJ34" t="str">
        <f>SOFR3mo_PX[[#This Row],[Column1804]]</f>
        <v>#N/A N/A</v>
      </c>
      <c r="BQK34" t="str">
        <f>SOFR3mo_PX[[#This Row],[Column1805]]</f>
        <v>#N/A N/A</v>
      </c>
      <c r="BQL34" t="str">
        <f>SOFR3mo_PX[[#This Row],[Column1806]]</f>
        <v>#N/A N/A</v>
      </c>
      <c r="BQM34" t="str">
        <f>SOFR3mo_PX[[#This Row],[Column1807]]</f>
        <v>#N/A N/A</v>
      </c>
      <c r="BQN34" t="str">
        <f>SOFR3mo_PX[[#This Row],[Column1808]]</f>
        <v>#N/A N/A</v>
      </c>
      <c r="BQO34" t="str">
        <f>SOFR3mo_PX[[#This Row],[Column1809]]</f>
        <v>#N/A N/A</v>
      </c>
      <c r="BQP34" t="str">
        <f>SOFR3mo_PX[[#This Row],[Column1810]]</f>
        <v>#N/A N/A</v>
      </c>
      <c r="BQQ34" t="str">
        <f>SOFR3mo_PX[[#This Row],[Column1811]]</f>
        <v>#N/A N/A</v>
      </c>
      <c r="BQR34" t="str">
        <f>SOFR3mo_PX[[#This Row],[Column1812]]</f>
        <v>#N/A N/A</v>
      </c>
      <c r="BQS34" t="str">
        <f>SOFR3mo_PX[[#This Row],[Column1813]]</f>
        <v>#N/A N/A</v>
      </c>
      <c r="BQT34" t="str">
        <f>SOFR3mo_PX[[#This Row],[Column1814]]</f>
        <v>#N/A N/A</v>
      </c>
      <c r="BQU34" t="str">
        <f>SOFR3mo_PX[[#This Row],[Column1815]]</f>
        <v>#N/A N/A</v>
      </c>
      <c r="BQV34" t="str">
        <f>SOFR3mo_PX[[#This Row],[Column1816]]</f>
        <v>#N/A N/A</v>
      </c>
      <c r="BQW34" t="str">
        <f>SOFR3mo_PX[[#This Row],[Column1817]]</f>
        <v>#N/A N/A</v>
      </c>
      <c r="BQX34" t="str">
        <f>SOFR3mo_PX[[#This Row],[Column1818]]</f>
        <v>#N/A N/A</v>
      </c>
      <c r="BQY34" t="str">
        <f>SOFR3mo_PX[[#This Row],[Column1819]]</f>
        <v>#N/A N/A</v>
      </c>
      <c r="BQZ34" t="str">
        <f>SOFR3mo_PX[[#This Row],[Column1820]]</f>
        <v>#N/A N/A</v>
      </c>
      <c r="BRA34" t="str">
        <f>SOFR3mo_PX[[#This Row],[Column1821]]</f>
        <v>#N/A N/A</v>
      </c>
      <c r="BRB34" t="str">
        <f>SOFR3mo_PX[[#This Row],[Column1822]]</f>
        <v>#N/A N/A</v>
      </c>
      <c r="BRC34" t="str">
        <f>SOFR3mo_PX[[#This Row],[Column1823]]</f>
        <v>#N/A N/A</v>
      </c>
      <c r="BRD34" t="str">
        <f>SOFR3mo_PX[[#This Row],[Column1824]]</f>
        <v>#N/A N/A</v>
      </c>
      <c r="BRE34" t="str">
        <f>SOFR3mo_PX[[#This Row],[Column1825]]</f>
        <v>#N/A N/A</v>
      </c>
      <c r="BRF34" t="str">
        <f>SOFR3mo_PX[[#This Row],[Column1826]]</f>
        <v>#N/A N/A</v>
      </c>
      <c r="BRG34" t="str">
        <f>SOFR3mo_PX[[#This Row],[Column1827]]</f>
        <v>#N/A N/A</v>
      </c>
      <c r="BRH34" t="str">
        <f>SOFR3mo_PX[[#This Row],[Column1828]]</f>
        <v>#N/A N/A</v>
      </c>
      <c r="BRI34" t="str">
        <f>SOFR3mo_PX[[#This Row],[Column1829]]</f>
        <v>#N/A N/A</v>
      </c>
      <c r="BRJ34" t="str">
        <f>SOFR3mo_PX[[#This Row],[Column1830]]</f>
        <v>#N/A N/A</v>
      </c>
      <c r="BRK34" t="str">
        <f>SOFR3mo_PX[[#This Row],[Column1831]]</f>
        <v>#N/A N/A</v>
      </c>
      <c r="BRL34" t="str">
        <f>SOFR3mo_PX[[#This Row],[Column1832]]</f>
        <v>#N/A N/A</v>
      </c>
      <c r="BRM34" t="str">
        <f>SOFR3mo_PX[[#This Row],[Column1833]]</f>
        <v>#N/A N/A</v>
      </c>
      <c r="BRN34" t="str">
        <f>SOFR3mo_PX[[#This Row],[Column1834]]</f>
        <v>#N/A N/A</v>
      </c>
      <c r="BRO34" t="str">
        <f>SOFR3mo_PX[[#This Row],[Column1835]]</f>
        <v>#N/A N/A</v>
      </c>
      <c r="BRP34" t="str">
        <f>SOFR3mo_PX[[#This Row],[Column1836]]</f>
        <v>#N/A N/A</v>
      </c>
      <c r="BRQ34" t="str">
        <f>SOFR3mo_PX[[#This Row],[Column1837]]</f>
        <v>#N/A N/A</v>
      </c>
      <c r="BRR34" t="str">
        <f>SOFR3mo_PX[[#This Row],[Column1838]]</f>
        <v>#N/A N/A</v>
      </c>
      <c r="BRS34" t="str">
        <f>SOFR3mo_PX[[#This Row],[Column1839]]</f>
        <v>#N/A N/A</v>
      </c>
      <c r="BRT34" t="str">
        <f>SOFR3mo_PX[[#This Row],[Column1840]]</f>
        <v>#N/A N/A</v>
      </c>
      <c r="BRU34" t="str">
        <f>SOFR3mo_PX[[#This Row],[Column1841]]</f>
        <v>#N/A N/A</v>
      </c>
      <c r="BRV34" t="str">
        <f>SOFR3mo_PX[[#This Row],[Column1842]]</f>
        <v>#N/A N/A</v>
      </c>
      <c r="BRW34" t="str">
        <f>SOFR3mo_PX[[#This Row],[Column1843]]</f>
        <v>#N/A N/A</v>
      </c>
      <c r="BRX34" t="str">
        <f>SOFR3mo_PX[[#This Row],[Column1844]]</f>
        <v>#N/A N/A</v>
      </c>
      <c r="BRY34" t="str">
        <f>SOFR3mo_PX[[#This Row],[Column1845]]</f>
        <v>#N/A N/A</v>
      </c>
      <c r="BRZ34" t="str">
        <f>SOFR3mo_PX[[#This Row],[Column1846]]</f>
        <v>#N/A N/A</v>
      </c>
      <c r="BSA34" t="str">
        <f>SOFR3mo_PX[[#This Row],[Column1847]]</f>
        <v>#N/A N/A</v>
      </c>
      <c r="BSB34" t="str">
        <f>SOFR3mo_PX[[#This Row],[Column1848]]</f>
        <v>#N/A N/A</v>
      </c>
      <c r="BSC34" t="str">
        <f>SOFR3mo_PX[[#This Row],[Column1849]]</f>
        <v>#N/A N/A</v>
      </c>
      <c r="BSD34" t="str">
        <f>SOFR3mo_PX[[#This Row],[Column1850]]</f>
        <v>#N/A N/A</v>
      </c>
      <c r="BSE34" t="str">
        <f>SOFR3mo_PX[[#This Row],[Column1851]]</f>
        <v>#N/A N/A</v>
      </c>
      <c r="BSF34" t="str">
        <f>SOFR3mo_PX[[#This Row],[Column1852]]</f>
        <v>#N/A N/A</v>
      </c>
      <c r="BSG34" t="str">
        <f>SOFR3mo_PX[[#This Row],[Column1853]]</f>
        <v>#N/A N/A</v>
      </c>
      <c r="BSH34" t="str">
        <f>SOFR3mo_PX[[#This Row],[Column1854]]</f>
        <v>#N/A N/A</v>
      </c>
      <c r="BSI34" t="str">
        <f>SOFR3mo_PX[[#This Row],[Column1855]]</f>
        <v>#N/A N/A</v>
      </c>
      <c r="BSJ34" t="str">
        <f>SOFR3mo_PX[[#This Row],[Column1856]]</f>
        <v>#N/A N/A</v>
      </c>
      <c r="BSK34" t="str">
        <f>SOFR3mo_PX[[#This Row],[Column1857]]</f>
        <v>#N/A N/A</v>
      </c>
      <c r="BSL34" t="str">
        <f>SOFR3mo_PX[[#This Row],[Column1858]]</f>
        <v>#N/A N/A</v>
      </c>
      <c r="BSM34" t="str">
        <f>SOFR3mo_PX[[#This Row],[Column1859]]</f>
        <v>#N/A N/A</v>
      </c>
      <c r="BSN34" t="str">
        <f>SOFR3mo_PX[[#This Row],[Column1860]]</f>
        <v>#N/A N/A</v>
      </c>
      <c r="BSO34" t="str">
        <f>SOFR3mo_PX[[#This Row],[Column1861]]</f>
        <v>#N/A N/A</v>
      </c>
      <c r="BSP34" t="str">
        <f>SOFR3mo_PX[[#This Row],[Column1862]]</f>
        <v>#N/A N/A</v>
      </c>
      <c r="BSQ34" t="str">
        <f>SOFR3mo_PX[[#This Row],[Column1863]]</f>
        <v>#N/A N/A</v>
      </c>
      <c r="BSR34" t="str">
        <f>SOFR3mo_PX[[#This Row],[Column1864]]</f>
        <v>#N/A N/A</v>
      </c>
      <c r="BSS34" t="str">
        <f>SOFR3mo_PX[[#This Row],[Column1865]]</f>
        <v>#N/A N/A</v>
      </c>
      <c r="BST34" t="str">
        <f>SOFR3mo_PX[[#This Row],[Column1866]]</f>
        <v>#N/A N/A</v>
      </c>
      <c r="BSU34" t="str">
        <f>SOFR3mo_PX[[#This Row],[Column1867]]</f>
        <v>#N/A N/A</v>
      </c>
      <c r="BSV34" t="str">
        <f>SOFR3mo_PX[[#This Row],[Column1868]]</f>
        <v>#N/A N/A</v>
      </c>
      <c r="BSW34" t="str">
        <f>SOFR3mo_PX[[#This Row],[Column1869]]</f>
        <v>#N/A N/A</v>
      </c>
      <c r="BSX34" t="str">
        <f>SOFR3mo_PX[[#This Row],[Column1870]]</f>
        <v>#N/A N/A</v>
      </c>
      <c r="BSY34" t="str">
        <f>SOFR3mo_PX[[#This Row],[Column1871]]</f>
        <v>#N/A N/A</v>
      </c>
      <c r="BSZ34" t="str">
        <f>SOFR3mo_PX[[#This Row],[Column1872]]</f>
        <v>#N/A N/A</v>
      </c>
      <c r="BTA34" t="str">
        <f>SOFR3mo_PX[[#This Row],[Column1873]]</f>
        <v>#N/A N/A</v>
      </c>
      <c r="BTB34" t="str">
        <f>SOFR3mo_PX[[#This Row],[Column1874]]</f>
        <v>#N/A N/A</v>
      </c>
      <c r="BTC34" t="str">
        <f>SOFR3mo_PX[[#This Row],[Column1875]]</f>
        <v>#N/A N/A</v>
      </c>
      <c r="BTD34" t="str">
        <f>SOFR3mo_PX[[#This Row],[Column1876]]</f>
        <v>#N/A N/A</v>
      </c>
      <c r="BTE34" t="str">
        <f>SOFR3mo_PX[[#This Row],[Column1877]]</f>
        <v>#N/A N/A</v>
      </c>
      <c r="BTF34" t="str">
        <f>SOFR3mo_PX[[#This Row],[Column1878]]</f>
        <v>#N/A N/A</v>
      </c>
      <c r="BTG34" t="str">
        <f>SOFR3mo_PX[[#This Row],[Column1879]]</f>
        <v>#N/A N/A</v>
      </c>
      <c r="BTH34" t="str">
        <f>SOFR3mo_PX[[#This Row],[Column1880]]</f>
        <v>#N/A N/A</v>
      </c>
      <c r="BTI34" t="str">
        <f>SOFR3mo_PX[[#This Row],[Column1881]]</f>
        <v>#N/A N/A</v>
      </c>
      <c r="BTJ34" t="str">
        <f>SOFR3mo_PX[[#This Row],[Column1882]]</f>
        <v>#N/A N/A</v>
      </c>
      <c r="BTK34" t="str">
        <f>SOFR3mo_PX[[#This Row],[Column1883]]</f>
        <v>#N/A N/A</v>
      </c>
      <c r="BTL34" t="str">
        <f>SOFR3mo_PX[[#This Row],[Column1884]]</f>
        <v>#N/A N/A</v>
      </c>
      <c r="BTM34" t="str">
        <f>SOFR3mo_PX[[#This Row],[Column1885]]</f>
        <v>#N/A N/A</v>
      </c>
      <c r="BTN34" t="str">
        <f>SOFR3mo_PX[[#This Row],[Column1886]]</f>
        <v>#N/A N/A</v>
      </c>
      <c r="BTO34" t="str">
        <f>SOFR3mo_PX[[#This Row],[Column1887]]</f>
        <v>#N/A N/A</v>
      </c>
      <c r="BTP34" t="str">
        <f>SOFR3mo_PX[[#This Row],[Column1888]]</f>
        <v>#N/A N/A</v>
      </c>
      <c r="BTQ34" t="str">
        <f>SOFR3mo_PX[[#This Row],[Column1889]]</f>
        <v>#N/A N/A</v>
      </c>
      <c r="BTR34" t="str">
        <f>SOFR3mo_PX[[#This Row],[Column1890]]</f>
        <v>#N/A N/A</v>
      </c>
      <c r="BTS34" t="str">
        <f>SOFR3mo_PX[[#This Row],[Column1891]]</f>
        <v>#N/A N/A</v>
      </c>
      <c r="BTT34" t="str">
        <f>SOFR3mo_PX[[#This Row],[Column1892]]</f>
        <v>#N/A N/A</v>
      </c>
      <c r="BTU34" t="str">
        <f>SOFR3mo_PX[[#This Row],[Column1893]]</f>
        <v>#N/A N/A</v>
      </c>
      <c r="BTV34" t="str">
        <f>SOFR3mo_PX[[#This Row],[Column1894]]</f>
        <v>#N/A N/A</v>
      </c>
      <c r="BTW34" t="str">
        <f>SOFR3mo_PX[[#This Row],[Column1895]]</f>
        <v>#N/A N/A</v>
      </c>
      <c r="BTX34" t="str">
        <f>SOFR3mo_PX[[#This Row],[Column1896]]</f>
        <v>#N/A N/A</v>
      </c>
      <c r="BTY34" t="str">
        <f>SOFR3mo_PX[[#This Row],[Column1897]]</f>
        <v>#N/A N/A</v>
      </c>
      <c r="BTZ34" t="str">
        <f>SOFR3mo_PX[[#This Row],[Column1898]]</f>
        <v>#N/A N/A</v>
      </c>
      <c r="BUA34" t="str">
        <f>SOFR3mo_PX[[#This Row],[Column1899]]</f>
        <v>#N/A N/A</v>
      </c>
      <c r="BUB34" t="str">
        <f>SOFR3mo_PX[[#This Row],[Column1900]]</f>
        <v>#N/A N/A</v>
      </c>
      <c r="BUC34" t="str">
        <f>SOFR3mo_PX[[#This Row],[Column1901]]</f>
        <v>#N/A N/A</v>
      </c>
      <c r="BUD34" t="str">
        <f>SOFR3mo_PX[[#This Row],[Column1902]]</f>
        <v>#N/A N/A</v>
      </c>
      <c r="BUE34" t="str">
        <f>SOFR3mo_PX[[#This Row],[Column1903]]</f>
        <v>#N/A N/A</v>
      </c>
      <c r="BUF34" t="str">
        <f>SOFR3mo_PX[[#This Row],[Column1904]]</f>
        <v>#N/A N/A</v>
      </c>
      <c r="BUG34" t="str">
        <f>SOFR3mo_PX[[#This Row],[Column1905]]</f>
        <v>#N/A N/A</v>
      </c>
      <c r="BUH34" t="str">
        <f>SOFR3mo_PX[[#This Row],[Column1906]]</f>
        <v>#N/A N/A</v>
      </c>
      <c r="BUI34" t="str">
        <f>SOFR3mo_PX[[#This Row],[Column1907]]</f>
        <v>#N/A N/A</v>
      </c>
      <c r="BUJ34" t="str">
        <f>SOFR3mo_PX[[#This Row],[Column1908]]</f>
        <v>#N/A N/A</v>
      </c>
      <c r="BUK34" t="str">
        <f>SOFR3mo_PX[[#This Row],[Column1909]]</f>
        <v>#N/A N/A</v>
      </c>
      <c r="BUL34" t="str">
        <f>SOFR3mo_PX[[#This Row],[Column1910]]</f>
        <v>#N/A N/A</v>
      </c>
      <c r="BUM34" t="str">
        <f>SOFR3mo_PX[[#This Row],[Column1911]]</f>
        <v>#N/A N/A</v>
      </c>
      <c r="BUN34" t="str">
        <f>SOFR3mo_PX[[#This Row],[Column1912]]</f>
        <v>#N/A N/A</v>
      </c>
      <c r="BUO34" t="str">
        <f>SOFR3mo_PX[[#This Row],[Column1913]]</f>
        <v>#N/A N/A</v>
      </c>
      <c r="BUP34" t="str">
        <f>SOFR3mo_PX[[#This Row],[Column1914]]</f>
        <v>#N/A N/A</v>
      </c>
      <c r="BUQ34" t="str">
        <f>SOFR3mo_PX[[#This Row],[Column1915]]</f>
        <v>#N/A N/A</v>
      </c>
      <c r="BUR34" t="str">
        <f>SOFR3mo_PX[[#This Row],[Column1916]]</f>
        <v>#N/A N/A</v>
      </c>
      <c r="BUS34" t="str">
        <f>SOFR3mo_PX[[#This Row],[Column1917]]</f>
        <v>#N/A N/A</v>
      </c>
      <c r="BUT34" t="str">
        <f>SOFR3mo_PX[[#This Row],[Column1918]]</f>
        <v>#N/A N/A</v>
      </c>
      <c r="BUU34" t="str">
        <f>SOFR3mo_PX[[#This Row],[Column1919]]</f>
        <v>#N/A N/A</v>
      </c>
      <c r="BUV34" t="str">
        <f>SOFR3mo_PX[[#This Row],[Column1920]]</f>
        <v>#N/A N/A</v>
      </c>
      <c r="BUW34" t="str">
        <f>SOFR3mo_PX[[#This Row],[Column1921]]</f>
        <v>#N/A N/A</v>
      </c>
      <c r="BUX34" t="str">
        <f>SOFR3mo_PX[[#This Row],[Column1922]]</f>
        <v>#N/A N/A</v>
      </c>
      <c r="BUY34" t="str">
        <f>SOFR3mo_PX[[#This Row],[Column1923]]</f>
        <v>#N/A N/A</v>
      </c>
      <c r="BUZ34" t="str">
        <f>SOFR3mo_PX[[#This Row],[Column1924]]</f>
        <v>#N/A N/A</v>
      </c>
      <c r="BVA34" t="str">
        <f>SOFR3mo_PX[[#This Row],[Column1925]]</f>
        <v>#N/A N/A</v>
      </c>
      <c r="BVB34" t="str">
        <f>SOFR3mo_PX[[#This Row],[Column1926]]</f>
        <v>#N/A N/A</v>
      </c>
      <c r="BVC34" t="str">
        <f>SOFR3mo_PX[[#This Row],[Column1927]]</f>
        <v>#N/A N/A</v>
      </c>
      <c r="BVD34" t="str">
        <f>SOFR3mo_PX[[#This Row],[Column1928]]</f>
        <v>#N/A N/A</v>
      </c>
      <c r="BVE34" t="str">
        <f>SOFR3mo_PX[[#This Row],[Column1929]]</f>
        <v>#N/A N/A</v>
      </c>
      <c r="BVF34" t="str">
        <f>SOFR3mo_PX[[#This Row],[Column1930]]</f>
        <v>#N/A N/A</v>
      </c>
      <c r="BVG34" t="str">
        <f>SOFR3mo_PX[[#This Row],[Column1931]]</f>
        <v>#N/A N/A</v>
      </c>
      <c r="BVH34" t="str">
        <f>SOFR3mo_PX[[#This Row],[Column1932]]</f>
        <v>#N/A N/A</v>
      </c>
      <c r="BVI34" t="str">
        <f>SOFR3mo_PX[[#This Row],[Column1933]]</f>
        <v>#N/A N/A</v>
      </c>
      <c r="BVJ34" t="str">
        <f>SOFR3mo_PX[[#This Row],[Column1934]]</f>
        <v>#N/A N/A</v>
      </c>
      <c r="BVK34" t="str">
        <f>SOFR3mo_PX[[#This Row],[Column1935]]</f>
        <v>#N/A N/A</v>
      </c>
      <c r="BVL34" t="str">
        <f>SOFR3mo_PX[[#This Row],[Column1936]]</f>
        <v>#N/A N/A</v>
      </c>
      <c r="BVM34" t="str">
        <f>SOFR3mo_PX[[#This Row],[Column1937]]</f>
        <v>#N/A N/A</v>
      </c>
      <c r="BVN34" t="str">
        <f>SOFR3mo_PX[[#This Row],[Column1938]]</f>
        <v>#N/A N/A</v>
      </c>
      <c r="BVO34" t="str">
        <f>SOFR3mo_PX[[#This Row],[Column1939]]</f>
        <v>#N/A N/A</v>
      </c>
      <c r="BVP34" t="str">
        <f>SOFR3mo_PX[[#This Row],[Column1940]]</f>
        <v>#N/A N/A</v>
      </c>
      <c r="BVQ34" t="str">
        <f>SOFR3mo_PX[[#This Row],[Column1941]]</f>
        <v>#N/A N/A</v>
      </c>
      <c r="BVR34" t="str">
        <f>SOFR3mo_PX[[#This Row],[Column1942]]</f>
        <v>#N/A N/A</v>
      </c>
      <c r="BVS34" t="str">
        <f>SOFR3mo_PX[[#This Row],[Column1943]]</f>
        <v>#N/A N/A</v>
      </c>
      <c r="BVT34" t="str">
        <f>SOFR3mo_PX[[#This Row],[Column1944]]</f>
        <v>#N/A N/A</v>
      </c>
      <c r="BVU34" t="str">
        <f>SOFR3mo_PX[[#This Row],[Column1945]]</f>
        <v>#N/A N/A</v>
      </c>
      <c r="BVV34" t="str">
        <f>SOFR3mo_PX[[#This Row],[Column1946]]</f>
        <v>#N/A N/A</v>
      </c>
      <c r="BVW34" t="str">
        <f>SOFR3mo_PX[[#This Row],[Column1947]]</f>
        <v>#N/A N/A</v>
      </c>
      <c r="BVX34" t="str">
        <f>SOFR3mo_PX[[#This Row],[Column1948]]</f>
        <v>#N/A N/A</v>
      </c>
      <c r="BVY34" t="str">
        <f>SOFR3mo_PX[[#This Row],[Column1949]]</f>
        <v>#N/A N/A</v>
      </c>
      <c r="BVZ34" t="str">
        <f>SOFR3mo_PX[[#This Row],[Column1950]]</f>
        <v>#N/A N/A</v>
      </c>
      <c r="BWA34" t="str">
        <f>SOFR3mo_PX[[#This Row],[Column1951]]</f>
        <v>#N/A N/A</v>
      </c>
      <c r="BWB34" t="str">
        <f>SOFR3mo_PX[[#This Row],[Column1952]]</f>
        <v>#N/A N/A</v>
      </c>
      <c r="BWC34" t="str">
        <f>SOFR3mo_PX[[#This Row],[Column1953]]</f>
        <v>#N/A N/A</v>
      </c>
      <c r="BWD34" t="str">
        <f>SOFR3mo_PX[[#This Row],[Column1954]]</f>
        <v>#N/A N/A</v>
      </c>
    </row>
    <row r="35" spans="1:1954" x14ac:dyDescent="0.25">
      <c r="A35" t="str">
        <f>SOFR3mo_PX[[#This Row],[Column1]]</f>
        <v>SFR34 Comdty</v>
      </c>
      <c r="B35">
        <f>IF(rtd!B33&lt;&gt;"",rtd!B33,SOFR3mo_PX[[#This Row],[Column2]])</f>
        <v>95.52</v>
      </c>
      <c r="C35">
        <f>SOFR3mo_PX[[#This Row],[Column3]]</f>
        <v>95.52</v>
      </c>
      <c r="D35">
        <f>SOFR3mo_PX[[#This Row],[Column4]]</f>
        <v>95.52</v>
      </c>
      <c r="E35">
        <f>SOFR3mo_PX[[#This Row],[Column5]]</f>
        <v>95.564999999999998</v>
      </c>
      <c r="F35">
        <f>SOFR3mo_PX[[#This Row],[Column6]]</f>
        <v>95.51</v>
      </c>
      <c r="G35">
        <f>SOFR3mo_PX[[#This Row],[Column7]]</f>
        <v>95.56</v>
      </c>
      <c r="H35">
        <f>SOFR3mo_PX[[#This Row],[Column8]]</f>
        <v>95.61</v>
      </c>
      <c r="I35">
        <f>SOFR3mo_PX[[#This Row],[Column9]]</f>
        <v>95.55</v>
      </c>
      <c r="J35">
        <f>SOFR3mo_PX[[#This Row],[Column10]]</f>
        <v>95.5</v>
      </c>
      <c r="K35">
        <f>SOFR3mo_PX[[#This Row],[Column11]]</f>
        <v>95.484999999999999</v>
      </c>
      <c r="L35">
        <f>SOFR3mo_PX[[#This Row],[Column12]]</f>
        <v>95.48</v>
      </c>
      <c r="M35">
        <f>SOFR3mo_PX[[#This Row],[Column13]]</f>
        <v>95.58</v>
      </c>
      <c r="N35">
        <f>SOFR3mo_PX[[#This Row],[Column14]]</f>
        <v>95.605000000000004</v>
      </c>
      <c r="O35">
        <f>SOFR3mo_PX[[#This Row],[Column15]]</f>
        <v>95.515000000000001</v>
      </c>
      <c r="P35">
        <f>SOFR3mo_PX[[#This Row],[Column16]]</f>
        <v>95.51</v>
      </c>
      <c r="Q35">
        <f>SOFR3mo_PX[[#This Row],[Column17]]</f>
        <v>95.57</v>
      </c>
      <c r="R35">
        <f>SOFR3mo_PX[[#This Row],[Column18]]</f>
        <v>95.55</v>
      </c>
      <c r="S35">
        <f>SOFR3mo_PX[[#This Row],[Column19]]</f>
        <v>95.52</v>
      </c>
      <c r="T35">
        <f>SOFR3mo_PX[[#This Row],[Column20]]</f>
        <v>95.57</v>
      </c>
      <c r="U35">
        <f>SOFR3mo_PX[[#This Row],[Column21]]</f>
        <v>95.484999999999999</v>
      </c>
      <c r="V35">
        <f>SOFR3mo_PX[[#This Row],[Column22]]</f>
        <v>95.484999999999999</v>
      </c>
      <c r="W35">
        <f>SOFR3mo_PX[[#This Row],[Column23]]</f>
        <v>95.41</v>
      </c>
      <c r="X35">
        <f>SOFR3mo_PX[[#This Row],[Column24]]</f>
        <v>95.35</v>
      </c>
      <c r="Y35">
        <f>SOFR3mo_PX[[#This Row],[Column25]]</f>
        <v>95.454999999999998</v>
      </c>
      <c r="Z35">
        <f>SOFR3mo_PX[[#This Row],[Column26]]</f>
        <v>95.465000000000003</v>
      </c>
      <c r="AA35">
        <f>SOFR3mo_PX[[#This Row],[Column27]]</f>
        <v>95.504999999999995</v>
      </c>
      <c r="AB35">
        <f>SOFR3mo_PX[[#This Row],[Column28]]</f>
        <v>95.484999999999999</v>
      </c>
      <c r="AC35">
        <f>SOFR3mo_PX[[#This Row],[Column29]]</f>
        <v>95.415000000000006</v>
      </c>
      <c r="AD35">
        <f>SOFR3mo_PX[[#This Row],[Column30]]</f>
        <v>95.45</v>
      </c>
      <c r="AE35">
        <f>SOFR3mo_PX[[#This Row],[Column31]]</f>
        <v>95.5</v>
      </c>
      <c r="AF35">
        <f>SOFR3mo_PX[[#This Row],[Column32]]</f>
        <v>95.555000000000007</v>
      </c>
      <c r="AG35">
        <f>SOFR3mo_PX[[#This Row],[Column33]]</f>
        <v>95.555000000000007</v>
      </c>
      <c r="AH35">
        <f>SOFR3mo_PX[[#This Row],[Column34]]</f>
        <v>95.65</v>
      </c>
      <c r="AI35">
        <f>SOFR3mo_PX[[#This Row],[Column35]]</f>
        <v>95.6</v>
      </c>
      <c r="AJ35">
        <f>SOFR3mo_PX[[#This Row],[Column36]]</f>
        <v>95.594999999999999</v>
      </c>
      <c r="AK35">
        <f>SOFR3mo_PX[[#This Row],[Column37]]</f>
        <v>95.63</v>
      </c>
      <c r="AL35">
        <f>SOFR3mo_PX[[#This Row],[Column38]]</f>
        <v>95.674999999999997</v>
      </c>
      <c r="AM35">
        <f>SOFR3mo_PX[[#This Row],[Column39]]</f>
        <v>95.724999999999994</v>
      </c>
      <c r="AN35">
        <f>SOFR3mo_PX[[#This Row],[Column40]]</f>
        <v>95.7</v>
      </c>
      <c r="AO35">
        <f>SOFR3mo_PX[[#This Row],[Column41]]</f>
        <v>95.64</v>
      </c>
      <c r="AP35">
        <f>SOFR3mo_PX[[#This Row],[Column42]]</f>
        <v>95.59</v>
      </c>
      <c r="AQ35">
        <f>SOFR3mo_PX[[#This Row],[Column43]]</f>
        <v>95.53</v>
      </c>
      <c r="AR35">
        <f>SOFR3mo_PX[[#This Row],[Column44]]</f>
        <v>95.46</v>
      </c>
      <c r="AS35">
        <f>SOFR3mo_PX[[#This Row],[Column45]]</f>
        <v>95.43</v>
      </c>
      <c r="AT35">
        <f>SOFR3mo_PX[[#This Row],[Column46]]</f>
        <v>95.38</v>
      </c>
      <c r="AU35">
        <f>SOFR3mo_PX[[#This Row],[Column47]]</f>
        <v>95.57</v>
      </c>
      <c r="AV35">
        <f>SOFR3mo_PX[[#This Row],[Column48]]</f>
        <v>95.57</v>
      </c>
      <c r="AW35">
        <f>SOFR3mo_PX[[#This Row],[Column49]]</f>
        <v>95.67</v>
      </c>
      <c r="AX35">
        <f>SOFR3mo_PX[[#This Row],[Column50]]</f>
        <v>95.644999999999996</v>
      </c>
      <c r="AY35">
        <f>SOFR3mo_PX[[#This Row],[Column51]]</f>
        <v>95.63</v>
      </c>
      <c r="AZ35">
        <f>SOFR3mo_PX[[#This Row],[Column52]]</f>
        <v>95.525000000000006</v>
      </c>
      <c r="BA35">
        <f>SOFR3mo_PX[[#This Row],[Column53]]</f>
        <v>95.674999999999997</v>
      </c>
      <c r="BB35">
        <f>SOFR3mo_PX[[#This Row],[Column54]]</f>
        <v>95.644999999999996</v>
      </c>
      <c r="BC35">
        <f>SOFR3mo_PX[[#This Row],[Column55]]</f>
        <v>95.81</v>
      </c>
      <c r="BD35">
        <f>SOFR3mo_PX[[#This Row],[Column56]]</f>
        <v>95.9</v>
      </c>
      <c r="BE35">
        <f>SOFR3mo_PX[[#This Row],[Column57]]</f>
        <v>96.08</v>
      </c>
      <c r="BF35">
        <f>SOFR3mo_PX[[#This Row],[Column58]]</f>
        <v>96</v>
      </c>
      <c r="BG35">
        <f>SOFR3mo_PX[[#This Row],[Column59]]</f>
        <v>95.86</v>
      </c>
      <c r="BH35">
        <f>SOFR3mo_PX[[#This Row],[Column60]]</f>
        <v>95.92</v>
      </c>
      <c r="BI35">
        <f>SOFR3mo_PX[[#This Row],[Column61]]</f>
        <v>95.814999999999998</v>
      </c>
      <c r="BJ35">
        <f>SOFR3mo_PX[[#This Row],[Column62]]</f>
        <v>95.784999999999997</v>
      </c>
      <c r="BK35">
        <f>SOFR3mo_PX[[#This Row],[Column63]]</f>
        <v>95.67</v>
      </c>
      <c r="BL35">
        <f>SOFR3mo_PX[[#This Row],[Column64]]</f>
        <v>95.754999999999995</v>
      </c>
      <c r="BM35">
        <f>SOFR3mo_PX[[#This Row],[Column65]]</f>
        <v>95.784999999999997</v>
      </c>
      <c r="BN35">
        <f>SOFR3mo_PX[[#This Row],[Column66]]</f>
        <v>95.76</v>
      </c>
      <c r="BO35">
        <f>SOFR3mo_PX[[#This Row],[Column67]]</f>
        <v>95.84</v>
      </c>
      <c r="BP35">
        <f>SOFR3mo_PX[[#This Row],[Column68]]</f>
        <v>95.855000000000004</v>
      </c>
      <c r="BQ35">
        <f>SOFR3mo_PX[[#This Row],[Column69]]</f>
        <v>95.814999999999998</v>
      </c>
      <c r="BR35">
        <f>SOFR3mo_PX[[#This Row],[Column70]]</f>
        <v>95.814999999999998</v>
      </c>
      <c r="BS35">
        <f>SOFR3mo_PX[[#This Row],[Column71]]</f>
        <v>95.78</v>
      </c>
      <c r="BT35">
        <f>SOFR3mo_PX[[#This Row],[Column72]]</f>
        <v>95.754999999999995</v>
      </c>
      <c r="BU35">
        <f>SOFR3mo_PX[[#This Row],[Column73]]</f>
        <v>95.83</v>
      </c>
      <c r="BV35">
        <f>SOFR3mo_PX[[#This Row],[Column74]]</f>
        <v>95.8</v>
      </c>
      <c r="BW35">
        <f>SOFR3mo_PX[[#This Row],[Column75]]</f>
        <v>95.83</v>
      </c>
      <c r="BX35">
        <f>SOFR3mo_PX[[#This Row],[Column76]]</f>
        <v>95.924999999999997</v>
      </c>
      <c r="BY35">
        <f>SOFR3mo_PX[[#This Row],[Column77]]</f>
        <v>95.795000000000002</v>
      </c>
      <c r="BZ35">
        <f>SOFR3mo_PX[[#This Row],[Column78]]</f>
        <v>95.82</v>
      </c>
      <c r="CA35">
        <f>SOFR3mo_PX[[#This Row],[Column79]]</f>
        <v>95.844999999999999</v>
      </c>
      <c r="CB35">
        <f>SOFR3mo_PX[[#This Row],[Column80]]</f>
        <v>95.905000000000001</v>
      </c>
      <c r="CC35">
        <f>SOFR3mo_PX[[#This Row],[Column81]]</f>
        <v>95.95</v>
      </c>
      <c r="CD35">
        <f>SOFR3mo_PX[[#This Row],[Column82]]</f>
        <v>95.89</v>
      </c>
      <c r="CE35">
        <f>SOFR3mo_PX[[#This Row],[Column83]]</f>
        <v>95.83</v>
      </c>
      <c r="CF35">
        <f>SOFR3mo_PX[[#This Row],[Column84]]</f>
        <v>95.875</v>
      </c>
      <c r="CG35">
        <f>SOFR3mo_PX[[#This Row],[Column85]]</f>
        <v>95.805000000000007</v>
      </c>
      <c r="CH35">
        <f>SOFR3mo_PX[[#This Row],[Column86]]</f>
        <v>95.67</v>
      </c>
      <c r="CI35">
        <f>SOFR3mo_PX[[#This Row],[Column87]]</f>
        <v>95.644999999999996</v>
      </c>
      <c r="CJ35">
        <f>SOFR3mo_PX[[#This Row],[Column88]]</f>
        <v>95.564999999999998</v>
      </c>
      <c r="CK35">
        <f>SOFR3mo_PX[[#This Row],[Column89]]</f>
        <v>95.515000000000001</v>
      </c>
      <c r="CL35">
        <f>SOFR3mo_PX[[#This Row],[Column90]]</f>
        <v>95.515000000000001</v>
      </c>
      <c r="CM35">
        <f>SOFR3mo_PX[[#This Row],[Column91]]</f>
        <v>95.59</v>
      </c>
      <c r="CN35">
        <f>SOFR3mo_PX[[#This Row],[Column92]]</f>
        <v>95.59</v>
      </c>
      <c r="CO35">
        <f>SOFR3mo_PX[[#This Row],[Column93]]</f>
        <v>95.534999999999997</v>
      </c>
      <c r="CP35">
        <f>SOFR3mo_PX[[#This Row],[Column94]]</f>
        <v>95.424999999999997</v>
      </c>
      <c r="CQ35">
        <f>SOFR3mo_PX[[#This Row],[Column95]]</f>
        <v>95.564999999999998</v>
      </c>
      <c r="CR35">
        <f>SOFR3mo_PX[[#This Row],[Column96]]</f>
        <v>95.614999999999995</v>
      </c>
      <c r="CS35">
        <f>SOFR3mo_PX[[#This Row],[Column97]]</f>
        <v>95.614999999999995</v>
      </c>
      <c r="CT35">
        <f>SOFR3mo_PX[[#This Row],[Column98]]</f>
        <v>95.674999999999997</v>
      </c>
      <c r="CU35">
        <f>SOFR3mo_PX[[#This Row],[Column99]]</f>
        <v>95.724999999999994</v>
      </c>
      <c r="CV35">
        <f>SOFR3mo_PX[[#This Row],[Column100]]</f>
        <v>95.614999999999995</v>
      </c>
      <c r="CW35">
        <f>SOFR3mo_PX[[#This Row],[Column101]]</f>
        <v>95.59</v>
      </c>
      <c r="CX35">
        <f>SOFR3mo_PX[[#This Row],[Column102]]</f>
        <v>95.545000000000002</v>
      </c>
      <c r="CY35">
        <f>SOFR3mo_PX[[#This Row],[Column103]]</f>
        <v>95.614999999999995</v>
      </c>
      <c r="CZ35">
        <f>SOFR3mo_PX[[#This Row],[Column104]]</f>
        <v>95.57</v>
      </c>
      <c r="DA35">
        <f>SOFR3mo_PX[[#This Row],[Column105]]</f>
        <v>95.58</v>
      </c>
      <c r="DB35">
        <f>SOFR3mo_PX[[#This Row],[Column106]]</f>
        <v>95.605000000000004</v>
      </c>
      <c r="DC35">
        <f>SOFR3mo_PX[[#This Row],[Column107]]</f>
        <v>95.495000000000005</v>
      </c>
      <c r="DD35">
        <f>SOFR3mo_PX[[#This Row],[Column108]]</f>
        <v>95.495000000000005</v>
      </c>
      <c r="DE35">
        <f>SOFR3mo_PX[[#This Row],[Column109]]</f>
        <v>95.55</v>
      </c>
      <c r="DF35">
        <f>SOFR3mo_PX[[#This Row],[Column110]]</f>
        <v>95.58</v>
      </c>
      <c r="DG35">
        <f>SOFR3mo_PX[[#This Row],[Column111]]</f>
        <v>95.534999999999997</v>
      </c>
      <c r="DH35">
        <f>SOFR3mo_PX[[#This Row],[Column112]]</f>
        <v>95.534999999999997</v>
      </c>
      <c r="DI35">
        <f>SOFR3mo_PX[[#This Row],[Column113]]</f>
        <v>95.534999999999997</v>
      </c>
      <c r="DJ35">
        <f>SOFR3mo_PX[[#This Row],[Column114]]</f>
        <v>95.495000000000005</v>
      </c>
      <c r="DK35">
        <f>SOFR3mo_PX[[#This Row],[Column115]]</f>
        <v>95.35</v>
      </c>
      <c r="DL35">
        <f>SOFR3mo_PX[[#This Row],[Column116]]</f>
        <v>95.33</v>
      </c>
      <c r="DM35">
        <f>SOFR3mo_PX[[#This Row],[Column117]]</f>
        <v>95.37</v>
      </c>
      <c r="DN35">
        <f>SOFR3mo_PX[[#This Row],[Column118]]</f>
        <v>95.43</v>
      </c>
      <c r="DO35">
        <f>SOFR3mo_PX[[#This Row],[Column119]]</f>
        <v>95.415000000000006</v>
      </c>
      <c r="DP35">
        <f>SOFR3mo_PX[[#This Row],[Column120]]</f>
        <v>95.424999999999997</v>
      </c>
      <c r="DQ35">
        <f>SOFR3mo_PX[[#This Row],[Column121]]</f>
        <v>95.504999999999995</v>
      </c>
      <c r="DR35">
        <f>SOFR3mo_PX[[#This Row],[Column122]]</f>
        <v>95.56</v>
      </c>
      <c r="DS35">
        <f>SOFR3mo_PX[[#This Row],[Column123]]</f>
        <v>95.57</v>
      </c>
      <c r="DT35">
        <f>SOFR3mo_PX[[#This Row],[Column124]]</f>
        <v>95.564999999999998</v>
      </c>
      <c r="DU35">
        <f>SOFR3mo_PX[[#This Row],[Column125]]</f>
        <v>95.564999999999998</v>
      </c>
      <c r="DV35">
        <f>SOFR3mo_PX[[#This Row],[Column126]]</f>
        <v>95.605000000000004</v>
      </c>
      <c r="DW35">
        <f>SOFR3mo_PX[[#This Row],[Column127]]</f>
        <v>95.525000000000006</v>
      </c>
      <c r="DX35">
        <f>SOFR3mo_PX[[#This Row],[Column128]]</f>
        <v>95.584999999999994</v>
      </c>
      <c r="DY35">
        <f>SOFR3mo_PX[[#This Row],[Column129]]</f>
        <v>95.57</v>
      </c>
      <c r="DZ35">
        <f>SOFR3mo_PX[[#This Row],[Column130]]</f>
        <v>95.57</v>
      </c>
      <c r="EA35">
        <f>SOFR3mo_PX[[#This Row],[Column131]]</f>
        <v>95.545000000000002</v>
      </c>
      <c r="EB35">
        <f>SOFR3mo_PX[[#This Row],[Column132]]</f>
        <v>95.644999999999996</v>
      </c>
      <c r="EC35">
        <f>SOFR3mo_PX[[#This Row],[Column133]]</f>
        <v>95.575000000000003</v>
      </c>
      <c r="ED35">
        <f>SOFR3mo_PX[[#This Row],[Column134]]</f>
        <v>95.704999999999998</v>
      </c>
      <c r="EE35">
        <f>SOFR3mo_PX[[#This Row],[Column135]]</f>
        <v>95.814999999999998</v>
      </c>
      <c r="EF35">
        <f>SOFR3mo_PX[[#This Row],[Column136]]</f>
        <v>95.8</v>
      </c>
      <c r="EG35">
        <f>SOFR3mo_PX[[#This Row],[Column137]]</f>
        <v>95.805000000000007</v>
      </c>
      <c r="EH35">
        <f>SOFR3mo_PX[[#This Row],[Column138]]</f>
        <v>95.89</v>
      </c>
      <c r="EI35">
        <f>SOFR3mo_PX[[#This Row],[Column139]]</f>
        <v>95.954999999999998</v>
      </c>
      <c r="EJ35">
        <f>SOFR3mo_PX[[#This Row],[Column140]]</f>
        <v>96.015000000000001</v>
      </c>
      <c r="EK35">
        <f>SOFR3mo_PX[[#This Row],[Column141]]</f>
        <v>96.04</v>
      </c>
      <c r="EL35">
        <f>SOFR3mo_PX[[#This Row],[Column142]]</f>
        <v>96.08</v>
      </c>
      <c r="EM35">
        <f>SOFR3mo_PX[[#This Row],[Column143]]</f>
        <v>96.045000000000002</v>
      </c>
      <c r="EN35">
        <f>SOFR3mo_PX[[#This Row],[Column144]]</f>
        <v>96.03</v>
      </c>
      <c r="EO35">
        <f>SOFR3mo_PX[[#This Row],[Column145]]</f>
        <v>96.004999999999995</v>
      </c>
      <c r="EP35">
        <f>SOFR3mo_PX[[#This Row],[Column146]]</f>
        <v>96.04</v>
      </c>
      <c r="EQ35">
        <f>SOFR3mo_PX[[#This Row],[Column147]]</f>
        <v>96.04</v>
      </c>
      <c r="ER35">
        <f>SOFR3mo_PX[[#This Row],[Column148]]</f>
        <v>96.004999999999995</v>
      </c>
      <c r="ES35">
        <f>SOFR3mo_PX[[#This Row],[Column149]]</f>
        <v>96.004999999999995</v>
      </c>
      <c r="ET35">
        <f>SOFR3mo_PX[[#This Row],[Column150]]</f>
        <v>95.94</v>
      </c>
      <c r="EU35">
        <f>SOFR3mo_PX[[#This Row],[Column151]]</f>
        <v>96.004999999999995</v>
      </c>
      <c r="EV35">
        <f>SOFR3mo_PX[[#This Row],[Column152]]</f>
        <v>95.855000000000004</v>
      </c>
      <c r="EW35">
        <f>SOFR3mo_PX[[#This Row],[Column153]]</f>
        <v>95.82</v>
      </c>
      <c r="EX35">
        <f>SOFR3mo_PX[[#This Row],[Column154]]</f>
        <v>95.814999999999998</v>
      </c>
      <c r="EY35">
        <f>SOFR3mo_PX[[#This Row],[Column155]]</f>
        <v>95.844999999999999</v>
      </c>
      <c r="EZ35">
        <f>SOFR3mo_PX[[#This Row],[Column156]]</f>
        <v>95.81</v>
      </c>
      <c r="FA35">
        <f>SOFR3mo_PX[[#This Row],[Column157]]</f>
        <v>95.8</v>
      </c>
      <c r="FB35">
        <f>SOFR3mo_PX[[#This Row],[Column158]]</f>
        <v>95.805000000000007</v>
      </c>
      <c r="FC35">
        <f>SOFR3mo_PX[[#This Row],[Column159]]</f>
        <v>95.77</v>
      </c>
      <c r="FD35">
        <f>SOFR3mo_PX[[#This Row],[Column160]]</f>
        <v>95.795000000000002</v>
      </c>
      <c r="FE35">
        <f>SOFR3mo_PX[[#This Row],[Column161]]</f>
        <v>95.855000000000004</v>
      </c>
      <c r="FF35">
        <f>SOFR3mo_PX[[#This Row],[Column162]]</f>
        <v>95.905000000000001</v>
      </c>
      <c r="FG35">
        <f>SOFR3mo_PX[[#This Row],[Column163]]</f>
        <v>95.86</v>
      </c>
      <c r="FH35">
        <f>SOFR3mo_PX[[#This Row],[Column164]]</f>
        <v>95.754999999999995</v>
      </c>
      <c r="FI35">
        <f>SOFR3mo_PX[[#This Row],[Column165]]</f>
        <v>95.924999999999997</v>
      </c>
      <c r="FJ35">
        <f>SOFR3mo_PX[[#This Row],[Column166]]</f>
        <v>95.9</v>
      </c>
      <c r="FK35">
        <f>SOFR3mo_PX[[#This Row],[Column167]]</f>
        <v>95.834999999999994</v>
      </c>
      <c r="FL35">
        <f>SOFR3mo_PX[[#This Row],[Column168]]</f>
        <v>95.894999999999996</v>
      </c>
      <c r="FM35">
        <f>SOFR3mo_PX[[#This Row],[Column169]]</f>
        <v>95.905000000000001</v>
      </c>
      <c r="FN35">
        <f>SOFR3mo_PX[[#This Row],[Column170]]</f>
        <v>95.875</v>
      </c>
      <c r="FO35">
        <f>SOFR3mo_PX[[#This Row],[Column171]]</f>
        <v>95.87</v>
      </c>
      <c r="FP35">
        <f>SOFR3mo_PX[[#This Row],[Column172]]</f>
        <v>95.905000000000001</v>
      </c>
      <c r="FQ35">
        <f>SOFR3mo_PX[[#This Row],[Column173]]</f>
        <v>95.93</v>
      </c>
      <c r="FR35">
        <f>SOFR3mo_PX[[#This Row],[Column174]]</f>
        <v>95.88</v>
      </c>
      <c r="FS35">
        <f>SOFR3mo_PX[[#This Row],[Column175]]</f>
        <v>95.91</v>
      </c>
      <c r="FT35">
        <f>SOFR3mo_PX[[#This Row],[Column176]]</f>
        <v>95.935000000000002</v>
      </c>
      <c r="FU35">
        <f>SOFR3mo_PX[[#This Row],[Column177]]</f>
        <v>96.05</v>
      </c>
      <c r="FV35">
        <f>SOFR3mo_PX[[#This Row],[Column178]]</f>
        <v>96.034999999999997</v>
      </c>
      <c r="FW35">
        <f>SOFR3mo_PX[[#This Row],[Column179]]</f>
        <v>96.135000000000005</v>
      </c>
      <c r="FX35">
        <f>SOFR3mo_PX[[#This Row],[Column180]]</f>
        <v>96.114999999999995</v>
      </c>
      <c r="FY35">
        <f>SOFR3mo_PX[[#This Row],[Column181]]</f>
        <v>96.02</v>
      </c>
      <c r="FZ35">
        <f>SOFR3mo_PX[[#This Row],[Column182]]</f>
        <v>96.06</v>
      </c>
      <c r="GA35">
        <f>SOFR3mo_PX[[#This Row],[Column183]]</f>
        <v>96.05</v>
      </c>
      <c r="GB35">
        <f>SOFR3mo_PX[[#This Row],[Column184]]</f>
        <v>96.094999999999999</v>
      </c>
      <c r="GC35">
        <f>SOFR3mo_PX[[#This Row],[Column185]]</f>
        <v>96.12</v>
      </c>
      <c r="GD35">
        <f>SOFR3mo_PX[[#This Row],[Column186]]</f>
        <v>96.135000000000005</v>
      </c>
      <c r="GE35">
        <f>SOFR3mo_PX[[#This Row],[Column187]]</f>
        <v>96.17</v>
      </c>
      <c r="GF35">
        <f>SOFR3mo_PX[[#This Row],[Column188]]</f>
        <v>96.25</v>
      </c>
      <c r="GG35">
        <f>SOFR3mo_PX[[#This Row],[Column189]]</f>
        <v>96.32</v>
      </c>
      <c r="GH35">
        <f>SOFR3mo_PX[[#This Row],[Column190]]</f>
        <v>96.364999999999995</v>
      </c>
      <c r="GI35">
        <f>SOFR3mo_PX[[#This Row],[Column191]]</f>
        <v>96.295000000000002</v>
      </c>
      <c r="GJ35">
        <f>SOFR3mo_PX[[#This Row],[Column192]]</f>
        <v>96.334999999999994</v>
      </c>
      <c r="GK35">
        <f>SOFR3mo_PX[[#This Row],[Column193]]</f>
        <v>96.305000000000007</v>
      </c>
      <c r="GL35">
        <f>SOFR3mo_PX[[#This Row],[Column194]]</f>
        <v>96.284999999999997</v>
      </c>
      <c r="GM35">
        <f>SOFR3mo_PX[[#This Row],[Column195]]</f>
        <v>96.325000000000003</v>
      </c>
      <c r="GN35">
        <f>SOFR3mo_PX[[#This Row],[Column196]]</f>
        <v>96.33</v>
      </c>
      <c r="GO35">
        <f>SOFR3mo_PX[[#This Row],[Column197]]</f>
        <v>96.344999999999999</v>
      </c>
      <c r="GP35">
        <f>SOFR3mo_PX[[#This Row],[Column198]]</f>
        <v>96.325000000000003</v>
      </c>
      <c r="GQ35">
        <f>SOFR3mo_PX[[#This Row],[Column199]]</f>
        <v>96.4</v>
      </c>
      <c r="GR35">
        <f>SOFR3mo_PX[[#This Row],[Column200]]</f>
        <v>96.484999999999999</v>
      </c>
      <c r="GS35">
        <f>SOFR3mo_PX[[#This Row],[Column201]]</f>
        <v>96.474999999999994</v>
      </c>
      <c r="GT35">
        <f>SOFR3mo_PX[[#This Row],[Column202]]</f>
        <v>96.454999999999998</v>
      </c>
      <c r="GU35">
        <f>SOFR3mo_PX[[#This Row],[Column203]]</f>
        <v>96.45</v>
      </c>
      <c r="GV35">
        <f>SOFR3mo_PX[[#This Row],[Column204]]</f>
        <v>96.48</v>
      </c>
      <c r="GW35">
        <f>SOFR3mo_PX[[#This Row],[Column205]]</f>
        <v>96.484999999999999</v>
      </c>
      <c r="GX35">
        <f>SOFR3mo_PX[[#This Row],[Column206]]</f>
        <v>96.43</v>
      </c>
      <c r="GY35">
        <f>SOFR3mo_PX[[#This Row],[Column207]]</f>
        <v>96.405000000000001</v>
      </c>
      <c r="GZ35">
        <f>SOFR3mo_PX[[#This Row],[Column208]]</f>
        <v>96.42</v>
      </c>
      <c r="HA35">
        <f>SOFR3mo_PX[[#This Row],[Column209]]</f>
        <v>96.385000000000005</v>
      </c>
      <c r="HB35">
        <f>SOFR3mo_PX[[#This Row],[Column210]]</f>
        <v>96.334999999999994</v>
      </c>
      <c r="HC35">
        <f>SOFR3mo_PX[[#This Row],[Column211]]</f>
        <v>96.254999999999995</v>
      </c>
      <c r="HD35">
        <f>SOFR3mo_PX[[#This Row],[Column212]]</f>
        <v>96.254999999999995</v>
      </c>
      <c r="HE35">
        <f>SOFR3mo_PX[[#This Row],[Column213]]</f>
        <v>96.3</v>
      </c>
      <c r="HF35">
        <f>SOFR3mo_PX[[#This Row],[Column214]]</f>
        <v>96.314999999999998</v>
      </c>
      <c r="HG35">
        <f>SOFR3mo_PX[[#This Row],[Column215]]</f>
        <v>96.33</v>
      </c>
      <c r="HH35">
        <f>SOFR3mo_PX[[#This Row],[Column216]]</f>
        <v>96.35</v>
      </c>
      <c r="HI35">
        <f>SOFR3mo_PX[[#This Row],[Column217]]</f>
        <v>96.34</v>
      </c>
      <c r="HJ35">
        <f>SOFR3mo_PX[[#This Row],[Column218]]</f>
        <v>96.28</v>
      </c>
      <c r="HK35">
        <f>SOFR3mo_PX[[#This Row],[Column219]]</f>
        <v>96.355000000000004</v>
      </c>
      <c r="HL35">
        <f>SOFR3mo_PX[[#This Row],[Column220]]</f>
        <v>96.33</v>
      </c>
      <c r="HM35">
        <f>SOFR3mo_PX[[#This Row],[Column221]]</f>
        <v>96.28</v>
      </c>
      <c r="HN35">
        <f>SOFR3mo_PX[[#This Row],[Column222]]</f>
        <v>96.24</v>
      </c>
      <c r="HO35">
        <f>SOFR3mo_PX[[#This Row],[Column223]]</f>
        <v>96.2</v>
      </c>
      <c r="HP35">
        <f>SOFR3mo_PX[[#This Row],[Column224]]</f>
        <v>96.27</v>
      </c>
      <c r="HQ35">
        <f>SOFR3mo_PX[[#This Row],[Column225]]</f>
        <v>96.234999999999999</v>
      </c>
      <c r="HR35">
        <f>SOFR3mo_PX[[#This Row],[Column226]]</f>
        <v>96.204999999999998</v>
      </c>
      <c r="HS35">
        <f>SOFR3mo_PX[[#This Row],[Column227]]</f>
        <v>96.165000000000006</v>
      </c>
      <c r="HT35">
        <f>SOFR3mo_PX[[#This Row],[Column228]]</f>
        <v>96.084999999999994</v>
      </c>
      <c r="HU35">
        <f>SOFR3mo_PX[[#This Row],[Column229]]</f>
        <v>96.094999999999999</v>
      </c>
      <c r="HV35">
        <f>SOFR3mo_PX[[#This Row],[Column230]]</f>
        <v>96.19</v>
      </c>
      <c r="HW35">
        <f>SOFR3mo_PX[[#This Row],[Column231]]</f>
        <v>96.29</v>
      </c>
      <c r="HX35">
        <f>SOFR3mo_PX[[#This Row],[Column232]]</f>
        <v>96.295000000000002</v>
      </c>
      <c r="HY35">
        <f>SOFR3mo_PX[[#This Row],[Column233]]</f>
        <v>96.17</v>
      </c>
      <c r="HZ35">
        <f>SOFR3mo_PX[[#This Row],[Column234]]</f>
        <v>96.07</v>
      </c>
      <c r="IA35">
        <f>SOFR3mo_PX[[#This Row],[Column235]]</f>
        <v>96.034999999999997</v>
      </c>
      <c r="IB35">
        <f>SOFR3mo_PX[[#This Row],[Column236]]</f>
        <v>96</v>
      </c>
      <c r="IC35">
        <f>SOFR3mo_PX[[#This Row],[Column237]]</f>
        <v>95.974999999999994</v>
      </c>
      <c r="ID35">
        <f>SOFR3mo_PX[[#This Row],[Column238]]</f>
        <v>95.935000000000002</v>
      </c>
      <c r="IE35">
        <f>SOFR3mo_PX[[#This Row],[Column239]]</f>
        <v>95.894999999999996</v>
      </c>
      <c r="IF35">
        <f>SOFR3mo_PX[[#This Row],[Column240]]</f>
        <v>95.99</v>
      </c>
      <c r="IG35">
        <f>SOFR3mo_PX[[#This Row],[Column241]]</f>
        <v>95.974999999999994</v>
      </c>
      <c r="IH35">
        <f>SOFR3mo_PX[[#This Row],[Column242]]</f>
        <v>95.984999999999999</v>
      </c>
      <c r="II35">
        <f>SOFR3mo_PX[[#This Row],[Column243]]</f>
        <v>96.034999999999997</v>
      </c>
      <c r="IJ35">
        <f>SOFR3mo_PX[[#This Row],[Column244]]</f>
        <v>96.09</v>
      </c>
      <c r="IK35">
        <f>SOFR3mo_PX[[#This Row],[Column245]]</f>
        <v>96.064999999999998</v>
      </c>
      <c r="IL35">
        <f>SOFR3mo_PX[[#This Row],[Column246]]</f>
        <v>95.99</v>
      </c>
      <c r="IM35">
        <f>SOFR3mo_PX[[#This Row],[Column247]]</f>
        <v>96.034999999999997</v>
      </c>
      <c r="IN35">
        <f>SOFR3mo_PX[[#This Row],[Column248]]</f>
        <v>96.055000000000007</v>
      </c>
      <c r="IO35">
        <f>SOFR3mo_PX[[#This Row],[Column249]]</f>
        <v>95.98</v>
      </c>
      <c r="IP35">
        <f>SOFR3mo_PX[[#This Row],[Column250]]</f>
        <v>95.95</v>
      </c>
      <c r="IQ35">
        <f>SOFR3mo_PX[[#This Row],[Column251]]</f>
        <v>95.99</v>
      </c>
      <c r="IR35">
        <f>SOFR3mo_PX[[#This Row],[Column252]]</f>
        <v>95.984999999999999</v>
      </c>
      <c r="IS35">
        <f>SOFR3mo_PX[[#This Row],[Column253]]</f>
        <v>95.93</v>
      </c>
      <c r="IT35">
        <f>SOFR3mo_PX[[#This Row],[Column254]]</f>
        <v>95.93</v>
      </c>
      <c r="IU35">
        <f>SOFR3mo_PX[[#This Row],[Column255]]</f>
        <v>95.825000000000003</v>
      </c>
      <c r="IV35">
        <f>SOFR3mo_PX[[#This Row],[Column256]]</f>
        <v>95.79</v>
      </c>
      <c r="IW35">
        <f>SOFR3mo_PX[[#This Row],[Column257]]</f>
        <v>95.95</v>
      </c>
      <c r="IX35">
        <f>SOFR3mo_PX[[#This Row],[Column258]]</f>
        <v>96.015000000000001</v>
      </c>
      <c r="IY35">
        <f>SOFR3mo_PX[[#This Row],[Column259]]</f>
        <v>95.984999999999999</v>
      </c>
      <c r="IZ35">
        <f>SOFR3mo_PX[[#This Row],[Column260]]</f>
        <v>96.075000000000003</v>
      </c>
      <c r="JA35">
        <f>SOFR3mo_PX[[#This Row],[Column261]]</f>
        <v>96.064999999999998</v>
      </c>
      <c r="JB35">
        <f>SOFR3mo_PX[[#This Row],[Column262]]</f>
        <v>96.045000000000002</v>
      </c>
      <c r="JC35">
        <f>SOFR3mo_PX[[#This Row],[Column263]]</f>
        <v>96.055000000000007</v>
      </c>
      <c r="JD35">
        <f>SOFR3mo_PX[[#This Row],[Column264]]</f>
        <v>96.094999999999999</v>
      </c>
      <c r="JE35">
        <f>SOFR3mo_PX[[#This Row],[Column265]]</f>
        <v>96.094999999999999</v>
      </c>
      <c r="JF35">
        <f>SOFR3mo_PX[[#This Row],[Column266]]</f>
        <v>96.034999999999997</v>
      </c>
      <c r="JG35">
        <f>SOFR3mo_PX[[#This Row],[Column267]]</f>
        <v>96.114999999999995</v>
      </c>
      <c r="JH35">
        <f>SOFR3mo_PX[[#This Row],[Column268]]</f>
        <v>96.05</v>
      </c>
      <c r="JI35">
        <f>SOFR3mo_PX[[#This Row],[Column269]]</f>
        <v>95.995000000000005</v>
      </c>
      <c r="JJ35">
        <f>SOFR3mo_PX[[#This Row],[Column270]]</f>
        <v>95.88</v>
      </c>
      <c r="JK35">
        <f>SOFR3mo_PX[[#This Row],[Column271]]</f>
        <v>95.8</v>
      </c>
      <c r="JL35">
        <f>SOFR3mo_PX[[#This Row],[Column272]]</f>
        <v>95.844999999999999</v>
      </c>
      <c r="JM35">
        <f>SOFR3mo_PX[[#This Row],[Column273]]</f>
        <v>95.995000000000005</v>
      </c>
      <c r="JN35">
        <f>SOFR3mo_PX[[#This Row],[Column274]]</f>
        <v>95.995000000000005</v>
      </c>
      <c r="JO35">
        <f>SOFR3mo_PX[[#This Row],[Column275]]</f>
        <v>95.96</v>
      </c>
      <c r="JP35">
        <f>SOFR3mo_PX[[#This Row],[Column276]]</f>
        <v>95.88</v>
      </c>
      <c r="JQ35">
        <f>SOFR3mo_PX[[#This Row],[Column277]]</f>
        <v>95.77</v>
      </c>
      <c r="JR35">
        <f>SOFR3mo_PX[[#This Row],[Column278]]</f>
        <v>95.745000000000005</v>
      </c>
      <c r="JS35">
        <f>SOFR3mo_PX[[#This Row],[Column279]]</f>
        <v>95.685000000000002</v>
      </c>
      <c r="JT35">
        <f>SOFR3mo_PX[[#This Row],[Column280]]</f>
        <v>95.79</v>
      </c>
      <c r="JU35">
        <f>SOFR3mo_PX[[#This Row],[Column281]]</f>
        <v>95.864999999999995</v>
      </c>
      <c r="JV35">
        <f>SOFR3mo_PX[[#This Row],[Column282]]</f>
        <v>95.864999999999995</v>
      </c>
      <c r="JW35">
        <f>SOFR3mo_PX[[#This Row],[Column283]]</f>
        <v>95.844999999999999</v>
      </c>
      <c r="JX35">
        <f>SOFR3mo_PX[[#This Row],[Column284]]</f>
        <v>95.844999999999999</v>
      </c>
      <c r="JY35">
        <f>SOFR3mo_PX[[#This Row],[Column285]]</f>
        <v>95.85</v>
      </c>
      <c r="JZ35">
        <f>SOFR3mo_PX[[#This Row],[Column286]]</f>
        <v>95.82</v>
      </c>
      <c r="KA35">
        <f>SOFR3mo_PX[[#This Row],[Column287]]</f>
        <v>95.84</v>
      </c>
      <c r="KB35">
        <f>SOFR3mo_PX[[#This Row],[Column288]]</f>
        <v>95.885000000000005</v>
      </c>
      <c r="KC35">
        <f>SOFR3mo_PX[[#This Row],[Column289]]</f>
        <v>95.89</v>
      </c>
      <c r="KD35">
        <f>SOFR3mo_PX[[#This Row],[Column290]]</f>
        <v>95.82</v>
      </c>
      <c r="KE35">
        <f>SOFR3mo_PX[[#This Row],[Column291]]</f>
        <v>95.784999999999997</v>
      </c>
      <c r="KF35">
        <f>SOFR3mo_PX[[#This Row],[Column292]]</f>
        <v>95.76</v>
      </c>
      <c r="KG35">
        <f>SOFR3mo_PX[[#This Row],[Column293]]</f>
        <v>95.814999999999998</v>
      </c>
      <c r="KH35">
        <f>SOFR3mo_PX[[#This Row],[Column294]]</f>
        <v>95.784999999999997</v>
      </c>
      <c r="KI35">
        <f>SOFR3mo_PX[[#This Row],[Column295]]</f>
        <v>95.825000000000003</v>
      </c>
      <c r="KJ35">
        <f>SOFR3mo_PX[[#This Row],[Column296]]</f>
        <v>95.78</v>
      </c>
      <c r="KK35">
        <f>SOFR3mo_PX[[#This Row],[Column297]]</f>
        <v>95.76</v>
      </c>
      <c r="KL35">
        <f>SOFR3mo_PX[[#This Row],[Column298]]</f>
        <v>95.685000000000002</v>
      </c>
      <c r="KM35">
        <f>SOFR3mo_PX[[#This Row],[Column299]]</f>
        <v>95.67</v>
      </c>
      <c r="KN35">
        <f>SOFR3mo_PX[[#This Row],[Column300]]</f>
        <v>95.605000000000004</v>
      </c>
      <c r="KO35">
        <f>SOFR3mo_PX[[#This Row],[Column301]]</f>
        <v>95.674999999999997</v>
      </c>
      <c r="KP35">
        <f>SOFR3mo_PX[[#This Row],[Column302]]</f>
        <v>95.594999999999999</v>
      </c>
      <c r="KQ35">
        <f>SOFR3mo_PX[[#This Row],[Column303]]</f>
        <v>95.555000000000007</v>
      </c>
      <c r="KR35">
        <f>SOFR3mo_PX[[#This Row],[Column304]]</f>
        <v>95.614999999999995</v>
      </c>
      <c r="KS35">
        <f>SOFR3mo_PX[[#This Row],[Column305]]</f>
        <v>95.69</v>
      </c>
      <c r="KT35">
        <f>SOFR3mo_PX[[#This Row],[Column306]]</f>
        <v>95.67</v>
      </c>
      <c r="KU35">
        <f>SOFR3mo_PX[[#This Row],[Column307]]</f>
        <v>95.685000000000002</v>
      </c>
      <c r="KV35">
        <f>SOFR3mo_PX[[#This Row],[Column308]]</f>
        <v>95.65</v>
      </c>
      <c r="KW35">
        <f>SOFR3mo_PX[[#This Row],[Column309]]</f>
        <v>95.71</v>
      </c>
      <c r="KX35">
        <f>SOFR3mo_PX[[#This Row],[Column310]]</f>
        <v>95.635000000000005</v>
      </c>
      <c r="KY35">
        <f>SOFR3mo_PX[[#This Row],[Column311]]</f>
        <v>95.67</v>
      </c>
      <c r="KZ35">
        <f>SOFR3mo_PX[[#This Row],[Column312]]</f>
        <v>95.81</v>
      </c>
      <c r="LA35">
        <f>SOFR3mo_PX[[#This Row],[Column313]]</f>
        <v>95.72</v>
      </c>
      <c r="LB35">
        <f>SOFR3mo_PX[[#This Row],[Column314]]</f>
        <v>95.75</v>
      </c>
      <c r="LC35">
        <f>SOFR3mo_PX[[#This Row],[Column315]]</f>
        <v>95.894999999999996</v>
      </c>
      <c r="LD35">
        <f>SOFR3mo_PX[[#This Row],[Column316]]</f>
        <v>95.834999999999994</v>
      </c>
      <c r="LE35">
        <f>SOFR3mo_PX[[#This Row],[Column317]]</f>
        <v>95.88</v>
      </c>
      <c r="LF35">
        <f>SOFR3mo_PX[[#This Row],[Column318]]</f>
        <v>95.93</v>
      </c>
      <c r="LG35">
        <f>SOFR3mo_PX[[#This Row],[Column319]]</f>
        <v>95.88</v>
      </c>
      <c r="LH35">
        <f>SOFR3mo_PX[[#This Row],[Column320]]</f>
        <v>95.87</v>
      </c>
      <c r="LI35">
        <f>SOFR3mo_PX[[#This Row],[Column321]]</f>
        <v>95.915000000000006</v>
      </c>
      <c r="LJ35">
        <f>SOFR3mo_PX[[#This Row],[Column322]]</f>
        <v>96.045000000000002</v>
      </c>
      <c r="LK35">
        <f>SOFR3mo_PX[[#This Row],[Column323]]</f>
        <v>96.045000000000002</v>
      </c>
      <c r="LL35">
        <f>SOFR3mo_PX[[#This Row],[Column324]]</f>
        <v>96.01</v>
      </c>
      <c r="LM35">
        <f>SOFR3mo_PX[[#This Row],[Column325]]</f>
        <v>95.974999999999994</v>
      </c>
      <c r="LN35">
        <f>SOFR3mo_PX[[#This Row],[Column326]]</f>
        <v>95.944999999999993</v>
      </c>
      <c r="LO35">
        <f>SOFR3mo_PX[[#This Row],[Column327]]</f>
        <v>95.98</v>
      </c>
      <c r="LP35">
        <f>SOFR3mo_PX[[#This Row],[Column328]]</f>
        <v>95.92</v>
      </c>
      <c r="LQ35">
        <f>SOFR3mo_PX[[#This Row],[Column329]]</f>
        <v>95.924999999999997</v>
      </c>
      <c r="LR35">
        <f>SOFR3mo_PX[[#This Row],[Column330]]</f>
        <v>95.935000000000002</v>
      </c>
      <c r="LS35">
        <f>SOFR3mo_PX[[#This Row],[Column331]]</f>
        <v>95.905000000000001</v>
      </c>
      <c r="LT35">
        <f>SOFR3mo_PX[[#This Row],[Column332]]</f>
        <v>95.944999999999993</v>
      </c>
      <c r="LU35">
        <f>SOFR3mo_PX[[#This Row],[Column333]]</f>
        <v>95.93</v>
      </c>
      <c r="LV35">
        <f>SOFR3mo_PX[[#This Row],[Column334]]</f>
        <v>96.04</v>
      </c>
      <c r="LW35">
        <f>SOFR3mo_PX[[#This Row],[Column335]]</f>
        <v>96.055000000000007</v>
      </c>
      <c r="LX35">
        <f>SOFR3mo_PX[[#This Row],[Column336]]</f>
        <v>96.105000000000004</v>
      </c>
      <c r="LY35">
        <f>SOFR3mo_PX[[#This Row],[Column337]]</f>
        <v>96.1</v>
      </c>
      <c r="LZ35">
        <f>SOFR3mo_PX[[#This Row],[Column338]]</f>
        <v>96.12</v>
      </c>
      <c r="MA35">
        <f>SOFR3mo_PX[[#This Row],[Column339]]</f>
        <v>96.114999999999995</v>
      </c>
      <c r="MB35">
        <f>SOFR3mo_PX[[#This Row],[Column340]]</f>
        <v>96.075000000000003</v>
      </c>
      <c r="MC35">
        <f>SOFR3mo_PX[[#This Row],[Column341]]</f>
        <v>95.99</v>
      </c>
      <c r="MD35">
        <f>SOFR3mo_PX[[#This Row],[Column342]]</f>
        <v>96.02</v>
      </c>
      <c r="ME35">
        <f>SOFR3mo_PX[[#This Row],[Column343]]</f>
        <v>95.974999999999994</v>
      </c>
      <c r="MF35">
        <f>SOFR3mo_PX[[#This Row],[Column344]]</f>
        <v>95.965000000000003</v>
      </c>
      <c r="MG35">
        <f>SOFR3mo_PX[[#This Row],[Column345]]</f>
        <v>95.97</v>
      </c>
      <c r="MH35">
        <f>SOFR3mo_PX[[#This Row],[Column346]]</f>
        <v>95.99</v>
      </c>
      <c r="MI35">
        <f>SOFR3mo_PX[[#This Row],[Column347]]</f>
        <v>96</v>
      </c>
      <c r="MJ35">
        <f>SOFR3mo_PX[[#This Row],[Column348]]</f>
        <v>95.905000000000001</v>
      </c>
      <c r="MK35">
        <f>SOFR3mo_PX[[#This Row],[Column349]]</f>
        <v>95.875</v>
      </c>
      <c r="ML35">
        <f>SOFR3mo_PX[[#This Row],[Column350]]</f>
        <v>95.92</v>
      </c>
      <c r="MM35">
        <f>SOFR3mo_PX[[#This Row],[Column351]]</f>
        <v>95.894999999999996</v>
      </c>
      <c r="MN35">
        <f>SOFR3mo_PX[[#This Row],[Column352]]</f>
        <v>95.894999999999996</v>
      </c>
      <c r="MO35">
        <f>SOFR3mo_PX[[#This Row],[Column353]]</f>
        <v>95.935000000000002</v>
      </c>
      <c r="MP35">
        <f>SOFR3mo_PX[[#This Row],[Column354]]</f>
        <v>95.91</v>
      </c>
      <c r="MQ35">
        <f>SOFR3mo_PX[[#This Row],[Column355]]</f>
        <v>95.87</v>
      </c>
      <c r="MR35">
        <f>SOFR3mo_PX[[#This Row],[Column356]]</f>
        <v>95.965000000000003</v>
      </c>
      <c r="MS35">
        <f>SOFR3mo_PX[[#This Row],[Column357]]</f>
        <v>95.944999999999993</v>
      </c>
      <c r="MT35">
        <f>SOFR3mo_PX[[#This Row],[Column358]]</f>
        <v>95.96</v>
      </c>
      <c r="MU35">
        <f>SOFR3mo_PX[[#This Row],[Column359]]</f>
        <v>96.045000000000002</v>
      </c>
      <c r="MV35">
        <f>SOFR3mo_PX[[#This Row],[Column360]]</f>
        <v>96.055000000000007</v>
      </c>
      <c r="MW35">
        <f>SOFR3mo_PX[[#This Row],[Column361]]</f>
        <v>95.965000000000003</v>
      </c>
      <c r="MX35">
        <f>SOFR3mo_PX[[#This Row],[Column362]]</f>
        <v>96.094999999999999</v>
      </c>
      <c r="MY35">
        <f>SOFR3mo_PX[[#This Row],[Column363]]</f>
        <v>96.254999999999995</v>
      </c>
      <c r="MZ35">
        <f>SOFR3mo_PX[[#This Row],[Column364]]</f>
        <v>96.15</v>
      </c>
      <c r="NA35">
        <f>SOFR3mo_PX[[#This Row],[Column365]]</f>
        <v>96.064999999999998</v>
      </c>
      <c r="NB35">
        <f>SOFR3mo_PX[[#This Row],[Column366]]</f>
        <v>95.995000000000005</v>
      </c>
      <c r="NC35">
        <f>SOFR3mo_PX[[#This Row],[Column367]]</f>
        <v>95.944999999999993</v>
      </c>
      <c r="ND35">
        <f>SOFR3mo_PX[[#This Row],[Column368]]</f>
        <v>95.98</v>
      </c>
      <c r="NE35">
        <f>SOFR3mo_PX[[#This Row],[Column369]]</f>
        <v>95.96</v>
      </c>
      <c r="NF35">
        <f>SOFR3mo_PX[[#This Row],[Column370]]</f>
        <v>96.004999999999995</v>
      </c>
      <c r="NG35">
        <f>SOFR3mo_PX[[#This Row],[Column371]]</f>
        <v>96.05</v>
      </c>
      <c r="NH35">
        <f>SOFR3mo_PX[[#This Row],[Column372]]</f>
        <v>95.995000000000005</v>
      </c>
      <c r="NI35">
        <f>SOFR3mo_PX[[#This Row],[Column373]]</f>
        <v>95.984999999999999</v>
      </c>
      <c r="NJ35">
        <f>SOFR3mo_PX[[#This Row],[Column374]]</f>
        <v>96.02</v>
      </c>
      <c r="NK35">
        <f>SOFR3mo_PX[[#This Row],[Column375]]</f>
        <v>96.03</v>
      </c>
      <c r="NL35">
        <f>SOFR3mo_PX[[#This Row],[Column376]]</f>
        <v>96.144999999999996</v>
      </c>
      <c r="NM35">
        <f>SOFR3mo_PX[[#This Row],[Column377]]</f>
        <v>96.144999999999996</v>
      </c>
      <c r="NN35">
        <f>SOFR3mo_PX[[#This Row],[Column378]]</f>
        <v>96.19</v>
      </c>
      <c r="NO35">
        <f>SOFR3mo_PX[[#This Row],[Column379]]</f>
        <v>96.15</v>
      </c>
      <c r="NP35">
        <f>SOFR3mo_PX[[#This Row],[Column380]]</f>
        <v>96.16</v>
      </c>
      <c r="NQ35">
        <f>SOFR3mo_PX[[#This Row],[Column381]]</f>
        <v>96.165000000000006</v>
      </c>
      <c r="NR35">
        <f>SOFR3mo_PX[[#This Row],[Column382]]</f>
        <v>96.165000000000006</v>
      </c>
      <c r="NS35">
        <f>SOFR3mo_PX[[#This Row],[Column383]]</f>
        <v>96.22</v>
      </c>
      <c r="NT35">
        <f>SOFR3mo_PX[[#This Row],[Column384]]</f>
        <v>96.29</v>
      </c>
      <c r="NU35">
        <f>SOFR3mo_PX[[#This Row],[Column385]]</f>
        <v>96.245000000000005</v>
      </c>
      <c r="NV35">
        <f>SOFR3mo_PX[[#This Row],[Column386]]</f>
        <v>96.265000000000001</v>
      </c>
      <c r="NW35">
        <f>SOFR3mo_PX[[#This Row],[Column387]]</f>
        <v>96.265000000000001</v>
      </c>
      <c r="NX35">
        <f>SOFR3mo_PX[[#This Row],[Column388]]</f>
        <v>96.28</v>
      </c>
      <c r="NY35">
        <f>SOFR3mo_PX[[#This Row],[Column389]]</f>
        <v>96.344999999999999</v>
      </c>
      <c r="NZ35">
        <f>SOFR3mo_PX[[#This Row],[Column390]]</f>
        <v>96.24</v>
      </c>
      <c r="OA35">
        <f>SOFR3mo_PX[[#This Row],[Column391]]</f>
        <v>96.22</v>
      </c>
      <c r="OB35">
        <f>SOFR3mo_PX[[#This Row],[Column392]]</f>
        <v>96.22</v>
      </c>
      <c r="OC35">
        <f>SOFR3mo_PX[[#This Row],[Column393]]</f>
        <v>96.254999999999995</v>
      </c>
      <c r="OD35">
        <f>SOFR3mo_PX[[#This Row],[Column394]]</f>
        <v>96.29</v>
      </c>
      <c r="OE35">
        <f>SOFR3mo_PX[[#This Row],[Column395]]</f>
        <v>96.275000000000006</v>
      </c>
      <c r="OF35">
        <f>SOFR3mo_PX[[#This Row],[Column396]]</f>
        <v>96.24</v>
      </c>
      <c r="OG35">
        <f>SOFR3mo_PX[[#This Row],[Column397]]</f>
        <v>96.275000000000006</v>
      </c>
      <c r="OH35">
        <f>SOFR3mo_PX[[#This Row],[Column398]]</f>
        <v>96.25</v>
      </c>
      <c r="OI35">
        <f>SOFR3mo_PX[[#This Row],[Column399]]</f>
        <v>96.15</v>
      </c>
      <c r="OJ35">
        <f>SOFR3mo_PX[[#This Row],[Column400]]</f>
        <v>96.004999999999995</v>
      </c>
      <c r="OK35">
        <f>SOFR3mo_PX[[#This Row],[Column401]]</f>
        <v>95.95</v>
      </c>
      <c r="OL35">
        <f>SOFR3mo_PX[[#This Row],[Column402]]</f>
        <v>95.944999999999993</v>
      </c>
      <c r="OM35">
        <f>SOFR3mo_PX[[#This Row],[Column403]]</f>
        <v>96.055000000000007</v>
      </c>
      <c r="ON35">
        <f>SOFR3mo_PX[[#This Row],[Column404]]</f>
        <v>96.05</v>
      </c>
      <c r="OO35">
        <f>SOFR3mo_PX[[#This Row],[Column405]]</f>
        <v>95.984999999999999</v>
      </c>
      <c r="OP35">
        <f>SOFR3mo_PX[[#This Row],[Column406]]</f>
        <v>95.85</v>
      </c>
      <c r="OQ35">
        <f>SOFR3mo_PX[[#This Row],[Column407]]</f>
        <v>95.88</v>
      </c>
      <c r="OR35">
        <f>SOFR3mo_PX[[#This Row],[Column408]]</f>
        <v>95.765000000000001</v>
      </c>
      <c r="OS35">
        <f>SOFR3mo_PX[[#This Row],[Column409]]</f>
        <v>95.85</v>
      </c>
      <c r="OT35">
        <f>SOFR3mo_PX[[#This Row],[Column410]]</f>
        <v>95.775000000000006</v>
      </c>
      <c r="OU35">
        <f>SOFR3mo_PX[[#This Row],[Column411]]</f>
        <v>95.79</v>
      </c>
      <c r="OV35">
        <f>SOFR3mo_PX[[#This Row],[Column412]]</f>
        <v>95.685000000000002</v>
      </c>
      <c r="OW35">
        <f>SOFR3mo_PX[[#This Row],[Column413]]</f>
        <v>95.704999999999998</v>
      </c>
      <c r="OX35">
        <f>SOFR3mo_PX[[#This Row],[Column414]]</f>
        <v>95.704999999999998</v>
      </c>
      <c r="OY35">
        <f>SOFR3mo_PX[[#This Row],[Column415]]</f>
        <v>95.694999999999993</v>
      </c>
      <c r="OZ35">
        <f>SOFR3mo_PX[[#This Row],[Column416]]</f>
        <v>95.715000000000003</v>
      </c>
      <c r="PA35">
        <f>SOFR3mo_PX[[#This Row],[Column417]]</f>
        <v>95.67</v>
      </c>
      <c r="PB35">
        <f>SOFR3mo_PX[[#This Row],[Column418]]</f>
        <v>95.65</v>
      </c>
      <c r="PC35">
        <f>SOFR3mo_PX[[#This Row],[Column419]]</f>
        <v>95.555000000000007</v>
      </c>
      <c r="PD35">
        <f>SOFR3mo_PX[[#This Row],[Column420]]</f>
        <v>95.62</v>
      </c>
      <c r="PE35">
        <f>SOFR3mo_PX[[#This Row],[Column421]]</f>
        <v>95.45</v>
      </c>
      <c r="PF35">
        <f>SOFR3mo_PX[[#This Row],[Column422]]</f>
        <v>95.44</v>
      </c>
      <c r="PG35">
        <f>SOFR3mo_PX[[#This Row],[Column423]]</f>
        <v>95.42</v>
      </c>
      <c r="PH35">
        <f>SOFR3mo_PX[[#This Row],[Column424]]</f>
        <v>95.55</v>
      </c>
      <c r="PI35">
        <f>SOFR3mo_PX[[#This Row],[Column425]]</f>
        <v>95.465000000000003</v>
      </c>
      <c r="PJ35">
        <f>SOFR3mo_PX[[#This Row],[Column426]]</f>
        <v>95.35</v>
      </c>
      <c r="PK35">
        <f>SOFR3mo_PX[[#This Row],[Column427]]</f>
        <v>95.46</v>
      </c>
      <c r="PL35">
        <f>SOFR3mo_PX[[#This Row],[Column428]]</f>
        <v>95.34</v>
      </c>
      <c r="PM35">
        <f>SOFR3mo_PX[[#This Row],[Column429]]</f>
        <v>95.21</v>
      </c>
      <c r="PN35">
        <f>SOFR3mo_PX[[#This Row],[Column430]]</f>
        <v>95.12</v>
      </c>
      <c r="PO35">
        <f>SOFR3mo_PX[[#This Row],[Column431]]</f>
        <v>95.11</v>
      </c>
      <c r="PP35">
        <f>SOFR3mo_PX[[#This Row],[Column432]]</f>
        <v>95.12</v>
      </c>
      <c r="PQ35">
        <f>SOFR3mo_PX[[#This Row],[Column433]]</f>
        <v>95.125</v>
      </c>
      <c r="PR35">
        <f>SOFR3mo_PX[[#This Row],[Column434]]</f>
        <v>95.015000000000001</v>
      </c>
      <c r="PS35">
        <f>SOFR3mo_PX[[#This Row],[Column435]]</f>
        <v>95.155000000000001</v>
      </c>
      <c r="PT35">
        <f>SOFR3mo_PX[[#This Row],[Column436]]</f>
        <v>95.15</v>
      </c>
      <c r="PU35">
        <f>SOFR3mo_PX[[#This Row],[Column437]]</f>
        <v>95.045000000000002</v>
      </c>
      <c r="PV35">
        <f>SOFR3mo_PX[[#This Row],[Column438]]</f>
        <v>94.97</v>
      </c>
      <c r="PW35">
        <f>SOFR3mo_PX[[#This Row],[Column439]]</f>
        <v>95.1</v>
      </c>
      <c r="PX35">
        <f>SOFR3mo_PX[[#This Row],[Column440]]</f>
        <v>95.144999999999996</v>
      </c>
      <c r="PY35">
        <f>SOFR3mo_PX[[#This Row],[Column441]]</f>
        <v>95.27</v>
      </c>
      <c r="PZ35">
        <f>SOFR3mo_PX[[#This Row],[Column442]]</f>
        <v>95.344999999999999</v>
      </c>
      <c r="QA35">
        <f>SOFR3mo_PX[[#This Row],[Column443]]</f>
        <v>95.24</v>
      </c>
      <c r="QB35">
        <f>SOFR3mo_PX[[#This Row],[Column444]]</f>
        <v>95.355000000000004</v>
      </c>
      <c r="QC35">
        <f>SOFR3mo_PX[[#This Row],[Column445]]</f>
        <v>95.265000000000001</v>
      </c>
      <c r="QD35">
        <f>SOFR3mo_PX[[#This Row],[Column446]]</f>
        <v>95.245000000000005</v>
      </c>
      <c r="QE35">
        <f>SOFR3mo_PX[[#This Row],[Column447]]</f>
        <v>95.125</v>
      </c>
      <c r="QF35">
        <f>SOFR3mo_PX[[#This Row],[Column448]]</f>
        <v>95.185000000000002</v>
      </c>
      <c r="QG35">
        <f>SOFR3mo_PX[[#This Row],[Column449]]</f>
        <v>95.16</v>
      </c>
      <c r="QH35">
        <f>SOFR3mo_PX[[#This Row],[Column450]]</f>
        <v>95.105000000000004</v>
      </c>
      <c r="QI35">
        <f>SOFR3mo_PX[[#This Row],[Column451]]</f>
        <v>95.234999999999999</v>
      </c>
      <c r="QJ35">
        <f>SOFR3mo_PX[[#This Row],[Column452]]</f>
        <v>95.41</v>
      </c>
      <c r="QK35">
        <f>SOFR3mo_PX[[#This Row],[Column453]]</f>
        <v>95.4</v>
      </c>
      <c r="QL35">
        <f>SOFR3mo_PX[[#This Row],[Column454]]</f>
        <v>95.424999999999997</v>
      </c>
      <c r="QM35">
        <f>SOFR3mo_PX[[#This Row],[Column455]]</f>
        <v>95.5</v>
      </c>
      <c r="QN35">
        <f>SOFR3mo_PX[[#This Row],[Column456]]</f>
        <v>95.51</v>
      </c>
      <c r="QO35">
        <f>SOFR3mo_PX[[#This Row],[Column457]]</f>
        <v>95.66</v>
      </c>
      <c r="QP35">
        <f>SOFR3mo_PX[[#This Row],[Column458]]</f>
        <v>95.63</v>
      </c>
      <c r="QQ35">
        <f>SOFR3mo_PX[[#This Row],[Column459]]</f>
        <v>95.795000000000002</v>
      </c>
      <c r="QR35">
        <f>SOFR3mo_PX[[#This Row],[Column460]]</f>
        <v>95.77</v>
      </c>
      <c r="QS35">
        <f>SOFR3mo_PX[[#This Row],[Column461]]</f>
        <v>95.805000000000007</v>
      </c>
      <c r="QT35">
        <f>SOFR3mo_PX[[#This Row],[Column462]]</f>
        <v>95.784999999999997</v>
      </c>
      <c r="QU35">
        <f>SOFR3mo_PX[[#This Row],[Column463]]</f>
        <v>95.82</v>
      </c>
      <c r="QV35">
        <f>SOFR3mo_PX[[#This Row],[Column464]]</f>
        <v>95.88</v>
      </c>
      <c r="QW35">
        <f>SOFR3mo_PX[[#This Row],[Column465]]</f>
        <v>95.86</v>
      </c>
      <c r="QX35">
        <f>SOFR3mo_PX[[#This Row],[Column466]]</f>
        <v>95.814999999999998</v>
      </c>
      <c r="QY35">
        <f>SOFR3mo_PX[[#This Row],[Column467]]</f>
        <v>95.855000000000004</v>
      </c>
      <c r="QZ35">
        <f>SOFR3mo_PX[[#This Row],[Column468]]</f>
        <v>95.844999999999999</v>
      </c>
      <c r="RA35">
        <f>SOFR3mo_PX[[#This Row],[Column469]]</f>
        <v>95.83</v>
      </c>
      <c r="RB35">
        <f>SOFR3mo_PX[[#This Row],[Column470]]</f>
        <v>95.825000000000003</v>
      </c>
      <c r="RC35">
        <f>SOFR3mo_PX[[#This Row],[Column471]]</f>
        <v>95.894999999999996</v>
      </c>
      <c r="RD35">
        <f>SOFR3mo_PX[[#This Row],[Column472]]</f>
        <v>95.894999999999996</v>
      </c>
      <c r="RE35">
        <f>SOFR3mo_PX[[#This Row],[Column473]]</f>
        <v>95.99</v>
      </c>
      <c r="RF35">
        <f>SOFR3mo_PX[[#This Row],[Column474]]</f>
        <v>95.965000000000003</v>
      </c>
      <c r="RG35">
        <f>SOFR3mo_PX[[#This Row],[Column475]]</f>
        <v>95.97</v>
      </c>
      <c r="RH35">
        <f>SOFR3mo_PX[[#This Row],[Column476]]</f>
        <v>95.935000000000002</v>
      </c>
      <c r="RI35">
        <f>SOFR3mo_PX[[#This Row],[Column477]]</f>
        <v>95.894999999999996</v>
      </c>
      <c r="RJ35">
        <f>SOFR3mo_PX[[#This Row],[Column478]]</f>
        <v>95.89</v>
      </c>
      <c r="RK35">
        <f>SOFR3mo_PX[[#This Row],[Column479]]</f>
        <v>95.915000000000006</v>
      </c>
      <c r="RL35">
        <f>SOFR3mo_PX[[#This Row],[Column480]]</f>
        <v>95.765000000000001</v>
      </c>
      <c r="RM35">
        <f>SOFR3mo_PX[[#This Row],[Column481]]</f>
        <v>95.734999999999999</v>
      </c>
      <c r="RN35">
        <f>SOFR3mo_PX[[#This Row],[Column482]]</f>
        <v>95.83</v>
      </c>
      <c r="RO35">
        <f>SOFR3mo_PX[[#This Row],[Column483]]</f>
        <v>95.754999999999995</v>
      </c>
      <c r="RP35">
        <f>SOFR3mo_PX[[#This Row],[Column484]]</f>
        <v>95.84</v>
      </c>
      <c r="RQ35">
        <f>SOFR3mo_PX[[#This Row],[Column485]]</f>
        <v>95.875</v>
      </c>
      <c r="RR35">
        <f>SOFR3mo_PX[[#This Row],[Column486]]</f>
        <v>95.935000000000002</v>
      </c>
      <c r="RS35">
        <f>SOFR3mo_PX[[#This Row],[Column487]]</f>
        <v>95.91</v>
      </c>
      <c r="RT35">
        <f>SOFR3mo_PX[[#This Row],[Column488]]</f>
        <v>96</v>
      </c>
      <c r="RU35">
        <f>SOFR3mo_PX[[#This Row],[Column489]]</f>
        <v>96.105000000000004</v>
      </c>
      <c r="RV35">
        <f>SOFR3mo_PX[[#This Row],[Column490]]</f>
        <v>96.07</v>
      </c>
      <c r="RW35">
        <f>SOFR3mo_PX[[#This Row],[Column491]]</f>
        <v>96.004999999999995</v>
      </c>
      <c r="RX35">
        <f>SOFR3mo_PX[[#This Row],[Column492]]</f>
        <v>96.03</v>
      </c>
      <c r="RY35">
        <f>SOFR3mo_PX[[#This Row],[Column493]]</f>
        <v>95.89</v>
      </c>
      <c r="RZ35">
        <f>SOFR3mo_PX[[#This Row],[Column494]]</f>
        <v>96.06</v>
      </c>
      <c r="SA35">
        <f>SOFR3mo_PX[[#This Row],[Column495]]</f>
        <v>96.114999999999995</v>
      </c>
      <c r="SB35">
        <f>SOFR3mo_PX[[#This Row],[Column496]]</f>
        <v>96.204999999999998</v>
      </c>
      <c r="SC35">
        <f>SOFR3mo_PX[[#This Row],[Column497]]</f>
        <v>96.2</v>
      </c>
      <c r="SD35">
        <f>SOFR3mo_PX[[#This Row],[Column498]]</f>
        <v>96.155000000000001</v>
      </c>
      <c r="SE35">
        <f>SOFR3mo_PX[[#This Row],[Column499]]</f>
        <v>96.325000000000003</v>
      </c>
      <c r="SF35">
        <f>SOFR3mo_PX[[#This Row],[Column500]]</f>
        <v>96.275000000000006</v>
      </c>
      <c r="SG35">
        <f>SOFR3mo_PX[[#This Row],[Column501]]</f>
        <v>96.334999999999994</v>
      </c>
      <c r="SH35">
        <f>SOFR3mo_PX[[#This Row],[Column502]]</f>
        <v>96.344999999999999</v>
      </c>
      <c r="SI35">
        <f>SOFR3mo_PX[[#This Row],[Column503]]</f>
        <v>96.325000000000003</v>
      </c>
      <c r="SJ35">
        <f>SOFR3mo_PX[[#This Row],[Column504]]</f>
        <v>96.444999999999993</v>
      </c>
      <c r="SK35">
        <f>SOFR3mo_PX[[#This Row],[Column505]]</f>
        <v>96.405000000000001</v>
      </c>
      <c r="SL35">
        <f>SOFR3mo_PX[[#This Row],[Column506]]</f>
        <v>96.39</v>
      </c>
      <c r="SM35">
        <f>SOFR3mo_PX[[#This Row],[Column507]]</f>
        <v>96.35</v>
      </c>
      <c r="SN35">
        <f>SOFR3mo_PX[[#This Row],[Column508]]</f>
        <v>96.36</v>
      </c>
      <c r="SO35">
        <f>SOFR3mo_PX[[#This Row],[Column509]]</f>
        <v>96.33</v>
      </c>
      <c r="SP35">
        <f>SOFR3mo_PX[[#This Row],[Column510]]</f>
        <v>96.24</v>
      </c>
      <c r="SQ35">
        <f>SOFR3mo_PX[[#This Row],[Column511]]</f>
        <v>96.174999999999997</v>
      </c>
      <c r="SR35">
        <f>SOFR3mo_PX[[#This Row],[Column512]]</f>
        <v>96.135000000000005</v>
      </c>
      <c r="SS35">
        <f>SOFR3mo_PX[[#This Row],[Column513]]</f>
        <v>96.19</v>
      </c>
      <c r="ST35">
        <f>SOFR3mo_PX[[#This Row],[Column514]]</f>
        <v>96.284999999999997</v>
      </c>
      <c r="SU35">
        <f>SOFR3mo_PX[[#This Row],[Column515]]</f>
        <v>96.39</v>
      </c>
      <c r="SV35">
        <f>SOFR3mo_PX[[#This Row],[Column516]]</f>
        <v>96.39</v>
      </c>
      <c r="SW35">
        <f>SOFR3mo_PX[[#This Row],[Column517]]</f>
        <v>96.424999999999997</v>
      </c>
      <c r="SX35">
        <f>SOFR3mo_PX[[#This Row],[Column518]]</f>
        <v>96.36</v>
      </c>
      <c r="SY35">
        <f>SOFR3mo_PX[[#This Row],[Column519]]</f>
        <v>96.504999999999995</v>
      </c>
      <c r="SZ35">
        <f>SOFR3mo_PX[[#This Row],[Column520]]</f>
        <v>96.45</v>
      </c>
      <c r="TA35">
        <f>SOFR3mo_PX[[#This Row],[Column521]]</f>
        <v>96.48</v>
      </c>
      <c r="TB35">
        <f>SOFR3mo_PX[[#This Row],[Column522]]</f>
        <v>96.45</v>
      </c>
      <c r="TC35">
        <f>SOFR3mo_PX[[#This Row],[Column523]]</f>
        <v>96.38</v>
      </c>
      <c r="TD35">
        <f>SOFR3mo_PX[[#This Row],[Column524]]</f>
        <v>96.454999999999998</v>
      </c>
      <c r="TE35">
        <f>SOFR3mo_PX[[#This Row],[Column525]]</f>
        <v>96.48</v>
      </c>
      <c r="TF35">
        <f>SOFR3mo_PX[[#This Row],[Column526]]</f>
        <v>96.41</v>
      </c>
      <c r="TG35">
        <f>SOFR3mo_PX[[#This Row],[Column527]]</f>
        <v>96.41</v>
      </c>
      <c r="TH35">
        <f>SOFR3mo_PX[[#This Row],[Column528]]</f>
        <v>96.444999999999993</v>
      </c>
      <c r="TI35">
        <f>SOFR3mo_PX[[#This Row],[Column529]]</f>
        <v>96.375</v>
      </c>
      <c r="TJ35">
        <f>SOFR3mo_PX[[#This Row],[Column530]]</f>
        <v>96.295000000000002</v>
      </c>
      <c r="TK35">
        <f>SOFR3mo_PX[[#This Row],[Column531]]</f>
        <v>96.37</v>
      </c>
      <c r="TL35">
        <f>SOFR3mo_PX[[#This Row],[Column532]]</f>
        <v>96.375</v>
      </c>
      <c r="TM35">
        <f>SOFR3mo_PX[[#This Row],[Column533]]</f>
        <v>96.38</v>
      </c>
      <c r="TN35">
        <f>SOFR3mo_PX[[#This Row],[Column534]]</f>
        <v>96.305000000000007</v>
      </c>
      <c r="TO35">
        <f>SOFR3mo_PX[[#This Row],[Column535]]</f>
        <v>96.41</v>
      </c>
      <c r="TP35">
        <f>SOFR3mo_PX[[#This Row],[Column536]]</f>
        <v>96.39</v>
      </c>
      <c r="TQ35">
        <f>SOFR3mo_PX[[#This Row],[Column537]]</f>
        <v>96.36</v>
      </c>
      <c r="TR35">
        <f>SOFR3mo_PX[[#This Row],[Column538]]</f>
        <v>96.46</v>
      </c>
      <c r="TS35">
        <f>SOFR3mo_PX[[#This Row],[Column539]]</f>
        <v>96.444999999999993</v>
      </c>
      <c r="TT35">
        <f>SOFR3mo_PX[[#This Row],[Column540]]</f>
        <v>96.4</v>
      </c>
      <c r="TU35">
        <f>SOFR3mo_PX[[#This Row],[Column541]]</f>
        <v>96.29</v>
      </c>
      <c r="TV35">
        <f>SOFR3mo_PX[[#This Row],[Column542]]</f>
        <v>96.29</v>
      </c>
      <c r="TW35">
        <f>SOFR3mo_PX[[#This Row],[Column543]]</f>
        <v>96.275000000000006</v>
      </c>
      <c r="TX35">
        <f>SOFR3mo_PX[[#This Row],[Column544]]</f>
        <v>96.36</v>
      </c>
      <c r="TY35">
        <f>SOFR3mo_PX[[#This Row],[Column545]]</f>
        <v>96.375</v>
      </c>
      <c r="TZ35">
        <f>SOFR3mo_PX[[#This Row],[Column546]]</f>
        <v>96.344999999999999</v>
      </c>
      <c r="UA35">
        <f>SOFR3mo_PX[[#This Row],[Column547]]</f>
        <v>96.334999999999994</v>
      </c>
      <c r="UB35">
        <f>SOFR3mo_PX[[#This Row],[Column548]]</f>
        <v>96.39</v>
      </c>
      <c r="UC35">
        <f>SOFR3mo_PX[[#This Row],[Column549]]</f>
        <v>96.444999999999993</v>
      </c>
      <c r="UD35">
        <f>SOFR3mo_PX[[#This Row],[Column550]]</f>
        <v>96.46</v>
      </c>
      <c r="UE35">
        <f>SOFR3mo_PX[[#This Row],[Column551]]</f>
        <v>96.515000000000001</v>
      </c>
      <c r="UF35">
        <f>SOFR3mo_PX[[#This Row],[Column552]]</f>
        <v>96.555000000000007</v>
      </c>
      <c r="UG35">
        <f>SOFR3mo_PX[[#This Row],[Column553]]</f>
        <v>96.594999999999999</v>
      </c>
      <c r="UH35">
        <f>SOFR3mo_PX[[#This Row],[Column554]]</f>
        <v>96.55</v>
      </c>
      <c r="UI35">
        <f>SOFR3mo_PX[[#This Row],[Column555]]</f>
        <v>96.484999999999999</v>
      </c>
      <c r="UJ35">
        <f>SOFR3mo_PX[[#This Row],[Column556]]</f>
        <v>96.495000000000005</v>
      </c>
      <c r="UK35">
        <f>SOFR3mo_PX[[#This Row],[Column557]]</f>
        <v>96.54</v>
      </c>
      <c r="UL35">
        <f>SOFR3mo_PX[[#This Row],[Column558]]</f>
        <v>96.61</v>
      </c>
      <c r="UM35">
        <f>SOFR3mo_PX[[#This Row],[Column559]]</f>
        <v>96.56</v>
      </c>
      <c r="UN35">
        <f>SOFR3mo_PX[[#This Row],[Column560]]</f>
        <v>96.545000000000002</v>
      </c>
      <c r="UO35">
        <f>SOFR3mo_PX[[#This Row],[Column561]]</f>
        <v>96.415000000000006</v>
      </c>
      <c r="UP35">
        <f>SOFR3mo_PX[[#This Row],[Column562]]</f>
        <v>96.545000000000002</v>
      </c>
      <c r="UQ35">
        <f>SOFR3mo_PX[[#This Row],[Column563]]</f>
        <v>96.545000000000002</v>
      </c>
      <c r="UR35">
        <f>SOFR3mo_PX[[#This Row],[Column564]]</f>
        <v>96.62</v>
      </c>
      <c r="US35">
        <f>SOFR3mo_PX[[#This Row],[Column565]]</f>
        <v>96.67</v>
      </c>
      <c r="UT35">
        <f>SOFR3mo_PX[[#This Row],[Column566]]</f>
        <v>96.61</v>
      </c>
      <c r="UU35">
        <f>SOFR3mo_PX[[#This Row],[Column567]]</f>
        <v>96.555000000000007</v>
      </c>
      <c r="UV35">
        <f>SOFR3mo_PX[[#This Row],[Column568]]</f>
        <v>96.6</v>
      </c>
      <c r="UW35">
        <f>SOFR3mo_PX[[#This Row],[Column569]]</f>
        <v>96.564999999999998</v>
      </c>
      <c r="UX35">
        <f>SOFR3mo_PX[[#This Row],[Column570]]</f>
        <v>96.584999999999994</v>
      </c>
      <c r="UY35">
        <f>SOFR3mo_PX[[#This Row],[Column571]]</f>
        <v>96.54</v>
      </c>
      <c r="UZ35">
        <f>SOFR3mo_PX[[#This Row],[Column572]]</f>
        <v>96.6</v>
      </c>
      <c r="VA35">
        <f>SOFR3mo_PX[[#This Row],[Column573]]</f>
        <v>96.655000000000001</v>
      </c>
      <c r="VB35">
        <f>SOFR3mo_PX[[#This Row],[Column574]]</f>
        <v>96.71</v>
      </c>
      <c r="VC35">
        <f>SOFR3mo_PX[[#This Row],[Column575]]</f>
        <v>96.71</v>
      </c>
      <c r="VD35">
        <f>SOFR3mo_PX[[#This Row],[Column576]]</f>
        <v>96.7</v>
      </c>
      <c r="VE35">
        <f>SOFR3mo_PX[[#This Row],[Column577]]</f>
        <v>96.754999999999995</v>
      </c>
      <c r="VF35">
        <f>SOFR3mo_PX[[#This Row],[Column578]]</f>
        <v>96.83</v>
      </c>
      <c r="VG35">
        <f>SOFR3mo_PX[[#This Row],[Column579]]</f>
        <v>96.814999999999998</v>
      </c>
      <c r="VH35">
        <f>SOFR3mo_PX[[#This Row],[Column580]]</f>
        <v>96.78</v>
      </c>
      <c r="VI35">
        <f>SOFR3mo_PX[[#This Row],[Column581]]</f>
        <v>96.72</v>
      </c>
      <c r="VJ35">
        <f>SOFR3mo_PX[[#This Row],[Column582]]</f>
        <v>96.665000000000006</v>
      </c>
      <c r="VK35">
        <f>SOFR3mo_PX[[#This Row],[Column583]]</f>
        <v>96.63</v>
      </c>
      <c r="VL35">
        <f>SOFR3mo_PX[[#This Row],[Column584]]</f>
        <v>96.605000000000004</v>
      </c>
      <c r="VM35">
        <f>SOFR3mo_PX[[#This Row],[Column585]]</f>
        <v>96.594999999999999</v>
      </c>
      <c r="VN35">
        <f>SOFR3mo_PX[[#This Row],[Column586]]</f>
        <v>96.625</v>
      </c>
      <c r="VO35">
        <f>SOFR3mo_PX[[#This Row],[Column587]]</f>
        <v>96.745000000000005</v>
      </c>
      <c r="VP35">
        <f>SOFR3mo_PX[[#This Row],[Column588]]</f>
        <v>96.704999999999998</v>
      </c>
      <c r="VQ35">
        <f>SOFR3mo_PX[[#This Row],[Column589]]</f>
        <v>96.655000000000001</v>
      </c>
      <c r="VR35">
        <f>SOFR3mo_PX[[#This Row],[Column590]]</f>
        <v>96.6</v>
      </c>
      <c r="VS35">
        <f>SOFR3mo_PX[[#This Row],[Column591]]</f>
        <v>96.625</v>
      </c>
      <c r="VT35">
        <f>SOFR3mo_PX[[#This Row],[Column592]]</f>
        <v>96.7</v>
      </c>
      <c r="VU35">
        <f>SOFR3mo_PX[[#This Row],[Column593]]</f>
        <v>96.515000000000001</v>
      </c>
      <c r="VV35">
        <f>SOFR3mo_PX[[#This Row],[Column594]]</f>
        <v>96.6</v>
      </c>
      <c r="VW35">
        <f>SOFR3mo_PX[[#This Row],[Column595]]</f>
        <v>96.515000000000001</v>
      </c>
      <c r="VX35">
        <f>SOFR3mo_PX[[#This Row],[Column596]]</f>
        <v>96.59</v>
      </c>
      <c r="VY35">
        <f>SOFR3mo_PX[[#This Row],[Column597]]</f>
        <v>96.57</v>
      </c>
      <c r="VZ35">
        <f>SOFR3mo_PX[[#This Row],[Column598]]</f>
        <v>96.37</v>
      </c>
      <c r="WA35">
        <f>SOFR3mo_PX[[#This Row],[Column599]]</f>
        <v>96.415000000000006</v>
      </c>
      <c r="WB35">
        <f>SOFR3mo_PX[[#This Row],[Column600]]</f>
        <v>96.394999999999996</v>
      </c>
      <c r="WC35">
        <f>SOFR3mo_PX[[#This Row],[Column601]]</f>
        <v>96.32</v>
      </c>
      <c r="WD35">
        <f>SOFR3mo_PX[[#This Row],[Column602]]</f>
        <v>96.32</v>
      </c>
      <c r="WE35">
        <f>SOFR3mo_PX[[#This Row],[Column603]]</f>
        <v>96.194999999999993</v>
      </c>
      <c r="WF35">
        <f>SOFR3mo_PX[[#This Row],[Column604]]</f>
        <v>96.3</v>
      </c>
      <c r="WG35">
        <f>SOFR3mo_PX[[#This Row],[Column605]]</f>
        <v>96.385000000000005</v>
      </c>
      <c r="WH35">
        <f>SOFR3mo_PX[[#This Row],[Column606]]</f>
        <v>96.385000000000005</v>
      </c>
      <c r="WI35">
        <f>SOFR3mo_PX[[#This Row],[Column607]]</f>
        <v>96.344999999999999</v>
      </c>
      <c r="WJ35">
        <f>SOFR3mo_PX[[#This Row],[Column608]]</f>
        <v>96.394999999999996</v>
      </c>
      <c r="WK35">
        <f>SOFR3mo_PX[[#This Row],[Column609]]</f>
        <v>96.344999999999999</v>
      </c>
      <c r="WL35">
        <f>SOFR3mo_PX[[#This Row],[Column610]]</f>
        <v>96.31</v>
      </c>
      <c r="WM35">
        <f>SOFR3mo_PX[[#This Row],[Column611]]</f>
        <v>96.46</v>
      </c>
      <c r="WN35">
        <f>SOFR3mo_PX[[#This Row],[Column612]]</f>
        <v>96.46</v>
      </c>
      <c r="WO35">
        <f>SOFR3mo_PX[[#This Row],[Column613]]</f>
        <v>96.44</v>
      </c>
      <c r="WP35">
        <f>SOFR3mo_PX[[#This Row],[Column614]]</f>
        <v>96.48</v>
      </c>
      <c r="WQ35">
        <f>SOFR3mo_PX[[#This Row],[Column615]]</f>
        <v>96.545000000000002</v>
      </c>
      <c r="WR35">
        <f>SOFR3mo_PX[[#This Row],[Column616]]</f>
        <v>96.53</v>
      </c>
      <c r="WS35">
        <f>SOFR3mo_PX[[#This Row],[Column617]]</f>
        <v>96.5</v>
      </c>
      <c r="WT35">
        <f>SOFR3mo_PX[[#This Row],[Column618]]</f>
        <v>96.564999999999998</v>
      </c>
      <c r="WU35">
        <f>SOFR3mo_PX[[#This Row],[Column619]]</f>
        <v>96.584999999999994</v>
      </c>
      <c r="WV35">
        <f>SOFR3mo_PX[[#This Row],[Column620]]</f>
        <v>96.564999999999998</v>
      </c>
      <c r="WW35">
        <f>SOFR3mo_PX[[#This Row],[Column621]]</f>
        <v>96.59</v>
      </c>
      <c r="WX35">
        <f>SOFR3mo_PX[[#This Row],[Column622]]</f>
        <v>96.665000000000006</v>
      </c>
      <c r="WY35">
        <f>SOFR3mo_PX[[#This Row],[Column623]]</f>
        <v>96.754999999999995</v>
      </c>
      <c r="WZ35">
        <f>SOFR3mo_PX[[#This Row],[Column624]]</f>
        <v>96.79</v>
      </c>
      <c r="XA35">
        <f>SOFR3mo_PX[[#This Row],[Column625]]</f>
        <v>96.69</v>
      </c>
      <c r="XB35">
        <f>SOFR3mo_PX[[#This Row],[Column626]]</f>
        <v>96.66</v>
      </c>
      <c r="XC35">
        <f>SOFR3mo_PX[[#This Row],[Column627]]</f>
        <v>96.694999999999993</v>
      </c>
      <c r="XD35">
        <f>SOFR3mo_PX[[#This Row],[Column628]]</f>
        <v>96.745000000000005</v>
      </c>
      <c r="XE35">
        <f>SOFR3mo_PX[[#This Row],[Column629]]</f>
        <v>96.76</v>
      </c>
      <c r="XF35">
        <f>SOFR3mo_PX[[#This Row],[Column630]]</f>
        <v>96.76</v>
      </c>
      <c r="XG35">
        <f>SOFR3mo_PX[[#This Row],[Column631]]</f>
        <v>96.685000000000002</v>
      </c>
      <c r="XH35">
        <f>SOFR3mo_PX[[#This Row],[Column632]]</f>
        <v>96.73</v>
      </c>
      <c r="XI35">
        <f>SOFR3mo_PX[[#This Row],[Column633]]</f>
        <v>96.82</v>
      </c>
      <c r="XJ35">
        <f>SOFR3mo_PX[[#This Row],[Column634]]</f>
        <v>96.85</v>
      </c>
      <c r="XK35">
        <f>SOFR3mo_PX[[#This Row],[Column635]]</f>
        <v>96.724999999999994</v>
      </c>
      <c r="XL35">
        <f>SOFR3mo_PX[[#This Row],[Column636]]</f>
        <v>96.77</v>
      </c>
      <c r="XM35">
        <f>SOFR3mo_PX[[#This Row],[Column637]]</f>
        <v>96.77</v>
      </c>
      <c r="XN35">
        <f>SOFR3mo_PX[[#This Row],[Column638]]</f>
        <v>96.795000000000002</v>
      </c>
      <c r="XO35">
        <f>SOFR3mo_PX[[#This Row],[Column639]]</f>
        <v>96.72</v>
      </c>
      <c r="XP35">
        <f>SOFR3mo_PX[[#This Row],[Column640]]</f>
        <v>96.665000000000006</v>
      </c>
      <c r="XQ35">
        <f>SOFR3mo_PX[[#This Row],[Column641]]</f>
        <v>96.78</v>
      </c>
      <c r="XR35">
        <f>SOFR3mo_PX[[#This Row],[Column642]]</f>
        <v>96.734999999999999</v>
      </c>
      <c r="XS35">
        <f>SOFR3mo_PX[[#This Row],[Column643]]</f>
        <v>96.584999999999994</v>
      </c>
      <c r="XT35">
        <f>SOFR3mo_PX[[#This Row],[Column644]]</f>
        <v>96.57</v>
      </c>
      <c r="XU35">
        <f>SOFR3mo_PX[[#This Row],[Column645]]</f>
        <v>96.47</v>
      </c>
      <c r="XV35">
        <f>SOFR3mo_PX[[#This Row],[Column646]]</f>
        <v>96.4</v>
      </c>
      <c r="XW35">
        <f>SOFR3mo_PX[[#This Row],[Column647]]</f>
        <v>96.4</v>
      </c>
      <c r="XX35">
        <f>SOFR3mo_PX[[#This Row],[Column648]]</f>
        <v>96.36</v>
      </c>
      <c r="XY35">
        <f>SOFR3mo_PX[[#This Row],[Column649]]</f>
        <v>96.305000000000007</v>
      </c>
      <c r="XZ35">
        <f>SOFR3mo_PX[[#This Row],[Column650]]</f>
        <v>96.39</v>
      </c>
      <c r="YA35">
        <f>SOFR3mo_PX[[#This Row],[Column651]]</f>
        <v>96.474999999999994</v>
      </c>
      <c r="YB35">
        <f>SOFR3mo_PX[[#This Row],[Column652]]</f>
        <v>96.474999999999994</v>
      </c>
      <c r="YC35">
        <f>SOFR3mo_PX[[#This Row],[Column653]]</f>
        <v>96.504999999999995</v>
      </c>
      <c r="YD35">
        <f>SOFR3mo_PX[[#This Row],[Column654]]</f>
        <v>96.48</v>
      </c>
      <c r="YE35">
        <f>SOFR3mo_PX[[#This Row],[Column655]]</f>
        <v>96.51</v>
      </c>
      <c r="YF35">
        <f>SOFR3mo_PX[[#This Row],[Column656]]</f>
        <v>96.65</v>
      </c>
      <c r="YG35">
        <f>SOFR3mo_PX[[#This Row],[Column657]]</f>
        <v>96.745000000000005</v>
      </c>
      <c r="YH35">
        <f>SOFR3mo_PX[[#This Row],[Column658]]</f>
        <v>96.81</v>
      </c>
      <c r="YI35">
        <f>SOFR3mo_PX[[#This Row],[Column659]]</f>
        <v>96.75</v>
      </c>
      <c r="YJ35">
        <f>SOFR3mo_PX[[#This Row],[Column660]]</f>
        <v>96.75</v>
      </c>
      <c r="YK35">
        <f>SOFR3mo_PX[[#This Row],[Column661]]</f>
        <v>96.65</v>
      </c>
      <c r="YL35">
        <f>SOFR3mo_PX[[#This Row],[Column662]]</f>
        <v>96.685000000000002</v>
      </c>
      <c r="YM35">
        <f>SOFR3mo_PX[[#This Row],[Column663]]</f>
        <v>96.775000000000006</v>
      </c>
      <c r="YN35">
        <f>SOFR3mo_PX[[#This Row],[Column664]]</f>
        <v>96.885000000000005</v>
      </c>
      <c r="YO35">
        <f>SOFR3mo_PX[[#This Row],[Column665]]</f>
        <v>96.775000000000006</v>
      </c>
      <c r="YP35">
        <f>SOFR3mo_PX[[#This Row],[Column666]]</f>
        <v>96.68</v>
      </c>
      <c r="YQ35">
        <f>SOFR3mo_PX[[#This Row],[Column667]]</f>
        <v>96.78</v>
      </c>
      <c r="YR35">
        <f>SOFR3mo_PX[[#This Row],[Column668]]</f>
        <v>96.734999999999999</v>
      </c>
      <c r="YS35">
        <f>SOFR3mo_PX[[#This Row],[Column669]]</f>
        <v>96.575000000000003</v>
      </c>
      <c r="YT35">
        <f>SOFR3mo_PX[[#This Row],[Column670]]</f>
        <v>96.545000000000002</v>
      </c>
      <c r="YU35">
        <f>SOFR3mo_PX[[#This Row],[Column671]]</f>
        <v>96.59</v>
      </c>
      <c r="YV35">
        <f>SOFR3mo_PX[[#This Row],[Column672]]</f>
        <v>96.575000000000003</v>
      </c>
      <c r="YW35">
        <f>SOFR3mo_PX[[#This Row],[Column673]]</f>
        <v>96.56</v>
      </c>
      <c r="YX35">
        <f>SOFR3mo_PX[[#This Row],[Column674]]</f>
        <v>96.56</v>
      </c>
      <c r="YY35">
        <f>SOFR3mo_PX[[#This Row],[Column675]]</f>
        <v>96.49</v>
      </c>
      <c r="YZ35">
        <f>SOFR3mo_PX[[#This Row],[Column676]]</f>
        <v>96.39</v>
      </c>
      <c r="ZA35">
        <f>SOFR3mo_PX[[#This Row],[Column677]]</f>
        <v>96.37</v>
      </c>
      <c r="ZB35">
        <f>SOFR3mo_PX[[#This Row],[Column678]]</f>
        <v>96.44</v>
      </c>
      <c r="ZC35">
        <f>SOFR3mo_PX[[#This Row],[Column679]]</f>
        <v>96.495000000000005</v>
      </c>
      <c r="ZD35">
        <f>SOFR3mo_PX[[#This Row],[Column680]]</f>
        <v>96.37</v>
      </c>
      <c r="ZE35">
        <f>SOFR3mo_PX[[#This Row],[Column681]]</f>
        <v>96.295000000000002</v>
      </c>
      <c r="ZF35">
        <f>SOFR3mo_PX[[#This Row],[Column682]]</f>
        <v>96.344999999999999</v>
      </c>
      <c r="ZG35">
        <f>SOFR3mo_PX[[#This Row],[Column683]]</f>
        <v>96.334999999999994</v>
      </c>
      <c r="ZH35">
        <f>SOFR3mo_PX[[#This Row],[Column684]]</f>
        <v>96.04</v>
      </c>
      <c r="ZI35">
        <f>SOFR3mo_PX[[#This Row],[Column685]]</f>
        <v>96.08</v>
      </c>
      <c r="ZJ35">
        <f>SOFR3mo_PX[[#This Row],[Column686]]</f>
        <v>95.995000000000005</v>
      </c>
      <c r="ZK35">
        <f>SOFR3mo_PX[[#This Row],[Column687]]</f>
        <v>96.01</v>
      </c>
      <c r="ZL35">
        <f>SOFR3mo_PX[[#This Row],[Column688]]</f>
        <v>96.04</v>
      </c>
      <c r="ZM35">
        <f>SOFR3mo_PX[[#This Row],[Column689]]</f>
        <v>96.045000000000002</v>
      </c>
      <c r="ZN35">
        <f>SOFR3mo_PX[[#This Row],[Column690]]</f>
        <v>96.025000000000006</v>
      </c>
      <c r="ZO35">
        <f>SOFR3mo_PX[[#This Row],[Column691]]</f>
        <v>95.984999999999999</v>
      </c>
      <c r="ZP35">
        <f>SOFR3mo_PX[[#This Row],[Column692]]</f>
        <v>96.015000000000001</v>
      </c>
      <c r="ZQ35">
        <f>SOFR3mo_PX[[#This Row],[Column693]]</f>
        <v>96.11</v>
      </c>
      <c r="ZR35">
        <f>SOFR3mo_PX[[#This Row],[Column694]]</f>
        <v>96.05</v>
      </c>
      <c r="ZS35">
        <f>SOFR3mo_PX[[#This Row],[Column695]]</f>
        <v>95.96</v>
      </c>
      <c r="ZT35">
        <f>SOFR3mo_PX[[#This Row],[Column696]]</f>
        <v>95.82</v>
      </c>
      <c r="ZU35">
        <f>SOFR3mo_PX[[#This Row],[Column697]]</f>
        <v>95.87</v>
      </c>
      <c r="ZV35">
        <f>SOFR3mo_PX[[#This Row],[Column698]]</f>
        <v>95.94</v>
      </c>
      <c r="ZW35">
        <f>SOFR3mo_PX[[#This Row],[Column699]]</f>
        <v>96.04</v>
      </c>
      <c r="ZX35">
        <f>SOFR3mo_PX[[#This Row],[Column700]]</f>
        <v>96.165000000000006</v>
      </c>
      <c r="ZY35">
        <f>SOFR3mo_PX[[#This Row],[Column701]]</f>
        <v>96.144999999999996</v>
      </c>
      <c r="ZZ35">
        <f>SOFR3mo_PX[[#This Row],[Column702]]</f>
        <v>96.16</v>
      </c>
      <c r="AAA35">
        <f>SOFR3mo_PX[[#This Row],[Column703]]</f>
        <v>96.204999999999998</v>
      </c>
      <c r="AAB35">
        <f>SOFR3mo_PX[[#This Row],[Column704]]</f>
        <v>96.194999999999993</v>
      </c>
      <c r="AAC35">
        <f>SOFR3mo_PX[[#This Row],[Column705]]</f>
        <v>96.155000000000001</v>
      </c>
      <c r="AAD35">
        <f>SOFR3mo_PX[[#This Row],[Column706]]</f>
        <v>96.105000000000004</v>
      </c>
      <c r="AAE35">
        <f>SOFR3mo_PX[[#This Row],[Column707]]</f>
        <v>96.204999999999998</v>
      </c>
      <c r="AAF35">
        <f>SOFR3mo_PX[[#This Row],[Column708]]</f>
        <v>96.25</v>
      </c>
      <c r="AAG35">
        <f>SOFR3mo_PX[[#This Row],[Column709]]</f>
        <v>96.28</v>
      </c>
      <c r="AAH35">
        <f>SOFR3mo_PX[[#This Row],[Column710]]</f>
        <v>96.415000000000006</v>
      </c>
      <c r="AAI35">
        <f>SOFR3mo_PX[[#This Row],[Column711]]</f>
        <v>96.35</v>
      </c>
      <c r="AAJ35">
        <f>SOFR3mo_PX[[#This Row],[Column712]]</f>
        <v>96.2</v>
      </c>
      <c r="AAK35">
        <f>SOFR3mo_PX[[#This Row],[Column713]]</f>
        <v>96.26</v>
      </c>
      <c r="AAL35">
        <f>SOFR3mo_PX[[#This Row],[Column714]]</f>
        <v>96.31</v>
      </c>
      <c r="AAM35">
        <f>SOFR3mo_PX[[#This Row],[Column715]]</f>
        <v>96.19</v>
      </c>
      <c r="AAN35">
        <f>SOFR3mo_PX[[#This Row],[Column716]]</f>
        <v>96.314999999999998</v>
      </c>
      <c r="AAO35">
        <f>SOFR3mo_PX[[#This Row],[Column717]]</f>
        <v>96.49</v>
      </c>
      <c r="AAP35">
        <f>SOFR3mo_PX[[#This Row],[Column718]]</f>
        <v>96.325000000000003</v>
      </c>
      <c r="AAQ35">
        <f>SOFR3mo_PX[[#This Row],[Column719]]</f>
        <v>96.5</v>
      </c>
      <c r="AAR35">
        <f>SOFR3mo_PX[[#This Row],[Column720]]</f>
        <v>96.43</v>
      </c>
      <c r="AAS35">
        <f>SOFR3mo_PX[[#This Row],[Column721]]</f>
        <v>96.52</v>
      </c>
      <c r="AAT35">
        <f>SOFR3mo_PX[[#This Row],[Column722]]</f>
        <v>96.52</v>
      </c>
      <c r="AAU35">
        <f>SOFR3mo_PX[[#This Row],[Column723]]</f>
        <v>96.545000000000002</v>
      </c>
      <c r="AAV35">
        <f>SOFR3mo_PX[[#This Row],[Column724]]</f>
        <v>96.625</v>
      </c>
      <c r="AAW35">
        <f>SOFR3mo_PX[[#This Row],[Column725]]</f>
        <v>96.594999999999999</v>
      </c>
      <c r="AAX35">
        <f>SOFR3mo_PX[[#This Row],[Column726]]</f>
        <v>96.57</v>
      </c>
      <c r="AAY35">
        <f>SOFR3mo_PX[[#This Row],[Column727]]</f>
        <v>96.625</v>
      </c>
      <c r="AAZ35">
        <f>SOFR3mo_PX[[#This Row],[Column728]]</f>
        <v>96.625</v>
      </c>
      <c r="ABA35">
        <f>SOFR3mo_PX[[#This Row],[Column729]]</f>
        <v>96.665000000000006</v>
      </c>
      <c r="ABB35">
        <f>SOFR3mo_PX[[#This Row],[Column730]]</f>
        <v>96.515000000000001</v>
      </c>
      <c r="ABC35">
        <f>SOFR3mo_PX[[#This Row],[Column731]]</f>
        <v>96.685000000000002</v>
      </c>
      <c r="ABD35">
        <f>SOFR3mo_PX[[#This Row],[Column732]]</f>
        <v>96.685000000000002</v>
      </c>
      <c r="ABE35">
        <f>SOFR3mo_PX[[#This Row],[Column733]]</f>
        <v>96.65</v>
      </c>
      <c r="ABF35">
        <f>SOFR3mo_PX[[#This Row],[Column734]]</f>
        <v>96.83</v>
      </c>
      <c r="ABG35">
        <f>SOFR3mo_PX[[#This Row],[Column735]]</f>
        <v>96.87</v>
      </c>
      <c r="ABH35">
        <f>SOFR3mo_PX[[#This Row],[Column736]]</f>
        <v>96.79</v>
      </c>
      <c r="ABI35">
        <f>SOFR3mo_PX[[#This Row],[Column737]]</f>
        <v>96.9</v>
      </c>
      <c r="ABJ35">
        <f>SOFR3mo_PX[[#This Row],[Column738]]</f>
        <v>96.915000000000006</v>
      </c>
      <c r="ABK35">
        <f>SOFR3mo_PX[[#This Row],[Column739]]</f>
        <v>96.825000000000003</v>
      </c>
      <c r="ABL35">
        <f>SOFR3mo_PX[[#This Row],[Column740]]</f>
        <v>96.905000000000001</v>
      </c>
      <c r="ABM35">
        <f>SOFR3mo_PX[[#This Row],[Column741]]</f>
        <v>96.92</v>
      </c>
      <c r="ABN35">
        <f>SOFR3mo_PX[[#This Row],[Column742]]</f>
        <v>96.935000000000002</v>
      </c>
      <c r="ABO35">
        <f>SOFR3mo_PX[[#This Row],[Column743]]</f>
        <v>97.064999999999998</v>
      </c>
      <c r="ABP35">
        <f>SOFR3mo_PX[[#This Row],[Column744]]</f>
        <v>97.055000000000007</v>
      </c>
      <c r="ABQ35">
        <f>SOFR3mo_PX[[#This Row],[Column745]]</f>
        <v>97.13</v>
      </c>
      <c r="ABR35">
        <f>SOFR3mo_PX[[#This Row],[Column746]]</f>
        <v>97.105000000000004</v>
      </c>
      <c r="ABS35">
        <f>SOFR3mo_PX[[#This Row],[Column747]]</f>
        <v>97.02</v>
      </c>
      <c r="ABT35">
        <f>SOFR3mo_PX[[#This Row],[Column748]]</f>
        <v>96.965000000000003</v>
      </c>
      <c r="ABU35">
        <f>SOFR3mo_PX[[#This Row],[Column749]]</f>
        <v>97.15</v>
      </c>
      <c r="ABV35">
        <f>SOFR3mo_PX[[#This Row],[Column750]]</f>
        <v>97.194999999999993</v>
      </c>
      <c r="ABW35">
        <f>SOFR3mo_PX[[#This Row],[Column751]]</f>
        <v>97.155000000000001</v>
      </c>
      <c r="ABX35">
        <f>SOFR3mo_PX[[#This Row],[Column752]]</f>
        <v>97.064999999999998</v>
      </c>
      <c r="ABY35">
        <f>SOFR3mo_PX[[#This Row],[Column753]]</f>
        <v>97.194999999999993</v>
      </c>
      <c r="ABZ35">
        <f>SOFR3mo_PX[[#This Row],[Column754]]</f>
        <v>97.125</v>
      </c>
      <c r="ACA35">
        <f>SOFR3mo_PX[[#This Row],[Column755]]</f>
        <v>97.094999999999999</v>
      </c>
      <c r="ACB35">
        <f>SOFR3mo_PX[[#This Row],[Column756]]</f>
        <v>97.125</v>
      </c>
      <c r="ACC35">
        <f>SOFR3mo_PX[[#This Row],[Column757]]</f>
        <v>97.055000000000007</v>
      </c>
      <c r="ACD35">
        <f>SOFR3mo_PX[[#This Row],[Column758]]</f>
        <v>97.015000000000001</v>
      </c>
      <c r="ACE35">
        <f>SOFR3mo_PX[[#This Row],[Column759]]</f>
        <v>96.97</v>
      </c>
      <c r="ACF35">
        <f>SOFR3mo_PX[[#This Row],[Column760]]</f>
        <v>96.924999999999997</v>
      </c>
      <c r="ACG35">
        <f>SOFR3mo_PX[[#This Row],[Column761]]</f>
        <v>96.89</v>
      </c>
      <c r="ACH35">
        <f>SOFR3mo_PX[[#This Row],[Column762]]</f>
        <v>96.96</v>
      </c>
      <c r="ACI35">
        <f>SOFR3mo_PX[[#This Row],[Column763]]</f>
        <v>96.855000000000004</v>
      </c>
      <c r="ACJ35">
        <f>SOFR3mo_PX[[#This Row],[Column764]]</f>
        <v>96.745000000000005</v>
      </c>
      <c r="ACK35">
        <f>SOFR3mo_PX[[#This Row],[Column765]]</f>
        <v>96.78</v>
      </c>
      <c r="ACL35">
        <f>SOFR3mo_PX[[#This Row],[Column766]]</f>
        <v>96.82</v>
      </c>
      <c r="ACM35">
        <f>SOFR3mo_PX[[#This Row],[Column767]]</f>
        <v>96.844999999999999</v>
      </c>
      <c r="ACN35">
        <f>SOFR3mo_PX[[#This Row],[Column768]]</f>
        <v>96.78</v>
      </c>
      <c r="ACO35">
        <f>SOFR3mo_PX[[#This Row],[Column769]]</f>
        <v>96.81</v>
      </c>
      <c r="ACP35">
        <f>SOFR3mo_PX[[#This Row],[Column770]]</f>
        <v>96.69</v>
      </c>
      <c r="ACQ35">
        <f>SOFR3mo_PX[[#This Row],[Column771]]</f>
        <v>96.635000000000005</v>
      </c>
      <c r="ACR35">
        <f>SOFR3mo_PX[[#This Row],[Column772]]</f>
        <v>96.504999999999995</v>
      </c>
      <c r="ACS35">
        <f>SOFR3mo_PX[[#This Row],[Column773]]</f>
        <v>96.59</v>
      </c>
      <c r="ACT35">
        <f>SOFR3mo_PX[[#This Row],[Column774]]</f>
        <v>96.704999999999998</v>
      </c>
      <c r="ACU35">
        <f>SOFR3mo_PX[[#This Row],[Column775]]</f>
        <v>96.79</v>
      </c>
      <c r="ACV35">
        <f>SOFR3mo_PX[[#This Row],[Column776]]</f>
        <v>96.715000000000003</v>
      </c>
      <c r="ACW35">
        <f>SOFR3mo_PX[[#This Row],[Column777]]</f>
        <v>96.715000000000003</v>
      </c>
      <c r="ACX35">
        <f>SOFR3mo_PX[[#This Row],[Column778]]</f>
        <v>96.685000000000002</v>
      </c>
      <c r="ACY35">
        <f>SOFR3mo_PX[[#This Row],[Column779]]</f>
        <v>96.57</v>
      </c>
      <c r="ACZ35">
        <f>SOFR3mo_PX[[#This Row],[Column780]]</f>
        <v>96.47</v>
      </c>
      <c r="ADA35">
        <f>SOFR3mo_PX[[#This Row],[Column781]]</f>
        <v>96.484999999999999</v>
      </c>
      <c r="ADB35">
        <f>SOFR3mo_PX[[#This Row],[Column782]]</f>
        <v>96.54</v>
      </c>
      <c r="ADC35">
        <f>SOFR3mo_PX[[#This Row],[Column783]]</f>
        <v>96.635000000000005</v>
      </c>
      <c r="ADD35">
        <f>SOFR3mo_PX[[#This Row],[Column784]]</f>
        <v>96.534999999999997</v>
      </c>
      <c r="ADE35">
        <f>SOFR3mo_PX[[#This Row],[Column785]]</f>
        <v>96.405000000000001</v>
      </c>
      <c r="ADF35">
        <f>SOFR3mo_PX[[#This Row],[Column786]]</f>
        <v>96.504999999999995</v>
      </c>
      <c r="ADG35">
        <f>SOFR3mo_PX[[#This Row],[Column787]]</f>
        <v>96.504999999999995</v>
      </c>
      <c r="ADH35">
        <f>SOFR3mo_PX[[#This Row],[Column788]]</f>
        <v>96.424999999999997</v>
      </c>
      <c r="ADI35">
        <f>SOFR3mo_PX[[#This Row],[Column789]]</f>
        <v>96.34</v>
      </c>
      <c r="ADJ35">
        <f>SOFR3mo_PX[[#This Row],[Column790]]</f>
        <v>96.32</v>
      </c>
      <c r="ADK35">
        <f>SOFR3mo_PX[[#This Row],[Column791]]</f>
        <v>96.39</v>
      </c>
      <c r="ADL35">
        <f>SOFR3mo_PX[[#This Row],[Column792]]</f>
        <v>96.594999999999999</v>
      </c>
      <c r="ADM35">
        <f>SOFR3mo_PX[[#This Row],[Column793]]</f>
        <v>96.644999999999996</v>
      </c>
      <c r="ADN35">
        <f>SOFR3mo_PX[[#This Row],[Column794]]</f>
        <v>96.644999999999996</v>
      </c>
      <c r="ADO35">
        <f>SOFR3mo_PX[[#This Row],[Column795]]</f>
        <v>96.694999999999993</v>
      </c>
      <c r="ADP35">
        <f>SOFR3mo_PX[[#This Row],[Column796]]</f>
        <v>96.594999999999999</v>
      </c>
      <c r="ADQ35">
        <f>SOFR3mo_PX[[#This Row],[Column797]]</f>
        <v>96.7</v>
      </c>
      <c r="ADR35">
        <f>SOFR3mo_PX[[#This Row],[Column798]]</f>
        <v>96.75</v>
      </c>
      <c r="ADS35">
        <f>SOFR3mo_PX[[#This Row],[Column799]]</f>
        <v>96.704999999999998</v>
      </c>
      <c r="ADT35">
        <f>SOFR3mo_PX[[#This Row],[Column800]]</f>
        <v>96.74</v>
      </c>
      <c r="ADU35">
        <f>SOFR3mo_PX[[#This Row],[Column801]]</f>
        <v>96.844999999999999</v>
      </c>
      <c r="ADV35">
        <f>SOFR3mo_PX[[#This Row],[Column802]]</f>
        <v>96.844999999999999</v>
      </c>
      <c r="ADW35">
        <f>SOFR3mo_PX[[#This Row],[Column803]]</f>
        <v>96.825000000000003</v>
      </c>
      <c r="ADX35">
        <f>SOFR3mo_PX[[#This Row],[Column804]]</f>
        <v>96.885000000000005</v>
      </c>
      <c r="ADY35">
        <f>SOFR3mo_PX[[#This Row],[Column805]]</f>
        <v>96.9</v>
      </c>
      <c r="ADZ35">
        <f>SOFR3mo_PX[[#This Row],[Column806]]</f>
        <v>96.894999999999996</v>
      </c>
      <c r="AEA35">
        <f>SOFR3mo_PX[[#This Row],[Column807]]</f>
        <v>96.954999999999998</v>
      </c>
      <c r="AEB35">
        <f>SOFR3mo_PX[[#This Row],[Column808]]</f>
        <v>96.83</v>
      </c>
      <c r="AEC35">
        <f>SOFR3mo_PX[[#This Row],[Column809]]</f>
        <v>96.79</v>
      </c>
      <c r="AED35">
        <f>SOFR3mo_PX[[#This Row],[Column810]]</f>
        <v>96.655000000000001</v>
      </c>
      <c r="AEE35">
        <f>SOFR3mo_PX[[#This Row],[Column811]]</f>
        <v>96.73</v>
      </c>
      <c r="AEF35">
        <f>SOFR3mo_PX[[#This Row],[Column812]]</f>
        <v>96.685000000000002</v>
      </c>
      <c r="AEG35">
        <f>SOFR3mo_PX[[#This Row],[Column813]]</f>
        <v>96.784999999999997</v>
      </c>
      <c r="AEH35">
        <f>SOFR3mo_PX[[#This Row],[Column814]]</f>
        <v>96.694999999999993</v>
      </c>
      <c r="AEI35">
        <f>SOFR3mo_PX[[#This Row],[Column815]]</f>
        <v>96.57</v>
      </c>
      <c r="AEJ35">
        <f>SOFR3mo_PX[[#This Row],[Column816]]</f>
        <v>96.474999999999994</v>
      </c>
      <c r="AEK35">
        <f>SOFR3mo_PX[[#This Row],[Column817]]</f>
        <v>96.46</v>
      </c>
      <c r="AEL35">
        <f>SOFR3mo_PX[[#This Row],[Column818]]</f>
        <v>96.58</v>
      </c>
      <c r="AEM35">
        <f>SOFR3mo_PX[[#This Row],[Column819]]</f>
        <v>96.79</v>
      </c>
      <c r="AEN35">
        <f>SOFR3mo_PX[[#This Row],[Column820]]</f>
        <v>96.82</v>
      </c>
      <c r="AEO35">
        <f>SOFR3mo_PX[[#This Row],[Column821]]</f>
        <v>96.754999999999995</v>
      </c>
      <c r="AEP35">
        <f>SOFR3mo_PX[[#This Row],[Column822]]</f>
        <v>96.9</v>
      </c>
      <c r="AEQ35">
        <f>SOFR3mo_PX[[#This Row],[Column823]]</f>
        <v>96.9</v>
      </c>
      <c r="AER35">
        <f>SOFR3mo_PX[[#This Row],[Column824]]</f>
        <v>96.965000000000003</v>
      </c>
      <c r="AES35">
        <f>SOFR3mo_PX[[#This Row],[Column825]]</f>
        <v>97.04</v>
      </c>
      <c r="AET35">
        <f>SOFR3mo_PX[[#This Row],[Column826]]</f>
        <v>97.02</v>
      </c>
      <c r="AEU35">
        <f>SOFR3mo_PX[[#This Row],[Column827]]</f>
        <v>96.935000000000002</v>
      </c>
      <c r="AEV35">
        <f>SOFR3mo_PX[[#This Row],[Column828]]</f>
        <v>96.9</v>
      </c>
      <c r="AEW35">
        <f>SOFR3mo_PX[[#This Row],[Column829]]</f>
        <v>96.954999999999998</v>
      </c>
      <c r="AEX35">
        <f>SOFR3mo_PX[[#This Row],[Column830]]</f>
        <v>96.864999999999995</v>
      </c>
      <c r="AEY35">
        <f>SOFR3mo_PX[[#This Row],[Column831]]</f>
        <v>96.9</v>
      </c>
      <c r="AEZ35">
        <f>SOFR3mo_PX[[#This Row],[Column832]]</f>
        <v>97.02</v>
      </c>
      <c r="AFA35">
        <f>SOFR3mo_PX[[#This Row],[Column833]]</f>
        <v>97.02</v>
      </c>
      <c r="AFB35">
        <f>SOFR3mo_PX[[#This Row],[Column834]]</f>
        <v>97.155000000000001</v>
      </c>
      <c r="AFC35">
        <f>SOFR3mo_PX[[#This Row],[Column835]]</f>
        <v>97.1</v>
      </c>
      <c r="AFD35">
        <f>SOFR3mo_PX[[#This Row],[Column836]]</f>
        <v>97.114999999999995</v>
      </c>
      <c r="AFE35">
        <f>SOFR3mo_PX[[#This Row],[Column837]]</f>
        <v>97.24</v>
      </c>
      <c r="AFF35">
        <f>SOFR3mo_PX[[#This Row],[Column838]]</f>
        <v>97.35</v>
      </c>
      <c r="AFG35">
        <f>SOFR3mo_PX[[#This Row],[Column839]]</f>
        <v>97.504999999999995</v>
      </c>
      <c r="AFH35">
        <f>SOFR3mo_PX[[#This Row],[Column840]]</f>
        <v>97.63</v>
      </c>
      <c r="AFI35">
        <f>SOFR3mo_PX[[#This Row],[Column841]]</f>
        <v>97.73</v>
      </c>
      <c r="AFJ35">
        <f>SOFR3mo_PX[[#This Row],[Column842]]</f>
        <v>97.75</v>
      </c>
      <c r="AFK35">
        <f>SOFR3mo_PX[[#This Row],[Column843]]</f>
        <v>97.81</v>
      </c>
      <c r="AFL35">
        <f>SOFR3mo_PX[[#This Row],[Column844]]</f>
        <v>97.775000000000006</v>
      </c>
      <c r="AFM35">
        <f>SOFR3mo_PX[[#This Row],[Column845]]</f>
        <v>97.734999999999999</v>
      </c>
      <c r="AFN35">
        <f>SOFR3mo_PX[[#This Row],[Column846]]</f>
        <v>97.665000000000006</v>
      </c>
      <c r="AFO35">
        <f>SOFR3mo_PX[[#This Row],[Column847]]</f>
        <v>97.655000000000001</v>
      </c>
      <c r="AFP35">
        <f>SOFR3mo_PX[[#This Row],[Column848]]</f>
        <v>97.79</v>
      </c>
      <c r="AFQ35">
        <f>SOFR3mo_PX[[#This Row],[Column849]]</f>
        <v>97.834999999999994</v>
      </c>
      <c r="AFR35">
        <f>SOFR3mo_PX[[#This Row],[Column850]]</f>
        <v>97.78</v>
      </c>
      <c r="AFS35">
        <f>SOFR3mo_PX[[#This Row],[Column851]]</f>
        <v>97.844999999999999</v>
      </c>
      <c r="AFT35">
        <f>SOFR3mo_PX[[#This Row],[Column852]]</f>
        <v>97.984999999999999</v>
      </c>
      <c r="AFU35">
        <f>SOFR3mo_PX[[#This Row],[Column853]]</f>
        <v>97.91</v>
      </c>
      <c r="AFV35">
        <f>SOFR3mo_PX[[#This Row],[Column854]]</f>
        <v>97.89</v>
      </c>
      <c r="AFW35">
        <f>SOFR3mo_PX[[#This Row],[Column855]]</f>
        <v>97.885000000000005</v>
      </c>
      <c r="AFX35">
        <f>SOFR3mo_PX[[#This Row],[Column856]]</f>
        <v>97.91</v>
      </c>
      <c r="AFY35">
        <f>SOFR3mo_PX[[#This Row],[Column857]]</f>
        <v>98.07</v>
      </c>
      <c r="AFZ35">
        <f>SOFR3mo_PX[[#This Row],[Column858]]</f>
        <v>98.08</v>
      </c>
      <c r="AGA35">
        <f>SOFR3mo_PX[[#This Row],[Column859]]</f>
        <v>98.155000000000001</v>
      </c>
      <c r="AGB35">
        <f>SOFR3mo_PX[[#This Row],[Column860]]</f>
        <v>98.25</v>
      </c>
      <c r="AGC35">
        <f>SOFR3mo_PX[[#This Row],[Column861]]</f>
        <v>98.364999999999995</v>
      </c>
      <c r="AGD35">
        <f>SOFR3mo_PX[[#This Row],[Column862]]</f>
        <v>98.34</v>
      </c>
      <c r="AGE35">
        <f>SOFR3mo_PX[[#This Row],[Column863]]</f>
        <v>98.204999999999998</v>
      </c>
      <c r="AGF35">
        <f>SOFR3mo_PX[[#This Row],[Column864]]</f>
        <v>98.16</v>
      </c>
      <c r="AGG35">
        <f>SOFR3mo_PX[[#This Row],[Column865]]</f>
        <v>98.305000000000007</v>
      </c>
      <c r="AGH35">
        <f>SOFR3mo_PX[[#This Row],[Column866]]</f>
        <v>98.194999999999993</v>
      </c>
      <c r="AGI35">
        <f>SOFR3mo_PX[[#This Row],[Column867]]</f>
        <v>98.055000000000007</v>
      </c>
      <c r="AGJ35">
        <f>SOFR3mo_PX[[#This Row],[Column868]]</f>
        <v>98.064999999999998</v>
      </c>
      <c r="AGK35">
        <f>SOFR3mo_PX[[#This Row],[Column869]]</f>
        <v>98.09</v>
      </c>
      <c r="AGL35">
        <f>SOFR3mo_PX[[#This Row],[Column870]]</f>
        <v>98.13</v>
      </c>
      <c r="AGM35">
        <f>SOFR3mo_PX[[#This Row],[Column871]]</f>
        <v>98.12</v>
      </c>
      <c r="AGN35">
        <f>SOFR3mo_PX[[#This Row],[Column872]]</f>
        <v>98.12</v>
      </c>
      <c r="AGO35">
        <f>SOFR3mo_PX[[#This Row],[Column873]]</f>
        <v>98.075000000000003</v>
      </c>
      <c r="AGP35">
        <f>SOFR3mo_PX[[#This Row],[Column874]]</f>
        <v>97.984999999999999</v>
      </c>
      <c r="AGQ35">
        <f>SOFR3mo_PX[[#This Row],[Column875]]</f>
        <v>97.995000000000005</v>
      </c>
      <c r="AGR35">
        <f>SOFR3mo_PX[[#This Row],[Column876]]</f>
        <v>98.08</v>
      </c>
      <c r="AGS35">
        <f>SOFR3mo_PX[[#This Row],[Column877]]</f>
        <v>98.125</v>
      </c>
      <c r="AGT35">
        <f>SOFR3mo_PX[[#This Row],[Column878]]</f>
        <v>98.015000000000001</v>
      </c>
      <c r="AGU35">
        <f>SOFR3mo_PX[[#This Row],[Column879]]</f>
        <v>98.084999999999994</v>
      </c>
      <c r="AGV35">
        <f>SOFR3mo_PX[[#This Row],[Column880]]</f>
        <v>98.045000000000002</v>
      </c>
      <c r="AGW35">
        <f>SOFR3mo_PX[[#This Row],[Column881]]</f>
        <v>98.084999999999994</v>
      </c>
      <c r="AGX35">
        <f>SOFR3mo_PX[[#This Row],[Column882]]</f>
        <v>98.07</v>
      </c>
      <c r="AGY35">
        <f>SOFR3mo_PX[[#This Row],[Column883]]</f>
        <v>98.185000000000002</v>
      </c>
      <c r="AGZ35">
        <f>SOFR3mo_PX[[#This Row],[Column884]]</f>
        <v>98.22</v>
      </c>
      <c r="AHA35">
        <f>SOFR3mo_PX[[#This Row],[Column885]]</f>
        <v>98.185000000000002</v>
      </c>
      <c r="AHB35">
        <f>SOFR3mo_PX[[#This Row],[Column886]]</f>
        <v>98.194999999999993</v>
      </c>
      <c r="AHC35">
        <f>SOFR3mo_PX[[#This Row],[Column887]]</f>
        <v>98.204999999999998</v>
      </c>
      <c r="AHD35">
        <f>SOFR3mo_PX[[#This Row],[Column888]]</f>
        <v>98.165000000000006</v>
      </c>
      <c r="AHE35">
        <f>SOFR3mo_PX[[#This Row],[Column889]]</f>
        <v>98.06</v>
      </c>
      <c r="AHF35">
        <f>SOFR3mo_PX[[#This Row],[Column890]]</f>
        <v>98.125</v>
      </c>
      <c r="AHG35">
        <f>SOFR3mo_PX[[#This Row],[Column891]]</f>
        <v>98.19</v>
      </c>
      <c r="AHH35">
        <f>SOFR3mo_PX[[#This Row],[Column892]]</f>
        <v>98.174999999999997</v>
      </c>
      <c r="AHI35">
        <f>SOFR3mo_PX[[#This Row],[Column893]]</f>
        <v>98.105000000000004</v>
      </c>
      <c r="AHJ35">
        <f>SOFR3mo_PX[[#This Row],[Column894]]</f>
        <v>98.094999999999999</v>
      </c>
      <c r="AHK35">
        <f>SOFR3mo_PX[[#This Row],[Column895]]</f>
        <v>98.04</v>
      </c>
      <c r="AHL35">
        <f>SOFR3mo_PX[[#This Row],[Column896]]</f>
        <v>98.14</v>
      </c>
      <c r="AHM35">
        <f>SOFR3mo_PX[[#This Row],[Column897]]</f>
        <v>98.14</v>
      </c>
      <c r="AHN35">
        <f>SOFR3mo_PX[[#This Row],[Column898]]</f>
        <v>98.21</v>
      </c>
      <c r="AHO35">
        <f>SOFR3mo_PX[[#This Row],[Column899]]</f>
        <v>98.18</v>
      </c>
      <c r="AHP35">
        <f>SOFR3mo_PX[[#This Row],[Column900]]</f>
        <v>98.135000000000005</v>
      </c>
      <c r="AHQ35">
        <f>SOFR3mo_PX[[#This Row],[Column901]]</f>
        <v>98.084999999999994</v>
      </c>
      <c r="AHR35">
        <f>SOFR3mo_PX[[#This Row],[Column902]]</f>
        <v>98.07</v>
      </c>
      <c r="AHS35">
        <f>SOFR3mo_PX[[#This Row],[Column903]]</f>
        <v>98.08</v>
      </c>
      <c r="AHT35">
        <f>SOFR3mo_PX[[#This Row],[Column904]]</f>
        <v>98.105000000000004</v>
      </c>
      <c r="AHU35">
        <f>SOFR3mo_PX[[#This Row],[Column905]]</f>
        <v>98.12</v>
      </c>
      <c r="AHV35">
        <f>SOFR3mo_PX[[#This Row],[Column906]]</f>
        <v>98.18</v>
      </c>
      <c r="AHW35">
        <f>SOFR3mo_PX[[#This Row],[Column907]]</f>
        <v>98.35</v>
      </c>
      <c r="AHX35">
        <f>SOFR3mo_PX[[#This Row],[Column908]]</f>
        <v>98.334999999999994</v>
      </c>
      <c r="AHY35">
        <f>SOFR3mo_PX[[#This Row],[Column909]]</f>
        <v>98.325000000000003</v>
      </c>
      <c r="AHZ35">
        <f>SOFR3mo_PX[[#This Row],[Column910]]</f>
        <v>98.42</v>
      </c>
      <c r="AIA35">
        <f>SOFR3mo_PX[[#This Row],[Column911]]</f>
        <v>98.39</v>
      </c>
      <c r="AIB35">
        <f>SOFR3mo_PX[[#This Row],[Column912]]</f>
        <v>98.355000000000004</v>
      </c>
      <c r="AIC35">
        <f>SOFR3mo_PX[[#This Row],[Column913]]</f>
        <v>98.355000000000004</v>
      </c>
      <c r="AID35">
        <f>SOFR3mo_PX[[#This Row],[Column914]]</f>
        <v>98.38</v>
      </c>
      <c r="AIE35">
        <f>SOFR3mo_PX[[#This Row],[Column915]]</f>
        <v>98.34</v>
      </c>
      <c r="AIF35">
        <f>SOFR3mo_PX[[#This Row],[Column916]]</f>
        <v>98.435000000000002</v>
      </c>
      <c r="AIG35">
        <f>SOFR3mo_PX[[#This Row],[Column917]]</f>
        <v>98.52</v>
      </c>
      <c r="AIH35">
        <f>SOFR3mo_PX[[#This Row],[Column918]]</f>
        <v>98.48</v>
      </c>
      <c r="AII35">
        <f>SOFR3mo_PX[[#This Row],[Column919]]</f>
        <v>98.46</v>
      </c>
      <c r="AIJ35">
        <f>SOFR3mo_PX[[#This Row],[Column920]]</f>
        <v>98.43</v>
      </c>
      <c r="AIK35">
        <f>SOFR3mo_PX[[#This Row],[Column921]]</f>
        <v>98.424999999999997</v>
      </c>
      <c r="AIL35">
        <f>SOFR3mo_PX[[#This Row],[Column922]]</f>
        <v>98.36</v>
      </c>
      <c r="AIM35">
        <f>SOFR3mo_PX[[#This Row],[Column923]]</f>
        <v>98.385000000000005</v>
      </c>
      <c r="AIN35">
        <f>SOFR3mo_PX[[#This Row],[Column924]]</f>
        <v>98.325000000000003</v>
      </c>
      <c r="AIO35">
        <f>SOFR3mo_PX[[#This Row],[Column925]]</f>
        <v>98.344999999999999</v>
      </c>
      <c r="AIP35">
        <f>SOFR3mo_PX[[#This Row],[Column926]]</f>
        <v>98.36</v>
      </c>
      <c r="AIQ35">
        <f>SOFR3mo_PX[[#This Row],[Column927]]</f>
        <v>98.504999999999995</v>
      </c>
      <c r="AIR35">
        <f>SOFR3mo_PX[[#This Row],[Column928]]</f>
        <v>98.35</v>
      </c>
      <c r="AIS35">
        <f>SOFR3mo_PX[[#This Row],[Column929]]</f>
        <v>98.31</v>
      </c>
      <c r="AIT35">
        <f>SOFR3mo_PX[[#This Row],[Column930]]</f>
        <v>98.254999999999995</v>
      </c>
      <c r="AIU35">
        <f>SOFR3mo_PX[[#This Row],[Column931]]</f>
        <v>98.14</v>
      </c>
      <c r="AIV35">
        <f>SOFR3mo_PX[[#This Row],[Column932]]</f>
        <v>98.29</v>
      </c>
      <c r="AIW35">
        <f>SOFR3mo_PX[[#This Row],[Column933]]</f>
        <v>98.114999999999995</v>
      </c>
      <c r="AIX35">
        <f>SOFR3mo_PX[[#This Row],[Column934]]</f>
        <v>98.114999999999995</v>
      </c>
      <c r="AIY35">
        <f>SOFR3mo_PX[[#This Row],[Column935]]</f>
        <v>98.075000000000003</v>
      </c>
      <c r="AIZ35">
        <f>SOFR3mo_PX[[#This Row],[Column936]]</f>
        <v>98.144999999999996</v>
      </c>
      <c r="AJA35">
        <f>SOFR3mo_PX[[#This Row],[Column937]]</f>
        <v>98.25</v>
      </c>
      <c r="AJB35">
        <f>SOFR3mo_PX[[#This Row],[Column938]]</f>
        <v>98.185000000000002</v>
      </c>
      <c r="AJC35">
        <f>SOFR3mo_PX[[#This Row],[Column939]]</f>
        <v>98.16</v>
      </c>
      <c r="AJD35">
        <f>SOFR3mo_PX[[#This Row],[Column940]]</f>
        <v>98.135000000000005</v>
      </c>
      <c r="AJE35">
        <f>SOFR3mo_PX[[#This Row],[Column941]]</f>
        <v>98.174999999999997</v>
      </c>
      <c r="AJF35">
        <f>SOFR3mo_PX[[#This Row],[Column942]]</f>
        <v>98.17</v>
      </c>
      <c r="AJG35">
        <f>SOFR3mo_PX[[#This Row],[Column943]]</f>
        <v>98.185000000000002</v>
      </c>
      <c r="AJH35">
        <f>SOFR3mo_PX[[#This Row],[Column944]]</f>
        <v>98.194999999999993</v>
      </c>
      <c r="AJI35">
        <f>SOFR3mo_PX[[#This Row],[Column945]]</f>
        <v>98.23</v>
      </c>
      <c r="AJJ35">
        <f>SOFR3mo_PX[[#This Row],[Column946]]</f>
        <v>98.13</v>
      </c>
      <c r="AJK35">
        <f>SOFR3mo_PX[[#This Row],[Column947]]</f>
        <v>98.155000000000001</v>
      </c>
      <c r="AJL35">
        <f>SOFR3mo_PX[[#This Row],[Column948]]</f>
        <v>98.06</v>
      </c>
      <c r="AJM35">
        <f>SOFR3mo_PX[[#This Row],[Column949]]</f>
        <v>98.03</v>
      </c>
      <c r="AJN35">
        <f>SOFR3mo_PX[[#This Row],[Column950]]</f>
        <v>98.05</v>
      </c>
      <c r="AJO35">
        <f>SOFR3mo_PX[[#This Row],[Column951]]</f>
        <v>98.084999999999994</v>
      </c>
      <c r="AJP35">
        <f>SOFR3mo_PX[[#This Row],[Column952]]</f>
        <v>98.125</v>
      </c>
      <c r="AJQ35">
        <f>SOFR3mo_PX[[#This Row],[Column953]]</f>
        <v>98.094999999999999</v>
      </c>
      <c r="AJR35">
        <f>SOFR3mo_PX[[#This Row],[Column954]]</f>
        <v>98.12</v>
      </c>
      <c r="AJS35">
        <f>SOFR3mo_PX[[#This Row],[Column955]]</f>
        <v>97.924999999999997</v>
      </c>
      <c r="AJT35">
        <f>SOFR3mo_PX[[#This Row],[Column956]]</f>
        <v>97.915000000000006</v>
      </c>
      <c r="AJU35">
        <f>SOFR3mo_PX[[#This Row],[Column957]]</f>
        <v>97.87</v>
      </c>
      <c r="AJV35">
        <f>SOFR3mo_PX[[#This Row],[Column958]]</f>
        <v>97.814999999999998</v>
      </c>
      <c r="AJW35">
        <f>SOFR3mo_PX[[#This Row],[Column959]]</f>
        <v>97.85</v>
      </c>
      <c r="AJX35">
        <f>SOFR3mo_PX[[#This Row],[Column960]]</f>
        <v>97.88</v>
      </c>
      <c r="AJY35">
        <f>SOFR3mo_PX[[#This Row],[Column961]]</f>
        <v>97.995000000000005</v>
      </c>
      <c r="AJZ35">
        <f>SOFR3mo_PX[[#This Row],[Column962]]</f>
        <v>97.96</v>
      </c>
      <c r="AKA35">
        <f>SOFR3mo_PX[[#This Row],[Column963]]</f>
        <v>98.015000000000001</v>
      </c>
      <c r="AKB35">
        <f>SOFR3mo_PX[[#This Row],[Column964]]</f>
        <v>97.974999999999994</v>
      </c>
      <c r="AKC35">
        <f>SOFR3mo_PX[[#This Row],[Column965]]</f>
        <v>97.844999999999999</v>
      </c>
      <c r="AKD35">
        <f>SOFR3mo_PX[[#This Row],[Column966]]</f>
        <v>97.75</v>
      </c>
      <c r="AKE35">
        <f>SOFR3mo_PX[[#This Row],[Column967]]</f>
        <v>97.745000000000005</v>
      </c>
      <c r="AKF35">
        <f>SOFR3mo_PX[[#This Row],[Column968]]</f>
        <v>97.795000000000002</v>
      </c>
      <c r="AKG35">
        <f>SOFR3mo_PX[[#This Row],[Column969]]</f>
        <v>97.86</v>
      </c>
      <c r="AKH35">
        <f>SOFR3mo_PX[[#This Row],[Column970]]</f>
        <v>97.84</v>
      </c>
      <c r="AKI35">
        <f>SOFR3mo_PX[[#This Row],[Column971]]</f>
        <v>97.89</v>
      </c>
      <c r="AKJ35">
        <f>SOFR3mo_PX[[#This Row],[Column972]]</f>
        <v>97.864999999999995</v>
      </c>
      <c r="AKK35">
        <f>SOFR3mo_PX[[#This Row],[Column973]]</f>
        <v>97.82</v>
      </c>
      <c r="AKL35">
        <f>SOFR3mo_PX[[#This Row],[Column974]]</f>
        <v>97.81</v>
      </c>
      <c r="AKM35">
        <f>SOFR3mo_PX[[#This Row],[Column975]]</f>
        <v>97.86</v>
      </c>
      <c r="AKN35">
        <f>SOFR3mo_PX[[#This Row],[Column976]]</f>
        <v>97.965000000000003</v>
      </c>
      <c r="AKO35">
        <f>SOFR3mo_PX[[#This Row],[Column977]]</f>
        <v>98.015000000000001</v>
      </c>
      <c r="AKP35">
        <f>SOFR3mo_PX[[#This Row],[Column978]]</f>
        <v>98.094999999999999</v>
      </c>
      <c r="AKQ35">
        <f>SOFR3mo_PX[[#This Row],[Column979]]</f>
        <v>98.19</v>
      </c>
      <c r="AKR35">
        <f>SOFR3mo_PX[[#This Row],[Column980]]</f>
        <v>98.105000000000004</v>
      </c>
      <c r="AKS35">
        <f>SOFR3mo_PX[[#This Row],[Column981]]</f>
        <v>98.114999999999995</v>
      </c>
      <c r="AKT35">
        <f>SOFR3mo_PX[[#This Row],[Column982]]</f>
        <v>98.04</v>
      </c>
      <c r="AKU35">
        <f>SOFR3mo_PX[[#This Row],[Column983]]</f>
        <v>98.11</v>
      </c>
      <c r="AKV35">
        <f>SOFR3mo_PX[[#This Row],[Column984]]</f>
        <v>98.15</v>
      </c>
      <c r="AKW35">
        <f>SOFR3mo_PX[[#This Row],[Column985]]</f>
        <v>98.204999999999998</v>
      </c>
      <c r="AKX35">
        <f>SOFR3mo_PX[[#This Row],[Column986]]</f>
        <v>98.125</v>
      </c>
      <c r="AKY35">
        <f>SOFR3mo_PX[[#This Row],[Column987]]</f>
        <v>98.094999999999999</v>
      </c>
      <c r="AKZ35">
        <f>SOFR3mo_PX[[#This Row],[Column988]]</f>
        <v>98.174999999999997</v>
      </c>
      <c r="ALA35">
        <f>SOFR3mo_PX[[#This Row],[Column989]]</f>
        <v>98.135000000000005</v>
      </c>
      <c r="ALB35">
        <f>SOFR3mo_PX[[#This Row],[Column990]]</f>
        <v>98.084999999999994</v>
      </c>
      <c r="ALC35">
        <f>SOFR3mo_PX[[#This Row],[Column991]]</f>
        <v>98.135000000000005</v>
      </c>
      <c r="ALD35">
        <f>SOFR3mo_PX[[#This Row],[Column992]]</f>
        <v>98.135000000000005</v>
      </c>
      <c r="ALE35">
        <f>SOFR3mo_PX[[#This Row],[Column993]]</f>
        <v>98.194999999999993</v>
      </c>
      <c r="ALF35">
        <f>SOFR3mo_PX[[#This Row],[Column994]]</f>
        <v>98.185000000000002</v>
      </c>
      <c r="ALG35">
        <f>SOFR3mo_PX[[#This Row],[Column995]]</f>
        <v>98.17</v>
      </c>
      <c r="ALH35">
        <f>SOFR3mo_PX[[#This Row],[Column996]]</f>
        <v>98.215000000000003</v>
      </c>
      <c r="ALI35">
        <f>SOFR3mo_PX[[#This Row],[Column997]]</f>
        <v>98.23</v>
      </c>
      <c r="ALJ35">
        <f>SOFR3mo_PX[[#This Row],[Column998]]</f>
        <v>98.204999999999998</v>
      </c>
      <c r="ALK35">
        <f>SOFR3mo_PX[[#This Row],[Column999]]</f>
        <v>98.215000000000003</v>
      </c>
      <c r="ALL35">
        <f>SOFR3mo_PX[[#This Row],[Column1000]]</f>
        <v>98.29</v>
      </c>
      <c r="ALM35">
        <f>SOFR3mo_PX[[#This Row],[Column1001]]</f>
        <v>98.344999999999999</v>
      </c>
      <c r="ALN35">
        <f>SOFR3mo_PX[[#This Row],[Column1002]]</f>
        <v>98.334999999999994</v>
      </c>
      <c r="ALO35">
        <f>SOFR3mo_PX[[#This Row],[Column1003]]</f>
        <v>98.36</v>
      </c>
      <c r="ALP35">
        <f>SOFR3mo_PX[[#This Row],[Column1004]]</f>
        <v>98.31</v>
      </c>
      <c r="ALQ35">
        <f>SOFR3mo_PX[[#This Row],[Column1005]]</f>
        <v>98.35</v>
      </c>
      <c r="ALR35">
        <f>SOFR3mo_PX[[#This Row],[Column1006]]</f>
        <v>98.355000000000004</v>
      </c>
      <c r="ALS35">
        <f>SOFR3mo_PX[[#This Row],[Column1007]]</f>
        <v>98.305000000000007</v>
      </c>
      <c r="ALT35">
        <f>SOFR3mo_PX[[#This Row],[Column1008]]</f>
        <v>98.21</v>
      </c>
      <c r="ALU35">
        <f>SOFR3mo_PX[[#This Row],[Column1009]]</f>
        <v>98.23</v>
      </c>
      <c r="ALV35">
        <f>SOFR3mo_PX[[#This Row],[Column1010]]</f>
        <v>98.254999999999995</v>
      </c>
      <c r="ALW35">
        <f>SOFR3mo_PX[[#This Row],[Column1011]]</f>
        <v>98.265000000000001</v>
      </c>
      <c r="ALX35">
        <f>SOFR3mo_PX[[#This Row],[Column1012]]</f>
        <v>98.3</v>
      </c>
      <c r="ALY35">
        <f>SOFR3mo_PX[[#This Row],[Column1013]]</f>
        <v>98.394999999999996</v>
      </c>
      <c r="ALZ35">
        <f>SOFR3mo_PX[[#This Row],[Column1014]]</f>
        <v>98.39</v>
      </c>
      <c r="AMA35">
        <f>SOFR3mo_PX[[#This Row],[Column1015]]</f>
        <v>98.385000000000005</v>
      </c>
      <c r="AMB35">
        <f>SOFR3mo_PX[[#This Row],[Column1016]]</f>
        <v>98.39</v>
      </c>
      <c r="AMC35">
        <f>SOFR3mo_PX[[#This Row],[Column1017]]</f>
        <v>98.295000000000002</v>
      </c>
      <c r="AMD35">
        <f>SOFR3mo_PX[[#This Row],[Column1018]]</f>
        <v>98.275000000000006</v>
      </c>
      <c r="AME35">
        <f>SOFR3mo_PX[[#This Row],[Column1019]]</f>
        <v>98.3</v>
      </c>
      <c r="AMF35">
        <f>SOFR3mo_PX[[#This Row],[Column1020]]</f>
        <v>98.32</v>
      </c>
      <c r="AMG35">
        <f>SOFR3mo_PX[[#This Row],[Column1021]]</f>
        <v>98.284999999999997</v>
      </c>
      <c r="AMH35">
        <f>SOFR3mo_PX[[#This Row],[Column1022]]</f>
        <v>98.265000000000001</v>
      </c>
      <c r="AMI35">
        <f>SOFR3mo_PX[[#This Row],[Column1023]]</f>
        <v>98.29</v>
      </c>
      <c r="AMJ35">
        <f>SOFR3mo_PX[[#This Row],[Column1024]]</f>
        <v>98.284999999999997</v>
      </c>
      <c r="AMK35">
        <f>SOFR3mo_PX[[#This Row],[Column1025]]</f>
        <v>98.4</v>
      </c>
      <c r="AML35">
        <f>SOFR3mo_PX[[#This Row],[Column1026]]</f>
        <v>98.495000000000005</v>
      </c>
      <c r="AMM35">
        <f>SOFR3mo_PX[[#This Row],[Column1027]]</f>
        <v>98.314999999999998</v>
      </c>
      <c r="AMN35">
        <f>SOFR3mo_PX[[#This Row],[Column1028]]</f>
        <v>98.29</v>
      </c>
      <c r="AMO35">
        <f>SOFR3mo_PX[[#This Row],[Column1029]]</f>
        <v>98.185000000000002</v>
      </c>
      <c r="AMP35">
        <f>SOFR3mo_PX[[#This Row],[Column1030]]</f>
        <v>98.094999999999999</v>
      </c>
      <c r="AMQ35">
        <f>SOFR3mo_PX[[#This Row],[Column1031]]</f>
        <v>98.16</v>
      </c>
      <c r="AMR35">
        <f>SOFR3mo_PX[[#This Row],[Column1032]]</f>
        <v>98.155000000000001</v>
      </c>
      <c r="AMS35">
        <f>SOFR3mo_PX[[#This Row],[Column1033]]</f>
        <v>98.25</v>
      </c>
      <c r="AMT35">
        <f>SOFR3mo_PX[[#This Row],[Column1034]]</f>
        <v>98.234999999999999</v>
      </c>
      <c r="AMU35">
        <f>SOFR3mo_PX[[#This Row],[Column1035]]</f>
        <v>98.18</v>
      </c>
      <c r="AMV35">
        <f>SOFR3mo_PX[[#This Row],[Column1036]]</f>
        <v>98.094999999999999</v>
      </c>
      <c r="AMW35">
        <f>SOFR3mo_PX[[#This Row],[Column1037]]</f>
        <v>98.094999999999999</v>
      </c>
      <c r="AMX35">
        <f>SOFR3mo_PX[[#This Row],[Column1038]]</f>
        <v>98.03</v>
      </c>
      <c r="AMY35">
        <f>SOFR3mo_PX[[#This Row],[Column1039]]</f>
        <v>98.064999999999998</v>
      </c>
      <c r="AMZ35">
        <f>SOFR3mo_PX[[#This Row],[Column1040]]</f>
        <v>97.974999999999994</v>
      </c>
      <c r="ANA35">
        <f>SOFR3mo_PX[[#This Row],[Column1041]]</f>
        <v>97.965000000000003</v>
      </c>
      <c r="ANB35">
        <f>SOFR3mo_PX[[#This Row],[Column1042]]</f>
        <v>97.88</v>
      </c>
      <c r="ANC35">
        <f>SOFR3mo_PX[[#This Row],[Column1043]]</f>
        <v>97.93</v>
      </c>
      <c r="AND35">
        <f>SOFR3mo_PX[[#This Row],[Column1044]]</f>
        <v>97.92</v>
      </c>
      <c r="ANE35">
        <f>SOFR3mo_PX[[#This Row],[Column1045]]</f>
        <v>97.954999999999998</v>
      </c>
      <c r="ANF35">
        <f>SOFR3mo_PX[[#This Row],[Column1046]]</f>
        <v>97.95</v>
      </c>
      <c r="ANG35">
        <f>SOFR3mo_PX[[#This Row],[Column1047]]</f>
        <v>98.01</v>
      </c>
      <c r="ANH35">
        <f>SOFR3mo_PX[[#This Row],[Column1048]]</f>
        <v>97.894999999999996</v>
      </c>
      <c r="ANI35">
        <f>SOFR3mo_PX[[#This Row],[Column1049]]</f>
        <v>97.754999999999995</v>
      </c>
      <c r="ANJ35">
        <f>SOFR3mo_PX[[#This Row],[Column1050]]</f>
        <v>97.784999999999997</v>
      </c>
      <c r="ANK35">
        <f>SOFR3mo_PX[[#This Row],[Column1051]]</f>
        <v>97.77</v>
      </c>
      <c r="ANL35">
        <f>SOFR3mo_PX[[#This Row],[Column1052]]</f>
        <v>97.704999999999998</v>
      </c>
      <c r="ANM35">
        <f>SOFR3mo_PX[[#This Row],[Column1053]]</f>
        <v>97.724999999999994</v>
      </c>
      <c r="ANN35">
        <f>SOFR3mo_PX[[#This Row],[Column1054]]</f>
        <v>97.69</v>
      </c>
      <c r="ANO35">
        <f>SOFR3mo_PX[[#This Row],[Column1055]]</f>
        <v>97.64</v>
      </c>
      <c r="ANP35">
        <f>SOFR3mo_PX[[#This Row],[Column1056]]</f>
        <v>97.594999999999999</v>
      </c>
      <c r="ANQ35">
        <f>SOFR3mo_PX[[#This Row],[Column1057]]</f>
        <v>97.584999999999994</v>
      </c>
      <c r="ANR35">
        <f>SOFR3mo_PX[[#This Row],[Column1058]]</f>
        <v>97.49</v>
      </c>
      <c r="ANS35">
        <f>SOFR3mo_PX[[#This Row],[Column1059]]</f>
        <v>97.54</v>
      </c>
      <c r="ANT35">
        <f>SOFR3mo_PX[[#This Row],[Column1060]]</f>
        <v>97.504999999999995</v>
      </c>
      <c r="ANU35">
        <f>SOFR3mo_PX[[#This Row],[Column1061]]</f>
        <v>97.55</v>
      </c>
      <c r="ANV35">
        <f>SOFR3mo_PX[[#This Row],[Column1062]]</f>
        <v>97.55</v>
      </c>
      <c r="ANW35">
        <f>SOFR3mo_PX[[#This Row],[Column1063]]</f>
        <v>97.564999999999998</v>
      </c>
      <c r="ANX35">
        <f>SOFR3mo_PX[[#This Row],[Column1064]]</f>
        <v>97.614999999999995</v>
      </c>
      <c r="ANY35">
        <f>SOFR3mo_PX[[#This Row],[Column1065]]</f>
        <v>97.635000000000005</v>
      </c>
      <c r="ANZ35">
        <f>SOFR3mo_PX[[#This Row],[Column1066]]</f>
        <v>97.584999999999994</v>
      </c>
      <c r="AOA35">
        <f>SOFR3mo_PX[[#This Row],[Column1067]]</f>
        <v>97.545000000000002</v>
      </c>
      <c r="AOB35">
        <f>SOFR3mo_PX[[#This Row],[Column1068]]</f>
        <v>97.55</v>
      </c>
      <c r="AOC35">
        <f>SOFR3mo_PX[[#This Row],[Column1069]]</f>
        <v>97.49</v>
      </c>
      <c r="AOD35">
        <f>SOFR3mo_PX[[#This Row],[Column1070]]</f>
        <v>97.53</v>
      </c>
      <c r="AOE35">
        <f>SOFR3mo_PX[[#This Row],[Column1071]]</f>
        <v>97.534999999999997</v>
      </c>
      <c r="AOF35">
        <f>SOFR3mo_PX[[#This Row],[Column1072]]</f>
        <v>97.545000000000002</v>
      </c>
      <c r="AOG35">
        <f>SOFR3mo_PX[[#This Row],[Column1073]]</f>
        <v>97.5</v>
      </c>
      <c r="AOH35">
        <f>SOFR3mo_PX[[#This Row],[Column1074]]</f>
        <v>97.444999999999993</v>
      </c>
      <c r="AOI35">
        <f>SOFR3mo_PX[[#This Row],[Column1075]]</f>
        <v>97.545000000000002</v>
      </c>
      <c r="AOJ35">
        <f>SOFR3mo_PX[[#This Row],[Column1076]]</f>
        <v>97.57</v>
      </c>
      <c r="AOK35">
        <f>SOFR3mo_PX[[#This Row],[Column1077]]</f>
        <v>97.605000000000004</v>
      </c>
      <c r="AOL35">
        <f>SOFR3mo_PX[[#This Row],[Column1078]]</f>
        <v>97.62</v>
      </c>
      <c r="AOM35">
        <f>SOFR3mo_PX[[#This Row],[Column1079]]</f>
        <v>97.594999999999999</v>
      </c>
      <c r="AON35">
        <f>SOFR3mo_PX[[#This Row],[Column1080]]</f>
        <v>97.57</v>
      </c>
      <c r="AOO35">
        <f>SOFR3mo_PX[[#This Row],[Column1081]]</f>
        <v>97.545000000000002</v>
      </c>
      <c r="AOP35">
        <f>SOFR3mo_PX[[#This Row],[Column1082]]</f>
        <v>97.51</v>
      </c>
      <c r="AOQ35">
        <f>SOFR3mo_PX[[#This Row],[Column1083]]</f>
        <v>97.51</v>
      </c>
      <c r="AOR35">
        <f>SOFR3mo_PX[[#This Row],[Column1084]]</f>
        <v>97.534999999999997</v>
      </c>
      <c r="AOS35">
        <f>SOFR3mo_PX[[#This Row],[Column1085]]</f>
        <v>97.545000000000002</v>
      </c>
      <c r="AOT35">
        <f>SOFR3mo_PX[[#This Row],[Column1086]]</f>
        <v>97.605000000000004</v>
      </c>
      <c r="AOU35">
        <f>SOFR3mo_PX[[#This Row],[Column1087]]</f>
        <v>97.614999999999995</v>
      </c>
      <c r="AOV35">
        <f>SOFR3mo_PX[[#This Row],[Column1088]]</f>
        <v>97.64</v>
      </c>
      <c r="AOW35">
        <f>SOFR3mo_PX[[#This Row],[Column1089]]</f>
        <v>97.64</v>
      </c>
      <c r="AOX35">
        <f>SOFR3mo_PX[[#This Row],[Column1090]]</f>
        <v>97.644999999999996</v>
      </c>
      <c r="AOY35">
        <f>SOFR3mo_PX[[#This Row],[Column1091]]</f>
        <v>97.62</v>
      </c>
      <c r="AOZ35">
        <f>SOFR3mo_PX[[#This Row],[Column1092]]</f>
        <v>97.635000000000005</v>
      </c>
      <c r="APA35">
        <f>SOFR3mo_PX[[#This Row],[Column1093]]</f>
        <v>97.674999999999997</v>
      </c>
      <c r="APB35">
        <f>SOFR3mo_PX[[#This Row],[Column1094]]</f>
        <v>97.53</v>
      </c>
      <c r="APC35">
        <f>SOFR3mo_PX[[#This Row],[Column1095]]</f>
        <v>97.52</v>
      </c>
      <c r="APD35">
        <f>SOFR3mo_PX[[#This Row],[Column1096]]</f>
        <v>97.424999999999997</v>
      </c>
      <c r="APE35">
        <f>SOFR3mo_PX[[#This Row],[Column1097]]</f>
        <v>97.435000000000002</v>
      </c>
      <c r="APF35">
        <f>SOFR3mo_PX[[#This Row],[Column1098]]</f>
        <v>97.465000000000003</v>
      </c>
      <c r="APG35">
        <f>SOFR3mo_PX[[#This Row],[Column1099]]</f>
        <v>97.424999999999997</v>
      </c>
      <c r="APH35">
        <f>SOFR3mo_PX[[#This Row],[Column1100]]</f>
        <v>97.4</v>
      </c>
      <c r="API35">
        <f>SOFR3mo_PX[[#This Row],[Column1101]]</f>
        <v>97.295000000000002</v>
      </c>
      <c r="APJ35">
        <f>SOFR3mo_PX[[#This Row],[Column1102]]</f>
        <v>97.28</v>
      </c>
      <c r="APK35">
        <f>SOFR3mo_PX[[#This Row],[Column1103]]</f>
        <v>97.344999999999999</v>
      </c>
      <c r="APL35">
        <f>SOFR3mo_PX[[#This Row],[Column1104]]</f>
        <v>97.215000000000003</v>
      </c>
      <c r="APM35">
        <f>SOFR3mo_PX[[#This Row],[Column1105]]</f>
        <v>97.25</v>
      </c>
      <c r="APN35">
        <f>SOFR3mo_PX[[#This Row],[Column1106]]</f>
        <v>97.275000000000006</v>
      </c>
      <c r="APO35">
        <f>SOFR3mo_PX[[#This Row],[Column1107]]</f>
        <v>97.355000000000004</v>
      </c>
      <c r="APP35">
        <f>SOFR3mo_PX[[#This Row],[Column1108]]</f>
        <v>97.415000000000006</v>
      </c>
      <c r="APQ35">
        <f>SOFR3mo_PX[[#This Row],[Column1109]]</f>
        <v>97.38</v>
      </c>
      <c r="APR35">
        <f>SOFR3mo_PX[[#This Row],[Column1110]]</f>
        <v>97.36</v>
      </c>
      <c r="APS35">
        <f>SOFR3mo_PX[[#This Row],[Column1111]]</f>
        <v>97.3</v>
      </c>
      <c r="APT35">
        <f>SOFR3mo_PX[[#This Row],[Column1112]]</f>
        <v>97.254999999999995</v>
      </c>
      <c r="APU35">
        <f>SOFR3mo_PX[[#This Row],[Column1113]]</f>
        <v>97.44</v>
      </c>
      <c r="APV35">
        <f>SOFR3mo_PX[[#This Row],[Column1114]]</f>
        <v>97.63</v>
      </c>
      <c r="APW35">
        <f>SOFR3mo_PX[[#This Row],[Column1115]]</f>
        <v>97.594999999999999</v>
      </c>
      <c r="APX35">
        <f>SOFR3mo_PX[[#This Row],[Column1116]]</f>
        <v>97.59</v>
      </c>
      <c r="APY35">
        <f>SOFR3mo_PX[[#This Row],[Column1117]]</f>
        <v>97.575000000000003</v>
      </c>
      <c r="APZ35">
        <f>SOFR3mo_PX[[#This Row],[Column1118]]</f>
        <v>97.644999999999996</v>
      </c>
      <c r="AQA35">
        <f>SOFR3mo_PX[[#This Row],[Column1119]]</f>
        <v>97.66</v>
      </c>
      <c r="AQB35">
        <f>SOFR3mo_PX[[#This Row],[Column1120]]</f>
        <v>97.63</v>
      </c>
      <c r="AQC35">
        <f>SOFR3mo_PX[[#This Row],[Column1121]]</f>
        <v>97.575000000000003</v>
      </c>
      <c r="AQD35">
        <f>SOFR3mo_PX[[#This Row],[Column1122]]</f>
        <v>97.64</v>
      </c>
      <c r="AQE35">
        <f>SOFR3mo_PX[[#This Row],[Column1123]]</f>
        <v>97.63</v>
      </c>
      <c r="AQF35">
        <f>SOFR3mo_PX[[#This Row],[Column1124]]</f>
        <v>97.694999999999993</v>
      </c>
      <c r="AQG35">
        <f>SOFR3mo_PX[[#This Row],[Column1125]]</f>
        <v>97.75</v>
      </c>
      <c r="AQH35">
        <f>SOFR3mo_PX[[#This Row],[Column1126]]</f>
        <v>97.71</v>
      </c>
      <c r="AQI35">
        <f>SOFR3mo_PX[[#This Row],[Column1127]]</f>
        <v>97.6</v>
      </c>
      <c r="AQJ35">
        <f>SOFR3mo_PX[[#This Row],[Column1128]]</f>
        <v>97.605000000000004</v>
      </c>
      <c r="AQK35">
        <f>SOFR3mo_PX[[#This Row],[Column1129]]</f>
        <v>97.694999999999993</v>
      </c>
      <c r="AQL35">
        <f>SOFR3mo_PX[[#This Row],[Column1130]]</f>
        <v>97.72</v>
      </c>
      <c r="AQM35">
        <f>SOFR3mo_PX[[#This Row],[Column1131]]</f>
        <v>97.71</v>
      </c>
      <c r="AQN35">
        <f>SOFR3mo_PX[[#This Row],[Column1132]]</f>
        <v>97.745000000000005</v>
      </c>
      <c r="AQO35">
        <f>SOFR3mo_PX[[#This Row],[Column1133]]</f>
        <v>97.79</v>
      </c>
      <c r="AQP35">
        <f>SOFR3mo_PX[[#This Row],[Column1134]]</f>
        <v>97.844999999999999</v>
      </c>
      <c r="AQQ35">
        <f>SOFR3mo_PX[[#This Row],[Column1135]]</f>
        <v>97.87</v>
      </c>
      <c r="AQR35">
        <f>SOFR3mo_PX[[#This Row],[Column1136]]</f>
        <v>97.99</v>
      </c>
      <c r="AQS35">
        <f>SOFR3mo_PX[[#This Row],[Column1137]]</f>
        <v>97.99</v>
      </c>
      <c r="AQT35">
        <f>SOFR3mo_PX[[#This Row],[Column1138]]</f>
        <v>98.094999999999999</v>
      </c>
      <c r="AQU35">
        <f>SOFR3mo_PX[[#This Row],[Column1139]]</f>
        <v>98.105000000000004</v>
      </c>
      <c r="AQV35">
        <f>SOFR3mo_PX[[#This Row],[Column1140]]</f>
        <v>98.09</v>
      </c>
      <c r="AQW35">
        <f>SOFR3mo_PX[[#This Row],[Column1141]]</f>
        <v>98.08</v>
      </c>
      <c r="AQX35">
        <f>SOFR3mo_PX[[#This Row],[Column1142]]</f>
        <v>98.1</v>
      </c>
      <c r="AQY35">
        <f>SOFR3mo_PX[[#This Row],[Column1143]]</f>
        <v>98.105000000000004</v>
      </c>
      <c r="AQZ35">
        <f>SOFR3mo_PX[[#This Row],[Column1144]]</f>
        <v>98.245000000000005</v>
      </c>
      <c r="ARA35">
        <f>SOFR3mo_PX[[#This Row],[Column1145]]</f>
        <v>98.26</v>
      </c>
      <c r="ARB35">
        <f>SOFR3mo_PX[[#This Row],[Column1146]]</f>
        <v>98.325000000000003</v>
      </c>
      <c r="ARC35">
        <f>SOFR3mo_PX[[#This Row],[Column1147]]</f>
        <v>98.325000000000003</v>
      </c>
      <c r="ARD35">
        <f>SOFR3mo_PX[[#This Row],[Column1148]]</f>
        <v>98.33</v>
      </c>
      <c r="ARE35">
        <f>SOFR3mo_PX[[#This Row],[Column1149]]</f>
        <v>98.325000000000003</v>
      </c>
      <c r="ARF35">
        <f>SOFR3mo_PX[[#This Row],[Column1150]]</f>
        <v>98.32</v>
      </c>
      <c r="ARG35">
        <f>SOFR3mo_PX[[#This Row],[Column1151]]</f>
        <v>98.325000000000003</v>
      </c>
      <c r="ARH35">
        <f>SOFR3mo_PX[[#This Row],[Column1152]]</f>
        <v>98.325000000000003</v>
      </c>
      <c r="ARI35">
        <f>SOFR3mo_PX[[#This Row],[Column1153]]</f>
        <v>98.32</v>
      </c>
      <c r="ARJ35">
        <f>SOFR3mo_PX[[#This Row],[Column1154]]</f>
        <v>98.334999999999994</v>
      </c>
      <c r="ARK35">
        <f>SOFR3mo_PX[[#This Row],[Column1155]]</f>
        <v>98.334999999999994</v>
      </c>
      <c r="ARL35">
        <f>SOFR3mo_PX[[#This Row],[Column1156]]</f>
        <v>98.325000000000003</v>
      </c>
      <c r="ARM35">
        <f>SOFR3mo_PX[[#This Row],[Column1157]]</f>
        <v>98.325000000000003</v>
      </c>
      <c r="ARN35">
        <f>SOFR3mo_PX[[#This Row],[Column1158]]</f>
        <v>98.325000000000003</v>
      </c>
      <c r="ARO35">
        <f>SOFR3mo_PX[[#This Row],[Column1159]]</f>
        <v>98.31</v>
      </c>
      <c r="ARP35">
        <f>SOFR3mo_PX[[#This Row],[Column1160]]</f>
        <v>98.284999999999997</v>
      </c>
      <c r="ARQ35">
        <f>SOFR3mo_PX[[#This Row],[Column1161]]</f>
        <v>98.29</v>
      </c>
      <c r="ARR35">
        <f>SOFR3mo_PX[[#This Row],[Column1162]]</f>
        <v>98.295000000000002</v>
      </c>
      <c r="ARS35">
        <f>SOFR3mo_PX[[#This Row],[Column1163]]</f>
        <v>98.334999999999994</v>
      </c>
      <c r="ART35">
        <f>SOFR3mo_PX[[#This Row],[Column1164]]</f>
        <v>98.564999999999998</v>
      </c>
      <c r="ARU35">
        <f>SOFR3mo_PX[[#This Row],[Column1165]]</f>
        <v>98.61</v>
      </c>
      <c r="ARV35">
        <f>SOFR3mo_PX[[#This Row],[Column1166]]</f>
        <v>98.62</v>
      </c>
      <c r="ARW35">
        <f>SOFR3mo_PX[[#This Row],[Column1167]]</f>
        <v>98.61</v>
      </c>
      <c r="ARX35">
        <f>SOFR3mo_PX[[#This Row],[Column1168]]</f>
        <v>98.61</v>
      </c>
      <c r="ARY35">
        <f>SOFR3mo_PX[[#This Row],[Column1169]]</f>
        <v>98.6</v>
      </c>
      <c r="ARZ35">
        <f>SOFR3mo_PX[[#This Row],[Column1170]]</f>
        <v>98.584999999999994</v>
      </c>
      <c r="ASA35">
        <f>SOFR3mo_PX[[#This Row],[Column1171]]</f>
        <v>98.58</v>
      </c>
      <c r="ASB35">
        <f>SOFR3mo_PX[[#This Row],[Column1172]]</f>
        <v>98.584999999999994</v>
      </c>
      <c r="ASC35">
        <f>SOFR3mo_PX[[#This Row],[Column1173]]</f>
        <v>98.584999999999994</v>
      </c>
      <c r="ASD35">
        <f>SOFR3mo_PX[[#This Row],[Column1174]]</f>
        <v>98.584999999999994</v>
      </c>
      <c r="ASE35">
        <f>SOFR3mo_PX[[#This Row],[Column1175]]</f>
        <v>98.59</v>
      </c>
      <c r="ASF35">
        <f>SOFR3mo_PX[[#This Row],[Column1176]]</f>
        <v>98.584999999999994</v>
      </c>
      <c r="ASG35">
        <f>SOFR3mo_PX[[#This Row],[Column1177]]</f>
        <v>98.584999999999994</v>
      </c>
      <c r="ASH35">
        <f>SOFR3mo_PX[[#This Row],[Column1178]]</f>
        <v>98.68</v>
      </c>
      <c r="ASI35">
        <f>SOFR3mo_PX[[#This Row],[Column1179]]</f>
        <v>98.69</v>
      </c>
      <c r="ASJ35">
        <f>SOFR3mo_PX[[#This Row],[Column1180]]</f>
        <v>98.7</v>
      </c>
      <c r="ASK35">
        <f>SOFR3mo_PX[[#This Row],[Column1181]]</f>
        <v>98.7</v>
      </c>
      <c r="ASL35">
        <f>SOFR3mo_PX[[#This Row],[Column1182]]</f>
        <v>98.7</v>
      </c>
      <c r="ASM35">
        <f>SOFR3mo_PX[[#This Row],[Column1183]]</f>
        <v>99.034999999999997</v>
      </c>
      <c r="ASN35">
        <f>SOFR3mo_PX[[#This Row],[Column1184]]</f>
        <v>99.415000000000006</v>
      </c>
      <c r="ASO35">
        <f>SOFR3mo_PX[[#This Row],[Column1185]]</f>
        <v>99.52</v>
      </c>
      <c r="ASP35">
        <f>SOFR3mo_PX[[#This Row],[Column1186]]</f>
        <v>99.52</v>
      </c>
      <c r="ASQ35">
        <f>SOFR3mo_PX[[#This Row],[Column1187]]</f>
        <v>99.53</v>
      </c>
      <c r="ASR35">
        <f>SOFR3mo_PX[[#This Row],[Column1188]]</f>
        <v>99.545000000000002</v>
      </c>
      <c r="ASS35">
        <f>SOFR3mo_PX[[#This Row],[Column1189]]</f>
        <v>99.55</v>
      </c>
      <c r="AST35">
        <f>SOFR3mo_PX[[#This Row],[Column1190]]</f>
        <v>99.555000000000007</v>
      </c>
      <c r="ASU35">
        <f>SOFR3mo_PX[[#This Row],[Column1191]]</f>
        <v>99.58</v>
      </c>
      <c r="ASV35">
        <f>SOFR3mo_PX[[#This Row],[Column1192]]</f>
        <v>99.584999999999994</v>
      </c>
      <c r="ASW35">
        <f>SOFR3mo_PX[[#This Row],[Column1193]]</f>
        <v>99.58</v>
      </c>
      <c r="ASX35">
        <f>SOFR3mo_PX[[#This Row],[Column1194]]</f>
        <v>99.58</v>
      </c>
      <c r="ASY35">
        <f>SOFR3mo_PX[[#This Row],[Column1195]]</f>
        <v>99.575000000000003</v>
      </c>
      <c r="ASZ35">
        <f>SOFR3mo_PX[[#This Row],[Column1196]]</f>
        <v>99.57</v>
      </c>
      <c r="ATA35">
        <f>SOFR3mo_PX[[#This Row],[Column1197]]</f>
        <v>99.584999999999994</v>
      </c>
      <c r="ATB35">
        <f>SOFR3mo_PX[[#This Row],[Column1198]]</f>
        <v>99.58</v>
      </c>
      <c r="ATC35">
        <f>SOFR3mo_PX[[#This Row],[Column1199]]</f>
        <v>99.58</v>
      </c>
      <c r="ATD35">
        <f>SOFR3mo_PX[[#This Row],[Column1200]]</f>
        <v>99.584999999999994</v>
      </c>
      <c r="ATE35">
        <f>SOFR3mo_PX[[#This Row],[Column1201]]</f>
        <v>99.575000000000003</v>
      </c>
      <c r="ATF35">
        <f>SOFR3mo_PX[[#This Row],[Column1202]]</f>
        <v>99.575000000000003</v>
      </c>
      <c r="ATG35">
        <f>SOFR3mo_PX[[#This Row],[Column1203]]</f>
        <v>99.57</v>
      </c>
      <c r="ATH35">
        <f>SOFR3mo_PX[[#This Row],[Column1204]]</f>
        <v>99.55</v>
      </c>
      <c r="ATI35">
        <f>SOFR3mo_PX[[#This Row],[Column1205]]</f>
        <v>99.55</v>
      </c>
      <c r="ATJ35">
        <f>SOFR3mo_PX[[#This Row],[Column1206]]</f>
        <v>99.584999999999994</v>
      </c>
      <c r="ATK35">
        <f>SOFR3mo_PX[[#This Row],[Column1207]]</f>
        <v>99.63</v>
      </c>
      <c r="ATL35">
        <f>SOFR3mo_PX[[#This Row],[Column1208]]</f>
        <v>99.635000000000005</v>
      </c>
      <c r="ATM35">
        <f>SOFR3mo_PX[[#This Row],[Column1209]]</f>
        <v>99.655000000000001</v>
      </c>
      <c r="ATN35">
        <f>SOFR3mo_PX[[#This Row],[Column1210]]</f>
        <v>99.625</v>
      </c>
      <c r="ATO35">
        <f>SOFR3mo_PX[[#This Row],[Column1211]]</f>
        <v>99.635000000000005</v>
      </c>
      <c r="ATP35">
        <f>SOFR3mo_PX[[#This Row],[Column1212]]</f>
        <v>99.63</v>
      </c>
      <c r="ATQ35">
        <f>SOFR3mo_PX[[#This Row],[Column1213]]</f>
        <v>99.635000000000005</v>
      </c>
      <c r="ATR35">
        <f>SOFR3mo_PX[[#This Row],[Column1214]]</f>
        <v>99.644999999999996</v>
      </c>
      <c r="ATS35">
        <f>SOFR3mo_PX[[#This Row],[Column1215]]</f>
        <v>99.644999999999996</v>
      </c>
      <c r="ATT35">
        <f>SOFR3mo_PX[[#This Row],[Column1216]]</f>
        <v>99.64</v>
      </c>
      <c r="ATU35">
        <f>SOFR3mo_PX[[#This Row],[Column1217]]</f>
        <v>99.63</v>
      </c>
      <c r="ATV35">
        <f>SOFR3mo_PX[[#This Row],[Column1218]]</f>
        <v>99.62</v>
      </c>
      <c r="ATW35">
        <f>SOFR3mo_PX[[#This Row],[Column1219]]</f>
        <v>99.644999999999996</v>
      </c>
      <c r="ATX35">
        <f>SOFR3mo_PX[[#This Row],[Column1220]]</f>
        <v>99.644999999999996</v>
      </c>
      <c r="ATY35">
        <f>SOFR3mo_PX[[#This Row],[Column1221]]</f>
        <v>99.655000000000001</v>
      </c>
      <c r="ATZ35">
        <f>SOFR3mo_PX[[#This Row],[Column1222]]</f>
        <v>99.665000000000006</v>
      </c>
      <c r="AUA35">
        <f>SOFR3mo_PX[[#This Row],[Column1223]]</f>
        <v>99.66</v>
      </c>
      <c r="AUB35">
        <f>SOFR3mo_PX[[#This Row],[Column1224]]</f>
        <v>99.665000000000006</v>
      </c>
      <c r="AUC35">
        <f>SOFR3mo_PX[[#This Row],[Column1225]]</f>
        <v>99.66</v>
      </c>
      <c r="AUD35">
        <f>SOFR3mo_PX[[#This Row],[Column1226]]</f>
        <v>99.644999999999996</v>
      </c>
      <c r="AUE35">
        <f>SOFR3mo_PX[[#This Row],[Column1227]]</f>
        <v>99.64</v>
      </c>
      <c r="AUF35">
        <f>SOFR3mo_PX[[#This Row],[Column1228]]</f>
        <v>99.655000000000001</v>
      </c>
      <c r="AUG35">
        <f>SOFR3mo_PX[[#This Row],[Column1229]]</f>
        <v>99.65</v>
      </c>
      <c r="AUH35">
        <f>SOFR3mo_PX[[#This Row],[Column1230]]</f>
        <v>99.674999999999997</v>
      </c>
      <c r="AUI35">
        <f>SOFR3mo_PX[[#This Row],[Column1231]]</f>
        <v>99.674999999999997</v>
      </c>
      <c r="AUJ35">
        <f>SOFR3mo_PX[[#This Row],[Column1232]]</f>
        <v>99.724999999999994</v>
      </c>
      <c r="AUK35">
        <f>SOFR3mo_PX[[#This Row],[Column1233]]</f>
        <v>99.724999999999994</v>
      </c>
      <c r="AUL35">
        <f>SOFR3mo_PX[[#This Row],[Column1234]]</f>
        <v>99.724999999999994</v>
      </c>
      <c r="AUM35">
        <f>SOFR3mo_PX[[#This Row],[Column1235]]</f>
        <v>99.73</v>
      </c>
      <c r="AUN35">
        <f>SOFR3mo_PX[[#This Row],[Column1236]]</f>
        <v>99.73</v>
      </c>
      <c r="AUO35">
        <f>SOFR3mo_PX[[#This Row],[Column1237]]</f>
        <v>99.74</v>
      </c>
      <c r="AUP35">
        <f>SOFR3mo_PX[[#This Row],[Column1238]]</f>
        <v>99.74</v>
      </c>
      <c r="AUQ35">
        <f>SOFR3mo_PX[[#This Row],[Column1239]]</f>
        <v>99.745000000000005</v>
      </c>
      <c r="AUR35">
        <f>SOFR3mo_PX[[#This Row],[Column1240]]</f>
        <v>99.745000000000005</v>
      </c>
      <c r="AUS35">
        <f>SOFR3mo_PX[[#This Row],[Column1241]]</f>
        <v>99.734999999999999</v>
      </c>
      <c r="AUT35">
        <f>SOFR3mo_PX[[#This Row],[Column1242]]</f>
        <v>99.715000000000003</v>
      </c>
      <c r="AUU35">
        <f>SOFR3mo_PX[[#This Row],[Column1243]]</f>
        <v>99.73</v>
      </c>
      <c r="AUV35">
        <f>SOFR3mo_PX[[#This Row],[Column1244]]</f>
        <v>99.724999999999994</v>
      </c>
      <c r="AUW35">
        <f>SOFR3mo_PX[[#This Row],[Column1245]]</f>
        <v>99.754999999999995</v>
      </c>
      <c r="AUX35">
        <f>SOFR3mo_PX[[#This Row],[Column1246]]</f>
        <v>99.76</v>
      </c>
      <c r="AUY35">
        <f>SOFR3mo_PX[[#This Row],[Column1247]]</f>
        <v>99.75</v>
      </c>
      <c r="AUZ35">
        <f>SOFR3mo_PX[[#This Row],[Column1248]]</f>
        <v>99.724999999999994</v>
      </c>
      <c r="AVA35">
        <f>SOFR3mo_PX[[#This Row],[Column1249]]</f>
        <v>99.72</v>
      </c>
      <c r="AVB35">
        <f>SOFR3mo_PX[[#This Row],[Column1250]]</f>
        <v>99.724999999999994</v>
      </c>
      <c r="AVC35">
        <f>SOFR3mo_PX[[#This Row],[Column1251]]</f>
        <v>99.715000000000003</v>
      </c>
      <c r="AVD35">
        <f>SOFR3mo_PX[[#This Row],[Column1252]]</f>
        <v>99.715000000000003</v>
      </c>
      <c r="AVE35">
        <f>SOFR3mo_PX[[#This Row],[Column1253]]</f>
        <v>99.745000000000005</v>
      </c>
      <c r="AVF35">
        <f>SOFR3mo_PX[[#This Row],[Column1254]]</f>
        <v>99.734999999999999</v>
      </c>
      <c r="AVG35">
        <f>SOFR3mo_PX[[#This Row],[Column1255]]</f>
        <v>99.745000000000005</v>
      </c>
      <c r="AVH35">
        <f>SOFR3mo_PX[[#This Row],[Column1256]]</f>
        <v>99.74</v>
      </c>
      <c r="AVI35">
        <f>SOFR3mo_PX[[#This Row],[Column1257]]</f>
        <v>99.734999999999999</v>
      </c>
      <c r="AVJ35">
        <f>SOFR3mo_PX[[#This Row],[Column1258]]</f>
        <v>99.715000000000003</v>
      </c>
      <c r="AVK35">
        <f>SOFR3mo_PX[[#This Row],[Column1259]]</f>
        <v>99.724999999999994</v>
      </c>
      <c r="AVL35">
        <f>SOFR3mo_PX[[#This Row],[Column1260]]</f>
        <v>99.73</v>
      </c>
      <c r="AVM35">
        <f>SOFR3mo_PX[[#This Row],[Column1261]]</f>
        <v>99.74</v>
      </c>
      <c r="AVN35">
        <f>SOFR3mo_PX[[#This Row],[Column1262]]</f>
        <v>99.734999999999999</v>
      </c>
      <c r="AVO35">
        <f>SOFR3mo_PX[[#This Row],[Column1263]]</f>
        <v>99.745000000000005</v>
      </c>
      <c r="AVP35">
        <f>SOFR3mo_PX[[#This Row],[Column1264]]</f>
        <v>99.745000000000005</v>
      </c>
      <c r="AVQ35">
        <f>SOFR3mo_PX[[#This Row],[Column1265]]</f>
        <v>99.734999999999999</v>
      </c>
      <c r="AVR35">
        <f>SOFR3mo_PX[[#This Row],[Column1266]]</f>
        <v>99.72</v>
      </c>
      <c r="AVS35">
        <f>SOFR3mo_PX[[#This Row],[Column1267]]</f>
        <v>99.71</v>
      </c>
      <c r="AVT35">
        <f>SOFR3mo_PX[[#This Row],[Column1268]]</f>
        <v>99.71</v>
      </c>
      <c r="AVU35">
        <f>SOFR3mo_PX[[#This Row],[Column1269]]</f>
        <v>99.715000000000003</v>
      </c>
      <c r="AVV35">
        <f>SOFR3mo_PX[[#This Row],[Column1270]]</f>
        <v>99.715000000000003</v>
      </c>
      <c r="AVW35">
        <f>SOFR3mo_PX[[#This Row],[Column1271]]</f>
        <v>99.75</v>
      </c>
      <c r="AVX35">
        <f>SOFR3mo_PX[[#This Row],[Column1272]]</f>
        <v>99.76</v>
      </c>
      <c r="AVY35">
        <f>SOFR3mo_PX[[#This Row],[Column1273]]</f>
        <v>99.78</v>
      </c>
      <c r="AVZ35">
        <f>SOFR3mo_PX[[#This Row],[Column1274]]</f>
        <v>99.784999999999997</v>
      </c>
      <c r="AWA35">
        <f>SOFR3mo_PX[[#This Row],[Column1275]]</f>
        <v>99.795000000000002</v>
      </c>
      <c r="AWB35">
        <f>SOFR3mo_PX[[#This Row],[Column1276]]</f>
        <v>99.784999999999997</v>
      </c>
      <c r="AWC35">
        <f>SOFR3mo_PX[[#This Row],[Column1277]]</f>
        <v>99.78</v>
      </c>
      <c r="AWD35">
        <f>SOFR3mo_PX[[#This Row],[Column1278]]</f>
        <v>99.775000000000006</v>
      </c>
      <c r="AWE35">
        <f>SOFR3mo_PX[[#This Row],[Column1279]]</f>
        <v>99.754999999999995</v>
      </c>
      <c r="AWF35">
        <f>SOFR3mo_PX[[#This Row],[Column1280]]</f>
        <v>99.745000000000005</v>
      </c>
      <c r="AWG35">
        <f>SOFR3mo_PX[[#This Row],[Column1281]]</f>
        <v>99.74</v>
      </c>
      <c r="AWH35">
        <f>SOFR3mo_PX[[#This Row],[Column1282]]</f>
        <v>99.75</v>
      </c>
      <c r="AWI35">
        <f>SOFR3mo_PX[[#This Row],[Column1283]]</f>
        <v>99.754999999999995</v>
      </c>
      <c r="AWJ35">
        <f>SOFR3mo_PX[[#This Row],[Column1284]]</f>
        <v>99.754999999999995</v>
      </c>
      <c r="AWK35">
        <f>SOFR3mo_PX[[#This Row],[Column1285]]</f>
        <v>99.75</v>
      </c>
      <c r="AWL35">
        <f>SOFR3mo_PX[[#This Row],[Column1286]]</f>
        <v>99.75</v>
      </c>
      <c r="AWM35">
        <f>SOFR3mo_PX[[#This Row],[Column1287]]</f>
        <v>99.745000000000005</v>
      </c>
      <c r="AWN35">
        <f>SOFR3mo_PX[[#This Row],[Column1288]]</f>
        <v>99.745000000000005</v>
      </c>
      <c r="AWO35">
        <f>SOFR3mo_PX[[#This Row],[Column1289]]</f>
        <v>99.74</v>
      </c>
      <c r="AWP35">
        <f>SOFR3mo_PX[[#This Row],[Column1290]]</f>
        <v>99.75</v>
      </c>
      <c r="AWQ35">
        <f>SOFR3mo_PX[[#This Row],[Column1291]]</f>
        <v>99.75</v>
      </c>
      <c r="AWR35">
        <f>SOFR3mo_PX[[#This Row],[Column1292]]</f>
        <v>99.765000000000001</v>
      </c>
      <c r="AWS35">
        <f>SOFR3mo_PX[[#This Row],[Column1293]]</f>
        <v>99.78</v>
      </c>
      <c r="AWT35">
        <f>SOFR3mo_PX[[#This Row],[Column1294]]</f>
        <v>99.765000000000001</v>
      </c>
      <c r="AWU35">
        <f>SOFR3mo_PX[[#This Row],[Column1295]]</f>
        <v>99.76</v>
      </c>
      <c r="AWV35">
        <f>SOFR3mo_PX[[#This Row],[Column1296]]</f>
        <v>99.754999999999995</v>
      </c>
      <c r="AWW35">
        <f>SOFR3mo_PX[[#This Row],[Column1297]]</f>
        <v>99.754999999999995</v>
      </c>
      <c r="AWX35">
        <f>SOFR3mo_PX[[#This Row],[Column1298]]</f>
        <v>99.754999999999995</v>
      </c>
      <c r="AWY35">
        <f>SOFR3mo_PX[[#This Row],[Column1299]]</f>
        <v>99.745000000000005</v>
      </c>
      <c r="AWZ35">
        <f>SOFR3mo_PX[[#This Row],[Column1300]]</f>
        <v>99.765000000000001</v>
      </c>
      <c r="AXA35">
        <f>SOFR3mo_PX[[#This Row],[Column1301]]</f>
        <v>99.765000000000001</v>
      </c>
      <c r="AXB35">
        <f>SOFR3mo_PX[[#This Row],[Column1302]]</f>
        <v>99.754999999999995</v>
      </c>
      <c r="AXC35">
        <f>SOFR3mo_PX[[#This Row],[Column1303]]</f>
        <v>99.734999999999999</v>
      </c>
      <c r="AXD35">
        <f>SOFR3mo_PX[[#This Row],[Column1304]]</f>
        <v>99.734999999999999</v>
      </c>
      <c r="AXE35">
        <f>SOFR3mo_PX[[#This Row],[Column1305]]</f>
        <v>99.734999999999999</v>
      </c>
      <c r="AXF35">
        <f>SOFR3mo_PX[[#This Row],[Column1306]]</f>
        <v>99.73</v>
      </c>
      <c r="AXG35">
        <f>SOFR3mo_PX[[#This Row],[Column1307]]</f>
        <v>99.72</v>
      </c>
      <c r="AXH35">
        <f>SOFR3mo_PX[[#This Row],[Column1308]]</f>
        <v>99.7</v>
      </c>
      <c r="AXI35">
        <f>SOFR3mo_PX[[#This Row],[Column1309]]</f>
        <v>99.694999999999993</v>
      </c>
      <c r="AXJ35">
        <f>SOFR3mo_PX[[#This Row],[Column1310]]</f>
        <v>99.685000000000002</v>
      </c>
      <c r="AXK35">
        <f>SOFR3mo_PX[[#This Row],[Column1311]]</f>
        <v>99.7</v>
      </c>
      <c r="AXL35">
        <f>SOFR3mo_PX[[#This Row],[Column1312]]</f>
        <v>99.69</v>
      </c>
      <c r="AXM35">
        <f>SOFR3mo_PX[[#This Row],[Column1313]]</f>
        <v>99.7</v>
      </c>
      <c r="AXN35">
        <f>SOFR3mo_PX[[#This Row],[Column1314]]</f>
        <v>99.674999999999997</v>
      </c>
      <c r="AXO35">
        <f>SOFR3mo_PX[[#This Row],[Column1315]]</f>
        <v>99.625</v>
      </c>
      <c r="AXP35">
        <f>SOFR3mo_PX[[#This Row],[Column1316]]</f>
        <v>99.59</v>
      </c>
      <c r="AXQ35">
        <f>SOFR3mo_PX[[#This Row],[Column1317]]</f>
        <v>99.584999999999994</v>
      </c>
      <c r="AXR35">
        <f>SOFR3mo_PX[[#This Row],[Column1318]]</f>
        <v>99.65</v>
      </c>
      <c r="AXS35">
        <f>SOFR3mo_PX[[#This Row],[Column1319]]</f>
        <v>99.665000000000006</v>
      </c>
      <c r="AXT35">
        <f>SOFR3mo_PX[[#This Row],[Column1320]]</f>
        <v>99.7</v>
      </c>
      <c r="AXU35">
        <f>SOFR3mo_PX[[#This Row],[Column1321]]</f>
        <v>99.704999999999998</v>
      </c>
      <c r="AXV35">
        <f>SOFR3mo_PX[[#This Row],[Column1322]]</f>
        <v>99.694999999999993</v>
      </c>
      <c r="AXW35">
        <f>SOFR3mo_PX[[#This Row],[Column1323]]</f>
        <v>99.674999999999997</v>
      </c>
      <c r="AXX35">
        <f>SOFR3mo_PX[[#This Row],[Column1324]]</f>
        <v>99.68</v>
      </c>
      <c r="AXY35">
        <f>SOFR3mo_PX[[#This Row],[Column1325]]</f>
        <v>99.685000000000002</v>
      </c>
      <c r="AXZ35">
        <f>SOFR3mo_PX[[#This Row],[Column1326]]</f>
        <v>99.69</v>
      </c>
      <c r="AYA35">
        <f>SOFR3mo_PX[[#This Row],[Column1327]]</f>
        <v>99.69</v>
      </c>
      <c r="AYB35">
        <f>SOFR3mo_PX[[#This Row],[Column1328]]</f>
        <v>99.685000000000002</v>
      </c>
      <c r="AYC35">
        <f>SOFR3mo_PX[[#This Row],[Column1329]]</f>
        <v>99.685000000000002</v>
      </c>
      <c r="AYD35">
        <f>SOFR3mo_PX[[#This Row],[Column1330]]</f>
        <v>99.69</v>
      </c>
      <c r="AYE35">
        <f>SOFR3mo_PX[[#This Row],[Column1331]]</f>
        <v>99.69</v>
      </c>
      <c r="AYF35">
        <f>SOFR3mo_PX[[#This Row],[Column1332]]</f>
        <v>99.734999999999999</v>
      </c>
      <c r="AYG35">
        <f>SOFR3mo_PX[[#This Row],[Column1333]]</f>
        <v>99.71</v>
      </c>
      <c r="AYH35">
        <f>SOFR3mo_PX[[#This Row],[Column1334]]</f>
        <v>99.7</v>
      </c>
      <c r="AYI35">
        <f>SOFR3mo_PX[[#This Row],[Column1335]]</f>
        <v>99.68</v>
      </c>
      <c r="AYJ35">
        <f>SOFR3mo_PX[[#This Row],[Column1336]]</f>
        <v>99.68</v>
      </c>
      <c r="AYK35">
        <f>SOFR3mo_PX[[#This Row],[Column1337]]</f>
        <v>99.7</v>
      </c>
      <c r="AYL35">
        <f>SOFR3mo_PX[[#This Row],[Column1338]]</f>
        <v>99.71</v>
      </c>
      <c r="AYM35">
        <f>SOFR3mo_PX[[#This Row],[Column1339]]</f>
        <v>99.655000000000001</v>
      </c>
      <c r="AYN35">
        <f>SOFR3mo_PX[[#This Row],[Column1340]]</f>
        <v>99.64</v>
      </c>
      <c r="AYO35">
        <f>SOFR3mo_PX[[#This Row],[Column1341]]</f>
        <v>99.644999999999996</v>
      </c>
      <c r="AYP35">
        <f>SOFR3mo_PX[[#This Row],[Column1342]]</f>
        <v>99.63</v>
      </c>
      <c r="AYQ35">
        <f>SOFR3mo_PX[[#This Row],[Column1343]]</f>
        <v>99.635000000000005</v>
      </c>
      <c r="AYR35">
        <f>SOFR3mo_PX[[#This Row],[Column1344]]</f>
        <v>99.625</v>
      </c>
      <c r="AYS35">
        <f>SOFR3mo_PX[[#This Row],[Column1345]]</f>
        <v>99.61</v>
      </c>
      <c r="AYT35">
        <f>SOFR3mo_PX[[#This Row],[Column1346]]</f>
        <v>99.605000000000004</v>
      </c>
      <c r="AYU35">
        <f>SOFR3mo_PX[[#This Row],[Column1347]]</f>
        <v>99.614999999999995</v>
      </c>
      <c r="AYV35">
        <f>SOFR3mo_PX[[#This Row],[Column1348]]</f>
        <v>99.614999999999995</v>
      </c>
      <c r="AYW35">
        <f>SOFR3mo_PX[[#This Row],[Column1349]]</f>
        <v>99.61</v>
      </c>
      <c r="AYX35">
        <f>SOFR3mo_PX[[#This Row],[Column1350]]</f>
        <v>99.62</v>
      </c>
      <c r="AYY35">
        <f>SOFR3mo_PX[[#This Row],[Column1351]]</f>
        <v>99.6</v>
      </c>
      <c r="AYZ35">
        <f>SOFR3mo_PX[[#This Row],[Column1352]]</f>
        <v>99.59</v>
      </c>
      <c r="AZA35">
        <f>SOFR3mo_PX[[#This Row],[Column1353]]</f>
        <v>99.575000000000003</v>
      </c>
      <c r="AZB35">
        <f>SOFR3mo_PX[[#This Row],[Column1354]]</f>
        <v>99.564999999999998</v>
      </c>
      <c r="AZC35">
        <f>SOFR3mo_PX[[#This Row],[Column1355]]</f>
        <v>99.534999999999997</v>
      </c>
      <c r="AZD35">
        <f>SOFR3mo_PX[[#This Row],[Column1356]]</f>
        <v>99.52</v>
      </c>
      <c r="AZE35">
        <f>SOFR3mo_PX[[#This Row],[Column1357]]</f>
        <v>99.53</v>
      </c>
      <c r="AZF35">
        <f>SOFR3mo_PX[[#This Row],[Column1358]]</f>
        <v>99.53</v>
      </c>
      <c r="AZG35">
        <f>SOFR3mo_PX[[#This Row],[Column1359]]</f>
        <v>99.51</v>
      </c>
      <c r="AZH35">
        <f>SOFR3mo_PX[[#This Row],[Column1360]]</f>
        <v>99.495000000000005</v>
      </c>
      <c r="AZI35">
        <f>SOFR3mo_PX[[#This Row],[Column1361]]</f>
        <v>99.54</v>
      </c>
      <c r="AZJ35">
        <f>SOFR3mo_PX[[#This Row],[Column1362]]</f>
        <v>99.6</v>
      </c>
      <c r="AZK35">
        <f>SOFR3mo_PX[[#This Row],[Column1363]]</f>
        <v>99.594999999999999</v>
      </c>
      <c r="AZL35">
        <f>SOFR3mo_PX[[#This Row],[Column1364]]</f>
        <v>99.61</v>
      </c>
      <c r="AZM35">
        <f>SOFR3mo_PX[[#This Row],[Column1365]]</f>
        <v>99.584999999999994</v>
      </c>
      <c r="AZN35">
        <f>SOFR3mo_PX[[#This Row],[Column1366]]</f>
        <v>99.614999999999995</v>
      </c>
      <c r="AZO35">
        <f>SOFR3mo_PX[[#This Row],[Column1367]]</f>
        <v>99.57</v>
      </c>
      <c r="AZP35">
        <f>SOFR3mo_PX[[#This Row],[Column1368]]</f>
        <v>99.55</v>
      </c>
      <c r="AZQ35">
        <f>SOFR3mo_PX[[#This Row],[Column1369]]</f>
        <v>99.52</v>
      </c>
      <c r="AZR35">
        <f>SOFR3mo_PX[[#This Row],[Column1370]]</f>
        <v>99.515000000000001</v>
      </c>
      <c r="AZS35">
        <f>SOFR3mo_PX[[#This Row],[Column1371]]</f>
        <v>99.575000000000003</v>
      </c>
      <c r="AZT35">
        <f>SOFR3mo_PX[[#This Row],[Column1372]]</f>
        <v>99.495000000000005</v>
      </c>
      <c r="AZU35">
        <f>SOFR3mo_PX[[#This Row],[Column1373]]</f>
        <v>99.435000000000002</v>
      </c>
      <c r="AZV35">
        <f>SOFR3mo_PX[[#This Row],[Column1374]]</f>
        <v>99.33</v>
      </c>
      <c r="AZW35">
        <f>SOFR3mo_PX[[#This Row],[Column1375]]</f>
        <v>99.444999999999993</v>
      </c>
      <c r="AZX35">
        <f>SOFR3mo_PX[[#This Row],[Column1376]]</f>
        <v>99.495000000000005</v>
      </c>
      <c r="AZY35">
        <f>SOFR3mo_PX[[#This Row],[Column1377]]</f>
        <v>99.42</v>
      </c>
      <c r="AZZ35">
        <f>SOFR3mo_PX[[#This Row],[Column1378]]</f>
        <v>99.46</v>
      </c>
      <c r="BAA35">
        <f>SOFR3mo_PX[[#This Row],[Column1379]]</f>
        <v>99.39</v>
      </c>
      <c r="BAB35">
        <f>SOFR3mo_PX[[#This Row],[Column1380]]</f>
        <v>99.38</v>
      </c>
      <c r="BAC35">
        <f>SOFR3mo_PX[[#This Row],[Column1381]]</f>
        <v>99.5</v>
      </c>
      <c r="BAD35">
        <f>SOFR3mo_PX[[#This Row],[Column1382]]</f>
        <v>99.424999999999997</v>
      </c>
      <c r="BAE35">
        <f>SOFR3mo_PX[[#This Row],[Column1383]]</f>
        <v>99.34</v>
      </c>
      <c r="BAF35">
        <f>SOFR3mo_PX[[#This Row],[Column1384]]</f>
        <v>99.29</v>
      </c>
      <c r="BAG35">
        <f>SOFR3mo_PX[[#This Row],[Column1385]]</f>
        <v>99.23</v>
      </c>
      <c r="BAH35">
        <f>SOFR3mo_PX[[#This Row],[Column1386]]</f>
        <v>99.16</v>
      </c>
      <c r="BAI35">
        <f>SOFR3mo_PX[[#This Row],[Column1387]]</f>
        <v>99.16</v>
      </c>
      <c r="BAJ35">
        <f>SOFR3mo_PX[[#This Row],[Column1388]]</f>
        <v>98.96</v>
      </c>
      <c r="BAK35">
        <f>SOFR3mo_PX[[#This Row],[Column1389]]</f>
        <v>98.905000000000001</v>
      </c>
      <c r="BAL35">
        <f>SOFR3mo_PX[[#This Row],[Column1390]]</f>
        <v>98.915000000000006</v>
      </c>
      <c r="BAM35">
        <f>SOFR3mo_PX[[#This Row],[Column1391]]</f>
        <v>98.86</v>
      </c>
      <c r="BAN35">
        <f>SOFR3mo_PX[[#This Row],[Column1392]]</f>
        <v>98.75</v>
      </c>
      <c r="BAO35">
        <f>SOFR3mo_PX[[#This Row],[Column1393]]</f>
        <v>98.685000000000002</v>
      </c>
      <c r="BAP35">
        <f>SOFR3mo_PX[[#This Row],[Column1394]]</f>
        <v>98.64</v>
      </c>
      <c r="BAQ35">
        <f>SOFR3mo_PX[[#This Row],[Column1395]]</f>
        <v>98.665000000000006</v>
      </c>
      <c r="BAR35">
        <f>SOFR3mo_PX[[#This Row],[Column1396]]</f>
        <v>98.635000000000005</v>
      </c>
      <c r="BAS35">
        <f>SOFR3mo_PX[[#This Row],[Column1397]]</f>
        <v>98.635000000000005</v>
      </c>
      <c r="BAT35">
        <f>SOFR3mo_PX[[#This Row],[Column1398]]</f>
        <v>98.6</v>
      </c>
      <c r="BAU35">
        <f>SOFR3mo_PX[[#This Row],[Column1399]]</f>
        <v>98.6</v>
      </c>
      <c r="BAV35">
        <f>SOFR3mo_PX[[#This Row],[Column1400]]</f>
        <v>98.64</v>
      </c>
      <c r="BAW35">
        <f>SOFR3mo_PX[[#This Row],[Column1401]]</f>
        <v>98.67</v>
      </c>
      <c r="BAX35">
        <f>SOFR3mo_PX[[#This Row],[Column1402]]</f>
        <v>98.635000000000005</v>
      </c>
      <c r="BAY35">
        <f>SOFR3mo_PX[[#This Row],[Column1403]]</f>
        <v>98.58</v>
      </c>
      <c r="BAZ35">
        <f>SOFR3mo_PX[[#This Row],[Column1404]]</f>
        <v>98.6</v>
      </c>
      <c r="BBA35">
        <f>SOFR3mo_PX[[#This Row],[Column1405]]</f>
        <v>98.64</v>
      </c>
      <c r="BBB35">
        <f>SOFR3mo_PX[[#This Row],[Column1406]]</f>
        <v>98.724999999999994</v>
      </c>
      <c r="BBC35">
        <f>SOFR3mo_PX[[#This Row],[Column1407]]</f>
        <v>98.74</v>
      </c>
      <c r="BBD35">
        <f>SOFR3mo_PX[[#This Row],[Column1408]]</f>
        <v>98.685000000000002</v>
      </c>
      <c r="BBE35">
        <f>SOFR3mo_PX[[#This Row],[Column1409]]</f>
        <v>98.64</v>
      </c>
      <c r="BBF35">
        <f>SOFR3mo_PX[[#This Row],[Column1410]]</f>
        <v>98.59</v>
      </c>
      <c r="BBG35">
        <f>SOFR3mo_PX[[#This Row],[Column1411]]</f>
        <v>98.625</v>
      </c>
      <c r="BBH35">
        <f>SOFR3mo_PX[[#This Row],[Column1412]]</f>
        <v>98.54</v>
      </c>
      <c r="BBI35">
        <f>SOFR3mo_PX[[#This Row],[Column1413]]</f>
        <v>98.484999999999999</v>
      </c>
      <c r="BBJ35">
        <f>SOFR3mo_PX[[#This Row],[Column1414]]</f>
        <v>98.465000000000003</v>
      </c>
      <c r="BBK35">
        <f>SOFR3mo_PX[[#This Row],[Column1415]]</f>
        <v>98.45</v>
      </c>
      <c r="BBL35">
        <f>SOFR3mo_PX[[#This Row],[Column1416]]</f>
        <v>98.394999999999996</v>
      </c>
      <c r="BBM35">
        <f>SOFR3mo_PX[[#This Row],[Column1417]]</f>
        <v>98.394999999999996</v>
      </c>
      <c r="BBN35">
        <f>SOFR3mo_PX[[#This Row],[Column1418]]</f>
        <v>98.41</v>
      </c>
      <c r="BBO35">
        <f>SOFR3mo_PX[[#This Row],[Column1419]]</f>
        <v>98.42</v>
      </c>
      <c r="BBP35">
        <f>SOFR3mo_PX[[#This Row],[Column1420]]</f>
        <v>98.41</v>
      </c>
      <c r="BBQ35">
        <f>SOFR3mo_PX[[#This Row],[Column1421]]</f>
        <v>98.394999999999996</v>
      </c>
      <c r="BBR35">
        <f>SOFR3mo_PX[[#This Row],[Column1422]]</f>
        <v>98.4</v>
      </c>
      <c r="BBS35">
        <f>SOFR3mo_PX[[#This Row],[Column1423]]</f>
        <v>98.385000000000005</v>
      </c>
      <c r="BBT35">
        <f>SOFR3mo_PX[[#This Row],[Column1424]]</f>
        <v>98.38</v>
      </c>
      <c r="BBU35">
        <f>SOFR3mo_PX[[#This Row],[Column1425]]</f>
        <v>98.424999999999997</v>
      </c>
      <c r="BBV35">
        <f>SOFR3mo_PX[[#This Row],[Column1426]]</f>
        <v>98.435000000000002</v>
      </c>
      <c r="BBW35">
        <f>SOFR3mo_PX[[#This Row],[Column1427]]</f>
        <v>98.44</v>
      </c>
      <c r="BBX35">
        <f>SOFR3mo_PX[[#This Row],[Column1428]]</f>
        <v>98.35</v>
      </c>
      <c r="BBY35">
        <f>SOFR3mo_PX[[#This Row],[Column1429]]</f>
        <v>98.34</v>
      </c>
      <c r="BBZ35">
        <f>SOFR3mo_PX[[#This Row],[Column1430]]</f>
        <v>98.34</v>
      </c>
      <c r="BCA35">
        <f>SOFR3mo_PX[[#This Row],[Column1431]]</f>
        <v>98.344999999999999</v>
      </c>
      <c r="BCB35">
        <f>SOFR3mo_PX[[#This Row],[Column1432]]</f>
        <v>98.344999999999999</v>
      </c>
      <c r="BCC35">
        <f>SOFR3mo_PX[[#This Row],[Column1433]]</f>
        <v>98.305000000000007</v>
      </c>
      <c r="BCD35">
        <f>SOFR3mo_PX[[#This Row],[Column1434]]</f>
        <v>98.305000000000007</v>
      </c>
      <c r="BCE35">
        <f>SOFR3mo_PX[[#This Row],[Column1435]]</f>
        <v>98.305000000000007</v>
      </c>
      <c r="BCF35">
        <f>SOFR3mo_PX[[#This Row],[Column1436]]</f>
        <v>98.284999999999997</v>
      </c>
      <c r="BCG35">
        <f>SOFR3mo_PX[[#This Row],[Column1437]]</f>
        <v>98.325000000000003</v>
      </c>
      <c r="BCH35">
        <f>SOFR3mo_PX[[#This Row],[Column1438]]</f>
        <v>98.34</v>
      </c>
      <c r="BCI35">
        <f>SOFR3mo_PX[[#This Row],[Column1439]]</f>
        <v>98.32</v>
      </c>
      <c r="BCJ35">
        <f>SOFR3mo_PX[[#This Row],[Column1440]]</f>
        <v>98.35</v>
      </c>
      <c r="BCK35">
        <f>SOFR3mo_PX[[#This Row],[Column1441]]</f>
        <v>98.36</v>
      </c>
      <c r="BCL35">
        <f>SOFR3mo_PX[[#This Row],[Column1442]]</f>
        <v>98.435000000000002</v>
      </c>
      <c r="BCM35">
        <f>SOFR3mo_PX[[#This Row],[Column1443]]</f>
        <v>98.355000000000004</v>
      </c>
      <c r="BCN35">
        <f>SOFR3mo_PX[[#This Row],[Column1444]]</f>
        <v>98.44</v>
      </c>
      <c r="BCO35">
        <f>SOFR3mo_PX[[#This Row],[Column1445]]</f>
        <v>98.4</v>
      </c>
      <c r="BCP35">
        <f>SOFR3mo_PX[[#This Row],[Column1446]]</f>
        <v>98.415000000000006</v>
      </c>
      <c r="BCQ35">
        <f>SOFR3mo_PX[[#This Row],[Column1447]]</f>
        <v>98.424999999999997</v>
      </c>
      <c r="BCR35">
        <f>SOFR3mo_PX[[#This Row],[Column1448]]</f>
        <v>98.484999999999999</v>
      </c>
      <c r="BCS35">
        <f>SOFR3mo_PX[[#This Row],[Column1449]]</f>
        <v>98.5</v>
      </c>
      <c r="BCT35">
        <f>SOFR3mo_PX[[#This Row],[Column1450]]</f>
        <v>98.575000000000003</v>
      </c>
      <c r="BCU35">
        <f>SOFR3mo_PX[[#This Row],[Column1451]]</f>
        <v>98.454999999999998</v>
      </c>
      <c r="BCV35">
        <f>SOFR3mo_PX[[#This Row],[Column1452]]</f>
        <v>98.49</v>
      </c>
      <c r="BCW35">
        <f>SOFR3mo_PX[[#This Row],[Column1453]]</f>
        <v>98.48</v>
      </c>
      <c r="BCX35">
        <f>SOFR3mo_PX[[#This Row],[Column1454]]</f>
        <v>98.48</v>
      </c>
      <c r="BCY35">
        <f>SOFR3mo_PX[[#This Row],[Column1455]]</f>
        <v>98.52</v>
      </c>
      <c r="BCZ35">
        <f>SOFR3mo_PX[[#This Row],[Column1456]]</f>
        <v>98.51</v>
      </c>
      <c r="BDA35">
        <f>SOFR3mo_PX[[#This Row],[Column1457]]</f>
        <v>98.495000000000005</v>
      </c>
      <c r="BDB35">
        <f>SOFR3mo_PX[[#This Row],[Column1458]]</f>
        <v>98.515000000000001</v>
      </c>
      <c r="BDC35">
        <f>SOFR3mo_PX[[#This Row],[Column1459]]</f>
        <v>98.545000000000002</v>
      </c>
      <c r="BDD35">
        <f>SOFR3mo_PX[[#This Row],[Column1460]]</f>
        <v>98.51</v>
      </c>
      <c r="BDE35">
        <f>SOFR3mo_PX[[#This Row],[Column1461]]</f>
        <v>98.484999999999999</v>
      </c>
      <c r="BDF35">
        <f>SOFR3mo_PX[[#This Row],[Column1462]]</f>
        <v>98.46</v>
      </c>
      <c r="BDG35">
        <f>SOFR3mo_PX[[#This Row],[Column1463]]</f>
        <v>98.47</v>
      </c>
      <c r="BDH35">
        <f>SOFR3mo_PX[[#This Row],[Column1464]]</f>
        <v>98.42</v>
      </c>
      <c r="BDI35">
        <f>SOFR3mo_PX[[#This Row],[Column1465]]</f>
        <v>98.37</v>
      </c>
      <c r="BDJ35">
        <f>SOFR3mo_PX[[#This Row],[Column1466]]</f>
        <v>98.34</v>
      </c>
      <c r="BDK35">
        <f>SOFR3mo_PX[[#This Row],[Column1467]]</f>
        <v>98.35</v>
      </c>
      <c r="BDL35">
        <f>SOFR3mo_PX[[#This Row],[Column1468]]</f>
        <v>98.334999999999994</v>
      </c>
      <c r="BDM35">
        <f>SOFR3mo_PX[[#This Row],[Column1469]]</f>
        <v>98.444999999999993</v>
      </c>
      <c r="BDN35">
        <f>SOFR3mo_PX[[#This Row],[Column1470]]</f>
        <v>98.42</v>
      </c>
      <c r="BDO35">
        <f>SOFR3mo_PX[[#This Row],[Column1471]]</f>
        <v>98.48</v>
      </c>
      <c r="BDP35">
        <f>SOFR3mo_PX[[#This Row],[Column1472]]</f>
        <v>98.53</v>
      </c>
      <c r="BDQ35">
        <f>SOFR3mo_PX[[#This Row],[Column1473]]</f>
        <v>98.6</v>
      </c>
      <c r="BDR35">
        <f>SOFR3mo_PX[[#This Row],[Column1474]]</f>
        <v>98.474999999999994</v>
      </c>
      <c r="BDS35">
        <f>SOFR3mo_PX[[#This Row],[Column1475]]</f>
        <v>98.454999999999998</v>
      </c>
      <c r="BDT35">
        <f>SOFR3mo_PX[[#This Row],[Column1476]]</f>
        <v>98.46</v>
      </c>
      <c r="BDU35">
        <f>SOFR3mo_PX[[#This Row],[Column1477]]</f>
        <v>98.49</v>
      </c>
      <c r="BDV35">
        <f>SOFR3mo_PX[[#This Row],[Column1478]]</f>
        <v>98.534999999999997</v>
      </c>
      <c r="BDW35">
        <f>SOFR3mo_PX[[#This Row],[Column1479]]</f>
        <v>98.545000000000002</v>
      </c>
      <c r="BDX35">
        <f>SOFR3mo_PX[[#This Row],[Column1480]]</f>
        <v>98.525000000000006</v>
      </c>
      <c r="BDY35">
        <f>SOFR3mo_PX[[#This Row],[Column1481]]</f>
        <v>98.5</v>
      </c>
      <c r="BDZ35">
        <f>SOFR3mo_PX[[#This Row],[Column1482]]</f>
        <v>98.54</v>
      </c>
      <c r="BEA35">
        <f>SOFR3mo_PX[[#This Row],[Column1483]]</f>
        <v>98.515000000000001</v>
      </c>
      <c r="BEB35">
        <f>SOFR3mo_PX[[#This Row],[Column1484]]</f>
        <v>98.54</v>
      </c>
      <c r="BEC35">
        <f>SOFR3mo_PX[[#This Row],[Column1485]]</f>
        <v>98.5</v>
      </c>
      <c r="BED35">
        <f>SOFR3mo_PX[[#This Row],[Column1486]]</f>
        <v>98.555000000000007</v>
      </c>
      <c r="BEE35">
        <f>SOFR3mo_PX[[#This Row],[Column1487]]</f>
        <v>98.534999999999997</v>
      </c>
      <c r="BEF35">
        <f>SOFR3mo_PX[[#This Row],[Column1488]]</f>
        <v>98.665000000000006</v>
      </c>
      <c r="BEG35">
        <f>SOFR3mo_PX[[#This Row],[Column1489]]</f>
        <v>98.73</v>
      </c>
      <c r="BEH35">
        <f>SOFR3mo_PX[[#This Row],[Column1490]]</f>
        <v>98.784999999999997</v>
      </c>
      <c r="BEI35">
        <f>SOFR3mo_PX[[#This Row],[Column1491]]</f>
        <v>98.775000000000006</v>
      </c>
      <c r="BEJ35">
        <f>SOFR3mo_PX[[#This Row],[Column1492]]</f>
        <v>98.844999999999999</v>
      </c>
      <c r="BEK35">
        <f>SOFR3mo_PX[[#This Row],[Column1493]]</f>
        <v>98.855000000000004</v>
      </c>
      <c r="BEL35">
        <f>SOFR3mo_PX[[#This Row],[Column1494]]</f>
        <v>98.754999999999995</v>
      </c>
      <c r="BEM35">
        <f>SOFR3mo_PX[[#This Row],[Column1495]]</f>
        <v>98.68</v>
      </c>
      <c r="BEN35">
        <f>SOFR3mo_PX[[#This Row],[Column1496]]</f>
        <v>98.61</v>
      </c>
      <c r="BEO35">
        <f>SOFR3mo_PX[[#This Row],[Column1497]]</f>
        <v>98.62</v>
      </c>
      <c r="BEP35" t="str">
        <f>SOFR3mo_PX[[#This Row],[Column1498]]</f>
        <v>#N/A N/A</v>
      </c>
      <c r="BEQ35" t="str">
        <f>SOFR3mo_PX[[#This Row],[Column1499]]</f>
        <v>#N/A N/A</v>
      </c>
      <c r="BER35" t="str">
        <f>SOFR3mo_PX[[#This Row],[Column1500]]</f>
        <v>#N/A N/A</v>
      </c>
      <c r="BES35" t="str">
        <f>SOFR3mo_PX[[#This Row],[Column1501]]</f>
        <v>#N/A N/A</v>
      </c>
      <c r="BET35" t="str">
        <f>SOFR3mo_PX[[#This Row],[Column1502]]</f>
        <v>#N/A N/A</v>
      </c>
      <c r="BEU35" t="str">
        <f>SOFR3mo_PX[[#This Row],[Column1503]]</f>
        <v>#N/A N/A</v>
      </c>
      <c r="BEV35" t="str">
        <f>SOFR3mo_PX[[#This Row],[Column1504]]</f>
        <v>#N/A N/A</v>
      </c>
      <c r="BEW35" t="str">
        <f>SOFR3mo_PX[[#This Row],[Column1505]]</f>
        <v>#N/A N/A</v>
      </c>
      <c r="BEX35" t="str">
        <f>SOFR3mo_PX[[#This Row],[Column1506]]</f>
        <v>#N/A N/A</v>
      </c>
      <c r="BEY35" t="str">
        <f>SOFR3mo_PX[[#This Row],[Column1507]]</f>
        <v>#N/A N/A</v>
      </c>
      <c r="BEZ35" t="str">
        <f>SOFR3mo_PX[[#This Row],[Column1508]]</f>
        <v>#N/A N/A</v>
      </c>
      <c r="BFA35" t="str">
        <f>SOFR3mo_PX[[#This Row],[Column1509]]</f>
        <v>#N/A N/A</v>
      </c>
      <c r="BFB35" t="str">
        <f>SOFR3mo_PX[[#This Row],[Column1510]]</f>
        <v>#N/A N/A</v>
      </c>
      <c r="BFC35" t="str">
        <f>SOFR3mo_PX[[#This Row],[Column1511]]</f>
        <v>#N/A N/A</v>
      </c>
      <c r="BFD35" t="str">
        <f>SOFR3mo_PX[[#This Row],[Column1512]]</f>
        <v>#N/A N/A</v>
      </c>
      <c r="BFE35" t="str">
        <f>SOFR3mo_PX[[#This Row],[Column1513]]</f>
        <v>#N/A N/A</v>
      </c>
      <c r="BFF35" t="str">
        <f>SOFR3mo_PX[[#This Row],[Column1514]]</f>
        <v>#N/A N/A</v>
      </c>
      <c r="BFG35" t="str">
        <f>SOFR3mo_PX[[#This Row],[Column1515]]</f>
        <v>#N/A N/A</v>
      </c>
      <c r="BFH35" t="str">
        <f>SOFR3mo_PX[[#This Row],[Column1516]]</f>
        <v>#N/A N/A</v>
      </c>
      <c r="BFI35" t="str">
        <f>SOFR3mo_PX[[#This Row],[Column1517]]</f>
        <v>#N/A N/A</v>
      </c>
      <c r="BFJ35" t="str">
        <f>SOFR3mo_PX[[#This Row],[Column1518]]</f>
        <v>#N/A N/A</v>
      </c>
      <c r="BFK35" t="str">
        <f>SOFR3mo_PX[[#This Row],[Column1519]]</f>
        <v>#N/A N/A</v>
      </c>
      <c r="BFL35" t="str">
        <f>SOFR3mo_PX[[#This Row],[Column1520]]</f>
        <v>#N/A N/A</v>
      </c>
      <c r="BFM35" t="str">
        <f>SOFR3mo_PX[[#This Row],[Column1521]]</f>
        <v>#N/A N/A</v>
      </c>
      <c r="BFN35" t="str">
        <f>SOFR3mo_PX[[#This Row],[Column1522]]</f>
        <v>#N/A N/A</v>
      </c>
      <c r="BFO35" t="str">
        <f>SOFR3mo_PX[[#This Row],[Column1523]]</f>
        <v>#N/A N/A</v>
      </c>
      <c r="BFP35" t="str">
        <f>SOFR3mo_PX[[#This Row],[Column1524]]</f>
        <v>#N/A N/A</v>
      </c>
      <c r="BFQ35" t="str">
        <f>SOFR3mo_PX[[#This Row],[Column1525]]</f>
        <v>#N/A N/A</v>
      </c>
      <c r="BFR35" t="str">
        <f>SOFR3mo_PX[[#This Row],[Column1526]]</f>
        <v>#N/A N/A</v>
      </c>
      <c r="BFS35" t="str">
        <f>SOFR3mo_PX[[#This Row],[Column1527]]</f>
        <v>#N/A N/A</v>
      </c>
      <c r="BFT35" t="str">
        <f>SOFR3mo_PX[[#This Row],[Column1528]]</f>
        <v>#N/A N/A</v>
      </c>
      <c r="BFU35" t="str">
        <f>SOFR3mo_PX[[#This Row],[Column1529]]</f>
        <v>#N/A N/A</v>
      </c>
      <c r="BFV35" t="str">
        <f>SOFR3mo_PX[[#This Row],[Column1530]]</f>
        <v>#N/A N/A</v>
      </c>
      <c r="BFW35" t="str">
        <f>SOFR3mo_PX[[#This Row],[Column1531]]</f>
        <v>#N/A N/A</v>
      </c>
      <c r="BFX35" t="str">
        <f>SOFR3mo_PX[[#This Row],[Column1532]]</f>
        <v>#N/A N/A</v>
      </c>
      <c r="BFY35" t="str">
        <f>SOFR3mo_PX[[#This Row],[Column1533]]</f>
        <v>#N/A N/A</v>
      </c>
      <c r="BFZ35" t="str">
        <f>SOFR3mo_PX[[#This Row],[Column1534]]</f>
        <v>#N/A N/A</v>
      </c>
      <c r="BGA35" t="str">
        <f>SOFR3mo_PX[[#This Row],[Column1535]]</f>
        <v>#N/A N/A</v>
      </c>
      <c r="BGB35" t="str">
        <f>SOFR3mo_PX[[#This Row],[Column1536]]</f>
        <v>#N/A N/A</v>
      </c>
      <c r="BGC35" t="str">
        <f>SOFR3mo_PX[[#This Row],[Column1537]]</f>
        <v>#N/A N/A</v>
      </c>
      <c r="BGD35" t="str">
        <f>SOFR3mo_PX[[#This Row],[Column1538]]</f>
        <v>#N/A N/A</v>
      </c>
      <c r="BGE35" t="str">
        <f>SOFR3mo_PX[[#This Row],[Column1539]]</f>
        <v>#N/A N/A</v>
      </c>
      <c r="BGF35" t="str">
        <f>SOFR3mo_PX[[#This Row],[Column1540]]</f>
        <v>#N/A N/A</v>
      </c>
      <c r="BGG35" t="str">
        <f>SOFR3mo_PX[[#This Row],[Column1541]]</f>
        <v>#N/A N/A</v>
      </c>
      <c r="BGH35" t="str">
        <f>SOFR3mo_PX[[#This Row],[Column1542]]</f>
        <v>#N/A N/A</v>
      </c>
      <c r="BGI35" t="str">
        <f>SOFR3mo_PX[[#This Row],[Column1543]]</f>
        <v>#N/A N/A</v>
      </c>
      <c r="BGJ35" t="str">
        <f>SOFR3mo_PX[[#This Row],[Column1544]]</f>
        <v>#N/A N/A</v>
      </c>
      <c r="BGK35" t="str">
        <f>SOFR3mo_PX[[#This Row],[Column1545]]</f>
        <v>#N/A N/A</v>
      </c>
      <c r="BGL35" t="str">
        <f>SOFR3mo_PX[[#This Row],[Column1546]]</f>
        <v>#N/A N/A</v>
      </c>
      <c r="BGM35" t="str">
        <f>SOFR3mo_PX[[#This Row],[Column1547]]</f>
        <v>#N/A N/A</v>
      </c>
      <c r="BGN35" t="str">
        <f>SOFR3mo_PX[[#This Row],[Column1548]]</f>
        <v>#N/A N/A</v>
      </c>
      <c r="BGO35" t="str">
        <f>SOFR3mo_PX[[#This Row],[Column1549]]</f>
        <v>#N/A N/A</v>
      </c>
      <c r="BGP35" t="str">
        <f>SOFR3mo_PX[[#This Row],[Column1550]]</f>
        <v>#N/A N/A</v>
      </c>
      <c r="BGQ35" t="str">
        <f>SOFR3mo_PX[[#This Row],[Column1551]]</f>
        <v>#N/A N/A</v>
      </c>
      <c r="BGR35" t="str">
        <f>SOFR3mo_PX[[#This Row],[Column1552]]</f>
        <v>#N/A N/A</v>
      </c>
      <c r="BGS35" t="str">
        <f>SOFR3mo_PX[[#This Row],[Column1553]]</f>
        <v>#N/A N/A</v>
      </c>
      <c r="BGT35" t="str">
        <f>SOFR3mo_PX[[#This Row],[Column1554]]</f>
        <v>#N/A N/A</v>
      </c>
      <c r="BGU35" t="str">
        <f>SOFR3mo_PX[[#This Row],[Column1555]]</f>
        <v>#N/A N/A</v>
      </c>
      <c r="BGV35" t="str">
        <f>SOFR3mo_PX[[#This Row],[Column1556]]</f>
        <v>#N/A N/A</v>
      </c>
      <c r="BGW35" t="str">
        <f>SOFR3mo_PX[[#This Row],[Column1557]]</f>
        <v>#N/A N/A</v>
      </c>
      <c r="BGX35" t="str">
        <f>SOFR3mo_PX[[#This Row],[Column1558]]</f>
        <v>#N/A N/A</v>
      </c>
      <c r="BGY35" t="str">
        <f>SOFR3mo_PX[[#This Row],[Column1559]]</f>
        <v>#N/A N/A</v>
      </c>
      <c r="BGZ35" t="str">
        <f>SOFR3mo_PX[[#This Row],[Column1560]]</f>
        <v>#N/A N/A</v>
      </c>
      <c r="BHA35" t="str">
        <f>SOFR3mo_PX[[#This Row],[Column1561]]</f>
        <v>#N/A N/A</v>
      </c>
      <c r="BHB35" t="str">
        <f>SOFR3mo_PX[[#This Row],[Column1562]]</f>
        <v>#N/A N/A</v>
      </c>
      <c r="BHC35" t="str">
        <f>SOFR3mo_PX[[#This Row],[Column1563]]</f>
        <v>#N/A N/A</v>
      </c>
      <c r="BHD35" t="str">
        <f>SOFR3mo_PX[[#This Row],[Column1564]]</f>
        <v>#N/A N/A</v>
      </c>
      <c r="BHE35" t="str">
        <f>SOFR3mo_PX[[#This Row],[Column1565]]</f>
        <v>#N/A N/A</v>
      </c>
      <c r="BHF35" t="str">
        <f>SOFR3mo_PX[[#This Row],[Column1566]]</f>
        <v>#N/A N/A</v>
      </c>
      <c r="BHG35" t="str">
        <f>SOFR3mo_PX[[#This Row],[Column1567]]</f>
        <v>#N/A N/A</v>
      </c>
      <c r="BHH35" t="str">
        <f>SOFR3mo_PX[[#This Row],[Column1568]]</f>
        <v>#N/A N/A</v>
      </c>
      <c r="BHI35" t="str">
        <f>SOFR3mo_PX[[#This Row],[Column1569]]</f>
        <v>#N/A N/A</v>
      </c>
      <c r="BHJ35" t="str">
        <f>SOFR3mo_PX[[#This Row],[Column1570]]</f>
        <v>#N/A N/A</v>
      </c>
      <c r="BHK35" t="str">
        <f>SOFR3mo_PX[[#This Row],[Column1571]]</f>
        <v>#N/A N/A</v>
      </c>
      <c r="BHL35" t="str">
        <f>SOFR3mo_PX[[#This Row],[Column1572]]</f>
        <v>#N/A N/A</v>
      </c>
      <c r="BHM35" t="str">
        <f>SOFR3mo_PX[[#This Row],[Column1573]]</f>
        <v>#N/A N/A</v>
      </c>
      <c r="BHN35" t="str">
        <f>SOFR3mo_PX[[#This Row],[Column1574]]</f>
        <v>#N/A N/A</v>
      </c>
      <c r="BHO35" t="str">
        <f>SOFR3mo_PX[[#This Row],[Column1575]]</f>
        <v>#N/A N/A</v>
      </c>
      <c r="BHP35" t="str">
        <f>SOFR3mo_PX[[#This Row],[Column1576]]</f>
        <v>#N/A N/A</v>
      </c>
      <c r="BHQ35" t="str">
        <f>SOFR3mo_PX[[#This Row],[Column1577]]</f>
        <v>#N/A N/A</v>
      </c>
      <c r="BHR35" t="str">
        <f>SOFR3mo_PX[[#This Row],[Column1578]]</f>
        <v>#N/A N/A</v>
      </c>
      <c r="BHS35" t="str">
        <f>SOFR3mo_PX[[#This Row],[Column1579]]</f>
        <v>#N/A N/A</v>
      </c>
      <c r="BHT35" t="str">
        <f>SOFR3mo_PX[[#This Row],[Column1580]]</f>
        <v>#N/A N/A</v>
      </c>
      <c r="BHU35" t="str">
        <f>SOFR3mo_PX[[#This Row],[Column1581]]</f>
        <v>#N/A N/A</v>
      </c>
      <c r="BHV35" t="str">
        <f>SOFR3mo_PX[[#This Row],[Column1582]]</f>
        <v>#N/A N/A</v>
      </c>
      <c r="BHW35" t="str">
        <f>SOFR3mo_PX[[#This Row],[Column1583]]</f>
        <v>#N/A N/A</v>
      </c>
      <c r="BHX35" t="str">
        <f>SOFR3mo_PX[[#This Row],[Column1584]]</f>
        <v>#N/A N/A</v>
      </c>
      <c r="BHY35" t="str">
        <f>SOFR3mo_PX[[#This Row],[Column1585]]</f>
        <v>#N/A N/A</v>
      </c>
      <c r="BHZ35" t="str">
        <f>SOFR3mo_PX[[#This Row],[Column1586]]</f>
        <v>#N/A N/A</v>
      </c>
      <c r="BIA35" t="str">
        <f>SOFR3mo_PX[[#This Row],[Column1587]]</f>
        <v>#N/A N/A</v>
      </c>
      <c r="BIB35" t="str">
        <f>SOFR3mo_PX[[#This Row],[Column1588]]</f>
        <v>#N/A N/A</v>
      </c>
      <c r="BIC35" t="str">
        <f>SOFR3mo_PX[[#This Row],[Column1589]]</f>
        <v>#N/A N/A</v>
      </c>
      <c r="BID35" t="str">
        <f>SOFR3mo_PX[[#This Row],[Column1590]]</f>
        <v>#N/A N/A</v>
      </c>
      <c r="BIE35" t="str">
        <f>SOFR3mo_PX[[#This Row],[Column1591]]</f>
        <v>#N/A N/A</v>
      </c>
      <c r="BIF35" t="str">
        <f>SOFR3mo_PX[[#This Row],[Column1592]]</f>
        <v>#N/A N/A</v>
      </c>
      <c r="BIG35" t="str">
        <f>SOFR3mo_PX[[#This Row],[Column1593]]</f>
        <v>#N/A N/A</v>
      </c>
      <c r="BIH35" t="str">
        <f>SOFR3mo_PX[[#This Row],[Column1594]]</f>
        <v>#N/A N/A</v>
      </c>
      <c r="BII35" t="str">
        <f>SOFR3mo_PX[[#This Row],[Column1595]]</f>
        <v>#N/A N/A</v>
      </c>
      <c r="BIJ35" t="str">
        <f>SOFR3mo_PX[[#This Row],[Column1596]]</f>
        <v>#N/A N/A</v>
      </c>
      <c r="BIK35" t="str">
        <f>SOFR3mo_PX[[#This Row],[Column1597]]</f>
        <v>#N/A N/A</v>
      </c>
      <c r="BIL35" t="str">
        <f>SOFR3mo_PX[[#This Row],[Column1598]]</f>
        <v>#N/A N/A</v>
      </c>
      <c r="BIM35" t="str">
        <f>SOFR3mo_PX[[#This Row],[Column1599]]</f>
        <v>#N/A N/A</v>
      </c>
      <c r="BIN35" t="str">
        <f>SOFR3mo_PX[[#This Row],[Column1600]]</f>
        <v>#N/A N/A</v>
      </c>
      <c r="BIO35" t="str">
        <f>SOFR3mo_PX[[#This Row],[Column1601]]</f>
        <v>#N/A N/A</v>
      </c>
      <c r="BIP35" t="str">
        <f>SOFR3mo_PX[[#This Row],[Column1602]]</f>
        <v>#N/A N/A</v>
      </c>
      <c r="BIQ35" t="str">
        <f>SOFR3mo_PX[[#This Row],[Column1603]]</f>
        <v>#N/A N/A</v>
      </c>
      <c r="BIR35" t="str">
        <f>SOFR3mo_PX[[#This Row],[Column1604]]</f>
        <v>#N/A N/A</v>
      </c>
      <c r="BIS35" t="str">
        <f>SOFR3mo_PX[[#This Row],[Column1605]]</f>
        <v>#N/A N/A</v>
      </c>
      <c r="BIT35" t="str">
        <f>SOFR3mo_PX[[#This Row],[Column1606]]</f>
        <v>#N/A N/A</v>
      </c>
      <c r="BIU35" t="str">
        <f>SOFR3mo_PX[[#This Row],[Column1607]]</f>
        <v>#N/A N/A</v>
      </c>
      <c r="BIV35" t="str">
        <f>SOFR3mo_PX[[#This Row],[Column1608]]</f>
        <v>#N/A N/A</v>
      </c>
      <c r="BIW35" t="str">
        <f>SOFR3mo_PX[[#This Row],[Column1609]]</f>
        <v>#N/A N/A</v>
      </c>
      <c r="BIX35" t="str">
        <f>SOFR3mo_PX[[#This Row],[Column1610]]</f>
        <v>#N/A N/A</v>
      </c>
      <c r="BIY35" t="str">
        <f>SOFR3mo_PX[[#This Row],[Column1611]]</f>
        <v>#N/A N/A</v>
      </c>
      <c r="BIZ35" t="str">
        <f>SOFR3mo_PX[[#This Row],[Column1612]]</f>
        <v>#N/A N/A</v>
      </c>
      <c r="BJA35" t="str">
        <f>SOFR3mo_PX[[#This Row],[Column1613]]</f>
        <v>#N/A N/A</v>
      </c>
      <c r="BJB35" t="str">
        <f>SOFR3mo_PX[[#This Row],[Column1614]]</f>
        <v>#N/A N/A</v>
      </c>
      <c r="BJC35" t="str">
        <f>SOFR3mo_PX[[#This Row],[Column1615]]</f>
        <v>#N/A N/A</v>
      </c>
      <c r="BJD35" t="str">
        <f>SOFR3mo_PX[[#This Row],[Column1616]]</f>
        <v>#N/A N/A</v>
      </c>
      <c r="BJE35" t="str">
        <f>SOFR3mo_PX[[#This Row],[Column1617]]</f>
        <v>#N/A N/A</v>
      </c>
      <c r="BJF35" t="str">
        <f>SOFR3mo_PX[[#This Row],[Column1618]]</f>
        <v>#N/A N/A</v>
      </c>
      <c r="BJG35" t="str">
        <f>SOFR3mo_PX[[#This Row],[Column1619]]</f>
        <v>#N/A N/A</v>
      </c>
      <c r="BJH35" t="str">
        <f>SOFR3mo_PX[[#This Row],[Column1620]]</f>
        <v>#N/A N/A</v>
      </c>
      <c r="BJI35" t="str">
        <f>SOFR3mo_PX[[#This Row],[Column1621]]</f>
        <v>#N/A N/A</v>
      </c>
      <c r="BJJ35" t="str">
        <f>SOFR3mo_PX[[#This Row],[Column1622]]</f>
        <v>#N/A N/A</v>
      </c>
      <c r="BJK35" t="str">
        <f>SOFR3mo_PX[[#This Row],[Column1623]]</f>
        <v>#N/A N/A</v>
      </c>
      <c r="BJL35" t="str">
        <f>SOFR3mo_PX[[#This Row],[Column1624]]</f>
        <v>#N/A N/A</v>
      </c>
      <c r="BJM35" t="str">
        <f>SOFR3mo_PX[[#This Row],[Column1625]]</f>
        <v>#N/A N/A</v>
      </c>
      <c r="BJN35" t="str">
        <f>SOFR3mo_PX[[#This Row],[Column1626]]</f>
        <v>#N/A N/A</v>
      </c>
      <c r="BJO35" t="str">
        <f>SOFR3mo_PX[[#This Row],[Column1627]]</f>
        <v>#N/A N/A</v>
      </c>
      <c r="BJP35" t="str">
        <f>SOFR3mo_PX[[#This Row],[Column1628]]</f>
        <v>#N/A N/A</v>
      </c>
      <c r="BJQ35" t="str">
        <f>SOFR3mo_PX[[#This Row],[Column1629]]</f>
        <v>#N/A N/A</v>
      </c>
      <c r="BJR35" t="str">
        <f>SOFR3mo_PX[[#This Row],[Column1630]]</f>
        <v>#N/A N/A</v>
      </c>
      <c r="BJS35" t="str">
        <f>SOFR3mo_PX[[#This Row],[Column1631]]</f>
        <v>#N/A N/A</v>
      </c>
      <c r="BJT35" t="str">
        <f>SOFR3mo_PX[[#This Row],[Column1632]]</f>
        <v>#N/A N/A</v>
      </c>
      <c r="BJU35" t="str">
        <f>SOFR3mo_PX[[#This Row],[Column1633]]</f>
        <v>#N/A N/A</v>
      </c>
      <c r="BJV35" t="str">
        <f>SOFR3mo_PX[[#This Row],[Column1634]]</f>
        <v>#N/A N/A</v>
      </c>
      <c r="BJW35" t="str">
        <f>SOFR3mo_PX[[#This Row],[Column1635]]</f>
        <v>#N/A N/A</v>
      </c>
      <c r="BJX35" t="str">
        <f>SOFR3mo_PX[[#This Row],[Column1636]]</f>
        <v>#N/A N/A</v>
      </c>
      <c r="BJY35" t="str">
        <f>SOFR3mo_PX[[#This Row],[Column1637]]</f>
        <v>#N/A N/A</v>
      </c>
      <c r="BJZ35" t="str">
        <f>SOFR3mo_PX[[#This Row],[Column1638]]</f>
        <v>#N/A N/A</v>
      </c>
      <c r="BKA35" t="str">
        <f>SOFR3mo_PX[[#This Row],[Column1639]]</f>
        <v>#N/A N/A</v>
      </c>
      <c r="BKB35" t="str">
        <f>SOFR3mo_PX[[#This Row],[Column1640]]</f>
        <v>#N/A N/A</v>
      </c>
      <c r="BKC35" t="str">
        <f>SOFR3mo_PX[[#This Row],[Column1641]]</f>
        <v>#N/A N/A</v>
      </c>
      <c r="BKD35" t="str">
        <f>SOFR3mo_PX[[#This Row],[Column1642]]</f>
        <v>#N/A N/A</v>
      </c>
      <c r="BKE35" t="str">
        <f>SOFR3mo_PX[[#This Row],[Column1643]]</f>
        <v>#N/A N/A</v>
      </c>
      <c r="BKF35" t="str">
        <f>SOFR3mo_PX[[#This Row],[Column1644]]</f>
        <v>#N/A N/A</v>
      </c>
      <c r="BKG35" t="str">
        <f>SOFR3mo_PX[[#This Row],[Column1645]]</f>
        <v>#N/A N/A</v>
      </c>
      <c r="BKH35" t="str">
        <f>SOFR3mo_PX[[#This Row],[Column1646]]</f>
        <v>#N/A N/A</v>
      </c>
      <c r="BKI35" t="str">
        <f>SOFR3mo_PX[[#This Row],[Column1647]]</f>
        <v>#N/A N/A</v>
      </c>
      <c r="BKJ35" t="str">
        <f>SOFR3mo_PX[[#This Row],[Column1648]]</f>
        <v>#N/A N/A</v>
      </c>
      <c r="BKK35" t="str">
        <f>SOFR3mo_PX[[#This Row],[Column1649]]</f>
        <v>#N/A N/A</v>
      </c>
      <c r="BKL35" t="str">
        <f>SOFR3mo_PX[[#This Row],[Column1650]]</f>
        <v>#N/A N/A</v>
      </c>
      <c r="BKM35" t="str">
        <f>SOFR3mo_PX[[#This Row],[Column1651]]</f>
        <v>#N/A N/A</v>
      </c>
      <c r="BKN35" t="str">
        <f>SOFR3mo_PX[[#This Row],[Column1652]]</f>
        <v>#N/A N/A</v>
      </c>
      <c r="BKO35" t="str">
        <f>SOFR3mo_PX[[#This Row],[Column1653]]</f>
        <v>#N/A N/A</v>
      </c>
      <c r="BKP35" t="str">
        <f>SOFR3mo_PX[[#This Row],[Column1654]]</f>
        <v>#N/A N/A</v>
      </c>
      <c r="BKQ35" t="str">
        <f>SOFR3mo_PX[[#This Row],[Column1655]]</f>
        <v>#N/A N/A</v>
      </c>
      <c r="BKR35" t="str">
        <f>SOFR3mo_PX[[#This Row],[Column1656]]</f>
        <v>#N/A N/A</v>
      </c>
      <c r="BKS35" t="str">
        <f>SOFR3mo_PX[[#This Row],[Column1657]]</f>
        <v>#N/A N/A</v>
      </c>
      <c r="BKT35" t="str">
        <f>SOFR3mo_PX[[#This Row],[Column1658]]</f>
        <v>#N/A N/A</v>
      </c>
      <c r="BKU35" t="str">
        <f>SOFR3mo_PX[[#This Row],[Column1659]]</f>
        <v>#N/A N/A</v>
      </c>
      <c r="BKV35" t="str">
        <f>SOFR3mo_PX[[#This Row],[Column1660]]</f>
        <v>#N/A N/A</v>
      </c>
      <c r="BKW35" t="str">
        <f>SOFR3mo_PX[[#This Row],[Column1661]]</f>
        <v>#N/A N/A</v>
      </c>
      <c r="BKX35" t="str">
        <f>SOFR3mo_PX[[#This Row],[Column1662]]</f>
        <v>#N/A N/A</v>
      </c>
      <c r="BKY35" t="str">
        <f>SOFR3mo_PX[[#This Row],[Column1663]]</f>
        <v>#N/A N/A</v>
      </c>
      <c r="BKZ35" t="str">
        <f>SOFR3mo_PX[[#This Row],[Column1664]]</f>
        <v>#N/A N/A</v>
      </c>
      <c r="BLA35" t="str">
        <f>SOFR3mo_PX[[#This Row],[Column1665]]</f>
        <v>#N/A N/A</v>
      </c>
      <c r="BLB35" t="str">
        <f>SOFR3mo_PX[[#This Row],[Column1666]]</f>
        <v>#N/A N/A</v>
      </c>
      <c r="BLC35" t="str">
        <f>SOFR3mo_PX[[#This Row],[Column1667]]</f>
        <v>#N/A N/A</v>
      </c>
      <c r="BLD35" t="str">
        <f>SOFR3mo_PX[[#This Row],[Column1668]]</f>
        <v>#N/A N/A</v>
      </c>
      <c r="BLE35" t="str">
        <f>SOFR3mo_PX[[#This Row],[Column1669]]</f>
        <v>#N/A N/A</v>
      </c>
      <c r="BLF35" t="str">
        <f>SOFR3mo_PX[[#This Row],[Column1670]]</f>
        <v>#N/A N/A</v>
      </c>
      <c r="BLG35" t="str">
        <f>SOFR3mo_PX[[#This Row],[Column1671]]</f>
        <v>#N/A N/A</v>
      </c>
      <c r="BLH35" t="str">
        <f>SOFR3mo_PX[[#This Row],[Column1672]]</f>
        <v>#N/A N/A</v>
      </c>
      <c r="BLI35" t="str">
        <f>SOFR3mo_PX[[#This Row],[Column1673]]</f>
        <v>#N/A N/A</v>
      </c>
      <c r="BLJ35" t="str">
        <f>SOFR3mo_PX[[#This Row],[Column1674]]</f>
        <v>#N/A N/A</v>
      </c>
      <c r="BLK35" t="str">
        <f>SOFR3mo_PX[[#This Row],[Column1675]]</f>
        <v>#N/A N/A</v>
      </c>
      <c r="BLL35" t="str">
        <f>SOFR3mo_PX[[#This Row],[Column1676]]</f>
        <v>#N/A N/A</v>
      </c>
      <c r="BLM35" t="str">
        <f>SOFR3mo_PX[[#This Row],[Column1677]]</f>
        <v>#N/A N/A</v>
      </c>
      <c r="BLN35" t="str">
        <f>SOFR3mo_PX[[#This Row],[Column1678]]</f>
        <v>#N/A N/A</v>
      </c>
      <c r="BLO35" t="str">
        <f>SOFR3mo_PX[[#This Row],[Column1679]]</f>
        <v>#N/A N/A</v>
      </c>
      <c r="BLP35" t="str">
        <f>SOFR3mo_PX[[#This Row],[Column1680]]</f>
        <v>#N/A N/A</v>
      </c>
      <c r="BLQ35" t="str">
        <f>SOFR3mo_PX[[#This Row],[Column1681]]</f>
        <v>#N/A N/A</v>
      </c>
      <c r="BLR35" t="str">
        <f>SOFR3mo_PX[[#This Row],[Column1682]]</f>
        <v>#N/A N/A</v>
      </c>
      <c r="BLS35" t="str">
        <f>SOFR3mo_PX[[#This Row],[Column1683]]</f>
        <v>#N/A N/A</v>
      </c>
      <c r="BLT35" t="str">
        <f>SOFR3mo_PX[[#This Row],[Column1684]]</f>
        <v>#N/A N/A</v>
      </c>
      <c r="BLU35" t="str">
        <f>SOFR3mo_PX[[#This Row],[Column1685]]</f>
        <v>#N/A N/A</v>
      </c>
      <c r="BLV35" t="str">
        <f>SOFR3mo_PX[[#This Row],[Column1686]]</f>
        <v>#N/A N/A</v>
      </c>
      <c r="BLW35" t="str">
        <f>SOFR3mo_PX[[#This Row],[Column1687]]</f>
        <v>#N/A N/A</v>
      </c>
      <c r="BLX35" t="str">
        <f>SOFR3mo_PX[[#This Row],[Column1688]]</f>
        <v>#N/A N/A</v>
      </c>
      <c r="BLY35" t="str">
        <f>SOFR3mo_PX[[#This Row],[Column1689]]</f>
        <v>#N/A N/A</v>
      </c>
      <c r="BLZ35" t="str">
        <f>SOFR3mo_PX[[#This Row],[Column1690]]</f>
        <v>#N/A N/A</v>
      </c>
      <c r="BMA35" t="str">
        <f>SOFR3mo_PX[[#This Row],[Column1691]]</f>
        <v>#N/A N/A</v>
      </c>
      <c r="BMB35" t="str">
        <f>SOFR3mo_PX[[#This Row],[Column1692]]</f>
        <v>#N/A N/A</v>
      </c>
      <c r="BMC35" t="str">
        <f>SOFR3mo_PX[[#This Row],[Column1693]]</f>
        <v>#N/A N/A</v>
      </c>
      <c r="BMD35" t="str">
        <f>SOFR3mo_PX[[#This Row],[Column1694]]</f>
        <v>#N/A N/A</v>
      </c>
      <c r="BME35" t="str">
        <f>SOFR3mo_PX[[#This Row],[Column1695]]</f>
        <v>#N/A N/A</v>
      </c>
      <c r="BMF35" t="str">
        <f>SOFR3mo_PX[[#This Row],[Column1696]]</f>
        <v>#N/A N/A</v>
      </c>
      <c r="BMG35" t="str">
        <f>SOFR3mo_PX[[#This Row],[Column1697]]</f>
        <v>#N/A N/A</v>
      </c>
      <c r="BMH35" t="str">
        <f>SOFR3mo_PX[[#This Row],[Column1698]]</f>
        <v>#N/A N/A</v>
      </c>
      <c r="BMI35" t="str">
        <f>SOFR3mo_PX[[#This Row],[Column1699]]</f>
        <v>#N/A N/A</v>
      </c>
      <c r="BMJ35" t="str">
        <f>SOFR3mo_PX[[#This Row],[Column1700]]</f>
        <v>#N/A N/A</v>
      </c>
      <c r="BMK35" t="str">
        <f>SOFR3mo_PX[[#This Row],[Column1701]]</f>
        <v>#N/A N/A</v>
      </c>
      <c r="BML35" t="str">
        <f>SOFR3mo_PX[[#This Row],[Column1702]]</f>
        <v>#N/A N/A</v>
      </c>
      <c r="BMM35" t="str">
        <f>SOFR3mo_PX[[#This Row],[Column1703]]</f>
        <v>#N/A N/A</v>
      </c>
      <c r="BMN35" t="str">
        <f>SOFR3mo_PX[[#This Row],[Column1704]]</f>
        <v>#N/A N/A</v>
      </c>
      <c r="BMO35" t="str">
        <f>SOFR3mo_PX[[#This Row],[Column1705]]</f>
        <v>#N/A N/A</v>
      </c>
      <c r="BMP35" t="str">
        <f>SOFR3mo_PX[[#This Row],[Column1706]]</f>
        <v>#N/A N/A</v>
      </c>
      <c r="BMQ35" t="str">
        <f>SOFR3mo_PX[[#This Row],[Column1707]]</f>
        <v>#N/A N/A</v>
      </c>
      <c r="BMR35" t="str">
        <f>SOFR3mo_PX[[#This Row],[Column1708]]</f>
        <v>#N/A N/A</v>
      </c>
      <c r="BMS35" t="str">
        <f>SOFR3mo_PX[[#This Row],[Column1709]]</f>
        <v>#N/A N/A</v>
      </c>
      <c r="BMT35" t="str">
        <f>SOFR3mo_PX[[#This Row],[Column1710]]</f>
        <v>#N/A N/A</v>
      </c>
      <c r="BMU35" t="str">
        <f>SOFR3mo_PX[[#This Row],[Column1711]]</f>
        <v>#N/A N/A</v>
      </c>
      <c r="BMV35" t="str">
        <f>SOFR3mo_PX[[#This Row],[Column1712]]</f>
        <v>#N/A N/A</v>
      </c>
      <c r="BMW35" t="str">
        <f>SOFR3mo_PX[[#This Row],[Column1713]]</f>
        <v>#N/A N/A</v>
      </c>
      <c r="BMX35" t="str">
        <f>SOFR3mo_PX[[#This Row],[Column1714]]</f>
        <v>#N/A N/A</v>
      </c>
      <c r="BMY35" t="str">
        <f>SOFR3mo_PX[[#This Row],[Column1715]]</f>
        <v>#N/A N/A</v>
      </c>
      <c r="BMZ35" t="str">
        <f>SOFR3mo_PX[[#This Row],[Column1716]]</f>
        <v>#N/A N/A</v>
      </c>
      <c r="BNA35" t="str">
        <f>SOFR3mo_PX[[#This Row],[Column1717]]</f>
        <v>#N/A N/A</v>
      </c>
      <c r="BNB35" t="str">
        <f>SOFR3mo_PX[[#This Row],[Column1718]]</f>
        <v>#N/A N/A</v>
      </c>
      <c r="BNC35" t="str">
        <f>SOFR3mo_PX[[#This Row],[Column1719]]</f>
        <v>#N/A N/A</v>
      </c>
      <c r="BND35" t="str">
        <f>SOFR3mo_PX[[#This Row],[Column1720]]</f>
        <v>#N/A N/A</v>
      </c>
      <c r="BNE35" t="str">
        <f>SOFR3mo_PX[[#This Row],[Column1721]]</f>
        <v>#N/A N/A</v>
      </c>
      <c r="BNF35" t="str">
        <f>SOFR3mo_PX[[#This Row],[Column1722]]</f>
        <v>#N/A N/A</v>
      </c>
      <c r="BNG35" t="str">
        <f>SOFR3mo_PX[[#This Row],[Column1723]]</f>
        <v>#N/A N/A</v>
      </c>
      <c r="BNH35" t="str">
        <f>SOFR3mo_PX[[#This Row],[Column1724]]</f>
        <v>#N/A N/A</v>
      </c>
      <c r="BNI35" t="str">
        <f>SOFR3mo_PX[[#This Row],[Column1725]]</f>
        <v>#N/A N/A</v>
      </c>
      <c r="BNJ35" t="str">
        <f>SOFR3mo_PX[[#This Row],[Column1726]]</f>
        <v>#N/A N/A</v>
      </c>
      <c r="BNK35" t="str">
        <f>SOFR3mo_PX[[#This Row],[Column1727]]</f>
        <v>#N/A N/A</v>
      </c>
      <c r="BNL35" t="str">
        <f>SOFR3mo_PX[[#This Row],[Column1728]]</f>
        <v>#N/A N/A</v>
      </c>
      <c r="BNM35" t="str">
        <f>SOFR3mo_PX[[#This Row],[Column1729]]</f>
        <v>#N/A N/A</v>
      </c>
      <c r="BNN35" t="str">
        <f>SOFR3mo_PX[[#This Row],[Column1730]]</f>
        <v>#N/A N/A</v>
      </c>
      <c r="BNO35" t="str">
        <f>SOFR3mo_PX[[#This Row],[Column1731]]</f>
        <v>#N/A N/A</v>
      </c>
      <c r="BNP35" t="str">
        <f>SOFR3mo_PX[[#This Row],[Column1732]]</f>
        <v>#N/A N/A</v>
      </c>
      <c r="BNQ35" t="str">
        <f>SOFR3mo_PX[[#This Row],[Column1733]]</f>
        <v>#N/A N/A</v>
      </c>
      <c r="BNR35" t="str">
        <f>SOFR3mo_PX[[#This Row],[Column1734]]</f>
        <v>#N/A N/A</v>
      </c>
      <c r="BNS35" t="str">
        <f>SOFR3mo_PX[[#This Row],[Column1735]]</f>
        <v>#N/A N/A</v>
      </c>
      <c r="BNT35" t="str">
        <f>SOFR3mo_PX[[#This Row],[Column1736]]</f>
        <v>#N/A N/A</v>
      </c>
      <c r="BNU35" t="str">
        <f>SOFR3mo_PX[[#This Row],[Column1737]]</f>
        <v>#N/A N/A</v>
      </c>
      <c r="BNV35" t="str">
        <f>SOFR3mo_PX[[#This Row],[Column1738]]</f>
        <v>#N/A N/A</v>
      </c>
      <c r="BNW35" t="str">
        <f>SOFR3mo_PX[[#This Row],[Column1739]]</f>
        <v>#N/A N/A</v>
      </c>
      <c r="BNX35" t="str">
        <f>SOFR3mo_PX[[#This Row],[Column1740]]</f>
        <v>#N/A N/A</v>
      </c>
      <c r="BNY35" t="str">
        <f>SOFR3mo_PX[[#This Row],[Column1741]]</f>
        <v>#N/A N/A</v>
      </c>
      <c r="BNZ35" t="str">
        <f>SOFR3mo_PX[[#This Row],[Column1742]]</f>
        <v>#N/A N/A</v>
      </c>
      <c r="BOA35" t="str">
        <f>SOFR3mo_PX[[#This Row],[Column1743]]</f>
        <v>#N/A N/A</v>
      </c>
      <c r="BOB35" t="str">
        <f>SOFR3mo_PX[[#This Row],[Column1744]]</f>
        <v>#N/A N/A</v>
      </c>
      <c r="BOC35" t="str">
        <f>SOFR3mo_PX[[#This Row],[Column1745]]</f>
        <v>#N/A N/A</v>
      </c>
      <c r="BOD35" t="str">
        <f>SOFR3mo_PX[[#This Row],[Column1746]]</f>
        <v>#N/A N/A</v>
      </c>
      <c r="BOE35" t="str">
        <f>SOFR3mo_PX[[#This Row],[Column1747]]</f>
        <v>#N/A N/A</v>
      </c>
      <c r="BOF35" t="str">
        <f>SOFR3mo_PX[[#This Row],[Column1748]]</f>
        <v>#N/A N/A</v>
      </c>
      <c r="BOG35" t="str">
        <f>SOFR3mo_PX[[#This Row],[Column1749]]</f>
        <v>#N/A N/A</v>
      </c>
      <c r="BOH35" t="str">
        <f>SOFR3mo_PX[[#This Row],[Column1750]]</f>
        <v>#N/A N/A</v>
      </c>
      <c r="BOI35" t="str">
        <f>SOFR3mo_PX[[#This Row],[Column1751]]</f>
        <v>#N/A N/A</v>
      </c>
      <c r="BOJ35" t="str">
        <f>SOFR3mo_PX[[#This Row],[Column1752]]</f>
        <v>#N/A N/A</v>
      </c>
      <c r="BOK35" t="str">
        <f>SOFR3mo_PX[[#This Row],[Column1753]]</f>
        <v>#N/A N/A</v>
      </c>
      <c r="BOL35" t="str">
        <f>SOFR3mo_PX[[#This Row],[Column1754]]</f>
        <v>#N/A N/A</v>
      </c>
      <c r="BOM35" t="str">
        <f>SOFR3mo_PX[[#This Row],[Column1755]]</f>
        <v>#N/A N/A</v>
      </c>
      <c r="BON35" t="str">
        <f>SOFR3mo_PX[[#This Row],[Column1756]]</f>
        <v>#N/A N/A</v>
      </c>
      <c r="BOO35" t="str">
        <f>SOFR3mo_PX[[#This Row],[Column1757]]</f>
        <v>#N/A N/A</v>
      </c>
      <c r="BOP35" t="str">
        <f>SOFR3mo_PX[[#This Row],[Column1758]]</f>
        <v>#N/A N/A</v>
      </c>
      <c r="BOQ35" t="str">
        <f>SOFR3mo_PX[[#This Row],[Column1759]]</f>
        <v>#N/A N/A</v>
      </c>
      <c r="BOR35" t="str">
        <f>SOFR3mo_PX[[#This Row],[Column1760]]</f>
        <v>#N/A N/A</v>
      </c>
      <c r="BOS35" t="str">
        <f>SOFR3mo_PX[[#This Row],[Column1761]]</f>
        <v>#N/A N/A</v>
      </c>
      <c r="BOT35" t="str">
        <f>SOFR3mo_PX[[#This Row],[Column1762]]</f>
        <v>#N/A N/A</v>
      </c>
      <c r="BOU35" t="str">
        <f>SOFR3mo_PX[[#This Row],[Column1763]]</f>
        <v>#N/A N/A</v>
      </c>
      <c r="BOV35" t="str">
        <f>SOFR3mo_PX[[#This Row],[Column1764]]</f>
        <v>#N/A N/A</v>
      </c>
      <c r="BOW35" t="str">
        <f>SOFR3mo_PX[[#This Row],[Column1765]]</f>
        <v>#N/A N/A</v>
      </c>
      <c r="BOX35" t="str">
        <f>SOFR3mo_PX[[#This Row],[Column1766]]</f>
        <v>#N/A N/A</v>
      </c>
      <c r="BOY35" t="str">
        <f>SOFR3mo_PX[[#This Row],[Column1767]]</f>
        <v>#N/A N/A</v>
      </c>
      <c r="BOZ35" t="str">
        <f>SOFR3mo_PX[[#This Row],[Column1768]]</f>
        <v>#N/A N/A</v>
      </c>
      <c r="BPA35" t="str">
        <f>SOFR3mo_PX[[#This Row],[Column1769]]</f>
        <v>#N/A N/A</v>
      </c>
      <c r="BPB35" t="str">
        <f>SOFR3mo_PX[[#This Row],[Column1770]]</f>
        <v>#N/A N/A</v>
      </c>
      <c r="BPC35" t="str">
        <f>SOFR3mo_PX[[#This Row],[Column1771]]</f>
        <v>#N/A N/A</v>
      </c>
      <c r="BPD35" t="str">
        <f>SOFR3mo_PX[[#This Row],[Column1772]]</f>
        <v>#N/A N/A</v>
      </c>
      <c r="BPE35" t="str">
        <f>SOFR3mo_PX[[#This Row],[Column1773]]</f>
        <v>#N/A N/A</v>
      </c>
      <c r="BPF35" t="str">
        <f>SOFR3mo_PX[[#This Row],[Column1774]]</f>
        <v>#N/A N/A</v>
      </c>
      <c r="BPG35" t="str">
        <f>SOFR3mo_PX[[#This Row],[Column1775]]</f>
        <v>#N/A N/A</v>
      </c>
      <c r="BPH35" t="str">
        <f>SOFR3mo_PX[[#This Row],[Column1776]]</f>
        <v>#N/A N/A</v>
      </c>
      <c r="BPI35" t="str">
        <f>SOFR3mo_PX[[#This Row],[Column1777]]</f>
        <v>#N/A N/A</v>
      </c>
      <c r="BPJ35" t="str">
        <f>SOFR3mo_PX[[#This Row],[Column1778]]</f>
        <v>#N/A N/A</v>
      </c>
      <c r="BPK35" t="str">
        <f>SOFR3mo_PX[[#This Row],[Column1779]]</f>
        <v>#N/A N/A</v>
      </c>
      <c r="BPL35" t="str">
        <f>SOFR3mo_PX[[#This Row],[Column1780]]</f>
        <v>#N/A N/A</v>
      </c>
      <c r="BPM35" t="str">
        <f>SOFR3mo_PX[[#This Row],[Column1781]]</f>
        <v>#N/A N/A</v>
      </c>
      <c r="BPN35" t="str">
        <f>SOFR3mo_PX[[#This Row],[Column1782]]</f>
        <v>#N/A N/A</v>
      </c>
      <c r="BPO35" t="str">
        <f>SOFR3mo_PX[[#This Row],[Column1783]]</f>
        <v>#N/A N/A</v>
      </c>
      <c r="BPP35" t="str">
        <f>SOFR3mo_PX[[#This Row],[Column1784]]</f>
        <v>#N/A N/A</v>
      </c>
      <c r="BPQ35" t="str">
        <f>SOFR3mo_PX[[#This Row],[Column1785]]</f>
        <v>#N/A N/A</v>
      </c>
      <c r="BPR35" t="str">
        <f>SOFR3mo_PX[[#This Row],[Column1786]]</f>
        <v>#N/A N/A</v>
      </c>
      <c r="BPS35" t="str">
        <f>SOFR3mo_PX[[#This Row],[Column1787]]</f>
        <v>#N/A N/A</v>
      </c>
      <c r="BPT35" t="str">
        <f>SOFR3mo_PX[[#This Row],[Column1788]]</f>
        <v>#N/A N/A</v>
      </c>
      <c r="BPU35" t="str">
        <f>SOFR3mo_PX[[#This Row],[Column1789]]</f>
        <v>#N/A N/A</v>
      </c>
      <c r="BPV35" t="str">
        <f>SOFR3mo_PX[[#This Row],[Column1790]]</f>
        <v>#N/A N/A</v>
      </c>
      <c r="BPW35" t="str">
        <f>SOFR3mo_PX[[#This Row],[Column1791]]</f>
        <v>#N/A N/A</v>
      </c>
      <c r="BPX35" t="str">
        <f>SOFR3mo_PX[[#This Row],[Column1792]]</f>
        <v>#N/A N/A</v>
      </c>
      <c r="BPY35" t="str">
        <f>SOFR3mo_PX[[#This Row],[Column1793]]</f>
        <v>#N/A N/A</v>
      </c>
      <c r="BPZ35" t="str">
        <f>SOFR3mo_PX[[#This Row],[Column1794]]</f>
        <v>#N/A N/A</v>
      </c>
      <c r="BQA35" t="str">
        <f>SOFR3mo_PX[[#This Row],[Column1795]]</f>
        <v>#N/A N/A</v>
      </c>
      <c r="BQB35" t="str">
        <f>SOFR3mo_PX[[#This Row],[Column1796]]</f>
        <v>#N/A N/A</v>
      </c>
      <c r="BQC35" t="str">
        <f>SOFR3mo_PX[[#This Row],[Column1797]]</f>
        <v>#N/A N/A</v>
      </c>
      <c r="BQD35" t="str">
        <f>SOFR3mo_PX[[#This Row],[Column1798]]</f>
        <v>#N/A N/A</v>
      </c>
      <c r="BQE35" t="str">
        <f>SOFR3mo_PX[[#This Row],[Column1799]]</f>
        <v>#N/A N/A</v>
      </c>
      <c r="BQF35" t="str">
        <f>SOFR3mo_PX[[#This Row],[Column1800]]</f>
        <v>#N/A N/A</v>
      </c>
      <c r="BQG35" t="str">
        <f>SOFR3mo_PX[[#This Row],[Column1801]]</f>
        <v>#N/A N/A</v>
      </c>
      <c r="BQH35" t="str">
        <f>SOFR3mo_PX[[#This Row],[Column1802]]</f>
        <v>#N/A N/A</v>
      </c>
      <c r="BQI35" t="str">
        <f>SOFR3mo_PX[[#This Row],[Column1803]]</f>
        <v>#N/A N/A</v>
      </c>
      <c r="BQJ35" t="str">
        <f>SOFR3mo_PX[[#This Row],[Column1804]]</f>
        <v>#N/A N/A</v>
      </c>
      <c r="BQK35" t="str">
        <f>SOFR3mo_PX[[#This Row],[Column1805]]</f>
        <v>#N/A N/A</v>
      </c>
      <c r="BQL35" t="str">
        <f>SOFR3mo_PX[[#This Row],[Column1806]]</f>
        <v>#N/A N/A</v>
      </c>
      <c r="BQM35" t="str">
        <f>SOFR3mo_PX[[#This Row],[Column1807]]</f>
        <v>#N/A N/A</v>
      </c>
      <c r="BQN35" t="str">
        <f>SOFR3mo_PX[[#This Row],[Column1808]]</f>
        <v>#N/A N/A</v>
      </c>
      <c r="BQO35" t="str">
        <f>SOFR3mo_PX[[#This Row],[Column1809]]</f>
        <v>#N/A N/A</v>
      </c>
      <c r="BQP35" t="str">
        <f>SOFR3mo_PX[[#This Row],[Column1810]]</f>
        <v>#N/A N/A</v>
      </c>
      <c r="BQQ35" t="str">
        <f>SOFR3mo_PX[[#This Row],[Column1811]]</f>
        <v>#N/A N/A</v>
      </c>
      <c r="BQR35" t="str">
        <f>SOFR3mo_PX[[#This Row],[Column1812]]</f>
        <v>#N/A N/A</v>
      </c>
      <c r="BQS35" t="str">
        <f>SOFR3mo_PX[[#This Row],[Column1813]]</f>
        <v>#N/A N/A</v>
      </c>
      <c r="BQT35" t="str">
        <f>SOFR3mo_PX[[#This Row],[Column1814]]</f>
        <v>#N/A N/A</v>
      </c>
      <c r="BQU35" t="str">
        <f>SOFR3mo_PX[[#This Row],[Column1815]]</f>
        <v>#N/A N/A</v>
      </c>
      <c r="BQV35" t="str">
        <f>SOFR3mo_PX[[#This Row],[Column1816]]</f>
        <v>#N/A N/A</v>
      </c>
      <c r="BQW35" t="str">
        <f>SOFR3mo_PX[[#This Row],[Column1817]]</f>
        <v>#N/A N/A</v>
      </c>
      <c r="BQX35" t="str">
        <f>SOFR3mo_PX[[#This Row],[Column1818]]</f>
        <v>#N/A N/A</v>
      </c>
      <c r="BQY35" t="str">
        <f>SOFR3mo_PX[[#This Row],[Column1819]]</f>
        <v>#N/A N/A</v>
      </c>
      <c r="BQZ35" t="str">
        <f>SOFR3mo_PX[[#This Row],[Column1820]]</f>
        <v>#N/A N/A</v>
      </c>
      <c r="BRA35" t="str">
        <f>SOFR3mo_PX[[#This Row],[Column1821]]</f>
        <v>#N/A N/A</v>
      </c>
      <c r="BRB35" t="str">
        <f>SOFR3mo_PX[[#This Row],[Column1822]]</f>
        <v>#N/A N/A</v>
      </c>
      <c r="BRC35" t="str">
        <f>SOFR3mo_PX[[#This Row],[Column1823]]</f>
        <v>#N/A N/A</v>
      </c>
      <c r="BRD35" t="str">
        <f>SOFR3mo_PX[[#This Row],[Column1824]]</f>
        <v>#N/A N/A</v>
      </c>
      <c r="BRE35" t="str">
        <f>SOFR3mo_PX[[#This Row],[Column1825]]</f>
        <v>#N/A N/A</v>
      </c>
      <c r="BRF35" t="str">
        <f>SOFR3mo_PX[[#This Row],[Column1826]]</f>
        <v>#N/A N/A</v>
      </c>
      <c r="BRG35" t="str">
        <f>SOFR3mo_PX[[#This Row],[Column1827]]</f>
        <v>#N/A N/A</v>
      </c>
      <c r="BRH35" t="str">
        <f>SOFR3mo_PX[[#This Row],[Column1828]]</f>
        <v>#N/A N/A</v>
      </c>
      <c r="BRI35" t="str">
        <f>SOFR3mo_PX[[#This Row],[Column1829]]</f>
        <v>#N/A N/A</v>
      </c>
      <c r="BRJ35" t="str">
        <f>SOFR3mo_PX[[#This Row],[Column1830]]</f>
        <v>#N/A N/A</v>
      </c>
      <c r="BRK35" t="str">
        <f>SOFR3mo_PX[[#This Row],[Column1831]]</f>
        <v>#N/A N/A</v>
      </c>
      <c r="BRL35" t="str">
        <f>SOFR3mo_PX[[#This Row],[Column1832]]</f>
        <v>#N/A N/A</v>
      </c>
      <c r="BRM35" t="str">
        <f>SOFR3mo_PX[[#This Row],[Column1833]]</f>
        <v>#N/A N/A</v>
      </c>
      <c r="BRN35" t="str">
        <f>SOFR3mo_PX[[#This Row],[Column1834]]</f>
        <v>#N/A N/A</v>
      </c>
      <c r="BRO35" t="str">
        <f>SOFR3mo_PX[[#This Row],[Column1835]]</f>
        <v>#N/A N/A</v>
      </c>
      <c r="BRP35" t="str">
        <f>SOFR3mo_PX[[#This Row],[Column1836]]</f>
        <v>#N/A N/A</v>
      </c>
      <c r="BRQ35" t="str">
        <f>SOFR3mo_PX[[#This Row],[Column1837]]</f>
        <v>#N/A N/A</v>
      </c>
      <c r="BRR35" t="str">
        <f>SOFR3mo_PX[[#This Row],[Column1838]]</f>
        <v>#N/A N/A</v>
      </c>
      <c r="BRS35" t="str">
        <f>SOFR3mo_PX[[#This Row],[Column1839]]</f>
        <v>#N/A N/A</v>
      </c>
      <c r="BRT35" t="str">
        <f>SOFR3mo_PX[[#This Row],[Column1840]]</f>
        <v>#N/A N/A</v>
      </c>
      <c r="BRU35" t="str">
        <f>SOFR3mo_PX[[#This Row],[Column1841]]</f>
        <v>#N/A N/A</v>
      </c>
      <c r="BRV35" t="str">
        <f>SOFR3mo_PX[[#This Row],[Column1842]]</f>
        <v>#N/A N/A</v>
      </c>
      <c r="BRW35" t="str">
        <f>SOFR3mo_PX[[#This Row],[Column1843]]</f>
        <v>#N/A N/A</v>
      </c>
      <c r="BRX35" t="str">
        <f>SOFR3mo_PX[[#This Row],[Column1844]]</f>
        <v>#N/A N/A</v>
      </c>
      <c r="BRY35" t="str">
        <f>SOFR3mo_PX[[#This Row],[Column1845]]</f>
        <v>#N/A N/A</v>
      </c>
      <c r="BRZ35" t="str">
        <f>SOFR3mo_PX[[#This Row],[Column1846]]</f>
        <v>#N/A N/A</v>
      </c>
      <c r="BSA35" t="str">
        <f>SOFR3mo_PX[[#This Row],[Column1847]]</f>
        <v>#N/A N/A</v>
      </c>
      <c r="BSB35" t="str">
        <f>SOFR3mo_PX[[#This Row],[Column1848]]</f>
        <v>#N/A N/A</v>
      </c>
      <c r="BSC35" t="str">
        <f>SOFR3mo_PX[[#This Row],[Column1849]]</f>
        <v>#N/A N/A</v>
      </c>
      <c r="BSD35" t="str">
        <f>SOFR3mo_PX[[#This Row],[Column1850]]</f>
        <v>#N/A N/A</v>
      </c>
      <c r="BSE35" t="str">
        <f>SOFR3mo_PX[[#This Row],[Column1851]]</f>
        <v>#N/A N/A</v>
      </c>
      <c r="BSF35" t="str">
        <f>SOFR3mo_PX[[#This Row],[Column1852]]</f>
        <v>#N/A N/A</v>
      </c>
      <c r="BSG35" t="str">
        <f>SOFR3mo_PX[[#This Row],[Column1853]]</f>
        <v>#N/A N/A</v>
      </c>
      <c r="BSH35" t="str">
        <f>SOFR3mo_PX[[#This Row],[Column1854]]</f>
        <v>#N/A N/A</v>
      </c>
      <c r="BSI35" t="str">
        <f>SOFR3mo_PX[[#This Row],[Column1855]]</f>
        <v>#N/A N/A</v>
      </c>
      <c r="BSJ35" t="str">
        <f>SOFR3mo_PX[[#This Row],[Column1856]]</f>
        <v>#N/A N/A</v>
      </c>
      <c r="BSK35" t="str">
        <f>SOFR3mo_PX[[#This Row],[Column1857]]</f>
        <v>#N/A N/A</v>
      </c>
      <c r="BSL35" t="str">
        <f>SOFR3mo_PX[[#This Row],[Column1858]]</f>
        <v>#N/A N/A</v>
      </c>
      <c r="BSM35" t="str">
        <f>SOFR3mo_PX[[#This Row],[Column1859]]</f>
        <v>#N/A N/A</v>
      </c>
      <c r="BSN35" t="str">
        <f>SOFR3mo_PX[[#This Row],[Column1860]]</f>
        <v>#N/A N/A</v>
      </c>
      <c r="BSO35" t="str">
        <f>SOFR3mo_PX[[#This Row],[Column1861]]</f>
        <v>#N/A N/A</v>
      </c>
      <c r="BSP35" t="str">
        <f>SOFR3mo_PX[[#This Row],[Column1862]]</f>
        <v>#N/A N/A</v>
      </c>
      <c r="BSQ35" t="str">
        <f>SOFR3mo_PX[[#This Row],[Column1863]]</f>
        <v>#N/A N/A</v>
      </c>
      <c r="BSR35" t="str">
        <f>SOFR3mo_PX[[#This Row],[Column1864]]</f>
        <v>#N/A N/A</v>
      </c>
      <c r="BSS35" t="str">
        <f>SOFR3mo_PX[[#This Row],[Column1865]]</f>
        <v>#N/A N/A</v>
      </c>
      <c r="BST35" t="str">
        <f>SOFR3mo_PX[[#This Row],[Column1866]]</f>
        <v>#N/A N/A</v>
      </c>
      <c r="BSU35" t="str">
        <f>SOFR3mo_PX[[#This Row],[Column1867]]</f>
        <v>#N/A N/A</v>
      </c>
      <c r="BSV35" t="str">
        <f>SOFR3mo_PX[[#This Row],[Column1868]]</f>
        <v>#N/A N/A</v>
      </c>
      <c r="BSW35" t="str">
        <f>SOFR3mo_PX[[#This Row],[Column1869]]</f>
        <v>#N/A N/A</v>
      </c>
      <c r="BSX35" t="str">
        <f>SOFR3mo_PX[[#This Row],[Column1870]]</f>
        <v>#N/A N/A</v>
      </c>
      <c r="BSY35" t="str">
        <f>SOFR3mo_PX[[#This Row],[Column1871]]</f>
        <v>#N/A N/A</v>
      </c>
      <c r="BSZ35" t="str">
        <f>SOFR3mo_PX[[#This Row],[Column1872]]</f>
        <v>#N/A N/A</v>
      </c>
      <c r="BTA35" t="str">
        <f>SOFR3mo_PX[[#This Row],[Column1873]]</f>
        <v>#N/A N/A</v>
      </c>
      <c r="BTB35" t="str">
        <f>SOFR3mo_PX[[#This Row],[Column1874]]</f>
        <v>#N/A N/A</v>
      </c>
      <c r="BTC35" t="str">
        <f>SOFR3mo_PX[[#This Row],[Column1875]]</f>
        <v>#N/A N/A</v>
      </c>
      <c r="BTD35" t="str">
        <f>SOFR3mo_PX[[#This Row],[Column1876]]</f>
        <v>#N/A N/A</v>
      </c>
      <c r="BTE35" t="str">
        <f>SOFR3mo_PX[[#This Row],[Column1877]]</f>
        <v>#N/A N/A</v>
      </c>
      <c r="BTF35" t="str">
        <f>SOFR3mo_PX[[#This Row],[Column1878]]</f>
        <v>#N/A N/A</v>
      </c>
      <c r="BTG35" t="str">
        <f>SOFR3mo_PX[[#This Row],[Column1879]]</f>
        <v>#N/A N/A</v>
      </c>
      <c r="BTH35" t="str">
        <f>SOFR3mo_PX[[#This Row],[Column1880]]</f>
        <v>#N/A N/A</v>
      </c>
      <c r="BTI35" t="str">
        <f>SOFR3mo_PX[[#This Row],[Column1881]]</f>
        <v>#N/A N/A</v>
      </c>
      <c r="BTJ35" t="str">
        <f>SOFR3mo_PX[[#This Row],[Column1882]]</f>
        <v>#N/A N/A</v>
      </c>
      <c r="BTK35" t="str">
        <f>SOFR3mo_PX[[#This Row],[Column1883]]</f>
        <v>#N/A N/A</v>
      </c>
      <c r="BTL35" t="str">
        <f>SOFR3mo_PX[[#This Row],[Column1884]]</f>
        <v>#N/A N/A</v>
      </c>
      <c r="BTM35" t="str">
        <f>SOFR3mo_PX[[#This Row],[Column1885]]</f>
        <v>#N/A N/A</v>
      </c>
      <c r="BTN35" t="str">
        <f>SOFR3mo_PX[[#This Row],[Column1886]]</f>
        <v>#N/A N/A</v>
      </c>
      <c r="BTO35" t="str">
        <f>SOFR3mo_PX[[#This Row],[Column1887]]</f>
        <v>#N/A N/A</v>
      </c>
      <c r="BTP35" t="str">
        <f>SOFR3mo_PX[[#This Row],[Column1888]]</f>
        <v>#N/A N/A</v>
      </c>
      <c r="BTQ35" t="str">
        <f>SOFR3mo_PX[[#This Row],[Column1889]]</f>
        <v>#N/A N/A</v>
      </c>
      <c r="BTR35" t="str">
        <f>SOFR3mo_PX[[#This Row],[Column1890]]</f>
        <v>#N/A N/A</v>
      </c>
      <c r="BTS35" t="str">
        <f>SOFR3mo_PX[[#This Row],[Column1891]]</f>
        <v>#N/A N/A</v>
      </c>
      <c r="BTT35" t="str">
        <f>SOFR3mo_PX[[#This Row],[Column1892]]</f>
        <v>#N/A N/A</v>
      </c>
      <c r="BTU35" t="str">
        <f>SOFR3mo_PX[[#This Row],[Column1893]]</f>
        <v>#N/A N/A</v>
      </c>
      <c r="BTV35" t="str">
        <f>SOFR3mo_PX[[#This Row],[Column1894]]</f>
        <v>#N/A N/A</v>
      </c>
      <c r="BTW35" t="str">
        <f>SOFR3mo_PX[[#This Row],[Column1895]]</f>
        <v>#N/A N/A</v>
      </c>
      <c r="BTX35" t="str">
        <f>SOFR3mo_PX[[#This Row],[Column1896]]</f>
        <v>#N/A N/A</v>
      </c>
      <c r="BTY35" t="str">
        <f>SOFR3mo_PX[[#This Row],[Column1897]]</f>
        <v>#N/A N/A</v>
      </c>
      <c r="BTZ35" t="str">
        <f>SOFR3mo_PX[[#This Row],[Column1898]]</f>
        <v>#N/A N/A</v>
      </c>
      <c r="BUA35" t="str">
        <f>SOFR3mo_PX[[#This Row],[Column1899]]</f>
        <v>#N/A N/A</v>
      </c>
      <c r="BUB35" t="str">
        <f>SOFR3mo_PX[[#This Row],[Column1900]]</f>
        <v>#N/A N/A</v>
      </c>
      <c r="BUC35" t="str">
        <f>SOFR3mo_PX[[#This Row],[Column1901]]</f>
        <v>#N/A N/A</v>
      </c>
      <c r="BUD35" t="str">
        <f>SOFR3mo_PX[[#This Row],[Column1902]]</f>
        <v>#N/A N/A</v>
      </c>
      <c r="BUE35" t="str">
        <f>SOFR3mo_PX[[#This Row],[Column1903]]</f>
        <v>#N/A N/A</v>
      </c>
      <c r="BUF35" t="str">
        <f>SOFR3mo_PX[[#This Row],[Column1904]]</f>
        <v>#N/A N/A</v>
      </c>
      <c r="BUG35" t="str">
        <f>SOFR3mo_PX[[#This Row],[Column1905]]</f>
        <v>#N/A N/A</v>
      </c>
      <c r="BUH35" t="str">
        <f>SOFR3mo_PX[[#This Row],[Column1906]]</f>
        <v>#N/A N/A</v>
      </c>
      <c r="BUI35" t="str">
        <f>SOFR3mo_PX[[#This Row],[Column1907]]</f>
        <v>#N/A N/A</v>
      </c>
      <c r="BUJ35" t="str">
        <f>SOFR3mo_PX[[#This Row],[Column1908]]</f>
        <v>#N/A N/A</v>
      </c>
      <c r="BUK35" t="str">
        <f>SOFR3mo_PX[[#This Row],[Column1909]]</f>
        <v>#N/A N/A</v>
      </c>
      <c r="BUL35" t="str">
        <f>SOFR3mo_PX[[#This Row],[Column1910]]</f>
        <v>#N/A N/A</v>
      </c>
      <c r="BUM35" t="str">
        <f>SOFR3mo_PX[[#This Row],[Column1911]]</f>
        <v>#N/A N/A</v>
      </c>
      <c r="BUN35" t="str">
        <f>SOFR3mo_PX[[#This Row],[Column1912]]</f>
        <v>#N/A N/A</v>
      </c>
      <c r="BUO35" t="str">
        <f>SOFR3mo_PX[[#This Row],[Column1913]]</f>
        <v>#N/A N/A</v>
      </c>
      <c r="BUP35" t="str">
        <f>SOFR3mo_PX[[#This Row],[Column1914]]</f>
        <v>#N/A N/A</v>
      </c>
      <c r="BUQ35" t="str">
        <f>SOFR3mo_PX[[#This Row],[Column1915]]</f>
        <v>#N/A N/A</v>
      </c>
      <c r="BUR35" t="str">
        <f>SOFR3mo_PX[[#This Row],[Column1916]]</f>
        <v>#N/A N/A</v>
      </c>
      <c r="BUS35" t="str">
        <f>SOFR3mo_PX[[#This Row],[Column1917]]</f>
        <v>#N/A N/A</v>
      </c>
      <c r="BUT35" t="str">
        <f>SOFR3mo_PX[[#This Row],[Column1918]]</f>
        <v>#N/A N/A</v>
      </c>
      <c r="BUU35" t="str">
        <f>SOFR3mo_PX[[#This Row],[Column1919]]</f>
        <v>#N/A N/A</v>
      </c>
      <c r="BUV35" t="str">
        <f>SOFR3mo_PX[[#This Row],[Column1920]]</f>
        <v>#N/A N/A</v>
      </c>
      <c r="BUW35" t="str">
        <f>SOFR3mo_PX[[#This Row],[Column1921]]</f>
        <v>#N/A N/A</v>
      </c>
      <c r="BUX35" t="str">
        <f>SOFR3mo_PX[[#This Row],[Column1922]]</f>
        <v>#N/A N/A</v>
      </c>
      <c r="BUY35" t="str">
        <f>SOFR3mo_PX[[#This Row],[Column1923]]</f>
        <v>#N/A N/A</v>
      </c>
      <c r="BUZ35" t="str">
        <f>SOFR3mo_PX[[#This Row],[Column1924]]</f>
        <v>#N/A N/A</v>
      </c>
      <c r="BVA35" t="str">
        <f>SOFR3mo_PX[[#This Row],[Column1925]]</f>
        <v>#N/A N/A</v>
      </c>
      <c r="BVB35" t="str">
        <f>SOFR3mo_PX[[#This Row],[Column1926]]</f>
        <v>#N/A N/A</v>
      </c>
      <c r="BVC35" t="str">
        <f>SOFR3mo_PX[[#This Row],[Column1927]]</f>
        <v>#N/A N/A</v>
      </c>
      <c r="BVD35" t="str">
        <f>SOFR3mo_PX[[#This Row],[Column1928]]</f>
        <v>#N/A N/A</v>
      </c>
      <c r="BVE35" t="str">
        <f>SOFR3mo_PX[[#This Row],[Column1929]]</f>
        <v>#N/A N/A</v>
      </c>
      <c r="BVF35" t="str">
        <f>SOFR3mo_PX[[#This Row],[Column1930]]</f>
        <v>#N/A N/A</v>
      </c>
      <c r="BVG35" t="str">
        <f>SOFR3mo_PX[[#This Row],[Column1931]]</f>
        <v>#N/A N/A</v>
      </c>
      <c r="BVH35" t="str">
        <f>SOFR3mo_PX[[#This Row],[Column1932]]</f>
        <v>#N/A N/A</v>
      </c>
      <c r="BVI35" t="str">
        <f>SOFR3mo_PX[[#This Row],[Column1933]]</f>
        <v>#N/A N/A</v>
      </c>
      <c r="BVJ35" t="str">
        <f>SOFR3mo_PX[[#This Row],[Column1934]]</f>
        <v>#N/A N/A</v>
      </c>
      <c r="BVK35" t="str">
        <f>SOFR3mo_PX[[#This Row],[Column1935]]</f>
        <v>#N/A N/A</v>
      </c>
      <c r="BVL35" t="str">
        <f>SOFR3mo_PX[[#This Row],[Column1936]]</f>
        <v>#N/A N/A</v>
      </c>
      <c r="BVM35" t="str">
        <f>SOFR3mo_PX[[#This Row],[Column1937]]</f>
        <v>#N/A N/A</v>
      </c>
      <c r="BVN35" t="str">
        <f>SOFR3mo_PX[[#This Row],[Column1938]]</f>
        <v>#N/A N/A</v>
      </c>
      <c r="BVO35" t="str">
        <f>SOFR3mo_PX[[#This Row],[Column1939]]</f>
        <v>#N/A N/A</v>
      </c>
      <c r="BVP35" t="str">
        <f>SOFR3mo_PX[[#This Row],[Column1940]]</f>
        <v>#N/A N/A</v>
      </c>
      <c r="BVQ35" t="str">
        <f>SOFR3mo_PX[[#This Row],[Column1941]]</f>
        <v>#N/A N/A</v>
      </c>
      <c r="BVR35" t="str">
        <f>SOFR3mo_PX[[#This Row],[Column1942]]</f>
        <v>#N/A N/A</v>
      </c>
      <c r="BVS35" t="str">
        <f>SOFR3mo_PX[[#This Row],[Column1943]]</f>
        <v>#N/A N/A</v>
      </c>
      <c r="BVT35" t="str">
        <f>SOFR3mo_PX[[#This Row],[Column1944]]</f>
        <v>#N/A N/A</v>
      </c>
      <c r="BVU35" t="str">
        <f>SOFR3mo_PX[[#This Row],[Column1945]]</f>
        <v>#N/A N/A</v>
      </c>
      <c r="BVV35" t="str">
        <f>SOFR3mo_PX[[#This Row],[Column1946]]</f>
        <v>#N/A N/A</v>
      </c>
      <c r="BVW35" t="str">
        <f>SOFR3mo_PX[[#This Row],[Column1947]]</f>
        <v>#N/A N/A</v>
      </c>
      <c r="BVX35" t="str">
        <f>SOFR3mo_PX[[#This Row],[Column1948]]</f>
        <v>#N/A N/A</v>
      </c>
      <c r="BVY35" t="str">
        <f>SOFR3mo_PX[[#This Row],[Column1949]]</f>
        <v>#N/A N/A</v>
      </c>
      <c r="BVZ35" t="str">
        <f>SOFR3mo_PX[[#This Row],[Column1950]]</f>
        <v>#N/A N/A</v>
      </c>
      <c r="BWA35" t="str">
        <f>SOFR3mo_PX[[#This Row],[Column1951]]</f>
        <v>#N/A N/A</v>
      </c>
      <c r="BWB35" t="str">
        <f>SOFR3mo_PX[[#This Row],[Column1952]]</f>
        <v>#N/A N/A</v>
      </c>
      <c r="BWC35" t="str">
        <f>SOFR3mo_PX[[#This Row],[Column1953]]</f>
        <v>#N/A N/A</v>
      </c>
      <c r="BWD35" t="str">
        <f>SOFR3mo_PX[[#This Row],[Column1954]]</f>
        <v>#N/A N/A</v>
      </c>
    </row>
    <row r="36" spans="1:1954" x14ac:dyDescent="0.25">
      <c r="A36" t="str">
        <f>SOFR3mo_PX[[#This Row],[Column1]]</f>
        <v>SFR35 Comdty</v>
      </c>
      <c r="B36">
        <f>IF(rtd!B34&lt;&gt;"",rtd!B34,SOFR3mo_PX[[#This Row],[Column2]])</f>
        <v>95.474999999999994</v>
      </c>
      <c r="C36">
        <f>SOFR3mo_PX[[#This Row],[Column3]]</f>
        <v>95.474999999999994</v>
      </c>
      <c r="D36">
        <f>SOFR3mo_PX[[#This Row],[Column4]]</f>
        <v>95.474999999999994</v>
      </c>
      <c r="E36">
        <f>SOFR3mo_PX[[#This Row],[Column5]]</f>
        <v>95.534999999999997</v>
      </c>
      <c r="F36">
        <f>SOFR3mo_PX[[#This Row],[Column6]]</f>
        <v>95.48</v>
      </c>
      <c r="G36">
        <f>SOFR3mo_PX[[#This Row],[Column7]]</f>
        <v>95.53</v>
      </c>
      <c r="H36">
        <f>SOFR3mo_PX[[#This Row],[Column8]]</f>
        <v>95.58</v>
      </c>
      <c r="I36">
        <f>SOFR3mo_PX[[#This Row],[Column9]]</f>
        <v>95.52</v>
      </c>
      <c r="J36">
        <f>SOFR3mo_PX[[#This Row],[Column10]]</f>
        <v>95.47</v>
      </c>
      <c r="K36">
        <f>SOFR3mo_PX[[#This Row],[Column11]]</f>
        <v>95.454999999999998</v>
      </c>
      <c r="L36">
        <f>SOFR3mo_PX[[#This Row],[Column12]]</f>
        <v>95.45</v>
      </c>
      <c r="M36">
        <f>SOFR3mo_PX[[#This Row],[Column13]]</f>
        <v>95.55</v>
      </c>
      <c r="N36">
        <f>SOFR3mo_PX[[#This Row],[Column14]]</f>
        <v>95.575000000000003</v>
      </c>
      <c r="O36">
        <f>SOFR3mo_PX[[#This Row],[Column15]]</f>
        <v>95.484999999999999</v>
      </c>
      <c r="P36">
        <f>SOFR3mo_PX[[#This Row],[Column16]]</f>
        <v>95.48</v>
      </c>
      <c r="Q36">
        <f>SOFR3mo_PX[[#This Row],[Column17]]</f>
        <v>95.54</v>
      </c>
      <c r="R36">
        <f>SOFR3mo_PX[[#This Row],[Column18]]</f>
        <v>95.52</v>
      </c>
      <c r="S36">
        <f>SOFR3mo_PX[[#This Row],[Column19]]</f>
        <v>95.49</v>
      </c>
      <c r="T36">
        <f>SOFR3mo_PX[[#This Row],[Column20]]</f>
        <v>95.54</v>
      </c>
      <c r="U36">
        <f>SOFR3mo_PX[[#This Row],[Column21]]</f>
        <v>95.454999999999998</v>
      </c>
      <c r="V36">
        <f>SOFR3mo_PX[[#This Row],[Column22]]</f>
        <v>95.454999999999998</v>
      </c>
      <c r="W36">
        <f>SOFR3mo_PX[[#This Row],[Column23]]</f>
        <v>95.38</v>
      </c>
      <c r="X36">
        <f>SOFR3mo_PX[[#This Row],[Column24]]</f>
        <v>95.32</v>
      </c>
      <c r="Y36">
        <f>SOFR3mo_PX[[#This Row],[Column25]]</f>
        <v>95.424999999999997</v>
      </c>
      <c r="Z36">
        <f>SOFR3mo_PX[[#This Row],[Column26]]</f>
        <v>95.435000000000002</v>
      </c>
      <c r="AA36">
        <f>SOFR3mo_PX[[#This Row],[Column27]]</f>
        <v>95.474999999999994</v>
      </c>
      <c r="AB36">
        <f>SOFR3mo_PX[[#This Row],[Column28]]</f>
        <v>95.454999999999998</v>
      </c>
      <c r="AC36">
        <f>SOFR3mo_PX[[#This Row],[Column29]]</f>
        <v>95.385000000000005</v>
      </c>
      <c r="AD36">
        <f>SOFR3mo_PX[[#This Row],[Column30]]</f>
        <v>95.42</v>
      </c>
      <c r="AE36">
        <f>SOFR3mo_PX[[#This Row],[Column31]]</f>
        <v>95.47</v>
      </c>
      <c r="AF36">
        <f>SOFR3mo_PX[[#This Row],[Column32]]</f>
        <v>95.525000000000006</v>
      </c>
      <c r="AG36">
        <f>SOFR3mo_PX[[#This Row],[Column33]]</f>
        <v>95.525000000000006</v>
      </c>
      <c r="AH36">
        <f>SOFR3mo_PX[[#This Row],[Column34]]</f>
        <v>95.62</v>
      </c>
      <c r="AI36">
        <f>SOFR3mo_PX[[#This Row],[Column35]]</f>
        <v>95.57</v>
      </c>
      <c r="AJ36">
        <f>SOFR3mo_PX[[#This Row],[Column36]]</f>
        <v>95.564999999999998</v>
      </c>
      <c r="AK36">
        <f>SOFR3mo_PX[[#This Row],[Column37]]</f>
        <v>95.6</v>
      </c>
      <c r="AL36">
        <f>SOFR3mo_PX[[#This Row],[Column38]]</f>
        <v>95.644999999999996</v>
      </c>
      <c r="AM36">
        <f>SOFR3mo_PX[[#This Row],[Column39]]</f>
        <v>95.694999999999993</v>
      </c>
      <c r="AN36">
        <f>SOFR3mo_PX[[#This Row],[Column40]]</f>
        <v>95.67</v>
      </c>
      <c r="AO36">
        <f>SOFR3mo_PX[[#This Row],[Column41]]</f>
        <v>95.61</v>
      </c>
      <c r="AP36">
        <f>SOFR3mo_PX[[#This Row],[Column42]]</f>
        <v>95.56</v>
      </c>
      <c r="AQ36">
        <f>SOFR3mo_PX[[#This Row],[Column43]]</f>
        <v>95.5</v>
      </c>
      <c r="AR36">
        <f>SOFR3mo_PX[[#This Row],[Column44]]</f>
        <v>95.43</v>
      </c>
      <c r="AS36">
        <f>SOFR3mo_PX[[#This Row],[Column45]]</f>
        <v>95.4</v>
      </c>
      <c r="AT36">
        <f>SOFR3mo_PX[[#This Row],[Column46]]</f>
        <v>95.35</v>
      </c>
      <c r="AU36">
        <f>SOFR3mo_PX[[#This Row],[Column47]]</f>
        <v>95.564999999999998</v>
      </c>
      <c r="AV36">
        <f>SOFR3mo_PX[[#This Row],[Column48]]</f>
        <v>95.564999999999998</v>
      </c>
      <c r="AW36">
        <f>SOFR3mo_PX[[#This Row],[Column49]]</f>
        <v>95.665000000000006</v>
      </c>
      <c r="AX36">
        <f>SOFR3mo_PX[[#This Row],[Column50]]</f>
        <v>95.65</v>
      </c>
      <c r="AY36">
        <f>SOFR3mo_PX[[#This Row],[Column51]]</f>
        <v>95.64</v>
      </c>
      <c r="AZ36">
        <f>SOFR3mo_PX[[#This Row],[Column52]]</f>
        <v>95.534999999999997</v>
      </c>
      <c r="BA36">
        <f>SOFR3mo_PX[[#This Row],[Column53]]</f>
        <v>95.685000000000002</v>
      </c>
      <c r="BB36">
        <f>SOFR3mo_PX[[#This Row],[Column54]]</f>
        <v>95.655000000000001</v>
      </c>
      <c r="BC36">
        <f>SOFR3mo_PX[[#This Row],[Column55]]</f>
        <v>95.82</v>
      </c>
      <c r="BD36">
        <f>SOFR3mo_PX[[#This Row],[Column56]]</f>
        <v>95.91</v>
      </c>
      <c r="BE36">
        <f>SOFR3mo_PX[[#This Row],[Column57]]</f>
        <v>96.09</v>
      </c>
      <c r="BF36">
        <f>SOFR3mo_PX[[#This Row],[Column58]]</f>
        <v>96.01</v>
      </c>
      <c r="BG36">
        <f>SOFR3mo_PX[[#This Row],[Column59]]</f>
        <v>95.87</v>
      </c>
      <c r="BH36">
        <f>SOFR3mo_PX[[#This Row],[Column60]]</f>
        <v>95.93</v>
      </c>
      <c r="BI36">
        <f>SOFR3mo_PX[[#This Row],[Column61]]</f>
        <v>95.825000000000003</v>
      </c>
      <c r="BJ36">
        <f>SOFR3mo_PX[[#This Row],[Column62]]</f>
        <v>95.795000000000002</v>
      </c>
      <c r="BK36">
        <f>SOFR3mo_PX[[#This Row],[Column63]]</f>
        <v>95.68</v>
      </c>
      <c r="BL36">
        <f>SOFR3mo_PX[[#This Row],[Column64]]</f>
        <v>95.765000000000001</v>
      </c>
      <c r="BM36">
        <f>SOFR3mo_PX[[#This Row],[Column65]]</f>
        <v>95.795000000000002</v>
      </c>
      <c r="BN36">
        <f>SOFR3mo_PX[[#This Row],[Column66]]</f>
        <v>95.77</v>
      </c>
      <c r="BO36">
        <f>SOFR3mo_PX[[#This Row],[Column67]]</f>
        <v>95.85</v>
      </c>
      <c r="BP36">
        <f>SOFR3mo_PX[[#This Row],[Column68]]</f>
        <v>95.864999999999995</v>
      </c>
      <c r="BQ36">
        <f>SOFR3mo_PX[[#This Row],[Column69]]</f>
        <v>95.825000000000003</v>
      </c>
      <c r="BR36">
        <f>SOFR3mo_PX[[#This Row],[Column70]]</f>
        <v>95.814999999999998</v>
      </c>
      <c r="BS36">
        <f>SOFR3mo_PX[[#This Row],[Column71]]</f>
        <v>95.78</v>
      </c>
      <c r="BT36">
        <f>SOFR3mo_PX[[#This Row],[Column72]]</f>
        <v>95.754999999999995</v>
      </c>
      <c r="BU36">
        <f>SOFR3mo_PX[[#This Row],[Column73]]</f>
        <v>95.83</v>
      </c>
      <c r="BV36">
        <f>SOFR3mo_PX[[#This Row],[Column74]]</f>
        <v>95.8</v>
      </c>
      <c r="BW36">
        <f>SOFR3mo_PX[[#This Row],[Column75]]</f>
        <v>95.83</v>
      </c>
      <c r="BX36">
        <f>SOFR3mo_PX[[#This Row],[Column76]]</f>
        <v>95.924999999999997</v>
      </c>
      <c r="BY36">
        <f>SOFR3mo_PX[[#This Row],[Column77]]</f>
        <v>95.795000000000002</v>
      </c>
      <c r="BZ36">
        <f>SOFR3mo_PX[[#This Row],[Column78]]</f>
        <v>95.82</v>
      </c>
      <c r="CA36">
        <f>SOFR3mo_PX[[#This Row],[Column79]]</f>
        <v>95.844999999999999</v>
      </c>
      <c r="CB36">
        <f>SOFR3mo_PX[[#This Row],[Column80]]</f>
        <v>95.905000000000001</v>
      </c>
      <c r="CC36">
        <f>SOFR3mo_PX[[#This Row],[Column81]]</f>
        <v>95.95</v>
      </c>
      <c r="CD36">
        <f>SOFR3mo_PX[[#This Row],[Column82]]</f>
        <v>95.89</v>
      </c>
      <c r="CE36">
        <f>SOFR3mo_PX[[#This Row],[Column83]]</f>
        <v>95.83</v>
      </c>
      <c r="CF36">
        <f>SOFR3mo_PX[[#This Row],[Column84]]</f>
        <v>95.875</v>
      </c>
      <c r="CG36">
        <f>SOFR3mo_PX[[#This Row],[Column85]]</f>
        <v>95.805000000000007</v>
      </c>
      <c r="CH36">
        <f>SOFR3mo_PX[[#This Row],[Column86]]</f>
        <v>95.67</v>
      </c>
      <c r="CI36">
        <f>SOFR3mo_PX[[#This Row],[Column87]]</f>
        <v>95.644999999999996</v>
      </c>
      <c r="CJ36">
        <f>SOFR3mo_PX[[#This Row],[Column88]]</f>
        <v>95.564999999999998</v>
      </c>
      <c r="CK36">
        <f>SOFR3mo_PX[[#This Row],[Column89]]</f>
        <v>95.515000000000001</v>
      </c>
      <c r="CL36">
        <f>SOFR3mo_PX[[#This Row],[Column90]]</f>
        <v>95.515000000000001</v>
      </c>
      <c r="CM36">
        <f>SOFR3mo_PX[[#This Row],[Column91]]</f>
        <v>95.59</v>
      </c>
      <c r="CN36">
        <f>SOFR3mo_PX[[#This Row],[Column92]]</f>
        <v>95.59</v>
      </c>
      <c r="CO36">
        <f>SOFR3mo_PX[[#This Row],[Column93]]</f>
        <v>95.534999999999997</v>
      </c>
      <c r="CP36">
        <f>SOFR3mo_PX[[#This Row],[Column94]]</f>
        <v>95.424999999999997</v>
      </c>
      <c r="CQ36">
        <f>SOFR3mo_PX[[#This Row],[Column95]]</f>
        <v>95.564999999999998</v>
      </c>
      <c r="CR36">
        <f>SOFR3mo_PX[[#This Row],[Column96]]</f>
        <v>95.614999999999995</v>
      </c>
      <c r="CS36">
        <f>SOFR3mo_PX[[#This Row],[Column97]]</f>
        <v>95.614999999999995</v>
      </c>
      <c r="CT36">
        <f>SOFR3mo_PX[[#This Row],[Column98]]</f>
        <v>95.674999999999997</v>
      </c>
      <c r="CU36">
        <f>SOFR3mo_PX[[#This Row],[Column99]]</f>
        <v>95.724999999999994</v>
      </c>
      <c r="CV36">
        <f>SOFR3mo_PX[[#This Row],[Column100]]</f>
        <v>95.614999999999995</v>
      </c>
      <c r="CW36">
        <f>SOFR3mo_PX[[#This Row],[Column101]]</f>
        <v>95.59</v>
      </c>
      <c r="CX36">
        <f>SOFR3mo_PX[[#This Row],[Column102]]</f>
        <v>95.545000000000002</v>
      </c>
      <c r="CY36">
        <f>SOFR3mo_PX[[#This Row],[Column103]]</f>
        <v>95.614999999999995</v>
      </c>
      <c r="CZ36">
        <f>SOFR3mo_PX[[#This Row],[Column104]]</f>
        <v>95.57</v>
      </c>
      <c r="DA36">
        <f>SOFR3mo_PX[[#This Row],[Column105]]</f>
        <v>95.58</v>
      </c>
      <c r="DB36">
        <f>SOFR3mo_PX[[#This Row],[Column106]]</f>
        <v>95.605000000000004</v>
      </c>
      <c r="DC36">
        <f>SOFR3mo_PX[[#This Row],[Column107]]</f>
        <v>95.495000000000005</v>
      </c>
      <c r="DD36">
        <f>SOFR3mo_PX[[#This Row],[Column108]]</f>
        <v>95.495000000000005</v>
      </c>
      <c r="DE36">
        <f>SOFR3mo_PX[[#This Row],[Column109]]</f>
        <v>95.55</v>
      </c>
      <c r="DF36">
        <f>SOFR3mo_PX[[#This Row],[Column110]]</f>
        <v>95.58</v>
      </c>
      <c r="DG36">
        <f>SOFR3mo_PX[[#This Row],[Column111]]</f>
        <v>95.534999999999997</v>
      </c>
      <c r="DH36">
        <f>SOFR3mo_PX[[#This Row],[Column112]]</f>
        <v>95.534999999999997</v>
      </c>
      <c r="DI36">
        <f>SOFR3mo_PX[[#This Row],[Column113]]</f>
        <v>95.534999999999997</v>
      </c>
      <c r="DJ36">
        <f>SOFR3mo_PX[[#This Row],[Column114]]</f>
        <v>95.495000000000005</v>
      </c>
      <c r="DK36">
        <f>SOFR3mo_PX[[#This Row],[Column115]]</f>
        <v>95.35</v>
      </c>
      <c r="DL36">
        <f>SOFR3mo_PX[[#This Row],[Column116]]</f>
        <v>95.33</v>
      </c>
      <c r="DM36">
        <f>SOFR3mo_PX[[#This Row],[Column117]]</f>
        <v>95.37</v>
      </c>
      <c r="DN36">
        <f>SOFR3mo_PX[[#This Row],[Column118]]</f>
        <v>95.43</v>
      </c>
      <c r="DO36">
        <f>SOFR3mo_PX[[#This Row],[Column119]]</f>
        <v>95.415000000000006</v>
      </c>
      <c r="DP36">
        <f>SOFR3mo_PX[[#This Row],[Column120]]</f>
        <v>95.424999999999997</v>
      </c>
      <c r="DQ36">
        <f>SOFR3mo_PX[[#This Row],[Column121]]</f>
        <v>95.504999999999995</v>
      </c>
      <c r="DR36">
        <f>SOFR3mo_PX[[#This Row],[Column122]]</f>
        <v>95.56</v>
      </c>
      <c r="DS36">
        <f>SOFR3mo_PX[[#This Row],[Column123]]</f>
        <v>95.57</v>
      </c>
      <c r="DT36">
        <f>SOFR3mo_PX[[#This Row],[Column124]]</f>
        <v>95.564999999999998</v>
      </c>
      <c r="DU36">
        <f>SOFR3mo_PX[[#This Row],[Column125]]</f>
        <v>95.564999999999998</v>
      </c>
      <c r="DV36">
        <f>SOFR3mo_PX[[#This Row],[Column126]]</f>
        <v>95.605000000000004</v>
      </c>
      <c r="DW36">
        <f>SOFR3mo_PX[[#This Row],[Column127]]</f>
        <v>95.525000000000006</v>
      </c>
      <c r="DX36">
        <f>SOFR3mo_PX[[#This Row],[Column128]]</f>
        <v>95.584999999999994</v>
      </c>
      <c r="DY36">
        <f>SOFR3mo_PX[[#This Row],[Column129]]</f>
        <v>95.57</v>
      </c>
      <c r="DZ36">
        <f>SOFR3mo_PX[[#This Row],[Column130]]</f>
        <v>95.57</v>
      </c>
      <c r="EA36">
        <f>SOFR3mo_PX[[#This Row],[Column131]]</f>
        <v>95.545000000000002</v>
      </c>
      <c r="EB36">
        <f>SOFR3mo_PX[[#This Row],[Column132]]</f>
        <v>95.644999999999996</v>
      </c>
      <c r="EC36">
        <f>SOFR3mo_PX[[#This Row],[Column133]]</f>
        <v>95.575000000000003</v>
      </c>
      <c r="ED36">
        <f>SOFR3mo_PX[[#This Row],[Column134]]</f>
        <v>95.704999999999998</v>
      </c>
      <c r="EE36">
        <f>SOFR3mo_PX[[#This Row],[Column135]]</f>
        <v>95.82</v>
      </c>
      <c r="EF36">
        <f>SOFR3mo_PX[[#This Row],[Column136]]</f>
        <v>95.805000000000007</v>
      </c>
      <c r="EG36">
        <f>SOFR3mo_PX[[#This Row],[Column137]]</f>
        <v>95.81</v>
      </c>
      <c r="EH36">
        <f>SOFR3mo_PX[[#This Row],[Column138]]</f>
        <v>95.894999999999996</v>
      </c>
      <c r="EI36">
        <f>SOFR3mo_PX[[#This Row],[Column139]]</f>
        <v>95.96</v>
      </c>
      <c r="EJ36">
        <f>SOFR3mo_PX[[#This Row],[Column140]]</f>
        <v>96.02</v>
      </c>
      <c r="EK36">
        <f>SOFR3mo_PX[[#This Row],[Column141]]</f>
        <v>96.045000000000002</v>
      </c>
      <c r="EL36">
        <f>SOFR3mo_PX[[#This Row],[Column142]]</f>
        <v>96.084999999999994</v>
      </c>
      <c r="EM36">
        <f>SOFR3mo_PX[[#This Row],[Column143]]</f>
        <v>96.05</v>
      </c>
      <c r="EN36">
        <f>SOFR3mo_PX[[#This Row],[Column144]]</f>
        <v>96.034999999999997</v>
      </c>
      <c r="EO36">
        <f>SOFR3mo_PX[[#This Row],[Column145]]</f>
        <v>96.01</v>
      </c>
      <c r="EP36">
        <f>SOFR3mo_PX[[#This Row],[Column146]]</f>
        <v>96.045000000000002</v>
      </c>
      <c r="EQ36">
        <f>SOFR3mo_PX[[#This Row],[Column147]]</f>
        <v>96.045000000000002</v>
      </c>
      <c r="ER36">
        <f>SOFR3mo_PX[[#This Row],[Column148]]</f>
        <v>96.01</v>
      </c>
      <c r="ES36">
        <f>SOFR3mo_PX[[#This Row],[Column149]]</f>
        <v>96.01</v>
      </c>
      <c r="ET36">
        <f>SOFR3mo_PX[[#This Row],[Column150]]</f>
        <v>95.944999999999993</v>
      </c>
      <c r="EU36">
        <f>SOFR3mo_PX[[#This Row],[Column151]]</f>
        <v>96.01</v>
      </c>
      <c r="EV36">
        <f>SOFR3mo_PX[[#This Row],[Column152]]</f>
        <v>95.86</v>
      </c>
      <c r="EW36">
        <f>SOFR3mo_PX[[#This Row],[Column153]]</f>
        <v>95.825000000000003</v>
      </c>
      <c r="EX36">
        <f>SOFR3mo_PX[[#This Row],[Column154]]</f>
        <v>95.82</v>
      </c>
      <c r="EY36">
        <f>SOFR3mo_PX[[#This Row],[Column155]]</f>
        <v>95.85</v>
      </c>
      <c r="EZ36">
        <f>SOFR3mo_PX[[#This Row],[Column156]]</f>
        <v>95.814999999999998</v>
      </c>
      <c r="FA36">
        <f>SOFR3mo_PX[[#This Row],[Column157]]</f>
        <v>95.805000000000007</v>
      </c>
      <c r="FB36">
        <f>SOFR3mo_PX[[#This Row],[Column158]]</f>
        <v>95.81</v>
      </c>
      <c r="FC36">
        <f>SOFR3mo_PX[[#This Row],[Column159]]</f>
        <v>95.775000000000006</v>
      </c>
      <c r="FD36">
        <f>SOFR3mo_PX[[#This Row],[Column160]]</f>
        <v>95.8</v>
      </c>
      <c r="FE36">
        <f>SOFR3mo_PX[[#This Row],[Column161]]</f>
        <v>95.86</v>
      </c>
      <c r="FF36">
        <f>SOFR3mo_PX[[#This Row],[Column162]]</f>
        <v>95.91</v>
      </c>
      <c r="FG36">
        <f>SOFR3mo_PX[[#This Row],[Column163]]</f>
        <v>95.864999999999995</v>
      </c>
      <c r="FH36">
        <f>SOFR3mo_PX[[#This Row],[Column164]]</f>
        <v>95.76</v>
      </c>
      <c r="FI36">
        <f>SOFR3mo_PX[[#This Row],[Column165]]</f>
        <v>95.93</v>
      </c>
      <c r="FJ36">
        <f>SOFR3mo_PX[[#This Row],[Column166]]</f>
        <v>95.905000000000001</v>
      </c>
      <c r="FK36">
        <f>SOFR3mo_PX[[#This Row],[Column167]]</f>
        <v>95.84</v>
      </c>
      <c r="FL36">
        <f>SOFR3mo_PX[[#This Row],[Column168]]</f>
        <v>95.9</v>
      </c>
      <c r="FM36">
        <f>SOFR3mo_PX[[#This Row],[Column169]]</f>
        <v>95.91</v>
      </c>
      <c r="FN36">
        <f>SOFR3mo_PX[[#This Row],[Column170]]</f>
        <v>95.88</v>
      </c>
      <c r="FO36">
        <f>SOFR3mo_PX[[#This Row],[Column171]]</f>
        <v>95.875</v>
      </c>
      <c r="FP36">
        <f>SOFR3mo_PX[[#This Row],[Column172]]</f>
        <v>95.91</v>
      </c>
      <c r="FQ36">
        <f>SOFR3mo_PX[[#This Row],[Column173]]</f>
        <v>95.935000000000002</v>
      </c>
      <c r="FR36">
        <f>SOFR3mo_PX[[#This Row],[Column174]]</f>
        <v>95.885000000000005</v>
      </c>
      <c r="FS36">
        <f>SOFR3mo_PX[[#This Row],[Column175]]</f>
        <v>95.915000000000006</v>
      </c>
      <c r="FT36">
        <f>SOFR3mo_PX[[#This Row],[Column176]]</f>
        <v>95.94</v>
      </c>
      <c r="FU36">
        <f>SOFR3mo_PX[[#This Row],[Column177]]</f>
        <v>96.055000000000007</v>
      </c>
      <c r="FV36">
        <f>SOFR3mo_PX[[#This Row],[Column178]]</f>
        <v>96.04</v>
      </c>
      <c r="FW36">
        <f>SOFR3mo_PX[[#This Row],[Column179]]</f>
        <v>96.14</v>
      </c>
      <c r="FX36">
        <f>SOFR3mo_PX[[#This Row],[Column180]]</f>
        <v>96.12</v>
      </c>
      <c r="FY36">
        <f>SOFR3mo_PX[[#This Row],[Column181]]</f>
        <v>96.025000000000006</v>
      </c>
      <c r="FZ36">
        <f>SOFR3mo_PX[[#This Row],[Column182]]</f>
        <v>96.064999999999998</v>
      </c>
      <c r="GA36">
        <f>SOFR3mo_PX[[#This Row],[Column183]]</f>
        <v>96.055000000000007</v>
      </c>
      <c r="GB36">
        <f>SOFR3mo_PX[[#This Row],[Column184]]</f>
        <v>96.1</v>
      </c>
      <c r="GC36">
        <f>SOFR3mo_PX[[#This Row],[Column185]]</f>
        <v>96.125</v>
      </c>
      <c r="GD36">
        <f>SOFR3mo_PX[[#This Row],[Column186]]</f>
        <v>96.14</v>
      </c>
      <c r="GE36">
        <f>SOFR3mo_PX[[#This Row],[Column187]]</f>
        <v>96.174999999999997</v>
      </c>
      <c r="GF36">
        <f>SOFR3mo_PX[[#This Row],[Column188]]</f>
        <v>96.254999999999995</v>
      </c>
      <c r="GG36">
        <f>SOFR3mo_PX[[#This Row],[Column189]]</f>
        <v>96.325000000000003</v>
      </c>
      <c r="GH36">
        <f>SOFR3mo_PX[[#This Row],[Column190]]</f>
        <v>96.37</v>
      </c>
      <c r="GI36">
        <f>SOFR3mo_PX[[#This Row],[Column191]]</f>
        <v>96.3</v>
      </c>
      <c r="GJ36">
        <f>SOFR3mo_PX[[#This Row],[Column192]]</f>
        <v>96.34</v>
      </c>
      <c r="GK36">
        <f>SOFR3mo_PX[[#This Row],[Column193]]</f>
        <v>96.31</v>
      </c>
      <c r="GL36">
        <f>SOFR3mo_PX[[#This Row],[Column194]]</f>
        <v>96.29</v>
      </c>
      <c r="GM36">
        <f>SOFR3mo_PX[[#This Row],[Column195]]</f>
        <v>96.33</v>
      </c>
      <c r="GN36">
        <f>SOFR3mo_PX[[#This Row],[Column196]]</f>
        <v>96.334999999999994</v>
      </c>
      <c r="GO36">
        <f>SOFR3mo_PX[[#This Row],[Column197]]</f>
        <v>96.35</v>
      </c>
      <c r="GP36">
        <f>SOFR3mo_PX[[#This Row],[Column198]]</f>
        <v>96.33</v>
      </c>
      <c r="GQ36">
        <f>SOFR3mo_PX[[#This Row],[Column199]]</f>
        <v>96.405000000000001</v>
      </c>
      <c r="GR36">
        <f>SOFR3mo_PX[[#This Row],[Column200]]</f>
        <v>96.44</v>
      </c>
      <c r="GS36">
        <f>SOFR3mo_PX[[#This Row],[Column201]]</f>
        <v>96.43</v>
      </c>
      <c r="GT36">
        <f>SOFR3mo_PX[[#This Row],[Column202]]</f>
        <v>96.41</v>
      </c>
      <c r="GU36">
        <f>SOFR3mo_PX[[#This Row],[Column203]]</f>
        <v>96.405000000000001</v>
      </c>
      <c r="GV36">
        <f>SOFR3mo_PX[[#This Row],[Column204]]</f>
        <v>96.435000000000002</v>
      </c>
      <c r="GW36">
        <f>SOFR3mo_PX[[#This Row],[Column205]]</f>
        <v>96.44</v>
      </c>
      <c r="GX36">
        <f>SOFR3mo_PX[[#This Row],[Column206]]</f>
        <v>96.385000000000005</v>
      </c>
      <c r="GY36">
        <f>SOFR3mo_PX[[#This Row],[Column207]]</f>
        <v>96.36</v>
      </c>
      <c r="GZ36">
        <f>SOFR3mo_PX[[#This Row],[Column208]]</f>
        <v>96.375</v>
      </c>
      <c r="HA36">
        <f>SOFR3mo_PX[[#This Row],[Column209]]</f>
        <v>96.34</v>
      </c>
      <c r="HB36">
        <f>SOFR3mo_PX[[#This Row],[Column210]]</f>
        <v>96.29</v>
      </c>
      <c r="HC36">
        <f>SOFR3mo_PX[[#This Row],[Column211]]</f>
        <v>96.21</v>
      </c>
      <c r="HD36">
        <f>SOFR3mo_PX[[#This Row],[Column212]]</f>
        <v>96.21</v>
      </c>
      <c r="HE36">
        <f>SOFR3mo_PX[[#This Row],[Column213]]</f>
        <v>96.254999999999995</v>
      </c>
      <c r="HF36">
        <f>SOFR3mo_PX[[#This Row],[Column214]]</f>
        <v>96.27</v>
      </c>
      <c r="HG36">
        <f>SOFR3mo_PX[[#This Row],[Column215]]</f>
        <v>96.284999999999997</v>
      </c>
      <c r="HH36">
        <f>SOFR3mo_PX[[#This Row],[Column216]]</f>
        <v>96.305000000000007</v>
      </c>
      <c r="HI36">
        <f>SOFR3mo_PX[[#This Row],[Column217]]</f>
        <v>96.295000000000002</v>
      </c>
      <c r="HJ36">
        <f>SOFR3mo_PX[[#This Row],[Column218]]</f>
        <v>96.234999999999999</v>
      </c>
      <c r="HK36">
        <f>SOFR3mo_PX[[#This Row],[Column219]]</f>
        <v>96.31</v>
      </c>
      <c r="HL36">
        <f>SOFR3mo_PX[[#This Row],[Column220]]</f>
        <v>96.284999999999997</v>
      </c>
      <c r="HM36">
        <f>SOFR3mo_PX[[#This Row],[Column221]]</f>
        <v>96.234999999999999</v>
      </c>
      <c r="HN36">
        <f>SOFR3mo_PX[[#This Row],[Column222]]</f>
        <v>96.194999999999993</v>
      </c>
      <c r="HO36">
        <f>SOFR3mo_PX[[#This Row],[Column223]]</f>
        <v>96.155000000000001</v>
      </c>
      <c r="HP36">
        <f>SOFR3mo_PX[[#This Row],[Column224]]</f>
        <v>96.224999999999994</v>
      </c>
      <c r="HQ36">
        <f>SOFR3mo_PX[[#This Row],[Column225]]</f>
        <v>96.19</v>
      </c>
      <c r="HR36">
        <f>SOFR3mo_PX[[#This Row],[Column226]]</f>
        <v>96.16</v>
      </c>
      <c r="HS36">
        <f>SOFR3mo_PX[[#This Row],[Column227]]</f>
        <v>96.12</v>
      </c>
      <c r="HT36">
        <f>SOFR3mo_PX[[#This Row],[Column228]]</f>
        <v>96.04</v>
      </c>
      <c r="HU36">
        <f>SOFR3mo_PX[[#This Row],[Column229]]</f>
        <v>96.05</v>
      </c>
      <c r="HV36">
        <f>SOFR3mo_PX[[#This Row],[Column230]]</f>
        <v>96.144999999999996</v>
      </c>
      <c r="HW36">
        <f>SOFR3mo_PX[[#This Row],[Column231]]</f>
        <v>96.245000000000005</v>
      </c>
      <c r="HX36">
        <f>SOFR3mo_PX[[#This Row],[Column232]]</f>
        <v>96.25</v>
      </c>
      <c r="HY36">
        <f>SOFR3mo_PX[[#This Row],[Column233]]</f>
        <v>96.125</v>
      </c>
      <c r="HZ36">
        <f>SOFR3mo_PX[[#This Row],[Column234]]</f>
        <v>96.025000000000006</v>
      </c>
      <c r="IA36">
        <f>SOFR3mo_PX[[#This Row],[Column235]]</f>
        <v>95.99</v>
      </c>
      <c r="IB36">
        <f>SOFR3mo_PX[[#This Row],[Column236]]</f>
        <v>95.954999999999998</v>
      </c>
      <c r="IC36">
        <f>SOFR3mo_PX[[#This Row],[Column237]]</f>
        <v>95.93</v>
      </c>
      <c r="ID36">
        <f>SOFR3mo_PX[[#This Row],[Column238]]</f>
        <v>95.89</v>
      </c>
      <c r="IE36">
        <f>SOFR3mo_PX[[#This Row],[Column239]]</f>
        <v>95.85</v>
      </c>
      <c r="IF36">
        <f>SOFR3mo_PX[[#This Row],[Column240]]</f>
        <v>95.944999999999993</v>
      </c>
      <c r="IG36">
        <f>SOFR3mo_PX[[#This Row],[Column241]]</f>
        <v>95.93</v>
      </c>
      <c r="IH36">
        <f>SOFR3mo_PX[[#This Row],[Column242]]</f>
        <v>95.94</v>
      </c>
      <c r="II36">
        <f>SOFR3mo_PX[[#This Row],[Column243]]</f>
        <v>95.99</v>
      </c>
      <c r="IJ36">
        <f>SOFR3mo_PX[[#This Row],[Column244]]</f>
        <v>96.045000000000002</v>
      </c>
      <c r="IK36">
        <f>SOFR3mo_PX[[#This Row],[Column245]]</f>
        <v>96.02</v>
      </c>
      <c r="IL36">
        <f>SOFR3mo_PX[[#This Row],[Column246]]</f>
        <v>95.944999999999993</v>
      </c>
      <c r="IM36">
        <f>SOFR3mo_PX[[#This Row],[Column247]]</f>
        <v>95.99</v>
      </c>
      <c r="IN36">
        <f>SOFR3mo_PX[[#This Row],[Column248]]</f>
        <v>96.01</v>
      </c>
      <c r="IO36">
        <f>SOFR3mo_PX[[#This Row],[Column249]]</f>
        <v>95.935000000000002</v>
      </c>
      <c r="IP36">
        <f>SOFR3mo_PX[[#This Row],[Column250]]</f>
        <v>95.905000000000001</v>
      </c>
      <c r="IQ36">
        <f>SOFR3mo_PX[[#This Row],[Column251]]</f>
        <v>95.944999999999993</v>
      </c>
      <c r="IR36">
        <f>SOFR3mo_PX[[#This Row],[Column252]]</f>
        <v>95.94</v>
      </c>
      <c r="IS36">
        <f>SOFR3mo_PX[[#This Row],[Column253]]</f>
        <v>95.885000000000005</v>
      </c>
      <c r="IT36">
        <f>SOFR3mo_PX[[#This Row],[Column254]]</f>
        <v>95.885000000000005</v>
      </c>
      <c r="IU36">
        <f>SOFR3mo_PX[[#This Row],[Column255]]</f>
        <v>95.78</v>
      </c>
      <c r="IV36">
        <f>SOFR3mo_PX[[#This Row],[Column256]]</f>
        <v>95.745000000000005</v>
      </c>
      <c r="IW36">
        <f>SOFR3mo_PX[[#This Row],[Column257]]</f>
        <v>95.905000000000001</v>
      </c>
      <c r="IX36">
        <f>SOFR3mo_PX[[#This Row],[Column258]]</f>
        <v>95.97</v>
      </c>
      <c r="IY36">
        <f>SOFR3mo_PX[[#This Row],[Column259]]</f>
        <v>95.94</v>
      </c>
      <c r="IZ36">
        <f>SOFR3mo_PX[[#This Row],[Column260]]</f>
        <v>96.03</v>
      </c>
      <c r="JA36">
        <f>SOFR3mo_PX[[#This Row],[Column261]]</f>
        <v>96.02</v>
      </c>
      <c r="JB36">
        <f>SOFR3mo_PX[[#This Row],[Column262]]</f>
        <v>96</v>
      </c>
      <c r="JC36">
        <f>SOFR3mo_PX[[#This Row],[Column263]]</f>
        <v>96.01</v>
      </c>
      <c r="JD36">
        <f>SOFR3mo_PX[[#This Row],[Column264]]</f>
        <v>96.094999999999999</v>
      </c>
      <c r="JE36">
        <f>SOFR3mo_PX[[#This Row],[Column265]]</f>
        <v>96.094999999999999</v>
      </c>
      <c r="JF36">
        <f>SOFR3mo_PX[[#This Row],[Column266]]</f>
        <v>96.034999999999997</v>
      </c>
      <c r="JG36">
        <f>SOFR3mo_PX[[#This Row],[Column267]]</f>
        <v>96.114999999999995</v>
      </c>
      <c r="JH36">
        <f>SOFR3mo_PX[[#This Row],[Column268]]</f>
        <v>96.05</v>
      </c>
      <c r="JI36">
        <f>SOFR3mo_PX[[#This Row],[Column269]]</f>
        <v>95.995000000000005</v>
      </c>
      <c r="JJ36">
        <f>SOFR3mo_PX[[#This Row],[Column270]]</f>
        <v>95.88</v>
      </c>
      <c r="JK36">
        <f>SOFR3mo_PX[[#This Row],[Column271]]</f>
        <v>95.8</v>
      </c>
      <c r="JL36">
        <f>SOFR3mo_PX[[#This Row],[Column272]]</f>
        <v>95.844999999999999</v>
      </c>
      <c r="JM36">
        <f>SOFR3mo_PX[[#This Row],[Column273]]</f>
        <v>95.995000000000005</v>
      </c>
      <c r="JN36">
        <f>SOFR3mo_PX[[#This Row],[Column274]]</f>
        <v>95.995000000000005</v>
      </c>
      <c r="JO36">
        <f>SOFR3mo_PX[[#This Row],[Column275]]</f>
        <v>95.96</v>
      </c>
      <c r="JP36">
        <f>SOFR3mo_PX[[#This Row],[Column276]]</f>
        <v>95.885000000000005</v>
      </c>
      <c r="JQ36">
        <f>SOFR3mo_PX[[#This Row],[Column277]]</f>
        <v>95.775000000000006</v>
      </c>
      <c r="JR36">
        <f>SOFR3mo_PX[[#This Row],[Column278]]</f>
        <v>95.75</v>
      </c>
      <c r="JS36">
        <f>SOFR3mo_PX[[#This Row],[Column279]]</f>
        <v>95.69</v>
      </c>
      <c r="JT36">
        <f>SOFR3mo_PX[[#This Row],[Column280]]</f>
        <v>95.795000000000002</v>
      </c>
      <c r="JU36">
        <f>SOFR3mo_PX[[#This Row],[Column281]]</f>
        <v>95.87</v>
      </c>
      <c r="JV36">
        <f>SOFR3mo_PX[[#This Row],[Column282]]</f>
        <v>95.87</v>
      </c>
      <c r="JW36">
        <f>SOFR3mo_PX[[#This Row],[Column283]]</f>
        <v>95.85</v>
      </c>
      <c r="JX36">
        <f>SOFR3mo_PX[[#This Row],[Column284]]</f>
        <v>95.85</v>
      </c>
      <c r="JY36">
        <f>SOFR3mo_PX[[#This Row],[Column285]]</f>
        <v>95.855000000000004</v>
      </c>
      <c r="JZ36">
        <f>SOFR3mo_PX[[#This Row],[Column286]]</f>
        <v>95.825000000000003</v>
      </c>
      <c r="KA36">
        <f>SOFR3mo_PX[[#This Row],[Column287]]</f>
        <v>95.844999999999999</v>
      </c>
      <c r="KB36">
        <f>SOFR3mo_PX[[#This Row],[Column288]]</f>
        <v>95.89</v>
      </c>
      <c r="KC36">
        <f>SOFR3mo_PX[[#This Row],[Column289]]</f>
        <v>95.894999999999996</v>
      </c>
      <c r="KD36">
        <f>SOFR3mo_PX[[#This Row],[Column290]]</f>
        <v>95.825000000000003</v>
      </c>
      <c r="KE36">
        <f>SOFR3mo_PX[[#This Row],[Column291]]</f>
        <v>95.79</v>
      </c>
      <c r="KF36">
        <f>SOFR3mo_PX[[#This Row],[Column292]]</f>
        <v>95.765000000000001</v>
      </c>
      <c r="KG36">
        <f>SOFR3mo_PX[[#This Row],[Column293]]</f>
        <v>95.82</v>
      </c>
      <c r="KH36">
        <f>SOFR3mo_PX[[#This Row],[Column294]]</f>
        <v>95.79</v>
      </c>
      <c r="KI36">
        <f>SOFR3mo_PX[[#This Row],[Column295]]</f>
        <v>95.83</v>
      </c>
      <c r="KJ36">
        <f>SOFR3mo_PX[[#This Row],[Column296]]</f>
        <v>95.784999999999997</v>
      </c>
      <c r="KK36">
        <f>SOFR3mo_PX[[#This Row],[Column297]]</f>
        <v>95.765000000000001</v>
      </c>
      <c r="KL36">
        <f>SOFR3mo_PX[[#This Row],[Column298]]</f>
        <v>95.69</v>
      </c>
      <c r="KM36">
        <f>SOFR3mo_PX[[#This Row],[Column299]]</f>
        <v>95.674999999999997</v>
      </c>
      <c r="KN36">
        <f>SOFR3mo_PX[[#This Row],[Column300]]</f>
        <v>95.61</v>
      </c>
      <c r="KO36">
        <f>SOFR3mo_PX[[#This Row],[Column301]]</f>
        <v>95.68</v>
      </c>
      <c r="KP36">
        <f>SOFR3mo_PX[[#This Row],[Column302]]</f>
        <v>95.6</v>
      </c>
      <c r="KQ36">
        <f>SOFR3mo_PX[[#This Row],[Column303]]</f>
        <v>95.56</v>
      </c>
      <c r="KR36">
        <f>SOFR3mo_PX[[#This Row],[Column304]]</f>
        <v>95.62</v>
      </c>
      <c r="KS36">
        <f>SOFR3mo_PX[[#This Row],[Column305]]</f>
        <v>95.694999999999993</v>
      </c>
      <c r="KT36">
        <f>SOFR3mo_PX[[#This Row],[Column306]]</f>
        <v>95.674999999999997</v>
      </c>
      <c r="KU36">
        <f>SOFR3mo_PX[[#This Row],[Column307]]</f>
        <v>95.69</v>
      </c>
      <c r="KV36">
        <f>SOFR3mo_PX[[#This Row],[Column308]]</f>
        <v>95.655000000000001</v>
      </c>
      <c r="KW36">
        <f>SOFR3mo_PX[[#This Row],[Column309]]</f>
        <v>95.715000000000003</v>
      </c>
      <c r="KX36">
        <f>SOFR3mo_PX[[#This Row],[Column310]]</f>
        <v>95.64</v>
      </c>
      <c r="KY36">
        <f>SOFR3mo_PX[[#This Row],[Column311]]</f>
        <v>95.674999999999997</v>
      </c>
      <c r="KZ36">
        <f>SOFR3mo_PX[[#This Row],[Column312]]</f>
        <v>95.814999999999998</v>
      </c>
      <c r="LA36">
        <f>SOFR3mo_PX[[#This Row],[Column313]]</f>
        <v>95.724999999999994</v>
      </c>
      <c r="LB36">
        <f>SOFR3mo_PX[[#This Row],[Column314]]</f>
        <v>95.754999999999995</v>
      </c>
      <c r="LC36">
        <f>SOFR3mo_PX[[#This Row],[Column315]]</f>
        <v>95.9</v>
      </c>
      <c r="LD36">
        <f>SOFR3mo_PX[[#This Row],[Column316]]</f>
        <v>95.84</v>
      </c>
      <c r="LE36">
        <f>SOFR3mo_PX[[#This Row],[Column317]]</f>
        <v>95.885000000000005</v>
      </c>
      <c r="LF36">
        <f>SOFR3mo_PX[[#This Row],[Column318]]</f>
        <v>95.935000000000002</v>
      </c>
      <c r="LG36">
        <f>SOFR3mo_PX[[#This Row],[Column319]]</f>
        <v>95.885000000000005</v>
      </c>
      <c r="LH36">
        <f>SOFR3mo_PX[[#This Row],[Column320]]</f>
        <v>95.885000000000005</v>
      </c>
      <c r="LI36">
        <f>SOFR3mo_PX[[#This Row],[Column321]]</f>
        <v>95.93</v>
      </c>
      <c r="LJ36">
        <f>SOFR3mo_PX[[#This Row],[Column322]]</f>
        <v>96.06</v>
      </c>
      <c r="LK36">
        <f>SOFR3mo_PX[[#This Row],[Column323]]</f>
        <v>96.06</v>
      </c>
      <c r="LL36">
        <f>SOFR3mo_PX[[#This Row],[Column324]]</f>
        <v>96.025000000000006</v>
      </c>
      <c r="LM36">
        <f>SOFR3mo_PX[[#This Row],[Column325]]</f>
        <v>95.99</v>
      </c>
      <c r="LN36">
        <f>SOFR3mo_PX[[#This Row],[Column326]]</f>
        <v>95.96</v>
      </c>
      <c r="LO36">
        <f>SOFR3mo_PX[[#This Row],[Column327]]</f>
        <v>95.995000000000005</v>
      </c>
      <c r="LP36">
        <f>SOFR3mo_PX[[#This Row],[Column328]]</f>
        <v>95.935000000000002</v>
      </c>
      <c r="LQ36">
        <f>SOFR3mo_PX[[#This Row],[Column329]]</f>
        <v>95.94</v>
      </c>
      <c r="LR36">
        <f>SOFR3mo_PX[[#This Row],[Column330]]</f>
        <v>95.944999999999993</v>
      </c>
      <c r="LS36">
        <f>SOFR3mo_PX[[#This Row],[Column331]]</f>
        <v>95.915000000000006</v>
      </c>
      <c r="LT36">
        <f>SOFR3mo_PX[[#This Row],[Column332]]</f>
        <v>95.954999999999998</v>
      </c>
      <c r="LU36">
        <f>SOFR3mo_PX[[#This Row],[Column333]]</f>
        <v>95.94</v>
      </c>
      <c r="LV36">
        <f>SOFR3mo_PX[[#This Row],[Column334]]</f>
        <v>96.05</v>
      </c>
      <c r="LW36">
        <f>SOFR3mo_PX[[#This Row],[Column335]]</f>
        <v>96.064999999999998</v>
      </c>
      <c r="LX36">
        <f>SOFR3mo_PX[[#This Row],[Column336]]</f>
        <v>96.114999999999995</v>
      </c>
      <c r="LY36">
        <f>SOFR3mo_PX[[#This Row],[Column337]]</f>
        <v>96.11</v>
      </c>
      <c r="LZ36">
        <f>SOFR3mo_PX[[#This Row],[Column338]]</f>
        <v>96.13</v>
      </c>
      <c r="MA36">
        <f>SOFR3mo_PX[[#This Row],[Column339]]</f>
        <v>96.125</v>
      </c>
      <c r="MB36">
        <f>SOFR3mo_PX[[#This Row],[Column340]]</f>
        <v>96.084999999999994</v>
      </c>
      <c r="MC36">
        <f>SOFR3mo_PX[[#This Row],[Column341]]</f>
        <v>96</v>
      </c>
      <c r="MD36">
        <f>SOFR3mo_PX[[#This Row],[Column342]]</f>
        <v>96.03</v>
      </c>
      <c r="ME36">
        <f>SOFR3mo_PX[[#This Row],[Column343]]</f>
        <v>95.984999999999999</v>
      </c>
      <c r="MF36">
        <f>SOFR3mo_PX[[#This Row],[Column344]]</f>
        <v>95.974999999999994</v>
      </c>
      <c r="MG36">
        <f>SOFR3mo_PX[[#This Row],[Column345]]</f>
        <v>95.98</v>
      </c>
      <c r="MH36">
        <f>SOFR3mo_PX[[#This Row],[Column346]]</f>
        <v>96</v>
      </c>
      <c r="MI36">
        <f>SOFR3mo_PX[[#This Row],[Column347]]</f>
        <v>96.01</v>
      </c>
      <c r="MJ36">
        <f>SOFR3mo_PX[[#This Row],[Column348]]</f>
        <v>95.915000000000006</v>
      </c>
      <c r="MK36">
        <f>SOFR3mo_PX[[#This Row],[Column349]]</f>
        <v>95.885000000000005</v>
      </c>
      <c r="ML36">
        <f>SOFR3mo_PX[[#This Row],[Column350]]</f>
        <v>95.93</v>
      </c>
      <c r="MM36">
        <f>SOFR3mo_PX[[#This Row],[Column351]]</f>
        <v>95.905000000000001</v>
      </c>
      <c r="MN36">
        <f>SOFR3mo_PX[[#This Row],[Column352]]</f>
        <v>95.905000000000001</v>
      </c>
      <c r="MO36">
        <f>SOFR3mo_PX[[#This Row],[Column353]]</f>
        <v>95.944999999999993</v>
      </c>
      <c r="MP36">
        <f>SOFR3mo_PX[[#This Row],[Column354]]</f>
        <v>95.92</v>
      </c>
      <c r="MQ36">
        <f>SOFR3mo_PX[[#This Row],[Column355]]</f>
        <v>95.88</v>
      </c>
      <c r="MR36">
        <f>SOFR3mo_PX[[#This Row],[Column356]]</f>
        <v>95.974999999999994</v>
      </c>
      <c r="MS36">
        <f>SOFR3mo_PX[[#This Row],[Column357]]</f>
        <v>95.954999999999998</v>
      </c>
      <c r="MT36">
        <f>SOFR3mo_PX[[#This Row],[Column358]]</f>
        <v>95.97</v>
      </c>
      <c r="MU36">
        <f>SOFR3mo_PX[[#This Row],[Column359]]</f>
        <v>96.055000000000007</v>
      </c>
      <c r="MV36">
        <f>SOFR3mo_PX[[#This Row],[Column360]]</f>
        <v>96.064999999999998</v>
      </c>
      <c r="MW36">
        <f>SOFR3mo_PX[[#This Row],[Column361]]</f>
        <v>95.98</v>
      </c>
      <c r="MX36">
        <f>SOFR3mo_PX[[#This Row],[Column362]]</f>
        <v>96.11</v>
      </c>
      <c r="MY36">
        <f>SOFR3mo_PX[[#This Row],[Column363]]</f>
        <v>96.27</v>
      </c>
      <c r="MZ36">
        <f>SOFR3mo_PX[[#This Row],[Column364]]</f>
        <v>96.165000000000006</v>
      </c>
      <c r="NA36">
        <f>SOFR3mo_PX[[#This Row],[Column365]]</f>
        <v>96.08</v>
      </c>
      <c r="NB36">
        <f>SOFR3mo_PX[[#This Row],[Column366]]</f>
        <v>96.01</v>
      </c>
      <c r="NC36">
        <f>SOFR3mo_PX[[#This Row],[Column367]]</f>
        <v>95.96</v>
      </c>
      <c r="ND36">
        <f>SOFR3mo_PX[[#This Row],[Column368]]</f>
        <v>95.995000000000005</v>
      </c>
      <c r="NE36">
        <f>SOFR3mo_PX[[#This Row],[Column369]]</f>
        <v>95.974999999999994</v>
      </c>
      <c r="NF36">
        <f>SOFR3mo_PX[[#This Row],[Column370]]</f>
        <v>96.02</v>
      </c>
      <c r="NG36">
        <f>SOFR3mo_PX[[#This Row],[Column371]]</f>
        <v>96.064999999999998</v>
      </c>
      <c r="NH36">
        <f>SOFR3mo_PX[[#This Row],[Column372]]</f>
        <v>96.01</v>
      </c>
      <c r="NI36">
        <f>SOFR3mo_PX[[#This Row],[Column373]]</f>
        <v>96</v>
      </c>
      <c r="NJ36">
        <f>SOFR3mo_PX[[#This Row],[Column374]]</f>
        <v>96.034999999999997</v>
      </c>
      <c r="NK36">
        <f>SOFR3mo_PX[[#This Row],[Column375]]</f>
        <v>96.045000000000002</v>
      </c>
      <c r="NL36">
        <f>SOFR3mo_PX[[#This Row],[Column376]]</f>
        <v>96.16</v>
      </c>
      <c r="NM36">
        <f>SOFR3mo_PX[[#This Row],[Column377]]</f>
        <v>96.16</v>
      </c>
      <c r="NN36">
        <f>SOFR3mo_PX[[#This Row],[Column378]]</f>
        <v>96.204999999999998</v>
      </c>
      <c r="NO36">
        <f>SOFR3mo_PX[[#This Row],[Column379]]</f>
        <v>96.165000000000006</v>
      </c>
      <c r="NP36">
        <f>SOFR3mo_PX[[#This Row],[Column380]]</f>
        <v>96.174999999999997</v>
      </c>
      <c r="NQ36">
        <f>SOFR3mo_PX[[#This Row],[Column381]]</f>
        <v>96.18</v>
      </c>
      <c r="NR36">
        <f>SOFR3mo_PX[[#This Row],[Column382]]</f>
        <v>96.18</v>
      </c>
      <c r="NS36">
        <f>SOFR3mo_PX[[#This Row],[Column383]]</f>
        <v>96.234999999999999</v>
      </c>
      <c r="NT36">
        <f>SOFR3mo_PX[[#This Row],[Column384]]</f>
        <v>96.3</v>
      </c>
      <c r="NU36">
        <f>SOFR3mo_PX[[#This Row],[Column385]]</f>
        <v>96.254999999999995</v>
      </c>
      <c r="NV36">
        <f>SOFR3mo_PX[[#This Row],[Column386]]</f>
        <v>96.26</v>
      </c>
      <c r="NW36">
        <f>SOFR3mo_PX[[#This Row],[Column387]]</f>
        <v>96.26</v>
      </c>
      <c r="NX36">
        <f>SOFR3mo_PX[[#This Row],[Column388]]</f>
        <v>96.28</v>
      </c>
      <c r="NY36">
        <f>SOFR3mo_PX[[#This Row],[Column389]]</f>
        <v>96.344999999999999</v>
      </c>
      <c r="NZ36">
        <f>SOFR3mo_PX[[#This Row],[Column390]]</f>
        <v>96.24</v>
      </c>
      <c r="OA36">
        <f>SOFR3mo_PX[[#This Row],[Column391]]</f>
        <v>96.22</v>
      </c>
      <c r="OB36">
        <f>SOFR3mo_PX[[#This Row],[Column392]]</f>
        <v>96.22</v>
      </c>
      <c r="OC36">
        <f>SOFR3mo_PX[[#This Row],[Column393]]</f>
        <v>96.254999999999995</v>
      </c>
      <c r="OD36">
        <f>SOFR3mo_PX[[#This Row],[Column394]]</f>
        <v>96.29</v>
      </c>
      <c r="OE36">
        <f>SOFR3mo_PX[[#This Row],[Column395]]</f>
        <v>96.245000000000005</v>
      </c>
      <c r="OF36">
        <f>SOFR3mo_PX[[#This Row],[Column396]]</f>
        <v>96.21</v>
      </c>
      <c r="OG36">
        <f>SOFR3mo_PX[[#This Row],[Column397]]</f>
        <v>96.245000000000005</v>
      </c>
      <c r="OH36">
        <f>SOFR3mo_PX[[#This Row],[Column398]]</f>
        <v>96.22</v>
      </c>
      <c r="OI36">
        <f>SOFR3mo_PX[[#This Row],[Column399]]</f>
        <v>96.12</v>
      </c>
      <c r="OJ36">
        <f>SOFR3mo_PX[[#This Row],[Column400]]</f>
        <v>95.974999999999994</v>
      </c>
      <c r="OK36">
        <f>SOFR3mo_PX[[#This Row],[Column401]]</f>
        <v>95.92</v>
      </c>
      <c r="OL36">
        <f>SOFR3mo_PX[[#This Row],[Column402]]</f>
        <v>95.915000000000006</v>
      </c>
      <c r="OM36">
        <f>SOFR3mo_PX[[#This Row],[Column403]]</f>
        <v>96.025000000000006</v>
      </c>
      <c r="ON36">
        <f>SOFR3mo_PX[[#This Row],[Column404]]</f>
        <v>96.02</v>
      </c>
      <c r="OO36">
        <f>SOFR3mo_PX[[#This Row],[Column405]]</f>
        <v>95.954999999999998</v>
      </c>
      <c r="OP36">
        <f>SOFR3mo_PX[[#This Row],[Column406]]</f>
        <v>95.82</v>
      </c>
      <c r="OQ36">
        <f>SOFR3mo_PX[[#This Row],[Column407]]</f>
        <v>95.85</v>
      </c>
      <c r="OR36">
        <f>SOFR3mo_PX[[#This Row],[Column408]]</f>
        <v>95.734999999999999</v>
      </c>
      <c r="OS36">
        <f>SOFR3mo_PX[[#This Row],[Column409]]</f>
        <v>95.82</v>
      </c>
      <c r="OT36">
        <f>SOFR3mo_PX[[#This Row],[Column410]]</f>
        <v>95.745000000000005</v>
      </c>
      <c r="OU36">
        <f>SOFR3mo_PX[[#This Row],[Column411]]</f>
        <v>95.76</v>
      </c>
      <c r="OV36">
        <f>SOFR3mo_PX[[#This Row],[Column412]]</f>
        <v>95.655000000000001</v>
      </c>
      <c r="OW36">
        <f>SOFR3mo_PX[[#This Row],[Column413]]</f>
        <v>95.674999999999997</v>
      </c>
      <c r="OX36">
        <f>SOFR3mo_PX[[#This Row],[Column414]]</f>
        <v>95.674999999999997</v>
      </c>
      <c r="OY36">
        <f>SOFR3mo_PX[[#This Row],[Column415]]</f>
        <v>95.665000000000006</v>
      </c>
      <c r="OZ36">
        <f>SOFR3mo_PX[[#This Row],[Column416]]</f>
        <v>95.685000000000002</v>
      </c>
      <c r="PA36">
        <f>SOFR3mo_PX[[#This Row],[Column417]]</f>
        <v>95.64</v>
      </c>
      <c r="PB36">
        <f>SOFR3mo_PX[[#This Row],[Column418]]</f>
        <v>95.62</v>
      </c>
      <c r="PC36">
        <f>SOFR3mo_PX[[#This Row],[Column419]]</f>
        <v>95.525000000000006</v>
      </c>
      <c r="PD36">
        <f>SOFR3mo_PX[[#This Row],[Column420]]</f>
        <v>95.605000000000004</v>
      </c>
      <c r="PE36">
        <f>SOFR3mo_PX[[#This Row],[Column421]]</f>
        <v>95.435000000000002</v>
      </c>
      <c r="PF36">
        <f>SOFR3mo_PX[[#This Row],[Column422]]</f>
        <v>95.424999999999997</v>
      </c>
      <c r="PG36">
        <f>SOFR3mo_PX[[#This Row],[Column423]]</f>
        <v>95.405000000000001</v>
      </c>
      <c r="PH36">
        <f>SOFR3mo_PX[[#This Row],[Column424]]</f>
        <v>95.534999999999997</v>
      </c>
      <c r="PI36">
        <f>SOFR3mo_PX[[#This Row],[Column425]]</f>
        <v>95.45</v>
      </c>
      <c r="PJ36">
        <f>SOFR3mo_PX[[#This Row],[Column426]]</f>
        <v>95.334999999999994</v>
      </c>
      <c r="PK36">
        <f>SOFR3mo_PX[[#This Row],[Column427]]</f>
        <v>95.444999999999993</v>
      </c>
      <c r="PL36">
        <f>SOFR3mo_PX[[#This Row],[Column428]]</f>
        <v>95.325000000000003</v>
      </c>
      <c r="PM36">
        <f>SOFR3mo_PX[[#This Row],[Column429]]</f>
        <v>95.194999999999993</v>
      </c>
      <c r="PN36">
        <f>SOFR3mo_PX[[#This Row],[Column430]]</f>
        <v>95.105000000000004</v>
      </c>
      <c r="PO36">
        <f>SOFR3mo_PX[[#This Row],[Column431]]</f>
        <v>95.094999999999999</v>
      </c>
      <c r="PP36">
        <f>SOFR3mo_PX[[#This Row],[Column432]]</f>
        <v>95.105000000000004</v>
      </c>
      <c r="PQ36">
        <f>SOFR3mo_PX[[#This Row],[Column433]]</f>
        <v>95.11</v>
      </c>
      <c r="PR36">
        <f>SOFR3mo_PX[[#This Row],[Column434]]</f>
        <v>95</v>
      </c>
      <c r="PS36">
        <f>SOFR3mo_PX[[#This Row],[Column435]]</f>
        <v>95.14</v>
      </c>
      <c r="PT36">
        <f>SOFR3mo_PX[[#This Row],[Column436]]</f>
        <v>95.135000000000005</v>
      </c>
      <c r="PU36">
        <f>SOFR3mo_PX[[#This Row],[Column437]]</f>
        <v>95.03</v>
      </c>
      <c r="PV36">
        <f>SOFR3mo_PX[[#This Row],[Column438]]</f>
        <v>94.954999999999998</v>
      </c>
      <c r="PW36">
        <f>SOFR3mo_PX[[#This Row],[Column439]]</f>
        <v>95.084999999999994</v>
      </c>
      <c r="PX36">
        <f>SOFR3mo_PX[[#This Row],[Column440]]</f>
        <v>95.13</v>
      </c>
      <c r="PY36">
        <f>SOFR3mo_PX[[#This Row],[Column441]]</f>
        <v>95.254999999999995</v>
      </c>
      <c r="PZ36">
        <f>SOFR3mo_PX[[#This Row],[Column442]]</f>
        <v>95.33</v>
      </c>
      <c r="QA36">
        <f>SOFR3mo_PX[[#This Row],[Column443]]</f>
        <v>95.224999999999994</v>
      </c>
      <c r="QB36">
        <f>SOFR3mo_PX[[#This Row],[Column444]]</f>
        <v>95.34</v>
      </c>
      <c r="QC36">
        <f>SOFR3mo_PX[[#This Row],[Column445]]</f>
        <v>95.25</v>
      </c>
      <c r="QD36">
        <f>SOFR3mo_PX[[#This Row],[Column446]]</f>
        <v>95.23</v>
      </c>
      <c r="QE36">
        <f>SOFR3mo_PX[[#This Row],[Column447]]</f>
        <v>95.114999999999995</v>
      </c>
      <c r="QF36">
        <f>SOFR3mo_PX[[#This Row],[Column448]]</f>
        <v>95.174999999999997</v>
      </c>
      <c r="QG36">
        <f>SOFR3mo_PX[[#This Row],[Column449]]</f>
        <v>95.15</v>
      </c>
      <c r="QH36">
        <f>SOFR3mo_PX[[#This Row],[Column450]]</f>
        <v>95.094999999999999</v>
      </c>
      <c r="QI36">
        <f>SOFR3mo_PX[[#This Row],[Column451]]</f>
        <v>95.224999999999994</v>
      </c>
      <c r="QJ36">
        <f>SOFR3mo_PX[[#This Row],[Column452]]</f>
        <v>95.405000000000001</v>
      </c>
      <c r="QK36">
        <f>SOFR3mo_PX[[#This Row],[Column453]]</f>
        <v>95.394999999999996</v>
      </c>
      <c r="QL36">
        <f>SOFR3mo_PX[[#This Row],[Column454]]</f>
        <v>95.42</v>
      </c>
      <c r="QM36">
        <f>SOFR3mo_PX[[#This Row],[Column455]]</f>
        <v>95.495000000000005</v>
      </c>
      <c r="QN36">
        <f>SOFR3mo_PX[[#This Row],[Column456]]</f>
        <v>95.504999999999995</v>
      </c>
      <c r="QO36">
        <f>SOFR3mo_PX[[#This Row],[Column457]]</f>
        <v>95.655000000000001</v>
      </c>
      <c r="QP36">
        <f>SOFR3mo_PX[[#This Row],[Column458]]</f>
        <v>95.625</v>
      </c>
      <c r="QQ36">
        <f>SOFR3mo_PX[[#This Row],[Column459]]</f>
        <v>95.79</v>
      </c>
      <c r="QR36">
        <f>SOFR3mo_PX[[#This Row],[Column460]]</f>
        <v>95.765000000000001</v>
      </c>
      <c r="QS36">
        <f>SOFR3mo_PX[[#This Row],[Column461]]</f>
        <v>95.8</v>
      </c>
      <c r="QT36">
        <f>SOFR3mo_PX[[#This Row],[Column462]]</f>
        <v>95.78</v>
      </c>
      <c r="QU36">
        <f>SOFR3mo_PX[[#This Row],[Column463]]</f>
        <v>95.814999999999998</v>
      </c>
      <c r="QV36">
        <f>SOFR3mo_PX[[#This Row],[Column464]]</f>
        <v>95.875</v>
      </c>
      <c r="QW36">
        <f>SOFR3mo_PX[[#This Row],[Column465]]</f>
        <v>95.855000000000004</v>
      </c>
      <c r="QX36">
        <f>SOFR3mo_PX[[#This Row],[Column466]]</f>
        <v>95.81</v>
      </c>
      <c r="QY36">
        <f>SOFR3mo_PX[[#This Row],[Column467]]</f>
        <v>95.85</v>
      </c>
      <c r="QZ36">
        <f>SOFR3mo_PX[[#This Row],[Column468]]</f>
        <v>95.84</v>
      </c>
      <c r="RA36">
        <f>SOFR3mo_PX[[#This Row],[Column469]]</f>
        <v>95.825000000000003</v>
      </c>
      <c r="RB36">
        <f>SOFR3mo_PX[[#This Row],[Column470]]</f>
        <v>95.82</v>
      </c>
      <c r="RC36">
        <f>SOFR3mo_PX[[#This Row],[Column471]]</f>
        <v>95.89</v>
      </c>
      <c r="RD36">
        <f>SOFR3mo_PX[[#This Row],[Column472]]</f>
        <v>95.89</v>
      </c>
      <c r="RE36">
        <f>SOFR3mo_PX[[#This Row],[Column473]]</f>
        <v>95.984999999999999</v>
      </c>
      <c r="RF36">
        <f>SOFR3mo_PX[[#This Row],[Column474]]</f>
        <v>95.96</v>
      </c>
      <c r="RG36">
        <f>SOFR3mo_PX[[#This Row],[Column475]]</f>
        <v>95.965000000000003</v>
      </c>
      <c r="RH36">
        <f>SOFR3mo_PX[[#This Row],[Column476]]</f>
        <v>95.93</v>
      </c>
      <c r="RI36">
        <f>SOFR3mo_PX[[#This Row],[Column477]]</f>
        <v>95.89</v>
      </c>
      <c r="RJ36">
        <f>SOFR3mo_PX[[#This Row],[Column478]]</f>
        <v>95.885000000000005</v>
      </c>
      <c r="RK36">
        <f>SOFR3mo_PX[[#This Row],[Column479]]</f>
        <v>95.91</v>
      </c>
      <c r="RL36">
        <f>SOFR3mo_PX[[#This Row],[Column480]]</f>
        <v>95.76</v>
      </c>
      <c r="RM36">
        <f>SOFR3mo_PX[[#This Row],[Column481]]</f>
        <v>95.73</v>
      </c>
      <c r="RN36">
        <f>SOFR3mo_PX[[#This Row],[Column482]]</f>
        <v>95.825000000000003</v>
      </c>
      <c r="RO36">
        <f>SOFR3mo_PX[[#This Row],[Column483]]</f>
        <v>95.75</v>
      </c>
      <c r="RP36">
        <f>SOFR3mo_PX[[#This Row],[Column484]]</f>
        <v>95.834999999999994</v>
      </c>
      <c r="RQ36">
        <f>SOFR3mo_PX[[#This Row],[Column485]]</f>
        <v>95.87</v>
      </c>
      <c r="RR36">
        <f>SOFR3mo_PX[[#This Row],[Column486]]</f>
        <v>95.93</v>
      </c>
      <c r="RS36">
        <f>SOFR3mo_PX[[#This Row],[Column487]]</f>
        <v>95.905000000000001</v>
      </c>
      <c r="RT36">
        <f>SOFR3mo_PX[[#This Row],[Column488]]</f>
        <v>95.995000000000005</v>
      </c>
      <c r="RU36">
        <f>SOFR3mo_PX[[#This Row],[Column489]]</f>
        <v>96.1</v>
      </c>
      <c r="RV36">
        <f>SOFR3mo_PX[[#This Row],[Column490]]</f>
        <v>96.064999999999998</v>
      </c>
      <c r="RW36">
        <f>SOFR3mo_PX[[#This Row],[Column491]]</f>
        <v>96</v>
      </c>
      <c r="RX36">
        <f>SOFR3mo_PX[[#This Row],[Column492]]</f>
        <v>96.025000000000006</v>
      </c>
      <c r="RY36">
        <f>SOFR3mo_PX[[#This Row],[Column493]]</f>
        <v>95.885000000000005</v>
      </c>
      <c r="RZ36">
        <f>SOFR3mo_PX[[#This Row],[Column494]]</f>
        <v>96.055000000000007</v>
      </c>
      <c r="SA36">
        <f>SOFR3mo_PX[[#This Row],[Column495]]</f>
        <v>96.11</v>
      </c>
      <c r="SB36">
        <f>SOFR3mo_PX[[#This Row],[Column496]]</f>
        <v>96.2</v>
      </c>
      <c r="SC36">
        <f>SOFR3mo_PX[[#This Row],[Column497]]</f>
        <v>96.194999999999993</v>
      </c>
      <c r="SD36">
        <f>SOFR3mo_PX[[#This Row],[Column498]]</f>
        <v>96.15</v>
      </c>
      <c r="SE36">
        <f>SOFR3mo_PX[[#This Row],[Column499]]</f>
        <v>96.32</v>
      </c>
      <c r="SF36">
        <f>SOFR3mo_PX[[#This Row],[Column500]]</f>
        <v>96.27</v>
      </c>
      <c r="SG36">
        <f>SOFR3mo_PX[[#This Row],[Column501]]</f>
        <v>96.33</v>
      </c>
      <c r="SH36">
        <f>SOFR3mo_PX[[#This Row],[Column502]]</f>
        <v>96.34</v>
      </c>
      <c r="SI36">
        <f>SOFR3mo_PX[[#This Row],[Column503]]</f>
        <v>96.32</v>
      </c>
      <c r="SJ36">
        <f>SOFR3mo_PX[[#This Row],[Column504]]</f>
        <v>96.44</v>
      </c>
      <c r="SK36">
        <f>SOFR3mo_PX[[#This Row],[Column505]]</f>
        <v>96.4</v>
      </c>
      <c r="SL36">
        <f>SOFR3mo_PX[[#This Row],[Column506]]</f>
        <v>96.385000000000005</v>
      </c>
      <c r="SM36">
        <f>SOFR3mo_PX[[#This Row],[Column507]]</f>
        <v>96.344999999999999</v>
      </c>
      <c r="SN36">
        <f>SOFR3mo_PX[[#This Row],[Column508]]</f>
        <v>96.355000000000004</v>
      </c>
      <c r="SO36">
        <f>SOFR3mo_PX[[#This Row],[Column509]]</f>
        <v>96.325000000000003</v>
      </c>
      <c r="SP36">
        <f>SOFR3mo_PX[[#This Row],[Column510]]</f>
        <v>96.234999999999999</v>
      </c>
      <c r="SQ36">
        <f>SOFR3mo_PX[[#This Row],[Column511]]</f>
        <v>96.17</v>
      </c>
      <c r="SR36">
        <f>SOFR3mo_PX[[#This Row],[Column512]]</f>
        <v>96.13</v>
      </c>
      <c r="SS36">
        <f>SOFR3mo_PX[[#This Row],[Column513]]</f>
        <v>96.185000000000002</v>
      </c>
      <c r="ST36">
        <f>SOFR3mo_PX[[#This Row],[Column514]]</f>
        <v>96.275000000000006</v>
      </c>
      <c r="SU36">
        <f>SOFR3mo_PX[[#This Row],[Column515]]</f>
        <v>96.38</v>
      </c>
      <c r="SV36">
        <f>SOFR3mo_PX[[#This Row],[Column516]]</f>
        <v>96.38</v>
      </c>
      <c r="SW36">
        <f>SOFR3mo_PX[[#This Row],[Column517]]</f>
        <v>96.415000000000006</v>
      </c>
      <c r="SX36">
        <f>SOFR3mo_PX[[#This Row],[Column518]]</f>
        <v>96.35</v>
      </c>
      <c r="SY36">
        <f>SOFR3mo_PX[[#This Row],[Column519]]</f>
        <v>96.495000000000005</v>
      </c>
      <c r="SZ36">
        <f>SOFR3mo_PX[[#This Row],[Column520]]</f>
        <v>96.44</v>
      </c>
      <c r="TA36">
        <f>SOFR3mo_PX[[#This Row],[Column521]]</f>
        <v>96.47</v>
      </c>
      <c r="TB36">
        <f>SOFR3mo_PX[[#This Row],[Column522]]</f>
        <v>96.44</v>
      </c>
      <c r="TC36">
        <f>SOFR3mo_PX[[#This Row],[Column523]]</f>
        <v>96.37</v>
      </c>
      <c r="TD36">
        <f>SOFR3mo_PX[[#This Row],[Column524]]</f>
        <v>96.444999999999993</v>
      </c>
      <c r="TE36">
        <f>SOFR3mo_PX[[#This Row],[Column525]]</f>
        <v>96.454999999999998</v>
      </c>
      <c r="TF36">
        <f>SOFR3mo_PX[[#This Row],[Column526]]</f>
        <v>96.385000000000005</v>
      </c>
      <c r="TG36">
        <f>SOFR3mo_PX[[#This Row],[Column527]]</f>
        <v>96.385000000000005</v>
      </c>
      <c r="TH36">
        <f>SOFR3mo_PX[[#This Row],[Column528]]</f>
        <v>96.42</v>
      </c>
      <c r="TI36">
        <f>SOFR3mo_PX[[#This Row],[Column529]]</f>
        <v>96.35</v>
      </c>
      <c r="TJ36">
        <f>SOFR3mo_PX[[#This Row],[Column530]]</f>
        <v>96.27</v>
      </c>
      <c r="TK36">
        <f>SOFR3mo_PX[[#This Row],[Column531]]</f>
        <v>96.344999999999999</v>
      </c>
      <c r="TL36">
        <f>SOFR3mo_PX[[#This Row],[Column532]]</f>
        <v>96.35</v>
      </c>
      <c r="TM36">
        <f>SOFR3mo_PX[[#This Row],[Column533]]</f>
        <v>96.355000000000004</v>
      </c>
      <c r="TN36">
        <f>SOFR3mo_PX[[#This Row],[Column534]]</f>
        <v>96.28</v>
      </c>
      <c r="TO36">
        <f>SOFR3mo_PX[[#This Row],[Column535]]</f>
        <v>96.385000000000005</v>
      </c>
      <c r="TP36">
        <f>SOFR3mo_PX[[#This Row],[Column536]]</f>
        <v>96.364999999999995</v>
      </c>
      <c r="TQ36">
        <f>SOFR3mo_PX[[#This Row],[Column537]]</f>
        <v>96.334999999999994</v>
      </c>
      <c r="TR36">
        <f>SOFR3mo_PX[[#This Row],[Column538]]</f>
        <v>96.435000000000002</v>
      </c>
      <c r="TS36">
        <f>SOFR3mo_PX[[#This Row],[Column539]]</f>
        <v>96.42</v>
      </c>
      <c r="TT36">
        <f>SOFR3mo_PX[[#This Row],[Column540]]</f>
        <v>96.375</v>
      </c>
      <c r="TU36">
        <f>SOFR3mo_PX[[#This Row],[Column541]]</f>
        <v>96.265000000000001</v>
      </c>
      <c r="TV36">
        <f>SOFR3mo_PX[[#This Row],[Column542]]</f>
        <v>96.265000000000001</v>
      </c>
      <c r="TW36">
        <f>SOFR3mo_PX[[#This Row],[Column543]]</f>
        <v>96.25</v>
      </c>
      <c r="TX36">
        <f>SOFR3mo_PX[[#This Row],[Column544]]</f>
        <v>96.334999999999994</v>
      </c>
      <c r="TY36">
        <f>SOFR3mo_PX[[#This Row],[Column545]]</f>
        <v>96.35</v>
      </c>
      <c r="TZ36">
        <f>SOFR3mo_PX[[#This Row],[Column546]]</f>
        <v>96.32</v>
      </c>
      <c r="UA36">
        <f>SOFR3mo_PX[[#This Row],[Column547]]</f>
        <v>96.31</v>
      </c>
      <c r="UB36">
        <f>SOFR3mo_PX[[#This Row],[Column548]]</f>
        <v>96.364999999999995</v>
      </c>
      <c r="UC36">
        <f>SOFR3mo_PX[[#This Row],[Column549]]</f>
        <v>96.42</v>
      </c>
      <c r="UD36">
        <f>SOFR3mo_PX[[#This Row],[Column550]]</f>
        <v>96.435000000000002</v>
      </c>
      <c r="UE36">
        <f>SOFR3mo_PX[[#This Row],[Column551]]</f>
        <v>96.49</v>
      </c>
      <c r="UF36">
        <f>SOFR3mo_PX[[#This Row],[Column552]]</f>
        <v>96.53</v>
      </c>
      <c r="UG36">
        <f>SOFR3mo_PX[[#This Row],[Column553]]</f>
        <v>96.57</v>
      </c>
      <c r="UH36">
        <f>SOFR3mo_PX[[#This Row],[Column554]]</f>
        <v>96.525000000000006</v>
      </c>
      <c r="UI36">
        <f>SOFR3mo_PX[[#This Row],[Column555]]</f>
        <v>96.46</v>
      </c>
      <c r="UJ36">
        <f>SOFR3mo_PX[[#This Row],[Column556]]</f>
        <v>96.47</v>
      </c>
      <c r="UK36">
        <f>SOFR3mo_PX[[#This Row],[Column557]]</f>
        <v>96.515000000000001</v>
      </c>
      <c r="UL36">
        <f>SOFR3mo_PX[[#This Row],[Column558]]</f>
        <v>96.584999999999994</v>
      </c>
      <c r="UM36">
        <f>SOFR3mo_PX[[#This Row],[Column559]]</f>
        <v>96.534999999999997</v>
      </c>
      <c r="UN36">
        <f>SOFR3mo_PX[[#This Row],[Column560]]</f>
        <v>96.52</v>
      </c>
      <c r="UO36">
        <f>SOFR3mo_PX[[#This Row],[Column561]]</f>
        <v>96.39</v>
      </c>
      <c r="UP36">
        <f>SOFR3mo_PX[[#This Row],[Column562]]</f>
        <v>96.525000000000006</v>
      </c>
      <c r="UQ36">
        <f>SOFR3mo_PX[[#This Row],[Column563]]</f>
        <v>96.53</v>
      </c>
      <c r="UR36">
        <f>SOFR3mo_PX[[#This Row],[Column564]]</f>
        <v>96.605000000000004</v>
      </c>
      <c r="US36">
        <f>SOFR3mo_PX[[#This Row],[Column565]]</f>
        <v>96.655000000000001</v>
      </c>
      <c r="UT36">
        <f>SOFR3mo_PX[[#This Row],[Column566]]</f>
        <v>96.594999999999999</v>
      </c>
      <c r="UU36">
        <f>SOFR3mo_PX[[#This Row],[Column567]]</f>
        <v>96.54</v>
      </c>
      <c r="UV36">
        <f>SOFR3mo_PX[[#This Row],[Column568]]</f>
        <v>96.584999999999994</v>
      </c>
      <c r="UW36">
        <f>SOFR3mo_PX[[#This Row],[Column569]]</f>
        <v>96.55</v>
      </c>
      <c r="UX36">
        <f>SOFR3mo_PX[[#This Row],[Column570]]</f>
        <v>96.57</v>
      </c>
      <c r="UY36">
        <f>SOFR3mo_PX[[#This Row],[Column571]]</f>
        <v>96.525000000000006</v>
      </c>
      <c r="UZ36">
        <f>SOFR3mo_PX[[#This Row],[Column572]]</f>
        <v>96.584999999999994</v>
      </c>
      <c r="VA36">
        <f>SOFR3mo_PX[[#This Row],[Column573]]</f>
        <v>96.64</v>
      </c>
      <c r="VB36">
        <f>SOFR3mo_PX[[#This Row],[Column574]]</f>
        <v>96.694999999999993</v>
      </c>
      <c r="VC36">
        <f>SOFR3mo_PX[[#This Row],[Column575]]</f>
        <v>96.694999999999993</v>
      </c>
      <c r="VD36">
        <f>SOFR3mo_PX[[#This Row],[Column576]]</f>
        <v>96.685000000000002</v>
      </c>
      <c r="VE36">
        <f>SOFR3mo_PX[[#This Row],[Column577]]</f>
        <v>96.74</v>
      </c>
      <c r="VF36">
        <f>SOFR3mo_PX[[#This Row],[Column578]]</f>
        <v>96.814999999999998</v>
      </c>
      <c r="VG36">
        <f>SOFR3mo_PX[[#This Row],[Column579]]</f>
        <v>96.8</v>
      </c>
      <c r="VH36">
        <f>SOFR3mo_PX[[#This Row],[Column580]]</f>
        <v>96.765000000000001</v>
      </c>
      <c r="VI36">
        <f>SOFR3mo_PX[[#This Row],[Column581]]</f>
        <v>96.704999999999998</v>
      </c>
      <c r="VJ36">
        <f>SOFR3mo_PX[[#This Row],[Column582]]</f>
        <v>96.65</v>
      </c>
      <c r="VK36">
        <f>SOFR3mo_PX[[#This Row],[Column583]]</f>
        <v>96.614999999999995</v>
      </c>
      <c r="VL36">
        <f>SOFR3mo_PX[[#This Row],[Column584]]</f>
        <v>96.59</v>
      </c>
      <c r="VM36">
        <f>SOFR3mo_PX[[#This Row],[Column585]]</f>
        <v>96.58</v>
      </c>
      <c r="VN36">
        <f>SOFR3mo_PX[[#This Row],[Column586]]</f>
        <v>96.61</v>
      </c>
      <c r="VO36">
        <f>SOFR3mo_PX[[#This Row],[Column587]]</f>
        <v>96.73</v>
      </c>
      <c r="VP36">
        <f>SOFR3mo_PX[[#This Row],[Column588]]</f>
        <v>96.69</v>
      </c>
      <c r="VQ36">
        <f>SOFR3mo_PX[[#This Row],[Column589]]</f>
        <v>96.64</v>
      </c>
      <c r="VR36">
        <f>SOFR3mo_PX[[#This Row],[Column590]]</f>
        <v>96.584999999999994</v>
      </c>
      <c r="VS36">
        <f>SOFR3mo_PX[[#This Row],[Column591]]</f>
        <v>96.61</v>
      </c>
      <c r="VT36">
        <f>SOFR3mo_PX[[#This Row],[Column592]]</f>
        <v>96.685000000000002</v>
      </c>
      <c r="VU36">
        <f>SOFR3mo_PX[[#This Row],[Column593]]</f>
        <v>96.5</v>
      </c>
      <c r="VV36">
        <f>SOFR3mo_PX[[#This Row],[Column594]]</f>
        <v>96.584999999999994</v>
      </c>
      <c r="VW36">
        <f>SOFR3mo_PX[[#This Row],[Column595]]</f>
        <v>96.5</v>
      </c>
      <c r="VX36">
        <f>SOFR3mo_PX[[#This Row],[Column596]]</f>
        <v>96.575000000000003</v>
      </c>
      <c r="VY36">
        <f>SOFR3mo_PX[[#This Row],[Column597]]</f>
        <v>96.555000000000007</v>
      </c>
      <c r="VZ36">
        <f>SOFR3mo_PX[[#This Row],[Column598]]</f>
        <v>96.355000000000004</v>
      </c>
      <c r="WA36">
        <f>SOFR3mo_PX[[#This Row],[Column599]]</f>
        <v>96.4</v>
      </c>
      <c r="WB36">
        <f>SOFR3mo_PX[[#This Row],[Column600]]</f>
        <v>96.38</v>
      </c>
      <c r="WC36">
        <f>SOFR3mo_PX[[#This Row],[Column601]]</f>
        <v>96.305000000000007</v>
      </c>
      <c r="WD36">
        <f>SOFR3mo_PX[[#This Row],[Column602]]</f>
        <v>96.305000000000007</v>
      </c>
      <c r="WE36">
        <f>SOFR3mo_PX[[#This Row],[Column603]]</f>
        <v>96.18</v>
      </c>
      <c r="WF36">
        <f>SOFR3mo_PX[[#This Row],[Column604]]</f>
        <v>96.284999999999997</v>
      </c>
      <c r="WG36">
        <f>SOFR3mo_PX[[#This Row],[Column605]]</f>
        <v>96.37</v>
      </c>
      <c r="WH36">
        <f>SOFR3mo_PX[[#This Row],[Column606]]</f>
        <v>96.37</v>
      </c>
      <c r="WI36">
        <f>SOFR3mo_PX[[#This Row],[Column607]]</f>
        <v>96.33</v>
      </c>
      <c r="WJ36">
        <f>SOFR3mo_PX[[#This Row],[Column608]]</f>
        <v>96.38</v>
      </c>
      <c r="WK36">
        <f>SOFR3mo_PX[[#This Row],[Column609]]</f>
        <v>96.33</v>
      </c>
      <c r="WL36">
        <f>SOFR3mo_PX[[#This Row],[Column610]]</f>
        <v>96.295000000000002</v>
      </c>
      <c r="WM36">
        <f>SOFR3mo_PX[[#This Row],[Column611]]</f>
        <v>96.444999999999993</v>
      </c>
      <c r="WN36">
        <f>SOFR3mo_PX[[#This Row],[Column612]]</f>
        <v>96.444999999999993</v>
      </c>
      <c r="WO36">
        <f>SOFR3mo_PX[[#This Row],[Column613]]</f>
        <v>96.424999999999997</v>
      </c>
      <c r="WP36">
        <f>SOFR3mo_PX[[#This Row],[Column614]]</f>
        <v>96.465000000000003</v>
      </c>
      <c r="WQ36">
        <f>SOFR3mo_PX[[#This Row],[Column615]]</f>
        <v>96.53</v>
      </c>
      <c r="WR36">
        <f>SOFR3mo_PX[[#This Row],[Column616]]</f>
        <v>96.515000000000001</v>
      </c>
      <c r="WS36">
        <f>SOFR3mo_PX[[#This Row],[Column617]]</f>
        <v>96.484999999999999</v>
      </c>
      <c r="WT36">
        <f>SOFR3mo_PX[[#This Row],[Column618]]</f>
        <v>96.55</v>
      </c>
      <c r="WU36">
        <f>SOFR3mo_PX[[#This Row],[Column619]]</f>
        <v>96.57</v>
      </c>
      <c r="WV36">
        <f>SOFR3mo_PX[[#This Row],[Column620]]</f>
        <v>96.55</v>
      </c>
      <c r="WW36">
        <f>SOFR3mo_PX[[#This Row],[Column621]]</f>
        <v>96.575000000000003</v>
      </c>
      <c r="WX36">
        <f>SOFR3mo_PX[[#This Row],[Column622]]</f>
        <v>96.65</v>
      </c>
      <c r="WY36">
        <f>SOFR3mo_PX[[#This Row],[Column623]]</f>
        <v>96.74</v>
      </c>
      <c r="WZ36">
        <f>SOFR3mo_PX[[#This Row],[Column624]]</f>
        <v>96.775000000000006</v>
      </c>
      <c r="XA36">
        <f>SOFR3mo_PX[[#This Row],[Column625]]</f>
        <v>96.674999999999997</v>
      </c>
      <c r="XB36">
        <f>SOFR3mo_PX[[#This Row],[Column626]]</f>
        <v>96.644999999999996</v>
      </c>
      <c r="XC36">
        <f>SOFR3mo_PX[[#This Row],[Column627]]</f>
        <v>96.68</v>
      </c>
      <c r="XD36">
        <f>SOFR3mo_PX[[#This Row],[Column628]]</f>
        <v>96.73</v>
      </c>
      <c r="XE36">
        <f>SOFR3mo_PX[[#This Row],[Column629]]</f>
        <v>96.745000000000005</v>
      </c>
      <c r="XF36">
        <f>SOFR3mo_PX[[#This Row],[Column630]]</f>
        <v>96.745000000000005</v>
      </c>
      <c r="XG36">
        <f>SOFR3mo_PX[[#This Row],[Column631]]</f>
        <v>96.67</v>
      </c>
      <c r="XH36">
        <f>SOFR3mo_PX[[#This Row],[Column632]]</f>
        <v>96.715000000000003</v>
      </c>
      <c r="XI36">
        <f>SOFR3mo_PX[[#This Row],[Column633]]</f>
        <v>96.805000000000007</v>
      </c>
      <c r="XJ36">
        <f>SOFR3mo_PX[[#This Row],[Column634]]</f>
        <v>96.834999999999994</v>
      </c>
      <c r="XK36">
        <f>SOFR3mo_PX[[#This Row],[Column635]]</f>
        <v>96.71</v>
      </c>
      <c r="XL36">
        <f>SOFR3mo_PX[[#This Row],[Column636]]</f>
        <v>96.754999999999995</v>
      </c>
      <c r="XM36">
        <f>SOFR3mo_PX[[#This Row],[Column637]]</f>
        <v>96.754999999999995</v>
      </c>
      <c r="XN36">
        <f>SOFR3mo_PX[[#This Row],[Column638]]</f>
        <v>96.78</v>
      </c>
      <c r="XO36">
        <f>SOFR3mo_PX[[#This Row],[Column639]]</f>
        <v>96.704999999999998</v>
      </c>
      <c r="XP36">
        <f>SOFR3mo_PX[[#This Row],[Column640]]</f>
        <v>96.65</v>
      </c>
      <c r="XQ36">
        <f>SOFR3mo_PX[[#This Row],[Column641]]</f>
        <v>96.765000000000001</v>
      </c>
      <c r="XR36">
        <f>SOFR3mo_PX[[#This Row],[Column642]]</f>
        <v>96.72</v>
      </c>
      <c r="XS36">
        <f>SOFR3mo_PX[[#This Row],[Column643]]</f>
        <v>96.57</v>
      </c>
      <c r="XT36">
        <f>SOFR3mo_PX[[#This Row],[Column644]]</f>
        <v>96.555000000000007</v>
      </c>
      <c r="XU36">
        <f>SOFR3mo_PX[[#This Row],[Column645]]</f>
        <v>96.454999999999998</v>
      </c>
      <c r="XV36">
        <f>SOFR3mo_PX[[#This Row],[Column646]]</f>
        <v>96.385000000000005</v>
      </c>
      <c r="XW36">
        <f>SOFR3mo_PX[[#This Row],[Column647]]</f>
        <v>96.385000000000005</v>
      </c>
      <c r="XX36">
        <f>SOFR3mo_PX[[#This Row],[Column648]]</f>
        <v>96.344999999999999</v>
      </c>
      <c r="XY36">
        <f>SOFR3mo_PX[[#This Row],[Column649]]</f>
        <v>96.29</v>
      </c>
      <c r="XZ36">
        <f>SOFR3mo_PX[[#This Row],[Column650]]</f>
        <v>96.375</v>
      </c>
      <c r="YA36">
        <f>SOFR3mo_PX[[#This Row],[Column651]]</f>
        <v>96.46</v>
      </c>
      <c r="YB36">
        <f>SOFR3mo_PX[[#This Row],[Column652]]</f>
        <v>96.46</v>
      </c>
      <c r="YC36">
        <f>SOFR3mo_PX[[#This Row],[Column653]]</f>
        <v>96.49</v>
      </c>
      <c r="YD36">
        <f>SOFR3mo_PX[[#This Row],[Column654]]</f>
        <v>96.465000000000003</v>
      </c>
      <c r="YE36">
        <f>SOFR3mo_PX[[#This Row],[Column655]]</f>
        <v>96.515000000000001</v>
      </c>
      <c r="YF36">
        <f>SOFR3mo_PX[[#This Row],[Column656]]</f>
        <v>96.655000000000001</v>
      </c>
      <c r="YG36">
        <f>SOFR3mo_PX[[#This Row],[Column657]]</f>
        <v>96.75</v>
      </c>
      <c r="YH36">
        <f>SOFR3mo_PX[[#This Row],[Column658]]</f>
        <v>96.814999999999998</v>
      </c>
      <c r="YI36">
        <f>SOFR3mo_PX[[#This Row],[Column659]]</f>
        <v>96.754999999999995</v>
      </c>
      <c r="YJ36">
        <f>SOFR3mo_PX[[#This Row],[Column660]]</f>
        <v>96.754999999999995</v>
      </c>
      <c r="YK36">
        <f>SOFR3mo_PX[[#This Row],[Column661]]</f>
        <v>96.655000000000001</v>
      </c>
      <c r="YL36">
        <f>SOFR3mo_PX[[#This Row],[Column662]]</f>
        <v>96.69</v>
      </c>
      <c r="YM36">
        <f>SOFR3mo_PX[[#This Row],[Column663]]</f>
        <v>96.78</v>
      </c>
      <c r="YN36">
        <f>SOFR3mo_PX[[#This Row],[Column664]]</f>
        <v>96.89</v>
      </c>
      <c r="YO36">
        <f>SOFR3mo_PX[[#This Row],[Column665]]</f>
        <v>96.78</v>
      </c>
      <c r="YP36">
        <f>SOFR3mo_PX[[#This Row],[Column666]]</f>
        <v>96.685000000000002</v>
      </c>
      <c r="YQ36">
        <f>SOFR3mo_PX[[#This Row],[Column667]]</f>
        <v>96.784999999999997</v>
      </c>
      <c r="YR36">
        <f>SOFR3mo_PX[[#This Row],[Column668]]</f>
        <v>96.74</v>
      </c>
      <c r="YS36">
        <f>SOFR3mo_PX[[#This Row],[Column669]]</f>
        <v>96.58</v>
      </c>
      <c r="YT36">
        <f>SOFR3mo_PX[[#This Row],[Column670]]</f>
        <v>96.55</v>
      </c>
      <c r="YU36">
        <f>SOFR3mo_PX[[#This Row],[Column671]]</f>
        <v>96.594999999999999</v>
      </c>
      <c r="YV36">
        <f>SOFR3mo_PX[[#This Row],[Column672]]</f>
        <v>96.58</v>
      </c>
      <c r="YW36">
        <f>SOFR3mo_PX[[#This Row],[Column673]]</f>
        <v>96.564999999999998</v>
      </c>
      <c r="YX36">
        <f>SOFR3mo_PX[[#This Row],[Column674]]</f>
        <v>96.564999999999998</v>
      </c>
      <c r="YY36">
        <f>SOFR3mo_PX[[#This Row],[Column675]]</f>
        <v>96.495000000000005</v>
      </c>
      <c r="YZ36">
        <f>SOFR3mo_PX[[#This Row],[Column676]]</f>
        <v>96.394999999999996</v>
      </c>
      <c r="ZA36">
        <f>SOFR3mo_PX[[#This Row],[Column677]]</f>
        <v>96.375</v>
      </c>
      <c r="ZB36">
        <f>SOFR3mo_PX[[#This Row],[Column678]]</f>
        <v>96.444999999999993</v>
      </c>
      <c r="ZC36">
        <f>SOFR3mo_PX[[#This Row],[Column679]]</f>
        <v>96.5</v>
      </c>
      <c r="ZD36">
        <f>SOFR3mo_PX[[#This Row],[Column680]]</f>
        <v>96.375</v>
      </c>
      <c r="ZE36">
        <f>SOFR3mo_PX[[#This Row],[Column681]]</f>
        <v>96.3</v>
      </c>
      <c r="ZF36">
        <f>SOFR3mo_PX[[#This Row],[Column682]]</f>
        <v>96.35</v>
      </c>
      <c r="ZG36">
        <f>SOFR3mo_PX[[#This Row],[Column683]]</f>
        <v>96.34</v>
      </c>
      <c r="ZH36">
        <f>SOFR3mo_PX[[#This Row],[Column684]]</f>
        <v>96.045000000000002</v>
      </c>
      <c r="ZI36">
        <f>SOFR3mo_PX[[#This Row],[Column685]]</f>
        <v>96.084999999999994</v>
      </c>
      <c r="ZJ36">
        <f>SOFR3mo_PX[[#This Row],[Column686]]</f>
        <v>96</v>
      </c>
      <c r="ZK36">
        <f>SOFR3mo_PX[[#This Row],[Column687]]</f>
        <v>96.015000000000001</v>
      </c>
      <c r="ZL36">
        <f>SOFR3mo_PX[[#This Row],[Column688]]</f>
        <v>96.045000000000002</v>
      </c>
      <c r="ZM36">
        <f>SOFR3mo_PX[[#This Row],[Column689]]</f>
        <v>96.05</v>
      </c>
      <c r="ZN36">
        <f>SOFR3mo_PX[[#This Row],[Column690]]</f>
        <v>96.03</v>
      </c>
      <c r="ZO36">
        <f>SOFR3mo_PX[[#This Row],[Column691]]</f>
        <v>95.99</v>
      </c>
      <c r="ZP36">
        <f>SOFR3mo_PX[[#This Row],[Column692]]</f>
        <v>96.02</v>
      </c>
      <c r="ZQ36">
        <f>SOFR3mo_PX[[#This Row],[Column693]]</f>
        <v>96.114999999999995</v>
      </c>
      <c r="ZR36">
        <f>SOFR3mo_PX[[#This Row],[Column694]]</f>
        <v>96.055000000000007</v>
      </c>
      <c r="ZS36">
        <f>SOFR3mo_PX[[#This Row],[Column695]]</f>
        <v>95.965000000000003</v>
      </c>
      <c r="ZT36">
        <f>SOFR3mo_PX[[#This Row],[Column696]]</f>
        <v>95.825000000000003</v>
      </c>
      <c r="ZU36">
        <f>SOFR3mo_PX[[#This Row],[Column697]]</f>
        <v>95.875</v>
      </c>
      <c r="ZV36">
        <f>SOFR3mo_PX[[#This Row],[Column698]]</f>
        <v>95.95</v>
      </c>
      <c r="ZW36">
        <f>SOFR3mo_PX[[#This Row],[Column699]]</f>
        <v>96.05</v>
      </c>
      <c r="ZX36">
        <f>SOFR3mo_PX[[#This Row],[Column700]]</f>
        <v>96.174999999999997</v>
      </c>
      <c r="ZY36">
        <f>SOFR3mo_PX[[#This Row],[Column701]]</f>
        <v>96.155000000000001</v>
      </c>
      <c r="ZZ36">
        <f>SOFR3mo_PX[[#This Row],[Column702]]</f>
        <v>96.17</v>
      </c>
      <c r="AAA36">
        <f>SOFR3mo_PX[[#This Row],[Column703]]</f>
        <v>96.215000000000003</v>
      </c>
      <c r="AAB36">
        <f>SOFR3mo_PX[[#This Row],[Column704]]</f>
        <v>96.21</v>
      </c>
      <c r="AAC36">
        <f>SOFR3mo_PX[[#This Row],[Column705]]</f>
        <v>96.17</v>
      </c>
      <c r="AAD36">
        <f>SOFR3mo_PX[[#This Row],[Column706]]</f>
        <v>96.12</v>
      </c>
      <c r="AAE36">
        <f>SOFR3mo_PX[[#This Row],[Column707]]</f>
        <v>96.22</v>
      </c>
      <c r="AAF36">
        <f>SOFR3mo_PX[[#This Row],[Column708]]</f>
        <v>96.265000000000001</v>
      </c>
      <c r="AAG36">
        <f>SOFR3mo_PX[[#This Row],[Column709]]</f>
        <v>96.295000000000002</v>
      </c>
      <c r="AAH36">
        <f>SOFR3mo_PX[[#This Row],[Column710]]</f>
        <v>96.43</v>
      </c>
      <c r="AAI36">
        <f>SOFR3mo_PX[[#This Row],[Column711]]</f>
        <v>96.364999999999995</v>
      </c>
      <c r="AAJ36">
        <f>SOFR3mo_PX[[#This Row],[Column712]]</f>
        <v>96.215000000000003</v>
      </c>
      <c r="AAK36">
        <f>SOFR3mo_PX[[#This Row],[Column713]]</f>
        <v>96.275000000000006</v>
      </c>
      <c r="AAL36">
        <f>SOFR3mo_PX[[#This Row],[Column714]]</f>
        <v>96.325000000000003</v>
      </c>
      <c r="AAM36">
        <f>SOFR3mo_PX[[#This Row],[Column715]]</f>
        <v>96.204999999999998</v>
      </c>
      <c r="AAN36">
        <f>SOFR3mo_PX[[#This Row],[Column716]]</f>
        <v>96.33</v>
      </c>
      <c r="AAO36">
        <f>SOFR3mo_PX[[#This Row],[Column717]]</f>
        <v>96.495000000000005</v>
      </c>
      <c r="AAP36">
        <f>SOFR3mo_PX[[#This Row],[Column718]]</f>
        <v>96.32</v>
      </c>
      <c r="AAQ36">
        <f>SOFR3mo_PX[[#This Row],[Column719]]</f>
        <v>96.495000000000005</v>
      </c>
      <c r="AAR36">
        <f>SOFR3mo_PX[[#This Row],[Column720]]</f>
        <v>96.415000000000006</v>
      </c>
      <c r="AAS36">
        <f>SOFR3mo_PX[[#This Row],[Column721]]</f>
        <v>96.504999999999995</v>
      </c>
      <c r="AAT36">
        <f>SOFR3mo_PX[[#This Row],[Column722]]</f>
        <v>96.504999999999995</v>
      </c>
      <c r="AAU36">
        <f>SOFR3mo_PX[[#This Row],[Column723]]</f>
        <v>96.53</v>
      </c>
      <c r="AAV36">
        <f>SOFR3mo_PX[[#This Row],[Column724]]</f>
        <v>96.61</v>
      </c>
      <c r="AAW36">
        <f>SOFR3mo_PX[[#This Row],[Column725]]</f>
        <v>96.58</v>
      </c>
      <c r="AAX36">
        <f>SOFR3mo_PX[[#This Row],[Column726]]</f>
        <v>96.555000000000007</v>
      </c>
      <c r="AAY36">
        <f>SOFR3mo_PX[[#This Row],[Column727]]</f>
        <v>96.61</v>
      </c>
      <c r="AAZ36">
        <f>SOFR3mo_PX[[#This Row],[Column728]]</f>
        <v>96.61</v>
      </c>
      <c r="ABA36">
        <f>SOFR3mo_PX[[#This Row],[Column729]]</f>
        <v>96.65</v>
      </c>
      <c r="ABB36">
        <f>SOFR3mo_PX[[#This Row],[Column730]]</f>
        <v>96.5</v>
      </c>
      <c r="ABC36">
        <f>SOFR3mo_PX[[#This Row],[Column731]]</f>
        <v>96.67</v>
      </c>
      <c r="ABD36">
        <f>SOFR3mo_PX[[#This Row],[Column732]]</f>
        <v>96.67</v>
      </c>
      <c r="ABE36">
        <f>SOFR3mo_PX[[#This Row],[Column733]]</f>
        <v>96.635000000000005</v>
      </c>
      <c r="ABF36">
        <f>SOFR3mo_PX[[#This Row],[Column734]]</f>
        <v>96.814999999999998</v>
      </c>
      <c r="ABG36">
        <f>SOFR3mo_PX[[#This Row],[Column735]]</f>
        <v>96.855000000000004</v>
      </c>
      <c r="ABH36">
        <f>SOFR3mo_PX[[#This Row],[Column736]]</f>
        <v>96.76</v>
      </c>
      <c r="ABI36">
        <f>SOFR3mo_PX[[#This Row],[Column737]]</f>
        <v>96.87</v>
      </c>
      <c r="ABJ36">
        <f>SOFR3mo_PX[[#This Row],[Column738]]</f>
        <v>96.885000000000005</v>
      </c>
      <c r="ABK36">
        <f>SOFR3mo_PX[[#This Row],[Column739]]</f>
        <v>96.795000000000002</v>
      </c>
      <c r="ABL36">
        <f>SOFR3mo_PX[[#This Row],[Column740]]</f>
        <v>96.875</v>
      </c>
      <c r="ABM36">
        <f>SOFR3mo_PX[[#This Row],[Column741]]</f>
        <v>96.89</v>
      </c>
      <c r="ABN36">
        <f>SOFR3mo_PX[[#This Row],[Column742]]</f>
        <v>96.905000000000001</v>
      </c>
      <c r="ABO36">
        <f>SOFR3mo_PX[[#This Row],[Column743]]</f>
        <v>97.034999999999997</v>
      </c>
      <c r="ABP36">
        <f>SOFR3mo_PX[[#This Row],[Column744]]</f>
        <v>97.025000000000006</v>
      </c>
      <c r="ABQ36">
        <f>SOFR3mo_PX[[#This Row],[Column745]]</f>
        <v>97.1</v>
      </c>
      <c r="ABR36">
        <f>SOFR3mo_PX[[#This Row],[Column746]]</f>
        <v>97.075000000000003</v>
      </c>
      <c r="ABS36">
        <f>SOFR3mo_PX[[#This Row],[Column747]]</f>
        <v>96.99</v>
      </c>
      <c r="ABT36">
        <f>SOFR3mo_PX[[#This Row],[Column748]]</f>
        <v>96.935000000000002</v>
      </c>
      <c r="ABU36">
        <f>SOFR3mo_PX[[#This Row],[Column749]]</f>
        <v>97.12</v>
      </c>
      <c r="ABV36">
        <f>SOFR3mo_PX[[#This Row],[Column750]]</f>
        <v>97.165000000000006</v>
      </c>
      <c r="ABW36">
        <f>SOFR3mo_PX[[#This Row],[Column751]]</f>
        <v>97.14</v>
      </c>
      <c r="ABX36">
        <f>SOFR3mo_PX[[#This Row],[Column752]]</f>
        <v>97.05</v>
      </c>
      <c r="ABY36">
        <f>SOFR3mo_PX[[#This Row],[Column753]]</f>
        <v>97.18</v>
      </c>
      <c r="ABZ36">
        <f>SOFR3mo_PX[[#This Row],[Column754]]</f>
        <v>97.11</v>
      </c>
      <c r="ACA36">
        <f>SOFR3mo_PX[[#This Row],[Column755]]</f>
        <v>97.08</v>
      </c>
      <c r="ACB36">
        <f>SOFR3mo_PX[[#This Row],[Column756]]</f>
        <v>97.11</v>
      </c>
      <c r="ACC36">
        <f>SOFR3mo_PX[[#This Row],[Column757]]</f>
        <v>97.04</v>
      </c>
      <c r="ACD36">
        <f>SOFR3mo_PX[[#This Row],[Column758]]</f>
        <v>97</v>
      </c>
      <c r="ACE36">
        <f>SOFR3mo_PX[[#This Row],[Column759]]</f>
        <v>96.954999999999998</v>
      </c>
      <c r="ACF36">
        <f>SOFR3mo_PX[[#This Row],[Column760]]</f>
        <v>96.91</v>
      </c>
      <c r="ACG36">
        <f>SOFR3mo_PX[[#This Row],[Column761]]</f>
        <v>96.875</v>
      </c>
      <c r="ACH36">
        <f>SOFR3mo_PX[[#This Row],[Column762]]</f>
        <v>96.944999999999993</v>
      </c>
      <c r="ACI36">
        <f>SOFR3mo_PX[[#This Row],[Column763]]</f>
        <v>96.84</v>
      </c>
      <c r="ACJ36">
        <f>SOFR3mo_PX[[#This Row],[Column764]]</f>
        <v>96.73</v>
      </c>
      <c r="ACK36">
        <f>SOFR3mo_PX[[#This Row],[Column765]]</f>
        <v>96.765000000000001</v>
      </c>
      <c r="ACL36">
        <f>SOFR3mo_PX[[#This Row],[Column766]]</f>
        <v>96.805000000000007</v>
      </c>
      <c r="ACM36">
        <f>SOFR3mo_PX[[#This Row],[Column767]]</f>
        <v>96.83</v>
      </c>
      <c r="ACN36">
        <f>SOFR3mo_PX[[#This Row],[Column768]]</f>
        <v>96.765000000000001</v>
      </c>
      <c r="ACO36">
        <f>SOFR3mo_PX[[#This Row],[Column769]]</f>
        <v>96.795000000000002</v>
      </c>
      <c r="ACP36">
        <f>SOFR3mo_PX[[#This Row],[Column770]]</f>
        <v>96.674999999999997</v>
      </c>
      <c r="ACQ36">
        <f>SOFR3mo_PX[[#This Row],[Column771]]</f>
        <v>96.62</v>
      </c>
      <c r="ACR36">
        <f>SOFR3mo_PX[[#This Row],[Column772]]</f>
        <v>96.49</v>
      </c>
      <c r="ACS36">
        <f>SOFR3mo_PX[[#This Row],[Column773]]</f>
        <v>96.575000000000003</v>
      </c>
      <c r="ACT36">
        <f>SOFR3mo_PX[[#This Row],[Column774]]</f>
        <v>96.69</v>
      </c>
      <c r="ACU36">
        <f>SOFR3mo_PX[[#This Row],[Column775]]</f>
        <v>96.775000000000006</v>
      </c>
      <c r="ACV36">
        <f>SOFR3mo_PX[[#This Row],[Column776]]</f>
        <v>96.7</v>
      </c>
      <c r="ACW36">
        <f>SOFR3mo_PX[[#This Row],[Column777]]</f>
        <v>96.7</v>
      </c>
      <c r="ACX36">
        <f>SOFR3mo_PX[[#This Row],[Column778]]</f>
        <v>96.67</v>
      </c>
      <c r="ACY36">
        <f>SOFR3mo_PX[[#This Row],[Column779]]</f>
        <v>96.555000000000007</v>
      </c>
      <c r="ACZ36">
        <f>SOFR3mo_PX[[#This Row],[Column780]]</f>
        <v>96.454999999999998</v>
      </c>
      <c r="ADA36">
        <f>SOFR3mo_PX[[#This Row],[Column781]]</f>
        <v>96.47</v>
      </c>
      <c r="ADB36">
        <f>SOFR3mo_PX[[#This Row],[Column782]]</f>
        <v>96.525000000000006</v>
      </c>
      <c r="ADC36">
        <f>SOFR3mo_PX[[#This Row],[Column783]]</f>
        <v>96.62</v>
      </c>
      <c r="ADD36">
        <f>SOFR3mo_PX[[#This Row],[Column784]]</f>
        <v>96.52</v>
      </c>
      <c r="ADE36">
        <f>SOFR3mo_PX[[#This Row],[Column785]]</f>
        <v>96.39</v>
      </c>
      <c r="ADF36">
        <f>SOFR3mo_PX[[#This Row],[Column786]]</f>
        <v>96.49</v>
      </c>
      <c r="ADG36">
        <f>SOFR3mo_PX[[#This Row],[Column787]]</f>
        <v>96.49</v>
      </c>
      <c r="ADH36">
        <f>SOFR3mo_PX[[#This Row],[Column788]]</f>
        <v>96.41</v>
      </c>
      <c r="ADI36">
        <f>SOFR3mo_PX[[#This Row],[Column789]]</f>
        <v>96.325000000000003</v>
      </c>
      <c r="ADJ36">
        <f>SOFR3mo_PX[[#This Row],[Column790]]</f>
        <v>96.28</v>
      </c>
      <c r="ADK36">
        <f>SOFR3mo_PX[[#This Row],[Column791]]</f>
        <v>96.35</v>
      </c>
      <c r="ADL36">
        <f>SOFR3mo_PX[[#This Row],[Column792]]</f>
        <v>96.555000000000007</v>
      </c>
      <c r="ADM36">
        <f>SOFR3mo_PX[[#This Row],[Column793]]</f>
        <v>96.605000000000004</v>
      </c>
      <c r="ADN36">
        <f>SOFR3mo_PX[[#This Row],[Column794]]</f>
        <v>96.605000000000004</v>
      </c>
      <c r="ADO36">
        <f>SOFR3mo_PX[[#This Row],[Column795]]</f>
        <v>96.655000000000001</v>
      </c>
      <c r="ADP36">
        <f>SOFR3mo_PX[[#This Row],[Column796]]</f>
        <v>96.555000000000007</v>
      </c>
      <c r="ADQ36">
        <f>SOFR3mo_PX[[#This Row],[Column797]]</f>
        <v>96.66</v>
      </c>
      <c r="ADR36">
        <f>SOFR3mo_PX[[#This Row],[Column798]]</f>
        <v>96.71</v>
      </c>
      <c r="ADS36">
        <f>SOFR3mo_PX[[#This Row],[Column799]]</f>
        <v>96.665000000000006</v>
      </c>
      <c r="ADT36">
        <f>SOFR3mo_PX[[#This Row],[Column800]]</f>
        <v>96.7</v>
      </c>
      <c r="ADU36">
        <f>SOFR3mo_PX[[#This Row],[Column801]]</f>
        <v>96.805000000000007</v>
      </c>
      <c r="ADV36">
        <f>SOFR3mo_PX[[#This Row],[Column802]]</f>
        <v>96.805000000000007</v>
      </c>
      <c r="ADW36">
        <f>SOFR3mo_PX[[#This Row],[Column803]]</f>
        <v>96.784999999999997</v>
      </c>
      <c r="ADX36">
        <f>SOFR3mo_PX[[#This Row],[Column804]]</f>
        <v>96.844999999999999</v>
      </c>
      <c r="ADY36">
        <f>SOFR3mo_PX[[#This Row],[Column805]]</f>
        <v>96.86</v>
      </c>
      <c r="ADZ36">
        <f>SOFR3mo_PX[[#This Row],[Column806]]</f>
        <v>96.855000000000004</v>
      </c>
      <c r="AEA36">
        <f>SOFR3mo_PX[[#This Row],[Column807]]</f>
        <v>96.915000000000006</v>
      </c>
      <c r="AEB36">
        <f>SOFR3mo_PX[[#This Row],[Column808]]</f>
        <v>96.79</v>
      </c>
      <c r="AEC36">
        <f>SOFR3mo_PX[[#This Row],[Column809]]</f>
        <v>96.75</v>
      </c>
      <c r="AED36">
        <f>SOFR3mo_PX[[#This Row],[Column810]]</f>
        <v>96.614999999999995</v>
      </c>
      <c r="AEE36">
        <f>SOFR3mo_PX[[#This Row],[Column811]]</f>
        <v>96.69</v>
      </c>
      <c r="AEF36">
        <f>SOFR3mo_PX[[#This Row],[Column812]]</f>
        <v>96.644999999999996</v>
      </c>
      <c r="AEG36">
        <f>SOFR3mo_PX[[#This Row],[Column813]]</f>
        <v>96.76</v>
      </c>
      <c r="AEH36">
        <f>SOFR3mo_PX[[#This Row],[Column814]]</f>
        <v>96.67</v>
      </c>
      <c r="AEI36">
        <f>SOFR3mo_PX[[#This Row],[Column815]]</f>
        <v>96.545000000000002</v>
      </c>
      <c r="AEJ36">
        <f>SOFR3mo_PX[[#This Row],[Column816]]</f>
        <v>96.45</v>
      </c>
      <c r="AEK36">
        <f>SOFR3mo_PX[[#This Row],[Column817]]</f>
        <v>96.44</v>
      </c>
      <c r="AEL36">
        <f>SOFR3mo_PX[[#This Row],[Column818]]</f>
        <v>96.57</v>
      </c>
      <c r="AEM36">
        <f>SOFR3mo_PX[[#This Row],[Column819]]</f>
        <v>96.78</v>
      </c>
      <c r="AEN36">
        <f>SOFR3mo_PX[[#This Row],[Column820]]</f>
        <v>96.81</v>
      </c>
      <c r="AEO36">
        <f>SOFR3mo_PX[[#This Row],[Column821]]</f>
        <v>96.745000000000005</v>
      </c>
      <c r="AEP36">
        <f>SOFR3mo_PX[[#This Row],[Column822]]</f>
        <v>96.89</v>
      </c>
      <c r="AEQ36">
        <f>SOFR3mo_PX[[#This Row],[Column823]]</f>
        <v>96.89</v>
      </c>
      <c r="AER36">
        <f>SOFR3mo_PX[[#This Row],[Column824]]</f>
        <v>96.954999999999998</v>
      </c>
      <c r="AES36">
        <f>SOFR3mo_PX[[#This Row],[Column825]]</f>
        <v>97.03</v>
      </c>
      <c r="AET36">
        <f>SOFR3mo_PX[[#This Row],[Column826]]</f>
        <v>97.01</v>
      </c>
      <c r="AEU36">
        <f>SOFR3mo_PX[[#This Row],[Column827]]</f>
        <v>96.924999999999997</v>
      </c>
      <c r="AEV36">
        <f>SOFR3mo_PX[[#This Row],[Column828]]</f>
        <v>96.89</v>
      </c>
      <c r="AEW36">
        <f>SOFR3mo_PX[[#This Row],[Column829]]</f>
        <v>96.944999999999993</v>
      </c>
      <c r="AEX36">
        <f>SOFR3mo_PX[[#This Row],[Column830]]</f>
        <v>96.855000000000004</v>
      </c>
      <c r="AEY36">
        <f>SOFR3mo_PX[[#This Row],[Column831]]</f>
        <v>96.89</v>
      </c>
      <c r="AEZ36">
        <f>SOFR3mo_PX[[#This Row],[Column832]]</f>
        <v>97.01</v>
      </c>
      <c r="AFA36">
        <f>SOFR3mo_PX[[#This Row],[Column833]]</f>
        <v>97.01</v>
      </c>
      <c r="AFB36">
        <f>SOFR3mo_PX[[#This Row],[Column834]]</f>
        <v>97.144999999999996</v>
      </c>
      <c r="AFC36">
        <f>SOFR3mo_PX[[#This Row],[Column835]]</f>
        <v>97.09</v>
      </c>
      <c r="AFD36">
        <f>SOFR3mo_PX[[#This Row],[Column836]]</f>
        <v>97.12</v>
      </c>
      <c r="AFE36">
        <f>SOFR3mo_PX[[#This Row],[Column837]]</f>
        <v>97.245000000000005</v>
      </c>
      <c r="AFF36">
        <f>SOFR3mo_PX[[#This Row],[Column838]]</f>
        <v>97.355000000000004</v>
      </c>
      <c r="AFG36">
        <f>SOFR3mo_PX[[#This Row],[Column839]]</f>
        <v>97.51</v>
      </c>
      <c r="AFH36">
        <f>SOFR3mo_PX[[#This Row],[Column840]]</f>
        <v>97.635000000000005</v>
      </c>
      <c r="AFI36">
        <f>SOFR3mo_PX[[#This Row],[Column841]]</f>
        <v>97.734999999999999</v>
      </c>
      <c r="AFJ36">
        <f>SOFR3mo_PX[[#This Row],[Column842]]</f>
        <v>97.754999999999995</v>
      </c>
      <c r="AFK36">
        <f>SOFR3mo_PX[[#This Row],[Column843]]</f>
        <v>97.814999999999998</v>
      </c>
      <c r="AFL36">
        <f>SOFR3mo_PX[[#This Row],[Column844]]</f>
        <v>97.78</v>
      </c>
      <c r="AFM36">
        <f>SOFR3mo_PX[[#This Row],[Column845]]</f>
        <v>97.74</v>
      </c>
      <c r="AFN36">
        <f>SOFR3mo_PX[[#This Row],[Column846]]</f>
        <v>97.674999999999997</v>
      </c>
      <c r="AFO36">
        <f>SOFR3mo_PX[[#This Row],[Column847]]</f>
        <v>97.665000000000006</v>
      </c>
      <c r="AFP36">
        <f>SOFR3mo_PX[[#This Row],[Column848]]</f>
        <v>97.8</v>
      </c>
      <c r="AFQ36">
        <f>SOFR3mo_PX[[#This Row],[Column849]]</f>
        <v>97.844999999999999</v>
      </c>
      <c r="AFR36">
        <f>SOFR3mo_PX[[#This Row],[Column850]]</f>
        <v>97.79</v>
      </c>
      <c r="AFS36">
        <f>SOFR3mo_PX[[#This Row],[Column851]]</f>
        <v>97.855000000000004</v>
      </c>
      <c r="AFT36">
        <f>SOFR3mo_PX[[#This Row],[Column852]]</f>
        <v>97.995000000000005</v>
      </c>
      <c r="AFU36">
        <f>SOFR3mo_PX[[#This Row],[Column853]]</f>
        <v>97.92</v>
      </c>
      <c r="AFV36">
        <f>SOFR3mo_PX[[#This Row],[Column854]]</f>
        <v>97.9</v>
      </c>
      <c r="AFW36">
        <f>SOFR3mo_PX[[#This Row],[Column855]]</f>
        <v>97.894999999999996</v>
      </c>
      <c r="AFX36">
        <f>SOFR3mo_PX[[#This Row],[Column856]]</f>
        <v>97.92</v>
      </c>
      <c r="AFY36">
        <f>SOFR3mo_PX[[#This Row],[Column857]]</f>
        <v>98.08</v>
      </c>
      <c r="AFZ36">
        <f>SOFR3mo_PX[[#This Row],[Column858]]</f>
        <v>98.09</v>
      </c>
      <c r="AGA36">
        <f>SOFR3mo_PX[[#This Row],[Column859]]</f>
        <v>98.165000000000006</v>
      </c>
      <c r="AGB36">
        <f>SOFR3mo_PX[[#This Row],[Column860]]</f>
        <v>98.26</v>
      </c>
      <c r="AGC36">
        <f>SOFR3mo_PX[[#This Row],[Column861]]</f>
        <v>98.375</v>
      </c>
      <c r="AGD36">
        <f>SOFR3mo_PX[[#This Row],[Column862]]</f>
        <v>98.35</v>
      </c>
      <c r="AGE36">
        <f>SOFR3mo_PX[[#This Row],[Column863]]</f>
        <v>98.215000000000003</v>
      </c>
      <c r="AGF36">
        <f>SOFR3mo_PX[[#This Row],[Column864]]</f>
        <v>98.17</v>
      </c>
      <c r="AGG36">
        <f>SOFR3mo_PX[[#This Row],[Column865]]</f>
        <v>98.314999999999998</v>
      </c>
      <c r="AGH36">
        <f>SOFR3mo_PX[[#This Row],[Column866]]</f>
        <v>98.204999999999998</v>
      </c>
      <c r="AGI36">
        <f>SOFR3mo_PX[[#This Row],[Column867]]</f>
        <v>98.064999999999998</v>
      </c>
      <c r="AGJ36">
        <f>SOFR3mo_PX[[#This Row],[Column868]]</f>
        <v>98.075000000000003</v>
      </c>
      <c r="AGK36">
        <f>SOFR3mo_PX[[#This Row],[Column869]]</f>
        <v>98.1</v>
      </c>
      <c r="AGL36">
        <f>SOFR3mo_PX[[#This Row],[Column870]]</f>
        <v>98.14</v>
      </c>
      <c r="AGM36">
        <f>SOFR3mo_PX[[#This Row],[Column871]]</f>
        <v>98.13</v>
      </c>
      <c r="AGN36">
        <f>SOFR3mo_PX[[#This Row],[Column872]]</f>
        <v>98.13</v>
      </c>
      <c r="AGO36">
        <f>SOFR3mo_PX[[#This Row],[Column873]]</f>
        <v>98.084999999999994</v>
      </c>
      <c r="AGP36">
        <f>SOFR3mo_PX[[#This Row],[Column874]]</f>
        <v>97.995000000000005</v>
      </c>
      <c r="AGQ36">
        <f>SOFR3mo_PX[[#This Row],[Column875]]</f>
        <v>98.004999999999995</v>
      </c>
      <c r="AGR36">
        <f>SOFR3mo_PX[[#This Row],[Column876]]</f>
        <v>98.09</v>
      </c>
      <c r="AGS36">
        <f>SOFR3mo_PX[[#This Row],[Column877]]</f>
        <v>98.135000000000005</v>
      </c>
      <c r="AGT36">
        <f>SOFR3mo_PX[[#This Row],[Column878]]</f>
        <v>98.025000000000006</v>
      </c>
      <c r="AGU36">
        <f>SOFR3mo_PX[[#This Row],[Column879]]</f>
        <v>98.094999999999999</v>
      </c>
      <c r="AGV36">
        <f>SOFR3mo_PX[[#This Row],[Column880]]</f>
        <v>98.055000000000007</v>
      </c>
      <c r="AGW36">
        <f>SOFR3mo_PX[[#This Row],[Column881]]</f>
        <v>98.094999999999999</v>
      </c>
      <c r="AGX36">
        <f>SOFR3mo_PX[[#This Row],[Column882]]</f>
        <v>98.08</v>
      </c>
      <c r="AGY36">
        <f>SOFR3mo_PX[[#This Row],[Column883]]</f>
        <v>98.194999999999993</v>
      </c>
      <c r="AGZ36">
        <f>SOFR3mo_PX[[#This Row],[Column884]]</f>
        <v>98.23</v>
      </c>
      <c r="AHA36">
        <f>SOFR3mo_PX[[#This Row],[Column885]]</f>
        <v>98.194999999999993</v>
      </c>
      <c r="AHB36">
        <f>SOFR3mo_PX[[#This Row],[Column886]]</f>
        <v>98.204999999999998</v>
      </c>
      <c r="AHC36">
        <f>SOFR3mo_PX[[#This Row],[Column887]]</f>
        <v>98.215000000000003</v>
      </c>
      <c r="AHD36">
        <f>SOFR3mo_PX[[#This Row],[Column888]]</f>
        <v>98.174999999999997</v>
      </c>
      <c r="AHE36">
        <f>SOFR3mo_PX[[#This Row],[Column889]]</f>
        <v>98.07</v>
      </c>
      <c r="AHF36">
        <f>SOFR3mo_PX[[#This Row],[Column890]]</f>
        <v>98.135000000000005</v>
      </c>
      <c r="AHG36">
        <f>SOFR3mo_PX[[#This Row],[Column891]]</f>
        <v>98.2</v>
      </c>
      <c r="AHH36">
        <f>SOFR3mo_PX[[#This Row],[Column892]]</f>
        <v>98.185000000000002</v>
      </c>
      <c r="AHI36">
        <f>SOFR3mo_PX[[#This Row],[Column893]]</f>
        <v>98.114999999999995</v>
      </c>
      <c r="AHJ36">
        <f>SOFR3mo_PX[[#This Row],[Column894]]</f>
        <v>98.105000000000004</v>
      </c>
      <c r="AHK36">
        <f>SOFR3mo_PX[[#This Row],[Column895]]</f>
        <v>98.05</v>
      </c>
      <c r="AHL36">
        <f>SOFR3mo_PX[[#This Row],[Column896]]</f>
        <v>98.15</v>
      </c>
      <c r="AHM36">
        <f>SOFR3mo_PX[[#This Row],[Column897]]</f>
        <v>98.15</v>
      </c>
      <c r="AHN36">
        <f>SOFR3mo_PX[[#This Row],[Column898]]</f>
        <v>98.22</v>
      </c>
      <c r="AHO36">
        <f>SOFR3mo_PX[[#This Row],[Column899]]</f>
        <v>98.19</v>
      </c>
      <c r="AHP36">
        <f>SOFR3mo_PX[[#This Row],[Column900]]</f>
        <v>98.144999999999996</v>
      </c>
      <c r="AHQ36">
        <f>SOFR3mo_PX[[#This Row],[Column901]]</f>
        <v>98.094999999999999</v>
      </c>
      <c r="AHR36">
        <f>SOFR3mo_PX[[#This Row],[Column902]]</f>
        <v>98.08</v>
      </c>
      <c r="AHS36">
        <f>SOFR3mo_PX[[#This Row],[Column903]]</f>
        <v>98.09</v>
      </c>
      <c r="AHT36">
        <f>SOFR3mo_PX[[#This Row],[Column904]]</f>
        <v>98.114999999999995</v>
      </c>
      <c r="AHU36">
        <f>SOFR3mo_PX[[#This Row],[Column905]]</f>
        <v>98.13</v>
      </c>
      <c r="AHV36">
        <f>SOFR3mo_PX[[#This Row],[Column906]]</f>
        <v>98.19</v>
      </c>
      <c r="AHW36">
        <f>SOFR3mo_PX[[#This Row],[Column907]]</f>
        <v>98.36</v>
      </c>
      <c r="AHX36">
        <f>SOFR3mo_PX[[#This Row],[Column908]]</f>
        <v>98.344999999999999</v>
      </c>
      <c r="AHY36">
        <f>SOFR3mo_PX[[#This Row],[Column909]]</f>
        <v>98.334999999999994</v>
      </c>
      <c r="AHZ36">
        <f>SOFR3mo_PX[[#This Row],[Column910]]</f>
        <v>98.43</v>
      </c>
      <c r="AIA36">
        <f>SOFR3mo_PX[[#This Row],[Column911]]</f>
        <v>98.4</v>
      </c>
      <c r="AIB36">
        <f>SOFR3mo_PX[[#This Row],[Column912]]</f>
        <v>98.364999999999995</v>
      </c>
      <c r="AIC36">
        <f>SOFR3mo_PX[[#This Row],[Column913]]</f>
        <v>98.364999999999995</v>
      </c>
      <c r="AID36">
        <f>SOFR3mo_PX[[#This Row],[Column914]]</f>
        <v>98.39</v>
      </c>
      <c r="AIE36">
        <f>SOFR3mo_PX[[#This Row],[Column915]]</f>
        <v>98.35</v>
      </c>
      <c r="AIF36">
        <f>SOFR3mo_PX[[#This Row],[Column916]]</f>
        <v>98.444999999999993</v>
      </c>
      <c r="AIG36">
        <f>SOFR3mo_PX[[#This Row],[Column917]]</f>
        <v>98.53</v>
      </c>
      <c r="AIH36">
        <f>SOFR3mo_PX[[#This Row],[Column918]]</f>
        <v>98.49</v>
      </c>
      <c r="AII36">
        <f>SOFR3mo_PX[[#This Row],[Column919]]</f>
        <v>98.47</v>
      </c>
      <c r="AIJ36">
        <f>SOFR3mo_PX[[#This Row],[Column920]]</f>
        <v>98.424999999999997</v>
      </c>
      <c r="AIK36">
        <f>SOFR3mo_PX[[#This Row],[Column921]]</f>
        <v>98.42</v>
      </c>
      <c r="AIL36">
        <f>SOFR3mo_PX[[#This Row],[Column922]]</f>
        <v>98.355000000000004</v>
      </c>
      <c r="AIM36">
        <f>SOFR3mo_PX[[#This Row],[Column923]]</f>
        <v>98.38</v>
      </c>
      <c r="AIN36">
        <f>SOFR3mo_PX[[#This Row],[Column924]]</f>
        <v>98.32</v>
      </c>
      <c r="AIO36">
        <f>SOFR3mo_PX[[#This Row],[Column925]]</f>
        <v>98.34</v>
      </c>
      <c r="AIP36">
        <f>SOFR3mo_PX[[#This Row],[Column926]]</f>
        <v>98.355000000000004</v>
      </c>
      <c r="AIQ36">
        <f>SOFR3mo_PX[[#This Row],[Column927]]</f>
        <v>98.495000000000005</v>
      </c>
      <c r="AIR36">
        <f>SOFR3mo_PX[[#This Row],[Column928]]</f>
        <v>98.334999999999994</v>
      </c>
      <c r="AIS36">
        <f>SOFR3mo_PX[[#This Row],[Column929]]</f>
        <v>98.295000000000002</v>
      </c>
      <c r="AIT36">
        <f>SOFR3mo_PX[[#This Row],[Column930]]</f>
        <v>98.25</v>
      </c>
      <c r="AIU36">
        <f>SOFR3mo_PX[[#This Row],[Column931]]</f>
        <v>98.135000000000005</v>
      </c>
      <c r="AIV36">
        <f>SOFR3mo_PX[[#This Row],[Column932]]</f>
        <v>98.29</v>
      </c>
      <c r="AIW36">
        <f>SOFR3mo_PX[[#This Row],[Column933]]</f>
        <v>98.114999999999995</v>
      </c>
      <c r="AIX36">
        <f>SOFR3mo_PX[[#This Row],[Column934]]</f>
        <v>98.114999999999995</v>
      </c>
      <c r="AIY36">
        <f>SOFR3mo_PX[[#This Row],[Column935]]</f>
        <v>98.075000000000003</v>
      </c>
      <c r="AIZ36">
        <f>SOFR3mo_PX[[#This Row],[Column936]]</f>
        <v>98.144999999999996</v>
      </c>
      <c r="AJA36">
        <f>SOFR3mo_PX[[#This Row],[Column937]]</f>
        <v>98.25</v>
      </c>
      <c r="AJB36">
        <f>SOFR3mo_PX[[#This Row],[Column938]]</f>
        <v>98.185000000000002</v>
      </c>
      <c r="AJC36">
        <f>SOFR3mo_PX[[#This Row],[Column939]]</f>
        <v>98.16</v>
      </c>
      <c r="AJD36">
        <f>SOFR3mo_PX[[#This Row],[Column940]]</f>
        <v>98.135000000000005</v>
      </c>
      <c r="AJE36">
        <f>SOFR3mo_PX[[#This Row],[Column941]]</f>
        <v>98.174999999999997</v>
      </c>
      <c r="AJF36">
        <f>SOFR3mo_PX[[#This Row],[Column942]]</f>
        <v>98.17</v>
      </c>
      <c r="AJG36">
        <f>SOFR3mo_PX[[#This Row],[Column943]]</f>
        <v>98.185000000000002</v>
      </c>
      <c r="AJH36">
        <f>SOFR3mo_PX[[#This Row],[Column944]]</f>
        <v>98.19</v>
      </c>
      <c r="AJI36">
        <f>SOFR3mo_PX[[#This Row],[Column945]]</f>
        <v>98.215000000000003</v>
      </c>
      <c r="AJJ36">
        <f>SOFR3mo_PX[[#This Row],[Column946]]</f>
        <v>98.114999999999995</v>
      </c>
      <c r="AJK36">
        <f>SOFR3mo_PX[[#This Row],[Column947]]</f>
        <v>98.14</v>
      </c>
      <c r="AJL36">
        <f>SOFR3mo_PX[[#This Row],[Column948]]</f>
        <v>98.045000000000002</v>
      </c>
      <c r="AJM36">
        <f>SOFR3mo_PX[[#This Row],[Column949]]</f>
        <v>98.015000000000001</v>
      </c>
      <c r="AJN36">
        <f>SOFR3mo_PX[[#This Row],[Column950]]</f>
        <v>98.034999999999997</v>
      </c>
      <c r="AJO36">
        <f>SOFR3mo_PX[[#This Row],[Column951]]</f>
        <v>98.07</v>
      </c>
      <c r="AJP36">
        <f>SOFR3mo_PX[[#This Row],[Column952]]</f>
        <v>98.11</v>
      </c>
      <c r="AJQ36">
        <f>SOFR3mo_PX[[#This Row],[Column953]]</f>
        <v>98.08</v>
      </c>
      <c r="AJR36">
        <f>SOFR3mo_PX[[#This Row],[Column954]]</f>
        <v>98.105000000000004</v>
      </c>
      <c r="AJS36">
        <f>SOFR3mo_PX[[#This Row],[Column955]]</f>
        <v>97.91</v>
      </c>
      <c r="AJT36">
        <f>SOFR3mo_PX[[#This Row],[Column956]]</f>
        <v>97.9</v>
      </c>
      <c r="AJU36">
        <f>SOFR3mo_PX[[#This Row],[Column957]]</f>
        <v>97.855000000000004</v>
      </c>
      <c r="AJV36">
        <f>SOFR3mo_PX[[#This Row],[Column958]]</f>
        <v>97.8</v>
      </c>
      <c r="AJW36">
        <f>SOFR3mo_PX[[#This Row],[Column959]]</f>
        <v>97.834999999999994</v>
      </c>
      <c r="AJX36">
        <f>SOFR3mo_PX[[#This Row],[Column960]]</f>
        <v>97.87</v>
      </c>
      <c r="AJY36">
        <f>SOFR3mo_PX[[#This Row],[Column961]]</f>
        <v>97.984999999999999</v>
      </c>
      <c r="AJZ36">
        <f>SOFR3mo_PX[[#This Row],[Column962]]</f>
        <v>97.95</v>
      </c>
      <c r="AKA36">
        <f>SOFR3mo_PX[[#This Row],[Column963]]</f>
        <v>98.004999999999995</v>
      </c>
      <c r="AKB36">
        <f>SOFR3mo_PX[[#This Row],[Column964]]</f>
        <v>97.965000000000003</v>
      </c>
      <c r="AKC36">
        <f>SOFR3mo_PX[[#This Row],[Column965]]</f>
        <v>97.825000000000003</v>
      </c>
      <c r="AKD36">
        <f>SOFR3mo_PX[[#This Row],[Column966]]</f>
        <v>97.73</v>
      </c>
      <c r="AKE36">
        <f>SOFR3mo_PX[[#This Row],[Column967]]</f>
        <v>97.724999999999994</v>
      </c>
      <c r="AKF36">
        <f>SOFR3mo_PX[[#This Row],[Column968]]</f>
        <v>97.775000000000006</v>
      </c>
      <c r="AKG36">
        <f>SOFR3mo_PX[[#This Row],[Column969]]</f>
        <v>97.84</v>
      </c>
      <c r="AKH36">
        <f>SOFR3mo_PX[[#This Row],[Column970]]</f>
        <v>97.82</v>
      </c>
      <c r="AKI36">
        <f>SOFR3mo_PX[[#This Row],[Column971]]</f>
        <v>97.87</v>
      </c>
      <c r="AKJ36">
        <f>SOFR3mo_PX[[#This Row],[Column972]]</f>
        <v>97.844999999999999</v>
      </c>
      <c r="AKK36">
        <f>SOFR3mo_PX[[#This Row],[Column973]]</f>
        <v>97.805000000000007</v>
      </c>
      <c r="AKL36">
        <f>SOFR3mo_PX[[#This Row],[Column974]]</f>
        <v>97.795000000000002</v>
      </c>
      <c r="AKM36">
        <f>SOFR3mo_PX[[#This Row],[Column975]]</f>
        <v>97.844999999999999</v>
      </c>
      <c r="AKN36">
        <f>SOFR3mo_PX[[#This Row],[Column976]]</f>
        <v>97.95</v>
      </c>
      <c r="AKO36">
        <f>SOFR3mo_PX[[#This Row],[Column977]]</f>
        <v>98</v>
      </c>
      <c r="AKP36">
        <f>SOFR3mo_PX[[#This Row],[Column978]]</f>
        <v>98.08</v>
      </c>
      <c r="AKQ36">
        <f>SOFR3mo_PX[[#This Row],[Column979]]</f>
        <v>98.174999999999997</v>
      </c>
      <c r="AKR36">
        <f>SOFR3mo_PX[[#This Row],[Column980]]</f>
        <v>98.08</v>
      </c>
      <c r="AKS36">
        <f>SOFR3mo_PX[[#This Row],[Column981]]</f>
        <v>98.09</v>
      </c>
      <c r="AKT36">
        <f>SOFR3mo_PX[[#This Row],[Column982]]</f>
        <v>98.015000000000001</v>
      </c>
      <c r="AKU36">
        <f>SOFR3mo_PX[[#This Row],[Column983]]</f>
        <v>98.084999999999994</v>
      </c>
      <c r="AKV36">
        <f>SOFR3mo_PX[[#This Row],[Column984]]</f>
        <v>98.125</v>
      </c>
      <c r="AKW36">
        <f>SOFR3mo_PX[[#This Row],[Column985]]</f>
        <v>98.185000000000002</v>
      </c>
      <c r="AKX36">
        <f>SOFR3mo_PX[[#This Row],[Column986]]</f>
        <v>98.105000000000004</v>
      </c>
      <c r="AKY36">
        <f>SOFR3mo_PX[[#This Row],[Column987]]</f>
        <v>98.075000000000003</v>
      </c>
      <c r="AKZ36">
        <f>SOFR3mo_PX[[#This Row],[Column988]]</f>
        <v>98.155000000000001</v>
      </c>
      <c r="ALA36">
        <f>SOFR3mo_PX[[#This Row],[Column989]]</f>
        <v>98.114999999999995</v>
      </c>
      <c r="ALB36">
        <f>SOFR3mo_PX[[#This Row],[Column990]]</f>
        <v>98.064999999999998</v>
      </c>
      <c r="ALC36">
        <f>SOFR3mo_PX[[#This Row],[Column991]]</f>
        <v>98.114999999999995</v>
      </c>
      <c r="ALD36">
        <f>SOFR3mo_PX[[#This Row],[Column992]]</f>
        <v>98.114999999999995</v>
      </c>
      <c r="ALE36">
        <f>SOFR3mo_PX[[#This Row],[Column993]]</f>
        <v>98.174999999999997</v>
      </c>
      <c r="ALF36">
        <f>SOFR3mo_PX[[#This Row],[Column994]]</f>
        <v>98.165000000000006</v>
      </c>
      <c r="ALG36">
        <f>SOFR3mo_PX[[#This Row],[Column995]]</f>
        <v>98.15</v>
      </c>
      <c r="ALH36">
        <f>SOFR3mo_PX[[#This Row],[Column996]]</f>
        <v>98.194999999999993</v>
      </c>
      <c r="ALI36">
        <f>SOFR3mo_PX[[#This Row],[Column997]]</f>
        <v>98.21</v>
      </c>
      <c r="ALJ36">
        <f>SOFR3mo_PX[[#This Row],[Column998]]</f>
        <v>98.185000000000002</v>
      </c>
      <c r="ALK36">
        <f>SOFR3mo_PX[[#This Row],[Column999]]</f>
        <v>98.194999999999993</v>
      </c>
      <c r="ALL36">
        <f>SOFR3mo_PX[[#This Row],[Column1000]]</f>
        <v>98.27</v>
      </c>
      <c r="ALM36">
        <f>SOFR3mo_PX[[#This Row],[Column1001]]</f>
        <v>98.325000000000003</v>
      </c>
      <c r="ALN36">
        <f>SOFR3mo_PX[[#This Row],[Column1002]]</f>
        <v>98.314999999999998</v>
      </c>
      <c r="ALO36">
        <f>SOFR3mo_PX[[#This Row],[Column1003]]</f>
        <v>98.34</v>
      </c>
      <c r="ALP36">
        <f>SOFR3mo_PX[[#This Row],[Column1004]]</f>
        <v>98.29</v>
      </c>
      <c r="ALQ36">
        <f>SOFR3mo_PX[[#This Row],[Column1005]]</f>
        <v>98.33</v>
      </c>
      <c r="ALR36">
        <f>SOFR3mo_PX[[#This Row],[Column1006]]</f>
        <v>98.334999999999994</v>
      </c>
      <c r="ALS36">
        <f>SOFR3mo_PX[[#This Row],[Column1007]]</f>
        <v>98.284999999999997</v>
      </c>
      <c r="ALT36">
        <f>SOFR3mo_PX[[#This Row],[Column1008]]</f>
        <v>98.19</v>
      </c>
      <c r="ALU36">
        <f>SOFR3mo_PX[[#This Row],[Column1009]]</f>
        <v>98.21</v>
      </c>
      <c r="ALV36">
        <f>SOFR3mo_PX[[#This Row],[Column1010]]</f>
        <v>98.234999999999999</v>
      </c>
      <c r="ALW36">
        <f>SOFR3mo_PX[[#This Row],[Column1011]]</f>
        <v>98.245000000000005</v>
      </c>
      <c r="ALX36">
        <f>SOFR3mo_PX[[#This Row],[Column1012]]</f>
        <v>98.28</v>
      </c>
      <c r="ALY36">
        <f>SOFR3mo_PX[[#This Row],[Column1013]]</f>
        <v>98.375</v>
      </c>
      <c r="ALZ36">
        <f>SOFR3mo_PX[[#This Row],[Column1014]]</f>
        <v>98.37</v>
      </c>
      <c r="AMA36">
        <f>SOFR3mo_PX[[#This Row],[Column1015]]</f>
        <v>98.364999999999995</v>
      </c>
      <c r="AMB36">
        <f>SOFR3mo_PX[[#This Row],[Column1016]]</f>
        <v>98.37</v>
      </c>
      <c r="AMC36">
        <f>SOFR3mo_PX[[#This Row],[Column1017]]</f>
        <v>98.275000000000006</v>
      </c>
      <c r="AMD36">
        <f>SOFR3mo_PX[[#This Row],[Column1018]]</f>
        <v>98.254999999999995</v>
      </c>
      <c r="AME36">
        <f>SOFR3mo_PX[[#This Row],[Column1019]]</f>
        <v>98.28</v>
      </c>
      <c r="AMF36">
        <f>SOFR3mo_PX[[#This Row],[Column1020]]</f>
        <v>98.3</v>
      </c>
      <c r="AMG36">
        <f>SOFR3mo_PX[[#This Row],[Column1021]]</f>
        <v>98.265000000000001</v>
      </c>
      <c r="AMH36">
        <f>SOFR3mo_PX[[#This Row],[Column1022]]</f>
        <v>98.245000000000005</v>
      </c>
      <c r="AMI36">
        <f>SOFR3mo_PX[[#This Row],[Column1023]]</f>
        <v>98.27</v>
      </c>
      <c r="AMJ36">
        <f>SOFR3mo_PX[[#This Row],[Column1024]]</f>
        <v>98.265000000000001</v>
      </c>
      <c r="AMK36">
        <f>SOFR3mo_PX[[#This Row],[Column1025]]</f>
        <v>98.38</v>
      </c>
      <c r="AML36">
        <f>SOFR3mo_PX[[#This Row],[Column1026]]</f>
        <v>98.474999999999994</v>
      </c>
      <c r="AMM36">
        <f>SOFR3mo_PX[[#This Row],[Column1027]]</f>
        <v>98.295000000000002</v>
      </c>
      <c r="AMN36">
        <f>SOFR3mo_PX[[#This Row],[Column1028]]</f>
        <v>98.27</v>
      </c>
      <c r="AMO36">
        <f>SOFR3mo_PX[[#This Row],[Column1029]]</f>
        <v>98.165000000000006</v>
      </c>
      <c r="AMP36">
        <f>SOFR3mo_PX[[#This Row],[Column1030]]</f>
        <v>98.075000000000003</v>
      </c>
      <c r="AMQ36">
        <f>SOFR3mo_PX[[#This Row],[Column1031]]</f>
        <v>98.14</v>
      </c>
      <c r="AMR36">
        <f>SOFR3mo_PX[[#This Row],[Column1032]]</f>
        <v>98.135000000000005</v>
      </c>
      <c r="AMS36">
        <f>SOFR3mo_PX[[#This Row],[Column1033]]</f>
        <v>98.23</v>
      </c>
      <c r="AMT36">
        <f>SOFR3mo_PX[[#This Row],[Column1034]]</f>
        <v>98.215000000000003</v>
      </c>
      <c r="AMU36">
        <f>SOFR3mo_PX[[#This Row],[Column1035]]</f>
        <v>98.16</v>
      </c>
      <c r="AMV36">
        <f>SOFR3mo_PX[[#This Row],[Column1036]]</f>
        <v>98.075000000000003</v>
      </c>
      <c r="AMW36">
        <f>SOFR3mo_PX[[#This Row],[Column1037]]</f>
        <v>98.075000000000003</v>
      </c>
      <c r="AMX36">
        <f>SOFR3mo_PX[[#This Row],[Column1038]]</f>
        <v>98.01</v>
      </c>
      <c r="AMY36">
        <f>SOFR3mo_PX[[#This Row],[Column1039]]</f>
        <v>98.045000000000002</v>
      </c>
      <c r="AMZ36">
        <f>SOFR3mo_PX[[#This Row],[Column1040]]</f>
        <v>97.954999999999998</v>
      </c>
      <c r="ANA36">
        <f>SOFR3mo_PX[[#This Row],[Column1041]]</f>
        <v>97.944999999999993</v>
      </c>
      <c r="ANB36">
        <f>SOFR3mo_PX[[#This Row],[Column1042]]</f>
        <v>97.86</v>
      </c>
      <c r="ANC36">
        <f>SOFR3mo_PX[[#This Row],[Column1043]]</f>
        <v>97.91</v>
      </c>
      <c r="AND36">
        <f>SOFR3mo_PX[[#This Row],[Column1044]]</f>
        <v>97.9</v>
      </c>
      <c r="ANE36">
        <f>SOFR3mo_PX[[#This Row],[Column1045]]</f>
        <v>97.935000000000002</v>
      </c>
      <c r="ANF36">
        <f>SOFR3mo_PX[[#This Row],[Column1046]]</f>
        <v>97.93</v>
      </c>
      <c r="ANG36">
        <f>SOFR3mo_PX[[#This Row],[Column1047]]</f>
        <v>97.99</v>
      </c>
      <c r="ANH36">
        <f>SOFR3mo_PX[[#This Row],[Column1048]]</f>
        <v>97.875</v>
      </c>
      <c r="ANI36">
        <f>SOFR3mo_PX[[#This Row],[Column1049]]</f>
        <v>97.734999999999999</v>
      </c>
      <c r="ANJ36">
        <f>SOFR3mo_PX[[#This Row],[Column1050]]</f>
        <v>97.775000000000006</v>
      </c>
      <c r="ANK36">
        <f>SOFR3mo_PX[[#This Row],[Column1051]]</f>
        <v>97.76</v>
      </c>
      <c r="ANL36">
        <f>SOFR3mo_PX[[#This Row],[Column1052]]</f>
        <v>97.694999999999993</v>
      </c>
      <c r="ANM36">
        <f>SOFR3mo_PX[[#This Row],[Column1053]]</f>
        <v>97.715000000000003</v>
      </c>
      <c r="ANN36">
        <f>SOFR3mo_PX[[#This Row],[Column1054]]</f>
        <v>97.68</v>
      </c>
      <c r="ANO36">
        <f>SOFR3mo_PX[[#This Row],[Column1055]]</f>
        <v>97.63</v>
      </c>
      <c r="ANP36">
        <f>SOFR3mo_PX[[#This Row],[Column1056]]</f>
        <v>97.584999999999994</v>
      </c>
      <c r="ANQ36">
        <f>SOFR3mo_PX[[#This Row],[Column1057]]</f>
        <v>97.575000000000003</v>
      </c>
      <c r="ANR36">
        <f>SOFR3mo_PX[[#This Row],[Column1058]]</f>
        <v>97.48</v>
      </c>
      <c r="ANS36">
        <f>SOFR3mo_PX[[#This Row],[Column1059]]</f>
        <v>97.53</v>
      </c>
      <c r="ANT36">
        <f>SOFR3mo_PX[[#This Row],[Column1060]]</f>
        <v>97.495000000000005</v>
      </c>
      <c r="ANU36">
        <f>SOFR3mo_PX[[#This Row],[Column1061]]</f>
        <v>97.54</v>
      </c>
      <c r="ANV36">
        <f>SOFR3mo_PX[[#This Row],[Column1062]]</f>
        <v>97.54</v>
      </c>
      <c r="ANW36">
        <f>SOFR3mo_PX[[#This Row],[Column1063]]</f>
        <v>97.555000000000007</v>
      </c>
      <c r="ANX36">
        <f>SOFR3mo_PX[[#This Row],[Column1064]]</f>
        <v>97.605000000000004</v>
      </c>
      <c r="ANY36">
        <f>SOFR3mo_PX[[#This Row],[Column1065]]</f>
        <v>97.625</v>
      </c>
      <c r="ANZ36">
        <f>SOFR3mo_PX[[#This Row],[Column1066]]</f>
        <v>97.575000000000003</v>
      </c>
      <c r="AOA36">
        <f>SOFR3mo_PX[[#This Row],[Column1067]]</f>
        <v>97.534999999999997</v>
      </c>
      <c r="AOB36">
        <f>SOFR3mo_PX[[#This Row],[Column1068]]</f>
        <v>97.54</v>
      </c>
      <c r="AOC36">
        <f>SOFR3mo_PX[[#This Row],[Column1069]]</f>
        <v>97.48</v>
      </c>
      <c r="AOD36">
        <f>SOFR3mo_PX[[#This Row],[Column1070]]</f>
        <v>97.52</v>
      </c>
      <c r="AOE36">
        <f>SOFR3mo_PX[[#This Row],[Column1071]]</f>
        <v>97.525000000000006</v>
      </c>
      <c r="AOF36">
        <f>SOFR3mo_PX[[#This Row],[Column1072]]</f>
        <v>97.534999999999997</v>
      </c>
      <c r="AOG36">
        <f>SOFR3mo_PX[[#This Row],[Column1073]]</f>
        <v>97.49</v>
      </c>
      <c r="AOH36">
        <f>SOFR3mo_PX[[#This Row],[Column1074]]</f>
        <v>97.435000000000002</v>
      </c>
      <c r="AOI36">
        <f>SOFR3mo_PX[[#This Row],[Column1075]]</f>
        <v>97.534999999999997</v>
      </c>
      <c r="AOJ36">
        <f>SOFR3mo_PX[[#This Row],[Column1076]]</f>
        <v>97.56</v>
      </c>
      <c r="AOK36">
        <f>SOFR3mo_PX[[#This Row],[Column1077]]</f>
        <v>97.594999999999999</v>
      </c>
      <c r="AOL36">
        <f>SOFR3mo_PX[[#This Row],[Column1078]]</f>
        <v>97.61</v>
      </c>
      <c r="AOM36">
        <f>SOFR3mo_PX[[#This Row],[Column1079]]</f>
        <v>97.584999999999994</v>
      </c>
      <c r="AON36">
        <f>SOFR3mo_PX[[#This Row],[Column1080]]</f>
        <v>97.56</v>
      </c>
      <c r="AOO36">
        <f>SOFR3mo_PX[[#This Row],[Column1081]]</f>
        <v>97.534999999999997</v>
      </c>
      <c r="AOP36">
        <f>SOFR3mo_PX[[#This Row],[Column1082]]</f>
        <v>97.5</v>
      </c>
      <c r="AOQ36">
        <f>SOFR3mo_PX[[#This Row],[Column1083]]</f>
        <v>97.5</v>
      </c>
      <c r="AOR36">
        <f>SOFR3mo_PX[[#This Row],[Column1084]]</f>
        <v>97.525000000000006</v>
      </c>
      <c r="AOS36">
        <f>SOFR3mo_PX[[#This Row],[Column1085]]</f>
        <v>97.534999999999997</v>
      </c>
      <c r="AOT36">
        <f>SOFR3mo_PX[[#This Row],[Column1086]]</f>
        <v>97.594999999999999</v>
      </c>
      <c r="AOU36">
        <f>SOFR3mo_PX[[#This Row],[Column1087]]</f>
        <v>97.605000000000004</v>
      </c>
      <c r="AOV36">
        <f>SOFR3mo_PX[[#This Row],[Column1088]]</f>
        <v>97.63</v>
      </c>
      <c r="AOW36">
        <f>SOFR3mo_PX[[#This Row],[Column1089]]</f>
        <v>97.63</v>
      </c>
      <c r="AOX36">
        <f>SOFR3mo_PX[[#This Row],[Column1090]]</f>
        <v>97.635000000000005</v>
      </c>
      <c r="AOY36">
        <f>SOFR3mo_PX[[#This Row],[Column1091]]</f>
        <v>97.61</v>
      </c>
      <c r="AOZ36">
        <f>SOFR3mo_PX[[#This Row],[Column1092]]</f>
        <v>97.625</v>
      </c>
      <c r="APA36">
        <f>SOFR3mo_PX[[#This Row],[Column1093]]</f>
        <v>97.665000000000006</v>
      </c>
      <c r="APB36">
        <f>SOFR3mo_PX[[#This Row],[Column1094]]</f>
        <v>97.52</v>
      </c>
      <c r="APC36">
        <f>SOFR3mo_PX[[#This Row],[Column1095]]</f>
        <v>97.51</v>
      </c>
      <c r="APD36">
        <f>SOFR3mo_PX[[#This Row],[Column1096]]</f>
        <v>97.415000000000006</v>
      </c>
      <c r="APE36">
        <f>SOFR3mo_PX[[#This Row],[Column1097]]</f>
        <v>97.424999999999997</v>
      </c>
      <c r="APF36">
        <f>SOFR3mo_PX[[#This Row],[Column1098]]</f>
        <v>97.454999999999998</v>
      </c>
      <c r="APG36">
        <f>SOFR3mo_PX[[#This Row],[Column1099]]</f>
        <v>97.415000000000006</v>
      </c>
      <c r="APH36">
        <f>SOFR3mo_PX[[#This Row],[Column1100]]</f>
        <v>97.39</v>
      </c>
      <c r="API36">
        <f>SOFR3mo_PX[[#This Row],[Column1101]]</f>
        <v>97.284999999999997</v>
      </c>
      <c r="APJ36">
        <f>SOFR3mo_PX[[#This Row],[Column1102]]</f>
        <v>97.27</v>
      </c>
      <c r="APK36">
        <f>SOFR3mo_PX[[#This Row],[Column1103]]</f>
        <v>97.334999999999994</v>
      </c>
      <c r="APL36">
        <f>SOFR3mo_PX[[#This Row],[Column1104]]</f>
        <v>97.204999999999998</v>
      </c>
      <c r="APM36">
        <f>SOFR3mo_PX[[#This Row],[Column1105]]</f>
        <v>97.24</v>
      </c>
      <c r="APN36">
        <f>SOFR3mo_PX[[#This Row],[Column1106]]</f>
        <v>97.265000000000001</v>
      </c>
      <c r="APO36">
        <f>SOFR3mo_PX[[#This Row],[Column1107]]</f>
        <v>97.344999999999999</v>
      </c>
      <c r="APP36">
        <f>SOFR3mo_PX[[#This Row],[Column1108]]</f>
        <v>97.405000000000001</v>
      </c>
      <c r="APQ36">
        <f>SOFR3mo_PX[[#This Row],[Column1109]]</f>
        <v>97.37</v>
      </c>
      <c r="APR36">
        <f>SOFR3mo_PX[[#This Row],[Column1110]]</f>
        <v>97.35</v>
      </c>
      <c r="APS36">
        <f>SOFR3mo_PX[[#This Row],[Column1111]]</f>
        <v>97.29</v>
      </c>
      <c r="APT36">
        <f>SOFR3mo_PX[[#This Row],[Column1112]]</f>
        <v>97.245000000000005</v>
      </c>
      <c r="APU36">
        <f>SOFR3mo_PX[[#This Row],[Column1113]]</f>
        <v>97.42</v>
      </c>
      <c r="APV36">
        <f>SOFR3mo_PX[[#This Row],[Column1114]]</f>
        <v>97.61</v>
      </c>
      <c r="APW36">
        <f>SOFR3mo_PX[[#This Row],[Column1115]]</f>
        <v>97.584999999999994</v>
      </c>
      <c r="APX36">
        <f>SOFR3mo_PX[[#This Row],[Column1116]]</f>
        <v>97.58</v>
      </c>
      <c r="APY36">
        <f>SOFR3mo_PX[[#This Row],[Column1117]]</f>
        <v>97.564999999999998</v>
      </c>
      <c r="APZ36">
        <f>SOFR3mo_PX[[#This Row],[Column1118]]</f>
        <v>97.635000000000005</v>
      </c>
      <c r="AQA36">
        <f>SOFR3mo_PX[[#This Row],[Column1119]]</f>
        <v>97.65</v>
      </c>
      <c r="AQB36">
        <f>SOFR3mo_PX[[#This Row],[Column1120]]</f>
        <v>97.62</v>
      </c>
      <c r="AQC36">
        <f>SOFR3mo_PX[[#This Row],[Column1121]]</f>
        <v>97.564999999999998</v>
      </c>
      <c r="AQD36">
        <f>SOFR3mo_PX[[#This Row],[Column1122]]</f>
        <v>97.63</v>
      </c>
      <c r="AQE36">
        <f>SOFR3mo_PX[[#This Row],[Column1123]]</f>
        <v>97.62</v>
      </c>
      <c r="AQF36">
        <f>SOFR3mo_PX[[#This Row],[Column1124]]</f>
        <v>97.685000000000002</v>
      </c>
      <c r="AQG36">
        <f>SOFR3mo_PX[[#This Row],[Column1125]]</f>
        <v>97.74</v>
      </c>
      <c r="AQH36">
        <f>SOFR3mo_PX[[#This Row],[Column1126]]</f>
        <v>97.7</v>
      </c>
      <c r="AQI36">
        <f>SOFR3mo_PX[[#This Row],[Column1127]]</f>
        <v>97.59</v>
      </c>
      <c r="AQJ36">
        <f>SOFR3mo_PX[[#This Row],[Column1128]]</f>
        <v>97.594999999999999</v>
      </c>
      <c r="AQK36">
        <f>SOFR3mo_PX[[#This Row],[Column1129]]</f>
        <v>97.685000000000002</v>
      </c>
      <c r="AQL36">
        <f>SOFR3mo_PX[[#This Row],[Column1130]]</f>
        <v>97.71</v>
      </c>
      <c r="AQM36">
        <f>SOFR3mo_PX[[#This Row],[Column1131]]</f>
        <v>97.7</v>
      </c>
      <c r="AQN36">
        <f>SOFR3mo_PX[[#This Row],[Column1132]]</f>
        <v>97.734999999999999</v>
      </c>
      <c r="AQO36">
        <f>SOFR3mo_PX[[#This Row],[Column1133]]</f>
        <v>97.78</v>
      </c>
      <c r="AQP36">
        <f>SOFR3mo_PX[[#This Row],[Column1134]]</f>
        <v>97.834999999999994</v>
      </c>
      <c r="AQQ36">
        <f>SOFR3mo_PX[[#This Row],[Column1135]]</f>
        <v>97.86</v>
      </c>
      <c r="AQR36">
        <f>SOFR3mo_PX[[#This Row],[Column1136]]</f>
        <v>97.98</v>
      </c>
      <c r="AQS36">
        <f>SOFR3mo_PX[[#This Row],[Column1137]]</f>
        <v>97.98</v>
      </c>
      <c r="AQT36">
        <f>SOFR3mo_PX[[#This Row],[Column1138]]</f>
        <v>98.084999999999994</v>
      </c>
      <c r="AQU36">
        <f>SOFR3mo_PX[[#This Row],[Column1139]]</f>
        <v>98.094999999999999</v>
      </c>
      <c r="AQV36">
        <f>SOFR3mo_PX[[#This Row],[Column1140]]</f>
        <v>98.08</v>
      </c>
      <c r="AQW36">
        <f>SOFR3mo_PX[[#This Row],[Column1141]]</f>
        <v>98.07</v>
      </c>
      <c r="AQX36">
        <f>SOFR3mo_PX[[#This Row],[Column1142]]</f>
        <v>98.09</v>
      </c>
      <c r="AQY36">
        <f>SOFR3mo_PX[[#This Row],[Column1143]]</f>
        <v>98.094999999999999</v>
      </c>
      <c r="AQZ36">
        <f>SOFR3mo_PX[[#This Row],[Column1144]]</f>
        <v>98.24</v>
      </c>
      <c r="ARA36">
        <f>SOFR3mo_PX[[#This Row],[Column1145]]</f>
        <v>98.254999999999995</v>
      </c>
      <c r="ARB36">
        <f>SOFR3mo_PX[[#This Row],[Column1146]]</f>
        <v>98.32</v>
      </c>
      <c r="ARC36">
        <f>SOFR3mo_PX[[#This Row],[Column1147]]</f>
        <v>98.32</v>
      </c>
      <c r="ARD36">
        <f>SOFR3mo_PX[[#This Row],[Column1148]]</f>
        <v>98.325000000000003</v>
      </c>
      <c r="ARE36">
        <f>SOFR3mo_PX[[#This Row],[Column1149]]</f>
        <v>98.32</v>
      </c>
      <c r="ARF36">
        <f>SOFR3mo_PX[[#This Row],[Column1150]]</f>
        <v>98.314999999999998</v>
      </c>
      <c r="ARG36">
        <f>SOFR3mo_PX[[#This Row],[Column1151]]</f>
        <v>98.32</v>
      </c>
      <c r="ARH36">
        <f>SOFR3mo_PX[[#This Row],[Column1152]]</f>
        <v>98.32</v>
      </c>
      <c r="ARI36">
        <f>SOFR3mo_PX[[#This Row],[Column1153]]</f>
        <v>98.314999999999998</v>
      </c>
      <c r="ARJ36">
        <f>SOFR3mo_PX[[#This Row],[Column1154]]</f>
        <v>98.33</v>
      </c>
      <c r="ARK36">
        <f>SOFR3mo_PX[[#This Row],[Column1155]]</f>
        <v>98.33</v>
      </c>
      <c r="ARL36">
        <f>SOFR3mo_PX[[#This Row],[Column1156]]</f>
        <v>98.32</v>
      </c>
      <c r="ARM36">
        <f>SOFR3mo_PX[[#This Row],[Column1157]]</f>
        <v>98.32</v>
      </c>
      <c r="ARN36">
        <f>SOFR3mo_PX[[#This Row],[Column1158]]</f>
        <v>98.314999999999998</v>
      </c>
      <c r="ARO36">
        <f>SOFR3mo_PX[[#This Row],[Column1159]]</f>
        <v>98.3</v>
      </c>
      <c r="ARP36">
        <f>SOFR3mo_PX[[#This Row],[Column1160]]</f>
        <v>98.275000000000006</v>
      </c>
      <c r="ARQ36">
        <f>SOFR3mo_PX[[#This Row],[Column1161]]</f>
        <v>98.28</v>
      </c>
      <c r="ARR36">
        <f>SOFR3mo_PX[[#This Row],[Column1162]]</f>
        <v>98.284999999999997</v>
      </c>
      <c r="ARS36">
        <f>SOFR3mo_PX[[#This Row],[Column1163]]</f>
        <v>98.325000000000003</v>
      </c>
      <c r="ART36">
        <f>SOFR3mo_PX[[#This Row],[Column1164]]</f>
        <v>98.555000000000007</v>
      </c>
      <c r="ARU36">
        <f>SOFR3mo_PX[[#This Row],[Column1165]]</f>
        <v>98.6</v>
      </c>
      <c r="ARV36">
        <f>SOFR3mo_PX[[#This Row],[Column1166]]</f>
        <v>98.61</v>
      </c>
      <c r="ARW36">
        <f>SOFR3mo_PX[[#This Row],[Column1167]]</f>
        <v>98.6</v>
      </c>
      <c r="ARX36">
        <f>SOFR3mo_PX[[#This Row],[Column1168]]</f>
        <v>98.6</v>
      </c>
      <c r="ARY36">
        <f>SOFR3mo_PX[[#This Row],[Column1169]]</f>
        <v>98.59</v>
      </c>
      <c r="ARZ36">
        <f>SOFR3mo_PX[[#This Row],[Column1170]]</f>
        <v>98.575000000000003</v>
      </c>
      <c r="ASA36">
        <f>SOFR3mo_PX[[#This Row],[Column1171]]</f>
        <v>98.57</v>
      </c>
      <c r="ASB36">
        <f>SOFR3mo_PX[[#This Row],[Column1172]]</f>
        <v>98.575000000000003</v>
      </c>
      <c r="ASC36">
        <f>SOFR3mo_PX[[#This Row],[Column1173]]</f>
        <v>98.575000000000003</v>
      </c>
      <c r="ASD36">
        <f>SOFR3mo_PX[[#This Row],[Column1174]]</f>
        <v>98.575000000000003</v>
      </c>
      <c r="ASE36">
        <f>SOFR3mo_PX[[#This Row],[Column1175]]</f>
        <v>98.58</v>
      </c>
      <c r="ASF36">
        <f>SOFR3mo_PX[[#This Row],[Column1176]]</f>
        <v>98.575000000000003</v>
      </c>
      <c r="ASG36">
        <f>SOFR3mo_PX[[#This Row],[Column1177]]</f>
        <v>98.575000000000003</v>
      </c>
      <c r="ASH36">
        <f>SOFR3mo_PX[[#This Row],[Column1178]]</f>
        <v>98.67</v>
      </c>
      <c r="ASI36">
        <f>SOFR3mo_PX[[#This Row],[Column1179]]</f>
        <v>98.68</v>
      </c>
      <c r="ASJ36">
        <f>SOFR3mo_PX[[#This Row],[Column1180]]</f>
        <v>98.694999999999993</v>
      </c>
      <c r="ASK36">
        <f>SOFR3mo_PX[[#This Row],[Column1181]]</f>
        <v>98.694999999999993</v>
      </c>
      <c r="ASL36">
        <f>SOFR3mo_PX[[#This Row],[Column1182]]</f>
        <v>98.694999999999993</v>
      </c>
      <c r="ASM36">
        <f>SOFR3mo_PX[[#This Row],[Column1183]]</f>
        <v>99.025000000000006</v>
      </c>
      <c r="ASN36">
        <f>SOFR3mo_PX[[#This Row],[Column1184]]</f>
        <v>99.405000000000001</v>
      </c>
      <c r="ASO36">
        <f>SOFR3mo_PX[[#This Row],[Column1185]]</f>
        <v>99.51</v>
      </c>
      <c r="ASP36">
        <f>SOFR3mo_PX[[#This Row],[Column1186]]</f>
        <v>99.51</v>
      </c>
      <c r="ASQ36">
        <f>SOFR3mo_PX[[#This Row],[Column1187]]</f>
        <v>99.52</v>
      </c>
      <c r="ASR36">
        <f>SOFR3mo_PX[[#This Row],[Column1188]]</f>
        <v>99.534999999999997</v>
      </c>
      <c r="ASS36">
        <f>SOFR3mo_PX[[#This Row],[Column1189]]</f>
        <v>99.54</v>
      </c>
      <c r="AST36">
        <f>SOFR3mo_PX[[#This Row],[Column1190]]</f>
        <v>99.545000000000002</v>
      </c>
      <c r="ASU36">
        <f>SOFR3mo_PX[[#This Row],[Column1191]]</f>
        <v>99.57</v>
      </c>
      <c r="ASV36">
        <f>SOFR3mo_PX[[#This Row],[Column1192]]</f>
        <v>99.575000000000003</v>
      </c>
      <c r="ASW36">
        <f>SOFR3mo_PX[[#This Row],[Column1193]]</f>
        <v>99.57</v>
      </c>
      <c r="ASX36">
        <f>SOFR3mo_PX[[#This Row],[Column1194]]</f>
        <v>99.57</v>
      </c>
      <c r="ASY36">
        <f>SOFR3mo_PX[[#This Row],[Column1195]]</f>
        <v>99.564999999999998</v>
      </c>
      <c r="ASZ36">
        <f>SOFR3mo_PX[[#This Row],[Column1196]]</f>
        <v>99.56</v>
      </c>
      <c r="ATA36">
        <f>SOFR3mo_PX[[#This Row],[Column1197]]</f>
        <v>99.575000000000003</v>
      </c>
      <c r="ATB36">
        <f>SOFR3mo_PX[[#This Row],[Column1198]]</f>
        <v>99.57</v>
      </c>
      <c r="ATC36">
        <f>SOFR3mo_PX[[#This Row],[Column1199]]</f>
        <v>99.57</v>
      </c>
      <c r="ATD36">
        <f>SOFR3mo_PX[[#This Row],[Column1200]]</f>
        <v>99.575000000000003</v>
      </c>
      <c r="ATE36">
        <f>SOFR3mo_PX[[#This Row],[Column1201]]</f>
        <v>99.564999999999998</v>
      </c>
      <c r="ATF36">
        <f>SOFR3mo_PX[[#This Row],[Column1202]]</f>
        <v>99.564999999999998</v>
      </c>
      <c r="ATG36">
        <f>SOFR3mo_PX[[#This Row],[Column1203]]</f>
        <v>99.56</v>
      </c>
      <c r="ATH36">
        <f>SOFR3mo_PX[[#This Row],[Column1204]]</f>
        <v>99.54</v>
      </c>
      <c r="ATI36">
        <f>SOFR3mo_PX[[#This Row],[Column1205]]</f>
        <v>99.54</v>
      </c>
      <c r="ATJ36">
        <f>SOFR3mo_PX[[#This Row],[Column1206]]</f>
        <v>99.575000000000003</v>
      </c>
      <c r="ATK36">
        <f>SOFR3mo_PX[[#This Row],[Column1207]]</f>
        <v>99.62</v>
      </c>
      <c r="ATL36">
        <f>SOFR3mo_PX[[#This Row],[Column1208]]</f>
        <v>99.625</v>
      </c>
      <c r="ATM36">
        <f>SOFR3mo_PX[[#This Row],[Column1209]]</f>
        <v>99.644999999999996</v>
      </c>
      <c r="ATN36">
        <f>SOFR3mo_PX[[#This Row],[Column1210]]</f>
        <v>99.614999999999995</v>
      </c>
      <c r="ATO36">
        <f>SOFR3mo_PX[[#This Row],[Column1211]]</f>
        <v>99.625</v>
      </c>
      <c r="ATP36">
        <f>SOFR3mo_PX[[#This Row],[Column1212]]</f>
        <v>99.62</v>
      </c>
      <c r="ATQ36">
        <f>SOFR3mo_PX[[#This Row],[Column1213]]</f>
        <v>99.625</v>
      </c>
      <c r="ATR36">
        <f>SOFR3mo_PX[[#This Row],[Column1214]]</f>
        <v>99.635000000000005</v>
      </c>
      <c r="ATS36">
        <f>SOFR3mo_PX[[#This Row],[Column1215]]</f>
        <v>99.635000000000005</v>
      </c>
      <c r="ATT36">
        <f>SOFR3mo_PX[[#This Row],[Column1216]]</f>
        <v>99.63</v>
      </c>
      <c r="ATU36">
        <f>SOFR3mo_PX[[#This Row],[Column1217]]</f>
        <v>99.62</v>
      </c>
      <c r="ATV36">
        <f>SOFR3mo_PX[[#This Row],[Column1218]]</f>
        <v>99.61</v>
      </c>
      <c r="ATW36">
        <f>SOFR3mo_PX[[#This Row],[Column1219]]</f>
        <v>99.635000000000005</v>
      </c>
      <c r="ATX36">
        <f>SOFR3mo_PX[[#This Row],[Column1220]]</f>
        <v>99.635000000000005</v>
      </c>
      <c r="ATY36">
        <f>SOFR3mo_PX[[#This Row],[Column1221]]</f>
        <v>99.644999999999996</v>
      </c>
      <c r="ATZ36">
        <f>SOFR3mo_PX[[#This Row],[Column1222]]</f>
        <v>99.655000000000001</v>
      </c>
      <c r="AUA36">
        <f>SOFR3mo_PX[[#This Row],[Column1223]]</f>
        <v>99.65</v>
      </c>
      <c r="AUB36">
        <f>SOFR3mo_PX[[#This Row],[Column1224]]</f>
        <v>99.655000000000001</v>
      </c>
      <c r="AUC36">
        <f>SOFR3mo_PX[[#This Row],[Column1225]]</f>
        <v>99.65</v>
      </c>
      <c r="AUD36">
        <f>SOFR3mo_PX[[#This Row],[Column1226]]</f>
        <v>99.635000000000005</v>
      </c>
      <c r="AUE36">
        <f>SOFR3mo_PX[[#This Row],[Column1227]]</f>
        <v>99.63</v>
      </c>
      <c r="AUF36">
        <f>SOFR3mo_PX[[#This Row],[Column1228]]</f>
        <v>99.644999999999996</v>
      </c>
      <c r="AUG36">
        <f>SOFR3mo_PX[[#This Row],[Column1229]]</f>
        <v>99.64</v>
      </c>
      <c r="AUH36">
        <f>SOFR3mo_PX[[#This Row],[Column1230]]</f>
        <v>99.665000000000006</v>
      </c>
      <c r="AUI36">
        <f>SOFR3mo_PX[[#This Row],[Column1231]]</f>
        <v>99.665000000000006</v>
      </c>
      <c r="AUJ36">
        <f>SOFR3mo_PX[[#This Row],[Column1232]]</f>
        <v>99.715000000000003</v>
      </c>
      <c r="AUK36">
        <f>SOFR3mo_PX[[#This Row],[Column1233]]</f>
        <v>99.715000000000003</v>
      </c>
      <c r="AUL36">
        <f>SOFR3mo_PX[[#This Row],[Column1234]]</f>
        <v>99.715000000000003</v>
      </c>
      <c r="AUM36">
        <f>SOFR3mo_PX[[#This Row],[Column1235]]</f>
        <v>99.72</v>
      </c>
      <c r="AUN36">
        <f>SOFR3mo_PX[[#This Row],[Column1236]]</f>
        <v>99.72</v>
      </c>
      <c r="AUO36">
        <f>SOFR3mo_PX[[#This Row],[Column1237]]</f>
        <v>99.73</v>
      </c>
      <c r="AUP36">
        <f>SOFR3mo_PX[[#This Row],[Column1238]]</f>
        <v>99.73</v>
      </c>
      <c r="AUQ36">
        <f>SOFR3mo_PX[[#This Row],[Column1239]]</f>
        <v>99.734999999999999</v>
      </c>
      <c r="AUR36">
        <f>SOFR3mo_PX[[#This Row],[Column1240]]</f>
        <v>99.734999999999999</v>
      </c>
      <c r="AUS36">
        <f>SOFR3mo_PX[[#This Row],[Column1241]]</f>
        <v>99.724999999999994</v>
      </c>
      <c r="AUT36">
        <f>SOFR3mo_PX[[#This Row],[Column1242]]</f>
        <v>99.704999999999998</v>
      </c>
      <c r="AUU36">
        <f>SOFR3mo_PX[[#This Row],[Column1243]]</f>
        <v>99.72</v>
      </c>
      <c r="AUV36">
        <f>SOFR3mo_PX[[#This Row],[Column1244]]</f>
        <v>99.715000000000003</v>
      </c>
      <c r="AUW36">
        <f>SOFR3mo_PX[[#This Row],[Column1245]]</f>
        <v>99.745000000000005</v>
      </c>
      <c r="AUX36">
        <f>SOFR3mo_PX[[#This Row],[Column1246]]</f>
        <v>99.75</v>
      </c>
      <c r="AUY36">
        <f>SOFR3mo_PX[[#This Row],[Column1247]]</f>
        <v>99.74</v>
      </c>
      <c r="AUZ36">
        <f>SOFR3mo_PX[[#This Row],[Column1248]]</f>
        <v>99.715000000000003</v>
      </c>
      <c r="AVA36">
        <f>SOFR3mo_PX[[#This Row],[Column1249]]</f>
        <v>99.71</v>
      </c>
      <c r="AVB36">
        <f>SOFR3mo_PX[[#This Row],[Column1250]]</f>
        <v>99.715000000000003</v>
      </c>
      <c r="AVC36">
        <f>SOFR3mo_PX[[#This Row],[Column1251]]</f>
        <v>99.704999999999998</v>
      </c>
      <c r="AVD36">
        <f>SOFR3mo_PX[[#This Row],[Column1252]]</f>
        <v>99.704999999999998</v>
      </c>
      <c r="AVE36">
        <f>SOFR3mo_PX[[#This Row],[Column1253]]</f>
        <v>99.734999999999999</v>
      </c>
      <c r="AVF36">
        <f>SOFR3mo_PX[[#This Row],[Column1254]]</f>
        <v>99.724999999999994</v>
      </c>
      <c r="AVG36">
        <f>SOFR3mo_PX[[#This Row],[Column1255]]</f>
        <v>99.734999999999999</v>
      </c>
      <c r="AVH36">
        <f>SOFR3mo_PX[[#This Row],[Column1256]]</f>
        <v>99.73</v>
      </c>
      <c r="AVI36">
        <f>SOFR3mo_PX[[#This Row],[Column1257]]</f>
        <v>99.724999999999994</v>
      </c>
      <c r="AVJ36">
        <f>SOFR3mo_PX[[#This Row],[Column1258]]</f>
        <v>99.704999999999998</v>
      </c>
      <c r="AVK36">
        <f>SOFR3mo_PX[[#This Row],[Column1259]]</f>
        <v>99.715000000000003</v>
      </c>
      <c r="AVL36">
        <f>SOFR3mo_PX[[#This Row],[Column1260]]</f>
        <v>99.72</v>
      </c>
      <c r="AVM36">
        <f>SOFR3mo_PX[[#This Row],[Column1261]]</f>
        <v>99.73</v>
      </c>
      <c r="AVN36">
        <f>SOFR3mo_PX[[#This Row],[Column1262]]</f>
        <v>99.724999999999994</v>
      </c>
      <c r="AVO36">
        <f>SOFR3mo_PX[[#This Row],[Column1263]]</f>
        <v>99.734999999999999</v>
      </c>
      <c r="AVP36">
        <f>SOFR3mo_PX[[#This Row],[Column1264]]</f>
        <v>99.734999999999999</v>
      </c>
      <c r="AVQ36">
        <f>SOFR3mo_PX[[#This Row],[Column1265]]</f>
        <v>99.724999999999994</v>
      </c>
      <c r="AVR36">
        <f>SOFR3mo_PX[[#This Row],[Column1266]]</f>
        <v>99.71</v>
      </c>
      <c r="AVS36">
        <f>SOFR3mo_PX[[#This Row],[Column1267]]</f>
        <v>99.7</v>
      </c>
      <c r="AVT36">
        <f>SOFR3mo_PX[[#This Row],[Column1268]]</f>
        <v>99.7</v>
      </c>
      <c r="AVU36">
        <f>SOFR3mo_PX[[#This Row],[Column1269]]</f>
        <v>99.704999999999998</v>
      </c>
      <c r="AVV36">
        <f>SOFR3mo_PX[[#This Row],[Column1270]]</f>
        <v>99.704999999999998</v>
      </c>
      <c r="AVW36">
        <f>SOFR3mo_PX[[#This Row],[Column1271]]</f>
        <v>99.74</v>
      </c>
      <c r="AVX36">
        <f>SOFR3mo_PX[[#This Row],[Column1272]]</f>
        <v>99.75</v>
      </c>
      <c r="AVY36">
        <f>SOFR3mo_PX[[#This Row],[Column1273]]</f>
        <v>99.77</v>
      </c>
      <c r="AVZ36">
        <f>SOFR3mo_PX[[#This Row],[Column1274]]</f>
        <v>99.775000000000006</v>
      </c>
      <c r="AWA36">
        <f>SOFR3mo_PX[[#This Row],[Column1275]]</f>
        <v>99.784999999999997</v>
      </c>
      <c r="AWB36">
        <f>SOFR3mo_PX[[#This Row],[Column1276]]</f>
        <v>99.775000000000006</v>
      </c>
      <c r="AWC36">
        <f>SOFR3mo_PX[[#This Row],[Column1277]]</f>
        <v>99.77</v>
      </c>
      <c r="AWD36">
        <f>SOFR3mo_PX[[#This Row],[Column1278]]</f>
        <v>99.765000000000001</v>
      </c>
      <c r="AWE36">
        <f>SOFR3mo_PX[[#This Row],[Column1279]]</f>
        <v>99.745000000000005</v>
      </c>
      <c r="AWF36">
        <f>SOFR3mo_PX[[#This Row],[Column1280]]</f>
        <v>99.734999999999999</v>
      </c>
      <c r="AWG36">
        <f>SOFR3mo_PX[[#This Row],[Column1281]]</f>
        <v>99.73</v>
      </c>
      <c r="AWH36">
        <f>SOFR3mo_PX[[#This Row],[Column1282]]</f>
        <v>99.74</v>
      </c>
      <c r="AWI36">
        <f>SOFR3mo_PX[[#This Row],[Column1283]]</f>
        <v>99.745000000000005</v>
      </c>
      <c r="AWJ36">
        <f>SOFR3mo_PX[[#This Row],[Column1284]]</f>
        <v>99.745000000000005</v>
      </c>
      <c r="AWK36">
        <f>SOFR3mo_PX[[#This Row],[Column1285]]</f>
        <v>99.74</v>
      </c>
      <c r="AWL36">
        <f>SOFR3mo_PX[[#This Row],[Column1286]]</f>
        <v>99.74</v>
      </c>
      <c r="AWM36">
        <f>SOFR3mo_PX[[#This Row],[Column1287]]</f>
        <v>99.734999999999999</v>
      </c>
      <c r="AWN36">
        <f>SOFR3mo_PX[[#This Row],[Column1288]]</f>
        <v>99.734999999999999</v>
      </c>
      <c r="AWO36">
        <f>SOFR3mo_PX[[#This Row],[Column1289]]</f>
        <v>99.73</v>
      </c>
      <c r="AWP36">
        <f>SOFR3mo_PX[[#This Row],[Column1290]]</f>
        <v>99.74</v>
      </c>
      <c r="AWQ36">
        <f>SOFR3mo_PX[[#This Row],[Column1291]]</f>
        <v>99.74</v>
      </c>
      <c r="AWR36">
        <f>SOFR3mo_PX[[#This Row],[Column1292]]</f>
        <v>99.754999999999995</v>
      </c>
      <c r="AWS36">
        <f>SOFR3mo_PX[[#This Row],[Column1293]]</f>
        <v>99.77</v>
      </c>
      <c r="AWT36">
        <f>SOFR3mo_PX[[#This Row],[Column1294]]</f>
        <v>99.754999999999995</v>
      </c>
      <c r="AWU36">
        <f>SOFR3mo_PX[[#This Row],[Column1295]]</f>
        <v>99.75</v>
      </c>
      <c r="AWV36">
        <f>SOFR3mo_PX[[#This Row],[Column1296]]</f>
        <v>99.745000000000005</v>
      </c>
      <c r="AWW36">
        <f>SOFR3mo_PX[[#This Row],[Column1297]]</f>
        <v>99.745000000000005</v>
      </c>
      <c r="AWX36">
        <f>SOFR3mo_PX[[#This Row],[Column1298]]</f>
        <v>99.745000000000005</v>
      </c>
      <c r="AWY36">
        <f>SOFR3mo_PX[[#This Row],[Column1299]]</f>
        <v>99.734999999999999</v>
      </c>
      <c r="AWZ36">
        <f>SOFR3mo_PX[[#This Row],[Column1300]]</f>
        <v>99.754999999999995</v>
      </c>
      <c r="AXA36">
        <f>SOFR3mo_PX[[#This Row],[Column1301]]</f>
        <v>99.754999999999995</v>
      </c>
      <c r="AXB36">
        <f>SOFR3mo_PX[[#This Row],[Column1302]]</f>
        <v>99.745000000000005</v>
      </c>
      <c r="AXC36">
        <f>SOFR3mo_PX[[#This Row],[Column1303]]</f>
        <v>99.724999999999994</v>
      </c>
      <c r="AXD36">
        <f>SOFR3mo_PX[[#This Row],[Column1304]]</f>
        <v>99.724999999999994</v>
      </c>
      <c r="AXE36">
        <f>SOFR3mo_PX[[#This Row],[Column1305]]</f>
        <v>99.724999999999994</v>
      </c>
      <c r="AXF36">
        <f>SOFR3mo_PX[[#This Row],[Column1306]]</f>
        <v>99.72</v>
      </c>
      <c r="AXG36">
        <f>SOFR3mo_PX[[#This Row],[Column1307]]</f>
        <v>99.71</v>
      </c>
      <c r="AXH36">
        <f>SOFR3mo_PX[[#This Row],[Column1308]]</f>
        <v>99.69</v>
      </c>
      <c r="AXI36">
        <f>SOFR3mo_PX[[#This Row],[Column1309]]</f>
        <v>99.685000000000002</v>
      </c>
      <c r="AXJ36">
        <f>SOFR3mo_PX[[#This Row],[Column1310]]</f>
        <v>99.674999999999997</v>
      </c>
      <c r="AXK36">
        <f>SOFR3mo_PX[[#This Row],[Column1311]]</f>
        <v>99.69</v>
      </c>
      <c r="AXL36">
        <f>SOFR3mo_PX[[#This Row],[Column1312]]</f>
        <v>99.68</v>
      </c>
      <c r="AXM36">
        <f>SOFR3mo_PX[[#This Row],[Column1313]]</f>
        <v>99.69</v>
      </c>
      <c r="AXN36">
        <f>SOFR3mo_PX[[#This Row],[Column1314]]</f>
        <v>99.665000000000006</v>
      </c>
      <c r="AXO36">
        <f>SOFR3mo_PX[[#This Row],[Column1315]]</f>
        <v>99.614999999999995</v>
      </c>
      <c r="AXP36">
        <f>SOFR3mo_PX[[#This Row],[Column1316]]</f>
        <v>99.58</v>
      </c>
      <c r="AXQ36">
        <f>SOFR3mo_PX[[#This Row],[Column1317]]</f>
        <v>99.575000000000003</v>
      </c>
      <c r="AXR36">
        <f>SOFR3mo_PX[[#This Row],[Column1318]]</f>
        <v>99.64</v>
      </c>
      <c r="AXS36">
        <f>SOFR3mo_PX[[#This Row],[Column1319]]</f>
        <v>99.655000000000001</v>
      </c>
      <c r="AXT36">
        <f>SOFR3mo_PX[[#This Row],[Column1320]]</f>
        <v>99.69</v>
      </c>
      <c r="AXU36">
        <f>SOFR3mo_PX[[#This Row],[Column1321]]</f>
        <v>99.694999999999993</v>
      </c>
      <c r="AXV36">
        <f>SOFR3mo_PX[[#This Row],[Column1322]]</f>
        <v>99.685000000000002</v>
      </c>
      <c r="AXW36">
        <f>SOFR3mo_PX[[#This Row],[Column1323]]</f>
        <v>99.665000000000006</v>
      </c>
      <c r="AXX36">
        <f>SOFR3mo_PX[[#This Row],[Column1324]]</f>
        <v>99.67</v>
      </c>
      <c r="AXY36">
        <f>SOFR3mo_PX[[#This Row],[Column1325]]</f>
        <v>99.674999999999997</v>
      </c>
      <c r="AXZ36">
        <f>SOFR3mo_PX[[#This Row],[Column1326]]</f>
        <v>99.68</v>
      </c>
      <c r="AYA36">
        <f>SOFR3mo_PX[[#This Row],[Column1327]]</f>
        <v>99.68</v>
      </c>
      <c r="AYB36">
        <f>SOFR3mo_PX[[#This Row],[Column1328]]</f>
        <v>99.674999999999997</v>
      </c>
      <c r="AYC36">
        <f>SOFR3mo_PX[[#This Row],[Column1329]]</f>
        <v>99.674999999999997</v>
      </c>
      <c r="AYD36">
        <f>SOFR3mo_PX[[#This Row],[Column1330]]</f>
        <v>99.68</v>
      </c>
      <c r="AYE36">
        <f>SOFR3mo_PX[[#This Row],[Column1331]]</f>
        <v>99.68</v>
      </c>
      <c r="AYF36">
        <f>SOFR3mo_PX[[#This Row],[Column1332]]</f>
        <v>99.724999999999994</v>
      </c>
      <c r="AYG36">
        <f>SOFR3mo_PX[[#This Row],[Column1333]]</f>
        <v>99.7</v>
      </c>
      <c r="AYH36">
        <f>SOFR3mo_PX[[#This Row],[Column1334]]</f>
        <v>99.69</v>
      </c>
      <c r="AYI36">
        <f>SOFR3mo_PX[[#This Row],[Column1335]]</f>
        <v>99.67</v>
      </c>
      <c r="AYJ36">
        <f>SOFR3mo_PX[[#This Row],[Column1336]]</f>
        <v>99.67</v>
      </c>
      <c r="AYK36">
        <f>SOFR3mo_PX[[#This Row],[Column1337]]</f>
        <v>99.69</v>
      </c>
      <c r="AYL36">
        <f>SOFR3mo_PX[[#This Row],[Column1338]]</f>
        <v>99.7</v>
      </c>
      <c r="AYM36">
        <f>SOFR3mo_PX[[#This Row],[Column1339]]</f>
        <v>99.644999999999996</v>
      </c>
      <c r="AYN36">
        <f>SOFR3mo_PX[[#This Row],[Column1340]]</f>
        <v>99.63</v>
      </c>
      <c r="AYO36">
        <f>SOFR3mo_PX[[#This Row],[Column1341]]</f>
        <v>99.635000000000005</v>
      </c>
      <c r="AYP36">
        <f>SOFR3mo_PX[[#This Row],[Column1342]]</f>
        <v>99.62</v>
      </c>
      <c r="AYQ36">
        <f>SOFR3mo_PX[[#This Row],[Column1343]]</f>
        <v>99.625</v>
      </c>
      <c r="AYR36">
        <f>SOFR3mo_PX[[#This Row],[Column1344]]</f>
        <v>99.614999999999995</v>
      </c>
      <c r="AYS36">
        <f>SOFR3mo_PX[[#This Row],[Column1345]]</f>
        <v>99.6</v>
      </c>
      <c r="AYT36">
        <f>SOFR3mo_PX[[#This Row],[Column1346]]</f>
        <v>99.594999999999999</v>
      </c>
      <c r="AYU36">
        <f>SOFR3mo_PX[[#This Row],[Column1347]]</f>
        <v>99.605000000000004</v>
      </c>
      <c r="AYV36">
        <f>SOFR3mo_PX[[#This Row],[Column1348]]</f>
        <v>99.605000000000004</v>
      </c>
      <c r="AYW36">
        <f>SOFR3mo_PX[[#This Row],[Column1349]]</f>
        <v>99.6</v>
      </c>
      <c r="AYX36">
        <f>SOFR3mo_PX[[#This Row],[Column1350]]</f>
        <v>99.61</v>
      </c>
      <c r="AYY36">
        <f>SOFR3mo_PX[[#This Row],[Column1351]]</f>
        <v>99.59</v>
      </c>
      <c r="AYZ36">
        <f>SOFR3mo_PX[[#This Row],[Column1352]]</f>
        <v>99.58</v>
      </c>
      <c r="AZA36">
        <f>SOFR3mo_PX[[#This Row],[Column1353]]</f>
        <v>99.564999999999998</v>
      </c>
      <c r="AZB36">
        <f>SOFR3mo_PX[[#This Row],[Column1354]]</f>
        <v>99.555000000000007</v>
      </c>
      <c r="AZC36">
        <f>SOFR3mo_PX[[#This Row],[Column1355]]</f>
        <v>99.525000000000006</v>
      </c>
      <c r="AZD36">
        <f>SOFR3mo_PX[[#This Row],[Column1356]]</f>
        <v>99.51</v>
      </c>
      <c r="AZE36">
        <f>SOFR3mo_PX[[#This Row],[Column1357]]</f>
        <v>99.52</v>
      </c>
      <c r="AZF36">
        <f>SOFR3mo_PX[[#This Row],[Column1358]]</f>
        <v>99.52</v>
      </c>
      <c r="AZG36">
        <f>SOFR3mo_PX[[#This Row],[Column1359]]</f>
        <v>99.5</v>
      </c>
      <c r="AZH36">
        <f>SOFR3mo_PX[[#This Row],[Column1360]]</f>
        <v>99.484999999999999</v>
      </c>
      <c r="AZI36">
        <f>SOFR3mo_PX[[#This Row],[Column1361]]</f>
        <v>99.53</v>
      </c>
      <c r="AZJ36">
        <f>SOFR3mo_PX[[#This Row],[Column1362]]</f>
        <v>99.59</v>
      </c>
      <c r="AZK36">
        <f>SOFR3mo_PX[[#This Row],[Column1363]]</f>
        <v>99.584999999999994</v>
      </c>
      <c r="AZL36">
        <f>SOFR3mo_PX[[#This Row],[Column1364]]</f>
        <v>99.6</v>
      </c>
      <c r="AZM36">
        <f>SOFR3mo_PX[[#This Row],[Column1365]]</f>
        <v>99.575000000000003</v>
      </c>
      <c r="AZN36">
        <f>SOFR3mo_PX[[#This Row],[Column1366]]</f>
        <v>99.605000000000004</v>
      </c>
      <c r="AZO36">
        <f>SOFR3mo_PX[[#This Row],[Column1367]]</f>
        <v>99.56</v>
      </c>
      <c r="AZP36">
        <f>SOFR3mo_PX[[#This Row],[Column1368]]</f>
        <v>99.54</v>
      </c>
      <c r="AZQ36">
        <f>SOFR3mo_PX[[#This Row],[Column1369]]</f>
        <v>99.51</v>
      </c>
      <c r="AZR36">
        <f>SOFR3mo_PX[[#This Row],[Column1370]]</f>
        <v>99.504999999999995</v>
      </c>
      <c r="AZS36">
        <f>SOFR3mo_PX[[#This Row],[Column1371]]</f>
        <v>99.564999999999998</v>
      </c>
      <c r="AZT36">
        <f>SOFR3mo_PX[[#This Row],[Column1372]]</f>
        <v>99.484999999999999</v>
      </c>
      <c r="AZU36">
        <f>SOFR3mo_PX[[#This Row],[Column1373]]</f>
        <v>99.424999999999997</v>
      </c>
      <c r="AZV36">
        <f>SOFR3mo_PX[[#This Row],[Column1374]]</f>
        <v>99.32</v>
      </c>
      <c r="AZW36">
        <f>SOFR3mo_PX[[#This Row],[Column1375]]</f>
        <v>99.435000000000002</v>
      </c>
      <c r="AZX36">
        <f>SOFR3mo_PX[[#This Row],[Column1376]]</f>
        <v>99.484999999999999</v>
      </c>
      <c r="AZY36">
        <f>SOFR3mo_PX[[#This Row],[Column1377]]</f>
        <v>99.41</v>
      </c>
      <c r="AZZ36">
        <f>SOFR3mo_PX[[#This Row],[Column1378]]</f>
        <v>99.45</v>
      </c>
      <c r="BAA36">
        <f>SOFR3mo_PX[[#This Row],[Column1379]]</f>
        <v>99.38</v>
      </c>
      <c r="BAB36">
        <f>SOFR3mo_PX[[#This Row],[Column1380]]</f>
        <v>99.37</v>
      </c>
      <c r="BAC36">
        <f>SOFR3mo_PX[[#This Row],[Column1381]]</f>
        <v>99.49</v>
      </c>
      <c r="BAD36">
        <f>SOFR3mo_PX[[#This Row],[Column1382]]</f>
        <v>99.415000000000006</v>
      </c>
      <c r="BAE36">
        <f>SOFR3mo_PX[[#This Row],[Column1383]]</f>
        <v>99.33</v>
      </c>
      <c r="BAF36">
        <f>SOFR3mo_PX[[#This Row],[Column1384]]</f>
        <v>99.28</v>
      </c>
      <c r="BAG36">
        <f>SOFR3mo_PX[[#This Row],[Column1385]]</f>
        <v>99.22</v>
      </c>
      <c r="BAH36">
        <f>SOFR3mo_PX[[#This Row],[Column1386]]</f>
        <v>99.15</v>
      </c>
      <c r="BAI36">
        <f>SOFR3mo_PX[[#This Row],[Column1387]]</f>
        <v>99.15</v>
      </c>
      <c r="BAJ36">
        <f>SOFR3mo_PX[[#This Row],[Column1388]]</f>
        <v>98.95</v>
      </c>
      <c r="BAK36">
        <f>SOFR3mo_PX[[#This Row],[Column1389]]</f>
        <v>98.894999999999996</v>
      </c>
      <c r="BAL36">
        <f>SOFR3mo_PX[[#This Row],[Column1390]]</f>
        <v>98.905000000000001</v>
      </c>
      <c r="BAM36">
        <f>SOFR3mo_PX[[#This Row],[Column1391]]</f>
        <v>98.85</v>
      </c>
      <c r="BAN36">
        <f>SOFR3mo_PX[[#This Row],[Column1392]]</f>
        <v>98.74</v>
      </c>
      <c r="BAO36">
        <f>SOFR3mo_PX[[#This Row],[Column1393]]</f>
        <v>98.674999999999997</v>
      </c>
      <c r="BAP36">
        <f>SOFR3mo_PX[[#This Row],[Column1394]]</f>
        <v>98.63</v>
      </c>
      <c r="BAQ36">
        <f>SOFR3mo_PX[[#This Row],[Column1395]]</f>
        <v>98.655000000000001</v>
      </c>
      <c r="BAR36">
        <f>SOFR3mo_PX[[#This Row],[Column1396]]</f>
        <v>98.625</v>
      </c>
      <c r="BAS36">
        <f>SOFR3mo_PX[[#This Row],[Column1397]]</f>
        <v>98.625</v>
      </c>
      <c r="BAT36">
        <f>SOFR3mo_PX[[#This Row],[Column1398]]</f>
        <v>98.59</v>
      </c>
      <c r="BAU36">
        <f>SOFR3mo_PX[[#This Row],[Column1399]]</f>
        <v>98.59</v>
      </c>
      <c r="BAV36">
        <f>SOFR3mo_PX[[#This Row],[Column1400]]</f>
        <v>98.63</v>
      </c>
      <c r="BAW36">
        <f>SOFR3mo_PX[[#This Row],[Column1401]]</f>
        <v>98.66</v>
      </c>
      <c r="BAX36">
        <f>SOFR3mo_PX[[#This Row],[Column1402]]</f>
        <v>98.625</v>
      </c>
      <c r="BAY36">
        <f>SOFR3mo_PX[[#This Row],[Column1403]]</f>
        <v>98.57</v>
      </c>
      <c r="BAZ36">
        <f>SOFR3mo_PX[[#This Row],[Column1404]]</f>
        <v>98.59</v>
      </c>
      <c r="BBA36">
        <f>SOFR3mo_PX[[#This Row],[Column1405]]</f>
        <v>98.63</v>
      </c>
      <c r="BBB36">
        <f>SOFR3mo_PX[[#This Row],[Column1406]]</f>
        <v>98.715000000000003</v>
      </c>
      <c r="BBC36">
        <f>SOFR3mo_PX[[#This Row],[Column1407]]</f>
        <v>98.73</v>
      </c>
      <c r="BBD36">
        <f>SOFR3mo_PX[[#This Row],[Column1408]]</f>
        <v>98.674999999999997</v>
      </c>
      <c r="BBE36">
        <f>SOFR3mo_PX[[#This Row],[Column1409]]</f>
        <v>98.63</v>
      </c>
      <c r="BBF36">
        <f>SOFR3mo_PX[[#This Row],[Column1410]]</f>
        <v>98.58</v>
      </c>
      <c r="BBG36">
        <f>SOFR3mo_PX[[#This Row],[Column1411]]</f>
        <v>98.614999999999995</v>
      </c>
      <c r="BBH36">
        <f>SOFR3mo_PX[[#This Row],[Column1412]]</f>
        <v>98.53</v>
      </c>
      <c r="BBI36">
        <f>SOFR3mo_PX[[#This Row],[Column1413]]</f>
        <v>98.474999999999994</v>
      </c>
      <c r="BBJ36">
        <f>SOFR3mo_PX[[#This Row],[Column1414]]</f>
        <v>98.454999999999998</v>
      </c>
      <c r="BBK36">
        <f>SOFR3mo_PX[[#This Row],[Column1415]]</f>
        <v>98.44</v>
      </c>
      <c r="BBL36">
        <f>SOFR3mo_PX[[#This Row],[Column1416]]</f>
        <v>98.385000000000005</v>
      </c>
      <c r="BBM36">
        <f>SOFR3mo_PX[[#This Row],[Column1417]]</f>
        <v>98.385000000000005</v>
      </c>
      <c r="BBN36">
        <f>SOFR3mo_PX[[#This Row],[Column1418]]</f>
        <v>98.4</v>
      </c>
      <c r="BBO36">
        <f>SOFR3mo_PX[[#This Row],[Column1419]]</f>
        <v>98.41</v>
      </c>
      <c r="BBP36">
        <f>SOFR3mo_PX[[#This Row],[Column1420]]</f>
        <v>98.4</v>
      </c>
      <c r="BBQ36">
        <f>SOFR3mo_PX[[#This Row],[Column1421]]</f>
        <v>98.385000000000005</v>
      </c>
      <c r="BBR36">
        <f>SOFR3mo_PX[[#This Row],[Column1422]]</f>
        <v>98.39</v>
      </c>
      <c r="BBS36">
        <f>SOFR3mo_PX[[#This Row],[Column1423]]</f>
        <v>98.375</v>
      </c>
      <c r="BBT36">
        <f>SOFR3mo_PX[[#This Row],[Column1424]]</f>
        <v>98.37</v>
      </c>
      <c r="BBU36">
        <f>SOFR3mo_PX[[#This Row],[Column1425]]</f>
        <v>98.415000000000006</v>
      </c>
      <c r="BBV36">
        <f>SOFR3mo_PX[[#This Row],[Column1426]]</f>
        <v>98.424999999999997</v>
      </c>
      <c r="BBW36">
        <f>SOFR3mo_PX[[#This Row],[Column1427]]</f>
        <v>98.43</v>
      </c>
      <c r="BBX36">
        <f>SOFR3mo_PX[[#This Row],[Column1428]]</f>
        <v>98.34</v>
      </c>
      <c r="BBY36">
        <f>SOFR3mo_PX[[#This Row],[Column1429]]</f>
        <v>98.33</v>
      </c>
      <c r="BBZ36">
        <f>SOFR3mo_PX[[#This Row],[Column1430]]</f>
        <v>98.33</v>
      </c>
      <c r="BCA36">
        <f>SOFR3mo_PX[[#This Row],[Column1431]]</f>
        <v>98.334999999999994</v>
      </c>
      <c r="BCB36">
        <f>SOFR3mo_PX[[#This Row],[Column1432]]</f>
        <v>98.334999999999994</v>
      </c>
      <c r="BCC36">
        <f>SOFR3mo_PX[[#This Row],[Column1433]]</f>
        <v>98.295000000000002</v>
      </c>
      <c r="BCD36">
        <f>SOFR3mo_PX[[#This Row],[Column1434]]</f>
        <v>98.295000000000002</v>
      </c>
      <c r="BCE36">
        <f>SOFR3mo_PX[[#This Row],[Column1435]]</f>
        <v>98.295000000000002</v>
      </c>
      <c r="BCF36">
        <f>SOFR3mo_PX[[#This Row],[Column1436]]</f>
        <v>98.275000000000006</v>
      </c>
      <c r="BCG36">
        <f>SOFR3mo_PX[[#This Row],[Column1437]]</f>
        <v>98.314999999999998</v>
      </c>
      <c r="BCH36">
        <f>SOFR3mo_PX[[#This Row],[Column1438]]</f>
        <v>98.33</v>
      </c>
      <c r="BCI36">
        <f>SOFR3mo_PX[[#This Row],[Column1439]]</f>
        <v>98.31</v>
      </c>
      <c r="BCJ36">
        <f>SOFR3mo_PX[[#This Row],[Column1440]]</f>
        <v>98.34</v>
      </c>
      <c r="BCK36">
        <f>SOFR3mo_PX[[#This Row],[Column1441]]</f>
        <v>98.35</v>
      </c>
      <c r="BCL36">
        <f>SOFR3mo_PX[[#This Row],[Column1442]]</f>
        <v>98.424999999999997</v>
      </c>
      <c r="BCM36">
        <f>SOFR3mo_PX[[#This Row],[Column1443]]</f>
        <v>98.344999999999999</v>
      </c>
      <c r="BCN36">
        <f>SOFR3mo_PX[[#This Row],[Column1444]]</f>
        <v>98.43</v>
      </c>
      <c r="BCO36">
        <f>SOFR3mo_PX[[#This Row],[Column1445]]</f>
        <v>98.39</v>
      </c>
      <c r="BCP36">
        <f>SOFR3mo_PX[[#This Row],[Column1446]]</f>
        <v>98.405000000000001</v>
      </c>
      <c r="BCQ36">
        <f>SOFR3mo_PX[[#This Row],[Column1447]]</f>
        <v>98.415000000000006</v>
      </c>
      <c r="BCR36">
        <f>SOFR3mo_PX[[#This Row],[Column1448]]</f>
        <v>98.474999999999994</v>
      </c>
      <c r="BCS36">
        <f>SOFR3mo_PX[[#This Row],[Column1449]]</f>
        <v>98.49</v>
      </c>
      <c r="BCT36">
        <f>SOFR3mo_PX[[#This Row],[Column1450]]</f>
        <v>98.564999999999998</v>
      </c>
      <c r="BCU36">
        <f>SOFR3mo_PX[[#This Row],[Column1451]]</f>
        <v>98.444999999999993</v>
      </c>
      <c r="BCV36">
        <f>SOFR3mo_PX[[#This Row],[Column1452]]</f>
        <v>98.48</v>
      </c>
      <c r="BCW36">
        <f>SOFR3mo_PX[[#This Row],[Column1453]]</f>
        <v>98.47</v>
      </c>
      <c r="BCX36">
        <f>SOFR3mo_PX[[#This Row],[Column1454]]</f>
        <v>98.47</v>
      </c>
      <c r="BCY36">
        <f>SOFR3mo_PX[[#This Row],[Column1455]]</f>
        <v>98.51</v>
      </c>
      <c r="BCZ36">
        <f>SOFR3mo_PX[[#This Row],[Column1456]]</f>
        <v>98.5</v>
      </c>
      <c r="BDA36">
        <f>SOFR3mo_PX[[#This Row],[Column1457]]</f>
        <v>98.484999999999999</v>
      </c>
      <c r="BDB36">
        <f>SOFR3mo_PX[[#This Row],[Column1458]]</f>
        <v>98.504999999999995</v>
      </c>
      <c r="BDC36">
        <f>SOFR3mo_PX[[#This Row],[Column1459]]</f>
        <v>98.534999999999997</v>
      </c>
      <c r="BDD36">
        <f>SOFR3mo_PX[[#This Row],[Column1460]]</f>
        <v>98.5</v>
      </c>
      <c r="BDE36">
        <f>SOFR3mo_PX[[#This Row],[Column1461]]</f>
        <v>98.474999999999994</v>
      </c>
      <c r="BDF36">
        <f>SOFR3mo_PX[[#This Row],[Column1462]]</f>
        <v>98.45</v>
      </c>
      <c r="BDG36">
        <f>SOFR3mo_PX[[#This Row],[Column1463]]</f>
        <v>98.46</v>
      </c>
      <c r="BDH36">
        <f>SOFR3mo_PX[[#This Row],[Column1464]]</f>
        <v>98.41</v>
      </c>
      <c r="BDI36">
        <f>SOFR3mo_PX[[#This Row],[Column1465]]</f>
        <v>98.36</v>
      </c>
      <c r="BDJ36">
        <f>SOFR3mo_PX[[#This Row],[Column1466]]</f>
        <v>98.33</v>
      </c>
      <c r="BDK36">
        <f>SOFR3mo_PX[[#This Row],[Column1467]]</f>
        <v>98.34</v>
      </c>
      <c r="BDL36">
        <f>SOFR3mo_PX[[#This Row],[Column1468]]</f>
        <v>98.325000000000003</v>
      </c>
      <c r="BDM36">
        <f>SOFR3mo_PX[[#This Row],[Column1469]]</f>
        <v>98.435000000000002</v>
      </c>
      <c r="BDN36">
        <f>SOFR3mo_PX[[#This Row],[Column1470]]</f>
        <v>98.41</v>
      </c>
      <c r="BDO36">
        <f>SOFR3mo_PX[[#This Row],[Column1471]]</f>
        <v>98.47</v>
      </c>
      <c r="BDP36">
        <f>SOFR3mo_PX[[#This Row],[Column1472]]</f>
        <v>98.52</v>
      </c>
      <c r="BDQ36">
        <f>SOFR3mo_PX[[#This Row],[Column1473]]</f>
        <v>98.59</v>
      </c>
      <c r="BDR36">
        <f>SOFR3mo_PX[[#This Row],[Column1474]]</f>
        <v>98.465000000000003</v>
      </c>
      <c r="BDS36">
        <f>SOFR3mo_PX[[#This Row],[Column1475]]</f>
        <v>98.444999999999993</v>
      </c>
      <c r="BDT36">
        <f>SOFR3mo_PX[[#This Row],[Column1476]]</f>
        <v>98.45</v>
      </c>
      <c r="BDU36">
        <f>SOFR3mo_PX[[#This Row],[Column1477]]</f>
        <v>98.48</v>
      </c>
      <c r="BDV36">
        <f>SOFR3mo_PX[[#This Row],[Column1478]]</f>
        <v>98.525000000000006</v>
      </c>
      <c r="BDW36">
        <f>SOFR3mo_PX[[#This Row],[Column1479]]</f>
        <v>98.534999999999997</v>
      </c>
      <c r="BDX36">
        <f>SOFR3mo_PX[[#This Row],[Column1480]]</f>
        <v>98.515000000000001</v>
      </c>
      <c r="BDY36">
        <f>SOFR3mo_PX[[#This Row],[Column1481]]</f>
        <v>98.49</v>
      </c>
      <c r="BDZ36">
        <f>SOFR3mo_PX[[#This Row],[Column1482]]</f>
        <v>98.53</v>
      </c>
      <c r="BEA36">
        <f>SOFR3mo_PX[[#This Row],[Column1483]]</f>
        <v>98.504999999999995</v>
      </c>
      <c r="BEB36">
        <f>SOFR3mo_PX[[#This Row],[Column1484]]</f>
        <v>98.53</v>
      </c>
      <c r="BEC36">
        <f>SOFR3mo_PX[[#This Row],[Column1485]]</f>
        <v>98.49</v>
      </c>
      <c r="BED36">
        <f>SOFR3mo_PX[[#This Row],[Column1486]]</f>
        <v>98.545000000000002</v>
      </c>
      <c r="BEE36">
        <f>SOFR3mo_PX[[#This Row],[Column1487]]</f>
        <v>98.525000000000006</v>
      </c>
      <c r="BEF36">
        <f>SOFR3mo_PX[[#This Row],[Column1488]]</f>
        <v>98.655000000000001</v>
      </c>
      <c r="BEG36">
        <f>SOFR3mo_PX[[#This Row],[Column1489]]</f>
        <v>98.72</v>
      </c>
      <c r="BEH36">
        <f>SOFR3mo_PX[[#This Row],[Column1490]]</f>
        <v>98.775000000000006</v>
      </c>
      <c r="BEI36">
        <f>SOFR3mo_PX[[#This Row],[Column1491]]</f>
        <v>98.765000000000001</v>
      </c>
      <c r="BEJ36">
        <f>SOFR3mo_PX[[#This Row],[Column1492]]</f>
        <v>98.834999999999994</v>
      </c>
      <c r="BEK36">
        <f>SOFR3mo_PX[[#This Row],[Column1493]]</f>
        <v>98.844999999999999</v>
      </c>
      <c r="BEL36">
        <f>SOFR3mo_PX[[#This Row],[Column1494]]</f>
        <v>98.745000000000005</v>
      </c>
      <c r="BEM36">
        <f>SOFR3mo_PX[[#This Row],[Column1495]]</f>
        <v>98.67</v>
      </c>
      <c r="BEN36">
        <f>SOFR3mo_PX[[#This Row],[Column1496]]</f>
        <v>98.6</v>
      </c>
      <c r="BEO36">
        <f>SOFR3mo_PX[[#This Row],[Column1497]]</f>
        <v>98.61</v>
      </c>
      <c r="BEP36" t="str">
        <f>SOFR3mo_PX[[#This Row],[Column1498]]</f>
        <v>#N/A N/A</v>
      </c>
      <c r="BEQ36" t="str">
        <f>SOFR3mo_PX[[#This Row],[Column1499]]</f>
        <v>#N/A N/A</v>
      </c>
      <c r="BER36" t="str">
        <f>SOFR3mo_PX[[#This Row],[Column1500]]</f>
        <v>#N/A N/A</v>
      </c>
      <c r="BES36" t="str">
        <f>SOFR3mo_PX[[#This Row],[Column1501]]</f>
        <v>#N/A N/A</v>
      </c>
      <c r="BET36" t="str">
        <f>SOFR3mo_PX[[#This Row],[Column1502]]</f>
        <v>#N/A N/A</v>
      </c>
      <c r="BEU36" t="str">
        <f>SOFR3mo_PX[[#This Row],[Column1503]]</f>
        <v>#N/A N/A</v>
      </c>
      <c r="BEV36" t="str">
        <f>SOFR3mo_PX[[#This Row],[Column1504]]</f>
        <v>#N/A N/A</v>
      </c>
      <c r="BEW36" t="str">
        <f>SOFR3mo_PX[[#This Row],[Column1505]]</f>
        <v>#N/A N/A</v>
      </c>
      <c r="BEX36" t="str">
        <f>SOFR3mo_PX[[#This Row],[Column1506]]</f>
        <v>#N/A N/A</v>
      </c>
      <c r="BEY36" t="str">
        <f>SOFR3mo_PX[[#This Row],[Column1507]]</f>
        <v>#N/A N/A</v>
      </c>
      <c r="BEZ36" t="str">
        <f>SOFR3mo_PX[[#This Row],[Column1508]]</f>
        <v>#N/A N/A</v>
      </c>
      <c r="BFA36" t="str">
        <f>SOFR3mo_PX[[#This Row],[Column1509]]</f>
        <v>#N/A N/A</v>
      </c>
      <c r="BFB36" t="str">
        <f>SOFR3mo_PX[[#This Row],[Column1510]]</f>
        <v>#N/A N/A</v>
      </c>
      <c r="BFC36" t="str">
        <f>SOFR3mo_PX[[#This Row],[Column1511]]</f>
        <v>#N/A N/A</v>
      </c>
      <c r="BFD36" t="str">
        <f>SOFR3mo_PX[[#This Row],[Column1512]]</f>
        <v>#N/A N/A</v>
      </c>
      <c r="BFE36" t="str">
        <f>SOFR3mo_PX[[#This Row],[Column1513]]</f>
        <v>#N/A N/A</v>
      </c>
      <c r="BFF36" t="str">
        <f>SOFR3mo_PX[[#This Row],[Column1514]]</f>
        <v>#N/A N/A</v>
      </c>
      <c r="BFG36" t="str">
        <f>SOFR3mo_PX[[#This Row],[Column1515]]</f>
        <v>#N/A N/A</v>
      </c>
      <c r="BFH36" t="str">
        <f>SOFR3mo_PX[[#This Row],[Column1516]]</f>
        <v>#N/A N/A</v>
      </c>
      <c r="BFI36" t="str">
        <f>SOFR3mo_PX[[#This Row],[Column1517]]</f>
        <v>#N/A N/A</v>
      </c>
      <c r="BFJ36" t="str">
        <f>SOFR3mo_PX[[#This Row],[Column1518]]</f>
        <v>#N/A N/A</v>
      </c>
      <c r="BFK36" t="str">
        <f>SOFR3mo_PX[[#This Row],[Column1519]]</f>
        <v>#N/A N/A</v>
      </c>
      <c r="BFL36" t="str">
        <f>SOFR3mo_PX[[#This Row],[Column1520]]</f>
        <v>#N/A N/A</v>
      </c>
      <c r="BFM36" t="str">
        <f>SOFR3mo_PX[[#This Row],[Column1521]]</f>
        <v>#N/A N/A</v>
      </c>
      <c r="BFN36" t="str">
        <f>SOFR3mo_PX[[#This Row],[Column1522]]</f>
        <v>#N/A N/A</v>
      </c>
      <c r="BFO36" t="str">
        <f>SOFR3mo_PX[[#This Row],[Column1523]]</f>
        <v>#N/A N/A</v>
      </c>
      <c r="BFP36" t="str">
        <f>SOFR3mo_PX[[#This Row],[Column1524]]</f>
        <v>#N/A N/A</v>
      </c>
      <c r="BFQ36" t="str">
        <f>SOFR3mo_PX[[#This Row],[Column1525]]</f>
        <v>#N/A N/A</v>
      </c>
      <c r="BFR36" t="str">
        <f>SOFR3mo_PX[[#This Row],[Column1526]]</f>
        <v>#N/A N/A</v>
      </c>
      <c r="BFS36" t="str">
        <f>SOFR3mo_PX[[#This Row],[Column1527]]</f>
        <v>#N/A N/A</v>
      </c>
      <c r="BFT36" t="str">
        <f>SOFR3mo_PX[[#This Row],[Column1528]]</f>
        <v>#N/A N/A</v>
      </c>
      <c r="BFU36" t="str">
        <f>SOFR3mo_PX[[#This Row],[Column1529]]</f>
        <v>#N/A N/A</v>
      </c>
      <c r="BFV36" t="str">
        <f>SOFR3mo_PX[[#This Row],[Column1530]]</f>
        <v>#N/A N/A</v>
      </c>
      <c r="BFW36" t="str">
        <f>SOFR3mo_PX[[#This Row],[Column1531]]</f>
        <v>#N/A N/A</v>
      </c>
      <c r="BFX36" t="str">
        <f>SOFR3mo_PX[[#This Row],[Column1532]]</f>
        <v>#N/A N/A</v>
      </c>
      <c r="BFY36" t="str">
        <f>SOFR3mo_PX[[#This Row],[Column1533]]</f>
        <v>#N/A N/A</v>
      </c>
      <c r="BFZ36" t="str">
        <f>SOFR3mo_PX[[#This Row],[Column1534]]</f>
        <v>#N/A N/A</v>
      </c>
      <c r="BGA36" t="str">
        <f>SOFR3mo_PX[[#This Row],[Column1535]]</f>
        <v>#N/A N/A</v>
      </c>
      <c r="BGB36" t="str">
        <f>SOFR3mo_PX[[#This Row],[Column1536]]</f>
        <v>#N/A N/A</v>
      </c>
      <c r="BGC36" t="str">
        <f>SOFR3mo_PX[[#This Row],[Column1537]]</f>
        <v>#N/A N/A</v>
      </c>
      <c r="BGD36" t="str">
        <f>SOFR3mo_PX[[#This Row],[Column1538]]</f>
        <v>#N/A N/A</v>
      </c>
      <c r="BGE36" t="str">
        <f>SOFR3mo_PX[[#This Row],[Column1539]]</f>
        <v>#N/A N/A</v>
      </c>
      <c r="BGF36" t="str">
        <f>SOFR3mo_PX[[#This Row],[Column1540]]</f>
        <v>#N/A N/A</v>
      </c>
      <c r="BGG36" t="str">
        <f>SOFR3mo_PX[[#This Row],[Column1541]]</f>
        <v>#N/A N/A</v>
      </c>
      <c r="BGH36" t="str">
        <f>SOFR3mo_PX[[#This Row],[Column1542]]</f>
        <v>#N/A N/A</v>
      </c>
      <c r="BGI36" t="str">
        <f>SOFR3mo_PX[[#This Row],[Column1543]]</f>
        <v>#N/A N/A</v>
      </c>
      <c r="BGJ36" t="str">
        <f>SOFR3mo_PX[[#This Row],[Column1544]]</f>
        <v>#N/A N/A</v>
      </c>
      <c r="BGK36" t="str">
        <f>SOFR3mo_PX[[#This Row],[Column1545]]</f>
        <v>#N/A N/A</v>
      </c>
      <c r="BGL36" t="str">
        <f>SOFR3mo_PX[[#This Row],[Column1546]]</f>
        <v>#N/A N/A</v>
      </c>
      <c r="BGM36" t="str">
        <f>SOFR3mo_PX[[#This Row],[Column1547]]</f>
        <v>#N/A N/A</v>
      </c>
      <c r="BGN36" t="str">
        <f>SOFR3mo_PX[[#This Row],[Column1548]]</f>
        <v>#N/A N/A</v>
      </c>
      <c r="BGO36" t="str">
        <f>SOFR3mo_PX[[#This Row],[Column1549]]</f>
        <v>#N/A N/A</v>
      </c>
      <c r="BGP36" t="str">
        <f>SOFR3mo_PX[[#This Row],[Column1550]]</f>
        <v>#N/A N/A</v>
      </c>
      <c r="BGQ36" t="str">
        <f>SOFR3mo_PX[[#This Row],[Column1551]]</f>
        <v>#N/A N/A</v>
      </c>
      <c r="BGR36" t="str">
        <f>SOFR3mo_PX[[#This Row],[Column1552]]</f>
        <v>#N/A N/A</v>
      </c>
      <c r="BGS36" t="str">
        <f>SOFR3mo_PX[[#This Row],[Column1553]]</f>
        <v>#N/A N/A</v>
      </c>
      <c r="BGT36" t="str">
        <f>SOFR3mo_PX[[#This Row],[Column1554]]</f>
        <v>#N/A N/A</v>
      </c>
      <c r="BGU36" t="str">
        <f>SOFR3mo_PX[[#This Row],[Column1555]]</f>
        <v>#N/A N/A</v>
      </c>
      <c r="BGV36" t="str">
        <f>SOFR3mo_PX[[#This Row],[Column1556]]</f>
        <v>#N/A N/A</v>
      </c>
      <c r="BGW36" t="str">
        <f>SOFR3mo_PX[[#This Row],[Column1557]]</f>
        <v>#N/A N/A</v>
      </c>
      <c r="BGX36" t="str">
        <f>SOFR3mo_PX[[#This Row],[Column1558]]</f>
        <v>#N/A N/A</v>
      </c>
      <c r="BGY36" t="str">
        <f>SOFR3mo_PX[[#This Row],[Column1559]]</f>
        <v>#N/A N/A</v>
      </c>
      <c r="BGZ36" t="str">
        <f>SOFR3mo_PX[[#This Row],[Column1560]]</f>
        <v>#N/A N/A</v>
      </c>
      <c r="BHA36" t="str">
        <f>SOFR3mo_PX[[#This Row],[Column1561]]</f>
        <v>#N/A N/A</v>
      </c>
      <c r="BHB36" t="str">
        <f>SOFR3mo_PX[[#This Row],[Column1562]]</f>
        <v>#N/A N/A</v>
      </c>
      <c r="BHC36" t="str">
        <f>SOFR3mo_PX[[#This Row],[Column1563]]</f>
        <v>#N/A N/A</v>
      </c>
      <c r="BHD36" t="str">
        <f>SOFR3mo_PX[[#This Row],[Column1564]]</f>
        <v>#N/A N/A</v>
      </c>
      <c r="BHE36" t="str">
        <f>SOFR3mo_PX[[#This Row],[Column1565]]</f>
        <v>#N/A N/A</v>
      </c>
      <c r="BHF36" t="str">
        <f>SOFR3mo_PX[[#This Row],[Column1566]]</f>
        <v>#N/A N/A</v>
      </c>
      <c r="BHG36" t="str">
        <f>SOFR3mo_PX[[#This Row],[Column1567]]</f>
        <v>#N/A N/A</v>
      </c>
      <c r="BHH36" t="str">
        <f>SOFR3mo_PX[[#This Row],[Column1568]]</f>
        <v>#N/A N/A</v>
      </c>
      <c r="BHI36" t="str">
        <f>SOFR3mo_PX[[#This Row],[Column1569]]</f>
        <v>#N/A N/A</v>
      </c>
      <c r="BHJ36" t="str">
        <f>SOFR3mo_PX[[#This Row],[Column1570]]</f>
        <v>#N/A N/A</v>
      </c>
      <c r="BHK36" t="str">
        <f>SOFR3mo_PX[[#This Row],[Column1571]]</f>
        <v>#N/A N/A</v>
      </c>
      <c r="BHL36" t="str">
        <f>SOFR3mo_PX[[#This Row],[Column1572]]</f>
        <v>#N/A N/A</v>
      </c>
      <c r="BHM36" t="str">
        <f>SOFR3mo_PX[[#This Row],[Column1573]]</f>
        <v>#N/A N/A</v>
      </c>
      <c r="BHN36" t="str">
        <f>SOFR3mo_PX[[#This Row],[Column1574]]</f>
        <v>#N/A N/A</v>
      </c>
      <c r="BHO36" t="str">
        <f>SOFR3mo_PX[[#This Row],[Column1575]]</f>
        <v>#N/A N/A</v>
      </c>
      <c r="BHP36" t="str">
        <f>SOFR3mo_PX[[#This Row],[Column1576]]</f>
        <v>#N/A N/A</v>
      </c>
      <c r="BHQ36" t="str">
        <f>SOFR3mo_PX[[#This Row],[Column1577]]</f>
        <v>#N/A N/A</v>
      </c>
      <c r="BHR36" t="str">
        <f>SOFR3mo_PX[[#This Row],[Column1578]]</f>
        <v>#N/A N/A</v>
      </c>
      <c r="BHS36" t="str">
        <f>SOFR3mo_PX[[#This Row],[Column1579]]</f>
        <v>#N/A N/A</v>
      </c>
      <c r="BHT36" t="str">
        <f>SOFR3mo_PX[[#This Row],[Column1580]]</f>
        <v>#N/A N/A</v>
      </c>
      <c r="BHU36" t="str">
        <f>SOFR3mo_PX[[#This Row],[Column1581]]</f>
        <v>#N/A N/A</v>
      </c>
      <c r="BHV36" t="str">
        <f>SOFR3mo_PX[[#This Row],[Column1582]]</f>
        <v>#N/A N/A</v>
      </c>
      <c r="BHW36" t="str">
        <f>SOFR3mo_PX[[#This Row],[Column1583]]</f>
        <v>#N/A N/A</v>
      </c>
      <c r="BHX36" t="str">
        <f>SOFR3mo_PX[[#This Row],[Column1584]]</f>
        <v>#N/A N/A</v>
      </c>
      <c r="BHY36" t="str">
        <f>SOFR3mo_PX[[#This Row],[Column1585]]</f>
        <v>#N/A N/A</v>
      </c>
      <c r="BHZ36" t="str">
        <f>SOFR3mo_PX[[#This Row],[Column1586]]</f>
        <v>#N/A N/A</v>
      </c>
      <c r="BIA36" t="str">
        <f>SOFR3mo_PX[[#This Row],[Column1587]]</f>
        <v>#N/A N/A</v>
      </c>
      <c r="BIB36" t="str">
        <f>SOFR3mo_PX[[#This Row],[Column1588]]</f>
        <v>#N/A N/A</v>
      </c>
      <c r="BIC36" t="str">
        <f>SOFR3mo_PX[[#This Row],[Column1589]]</f>
        <v>#N/A N/A</v>
      </c>
      <c r="BID36" t="str">
        <f>SOFR3mo_PX[[#This Row],[Column1590]]</f>
        <v>#N/A N/A</v>
      </c>
      <c r="BIE36" t="str">
        <f>SOFR3mo_PX[[#This Row],[Column1591]]</f>
        <v>#N/A N/A</v>
      </c>
      <c r="BIF36" t="str">
        <f>SOFR3mo_PX[[#This Row],[Column1592]]</f>
        <v>#N/A N/A</v>
      </c>
      <c r="BIG36" t="str">
        <f>SOFR3mo_PX[[#This Row],[Column1593]]</f>
        <v>#N/A N/A</v>
      </c>
      <c r="BIH36" t="str">
        <f>SOFR3mo_PX[[#This Row],[Column1594]]</f>
        <v>#N/A N/A</v>
      </c>
      <c r="BII36" t="str">
        <f>SOFR3mo_PX[[#This Row],[Column1595]]</f>
        <v>#N/A N/A</v>
      </c>
      <c r="BIJ36" t="str">
        <f>SOFR3mo_PX[[#This Row],[Column1596]]</f>
        <v>#N/A N/A</v>
      </c>
      <c r="BIK36" t="str">
        <f>SOFR3mo_PX[[#This Row],[Column1597]]</f>
        <v>#N/A N/A</v>
      </c>
      <c r="BIL36" t="str">
        <f>SOFR3mo_PX[[#This Row],[Column1598]]</f>
        <v>#N/A N/A</v>
      </c>
      <c r="BIM36" t="str">
        <f>SOFR3mo_PX[[#This Row],[Column1599]]</f>
        <v>#N/A N/A</v>
      </c>
      <c r="BIN36" t="str">
        <f>SOFR3mo_PX[[#This Row],[Column1600]]</f>
        <v>#N/A N/A</v>
      </c>
      <c r="BIO36" t="str">
        <f>SOFR3mo_PX[[#This Row],[Column1601]]</f>
        <v>#N/A N/A</v>
      </c>
      <c r="BIP36" t="str">
        <f>SOFR3mo_PX[[#This Row],[Column1602]]</f>
        <v>#N/A N/A</v>
      </c>
      <c r="BIQ36" t="str">
        <f>SOFR3mo_PX[[#This Row],[Column1603]]</f>
        <v>#N/A N/A</v>
      </c>
      <c r="BIR36" t="str">
        <f>SOFR3mo_PX[[#This Row],[Column1604]]</f>
        <v>#N/A N/A</v>
      </c>
      <c r="BIS36" t="str">
        <f>SOFR3mo_PX[[#This Row],[Column1605]]</f>
        <v>#N/A N/A</v>
      </c>
      <c r="BIT36" t="str">
        <f>SOFR3mo_PX[[#This Row],[Column1606]]</f>
        <v>#N/A N/A</v>
      </c>
      <c r="BIU36" t="str">
        <f>SOFR3mo_PX[[#This Row],[Column1607]]</f>
        <v>#N/A N/A</v>
      </c>
      <c r="BIV36" t="str">
        <f>SOFR3mo_PX[[#This Row],[Column1608]]</f>
        <v>#N/A N/A</v>
      </c>
      <c r="BIW36" t="str">
        <f>SOFR3mo_PX[[#This Row],[Column1609]]</f>
        <v>#N/A N/A</v>
      </c>
      <c r="BIX36" t="str">
        <f>SOFR3mo_PX[[#This Row],[Column1610]]</f>
        <v>#N/A N/A</v>
      </c>
      <c r="BIY36" t="str">
        <f>SOFR3mo_PX[[#This Row],[Column1611]]</f>
        <v>#N/A N/A</v>
      </c>
      <c r="BIZ36" t="str">
        <f>SOFR3mo_PX[[#This Row],[Column1612]]</f>
        <v>#N/A N/A</v>
      </c>
      <c r="BJA36" t="str">
        <f>SOFR3mo_PX[[#This Row],[Column1613]]</f>
        <v>#N/A N/A</v>
      </c>
      <c r="BJB36" t="str">
        <f>SOFR3mo_PX[[#This Row],[Column1614]]</f>
        <v>#N/A N/A</v>
      </c>
      <c r="BJC36" t="str">
        <f>SOFR3mo_PX[[#This Row],[Column1615]]</f>
        <v>#N/A N/A</v>
      </c>
      <c r="BJD36" t="str">
        <f>SOFR3mo_PX[[#This Row],[Column1616]]</f>
        <v>#N/A N/A</v>
      </c>
      <c r="BJE36" t="str">
        <f>SOFR3mo_PX[[#This Row],[Column1617]]</f>
        <v>#N/A N/A</v>
      </c>
      <c r="BJF36" t="str">
        <f>SOFR3mo_PX[[#This Row],[Column1618]]</f>
        <v>#N/A N/A</v>
      </c>
      <c r="BJG36" t="str">
        <f>SOFR3mo_PX[[#This Row],[Column1619]]</f>
        <v>#N/A N/A</v>
      </c>
      <c r="BJH36" t="str">
        <f>SOFR3mo_PX[[#This Row],[Column1620]]</f>
        <v>#N/A N/A</v>
      </c>
      <c r="BJI36" t="str">
        <f>SOFR3mo_PX[[#This Row],[Column1621]]</f>
        <v>#N/A N/A</v>
      </c>
      <c r="BJJ36" t="str">
        <f>SOFR3mo_PX[[#This Row],[Column1622]]</f>
        <v>#N/A N/A</v>
      </c>
      <c r="BJK36" t="str">
        <f>SOFR3mo_PX[[#This Row],[Column1623]]</f>
        <v>#N/A N/A</v>
      </c>
      <c r="BJL36" t="str">
        <f>SOFR3mo_PX[[#This Row],[Column1624]]</f>
        <v>#N/A N/A</v>
      </c>
      <c r="BJM36" t="str">
        <f>SOFR3mo_PX[[#This Row],[Column1625]]</f>
        <v>#N/A N/A</v>
      </c>
      <c r="BJN36" t="str">
        <f>SOFR3mo_PX[[#This Row],[Column1626]]</f>
        <v>#N/A N/A</v>
      </c>
      <c r="BJO36" t="str">
        <f>SOFR3mo_PX[[#This Row],[Column1627]]</f>
        <v>#N/A N/A</v>
      </c>
      <c r="BJP36" t="str">
        <f>SOFR3mo_PX[[#This Row],[Column1628]]</f>
        <v>#N/A N/A</v>
      </c>
      <c r="BJQ36" t="str">
        <f>SOFR3mo_PX[[#This Row],[Column1629]]</f>
        <v>#N/A N/A</v>
      </c>
      <c r="BJR36" t="str">
        <f>SOFR3mo_PX[[#This Row],[Column1630]]</f>
        <v>#N/A N/A</v>
      </c>
      <c r="BJS36" t="str">
        <f>SOFR3mo_PX[[#This Row],[Column1631]]</f>
        <v>#N/A N/A</v>
      </c>
      <c r="BJT36" t="str">
        <f>SOFR3mo_PX[[#This Row],[Column1632]]</f>
        <v>#N/A N/A</v>
      </c>
      <c r="BJU36" t="str">
        <f>SOFR3mo_PX[[#This Row],[Column1633]]</f>
        <v>#N/A N/A</v>
      </c>
      <c r="BJV36" t="str">
        <f>SOFR3mo_PX[[#This Row],[Column1634]]</f>
        <v>#N/A N/A</v>
      </c>
      <c r="BJW36" t="str">
        <f>SOFR3mo_PX[[#This Row],[Column1635]]</f>
        <v>#N/A N/A</v>
      </c>
      <c r="BJX36" t="str">
        <f>SOFR3mo_PX[[#This Row],[Column1636]]</f>
        <v>#N/A N/A</v>
      </c>
      <c r="BJY36" t="str">
        <f>SOFR3mo_PX[[#This Row],[Column1637]]</f>
        <v>#N/A N/A</v>
      </c>
      <c r="BJZ36" t="str">
        <f>SOFR3mo_PX[[#This Row],[Column1638]]</f>
        <v>#N/A N/A</v>
      </c>
      <c r="BKA36" t="str">
        <f>SOFR3mo_PX[[#This Row],[Column1639]]</f>
        <v>#N/A N/A</v>
      </c>
      <c r="BKB36" t="str">
        <f>SOFR3mo_PX[[#This Row],[Column1640]]</f>
        <v>#N/A N/A</v>
      </c>
      <c r="BKC36" t="str">
        <f>SOFR3mo_PX[[#This Row],[Column1641]]</f>
        <v>#N/A N/A</v>
      </c>
      <c r="BKD36" t="str">
        <f>SOFR3mo_PX[[#This Row],[Column1642]]</f>
        <v>#N/A N/A</v>
      </c>
      <c r="BKE36" t="str">
        <f>SOFR3mo_PX[[#This Row],[Column1643]]</f>
        <v>#N/A N/A</v>
      </c>
      <c r="BKF36" t="str">
        <f>SOFR3mo_PX[[#This Row],[Column1644]]</f>
        <v>#N/A N/A</v>
      </c>
      <c r="BKG36" t="str">
        <f>SOFR3mo_PX[[#This Row],[Column1645]]</f>
        <v>#N/A N/A</v>
      </c>
      <c r="BKH36" t="str">
        <f>SOFR3mo_PX[[#This Row],[Column1646]]</f>
        <v>#N/A N/A</v>
      </c>
      <c r="BKI36" t="str">
        <f>SOFR3mo_PX[[#This Row],[Column1647]]</f>
        <v>#N/A N/A</v>
      </c>
      <c r="BKJ36" t="str">
        <f>SOFR3mo_PX[[#This Row],[Column1648]]</f>
        <v>#N/A N/A</v>
      </c>
      <c r="BKK36" t="str">
        <f>SOFR3mo_PX[[#This Row],[Column1649]]</f>
        <v>#N/A N/A</v>
      </c>
      <c r="BKL36" t="str">
        <f>SOFR3mo_PX[[#This Row],[Column1650]]</f>
        <v>#N/A N/A</v>
      </c>
      <c r="BKM36" t="str">
        <f>SOFR3mo_PX[[#This Row],[Column1651]]</f>
        <v>#N/A N/A</v>
      </c>
      <c r="BKN36" t="str">
        <f>SOFR3mo_PX[[#This Row],[Column1652]]</f>
        <v>#N/A N/A</v>
      </c>
      <c r="BKO36" t="str">
        <f>SOFR3mo_PX[[#This Row],[Column1653]]</f>
        <v>#N/A N/A</v>
      </c>
      <c r="BKP36" t="str">
        <f>SOFR3mo_PX[[#This Row],[Column1654]]</f>
        <v>#N/A N/A</v>
      </c>
      <c r="BKQ36" t="str">
        <f>SOFR3mo_PX[[#This Row],[Column1655]]</f>
        <v>#N/A N/A</v>
      </c>
      <c r="BKR36" t="str">
        <f>SOFR3mo_PX[[#This Row],[Column1656]]</f>
        <v>#N/A N/A</v>
      </c>
      <c r="BKS36" t="str">
        <f>SOFR3mo_PX[[#This Row],[Column1657]]</f>
        <v>#N/A N/A</v>
      </c>
      <c r="BKT36" t="str">
        <f>SOFR3mo_PX[[#This Row],[Column1658]]</f>
        <v>#N/A N/A</v>
      </c>
      <c r="BKU36" t="str">
        <f>SOFR3mo_PX[[#This Row],[Column1659]]</f>
        <v>#N/A N/A</v>
      </c>
      <c r="BKV36" t="str">
        <f>SOFR3mo_PX[[#This Row],[Column1660]]</f>
        <v>#N/A N/A</v>
      </c>
      <c r="BKW36" t="str">
        <f>SOFR3mo_PX[[#This Row],[Column1661]]</f>
        <v>#N/A N/A</v>
      </c>
      <c r="BKX36" t="str">
        <f>SOFR3mo_PX[[#This Row],[Column1662]]</f>
        <v>#N/A N/A</v>
      </c>
      <c r="BKY36" t="str">
        <f>SOFR3mo_PX[[#This Row],[Column1663]]</f>
        <v>#N/A N/A</v>
      </c>
      <c r="BKZ36" t="str">
        <f>SOFR3mo_PX[[#This Row],[Column1664]]</f>
        <v>#N/A N/A</v>
      </c>
      <c r="BLA36" t="str">
        <f>SOFR3mo_PX[[#This Row],[Column1665]]</f>
        <v>#N/A N/A</v>
      </c>
      <c r="BLB36" t="str">
        <f>SOFR3mo_PX[[#This Row],[Column1666]]</f>
        <v>#N/A N/A</v>
      </c>
      <c r="BLC36" t="str">
        <f>SOFR3mo_PX[[#This Row],[Column1667]]</f>
        <v>#N/A N/A</v>
      </c>
      <c r="BLD36" t="str">
        <f>SOFR3mo_PX[[#This Row],[Column1668]]</f>
        <v>#N/A N/A</v>
      </c>
      <c r="BLE36" t="str">
        <f>SOFR3mo_PX[[#This Row],[Column1669]]</f>
        <v>#N/A N/A</v>
      </c>
      <c r="BLF36" t="str">
        <f>SOFR3mo_PX[[#This Row],[Column1670]]</f>
        <v>#N/A N/A</v>
      </c>
      <c r="BLG36" t="str">
        <f>SOFR3mo_PX[[#This Row],[Column1671]]</f>
        <v>#N/A N/A</v>
      </c>
      <c r="BLH36" t="str">
        <f>SOFR3mo_PX[[#This Row],[Column1672]]</f>
        <v>#N/A N/A</v>
      </c>
      <c r="BLI36" t="str">
        <f>SOFR3mo_PX[[#This Row],[Column1673]]</f>
        <v>#N/A N/A</v>
      </c>
      <c r="BLJ36" t="str">
        <f>SOFR3mo_PX[[#This Row],[Column1674]]</f>
        <v>#N/A N/A</v>
      </c>
      <c r="BLK36" t="str">
        <f>SOFR3mo_PX[[#This Row],[Column1675]]</f>
        <v>#N/A N/A</v>
      </c>
      <c r="BLL36" t="str">
        <f>SOFR3mo_PX[[#This Row],[Column1676]]</f>
        <v>#N/A N/A</v>
      </c>
      <c r="BLM36" t="str">
        <f>SOFR3mo_PX[[#This Row],[Column1677]]</f>
        <v>#N/A N/A</v>
      </c>
      <c r="BLN36" t="str">
        <f>SOFR3mo_PX[[#This Row],[Column1678]]</f>
        <v>#N/A N/A</v>
      </c>
      <c r="BLO36" t="str">
        <f>SOFR3mo_PX[[#This Row],[Column1679]]</f>
        <v>#N/A N/A</v>
      </c>
      <c r="BLP36" t="str">
        <f>SOFR3mo_PX[[#This Row],[Column1680]]</f>
        <v>#N/A N/A</v>
      </c>
      <c r="BLQ36" t="str">
        <f>SOFR3mo_PX[[#This Row],[Column1681]]</f>
        <v>#N/A N/A</v>
      </c>
      <c r="BLR36" t="str">
        <f>SOFR3mo_PX[[#This Row],[Column1682]]</f>
        <v>#N/A N/A</v>
      </c>
      <c r="BLS36" t="str">
        <f>SOFR3mo_PX[[#This Row],[Column1683]]</f>
        <v>#N/A N/A</v>
      </c>
      <c r="BLT36" t="str">
        <f>SOFR3mo_PX[[#This Row],[Column1684]]</f>
        <v>#N/A N/A</v>
      </c>
      <c r="BLU36" t="str">
        <f>SOFR3mo_PX[[#This Row],[Column1685]]</f>
        <v>#N/A N/A</v>
      </c>
      <c r="BLV36" t="str">
        <f>SOFR3mo_PX[[#This Row],[Column1686]]</f>
        <v>#N/A N/A</v>
      </c>
      <c r="BLW36" t="str">
        <f>SOFR3mo_PX[[#This Row],[Column1687]]</f>
        <v>#N/A N/A</v>
      </c>
      <c r="BLX36" t="str">
        <f>SOFR3mo_PX[[#This Row],[Column1688]]</f>
        <v>#N/A N/A</v>
      </c>
      <c r="BLY36" t="str">
        <f>SOFR3mo_PX[[#This Row],[Column1689]]</f>
        <v>#N/A N/A</v>
      </c>
      <c r="BLZ36" t="str">
        <f>SOFR3mo_PX[[#This Row],[Column1690]]</f>
        <v>#N/A N/A</v>
      </c>
      <c r="BMA36" t="str">
        <f>SOFR3mo_PX[[#This Row],[Column1691]]</f>
        <v>#N/A N/A</v>
      </c>
      <c r="BMB36" t="str">
        <f>SOFR3mo_PX[[#This Row],[Column1692]]</f>
        <v>#N/A N/A</v>
      </c>
      <c r="BMC36" t="str">
        <f>SOFR3mo_PX[[#This Row],[Column1693]]</f>
        <v>#N/A N/A</v>
      </c>
      <c r="BMD36" t="str">
        <f>SOFR3mo_PX[[#This Row],[Column1694]]</f>
        <v>#N/A N/A</v>
      </c>
      <c r="BME36" t="str">
        <f>SOFR3mo_PX[[#This Row],[Column1695]]</f>
        <v>#N/A N/A</v>
      </c>
      <c r="BMF36" t="str">
        <f>SOFR3mo_PX[[#This Row],[Column1696]]</f>
        <v>#N/A N/A</v>
      </c>
      <c r="BMG36" t="str">
        <f>SOFR3mo_PX[[#This Row],[Column1697]]</f>
        <v>#N/A N/A</v>
      </c>
      <c r="BMH36" t="str">
        <f>SOFR3mo_PX[[#This Row],[Column1698]]</f>
        <v>#N/A N/A</v>
      </c>
      <c r="BMI36" t="str">
        <f>SOFR3mo_PX[[#This Row],[Column1699]]</f>
        <v>#N/A N/A</v>
      </c>
      <c r="BMJ36" t="str">
        <f>SOFR3mo_PX[[#This Row],[Column1700]]</f>
        <v>#N/A N/A</v>
      </c>
      <c r="BMK36" t="str">
        <f>SOFR3mo_PX[[#This Row],[Column1701]]</f>
        <v>#N/A N/A</v>
      </c>
      <c r="BML36" t="str">
        <f>SOFR3mo_PX[[#This Row],[Column1702]]</f>
        <v>#N/A N/A</v>
      </c>
      <c r="BMM36" t="str">
        <f>SOFR3mo_PX[[#This Row],[Column1703]]</f>
        <v>#N/A N/A</v>
      </c>
      <c r="BMN36" t="str">
        <f>SOFR3mo_PX[[#This Row],[Column1704]]</f>
        <v>#N/A N/A</v>
      </c>
      <c r="BMO36" t="str">
        <f>SOFR3mo_PX[[#This Row],[Column1705]]</f>
        <v>#N/A N/A</v>
      </c>
      <c r="BMP36" t="str">
        <f>SOFR3mo_PX[[#This Row],[Column1706]]</f>
        <v>#N/A N/A</v>
      </c>
      <c r="BMQ36" t="str">
        <f>SOFR3mo_PX[[#This Row],[Column1707]]</f>
        <v>#N/A N/A</v>
      </c>
      <c r="BMR36" t="str">
        <f>SOFR3mo_PX[[#This Row],[Column1708]]</f>
        <v>#N/A N/A</v>
      </c>
      <c r="BMS36" t="str">
        <f>SOFR3mo_PX[[#This Row],[Column1709]]</f>
        <v>#N/A N/A</v>
      </c>
      <c r="BMT36" t="str">
        <f>SOFR3mo_PX[[#This Row],[Column1710]]</f>
        <v>#N/A N/A</v>
      </c>
      <c r="BMU36" t="str">
        <f>SOFR3mo_PX[[#This Row],[Column1711]]</f>
        <v>#N/A N/A</v>
      </c>
      <c r="BMV36" t="str">
        <f>SOFR3mo_PX[[#This Row],[Column1712]]</f>
        <v>#N/A N/A</v>
      </c>
      <c r="BMW36" t="str">
        <f>SOFR3mo_PX[[#This Row],[Column1713]]</f>
        <v>#N/A N/A</v>
      </c>
      <c r="BMX36" t="str">
        <f>SOFR3mo_PX[[#This Row],[Column1714]]</f>
        <v>#N/A N/A</v>
      </c>
      <c r="BMY36" t="str">
        <f>SOFR3mo_PX[[#This Row],[Column1715]]</f>
        <v>#N/A N/A</v>
      </c>
      <c r="BMZ36" t="str">
        <f>SOFR3mo_PX[[#This Row],[Column1716]]</f>
        <v>#N/A N/A</v>
      </c>
      <c r="BNA36" t="str">
        <f>SOFR3mo_PX[[#This Row],[Column1717]]</f>
        <v>#N/A N/A</v>
      </c>
      <c r="BNB36" t="str">
        <f>SOFR3mo_PX[[#This Row],[Column1718]]</f>
        <v>#N/A N/A</v>
      </c>
      <c r="BNC36" t="str">
        <f>SOFR3mo_PX[[#This Row],[Column1719]]</f>
        <v>#N/A N/A</v>
      </c>
      <c r="BND36" t="str">
        <f>SOFR3mo_PX[[#This Row],[Column1720]]</f>
        <v>#N/A N/A</v>
      </c>
      <c r="BNE36" t="str">
        <f>SOFR3mo_PX[[#This Row],[Column1721]]</f>
        <v>#N/A N/A</v>
      </c>
      <c r="BNF36" t="str">
        <f>SOFR3mo_PX[[#This Row],[Column1722]]</f>
        <v>#N/A N/A</v>
      </c>
      <c r="BNG36" t="str">
        <f>SOFR3mo_PX[[#This Row],[Column1723]]</f>
        <v>#N/A N/A</v>
      </c>
      <c r="BNH36" t="str">
        <f>SOFR3mo_PX[[#This Row],[Column1724]]</f>
        <v>#N/A N/A</v>
      </c>
      <c r="BNI36" t="str">
        <f>SOFR3mo_PX[[#This Row],[Column1725]]</f>
        <v>#N/A N/A</v>
      </c>
      <c r="BNJ36" t="str">
        <f>SOFR3mo_PX[[#This Row],[Column1726]]</f>
        <v>#N/A N/A</v>
      </c>
      <c r="BNK36" t="str">
        <f>SOFR3mo_PX[[#This Row],[Column1727]]</f>
        <v>#N/A N/A</v>
      </c>
      <c r="BNL36" t="str">
        <f>SOFR3mo_PX[[#This Row],[Column1728]]</f>
        <v>#N/A N/A</v>
      </c>
      <c r="BNM36" t="str">
        <f>SOFR3mo_PX[[#This Row],[Column1729]]</f>
        <v>#N/A N/A</v>
      </c>
      <c r="BNN36" t="str">
        <f>SOFR3mo_PX[[#This Row],[Column1730]]</f>
        <v>#N/A N/A</v>
      </c>
      <c r="BNO36" t="str">
        <f>SOFR3mo_PX[[#This Row],[Column1731]]</f>
        <v>#N/A N/A</v>
      </c>
      <c r="BNP36" t="str">
        <f>SOFR3mo_PX[[#This Row],[Column1732]]</f>
        <v>#N/A N/A</v>
      </c>
      <c r="BNQ36" t="str">
        <f>SOFR3mo_PX[[#This Row],[Column1733]]</f>
        <v>#N/A N/A</v>
      </c>
      <c r="BNR36" t="str">
        <f>SOFR3mo_PX[[#This Row],[Column1734]]</f>
        <v>#N/A N/A</v>
      </c>
      <c r="BNS36" t="str">
        <f>SOFR3mo_PX[[#This Row],[Column1735]]</f>
        <v>#N/A N/A</v>
      </c>
      <c r="BNT36" t="str">
        <f>SOFR3mo_PX[[#This Row],[Column1736]]</f>
        <v>#N/A N/A</v>
      </c>
      <c r="BNU36" t="str">
        <f>SOFR3mo_PX[[#This Row],[Column1737]]</f>
        <v>#N/A N/A</v>
      </c>
      <c r="BNV36" t="str">
        <f>SOFR3mo_PX[[#This Row],[Column1738]]</f>
        <v>#N/A N/A</v>
      </c>
      <c r="BNW36" t="str">
        <f>SOFR3mo_PX[[#This Row],[Column1739]]</f>
        <v>#N/A N/A</v>
      </c>
      <c r="BNX36" t="str">
        <f>SOFR3mo_PX[[#This Row],[Column1740]]</f>
        <v>#N/A N/A</v>
      </c>
      <c r="BNY36" t="str">
        <f>SOFR3mo_PX[[#This Row],[Column1741]]</f>
        <v>#N/A N/A</v>
      </c>
      <c r="BNZ36" t="str">
        <f>SOFR3mo_PX[[#This Row],[Column1742]]</f>
        <v>#N/A N/A</v>
      </c>
      <c r="BOA36" t="str">
        <f>SOFR3mo_PX[[#This Row],[Column1743]]</f>
        <v>#N/A N/A</v>
      </c>
      <c r="BOB36" t="str">
        <f>SOFR3mo_PX[[#This Row],[Column1744]]</f>
        <v>#N/A N/A</v>
      </c>
      <c r="BOC36" t="str">
        <f>SOFR3mo_PX[[#This Row],[Column1745]]</f>
        <v>#N/A N/A</v>
      </c>
      <c r="BOD36" t="str">
        <f>SOFR3mo_PX[[#This Row],[Column1746]]</f>
        <v>#N/A N/A</v>
      </c>
      <c r="BOE36" t="str">
        <f>SOFR3mo_PX[[#This Row],[Column1747]]</f>
        <v>#N/A N/A</v>
      </c>
      <c r="BOF36" t="str">
        <f>SOFR3mo_PX[[#This Row],[Column1748]]</f>
        <v>#N/A N/A</v>
      </c>
      <c r="BOG36" t="str">
        <f>SOFR3mo_PX[[#This Row],[Column1749]]</f>
        <v>#N/A N/A</v>
      </c>
      <c r="BOH36" t="str">
        <f>SOFR3mo_PX[[#This Row],[Column1750]]</f>
        <v>#N/A N/A</v>
      </c>
      <c r="BOI36" t="str">
        <f>SOFR3mo_PX[[#This Row],[Column1751]]</f>
        <v>#N/A N/A</v>
      </c>
      <c r="BOJ36" t="str">
        <f>SOFR3mo_PX[[#This Row],[Column1752]]</f>
        <v>#N/A N/A</v>
      </c>
      <c r="BOK36" t="str">
        <f>SOFR3mo_PX[[#This Row],[Column1753]]</f>
        <v>#N/A N/A</v>
      </c>
      <c r="BOL36" t="str">
        <f>SOFR3mo_PX[[#This Row],[Column1754]]</f>
        <v>#N/A N/A</v>
      </c>
      <c r="BOM36" t="str">
        <f>SOFR3mo_PX[[#This Row],[Column1755]]</f>
        <v>#N/A N/A</v>
      </c>
      <c r="BON36" t="str">
        <f>SOFR3mo_PX[[#This Row],[Column1756]]</f>
        <v>#N/A N/A</v>
      </c>
      <c r="BOO36" t="str">
        <f>SOFR3mo_PX[[#This Row],[Column1757]]</f>
        <v>#N/A N/A</v>
      </c>
      <c r="BOP36" t="str">
        <f>SOFR3mo_PX[[#This Row],[Column1758]]</f>
        <v>#N/A N/A</v>
      </c>
      <c r="BOQ36" t="str">
        <f>SOFR3mo_PX[[#This Row],[Column1759]]</f>
        <v>#N/A N/A</v>
      </c>
      <c r="BOR36" t="str">
        <f>SOFR3mo_PX[[#This Row],[Column1760]]</f>
        <v>#N/A N/A</v>
      </c>
      <c r="BOS36" t="str">
        <f>SOFR3mo_PX[[#This Row],[Column1761]]</f>
        <v>#N/A N/A</v>
      </c>
      <c r="BOT36" t="str">
        <f>SOFR3mo_PX[[#This Row],[Column1762]]</f>
        <v>#N/A N/A</v>
      </c>
      <c r="BOU36" t="str">
        <f>SOFR3mo_PX[[#This Row],[Column1763]]</f>
        <v>#N/A N/A</v>
      </c>
      <c r="BOV36" t="str">
        <f>SOFR3mo_PX[[#This Row],[Column1764]]</f>
        <v>#N/A N/A</v>
      </c>
      <c r="BOW36" t="str">
        <f>SOFR3mo_PX[[#This Row],[Column1765]]</f>
        <v>#N/A N/A</v>
      </c>
      <c r="BOX36" t="str">
        <f>SOFR3mo_PX[[#This Row],[Column1766]]</f>
        <v>#N/A N/A</v>
      </c>
      <c r="BOY36" t="str">
        <f>SOFR3mo_PX[[#This Row],[Column1767]]</f>
        <v>#N/A N/A</v>
      </c>
      <c r="BOZ36" t="str">
        <f>SOFR3mo_PX[[#This Row],[Column1768]]</f>
        <v>#N/A N/A</v>
      </c>
      <c r="BPA36" t="str">
        <f>SOFR3mo_PX[[#This Row],[Column1769]]</f>
        <v>#N/A N/A</v>
      </c>
      <c r="BPB36" t="str">
        <f>SOFR3mo_PX[[#This Row],[Column1770]]</f>
        <v>#N/A N/A</v>
      </c>
      <c r="BPC36" t="str">
        <f>SOFR3mo_PX[[#This Row],[Column1771]]</f>
        <v>#N/A N/A</v>
      </c>
      <c r="BPD36" t="str">
        <f>SOFR3mo_PX[[#This Row],[Column1772]]</f>
        <v>#N/A N/A</v>
      </c>
      <c r="BPE36" t="str">
        <f>SOFR3mo_PX[[#This Row],[Column1773]]</f>
        <v>#N/A N/A</v>
      </c>
      <c r="BPF36" t="str">
        <f>SOFR3mo_PX[[#This Row],[Column1774]]</f>
        <v>#N/A N/A</v>
      </c>
      <c r="BPG36" t="str">
        <f>SOFR3mo_PX[[#This Row],[Column1775]]</f>
        <v>#N/A N/A</v>
      </c>
      <c r="BPH36" t="str">
        <f>SOFR3mo_PX[[#This Row],[Column1776]]</f>
        <v>#N/A N/A</v>
      </c>
      <c r="BPI36" t="str">
        <f>SOFR3mo_PX[[#This Row],[Column1777]]</f>
        <v>#N/A N/A</v>
      </c>
      <c r="BPJ36" t="str">
        <f>SOFR3mo_PX[[#This Row],[Column1778]]</f>
        <v>#N/A N/A</v>
      </c>
      <c r="BPK36" t="str">
        <f>SOFR3mo_PX[[#This Row],[Column1779]]</f>
        <v>#N/A N/A</v>
      </c>
      <c r="BPL36" t="str">
        <f>SOFR3mo_PX[[#This Row],[Column1780]]</f>
        <v>#N/A N/A</v>
      </c>
      <c r="BPM36" t="str">
        <f>SOFR3mo_PX[[#This Row],[Column1781]]</f>
        <v>#N/A N/A</v>
      </c>
      <c r="BPN36" t="str">
        <f>SOFR3mo_PX[[#This Row],[Column1782]]</f>
        <v>#N/A N/A</v>
      </c>
      <c r="BPO36" t="str">
        <f>SOFR3mo_PX[[#This Row],[Column1783]]</f>
        <v>#N/A N/A</v>
      </c>
      <c r="BPP36" t="str">
        <f>SOFR3mo_PX[[#This Row],[Column1784]]</f>
        <v>#N/A N/A</v>
      </c>
      <c r="BPQ36" t="str">
        <f>SOFR3mo_PX[[#This Row],[Column1785]]</f>
        <v>#N/A N/A</v>
      </c>
      <c r="BPR36" t="str">
        <f>SOFR3mo_PX[[#This Row],[Column1786]]</f>
        <v>#N/A N/A</v>
      </c>
      <c r="BPS36" t="str">
        <f>SOFR3mo_PX[[#This Row],[Column1787]]</f>
        <v>#N/A N/A</v>
      </c>
      <c r="BPT36" t="str">
        <f>SOFR3mo_PX[[#This Row],[Column1788]]</f>
        <v>#N/A N/A</v>
      </c>
      <c r="BPU36" t="str">
        <f>SOFR3mo_PX[[#This Row],[Column1789]]</f>
        <v>#N/A N/A</v>
      </c>
      <c r="BPV36" t="str">
        <f>SOFR3mo_PX[[#This Row],[Column1790]]</f>
        <v>#N/A N/A</v>
      </c>
      <c r="BPW36" t="str">
        <f>SOFR3mo_PX[[#This Row],[Column1791]]</f>
        <v>#N/A N/A</v>
      </c>
      <c r="BPX36" t="str">
        <f>SOFR3mo_PX[[#This Row],[Column1792]]</f>
        <v>#N/A N/A</v>
      </c>
      <c r="BPY36" t="str">
        <f>SOFR3mo_PX[[#This Row],[Column1793]]</f>
        <v>#N/A N/A</v>
      </c>
      <c r="BPZ36" t="str">
        <f>SOFR3mo_PX[[#This Row],[Column1794]]</f>
        <v>#N/A N/A</v>
      </c>
      <c r="BQA36" t="str">
        <f>SOFR3mo_PX[[#This Row],[Column1795]]</f>
        <v>#N/A N/A</v>
      </c>
      <c r="BQB36" t="str">
        <f>SOFR3mo_PX[[#This Row],[Column1796]]</f>
        <v>#N/A N/A</v>
      </c>
      <c r="BQC36" t="str">
        <f>SOFR3mo_PX[[#This Row],[Column1797]]</f>
        <v>#N/A N/A</v>
      </c>
      <c r="BQD36" t="str">
        <f>SOFR3mo_PX[[#This Row],[Column1798]]</f>
        <v>#N/A N/A</v>
      </c>
      <c r="BQE36" t="str">
        <f>SOFR3mo_PX[[#This Row],[Column1799]]</f>
        <v>#N/A N/A</v>
      </c>
      <c r="BQF36" t="str">
        <f>SOFR3mo_PX[[#This Row],[Column1800]]</f>
        <v>#N/A N/A</v>
      </c>
      <c r="BQG36" t="str">
        <f>SOFR3mo_PX[[#This Row],[Column1801]]</f>
        <v>#N/A N/A</v>
      </c>
      <c r="BQH36" t="str">
        <f>SOFR3mo_PX[[#This Row],[Column1802]]</f>
        <v>#N/A N/A</v>
      </c>
      <c r="BQI36" t="str">
        <f>SOFR3mo_PX[[#This Row],[Column1803]]</f>
        <v>#N/A N/A</v>
      </c>
      <c r="BQJ36" t="str">
        <f>SOFR3mo_PX[[#This Row],[Column1804]]</f>
        <v>#N/A N/A</v>
      </c>
      <c r="BQK36" t="str">
        <f>SOFR3mo_PX[[#This Row],[Column1805]]</f>
        <v>#N/A N/A</v>
      </c>
      <c r="BQL36" t="str">
        <f>SOFR3mo_PX[[#This Row],[Column1806]]</f>
        <v>#N/A N/A</v>
      </c>
      <c r="BQM36" t="str">
        <f>SOFR3mo_PX[[#This Row],[Column1807]]</f>
        <v>#N/A N/A</v>
      </c>
      <c r="BQN36" t="str">
        <f>SOFR3mo_PX[[#This Row],[Column1808]]</f>
        <v>#N/A N/A</v>
      </c>
      <c r="BQO36" t="str">
        <f>SOFR3mo_PX[[#This Row],[Column1809]]</f>
        <v>#N/A N/A</v>
      </c>
      <c r="BQP36" t="str">
        <f>SOFR3mo_PX[[#This Row],[Column1810]]</f>
        <v>#N/A N/A</v>
      </c>
      <c r="BQQ36" t="str">
        <f>SOFR3mo_PX[[#This Row],[Column1811]]</f>
        <v>#N/A N/A</v>
      </c>
      <c r="BQR36" t="str">
        <f>SOFR3mo_PX[[#This Row],[Column1812]]</f>
        <v>#N/A N/A</v>
      </c>
      <c r="BQS36" t="str">
        <f>SOFR3mo_PX[[#This Row],[Column1813]]</f>
        <v>#N/A N/A</v>
      </c>
      <c r="BQT36" t="str">
        <f>SOFR3mo_PX[[#This Row],[Column1814]]</f>
        <v>#N/A N/A</v>
      </c>
      <c r="BQU36" t="str">
        <f>SOFR3mo_PX[[#This Row],[Column1815]]</f>
        <v>#N/A N/A</v>
      </c>
      <c r="BQV36" t="str">
        <f>SOFR3mo_PX[[#This Row],[Column1816]]</f>
        <v>#N/A N/A</v>
      </c>
      <c r="BQW36" t="str">
        <f>SOFR3mo_PX[[#This Row],[Column1817]]</f>
        <v>#N/A N/A</v>
      </c>
      <c r="BQX36" t="str">
        <f>SOFR3mo_PX[[#This Row],[Column1818]]</f>
        <v>#N/A N/A</v>
      </c>
      <c r="BQY36" t="str">
        <f>SOFR3mo_PX[[#This Row],[Column1819]]</f>
        <v>#N/A N/A</v>
      </c>
      <c r="BQZ36" t="str">
        <f>SOFR3mo_PX[[#This Row],[Column1820]]</f>
        <v>#N/A N/A</v>
      </c>
      <c r="BRA36" t="str">
        <f>SOFR3mo_PX[[#This Row],[Column1821]]</f>
        <v>#N/A N/A</v>
      </c>
      <c r="BRB36" t="str">
        <f>SOFR3mo_PX[[#This Row],[Column1822]]</f>
        <v>#N/A N/A</v>
      </c>
      <c r="BRC36" t="str">
        <f>SOFR3mo_PX[[#This Row],[Column1823]]</f>
        <v>#N/A N/A</v>
      </c>
      <c r="BRD36" t="str">
        <f>SOFR3mo_PX[[#This Row],[Column1824]]</f>
        <v>#N/A N/A</v>
      </c>
      <c r="BRE36" t="str">
        <f>SOFR3mo_PX[[#This Row],[Column1825]]</f>
        <v>#N/A N/A</v>
      </c>
      <c r="BRF36" t="str">
        <f>SOFR3mo_PX[[#This Row],[Column1826]]</f>
        <v>#N/A N/A</v>
      </c>
      <c r="BRG36" t="str">
        <f>SOFR3mo_PX[[#This Row],[Column1827]]</f>
        <v>#N/A N/A</v>
      </c>
      <c r="BRH36" t="str">
        <f>SOFR3mo_PX[[#This Row],[Column1828]]</f>
        <v>#N/A N/A</v>
      </c>
      <c r="BRI36" t="str">
        <f>SOFR3mo_PX[[#This Row],[Column1829]]</f>
        <v>#N/A N/A</v>
      </c>
      <c r="BRJ36" t="str">
        <f>SOFR3mo_PX[[#This Row],[Column1830]]</f>
        <v>#N/A N/A</v>
      </c>
      <c r="BRK36" t="str">
        <f>SOFR3mo_PX[[#This Row],[Column1831]]</f>
        <v>#N/A N/A</v>
      </c>
      <c r="BRL36" t="str">
        <f>SOFR3mo_PX[[#This Row],[Column1832]]</f>
        <v>#N/A N/A</v>
      </c>
      <c r="BRM36" t="str">
        <f>SOFR3mo_PX[[#This Row],[Column1833]]</f>
        <v>#N/A N/A</v>
      </c>
      <c r="BRN36" t="str">
        <f>SOFR3mo_PX[[#This Row],[Column1834]]</f>
        <v>#N/A N/A</v>
      </c>
      <c r="BRO36" t="str">
        <f>SOFR3mo_PX[[#This Row],[Column1835]]</f>
        <v>#N/A N/A</v>
      </c>
      <c r="BRP36" t="str">
        <f>SOFR3mo_PX[[#This Row],[Column1836]]</f>
        <v>#N/A N/A</v>
      </c>
      <c r="BRQ36" t="str">
        <f>SOFR3mo_PX[[#This Row],[Column1837]]</f>
        <v>#N/A N/A</v>
      </c>
      <c r="BRR36" t="str">
        <f>SOFR3mo_PX[[#This Row],[Column1838]]</f>
        <v>#N/A N/A</v>
      </c>
      <c r="BRS36" t="str">
        <f>SOFR3mo_PX[[#This Row],[Column1839]]</f>
        <v>#N/A N/A</v>
      </c>
      <c r="BRT36" t="str">
        <f>SOFR3mo_PX[[#This Row],[Column1840]]</f>
        <v>#N/A N/A</v>
      </c>
      <c r="BRU36" t="str">
        <f>SOFR3mo_PX[[#This Row],[Column1841]]</f>
        <v>#N/A N/A</v>
      </c>
      <c r="BRV36" t="str">
        <f>SOFR3mo_PX[[#This Row],[Column1842]]</f>
        <v>#N/A N/A</v>
      </c>
      <c r="BRW36" t="str">
        <f>SOFR3mo_PX[[#This Row],[Column1843]]</f>
        <v>#N/A N/A</v>
      </c>
      <c r="BRX36" t="str">
        <f>SOFR3mo_PX[[#This Row],[Column1844]]</f>
        <v>#N/A N/A</v>
      </c>
      <c r="BRY36" t="str">
        <f>SOFR3mo_PX[[#This Row],[Column1845]]</f>
        <v>#N/A N/A</v>
      </c>
      <c r="BRZ36" t="str">
        <f>SOFR3mo_PX[[#This Row],[Column1846]]</f>
        <v>#N/A N/A</v>
      </c>
      <c r="BSA36" t="str">
        <f>SOFR3mo_PX[[#This Row],[Column1847]]</f>
        <v>#N/A N/A</v>
      </c>
      <c r="BSB36" t="str">
        <f>SOFR3mo_PX[[#This Row],[Column1848]]</f>
        <v>#N/A N/A</v>
      </c>
      <c r="BSC36" t="str">
        <f>SOFR3mo_PX[[#This Row],[Column1849]]</f>
        <v>#N/A N/A</v>
      </c>
      <c r="BSD36" t="str">
        <f>SOFR3mo_PX[[#This Row],[Column1850]]</f>
        <v>#N/A N/A</v>
      </c>
      <c r="BSE36" t="str">
        <f>SOFR3mo_PX[[#This Row],[Column1851]]</f>
        <v>#N/A N/A</v>
      </c>
      <c r="BSF36" t="str">
        <f>SOFR3mo_PX[[#This Row],[Column1852]]</f>
        <v>#N/A N/A</v>
      </c>
      <c r="BSG36" t="str">
        <f>SOFR3mo_PX[[#This Row],[Column1853]]</f>
        <v>#N/A N/A</v>
      </c>
      <c r="BSH36" t="str">
        <f>SOFR3mo_PX[[#This Row],[Column1854]]</f>
        <v>#N/A N/A</v>
      </c>
      <c r="BSI36" t="str">
        <f>SOFR3mo_PX[[#This Row],[Column1855]]</f>
        <v>#N/A N/A</v>
      </c>
      <c r="BSJ36" t="str">
        <f>SOFR3mo_PX[[#This Row],[Column1856]]</f>
        <v>#N/A N/A</v>
      </c>
      <c r="BSK36" t="str">
        <f>SOFR3mo_PX[[#This Row],[Column1857]]</f>
        <v>#N/A N/A</v>
      </c>
      <c r="BSL36" t="str">
        <f>SOFR3mo_PX[[#This Row],[Column1858]]</f>
        <v>#N/A N/A</v>
      </c>
      <c r="BSM36" t="str">
        <f>SOFR3mo_PX[[#This Row],[Column1859]]</f>
        <v>#N/A N/A</v>
      </c>
      <c r="BSN36" t="str">
        <f>SOFR3mo_PX[[#This Row],[Column1860]]</f>
        <v>#N/A N/A</v>
      </c>
      <c r="BSO36" t="str">
        <f>SOFR3mo_PX[[#This Row],[Column1861]]</f>
        <v>#N/A N/A</v>
      </c>
      <c r="BSP36" t="str">
        <f>SOFR3mo_PX[[#This Row],[Column1862]]</f>
        <v>#N/A N/A</v>
      </c>
      <c r="BSQ36" t="str">
        <f>SOFR3mo_PX[[#This Row],[Column1863]]</f>
        <v>#N/A N/A</v>
      </c>
      <c r="BSR36" t="str">
        <f>SOFR3mo_PX[[#This Row],[Column1864]]</f>
        <v>#N/A N/A</v>
      </c>
      <c r="BSS36" t="str">
        <f>SOFR3mo_PX[[#This Row],[Column1865]]</f>
        <v>#N/A N/A</v>
      </c>
      <c r="BST36" t="str">
        <f>SOFR3mo_PX[[#This Row],[Column1866]]</f>
        <v>#N/A N/A</v>
      </c>
      <c r="BSU36" t="str">
        <f>SOFR3mo_PX[[#This Row],[Column1867]]</f>
        <v>#N/A N/A</v>
      </c>
      <c r="BSV36" t="str">
        <f>SOFR3mo_PX[[#This Row],[Column1868]]</f>
        <v>#N/A N/A</v>
      </c>
      <c r="BSW36" t="str">
        <f>SOFR3mo_PX[[#This Row],[Column1869]]</f>
        <v>#N/A N/A</v>
      </c>
      <c r="BSX36" t="str">
        <f>SOFR3mo_PX[[#This Row],[Column1870]]</f>
        <v>#N/A N/A</v>
      </c>
      <c r="BSY36" t="str">
        <f>SOFR3mo_PX[[#This Row],[Column1871]]</f>
        <v>#N/A N/A</v>
      </c>
      <c r="BSZ36" t="str">
        <f>SOFR3mo_PX[[#This Row],[Column1872]]</f>
        <v>#N/A N/A</v>
      </c>
      <c r="BTA36" t="str">
        <f>SOFR3mo_PX[[#This Row],[Column1873]]</f>
        <v>#N/A N/A</v>
      </c>
      <c r="BTB36" t="str">
        <f>SOFR3mo_PX[[#This Row],[Column1874]]</f>
        <v>#N/A N/A</v>
      </c>
      <c r="BTC36" t="str">
        <f>SOFR3mo_PX[[#This Row],[Column1875]]</f>
        <v>#N/A N/A</v>
      </c>
      <c r="BTD36" t="str">
        <f>SOFR3mo_PX[[#This Row],[Column1876]]</f>
        <v>#N/A N/A</v>
      </c>
      <c r="BTE36" t="str">
        <f>SOFR3mo_PX[[#This Row],[Column1877]]</f>
        <v>#N/A N/A</v>
      </c>
      <c r="BTF36" t="str">
        <f>SOFR3mo_PX[[#This Row],[Column1878]]</f>
        <v>#N/A N/A</v>
      </c>
      <c r="BTG36" t="str">
        <f>SOFR3mo_PX[[#This Row],[Column1879]]</f>
        <v>#N/A N/A</v>
      </c>
      <c r="BTH36" t="str">
        <f>SOFR3mo_PX[[#This Row],[Column1880]]</f>
        <v>#N/A N/A</v>
      </c>
      <c r="BTI36" t="str">
        <f>SOFR3mo_PX[[#This Row],[Column1881]]</f>
        <v>#N/A N/A</v>
      </c>
      <c r="BTJ36" t="str">
        <f>SOFR3mo_PX[[#This Row],[Column1882]]</f>
        <v>#N/A N/A</v>
      </c>
      <c r="BTK36" t="str">
        <f>SOFR3mo_PX[[#This Row],[Column1883]]</f>
        <v>#N/A N/A</v>
      </c>
      <c r="BTL36" t="str">
        <f>SOFR3mo_PX[[#This Row],[Column1884]]</f>
        <v>#N/A N/A</v>
      </c>
      <c r="BTM36" t="str">
        <f>SOFR3mo_PX[[#This Row],[Column1885]]</f>
        <v>#N/A N/A</v>
      </c>
      <c r="BTN36" t="str">
        <f>SOFR3mo_PX[[#This Row],[Column1886]]</f>
        <v>#N/A N/A</v>
      </c>
      <c r="BTO36" t="str">
        <f>SOFR3mo_PX[[#This Row],[Column1887]]</f>
        <v>#N/A N/A</v>
      </c>
      <c r="BTP36" t="str">
        <f>SOFR3mo_PX[[#This Row],[Column1888]]</f>
        <v>#N/A N/A</v>
      </c>
      <c r="BTQ36" t="str">
        <f>SOFR3mo_PX[[#This Row],[Column1889]]</f>
        <v>#N/A N/A</v>
      </c>
      <c r="BTR36" t="str">
        <f>SOFR3mo_PX[[#This Row],[Column1890]]</f>
        <v>#N/A N/A</v>
      </c>
      <c r="BTS36" t="str">
        <f>SOFR3mo_PX[[#This Row],[Column1891]]</f>
        <v>#N/A N/A</v>
      </c>
      <c r="BTT36" t="str">
        <f>SOFR3mo_PX[[#This Row],[Column1892]]</f>
        <v>#N/A N/A</v>
      </c>
      <c r="BTU36" t="str">
        <f>SOFR3mo_PX[[#This Row],[Column1893]]</f>
        <v>#N/A N/A</v>
      </c>
      <c r="BTV36" t="str">
        <f>SOFR3mo_PX[[#This Row],[Column1894]]</f>
        <v>#N/A N/A</v>
      </c>
      <c r="BTW36" t="str">
        <f>SOFR3mo_PX[[#This Row],[Column1895]]</f>
        <v>#N/A N/A</v>
      </c>
      <c r="BTX36" t="str">
        <f>SOFR3mo_PX[[#This Row],[Column1896]]</f>
        <v>#N/A N/A</v>
      </c>
      <c r="BTY36" t="str">
        <f>SOFR3mo_PX[[#This Row],[Column1897]]</f>
        <v>#N/A N/A</v>
      </c>
      <c r="BTZ36" t="str">
        <f>SOFR3mo_PX[[#This Row],[Column1898]]</f>
        <v>#N/A N/A</v>
      </c>
      <c r="BUA36" t="str">
        <f>SOFR3mo_PX[[#This Row],[Column1899]]</f>
        <v>#N/A N/A</v>
      </c>
      <c r="BUB36" t="str">
        <f>SOFR3mo_PX[[#This Row],[Column1900]]</f>
        <v>#N/A N/A</v>
      </c>
      <c r="BUC36" t="str">
        <f>SOFR3mo_PX[[#This Row],[Column1901]]</f>
        <v>#N/A N/A</v>
      </c>
      <c r="BUD36" t="str">
        <f>SOFR3mo_PX[[#This Row],[Column1902]]</f>
        <v>#N/A N/A</v>
      </c>
      <c r="BUE36" t="str">
        <f>SOFR3mo_PX[[#This Row],[Column1903]]</f>
        <v>#N/A N/A</v>
      </c>
      <c r="BUF36" t="str">
        <f>SOFR3mo_PX[[#This Row],[Column1904]]</f>
        <v>#N/A N/A</v>
      </c>
      <c r="BUG36" t="str">
        <f>SOFR3mo_PX[[#This Row],[Column1905]]</f>
        <v>#N/A N/A</v>
      </c>
      <c r="BUH36" t="str">
        <f>SOFR3mo_PX[[#This Row],[Column1906]]</f>
        <v>#N/A N/A</v>
      </c>
      <c r="BUI36" t="str">
        <f>SOFR3mo_PX[[#This Row],[Column1907]]</f>
        <v>#N/A N/A</v>
      </c>
      <c r="BUJ36" t="str">
        <f>SOFR3mo_PX[[#This Row],[Column1908]]</f>
        <v>#N/A N/A</v>
      </c>
      <c r="BUK36" t="str">
        <f>SOFR3mo_PX[[#This Row],[Column1909]]</f>
        <v>#N/A N/A</v>
      </c>
      <c r="BUL36" t="str">
        <f>SOFR3mo_PX[[#This Row],[Column1910]]</f>
        <v>#N/A N/A</v>
      </c>
      <c r="BUM36" t="str">
        <f>SOFR3mo_PX[[#This Row],[Column1911]]</f>
        <v>#N/A N/A</v>
      </c>
      <c r="BUN36" t="str">
        <f>SOFR3mo_PX[[#This Row],[Column1912]]</f>
        <v>#N/A N/A</v>
      </c>
      <c r="BUO36" t="str">
        <f>SOFR3mo_PX[[#This Row],[Column1913]]</f>
        <v>#N/A N/A</v>
      </c>
      <c r="BUP36" t="str">
        <f>SOFR3mo_PX[[#This Row],[Column1914]]</f>
        <v>#N/A N/A</v>
      </c>
      <c r="BUQ36" t="str">
        <f>SOFR3mo_PX[[#This Row],[Column1915]]</f>
        <v>#N/A N/A</v>
      </c>
      <c r="BUR36" t="str">
        <f>SOFR3mo_PX[[#This Row],[Column1916]]</f>
        <v>#N/A N/A</v>
      </c>
      <c r="BUS36" t="str">
        <f>SOFR3mo_PX[[#This Row],[Column1917]]</f>
        <v>#N/A N/A</v>
      </c>
      <c r="BUT36" t="str">
        <f>SOFR3mo_PX[[#This Row],[Column1918]]</f>
        <v>#N/A N/A</v>
      </c>
      <c r="BUU36" t="str">
        <f>SOFR3mo_PX[[#This Row],[Column1919]]</f>
        <v>#N/A N/A</v>
      </c>
      <c r="BUV36" t="str">
        <f>SOFR3mo_PX[[#This Row],[Column1920]]</f>
        <v>#N/A N/A</v>
      </c>
      <c r="BUW36" t="str">
        <f>SOFR3mo_PX[[#This Row],[Column1921]]</f>
        <v>#N/A N/A</v>
      </c>
      <c r="BUX36" t="str">
        <f>SOFR3mo_PX[[#This Row],[Column1922]]</f>
        <v>#N/A N/A</v>
      </c>
      <c r="BUY36" t="str">
        <f>SOFR3mo_PX[[#This Row],[Column1923]]</f>
        <v>#N/A N/A</v>
      </c>
      <c r="BUZ36" t="str">
        <f>SOFR3mo_PX[[#This Row],[Column1924]]</f>
        <v>#N/A N/A</v>
      </c>
      <c r="BVA36" t="str">
        <f>SOFR3mo_PX[[#This Row],[Column1925]]</f>
        <v>#N/A N/A</v>
      </c>
      <c r="BVB36" t="str">
        <f>SOFR3mo_PX[[#This Row],[Column1926]]</f>
        <v>#N/A N/A</v>
      </c>
      <c r="BVC36" t="str">
        <f>SOFR3mo_PX[[#This Row],[Column1927]]</f>
        <v>#N/A N/A</v>
      </c>
      <c r="BVD36" t="str">
        <f>SOFR3mo_PX[[#This Row],[Column1928]]</f>
        <v>#N/A N/A</v>
      </c>
      <c r="BVE36" t="str">
        <f>SOFR3mo_PX[[#This Row],[Column1929]]</f>
        <v>#N/A N/A</v>
      </c>
      <c r="BVF36" t="str">
        <f>SOFR3mo_PX[[#This Row],[Column1930]]</f>
        <v>#N/A N/A</v>
      </c>
      <c r="BVG36" t="str">
        <f>SOFR3mo_PX[[#This Row],[Column1931]]</f>
        <v>#N/A N/A</v>
      </c>
      <c r="BVH36" t="str">
        <f>SOFR3mo_PX[[#This Row],[Column1932]]</f>
        <v>#N/A N/A</v>
      </c>
      <c r="BVI36" t="str">
        <f>SOFR3mo_PX[[#This Row],[Column1933]]</f>
        <v>#N/A N/A</v>
      </c>
      <c r="BVJ36" t="str">
        <f>SOFR3mo_PX[[#This Row],[Column1934]]</f>
        <v>#N/A N/A</v>
      </c>
      <c r="BVK36" t="str">
        <f>SOFR3mo_PX[[#This Row],[Column1935]]</f>
        <v>#N/A N/A</v>
      </c>
      <c r="BVL36" t="str">
        <f>SOFR3mo_PX[[#This Row],[Column1936]]</f>
        <v>#N/A N/A</v>
      </c>
      <c r="BVM36" t="str">
        <f>SOFR3mo_PX[[#This Row],[Column1937]]</f>
        <v>#N/A N/A</v>
      </c>
      <c r="BVN36" t="str">
        <f>SOFR3mo_PX[[#This Row],[Column1938]]</f>
        <v>#N/A N/A</v>
      </c>
      <c r="BVO36" t="str">
        <f>SOFR3mo_PX[[#This Row],[Column1939]]</f>
        <v>#N/A N/A</v>
      </c>
      <c r="BVP36" t="str">
        <f>SOFR3mo_PX[[#This Row],[Column1940]]</f>
        <v>#N/A N/A</v>
      </c>
      <c r="BVQ36" t="str">
        <f>SOFR3mo_PX[[#This Row],[Column1941]]</f>
        <v>#N/A N/A</v>
      </c>
      <c r="BVR36" t="str">
        <f>SOFR3mo_PX[[#This Row],[Column1942]]</f>
        <v>#N/A N/A</v>
      </c>
      <c r="BVS36" t="str">
        <f>SOFR3mo_PX[[#This Row],[Column1943]]</f>
        <v>#N/A N/A</v>
      </c>
      <c r="BVT36" t="str">
        <f>SOFR3mo_PX[[#This Row],[Column1944]]</f>
        <v>#N/A N/A</v>
      </c>
      <c r="BVU36" t="str">
        <f>SOFR3mo_PX[[#This Row],[Column1945]]</f>
        <v>#N/A N/A</v>
      </c>
      <c r="BVV36" t="str">
        <f>SOFR3mo_PX[[#This Row],[Column1946]]</f>
        <v>#N/A N/A</v>
      </c>
      <c r="BVW36" t="str">
        <f>SOFR3mo_PX[[#This Row],[Column1947]]</f>
        <v>#N/A N/A</v>
      </c>
      <c r="BVX36" t="str">
        <f>SOFR3mo_PX[[#This Row],[Column1948]]</f>
        <v>#N/A N/A</v>
      </c>
      <c r="BVY36" t="str">
        <f>SOFR3mo_PX[[#This Row],[Column1949]]</f>
        <v>#N/A N/A</v>
      </c>
      <c r="BVZ36" t="str">
        <f>SOFR3mo_PX[[#This Row],[Column1950]]</f>
        <v>#N/A N/A</v>
      </c>
      <c r="BWA36" t="str">
        <f>SOFR3mo_PX[[#This Row],[Column1951]]</f>
        <v>#N/A N/A</v>
      </c>
      <c r="BWB36" t="str">
        <f>SOFR3mo_PX[[#This Row],[Column1952]]</f>
        <v>#N/A N/A</v>
      </c>
      <c r="BWC36" t="str">
        <f>SOFR3mo_PX[[#This Row],[Column1953]]</f>
        <v>#N/A N/A</v>
      </c>
      <c r="BWD36" t="str">
        <f>SOFR3mo_PX[[#This Row],[Column1954]]</f>
        <v>#N/A N/A</v>
      </c>
    </row>
    <row r="37" spans="1:1954" x14ac:dyDescent="0.25">
      <c r="A37" t="str">
        <f>SOFR3mo_PX[[#This Row],[Column1]]</f>
        <v>SFR36 Comdty</v>
      </c>
      <c r="B37">
        <f>IF(rtd!B35&lt;&gt;"",rtd!B35,SOFR3mo_PX[[#This Row],[Column2]])</f>
        <v>95.484999999999999</v>
      </c>
      <c r="C37">
        <f>SOFR3mo_PX[[#This Row],[Column3]]</f>
        <v>95.484999999999999</v>
      </c>
      <c r="D37">
        <f>SOFR3mo_PX[[#This Row],[Column4]]</f>
        <v>95.484999999999999</v>
      </c>
      <c r="E37">
        <f>SOFR3mo_PX[[#This Row],[Column5]]</f>
        <v>95.49</v>
      </c>
      <c r="F37">
        <f>SOFR3mo_PX[[#This Row],[Column6]]</f>
        <v>95.435000000000002</v>
      </c>
      <c r="G37">
        <f>SOFR3mo_PX[[#This Row],[Column7]]</f>
        <v>95.484999999999999</v>
      </c>
      <c r="H37">
        <f>SOFR3mo_PX[[#This Row],[Column8]]</f>
        <v>95.534999999999997</v>
      </c>
      <c r="I37">
        <f>SOFR3mo_PX[[#This Row],[Column9]]</f>
        <v>95.474999999999994</v>
      </c>
      <c r="J37">
        <f>SOFR3mo_PX[[#This Row],[Column10]]</f>
        <v>95.424999999999997</v>
      </c>
      <c r="K37">
        <f>SOFR3mo_PX[[#This Row],[Column11]]</f>
        <v>95.41</v>
      </c>
      <c r="L37">
        <f>SOFR3mo_PX[[#This Row],[Column12]]</f>
        <v>95.405000000000001</v>
      </c>
      <c r="M37">
        <f>SOFR3mo_PX[[#This Row],[Column13]]</f>
        <v>95.504999999999995</v>
      </c>
      <c r="N37">
        <f>SOFR3mo_PX[[#This Row],[Column14]]</f>
        <v>95.53</v>
      </c>
      <c r="O37">
        <f>SOFR3mo_PX[[#This Row],[Column15]]</f>
        <v>95.44</v>
      </c>
      <c r="P37">
        <f>SOFR3mo_PX[[#This Row],[Column16]]</f>
        <v>95.435000000000002</v>
      </c>
      <c r="Q37">
        <f>SOFR3mo_PX[[#This Row],[Column17]]</f>
        <v>95.495000000000005</v>
      </c>
      <c r="R37">
        <f>SOFR3mo_PX[[#This Row],[Column18]]</f>
        <v>95.474999999999994</v>
      </c>
      <c r="S37">
        <f>SOFR3mo_PX[[#This Row],[Column19]]</f>
        <v>95.444999999999993</v>
      </c>
      <c r="T37">
        <f>SOFR3mo_PX[[#This Row],[Column20]]</f>
        <v>95.495000000000005</v>
      </c>
      <c r="U37">
        <f>SOFR3mo_PX[[#This Row],[Column21]]</f>
        <v>95.41</v>
      </c>
      <c r="V37">
        <f>SOFR3mo_PX[[#This Row],[Column22]]</f>
        <v>95.41</v>
      </c>
      <c r="W37">
        <f>SOFR3mo_PX[[#This Row],[Column23]]</f>
        <v>95.334999999999994</v>
      </c>
      <c r="X37">
        <f>SOFR3mo_PX[[#This Row],[Column24]]</f>
        <v>95.275000000000006</v>
      </c>
      <c r="Y37">
        <f>SOFR3mo_PX[[#This Row],[Column25]]</f>
        <v>95.38</v>
      </c>
      <c r="Z37">
        <f>SOFR3mo_PX[[#This Row],[Column26]]</f>
        <v>95.39</v>
      </c>
      <c r="AA37">
        <f>SOFR3mo_PX[[#This Row],[Column27]]</f>
        <v>95.43</v>
      </c>
      <c r="AB37">
        <f>SOFR3mo_PX[[#This Row],[Column28]]</f>
        <v>95.41</v>
      </c>
      <c r="AC37">
        <f>SOFR3mo_PX[[#This Row],[Column29]]</f>
        <v>95.34</v>
      </c>
      <c r="AD37">
        <f>SOFR3mo_PX[[#This Row],[Column30]]</f>
        <v>95.375</v>
      </c>
      <c r="AE37">
        <f>SOFR3mo_PX[[#This Row],[Column31]]</f>
        <v>95.424999999999997</v>
      </c>
      <c r="AF37">
        <f>SOFR3mo_PX[[#This Row],[Column32]]</f>
        <v>95.48</v>
      </c>
      <c r="AG37">
        <f>SOFR3mo_PX[[#This Row],[Column33]]</f>
        <v>95.48</v>
      </c>
      <c r="AH37">
        <f>SOFR3mo_PX[[#This Row],[Column34]]</f>
        <v>95.575000000000003</v>
      </c>
      <c r="AI37">
        <f>SOFR3mo_PX[[#This Row],[Column35]]</f>
        <v>95.525000000000006</v>
      </c>
      <c r="AJ37">
        <f>SOFR3mo_PX[[#This Row],[Column36]]</f>
        <v>95.52</v>
      </c>
      <c r="AK37">
        <f>SOFR3mo_PX[[#This Row],[Column37]]</f>
        <v>95.555000000000007</v>
      </c>
      <c r="AL37">
        <f>SOFR3mo_PX[[#This Row],[Column38]]</f>
        <v>95.6</v>
      </c>
      <c r="AM37">
        <f>SOFR3mo_PX[[#This Row],[Column39]]</f>
        <v>95.65</v>
      </c>
      <c r="AN37">
        <f>SOFR3mo_PX[[#This Row],[Column40]]</f>
        <v>95.625</v>
      </c>
      <c r="AO37">
        <f>SOFR3mo_PX[[#This Row],[Column41]]</f>
        <v>95.564999999999998</v>
      </c>
      <c r="AP37">
        <f>SOFR3mo_PX[[#This Row],[Column42]]</f>
        <v>95.515000000000001</v>
      </c>
      <c r="AQ37">
        <f>SOFR3mo_PX[[#This Row],[Column43]]</f>
        <v>95.454999999999998</v>
      </c>
      <c r="AR37">
        <f>SOFR3mo_PX[[#This Row],[Column44]]</f>
        <v>95.385000000000005</v>
      </c>
      <c r="AS37">
        <f>SOFR3mo_PX[[#This Row],[Column45]]</f>
        <v>95.355000000000004</v>
      </c>
      <c r="AT37">
        <f>SOFR3mo_PX[[#This Row],[Column46]]</f>
        <v>95.305000000000007</v>
      </c>
      <c r="AU37">
        <f>SOFR3mo_PX[[#This Row],[Column47]]</f>
        <v>95.52</v>
      </c>
      <c r="AV37">
        <f>SOFR3mo_PX[[#This Row],[Column48]]</f>
        <v>95.52</v>
      </c>
      <c r="AW37">
        <f>SOFR3mo_PX[[#This Row],[Column49]]</f>
        <v>95.62</v>
      </c>
      <c r="AX37">
        <f>SOFR3mo_PX[[#This Row],[Column50]]</f>
        <v>95.605000000000004</v>
      </c>
      <c r="AY37">
        <f>SOFR3mo_PX[[#This Row],[Column51]]</f>
        <v>95.594999999999999</v>
      </c>
      <c r="AZ37">
        <f>SOFR3mo_PX[[#This Row],[Column52]]</f>
        <v>95.49</v>
      </c>
      <c r="BA37">
        <f>SOFR3mo_PX[[#This Row],[Column53]]</f>
        <v>95.64</v>
      </c>
      <c r="BB37">
        <f>SOFR3mo_PX[[#This Row],[Column54]]</f>
        <v>95.61</v>
      </c>
      <c r="BC37">
        <f>SOFR3mo_PX[[#This Row],[Column55]]</f>
        <v>95.775000000000006</v>
      </c>
      <c r="BD37">
        <f>SOFR3mo_PX[[#This Row],[Column56]]</f>
        <v>95.864999999999995</v>
      </c>
      <c r="BE37">
        <f>SOFR3mo_PX[[#This Row],[Column57]]</f>
        <v>96.045000000000002</v>
      </c>
      <c r="BF37">
        <f>SOFR3mo_PX[[#This Row],[Column58]]</f>
        <v>95.965000000000003</v>
      </c>
      <c r="BG37">
        <f>SOFR3mo_PX[[#This Row],[Column59]]</f>
        <v>95.825000000000003</v>
      </c>
      <c r="BH37">
        <f>SOFR3mo_PX[[#This Row],[Column60]]</f>
        <v>95.885000000000005</v>
      </c>
      <c r="BI37">
        <f>SOFR3mo_PX[[#This Row],[Column61]]</f>
        <v>95.78</v>
      </c>
      <c r="BJ37">
        <f>SOFR3mo_PX[[#This Row],[Column62]]</f>
        <v>95.75</v>
      </c>
      <c r="BK37">
        <f>SOFR3mo_PX[[#This Row],[Column63]]</f>
        <v>95.635000000000005</v>
      </c>
      <c r="BL37">
        <f>SOFR3mo_PX[[#This Row],[Column64]]</f>
        <v>95.72</v>
      </c>
      <c r="BM37">
        <f>SOFR3mo_PX[[#This Row],[Column65]]</f>
        <v>95.75</v>
      </c>
      <c r="BN37">
        <f>SOFR3mo_PX[[#This Row],[Column66]]</f>
        <v>95.724999999999994</v>
      </c>
      <c r="BO37">
        <f>SOFR3mo_PX[[#This Row],[Column67]]</f>
        <v>95.805000000000007</v>
      </c>
      <c r="BP37">
        <f>SOFR3mo_PX[[#This Row],[Column68]]</f>
        <v>95.82</v>
      </c>
      <c r="BQ37">
        <f>SOFR3mo_PX[[#This Row],[Column69]]</f>
        <v>95.78</v>
      </c>
      <c r="BR37">
        <f>SOFR3mo_PX[[#This Row],[Column70]]</f>
        <v>95.825000000000003</v>
      </c>
      <c r="BS37">
        <f>SOFR3mo_PX[[#This Row],[Column71]]</f>
        <v>95.79</v>
      </c>
      <c r="BT37">
        <f>SOFR3mo_PX[[#This Row],[Column72]]</f>
        <v>95.765000000000001</v>
      </c>
      <c r="BU37">
        <f>SOFR3mo_PX[[#This Row],[Column73]]</f>
        <v>95.84</v>
      </c>
      <c r="BV37">
        <f>SOFR3mo_PX[[#This Row],[Column74]]</f>
        <v>95.81</v>
      </c>
      <c r="BW37">
        <f>SOFR3mo_PX[[#This Row],[Column75]]</f>
        <v>95.84</v>
      </c>
      <c r="BX37">
        <f>SOFR3mo_PX[[#This Row],[Column76]]</f>
        <v>95.935000000000002</v>
      </c>
      <c r="BY37">
        <f>SOFR3mo_PX[[#This Row],[Column77]]</f>
        <v>95.805000000000007</v>
      </c>
      <c r="BZ37">
        <f>SOFR3mo_PX[[#This Row],[Column78]]</f>
        <v>95.83</v>
      </c>
      <c r="CA37">
        <f>SOFR3mo_PX[[#This Row],[Column79]]</f>
        <v>95.855000000000004</v>
      </c>
      <c r="CB37">
        <f>SOFR3mo_PX[[#This Row],[Column80]]</f>
        <v>95.915000000000006</v>
      </c>
      <c r="CC37">
        <f>SOFR3mo_PX[[#This Row],[Column81]]</f>
        <v>95.96</v>
      </c>
      <c r="CD37">
        <f>SOFR3mo_PX[[#This Row],[Column82]]</f>
        <v>95.9</v>
      </c>
      <c r="CE37">
        <f>SOFR3mo_PX[[#This Row],[Column83]]</f>
        <v>95.84</v>
      </c>
      <c r="CF37">
        <f>SOFR3mo_PX[[#This Row],[Column84]]</f>
        <v>95.885000000000005</v>
      </c>
      <c r="CG37">
        <f>SOFR3mo_PX[[#This Row],[Column85]]</f>
        <v>95.814999999999998</v>
      </c>
      <c r="CH37">
        <f>SOFR3mo_PX[[#This Row],[Column86]]</f>
        <v>95.68</v>
      </c>
      <c r="CI37">
        <f>SOFR3mo_PX[[#This Row],[Column87]]</f>
        <v>95.655000000000001</v>
      </c>
      <c r="CJ37">
        <f>SOFR3mo_PX[[#This Row],[Column88]]</f>
        <v>95.575000000000003</v>
      </c>
      <c r="CK37">
        <f>SOFR3mo_PX[[#This Row],[Column89]]</f>
        <v>95.525000000000006</v>
      </c>
      <c r="CL37">
        <f>SOFR3mo_PX[[#This Row],[Column90]]</f>
        <v>95.525000000000006</v>
      </c>
      <c r="CM37">
        <f>SOFR3mo_PX[[#This Row],[Column91]]</f>
        <v>95.6</v>
      </c>
      <c r="CN37">
        <f>SOFR3mo_PX[[#This Row],[Column92]]</f>
        <v>95.6</v>
      </c>
      <c r="CO37">
        <f>SOFR3mo_PX[[#This Row],[Column93]]</f>
        <v>95.545000000000002</v>
      </c>
      <c r="CP37">
        <f>SOFR3mo_PX[[#This Row],[Column94]]</f>
        <v>95.435000000000002</v>
      </c>
      <c r="CQ37">
        <f>SOFR3mo_PX[[#This Row],[Column95]]</f>
        <v>95.575000000000003</v>
      </c>
      <c r="CR37">
        <f>SOFR3mo_PX[[#This Row],[Column96]]</f>
        <v>95.625</v>
      </c>
      <c r="CS37">
        <f>SOFR3mo_PX[[#This Row],[Column97]]</f>
        <v>95.625</v>
      </c>
      <c r="CT37">
        <f>SOFR3mo_PX[[#This Row],[Column98]]</f>
        <v>95.685000000000002</v>
      </c>
      <c r="CU37">
        <f>SOFR3mo_PX[[#This Row],[Column99]]</f>
        <v>95.734999999999999</v>
      </c>
      <c r="CV37">
        <f>SOFR3mo_PX[[#This Row],[Column100]]</f>
        <v>95.625</v>
      </c>
      <c r="CW37">
        <f>SOFR3mo_PX[[#This Row],[Column101]]</f>
        <v>95.6</v>
      </c>
      <c r="CX37">
        <f>SOFR3mo_PX[[#This Row],[Column102]]</f>
        <v>95.555000000000007</v>
      </c>
      <c r="CY37">
        <f>SOFR3mo_PX[[#This Row],[Column103]]</f>
        <v>95.625</v>
      </c>
      <c r="CZ37">
        <f>SOFR3mo_PX[[#This Row],[Column104]]</f>
        <v>95.58</v>
      </c>
      <c r="DA37">
        <f>SOFR3mo_PX[[#This Row],[Column105]]</f>
        <v>95.59</v>
      </c>
      <c r="DB37">
        <f>SOFR3mo_PX[[#This Row],[Column106]]</f>
        <v>95.614999999999995</v>
      </c>
      <c r="DC37">
        <f>SOFR3mo_PX[[#This Row],[Column107]]</f>
        <v>95.504999999999995</v>
      </c>
      <c r="DD37">
        <f>SOFR3mo_PX[[#This Row],[Column108]]</f>
        <v>95.504999999999995</v>
      </c>
      <c r="DE37">
        <f>SOFR3mo_PX[[#This Row],[Column109]]</f>
        <v>95.56</v>
      </c>
      <c r="DF37">
        <f>SOFR3mo_PX[[#This Row],[Column110]]</f>
        <v>95.59</v>
      </c>
      <c r="DG37">
        <f>SOFR3mo_PX[[#This Row],[Column111]]</f>
        <v>95.545000000000002</v>
      </c>
      <c r="DH37">
        <f>SOFR3mo_PX[[#This Row],[Column112]]</f>
        <v>95.545000000000002</v>
      </c>
      <c r="DI37">
        <f>SOFR3mo_PX[[#This Row],[Column113]]</f>
        <v>95.545000000000002</v>
      </c>
      <c r="DJ37">
        <f>SOFR3mo_PX[[#This Row],[Column114]]</f>
        <v>95.504999999999995</v>
      </c>
      <c r="DK37">
        <f>SOFR3mo_PX[[#This Row],[Column115]]</f>
        <v>95.36</v>
      </c>
      <c r="DL37">
        <f>SOFR3mo_PX[[#This Row],[Column116]]</f>
        <v>95.34</v>
      </c>
      <c r="DM37">
        <f>SOFR3mo_PX[[#This Row],[Column117]]</f>
        <v>95.38</v>
      </c>
      <c r="DN37">
        <f>SOFR3mo_PX[[#This Row],[Column118]]</f>
        <v>95.44</v>
      </c>
      <c r="DO37">
        <f>SOFR3mo_PX[[#This Row],[Column119]]</f>
        <v>95.424999999999997</v>
      </c>
      <c r="DP37">
        <f>SOFR3mo_PX[[#This Row],[Column120]]</f>
        <v>95.435000000000002</v>
      </c>
      <c r="DQ37">
        <f>SOFR3mo_PX[[#This Row],[Column121]]</f>
        <v>95.52</v>
      </c>
      <c r="DR37">
        <f>SOFR3mo_PX[[#This Row],[Column122]]</f>
        <v>95.575000000000003</v>
      </c>
      <c r="DS37">
        <f>SOFR3mo_PX[[#This Row],[Column123]]</f>
        <v>95.584999999999994</v>
      </c>
      <c r="DT37">
        <f>SOFR3mo_PX[[#This Row],[Column124]]</f>
        <v>95.58</v>
      </c>
      <c r="DU37">
        <f>SOFR3mo_PX[[#This Row],[Column125]]</f>
        <v>95.58</v>
      </c>
      <c r="DV37">
        <f>SOFR3mo_PX[[#This Row],[Column126]]</f>
        <v>95.62</v>
      </c>
      <c r="DW37">
        <f>SOFR3mo_PX[[#This Row],[Column127]]</f>
        <v>95.54</v>
      </c>
      <c r="DX37">
        <f>SOFR3mo_PX[[#This Row],[Column128]]</f>
        <v>95.6</v>
      </c>
      <c r="DY37">
        <f>SOFR3mo_PX[[#This Row],[Column129]]</f>
        <v>95.584999999999994</v>
      </c>
      <c r="DZ37">
        <f>SOFR3mo_PX[[#This Row],[Column130]]</f>
        <v>95.584999999999994</v>
      </c>
      <c r="EA37">
        <f>SOFR3mo_PX[[#This Row],[Column131]]</f>
        <v>95.56</v>
      </c>
      <c r="EB37">
        <f>SOFR3mo_PX[[#This Row],[Column132]]</f>
        <v>95.66</v>
      </c>
      <c r="EC37">
        <f>SOFR3mo_PX[[#This Row],[Column133]]</f>
        <v>95.59</v>
      </c>
      <c r="ED37">
        <f>SOFR3mo_PX[[#This Row],[Column134]]</f>
        <v>95.72</v>
      </c>
      <c r="EE37">
        <f>SOFR3mo_PX[[#This Row],[Column135]]</f>
        <v>95.82</v>
      </c>
      <c r="EF37">
        <f>SOFR3mo_PX[[#This Row],[Column136]]</f>
        <v>95.805000000000007</v>
      </c>
      <c r="EG37">
        <f>SOFR3mo_PX[[#This Row],[Column137]]</f>
        <v>95.81</v>
      </c>
      <c r="EH37">
        <f>SOFR3mo_PX[[#This Row],[Column138]]</f>
        <v>95.894999999999996</v>
      </c>
      <c r="EI37">
        <f>SOFR3mo_PX[[#This Row],[Column139]]</f>
        <v>95.96</v>
      </c>
      <c r="EJ37">
        <f>SOFR3mo_PX[[#This Row],[Column140]]</f>
        <v>96.02</v>
      </c>
      <c r="EK37">
        <f>SOFR3mo_PX[[#This Row],[Column141]]</f>
        <v>96.045000000000002</v>
      </c>
      <c r="EL37">
        <f>SOFR3mo_PX[[#This Row],[Column142]]</f>
        <v>96.084999999999994</v>
      </c>
      <c r="EM37">
        <f>SOFR3mo_PX[[#This Row],[Column143]]</f>
        <v>96.05</v>
      </c>
      <c r="EN37">
        <f>SOFR3mo_PX[[#This Row],[Column144]]</f>
        <v>96.034999999999997</v>
      </c>
      <c r="EO37">
        <f>SOFR3mo_PX[[#This Row],[Column145]]</f>
        <v>96.01</v>
      </c>
      <c r="EP37">
        <f>SOFR3mo_PX[[#This Row],[Column146]]</f>
        <v>96.045000000000002</v>
      </c>
      <c r="EQ37">
        <f>SOFR3mo_PX[[#This Row],[Column147]]</f>
        <v>96.045000000000002</v>
      </c>
      <c r="ER37">
        <f>SOFR3mo_PX[[#This Row],[Column148]]</f>
        <v>96.01</v>
      </c>
      <c r="ES37">
        <f>SOFR3mo_PX[[#This Row],[Column149]]</f>
        <v>96.01</v>
      </c>
      <c r="ET37">
        <f>SOFR3mo_PX[[#This Row],[Column150]]</f>
        <v>95.944999999999993</v>
      </c>
      <c r="EU37">
        <f>SOFR3mo_PX[[#This Row],[Column151]]</f>
        <v>96.01</v>
      </c>
      <c r="EV37">
        <f>SOFR3mo_PX[[#This Row],[Column152]]</f>
        <v>95.86</v>
      </c>
      <c r="EW37">
        <f>SOFR3mo_PX[[#This Row],[Column153]]</f>
        <v>95.825000000000003</v>
      </c>
      <c r="EX37">
        <f>SOFR3mo_PX[[#This Row],[Column154]]</f>
        <v>95.82</v>
      </c>
      <c r="EY37">
        <f>SOFR3mo_PX[[#This Row],[Column155]]</f>
        <v>95.85</v>
      </c>
      <c r="EZ37">
        <f>SOFR3mo_PX[[#This Row],[Column156]]</f>
        <v>95.814999999999998</v>
      </c>
      <c r="FA37">
        <f>SOFR3mo_PX[[#This Row],[Column157]]</f>
        <v>95.805000000000007</v>
      </c>
      <c r="FB37">
        <f>SOFR3mo_PX[[#This Row],[Column158]]</f>
        <v>95.81</v>
      </c>
      <c r="FC37">
        <f>SOFR3mo_PX[[#This Row],[Column159]]</f>
        <v>95.775000000000006</v>
      </c>
      <c r="FD37">
        <f>SOFR3mo_PX[[#This Row],[Column160]]</f>
        <v>95.8</v>
      </c>
      <c r="FE37">
        <f>SOFR3mo_PX[[#This Row],[Column161]]</f>
        <v>95.86</v>
      </c>
      <c r="FF37">
        <f>SOFR3mo_PX[[#This Row],[Column162]]</f>
        <v>95.91</v>
      </c>
      <c r="FG37">
        <f>SOFR3mo_PX[[#This Row],[Column163]]</f>
        <v>95.864999999999995</v>
      </c>
      <c r="FH37">
        <f>SOFR3mo_PX[[#This Row],[Column164]]</f>
        <v>95.76</v>
      </c>
      <c r="FI37">
        <f>SOFR3mo_PX[[#This Row],[Column165]]</f>
        <v>95.93</v>
      </c>
      <c r="FJ37">
        <f>SOFR3mo_PX[[#This Row],[Column166]]</f>
        <v>95.905000000000001</v>
      </c>
      <c r="FK37">
        <f>SOFR3mo_PX[[#This Row],[Column167]]</f>
        <v>95.84</v>
      </c>
      <c r="FL37">
        <f>SOFR3mo_PX[[#This Row],[Column168]]</f>
        <v>95.9</v>
      </c>
      <c r="FM37">
        <f>SOFR3mo_PX[[#This Row],[Column169]]</f>
        <v>95.91</v>
      </c>
      <c r="FN37">
        <f>SOFR3mo_PX[[#This Row],[Column170]]</f>
        <v>95.88</v>
      </c>
      <c r="FO37">
        <f>SOFR3mo_PX[[#This Row],[Column171]]</f>
        <v>95.875</v>
      </c>
      <c r="FP37">
        <f>SOFR3mo_PX[[#This Row],[Column172]]</f>
        <v>95.91</v>
      </c>
      <c r="FQ37">
        <f>SOFR3mo_PX[[#This Row],[Column173]]</f>
        <v>95.935000000000002</v>
      </c>
      <c r="FR37">
        <f>SOFR3mo_PX[[#This Row],[Column174]]</f>
        <v>95.885000000000005</v>
      </c>
      <c r="FS37">
        <f>SOFR3mo_PX[[#This Row],[Column175]]</f>
        <v>95.915000000000006</v>
      </c>
      <c r="FT37">
        <f>SOFR3mo_PX[[#This Row],[Column176]]</f>
        <v>95.94</v>
      </c>
      <c r="FU37">
        <f>SOFR3mo_PX[[#This Row],[Column177]]</f>
        <v>96.055000000000007</v>
      </c>
      <c r="FV37">
        <f>SOFR3mo_PX[[#This Row],[Column178]]</f>
        <v>96.04</v>
      </c>
      <c r="FW37">
        <f>SOFR3mo_PX[[#This Row],[Column179]]</f>
        <v>96.14</v>
      </c>
      <c r="FX37">
        <f>SOFR3mo_PX[[#This Row],[Column180]]</f>
        <v>96.12</v>
      </c>
      <c r="FY37">
        <f>SOFR3mo_PX[[#This Row],[Column181]]</f>
        <v>96.025000000000006</v>
      </c>
      <c r="FZ37">
        <f>SOFR3mo_PX[[#This Row],[Column182]]</f>
        <v>96.064999999999998</v>
      </c>
      <c r="GA37">
        <f>SOFR3mo_PX[[#This Row],[Column183]]</f>
        <v>96.055000000000007</v>
      </c>
      <c r="GB37">
        <f>SOFR3mo_PX[[#This Row],[Column184]]</f>
        <v>96.1</v>
      </c>
      <c r="GC37">
        <f>SOFR3mo_PX[[#This Row],[Column185]]</f>
        <v>96.125</v>
      </c>
      <c r="GD37">
        <f>SOFR3mo_PX[[#This Row],[Column186]]</f>
        <v>96.14</v>
      </c>
      <c r="GE37">
        <f>SOFR3mo_PX[[#This Row],[Column187]]</f>
        <v>96.174999999999997</v>
      </c>
      <c r="GF37">
        <f>SOFR3mo_PX[[#This Row],[Column188]]</f>
        <v>96.254999999999995</v>
      </c>
      <c r="GG37">
        <f>SOFR3mo_PX[[#This Row],[Column189]]</f>
        <v>96.325000000000003</v>
      </c>
      <c r="GH37">
        <f>SOFR3mo_PX[[#This Row],[Column190]]</f>
        <v>96.37</v>
      </c>
      <c r="GI37">
        <f>SOFR3mo_PX[[#This Row],[Column191]]</f>
        <v>96.3</v>
      </c>
      <c r="GJ37">
        <f>SOFR3mo_PX[[#This Row],[Column192]]</f>
        <v>96.34</v>
      </c>
      <c r="GK37">
        <f>SOFR3mo_PX[[#This Row],[Column193]]</f>
        <v>96.31</v>
      </c>
      <c r="GL37">
        <f>SOFR3mo_PX[[#This Row],[Column194]]</f>
        <v>96.29</v>
      </c>
      <c r="GM37">
        <f>SOFR3mo_PX[[#This Row],[Column195]]</f>
        <v>96.33</v>
      </c>
      <c r="GN37">
        <f>SOFR3mo_PX[[#This Row],[Column196]]</f>
        <v>96.334999999999994</v>
      </c>
      <c r="GO37">
        <f>SOFR3mo_PX[[#This Row],[Column197]]</f>
        <v>96.35</v>
      </c>
      <c r="GP37">
        <f>SOFR3mo_PX[[#This Row],[Column198]]</f>
        <v>96.33</v>
      </c>
      <c r="GQ37">
        <f>SOFR3mo_PX[[#This Row],[Column199]]</f>
        <v>96.405000000000001</v>
      </c>
      <c r="GR37">
        <f>SOFR3mo_PX[[#This Row],[Column200]]</f>
        <v>96.465000000000003</v>
      </c>
      <c r="GS37">
        <f>SOFR3mo_PX[[#This Row],[Column201]]</f>
        <v>96.454999999999998</v>
      </c>
      <c r="GT37">
        <f>SOFR3mo_PX[[#This Row],[Column202]]</f>
        <v>96.435000000000002</v>
      </c>
      <c r="GU37">
        <f>SOFR3mo_PX[[#This Row],[Column203]]</f>
        <v>96.43</v>
      </c>
      <c r="GV37">
        <f>SOFR3mo_PX[[#This Row],[Column204]]</f>
        <v>96.46</v>
      </c>
      <c r="GW37">
        <f>SOFR3mo_PX[[#This Row],[Column205]]</f>
        <v>96.465000000000003</v>
      </c>
      <c r="GX37">
        <f>SOFR3mo_PX[[#This Row],[Column206]]</f>
        <v>96.41</v>
      </c>
      <c r="GY37">
        <f>SOFR3mo_PX[[#This Row],[Column207]]</f>
        <v>96.385000000000005</v>
      </c>
      <c r="GZ37">
        <f>SOFR3mo_PX[[#This Row],[Column208]]</f>
        <v>96.4</v>
      </c>
      <c r="HA37">
        <f>SOFR3mo_PX[[#This Row],[Column209]]</f>
        <v>96.364999999999995</v>
      </c>
      <c r="HB37">
        <f>SOFR3mo_PX[[#This Row],[Column210]]</f>
        <v>96.314999999999998</v>
      </c>
      <c r="HC37">
        <f>SOFR3mo_PX[[#This Row],[Column211]]</f>
        <v>96.234999999999999</v>
      </c>
      <c r="HD37">
        <f>SOFR3mo_PX[[#This Row],[Column212]]</f>
        <v>96.234999999999999</v>
      </c>
      <c r="HE37">
        <f>SOFR3mo_PX[[#This Row],[Column213]]</f>
        <v>96.28</v>
      </c>
      <c r="HF37">
        <f>SOFR3mo_PX[[#This Row],[Column214]]</f>
        <v>96.295000000000002</v>
      </c>
      <c r="HG37">
        <f>SOFR3mo_PX[[#This Row],[Column215]]</f>
        <v>96.31</v>
      </c>
      <c r="HH37">
        <f>SOFR3mo_PX[[#This Row],[Column216]]</f>
        <v>96.33</v>
      </c>
      <c r="HI37">
        <f>SOFR3mo_PX[[#This Row],[Column217]]</f>
        <v>96.32</v>
      </c>
      <c r="HJ37">
        <f>SOFR3mo_PX[[#This Row],[Column218]]</f>
        <v>96.26</v>
      </c>
      <c r="HK37">
        <f>SOFR3mo_PX[[#This Row],[Column219]]</f>
        <v>96.334999999999994</v>
      </c>
      <c r="HL37">
        <f>SOFR3mo_PX[[#This Row],[Column220]]</f>
        <v>96.31</v>
      </c>
      <c r="HM37">
        <f>SOFR3mo_PX[[#This Row],[Column221]]</f>
        <v>96.26</v>
      </c>
      <c r="HN37">
        <f>SOFR3mo_PX[[#This Row],[Column222]]</f>
        <v>96.22</v>
      </c>
      <c r="HO37">
        <f>SOFR3mo_PX[[#This Row],[Column223]]</f>
        <v>96.18</v>
      </c>
      <c r="HP37">
        <f>SOFR3mo_PX[[#This Row],[Column224]]</f>
        <v>96.25</v>
      </c>
      <c r="HQ37">
        <f>SOFR3mo_PX[[#This Row],[Column225]]</f>
        <v>96.215000000000003</v>
      </c>
      <c r="HR37">
        <f>SOFR3mo_PX[[#This Row],[Column226]]</f>
        <v>96.185000000000002</v>
      </c>
      <c r="HS37">
        <f>SOFR3mo_PX[[#This Row],[Column227]]</f>
        <v>96.144999999999996</v>
      </c>
      <c r="HT37">
        <f>SOFR3mo_PX[[#This Row],[Column228]]</f>
        <v>96.064999999999998</v>
      </c>
      <c r="HU37">
        <f>SOFR3mo_PX[[#This Row],[Column229]]</f>
        <v>96.075000000000003</v>
      </c>
      <c r="HV37">
        <f>SOFR3mo_PX[[#This Row],[Column230]]</f>
        <v>96.17</v>
      </c>
      <c r="HW37">
        <f>SOFR3mo_PX[[#This Row],[Column231]]</f>
        <v>96.27</v>
      </c>
      <c r="HX37">
        <f>SOFR3mo_PX[[#This Row],[Column232]]</f>
        <v>96.275000000000006</v>
      </c>
      <c r="HY37">
        <f>SOFR3mo_PX[[#This Row],[Column233]]</f>
        <v>96.15</v>
      </c>
      <c r="HZ37">
        <f>SOFR3mo_PX[[#This Row],[Column234]]</f>
        <v>96.05</v>
      </c>
      <c r="IA37">
        <f>SOFR3mo_PX[[#This Row],[Column235]]</f>
        <v>96.015000000000001</v>
      </c>
      <c r="IB37">
        <f>SOFR3mo_PX[[#This Row],[Column236]]</f>
        <v>95.98</v>
      </c>
      <c r="IC37">
        <f>SOFR3mo_PX[[#This Row],[Column237]]</f>
        <v>95.954999999999998</v>
      </c>
      <c r="ID37">
        <f>SOFR3mo_PX[[#This Row],[Column238]]</f>
        <v>95.915000000000006</v>
      </c>
      <c r="IE37">
        <f>SOFR3mo_PX[[#This Row],[Column239]]</f>
        <v>95.875</v>
      </c>
      <c r="IF37">
        <f>SOFR3mo_PX[[#This Row],[Column240]]</f>
        <v>95.97</v>
      </c>
      <c r="IG37">
        <f>SOFR3mo_PX[[#This Row],[Column241]]</f>
        <v>95.954999999999998</v>
      </c>
      <c r="IH37">
        <f>SOFR3mo_PX[[#This Row],[Column242]]</f>
        <v>95.965000000000003</v>
      </c>
      <c r="II37">
        <f>SOFR3mo_PX[[#This Row],[Column243]]</f>
        <v>96.015000000000001</v>
      </c>
      <c r="IJ37">
        <f>SOFR3mo_PX[[#This Row],[Column244]]</f>
        <v>96.07</v>
      </c>
      <c r="IK37">
        <f>SOFR3mo_PX[[#This Row],[Column245]]</f>
        <v>96.045000000000002</v>
      </c>
      <c r="IL37">
        <f>SOFR3mo_PX[[#This Row],[Column246]]</f>
        <v>95.97</v>
      </c>
      <c r="IM37">
        <f>SOFR3mo_PX[[#This Row],[Column247]]</f>
        <v>96.015000000000001</v>
      </c>
      <c r="IN37">
        <f>SOFR3mo_PX[[#This Row],[Column248]]</f>
        <v>96.034999999999997</v>
      </c>
      <c r="IO37">
        <f>SOFR3mo_PX[[#This Row],[Column249]]</f>
        <v>95.96</v>
      </c>
      <c r="IP37">
        <f>SOFR3mo_PX[[#This Row],[Column250]]</f>
        <v>95.93</v>
      </c>
      <c r="IQ37">
        <f>SOFR3mo_PX[[#This Row],[Column251]]</f>
        <v>95.97</v>
      </c>
      <c r="IR37">
        <f>SOFR3mo_PX[[#This Row],[Column252]]</f>
        <v>95.965000000000003</v>
      </c>
      <c r="IS37">
        <f>SOFR3mo_PX[[#This Row],[Column253]]</f>
        <v>95.91</v>
      </c>
      <c r="IT37">
        <f>SOFR3mo_PX[[#This Row],[Column254]]</f>
        <v>95.91</v>
      </c>
      <c r="IU37">
        <f>SOFR3mo_PX[[#This Row],[Column255]]</f>
        <v>95.805000000000007</v>
      </c>
      <c r="IV37">
        <f>SOFR3mo_PX[[#This Row],[Column256]]</f>
        <v>95.77</v>
      </c>
      <c r="IW37">
        <f>SOFR3mo_PX[[#This Row],[Column257]]</f>
        <v>95.93</v>
      </c>
      <c r="IX37">
        <f>SOFR3mo_PX[[#This Row],[Column258]]</f>
        <v>95.995000000000005</v>
      </c>
      <c r="IY37">
        <f>SOFR3mo_PX[[#This Row],[Column259]]</f>
        <v>95.965000000000003</v>
      </c>
      <c r="IZ37">
        <f>SOFR3mo_PX[[#This Row],[Column260]]</f>
        <v>96.055000000000007</v>
      </c>
      <c r="JA37">
        <f>SOFR3mo_PX[[#This Row],[Column261]]</f>
        <v>96.045000000000002</v>
      </c>
      <c r="JB37">
        <f>SOFR3mo_PX[[#This Row],[Column262]]</f>
        <v>96.025000000000006</v>
      </c>
      <c r="JC37">
        <f>SOFR3mo_PX[[#This Row],[Column263]]</f>
        <v>96.034999999999997</v>
      </c>
      <c r="JD37">
        <f>SOFR3mo_PX[[#This Row],[Column264]]</f>
        <v>96.05</v>
      </c>
      <c r="JE37">
        <f>SOFR3mo_PX[[#This Row],[Column265]]</f>
        <v>96.05</v>
      </c>
      <c r="JF37">
        <f>SOFR3mo_PX[[#This Row],[Column266]]</f>
        <v>95.99</v>
      </c>
      <c r="JG37">
        <f>SOFR3mo_PX[[#This Row],[Column267]]</f>
        <v>96.07</v>
      </c>
      <c r="JH37">
        <f>SOFR3mo_PX[[#This Row],[Column268]]</f>
        <v>96.004999999999995</v>
      </c>
      <c r="JI37">
        <f>SOFR3mo_PX[[#This Row],[Column269]]</f>
        <v>95.95</v>
      </c>
      <c r="JJ37">
        <f>SOFR3mo_PX[[#This Row],[Column270]]</f>
        <v>95.834999999999994</v>
      </c>
      <c r="JK37">
        <f>SOFR3mo_PX[[#This Row],[Column271]]</f>
        <v>95.754999999999995</v>
      </c>
      <c r="JL37">
        <f>SOFR3mo_PX[[#This Row],[Column272]]</f>
        <v>95.8</v>
      </c>
      <c r="JM37">
        <f>SOFR3mo_PX[[#This Row],[Column273]]</f>
        <v>95.95</v>
      </c>
      <c r="JN37">
        <f>SOFR3mo_PX[[#This Row],[Column274]]</f>
        <v>95.95</v>
      </c>
      <c r="JO37">
        <f>SOFR3mo_PX[[#This Row],[Column275]]</f>
        <v>95.915000000000006</v>
      </c>
      <c r="JP37">
        <f>SOFR3mo_PX[[#This Row],[Column276]]</f>
        <v>95.84</v>
      </c>
      <c r="JQ37">
        <f>SOFR3mo_PX[[#This Row],[Column277]]</f>
        <v>95.73</v>
      </c>
      <c r="JR37">
        <f>SOFR3mo_PX[[#This Row],[Column278]]</f>
        <v>95.704999999999998</v>
      </c>
      <c r="JS37">
        <f>SOFR3mo_PX[[#This Row],[Column279]]</f>
        <v>95.644999999999996</v>
      </c>
      <c r="JT37">
        <f>SOFR3mo_PX[[#This Row],[Column280]]</f>
        <v>95.75</v>
      </c>
      <c r="JU37">
        <f>SOFR3mo_PX[[#This Row],[Column281]]</f>
        <v>95.825000000000003</v>
      </c>
      <c r="JV37">
        <f>SOFR3mo_PX[[#This Row],[Column282]]</f>
        <v>95.825000000000003</v>
      </c>
      <c r="JW37">
        <f>SOFR3mo_PX[[#This Row],[Column283]]</f>
        <v>95.805000000000007</v>
      </c>
      <c r="JX37">
        <f>SOFR3mo_PX[[#This Row],[Column284]]</f>
        <v>95.805000000000007</v>
      </c>
      <c r="JY37">
        <f>SOFR3mo_PX[[#This Row],[Column285]]</f>
        <v>95.81</v>
      </c>
      <c r="JZ37">
        <f>SOFR3mo_PX[[#This Row],[Column286]]</f>
        <v>95.78</v>
      </c>
      <c r="KA37">
        <f>SOFR3mo_PX[[#This Row],[Column287]]</f>
        <v>95.8</v>
      </c>
      <c r="KB37">
        <f>SOFR3mo_PX[[#This Row],[Column288]]</f>
        <v>95.844999999999999</v>
      </c>
      <c r="KC37">
        <f>SOFR3mo_PX[[#This Row],[Column289]]</f>
        <v>95.85</v>
      </c>
      <c r="KD37">
        <f>SOFR3mo_PX[[#This Row],[Column290]]</f>
        <v>95.78</v>
      </c>
      <c r="KE37">
        <f>SOFR3mo_PX[[#This Row],[Column291]]</f>
        <v>95.745000000000005</v>
      </c>
      <c r="KF37">
        <f>SOFR3mo_PX[[#This Row],[Column292]]</f>
        <v>95.72</v>
      </c>
      <c r="KG37">
        <f>SOFR3mo_PX[[#This Row],[Column293]]</f>
        <v>95.775000000000006</v>
      </c>
      <c r="KH37">
        <f>SOFR3mo_PX[[#This Row],[Column294]]</f>
        <v>95.745000000000005</v>
      </c>
      <c r="KI37">
        <f>SOFR3mo_PX[[#This Row],[Column295]]</f>
        <v>95.784999999999997</v>
      </c>
      <c r="KJ37">
        <f>SOFR3mo_PX[[#This Row],[Column296]]</f>
        <v>95.74</v>
      </c>
      <c r="KK37">
        <f>SOFR3mo_PX[[#This Row],[Column297]]</f>
        <v>95.72</v>
      </c>
      <c r="KL37">
        <f>SOFR3mo_PX[[#This Row],[Column298]]</f>
        <v>95.644999999999996</v>
      </c>
      <c r="KM37">
        <f>SOFR3mo_PX[[#This Row],[Column299]]</f>
        <v>95.63</v>
      </c>
      <c r="KN37">
        <f>SOFR3mo_PX[[#This Row],[Column300]]</f>
        <v>95.564999999999998</v>
      </c>
      <c r="KO37">
        <f>SOFR3mo_PX[[#This Row],[Column301]]</f>
        <v>95.635000000000005</v>
      </c>
      <c r="KP37">
        <f>SOFR3mo_PX[[#This Row],[Column302]]</f>
        <v>95.555000000000007</v>
      </c>
      <c r="KQ37">
        <f>SOFR3mo_PX[[#This Row],[Column303]]</f>
        <v>95.515000000000001</v>
      </c>
      <c r="KR37">
        <f>SOFR3mo_PX[[#This Row],[Column304]]</f>
        <v>95.575000000000003</v>
      </c>
      <c r="KS37">
        <f>SOFR3mo_PX[[#This Row],[Column305]]</f>
        <v>95.65</v>
      </c>
      <c r="KT37">
        <f>SOFR3mo_PX[[#This Row],[Column306]]</f>
        <v>95.63</v>
      </c>
      <c r="KU37">
        <f>SOFR3mo_PX[[#This Row],[Column307]]</f>
        <v>95.644999999999996</v>
      </c>
      <c r="KV37">
        <f>SOFR3mo_PX[[#This Row],[Column308]]</f>
        <v>95.61</v>
      </c>
      <c r="KW37">
        <f>SOFR3mo_PX[[#This Row],[Column309]]</f>
        <v>95.67</v>
      </c>
      <c r="KX37">
        <f>SOFR3mo_PX[[#This Row],[Column310]]</f>
        <v>95.594999999999999</v>
      </c>
      <c r="KY37">
        <f>SOFR3mo_PX[[#This Row],[Column311]]</f>
        <v>95.63</v>
      </c>
      <c r="KZ37">
        <f>SOFR3mo_PX[[#This Row],[Column312]]</f>
        <v>95.77</v>
      </c>
      <c r="LA37">
        <f>SOFR3mo_PX[[#This Row],[Column313]]</f>
        <v>95.68</v>
      </c>
      <c r="LB37">
        <f>SOFR3mo_PX[[#This Row],[Column314]]</f>
        <v>95.71</v>
      </c>
      <c r="LC37">
        <f>SOFR3mo_PX[[#This Row],[Column315]]</f>
        <v>95.855000000000004</v>
      </c>
      <c r="LD37">
        <f>SOFR3mo_PX[[#This Row],[Column316]]</f>
        <v>95.795000000000002</v>
      </c>
      <c r="LE37">
        <f>SOFR3mo_PX[[#This Row],[Column317]]</f>
        <v>95.84</v>
      </c>
      <c r="LF37">
        <f>SOFR3mo_PX[[#This Row],[Column318]]</f>
        <v>95.89</v>
      </c>
      <c r="LG37">
        <f>SOFR3mo_PX[[#This Row],[Column319]]</f>
        <v>95.84</v>
      </c>
      <c r="LH37">
        <f>SOFR3mo_PX[[#This Row],[Column320]]</f>
        <v>95.84</v>
      </c>
      <c r="LI37">
        <f>SOFR3mo_PX[[#This Row],[Column321]]</f>
        <v>95.885000000000005</v>
      </c>
      <c r="LJ37">
        <f>SOFR3mo_PX[[#This Row],[Column322]]</f>
        <v>96.015000000000001</v>
      </c>
      <c r="LK37">
        <f>SOFR3mo_PX[[#This Row],[Column323]]</f>
        <v>96.015000000000001</v>
      </c>
      <c r="LL37">
        <f>SOFR3mo_PX[[#This Row],[Column324]]</f>
        <v>95.98</v>
      </c>
      <c r="LM37">
        <f>SOFR3mo_PX[[#This Row],[Column325]]</f>
        <v>95.944999999999993</v>
      </c>
      <c r="LN37">
        <f>SOFR3mo_PX[[#This Row],[Column326]]</f>
        <v>95.915000000000006</v>
      </c>
      <c r="LO37">
        <f>SOFR3mo_PX[[#This Row],[Column327]]</f>
        <v>95.95</v>
      </c>
      <c r="LP37">
        <f>SOFR3mo_PX[[#This Row],[Column328]]</f>
        <v>95.89</v>
      </c>
      <c r="LQ37">
        <f>SOFR3mo_PX[[#This Row],[Column329]]</f>
        <v>95.894999999999996</v>
      </c>
      <c r="LR37">
        <f>SOFR3mo_PX[[#This Row],[Column330]]</f>
        <v>95.96</v>
      </c>
      <c r="LS37">
        <f>SOFR3mo_PX[[#This Row],[Column331]]</f>
        <v>95.93</v>
      </c>
      <c r="LT37">
        <f>SOFR3mo_PX[[#This Row],[Column332]]</f>
        <v>95.97</v>
      </c>
      <c r="LU37">
        <f>SOFR3mo_PX[[#This Row],[Column333]]</f>
        <v>95.954999999999998</v>
      </c>
      <c r="LV37">
        <f>SOFR3mo_PX[[#This Row],[Column334]]</f>
        <v>96.064999999999998</v>
      </c>
      <c r="LW37">
        <f>SOFR3mo_PX[[#This Row],[Column335]]</f>
        <v>96.08</v>
      </c>
      <c r="LX37">
        <f>SOFR3mo_PX[[#This Row],[Column336]]</f>
        <v>96.13</v>
      </c>
      <c r="LY37">
        <f>SOFR3mo_PX[[#This Row],[Column337]]</f>
        <v>96.125</v>
      </c>
      <c r="LZ37">
        <f>SOFR3mo_PX[[#This Row],[Column338]]</f>
        <v>96.144999999999996</v>
      </c>
      <c r="MA37">
        <f>SOFR3mo_PX[[#This Row],[Column339]]</f>
        <v>96.14</v>
      </c>
      <c r="MB37">
        <f>SOFR3mo_PX[[#This Row],[Column340]]</f>
        <v>96.1</v>
      </c>
      <c r="MC37">
        <f>SOFR3mo_PX[[#This Row],[Column341]]</f>
        <v>96.015000000000001</v>
      </c>
      <c r="MD37">
        <f>SOFR3mo_PX[[#This Row],[Column342]]</f>
        <v>96.045000000000002</v>
      </c>
      <c r="ME37">
        <f>SOFR3mo_PX[[#This Row],[Column343]]</f>
        <v>96</v>
      </c>
      <c r="MF37">
        <f>SOFR3mo_PX[[#This Row],[Column344]]</f>
        <v>95.99</v>
      </c>
      <c r="MG37">
        <f>SOFR3mo_PX[[#This Row],[Column345]]</f>
        <v>95.995000000000005</v>
      </c>
      <c r="MH37">
        <f>SOFR3mo_PX[[#This Row],[Column346]]</f>
        <v>96.015000000000001</v>
      </c>
      <c r="MI37">
        <f>SOFR3mo_PX[[#This Row],[Column347]]</f>
        <v>96.025000000000006</v>
      </c>
      <c r="MJ37">
        <f>SOFR3mo_PX[[#This Row],[Column348]]</f>
        <v>95.93</v>
      </c>
      <c r="MK37">
        <f>SOFR3mo_PX[[#This Row],[Column349]]</f>
        <v>95.9</v>
      </c>
      <c r="ML37">
        <f>SOFR3mo_PX[[#This Row],[Column350]]</f>
        <v>95.944999999999993</v>
      </c>
      <c r="MM37">
        <f>SOFR3mo_PX[[#This Row],[Column351]]</f>
        <v>95.92</v>
      </c>
      <c r="MN37">
        <f>SOFR3mo_PX[[#This Row],[Column352]]</f>
        <v>95.92</v>
      </c>
      <c r="MO37">
        <f>SOFR3mo_PX[[#This Row],[Column353]]</f>
        <v>95.96</v>
      </c>
      <c r="MP37">
        <f>SOFR3mo_PX[[#This Row],[Column354]]</f>
        <v>95.935000000000002</v>
      </c>
      <c r="MQ37">
        <f>SOFR3mo_PX[[#This Row],[Column355]]</f>
        <v>95.894999999999996</v>
      </c>
      <c r="MR37">
        <f>SOFR3mo_PX[[#This Row],[Column356]]</f>
        <v>95.995000000000005</v>
      </c>
      <c r="MS37">
        <f>SOFR3mo_PX[[#This Row],[Column357]]</f>
        <v>95.974999999999994</v>
      </c>
      <c r="MT37">
        <f>SOFR3mo_PX[[#This Row],[Column358]]</f>
        <v>95.99</v>
      </c>
      <c r="MU37">
        <f>SOFR3mo_PX[[#This Row],[Column359]]</f>
        <v>96.075000000000003</v>
      </c>
      <c r="MV37">
        <f>SOFR3mo_PX[[#This Row],[Column360]]</f>
        <v>96.084999999999994</v>
      </c>
      <c r="MW37">
        <f>SOFR3mo_PX[[#This Row],[Column361]]</f>
        <v>96</v>
      </c>
      <c r="MX37">
        <f>SOFR3mo_PX[[#This Row],[Column362]]</f>
        <v>96.13</v>
      </c>
      <c r="MY37">
        <f>SOFR3mo_PX[[#This Row],[Column363]]</f>
        <v>96.29</v>
      </c>
      <c r="MZ37">
        <f>SOFR3mo_PX[[#This Row],[Column364]]</f>
        <v>96.185000000000002</v>
      </c>
      <c r="NA37">
        <f>SOFR3mo_PX[[#This Row],[Column365]]</f>
        <v>96.1</v>
      </c>
      <c r="NB37">
        <f>SOFR3mo_PX[[#This Row],[Column366]]</f>
        <v>96.03</v>
      </c>
      <c r="NC37">
        <f>SOFR3mo_PX[[#This Row],[Column367]]</f>
        <v>95.98</v>
      </c>
      <c r="ND37">
        <f>SOFR3mo_PX[[#This Row],[Column368]]</f>
        <v>96.015000000000001</v>
      </c>
      <c r="NE37">
        <f>SOFR3mo_PX[[#This Row],[Column369]]</f>
        <v>95.995000000000005</v>
      </c>
      <c r="NF37">
        <f>SOFR3mo_PX[[#This Row],[Column370]]</f>
        <v>96.04</v>
      </c>
      <c r="NG37">
        <f>SOFR3mo_PX[[#This Row],[Column371]]</f>
        <v>96.084999999999994</v>
      </c>
      <c r="NH37">
        <f>SOFR3mo_PX[[#This Row],[Column372]]</f>
        <v>96.03</v>
      </c>
      <c r="NI37">
        <f>SOFR3mo_PX[[#This Row],[Column373]]</f>
        <v>96.02</v>
      </c>
      <c r="NJ37">
        <f>SOFR3mo_PX[[#This Row],[Column374]]</f>
        <v>96.055000000000007</v>
      </c>
      <c r="NK37">
        <f>SOFR3mo_PX[[#This Row],[Column375]]</f>
        <v>96.064999999999998</v>
      </c>
      <c r="NL37">
        <f>SOFR3mo_PX[[#This Row],[Column376]]</f>
        <v>96.18</v>
      </c>
      <c r="NM37">
        <f>SOFR3mo_PX[[#This Row],[Column377]]</f>
        <v>96.18</v>
      </c>
      <c r="NN37">
        <f>SOFR3mo_PX[[#This Row],[Column378]]</f>
        <v>96.224999999999994</v>
      </c>
      <c r="NO37">
        <f>SOFR3mo_PX[[#This Row],[Column379]]</f>
        <v>96.185000000000002</v>
      </c>
      <c r="NP37">
        <f>SOFR3mo_PX[[#This Row],[Column380]]</f>
        <v>96.194999999999993</v>
      </c>
      <c r="NQ37">
        <f>SOFR3mo_PX[[#This Row],[Column381]]</f>
        <v>96.2</v>
      </c>
      <c r="NR37">
        <f>SOFR3mo_PX[[#This Row],[Column382]]</f>
        <v>96.2</v>
      </c>
      <c r="NS37">
        <f>SOFR3mo_PX[[#This Row],[Column383]]</f>
        <v>96.254999999999995</v>
      </c>
      <c r="NT37">
        <f>SOFR3mo_PX[[#This Row],[Column384]]</f>
        <v>96.305000000000007</v>
      </c>
      <c r="NU37">
        <f>SOFR3mo_PX[[#This Row],[Column385]]</f>
        <v>96.26</v>
      </c>
      <c r="NV37">
        <f>SOFR3mo_PX[[#This Row],[Column386]]</f>
        <v>96.265000000000001</v>
      </c>
      <c r="NW37">
        <f>SOFR3mo_PX[[#This Row],[Column387]]</f>
        <v>96.265000000000001</v>
      </c>
      <c r="NX37">
        <f>SOFR3mo_PX[[#This Row],[Column388]]</f>
        <v>96.29</v>
      </c>
      <c r="NY37">
        <f>SOFR3mo_PX[[#This Row],[Column389]]</f>
        <v>96.355000000000004</v>
      </c>
      <c r="NZ37">
        <f>SOFR3mo_PX[[#This Row],[Column390]]</f>
        <v>96.25</v>
      </c>
      <c r="OA37">
        <f>SOFR3mo_PX[[#This Row],[Column391]]</f>
        <v>96.23</v>
      </c>
      <c r="OB37">
        <f>SOFR3mo_PX[[#This Row],[Column392]]</f>
        <v>96.23</v>
      </c>
      <c r="OC37">
        <f>SOFR3mo_PX[[#This Row],[Column393]]</f>
        <v>96.265000000000001</v>
      </c>
      <c r="OD37">
        <f>SOFR3mo_PX[[#This Row],[Column394]]</f>
        <v>96.3</v>
      </c>
      <c r="OE37">
        <f>SOFR3mo_PX[[#This Row],[Column395]]</f>
        <v>96.245000000000005</v>
      </c>
      <c r="OF37">
        <f>SOFR3mo_PX[[#This Row],[Column396]]</f>
        <v>96.21</v>
      </c>
      <c r="OG37">
        <f>SOFR3mo_PX[[#This Row],[Column397]]</f>
        <v>96.245000000000005</v>
      </c>
      <c r="OH37">
        <f>SOFR3mo_PX[[#This Row],[Column398]]</f>
        <v>96.22</v>
      </c>
      <c r="OI37">
        <f>SOFR3mo_PX[[#This Row],[Column399]]</f>
        <v>96.12</v>
      </c>
      <c r="OJ37">
        <f>SOFR3mo_PX[[#This Row],[Column400]]</f>
        <v>95.974999999999994</v>
      </c>
      <c r="OK37">
        <f>SOFR3mo_PX[[#This Row],[Column401]]</f>
        <v>95.92</v>
      </c>
      <c r="OL37">
        <f>SOFR3mo_PX[[#This Row],[Column402]]</f>
        <v>95.915000000000006</v>
      </c>
      <c r="OM37">
        <f>SOFR3mo_PX[[#This Row],[Column403]]</f>
        <v>96.025000000000006</v>
      </c>
      <c r="ON37">
        <f>SOFR3mo_PX[[#This Row],[Column404]]</f>
        <v>96.02</v>
      </c>
      <c r="OO37">
        <f>SOFR3mo_PX[[#This Row],[Column405]]</f>
        <v>95.954999999999998</v>
      </c>
      <c r="OP37">
        <f>SOFR3mo_PX[[#This Row],[Column406]]</f>
        <v>95.82</v>
      </c>
      <c r="OQ37">
        <f>SOFR3mo_PX[[#This Row],[Column407]]</f>
        <v>95.85</v>
      </c>
      <c r="OR37">
        <f>SOFR3mo_PX[[#This Row],[Column408]]</f>
        <v>95.734999999999999</v>
      </c>
      <c r="OS37">
        <f>SOFR3mo_PX[[#This Row],[Column409]]</f>
        <v>95.82</v>
      </c>
      <c r="OT37">
        <f>SOFR3mo_PX[[#This Row],[Column410]]</f>
        <v>95.745000000000005</v>
      </c>
      <c r="OU37">
        <f>SOFR3mo_PX[[#This Row],[Column411]]</f>
        <v>95.76</v>
      </c>
      <c r="OV37">
        <f>SOFR3mo_PX[[#This Row],[Column412]]</f>
        <v>95.655000000000001</v>
      </c>
      <c r="OW37">
        <f>SOFR3mo_PX[[#This Row],[Column413]]</f>
        <v>95.674999999999997</v>
      </c>
      <c r="OX37">
        <f>SOFR3mo_PX[[#This Row],[Column414]]</f>
        <v>95.674999999999997</v>
      </c>
      <c r="OY37">
        <f>SOFR3mo_PX[[#This Row],[Column415]]</f>
        <v>95.665000000000006</v>
      </c>
      <c r="OZ37">
        <f>SOFR3mo_PX[[#This Row],[Column416]]</f>
        <v>95.685000000000002</v>
      </c>
      <c r="PA37">
        <f>SOFR3mo_PX[[#This Row],[Column417]]</f>
        <v>95.64</v>
      </c>
      <c r="PB37">
        <f>SOFR3mo_PX[[#This Row],[Column418]]</f>
        <v>95.62</v>
      </c>
      <c r="PC37">
        <f>SOFR3mo_PX[[#This Row],[Column419]]</f>
        <v>95.54</v>
      </c>
      <c r="PD37">
        <f>SOFR3mo_PX[[#This Row],[Column420]]</f>
        <v>95.594999999999999</v>
      </c>
      <c r="PE37">
        <f>SOFR3mo_PX[[#This Row],[Column421]]</f>
        <v>95.424999999999997</v>
      </c>
      <c r="PF37">
        <f>SOFR3mo_PX[[#This Row],[Column422]]</f>
        <v>95.415000000000006</v>
      </c>
      <c r="PG37">
        <f>SOFR3mo_PX[[#This Row],[Column423]]</f>
        <v>95.394999999999996</v>
      </c>
      <c r="PH37">
        <f>SOFR3mo_PX[[#This Row],[Column424]]</f>
        <v>95.525000000000006</v>
      </c>
      <c r="PI37">
        <f>SOFR3mo_PX[[#This Row],[Column425]]</f>
        <v>95.44</v>
      </c>
      <c r="PJ37">
        <f>SOFR3mo_PX[[#This Row],[Column426]]</f>
        <v>95.325000000000003</v>
      </c>
      <c r="PK37">
        <f>SOFR3mo_PX[[#This Row],[Column427]]</f>
        <v>95.435000000000002</v>
      </c>
      <c r="PL37">
        <f>SOFR3mo_PX[[#This Row],[Column428]]</f>
        <v>95.314999999999998</v>
      </c>
      <c r="PM37">
        <f>SOFR3mo_PX[[#This Row],[Column429]]</f>
        <v>95.185000000000002</v>
      </c>
      <c r="PN37">
        <f>SOFR3mo_PX[[#This Row],[Column430]]</f>
        <v>95.094999999999999</v>
      </c>
      <c r="PO37">
        <f>SOFR3mo_PX[[#This Row],[Column431]]</f>
        <v>95.084999999999994</v>
      </c>
      <c r="PP37">
        <f>SOFR3mo_PX[[#This Row],[Column432]]</f>
        <v>95.094999999999999</v>
      </c>
      <c r="PQ37">
        <f>SOFR3mo_PX[[#This Row],[Column433]]</f>
        <v>95.1</v>
      </c>
      <c r="PR37">
        <f>SOFR3mo_PX[[#This Row],[Column434]]</f>
        <v>94.99</v>
      </c>
      <c r="PS37">
        <f>SOFR3mo_PX[[#This Row],[Column435]]</f>
        <v>95.13</v>
      </c>
      <c r="PT37">
        <f>SOFR3mo_PX[[#This Row],[Column436]]</f>
        <v>95.125</v>
      </c>
      <c r="PU37">
        <f>SOFR3mo_PX[[#This Row],[Column437]]</f>
        <v>95.02</v>
      </c>
      <c r="PV37">
        <f>SOFR3mo_PX[[#This Row],[Column438]]</f>
        <v>94.944999999999993</v>
      </c>
      <c r="PW37">
        <f>SOFR3mo_PX[[#This Row],[Column439]]</f>
        <v>95.075000000000003</v>
      </c>
      <c r="PX37">
        <f>SOFR3mo_PX[[#This Row],[Column440]]</f>
        <v>95.12</v>
      </c>
      <c r="PY37">
        <f>SOFR3mo_PX[[#This Row],[Column441]]</f>
        <v>95.245000000000005</v>
      </c>
      <c r="PZ37">
        <f>SOFR3mo_PX[[#This Row],[Column442]]</f>
        <v>95.32</v>
      </c>
      <c r="QA37">
        <f>SOFR3mo_PX[[#This Row],[Column443]]</f>
        <v>95.215000000000003</v>
      </c>
      <c r="QB37">
        <f>SOFR3mo_PX[[#This Row],[Column444]]</f>
        <v>95.33</v>
      </c>
      <c r="QC37">
        <f>SOFR3mo_PX[[#This Row],[Column445]]</f>
        <v>95.24</v>
      </c>
      <c r="QD37">
        <f>SOFR3mo_PX[[#This Row],[Column446]]</f>
        <v>95.22</v>
      </c>
      <c r="QE37">
        <f>SOFR3mo_PX[[#This Row],[Column447]]</f>
        <v>95.105000000000004</v>
      </c>
      <c r="QF37">
        <f>SOFR3mo_PX[[#This Row],[Column448]]</f>
        <v>95.165000000000006</v>
      </c>
      <c r="QG37">
        <f>SOFR3mo_PX[[#This Row],[Column449]]</f>
        <v>95.14</v>
      </c>
      <c r="QH37">
        <f>SOFR3mo_PX[[#This Row],[Column450]]</f>
        <v>95.084999999999994</v>
      </c>
      <c r="QI37">
        <f>SOFR3mo_PX[[#This Row],[Column451]]</f>
        <v>95.215000000000003</v>
      </c>
      <c r="QJ37">
        <f>SOFR3mo_PX[[#This Row],[Column452]]</f>
        <v>95.394999999999996</v>
      </c>
      <c r="QK37">
        <f>SOFR3mo_PX[[#This Row],[Column453]]</f>
        <v>95.385000000000005</v>
      </c>
      <c r="QL37">
        <f>SOFR3mo_PX[[#This Row],[Column454]]</f>
        <v>95.41</v>
      </c>
      <c r="QM37">
        <f>SOFR3mo_PX[[#This Row],[Column455]]</f>
        <v>95.484999999999999</v>
      </c>
      <c r="QN37">
        <f>SOFR3mo_PX[[#This Row],[Column456]]</f>
        <v>95.495000000000005</v>
      </c>
      <c r="QO37">
        <f>SOFR3mo_PX[[#This Row],[Column457]]</f>
        <v>95.644999999999996</v>
      </c>
      <c r="QP37">
        <f>SOFR3mo_PX[[#This Row],[Column458]]</f>
        <v>95.614999999999995</v>
      </c>
      <c r="QQ37">
        <f>SOFR3mo_PX[[#This Row],[Column459]]</f>
        <v>95.78</v>
      </c>
      <c r="QR37">
        <f>SOFR3mo_PX[[#This Row],[Column460]]</f>
        <v>95.76</v>
      </c>
      <c r="QS37">
        <f>SOFR3mo_PX[[#This Row],[Column461]]</f>
        <v>95.795000000000002</v>
      </c>
      <c r="QT37">
        <f>SOFR3mo_PX[[#This Row],[Column462]]</f>
        <v>95.775000000000006</v>
      </c>
      <c r="QU37">
        <f>SOFR3mo_PX[[#This Row],[Column463]]</f>
        <v>95.81</v>
      </c>
      <c r="QV37">
        <f>SOFR3mo_PX[[#This Row],[Column464]]</f>
        <v>95.87</v>
      </c>
      <c r="QW37">
        <f>SOFR3mo_PX[[#This Row],[Column465]]</f>
        <v>95.85</v>
      </c>
      <c r="QX37">
        <f>SOFR3mo_PX[[#This Row],[Column466]]</f>
        <v>95.805000000000007</v>
      </c>
      <c r="QY37">
        <f>SOFR3mo_PX[[#This Row],[Column467]]</f>
        <v>95.844999999999999</v>
      </c>
      <c r="QZ37">
        <f>SOFR3mo_PX[[#This Row],[Column468]]</f>
        <v>95.834999999999994</v>
      </c>
      <c r="RA37">
        <f>SOFR3mo_PX[[#This Row],[Column469]]</f>
        <v>95.82</v>
      </c>
      <c r="RB37">
        <f>SOFR3mo_PX[[#This Row],[Column470]]</f>
        <v>95.814999999999998</v>
      </c>
      <c r="RC37">
        <f>SOFR3mo_PX[[#This Row],[Column471]]</f>
        <v>95.885000000000005</v>
      </c>
      <c r="RD37">
        <f>SOFR3mo_PX[[#This Row],[Column472]]</f>
        <v>95.885000000000005</v>
      </c>
      <c r="RE37">
        <f>SOFR3mo_PX[[#This Row],[Column473]]</f>
        <v>95.98</v>
      </c>
      <c r="RF37">
        <f>SOFR3mo_PX[[#This Row],[Column474]]</f>
        <v>95.954999999999998</v>
      </c>
      <c r="RG37">
        <f>SOFR3mo_PX[[#This Row],[Column475]]</f>
        <v>95.96</v>
      </c>
      <c r="RH37">
        <f>SOFR3mo_PX[[#This Row],[Column476]]</f>
        <v>95.924999999999997</v>
      </c>
      <c r="RI37">
        <f>SOFR3mo_PX[[#This Row],[Column477]]</f>
        <v>95.885000000000005</v>
      </c>
      <c r="RJ37">
        <f>SOFR3mo_PX[[#This Row],[Column478]]</f>
        <v>95.88</v>
      </c>
      <c r="RK37">
        <f>SOFR3mo_PX[[#This Row],[Column479]]</f>
        <v>95.905000000000001</v>
      </c>
      <c r="RL37">
        <f>SOFR3mo_PX[[#This Row],[Column480]]</f>
        <v>95.754999999999995</v>
      </c>
      <c r="RM37">
        <f>SOFR3mo_PX[[#This Row],[Column481]]</f>
        <v>95.724999999999994</v>
      </c>
      <c r="RN37">
        <f>SOFR3mo_PX[[#This Row],[Column482]]</f>
        <v>95.82</v>
      </c>
      <c r="RO37">
        <f>SOFR3mo_PX[[#This Row],[Column483]]</f>
        <v>95.745000000000005</v>
      </c>
      <c r="RP37">
        <f>SOFR3mo_PX[[#This Row],[Column484]]</f>
        <v>95.83</v>
      </c>
      <c r="RQ37">
        <f>SOFR3mo_PX[[#This Row],[Column485]]</f>
        <v>95.864999999999995</v>
      </c>
      <c r="RR37">
        <f>SOFR3mo_PX[[#This Row],[Column486]]</f>
        <v>95.924999999999997</v>
      </c>
      <c r="RS37">
        <f>SOFR3mo_PX[[#This Row],[Column487]]</f>
        <v>95.9</v>
      </c>
      <c r="RT37">
        <f>SOFR3mo_PX[[#This Row],[Column488]]</f>
        <v>95.99</v>
      </c>
      <c r="RU37">
        <f>SOFR3mo_PX[[#This Row],[Column489]]</f>
        <v>96.094999999999999</v>
      </c>
      <c r="RV37">
        <f>SOFR3mo_PX[[#This Row],[Column490]]</f>
        <v>96.06</v>
      </c>
      <c r="RW37">
        <f>SOFR3mo_PX[[#This Row],[Column491]]</f>
        <v>95.995000000000005</v>
      </c>
      <c r="RX37">
        <f>SOFR3mo_PX[[#This Row],[Column492]]</f>
        <v>96.02</v>
      </c>
      <c r="RY37">
        <f>SOFR3mo_PX[[#This Row],[Column493]]</f>
        <v>95.88</v>
      </c>
      <c r="RZ37">
        <f>SOFR3mo_PX[[#This Row],[Column494]]</f>
        <v>96.05</v>
      </c>
      <c r="SA37">
        <f>SOFR3mo_PX[[#This Row],[Column495]]</f>
        <v>96.105000000000004</v>
      </c>
      <c r="SB37">
        <f>SOFR3mo_PX[[#This Row],[Column496]]</f>
        <v>96.194999999999993</v>
      </c>
      <c r="SC37">
        <f>SOFR3mo_PX[[#This Row],[Column497]]</f>
        <v>96.19</v>
      </c>
      <c r="SD37">
        <f>SOFR3mo_PX[[#This Row],[Column498]]</f>
        <v>96.144999999999996</v>
      </c>
      <c r="SE37">
        <f>SOFR3mo_PX[[#This Row],[Column499]]</f>
        <v>96.314999999999998</v>
      </c>
      <c r="SF37">
        <f>SOFR3mo_PX[[#This Row],[Column500]]</f>
        <v>96.265000000000001</v>
      </c>
      <c r="SG37">
        <f>SOFR3mo_PX[[#This Row],[Column501]]</f>
        <v>96.325000000000003</v>
      </c>
      <c r="SH37">
        <f>SOFR3mo_PX[[#This Row],[Column502]]</f>
        <v>96.334999999999994</v>
      </c>
      <c r="SI37">
        <f>SOFR3mo_PX[[#This Row],[Column503]]</f>
        <v>96.314999999999998</v>
      </c>
      <c r="SJ37">
        <f>SOFR3mo_PX[[#This Row],[Column504]]</f>
        <v>96.435000000000002</v>
      </c>
      <c r="SK37">
        <f>SOFR3mo_PX[[#This Row],[Column505]]</f>
        <v>96.394999999999996</v>
      </c>
      <c r="SL37">
        <f>SOFR3mo_PX[[#This Row],[Column506]]</f>
        <v>96.38</v>
      </c>
      <c r="SM37">
        <f>SOFR3mo_PX[[#This Row],[Column507]]</f>
        <v>96.34</v>
      </c>
      <c r="SN37">
        <f>SOFR3mo_PX[[#This Row],[Column508]]</f>
        <v>96.35</v>
      </c>
      <c r="SO37">
        <f>SOFR3mo_PX[[#This Row],[Column509]]</f>
        <v>96.32</v>
      </c>
      <c r="SP37">
        <f>SOFR3mo_PX[[#This Row],[Column510]]</f>
        <v>96.23</v>
      </c>
      <c r="SQ37">
        <f>SOFR3mo_PX[[#This Row],[Column511]]</f>
        <v>96.165000000000006</v>
      </c>
      <c r="SR37">
        <f>SOFR3mo_PX[[#This Row],[Column512]]</f>
        <v>96.125</v>
      </c>
      <c r="SS37">
        <f>SOFR3mo_PX[[#This Row],[Column513]]</f>
        <v>96.18</v>
      </c>
      <c r="ST37">
        <f>SOFR3mo_PX[[#This Row],[Column514]]</f>
        <v>96.265000000000001</v>
      </c>
      <c r="SU37">
        <f>SOFR3mo_PX[[#This Row],[Column515]]</f>
        <v>96.37</v>
      </c>
      <c r="SV37">
        <f>SOFR3mo_PX[[#This Row],[Column516]]</f>
        <v>96.37</v>
      </c>
      <c r="SW37">
        <f>SOFR3mo_PX[[#This Row],[Column517]]</f>
        <v>96.405000000000001</v>
      </c>
      <c r="SX37">
        <f>SOFR3mo_PX[[#This Row],[Column518]]</f>
        <v>96.34</v>
      </c>
      <c r="SY37">
        <f>SOFR3mo_PX[[#This Row],[Column519]]</f>
        <v>96.484999999999999</v>
      </c>
      <c r="SZ37">
        <f>SOFR3mo_PX[[#This Row],[Column520]]</f>
        <v>96.43</v>
      </c>
      <c r="TA37">
        <f>SOFR3mo_PX[[#This Row],[Column521]]</f>
        <v>96.46</v>
      </c>
      <c r="TB37">
        <f>SOFR3mo_PX[[#This Row],[Column522]]</f>
        <v>96.43</v>
      </c>
      <c r="TC37">
        <f>SOFR3mo_PX[[#This Row],[Column523]]</f>
        <v>96.36</v>
      </c>
      <c r="TD37">
        <f>SOFR3mo_PX[[#This Row],[Column524]]</f>
        <v>96.435000000000002</v>
      </c>
      <c r="TE37">
        <f>SOFR3mo_PX[[#This Row],[Column525]]</f>
        <v>96.444999999999993</v>
      </c>
      <c r="TF37">
        <f>SOFR3mo_PX[[#This Row],[Column526]]</f>
        <v>96.375</v>
      </c>
      <c r="TG37">
        <f>SOFR3mo_PX[[#This Row],[Column527]]</f>
        <v>96.375</v>
      </c>
      <c r="TH37">
        <f>SOFR3mo_PX[[#This Row],[Column528]]</f>
        <v>96.41</v>
      </c>
      <c r="TI37">
        <f>SOFR3mo_PX[[#This Row],[Column529]]</f>
        <v>96.34</v>
      </c>
      <c r="TJ37">
        <f>SOFR3mo_PX[[#This Row],[Column530]]</f>
        <v>96.26</v>
      </c>
      <c r="TK37">
        <f>SOFR3mo_PX[[#This Row],[Column531]]</f>
        <v>96.334999999999994</v>
      </c>
      <c r="TL37">
        <f>SOFR3mo_PX[[#This Row],[Column532]]</f>
        <v>96.34</v>
      </c>
      <c r="TM37">
        <f>SOFR3mo_PX[[#This Row],[Column533]]</f>
        <v>96.344999999999999</v>
      </c>
      <c r="TN37">
        <f>SOFR3mo_PX[[#This Row],[Column534]]</f>
        <v>96.27</v>
      </c>
      <c r="TO37">
        <f>SOFR3mo_PX[[#This Row],[Column535]]</f>
        <v>96.375</v>
      </c>
      <c r="TP37">
        <f>SOFR3mo_PX[[#This Row],[Column536]]</f>
        <v>96.355000000000004</v>
      </c>
      <c r="TQ37">
        <f>SOFR3mo_PX[[#This Row],[Column537]]</f>
        <v>96.325000000000003</v>
      </c>
      <c r="TR37">
        <f>SOFR3mo_PX[[#This Row],[Column538]]</f>
        <v>96.424999999999997</v>
      </c>
      <c r="TS37">
        <f>SOFR3mo_PX[[#This Row],[Column539]]</f>
        <v>96.41</v>
      </c>
      <c r="TT37">
        <f>SOFR3mo_PX[[#This Row],[Column540]]</f>
        <v>96.364999999999995</v>
      </c>
      <c r="TU37">
        <f>SOFR3mo_PX[[#This Row],[Column541]]</f>
        <v>96.254999999999995</v>
      </c>
      <c r="TV37">
        <f>SOFR3mo_PX[[#This Row],[Column542]]</f>
        <v>96.254999999999995</v>
      </c>
      <c r="TW37">
        <f>SOFR3mo_PX[[#This Row],[Column543]]</f>
        <v>96.24</v>
      </c>
      <c r="TX37">
        <f>SOFR3mo_PX[[#This Row],[Column544]]</f>
        <v>96.325000000000003</v>
      </c>
      <c r="TY37">
        <f>SOFR3mo_PX[[#This Row],[Column545]]</f>
        <v>96.34</v>
      </c>
      <c r="TZ37">
        <f>SOFR3mo_PX[[#This Row],[Column546]]</f>
        <v>96.31</v>
      </c>
      <c r="UA37">
        <f>SOFR3mo_PX[[#This Row],[Column547]]</f>
        <v>96.3</v>
      </c>
      <c r="UB37">
        <f>SOFR3mo_PX[[#This Row],[Column548]]</f>
        <v>96.355000000000004</v>
      </c>
      <c r="UC37">
        <f>SOFR3mo_PX[[#This Row],[Column549]]</f>
        <v>96.41</v>
      </c>
      <c r="UD37">
        <f>SOFR3mo_PX[[#This Row],[Column550]]</f>
        <v>96.424999999999997</v>
      </c>
      <c r="UE37">
        <f>SOFR3mo_PX[[#This Row],[Column551]]</f>
        <v>96.48</v>
      </c>
      <c r="UF37">
        <f>SOFR3mo_PX[[#This Row],[Column552]]</f>
        <v>96.52</v>
      </c>
      <c r="UG37">
        <f>SOFR3mo_PX[[#This Row],[Column553]]</f>
        <v>96.56</v>
      </c>
      <c r="UH37">
        <f>SOFR3mo_PX[[#This Row],[Column554]]</f>
        <v>96.515000000000001</v>
      </c>
      <c r="UI37">
        <f>SOFR3mo_PX[[#This Row],[Column555]]</f>
        <v>96.45</v>
      </c>
      <c r="UJ37">
        <f>SOFR3mo_PX[[#This Row],[Column556]]</f>
        <v>96.46</v>
      </c>
      <c r="UK37">
        <f>SOFR3mo_PX[[#This Row],[Column557]]</f>
        <v>96.504999999999995</v>
      </c>
      <c r="UL37">
        <f>SOFR3mo_PX[[#This Row],[Column558]]</f>
        <v>96.575000000000003</v>
      </c>
      <c r="UM37">
        <f>SOFR3mo_PX[[#This Row],[Column559]]</f>
        <v>96.525000000000006</v>
      </c>
      <c r="UN37">
        <f>SOFR3mo_PX[[#This Row],[Column560]]</f>
        <v>96.51</v>
      </c>
      <c r="UO37">
        <f>SOFR3mo_PX[[#This Row],[Column561]]</f>
        <v>96.38</v>
      </c>
      <c r="UP37">
        <f>SOFR3mo_PX[[#This Row],[Column562]]</f>
        <v>96.515000000000001</v>
      </c>
      <c r="UQ37">
        <f>SOFR3mo_PX[[#This Row],[Column563]]</f>
        <v>96.52</v>
      </c>
      <c r="UR37">
        <f>SOFR3mo_PX[[#This Row],[Column564]]</f>
        <v>96.594999999999999</v>
      </c>
      <c r="US37">
        <f>SOFR3mo_PX[[#This Row],[Column565]]</f>
        <v>96.644999999999996</v>
      </c>
      <c r="UT37">
        <f>SOFR3mo_PX[[#This Row],[Column566]]</f>
        <v>96.584999999999994</v>
      </c>
      <c r="UU37">
        <f>SOFR3mo_PX[[#This Row],[Column567]]</f>
        <v>96.53</v>
      </c>
      <c r="UV37">
        <f>SOFR3mo_PX[[#This Row],[Column568]]</f>
        <v>96.575000000000003</v>
      </c>
      <c r="UW37">
        <f>SOFR3mo_PX[[#This Row],[Column569]]</f>
        <v>96.54</v>
      </c>
      <c r="UX37">
        <f>SOFR3mo_PX[[#This Row],[Column570]]</f>
        <v>96.56</v>
      </c>
      <c r="UY37">
        <f>SOFR3mo_PX[[#This Row],[Column571]]</f>
        <v>96.515000000000001</v>
      </c>
      <c r="UZ37">
        <f>SOFR3mo_PX[[#This Row],[Column572]]</f>
        <v>96.575000000000003</v>
      </c>
      <c r="VA37">
        <f>SOFR3mo_PX[[#This Row],[Column573]]</f>
        <v>96.63</v>
      </c>
      <c r="VB37">
        <f>SOFR3mo_PX[[#This Row],[Column574]]</f>
        <v>96.685000000000002</v>
      </c>
      <c r="VC37">
        <f>SOFR3mo_PX[[#This Row],[Column575]]</f>
        <v>96.685000000000002</v>
      </c>
      <c r="VD37">
        <f>SOFR3mo_PX[[#This Row],[Column576]]</f>
        <v>96.674999999999997</v>
      </c>
      <c r="VE37">
        <f>SOFR3mo_PX[[#This Row],[Column577]]</f>
        <v>96.73</v>
      </c>
      <c r="VF37">
        <f>SOFR3mo_PX[[#This Row],[Column578]]</f>
        <v>96.805000000000007</v>
      </c>
      <c r="VG37">
        <f>SOFR3mo_PX[[#This Row],[Column579]]</f>
        <v>96.79</v>
      </c>
      <c r="VH37">
        <f>SOFR3mo_PX[[#This Row],[Column580]]</f>
        <v>96.754999999999995</v>
      </c>
      <c r="VI37">
        <f>SOFR3mo_PX[[#This Row],[Column581]]</f>
        <v>96.694999999999993</v>
      </c>
      <c r="VJ37">
        <f>SOFR3mo_PX[[#This Row],[Column582]]</f>
        <v>96.64</v>
      </c>
      <c r="VK37">
        <f>SOFR3mo_PX[[#This Row],[Column583]]</f>
        <v>96.605000000000004</v>
      </c>
      <c r="VL37">
        <f>SOFR3mo_PX[[#This Row],[Column584]]</f>
        <v>96.58</v>
      </c>
      <c r="VM37">
        <f>SOFR3mo_PX[[#This Row],[Column585]]</f>
        <v>96.57</v>
      </c>
      <c r="VN37">
        <f>SOFR3mo_PX[[#This Row],[Column586]]</f>
        <v>96.6</v>
      </c>
      <c r="VO37">
        <f>SOFR3mo_PX[[#This Row],[Column587]]</f>
        <v>96.72</v>
      </c>
      <c r="VP37">
        <f>SOFR3mo_PX[[#This Row],[Column588]]</f>
        <v>96.68</v>
      </c>
      <c r="VQ37">
        <f>SOFR3mo_PX[[#This Row],[Column589]]</f>
        <v>96.63</v>
      </c>
      <c r="VR37">
        <f>SOFR3mo_PX[[#This Row],[Column590]]</f>
        <v>96.575000000000003</v>
      </c>
      <c r="VS37">
        <f>SOFR3mo_PX[[#This Row],[Column591]]</f>
        <v>96.6</v>
      </c>
      <c r="VT37">
        <f>SOFR3mo_PX[[#This Row],[Column592]]</f>
        <v>96.674999999999997</v>
      </c>
      <c r="VU37">
        <f>SOFR3mo_PX[[#This Row],[Column593]]</f>
        <v>96.49</v>
      </c>
      <c r="VV37">
        <f>SOFR3mo_PX[[#This Row],[Column594]]</f>
        <v>96.575000000000003</v>
      </c>
      <c r="VW37">
        <f>SOFR3mo_PX[[#This Row],[Column595]]</f>
        <v>96.484999999999999</v>
      </c>
      <c r="VX37">
        <f>SOFR3mo_PX[[#This Row],[Column596]]</f>
        <v>96.56</v>
      </c>
      <c r="VY37">
        <f>SOFR3mo_PX[[#This Row],[Column597]]</f>
        <v>96.54</v>
      </c>
      <c r="VZ37">
        <f>SOFR3mo_PX[[#This Row],[Column598]]</f>
        <v>96.34</v>
      </c>
      <c r="WA37">
        <f>SOFR3mo_PX[[#This Row],[Column599]]</f>
        <v>96.385000000000005</v>
      </c>
      <c r="WB37">
        <f>SOFR3mo_PX[[#This Row],[Column600]]</f>
        <v>96.364999999999995</v>
      </c>
      <c r="WC37">
        <f>SOFR3mo_PX[[#This Row],[Column601]]</f>
        <v>96.29</v>
      </c>
      <c r="WD37">
        <f>SOFR3mo_PX[[#This Row],[Column602]]</f>
        <v>96.29</v>
      </c>
      <c r="WE37">
        <f>SOFR3mo_PX[[#This Row],[Column603]]</f>
        <v>96.165000000000006</v>
      </c>
      <c r="WF37">
        <f>SOFR3mo_PX[[#This Row],[Column604]]</f>
        <v>96.27</v>
      </c>
      <c r="WG37">
        <f>SOFR3mo_PX[[#This Row],[Column605]]</f>
        <v>96.355000000000004</v>
      </c>
      <c r="WH37">
        <f>SOFR3mo_PX[[#This Row],[Column606]]</f>
        <v>96.355000000000004</v>
      </c>
      <c r="WI37">
        <f>SOFR3mo_PX[[#This Row],[Column607]]</f>
        <v>96.314999999999998</v>
      </c>
      <c r="WJ37">
        <f>SOFR3mo_PX[[#This Row],[Column608]]</f>
        <v>96.364999999999995</v>
      </c>
      <c r="WK37">
        <f>SOFR3mo_PX[[#This Row],[Column609]]</f>
        <v>96.314999999999998</v>
      </c>
      <c r="WL37">
        <f>SOFR3mo_PX[[#This Row],[Column610]]</f>
        <v>96.28</v>
      </c>
      <c r="WM37">
        <f>SOFR3mo_PX[[#This Row],[Column611]]</f>
        <v>96.43</v>
      </c>
      <c r="WN37">
        <f>SOFR3mo_PX[[#This Row],[Column612]]</f>
        <v>96.43</v>
      </c>
      <c r="WO37">
        <f>SOFR3mo_PX[[#This Row],[Column613]]</f>
        <v>96.41</v>
      </c>
      <c r="WP37">
        <f>SOFR3mo_PX[[#This Row],[Column614]]</f>
        <v>96.45</v>
      </c>
      <c r="WQ37">
        <f>SOFR3mo_PX[[#This Row],[Column615]]</f>
        <v>96.515000000000001</v>
      </c>
      <c r="WR37">
        <f>SOFR3mo_PX[[#This Row],[Column616]]</f>
        <v>96.5</v>
      </c>
      <c r="WS37">
        <f>SOFR3mo_PX[[#This Row],[Column617]]</f>
        <v>96.47</v>
      </c>
      <c r="WT37">
        <f>SOFR3mo_PX[[#This Row],[Column618]]</f>
        <v>96.534999999999997</v>
      </c>
      <c r="WU37">
        <f>SOFR3mo_PX[[#This Row],[Column619]]</f>
        <v>96.555000000000007</v>
      </c>
      <c r="WV37">
        <f>SOFR3mo_PX[[#This Row],[Column620]]</f>
        <v>96.534999999999997</v>
      </c>
      <c r="WW37">
        <f>SOFR3mo_PX[[#This Row],[Column621]]</f>
        <v>96.56</v>
      </c>
      <c r="WX37">
        <f>SOFR3mo_PX[[#This Row],[Column622]]</f>
        <v>96.635000000000005</v>
      </c>
      <c r="WY37">
        <f>SOFR3mo_PX[[#This Row],[Column623]]</f>
        <v>96.724999999999994</v>
      </c>
      <c r="WZ37">
        <f>SOFR3mo_PX[[#This Row],[Column624]]</f>
        <v>96.76</v>
      </c>
      <c r="XA37">
        <f>SOFR3mo_PX[[#This Row],[Column625]]</f>
        <v>96.66</v>
      </c>
      <c r="XB37">
        <f>SOFR3mo_PX[[#This Row],[Column626]]</f>
        <v>96.63</v>
      </c>
      <c r="XC37">
        <f>SOFR3mo_PX[[#This Row],[Column627]]</f>
        <v>96.665000000000006</v>
      </c>
      <c r="XD37">
        <f>SOFR3mo_PX[[#This Row],[Column628]]</f>
        <v>96.715000000000003</v>
      </c>
      <c r="XE37">
        <f>SOFR3mo_PX[[#This Row],[Column629]]</f>
        <v>96.73</v>
      </c>
      <c r="XF37">
        <f>SOFR3mo_PX[[#This Row],[Column630]]</f>
        <v>96.73</v>
      </c>
      <c r="XG37">
        <f>SOFR3mo_PX[[#This Row],[Column631]]</f>
        <v>96.655000000000001</v>
      </c>
      <c r="XH37">
        <f>SOFR3mo_PX[[#This Row],[Column632]]</f>
        <v>96.7</v>
      </c>
      <c r="XI37">
        <f>SOFR3mo_PX[[#This Row],[Column633]]</f>
        <v>96.79</v>
      </c>
      <c r="XJ37">
        <f>SOFR3mo_PX[[#This Row],[Column634]]</f>
        <v>96.82</v>
      </c>
      <c r="XK37">
        <f>SOFR3mo_PX[[#This Row],[Column635]]</f>
        <v>96.694999999999993</v>
      </c>
      <c r="XL37">
        <f>SOFR3mo_PX[[#This Row],[Column636]]</f>
        <v>96.74</v>
      </c>
      <c r="XM37">
        <f>SOFR3mo_PX[[#This Row],[Column637]]</f>
        <v>96.74</v>
      </c>
      <c r="XN37">
        <f>SOFR3mo_PX[[#This Row],[Column638]]</f>
        <v>96.765000000000001</v>
      </c>
      <c r="XO37">
        <f>SOFR3mo_PX[[#This Row],[Column639]]</f>
        <v>96.69</v>
      </c>
      <c r="XP37">
        <f>SOFR3mo_PX[[#This Row],[Column640]]</f>
        <v>96.635000000000005</v>
      </c>
      <c r="XQ37">
        <f>SOFR3mo_PX[[#This Row],[Column641]]</f>
        <v>96.75</v>
      </c>
      <c r="XR37">
        <f>SOFR3mo_PX[[#This Row],[Column642]]</f>
        <v>96.704999999999998</v>
      </c>
      <c r="XS37">
        <f>SOFR3mo_PX[[#This Row],[Column643]]</f>
        <v>96.555000000000007</v>
      </c>
      <c r="XT37">
        <f>SOFR3mo_PX[[#This Row],[Column644]]</f>
        <v>96.54</v>
      </c>
      <c r="XU37">
        <f>SOFR3mo_PX[[#This Row],[Column645]]</f>
        <v>96.44</v>
      </c>
      <c r="XV37">
        <f>SOFR3mo_PX[[#This Row],[Column646]]</f>
        <v>96.37</v>
      </c>
      <c r="XW37">
        <f>SOFR3mo_PX[[#This Row],[Column647]]</f>
        <v>96.37</v>
      </c>
      <c r="XX37">
        <f>SOFR3mo_PX[[#This Row],[Column648]]</f>
        <v>96.33</v>
      </c>
      <c r="XY37">
        <f>SOFR3mo_PX[[#This Row],[Column649]]</f>
        <v>96.275000000000006</v>
      </c>
      <c r="XZ37">
        <f>SOFR3mo_PX[[#This Row],[Column650]]</f>
        <v>96.36</v>
      </c>
      <c r="YA37">
        <f>SOFR3mo_PX[[#This Row],[Column651]]</f>
        <v>96.444999999999993</v>
      </c>
      <c r="YB37">
        <f>SOFR3mo_PX[[#This Row],[Column652]]</f>
        <v>96.444999999999993</v>
      </c>
      <c r="YC37">
        <f>SOFR3mo_PX[[#This Row],[Column653]]</f>
        <v>96.474999999999994</v>
      </c>
      <c r="YD37">
        <f>SOFR3mo_PX[[#This Row],[Column654]]</f>
        <v>96.45</v>
      </c>
      <c r="YE37">
        <f>SOFR3mo_PX[[#This Row],[Column655]]</f>
        <v>96.5</v>
      </c>
      <c r="YF37">
        <f>SOFR3mo_PX[[#This Row],[Column656]]</f>
        <v>96.64</v>
      </c>
      <c r="YG37">
        <f>SOFR3mo_PX[[#This Row],[Column657]]</f>
        <v>96.734999999999999</v>
      </c>
      <c r="YH37">
        <f>SOFR3mo_PX[[#This Row],[Column658]]</f>
        <v>96.8</v>
      </c>
      <c r="YI37">
        <f>SOFR3mo_PX[[#This Row],[Column659]]</f>
        <v>96.74</v>
      </c>
      <c r="YJ37">
        <f>SOFR3mo_PX[[#This Row],[Column660]]</f>
        <v>96.74</v>
      </c>
      <c r="YK37">
        <f>SOFR3mo_PX[[#This Row],[Column661]]</f>
        <v>96.64</v>
      </c>
      <c r="YL37">
        <f>SOFR3mo_PX[[#This Row],[Column662]]</f>
        <v>96.674999999999997</v>
      </c>
      <c r="YM37">
        <f>SOFR3mo_PX[[#This Row],[Column663]]</f>
        <v>96.765000000000001</v>
      </c>
      <c r="YN37">
        <f>SOFR3mo_PX[[#This Row],[Column664]]</f>
        <v>96.875</v>
      </c>
      <c r="YO37">
        <f>SOFR3mo_PX[[#This Row],[Column665]]</f>
        <v>96.765000000000001</v>
      </c>
      <c r="YP37">
        <f>SOFR3mo_PX[[#This Row],[Column666]]</f>
        <v>96.67</v>
      </c>
      <c r="YQ37">
        <f>SOFR3mo_PX[[#This Row],[Column667]]</f>
        <v>96.77</v>
      </c>
      <c r="YR37">
        <f>SOFR3mo_PX[[#This Row],[Column668]]</f>
        <v>96.724999999999994</v>
      </c>
      <c r="YS37">
        <f>SOFR3mo_PX[[#This Row],[Column669]]</f>
        <v>96.564999999999998</v>
      </c>
      <c r="YT37">
        <f>SOFR3mo_PX[[#This Row],[Column670]]</f>
        <v>96.534999999999997</v>
      </c>
      <c r="YU37">
        <f>SOFR3mo_PX[[#This Row],[Column671]]</f>
        <v>96.58</v>
      </c>
      <c r="YV37">
        <f>SOFR3mo_PX[[#This Row],[Column672]]</f>
        <v>96.564999999999998</v>
      </c>
      <c r="YW37">
        <f>SOFR3mo_PX[[#This Row],[Column673]]</f>
        <v>96.55</v>
      </c>
      <c r="YX37">
        <f>SOFR3mo_PX[[#This Row],[Column674]]</f>
        <v>96.55</v>
      </c>
      <c r="YY37">
        <f>SOFR3mo_PX[[#This Row],[Column675]]</f>
        <v>96.48</v>
      </c>
      <c r="YZ37">
        <f>SOFR3mo_PX[[#This Row],[Column676]]</f>
        <v>96.38</v>
      </c>
      <c r="ZA37">
        <f>SOFR3mo_PX[[#This Row],[Column677]]</f>
        <v>96.36</v>
      </c>
      <c r="ZB37">
        <f>SOFR3mo_PX[[#This Row],[Column678]]</f>
        <v>96.43</v>
      </c>
      <c r="ZC37">
        <f>SOFR3mo_PX[[#This Row],[Column679]]</f>
        <v>96.484999999999999</v>
      </c>
      <c r="ZD37">
        <f>SOFR3mo_PX[[#This Row],[Column680]]</f>
        <v>96.36</v>
      </c>
      <c r="ZE37">
        <f>SOFR3mo_PX[[#This Row],[Column681]]</f>
        <v>96.284999999999997</v>
      </c>
      <c r="ZF37">
        <f>SOFR3mo_PX[[#This Row],[Column682]]</f>
        <v>96.334999999999994</v>
      </c>
      <c r="ZG37">
        <f>SOFR3mo_PX[[#This Row],[Column683]]</f>
        <v>96.325000000000003</v>
      </c>
      <c r="ZH37">
        <f>SOFR3mo_PX[[#This Row],[Column684]]</f>
        <v>96.03</v>
      </c>
      <c r="ZI37">
        <f>SOFR3mo_PX[[#This Row],[Column685]]</f>
        <v>96.07</v>
      </c>
      <c r="ZJ37">
        <f>SOFR3mo_PX[[#This Row],[Column686]]</f>
        <v>95.984999999999999</v>
      </c>
      <c r="ZK37">
        <f>SOFR3mo_PX[[#This Row],[Column687]]</f>
        <v>96</v>
      </c>
      <c r="ZL37">
        <f>SOFR3mo_PX[[#This Row],[Column688]]</f>
        <v>96.03</v>
      </c>
      <c r="ZM37">
        <f>SOFR3mo_PX[[#This Row],[Column689]]</f>
        <v>96.034999999999997</v>
      </c>
      <c r="ZN37">
        <f>SOFR3mo_PX[[#This Row],[Column690]]</f>
        <v>96.015000000000001</v>
      </c>
      <c r="ZO37">
        <f>SOFR3mo_PX[[#This Row],[Column691]]</f>
        <v>95.974999999999994</v>
      </c>
      <c r="ZP37">
        <f>SOFR3mo_PX[[#This Row],[Column692]]</f>
        <v>96.004999999999995</v>
      </c>
      <c r="ZQ37">
        <f>SOFR3mo_PX[[#This Row],[Column693]]</f>
        <v>96.1</v>
      </c>
      <c r="ZR37">
        <f>SOFR3mo_PX[[#This Row],[Column694]]</f>
        <v>96.04</v>
      </c>
      <c r="ZS37">
        <f>SOFR3mo_PX[[#This Row],[Column695]]</f>
        <v>95.95</v>
      </c>
      <c r="ZT37">
        <f>SOFR3mo_PX[[#This Row],[Column696]]</f>
        <v>95.81</v>
      </c>
      <c r="ZU37">
        <f>SOFR3mo_PX[[#This Row],[Column697]]</f>
        <v>95.86</v>
      </c>
      <c r="ZV37">
        <f>SOFR3mo_PX[[#This Row],[Column698]]</f>
        <v>95.935000000000002</v>
      </c>
      <c r="ZW37">
        <f>SOFR3mo_PX[[#This Row],[Column699]]</f>
        <v>96.034999999999997</v>
      </c>
      <c r="ZX37">
        <f>SOFR3mo_PX[[#This Row],[Column700]]</f>
        <v>96.16</v>
      </c>
      <c r="ZY37">
        <f>SOFR3mo_PX[[#This Row],[Column701]]</f>
        <v>96.14</v>
      </c>
      <c r="ZZ37">
        <f>SOFR3mo_PX[[#This Row],[Column702]]</f>
        <v>96.155000000000001</v>
      </c>
      <c r="AAA37">
        <f>SOFR3mo_PX[[#This Row],[Column703]]</f>
        <v>96.2</v>
      </c>
      <c r="AAB37">
        <f>SOFR3mo_PX[[#This Row],[Column704]]</f>
        <v>96.194999999999993</v>
      </c>
      <c r="AAC37">
        <f>SOFR3mo_PX[[#This Row],[Column705]]</f>
        <v>96.155000000000001</v>
      </c>
      <c r="AAD37">
        <f>SOFR3mo_PX[[#This Row],[Column706]]</f>
        <v>96.105000000000004</v>
      </c>
      <c r="AAE37">
        <f>SOFR3mo_PX[[#This Row],[Column707]]</f>
        <v>96.204999999999998</v>
      </c>
      <c r="AAF37">
        <f>SOFR3mo_PX[[#This Row],[Column708]]</f>
        <v>96.25</v>
      </c>
      <c r="AAG37">
        <f>SOFR3mo_PX[[#This Row],[Column709]]</f>
        <v>96.284999999999997</v>
      </c>
      <c r="AAH37">
        <f>SOFR3mo_PX[[#This Row],[Column710]]</f>
        <v>96.42</v>
      </c>
      <c r="AAI37">
        <f>SOFR3mo_PX[[#This Row],[Column711]]</f>
        <v>96.355000000000004</v>
      </c>
      <c r="AAJ37">
        <f>SOFR3mo_PX[[#This Row],[Column712]]</f>
        <v>96.204999999999998</v>
      </c>
      <c r="AAK37">
        <f>SOFR3mo_PX[[#This Row],[Column713]]</f>
        <v>96.265000000000001</v>
      </c>
      <c r="AAL37">
        <f>SOFR3mo_PX[[#This Row],[Column714]]</f>
        <v>96.314999999999998</v>
      </c>
      <c r="AAM37">
        <f>SOFR3mo_PX[[#This Row],[Column715]]</f>
        <v>96.194999999999993</v>
      </c>
      <c r="AAN37">
        <f>SOFR3mo_PX[[#This Row],[Column716]]</f>
        <v>96.32</v>
      </c>
      <c r="AAO37">
        <f>SOFR3mo_PX[[#This Row],[Column717]]</f>
        <v>96.484999999999999</v>
      </c>
      <c r="AAP37">
        <f>SOFR3mo_PX[[#This Row],[Column718]]</f>
        <v>96.305000000000007</v>
      </c>
      <c r="AAQ37">
        <f>SOFR3mo_PX[[#This Row],[Column719]]</f>
        <v>96.48</v>
      </c>
      <c r="AAR37">
        <f>SOFR3mo_PX[[#This Row],[Column720]]</f>
        <v>96.41</v>
      </c>
      <c r="AAS37">
        <f>SOFR3mo_PX[[#This Row],[Column721]]</f>
        <v>96.5</v>
      </c>
      <c r="AAT37">
        <f>SOFR3mo_PX[[#This Row],[Column722]]</f>
        <v>96.5</v>
      </c>
      <c r="AAU37">
        <f>SOFR3mo_PX[[#This Row],[Column723]]</f>
        <v>96.525000000000006</v>
      </c>
      <c r="AAV37">
        <f>SOFR3mo_PX[[#This Row],[Column724]]</f>
        <v>96.605000000000004</v>
      </c>
      <c r="AAW37">
        <f>SOFR3mo_PX[[#This Row],[Column725]]</f>
        <v>96.575000000000003</v>
      </c>
      <c r="AAX37">
        <f>SOFR3mo_PX[[#This Row],[Column726]]</f>
        <v>96.55</v>
      </c>
      <c r="AAY37">
        <f>SOFR3mo_PX[[#This Row],[Column727]]</f>
        <v>96.605000000000004</v>
      </c>
      <c r="AAZ37">
        <f>SOFR3mo_PX[[#This Row],[Column728]]</f>
        <v>96.605000000000004</v>
      </c>
      <c r="ABA37">
        <f>SOFR3mo_PX[[#This Row],[Column729]]</f>
        <v>96.644999999999996</v>
      </c>
      <c r="ABB37">
        <f>SOFR3mo_PX[[#This Row],[Column730]]</f>
        <v>96.495000000000005</v>
      </c>
      <c r="ABC37">
        <f>SOFR3mo_PX[[#This Row],[Column731]]</f>
        <v>96.665000000000006</v>
      </c>
      <c r="ABD37">
        <f>SOFR3mo_PX[[#This Row],[Column732]]</f>
        <v>96.665000000000006</v>
      </c>
      <c r="ABE37">
        <f>SOFR3mo_PX[[#This Row],[Column733]]</f>
        <v>96.63</v>
      </c>
      <c r="ABF37">
        <f>SOFR3mo_PX[[#This Row],[Column734]]</f>
        <v>96.81</v>
      </c>
      <c r="ABG37">
        <f>SOFR3mo_PX[[#This Row],[Column735]]</f>
        <v>96.85</v>
      </c>
      <c r="ABH37">
        <f>SOFR3mo_PX[[#This Row],[Column736]]</f>
        <v>96.754999999999995</v>
      </c>
      <c r="ABI37">
        <f>SOFR3mo_PX[[#This Row],[Column737]]</f>
        <v>96.864999999999995</v>
      </c>
      <c r="ABJ37">
        <f>SOFR3mo_PX[[#This Row],[Column738]]</f>
        <v>96.88</v>
      </c>
      <c r="ABK37">
        <f>SOFR3mo_PX[[#This Row],[Column739]]</f>
        <v>96.79</v>
      </c>
      <c r="ABL37">
        <f>SOFR3mo_PX[[#This Row],[Column740]]</f>
        <v>96.87</v>
      </c>
      <c r="ABM37">
        <f>SOFR3mo_PX[[#This Row],[Column741]]</f>
        <v>96.875</v>
      </c>
      <c r="ABN37">
        <f>SOFR3mo_PX[[#This Row],[Column742]]</f>
        <v>96.885000000000005</v>
      </c>
      <c r="ABO37">
        <f>SOFR3mo_PX[[#This Row],[Column743]]</f>
        <v>97.015000000000001</v>
      </c>
      <c r="ABP37">
        <f>SOFR3mo_PX[[#This Row],[Column744]]</f>
        <v>97.004999999999995</v>
      </c>
      <c r="ABQ37">
        <f>SOFR3mo_PX[[#This Row],[Column745]]</f>
        <v>97.08</v>
      </c>
      <c r="ABR37">
        <f>SOFR3mo_PX[[#This Row],[Column746]]</f>
        <v>97.055000000000007</v>
      </c>
      <c r="ABS37">
        <f>SOFR3mo_PX[[#This Row],[Column747]]</f>
        <v>96.97</v>
      </c>
      <c r="ABT37">
        <f>SOFR3mo_PX[[#This Row],[Column748]]</f>
        <v>96.915000000000006</v>
      </c>
      <c r="ABU37">
        <f>SOFR3mo_PX[[#This Row],[Column749]]</f>
        <v>97.1</v>
      </c>
      <c r="ABV37">
        <f>SOFR3mo_PX[[#This Row],[Column750]]</f>
        <v>97.144999999999996</v>
      </c>
      <c r="ABW37">
        <f>SOFR3mo_PX[[#This Row],[Column751]]</f>
        <v>97.114999999999995</v>
      </c>
      <c r="ABX37">
        <f>SOFR3mo_PX[[#This Row],[Column752]]</f>
        <v>97.025000000000006</v>
      </c>
      <c r="ABY37">
        <f>SOFR3mo_PX[[#This Row],[Column753]]</f>
        <v>97.155000000000001</v>
      </c>
      <c r="ABZ37">
        <f>SOFR3mo_PX[[#This Row],[Column754]]</f>
        <v>97.084999999999994</v>
      </c>
      <c r="ACA37">
        <f>SOFR3mo_PX[[#This Row],[Column755]]</f>
        <v>97.055000000000007</v>
      </c>
      <c r="ACB37">
        <f>SOFR3mo_PX[[#This Row],[Column756]]</f>
        <v>97.084999999999994</v>
      </c>
      <c r="ACC37">
        <f>SOFR3mo_PX[[#This Row],[Column757]]</f>
        <v>97.015000000000001</v>
      </c>
      <c r="ACD37">
        <f>SOFR3mo_PX[[#This Row],[Column758]]</f>
        <v>96.974999999999994</v>
      </c>
      <c r="ACE37">
        <f>SOFR3mo_PX[[#This Row],[Column759]]</f>
        <v>96.93</v>
      </c>
      <c r="ACF37">
        <f>SOFR3mo_PX[[#This Row],[Column760]]</f>
        <v>96.885000000000005</v>
      </c>
      <c r="ACG37">
        <f>SOFR3mo_PX[[#This Row],[Column761]]</f>
        <v>96.85</v>
      </c>
      <c r="ACH37">
        <f>SOFR3mo_PX[[#This Row],[Column762]]</f>
        <v>96.92</v>
      </c>
      <c r="ACI37">
        <f>SOFR3mo_PX[[#This Row],[Column763]]</f>
        <v>96.814999999999998</v>
      </c>
      <c r="ACJ37">
        <f>SOFR3mo_PX[[#This Row],[Column764]]</f>
        <v>96.704999999999998</v>
      </c>
      <c r="ACK37">
        <f>SOFR3mo_PX[[#This Row],[Column765]]</f>
        <v>96.74</v>
      </c>
      <c r="ACL37">
        <f>SOFR3mo_PX[[#This Row],[Column766]]</f>
        <v>96.78</v>
      </c>
      <c r="ACM37">
        <f>SOFR3mo_PX[[#This Row],[Column767]]</f>
        <v>96.805000000000007</v>
      </c>
      <c r="ACN37">
        <f>SOFR3mo_PX[[#This Row],[Column768]]</f>
        <v>96.74</v>
      </c>
      <c r="ACO37">
        <f>SOFR3mo_PX[[#This Row],[Column769]]</f>
        <v>96.77</v>
      </c>
      <c r="ACP37">
        <f>SOFR3mo_PX[[#This Row],[Column770]]</f>
        <v>96.65</v>
      </c>
      <c r="ACQ37">
        <f>SOFR3mo_PX[[#This Row],[Column771]]</f>
        <v>96.594999999999999</v>
      </c>
      <c r="ACR37">
        <f>SOFR3mo_PX[[#This Row],[Column772]]</f>
        <v>96.465000000000003</v>
      </c>
      <c r="ACS37">
        <f>SOFR3mo_PX[[#This Row],[Column773]]</f>
        <v>96.55</v>
      </c>
      <c r="ACT37">
        <f>SOFR3mo_PX[[#This Row],[Column774]]</f>
        <v>96.665000000000006</v>
      </c>
      <c r="ACU37">
        <f>SOFR3mo_PX[[#This Row],[Column775]]</f>
        <v>96.75</v>
      </c>
      <c r="ACV37">
        <f>SOFR3mo_PX[[#This Row],[Column776]]</f>
        <v>96.674999999999997</v>
      </c>
      <c r="ACW37">
        <f>SOFR3mo_PX[[#This Row],[Column777]]</f>
        <v>96.674999999999997</v>
      </c>
      <c r="ACX37">
        <f>SOFR3mo_PX[[#This Row],[Column778]]</f>
        <v>96.644999999999996</v>
      </c>
      <c r="ACY37">
        <f>SOFR3mo_PX[[#This Row],[Column779]]</f>
        <v>96.53</v>
      </c>
      <c r="ACZ37">
        <f>SOFR3mo_PX[[#This Row],[Column780]]</f>
        <v>96.43</v>
      </c>
      <c r="ADA37">
        <f>SOFR3mo_PX[[#This Row],[Column781]]</f>
        <v>96.444999999999993</v>
      </c>
      <c r="ADB37">
        <f>SOFR3mo_PX[[#This Row],[Column782]]</f>
        <v>96.5</v>
      </c>
      <c r="ADC37">
        <f>SOFR3mo_PX[[#This Row],[Column783]]</f>
        <v>96.594999999999999</v>
      </c>
      <c r="ADD37">
        <f>SOFR3mo_PX[[#This Row],[Column784]]</f>
        <v>96.495000000000005</v>
      </c>
      <c r="ADE37">
        <f>SOFR3mo_PX[[#This Row],[Column785]]</f>
        <v>96.364999999999995</v>
      </c>
      <c r="ADF37">
        <f>SOFR3mo_PX[[#This Row],[Column786]]</f>
        <v>96.465000000000003</v>
      </c>
      <c r="ADG37">
        <f>SOFR3mo_PX[[#This Row],[Column787]]</f>
        <v>96.465000000000003</v>
      </c>
      <c r="ADH37">
        <f>SOFR3mo_PX[[#This Row],[Column788]]</f>
        <v>96.385000000000005</v>
      </c>
      <c r="ADI37">
        <f>SOFR3mo_PX[[#This Row],[Column789]]</f>
        <v>96.3</v>
      </c>
      <c r="ADJ37">
        <f>SOFR3mo_PX[[#This Row],[Column790]]</f>
        <v>96.265000000000001</v>
      </c>
      <c r="ADK37">
        <f>SOFR3mo_PX[[#This Row],[Column791]]</f>
        <v>96.334999999999994</v>
      </c>
      <c r="ADL37">
        <f>SOFR3mo_PX[[#This Row],[Column792]]</f>
        <v>96.54</v>
      </c>
      <c r="ADM37">
        <f>SOFR3mo_PX[[#This Row],[Column793]]</f>
        <v>96.59</v>
      </c>
      <c r="ADN37">
        <f>SOFR3mo_PX[[#This Row],[Column794]]</f>
        <v>96.59</v>
      </c>
      <c r="ADO37">
        <f>SOFR3mo_PX[[#This Row],[Column795]]</f>
        <v>96.64</v>
      </c>
      <c r="ADP37">
        <f>SOFR3mo_PX[[#This Row],[Column796]]</f>
        <v>96.54</v>
      </c>
      <c r="ADQ37">
        <f>SOFR3mo_PX[[#This Row],[Column797]]</f>
        <v>96.644999999999996</v>
      </c>
      <c r="ADR37">
        <f>SOFR3mo_PX[[#This Row],[Column798]]</f>
        <v>96.694999999999993</v>
      </c>
      <c r="ADS37">
        <f>SOFR3mo_PX[[#This Row],[Column799]]</f>
        <v>96.65</v>
      </c>
      <c r="ADT37">
        <f>SOFR3mo_PX[[#This Row],[Column800]]</f>
        <v>96.685000000000002</v>
      </c>
      <c r="ADU37">
        <f>SOFR3mo_PX[[#This Row],[Column801]]</f>
        <v>96.79</v>
      </c>
      <c r="ADV37">
        <f>SOFR3mo_PX[[#This Row],[Column802]]</f>
        <v>96.79</v>
      </c>
      <c r="ADW37">
        <f>SOFR3mo_PX[[#This Row],[Column803]]</f>
        <v>96.77</v>
      </c>
      <c r="ADX37">
        <f>SOFR3mo_PX[[#This Row],[Column804]]</f>
        <v>96.83</v>
      </c>
      <c r="ADY37">
        <f>SOFR3mo_PX[[#This Row],[Column805]]</f>
        <v>96.844999999999999</v>
      </c>
      <c r="ADZ37">
        <f>SOFR3mo_PX[[#This Row],[Column806]]</f>
        <v>96.84</v>
      </c>
      <c r="AEA37">
        <f>SOFR3mo_PX[[#This Row],[Column807]]</f>
        <v>96.9</v>
      </c>
      <c r="AEB37">
        <f>SOFR3mo_PX[[#This Row],[Column808]]</f>
        <v>96.76</v>
      </c>
      <c r="AEC37">
        <f>SOFR3mo_PX[[#This Row],[Column809]]</f>
        <v>96.72</v>
      </c>
      <c r="AED37">
        <f>SOFR3mo_PX[[#This Row],[Column810]]</f>
        <v>96.584999999999994</v>
      </c>
      <c r="AEE37">
        <f>SOFR3mo_PX[[#This Row],[Column811]]</f>
        <v>96.66</v>
      </c>
      <c r="AEF37">
        <f>SOFR3mo_PX[[#This Row],[Column812]]</f>
        <v>96.614999999999995</v>
      </c>
      <c r="AEG37">
        <f>SOFR3mo_PX[[#This Row],[Column813]]</f>
        <v>96.73</v>
      </c>
      <c r="AEH37">
        <f>SOFR3mo_PX[[#This Row],[Column814]]</f>
        <v>96.64</v>
      </c>
      <c r="AEI37">
        <f>SOFR3mo_PX[[#This Row],[Column815]]</f>
        <v>96.515000000000001</v>
      </c>
      <c r="AEJ37">
        <f>SOFR3mo_PX[[#This Row],[Column816]]</f>
        <v>96.42</v>
      </c>
      <c r="AEK37">
        <f>SOFR3mo_PX[[#This Row],[Column817]]</f>
        <v>96.41</v>
      </c>
      <c r="AEL37">
        <f>SOFR3mo_PX[[#This Row],[Column818]]</f>
        <v>96.545000000000002</v>
      </c>
      <c r="AEM37">
        <f>SOFR3mo_PX[[#This Row],[Column819]]</f>
        <v>96.754999999999995</v>
      </c>
      <c r="AEN37">
        <f>SOFR3mo_PX[[#This Row],[Column820]]</f>
        <v>96.784999999999997</v>
      </c>
      <c r="AEO37">
        <f>SOFR3mo_PX[[#This Row],[Column821]]</f>
        <v>96.72</v>
      </c>
      <c r="AEP37">
        <f>SOFR3mo_PX[[#This Row],[Column822]]</f>
        <v>96.864999999999995</v>
      </c>
      <c r="AEQ37">
        <f>SOFR3mo_PX[[#This Row],[Column823]]</f>
        <v>96.864999999999995</v>
      </c>
      <c r="AER37">
        <f>SOFR3mo_PX[[#This Row],[Column824]]</f>
        <v>96.93</v>
      </c>
      <c r="AES37">
        <f>SOFR3mo_PX[[#This Row],[Column825]]</f>
        <v>97.004999999999995</v>
      </c>
      <c r="AET37">
        <f>SOFR3mo_PX[[#This Row],[Column826]]</f>
        <v>96.984999999999999</v>
      </c>
      <c r="AEU37">
        <f>SOFR3mo_PX[[#This Row],[Column827]]</f>
        <v>96.9</v>
      </c>
      <c r="AEV37">
        <f>SOFR3mo_PX[[#This Row],[Column828]]</f>
        <v>96.864999999999995</v>
      </c>
      <c r="AEW37">
        <f>SOFR3mo_PX[[#This Row],[Column829]]</f>
        <v>96.92</v>
      </c>
      <c r="AEX37">
        <f>SOFR3mo_PX[[#This Row],[Column830]]</f>
        <v>96.83</v>
      </c>
      <c r="AEY37">
        <f>SOFR3mo_PX[[#This Row],[Column831]]</f>
        <v>96.864999999999995</v>
      </c>
      <c r="AEZ37">
        <f>SOFR3mo_PX[[#This Row],[Column832]]</f>
        <v>96.984999999999999</v>
      </c>
      <c r="AFA37">
        <f>SOFR3mo_PX[[#This Row],[Column833]]</f>
        <v>96.984999999999999</v>
      </c>
      <c r="AFB37">
        <f>SOFR3mo_PX[[#This Row],[Column834]]</f>
        <v>97.12</v>
      </c>
      <c r="AFC37">
        <f>SOFR3mo_PX[[#This Row],[Column835]]</f>
        <v>97.064999999999998</v>
      </c>
      <c r="AFD37">
        <f>SOFR3mo_PX[[#This Row],[Column836]]</f>
        <v>97.1</v>
      </c>
      <c r="AFE37">
        <f>SOFR3mo_PX[[#This Row],[Column837]]</f>
        <v>97.224999999999994</v>
      </c>
      <c r="AFF37">
        <f>SOFR3mo_PX[[#This Row],[Column838]]</f>
        <v>97.34</v>
      </c>
      <c r="AFG37">
        <f>SOFR3mo_PX[[#This Row],[Column839]]</f>
        <v>97.495000000000005</v>
      </c>
      <c r="AFH37">
        <f>SOFR3mo_PX[[#This Row],[Column840]]</f>
        <v>97.62</v>
      </c>
      <c r="AFI37">
        <f>SOFR3mo_PX[[#This Row],[Column841]]</f>
        <v>97.72</v>
      </c>
      <c r="AFJ37">
        <f>SOFR3mo_PX[[#This Row],[Column842]]</f>
        <v>97.74</v>
      </c>
      <c r="AFK37">
        <f>SOFR3mo_PX[[#This Row],[Column843]]</f>
        <v>97.8</v>
      </c>
      <c r="AFL37">
        <f>SOFR3mo_PX[[#This Row],[Column844]]</f>
        <v>97.765000000000001</v>
      </c>
      <c r="AFM37">
        <f>SOFR3mo_PX[[#This Row],[Column845]]</f>
        <v>97.724999999999994</v>
      </c>
      <c r="AFN37">
        <f>SOFR3mo_PX[[#This Row],[Column846]]</f>
        <v>97.66</v>
      </c>
      <c r="AFO37">
        <f>SOFR3mo_PX[[#This Row],[Column847]]</f>
        <v>97.65</v>
      </c>
      <c r="AFP37">
        <f>SOFR3mo_PX[[#This Row],[Column848]]</f>
        <v>97.784999999999997</v>
      </c>
      <c r="AFQ37">
        <f>SOFR3mo_PX[[#This Row],[Column849]]</f>
        <v>97.83</v>
      </c>
      <c r="AFR37">
        <f>SOFR3mo_PX[[#This Row],[Column850]]</f>
        <v>97.775000000000006</v>
      </c>
      <c r="AFS37">
        <f>SOFR3mo_PX[[#This Row],[Column851]]</f>
        <v>97.84</v>
      </c>
      <c r="AFT37">
        <f>SOFR3mo_PX[[#This Row],[Column852]]</f>
        <v>97.98</v>
      </c>
      <c r="AFU37">
        <f>SOFR3mo_PX[[#This Row],[Column853]]</f>
        <v>97.905000000000001</v>
      </c>
      <c r="AFV37">
        <f>SOFR3mo_PX[[#This Row],[Column854]]</f>
        <v>97.885000000000005</v>
      </c>
      <c r="AFW37">
        <f>SOFR3mo_PX[[#This Row],[Column855]]</f>
        <v>97.905000000000001</v>
      </c>
      <c r="AFX37">
        <f>SOFR3mo_PX[[#This Row],[Column856]]</f>
        <v>97.93</v>
      </c>
      <c r="AFY37">
        <f>SOFR3mo_PX[[#This Row],[Column857]]</f>
        <v>98.09</v>
      </c>
      <c r="AFZ37">
        <f>SOFR3mo_PX[[#This Row],[Column858]]</f>
        <v>98.1</v>
      </c>
      <c r="AGA37">
        <f>SOFR3mo_PX[[#This Row],[Column859]]</f>
        <v>98.174999999999997</v>
      </c>
      <c r="AGB37">
        <f>SOFR3mo_PX[[#This Row],[Column860]]</f>
        <v>98.27</v>
      </c>
      <c r="AGC37">
        <f>SOFR3mo_PX[[#This Row],[Column861]]</f>
        <v>98.385000000000005</v>
      </c>
      <c r="AGD37">
        <f>SOFR3mo_PX[[#This Row],[Column862]]</f>
        <v>98.36</v>
      </c>
      <c r="AGE37">
        <f>SOFR3mo_PX[[#This Row],[Column863]]</f>
        <v>98.224999999999994</v>
      </c>
      <c r="AGF37">
        <f>SOFR3mo_PX[[#This Row],[Column864]]</f>
        <v>98.18</v>
      </c>
      <c r="AGG37">
        <f>SOFR3mo_PX[[#This Row],[Column865]]</f>
        <v>98.325000000000003</v>
      </c>
      <c r="AGH37">
        <f>SOFR3mo_PX[[#This Row],[Column866]]</f>
        <v>98.215000000000003</v>
      </c>
      <c r="AGI37">
        <f>SOFR3mo_PX[[#This Row],[Column867]]</f>
        <v>98.075000000000003</v>
      </c>
      <c r="AGJ37">
        <f>SOFR3mo_PX[[#This Row],[Column868]]</f>
        <v>98.084999999999994</v>
      </c>
      <c r="AGK37">
        <f>SOFR3mo_PX[[#This Row],[Column869]]</f>
        <v>98.11</v>
      </c>
      <c r="AGL37">
        <f>SOFR3mo_PX[[#This Row],[Column870]]</f>
        <v>98.15</v>
      </c>
      <c r="AGM37">
        <f>SOFR3mo_PX[[#This Row],[Column871]]</f>
        <v>98.14</v>
      </c>
      <c r="AGN37">
        <f>SOFR3mo_PX[[#This Row],[Column872]]</f>
        <v>98.14</v>
      </c>
      <c r="AGO37">
        <f>SOFR3mo_PX[[#This Row],[Column873]]</f>
        <v>98.094999999999999</v>
      </c>
      <c r="AGP37">
        <f>SOFR3mo_PX[[#This Row],[Column874]]</f>
        <v>98.004999999999995</v>
      </c>
      <c r="AGQ37">
        <f>SOFR3mo_PX[[#This Row],[Column875]]</f>
        <v>98.015000000000001</v>
      </c>
      <c r="AGR37">
        <f>SOFR3mo_PX[[#This Row],[Column876]]</f>
        <v>98.1</v>
      </c>
      <c r="AGS37">
        <f>SOFR3mo_PX[[#This Row],[Column877]]</f>
        <v>98.144999999999996</v>
      </c>
      <c r="AGT37">
        <f>SOFR3mo_PX[[#This Row],[Column878]]</f>
        <v>98.034999999999997</v>
      </c>
      <c r="AGU37">
        <f>SOFR3mo_PX[[#This Row],[Column879]]</f>
        <v>98.105000000000004</v>
      </c>
      <c r="AGV37">
        <f>SOFR3mo_PX[[#This Row],[Column880]]</f>
        <v>98.064999999999998</v>
      </c>
      <c r="AGW37">
        <f>SOFR3mo_PX[[#This Row],[Column881]]</f>
        <v>98.105000000000004</v>
      </c>
      <c r="AGX37">
        <f>SOFR3mo_PX[[#This Row],[Column882]]</f>
        <v>98.09</v>
      </c>
      <c r="AGY37">
        <f>SOFR3mo_PX[[#This Row],[Column883]]</f>
        <v>98.204999999999998</v>
      </c>
      <c r="AGZ37">
        <f>SOFR3mo_PX[[#This Row],[Column884]]</f>
        <v>98.24</v>
      </c>
      <c r="AHA37">
        <f>SOFR3mo_PX[[#This Row],[Column885]]</f>
        <v>98.204999999999998</v>
      </c>
      <c r="AHB37">
        <f>SOFR3mo_PX[[#This Row],[Column886]]</f>
        <v>98.215000000000003</v>
      </c>
      <c r="AHC37">
        <f>SOFR3mo_PX[[#This Row],[Column887]]</f>
        <v>98.224999999999994</v>
      </c>
      <c r="AHD37">
        <f>SOFR3mo_PX[[#This Row],[Column888]]</f>
        <v>98.185000000000002</v>
      </c>
      <c r="AHE37">
        <f>SOFR3mo_PX[[#This Row],[Column889]]</f>
        <v>98.08</v>
      </c>
      <c r="AHF37">
        <f>SOFR3mo_PX[[#This Row],[Column890]]</f>
        <v>98.144999999999996</v>
      </c>
      <c r="AHG37">
        <f>SOFR3mo_PX[[#This Row],[Column891]]</f>
        <v>98.21</v>
      </c>
      <c r="AHH37">
        <f>SOFR3mo_PX[[#This Row],[Column892]]</f>
        <v>98.194999999999993</v>
      </c>
      <c r="AHI37">
        <f>SOFR3mo_PX[[#This Row],[Column893]]</f>
        <v>98.125</v>
      </c>
      <c r="AHJ37">
        <f>SOFR3mo_PX[[#This Row],[Column894]]</f>
        <v>98.114999999999995</v>
      </c>
      <c r="AHK37">
        <f>SOFR3mo_PX[[#This Row],[Column895]]</f>
        <v>98.06</v>
      </c>
      <c r="AHL37">
        <f>SOFR3mo_PX[[#This Row],[Column896]]</f>
        <v>98.16</v>
      </c>
      <c r="AHM37">
        <f>SOFR3mo_PX[[#This Row],[Column897]]</f>
        <v>98.16</v>
      </c>
      <c r="AHN37">
        <f>SOFR3mo_PX[[#This Row],[Column898]]</f>
        <v>98.23</v>
      </c>
      <c r="AHO37">
        <f>SOFR3mo_PX[[#This Row],[Column899]]</f>
        <v>98.2</v>
      </c>
      <c r="AHP37">
        <f>SOFR3mo_PX[[#This Row],[Column900]]</f>
        <v>98.155000000000001</v>
      </c>
      <c r="AHQ37">
        <f>SOFR3mo_PX[[#This Row],[Column901]]</f>
        <v>98.105000000000004</v>
      </c>
      <c r="AHR37">
        <f>SOFR3mo_PX[[#This Row],[Column902]]</f>
        <v>98.09</v>
      </c>
      <c r="AHS37">
        <f>SOFR3mo_PX[[#This Row],[Column903]]</f>
        <v>98.1</v>
      </c>
      <c r="AHT37">
        <f>SOFR3mo_PX[[#This Row],[Column904]]</f>
        <v>98.125</v>
      </c>
      <c r="AHU37">
        <f>SOFR3mo_PX[[#This Row],[Column905]]</f>
        <v>98.14</v>
      </c>
      <c r="AHV37">
        <f>SOFR3mo_PX[[#This Row],[Column906]]</f>
        <v>98.2</v>
      </c>
      <c r="AHW37">
        <f>SOFR3mo_PX[[#This Row],[Column907]]</f>
        <v>98.37</v>
      </c>
      <c r="AHX37">
        <f>SOFR3mo_PX[[#This Row],[Column908]]</f>
        <v>98.355000000000004</v>
      </c>
      <c r="AHY37">
        <f>SOFR3mo_PX[[#This Row],[Column909]]</f>
        <v>98.344999999999999</v>
      </c>
      <c r="AHZ37">
        <f>SOFR3mo_PX[[#This Row],[Column910]]</f>
        <v>98.44</v>
      </c>
      <c r="AIA37">
        <f>SOFR3mo_PX[[#This Row],[Column911]]</f>
        <v>98.41</v>
      </c>
      <c r="AIB37">
        <f>SOFR3mo_PX[[#This Row],[Column912]]</f>
        <v>98.375</v>
      </c>
      <c r="AIC37">
        <f>SOFR3mo_PX[[#This Row],[Column913]]</f>
        <v>98.375</v>
      </c>
      <c r="AID37">
        <f>SOFR3mo_PX[[#This Row],[Column914]]</f>
        <v>98.4</v>
      </c>
      <c r="AIE37">
        <f>SOFR3mo_PX[[#This Row],[Column915]]</f>
        <v>98.36</v>
      </c>
      <c r="AIF37">
        <f>SOFR3mo_PX[[#This Row],[Column916]]</f>
        <v>98.454999999999998</v>
      </c>
      <c r="AIG37">
        <f>SOFR3mo_PX[[#This Row],[Column917]]</f>
        <v>98.54</v>
      </c>
      <c r="AIH37">
        <f>SOFR3mo_PX[[#This Row],[Column918]]</f>
        <v>98.5</v>
      </c>
      <c r="AII37">
        <f>SOFR3mo_PX[[#This Row],[Column919]]</f>
        <v>98.48</v>
      </c>
      <c r="AIJ37">
        <f>SOFR3mo_PX[[#This Row],[Column920]]</f>
        <v>98.43</v>
      </c>
      <c r="AIK37">
        <f>SOFR3mo_PX[[#This Row],[Column921]]</f>
        <v>98.42</v>
      </c>
      <c r="AIL37">
        <f>SOFR3mo_PX[[#This Row],[Column922]]</f>
        <v>98.355000000000004</v>
      </c>
      <c r="AIM37">
        <f>SOFR3mo_PX[[#This Row],[Column923]]</f>
        <v>98.38</v>
      </c>
      <c r="AIN37">
        <f>SOFR3mo_PX[[#This Row],[Column924]]</f>
        <v>98.32</v>
      </c>
      <c r="AIO37">
        <f>SOFR3mo_PX[[#This Row],[Column925]]</f>
        <v>98.34</v>
      </c>
      <c r="AIP37">
        <f>SOFR3mo_PX[[#This Row],[Column926]]</f>
        <v>98.355000000000004</v>
      </c>
      <c r="AIQ37">
        <f>SOFR3mo_PX[[#This Row],[Column927]]</f>
        <v>98.495000000000005</v>
      </c>
      <c r="AIR37">
        <f>SOFR3mo_PX[[#This Row],[Column928]]</f>
        <v>98.33</v>
      </c>
      <c r="AIS37">
        <f>SOFR3mo_PX[[#This Row],[Column929]]</f>
        <v>98.27</v>
      </c>
      <c r="AIT37">
        <f>SOFR3mo_PX[[#This Row],[Column930]]</f>
        <v>98.224999999999994</v>
      </c>
      <c r="AIU37">
        <f>SOFR3mo_PX[[#This Row],[Column931]]</f>
        <v>98.114999999999995</v>
      </c>
      <c r="AIV37">
        <f>SOFR3mo_PX[[#This Row],[Column932]]</f>
        <v>98.29</v>
      </c>
      <c r="AIW37">
        <f>SOFR3mo_PX[[#This Row],[Column933]]</f>
        <v>98.114999999999995</v>
      </c>
      <c r="AIX37">
        <f>SOFR3mo_PX[[#This Row],[Column934]]</f>
        <v>98.114999999999995</v>
      </c>
      <c r="AIY37">
        <f>SOFR3mo_PX[[#This Row],[Column935]]</f>
        <v>98.075000000000003</v>
      </c>
      <c r="AIZ37">
        <f>SOFR3mo_PX[[#This Row],[Column936]]</f>
        <v>98.144999999999996</v>
      </c>
      <c r="AJA37">
        <f>SOFR3mo_PX[[#This Row],[Column937]]</f>
        <v>98.25</v>
      </c>
      <c r="AJB37">
        <f>SOFR3mo_PX[[#This Row],[Column938]]</f>
        <v>98.185000000000002</v>
      </c>
      <c r="AJC37">
        <f>SOFR3mo_PX[[#This Row],[Column939]]</f>
        <v>98.16</v>
      </c>
      <c r="AJD37">
        <f>SOFR3mo_PX[[#This Row],[Column940]]</f>
        <v>98.135000000000005</v>
      </c>
      <c r="AJE37">
        <f>SOFR3mo_PX[[#This Row],[Column941]]</f>
        <v>98.174999999999997</v>
      </c>
      <c r="AJF37">
        <f>SOFR3mo_PX[[#This Row],[Column942]]</f>
        <v>98.17</v>
      </c>
      <c r="AJG37">
        <f>SOFR3mo_PX[[#This Row],[Column943]]</f>
        <v>98.185000000000002</v>
      </c>
      <c r="AJH37">
        <f>SOFR3mo_PX[[#This Row],[Column944]]</f>
        <v>98.19</v>
      </c>
      <c r="AJI37">
        <f>SOFR3mo_PX[[#This Row],[Column945]]</f>
        <v>98.194999999999993</v>
      </c>
      <c r="AJJ37">
        <f>SOFR3mo_PX[[#This Row],[Column946]]</f>
        <v>98.094999999999999</v>
      </c>
      <c r="AJK37">
        <f>SOFR3mo_PX[[#This Row],[Column947]]</f>
        <v>98.12</v>
      </c>
      <c r="AJL37">
        <f>SOFR3mo_PX[[#This Row],[Column948]]</f>
        <v>98.025000000000006</v>
      </c>
      <c r="AJM37">
        <f>SOFR3mo_PX[[#This Row],[Column949]]</f>
        <v>97.995000000000005</v>
      </c>
      <c r="AJN37">
        <f>SOFR3mo_PX[[#This Row],[Column950]]</f>
        <v>98.015000000000001</v>
      </c>
      <c r="AJO37">
        <f>SOFR3mo_PX[[#This Row],[Column951]]</f>
        <v>98.05</v>
      </c>
      <c r="AJP37">
        <f>SOFR3mo_PX[[#This Row],[Column952]]</f>
        <v>98.09</v>
      </c>
      <c r="AJQ37">
        <f>SOFR3mo_PX[[#This Row],[Column953]]</f>
        <v>98.06</v>
      </c>
      <c r="AJR37">
        <f>SOFR3mo_PX[[#This Row],[Column954]]</f>
        <v>98.084999999999994</v>
      </c>
      <c r="AJS37">
        <f>SOFR3mo_PX[[#This Row],[Column955]]</f>
        <v>97.885000000000005</v>
      </c>
      <c r="AJT37">
        <f>SOFR3mo_PX[[#This Row],[Column956]]</f>
        <v>97.875</v>
      </c>
      <c r="AJU37">
        <f>SOFR3mo_PX[[#This Row],[Column957]]</f>
        <v>97.83</v>
      </c>
      <c r="AJV37">
        <f>SOFR3mo_PX[[#This Row],[Column958]]</f>
        <v>97.775000000000006</v>
      </c>
      <c r="AJW37">
        <f>SOFR3mo_PX[[#This Row],[Column959]]</f>
        <v>97.81</v>
      </c>
      <c r="AJX37">
        <f>SOFR3mo_PX[[#This Row],[Column960]]</f>
        <v>97.844999999999999</v>
      </c>
      <c r="AJY37">
        <f>SOFR3mo_PX[[#This Row],[Column961]]</f>
        <v>97.96</v>
      </c>
      <c r="AJZ37">
        <f>SOFR3mo_PX[[#This Row],[Column962]]</f>
        <v>97.924999999999997</v>
      </c>
      <c r="AKA37">
        <f>SOFR3mo_PX[[#This Row],[Column963]]</f>
        <v>97.98</v>
      </c>
      <c r="AKB37">
        <f>SOFR3mo_PX[[#This Row],[Column964]]</f>
        <v>97.94</v>
      </c>
      <c r="AKC37">
        <f>SOFR3mo_PX[[#This Row],[Column965]]</f>
        <v>97.8</v>
      </c>
      <c r="AKD37">
        <f>SOFR3mo_PX[[#This Row],[Column966]]</f>
        <v>97.704999999999998</v>
      </c>
      <c r="AKE37">
        <f>SOFR3mo_PX[[#This Row],[Column967]]</f>
        <v>97.7</v>
      </c>
      <c r="AKF37">
        <f>SOFR3mo_PX[[#This Row],[Column968]]</f>
        <v>97.75</v>
      </c>
      <c r="AKG37">
        <f>SOFR3mo_PX[[#This Row],[Column969]]</f>
        <v>97.814999999999998</v>
      </c>
      <c r="AKH37">
        <f>SOFR3mo_PX[[#This Row],[Column970]]</f>
        <v>97.795000000000002</v>
      </c>
      <c r="AKI37">
        <f>SOFR3mo_PX[[#This Row],[Column971]]</f>
        <v>97.844999999999999</v>
      </c>
      <c r="AKJ37">
        <f>SOFR3mo_PX[[#This Row],[Column972]]</f>
        <v>97.82</v>
      </c>
      <c r="AKK37">
        <f>SOFR3mo_PX[[#This Row],[Column973]]</f>
        <v>97.78</v>
      </c>
      <c r="AKL37">
        <f>SOFR3mo_PX[[#This Row],[Column974]]</f>
        <v>97.775000000000006</v>
      </c>
      <c r="AKM37">
        <f>SOFR3mo_PX[[#This Row],[Column975]]</f>
        <v>97.825000000000003</v>
      </c>
      <c r="AKN37">
        <f>SOFR3mo_PX[[#This Row],[Column976]]</f>
        <v>97.93</v>
      </c>
      <c r="AKO37">
        <f>SOFR3mo_PX[[#This Row],[Column977]]</f>
        <v>97.98</v>
      </c>
      <c r="AKP37">
        <f>SOFR3mo_PX[[#This Row],[Column978]]</f>
        <v>98.06</v>
      </c>
      <c r="AKQ37">
        <f>SOFR3mo_PX[[#This Row],[Column979]]</f>
        <v>98.155000000000001</v>
      </c>
      <c r="AKR37">
        <f>SOFR3mo_PX[[#This Row],[Column980]]</f>
        <v>98.06</v>
      </c>
      <c r="AKS37">
        <f>SOFR3mo_PX[[#This Row],[Column981]]</f>
        <v>98.075000000000003</v>
      </c>
      <c r="AKT37">
        <f>SOFR3mo_PX[[#This Row],[Column982]]</f>
        <v>98</v>
      </c>
      <c r="AKU37">
        <f>SOFR3mo_PX[[#This Row],[Column983]]</f>
        <v>98.07</v>
      </c>
      <c r="AKV37">
        <f>SOFR3mo_PX[[#This Row],[Column984]]</f>
        <v>98.11</v>
      </c>
      <c r="AKW37">
        <f>SOFR3mo_PX[[#This Row],[Column985]]</f>
        <v>98.16</v>
      </c>
      <c r="AKX37">
        <f>SOFR3mo_PX[[#This Row],[Column986]]</f>
        <v>98.084999999999994</v>
      </c>
      <c r="AKY37">
        <f>SOFR3mo_PX[[#This Row],[Column987]]</f>
        <v>98.055000000000007</v>
      </c>
      <c r="AKZ37">
        <f>SOFR3mo_PX[[#This Row],[Column988]]</f>
        <v>98.14</v>
      </c>
      <c r="ALA37">
        <f>SOFR3mo_PX[[#This Row],[Column989]]</f>
        <v>98.1</v>
      </c>
      <c r="ALB37">
        <f>SOFR3mo_PX[[#This Row],[Column990]]</f>
        <v>98.055000000000007</v>
      </c>
      <c r="ALC37">
        <f>SOFR3mo_PX[[#This Row],[Column991]]</f>
        <v>98.105000000000004</v>
      </c>
      <c r="ALD37">
        <f>SOFR3mo_PX[[#This Row],[Column992]]</f>
        <v>98.105000000000004</v>
      </c>
      <c r="ALE37">
        <f>SOFR3mo_PX[[#This Row],[Column993]]</f>
        <v>98.17</v>
      </c>
      <c r="ALF37">
        <f>SOFR3mo_PX[[#This Row],[Column994]]</f>
        <v>98.16</v>
      </c>
      <c r="ALG37">
        <f>SOFR3mo_PX[[#This Row],[Column995]]</f>
        <v>98.144999999999996</v>
      </c>
      <c r="ALH37">
        <f>SOFR3mo_PX[[#This Row],[Column996]]</f>
        <v>98.19</v>
      </c>
      <c r="ALI37">
        <f>SOFR3mo_PX[[#This Row],[Column997]]</f>
        <v>98.204999999999998</v>
      </c>
      <c r="ALJ37">
        <f>SOFR3mo_PX[[#This Row],[Column998]]</f>
        <v>98.18</v>
      </c>
      <c r="ALK37">
        <f>SOFR3mo_PX[[#This Row],[Column999]]</f>
        <v>98.19</v>
      </c>
      <c r="ALL37">
        <f>SOFR3mo_PX[[#This Row],[Column1000]]</f>
        <v>98.265000000000001</v>
      </c>
      <c r="ALM37">
        <f>SOFR3mo_PX[[#This Row],[Column1001]]</f>
        <v>98.32</v>
      </c>
      <c r="ALN37">
        <f>SOFR3mo_PX[[#This Row],[Column1002]]</f>
        <v>98.31</v>
      </c>
      <c r="ALO37">
        <f>SOFR3mo_PX[[#This Row],[Column1003]]</f>
        <v>98.334999999999994</v>
      </c>
      <c r="ALP37">
        <f>SOFR3mo_PX[[#This Row],[Column1004]]</f>
        <v>98.284999999999997</v>
      </c>
      <c r="ALQ37">
        <f>SOFR3mo_PX[[#This Row],[Column1005]]</f>
        <v>98.325000000000003</v>
      </c>
      <c r="ALR37">
        <f>SOFR3mo_PX[[#This Row],[Column1006]]</f>
        <v>98.33</v>
      </c>
      <c r="ALS37">
        <f>SOFR3mo_PX[[#This Row],[Column1007]]</f>
        <v>98.28</v>
      </c>
      <c r="ALT37">
        <f>SOFR3mo_PX[[#This Row],[Column1008]]</f>
        <v>98.185000000000002</v>
      </c>
      <c r="ALU37">
        <f>SOFR3mo_PX[[#This Row],[Column1009]]</f>
        <v>98.215000000000003</v>
      </c>
      <c r="ALV37">
        <f>SOFR3mo_PX[[#This Row],[Column1010]]</f>
        <v>98.24</v>
      </c>
      <c r="ALW37">
        <f>SOFR3mo_PX[[#This Row],[Column1011]]</f>
        <v>98.25</v>
      </c>
      <c r="ALX37">
        <f>SOFR3mo_PX[[#This Row],[Column1012]]</f>
        <v>98.284999999999997</v>
      </c>
      <c r="ALY37">
        <f>SOFR3mo_PX[[#This Row],[Column1013]]</f>
        <v>98.38</v>
      </c>
      <c r="ALZ37">
        <f>SOFR3mo_PX[[#This Row],[Column1014]]</f>
        <v>98.375</v>
      </c>
      <c r="AMA37">
        <f>SOFR3mo_PX[[#This Row],[Column1015]]</f>
        <v>98.37</v>
      </c>
      <c r="AMB37">
        <f>SOFR3mo_PX[[#This Row],[Column1016]]</f>
        <v>98.375</v>
      </c>
      <c r="AMC37">
        <f>SOFR3mo_PX[[#This Row],[Column1017]]</f>
        <v>98.28</v>
      </c>
      <c r="AMD37">
        <f>SOFR3mo_PX[[#This Row],[Column1018]]</f>
        <v>98.26</v>
      </c>
      <c r="AME37">
        <f>SOFR3mo_PX[[#This Row],[Column1019]]</f>
        <v>98.284999999999997</v>
      </c>
      <c r="AMF37">
        <f>SOFR3mo_PX[[#This Row],[Column1020]]</f>
        <v>98.305000000000007</v>
      </c>
      <c r="AMG37">
        <f>SOFR3mo_PX[[#This Row],[Column1021]]</f>
        <v>98.27</v>
      </c>
      <c r="AMH37">
        <f>SOFR3mo_PX[[#This Row],[Column1022]]</f>
        <v>98.25</v>
      </c>
      <c r="AMI37">
        <f>SOFR3mo_PX[[#This Row],[Column1023]]</f>
        <v>98.275000000000006</v>
      </c>
      <c r="AMJ37">
        <f>SOFR3mo_PX[[#This Row],[Column1024]]</f>
        <v>98.27</v>
      </c>
      <c r="AMK37">
        <f>SOFR3mo_PX[[#This Row],[Column1025]]</f>
        <v>98.385000000000005</v>
      </c>
      <c r="AML37">
        <f>SOFR3mo_PX[[#This Row],[Column1026]]</f>
        <v>98.48</v>
      </c>
      <c r="AMM37">
        <f>SOFR3mo_PX[[#This Row],[Column1027]]</f>
        <v>98.3</v>
      </c>
      <c r="AMN37">
        <f>SOFR3mo_PX[[#This Row],[Column1028]]</f>
        <v>98.275000000000006</v>
      </c>
      <c r="AMO37">
        <f>SOFR3mo_PX[[#This Row],[Column1029]]</f>
        <v>98.17</v>
      </c>
      <c r="AMP37">
        <f>SOFR3mo_PX[[#This Row],[Column1030]]</f>
        <v>98.08</v>
      </c>
      <c r="AMQ37">
        <f>SOFR3mo_PX[[#This Row],[Column1031]]</f>
        <v>98.144999999999996</v>
      </c>
      <c r="AMR37">
        <f>SOFR3mo_PX[[#This Row],[Column1032]]</f>
        <v>98.14</v>
      </c>
      <c r="AMS37">
        <f>SOFR3mo_PX[[#This Row],[Column1033]]</f>
        <v>98.234999999999999</v>
      </c>
      <c r="AMT37">
        <f>SOFR3mo_PX[[#This Row],[Column1034]]</f>
        <v>98.22</v>
      </c>
      <c r="AMU37">
        <f>SOFR3mo_PX[[#This Row],[Column1035]]</f>
        <v>98.165000000000006</v>
      </c>
      <c r="AMV37">
        <f>SOFR3mo_PX[[#This Row],[Column1036]]</f>
        <v>98.08</v>
      </c>
      <c r="AMW37">
        <f>SOFR3mo_PX[[#This Row],[Column1037]]</f>
        <v>98.08</v>
      </c>
      <c r="AMX37">
        <f>SOFR3mo_PX[[#This Row],[Column1038]]</f>
        <v>98.015000000000001</v>
      </c>
      <c r="AMY37">
        <f>SOFR3mo_PX[[#This Row],[Column1039]]</f>
        <v>98.05</v>
      </c>
      <c r="AMZ37">
        <f>SOFR3mo_PX[[#This Row],[Column1040]]</f>
        <v>97.96</v>
      </c>
      <c r="ANA37">
        <f>SOFR3mo_PX[[#This Row],[Column1041]]</f>
        <v>97.95</v>
      </c>
      <c r="ANB37">
        <f>SOFR3mo_PX[[#This Row],[Column1042]]</f>
        <v>97.864999999999995</v>
      </c>
      <c r="ANC37">
        <f>SOFR3mo_PX[[#This Row],[Column1043]]</f>
        <v>97.915000000000006</v>
      </c>
      <c r="AND37">
        <f>SOFR3mo_PX[[#This Row],[Column1044]]</f>
        <v>97.905000000000001</v>
      </c>
      <c r="ANE37">
        <f>SOFR3mo_PX[[#This Row],[Column1045]]</f>
        <v>97.94</v>
      </c>
      <c r="ANF37">
        <f>SOFR3mo_PX[[#This Row],[Column1046]]</f>
        <v>97.935000000000002</v>
      </c>
      <c r="ANG37">
        <f>SOFR3mo_PX[[#This Row],[Column1047]]</f>
        <v>97.995000000000005</v>
      </c>
      <c r="ANH37">
        <f>SOFR3mo_PX[[#This Row],[Column1048]]</f>
        <v>97.88</v>
      </c>
      <c r="ANI37">
        <f>SOFR3mo_PX[[#This Row],[Column1049]]</f>
        <v>97.74</v>
      </c>
      <c r="ANJ37">
        <f>SOFR3mo_PX[[#This Row],[Column1050]]</f>
        <v>97.754999999999995</v>
      </c>
      <c r="ANK37">
        <f>SOFR3mo_PX[[#This Row],[Column1051]]</f>
        <v>97.74</v>
      </c>
      <c r="ANL37">
        <f>SOFR3mo_PX[[#This Row],[Column1052]]</f>
        <v>97.674999999999997</v>
      </c>
      <c r="ANM37">
        <f>SOFR3mo_PX[[#This Row],[Column1053]]</f>
        <v>97.694999999999993</v>
      </c>
      <c r="ANN37">
        <f>SOFR3mo_PX[[#This Row],[Column1054]]</f>
        <v>97.66</v>
      </c>
      <c r="ANO37">
        <f>SOFR3mo_PX[[#This Row],[Column1055]]</f>
        <v>97.61</v>
      </c>
      <c r="ANP37">
        <f>SOFR3mo_PX[[#This Row],[Column1056]]</f>
        <v>97.564999999999998</v>
      </c>
      <c r="ANQ37">
        <f>SOFR3mo_PX[[#This Row],[Column1057]]</f>
        <v>97.555000000000007</v>
      </c>
      <c r="ANR37">
        <f>SOFR3mo_PX[[#This Row],[Column1058]]</f>
        <v>97.46</v>
      </c>
      <c r="ANS37">
        <f>SOFR3mo_PX[[#This Row],[Column1059]]</f>
        <v>97.51</v>
      </c>
      <c r="ANT37">
        <f>SOFR3mo_PX[[#This Row],[Column1060]]</f>
        <v>97.474999999999994</v>
      </c>
      <c r="ANU37">
        <f>SOFR3mo_PX[[#This Row],[Column1061]]</f>
        <v>97.52</v>
      </c>
      <c r="ANV37">
        <f>SOFR3mo_PX[[#This Row],[Column1062]]</f>
        <v>97.52</v>
      </c>
      <c r="ANW37">
        <f>SOFR3mo_PX[[#This Row],[Column1063]]</f>
        <v>97.534999999999997</v>
      </c>
      <c r="ANX37">
        <f>SOFR3mo_PX[[#This Row],[Column1064]]</f>
        <v>97.584999999999994</v>
      </c>
      <c r="ANY37">
        <f>SOFR3mo_PX[[#This Row],[Column1065]]</f>
        <v>97.605000000000004</v>
      </c>
      <c r="ANZ37">
        <f>SOFR3mo_PX[[#This Row],[Column1066]]</f>
        <v>97.555000000000007</v>
      </c>
      <c r="AOA37">
        <f>SOFR3mo_PX[[#This Row],[Column1067]]</f>
        <v>97.515000000000001</v>
      </c>
      <c r="AOB37">
        <f>SOFR3mo_PX[[#This Row],[Column1068]]</f>
        <v>97.52</v>
      </c>
      <c r="AOC37">
        <f>SOFR3mo_PX[[#This Row],[Column1069]]</f>
        <v>97.46</v>
      </c>
      <c r="AOD37">
        <f>SOFR3mo_PX[[#This Row],[Column1070]]</f>
        <v>97.5</v>
      </c>
      <c r="AOE37">
        <f>SOFR3mo_PX[[#This Row],[Column1071]]</f>
        <v>97.504999999999995</v>
      </c>
      <c r="AOF37">
        <f>SOFR3mo_PX[[#This Row],[Column1072]]</f>
        <v>97.515000000000001</v>
      </c>
      <c r="AOG37">
        <f>SOFR3mo_PX[[#This Row],[Column1073]]</f>
        <v>97.47</v>
      </c>
      <c r="AOH37">
        <f>SOFR3mo_PX[[#This Row],[Column1074]]</f>
        <v>97.415000000000006</v>
      </c>
      <c r="AOI37">
        <f>SOFR3mo_PX[[#This Row],[Column1075]]</f>
        <v>97.515000000000001</v>
      </c>
      <c r="AOJ37">
        <f>SOFR3mo_PX[[#This Row],[Column1076]]</f>
        <v>97.54</v>
      </c>
      <c r="AOK37">
        <f>SOFR3mo_PX[[#This Row],[Column1077]]</f>
        <v>97.575000000000003</v>
      </c>
      <c r="AOL37">
        <f>SOFR3mo_PX[[#This Row],[Column1078]]</f>
        <v>97.59</v>
      </c>
      <c r="AOM37">
        <f>SOFR3mo_PX[[#This Row],[Column1079]]</f>
        <v>97.564999999999998</v>
      </c>
      <c r="AON37">
        <f>SOFR3mo_PX[[#This Row],[Column1080]]</f>
        <v>97.54</v>
      </c>
      <c r="AOO37">
        <f>SOFR3mo_PX[[#This Row],[Column1081]]</f>
        <v>97.515000000000001</v>
      </c>
      <c r="AOP37">
        <f>SOFR3mo_PX[[#This Row],[Column1082]]</f>
        <v>97.48</v>
      </c>
      <c r="AOQ37">
        <f>SOFR3mo_PX[[#This Row],[Column1083]]</f>
        <v>97.48</v>
      </c>
      <c r="AOR37">
        <f>SOFR3mo_PX[[#This Row],[Column1084]]</f>
        <v>97.504999999999995</v>
      </c>
      <c r="AOS37">
        <f>SOFR3mo_PX[[#This Row],[Column1085]]</f>
        <v>97.515000000000001</v>
      </c>
      <c r="AOT37">
        <f>SOFR3mo_PX[[#This Row],[Column1086]]</f>
        <v>97.575000000000003</v>
      </c>
      <c r="AOU37">
        <f>SOFR3mo_PX[[#This Row],[Column1087]]</f>
        <v>97.584999999999994</v>
      </c>
      <c r="AOV37">
        <f>SOFR3mo_PX[[#This Row],[Column1088]]</f>
        <v>97.61</v>
      </c>
      <c r="AOW37">
        <f>SOFR3mo_PX[[#This Row],[Column1089]]</f>
        <v>97.61</v>
      </c>
      <c r="AOX37">
        <f>SOFR3mo_PX[[#This Row],[Column1090]]</f>
        <v>97.614999999999995</v>
      </c>
      <c r="AOY37">
        <f>SOFR3mo_PX[[#This Row],[Column1091]]</f>
        <v>97.59</v>
      </c>
      <c r="AOZ37">
        <f>SOFR3mo_PX[[#This Row],[Column1092]]</f>
        <v>97.605000000000004</v>
      </c>
      <c r="APA37">
        <f>SOFR3mo_PX[[#This Row],[Column1093]]</f>
        <v>97.644999999999996</v>
      </c>
      <c r="APB37">
        <f>SOFR3mo_PX[[#This Row],[Column1094]]</f>
        <v>97.5</v>
      </c>
      <c r="APC37">
        <f>SOFR3mo_PX[[#This Row],[Column1095]]</f>
        <v>97.49</v>
      </c>
      <c r="APD37">
        <f>SOFR3mo_PX[[#This Row],[Column1096]]</f>
        <v>97.394999999999996</v>
      </c>
      <c r="APE37">
        <f>SOFR3mo_PX[[#This Row],[Column1097]]</f>
        <v>97.405000000000001</v>
      </c>
      <c r="APF37">
        <f>SOFR3mo_PX[[#This Row],[Column1098]]</f>
        <v>97.435000000000002</v>
      </c>
      <c r="APG37">
        <f>SOFR3mo_PX[[#This Row],[Column1099]]</f>
        <v>97.394999999999996</v>
      </c>
      <c r="APH37">
        <f>SOFR3mo_PX[[#This Row],[Column1100]]</f>
        <v>97.37</v>
      </c>
      <c r="API37">
        <f>SOFR3mo_PX[[#This Row],[Column1101]]</f>
        <v>97.265000000000001</v>
      </c>
      <c r="APJ37">
        <f>SOFR3mo_PX[[#This Row],[Column1102]]</f>
        <v>97.25</v>
      </c>
      <c r="APK37">
        <f>SOFR3mo_PX[[#This Row],[Column1103]]</f>
        <v>97.314999999999998</v>
      </c>
      <c r="APL37">
        <f>SOFR3mo_PX[[#This Row],[Column1104]]</f>
        <v>97.185000000000002</v>
      </c>
      <c r="APM37">
        <f>SOFR3mo_PX[[#This Row],[Column1105]]</f>
        <v>97.22</v>
      </c>
      <c r="APN37">
        <f>SOFR3mo_PX[[#This Row],[Column1106]]</f>
        <v>97.245000000000005</v>
      </c>
      <c r="APO37">
        <f>SOFR3mo_PX[[#This Row],[Column1107]]</f>
        <v>97.325000000000003</v>
      </c>
      <c r="APP37">
        <f>SOFR3mo_PX[[#This Row],[Column1108]]</f>
        <v>97.385000000000005</v>
      </c>
      <c r="APQ37">
        <f>SOFR3mo_PX[[#This Row],[Column1109]]</f>
        <v>97.344999999999999</v>
      </c>
      <c r="APR37">
        <f>SOFR3mo_PX[[#This Row],[Column1110]]</f>
        <v>97.325000000000003</v>
      </c>
      <c r="APS37">
        <f>SOFR3mo_PX[[#This Row],[Column1111]]</f>
        <v>97.265000000000001</v>
      </c>
      <c r="APT37">
        <f>SOFR3mo_PX[[#This Row],[Column1112]]</f>
        <v>97.22</v>
      </c>
      <c r="APU37">
        <f>SOFR3mo_PX[[#This Row],[Column1113]]</f>
        <v>97.394999999999996</v>
      </c>
      <c r="APV37">
        <f>SOFR3mo_PX[[#This Row],[Column1114]]</f>
        <v>97.584999999999994</v>
      </c>
      <c r="APW37">
        <f>SOFR3mo_PX[[#This Row],[Column1115]]</f>
        <v>97.564999999999998</v>
      </c>
      <c r="APX37">
        <f>SOFR3mo_PX[[#This Row],[Column1116]]</f>
        <v>97.56</v>
      </c>
      <c r="APY37">
        <f>SOFR3mo_PX[[#This Row],[Column1117]]</f>
        <v>97.545000000000002</v>
      </c>
      <c r="APZ37">
        <f>SOFR3mo_PX[[#This Row],[Column1118]]</f>
        <v>97.614999999999995</v>
      </c>
      <c r="AQA37">
        <f>SOFR3mo_PX[[#This Row],[Column1119]]</f>
        <v>97.614999999999995</v>
      </c>
      <c r="AQB37">
        <f>SOFR3mo_PX[[#This Row],[Column1120]]</f>
        <v>97.584999999999994</v>
      </c>
      <c r="AQC37">
        <f>SOFR3mo_PX[[#This Row],[Column1121]]</f>
        <v>97.53</v>
      </c>
      <c r="AQD37">
        <f>SOFR3mo_PX[[#This Row],[Column1122]]</f>
        <v>97.594999999999999</v>
      </c>
      <c r="AQE37">
        <f>SOFR3mo_PX[[#This Row],[Column1123]]</f>
        <v>97.584999999999994</v>
      </c>
      <c r="AQF37">
        <f>SOFR3mo_PX[[#This Row],[Column1124]]</f>
        <v>97.65</v>
      </c>
      <c r="AQG37">
        <f>SOFR3mo_PX[[#This Row],[Column1125]]</f>
        <v>97.704999999999998</v>
      </c>
      <c r="AQH37">
        <f>SOFR3mo_PX[[#This Row],[Column1126]]</f>
        <v>97.665000000000006</v>
      </c>
      <c r="AQI37">
        <f>SOFR3mo_PX[[#This Row],[Column1127]]</f>
        <v>97.555000000000007</v>
      </c>
      <c r="AQJ37">
        <f>SOFR3mo_PX[[#This Row],[Column1128]]</f>
        <v>97.56</v>
      </c>
      <c r="AQK37">
        <f>SOFR3mo_PX[[#This Row],[Column1129]]</f>
        <v>97.65</v>
      </c>
      <c r="AQL37">
        <f>SOFR3mo_PX[[#This Row],[Column1130]]</f>
        <v>97.674999999999997</v>
      </c>
      <c r="AQM37">
        <f>SOFR3mo_PX[[#This Row],[Column1131]]</f>
        <v>97.665000000000006</v>
      </c>
      <c r="AQN37">
        <f>SOFR3mo_PX[[#This Row],[Column1132]]</f>
        <v>97.7</v>
      </c>
      <c r="AQO37">
        <f>SOFR3mo_PX[[#This Row],[Column1133]]</f>
        <v>97.745000000000005</v>
      </c>
      <c r="AQP37">
        <f>SOFR3mo_PX[[#This Row],[Column1134]]</f>
        <v>97.8</v>
      </c>
      <c r="AQQ37">
        <f>SOFR3mo_PX[[#This Row],[Column1135]]</f>
        <v>97.825000000000003</v>
      </c>
      <c r="AQR37">
        <f>SOFR3mo_PX[[#This Row],[Column1136]]</f>
        <v>97.944999999999993</v>
      </c>
      <c r="AQS37">
        <f>SOFR3mo_PX[[#This Row],[Column1137]]</f>
        <v>97.944999999999993</v>
      </c>
      <c r="AQT37">
        <f>SOFR3mo_PX[[#This Row],[Column1138]]</f>
        <v>98.05</v>
      </c>
      <c r="AQU37">
        <f>SOFR3mo_PX[[#This Row],[Column1139]]</f>
        <v>98.06</v>
      </c>
      <c r="AQV37">
        <f>SOFR3mo_PX[[#This Row],[Column1140]]</f>
        <v>98.045000000000002</v>
      </c>
      <c r="AQW37">
        <f>SOFR3mo_PX[[#This Row],[Column1141]]</f>
        <v>98.034999999999997</v>
      </c>
      <c r="AQX37">
        <f>SOFR3mo_PX[[#This Row],[Column1142]]</f>
        <v>98.055000000000007</v>
      </c>
      <c r="AQY37">
        <f>SOFR3mo_PX[[#This Row],[Column1143]]</f>
        <v>98.06</v>
      </c>
      <c r="AQZ37">
        <f>SOFR3mo_PX[[#This Row],[Column1144]]</f>
        <v>98.204999999999998</v>
      </c>
      <c r="ARA37">
        <f>SOFR3mo_PX[[#This Row],[Column1145]]</f>
        <v>98.22</v>
      </c>
      <c r="ARB37">
        <f>SOFR3mo_PX[[#This Row],[Column1146]]</f>
        <v>98.284999999999997</v>
      </c>
      <c r="ARC37">
        <f>SOFR3mo_PX[[#This Row],[Column1147]]</f>
        <v>98.284999999999997</v>
      </c>
      <c r="ARD37">
        <f>SOFR3mo_PX[[#This Row],[Column1148]]</f>
        <v>98.29</v>
      </c>
      <c r="ARE37">
        <f>SOFR3mo_PX[[#This Row],[Column1149]]</f>
        <v>98.284999999999997</v>
      </c>
      <c r="ARF37">
        <f>SOFR3mo_PX[[#This Row],[Column1150]]</f>
        <v>98.28</v>
      </c>
      <c r="ARG37">
        <f>SOFR3mo_PX[[#This Row],[Column1151]]</f>
        <v>98.284999999999997</v>
      </c>
      <c r="ARH37">
        <f>SOFR3mo_PX[[#This Row],[Column1152]]</f>
        <v>98.284999999999997</v>
      </c>
      <c r="ARI37">
        <f>SOFR3mo_PX[[#This Row],[Column1153]]</f>
        <v>98.28</v>
      </c>
      <c r="ARJ37">
        <f>SOFR3mo_PX[[#This Row],[Column1154]]</f>
        <v>98.295000000000002</v>
      </c>
      <c r="ARK37">
        <f>SOFR3mo_PX[[#This Row],[Column1155]]</f>
        <v>98.295000000000002</v>
      </c>
      <c r="ARL37">
        <f>SOFR3mo_PX[[#This Row],[Column1156]]</f>
        <v>98.284999999999997</v>
      </c>
      <c r="ARM37">
        <f>SOFR3mo_PX[[#This Row],[Column1157]]</f>
        <v>98.284999999999997</v>
      </c>
      <c r="ARN37">
        <f>SOFR3mo_PX[[#This Row],[Column1158]]</f>
        <v>98.305000000000007</v>
      </c>
      <c r="ARO37">
        <f>SOFR3mo_PX[[#This Row],[Column1159]]</f>
        <v>98.29</v>
      </c>
      <c r="ARP37">
        <f>SOFR3mo_PX[[#This Row],[Column1160]]</f>
        <v>98.265000000000001</v>
      </c>
      <c r="ARQ37">
        <f>SOFR3mo_PX[[#This Row],[Column1161]]</f>
        <v>98.27</v>
      </c>
      <c r="ARR37">
        <f>SOFR3mo_PX[[#This Row],[Column1162]]</f>
        <v>98.275000000000006</v>
      </c>
      <c r="ARS37">
        <f>SOFR3mo_PX[[#This Row],[Column1163]]</f>
        <v>98.314999999999998</v>
      </c>
      <c r="ART37">
        <f>SOFR3mo_PX[[#This Row],[Column1164]]</f>
        <v>98.545000000000002</v>
      </c>
      <c r="ARU37">
        <f>SOFR3mo_PX[[#This Row],[Column1165]]</f>
        <v>98.59</v>
      </c>
      <c r="ARV37">
        <f>SOFR3mo_PX[[#This Row],[Column1166]]</f>
        <v>98.6</v>
      </c>
      <c r="ARW37">
        <f>SOFR3mo_PX[[#This Row],[Column1167]]</f>
        <v>98.59</v>
      </c>
      <c r="ARX37">
        <f>SOFR3mo_PX[[#This Row],[Column1168]]</f>
        <v>98.59</v>
      </c>
      <c r="ARY37">
        <f>SOFR3mo_PX[[#This Row],[Column1169]]</f>
        <v>98.58</v>
      </c>
      <c r="ARZ37">
        <f>SOFR3mo_PX[[#This Row],[Column1170]]</f>
        <v>98.564999999999998</v>
      </c>
      <c r="ASA37">
        <f>SOFR3mo_PX[[#This Row],[Column1171]]</f>
        <v>98.56</v>
      </c>
      <c r="ASB37">
        <f>SOFR3mo_PX[[#This Row],[Column1172]]</f>
        <v>98.564999999999998</v>
      </c>
      <c r="ASC37">
        <f>SOFR3mo_PX[[#This Row],[Column1173]]</f>
        <v>98.564999999999998</v>
      </c>
      <c r="ASD37">
        <f>SOFR3mo_PX[[#This Row],[Column1174]]</f>
        <v>98.564999999999998</v>
      </c>
      <c r="ASE37">
        <f>SOFR3mo_PX[[#This Row],[Column1175]]</f>
        <v>98.57</v>
      </c>
      <c r="ASF37">
        <f>SOFR3mo_PX[[#This Row],[Column1176]]</f>
        <v>98.564999999999998</v>
      </c>
      <c r="ASG37">
        <f>SOFR3mo_PX[[#This Row],[Column1177]]</f>
        <v>98.564999999999998</v>
      </c>
      <c r="ASH37">
        <f>SOFR3mo_PX[[#This Row],[Column1178]]</f>
        <v>98.66</v>
      </c>
      <c r="ASI37">
        <f>SOFR3mo_PX[[#This Row],[Column1179]]</f>
        <v>98.67</v>
      </c>
      <c r="ASJ37">
        <f>SOFR3mo_PX[[#This Row],[Column1180]]</f>
        <v>98.685000000000002</v>
      </c>
      <c r="ASK37">
        <f>SOFR3mo_PX[[#This Row],[Column1181]]</f>
        <v>98.685000000000002</v>
      </c>
      <c r="ASL37">
        <f>SOFR3mo_PX[[#This Row],[Column1182]]</f>
        <v>98.685000000000002</v>
      </c>
      <c r="ASM37">
        <f>SOFR3mo_PX[[#This Row],[Column1183]]</f>
        <v>99.015000000000001</v>
      </c>
      <c r="ASN37">
        <f>SOFR3mo_PX[[#This Row],[Column1184]]</f>
        <v>99.394999999999996</v>
      </c>
      <c r="ASO37">
        <f>SOFR3mo_PX[[#This Row],[Column1185]]</f>
        <v>99.5</v>
      </c>
      <c r="ASP37">
        <f>SOFR3mo_PX[[#This Row],[Column1186]]</f>
        <v>99.5</v>
      </c>
      <c r="ASQ37">
        <f>SOFR3mo_PX[[#This Row],[Column1187]]</f>
        <v>99.51</v>
      </c>
      <c r="ASR37">
        <f>SOFR3mo_PX[[#This Row],[Column1188]]</f>
        <v>99.525000000000006</v>
      </c>
      <c r="ASS37">
        <f>SOFR3mo_PX[[#This Row],[Column1189]]</f>
        <v>99.53</v>
      </c>
      <c r="AST37">
        <f>SOFR3mo_PX[[#This Row],[Column1190]]</f>
        <v>99.534999999999997</v>
      </c>
      <c r="ASU37">
        <f>SOFR3mo_PX[[#This Row],[Column1191]]</f>
        <v>99.56</v>
      </c>
      <c r="ASV37">
        <f>SOFR3mo_PX[[#This Row],[Column1192]]</f>
        <v>99.564999999999998</v>
      </c>
      <c r="ASW37">
        <f>SOFR3mo_PX[[#This Row],[Column1193]]</f>
        <v>99.56</v>
      </c>
      <c r="ASX37">
        <f>SOFR3mo_PX[[#This Row],[Column1194]]</f>
        <v>99.56</v>
      </c>
      <c r="ASY37">
        <f>SOFR3mo_PX[[#This Row],[Column1195]]</f>
        <v>99.555000000000007</v>
      </c>
      <c r="ASZ37">
        <f>SOFR3mo_PX[[#This Row],[Column1196]]</f>
        <v>99.55</v>
      </c>
      <c r="ATA37">
        <f>SOFR3mo_PX[[#This Row],[Column1197]]</f>
        <v>99.564999999999998</v>
      </c>
      <c r="ATB37">
        <f>SOFR3mo_PX[[#This Row],[Column1198]]</f>
        <v>99.56</v>
      </c>
      <c r="ATC37">
        <f>SOFR3mo_PX[[#This Row],[Column1199]]</f>
        <v>99.56</v>
      </c>
      <c r="ATD37">
        <f>SOFR3mo_PX[[#This Row],[Column1200]]</f>
        <v>99.564999999999998</v>
      </c>
      <c r="ATE37">
        <f>SOFR3mo_PX[[#This Row],[Column1201]]</f>
        <v>99.555000000000007</v>
      </c>
      <c r="ATF37">
        <f>SOFR3mo_PX[[#This Row],[Column1202]]</f>
        <v>99.555000000000007</v>
      </c>
      <c r="ATG37">
        <f>SOFR3mo_PX[[#This Row],[Column1203]]</f>
        <v>99.55</v>
      </c>
      <c r="ATH37">
        <f>SOFR3mo_PX[[#This Row],[Column1204]]</f>
        <v>99.53</v>
      </c>
      <c r="ATI37">
        <f>SOFR3mo_PX[[#This Row],[Column1205]]</f>
        <v>99.53</v>
      </c>
      <c r="ATJ37">
        <f>SOFR3mo_PX[[#This Row],[Column1206]]</f>
        <v>99.564999999999998</v>
      </c>
      <c r="ATK37">
        <f>SOFR3mo_PX[[#This Row],[Column1207]]</f>
        <v>99.61</v>
      </c>
      <c r="ATL37">
        <f>SOFR3mo_PX[[#This Row],[Column1208]]</f>
        <v>99.614999999999995</v>
      </c>
      <c r="ATM37">
        <f>SOFR3mo_PX[[#This Row],[Column1209]]</f>
        <v>99.635000000000005</v>
      </c>
      <c r="ATN37">
        <f>SOFR3mo_PX[[#This Row],[Column1210]]</f>
        <v>99.605000000000004</v>
      </c>
      <c r="ATO37">
        <f>SOFR3mo_PX[[#This Row],[Column1211]]</f>
        <v>99.614999999999995</v>
      </c>
      <c r="ATP37">
        <f>SOFR3mo_PX[[#This Row],[Column1212]]</f>
        <v>99.61</v>
      </c>
      <c r="ATQ37">
        <f>SOFR3mo_PX[[#This Row],[Column1213]]</f>
        <v>99.614999999999995</v>
      </c>
      <c r="ATR37">
        <f>SOFR3mo_PX[[#This Row],[Column1214]]</f>
        <v>99.625</v>
      </c>
      <c r="ATS37">
        <f>SOFR3mo_PX[[#This Row],[Column1215]]</f>
        <v>99.625</v>
      </c>
      <c r="ATT37">
        <f>SOFR3mo_PX[[#This Row],[Column1216]]</f>
        <v>99.62</v>
      </c>
      <c r="ATU37">
        <f>SOFR3mo_PX[[#This Row],[Column1217]]</f>
        <v>99.61</v>
      </c>
      <c r="ATV37">
        <f>SOFR3mo_PX[[#This Row],[Column1218]]</f>
        <v>99.6</v>
      </c>
      <c r="ATW37">
        <f>SOFR3mo_PX[[#This Row],[Column1219]]</f>
        <v>99.625</v>
      </c>
      <c r="ATX37">
        <f>SOFR3mo_PX[[#This Row],[Column1220]]</f>
        <v>99.625</v>
      </c>
      <c r="ATY37">
        <f>SOFR3mo_PX[[#This Row],[Column1221]]</f>
        <v>99.635000000000005</v>
      </c>
      <c r="ATZ37">
        <f>SOFR3mo_PX[[#This Row],[Column1222]]</f>
        <v>99.644999999999996</v>
      </c>
      <c r="AUA37">
        <f>SOFR3mo_PX[[#This Row],[Column1223]]</f>
        <v>99.64</v>
      </c>
      <c r="AUB37">
        <f>SOFR3mo_PX[[#This Row],[Column1224]]</f>
        <v>99.644999999999996</v>
      </c>
      <c r="AUC37">
        <f>SOFR3mo_PX[[#This Row],[Column1225]]</f>
        <v>99.64</v>
      </c>
      <c r="AUD37">
        <f>SOFR3mo_PX[[#This Row],[Column1226]]</f>
        <v>99.625</v>
      </c>
      <c r="AUE37">
        <f>SOFR3mo_PX[[#This Row],[Column1227]]</f>
        <v>99.62</v>
      </c>
      <c r="AUF37">
        <f>SOFR3mo_PX[[#This Row],[Column1228]]</f>
        <v>99.635000000000005</v>
      </c>
      <c r="AUG37">
        <f>SOFR3mo_PX[[#This Row],[Column1229]]</f>
        <v>99.63</v>
      </c>
      <c r="AUH37">
        <f>SOFR3mo_PX[[#This Row],[Column1230]]</f>
        <v>99.655000000000001</v>
      </c>
      <c r="AUI37">
        <f>SOFR3mo_PX[[#This Row],[Column1231]]</f>
        <v>99.655000000000001</v>
      </c>
      <c r="AUJ37">
        <f>SOFR3mo_PX[[#This Row],[Column1232]]</f>
        <v>99.704999999999998</v>
      </c>
      <c r="AUK37">
        <f>SOFR3mo_PX[[#This Row],[Column1233]]</f>
        <v>99.704999999999998</v>
      </c>
      <c r="AUL37">
        <f>SOFR3mo_PX[[#This Row],[Column1234]]</f>
        <v>99.704999999999998</v>
      </c>
      <c r="AUM37">
        <f>SOFR3mo_PX[[#This Row],[Column1235]]</f>
        <v>99.71</v>
      </c>
      <c r="AUN37">
        <f>SOFR3mo_PX[[#This Row],[Column1236]]</f>
        <v>99.71</v>
      </c>
      <c r="AUO37">
        <f>SOFR3mo_PX[[#This Row],[Column1237]]</f>
        <v>99.72</v>
      </c>
      <c r="AUP37">
        <f>SOFR3mo_PX[[#This Row],[Column1238]]</f>
        <v>99.72</v>
      </c>
      <c r="AUQ37">
        <f>SOFR3mo_PX[[#This Row],[Column1239]]</f>
        <v>99.724999999999994</v>
      </c>
      <c r="AUR37">
        <f>SOFR3mo_PX[[#This Row],[Column1240]]</f>
        <v>99.724999999999994</v>
      </c>
      <c r="AUS37">
        <f>SOFR3mo_PX[[#This Row],[Column1241]]</f>
        <v>99.715000000000003</v>
      </c>
      <c r="AUT37">
        <f>SOFR3mo_PX[[#This Row],[Column1242]]</f>
        <v>99.694999999999993</v>
      </c>
      <c r="AUU37">
        <f>SOFR3mo_PX[[#This Row],[Column1243]]</f>
        <v>99.71</v>
      </c>
      <c r="AUV37">
        <f>SOFR3mo_PX[[#This Row],[Column1244]]</f>
        <v>99.704999999999998</v>
      </c>
      <c r="AUW37">
        <f>SOFR3mo_PX[[#This Row],[Column1245]]</f>
        <v>99.734999999999999</v>
      </c>
      <c r="AUX37">
        <f>SOFR3mo_PX[[#This Row],[Column1246]]</f>
        <v>99.74</v>
      </c>
      <c r="AUY37">
        <f>SOFR3mo_PX[[#This Row],[Column1247]]</f>
        <v>99.73</v>
      </c>
      <c r="AUZ37">
        <f>SOFR3mo_PX[[#This Row],[Column1248]]</f>
        <v>99.704999999999998</v>
      </c>
      <c r="AVA37">
        <f>SOFR3mo_PX[[#This Row],[Column1249]]</f>
        <v>99.7</v>
      </c>
      <c r="AVB37">
        <f>SOFR3mo_PX[[#This Row],[Column1250]]</f>
        <v>99.704999999999998</v>
      </c>
      <c r="AVC37">
        <f>SOFR3mo_PX[[#This Row],[Column1251]]</f>
        <v>99.694999999999993</v>
      </c>
      <c r="AVD37">
        <f>SOFR3mo_PX[[#This Row],[Column1252]]</f>
        <v>99.694999999999993</v>
      </c>
      <c r="AVE37">
        <f>SOFR3mo_PX[[#This Row],[Column1253]]</f>
        <v>99.724999999999994</v>
      </c>
      <c r="AVF37">
        <f>SOFR3mo_PX[[#This Row],[Column1254]]</f>
        <v>99.715000000000003</v>
      </c>
      <c r="AVG37">
        <f>SOFR3mo_PX[[#This Row],[Column1255]]</f>
        <v>99.724999999999994</v>
      </c>
      <c r="AVH37">
        <f>SOFR3mo_PX[[#This Row],[Column1256]]</f>
        <v>99.72</v>
      </c>
      <c r="AVI37">
        <f>SOFR3mo_PX[[#This Row],[Column1257]]</f>
        <v>99.715000000000003</v>
      </c>
      <c r="AVJ37">
        <f>SOFR3mo_PX[[#This Row],[Column1258]]</f>
        <v>99.694999999999993</v>
      </c>
      <c r="AVK37">
        <f>SOFR3mo_PX[[#This Row],[Column1259]]</f>
        <v>99.704999999999998</v>
      </c>
      <c r="AVL37">
        <f>SOFR3mo_PX[[#This Row],[Column1260]]</f>
        <v>99.71</v>
      </c>
      <c r="AVM37">
        <f>SOFR3mo_PX[[#This Row],[Column1261]]</f>
        <v>99.72</v>
      </c>
      <c r="AVN37">
        <f>SOFR3mo_PX[[#This Row],[Column1262]]</f>
        <v>99.715000000000003</v>
      </c>
      <c r="AVO37">
        <f>SOFR3mo_PX[[#This Row],[Column1263]]</f>
        <v>99.724999999999994</v>
      </c>
      <c r="AVP37">
        <f>SOFR3mo_PX[[#This Row],[Column1264]]</f>
        <v>99.724999999999994</v>
      </c>
      <c r="AVQ37">
        <f>SOFR3mo_PX[[#This Row],[Column1265]]</f>
        <v>99.715000000000003</v>
      </c>
      <c r="AVR37">
        <f>SOFR3mo_PX[[#This Row],[Column1266]]</f>
        <v>99.7</v>
      </c>
      <c r="AVS37">
        <f>SOFR3mo_PX[[#This Row],[Column1267]]</f>
        <v>99.69</v>
      </c>
      <c r="AVT37">
        <f>SOFR3mo_PX[[#This Row],[Column1268]]</f>
        <v>99.69</v>
      </c>
      <c r="AVU37">
        <f>SOFR3mo_PX[[#This Row],[Column1269]]</f>
        <v>99.694999999999993</v>
      </c>
      <c r="AVV37">
        <f>SOFR3mo_PX[[#This Row],[Column1270]]</f>
        <v>99.694999999999993</v>
      </c>
      <c r="AVW37">
        <f>SOFR3mo_PX[[#This Row],[Column1271]]</f>
        <v>99.73</v>
      </c>
      <c r="AVX37">
        <f>SOFR3mo_PX[[#This Row],[Column1272]]</f>
        <v>99.74</v>
      </c>
      <c r="AVY37">
        <f>SOFR3mo_PX[[#This Row],[Column1273]]</f>
        <v>99.76</v>
      </c>
      <c r="AVZ37">
        <f>SOFR3mo_PX[[#This Row],[Column1274]]</f>
        <v>99.765000000000001</v>
      </c>
      <c r="AWA37">
        <f>SOFR3mo_PX[[#This Row],[Column1275]]</f>
        <v>99.775000000000006</v>
      </c>
      <c r="AWB37">
        <f>SOFR3mo_PX[[#This Row],[Column1276]]</f>
        <v>99.765000000000001</v>
      </c>
      <c r="AWC37">
        <f>SOFR3mo_PX[[#This Row],[Column1277]]</f>
        <v>99.76</v>
      </c>
      <c r="AWD37">
        <f>SOFR3mo_PX[[#This Row],[Column1278]]</f>
        <v>99.754999999999995</v>
      </c>
      <c r="AWE37">
        <f>SOFR3mo_PX[[#This Row],[Column1279]]</f>
        <v>99.734999999999999</v>
      </c>
      <c r="AWF37">
        <f>SOFR3mo_PX[[#This Row],[Column1280]]</f>
        <v>99.724999999999994</v>
      </c>
      <c r="AWG37">
        <f>SOFR3mo_PX[[#This Row],[Column1281]]</f>
        <v>99.72</v>
      </c>
      <c r="AWH37">
        <f>SOFR3mo_PX[[#This Row],[Column1282]]</f>
        <v>99.73</v>
      </c>
      <c r="AWI37">
        <f>SOFR3mo_PX[[#This Row],[Column1283]]</f>
        <v>99.734999999999999</v>
      </c>
      <c r="AWJ37">
        <f>SOFR3mo_PX[[#This Row],[Column1284]]</f>
        <v>99.734999999999999</v>
      </c>
      <c r="AWK37">
        <f>SOFR3mo_PX[[#This Row],[Column1285]]</f>
        <v>99.73</v>
      </c>
      <c r="AWL37">
        <f>SOFR3mo_PX[[#This Row],[Column1286]]</f>
        <v>99.73</v>
      </c>
      <c r="AWM37">
        <f>SOFR3mo_PX[[#This Row],[Column1287]]</f>
        <v>99.724999999999994</v>
      </c>
      <c r="AWN37">
        <f>SOFR3mo_PX[[#This Row],[Column1288]]</f>
        <v>99.724999999999994</v>
      </c>
      <c r="AWO37">
        <f>SOFR3mo_PX[[#This Row],[Column1289]]</f>
        <v>99.72</v>
      </c>
      <c r="AWP37">
        <f>SOFR3mo_PX[[#This Row],[Column1290]]</f>
        <v>99.73</v>
      </c>
      <c r="AWQ37">
        <f>SOFR3mo_PX[[#This Row],[Column1291]]</f>
        <v>99.73</v>
      </c>
      <c r="AWR37">
        <f>SOFR3mo_PX[[#This Row],[Column1292]]</f>
        <v>99.745000000000005</v>
      </c>
      <c r="AWS37">
        <f>SOFR3mo_PX[[#This Row],[Column1293]]</f>
        <v>99.76</v>
      </c>
      <c r="AWT37">
        <f>SOFR3mo_PX[[#This Row],[Column1294]]</f>
        <v>99.745000000000005</v>
      </c>
      <c r="AWU37">
        <f>SOFR3mo_PX[[#This Row],[Column1295]]</f>
        <v>99.74</v>
      </c>
      <c r="AWV37">
        <f>SOFR3mo_PX[[#This Row],[Column1296]]</f>
        <v>99.734999999999999</v>
      </c>
      <c r="AWW37">
        <f>SOFR3mo_PX[[#This Row],[Column1297]]</f>
        <v>99.734999999999999</v>
      </c>
      <c r="AWX37">
        <f>SOFR3mo_PX[[#This Row],[Column1298]]</f>
        <v>99.734999999999999</v>
      </c>
      <c r="AWY37">
        <f>SOFR3mo_PX[[#This Row],[Column1299]]</f>
        <v>99.724999999999994</v>
      </c>
      <c r="AWZ37">
        <f>SOFR3mo_PX[[#This Row],[Column1300]]</f>
        <v>99.745000000000005</v>
      </c>
      <c r="AXA37">
        <f>SOFR3mo_PX[[#This Row],[Column1301]]</f>
        <v>99.745000000000005</v>
      </c>
      <c r="AXB37">
        <f>SOFR3mo_PX[[#This Row],[Column1302]]</f>
        <v>99.734999999999999</v>
      </c>
      <c r="AXC37">
        <f>SOFR3mo_PX[[#This Row],[Column1303]]</f>
        <v>99.715000000000003</v>
      </c>
      <c r="AXD37">
        <f>SOFR3mo_PX[[#This Row],[Column1304]]</f>
        <v>99.715000000000003</v>
      </c>
      <c r="AXE37">
        <f>SOFR3mo_PX[[#This Row],[Column1305]]</f>
        <v>99.715000000000003</v>
      </c>
      <c r="AXF37">
        <f>SOFR3mo_PX[[#This Row],[Column1306]]</f>
        <v>99.71</v>
      </c>
      <c r="AXG37">
        <f>SOFR3mo_PX[[#This Row],[Column1307]]</f>
        <v>99.7</v>
      </c>
      <c r="AXH37">
        <f>SOFR3mo_PX[[#This Row],[Column1308]]</f>
        <v>99.68</v>
      </c>
      <c r="AXI37">
        <f>SOFR3mo_PX[[#This Row],[Column1309]]</f>
        <v>99.674999999999997</v>
      </c>
      <c r="AXJ37">
        <f>SOFR3mo_PX[[#This Row],[Column1310]]</f>
        <v>99.665000000000006</v>
      </c>
      <c r="AXK37">
        <f>SOFR3mo_PX[[#This Row],[Column1311]]</f>
        <v>99.68</v>
      </c>
      <c r="AXL37">
        <f>SOFR3mo_PX[[#This Row],[Column1312]]</f>
        <v>99.67</v>
      </c>
      <c r="AXM37">
        <f>SOFR3mo_PX[[#This Row],[Column1313]]</f>
        <v>99.68</v>
      </c>
      <c r="AXN37">
        <f>SOFR3mo_PX[[#This Row],[Column1314]]</f>
        <v>99.655000000000001</v>
      </c>
      <c r="AXO37">
        <f>SOFR3mo_PX[[#This Row],[Column1315]]</f>
        <v>99.605000000000004</v>
      </c>
      <c r="AXP37">
        <f>SOFR3mo_PX[[#This Row],[Column1316]]</f>
        <v>99.57</v>
      </c>
      <c r="AXQ37">
        <f>SOFR3mo_PX[[#This Row],[Column1317]]</f>
        <v>99.564999999999998</v>
      </c>
      <c r="AXR37">
        <f>SOFR3mo_PX[[#This Row],[Column1318]]</f>
        <v>99.63</v>
      </c>
      <c r="AXS37">
        <f>SOFR3mo_PX[[#This Row],[Column1319]]</f>
        <v>99.644999999999996</v>
      </c>
      <c r="AXT37">
        <f>SOFR3mo_PX[[#This Row],[Column1320]]</f>
        <v>99.68</v>
      </c>
      <c r="AXU37">
        <f>SOFR3mo_PX[[#This Row],[Column1321]]</f>
        <v>99.685000000000002</v>
      </c>
      <c r="AXV37">
        <f>SOFR3mo_PX[[#This Row],[Column1322]]</f>
        <v>99.674999999999997</v>
      </c>
      <c r="AXW37">
        <f>SOFR3mo_PX[[#This Row],[Column1323]]</f>
        <v>99.655000000000001</v>
      </c>
      <c r="AXX37">
        <f>SOFR3mo_PX[[#This Row],[Column1324]]</f>
        <v>99.66</v>
      </c>
      <c r="AXY37">
        <f>SOFR3mo_PX[[#This Row],[Column1325]]</f>
        <v>99.665000000000006</v>
      </c>
      <c r="AXZ37">
        <f>SOFR3mo_PX[[#This Row],[Column1326]]</f>
        <v>99.67</v>
      </c>
      <c r="AYA37">
        <f>SOFR3mo_PX[[#This Row],[Column1327]]</f>
        <v>99.67</v>
      </c>
      <c r="AYB37">
        <f>SOFR3mo_PX[[#This Row],[Column1328]]</f>
        <v>99.665000000000006</v>
      </c>
      <c r="AYC37">
        <f>SOFR3mo_PX[[#This Row],[Column1329]]</f>
        <v>99.665000000000006</v>
      </c>
      <c r="AYD37">
        <f>SOFR3mo_PX[[#This Row],[Column1330]]</f>
        <v>99.67</v>
      </c>
      <c r="AYE37">
        <f>SOFR3mo_PX[[#This Row],[Column1331]]</f>
        <v>99.67</v>
      </c>
      <c r="AYF37">
        <f>SOFR3mo_PX[[#This Row],[Column1332]]</f>
        <v>99.715000000000003</v>
      </c>
      <c r="AYG37">
        <f>SOFR3mo_PX[[#This Row],[Column1333]]</f>
        <v>99.69</v>
      </c>
      <c r="AYH37">
        <f>SOFR3mo_PX[[#This Row],[Column1334]]</f>
        <v>99.68</v>
      </c>
      <c r="AYI37">
        <f>SOFR3mo_PX[[#This Row],[Column1335]]</f>
        <v>99.66</v>
      </c>
      <c r="AYJ37">
        <f>SOFR3mo_PX[[#This Row],[Column1336]]</f>
        <v>99.66</v>
      </c>
      <c r="AYK37">
        <f>SOFR3mo_PX[[#This Row],[Column1337]]</f>
        <v>99.68</v>
      </c>
      <c r="AYL37">
        <f>SOFR3mo_PX[[#This Row],[Column1338]]</f>
        <v>99.69</v>
      </c>
      <c r="AYM37">
        <f>SOFR3mo_PX[[#This Row],[Column1339]]</f>
        <v>99.635000000000005</v>
      </c>
      <c r="AYN37">
        <f>SOFR3mo_PX[[#This Row],[Column1340]]</f>
        <v>99.62</v>
      </c>
      <c r="AYO37">
        <f>SOFR3mo_PX[[#This Row],[Column1341]]</f>
        <v>99.625</v>
      </c>
      <c r="AYP37">
        <f>SOFR3mo_PX[[#This Row],[Column1342]]</f>
        <v>99.61</v>
      </c>
      <c r="AYQ37">
        <f>SOFR3mo_PX[[#This Row],[Column1343]]</f>
        <v>99.614999999999995</v>
      </c>
      <c r="AYR37">
        <f>SOFR3mo_PX[[#This Row],[Column1344]]</f>
        <v>99.605000000000004</v>
      </c>
      <c r="AYS37">
        <f>SOFR3mo_PX[[#This Row],[Column1345]]</f>
        <v>99.59</v>
      </c>
      <c r="AYT37">
        <f>SOFR3mo_PX[[#This Row],[Column1346]]</f>
        <v>99.584999999999994</v>
      </c>
      <c r="AYU37">
        <f>SOFR3mo_PX[[#This Row],[Column1347]]</f>
        <v>99.594999999999999</v>
      </c>
      <c r="AYV37">
        <f>SOFR3mo_PX[[#This Row],[Column1348]]</f>
        <v>99.594999999999999</v>
      </c>
      <c r="AYW37">
        <f>SOFR3mo_PX[[#This Row],[Column1349]]</f>
        <v>99.59</v>
      </c>
      <c r="AYX37">
        <f>SOFR3mo_PX[[#This Row],[Column1350]]</f>
        <v>99.6</v>
      </c>
      <c r="AYY37">
        <f>SOFR3mo_PX[[#This Row],[Column1351]]</f>
        <v>99.58</v>
      </c>
      <c r="AYZ37">
        <f>SOFR3mo_PX[[#This Row],[Column1352]]</f>
        <v>99.57</v>
      </c>
      <c r="AZA37">
        <f>SOFR3mo_PX[[#This Row],[Column1353]]</f>
        <v>99.555000000000007</v>
      </c>
      <c r="AZB37">
        <f>SOFR3mo_PX[[#This Row],[Column1354]]</f>
        <v>99.545000000000002</v>
      </c>
      <c r="AZC37">
        <f>SOFR3mo_PX[[#This Row],[Column1355]]</f>
        <v>99.515000000000001</v>
      </c>
      <c r="AZD37">
        <f>SOFR3mo_PX[[#This Row],[Column1356]]</f>
        <v>99.5</v>
      </c>
      <c r="AZE37">
        <f>SOFR3mo_PX[[#This Row],[Column1357]]</f>
        <v>99.51</v>
      </c>
      <c r="AZF37">
        <f>SOFR3mo_PX[[#This Row],[Column1358]]</f>
        <v>99.51</v>
      </c>
      <c r="AZG37">
        <f>SOFR3mo_PX[[#This Row],[Column1359]]</f>
        <v>99.49</v>
      </c>
      <c r="AZH37">
        <f>SOFR3mo_PX[[#This Row],[Column1360]]</f>
        <v>99.474999999999994</v>
      </c>
      <c r="AZI37">
        <f>SOFR3mo_PX[[#This Row],[Column1361]]</f>
        <v>99.52</v>
      </c>
      <c r="AZJ37">
        <f>SOFR3mo_PX[[#This Row],[Column1362]]</f>
        <v>99.58</v>
      </c>
      <c r="AZK37">
        <f>SOFR3mo_PX[[#This Row],[Column1363]]</f>
        <v>99.575000000000003</v>
      </c>
      <c r="AZL37">
        <f>SOFR3mo_PX[[#This Row],[Column1364]]</f>
        <v>99.59</v>
      </c>
      <c r="AZM37">
        <f>SOFR3mo_PX[[#This Row],[Column1365]]</f>
        <v>99.564999999999998</v>
      </c>
      <c r="AZN37">
        <f>SOFR3mo_PX[[#This Row],[Column1366]]</f>
        <v>99.594999999999999</v>
      </c>
      <c r="AZO37">
        <f>SOFR3mo_PX[[#This Row],[Column1367]]</f>
        <v>99.55</v>
      </c>
      <c r="AZP37">
        <f>SOFR3mo_PX[[#This Row],[Column1368]]</f>
        <v>99.53</v>
      </c>
      <c r="AZQ37">
        <f>SOFR3mo_PX[[#This Row],[Column1369]]</f>
        <v>99.5</v>
      </c>
      <c r="AZR37">
        <f>SOFR3mo_PX[[#This Row],[Column1370]]</f>
        <v>99.495000000000005</v>
      </c>
      <c r="AZS37">
        <f>SOFR3mo_PX[[#This Row],[Column1371]]</f>
        <v>99.555000000000007</v>
      </c>
      <c r="AZT37">
        <f>SOFR3mo_PX[[#This Row],[Column1372]]</f>
        <v>99.474999999999994</v>
      </c>
      <c r="AZU37">
        <f>SOFR3mo_PX[[#This Row],[Column1373]]</f>
        <v>99.415000000000006</v>
      </c>
      <c r="AZV37">
        <f>SOFR3mo_PX[[#This Row],[Column1374]]</f>
        <v>99.31</v>
      </c>
      <c r="AZW37">
        <f>SOFR3mo_PX[[#This Row],[Column1375]]</f>
        <v>99.424999999999997</v>
      </c>
      <c r="AZX37">
        <f>SOFR3mo_PX[[#This Row],[Column1376]]</f>
        <v>99.474999999999994</v>
      </c>
      <c r="AZY37">
        <f>SOFR3mo_PX[[#This Row],[Column1377]]</f>
        <v>99.4</v>
      </c>
      <c r="AZZ37">
        <f>SOFR3mo_PX[[#This Row],[Column1378]]</f>
        <v>99.44</v>
      </c>
      <c r="BAA37">
        <f>SOFR3mo_PX[[#This Row],[Column1379]]</f>
        <v>99.37</v>
      </c>
      <c r="BAB37">
        <f>SOFR3mo_PX[[#This Row],[Column1380]]</f>
        <v>99.36</v>
      </c>
      <c r="BAC37">
        <f>SOFR3mo_PX[[#This Row],[Column1381]]</f>
        <v>99.48</v>
      </c>
      <c r="BAD37">
        <f>SOFR3mo_PX[[#This Row],[Column1382]]</f>
        <v>99.405000000000001</v>
      </c>
      <c r="BAE37">
        <f>SOFR3mo_PX[[#This Row],[Column1383]]</f>
        <v>99.32</v>
      </c>
      <c r="BAF37">
        <f>SOFR3mo_PX[[#This Row],[Column1384]]</f>
        <v>99.27</v>
      </c>
      <c r="BAG37">
        <f>SOFR3mo_PX[[#This Row],[Column1385]]</f>
        <v>99.21</v>
      </c>
      <c r="BAH37">
        <f>SOFR3mo_PX[[#This Row],[Column1386]]</f>
        <v>99.14</v>
      </c>
      <c r="BAI37">
        <f>SOFR3mo_PX[[#This Row],[Column1387]]</f>
        <v>99.14</v>
      </c>
      <c r="BAJ37">
        <f>SOFR3mo_PX[[#This Row],[Column1388]]</f>
        <v>98.94</v>
      </c>
      <c r="BAK37">
        <f>SOFR3mo_PX[[#This Row],[Column1389]]</f>
        <v>98.885000000000005</v>
      </c>
      <c r="BAL37">
        <f>SOFR3mo_PX[[#This Row],[Column1390]]</f>
        <v>98.894999999999996</v>
      </c>
      <c r="BAM37">
        <f>SOFR3mo_PX[[#This Row],[Column1391]]</f>
        <v>98.84</v>
      </c>
      <c r="BAN37">
        <f>SOFR3mo_PX[[#This Row],[Column1392]]</f>
        <v>98.73</v>
      </c>
      <c r="BAO37">
        <f>SOFR3mo_PX[[#This Row],[Column1393]]</f>
        <v>98.665000000000006</v>
      </c>
      <c r="BAP37">
        <f>SOFR3mo_PX[[#This Row],[Column1394]]</f>
        <v>98.62</v>
      </c>
      <c r="BAQ37">
        <f>SOFR3mo_PX[[#This Row],[Column1395]]</f>
        <v>98.644999999999996</v>
      </c>
      <c r="BAR37">
        <f>SOFR3mo_PX[[#This Row],[Column1396]]</f>
        <v>98.614999999999995</v>
      </c>
      <c r="BAS37">
        <f>SOFR3mo_PX[[#This Row],[Column1397]]</f>
        <v>98.614999999999995</v>
      </c>
      <c r="BAT37">
        <f>SOFR3mo_PX[[#This Row],[Column1398]]</f>
        <v>98.58</v>
      </c>
      <c r="BAU37">
        <f>SOFR3mo_PX[[#This Row],[Column1399]]</f>
        <v>98.58</v>
      </c>
      <c r="BAV37">
        <f>SOFR3mo_PX[[#This Row],[Column1400]]</f>
        <v>98.62</v>
      </c>
      <c r="BAW37">
        <f>SOFR3mo_PX[[#This Row],[Column1401]]</f>
        <v>98.65</v>
      </c>
      <c r="BAX37">
        <f>SOFR3mo_PX[[#This Row],[Column1402]]</f>
        <v>98.614999999999995</v>
      </c>
      <c r="BAY37">
        <f>SOFR3mo_PX[[#This Row],[Column1403]]</f>
        <v>98.56</v>
      </c>
      <c r="BAZ37">
        <f>SOFR3mo_PX[[#This Row],[Column1404]]</f>
        <v>98.58</v>
      </c>
      <c r="BBA37">
        <f>SOFR3mo_PX[[#This Row],[Column1405]]</f>
        <v>98.62</v>
      </c>
      <c r="BBB37">
        <f>SOFR3mo_PX[[#This Row],[Column1406]]</f>
        <v>98.704999999999998</v>
      </c>
      <c r="BBC37">
        <f>SOFR3mo_PX[[#This Row],[Column1407]]</f>
        <v>98.72</v>
      </c>
      <c r="BBD37">
        <f>SOFR3mo_PX[[#This Row],[Column1408]]</f>
        <v>98.665000000000006</v>
      </c>
      <c r="BBE37">
        <f>SOFR3mo_PX[[#This Row],[Column1409]]</f>
        <v>98.62</v>
      </c>
      <c r="BBF37">
        <f>SOFR3mo_PX[[#This Row],[Column1410]]</f>
        <v>98.57</v>
      </c>
      <c r="BBG37">
        <f>SOFR3mo_PX[[#This Row],[Column1411]]</f>
        <v>98.605000000000004</v>
      </c>
      <c r="BBH37">
        <f>SOFR3mo_PX[[#This Row],[Column1412]]</f>
        <v>98.52</v>
      </c>
      <c r="BBI37">
        <f>SOFR3mo_PX[[#This Row],[Column1413]]</f>
        <v>98.465000000000003</v>
      </c>
      <c r="BBJ37">
        <f>SOFR3mo_PX[[#This Row],[Column1414]]</f>
        <v>98.444999999999993</v>
      </c>
      <c r="BBK37">
        <f>SOFR3mo_PX[[#This Row],[Column1415]]</f>
        <v>98.43</v>
      </c>
      <c r="BBL37">
        <f>SOFR3mo_PX[[#This Row],[Column1416]]</f>
        <v>98.375</v>
      </c>
      <c r="BBM37">
        <f>SOFR3mo_PX[[#This Row],[Column1417]]</f>
        <v>98.375</v>
      </c>
      <c r="BBN37">
        <f>SOFR3mo_PX[[#This Row],[Column1418]]</f>
        <v>98.39</v>
      </c>
      <c r="BBO37">
        <f>SOFR3mo_PX[[#This Row],[Column1419]]</f>
        <v>98.4</v>
      </c>
      <c r="BBP37">
        <f>SOFR3mo_PX[[#This Row],[Column1420]]</f>
        <v>98.39</v>
      </c>
      <c r="BBQ37">
        <f>SOFR3mo_PX[[#This Row],[Column1421]]</f>
        <v>98.375</v>
      </c>
      <c r="BBR37">
        <f>SOFR3mo_PX[[#This Row],[Column1422]]</f>
        <v>98.38</v>
      </c>
      <c r="BBS37">
        <f>SOFR3mo_PX[[#This Row],[Column1423]]</f>
        <v>98.364999999999995</v>
      </c>
      <c r="BBT37">
        <f>SOFR3mo_PX[[#This Row],[Column1424]]</f>
        <v>98.36</v>
      </c>
      <c r="BBU37">
        <f>SOFR3mo_PX[[#This Row],[Column1425]]</f>
        <v>98.405000000000001</v>
      </c>
      <c r="BBV37">
        <f>SOFR3mo_PX[[#This Row],[Column1426]]</f>
        <v>98.415000000000006</v>
      </c>
      <c r="BBW37">
        <f>SOFR3mo_PX[[#This Row],[Column1427]]</f>
        <v>98.42</v>
      </c>
      <c r="BBX37">
        <f>SOFR3mo_PX[[#This Row],[Column1428]]</f>
        <v>98.33</v>
      </c>
      <c r="BBY37">
        <f>SOFR3mo_PX[[#This Row],[Column1429]]</f>
        <v>98.32</v>
      </c>
      <c r="BBZ37">
        <f>SOFR3mo_PX[[#This Row],[Column1430]]</f>
        <v>98.32</v>
      </c>
      <c r="BCA37">
        <f>SOFR3mo_PX[[#This Row],[Column1431]]</f>
        <v>98.325000000000003</v>
      </c>
      <c r="BCB37">
        <f>SOFR3mo_PX[[#This Row],[Column1432]]</f>
        <v>98.325000000000003</v>
      </c>
      <c r="BCC37">
        <f>SOFR3mo_PX[[#This Row],[Column1433]]</f>
        <v>98.284999999999997</v>
      </c>
      <c r="BCD37">
        <f>SOFR3mo_PX[[#This Row],[Column1434]]</f>
        <v>98.284999999999997</v>
      </c>
      <c r="BCE37">
        <f>SOFR3mo_PX[[#This Row],[Column1435]]</f>
        <v>98.284999999999997</v>
      </c>
      <c r="BCF37">
        <f>SOFR3mo_PX[[#This Row],[Column1436]]</f>
        <v>98.265000000000001</v>
      </c>
      <c r="BCG37">
        <f>SOFR3mo_PX[[#This Row],[Column1437]]</f>
        <v>98.305000000000007</v>
      </c>
      <c r="BCH37">
        <f>SOFR3mo_PX[[#This Row],[Column1438]]</f>
        <v>98.32</v>
      </c>
      <c r="BCI37">
        <f>SOFR3mo_PX[[#This Row],[Column1439]]</f>
        <v>98.3</v>
      </c>
      <c r="BCJ37">
        <f>SOFR3mo_PX[[#This Row],[Column1440]]</f>
        <v>98.33</v>
      </c>
      <c r="BCK37">
        <f>SOFR3mo_PX[[#This Row],[Column1441]]</f>
        <v>98.34</v>
      </c>
      <c r="BCL37">
        <f>SOFR3mo_PX[[#This Row],[Column1442]]</f>
        <v>98.415000000000006</v>
      </c>
      <c r="BCM37">
        <f>SOFR3mo_PX[[#This Row],[Column1443]]</f>
        <v>98.334999999999994</v>
      </c>
      <c r="BCN37">
        <f>SOFR3mo_PX[[#This Row],[Column1444]]</f>
        <v>98.42</v>
      </c>
      <c r="BCO37">
        <f>SOFR3mo_PX[[#This Row],[Column1445]]</f>
        <v>98.38</v>
      </c>
      <c r="BCP37">
        <f>SOFR3mo_PX[[#This Row],[Column1446]]</f>
        <v>98.394999999999996</v>
      </c>
      <c r="BCQ37">
        <f>SOFR3mo_PX[[#This Row],[Column1447]]</f>
        <v>98.405000000000001</v>
      </c>
      <c r="BCR37">
        <f>SOFR3mo_PX[[#This Row],[Column1448]]</f>
        <v>98.465000000000003</v>
      </c>
      <c r="BCS37">
        <f>SOFR3mo_PX[[#This Row],[Column1449]]</f>
        <v>98.48</v>
      </c>
      <c r="BCT37">
        <f>SOFR3mo_PX[[#This Row],[Column1450]]</f>
        <v>98.555000000000007</v>
      </c>
      <c r="BCU37">
        <f>SOFR3mo_PX[[#This Row],[Column1451]]</f>
        <v>98.435000000000002</v>
      </c>
      <c r="BCV37">
        <f>SOFR3mo_PX[[#This Row],[Column1452]]</f>
        <v>98.47</v>
      </c>
      <c r="BCW37">
        <f>SOFR3mo_PX[[#This Row],[Column1453]]</f>
        <v>98.46</v>
      </c>
      <c r="BCX37">
        <f>SOFR3mo_PX[[#This Row],[Column1454]]</f>
        <v>98.46</v>
      </c>
      <c r="BCY37">
        <f>SOFR3mo_PX[[#This Row],[Column1455]]</f>
        <v>98.5</v>
      </c>
      <c r="BCZ37">
        <f>SOFR3mo_PX[[#This Row],[Column1456]]</f>
        <v>98.49</v>
      </c>
      <c r="BDA37">
        <f>SOFR3mo_PX[[#This Row],[Column1457]]</f>
        <v>98.474999999999994</v>
      </c>
      <c r="BDB37">
        <f>SOFR3mo_PX[[#This Row],[Column1458]]</f>
        <v>98.495000000000005</v>
      </c>
      <c r="BDC37">
        <f>SOFR3mo_PX[[#This Row],[Column1459]]</f>
        <v>98.525000000000006</v>
      </c>
      <c r="BDD37">
        <f>SOFR3mo_PX[[#This Row],[Column1460]]</f>
        <v>98.49</v>
      </c>
      <c r="BDE37">
        <f>SOFR3mo_PX[[#This Row],[Column1461]]</f>
        <v>98.465000000000003</v>
      </c>
      <c r="BDF37">
        <f>SOFR3mo_PX[[#This Row],[Column1462]]</f>
        <v>98.44</v>
      </c>
      <c r="BDG37">
        <f>SOFR3mo_PX[[#This Row],[Column1463]]</f>
        <v>98.45</v>
      </c>
      <c r="BDH37">
        <f>SOFR3mo_PX[[#This Row],[Column1464]]</f>
        <v>98.4</v>
      </c>
      <c r="BDI37">
        <f>SOFR3mo_PX[[#This Row],[Column1465]]</f>
        <v>98.35</v>
      </c>
      <c r="BDJ37">
        <f>SOFR3mo_PX[[#This Row],[Column1466]]</f>
        <v>98.32</v>
      </c>
      <c r="BDK37">
        <f>SOFR3mo_PX[[#This Row],[Column1467]]</f>
        <v>98.33</v>
      </c>
      <c r="BDL37">
        <f>SOFR3mo_PX[[#This Row],[Column1468]]</f>
        <v>98.314999999999998</v>
      </c>
      <c r="BDM37">
        <f>SOFR3mo_PX[[#This Row],[Column1469]]</f>
        <v>98.424999999999997</v>
      </c>
      <c r="BDN37">
        <f>SOFR3mo_PX[[#This Row],[Column1470]]</f>
        <v>98.4</v>
      </c>
      <c r="BDO37">
        <f>SOFR3mo_PX[[#This Row],[Column1471]]</f>
        <v>98.46</v>
      </c>
      <c r="BDP37">
        <f>SOFR3mo_PX[[#This Row],[Column1472]]</f>
        <v>98.51</v>
      </c>
      <c r="BDQ37">
        <f>SOFR3mo_PX[[#This Row],[Column1473]]</f>
        <v>98.58</v>
      </c>
      <c r="BDR37">
        <f>SOFR3mo_PX[[#This Row],[Column1474]]</f>
        <v>98.454999999999998</v>
      </c>
      <c r="BDS37">
        <f>SOFR3mo_PX[[#This Row],[Column1475]]</f>
        <v>98.435000000000002</v>
      </c>
      <c r="BDT37">
        <f>SOFR3mo_PX[[#This Row],[Column1476]]</f>
        <v>98.44</v>
      </c>
      <c r="BDU37">
        <f>SOFR3mo_PX[[#This Row],[Column1477]]</f>
        <v>98.47</v>
      </c>
      <c r="BDV37">
        <f>SOFR3mo_PX[[#This Row],[Column1478]]</f>
        <v>98.515000000000001</v>
      </c>
      <c r="BDW37">
        <f>SOFR3mo_PX[[#This Row],[Column1479]]</f>
        <v>98.525000000000006</v>
      </c>
      <c r="BDX37">
        <f>SOFR3mo_PX[[#This Row],[Column1480]]</f>
        <v>98.504999999999995</v>
      </c>
      <c r="BDY37">
        <f>SOFR3mo_PX[[#This Row],[Column1481]]</f>
        <v>98.48</v>
      </c>
      <c r="BDZ37">
        <f>SOFR3mo_PX[[#This Row],[Column1482]]</f>
        <v>98.52</v>
      </c>
      <c r="BEA37">
        <f>SOFR3mo_PX[[#This Row],[Column1483]]</f>
        <v>98.495000000000005</v>
      </c>
      <c r="BEB37">
        <f>SOFR3mo_PX[[#This Row],[Column1484]]</f>
        <v>98.52</v>
      </c>
      <c r="BEC37">
        <f>SOFR3mo_PX[[#This Row],[Column1485]]</f>
        <v>98.48</v>
      </c>
      <c r="BED37">
        <f>SOFR3mo_PX[[#This Row],[Column1486]]</f>
        <v>98.534999999999997</v>
      </c>
      <c r="BEE37">
        <f>SOFR3mo_PX[[#This Row],[Column1487]]</f>
        <v>98.515000000000001</v>
      </c>
      <c r="BEF37">
        <f>SOFR3mo_PX[[#This Row],[Column1488]]</f>
        <v>98.644999999999996</v>
      </c>
      <c r="BEG37">
        <f>SOFR3mo_PX[[#This Row],[Column1489]]</f>
        <v>98.71</v>
      </c>
      <c r="BEH37">
        <f>SOFR3mo_PX[[#This Row],[Column1490]]</f>
        <v>98.765000000000001</v>
      </c>
      <c r="BEI37">
        <f>SOFR3mo_PX[[#This Row],[Column1491]]</f>
        <v>98.754999999999995</v>
      </c>
      <c r="BEJ37">
        <f>SOFR3mo_PX[[#This Row],[Column1492]]</f>
        <v>98.825000000000003</v>
      </c>
      <c r="BEK37">
        <f>SOFR3mo_PX[[#This Row],[Column1493]]</f>
        <v>98.834999999999994</v>
      </c>
      <c r="BEL37">
        <f>SOFR3mo_PX[[#This Row],[Column1494]]</f>
        <v>98.734999999999999</v>
      </c>
      <c r="BEM37">
        <f>SOFR3mo_PX[[#This Row],[Column1495]]</f>
        <v>98.66</v>
      </c>
      <c r="BEN37">
        <f>SOFR3mo_PX[[#This Row],[Column1496]]</f>
        <v>98.59</v>
      </c>
      <c r="BEO37">
        <f>SOFR3mo_PX[[#This Row],[Column1497]]</f>
        <v>98.6</v>
      </c>
      <c r="BEP37" t="str">
        <f>SOFR3mo_PX[[#This Row],[Column1498]]</f>
        <v>#N/A N/A</v>
      </c>
      <c r="BEQ37" t="str">
        <f>SOFR3mo_PX[[#This Row],[Column1499]]</f>
        <v>#N/A N/A</v>
      </c>
      <c r="BER37" t="str">
        <f>SOFR3mo_PX[[#This Row],[Column1500]]</f>
        <v>#N/A N/A</v>
      </c>
      <c r="BES37" t="str">
        <f>SOFR3mo_PX[[#This Row],[Column1501]]</f>
        <v>#N/A N/A</v>
      </c>
      <c r="BET37" t="str">
        <f>SOFR3mo_PX[[#This Row],[Column1502]]</f>
        <v>#N/A N/A</v>
      </c>
      <c r="BEU37" t="str">
        <f>SOFR3mo_PX[[#This Row],[Column1503]]</f>
        <v>#N/A N/A</v>
      </c>
      <c r="BEV37" t="str">
        <f>SOFR3mo_PX[[#This Row],[Column1504]]</f>
        <v>#N/A N/A</v>
      </c>
      <c r="BEW37" t="str">
        <f>SOFR3mo_PX[[#This Row],[Column1505]]</f>
        <v>#N/A N/A</v>
      </c>
      <c r="BEX37" t="str">
        <f>SOFR3mo_PX[[#This Row],[Column1506]]</f>
        <v>#N/A N/A</v>
      </c>
      <c r="BEY37" t="str">
        <f>SOFR3mo_PX[[#This Row],[Column1507]]</f>
        <v>#N/A N/A</v>
      </c>
      <c r="BEZ37" t="str">
        <f>SOFR3mo_PX[[#This Row],[Column1508]]</f>
        <v>#N/A N/A</v>
      </c>
      <c r="BFA37" t="str">
        <f>SOFR3mo_PX[[#This Row],[Column1509]]</f>
        <v>#N/A N/A</v>
      </c>
      <c r="BFB37" t="str">
        <f>SOFR3mo_PX[[#This Row],[Column1510]]</f>
        <v>#N/A N/A</v>
      </c>
      <c r="BFC37" t="str">
        <f>SOFR3mo_PX[[#This Row],[Column1511]]</f>
        <v>#N/A N/A</v>
      </c>
      <c r="BFD37" t="str">
        <f>SOFR3mo_PX[[#This Row],[Column1512]]</f>
        <v>#N/A N/A</v>
      </c>
      <c r="BFE37" t="str">
        <f>SOFR3mo_PX[[#This Row],[Column1513]]</f>
        <v>#N/A N/A</v>
      </c>
      <c r="BFF37" t="str">
        <f>SOFR3mo_PX[[#This Row],[Column1514]]</f>
        <v>#N/A N/A</v>
      </c>
      <c r="BFG37" t="str">
        <f>SOFR3mo_PX[[#This Row],[Column1515]]</f>
        <v>#N/A N/A</v>
      </c>
      <c r="BFH37" t="str">
        <f>SOFR3mo_PX[[#This Row],[Column1516]]</f>
        <v>#N/A N/A</v>
      </c>
      <c r="BFI37" t="str">
        <f>SOFR3mo_PX[[#This Row],[Column1517]]</f>
        <v>#N/A N/A</v>
      </c>
      <c r="BFJ37" t="str">
        <f>SOFR3mo_PX[[#This Row],[Column1518]]</f>
        <v>#N/A N/A</v>
      </c>
      <c r="BFK37" t="str">
        <f>SOFR3mo_PX[[#This Row],[Column1519]]</f>
        <v>#N/A N/A</v>
      </c>
      <c r="BFL37" t="str">
        <f>SOFR3mo_PX[[#This Row],[Column1520]]</f>
        <v>#N/A N/A</v>
      </c>
      <c r="BFM37" t="str">
        <f>SOFR3mo_PX[[#This Row],[Column1521]]</f>
        <v>#N/A N/A</v>
      </c>
      <c r="BFN37" t="str">
        <f>SOFR3mo_PX[[#This Row],[Column1522]]</f>
        <v>#N/A N/A</v>
      </c>
      <c r="BFO37" t="str">
        <f>SOFR3mo_PX[[#This Row],[Column1523]]</f>
        <v>#N/A N/A</v>
      </c>
      <c r="BFP37" t="str">
        <f>SOFR3mo_PX[[#This Row],[Column1524]]</f>
        <v>#N/A N/A</v>
      </c>
      <c r="BFQ37" t="str">
        <f>SOFR3mo_PX[[#This Row],[Column1525]]</f>
        <v>#N/A N/A</v>
      </c>
      <c r="BFR37" t="str">
        <f>SOFR3mo_PX[[#This Row],[Column1526]]</f>
        <v>#N/A N/A</v>
      </c>
      <c r="BFS37" t="str">
        <f>SOFR3mo_PX[[#This Row],[Column1527]]</f>
        <v>#N/A N/A</v>
      </c>
      <c r="BFT37" t="str">
        <f>SOFR3mo_PX[[#This Row],[Column1528]]</f>
        <v>#N/A N/A</v>
      </c>
      <c r="BFU37" t="str">
        <f>SOFR3mo_PX[[#This Row],[Column1529]]</f>
        <v>#N/A N/A</v>
      </c>
      <c r="BFV37" t="str">
        <f>SOFR3mo_PX[[#This Row],[Column1530]]</f>
        <v>#N/A N/A</v>
      </c>
      <c r="BFW37" t="str">
        <f>SOFR3mo_PX[[#This Row],[Column1531]]</f>
        <v>#N/A N/A</v>
      </c>
      <c r="BFX37" t="str">
        <f>SOFR3mo_PX[[#This Row],[Column1532]]</f>
        <v>#N/A N/A</v>
      </c>
      <c r="BFY37" t="str">
        <f>SOFR3mo_PX[[#This Row],[Column1533]]</f>
        <v>#N/A N/A</v>
      </c>
      <c r="BFZ37" t="str">
        <f>SOFR3mo_PX[[#This Row],[Column1534]]</f>
        <v>#N/A N/A</v>
      </c>
      <c r="BGA37" t="str">
        <f>SOFR3mo_PX[[#This Row],[Column1535]]</f>
        <v>#N/A N/A</v>
      </c>
      <c r="BGB37" t="str">
        <f>SOFR3mo_PX[[#This Row],[Column1536]]</f>
        <v>#N/A N/A</v>
      </c>
      <c r="BGC37" t="str">
        <f>SOFR3mo_PX[[#This Row],[Column1537]]</f>
        <v>#N/A N/A</v>
      </c>
      <c r="BGD37" t="str">
        <f>SOFR3mo_PX[[#This Row],[Column1538]]</f>
        <v>#N/A N/A</v>
      </c>
      <c r="BGE37" t="str">
        <f>SOFR3mo_PX[[#This Row],[Column1539]]</f>
        <v>#N/A N/A</v>
      </c>
      <c r="BGF37" t="str">
        <f>SOFR3mo_PX[[#This Row],[Column1540]]</f>
        <v>#N/A N/A</v>
      </c>
      <c r="BGG37" t="str">
        <f>SOFR3mo_PX[[#This Row],[Column1541]]</f>
        <v>#N/A N/A</v>
      </c>
      <c r="BGH37" t="str">
        <f>SOFR3mo_PX[[#This Row],[Column1542]]</f>
        <v>#N/A N/A</v>
      </c>
      <c r="BGI37" t="str">
        <f>SOFR3mo_PX[[#This Row],[Column1543]]</f>
        <v>#N/A N/A</v>
      </c>
      <c r="BGJ37" t="str">
        <f>SOFR3mo_PX[[#This Row],[Column1544]]</f>
        <v>#N/A N/A</v>
      </c>
      <c r="BGK37" t="str">
        <f>SOFR3mo_PX[[#This Row],[Column1545]]</f>
        <v>#N/A N/A</v>
      </c>
      <c r="BGL37" t="str">
        <f>SOFR3mo_PX[[#This Row],[Column1546]]</f>
        <v>#N/A N/A</v>
      </c>
      <c r="BGM37" t="str">
        <f>SOFR3mo_PX[[#This Row],[Column1547]]</f>
        <v>#N/A N/A</v>
      </c>
      <c r="BGN37" t="str">
        <f>SOFR3mo_PX[[#This Row],[Column1548]]</f>
        <v>#N/A N/A</v>
      </c>
      <c r="BGO37" t="str">
        <f>SOFR3mo_PX[[#This Row],[Column1549]]</f>
        <v>#N/A N/A</v>
      </c>
      <c r="BGP37" t="str">
        <f>SOFR3mo_PX[[#This Row],[Column1550]]</f>
        <v>#N/A N/A</v>
      </c>
      <c r="BGQ37" t="str">
        <f>SOFR3mo_PX[[#This Row],[Column1551]]</f>
        <v>#N/A N/A</v>
      </c>
      <c r="BGR37" t="str">
        <f>SOFR3mo_PX[[#This Row],[Column1552]]</f>
        <v>#N/A N/A</v>
      </c>
      <c r="BGS37" t="str">
        <f>SOFR3mo_PX[[#This Row],[Column1553]]</f>
        <v>#N/A N/A</v>
      </c>
      <c r="BGT37" t="str">
        <f>SOFR3mo_PX[[#This Row],[Column1554]]</f>
        <v>#N/A N/A</v>
      </c>
      <c r="BGU37" t="str">
        <f>SOFR3mo_PX[[#This Row],[Column1555]]</f>
        <v>#N/A N/A</v>
      </c>
      <c r="BGV37" t="str">
        <f>SOFR3mo_PX[[#This Row],[Column1556]]</f>
        <v>#N/A N/A</v>
      </c>
      <c r="BGW37" t="str">
        <f>SOFR3mo_PX[[#This Row],[Column1557]]</f>
        <v>#N/A N/A</v>
      </c>
      <c r="BGX37" t="str">
        <f>SOFR3mo_PX[[#This Row],[Column1558]]</f>
        <v>#N/A N/A</v>
      </c>
      <c r="BGY37" t="str">
        <f>SOFR3mo_PX[[#This Row],[Column1559]]</f>
        <v>#N/A N/A</v>
      </c>
      <c r="BGZ37" t="str">
        <f>SOFR3mo_PX[[#This Row],[Column1560]]</f>
        <v>#N/A N/A</v>
      </c>
      <c r="BHA37" t="str">
        <f>SOFR3mo_PX[[#This Row],[Column1561]]</f>
        <v>#N/A N/A</v>
      </c>
      <c r="BHB37" t="str">
        <f>SOFR3mo_PX[[#This Row],[Column1562]]</f>
        <v>#N/A N/A</v>
      </c>
      <c r="BHC37" t="str">
        <f>SOFR3mo_PX[[#This Row],[Column1563]]</f>
        <v>#N/A N/A</v>
      </c>
      <c r="BHD37" t="str">
        <f>SOFR3mo_PX[[#This Row],[Column1564]]</f>
        <v>#N/A N/A</v>
      </c>
      <c r="BHE37" t="str">
        <f>SOFR3mo_PX[[#This Row],[Column1565]]</f>
        <v>#N/A N/A</v>
      </c>
      <c r="BHF37" t="str">
        <f>SOFR3mo_PX[[#This Row],[Column1566]]</f>
        <v>#N/A N/A</v>
      </c>
      <c r="BHG37" t="str">
        <f>SOFR3mo_PX[[#This Row],[Column1567]]</f>
        <v>#N/A N/A</v>
      </c>
      <c r="BHH37" t="str">
        <f>SOFR3mo_PX[[#This Row],[Column1568]]</f>
        <v>#N/A N/A</v>
      </c>
      <c r="BHI37" t="str">
        <f>SOFR3mo_PX[[#This Row],[Column1569]]</f>
        <v>#N/A N/A</v>
      </c>
      <c r="BHJ37" t="str">
        <f>SOFR3mo_PX[[#This Row],[Column1570]]</f>
        <v>#N/A N/A</v>
      </c>
      <c r="BHK37" t="str">
        <f>SOFR3mo_PX[[#This Row],[Column1571]]</f>
        <v>#N/A N/A</v>
      </c>
      <c r="BHL37" t="str">
        <f>SOFR3mo_PX[[#This Row],[Column1572]]</f>
        <v>#N/A N/A</v>
      </c>
      <c r="BHM37" t="str">
        <f>SOFR3mo_PX[[#This Row],[Column1573]]</f>
        <v>#N/A N/A</v>
      </c>
      <c r="BHN37" t="str">
        <f>SOFR3mo_PX[[#This Row],[Column1574]]</f>
        <v>#N/A N/A</v>
      </c>
      <c r="BHO37" t="str">
        <f>SOFR3mo_PX[[#This Row],[Column1575]]</f>
        <v>#N/A N/A</v>
      </c>
      <c r="BHP37" t="str">
        <f>SOFR3mo_PX[[#This Row],[Column1576]]</f>
        <v>#N/A N/A</v>
      </c>
      <c r="BHQ37" t="str">
        <f>SOFR3mo_PX[[#This Row],[Column1577]]</f>
        <v>#N/A N/A</v>
      </c>
      <c r="BHR37" t="str">
        <f>SOFR3mo_PX[[#This Row],[Column1578]]</f>
        <v>#N/A N/A</v>
      </c>
      <c r="BHS37" t="str">
        <f>SOFR3mo_PX[[#This Row],[Column1579]]</f>
        <v>#N/A N/A</v>
      </c>
      <c r="BHT37" t="str">
        <f>SOFR3mo_PX[[#This Row],[Column1580]]</f>
        <v>#N/A N/A</v>
      </c>
      <c r="BHU37" t="str">
        <f>SOFR3mo_PX[[#This Row],[Column1581]]</f>
        <v>#N/A N/A</v>
      </c>
      <c r="BHV37" t="str">
        <f>SOFR3mo_PX[[#This Row],[Column1582]]</f>
        <v>#N/A N/A</v>
      </c>
      <c r="BHW37" t="str">
        <f>SOFR3mo_PX[[#This Row],[Column1583]]</f>
        <v>#N/A N/A</v>
      </c>
      <c r="BHX37" t="str">
        <f>SOFR3mo_PX[[#This Row],[Column1584]]</f>
        <v>#N/A N/A</v>
      </c>
      <c r="BHY37" t="str">
        <f>SOFR3mo_PX[[#This Row],[Column1585]]</f>
        <v>#N/A N/A</v>
      </c>
      <c r="BHZ37" t="str">
        <f>SOFR3mo_PX[[#This Row],[Column1586]]</f>
        <v>#N/A N/A</v>
      </c>
      <c r="BIA37" t="str">
        <f>SOFR3mo_PX[[#This Row],[Column1587]]</f>
        <v>#N/A N/A</v>
      </c>
      <c r="BIB37" t="str">
        <f>SOFR3mo_PX[[#This Row],[Column1588]]</f>
        <v>#N/A N/A</v>
      </c>
      <c r="BIC37" t="str">
        <f>SOFR3mo_PX[[#This Row],[Column1589]]</f>
        <v>#N/A N/A</v>
      </c>
      <c r="BID37" t="str">
        <f>SOFR3mo_PX[[#This Row],[Column1590]]</f>
        <v>#N/A N/A</v>
      </c>
      <c r="BIE37" t="str">
        <f>SOFR3mo_PX[[#This Row],[Column1591]]</f>
        <v>#N/A N/A</v>
      </c>
      <c r="BIF37" t="str">
        <f>SOFR3mo_PX[[#This Row],[Column1592]]</f>
        <v>#N/A N/A</v>
      </c>
      <c r="BIG37" t="str">
        <f>SOFR3mo_PX[[#This Row],[Column1593]]</f>
        <v>#N/A N/A</v>
      </c>
      <c r="BIH37" t="str">
        <f>SOFR3mo_PX[[#This Row],[Column1594]]</f>
        <v>#N/A N/A</v>
      </c>
      <c r="BII37" t="str">
        <f>SOFR3mo_PX[[#This Row],[Column1595]]</f>
        <v>#N/A N/A</v>
      </c>
      <c r="BIJ37" t="str">
        <f>SOFR3mo_PX[[#This Row],[Column1596]]</f>
        <v>#N/A N/A</v>
      </c>
      <c r="BIK37" t="str">
        <f>SOFR3mo_PX[[#This Row],[Column1597]]</f>
        <v>#N/A N/A</v>
      </c>
      <c r="BIL37" t="str">
        <f>SOFR3mo_PX[[#This Row],[Column1598]]</f>
        <v>#N/A N/A</v>
      </c>
      <c r="BIM37" t="str">
        <f>SOFR3mo_PX[[#This Row],[Column1599]]</f>
        <v>#N/A N/A</v>
      </c>
      <c r="BIN37" t="str">
        <f>SOFR3mo_PX[[#This Row],[Column1600]]</f>
        <v>#N/A N/A</v>
      </c>
      <c r="BIO37" t="str">
        <f>SOFR3mo_PX[[#This Row],[Column1601]]</f>
        <v>#N/A N/A</v>
      </c>
      <c r="BIP37" t="str">
        <f>SOFR3mo_PX[[#This Row],[Column1602]]</f>
        <v>#N/A N/A</v>
      </c>
      <c r="BIQ37" t="str">
        <f>SOFR3mo_PX[[#This Row],[Column1603]]</f>
        <v>#N/A N/A</v>
      </c>
      <c r="BIR37" t="str">
        <f>SOFR3mo_PX[[#This Row],[Column1604]]</f>
        <v>#N/A N/A</v>
      </c>
      <c r="BIS37" t="str">
        <f>SOFR3mo_PX[[#This Row],[Column1605]]</f>
        <v>#N/A N/A</v>
      </c>
      <c r="BIT37" t="str">
        <f>SOFR3mo_PX[[#This Row],[Column1606]]</f>
        <v>#N/A N/A</v>
      </c>
      <c r="BIU37" t="str">
        <f>SOFR3mo_PX[[#This Row],[Column1607]]</f>
        <v>#N/A N/A</v>
      </c>
      <c r="BIV37" t="str">
        <f>SOFR3mo_PX[[#This Row],[Column1608]]</f>
        <v>#N/A N/A</v>
      </c>
      <c r="BIW37" t="str">
        <f>SOFR3mo_PX[[#This Row],[Column1609]]</f>
        <v>#N/A N/A</v>
      </c>
      <c r="BIX37" t="str">
        <f>SOFR3mo_PX[[#This Row],[Column1610]]</f>
        <v>#N/A N/A</v>
      </c>
      <c r="BIY37" t="str">
        <f>SOFR3mo_PX[[#This Row],[Column1611]]</f>
        <v>#N/A N/A</v>
      </c>
      <c r="BIZ37" t="str">
        <f>SOFR3mo_PX[[#This Row],[Column1612]]</f>
        <v>#N/A N/A</v>
      </c>
      <c r="BJA37" t="str">
        <f>SOFR3mo_PX[[#This Row],[Column1613]]</f>
        <v>#N/A N/A</v>
      </c>
      <c r="BJB37" t="str">
        <f>SOFR3mo_PX[[#This Row],[Column1614]]</f>
        <v>#N/A N/A</v>
      </c>
      <c r="BJC37" t="str">
        <f>SOFR3mo_PX[[#This Row],[Column1615]]</f>
        <v>#N/A N/A</v>
      </c>
      <c r="BJD37" t="str">
        <f>SOFR3mo_PX[[#This Row],[Column1616]]</f>
        <v>#N/A N/A</v>
      </c>
      <c r="BJE37" t="str">
        <f>SOFR3mo_PX[[#This Row],[Column1617]]</f>
        <v>#N/A N/A</v>
      </c>
      <c r="BJF37" t="str">
        <f>SOFR3mo_PX[[#This Row],[Column1618]]</f>
        <v>#N/A N/A</v>
      </c>
      <c r="BJG37" t="str">
        <f>SOFR3mo_PX[[#This Row],[Column1619]]</f>
        <v>#N/A N/A</v>
      </c>
      <c r="BJH37" t="str">
        <f>SOFR3mo_PX[[#This Row],[Column1620]]</f>
        <v>#N/A N/A</v>
      </c>
      <c r="BJI37" t="str">
        <f>SOFR3mo_PX[[#This Row],[Column1621]]</f>
        <v>#N/A N/A</v>
      </c>
      <c r="BJJ37" t="str">
        <f>SOFR3mo_PX[[#This Row],[Column1622]]</f>
        <v>#N/A N/A</v>
      </c>
      <c r="BJK37" t="str">
        <f>SOFR3mo_PX[[#This Row],[Column1623]]</f>
        <v>#N/A N/A</v>
      </c>
      <c r="BJL37" t="str">
        <f>SOFR3mo_PX[[#This Row],[Column1624]]</f>
        <v>#N/A N/A</v>
      </c>
      <c r="BJM37" t="str">
        <f>SOFR3mo_PX[[#This Row],[Column1625]]</f>
        <v>#N/A N/A</v>
      </c>
      <c r="BJN37" t="str">
        <f>SOFR3mo_PX[[#This Row],[Column1626]]</f>
        <v>#N/A N/A</v>
      </c>
      <c r="BJO37" t="str">
        <f>SOFR3mo_PX[[#This Row],[Column1627]]</f>
        <v>#N/A N/A</v>
      </c>
      <c r="BJP37" t="str">
        <f>SOFR3mo_PX[[#This Row],[Column1628]]</f>
        <v>#N/A N/A</v>
      </c>
      <c r="BJQ37" t="str">
        <f>SOFR3mo_PX[[#This Row],[Column1629]]</f>
        <v>#N/A N/A</v>
      </c>
      <c r="BJR37" t="str">
        <f>SOFR3mo_PX[[#This Row],[Column1630]]</f>
        <v>#N/A N/A</v>
      </c>
      <c r="BJS37" t="str">
        <f>SOFR3mo_PX[[#This Row],[Column1631]]</f>
        <v>#N/A N/A</v>
      </c>
      <c r="BJT37" t="str">
        <f>SOFR3mo_PX[[#This Row],[Column1632]]</f>
        <v>#N/A N/A</v>
      </c>
      <c r="BJU37" t="str">
        <f>SOFR3mo_PX[[#This Row],[Column1633]]</f>
        <v>#N/A N/A</v>
      </c>
      <c r="BJV37" t="str">
        <f>SOFR3mo_PX[[#This Row],[Column1634]]</f>
        <v>#N/A N/A</v>
      </c>
      <c r="BJW37" t="str">
        <f>SOFR3mo_PX[[#This Row],[Column1635]]</f>
        <v>#N/A N/A</v>
      </c>
      <c r="BJX37" t="str">
        <f>SOFR3mo_PX[[#This Row],[Column1636]]</f>
        <v>#N/A N/A</v>
      </c>
      <c r="BJY37" t="str">
        <f>SOFR3mo_PX[[#This Row],[Column1637]]</f>
        <v>#N/A N/A</v>
      </c>
      <c r="BJZ37" t="str">
        <f>SOFR3mo_PX[[#This Row],[Column1638]]</f>
        <v>#N/A N/A</v>
      </c>
      <c r="BKA37" t="str">
        <f>SOFR3mo_PX[[#This Row],[Column1639]]</f>
        <v>#N/A N/A</v>
      </c>
      <c r="BKB37" t="str">
        <f>SOFR3mo_PX[[#This Row],[Column1640]]</f>
        <v>#N/A N/A</v>
      </c>
      <c r="BKC37" t="str">
        <f>SOFR3mo_PX[[#This Row],[Column1641]]</f>
        <v>#N/A N/A</v>
      </c>
      <c r="BKD37" t="str">
        <f>SOFR3mo_PX[[#This Row],[Column1642]]</f>
        <v>#N/A N/A</v>
      </c>
      <c r="BKE37" t="str">
        <f>SOFR3mo_PX[[#This Row],[Column1643]]</f>
        <v>#N/A N/A</v>
      </c>
      <c r="BKF37" t="str">
        <f>SOFR3mo_PX[[#This Row],[Column1644]]</f>
        <v>#N/A N/A</v>
      </c>
      <c r="BKG37" t="str">
        <f>SOFR3mo_PX[[#This Row],[Column1645]]</f>
        <v>#N/A N/A</v>
      </c>
      <c r="BKH37" t="str">
        <f>SOFR3mo_PX[[#This Row],[Column1646]]</f>
        <v>#N/A N/A</v>
      </c>
      <c r="BKI37" t="str">
        <f>SOFR3mo_PX[[#This Row],[Column1647]]</f>
        <v>#N/A N/A</v>
      </c>
      <c r="BKJ37" t="str">
        <f>SOFR3mo_PX[[#This Row],[Column1648]]</f>
        <v>#N/A N/A</v>
      </c>
      <c r="BKK37" t="str">
        <f>SOFR3mo_PX[[#This Row],[Column1649]]</f>
        <v>#N/A N/A</v>
      </c>
      <c r="BKL37" t="str">
        <f>SOFR3mo_PX[[#This Row],[Column1650]]</f>
        <v>#N/A N/A</v>
      </c>
      <c r="BKM37" t="str">
        <f>SOFR3mo_PX[[#This Row],[Column1651]]</f>
        <v>#N/A N/A</v>
      </c>
      <c r="BKN37" t="str">
        <f>SOFR3mo_PX[[#This Row],[Column1652]]</f>
        <v>#N/A N/A</v>
      </c>
      <c r="BKO37" t="str">
        <f>SOFR3mo_PX[[#This Row],[Column1653]]</f>
        <v>#N/A N/A</v>
      </c>
      <c r="BKP37" t="str">
        <f>SOFR3mo_PX[[#This Row],[Column1654]]</f>
        <v>#N/A N/A</v>
      </c>
      <c r="BKQ37" t="str">
        <f>SOFR3mo_PX[[#This Row],[Column1655]]</f>
        <v>#N/A N/A</v>
      </c>
      <c r="BKR37" t="str">
        <f>SOFR3mo_PX[[#This Row],[Column1656]]</f>
        <v>#N/A N/A</v>
      </c>
      <c r="BKS37" t="str">
        <f>SOFR3mo_PX[[#This Row],[Column1657]]</f>
        <v>#N/A N/A</v>
      </c>
      <c r="BKT37" t="str">
        <f>SOFR3mo_PX[[#This Row],[Column1658]]</f>
        <v>#N/A N/A</v>
      </c>
      <c r="BKU37" t="str">
        <f>SOFR3mo_PX[[#This Row],[Column1659]]</f>
        <v>#N/A N/A</v>
      </c>
      <c r="BKV37" t="str">
        <f>SOFR3mo_PX[[#This Row],[Column1660]]</f>
        <v>#N/A N/A</v>
      </c>
      <c r="BKW37" t="str">
        <f>SOFR3mo_PX[[#This Row],[Column1661]]</f>
        <v>#N/A N/A</v>
      </c>
      <c r="BKX37" t="str">
        <f>SOFR3mo_PX[[#This Row],[Column1662]]</f>
        <v>#N/A N/A</v>
      </c>
      <c r="BKY37" t="str">
        <f>SOFR3mo_PX[[#This Row],[Column1663]]</f>
        <v>#N/A N/A</v>
      </c>
      <c r="BKZ37" t="str">
        <f>SOFR3mo_PX[[#This Row],[Column1664]]</f>
        <v>#N/A N/A</v>
      </c>
      <c r="BLA37" t="str">
        <f>SOFR3mo_PX[[#This Row],[Column1665]]</f>
        <v>#N/A N/A</v>
      </c>
      <c r="BLB37" t="str">
        <f>SOFR3mo_PX[[#This Row],[Column1666]]</f>
        <v>#N/A N/A</v>
      </c>
      <c r="BLC37" t="str">
        <f>SOFR3mo_PX[[#This Row],[Column1667]]</f>
        <v>#N/A N/A</v>
      </c>
      <c r="BLD37" t="str">
        <f>SOFR3mo_PX[[#This Row],[Column1668]]</f>
        <v>#N/A N/A</v>
      </c>
      <c r="BLE37" t="str">
        <f>SOFR3mo_PX[[#This Row],[Column1669]]</f>
        <v>#N/A N/A</v>
      </c>
      <c r="BLF37" t="str">
        <f>SOFR3mo_PX[[#This Row],[Column1670]]</f>
        <v>#N/A N/A</v>
      </c>
      <c r="BLG37" t="str">
        <f>SOFR3mo_PX[[#This Row],[Column1671]]</f>
        <v>#N/A N/A</v>
      </c>
      <c r="BLH37" t="str">
        <f>SOFR3mo_PX[[#This Row],[Column1672]]</f>
        <v>#N/A N/A</v>
      </c>
      <c r="BLI37" t="str">
        <f>SOFR3mo_PX[[#This Row],[Column1673]]</f>
        <v>#N/A N/A</v>
      </c>
      <c r="BLJ37" t="str">
        <f>SOFR3mo_PX[[#This Row],[Column1674]]</f>
        <v>#N/A N/A</v>
      </c>
      <c r="BLK37" t="str">
        <f>SOFR3mo_PX[[#This Row],[Column1675]]</f>
        <v>#N/A N/A</v>
      </c>
      <c r="BLL37" t="str">
        <f>SOFR3mo_PX[[#This Row],[Column1676]]</f>
        <v>#N/A N/A</v>
      </c>
      <c r="BLM37" t="str">
        <f>SOFR3mo_PX[[#This Row],[Column1677]]</f>
        <v>#N/A N/A</v>
      </c>
      <c r="BLN37" t="str">
        <f>SOFR3mo_PX[[#This Row],[Column1678]]</f>
        <v>#N/A N/A</v>
      </c>
      <c r="BLO37" t="str">
        <f>SOFR3mo_PX[[#This Row],[Column1679]]</f>
        <v>#N/A N/A</v>
      </c>
      <c r="BLP37" t="str">
        <f>SOFR3mo_PX[[#This Row],[Column1680]]</f>
        <v>#N/A N/A</v>
      </c>
      <c r="BLQ37" t="str">
        <f>SOFR3mo_PX[[#This Row],[Column1681]]</f>
        <v>#N/A N/A</v>
      </c>
      <c r="BLR37" t="str">
        <f>SOFR3mo_PX[[#This Row],[Column1682]]</f>
        <v>#N/A N/A</v>
      </c>
      <c r="BLS37" t="str">
        <f>SOFR3mo_PX[[#This Row],[Column1683]]</f>
        <v>#N/A N/A</v>
      </c>
      <c r="BLT37" t="str">
        <f>SOFR3mo_PX[[#This Row],[Column1684]]</f>
        <v>#N/A N/A</v>
      </c>
      <c r="BLU37" t="str">
        <f>SOFR3mo_PX[[#This Row],[Column1685]]</f>
        <v>#N/A N/A</v>
      </c>
      <c r="BLV37" t="str">
        <f>SOFR3mo_PX[[#This Row],[Column1686]]</f>
        <v>#N/A N/A</v>
      </c>
      <c r="BLW37" t="str">
        <f>SOFR3mo_PX[[#This Row],[Column1687]]</f>
        <v>#N/A N/A</v>
      </c>
      <c r="BLX37" t="str">
        <f>SOFR3mo_PX[[#This Row],[Column1688]]</f>
        <v>#N/A N/A</v>
      </c>
      <c r="BLY37" t="str">
        <f>SOFR3mo_PX[[#This Row],[Column1689]]</f>
        <v>#N/A N/A</v>
      </c>
      <c r="BLZ37" t="str">
        <f>SOFR3mo_PX[[#This Row],[Column1690]]</f>
        <v>#N/A N/A</v>
      </c>
      <c r="BMA37" t="str">
        <f>SOFR3mo_PX[[#This Row],[Column1691]]</f>
        <v>#N/A N/A</v>
      </c>
      <c r="BMB37" t="str">
        <f>SOFR3mo_PX[[#This Row],[Column1692]]</f>
        <v>#N/A N/A</v>
      </c>
      <c r="BMC37" t="str">
        <f>SOFR3mo_PX[[#This Row],[Column1693]]</f>
        <v>#N/A N/A</v>
      </c>
      <c r="BMD37" t="str">
        <f>SOFR3mo_PX[[#This Row],[Column1694]]</f>
        <v>#N/A N/A</v>
      </c>
      <c r="BME37" t="str">
        <f>SOFR3mo_PX[[#This Row],[Column1695]]</f>
        <v>#N/A N/A</v>
      </c>
      <c r="BMF37" t="str">
        <f>SOFR3mo_PX[[#This Row],[Column1696]]</f>
        <v>#N/A N/A</v>
      </c>
      <c r="BMG37" t="str">
        <f>SOFR3mo_PX[[#This Row],[Column1697]]</f>
        <v>#N/A N/A</v>
      </c>
      <c r="BMH37" t="str">
        <f>SOFR3mo_PX[[#This Row],[Column1698]]</f>
        <v>#N/A N/A</v>
      </c>
      <c r="BMI37" t="str">
        <f>SOFR3mo_PX[[#This Row],[Column1699]]</f>
        <v>#N/A N/A</v>
      </c>
      <c r="BMJ37" t="str">
        <f>SOFR3mo_PX[[#This Row],[Column1700]]</f>
        <v>#N/A N/A</v>
      </c>
      <c r="BMK37" t="str">
        <f>SOFR3mo_PX[[#This Row],[Column1701]]</f>
        <v>#N/A N/A</v>
      </c>
      <c r="BML37" t="str">
        <f>SOFR3mo_PX[[#This Row],[Column1702]]</f>
        <v>#N/A N/A</v>
      </c>
      <c r="BMM37" t="str">
        <f>SOFR3mo_PX[[#This Row],[Column1703]]</f>
        <v>#N/A N/A</v>
      </c>
      <c r="BMN37" t="str">
        <f>SOFR3mo_PX[[#This Row],[Column1704]]</f>
        <v>#N/A N/A</v>
      </c>
      <c r="BMO37" t="str">
        <f>SOFR3mo_PX[[#This Row],[Column1705]]</f>
        <v>#N/A N/A</v>
      </c>
      <c r="BMP37" t="str">
        <f>SOFR3mo_PX[[#This Row],[Column1706]]</f>
        <v>#N/A N/A</v>
      </c>
      <c r="BMQ37" t="str">
        <f>SOFR3mo_PX[[#This Row],[Column1707]]</f>
        <v>#N/A N/A</v>
      </c>
      <c r="BMR37" t="str">
        <f>SOFR3mo_PX[[#This Row],[Column1708]]</f>
        <v>#N/A N/A</v>
      </c>
      <c r="BMS37" t="str">
        <f>SOFR3mo_PX[[#This Row],[Column1709]]</f>
        <v>#N/A N/A</v>
      </c>
      <c r="BMT37" t="str">
        <f>SOFR3mo_PX[[#This Row],[Column1710]]</f>
        <v>#N/A N/A</v>
      </c>
      <c r="BMU37" t="str">
        <f>SOFR3mo_PX[[#This Row],[Column1711]]</f>
        <v>#N/A N/A</v>
      </c>
      <c r="BMV37" t="str">
        <f>SOFR3mo_PX[[#This Row],[Column1712]]</f>
        <v>#N/A N/A</v>
      </c>
      <c r="BMW37" t="str">
        <f>SOFR3mo_PX[[#This Row],[Column1713]]</f>
        <v>#N/A N/A</v>
      </c>
      <c r="BMX37" t="str">
        <f>SOFR3mo_PX[[#This Row],[Column1714]]</f>
        <v>#N/A N/A</v>
      </c>
      <c r="BMY37" t="str">
        <f>SOFR3mo_PX[[#This Row],[Column1715]]</f>
        <v>#N/A N/A</v>
      </c>
      <c r="BMZ37" t="str">
        <f>SOFR3mo_PX[[#This Row],[Column1716]]</f>
        <v>#N/A N/A</v>
      </c>
      <c r="BNA37" t="str">
        <f>SOFR3mo_PX[[#This Row],[Column1717]]</f>
        <v>#N/A N/A</v>
      </c>
      <c r="BNB37" t="str">
        <f>SOFR3mo_PX[[#This Row],[Column1718]]</f>
        <v>#N/A N/A</v>
      </c>
      <c r="BNC37" t="str">
        <f>SOFR3mo_PX[[#This Row],[Column1719]]</f>
        <v>#N/A N/A</v>
      </c>
      <c r="BND37" t="str">
        <f>SOFR3mo_PX[[#This Row],[Column1720]]</f>
        <v>#N/A N/A</v>
      </c>
      <c r="BNE37" t="str">
        <f>SOFR3mo_PX[[#This Row],[Column1721]]</f>
        <v>#N/A N/A</v>
      </c>
      <c r="BNF37" t="str">
        <f>SOFR3mo_PX[[#This Row],[Column1722]]</f>
        <v>#N/A N/A</v>
      </c>
      <c r="BNG37" t="str">
        <f>SOFR3mo_PX[[#This Row],[Column1723]]</f>
        <v>#N/A N/A</v>
      </c>
      <c r="BNH37" t="str">
        <f>SOFR3mo_PX[[#This Row],[Column1724]]</f>
        <v>#N/A N/A</v>
      </c>
      <c r="BNI37" t="str">
        <f>SOFR3mo_PX[[#This Row],[Column1725]]</f>
        <v>#N/A N/A</v>
      </c>
      <c r="BNJ37" t="str">
        <f>SOFR3mo_PX[[#This Row],[Column1726]]</f>
        <v>#N/A N/A</v>
      </c>
      <c r="BNK37" t="str">
        <f>SOFR3mo_PX[[#This Row],[Column1727]]</f>
        <v>#N/A N/A</v>
      </c>
      <c r="BNL37" t="str">
        <f>SOFR3mo_PX[[#This Row],[Column1728]]</f>
        <v>#N/A N/A</v>
      </c>
      <c r="BNM37" t="str">
        <f>SOFR3mo_PX[[#This Row],[Column1729]]</f>
        <v>#N/A N/A</v>
      </c>
      <c r="BNN37" t="str">
        <f>SOFR3mo_PX[[#This Row],[Column1730]]</f>
        <v>#N/A N/A</v>
      </c>
      <c r="BNO37" t="str">
        <f>SOFR3mo_PX[[#This Row],[Column1731]]</f>
        <v>#N/A N/A</v>
      </c>
      <c r="BNP37" t="str">
        <f>SOFR3mo_PX[[#This Row],[Column1732]]</f>
        <v>#N/A N/A</v>
      </c>
      <c r="BNQ37" t="str">
        <f>SOFR3mo_PX[[#This Row],[Column1733]]</f>
        <v>#N/A N/A</v>
      </c>
      <c r="BNR37" t="str">
        <f>SOFR3mo_PX[[#This Row],[Column1734]]</f>
        <v>#N/A N/A</v>
      </c>
      <c r="BNS37" t="str">
        <f>SOFR3mo_PX[[#This Row],[Column1735]]</f>
        <v>#N/A N/A</v>
      </c>
      <c r="BNT37" t="str">
        <f>SOFR3mo_PX[[#This Row],[Column1736]]</f>
        <v>#N/A N/A</v>
      </c>
      <c r="BNU37" t="str">
        <f>SOFR3mo_PX[[#This Row],[Column1737]]</f>
        <v>#N/A N/A</v>
      </c>
      <c r="BNV37" t="str">
        <f>SOFR3mo_PX[[#This Row],[Column1738]]</f>
        <v>#N/A N/A</v>
      </c>
      <c r="BNW37" t="str">
        <f>SOFR3mo_PX[[#This Row],[Column1739]]</f>
        <v>#N/A N/A</v>
      </c>
      <c r="BNX37" t="str">
        <f>SOFR3mo_PX[[#This Row],[Column1740]]</f>
        <v>#N/A N/A</v>
      </c>
      <c r="BNY37" t="str">
        <f>SOFR3mo_PX[[#This Row],[Column1741]]</f>
        <v>#N/A N/A</v>
      </c>
      <c r="BNZ37" t="str">
        <f>SOFR3mo_PX[[#This Row],[Column1742]]</f>
        <v>#N/A N/A</v>
      </c>
      <c r="BOA37" t="str">
        <f>SOFR3mo_PX[[#This Row],[Column1743]]</f>
        <v>#N/A N/A</v>
      </c>
      <c r="BOB37" t="str">
        <f>SOFR3mo_PX[[#This Row],[Column1744]]</f>
        <v>#N/A N/A</v>
      </c>
      <c r="BOC37" t="str">
        <f>SOFR3mo_PX[[#This Row],[Column1745]]</f>
        <v>#N/A N/A</v>
      </c>
      <c r="BOD37" t="str">
        <f>SOFR3mo_PX[[#This Row],[Column1746]]</f>
        <v>#N/A N/A</v>
      </c>
      <c r="BOE37" t="str">
        <f>SOFR3mo_PX[[#This Row],[Column1747]]</f>
        <v>#N/A N/A</v>
      </c>
      <c r="BOF37" t="str">
        <f>SOFR3mo_PX[[#This Row],[Column1748]]</f>
        <v>#N/A N/A</v>
      </c>
      <c r="BOG37" t="str">
        <f>SOFR3mo_PX[[#This Row],[Column1749]]</f>
        <v>#N/A N/A</v>
      </c>
      <c r="BOH37" t="str">
        <f>SOFR3mo_PX[[#This Row],[Column1750]]</f>
        <v>#N/A N/A</v>
      </c>
      <c r="BOI37" t="str">
        <f>SOFR3mo_PX[[#This Row],[Column1751]]</f>
        <v>#N/A N/A</v>
      </c>
      <c r="BOJ37" t="str">
        <f>SOFR3mo_PX[[#This Row],[Column1752]]</f>
        <v>#N/A N/A</v>
      </c>
      <c r="BOK37" t="str">
        <f>SOFR3mo_PX[[#This Row],[Column1753]]</f>
        <v>#N/A N/A</v>
      </c>
      <c r="BOL37" t="str">
        <f>SOFR3mo_PX[[#This Row],[Column1754]]</f>
        <v>#N/A N/A</v>
      </c>
      <c r="BOM37" t="str">
        <f>SOFR3mo_PX[[#This Row],[Column1755]]</f>
        <v>#N/A N/A</v>
      </c>
      <c r="BON37" t="str">
        <f>SOFR3mo_PX[[#This Row],[Column1756]]</f>
        <v>#N/A N/A</v>
      </c>
      <c r="BOO37" t="str">
        <f>SOFR3mo_PX[[#This Row],[Column1757]]</f>
        <v>#N/A N/A</v>
      </c>
      <c r="BOP37" t="str">
        <f>SOFR3mo_PX[[#This Row],[Column1758]]</f>
        <v>#N/A N/A</v>
      </c>
      <c r="BOQ37" t="str">
        <f>SOFR3mo_PX[[#This Row],[Column1759]]</f>
        <v>#N/A N/A</v>
      </c>
      <c r="BOR37" t="str">
        <f>SOFR3mo_PX[[#This Row],[Column1760]]</f>
        <v>#N/A N/A</v>
      </c>
      <c r="BOS37" t="str">
        <f>SOFR3mo_PX[[#This Row],[Column1761]]</f>
        <v>#N/A N/A</v>
      </c>
      <c r="BOT37" t="str">
        <f>SOFR3mo_PX[[#This Row],[Column1762]]</f>
        <v>#N/A N/A</v>
      </c>
      <c r="BOU37" t="str">
        <f>SOFR3mo_PX[[#This Row],[Column1763]]</f>
        <v>#N/A N/A</v>
      </c>
      <c r="BOV37" t="str">
        <f>SOFR3mo_PX[[#This Row],[Column1764]]</f>
        <v>#N/A N/A</v>
      </c>
      <c r="BOW37" t="str">
        <f>SOFR3mo_PX[[#This Row],[Column1765]]</f>
        <v>#N/A N/A</v>
      </c>
      <c r="BOX37" t="str">
        <f>SOFR3mo_PX[[#This Row],[Column1766]]</f>
        <v>#N/A N/A</v>
      </c>
      <c r="BOY37" t="str">
        <f>SOFR3mo_PX[[#This Row],[Column1767]]</f>
        <v>#N/A N/A</v>
      </c>
      <c r="BOZ37" t="str">
        <f>SOFR3mo_PX[[#This Row],[Column1768]]</f>
        <v>#N/A N/A</v>
      </c>
      <c r="BPA37" t="str">
        <f>SOFR3mo_PX[[#This Row],[Column1769]]</f>
        <v>#N/A N/A</v>
      </c>
      <c r="BPB37" t="str">
        <f>SOFR3mo_PX[[#This Row],[Column1770]]</f>
        <v>#N/A N/A</v>
      </c>
      <c r="BPC37" t="str">
        <f>SOFR3mo_PX[[#This Row],[Column1771]]</f>
        <v>#N/A N/A</v>
      </c>
      <c r="BPD37" t="str">
        <f>SOFR3mo_PX[[#This Row],[Column1772]]</f>
        <v>#N/A N/A</v>
      </c>
      <c r="BPE37" t="str">
        <f>SOFR3mo_PX[[#This Row],[Column1773]]</f>
        <v>#N/A N/A</v>
      </c>
      <c r="BPF37" t="str">
        <f>SOFR3mo_PX[[#This Row],[Column1774]]</f>
        <v>#N/A N/A</v>
      </c>
      <c r="BPG37" t="str">
        <f>SOFR3mo_PX[[#This Row],[Column1775]]</f>
        <v>#N/A N/A</v>
      </c>
      <c r="BPH37" t="str">
        <f>SOFR3mo_PX[[#This Row],[Column1776]]</f>
        <v>#N/A N/A</v>
      </c>
      <c r="BPI37" t="str">
        <f>SOFR3mo_PX[[#This Row],[Column1777]]</f>
        <v>#N/A N/A</v>
      </c>
      <c r="BPJ37" t="str">
        <f>SOFR3mo_PX[[#This Row],[Column1778]]</f>
        <v>#N/A N/A</v>
      </c>
      <c r="BPK37" t="str">
        <f>SOFR3mo_PX[[#This Row],[Column1779]]</f>
        <v>#N/A N/A</v>
      </c>
      <c r="BPL37" t="str">
        <f>SOFR3mo_PX[[#This Row],[Column1780]]</f>
        <v>#N/A N/A</v>
      </c>
      <c r="BPM37" t="str">
        <f>SOFR3mo_PX[[#This Row],[Column1781]]</f>
        <v>#N/A N/A</v>
      </c>
      <c r="BPN37" t="str">
        <f>SOFR3mo_PX[[#This Row],[Column1782]]</f>
        <v>#N/A N/A</v>
      </c>
      <c r="BPO37" t="str">
        <f>SOFR3mo_PX[[#This Row],[Column1783]]</f>
        <v>#N/A N/A</v>
      </c>
      <c r="BPP37" t="str">
        <f>SOFR3mo_PX[[#This Row],[Column1784]]</f>
        <v>#N/A N/A</v>
      </c>
      <c r="BPQ37" t="str">
        <f>SOFR3mo_PX[[#This Row],[Column1785]]</f>
        <v>#N/A N/A</v>
      </c>
      <c r="BPR37" t="str">
        <f>SOFR3mo_PX[[#This Row],[Column1786]]</f>
        <v>#N/A N/A</v>
      </c>
      <c r="BPS37" t="str">
        <f>SOFR3mo_PX[[#This Row],[Column1787]]</f>
        <v>#N/A N/A</v>
      </c>
      <c r="BPT37" t="str">
        <f>SOFR3mo_PX[[#This Row],[Column1788]]</f>
        <v>#N/A N/A</v>
      </c>
      <c r="BPU37" t="str">
        <f>SOFR3mo_PX[[#This Row],[Column1789]]</f>
        <v>#N/A N/A</v>
      </c>
      <c r="BPV37" t="str">
        <f>SOFR3mo_PX[[#This Row],[Column1790]]</f>
        <v>#N/A N/A</v>
      </c>
      <c r="BPW37" t="str">
        <f>SOFR3mo_PX[[#This Row],[Column1791]]</f>
        <v>#N/A N/A</v>
      </c>
      <c r="BPX37" t="str">
        <f>SOFR3mo_PX[[#This Row],[Column1792]]</f>
        <v>#N/A N/A</v>
      </c>
      <c r="BPY37" t="str">
        <f>SOFR3mo_PX[[#This Row],[Column1793]]</f>
        <v>#N/A N/A</v>
      </c>
      <c r="BPZ37" t="str">
        <f>SOFR3mo_PX[[#This Row],[Column1794]]</f>
        <v>#N/A N/A</v>
      </c>
      <c r="BQA37" t="str">
        <f>SOFR3mo_PX[[#This Row],[Column1795]]</f>
        <v>#N/A N/A</v>
      </c>
      <c r="BQB37" t="str">
        <f>SOFR3mo_PX[[#This Row],[Column1796]]</f>
        <v>#N/A N/A</v>
      </c>
      <c r="BQC37" t="str">
        <f>SOFR3mo_PX[[#This Row],[Column1797]]</f>
        <v>#N/A N/A</v>
      </c>
      <c r="BQD37" t="str">
        <f>SOFR3mo_PX[[#This Row],[Column1798]]</f>
        <v>#N/A N/A</v>
      </c>
      <c r="BQE37" t="str">
        <f>SOFR3mo_PX[[#This Row],[Column1799]]</f>
        <v>#N/A N/A</v>
      </c>
      <c r="BQF37" t="str">
        <f>SOFR3mo_PX[[#This Row],[Column1800]]</f>
        <v>#N/A N/A</v>
      </c>
      <c r="BQG37" t="str">
        <f>SOFR3mo_PX[[#This Row],[Column1801]]</f>
        <v>#N/A N/A</v>
      </c>
      <c r="BQH37" t="str">
        <f>SOFR3mo_PX[[#This Row],[Column1802]]</f>
        <v>#N/A N/A</v>
      </c>
      <c r="BQI37" t="str">
        <f>SOFR3mo_PX[[#This Row],[Column1803]]</f>
        <v>#N/A N/A</v>
      </c>
      <c r="BQJ37" t="str">
        <f>SOFR3mo_PX[[#This Row],[Column1804]]</f>
        <v>#N/A N/A</v>
      </c>
      <c r="BQK37" t="str">
        <f>SOFR3mo_PX[[#This Row],[Column1805]]</f>
        <v>#N/A N/A</v>
      </c>
      <c r="BQL37" t="str">
        <f>SOFR3mo_PX[[#This Row],[Column1806]]</f>
        <v>#N/A N/A</v>
      </c>
      <c r="BQM37" t="str">
        <f>SOFR3mo_PX[[#This Row],[Column1807]]</f>
        <v>#N/A N/A</v>
      </c>
      <c r="BQN37" t="str">
        <f>SOFR3mo_PX[[#This Row],[Column1808]]</f>
        <v>#N/A N/A</v>
      </c>
      <c r="BQO37" t="str">
        <f>SOFR3mo_PX[[#This Row],[Column1809]]</f>
        <v>#N/A N/A</v>
      </c>
      <c r="BQP37" t="str">
        <f>SOFR3mo_PX[[#This Row],[Column1810]]</f>
        <v>#N/A N/A</v>
      </c>
      <c r="BQQ37" t="str">
        <f>SOFR3mo_PX[[#This Row],[Column1811]]</f>
        <v>#N/A N/A</v>
      </c>
      <c r="BQR37" t="str">
        <f>SOFR3mo_PX[[#This Row],[Column1812]]</f>
        <v>#N/A N/A</v>
      </c>
      <c r="BQS37" t="str">
        <f>SOFR3mo_PX[[#This Row],[Column1813]]</f>
        <v>#N/A N/A</v>
      </c>
      <c r="BQT37" t="str">
        <f>SOFR3mo_PX[[#This Row],[Column1814]]</f>
        <v>#N/A N/A</v>
      </c>
      <c r="BQU37" t="str">
        <f>SOFR3mo_PX[[#This Row],[Column1815]]</f>
        <v>#N/A N/A</v>
      </c>
      <c r="BQV37" t="str">
        <f>SOFR3mo_PX[[#This Row],[Column1816]]</f>
        <v>#N/A N/A</v>
      </c>
      <c r="BQW37" t="str">
        <f>SOFR3mo_PX[[#This Row],[Column1817]]</f>
        <v>#N/A N/A</v>
      </c>
      <c r="BQX37" t="str">
        <f>SOFR3mo_PX[[#This Row],[Column1818]]</f>
        <v>#N/A N/A</v>
      </c>
      <c r="BQY37" t="str">
        <f>SOFR3mo_PX[[#This Row],[Column1819]]</f>
        <v>#N/A N/A</v>
      </c>
      <c r="BQZ37" t="str">
        <f>SOFR3mo_PX[[#This Row],[Column1820]]</f>
        <v>#N/A N/A</v>
      </c>
      <c r="BRA37" t="str">
        <f>SOFR3mo_PX[[#This Row],[Column1821]]</f>
        <v>#N/A N/A</v>
      </c>
      <c r="BRB37" t="str">
        <f>SOFR3mo_PX[[#This Row],[Column1822]]</f>
        <v>#N/A N/A</v>
      </c>
      <c r="BRC37" t="str">
        <f>SOFR3mo_PX[[#This Row],[Column1823]]</f>
        <v>#N/A N/A</v>
      </c>
      <c r="BRD37" t="str">
        <f>SOFR3mo_PX[[#This Row],[Column1824]]</f>
        <v>#N/A N/A</v>
      </c>
      <c r="BRE37" t="str">
        <f>SOFR3mo_PX[[#This Row],[Column1825]]</f>
        <v>#N/A N/A</v>
      </c>
      <c r="BRF37" t="str">
        <f>SOFR3mo_PX[[#This Row],[Column1826]]</f>
        <v>#N/A N/A</v>
      </c>
      <c r="BRG37" t="str">
        <f>SOFR3mo_PX[[#This Row],[Column1827]]</f>
        <v>#N/A N/A</v>
      </c>
      <c r="BRH37" t="str">
        <f>SOFR3mo_PX[[#This Row],[Column1828]]</f>
        <v>#N/A N/A</v>
      </c>
      <c r="BRI37" t="str">
        <f>SOFR3mo_PX[[#This Row],[Column1829]]</f>
        <v>#N/A N/A</v>
      </c>
      <c r="BRJ37" t="str">
        <f>SOFR3mo_PX[[#This Row],[Column1830]]</f>
        <v>#N/A N/A</v>
      </c>
      <c r="BRK37" t="str">
        <f>SOFR3mo_PX[[#This Row],[Column1831]]</f>
        <v>#N/A N/A</v>
      </c>
      <c r="BRL37" t="str">
        <f>SOFR3mo_PX[[#This Row],[Column1832]]</f>
        <v>#N/A N/A</v>
      </c>
      <c r="BRM37" t="str">
        <f>SOFR3mo_PX[[#This Row],[Column1833]]</f>
        <v>#N/A N/A</v>
      </c>
      <c r="BRN37" t="str">
        <f>SOFR3mo_PX[[#This Row],[Column1834]]</f>
        <v>#N/A N/A</v>
      </c>
      <c r="BRO37" t="str">
        <f>SOFR3mo_PX[[#This Row],[Column1835]]</f>
        <v>#N/A N/A</v>
      </c>
      <c r="BRP37" t="str">
        <f>SOFR3mo_PX[[#This Row],[Column1836]]</f>
        <v>#N/A N/A</v>
      </c>
      <c r="BRQ37" t="str">
        <f>SOFR3mo_PX[[#This Row],[Column1837]]</f>
        <v>#N/A N/A</v>
      </c>
      <c r="BRR37" t="str">
        <f>SOFR3mo_PX[[#This Row],[Column1838]]</f>
        <v>#N/A N/A</v>
      </c>
      <c r="BRS37" t="str">
        <f>SOFR3mo_PX[[#This Row],[Column1839]]</f>
        <v>#N/A N/A</v>
      </c>
      <c r="BRT37" t="str">
        <f>SOFR3mo_PX[[#This Row],[Column1840]]</f>
        <v>#N/A N/A</v>
      </c>
      <c r="BRU37" t="str">
        <f>SOFR3mo_PX[[#This Row],[Column1841]]</f>
        <v>#N/A N/A</v>
      </c>
      <c r="BRV37" t="str">
        <f>SOFR3mo_PX[[#This Row],[Column1842]]</f>
        <v>#N/A N/A</v>
      </c>
      <c r="BRW37" t="str">
        <f>SOFR3mo_PX[[#This Row],[Column1843]]</f>
        <v>#N/A N/A</v>
      </c>
      <c r="BRX37" t="str">
        <f>SOFR3mo_PX[[#This Row],[Column1844]]</f>
        <v>#N/A N/A</v>
      </c>
      <c r="BRY37" t="str">
        <f>SOFR3mo_PX[[#This Row],[Column1845]]</f>
        <v>#N/A N/A</v>
      </c>
      <c r="BRZ37" t="str">
        <f>SOFR3mo_PX[[#This Row],[Column1846]]</f>
        <v>#N/A N/A</v>
      </c>
      <c r="BSA37" t="str">
        <f>SOFR3mo_PX[[#This Row],[Column1847]]</f>
        <v>#N/A N/A</v>
      </c>
      <c r="BSB37" t="str">
        <f>SOFR3mo_PX[[#This Row],[Column1848]]</f>
        <v>#N/A N/A</v>
      </c>
      <c r="BSC37" t="str">
        <f>SOFR3mo_PX[[#This Row],[Column1849]]</f>
        <v>#N/A N/A</v>
      </c>
      <c r="BSD37" t="str">
        <f>SOFR3mo_PX[[#This Row],[Column1850]]</f>
        <v>#N/A N/A</v>
      </c>
      <c r="BSE37" t="str">
        <f>SOFR3mo_PX[[#This Row],[Column1851]]</f>
        <v>#N/A N/A</v>
      </c>
      <c r="BSF37" t="str">
        <f>SOFR3mo_PX[[#This Row],[Column1852]]</f>
        <v>#N/A N/A</v>
      </c>
      <c r="BSG37" t="str">
        <f>SOFR3mo_PX[[#This Row],[Column1853]]</f>
        <v>#N/A N/A</v>
      </c>
      <c r="BSH37" t="str">
        <f>SOFR3mo_PX[[#This Row],[Column1854]]</f>
        <v>#N/A N/A</v>
      </c>
      <c r="BSI37" t="str">
        <f>SOFR3mo_PX[[#This Row],[Column1855]]</f>
        <v>#N/A N/A</v>
      </c>
      <c r="BSJ37" t="str">
        <f>SOFR3mo_PX[[#This Row],[Column1856]]</f>
        <v>#N/A N/A</v>
      </c>
      <c r="BSK37" t="str">
        <f>SOFR3mo_PX[[#This Row],[Column1857]]</f>
        <v>#N/A N/A</v>
      </c>
      <c r="BSL37" t="str">
        <f>SOFR3mo_PX[[#This Row],[Column1858]]</f>
        <v>#N/A N/A</v>
      </c>
      <c r="BSM37" t="str">
        <f>SOFR3mo_PX[[#This Row],[Column1859]]</f>
        <v>#N/A N/A</v>
      </c>
      <c r="BSN37" t="str">
        <f>SOFR3mo_PX[[#This Row],[Column1860]]</f>
        <v>#N/A N/A</v>
      </c>
      <c r="BSO37" t="str">
        <f>SOFR3mo_PX[[#This Row],[Column1861]]</f>
        <v>#N/A N/A</v>
      </c>
      <c r="BSP37" t="str">
        <f>SOFR3mo_PX[[#This Row],[Column1862]]</f>
        <v>#N/A N/A</v>
      </c>
      <c r="BSQ37" t="str">
        <f>SOFR3mo_PX[[#This Row],[Column1863]]</f>
        <v>#N/A N/A</v>
      </c>
      <c r="BSR37" t="str">
        <f>SOFR3mo_PX[[#This Row],[Column1864]]</f>
        <v>#N/A N/A</v>
      </c>
      <c r="BSS37" t="str">
        <f>SOFR3mo_PX[[#This Row],[Column1865]]</f>
        <v>#N/A N/A</v>
      </c>
      <c r="BST37" t="str">
        <f>SOFR3mo_PX[[#This Row],[Column1866]]</f>
        <v>#N/A N/A</v>
      </c>
      <c r="BSU37" t="str">
        <f>SOFR3mo_PX[[#This Row],[Column1867]]</f>
        <v>#N/A N/A</v>
      </c>
      <c r="BSV37" t="str">
        <f>SOFR3mo_PX[[#This Row],[Column1868]]</f>
        <v>#N/A N/A</v>
      </c>
      <c r="BSW37" t="str">
        <f>SOFR3mo_PX[[#This Row],[Column1869]]</f>
        <v>#N/A N/A</v>
      </c>
      <c r="BSX37" t="str">
        <f>SOFR3mo_PX[[#This Row],[Column1870]]</f>
        <v>#N/A N/A</v>
      </c>
      <c r="BSY37" t="str">
        <f>SOFR3mo_PX[[#This Row],[Column1871]]</f>
        <v>#N/A N/A</v>
      </c>
      <c r="BSZ37" t="str">
        <f>SOFR3mo_PX[[#This Row],[Column1872]]</f>
        <v>#N/A N/A</v>
      </c>
      <c r="BTA37" t="str">
        <f>SOFR3mo_PX[[#This Row],[Column1873]]</f>
        <v>#N/A N/A</v>
      </c>
      <c r="BTB37" t="str">
        <f>SOFR3mo_PX[[#This Row],[Column1874]]</f>
        <v>#N/A N/A</v>
      </c>
      <c r="BTC37" t="str">
        <f>SOFR3mo_PX[[#This Row],[Column1875]]</f>
        <v>#N/A N/A</v>
      </c>
      <c r="BTD37" t="str">
        <f>SOFR3mo_PX[[#This Row],[Column1876]]</f>
        <v>#N/A N/A</v>
      </c>
      <c r="BTE37" t="str">
        <f>SOFR3mo_PX[[#This Row],[Column1877]]</f>
        <v>#N/A N/A</v>
      </c>
      <c r="BTF37" t="str">
        <f>SOFR3mo_PX[[#This Row],[Column1878]]</f>
        <v>#N/A N/A</v>
      </c>
      <c r="BTG37" t="str">
        <f>SOFR3mo_PX[[#This Row],[Column1879]]</f>
        <v>#N/A N/A</v>
      </c>
      <c r="BTH37" t="str">
        <f>SOFR3mo_PX[[#This Row],[Column1880]]</f>
        <v>#N/A N/A</v>
      </c>
      <c r="BTI37" t="str">
        <f>SOFR3mo_PX[[#This Row],[Column1881]]</f>
        <v>#N/A N/A</v>
      </c>
      <c r="BTJ37" t="str">
        <f>SOFR3mo_PX[[#This Row],[Column1882]]</f>
        <v>#N/A N/A</v>
      </c>
      <c r="BTK37" t="str">
        <f>SOFR3mo_PX[[#This Row],[Column1883]]</f>
        <v>#N/A N/A</v>
      </c>
      <c r="BTL37" t="str">
        <f>SOFR3mo_PX[[#This Row],[Column1884]]</f>
        <v>#N/A N/A</v>
      </c>
      <c r="BTM37" t="str">
        <f>SOFR3mo_PX[[#This Row],[Column1885]]</f>
        <v>#N/A N/A</v>
      </c>
      <c r="BTN37" t="str">
        <f>SOFR3mo_PX[[#This Row],[Column1886]]</f>
        <v>#N/A N/A</v>
      </c>
      <c r="BTO37" t="str">
        <f>SOFR3mo_PX[[#This Row],[Column1887]]</f>
        <v>#N/A N/A</v>
      </c>
      <c r="BTP37" t="str">
        <f>SOFR3mo_PX[[#This Row],[Column1888]]</f>
        <v>#N/A N/A</v>
      </c>
      <c r="BTQ37" t="str">
        <f>SOFR3mo_PX[[#This Row],[Column1889]]</f>
        <v>#N/A N/A</v>
      </c>
      <c r="BTR37" t="str">
        <f>SOFR3mo_PX[[#This Row],[Column1890]]</f>
        <v>#N/A N/A</v>
      </c>
      <c r="BTS37" t="str">
        <f>SOFR3mo_PX[[#This Row],[Column1891]]</f>
        <v>#N/A N/A</v>
      </c>
      <c r="BTT37" t="str">
        <f>SOFR3mo_PX[[#This Row],[Column1892]]</f>
        <v>#N/A N/A</v>
      </c>
      <c r="BTU37" t="str">
        <f>SOFR3mo_PX[[#This Row],[Column1893]]</f>
        <v>#N/A N/A</v>
      </c>
      <c r="BTV37" t="str">
        <f>SOFR3mo_PX[[#This Row],[Column1894]]</f>
        <v>#N/A N/A</v>
      </c>
      <c r="BTW37" t="str">
        <f>SOFR3mo_PX[[#This Row],[Column1895]]</f>
        <v>#N/A N/A</v>
      </c>
      <c r="BTX37" t="str">
        <f>SOFR3mo_PX[[#This Row],[Column1896]]</f>
        <v>#N/A N/A</v>
      </c>
      <c r="BTY37" t="str">
        <f>SOFR3mo_PX[[#This Row],[Column1897]]</f>
        <v>#N/A N/A</v>
      </c>
      <c r="BTZ37" t="str">
        <f>SOFR3mo_PX[[#This Row],[Column1898]]</f>
        <v>#N/A N/A</v>
      </c>
      <c r="BUA37" t="str">
        <f>SOFR3mo_PX[[#This Row],[Column1899]]</f>
        <v>#N/A N/A</v>
      </c>
      <c r="BUB37" t="str">
        <f>SOFR3mo_PX[[#This Row],[Column1900]]</f>
        <v>#N/A N/A</v>
      </c>
      <c r="BUC37" t="str">
        <f>SOFR3mo_PX[[#This Row],[Column1901]]</f>
        <v>#N/A N/A</v>
      </c>
      <c r="BUD37" t="str">
        <f>SOFR3mo_PX[[#This Row],[Column1902]]</f>
        <v>#N/A N/A</v>
      </c>
      <c r="BUE37" t="str">
        <f>SOFR3mo_PX[[#This Row],[Column1903]]</f>
        <v>#N/A N/A</v>
      </c>
      <c r="BUF37" t="str">
        <f>SOFR3mo_PX[[#This Row],[Column1904]]</f>
        <v>#N/A N/A</v>
      </c>
      <c r="BUG37" t="str">
        <f>SOFR3mo_PX[[#This Row],[Column1905]]</f>
        <v>#N/A N/A</v>
      </c>
      <c r="BUH37" t="str">
        <f>SOFR3mo_PX[[#This Row],[Column1906]]</f>
        <v>#N/A N/A</v>
      </c>
      <c r="BUI37" t="str">
        <f>SOFR3mo_PX[[#This Row],[Column1907]]</f>
        <v>#N/A N/A</v>
      </c>
      <c r="BUJ37" t="str">
        <f>SOFR3mo_PX[[#This Row],[Column1908]]</f>
        <v>#N/A N/A</v>
      </c>
      <c r="BUK37" t="str">
        <f>SOFR3mo_PX[[#This Row],[Column1909]]</f>
        <v>#N/A N/A</v>
      </c>
      <c r="BUL37" t="str">
        <f>SOFR3mo_PX[[#This Row],[Column1910]]</f>
        <v>#N/A N/A</v>
      </c>
      <c r="BUM37" t="str">
        <f>SOFR3mo_PX[[#This Row],[Column1911]]</f>
        <v>#N/A N/A</v>
      </c>
      <c r="BUN37" t="str">
        <f>SOFR3mo_PX[[#This Row],[Column1912]]</f>
        <v>#N/A N/A</v>
      </c>
      <c r="BUO37" t="str">
        <f>SOFR3mo_PX[[#This Row],[Column1913]]</f>
        <v>#N/A N/A</v>
      </c>
      <c r="BUP37" t="str">
        <f>SOFR3mo_PX[[#This Row],[Column1914]]</f>
        <v>#N/A N/A</v>
      </c>
      <c r="BUQ37" t="str">
        <f>SOFR3mo_PX[[#This Row],[Column1915]]</f>
        <v>#N/A N/A</v>
      </c>
      <c r="BUR37" t="str">
        <f>SOFR3mo_PX[[#This Row],[Column1916]]</f>
        <v>#N/A N/A</v>
      </c>
      <c r="BUS37" t="str">
        <f>SOFR3mo_PX[[#This Row],[Column1917]]</f>
        <v>#N/A N/A</v>
      </c>
      <c r="BUT37" t="str">
        <f>SOFR3mo_PX[[#This Row],[Column1918]]</f>
        <v>#N/A N/A</v>
      </c>
      <c r="BUU37" t="str">
        <f>SOFR3mo_PX[[#This Row],[Column1919]]</f>
        <v>#N/A N/A</v>
      </c>
      <c r="BUV37" t="str">
        <f>SOFR3mo_PX[[#This Row],[Column1920]]</f>
        <v>#N/A N/A</v>
      </c>
      <c r="BUW37" t="str">
        <f>SOFR3mo_PX[[#This Row],[Column1921]]</f>
        <v>#N/A N/A</v>
      </c>
      <c r="BUX37" t="str">
        <f>SOFR3mo_PX[[#This Row],[Column1922]]</f>
        <v>#N/A N/A</v>
      </c>
      <c r="BUY37" t="str">
        <f>SOFR3mo_PX[[#This Row],[Column1923]]</f>
        <v>#N/A N/A</v>
      </c>
      <c r="BUZ37" t="str">
        <f>SOFR3mo_PX[[#This Row],[Column1924]]</f>
        <v>#N/A N/A</v>
      </c>
      <c r="BVA37" t="str">
        <f>SOFR3mo_PX[[#This Row],[Column1925]]</f>
        <v>#N/A N/A</v>
      </c>
      <c r="BVB37" t="str">
        <f>SOFR3mo_PX[[#This Row],[Column1926]]</f>
        <v>#N/A N/A</v>
      </c>
      <c r="BVC37" t="str">
        <f>SOFR3mo_PX[[#This Row],[Column1927]]</f>
        <v>#N/A N/A</v>
      </c>
      <c r="BVD37" t="str">
        <f>SOFR3mo_PX[[#This Row],[Column1928]]</f>
        <v>#N/A N/A</v>
      </c>
      <c r="BVE37" t="str">
        <f>SOFR3mo_PX[[#This Row],[Column1929]]</f>
        <v>#N/A N/A</v>
      </c>
      <c r="BVF37" t="str">
        <f>SOFR3mo_PX[[#This Row],[Column1930]]</f>
        <v>#N/A N/A</v>
      </c>
      <c r="BVG37" t="str">
        <f>SOFR3mo_PX[[#This Row],[Column1931]]</f>
        <v>#N/A N/A</v>
      </c>
      <c r="BVH37" t="str">
        <f>SOFR3mo_PX[[#This Row],[Column1932]]</f>
        <v>#N/A N/A</v>
      </c>
      <c r="BVI37" t="str">
        <f>SOFR3mo_PX[[#This Row],[Column1933]]</f>
        <v>#N/A N/A</v>
      </c>
      <c r="BVJ37" t="str">
        <f>SOFR3mo_PX[[#This Row],[Column1934]]</f>
        <v>#N/A N/A</v>
      </c>
      <c r="BVK37" t="str">
        <f>SOFR3mo_PX[[#This Row],[Column1935]]</f>
        <v>#N/A N/A</v>
      </c>
      <c r="BVL37" t="str">
        <f>SOFR3mo_PX[[#This Row],[Column1936]]</f>
        <v>#N/A N/A</v>
      </c>
      <c r="BVM37" t="str">
        <f>SOFR3mo_PX[[#This Row],[Column1937]]</f>
        <v>#N/A N/A</v>
      </c>
      <c r="BVN37" t="str">
        <f>SOFR3mo_PX[[#This Row],[Column1938]]</f>
        <v>#N/A N/A</v>
      </c>
      <c r="BVO37" t="str">
        <f>SOFR3mo_PX[[#This Row],[Column1939]]</f>
        <v>#N/A N/A</v>
      </c>
      <c r="BVP37" t="str">
        <f>SOFR3mo_PX[[#This Row],[Column1940]]</f>
        <v>#N/A N/A</v>
      </c>
      <c r="BVQ37" t="str">
        <f>SOFR3mo_PX[[#This Row],[Column1941]]</f>
        <v>#N/A N/A</v>
      </c>
      <c r="BVR37" t="str">
        <f>SOFR3mo_PX[[#This Row],[Column1942]]</f>
        <v>#N/A N/A</v>
      </c>
      <c r="BVS37" t="str">
        <f>SOFR3mo_PX[[#This Row],[Column1943]]</f>
        <v>#N/A N/A</v>
      </c>
      <c r="BVT37" t="str">
        <f>SOFR3mo_PX[[#This Row],[Column1944]]</f>
        <v>#N/A N/A</v>
      </c>
      <c r="BVU37" t="str">
        <f>SOFR3mo_PX[[#This Row],[Column1945]]</f>
        <v>#N/A N/A</v>
      </c>
      <c r="BVV37" t="str">
        <f>SOFR3mo_PX[[#This Row],[Column1946]]</f>
        <v>#N/A N/A</v>
      </c>
      <c r="BVW37" t="str">
        <f>SOFR3mo_PX[[#This Row],[Column1947]]</f>
        <v>#N/A N/A</v>
      </c>
      <c r="BVX37" t="str">
        <f>SOFR3mo_PX[[#This Row],[Column1948]]</f>
        <v>#N/A N/A</v>
      </c>
      <c r="BVY37" t="str">
        <f>SOFR3mo_PX[[#This Row],[Column1949]]</f>
        <v>#N/A N/A</v>
      </c>
      <c r="BVZ37" t="str">
        <f>SOFR3mo_PX[[#This Row],[Column1950]]</f>
        <v>#N/A N/A</v>
      </c>
      <c r="BWA37" t="str">
        <f>SOFR3mo_PX[[#This Row],[Column1951]]</f>
        <v>#N/A N/A</v>
      </c>
      <c r="BWB37" t="str">
        <f>SOFR3mo_PX[[#This Row],[Column1952]]</f>
        <v>#N/A N/A</v>
      </c>
      <c r="BWC37" t="str">
        <f>SOFR3mo_PX[[#This Row],[Column1953]]</f>
        <v>#N/A N/A</v>
      </c>
      <c r="BWD37" t="str">
        <f>SOFR3mo_PX[[#This Row],[Column1954]]</f>
        <v>#N/A 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C5FFC-34C8-4357-81F4-ADBE3CB71BB1}">
  <dimension ref="A1:JJA37"/>
  <sheetViews>
    <sheetView workbookViewId="0">
      <selection activeCell="C25" sqref="C25"/>
    </sheetView>
  </sheetViews>
  <sheetFormatPr defaultRowHeight="15" x14ac:dyDescent="0.25"/>
  <cols>
    <col min="1" max="1" width="13.28515625" bestFit="1" customWidth="1"/>
    <col min="2" max="9" width="11.42578125" bestFit="1" customWidth="1"/>
    <col min="10" max="99" width="12.42578125" bestFit="1" customWidth="1"/>
    <col min="100" max="999" width="13.42578125" bestFit="1" customWidth="1"/>
    <col min="1000" max="6982" width="14.42578125" bestFit="1" customWidth="1"/>
    <col min="6983" max="7021" width="14.42578125" customWidth="1"/>
  </cols>
  <sheetData>
    <row r="1" spans="1:70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7019</v>
      </c>
      <c r="JHP1" t="s">
        <v>7020</v>
      </c>
      <c r="JHQ1" t="s">
        <v>7021</v>
      </c>
      <c r="JHR1" t="s">
        <v>7022</v>
      </c>
      <c r="JHS1" t="s">
        <v>7023</v>
      </c>
      <c r="JHT1" t="s">
        <v>7024</v>
      </c>
      <c r="JHU1" t="s">
        <v>7025</v>
      </c>
      <c r="JHV1" t="s">
        <v>7026</v>
      </c>
      <c r="JHW1" t="s">
        <v>7027</v>
      </c>
      <c r="JHX1" t="s">
        <v>7028</v>
      </c>
      <c r="JHY1" t="s">
        <v>7029</v>
      </c>
      <c r="JHZ1" t="s">
        <v>7030</v>
      </c>
      <c r="JIA1" t="s">
        <v>7031</v>
      </c>
      <c r="JIB1" t="s">
        <v>7032</v>
      </c>
      <c r="JIC1" t="s">
        <v>7033</v>
      </c>
      <c r="JID1" t="s">
        <v>7034</v>
      </c>
      <c r="JIE1" t="s">
        <v>7035</v>
      </c>
      <c r="JIF1" t="s">
        <v>7036</v>
      </c>
      <c r="JIG1" t="s">
        <v>7037</v>
      </c>
      <c r="JIH1" t="s">
        <v>7040</v>
      </c>
      <c r="JII1" t="s">
        <v>7041</v>
      </c>
      <c r="JIJ1" t="s">
        <v>7042</v>
      </c>
      <c r="JIK1" t="s">
        <v>7043</v>
      </c>
      <c r="JIL1" t="s">
        <v>7044</v>
      </c>
      <c r="JIM1" t="s">
        <v>7045</v>
      </c>
      <c r="JIN1" t="s">
        <v>7046</v>
      </c>
      <c r="JIO1" t="s">
        <v>7047</v>
      </c>
      <c r="JIP1" t="s">
        <v>7048</v>
      </c>
      <c r="JIQ1" t="s">
        <v>7049</v>
      </c>
      <c r="JIR1" t="s">
        <v>7050</v>
      </c>
      <c r="JIS1" t="s">
        <v>7051</v>
      </c>
      <c r="JIT1" t="s">
        <v>7052</v>
      </c>
      <c r="JIU1" t="s">
        <v>7053</v>
      </c>
      <c r="JIV1" t="s">
        <v>7054</v>
      </c>
      <c r="JIW1" t="s">
        <v>7055</v>
      </c>
      <c r="JIX1" t="s">
        <v>7056</v>
      </c>
      <c r="JIY1" t="s">
        <v>7057</v>
      </c>
      <c r="JIZ1" t="s">
        <v>7058</v>
      </c>
      <c r="JJA1" t="s">
        <v>7059</v>
      </c>
    </row>
    <row r="2" spans="1:7021" x14ac:dyDescent="0.25">
      <c r="A2" t="s">
        <v>6982</v>
      </c>
      <c r="B2">
        <v>45828</v>
      </c>
      <c r="C2">
        <v>45827</v>
      </c>
      <c r="D2">
        <v>45826</v>
      </c>
      <c r="E2">
        <v>45825</v>
      </c>
      <c r="F2">
        <v>45824</v>
      </c>
      <c r="G2">
        <v>45821</v>
      </c>
      <c r="H2">
        <v>45820</v>
      </c>
      <c r="I2">
        <v>45819</v>
      </c>
      <c r="J2">
        <v>45818</v>
      </c>
      <c r="K2">
        <v>45817</v>
      </c>
      <c r="L2">
        <v>45814</v>
      </c>
      <c r="M2">
        <v>45813</v>
      </c>
      <c r="N2">
        <v>45812</v>
      </c>
      <c r="O2">
        <v>45811</v>
      </c>
      <c r="P2">
        <v>45810</v>
      </c>
      <c r="Q2">
        <v>45807</v>
      </c>
      <c r="R2">
        <v>45806</v>
      </c>
      <c r="S2">
        <v>45805</v>
      </c>
      <c r="T2">
        <v>45804</v>
      </c>
      <c r="U2">
        <v>45803</v>
      </c>
      <c r="V2">
        <v>45800</v>
      </c>
      <c r="W2">
        <v>45799</v>
      </c>
      <c r="X2">
        <v>45798</v>
      </c>
      <c r="Y2">
        <v>45797</v>
      </c>
      <c r="Z2">
        <v>45796</v>
      </c>
      <c r="AA2">
        <v>45793</v>
      </c>
      <c r="AB2">
        <v>45792</v>
      </c>
      <c r="AC2">
        <v>45791</v>
      </c>
      <c r="AD2">
        <v>45790</v>
      </c>
      <c r="AE2">
        <v>45789</v>
      </c>
      <c r="AF2">
        <v>45786</v>
      </c>
      <c r="AG2">
        <v>45785</v>
      </c>
      <c r="AH2">
        <v>45784</v>
      </c>
      <c r="AI2">
        <v>45783</v>
      </c>
      <c r="AJ2">
        <v>45782</v>
      </c>
      <c r="AK2">
        <v>45779</v>
      </c>
      <c r="AL2">
        <v>45778</v>
      </c>
      <c r="AM2">
        <v>45777</v>
      </c>
      <c r="AN2">
        <v>45776</v>
      </c>
      <c r="AO2">
        <v>45775</v>
      </c>
      <c r="AP2">
        <v>45772</v>
      </c>
      <c r="AQ2">
        <v>45771</v>
      </c>
      <c r="AR2">
        <v>45770</v>
      </c>
      <c r="AS2">
        <v>45769</v>
      </c>
      <c r="AT2">
        <v>45768</v>
      </c>
      <c r="AU2">
        <v>45765</v>
      </c>
      <c r="AV2">
        <v>45764</v>
      </c>
      <c r="AW2">
        <v>45763</v>
      </c>
      <c r="AX2">
        <v>45762</v>
      </c>
      <c r="AY2">
        <v>45761</v>
      </c>
      <c r="AZ2">
        <v>45758</v>
      </c>
      <c r="BA2">
        <v>45757</v>
      </c>
      <c r="BB2">
        <v>45756</v>
      </c>
      <c r="BC2">
        <v>45755</v>
      </c>
      <c r="BD2">
        <v>45754</v>
      </c>
      <c r="BE2">
        <v>45751</v>
      </c>
      <c r="BF2">
        <v>45750</v>
      </c>
      <c r="BG2">
        <v>45749</v>
      </c>
      <c r="BH2">
        <v>45748</v>
      </c>
      <c r="BI2">
        <v>45747</v>
      </c>
      <c r="BJ2">
        <v>45744</v>
      </c>
      <c r="BK2">
        <v>45743</v>
      </c>
      <c r="BL2">
        <v>45742</v>
      </c>
      <c r="BM2">
        <v>45741</v>
      </c>
      <c r="BN2">
        <v>45740</v>
      </c>
      <c r="BO2">
        <v>45737</v>
      </c>
      <c r="BP2">
        <v>45736</v>
      </c>
      <c r="BQ2">
        <v>45735</v>
      </c>
      <c r="BR2">
        <v>45734</v>
      </c>
      <c r="BS2">
        <v>45733</v>
      </c>
      <c r="BT2">
        <v>45730</v>
      </c>
      <c r="BU2">
        <v>45729</v>
      </c>
      <c r="BV2">
        <v>45728</v>
      </c>
      <c r="BW2">
        <v>45727</v>
      </c>
      <c r="BX2">
        <v>45726</v>
      </c>
      <c r="BY2">
        <v>45723</v>
      </c>
      <c r="BZ2">
        <v>45722</v>
      </c>
      <c r="CA2">
        <v>45721</v>
      </c>
      <c r="CB2">
        <v>45720</v>
      </c>
      <c r="CC2">
        <v>45719</v>
      </c>
      <c r="CD2">
        <v>45716</v>
      </c>
      <c r="CE2">
        <v>45715</v>
      </c>
      <c r="CF2">
        <v>45714</v>
      </c>
      <c r="CG2">
        <v>45713</v>
      </c>
      <c r="CH2">
        <v>45712</v>
      </c>
      <c r="CI2">
        <v>45709</v>
      </c>
      <c r="CJ2">
        <v>45708</v>
      </c>
      <c r="CK2">
        <v>45707</v>
      </c>
      <c r="CL2">
        <v>45706</v>
      </c>
      <c r="CM2">
        <v>45705</v>
      </c>
      <c r="CN2">
        <v>45702</v>
      </c>
      <c r="CO2">
        <v>45701</v>
      </c>
      <c r="CP2">
        <v>45700</v>
      </c>
      <c r="CQ2">
        <v>45699</v>
      </c>
      <c r="CR2">
        <v>45698</v>
      </c>
      <c r="CS2">
        <v>45695</v>
      </c>
      <c r="CT2">
        <v>45694</v>
      </c>
      <c r="CU2">
        <v>45693</v>
      </c>
      <c r="CV2">
        <v>45692</v>
      </c>
      <c r="CW2">
        <v>45691</v>
      </c>
      <c r="CX2">
        <v>45688</v>
      </c>
      <c r="CY2">
        <v>45687</v>
      </c>
      <c r="CZ2">
        <v>45686</v>
      </c>
      <c r="DA2">
        <v>45685</v>
      </c>
      <c r="DB2">
        <v>45684</v>
      </c>
      <c r="DC2">
        <v>45681</v>
      </c>
      <c r="DD2">
        <v>45680</v>
      </c>
      <c r="DE2">
        <v>45679</v>
      </c>
      <c r="DF2">
        <v>45678</v>
      </c>
      <c r="DG2">
        <v>45677</v>
      </c>
      <c r="DH2">
        <v>45674</v>
      </c>
      <c r="DI2">
        <v>45673</v>
      </c>
      <c r="DJ2">
        <v>45672</v>
      </c>
      <c r="DK2">
        <v>45671</v>
      </c>
      <c r="DL2">
        <v>45670</v>
      </c>
      <c r="DM2">
        <v>45667</v>
      </c>
      <c r="DN2">
        <v>45666</v>
      </c>
      <c r="DO2">
        <v>45665</v>
      </c>
      <c r="DP2">
        <v>45664</v>
      </c>
      <c r="DQ2">
        <v>45663</v>
      </c>
      <c r="DR2">
        <v>45660</v>
      </c>
      <c r="DS2">
        <v>45659</v>
      </c>
      <c r="DT2">
        <v>45658</v>
      </c>
      <c r="DU2">
        <v>45657</v>
      </c>
      <c r="DV2">
        <v>45656</v>
      </c>
      <c r="DW2">
        <v>45653</v>
      </c>
      <c r="DX2">
        <v>45652</v>
      </c>
      <c r="DY2">
        <v>45651</v>
      </c>
      <c r="DZ2">
        <v>45650</v>
      </c>
      <c r="EA2">
        <v>45649</v>
      </c>
      <c r="EB2">
        <v>45646</v>
      </c>
      <c r="EC2">
        <v>45645</v>
      </c>
      <c r="ED2">
        <v>45644</v>
      </c>
      <c r="EE2">
        <v>45643</v>
      </c>
      <c r="EF2">
        <v>45642</v>
      </c>
      <c r="EG2">
        <v>45639</v>
      </c>
      <c r="EH2">
        <v>45638</v>
      </c>
      <c r="EI2">
        <v>45637</v>
      </c>
      <c r="EJ2">
        <v>45636</v>
      </c>
      <c r="EK2">
        <v>45635</v>
      </c>
      <c r="EL2">
        <v>45632</v>
      </c>
      <c r="EM2">
        <v>45631</v>
      </c>
      <c r="EN2">
        <v>45630</v>
      </c>
      <c r="EO2">
        <v>45629</v>
      </c>
      <c r="EP2">
        <v>45628</v>
      </c>
      <c r="EQ2">
        <v>45625</v>
      </c>
      <c r="ER2">
        <v>45624</v>
      </c>
      <c r="ES2">
        <v>45623</v>
      </c>
      <c r="ET2">
        <v>45622</v>
      </c>
      <c r="EU2">
        <v>45621</v>
      </c>
      <c r="EV2">
        <v>45618</v>
      </c>
      <c r="EW2">
        <v>45617</v>
      </c>
      <c r="EX2">
        <v>45616</v>
      </c>
      <c r="EY2">
        <v>45615</v>
      </c>
      <c r="EZ2">
        <v>45614</v>
      </c>
      <c r="FA2">
        <v>45611</v>
      </c>
      <c r="FB2">
        <v>45610</v>
      </c>
      <c r="FC2">
        <v>45609</v>
      </c>
      <c r="FD2">
        <v>45608</v>
      </c>
      <c r="FE2">
        <v>45607</v>
      </c>
      <c r="FF2">
        <v>45604</v>
      </c>
      <c r="FG2">
        <v>45603</v>
      </c>
      <c r="FH2">
        <v>45602</v>
      </c>
      <c r="FI2">
        <v>45601</v>
      </c>
      <c r="FJ2">
        <v>45600</v>
      </c>
      <c r="FK2">
        <v>45597</v>
      </c>
      <c r="FL2">
        <v>45596</v>
      </c>
      <c r="FM2">
        <v>45595</v>
      </c>
      <c r="FN2">
        <v>45594</v>
      </c>
      <c r="FO2">
        <v>45593</v>
      </c>
      <c r="FP2">
        <v>45590</v>
      </c>
      <c r="FQ2">
        <v>45589</v>
      </c>
      <c r="FR2">
        <v>45588</v>
      </c>
      <c r="FS2">
        <v>45587</v>
      </c>
      <c r="FT2">
        <v>45586</v>
      </c>
      <c r="FU2">
        <v>45583</v>
      </c>
      <c r="FV2">
        <v>45582</v>
      </c>
      <c r="FW2">
        <v>45581</v>
      </c>
      <c r="FX2">
        <v>45580</v>
      </c>
      <c r="FY2">
        <v>45579</v>
      </c>
      <c r="FZ2">
        <v>45576</v>
      </c>
      <c r="GA2">
        <v>45575</v>
      </c>
      <c r="GB2">
        <v>45574</v>
      </c>
      <c r="GC2">
        <v>45573</v>
      </c>
      <c r="GD2">
        <v>45572</v>
      </c>
      <c r="GE2">
        <v>45569</v>
      </c>
      <c r="GF2">
        <v>45568</v>
      </c>
      <c r="GG2">
        <v>45567</v>
      </c>
      <c r="GH2">
        <v>45566</v>
      </c>
      <c r="GI2">
        <v>45565</v>
      </c>
      <c r="GJ2">
        <v>45562</v>
      </c>
      <c r="GK2">
        <v>45561</v>
      </c>
      <c r="GL2">
        <v>45560</v>
      </c>
      <c r="GM2">
        <v>45559</v>
      </c>
      <c r="GN2">
        <v>45558</v>
      </c>
      <c r="GO2">
        <v>45555</v>
      </c>
      <c r="GP2">
        <v>45554</v>
      </c>
      <c r="GQ2">
        <v>45553</v>
      </c>
      <c r="GR2">
        <v>45552</v>
      </c>
      <c r="GS2">
        <v>45551</v>
      </c>
      <c r="GT2">
        <v>45548</v>
      </c>
      <c r="GU2">
        <v>45547</v>
      </c>
      <c r="GV2">
        <v>45546</v>
      </c>
      <c r="GW2">
        <v>45545</v>
      </c>
      <c r="GX2">
        <v>45544</v>
      </c>
      <c r="GY2">
        <v>45541</v>
      </c>
      <c r="GZ2">
        <v>45540</v>
      </c>
      <c r="HA2">
        <v>45539</v>
      </c>
      <c r="HB2">
        <v>45538</v>
      </c>
      <c r="HC2">
        <v>45537</v>
      </c>
      <c r="HD2">
        <v>45534</v>
      </c>
      <c r="HE2">
        <v>45533</v>
      </c>
      <c r="HF2">
        <v>45532</v>
      </c>
      <c r="HG2">
        <v>45531</v>
      </c>
      <c r="HH2">
        <v>45530</v>
      </c>
      <c r="HI2">
        <v>45527</v>
      </c>
      <c r="HJ2">
        <v>45526</v>
      </c>
      <c r="HK2">
        <v>45525</v>
      </c>
      <c r="HL2">
        <v>45524</v>
      </c>
      <c r="HM2">
        <v>45523</v>
      </c>
      <c r="HN2">
        <v>45520</v>
      </c>
      <c r="HO2">
        <v>45519</v>
      </c>
      <c r="HP2">
        <v>45518</v>
      </c>
      <c r="HQ2">
        <v>45517</v>
      </c>
      <c r="HR2">
        <v>45516</v>
      </c>
      <c r="HS2">
        <v>45513</v>
      </c>
      <c r="HT2">
        <v>45512</v>
      </c>
      <c r="HU2">
        <v>45511</v>
      </c>
      <c r="HV2">
        <v>45510</v>
      </c>
      <c r="HW2">
        <v>45509</v>
      </c>
      <c r="HX2">
        <v>45506</v>
      </c>
      <c r="HY2">
        <v>45505</v>
      </c>
      <c r="HZ2">
        <v>45504</v>
      </c>
      <c r="IA2">
        <v>45503</v>
      </c>
      <c r="IB2">
        <v>45502</v>
      </c>
      <c r="IC2">
        <v>45499</v>
      </c>
      <c r="ID2">
        <v>45498</v>
      </c>
      <c r="IE2">
        <v>45497</v>
      </c>
      <c r="IF2">
        <v>45496</v>
      </c>
      <c r="IG2">
        <v>45495</v>
      </c>
      <c r="IH2">
        <v>45492</v>
      </c>
      <c r="II2">
        <v>45491</v>
      </c>
      <c r="IJ2">
        <v>45490</v>
      </c>
      <c r="IK2">
        <v>45489</v>
      </c>
      <c r="IL2">
        <v>45488</v>
      </c>
      <c r="IM2">
        <v>45485</v>
      </c>
      <c r="IN2">
        <v>45484</v>
      </c>
      <c r="IO2">
        <v>45483</v>
      </c>
      <c r="IP2">
        <v>45482</v>
      </c>
      <c r="IQ2">
        <v>45481</v>
      </c>
      <c r="IR2">
        <v>45478</v>
      </c>
      <c r="IS2">
        <v>45477</v>
      </c>
      <c r="IT2">
        <v>45476</v>
      </c>
      <c r="IU2">
        <v>45475</v>
      </c>
      <c r="IV2">
        <v>45474</v>
      </c>
      <c r="IW2">
        <v>45471</v>
      </c>
      <c r="IX2">
        <v>45470</v>
      </c>
      <c r="IY2">
        <v>45469</v>
      </c>
      <c r="IZ2">
        <v>45468</v>
      </c>
      <c r="JA2">
        <v>45467</v>
      </c>
      <c r="JB2">
        <v>45464</v>
      </c>
      <c r="JC2">
        <v>45463</v>
      </c>
      <c r="JD2">
        <v>45462</v>
      </c>
      <c r="JE2">
        <v>45461</v>
      </c>
      <c r="JF2">
        <v>45460</v>
      </c>
      <c r="JG2">
        <v>45457</v>
      </c>
      <c r="JH2">
        <v>45456</v>
      </c>
      <c r="JI2">
        <v>45455</v>
      </c>
      <c r="JJ2">
        <v>45454</v>
      </c>
      <c r="JK2">
        <v>45453</v>
      </c>
      <c r="JL2">
        <v>45450</v>
      </c>
      <c r="JM2">
        <v>45449</v>
      </c>
      <c r="JN2">
        <v>45448</v>
      </c>
      <c r="JO2">
        <v>45447</v>
      </c>
      <c r="JP2">
        <v>45446</v>
      </c>
      <c r="JQ2">
        <v>45443</v>
      </c>
      <c r="JR2">
        <v>45442</v>
      </c>
      <c r="JS2">
        <v>45441</v>
      </c>
      <c r="JT2">
        <v>45440</v>
      </c>
      <c r="JU2">
        <v>45439</v>
      </c>
      <c r="JV2">
        <v>45436</v>
      </c>
      <c r="JW2">
        <v>45435</v>
      </c>
      <c r="JX2">
        <v>45434</v>
      </c>
      <c r="JY2">
        <v>45433</v>
      </c>
      <c r="JZ2">
        <v>45432</v>
      </c>
      <c r="KA2">
        <v>45429</v>
      </c>
      <c r="KB2">
        <v>45428</v>
      </c>
      <c r="KC2">
        <v>45427</v>
      </c>
      <c r="KD2">
        <v>45426</v>
      </c>
      <c r="KE2">
        <v>45425</v>
      </c>
      <c r="KF2">
        <v>45422</v>
      </c>
      <c r="KG2">
        <v>45421</v>
      </c>
      <c r="KH2">
        <v>45420</v>
      </c>
      <c r="KI2">
        <v>45419</v>
      </c>
      <c r="KJ2">
        <v>45418</v>
      </c>
      <c r="KK2">
        <v>45415</v>
      </c>
      <c r="KL2">
        <v>45414</v>
      </c>
      <c r="KM2">
        <v>45413</v>
      </c>
      <c r="KN2">
        <v>45412</v>
      </c>
      <c r="KO2">
        <v>45411</v>
      </c>
      <c r="KP2">
        <v>45408</v>
      </c>
      <c r="KQ2">
        <v>45407</v>
      </c>
      <c r="KR2">
        <v>45406</v>
      </c>
      <c r="KS2">
        <v>45405</v>
      </c>
      <c r="KT2">
        <v>45404</v>
      </c>
      <c r="KU2">
        <v>45401</v>
      </c>
      <c r="KV2">
        <v>45400</v>
      </c>
      <c r="KW2">
        <v>45399</v>
      </c>
      <c r="KX2">
        <v>45398</v>
      </c>
      <c r="KY2">
        <v>45397</v>
      </c>
      <c r="KZ2">
        <v>45394</v>
      </c>
      <c r="LA2">
        <v>45393</v>
      </c>
      <c r="LB2">
        <v>45392</v>
      </c>
      <c r="LC2">
        <v>45391</v>
      </c>
      <c r="LD2">
        <v>45390</v>
      </c>
      <c r="LE2">
        <v>45387</v>
      </c>
      <c r="LF2">
        <v>45386</v>
      </c>
      <c r="LG2">
        <v>45385</v>
      </c>
      <c r="LH2">
        <v>45384</v>
      </c>
      <c r="LI2">
        <v>45383</v>
      </c>
      <c r="LJ2">
        <v>45380</v>
      </c>
      <c r="LK2">
        <v>45379</v>
      </c>
      <c r="LL2">
        <v>45378</v>
      </c>
      <c r="LM2">
        <v>45377</v>
      </c>
      <c r="LN2">
        <v>45376</v>
      </c>
      <c r="LO2">
        <v>45373</v>
      </c>
      <c r="LP2">
        <v>45372</v>
      </c>
      <c r="LQ2">
        <v>45371</v>
      </c>
      <c r="LR2">
        <v>45370</v>
      </c>
      <c r="LS2">
        <v>45369</v>
      </c>
      <c r="LT2">
        <v>45366</v>
      </c>
      <c r="LU2">
        <v>45365</v>
      </c>
      <c r="LV2">
        <v>45364</v>
      </c>
      <c r="LW2">
        <v>45363</v>
      </c>
      <c r="LX2">
        <v>45362</v>
      </c>
      <c r="LY2">
        <v>45359</v>
      </c>
      <c r="LZ2">
        <v>45358</v>
      </c>
      <c r="MA2">
        <v>45357</v>
      </c>
      <c r="MB2">
        <v>45356</v>
      </c>
      <c r="MC2">
        <v>45355</v>
      </c>
      <c r="MD2">
        <v>45352</v>
      </c>
      <c r="ME2">
        <v>45351</v>
      </c>
      <c r="MF2">
        <v>45350</v>
      </c>
      <c r="MG2">
        <v>45349</v>
      </c>
      <c r="MH2">
        <v>45348</v>
      </c>
      <c r="MI2">
        <v>45345</v>
      </c>
      <c r="MJ2">
        <v>45344</v>
      </c>
      <c r="MK2">
        <v>45343</v>
      </c>
      <c r="ML2">
        <v>45342</v>
      </c>
      <c r="MM2">
        <v>45341</v>
      </c>
      <c r="MN2">
        <v>45338</v>
      </c>
      <c r="MO2">
        <v>45337</v>
      </c>
      <c r="MP2">
        <v>45336</v>
      </c>
      <c r="MQ2">
        <v>45335</v>
      </c>
      <c r="MR2">
        <v>45334</v>
      </c>
      <c r="MS2">
        <v>45331</v>
      </c>
      <c r="MT2">
        <v>45330</v>
      </c>
      <c r="MU2">
        <v>45329</v>
      </c>
      <c r="MV2">
        <v>45328</v>
      </c>
      <c r="MW2">
        <v>45327</v>
      </c>
      <c r="MX2">
        <v>45324</v>
      </c>
      <c r="MY2">
        <v>45323</v>
      </c>
      <c r="MZ2">
        <v>45322</v>
      </c>
      <c r="NA2">
        <v>45321</v>
      </c>
      <c r="NB2">
        <v>45320</v>
      </c>
      <c r="NC2">
        <v>45317</v>
      </c>
      <c r="ND2">
        <v>45316</v>
      </c>
      <c r="NE2">
        <v>45315</v>
      </c>
      <c r="NF2">
        <v>45314</v>
      </c>
      <c r="NG2">
        <v>45313</v>
      </c>
      <c r="NH2">
        <v>45310</v>
      </c>
      <c r="NI2">
        <v>45309</v>
      </c>
      <c r="NJ2">
        <v>45308</v>
      </c>
      <c r="NK2">
        <v>45307</v>
      </c>
      <c r="NL2">
        <v>45306</v>
      </c>
      <c r="NM2">
        <v>45303</v>
      </c>
      <c r="NN2">
        <v>45302</v>
      </c>
      <c r="NO2">
        <v>45301</v>
      </c>
      <c r="NP2">
        <v>45300</v>
      </c>
      <c r="NQ2">
        <v>45299</v>
      </c>
      <c r="NR2">
        <v>45296</v>
      </c>
      <c r="NS2">
        <v>45295</v>
      </c>
      <c r="NT2">
        <v>45294</v>
      </c>
      <c r="NU2">
        <v>45293</v>
      </c>
      <c r="NV2">
        <v>45292</v>
      </c>
      <c r="NW2">
        <v>45289</v>
      </c>
      <c r="NX2">
        <v>45288</v>
      </c>
      <c r="NY2">
        <v>45287</v>
      </c>
      <c r="NZ2">
        <v>45286</v>
      </c>
      <c r="OA2">
        <v>45285</v>
      </c>
      <c r="OB2">
        <v>45282</v>
      </c>
      <c r="OC2">
        <v>45281</v>
      </c>
      <c r="OD2">
        <v>45280</v>
      </c>
      <c r="OE2">
        <v>45279</v>
      </c>
      <c r="OF2">
        <v>45278</v>
      </c>
      <c r="OG2">
        <v>45275</v>
      </c>
      <c r="OH2">
        <v>45274</v>
      </c>
      <c r="OI2">
        <v>45273</v>
      </c>
      <c r="OJ2">
        <v>45272</v>
      </c>
      <c r="OK2">
        <v>45271</v>
      </c>
      <c r="OL2">
        <v>45268</v>
      </c>
      <c r="OM2">
        <v>45267</v>
      </c>
      <c r="ON2">
        <v>45266</v>
      </c>
      <c r="OO2">
        <v>45265</v>
      </c>
      <c r="OP2">
        <v>45264</v>
      </c>
      <c r="OQ2">
        <v>45261</v>
      </c>
      <c r="OR2">
        <v>45260</v>
      </c>
      <c r="OS2">
        <v>45259</v>
      </c>
      <c r="OT2">
        <v>45258</v>
      </c>
      <c r="OU2">
        <v>45257</v>
      </c>
      <c r="OV2">
        <v>45254</v>
      </c>
      <c r="OW2">
        <v>45253</v>
      </c>
      <c r="OX2">
        <v>45252</v>
      </c>
      <c r="OY2">
        <v>45251</v>
      </c>
      <c r="OZ2">
        <v>45250</v>
      </c>
      <c r="PA2">
        <v>45247</v>
      </c>
      <c r="PB2">
        <v>45246</v>
      </c>
      <c r="PC2">
        <v>45245</v>
      </c>
      <c r="PD2">
        <v>45244</v>
      </c>
      <c r="PE2">
        <v>45243</v>
      </c>
      <c r="PF2">
        <v>45240</v>
      </c>
      <c r="PG2">
        <v>45239</v>
      </c>
      <c r="PH2">
        <v>45238</v>
      </c>
      <c r="PI2">
        <v>45237</v>
      </c>
      <c r="PJ2">
        <v>45236</v>
      </c>
      <c r="PK2">
        <v>45233</v>
      </c>
      <c r="PL2">
        <v>45232</v>
      </c>
      <c r="PM2">
        <v>45231</v>
      </c>
      <c r="PN2">
        <v>45230</v>
      </c>
      <c r="PO2">
        <v>45229</v>
      </c>
      <c r="PP2">
        <v>45226</v>
      </c>
      <c r="PQ2">
        <v>45225</v>
      </c>
      <c r="PR2">
        <v>45224</v>
      </c>
      <c r="PS2">
        <v>45223</v>
      </c>
      <c r="PT2">
        <v>45222</v>
      </c>
      <c r="PU2">
        <v>45219</v>
      </c>
      <c r="PV2">
        <v>45218</v>
      </c>
      <c r="PW2">
        <v>45217</v>
      </c>
      <c r="PX2">
        <v>45216</v>
      </c>
      <c r="PY2">
        <v>45215</v>
      </c>
      <c r="PZ2">
        <v>45212</v>
      </c>
      <c r="QA2">
        <v>45211</v>
      </c>
      <c r="QB2">
        <v>45210</v>
      </c>
      <c r="QC2">
        <v>45209</v>
      </c>
      <c r="QD2">
        <v>45208</v>
      </c>
      <c r="QE2">
        <v>45205</v>
      </c>
      <c r="QF2">
        <v>45204</v>
      </c>
      <c r="QG2">
        <v>45203</v>
      </c>
      <c r="QH2">
        <v>45202</v>
      </c>
      <c r="QI2">
        <v>45201</v>
      </c>
      <c r="QJ2">
        <v>45198</v>
      </c>
      <c r="QK2">
        <v>45197</v>
      </c>
      <c r="QL2">
        <v>45196</v>
      </c>
      <c r="QM2">
        <v>45195</v>
      </c>
      <c r="QN2">
        <v>45194</v>
      </c>
      <c r="QO2">
        <v>45191</v>
      </c>
      <c r="QP2">
        <v>45190</v>
      </c>
      <c r="QQ2">
        <v>45189</v>
      </c>
      <c r="QR2">
        <v>45188</v>
      </c>
      <c r="QS2">
        <v>45187</v>
      </c>
      <c r="QT2">
        <v>45184</v>
      </c>
      <c r="QU2">
        <v>45183</v>
      </c>
      <c r="QV2">
        <v>45182</v>
      </c>
      <c r="QW2">
        <v>45181</v>
      </c>
      <c r="QX2">
        <v>45180</v>
      </c>
      <c r="QY2">
        <v>45177</v>
      </c>
      <c r="QZ2">
        <v>45176</v>
      </c>
      <c r="RA2">
        <v>45175</v>
      </c>
      <c r="RB2">
        <v>45174</v>
      </c>
      <c r="RC2">
        <v>45173</v>
      </c>
      <c r="RD2">
        <v>45170</v>
      </c>
      <c r="RE2">
        <v>45169</v>
      </c>
      <c r="RF2">
        <v>45168</v>
      </c>
      <c r="RG2">
        <v>45167</v>
      </c>
      <c r="RH2">
        <v>45166</v>
      </c>
      <c r="RI2">
        <v>45163</v>
      </c>
      <c r="RJ2">
        <v>45162</v>
      </c>
      <c r="RK2">
        <v>45161</v>
      </c>
      <c r="RL2">
        <v>45160</v>
      </c>
      <c r="RM2">
        <v>45159</v>
      </c>
      <c r="RN2">
        <v>45156</v>
      </c>
      <c r="RO2">
        <v>45155</v>
      </c>
      <c r="RP2">
        <v>45154</v>
      </c>
      <c r="RQ2">
        <v>45153</v>
      </c>
      <c r="RR2">
        <v>45152</v>
      </c>
      <c r="RS2">
        <v>45149</v>
      </c>
      <c r="RT2">
        <v>45148</v>
      </c>
      <c r="RU2">
        <v>45147</v>
      </c>
      <c r="RV2">
        <v>45146</v>
      </c>
      <c r="RW2">
        <v>45145</v>
      </c>
      <c r="RX2">
        <v>45142</v>
      </c>
      <c r="RY2">
        <v>45141</v>
      </c>
      <c r="RZ2">
        <v>45140</v>
      </c>
      <c r="SA2">
        <v>45139</v>
      </c>
      <c r="SB2">
        <v>45138</v>
      </c>
      <c r="SC2">
        <v>45135</v>
      </c>
      <c r="SD2">
        <v>45134</v>
      </c>
      <c r="SE2">
        <v>45133</v>
      </c>
      <c r="SF2">
        <v>45132</v>
      </c>
      <c r="SG2">
        <v>45131</v>
      </c>
      <c r="SH2">
        <v>45128</v>
      </c>
      <c r="SI2">
        <v>45127</v>
      </c>
      <c r="SJ2">
        <v>45126</v>
      </c>
      <c r="SK2">
        <v>45125</v>
      </c>
      <c r="SL2">
        <v>45124</v>
      </c>
      <c r="SM2">
        <v>45121</v>
      </c>
      <c r="SN2">
        <v>45120</v>
      </c>
      <c r="SO2">
        <v>45119</v>
      </c>
      <c r="SP2">
        <v>45118</v>
      </c>
      <c r="SQ2">
        <v>45117</v>
      </c>
      <c r="SR2">
        <v>45114</v>
      </c>
      <c r="SS2">
        <v>45113</v>
      </c>
      <c r="ST2">
        <v>45112</v>
      </c>
      <c r="SU2">
        <v>45111</v>
      </c>
      <c r="SV2">
        <v>45110</v>
      </c>
      <c r="SW2">
        <v>45107</v>
      </c>
      <c r="SX2">
        <v>45106</v>
      </c>
      <c r="SY2">
        <v>45105</v>
      </c>
      <c r="SZ2">
        <v>45104</v>
      </c>
      <c r="TA2">
        <v>45103</v>
      </c>
      <c r="TB2">
        <v>45100</v>
      </c>
      <c r="TC2">
        <v>45099</v>
      </c>
      <c r="TD2">
        <v>45098</v>
      </c>
      <c r="TE2">
        <v>45097</v>
      </c>
      <c r="TF2">
        <v>45096</v>
      </c>
      <c r="TG2">
        <v>45093</v>
      </c>
      <c r="TH2">
        <v>45092</v>
      </c>
      <c r="TI2">
        <v>45091</v>
      </c>
      <c r="TJ2">
        <v>45090</v>
      </c>
      <c r="TK2">
        <v>45089</v>
      </c>
      <c r="TL2">
        <v>45086</v>
      </c>
      <c r="TM2">
        <v>45085</v>
      </c>
      <c r="TN2">
        <v>45084</v>
      </c>
      <c r="TO2">
        <v>45083</v>
      </c>
      <c r="TP2">
        <v>45082</v>
      </c>
      <c r="TQ2">
        <v>45079</v>
      </c>
      <c r="TR2">
        <v>45078</v>
      </c>
      <c r="TS2">
        <v>45077</v>
      </c>
      <c r="TT2">
        <v>45076</v>
      </c>
      <c r="TU2">
        <v>45075</v>
      </c>
      <c r="TV2">
        <v>45072</v>
      </c>
      <c r="TW2">
        <v>45071</v>
      </c>
      <c r="TX2">
        <v>45070</v>
      </c>
      <c r="TY2">
        <v>45069</v>
      </c>
      <c r="TZ2">
        <v>45068</v>
      </c>
      <c r="UA2">
        <v>45065</v>
      </c>
      <c r="UB2">
        <v>45064</v>
      </c>
      <c r="UC2">
        <v>45063</v>
      </c>
      <c r="UD2">
        <v>45062</v>
      </c>
      <c r="UE2">
        <v>45061</v>
      </c>
      <c r="UF2">
        <v>45058</v>
      </c>
      <c r="UG2">
        <v>45057</v>
      </c>
      <c r="UH2">
        <v>45056</v>
      </c>
      <c r="UI2">
        <v>45055</v>
      </c>
      <c r="UJ2">
        <v>45054</v>
      </c>
      <c r="UK2">
        <v>45051</v>
      </c>
      <c r="UL2">
        <v>45050</v>
      </c>
      <c r="UM2">
        <v>45049</v>
      </c>
      <c r="UN2">
        <v>45048</v>
      </c>
      <c r="UO2">
        <v>45047</v>
      </c>
      <c r="UP2">
        <v>45044</v>
      </c>
      <c r="UQ2">
        <v>45043</v>
      </c>
      <c r="UR2">
        <v>45042</v>
      </c>
      <c r="US2">
        <v>45041</v>
      </c>
      <c r="UT2">
        <v>45040</v>
      </c>
      <c r="UU2">
        <v>45037</v>
      </c>
      <c r="UV2">
        <v>45036</v>
      </c>
      <c r="UW2">
        <v>45035</v>
      </c>
      <c r="UX2">
        <v>45034</v>
      </c>
      <c r="UY2">
        <v>45033</v>
      </c>
      <c r="UZ2">
        <v>45030</v>
      </c>
      <c r="VA2">
        <v>45029</v>
      </c>
      <c r="VB2">
        <v>45028</v>
      </c>
      <c r="VC2">
        <v>45027</v>
      </c>
      <c r="VD2">
        <v>45026</v>
      </c>
      <c r="VE2">
        <v>45023</v>
      </c>
      <c r="VF2">
        <v>45022</v>
      </c>
      <c r="VG2">
        <v>45021</v>
      </c>
      <c r="VH2">
        <v>45020</v>
      </c>
      <c r="VI2">
        <v>45019</v>
      </c>
      <c r="VJ2">
        <v>45016</v>
      </c>
      <c r="VK2">
        <v>45015</v>
      </c>
      <c r="VL2">
        <v>45014</v>
      </c>
      <c r="VM2">
        <v>45013</v>
      </c>
      <c r="VN2">
        <v>45012</v>
      </c>
      <c r="VO2">
        <v>45009</v>
      </c>
      <c r="VP2">
        <v>45008</v>
      </c>
      <c r="VQ2">
        <v>45007</v>
      </c>
      <c r="VR2">
        <v>45006</v>
      </c>
      <c r="VS2">
        <v>45005</v>
      </c>
      <c r="VT2">
        <v>45002</v>
      </c>
      <c r="VU2">
        <v>45001</v>
      </c>
      <c r="VV2">
        <v>45000</v>
      </c>
      <c r="VW2">
        <v>44999</v>
      </c>
      <c r="VX2">
        <v>44998</v>
      </c>
      <c r="VY2">
        <v>44995</v>
      </c>
      <c r="VZ2">
        <v>44994</v>
      </c>
      <c r="WA2">
        <v>44993</v>
      </c>
      <c r="WB2">
        <v>44992</v>
      </c>
      <c r="WC2">
        <v>44991</v>
      </c>
      <c r="WD2">
        <v>44988</v>
      </c>
      <c r="WE2">
        <v>44987</v>
      </c>
      <c r="WF2">
        <v>44986</v>
      </c>
      <c r="WG2">
        <v>44985</v>
      </c>
      <c r="WH2">
        <v>44984</v>
      </c>
      <c r="WI2">
        <v>44981</v>
      </c>
      <c r="WJ2">
        <v>44980</v>
      </c>
      <c r="WK2">
        <v>44979</v>
      </c>
      <c r="WL2">
        <v>44978</v>
      </c>
      <c r="WM2">
        <v>44977</v>
      </c>
      <c r="WN2">
        <v>44974</v>
      </c>
      <c r="WO2">
        <v>44973</v>
      </c>
      <c r="WP2">
        <v>44972</v>
      </c>
      <c r="WQ2">
        <v>44971</v>
      </c>
      <c r="WR2">
        <v>44970</v>
      </c>
      <c r="WS2">
        <v>44967</v>
      </c>
      <c r="WT2">
        <v>44966</v>
      </c>
      <c r="WU2">
        <v>44965</v>
      </c>
      <c r="WV2">
        <v>44964</v>
      </c>
      <c r="WW2">
        <v>44963</v>
      </c>
      <c r="WX2">
        <v>44960</v>
      </c>
      <c r="WY2">
        <v>44959</v>
      </c>
      <c r="WZ2">
        <v>44958</v>
      </c>
      <c r="XA2">
        <v>44957</v>
      </c>
      <c r="XB2">
        <v>44956</v>
      </c>
      <c r="XC2">
        <v>44953</v>
      </c>
      <c r="XD2">
        <v>44952</v>
      </c>
      <c r="XE2">
        <v>44951</v>
      </c>
      <c r="XF2">
        <v>44950</v>
      </c>
      <c r="XG2">
        <v>44949</v>
      </c>
      <c r="XH2">
        <v>44946</v>
      </c>
      <c r="XI2">
        <v>44945</v>
      </c>
      <c r="XJ2">
        <v>44944</v>
      </c>
      <c r="XK2">
        <v>44943</v>
      </c>
      <c r="XL2">
        <v>44942</v>
      </c>
      <c r="XM2">
        <v>44939</v>
      </c>
      <c r="XN2">
        <v>44938</v>
      </c>
      <c r="XO2">
        <v>44937</v>
      </c>
      <c r="XP2">
        <v>44936</v>
      </c>
      <c r="XQ2">
        <v>44935</v>
      </c>
      <c r="XR2">
        <v>44932</v>
      </c>
      <c r="XS2">
        <v>44931</v>
      </c>
      <c r="XT2">
        <v>44930</v>
      </c>
      <c r="XU2">
        <v>44929</v>
      </c>
      <c r="XV2">
        <v>44928</v>
      </c>
      <c r="XW2">
        <v>44925</v>
      </c>
      <c r="XX2">
        <v>44924</v>
      </c>
      <c r="XY2">
        <v>44923</v>
      </c>
      <c r="XZ2">
        <v>44922</v>
      </c>
      <c r="YA2">
        <v>44921</v>
      </c>
      <c r="YB2">
        <v>44918</v>
      </c>
      <c r="YC2">
        <v>44917</v>
      </c>
      <c r="YD2">
        <v>44916</v>
      </c>
      <c r="YE2">
        <v>44915</v>
      </c>
      <c r="YF2">
        <v>44914</v>
      </c>
      <c r="YG2">
        <v>44911</v>
      </c>
      <c r="YH2">
        <v>44910</v>
      </c>
      <c r="YI2">
        <v>44909</v>
      </c>
      <c r="YJ2">
        <v>44908</v>
      </c>
      <c r="YK2">
        <v>44907</v>
      </c>
      <c r="YL2">
        <v>44904</v>
      </c>
      <c r="YM2">
        <v>44903</v>
      </c>
      <c r="YN2">
        <v>44902</v>
      </c>
      <c r="YO2">
        <v>44901</v>
      </c>
      <c r="YP2">
        <v>44900</v>
      </c>
      <c r="YQ2">
        <v>44897</v>
      </c>
      <c r="YR2">
        <v>44896</v>
      </c>
      <c r="YS2">
        <v>44895</v>
      </c>
      <c r="YT2">
        <v>44894</v>
      </c>
      <c r="YU2">
        <v>44893</v>
      </c>
      <c r="YV2">
        <v>44890</v>
      </c>
      <c r="YW2">
        <v>44889</v>
      </c>
      <c r="YX2">
        <v>44888</v>
      </c>
      <c r="YY2">
        <v>44887</v>
      </c>
      <c r="YZ2">
        <v>44886</v>
      </c>
      <c r="ZA2">
        <v>44883</v>
      </c>
      <c r="ZB2">
        <v>44882</v>
      </c>
      <c r="ZC2">
        <v>44881</v>
      </c>
      <c r="ZD2">
        <v>44880</v>
      </c>
      <c r="ZE2">
        <v>44879</v>
      </c>
      <c r="ZF2">
        <v>44876</v>
      </c>
      <c r="ZG2">
        <v>44875</v>
      </c>
      <c r="ZH2">
        <v>44874</v>
      </c>
      <c r="ZI2">
        <v>44873</v>
      </c>
      <c r="ZJ2">
        <v>44872</v>
      </c>
      <c r="ZK2">
        <v>44869</v>
      </c>
      <c r="ZL2">
        <v>44868</v>
      </c>
      <c r="ZM2">
        <v>44867</v>
      </c>
      <c r="ZN2">
        <v>44866</v>
      </c>
      <c r="ZO2">
        <v>44865</v>
      </c>
      <c r="ZP2">
        <v>44862</v>
      </c>
      <c r="ZQ2">
        <v>44861</v>
      </c>
      <c r="ZR2">
        <v>44860</v>
      </c>
      <c r="ZS2">
        <v>44859</v>
      </c>
      <c r="ZT2">
        <v>44858</v>
      </c>
      <c r="ZU2">
        <v>44855</v>
      </c>
      <c r="ZV2">
        <v>44854</v>
      </c>
      <c r="ZW2">
        <v>44853</v>
      </c>
      <c r="ZX2">
        <v>44852</v>
      </c>
      <c r="ZY2">
        <v>44851</v>
      </c>
      <c r="ZZ2">
        <v>44848</v>
      </c>
      <c r="AAA2">
        <v>44847</v>
      </c>
      <c r="AAB2">
        <v>44846</v>
      </c>
      <c r="AAC2">
        <v>44845</v>
      </c>
      <c r="AAD2">
        <v>44844</v>
      </c>
      <c r="AAE2">
        <v>44841</v>
      </c>
      <c r="AAF2">
        <v>44840</v>
      </c>
      <c r="AAG2">
        <v>44839</v>
      </c>
      <c r="AAH2">
        <v>44838</v>
      </c>
      <c r="AAI2">
        <v>44837</v>
      </c>
      <c r="AAJ2">
        <v>44834</v>
      </c>
      <c r="AAK2">
        <v>44833</v>
      </c>
      <c r="AAL2">
        <v>44832</v>
      </c>
      <c r="AAM2">
        <v>44831</v>
      </c>
      <c r="AAN2">
        <v>44830</v>
      </c>
      <c r="AAO2">
        <v>44827</v>
      </c>
      <c r="AAP2">
        <v>44826</v>
      </c>
      <c r="AAQ2">
        <v>44825</v>
      </c>
      <c r="AAR2">
        <v>44824</v>
      </c>
      <c r="AAS2">
        <v>44823</v>
      </c>
      <c r="AAT2">
        <v>44820</v>
      </c>
      <c r="AAU2">
        <v>44819</v>
      </c>
      <c r="AAV2">
        <v>44818</v>
      </c>
      <c r="AAW2">
        <v>44817</v>
      </c>
      <c r="AAX2">
        <v>44816</v>
      </c>
      <c r="AAY2">
        <v>44813</v>
      </c>
      <c r="AAZ2">
        <v>44812</v>
      </c>
      <c r="ABA2">
        <v>44811</v>
      </c>
      <c r="ABB2">
        <v>44810</v>
      </c>
      <c r="ABC2">
        <v>44809</v>
      </c>
      <c r="ABD2">
        <v>44806</v>
      </c>
      <c r="ABE2">
        <v>44805</v>
      </c>
      <c r="ABF2">
        <v>44804</v>
      </c>
      <c r="ABG2">
        <v>44803</v>
      </c>
      <c r="ABH2">
        <v>44802</v>
      </c>
      <c r="ABI2">
        <v>44799</v>
      </c>
      <c r="ABJ2">
        <v>44798</v>
      </c>
      <c r="ABK2">
        <v>44797</v>
      </c>
      <c r="ABL2">
        <v>44796</v>
      </c>
      <c r="ABM2">
        <v>44795</v>
      </c>
      <c r="ABN2">
        <v>44792</v>
      </c>
      <c r="ABO2">
        <v>44791</v>
      </c>
      <c r="ABP2">
        <v>44790</v>
      </c>
      <c r="ABQ2">
        <v>44789</v>
      </c>
      <c r="ABR2">
        <v>44788</v>
      </c>
      <c r="ABS2">
        <v>44785</v>
      </c>
      <c r="ABT2">
        <v>44784</v>
      </c>
      <c r="ABU2">
        <v>44783</v>
      </c>
      <c r="ABV2">
        <v>44782</v>
      </c>
      <c r="ABW2">
        <v>44781</v>
      </c>
      <c r="ABX2">
        <v>44778</v>
      </c>
      <c r="ABY2">
        <v>44777</v>
      </c>
      <c r="ABZ2">
        <v>44776</v>
      </c>
      <c r="ACA2">
        <v>44775</v>
      </c>
      <c r="ACB2">
        <v>44774</v>
      </c>
      <c r="ACC2">
        <v>44771</v>
      </c>
      <c r="ACD2">
        <v>44770</v>
      </c>
      <c r="ACE2">
        <v>44769</v>
      </c>
      <c r="ACF2">
        <v>44768</v>
      </c>
      <c r="ACG2">
        <v>44767</v>
      </c>
      <c r="ACH2">
        <v>44764</v>
      </c>
      <c r="ACI2">
        <v>44763</v>
      </c>
      <c r="ACJ2">
        <v>44762</v>
      </c>
      <c r="ACK2">
        <v>44761</v>
      </c>
      <c r="ACL2">
        <v>44760</v>
      </c>
      <c r="ACM2">
        <v>44757</v>
      </c>
      <c r="ACN2">
        <v>44756</v>
      </c>
      <c r="ACO2">
        <v>44755</v>
      </c>
      <c r="ACP2">
        <v>44754</v>
      </c>
      <c r="ACQ2">
        <v>44753</v>
      </c>
      <c r="ACR2">
        <v>44750</v>
      </c>
      <c r="ACS2">
        <v>44749</v>
      </c>
      <c r="ACT2">
        <v>44748</v>
      </c>
      <c r="ACU2">
        <v>44747</v>
      </c>
      <c r="ACV2">
        <v>44746</v>
      </c>
      <c r="ACW2">
        <v>44743</v>
      </c>
      <c r="ACX2">
        <v>44742</v>
      </c>
      <c r="ACY2">
        <v>44741</v>
      </c>
      <c r="ACZ2">
        <v>44740</v>
      </c>
      <c r="ADA2">
        <v>44739</v>
      </c>
      <c r="ADB2">
        <v>44736</v>
      </c>
      <c r="ADC2">
        <v>44735</v>
      </c>
      <c r="ADD2">
        <v>44734</v>
      </c>
      <c r="ADE2">
        <v>44733</v>
      </c>
      <c r="ADF2">
        <v>44732</v>
      </c>
      <c r="ADG2">
        <v>44729</v>
      </c>
      <c r="ADH2">
        <v>44728</v>
      </c>
      <c r="ADI2">
        <v>44727</v>
      </c>
      <c r="ADJ2">
        <v>44726</v>
      </c>
      <c r="ADK2">
        <v>44725</v>
      </c>
      <c r="ADL2">
        <v>44722</v>
      </c>
      <c r="ADM2">
        <v>44721</v>
      </c>
      <c r="ADN2">
        <v>44720</v>
      </c>
      <c r="ADO2">
        <v>44719</v>
      </c>
      <c r="ADP2">
        <v>44718</v>
      </c>
      <c r="ADQ2">
        <v>44715</v>
      </c>
      <c r="ADR2">
        <v>44714</v>
      </c>
      <c r="ADS2">
        <v>44713</v>
      </c>
      <c r="ADT2">
        <v>44712</v>
      </c>
      <c r="ADU2">
        <v>44711</v>
      </c>
      <c r="ADV2">
        <v>44708</v>
      </c>
      <c r="ADW2">
        <v>44707</v>
      </c>
      <c r="ADX2">
        <v>44706</v>
      </c>
      <c r="ADY2">
        <v>44705</v>
      </c>
      <c r="ADZ2">
        <v>44704</v>
      </c>
      <c r="AEA2">
        <v>44701</v>
      </c>
      <c r="AEB2">
        <v>44700</v>
      </c>
      <c r="AEC2">
        <v>44699</v>
      </c>
      <c r="AED2">
        <v>44698</v>
      </c>
      <c r="AEE2">
        <v>44697</v>
      </c>
      <c r="AEF2">
        <v>44694</v>
      </c>
      <c r="AEG2">
        <v>44693</v>
      </c>
      <c r="AEH2">
        <v>44692</v>
      </c>
      <c r="AEI2">
        <v>44691</v>
      </c>
      <c r="AEJ2">
        <v>44690</v>
      </c>
      <c r="AEK2">
        <v>44687</v>
      </c>
      <c r="AEL2">
        <v>44686</v>
      </c>
      <c r="AEM2">
        <v>44685</v>
      </c>
      <c r="AEN2">
        <v>44684</v>
      </c>
      <c r="AEO2">
        <v>44683</v>
      </c>
      <c r="AEP2">
        <v>44680</v>
      </c>
      <c r="AEQ2">
        <v>44679</v>
      </c>
      <c r="AER2">
        <v>44678</v>
      </c>
      <c r="AES2">
        <v>44677</v>
      </c>
      <c r="AET2">
        <v>44676</v>
      </c>
      <c r="AEU2">
        <v>44673</v>
      </c>
      <c r="AEV2">
        <v>44672</v>
      </c>
      <c r="AEW2">
        <v>44671</v>
      </c>
      <c r="AEX2">
        <v>44670</v>
      </c>
      <c r="AEY2">
        <v>44669</v>
      </c>
      <c r="AEZ2">
        <v>44666</v>
      </c>
      <c r="AFA2">
        <v>44665</v>
      </c>
      <c r="AFB2">
        <v>44664</v>
      </c>
      <c r="AFC2">
        <v>44663</v>
      </c>
      <c r="AFD2">
        <v>44662</v>
      </c>
      <c r="AFE2">
        <v>44659</v>
      </c>
      <c r="AFF2">
        <v>44658</v>
      </c>
      <c r="AFG2">
        <v>44657</v>
      </c>
      <c r="AFH2">
        <v>44656</v>
      </c>
      <c r="AFI2">
        <v>44655</v>
      </c>
      <c r="AFJ2">
        <v>44652</v>
      </c>
      <c r="AFK2">
        <v>44651</v>
      </c>
      <c r="AFL2">
        <v>44650</v>
      </c>
      <c r="AFM2">
        <v>44649</v>
      </c>
      <c r="AFN2">
        <v>44648</v>
      </c>
      <c r="AFO2">
        <v>44645</v>
      </c>
      <c r="AFP2">
        <v>44644</v>
      </c>
      <c r="AFQ2">
        <v>44643</v>
      </c>
      <c r="AFR2">
        <v>44642</v>
      </c>
      <c r="AFS2">
        <v>44641</v>
      </c>
      <c r="AFT2">
        <v>44638</v>
      </c>
      <c r="AFU2">
        <v>44637</v>
      </c>
      <c r="AFV2">
        <v>44636</v>
      </c>
      <c r="AFW2">
        <v>44635</v>
      </c>
      <c r="AFX2">
        <v>44634</v>
      </c>
      <c r="AFY2">
        <v>44631</v>
      </c>
      <c r="AFZ2">
        <v>44630</v>
      </c>
      <c r="AGA2">
        <v>44629</v>
      </c>
      <c r="AGB2">
        <v>44628</v>
      </c>
      <c r="AGC2">
        <v>44627</v>
      </c>
      <c r="AGD2">
        <v>44624</v>
      </c>
      <c r="AGE2">
        <v>44623</v>
      </c>
      <c r="AGF2">
        <v>44622</v>
      </c>
      <c r="AGG2">
        <v>44621</v>
      </c>
      <c r="AGH2">
        <v>44620</v>
      </c>
      <c r="AGI2">
        <v>44617</v>
      </c>
      <c r="AGJ2">
        <v>44616</v>
      </c>
      <c r="AGK2">
        <v>44615</v>
      </c>
      <c r="AGL2">
        <v>44614</v>
      </c>
      <c r="AGM2">
        <v>44613</v>
      </c>
      <c r="AGN2">
        <v>44610</v>
      </c>
      <c r="AGO2">
        <v>44609</v>
      </c>
      <c r="AGP2">
        <v>44608</v>
      </c>
      <c r="AGQ2">
        <v>44607</v>
      </c>
      <c r="AGR2">
        <v>44606</v>
      </c>
      <c r="AGS2">
        <v>44603</v>
      </c>
      <c r="AGT2">
        <v>44602</v>
      </c>
      <c r="AGU2">
        <v>44601</v>
      </c>
      <c r="AGV2">
        <v>44600</v>
      </c>
      <c r="AGW2">
        <v>44599</v>
      </c>
      <c r="AGX2">
        <v>44596</v>
      </c>
      <c r="AGY2">
        <v>44595</v>
      </c>
      <c r="AGZ2">
        <v>44594</v>
      </c>
      <c r="AHA2">
        <v>44593</v>
      </c>
      <c r="AHB2">
        <v>44592</v>
      </c>
      <c r="AHC2">
        <v>44589</v>
      </c>
      <c r="AHD2">
        <v>44588</v>
      </c>
      <c r="AHE2">
        <v>44587</v>
      </c>
      <c r="AHF2">
        <v>44586</v>
      </c>
      <c r="AHG2">
        <v>44585</v>
      </c>
      <c r="AHH2">
        <v>44582</v>
      </c>
      <c r="AHI2">
        <v>44581</v>
      </c>
      <c r="AHJ2">
        <v>44580</v>
      </c>
      <c r="AHK2">
        <v>44579</v>
      </c>
      <c r="AHL2">
        <v>44578</v>
      </c>
      <c r="AHM2">
        <v>44575</v>
      </c>
      <c r="AHN2">
        <v>44574</v>
      </c>
      <c r="AHO2">
        <v>44573</v>
      </c>
      <c r="AHP2">
        <v>44572</v>
      </c>
      <c r="AHQ2">
        <v>44571</v>
      </c>
      <c r="AHR2">
        <v>44568</v>
      </c>
      <c r="AHS2">
        <v>44567</v>
      </c>
      <c r="AHT2">
        <v>44566</v>
      </c>
      <c r="AHU2">
        <v>44565</v>
      </c>
      <c r="AHV2">
        <v>44564</v>
      </c>
      <c r="AHW2">
        <v>44561</v>
      </c>
      <c r="AHX2">
        <v>44560</v>
      </c>
      <c r="AHY2">
        <v>44559</v>
      </c>
      <c r="AHZ2">
        <v>44558</v>
      </c>
      <c r="AIA2">
        <v>44557</v>
      </c>
      <c r="AIB2">
        <v>44554</v>
      </c>
      <c r="AIC2">
        <v>44553</v>
      </c>
      <c r="AID2">
        <v>44552</v>
      </c>
      <c r="AIE2">
        <v>44551</v>
      </c>
      <c r="AIF2">
        <v>44550</v>
      </c>
      <c r="AIG2">
        <v>44547</v>
      </c>
      <c r="AIH2">
        <v>44546</v>
      </c>
      <c r="AII2">
        <v>44545</v>
      </c>
      <c r="AIJ2">
        <v>44544</v>
      </c>
      <c r="AIK2">
        <v>44543</v>
      </c>
      <c r="AIL2">
        <v>44540</v>
      </c>
      <c r="AIM2">
        <v>44539</v>
      </c>
      <c r="AIN2">
        <v>44538</v>
      </c>
      <c r="AIO2">
        <v>44537</v>
      </c>
      <c r="AIP2">
        <v>44536</v>
      </c>
      <c r="AIQ2">
        <v>44533</v>
      </c>
      <c r="AIR2">
        <v>44532</v>
      </c>
      <c r="AIS2">
        <v>44531</v>
      </c>
      <c r="AIT2">
        <v>44530</v>
      </c>
      <c r="AIU2">
        <v>44529</v>
      </c>
      <c r="AIV2">
        <v>44526</v>
      </c>
      <c r="AIW2">
        <v>44525</v>
      </c>
      <c r="AIX2">
        <v>44524</v>
      </c>
      <c r="AIY2">
        <v>44523</v>
      </c>
      <c r="AIZ2">
        <v>44522</v>
      </c>
      <c r="AJA2">
        <v>44519</v>
      </c>
      <c r="AJB2">
        <v>44518</v>
      </c>
      <c r="AJC2">
        <v>44517</v>
      </c>
      <c r="AJD2">
        <v>44516</v>
      </c>
      <c r="AJE2">
        <v>44515</v>
      </c>
      <c r="AJF2">
        <v>44512</v>
      </c>
      <c r="AJG2">
        <v>44511</v>
      </c>
      <c r="AJH2">
        <v>44510</v>
      </c>
      <c r="AJI2">
        <v>44509</v>
      </c>
      <c r="AJJ2">
        <v>44508</v>
      </c>
      <c r="AJK2">
        <v>44505</v>
      </c>
      <c r="AJL2">
        <v>44504</v>
      </c>
      <c r="AJM2">
        <v>44503</v>
      </c>
      <c r="AJN2">
        <v>44502</v>
      </c>
      <c r="AJO2">
        <v>44501</v>
      </c>
      <c r="AJP2">
        <v>44498</v>
      </c>
      <c r="AJQ2">
        <v>44497</v>
      </c>
      <c r="AJR2">
        <v>44496</v>
      </c>
      <c r="AJS2">
        <v>44495</v>
      </c>
      <c r="AJT2">
        <v>44494</v>
      </c>
      <c r="AJU2">
        <v>44491</v>
      </c>
      <c r="AJV2">
        <v>44490</v>
      </c>
      <c r="AJW2">
        <v>44489</v>
      </c>
      <c r="AJX2">
        <v>44488</v>
      </c>
      <c r="AJY2">
        <v>44487</v>
      </c>
      <c r="AJZ2">
        <v>44484</v>
      </c>
      <c r="AKA2">
        <v>44483</v>
      </c>
      <c r="AKB2">
        <v>44482</v>
      </c>
      <c r="AKC2">
        <v>44481</v>
      </c>
      <c r="AKD2">
        <v>44480</v>
      </c>
      <c r="AKE2">
        <v>44477</v>
      </c>
      <c r="AKF2">
        <v>44476</v>
      </c>
      <c r="AKG2">
        <v>44475</v>
      </c>
      <c r="AKH2">
        <v>44474</v>
      </c>
      <c r="AKI2">
        <v>44473</v>
      </c>
      <c r="AKJ2">
        <v>44470</v>
      </c>
      <c r="AKK2">
        <v>44469</v>
      </c>
      <c r="AKL2">
        <v>44468</v>
      </c>
      <c r="AKM2">
        <v>44467</v>
      </c>
      <c r="AKN2">
        <v>44466</v>
      </c>
      <c r="AKO2">
        <v>44463</v>
      </c>
      <c r="AKP2">
        <v>44462</v>
      </c>
      <c r="AKQ2">
        <v>44461</v>
      </c>
      <c r="AKR2">
        <v>44460</v>
      </c>
      <c r="AKS2">
        <v>44459</v>
      </c>
      <c r="AKT2">
        <v>44456</v>
      </c>
      <c r="AKU2">
        <v>44455</v>
      </c>
      <c r="AKV2">
        <v>44454</v>
      </c>
      <c r="AKW2">
        <v>44453</v>
      </c>
      <c r="AKX2">
        <v>44452</v>
      </c>
      <c r="AKY2">
        <v>44449</v>
      </c>
      <c r="AKZ2">
        <v>44448</v>
      </c>
      <c r="ALA2">
        <v>44447</v>
      </c>
      <c r="ALB2">
        <v>44446</v>
      </c>
      <c r="ALC2">
        <v>44445</v>
      </c>
      <c r="ALD2">
        <v>44442</v>
      </c>
      <c r="ALE2">
        <v>44441</v>
      </c>
      <c r="ALF2">
        <v>44440</v>
      </c>
      <c r="ALG2">
        <v>44439</v>
      </c>
      <c r="ALH2">
        <v>44438</v>
      </c>
      <c r="ALI2">
        <v>44435</v>
      </c>
      <c r="ALJ2">
        <v>44434</v>
      </c>
      <c r="ALK2">
        <v>44433</v>
      </c>
      <c r="ALL2">
        <v>44432</v>
      </c>
      <c r="ALM2">
        <v>44431</v>
      </c>
      <c r="ALN2">
        <v>44428</v>
      </c>
      <c r="ALO2">
        <v>44427</v>
      </c>
      <c r="ALP2">
        <v>44426</v>
      </c>
      <c r="ALQ2">
        <v>44425</v>
      </c>
      <c r="ALR2">
        <v>44424</v>
      </c>
      <c r="ALS2">
        <v>44421</v>
      </c>
      <c r="ALT2">
        <v>44420</v>
      </c>
      <c r="ALU2">
        <v>44419</v>
      </c>
      <c r="ALV2">
        <v>44418</v>
      </c>
      <c r="ALW2">
        <v>44417</v>
      </c>
      <c r="ALX2">
        <v>44414</v>
      </c>
      <c r="ALY2">
        <v>44413</v>
      </c>
      <c r="ALZ2">
        <v>44412</v>
      </c>
      <c r="AMA2">
        <v>44411</v>
      </c>
      <c r="AMB2">
        <v>44410</v>
      </c>
      <c r="AMC2">
        <v>44407</v>
      </c>
      <c r="AMD2">
        <v>44406</v>
      </c>
      <c r="AME2">
        <v>44405</v>
      </c>
      <c r="AMF2">
        <v>44404</v>
      </c>
      <c r="AMG2">
        <v>44403</v>
      </c>
      <c r="AMH2">
        <v>44400</v>
      </c>
      <c r="AMI2">
        <v>44399</v>
      </c>
      <c r="AMJ2">
        <v>44398</v>
      </c>
      <c r="AMK2">
        <v>44397</v>
      </c>
      <c r="AML2">
        <v>44396</v>
      </c>
      <c r="AMM2">
        <v>44393</v>
      </c>
      <c r="AMN2">
        <v>44392</v>
      </c>
      <c r="AMO2">
        <v>44391</v>
      </c>
      <c r="AMP2">
        <v>44390</v>
      </c>
      <c r="AMQ2">
        <v>44389</v>
      </c>
      <c r="AMR2">
        <v>44386</v>
      </c>
      <c r="AMS2">
        <v>44385</v>
      </c>
      <c r="AMT2">
        <v>44384</v>
      </c>
      <c r="AMU2">
        <v>44383</v>
      </c>
      <c r="AMV2">
        <v>44382</v>
      </c>
      <c r="AMW2">
        <v>44379</v>
      </c>
      <c r="AMX2">
        <v>44378</v>
      </c>
      <c r="AMY2">
        <v>44377</v>
      </c>
      <c r="AMZ2">
        <v>44376</v>
      </c>
      <c r="ANA2">
        <v>44375</v>
      </c>
      <c r="ANB2">
        <v>44372</v>
      </c>
      <c r="ANC2">
        <v>44371</v>
      </c>
      <c r="AND2">
        <v>44370</v>
      </c>
      <c r="ANE2">
        <v>44369</v>
      </c>
      <c r="ANF2">
        <v>44368</v>
      </c>
      <c r="ANG2">
        <v>44365</v>
      </c>
      <c r="ANH2">
        <v>44364</v>
      </c>
      <c r="ANI2">
        <v>44363</v>
      </c>
      <c r="ANJ2">
        <v>44362</v>
      </c>
      <c r="ANK2">
        <v>44361</v>
      </c>
      <c r="ANL2">
        <v>44358</v>
      </c>
      <c r="ANM2">
        <v>44357</v>
      </c>
      <c r="ANN2">
        <v>44356</v>
      </c>
      <c r="ANO2">
        <v>44355</v>
      </c>
      <c r="ANP2">
        <v>44354</v>
      </c>
      <c r="ANQ2">
        <v>44351</v>
      </c>
      <c r="ANR2">
        <v>44350</v>
      </c>
      <c r="ANS2">
        <v>44349</v>
      </c>
      <c r="ANT2">
        <v>44348</v>
      </c>
      <c r="ANU2">
        <v>44347</v>
      </c>
      <c r="ANV2">
        <v>44344</v>
      </c>
      <c r="ANW2">
        <v>44343</v>
      </c>
      <c r="ANX2">
        <v>44342</v>
      </c>
      <c r="ANY2">
        <v>44341</v>
      </c>
      <c r="ANZ2">
        <v>44340</v>
      </c>
      <c r="AOA2">
        <v>44337</v>
      </c>
      <c r="AOB2">
        <v>44336</v>
      </c>
      <c r="AOC2">
        <v>44335</v>
      </c>
      <c r="AOD2">
        <v>44334</v>
      </c>
      <c r="AOE2">
        <v>44333</v>
      </c>
      <c r="AOF2">
        <v>44330</v>
      </c>
      <c r="AOG2">
        <v>44329</v>
      </c>
      <c r="AOH2">
        <v>44328</v>
      </c>
      <c r="AOI2">
        <v>44327</v>
      </c>
      <c r="AOJ2">
        <v>44326</v>
      </c>
      <c r="AOK2">
        <v>44323</v>
      </c>
      <c r="AOL2">
        <v>44322</v>
      </c>
      <c r="AOM2">
        <v>44321</v>
      </c>
      <c r="AON2">
        <v>44320</v>
      </c>
      <c r="AOO2">
        <v>44319</v>
      </c>
      <c r="AOP2">
        <v>44316</v>
      </c>
      <c r="AOQ2">
        <v>44315</v>
      </c>
      <c r="AOR2">
        <v>44314</v>
      </c>
      <c r="AOS2">
        <v>44313</v>
      </c>
      <c r="AOT2">
        <v>44312</v>
      </c>
      <c r="AOU2">
        <v>44309</v>
      </c>
      <c r="AOV2">
        <v>44308</v>
      </c>
      <c r="AOW2">
        <v>44307</v>
      </c>
      <c r="AOX2">
        <v>44306</v>
      </c>
      <c r="AOY2">
        <v>44305</v>
      </c>
      <c r="AOZ2">
        <v>44302</v>
      </c>
      <c r="APA2">
        <v>44301</v>
      </c>
      <c r="APB2">
        <v>44300</v>
      </c>
      <c r="APC2">
        <v>44299</v>
      </c>
      <c r="APD2">
        <v>44298</v>
      </c>
      <c r="APE2">
        <v>44295</v>
      </c>
      <c r="APF2">
        <v>44294</v>
      </c>
      <c r="APG2">
        <v>44293</v>
      </c>
      <c r="APH2">
        <v>44292</v>
      </c>
      <c r="API2">
        <v>44291</v>
      </c>
      <c r="APJ2">
        <v>44288</v>
      </c>
      <c r="APK2">
        <v>44287</v>
      </c>
      <c r="APL2">
        <v>44286</v>
      </c>
      <c r="APM2">
        <v>44285</v>
      </c>
      <c r="APN2">
        <v>44284</v>
      </c>
      <c r="APO2">
        <v>44281</v>
      </c>
      <c r="APP2">
        <v>44280</v>
      </c>
      <c r="APQ2">
        <v>44279</v>
      </c>
      <c r="APR2">
        <v>44278</v>
      </c>
      <c r="APS2">
        <v>44277</v>
      </c>
      <c r="APT2">
        <v>44274</v>
      </c>
      <c r="APU2">
        <v>44273</v>
      </c>
      <c r="APV2">
        <v>44272</v>
      </c>
      <c r="APW2">
        <v>44271</v>
      </c>
      <c r="APX2">
        <v>44270</v>
      </c>
      <c r="APY2">
        <v>44267</v>
      </c>
      <c r="APZ2">
        <v>44266</v>
      </c>
      <c r="AQA2">
        <v>44265</v>
      </c>
      <c r="AQB2">
        <v>44264</v>
      </c>
      <c r="AQC2">
        <v>44263</v>
      </c>
      <c r="AQD2">
        <v>44260</v>
      </c>
      <c r="AQE2">
        <v>44259</v>
      </c>
      <c r="AQF2">
        <v>44258</v>
      </c>
      <c r="AQG2">
        <v>44257</v>
      </c>
      <c r="AQH2">
        <v>44256</v>
      </c>
      <c r="AQI2">
        <v>44253</v>
      </c>
      <c r="AQJ2">
        <v>44252</v>
      </c>
      <c r="AQK2">
        <v>44251</v>
      </c>
      <c r="AQL2">
        <v>44250</v>
      </c>
      <c r="AQM2">
        <v>44249</v>
      </c>
      <c r="AQN2">
        <v>44246</v>
      </c>
      <c r="AQO2">
        <v>44245</v>
      </c>
      <c r="AQP2">
        <v>44244</v>
      </c>
      <c r="AQQ2">
        <v>44243</v>
      </c>
      <c r="AQR2">
        <v>44242</v>
      </c>
      <c r="AQS2">
        <v>44239</v>
      </c>
      <c r="AQT2">
        <v>44238</v>
      </c>
      <c r="AQU2">
        <v>44237</v>
      </c>
      <c r="AQV2">
        <v>44236</v>
      </c>
      <c r="AQW2">
        <v>44235</v>
      </c>
      <c r="AQX2">
        <v>44232</v>
      </c>
      <c r="AQY2">
        <v>44231</v>
      </c>
      <c r="AQZ2">
        <v>44230</v>
      </c>
      <c r="ARA2">
        <v>44229</v>
      </c>
      <c r="ARB2">
        <v>44228</v>
      </c>
      <c r="ARC2">
        <v>44225</v>
      </c>
      <c r="ARD2">
        <v>44224</v>
      </c>
      <c r="ARE2">
        <v>44223</v>
      </c>
      <c r="ARF2">
        <v>44222</v>
      </c>
      <c r="ARG2">
        <v>44221</v>
      </c>
      <c r="ARH2">
        <v>44218</v>
      </c>
      <c r="ARI2">
        <v>44217</v>
      </c>
      <c r="ARJ2">
        <v>44216</v>
      </c>
      <c r="ARK2">
        <v>44215</v>
      </c>
      <c r="ARL2">
        <v>44214</v>
      </c>
      <c r="ARM2">
        <v>44211</v>
      </c>
      <c r="ARN2">
        <v>44210</v>
      </c>
      <c r="ARO2">
        <v>44209</v>
      </c>
      <c r="ARP2">
        <v>44208</v>
      </c>
      <c r="ARQ2">
        <v>44207</v>
      </c>
      <c r="ARR2">
        <v>44204</v>
      </c>
      <c r="ARS2">
        <v>44203</v>
      </c>
      <c r="ART2">
        <v>44202</v>
      </c>
      <c r="ARU2">
        <v>44201</v>
      </c>
      <c r="ARV2">
        <v>44200</v>
      </c>
      <c r="ARW2">
        <v>44197</v>
      </c>
      <c r="ARX2">
        <v>44196</v>
      </c>
      <c r="ARY2">
        <v>44195</v>
      </c>
      <c r="ARZ2">
        <v>44194</v>
      </c>
      <c r="ASA2">
        <v>44193</v>
      </c>
      <c r="ASB2">
        <v>44190</v>
      </c>
      <c r="ASC2">
        <v>44189</v>
      </c>
      <c r="ASD2">
        <v>44188</v>
      </c>
      <c r="ASE2">
        <v>44187</v>
      </c>
      <c r="ASF2">
        <v>44186</v>
      </c>
      <c r="ASG2">
        <v>44183</v>
      </c>
      <c r="ASH2">
        <v>44182</v>
      </c>
      <c r="ASI2">
        <v>44181</v>
      </c>
      <c r="ASJ2">
        <v>44180</v>
      </c>
      <c r="ASK2">
        <v>44179</v>
      </c>
      <c r="ASL2">
        <v>44176</v>
      </c>
      <c r="ASM2">
        <v>44175</v>
      </c>
      <c r="ASN2">
        <v>44174</v>
      </c>
      <c r="ASO2">
        <v>44173</v>
      </c>
      <c r="ASP2">
        <v>44172</v>
      </c>
      <c r="ASQ2">
        <v>44169</v>
      </c>
      <c r="ASR2">
        <v>44168</v>
      </c>
      <c r="ASS2">
        <v>44167</v>
      </c>
      <c r="AST2">
        <v>44166</v>
      </c>
      <c r="ASU2">
        <v>44165</v>
      </c>
      <c r="ASV2">
        <v>44162</v>
      </c>
      <c r="ASW2">
        <v>44161</v>
      </c>
      <c r="ASX2">
        <v>44160</v>
      </c>
      <c r="ASY2">
        <v>44159</v>
      </c>
      <c r="ASZ2">
        <v>44158</v>
      </c>
      <c r="ATA2">
        <v>44155</v>
      </c>
      <c r="ATB2">
        <v>44154</v>
      </c>
      <c r="ATC2">
        <v>44153</v>
      </c>
      <c r="ATD2">
        <v>44152</v>
      </c>
      <c r="ATE2">
        <v>44151</v>
      </c>
      <c r="ATF2">
        <v>44148</v>
      </c>
      <c r="ATG2">
        <v>44147</v>
      </c>
      <c r="ATH2">
        <v>44146</v>
      </c>
      <c r="ATI2">
        <v>44145</v>
      </c>
      <c r="ATJ2">
        <v>44144</v>
      </c>
      <c r="ATK2">
        <v>44141</v>
      </c>
      <c r="ATL2">
        <v>44140</v>
      </c>
      <c r="ATM2">
        <v>44139</v>
      </c>
      <c r="ATN2">
        <v>44138</v>
      </c>
      <c r="ATO2">
        <v>44137</v>
      </c>
      <c r="ATP2">
        <v>44134</v>
      </c>
      <c r="ATQ2">
        <v>44133</v>
      </c>
      <c r="ATR2">
        <v>44132</v>
      </c>
      <c r="ATS2">
        <v>44131</v>
      </c>
      <c r="ATT2">
        <v>44130</v>
      </c>
      <c r="ATU2">
        <v>44127</v>
      </c>
      <c r="ATV2">
        <v>44126</v>
      </c>
      <c r="ATW2">
        <v>44125</v>
      </c>
      <c r="ATX2">
        <v>44124</v>
      </c>
      <c r="ATY2">
        <v>44123</v>
      </c>
      <c r="ATZ2">
        <v>44120</v>
      </c>
      <c r="AUA2">
        <v>44119</v>
      </c>
      <c r="AUB2">
        <v>44118</v>
      </c>
      <c r="AUC2">
        <v>44117</v>
      </c>
      <c r="AUD2">
        <v>44116</v>
      </c>
      <c r="AUE2">
        <v>44113</v>
      </c>
      <c r="AUF2">
        <v>44112</v>
      </c>
      <c r="AUG2">
        <v>44111</v>
      </c>
      <c r="AUH2">
        <v>44110</v>
      </c>
      <c r="AUI2">
        <v>44109</v>
      </c>
      <c r="AUJ2">
        <v>44106</v>
      </c>
      <c r="AUK2">
        <v>44105</v>
      </c>
      <c r="AUL2">
        <v>44104</v>
      </c>
      <c r="AUM2">
        <v>44103</v>
      </c>
      <c r="AUN2">
        <v>44102</v>
      </c>
      <c r="AUO2">
        <v>44099</v>
      </c>
      <c r="AUP2">
        <v>44098</v>
      </c>
      <c r="AUQ2">
        <v>44097</v>
      </c>
      <c r="AUR2">
        <v>44096</v>
      </c>
      <c r="AUS2">
        <v>44095</v>
      </c>
      <c r="AUT2">
        <v>44092</v>
      </c>
      <c r="AUU2">
        <v>44091</v>
      </c>
      <c r="AUV2">
        <v>44090</v>
      </c>
      <c r="AUW2">
        <v>44089</v>
      </c>
      <c r="AUX2">
        <v>44088</v>
      </c>
      <c r="AUY2">
        <v>44085</v>
      </c>
      <c r="AUZ2">
        <v>44084</v>
      </c>
      <c r="AVA2">
        <v>44083</v>
      </c>
      <c r="AVB2">
        <v>44082</v>
      </c>
      <c r="AVC2">
        <v>44081</v>
      </c>
      <c r="AVD2">
        <v>44078</v>
      </c>
      <c r="AVE2">
        <v>44077</v>
      </c>
      <c r="AVF2">
        <v>44076</v>
      </c>
      <c r="AVG2">
        <v>44075</v>
      </c>
      <c r="AVH2">
        <v>44074</v>
      </c>
      <c r="AVI2">
        <v>44071</v>
      </c>
      <c r="AVJ2">
        <v>44070</v>
      </c>
      <c r="AVK2">
        <v>44069</v>
      </c>
      <c r="AVL2">
        <v>44068</v>
      </c>
      <c r="AVM2">
        <v>44067</v>
      </c>
      <c r="AVN2">
        <v>44064</v>
      </c>
      <c r="AVO2">
        <v>44063</v>
      </c>
      <c r="AVP2">
        <v>44062</v>
      </c>
      <c r="AVQ2">
        <v>44061</v>
      </c>
      <c r="AVR2">
        <v>44060</v>
      </c>
      <c r="AVS2">
        <v>44057</v>
      </c>
      <c r="AVT2">
        <v>44056</v>
      </c>
      <c r="AVU2">
        <v>44055</v>
      </c>
      <c r="AVV2">
        <v>44054</v>
      </c>
      <c r="AVW2">
        <v>44053</v>
      </c>
      <c r="AVX2">
        <v>44050</v>
      </c>
      <c r="AVY2">
        <v>44049</v>
      </c>
      <c r="AVZ2">
        <v>44048</v>
      </c>
      <c r="AWA2">
        <v>44047</v>
      </c>
      <c r="AWB2">
        <v>44046</v>
      </c>
      <c r="AWC2">
        <v>44043</v>
      </c>
      <c r="AWD2">
        <v>44042</v>
      </c>
      <c r="AWE2">
        <v>44041</v>
      </c>
      <c r="AWF2">
        <v>44040</v>
      </c>
      <c r="AWG2">
        <v>44039</v>
      </c>
      <c r="AWH2">
        <v>44036</v>
      </c>
      <c r="AWI2">
        <v>44035</v>
      </c>
      <c r="AWJ2">
        <v>44034</v>
      </c>
      <c r="AWK2">
        <v>44033</v>
      </c>
      <c r="AWL2">
        <v>44032</v>
      </c>
      <c r="AWM2">
        <v>44029</v>
      </c>
      <c r="AWN2">
        <v>44028</v>
      </c>
      <c r="AWO2">
        <v>44027</v>
      </c>
      <c r="AWP2">
        <v>44026</v>
      </c>
      <c r="AWQ2">
        <v>44025</v>
      </c>
      <c r="AWR2">
        <v>44022</v>
      </c>
      <c r="AWS2">
        <v>44021</v>
      </c>
      <c r="AWT2">
        <v>44020</v>
      </c>
      <c r="AWU2">
        <v>44019</v>
      </c>
      <c r="AWV2">
        <v>44018</v>
      </c>
      <c r="AWW2">
        <v>44015</v>
      </c>
      <c r="AWX2">
        <v>44014</v>
      </c>
      <c r="AWY2">
        <v>44013</v>
      </c>
      <c r="AWZ2">
        <v>44012</v>
      </c>
      <c r="AXA2">
        <v>44011</v>
      </c>
      <c r="AXB2">
        <v>44008</v>
      </c>
      <c r="AXC2">
        <v>44007</v>
      </c>
      <c r="AXD2">
        <v>44006</v>
      </c>
      <c r="AXE2">
        <v>44005</v>
      </c>
      <c r="AXF2">
        <v>44004</v>
      </c>
      <c r="AXG2">
        <v>44001</v>
      </c>
      <c r="AXH2">
        <v>44000</v>
      </c>
      <c r="AXI2">
        <v>43999</v>
      </c>
      <c r="AXJ2">
        <v>43998</v>
      </c>
      <c r="AXK2">
        <v>43997</v>
      </c>
      <c r="AXL2">
        <v>43994</v>
      </c>
      <c r="AXM2">
        <v>43993</v>
      </c>
      <c r="AXN2">
        <v>43992</v>
      </c>
      <c r="AXO2">
        <v>43991</v>
      </c>
      <c r="AXP2">
        <v>43990</v>
      </c>
      <c r="AXQ2">
        <v>43987</v>
      </c>
      <c r="AXR2">
        <v>43986</v>
      </c>
      <c r="AXS2">
        <v>43985</v>
      </c>
      <c r="AXT2">
        <v>43984</v>
      </c>
      <c r="AXU2">
        <v>43983</v>
      </c>
      <c r="AXV2">
        <v>43980</v>
      </c>
      <c r="AXW2">
        <v>43979</v>
      </c>
      <c r="AXX2">
        <v>43978</v>
      </c>
      <c r="AXY2">
        <v>43977</v>
      </c>
      <c r="AXZ2">
        <v>43976</v>
      </c>
      <c r="AYA2">
        <v>43973</v>
      </c>
      <c r="AYB2">
        <v>43972</v>
      </c>
      <c r="AYC2">
        <v>43971</v>
      </c>
      <c r="AYD2">
        <v>43970</v>
      </c>
      <c r="AYE2">
        <v>43969</v>
      </c>
      <c r="AYF2">
        <v>43966</v>
      </c>
      <c r="AYG2">
        <v>43965</v>
      </c>
      <c r="AYH2">
        <v>43964</v>
      </c>
      <c r="AYI2">
        <v>43963</v>
      </c>
      <c r="AYJ2">
        <v>43962</v>
      </c>
      <c r="AYK2">
        <v>43959</v>
      </c>
      <c r="AYL2">
        <v>43958</v>
      </c>
      <c r="AYM2">
        <v>43957</v>
      </c>
      <c r="AYN2">
        <v>43956</v>
      </c>
      <c r="AYO2">
        <v>43955</v>
      </c>
      <c r="AYP2">
        <v>43952</v>
      </c>
      <c r="AYQ2">
        <v>43951</v>
      </c>
      <c r="AYR2">
        <v>43950</v>
      </c>
      <c r="AYS2">
        <v>43949</v>
      </c>
      <c r="AYT2">
        <v>43948</v>
      </c>
      <c r="AYU2">
        <v>43945</v>
      </c>
      <c r="AYV2">
        <v>43944</v>
      </c>
      <c r="AYW2">
        <v>43943</v>
      </c>
      <c r="AYX2">
        <v>43942</v>
      </c>
      <c r="AYY2">
        <v>43941</v>
      </c>
      <c r="AYZ2">
        <v>43938</v>
      </c>
      <c r="AZA2">
        <v>43937</v>
      </c>
      <c r="AZB2">
        <v>43936</v>
      </c>
      <c r="AZC2">
        <v>43935</v>
      </c>
      <c r="AZD2">
        <v>43934</v>
      </c>
      <c r="AZE2">
        <v>43931</v>
      </c>
      <c r="AZF2">
        <v>43930</v>
      </c>
      <c r="AZG2">
        <v>43929</v>
      </c>
      <c r="AZH2">
        <v>43928</v>
      </c>
      <c r="AZI2">
        <v>43927</v>
      </c>
      <c r="AZJ2">
        <v>43924</v>
      </c>
      <c r="AZK2">
        <v>43923</v>
      </c>
      <c r="AZL2">
        <v>43922</v>
      </c>
      <c r="AZM2">
        <v>43921</v>
      </c>
      <c r="AZN2">
        <v>43920</v>
      </c>
      <c r="AZO2">
        <v>43917</v>
      </c>
      <c r="AZP2">
        <v>43916</v>
      </c>
      <c r="AZQ2">
        <v>43915</v>
      </c>
      <c r="AZR2">
        <v>43914</v>
      </c>
      <c r="AZS2">
        <v>43913</v>
      </c>
      <c r="AZT2">
        <v>43910</v>
      </c>
      <c r="AZU2">
        <v>43909</v>
      </c>
      <c r="AZV2">
        <v>43908</v>
      </c>
      <c r="AZW2">
        <v>43907</v>
      </c>
      <c r="AZX2">
        <v>43906</v>
      </c>
      <c r="AZY2">
        <v>43903</v>
      </c>
      <c r="AZZ2">
        <v>43902</v>
      </c>
      <c r="BAA2">
        <v>43901</v>
      </c>
      <c r="BAB2">
        <v>43900</v>
      </c>
      <c r="BAC2">
        <v>43899</v>
      </c>
      <c r="BAD2">
        <v>43896</v>
      </c>
      <c r="BAE2">
        <v>43895</v>
      </c>
      <c r="BAF2">
        <v>43894</v>
      </c>
      <c r="BAG2">
        <v>43893</v>
      </c>
      <c r="BAH2">
        <v>43892</v>
      </c>
      <c r="BAI2">
        <v>43889</v>
      </c>
      <c r="BAJ2">
        <v>43888</v>
      </c>
      <c r="BAK2">
        <v>43887</v>
      </c>
      <c r="BAL2">
        <v>43886</v>
      </c>
      <c r="BAM2">
        <v>43885</v>
      </c>
      <c r="BAN2">
        <v>43882</v>
      </c>
      <c r="BAO2">
        <v>43881</v>
      </c>
      <c r="BAP2">
        <v>43880</v>
      </c>
      <c r="BAQ2">
        <v>43879</v>
      </c>
      <c r="BAR2">
        <v>43878</v>
      </c>
      <c r="BAS2">
        <v>43875</v>
      </c>
      <c r="BAT2">
        <v>43874</v>
      </c>
      <c r="BAU2">
        <v>43873</v>
      </c>
      <c r="BAV2">
        <v>43872</v>
      </c>
      <c r="BAW2">
        <v>43871</v>
      </c>
      <c r="BAX2">
        <v>43868</v>
      </c>
      <c r="BAY2">
        <v>43867</v>
      </c>
      <c r="BAZ2">
        <v>43866</v>
      </c>
      <c r="BBA2">
        <v>43865</v>
      </c>
      <c r="BBB2">
        <v>43864</v>
      </c>
      <c r="BBC2">
        <v>43861</v>
      </c>
      <c r="BBD2">
        <v>43860</v>
      </c>
      <c r="BBE2">
        <v>43859</v>
      </c>
      <c r="BBF2">
        <v>43858</v>
      </c>
      <c r="BBG2">
        <v>43857</v>
      </c>
      <c r="BBH2">
        <v>43854</v>
      </c>
      <c r="BBI2">
        <v>43853</v>
      </c>
      <c r="BBJ2">
        <v>43852</v>
      </c>
      <c r="BBK2">
        <v>43851</v>
      </c>
      <c r="BBL2">
        <v>43850</v>
      </c>
      <c r="BBM2">
        <v>43847</v>
      </c>
      <c r="BBN2">
        <v>43846</v>
      </c>
      <c r="BBO2">
        <v>43845</v>
      </c>
      <c r="BBP2">
        <v>43844</v>
      </c>
      <c r="BBQ2">
        <v>43843</v>
      </c>
      <c r="BBR2">
        <v>43840</v>
      </c>
      <c r="BBS2">
        <v>43839</v>
      </c>
      <c r="BBT2">
        <v>43838</v>
      </c>
      <c r="BBU2">
        <v>43837</v>
      </c>
      <c r="BBV2">
        <v>43836</v>
      </c>
      <c r="BBW2">
        <v>43833</v>
      </c>
      <c r="BBX2">
        <v>43832</v>
      </c>
      <c r="BBY2">
        <v>43831</v>
      </c>
      <c r="BBZ2">
        <v>43830</v>
      </c>
      <c r="BCA2">
        <v>43829</v>
      </c>
      <c r="BCB2">
        <v>43826</v>
      </c>
      <c r="BCC2">
        <v>43825</v>
      </c>
      <c r="BCD2">
        <v>43824</v>
      </c>
      <c r="BCE2">
        <v>43823</v>
      </c>
      <c r="BCF2">
        <v>43822</v>
      </c>
      <c r="BCG2">
        <v>43819</v>
      </c>
      <c r="BCH2">
        <v>43818</v>
      </c>
      <c r="BCI2">
        <v>43817</v>
      </c>
      <c r="BCJ2">
        <v>43816</v>
      </c>
      <c r="BCK2">
        <v>43815</v>
      </c>
      <c r="BCL2">
        <v>43812</v>
      </c>
      <c r="BCM2">
        <v>43811</v>
      </c>
      <c r="BCN2">
        <v>43810</v>
      </c>
      <c r="BCO2">
        <v>43809</v>
      </c>
      <c r="BCP2">
        <v>43808</v>
      </c>
      <c r="BCQ2">
        <v>43805</v>
      </c>
      <c r="BCR2">
        <v>43804</v>
      </c>
      <c r="BCS2">
        <v>43803</v>
      </c>
      <c r="BCT2">
        <v>43802</v>
      </c>
      <c r="BCU2">
        <v>43801</v>
      </c>
      <c r="BCV2">
        <v>43798</v>
      </c>
      <c r="BCW2">
        <v>43797</v>
      </c>
      <c r="BCX2">
        <v>43796</v>
      </c>
      <c r="BCY2">
        <v>43795</v>
      </c>
      <c r="BCZ2">
        <v>43794</v>
      </c>
      <c r="BDA2">
        <v>43791</v>
      </c>
      <c r="BDB2">
        <v>43790</v>
      </c>
      <c r="BDC2">
        <v>43789</v>
      </c>
      <c r="BDD2">
        <v>43788</v>
      </c>
      <c r="BDE2">
        <v>43787</v>
      </c>
      <c r="BDF2">
        <v>43784</v>
      </c>
      <c r="BDG2">
        <v>43783</v>
      </c>
      <c r="BDH2">
        <v>43782</v>
      </c>
      <c r="BDI2">
        <v>43781</v>
      </c>
      <c r="BDJ2">
        <v>43780</v>
      </c>
      <c r="BDK2">
        <v>43777</v>
      </c>
      <c r="BDL2">
        <v>43776</v>
      </c>
      <c r="BDM2">
        <v>43775</v>
      </c>
      <c r="BDN2">
        <v>43774</v>
      </c>
      <c r="BDO2">
        <v>43773</v>
      </c>
      <c r="BDP2">
        <v>43770</v>
      </c>
      <c r="BDQ2">
        <v>43769</v>
      </c>
      <c r="BDR2">
        <v>43768</v>
      </c>
      <c r="BDS2">
        <v>43767</v>
      </c>
      <c r="BDT2">
        <v>43766</v>
      </c>
      <c r="BDU2">
        <v>43763</v>
      </c>
      <c r="BDV2">
        <v>43762</v>
      </c>
      <c r="BDW2">
        <v>43761</v>
      </c>
      <c r="BDX2">
        <v>43760</v>
      </c>
      <c r="BDY2">
        <v>43759</v>
      </c>
      <c r="BDZ2">
        <v>43756</v>
      </c>
      <c r="BEA2">
        <v>43755</v>
      </c>
      <c r="BEB2">
        <v>43754</v>
      </c>
      <c r="BEC2">
        <v>43753</v>
      </c>
      <c r="BED2">
        <v>43752</v>
      </c>
      <c r="BEE2">
        <v>43749</v>
      </c>
      <c r="BEF2">
        <v>43748</v>
      </c>
      <c r="BEG2">
        <v>43747</v>
      </c>
      <c r="BEH2">
        <v>43746</v>
      </c>
      <c r="BEI2">
        <v>43745</v>
      </c>
      <c r="BEJ2">
        <v>43742</v>
      </c>
      <c r="BEK2">
        <v>43741</v>
      </c>
      <c r="BEL2">
        <v>43740</v>
      </c>
      <c r="BEM2">
        <v>43739</v>
      </c>
      <c r="BEN2">
        <v>43738</v>
      </c>
      <c r="BEO2">
        <v>43735</v>
      </c>
      <c r="BEP2">
        <v>43734</v>
      </c>
      <c r="BEQ2">
        <v>43733</v>
      </c>
      <c r="BER2">
        <v>43732</v>
      </c>
      <c r="BES2">
        <v>43731</v>
      </c>
      <c r="BET2">
        <v>43728</v>
      </c>
      <c r="BEU2">
        <v>43727</v>
      </c>
      <c r="BEV2">
        <v>43726</v>
      </c>
      <c r="BEW2">
        <v>43725</v>
      </c>
      <c r="BEX2">
        <v>43724</v>
      </c>
      <c r="BEY2">
        <v>43721</v>
      </c>
      <c r="BEZ2">
        <v>43720</v>
      </c>
      <c r="BFA2">
        <v>43719</v>
      </c>
      <c r="BFB2">
        <v>43718</v>
      </c>
      <c r="BFC2">
        <v>43717</v>
      </c>
      <c r="BFD2">
        <v>43714</v>
      </c>
      <c r="BFE2">
        <v>43713</v>
      </c>
      <c r="BFF2">
        <v>43712</v>
      </c>
      <c r="BFG2">
        <v>43711</v>
      </c>
      <c r="BFH2">
        <v>43710</v>
      </c>
      <c r="BFI2">
        <v>43707</v>
      </c>
      <c r="BFJ2">
        <v>43706</v>
      </c>
      <c r="BFK2">
        <v>43705</v>
      </c>
      <c r="BFL2">
        <v>43704</v>
      </c>
      <c r="BFM2">
        <v>43703</v>
      </c>
      <c r="BFN2">
        <v>43700</v>
      </c>
      <c r="BFO2">
        <v>43699</v>
      </c>
      <c r="BFP2">
        <v>43698</v>
      </c>
      <c r="BFQ2">
        <v>43697</v>
      </c>
      <c r="BFR2">
        <v>43696</v>
      </c>
      <c r="BFS2">
        <v>43693</v>
      </c>
      <c r="BFT2">
        <v>43692</v>
      </c>
      <c r="BFU2">
        <v>43691</v>
      </c>
      <c r="BFV2">
        <v>43690</v>
      </c>
      <c r="BFW2">
        <v>43689</v>
      </c>
      <c r="BFX2">
        <v>43686</v>
      </c>
      <c r="BFY2">
        <v>43685</v>
      </c>
      <c r="BFZ2">
        <v>43684</v>
      </c>
      <c r="BGA2">
        <v>43683</v>
      </c>
      <c r="BGB2">
        <v>43682</v>
      </c>
      <c r="BGC2">
        <v>43679</v>
      </c>
      <c r="BGD2">
        <v>43678</v>
      </c>
      <c r="BGE2">
        <v>43677</v>
      </c>
      <c r="BGF2">
        <v>43676</v>
      </c>
      <c r="BGG2">
        <v>43675</v>
      </c>
      <c r="BGH2">
        <v>43672</v>
      </c>
      <c r="BGI2">
        <v>43671</v>
      </c>
      <c r="BGJ2">
        <v>43670</v>
      </c>
      <c r="BGK2">
        <v>43669</v>
      </c>
      <c r="BGL2">
        <v>43668</v>
      </c>
      <c r="BGM2">
        <v>43665</v>
      </c>
      <c r="BGN2">
        <v>43664</v>
      </c>
      <c r="BGO2">
        <v>43663</v>
      </c>
      <c r="BGP2">
        <v>43662</v>
      </c>
      <c r="BGQ2">
        <v>43661</v>
      </c>
      <c r="BGR2">
        <v>43658</v>
      </c>
      <c r="BGS2">
        <v>43657</v>
      </c>
      <c r="BGT2">
        <v>43656</v>
      </c>
      <c r="BGU2">
        <v>43655</v>
      </c>
      <c r="BGV2">
        <v>43654</v>
      </c>
      <c r="BGW2">
        <v>43651</v>
      </c>
      <c r="BGX2">
        <v>43650</v>
      </c>
      <c r="BGY2">
        <v>43649</v>
      </c>
      <c r="BGZ2">
        <v>43648</v>
      </c>
      <c r="BHA2">
        <v>43647</v>
      </c>
      <c r="BHB2">
        <v>43644</v>
      </c>
      <c r="BHC2">
        <v>43643</v>
      </c>
      <c r="BHD2">
        <v>43642</v>
      </c>
      <c r="BHE2">
        <v>43641</v>
      </c>
      <c r="BHF2">
        <v>43640</v>
      </c>
      <c r="BHG2">
        <v>43637</v>
      </c>
      <c r="BHH2">
        <v>43636</v>
      </c>
      <c r="BHI2">
        <v>43635</v>
      </c>
      <c r="BHJ2">
        <v>43634</v>
      </c>
      <c r="BHK2">
        <v>43633</v>
      </c>
      <c r="BHL2">
        <v>43630</v>
      </c>
      <c r="BHM2">
        <v>43629</v>
      </c>
      <c r="BHN2">
        <v>43628</v>
      </c>
      <c r="BHO2">
        <v>43627</v>
      </c>
      <c r="BHP2">
        <v>43626</v>
      </c>
      <c r="BHQ2">
        <v>43623</v>
      </c>
      <c r="BHR2">
        <v>43622</v>
      </c>
      <c r="BHS2">
        <v>43621</v>
      </c>
      <c r="BHT2">
        <v>43620</v>
      </c>
      <c r="BHU2">
        <v>43619</v>
      </c>
      <c r="BHV2">
        <v>43616</v>
      </c>
      <c r="BHW2">
        <v>43615</v>
      </c>
      <c r="BHX2">
        <v>43614</v>
      </c>
      <c r="BHY2">
        <v>43613</v>
      </c>
      <c r="BHZ2">
        <v>43612</v>
      </c>
      <c r="BIA2">
        <v>43609</v>
      </c>
      <c r="BIB2">
        <v>43608</v>
      </c>
      <c r="BIC2">
        <v>43607</v>
      </c>
      <c r="BID2">
        <v>43606</v>
      </c>
      <c r="BIE2">
        <v>43605</v>
      </c>
      <c r="BIF2">
        <v>43602</v>
      </c>
      <c r="BIG2">
        <v>43601</v>
      </c>
      <c r="BIH2">
        <v>43600</v>
      </c>
      <c r="BII2">
        <v>43599</v>
      </c>
      <c r="BIJ2">
        <v>43598</v>
      </c>
      <c r="BIK2">
        <v>43595</v>
      </c>
      <c r="BIL2">
        <v>43594</v>
      </c>
      <c r="BIM2">
        <v>43593</v>
      </c>
      <c r="BIN2">
        <v>43592</v>
      </c>
      <c r="BIO2">
        <v>43591</v>
      </c>
      <c r="BIP2">
        <v>43588</v>
      </c>
      <c r="BIQ2">
        <v>43587</v>
      </c>
      <c r="BIR2">
        <v>43586</v>
      </c>
      <c r="BIS2">
        <v>43585</v>
      </c>
      <c r="BIT2">
        <v>43584</v>
      </c>
      <c r="BIU2">
        <v>43581</v>
      </c>
      <c r="BIV2">
        <v>43580</v>
      </c>
      <c r="BIW2">
        <v>43579</v>
      </c>
      <c r="BIX2">
        <v>43578</v>
      </c>
      <c r="BIY2">
        <v>43577</v>
      </c>
      <c r="BIZ2">
        <v>43574</v>
      </c>
      <c r="BJA2">
        <v>43573</v>
      </c>
      <c r="BJB2">
        <v>43572</v>
      </c>
      <c r="BJC2">
        <v>43571</v>
      </c>
      <c r="BJD2">
        <v>43570</v>
      </c>
      <c r="BJE2">
        <v>43567</v>
      </c>
      <c r="BJF2">
        <v>43566</v>
      </c>
      <c r="BJG2">
        <v>43565</v>
      </c>
      <c r="BJH2">
        <v>43564</v>
      </c>
      <c r="BJI2">
        <v>43563</v>
      </c>
      <c r="BJJ2">
        <v>43560</v>
      </c>
      <c r="BJK2">
        <v>43559</v>
      </c>
      <c r="BJL2">
        <v>43558</v>
      </c>
      <c r="BJM2">
        <v>43557</v>
      </c>
      <c r="BJN2">
        <v>43556</v>
      </c>
      <c r="BJO2">
        <v>43553</v>
      </c>
      <c r="BJP2">
        <v>43552</v>
      </c>
      <c r="BJQ2">
        <v>43551</v>
      </c>
      <c r="BJR2">
        <v>43550</v>
      </c>
      <c r="BJS2">
        <v>43549</v>
      </c>
      <c r="BJT2">
        <v>43546</v>
      </c>
      <c r="BJU2">
        <v>43545</v>
      </c>
      <c r="BJV2">
        <v>43544</v>
      </c>
      <c r="BJW2">
        <v>43543</v>
      </c>
      <c r="BJX2">
        <v>43542</v>
      </c>
      <c r="BJY2">
        <v>43539</v>
      </c>
      <c r="BJZ2">
        <v>43538</v>
      </c>
      <c r="BKA2">
        <v>43537</v>
      </c>
      <c r="BKB2">
        <v>43536</v>
      </c>
      <c r="BKC2">
        <v>43535</v>
      </c>
      <c r="BKD2">
        <v>43532</v>
      </c>
      <c r="BKE2">
        <v>43531</v>
      </c>
      <c r="BKF2">
        <v>43530</v>
      </c>
      <c r="BKG2">
        <v>43529</v>
      </c>
      <c r="BKH2">
        <v>43528</v>
      </c>
      <c r="BKI2">
        <v>43525</v>
      </c>
      <c r="BKJ2">
        <v>43524</v>
      </c>
      <c r="BKK2">
        <v>43523</v>
      </c>
      <c r="BKL2">
        <v>43522</v>
      </c>
      <c r="BKM2">
        <v>43521</v>
      </c>
      <c r="BKN2">
        <v>43518</v>
      </c>
      <c r="BKO2">
        <v>43517</v>
      </c>
      <c r="BKP2">
        <v>43516</v>
      </c>
      <c r="BKQ2">
        <v>43515</v>
      </c>
      <c r="BKR2">
        <v>43514</v>
      </c>
      <c r="BKS2">
        <v>43511</v>
      </c>
      <c r="BKT2">
        <v>43510</v>
      </c>
      <c r="BKU2">
        <v>43509</v>
      </c>
      <c r="BKV2">
        <v>43508</v>
      </c>
      <c r="BKW2">
        <v>43507</v>
      </c>
      <c r="BKX2">
        <v>43504</v>
      </c>
      <c r="BKY2">
        <v>43503</v>
      </c>
      <c r="BKZ2">
        <v>43502</v>
      </c>
      <c r="BLA2">
        <v>43501</v>
      </c>
      <c r="BLB2">
        <v>43500</v>
      </c>
      <c r="BLC2">
        <v>43497</v>
      </c>
      <c r="BLD2">
        <v>43496</v>
      </c>
      <c r="BLE2">
        <v>43495</v>
      </c>
      <c r="BLF2">
        <v>43494</v>
      </c>
      <c r="BLG2">
        <v>43493</v>
      </c>
      <c r="BLH2">
        <v>43490</v>
      </c>
      <c r="BLI2">
        <v>43489</v>
      </c>
      <c r="BLJ2">
        <v>43488</v>
      </c>
      <c r="BLK2">
        <v>43487</v>
      </c>
      <c r="BLL2">
        <v>43486</v>
      </c>
      <c r="BLM2">
        <v>43483</v>
      </c>
      <c r="BLN2">
        <v>43482</v>
      </c>
      <c r="BLO2">
        <v>43481</v>
      </c>
      <c r="BLP2">
        <v>43480</v>
      </c>
      <c r="BLQ2">
        <v>43479</v>
      </c>
      <c r="BLR2">
        <v>43476</v>
      </c>
      <c r="BLS2">
        <v>43475</v>
      </c>
      <c r="BLT2">
        <v>43474</v>
      </c>
      <c r="BLU2">
        <v>43473</v>
      </c>
      <c r="BLV2">
        <v>43472</v>
      </c>
      <c r="BLW2">
        <v>43469</v>
      </c>
      <c r="BLX2">
        <v>43468</v>
      </c>
      <c r="BLY2">
        <v>43467</v>
      </c>
      <c r="BLZ2">
        <v>43466</v>
      </c>
      <c r="BMA2">
        <v>43465</v>
      </c>
      <c r="BMB2">
        <v>43462</v>
      </c>
      <c r="BMC2">
        <v>43461</v>
      </c>
      <c r="BMD2">
        <v>43460</v>
      </c>
      <c r="BME2">
        <v>43459</v>
      </c>
      <c r="BMF2">
        <v>43458</v>
      </c>
      <c r="BMG2">
        <v>43455</v>
      </c>
      <c r="BMH2">
        <v>43454</v>
      </c>
      <c r="BMI2">
        <v>43453</v>
      </c>
      <c r="BMJ2">
        <v>43452</v>
      </c>
      <c r="BMK2">
        <v>43451</v>
      </c>
      <c r="BML2">
        <v>43448</v>
      </c>
      <c r="BMM2">
        <v>43447</v>
      </c>
      <c r="BMN2">
        <v>43446</v>
      </c>
      <c r="BMO2">
        <v>43445</v>
      </c>
      <c r="BMP2">
        <v>43444</v>
      </c>
      <c r="BMQ2">
        <v>43441</v>
      </c>
      <c r="BMR2">
        <v>43440</v>
      </c>
      <c r="BMS2">
        <v>43439</v>
      </c>
      <c r="BMT2">
        <v>43438</v>
      </c>
      <c r="BMU2">
        <v>43437</v>
      </c>
      <c r="BMV2">
        <v>43434</v>
      </c>
      <c r="BMW2">
        <v>43433</v>
      </c>
      <c r="BMX2">
        <v>43432</v>
      </c>
      <c r="BMY2">
        <v>43431</v>
      </c>
      <c r="BMZ2">
        <v>43430</v>
      </c>
      <c r="BNA2">
        <v>43427</v>
      </c>
      <c r="BNB2">
        <v>43426</v>
      </c>
      <c r="BNC2">
        <v>43425</v>
      </c>
      <c r="BND2">
        <v>43424</v>
      </c>
      <c r="BNE2">
        <v>43423</v>
      </c>
      <c r="BNF2">
        <v>43420</v>
      </c>
      <c r="BNG2">
        <v>43419</v>
      </c>
      <c r="BNH2">
        <v>43418</v>
      </c>
      <c r="BNI2">
        <v>43417</v>
      </c>
      <c r="BNJ2">
        <v>43416</v>
      </c>
      <c r="BNK2">
        <v>43413</v>
      </c>
      <c r="BNL2">
        <v>43412</v>
      </c>
      <c r="BNM2">
        <v>43411</v>
      </c>
      <c r="BNN2">
        <v>43410</v>
      </c>
      <c r="BNO2">
        <v>43409</v>
      </c>
      <c r="BNP2">
        <v>43406</v>
      </c>
      <c r="BNQ2">
        <v>43405</v>
      </c>
      <c r="BNR2">
        <v>43404</v>
      </c>
      <c r="BNS2">
        <v>43403</v>
      </c>
      <c r="BNT2">
        <v>43402</v>
      </c>
      <c r="BNU2">
        <v>43399</v>
      </c>
      <c r="BNV2">
        <v>43398</v>
      </c>
      <c r="BNW2">
        <v>43397</v>
      </c>
      <c r="BNX2">
        <v>43396</v>
      </c>
      <c r="BNY2">
        <v>43395</v>
      </c>
      <c r="BNZ2">
        <v>43392</v>
      </c>
      <c r="BOA2">
        <v>43391</v>
      </c>
      <c r="BOB2">
        <v>43390</v>
      </c>
      <c r="BOC2">
        <v>43389</v>
      </c>
      <c r="BOD2">
        <v>43388</v>
      </c>
      <c r="BOE2">
        <v>43385</v>
      </c>
      <c r="BOF2">
        <v>43384</v>
      </c>
      <c r="BOG2">
        <v>43383</v>
      </c>
      <c r="BOH2">
        <v>43382</v>
      </c>
      <c r="BOI2">
        <v>43381</v>
      </c>
      <c r="BOJ2">
        <v>43378</v>
      </c>
      <c r="BOK2">
        <v>43377</v>
      </c>
      <c r="BOL2">
        <v>43376</v>
      </c>
      <c r="BOM2">
        <v>43375</v>
      </c>
      <c r="BON2">
        <v>43374</v>
      </c>
      <c r="BOO2">
        <v>43371</v>
      </c>
      <c r="BOP2">
        <v>43370</v>
      </c>
      <c r="BOQ2">
        <v>43369</v>
      </c>
      <c r="BOR2">
        <v>43368</v>
      </c>
      <c r="BOS2">
        <v>43367</v>
      </c>
      <c r="BOT2">
        <v>43364</v>
      </c>
      <c r="BOU2">
        <v>43363</v>
      </c>
      <c r="BOV2">
        <v>43362</v>
      </c>
      <c r="BOW2">
        <v>43361</v>
      </c>
      <c r="BOX2">
        <v>43360</v>
      </c>
      <c r="BOY2">
        <v>43357</v>
      </c>
      <c r="BOZ2">
        <v>43356</v>
      </c>
      <c r="BPA2">
        <v>43355</v>
      </c>
      <c r="BPB2">
        <v>43354</v>
      </c>
      <c r="BPC2">
        <v>43353</v>
      </c>
      <c r="BPD2">
        <v>43350</v>
      </c>
      <c r="BPE2">
        <v>43349</v>
      </c>
      <c r="BPF2">
        <v>43348</v>
      </c>
      <c r="BPG2">
        <v>43347</v>
      </c>
      <c r="BPH2">
        <v>43346</v>
      </c>
      <c r="BPI2">
        <v>43343</v>
      </c>
      <c r="BPJ2">
        <v>43342</v>
      </c>
      <c r="BPK2">
        <v>43341</v>
      </c>
      <c r="BPL2">
        <v>43340</v>
      </c>
      <c r="BPM2">
        <v>43339</v>
      </c>
      <c r="BPN2">
        <v>43336</v>
      </c>
      <c r="BPO2">
        <v>43335</v>
      </c>
      <c r="BPP2">
        <v>43334</v>
      </c>
      <c r="BPQ2">
        <v>43333</v>
      </c>
      <c r="BPR2">
        <v>43332</v>
      </c>
      <c r="BPS2">
        <v>43329</v>
      </c>
      <c r="BPT2">
        <v>43328</v>
      </c>
      <c r="BPU2">
        <v>43327</v>
      </c>
      <c r="BPV2">
        <v>43326</v>
      </c>
      <c r="BPW2">
        <v>43325</v>
      </c>
      <c r="BPX2">
        <v>43322</v>
      </c>
      <c r="BPY2">
        <v>43321</v>
      </c>
      <c r="BPZ2">
        <v>43320</v>
      </c>
      <c r="BQA2">
        <v>43319</v>
      </c>
      <c r="BQB2">
        <v>43318</v>
      </c>
      <c r="BQC2">
        <v>43315</v>
      </c>
      <c r="BQD2">
        <v>43314</v>
      </c>
      <c r="BQE2">
        <v>43313</v>
      </c>
      <c r="BQF2">
        <v>43312</v>
      </c>
      <c r="BQG2">
        <v>43311</v>
      </c>
      <c r="BQH2">
        <v>43308</v>
      </c>
      <c r="BQI2">
        <v>43307</v>
      </c>
      <c r="BQJ2">
        <v>43306</v>
      </c>
      <c r="BQK2">
        <v>43305</v>
      </c>
      <c r="BQL2">
        <v>43304</v>
      </c>
      <c r="BQM2">
        <v>43301</v>
      </c>
      <c r="BQN2">
        <v>43300</v>
      </c>
      <c r="BQO2">
        <v>43299</v>
      </c>
      <c r="BQP2">
        <v>43298</v>
      </c>
      <c r="BQQ2">
        <v>43297</v>
      </c>
      <c r="BQR2">
        <v>43294</v>
      </c>
      <c r="BQS2">
        <v>43293</v>
      </c>
      <c r="BQT2">
        <v>43292</v>
      </c>
      <c r="BQU2">
        <v>43291</v>
      </c>
      <c r="BQV2">
        <v>43290</v>
      </c>
      <c r="BQW2">
        <v>43287</v>
      </c>
      <c r="BQX2">
        <v>43286</v>
      </c>
      <c r="BQY2">
        <v>43285</v>
      </c>
      <c r="BQZ2">
        <v>43284</v>
      </c>
      <c r="BRA2">
        <v>43283</v>
      </c>
      <c r="BRB2">
        <v>43280</v>
      </c>
      <c r="BRC2">
        <v>43279</v>
      </c>
      <c r="BRD2">
        <v>43278</v>
      </c>
      <c r="BRE2">
        <v>43277</v>
      </c>
      <c r="BRF2">
        <v>43276</v>
      </c>
      <c r="BRG2">
        <v>43273</v>
      </c>
      <c r="BRH2">
        <v>43272</v>
      </c>
      <c r="BRI2">
        <v>43271</v>
      </c>
      <c r="BRJ2">
        <v>43270</v>
      </c>
      <c r="BRK2">
        <v>43269</v>
      </c>
      <c r="BRL2">
        <v>43266</v>
      </c>
      <c r="BRM2">
        <v>43265</v>
      </c>
      <c r="BRN2">
        <v>43264</v>
      </c>
      <c r="BRO2">
        <v>43263</v>
      </c>
      <c r="BRP2">
        <v>43262</v>
      </c>
      <c r="BRQ2">
        <v>43259</v>
      </c>
      <c r="BRR2">
        <v>43258</v>
      </c>
      <c r="BRS2">
        <v>43257</v>
      </c>
      <c r="BRT2">
        <v>43256</v>
      </c>
      <c r="BRU2">
        <v>43255</v>
      </c>
      <c r="BRV2">
        <v>43252</v>
      </c>
      <c r="BRW2">
        <v>43251</v>
      </c>
      <c r="BRX2">
        <v>43250</v>
      </c>
      <c r="BRY2">
        <v>43249</v>
      </c>
      <c r="BRZ2">
        <v>43248</v>
      </c>
      <c r="BSA2">
        <v>43245</v>
      </c>
      <c r="BSB2">
        <v>43244</v>
      </c>
      <c r="BSC2">
        <v>43243</v>
      </c>
      <c r="BSD2">
        <v>43242</v>
      </c>
      <c r="BSE2">
        <v>43241</v>
      </c>
      <c r="BSF2">
        <v>43238</v>
      </c>
      <c r="BSG2">
        <v>43237</v>
      </c>
      <c r="BSH2">
        <v>43236</v>
      </c>
      <c r="BSI2">
        <v>43235</v>
      </c>
      <c r="BSJ2">
        <v>43234</v>
      </c>
      <c r="BSK2">
        <v>43231</v>
      </c>
      <c r="BSL2">
        <v>43230</v>
      </c>
      <c r="BSM2">
        <v>43229</v>
      </c>
      <c r="BSN2">
        <v>43228</v>
      </c>
      <c r="BSO2">
        <v>43227</v>
      </c>
      <c r="BSP2">
        <v>43224</v>
      </c>
      <c r="BSQ2">
        <v>43223</v>
      </c>
      <c r="BSR2">
        <v>43222</v>
      </c>
      <c r="BSS2">
        <v>43221</v>
      </c>
      <c r="BST2">
        <v>43220</v>
      </c>
      <c r="BSU2">
        <v>43217</v>
      </c>
      <c r="BSV2">
        <v>43216</v>
      </c>
      <c r="BSW2">
        <v>43215</v>
      </c>
      <c r="BSX2">
        <v>43214</v>
      </c>
      <c r="BSY2">
        <v>43213</v>
      </c>
      <c r="BSZ2">
        <v>43210</v>
      </c>
      <c r="BTA2">
        <v>43209</v>
      </c>
      <c r="BTB2">
        <v>43208</v>
      </c>
      <c r="BTC2">
        <v>43207</v>
      </c>
      <c r="BTD2">
        <v>43206</v>
      </c>
      <c r="BTE2">
        <v>43203</v>
      </c>
      <c r="BTF2">
        <v>43202</v>
      </c>
      <c r="BTG2">
        <v>43201</v>
      </c>
      <c r="BTH2">
        <v>43200</v>
      </c>
      <c r="BTI2">
        <v>43199</v>
      </c>
      <c r="BTJ2">
        <v>43196</v>
      </c>
      <c r="BTK2">
        <v>43195</v>
      </c>
      <c r="BTL2">
        <v>43194</v>
      </c>
      <c r="BTM2">
        <v>43193</v>
      </c>
      <c r="BTN2">
        <v>43192</v>
      </c>
      <c r="BTO2">
        <v>43189</v>
      </c>
      <c r="BTP2">
        <v>43188</v>
      </c>
      <c r="BTQ2">
        <v>43187</v>
      </c>
      <c r="BTR2">
        <v>43186</v>
      </c>
      <c r="BTS2">
        <v>43185</v>
      </c>
      <c r="BTT2">
        <v>43182</v>
      </c>
      <c r="BTU2">
        <v>43181</v>
      </c>
      <c r="BTV2">
        <v>43180</v>
      </c>
      <c r="BTW2">
        <v>43179</v>
      </c>
      <c r="BTX2">
        <v>43178</v>
      </c>
      <c r="BTY2">
        <v>43175</v>
      </c>
      <c r="BTZ2">
        <v>43174</v>
      </c>
      <c r="BUA2">
        <v>43173</v>
      </c>
      <c r="BUB2">
        <v>43172</v>
      </c>
      <c r="BUC2">
        <v>43171</v>
      </c>
      <c r="BUD2">
        <v>43168</v>
      </c>
      <c r="BUE2">
        <v>43167</v>
      </c>
      <c r="BUF2">
        <v>43166</v>
      </c>
      <c r="BUG2">
        <v>43165</v>
      </c>
      <c r="BUH2">
        <v>43164</v>
      </c>
      <c r="BUI2">
        <v>43161</v>
      </c>
      <c r="BUJ2">
        <v>43160</v>
      </c>
      <c r="BUK2">
        <v>43159</v>
      </c>
      <c r="BUL2">
        <v>43158</v>
      </c>
      <c r="BUM2">
        <v>43157</v>
      </c>
      <c r="BUN2">
        <v>43154</v>
      </c>
      <c r="BUO2">
        <v>43153</v>
      </c>
      <c r="BUP2">
        <v>43152</v>
      </c>
      <c r="BUQ2">
        <v>43151</v>
      </c>
      <c r="BUR2">
        <v>43150</v>
      </c>
      <c r="BUS2">
        <v>43147</v>
      </c>
      <c r="BUT2">
        <v>43146</v>
      </c>
      <c r="BUU2">
        <v>43145</v>
      </c>
      <c r="BUV2">
        <v>43144</v>
      </c>
      <c r="BUW2">
        <v>43143</v>
      </c>
      <c r="BUX2">
        <v>43140</v>
      </c>
      <c r="BUY2">
        <v>43139</v>
      </c>
      <c r="BUZ2">
        <v>43138</v>
      </c>
      <c r="BVA2">
        <v>43137</v>
      </c>
      <c r="BVB2">
        <v>43136</v>
      </c>
      <c r="BVC2">
        <v>43133</v>
      </c>
      <c r="BVD2">
        <v>43132</v>
      </c>
      <c r="BVE2">
        <v>43131</v>
      </c>
      <c r="BVF2">
        <v>43130</v>
      </c>
      <c r="BVG2">
        <v>43129</v>
      </c>
      <c r="BVH2">
        <v>43126</v>
      </c>
      <c r="BVI2">
        <v>43125</v>
      </c>
      <c r="BVJ2">
        <v>43124</v>
      </c>
      <c r="BVK2">
        <v>43123</v>
      </c>
      <c r="BVL2">
        <v>43122</v>
      </c>
      <c r="BVM2">
        <v>43119</v>
      </c>
      <c r="BVN2">
        <v>43118</v>
      </c>
      <c r="BVO2">
        <v>43117</v>
      </c>
      <c r="BVP2">
        <v>43116</v>
      </c>
      <c r="BVQ2">
        <v>43115</v>
      </c>
      <c r="BVR2">
        <v>43112</v>
      </c>
      <c r="BVS2">
        <v>43111</v>
      </c>
      <c r="BVT2">
        <v>43110</v>
      </c>
      <c r="BVU2">
        <v>43109</v>
      </c>
      <c r="BVV2">
        <v>43108</v>
      </c>
      <c r="BVW2">
        <v>43105</v>
      </c>
      <c r="BVX2">
        <v>43104</v>
      </c>
      <c r="BVY2">
        <v>43103</v>
      </c>
      <c r="BVZ2">
        <v>43102</v>
      </c>
      <c r="BWA2">
        <v>43101</v>
      </c>
      <c r="BWB2">
        <v>43098</v>
      </c>
      <c r="BWC2">
        <v>43097</v>
      </c>
      <c r="BWD2">
        <v>43096</v>
      </c>
      <c r="BWE2">
        <v>43095</v>
      </c>
      <c r="BWF2">
        <v>43094</v>
      </c>
      <c r="BWG2">
        <v>43091</v>
      </c>
      <c r="BWH2">
        <v>43090</v>
      </c>
      <c r="BWI2">
        <v>43089</v>
      </c>
      <c r="BWJ2">
        <v>43088</v>
      </c>
      <c r="BWK2">
        <v>43087</v>
      </c>
      <c r="BWL2">
        <v>43084</v>
      </c>
      <c r="BWM2">
        <v>43083</v>
      </c>
      <c r="BWN2">
        <v>43082</v>
      </c>
      <c r="BWO2">
        <v>43081</v>
      </c>
      <c r="BWP2">
        <v>43080</v>
      </c>
      <c r="BWQ2">
        <v>43077</v>
      </c>
      <c r="BWR2">
        <v>43076</v>
      </c>
      <c r="BWS2">
        <v>43075</v>
      </c>
      <c r="BWT2">
        <v>43074</v>
      </c>
      <c r="BWU2">
        <v>43073</v>
      </c>
      <c r="BWV2">
        <v>43070</v>
      </c>
      <c r="BWW2">
        <v>43069</v>
      </c>
      <c r="BWX2">
        <v>43068</v>
      </c>
      <c r="BWY2">
        <v>43067</v>
      </c>
      <c r="BWZ2">
        <v>43066</v>
      </c>
      <c r="BXA2">
        <v>43063</v>
      </c>
      <c r="BXB2">
        <v>43062</v>
      </c>
      <c r="BXC2">
        <v>43061</v>
      </c>
      <c r="BXD2">
        <v>43060</v>
      </c>
      <c r="BXE2">
        <v>43059</v>
      </c>
      <c r="BXF2">
        <v>43056</v>
      </c>
      <c r="BXG2">
        <v>43055</v>
      </c>
      <c r="BXH2">
        <v>43054</v>
      </c>
      <c r="BXI2">
        <v>43053</v>
      </c>
      <c r="BXJ2">
        <v>43052</v>
      </c>
      <c r="BXK2">
        <v>43049</v>
      </c>
      <c r="BXL2">
        <v>43048</v>
      </c>
      <c r="BXM2">
        <v>43047</v>
      </c>
      <c r="BXN2">
        <v>43046</v>
      </c>
      <c r="BXO2">
        <v>43045</v>
      </c>
      <c r="BXP2">
        <v>43042</v>
      </c>
      <c r="BXQ2">
        <v>43041</v>
      </c>
      <c r="BXR2">
        <v>43040</v>
      </c>
      <c r="BXS2">
        <v>43039</v>
      </c>
      <c r="BXT2">
        <v>43038</v>
      </c>
      <c r="BXU2">
        <v>43035</v>
      </c>
      <c r="BXV2">
        <v>43034</v>
      </c>
      <c r="BXW2">
        <v>43033</v>
      </c>
      <c r="BXX2">
        <v>43032</v>
      </c>
      <c r="BXY2">
        <v>43031</v>
      </c>
      <c r="BXZ2">
        <v>43028</v>
      </c>
      <c r="BYA2">
        <v>43027</v>
      </c>
      <c r="BYB2">
        <v>43026</v>
      </c>
      <c r="BYC2">
        <v>43025</v>
      </c>
      <c r="BYD2">
        <v>43024</v>
      </c>
      <c r="BYE2">
        <v>43021</v>
      </c>
      <c r="BYF2">
        <v>43020</v>
      </c>
      <c r="BYG2">
        <v>43019</v>
      </c>
      <c r="BYH2">
        <v>43018</v>
      </c>
      <c r="BYI2">
        <v>43017</v>
      </c>
      <c r="BYJ2">
        <v>43014</v>
      </c>
      <c r="BYK2">
        <v>43013</v>
      </c>
      <c r="BYL2">
        <v>43012</v>
      </c>
      <c r="BYM2">
        <v>43011</v>
      </c>
      <c r="BYN2">
        <v>43010</v>
      </c>
      <c r="BYO2">
        <v>43007</v>
      </c>
      <c r="BYP2">
        <v>43006</v>
      </c>
      <c r="BYQ2">
        <v>43005</v>
      </c>
      <c r="BYR2">
        <v>43004</v>
      </c>
      <c r="BYS2">
        <v>43003</v>
      </c>
      <c r="BYT2">
        <v>43000</v>
      </c>
      <c r="BYU2">
        <v>42999</v>
      </c>
      <c r="BYV2">
        <v>42998</v>
      </c>
      <c r="BYW2">
        <v>42997</v>
      </c>
      <c r="BYX2">
        <v>42996</v>
      </c>
      <c r="BYY2">
        <v>42993</v>
      </c>
      <c r="BYZ2">
        <v>42992</v>
      </c>
      <c r="BZA2">
        <v>42991</v>
      </c>
      <c r="BZB2">
        <v>42990</v>
      </c>
      <c r="BZC2">
        <v>42989</v>
      </c>
      <c r="BZD2">
        <v>42986</v>
      </c>
      <c r="BZE2">
        <v>42985</v>
      </c>
      <c r="BZF2">
        <v>42984</v>
      </c>
      <c r="BZG2">
        <v>42983</v>
      </c>
      <c r="BZH2">
        <v>42982</v>
      </c>
      <c r="BZI2">
        <v>42979</v>
      </c>
      <c r="BZJ2">
        <v>42978</v>
      </c>
      <c r="BZK2">
        <v>42977</v>
      </c>
      <c r="BZL2">
        <v>42976</v>
      </c>
      <c r="BZM2">
        <v>42975</v>
      </c>
      <c r="BZN2">
        <v>42972</v>
      </c>
      <c r="BZO2">
        <v>42971</v>
      </c>
      <c r="BZP2">
        <v>42970</v>
      </c>
      <c r="BZQ2">
        <v>42969</v>
      </c>
      <c r="BZR2">
        <v>42968</v>
      </c>
      <c r="BZS2">
        <v>42965</v>
      </c>
      <c r="BZT2">
        <v>42964</v>
      </c>
      <c r="BZU2">
        <v>42963</v>
      </c>
      <c r="BZV2">
        <v>42962</v>
      </c>
      <c r="BZW2">
        <v>42961</v>
      </c>
      <c r="BZX2">
        <v>42958</v>
      </c>
      <c r="BZY2">
        <v>42957</v>
      </c>
      <c r="BZZ2">
        <v>42956</v>
      </c>
      <c r="CAA2">
        <v>42955</v>
      </c>
      <c r="CAB2">
        <v>42954</v>
      </c>
      <c r="CAC2">
        <v>42951</v>
      </c>
      <c r="CAD2">
        <v>42950</v>
      </c>
      <c r="CAE2">
        <v>42949</v>
      </c>
      <c r="CAF2">
        <v>42948</v>
      </c>
      <c r="CAG2">
        <v>42947</v>
      </c>
      <c r="CAH2">
        <v>42944</v>
      </c>
      <c r="CAI2">
        <v>42943</v>
      </c>
      <c r="CAJ2">
        <v>42942</v>
      </c>
      <c r="CAK2">
        <v>42941</v>
      </c>
      <c r="CAL2">
        <v>42940</v>
      </c>
      <c r="CAM2">
        <v>42937</v>
      </c>
      <c r="CAN2">
        <v>42936</v>
      </c>
      <c r="CAO2">
        <v>42935</v>
      </c>
      <c r="CAP2">
        <v>42934</v>
      </c>
      <c r="CAQ2">
        <v>42933</v>
      </c>
      <c r="CAR2">
        <v>42930</v>
      </c>
      <c r="CAS2">
        <v>42929</v>
      </c>
      <c r="CAT2">
        <v>42928</v>
      </c>
      <c r="CAU2">
        <v>42927</v>
      </c>
      <c r="CAV2">
        <v>42926</v>
      </c>
      <c r="CAW2">
        <v>42923</v>
      </c>
      <c r="CAX2">
        <v>42922</v>
      </c>
      <c r="CAY2">
        <v>42921</v>
      </c>
      <c r="CAZ2">
        <v>42920</v>
      </c>
      <c r="CBA2">
        <v>42919</v>
      </c>
      <c r="CBB2">
        <v>42916</v>
      </c>
      <c r="CBC2">
        <v>42915</v>
      </c>
      <c r="CBD2">
        <v>42914</v>
      </c>
      <c r="CBE2">
        <v>42913</v>
      </c>
      <c r="CBF2">
        <v>42912</v>
      </c>
      <c r="CBG2">
        <v>42909</v>
      </c>
      <c r="CBH2">
        <v>42908</v>
      </c>
      <c r="CBI2">
        <v>42907</v>
      </c>
      <c r="CBJ2">
        <v>42906</v>
      </c>
      <c r="CBK2">
        <v>42905</v>
      </c>
      <c r="CBL2">
        <v>42902</v>
      </c>
      <c r="CBM2">
        <v>42901</v>
      </c>
      <c r="CBN2">
        <v>42900</v>
      </c>
      <c r="CBO2">
        <v>42899</v>
      </c>
      <c r="CBP2">
        <v>42898</v>
      </c>
      <c r="CBQ2">
        <v>42895</v>
      </c>
      <c r="CBR2">
        <v>42894</v>
      </c>
      <c r="CBS2">
        <v>42893</v>
      </c>
      <c r="CBT2">
        <v>42892</v>
      </c>
      <c r="CBU2">
        <v>42891</v>
      </c>
      <c r="CBV2">
        <v>42888</v>
      </c>
      <c r="CBW2">
        <v>42887</v>
      </c>
      <c r="CBX2">
        <v>42886</v>
      </c>
      <c r="CBY2">
        <v>42885</v>
      </c>
      <c r="CBZ2">
        <v>42884</v>
      </c>
      <c r="CCA2">
        <v>42881</v>
      </c>
      <c r="CCB2">
        <v>42880</v>
      </c>
      <c r="CCC2">
        <v>42879</v>
      </c>
      <c r="CCD2">
        <v>42878</v>
      </c>
      <c r="CCE2">
        <v>42877</v>
      </c>
      <c r="CCF2">
        <v>42874</v>
      </c>
      <c r="CCG2">
        <v>42873</v>
      </c>
      <c r="CCH2">
        <v>42872</v>
      </c>
      <c r="CCI2">
        <v>42871</v>
      </c>
      <c r="CCJ2">
        <v>42870</v>
      </c>
      <c r="CCK2">
        <v>42867</v>
      </c>
      <c r="CCL2">
        <v>42866</v>
      </c>
      <c r="CCM2">
        <v>42865</v>
      </c>
      <c r="CCN2">
        <v>42864</v>
      </c>
      <c r="CCO2">
        <v>42863</v>
      </c>
      <c r="CCP2">
        <v>42860</v>
      </c>
      <c r="CCQ2">
        <v>42859</v>
      </c>
      <c r="CCR2">
        <v>42858</v>
      </c>
      <c r="CCS2">
        <v>42857</v>
      </c>
      <c r="CCT2">
        <v>42856</v>
      </c>
      <c r="CCU2">
        <v>42853</v>
      </c>
      <c r="CCV2">
        <v>42852</v>
      </c>
      <c r="CCW2">
        <v>42851</v>
      </c>
      <c r="CCX2">
        <v>42850</v>
      </c>
      <c r="CCY2">
        <v>42849</v>
      </c>
      <c r="CCZ2">
        <v>42846</v>
      </c>
      <c r="CDA2">
        <v>42845</v>
      </c>
      <c r="CDB2">
        <v>42844</v>
      </c>
      <c r="CDC2">
        <v>42843</v>
      </c>
      <c r="CDD2">
        <v>42842</v>
      </c>
      <c r="CDE2">
        <v>42839</v>
      </c>
      <c r="CDF2">
        <v>42838</v>
      </c>
      <c r="CDG2">
        <v>42837</v>
      </c>
      <c r="CDH2">
        <v>42836</v>
      </c>
      <c r="CDI2">
        <v>42835</v>
      </c>
      <c r="CDJ2">
        <v>42832</v>
      </c>
      <c r="CDK2">
        <v>42831</v>
      </c>
      <c r="CDL2">
        <v>42830</v>
      </c>
      <c r="CDM2">
        <v>42829</v>
      </c>
      <c r="CDN2">
        <v>42828</v>
      </c>
      <c r="CDO2">
        <v>42825</v>
      </c>
      <c r="CDP2">
        <v>42824</v>
      </c>
      <c r="CDQ2">
        <v>42823</v>
      </c>
      <c r="CDR2">
        <v>42822</v>
      </c>
      <c r="CDS2">
        <v>42821</v>
      </c>
      <c r="CDT2">
        <v>42818</v>
      </c>
      <c r="CDU2">
        <v>42817</v>
      </c>
      <c r="CDV2">
        <v>42816</v>
      </c>
      <c r="CDW2">
        <v>42815</v>
      </c>
      <c r="CDX2">
        <v>42814</v>
      </c>
      <c r="CDY2">
        <v>42811</v>
      </c>
      <c r="CDZ2">
        <v>42810</v>
      </c>
      <c r="CEA2">
        <v>42809</v>
      </c>
      <c r="CEB2">
        <v>42808</v>
      </c>
      <c r="CEC2">
        <v>42807</v>
      </c>
      <c r="CED2">
        <v>42804</v>
      </c>
      <c r="CEE2">
        <v>42803</v>
      </c>
      <c r="CEF2">
        <v>42802</v>
      </c>
      <c r="CEG2">
        <v>42801</v>
      </c>
      <c r="CEH2">
        <v>42800</v>
      </c>
      <c r="CEI2">
        <v>42797</v>
      </c>
      <c r="CEJ2">
        <v>42796</v>
      </c>
      <c r="CEK2">
        <v>42795</v>
      </c>
      <c r="CEL2">
        <v>42794</v>
      </c>
      <c r="CEM2">
        <v>42793</v>
      </c>
      <c r="CEN2">
        <v>42790</v>
      </c>
      <c r="CEO2">
        <v>42789</v>
      </c>
      <c r="CEP2">
        <v>42788</v>
      </c>
      <c r="CEQ2">
        <v>42787</v>
      </c>
      <c r="CER2">
        <v>42786</v>
      </c>
      <c r="CES2">
        <v>42783</v>
      </c>
      <c r="CET2">
        <v>42782</v>
      </c>
      <c r="CEU2">
        <v>42781</v>
      </c>
      <c r="CEV2">
        <v>42780</v>
      </c>
      <c r="CEW2">
        <v>42779</v>
      </c>
      <c r="CEX2">
        <v>42776</v>
      </c>
      <c r="CEY2">
        <v>42775</v>
      </c>
      <c r="CEZ2">
        <v>42774</v>
      </c>
      <c r="CFA2">
        <v>42773</v>
      </c>
      <c r="CFB2">
        <v>42772</v>
      </c>
      <c r="CFC2">
        <v>42769</v>
      </c>
      <c r="CFD2">
        <v>42768</v>
      </c>
      <c r="CFE2">
        <v>42767</v>
      </c>
      <c r="CFF2">
        <v>42766</v>
      </c>
      <c r="CFG2">
        <v>42765</v>
      </c>
      <c r="CFH2">
        <v>42762</v>
      </c>
      <c r="CFI2">
        <v>42761</v>
      </c>
      <c r="CFJ2">
        <v>42760</v>
      </c>
      <c r="CFK2">
        <v>42759</v>
      </c>
      <c r="CFL2">
        <v>42758</v>
      </c>
      <c r="CFM2">
        <v>42755</v>
      </c>
      <c r="CFN2">
        <v>42754</v>
      </c>
      <c r="CFO2">
        <v>42753</v>
      </c>
      <c r="CFP2">
        <v>42752</v>
      </c>
      <c r="CFQ2">
        <v>42751</v>
      </c>
      <c r="CFR2">
        <v>42748</v>
      </c>
      <c r="CFS2">
        <v>42747</v>
      </c>
      <c r="CFT2">
        <v>42746</v>
      </c>
      <c r="CFU2">
        <v>42745</v>
      </c>
      <c r="CFV2">
        <v>42744</v>
      </c>
      <c r="CFW2">
        <v>42741</v>
      </c>
      <c r="CFX2">
        <v>42740</v>
      </c>
      <c r="CFY2">
        <v>42739</v>
      </c>
      <c r="CFZ2">
        <v>42738</v>
      </c>
      <c r="CGA2">
        <v>42737</v>
      </c>
      <c r="CGB2">
        <v>42734</v>
      </c>
      <c r="CGC2">
        <v>42733</v>
      </c>
      <c r="CGD2">
        <v>42732</v>
      </c>
      <c r="CGE2">
        <v>42731</v>
      </c>
      <c r="CGF2">
        <v>42730</v>
      </c>
      <c r="CGG2">
        <v>42727</v>
      </c>
      <c r="CGH2">
        <v>42726</v>
      </c>
      <c r="CGI2">
        <v>42725</v>
      </c>
      <c r="CGJ2">
        <v>42724</v>
      </c>
      <c r="CGK2">
        <v>42723</v>
      </c>
      <c r="CGL2">
        <v>42720</v>
      </c>
      <c r="CGM2">
        <v>42719</v>
      </c>
      <c r="CGN2">
        <v>42718</v>
      </c>
      <c r="CGO2">
        <v>42717</v>
      </c>
      <c r="CGP2">
        <v>42716</v>
      </c>
      <c r="CGQ2">
        <v>42713</v>
      </c>
      <c r="CGR2">
        <v>42712</v>
      </c>
      <c r="CGS2">
        <v>42711</v>
      </c>
      <c r="CGT2">
        <v>42710</v>
      </c>
      <c r="CGU2">
        <v>42709</v>
      </c>
      <c r="CGV2">
        <v>42706</v>
      </c>
      <c r="CGW2">
        <v>42705</v>
      </c>
      <c r="CGX2">
        <v>42704</v>
      </c>
      <c r="CGY2">
        <v>42703</v>
      </c>
      <c r="CGZ2">
        <v>42702</v>
      </c>
      <c r="CHA2">
        <v>42699</v>
      </c>
      <c r="CHB2">
        <v>42698</v>
      </c>
      <c r="CHC2">
        <v>42697</v>
      </c>
      <c r="CHD2">
        <v>42696</v>
      </c>
      <c r="CHE2">
        <v>42695</v>
      </c>
      <c r="CHF2">
        <v>42692</v>
      </c>
      <c r="CHG2">
        <v>42691</v>
      </c>
      <c r="CHH2">
        <v>42690</v>
      </c>
      <c r="CHI2">
        <v>42689</v>
      </c>
      <c r="CHJ2">
        <v>42688</v>
      </c>
      <c r="CHK2">
        <v>42685</v>
      </c>
      <c r="CHL2">
        <v>42684</v>
      </c>
      <c r="CHM2">
        <v>42683</v>
      </c>
      <c r="CHN2">
        <v>42682</v>
      </c>
      <c r="CHO2">
        <v>42681</v>
      </c>
      <c r="CHP2">
        <v>42678</v>
      </c>
      <c r="CHQ2">
        <v>42677</v>
      </c>
      <c r="CHR2">
        <v>42676</v>
      </c>
      <c r="CHS2">
        <v>42675</v>
      </c>
      <c r="CHT2">
        <v>42674</v>
      </c>
      <c r="CHU2">
        <v>42671</v>
      </c>
      <c r="CHV2">
        <v>42670</v>
      </c>
      <c r="CHW2">
        <v>42669</v>
      </c>
      <c r="CHX2">
        <v>42668</v>
      </c>
      <c r="CHY2">
        <v>42667</v>
      </c>
      <c r="CHZ2">
        <v>42664</v>
      </c>
      <c r="CIA2">
        <v>42663</v>
      </c>
      <c r="CIB2">
        <v>42662</v>
      </c>
      <c r="CIC2">
        <v>42661</v>
      </c>
      <c r="CID2">
        <v>42660</v>
      </c>
      <c r="CIE2">
        <v>42657</v>
      </c>
      <c r="CIF2">
        <v>42656</v>
      </c>
      <c r="CIG2">
        <v>42655</v>
      </c>
      <c r="CIH2">
        <v>42654</v>
      </c>
      <c r="CII2">
        <v>42653</v>
      </c>
      <c r="CIJ2">
        <v>42650</v>
      </c>
      <c r="CIK2">
        <v>42649</v>
      </c>
      <c r="CIL2">
        <v>42648</v>
      </c>
      <c r="CIM2">
        <v>42647</v>
      </c>
      <c r="CIN2">
        <v>42646</v>
      </c>
      <c r="CIO2">
        <v>42643</v>
      </c>
      <c r="CIP2">
        <v>42642</v>
      </c>
      <c r="CIQ2">
        <v>42641</v>
      </c>
      <c r="CIR2">
        <v>42640</v>
      </c>
      <c r="CIS2">
        <v>42639</v>
      </c>
      <c r="CIT2">
        <v>42636</v>
      </c>
      <c r="CIU2">
        <v>42635</v>
      </c>
      <c r="CIV2">
        <v>42634</v>
      </c>
      <c r="CIW2">
        <v>42633</v>
      </c>
      <c r="CIX2">
        <v>42632</v>
      </c>
      <c r="CIY2">
        <v>42629</v>
      </c>
      <c r="CIZ2">
        <v>42628</v>
      </c>
      <c r="CJA2">
        <v>42627</v>
      </c>
      <c r="CJB2">
        <v>42626</v>
      </c>
      <c r="CJC2">
        <v>42625</v>
      </c>
      <c r="CJD2">
        <v>42622</v>
      </c>
      <c r="CJE2">
        <v>42621</v>
      </c>
      <c r="CJF2">
        <v>42620</v>
      </c>
      <c r="CJG2">
        <v>42619</v>
      </c>
      <c r="CJH2">
        <v>42618</v>
      </c>
      <c r="CJI2">
        <v>42615</v>
      </c>
      <c r="CJJ2">
        <v>42614</v>
      </c>
      <c r="CJK2">
        <v>42613</v>
      </c>
      <c r="CJL2">
        <v>42612</v>
      </c>
      <c r="CJM2">
        <v>42611</v>
      </c>
      <c r="CJN2">
        <v>42608</v>
      </c>
      <c r="CJO2">
        <v>42607</v>
      </c>
      <c r="CJP2">
        <v>42606</v>
      </c>
      <c r="CJQ2">
        <v>42605</v>
      </c>
      <c r="CJR2">
        <v>42604</v>
      </c>
      <c r="CJS2">
        <v>42601</v>
      </c>
      <c r="CJT2">
        <v>42600</v>
      </c>
      <c r="CJU2">
        <v>42599</v>
      </c>
      <c r="CJV2">
        <v>42598</v>
      </c>
      <c r="CJW2">
        <v>42597</v>
      </c>
      <c r="CJX2">
        <v>42594</v>
      </c>
      <c r="CJY2">
        <v>42593</v>
      </c>
      <c r="CJZ2">
        <v>42592</v>
      </c>
      <c r="CKA2">
        <v>42591</v>
      </c>
      <c r="CKB2">
        <v>42590</v>
      </c>
      <c r="CKC2">
        <v>42587</v>
      </c>
      <c r="CKD2">
        <v>42586</v>
      </c>
      <c r="CKE2">
        <v>42585</v>
      </c>
      <c r="CKF2">
        <v>42584</v>
      </c>
      <c r="CKG2">
        <v>42583</v>
      </c>
      <c r="CKH2">
        <v>42580</v>
      </c>
      <c r="CKI2">
        <v>42579</v>
      </c>
      <c r="CKJ2">
        <v>42578</v>
      </c>
      <c r="CKK2">
        <v>42577</v>
      </c>
      <c r="CKL2">
        <v>42576</v>
      </c>
      <c r="CKM2">
        <v>42573</v>
      </c>
      <c r="CKN2">
        <v>42572</v>
      </c>
      <c r="CKO2">
        <v>42571</v>
      </c>
      <c r="CKP2">
        <v>42570</v>
      </c>
      <c r="CKQ2">
        <v>42569</v>
      </c>
      <c r="CKR2">
        <v>42566</v>
      </c>
      <c r="CKS2">
        <v>42565</v>
      </c>
      <c r="CKT2">
        <v>42564</v>
      </c>
      <c r="CKU2">
        <v>42563</v>
      </c>
      <c r="CKV2">
        <v>42562</v>
      </c>
      <c r="CKW2">
        <v>42559</v>
      </c>
      <c r="CKX2">
        <v>42558</v>
      </c>
      <c r="CKY2">
        <v>42557</v>
      </c>
      <c r="CKZ2">
        <v>42556</v>
      </c>
      <c r="CLA2">
        <v>42555</v>
      </c>
      <c r="CLB2">
        <v>42552</v>
      </c>
      <c r="CLC2">
        <v>42551</v>
      </c>
      <c r="CLD2">
        <v>42550</v>
      </c>
      <c r="CLE2">
        <v>42549</v>
      </c>
      <c r="CLF2">
        <v>42548</v>
      </c>
      <c r="CLG2">
        <v>42545</v>
      </c>
      <c r="CLH2">
        <v>42544</v>
      </c>
      <c r="CLI2">
        <v>42543</v>
      </c>
      <c r="CLJ2">
        <v>42542</v>
      </c>
      <c r="CLK2">
        <v>42541</v>
      </c>
      <c r="CLL2">
        <v>42538</v>
      </c>
      <c r="CLM2">
        <v>42537</v>
      </c>
      <c r="CLN2">
        <v>42536</v>
      </c>
      <c r="CLO2">
        <v>42535</v>
      </c>
      <c r="CLP2">
        <v>42534</v>
      </c>
      <c r="CLQ2">
        <v>42531</v>
      </c>
      <c r="CLR2">
        <v>42530</v>
      </c>
      <c r="CLS2">
        <v>42529</v>
      </c>
      <c r="CLT2">
        <v>42528</v>
      </c>
      <c r="CLU2">
        <v>42527</v>
      </c>
      <c r="CLV2">
        <v>42524</v>
      </c>
      <c r="CLW2">
        <v>42523</v>
      </c>
      <c r="CLX2">
        <v>42522</v>
      </c>
      <c r="CLY2">
        <v>42521</v>
      </c>
      <c r="CLZ2">
        <v>42520</v>
      </c>
      <c r="CMA2">
        <v>42517</v>
      </c>
      <c r="CMB2">
        <v>42516</v>
      </c>
      <c r="CMC2">
        <v>42515</v>
      </c>
      <c r="CMD2">
        <v>42514</v>
      </c>
      <c r="CME2">
        <v>42513</v>
      </c>
      <c r="CMF2">
        <v>42510</v>
      </c>
      <c r="CMG2">
        <v>42509</v>
      </c>
      <c r="CMH2">
        <v>42508</v>
      </c>
      <c r="CMI2">
        <v>42507</v>
      </c>
      <c r="CMJ2">
        <v>42506</v>
      </c>
      <c r="CMK2">
        <v>42503</v>
      </c>
      <c r="CML2">
        <v>42502</v>
      </c>
      <c r="CMM2">
        <v>42501</v>
      </c>
      <c r="CMN2">
        <v>42500</v>
      </c>
      <c r="CMO2">
        <v>42499</v>
      </c>
      <c r="CMP2">
        <v>42496</v>
      </c>
      <c r="CMQ2">
        <v>42495</v>
      </c>
      <c r="CMR2">
        <v>42494</v>
      </c>
      <c r="CMS2">
        <v>42493</v>
      </c>
      <c r="CMT2">
        <v>42492</v>
      </c>
      <c r="CMU2">
        <v>42489</v>
      </c>
      <c r="CMV2">
        <v>42488</v>
      </c>
      <c r="CMW2">
        <v>42487</v>
      </c>
      <c r="CMX2">
        <v>42486</v>
      </c>
      <c r="CMY2">
        <v>42485</v>
      </c>
      <c r="CMZ2">
        <v>42482</v>
      </c>
      <c r="CNA2">
        <v>42481</v>
      </c>
      <c r="CNB2">
        <v>42480</v>
      </c>
      <c r="CNC2">
        <v>42479</v>
      </c>
      <c r="CND2">
        <v>42478</v>
      </c>
      <c r="CNE2">
        <v>42475</v>
      </c>
      <c r="CNF2">
        <v>42474</v>
      </c>
      <c r="CNG2">
        <v>42473</v>
      </c>
      <c r="CNH2">
        <v>42472</v>
      </c>
      <c r="CNI2">
        <v>42471</v>
      </c>
      <c r="CNJ2">
        <v>42468</v>
      </c>
      <c r="CNK2">
        <v>42467</v>
      </c>
      <c r="CNL2">
        <v>42466</v>
      </c>
      <c r="CNM2">
        <v>42465</v>
      </c>
      <c r="CNN2">
        <v>42464</v>
      </c>
      <c r="CNO2">
        <v>42461</v>
      </c>
      <c r="CNP2">
        <v>42460</v>
      </c>
      <c r="CNQ2">
        <v>42459</v>
      </c>
      <c r="CNR2">
        <v>42458</v>
      </c>
      <c r="CNS2">
        <v>42457</v>
      </c>
      <c r="CNT2">
        <v>42454</v>
      </c>
      <c r="CNU2">
        <v>42453</v>
      </c>
      <c r="CNV2">
        <v>42452</v>
      </c>
      <c r="CNW2">
        <v>42451</v>
      </c>
      <c r="CNX2">
        <v>42450</v>
      </c>
      <c r="CNY2">
        <v>42447</v>
      </c>
      <c r="CNZ2">
        <v>42446</v>
      </c>
      <c r="COA2">
        <v>42445</v>
      </c>
      <c r="COB2">
        <v>42444</v>
      </c>
      <c r="COC2">
        <v>42443</v>
      </c>
      <c r="COD2">
        <v>42440</v>
      </c>
      <c r="COE2">
        <v>42439</v>
      </c>
      <c r="COF2">
        <v>42438</v>
      </c>
      <c r="COG2">
        <v>42437</v>
      </c>
      <c r="COH2">
        <v>42436</v>
      </c>
      <c r="COI2">
        <v>42433</v>
      </c>
      <c r="COJ2">
        <v>42432</v>
      </c>
      <c r="COK2">
        <v>42431</v>
      </c>
      <c r="COL2">
        <v>42430</v>
      </c>
      <c r="COM2">
        <v>42429</v>
      </c>
      <c r="CON2">
        <v>42426</v>
      </c>
      <c r="COO2">
        <v>42425</v>
      </c>
      <c r="COP2">
        <v>42424</v>
      </c>
      <c r="COQ2">
        <v>42423</v>
      </c>
      <c r="COR2">
        <v>42422</v>
      </c>
      <c r="COS2">
        <v>42419</v>
      </c>
      <c r="COT2">
        <v>42418</v>
      </c>
      <c r="COU2">
        <v>42417</v>
      </c>
      <c r="COV2">
        <v>42416</v>
      </c>
      <c r="COW2">
        <v>42415</v>
      </c>
      <c r="COX2">
        <v>42412</v>
      </c>
      <c r="COY2">
        <v>42411</v>
      </c>
      <c r="COZ2">
        <v>42410</v>
      </c>
      <c r="CPA2">
        <v>42409</v>
      </c>
      <c r="CPB2">
        <v>42408</v>
      </c>
      <c r="CPC2">
        <v>42405</v>
      </c>
      <c r="CPD2">
        <v>42404</v>
      </c>
      <c r="CPE2">
        <v>42403</v>
      </c>
      <c r="CPF2">
        <v>42402</v>
      </c>
      <c r="CPG2">
        <v>42401</v>
      </c>
      <c r="CPH2">
        <v>42398</v>
      </c>
      <c r="CPI2">
        <v>42397</v>
      </c>
      <c r="CPJ2">
        <v>42396</v>
      </c>
      <c r="CPK2">
        <v>42395</v>
      </c>
      <c r="CPL2">
        <v>42394</v>
      </c>
      <c r="CPM2">
        <v>42391</v>
      </c>
      <c r="CPN2">
        <v>42390</v>
      </c>
      <c r="CPO2">
        <v>42389</v>
      </c>
      <c r="CPP2">
        <v>42388</v>
      </c>
      <c r="CPQ2">
        <v>42387</v>
      </c>
      <c r="CPR2">
        <v>42384</v>
      </c>
      <c r="CPS2">
        <v>42383</v>
      </c>
      <c r="CPT2">
        <v>42382</v>
      </c>
      <c r="CPU2">
        <v>42381</v>
      </c>
      <c r="CPV2">
        <v>42380</v>
      </c>
      <c r="CPW2">
        <v>42377</v>
      </c>
      <c r="CPX2">
        <v>42376</v>
      </c>
      <c r="CPY2">
        <v>42375</v>
      </c>
      <c r="CPZ2">
        <v>42374</v>
      </c>
      <c r="CQA2">
        <v>42373</v>
      </c>
      <c r="CQB2">
        <v>42370</v>
      </c>
      <c r="CQC2">
        <v>42369</v>
      </c>
      <c r="CQD2">
        <v>42368</v>
      </c>
      <c r="CQE2">
        <v>42367</v>
      </c>
      <c r="CQF2">
        <v>42366</v>
      </c>
      <c r="CQG2">
        <v>42363</v>
      </c>
      <c r="CQH2">
        <v>42362</v>
      </c>
      <c r="CQI2">
        <v>42361</v>
      </c>
      <c r="CQJ2">
        <v>42360</v>
      </c>
      <c r="CQK2">
        <v>42359</v>
      </c>
      <c r="CQL2">
        <v>42356</v>
      </c>
      <c r="CQM2">
        <v>42355</v>
      </c>
      <c r="CQN2">
        <v>42354</v>
      </c>
      <c r="CQO2">
        <v>42353</v>
      </c>
      <c r="CQP2">
        <v>42352</v>
      </c>
      <c r="CQQ2">
        <v>42349</v>
      </c>
      <c r="CQR2">
        <v>42348</v>
      </c>
      <c r="CQS2">
        <v>42347</v>
      </c>
      <c r="CQT2">
        <v>42346</v>
      </c>
      <c r="CQU2">
        <v>42345</v>
      </c>
      <c r="CQV2">
        <v>42342</v>
      </c>
      <c r="CQW2">
        <v>42341</v>
      </c>
      <c r="CQX2">
        <v>42340</v>
      </c>
      <c r="CQY2">
        <v>42339</v>
      </c>
      <c r="CQZ2">
        <v>42338</v>
      </c>
      <c r="CRA2">
        <v>42335</v>
      </c>
      <c r="CRB2">
        <v>42334</v>
      </c>
      <c r="CRC2">
        <v>42333</v>
      </c>
      <c r="CRD2">
        <v>42332</v>
      </c>
      <c r="CRE2">
        <v>42331</v>
      </c>
      <c r="CRF2">
        <v>42328</v>
      </c>
      <c r="CRG2">
        <v>42327</v>
      </c>
      <c r="CRH2">
        <v>42326</v>
      </c>
      <c r="CRI2">
        <v>42325</v>
      </c>
      <c r="CRJ2">
        <v>42324</v>
      </c>
      <c r="CRK2">
        <v>42321</v>
      </c>
      <c r="CRL2">
        <v>42320</v>
      </c>
      <c r="CRM2">
        <v>42319</v>
      </c>
      <c r="CRN2">
        <v>42318</v>
      </c>
      <c r="CRO2">
        <v>42317</v>
      </c>
      <c r="CRP2">
        <v>42314</v>
      </c>
      <c r="CRQ2">
        <v>42313</v>
      </c>
      <c r="CRR2">
        <v>42312</v>
      </c>
      <c r="CRS2">
        <v>42311</v>
      </c>
      <c r="CRT2">
        <v>42310</v>
      </c>
      <c r="CRU2">
        <v>42307</v>
      </c>
      <c r="CRV2">
        <v>42306</v>
      </c>
      <c r="CRW2">
        <v>42305</v>
      </c>
      <c r="CRX2">
        <v>42304</v>
      </c>
      <c r="CRY2">
        <v>42303</v>
      </c>
      <c r="CRZ2">
        <v>42300</v>
      </c>
      <c r="CSA2">
        <v>42299</v>
      </c>
      <c r="CSB2">
        <v>42298</v>
      </c>
      <c r="CSC2">
        <v>42297</v>
      </c>
      <c r="CSD2">
        <v>42296</v>
      </c>
      <c r="CSE2">
        <v>42293</v>
      </c>
      <c r="CSF2">
        <v>42292</v>
      </c>
      <c r="CSG2">
        <v>42291</v>
      </c>
      <c r="CSH2">
        <v>42290</v>
      </c>
      <c r="CSI2">
        <v>42289</v>
      </c>
      <c r="CSJ2">
        <v>42286</v>
      </c>
      <c r="CSK2">
        <v>42285</v>
      </c>
      <c r="CSL2">
        <v>42284</v>
      </c>
      <c r="CSM2">
        <v>42283</v>
      </c>
      <c r="CSN2">
        <v>42282</v>
      </c>
      <c r="CSO2">
        <v>42279</v>
      </c>
      <c r="CSP2">
        <v>42278</v>
      </c>
      <c r="CSQ2">
        <v>42277</v>
      </c>
      <c r="CSR2">
        <v>42276</v>
      </c>
      <c r="CSS2">
        <v>42275</v>
      </c>
      <c r="CST2">
        <v>42272</v>
      </c>
      <c r="CSU2">
        <v>42271</v>
      </c>
      <c r="CSV2">
        <v>42270</v>
      </c>
      <c r="CSW2">
        <v>42269</v>
      </c>
      <c r="CSX2">
        <v>42268</v>
      </c>
      <c r="CSY2">
        <v>42265</v>
      </c>
      <c r="CSZ2">
        <v>42264</v>
      </c>
      <c r="CTA2">
        <v>42263</v>
      </c>
      <c r="CTB2">
        <v>42262</v>
      </c>
      <c r="CTC2">
        <v>42261</v>
      </c>
      <c r="CTD2">
        <v>42258</v>
      </c>
      <c r="CTE2">
        <v>42257</v>
      </c>
      <c r="CTF2">
        <v>42256</v>
      </c>
      <c r="CTG2">
        <v>42255</v>
      </c>
      <c r="CTH2">
        <v>42254</v>
      </c>
      <c r="CTI2">
        <v>42251</v>
      </c>
      <c r="CTJ2">
        <v>42250</v>
      </c>
      <c r="CTK2">
        <v>42249</v>
      </c>
      <c r="CTL2">
        <v>42248</v>
      </c>
      <c r="CTM2">
        <v>42247</v>
      </c>
      <c r="CTN2">
        <v>42244</v>
      </c>
      <c r="CTO2">
        <v>42243</v>
      </c>
      <c r="CTP2">
        <v>42242</v>
      </c>
      <c r="CTQ2">
        <v>42241</v>
      </c>
      <c r="CTR2">
        <v>42240</v>
      </c>
      <c r="CTS2">
        <v>42237</v>
      </c>
      <c r="CTT2">
        <v>42236</v>
      </c>
      <c r="CTU2">
        <v>42235</v>
      </c>
      <c r="CTV2">
        <v>42234</v>
      </c>
      <c r="CTW2">
        <v>42233</v>
      </c>
      <c r="CTX2">
        <v>42230</v>
      </c>
      <c r="CTY2">
        <v>42229</v>
      </c>
      <c r="CTZ2">
        <v>42228</v>
      </c>
      <c r="CUA2">
        <v>42227</v>
      </c>
      <c r="CUB2">
        <v>42226</v>
      </c>
      <c r="CUC2">
        <v>42223</v>
      </c>
      <c r="CUD2">
        <v>42222</v>
      </c>
      <c r="CUE2">
        <v>42221</v>
      </c>
      <c r="CUF2">
        <v>42220</v>
      </c>
      <c r="CUG2">
        <v>42219</v>
      </c>
      <c r="CUH2">
        <v>42216</v>
      </c>
      <c r="CUI2">
        <v>42215</v>
      </c>
      <c r="CUJ2">
        <v>42214</v>
      </c>
      <c r="CUK2">
        <v>42213</v>
      </c>
      <c r="CUL2">
        <v>42212</v>
      </c>
      <c r="CUM2">
        <v>42209</v>
      </c>
      <c r="CUN2">
        <v>42208</v>
      </c>
      <c r="CUO2">
        <v>42207</v>
      </c>
      <c r="CUP2">
        <v>42206</v>
      </c>
      <c r="CUQ2">
        <v>42205</v>
      </c>
      <c r="CUR2">
        <v>42202</v>
      </c>
      <c r="CUS2">
        <v>42201</v>
      </c>
      <c r="CUT2">
        <v>42200</v>
      </c>
      <c r="CUU2">
        <v>42199</v>
      </c>
      <c r="CUV2">
        <v>42198</v>
      </c>
      <c r="CUW2">
        <v>42195</v>
      </c>
      <c r="CUX2">
        <v>42194</v>
      </c>
      <c r="CUY2">
        <v>42193</v>
      </c>
      <c r="CUZ2">
        <v>42192</v>
      </c>
      <c r="CVA2">
        <v>42191</v>
      </c>
      <c r="CVB2">
        <v>42188</v>
      </c>
      <c r="CVC2">
        <v>42187</v>
      </c>
      <c r="CVD2">
        <v>42186</v>
      </c>
      <c r="CVE2">
        <v>42185</v>
      </c>
      <c r="CVF2">
        <v>42184</v>
      </c>
      <c r="CVG2">
        <v>42181</v>
      </c>
      <c r="CVH2">
        <v>42180</v>
      </c>
      <c r="CVI2">
        <v>42179</v>
      </c>
      <c r="CVJ2">
        <v>42178</v>
      </c>
      <c r="CVK2">
        <v>42177</v>
      </c>
      <c r="CVL2">
        <v>42174</v>
      </c>
      <c r="CVM2">
        <v>42173</v>
      </c>
      <c r="CVN2">
        <v>42172</v>
      </c>
      <c r="CVO2">
        <v>42171</v>
      </c>
      <c r="CVP2">
        <v>42170</v>
      </c>
      <c r="CVQ2">
        <v>42167</v>
      </c>
      <c r="CVR2">
        <v>42166</v>
      </c>
      <c r="CVS2">
        <v>42165</v>
      </c>
      <c r="CVT2">
        <v>42164</v>
      </c>
      <c r="CVU2">
        <v>42163</v>
      </c>
      <c r="CVV2">
        <v>42160</v>
      </c>
      <c r="CVW2">
        <v>42159</v>
      </c>
      <c r="CVX2">
        <v>42158</v>
      </c>
      <c r="CVY2">
        <v>42157</v>
      </c>
      <c r="CVZ2">
        <v>42156</v>
      </c>
      <c r="CWA2">
        <v>42153</v>
      </c>
      <c r="CWB2">
        <v>42152</v>
      </c>
      <c r="CWC2">
        <v>42151</v>
      </c>
      <c r="CWD2">
        <v>42150</v>
      </c>
      <c r="CWE2">
        <v>42149</v>
      </c>
      <c r="CWF2">
        <v>42146</v>
      </c>
      <c r="CWG2">
        <v>42145</v>
      </c>
      <c r="CWH2">
        <v>42144</v>
      </c>
      <c r="CWI2">
        <v>42143</v>
      </c>
      <c r="CWJ2">
        <v>42142</v>
      </c>
      <c r="CWK2">
        <v>42139</v>
      </c>
      <c r="CWL2">
        <v>42138</v>
      </c>
      <c r="CWM2">
        <v>42137</v>
      </c>
      <c r="CWN2">
        <v>42136</v>
      </c>
      <c r="CWO2">
        <v>42135</v>
      </c>
      <c r="CWP2">
        <v>42132</v>
      </c>
      <c r="CWQ2">
        <v>42131</v>
      </c>
      <c r="CWR2">
        <v>42130</v>
      </c>
      <c r="CWS2">
        <v>42129</v>
      </c>
      <c r="CWT2">
        <v>42128</v>
      </c>
      <c r="CWU2">
        <v>42125</v>
      </c>
      <c r="CWV2">
        <v>42124</v>
      </c>
      <c r="CWW2">
        <v>42123</v>
      </c>
      <c r="CWX2">
        <v>42122</v>
      </c>
      <c r="CWY2">
        <v>42121</v>
      </c>
      <c r="CWZ2">
        <v>42118</v>
      </c>
      <c r="CXA2">
        <v>42117</v>
      </c>
      <c r="CXB2">
        <v>42116</v>
      </c>
      <c r="CXC2">
        <v>42115</v>
      </c>
      <c r="CXD2">
        <v>42114</v>
      </c>
      <c r="CXE2">
        <v>42111</v>
      </c>
      <c r="CXF2">
        <v>42110</v>
      </c>
      <c r="CXG2">
        <v>42109</v>
      </c>
      <c r="CXH2">
        <v>42108</v>
      </c>
      <c r="CXI2">
        <v>42107</v>
      </c>
      <c r="CXJ2">
        <v>42104</v>
      </c>
      <c r="CXK2">
        <v>42103</v>
      </c>
      <c r="CXL2">
        <v>42102</v>
      </c>
      <c r="CXM2">
        <v>42101</v>
      </c>
      <c r="CXN2">
        <v>42100</v>
      </c>
      <c r="CXO2">
        <v>42097</v>
      </c>
      <c r="CXP2">
        <v>42096</v>
      </c>
      <c r="CXQ2">
        <v>42095</v>
      </c>
      <c r="CXR2">
        <v>42094</v>
      </c>
      <c r="CXS2">
        <v>42093</v>
      </c>
      <c r="CXT2">
        <v>42090</v>
      </c>
      <c r="CXU2">
        <v>42089</v>
      </c>
      <c r="CXV2">
        <v>42088</v>
      </c>
      <c r="CXW2">
        <v>42087</v>
      </c>
      <c r="CXX2">
        <v>42086</v>
      </c>
      <c r="CXY2">
        <v>42083</v>
      </c>
      <c r="CXZ2">
        <v>42082</v>
      </c>
      <c r="CYA2">
        <v>42081</v>
      </c>
      <c r="CYB2">
        <v>42080</v>
      </c>
      <c r="CYC2">
        <v>42079</v>
      </c>
      <c r="CYD2">
        <v>42076</v>
      </c>
      <c r="CYE2">
        <v>42075</v>
      </c>
      <c r="CYF2">
        <v>42074</v>
      </c>
      <c r="CYG2">
        <v>42073</v>
      </c>
      <c r="CYH2">
        <v>42072</v>
      </c>
      <c r="CYI2">
        <v>42069</v>
      </c>
      <c r="CYJ2">
        <v>42068</v>
      </c>
      <c r="CYK2">
        <v>42067</v>
      </c>
      <c r="CYL2">
        <v>42066</v>
      </c>
      <c r="CYM2">
        <v>42065</v>
      </c>
      <c r="CYN2">
        <v>42062</v>
      </c>
      <c r="CYO2">
        <v>42061</v>
      </c>
      <c r="CYP2">
        <v>42060</v>
      </c>
      <c r="CYQ2">
        <v>42059</v>
      </c>
      <c r="CYR2">
        <v>42058</v>
      </c>
      <c r="CYS2">
        <v>42055</v>
      </c>
      <c r="CYT2">
        <v>42054</v>
      </c>
      <c r="CYU2">
        <v>42053</v>
      </c>
      <c r="CYV2">
        <v>42052</v>
      </c>
      <c r="CYW2">
        <v>42051</v>
      </c>
      <c r="CYX2">
        <v>42048</v>
      </c>
      <c r="CYY2">
        <v>42047</v>
      </c>
      <c r="CYZ2">
        <v>42046</v>
      </c>
      <c r="CZA2">
        <v>42045</v>
      </c>
      <c r="CZB2">
        <v>42044</v>
      </c>
      <c r="CZC2">
        <v>42041</v>
      </c>
      <c r="CZD2">
        <v>42040</v>
      </c>
      <c r="CZE2">
        <v>42039</v>
      </c>
      <c r="CZF2">
        <v>42038</v>
      </c>
      <c r="CZG2">
        <v>42037</v>
      </c>
      <c r="CZH2">
        <v>42034</v>
      </c>
      <c r="CZI2">
        <v>42033</v>
      </c>
      <c r="CZJ2">
        <v>42032</v>
      </c>
      <c r="CZK2">
        <v>42031</v>
      </c>
      <c r="CZL2">
        <v>42030</v>
      </c>
      <c r="CZM2">
        <v>42027</v>
      </c>
      <c r="CZN2">
        <v>42026</v>
      </c>
      <c r="CZO2">
        <v>42025</v>
      </c>
      <c r="CZP2">
        <v>42024</v>
      </c>
      <c r="CZQ2">
        <v>42023</v>
      </c>
      <c r="CZR2">
        <v>42020</v>
      </c>
      <c r="CZS2">
        <v>42019</v>
      </c>
      <c r="CZT2">
        <v>42018</v>
      </c>
      <c r="CZU2">
        <v>42017</v>
      </c>
      <c r="CZV2">
        <v>42016</v>
      </c>
      <c r="CZW2">
        <v>42013</v>
      </c>
      <c r="CZX2">
        <v>42012</v>
      </c>
      <c r="CZY2">
        <v>42011</v>
      </c>
      <c r="CZZ2">
        <v>42010</v>
      </c>
      <c r="DAA2">
        <v>42009</v>
      </c>
      <c r="DAB2">
        <v>42006</v>
      </c>
      <c r="DAC2">
        <v>42005</v>
      </c>
      <c r="DAD2">
        <v>42004</v>
      </c>
      <c r="DAE2">
        <v>42003</v>
      </c>
      <c r="DAF2">
        <v>42002</v>
      </c>
      <c r="DAG2">
        <v>41999</v>
      </c>
      <c r="DAH2">
        <v>41998</v>
      </c>
      <c r="DAI2">
        <v>41997</v>
      </c>
      <c r="DAJ2">
        <v>41996</v>
      </c>
      <c r="DAK2">
        <v>41995</v>
      </c>
      <c r="DAL2">
        <v>41992</v>
      </c>
      <c r="DAM2">
        <v>41991</v>
      </c>
      <c r="DAN2">
        <v>41990</v>
      </c>
      <c r="DAO2">
        <v>41989</v>
      </c>
      <c r="DAP2">
        <v>41988</v>
      </c>
      <c r="DAQ2">
        <v>41985</v>
      </c>
      <c r="DAR2">
        <v>41984</v>
      </c>
      <c r="DAS2">
        <v>41983</v>
      </c>
      <c r="DAT2">
        <v>41982</v>
      </c>
      <c r="DAU2">
        <v>41981</v>
      </c>
      <c r="DAV2">
        <v>41978</v>
      </c>
      <c r="DAW2">
        <v>41977</v>
      </c>
      <c r="DAX2">
        <v>41976</v>
      </c>
      <c r="DAY2">
        <v>41975</v>
      </c>
      <c r="DAZ2">
        <v>41974</v>
      </c>
      <c r="DBA2">
        <v>41971</v>
      </c>
      <c r="DBB2">
        <v>41970</v>
      </c>
      <c r="DBC2">
        <v>41969</v>
      </c>
      <c r="DBD2">
        <v>41968</v>
      </c>
      <c r="DBE2">
        <v>41967</v>
      </c>
      <c r="DBF2">
        <v>41964</v>
      </c>
      <c r="DBG2">
        <v>41963</v>
      </c>
      <c r="DBH2">
        <v>41962</v>
      </c>
      <c r="DBI2">
        <v>41961</v>
      </c>
      <c r="DBJ2">
        <v>41960</v>
      </c>
      <c r="DBK2">
        <v>41957</v>
      </c>
      <c r="DBL2">
        <v>41956</v>
      </c>
      <c r="DBM2">
        <v>41955</v>
      </c>
      <c r="DBN2">
        <v>41954</v>
      </c>
      <c r="DBO2">
        <v>41953</v>
      </c>
      <c r="DBP2">
        <v>41950</v>
      </c>
      <c r="DBQ2">
        <v>41949</v>
      </c>
      <c r="DBR2">
        <v>41948</v>
      </c>
      <c r="DBS2">
        <v>41947</v>
      </c>
      <c r="DBT2">
        <v>41946</v>
      </c>
      <c r="DBU2">
        <v>41943</v>
      </c>
      <c r="DBV2">
        <v>41942</v>
      </c>
      <c r="DBW2">
        <v>41941</v>
      </c>
      <c r="DBX2">
        <v>41940</v>
      </c>
      <c r="DBY2">
        <v>41939</v>
      </c>
      <c r="DBZ2">
        <v>41936</v>
      </c>
      <c r="DCA2">
        <v>41935</v>
      </c>
      <c r="DCB2">
        <v>41934</v>
      </c>
      <c r="DCC2">
        <v>41933</v>
      </c>
      <c r="DCD2">
        <v>41932</v>
      </c>
      <c r="DCE2">
        <v>41929</v>
      </c>
      <c r="DCF2">
        <v>41928</v>
      </c>
      <c r="DCG2">
        <v>41927</v>
      </c>
      <c r="DCH2">
        <v>41926</v>
      </c>
      <c r="DCI2">
        <v>41925</v>
      </c>
      <c r="DCJ2">
        <v>41922</v>
      </c>
      <c r="DCK2">
        <v>41921</v>
      </c>
      <c r="DCL2">
        <v>41920</v>
      </c>
      <c r="DCM2">
        <v>41919</v>
      </c>
      <c r="DCN2">
        <v>41918</v>
      </c>
      <c r="DCO2">
        <v>41915</v>
      </c>
      <c r="DCP2">
        <v>41914</v>
      </c>
      <c r="DCQ2">
        <v>41913</v>
      </c>
      <c r="DCR2">
        <v>41912</v>
      </c>
      <c r="DCS2">
        <v>41911</v>
      </c>
      <c r="DCT2">
        <v>41908</v>
      </c>
      <c r="DCU2">
        <v>41907</v>
      </c>
      <c r="DCV2">
        <v>41906</v>
      </c>
      <c r="DCW2">
        <v>41905</v>
      </c>
      <c r="DCX2">
        <v>41904</v>
      </c>
      <c r="DCY2">
        <v>41901</v>
      </c>
      <c r="DCZ2">
        <v>41900</v>
      </c>
      <c r="DDA2">
        <v>41899</v>
      </c>
      <c r="DDB2">
        <v>41898</v>
      </c>
      <c r="DDC2">
        <v>41897</v>
      </c>
      <c r="DDD2">
        <v>41894</v>
      </c>
      <c r="DDE2">
        <v>41893</v>
      </c>
      <c r="DDF2">
        <v>41892</v>
      </c>
      <c r="DDG2">
        <v>41891</v>
      </c>
      <c r="DDH2">
        <v>41890</v>
      </c>
      <c r="DDI2">
        <v>41887</v>
      </c>
      <c r="DDJ2">
        <v>41886</v>
      </c>
      <c r="DDK2">
        <v>41885</v>
      </c>
      <c r="DDL2">
        <v>41884</v>
      </c>
      <c r="DDM2">
        <v>41883</v>
      </c>
      <c r="DDN2">
        <v>41880</v>
      </c>
      <c r="DDO2">
        <v>41879</v>
      </c>
      <c r="DDP2">
        <v>41878</v>
      </c>
      <c r="DDQ2">
        <v>41877</v>
      </c>
      <c r="DDR2">
        <v>41876</v>
      </c>
      <c r="DDS2">
        <v>41873</v>
      </c>
      <c r="DDT2">
        <v>41872</v>
      </c>
      <c r="DDU2">
        <v>41871</v>
      </c>
      <c r="DDV2">
        <v>41870</v>
      </c>
      <c r="DDW2">
        <v>41869</v>
      </c>
      <c r="DDX2">
        <v>41866</v>
      </c>
      <c r="DDY2">
        <v>41865</v>
      </c>
      <c r="DDZ2">
        <v>41864</v>
      </c>
      <c r="DEA2">
        <v>41863</v>
      </c>
      <c r="DEB2">
        <v>41862</v>
      </c>
      <c r="DEC2">
        <v>41859</v>
      </c>
      <c r="DED2">
        <v>41858</v>
      </c>
      <c r="DEE2">
        <v>41857</v>
      </c>
      <c r="DEF2">
        <v>41856</v>
      </c>
      <c r="DEG2">
        <v>41855</v>
      </c>
      <c r="DEH2">
        <v>41852</v>
      </c>
      <c r="DEI2">
        <v>41851</v>
      </c>
      <c r="DEJ2">
        <v>41850</v>
      </c>
      <c r="DEK2">
        <v>41849</v>
      </c>
      <c r="DEL2">
        <v>41848</v>
      </c>
      <c r="DEM2">
        <v>41845</v>
      </c>
      <c r="DEN2">
        <v>41844</v>
      </c>
      <c r="DEO2">
        <v>41843</v>
      </c>
      <c r="DEP2">
        <v>41842</v>
      </c>
      <c r="DEQ2">
        <v>41841</v>
      </c>
      <c r="DER2">
        <v>41838</v>
      </c>
      <c r="DES2">
        <v>41837</v>
      </c>
      <c r="DET2">
        <v>41836</v>
      </c>
      <c r="DEU2">
        <v>41835</v>
      </c>
      <c r="DEV2">
        <v>41834</v>
      </c>
      <c r="DEW2">
        <v>41831</v>
      </c>
      <c r="DEX2">
        <v>41830</v>
      </c>
      <c r="DEY2">
        <v>41829</v>
      </c>
      <c r="DEZ2">
        <v>41828</v>
      </c>
      <c r="DFA2">
        <v>41827</v>
      </c>
      <c r="DFB2">
        <v>41824</v>
      </c>
      <c r="DFC2">
        <v>41823</v>
      </c>
      <c r="DFD2">
        <v>41822</v>
      </c>
      <c r="DFE2">
        <v>41821</v>
      </c>
      <c r="DFF2">
        <v>41820</v>
      </c>
      <c r="DFG2">
        <v>41817</v>
      </c>
      <c r="DFH2">
        <v>41816</v>
      </c>
      <c r="DFI2">
        <v>41815</v>
      </c>
      <c r="DFJ2">
        <v>41814</v>
      </c>
      <c r="DFK2">
        <v>41813</v>
      </c>
      <c r="DFL2">
        <v>41810</v>
      </c>
      <c r="DFM2">
        <v>41809</v>
      </c>
      <c r="DFN2">
        <v>41808</v>
      </c>
      <c r="DFO2">
        <v>41807</v>
      </c>
      <c r="DFP2">
        <v>41806</v>
      </c>
      <c r="DFQ2">
        <v>41803</v>
      </c>
      <c r="DFR2">
        <v>41802</v>
      </c>
      <c r="DFS2">
        <v>41801</v>
      </c>
      <c r="DFT2">
        <v>41800</v>
      </c>
      <c r="DFU2">
        <v>41799</v>
      </c>
      <c r="DFV2">
        <v>41796</v>
      </c>
      <c r="DFW2">
        <v>41795</v>
      </c>
      <c r="DFX2">
        <v>41794</v>
      </c>
      <c r="DFY2">
        <v>41793</v>
      </c>
      <c r="DFZ2">
        <v>41792</v>
      </c>
      <c r="DGA2">
        <v>41789</v>
      </c>
      <c r="DGB2">
        <v>41788</v>
      </c>
      <c r="DGC2">
        <v>41787</v>
      </c>
      <c r="DGD2">
        <v>41786</v>
      </c>
      <c r="DGE2">
        <v>41785</v>
      </c>
      <c r="DGF2">
        <v>41782</v>
      </c>
      <c r="DGG2">
        <v>41781</v>
      </c>
      <c r="DGH2">
        <v>41780</v>
      </c>
      <c r="DGI2">
        <v>41779</v>
      </c>
      <c r="DGJ2">
        <v>41778</v>
      </c>
      <c r="DGK2">
        <v>41775</v>
      </c>
      <c r="DGL2">
        <v>41774</v>
      </c>
      <c r="DGM2">
        <v>41773</v>
      </c>
      <c r="DGN2">
        <v>41772</v>
      </c>
      <c r="DGO2">
        <v>41771</v>
      </c>
      <c r="DGP2">
        <v>41768</v>
      </c>
      <c r="DGQ2">
        <v>41767</v>
      </c>
      <c r="DGR2">
        <v>41766</v>
      </c>
      <c r="DGS2">
        <v>41765</v>
      </c>
      <c r="DGT2">
        <v>41764</v>
      </c>
      <c r="DGU2">
        <v>41761</v>
      </c>
      <c r="DGV2">
        <v>41760</v>
      </c>
      <c r="DGW2">
        <v>41759</v>
      </c>
      <c r="DGX2">
        <v>41758</v>
      </c>
      <c r="DGY2">
        <v>41757</v>
      </c>
      <c r="DGZ2">
        <v>41754</v>
      </c>
      <c r="DHA2">
        <v>41753</v>
      </c>
      <c r="DHB2">
        <v>41752</v>
      </c>
      <c r="DHC2">
        <v>41751</v>
      </c>
      <c r="DHD2">
        <v>41750</v>
      </c>
      <c r="DHE2">
        <v>41747</v>
      </c>
      <c r="DHF2">
        <v>41746</v>
      </c>
      <c r="DHG2">
        <v>41745</v>
      </c>
      <c r="DHH2">
        <v>41744</v>
      </c>
      <c r="DHI2">
        <v>41743</v>
      </c>
      <c r="DHJ2">
        <v>41740</v>
      </c>
      <c r="DHK2">
        <v>41739</v>
      </c>
      <c r="DHL2">
        <v>41738</v>
      </c>
      <c r="DHM2">
        <v>41737</v>
      </c>
      <c r="DHN2">
        <v>41736</v>
      </c>
      <c r="DHO2">
        <v>41733</v>
      </c>
      <c r="DHP2">
        <v>41732</v>
      </c>
      <c r="DHQ2">
        <v>41731</v>
      </c>
      <c r="DHR2">
        <v>41730</v>
      </c>
      <c r="DHS2">
        <v>41729</v>
      </c>
      <c r="DHT2">
        <v>41726</v>
      </c>
      <c r="DHU2">
        <v>41725</v>
      </c>
      <c r="DHV2">
        <v>41724</v>
      </c>
      <c r="DHW2">
        <v>41723</v>
      </c>
      <c r="DHX2">
        <v>41722</v>
      </c>
      <c r="DHY2">
        <v>41719</v>
      </c>
      <c r="DHZ2">
        <v>41718</v>
      </c>
      <c r="DIA2">
        <v>41717</v>
      </c>
      <c r="DIB2">
        <v>41716</v>
      </c>
      <c r="DIC2">
        <v>41715</v>
      </c>
      <c r="DID2">
        <v>41712</v>
      </c>
      <c r="DIE2">
        <v>41711</v>
      </c>
      <c r="DIF2">
        <v>41710</v>
      </c>
      <c r="DIG2">
        <v>41709</v>
      </c>
      <c r="DIH2">
        <v>41708</v>
      </c>
      <c r="DII2">
        <v>41705</v>
      </c>
      <c r="DIJ2">
        <v>41704</v>
      </c>
      <c r="DIK2">
        <v>41703</v>
      </c>
      <c r="DIL2">
        <v>41702</v>
      </c>
      <c r="DIM2">
        <v>41701</v>
      </c>
      <c r="DIN2">
        <v>41698</v>
      </c>
      <c r="DIO2">
        <v>41697</v>
      </c>
      <c r="DIP2">
        <v>41696</v>
      </c>
      <c r="DIQ2">
        <v>41695</v>
      </c>
      <c r="DIR2">
        <v>41694</v>
      </c>
      <c r="DIS2">
        <v>41691</v>
      </c>
      <c r="DIT2">
        <v>41690</v>
      </c>
      <c r="DIU2">
        <v>41689</v>
      </c>
      <c r="DIV2">
        <v>41688</v>
      </c>
      <c r="DIW2">
        <v>41687</v>
      </c>
      <c r="DIX2">
        <v>41684</v>
      </c>
      <c r="DIY2">
        <v>41683</v>
      </c>
      <c r="DIZ2">
        <v>41682</v>
      </c>
      <c r="DJA2">
        <v>41681</v>
      </c>
      <c r="DJB2">
        <v>41680</v>
      </c>
      <c r="DJC2">
        <v>41677</v>
      </c>
      <c r="DJD2">
        <v>41676</v>
      </c>
      <c r="DJE2">
        <v>41675</v>
      </c>
      <c r="DJF2">
        <v>41674</v>
      </c>
      <c r="DJG2">
        <v>41673</v>
      </c>
      <c r="DJH2">
        <v>41670</v>
      </c>
      <c r="DJI2">
        <v>41669</v>
      </c>
      <c r="DJJ2">
        <v>41668</v>
      </c>
      <c r="DJK2">
        <v>41667</v>
      </c>
      <c r="DJL2">
        <v>41666</v>
      </c>
      <c r="DJM2">
        <v>41663</v>
      </c>
      <c r="DJN2">
        <v>41662</v>
      </c>
      <c r="DJO2">
        <v>41661</v>
      </c>
      <c r="DJP2">
        <v>41660</v>
      </c>
      <c r="DJQ2">
        <v>41659</v>
      </c>
      <c r="DJR2">
        <v>41656</v>
      </c>
      <c r="DJS2">
        <v>41655</v>
      </c>
      <c r="DJT2">
        <v>41654</v>
      </c>
      <c r="DJU2">
        <v>41653</v>
      </c>
      <c r="DJV2">
        <v>41652</v>
      </c>
      <c r="DJW2">
        <v>41649</v>
      </c>
      <c r="DJX2">
        <v>41648</v>
      </c>
      <c r="DJY2">
        <v>41647</v>
      </c>
      <c r="DJZ2">
        <v>41646</v>
      </c>
      <c r="DKA2">
        <v>41645</v>
      </c>
      <c r="DKB2">
        <v>41642</v>
      </c>
      <c r="DKC2">
        <v>41641</v>
      </c>
      <c r="DKD2">
        <v>41640</v>
      </c>
      <c r="DKE2">
        <v>41639</v>
      </c>
      <c r="DKF2">
        <v>41638</v>
      </c>
      <c r="DKG2">
        <v>41635</v>
      </c>
      <c r="DKH2">
        <v>41634</v>
      </c>
      <c r="DKI2">
        <v>41633</v>
      </c>
      <c r="DKJ2">
        <v>41632</v>
      </c>
      <c r="DKK2">
        <v>41631</v>
      </c>
      <c r="DKL2">
        <v>41628</v>
      </c>
      <c r="DKM2">
        <v>41627</v>
      </c>
      <c r="DKN2">
        <v>41626</v>
      </c>
      <c r="DKO2">
        <v>41625</v>
      </c>
      <c r="DKP2">
        <v>41624</v>
      </c>
      <c r="DKQ2">
        <v>41621</v>
      </c>
      <c r="DKR2">
        <v>41620</v>
      </c>
      <c r="DKS2">
        <v>41619</v>
      </c>
      <c r="DKT2">
        <v>41618</v>
      </c>
      <c r="DKU2">
        <v>41617</v>
      </c>
      <c r="DKV2">
        <v>41614</v>
      </c>
      <c r="DKW2">
        <v>41613</v>
      </c>
      <c r="DKX2">
        <v>41612</v>
      </c>
      <c r="DKY2">
        <v>41611</v>
      </c>
      <c r="DKZ2">
        <v>41610</v>
      </c>
      <c r="DLA2">
        <v>41607</v>
      </c>
      <c r="DLB2">
        <v>41606</v>
      </c>
      <c r="DLC2">
        <v>41605</v>
      </c>
      <c r="DLD2">
        <v>41604</v>
      </c>
      <c r="DLE2">
        <v>41603</v>
      </c>
      <c r="DLF2">
        <v>41600</v>
      </c>
      <c r="DLG2">
        <v>41599</v>
      </c>
      <c r="DLH2">
        <v>41598</v>
      </c>
      <c r="DLI2">
        <v>41597</v>
      </c>
      <c r="DLJ2">
        <v>41596</v>
      </c>
      <c r="DLK2">
        <v>41593</v>
      </c>
      <c r="DLL2">
        <v>41592</v>
      </c>
      <c r="DLM2">
        <v>41591</v>
      </c>
      <c r="DLN2">
        <v>41590</v>
      </c>
      <c r="DLO2">
        <v>41589</v>
      </c>
      <c r="DLP2">
        <v>41586</v>
      </c>
      <c r="DLQ2">
        <v>41585</v>
      </c>
      <c r="DLR2">
        <v>41584</v>
      </c>
      <c r="DLS2">
        <v>41583</v>
      </c>
      <c r="DLT2">
        <v>41582</v>
      </c>
      <c r="DLU2">
        <v>41579</v>
      </c>
      <c r="DLV2">
        <v>41578</v>
      </c>
      <c r="DLW2">
        <v>41577</v>
      </c>
      <c r="DLX2">
        <v>41576</v>
      </c>
      <c r="DLY2">
        <v>41575</v>
      </c>
      <c r="DLZ2">
        <v>41572</v>
      </c>
      <c r="DMA2">
        <v>41571</v>
      </c>
      <c r="DMB2">
        <v>41570</v>
      </c>
      <c r="DMC2">
        <v>41569</v>
      </c>
      <c r="DMD2">
        <v>41568</v>
      </c>
      <c r="DME2">
        <v>41565</v>
      </c>
      <c r="DMF2">
        <v>41564</v>
      </c>
      <c r="DMG2">
        <v>41563</v>
      </c>
      <c r="DMH2">
        <v>41562</v>
      </c>
      <c r="DMI2">
        <v>41561</v>
      </c>
      <c r="DMJ2">
        <v>41558</v>
      </c>
      <c r="DMK2">
        <v>41557</v>
      </c>
      <c r="DML2">
        <v>41556</v>
      </c>
      <c r="DMM2">
        <v>41555</v>
      </c>
      <c r="DMN2">
        <v>41554</v>
      </c>
      <c r="DMO2">
        <v>41551</v>
      </c>
      <c r="DMP2">
        <v>41550</v>
      </c>
      <c r="DMQ2">
        <v>41549</v>
      </c>
      <c r="DMR2">
        <v>41548</v>
      </c>
      <c r="DMS2">
        <v>41547</v>
      </c>
      <c r="DMT2">
        <v>41544</v>
      </c>
      <c r="DMU2">
        <v>41543</v>
      </c>
      <c r="DMV2">
        <v>41542</v>
      </c>
      <c r="DMW2">
        <v>41541</v>
      </c>
      <c r="DMX2">
        <v>41540</v>
      </c>
      <c r="DMY2">
        <v>41537</v>
      </c>
      <c r="DMZ2">
        <v>41536</v>
      </c>
      <c r="DNA2">
        <v>41535</v>
      </c>
      <c r="DNB2">
        <v>41534</v>
      </c>
      <c r="DNC2">
        <v>41533</v>
      </c>
      <c r="DND2">
        <v>41530</v>
      </c>
      <c r="DNE2">
        <v>41529</v>
      </c>
      <c r="DNF2">
        <v>41528</v>
      </c>
      <c r="DNG2">
        <v>41527</v>
      </c>
      <c r="DNH2">
        <v>41526</v>
      </c>
      <c r="DNI2">
        <v>41523</v>
      </c>
      <c r="DNJ2">
        <v>41522</v>
      </c>
      <c r="DNK2">
        <v>41521</v>
      </c>
      <c r="DNL2">
        <v>41520</v>
      </c>
      <c r="DNM2">
        <v>41519</v>
      </c>
      <c r="DNN2">
        <v>41516</v>
      </c>
      <c r="DNO2">
        <v>41515</v>
      </c>
      <c r="DNP2">
        <v>41514</v>
      </c>
      <c r="DNQ2">
        <v>41513</v>
      </c>
      <c r="DNR2">
        <v>41512</v>
      </c>
      <c r="DNS2">
        <v>41509</v>
      </c>
      <c r="DNT2">
        <v>41508</v>
      </c>
      <c r="DNU2">
        <v>41507</v>
      </c>
      <c r="DNV2">
        <v>41506</v>
      </c>
      <c r="DNW2">
        <v>41505</v>
      </c>
      <c r="DNX2">
        <v>41502</v>
      </c>
      <c r="DNY2">
        <v>41501</v>
      </c>
      <c r="DNZ2">
        <v>41500</v>
      </c>
      <c r="DOA2">
        <v>41499</v>
      </c>
      <c r="DOB2">
        <v>41498</v>
      </c>
      <c r="DOC2">
        <v>41495</v>
      </c>
      <c r="DOD2">
        <v>41494</v>
      </c>
      <c r="DOE2">
        <v>41493</v>
      </c>
      <c r="DOF2">
        <v>41492</v>
      </c>
      <c r="DOG2">
        <v>41491</v>
      </c>
      <c r="DOH2">
        <v>41488</v>
      </c>
      <c r="DOI2">
        <v>41487</v>
      </c>
      <c r="DOJ2">
        <v>41486</v>
      </c>
      <c r="DOK2">
        <v>41485</v>
      </c>
      <c r="DOL2">
        <v>41484</v>
      </c>
      <c r="DOM2">
        <v>41481</v>
      </c>
      <c r="DON2">
        <v>41480</v>
      </c>
      <c r="DOO2">
        <v>41479</v>
      </c>
      <c r="DOP2">
        <v>41478</v>
      </c>
      <c r="DOQ2">
        <v>41477</v>
      </c>
      <c r="DOR2">
        <v>41474</v>
      </c>
      <c r="DOS2">
        <v>41473</v>
      </c>
      <c r="DOT2">
        <v>41472</v>
      </c>
      <c r="DOU2">
        <v>41471</v>
      </c>
      <c r="DOV2">
        <v>41470</v>
      </c>
      <c r="DOW2">
        <v>41467</v>
      </c>
      <c r="DOX2">
        <v>41466</v>
      </c>
      <c r="DOY2">
        <v>41465</v>
      </c>
      <c r="DOZ2">
        <v>41464</v>
      </c>
      <c r="DPA2">
        <v>41463</v>
      </c>
      <c r="DPB2">
        <v>41460</v>
      </c>
      <c r="DPC2">
        <v>41459</v>
      </c>
      <c r="DPD2">
        <v>41458</v>
      </c>
      <c r="DPE2">
        <v>41457</v>
      </c>
      <c r="DPF2">
        <v>41456</v>
      </c>
      <c r="DPG2">
        <v>41453</v>
      </c>
      <c r="DPH2">
        <v>41452</v>
      </c>
      <c r="DPI2">
        <v>41451</v>
      </c>
      <c r="DPJ2">
        <v>41450</v>
      </c>
      <c r="DPK2">
        <v>41449</v>
      </c>
      <c r="DPL2">
        <v>41446</v>
      </c>
      <c r="DPM2">
        <v>41445</v>
      </c>
      <c r="DPN2">
        <v>41444</v>
      </c>
      <c r="DPO2">
        <v>41443</v>
      </c>
      <c r="DPP2">
        <v>41442</v>
      </c>
      <c r="DPQ2">
        <v>41439</v>
      </c>
      <c r="DPR2">
        <v>41438</v>
      </c>
      <c r="DPS2">
        <v>41437</v>
      </c>
      <c r="DPT2">
        <v>41436</v>
      </c>
      <c r="DPU2">
        <v>41435</v>
      </c>
      <c r="DPV2">
        <v>41432</v>
      </c>
      <c r="DPW2">
        <v>41431</v>
      </c>
      <c r="DPX2">
        <v>41430</v>
      </c>
      <c r="DPY2">
        <v>41429</v>
      </c>
      <c r="DPZ2">
        <v>41428</v>
      </c>
      <c r="DQA2">
        <v>41425</v>
      </c>
      <c r="DQB2">
        <v>41424</v>
      </c>
      <c r="DQC2">
        <v>41423</v>
      </c>
      <c r="DQD2">
        <v>41422</v>
      </c>
      <c r="DQE2">
        <v>41421</v>
      </c>
      <c r="DQF2">
        <v>41418</v>
      </c>
      <c r="DQG2">
        <v>41417</v>
      </c>
      <c r="DQH2">
        <v>41416</v>
      </c>
      <c r="DQI2">
        <v>41415</v>
      </c>
      <c r="DQJ2">
        <v>41414</v>
      </c>
      <c r="DQK2">
        <v>41411</v>
      </c>
      <c r="DQL2">
        <v>41410</v>
      </c>
      <c r="DQM2">
        <v>41409</v>
      </c>
      <c r="DQN2">
        <v>41408</v>
      </c>
      <c r="DQO2">
        <v>41407</v>
      </c>
      <c r="DQP2">
        <v>41404</v>
      </c>
      <c r="DQQ2">
        <v>41403</v>
      </c>
      <c r="DQR2">
        <v>41402</v>
      </c>
      <c r="DQS2">
        <v>41401</v>
      </c>
      <c r="DQT2">
        <v>41400</v>
      </c>
      <c r="DQU2">
        <v>41397</v>
      </c>
      <c r="DQV2">
        <v>41396</v>
      </c>
      <c r="DQW2">
        <v>41395</v>
      </c>
      <c r="DQX2">
        <v>41394</v>
      </c>
      <c r="DQY2">
        <v>41393</v>
      </c>
      <c r="DQZ2">
        <v>41390</v>
      </c>
      <c r="DRA2">
        <v>41389</v>
      </c>
      <c r="DRB2">
        <v>41388</v>
      </c>
      <c r="DRC2">
        <v>41387</v>
      </c>
      <c r="DRD2">
        <v>41386</v>
      </c>
      <c r="DRE2">
        <v>41383</v>
      </c>
      <c r="DRF2">
        <v>41382</v>
      </c>
      <c r="DRG2">
        <v>41381</v>
      </c>
      <c r="DRH2">
        <v>41380</v>
      </c>
      <c r="DRI2">
        <v>41379</v>
      </c>
      <c r="DRJ2">
        <v>41376</v>
      </c>
      <c r="DRK2">
        <v>41375</v>
      </c>
      <c r="DRL2">
        <v>41374</v>
      </c>
      <c r="DRM2">
        <v>41373</v>
      </c>
      <c r="DRN2">
        <v>41372</v>
      </c>
      <c r="DRO2">
        <v>41369</v>
      </c>
      <c r="DRP2">
        <v>41368</v>
      </c>
      <c r="DRQ2">
        <v>41367</v>
      </c>
      <c r="DRR2">
        <v>41366</v>
      </c>
      <c r="DRS2">
        <v>41365</v>
      </c>
      <c r="DRT2">
        <v>41362</v>
      </c>
      <c r="DRU2">
        <v>41361</v>
      </c>
      <c r="DRV2">
        <v>41360</v>
      </c>
      <c r="DRW2">
        <v>41359</v>
      </c>
      <c r="DRX2">
        <v>41358</v>
      </c>
      <c r="DRY2">
        <v>41355</v>
      </c>
      <c r="DRZ2">
        <v>41354</v>
      </c>
      <c r="DSA2">
        <v>41353</v>
      </c>
      <c r="DSB2">
        <v>41352</v>
      </c>
      <c r="DSC2">
        <v>41351</v>
      </c>
      <c r="DSD2">
        <v>41348</v>
      </c>
      <c r="DSE2">
        <v>41347</v>
      </c>
      <c r="DSF2">
        <v>41346</v>
      </c>
      <c r="DSG2">
        <v>41345</v>
      </c>
      <c r="DSH2">
        <v>41344</v>
      </c>
      <c r="DSI2">
        <v>41341</v>
      </c>
      <c r="DSJ2">
        <v>41340</v>
      </c>
      <c r="DSK2">
        <v>41339</v>
      </c>
      <c r="DSL2">
        <v>41338</v>
      </c>
      <c r="DSM2">
        <v>41337</v>
      </c>
      <c r="DSN2">
        <v>41334</v>
      </c>
      <c r="DSO2">
        <v>41333</v>
      </c>
      <c r="DSP2">
        <v>41332</v>
      </c>
      <c r="DSQ2">
        <v>41331</v>
      </c>
      <c r="DSR2">
        <v>41330</v>
      </c>
      <c r="DSS2">
        <v>41327</v>
      </c>
      <c r="DST2">
        <v>41326</v>
      </c>
      <c r="DSU2">
        <v>41325</v>
      </c>
      <c r="DSV2">
        <v>41324</v>
      </c>
      <c r="DSW2">
        <v>41323</v>
      </c>
      <c r="DSX2">
        <v>41320</v>
      </c>
      <c r="DSY2">
        <v>41319</v>
      </c>
      <c r="DSZ2">
        <v>41318</v>
      </c>
      <c r="DTA2">
        <v>41317</v>
      </c>
      <c r="DTB2">
        <v>41316</v>
      </c>
      <c r="DTC2">
        <v>41313</v>
      </c>
      <c r="DTD2">
        <v>41312</v>
      </c>
      <c r="DTE2">
        <v>41311</v>
      </c>
      <c r="DTF2">
        <v>41310</v>
      </c>
      <c r="DTG2">
        <v>41309</v>
      </c>
      <c r="DTH2">
        <v>41306</v>
      </c>
      <c r="DTI2">
        <v>41305</v>
      </c>
      <c r="DTJ2">
        <v>41304</v>
      </c>
      <c r="DTK2">
        <v>41303</v>
      </c>
      <c r="DTL2">
        <v>41302</v>
      </c>
      <c r="DTM2">
        <v>41299</v>
      </c>
      <c r="DTN2">
        <v>41298</v>
      </c>
      <c r="DTO2">
        <v>41297</v>
      </c>
      <c r="DTP2">
        <v>41296</v>
      </c>
      <c r="DTQ2">
        <v>41295</v>
      </c>
      <c r="DTR2">
        <v>41292</v>
      </c>
      <c r="DTS2">
        <v>41291</v>
      </c>
      <c r="DTT2">
        <v>41290</v>
      </c>
      <c r="DTU2">
        <v>41289</v>
      </c>
      <c r="DTV2">
        <v>41288</v>
      </c>
      <c r="DTW2">
        <v>41285</v>
      </c>
      <c r="DTX2">
        <v>41284</v>
      </c>
      <c r="DTY2">
        <v>41283</v>
      </c>
      <c r="DTZ2">
        <v>41282</v>
      </c>
      <c r="DUA2">
        <v>41281</v>
      </c>
      <c r="DUB2">
        <v>41278</v>
      </c>
      <c r="DUC2">
        <v>41277</v>
      </c>
      <c r="DUD2">
        <v>41276</v>
      </c>
      <c r="DUE2">
        <v>41275</v>
      </c>
      <c r="DUF2">
        <v>41274</v>
      </c>
      <c r="DUG2">
        <v>41271</v>
      </c>
      <c r="DUH2">
        <v>41270</v>
      </c>
      <c r="DUI2">
        <v>41269</v>
      </c>
      <c r="DUJ2">
        <v>41268</v>
      </c>
      <c r="DUK2">
        <v>41267</v>
      </c>
      <c r="DUL2">
        <v>41264</v>
      </c>
      <c r="DUM2">
        <v>41263</v>
      </c>
      <c r="DUN2">
        <v>41262</v>
      </c>
      <c r="DUO2">
        <v>41261</v>
      </c>
      <c r="DUP2">
        <v>41260</v>
      </c>
      <c r="DUQ2">
        <v>41257</v>
      </c>
      <c r="DUR2">
        <v>41256</v>
      </c>
      <c r="DUS2">
        <v>41255</v>
      </c>
      <c r="DUT2">
        <v>41254</v>
      </c>
      <c r="DUU2">
        <v>41253</v>
      </c>
      <c r="DUV2">
        <v>41250</v>
      </c>
      <c r="DUW2">
        <v>41249</v>
      </c>
      <c r="DUX2">
        <v>41248</v>
      </c>
      <c r="DUY2">
        <v>41247</v>
      </c>
      <c r="DUZ2">
        <v>41246</v>
      </c>
      <c r="DVA2">
        <v>41243</v>
      </c>
      <c r="DVB2">
        <v>41242</v>
      </c>
      <c r="DVC2">
        <v>41241</v>
      </c>
      <c r="DVD2">
        <v>41240</v>
      </c>
      <c r="DVE2">
        <v>41239</v>
      </c>
      <c r="DVF2">
        <v>41236</v>
      </c>
      <c r="DVG2">
        <v>41235</v>
      </c>
      <c r="DVH2">
        <v>41234</v>
      </c>
      <c r="DVI2">
        <v>41233</v>
      </c>
      <c r="DVJ2">
        <v>41232</v>
      </c>
      <c r="DVK2">
        <v>41229</v>
      </c>
      <c r="DVL2">
        <v>41228</v>
      </c>
      <c r="DVM2">
        <v>41227</v>
      </c>
      <c r="DVN2">
        <v>41226</v>
      </c>
      <c r="DVO2">
        <v>41225</v>
      </c>
      <c r="DVP2">
        <v>41222</v>
      </c>
      <c r="DVQ2">
        <v>41221</v>
      </c>
      <c r="DVR2">
        <v>41220</v>
      </c>
      <c r="DVS2">
        <v>41219</v>
      </c>
      <c r="DVT2">
        <v>41218</v>
      </c>
      <c r="DVU2">
        <v>41215</v>
      </c>
      <c r="DVV2">
        <v>41214</v>
      </c>
      <c r="DVW2">
        <v>41213</v>
      </c>
      <c r="DVX2">
        <v>41212</v>
      </c>
      <c r="DVY2">
        <v>41211</v>
      </c>
      <c r="DVZ2">
        <v>41208</v>
      </c>
      <c r="DWA2">
        <v>41207</v>
      </c>
      <c r="DWB2">
        <v>41206</v>
      </c>
      <c r="DWC2">
        <v>41205</v>
      </c>
      <c r="DWD2">
        <v>41204</v>
      </c>
      <c r="DWE2">
        <v>41201</v>
      </c>
      <c r="DWF2">
        <v>41200</v>
      </c>
      <c r="DWG2">
        <v>41199</v>
      </c>
      <c r="DWH2">
        <v>41198</v>
      </c>
      <c r="DWI2">
        <v>41197</v>
      </c>
      <c r="DWJ2">
        <v>41194</v>
      </c>
      <c r="DWK2">
        <v>41193</v>
      </c>
      <c r="DWL2">
        <v>41192</v>
      </c>
      <c r="DWM2">
        <v>41191</v>
      </c>
      <c r="DWN2">
        <v>41190</v>
      </c>
      <c r="DWO2">
        <v>41187</v>
      </c>
      <c r="DWP2">
        <v>41186</v>
      </c>
      <c r="DWQ2">
        <v>41185</v>
      </c>
      <c r="DWR2">
        <v>41184</v>
      </c>
      <c r="DWS2">
        <v>41183</v>
      </c>
      <c r="DWT2">
        <v>41180</v>
      </c>
      <c r="DWU2">
        <v>41179</v>
      </c>
      <c r="DWV2">
        <v>41178</v>
      </c>
      <c r="DWW2">
        <v>41177</v>
      </c>
      <c r="DWX2">
        <v>41176</v>
      </c>
      <c r="DWY2">
        <v>41173</v>
      </c>
      <c r="DWZ2">
        <v>41172</v>
      </c>
      <c r="DXA2">
        <v>41171</v>
      </c>
      <c r="DXB2">
        <v>41170</v>
      </c>
      <c r="DXC2">
        <v>41169</v>
      </c>
      <c r="DXD2">
        <v>41166</v>
      </c>
      <c r="DXE2">
        <v>41165</v>
      </c>
      <c r="DXF2">
        <v>41164</v>
      </c>
      <c r="DXG2">
        <v>41163</v>
      </c>
      <c r="DXH2">
        <v>41162</v>
      </c>
      <c r="DXI2">
        <v>41159</v>
      </c>
      <c r="DXJ2">
        <v>41158</v>
      </c>
      <c r="DXK2">
        <v>41157</v>
      </c>
      <c r="DXL2">
        <v>41156</v>
      </c>
      <c r="DXM2">
        <v>41155</v>
      </c>
      <c r="DXN2">
        <v>41152</v>
      </c>
      <c r="DXO2">
        <v>41151</v>
      </c>
      <c r="DXP2">
        <v>41150</v>
      </c>
      <c r="DXQ2">
        <v>41149</v>
      </c>
      <c r="DXR2">
        <v>41148</v>
      </c>
      <c r="DXS2">
        <v>41145</v>
      </c>
      <c r="DXT2">
        <v>41144</v>
      </c>
      <c r="DXU2">
        <v>41143</v>
      </c>
      <c r="DXV2">
        <v>41142</v>
      </c>
      <c r="DXW2">
        <v>41141</v>
      </c>
      <c r="DXX2">
        <v>41138</v>
      </c>
      <c r="DXY2">
        <v>41137</v>
      </c>
      <c r="DXZ2">
        <v>41136</v>
      </c>
      <c r="DYA2">
        <v>41135</v>
      </c>
      <c r="DYB2">
        <v>41134</v>
      </c>
      <c r="DYC2">
        <v>41131</v>
      </c>
      <c r="DYD2">
        <v>41130</v>
      </c>
      <c r="DYE2">
        <v>41129</v>
      </c>
      <c r="DYF2">
        <v>41128</v>
      </c>
      <c r="DYG2">
        <v>41127</v>
      </c>
      <c r="DYH2">
        <v>41124</v>
      </c>
      <c r="DYI2">
        <v>41123</v>
      </c>
      <c r="DYJ2">
        <v>41122</v>
      </c>
      <c r="DYK2">
        <v>41121</v>
      </c>
      <c r="DYL2">
        <v>41120</v>
      </c>
      <c r="DYM2">
        <v>41117</v>
      </c>
      <c r="DYN2">
        <v>41116</v>
      </c>
      <c r="DYO2">
        <v>41115</v>
      </c>
      <c r="DYP2">
        <v>41114</v>
      </c>
      <c r="DYQ2">
        <v>41113</v>
      </c>
      <c r="DYR2">
        <v>41110</v>
      </c>
      <c r="DYS2">
        <v>41109</v>
      </c>
      <c r="DYT2">
        <v>41108</v>
      </c>
      <c r="DYU2">
        <v>41107</v>
      </c>
      <c r="DYV2">
        <v>41106</v>
      </c>
      <c r="DYW2">
        <v>41103</v>
      </c>
      <c r="DYX2">
        <v>41102</v>
      </c>
      <c r="DYY2">
        <v>41101</v>
      </c>
      <c r="DYZ2">
        <v>41100</v>
      </c>
      <c r="DZA2">
        <v>41099</v>
      </c>
      <c r="DZB2">
        <v>41096</v>
      </c>
      <c r="DZC2">
        <v>41095</v>
      </c>
      <c r="DZD2">
        <v>41094</v>
      </c>
      <c r="DZE2">
        <v>41093</v>
      </c>
      <c r="DZF2">
        <v>41092</v>
      </c>
      <c r="DZG2">
        <v>41089</v>
      </c>
      <c r="DZH2">
        <v>41088</v>
      </c>
      <c r="DZI2">
        <v>41087</v>
      </c>
      <c r="DZJ2">
        <v>41086</v>
      </c>
      <c r="DZK2">
        <v>41085</v>
      </c>
      <c r="DZL2">
        <v>41082</v>
      </c>
      <c r="DZM2">
        <v>41081</v>
      </c>
      <c r="DZN2">
        <v>41080</v>
      </c>
      <c r="DZO2">
        <v>41079</v>
      </c>
      <c r="DZP2">
        <v>41078</v>
      </c>
      <c r="DZQ2">
        <v>41075</v>
      </c>
      <c r="DZR2">
        <v>41074</v>
      </c>
      <c r="DZS2">
        <v>41073</v>
      </c>
      <c r="DZT2">
        <v>41072</v>
      </c>
      <c r="DZU2">
        <v>41071</v>
      </c>
      <c r="DZV2">
        <v>41068</v>
      </c>
      <c r="DZW2">
        <v>41067</v>
      </c>
      <c r="DZX2">
        <v>41066</v>
      </c>
      <c r="DZY2">
        <v>41065</v>
      </c>
      <c r="DZZ2">
        <v>41064</v>
      </c>
      <c r="EAA2">
        <v>41061</v>
      </c>
      <c r="EAB2">
        <v>41060</v>
      </c>
      <c r="EAC2">
        <v>41059</v>
      </c>
      <c r="EAD2">
        <v>41058</v>
      </c>
      <c r="EAE2">
        <v>41057</v>
      </c>
      <c r="EAF2">
        <v>41054</v>
      </c>
      <c r="EAG2">
        <v>41053</v>
      </c>
      <c r="EAH2">
        <v>41052</v>
      </c>
      <c r="EAI2">
        <v>41051</v>
      </c>
      <c r="EAJ2">
        <v>41050</v>
      </c>
      <c r="EAK2">
        <v>41047</v>
      </c>
      <c r="EAL2">
        <v>41046</v>
      </c>
      <c r="EAM2">
        <v>41045</v>
      </c>
      <c r="EAN2">
        <v>41044</v>
      </c>
      <c r="EAO2">
        <v>41043</v>
      </c>
      <c r="EAP2">
        <v>41040</v>
      </c>
      <c r="EAQ2">
        <v>41039</v>
      </c>
      <c r="EAR2">
        <v>41038</v>
      </c>
      <c r="EAS2">
        <v>41037</v>
      </c>
      <c r="EAT2">
        <v>41036</v>
      </c>
      <c r="EAU2">
        <v>41033</v>
      </c>
      <c r="EAV2">
        <v>41032</v>
      </c>
      <c r="EAW2">
        <v>41031</v>
      </c>
      <c r="EAX2">
        <v>41030</v>
      </c>
      <c r="EAY2">
        <v>41029</v>
      </c>
      <c r="EAZ2">
        <v>41026</v>
      </c>
      <c r="EBA2">
        <v>41025</v>
      </c>
      <c r="EBB2">
        <v>41024</v>
      </c>
      <c r="EBC2">
        <v>41023</v>
      </c>
      <c r="EBD2">
        <v>41022</v>
      </c>
      <c r="EBE2">
        <v>41019</v>
      </c>
      <c r="EBF2">
        <v>41018</v>
      </c>
      <c r="EBG2">
        <v>41017</v>
      </c>
      <c r="EBH2">
        <v>41016</v>
      </c>
      <c r="EBI2">
        <v>41015</v>
      </c>
      <c r="EBJ2">
        <v>41012</v>
      </c>
      <c r="EBK2">
        <v>41011</v>
      </c>
      <c r="EBL2">
        <v>41010</v>
      </c>
      <c r="EBM2">
        <v>41009</v>
      </c>
      <c r="EBN2">
        <v>41008</v>
      </c>
      <c r="EBO2">
        <v>41005</v>
      </c>
      <c r="EBP2">
        <v>41004</v>
      </c>
      <c r="EBQ2">
        <v>41003</v>
      </c>
      <c r="EBR2">
        <v>41002</v>
      </c>
      <c r="EBS2">
        <v>41001</v>
      </c>
      <c r="EBT2">
        <v>40998</v>
      </c>
      <c r="EBU2">
        <v>40997</v>
      </c>
      <c r="EBV2">
        <v>40996</v>
      </c>
      <c r="EBW2">
        <v>40995</v>
      </c>
      <c r="EBX2">
        <v>40994</v>
      </c>
      <c r="EBY2">
        <v>40991</v>
      </c>
      <c r="EBZ2">
        <v>40990</v>
      </c>
      <c r="ECA2">
        <v>40989</v>
      </c>
      <c r="ECB2">
        <v>40988</v>
      </c>
      <c r="ECC2">
        <v>40987</v>
      </c>
      <c r="ECD2">
        <v>40984</v>
      </c>
      <c r="ECE2">
        <v>40983</v>
      </c>
      <c r="ECF2">
        <v>40982</v>
      </c>
      <c r="ECG2">
        <v>40981</v>
      </c>
      <c r="ECH2">
        <v>40980</v>
      </c>
      <c r="ECI2">
        <v>40977</v>
      </c>
      <c r="ECJ2">
        <v>40976</v>
      </c>
      <c r="ECK2">
        <v>40975</v>
      </c>
      <c r="ECL2">
        <v>40974</v>
      </c>
      <c r="ECM2">
        <v>40973</v>
      </c>
      <c r="ECN2">
        <v>40970</v>
      </c>
      <c r="ECO2">
        <v>40969</v>
      </c>
      <c r="ECP2">
        <v>40968</v>
      </c>
      <c r="ECQ2">
        <v>40967</v>
      </c>
      <c r="ECR2">
        <v>40966</v>
      </c>
      <c r="ECS2">
        <v>40963</v>
      </c>
      <c r="ECT2">
        <v>40962</v>
      </c>
      <c r="ECU2">
        <v>40961</v>
      </c>
      <c r="ECV2">
        <v>40960</v>
      </c>
      <c r="ECW2">
        <v>40959</v>
      </c>
      <c r="ECX2">
        <v>40956</v>
      </c>
      <c r="ECY2">
        <v>40955</v>
      </c>
      <c r="ECZ2">
        <v>40954</v>
      </c>
      <c r="EDA2">
        <v>40953</v>
      </c>
      <c r="EDB2">
        <v>40952</v>
      </c>
      <c r="EDC2">
        <v>40949</v>
      </c>
      <c r="EDD2">
        <v>40948</v>
      </c>
      <c r="EDE2">
        <v>40947</v>
      </c>
      <c r="EDF2">
        <v>40946</v>
      </c>
      <c r="EDG2">
        <v>40945</v>
      </c>
      <c r="EDH2">
        <v>40942</v>
      </c>
      <c r="EDI2">
        <v>40941</v>
      </c>
      <c r="EDJ2">
        <v>40940</v>
      </c>
      <c r="EDK2">
        <v>40939</v>
      </c>
      <c r="EDL2">
        <v>40938</v>
      </c>
      <c r="EDM2">
        <v>40935</v>
      </c>
      <c r="EDN2">
        <v>40934</v>
      </c>
      <c r="EDO2">
        <v>40933</v>
      </c>
      <c r="EDP2">
        <v>40932</v>
      </c>
      <c r="EDQ2">
        <v>40931</v>
      </c>
      <c r="EDR2">
        <v>40928</v>
      </c>
      <c r="EDS2">
        <v>40927</v>
      </c>
      <c r="EDT2">
        <v>40926</v>
      </c>
      <c r="EDU2">
        <v>40925</v>
      </c>
      <c r="EDV2">
        <v>40924</v>
      </c>
      <c r="EDW2">
        <v>40921</v>
      </c>
      <c r="EDX2">
        <v>40920</v>
      </c>
      <c r="EDY2">
        <v>40919</v>
      </c>
      <c r="EDZ2">
        <v>40918</v>
      </c>
      <c r="EEA2">
        <v>40917</v>
      </c>
      <c r="EEB2">
        <v>40914</v>
      </c>
      <c r="EEC2">
        <v>40913</v>
      </c>
      <c r="EED2">
        <v>40912</v>
      </c>
      <c r="EEE2">
        <v>40911</v>
      </c>
      <c r="EEF2">
        <v>40910</v>
      </c>
      <c r="EEG2">
        <v>40907</v>
      </c>
      <c r="EEH2">
        <v>40906</v>
      </c>
      <c r="EEI2">
        <v>40905</v>
      </c>
      <c r="EEJ2">
        <v>40904</v>
      </c>
      <c r="EEK2">
        <v>40903</v>
      </c>
      <c r="EEL2">
        <v>40900</v>
      </c>
      <c r="EEM2">
        <v>40899</v>
      </c>
      <c r="EEN2">
        <v>40898</v>
      </c>
      <c r="EEO2">
        <v>40897</v>
      </c>
      <c r="EEP2">
        <v>40896</v>
      </c>
      <c r="EEQ2">
        <v>40893</v>
      </c>
      <c r="EER2">
        <v>40892</v>
      </c>
      <c r="EES2">
        <v>40891</v>
      </c>
      <c r="EET2">
        <v>40890</v>
      </c>
      <c r="EEU2">
        <v>40889</v>
      </c>
      <c r="EEV2">
        <v>40886</v>
      </c>
      <c r="EEW2">
        <v>40885</v>
      </c>
      <c r="EEX2">
        <v>40884</v>
      </c>
      <c r="EEY2">
        <v>40883</v>
      </c>
      <c r="EEZ2">
        <v>40882</v>
      </c>
      <c r="EFA2">
        <v>40879</v>
      </c>
      <c r="EFB2">
        <v>40878</v>
      </c>
      <c r="EFC2">
        <v>40877</v>
      </c>
      <c r="EFD2">
        <v>40876</v>
      </c>
      <c r="EFE2">
        <v>40875</v>
      </c>
      <c r="EFF2">
        <v>40872</v>
      </c>
      <c r="EFG2">
        <v>40871</v>
      </c>
      <c r="EFH2">
        <v>40870</v>
      </c>
      <c r="EFI2">
        <v>40869</v>
      </c>
      <c r="EFJ2">
        <v>40868</v>
      </c>
      <c r="EFK2">
        <v>40865</v>
      </c>
      <c r="EFL2">
        <v>40864</v>
      </c>
      <c r="EFM2">
        <v>40863</v>
      </c>
      <c r="EFN2">
        <v>40862</v>
      </c>
      <c r="EFO2">
        <v>40861</v>
      </c>
      <c r="EFP2">
        <v>40858</v>
      </c>
      <c r="EFQ2">
        <v>40857</v>
      </c>
      <c r="EFR2">
        <v>40856</v>
      </c>
      <c r="EFS2">
        <v>40855</v>
      </c>
      <c r="EFT2">
        <v>40854</v>
      </c>
      <c r="EFU2">
        <v>40851</v>
      </c>
      <c r="EFV2">
        <v>40850</v>
      </c>
      <c r="EFW2">
        <v>40849</v>
      </c>
      <c r="EFX2">
        <v>40848</v>
      </c>
      <c r="EFY2">
        <v>40847</v>
      </c>
      <c r="EFZ2">
        <v>40844</v>
      </c>
      <c r="EGA2">
        <v>40843</v>
      </c>
      <c r="EGB2">
        <v>40842</v>
      </c>
      <c r="EGC2">
        <v>40841</v>
      </c>
      <c r="EGD2">
        <v>40840</v>
      </c>
      <c r="EGE2">
        <v>40837</v>
      </c>
      <c r="EGF2">
        <v>40836</v>
      </c>
      <c r="EGG2">
        <v>40835</v>
      </c>
      <c r="EGH2">
        <v>40834</v>
      </c>
      <c r="EGI2">
        <v>40833</v>
      </c>
      <c r="EGJ2">
        <v>40830</v>
      </c>
      <c r="EGK2">
        <v>40829</v>
      </c>
      <c r="EGL2">
        <v>40828</v>
      </c>
      <c r="EGM2">
        <v>40827</v>
      </c>
      <c r="EGN2">
        <v>40826</v>
      </c>
      <c r="EGO2">
        <v>40823</v>
      </c>
      <c r="EGP2">
        <v>40822</v>
      </c>
      <c r="EGQ2">
        <v>40821</v>
      </c>
      <c r="EGR2">
        <v>40820</v>
      </c>
      <c r="EGS2">
        <v>40819</v>
      </c>
      <c r="EGT2">
        <v>40816</v>
      </c>
      <c r="EGU2">
        <v>40815</v>
      </c>
      <c r="EGV2">
        <v>40814</v>
      </c>
      <c r="EGW2">
        <v>40813</v>
      </c>
      <c r="EGX2">
        <v>40812</v>
      </c>
      <c r="EGY2">
        <v>40809</v>
      </c>
      <c r="EGZ2">
        <v>40808</v>
      </c>
      <c r="EHA2">
        <v>40807</v>
      </c>
      <c r="EHB2">
        <v>40806</v>
      </c>
      <c r="EHC2">
        <v>40805</v>
      </c>
      <c r="EHD2">
        <v>40802</v>
      </c>
      <c r="EHE2">
        <v>40801</v>
      </c>
      <c r="EHF2">
        <v>40800</v>
      </c>
      <c r="EHG2">
        <v>40799</v>
      </c>
      <c r="EHH2">
        <v>40798</v>
      </c>
      <c r="EHI2">
        <v>40795</v>
      </c>
      <c r="EHJ2">
        <v>40794</v>
      </c>
      <c r="EHK2">
        <v>40793</v>
      </c>
      <c r="EHL2">
        <v>40792</v>
      </c>
      <c r="EHM2">
        <v>40791</v>
      </c>
      <c r="EHN2">
        <v>40788</v>
      </c>
      <c r="EHO2">
        <v>40787</v>
      </c>
      <c r="EHP2">
        <v>40786</v>
      </c>
      <c r="EHQ2">
        <v>40785</v>
      </c>
      <c r="EHR2">
        <v>40784</v>
      </c>
      <c r="EHS2">
        <v>40781</v>
      </c>
      <c r="EHT2">
        <v>40780</v>
      </c>
      <c r="EHU2">
        <v>40779</v>
      </c>
      <c r="EHV2">
        <v>40778</v>
      </c>
      <c r="EHW2">
        <v>40777</v>
      </c>
      <c r="EHX2">
        <v>40774</v>
      </c>
      <c r="EHY2">
        <v>40773</v>
      </c>
      <c r="EHZ2">
        <v>40772</v>
      </c>
      <c r="EIA2">
        <v>40771</v>
      </c>
      <c r="EIB2">
        <v>40770</v>
      </c>
      <c r="EIC2">
        <v>40767</v>
      </c>
      <c r="EID2">
        <v>40766</v>
      </c>
      <c r="EIE2">
        <v>40765</v>
      </c>
      <c r="EIF2">
        <v>40764</v>
      </c>
      <c r="EIG2">
        <v>40763</v>
      </c>
      <c r="EIH2">
        <v>40760</v>
      </c>
      <c r="EII2">
        <v>40759</v>
      </c>
      <c r="EIJ2">
        <v>40758</v>
      </c>
      <c r="EIK2">
        <v>40757</v>
      </c>
      <c r="EIL2">
        <v>40756</v>
      </c>
      <c r="EIM2">
        <v>40753</v>
      </c>
      <c r="EIN2">
        <v>40752</v>
      </c>
      <c r="EIO2">
        <v>40751</v>
      </c>
      <c r="EIP2">
        <v>40750</v>
      </c>
      <c r="EIQ2">
        <v>40749</v>
      </c>
      <c r="EIR2">
        <v>40746</v>
      </c>
      <c r="EIS2">
        <v>40745</v>
      </c>
      <c r="EIT2">
        <v>40744</v>
      </c>
      <c r="EIU2">
        <v>40743</v>
      </c>
      <c r="EIV2">
        <v>40742</v>
      </c>
      <c r="EIW2">
        <v>40739</v>
      </c>
      <c r="EIX2">
        <v>40738</v>
      </c>
      <c r="EIY2">
        <v>40737</v>
      </c>
      <c r="EIZ2">
        <v>40736</v>
      </c>
      <c r="EJA2">
        <v>40735</v>
      </c>
      <c r="EJB2">
        <v>40732</v>
      </c>
      <c r="EJC2">
        <v>40731</v>
      </c>
      <c r="EJD2">
        <v>40730</v>
      </c>
      <c r="EJE2">
        <v>40729</v>
      </c>
      <c r="EJF2">
        <v>40728</v>
      </c>
      <c r="EJG2">
        <v>40725</v>
      </c>
      <c r="EJH2">
        <v>40724</v>
      </c>
      <c r="EJI2">
        <v>40723</v>
      </c>
      <c r="EJJ2">
        <v>40722</v>
      </c>
      <c r="EJK2">
        <v>40721</v>
      </c>
      <c r="EJL2">
        <v>40718</v>
      </c>
      <c r="EJM2">
        <v>40717</v>
      </c>
      <c r="EJN2">
        <v>40716</v>
      </c>
      <c r="EJO2">
        <v>40715</v>
      </c>
      <c r="EJP2">
        <v>40714</v>
      </c>
      <c r="EJQ2">
        <v>40711</v>
      </c>
      <c r="EJR2">
        <v>40710</v>
      </c>
      <c r="EJS2">
        <v>40709</v>
      </c>
      <c r="EJT2">
        <v>40708</v>
      </c>
      <c r="EJU2">
        <v>40707</v>
      </c>
      <c r="EJV2">
        <v>40704</v>
      </c>
      <c r="EJW2">
        <v>40703</v>
      </c>
      <c r="EJX2">
        <v>40702</v>
      </c>
      <c r="EJY2">
        <v>40701</v>
      </c>
      <c r="EJZ2">
        <v>40700</v>
      </c>
      <c r="EKA2">
        <v>40697</v>
      </c>
      <c r="EKB2">
        <v>40696</v>
      </c>
      <c r="EKC2">
        <v>40695</v>
      </c>
      <c r="EKD2">
        <v>40694</v>
      </c>
      <c r="EKE2">
        <v>40693</v>
      </c>
      <c r="EKF2">
        <v>40690</v>
      </c>
      <c r="EKG2">
        <v>40689</v>
      </c>
      <c r="EKH2">
        <v>40688</v>
      </c>
      <c r="EKI2">
        <v>40687</v>
      </c>
      <c r="EKJ2">
        <v>40686</v>
      </c>
      <c r="EKK2">
        <v>40683</v>
      </c>
      <c r="EKL2">
        <v>40682</v>
      </c>
      <c r="EKM2">
        <v>40681</v>
      </c>
      <c r="EKN2">
        <v>40680</v>
      </c>
      <c r="EKO2">
        <v>40679</v>
      </c>
      <c r="EKP2">
        <v>40676</v>
      </c>
      <c r="EKQ2">
        <v>40675</v>
      </c>
      <c r="EKR2">
        <v>40674</v>
      </c>
      <c r="EKS2">
        <v>40673</v>
      </c>
      <c r="EKT2">
        <v>40672</v>
      </c>
      <c r="EKU2">
        <v>40669</v>
      </c>
      <c r="EKV2">
        <v>40668</v>
      </c>
      <c r="EKW2">
        <v>40667</v>
      </c>
      <c r="EKX2">
        <v>40666</v>
      </c>
      <c r="EKY2">
        <v>40665</v>
      </c>
      <c r="EKZ2">
        <v>40662</v>
      </c>
      <c r="ELA2">
        <v>40661</v>
      </c>
      <c r="ELB2">
        <v>40660</v>
      </c>
      <c r="ELC2">
        <v>40659</v>
      </c>
      <c r="ELD2">
        <v>40658</v>
      </c>
      <c r="ELE2">
        <v>40655</v>
      </c>
      <c r="ELF2">
        <v>40654</v>
      </c>
      <c r="ELG2">
        <v>40653</v>
      </c>
      <c r="ELH2">
        <v>40652</v>
      </c>
      <c r="ELI2">
        <v>40651</v>
      </c>
      <c r="ELJ2">
        <v>40648</v>
      </c>
      <c r="ELK2">
        <v>40647</v>
      </c>
      <c r="ELL2">
        <v>40646</v>
      </c>
      <c r="ELM2">
        <v>40645</v>
      </c>
      <c r="ELN2">
        <v>40644</v>
      </c>
      <c r="ELO2">
        <v>40641</v>
      </c>
      <c r="ELP2">
        <v>40640</v>
      </c>
      <c r="ELQ2">
        <v>40639</v>
      </c>
      <c r="ELR2">
        <v>40638</v>
      </c>
      <c r="ELS2">
        <v>40637</v>
      </c>
      <c r="ELT2">
        <v>40634</v>
      </c>
      <c r="ELU2">
        <v>40633</v>
      </c>
      <c r="ELV2">
        <v>40632</v>
      </c>
      <c r="ELW2">
        <v>40631</v>
      </c>
      <c r="ELX2">
        <v>40630</v>
      </c>
      <c r="ELY2">
        <v>40627</v>
      </c>
      <c r="ELZ2">
        <v>40626</v>
      </c>
      <c r="EMA2">
        <v>40625</v>
      </c>
      <c r="EMB2">
        <v>40624</v>
      </c>
      <c r="EMC2">
        <v>40623</v>
      </c>
      <c r="EMD2">
        <v>40620</v>
      </c>
      <c r="EME2">
        <v>40619</v>
      </c>
      <c r="EMF2">
        <v>40618</v>
      </c>
      <c r="EMG2">
        <v>40617</v>
      </c>
      <c r="EMH2">
        <v>40616</v>
      </c>
      <c r="EMI2">
        <v>40613</v>
      </c>
      <c r="EMJ2">
        <v>40612</v>
      </c>
      <c r="EMK2">
        <v>40611</v>
      </c>
      <c r="EML2">
        <v>40610</v>
      </c>
      <c r="EMM2">
        <v>40609</v>
      </c>
      <c r="EMN2">
        <v>40606</v>
      </c>
      <c r="EMO2">
        <v>40605</v>
      </c>
      <c r="EMP2">
        <v>40604</v>
      </c>
      <c r="EMQ2">
        <v>40603</v>
      </c>
      <c r="EMR2">
        <v>40602</v>
      </c>
      <c r="EMS2">
        <v>40599</v>
      </c>
      <c r="EMT2">
        <v>40598</v>
      </c>
      <c r="EMU2">
        <v>40597</v>
      </c>
      <c r="EMV2">
        <v>40596</v>
      </c>
      <c r="EMW2">
        <v>40595</v>
      </c>
      <c r="EMX2">
        <v>40592</v>
      </c>
      <c r="EMY2">
        <v>40591</v>
      </c>
      <c r="EMZ2">
        <v>40590</v>
      </c>
      <c r="ENA2">
        <v>40589</v>
      </c>
      <c r="ENB2">
        <v>40588</v>
      </c>
      <c r="ENC2">
        <v>40585</v>
      </c>
      <c r="END2">
        <v>40584</v>
      </c>
      <c r="ENE2">
        <v>40583</v>
      </c>
      <c r="ENF2">
        <v>40582</v>
      </c>
      <c r="ENG2">
        <v>40581</v>
      </c>
      <c r="ENH2">
        <v>40578</v>
      </c>
      <c r="ENI2">
        <v>40577</v>
      </c>
      <c r="ENJ2">
        <v>40576</v>
      </c>
      <c r="ENK2">
        <v>40575</v>
      </c>
      <c r="ENL2">
        <v>40574</v>
      </c>
      <c r="ENM2">
        <v>40571</v>
      </c>
      <c r="ENN2">
        <v>40570</v>
      </c>
      <c r="ENO2">
        <v>40569</v>
      </c>
      <c r="ENP2">
        <v>40568</v>
      </c>
      <c r="ENQ2">
        <v>40567</v>
      </c>
      <c r="ENR2">
        <v>40564</v>
      </c>
      <c r="ENS2">
        <v>40563</v>
      </c>
      <c r="ENT2">
        <v>40562</v>
      </c>
      <c r="ENU2">
        <v>40561</v>
      </c>
      <c r="ENV2">
        <v>40560</v>
      </c>
      <c r="ENW2">
        <v>40557</v>
      </c>
      <c r="ENX2">
        <v>40556</v>
      </c>
      <c r="ENY2">
        <v>40555</v>
      </c>
      <c r="ENZ2">
        <v>40554</v>
      </c>
      <c r="EOA2">
        <v>40553</v>
      </c>
      <c r="EOB2">
        <v>40550</v>
      </c>
      <c r="EOC2">
        <v>40549</v>
      </c>
      <c r="EOD2">
        <v>40548</v>
      </c>
      <c r="EOE2">
        <v>40547</v>
      </c>
      <c r="EOF2">
        <v>40546</v>
      </c>
      <c r="EOG2">
        <v>40543</v>
      </c>
      <c r="EOH2">
        <v>40542</v>
      </c>
      <c r="EOI2">
        <v>40541</v>
      </c>
      <c r="EOJ2">
        <v>40540</v>
      </c>
      <c r="EOK2">
        <v>40539</v>
      </c>
      <c r="EOL2">
        <v>40536</v>
      </c>
      <c r="EOM2">
        <v>40535</v>
      </c>
      <c r="EON2">
        <v>40534</v>
      </c>
      <c r="EOO2">
        <v>40533</v>
      </c>
      <c r="EOP2">
        <v>40532</v>
      </c>
      <c r="EOQ2">
        <v>40529</v>
      </c>
      <c r="EOR2">
        <v>40528</v>
      </c>
      <c r="EOS2">
        <v>40527</v>
      </c>
      <c r="EOT2">
        <v>40526</v>
      </c>
      <c r="EOU2">
        <v>40525</v>
      </c>
      <c r="EOV2">
        <v>40522</v>
      </c>
      <c r="EOW2">
        <v>40521</v>
      </c>
      <c r="EOX2">
        <v>40520</v>
      </c>
      <c r="EOY2">
        <v>40519</v>
      </c>
      <c r="EOZ2">
        <v>40518</v>
      </c>
      <c r="EPA2">
        <v>40515</v>
      </c>
      <c r="EPB2">
        <v>40514</v>
      </c>
      <c r="EPC2">
        <v>40513</v>
      </c>
      <c r="EPD2">
        <v>40512</v>
      </c>
      <c r="EPE2">
        <v>40511</v>
      </c>
      <c r="EPF2">
        <v>40508</v>
      </c>
      <c r="EPG2">
        <v>40507</v>
      </c>
      <c r="EPH2">
        <v>40506</v>
      </c>
      <c r="EPI2">
        <v>40505</v>
      </c>
      <c r="EPJ2">
        <v>40504</v>
      </c>
      <c r="EPK2">
        <v>40501</v>
      </c>
      <c r="EPL2">
        <v>40500</v>
      </c>
      <c r="EPM2">
        <v>40499</v>
      </c>
      <c r="EPN2">
        <v>40498</v>
      </c>
      <c r="EPO2">
        <v>40497</v>
      </c>
      <c r="EPP2">
        <v>40494</v>
      </c>
      <c r="EPQ2">
        <v>40493</v>
      </c>
      <c r="EPR2">
        <v>40492</v>
      </c>
      <c r="EPS2">
        <v>40491</v>
      </c>
      <c r="EPT2">
        <v>40490</v>
      </c>
      <c r="EPU2">
        <v>40487</v>
      </c>
      <c r="EPV2">
        <v>40486</v>
      </c>
      <c r="EPW2">
        <v>40485</v>
      </c>
      <c r="EPX2">
        <v>40484</v>
      </c>
      <c r="EPY2">
        <v>40483</v>
      </c>
      <c r="EPZ2">
        <v>40480</v>
      </c>
      <c r="EQA2">
        <v>40479</v>
      </c>
      <c r="EQB2">
        <v>40478</v>
      </c>
      <c r="EQC2">
        <v>40477</v>
      </c>
      <c r="EQD2">
        <v>40476</v>
      </c>
      <c r="EQE2">
        <v>40473</v>
      </c>
      <c r="EQF2">
        <v>40472</v>
      </c>
      <c r="EQG2">
        <v>40471</v>
      </c>
      <c r="EQH2">
        <v>40470</v>
      </c>
      <c r="EQI2">
        <v>40469</v>
      </c>
      <c r="EQJ2">
        <v>40466</v>
      </c>
      <c r="EQK2">
        <v>40465</v>
      </c>
      <c r="EQL2">
        <v>40464</v>
      </c>
      <c r="EQM2">
        <v>40463</v>
      </c>
      <c r="EQN2">
        <v>40462</v>
      </c>
      <c r="EQO2">
        <v>40459</v>
      </c>
      <c r="EQP2">
        <v>40458</v>
      </c>
      <c r="EQQ2">
        <v>40457</v>
      </c>
      <c r="EQR2">
        <v>40456</v>
      </c>
      <c r="EQS2">
        <v>40455</v>
      </c>
      <c r="EQT2">
        <v>40452</v>
      </c>
      <c r="EQU2">
        <v>40451</v>
      </c>
      <c r="EQV2">
        <v>40450</v>
      </c>
      <c r="EQW2">
        <v>40449</v>
      </c>
      <c r="EQX2">
        <v>40448</v>
      </c>
      <c r="EQY2">
        <v>40445</v>
      </c>
      <c r="EQZ2">
        <v>40444</v>
      </c>
      <c r="ERA2">
        <v>40443</v>
      </c>
      <c r="ERB2">
        <v>40442</v>
      </c>
      <c r="ERC2">
        <v>40441</v>
      </c>
      <c r="ERD2">
        <v>40438</v>
      </c>
      <c r="ERE2">
        <v>40437</v>
      </c>
      <c r="ERF2">
        <v>40436</v>
      </c>
      <c r="ERG2">
        <v>40435</v>
      </c>
      <c r="ERH2">
        <v>40434</v>
      </c>
      <c r="ERI2">
        <v>40431</v>
      </c>
      <c r="ERJ2">
        <v>40430</v>
      </c>
      <c r="ERK2">
        <v>40429</v>
      </c>
      <c r="ERL2">
        <v>40428</v>
      </c>
      <c r="ERM2">
        <v>40427</v>
      </c>
      <c r="ERN2">
        <v>40424</v>
      </c>
      <c r="ERO2">
        <v>40423</v>
      </c>
      <c r="ERP2">
        <v>40422</v>
      </c>
      <c r="ERQ2">
        <v>40421</v>
      </c>
      <c r="ERR2">
        <v>40420</v>
      </c>
      <c r="ERS2">
        <v>40417</v>
      </c>
      <c r="ERT2">
        <v>40416</v>
      </c>
      <c r="ERU2">
        <v>40415</v>
      </c>
      <c r="ERV2">
        <v>40414</v>
      </c>
      <c r="ERW2">
        <v>40413</v>
      </c>
      <c r="ERX2">
        <v>40410</v>
      </c>
      <c r="ERY2">
        <v>40409</v>
      </c>
      <c r="ERZ2">
        <v>40408</v>
      </c>
      <c r="ESA2">
        <v>40407</v>
      </c>
      <c r="ESB2">
        <v>40406</v>
      </c>
      <c r="ESC2">
        <v>40403</v>
      </c>
      <c r="ESD2">
        <v>40402</v>
      </c>
      <c r="ESE2">
        <v>40401</v>
      </c>
      <c r="ESF2">
        <v>40400</v>
      </c>
      <c r="ESG2">
        <v>40399</v>
      </c>
      <c r="ESH2">
        <v>40396</v>
      </c>
      <c r="ESI2">
        <v>40395</v>
      </c>
      <c r="ESJ2">
        <v>40394</v>
      </c>
      <c r="ESK2">
        <v>40393</v>
      </c>
      <c r="ESL2">
        <v>40392</v>
      </c>
      <c r="ESM2">
        <v>40389</v>
      </c>
      <c r="ESN2">
        <v>40388</v>
      </c>
      <c r="ESO2">
        <v>40387</v>
      </c>
      <c r="ESP2">
        <v>40386</v>
      </c>
      <c r="ESQ2">
        <v>40385</v>
      </c>
      <c r="ESR2">
        <v>40382</v>
      </c>
      <c r="ESS2">
        <v>40381</v>
      </c>
      <c r="EST2">
        <v>40380</v>
      </c>
      <c r="ESU2">
        <v>40379</v>
      </c>
      <c r="ESV2">
        <v>40378</v>
      </c>
      <c r="ESW2">
        <v>40375</v>
      </c>
      <c r="ESX2">
        <v>40374</v>
      </c>
      <c r="ESY2">
        <v>40373</v>
      </c>
      <c r="ESZ2">
        <v>40372</v>
      </c>
      <c r="ETA2">
        <v>40371</v>
      </c>
      <c r="ETB2">
        <v>40368</v>
      </c>
      <c r="ETC2">
        <v>40367</v>
      </c>
      <c r="ETD2">
        <v>40366</v>
      </c>
      <c r="ETE2">
        <v>40365</v>
      </c>
      <c r="ETF2">
        <v>40364</v>
      </c>
      <c r="ETG2">
        <v>40361</v>
      </c>
      <c r="ETH2">
        <v>40360</v>
      </c>
      <c r="ETI2">
        <v>40359</v>
      </c>
      <c r="ETJ2">
        <v>40358</v>
      </c>
      <c r="ETK2">
        <v>40357</v>
      </c>
      <c r="ETL2">
        <v>40354</v>
      </c>
      <c r="ETM2">
        <v>40353</v>
      </c>
      <c r="ETN2">
        <v>40352</v>
      </c>
      <c r="ETO2">
        <v>40351</v>
      </c>
      <c r="ETP2">
        <v>40350</v>
      </c>
      <c r="ETQ2">
        <v>40347</v>
      </c>
      <c r="ETR2">
        <v>40346</v>
      </c>
      <c r="ETS2">
        <v>40345</v>
      </c>
      <c r="ETT2">
        <v>40344</v>
      </c>
      <c r="ETU2">
        <v>40343</v>
      </c>
      <c r="ETV2">
        <v>40340</v>
      </c>
      <c r="ETW2">
        <v>40339</v>
      </c>
      <c r="ETX2">
        <v>40338</v>
      </c>
      <c r="ETY2">
        <v>40337</v>
      </c>
      <c r="ETZ2">
        <v>40336</v>
      </c>
      <c r="EUA2">
        <v>40333</v>
      </c>
      <c r="EUB2">
        <v>40332</v>
      </c>
      <c r="EUC2">
        <v>40331</v>
      </c>
      <c r="EUD2">
        <v>40330</v>
      </c>
      <c r="EUE2">
        <v>40329</v>
      </c>
      <c r="EUF2">
        <v>40326</v>
      </c>
      <c r="EUG2">
        <v>40325</v>
      </c>
      <c r="EUH2">
        <v>40324</v>
      </c>
      <c r="EUI2">
        <v>40323</v>
      </c>
      <c r="EUJ2">
        <v>40322</v>
      </c>
      <c r="EUK2">
        <v>40319</v>
      </c>
      <c r="EUL2">
        <v>40318</v>
      </c>
      <c r="EUM2">
        <v>40317</v>
      </c>
      <c r="EUN2">
        <v>40316</v>
      </c>
      <c r="EUO2">
        <v>40315</v>
      </c>
      <c r="EUP2">
        <v>40312</v>
      </c>
      <c r="EUQ2">
        <v>40311</v>
      </c>
      <c r="EUR2">
        <v>40310</v>
      </c>
      <c r="EUS2">
        <v>40309</v>
      </c>
      <c r="EUT2">
        <v>40308</v>
      </c>
      <c r="EUU2">
        <v>40305</v>
      </c>
      <c r="EUV2">
        <v>40304</v>
      </c>
      <c r="EUW2">
        <v>40303</v>
      </c>
      <c r="EUX2">
        <v>40302</v>
      </c>
      <c r="EUY2">
        <v>40301</v>
      </c>
      <c r="EUZ2">
        <v>40298</v>
      </c>
      <c r="EVA2">
        <v>40297</v>
      </c>
      <c r="EVB2">
        <v>40296</v>
      </c>
      <c r="EVC2">
        <v>40295</v>
      </c>
      <c r="EVD2">
        <v>40294</v>
      </c>
      <c r="EVE2">
        <v>40291</v>
      </c>
      <c r="EVF2">
        <v>40290</v>
      </c>
      <c r="EVG2">
        <v>40289</v>
      </c>
      <c r="EVH2">
        <v>40288</v>
      </c>
      <c r="EVI2">
        <v>40287</v>
      </c>
      <c r="EVJ2">
        <v>40284</v>
      </c>
      <c r="EVK2">
        <v>40283</v>
      </c>
      <c r="EVL2">
        <v>40282</v>
      </c>
      <c r="EVM2">
        <v>40281</v>
      </c>
      <c r="EVN2">
        <v>40280</v>
      </c>
      <c r="EVO2">
        <v>40277</v>
      </c>
      <c r="EVP2">
        <v>40276</v>
      </c>
      <c r="EVQ2">
        <v>40275</v>
      </c>
      <c r="EVR2">
        <v>40274</v>
      </c>
      <c r="EVS2">
        <v>40273</v>
      </c>
      <c r="EVT2">
        <v>40270</v>
      </c>
      <c r="EVU2">
        <v>40269</v>
      </c>
      <c r="EVV2">
        <v>40268</v>
      </c>
      <c r="EVW2">
        <v>40267</v>
      </c>
      <c r="EVX2">
        <v>40266</v>
      </c>
      <c r="EVY2">
        <v>40263</v>
      </c>
      <c r="EVZ2">
        <v>40262</v>
      </c>
      <c r="EWA2">
        <v>40261</v>
      </c>
      <c r="EWB2">
        <v>40260</v>
      </c>
      <c r="EWC2">
        <v>40259</v>
      </c>
      <c r="EWD2">
        <v>40256</v>
      </c>
      <c r="EWE2">
        <v>40255</v>
      </c>
      <c r="EWF2">
        <v>40254</v>
      </c>
      <c r="EWG2">
        <v>40253</v>
      </c>
      <c r="EWH2">
        <v>40252</v>
      </c>
      <c r="EWI2">
        <v>40249</v>
      </c>
      <c r="EWJ2">
        <v>40248</v>
      </c>
      <c r="EWK2">
        <v>40247</v>
      </c>
      <c r="EWL2">
        <v>40246</v>
      </c>
      <c r="EWM2">
        <v>40245</v>
      </c>
      <c r="EWN2">
        <v>40242</v>
      </c>
      <c r="EWO2">
        <v>40241</v>
      </c>
      <c r="EWP2">
        <v>40240</v>
      </c>
      <c r="EWQ2">
        <v>40239</v>
      </c>
      <c r="EWR2">
        <v>40238</v>
      </c>
      <c r="EWS2">
        <v>40235</v>
      </c>
      <c r="EWT2">
        <v>40234</v>
      </c>
      <c r="EWU2">
        <v>40233</v>
      </c>
      <c r="EWV2">
        <v>40232</v>
      </c>
      <c r="EWW2">
        <v>40231</v>
      </c>
      <c r="EWX2">
        <v>40228</v>
      </c>
      <c r="EWY2">
        <v>40227</v>
      </c>
      <c r="EWZ2">
        <v>40226</v>
      </c>
      <c r="EXA2">
        <v>40225</v>
      </c>
      <c r="EXB2">
        <v>40224</v>
      </c>
      <c r="EXC2">
        <v>40221</v>
      </c>
      <c r="EXD2">
        <v>40220</v>
      </c>
      <c r="EXE2">
        <v>40219</v>
      </c>
      <c r="EXF2">
        <v>40218</v>
      </c>
      <c r="EXG2">
        <v>40217</v>
      </c>
      <c r="EXH2">
        <v>40214</v>
      </c>
      <c r="EXI2">
        <v>40213</v>
      </c>
      <c r="EXJ2">
        <v>40212</v>
      </c>
      <c r="EXK2">
        <v>40211</v>
      </c>
      <c r="EXL2">
        <v>40210</v>
      </c>
      <c r="EXM2">
        <v>40207</v>
      </c>
      <c r="EXN2">
        <v>40206</v>
      </c>
      <c r="EXO2">
        <v>40205</v>
      </c>
      <c r="EXP2">
        <v>40204</v>
      </c>
      <c r="EXQ2">
        <v>40203</v>
      </c>
      <c r="EXR2">
        <v>40200</v>
      </c>
      <c r="EXS2">
        <v>40199</v>
      </c>
      <c r="EXT2">
        <v>40198</v>
      </c>
      <c r="EXU2">
        <v>40197</v>
      </c>
      <c r="EXV2">
        <v>40196</v>
      </c>
      <c r="EXW2">
        <v>40193</v>
      </c>
      <c r="EXX2">
        <v>40192</v>
      </c>
      <c r="EXY2">
        <v>40191</v>
      </c>
      <c r="EXZ2">
        <v>40190</v>
      </c>
      <c r="EYA2">
        <v>40189</v>
      </c>
      <c r="EYB2">
        <v>40186</v>
      </c>
      <c r="EYC2">
        <v>40185</v>
      </c>
      <c r="EYD2">
        <v>40184</v>
      </c>
      <c r="EYE2">
        <v>40183</v>
      </c>
      <c r="EYF2">
        <v>40182</v>
      </c>
      <c r="EYG2">
        <v>40179</v>
      </c>
      <c r="EYH2">
        <v>40178</v>
      </c>
      <c r="EYI2">
        <v>40177</v>
      </c>
      <c r="EYJ2">
        <v>40176</v>
      </c>
      <c r="EYK2">
        <v>40175</v>
      </c>
      <c r="EYL2">
        <v>40172</v>
      </c>
      <c r="EYM2">
        <v>40171</v>
      </c>
      <c r="EYN2">
        <v>40170</v>
      </c>
      <c r="EYO2">
        <v>40169</v>
      </c>
      <c r="EYP2">
        <v>40168</v>
      </c>
      <c r="EYQ2">
        <v>40165</v>
      </c>
      <c r="EYR2">
        <v>40164</v>
      </c>
      <c r="EYS2">
        <v>40163</v>
      </c>
      <c r="EYT2">
        <v>40162</v>
      </c>
      <c r="EYU2">
        <v>40161</v>
      </c>
      <c r="EYV2">
        <v>40158</v>
      </c>
      <c r="EYW2">
        <v>40157</v>
      </c>
      <c r="EYX2">
        <v>40156</v>
      </c>
      <c r="EYY2">
        <v>40155</v>
      </c>
      <c r="EYZ2">
        <v>40154</v>
      </c>
      <c r="EZA2">
        <v>40151</v>
      </c>
      <c r="EZB2">
        <v>40150</v>
      </c>
      <c r="EZC2">
        <v>40149</v>
      </c>
      <c r="EZD2">
        <v>40148</v>
      </c>
      <c r="EZE2">
        <v>40147</v>
      </c>
      <c r="EZF2">
        <v>40144</v>
      </c>
      <c r="EZG2">
        <v>40143</v>
      </c>
      <c r="EZH2">
        <v>40142</v>
      </c>
      <c r="EZI2">
        <v>40141</v>
      </c>
      <c r="EZJ2">
        <v>40140</v>
      </c>
      <c r="EZK2">
        <v>40137</v>
      </c>
      <c r="EZL2">
        <v>40136</v>
      </c>
      <c r="EZM2">
        <v>40135</v>
      </c>
      <c r="EZN2">
        <v>40134</v>
      </c>
      <c r="EZO2">
        <v>40133</v>
      </c>
      <c r="EZP2">
        <v>40130</v>
      </c>
      <c r="EZQ2">
        <v>40129</v>
      </c>
      <c r="EZR2">
        <v>40128</v>
      </c>
      <c r="EZS2">
        <v>40127</v>
      </c>
      <c r="EZT2">
        <v>40126</v>
      </c>
      <c r="EZU2">
        <v>40123</v>
      </c>
      <c r="EZV2">
        <v>40122</v>
      </c>
      <c r="EZW2">
        <v>40121</v>
      </c>
      <c r="EZX2">
        <v>40120</v>
      </c>
      <c r="EZY2">
        <v>40119</v>
      </c>
      <c r="EZZ2">
        <v>40116</v>
      </c>
      <c r="FAA2">
        <v>40115</v>
      </c>
      <c r="FAB2">
        <v>40114</v>
      </c>
      <c r="FAC2">
        <v>40113</v>
      </c>
      <c r="FAD2">
        <v>40112</v>
      </c>
      <c r="FAE2">
        <v>40109</v>
      </c>
      <c r="FAF2">
        <v>40108</v>
      </c>
      <c r="FAG2">
        <v>40107</v>
      </c>
      <c r="FAH2">
        <v>40106</v>
      </c>
      <c r="FAI2">
        <v>40105</v>
      </c>
      <c r="FAJ2">
        <v>40102</v>
      </c>
      <c r="FAK2">
        <v>40101</v>
      </c>
      <c r="FAL2">
        <v>40100</v>
      </c>
      <c r="FAM2">
        <v>40099</v>
      </c>
      <c r="FAN2">
        <v>40098</v>
      </c>
      <c r="FAO2">
        <v>40095</v>
      </c>
      <c r="FAP2">
        <v>40094</v>
      </c>
      <c r="FAQ2">
        <v>40093</v>
      </c>
      <c r="FAR2">
        <v>40092</v>
      </c>
      <c r="FAS2">
        <v>40091</v>
      </c>
      <c r="FAT2">
        <v>40088</v>
      </c>
      <c r="FAU2">
        <v>40087</v>
      </c>
      <c r="FAV2">
        <v>40086</v>
      </c>
      <c r="FAW2">
        <v>40085</v>
      </c>
      <c r="FAX2">
        <v>40084</v>
      </c>
      <c r="FAY2">
        <v>40081</v>
      </c>
      <c r="FAZ2">
        <v>40080</v>
      </c>
      <c r="FBA2">
        <v>40079</v>
      </c>
      <c r="FBB2">
        <v>40078</v>
      </c>
      <c r="FBC2">
        <v>40077</v>
      </c>
      <c r="FBD2">
        <v>40074</v>
      </c>
      <c r="FBE2">
        <v>40073</v>
      </c>
      <c r="FBF2">
        <v>40072</v>
      </c>
      <c r="FBG2">
        <v>40071</v>
      </c>
      <c r="FBH2">
        <v>40070</v>
      </c>
      <c r="FBI2">
        <v>40067</v>
      </c>
      <c r="FBJ2">
        <v>40066</v>
      </c>
      <c r="FBK2">
        <v>40065</v>
      </c>
      <c r="FBL2">
        <v>40064</v>
      </c>
      <c r="FBM2">
        <v>40063</v>
      </c>
      <c r="FBN2">
        <v>40060</v>
      </c>
      <c r="FBO2">
        <v>40059</v>
      </c>
      <c r="FBP2">
        <v>40058</v>
      </c>
      <c r="FBQ2">
        <v>40057</v>
      </c>
      <c r="FBR2">
        <v>40056</v>
      </c>
      <c r="FBS2">
        <v>40053</v>
      </c>
      <c r="FBT2">
        <v>40052</v>
      </c>
      <c r="FBU2">
        <v>40051</v>
      </c>
      <c r="FBV2">
        <v>40050</v>
      </c>
      <c r="FBW2">
        <v>40049</v>
      </c>
      <c r="FBX2">
        <v>40046</v>
      </c>
      <c r="FBY2">
        <v>40045</v>
      </c>
      <c r="FBZ2">
        <v>40044</v>
      </c>
      <c r="FCA2">
        <v>40043</v>
      </c>
      <c r="FCB2">
        <v>40042</v>
      </c>
      <c r="FCC2">
        <v>40039</v>
      </c>
      <c r="FCD2">
        <v>40038</v>
      </c>
      <c r="FCE2">
        <v>40037</v>
      </c>
      <c r="FCF2">
        <v>40036</v>
      </c>
      <c r="FCG2">
        <v>40035</v>
      </c>
      <c r="FCH2">
        <v>40032</v>
      </c>
      <c r="FCI2">
        <v>40031</v>
      </c>
      <c r="FCJ2">
        <v>40030</v>
      </c>
      <c r="FCK2">
        <v>40029</v>
      </c>
      <c r="FCL2">
        <v>40028</v>
      </c>
      <c r="FCM2">
        <v>40025</v>
      </c>
      <c r="FCN2">
        <v>40024</v>
      </c>
      <c r="FCO2">
        <v>40023</v>
      </c>
      <c r="FCP2">
        <v>40022</v>
      </c>
      <c r="FCQ2">
        <v>40021</v>
      </c>
      <c r="FCR2">
        <v>40018</v>
      </c>
      <c r="FCS2">
        <v>40017</v>
      </c>
      <c r="FCT2">
        <v>40016</v>
      </c>
      <c r="FCU2">
        <v>40015</v>
      </c>
      <c r="FCV2">
        <v>40014</v>
      </c>
      <c r="FCW2">
        <v>40011</v>
      </c>
      <c r="FCX2">
        <v>40010</v>
      </c>
      <c r="FCY2">
        <v>40009</v>
      </c>
      <c r="FCZ2">
        <v>40008</v>
      </c>
      <c r="FDA2">
        <v>40007</v>
      </c>
      <c r="FDB2">
        <v>40004</v>
      </c>
      <c r="FDC2">
        <v>40003</v>
      </c>
      <c r="FDD2">
        <v>40002</v>
      </c>
      <c r="FDE2">
        <v>40001</v>
      </c>
      <c r="FDF2">
        <v>40000</v>
      </c>
      <c r="FDG2">
        <v>39997</v>
      </c>
      <c r="FDH2">
        <v>39996</v>
      </c>
      <c r="FDI2">
        <v>39995</v>
      </c>
      <c r="FDJ2">
        <v>39994</v>
      </c>
      <c r="FDK2">
        <v>39993</v>
      </c>
      <c r="FDL2">
        <v>39990</v>
      </c>
      <c r="FDM2">
        <v>39989</v>
      </c>
      <c r="FDN2">
        <v>39988</v>
      </c>
      <c r="FDO2">
        <v>39987</v>
      </c>
      <c r="FDP2">
        <v>39986</v>
      </c>
      <c r="FDQ2">
        <v>39983</v>
      </c>
      <c r="FDR2">
        <v>39982</v>
      </c>
      <c r="FDS2">
        <v>39981</v>
      </c>
      <c r="FDT2">
        <v>39980</v>
      </c>
      <c r="FDU2">
        <v>39979</v>
      </c>
      <c r="FDV2">
        <v>39976</v>
      </c>
      <c r="FDW2">
        <v>39975</v>
      </c>
      <c r="FDX2">
        <v>39974</v>
      </c>
      <c r="FDY2">
        <v>39973</v>
      </c>
      <c r="FDZ2">
        <v>39972</v>
      </c>
      <c r="FEA2">
        <v>39969</v>
      </c>
      <c r="FEB2">
        <v>39968</v>
      </c>
      <c r="FEC2">
        <v>39967</v>
      </c>
      <c r="FED2">
        <v>39966</v>
      </c>
      <c r="FEE2">
        <v>39965</v>
      </c>
      <c r="FEF2">
        <v>39962</v>
      </c>
      <c r="FEG2">
        <v>39961</v>
      </c>
      <c r="FEH2">
        <v>39960</v>
      </c>
      <c r="FEI2">
        <v>39959</v>
      </c>
      <c r="FEJ2">
        <v>39958</v>
      </c>
      <c r="FEK2">
        <v>39955</v>
      </c>
      <c r="FEL2">
        <v>39954</v>
      </c>
      <c r="FEM2">
        <v>39953</v>
      </c>
      <c r="FEN2">
        <v>39952</v>
      </c>
      <c r="FEO2">
        <v>39951</v>
      </c>
      <c r="FEP2">
        <v>39948</v>
      </c>
      <c r="FEQ2">
        <v>39947</v>
      </c>
      <c r="FER2">
        <v>39946</v>
      </c>
      <c r="FES2">
        <v>39945</v>
      </c>
      <c r="FET2">
        <v>39944</v>
      </c>
      <c r="FEU2">
        <v>39941</v>
      </c>
      <c r="FEV2">
        <v>39940</v>
      </c>
      <c r="FEW2">
        <v>39939</v>
      </c>
      <c r="FEX2">
        <v>39938</v>
      </c>
      <c r="FEY2">
        <v>39937</v>
      </c>
      <c r="FEZ2">
        <v>39934</v>
      </c>
      <c r="FFA2">
        <v>39933</v>
      </c>
      <c r="FFB2">
        <v>39932</v>
      </c>
      <c r="FFC2">
        <v>39931</v>
      </c>
      <c r="FFD2">
        <v>39930</v>
      </c>
      <c r="FFE2">
        <v>39927</v>
      </c>
      <c r="FFF2">
        <v>39926</v>
      </c>
      <c r="FFG2">
        <v>39925</v>
      </c>
      <c r="FFH2">
        <v>39924</v>
      </c>
      <c r="FFI2">
        <v>39923</v>
      </c>
      <c r="FFJ2">
        <v>39920</v>
      </c>
      <c r="FFK2">
        <v>39919</v>
      </c>
      <c r="FFL2">
        <v>39918</v>
      </c>
      <c r="FFM2">
        <v>39917</v>
      </c>
      <c r="FFN2">
        <v>39916</v>
      </c>
      <c r="FFO2">
        <v>39913</v>
      </c>
      <c r="FFP2">
        <v>39912</v>
      </c>
      <c r="FFQ2">
        <v>39911</v>
      </c>
      <c r="FFR2">
        <v>39910</v>
      </c>
      <c r="FFS2">
        <v>39909</v>
      </c>
      <c r="FFT2">
        <v>39906</v>
      </c>
      <c r="FFU2">
        <v>39905</v>
      </c>
      <c r="FFV2">
        <v>39904</v>
      </c>
      <c r="FFW2">
        <v>39903</v>
      </c>
      <c r="FFX2">
        <v>39902</v>
      </c>
      <c r="FFY2">
        <v>39899</v>
      </c>
      <c r="FFZ2">
        <v>39898</v>
      </c>
      <c r="FGA2">
        <v>39897</v>
      </c>
      <c r="FGB2">
        <v>39896</v>
      </c>
      <c r="FGC2">
        <v>39895</v>
      </c>
      <c r="FGD2">
        <v>39892</v>
      </c>
      <c r="FGE2">
        <v>39891</v>
      </c>
      <c r="FGF2">
        <v>39890</v>
      </c>
      <c r="FGG2">
        <v>39889</v>
      </c>
      <c r="FGH2">
        <v>39888</v>
      </c>
      <c r="FGI2">
        <v>39885</v>
      </c>
      <c r="FGJ2">
        <v>39884</v>
      </c>
      <c r="FGK2">
        <v>39883</v>
      </c>
      <c r="FGL2">
        <v>39882</v>
      </c>
      <c r="FGM2">
        <v>39881</v>
      </c>
      <c r="FGN2">
        <v>39878</v>
      </c>
      <c r="FGO2">
        <v>39877</v>
      </c>
      <c r="FGP2">
        <v>39876</v>
      </c>
      <c r="FGQ2">
        <v>39875</v>
      </c>
      <c r="FGR2">
        <v>39874</v>
      </c>
      <c r="FGS2">
        <v>39871</v>
      </c>
      <c r="FGT2">
        <v>39870</v>
      </c>
      <c r="FGU2">
        <v>39869</v>
      </c>
      <c r="FGV2">
        <v>39868</v>
      </c>
      <c r="FGW2">
        <v>39867</v>
      </c>
      <c r="FGX2">
        <v>39864</v>
      </c>
      <c r="FGY2">
        <v>39863</v>
      </c>
      <c r="FGZ2">
        <v>39862</v>
      </c>
      <c r="FHA2">
        <v>39861</v>
      </c>
      <c r="FHB2">
        <v>39860</v>
      </c>
      <c r="FHC2">
        <v>39857</v>
      </c>
      <c r="FHD2">
        <v>39856</v>
      </c>
      <c r="FHE2">
        <v>39855</v>
      </c>
      <c r="FHF2">
        <v>39854</v>
      </c>
      <c r="FHG2">
        <v>39853</v>
      </c>
      <c r="FHH2">
        <v>39850</v>
      </c>
      <c r="FHI2">
        <v>39849</v>
      </c>
      <c r="FHJ2">
        <v>39848</v>
      </c>
      <c r="FHK2">
        <v>39847</v>
      </c>
      <c r="FHL2">
        <v>39846</v>
      </c>
      <c r="FHM2">
        <v>39843</v>
      </c>
      <c r="FHN2">
        <v>39842</v>
      </c>
      <c r="FHO2">
        <v>39841</v>
      </c>
      <c r="FHP2">
        <v>39840</v>
      </c>
      <c r="FHQ2">
        <v>39839</v>
      </c>
      <c r="FHR2">
        <v>39836</v>
      </c>
      <c r="FHS2">
        <v>39835</v>
      </c>
      <c r="FHT2">
        <v>39834</v>
      </c>
      <c r="FHU2">
        <v>39833</v>
      </c>
      <c r="FHV2">
        <v>39832</v>
      </c>
      <c r="FHW2">
        <v>39829</v>
      </c>
      <c r="FHX2">
        <v>39828</v>
      </c>
      <c r="FHY2">
        <v>39827</v>
      </c>
      <c r="FHZ2">
        <v>39826</v>
      </c>
      <c r="FIA2">
        <v>39825</v>
      </c>
      <c r="FIB2">
        <v>39822</v>
      </c>
      <c r="FIC2">
        <v>39821</v>
      </c>
      <c r="FID2">
        <v>39820</v>
      </c>
      <c r="FIE2">
        <v>39819</v>
      </c>
      <c r="FIF2">
        <v>39818</v>
      </c>
      <c r="FIG2">
        <v>39815</v>
      </c>
      <c r="FIH2">
        <v>39814</v>
      </c>
      <c r="FII2">
        <v>39813</v>
      </c>
      <c r="FIJ2">
        <v>39812</v>
      </c>
      <c r="FIK2">
        <v>39811</v>
      </c>
      <c r="FIL2">
        <v>39808</v>
      </c>
      <c r="FIM2">
        <v>39807</v>
      </c>
      <c r="FIN2">
        <v>39806</v>
      </c>
      <c r="FIO2">
        <v>39805</v>
      </c>
      <c r="FIP2">
        <v>39804</v>
      </c>
      <c r="FIQ2">
        <v>39801</v>
      </c>
      <c r="FIR2">
        <v>39800</v>
      </c>
      <c r="FIS2">
        <v>39799</v>
      </c>
      <c r="FIT2">
        <v>39798</v>
      </c>
      <c r="FIU2">
        <v>39797</v>
      </c>
      <c r="FIV2">
        <v>39794</v>
      </c>
      <c r="FIW2">
        <v>39793</v>
      </c>
      <c r="FIX2">
        <v>39792</v>
      </c>
      <c r="FIY2">
        <v>39791</v>
      </c>
      <c r="FIZ2">
        <v>39790</v>
      </c>
      <c r="FJA2">
        <v>39787</v>
      </c>
      <c r="FJB2">
        <v>39786</v>
      </c>
      <c r="FJC2">
        <v>39785</v>
      </c>
      <c r="FJD2">
        <v>39784</v>
      </c>
      <c r="FJE2">
        <v>39783</v>
      </c>
      <c r="FJF2">
        <v>39780</v>
      </c>
      <c r="FJG2">
        <v>39779</v>
      </c>
      <c r="FJH2">
        <v>39778</v>
      </c>
      <c r="FJI2">
        <v>39777</v>
      </c>
      <c r="FJJ2">
        <v>39776</v>
      </c>
      <c r="FJK2">
        <v>39773</v>
      </c>
      <c r="FJL2">
        <v>39772</v>
      </c>
      <c r="FJM2">
        <v>39771</v>
      </c>
      <c r="FJN2">
        <v>39770</v>
      </c>
      <c r="FJO2">
        <v>39769</v>
      </c>
      <c r="FJP2">
        <v>39766</v>
      </c>
      <c r="FJQ2">
        <v>39765</v>
      </c>
      <c r="FJR2">
        <v>39764</v>
      </c>
      <c r="FJS2">
        <v>39763</v>
      </c>
      <c r="FJT2">
        <v>39762</v>
      </c>
      <c r="FJU2">
        <v>39759</v>
      </c>
      <c r="FJV2">
        <v>39758</v>
      </c>
      <c r="FJW2">
        <v>39757</v>
      </c>
      <c r="FJX2">
        <v>39756</v>
      </c>
      <c r="FJY2">
        <v>39755</v>
      </c>
      <c r="FJZ2">
        <v>39752</v>
      </c>
      <c r="FKA2">
        <v>39751</v>
      </c>
      <c r="FKB2">
        <v>39750</v>
      </c>
      <c r="FKC2">
        <v>39749</v>
      </c>
      <c r="FKD2">
        <v>39748</v>
      </c>
      <c r="FKE2">
        <v>39745</v>
      </c>
      <c r="FKF2">
        <v>39744</v>
      </c>
      <c r="FKG2">
        <v>39743</v>
      </c>
      <c r="FKH2">
        <v>39742</v>
      </c>
      <c r="FKI2">
        <v>39741</v>
      </c>
      <c r="FKJ2">
        <v>39738</v>
      </c>
      <c r="FKK2">
        <v>39737</v>
      </c>
      <c r="FKL2">
        <v>39736</v>
      </c>
      <c r="FKM2">
        <v>39735</v>
      </c>
      <c r="FKN2">
        <v>39734</v>
      </c>
      <c r="FKO2">
        <v>39731</v>
      </c>
      <c r="FKP2">
        <v>39730</v>
      </c>
      <c r="FKQ2">
        <v>39729</v>
      </c>
      <c r="FKR2">
        <v>39728</v>
      </c>
      <c r="FKS2">
        <v>39727</v>
      </c>
      <c r="FKT2">
        <v>39724</v>
      </c>
      <c r="FKU2">
        <v>39723</v>
      </c>
      <c r="FKV2">
        <v>39722</v>
      </c>
      <c r="FKW2">
        <v>39721</v>
      </c>
      <c r="FKX2">
        <v>39720</v>
      </c>
      <c r="FKY2">
        <v>39717</v>
      </c>
      <c r="FKZ2">
        <v>39716</v>
      </c>
      <c r="FLA2">
        <v>39715</v>
      </c>
      <c r="FLB2">
        <v>39714</v>
      </c>
      <c r="FLC2">
        <v>39713</v>
      </c>
      <c r="FLD2">
        <v>39710</v>
      </c>
      <c r="FLE2">
        <v>39709</v>
      </c>
      <c r="FLF2">
        <v>39708</v>
      </c>
      <c r="FLG2">
        <v>39707</v>
      </c>
      <c r="FLH2">
        <v>39706</v>
      </c>
      <c r="FLI2">
        <v>39703</v>
      </c>
      <c r="FLJ2">
        <v>39702</v>
      </c>
      <c r="FLK2">
        <v>39701</v>
      </c>
      <c r="FLL2">
        <v>39700</v>
      </c>
      <c r="FLM2">
        <v>39699</v>
      </c>
      <c r="FLN2">
        <v>39696</v>
      </c>
      <c r="FLO2">
        <v>39695</v>
      </c>
      <c r="FLP2">
        <v>39694</v>
      </c>
      <c r="FLQ2">
        <v>39693</v>
      </c>
      <c r="FLR2">
        <v>39692</v>
      </c>
      <c r="FLS2">
        <v>39689</v>
      </c>
      <c r="FLT2">
        <v>39688</v>
      </c>
      <c r="FLU2">
        <v>39687</v>
      </c>
      <c r="FLV2">
        <v>39686</v>
      </c>
      <c r="FLW2">
        <v>39685</v>
      </c>
      <c r="FLX2">
        <v>39682</v>
      </c>
      <c r="FLY2">
        <v>39681</v>
      </c>
      <c r="FLZ2">
        <v>39680</v>
      </c>
      <c r="FMA2">
        <v>39679</v>
      </c>
      <c r="FMB2">
        <v>39678</v>
      </c>
      <c r="FMC2">
        <v>39675</v>
      </c>
      <c r="FMD2">
        <v>39674</v>
      </c>
      <c r="FME2">
        <v>39673</v>
      </c>
      <c r="FMF2">
        <v>39672</v>
      </c>
      <c r="FMG2">
        <v>39671</v>
      </c>
      <c r="FMH2">
        <v>39668</v>
      </c>
      <c r="FMI2">
        <v>39667</v>
      </c>
      <c r="FMJ2">
        <v>39666</v>
      </c>
      <c r="FMK2">
        <v>39665</v>
      </c>
      <c r="FML2">
        <v>39664</v>
      </c>
      <c r="FMM2">
        <v>39661</v>
      </c>
      <c r="FMN2">
        <v>39660</v>
      </c>
      <c r="FMO2">
        <v>39659</v>
      </c>
      <c r="FMP2">
        <v>39658</v>
      </c>
      <c r="FMQ2">
        <v>39657</v>
      </c>
      <c r="FMR2">
        <v>39654</v>
      </c>
      <c r="FMS2">
        <v>39653</v>
      </c>
      <c r="FMT2">
        <v>39652</v>
      </c>
      <c r="FMU2">
        <v>39651</v>
      </c>
      <c r="FMV2">
        <v>39650</v>
      </c>
      <c r="FMW2">
        <v>39647</v>
      </c>
      <c r="FMX2">
        <v>39646</v>
      </c>
      <c r="FMY2">
        <v>39645</v>
      </c>
      <c r="FMZ2">
        <v>39644</v>
      </c>
      <c r="FNA2">
        <v>39643</v>
      </c>
      <c r="FNB2">
        <v>39640</v>
      </c>
      <c r="FNC2">
        <v>39639</v>
      </c>
      <c r="FND2">
        <v>39638</v>
      </c>
      <c r="FNE2">
        <v>39637</v>
      </c>
      <c r="FNF2">
        <v>39636</v>
      </c>
      <c r="FNG2">
        <v>39633</v>
      </c>
      <c r="FNH2">
        <v>39632</v>
      </c>
      <c r="FNI2">
        <v>39631</v>
      </c>
      <c r="FNJ2">
        <v>39630</v>
      </c>
      <c r="FNK2">
        <v>39629</v>
      </c>
      <c r="FNL2">
        <v>39626</v>
      </c>
      <c r="FNM2">
        <v>39625</v>
      </c>
      <c r="FNN2">
        <v>39624</v>
      </c>
      <c r="FNO2">
        <v>39623</v>
      </c>
      <c r="FNP2">
        <v>39622</v>
      </c>
      <c r="FNQ2">
        <v>39619</v>
      </c>
      <c r="FNR2">
        <v>39618</v>
      </c>
      <c r="FNS2">
        <v>39617</v>
      </c>
      <c r="FNT2">
        <v>39616</v>
      </c>
      <c r="FNU2">
        <v>39615</v>
      </c>
      <c r="FNV2">
        <v>39612</v>
      </c>
      <c r="FNW2">
        <v>39611</v>
      </c>
      <c r="FNX2">
        <v>39610</v>
      </c>
      <c r="FNY2">
        <v>39609</v>
      </c>
      <c r="FNZ2">
        <v>39608</v>
      </c>
      <c r="FOA2">
        <v>39605</v>
      </c>
      <c r="FOB2">
        <v>39604</v>
      </c>
      <c r="FOC2">
        <v>39603</v>
      </c>
      <c r="FOD2">
        <v>39602</v>
      </c>
      <c r="FOE2">
        <v>39601</v>
      </c>
      <c r="FOF2">
        <v>39598</v>
      </c>
      <c r="FOG2">
        <v>39597</v>
      </c>
      <c r="FOH2">
        <v>39596</v>
      </c>
      <c r="FOI2">
        <v>39595</v>
      </c>
      <c r="FOJ2">
        <v>39594</v>
      </c>
      <c r="FOK2">
        <v>39591</v>
      </c>
      <c r="FOL2">
        <v>39590</v>
      </c>
      <c r="FOM2">
        <v>39589</v>
      </c>
      <c r="FON2">
        <v>39588</v>
      </c>
      <c r="FOO2">
        <v>39587</v>
      </c>
      <c r="FOP2">
        <v>39584</v>
      </c>
      <c r="FOQ2">
        <v>39583</v>
      </c>
      <c r="FOR2">
        <v>39582</v>
      </c>
      <c r="FOS2">
        <v>39581</v>
      </c>
      <c r="FOT2">
        <v>39580</v>
      </c>
      <c r="FOU2">
        <v>39577</v>
      </c>
      <c r="FOV2">
        <v>39576</v>
      </c>
      <c r="FOW2">
        <v>39575</v>
      </c>
      <c r="FOX2">
        <v>39574</v>
      </c>
      <c r="FOY2">
        <v>39573</v>
      </c>
      <c r="FOZ2">
        <v>39570</v>
      </c>
      <c r="FPA2">
        <v>39569</v>
      </c>
      <c r="FPB2">
        <v>39568</v>
      </c>
      <c r="FPC2">
        <v>39567</v>
      </c>
      <c r="FPD2">
        <v>39566</v>
      </c>
      <c r="FPE2">
        <v>39563</v>
      </c>
      <c r="FPF2">
        <v>39562</v>
      </c>
      <c r="FPG2">
        <v>39561</v>
      </c>
      <c r="FPH2">
        <v>39560</v>
      </c>
      <c r="FPI2">
        <v>39559</v>
      </c>
      <c r="FPJ2">
        <v>39556</v>
      </c>
      <c r="FPK2">
        <v>39555</v>
      </c>
      <c r="FPL2">
        <v>39554</v>
      </c>
      <c r="FPM2">
        <v>39553</v>
      </c>
      <c r="FPN2">
        <v>39552</v>
      </c>
      <c r="FPO2">
        <v>39549</v>
      </c>
      <c r="FPP2">
        <v>39548</v>
      </c>
      <c r="FPQ2">
        <v>39547</v>
      </c>
      <c r="FPR2">
        <v>39546</v>
      </c>
      <c r="FPS2">
        <v>39545</v>
      </c>
      <c r="FPT2">
        <v>39542</v>
      </c>
      <c r="FPU2">
        <v>39541</v>
      </c>
      <c r="FPV2">
        <v>39540</v>
      </c>
      <c r="FPW2">
        <v>39539</v>
      </c>
      <c r="FPX2">
        <v>39538</v>
      </c>
      <c r="FPY2">
        <v>39535</v>
      </c>
      <c r="FPZ2">
        <v>39534</v>
      </c>
      <c r="FQA2">
        <v>39533</v>
      </c>
      <c r="FQB2">
        <v>39532</v>
      </c>
      <c r="FQC2">
        <v>39531</v>
      </c>
      <c r="FQD2">
        <v>39528</v>
      </c>
      <c r="FQE2">
        <v>39527</v>
      </c>
      <c r="FQF2">
        <v>39526</v>
      </c>
      <c r="FQG2">
        <v>39525</v>
      </c>
      <c r="FQH2">
        <v>39524</v>
      </c>
      <c r="FQI2">
        <v>39521</v>
      </c>
      <c r="FQJ2">
        <v>39520</v>
      </c>
      <c r="FQK2">
        <v>39519</v>
      </c>
      <c r="FQL2">
        <v>39518</v>
      </c>
      <c r="FQM2">
        <v>39517</v>
      </c>
      <c r="FQN2">
        <v>39514</v>
      </c>
      <c r="FQO2">
        <v>39513</v>
      </c>
      <c r="FQP2">
        <v>39512</v>
      </c>
      <c r="FQQ2">
        <v>39511</v>
      </c>
      <c r="FQR2">
        <v>39510</v>
      </c>
      <c r="FQS2">
        <v>39507</v>
      </c>
      <c r="FQT2">
        <v>39506</v>
      </c>
      <c r="FQU2">
        <v>39505</v>
      </c>
      <c r="FQV2">
        <v>39504</v>
      </c>
      <c r="FQW2">
        <v>39503</v>
      </c>
      <c r="FQX2">
        <v>39500</v>
      </c>
      <c r="FQY2">
        <v>39499</v>
      </c>
      <c r="FQZ2">
        <v>39498</v>
      </c>
      <c r="FRA2">
        <v>39497</v>
      </c>
      <c r="FRB2">
        <v>39496</v>
      </c>
      <c r="FRC2">
        <v>39493</v>
      </c>
      <c r="FRD2">
        <v>39492</v>
      </c>
      <c r="FRE2">
        <v>39491</v>
      </c>
      <c r="FRF2">
        <v>39490</v>
      </c>
      <c r="FRG2">
        <v>39489</v>
      </c>
      <c r="FRH2">
        <v>39486</v>
      </c>
      <c r="FRI2">
        <v>39485</v>
      </c>
      <c r="FRJ2">
        <v>39484</v>
      </c>
      <c r="FRK2">
        <v>39483</v>
      </c>
      <c r="FRL2">
        <v>39482</v>
      </c>
      <c r="FRM2">
        <v>39479</v>
      </c>
      <c r="FRN2">
        <v>39478</v>
      </c>
      <c r="FRO2">
        <v>39477</v>
      </c>
      <c r="FRP2">
        <v>39476</v>
      </c>
      <c r="FRQ2">
        <v>39475</v>
      </c>
      <c r="FRR2">
        <v>39472</v>
      </c>
      <c r="FRS2">
        <v>39471</v>
      </c>
      <c r="FRT2">
        <v>39470</v>
      </c>
      <c r="FRU2">
        <v>39469</v>
      </c>
      <c r="FRV2">
        <v>39468</v>
      </c>
      <c r="FRW2">
        <v>39465</v>
      </c>
      <c r="FRX2">
        <v>39464</v>
      </c>
      <c r="FRY2">
        <v>39463</v>
      </c>
      <c r="FRZ2">
        <v>39462</v>
      </c>
      <c r="FSA2">
        <v>39461</v>
      </c>
      <c r="FSB2">
        <v>39458</v>
      </c>
      <c r="FSC2">
        <v>39457</v>
      </c>
      <c r="FSD2">
        <v>39456</v>
      </c>
      <c r="FSE2">
        <v>39455</v>
      </c>
      <c r="FSF2">
        <v>39454</v>
      </c>
      <c r="FSG2">
        <v>39451</v>
      </c>
      <c r="FSH2">
        <v>39450</v>
      </c>
      <c r="FSI2">
        <v>39449</v>
      </c>
      <c r="FSJ2">
        <v>39448</v>
      </c>
      <c r="FSK2">
        <v>39447</v>
      </c>
      <c r="FSL2">
        <v>39444</v>
      </c>
      <c r="FSM2">
        <v>39443</v>
      </c>
      <c r="FSN2">
        <v>39442</v>
      </c>
      <c r="FSO2">
        <v>39441</v>
      </c>
      <c r="FSP2">
        <v>39440</v>
      </c>
      <c r="FSQ2">
        <v>39437</v>
      </c>
      <c r="FSR2">
        <v>39436</v>
      </c>
      <c r="FSS2">
        <v>39435</v>
      </c>
      <c r="FST2">
        <v>39434</v>
      </c>
      <c r="FSU2">
        <v>39433</v>
      </c>
      <c r="FSV2">
        <v>39430</v>
      </c>
      <c r="FSW2">
        <v>39429</v>
      </c>
      <c r="FSX2">
        <v>39428</v>
      </c>
      <c r="FSY2">
        <v>39427</v>
      </c>
      <c r="FSZ2">
        <v>39426</v>
      </c>
      <c r="FTA2">
        <v>39423</v>
      </c>
      <c r="FTB2">
        <v>39422</v>
      </c>
      <c r="FTC2">
        <v>39421</v>
      </c>
      <c r="FTD2">
        <v>39420</v>
      </c>
      <c r="FTE2">
        <v>39419</v>
      </c>
      <c r="FTF2">
        <v>39416</v>
      </c>
      <c r="FTG2">
        <v>39415</v>
      </c>
      <c r="FTH2">
        <v>39414</v>
      </c>
      <c r="FTI2">
        <v>39413</v>
      </c>
      <c r="FTJ2">
        <v>39412</v>
      </c>
      <c r="FTK2">
        <v>39409</v>
      </c>
      <c r="FTL2">
        <v>39408</v>
      </c>
      <c r="FTM2">
        <v>39407</v>
      </c>
      <c r="FTN2">
        <v>39406</v>
      </c>
      <c r="FTO2">
        <v>39405</v>
      </c>
      <c r="FTP2">
        <v>39402</v>
      </c>
      <c r="FTQ2">
        <v>39401</v>
      </c>
      <c r="FTR2">
        <v>39400</v>
      </c>
      <c r="FTS2">
        <v>39399</v>
      </c>
      <c r="FTT2">
        <v>39398</v>
      </c>
      <c r="FTU2">
        <v>39395</v>
      </c>
      <c r="FTV2">
        <v>39394</v>
      </c>
      <c r="FTW2">
        <v>39393</v>
      </c>
      <c r="FTX2">
        <v>39392</v>
      </c>
      <c r="FTY2">
        <v>39391</v>
      </c>
      <c r="FTZ2">
        <v>39388</v>
      </c>
      <c r="FUA2">
        <v>39387</v>
      </c>
      <c r="FUB2">
        <v>39386</v>
      </c>
      <c r="FUC2">
        <v>39385</v>
      </c>
      <c r="FUD2">
        <v>39384</v>
      </c>
      <c r="FUE2">
        <v>39381</v>
      </c>
      <c r="FUF2">
        <v>39380</v>
      </c>
      <c r="FUG2">
        <v>39379</v>
      </c>
      <c r="FUH2">
        <v>39378</v>
      </c>
      <c r="FUI2">
        <v>39377</v>
      </c>
      <c r="FUJ2">
        <v>39374</v>
      </c>
      <c r="FUK2">
        <v>39373</v>
      </c>
      <c r="FUL2">
        <v>39372</v>
      </c>
      <c r="FUM2">
        <v>39371</v>
      </c>
      <c r="FUN2">
        <v>39370</v>
      </c>
      <c r="FUO2">
        <v>39367</v>
      </c>
      <c r="FUP2">
        <v>39366</v>
      </c>
      <c r="FUQ2">
        <v>39365</v>
      </c>
      <c r="FUR2">
        <v>39364</v>
      </c>
      <c r="FUS2">
        <v>39363</v>
      </c>
      <c r="FUT2">
        <v>39360</v>
      </c>
      <c r="FUU2">
        <v>39359</v>
      </c>
      <c r="FUV2">
        <v>39358</v>
      </c>
      <c r="FUW2">
        <v>39357</v>
      </c>
      <c r="FUX2">
        <v>39356</v>
      </c>
      <c r="FUY2">
        <v>39353</v>
      </c>
      <c r="FUZ2">
        <v>39352</v>
      </c>
      <c r="FVA2">
        <v>39351</v>
      </c>
      <c r="FVB2">
        <v>39350</v>
      </c>
      <c r="FVC2">
        <v>39349</v>
      </c>
      <c r="FVD2">
        <v>39346</v>
      </c>
      <c r="FVE2">
        <v>39345</v>
      </c>
      <c r="FVF2">
        <v>39344</v>
      </c>
      <c r="FVG2">
        <v>39343</v>
      </c>
      <c r="FVH2">
        <v>39342</v>
      </c>
      <c r="FVI2">
        <v>39339</v>
      </c>
      <c r="FVJ2">
        <v>39338</v>
      </c>
      <c r="FVK2">
        <v>39337</v>
      </c>
      <c r="FVL2">
        <v>39336</v>
      </c>
      <c r="FVM2">
        <v>39335</v>
      </c>
      <c r="FVN2">
        <v>39332</v>
      </c>
      <c r="FVO2">
        <v>39331</v>
      </c>
      <c r="FVP2">
        <v>39330</v>
      </c>
      <c r="FVQ2">
        <v>39329</v>
      </c>
      <c r="FVR2">
        <v>39328</v>
      </c>
      <c r="FVS2">
        <v>39325</v>
      </c>
      <c r="FVT2">
        <v>39324</v>
      </c>
      <c r="FVU2">
        <v>39323</v>
      </c>
      <c r="FVV2">
        <v>39322</v>
      </c>
      <c r="FVW2">
        <v>39321</v>
      </c>
      <c r="FVX2">
        <v>39318</v>
      </c>
      <c r="FVY2">
        <v>39317</v>
      </c>
      <c r="FVZ2">
        <v>39316</v>
      </c>
      <c r="FWA2">
        <v>39315</v>
      </c>
      <c r="FWB2">
        <v>39314</v>
      </c>
      <c r="FWC2">
        <v>39311</v>
      </c>
      <c r="FWD2">
        <v>39310</v>
      </c>
      <c r="FWE2">
        <v>39309</v>
      </c>
      <c r="FWF2">
        <v>39308</v>
      </c>
      <c r="FWG2">
        <v>39307</v>
      </c>
      <c r="FWH2">
        <v>39304</v>
      </c>
      <c r="FWI2">
        <v>39303</v>
      </c>
      <c r="FWJ2">
        <v>39302</v>
      </c>
      <c r="FWK2">
        <v>39301</v>
      </c>
      <c r="FWL2">
        <v>39300</v>
      </c>
      <c r="FWM2">
        <v>39297</v>
      </c>
      <c r="FWN2">
        <v>39296</v>
      </c>
      <c r="FWO2">
        <v>39295</v>
      </c>
      <c r="FWP2">
        <v>39294</v>
      </c>
      <c r="FWQ2">
        <v>39293</v>
      </c>
      <c r="FWR2">
        <v>39290</v>
      </c>
      <c r="FWS2">
        <v>39289</v>
      </c>
      <c r="FWT2">
        <v>39288</v>
      </c>
      <c r="FWU2">
        <v>39287</v>
      </c>
      <c r="FWV2">
        <v>39286</v>
      </c>
      <c r="FWW2">
        <v>39283</v>
      </c>
      <c r="FWX2">
        <v>39282</v>
      </c>
      <c r="FWY2">
        <v>39281</v>
      </c>
      <c r="FWZ2">
        <v>39280</v>
      </c>
      <c r="FXA2">
        <v>39279</v>
      </c>
      <c r="FXB2">
        <v>39276</v>
      </c>
      <c r="FXC2">
        <v>39275</v>
      </c>
      <c r="FXD2">
        <v>39274</v>
      </c>
      <c r="FXE2">
        <v>39273</v>
      </c>
      <c r="FXF2">
        <v>39272</v>
      </c>
      <c r="FXG2">
        <v>39269</v>
      </c>
      <c r="FXH2">
        <v>39268</v>
      </c>
      <c r="FXI2">
        <v>39267</v>
      </c>
      <c r="FXJ2">
        <v>39266</v>
      </c>
      <c r="FXK2">
        <v>39265</v>
      </c>
      <c r="FXL2">
        <v>39262</v>
      </c>
      <c r="FXM2">
        <v>39261</v>
      </c>
      <c r="FXN2">
        <v>39260</v>
      </c>
      <c r="FXO2">
        <v>39259</v>
      </c>
      <c r="FXP2">
        <v>39258</v>
      </c>
      <c r="FXQ2">
        <v>39255</v>
      </c>
      <c r="FXR2">
        <v>39254</v>
      </c>
      <c r="FXS2">
        <v>39253</v>
      </c>
      <c r="FXT2">
        <v>39252</v>
      </c>
      <c r="FXU2">
        <v>39251</v>
      </c>
      <c r="FXV2">
        <v>39248</v>
      </c>
      <c r="FXW2">
        <v>39247</v>
      </c>
      <c r="FXX2">
        <v>39246</v>
      </c>
      <c r="FXY2">
        <v>39245</v>
      </c>
      <c r="FXZ2">
        <v>39244</v>
      </c>
      <c r="FYA2">
        <v>39241</v>
      </c>
      <c r="FYB2">
        <v>39240</v>
      </c>
      <c r="FYC2">
        <v>39239</v>
      </c>
      <c r="FYD2">
        <v>39238</v>
      </c>
      <c r="FYE2">
        <v>39237</v>
      </c>
      <c r="FYF2">
        <v>39234</v>
      </c>
      <c r="FYG2">
        <v>39233</v>
      </c>
      <c r="FYH2">
        <v>39232</v>
      </c>
      <c r="FYI2">
        <v>39231</v>
      </c>
      <c r="FYJ2">
        <v>39230</v>
      </c>
      <c r="FYK2">
        <v>39227</v>
      </c>
      <c r="FYL2">
        <v>39226</v>
      </c>
      <c r="FYM2">
        <v>39225</v>
      </c>
      <c r="FYN2">
        <v>39224</v>
      </c>
      <c r="FYO2">
        <v>39223</v>
      </c>
      <c r="FYP2">
        <v>39220</v>
      </c>
      <c r="FYQ2">
        <v>39219</v>
      </c>
      <c r="FYR2">
        <v>39218</v>
      </c>
      <c r="FYS2">
        <v>39217</v>
      </c>
      <c r="FYT2">
        <v>39216</v>
      </c>
      <c r="FYU2">
        <v>39213</v>
      </c>
      <c r="FYV2">
        <v>39212</v>
      </c>
      <c r="FYW2">
        <v>39211</v>
      </c>
      <c r="FYX2">
        <v>39210</v>
      </c>
      <c r="FYY2">
        <v>39209</v>
      </c>
      <c r="FYZ2">
        <v>39206</v>
      </c>
      <c r="FZA2">
        <v>39205</v>
      </c>
      <c r="FZB2">
        <v>39204</v>
      </c>
      <c r="FZC2">
        <v>39203</v>
      </c>
      <c r="FZD2">
        <v>39202</v>
      </c>
      <c r="FZE2">
        <v>39199</v>
      </c>
      <c r="FZF2">
        <v>39198</v>
      </c>
      <c r="FZG2">
        <v>39197</v>
      </c>
      <c r="FZH2">
        <v>39196</v>
      </c>
      <c r="FZI2">
        <v>39195</v>
      </c>
      <c r="FZJ2">
        <v>39192</v>
      </c>
      <c r="FZK2">
        <v>39191</v>
      </c>
      <c r="FZL2">
        <v>39190</v>
      </c>
      <c r="FZM2">
        <v>39189</v>
      </c>
      <c r="FZN2">
        <v>39188</v>
      </c>
      <c r="FZO2">
        <v>39185</v>
      </c>
      <c r="FZP2">
        <v>39184</v>
      </c>
      <c r="FZQ2">
        <v>39183</v>
      </c>
      <c r="FZR2">
        <v>39182</v>
      </c>
      <c r="FZS2">
        <v>39181</v>
      </c>
      <c r="FZT2">
        <v>39178</v>
      </c>
      <c r="FZU2">
        <v>39177</v>
      </c>
      <c r="FZV2">
        <v>39176</v>
      </c>
      <c r="FZW2">
        <v>39175</v>
      </c>
      <c r="FZX2">
        <v>39174</v>
      </c>
      <c r="FZY2">
        <v>39171</v>
      </c>
      <c r="FZZ2">
        <v>39170</v>
      </c>
      <c r="GAA2">
        <v>39169</v>
      </c>
      <c r="GAB2">
        <v>39168</v>
      </c>
      <c r="GAC2">
        <v>39167</v>
      </c>
      <c r="GAD2">
        <v>39164</v>
      </c>
      <c r="GAE2">
        <v>39163</v>
      </c>
      <c r="GAF2">
        <v>39162</v>
      </c>
      <c r="GAG2">
        <v>39161</v>
      </c>
      <c r="GAH2">
        <v>39160</v>
      </c>
      <c r="GAI2">
        <v>39157</v>
      </c>
      <c r="GAJ2">
        <v>39156</v>
      </c>
      <c r="GAK2">
        <v>39155</v>
      </c>
      <c r="GAL2">
        <v>39154</v>
      </c>
      <c r="GAM2">
        <v>39153</v>
      </c>
      <c r="GAN2">
        <v>39150</v>
      </c>
      <c r="GAO2">
        <v>39149</v>
      </c>
      <c r="GAP2">
        <v>39148</v>
      </c>
      <c r="GAQ2">
        <v>39147</v>
      </c>
      <c r="GAR2">
        <v>39146</v>
      </c>
      <c r="GAS2">
        <v>39143</v>
      </c>
      <c r="GAT2">
        <v>39142</v>
      </c>
      <c r="GAU2">
        <v>39141</v>
      </c>
      <c r="GAV2">
        <v>39140</v>
      </c>
      <c r="GAW2">
        <v>39139</v>
      </c>
      <c r="GAX2">
        <v>39136</v>
      </c>
      <c r="GAY2">
        <v>39135</v>
      </c>
      <c r="GAZ2">
        <v>39134</v>
      </c>
      <c r="GBA2">
        <v>39133</v>
      </c>
      <c r="GBB2">
        <v>39132</v>
      </c>
      <c r="GBC2">
        <v>39129</v>
      </c>
      <c r="GBD2">
        <v>39128</v>
      </c>
      <c r="GBE2">
        <v>39127</v>
      </c>
      <c r="GBF2">
        <v>39126</v>
      </c>
      <c r="GBG2">
        <v>39125</v>
      </c>
      <c r="GBH2">
        <v>39122</v>
      </c>
      <c r="GBI2">
        <v>39121</v>
      </c>
      <c r="GBJ2">
        <v>39120</v>
      </c>
      <c r="GBK2">
        <v>39119</v>
      </c>
      <c r="GBL2">
        <v>39118</v>
      </c>
      <c r="GBM2">
        <v>39115</v>
      </c>
      <c r="GBN2">
        <v>39114</v>
      </c>
      <c r="GBO2">
        <v>39113</v>
      </c>
      <c r="GBP2">
        <v>39112</v>
      </c>
      <c r="GBQ2">
        <v>39111</v>
      </c>
      <c r="GBR2">
        <v>39108</v>
      </c>
      <c r="GBS2">
        <v>39107</v>
      </c>
      <c r="GBT2">
        <v>39106</v>
      </c>
      <c r="GBU2">
        <v>39105</v>
      </c>
      <c r="GBV2">
        <v>39104</v>
      </c>
      <c r="GBW2">
        <v>39101</v>
      </c>
      <c r="GBX2">
        <v>39100</v>
      </c>
      <c r="GBY2">
        <v>39099</v>
      </c>
      <c r="GBZ2">
        <v>39098</v>
      </c>
      <c r="GCA2">
        <v>39097</v>
      </c>
      <c r="GCB2">
        <v>39094</v>
      </c>
      <c r="GCC2">
        <v>39093</v>
      </c>
      <c r="GCD2">
        <v>39092</v>
      </c>
      <c r="GCE2">
        <v>39091</v>
      </c>
      <c r="GCF2">
        <v>39090</v>
      </c>
      <c r="GCG2">
        <v>39087</v>
      </c>
      <c r="GCH2">
        <v>39086</v>
      </c>
      <c r="GCI2">
        <v>39085</v>
      </c>
      <c r="GCJ2">
        <v>39084</v>
      </c>
      <c r="GCK2">
        <v>39083</v>
      </c>
      <c r="GCL2">
        <v>39080</v>
      </c>
      <c r="GCM2">
        <v>39079</v>
      </c>
      <c r="GCN2">
        <v>39078</v>
      </c>
      <c r="GCO2">
        <v>39077</v>
      </c>
      <c r="GCP2">
        <v>39076</v>
      </c>
      <c r="GCQ2">
        <v>39073</v>
      </c>
      <c r="GCR2">
        <v>39072</v>
      </c>
      <c r="GCS2">
        <v>39071</v>
      </c>
      <c r="GCT2">
        <v>39070</v>
      </c>
      <c r="GCU2">
        <v>39069</v>
      </c>
      <c r="GCV2">
        <v>39066</v>
      </c>
      <c r="GCW2">
        <v>39065</v>
      </c>
      <c r="GCX2">
        <v>39064</v>
      </c>
      <c r="GCY2">
        <v>39063</v>
      </c>
      <c r="GCZ2">
        <v>39062</v>
      </c>
      <c r="GDA2">
        <v>39059</v>
      </c>
      <c r="GDB2">
        <v>39058</v>
      </c>
      <c r="GDC2">
        <v>39057</v>
      </c>
      <c r="GDD2">
        <v>39056</v>
      </c>
      <c r="GDE2">
        <v>39055</v>
      </c>
      <c r="GDF2">
        <v>39052</v>
      </c>
      <c r="GDG2">
        <v>39051</v>
      </c>
      <c r="GDH2">
        <v>39050</v>
      </c>
      <c r="GDI2">
        <v>39049</v>
      </c>
      <c r="GDJ2">
        <v>39048</v>
      </c>
      <c r="GDK2">
        <v>39045</v>
      </c>
      <c r="GDL2">
        <v>39044</v>
      </c>
      <c r="GDM2">
        <v>39043</v>
      </c>
      <c r="GDN2">
        <v>39042</v>
      </c>
      <c r="GDO2">
        <v>39041</v>
      </c>
      <c r="GDP2">
        <v>39038</v>
      </c>
      <c r="GDQ2">
        <v>39037</v>
      </c>
      <c r="GDR2">
        <v>39036</v>
      </c>
      <c r="GDS2">
        <v>39035</v>
      </c>
      <c r="GDT2">
        <v>39034</v>
      </c>
      <c r="GDU2">
        <v>39031</v>
      </c>
      <c r="GDV2">
        <v>39030</v>
      </c>
      <c r="GDW2">
        <v>39029</v>
      </c>
      <c r="GDX2">
        <v>39028</v>
      </c>
      <c r="GDY2">
        <v>39027</v>
      </c>
      <c r="GDZ2">
        <v>39024</v>
      </c>
      <c r="GEA2">
        <v>39023</v>
      </c>
      <c r="GEB2">
        <v>39022</v>
      </c>
      <c r="GEC2">
        <v>39021</v>
      </c>
      <c r="GED2">
        <v>39020</v>
      </c>
      <c r="GEE2">
        <v>39017</v>
      </c>
      <c r="GEF2">
        <v>39016</v>
      </c>
      <c r="GEG2">
        <v>39015</v>
      </c>
      <c r="GEH2">
        <v>39014</v>
      </c>
      <c r="GEI2">
        <v>39013</v>
      </c>
      <c r="GEJ2">
        <v>39010</v>
      </c>
      <c r="GEK2">
        <v>39009</v>
      </c>
      <c r="GEL2">
        <v>39008</v>
      </c>
      <c r="GEM2">
        <v>39007</v>
      </c>
      <c r="GEN2">
        <v>39006</v>
      </c>
      <c r="GEO2">
        <v>39003</v>
      </c>
      <c r="GEP2">
        <v>39002</v>
      </c>
      <c r="GEQ2">
        <v>39001</v>
      </c>
      <c r="GER2">
        <v>39000</v>
      </c>
      <c r="GES2">
        <v>38999</v>
      </c>
      <c r="GET2">
        <v>38996</v>
      </c>
      <c r="GEU2">
        <v>38995</v>
      </c>
      <c r="GEV2">
        <v>38994</v>
      </c>
      <c r="GEW2">
        <v>38993</v>
      </c>
      <c r="GEX2">
        <v>38992</v>
      </c>
      <c r="GEY2">
        <v>38989</v>
      </c>
      <c r="GEZ2">
        <v>38988</v>
      </c>
      <c r="GFA2">
        <v>38987</v>
      </c>
      <c r="GFB2">
        <v>38986</v>
      </c>
      <c r="GFC2">
        <v>38985</v>
      </c>
      <c r="GFD2">
        <v>38982</v>
      </c>
      <c r="GFE2">
        <v>38981</v>
      </c>
      <c r="GFF2">
        <v>38980</v>
      </c>
      <c r="GFG2">
        <v>38979</v>
      </c>
      <c r="GFH2">
        <v>38978</v>
      </c>
      <c r="GFI2">
        <v>38975</v>
      </c>
      <c r="GFJ2">
        <v>38974</v>
      </c>
      <c r="GFK2">
        <v>38973</v>
      </c>
      <c r="GFL2">
        <v>38972</v>
      </c>
      <c r="GFM2">
        <v>38971</v>
      </c>
      <c r="GFN2">
        <v>38968</v>
      </c>
      <c r="GFO2">
        <v>38967</v>
      </c>
      <c r="GFP2">
        <v>38966</v>
      </c>
      <c r="GFQ2">
        <v>38965</v>
      </c>
      <c r="GFR2">
        <v>38964</v>
      </c>
      <c r="GFS2">
        <v>38961</v>
      </c>
      <c r="GFT2">
        <v>38960</v>
      </c>
      <c r="GFU2">
        <v>38959</v>
      </c>
      <c r="GFV2">
        <v>38958</v>
      </c>
      <c r="GFW2">
        <v>38957</v>
      </c>
      <c r="GFX2">
        <v>38954</v>
      </c>
      <c r="GFY2">
        <v>38953</v>
      </c>
      <c r="GFZ2">
        <v>38952</v>
      </c>
      <c r="GGA2">
        <v>38951</v>
      </c>
      <c r="GGB2">
        <v>38950</v>
      </c>
      <c r="GGC2">
        <v>38947</v>
      </c>
      <c r="GGD2">
        <v>38946</v>
      </c>
      <c r="GGE2">
        <v>38945</v>
      </c>
      <c r="GGF2">
        <v>38944</v>
      </c>
      <c r="GGG2">
        <v>38943</v>
      </c>
      <c r="GGH2">
        <v>38940</v>
      </c>
      <c r="GGI2">
        <v>38939</v>
      </c>
      <c r="GGJ2">
        <v>38938</v>
      </c>
      <c r="GGK2">
        <v>38937</v>
      </c>
      <c r="GGL2">
        <v>38936</v>
      </c>
      <c r="GGM2">
        <v>38933</v>
      </c>
      <c r="GGN2">
        <v>38932</v>
      </c>
      <c r="GGO2">
        <v>38931</v>
      </c>
      <c r="GGP2">
        <v>38930</v>
      </c>
      <c r="GGQ2">
        <v>38929</v>
      </c>
      <c r="GGR2">
        <v>38926</v>
      </c>
      <c r="GGS2">
        <v>38925</v>
      </c>
      <c r="GGT2">
        <v>38924</v>
      </c>
      <c r="GGU2">
        <v>38923</v>
      </c>
      <c r="GGV2">
        <v>38922</v>
      </c>
      <c r="GGW2">
        <v>38919</v>
      </c>
      <c r="GGX2">
        <v>38918</v>
      </c>
      <c r="GGY2">
        <v>38917</v>
      </c>
      <c r="GGZ2">
        <v>38916</v>
      </c>
      <c r="GHA2">
        <v>38915</v>
      </c>
      <c r="GHB2">
        <v>38912</v>
      </c>
      <c r="GHC2">
        <v>38911</v>
      </c>
      <c r="GHD2">
        <v>38910</v>
      </c>
      <c r="GHE2">
        <v>38909</v>
      </c>
      <c r="GHF2">
        <v>38908</v>
      </c>
      <c r="GHG2">
        <v>38905</v>
      </c>
      <c r="GHH2">
        <v>38904</v>
      </c>
      <c r="GHI2">
        <v>38903</v>
      </c>
      <c r="GHJ2">
        <v>38902</v>
      </c>
      <c r="GHK2">
        <v>38901</v>
      </c>
      <c r="GHL2">
        <v>38898</v>
      </c>
      <c r="GHM2">
        <v>38897</v>
      </c>
      <c r="GHN2">
        <v>38896</v>
      </c>
      <c r="GHO2">
        <v>38895</v>
      </c>
      <c r="GHP2">
        <v>38894</v>
      </c>
      <c r="GHQ2">
        <v>38891</v>
      </c>
      <c r="GHR2">
        <v>38890</v>
      </c>
      <c r="GHS2">
        <v>38889</v>
      </c>
      <c r="GHT2">
        <v>38888</v>
      </c>
      <c r="GHU2">
        <v>38887</v>
      </c>
      <c r="GHV2">
        <v>38884</v>
      </c>
      <c r="GHW2">
        <v>38883</v>
      </c>
      <c r="GHX2">
        <v>38882</v>
      </c>
      <c r="GHY2">
        <v>38881</v>
      </c>
      <c r="GHZ2">
        <v>38880</v>
      </c>
      <c r="GIA2">
        <v>38877</v>
      </c>
      <c r="GIB2">
        <v>38876</v>
      </c>
      <c r="GIC2">
        <v>38875</v>
      </c>
      <c r="GID2">
        <v>38874</v>
      </c>
      <c r="GIE2">
        <v>38873</v>
      </c>
      <c r="GIF2">
        <v>38870</v>
      </c>
      <c r="GIG2">
        <v>38869</v>
      </c>
      <c r="GIH2">
        <v>38868</v>
      </c>
      <c r="GII2">
        <v>38867</v>
      </c>
      <c r="GIJ2">
        <v>38866</v>
      </c>
      <c r="GIK2">
        <v>38863</v>
      </c>
      <c r="GIL2">
        <v>38862</v>
      </c>
      <c r="GIM2">
        <v>38861</v>
      </c>
      <c r="GIN2">
        <v>38860</v>
      </c>
      <c r="GIO2">
        <v>38859</v>
      </c>
      <c r="GIP2">
        <v>38856</v>
      </c>
      <c r="GIQ2">
        <v>38855</v>
      </c>
      <c r="GIR2">
        <v>38854</v>
      </c>
      <c r="GIS2">
        <v>38853</v>
      </c>
      <c r="GIT2">
        <v>38852</v>
      </c>
      <c r="GIU2">
        <v>38849</v>
      </c>
      <c r="GIV2">
        <v>38848</v>
      </c>
      <c r="GIW2">
        <v>38847</v>
      </c>
      <c r="GIX2">
        <v>38846</v>
      </c>
      <c r="GIY2">
        <v>38845</v>
      </c>
      <c r="GIZ2">
        <v>38842</v>
      </c>
      <c r="GJA2">
        <v>38841</v>
      </c>
      <c r="GJB2">
        <v>38840</v>
      </c>
      <c r="GJC2">
        <v>38839</v>
      </c>
      <c r="GJD2">
        <v>38838</v>
      </c>
      <c r="GJE2">
        <v>38835</v>
      </c>
      <c r="GJF2">
        <v>38834</v>
      </c>
      <c r="GJG2">
        <v>38833</v>
      </c>
      <c r="GJH2">
        <v>38832</v>
      </c>
      <c r="GJI2">
        <v>38831</v>
      </c>
      <c r="GJJ2">
        <v>38828</v>
      </c>
      <c r="GJK2">
        <v>38827</v>
      </c>
      <c r="GJL2">
        <v>38826</v>
      </c>
      <c r="GJM2">
        <v>38825</v>
      </c>
      <c r="GJN2">
        <v>38824</v>
      </c>
      <c r="GJO2">
        <v>38821</v>
      </c>
      <c r="GJP2">
        <v>38820</v>
      </c>
      <c r="GJQ2">
        <v>38819</v>
      </c>
      <c r="GJR2">
        <v>38818</v>
      </c>
      <c r="GJS2">
        <v>38817</v>
      </c>
      <c r="GJT2">
        <v>38814</v>
      </c>
      <c r="GJU2">
        <v>38813</v>
      </c>
      <c r="GJV2">
        <v>38812</v>
      </c>
      <c r="GJW2">
        <v>38811</v>
      </c>
      <c r="GJX2">
        <v>38810</v>
      </c>
      <c r="GJY2">
        <v>38807</v>
      </c>
      <c r="GJZ2">
        <v>38806</v>
      </c>
      <c r="GKA2">
        <v>38805</v>
      </c>
      <c r="GKB2">
        <v>38804</v>
      </c>
      <c r="GKC2">
        <v>38803</v>
      </c>
      <c r="GKD2">
        <v>38800</v>
      </c>
      <c r="GKE2">
        <v>38799</v>
      </c>
      <c r="GKF2">
        <v>38798</v>
      </c>
      <c r="GKG2">
        <v>38797</v>
      </c>
      <c r="GKH2">
        <v>38796</v>
      </c>
      <c r="GKI2">
        <v>38793</v>
      </c>
      <c r="GKJ2">
        <v>38792</v>
      </c>
      <c r="GKK2">
        <v>38791</v>
      </c>
      <c r="GKL2">
        <v>38790</v>
      </c>
      <c r="GKM2">
        <v>38789</v>
      </c>
      <c r="GKN2">
        <v>38786</v>
      </c>
      <c r="GKO2">
        <v>38785</v>
      </c>
      <c r="GKP2">
        <v>38784</v>
      </c>
      <c r="GKQ2">
        <v>38783</v>
      </c>
      <c r="GKR2">
        <v>38782</v>
      </c>
      <c r="GKS2">
        <v>38779</v>
      </c>
      <c r="GKT2">
        <v>38778</v>
      </c>
      <c r="GKU2">
        <v>38777</v>
      </c>
      <c r="GKV2">
        <v>38776</v>
      </c>
      <c r="GKW2">
        <v>38775</v>
      </c>
      <c r="GKX2">
        <v>38772</v>
      </c>
      <c r="GKY2">
        <v>38771</v>
      </c>
      <c r="GKZ2">
        <v>38770</v>
      </c>
      <c r="GLA2">
        <v>38769</v>
      </c>
      <c r="GLB2">
        <v>38768</v>
      </c>
      <c r="GLC2">
        <v>38765</v>
      </c>
      <c r="GLD2">
        <v>38764</v>
      </c>
      <c r="GLE2">
        <v>38763</v>
      </c>
      <c r="GLF2">
        <v>38762</v>
      </c>
      <c r="GLG2">
        <v>38761</v>
      </c>
      <c r="GLH2">
        <v>38758</v>
      </c>
      <c r="GLI2">
        <v>38757</v>
      </c>
      <c r="GLJ2">
        <v>38756</v>
      </c>
      <c r="GLK2">
        <v>38755</v>
      </c>
      <c r="GLL2">
        <v>38754</v>
      </c>
      <c r="GLM2">
        <v>38751</v>
      </c>
      <c r="GLN2">
        <v>38750</v>
      </c>
      <c r="GLO2">
        <v>38749</v>
      </c>
      <c r="GLP2">
        <v>38748</v>
      </c>
      <c r="GLQ2">
        <v>38747</v>
      </c>
      <c r="GLR2">
        <v>38744</v>
      </c>
      <c r="GLS2">
        <v>38743</v>
      </c>
      <c r="GLT2">
        <v>38742</v>
      </c>
      <c r="GLU2">
        <v>38741</v>
      </c>
      <c r="GLV2">
        <v>38740</v>
      </c>
      <c r="GLW2">
        <v>38737</v>
      </c>
      <c r="GLX2">
        <v>38736</v>
      </c>
      <c r="GLY2">
        <v>38735</v>
      </c>
      <c r="GLZ2">
        <v>38734</v>
      </c>
      <c r="GMA2">
        <v>38733</v>
      </c>
      <c r="GMB2">
        <v>38730</v>
      </c>
      <c r="GMC2">
        <v>38729</v>
      </c>
      <c r="GMD2">
        <v>38728</v>
      </c>
      <c r="GME2">
        <v>38727</v>
      </c>
      <c r="GMF2">
        <v>38726</v>
      </c>
      <c r="GMG2">
        <v>38723</v>
      </c>
      <c r="GMH2">
        <v>38722</v>
      </c>
      <c r="GMI2">
        <v>38721</v>
      </c>
      <c r="GMJ2">
        <v>38720</v>
      </c>
      <c r="GMK2">
        <v>38719</v>
      </c>
      <c r="GML2">
        <v>38716</v>
      </c>
      <c r="GMM2">
        <v>38715</v>
      </c>
      <c r="GMN2">
        <v>38714</v>
      </c>
      <c r="GMO2">
        <v>38713</v>
      </c>
      <c r="GMP2">
        <v>38712</v>
      </c>
      <c r="GMQ2">
        <v>38709</v>
      </c>
      <c r="GMR2">
        <v>38708</v>
      </c>
      <c r="GMS2">
        <v>38707</v>
      </c>
      <c r="GMT2">
        <v>38706</v>
      </c>
      <c r="GMU2">
        <v>38705</v>
      </c>
      <c r="GMV2">
        <v>38702</v>
      </c>
      <c r="GMW2">
        <v>38701</v>
      </c>
      <c r="GMX2">
        <v>38700</v>
      </c>
      <c r="GMY2">
        <v>38699</v>
      </c>
      <c r="GMZ2">
        <v>38698</v>
      </c>
      <c r="GNA2">
        <v>38695</v>
      </c>
      <c r="GNB2">
        <v>38694</v>
      </c>
      <c r="GNC2">
        <v>38693</v>
      </c>
      <c r="GND2">
        <v>38692</v>
      </c>
      <c r="GNE2">
        <v>38691</v>
      </c>
      <c r="GNF2">
        <v>38688</v>
      </c>
      <c r="GNG2">
        <v>38687</v>
      </c>
      <c r="GNH2">
        <v>38686</v>
      </c>
      <c r="GNI2">
        <v>38685</v>
      </c>
      <c r="GNJ2">
        <v>38684</v>
      </c>
      <c r="GNK2">
        <v>38681</v>
      </c>
      <c r="GNL2">
        <v>38680</v>
      </c>
      <c r="GNM2">
        <v>38679</v>
      </c>
      <c r="GNN2">
        <v>38678</v>
      </c>
      <c r="GNO2">
        <v>38677</v>
      </c>
      <c r="GNP2">
        <v>38674</v>
      </c>
      <c r="GNQ2">
        <v>38673</v>
      </c>
      <c r="GNR2">
        <v>38672</v>
      </c>
      <c r="GNS2">
        <v>38671</v>
      </c>
      <c r="GNT2">
        <v>38670</v>
      </c>
      <c r="GNU2">
        <v>38667</v>
      </c>
      <c r="GNV2">
        <v>38666</v>
      </c>
      <c r="GNW2">
        <v>38665</v>
      </c>
      <c r="GNX2">
        <v>38664</v>
      </c>
      <c r="GNY2">
        <v>38663</v>
      </c>
      <c r="GNZ2">
        <v>38660</v>
      </c>
      <c r="GOA2">
        <v>38659</v>
      </c>
      <c r="GOB2">
        <v>38658</v>
      </c>
      <c r="GOC2">
        <v>38657</v>
      </c>
      <c r="GOD2">
        <v>38656</v>
      </c>
      <c r="GOE2">
        <v>38653</v>
      </c>
      <c r="GOF2">
        <v>38652</v>
      </c>
      <c r="GOG2">
        <v>38651</v>
      </c>
      <c r="GOH2">
        <v>38650</v>
      </c>
      <c r="GOI2">
        <v>38649</v>
      </c>
      <c r="GOJ2">
        <v>38646</v>
      </c>
      <c r="GOK2">
        <v>38645</v>
      </c>
      <c r="GOL2">
        <v>38644</v>
      </c>
      <c r="GOM2">
        <v>38643</v>
      </c>
      <c r="GON2">
        <v>38642</v>
      </c>
      <c r="GOO2">
        <v>38639</v>
      </c>
      <c r="GOP2">
        <v>38638</v>
      </c>
      <c r="GOQ2">
        <v>38637</v>
      </c>
      <c r="GOR2">
        <v>38636</v>
      </c>
      <c r="GOS2">
        <v>38635</v>
      </c>
      <c r="GOT2">
        <v>38632</v>
      </c>
      <c r="GOU2">
        <v>38631</v>
      </c>
      <c r="GOV2">
        <v>38630</v>
      </c>
      <c r="GOW2">
        <v>38629</v>
      </c>
      <c r="GOX2">
        <v>38628</v>
      </c>
      <c r="GOY2">
        <v>38625</v>
      </c>
      <c r="GOZ2">
        <v>38624</v>
      </c>
      <c r="GPA2">
        <v>38623</v>
      </c>
      <c r="GPB2">
        <v>38622</v>
      </c>
      <c r="GPC2">
        <v>38621</v>
      </c>
      <c r="GPD2">
        <v>38618</v>
      </c>
      <c r="GPE2">
        <v>38617</v>
      </c>
      <c r="GPF2">
        <v>38616</v>
      </c>
      <c r="GPG2">
        <v>38615</v>
      </c>
      <c r="GPH2">
        <v>38614</v>
      </c>
      <c r="GPI2">
        <v>38611</v>
      </c>
      <c r="GPJ2">
        <v>38610</v>
      </c>
      <c r="GPK2">
        <v>38609</v>
      </c>
      <c r="GPL2">
        <v>38608</v>
      </c>
      <c r="GPM2">
        <v>38607</v>
      </c>
      <c r="GPN2">
        <v>38604</v>
      </c>
      <c r="GPO2">
        <v>38603</v>
      </c>
      <c r="GPP2">
        <v>38602</v>
      </c>
      <c r="GPQ2">
        <v>38601</v>
      </c>
      <c r="GPR2">
        <v>38600</v>
      </c>
      <c r="GPS2">
        <v>38597</v>
      </c>
      <c r="GPT2">
        <v>38596</v>
      </c>
      <c r="GPU2">
        <v>38595</v>
      </c>
      <c r="GPV2">
        <v>38594</v>
      </c>
      <c r="GPW2">
        <v>38593</v>
      </c>
      <c r="GPX2">
        <v>38590</v>
      </c>
      <c r="GPY2">
        <v>38589</v>
      </c>
      <c r="GPZ2">
        <v>38588</v>
      </c>
      <c r="GQA2">
        <v>38587</v>
      </c>
      <c r="GQB2">
        <v>38586</v>
      </c>
      <c r="GQC2">
        <v>38583</v>
      </c>
      <c r="GQD2">
        <v>38582</v>
      </c>
      <c r="GQE2">
        <v>38581</v>
      </c>
      <c r="GQF2">
        <v>38580</v>
      </c>
      <c r="GQG2">
        <v>38579</v>
      </c>
      <c r="GQH2">
        <v>38576</v>
      </c>
      <c r="GQI2">
        <v>38575</v>
      </c>
      <c r="GQJ2">
        <v>38574</v>
      </c>
      <c r="GQK2">
        <v>38573</v>
      </c>
      <c r="GQL2">
        <v>38572</v>
      </c>
      <c r="GQM2">
        <v>38569</v>
      </c>
      <c r="GQN2">
        <v>38568</v>
      </c>
      <c r="GQO2">
        <v>38567</v>
      </c>
      <c r="GQP2">
        <v>38566</v>
      </c>
      <c r="GQQ2">
        <v>38565</v>
      </c>
      <c r="GQR2">
        <v>38562</v>
      </c>
      <c r="GQS2">
        <v>38561</v>
      </c>
      <c r="GQT2">
        <v>38560</v>
      </c>
      <c r="GQU2">
        <v>38559</v>
      </c>
      <c r="GQV2">
        <v>38558</v>
      </c>
      <c r="GQW2">
        <v>38555</v>
      </c>
      <c r="GQX2">
        <v>38554</v>
      </c>
      <c r="GQY2">
        <v>38553</v>
      </c>
      <c r="GQZ2">
        <v>38552</v>
      </c>
      <c r="GRA2">
        <v>38551</v>
      </c>
      <c r="GRB2">
        <v>38548</v>
      </c>
      <c r="GRC2">
        <v>38547</v>
      </c>
      <c r="GRD2">
        <v>38546</v>
      </c>
      <c r="GRE2">
        <v>38545</v>
      </c>
      <c r="GRF2">
        <v>38544</v>
      </c>
      <c r="GRG2">
        <v>38541</v>
      </c>
      <c r="GRH2">
        <v>38540</v>
      </c>
      <c r="GRI2">
        <v>38539</v>
      </c>
      <c r="GRJ2">
        <v>38538</v>
      </c>
      <c r="GRK2">
        <v>38537</v>
      </c>
      <c r="GRL2">
        <v>38534</v>
      </c>
      <c r="GRM2">
        <v>38533</v>
      </c>
      <c r="GRN2">
        <v>38532</v>
      </c>
      <c r="GRO2">
        <v>38531</v>
      </c>
      <c r="GRP2">
        <v>38530</v>
      </c>
      <c r="GRQ2">
        <v>38527</v>
      </c>
      <c r="GRR2">
        <v>38526</v>
      </c>
      <c r="GRS2">
        <v>38525</v>
      </c>
      <c r="GRT2">
        <v>38524</v>
      </c>
      <c r="GRU2">
        <v>38523</v>
      </c>
      <c r="GRV2">
        <v>38520</v>
      </c>
      <c r="GRW2">
        <v>38519</v>
      </c>
      <c r="GRX2">
        <v>38518</v>
      </c>
      <c r="GRY2">
        <v>38517</v>
      </c>
      <c r="GRZ2">
        <v>38516</v>
      </c>
      <c r="GSA2">
        <v>38513</v>
      </c>
      <c r="GSB2">
        <v>38512</v>
      </c>
      <c r="GSC2">
        <v>38511</v>
      </c>
      <c r="GSD2">
        <v>38510</v>
      </c>
      <c r="GSE2">
        <v>38509</v>
      </c>
      <c r="GSF2">
        <v>38506</v>
      </c>
      <c r="GSG2">
        <v>38505</v>
      </c>
      <c r="GSH2">
        <v>38504</v>
      </c>
      <c r="GSI2">
        <v>38503</v>
      </c>
      <c r="GSJ2">
        <v>38502</v>
      </c>
      <c r="GSK2">
        <v>38499</v>
      </c>
      <c r="GSL2">
        <v>38498</v>
      </c>
      <c r="GSM2">
        <v>38497</v>
      </c>
      <c r="GSN2">
        <v>38496</v>
      </c>
      <c r="GSO2">
        <v>38495</v>
      </c>
      <c r="GSP2">
        <v>38492</v>
      </c>
      <c r="GSQ2">
        <v>38491</v>
      </c>
      <c r="GSR2">
        <v>38490</v>
      </c>
      <c r="GSS2">
        <v>38489</v>
      </c>
      <c r="GST2">
        <v>38488</v>
      </c>
      <c r="GSU2">
        <v>38485</v>
      </c>
      <c r="GSV2">
        <v>38484</v>
      </c>
      <c r="GSW2">
        <v>38483</v>
      </c>
      <c r="GSX2">
        <v>38482</v>
      </c>
      <c r="GSY2">
        <v>38481</v>
      </c>
      <c r="GSZ2">
        <v>38478</v>
      </c>
      <c r="GTA2">
        <v>38477</v>
      </c>
      <c r="GTB2">
        <v>38476</v>
      </c>
      <c r="GTC2">
        <v>38475</v>
      </c>
      <c r="GTD2">
        <v>38474</v>
      </c>
      <c r="GTE2">
        <v>38471</v>
      </c>
      <c r="GTF2">
        <v>38470</v>
      </c>
      <c r="GTG2">
        <v>38469</v>
      </c>
      <c r="GTH2">
        <v>38468</v>
      </c>
      <c r="GTI2">
        <v>38467</v>
      </c>
      <c r="GTJ2">
        <v>38464</v>
      </c>
      <c r="GTK2">
        <v>38463</v>
      </c>
      <c r="GTL2">
        <v>38462</v>
      </c>
      <c r="GTM2">
        <v>38461</v>
      </c>
      <c r="GTN2">
        <v>38460</v>
      </c>
      <c r="GTO2">
        <v>38457</v>
      </c>
      <c r="GTP2">
        <v>38456</v>
      </c>
      <c r="GTQ2">
        <v>38455</v>
      </c>
      <c r="GTR2">
        <v>38454</v>
      </c>
      <c r="GTS2">
        <v>38453</v>
      </c>
      <c r="GTT2">
        <v>38450</v>
      </c>
      <c r="GTU2">
        <v>38449</v>
      </c>
      <c r="GTV2">
        <v>38448</v>
      </c>
      <c r="GTW2">
        <v>38447</v>
      </c>
      <c r="GTX2">
        <v>38446</v>
      </c>
      <c r="GTY2">
        <v>38443</v>
      </c>
      <c r="GTZ2">
        <v>38442</v>
      </c>
      <c r="GUA2">
        <v>38441</v>
      </c>
      <c r="GUB2">
        <v>38440</v>
      </c>
      <c r="GUC2">
        <v>38439</v>
      </c>
      <c r="GUD2">
        <v>38436</v>
      </c>
      <c r="GUE2">
        <v>38435</v>
      </c>
      <c r="GUF2">
        <v>38434</v>
      </c>
      <c r="GUG2">
        <v>38433</v>
      </c>
      <c r="GUH2">
        <v>38432</v>
      </c>
      <c r="GUI2">
        <v>38429</v>
      </c>
      <c r="GUJ2">
        <v>38428</v>
      </c>
      <c r="GUK2">
        <v>38427</v>
      </c>
      <c r="GUL2">
        <v>38426</v>
      </c>
      <c r="GUM2">
        <v>38425</v>
      </c>
      <c r="GUN2">
        <v>38422</v>
      </c>
      <c r="GUO2">
        <v>38421</v>
      </c>
      <c r="GUP2">
        <v>38420</v>
      </c>
      <c r="GUQ2">
        <v>38419</v>
      </c>
      <c r="GUR2">
        <v>38418</v>
      </c>
      <c r="GUS2">
        <v>38415</v>
      </c>
      <c r="GUT2">
        <v>38414</v>
      </c>
      <c r="GUU2">
        <v>38413</v>
      </c>
      <c r="GUV2">
        <v>38412</v>
      </c>
      <c r="GUW2">
        <v>38411</v>
      </c>
      <c r="GUX2">
        <v>38408</v>
      </c>
      <c r="GUY2">
        <v>38407</v>
      </c>
      <c r="GUZ2">
        <v>38406</v>
      </c>
      <c r="GVA2">
        <v>38405</v>
      </c>
      <c r="GVB2">
        <v>38404</v>
      </c>
      <c r="GVC2">
        <v>38401</v>
      </c>
      <c r="GVD2">
        <v>38400</v>
      </c>
      <c r="GVE2">
        <v>38399</v>
      </c>
      <c r="GVF2">
        <v>38398</v>
      </c>
      <c r="GVG2">
        <v>38397</v>
      </c>
      <c r="GVH2">
        <v>38394</v>
      </c>
      <c r="GVI2">
        <v>38393</v>
      </c>
      <c r="GVJ2">
        <v>38392</v>
      </c>
      <c r="GVK2">
        <v>38391</v>
      </c>
      <c r="GVL2">
        <v>38390</v>
      </c>
      <c r="GVM2">
        <v>38387</v>
      </c>
      <c r="GVN2">
        <v>38386</v>
      </c>
      <c r="GVO2">
        <v>38385</v>
      </c>
      <c r="GVP2">
        <v>38384</v>
      </c>
      <c r="GVQ2">
        <v>38383</v>
      </c>
      <c r="GVR2">
        <v>38380</v>
      </c>
      <c r="GVS2">
        <v>38379</v>
      </c>
      <c r="GVT2">
        <v>38378</v>
      </c>
      <c r="GVU2">
        <v>38377</v>
      </c>
      <c r="GVV2">
        <v>38376</v>
      </c>
      <c r="GVW2">
        <v>38373</v>
      </c>
      <c r="GVX2">
        <v>38372</v>
      </c>
      <c r="GVY2">
        <v>38371</v>
      </c>
      <c r="GVZ2">
        <v>38370</v>
      </c>
      <c r="GWA2">
        <v>38369</v>
      </c>
      <c r="GWB2">
        <v>38366</v>
      </c>
      <c r="GWC2">
        <v>38365</v>
      </c>
      <c r="GWD2">
        <v>38364</v>
      </c>
      <c r="GWE2">
        <v>38363</v>
      </c>
      <c r="GWF2">
        <v>38362</v>
      </c>
      <c r="GWG2">
        <v>38359</v>
      </c>
      <c r="GWH2">
        <v>38358</v>
      </c>
      <c r="GWI2">
        <v>38357</v>
      </c>
      <c r="GWJ2">
        <v>38356</v>
      </c>
      <c r="GWK2">
        <v>38355</v>
      </c>
      <c r="GWL2">
        <v>38352</v>
      </c>
      <c r="GWM2">
        <v>38351</v>
      </c>
      <c r="GWN2">
        <v>38350</v>
      </c>
      <c r="GWO2">
        <v>38349</v>
      </c>
      <c r="GWP2">
        <v>38348</v>
      </c>
      <c r="GWQ2">
        <v>38345</v>
      </c>
      <c r="GWR2">
        <v>38344</v>
      </c>
      <c r="GWS2">
        <v>38343</v>
      </c>
      <c r="GWT2">
        <v>38342</v>
      </c>
      <c r="GWU2">
        <v>38341</v>
      </c>
      <c r="GWV2">
        <v>38338</v>
      </c>
      <c r="GWW2">
        <v>38337</v>
      </c>
      <c r="GWX2">
        <v>38336</v>
      </c>
      <c r="GWY2">
        <v>38335</v>
      </c>
      <c r="GWZ2">
        <v>38334</v>
      </c>
      <c r="GXA2">
        <v>38331</v>
      </c>
      <c r="GXB2">
        <v>38330</v>
      </c>
      <c r="GXC2">
        <v>38329</v>
      </c>
      <c r="GXD2">
        <v>38328</v>
      </c>
      <c r="GXE2">
        <v>38327</v>
      </c>
      <c r="GXF2">
        <v>38324</v>
      </c>
      <c r="GXG2">
        <v>38323</v>
      </c>
      <c r="GXH2">
        <v>38322</v>
      </c>
      <c r="GXI2">
        <v>38321</v>
      </c>
      <c r="GXJ2">
        <v>38320</v>
      </c>
      <c r="GXK2">
        <v>38317</v>
      </c>
      <c r="GXL2">
        <v>38316</v>
      </c>
      <c r="GXM2">
        <v>38315</v>
      </c>
      <c r="GXN2">
        <v>38314</v>
      </c>
      <c r="GXO2">
        <v>38313</v>
      </c>
      <c r="GXP2">
        <v>38310</v>
      </c>
      <c r="GXQ2">
        <v>38309</v>
      </c>
      <c r="GXR2">
        <v>38308</v>
      </c>
      <c r="GXS2">
        <v>38307</v>
      </c>
      <c r="GXT2">
        <v>38306</v>
      </c>
      <c r="GXU2">
        <v>38303</v>
      </c>
      <c r="GXV2">
        <v>38302</v>
      </c>
      <c r="GXW2">
        <v>38301</v>
      </c>
      <c r="GXX2">
        <v>38300</v>
      </c>
      <c r="GXY2">
        <v>38299</v>
      </c>
      <c r="GXZ2">
        <v>38296</v>
      </c>
      <c r="GYA2">
        <v>38295</v>
      </c>
      <c r="GYB2">
        <v>38294</v>
      </c>
      <c r="GYC2">
        <v>38293</v>
      </c>
      <c r="GYD2">
        <v>38292</v>
      </c>
      <c r="GYE2">
        <v>38289</v>
      </c>
      <c r="GYF2">
        <v>38288</v>
      </c>
      <c r="GYG2">
        <v>38287</v>
      </c>
      <c r="GYH2">
        <v>38286</v>
      </c>
      <c r="GYI2">
        <v>38285</v>
      </c>
      <c r="GYJ2">
        <v>38282</v>
      </c>
      <c r="GYK2">
        <v>38281</v>
      </c>
      <c r="GYL2">
        <v>38280</v>
      </c>
      <c r="GYM2">
        <v>38279</v>
      </c>
      <c r="GYN2">
        <v>38278</v>
      </c>
      <c r="GYO2">
        <v>38275</v>
      </c>
      <c r="GYP2">
        <v>38274</v>
      </c>
      <c r="GYQ2">
        <v>38273</v>
      </c>
      <c r="GYR2">
        <v>38272</v>
      </c>
      <c r="GYS2">
        <v>38271</v>
      </c>
      <c r="GYT2">
        <v>38268</v>
      </c>
      <c r="GYU2">
        <v>38267</v>
      </c>
      <c r="GYV2">
        <v>38266</v>
      </c>
      <c r="GYW2">
        <v>38265</v>
      </c>
      <c r="GYX2">
        <v>38264</v>
      </c>
      <c r="GYY2">
        <v>38261</v>
      </c>
      <c r="GYZ2">
        <v>38260</v>
      </c>
      <c r="GZA2">
        <v>38259</v>
      </c>
      <c r="GZB2">
        <v>38258</v>
      </c>
      <c r="GZC2">
        <v>38257</v>
      </c>
      <c r="GZD2">
        <v>38254</v>
      </c>
      <c r="GZE2">
        <v>38253</v>
      </c>
      <c r="GZF2">
        <v>38252</v>
      </c>
      <c r="GZG2">
        <v>38251</v>
      </c>
      <c r="GZH2">
        <v>38250</v>
      </c>
      <c r="GZI2">
        <v>38247</v>
      </c>
      <c r="GZJ2">
        <v>38246</v>
      </c>
      <c r="GZK2">
        <v>38245</v>
      </c>
      <c r="GZL2">
        <v>38244</v>
      </c>
      <c r="GZM2">
        <v>38243</v>
      </c>
      <c r="GZN2">
        <v>38240</v>
      </c>
      <c r="GZO2">
        <v>38239</v>
      </c>
      <c r="GZP2">
        <v>38238</v>
      </c>
      <c r="GZQ2">
        <v>38237</v>
      </c>
      <c r="GZR2">
        <v>38236</v>
      </c>
      <c r="GZS2">
        <v>38233</v>
      </c>
      <c r="GZT2">
        <v>38232</v>
      </c>
      <c r="GZU2">
        <v>38231</v>
      </c>
      <c r="GZV2">
        <v>38230</v>
      </c>
      <c r="GZW2">
        <v>38229</v>
      </c>
      <c r="GZX2">
        <v>38226</v>
      </c>
      <c r="GZY2">
        <v>38225</v>
      </c>
      <c r="GZZ2">
        <v>38224</v>
      </c>
      <c r="HAA2">
        <v>38223</v>
      </c>
      <c r="HAB2">
        <v>38222</v>
      </c>
      <c r="HAC2">
        <v>38219</v>
      </c>
      <c r="HAD2">
        <v>38218</v>
      </c>
      <c r="HAE2">
        <v>38217</v>
      </c>
      <c r="HAF2">
        <v>38216</v>
      </c>
      <c r="HAG2">
        <v>38215</v>
      </c>
      <c r="HAH2">
        <v>38212</v>
      </c>
      <c r="HAI2">
        <v>38211</v>
      </c>
      <c r="HAJ2">
        <v>38210</v>
      </c>
      <c r="HAK2">
        <v>38209</v>
      </c>
      <c r="HAL2">
        <v>38208</v>
      </c>
      <c r="HAM2">
        <v>38205</v>
      </c>
      <c r="HAN2">
        <v>38204</v>
      </c>
      <c r="HAO2">
        <v>38203</v>
      </c>
      <c r="HAP2">
        <v>38202</v>
      </c>
      <c r="HAQ2">
        <v>38201</v>
      </c>
      <c r="HAR2">
        <v>38198</v>
      </c>
      <c r="HAS2">
        <v>38197</v>
      </c>
      <c r="HAT2">
        <v>38196</v>
      </c>
      <c r="HAU2">
        <v>38195</v>
      </c>
      <c r="HAV2">
        <v>38194</v>
      </c>
      <c r="HAW2">
        <v>38191</v>
      </c>
      <c r="HAX2">
        <v>38190</v>
      </c>
      <c r="HAY2">
        <v>38189</v>
      </c>
      <c r="HAZ2">
        <v>38188</v>
      </c>
      <c r="HBA2">
        <v>38187</v>
      </c>
      <c r="HBB2">
        <v>38184</v>
      </c>
      <c r="HBC2">
        <v>38183</v>
      </c>
      <c r="HBD2">
        <v>38182</v>
      </c>
      <c r="HBE2">
        <v>38181</v>
      </c>
      <c r="HBF2">
        <v>38180</v>
      </c>
      <c r="HBG2">
        <v>38177</v>
      </c>
      <c r="HBH2">
        <v>38176</v>
      </c>
      <c r="HBI2">
        <v>38175</v>
      </c>
      <c r="HBJ2">
        <v>38174</v>
      </c>
      <c r="HBK2">
        <v>38173</v>
      </c>
      <c r="HBL2">
        <v>38170</v>
      </c>
      <c r="HBM2">
        <v>38169</v>
      </c>
      <c r="HBN2">
        <v>38168</v>
      </c>
      <c r="HBO2">
        <v>38167</v>
      </c>
      <c r="HBP2">
        <v>38166</v>
      </c>
      <c r="HBQ2">
        <v>38163</v>
      </c>
      <c r="HBR2">
        <v>38162</v>
      </c>
      <c r="HBS2">
        <v>38161</v>
      </c>
      <c r="HBT2">
        <v>38160</v>
      </c>
      <c r="HBU2">
        <v>38159</v>
      </c>
      <c r="HBV2">
        <v>38156</v>
      </c>
      <c r="HBW2">
        <v>38155</v>
      </c>
      <c r="HBX2">
        <v>38154</v>
      </c>
      <c r="HBY2">
        <v>38153</v>
      </c>
      <c r="HBZ2">
        <v>38152</v>
      </c>
      <c r="HCA2">
        <v>38149</v>
      </c>
      <c r="HCB2">
        <v>38148</v>
      </c>
      <c r="HCC2">
        <v>38147</v>
      </c>
      <c r="HCD2">
        <v>38146</v>
      </c>
      <c r="HCE2">
        <v>38145</v>
      </c>
      <c r="HCF2">
        <v>38142</v>
      </c>
      <c r="HCG2">
        <v>38141</v>
      </c>
      <c r="HCH2">
        <v>38140</v>
      </c>
      <c r="HCI2">
        <v>38139</v>
      </c>
      <c r="HCJ2">
        <v>38138</v>
      </c>
      <c r="HCK2">
        <v>38135</v>
      </c>
      <c r="HCL2">
        <v>38134</v>
      </c>
      <c r="HCM2">
        <v>38133</v>
      </c>
      <c r="HCN2">
        <v>38132</v>
      </c>
      <c r="HCO2">
        <v>38131</v>
      </c>
      <c r="HCP2">
        <v>38128</v>
      </c>
      <c r="HCQ2">
        <v>38127</v>
      </c>
      <c r="HCR2">
        <v>38126</v>
      </c>
      <c r="HCS2">
        <v>38125</v>
      </c>
      <c r="HCT2">
        <v>38124</v>
      </c>
      <c r="HCU2">
        <v>38121</v>
      </c>
      <c r="HCV2">
        <v>38120</v>
      </c>
      <c r="HCW2">
        <v>38119</v>
      </c>
      <c r="HCX2">
        <v>38118</v>
      </c>
      <c r="HCY2">
        <v>38117</v>
      </c>
      <c r="HCZ2">
        <v>38114</v>
      </c>
      <c r="HDA2">
        <v>38113</v>
      </c>
      <c r="HDB2">
        <v>38112</v>
      </c>
      <c r="HDC2">
        <v>38111</v>
      </c>
      <c r="HDD2">
        <v>38110</v>
      </c>
      <c r="HDE2">
        <v>38107</v>
      </c>
      <c r="HDF2">
        <v>38106</v>
      </c>
      <c r="HDG2">
        <v>38105</v>
      </c>
      <c r="HDH2">
        <v>38104</v>
      </c>
      <c r="HDI2">
        <v>38103</v>
      </c>
      <c r="HDJ2">
        <v>38100</v>
      </c>
      <c r="HDK2">
        <v>38099</v>
      </c>
      <c r="HDL2">
        <v>38098</v>
      </c>
      <c r="HDM2">
        <v>38097</v>
      </c>
      <c r="HDN2">
        <v>38096</v>
      </c>
      <c r="HDO2">
        <v>38093</v>
      </c>
      <c r="HDP2">
        <v>38092</v>
      </c>
      <c r="HDQ2">
        <v>38091</v>
      </c>
      <c r="HDR2">
        <v>38090</v>
      </c>
      <c r="HDS2">
        <v>38089</v>
      </c>
      <c r="HDT2">
        <v>38086</v>
      </c>
      <c r="HDU2">
        <v>38085</v>
      </c>
      <c r="HDV2">
        <v>38084</v>
      </c>
      <c r="HDW2">
        <v>38083</v>
      </c>
      <c r="HDX2">
        <v>38082</v>
      </c>
      <c r="HDY2">
        <v>38079</v>
      </c>
      <c r="HDZ2">
        <v>38078</v>
      </c>
      <c r="HEA2">
        <v>38077</v>
      </c>
      <c r="HEB2">
        <v>38076</v>
      </c>
      <c r="HEC2">
        <v>38075</v>
      </c>
      <c r="HED2">
        <v>38072</v>
      </c>
      <c r="HEE2">
        <v>38071</v>
      </c>
      <c r="HEF2">
        <v>38070</v>
      </c>
      <c r="HEG2">
        <v>38069</v>
      </c>
      <c r="HEH2">
        <v>38068</v>
      </c>
      <c r="HEI2">
        <v>38065</v>
      </c>
      <c r="HEJ2">
        <v>38064</v>
      </c>
      <c r="HEK2">
        <v>38063</v>
      </c>
      <c r="HEL2">
        <v>38062</v>
      </c>
      <c r="HEM2">
        <v>38061</v>
      </c>
      <c r="HEN2">
        <v>38058</v>
      </c>
      <c r="HEO2">
        <v>38057</v>
      </c>
      <c r="HEP2">
        <v>38056</v>
      </c>
      <c r="HEQ2">
        <v>38055</v>
      </c>
      <c r="HER2">
        <v>38054</v>
      </c>
      <c r="HES2">
        <v>38051</v>
      </c>
      <c r="HET2">
        <v>38050</v>
      </c>
      <c r="HEU2">
        <v>38049</v>
      </c>
      <c r="HEV2">
        <v>38048</v>
      </c>
      <c r="HEW2">
        <v>38047</v>
      </c>
      <c r="HEX2">
        <v>38044</v>
      </c>
      <c r="HEY2">
        <v>38043</v>
      </c>
      <c r="HEZ2">
        <v>38042</v>
      </c>
      <c r="HFA2">
        <v>38041</v>
      </c>
      <c r="HFB2">
        <v>38040</v>
      </c>
      <c r="HFC2">
        <v>38037</v>
      </c>
      <c r="HFD2">
        <v>38036</v>
      </c>
      <c r="HFE2">
        <v>38035</v>
      </c>
      <c r="HFF2">
        <v>38034</v>
      </c>
      <c r="HFG2">
        <v>38033</v>
      </c>
      <c r="HFH2">
        <v>38030</v>
      </c>
      <c r="HFI2">
        <v>38029</v>
      </c>
      <c r="HFJ2">
        <v>38028</v>
      </c>
      <c r="HFK2">
        <v>38027</v>
      </c>
      <c r="HFL2">
        <v>38026</v>
      </c>
      <c r="HFM2">
        <v>38023</v>
      </c>
      <c r="HFN2">
        <v>38022</v>
      </c>
      <c r="HFO2">
        <v>38021</v>
      </c>
      <c r="HFP2">
        <v>38020</v>
      </c>
      <c r="HFQ2">
        <v>38019</v>
      </c>
      <c r="HFR2">
        <v>38016</v>
      </c>
      <c r="HFS2">
        <v>38015</v>
      </c>
      <c r="HFT2">
        <v>38014</v>
      </c>
      <c r="HFU2">
        <v>38013</v>
      </c>
      <c r="HFV2">
        <v>38012</v>
      </c>
      <c r="HFW2">
        <v>38009</v>
      </c>
      <c r="HFX2">
        <v>38008</v>
      </c>
      <c r="HFY2">
        <v>38007</v>
      </c>
      <c r="HFZ2">
        <v>38006</v>
      </c>
      <c r="HGA2">
        <v>38005</v>
      </c>
      <c r="HGB2">
        <v>38002</v>
      </c>
      <c r="HGC2">
        <v>38001</v>
      </c>
      <c r="HGD2">
        <v>38000</v>
      </c>
      <c r="HGE2">
        <v>37999</v>
      </c>
      <c r="HGF2">
        <v>37998</v>
      </c>
      <c r="HGG2">
        <v>37995</v>
      </c>
      <c r="HGH2">
        <v>37994</v>
      </c>
      <c r="HGI2">
        <v>37993</v>
      </c>
      <c r="HGJ2">
        <v>37992</v>
      </c>
      <c r="HGK2">
        <v>37991</v>
      </c>
      <c r="HGL2">
        <v>37988</v>
      </c>
      <c r="HGM2">
        <v>37987</v>
      </c>
      <c r="HGN2">
        <v>37986</v>
      </c>
      <c r="HGO2">
        <v>37985</v>
      </c>
      <c r="HGP2">
        <v>37984</v>
      </c>
      <c r="HGQ2">
        <v>37981</v>
      </c>
      <c r="HGR2">
        <v>37980</v>
      </c>
      <c r="HGS2">
        <v>37979</v>
      </c>
      <c r="HGT2">
        <v>37978</v>
      </c>
      <c r="HGU2">
        <v>37977</v>
      </c>
      <c r="HGV2">
        <v>37974</v>
      </c>
      <c r="HGW2">
        <v>37973</v>
      </c>
      <c r="HGX2">
        <v>37972</v>
      </c>
      <c r="HGY2">
        <v>37971</v>
      </c>
      <c r="HGZ2">
        <v>37970</v>
      </c>
      <c r="HHA2">
        <v>37967</v>
      </c>
      <c r="HHB2">
        <v>37966</v>
      </c>
      <c r="HHC2">
        <v>37965</v>
      </c>
      <c r="HHD2">
        <v>37964</v>
      </c>
      <c r="HHE2">
        <v>37963</v>
      </c>
      <c r="HHF2">
        <v>37960</v>
      </c>
      <c r="HHG2">
        <v>37959</v>
      </c>
      <c r="HHH2">
        <v>37958</v>
      </c>
      <c r="HHI2">
        <v>37957</v>
      </c>
      <c r="HHJ2">
        <v>37956</v>
      </c>
      <c r="HHK2">
        <v>37953</v>
      </c>
      <c r="HHL2">
        <v>37952</v>
      </c>
      <c r="HHM2">
        <v>37951</v>
      </c>
      <c r="HHN2">
        <v>37950</v>
      </c>
      <c r="HHO2">
        <v>37949</v>
      </c>
      <c r="HHP2">
        <v>37946</v>
      </c>
      <c r="HHQ2">
        <v>37945</v>
      </c>
      <c r="HHR2">
        <v>37944</v>
      </c>
      <c r="HHS2">
        <v>37943</v>
      </c>
      <c r="HHT2">
        <v>37942</v>
      </c>
      <c r="HHU2">
        <v>37939</v>
      </c>
      <c r="HHV2">
        <v>37938</v>
      </c>
      <c r="HHW2">
        <v>37937</v>
      </c>
      <c r="HHX2">
        <v>37936</v>
      </c>
      <c r="HHY2">
        <v>37935</v>
      </c>
      <c r="HHZ2">
        <v>37932</v>
      </c>
      <c r="HIA2">
        <v>37931</v>
      </c>
      <c r="HIB2">
        <v>37930</v>
      </c>
      <c r="HIC2">
        <v>37929</v>
      </c>
      <c r="HID2">
        <v>37928</v>
      </c>
      <c r="HIE2">
        <v>37925</v>
      </c>
      <c r="HIF2">
        <v>37924</v>
      </c>
      <c r="HIG2">
        <v>37923</v>
      </c>
      <c r="HIH2">
        <v>37922</v>
      </c>
      <c r="HII2">
        <v>37921</v>
      </c>
      <c r="HIJ2">
        <v>37918</v>
      </c>
      <c r="HIK2">
        <v>37917</v>
      </c>
      <c r="HIL2">
        <v>37916</v>
      </c>
      <c r="HIM2">
        <v>37915</v>
      </c>
      <c r="HIN2">
        <v>37914</v>
      </c>
      <c r="HIO2">
        <v>37911</v>
      </c>
      <c r="HIP2">
        <v>37910</v>
      </c>
      <c r="HIQ2">
        <v>37909</v>
      </c>
      <c r="HIR2">
        <v>37908</v>
      </c>
      <c r="HIS2">
        <v>37907</v>
      </c>
      <c r="HIT2">
        <v>37904</v>
      </c>
      <c r="HIU2">
        <v>37903</v>
      </c>
      <c r="HIV2">
        <v>37902</v>
      </c>
      <c r="HIW2">
        <v>37901</v>
      </c>
      <c r="HIX2">
        <v>37900</v>
      </c>
      <c r="HIY2">
        <v>37897</v>
      </c>
      <c r="HIZ2">
        <v>37896</v>
      </c>
      <c r="HJA2">
        <v>37895</v>
      </c>
      <c r="HJB2">
        <v>37894</v>
      </c>
      <c r="HJC2">
        <v>37893</v>
      </c>
      <c r="HJD2">
        <v>37890</v>
      </c>
      <c r="HJE2">
        <v>37889</v>
      </c>
      <c r="HJF2">
        <v>37888</v>
      </c>
      <c r="HJG2">
        <v>37887</v>
      </c>
      <c r="HJH2">
        <v>37886</v>
      </c>
      <c r="HJI2">
        <v>37883</v>
      </c>
      <c r="HJJ2">
        <v>37882</v>
      </c>
      <c r="HJK2">
        <v>37881</v>
      </c>
      <c r="HJL2">
        <v>37880</v>
      </c>
      <c r="HJM2">
        <v>37879</v>
      </c>
      <c r="HJN2">
        <v>37876</v>
      </c>
      <c r="HJO2">
        <v>37875</v>
      </c>
      <c r="HJP2">
        <v>37874</v>
      </c>
      <c r="HJQ2">
        <v>37873</v>
      </c>
      <c r="HJR2">
        <v>37872</v>
      </c>
      <c r="HJS2">
        <v>37869</v>
      </c>
      <c r="HJT2">
        <v>37868</v>
      </c>
      <c r="HJU2">
        <v>37867</v>
      </c>
      <c r="HJV2">
        <v>37866</v>
      </c>
      <c r="HJW2">
        <v>37865</v>
      </c>
      <c r="HJX2">
        <v>37862</v>
      </c>
      <c r="HJY2">
        <v>37861</v>
      </c>
      <c r="HJZ2">
        <v>37860</v>
      </c>
      <c r="HKA2">
        <v>37859</v>
      </c>
      <c r="HKB2">
        <v>37858</v>
      </c>
      <c r="HKC2">
        <v>37855</v>
      </c>
      <c r="HKD2">
        <v>37854</v>
      </c>
      <c r="HKE2">
        <v>37853</v>
      </c>
      <c r="HKF2">
        <v>37852</v>
      </c>
      <c r="HKG2">
        <v>37851</v>
      </c>
      <c r="HKH2">
        <v>37848</v>
      </c>
      <c r="HKI2">
        <v>37847</v>
      </c>
      <c r="HKJ2">
        <v>37846</v>
      </c>
      <c r="HKK2">
        <v>37845</v>
      </c>
      <c r="HKL2">
        <v>37844</v>
      </c>
      <c r="HKM2">
        <v>37841</v>
      </c>
      <c r="HKN2">
        <v>37840</v>
      </c>
      <c r="HKO2">
        <v>37839</v>
      </c>
      <c r="HKP2">
        <v>37838</v>
      </c>
      <c r="HKQ2">
        <v>37837</v>
      </c>
      <c r="HKR2">
        <v>37834</v>
      </c>
      <c r="HKS2">
        <v>37833</v>
      </c>
      <c r="HKT2">
        <v>37832</v>
      </c>
      <c r="HKU2">
        <v>37831</v>
      </c>
      <c r="HKV2">
        <v>37830</v>
      </c>
      <c r="HKW2">
        <v>37827</v>
      </c>
      <c r="HKX2">
        <v>37826</v>
      </c>
      <c r="HKY2">
        <v>37825</v>
      </c>
      <c r="HKZ2">
        <v>37824</v>
      </c>
      <c r="HLA2">
        <v>37823</v>
      </c>
      <c r="HLB2">
        <v>37820</v>
      </c>
      <c r="HLC2">
        <v>37819</v>
      </c>
      <c r="HLD2">
        <v>37818</v>
      </c>
      <c r="HLE2">
        <v>37817</v>
      </c>
      <c r="HLF2">
        <v>37816</v>
      </c>
      <c r="HLG2">
        <v>37813</v>
      </c>
      <c r="HLH2">
        <v>37812</v>
      </c>
      <c r="HLI2">
        <v>37811</v>
      </c>
      <c r="HLJ2">
        <v>37810</v>
      </c>
      <c r="HLK2">
        <v>37809</v>
      </c>
      <c r="HLL2">
        <v>37806</v>
      </c>
      <c r="HLM2">
        <v>37805</v>
      </c>
      <c r="HLN2">
        <v>37804</v>
      </c>
      <c r="HLO2">
        <v>37803</v>
      </c>
      <c r="HLP2">
        <v>37802</v>
      </c>
      <c r="HLQ2">
        <v>37799</v>
      </c>
      <c r="HLR2">
        <v>37798</v>
      </c>
      <c r="HLS2">
        <v>37797</v>
      </c>
      <c r="HLT2">
        <v>37796</v>
      </c>
      <c r="HLU2">
        <v>37795</v>
      </c>
      <c r="HLV2">
        <v>37792</v>
      </c>
      <c r="HLW2">
        <v>37791</v>
      </c>
      <c r="HLX2">
        <v>37790</v>
      </c>
      <c r="HLY2">
        <v>37789</v>
      </c>
      <c r="HLZ2">
        <v>37788</v>
      </c>
      <c r="HMA2">
        <v>37785</v>
      </c>
      <c r="HMB2">
        <v>37784</v>
      </c>
      <c r="HMC2">
        <v>37783</v>
      </c>
      <c r="HMD2">
        <v>37782</v>
      </c>
      <c r="HME2">
        <v>37781</v>
      </c>
      <c r="HMF2">
        <v>37778</v>
      </c>
      <c r="HMG2">
        <v>37777</v>
      </c>
      <c r="HMH2">
        <v>37776</v>
      </c>
      <c r="HMI2">
        <v>37775</v>
      </c>
      <c r="HMJ2">
        <v>37774</v>
      </c>
      <c r="HMK2">
        <v>37771</v>
      </c>
      <c r="HML2">
        <v>37770</v>
      </c>
      <c r="HMM2">
        <v>37769</v>
      </c>
      <c r="HMN2">
        <v>37768</v>
      </c>
      <c r="HMO2">
        <v>37767</v>
      </c>
      <c r="HMP2">
        <v>37764</v>
      </c>
      <c r="HMQ2">
        <v>37763</v>
      </c>
      <c r="HMR2">
        <v>37762</v>
      </c>
      <c r="HMS2">
        <v>37761</v>
      </c>
      <c r="HMT2">
        <v>37760</v>
      </c>
      <c r="HMU2">
        <v>37757</v>
      </c>
      <c r="HMV2">
        <v>37756</v>
      </c>
      <c r="HMW2">
        <v>37755</v>
      </c>
      <c r="HMX2">
        <v>37754</v>
      </c>
      <c r="HMY2">
        <v>37753</v>
      </c>
      <c r="HMZ2">
        <v>37750</v>
      </c>
      <c r="HNA2">
        <v>37749</v>
      </c>
      <c r="HNB2">
        <v>37748</v>
      </c>
      <c r="HNC2">
        <v>37747</v>
      </c>
      <c r="HND2">
        <v>37746</v>
      </c>
      <c r="HNE2">
        <v>37743</v>
      </c>
      <c r="HNF2">
        <v>37742</v>
      </c>
      <c r="HNG2">
        <v>37741</v>
      </c>
      <c r="HNH2">
        <v>37740</v>
      </c>
      <c r="HNI2">
        <v>37739</v>
      </c>
      <c r="HNJ2">
        <v>37736</v>
      </c>
      <c r="HNK2">
        <v>37735</v>
      </c>
      <c r="HNL2">
        <v>37734</v>
      </c>
      <c r="HNM2">
        <v>37733</v>
      </c>
      <c r="HNN2">
        <v>37732</v>
      </c>
      <c r="HNO2">
        <v>37729</v>
      </c>
      <c r="HNP2">
        <v>37728</v>
      </c>
      <c r="HNQ2">
        <v>37727</v>
      </c>
      <c r="HNR2">
        <v>37726</v>
      </c>
      <c r="HNS2">
        <v>37725</v>
      </c>
      <c r="HNT2">
        <v>37722</v>
      </c>
      <c r="HNU2">
        <v>37721</v>
      </c>
      <c r="HNV2">
        <v>37720</v>
      </c>
      <c r="HNW2">
        <v>37719</v>
      </c>
      <c r="HNX2">
        <v>37718</v>
      </c>
      <c r="HNY2">
        <v>37715</v>
      </c>
      <c r="HNZ2">
        <v>37714</v>
      </c>
      <c r="HOA2">
        <v>37713</v>
      </c>
      <c r="HOB2">
        <v>37712</v>
      </c>
      <c r="HOC2">
        <v>37711</v>
      </c>
      <c r="HOD2">
        <v>37708</v>
      </c>
      <c r="HOE2">
        <v>37707</v>
      </c>
      <c r="HOF2">
        <v>37706</v>
      </c>
      <c r="HOG2">
        <v>37705</v>
      </c>
      <c r="HOH2">
        <v>37704</v>
      </c>
      <c r="HOI2">
        <v>37701</v>
      </c>
      <c r="HOJ2">
        <v>37700</v>
      </c>
      <c r="HOK2">
        <v>37699</v>
      </c>
      <c r="HOL2">
        <v>37698</v>
      </c>
      <c r="HOM2">
        <v>37697</v>
      </c>
      <c r="HON2">
        <v>37694</v>
      </c>
      <c r="HOO2">
        <v>37693</v>
      </c>
      <c r="HOP2">
        <v>37692</v>
      </c>
      <c r="HOQ2">
        <v>37691</v>
      </c>
      <c r="HOR2">
        <v>37690</v>
      </c>
      <c r="HOS2">
        <v>37687</v>
      </c>
      <c r="HOT2">
        <v>37686</v>
      </c>
      <c r="HOU2">
        <v>37685</v>
      </c>
      <c r="HOV2">
        <v>37684</v>
      </c>
      <c r="HOW2">
        <v>37683</v>
      </c>
      <c r="HOX2">
        <v>37680</v>
      </c>
      <c r="HOY2">
        <v>37679</v>
      </c>
      <c r="HOZ2">
        <v>37678</v>
      </c>
      <c r="HPA2">
        <v>37677</v>
      </c>
      <c r="HPB2">
        <v>37676</v>
      </c>
      <c r="HPC2">
        <v>37673</v>
      </c>
      <c r="HPD2">
        <v>37672</v>
      </c>
      <c r="HPE2">
        <v>37671</v>
      </c>
      <c r="HPF2">
        <v>37670</v>
      </c>
      <c r="HPG2">
        <v>37669</v>
      </c>
      <c r="HPH2">
        <v>37666</v>
      </c>
      <c r="HPI2">
        <v>37665</v>
      </c>
      <c r="HPJ2">
        <v>37664</v>
      </c>
      <c r="HPK2">
        <v>37663</v>
      </c>
      <c r="HPL2">
        <v>37662</v>
      </c>
      <c r="HPM2">
        <v>37659</v>
      </c>
      <c r="HPN2">
        <v>37658</v>
      </c>
      <c r="HPO2">
        <v>37657</v>
      </c>
      <c r="HPP2">
        <v>37656</v>
      </c>
      <c r="HPQ2">
        <v>37655</v>
      </c>
      <c r="HPR2">
        <v>37652</v>
      </c>
      <c r="HPS2">
        <v>37651</v>
      </c>
      <c r="HPT2">
        <v>37650</v>
      </c>
      <c r="HPU2">
        <v>37649</v>
      </c>
      <c r="HPV2">
        <v>37648</v>
      </c>
      <c r="HPW2">
        <v>37645</v>
      </c>
      <c r="HPX2">
        <v>37644</v>
      </c>
      <c r="HPY2">
        <v>37643</v>
      </c>
      <c r="HPZ2">
        <v>37642</v>
      </c>
      <c r="HQA2">
        <v>37641</v>
      </c>
      <c r="HQB2">
        <v>37638</v>
      </c>
      <c r="HQC2">
        <v>37637</v>
      </c>
      <c r="HQD2">
        <v>37636</v>
      </c>
      <c r="HQE2">
        <v>37635</v>
      </c>
      <c r="HQF2">
        <v>37634</v>
      </c>
      <c r="HQG2">
        <v>37631</v>
      </c>
      <c r="HQH2">
        <v>37630</v>
      </c>
      <c r="HQI2">
        <v>37629</v>
      </c>
      <c r="HQJ2">
        <v>37628</v>
      </c>
      <c r="HQK2">
        <v>37627</v>
      </c>
      <c r="HQL2">
        <v>37624</v>
      </c>
      <c r="HQM2">
        <v>37623</v>
      </c>
      <c r="HQN2">
        <v>37622</v>
      </c>
      <c r="HQO2">
        <v>37621</v>
      </c>
      <c r="HQP2">
        <v>37620</v>
      </c>
      <c r="HQQ2">
        <v>37617</v>
      </c>
      <c r="HQR2">
        <v>37616</v>
      </c>
      <c r="HQS2">
        <v>37615</v>
      </c>
      <c r="HQT2">
        <v>37614</v>
      </c>
      <c r="HQU2">
        <v>37613</v>
      </c>
      <c r="HQV2">
        <v>37610</v>
      </c>
      <c r="HQW2">
        <v>37609</v>
      </c>
      <c r="HQX2">
        <v>37608</v>
      </c>
      <c r="HQY2">
        <v>37607</v>
      </c>
      <c r="HQZ2">
        <v>37606</v>
      </c>
      <c r="HRA2">
        <v>37603</v>
      </c>
      <c r="HRB2">
        <v>37602</v>
      </c>
      <c r="HRC2">
        <v>37601</v>
      </c>
      <c r="HRD2">
        <v>37600</v>
      </c>
      <c r="HRE2">
        <v>37599</v>
      </c>
      <c r="HRF2">
        <v>37596</v>
      </c>
      <c r="HRG2">
        <v>37595</v>
      </c>
      <c r="HRH2">
        <v>37594</v>
      </c>
      <c r="HRI2">
        <v>37593</v>
      </c>
      <c r="HRJ2">
        <v>37592</v>
      </c>
      <c r="HRK2">
        <v>37589</v>
      </c>
      <c r="HRL2">
        <v>37588</v>
      </c>
      <c r="HRM2">
        <v>37587</v>
      </c>
      <c r="HRN2">
        <v>37586</v>
      </c>
      <c r="HRO2">
        <v>37585</v>
      </c>
      <c r="HRP2">
        <v>37582</v>
      </c>
      <c r="HRQ2">
        <v>37581</v>
      </c>
      <c r="HRR2">
        <v>37580</v>
      </c>
      <c r="HRS2">
        <v>37579</v>
      </c>
      <c r="HRT2">
        <v>37578</v>
      </c>
      <c r="HRU2">
        <v>37575</v>
      </c>
      <c r="HRV2">
        <v>37574</v>
      </c>
      <c r="HRW2">
        <v>37573</v>
      </c>
      <c r="HRX2">
        <v>37572</v>
      </c>
      <c r="HRY2">
        <v>37571</v>
      </c>
      <c r="HRZ2">
        <v>37568</v>
      </c>
      <c r="HSA2">
        <v>37567</v>
      </c>
      <c r="HSB2">
        <v>37566</v>
      </c>
      <c r="HSC2">
        <v>37565</v>
      </c>
      <c r="HSD2">
        <v>37564</v>
      </c>
      <c r="HSE2">
        <v>37561</v>
      </c>
      <c r="HSF2">
        <v>37560</v>
      </c>
      <c r="HSG2">
        <v>37559</v>
      </c>
      <c r="HSH2">
        <v>37558</v>
      </c>
      <c r="HSI2">
        <v>37557</v>
      </c>
      <c r="HSJ2">
        <v>37554</v>
      </c>
      <c r="HSK2">
        <v>37553</v>
      </c>
      <c r="HSL2">
        <v>37552</v>
      </c>
      <c r="HSM2">
        <v>37551</v>
      </c>
      <c r="HSN2">
        <v>37550</v>
      </c>
      <c r="HSO2">
        <v>37547</v>
      </c>
      <c r="HSP2">
        <v>37546</v>
      </c>
      <c r="HSQ2">
        <v>37545</v>
      </c>
      <c r="HSR2">
        <v>37544</v>
      </c>
      <c r="HSS2">
        <v>37543</v>
      </c>
      <c r="HST2">
        <v>37540</v>
      </c>
      <c r="HSU2">
        <v>37539</v>
      </c>
      <c r="HSV2">
        <v>37538</v>
      </c>
      <c r="HSW2">
        <v>37537</v>
      </c>
      <c r="HSX2">
        <v>37536</v>
      </c>
      <c r="HSY2">
        <v>37533</v>
      </c>
      <c r="HSZ2">
        <v>37532</v>
      </c>
      <c r="HTA2">
        <v>37531</v>
      </c>
      <c r="HTB2">
        <v>37530</v>
      </c>
      <c r="HTC2">
        <v>37529</v>
      </c>
      <c r="HTD2">
        <v>37526</v>
      </c>
      <c r="HTE2">
        <v>37525</v>
      </c>
      <c r="HTF2">
        <v>37524</v>
      </c>
      <c r="HTG2">
        <v>37523</v>
      </c>
      <c r="HTH2">
        <v>37522</v>
      </c>
      <c r="HTI2">
        <v>37519</v>
      </c>
      <c r="HTJ2">
        <v>37518</v>
      </c>
      <c r="HTK2">
        <v>37517</v>
      </c>
      <c r="HTL2">
        <v>37516</v>
      </c>
      <c r="HTM2">
        <v>37515</v>
      </c>
      <c r="HTN2">
        <v>37512</v>
      </c>
      <c r="HTO2">
        <v>37511</v>
      </c>
      <c r="HTP2">
        <v>37510</v>
      </c>
      <c r="HTQ2">
        <v>37509</v>
      </c>
      <c r="HTR2">
        <v>37508</v>
      </c>
      <c r="HTS2">
        <v>37505</v>
      </c>
      <c r="HTT2">
        <v>37504</v>
      </c>
      <c r="HTU2">
        <v>37503</v>
      </c>
      <c r="HTV2">
        <v>37502</v>
      </c>
      <c r="HTW2">
        <v>37501</v>
      </c>
      <c r="HTX2">
        <v>37498</v>
      </c>
      <c r="HTY2">
        <v>37497</v>
      </c>
      <c r="HTZ2">
        <v>37496</v>
      </c>
      <c r="HUA2">
        <v>37495</v>
      </c>
      <c r="HUB2">
        <v>37494</v>
      </c>
      <c r="HUC2">
        <v>37491</v>
      </c>
      <c r="HUD2">
        <v>37490</v>
      </c>
      <c r="HUE2">
        <v>37489</v>
      </c>
      <c r="HUF2">
        <v>37488</v>
      </c>
      <c r="HUG2">
        <v>37487</v>
      </c>
      <c r="HUH2">
        <v>37484</v>
      </c>
      <c r="HUI2">
        <v>37483</v>
      </c>
      <c r="HUJ2">
        <v>37482</v>
      </c>
      <c r="HUK2">
        <v>37481</v>
      </c>
      <c r="HUL2">
        <v>37480</v>
      </c>
      <c r="HUM2">
        <v>37477</v>
      </c>
      <c r="HUN2">
        <v>37476</v>
      </c>
      <c r="HUO2">
        <v>37475</v>
      </c>
      <c r="HUP2">
        <v>37474</v>
      </c>
      <c r="HUQ2">
        <v>37473</v>
      </c>
      <c r="HUR2">
        <v>37470</v>
      </c>
      <c r="HUS2">
        <v>37469</v>
      </c>
      <c r="HUT2">
        <v>37468</v>
      </c>
      <c r="HUU2">
        <v>37467</v>
      </c>
      <c r="HUV2">
        <v>37466</v>
      </c>
      <c r="HUW2">
        <v>37463</v>
      </c>
      <c r="HUX2">
        <v>37462</v>
      </c>
      <c r="HUY2">
        <v>37461</v>
      </c>
      <c r="HUZ2">
        <v>37460</v>
      </c>
      <c r="HVA2">
        <v>37459</v>
      </c>
      <c r="HVB2">
        <v>37456</v>
      </c>
      <c r="HVC2">
        <v>37455</v>
      </c>
      <c r="HVD2">
        <v>37454</v>
      </c>
      <c r="HVE2">
        <v>37453</v>
      </c>
      <c r="HVF2">
        <v>37452</v>
      </c>
      <c r="HVG2">
        <v>37449</v>
      </c>
      <c r="HVH2">
        <v>37448</v>
      </c>
      <c r="HVI2">
        <v>37447</v>
      </c>
      <c r="HVJ2">
        <v>37446</v>
      </c>
      <c r="HVK2">
        <v>37445</v>
      </c>
      <c r="HVL2">
        <v>37442</v>
      </c>
      <c r="HVM2">
        <v>37441</v>
      </c>
      <c r="HVN2">
        <v>37440</v>
      </c>
      <c r="HVO2">
        <v>37439</v>
      </c>
      <c r="HVP2">
        <v>37438</v>
      </c>
      <c r="HVQ2">
        <v>37435</v>
      </c>
      <c r="HVR2">
        <v>37434</v>
      </c>
      <c r="HVS2">
        <v>37433</v>
      </c>
      <c r="HVT2">
        <v>37432</v>
      </c>
      <c r="HVU2">
        <v>37431</v>
      </c>
      <c r="HVV2">
        <v>37428</v>
      </c>
      <c r="HVW2">
        <v>37427</v>
      </c>
      <c r="HVX2">
        <v>37426</v>
      </c>
      <c r="HVY2">
        <v>37425</v>
      </c>
      <c r="HVZ2">
        <v>37424</v>
      </c>
      <c r="HWA2">
        <v>37421</v>
      </c>
      <c r="HWB2">
        <v>37420</v>
      </c>
      <c r="HWC2">
        <v>37419</v>
      </c>
      <c r="HWD2">
        <v>37418</v>
      </c>
      <c r="HWE2">
        <v>37417</v>
      </c>
      <c r="HWF2">
        <v>37414</v>
      </c>
      <c r="HWG2">
        <v>37413</v>
      </c>
      <c r="HWH2">
        <v>37412</v>
      </c>
      <c r="HWI2">
        <v>37411</v>
      </c>
      <c r="HWJ2">
        <v>37410</v>
      </c>
      <c r="HWK2">
        <v>37407</v>
      </c>
      <c r="HWL2">
        <v>37406</v>
      </c>
      <c r="HWM2">
        <v>37405</v>
      </c>
      <c r="HWN2">
        <v>37404</v>
      </c>
      <c r="HWO2">
        <v>37403</v>
      </c>
      <c r="HWP2">
        <v>37400</v>
      </c>
      <c r="HWQ2">
        <v>37399</v>
      </c>
      <c r="HWR2">
        <v>37398</v>
      </c>
      <c r="HWS2">
        <v>37397</v>
      </c>
      <c r="HWT2">
        <v>37396</v>
      </c>
      <c r="HWU2">
        <v>37393</v>
      </c>
      <c r="HWV2">
        <v>37392</v>
      </c>
      <c r="HWW2">
        <v>37391</v>
      </c>
      <c r="HWX2">
        <v>37390</v>
      </c>
      <c r="HWY2">
        <v>37389</v>
      </c>
      <c r="HWZ2">
        <v>37386</v>
      </c>
      <c r="HXA2">
        <v>37385</v>
      </c>
      <c r="HXB2">
        <v>37384</v>
      </c>
      <c r="HXC2">
        <v>37383</v>
      </c>
      <c r="HXD2">
        <v>37382</v>
      </c>
      <c r="HXE2">
        <v>37379</v>
      </c>
      <c r="HXF2">
        <v>37378</v>
      </c>
      <c r="HXG2">
        <v>37377</v>
      </c>
      <c r="HXH2">
        <v>37376</v>
      </c>
      <c r="HXI2">
        <v>37375</v>
      </c>
      <c r="HXJ2">
        <v>37372</v>
      </c>
      <c r="HXK2">
        <v>37371</v>
      </c>
      <c r="HXL2">
        <v>37370</v>
      </c>
      <c r="HXM2">
        <v>37369</v>
      </c>
      <c r="HXN2">
        <v>37368</v>
      </c>
      <c r="HXO2">
        <v>37365</v>
      </c>
      <c r="HXP2">
        <v>37364</v>
      </c>
      <c r="HXQ2">
        <v>37363</v>
      </c>
      <c r="HXR2">
        <v>37362</v>
      </c>
      <c r="HXS2">
        <v>37361</v>
      </c>
      <c r="HXT2">
        <v>37358</v>
      </c>
      <c r="HXU2">
        <v>37357</v>
      </c>
      <c r="HXV2">
        <v>37356</v>
      </c>
      <c r="HXW2">
        <v>37355</v>
      </c>
      <c r="HXX2">
        <v>37354</v>
      </c>
      <c r="HXY2">
        <v>37351</v>
      </c>
      <c r="HXZ2">
        <v>37350</v>
      </c>
      <c r="HYA2">
        <v>37349</v>
      </c>
      <c r="HYB2">
        <v>37348</v>
      </c>
      <c r="HYC2">
        <v>37347</v>
      </c>
      <c r="HYD2">
        <v>37344</v>
      </c>
      <c r="HYE2">
        <v>37343</v>
      </c>
      <c r="HYF2">
        <v>37342</v>
      </c>
      <c r="HYG2">
        <v>37341</v>
      </c>
      <c r="HYH2">
        <v>37340</v>
      </c>
      <c r="HYI2">
        <v>37337</v>
      </c>
      <c r="HYJ2">
        <v>37336</v>
      </c>
      <c r="HYK2">
        <v>37335</v>
      </c>
      <c r="HYL2">
        <v>37334</v>
      </c>
      <c r="HYM2">
        <v>37333</v>
      </c>
      <c r="HYN2">
        <v>37330</v>
      </c>
      <c r="HYO2">
        <v>37329</v>
      </c>
      <c r="HYP2">
        <v>37328</v>
      </c>
      <c r="HYQ2">
        <v>37327</v>
      </c>
      <c r="HYR2">
        <v>37326</v>
      </c>
      <c r="HYS2">
        <v>37323</v>
      </c>
      <c r="HYT2">
        <v>37322</v>
      </c>
      <c r="HYU2">
        <v>37321</v>
      </c>
      <c r="HYV2">
        <v>37320</v>
      </c>
      <c r="HYW2">
        <v>37319</v>
      </c>
      <c r="HYX2">
        <v>37316</v>
      </c>
      <c r="HYY2">
        <v>37315</v>
      </c>
      <c r="HYZ2">
        <v>37314</v>
      </c>
      <c r="HZA2">
        <v>37313</v>
      </c>
      <c r="HZB2">
        <v>37312</v>
      </c>
      <c r="HZC2">
        <v>37309</v>
      </c>
      <c r="HZD2">
        <v>37308</v>
      </c>
      <c r="HZE2">
        <v>37307</v>
      </c>
      <c r="HZF2">
        <v>37306</v>
      </c>
      <c r="HZG2">
        <v>37305</v>
      </c>
      <c r="HZH2">
        <v>37302</v>
      </c>
      <c r="HZI2">
        <v>37301</v>
      </c>
      <c r="HZJ2">
        <v>37300</v>
      </c>
      <c r="HZK2">
        <v>37299</v>
      </c>
      <c r="HZL2">
        <v>37298</v>
      </c>
      <c r="HZM2">
        <v>37295</v>
      </c>
      <c r="HZN2">
        <v>37294</v>
      </c>
      <c r="HZO2">
        <v>37293</v>
      </c>
      <c r="HZP2">
        <v>37292</v>
      </c>
      <c r="HZQ2">
        <v>37291</v>
      </c>
      <c r="HZR2">
        <v>37288</v>
      </c>
      <c r="HZS2">
        <v>37287</v>
      </c>
      <c r="HZT2">
        <v>37286</v>
      </c>
      <c r="HZU2">
        <v>37285</v>
      </c>
      <c r="HZV2">
        <v>37284</v>
      </c>
      <c r="HZW2">
        <v>37281</v>
      </c>
      <c r="HZX2">
        <v>37280</v>
      </c>
      <c r="HZY2">
        <v>37279</v>
      </c>
      <c r="HZZ2">
        <v>37278</v>
      </c>
      <c r="IAA2">
        <v>37277</v>
      </c>
      <c r="IAB2">
        <v>37274</v>
      </c>
      <c r="IAC2">
        <v>37273</v>
      </c>
      <c r="IAD2">
        <v>37272</v>
      </c>
      <c r="IAE2">
        <v>37271</v>
      </c>
      <c r="IAF2">
        <v>37270</v>
      </c>
      <c r="IAG2">
        <v>37267</v>
      </c>
      <c r="IAH2">
        <v>37266</v>
      </c>
      <c r="IAI2">
        <v>37265</v>
      </c>
      <c r="IAJ2">
        <v>37264</v>
      </c>
      <c r="IAK2">
        <v>37263</v>
      </c>
      <c r="IAL2">
        <v>37260</v>
      </c>
      <c r="IAM2">
        <v>37259</v>
      </c>
      <c r="IAN2">
        <v>37258</v>
      </c>
      <c r="IAO2">
        <v>37257</v>
      </c>
      <c r="IAP2">
        <v>37256</v>
      </c>
      <c r="IAQ2">
        <v>37253</v>
      </c>
      <c r="IAR2">
        <v>37252</v>
      </c>
      <c r="IAS2">
        <v>37251</v>
      </c>
      <c r="IAT2">
        <v>37250</v>
      </c>
      <c r="IAU2">
        <v>37249</v>
      </c>
      <c r="IAV2">
        <v>37246</v>
      </c>
      <c r="IAW2">
        <v>37245</v>
      </c>
      <c r="IAX2">
        <v>37244</v>
      </c>
      <c r="IAY2">
        <v>37243</v>
      </c>
      <c r="IAZ2">
        <v>37242</v>
      </c>
      <c r="IBA2">
        <v>37239</v>
      </c>
      <c r="IBB2">
        <v>37238</v>
      </c>
      <c r="IBC2">
        <v>37237</v>
      </c>
      <c r="IBD2">
        <v>37236</v>
      </c>
      <c r="IBE2">
        <v>37235</v>
      </c>
      <c r="IBF2">
        <v>37232</v>
      </c>
      <c r="IBG2">
        <v>37231</v>
      </c>
      <c r="IBH2">
        <v>37230</v>
      </c>
      <c r="IBI2">
        <v>37229</v>
      </c>
      <c r="IBJ2">
        <v>37228</v>
      </c>
      <c r="IBK2">
        <v>37225</v>
      </c>
      <c r="IBL2">
        <v>37224</v>
      </c>
      <c r="IBM2">
        <v>37223</v>
      </c>
      <c r="IBN2">
        <v>37222</v>
      </c>
      <c r="IBO2">
        <v>37221</v>
      </c>
      <c r="IBP2">
        <v>37218</v>
      </c>
      <c r="IBQ2">
        <v>37217</v>
      </c>
      <c r="IBR2">
        <v>37216</v>
      </c>
      <c r="IBS2">
        <v>37215</v>
      </c>
      <c r="IBT2">
        <v>37214</v>
      </c>
      <c r="IBU2">
        <v>37211</v>
      </c>
      <c r="IBV2">
        <v>37210</v>
      </c>
      <c r="IBW2">
        <v>37209</v>
      </c>
      <c r="IBX2">
        <v>37208</v>
      </c>
      <c r="IBY2">
        <v>37207</v>
      </c>
      <c r="IBZ2">
        <v>37204</v>
      </c>
      <c r="ICA2">
        <v>37203</v>
      </c>
      <c r="ICB2">
        <v>37202</v>
      </c>
      <c r="ICC2">
        <v>37201</v>
      </c>
      <c r="ICD2">
        <v>37200</v>
      </c>
      <c r="ICE2">
        <v>37197</v>
      </c>
      <c r="ICF2">
        <v>37196</v>
      </c>
      <c r="ICG2">
        <v>37195</v>
      </c>
      <c r="ICH2">
        <v>37194</v>
      </c>
      <c r="ICI2">
        <v>37193</v>
      </c>
      <c r="ICJ2">
        <v>37190</v>
      </c>
      <c r="ICK2">
        <v>37189</v>
      </c>
      <c r="ICL2">
        <v>37188</v>
      </c>
      <c r="ICM2">
        <v>37187</v>
      </c>
      <c r="ICN2">
        <v>37186</v>
      </c>
      <c r="ICO2">
        <v>37183</v>
      </c>
      <c r="ICP2">
        <v>37182</v>
      </c>
      <c r="ICQ2">
        <v>37181</v>
      </c>
      <c r="ICR2">
        <v>37180</v>
      </c>
      <c r="ICS2">
        <v>37179</v>
      </c>
      <c r="ICT2">
        <v>37176</v>
      </c>
      <c r="ICU2">
        <v>37175</v>
      </c>
      <c r="ICV2">
        <v>37174</v>
      </c>
      <c r="ICW2">
        <v>37173</v>
      </c>
      <c r="ICX2">
        <v>37172</v>
      </c>
      <c r="ICY2">
        <v>37169</v>
      </c>
      <c r="ICZ2">
        <v>37168</v>
      </c>
      <c r="IDA2">
        <v>37167</v>
      </c>
      <c r="IDB2">
        <v>37166</v>
      </c>
      <c r="IDC2">
        <v>37165</v>
      </c>
      <c r="IDD2">
        <v>37162</v>
      </c>
      <c r="IDE2">
        <v>37161</v>
      </c>
      <c r="IDF2">
        <v>37160</v>
      </c>
      <c r="IDG2">
        <v>37159</v>
      </c>
      <c r="IDH2">
        <v>37158</v>
      </c>
      <c r="IDI2">
        <v>37155</v>
      </c>
      <c r="IDJ2">
        <v>37154</v>
      </c>
      <c r="IDK2">
        <v>37153</v>
      </c>
      <c r="IDL2">
        <v>37152</v>
      </c>
      <c r="IDM2">
        <v>37151</v>
      </c>
      <c r="IDN2">
        <v>37148</v>
      </c>
      <c r="IDO2">
        <v>37147</v>
      </c>
      <c r="IDP2">
        <v>37146</v>
      </c>
      <c r="IDQ2">
        <v>37145</v>
      </c>
      <c r="IDR2">
        <v>37144</v>
      </c>
      <c r="IDS2">
        <v>37141</v>
      </c>
      <c r="IDT2">
        <v>37140</v>
      </c>
      <c r="IDU2">
        <v>37139</v>
      </c>
      <c r="IDV2">
        <v>37138</v>
      </c>
      <c r="IDW2">
        <v>37137</v>
      </c>
      <c r="IDX2">
        <v>37134</v>
      </c>
      <c r="IDY2">
        <v>37133</v>
      </c>
      <c r="IDZ2">
        <v>37132</v>
      </c>
      <c r="IEA2">
        <v>37131</v>
      </c>
      <c r="IEB2">
        <v>37130</v>
      </c>
      <c r="IEC2">
        <v>37127</v>
      </c>
      <c r="IED2">
        <v>37126</v>
      </c>
      <c r="IEE2">
        <v>37125</v>
      </c>
      <c r="IEF2">
        <v>37124</v>
      </c>
      <c r="IEG2">
        <v>37123</v>
      </c>
      <c r="IEH2">
        <v>37120</v>
      </c>
      <c r="IEI2">
        <v>37119</v>
      </c>
      <c r="IEJ2">
        <v>37118</v>
      </c>
      <c r="IEK2">
        <v>37117</v>
      </c>
      <c r="IEL2">
        <v>37116</v>
      </c>
      <c r="IEM2">
        <v>37113</v>
      </c>
      <c r="IEN2">
        <v>37112</v>
      </c>
      <c r="IEO2">
        <v>37111</v>
      </c>
      <c r="IEP2">
        <v>37110</v>
      </c>
      <c r="IEQ2">
        <v>37109</v>
      </c>
      <c r="IER2">
        <v>37106</v>
      </c>
      <c r="IES2">
        <v>37105</v>
      </c>
      <c r="IET2">
        <v>37104</v>
      </c>
      <c r="IEU2">
        <v>37103</v>
      </c>
      <c r="IEV2">
        <v>37102</v>
      </c>
      <c r="IEW2">
        <v>37099</v>
      </c>
      <c r="IEX2">
        <v>37098</v>
      </c>
      <c r="IEY2">
        <v>37097</v>
      </c>
      <c r="IEZ2">
        <v>37096</v>
      </c>
      <c r="IFA2">
        <v>37095</v>
      </c>
      <c r="IFB2">
        <v>37092</v>
      </c>
      <c r="IFC2">
        <v>37091</v>
      </c>
      <c r="IFD2">
        <v>37090</v>
      </c>
      <c r="IFE2">
        <v>37089</v>
      </c>
      <c r="IFF2">
        <v>37088</v>
      </c>
      <c r="IFG2">
        <v>37085</v>
      </c>
      <c r="IFH2">
        <v>37084</v>
      </c>
      <c r="IFI2">
        <v>37083</v>
      </c>
      <c r="IFJ2">
        <v>37082</v>
      </c>
      <c r="IFK2">
        <v>37081</v>
      </c>
      <c r="IFL2">
        <v>37078</v>
      </c>
      <c r="IFM2">
        <v>37077</v>
      </c>
      <c r="IFN2">
        <v>37076</v>
      </c>
      <c r="IFO2">
        <v>37075</v>
      </c>
      <c r="IFP2">
        <v>37074</v>
      </c>
      <c r="IFQ2">
        <v>37071</v>
      </c>
      <c r="IFR2">
        <v>37070</v>
      </c>
      <c r="IFS2">
        <v>37069</v>
      </c>
      <c r="IFT2">
        <v>37068</v>
      </c>
      <c r="IFU2">
        <v>37067</v>
      </c>
      <c r="IFV2">
        <v>37064</v>
      </c>
      <c r="IFW2">
        <v>37063</v>
      </c>
      <c r="IFX2">
        <v>37062</v>
      </c>
      <c r="IFY2">
        <v>37061</v>
      </c>
      <c r="IFZ2">
        <v>37060</v>
      </c>
      <c r="IGA2">
        <v>37057</v>
      </c>
      <c r="IGB2">
        <v>37056</v>
      </c>
      <c r="IGC2">
        <v>37055</v>
      </c>
      <c r="IGD2">
        <v>37054</v>
      </c>
      <c r="IGE2">
        <v>37053</v>
      </c>
      <c r="IGF2">
        <v>37050</v>
      </c>
      <c r="IGG2">
        <v>37049</v>
      </c>
      <c r="IGH2">
        <v>37048</v>
      </c>
      <c r="IGI2">
        <v>37047</v>
      </c>
      <c r="IGJ2">
        <v>37046</v>
      </c>
      <c r="IGK2">
        <v>37043</v>
      </c>
      <c r="IGL2">
        <v>37042</v>
      </c>
      <c r="IGM2">
        <v>37041</v>
      </c>
      <c r="IGN2">
        <v>37040</v>
      </c>
      <c r="IGO2">
        <v>37039</v>
      </c>
      <c r="IGP2">
        <v>37036</v>
      </c>
      <c r="IGQ2">
        <v>37035</v>
      </c>
      <c r="IGR2">
        <v>37034</v>
      </c>
      <c r="IGS2">
        <v>37033</v>
      </c>
      <c r="IGT2">
        <v>37032</v>
      </c>
      <c r="IGU2">
        <v>37029</v>
      </c>
      <c r="IGV2">
        <v>37028</v>
      </c>
      <c r="IGW2">
        <v>37027</v>
      </c>
      <c r="IGX2">
        <v>37026</v>
      </c>
      <c r="IGY2">
        <v>37025</v>
      </c>
      <c r="IGZ2">
        <v>37022</v>
      </c>
      <c r="IHA2">
        <v>37021</v>
      </c>
      <c r="IHB2">
        <v>37020</v>
      </c>
      <c r="IHC2">
        <v>37019</v>
      </c>
      <c r="IHD2">
        <v>37018</v>
      </c>
      <c r="IHE2">
        <v>37015</v>
      </c>
      <c r="IHF2">
        <v>37014</v>
      </c>
      <c r="IHG2">
        <v>37013</v>
      </c>
      <c r="IHH2">
        <v>37012</v>
      </c>
      <c r="IHI2">
        <v>37011</v>
      </c>
      <c r="IHJ2">
        <v>37008</v>
      </c>
      <c r="IHK2">
        <v>37007</v>
      </c>
      <c r="IHL2">
        <v>37006</v>
      </c>
      <c r="IHM2">
        <v>37005</v>
      </c>
      <c r="IHN2">
        <v>37004</v>
      </c>
      <c r="IHO2">
        <v>37001</v>
      </c>
      <c r="IHP2">
        <v>37000</v>
      </c>
      <c r="IHQ2">
        <v>36999</v>
      </c>
      <c r="IHR2">
        <v>36998</v>
      </c>
      <c r="IHS2">
        <v>36997</v>
      </c>
      <c r="IHT2">
        <v>36994</v>
      </c>
      <c r="IHU2">
        <v>36993</v>
      </c>
      <c r="IHV2">
        <v>36992</v>
      </c>
      <c r="IHW2">
        <v>36991</v>
      </c>
      <c r="IHX2">
        <v>36990</v>
      </c>
      <c r="IHY2">
        <v>36987</v>
      </c>
      <c r="IHZ2">
        <v>36986</v>
      </c>
      <c r="IIA2">
        <v>36985</v>
      </c>
      <c r="IIB2">
        <v>36984</v>
      </c>
      <c r="IIC2">
        <v>36983</v>
      </c>
      <c r="IID2">
        <v>36980</v>
      </c>
      <c r="IIE2">
        <v>36979</v>
      </c>
      <c r="IIF2">
        <v>36978</v>
      </c>
      <c r="IIG2">
        <v>36977</v>
      </c>
      <c r="IIH2">
        <v>36976</v>
      </c>
      <c r="III2">
        <v>36973</v>
      </c>
      <c r="IIJ2">
        <v>36972</v>
      </c>
      <c r="IIK2">
        <v>36971</v>
      </c>
      <c r="IIL2">
        <v>36970</v>
      </c>
      <c r="IIM2">
        <v>36969</v>
      </c>
      <c r="IIN2">
        <v>36966</v>
      </c>
      <c r="IIO2">
        <v>36965</v>
      </c>
      <c r="IIP2">
        <v>36964</v>
      </c>
      <c r="IIQ2">
        <v>36963</v>
      </c>
      <c r="IIR2">
        <v>36962</v>
      </c>
      <c r="IIS2">
        <v>36959</v>
      </c>
      <c r="IIT2">
        <v>36958</v>
      </c>
      <c r="IIU2">
        <v>36957</v>
      </c>
      <c r="IIV2">
        <v>36956</v>
      </c>
      <c r="IIW2">
        <v>36955</v>
      </c>
      <c r="IIX2">
        <v>36952</v>
      </c>
      <c r="IIY2">
        <v>36951</v>
      </c>
      <c r="IIZ2">
        <v>36950</v>
      </c>
      <c r="IJA2">
        <v>36949</v>
      </c>
      <c r="IJB2">
        <v>36948</v>
      </c>
      <c r="IJC2">
        <v>36945</v>
      </c>
      <c r="IJD2">
        <v>36944</v>
      </c>
      <c r="IJE2">
        <v>36943</v>
      </c>
      <c r="IJF2">
        <v>36942</v>
      </c>
      <c r="IJG2">
        <v>36941</v>
      </c>
      <c r="IJH2">
        <v>36938</v>
      </c>
      <c r="IJI2">
        <v>36937</v>
      </c>
      <c r="IJJ2">
        <v>36936</v>
      </c>
      <c r="IJK2">
        <v>36935</v>
      </c>
      <c r="IJL2">
        <v>36934</v>
      </c>
      <c r="IJM2">
        <v>36931</v>
      </c>
      <c r="IJN2">
        <v>36930</v>
      </c>
      <c r="IJO2">
        <v>36929</v>
      </c>
      <c r="IJP2">
        <v>36928</v>
      </c>
      <c r="IJQ2">
        <v>36927</v>
      </c>
      <c r="IJR2">
        <v>36924</v>
      </c>
      <c r="IJS2">
        <v>36923</v>
      </c>
      <c r="IJT2">
        <v>36922</v>
      </c>
      <c r="IJU2">
        <v>36921</v>
      </c>
      <c r="IJV2">
        <v>36920</v>
      </c>
      <c r="IJW2">
        <v>36917</v>
      </c>
      <c r="IJX2">
        <v>36916</v>
      </c>
      <c r="IJY2">
        <v>36915</v>
      </c>
      <c r="IJZ2">
        <v>36914</v>
      </c>
      <c r="IKA2">
        <v>36913</v>
      </c>
      <c r="IKB2">
        <v>36910</v>
      </c>
      <c r="IKC2">
        <v>36909</v>
      </c>
      <c r="IKD2">
        <v>36908</v>
      </c>
      <c r="IKE2">
        <v>36907</v>
      </c>
      <c r="IKF2">
        <v>36906</v>
      </c>
      <c r="IKG2">
        <v>36903</v>
      </c>
      <c r="IKH2">
        <v>36902</v>
      </c>
      <c r="IKI2">
        <v>36901</v>
      </c>
      <c r="IKJ2">
        <v>36900</v>
      </c>
      <c r="IKK2">
        <v>36899</v>
      </c>
      <c r="IKL2">
        <v>36896</v>
      </c>
      <c r="IKM2">
        <v>36895</v>
      </c>
      <c r="IKN2">
        <v>36894</v>
      </c>
      <c r="IKO2">
        <v>36893</v>
      </c>
      <c r="IKP2">
        <v>36892</v>
      </c>
      <c r="IKQ2">
        <v>36889</v>
      </c>
      <c r="IKR2">
        <v>36888</v>
      </c>
      <c r="IKS2">
        <v>36887</v>
      </c>
      <c r="IKT2">
        <v>36886</v>
      </c>
      <c r="IKU2">
        <v>36885</v>
      </c>
      <c r="IKV2">
        <v>36882</v>
      </c>
      <c r="IKW2">
        <v>36881</v>
      </c>
      <c r="IKX2">
        <v>36880</v>
      </c>
      <c r="IKY2">
        <v>36879</v>
      </c>
      <c r="IKZ2">
        <v>36878</v>
      </c>
      <c r="ILA2">
        <v>36875</v>
      </c>
      <c r="ILB2">
        <v>36874</v>
      </c>
      <c r="ILC2">
        <v>36873</v>
      </c>
      <c r="ILD2">
        <v>36872</v>
      </c>
      <c r="ILE2">
        <v>36871</v>
      </c>
      <c r="ILF2">
        <v>36868</v>
      </c>
      <c r="ILG2">
        <v>36867</v>
      </c>
      <c r="ILH2">
        <v>36866</v>
      </c>
      <c r="ILI2">
        <v>36865</v>
      </c>
      <c r="ILJ2">
        <v>36864</v>
      </c>
      <c r="ILK2">
        <v>36861</v>
      </c>
      <c r="ILL2">
        <v>36860</v>
      </c>
      <c r="ILM2">
        <v>36859</v>
      </c>
      <c r="ILN2">
        <v>36858</v>
      </c>
      <c r="ILO2">
        <v>36857</v>
      </c>
      <c r="ILP2">
        <v>36854</v>
      </c>
      <c r="ILQ2">
        <v>36853</v>
      </c>
      <c r="ILR2">
        <v>36852</v>
      </c>
      <c r="ILS2">
        <v>36851</v>
      </c>
      <c r="ILT2">
        <v>36850</v>
      </c>
      <c r="ILU2">
        <v>36847</v>
      </c>
      <c r="ILV2">
        <v>36846</v>
      </c>
      <c r="ILW2">
        <v>36845</v>
      </c>
      <c r="ILX2">
        <v>36844</v>
      </c>
      <c r="ILY2">
        <v>36843</v>
      </c>
      <c r="ILZ2">
        <v>36840</v>
      </c>
      <c r="IMA2">
        <v>36839</v>
      </c>
      <c r="IMB2">
        <v>36838</v>
      </c>
      <c r="IMC2">
        <v>36837</v>
      </c>
      <c r="IMD2">
        <v>36836</v>
      </c>
      <c r="IME2">
        <v>36833</v>
      </c>
      <c r="IMF2">
        <v>36832</v>
      </c>
      <c r="IMG2">
        <v>36831</v>
      </c>
      <c r="IMH2">
        <v>36830</v>
      </c>
      <c r="IMI2">
        <v>36829</v>
      </c>
      <c r="IMJ2">
        <v>36826</v>
      </c>
      <c r="IMK2">
        <v>36825</v>
      </c>
      <c r="IML2">
        <v>36824</v>
      </c>
      <c r="IMM2">
        <v>36823</v>
      </c>
      <c r="IMN2">
        <v>36822</v>
      </c>
      <c r="IMO2">
        <v>36819</v>
      </c>
      <c r="IMP2">
        <v>36818</v>
      </c>
      <c r="IMQ2">
        <v>36817</v>
      </c>
      <c r="IMR2">
        <v>36816</v>
      </c>
      <c r="IMS2">
        <v>36815</v>
      </c>
      <c r="IMT2">
        <v>36812</v>
      </c>
      <c r="IMU2">
        <v>36811</v>
      </c>
      <c r="IMV2">
        <v>36810</v>
      </c>
      <c r="IMW2">
        <v>36809</v>
      </c>
      <c r="IMX2">
        <v>36808</v>
      </c>
      <c r="IMY2">
        <v>36805</v>
      </c>
      <c r="IMZ2">
        <v>36804</v>
      </c>
      <c r="INA2">
        <v>36803</v>
      </c>
      <c r="INB2">
        <v>36802</v>
      </c>
      <c r="INC2">
        <v>36801</v>
      </c>
      <c r="IND2">
        <v>36798</v>
      </c>
      <c r="INE2">
        <v>36797</v>
      </c>
      <c r="INF2">
        <v>36796</v>
      </c>
      <c r="ING2">
        <v>36795</v>
      </c>
      <c r="INH2">
        <v>36794</v>
      </c>
      <c r="INI2">
        <v>36791</v>
      </c>
      <c r="INJ2">
        <v>36790</v>
      </c>
      <c r="INK2">
        <v>36789</v>
      </c>
      <c r="INL2">
        <v>36788</v>
      </c>
      <c r="INM2">
        <v>36787</v>
      </c>
      <c r="INN2">
        <v>36784</v>
      </c>
      <c r="INO2">
        <v>36783</v>
      </c>
      <c r="INP2">
        <v>36782</v>
      </c>
      <c r="INQ2">
        <v>36781</v>
      </c>
      <c r="INR2">
        <v>36780</v>
      </c>
      <c r="INS2">
        <v>36777</v>
      </c>
      <c r="INT2">
        <v>36776</v>
      </c>
      <c r="INU2">
        <v>36775</v>
      </c>
      <c r="INV2">
        <v>36774</v>
      </c>
      <c r="INW2">
        <v>36773</v>
      </c>
      <c r="INX2">
        <v>36770</v>
      </c>
      <c r="INY2">
        <v>36769</v>
      </c>
      <c r="INZ2">
        <v>36768</v>
      </c>
      <c r="IOA2">
        <v>36767</v>
      </c>
      <c r="IOB2">
        <v>36766</v>
      </c>
      <c r="IOC2">
        <v>36763</v>
      </c>
      <c r="IOD2">
        <v>36762</v>
      </c>
      <c r="IOE2">
        <v>36761</v>
      </c>
      <c r="IOF2">
        <v>36760</v>
      </c>
      <c r="IOG2">
        <v>36759</v>
      </c>
      <c r="IOH2">
        <v>36756</v>
      </c>
      <c r="IOI2">
        <v>36755</v>
      </c>
      <c r="IOJ2">
        <v>36754</v>
      </c>
      <c r="IOK2">
        <v>36753</v>
      </c>
      <c r="IOL2">
        <v>36752</v>
      </c>
      <c r="IOM2">
        <v>36749</v>
      </c>
      <c r="ION2">
        <v>36748</v>
      </c>
      <c r="IOO2">
        <v>36747</v>
      </c>
      <c r="IOP2">
        <v>36746</v>
      </c>
      <c r="IOQ2">
        <v>36745</v>
      </c>
      <c r="IOR2">
        <v>36742</v>
      </c>
      <c r="IOS2">
        <v>36741</v>
      </c>
      <c r="IOT2">
        <v>36740</v>
      </c>
      <c r="IOU2">
        <v>36739</v>
      </c>
      <c r="IOV2">
        <v>36738</v>
      </c>
      <c r="IOW2">
        <v>36735</v>
      </c>
      <c r="IOX2">
        <v>36734</v>
      </c>
      <c r="IOY2">
        <v>36733</v>
      </c>
      <c r="IOZ2">
        <v>36732</v>
      </c>
      <c r="IPA2">
        <v>36731</v>
      </c>
      <c r="IPB2">
        <v>36728</v>
      </c>
      <c r="IPC2">
        <v>36727</v>
      </c>
      <c r="IPD2">
        <v>36726</v>
      </c>
      <c r="IPE2">
        <v>36725</v>
      </c>
      <c r="IPF2">
        <v>36724</v>
      </c>
      <c r="IPG2">
        <v>36721</v>
      </c>
      <c r="IPH2">
        <v>36720</v>
      </c>
      <c r="IPI2">
        <v>36719</v>
      </c>
      <c r="IPJ2">
        <v>36718</v>
      </c>
      <c r="IPK2">
        <v>36717</v>
      </c>
      <c r="IPL2">
        <v>36714</v>
      </c>
      <c r="IPM2">
        <v>36713</v>
      </c>
      <c r="IPN2">
        <v>36712</v>
      </c>
      <c r="IPO2">
        <v>36711</v>
      </c>
      <c r="IPP2">
        <v>36710</v>
      </c>
      <c r="IPQ2">
        <v>36707</v>
      </c>
      <c r="IPR2">
        <v>36706</v>
      </c>
      <c r="IPS2">
        <v>36705</v>
      </c>
      <c r="IPT2">
        <v>36704</v>
      </c>
      <c r="IPU2">
        <v>36703</v>
      </c>
      <c r="IPV2">
        <v>36700</v>
      </c>
      <c r="IPW2">
        <v>36699</v>
      </c>
      <c r="IPX2">
        <v>36698</v>
      </c>
      <c r="IPY2">
        <v>36697</v>
      </c>
      <c r="IPZ2">
        <v>36696</v>
      </c>
      <c r="IQA2">
        <v>36693</v>
      </c>
      <c r="IQB2">
        <v>36692</v>
      </c>
      <c r="IQC2">
        <v>36691</v>
      </c>
      <c r="IQD2">
        <v>36690</v>
      </c>
      <c r="IQE2">
        <v>36689</v>
      </c>
      <c r="IQF2">
        <v>36686</v>
      </c>
      <c r="IQG2">
        <v>36685</v>
      </c>
      <c r="IQH2">
        <v>36684</v>
      </c>
      <c r="IQI2">
        <v>36683</v>
      </c>
      <c r="IQJ2">
        <v>36682</v>
      </c>
      <c r="IQK2">
        <v>36679</v>
      </c>
      <c r="IQL2">
        <v>36678</v>
      </c>
      <c r="IQM2">
        <v>36677</v>
      </c>
      <c r="IQN2">
        <v>36676</v>
      </c>
      <c r="IQO2">
        <v>36675</v>
      </c>
      <c r="IQP2">
        <v>36672</v>
      </c>
      <c r="IQQ2">
        <v>36671</v>
      </c>
      <c r="IQR2">
        <v>36670</v>
      </c>
      <c r="IQS2">
        <v>36669</v>
      </c>
      <c r="IQT2">
        <v>36668</v>
      </c>
      <c r="IQU2">
        <v>36665</v>
      </c>
      <c r="IQV2">
        <v>36664</v>
      </c>
      <c r="IQW2">
        <v>36663</v>
      </c>
      <c r="IQX2">
        <v>36662</v>
      </c>
      <c r="IQY2">
        <v>36661</v>
      </c>
      <c r="IQZ2">
        <v>36658</v>
      </c>
      <c r="IRA2">
        <v>36657</v>
      </c>
      <c r="IRB2">
        <v>36656</v>
      </c>
      <c r="IRC2">
        <v>36655</v>
      </c>
      <c r="IRD2">
        <v>36654</v>
      </c>
      <c r="IRE2">
        <v>36651</v>
      </c>
      <c r="IRF2">
        <v>36650</v>
      </c>
      <c r="IRG2">
        <v>36649</v>
      </c>
      <c r="IRH2">
        <v>36648</v>
      </c>
      <c r="IRI2">
        <v>36647</v>
      </c>
      <c r="IRJ2">
        <v>36644</v>
      </c>
      <c r="IRK2">
        <v>36643</v>
      </c>
      <c r="IRL2">
        <v>36642</v>
      </c>
      <c r="IRM2">
        <v>36641</v>
      </c>
      <c r="IRN2">
        <v>36640</v>
      </c>
      <c r="IRO2">
        <v>36637</v>
      </c>
      <c r="IRP2">
        <v>36636</v>
      </c>
      <c r="IRQ2">
        <v>36635</v>
      </c>
      <c r="IRR2">
        <v>36634</v>
      </c>
      <c r="IRS2">
        <v>36633</v>
      </c>
      <c r="IRT2">
        <v>36630</v>
      </c>
      <c r="IRU2">
        <v>36629</v>
      </c>
      <c r="IRV2">
        <v>36628</v>
      </c>
      <c r="IRW2">
        <v>36627</v>
      </c>
      <c r="IRX2">
        <v>36626</v>
      </c>
      <c r="IRY2">
        <v>36623</v>
      </c>
      <c r="IRZ2">
        <v>36622</v>
      </c>
      <c r="ISA2">
        <v>36621</v>
      </c>
      <c r="ISB2">
        <v>36620</v>
      </c>
      <c r="ISC2">
        <v>36619</v>
      </c>
      <c r="ISD2">
        <v>36616</v>
      </c>
      <c r="ISE2">
        <v>36615</v>
      </c>
      <c r="ISF2">
        <v>36614</v>
      </c>
      <c r="ISG2">
        <v>36613</v>
      </c>
      <c r="ISH2">
        <v>36612</v>
      </c>
      <c r="ISI2">
        <v>36609</v>
      </c>
      <c r="ISJ2">
        <v>36608</v>
      </c>
      <c r="ISK2">
        <v>36607</v>
      </c>
      <c r="ISL2">
        <v>36606</v>
      </c>
      <c r="ISM2">
        <v>36605</v>
      </c>
      <c r="ISN2">
        <v>36602</v>
      </c>
      <c r="ISO2">
        <v>36601</v>
      </c>
      <c r="ISP2">
        <v>36600</v>
      </c>
      <c r="ISQ2">
        <v>36599</v>
      </c>
      <c r="ISR2">
        <v>36598</v>
      </c>
      <c r="ISS2">
        <v>36595</v>
      </c>
      <c r="IST2">
        <v>36594</v>
      </c>
      <c r="ISU2">
        <v>36593</v>
      </c>
      <c r="ISV2">
        <v>36592</v>
      </c>
      <c r="ISW2">
        <v>36591</v>
      </c>
      <c r="ISX2">
        <v>36588</v>
      </c>
      <c r="ISY2">
        <v>36587</v>
      </c>
      <c r="ISZ2">
        <v>36586</v>
      </c>
      <c r="ITA2">
        <v>36585</v>
      </c>
      <c r="ITB2">
        <v>36584</v>
      </c>
      <c r="ITC2">
        <v>36581</v>
      </c>
      <c r="ITD2">
        <v>36580</v>
      </c>
      <c r="ITE2">
        <v>36579</v>
      </c>
      <c r="ITF2">
        <v>36578</v>
      </c>
      <c r="ITG2">
        <v>36577</v>
      </c>
      <c r="ITH2">
        <v>36574</v>
      </c>
      <c r="ITI2">
        <v>36573</v>
      </c>
      <c r="ITJ2">
        <v>36572</v>
      </c>
      <c r="ITK2">
        <v>36571</v>
      </c>
      <c r="ITL2">
        <v>36570</v>
      </c>
      <c r="ITM2">
        <v>36567</v>
      </c>
      <c r="ITN2">
        <v>36566</v>
      </c>
      <c r="ITO2">
        <v>36565</v>
      </c>
      <c r="ITP2">
        <v>36564</v>
      </c>
      <c r="ITQ2">
        <v>36563</v>
      </c>
      <c r="ITR2">
        <v>36560</v>
      </c>
      <c r="ITS2">
        <v>36559</v>
      </c>
      <c r="ITT2">
        <v>36558</v>
      </c>
      <c r="ITU2">
        <v>36557</v>
      </c>
      <c r="ITV2">
        <v>36556</v>
      </c>
      <c r="ITW2">
        <v>36553</v>
      </c>
      <c r="ITX2">
        <v>36552</v>
      </c>
      <c r="ITY2">
        <v>36551</v>
      </c>
      <c r="ITZ2">
        <v>36550</v>
      </c>
      <c r="IUA2">
        <v>36549</v>
      </c>
      <c r="IUB2">
        <v>36546</v>
      </c>
      <c r="IUC2">
        <v>36545</v>
      </c>
      <c r="IUD2">
        <v>36544</v>
      </c>
      <c r="IUE2">
        <v>36543</v>
      </c>
      <c r="IUF2">
        <v>36542</v>
      </c>
      <c r="IUG2">
        <v>36539</v>
      </c>
      <c r="IUH2">
        <v>36538</v>
      </c>
      <c r="IUI2">
        <v>36537</v>
      </c>
      <c r="IUJ2">
        <v>36536</v>
      </c>
      <c r="IUK2">
        <v>36535</v>
      </c>
      <c r="IUL2">
        <v>36532</v>
      </c>
      <c r="IUM2">
        <v>36531</v>
      </c>
      <c r="IUN2">
        <v>36530</v>
      </c>
      <c r="IUO2">
        <v>36529</v>
      </c>
      <c r="IUP2">
        <v>36528</v>
      </c>
      <c r="IUQ2">
        <v>36525</v>
      </c>
      <c r="IUR2">
        <v>36524</v>
      </c>
      <c r="IUS2">
        <v>36523</v>
      </c>
      <c r="IUT2">
        <v>36522</v>
      </c>
      <c r="IUU2">
        <v>36521</v>
      </c>
      <c r="IUV2">
        <v>36518</v>
      </c>
      <c r="IUW2">
        <v>36517</v>
      </c>
      <c r="IUX2">
        <v>36516</v>
      </c>
      <c r="IUY2">
        <v>36515</v>
      </c>
      <c r="IUZ2">
        <v>36514</v>
      </c>
      <c r="IVA2">
        <v>36511</v>
      </c>
      <c r="IVB2">
        <v>36510</v>
      </c>
      <c r="IVC2">
        <v>36509</v>
      </c>
      <c r="IVD2">
        <v>36508</v>
      </c>
      <c r="IVE2">
        <v>36507</v>
      </c>
      <c r="IVF2">
        <v>36504</v>
      </c>
      <c r="IVG2">
        <v>36503</v>
      </c>
      <c r="IVH2">
        <v>36502</v>
      </c>
      <c r="IVI2">
        <v>36501</v>
      </c>
      <c r="IVJ2">
        <v>36500</v>
      </c>
      <c r="IVK2">
        <v>36497</v>
      </c>
      <c r="IVL2">
        <v>36496</v>
      </c>
      <c r="IVM2">
        <v>36495</v>
      </c>
      <c r="IVN2">
        <v>36494</v>
      </c>
      <c r="IVO2">
        <v>36493</v>
      </c>
      <c r="IVP2">
        <v>36490</v>
      </c>
      <c r="IVQ2">
        <v>36489</v>
      </c>
      <c r="IVR2">
        <v>36488</v>
      </c>
      <c r="IVS2">
        <v>36487</v>
      </c>
      <c r="IVT2">
        <v>36486</v>
      </c>
      <c r="IVU2">
        <v>36483</v>
      </c>
      <c r="IVV2">
        <v>36482</v>
      </c>
      <c r="IVW2">
        <v>36481</v>
      </c>
      <c r="IVX2">
        <v>36480</v>
      </c>
      <c r="IVY2">
        <v>36479</v>
      </c>
      <c r="IVZ2">
        <v>36476</v>
      </c>
      <c r="IWA2">
        <v>36475</v>
      </c>
      <c r="IWB2">
        <v>36474</v>
      </c>
      <c r="IWC2">
        <v>36473</v>
      </c>
      <c r="IWD2">
        <v>36472</v>
      </c>
      <c r="IWE2">
        <v>36469</v>
      </c>
      <c r="IWF2">
        <v>36468</v>
      </c>
      <c r="IWG2">
        <v>36467</v>
      </c>
      <c r="IWH2">
        <v>36466</v>
      </c>
      <c r="IWI2">
        <v>36465</v>
      </c>
      <c r="IWJ2">
        <v>36462</v>
      </c>
      <c r="IWK2">
        <v>36461</v>
      </c>
      <c r="IWL2">
        <v>36460</v>
      </c>
      <c r="IWM2">
        <v>36459</v>
      </c>
      <c r="IWN2">
        <v>36458</v>
      </c>
      <c r="IWO2">
        <v>36455</v>
      </c>
      <c r="IWP2">
        <v>36454</v>
      </c>
      <c r="IWQ2">
        <v>36453</v>
      </c>
      <c r="IWR2">
        <v>36452</v>
      </c>
      <c r="IWS2">
        <v>36451</v>
      </c>
      <c r="IWT2">
        <v>36448</v>
      </c>
      <c r="IWU2">
        <v>36447</v>
      </c>
      <c r="IWV2">
        <v>36446</v>
      </c>
      <c r="IWW2">
        <v>36445</v>
      </c>
      <c r="IWX2">
        <v>36444</v>
      </c>
      <c r="IWY2">
        <v>36441</v>
      </c>
      <c r="IWZ2">
        <v>36440</v>
      </c>
      <c r="IXA2">
        <v>36439</v>
      </c>
      <c r="IXB2">
        <v>36438</v>
      </c>
      <c r="IXC2">
        <v>36437</v>
      </c>
      <c r="IXD2">
        <v>36434</v>
      </c>
      <c r="IXE2">
        <v>36433</v>
      </c>
      <c r="IXF2">
        <v>36432</v>
      </c>
      <c r="IXG2">
        <v>36431</v>
      </c>
      <c r="IXH2">
        <v>36430</v>
      </c>
      <c r="IXI2">
        <v>36427</v>
      </c>
      <c r="IXJ2">
        <v>36426</v>
      </c>
      <c r="IXK2">
        <v>36425</v>
      </c>
      <c r="IXL2">
        <v>36424</v>
      </c>
      <c r="IXM2">
        <v>36423</v>
      </c>
      <c r="IXN2">
        <v>36420</v>
      </c>
      <c r="IXO2">
        <v>36419</v>
      </c>
      <c r="IXP2">
        <v>36418</v>
      </c>
      <c r="IXQ2">
        <v>36417</v>
      </c>
      <c r="IXR2">
        <v>36416</v>
      </c>
      <c r="IXS2">
        <v>36413</v>
      </c>
      <c r="IXT2">
        <v>36412</v>
      </c>
      <c r="IXU2">
        <v>36411</v>
      </c>
      <c r="IXV2">
        <v>36410</v>
      </c>
      <c r="IXW2">
        <v>36409</v>
      </c>
      <c r="IXX2">
        <v>36406</v>
      </c>
      <c r="IXY2">
        <v>36405</v>
      </c>
      <c r="IXZ2">
        <v>36404</v>
      </c>
      <c r="IYA2">
        <v>36403</v>
      </c>
      <c r="IYB2">
        <v>36402</v>
      </c>
      <c r="IYC2">
        <v>36399</v>
      </c>
      <c r="IYD2">
        <v>36398</v>
      </c>
      <c r="IYE2">
        <v>36397</v>
      </c>
      <c r="IYF2">
        <v>36396</v>
      </c>
      <c r="IYG2">
        <v>36395</v>
      </c>
      <c r="IYH2">
        <v>36392</v>
      </c>
      <c r="IYI2">
        <v>36391</v>
      </c>
      <c r="IYJ2">
        <v>36390</v>
      </c>
      <c r="IYK2">
        <v>36389</v>
      </c>
      <c r="IYL2">
        <v>36388</v>
      </c>
      <c r="IYM2">
        <v>36385</v>
      </c>
      <c r="IYN2">
        <v>36384</v>
      </c>
      <c r="IYO2">
        <v>36383</v>
      </c>
      <c r="IYP2">
        <v>36382</v>
      </c>
      <c r="IYQ2">
        <v>36381</v>
      </c>
      <c r="IYR2">
        <v>36378</v>
      </c>
      <c r="IYS2">
        <v>36377</v>
      </c>
      <c r="IYT2">
        <v>36376</v>
      </c>
      <c r="IYU2">
        <v>36375</v>
      </c>
      <c r="IYV2">
        <v>36374</v>
      </c>
      <c r="IYW2">
        <v>36371</v>
      </c>
      <c r="IYX2">
        <v>36370</v>
      </c>
      <c r="IYY2">
        <v>36369</v>
      </c>
      <c r="IYZ2">
        <v>36368</v>
      </c>
      <c r="IZA2">
        <v>36367</v>
      </c>
      <c r="IZB2">
        <v>36364</v>
      </c>
      <c r="IZC2">
        <v>36363</v>
      </c>
      <c r="IZD2">
        <v>36362</v>
      </c>
      <c r="IZE2">
        <v>36361</v>
      </c>
      <c r="IZF2">
        <v>36360</v>
      </c>
      <c r="IZG2">
        <v>36357</v>
      </c>
      <c r="IZH2">
        <v>36356</v>
      </c>
      <c r="IZI2">
        <v>36355</v>
      </c>
      <c r="IZJ2">
        <v>36354</v>
      </c>
      <c r="IZK2">
        <v>36353</v>
      </c>
      <c r="IZL2">
        <v>36350</v>
      </c>
      <c r="IZM2">
        <v>36349</v>
      </c>
      <c r="IZN2">
        <v>36348</v>
      </c>
      <c r="IZO2">
        <v>36347</v>
      </c>
      <c r="IZP2">
        <v>36346</v>
      </c>
      <c r="IZQ2">
        <v>36343</v>
      </c>
      <c r="IZR2">
        <v>36342</v>
      </c>
      <c r="IZS2">
        <v>36341</v>
      </c>
      <c r="IZT2">
        <v>36340</v>
      </c>
      <c r="IZU2">
        <v>36339</v>
      </c>
      <c r="IZV2">
        <v>36336</v>
      </c>
      <c r="IZW2">
        <v>36335</v>
      </c>
      <c r="IZX2">
        <v>36334</v>
      </c>
      <c r="IZY2">
        <v>36333</v>
      </c>
      <c r="IZZ2">
        <v>36332</v>
      </c>
      <c r="JAA2">
        <v>36329</v>
      </c>
      <c r="JAB2">
        <v>36328</v>
      </c>
      <c r="JAC2">
        <v>36327</v>
      </c>
      <c r="JAD2">
        <v>36326</v>
      </c>
      <c r="JAE2">
        <v>36325</v>
      </c>
      <c r="JAF2">
        <v>36322</v>
      </c>
      <c r="JAG2">
        <v>36321</v>
      </c>
      <c r="JAH2">
        <v>36320</v>
      </c>
      <c r="JAI2">
        <v>36319</v>
      </c>
      <c r="JAJ2">
        <v>36318</v>
      </c>
      <c r="JAK2">
        <v>36315</v>
      </c>
      <c r="JAL2">
        <v>36314</v>
      </c>
      <c r="JAM2">
        <v>36313</v>
      </c>
      <c r="JAN2">
        <v>36312</v>
      </c>
      <c r="JAO2">
        <v>36311</v>
      </c>
      <c r="JAP2">
        <v>36308</v>
      </c>
      <c r="JAQ2">
        <v>36307</v>
      </c>
      <c r="JAR2">
        <v>36306</v>
      </c>
      <c r="JAS2">
        <v>36305</v>
      </c>
      <c r="JAT2">
        <v>36304</v>
      </c>
      <c r="JAU2">
        <v>36301</v>
      </c>
      <c r="JAV2">
        <v>36300</v>
      </c>
      <c r="JAW2">
        <v>36299</v>
      </c>
      <c r="JAX2">
        <v>36298</v>
      </c>
      <c r="JAY2">
        <v>36297</v>
      </c>
      <c r="JAZ2">
        <v>36294</v>
      </c>
      <c r="JBA2">
        <v>36293</v>
      </c>
      <c r="JBB2">
        <v>36292</v>
      </c>
      <c r="JBC2">
        <v>36291</v>
      </c>
      <c r="JBD2">
        <v>36290</v>
      </c>
      <c r="JBE2">
        <v>36287</v>
      </c>
      <c r="JBF2">
        <v>36286</v>
      </c>
      <c r="JBG2">
        <v>36285</v>
      </c>
      <c r="JBH2">
        <v>36284</v>
      </c>
      <c r="JBI2">
        <v>36283</v>
      </c>
      <c r="JBJ2">
        <v>36280</v>
      </c>
      <c r="JBK2">
        <v>36279</v>
      </c>
      <c r="JBL2">
        <v>36278</v>
      </c>
      <c r="JBM2">
        <v>36277</v>
      </c>
      <c r="JBN2">
        <v>36276</v>
      </c>
      <c r="JBO2">
        <v>36273</v>
      </c>
      <c r="JBP2">
        <v>36272</v>
      </c>
      <c r="JBQ2">
        <v>36271</v>
      </c>
      <c r="JBR2">
        <v>36270</v>
      </c>
      <c r="JBS2">
        <v>36269</v>
      </c>
      <c r="JBT2">
        <v>36266</v>
      </c>
      <c r="JBU2">
        <v>36265</v>
      </c>
      <c r="JBV2">
        <v>36264</v>
      </c>
      <c r="JBW2">
        <v>36263</v>
      </c>
      <c r="JBX2">
        <v>36262</v>
      </c>
      <c r="JBY2">
        <v>36259</v>
      </c>
      <c r="JBZ2">
        <v>36258</v>
      </c>
      <c r="JCA2">
        <v>36257</v>
      </c>
      <c r="JCB2">
        <v>36256</v>
      </c>
      <c r="JCC2">
        <v>36255</v>
      </c>
      <c r="JCD2">
        <v>36252</v>
      </c>
      <c r="JCE2">
        <v>36251</v>
      </c>
      <c r="JCF2">
        <v>36250</v>
      </c>
      <c r="JCG2">
        <v>36249</v>
      </c>
      <c r="JCH2">
        <v>36248</v>
      </c>
      <c r="JCI2">
        <v>36245</v>
      </c>
      <c r="JCJ2">
        <v>36244</v>
      </c>
      <c r="JCK2">
        <v>36243</v>
      </c>
      <c r="JCL2">
        <v>36242</v>
      </c>
      <c r="JCM2">
        <v>36241</v>
      </c>
      <c r="JCN2">
        <v>36238</v>
      </c>
      <c r="JCO2">
        <v>36237</v>
      </c>
      <c r="JCP2">
        <v>36236</v>
      </c>
      <c r="JCQ2">
        <v>36235</v>
      </c>
      <c r="JCR2">
        <v>36234</v>
      </c>
      <c r="JCS2">
        <v>36231</v>
      </c>
      <c r="JCT2">
        <v>36230</v>
      </c>
      <c r="JCU2">
        <v>36229</v>
      </c>
      <c r="JCV2">
        <v>36228</v>
      </c>
      <c r="JCW2">
        <v>36227</v>
      </c>
      <c r="JCX2">
        <v>36224</v>
      </c>
      <c r="JCY2">
        <v>36223</v>
      </c>
      <c r="JCZ2">
        <v>36222</v>
      </c>
      <c r="JDA2">
        <v>36221</v>
      </c>
      <c r="JDB2">
        <v>36220</v>
      </c>
      <c r="JDC2">
        <v>36217</v>
      </c>
      <c r="JDD2">
        <v>36216</v>
      </c>
      <c r="JDE2">
        <v>36215</v>
      </c>
      <c r="JDF2">
        <v>36214</v>
      </c>
      <c r="JDG2">
        <v>36213</v>
      </c>
      <c r="JDH2">
        <v>36210</v>
      </c>
      <c r="JDI2">
        <v>36209</v>
      </c>
      <c r="JDJ2">
        <v>36208</v>
      </c>
      <c r="JDK2">
        <v>36207</v>
      </c>
      <c r="JDL2">
        <v>36206</v>
      </c>
      <c r="JDM2">
        <v>36203</v>
      </c>
      <c r="JDN2">
        <v>36202</v>
      </c>
      <c r="JDO2">
        <v>36201</v>
      </c>
      <c r="JDP2">
        <v>36200</v>
      </c>
      <c r="JDQ2">
        <v>36199</v>
      </c>
      <c r="JDR2">
        <v>36196</v>
      </c>
      <c r="JDS2">
        <v>36195</v>
      </c>
      <c r="JDT2">
        <v>36194</v>
      </c>
      <c r="JDU2">
        <v>36193</v>
      </c>
      <c r="JDV2">
        <v>36192</v>
      </c>
      <c r="JDW2">
        <v>36189</v>
      </c>
      <c r="JDX2">
        <v>36188</v>
      </c>
      <c r="JDY2">
        <v>36187</v>
      </c>
      <c r="JDZ2">
        <v>36186</v>
      </c>
      <c r="JEA2">
        <v>36185</v>
      </c>
      <c r="JEB2">
        <v>36182</v>
      </c>
      <c r="JEC2">
        <v>36181</v>
      </c>
      <c r="JED2">
        <v>36180</v>
      </c>
      <c r="JEE2">
        <v>36179</v>
      </c>
      <c r="JEF2">
        <v>36178</v>
      </c>
      <c r="JEG2">
        <v>36175</v>
      </c>
      <c r="JEH2">
        <v>36174</v>
      </c>
      <c r="JEI2">
        <v>36173</v>
      </c>
      <c r="JEJ2">
        <v>36172</v>
      </c>
      <c r="JEK2">
        <v>36171</v>
      </c>
      <c r="JEL2">
        <v>36168</v>
      </c>
      <c r="JEM2">
        <v>36167</v>
      </c>
      <c r="JEN2">
        <v>36166</v>
      </c>
      <c r="JEO2">
        <v>36165</v>
      </c>
      <c r="JEP2">
        <v>36164</v>
      </c>
      <c r="JEQ2">
        <v>36161</v>
      </c>
      <c r="JER2">
        <v>36160</v>
      </c>
      <c r="JES2">
        <v>36159</v>
      </c>
      <c r="JET2">
        <v>36158</v>
      </c>
      <c r="JEU2">
        <v>36157</v>
      </c>
      <c r="JEV2">
        <v>36154</v>
      </c>
      <c r="JEW2">
        <v>36153</v>
      </c>
      <c r="JEX2">
        <v>36152</v>
      </c>
      <c r="JEY2">
        <v>36151</v>
      </c>
      <c r="JEZ2">
        <v>36150</v>
      </c>
      <c r="JFA2">
        <v>36147</v>
      </c>
      <c r="JFB2">
        <v>36146</v>
      </c>
      <c r="JFC2">
        <v>36145</v>
      </c>
      <c r="JFD2">
        <v>36144</v>
      </c>
      <c r="JFE2">
        <v>36143</v>
      </c>
      <c r="JFF2">
        <v>36140</v>
      </c>
      <c r="JFG2">
        <v>36139</v>
      </c>
      <c r="JFH2">
        <v>36138</v>
      </c>
      <c r="JFI2">
        <v>36137</v>
      </c>
      <c r="JFJ2">
        <v>36136</v>
      </c>
      <c r="JFK2">
        <v>36133</v>
      </c>
      <c r="JFL2">
        <v>36132</v>
      </c>
      <c r="JFM2">
        <v>36131</v>
      </c>
      <c r="JFN2">
        <v>36130</v>
      </c>
      <c r="JFO2">
        <v>36129</v>
      </c>
      <c r="JFP2">
        <v>36126</v>
      </c>
      <c r="JFQ2">
        <v>36125</v>
      </c>
      <c r="JFR2">
        <v>36124</v>
      </c>
      <c r="JFS2">
        <v>36123</v>
      </c>
      <c r="JFT2">
        <v>36122</v>
      </c>
      <c r="JFU2">
        <v>36119</v>
      </c>
      <c r="JFV2">
        <v>36118</v>
      </c>
      <c r="JFW2">
        <v>36117</v>
      </c>
      <c r="JFX2">
        <v>36116</v>
      </c>
      <c r="JFY2">
        <v>36115</v>
      </c>
      <c r="JFZ2">
        <v>36112</v>
      </c>
      <c r="JGA2">
        <v>36111</v>
      </c>
      <c r="JGB2">
        <v>36110</v>
      </c>
      <c r="JGC2">
        <v>36109</v>
      </c>
      <c r="JGD2">
        <v>36108</v>
      </c>
      <c r="JGE2">
        <v>36105</v>
      </c>
      <c r="JGF2">
        <v>36104</v>
      </c>
      <c r="JGG2">
        <v>36103</v>
      </c>
      <c r="JGH2">
        <v>36102</v>
      </c>
      <c r="JGI2">
        <v>36101</v>
      </c>
      <c r="JGJ2">
        <v>36098</v>
      </c>
      <c r="JGK2">
        <v>36097</v>
      </c>
      <c r="JGL2">
        <v>36096</v>
      </c>
      <c r="JGM2">
        <v>36095</v>
      </c>
      <c r="JGN2">
        <v>36094</v>
      </c>
      <c r="JGO2">
        <v>36091</v>
      </c>
      <c r="JGP2">
        <v>36090</v>
      </c>
      <c r="JGQ2">
        <v>36089</v>
      </c>
      <c r="JGR2">
        <v>36088</v>
      </c>
      <c r="JGS2">
        <v>36087</v>
      </c>
      <c r="JGT2">
        <v>36084</v>
      </c>
      <c r="JGU2">
        <v>36083</v>
      </c>
      <c r="JGV2">
        <v>36082</v>
      </c>
      <c r="JGW2">
        <v>36081</v>
      </c>
      <c r="JGX2">
        <v>36080</v>
      </c>
      <c r="JGY2">
        <v>36077</v>
      </c>
      <c r="JGZ2">
        <v>36076</v>
      </c>
      <c r="JHA2">
        <v>36075</v>
      </c>
      <c r="JHB2">
        <v>36074</v>
      </c>
      <c r="JHC2">
        <v>36073</v>
      </c>
      <c r="JHD2">
        <v>36070</v>
      </c>
      <c r="JHE2">
        <v>36069</v>
      </c>
      <c r="JHF2">
        <v>36068</v>
      </c>
      <c r="JHG2">
        <v>36067</v>
      </c>
      <c r="JHH2">
        <v>36066</v>
      </c>
      <c r="JHI2">
        <v>36063</v>
      </c>
      <c r="JHJ2">
        <v>36062</v>
      </c>
      <c r="JHK2">
        <v>36061</v>
      </c>
      <c r="JHL2">
        <v>36060</v>
      </c>
      <c r="JHM2">
        <v>36059</v>
      </c>
      <c r="JHN2">
        <v>36056</v>
      </c>
      <c r="JHO2">
        <v>36055</v>
      </c>
      <c r="JHP2">
        <v>36054</v>
      </c>
      <c r="JHQ2">
        <v>36053</v>
      </c>
      <c r="JHR2">
        <v>36052</v>
      </c>
      <c r="JHS2">
        <v>36049</v>
      </c>
      <c r="JHT2">
        <v>36048</v>
      </c>
      <c r="JHU2">
        <v>36047</v>
      </c>
      <c r="JHV2">
        <v>36046</v>
      </c>
      <c r="JHW2">
        <v>36045</v>
      </c>
      <c r="JHX2">
        <v>36042</v>
      </c>
      <c r="JHY2">
        <v>36041</v>
      </c>
      <c r="JHZ2">
        <v>36040</v>
      </c>
      <c r="JIA2">
        <v>36039</v>
      </c>
      <c r="JIB2">
        <v>36038</v>
      </c>
      <c r="JIC2">
        <v>36035</v>
      </c>
      <c r="JID2">
        <v>36034</v>
      </c>
      <c r="JIE2">
        <v>36033</v>
      </c>
      <c r="JIF2">
        <v>36032</v>
      </c>
      <c r="JIG2">
        <v>36031</v>
      </c>
      <c r="JIH2">
        <v>36028</v>
      </c>
      <c r="JII2">
        <v>36027</v>
      </c>
      <c r="JIJ2">
        <v>36026</v>
      </c>
      <c r="JIK2">
        <v>36025</v>
      </c>
      <c r="JIL2">
        <v>36024</v>
      </c>
      <c r="JIM2">
        <v>36021</v>
      </c>
      <c r="JIN2">
        <v>36020</v>
      </c>
      <c r="JIO2">
        <v>36019</v>
      </c>
      <c r="JIP2">
        <v>36018</v>
      </c>
      <c r="JIQ2">
        <v>36017</v>
      </c>
      <c r="JIR2">
        <v>36014</v>
      </c>
      <c r="JIS2">
        <v>36013</v>
      </c>
      <c r="JIT2">
        <v>36012</v>
      </c>
      <c r="JIU2">
        <v>36011</v>
      </c>
      <c r="JIV2">
        <v>36010</v>
      </c>
      <c r="JIW2">
        <v>36007</v>
      </c>
      <c r="JIX2">
        <v>36006</v>
      </c>
      <c r="JIY2">
        <v>36005</v>
      </c>
      <c r="JIZ2">
        <v>36004</v>
      </c>
      <c r="JJA2">
        <v>36003</v>
      </c>
    </row>
    <row r="3" spans="1:7021" x14ac:dyDescent="0.25">
      <c r="A3" t="s">
        <v>6983</v>
      </c>
      <c r="B3">
        <v>95.665000000000006</v>
      </c>
      <c r="C3">
        <v>95.665000000000006</v>
      </c>
      <c r="D3">
        <v>95.665000000000006</v>
      </c>
      <c r="E3">
        <v>95.657499999999999</v>
      </c>
      <c r="F3">
        <v>95.657499999999999</v>
      </c>
      <c r="G3">
        <v>95.657499999999999</v>
      </c>
      <c r="H3">
        <v>95.66</v>
      </c>
      <c r="I3">
        <v>95.66</v>
      </c>
      <c r="J3">
        <v>95.655000000000001</v>
      </c>
      <c r="K3">
        <v>95.657499999999999</v>
      </c>
      <c r="L3">
        <v>95.655000000000001</v>
      </c>
      <c r="M3">
        <v>95.655000000000001</v>
      </c>
      <c r="N3">
        <v>95.657499999999999</v>
      </c>
      <c r="O3">
        <v>95.655000000000001</v>
      </c>
      <c r="P3">
        <v>95.655000000000001</v>
      </c>
      <c r="Q3">
        <v>95.655000000000001</v>
      </c>
      <c r="R3">
        <v>95.655000000000001</v>
      </c>
      <c r="S3">
        <v>95.652500000000003</v>
      </c>
      <c r="T3">
        <v>95.655000000000001</v>
      </c>
      <c r="U3">
        <v>95.652500000000003</v>
      </c>
      <c r="V3">
        <v>95.652500000000003</v>
      </c>
      <c r="W3">
        <v>95.652500000000003</v>
      </c>
      <c r="X3">
        <v>95.652500000000003</v>
      </c>
      <c r="Y3">
        <v>95.65</v>
      </c>
      <c r="Z3">
        <v>95.652500000000003</v>
      </c>
      <c r="AA3">
        <v>95.65</v>
      </c>
      <c r="AB3">
        <v>95.652500000000003</v>
      </c>
      <c r="AC3">
        <v>95.65</v>
      </c>
      <c r="AD3">
        <v>95.647499999999994</v>
      </c>
      <c r="AE3">
        <v>95.65</v>
      </c>
      <c r="AF3">
        <v>95.65</v>
      </c>
      <c r="AG3">
        <v>95.647499999999994</v>
      </c>
      <c r="AH3">
        <v>95.642499999999998</v>
      </c>
      <c r="AI3">
        <v>95.644999999999996</v>
      </c>
      <c r="AJ3">
        <v>95.644999999999996</v>
      </c>
      <c r="AK3">
        <v>95.644999999999996</v>
      </c>
      <c r="AL3">
        <v>95.647499999999994</v>
      </c>
      <c r="AM3">
        <v>95.65</v>
      </c>
      <c r="AN3">
        <v>95.652500000000003</v>
      </c>
      <c r="AO3">
        <v>95.65</v>
      </c>
      <c r="AP3">
        <v>95.652500000000003</v>
      </c>
      <c r="AQ3">
        <v>95.652500000000003</v>
      </c>
      <c r="AR3">
        <v>95.655000000000001</v>
      </c>
      <c r="AS3">
        <v>95.652500000000003</v>
      </c>
      <c r="AT3">
        <v>95.657499999999999</v>
      </c>
      <c r="AU3">
        <v>95.655000000000001</v>
      </c>
      <c r="AV3">
        <v>95.655000000000001</v>
      </c>
      <c r="AW3">
        <v>95.657499999999999</v>
      </c>
      <c r="AX3">
        <v>95.657499999999999</v>
      </c>
      <c r="AY3">
        <v>95.657499999999999</v>
      </c>
      <c r="AZ3">
        <v>95.665000000000006</v>
      </c>
      <c r="BA3">
        <v>95.677499999999995</v>
      </c>
      <c r="BB3">
        <v>95.665000000000006</v>
      </c>
      <c r="BC3">
        <v>95.707499999999996</v>
      </c>
      <c r="BD3">
        <v>95.71</v>
      </c>
      <c r="BE3">
        <v>95.71</v>
      </c>
      <c r="BF3">
        <v>95.69</v>
      </c>
      <c r="BG3">
        <v>95.68</v>
      </c>
      <c r="BH3">
        <v>95.6875</v>
      </c>
      <c r="BI3">
        <v>95.6875</v>
      </c>
      <c r="BJ3">
        <v>95.69</v>
      </c>
      <c r="BK3">
        <v>95.68</v>
      </c>
      <c r="BL3">
        <v>95.68</v>
      </c>
      <c r="BM3">
        <v>95.68</v>
      </c>
      <c r="BN3">
        <v>95.682500000000005</v>
      </c>
      <c r="BO3">
        <v>95.6875</v>
      </c>
      <c r="BP3">
        <v>95.6875</v>
      </c>
      <c r="BQ3">
        <v>95.6875</v>
      </c>
      <c r="BR3">
        <v>95.632499999999993</v>
      </c>
      <c r="BS3">
        <v>95.632499999999993</v>
      </c>
      <c r="BT3">
        <v>95.632499999999993</v>
      </c>
      <c r="BU3">
        <v>95.635000000000005</v>
      </c>
      <c r="BV3">
        <v>95.632499999999993</v>
      </c>
      <c r="BW3">
        <v>95.63</v>
      </c>
      <c r="BX3">
        <v>95.632499999999993</v>
      </c>
      <c r="BY3">
        <v>95.63</v>
      </c>
      <c r="BZ3">
        <v>95.632499999999993</v>
      </c>
      <c r="CA3">
        <v>95.632499999999993</v>
      </c>
      <c r="CB3">
        <v>95.635000000000005</v>
      </c>
      <c r="CC3">
        <v>95.635000000000005</v>
      </c>
      <c r="CD3">
        <v>95.637500000000003</v>
      </c>
      <c r="CE3">
        <v>95.635000000000005</v>
      </c>
      <c r="CF3">
        <v>95.637500000000003</v>
      </c>
      <c r="CG3">
        <v>95.637500000000003</v>
      </c>
      <c r="CH3">
        <v>95.637500000000003</v>
      </c>
      <c r="CI3">
        <v>95.64</v>
      </c>
      <c r="CJ3">
        <v>95.642499999999998</v>
      </c>
      <c r="CK3">
        <v>95.642499999999998</v>
      </c>
      <c r="CL3">
        <v>95.64</v>
      </c>
      <c r="CM3">
        <v>95.644999999999996</v>
      </c>
      <c r="CN3">
        <v>95.644999999999996</v>
      </c>
      <c r="CO3">
        <v>95.644999999999996</v>
      </c>
      <c r="CP3">
        <v>95.642499999999998</v>
      </c>
      <c r="CQ3">
        <v>95.642499999999998</v>
      </c>
      <c r="CR3">
        <v>95.642499999999998</v>
      </c>
      <c r="CS3">
        <v>95.644999999999996</v>
      </c>
      <c r="CT3">
        <v>95.644999999999996</v>
      </c>
      <c r="CU3">
        <v>95.647499999999994</v>
      </c>
      <c r="CV3">
        <v>95.647499999999994</v>
      </c>
      <c r="CW3">
        <v>95.65</v>
      </c>
      <c r="CX3">
        <v>95.65</v>
      </c>
      <c r="CY3">
        <v>95.65</v>
      </c>
      <c r="CZ3">
        <v>95.652500000000003</v>
      </c>
      <c r="DA3">
        <v>95.65</v>
      </c>
      <c r="DB3">
        <v>95.652500000000003</v>
      </c>
      <c r="DC3">
        <v>95.655000000000001</v>
      </c>
      <c r="DD3">
        <v>95.655000000000001</v>
      </c>
      <c r="DE3">
        <v>95.655000000000001</v>
      </c>
      <c r="DF3">
        <v>95.657499999999999</v>
      </c>
      <c r="DG3">
        <v>95.662499999999994</v>
      </c>
      <c r="DH3">
        <v>95.662499999999994</v>
      </c>
      <c r="DI3">
        <v>95.66</v>
      </c>
      <c r="DJ3">
        <v>95.665000000000006</v>
      </c>
      <c r="DK3">
        <v>95.662499999999994</v>
      </c>
      <c r="DL3">
        <v>95.66</v>
      </c>
      <c r="DM3">
        <v>95.66</v>
      </c>
      <c r="DN3">
        <v>95.665000000000006</v>
      </c>
      <c r="DO3">
        <v>95.665000000000006</v>
      </c>
      <c r="DP3">
        <v>95.665000000000006</v>
      </c>
      <c r="DQ3">
        <v>95.667500000000004</v>
      </c>
      <c r="DR3">
        <v>95.662499999999994</v>
      </c>
      <c r="DS3">
        <v>95.66</v>
      </c>
      <c r="DT3">
        <v>95.657499999999999</v>
      </c>
      <c r="DU3">
        <v>95.657499999999999</v>
      </c>
      <c r="DV3">
        <v>95.655000000000001</v>
      </c>
      <c r="DW3">
        <v>95.657499999999999</v>
      </c>
      <c r="DX3">
        <v>95.647499999999994</v>
      </c>
      <c r="DY3">
        <v>95.655000000000001</v>
      </c>
      <c r="DZ3">
        <v>95.655000000000001</v>
      </c>
      <c r="EA3">
        <v>95.657499999999999</v>
      </c>
      <c r="EB3">
        <v>95.655000000000001</v>
      </c>
      <c r="EC3">
        <v>95.655000000000001</v>
      </c>
      <c r="ED3">
        <v>95.644999999999996</v>
      </c>
      <c r="EE3">
        <v>95.232500000000002</v>
      </c>
      <c r="EF3">
        <v>95.232500000000002</v>
      </c>
      <c r="EG3">
        <v>95.232500000000002</v>
      </c>
      <c r="EH3">
        <v>95.232500000000002</v>
      </c>
      <c r="EI3">
        <v>95.234999999999999</v>
      </c>
      <c r="EJ3">
        <v>95.232500000000002</v>
      </c>
      <c r="EK3">
        <v>95.234999999999999</v>
      </c>
      <c r="EL3">
        <v>95.237499999999997</v>
      </c>
      <c r="EM3">
        <v>95.237499999999997</v>
      </c>
      <c r="EN3">
        <v>95.24</v>
      </c>
      <c r="EO3">
        <v>95.24</v>
      </c>
      <c r="EP3">
        <v>95.237499999999997</v>
      </c>
      <c r="EQ3">
        <v>95.24</v>
      </c>
      <c r="ER3">
        <v>95.24</v>
      </c>
      <c r="ES3">
        <v>95.24</v>
      </c>
      <c r="ET3">
        <v>95.237499999999997</v>
      </c>
      <c r="EU3">
        <v>95.24</v>
      </c>
      <c r="EV3">
        <v>95.234999999999999</v>
      </c>
      <c r="EW3">
        <v>95.234999999999999</v>
      </c>
      <c r="EX3">
        <v>95.234999999999999</v>
      </c>
      <c r="EY3">
        <v>95.234999999999999</v>
      </c>
      <c r="EZ3">
        <v>95.232500000000002</v>
      </c>
      <c r="FA3">
        <v>95.232500000000002</v>
      </c>
      <c r="FB3">
        <v>95.232500000000002</v>
      </c>
      <c r="FC3">
        <v>95.232500000000002</v>
      </c>
      <c r="FD3">
        <v>95.232500000000002</v>
      </c>
      <c r="FE3">
        <v>95.232500000000002</v>
      </c>
      <c r="FF3">
        <v>95.232500000000002</v>
      </c>
      <c r="FG3">
        <v>95.232500000000002</v>
      </c>
      <c r="FH3">
        <v>95.23</v>
      </c>
      <c r="FI3">
        <v>95.227500000000006</v>
      </c>
      <c r="FJ3">
        <v>95.23</v>
      </c>
      <c r="FK3">
        <v>95.227500000000006</v>
      </c>
      <c r="FL3">
        <v>95.224999999999994</v>
      </c>
      <c r="FM3">
        <v>95.224999999999994</v>
      </c>
      <c r="FN3">
        <v>95.224999999999994</v>
      </c>
      <c r="FO3">
        <v>95.22</v>
      </c>
      <c r="FP3">
        <v>95.217500000000001</v>
      </c>
      <c r="FQ3">
        <v>95.215000000000003</v>
      </c>
      <c r="FR3">
        <v>95.21</v>
      </c>
      <c r="FS3">
        <v>95.215000000000003</v>
      </c>
      <c r="FT3">
        <v>95.212500000000006</v>
      </c>
      <c r="FU3">
        <v>95.217500000000001</v>
      </c>
      <c r="FV3">
        <v>95.212500000000006</v>
      </c>
      <c r="FW3">
        <v>95.217500000000001</v>
      </c>
      <c r="FX3">
        <v>95.222499999999997</v>
      </c>
      <c r="FY3">
        <v>95.21</v>
      </c>
      <c r="FZ3">
        <v>95.215000000000003</v>
      </c>
      <c r="GA3">
        <v>95.207499999999996</v>
      </c>
      <c r="GB3">
        <v>95.207499999999996</v>
      </c>
      <c r="GC3">
        <v>95.21</v>
      </c>
      <c r="GD3">
        <v>95.21</v>
      </c>
      <c r="GE3">
        <v>95.227500000000006</v>
      </c>
      <c r="GF3">
        <v>95.262500000000003</v>
      </c>
      <c r="GG3">
        <v>95.262500000000003</v>
      </c>
      <c r="GH3">
        <v>95.265000000000001</v>
      </c>
      <c r="GI3">
        <v>95.27</v>
      </c>
      <c r="GJ3">
        <v>95.292500000000004</v>
      </c>
      <c r="GK3">
        <v>95.29</v>
      </c>
      <c r="GL3">
        <v>95.297499999999999</v>
      </c>
      <c r="GM3">
        <v>95.287499999999994</v>
      </c>
      <c r="GN3">
        <v>95.28</v>
      </c>
      <c r="GO3">
        <v>95.28</v>
      </c>
      <c r="GP3">
        <v>95.265000000000001</v>
      </c>
      <c r="GQ3">
        <v>95.25</v>
      </c>
      <c r="GR3">
        <v>94.627499999999998</v>
      </c>
      <c r="GS3">
        <v>94.63</v>
      </c>
      <c r="GT3">
        <v>94.63</v>
      </c>
      <c r="GU3">
        <v>94.63</v>
      </c>
      <c r="GV3">
        <v>94.627499999999998</v>
      </c>
      <c r="GW3">
        <v>94.63</v>
      </c>
      <c r="GX3">
        <v>94.627499999999998</v>
      </c>
      <c r="GY3">
        <v>94.63</v>
      </c>
      <c r="GZ3">
        <v>94.627499999999998</v>
      </c>
      <c r="HA3">
        <v>94.63</v>
      </c>
      <c r="HB3">
        <v>94.63</v>
      </c>
      <c r="HC3">
        <v>94.627499999999998</v>
      </c>
      <c r="HD3">
        <v>94.627499999999998</v>
      </c>
      <c r="HE3">
        <v>94.625</v>
      </c>
      <c r="HF3">
        <v>94.625</v>
      </c>
      <c r="HG3">
        <v>94.627499999999998</v>
      </c>
      <c r="HH3">
        <v>94.627499999999998</v>
      </c>
      <c r="HI3">
        <v>94.63</v>
      </c>
      <c r="HJ3">
        <v>94.627499999999998</v>
      </c>
      <c r="HK3">
        <v>94.63</v>
      </c>
      <c r="HL3">
        <v>94.63</v>
      </c>
      <c r="HM3">
        <v>94.63</v>
      </c>
      <c r="HN3">
        <v>94.63</v>
      </c>
      <c r="HO3">
        <v>94.63</v>
      </c>
      <c r="HP3">
        <v>94.63</v>
      </c>
      <c r="HQ3">
        <v>94.632499999999993</v>
      </c>
      <c r="HR3">
        <v>94.635000000000005</v>
      </c>
      <c r="HS3">
        <v>94.635000000000005</v>
      </c>
      <c r="HT3">
        <v>94.635000000000005</v>
      </c>
      <c r="HU3">
        <v>94.637500000000003</v>
      </c>
      <c r="HV3">
        <v>94.637500000000003</v>
      </c>
      <c r="HW3">
        <v>94.647499999999994</v>
      </c>
      <c r="HX3">
        <v>94.644999999999996</v>
      </c>
      <c r="HY3">
        <v>94.632499999999993</v>
      </c>
      <c r="HZ3">
        <v>94.627499999999998</v>
      </c>
      <c r="IA3">
        <v>94.632499999999993</v>
      </c>
      <c r="IB3">
        <v>94.63</v>
      </c>
      <c r="IC3">
        <v>94.63</v>
      </c>
      <c r="ID3">
        <v>94.63</v>
      </c>
      <c r="IE3">
        <v>94.63</v>
      </c>
      <c r="IF3">
        <v>94.63</v>
      </c>
      <c r="IG3">
        <v>94.63</v>
      </c>
      <c r="IH3">
        <v>94.63</v>
      </c>
      <c r="II3">
        <v>94.632499999999993</v>
      </c>
      <c r="IJ3">
        <v>94.632499999999993</v>
      </c>
      <c r="IK3">
        <v>94.637500000000003</v>
      </c>
      <c r="IL3">
        <v>94.637500000000003</v>
      </c>
      <c r="IM3">
        <v>94.642499999999998</v>
      </c>
      <c r="IN3">
        <v>94.647499999999994</v>
      </c>
      <c r="IO3">
        <v>94.647499999999994</v>
      </c>
      <c r="IP3">
        <v>94.647499999999994</v>
      </c>
      <c r="IQ3">
        <v>94.65</v>
      </c>
      <c r="IR3">
        <v>94.652500000000003</v>
      </c>
      <c r="IS3">
        <v>94.652500000000003</v>
      </c>
      <c r="IT3">
        <v>94.652500000000003</v>
      </c>
      <c r="IU3">
        <v>94.65</v>
      </c>
      <c r="IV3">
        <v>94.65</v>
      </c>
      <c r="IW3">
        <v>94.652500000000003</v>
      </c>
      <c r="IX3">
        <v>94.65</v>
      </c>
      <c r="IY3">
        <v>94.644999999999996</v>
      </c>
      <c r="IZ3">
        <v>94.647499999999994</v>
      </c>
      <c r="JA3">
        <v>94.644999999999996</v>
      </c>
      <c r="JB3">
        <v>94.644999999999996</v>
      </c>
      <c r="JC3">
        <v>94.642499999999998</v>
      </c>
      <c r="JD3">
        <v>94.647499999999994</v>
      </c>
      <c r="JE3">
        <v>94.647499999999994</v>
      </c>
      <c r="JF3">
        <v>94.644999999999996</v>
      </c>
      <c r="JG3">
        <v>94.647499999999994</v>
      </c>
      <c r="JH3">
        <v>94.647499999999994</v>
      </c>
      <c r="JI3">
        <v>94.647499999999994</v>
      </c>
      <c r="JJ3">
        <v>94.647499999999994</v>
      </c>
      <c r="JK3">
        <v>94.644999999999996</v>
      </c>
      <c r="JL3">
        <v>94.644999999999996</v>
      </c>
      <c r="JM3">
        <v>94.647499999999994</v>
      </c>
      <c r="JN3">
        <v>94.647499999999994</v>
      </c>
      <c r="JO3">
        <v>94.647499999999994</v>
      </c>
      <c r="JP3">
        <v>94.65</v>
      </c>
      <c r="JQ3">
        <v>94.65</v>
      </c>
      <c r="JR3">
        <v>94.65</v>
      </c>
      <c r="JS3">
        <v>94.65</v>
      </c>
      <c r="JT3">
        <v>94.647499999999994</v>
      </c>
      <c r="JU3">
        <v>94.65</v>
      </c>
      <c r="JV3">
        <v>94.65</v>
      </c>
      <c r="JW3">
        <v>94.65</v>
      </c>
      <c r="JX3">
        <v>94.65</v>
      </c>
      <c r="JY3">
        <v>94.652500000000003</v>
      </c>
      <c r="JZ3">
        <v>94.65</v>
      </c>
      <c r="KA3">
        <v>94.65</v>
      </c>
      <c r="KB3">
        <v>94.652500000000003</v>
      </c>
      <c r="KC3">
        <v>94.652500000000003</v>
      </c>
      <c r="KD3">
        <v>94.652500000000003</v>
      </c>
      <c r="KE3">
        <v>94.652500000000003</v>
      </c>
      <c r="KF3">
        <v>94.652500000000003</v>
      </c>
      <c r="KG3">
        <v>94.655000000000001</v>
      </c>
      <c r="KH3">
        <v>94.652500000000003</v>
      </c>
      <c r="KI3">
        <v>94.652500000000003</v>
      </c>
      <c r="KJ3">
        <v>94.655000000000001</v>
      </c>
      <c r="KK3">
        <v>94.655000000000001</v>
      </c>
      <c r="KL3">
        <v>94.655000000000001</v>
      </c>
      <c r="KM3">
        <v>94.655000000000001</v>
      </c>
      <c r="KN3">
        <v>94.655000000000001</v>
      </c>
      <c r="KO3">
        <v>94.655000000000001</v>
      </c>
      <c r="KP3">
        <v>94.657499999999999</v>
      </c>
      <c r="KQ3">
        <v>94.657499999999999</v>
      </c>
      <c r="KR3">
        <v>94.655000000000001</v>
      </c>
      <c r="KS3">
        <v>94.657499999999999</v>
      </c>
      <c r="KT3">
        <v>94.657499999999999</v>
      </c>
      <c r="KU3">
        <v>94.66</v>
      </c>
      <c r="KV3">
        <v>94.657499999999999</v>
      </c>
      <c r="KW3">
        <v>94.66</v>
      </c>
      <c r="KX3">
        <v>94.657499999999999</v>
      </c>
      <c r="KY3">
        <v>94.66</v>
      </c>
      <c r="KZ3">
        <v>94.66</v>
      </c>
      <c r="LA3">
        <v>94.66</v>
      </c>
      <c r="LB3">
        <v>94.657499999999999</v>
      </c>
      <c r="LC3">
        <v>94.665000000000006</v>
      </c>
      <c r="LD3">
        <v>94.662499999999994</v>
      </c>
      <c r="LE3">
        <v>94.667500000000004</v>
      </c>
      <c r="LF3">
        <v>94.674999999999997</v>
      </c>
      <c r="LG3">
        <v>94.67</v>
      </c>
      <c r="LH3">
        <v>94.67</v>
      </c>
      <c r="LI3">
        <v>94.667500000000004</v>
      </c>
      <c r="LJ3">
        <v>94.672499999999999</v>
      </c>
      <c r="LK3">
        <v>94.672499999999999</v>
      </c>
      <c r="LL3">
        <v>94.674999999999997</v>
      </c>
      <c r="LM3">
        <v>94.674999999999997</v>
      </c>
      <c r="LN3">
        <v>94.67</v>
      </c>
      <c r="LO3">
        <v>94.674999999999997</v>
      </c>
      <c r="LP3">
        <v>94.67</v>
      </c>
      <c r="LQ3">
        <v>94.674999999999997</v>
      </c>
      <c r="LR3">
        <v>94.647499999999994</v>
      </c>
      <c r="LS3">
        <v>94.644999999999996</v>
      </c>
      <c r="LT3">
        <v>94.644999999999996</v>
      </c>
      <c r="LU3">
        <v>94.644999999999996</v>
      </c>
      <c r="LV3">
        <v>94.644999999999996</v>
      </c>
      <c r="LW3">
        <v>94.644999999999996</v>
      </c>
      <c r="LX3">
        <v>94.644999999999996</v>
      </c>
      <c r="LY3">
        <v>94.647499999999994</v>
      </c>
      <c r="LZ3">
        <v>94.647499999999994</v>
      </c>
      <c r="MA3">
        <v>94.644999999999996</v>
      </c>
      <c r="MB3">
        <v>94.647499999999994</v>
      </c>
      <c r="MC3">
        <v>94.644999999999996</v>
      </c>
      <c r="MD3">
        <v>94.647499999999994</v>
      </c>
      <c r="ME3">
        <v>94.647499999999994</v>
      </c>
      <c r="MF3">
        <v>94.647499999999994</v>
      </c>
      <c r="MG3">
        <v>94.644999999999996</v>
      </c>
      <c r="MH3">
        <v>94.644999999999996</v>
      </c>
      <c r="MI3">
        <v>94.644999999999996</v>
      </c>
      <c r="MJ3">
        <v>94.644999999999996</v>
      </c>
      <c r="MK3">
        <v>94.644999999999996</v>
      </c>
      <c r="ML3">
        <v>94.647499999999994</v>
      </c>
      <c r="MM3">
        <v>94.644999999999996</v>
      </c>
      <c r="MN3">
        <v>94.644999999999996</v>
      </c>
      <c r="MO3">
        <v>94.644999999999996</v>
      </c>
      <c r="MP3">
        <v>94.647499999999994</v>
      </c>
      <c r="MQ3">
        <v>94.644999999999996</v>
      </c>
      <c r="MR3">
        <v>94.644999999999996</v>
      </c>
      <c r="MS3">
        <v>94.644999999999996</v>
      </c>
      <c r="MT3">
        <v>94.644999999999996</v>
      </c>
      <c r="MU3">
        <v>94.644999999999996</v>
      </c>
      <c r="MV3">
        <v>94.647499999999994</v>
      </c>
      <c r="MW3">
        <v>94.644999999999996</v>
      </c>
      <c r="MX3">
        <v>94.644999999999996</v>
      </c>
      <c r="MY3">
        <v>94.644999999999996</v>
      </c>
      <c r="MZ3">
        <v>94.644999999999996</v>
      </c>
      <c r="NA3">
        <v>94.64</v>
      </c>
      <c r="NB3">
        <v>94.642499999999998</v>
      </c>
      <c r="NC3">
        <v>94.64</v>
      </c>
      <c r="ND3">
        <v>94.637500000000003</v>
      </c>
      <c r="NE3">
        <v>94.635000000000005</v>
      </c>
      <c r="NF3">
        <v>94.637500000000003</v>
      </c>
      <c r="NG3">
        <v>94.635000000000005</v>
      </c>
      <c r="NH3">
        <v>94.635000000000005</v>
      </c>
      <c r="NI3">
        <v>94.637500000000003</v>
      </c>
      <c r="NJ3">
        <v>94.637500000000003</v>
      </c>
      <c r="NK3">
        <v>94.64</v>
      </c>
      <c r="NL3">
        <v>94.64</v>
      </c>
      <c r="NM3">
        <v>94.64</v>
      </c>
      <c r="NN3">
        <v>94.637500000000003</v>
      </c>
      <c r="NO3">
        <v>94.637500000000003</v>
      </c>
      <c r="NP3">
        <v>94.635000000000005</v>
      </c>
      <c r="NQ3">
        <v>94.635000000000005</v>
      </c>
      <c r="NR3">
        <v>94.635000000000005</v>
      </c>
      <c r="NS3">
        <v>94.635000000000005</v>
      </c>
      <c r="NT3">
        <v>94.632499999999993</v>
      </c>
      <c r="NU3">
        <v>94.637500000000003</v>
      </c>
      <c r="NV3">
        <v>94.642499999999998</v>
      </c>
      <c r="NW3">
        <v>94.642499999999998</v>
      </c>
      <c r="NX3">
        <v>94.637500000000003</v>
      </c>
      <c r="NY3">
        <v>94.642499999999998</v>
      </c>
      <c r="NZ3">
        <v>94.637500000000003</v>
      </c>
      <c r="OA3">
        <v>94.632499999999993</v>
      </c>
      <c r="OB3">
        <v>94.632499999999993</v>
      </c>
      <c r="OC3">
        <v>94.632499999999993</v>
      </c>
      <c r="OD3">
        <v>94.63</v>
      </c>
      <c r="OE3">
        <v>94.647499999999994</v>
      </c>
      <c r="OF3">
        <v>94.647499999999994</v>
      </c>
      <c r="OG3">
        <v>94.644999999999996</v>
      </c>
      <c r="OH3">
        <v>94.647499999999994</v>
      </c>
      <c r="OI3">
        <v>94.647499999999994</v>
      </c>
      <c r="OJ3">
        <v>94.644999999999996</v>
      </c>
      <c r="OK3">
        <v>94.647499999999994</v>
      </c>
      <c r="OL3">
        <v>94.644999999999996</v>
      </c>
      <c r="OM3">
        <v>94.647499999999994</v>
      </c>
      <c r="ON3">
        <v>94.647499999999994</v>
      </c>
      <c r="OO3">
        <v>94.644999999999996</v>
      </c>
      <c r="OP3">
        <v>94.642499999999998</v>
      </c>
      <c r="OQ3">
        <v>94.647499999999994</v>
      </c>
      <c r="OR3">
        <v>94.647499999999994</v>
      </c>
      <c r="OS3">
        <v>94.65</v>
      </c>
      <c r="OT3">
        <v>94.65</v>
      </c>
      <c r="OU3">
        <v>94.65</v>
      </c>
      <c r="OV3">
        <v>94.65</v>
      </c>
      <c r="OW3">
        <v>94.65</v>
      </c>
      <c r="OX3">
        <v>94.65</v>
      </c>
      <c r="OY3">
        <v>94.65</v>
      </c>
      <c r="OZ3">
        <v>94.65</v>
      </c>
      <c r="PA3">
        <v>94.652500000000003</v>
      </c>
      <c r="PB3">
        <v>94.65</v>
      </c>
      <c r="PC3">
        <v>94.65</v>
      </c>
      <c r="PD3">
        <v>94.65</v>
      </c>
      <c r="PE3">
        <v>94.652500000000003</v>
      </c>
      <c r="PF3">
        <v>94.652500000000003</v>
      </c>
      <c r="PG3">
        <v>94.65</v>
      </c>
      <c r="PH3">
        <v>94.65</v>
      </c>
      <c r="PI3">
        <v>94.65</v>
      </c>
      <c r="PJ3">
        <v>94.65</v>
      </c>
      <c r="PK3">
        <v>94.65</v>
      </c>
      <c r="PL3">
        <v>94.65</v>
      </c>
      <c r="PM3">
        <v>94.65</v>
      </c>
      <c r="PN3">
        <v>94.65</v>
      </c>
      <c r="PO3">
        <v>94.65</v>
      </c>
      <c r="PP3">
        <v>94.652500000000003</v>
      </c>
      <c r="PQ3">
        <v>94.65</v>
      </c>
      <c r="PR3">
        <v>94.647499999999994</v>
      </c>
      <c r="PS3">
        <v>94.65</v>
      </c>
      <c r="PT3">
        <v>94.65</v>
      </c>
      <c r="PU3">
        <v>94.652500000000003</v>
      </c>
      <c r="PV3">
        <v>94.644999999999996</v>
      </c>
      <c r="PW3">
        <v>94.64</v>
      </c>
      <c r="PX3">
        <v>94.632499999999993</v>
      </c>
      <c r="PY3">
        <v>94.64</v>
      </c>
      <c r="PZ3">
        <v>94.637500000000003</v>
      </c>
      <c r="QA3">
        <v>94.635000000000005</v>
      </c>
      <c r="QB3">
        <v>94.637500000000003</v>
      </c>
      <c r="QC3">
        <v>94.632499999999993</v>
      </c>
      <c r="QD3">
        <v>94.635000000000005</v>
      </c>
      <c r="QE3">
        <v>94.612499999999997</v>
      </c>
      <c r="QF3">
        <v>94.625</v>
      </c>
      <c r="QG3">
        <v>94.625</v>
      </c>
      <c r="QH3">
        <v>94.61</v>
      </c>
      <c r="QI3">
        <v>94.614999999999995</v>
      </c>
      <c r="QJ3">
        <v>94.63</v>
      </c>
      <c r="QK3">
        <v>94.625</v>
      </c>
      <c r="QL3">
        <v>94.622500000000002</v>
      </c>
      <c r="QM3">
        <v>94.627499999999998</v>
      </c>
      <c r="QN3">
        <v>94.625</v>
      </c>
      <c r="QO3">
        <v>94.622500000000002</v>
      </c>
      <c r="QP3">
        <v>94.612499999999997</v>
      </c>
      <c r="QQ3">
        <v>94.61</v>
      </c>
      <c r="QR3">
        <v>94.76</v>
      </c>
      <c r="QS3">
        <v>94.76</v>
      </c>
      <c r="QT3">
        <v>94.762500000000003</v>
      </c>
      <c r="QU3">
        <v>94.762500000000003</v>
      </c>
      <c r="QV3">
        <v>94.762500000000003</v>
      </c>
      <c r="QW3">
        <v>94.762500000000003</v>
      </c>
      <c r="QX3">
        <v>94.76</v>
      </c>
      <c r="QY3">
        <v>94.762500000000003</v>
      </c>
      <c r="QZ3">
        <v>94.762500000000003</v>
      </c>
      <c r="RA3">
        <v>94.76</v>
      </c>
      <c r="RB3">
        <v>94.76</v>
      </c>
      <c r="RC3">
        <v>94.762500000000003</v>
      </c>
      <c r="RD3">
        <v>94.762500000000003</v>
      </c>
      <c r="RE3">
        <v>94.762500000000003</v>
      </c>
      <c r="RF3">
        <v>94.762500000000003</v>
      </c>
      <c r="RG3">
        <v>94.762500000000003</v>
      </c>
      <c r="RH3">
        <v>94.76</v>
      </c>
      <c r="RI3">
        <v>94.76</v>
      </c>
      <c r="RJ3">
        <v>94.76</v>
      </c>
      <c r="RK3">
        <v>94.762500000000003</v>
      </c>
      <c r="RL3">
        <v>94.76</v>
      </c>
      <c r="RM3">
        <v>94.76</v>
      </c>
      <c r="RN3">
        <v>94.762500000000003</v>
      </c>
      <c r="RO3">
        <v>94.762500000000003</v>
      </c>
      <c r="RP3">
        <v>94.76</v>
      </c>
      <c r="RQ3">
        <v>94.762500000000003</v>
      </c>
      <c r="RR3">
        <v>94.76</v>
      </c>
      <c r="RS3">
        <v>94.76</v>
      </c>
      <c r="RT3">
        <v>94.762500000000003</v>
      </c>
      <c r="RU3">
        <v>94.762500000000003</v>
      </c>
      <c r="RV3">
        <v>94.762500000000003</v>
      </c>
      <c r="RW3">
        <v>94.762500000000003</v>
      </c>
      <c r="RX3">
        <v>94.762500000000003</v>
      </c>
      <c r="RY3">
        <v>94.76</v>
      </c>
      <c r="RZ3">
        <v>94.76</v>
      </c>
      <c r="SA3">
        <v>94.76</v>
      </c>
      <c r="SB3">
        <v>94.76</v>
      </c>
      <c r="SC3">
        <v>94.76</v>
      </c>
      <c r="SD3">
        <v>94.76</v>
      </c>
      <c r="SE3">
        <v>94.76</v>
      </c>
      <c r="SF3">
        <v>94.762500000000003</v>
      </c>
      <c r="SG3">
        <v>94.762500000000003</v>
      </c>
      <c r="SH3">
        <v>94.762500000000003</v>
      </c>
      <c r="SI3">
        <v>94.76</v>
      </c>
      <c r="SJ3">
        <v>94.762500000000003</v>
      </c>
      <c r="SK3">
        <v>94.762500000000003</v>
      </c>
      <c r="SL3">
        <v>94.762500000000003</v>
      </c>
      <c r="SM3">
        <v>94.767499999999998</v>
      </c>
      <c r="SN3">
        <v>94.772499999999994</v>
      </c>
      <c r="SO3">
        <v>94.77</v>
      </c>
      <c r="SP3">
        <v>94.77</v>
      </c>
      <c r="SQ3">
        <v>94.772499999999994</v>
      </c>
      <c r="SR3">
        <v>94.775000000000006</v>
      </c>
      <c r="SS3">
        <v>94.775000000000006</v>
      </c>
      <c r="ST3">
        <v>94.78</v>
      </c>
      <c r="SU3">
        <v>94.775000000000006</v>
      </c>
      <c r="SV3">
        <v>94.775000000000006</v>
      </c>
      <c r="SW3">
        <v>94.78</v>
      </c>
      <c r="SX3">
        <v>94.777500000000003</v>
      </c>
      <c r="SY3">
        <v>94.79</v>
      </c>
      <c r="SZ3">
        <v>94.787499999999994</v>
      </c>
      <c r="TA3">
        <v>94.782499999999999</v>
      </c>
      <c r="TB3">
        <v>94.782499999999999</v>
      </c>
      <c r="TC3">
        <v>94.775000000000006</v>
      </c>
      <c r="TD3">
        <v>94.77</v>
      </c>
      <c r="TE3">
        <v>95.055000000000007</v>
      </c>
      <c r="TF3">
        <v>95.055000000000007</v>
      </c>
      <c r="TG3">
        <v>95.055000000000007</v>
      </c>
      <c r="TH3">
        <v>95.057500000000005</v>
      </c>
      <c r="TI3">
        <v>95.055000000000007</v>
      </c>
      <c r="TJ3">
        <v>95.052499999999995</v>
      </c>
      <c r="TK3">
        <v>95.05</v>
      </c>
      <c r="TL3">
        <v>95.05</v>
      </c>
      <c r="TM3">
        <v>95.052499999999995</v>
      </c>
      <c r="TN3">
        <v>95.05</v>
      </c>
      <c r="TO3">
        <v>95.05</v>
      </c>
      <c r="TP3">
        <v>95.05</v>
      </c>
      <c r="TQ3">
        <v>95.047499999999999</v>
      </c>
      <c r="TR3">
        <v>95.05</v>
      </c>
      <c r="TS3">
        <v>95.05</v>
      </c>
      <c r="TT3">
        <v>95.047499999999999</v>
      </c>
      <c r="TU3">
        <v>95.045000000000002</v>
      </c>
      <c r="TV3">
        <v>95.045000000000002</v>
      </c>
      <c r="TW3">
        <v>95.042500000000004</v>
      </c>
      <c r="TX3">
        <v>95.045000000000002</v>
      </c>
      <c r="TY3">
        <v>95.047499999999999</v>
      </c>
      <c r="TZ3">
        <v>95.05</v>
      </c>
      <c r="UA3">
        <v>95.055000000000007</v>
      </c>
      <c r="UB3">
        <v>95.052499999999995</v>
      </c>
      <c r="UC3">
        <v>95.055000000000007</v>
      </c>
      <c r="UD3">
        <v>95.057500000000005</v>
      </c>
      <c r="UE3">
        <v>95.057500000000005</v>
      </c>
      <c r="UF3">
        <v>95.057500000000005</v>
      </c>
      <c r="UG3">
        <v>95.057500000000005</v>
      </c>
      <c r="UH3">
        <v>95.06</v>
      </c>
      <c r="UI3">
        <v>95.06</v>
      </c>
      <c r="UJ3">
        <v>95.06</v>
      </c>
      <c r="UK3">
        <v>95.064999999999998</v>
      </c>
      <c r="UL3">
        <v>95.07</v>
      </c>
      <c r="UM3">
        <v>95.0625</v>
      </c>
      <c r="UN3">
        <v>95.072500000000005</v>
      </c>
      <c r="UO3">
        <v>95.0625</v>
      </c>
      <c r="UP3">
        <v>95.072500000000005</v>
      </c>
      <c r="UQ3">
        <v>95.07</v>
      </c>
      <c r="UR3">
        <v>95.087500000000006</v>
      </c>
      <c r="US3">
        <v>95.084999999999994</v>
      </c>
      <c r="UT3">
        <v>95.0625</v>
      </c>
      <c r="UU3">
        <v>95.064999999999998</v>
      </c>
      <c r="UV3">
        <v>95.067499999999995</v>
      </c>
      <c r="UW3">
        <v>95.0625</v>
      </c>
      <c r="UX3">
        <v>95.064999999999998</v>
      </c>
      <c r="UY3">
        <v>95.067499999999995</v>
      </c>
      <c r="UZ3">
        <v>95.077500000000001</v>
      </c>
      <c r="VA3">
        <v>95.092500000000001</v>
      </c>
      <c r="VB3">
        <v>95.087500000000006</v>
      </c>
      <c r="VC3">
        <v>95.087500000000006</v>
      </c>
      <c r="VD3">
        <v>95.09</v>
      </c>
      <c r="VE3">
        <v>95.1</v>
      </c>
      <c r="VF3">
        <v>95.13</v>
      </c>
      <c r="VG3">
        <v>95.13</v>
      </c>
      <c r="VH3">
        <v>95.125</v>
      </c>
      <c r="VI3">
        <v>95.11</v>
      </c>
      <c r="VJ3">
        <v>95.127499999999998</v>
      </c>
      <c r="VK3">
        <v>95.135000000000005</v>
      </c>
      <c r="VL3">
        <v>95.142499999999998</v>
      </c>
      <c r="VM3">
        <v>95.14</v>
      </c>
      <c r="VN3">
        <v>95.125</v>
      </c>
      <c r="VO3">
        <v>95.18</v>
      </c>
      <c r="VP3">
        <v>95.16</v>
      </c>
      <c r="VQ3">
        <v>95.12</v>
      </c>
      <c r="VR3">
        <v>95.135000000000005</v>
      </c>
      <c r="VS3">
        <v>95.18</v>
      </c>
      <c r="VT3">
        <v>95.234999999999999</v>
      </c>
      <c r="VU3">
        <v>95.155000000000001</v>
      </c>
      <c r="VV3">
        <v>95.227500000000006</v>
      </c>
      <c r="VW3">
        <v>95.552499999999995</v>
      </c>
      <c r="VX3">
        <v>95.555000000000007</v>
      </c>
      <c r="VY3">
        <v>95.555000000000007</v>
      </c>
      <c r="VZ3">
        <v>95.555000000000007</v>
      </c>
      <c r="WA3">
        <v>95.552499999999995</v>
      </c>
      <c r="WB3">
        <v>95.552499999999995</v>
      </c>
      <c r="WC3">
        <v>95.552499999999995</v>
      </c>
      <c r="WD3">
        <v>95.555000000000007</v>
      </c>
      <c r="WE3">
        <v>95.555000000000007</v>
      </c>
      <c r="WF3">
        <v>95.552499999999995</v>
      </c>
      <c r="WG3">
        <v>95.552499999999995</v>
      </c>
      <c r="WH3">
        <v>95.552499999999995</v>
      </c>
      <c r="WI3">
        <v>95.552499999999995</v>
      </c>
      <c r="WJ3">
        <v>95.555000000000007</v>
      </c>
      <c r="WK3">
        <v>95.552499999999995</v>
      </c>
      <c r="WL3">
        <v>95.555000000000007</v>
      </c>
      <c r="WM3">
        <v>95.555000000000007</v>
      </c>
      <c r="WN3">
        <v>95.555000000000007</v>
      </c>
      <c r="WO3">
        <v>95.555000000000007</v>
      </c>
      <c r="WP3">
        <v>95.555000000000007</v>
      </c>
      <c r="WQ3">
        <v>95.555000000000007</v>
      </c>
      <c r="WR3">
        <v>95.555000000000007</v>
      </c>
      <c r="WS3">
        <v>95.555000000000007</v>
      </c>
      <c r="WT3">
        <v>95.555000000000007</v>
      </c>
      <c r="WU3">
        <v>95.555000000000007</v>
      </c>
      <c r="WV3">
        <v>95.552499999999995</v>
      </c>
      <c r="WW3">
        <v>95.55</v>
      </c>
      <c r="WX3">
        <v>95.55</v>
      </c>
      <c r="WY3">
        <v>95.55</v>
      </c>
      <c r="WZ3">
        <v>95.55</v>
      </c>
      <c r="XA3">
        <v>95.547499999999999</v>
      </c>
      <c r="XB3">
        <v>95.545000000000002</v>
      </c>
      <c r="XC3">
        <v>95.542500000000004</v>
      </c>
      <c r="XD3">
        <v>95.54</v>
      </c>
      <c r="XE3">
        <v>95.54</v>
      </c>
      <c r="XF3">
        <v>95.537499999999994</v>
      </c>
      <c r="XG3">
        <v>95.534999999999997</v>
      </c>
      <c r="XH3">
        <v>95.532499999999999</v>
      </c>
      <c r="XI3">
        <v>95.53</v>
      </c>
      <c r="XJ3">
        <v>95.53</v>
      </c>
      <c r="XK3">
        <v>95.532499999999999</v>
      </c>
      <c r="XL3">
        <v>95.53</v>
      </c>
      <c r="XM3">
        <v>95.53</v>
      </c>
      <c r="XN3">
        <v>95.527500000000003</v>
      </c>
      <c r="XO3">
        <v>95.51</v>
      </c>
      <c r="XP3">
        <v>95.51</v>
      </c>
      <c r="XQ3">
        <v>95.51</v>
      </c>
      <c r="XR3">
        <v>95.504999999999995</v>
      </c>
      <c r="XS3">
        <v>95.492500000000007</v>
      </c>
      <c r="XT3">
        <v>95.5</v>
      </c>
      <c r="XU3">
        <v>95.5</v>
      </c>
      <c r="XV3">
        <v>95.502499999999998</v>
      </c>
      <c r="XW3">
        <v>95.502499999999998</v>
      </c>
      <c r="XX3">
        <v>95.5</v>
      </c>
      <c r="XY3">
        <v>95.49</v>
      </c>
      <c r="XZ3">
        <v>95.482500000000002</v>
      </c>
      <c r="YA3">
        <v>95.49</v>
      </c>
      <c r="YB3">
        <v>95.49</v>
      </c>
      <c r="YC3">
        <v>95.492500000000007</v>
      </c>
      <c r="YD3">
        <v>95.497500000000002</v>
      </c>
      <c r="YE3">
        <v>96.525000000000006</v>
      </c>
      <c r="YF3">
        <v>96.525000000000006</v>
      </c>
      <c r="YG3">
        <v>96.527500000000003</v>
      </c>
      <c r="YH3">
        <v>96.527500000000003</v>
      </c>
      <c r="YI3">
        <v>96.53</v>
      </c>
      <c r="YJ3">
        <v>96.527500000000003</v>
      </c>
      <c r="YK3">
        <v>96.525000000000006</v>
      </c>
      <c r="YL3">
        <v>96.525000000000006</v>
      </c>
      <c r="YM3">
        <v>96.525000000000006</v>
      </c>
      <c r="YN3">
        <v>96.527500000000003</v>
      </c>
      <c r="YO3">
        <v>96.527500000000003</v>
      </c>
      <c r="YP3">
        <v>96.522499999999994</v>
      </c>
      <c r="YQ3">
        <v>96.522499999999994</v>
      </c>
      <c r="YR3">
        <v>96.525000000000006</v>
      </c>
      <c r="YS3">
        <v>96.525000000000006</v>
      </c>
      <c r="YT3">
        <v>96.525000000000006</v>
      </c>
      <c r="YU3">
        <v>96.522499999999994</v>
      </c>
      <c r="YV3">
        <v>96.52</v>
      </c>
      <c r="YW3">
        <v>96.517499999999998</v>
      </c>
      <c r="YX3">
        <v>96.517499999999998</v>
      </c>
      <c r="YY3">
        <v>96.517499999999998</v>
      </c>
      <c r="YZ3">
        <v>96.517499999999998</v>
      </c>
      <c r="ZA3">
        <v>96.522499999999994</v>
      </c>
      <c r="ZB3">
        <v>96.522499999999994</v>
      </c>
      <c r="ZC3">
        <v>96.525000000000006</v>
      </c>
      <c r="ZD3">
        <v>96.525000000000006</v>
      </c>
      <c r="ZE3">
        <v>96.527500000000003</v>
      </c>
      <c r="ZF3">
        <v>96.527500000000003</v>
      </c>
      <c r="ZG3">
        <v>96.527500000000003</v>
      </c>
      <c r="ZH3">
        <v>96.525000000000006</v>
      </c>
      <c r="ZI3">
        <v>96.525000000000006</v>
      </c>
      <c r="ZJ3">
        <v>96.52</v>
      </c>
      <c r="ZK3">
        <v>96.522499999999994</v>
      </c>
      <c r="ZL3">
        <v>96.517499999999998</v>
      </c>
      <c r="ZM3">
        <v>96.52</v>
      </c>
      <c r="ZN3">
        <v>96.522499999999994</v>
      </c>
      <c r="ZO3">
        <v>96.525000000000006</v>
      </c>
      <c r="ZP3">
        <v>96.53</v>
      </c>
      <c r="ZQ3">
        <v>96.53</v>
      </c>
      <c r="ZR3">
        <v>96.522499999999994</v>
      </c>
      <c r="ZS3">
        <v>96.512500000000003</v>
      </c>
      <c r="ZT3">
        <v>96.507499999999993</v>
      </c>
      <c r="ZU3">
        <v>96.517499999999998</v>
      </c>
      <c r="ZV3">
        <v>96.502499999999998</v>
      </c>
      <c r="ZW3">
        <v>96.504999999999995</v>
      </c>
      <c r="ZX3">
        <v>96.512500000000003</v>
      </c>
      <c r="ZY3">
        <v>96.512500000000003</v>
      </c>
      <c r="ZZ3">
        <v>96.507499999999993</v>
      </c>
      <c r="AAA3">
        <v>96.504999999999995</v>
      </c>
      <c r="AAB3">
        <v>96.534999999999997</v>
      </c>
      <c r="AAC3">
        <v>96.534999999999997</v>
      </c>
      <c r="AAD3">
        <v>96.547499999999999</v>
      </c>
      <c r="AAE3">
        <v>96.545000000000002</v>
      </c>
      <c r="AAF3">
        <v>96.555000000000007</v>
      </c>
      <c r="AAG3">
        <v>96.567499999999995</v>
      </c>
      <c r="AAH3">
        <v>96.567499999999995</v>
      </c>
      <c r="AAI3">
        <v>96.59</v>
      </c>
      <c r="AAJ3">
        <v>96.597499999999997</v>
      </c>
      <c r="AAK3">
        <v>96.605000000000004</v>
      </c>
      <c r="AAL3">
        <v>96.6</v>
      </c>
      <c r="AAM3">
        <v>96.575000000000003</v>
      </c>
      <c r="AAN3">
        <v>96.545000000000002</v>
      </c>
      <c r="AAO3">
        <v>96.552499999999995</v>
      </c>
      <c r="AAP3">
        <v>96.5625</v>
      </c>
      <c r="AAQ3">
        <v>96.557500000000005</v>
      </c>
      <c r="AAR3">
        <v>98.0625</v>
      </c>
      <c r="AAS3">
        <v>98.06</v>
      </c>
      <c r="AAT3">
        <v>98.0625</v>
      </c>
      <c r="AAU3">
        <v>98.0625</v>
      </c>
      <c r="AAV3">
        <v>98.0625</v>
      </c>
      <c r="AAW3">
        <v>98.06</v>
      </c>
      <c r="AAX3">
        <v>98.06</v>
      </c>
      <c r="AAY3">
        <v>98.057500000000005</v>
      </c>
      <c r="AAZ3">
        <v>98.057500000000005</v>
      </c>
      <c r="ABA3">
        <v>98.057500000000005</v>
      </c>
      <c r="ABB3">
        <v>98.06</v>
      </c>
      <c r="ABC3">
        <v>98.06</v>
      </c>
      <c r="ABD3">
        <v>98.06</v>
      </c>
      <c r="ABE3">
        <v>98.057500000000005</v>
      </c>
      <c r="ABF3">
        <v>98.06</v>
      </c>
      <c r="ABG3">
        <v>98.06</v>
      </c>
      <c r="ABH3">
        <v>98.057500000000005</v>
      </c>
      <c r="ABI3">
        <v>98.057500000000005</v>
      </c>
      <c r="ABJ3">
        <v>98.055000000000007</v>
      </c>
      <c r="ABK3">
        <v>98.055000000000007</v>
      </c>
      <c r="ABL3">
        <v>98.057500000000005</v>
      </c>
      <c r="ABM3">
        <v>98.055000000000007</v>
      </c>
      <c r="ABN3">
        <v>98.057500000000005</v>
      </c>
      <c r="ABO3">
        <v>98.057500000000005</v>
      </c>
      <c r="ABP3">
        <v>98.057500000000005</v>
      </c>
      <c r="ABQ3">
        <v>98.055000000000007</v>
      </c>
      <c r="ABR3">
        <v>98.057500000000005</v>
      </c>
      <c r="ABS3">
        <v>98.055000000000007</v>
      </c>
      <c r="ABT3">
        <v>98.055000000000007</v>
      </c>
      <c r="ABU3">
        <v>98.05</v>
      </c>
      <c r="ABV3">
        <v>98.042500000000004</v>
      </c>
      <c r="ABW3">
        <v>98.047499999999999</v>
      </c>
      <c r="ABX3">
        <v>98.045000000000002</v>
      </c>
      <c r="ABY3">
        <v>98.057500000000005</v>
      </c>
      <c r="ABZ3">
        <v>98.055000000000007</v>
      </c>
      <c r="ACA3">
        <v>98.057500000000005</v>
      </c>
      <c r="ACB3">
        <v>98.06</v>
      </c>
      <c r="ACC3">
        <v>98.06</v>
      </c>
      <c r="ACD3">
        <v>98.0625</v>
      </c>
      <c r="ACE3">
        <v>98.057500000000005</v>
      </c>
      <c r="ACF3">
        <v>98.032499999999999</v>
      </c>
      <c r="ACG3">
        <v>98.03</v>
      </c>
      <c r="ACH3">
        <v>98.042500000000004</v>
      </c>
      <c r="ACI3">
        <v>98.034999999999997</v>
      </c>
      <c r="ACJ3">
        <v>98.025000000000006</v>
      </c>
      <c r="ACK3">
        <v>98.025000000000006</v>
      </c>
      <c r="ACL3">
        <v>98.032499999999999</v>
      </c>
      <c r="ACM3">
        <v>98.032499999999999</v>
      </c>
      <c r="ACN3">
        <v>98.012500000000003</v>
      </c>
      <c r="ACO3">
        <v>97.97</v>
      </c>
      <c r="ACP3">
        <v>98.064999999999998</v>
      </c>
      <c r="ACQ3">
        <v>98.0625</v>
      </c>
      <c r="ACR3">
        <v>98.0625</v>
      </c>
      <c r="ACS3">
        <v>98.08</v>
      </c>
      <c r="ACT3">
        <v>98.092500000000001</v>
      </c>
      <c r="ACU3">
        <v>98.112499999999997</v>
      </c>
      <c r="ACV3">
        <v>98.114999999999995</v>
      </c>
      <c r="ACW3">
        <v>98.114999999999995</v>
      </c>
      <c r="ACX3">
        <v>98.122500000000002</v>
      </c>
      <c r="ACY3">
        <v>98.11</v>
      </c>
      <c r="ACZ3">
        <v>98.102500000000006</v>
      </c>
      <c r="ADA3">
        <v>98.094999999999999</v>
      </c>
      <c r="ADB3">
        <v>98.117500000000007</v>
      </c>
      <c r="ADC3">
        <v>98.112499999999997</v>
      </c>
      <c r="ADD3">
        <v>98.122500000000002</v>
      </c>
      <c r="ADE3">
        <v>98.087500000000006</v>
      </c>
      <c r="ADF3">
        <v>98.102500000000006</v>
      </c>
      <c r="ADG3">
        <v>98.102500000000006</v>
      </c>
      <c r="ADH3">
        <v>98.107500000000002</v>
      </c>
      <c r="ADI3">
        <v>98.105000000000004</v>
      </c>
      <c r="ADJ3">
        <v>99.492500000000007</v>
      </c>
      <c r="ADK3">
        <v>99.492500000000007</v>
      </c>
      <c r="ADL3">
        <v>99.492500000000007</v>
      </c>
      <c r="ADM3">
        <v>99.49</v>
      </c>
      <c r="ADN3">
        <v>99.492500000000007</v>
      </c>
      <c r="ADO3">
        <v>99.492500000000007</v>
      </c>
      <c r="ADP3">
        <v>99.49</v>
      </c>
      <c r="ADQ3">
        <v>99.492500000000007</v>
      </c>
      <c r="ADR3">
        <v>99.492500000000007</v>
      </c>
      <c r="ADS3">
        <v>99.49</v>
      </c>
      <c r="ADT3">
        <v>99.49</v>
      </c>
      <c r="ADU3">
        <v>99.492500000000007</v>
      </c>
      <c r="ADV3">
        <v>99.492500000000007</v>
      </c>
      <c r="ADW3">
        <v>99.492500000000007</v>
      </c>
      <c r="ADX3">
        <v>99.492500000000007</v>
      </c>
      <c r="ADY3">
        <v>99.492500000000007</v>
      </c>
      <c r="ADZ3">
        <v>99.49</v>
      </c>
      <c r="AEA3">
        <v>99.492500000000007</v>
      </c>
      <c r="AEB3">
        <v>99.492500000000007</v>
      </c>
      <c r="AEC3">
        <v>99.49</v>
      </c>
      <c r="AED3">
        <v>99.487499999999997</v>
      </c>
      <c r="AEE3">
        <v>99.49</v>
      </c>
      <c r="AEF3">
        <v>99.49</v>
      </c>
      <c r="AEG3">
        <v>99.492500000000007</v>
      </c>
      <c r="AEH3">
        <v>99.49</v>
      </c>
      <c r="AEI3">
        <v>99.49</v>
      </c>
      <c r="AEJ3">
        <v>99.492500000000007</v>
      </c>
      <c r="AEK3">
        <v>99.492500000000007</v>
      </c>
      <c r="AEL3">
        <v>99.487499999999997</v>
      </c>
      <c r="AEM3">
        <v>99.49</v>
      </c>
      <c r="AEN3">
        <v>99.48</v>
      </c>
      <c r="AEO3">
        <v>99.482500000000002</v>
      </c>
      <c r="AEP3">
        <v>99.477500000000006</v>
      </c>
      <c r="AEQ3">
        <v>99.484999999999999</v>
      </c>
      <c r="AER3">
        <v>99.49</v>
      </c>
      <c r="AES3">
        <v>99.487499999999997</v>
      </c>
      <c r="AET3">
        <v>99.484999999999999</v>
      </c>
      <c r="AEU3">
        <v>99.48</v>
      </c>
      <c r="AEV3">
        <v>99.48</v>
      </c>
      <c r="AEW3">
        <v>99.487499999999997</v>
      </c>
      <c r="AEX3">
        <v>99.487499999999997</v>
      </c>
      <c r="AEY3">
        <v>99.487499999999997</v>
      </c>
      <c r="AEZ3">
        <v>99.487499999999997</v>
      </c>
      <c r="AFA3">
        <v>99.487499999999997</v>
      </c>
      <c r="AFB3">
        <v>99.49</v>
      </c>
      <c r="AFC3">
        <v>99.49</v>
      </c>
      <c r="AFD3">
        <v>99.477500000000006</v>
      </c>
      <c r="AFE3">
        <v>99.487499999999997</v>
      </c>
      <c r="AFF3">
        <v>99.487499999999997</v>
      </c>
      <c r="AFG3">
        <v>99.487499999999997</v>
      </c>
      <c r="AFH3">
        <v>99.49</v>
      </c>
      <c r="AFI3">
        <v>99.495000000000005</v>
      </c>
      <c r="AFJ3">
        <v>99.504999999999995</v>
      </c>
      <c r="AFK3">
        <v>99.512500000000003</v>
      </c>
      <c r="AFL3">
        <v>99.507499999999993</v>
      </c>
      <c r="AFM3">
        <v>99.5</v>
      </c>
      <c r="AFN3">
        <v>99.48</v>
      </c>
      <c r="AFO3">
        <v>99.492500000000007</v>
      </c>
      <c r="AFP3">
        <v>99.497500000000002</v>
      </c>
      <c r="AFQ3">
        <v>99.495000000000005</v>
      </c>
      <c r="AFR3">
        <v>99.49</v>
      </c>
      <c r="AFS3">
        <v>99.487499999999997</v>
      </c>
      <c r="AFT3">
        <v>99.522499999999994</v>
      </c>
      <c r="AFU3">
        <v>99.534999999999997</v>
      </c>
      <c r="AFV3">
        <v>99.495000000000005</v>
      </c>
      <c r="AFW3">
        <v>99.952500000000001</v>
      </c>
      <c r="AFX3">
        <v>99.95</v>
      </c>
      <c r="AFY3">
        <v>99.95</v>
      </c>
      <c r="AFZ3">
        <v>99.95</v>
      </c>
      <c r="AGA3">
        <v>99.947500000000005</v>
      </c>
      <c r="AGB3">
        <v>99.95</v>
      </c>
      <c r="AGC3">
        <v>99.95</v>
      </c>
      <c r="AGD3">
        <v>99.947500000000005</v>
      </c>
      <c r="AGE3">
        <v>99.947500000000005</v>
      </c>
      <c r="AGF3">
        <v>99.947500000000005</v>
      </c>
      <c r="AGG3">
        <v>99.947500000000005</v>
      </c>
      <c r="AGH3">
        <v>99.947500000000005</v>
      </c>
      <c r="AGI3">
        <v>99.944999999999993</v>
      </c>
      <c r="AGJ3">
        <v>99.947500000000005</v>
      </c>
      <c r="AGK3">
        <v>99.947500000000005</v>
      </c>
      <c r="AGL3">
        <v>99.944999999999993</v>
      </c>
      <c r="AGM3">
        <v>99.947500000000005</v>
      </c>
      <c r="AGN3">
        <v>99.947500000000005</v>
      </c>
      <c r="AGO3">
        <v>99.947500000000005</v>
      </c>
      <c r="AGP3">
        <v>99.947500000000005</v>
      </c>
      <c r="AGQ3">
        <v>99.944999999999993</v>
      </c>
      <c r="AGR3">
        <v>99.942499999999995</v>
      </c>
      <c r="AGS3">
        <v>99.93</v>
      </c>
      <c r="AGT3">
        <v>99.91</v>
      </c>
      <c r="AGU3">
        <v>99.95</v>
      </c>
      <c r="AGV3">
        <v>99.944999999999993</v>
      </c>
      <c r="AGW3">
        <v>99.947500000000005</v>
      </c>
      <c r="AGX3">
        <v>99.942499999999995</v>
      </c>
      <c r="AGY3">
        <v>99.95</v>
      </c>
      <c r="AGZ3">
        <v>99.952500000000001</v>
      </c>
      <c r="AHA3">
        <v>99.952500000000001</v>
      </c>
      <c r="AHB3">
        <v>99.952500000000001</v>
      </c>
      <c r="AHC3">
        <v>99.952500000000001</v>
      </c>
      <c r="AHD3">
        <v>99.95</v>
      </c>
      <c r="AHE3">
        <v>99.947500000000005</v>
      </c>
      <c r="AHF3">
        <v>99.944999999999993</v>
      </c>
      <c r="AHG3">
        <v>99.947500000000005</v>
      </c>
      <c r="AHH3">
        <v>99.947500000000005</v>
      </c>
      <c r="AHI3">
        <v>99.944999999999993</v>
      </c>
      <c r="AHJ3">
        <v>99.94</v>
      </c>
      <c r="AHK3">
        <v>99.94</v>
      </c>
      <c r="AHL3">
        <v>99.942499999999995</v>
      </c>
      <c r="AHM3">
        <v>99.942499999999995</v>
      </c>
      <c r="AHN3">
        <v>99.942499999999995</v>
      </c>
      <c r="AHO3">
        <v>99.942499999999995</v>
      </c>
      <c r="AHP3">
        <v>99.94</v>
      </c>
      <c r="AHQ3">
        <v>99.932500000000005</v>
      </c>
      <c r="AHR3">
        <v>99.9375</v>
      </c>
      <c r="AHS3">
        <v>99.9375</v>
      </c>
      <c r="AHT3">
        <v>99.94</v>
      </c>
      <c r="AHU3">
        <v>99.94</v>
      </c>
      <c r="AHV3">
        <v>99.94</v>
      </c>
      <c r="AHW3">
        <v>99.942499999999995</v>
      </c>
      <c r="AHX3">
        <v>99.942499999999995</v>
      </c>
      <c r="AHY3">
        <v>99.942499999999995</v>
      </c>
      <c r="AHZ3">
        <v>99.944999999999993</v>
      </c>
      <c r="AIA3">
        <v>99.944999999999993</v>
      </c>
      <c r="AIB3">
        <v>99.942499999999995</v>
      </c>
      <c r="AIC3">
        <v>99.942499999999995</v>
      </c>
      <c r="AID3">
        <v>99.942499999999995</v>
      </c>
      <c r="AIE3">
        <v>99.94</v>
      </c>
      <c r="AIF3">
        <v>99.94</v>
      </c>
      <c r="AIG3">
        <v>99.94</v>
      </c>
      <c r="AIH3">
        <v>99.94</v>
      </c>
      <c r="AII3">
        <v>99.935000000000002</v>
      </c>
      <c r="AIJ3">
        <v>99.95</v>
      </c>
      <c r="AIK3">
        <v>99.952500000000001</v>
      </c>
      <c r="AIL3">
        <v>99.952500000000001</v>
      </c>
      <c r="AIM3">
        <v>99.952500000000001</v>
      </c>
      <c r="AIN3">
        <v>99.952500000000001</v>
      </c>
      <c r="AIO3">
        <v>99.95</v>
      </c>
      <c r="AIP3">
        <v>99.95</v>
      </c>
      <c r="AIQ3">
        <v>99.95</v>
      </c>
      <c r="AIR3">
        <v>99.95</v>
      </c>
      <c r="AIS3">
        <v>99.95</v>
      </c>
      <c r="AIT3">
        <v>99.95</v>
      </c>
      <c r="AIU3">
        <v>99.95</v>
      </c>
      <c r="AIV3">
        <v>99.952500000000001</v>
      </c>
      <c r="AIW3">
        <v>99.952500000000001</v>
      </c>
      <c r="AIX3">
        <v>99.952500000000001</v>
      </c>
      <c r="AIY3">
        <v>99.95</v>
      </c>
      <c r="AIZ3">
        <v>99.95</v>
      </c>
      <c r="AJA3">
        <v>99.95</v>
      </c>
      <c r="AJB3">
        <v>99.952500000000001</v>
      </c>
      <c r="AJC3">
        <v>99.952500000000001</v>
      </c>
      <c r="AJD3">
        <v>99.952500000000001</v>
      </c>
      <c r="AJE3">
        <v>99.952500000000001</v>
      </c>
      <c r="AJF3">
        <v>99.952500000000001</v>
      </c>
      <c r="AJG3">
        <v>99.95</v>
      </c>
      <c r="AJH3">
        <v>99.95</v>
      </c>
      <c r="AJI3">
        <v>99.954999999999998</v>
      </c>
      <c r="AJJ3">
        <v>99.952500000000001</v>
      </c>
      <c r="AJK3">
        <v>99.957499999999996</v>
      </c>
      <c r="AJL3">
        <v>99.954999999999998</v>
      </c>
      <c r="AJM3">
        <v>99.954999999999998</v>
      </c>
      <c r="AJN3">
        <v>99.952500000000001</v>
      </c>
      <c r="AJO3">
        <v>99.95</v>
      </c>
      <c r="AJP3">
        <v>99.954999999999998</v>
      </c>
      <c r="AJQ3">
        <v>99.954999999999998</v>
      </c>
      <c r="AJR3">
        <v>99.952500000000001</v>
      </c>
      <c r="AJS3">
        <v>99.952500000000001</v>
      </c>
      <c r="AJT3">
        <v>99.952500000000001</v>
      </c>
      <c r="AJU3">
        <v>99.954999999999998</v>
      </c>
      <c r="AJV3">
        <v>99.952500000000001</v>
      </c>
      <c r="AJW3">
        <v>99.954999999999998</v>
      </c>
      <c r="AJX3">
        <v>99.952500000000001</v>
      </c>
      <c r="AJY3">
        <v>99.947500000000005</v>
      </c>
      <c r="AJZ3">
        <v>99.947500000000005</v>
      </c>
      <c r="AKA3">
        <v>99.95</v>
      </c>
      <c r="AKB3">
        <v>99.944999999999993</v>
      </c>
      <c r="AKC3">
        <v>99.944999999999993</v>
      </c>
      <c r="AKD3">
        <v>99.947500000000005</v>
      </c>
      <c r="AKE3">
        <v>99.947500000000005</v>
      </c>
      <c r="AKF3">
        <v>99.947500000000005</v>
      </c>
      <c r="AKG3">
        <v>99.944999999999993</v>
      </c>
      <c r="AKH3">
        <v>99.944999999999993</v>
      </c>
      <c r="AKI3">
        <v>99.944999999999993</v>
      </c>
      <c r="AKJ3">
        <v>99.942499999999995</v>
      </c>
      <c r="AKK3">
        <v>99.947500000000005</v>
      </c>
      <c r="AKL3">
        <v>99.942499999999995</v>
      </c>
      <c r="AKM3">
        <v>99.942499999999995</v>
      </c>
      <c r="AKN3">
        <v>99.942499999999995</v>
      </c>
      <c r="AKO3">
        <v>99.942499999999995</v>
      </c>
      <c r="AKP3">
        <v>99.94</v>
      </c>
      <c r="AKQ3">
        <v>99.942499999999995</v>
      </c>
      <c r="AKR3">
        <v>99.942499999999995</v>
      </c>
      <c r="AKS3">
        <v>99.942499999999995</v>
      </c>
      <c r="AKT3">
        <v>99.94</v>
      </c>
      <c r="AKU3">
        <v>99.94</v>
      </c>
      <c r="AKV3">
        <v>99.942499999999995</v>
      </c>
      <c r="AKW3">
        <v>99.95</v>
      </c>
      <c r="AKX3">
        <v>99.952500000000001</v>
      </c>
      <c r="AKY3">
        <v>99.952500000000001</v>
      </c>
      <c r="AKZ3">
        <v>99.95</v>
      </c>
      <c r="ALA3">
        <v>99.95</v>
      </c>
      <c r="ALB3">
        <v>99.95</v>
      </c>
      <c r="ALC3">
        <v>99.95</v>
      </c>
      <c r="ALD3">
        <v>99.95</v>
      </c>
      <c r="ALE3">
        <v>99.95</v>
      </c>
      <c r="ALF3">
        <v>99.952500000000001</v>
      </c>
      <c r="ALG3">
        <v>99.952500000000001</v>
      </c>
      <c r="ALH3">
        <v>99.952500000000001</v>
      </c>
      <c r="ALI3">
        <v>99.952500000000001</v>
      </c>
      <c r="ALJ3">
        <v>99.952500000000001</v>
      </c>
      <c r="ALK3">
        <v>99.95</v>
      </c>
      <c r="ALL3">
        <v>99.95</v>
      </c>
      <c r="ALM3">
        <v>99.95</v>
      </c>
      <c r="ALN3">
        <v>99.952500000000001</v>
      </c>
      <c r="ALO3">
        <v>99.95</v>
      </c>
      <c r="ALP3">
        <v>99.952500000000001</v>
      </c>
      <c r="ALQ3">
        <v>99.95</v>
      </c>
      <c r="ALR3">
        <v>99.95</v>
      </c>
      <c r="ALS3">
        <v>99.952500000000001</v>
      </c>
      <c r="ALT3">
        <v>99.952500000000001</v>
      </c>
      <c r="ALU3">
        <v>99.947500000000005</v>
      </c>
      <c r="ALV3">
        <v>99.947500000000005</v>
      </c>
      <c r="ALW3">
        <v>99.95</v>
      </c>
      <c r="ALX3">
        <v>99.95</v>
      </c>
      <c r="ALY3">
        <v>99.95</v>
      </c>
      <c r="ALZ3">
        <v>99.952500000000001</v>
      </c>
      <c r="AMA3">
        <v>99.952500000000001</v>
      </c>
      <c r="AMB3">
        <v>99.952500000000001</v>
      </c>
      <c r="AMC3">
        <v>99.954999999999998</v>
      </c>
      <c r="AMD3">
        <v>99.954999999999998</v>
      </c>
      <c r="AME3">
        <v>99.952500000000001</v>
      </c>
      <c r="AMF3">
        <v>99.952500000000001</v>
      </c>
      <c r="AMG3">
        <v>99.947500000000005</v>
      </c>
      <c r="AMH3">
        <v>99.95</v>
      </c>
      <c r="AMI3">
        <v>99.952500000000001</v>
      </c>
      <c r="AMJ3">
        <v>99.952500000000001</v>
      </c>
      <c r="AMK3">
        <v>99.947500000000005</v>
      </c>
      <c r="AML3">
        <v>99.947500000000005</v>
      </c>
      <c r="AMM3">
        <v>99.954999999999998</v>
      </c>
      <c r="AMN3">
        <v>99.954999999999998</v>
      </c>
      <c r="AMO3">
        <v>99.95</v>
      </c>
      <c r="AMP3">
        <v>99.95</v>
      </c>
      <c r="AMQ3">
        <v>99.95</v>
      </c>
      <c r="AMR3">
        <v>99.95</v>
      </c>
      <c r="AMS3">
        <v>99.952500000000001</v>
      </c>
      <c r="AMT3">
        <v>99.954999999999998</v>
      </c>
      <c r="AMU3">
        <v>99.954999999999998</v>
      </c>
      <c r="AMV3">
        <v>99.952500000000001</v>
      </c>
      <c r="AMW3">
        <v>99.952500000000001</v>
      </c>
      <c r="AMX3">
        <v>99.952500000000001</v>
      </c>
      <c r="AMY3">
        <v>99.957499999999996</v>
      </c>
      <c r="AMZ3">
        <v>99.954999999999998</v>
      </c>
      <c r="ANA3">
        <v>99.954999999999998</v>
      </c>
      <c r="ANB3">
        <v>99.95</v>
      </c>
      <c r="ANC3">
        <v>99.954999999999998</v>
      </c>
      <c r="AND3">
        <v>99.954999999999998</v>
      </c>
      <c r="ANE3">
        <v>99.96</v>
      </c>
      <c r="ANF3">
        <v>99.95</v>
      </c>
      <c r="ANG3">
        <v>99.95</v>
      </c>
      <c r="ANH3">
        <v>99.952500000000001</v>
      </c>
      <c r="ANI3">
        <v>99.947500000000005</v>
      </c>
      <c r="ANJ3">
        <v>99.987499999999997</v>
      </c>
      <c r="ANK3">
        <v>99.987499999999997</v>
      </c>
      <c r="ANL3">
        <v>99.99</v>
      </c>
      <c r="ANM3">
        <v>99.99</v>
      </c>
      <c r="ANN3">
        <v>99.99</v>
      </c>
      <c r="ANO3">
        <v>99.992500000000007</v>
      </c>
      <c r="ANP3">
        <v>99.99</v>
      </c>
      <c r="ANQ3">
        <v>99.99</v>
      </c>
      <c r="ANR3">
        <v>99.99</v>
      </c>
      <c r="ANS3">
        <v>99.99</v>
      </c>
      <c r="ANT3">
        <v>99.99</v>
      </c>
      <c r="ANU3">
        <v>99.99</v>
      </c>
      <c r="ANV3">
        <v>99.99</v>
      </c>
      <c r="ANW3">
        <v>99.99</v>
      </c>
      <c r="ANX3">
        <v>99.99</v>
      </c>
      <c r="ANY3">
        <v>99.99</v>
      </c>
      <c r="ANZ3">
        <v>99.99</v>
      </c>
      <c r="AOA3">
        <v>99.987499999999997</v>
      </c>
      <c r="AOB3">
        <v>99.99</v>
      </c>
      <c r="AOC3">
        <v>99.987499999999997</v>
      </c>
      <c r="AOD3">
        <v>99.99</v>
      </c>
      <c r="AOE3">
        <v>99.99</v>
      </c>
      <c r="AOF3">
        <v>99.99</v>
      </c>
      <c r="AOG3">
        <v>99.99</v>
      </c>
      <c r="AOH3">
        <v>99.987499999999997</v>
      </c>
      <c r="AOI3">
        <v>99.982500000000002</v>
      </c>
      <c r="AOJ3">
        <v>99.982500000000002</v>
      </c>
      <c r="AOK3">
        <v>99.984999999999999</v>
      </c>
      <c r="AOL3">
        <v>99.984999999999999</v>
      </c>
      <c r="AOM3">
        <v>99.984999999999999</v>
      </c>
      <c r="AON3">
        <v>99.984999999999999</v>
      </c>
      <c r="AOO3">
        <v>99.982500000000002</v>
      </c>
      <c r="AOP3">
        <v>99.982500000000002</v>
      </c>
      <c r="AOQ3">
        <v>99.982500000000002</v>
      </c>
      <c r="AOR3">
        <v>99.987499999999997</v>
      </c>
      <c r="AOS3">
        <v>99.984999999999999</v>
      </c>
      <c r="AOT3">
        <v>99.984999999999999</v>
      </c>
      <c r="AOU3">
        <v>99.984999999999999</v>
      </c>
      <c r="AOV3">
        <v>99.984999999999999</v>
      </c>
      <c r="AOW3">
        <v>99.984999999999999</v>
      </c>
      <c r="AOX3">
        <v>99.982500000000002</v>
      </c>
      <c r="AOY3">
        <v>99.982500000000002</v>
      </c>
      <c r="AOZ3">
        <v>99.977500000000006</v>
      </c>
      <c r="APA3">
        <v>99.98</v>
      </c>
      <c r="APB3">
        <v>99.98</v>
      </c>
      <c r="APC3">
        <v>99.98</v>
      </c>
      <c r="APD3">
        <v>99.98</v>
      </c>
      <c r="APE3">
        <v>99.98</v>
      </c>
      <c r="APF3">
        <v>99.98</v>
      </c>
      <c r="APG3">
        <v>99.982500000000002</v>
      </c>
      <c r="APH3">
        <v>99.984999999999999</v>
      </c>
      <c r="API3">
        <v>99.987499999999997</v>
      </c>
      <c r="APJ3">
        <v>99.987499999999997</v>
      </c>
      <c r="APK3">
        <v>99.982500000000002</v>
      </c>
      <c r="APL3">
        <v>99.982500000000002</v>
      </c>
      <c r="APM3">
        <v>99.982500000000002</v>
      </c>
      <c r="APN3">
        <v>99.982500000000002</v>
      </c>
      <c r="APO3">
        <v>99.982500000000002</v>
      </c>
      <c r="APP3">
        <v>99.984999999999999</v>
      </c>
      <c r="APQ3">
        <v>99.984999999999999</v>
      </c>
      <c r="APR3">
        <v>99.984999999999999</v>
      </c>
      <c r="APS3">
        <v>99.987499999999997</v>
      </c>
      <c r="APT3">
        <v>99.987499999999997</v>
      </c>
      <c r="APU3">
        <v>99.977500000000006</v>
      </c>
      <c r="APV3">
        <v>99.974999999999994</v>
      </c>
      <c r="APW3">
        <v>99.947500000000005</v>
      </c>
      <c r="APX3">
        <v>99.947500000000005</v>
      </c>
      <c r="APY3">
        <v>99.944999999999993</v>
      </c>
      <c r="APZ3">
        <v>99.947500000000005</v>
      </c>
      <c r="AQA3">
        <v>99.944999999999993</v>
      </c>
      <c r="AQB3">
        <v>99.947500000000005</v>
      </c>
      <c r="AQC3">
        <v>99.944999999999993</v>
      </c>
      <c r="AQD3">
        <v>99.944999999999993</v>
      </c>
      <c r="AQE3">
        <v>99.944999999999993</v>
      </c>
      <c r="AQF3">
        <v>99.944999999999993</v>
      </c>
      <c r="AQG3">
        <v>99.942499999999995</v>
      </c>
      <c r="AQH3">
        <v>99.944999999999993</v>
      </c>
      <c r="AQI3">
        <v>99.947500000000005</v>
      </c>
      <c r="AQJ3">
        <v>99.942499999999995</v>
      </c>
      <c r="AQK3">
        <v>99.942499999999995</v>
      </c>
      <c r="AQL3">
        <v>99.942499999999995</v>
      </c>
      <c r="AQM3">
        <v>99.944999999999993</v>
      </c>
      <c r="AQN3">
        <v>99.942499999999995</v>
      </c>
      <c r="AQO3">
        <v>99.944999999999993</v>
      </c>
      <c r="AQP3">
        <v>99.942499999999995</v>
      </c>
      <c r="AQQ3">
        <v>99.942499999999995</v>
      </c>
      <c r="AQR3">
        <v>99.944999999999993</v>
      </c>
      <c r="AQS3">
        <v>99.944999999999993</v>
      </c>
      <c r="AQT3">
        <v>99.944999999999993</v>
      </c>
      <c r="AQU3">
        <v>99.944999999999993</v>
      </c>
      <c r="AQV3">
        <v>99.944999999999993</v>
      </c>
      <c r="AQW3">
        <v>99.944999999999993</v>
      </c>
      <c r="AQX3">
        <v>99.944999999999993</v>
      </c>
      <c r="AQY3">
        <v>99.942499999999995</v>
      </c>
      <c r="AQZ3">
        <v>99.9375</v>
      </c>
      <c r="ARA3">
        <v>99.9375</v>
      </c>
      <c r="ARB3">
        <v>99.94</v>
      </c>
      <c r="ARC3">
        <v>99.942499999999995</v>
      </c>
      <c r="ARD3">
        <v>99.9375</v>
      </c>
      <c r="ARE3">
        <v>99.9375</v>
      </c>
      <c r="ARF3">
        <v>99.935000000000002</v>
      </c>
      <c r="ARG3">
        <v>99.93</v>
      </c>
      <c r="ARH3">
        <v>99.93</v>
      </c>
      <c r="ARI3">
        <v>99.932500000000005</v>
      </c>
      <c r="ARJ3">
        <v>99.927499999999995</v>
      </c>
      <c r="ARK3">
        <v>99.924999999999997</v>
      </c>
      <c r="ARL3">
        <v>99.924999999999997</v>
      </c>
      <c r="ARM3">
        <v>99.924999999999997</v>
      </c>
      <c r="ARN3">
        <v>99.922499999999999</v>
      </c>
      <c r="ARO3">
        <v>99.924999999999997</v>
      </c>
      <c r="ARP3">
        <v>99.922499999999999</v>
      </c>
      <c r="ARQ3">
        <v>99.924999999999997</v>
      </c>
      <c r="ARR3">
        <v>99.924999999999997</v>
      </c>
      <c r="ARS3">
        <v>99.924999999999997</v>
      </c>
      <c r="ART3">
        <v>99.92</v>
      </c>
      <c r="ARU3">
        <v>99.927499999999995</v>
      </c>
      <c r="ARV3">
        <v>99.935000000000002</v>
      </c>
      <c r="ARW3">
        <v>99.93</v>
      </c>
      <c r="ARX3">
        <v>99.93</v>
      </c>
      <c r="ARY3">
        <v>99.93</v>
      </c>
      <c r="ARZ3">
        <v>99.927499999999995</v>
      </c>
      <c r="ASA3">
        <v>99.927499999999995</v>
      </c>
      <c r="ASB3">
        <v>99.93</v>
      </c>
      <c r="ASC3">
        <v>99.93</v>
      </c>
      <c r="ASD3">
        <v>99.93</v>
      </c>
      <c r="ASE3">
        <v>99.93</v>
      </c>
      <c r="ASF3">
        <v>99.932500000000005</v>
      </c>
      <c r="ASG3">
        <v>99.935000000000002</v>
      </c>
      <c r="ASH3">
        <v>99.932500000000005</v>
      </c>
      <c r="ASI3">
        <v>99.935000000000002</v>
      </c>
      <c r="ASJ3">
        <v>99.915000000000006</v>
      </c>
      <c r="ASK3">
        <v>99.915000000000006</v>
      </c>
      <c r="ASL3">
        <v>99.917500000000004</v>
      </c>
      <c r="ASM3">
        <v>99.915000000000006</v>
      </c>
      <c r="ASN3">
        <v>99.917500000000004</v>
      </c>
      <c r="ASO3">
        <v>99.917500000000004</v>
      </c>
      <c r="ASP3">
        <v>99.917500000000004</v>
      </c>
      <c r="ASQ3">
        <v>99.915000000000006</v>
      </c>
      <c r="ASR3">
        <v>99.915000000000006</v>
      </c>
      <c r="ASS3">
        <v>99.915000000000006</v>
      </c>
      <c r="AST3">
        <v>99.917500000000004</v>
      </c>
      <c r="ASU3">
        <v>99.917500000000004</v>
      </c>
      <c r="ASV3">
        <v>99.917500000000004</v>
      </c>
      <c r="ASW3">
        <v>99.917500000000004</v>
      </c>
      <c r="ASX3">
        <v>99.917500000000004</v>
      </c>
      <c r="ASY3">
        <v>99.917500000000004</v>
      </c>
      <c r="ASZ3">
        <v>99.917500000000004</v>
      </c>
      <c r="ATA3">
        <v>99.917500000000004</v>
      </c>
      <c r="ATB3">
        <v>99.92</v>
      </c>
      <c r="ATC3">
        <v>99.912499999999994</v>
      </c>
      <c r="ATD3">
        <v>99.912499999999994</v>
      </c>
      <c r="ATE3">
        <v>99.912499999999994</v>
      </c>
      <c r="ATF3">
        <v>99.912499999999994</v>
      </c>
      <c r="ATG3">
        <v>99.912499999999994</v>
      </c>
      <c r="ATH3">
        <v>99.912499999999994</v>
      </c>
      <c r="ATI3">
        <v>99.912499999999994</v>
      </c>
      <c r="ATJ3">
        <v>99.91</v>
      </c>
      <c r="ATK3">
        <v>99.91</v>
      </c>
      <c r="ATL3">
        <v>99.91</v>
      </c>
      <c r="ATM3">
        <v>99.915000000000006</v>
      </c>
      <c r="ATN3">
        <v>99.915000000000006</v>
      </c>
      <c r="ATO3">
        <v>99.915000000000006</v>
      </c>
      <c r="ATP3">
        <v>99.917500000000004</v>
      </c>
      <c r="ATQ3">
        <v>99.917500000000004</v>
      </c>
      <c r="ATR3">
        <v>99.917500000000004</v>
      </c>
      <c r="ATS3">
        <v>99.92</v>
      </c>
      <c r="ATT3">
        <v>99.92</v>
      </c>
      <c r="ATU3">
        <v>99.917500000000004</v>
      </c>
      <c r="ATV3">
        <v>99.917500000000004</v>
      </c>
      <c r="ATW3">
        <v>99.92</v>
      </c>
      <c r="ATX3">
        <v>99.917500000000004</v>
      </c>
      <c r="ATY3">
        <v>99.92</v>
      </c>
      <c r="ATZ3">
        <v>99.92</v>
      </c>
      <c r="AUA3">
        <v>99.92</v>
      </c>
      <c r="AUB3">
        <v>99.924999999999997</v>
      </c>
      <c r="AUC3">
        <v>99.924999999999997</v>
      </c>
      <c r="AUD3">
        <v>99.927499999999995</v>
      </c>
      <c r="AUE3">
        <v>99.927499999999995</v>
      </c>
      <c r="AUF3">
        <v>99.927499999999995</v>
      </c>
      <c r="AUG3">
        <v>99.927499999999995</v>
      </c>
      <c r="AUH3">
        <v>99.927499999999995</v>
      </c>
      <c r="AUI3">
        <v>99.927499999999995</v>
      </c>
      <c r="AUJ3">
        <v>99.932500000000005</v>
      </c>
      <c r="AUK3">
        <v>99.932500000000005</v>
      </c>
      <c r="AUL3">
        <v>99.932500000000005</v>
      </c>
      <c r="AUM3">
        <v>99.93</v>
      </c>
      <c r="AUN3">
        <v>99.93</v>
      </c>
      <c r="AUO3">
        <v>99.93</v>
      </c>
      <c r="AUP3">
        <v>99.93</v>
      </c>
      <c r="AUQ3">
        <v>99.927499999999995</v>
      </c>
      <c r="AUR3">
        <v>99.93</v>
      </c>
      <c r="AUS3">
        <v>99.924999999999997</v>
      </c>
      <c r="AUT3">
        <v>99.922499999999999</v>
      </c>
      <c r="AUU3">
        <v>99.927499999999995</v>
      </c>
      <c r="AUV3">
        <v>99.927499999999995</v>
      </c>
      <c r="AUW3">
        <v>99.907499999999999</v>
      </c>
      <c r="AUX3">
        <v>99.907499999999999</v>
      </c>
      <c r="AUY3">
        <v>99.907499999999999</v>
      </c>
      <c r="AUZ3">
        <v>99.907499999999999</v>
      </c>
      <c r="AVA3">
        <v>99.905000000000001</v>
      </c>
      <c r="AVB3">
        <v>99.907499999999999</v>
      </c>
      <c r="AVC3">
        <v>99.907499999999999</v>
      </c>
      <c r="AVD3">
        <v>99.907499999999999</v>
      </c>
      <c r="AVE3">
        <v>99.91</v>
      </c>
      <c r="AVF3">
        <v>99.91</v>
      </c>
      <c r="AVG3">
        <v>99.912499999999994</v>
      </c>
      <c r="AVH3">
        <v>99.91</v>
      </c>
      <c r="AVI3">
        <v>99.912499999999994</v>
      </c>
      <c r="AVJ3">
        <v>99.91</v>
      </c>
      <c r="AVK3">
        <v>99.907499999999999</v>
      </c>
      <c r="AVL3">
        <v>99.91</v>
      </c>
      <c r="AVM3">
        <v>99.912499999999994</v>
      </c>
      <c r="AVN3">
        <v>99.912499999999994</v>
      </c>
      <c r="AVO3">
        <v>99.91</v>
      </c>
      <c r="AVP3">
        <v>99.91</v>
      </c>
      <c r="AVQ3">
        <v>99.905000000000001</v>
      </c>
      <c r="AVR3">
        <v>99.907499999999999</v>
      </c>
      <c r="AVS3">
        <v>99.907499999999999</v>
      </c>
      <c r="AVT3">
        <v>99.907499999999999</v>
      </c>
      <c r="AVU3">
        <v>99.907499999999999</v>
      </c>
      <c r="AVV3">
        <v>99.91</v>
      </c>
      <c r="AVW3">
        <v>99.91</v>
      </c>
      <c r="AVX3">
        <v>99.91</v>
      </c>
      <c r="AVY3">
        <v>99.91</v>
      </c>
      <c r="AVZ3">
        <v>99.91</v>
      </c>
      <c r="AWA3">
        <v>99.91</v>
      </c>
      <c r="AWB3">
        <v>99.91</v>
      </c>
      <c r="AWC3">
        <v>99.912499999999994</v>
      </c>
      <c r="AWD3">
        <v>99.912499999999994</v>
      </c>
      <c r="AWE3">
        <v>99.912499999999994</v>
      </c>
      <c r="AWF3">
        <v>99.907499999999999</v>
      </c>
      <c r="AWG3">
        <v>99.907499999999999</v>
      </c>
      <c r="AWH3">
        <v>99.907499999999999</v>
      </c>
      <c r="AWI3">
        <v>99.91</v>
      </c>
      <c r="AWJ3">
        <v>99.905000000000001</v>
      </c>
      <c r="AWK3">
        <v>99.907499999999999</v>
      </c>
      <c r="AWL3">
        <v>99.912499999999994</v>
      </c>
      <c r="AWM3">
        <v>99.912499999999994</v>
      </c>
      <c r="AWN3">
        <v>99.915000000000006</v>
      </c>
      <c r="AWO3">
        <v>99.91</v>
      </c>
      <c r="AWP3">
        <v>99.91</v>
      </c>
      <c r="AWQ3">
        <v>99.91</v>
      </c>
      <c r="AWR3">
        <v>99.91</v>
      </c>
      <c r="AWS3">
        <v>99.912499999999994</v>
      </c>
      <c r="AWT3">
        <v>99.915000000000006</v>
      </c>
      <c r="AWU3">
        <v>99.915000000000006</v>
      </c>
      <c r="AWV3">
        <v>99.915000000000006</v>
      </c>
      <c r="AWW3">
        <v>99.922499999999999</v>
      </c>
      <c r="AWX3">
        <v>99.922499999999999</v>
      </c>
      <c r="AWY3">
        <v>99.93</v>
      </c>
      <c r="AWZ3">
        <v>99.935000000000002</v>
      </c>
      <c r="AXA3">
        <v>99.935000000000002</v>
      </c>
      <c r="AXB3">
        <v>99.935000000000002</v>
      </c>
      <c r="AXC3">
        <v>99.932500000000005</v>
      </c>
      <c r="AXD3">
        <v>99.93</v>
      </c>
      <c r="AXE3">
        <v>99.927499999999995</v>
      </c>
      <c r="AXF3">
        <v>99.927499999999995</v>
      </c>
      <c r="AXG3">
        <v>99.927499999999995</v>
      </c>
      <c r="AXH3">
        <v>99.922499999999999</v>
      </c>
      <c r="AXI3">
        <v>99.915000000000006</v>
      </c>
      <c r="AXJ3">
        <v>99.96</v>
      </c>
      <c r="AXK3">
        <v>99.96</v>
      </c>
      <c r="AXL3">
        <v>99.96</v>
      </c>
      <c r="AXM3">
        <v>99.962500000000006</v>
      </c>
      <c r="AXN3">
        <v>99.965000000000003</v>
      </c>
      <c r="AXO3">
        <v>99.962500000000006</v>
      </c>
      <c r="AXP3">
        <v>99.96</v>
      </c>
      <c r="AXQ3">
        <v>99.962500000000006</v>
      </c>
      <c r="AXR3">
        <v>99.962500000000006</v>
      </c>
      <c r="AXS3">
        <v>99.96</v>
      </c>
      <c r="AXT3">
        <v>99.965000000000003</v>
      </c>
      <c r="AXU3">
        <v>99.965000000000003</v>
      </c>
      <c r="AXV3">
        <v>99.965000000000003</v>
      </c>
      <c r="AXW3">
        <v>99.962500000000006</v>
      </c>
      <c r="AXX3">
        <v>99.96</v>
      </c>
      <c r="AXY3">
        <v>99.962500000000006</v>
      </c>
      <c r="AXZ3">
        <v>99.967500000000001</v>
      </c>
      <c r="AYA3">
        <v>99.967500000000001</v>
      </c>
      <c r="AYB3">
        <v>99.967500000000001</v>
      </c>
      <c r="AYC3">
        <v>99.967500000000001</v>
      </c>
      <c r="AYD3">
        <v>99.965000000000003</v>
      </c>
      <c r="AYE3">
        <v>99.96</v>
      </c>
      <c r="AYF3">
        <v>99.96</v>
      </c>
      <c r="AYG3">
        <v>99.96</v>
      </c>
      <c r="AYH3">
        <v>99.96</v>
      </c>
      <c r="AYI3">
        <v>99.952500000000001</v>
      </c>
      <c r="AYJ3">
        <v>99.952500000000001</v>
      </c>
      <c r="AYK3">
        <v>99.954999999999998</v>
      </c>
      <c r="AYL3">
        <v>99.96</v>
      </c>
      <c r="AYM3">
        <v>99.965000000000003</v>
      </c>
      <c r="AYN3">
        <v>99.965000000000003</v>
      </c>
      <c r="AYO3">
        <v>99.98</v>
      </c>
      <c r="AYP3">
        <v>99.974999999999994</v>
      </c>
      <c r="AYQ3">
        <v>99.982500000000002</v>
      </c>
      <c r="AYR3">
        <v>99.984999999999999</v>
      </c>
      <c r="AYS3">
        <v>99.967500000000001</v>
      </c>
      <c r="AYT3">
        <v>99.972499999999997</v>
      </c>
      <c r="AYU3">
        <v>99.967500000000001</v>
      </c>
      <c r="AYV3">
        <v>99.962500000000006</v>
      </c>
      <c r="AYW3">
        <v>99.962500000000006</v>
      </c>
      <c r="AYX3">
        <v>99.962500000000006</v>
      </c>
      <c r="AYY3">
        <v>99.95</v>
      </c>
      <c r="AYZ3">
        <v>99.95</v>
      </c>
      <c r="AZA3">
        <v>99.935000000000002</v>
      </c>
      <c r="AZB3">
        <v>99.94</v>
      </c>
      <c r="AZC3">
        <v>99.935000000000002</v>
      </c>
      <c r="AZD3">
        <v>99.95</v>
      </c>
      <c r="AZE3">
        <v>99.954999999999998</v>
      </c>
      <c r="AZF3">
        <v>99.954999999999998</v>
      </c>
      <c r="AZG3">
        <v>99.95</v>
      </c>
      <c r="AZH3">
        <v>99.944999999999993</v>
      </c>
      <c r="AZI3">
        <v>99.944999999999993</v>
      </c>
      <c r="AZJ3">
        <v>99.944999999999993</v>
      </c>
      <c r="AZK3">
        <v>99.95</v>
      </c>
      <c r="AZL3">
        <v>99.944999999999993</v>
      </c>
      <c r="AZM3">
        <v>99.9375</v>
      </c>
      <c r="AZN3">
        <v>99.942499999999995</v>
      </c>
      <c r="AZO3">
        <v>99.942499999999995</v>
      </c>
      <c r="AZP3">
        <v>99.9375</v>
      </c>
      <c r="AZQ3">
        <v>99.917500000000004</v>
      </c>
      <c r="AZR3">
        <v>99.917500000000004</v>
      </c>
      <c r="AZS3">
        <v>99.92</v>
      </c>
      <c r="AZT3">
        <v>99.9</v>
      </c>
      <c r="AZU3">
        <v>99.88</v>
      </c>
      <c r="AZV3">
        <v>99.864999999999995</v>
      </c>
      <c r="AZW3">
        <v>98.517499999999998</v>
      </c>
      <c r="AZX3">
        <v>98.52</v>
      </c>
      <c r="AZY3">
        <v>98.522499999999994</v>
      </c>
      <c r="AZZ3">
        <v>98.525000000000006</v>
      </c>
      <c r="BAA3">
        <v>98.532499999999999</v>
      </c>
      <c r="BAB3">
        <v>98.504999999999995</v>
      </c>
      <c r="BAC3">
        <v>98.52</v>
      </c>
      <c r="BAD3">
        <v>98.51</v>
      </c>
      <c r="BAE3">
        <v>98.502499999999998</v>
      </c>
      <c r="BAF3">
        <v>98.5</v>
      </c>
      <c r="BAG3">
        <v>98.51</v>
      </c>
      <c r="BAH3">
        <v>98.484999999999999</v>
      </c>
      <c r="BAI3">
        <v>98.47</v>
      </c>
      <c r="BAJ3">
        <v>98.442499999999995</v>
      </c>
      <c r="BAK3">
        <v>98.4375</v>
      </c>
      <c r="BAL3">
        <v>98.442499999999995</v>
      </c>
      <c r="BAM3">
        <v>98.4375</v>
      </c>
      <c r="BAN3">
        <v>98.435000000000002</v>
      </c>
      <c r="BAO3">
        <v>98.435000000000002</v>
      </c>
      <c r="BAP3">
        <v>98.432500000000005</v>
      </c>
      <c r="BAQ3">
        <v>98.4375</v>
      </c>
      <c r="BAR3">
        <v>98.435000000000002</v>
      </c>
      <c r="BAS3">
        <v>98.435000000000002</v>
      </c>
      <c r="BAT3">
        <v>98.435000000000002</v>
      </c>
      <c r="BAU3">
        <v>98.435000000000002</v>
      </c>
      <c r="BAV3">
        <v>98.432500000000005</v>
      </c>
      <c r="BAW3">
        <v>98.4375</v>
      </c>
      <c r="BAX3">
        <v>98.432500000000005</v>
      </c>
      <c r="BAY3">
        <v>98.43</v>
      </c>
      <c r="BAZ3">
        <v>98.43</v>
      </c>
      <c r="BBA3">
        <v>98.43</v>
      </c>
      <c r="BBB3">
        <v>98.432500000000005</v>
      </c>
      <c r="BBC3">
        <v>98.435000000000002</v>
      </c>
      <c r="BBD3">
        <v>98.432500000000005</v>
      </c>
      <c r="BBE3">
        <v>98.432500000000005</v>
      </c>
      <c r="BBF3">
        <v>98.432500000000005</v>
      </c>
      <c r="BBG3">
        <v>98.4375</v>
      </c>
      <c r="BBH3">
        <v>98.432500000000005</v>
      </c>
      <c r="BBI3">
        <v>98.43</v>
      </c>
      <c r="BBJ3">
        <v>98.43</v>
      </c>
      <c r="BBK3">
        <v>98.43</v>
      </c>
      <c r="BBL3">
        <v>98.427499999999995</v>
      </c>
      <c r="BBM3">
        <v>98.427499999999995</v>
      </c>
      <c r="BBN3">
        <v>98.43</v>
      </c>
      <c r="BBO3">
        <v>98.424999999999997</v>
      </c>
      <c r="BBP3">
        <v>98.422499999999999</v>
      </c>
      <c r="BBQ3">
        <v>98.422499999999999</v>
      </c>
      <c r="BBR3">
        <v>98.424999999999997</v>
      </c>
      <c r="BBS3">
        <v>98.43</v>
      </c>
      <c r="BBT3">
        <v>98.424999999999997</v>
      </c>
      <c r="BBU3">
        <v>98.422499999999999</v>
      </c>
      <c r="BBV3">
        <v>98.424999999999997</v>
      </c>
      <c r="BBW3">
        <v>98.427499999999995</v>
      </c>
      <c r="BBX3">
        <v>98.4375</v>
      </c>
      <c r="BBY3">
        <v>98.44</v>
      </c>
      <c r="BBZ3">
        <v>98.44</v>
      </c>
      <c r="BCA3">
        <v>98.435000000000002</v>
      </c>
      <c r="BCB3">
        <v>98.427499999999995</v>
      </c>
      <c r="BCC3">
        <v>98.417500000000004</v>
      </c>
      <c r="BCD3">
        <v>98.417500000000004</v>
      </c>
      <c r="BCE3">
        <v>98.417500000000004</v>
      </c>
      <c r="BCF3">
        <v>98.412499999999994</v>
      </c>
      <c r="BCG3">
        <v>98.41</v>
      </c>
      <c r="BCH3">
        <v>98.415000000000006</v>
      </c>
      <c r="BCI3">
        <v>98.41</v>
      </c>
      <c r="BCJ3">
        <v>98.272499999999994</v>
      </c>
      <c r="BCK3">
        <v>98.272499999999994</v>
      </c>
      <c r="BCL3">
        <v>98.272499999999994</v>
      </c>
      <c r="BCM3">
        <v>98.27</v>
      </c>
      <c r="BCN3">
        <v>98.27</v>
      </c>
      <c r="BCO3">
        <v>98.27</v>
      </c>
      <c r="BCP3">
        <v>98.272499999999994</v>
      </c>
      <c r="BCQ3">
        <v>98.267499999999998</v>
      </c>
      <c r="BCR3">
        <v>98.27</v>
      </c>
      <c r="BCS3">
        <v>98.267499999999998</v>
      </c>
      <c r="BCT3">
        <v>98.27</v>
      </c>
      <c r="BCU3">
        <v>98.27</v>
      </c>
      <c r="BCV3">
        <v>98.27</v>
      </c>
      <c r="BCW3">
        <v>98.265000000000001</v>
      </c>
      <c r="BCX3">
        <v>98.265000000000001</v>
      </c>
      <c r="BCY3">
        <v>98.262500000000003</v>
      </c>
      <c r="BCZ3">
        <v>98.262500000000003</v>
      </c>
      <c r="BDA3">
        <v>98.26</v>
      </c>
      <c r="BDB3">
        <v>98.26</v>
      </c>
      <c r="BDC3">
        <v>98.262500000000003</v>
      </c>
      <c r="BDD3">
        <v>98.265000000000001</v>
      </c>
      <c r="BDE3">
        <v>98.267499999999998</v>
      </c>
      <c r="BDF3">
        <v>98.267499999999998</v>
      </c>
      <c r="BDG3">
        <v>98.267499999999998</v>
      </c>
      <c r="BDH3">
        <v>98.262500000000003</v>
      </c>
      <c r="BDI3">
        <v>98.265000000000001</v>
      </c>
      <c r="BDJ3">
        <v>98.257499999999993</v>
      </c>
      <c r="BDK3">
        <v>98.262500000000003</v>
      </c>
      <c r="BDL3">
        <v>98.257499999999993</v>
      </c>
      <c r="BDM3">
        <v>98.262500000000003</v>
      </c>
      <c r="BDN3">
        <v>98.257499999999993</v>
      </c>
      <c r="BDO3">
        <v>98.254999999999995</v>
      </c>
      <c r="BDP3">
        <v>98.252499999999998</v>
      </c>
      <c r="BDQ3">
        <v>98.262500000000003</v>
      </c>
      <c r="BDR3">
        <v>98.247500000000002</v>
      </c>
      <c r="BDS3">
        <v>98.234999999999999</v>
      </c>
      <c r="BDT3">
        <v>98.227500000000006</v>
      </c>
      <c r="BDU3">
        <v>98.224999999999994</v>
      </c>
      <c r="BDV3">
        <v>98.23</v>
      </c>
      <c r="BDW3">
        <v>98.23</v>
      </c>
      <c r="BDX3">
        <v>98.232500000000002</v>
      </c>
      <c r="BDY3">
        <v>98.227500000000006</v>
      </c>
      <c r="BDZ3">
        <v>98.24</v>
      </c>
      <c r="BEA3">
        <v>98.224999999999994</v>
      </c>
      <c r="BEB3">
        <v>98.232500000000002</v>
      </c>
      <c r="BEC3">
        <v>98.222499999999997</v>
      </c>
      <c r="BED3">
        <v>98.23</v>
      </c>
      <c r="BEE3">
        <v>98.227500000000006</v>
      </c>
      <c r="BEF3">
        <v>98.227500000000006</v>
      </c>
      <c r="BEG3">
        <v>98.234999999999999</v>
      </c>
      <c r="BEH3">
        <v>98.245000000000005</v>
      </c>
      <c r="BEI3">
        <v>98.227500000000006</v>
      </c>
      <c r="BEJ3">
        <v>98.227500000000006</v>
      </c>
      <c r="BEK3">
        <v>98.224999999999994</v>
      </c>
      <c r="BEL3">
        <v>98.192499999999995</v>
      </c>
      <c r="BEM3">
        <v>98.16</v>
      </c>
      <c r="BEN3">
        <v>98.135000000000005</v>
      </c>
      <c r="BEO3">
        <v>98.132499999999993</v>
      </c>
      <c r="BEP3">
        <v>98.114999999999995</v>
      </c>
      <c r="BEQ3">
        <v>98.094999999999999</v>
      </c>
      <c r="BER3">
        <v>98.114999999999995</v>
      </c>
      <c r="BES3">
        <v>98.12</v>
      </c>
      <c r="BET3">
        <v>98.112499999999997</v>
      </c>
      <c r="BEU3">
        <v>98.007499999999993</v>
      </c>
      <c r="BEV3">
        <v>98.04</v>
      </c>
      <c r="BEW3">
        <v>97.682500000000005</v>
      </c>
      <c r="BEX3">
        <v>97.7</v>
      </c>
      <c r="BEY3">
        <v>97.707499999999996</v>
      </c>
      <c r="BEZ3">
        <v>97.707499999999996</v>
      </c>
      <c r="BFA3">
        <v>97.707499999999996</v>
      </c>
      <c r="BFB3">
        <v>97.707499999999996</v>
      </c>
      <c r="BFC3">
        <v>97.707499999999996</v>
      </c>
      <c r="BFD3">
        <v>97.704999999999998</v>
      </c>
      <c r="BFE3">
        <v>97.704999999999998</v>
      </c>
      <c r="BFF3">
        <v>97.71</v>
      </c>
      <c r="BFG3">
        <v>97.707499999999996</v>
      </c>
      <c r="BFH3">
        <v>97.712500000000006</v>
      </c>
      <c r="BFI3">
        <v>97.712500000000006</v>
      </c>
      <c r="BFJ3">
        <v>97.71</v>
      </c>
      <c r="BFK3">
        <v>97.707499999999996</v>
      </c>
      <c r="BFL3">
        <v>97.712500000000006</v>
      </c>
      <c r="BFM3">
        <v>97.707499999999996</v>
      </c>
      <c r="BFN3">
        <v>97.712500000000006</v>
      </c>
      <c r="BFO3">
        <v>97.697500000000005</v>
      </c>
      <c r="BFP3">
        <v>97.7</v>
      </c>
      <c r="BFQ3">
        <v>97.7</v>
      </c>
      <c r="BFR3">
        <v>97.692499999999995</v>
      </c>
      <c r="BFS3">
        <v>97.7</v>
      </c>
      <c r="BFT3">
        <v>97.704999999999998</v>
      </c>
      <c r="BFU3">
        <v>97.7</v>
      </c>
      <c r="BFV3">
        <v>97.692499999999995</v>
      </c>
      <c r="BFW3">
        <v>97.7</v>
      </c>
      <c r="BFX3">
        <v>97.692499999999995</v>
      </c>
      <c r="BFY3">
        <v>97.69</v>
      </c>
      <c r="BFZ3">
        <v>97.704999999999998</v>
      </c>
      <c r="BGA3">
        <v>97.682500000000005</v>
      </c>
      <c r="BGB3">
        <v>97.694999999999993</v>
      </c>
      <c r="BGC3">
        <v>97.685000000000002</v>
      </c>
      <c r="BGD3">
        <v>97.68</v>
      </c>
      <c r="BGE3">
        <v>97.66</v>
      </c>
      <c r="BGF3">
        <v>97.682500000000005</v>
      </c>
      <c r="BGG3">
        <v>97.692499999999995</v>
      </c>
      <c r="BGH3">
        <v>97.674999999999997</v>
      </c>
      <c r="BGI3">
        <v>97.68</v>
      </c>
      <c r="BGJ3">
        <v>97.6875</v>
      </c>
      <c r="BGK3">
        <v>97.685000000000002</v>
      </c>
      <c r="BGL3">
        <v>97.694999999999993</v>
      </c>
      <c r="BGM3">
        <v>97.7</v>
      </c>
      <c r="BGN3">
        <v>97.747500000000002</v>
      </c>
      <c r="BGO3">
        <v>97.707499999999996</v>
      </c>
      <c r="BGP3">
        <v>97.707499999999996</v>
      </c>
      <c r="BGQ3">
        <v>97.722499999999997</v>
      </c>
      <c r="BGR3">
        <v>97.722499999999997</v>
      </c>
      <c r="BGS3">
        <v>97.712500000000006</v>
      </c>
      <c r="BGT3">
        <v>97.734999999999999</v>
      </c>
      <c r="BGU3">
        <v>97.685000000000002</v>
      </c>
      <c r="BGV3">
        <v>97.692499999999995</v>
      </c>
      <c r="BGW3">
        <v>97.694999999999993</v>
      </c>
      <c r="BGX3">
        <v>97.737499999999997</v>
      </c>
      <c r="BGY3">
        <v>97.737499999999997</v>
      </c>
      <c r="BGZ3">
        <v>97.74</v>
      </c>
      <c r="BHA3">
        <v>97.734999999999999</v>
      </c>
      <c r="BHB3">
        <v>97.754999999999995</v>
      </c>
      <c r="BHC3">
        <v>97.74</v>
      </c>
      <c r="BHD3">
        <v>97.722499999999997</v>
      </c>
      <c r="BHE3">
        <v>97.752499999999998</v>
      </c>
      <c r="BHF3">
        <v>97.767499999999998</v>
      </c>
      <c r="BHG3">
        <v>97.742500000000007</v>
      </c>
      <c r="BHH3">
        <v>97.765000000000001</v>
      </c>
      <c r="BHI3">
        <v>97.745000000000005</v>
      </c>
      <c r="BHJ3">
        <v>97.555000000000007</v>
      </c>
      <c r="BHK3">
        <v>97.555000000000007</v>
      </c>
      <c r="BHL3">
        <v>97.552499999999995</v>
      </c>
      <c r="BHM3">
        <v>97.555000000000007</v>
      </c>
      <c r="BHN3">
        <v>97.555000000000007</v>
      </c>
      <c r="BHO3">
        <v>97.55</v>
      </c>
      <c r="BHP3">
        <v>97.552499999999995</v>
      </c>
      <c r="BHQ3">
        <v>97.555000000000007</v>
      </c>
      <c r="BHR3">
        <v>97.55</v>
      </c>
      <c r="BHS3">
        <v>97.557500000000005</v>
      </c>
      <c r="BHT3">
        <v>97.557500000000005</v>
      </c>
      <c r="BHU3">
        <v>97.557500000000005</v>
      </c>
      <c r="BHV3">
        <v>97.547499999999999</v>
      </c>
      <c r="BHW3">
        <v>97.542500000000004</v>
      </c>
      <c r="BHX3">
        <v>97.545000000000002</v>
      </c>
      <c r="BHY3">
        <v>97.545000000000002</v>
      </c>
      <c r="BHZ3">
        <v>97.542500000000004</v>
      </c>
      <c r="BIA3">
        <v>97.542500000000004</v>
      </c>
      <c r="BIB3">
        <v>97.545000000000002</v>
      </c>
      <c r="BIC3">
        <v>97.547499999999999</v>
      </c>
      <c r="BID3">
        <v>97.545000000000002</v>
      </c>
      <c r="BIE3">
        <v>97.542500000000004</v>
      </c>
      <c r="BIF3">
        <v>97.542500000000004</v>
      </c>
      <c r="BIG3">
        <v>97.542500000000004</v>
      </c>
      <c r="BIH3">
        <v>97.547499999999999</v>
      </c>
      <c r="BII3">
        <v>97.555000000000007</v>
      </c>
      <c r="BIJ3">
        <v>97.5625</v>
      </c>
      <c r="BIK3">
        <v>97.557500000000005</v>
      </c>
      <c r="BIL3">
        <v>97.55</v>
      </c>
      <c r="BIM3">
        <v>97.54</v>
      </c>
      <c r="BIN3">
        <v>97.547499999999999</v>
      </c>
      <c r="BIO3">
        <v>97.547499999999999</v>
      </c>
      <c r="BIP3">
        <v>97.545000000000002</v>
      </c>
      <c r="BIQ3">
        <v>97.534999999999997</v>
      </c>
      <c r="BIR3">
        <v>97.542500000000004</v>
      </c>
      <c r="BIS3">
        <v>97.542500000000004</v>
      </c>
      <c r="BIT3">
        <v>97.534999999999997</v>
      </c>
      <c r="BIU3">
        <v>97.545000000000002</v>
      </c>
      <c r="BIV3">
        <v>97.542500000000004</v>
      </c>
      <c r="BIW3">
        <v>97.547499999999999</v>
      </c>
      <c r="BIX3">
        <v>97.547499999999999</v>
      </c>
      <c r="BIY3">
        <v>97.547499999999999</v>
      </c>
      <c r="BIZ3">
        <v>97.545000000000002</v>
      </c>
      <c r="BJA3">
        <v>97.545000000000002</v>
      </c>
      <c r="BJB3">
        <v>97.547499999999999</v>
      </c>
      <c r="BJC3">
        <v>97.557500000000005</v>
      </c>
      <c r="BJD3">
        <v>97.5625</v>
      </c>
      <c r="BJE3">
        <v>97.5625</v>
      </c>
      <c r="BJF3">
        <v>97.5625</v>
      </c>
      <c r="BJG3">
        <v>97.564999999999998</v>
      </c>
      <c r="BJH3">
        <v>97.567499999999995</v>
      </c>
      <c r="BJI3">
        <v>97.5625</v>
      </c>
      <c r="BJJ3">
        <v>97.567499999999995</v>
      </c>
      <c r="BJK3">
        <v>97.572500000000005</v>
      </c>
      <c r="BJL3">
        <v>97.575000000000003</v>
      </c>
      <c r="BJM3">
        <v>97.584999999999994</v>
      </c>
      <c r="BJN3">
        <v>97.58</v>
      </c>
      <c r="BJO3">
        <v>97.577500000000001</v>
      </c>
      <c r="BJP3">
        <v>97.575000000000003</v>
      </c>
      <c r="BJQ3">
        <v>97.572500000000005</v>
      </c>
      <c r="BJR3">
        <v>97.564999999999998</v>
      </c>
      <c r="BJS3">
        <v>97.57</v>
      </c>
      <c r="BJT3">
        <v>97.567499999999995</v>
      </c>
      <c r="BJU3">
        <v>97.557500000000005</v>
      </c>
      <c r="BJV3">
        <v>97.5625</v>
      </c>
      <c r="BJW3">
        <v>97.555000000000007</v>
      </c>
      <c r="BJX3">
        <v>97.555000000000007</v>
      </c>
      <c r="BJY3">
        <v>97.56</v>
      </c>
      <c r="BJZ3">
        <v>97.56</v>
      </c>
      <c r="BKA3">
        <v>97.557500000000005</v>
      </c>
      <c r="BKB3">
        <v>97.557500000000005</v>
      </c>
      <c r="BKC3">
        <v>97.56</v>
      </c>
      <c r="BKD3">
        <v>97.56</v>
      </c>
      <c r="BKE3">
        <v>97.5625</v>
      </c>
      <c r="BKF3">
        <v>97.5625</v>
      </c>
      <c r="BKG3">
        <v>97.56</v>
      </c>
      <c r="BKH3">
        <v>97.557500000000005</v>
      </c>
      <c r="BKI3">
        <v>97.55</v>
      </c>
      <c r="BKJ3">
        <v>97.55</v>
      </c>
      <c r="BKK3">
        <v>97.55</v>
      </c>
      <c r="BKL3">
        <v>97.55</v>
      </c>
      <c r="BKM3">
        <v>97.55</v>
      </c>
      <c r="BKN3">
        <v>97.555000000000007</v>
      </c>
      <c r="BKO3">
        <v>97.55</v>
      </c>
      <c r="BKP3">
        <v>97.55</v>
      </c>
      <c r="BKQ3">
        <v>97.552499999999995</v>
      </c>
      <c r="BKR3">
        <v>97.545000000000002</v>
      </c>
      <c r="BKS3">
        <v>97.545000000000002</v>
      </c>
      <c r="BKT3">
        <v>97.55</v>
      </c>
      <c r="BKU3">
        <v>97.545000000000002</v>
      </c>
      <c r="BKV3">
        <v>97.547499999999999</v>
      </c>
      <c r="BKW3">
        <v>97.545000000000002</v>
      </c>
      <c r="BKX3">
        <v>97.545000000000002</v>
      </c>
      <c r="BKY3">
        <v>97.55</v>
      </c>
      <c r="BKZ3">
        <v>97.545000000000002</v>
      </c>
      <c r="BLA3">
        <v>97.545000000000002</v>
      </c>
      <c r="BLB3">
        <v>97.54</v>
      </c>
      <c r="BLC3">
        <v>97.54</v>
      </c>
      <c r="BLD3">
        <v>97.542500000000004</v>
      </c>
      <c r="BLE3">
        <v>97.542500000000004</v>
      </c>
      <c r="BLF3">
        <v>97.54</v>
      </c>
      <c r="BLG3">
        <v>97.54</v>
      </c>
      <c r="BLH3">
        <v>97.534999999999997</v>
      </c>
      <c r="BLI3">
        <v>97.537499999999994</v>
      </c>
      <c r="BLJ3">
        <v>97.537499999999994</v>
      </c>
      <c r="BLK3">
        <v>97.537499999999994</v>
      </c>
      <c r="BLL3">
        <v>97.532499999999999</v>
      </c>
      <c r="BLM3">
        <v>97.532499999999999</v>
      </c>
      <c r="BLN3">
        <v>97.542500000000004</v>
      </c>
      <c r="BLO3">
        <v>97.547499999999999</v>
      </c>
      <c r="BLP3">
        <v>97.547499999999999</v>
      </c>
      <c r="BLQ3">
        <v>97.54</v>
      </c>
      <c r="BLR3">
        <v>97.55</v>
      </c>
      <c r="BLS3">
        <v>97.542500000000004</v>
      </c>
      <c r="BLT3">
        <v>97.547499999999999</v>
      </c>
      <c r="BLU3">
        <v>97.545000000000002</v>
      </c>
      <c r="BLV3">
        <v>97.545000000000002</v>
      </c>
      <c r="BLW3">
        <v>97.542500000000004</v>
      </c>
      <c r="BLX3">
        <v>97.555000000000007</v>
      </c>
      <c r="BLY3">
        <v>97.552499999999995</v>
      </c>
      <c r="BLZ3">
        <v>97.567499999999995</v>
      </c>
      <c r="BMA3">
        <v>97.567499999999995</v>
      </c>
      <c r="BMB3">
        <v>97.58</v>
      </c>
      <c r="BMC3">
        <v>97.58</v>
      </c>
      <c r="BMD3">
        <v>97.582499999999996</v>
      </c>
      <c r="BME3">
        <v>97.594999999999999</v>
      </c>
      <c r="BMF3">
        <v>97.594999999999999</v>
      </c>
      <c r="BMG3">
        <v>97.57</v>
      </c>
      <c r="BMH3">
        <v>97.555000000000007</v>
      </c>
      <c r="BMI3">
        <v>97.56</v>
      </c>
      <c r="BMJ3">
        <v>97.805000000000007</v>
      </c>
      <c r="BMK3">
        <v>97.805000000000007</v>
      </c>
      <c r="BML3">
        <v>97.802499999999995</v>
      </c>
      <c r="BMM3">
        <v>97.802499999999995</v>
      </c>
      <c r="BMN3">
        <v>97.802499999999995</v>
      </c>
      <c r="BMO3">
        <v>97.802499999999995</v>
      </c>
      <c r="BMP3">
        <v>97.807500000000005</v>
      </c>
      <c r="BMQ3">
        <v>97.8125</v>
      </c>
      <c r="BMR3">
        <v>97.814999999999998</v>
      </c>
      <c r="BMS3">
        <v>97.817499999999995</v>
      </c>
      <c r="BMT3">
        <v>97.817499999999995</v>
      </c>
      <c r="BMU3">
        <v>97.8125</v>
      </c>
      <c r="BMV3">
        <v>97.814999999999998</v>
      </c>
      <c r="BMW3">
        <v>97.8125</v>
      </c>
      <c r="BMX3">
        <v>97.807500000000005</v>
      </c>
      <c r="BMY3">
        <v>97.807500000000005</v>
      </c>
      <c r="BMZ3">
        <v>97.805000000000007</v>
      </c>
      <c r="BNA3">
        <v>97.805000000000007</v>
      </c>
      <c r="BNB3">
        <v>97.805000000000007</v>
      </c>
      <c r="BNC3">
        <v>97.805000000000007</v>
      </c>
      <c r="BND3">
        <v>97.805000000000007</v>
      </c>
      <c r="BNE3">
        <v>97.81</v>
      </c>
      <c r="BNF3">
        <v>97.81</v>
      </c>
      <c r="BNG3">
        <v>97.81</v>
      </c>
      <c r="BNH3">
        <v>97.814999999999998</v>
      </c>
      <c r="BNI3">
        <v>97.814999999999998</v>
      </c>
      <c r="BNJ3">
        <v>97.814999999999998</v>
      </c>
      <c r="BNK3">
        <v>97.814999999999998</v>
      </c>
      <c r="BNL3">
        <v>97.807500000000005</v>
      </c>
      <c r="BNM3">
        <v>97.805000000000007</v>
      </c>
      <c r="BNN3">
        <v>97.805000000000007</v>
      </c>
      <c r="BNO3">
        <v>97.81</v>
      </c>
      <c r="BNP3">
        <v>97.807500000000005</v>
      </c>
      <c r="BNQ3">
        <v>97.8125</v>
      </c>
      <c r="BNR3">
        <v>97.807500000000005</v>
      </c>
      <c r="BNS3">
        <v>97.817499999999995</v>
      </c>
      <c r="BNT3">
        <v>97.817499999999995</v>
      </c>
      <c r="BNU3">
        <v>97.817499999999995</v>
      </c>
      <c r="BNV3">
        <v>97.814999999999998</v>
      </c>
      <c r="BNW3">
        <v>97.81</v>
      </c>
      <c r="BNX3">
        <v>97.805000000000007</v>
      </c>
      <c r="BNY3">
        <v>97.795000000000002</v>
      </c>
      <c r="BNZ3">
        <v>97.79</v>
      </c>
      <c r="BOA3">
        <v>97.797499999999999</v>
      </c>
      <c r="BOB3">
        <v>97.8125</v>
      </c>
      <c r="BOC3">
        <v>97.817499999999995</v>
      </c>
      <c r="BOD3">
        <v>97.8125</v>
      </c>
      <c r="BOE3">
        <v>97.82</v>
      </c>
      <c r="BOF3">
        <v>97.814999999999998</v>
      </c>
      <c r="BOG3">
        <v>97.814999999999998</v>
      </c>
      <c r="BOH3">
        <v>97.805000000000007</v>
      </c>
      <c r="BOI3">
        <v>97.805000000000007</v>
      </c>
      <c r="BOJ3">
        <v>97.81</v>
      </c>
      <c r="BOK3">
        <v>97.81</v>
      </c>
      <c r="BOL3">
        <v>97.81</v>
      </c>
      <c r="BOM3">
        <v>97.814999999999998</v>
      </c>
      <c r="BON3">
        <v>97.805000000000007</v>
      </c>
      <c r="BOO3">
        <v>97.81</v>
      </c>
      <c r="BOP3">
        <v>97.805000000000007</v>
      </c>
      <c r="BOQ3">
        <v>97.8</v>
      </c>
      <c r="BOR3">
        <v>97.79</v>
      </c>
      <c r="BOS3">
        <v>97.805000000000007</v>
      </c>
      <c r="BOT3">
        <v>97.805000000000007</v>
      </c>
      <c r="BOU3">
        <v>97.795000000000002</v>
      </c>
      <c r="BOV3">
        <v>97.805000000000007</v>
      </c>
      <c r="BOW3">
        <v>98.067499999999995</v>
      </c>
      <c r="BOX3">
        <v>98.067499999999995</v>
      </c>
      <c r="BOY3">
        <v>98.07</v>
      </c>
      <c r="BOZ3">
        <v>98.07</v>
      </c>
      <c r="BPA3">
        <v>98.072500000000005</v>
      </c>
      <c r="BPB3">
        <v>98.072500000000005</v>
      </c>
      <c r="BPC3">
        <v>98.072500000000005</v>
      </c>
      <c r="BPD3">
        <v>98.072500000000005</v>
      </c>
      <c r="BPE3">
        <v>98.075000000000003</v>
      </c>
      <c r="BPF3">
        <v>98.075000000000003</v>
      </c>
      <c r="BPG3">
        <v>98.072500000000005</v>
      </c>
      <c r="BPH3">
        <v>98.077500000000001</v>
      </c>
      <c r="BPI3">
        <v>98.077500000000001</v>
      </c>
      <c r="BPJ3">
        <v>98.077500000000001</v>
      </c>
      <c r="BPK3">
        <v>98.075000000000003</v>
      </c>
      <c r="BPL3">
        <v>98.072500000000005</v>
      </c>
      <c r="BPM3">
        <v>98.072500000000005</v>
      </c>
      <c r="BPN3">
        <v>98.075000000000003</v>
      </c>
      <c r="BPO3">
        <v>98.077500000000001</v>
      </c>
      <c r="BPP3">
        <v>98.08</v>
      </c>
      <c r="BPQ3">
        <v>98.08</v>
      </c>
      <c r="BPR3">
        <v>98.082499999999996</v>
      </c>
      <c r="BPS3">
        <v>98.082499999999996</v>
      </c>
      <c r="BPT3">
        <v>98.08</v>
      </c>
      <c r="BPU3">
        <v>98.08</v>
      </c>
      <c r="BPV3">
        <v>98.08</v>
      </c>
      <c r="BPW3">
        <v>98.08</v>
      </c>
      <c r="BPX3">
        <v>98.084999999999994</v>
      </c>
      <c r="BPY3">
        <v>98.077500000000001</v>
      </c>
      <c r="BPZ3">
        <v>98.08</v>
      </c>
      <c r="BQA3">
        <v>98.08</v>
      </c>
      <c r="BQB3">
        <v>98.075000000000003</v>
      </c>
      <c r="BQC3">
        <v>98.075000000000003</v>
      </c>
      <c r="BQD3">
        <v>98.067499999999995</v>
      </c>
      <c r="BQE3">
        <v>98.0625</v>
      </c>
      <c r="BQF3">
        <v>98.0625</v>
      </c>
      <c r="BQG3">
        <v>98.064999999999998</v>
      </c>
      <c r="BQH3">
        <v>98.064999999999998</v>
      </c>
      <c r="BQI3">
        <v>98.06</v>
      </c>
      <c r="BQJ3">
        <v>98.057500000000005</v>
      </c>
      <c r="BQK3">
        <v>98.057500000000005</v>
      </c>
      <c r="BQL3">
        <v>98.067499999999995</v>
      </c>
      <c r="BQM3">
        <v>98.067499999999995</v>
      </c>
      <c r="BQN3">
        <v>98.067499999999995</v>
      </c>
      <c r="BQO3">
        <v>98.067499999999995</v>
      </c>
      <c r="BQP3">
        <v>98.064999999999998</v>
      </c>
      <c r="BQQ3">
        <v>98.06</v>
      </c>
      <c r="BQR3">
        <v>98.05</v>
      </c>
      <c r="BQS3">
        <v>98.05</v>
      </c>
      <c r="BQT3">
        <v>98.055000000000007</v>
      </c>
      <c r="BQU3">
        <v>98.06</v>
      </c>
      <c r="BQV3">
        <v>98.064999999999998</v>
      </c>
      <c r="BQW3">
        <v>98.07</v>
      </c>
      <c r="BQX3">
        <v>98.07</v>
      </c>
      <c r="BQY3">
        <v>98.08</v>
      </c>
      <c r="BQZ3">
        <v>98.08</v>
      </c>
      <c r="BRA3">
        <v>98.075000000000003</v>
      </c>
      <c r="BRB3">
        <v>98.08</v>
      </c>
      <c r="BRC3">
        <v>98.08</v>
      </c>
      <c r="BRD3">
        <v>98.075000000000003</v>
      </c>
      <c r="BRE3">
        <v>98.08</v>
      </c>
      <c r="BRF3">
        <v>98.07</v>
      </c>
      <c r="BRG3">
        <v>98.064999999999998</v>
      </c>
      <c r="BRH3">
        <v>98.064999999999998</v>
      </c>
      <c r="BRI3">
        <v>98.057500000000005</v>
      </c>
      <c r="BRJ3">
        <v>98.075000000000003</v>
      </c>
      <c r="BRK3">
        <v>98.07</v>
      </c>
      <c r="BRL3">
        <v>98.064999999999998</v>
      </c>
      <c r="BRM3">
        <v>98.05</v>
      </c>
      <c r="BRN3">
        <v>98.03</v>
      </c>
      <c r="BRO3">
        <v>98.032499999999999</v>
      </c>
      <c r="BRP3">
        <v>98.03</v>
      </c>
      <c r="BRQ3">
        <v>98.03</v>
      </c>
      <c r="BRR3">
        <v>98.01</v>
      </c>
      <c r="BRS3">
        <v>98.007499999999993</v>
      </c>
      <c r="BRT3">
        <v>98.015000000000001</v>
      </c>
      <c r="BRU3">
        <v>98.01</v>
      </c>
      <c r="BRV3">
        <v>98.032499999999999</v>
      </c>
      <c r="BRW3">
        <v>98.047499999999999</v>
      </c>
      <c r="BRX3">
        <v>98.0625</v>
      </c>
      <c r="BRY3">
        <v>98.075000000000003</v>
      </c>
      <c r="BRZ3">
        <v>98.04</v>
      </c>
      <c r="BSA3">
        <v>98.04</v>
      </c>
      <c r="BSB3">
        <v>98.034999999999997</v>
      </c>
      <c r="BSC3">
        <v>98.034999999999997</v>
      </c>
      <c r="BSD3">
        <v>98</v>
      </c>
      <c r="BSE3">
        <v>97.99</v>
      </c>
      <c r="BSF3">
        <v>98</v>
      </c>
      <c r="BSG3">
        <v>97.997500000000002</v>
      </c>
      <c r="BSH3">
        <v>98</v>
      </c>
      <c r="BSI3">
        <v>98.004999999999995</v>
      </c>
      <c r="BSJ3">
        <v>98.015000000000001</v>
      </c>
      <c r="BSK3">
        <v>98.004999999999995</v>
      </c>
      <c r="BSL3">
        <v>98.01</v>
      </c>
      <c r="BSM3">
        <v>98.02</v>
      </c>
      <c r="BSN3">
        <v>98.02</v>
      </c>
      <c r="BSO3">
        <v>98.025000000000006</v>
      </c>
      <c r="BSP3">
        <v>97.91</v>
      </c>
      <c r="BSQ3" t="s">
        <v>6984</v>
      </c>
      <c r="BSR3" t="s">
        <v>6984</v>
      </c>
      <c r="BSS3" t="s">
        <v>6984</v>
      </c>
      <c r="BST3" t="s">
        <v>6984</v>
      </c>
      <c r="BSU3" t="s">
        <v>6984</v>
      </c>
      <c r="BSV3" t="s">
        <v>6984</v>
      </c>
      <c r="BSW3" t="s">
        <v>6984</v>
      </c>
      <c r="BSX3" t="s">
        <v>6984</v>
      </c>
      <c r="BSY3" t="s">
        <v>6984</v>
      </c>
      <c r="BSZ3" t="s">
        <v>6984</v>
      </c>
      <c r="BTA3" t="s">
        <v>6984</v>
      </c>
      <c r="BTB3" t="s">
        <v>6984</v>
      </c>
      <c r="BTC3" t="s">
        <v>6984</v>
      </c>
      <c r="BTD3" t="s">
        <v>6984</v>
      </c>
      <c r="BTE3" t="s">
        <v>6984</v>
      </c>
      <c r="BTF3" t="s">
        <v>6984</v>
      </c>
      <c r="BTG3" t="s">
        <v>6984</v>
      </c>
      <c r="BTH3" t="s">
        <v>6984</v>
      </c>
      <c r="BTI3" t="s">
        <v>6984</v>
      </c>
      <c r="BTJ3" t="s">
        <v>6984</v>
      </c>
      <c r="BTK3" t="s">
        <v>6984</v>
      </c>
      <c r="BTL3" t="s">
        <v>6984</v>
      </c>
      <c r="BTM3" t="s">
        <v>6984</v>
      </c>
      <c r="BTN3" t="s">
        <v>6984</v>
      </c>
      <c r="BTO3" t="s">
        <v>6984</v>
      </c>
      <c r="BTP3" t="s">
        <v>6984</v>
      </c>
      <c r="BTQ3" t="s">
        <v>6984</v>
      </c>
      <c r="BTR3" t="s">
        <v>6984</v>
      </c>
      <c r="BTS3" t="s">
        <v>6984</v>
      </c>
      <c r="BTT3" t="s">
        <v>6984</v>
      </c>
      <c r="BTU3" t="s">
        <v>6984</v>
      </c>
      <c r="BTV3" t="s">
        <v>6984</v>
      </c>
      <c r="BTW3" t="s">
        <v>6984</v>
      </c>
      <c r="BTX3" t="s">
        <v>6984</v>
      </c>
      <c r="BTY3" t="s">
        <v>6984</v>
      </c>
      <c r="BTZ3" t="s">
        <v>6984</v>
      </c>
      <c r="BUA3" t="s">
        <v>6984</v>
      </c>
      <c r="BUB3" t="s">
        <v>6984</v>
      </c>
      <c r="BUC3" t="s">
        <v>6984</v>
      </c>
      <c r="BUD3" t="s">
        <v>6984</v>
      </c>
      <c r="BUE3" t="s">
        <v>6984</v>
      </c>
      <c r="BUF3" t="s">
        <v>6984</v>
      </c>
      <c r="BUG3" t="s">
        <v>6984</v>
      </c>
      <c r="BUH3" t="s">
        <v>6984</v>
      </c>
      <c r="BUI3" t="s">
        <v>6984</v>
      </c>
      <c r="BUJ3" t="s">
        <v>6984</v>
      </c>
      <c r="BUK3" t="s">
        <v>6984</v>
      </c>
      <c r="BUL3" t="s">
        <v>6984</v>
      </c>
      <c r="BUM3" t="s">
        <v>6984</v>
      </c>
      <c r="BUN3" t="s">
        <v>6984</v>
      </c>
      <c r="BUO3" t="s">
        <v>6984</v>
      </c>
      <c r="BUP3" t="s">
        <v>6984</v>
      </c>
      <c r="BUQ3" t="s">
        <v>6984</v>
      </c>
      <c r="BUR3" t="s">
        <v>6984</v>
      </c>
      <c r="BUS3" t="s">
        <v>6984</v>
      </c>
      <c r="BUT3" t="s">
        <v>6984</v>
      </c>
      <c r="BUU3" t="s">
        <v>6984</v>
      </c>
      <c r="BUV3" t="s">
        <v>6984</v>
      </c>
      <c r="BUW3" t="s">
        <v>6984</v>
      </c>
      <c r="BUX3" t="s">
        <v>6984</v>
      </c>
      <c r="BUY3" t="s">
        <v>6984</v>
      </c>
      <c r="BUZ3" t="s">
        <v>6984</v>
      </c>
      <c r="BVA3" t="s">
        <v>6984</v>
      </c>
      <c r="BVB3" t="s">
        <v>6984</v>
      </c>
      <c r="BVC3" t="s">
        <v>6984</v>
      </c>
      <c r="BVD3" t="s">
        <v>6984</v>
      </c>
      <c r="BVE3" t="s">
        <v>6984</v>
      </c>
      <c r="BVF3" t="s">
        <v>6984</v>
      </c>
      <c r="BVG3" t="s">
        <v>6984</v>
      </c>
      <c r="BVH3" t="s">
        <v>6984</v>
      </c>
      <c r="BVI3" t="s">
        <v>6984</v>
      </c>
      <c r="BVJ3" t="s">
        <v>6984</v>
      </c>
      <c r="BVK3" t="s">
        <v>6984</v>
      </c>
      <c r="BVL3" t="s">
        <v>6984</v>
      </c>
      <c r="BVM3" t="s">
        <v>6984</v>
      </c>
      <c r="BVN3" t="s">
        <v>6984</v>
      </c>
      <c r="BVO3" t="s">
        <v>6984</v>
      </c>
      <c r="BVP3" t="s">
        <v>6984</v>
      </c>
      <c r="BVQ3" t="s">
        <v>6984</v>
      </c>
      <c r="BVR3" t="s">
        <v>6984</v>
      </c>
      <c r="BVS3" t="s">
        <v>6984</v>
      </c>
      <c r="BVT3" t="s">
        <v>6984</v>
      </c>
      <c r="BVU3" t="s">
        <v>6984</v>
      </c>
      <c r="BVV3" t="s">
        <v>6984</v>
      </c>
      <c r="BVW3" t="s">
        <v>6984</v>
      </c>
      <c r="BVX3" t="s">
        <v>6984</v>
      </c>
      <c r="BVY3" t="s">
        <v>6984</v>
      </c>
      <c r="BVZ3" t="s">
        <v>6984</v>
      </c>
      <c r="BWA3" t="s">
        <v>6984</v>
      </c>
      <c r="BWB3" t="s">
        <v>6984</v>
      </c>
      <c r="BWC3" t="s">
        <v>6984</v>
      </c>
      <c r="BWD3" t="s">
        <v>6984</v>
      </c>
      <c r="BWE3" t="s">
        <v>6984</v>
      </c>
      <c r="BWF3" t="s">
        <v>6984</v>
      </c>
      <c r="BWG3" t="s">
        <v>6984</v>
      </c>
      <c r="BWH3" t="s">
        <v>6984</v>
      </c>
      <c r="BWI3" t="s">
        <v>6984</v>
      </c>
      <c r="BWJ3" t="s">
        <v>6984</v>
      </c>
      <c r="BWK3" t="s">
        <v>6984</v>
      </c>
      <c r="BWL3" t="s">
        <v>6984</v>
      </c>
      <c r="BWM3" t="s">
        <v>6984</v>
      </c>
      <c r="BWN3" t="s">
        <v>6984</v>
      </c>
      <c r="BWO3" t="s">
        <v>6984</v>
      </c>
      <c r="BWP3" t="s">
        <v>6984</v>
      </c>
      <c r="BWQ3" t="s">
        <v>6984</v>
      </c>
      <c r="BWR3" t="s">
        <v>6984</v>
      </c>
      <c r="BWS3" t="s">
        <v>6984</v>
      </c>
      <c r="BWT3" t="s">
        <v>6984</v>
      </c>
      <c r="BWU3" t="s">
        <v>6984</v>
      </c>
      <c r="BWV3" t="s">
        <v>6984</v>
      </c>
      <c r="BWW3" t="s">
        <v>6984</v>
      </c>
      <c r="BWX3" t="s">
        <v>6984</v>
      </c>
      <c r="BWY3" t="s">
        <v>6984</v>
      </c>
      <c r="BWZ3" t="s">
        <v>6984</v>
      </c>
      <c r="BXA3" t="s">
        <v>6984</v>
      </c>
      <c r="BXB3" t="s">
        <v>6984</v>
      </c>
      <c r="BXC3" t="s">
        <v>6984</v>
      </c>
      <c r="BXD3" t="s">
        <v>6984</v>
      </c>
      <c r="BXE3" t="s">
        <v>6984</v>
      </c>
      <c r="BXF3" t="s">
        <v>6984</v>
      </c>
      <c r="BXG3" t="s">
        <v>6984</v>
      </c>
      <c r="BXH3" t="s">
        <v>6984</v>
      </c>
      <c r="BXI3" t="s">
        <v>6984</v>
      </c>
      <c r="BXJ3" t="s">
        <v>6984</v>
      </c>
      <c r="BXK3" t="s">
        <v>6984</v>
      </c>
      <c r="BXL3" t="s">
        <v>6984</v>
      </c>
      <c r="BXM3" t="s">
        <v>6984</v>
      </c>
      <c r="BXN3" t="s">
        <v>6984</v>
      </c>
      <c r="BXO3" t="s">
        <v>6984</v>
      </c>
      <c r="BXP3" t="s">
        <v>6984</v>
      </c>
      <c r="BXQ3" t="s">
        <v>6984</v>
      </c>
      <c r="BXR3" t="s">
        <v>6984</v>
      </c>
      <c r="BXS3" t="s">
        <v>6984</v>
      </c>
      <c r="BXT3" t="s">
        <v>6984</v>
      </c>
      <c r="BXU3" t="s">
        <v>6984</v>
      </c>
      <c r="BXV3" t="s">
        <v>6984</v>
      </c>
      <c r="BXW3" t="s">
        <v>6984</v>
      </c>
      <c r="BXX3" t="s">
        <v>6984</v>
      </c>
      <c r="BXY3" t="s">
        <v>6984</v>
      </c>
      <c r="BXZ3" t="s">
        <v>6984</v>
      </c>
      <c r="BYA3" t="s">
        <v>6984</v>
      </c>
      <c r="BYB3" t="s">
        <v>6984</v>
      </c>
      <c r="BYC3" t="s">
        <v>6984</v>
      </c>
      <c r="BYD3" t="s">
        <v>6984</v>
      </c>
      <c r="BYE3" t="s">
        <v>6984</v>
      </c>
      <c r="BYF3" t="s">
        <v>6984</v>
      </c>
      <c r="BYG3" t="s">
        <v>6984</v>
      </c>
      <c r="BYH3" t="s">
        <v>6984</v>
      </c>
      <c r="BYI3" t="s">
        <v>6984</v>
      </c>
      <c r="BYJ3" t="s">
        <v>6984</v>
      </c>
      <c r="BYK3" t="s">
        <v>6984</v>
      </c>
      <c r="BYL3" t="s">
        <v>6984</v>
      </c>
      <c r="BYM3" t="s">
        <v>6984</v>
      </c>
      <c r="BYN3" t="s">
        <v>6984</v>
      </c>
      <c r="BYO3" t="s">
        <v>6984</v>
      </c>
      <c r="BYP3" t="s">
        <v>6984</v>
      </c>
      <c r="BYQ3" t="s">
        <v>6984</v>
      </c>
      <c r="BYR3" t="s">
        <v>6984</v>
      </c>
      <c r="BYS3" t="s">
        <v>6984</v>
      </c>
      <c r="BYT3" t="s">
        <v>6984</v>
      </c>
      <c r="BYU3" t="s">
        <v>6984</v>
      </c>
      <c r="BYV3" t="s">
        <v>6984</v>
      </c>
      <c r="BYW3" t="s">
        <v>6984</v>
      </c>
      <c r="BYX3" t="s">
        <v>6984</v>
      </c>
      <c r="BYY3" t="s">
        <v>6984</v>
      </c>
      <c r="BYZ3" t="s">
        <v>6984</v>
      </c>
      <c r="BZA3" t="s">
        <v>6984</v>
      </c>
      <c r="BZB3" t="s">
        <v>6984</v>
      </c>
      <c r="BZC3" t="s">
        <v>6984</v>
      </c>
      <c r="BZD3" t="s">
        <v>6984</v>
      </c>
      <c r="BZE3" t="s">
        <v>6984</v>
      </c>
      <c r="BZF3" t="s">
        <v>6984</v>
      </c>
      <c r="BZG3" t="s">
        <v>6984</v>
      </c>
      <c r="BZH3" t="s">
        <v>6984</v>
      </c>
      <c r="BZI3" t="s">
        <v>6984</v>
      </c>
      <c r="BZJ3" t="s">
        <v>6984</v>
      </c>
      <c r="BZK3" t="s">
        <v>6984</v>
      </c>
      <c r="BZL3" t="s">
        <v>6984</v>
      </c>
      <c r="BZM3" t="s">
        <v>6984</v>
      </c>
      <c r="BZN3" t="s">
        <v>6984</v>
      </c>
      <c r="BZO3" t="s">
        <v>6984</v>
      </c>
      <c r="BZP3" t="s">
        <v>6984</v>
      </c>
      <c r="BZQ3" t="s">
        <v>6984</v>
      </c>
      <c r="BZR3" t="s">
        <v>6984</v>
      </c>
      <c r="BZS3" t="s">
        <v>6984</v>
      </c>
      <c r="BZT3" t="s">
        <v>6984</v>
      </c>
      <c r="BZU3" t="s">
        <v>6984</v>
      </c>
      <c r="BZV3" t="s">
        <v>6984</v>
      </c>
      <c r="BZW3" t="s">
        <v>6984</v>
      </c>
      <c r="BZX3" t="s">
        <v>6984</v>
      </c>
      <c r="BZY3" t="s">
        <v>6984</v>
      </c>
      <c r="BZZ3" t="s">
        <v>6984</v>
      </c>
      <c r="CAA3" t="s">
        <v>6984</v>
      </c>
      <c r="CAB3" t="s">
        <v>6984</v>
      </c>
      <c r="CAC3" t="s">
        <v>6984</v>
      </c>
      <c r="CAD3" t="s">
        <v>6984</v>
      </c>
      <c r="CAE3" t="s">
        <v>6984</v>
      </c>
      <c r="CAF3" t="s">
        <v>6984</v>
      </c>
      <c r="CAG3" t="s">
        <v>6984</v>
      </c>
      <c r="CAH3" t="s">
        <v>6984</v>
      </c>
      <c r="CAI3" t="s">
        <v>6984</v>
      </c>
      <c r="CAJ3" t="s">
        <v>6984</v>
      </c>
      <c r="CAK3" t="s">
        <v>6984</v>
      </c>
      <c r="CAL3" t="s">
        <v>6984</v>
      </c>
      <c r="CAM3" t="s">
        <v>6984</v>
      </c>
      <c r="CAN3" t="s">
        <v>6984</v>
      </c>
      <c r="CAO3" t="s">
        <v>6984</v>
      </c>
      <c r="CAP3" t="s">
        <v>6984</v>
      </c>
      <c r="CAQ3" t="s">
        <v>6984</v>
      </c>
      <c r="CAR3" t="s">
        <v>6984</v>
      </c>
      <c r="CAS3" t="s">
        <v>6984</v>
      </c>
      <c r="CAT3" t="s">
        <v>6984</v>
      </c>
      <c r="CAU3" t="s">
        <v>6984</v>
      </c>
      <c r="CAV3" t="s">
        <v>6984</v>
      </c>
      <c r="CAW3" t="s">
        <v>6984</v>
      </c>
      <c r="CAX3" t="s">
        <v>6984</v>
      </c>
      <c r="CAY3" t="s">
        <v>6984</v>
      </c>
      <c r="CAZ3" t="s">
        <v>6984</v>
      </c>
      <c r="CBA3" t="s">
        <v>6984</v>
      </c>
      <c r="CBB3" t="s">
        <v>6984</v>
      </c>
      <c r="CBC3" t="s">
        <v>6984</v>
      </c>
      <c r="CBD3" t="s">
        <v>6984</v>
      </c>
      <c r="CBE3" t="s">
        <v>6984</v>
      </c>
      <c r="CBF3" t="s">
        <v>6984</v>
      </c>
      <c r="CBG3" t="s">
        <v>6984</v>
      </c>
      <c r="CBH3" t="s">
        <v>6984</v>
      </c>
      <c r="CBI3" t="s">
        <v>6984</v>
      </c>
      <c r="CBJ3" t="s">
        <v>6984</v>
      </c>
      <c r="CBK3" t="s">
        <v>6984</v>
      </c>
      <c r="CBL3" t="s">
        <v>6984</v>
      </c>
      <c r="CBM3" t="s">
        <v>6984</v>
      </c>
      <c r="CBN3" t="s">
        <v>6984</v>
      </c>
      <c r="CBO3" t="s">
        <v>6984</v>
      </c>
      <c r="CBP3" t="s">
        <v>6984</v>
      </c>
      <c r="CBQ3" t="s">
        <v>6984</v>
      </c>
      <c r="CBR3" t="s">
        <v>6984</v>
      </c>
      <c r="CBS3" t="s">
        <v>6984</v>
      </c>
      <c r="CBT3" t="s">
        <v>6984</v>
      </c>
      <c r="CBU3" t="s">
        <v>6984</v>
      </c>
      <c r="CBV3" t="s">
        <v>6984</v>
      </c>
      <c r="CBW3" t="s">
        <v>6984</v>
      </c>
      <c r="CBX3" t="s">
        <v>6984</v>
      </c>
      <c r="CBY3" t="s">
        <v>6984</v>
      </c>
      <c r="CBZ3" t="s">
        <v>6984</v>
      </c>
      <c r="CCA3" t="s">
        <v>6984</v>
      </c>
      <c r="CCB3" t="s">
        <v>6984</v>
      </c>
      <c r="CCC3" t="s">
        <v>6984</v>
      </c>
      <c r="CCD3" t="s">
        <v>6984</v>
      </c>
      <c r="CCE3" t="s">
        <v>6984</v>
      </c>
      <c r="CCF3" t="s">
        <v>6984</v>
      </c>
      <c r="CCG3" t="s">
        <v>6984</v>
      </c>
      <c r="CCH3" t="s">
        <v>6984</v>
      </c>
      <c r="CCI3" t="s">
        <v>6984</v>
      </c>
      <c r="CCJ3" t="s">
        <v>6984</v>
      </c>
      <c r="CCK3" t="s">
        <v>6984</v>
      </c>
      <c r="CCL3" t="s">
        <v>6984</v>
      </c>
      <c r="CCM3" t="s">
        <v>6984</v>
      </c>
      <c r="CCN3" t="s">
        <v>6984</v>
      </c>
      <c r="CCO3" t="s">
        <v>6984</v>
      </c>
      <c r="CCP3" t="s">
        <v>6984</v>
      </c>
      <c r="CCQ3" t="s">
        <v>6984</v>
      </c>
      <c r="CCR3" t="s">
        <v>6984</v>
      </c>
      <c r="CCS3" t="s">
        <v>6984</v>
      </c>
      <c r="CCT3" t="s">
        <v>6984</v>
      </c>
      <c r="CCU3" t="s">
        <v>6984</v>
      </c>
      <c r="CCV3" t="s">
        <v>6984</v>
      </c>
      <c r="CCW3" t="s">
        <v>6984</v>
      </c>
      <c r="CCX3" t="s">
        <v>6984</v>
      </c>
      <c r="CCY3" t="s">
        <v>6984</v>
      </c>
      <c r="CCZ3" t="s">
        <v>6984</v>
      </c>
      <c r="CDA3" t="s">
        <v>6984</v>
      </c>
      <c r="CDB3" t="s">
        <v>6984</v>
      </c>
      <c r="CDC3" t="s">
        <v>6984</v>
      </c>
      <c r="CDD3" t="s">
        <v>6984</v>
      </c>
      <c r="CDE3" t="s">
        <v>6984</v>
      </c>
      <c r="CDF3" t="s">
        <v>6984</v>
      </c>
      <c r="CDG3" t="s">
        <v>6984</v>
      </c>
      <c r="CDH3" t="s">
        <v>6984</v>
      </c>
      <c r="CDI3" t="s">
        <v>6984</v>
      </c>
      <c r="CDJ3" t="s">
        <v>6984</v>
      </c>
      <c r="CDK3" t="s">
        <v>6984</v>
      </c>
      <c r="CDL3" t="s">
        <v>6984</v>
      </c>
      <c r="CDM3" t="s">
        <v>6984</v>
      </c>
      <c r="CDN3" t="s">
        <v>6984</v>
      </c>
      <c r="CDO3" t="s">
        <v>6984</v>
      </c>
      <c r="CDP3" t="s">
        <v>6984</v>
      </c>
      <c r="CDQ3" t="s">
        <v>6984</v>
      </c>
      <c r="CDR3" t="s">
        <v>6984</v>
      </c>
      <c r="CDS3" t="s">
        <v>6984</v>
      </c>
      <c r="CDT3" t="s">
        <v>6984</v>
      </c>
      <c r="CDU3" t="s">
        <v>6984</v>
      </c>
      <c r="CDV3" t="s">
        <v>6984</v>
      </c>
      <c r="CDW3" t="s">
        <v>6984</v>
      </c>
      <c r="CDX3" t="s">
        <v>6984</v>
      </c>
      <c r="CDY3" t="s">
        <v>6984</v>
      </c>
      <c r="CDZ3" t="s">
        <v>6984</v>
      </c>
      <c r="CEA3" t="s">
        <v>6984</v>
      </c>
      <c r="CEB3" t="s">
        <v>6984</v>
      </c>
      <c r="CEC3" t="s">
        <v>6984</v>
      </c>
      <c r="CED3" t="s">
        <v>6984</v>
      </c>
      <c r="CEE3" t="s">
        <v>6984</v>
      </c>
      <c r="CEF3" t="s">
        <v>6984</v>
      </c>
      <c r="CEG3" t="s">
        <v>6984</v>
      </c>
      <c r="CEH3" t="s">
        <v>6984</v>
      </c>
      <c r="CEI3" t="s">
        <v>6984</v>
      </c>
      <c r="CEJ3" t="s">
        <v>6984</v>
      </c>
      <c r="CEK3" t="s">
        <v>6984</v>
      </c>
      <c r="CEL3" t="s">
        <v>6984</v>
      </c>
      <c r="CEM3" t="s">
        <v>6984</v>
      </c>
      <c r="CEN3" t="s">
        <v>6984</v>
      </c>
      <c r="CEO3" t="s">
        <v>6984</v>
      </c>
      <c r="CEP3" t="s">
        <v>6984</v>
      </c>
      <c r="CEQ3" t="s">
        <v>6984</v>
      </c>
      <c r="CER3" t="s">
        <v>6984</v>
      </c>
      <c r="CES3" t="s">
        <v>6984</v>
      </c>
      <c r="CET3" t="s">
        <v>6984</v>
      </c>
      <c r="CEU3" t="s">
        <v>6984</v>
      </c>
      <c r="CEV3" t="s">
        <v>6984</v>
      </c>
      <c r="CEW3" t="s">
        <v>6984</v>
      </c>
      <c r="CEX3" t="s">
        <v>6984</v>
      </c>
      <c r="CEY3" t="s">
        <v>6984</v>
      </c>
      <c r="CEZ3" t="s">
        <v>6984</v>
      </c>
      <c r="CFA3" t="s">
        <v>6984</v>
      </c>
      <c r="CFB3" t="s">
        <v>6984</v>
      </c>
      <c r="CFC3" t="s">
        <v>6984</v>
      </c>
      <c r="CFD3" t="s">
        <v>6984</v>
      </c>
      <c r="CFE3" t="s">
        <v>6984</v>
      </c>
      <c r="CFF3" t="s">
        <v>6984</v>
      </c>
      <c r="CFG3" t="s">
        <v>6984</v>
      </c>
      <c r="CFH3" t="s">
        <v>6984</v>
      </c>
      <c r="CFI3" t="s">
        <v>6984</v>
      </c>
      <c r="CFJ3" t="s">
        <v>6984</v>
      </c>
      <c r="CFK3" t="s">
        <v>6984</v>
      </c>
      <c r="CFL3" t="s">
        <v>6984</v>
      </c>
      <c r="CFM3" t="s">
        <v>6984</v>
      </c>
      <c r="CFN3" t="s">
        <v>6984</v>
      </c>
      <c r="CFO3" t="s">
        <v>6984</v>
      </c>
      <c r="CFP3" t="s">
        <v>6984</v>
      </c>
      <c r="CFQ3" t="s">
        <v>6984</v>
      </c>
      <c r="CFR3" t="s">
        <v>6984</v>
      </c>
      <c r="CFS3" t="s">
        <v>6984</v>
      </c>
      <c r="CFT3" t="s">
        <v>6984</v>
      </c>
      <c r="CFU3" t="s">
        <v>6984</v>
      </c>
      <c r="CFV3" t="s">
        <v>6984</v>
      </c>
      <c r="CFW3" t="s">
        <v>6984</v>
      </c>
      <c r="CFX3" t="s">
        <v>6984</v>
      </c>
      <c r="CFY3" t="s">
        <v>6984</v>
      </c>
      <c r="CFZ3" t="s">
        <v>6984</v>
      </c>
      <c r="CGA3" t="s">
        <v>6984</v>
      </c>
      <c r="CGB3" t="s">
        <v>6984</v>
      </c>
      <c r="CGC3" t="s">
        <v>6984</v>
      </c>
      <c r="CGD3" t="s">
        <v>6984</v>
      </c>
      <c r="CGE3" t="s">
        <v>6984</v>
      </c>
      <c r="CGF3" t="s">
        <v>6984</v>
      </c>
      <c r="CGG3" t="s">
        <v>6984</v>
      </c>
      <c r="CGH3" t="s">
        <v>6984</v>
      </c>
      <c r="CGI3" t="s">
        <v>6984</v>
      </c>
      <c r="CGJ3" t="s">
        <v>6984</v>
      </c>
      <c r="CGK3" t="s">
        <v>6984</v>
      </c>
      <c r="CGL3" t="s">
        <v>6984</v>
      </c>
      <c r="CGM3" t="s">
        <v>6984</v>
      </c>
      <c r="CGN3" t="s">
        <v>6984</v>
      </c>
      <c r="CGO3" t="s">
        <v>6984</v>
      </c>
      <c r="CGP3" t="s">
        <v>6984</v>
      </c>
      <c r="CGQ3" t="s">
        <v>6984</v>
      </c>
      <c r="CGR3" t="s">
        <v>6984</v>
      </c>
      <c r="CGS3" t="s">
        <v>6984</v>
      </c>
      <c r="CGT3" t="s">
        <v>6984</v>
      </c>
      <c r="CGU3" t="s">
        <v>6984</v>
      </c>
      <c r="CGV3" t="s">
        <v>6984</v>
      </c>
      <c r="CGW3" t="s">
        <v>6984</v>
      </c>
      <c r="CGX3" t="s">
        <v>6984</v>
      </c>
      <c r="CGY3" t="s">
        <v>6984</v>
      </c>
      <c r="CGZ3" t="s">
        <v>6984</v>
      </c>
      <c r="CHA3" t="s">
        <v>6984</v>
      </c>
      <c r="CHB3" t="s">
        <v>6984</v>
      </c>
      <c r="CHC3" t="s">
        <v>6984</v>
      </c>
      <c r="CHD3" t="s">
        <v>6984</v>
      </c>
      <c r="CHE3" t="s">
        <v>6984</v>
      </c>
      <c r="CHF3" t="s">
        <v>6984</v>
      </c>
      <c r="CHG3" t="s">
        <v>6984</v>
      </c>
      <c r="CHH3" t="s">
        <v>6984</v>
      </c>
      <c r="CHI3" t="s">
        <v>6984</v>
      </c>
      <c r="CHJ3" t="s">
        <v>6984</v>
      </c>
      <c r="CHK3" t="s">
        <v>6984</v>
      </c>
      <c r="CHL3" t="s">
        <v>6984</v>
      </c>
      <c r="CHM3" t="s">
        <v>6984</v>
      </c>
      <c r="CHN3" t="s">
        <v>6984</v>
      </c>
      <c r="CHO3" t="s">
        <v>6984</v>
      </c>
      <c r="CHP3" t="s">
        <v>6984</v>
      </c>
      <c r="CHQ3" t="s">
        <v>6984</v>
      </c>
      <c r="CHR3" t="s">
        <v>6984</v>
      </c>
      <c r="CHS3" t="s">
        <v>6984</v>
      </c>
      <c r="CHT3" t="s">
        <v>6984</v>
      </c>
      <c r="CHU3" t="s">
        <v>6984</v>
      </c>
      <c r="CHV3" t="s">
        <v>6984</v>
      </c>
      <c r="CHW3" t="s">
        <v>6984</v>
      </c>
      <c r="CHX3" t="s">
        <v>6984</v>
      </c>
      <c r="CHY3" t="s">
        <v>6984</v>
      </c>
      <c r="CHZ3" t="s">
        <v>6984</v>
      </c>
      <c r="CIA3" t="s">
        <v>6984</v>
      </c>
      <c r="CIB3" t="s">
        <v>6984</v>
      </c>
      <c r="CIC3" t="s">
        <v>6984</v>
      </c>
      <c r="CID3" t="s">
        <v>6984</v>
      </c>
      <c r="CIE3" t="s">
        <v>6984</v>
      </c>
      <c r="CIF3" t="s">
        <v>6984</v>
      </c>
      <c r="CIG3" t="s">
        <v>6984</v>
      </c>
      <c r="CIH3" t="s">
        <v>6984</v>
      </c>
      <c r="CII3" t="s">
        <v>6984</v>
      </c>
      <c r="CIJ3" t="s">
        <v>6984</v>
      </c>
      <c r="CIK3" t="s">
        <v>6984</v>
      </c>
      <c r="CIL3" t="s">
        <v>6984</v>
      </c>
      <c r="CIM3" t="s">
        <v>6984</v>
      </c>
      <c r="CIN3" t="s">
        <v>6984</v>
      </c>
      <c r="CIO3" t="s">
        <v>6984</v>
      </c>
      <c r="CIP3" t="s">
        <v>6984</v>
      </c>
      <c r="CIQ3" t="s">
        <v>6984</v>
      </c>
      <c r="CIR3" t="s">
        <v>6984</v>
      </c>
      <c r="CIS3" t="s">
        <v>6984</v>
      </c>
      <c r="CIT3" t="s">
        <v>6984</v>
      </c>
      <c r="CIU3" t="s">
        <v>6984</v>
      </c>
      <c r="CIV3" t="s">
        <v>6984</v>
      </c>
      <c r="CIW3" t="s">
        <v>6984</v>
      </c>
      <c r="CIX3" t="s">
        <v>6984</v>
      </c>
      <c r="CIY3" t="s">
        <v>6984</v>
      </c>
      <c r="CIZ3" t="s">
        <v>6984</v>
      </c>
      <c r="CJA3" t="s">
        <v>6984</v>
      </c>
      <c r="CJB3" t="s">
        <v>6984</v>
      </c>
      <c r="CJC3" t="s">
        <v>6984</v>
      </c>
      <c r="CJD3" t="s">
        <v>6984</v>
      </c>
      <c r="CJE3" t="s">
        <v>6984</v>
      </c>
      <c r="CJF3" t="s">
        <v>6984</v>
      </c>
      <c r="CJG3" t="s">
        <v>6984</v>
      </c>
      <c r="CJH3" t="s">
        <v>6984</v>
      </c>
      <c r="CJI3" t="s">
        <v>6984</v>
      </c>
      <c r="CJJ3" t="s">
        <v>6984</v>
      </c>
      <c r="CJK3" t="s">
        <v>6984</v>
      </c>
      <c r="CJL3" t="s">
        <v>6984</v>
      </c>
      <c r="CJM3" t="s">
        <v>6984</v>
      </c>
      <c r="CJN3" t="s">
        <v>6984</v>
      </c>
      <c r="CJO3" t="s">
        <v>6984</v>
      </c>
      <c r="CJP3" t="s">
        <v>6984</v>
      </c>
      <c r="CJQ3" t="s">
        <v>6984</v>
      </c>
      <c r="CJR3" t="s">
        <v>6984</v>
      </c>
      <c r="CJS3" t="s">
        <v>6984</v>
      </c>
      <c r="CJT3" t="s">
        <v>6984</v>
      </c>
      <c r="CJU3" t="s">
        <v>6984</v>
      </c>
      <c r="CJV3" t="s">
        <v>6984</v>
      </c>
      <c r="CJW3" t="s">
        <v>6984</v>
      </c>
      <c r="CJX3" t="s">
        <v>6984</v>
      </c>
      <c r="CJY3" t="s">
        <v>6984</v>
      </c>
      <c r="CJZ3" t="s">
        <v>6984</v>
      </c>
      <c r="CKA3" t="s">
        <v>6984</v>
      </c>
      <c r="CKB3" t="s">
        <v>6984</v>
      </c>
      <c r="CKC3" t="s">
        <v>6984</v>
      </c>
      <c r="CKD3" t="s">
        <v>6984</v>
      </c>
      <c r="CKE3" t="s">
        <v>6984</v>
      </c>
      <c r="CKF3" t="s">
        <v>6984</v>
      </c>
      <c r="CKG3" t="s">
        <v>6984</v>
      </c>
      <c r="CKH3" t="s">
        <v>6984</v>
      </c>
      <c r="CKI3" t="s">
        <v>6984</v>
      </c>
      <c r="CKJ3" t="s">
        <v>6984</v>
      </c>
      <c r="CKK3" t="s">
        <v>6984</v>
      </c>
      <c r="CKL3" t="s">
        <v>6984</v>
      </c>
      <c r="CKM3" t="s">
        <v>6984</v>
      </c>
      <c r="CKN3" t="s">
        <v>6984</v>
      </c>
      <c r="CKO3" t="s">
        <v>6984</v>
      </c>
      <c r="CKP3" t="s">
        <v>6984</v>
      </c>
      <c r="CKQ3" t="s">
        <v>6984</v>
      </c>
      <c r="CKR3" t="s">
        <v>6984</v>
      </c>
      <c r="CKS3" t="s">
        <v>6984</v>
      </c>
      <c r="CKT3" t="s">
        <v>6984</v>
      </c>
      <c r="CKU3" t="s">
        <v>6984</v>
      </c>
      <c r="CKV3" t="s">
        <v>6984</v>
      </c>
      <c r="CKW3" t="s">
        <v>6984</v>
      </c>
      <c r="CKX3" t="s">
        <v>6984</v>
      </c>
      <c r="CKY3" t="s">
        <v>6984</v>
      </c>
      <c r="CKZ3" t="s">
        <v>6984</v>
      </c>
      <c r="CLA3" t="s">
        <v>6984</v>
      </c>
      <c r="CLB3" t="s">
        <v>6984</v>
      </c>
      <c r="CLC3" t="s">
        <v>6984</v>
      </c>
      <c r="CLD3" t="s">
        <v>6984</v>
      </c>
      <c r="CLE3" t="s">
        <v>6984</v>
      </c>
      <c r="CLF3" t="s">
        <v>6984</v>
      </c>
      <c r="CLG3" t="s">
        <v>6984</v>
      </c>
      <c r="CLH3" t="s">
        <v>6984</v>
      </c>
      <c r="CLI3" t="s">
        <v>6984</v>
      </c>
      <c r="CLJ3" t="s">
        <v>6984</v>
      </c>
      <c r="CLK3" t="s">
        <v>6984</v>
      </c>
      <c r="CLL3" t="s">
        <v>6984</v>
      </c>
      <c r="CLM3" t="s">
        <v>6984</v>
      </c>
      <c r="CLN3" t="s">
        <v>6984</v>
      </c>
      <c r="CLO3" t="s">
        <v>6984</v>
      </c>
      <c r="CLP3" t="s">
        <v>6984</v>
      </c>
      <c r="CLQ3" t="s">
        <v>6984</v>
      </c>
      <c r="CLR3" t="s">
        <v>6984</v>
      </c>
      <c r="CLS3" t="s">
        <v>6984</v>
      </c>
      <c r="CLT3" t="s">
        <v>6984</v>
      </c>
      <c r="CLU3" t="s">
        <v>6984</v>
      </c>
      <c r="CLV3" t="s">
        <v>6984</v>
      </c>
      <c r="CLW3" t="s">
        <v>6984</v>
      </c>
      <c r="CLX3" t="s">
        <v>6984</v>
      </c>
      <c r="CLY3" t="s">
        <v>6984</v>
      </c>
      <c r="CLZ3" t="s">
        <v>6984</v>
      </c>
      <c r="CMA3" t="s">
        <v>6984</v>
      </c>
      <c r="CMB3" t="s">
        <v>6984</v>
      </c>
      <c r="CMC3" t="s">
        <v>6984</v>
      </c>
      <c r="CMD3" t="s">
        <v>6984</v>
      </c>
      <c r="CME3" t="s">
        <v>6984</v>
      </c>
      <c r="CMF3" t="s">
        <v>6984</v>
      </c>
      <c r="CMG3" t="s">
        <v>6984</v>
      </c>
      <c r="CMH3" t="s">
        <v>6984</v>
      </c>
      <c r="CMI3" t="s">
        <v>6984</v>
      </c>
      <c r="CMJ3" t="s">
        <v>6984</v>
      </c>
      <c r="CMK3" t="s">
        <v>6984</v>
      </c>
      <c r="CML3" t="s">
        <v>6984</v>
      </c>
      <c r="CMM3" t="s">
        <v>6984</v>
      </c>
      <c r="CMN3" t="s">
        <v>6984</v>
      </c>
      <c r="CMO3" t="s">
        <v>6984</v>
      </c>
      <c r="CMP3" t="s">
        <v>6984</v>
      </c>
      <c r="CMQ3" t="s">
        <v>6984</v>
      </c>
      <c r="CMR3" t="s">
        <v>6984</v>
      </c>
      <c r="CMS3" t="s">
        <v>6984</v>
      </c>
      <c r="CMT3" t="s">
        <v>6984</v>
      </c>
      <c r="CMU3" t="s">
        <v>6984</v>
      </c>
      <c r="CMV3" t="s">
        <v>6984</v>
      </c>
      <c r="CMW3" t="s">
        <v>6984</v>
      </c>
      <c r="CMX3" t="s">
        <v>6984</v>
      </c>
      <c r="CMY3" t="s">
        <v>6984</v>
      </c>
      <c r="CMZ3" t="s">
        <v>6984</v>
      </c>
      <c r="CNA3" t="s">
        <v>6984</v>
      </c>
      <c r="CNB3" t="s">
        <v>6984</v>
      </c>
      <c r="CNC3" t="s">
        <v>6984</v>
      </c>
      <c r="CND3" t="s">
        <v>6984</v>
      </c>
      <c r="CNE3" t="s">
        <v>6984</v>
      </c>
      <c r="CNF3" t="s">
        <v>6984</v>
      </c>
      <c r="CNG3" t="s">
        <v>6984</v>
      </c>
      <c r="CNH3" t="s">
        <v>6984</v>
      </c>
      <c r="CNI3" t="s">
        <v>6984</v>
      </c>
      <c r="CNJ3" t="s">
        <v>6984</v>
      </c>
      <c r="CNK3" t="s">
        <v>6984</v>
      </c>
      <c r="CNL3" t="s">
        <v>6984</v>
      </c>
      <c r="CNM3" t="s">
        <v>6984</v>
      </c>
      <c r="CNN3" t="s">
        <v>6984</v>
      </c>
      <c r="CNO3" t="s">
        <v>6984</v>
      </c>
      <c r="CNP3" t="s">
        <v>6984</v>
      </c>
      <c r="CNQ3" t="s">
        <v>6984</v>
      </c>
      <c r="CNR3" t="s">
        <v>6984</v>
      </c>
      <c r="CNS3" t="s">
        <v>6984</v>
      </c>
      <c r="CNT3" t="s">
        <v>6984</v>
      </c>
      <c r="CNU3" t="s">
        <v>6984</v>
      </c>
      <c r="CNV3" t="s">
        <v>6984</v>
      </c>
      <c r="CNW3" t="s">
        <v>6984</v>
      </c>
      <c r="CNX3" t="s">
        <v>6984</v>
      </c>
      <c r="CNY3" t="s">
        <v>6984</v>
      </c>
      <c r="CNZ3" t="s">
        <v>6984</v>
      </c>
      <c r="COA3" t="s">
        <v>6984</v>
      </c>
      <c r="COB3" t="s">
        <v>6984</v>
      </c>
      <c r="COC3" t="s">
        <v>6984</v>
      </c>
      <c r="COD3" t="s">
        <v>6984</v>
      </c>
      <c r="COE3" t="s">
        <v>6984</v>
      </c>
      <c r="COF3" t="s">
        <v>6984</v>
      </c>
      <c r="COG3" t="s">
        <v>6984</v>
      </c>
      <c r="COH3" t="s">
        <v>6984</v>
      </c>
      <c r="COI3" t="s">
        <v>6984</v>
      </c>
      <c r="COJ3" t="s">
        <v>6984</v>
      </c>
      <c r="COK3" t="s">
        <v>6984</v>
      </c>
      <c r="COL3" t="s">
        <v>6984</v>
      </c>
      <c r="COM3" t="s">
        <v>6984</v>
      </c>
      <c r="CON3" t="s">
        <v>6984</v>
      </c>
      <c r="COO3" t="s">
        <v>6984</v>
      </c>
      <c r="COP3" t="s">
        <v>6984</v>
      </c>
      <c r="COQ3" t="s">
        <v>6984</v>
      </c>
      <c r="COR3" t="s">
        <v>6984</v>
      </c>
      <c r="COS3" t="s">
        <v>6984</v>
      </c>
      <c r="COT3" t="s">
        <v>6984</v>
      </c>
      <c r="COU3" t="s">
        <v>6984</v>
      </c>
      <c r="COV3" t="s">
        <v>6984</v>
      </c>
      <c r="COW3" t="s">
        <v>6984</v>
      </c>
      <c r="COX3" t="s">
        <v>6984</v>
      </c>
      <c r="COY3" t="s">
        <v>6984</v>
      </c>
      <c r="COZ3" t="s">
        <v>6984</v>
      </c>
      <c r="CPA3" t="s">
        <v>6984</v>
      </c>
      <c r="CPB3" t="s">
        <v>6984</v>
      </c>
      <c r="CPC3" t="s">
        <v>6984</v>
      </c>
      <c r="CPD3" t="s">
        <v>6984</v>
      </c>
      <c r="CPE3" t="s">
        <v>6984</v>
      </c>
      <c r="CPF3" t="s">
        <v>6984</v>
      </c>
      <c r="CPG3" t="s">
        <v>6984</v>
      </c>
      <c r="CPH3" t="s">
        <v>6984</v>
      </c>
      <c r="CPI3" t="s">
        <v>6984</v>
      </c>
      <c r="CPJ3" t="s">
        <v>6984</v>
      </c>
      <c r="CPK3" t="s">
        <v>6984</v>
      </c>
      <c r="CPL3" t="s">
        <v>6984</v>
      </c>
      <c r="CPM3" t="s">
        <v>6984</v>
      </c>
      <c r="CPN3" t="s">
        <v>6984</v>
      </c>
      <c r="CPO3" t="s">
        <v>6984</v>
      </c>
      <c r="CPP3" t="s">
        <v>6984</v>
      </c>
      <c r="CPQ3" t="s">
        <v>6984</v>
      </c>
      <c r="CPR3" t="s">
        <v>6984</v>
      </c>
      <c r="CPS3" t="s">
        <v>6984</v>
      </c>
      <c r="CPT3" t="s">
        <v>6984</v>
      </c>
      <c r="CPU3" t="s">
        <v>6984</v>
      </c>
      <c r="CPV3" t="s">
        <v>6984</v>
      </c>
      <c r="CPW3" t="s">
        <v>6984</v>
      </c>
      <c r="CPX3" t="s">
        <v>6984</v>
      </c>
      <c r="CPY3" t="s">
        <v>6984</v>
      </c>
      <c r="CPZ3" t="s">
        <v>6984</v>
      </c>
      <c r="CQA3" t="s">
        <v>6984</v>
      </c>
      <c r="CQB3" t="s">
        <v>6984</v>
      </c>
      <c r="CQC3" t="s">
        <v>6984</v>
      </c>
      <c r="CQD3" t="s">
        <v>6984</v>
      </c>
      <c r="CQE3" t="s">
        <v>6984</v>
      </c>
      <c r="CQF3" t="s">
        <v>6984</v>
      </c>
      <c r="CQG3" t="s">
        <v>6984</v>
      </c>
      <c r="CQH3" t="s">
        <v>6984</v>
      </c>
      <c r="CQI3" t="s">
        <v>6984</v>
      </c>
      <c r="CQJ3" t="s">
        <v>6984</v>
      </c>
      <c r="CQK3" t="s">
        <v>6984</v>
      </c>
      <c r="CQL3" t="s">
        <v>6984</v>
      </c>
      <c r="CQM3" t="s">
        <v>6984</v>
      </c>
      <c r="CQN3" t="s">
        <v>6984</v>
      </c>
      <c r="CQO3" t="s">
        <v>6984</v>
      </c>
      <c r="CQP3" t="s">
        <v>6984</v>
      </c>
      <c r="CQQ3" t="s">
        <v>6984</v>
      </c>
      <c r="CQR3" t="s">
        <v>6984</v>
      </c>
      <c r="CQS3" t="s">
        <v>6984</v>
      </c>
      <c r="CQT3" t="s">
        <v>6984</v>
      </c>
      <c r="CQU3" t="s">
        <v>6984</v>
      </c>
      <c r="CQV3" t="s">
        <v>6984</v>
      </c>
      <c r="CQW3" t="s">
        <v>6984</v>
      </c>
      <c r="CQX3" t="s">
        <v>6984</v>
      </c>
      <c r="CQY3" t="s">
        <v>6984</v>
      </c>
      <c r="CQZ3" t="s">
        <v>6984</v>
      </c>
      <c r="CRA3" t="s">
        <v>6984</v>
      </c>
      <c r="CRB3" t="s">
        <v>6984</v>
      </c>
      <c r="CRC3" t="s">
        <v>6984</v>
      </c>
      <c r="CRD3" t="s">
        <v>6984</v>
      </c>
      <c r="CRE3" t="s">
        <v>6984</v>
      </c>
      <c r="CRF3" t="s">
        <v>6984</v>
      </c>
      <c r="CRG3" t="s">
        <v>6984</v>
      </c>
      <c r="CRH3" t="s">
        <v>6984</v>
      </c>
      <c r="CRI3" t="s">
        <v>6984</v>
      </c>
      <c r="CRJ3" t="s">
        <v>6984</v>
      </c>
      <c r="CRK3" t="s">
        <v>6984</v>
      </c>
      <c r="CRL3" t="s">
        <v>6984</v>
      </c>
      <c r="CRM3" t="s">
        <v>6984</v>
      </c>
      <c r="CRN3" t="s">
        <v>6984</v>
      </c>
      <c r="CRO3" t="s">
        <v>6984</v>
      </c>
      <c r="CRP3" t="s">
        <v>6984</v>
      </c>
      <c r="CRQ3" t="s">
        <v>6984</v>
      </c>
      <c r="CRR3" t="s">
        <v>6984</v>
      </c>
      <c r="CRS3" t="s">
        <v>6984</v>
      </c>
      <c r="CRT3" t="s">
        <v>6984</v>
      </c>
      <c r="CRU3" t="s">
        <v>6984</v>
      </c>
      <c r="CRV3" t="s">
        <v>6984</v>
      </c>
      <c r="CRW3" t="s">
        <v>6984</v>
      </c>
      <c r="CRX3" t="s">
        <v>6984</v>
      </c>
      <c r="CRY3" t="s">
        <v>6984</v>
      </c>
      <c r="CRZ3" t="s">
        <v>6984</v>
      </c>
      <c r="CSA3" t="s">
        <v>6984</v>
      </c>
      <c r="CSB3" t="s">
        <v>6984</v>
      </c>
      <c r="CSC3" t="s">
        <v>6984</v>
      </c>
      <c r="CSD3" t="s">
        <v>6984</v>
      </c>
      <c r="CSE3" t="s">
        <v>6984</v>
      </c>
      <c r="CSF3" t="s">
        <v>6984</v>
      </c>
      <c r="CSG3" t="s">
        <v>6984</v>
      </c>
      <c r="CSH3" t="s">
        <v>6984</v>
      </c>
      <c r="CSI3" t="s">
        <v>6984</v>
      </c>
      <c r="CSJ3" t="s">
        <v>6984</v>
      </c>
      <c r="CSK3" t="s">
        <v>6984</v>
      </c>
      <c r="CSL3" t="s">
        <v>6984</v>
      </c>
      <c r="CSM3" t="s">
        <v>6984</v>
      </c>
      <c r="CSN3" t="s">
        <v>6984</v>
      </c>
      <c r="CSO3" t="s">
        <v>6984</v>
      </c>
      <c r="CSP3" t="s">
        <v>6984</v>
      </c>
      <c r="CSQ3" t="s">
        <v>6984</v>
      </c>
      <c r="CSR3" t="s">
        <v>6984</v>
      </c>
      <c r="CSS3" t="s">
        <v>6984</v>
      </c>
      <c r="CST3" t="s">
        <v>6984</v>
      </c>
      <c r="CSU3" t="s">
        <v>6984</v>
      </c>
      <c r="CSV3" t="s">
        <v>6984</v>
      </c>
      <c r="CSW3" t="s">
        <v>6984</v>
      </c>
      <c r="CSX3" t="s">
        <v>6984</v>
      </c>
      <c r="CSY3" t="s">
        <v>6984</v>
      </c>
      <c r="CSZ3" t="s">
        <v>6984</v>
      </c>
      <c r="CTA3" t="s">
        <v>6984</v>
      </c>
      <c r="CTB3" t="s">
        <v>6984</v>
      </c>
      <c r="CTC3" t="s">
        <v>6984</v>
      </c>
      <c r="CTD3" t="s">
        <v>6984</v>
      </c>
      <c r="CTE3" t="s">
        <v>6984</v>
      </c>
      <c r="CTF3" t="s">
        <v>6984</v>
      </c>
      <c r="CTG3" t="s">
        <v>6984</v>
      </c>
      <c r="CTH3" t="s">
        <v>6984</v>
      </c>
      <c r="CTI3" t="s">
        <v>6984</v>
      </c>
      <c r="CTJ3" t="s">
        <v>6984</v>
      </c>
      <c r="CTK3" t="s">
        <v>6984</v>
      </c>
      <c r="CTL3" t="s">
        <v>6984</v>
      </c>
      <c r="CTM3" t="s">
        <v>6984</v>
      </c>
      <c r="CTN3" t="s">
        <v>6984</v>
      </c>
      <c r="CTO3" t="s">
        <v>6984</v>
      </c>
      <c r="CTP3" t="s">
        <v>6984</v>
      </c>
      <c r="CTQ3" t="s">
        <v>6984</v>
      </c>
      <c r="CTR3" t="s">
        <v>6984</v>
      </c>
      <c r="CTS3" t="s">
        <v>6984</v>
      </c>
      <c r="CTT3" t="s">
        <v>6984</v>
      </c>
      <c r="CTU3" t="s">
        <v>6984</v>
      </c>
      <c r="CTV3" t="s">
        <v>6984</v>
      </c>
      <c r="CTW3" t="s">
        <v>6984</v>
      </c>
      <c r="CTX3" t="s">
        <v>6984</v>
      </c>
      <c r="CTY3" t="s">
        <v>6984</v>
      </c>
      <c r="CTZ3" t="s">
        <v>6984</v>
      </c>
      <c r="CUA3" t="s">
        <v>6984</v>
      </c>
      <c r="CUB3" t="s">
        <v>6984</v>
      </c>
      <c r="CUC3" t="s">
        <v>6984</v>
      </c>
      <c r="CUD3" t="s">
        <v>6984</v>
      </c>
      <c r="CUE3" t="s">
        <v>6984</v>
      </c>
      <c r="CUF3" t="s">
        <v>6984</v>
      </c>
      <c r="CUG3" t="s">
        <v>6984</v>
      </c>
      <c r="CUH3" t="s">
        <v>6984</v>
      </c>
      <c r="CUI3" t="s">
        <v>6984</v>
      </c>
      <c r="CUJ3" t="s">
        <v>6984</v>
      </c>
      <c r="CUK3" t="s">
        <v>6984</v>
      </c>
      <c r="CUL3" t="s">
        <v>6984</v>
      </c>
      <c r="CUM3" t="s">
        <v>6984</v>
      </c>
      <c r="CUN3" t="s">
        <v>6984</v>
      </c>
      <c r="CUO3" t="s">
        <v>6984</v>
      </c>
      <c r="CUP3" t="s">
        <v>6984</v>
      </c>
      <c r="CUQ3" t="s">
        <v>6984</v>
      </c>
      <c r="CUR3" t="s">
        <v>6984</v>
      </c>
      <c r="CUS3" t="s">
        <v>6984</v>
      </c>
      <c r="CUT3" t="s">
        <v>6984</v>
      </c>
      <c r="CUU3" t="s">
        <v>6984</v>
      </c>
      <c r="CUV3" t="s">
        <v>6984</v>
      </c>
      <c r="CUW3" t="s">
        <v>6984</v>
      </c>
      <c r="CUX3" t="s">
        <v>6984</v>
      </c>
      <c r="CUY3" t="s">
        <v>6984</v>
      </c>
      <c r="CUZ3" t="s">
        <v>6984</v>
      </c>
      <c r="CVA3" t="s">
        <v>6984</v>
      </c>
      <c r="CVB3" t="s">
        <v>6984</v>
      </c>
      <c r="CVC3" t="s">
        <v>6984</v>
      </c>
      <c r="CVD3" t="s">
        <v>6984</v>
      </c>
      <c r="CVE3" t="s">
        <v>6984</v>
      </c>
      <c r="CVF3" t="s">
        <v>6984</v>
      </c>
      <c r="CVG3" t="s">
        <v>6984</v>
      </c>
      <c r="CVH3" t="s">
        <v>6984</v>
      </c>
      <c r="CVI3" t="s">
        <v>6984</v>
      </c>
      <c r="CVJ3" t="s">
        <v>6984</v>
      </c>
      <c r="CVK3" t="s">
        <v>6984</v>
      </c>
      <c r="CVL3" t="s">
        <v>6984</v>
      </c>
      <c r="CVM3" t="s">
        <v>6984</v>
      </c>
      <c r="CVN3" t="s">
        <v>6984</v>
      </c>
      <c r="CVO3" t="s">
        <v>6984</v>
      </c>
      <c r="CVP3" t="s">
        <v>6984</v>
      </c>
      <c r="CVQ3" t="s">
        <v>6984</v>
      </c>
      <c r="CVR3" t="s">
        <v>6984</v>
      </c>
      <c r="CVS3" t="s">
        <v>6984</v>
      </c>
      <c r="CVT3" t="s">
        <v>6984</v>
      </c>
      <c r="CVU3" t="s">
        <v>6984</v>
      </c>
      <c r="CVV3" t="s">
        <v>6984</v>
      </c>
      <c r="CVW3" t="s">
        <v>6984</v>
      </c>
      <c r="CVX3" t="s">
        <v>6984</v>
      </c>
      <c r="CVY3" t="s">
        <v>6984</v>
      </c>
      <c r="CVZ3" t="s">
        <v>6984</v>
      </c>
      <c r="CWA3" t="s">
        <v>6984</v>
      </c>
      <c r="CWB3" t="s">
        <v>6984</v>
      </c>
      <c r="CWC3" t="s">
        <v>6984</v>
      </c>
      <c r="CWD3" t="s">
        <v>6984</v>
      </c>
      <c r="CWE3" t="s">
        <v>6984</v>
      </c>
      <c r="CWF3" t="s">
        <v>6984</v>
      </c>
      <c r="CWG3" t="s">
        <v>6984</v>
      </c>
      <c r="CWH3" t="s">
        <v>6984</v>
      </c>
      <c r="CWI3" t="s">
        <v>6984</v>
      </c>
      <c r="CWJ3" t="s">
        <v>6984</v>
      </c>
      <c r="CWK3" t="s">
        <v>6984</v>
      </c>
      <c r="CWL3" t="s">
        <v>6984</v>
      </c>
      <c r="CWM3" t="s">
        <v>6984</v>
      </c>
      <c r="CWN3" t="s">
        <v>6984</v>
      </c>
      <c r="CWO3" t="s">
        <v>6984</v>
      </c>
      <c r="CWP3" t="s">
        <v>6984</v>
      </c>
      <c r="CWQ3" t="s">
        <v>6984</v>
      </c>
      <c r="CWR3" t="s">
        <v>6984</v>
      </c>
      <c r="CWS3" t="s">
        <v>6984</v>
      </c>
      <c r="CWT3" t="s">
        <v>6984</v>
      </c>
      <c r="CWU3" t="s">
        <v>6984</v>
      </c>
      <c r="CWV3" t="s">
        <v>6984</v>
      </c>
      <c r="CWW3" t="s">
        <v>6984</v>
      </c>
      <c r="CWX3" t="s">
        <v>6984</v>
      </c>
      <c r="CWY3" t="s">
        <v>6984</v>
      </c>
      <c r="CWZ3" t="s">
        <v>6984</v>
      </c>
      <c r="CXA3" t="s">
        <v>6984</v>
      </c>
      <c r="CXB3" t="s">
        <v>6984</v>
      </c>
      <c r="CXC3" t="s">
        <v>6984</v>
      </c>
      <c r="CXD3" t="s">
        <v>6984</v>
      </c>
      <c r="CXE3" t="s">
        <v>6984</v>
      </c>
      <c r="CXF3" t="s">
        <v>6984</v>
      </c>
      <c r="CXG3" t="s">
        <v>6984</v>
      </c>
      <c r="CXH3" t="s">
        <v>6984</v>
      </c>
      <c r="CXI3" t="s">
        <v>6984</v>
      </c>
      <c r="CXJ3" t="s">
        <v>6984</v>
      </c>
      <c r="CXK3" t="s">
        <v>6984</v>
      </c>
      <c r="CXL3" t="s">
        <v>6984</v>
      </c>
      <c r="CXM3" t="s">
        <v>6984</v>
      </c>
      <c r="CXN3" t="s">
        <v>6984</v>
      </c>
      <c r="CXO3" t="s">
        <v>6984</v>
      </c>
      <c r="CXP3" t="s">
        <v>6984</v>
      </c>
      <c r="CXQ3" t="s">
        <v>6984</v>
      </c>
      <c r="CXR3" t="s">
        <v>6984</v>
      </c>
      <c r="CXS3" t="s">
        <v>6984</v>
      </c>
      <c r="CXT3" t="s">
        <v>6984</v>
      </c>
      <c r="CXU3" t="s">
        <v>6984</v>
      </c>
      <c r="CXV3" t="s">
        <v>6984</v>
      </c>
      <c r="CXW3" t="s">
        <v>6984</v>
      </c>
      <c r="CXX3" t="s">
        <v>6984</v>
      </c>
      <c r="CXY3" t="s">
        <v>6984</v>
      </c>
      <c r="CXZ3" t="s">
        <v>6984</v>
      </c>
      <c r="CYA3" t="s">
        <v>6984</v>
      </c>
      <c r="CYB3" t="s">
        <v>6984</v>
      </c>
      <c r="CYC3" t="s">
        <v>6984</v>
      </c>
      <c r="CYD3" t="s">
        <v>6984</v>
      </c>
      <c r="CYE3" t="s">
        <v>6984</v>
      </c>
      <c r="CYF3" t="s">
        <v>6984</v>
      </c>
      <c r="CYG3" t="s">
        <v>6984</v>
      </c>
      <c r="CYH3" t="s">
        <v>6984</v>
      </c>
      <c r="CYI3" t="s">
        <v>6984</v>
      </c>
      <c r="CYJ3" t="s">
        <v>6984</v>
      </c>
      <c r="CYK3" t="s">
        <v>6984</v>
      </c>
      <c r="CYL3" t="s">
        <v>6984</v>
      </c>
      <c r="CYM3" t="s">
        <v>6984</v>
      </c>
      <c r="CYN3" t="s">
        <v>6984</v>
      </c>
      <c r="CYO3" t="s">
        <v>6984</v>
      </c>
      <c r="CYP3" t="s">
        <v>6984</v>
      </c>
      <c r="CYQ3" t="s">
        <v>6984</v>
      </c>
      <c r="CYR3" t="s">
        <v>6984</v>
      </c>
      <c r="CYS3" t="s">
        <v>6984</v>
      </c>
      <c r="CYT3" t="s">
        <v>6984</v>
      </c>
      <c r="CYU3" t="s">
        <v>6984</v>
      </c>
      <c r="CYV3" t="s">
        <v>6984</v>
      </c>
      <c r="CYW3" t="s">
        <v>6984</v>
      </c>
      <c r="CYX3" t="s">
        <v>6984</v>
      </c>
      <c r="CYY3" t="s">
        <v>6984</v>
      </c>
      <c r="CYZ3" t="s">
        <v>6984</v>
      </c>
      <c r="CZA3" t="s">
        <v>6984</v>
      </c>
      <c r="CZB3" t="s">
        <v>6984</v>
      </c>
      <c r="CZC3" t="s">
        <v>6984</v>
      </c>
      <c r="CZD3" t="s">
        <v>6984</v>
      </c>
      <c r="CZE3" t="s">
        <v>6984</v>
      </c>
      <c r="CZF3" t="s">
        <v>6984</v>
      </c>
      <c r="CZG3" t="s">
        <v>6984</v>
      </c>
      <c r="CZH3" t="s">
        <v>6984</v>
      </c>
      <c r="CZI3" t="s">
        <v>6984</v>
      </c>
      <c r="CZJ3" t="s">
        <v>6984</v>
      </c>
      <c r="CZK3" t="s">
        <v>6984</v>
      </c>
      <c r="CZL3" t="s">
        <v>6984</v>
      </c>
      <c r="CZM3" t="s">
        <v>6984</v>
      </c>
      <c r="CZN3" t="s">
        <v>6984</v>
      </c>
      <c r="CZO3" t="s">
        <v>6984</v>
      </c>
      <c r="CZP3" t="s">
        <v>6984</v>
      </c>
      <c r="CZQ3" t="s">
        <v>6984</v>
      </c>
      <c r="CZR3" t="s">
        <v>6984</v>
      </c>
      <c r="CZS3" t="s">
        <v>6984</v>
      </c>
      <c r="CZT3" t="s">
        <v>6984</v>
      </c>
      <c r="CZU3" t="s">
        <v>6984</v>
      </c>
      <c r="CZV3" t="s">
        <v>6984</v>
      </c>
      <c r="CZW3" t="s">
        <v>6984</v>
      </c>
      <c r="CZX3" t="s">
        <v>6984</v>
      </c>
      <c r="CZY3" t="s">
        <v>6984</v>
      </c>
      <c r="CZZ3" t="s">
        <v>6984</v>
      </c>
      <c r="DAA3" t="s">
        <v>6984</v>
      </c>
      <c r="DAB3" t="s">
        <v>6984</v>
      </c>
      <c r="DAC3" t="s">
        <v>6984</v>
      </c>
      <c r="DAD3" t="s">
        <v>6984</v>
      </c>
      <c r="DAE3" t="s">
        <v>6984</v>
      </c>
      <c r="DAF3" t="s">
        <v>6984</v>
      </c>
      <c r="DAG3" t="s">
        <v>6984</v>
      </c>
      <c r="DAH3" t="s">
        <v>6984</v>
      </c>
      <c r="DAI3" t="s">
        <v>6984</v>
      </c>
      <c r="DAJ3" t="s">
        <v>6984</v>
      </c>
      <c r="DAK3" t="s">
        <v>6984</v>
      </c>
      <c r="DAL3" t="s">
        <v>6984</v>
      </c>
      <c r="DAM3" t="s">
        <v>6984</v>
      </c>
      <c r="DAN3" t="s">
        <v>6984</v>
      </c>
      <c r="DAO3" t="s">
        <v>6984</v>
      </c>
      <c r="DAP3" t="s">
        <v>6984</v>
      </c>
      <c r="DAQ3" t="s">
        <v>6984</v>
      </c>
      <c r="DAR3" t="s">
        <v>6984</v>
      </c>
      <c r="DAS3" t="s">
        <v>6984</v>
      </c>
      <c r="DAT3" t="s">
        <v>6984</v>
      </c>
      <c r="DAU3" t="s">
        <v>6984</v>
      </c>
      <c r="DAV3" t="s">
        <v>6984</v>
      </c>
      <c r="DAW3" t="s">
        <v>6984</v>
      </c>
      <c r="DAX3" t="s">
        <v>6984</v>
      </c>
      <c r="DAY3" t="s">
        <v>6984</v>
      </c>
      <c r="DAZ3" t="s">
        <v>6984</v>
      </c>
      <c r="DBA3" t="s">
        <v>6984</v>
      </c>
      <c r="DBB3" t="s">
        <v>6984</v>
      </c>
      <c r="DBC3" t="s">
        <v>6984</v>
      </c>
      <c r="DBD3" t="s">
        <v>6984</v>
      </c>
      <c r="DBE3" t="s">
        <v>6984</v>
      </c>
      <c r="DBF3" t="s">
        <v>6984</v>
      </c>
      <c r="DBG3" t="s">
        <v>6984</v>
      </c>
      <c r="DBH3" t="s">
        <v>6984</v>
      </c>
      <c r="DBI3" t="s">
        <v>6984</v>
      </c>
      <c r="DBJ3" t="s">
        <v>6984</v>
      </c>
      <c r="DBK3" t="s">
        <v>6984</v>
      </c>
      <c r="DBL3" t="s">
        <v>6984</v>
      </c>
      <c r="DBM3" t="s">
        <v>6984</v>
      </c>
      <c r="DBN3" t="s">
        <v>6984</v>
      </c>
      <c r="DBO3" t="s">
        <v>6984</v>
      </c>
      <c r="DBP3" t="s">
        <v>6984</v>
      </c>
      <c r="DBQ3" t="s">
        <v>6984</v>
      </c>
      <c r="DBR3" t="s">
        <v>6984</v>
      </c>
      <c r="DBS3" t="s">
        <v>6984</v>
      </c>
      <c r="DBT3" t="s">
        <v>6984</v>
      </c>
      <c r="DBU3" t="s">
        <v>6984</v>
      </c>
      <c r="DBV3" t="s">
        <v>6984</v>
      </c>
      <c r="DBW3" t="s">
        <v>6984</v>
      </c>
      <c r="DBX3" t="s">
        <v>6984</v>
      </c>
      <c r="DBY3" t="s">
        <v>6984</v>
      </c>
      <c r="DBZ3" t="s">
        <v>6984</v>
      </c>
      <c r="DCA3" t="s">
        <v>6984</v>
      </c>
      <c r="DCB3" t="s">
        <v>6984</v>
      </c>
      <c r="DCC3" t="s">
        <v>6984</v>
      </c>
      <c r="DCD3" t="s">
        <v>6984</v>
      </c>
      <c r="DCE3" t="s">
        <v>6984</v>
      </c>
      <c r="DCF3" t="s">
        <v>6984</v>
      </c>
      <c r="DCG3" t="s">
        <v>6984</v>
      </c>
      <c r="DCH3" t="s">
        <v>6984</v>
      </c>
      <c r="DCI3" t="s">
        <v>6984</v>
      </c>
      <c r="DCJ3" t="s">
        <v>6984</v>
      </c>
      <c r="DCK3" t="s">
        <v>6984</v>
      </c>
      <c r="DCL3" t="s">
        <v>6984</v>
      </c>
      <c r="DCM3" t="s">
        <v>6984</v>
      </c>
      <c r="DCN3" t="s">
        <v>6984</v>
      </c>
      <c r="DCO3" t="s">
        <v>6984</v>
      </c>
      <c r="DCP3" t="s">
        <v>6984</v>
      </c>
      <c r="DCQ3" t="s">
        <v>6984</v>
      </c>
      <c r="DCR3" t="s">
        <v>6984</v>
      </c>
      <c r="DCS3" t="s">
        <v>6984</v>
      </c>
      <c r="DCT3" t="s">
        <v>6984</v>
      </c>
      <c r="DCU3" t="s">
        <v>6984</v>
      </c>
      <c r="DCV3" t="s">
        <v>6984</v>
      </c>
      <c r="DCW3" t="s">
        <v>6984</v>
      </c>
      <c r="DCX3" t="s">
        <v>6984</v>
      </c>
      <c r="DCY3" t="s">
        <v>6984</v>
      </c>
      <c r="DCZ3" t="s">
        <v>6984</v>
      </c>
      <c r="DDA3" t="s">
        <v>6984</v>
      </c>
      <c r="DDB3" t="s">
        <v>6984</v>
      </c>
      <c r="DDC3" t="s">
        <v>6984</v>
      </c>
      <c r="DDD3" t="s">
        <v>6984</v>
      </c>
      <c r="DDE3" t="s">
        <v>6984</v>
      </c>
      <c r="DDF3" t="s">
        <v>6984</v>
      </c>
      <c r="DDG3" t="s">
        <v>6984</v>
      </c>
      <c r="DDH3" t="s">
        <v>6984</v>
      </c>
      <c r="DDI3" t="s">
        <v>6984</v>
      </c>
      <c r="DDJ3" t="s">
        <v>6984</v>
      </c>
      <c r="DDK3" t="s">
        <v>6984</v>
      </c>
      <c r="DDL3" t="s">
        <v>6984</v>
      </c>
      <c r="DDM3" t="s">
        <v>6984</v>
      </c>
      <c r="DDN3" t="s">
        <v>6984</v>
      </c>
      <c r="DDO3" t="s">
        <v>6984</v>
      </c>
      <c r="DDP3" t="s">
        <v>6984</v>
      </c>
      <c r="DDQ3" t="s">
        <v>6984</v>
      </c>
      <c r="DDR3" t="s">
        <v>6984</v>
      </c>
      <c r="DDS3" t="s">
        <v>6984</v>
      </c>
      <c r="DDT3" t="s">
        <v>6984</v>
      </c>
      <c r="DDU3" t="s">
        <v>6984</v>
      </c>
      <c r="DDV3" t="s">
        <v>6984</v>
      </c>
      <c r="DDW3" t="s">
        <v>6984</v>
      </c>
      <c r="DDX3" t="s">
        <v>6984</v>
      </c>
      <c r="DDY3" t="s">
        <v>6984</v>
      </c>
      <c r="DDZ3" t="s">
        <v>6984</v>
      </c>
      <c r="DEA3" t="s">
        <v>6984</v>
      </c>
      <c r="DEB3" t="s">
        <v>6984</v>
      </c>
      <c r="DEC3" t="s">
        <v>6984</v>
      </c>
      <c r="DED3" t="s">
        <v>6984</v>
      </c>
      <c r="DEE3" t="s">
        <v>6984</v>
      </c>
      <c r="DEF3" t="s">
        <v>6984</v>
      </c>
      <c r="DEG3" t="s">
        <v>6984</v>
      </c>
      <c r="DEH3" t="s">
        <v>6984</v>
      </c>
      <c r="DEI3" t="s">
        <v>6984</v>
      </c>
      <c r="DEJ3" t="s">
        <v>6984</v>
      </c>
      <c r="DEK3" t="s">
        <v>6984</v>
      </c>
      <c r="DEL3" t="s">
        <v>6984</v>
      </c>
      <c r="DEM3" t="s">
        <v>6984</v>
      </c>
      <c r="DEN3" t="s">
        <v>6984</v>
      </c>
      <c r="DEO3" t="s">
        <v>6984</v>
      </c>
      <c r="DEP3" t="s">
        <v>6984</v>
      </c>
      <c r="DEQ3" t="s">
        <v>6984</v>
      </c>
      <c r="DER3" t="s">
        <v>6984</v>
      </c>
      <c r="DES3" t="s">
        <v>6984</v>
      </c>
      <c r="DET3" t="s">
        <v>6984</v>
      </c>
      <c r="DEU3" t="s">
        <v>6984</v>
      </c>
      <c r="DEV3" t="s">
        <v>6984</v>
      </c>
      <c r="DEW3" t="s">
        <v>6984</v>
      </c>
      <c r="DEX3" t="s">
        <v>6984</v>
      </c>
      <c r="DEY3" t="s">
        <v>6984</v>
      </c>
      <c r="DEZ3" t="s">
        <v>6984</v>
      </c>
      <c r="DFA3" t="s">
        <v>6984</v>
      </c>
      <c r="DFB3" t="s">
        <v>6984</v>
      </c>
      <c r="DFC3" t="s">
        <v>6984</v>
      </c>
      <c r="DFD3" t="s">
        <v>6984</v>
      </c>
      <c r="DFE3" t="s">
        <v>6984</v>
      </c>
      <c r="DFF3" t="s">
        <v>6984</v>
      </c>
      <c r="DFG3" t="s">
        <v>6984</v>
      </c>
      <c r="DFH3" t="s">
        <v>6984</v>
      </c>
      <c r="DFI3" t="s">
        <v>6984</v>
      </c>
      <c r="DFJ3" t="s">
        <v>6984</v>
      </c>
      <c r="DFK3" t="s">
        <v>6984</v>
      </c>
      <c r="DFL3" t="s">
        <v>6984</v>
      </c>
      <c r="DFM3" t="s">
        <v>6984</v>
      </c>
      <c r="DFN3" t="s">
        <v>6984</v>
      </c>
      <c r="DFO3" t="s">
        <v>6984</v>
      </c>
      <c r="DFP3" t="s">
        <v>6984</v>
      </c>
      <c r="DFQ3" t="s">
        <v>6984</v>
      </c>
      <c r="DFR3" t="s">
        <v>6984</v>
      </c>
      <c r="DFS3" t="s">
        <v>6984</v>
      </c>
      <c r="DFT3" t="s">
        <v>6984</v>
      </c>
      <c r="DFU3" t="s">
        <v>6984</v>
      </c>
      <c r="DFV3" t="s">
        <v>6984</v>
      </c>
      <c r="DFW3" t="s">
        <v>6984</v>
      </c>
      <c r="DFX3" t="s">
        <v>6984</v>
      </c>
      <c r="DFY3" t="s">
        <v>6984</v>
      </c>
      <c r="DFZ3" t="s">
        <v>6984</v>
      </c>
      <c r="DGA3" t="s">
        <v>6984</v>
      </c>
      <c r="DGB3" t="s">
        <v>6984</v>
      </c>
      <c r="DGC3" t="s">
        <v>6984</v>
      </c>
      <c r="DGD3" t="s">
        <v>6984</v>
      </c>
      <c r="DGE3" t="s">
        <v>6984</v>
      </c>
      <c r="DGF3" t="s">
        <v>6984</v>
      </c>
      <c r="DGG3" t="s">
        <v>6984</v>
      </c>
      <c r="DGH3" t="s">
        <v>6984</v>
      </c>
      <c r="DGI3" t="s">
        <v>6984</v>
      </c>
      <c r="DGJ3" t="s">
        <v>6984</v>
      </c>
      <c r="DGK3" t="s">
        <v>6984</v>
      </c>
      <c r="DGL3" t="s">
        <v>6984</v>
      </c>
      <c r="DGM3" t="s">
        <v>6984</v>
      </c>
      <c r="DGN3" t="s">
        <v>6984</v>
      </c>
      <c r="DGO3" t="s">
        <v>6984</v>
      </c>
      <c r="DGP3" t="s">
        <v>6984</v>
      </c>
      <c r="DGQ3" t="s">
        <v>6984</v>
      </c>
      <c r="DGR3" t="s">
        <v>6984</v>
      </c>
      <c r="DGS3" t="s">
        <v>6984</v>
      </c>
      <c r="DGT3" t="s">
        <v>6984</v>
      </c>
      <c r="DGU3" t="s">
        <v>6984</v>
      </c>
      <c r="DGV3" t="s">
        <v>6984</v>
      </c>
      <c r="DGW3" t="s">
        <v>6984</v>
      </c>
      <c r="DGX3" t="s">
        <v>6984</v>
      </c>
      <c r="DGY3" t="s">
        <v>6984</v>
      </c>
      <c r="DGZ3" t="s">
        <v>6984</v>
      </c>
      <c r="DHA3" t="s">
        <v>6984</v>
      </c>
      <c r="DHB3" t="s">
        <v>6984</v>
      </c>
      <c r="DHC3" t="s">
        <v>6984</v>
      </c>
      <c r="DHD3" t="s">
        <v>6984</v>
      </c>
      <c r="DHE3" t="s">
        <v>6984</v>
      </c>
      <c r="DHF3" t="s">
        <v>6984</v>
      </c>
      <c r="DHG3" t="s">
        <v>6984</v>
      </c>
      <c r="DHH3" t="s">
        <v>6984</v>
      </c>
      <c r="DHI3" t="s">
        <v>6984</v>
      </c>
      <c r="DHJ3" t="s">
        <v>6984</v>
      </c>
      <c r="DHK3" t="s">
        <v>6984</v>
      </c>
      <c r="DHL3" t="s">
        <v>6984</v>
      </c>
      <c r="DHM3" t="s">
        <v>6984</v>
      </c>
      <c r="DHN3" t="s">
        <v>6984</v>
      </c>
      <c r="DHO3" t="s">
        <v>6984</v>
      </c>
      <c r="DHP3" t="s">
        <v>6984</v>
      </c>
      <c r="DHQ3" t="s">
        <v>6984</v>
      </c>
      <c r="DHR3" t="s">
        <v>6984</v>
      </c>
      <c r="DHS3" t="s">
        <v>6984</v>
      </c>
      <c r="DHT3" t="s">
        <v>6984</v>
      </c>
      <c r="DHU3" t="s">
        <v>6984</v>
      </c>
      <c r="DHV3" t="s">
        <v>6984</v>
      </c>
      <c r="DHW3" t="s">
        <v>6984</v>
      </c>
      <c r="DHX3" t="s">
        <v>6984</v>
      </c>
      <c r="DHY3" t="s">
        <v>6984</v>
      </c>
      <c r="DHZ3" t="s">
        <v>6984</v>
      </c>
      <c r="DIA3" t="s">
        <v>6984</v>
      </c>
      <c r="DIB3" t="s">
        <v>6984</v>
      </c>
      <c r="DIC3" t="s">
        <v>6984</v>
      </c>
      <c r="DID3" t="s">
        <v>6984</v>
      </c>
      <c r="DIE3" t="s">
        <v>6984</v>
      </c>
      <c r="DIF3" t="s">
        <v>6984</v>
      </c>
      <c r="DIG3" t="s">
        <v>6984</v>
      </c>
      <c r="DIH3" t="s">
        <v>6984</v>
      </c>
      <c r="DII3" t="s">
        <v>6984</v>
      </c>
      <c r="DIJ3" t="s">
        <v>6984</v>
      </c>
      <c r="DIK3" t="s">
        <v>6984</v>
      </c>
      <c r="DIL3" t="s">
        <v>6984</v>
      </c>
      <c r="DIM3" t="s">
        <v>6984</v>
      </c>
      <c r="DIN3" t="s">
        <v>6984</v>
      </c>
      <c r="DIO3" t="s">
        <v>6984</v>
      </c>
      <c r="DIP3" t="s">
        <v>6984</v>
      </c>
      <c r="DIQ3" t="s">
        <v>6984</v>
      </c>
      <c r="DIR3" t="s">
        <v>6984</v>
      </c>
      <c r="DIS3" t="s">
        <v>6984</v>
      </c>
      <c r="DIT3" t="s">
        <v>6984</v>
      </c>
      <c r="DIU3" t="s">
        <v>6984</v>
      </c>
      <c r="DIV3" t="s">
        <v>6984</v>
      </c>
      <c r="DIW3" t="s">
        <v>6984</v>
      </c>
      <c r="DIX3" t="s">
        <v>6984</v>
      </c>
      <c r="DIY3" t="s">
        <v>6984</v>
      </c>
      <c r="DIZ3" t="s">
        <v>6984</v>
      </c>
      <c r="DJA3" t="s">
        <v>6984</v>
      </c>
      <c r="DJB3" t="s">
        <v>6984</v>
      </c>
      <c r="DJC3" t="s">
        <v>6984</v>
      </c>
      <c r="DJD3" t="s">
        <v>6984</v>
      </c>
      <c r="DJE3" t="s">
        <v>6984</v>
      </c>
      <c r="DJF3" t="s">
        <v>6984</v>
      </c>
      <c r="DJG3" t="s">
        <v>6984</v>
      </c>
      <c r="DJH3" t="s">
        <v>6984</v>
      </c>
      <c r="DJI3" t="s">
        <v>6984</v>
      </c>
      <c r="DJJ3" t="s">
        <v>6984</v>
      </c>
      <c r="DJK3" t="s">
        <v>6984</v>
      </c>
      <c r="DJL3" t="s">
        <v>6984</v>
      </c>
      <c r="DJM3" t="s">
        <v>6984</v>
      </c>
      <c r="DJN3" t="s">
        <v>6984</v>
      </c>
      <c r="DJO3" t="s">
        <v>6984</v>
      </c>
      <c r="DJP3" t="s">
        <v>6984</v>
      </c>
      <c r="DJQ3" t="s">
        <v>6984</v>
      </c>
      <c r="DJR3" t="s">
        <v>6984</v>
      </c>
      <c r="DJS3" t="s">
        <v>6984</v>
      </c>
      <c r="DJT3" t="s">
        <v>6984</v>
      </c>
      <c r="DJU3" t="s">
        <v>6984</v>
      </c>
      <c r="DJV3" t="s">
        <v>6984</v>
      </c>
      <c r="DJW3" t="s">
        <v>6984</v>
      </c>
      <c r="DJX3" t="s">
        <v>6984</v>
      </c>
      <c r="DJY3" t="s">
        <v>6984</v>
      </c>
      <c r="DJZ3" t="s">
        <v>6984</v>
      </c>
      <c r="DKA3" t="s">
        <v>6984</v>
      </c>
      <c r="DKB3" t="s">
        <v>6984</v>
      </c>
      <c r="DKC3" t="s">
        <v>6984</v>
      </c>
      <c r="DKD3" t="s">
        <v>6984</v>
      </c>
      <c r="DKE3" t="s">
        <v>6984</v>
      </c>
      <c r="DKF3" t="s">
        <v>6984</v>
      </c>
      <c r="DKG3" t="s">
        <v>6984</v>
      </c>
      <c r="DKH3" t="s">
        <v>6984</v>
      </c>
      <c r="DKI3" t="s">
        <v>6984</v>
      </c>
      <c r="DKJ3" t="s">
        <v>6984</v>
      </c>
      <c r="DKK3" t="s">
        <v>6984</v>
      </c>
      <c r="DKL3" t="s">
        <v>6984</v>
      </c>
      <c r="DKM3" t="s">
        <v>6984</v>
      </c>
      <c r="DKN3" t="s">
        <v>6984</v>
      </c>
      <c r="DKO3" t="s">
        <v>6984</v>
      </c>
      <c r="DKP3" t="s">
        <v>6984</v>
      </c>
      <c r="DKQ3" t="s">
        <v>6984</v>
      </c>
      <c r="DKR3" t="s">
        <v>6984</v>
      </c>
      <c r="DKS3" t="s">
        <v>6984</v>
      </c>
      <c r="DKT3" t="s">
        <v>6984</v>
      </c>
      <c r="DKU3" t="s">
        <v>6984</v>
      </c>
      <c r="DKV3" t="s">
        <v>6984</v>
      </c>
      <c r="DKW3" t="s">
        <v>6984</v>
      </c>
      <c r="DKX3" t="s">
        <v>6984</v>
      </c>
      <c r="DKY3" t="s">
        <v>6984</v>
      </c>
      <c r="DKZ3" t="s">
        <v>6984</v>
      </c>
      <c r="DLA3" t="s">
        <v>6984</v>
      </c>
      <c r="DLB3" t="s">
        <v>6984</v>
      </c>
      <c r="DLC3" t="s">
        <v>6984</v>
      </c>
      <c r="DLD3" t="s">
        <v>6984</v>
      </c>
      <c r="DLE3" t="s">
        <v>6984</v>
      </c>
      <c r="DLF3" t="s">
        <v>6984</v>
      </c>
      <c r="DLG3" t="s">
        <v>6984</v>
      </c>
      <c r="DLH3" t="s">
        <v>6984</v>
      </c>
      <c r="DLI3" t="s">
        <v>6984</v>
      </c>
      <c r="DLJ3" t="s">
        <v>6984</v>
      </c>
      <c r="DLK3" t="s">
        <v>6984</v>
      </c>
      <c r="DLL3" t="s">
        <v>6984</v>
      </c>
      <c r="DLM3" t="s">
        <v>6984</v>
      </c>
      <c r="DLN3" t="s">
        <v>6984</v>
      </c>
      <c r="DLO3" t="s">
        <v>6984</v>
      </c>
      <c r="DLP3" t="s">
        <v>6984</v>
      </c>
      <c r="DLQ3" t="s">
        <v>6984</v>
      </c>
      <c r="DLR3" t="s">
        <v>6984</v>
      </c>
      <c r="DLS3" t="s">
        <v>6984</v>
      </c>
      <c r="DLT3" t="s">
        <v>6984</v>
      </c>
      <c r="DLU3" t="s">
        <v>6984</v>
      </c>
      <c r="DLV3" t="s">
        <v>6984</v>
      </c>
      <c r="DLW3" t="s">
        <v>6984</v>
      </c>
      <c r="DLX3" t="s">
        <v>6984</v>
      </c>
      <c r="DLY3" t="s">
        <v>6984</v>
      </c>
      <c r="DLZ3" t="s">
        <v>6984</v>
      </c>
      <c r="DMA3" t="s">
        <v>6984</v>
      </c>
      <c r="DMB3" t="s">
        <v>6984</v>
      </c>
      <c r="DMC3" t="s">
        <v>6984</v>
      </c>
      <c r="DMD3" t="s">
        <v>6984</v>
      </c>
      <c r="DME3" t="s">
        <v>6984</v>
      </c>
      <c r="DMF3" t="s">
        <v>6984</v>
      </c>
      <c r="DMG3" t="s">
        <v>6984</v>
      </c>
      <c r="DMH3" t="s">
        <v>6984</v>
      </c>
      <c r="DMI3" t="s">
        <v>6984</v>
      </c>
      <c r="DMJ3" t="s">
        <v>6984</v>
      </c>
      <c r="DMK3" t="s">
        <v>6984</v>
      </c>
      <c r="DML3" t="s">
        <v>6984</v>
      </c>
      <c r="DMM3" t="s">
        <v>6984</v>
      </c>
      <c r="DMN3" t="s">
        <v>6984</v>
      </c>
      <c r="DMO3" t="s">
        <v>6984</v>
      </c>
      <c r="DMP3" t="s">
        <v>6984</v>
      </c>
      <c r="DMQ3" t="s">
        <v>6984</v>
      </c>
      <c r="DMR3" t="s">
        <v>6984</v>
      </c>
      <c r="DMS3" t="s">
        <v>6984</v>
      </c>
      <c r="DMT3" t="s">
        <v>6984</v>
      </c>
      <c r="DMU3" t="s">
        <v>6984</v>
      </c>
      <c r="DMV3" t="s">
        <v>6984</v>
      </c>
      <c r="DMW3" t="s">
        <v>6984</v>
      </c>
      <c r="DMX3" t="s">
        <v>6984</v>
      </c>
      <c r="DMY3" t="s">
        <v>6984</v>
      </c>
      <c r="DMZ3" t="s">
        <v>6984</v>
      </c>
      <c r="DNA3" t="s">
        <v>6984</v>
      </c>
      <c r="DNB3" t="s">
        <v>6984</v>
      </c>
      <c r="DNC3" t="s">
        <v>6984</v>
      </c>
      <c r="DND3" t="s">
        <v>6984</v>
      </c>
      <c r="DNE3" t="s">
        <v>6984</v>
      </c>
      <c r="DNF3" t="s">
        <v>6984</v>
      </c>
      <c r="DNG3" t="s">
        <v>6984</v>
      </c>
      <c r="DNH3" t="s">
        <v>6984</v>
      </c>
      <c r="DNI3" t="s">
        <v>6984</v>
      </c>
      <c r="DNJ3" t="s">
        <v>6984</v>
      </c>
      <c r="DNK3" t="s">
        <v>6984</v>
      </c>
      <c r="DNL3" t="s">
        <v>6984</v>
      </c>
      <c r="DNM3" t="s">
        <v>6984</v>
      </c>
      <c r="DNN3" t="s">
        <v>6984</v>
      </c>
      <c r="DNO3" t="s">
        <v>6984</v>
      </c>
      <c r="DNP3" t="s">
        <v>6984</v>
      </c>
      <c r="DNQ3" t="s">
        <v>6984</v>
      </c>
      <c r="DNR3" t="s">
        <v>6984</v>
      </c>
      <c r="DNS3" t="s">
        <v>6984</v>
      </c>
      <c r="DNT3" t="s">
        <v>6984</v>
      </c>
      <c r="DNU3" t="s">
        <v>6984</v>
      </c>
      <c r="DNV3" t="s">
        <v>6984</v>
      </c>
      <c r="DNW3" t="s">
        <v>6984</v>
      </c>
      <c r="DNX3" t="s">
        <v>6984</v>
      </c>
      <c r="DNY3" t="s">
        <v>6984</v>
      </c>
      <c r="DNZ3" t="s">
        <v>6984</v>
      </c>
      <c r="DOA3" t="s">
        <v>6984</v>
      </c>
      <c r="DOB3" t="s">
        <v>6984</v>
      </c>
      <c r="DOC3" t="s">
        <v>6984</v>
      </c>
      <c r="DOD3" t="s">
        <v>6984</v>
      </c>
      <c r="DOE3" t="s">
        <v>6984</v>
      </c>
      <c r="DOF3" t="s">
        <v>6984</v>
      </c>
      <c r="DOG3" t="s">
        <v>6984</v>
      </c>
      <c r="DOH3" t="s">
        <v>6984</v>
      </c>
      <c r="DOI3" t="s">
        <v>6984</v>
      </c>
      <c r="DOJ3" t="s">
        <v>6984</v>
      </c>
      <c r="DOK3" t="s">
        <v>6984</v>
      </c>
      <c r="DOL3" t="s">
        <v>6984</v>
      </c>
      <c r="DOM3" t="s">
        <v>6984</v>
      </c>
      <c r="DON3" t="s">
        <v>6984</v>
      </c>
      <c r="DOO3" t="s">
        <v>6984</v>
      </c>
      <c r="DOP3" t="s">
        <v>6984</v>
      </c>
      <c r="DOQ3" t="s">
        <v>6984</v>
      </c>
      <c r="DOR3" t="s">
        <v>6984</v>
      </c>
      <c r="DOS3" t="s">
        <v>6984</v>
      </c>
      <c r="DOT3" t="s">
        <v>6984</v>
      </c>
      <c r="DOU3" t="s">
        <v>6984</v>
      </c>
      <c r="DOV3" t="s">
        <v>6984</v>
      </c>
      <c r="DOW3" t="s">
        <v>6984</v>
      </c>
      <c r="DOX3" t="s">
        <v>6984</v>
      </c>
      <c r="DOY3" t="s">
        <v>6984</v>
      </c>
      <c r="DOZ3" t="s">
        <v>6984</v>
      </c>
      <c r="DPA3" t="s">
        <v>6984</v>
      </c>
      <c r="DPB3" t="s">
        <v>6984</v>
      </c>
      <c r="DPC3" t="s">
        <v>6984</v>
      </c>
      <c r="DPD3" t="s">
        <v>6984</v>
      </c>
      <c r="DPE3" t="s">
        <v>6984</v>
      </c>
      <c r="DPF3" t="s">
        <v>6984</v>
      </c>
      <c r="DPG3" t="s">
        <v>6984</v>
      </c>
      <c r="DPH3" t="s">
        <v>6984</v>
      </c>
      <c r="DPI3" t="s">
        <v>6984</v>
      </c>
      <c r="DPJ3" t="s">
        <v>6984</v>
      </c>
      <c r="DPK3" t="s">
        <v>6984</v>
      </c>
      <c r="DPL3" t="s">
        <v>6984</v>
      </c>
      <c r="DPM3" t="s">
        <v>6984</v>
      </c>
      <c r="DPN3" t="s">
        <v>6984</v>
      </c>
      <c r="DPO3" t="s">
        <v>6984</v>
      </c>
      <c r="DPP3" t="s">
        <v>6984</v>
      </c>
      <c r="DPQ3" t="s">
        <v>6984</v>
      </c>
      <c r="DPR3" t="s">
        <v>6984</v>
      </c>
      <c r="DPS3" t="s">
        <v>6984</v>
      </c>
      <c r="DPT3" t="s">
        <v>6984</v>
      </c>
      <c r="DPU3" t="s">
        <v>6984</v>
      </c>
      <c r="DPV3" t="s">
        <v>6984</v>
      </c>
      <c r="DPW3" t="s">
        <v>6984</v>
      </c>
      <c r="DPX3" t="s">
        <v>6984</v>
      </c>
      <c r="DPY3" t="s">
        <v>6984</v>
      </c>
      <c r="DPZ3" t="s">
        <v>6984</v>
      </c>
      <c r="DQA3" t="s">
        <v>6984</v>
      </c>
      <c r="DQB3" t="s">
        <v>6984</v>
      </c>
      <c r="DQC3" t="s">
        <v>6984</v>
      </c>
      <c r="DQD3" t="s">
        <v>6984</v>
      </c>
      <c r="DQE3" t="s">
        <v>6984</v>
      </c>
      <c r="DQF3" t="s">
        <v>6984</v>
      </c>
      <c r="DQG3" t="s">
        <v>6984</v>
      </c>
      <c r="DQH3" t="s">
        <v>6984</v>
      </c>
      <c r="DQI3" t="s">
        <v>6984</v>
      </c>
      <c r="DQJ3" t="s">
        <v>6984</v>
      </c>
      <c r="DQK3" t="s">
        <v>6984</v>
      </c>
      <c r="DQL3" t="s">
        <v>6984</v>
      </c>
      <c r="DQM3" t="s">
        <v>6984</v>
      </c>
      <c r="DQN3" t="s">
        <v>6984</v>
      </c>
      <c r="DQO3" t="s">
        <v>6984</v>
      </c>
      <c r="DQP3" t="s">
        <v>6984</v>
      </c>
      <c r="DQQ3" t="s">
        <v>6984</v>
      </c>
      <c r="DQR3" t="s">
        <v>6984</v>
      </c>
      <c r="DQS3" t="s">
        <v>6984</v>
      </c>
      <c r="DQT3" t="s">
        <v>6984</v>
      </c>
      <c r="DQU3" t="s">
        <v>6984</v>
      </c>
      <c r="DQV3" t="s">
        <v>6984</v>
      </c>
      <c r="DQW3" t="s">
        <v>6984</v>
      </c>
      <c r="DQX3" t="s">
        <v>6984</v>
      </c>
      <c r="DQY3" t="s">
        <v>6984</v>
      </c>
      <c r="DQZ3" t="s">
        <v>6984</v>
      </c>
      <c r="DRA3" t="s">
        <v>6984</v>
      </c>
      <c r="DRB3" t="s">
        <v>6984</v>
      </c>
      <c r="DRC3" t="s">
        <v>6984</v>
      </c>
      <c r="DRD3" t="s">
        <v>6984</v>
      </c>
      <c r="DRE3" t="s">
        <v>6984</v>
      </c>
      <c r="DRF3" t="s">
        <v>6984</v>
      </c>
      <c r="DRG3" t="s">
        <v>6984</v>
      </c>
      <c r="DRH3" t="s">
        <v>6984</v>
      </c>
      <c r="DRI3" t="s">
        <v>6984</v>
      </c>
      <c r="DRJ3" t="s">
        <v>6984</v>
      </c>
      <c r="DRK3" t="s">
        <v>6984</v>
      </c>
      <c r="DRL3" t="s">
        <v>6984</v>
      </c>
      <c r="DRM3" t="s">
        <v>6984</v>
      </c>
      <c r="DRN3" t="s">
        <v>6984</v>
      </c>
      <c r="DRO3" t="s">
        <v>6984</v>
      </c>
      <c r="DRP3" t="s">
        <v>6984</v>
      </c>
      <c r="DRQ3" t="s">
        <v>6984</v>
      </c>
      <c r="DRR3" t="s">
        <v>6984</v>
      </c>
      <c r="DRS3" t="s">
        <v>6984</v>
      </c>
      <c r="DRT3" t="s">
        <v>6984</v>
      </c>
      <c r="DRU3" t="s">
        <v>6984</v>
      </c>
      <c r="DRV3" t="s">
        <v>6984</v>
      </c>
      <c r="DRW3" t="s">
        <v>6984</v>
      </c>
      <c r="DRX3" t="s">
        <v>6984</v>
      </c>
      <c r="DRY3" t="s">
        <v>6984</v>
      </c>
      <c r="DRZ3" t="s">
        <v>6984</v>
      </c>
      <c r="DSA3" t="s">
        <v>6984</v>
      </c>
      <c r="DSB3" t="s">
        <v>6984</v>
      </c>
      <c r="DSC3" t="s">
        <v>6984</v>
      </c>
      <c r="DSD3" t="s">
        <v>6984</v>
      </c>
      <c r="DSE3" t="s">
        <v>6984</v>
      </c>
      <c r="DSF3" t="s">
        <v>6984</v>
      </c>
      <c r="DSG3" t="s">
        <v>6984</v>
      </c>
      <c r="DSH3" t="s">
        <v>6984</v>
      </c>
      <c r="DSI3" t="s">
        <v>6984</v>
      </c>
      <c r="DSJ3" t="s">
        <v>6984</v>
      </c>
      <c r="DSK3" t="s">
        <v>6984</v>
      </c>
      <c r="DSL3" t="s">
        <v>6984</v>
      </c>
      <c r="DSM3" t="s">
        <v>6984</v>
      </c>
      <c r="DSN3" t="s">
        <v>6984</v>
      </c>
      <c r="DSO3" t="s">
        <v>6984</v>
      </c>
      <c r="DSP3" t="s">
        <v>6984</v>
      </c>
      <c r="DSQ3" t="s">
        <v>6984</v>
      </c>
      <c r="DSR3" t="s">
        <v>6984</v>
      </c>
      <c r="DSS3" t="s">
        <v>6984</v>
      </c>
      <c r="DST3" t="s">
        <v>6984</v>
      </c>
      <c r="DSU3" t="s">
        <v>6984</v>
      </c>
      <c r="DSV3" t="s">
        <v>6984</v>
      </c>
      <c r="DSW3" t="s">
        <v>6984</v>
      </c>
      <c r="DSX3" t="s">
        <v>6984</v>
      </c>
      <c r="DSY3" t="s">
        <v>6984</v>
      </c>
      <c r="DSZ3" t="s">
        <v>6984</v>
      </c>
      <c r="DTA3" t="s">
        <v>6984</v>
      </c>
      <c r="DTB3" t="s">
        <v>6984</v>
      </c>
      <c r="DTC3" t="s">
        <v>6984</v>
      </c>
      <c r="DTD3" t="s">
        <v>6984</v>
      </c>
      <c r="DTE3" t="s">
        <v>6984</v>
      </c>
      <c r="DTF3" t="s">
        <v>6984</v>
      </c>
      <c r="DTG3" t="s">
        <v>6984</v>
      </c>
      <c r="DTH3" t="s">
        <v>6984</v>
      </c>
      <c r="DTI3" t="s">
        <v>6984</v>
      </c>
      <c r="DTJ3" t="s">
        <v>6984</v>
      </c>
      <c r="DTK3" t="s">
        <v>6984</v>
      </c>
      <c r="DTL3" t="s">
        <v>6984</v>
      </c>
      <c r="DTM3" t="s">
        <v>6984</v>
      </c>
      <c r="DTN3" t="s">
        <v>6984</v>
      </c>
      <c r="DTO3" t="s">
        <v>6984</v>
      </c>
      <c r="DTP3" t="s">
        <v>6984</v>
      </c>
      <c r="DTQ3" t="s">
        <v>6984</v>
      </c>
      <c r="DTR3" t="s">
        <v>6984</v>
      </c>
      <c r="DTS3" t="s">
        <v>6984</v>
      </c>
      <c r="DTT3" t="s">
        <v>6984</v>
      </c>
      <c r="DTU3" t="s">
        <v>6984</v>
      </c>
      <c r="DTV3" t="s">
        <v>6984</v>
      </c>
      <c r="DTW3" t="s">
        <v>6984</v>
      </c>
      <c r="DTX3" t="s">
        <v>6984</v>
      </c>
      <c r="DTY3" t="s">
        <v>6984</v>
      </c>
      <c r="DTZ3" t="s">
        <v>6984</v>
      </c>
      <c r="DUA3" t="s">
        <v>6984</v>
      </c>
      <c r="DUB3" t="s">
        <v>6984</v>
      </c>
      <c r="DUC3" t="s">
        <v>6984</v>
      </c>
      <c r="DUD3" t="s">
        <v>6984</v>
      </c>
      <c r="DUE3" t="s">
        <v>6984</v>
      </c>
      <c r="DUF3" t="s">
        <v>6984</v>
      </c>
      <c r="DUG3" t="s">
        <v>6984</v>
      </c>
      <c r="DUH3" t="s">
        <v>6984</v>
      </c>
      <c r="DUI3" t="s">
        <v>6984</v>
      </c>
      <c r="DUJ3" t="s">
        <v>6984</v>
      </c>
      <c r="DUK3" t="s">
        <v>6984</v>
      </c>
      <c r="DUL3" t="s">
        <v>6984</v>
      </c>
      <c r="DUM3" t="s">
        <v>6984</v>
      </c>
      <c r="DUN3" t="s">
        <v>6984</v>
      </c>
      <c r="DUO3" t="s">
        <v>6984</v>
      </c>
      <c r="DUP3" t="s">
        <v>6984</v>
      </c>
      <c r="DUQ3" t="s">
        <v>6984</v>
      </c>
      <c r="DUR3" t="s">
        <v>6984</v>
      </c>
      <c r="DUS3" t="s">
        <v>6984</v>
      </c>
      <c r="DUT3" t="s">
        <v>6984</v>
      </c>
      <c r="DUU3" t="s">
        <v>6984</v>
      </c>
      <c r="DUV3" t="s">
        <v>6984</v>
      </c>
      <c r="DUW3" t="s">
        <v>6984</v>
      </c>
      <c r="DUX3" t="s">
        <v>6984</v>
      </c>
      <c r="DUY3" t="s">
        <v>6984</v>
      </c>
      <c r="DUZ3" t="s">
        <v>6984</v>
      </c>
      <c r="DVA3" t="s">
        <v>6984</v>
      </c>
      <c r="DVB3" t="s">
        <v>6984</v>
      </c>
      <c r="DVC3" t="s">
        <v>6984</v>
      </c>
      <c r="DVD3" t="s">
        <v>6984</v>
      </c>
      <c r="DVE3" t="s">
        <v>6984</v>
      </c>
      <c r="DVF3" t="s">
        <v>6984</v>
      </c>
      <c r="DVG3" t="s">
        <v>6984</v>
      </c>
      <c r="DVH3" t="s">
        <v>6984</v>
      </c>
      <c r="DVI3" t="s">
        <v>6984</v>
      </c>
      <c r="DVJ3" t="s">
        <v>6984</v>
      </c>
      <c r="DVK3" t="s">
        <v>6984</v>
      </c>
      <c r="DVL3" t="s">
        <v>6984</v>
      </c>
      <c r="DVM3" t="s">
        <v>6984</v>
      </c>
      <c r="DVN3" t="s">
        <v>6984</v>
      </c>
      <c r="DVO3" t="s">
        <v>6984</v>
      </c>
      <c r="DVP3" t="s">
        <v>6984</v>
      </c>
      <c r="DVQ3" t="s">
        <v>6984</v>
      </c>
      <c r="DVR3" t="s">
        <v>6984</v>
      </c>
      <c r="DVS3" t="s">
        <v>6984</v>
      </c>
      <c r="DVT3" t="s">
        <v>6984</v>
      </c>
      <c r="DVU3" t="s">
        <v>6984</v>
      </c>
      <c r="DVV3" t="s">
        <v>6984</v>
      </c>
      <c r="DVW3" t="s">
        <v>6984</v>
      </c>
      <c r="DVX3" t="s">
        <v>6984</v>
      </c>
      <c r="DVY3" t="s">
        <v>6984</v>
      </c>
      <c r="DVZ3" t="s">
        <v>6984</v>
      </c>
      <c r="DWA3" t="s">
        <v>6984</v>
      </c>
      <c r="DWB3" t="s">
        <v>6984</v>
      </c>
      <c r="DWC3" t="s">
        <v>6984</v>
      </c>
      <c r="DWD3" t="s">
        <v>6984</v>
      </c>
      <c r="DWE3" t="s">
        <v>6984</v>
      </c>
      <c r="DWF3" t="s">
        <v>6984</v>
      </c>
      <c r="DWG3" t="s">
        <v>6984</v>
      </c>
      <c r="DWH3" t="s">
        <v>6984</v>
      </c>
      <c r="DWI3" t="s">
        <v>6984</v>
      </c>
      <c r="DWJ3" t="s">
        <v>6984</v>
      </c>
      <c r="DWK3" t="s">
        <v>6984</v>
      </c>
      <c r="DWL3" t="s">
        <v>6984</v>
      </c>
      <c r="DWM3" t="s">
        <v>6984</v>
      </c>
      <c r="DWN3" t="s">
        <v>6984</v>
      </c>
      <c r="DWO3" t="s">
        <v>6984</v>
      </c>
      <c r="DWP3" t="s">
        <v>6984</v>
      </c>
      <c r="DWQ3" t="s">
        <v>6984</v>
      </c>
      <c r="DWR3" t="s">
        <v>6984</v>
      </c>
      <c r="DWS3" t="s">
        <v>6984</v>
      </c>
      <c r="DWT3" t="s">
        <v>6984</v>
      </c>
      <c r="DWU3" t="s">
        <v>6984</v>
      </c>
      <c r="DWV3" t="s">
        <v>6984</v>
      </c>
      <c r="DWW3" t="s">
        <v>6984</v>
      </c>
      <c r="DWX3" t="s">
        <v>6984</v>
      </c>
      <c r="DWY3" t="s">
        <v>6984</v>
      </c>
      <c r="DWZ3" t="s">
        <v>6984</v>
      </c>
      <c r="DXA3" t="s">
        <v>6984</v>
      </c>
      <c r="DXB3" t="s">
        <v>6984</v>
      </c>
      <c r="DXC3" t="s">
        <v>6984</v>
      </c>
      <c r="DXD3" t="s">
        <v>6984</v>
      </c>
      <c r="DXE3" t="s">
        <v>6984</v>
      </c>
      <c r="DXF3" t="s">
        <v>6984</v>
      </c>
      <c r="DXG3" t="s">
        <v>6984</v>
      </c>
      <c r="DXH3" t="s">
        <v>6984</v>
      </c>
      <c r="DXI3" t="s">
        <v>6984</v>
      </c>
      <c r="DXJ3" t="s">
        <v>6984</v>
      </c>
      <c r="DXK3" t="s">
        <v>6984</v>
      </c>
      <c r="DXL3" t="s">
        <v>6984</v>
      </c>
      <c r="DXM3" t="s">
        <v>6984</v>
      </c>
      <c r="DXN3" t="s">
        <v>6984</v>
      </c>
      <c r="DXO3" t="s">
        <v>6984</v>
      </c>
      <c r="DXP3" t="s">
        <v>6984</v>
      </c>
      <c r="DXQ3" t="s">
        <v>6984</v>
      </c>
      <c r="DXR3" t="s">
        <v>6984</v>
      </c>
      <c r="DXS3" t="s">
        <v>6984</v>
      </c>
      <c r="DXT3" t="s">
        <v>6984</v>
      </c>
      <c r="DXU3" t="s">
        <v>6984</v>
      </c>
      <c r="DXV3" t="s">
        <v>6984</v>
      </c>
      <c r="DXW3" t="s">
        <v>6984</v>
      </c>
      <c r="DXX3" t="s">
        <v>6984</v>
      </c>
      <c r="DXY3" t="s">
        <v>6984</v>
      </c>
      <c r="DXZ3" t="s">
        <v>6984</v>
      </c>
      <c r="DYA3" t="s">
        <v>6984</v>
      </c>
      <c r="DYB3" t="s">
        <v>6984</v>
      </c>
      <c r="DYC3" t="s">
        <v>6984</v>
      </c>
      <c r="DYD3" t="s">
        <v>6984</v>
      </c>
      <c r="DYE3" t="s">
        <v>6984</v>
      </c>
      <c r="DYF3" t="s">
        <v>6984</v>
      </c>
      <c r="DYG3" t="s">
        <v>6984</v>
      </c>
      <c r="DYH3" t="s">
        <v>6984</v>
      </c>
      <c r="DYI3" t="s">
        <v>6984</v>
      </c>
      <c r="DYJ3" t="s">
        <v>6984</v>
      </c>
      <c r="DYK3" t="s">
        <v>6984</v>
      </c>
      <c r="DYL3" t="s">
        <v>6984</v>
      </c>
      <c r="DYM3" t="s">
        <v>6984</v>
      </c>
      <c r="DYN3" t="s">
        <v>6984</v>
      </c>
      <c r="DYO3" t="s">
        <v>6984</v>
      </c>
      <c r="DYP3" t="s">
        <v>6984</v>
      </c>
      <c r="DYQ3" t="s">
        <v>6984</v>
      </c>
      <c r="DYR3" t="s">
        <v>6984</v>
      </c>
      <c r="DYS3" t="s">
        <v>6984</v>
      </c>
      <c r="DYT3" t="s">
        <v>6984</v>
      </c>
      <c r="DYU3" t="s">
        <v>6984</v>
      </c>
      <c r="DYV3" t="s">
        <v>6984</v>
      </c>
      <c r="DYW3" t="s">
        <v>6984</v>
      </c>
      <c r="DYX3" t="s">
        <v>6984</v>
      </c>
      <c r="DYY3" t="s">
        <v>6984</v>
      </c>
      <c r="DYZ3" t="s">
        <v>6984</v>
      </c>
      <c r="DZA3" t="s">
        <v>6984</v>
      </c>
      <c r="DZB3" t="s">
        <v>6984</v>
      </c>
      <c r="DZC3" t="s">
        <v>6984</v>
      </c>
      <c r="DZD3" t="s">
        <v>6984</v>
      </c>
      <c r="DZE3" t="s">
        <v>6984</v>
      </c>
      <c r="DZF3" t="s">
        <v>6984</v>
      </c>
      <c r="DZG3" t="s">
        <v>6984</v>
      </c>
      <c r="DZH3" t="s">
        <v>6984</v>
      </c>
      <c r="DZI3" t="s">
        <v>6984</v>
      </c>
      <c r="DZJ3" t="s">
        <v>6984</v>
      </c>
      <c r="DZK3" t="s">
        <v>6984</v>
      </c>
      <c r="DZL3" t="s">
        <v>6984</v>
      </c>
      <c r="DZM3" t="s">
        <v>6984</v>
      </c>
      <c r="DZN3" t="s">
        <v>6984</v>
      </c>
      <c r="DZO3" t="s">
        <v>6984</v>
      </c>
      <c r="DZP3" t="s">
        <v>6984</v>
      </c>
      <c r="DZQ3" t="s">
        <v>6984</v>
      </c>
      <c r="DZR3" t="s">
        <v>6984</v>
      </c>
      <c r="DZS3" t="s">
        <v>6984</v>
      </c>
      <c r="DZT3" t="s">
        <v>6984</v>
      </c>
      <c r="DZU3" t="s">
        <v>6984</v>
      </c>
      <c r="DZV3" t="s">
        <v>6984</v>
      </c>
      <c r="DZW3" t="s">
        <v>6984</v>
      </c>
      <c r="DZX3" t="s">
        <v>6984</v>
      </c>
      <c r="DZY3" t="s">
        <v>6984</v>
      </c>
      <c r="DZZ3" t="s">
        <v>6984</v>
      </c>
      <c r="EAA3" t="s">
        <v>6984</v>
      </c>
      <c r="EAB3" t="s">
        <v>6984</v>
      </c>
      <c r="EAC3" t="s">
        <v>6984</v>
      </c>
      <c r="EAD3" t="s">
        <v>6984</v>
      </c>
      <c r="EAE3" t="s">
        <v>6984</v>
      </c>
      <c r="EAF3" t="s">
        <v>6984</v>
      </c>
      <c r="EAG3" t="s">
        <v>6984</v>
      </c>
      <c r="EAH3" t="s">
        <v>6984</v>
      </c>
      <c r="EAI3" t="s">
        <v>6984</v>
      </c>
      <c r="EAJ3" t="s">
        <v>6984</v>
      </c>
      <c r="EAK3" t="s">
        <v>6984</v>
      </c>
      <c r="EAL3" t="s">
        <v>6984</v>
      </c>
      <c r="EAM3" t="s">
        <v>6984</v>
      </c>
      <c r="EAN3" t="s">
        <v>6984</v>
      </c>
      <c r="EAO3" t="s">
        <v>6984</v>
      </c>
      <c r="EAP3" t="s">
        <v>6984</v>
      </c>
      <c r="EAQ3" t="s">
        <v>6984</v>
      </c>
      <c r="EAR3" t="s">
        <v>6984</v>
      </c>
      <c r="EAS3" t="s">
        <v>6984</v>
      </c>
      <c r="EAT3" t="s">
        <v>6984</v>
      </c>
      <c r="EAU3" t="s">
        <v>6984</v>
      </c>
      <c r="EAV3" t="s">
        <v>6984</v>
      </c>
      <c r="EAW3" t="s">
        <v>6984</v>
      </c>
      <c r="EAX3" t="s">
        <v>6984</v>
      </c>
      <c r="EAY3" t="s">
        <v>6984</v>
      </c>
      <c r="EAZ3" t="s">
        <v>6984</v>
      </c>
      <c r="EBA3" t="s">
        <v>6984</v>
      </c>
      <c r="EBB3" t="s">
        <v>6984</v>
      </c>
      <c r="EBC3" t="s">
        <v>6984</v>
      </c>
      <c r="EBD3" t="s">
        <v>6984</v>
      </c>
      <c r="EBE3" t="s">
        <v>6984</v>
      </c>
      <c r="EBF3" t="s">
        <v>6984</v>
      </c>
      <c r="EBG3" t="s">
        <v>6984</v>
      </c>
      <c r="EBH3" t="s">
        <v>6984</v>
      </c>
      <c r="EBI3" t="s">
        <v>6984</v>
      </c>
      <c r="EBJ3" t="s">
        <v>6984</v>
      </c>
      <c r="EBK3" t="s">
        <v>6984</v>
      </c>
      <c r="EBL3" t="s">
        <v>6984</v>
      </c>
      <c r="EBM3" t="s">
        <v>6984</v>
      </c>
      <c r="EBN3" t="s">
        <v>6984</v>
      </c>
      <c r="EBO3" t="s">
        <v>6984</v>
      </c>
      <c r="EBP3" t="s">
        <v>6984</v>
      </c>
      <c r="EBQ3" t="s">
        <v>6984</v>
      </c>
      <c r="EBR3" t="s">
        <v>6984</v>
      </c>
      <c r="EBS3" t="s">
        <v>6984</v>
      </c>
      <c r="EBT3" t="s">
        <v>6984</v>
      </c>
      <c r="EBU3" t="s">
        <v>6984</v>
      </c>
      <c r="EBV3" t="s">
        <v>6984</v>
      </c>
      <c r="EBW3" t="s">
        <v>6984</v>
      </c>
      <c r="EBX3" t="s">
        <v>6984</v>
      </c>
      <c r="EBY3" t="s">
        <v>6984</v>
      </c>
      <c r="EBZ3" t="s">
        <v>6984</v>
      </c>
      <c r="ECA3" t="s">
        <v>6984</v>
      </c>
      <c r="ECB3" t="s">
        <v>6984</v>
      </c>
      <c r="ECC3" t="s">
        <v>6984</v>
      </c>
      <c r="ECD3" t="s">
        <v>6984</v>
      </c>
      <c r="ECE3" t="s">
        <v>6984</v>
      </c>
      <c r="ECF3" t="s">
        <v>6984</v>
      </c>
      <c r="ECG3" t="s">
        <v>6984</v>
      </c>
      <c r="ECH3" t="s">
        <v>6984</v>
      </c>
      <c r="ECI3" t="s">
        <v>6984</v>
      </c>
      <c r="ECJ3" t="s">
        <v>6984</v>
      </c>
      <c r="ECK3" t="s">
        <v>6984</v>
      </c>
      <c r="ECL3" t="s">
        <v>6984</v>
      </c>
      <c r="ECM3" t="s">
        <v>6984</v>
      </c>
      <c r="ECN3" t="s">
        <v>6984</v>
      </c>
      <c r="ECO3" t="s">
        <v>6984</v>
      </c>
      <c r="ECP3" t="s">
        <v>6984</v>
      </c>
      <c r="ECQ3" t="s">
        <v>6984</v>
      </c>
      <c r="ECR3" t="s">
        <v>6984</v>
      </c>
      <c r="ECS3" t="s">
        <v>6984</v>
      </c>
      <c r="ECT3" t="s">
        <v>6984</v>
      </c>
      <c r="ECU3" t="s">
        <v>6984</v>
      </c>
      <c r="ECV3" t="s">
        <v>6984</v>
      </c>
      <c r="ECW3" t="s">
        <v>6984</v>
      </c>
      <c r="ECX3" t="s">
        <v>6984</v>
      </c>
      <c r="ECY3" t="s">
        <v>6984</v>
      </c>
      <c r="ECZ3" t="s">
        <v>6984</v>
      </c>
      <c r="EDA3" t="s">
        <v>6984</v>
      </c>
      <c r="EDB3" t="s">
        <v>6984</v>
      </c>
      <c r="EDC3" t="s">
        <v>6984</v>
      </c>
      <c r="EDD3" t="s">
        <v>6984</v>
      </c>
      <c r="EDE3" t="s">
        <v>6984</v>
      </c>
      <c r="EDF3" t="s">
        <v>6984</v>
      </c>
      <c r="EDG3" t="s">
        <v>6984</v>
      </c>
      <c r="EDH3" t="s">
        <v>6984</v>
      </c>
      <c r="EDI3" t="s">
        <v>6984</v>
      </c>
      <c r="EDJ3" t="s">
        <v>6984</v>
      </c>
      <c r="EDK3" t="s">
        <v>6984</v>
      </c>
      <c r="EDL3" t="s">
        <v>6984</v>
      </c>
      <c r="EDM3" t="s">
        <v>6984</v>
      </c>
      <c r="EDN3" t="s">
        <v>6984</v>
      </c>
      <c r="EDO3" t="s">
        <v>6984</v>
      </c>
      <c r="EDP3" t="s">
        <v>6984</v>
      </c>
      <c r="EDQ3" t="s">
        <v>6984</v>
      </c>
      <c r="EDR3" t="s">
        <v>6984</v>
      </c>
      <c r="EDS3" t="s">
        <v>6984</v>
      </c>
      <c r="EDT3" t="s">
        <v>6984</v>
      </c>
      <c r="EDU3" t="s">
        <v>6984</v>
      </c>
      <c r="EDV3" t="s">
        <v>6984</v>
      </c>
      <c r="EDW3" t="s">
        <v>6984</v>
      </c>
      <c r="EDX3" t="s">
        <v>6984</v>
      </c>
      <c r="EDY3" t="s">
        <v>6984</v>
      </c>
      <c r="EDZ3" t="s">
        <v>6984</v>
      </c>
      <c r="EEA3" t="s">
        <v>6984</v>
      </c>
      <c r="EEB3" t="s">
        <v>6984</v>
      </c>
      <c r="EEC3" t="s">
        <v>6984</v>
      </c>
      <c r="EED3" t="s">
        <v>6984</v>
      </c>
      <c r="EEE3" t="s">
        <v>6984</v>
      </c>
      <c r="EEF3" t="s">
        <v>6984</v>
      </c>
      <c r="EEG3" t="s">
        <v>6984</v>
      </c>
      <c r="EEH3" t="s">
        <v>6984</v>
      </c>
      <c r="EEI3" t="s">
        <v>6984</v>
      </c>
      <c r="EEJ3" t="s">
        <v>6984</v>
      </c>
      <c r="EEK3" t="s">
        <v>6984</v>
      </c>
      <c r="EEL3" t="s">
        <v>6984</v>
      </c>
      <c r="EEM3" t="s">
        <v>6984</v>
      </c>
      <c r="EEN3" t="s">
        <v>6984</v>
      </c>
      <c r="EEO3" t="s">
        <v>6984</v>
      </c>
      <c r="EEP3" t="s">
        <v>6984</v>
      </c>
      <c r="EEQ3" t="s">
        <v>6984</v>
      </c>
      <c r="EER3" t="s">
        <v>6984</v>
      </c>
      <c r="EES3" t="s">
        <v>6984</v>
      </c>
      <c r="EET3" t="s">
        <v>6984</v>
      </c>
      <c r="EEU3" t="s">
        <v>6984</v>
      </c>
      <c r="EEV3" t="s">
        <v>6984</v>
      </c>
      <c r="EEW3" t="s">
        <v>6984</v>
      </c>
      <c r="EEX3" t="s">
        <v>6984</v>
      </c>
      <c r="EEY3" t="s">
        <v>6984</v>
      </c>
      <c r="EEZ3" t="s">
        <v>6984</v>
      </c>
      <c r="EFA3" t="s">
        <v>6984</v>
      </c>
      <c r="EFB3" t="s">
        <v>6984</v>
      </c>
      <c r="EFC3" t="s">
        <v>6984</v>
      </c>
      <c r="EFD3" t="s">
        <v>6984</v>
      </c>
      <c r="EFE3" t="s">
        <v>6984</v>
      </c>
      <c r="EFF3" t="s">
        <v>6984</v>
      </c>
      <c r="EFG3" t="s">
        <v>6984</v>
      </c>
      <c r="EFH3" t="s">
        <v>6984</v>
      </c>
      <c r="EFI3" t="s">
        <v>6984</v>
      </c>
      <c r="EFJ3" t="s">
        <v>6984</v>
      </c>
      <c r="EFK3" t="s">
        <v>6984</v>
      </c>
      <c r="EFL3" t="s">
        <v>6984</v>
      </c>
      <c r="EFM3" t="s">
        <v>6984</v>
      </c>
      <c r="EFN3" t="s">
        <v>6984</v>
      </c>
      <c r="EFO3" t="s">
        <v>6984</v>
      </c>
      <c r="EFP3" t="s">
        <v>6984</v>
      </c>
      <c r="EFQ3" t="s">
        <v>6984</v>
      </c>
      <c r="EFR3" t="s">
        <v>6984</v>
      </c>
      <c r="EFS3" t="s">
        <v>6984</v>
      </c>
      <c r="EFT3" t="s">
        <v>6984</v>
      </c>
      <c r="EFU3" t="s">
        <v>6984</v>
      </c>
      <c r="EFV3" t="s">
        <v>6984</v>
      </c>
      <c r="EFW3" t="s">
        <v>6984</v>
      </c>
      <c r="EFX3" t="s">
        <v>6984</v>
      </c>
      <c r="EFY3" t="s">
        <v>6984</v>
      </c>
      <c r="EFZ3" t="s">
        <v>6984</v>
      </c>
      <c r="EGA3" t="s">
        <v>6984</v>
      </c>
      <c r="EGB3" t="s">
        <v>6984</v>
      </c>
      <c r="EGC3" t="s">
        <v>6984</v>
      </c>
      <c r="EGD3" t="s">
        <v>6984</v>
      </c>
      <c r="EGE3" t="s">
        <v>6984</v>
      </c>
      <c r="EGF3" t="s">
        <v>6984</v>
      </c>
      <c r="EGG3" t="s">
        <v>6984</v>
      </c>
      <c r="EGH3" t="s">
        <v>6984</v>
      </c>
      <c r="EGI3" t="s">
        <v>6984</v>
      </c>
      <c r="EGJ3" t="s">
        <v>6984</v>
      </c>
      <c r="EGK3" t="s">
        <v>6984</v>
      </c>
      <c r="EGL3" t="s">
        <v>6984</v>
      </c>
      <c r="EGM3" t="s">
        <v>6984</v>
      </c>
      <c r="EGN3" t="s">
        <v>6984</v>
      </c>
      <c r="EGO3" t="s">
        <v>6984</v>
      </c>
      <c r="EGP3" t="s">
        <v>6984</v>
      </c>
      <c r="EGQ3" t="s">
        <v>6984</v>
      </c>
      <c r="EGR3" t="s">
        <v>6984</v>
      </c>
      <c r="EGS3" t="s">
        <v>6984</v>
      </c>
      <c r="EGT3" t="s">
        <v>6984</v>
      </c>
      <c r="EGU3" t="s">
        <v>6984</v>
      </c>
      <c r="EGV3" t="s">
        <v>6984</v>
      </c>
      <c r="EGW3" t="s">
        <v>6984</v>
      </c>
      <c r="EGX3" t="s">
        <v>6984</v>
      </c>
      <c r="EGY3" t="s">
        <v>6984</v>
      </c>
      <c r="EGZ3" t="s">
        <v>6984</v>
      </c>
      <c r="EHA3" t="s">
        <v>6984</v>
      </c>
      <c r="EHB3" t="s">
        <v>6984</v>
      </c>
      <c r="EHC3" t="s">
        <v>6984</v>
      </c>
      <c r="EHD3" t="s">
        <v>6984</v>
      </c>
      <c r="EHE3" t="s">
        <v>6984</v>
      </c>
      <c r="EHF3" t="s">
        <v>6984</v>
      </c>
      <c r="EHG3" t="s">
        <v>6984</v>
      </c>
      <c r="EHH3" t="s">
        <v>6984</v>
      </c>
      <c r="EHI3" t="s">
        <v>6984</v>
      </c>
      <c r="EHJ3" t="s">
        <v>6984</v>
      </c>
      <c r="EHK3" t="s">
        <v>6984</v>
      </c>
      <c r="EHL3" t="s">
        <v>6984</v>
      </c>
      <c r="EHM3" t="s">
        <v>6984</v>
      </c>
      <c r="EHN3" t="s">
        <v>6984</v>
      </c>
      <c r="EHO3" t="s">
        <v>6984</v>
      </c>
      <c r="EHP3" t="s">
        <v>6984</v>
      </c>
      <c r="EHQ3" t="s">
        <v>6984</v>
      </c>
      <c r="EHR3" t="s">
        <v>6984</v>
      </c>
      <c r="EHS3" t="s">
        <v>6984</v>
      </c>
      <c r="EHT3" t="s">
        <v>6984</v>
      </c>
      <c r="EHU3" t="s">
        <v>6984</v>
      </c>
      <c r="EHV3" t="s">
        <v>6984</v>
      </c>
      <c r="EHW3" t="s">
        <v>6984</v>
      </c>
      <c r="EHX3" t="s">
        <v>6984</v>
      </c>
      <c r="EHY3" t="s">
        <v>6984</v>
      </c>
      <c r="EHZ3" t="s">
        <v>6984</v>
      </c>
      <c r="EIA3" t="s">
        <v>6984</v>
      </c>
      <c r="EIB3" t="s">
        <v>6984</v>
      </c>
      <c r="EIC3" t="s">
        <v>6984</v>
      </c>
      <c r="EID3" t="s">
        <v>6984</v>
      </c>
      <c r="EIE3" t="s">
        <v>6984</v>
      </c>
      <c r="EIF3" t="s">
        <v>6984</v>
      </c>
      <c r="EIG3" t="s">
        <v>6984</v>
      </c>
      <c r="EIH3" t="s">
        <v>6984</v>
      </c>
      <c r="EII3" t="s">
        <v>6984</v>
      </c>
      <c r="EIJ3" t="s">
        <v>6984</v>
      </c>
      <c r="EIK3" t="s">
        <v>6984</v>
      </c>
      <c r="EIL3" t="s">
        <v>6984</v>
      </c>
      <c r="EIM3" t="s">
        <v>6984</v>
      </c>
      <c r="EIN3" t="s">
        <v>6984</v>
      </c>
      <c r="EIO3" t="s">
        <v>6984</v>
      </c>
      <c r="EIP3" t="s">
        <v>6984</v>
      </c>
      <c r="EIQ3" t="s">
        <v>6984</v>
      </c>
      <c r="EIR3" t="s">
        <v>6984</v>
      </c>
      <c r="EIS3" t="s">
        <v>6984</v>
      </c>
      <c r="EIT3" t="s">
        <v>6984</v>
      </c>
      <c r="EIU3" t="s">
        <v>6984</v>
      </c>
      <c r="EIV3" t="s">
        <v>6984</v>
      </c>
      <c r="EIW3" t="s">
        <v>6984</v>
      </c>
      <c r="EIX3" t="s">
        <v>6984</v>
      </c>
      <c r="EIY3" t="s">
        <v>6984</v>
      </c>
      <c r="EIZ3" t="s">
        <v>6984</v>
      </c>
      <c r="EJA3" t="s">
        <v>6984</v>
      </c>
      <c r="EJB3" t="s">
        <v>6984</v>
      </c>
      <c r="EJC3" t="s">
        <v>6984</v>
      </c>
      <c r="EJD3" t="s">
        <v>6984</v>
      </c>
      <c r="EJE3" t="s">
        <v>6984</v>
      </c>
      <c r="EJF3" t="s">
        <v>6984</v>
      </c>
      <c r="EJG3" t="s">
        <v>6984</v>
      </c>
      <c r="EJH3" t="s">
        <v>6984</v>
      </c>
      <c r="EJI3" t="s">
        <v>6984</v>
      </c>
      <c r="EJJ3" t="s">
        <v>6984</v>
      </c>
      <c r="EJK3" t="s">
        <v>6984</v>
      </c>
      <c r="EJL3" t="s">
        <v>6984</v>
      </c>
      <c r="EJM3" t="s">
        <v>6984</v>
      </c>
      <c r="EJN3" t="s">
        <v>6984</v>
      </c>
      <c r="EJO3" t="s">
        <v>6984</v>
      </c>
      <c r="EJP3" t="s">
        <v>6984</v>
      </c>
      <c r="EJQ3" t="s">
        <v>6984</v>
      </c>
      <c r="EJR3" t="s">
        <v>6984</v>
      </c>
      <c r="EJS3" t="s">
        <v>6984</v>
      </c>
      <c r="EJT3" t="s">
        <v>6984</v>
      </c>
      <c r="EJU3" t="s">
        <v>6984</v>
      </c>
      <c r="EJV3" t="s">
        <v>6984</v>
      </c>
      <c r="EJW3" t="s">
        <v>6984</v>
      </c>
      <c r="EJX3" t="s">
        <v>6984</v>
      </c>
      <c r="EJY3" t="s">
        <v>6984</v>
      </c>
      <c r="EJZ3" t="s">
        <v>6984</v>
      </c>
      <c r="EKA3" t="s">
        <v>6984</v>
      </c>
      <c r="EKB3" t="s">
        <v>6984</v>
      </c>
      <c r="EKC3" t="s">
        <v>6984</v>
      </c>
      <c r="EKD3" t="s">
        <v>6984</v>
      </c>
      <c r="EKE3" t="s">
        <v>6984</v>
      </c>
      <c r="EKF3" t="s">
        <v>6984</v>
      </c>
      <c r="EKG3" t="s">
        <v>6984</v>
      </c>
      <c r="EKH3" t="s">
        <v>6984</v>
      </c>
      <c r="EKI3" t="s">
        <v>6984</v>
      </c>
      <c r="EKJ3" t="s">
        <v>6984</v>
      </c>
      <c r="EKK3" t="s">
        <v>6984</v>
      </c>
      <c r="EKL3" t="s">
        <v>6984</v>
      </c>
      <c r="EKM3" t="s">
        <v>6984</v>
      </c>
      <c r="EKN3" t="s">
        <v>6984</v>
      </c>
      <c r="EKO3" t="s">
        <v>6984</v>
      </c>
      <c r="EKP3" t="s">
        <v>6984</v>
      </c>
      <c r="EKQ3" t="s">
        <v>6984</v>
      </c>
      <c r="EKR3" t="s">
        <v>6984</v>
      </c>
      <c r="EKS3" t="s">
        <v>6984</v>
      </c>
      <c r="EKT3" t="s">
        <v>6984</v>
      </c>
      <c r="EKU3" t="s">
        <v>6984</v>
      </c>
      <c r="EKV3" t="s">
        <v>6984</v>
      </c>
      <c r="EKW3" t="s">
        <v>6984</v>
      </c>
      <c r="EKX3" t="s">
        <v>6984</v>
      </c>
      <c r="EKY3" t="s">
        <v>6984</v>
      </c>
      <c r="EKZ3" t="s">
        <v>6984</v>
      </c>
      <c r="ELA3" t="s">
        <v>6984</v>
      </c>
      <c r="ELB3" t="s">
        <v>6984</v>
      </c>
      <c r="ELC3" t="s">
        <v>6984</v>
      </c>
      <c r="ELD3" t="s">
        <v>6984</v>
      </c>
      <c r="ELE3" t="s">
        <v>6984</v>
      </c>
      <c r="ELF3" t="s">
        <v>6984</v>
      </c>
      <c r="ELG3" t="s">
        <v>6984</v>
      </c>
      <c r="ELH3" t="s">
        <v>6984</v>
      </c>
      <c r="ELI3" t="s">
        <v>6984</v>
      </c>
      <c r="ELJ3" t="s">
        <v>6984</v>
      </c>
      <c r="ELK3" t="s">
        <v>6984</v>
      </c>
      <c r="ELL3" t="s">
        <v>6984</v>
      </c>
      <c r="ELM3" t="s">
        <v>6984</v>
      </c>
      <c r="ELN3" t="s">
        <v>6984</v>
      </c>
      <c r="ELO3" t="s">
        <v>6984</v>
      </c>
      <c r="ELP3" t="s">
        <v>6984</v>
      </c>
      <c r="ELQ3" t="s">
        <v>6984</v>
      </c>
      <c r="ELR3" t="s">
        <v>6984</v>
      </c>
      <c r="ELS3" t="s">
        <v>6984</v>
      </c>
      <c r="ELT3" t="s">
        <v>6984</v>
      </c>
      <c r="ELU3" t="s">
        <v>6984</v>
      </c>
      <c r="ELV3" t="s">
        <v>6984</v>
      </c>
      <c r="ELW3" t="s">
        <v>6984</v>
      </c>
      <c r="ELX3" t="s">
        <v>6984</v>
      </c>
      <c r="ELY3" t="s">
        <v>6984</v>
      </c>
      <c r="ELZ3" t="s">
        <v>6984</v>
      </c>
      <c r="EMA3" t="s">
        <v>6984</v>
      </c>
      <c r="EMB3" t="s">
        <v>6984</v>
      </c>
      <c r="EMC3" t="s">
        <v>6984</v>
      </c>
      <c r="EMD3" t="s">
        <v>6984</v>
      </c>
      <c r="EME3" t="s">
        <v>6984</v>
      </c>
      <c r="EMF3" t="s">
        <v>6984</v>
      </c>
      <c r="EMG3" t="s">
        <v>6984</v>
      </c>
      <c r="EMH3" t="s">
        <v>6984</v>
      </c>
      <c r="EMI3" t="s">
        <v>6984</v>
      </c>
      <c r="EMJ3" t="s">
        <v>6984</v>
      </c>
      <c r="EMK3" t="s">
        <v>6984</v>
      </c>
      <c r="EML3" t="s">
        <v>6984</v>
      </c>
      <c r="EMM3" t="s">
        <v>6984</v>
      </c>
      <c r="EMN3" t="s">
        <v>6984</v>
      </c>
      <c r="EMO3" t="s">
        <v>6984</v>
      </c>
      <c r="EMP3" t="s">
        <v>6984</v>
      </c>
      <c r="EMQ3" t="s">
        <v>6984</v>
      </c>
      <c r="EMR3" t="s">
        <v>6984</v>
      </c>
      <c r="EMS3" t="s">
        <v>6984</v>
      </c>
      <c r="EMT3" t="s">
        <v>6984</v>
      </c>
      <c r="EMU3" t="s">
        <v>6984</v>
      </c>
      <c r="EMV3" t="s">
        <v>6984</v>
      </c>
      <c r="EMW3" t="s">
        <v>6984</v>
      </c>
      <c r="EMX3" t="s">
        <v>6984</v>
      </c>
      <c r="EMY3" t="s">
        <v>6984</v>
      </c>
      <c r="EMZ3" t="s">
        <v>6984</v>
      </c>
      <c r="ENA3" t="s">
        <v>6984</v>
      </c>
      <c r="ENB3" t="s">
        <v>6984</v>
      </c>
      <c r="ENC3" t="s">
        <v>6984</v>
      </c>
      <c r="END3" t="s">
        <v>6984</v>
      </c>
      <c r="ENE3" t="s">
        <v>6984</v>
      </c>
      <c r="ENF3" t="s">
        <v>6984</v>
      </c>
      <c r="ENG3" t="s">
        <v>6984</v>
      </c>
      <c r="ENH3" t="s">
        <v>6984</v>
      </c>
      <c r="ENI3" t="s">
        <v>6984</v>
      </c>
      <c r="ENJ3" t="s">
        <v>6984</v>
      </c>
      <c r="ENK3" t="s">
        <v>6984</v>
      </c>
      <c r="ENL3" t="s">
        <v>6984</v>
      </c>
      <c r="ENM3" t="s">
        <v>6984</v>
      </c>
      <c r="ENN3" t="s">
        <v>6984</v>
      </c>
      <c r="ENO3" t="s">
        <v>6984</v>
      </c>
      <c r="ENP3" t="s">
        <v>6984</v>
      </c>
      <c r="ENQ3" t="s">
        <v>6984</v>
      </c>
      <c r="ENR3" t="s">
        <v>6984</v>
      </c>
      <c r="ENS3" t="s">
        <v>6984</v>
      </c>
      <c r="ENT3" t="s">
        <v>6984</v>
      </c>
      <c r="ENU3" t="s">
        <v>6984</v>
      </c>
      <c r="ENV3" t="s">
        <v>6984</v>
      </c>
      <c r="ENW3" t="s">
        <v>6984</v>
      </c>
      <c r="ENX3" t="s">
        <v>6984</v>
      </c>
      <c r="ENY3" t="s">
        <v>6984</v>
      </c>
      <c r="ENZ3" t="s">
        <v>6984</v>
      </c>
      <c r="EOA3" t="s">
        <v>6984</v>
      </c>
      <c r="EOB3" t="s">
        <v>6984</v>
      </c>
      <c r="EOC3" t="s">
        <v>6984</v>
      </c>
      <c r="EOD3" t="s">
        <v>6984</v>
      </c>
      <c r="EOE3" t="s">
        <v>6984</v>
      </c>
      <c r="EOF3" t="s">
        <v>6984</v>
      </c>
      <c r="EOG3" t="s">
        <v>6984</v>
      </c>
      <c r="EOH3" t="s">
        <v>6984</v>
      </c>
      <c r="EOI3" t="s">
        <v>6984</v>
      </c>
      <c r="EOJ3" t="s">
        <v>6984</v>
      </c>
      <c r="EOK3" t="s">
        <v>6984</v>
      </c>
      <c r="EOL3" t="s">
        <v>6984</v>
      </c>
      <c r="EOM3" t="s">
        <v>6984</v>
      </c>
      <c r="EON3" t="s">
        <v>6984</v>
      </c>
      <c r="EOO3" t="s">
        <v>6984</v>
      </c>
      <c r="EOP3" t="s">
        <v>6984</v>
      </c>
      <c r="EOQ3" t="s">
        <v>6984</v>
      </c>
      <c r="EOR3" t="s">
        <v>6984</v>
      </c>
      <c r="EOS3" t="s">
        <v>6984</v>
      </c>
      <c r="EOT3" t="s">
        <v>6984</v>
      </c>
      <c r="EOU3" t="s">
        <v>6984</v>
      </c>
      <c r="EOV3" t="s">
        <v>6984</v>
      </c>
      <c r="EOW3" t="s">
        <v>6984</v>
      </c>
      <c r="EOX3" t="s">
        <v>6984</v>
      </c>
      <c r="EOY3" t="s">
        <v>6984</v>
      </c>
      <c r="EOZ3" t="s">
        <v>6984</v>
      </c>
      <c r="EPA3" t="s">
        <v>6984</v>
      </c>
      <c r="EPB3" t="s">
        <v>6984</v>
      </c>
      <c r="EPC3" t="s">
        <v>6984</v>
      </c>
      <c r="EPD3" t="s">
        <v>6984</v>
      </c>
      <c r="EPE3" t="s">
        <v>6984</v>
      </c>
      <c r="EPF3" t="s">
        <v>6984</v>
      </c>
      <c r="EPG3" t="s">
        <v>6984</v>
      </c>
      <c r="EPH3" t="s">
        <v>6984</v>
      </c>
      <c r="EPI3" t="s">
        <v>6984</v>
      </c>
      <c r="EPJ3" t="s">
        <v>6984</v>
      </c>
      <c r="EPK3" t="s">
        <v>6984</v>
      </c>
      <c r="EPL3" t="s">
        <v>6984</v>
      </c>
      <c r="EPM3" t="s">
        <v>6984</v>
      </c>
      <c r="EPN3" t="s">
        <v>6984</v>
      </c>
      <c r="EPO3" t="s">
        <v>6984</v>
      </c>
      <c r="EPP3" t="s">
        <v>6984</v>
      </c>
      <c r="EPQ3" t="s">
        <v>6984</v>
      </c>
      <c r="EPR3" t="s">
        <v>6984</v>
      </c>
      <c r="EPS3" t="s">
        <v>6984</v>
      </c>
      <c r="EPT3" t="s">
        <v>6984</v>
      </c>
      <c r="EPU3" t="s">
        <v>6984</v>
      </c>
      <c r="EPV3" t="s">
        <v>6984</v>
      </c>
      <c r="EPW3" t="s">
        <v>6984</v>
      </c>
      <c r="EPX3" t="s">
        <v>6984</v>
      </c>
      <c r="EPY3" t="s">
        <v>6984</v>
      </c>
      <c r="EPZ3" t="s">
        <v>6984</v>
      </c>
      <c r="EQA3" t="s">
        <v>6984</v>
      </c>
      <c r="EQB3" t="s">
        <v>6984</v>
      </c>
      <c r="EQC3" t="s">
        <v>6984</v>
      </c>
      <c r="EQD3" t="s">
        <v>6984</v>
      </c>
      <c r="EQE3" t="s">
        <v>6984</v>
      </c>
      <c r="EQF3" t="s">
        <v>6984</v>
      </c>
      <c r="EQG3" t="s">
        <v>6984</v>
      </c>
      <c r="EQH3" t="s">
        <v>6984</v>
      </c>
      <c r="EQI3" t="s">
        <v>6984</v>
      </c>
      <c r="EQJ3" t="s">
        <v>6984</v>
      </c>
      <c r="EQK3" t="s">
        <v>6984</v>
      </c>
      <c r="EQL3" t="s">
        <v>6984</v>
      </c>
      <c r="EQM3" t="s">
        <v>6984</v>
      </c>
      <c r="EQN3" t="s">
        <v>6984</v>
      </c>
      <c r="EQO3" t="s">
        <v>6984</v>
      </c>
      <c r="EQP3" t="s">
        <v>6984</v>
      </c>
      <c r="EQQ3" t="s">
        <v>6984</v>
      </c>
      <c r="EQR3" t="s">
        <v>6984</v>
      </c>
      <c r="EQS3" t="s">
        <v>6984</v>
      </c>
      <c r="EQT3" t="s">
        <v>6984</v>
      </c>
      <c r="EQU3" t="s">
        <v>6984</v>
      </c>
      <c r="EQV3" t="s">
        <v>6984</v>
      </c>
      <c r="EQW3" t="s">
        <v>6984</v>
      </c>
      <c r="EQX3" t="s">
        <v>6984</v>
      </c>
      <c r="EQY3" t="s">
        <v>6984</v>
      </c>
      <c r="EQZ3" t="s">
        <v>6984</v>
      </c>
      <c r="ERA3" t="s">
        <v>6984</v>
      </c>
      <c r="ERB3" t="s">
        <v>6984</v>
      </c>
      <c r="ERC3" t="s">
        <v>6984</v>
      </c>
      <c r="ERD3" t="s">
        <v>6984</v>
      </c>
      <c r="ERE3" t="s">
        <v>6984</v>
      </c>
      <c r="ERF3" t="s">
        <v>6984</v>
      </c>
      <c r="ERG3" t="s">
        <v>6984</v>
      </c>
      <c r="ERH3" t="s">
        <v>6984</v>
      </c>
      <c r="ERI3" t="s">
        <v>6984</v>
      </c>
      <c r="ERJ3" t="s">
        <v>6984</v>
      </c>
      <c r="ERK3" t="s">
        <v>6984</v>
      </c>
      <c r="ERL3" t="s">
        <v>6984</v>
      </c>
      <c r="ERM3" t="s">
        <v>6984</v>
      </c>
      <c r="ERN3" t="s">
        <v>6984</v>
      </c>
      <c r="ERO3" t="s">
        <v>6984</v>
      </c>
      <c r="ERP3" t="s">
        <v>6984</v>
      </c>
      <c r="ERQ3" t="s">
        <v>6984</v>
      </c>
      <c r="ERR3" t="s">
        <v>6984</v>
      </c>
      <c r="ERS3" t="s">
        <v>6984</v>
      </c>
      <c r="ERT3" t="s">
        <v>6984</v>
      </c>
      <c r="ERU3" t="s">
        <v>6984</v>
      </c>
      <c r="ERV3" t="s">
        <v>6984</v>
      </c>
      <c r="ERW3" t="s">
        <v>6984</v>
      </c>
      <c r="ERX3" t="s">
        <v>6984</v>
      </c>
      <c r="ERY3" t="s">
        <v>6984</v>
      </c>
      <c r="ERZ3" t="s">
        <v>6984</v>
      </c>
      <c r="ESA3" t="s">
        <v>6984</v>
      </c>
      <c r="ESB3" t="s">
        <v>6984</v>
      </c>
      <c r="ESC3" t="s">
        <v>6984</v>
      </c>
      <c r="ESD3" t="s">
        <v>6984</v>
      </c>
      <c r="ESE3" t="s">
        <v>6984</v>
      </c>
      <c r="ESF3" t="s">
        <v>6984</v>
      </c>
      <c r="ESG3" t="s">
        <v>6984</v>
      </c>
      <c r="ESH3" t="s">
        <v>6984</v>
      </c>
      <c r="ESI3" t="s">
        <v>6984</v>
      </c>
      <c r="ESJ3" t="s">
        <v>6984</v>
      </c>
      <c r="ESK3" t="s">
        <v>6984</v>
      </c>
      <c r="ESL3" t="s">
        <v>6984</v>
      </c>
      <c r="ESM3" t="s">
        <v>6984</v>
      </c>
      <c r="ESN3" t="s">
        <v>6984</v>
      </c>
      <c r="ESO3" t="s">
        <v>6984</v>
      </c>
      <c r="ESP3" t="s">
        <v>6984</v>
      </c>
      <c r="ESQ3" t="s">
        <v>6984</v>
      </c>
      <c r="ESR3" t="s">
        <v>6984</v>
      </c>
      <c r="ESS3" t="s">
        <v>6984</v>
      </c>
      <c r="EST3" t="s">
        <v>6984</v>
      </c>
      <c r="ESU3" t="s">
        <v>6984</v>
      </c>
      <c r="ESV3" t="s">
        <v>6984</v>
      </c>
      <c r="ESW3" t="s">
        <v>6984</v>
      </c>
      <c r="ESX3" t="s">
        <v>6984</v>
      </c>
      <c r="ESY3" t="s">
        <v>6984</v>
      </c>
      <c r="ESZ3" t="s">
        <v>6984</v>
      </c>
      <c r="ETA3" t="s">
        <v>6984</v>
      </c>
      <c r="ETB3" t="s">
        <v>6984</v>
      </c>
      <c r="ETC3" t="s">
        <v>6984</v>
      </c>
      <c r="ETD3" t="s">
        <v>6984</v>
      </c>
      <c r="ETE3" t="s">
        <v>6984</v>
      </c>
      <c r="ETF3" t="s">
        <v>6984</v>
      </c>
      <c r="ETG3" t="s">
        <v>6984</v>
      </c>
      <c r="ETH3" t="s">
        <v>6984</v>
      </c>
      <c r="ETI3" t="s">
        <v>6984</v>
      </c>
      <c r="ETJ3" t="s">
        <v>6984</v>
      </c>
      <c r="ETK3" t="s">
        <v>6984</v>
      </c>
      <c r="ETL3" t="s">
        <v>6984</v>
      </c>
      <c r="ETM3" t="s">
        <v>6984</v>
      </c>
      <c r="ETN3" t="s">
        <v>6984</v>
      </c>
      <c r="ETO3" t="s">
        <v>6984</v>
      </c>
      <c r="ETP3" t="s">
        <v>6984</v>
      </c>
      <c r="ETQ3" t="s">
        <v>6984</v>
      </c>
      <c r="ETR3" t="s">
        <v>6984</v>
      </c>
      <c r="ETS3" t="s">
        <v>6984</v>
      </c>
      <c r="ETT3" t="s">
        <v>6984</v>
      </c>
      <c r="ETU3" t="s">
        <v>6984</v>
      </c>
      <c r="ETV3" t="s">
        <v>6984</v>
      </c>
      <c r="ETW3" t="s">
        <v>6984</v>
      </c>
      <c r="ETX3" t="s">
        <v>6984</v>
      </c>
      <c r="ETY3" t="s">
        <v>6984</v>
      </c>
      <c r="ETZ3" t="s">
        <v>6984</v>
      </c>
      <c r="EUA3" t="s">
        <v>6984</v>
      </c>
      <c r="EUB3" t="s">
        <v>6984</v>
      </c>
      <c r="EUC3" t="s">
        <v>6984</v>
      </c>
      <c r="EUD3" t="s">
        <v>6984</v>
      </c>
      <c r="EUE3" t="s">
        <v>6984</v>
      </c>
      <c r="EUF3" t="s">
        <v>6984</v>
      </c>
      <c r="EUG3" t="s">
        <v>6984</v>
      </c>
      <c r="EUH3" t="s">
        <v>6984</v>
      </c>
      <c r="EUI3" t="s">
        <v>6984</v>
      </c>
      <c r="EUJ3" t="s">
        <v>6984</v>
      </c>
      <c r="EUK3" t="s">
        <v>6984</v>
      </c>
      <c r="EUL3" t="s">
        <v>6984</v>
      </c>
      <c r="EUM3" t="s">
        <v>6984</v>
      </c>
      <c r="EUN3" t="s">
        <v>6984</v>
      </c>
      <c r="EUO3" t="s">
        <v>6984</v>
      </c>
      <c r="EUP3" t="s">
        <v>6984</v>
      </c>
      <c r="EUQ3" t="s">
        <v>6984</v>
      </c>
      <c r="EUR3" t="s">
        <v>6984</v>
      </c>
      <c r="EUS3" t="s">
        <v>6984</v>
      </c>
      <c r="EUT3" t="s">
        <v>6984</v>
      </c>
      <c r="EUU3" t="s">
        <v>6984</v>
      </c>
      <c r="EUV3" t="s">
        <v>6984</v>
      </c>
      <c r="EUW3" t="s">
        <v>6984</v>
      </c>
      <c r="EUX3" t="s">
        <v>6984</v>
      </c>
      <c r="EUY3" t="s">
        <v>6984</v>
      </c>
      <c r="EUZ3" t="s">
        <v>6984</v>
      </c>
      <c r="EVA3" t="s">
        <v>6984</v>
      </c>
      <c r="EVB3" t="s">
        <v>6984</v>
      </c>
      <c r="EVC3" t="s">
        <v>6984</v>
      </c>
      <c r="EVD3" t="s">
        <v>6984</v>
      </c>
      <c r="EVE3" t="s">
        <v>6984</v>
      </c>
      <c r="EVF3" t="s">
        <v>6984</v>
      </c>
      <c r="EVG3" t="s">
        <v>6984</v>
      </c>
      <c r="EVH3" t="s">
        <v>6984</v>
      </c>
      <c r="EVI3" t="s">
        <v>6984</v>
      </c>
      <c r="EVJ3" t="s">
        <v>6984</v>
      </c>
      <c r="EVK3" t="s">
        <v>6984</v>
      </c>
      <c r="EVL3" t="s">
        <v>6984</v>
      </c>
      <c r="EVM3" t="s">
        <v>6984</v>
      </c>
      <c r="EVN3" t="s">
        <v>6984</v>
      </c>
      <c r="EVO3" t="s">
        <v>6984</v>
      </c>
      <c r="EVP3" t="s">
        <v>6984</v>
      </c>
      <c r="EVQ3" t="s">
        <v>6984</v>
      </c>
      <c r="EVR3" t="s">
        <v>6984</v>
      </c>
      <c r="EVS3" t="s">
        <v>6984</v>
      </c>
      <c r="EVT3" t="s">
        <v>6984</v>
      </c>
      <c r="EVU3" t="s">
        <v>6984</v>
      </c>
      <c r="EVV3" t="s">
        <v>6984</v>
      </c>
      <c r="EVW3" t="s">
        <v>6984</v>
      </c>
      <c r="EVX3" t="s">
        <v>6984</v>
      </c>
      <c r="EVY3" t="s">
        <v>6984</v>
      </c>
      <c r="EVZ3" t="s">
        <v>6984</v>
      </c>
      <c r="EWA3" t="s">
        <v>6984</v>
      </c>
      <c r="EWB3" t="s">
        <v>6984</v>
      </c>
      <c r="EWC3" t="s">
        <v>6984</v>
      </c>
      <c r="EWD3" t="s">
        <v>6984</v>
      </c>
      <c r="EWE3" t="s">
        <v>6984</v>
      </c>
      <c r="EWF3" t="s">
        <v>6984</v>
      </c>
      <c r="EWG3" t="s">
        <v>6984</v>
      </c>
      <c r="EWH3" t="s">
        <v>6984</v>
      </c>
      <c r="EWI3" t="s">
        <v>6984</v>
      </c>
      <c r="EWJ3" t="s">
        <v>6984</v>
      </c>
      <c r="EWK3" t="s">
        <v>6984</v>
      </c>
      <c r="EWL3" t="s">
        <v>6984</v>
      </c>
      <c r="EWM3" t="s">
        <v>6984</v>
      </c>
      <c r="EWN3" t="s">
        <v>6984</v>
      </c>
      <c r="EWO3" t="s">
        <v>6984</v>
      </c>
      <c r="EWP3" t="s">
        <v>6984</v>
      </c>
      <c r="EWQ3" t="s">
        <v>6984</v>
      </c>
      <c r="EWR3" t="s">
        <v>6984</v>
      </c>
      <c r="EWS3" t="s">
        <v>6984</v>
      </c>
      <c r="EWT3" t="s">
        <v>6984</v>
      </c>
      <c r="EWU3" t="s">
        <v>6984</v>
      </c>
      <c r="EWV3" t="s">
        <v>6984</v>
      </c>
      <c r="EWW3" t="s">
        <v>6984</v>
      </c>
      <c r="EWX3" t="s">
        <v>6984</v>
      </c>
      <c r="EWY3" t="s">
        <v>6984</v>
      </c>
      <c r="EWZ3" t="s">
        <v>6984</v>
      </c>
      <c r="EXA3" t="s">
        <v>6984</v>
      </c>
      <c r="EXB3" t="s">
        <v>6984</v>
      </c>
      <c r="EXC3" t="s">
        <v>6984</v>
      </c>
      <c r="EXD3" t="s">
        <v>6984</v>
      </c>
      <c r="EXE3" t="s">
        <v>6984</v>
      </c>
      <c r="EXF3" t="s">
        <v>6984</v>
      </c>
      <c r="EXG3" t="s">
        <v>6984</v>
      </c>
      <c r="EXH3" t="s">
        <v>6984</v>
      </c>
      <c r="EXI3" t="s">
        <v>6984</v>
      </c>
      <c r="EXJ3" t="s">
        <v>6984</v>
      </c>
      <c r="EXK3" t="s">
        <v>6984</v>
      </c>
      <c r="EXL3" t="s">
        <v>6984</v>
      </c>
      <c r="EXM3" t="s">
        <v>6984</v>
      </c>
      <c r="EXN3" t="s">
        <v>6984</v>
      </c>
      <c r="EXO3" t="s">
        <v>6984</v>
      </c>
      <c r="EXP3" t="s">
        <v>6984</v>
      </c>
      <c r="EXQ3" t="s">
        <v>6984</v>
      </c>
      <c r="EXR3" t="s">
        <v>6984</v>
      </c>
      <c r="EXS3" t="s">
        <v>6984</v>
      </c>
      <c r="EXT3" t="s">
        <v>6984</v>
      </c>
      <c r="EXU3" t="s">
        <v>6984</v>
      </c>
      <c r="EXV3" t="s">
        <v>6984</v>
      </c>
      <c r="EXW3" t="s">
        <v>6984</v>
      </c>
      <c r="EXX3" t="s">
        <v>6984</v>
      </c>
      <c r="EXY3" t="s">
        <v>6984</v>
      </c>
      <c r="EXZ3" t="s">
        <v>6984</v>
      </c>
      <c r="EYA3" t="s">
        <v>6984</v>
      </c>
      <c r="EYB3" t="s">
        <v>6984</v>
      </c>
      <c r="EYC3" t="s">
        <v>6984</v>
      </c>
      <c r="EYD3" t="s">
        <v>6984</v>
      </c>
      <c r="EYE3" t="s">
        <v>6984</v>
      </c>
      <c r="EYF3" t="s">
        <v>6984</v>
      </c>
      <c r="EYG3" t="s">
        <v>6984</v>
      </c>
      <c r="EYH3" t="s">
        <v>6984</v>
      </c>
      <c r="EYI3" t="s">
        <v>6984</v>
      </c>
      <c r="EYJ3" t="s">
        <v>6984</v>
      </c>
      <c r="EYK3" t="s">
        <v>6984</v>
      </c>
      <c r="EYL3" t="s">
        <v>6984</v>
      </c>
      <c r="EYM3" t="s">
        <v>6984</v>
      </c>
      <c r="EYN3" t="s">
        <v>6984</v>
      </c>
      <c r="EYO3" t="s">
        <v>6984</v>
      </c>
      <c r="EYP3" t="s">
        <v>6984</v>
      </c>
      <c r="EYQ3" t="s">
        <v>6984</v>
      </c>
      <c r="EYR3" t="s">
        <v>6984</v>
      </c>
      <c r="EYS3" t="s">
        <v>6984</v>
      </c>
      <c r="EYT3" t="s">
        <v>6984</v>
      </c>
      <c r="EYU3" t="s">
        <v>6984</v>
      </c>
      <c r="EYV3" t="s">
        <v>6984</v>
      </c>
      <c r="EYW3" t="s">
        <v>6984</v>
      </c>
      <c r="EYX3" t="s">
        <v>6984</v>
      </c>
      <c r="EYY3" t="s">
        <v>6984</v>
      </c>
      <c r="EYZ3" t="s">
        <v>6984</v>
      </c>
      <c r="EZA3" t="s">
        <v>6984</v>
      </c>
      <c r="EZB3" t="s">
        <v>6984</v>
      </c>
      <c r="EZC3" t="s">
        <v>6984</v>
      </c>
      <c r="EZD3" t="s">
        <v>6984</v>
      </c>
      <c r="EZE3" t="s">
        <v>6984</v>
      </c>
      <c r="EZF3" t="s">
        <v>6984</v>
      </c>
      <c r="EZG3" t="s">
        <v>6984</v>
      </c>
      <c r="EZH3" t="s">
        <v>6984</v>
      </c>
      <c r="EZI3" t="s">
        <v>6984</v>
      </c>
      <c r="EZJ3" t="s">
        <v>6984</v>
      </c>
      <c r="EZK3" t="s">
        <v>6984</v>
      </c>
      <c r="EZL3" t="s">
        <v>6984</v>
      </c>
      <c r="EZM3" t="s">
        <v>6984</v>
      </c>
      <c r="EZN3" t="s">
        <v>6984</v>
      </c>
      <c r="EZO3" t="s">
        <v>6984</v>
      </c>
      <c r="EZP3" t="s">
        <v>6984</v>
      </c>
      <c r="EZQ3" t="s">
        <v>6984</v>
      </c>
      <c r="EZR3" t="s">
        <v>6984</v>
      </c>
      <c r="EZS3" t="s">
        <v>6984</v>
      </c>
      <c r="EZT3" t="s">
        <v>6984</v>
      </c>
      <c r="EZU3" t="s">
        <v>6984</v>
      </c>
      <c r="EZV3" t="s">
        <v>6984</v>
      </c>
      <c r="EZW3" t="s">
        <v>6984</v>
      </c>
      <c r="EZX3" t="s">
        <v>6984</v>
      </c>
      <c r="EZY3" t="s">
        <v>6984</v>
      </c>
      <c r="EZZ3" t="s">
        <v>6984</v>
      </c>
      <c r="FAA3" t="s">
        <v>6984</v>
      </c>
      <c r="FAB3" t="s">
        <v>6984</v>
      </c>
      <c r="FAC3" t="s">
        <v>6984</v>
      </c>
      <c r="FAD3" t="s">
        <v>6984</v>
      </c>
      <c r="FAE3" t="s">
        <v>6984</v>
      </c>
      <c r="FAF3" t="s">
        <v>6984</v>
      </c>
      <c r="FAG3" t="s">
        <v>6984</v>
      </c>
      <c r="FAH3" t="s">
        <v>6984</v>
      </c>
      <c r="FAI3" t="s">
        <v>6984</v>
      </c>
      <c r="FAJ3" t="s">
        <v>6984</v>
      </c>
      <c r="FAK3" t="s">
        <v>6984</v>
      </c>
      <c r="FAL3" t="s">
        <v>6984</v>
      </c>
      <c r="FAM3" t="s">
        <v>6984</v>
      </c>
      <c r="FAN3" t="s">
        <v>6984</v>
      </c>
      <c r="FAO3" t="s">
        <v>6984</v>
      </c>
      <c r="FAP3" t="s">
        <v>6984</v>
      </c>
      <c r="FAQ3" t="s">
        <v>6984</v>
      </c>
      <c r="FAR3" t="s">
        <v>6984</v>
      </c>
      <c r="FAS3" t="s">
        <v>6984</v>
      </c>
      <c r="FAT3" t="s">
        <v>6984</v>
      </c>
      <c r="FAU3" t="s">
        <v>6984</v>
      </c>
      <c r="FAV3" t="s">
        <v>6984</v>
      </c>
      <c r="FAW3" t="s">
        <v>6984</v>
      </c>
      <c r="FAX3" t="s">
        <v>6984</v>
      </c>
      <c r="FAY3" t="s">
        <v>6984</v>
      </c>
      <c r="FAZ3" t="s">
        <v>6984</v>
      </c>
      <c r="FBA3" t="s">
        <v>6984</v>
      </c>
      <c r="FBB3" t="s">
        <v>6984</v>
      </c>
      <c r="FBC3" t="s">
        <v>6984</v>
      </c>
      <c r="FBD3" t="s">
        <v>6984</v>
      </c>
      <c r="FBE3" t="s">
        <v>6984</v>
      </c>
      <c r="FBF3" t="s">
        <v>6984</v>
      </c>
      <c r="FBG3" t="s">
        <v>6984</v>
      </c>
      <c r="FBH3" t="s">
        <v>6984</v>
      </c>
      <c r="FBI3" t="s">
        <v>6984</v>
      </c>
      <c r="FBJ3" t="s">
        <v>6984</v>
      </c>
      <c r="FBK3" t="s">
        <v>6984</v>
      </c>
      <c r="FBL3" t="s">
        <v>6984</v>
      </c>
      <c r="FBM3" t="s">
        <v>6984</v>
      </c>
      <c r="FBN3" t="s">
        <v>6984</v>
      </c>
      <c r="FBO3" t="s">
        <v>6984</v>
      </c>
      <c r="FBP3" t="s">
        <v>6984</v>
      </c>
      <c r="FBQ3" t="s">
        <v>6984</v>
      </c>
      <c r="FBR3" t="s">
        <v>6984</v>
      </c>
      <c r="FBS3" t="s">
        <v>6984</v>
      </c>
      <c r="FBT3" t="s">
        <v>6984</v>
      </c>
      <c r="FBU3" t="s">
        <v>6984</v>
      </c>
      <c r="FBV3" t="s">
        <v>6984</v>
      </c>
      <c r="FBW3" t="s">
        <v>6984</v>
      </c>
      <c r="FBX3" t="s">
        <v>6984</v>
      </c>
      <c r="FBY3" t="s">
        <v>6984</v>
      </c>
      <c r="FBZ3" t="s">
        <v>6984</v>
      </c>
      <c r="FCA3" t="s">
        <v>6984</v>
      </c>
      <c r="FCB3" t="s">
        <v>6984</v>
      </c>
      <c r="FCC3" t="s">
        <v>6984</v>
      </c>
      <c r="FCD3" t="s">
        <v>6984</v>
      </c>
      <c r="FCE3" t="s">
        <v>6984</v>
      </c>
      <c r="FCF3" t="s">
        <v>6984</v>
      </c>
      <c r="FCG3" t="s">
        <v>6984</v>
      </c>
      <c r="FCH3" t="s">
        <v>6984</v>
      </c>
      <c r="FCI3" t="s">
        <v>6984</v>
      </c>
      <c r="FCJ3" t="s">
        <v>6984</v>
      </c>
      <c r="FCK3" t="s">
        <v>6984</v>
      </c>
      <c r="FCL3" t="s">
        <v>6984</v>
      </c>
      <c r="FCM3" t="s">
        <v>6984</v>
      </c>
      <c r="FCN3" t="s">
        <v>6984</v>
      </c>
      <c r="FCO3" t="s">
        <v>6984</v>
      </c>
      <c r="FCP3" t="s">
        <v>6984</v>
      </c>
      <c r="FCQ3" t="s">
        <v>6984</v>
      </c>
      <c r="FCR3" t="s">
        <v>6984</v>
      </c>
      <c r="FCS3" t="s">
        <v>6984</v>
      </c>
      <c r="FCT3" t="s">
        <v>6984</v>
      </c>
      <c r="FCU3" t="s">
        <v>6984</v>
      </c>
      <c r="FCV3" t="s">
        <v>6984</v>
      </c>
      <c r="FCW3" t="s">
        <v>6984</v>
      </c>
      <c r="FCX3" t="s">
        <v>6984</v>
      </c>
      <c r="FCY3" t="s">
        <v>6984</v>
      </c>
      <c r="FCZ3" t="s">
        <v>6984</v>
      </c>
      <c r="FDA3" t="s">
        <v>6984</v>
      </c>
      <c r="FDB3" t="s">
        <v>6984</v>
      </c>
      <c r="FDC3" t="s">
        <v>6984</v>
      </c>
      <c r="FDD3" t="s">
        <v>6984</v>
      </c>
      <c r="FDE3" t="s">
        <v>6984</v>
      </c>
      <c r="FDF3" t="s">
        <v>6984</v>
      </c>
      <c r="FDG3" t="s">
        <v>6984</v>
      </c>
      <c r="FDH3" t="s">
        <v>6984</v>
      </c>
      <c r="FDI3" t="s">
        <v>6984</v>
      </c>
      <c r="FDJ3" t="s">
        <v>6984</v>
      </c>
      <c r="FDK3" t="s">
        <v>6984</v>
      </c>
      <c r="FDL3" t="s">
        <v>6984</v>
      </c>
      <c r="FDM3" t="s">
        <v>6984</v>
      </c>
      <c r="FDN3" t="s">
        <v>6984</v>
      </c>
      <c r="FDO3" t="s">
        <v>6984</v>
      </c>
      <c r="FDP3" t="s">
        <v>6984</v>
      </c>
      <c r="FDQ3" t="s">
        <v>6984</v>
      </c>
      <c r="FDR3" t="s">
        <v>6984</v>
      </c>
      <c r="FDS3" t="s">
        <v>6984</v>
      </c>
      <c r="FDT3" t="s">
        <v>6984</v>
      </c>
      <c r="FDU3" t="s">
        <v>6984</v>
      </c>
      <c r="FDV3" t="s">
        <v>6984</v>
      </c>
      <c r="FDW3" t="s">
        <v>6984</v>
      </c>
      <c r="FDX3" t="s">
        <v>6984</v>
      </c>
      <c r="FDY3" t="s">
        <v>6984</v>
      </c>
      <c r="FDZ3" t="s">
        <v>6984</v>
      </c>
      <c r="FEA3" t="s">
        <v>6984</v>
      </c>
      <c r="FEB3" t="s">
        <v>6984</v>
      </c>
      <c r="FEC3" t="s">
        <v>6984</v>
      </c>
      <c r="FED3" t="s">
        <v>6984</v>
      </c>
      <c r="FEE3" t="s">
        <v>6984</v>
      </c>
      <c r="FEF3" t="s">
        <v>6984</v>
      </c>
      <c r="FEG3" t="s">
        <v>6984</v>
      </c>
      <c r="FEH3" t="s">
        <v>6984</v>
      </c>
      <c r="FEI3" t="s">
        <v>6984</v>
      </c>
      <c r="FEJ3" t="s">
        <v>6984</v>
      </c>
      <c r="FEK3" t="s">
        <v>6984</v>
      </c>
      <c r="FEL3" t="s">
        <v>6984</v>
      </c>
      <c r="FEM3" t="s">
        <v>6984</v>
      </c>
      <c r="FEN3" t="s">
        <v>6984</v>
      </c>
      <c r="FEO3" t="s">
        <v>6984</v>
      </c>
      <c r="FEP3" t="s">
        <v>6984</v>
      </c>
      <c r="FEQ3" t="s">
        <v>6984</v>
      </c>
      <c r="FER3" t="s">
        <v>6984</v>
      </c>
      <c r="FES3" t="s">
        <v>6984</v>
      </c>
      <c r="FET3" t="s">
        <v>6984</v>
      </c>
      <c r="FEU3" t="s">
        <v>6984</v>
      </c>
      <c r="FEV3" t="s">
        <v>6984</v>
      </c>
      <c r="FEW3" t="s">
        <v>6984</v>
      </c>
      <c r="FEX3" t="s">
        <v>6984</v>
      </c>
      <c r="FEY3" t="s">
        <v>6984</v>
      </c>
      <c r="FEZ3" t="s">
        <v>6984</v>
      </c>
      <c r="FFA3" t="s">
        <v>6984</v>
      </c>
      <c r="FFB3" t="s">
        <v>6984</v>
      </c>
      <c r="FFC3" t="s">
        <v>6984</v>
      </c>
      <c r="FFD3" t="s">
        <v>6984</v>
      </c>
      <c r="FFE3" t="s">
        <v>6984</v>
      </c>
      <c r="FFF3" t="s">
        <v>6984</v>
      </c>
      <c r="FFG3" t="s">
        <v>6984</v>
      </c>
      <c r="FFH3" t="s">
        <v>6984</v>
      </c>
      <c r="FFI3" t="s">
        <v>6984</v>
      </c>
      <c r="FFJ3" t="s">
        <v>6984</v>
      </c>
      <c r="FFK3" t="s">
        <v>6984</v>
      </c>
      <c r="FFL3" t="s">
        <v>6984</v>
      </c>
      <c r="FFM3" t="s">
        <v>6984</v>
      </c>
      <c r="FFN3" t="s">
        <v>6984</v>
      </c>
      <c r="FFO3" t="s">
        <v>6984</v>
      </c>
      <c r="FFP3" t="s">
        <v>6984</v>
      </c>
      <c r="FFQ3" t="s">
        <v>6984</v>
      </c>
      <c r="FFR3" t="s">
        <v>6984</v>
      </c>
      <c r="FFS3" t="s">
        <v>6984</v>
      </c>
      <c r="FFT3" t="s">
        <v>6984</v>
      </c>
      <c r="FFU3" t="s">
        <v>6984</v>
      </c>
      <c r="FFV3" t="s">
        <v>6984</v>
      </c>
      <c r="FFW3" t="s">
        <v>6984</v>
      </c>
      <c r="FFX3" t="s">
        <v>6984</v>
      </c>
      <c r="FFY3" t="s">
        <v>6984</v>
      </c>
      <c r="FFZ3" t="s">
        <v>6984</v>
      </c>
      <c r="FGA3" t="s">
        <v>6984</v>
      </c>
      <c r="FGB3" t="s">
        <v>6984</v>
      </c>
      <c r="FGC3" t="s">
        <v>6984</v>
      </c>
      <c r="FGD3" t="s">
        <v>6984</v>
      </c>
      <c r="FGE3" t="s">
        <v>6984</v>
      </c>
      <c r="FGF3" t="s">
        <v>6984</v>
      </c>
      <c r="FGG3" t="s">
        <v>6984</v>
      </c>
      <c r="FGH3" t="s">
        <v>6984</v>
      </c>
      <c r="FGI3" t="s">
        <v>6984</v>
      </c>
      <c r="FGJ3" t="s">
        <v>6984</v>
      </c>
      <c r="FGK3" t="s">
        <v>6984</v>
      </c>
      <c r="FGL3" t="s">
        <v>6984</v>
      </c>
      <c r="FGM3" t="s">
        <v>6984</v>
      </c>
      <c r="FGN3" t="s">
        <v>6984</v>
      </c>
      <c r="FGO3" t="s">
        <v>6984</v>
      </c>
      <c r="FGP3" t="s">
        <v>6984</v>
      </c>
      <c r="FGQ3" t="s">
        <v>6984</v>
      </c>
      <c r="FGR3" t="s">
        <v>6984</v>
      </c>
      <c r="FGS3" t="s">
        <v>6984</v>
      </c>
      <c r="FGT3" t="s">
        <v>6984</v>
      </c>
      <c r="FGU3" t="s">
        <v>6984</v>
      </c>
      <c r="FGV3" t="s">
        <v>6984</v>
      </c>
      <c r="FGW3" t="s">
        <v>6984</v>
      </c>
      <c r="FGX3" t="s">
        <v>6984</v>
      </c>
      <c r="FGY3" t="s">
        <v>6984</v>
      </c>
      <c r="FGZ3" t="s">
        <v>6984</v>
      </c>
      <c r="FHA3" t="s">
        <v>6984</v>
      </c>
      <c r="FHB3" t="s">
        <v>6984</v>
      </c>
      <c r="FHC3" t="s">
        <v>6984</v>
      </c>
      <c r="FHD3" t="s">
        <v>6984</v>
      </c>
      <c r="FHE3" t="s">
        <v>6984</v>
      </c>
      <c r="FHF3" t="s">
        <v>6984</v>
      </c>
      <c r="FHG3" t="s">
        <v>6984</v>
      </c>
      <c r="FHH3" t="s">
        <v>6984</v>
      </c>
      <c r="FHI3" t="s">
        <v>6984</v>
      </c>
      <c r="FHJ3" t="s">
        <v>6984</v>
      </c>
      <c r="FHK3" t="s">
        <v>6984</v>
      </c>
      <c r="FHL3" t="s">
        <v>6984</v>
      </c>
      <c r="FHM3" t="s">
        <v>6984</v>
      </c>
      <c r="FHN3" t="s">
        <v>6984</v>
      </c>
      <c r="FHO3" t="s">
        <v>6984</v>
      </c>
      <c r="FHP3" t="s">
        <v>6984</v>
      </c>
      <c r="FHQ3" t="s">
        <v>6984</v>
      </c>
      <c r="FHR3" t="s">
        <v>6984</v>
      </c>
      <c r="FHS3" t="s">
        <v>6984</v>
      </c>
      <c r="FHT3" t="s">
        <v>6984</v>
      </c>
      <c r="FHU3" t="s">
        <v>6984</v>
      </c>
      <c r="FHV3" t="s">
        <v>6984</v>
      </c>
      <c r="FHW3" t="s">
        <v>6984</v>
      </c>
      <c r="FHX3" t="s">
        <v>6984</v>
      </c>
      <c r="FHY3" t="s">
        <v>6984</v>
      </c>
      <c r="FHZ3" t="s">
        <v>6984</v>
      </c>
      <c r="FIA3" t="s">
        <v>6984</v>
      </c>
      <c r="FIB3" t="s">
        <v>6984</v>
      </c>
      <c r="FIC3" t="s">
        <v>6984</v>
      </c>
      <c r="FID3" t="s">
        <v>6984</v>
      </c>
      <c r="FIE3" t="s">
        <v>6984</v>
      </c>
      <c r="FIF3" t="s">
        <v>6984</v>
      </c>
      <c r="FIG3" t="s">
        <v>6984</v>
      </c>
      <c r="FIH3" t="s">
        <v>6984</v>
      </c>
      <c r="FII3" t="s">
        <v>6984</v>
      </c>
      <c r="FIJ3" t="s">
        <v>6984</v>
      </c>
      <c r="FIK3" t="s">
        <v>6984</v>
      </c>
      <c r="FIL3" t="s">
        <v>6984</v>
      </c>
      <c r="FIM3" t="s">
        <v>6984</v>
      </c>
      <c r="FIN3" t="s">
        <v>6984</v>
      </c>
      <c r="FIO3" t="s">
        <v>6984</v>
      </c>
      <c r="FIP3" t="s">
        <v>6984</v>
      </c>
      <c r="FIQ3" t="s">
        <v>6984</v>
      </c>
      <c r="FIR3" t="s">
        <v>6984</v>
      </c>
      <c r="FIS3" t="s">
        <v>6984</v>
      </c>
      <c r="FIT3" t="s">
        <v>6984</v>
      </c>
      <c r="FIU3" t="s">
        <v>6984</v>
      </c>
      <c r="FIV3" t="s">
        <v>6984</v>
      </c>
      <c r="FIW3" t="s">
        <v>6984</v>
      </c>
      <c r="FIX3" t="s">
        <v>6984</v>
      </c>
      <c r="FIY3" t="s">
        <v>6984</v>
      </c>
      <c r="FIZ3" t="s">
        <v>6984</v>
      </c>
      <c r="FJA3" t="s">
        <v>6984</v>
      </c>
      <c r="FJB3" t="s">
        <v>6984</v>
      </c>
      <c r="FJC3" t="s">
        <v>6984</v>
      </c>
      <c r="FJD3" t="s">
        <v>6984</v>
      </c>
      <c r="FJE3" t="s">
        <v>6984</v>
      </c>
      <c r="FJF3" t="s">
        <v>6984</v>
      </c>
      <c r="FJG3" t="s">
        <v>6984</v>
      </c>
      <c r="FJH3" t="s">
        <v>6984</v>
      </c>
      <c r="FJI3" t="s">
        <v>6984</v>
      </c>
      <c r="FJJ3" t="s">
        <v>6984</v>
      </c>
      <c r="FJK3" t="s">
        <v>6984</v>
      </c>
      <c r="FJL3" t="s">
        <v>6984</v>
      </c>
      <c r="FJM3" t="s">
        <v>6984</v>
      </c>
      <c r="FJN3" t="s">
        <v>6984</v>
      </c>
      <c r="FJO3" t="s">
        <v>6984</v>
      </c>
      <c r="FJP3" t="s">
        <v>6984</v>
      </c>
      <c r="FJQ3" t="s">
        <v>6984</v>
      </c>
      <c r="FJR3" t="s">
        <v>6984</v>
      </c>
      <c r="FJS3" t="s">
        <v>6984</v>
      </c>
      <c r="FJT3" t="s">
        <v>6984</v>
      </c>
      <c r="FJU3" t="s">
        <v>6984</v>
      </c>
      <c r="FJV3" t="s">
        <v>6984</v>
      </c>
      <c r="FJW3" t="s">
        <v>6984</v>
      </c>
      <c r="FJX3" t="s">
        <v>6984</v>
      </c>
      <c r="FJY3" t="s">
        <v>6984</v>
      </c>
      <c r="FJZ3" t="s">
        <v>6984</v>
      </c>
      <c r="FKA3" t="s">
        <v>6984</v>
      </c>
      <c r="FKB3" t="s">
        <v>6984</v>
      </c>
      <c r="FKC3" t="s">
        <v>6984</v>
      </c>
      <c r="FKD3" t="s">
        <v>6984</v>
      </c>
      <c r="FKE3" t="s">
        <v>6984</v>
      </c>
      <c r="FKF3" t="s">
        <v>6984</v>
      </c>
      <c r="FKG3" t="s">
        <v>6984</v>
      </c>
      <c r="FKH3" t="s">
        <v>6984</v>
      </c>
      <c r="FKI3" t="s">
        <v>6984</v>
      </c>
      <c r="FKJ3" t="s">
        <v>6984</v>
      </c>
      <c r="FKK3" t="s">
        <v>6984</v>
      </c>
      <c r="FKL3" t="s">
        <v>6984</v>
      </c>
      <c r="FKM3" t="s">
        <v>6984</v>
      </c>
      <c r="FKN3" t="s">
        <v>6984</v>
      </c>
      <c r="FKO3" t="s">
        <v>6984</v>
      </c>
      <c r="FKP3" t="s">
        <v>6984</v>
      </c>
      <c r="FKQ3" t="s">
        <v>6984</v>
      </c>
      <c r="FKR3" t="s">
        <v>6984</v>
      </c>
      <c r="FKS3" t="s">
        <v>6984</v>
      </c>
      <c r="FKT3" t="s">
        <v>6984</v>
      </c>
      <c r="FKU3" t="s">
        <v>6984</v>
      </c>
      <c r="FKV3" t="s">
        <v>6984</v>
      </c>
      <c r="FKW3" t="s">
        <v>6984</v>
      </c>
      <c r="FKX3" t="s">
        <v>6984</v>
      </c>
      <c r="FKY3" t="s">
        <v>6984</v>
      </c>
      <c r="FKZ3" t="s">
        <v>6984</v>
      </c>
      <c r="FLA3" t="s">
        <v>6984</v>
      </c>
      <c r="FLB3" t="s">
        <v>6984</v>
      </c>
      <c r="FLC3" t="s">
        <v>6984</v>
      </c>
      <c r="FLD3" t="s">
        <v>6984</v>
      </c>
      <c r="FLE3" t="s">
        <v>6984</v>
      </c>
      <c r="FLF3" t="s">
        <v>6984</v>
      </c>
      <c r="FLG3" t="s">
        <v>6984</v>
      </c>
      <c r="FLH3" t="s">
        <v>6984</v>
      </c>
      <c r="FLI3" t="s">
        <v>6984</v>
      </c>
      <c r="FLJ3" t="s">
        <v>6984</v>
      </c>
      <c r="FLK3" t="s">
        <v>6984</v>
      </c>
      <c r="FLL3" t="s">
        <v>6984</v>
      </c>
      <c r="FLM3" t="s">
        <v>6984</v>
      </c>
      <c r="FLN3" t="s">
        <v>6984</v>
      </c>
      <c r="FLO3" t="s">
        <v>6984</v>
      </c>
      <c r="FLP3" t="s">
        <v>6984</v>
      </c>
      <c r="FLQ3" t="s">
        <v>6984</v>
      </c>
      <c r="FLR3" t="s">
        <v>6984</v>
      </c>
      <c r="FLS3" t="s">
        <v>6984</v>
      </c>
      <c r="FLT3" t="s">
        <v>6984</v>
      </c>
      <c r="FLU3" t="s">
        <v>6984</v>
      </c>
      <c r="FLV3" t="s">
        <v>6984</v>
      </c>
      <c r="FLW3" t="s">
        <v>6984</v>
      </c>
      <c r="FLX3" t="s">
        <v>6984</v>
      </c>
      <c r="FLY3" t="s">
        <v>6984</v>
      </c>
      <c r="FLZ3" t="s">
        <v>6984</v>
      </c>
      <c r="FMA3" t="s">
        <v>6984</v>
      </c>
      <c r="FMB3" t="s">
        <v>6984</v>
      </c>
      <c r="FMC3" t="s">
        <v>6984</v>
      </c>
      <c r="FMD3" t="s">
        <v>6984</v>
      </c>
      <c r="FME3" t="s">
        <v>6984</v>
      </c>
      <c r="FMF3" t="s">
        <v>6984</v>
      </c>
      <c r="FMG3" t="s">
        <v>6984</v>
      </c>
      <c r="FMH3" t="s">
        <v>6984</v>
      </c>
      <c r="FMI3" t="s">
        <v>6984</v>
      </c>
      <c r="FMJ3" t="s">
        <v>6984</v>
      </c>
      <c r="FMK3" t="s">
        <v>6984</v>
      </c>
      <c r="FML3" t="s">
        <v>6984</v>
      </c>
      <c r="FMM3" t="s">
        <v>6984</v>
      </c>
      <c r="FMN3" t="s">
        <v>6984</v>
      </c>
      <c r="FMO3" t="s">
        <v>6984</v>
      </c>
      <c r="FMP3" t="s">
        <v>6984</v>
      </c>
      <c r="FMQ3" t="s">
        <v>6984</v>
      </c>
      <c r="FMR3" t="s">
        <v>6984</v>
      </c>
      <c r="FMS3" t="s">
        <v>6984</v>
      </c>
      <c r="FMT3" t="s">
        <v>6984</v>
      </c>
      <c r="FMU3" t="s">
        <v>6984</v>
      </c>
      <c r="FMV3" t="s">
        <v>6984</v>
      </c>
      <c r="FMW3" t="s">
        <v>6984</v>
      </c>
      <c r="FMX3" t="s">
        <v>6984</v>
      </c>
      <c r="FMY3" t="s">
        <v>6984</v>
      </c>
      <c r="FMZ3" t="s">
        <v>6984</v>
      </c>
      <c r="FNA3" t="s">
        <v>6984</v>
      </c>
      <c r="FNB3" t="s">
        <v>6984</v>
      </c>
      <c r="FNC3" t="s">
        <v>6984</v>
      </c>
      <c r="FND3" t="s">
        <v>6984</v>
      </c>
      <c r="FNE3" t="s">
        <v>6984</v>
      </c>
      <c r="FNF3" t="s">
        <v>6984</v>
      </c>
      <c r="FNG3" t="s">
        <v>6984</v>
      </c>
      <c r="FNH3" t="s">
        <v>6984</v>
      </c>
      <c r="FNI3" t="s">
        <v>6984</v>
      </c>
      <c r="FNJ3" t="s">
        <v>6984</v>
      </c>
      <c r="FNK3" t="s">
        <v>6984</v>
      </c>
      <c r="FNL3" t="s">
        <v>6984</v>
      </c>
      <c r="FNM3" t="s">
        <v>6984</v>
      </c>
      <c r="FNN3" t="s">
        <v>6984</v>
      </c>
      <c r="FNO3" t="s">
        <v>6984</v>
      </c>
      <c r="FNP3" t="s">
        <v>6984</v>
      </c>
      <c r="FNQ3" t="s">
        <v>6984</v>
      </c>
      <c r="FNR3" t="s">
        <v>6984</v>
      </c>
      <c r="FNS3" t="s">
        <v>6984</v>
      </c>
      <c r="FNT3" t="s">
        <v>6984</v>
      </c>
      <c r="FNU3" t="s">
        <v>6984</v>
      </c>
      <c r="FNV3" t="s">
        <v>6984</v>
      </c>
      <c r="FNW3" t="s">
        <v>6984</v>
      </c>
      <c r="FNX3" t="s">
        <v>6984</v>
      </c>
      <c r="FNY3" t="s">
        <v>6984</v>
      </c>
      <c r="FNZ3" t="s">
        <v>6984</v>
      </c>
      <c r="FOA3" t="s">
        <v>6984</v>
      </c>
      <c r="FOB3" t="s">
        <v>6984</v>
      </c>
      <c r="FOC3" t="s">
        <v>6984</v>
      </c>
      <c r="FOD3" t="s">
        <v>6984</v>
      </c>
      <c r="FOE3" t="s">
        <v>6984</v>
      </c>
      <c r="FOF3" t="s">
        <v>6984</v>
      </c>
      <c r="FOG3" t="s">
        <v>6984</v>
      </c>
      <c r="FOH3" t="s">
        <v>6984</v>
      </c>
      <c r="FOI3" t="s">
        <v>6984</v>
      </c>
      <c r="FOJ3" t="s">
        <v>6984</v>
      </c>
      <c r="FOK3" t="s">
        <v>6984</v>
      </c>
      <c r="FOL3" t="s">
        <v>6984</v>
      </c>
      <c r="FOM3" t="s">
        <v>6984</v>
      </c>
      <c r="FON3" t="s">
        <v>6984</v>
      </c>
      <c r="FOO3" t="s">
        <v>6984</v>
      </c>
      <c r="FOP3" t="s">
        <v>6984</v>
      </c>
      <c r="FOQ3" t="s">
        <v>6984</v>
      </c>
      <c r="FOR3" t="s">
        <v>6984</v>
      </c>
      <c r="FOS3" t="s">
        <v>6984</v>
      </c>
      <c r="FOT3" t="s">
        <v>6984</v>
      </c>
      <c r="FOU3" t="s">
        <v>6984</v>
      </c>
      <c r="FOV3" t="s">
        <v>6984</v>
      </c>
      <c r="FOW3" t="s">
        <v>6984</v>
      </c>
      <c r="FOX3" t="s">
        <v>6984</v>
      </c>
      <c r="FOY3" t="s">
        <v>6984</v>
      </c>
      <c r="FOZ3" t="s">
        <v>6984</v>
      </c>
      <c r="FPA3" t="s">
        <v>6984</v>
      </c>
      <c r="FPB3" t="s">
        <v>6984</v>
      </c>
      <c r="FPC3" t="s">
        <v>6984</v>
      </c>
      <c r="FPD3" t="s">
        <v>6984</v>
      </c>
      <c r="FPE3" t="s">
        <v>6984</v>
      </c>
      <c r="FPF3" t="s">
        <v>6984</v>
      </c>
      <c r="FPG3" t="s">
        <v>6984</v>
      </c>
      <c r="FPH3" t="s">
        <v>6984</v>
      </c>
      <c r="FPI3" t="s">
        <v>6984</v>
      </c>
      <c r="FPJ3" t="s">
        <v>6984</v>
      </c>
      <c r="FPK3" t="s">
        <v>6984</v>
      </c>
      <c r="FPL3" t="s">
        <v>6984</v>
      </c>
      <c r="FPM3" t="s">
        <v>6984</v>
      </c>
      <c r="FPN3" t="s">
        <v>6984</v>
      </c>
      <c r="FPO3" t="s">
        <v>6984</v>
      </c>
      <c r="FPP3" t="s">
        <v>6984</v>
      </c>
      <c r="FPQ3" t="s">
        <v>6984</v>
      </c>
      <c r="FPR3" t="s">
        <v>6984</v>
      </c>
      <c r="FPS3" t="s">
        <v>6984</v>
      </c>
      <c r="FPT3" t="s">
        <v>6984</v>
      </c>
      <c r="FPU3" t="s">
        <v>6984</v>
      </c>
      <c r="FPV3" t="s">
        <v>6984</v>
      </c>
      <c r="FPW3" t="s">
        <v>6984</v>
      </c>
      <c r="FPX3" t="s">
        <v>6984</v>
      </c>
      <c r="FPY3" t="s">
        <v>6984</v>
      </c>
      <c r="FPZ3" t="s">
        <v>6984</v>
      </c>
      <c r="FQA3" t="s">
        <v>6984</v>
      </c>
      <c r="FQB3" t="s">
        <v>6984</v>
      </c>
      <c r="FQC3" t="s">
        <v>6984</v>
      </c>
      <c r="FQD3" t="s">
        <v>6984</v>
      </c>
      <c r="FQE3" t="s">
        <v>6984</v>
      </c>
      <c r="FQF3" t="s">
        <v>6984</v>
      </c>
      <c r="FQG3" t="s">
        <v>6984</v>
      </c>
      <c r="FQH3" t="s">
        <v>6984</v>
      </c>
      <c r="FQI3" t="s">
        <v>6984</v>
      </c>
      <c r="FQJ3" t="s">
        <v>6984</v>
      </c>
      <c r="FQK3" t="s">
        <v>6984</v>
      </c>
      <c r="FQL3" t="s">
        <v>6984</v>
      </c>
      <c r="FQM3" t="s">
        <v>6984</v>
      </c>
      <c r="FQN3" t="s">
        <v>6984</v>
      </c>
      <c r="FQO3" t="s">
        <v>6984</v>
      </c>
      <c r="FQP3" t="s">
        <v>6984</v>
      </c>
      <c r="FQQ3" t="s">
        <v>6984</v>
      </c>
      <c r="FQR3" t="s">
        <v>6984</v>
      </c>
      <c r="FQS3" t="s">
        <v>6984</v>
      </c>
      <c r="FQT3" t="s">
        <v>6984</v>
      </c>
      <c r="FQU3" t="s">
        <v>6984</v>
      </c>
      <c r="FQV3" t="s">
        <v>6984</v>
      </c>
      <c r="FQW3" t="s">
        <v>6984</v>
      </c>
      <c r="FQX3" t="s">
        <v>6984</v>
      </c>
      <c r="FQY3" t="s">
        <v>6984</v>
      </c>
      <c r="FQZ3" t="s">
        <v>6984</v>
      </c>
      <c r="FRA3" t="s">
        <v>6984</v>
      </c>
      <c r="FRB3" t="s">
        <v>6984</v>
      </c>
      <c r="FRC3" t="s">
        <v>6984</v>
      </c>
      <c r="FRD3" t="s">
        <v>6984</v>
      </c>
      <c r="FRE3" t="s">
        <v>6984</v>
      </c>
      <c r="FRF3" t="s">
        <v>6984</v>
      </c>
      <c r="FRG3" t="s">
        <v>6984</v>
      </c>
      <c r="FRH3" t="s">
        <v>6984</v>
      </c>
      <c r="FRI3" t="s">
        <v>6984</v>
      </c>
      <c r="FRJ3" t="s">
        <v>6984</v>
      </c>
      <c r="FRK3" t="s">
        <v>6984</v>
      </c>
      <c r="FRL3" t="s">
        <v>6984</v>
      </c>
      <c r="FRM3" t="s">
        <v>6984</v>
      </c>
      <c r="FRN3" t="s">
        <v>6984</v>
      </c>
      <c r="FRO3" t="s">
        <v>6984</v>
      </c>
      <c r="FRP3" t="s">
        <v>6984</v>
      </c>
      <c r="FRQ3" t="s">
        <v>6984</v>
      </c>
      <c r="FRR3" t="s">
        <v>6984</v>
      </c>
      <c r="FRS3" t="s">
        <v>6984</v>
      </c>
      <c r="FRT3" t="s">
        <v>6984</v>
      </c>
      <c r="FRU3" t="s">
        <v>6984</v>
      </c>
      <c r="FRV3" t="s">
        <v>6984</v>
      </c>
      <c r="FRW3" t="s">
        <v>6984</v>
      </c>
      <c r="FRX3" t="s">
        <v>6984</v>
      </c>
      <c r="FRY3" t="s">
        <v>6984</v>
      </c>
      <c r="FRZ3" t="s">
        <v>6984</v>
      </c>
      <c r="FSA3" t="s">
        <v>6984</v>
      </c>
      <c r="FSB3" t="s">
        <v>6984</v>
      </c>
      <c r="FSC3" t="s">
        <v>6984</v>
      </c>
      <c r="FSD3" t="s">
        <v>6984</v>
      </c>
      <c r="FSE3" t="s">
        <v>6984</v>
      </c>
      <c r="FSF3" t="s">
        <v>6984</v>
      </c>
      <c r="FSG3" t="s">
        <v>6984</v>
      </c>
      <c r="FSH3" t="s">
        <v>6984</v>
      </c>
      <c r="FSI3" t="s">
        <v>6984</v>
      </c>
      <c r="FSJ3" t="s">
        <v>6984</v>
      </c>
      <c r="FSK3" t="s">
        <v>6984</v>
      </c>
      <c r="FSL3" t="s">
        <v>6984</v>
      </c>
      <c r="FSM3" t="s">
        <v>6984</v>
      </c>
      <c r="FSN3" t="s">
        <v>6984</v>
      </c>
      <c r="FSO3" t="s">
        <v>6984</v>
      </c>
      <c r="FSP3" t="s">
        <v>6984</v>
      </c>
      <c r="FSQ3" t="s">
        <v>6984</v>
      </c>
      <c r="FSR3" t="s">
        <v>6984</v>
      </c>
      <c r="FSS3" t="s">
        <v>6984</v>
      </c>
      <c r="FST3" t="s">
        <v>6984</v>
      </c>
      <c r="FSU3" t="s">
        <v>6984</v>
      </c>
      <c r="FSV3" t="s">
        <v>6984</v>
      </c>
      <c r="FSW3" t="s">
        <v>6984</v>
      </c>
      <c r="FSX3" t="s">
        <v>6984</v>
      </c>
      <c r="FSY3" t="s">
        <v>6984</v>
      </c>
      <c r="FSZ3" t="s">
        <v>6984</v>
      </c>
      <c r="FTA3" t="s">
        <v>6984</v>
      </c>
      <c r="FTB3" t="s">
        <v>6984</v>
      </c>
      <c r="FTC3" t="s">
        <v>6984</v>
      </c>
      <c r="FTD3" t="s">
        <v>6984</v>
      </c>
      <c r="FTE3" t="s">
        <v>6984</v>
      </c>
      <c r="FTF3" t="s">
        <v>6984</v>
      </c>
      <c r="FTG3" t="s">
        <v>6984</v>
      </c>
      <c r="FTH3" t="s">
        <v>6984</v>
      </c>
      <c r="FTI3" t="s">
        <v>6984</v>
      </c>
      <c r="FTJ3" t="s">
        <v>6984</v>
      </c>
      <c r="FTK3" t="s">
        <v>6984</v>
      </c>
      <c r="FTL3" t="s">
        <v>6984</v>
      </c>
      <c r="FTM3" t="s">
        <v>6984</v>
      </c>
      <c r="FTN3" t="s">
        <v>6984</v>
      </c>
      <c r="FTO3" t="s">
        <v>6984</v>
      </c>
      <c r="FTP3" t="s">
        <v>6984</v>
      </c>
      <c r="FTQ3" t="s">
        <v>6984</v>
      </c>
      <c r="FTR3" t="s">
        <v>6984</v>
      </c>
      <c r="FTS3" t="s">
        <v>6984</v>
      </c>
      <c r="FTT3" t="s">
        <v>6984</v>
      </c>
      <c r="FTU3" t="s">
        <v>6984</v>
      </c>
      <c r="FTV3" t="s">
        <v>6984</v>
      </c>
      <c r="FTW3" t="s">
        <v>6984</v>
      </c>
      <c r="FTX3" t="s">
        <v>6984</v>
      </c>
      <c r="FTY3" t="s">
        <v>6984</v>
      </c>
      <c r="FTZ3" t="s">
        <v>6984</v>
      </c>
      <c r="FUA3" t="s">
        <v>6984</v>
      </c>
      <c r="FUB3" t="s">
        <v>6984</v>
      </c>
      <c r="FUC3" t="s">
        <v>6984</v>
      </c>
      <c r="FUD3" t="s">
        <v>6984</v>
      </c>
      <c r="FUE3" t="s">
        <v>6984</v>
      </c>
      <c r="FUF3" t="s">
        <v>6984</v>
      </c>
      <c r="FUG3" t="s">
        <v>6984</v>
      </c>
      <c r="FUH3" t="s">
        <v>6984</v>
      </c>
      <c r="FUI3" t="s">
        <v>6984</v>
      </c>
      <c r="FUJ3" t="s">
        <v>6984</v>
      </c>
      <c r="FUK3" t="s">
        <v>6984</v>
      </c>
      <c r="FUL3" t="s">
        <v>6984</v>
      </c>
      <c r="FUM3" t="s">
        <v>6984</v>
      </c>
      <c r="FUN3" t="s">
        <v>6984</v>
      </c>
      <c r="FUO3" t="s">
        <v>6984</v>
      </c>
      <c r="FUP3" t="s">
        <v>6984</v>
      </c>
      <c r="FUQ3" t="s">
        <v>6984</v>
      </c>
      <c r="FUR3" t="s">
        <v>6984</v>
      </c>
      <c r="FUS3" t="s">
        <v>6984</v>
      </c>
      <c r="FUT3" t="s">
        <v>6984</v>
      </c>
      <c r="FUU3" t="s">
        <v>6984</v>
      </c>
      <c r="FUV3" t="s">
        <v>6984</v>
      </c>
      <c r="FUW3" t="s">
        <v>6984</v>
      </c>
      <c r="FUX3" t="s">
        <v>6984</v>
      </c>
      <c r="FUY3" t="s">
        <v>6984</v>
      </c>
      <c r="FUZ3" t="s">
        <v>6984</v>
      </c>
      <c r="FVA3" t="s">
        <v>6984</v>
      </c>
      <c r="FVB3" t="s">
        <v>6984</v>
      </c>
      <c r="FVC3" t="s">
        <v>6984</v>
      </c>
      <c r="FVD3" t="s">
        <v>6984</v>
      </c>
      <c r="FVE3" t="s">
        <v>6984</v>
      </c>
      <c r="FVF3" t="s">
        <v>6984</v>
      </c>
      <c r="FVG3" t="s">
        <v>6984</v>
      </c>
      <c r="FVH3" t="s">
        <v>6984</v>
      </c>
      <c r="FVI3" t="s">
        <v>6984</v>
      </c>
      <c r="FVJ3" t="s">
        <v>6984</v>
      </c>
      <c r="FVK3" t="s">
        <v>6984</v>
      </c>
      <c r="FVL3" t="s">
        <v>6984</v>
      </c>
      <c r="FVM3" t="s">
        <v>6984</v>
      </c>
      <c r="FVN3" t="s">
        <v>6984</v>
      </c>
      <c r="FVO3" t="s">
        <v>6984</v>
      </c>
      <c r="FVP3" t="s">
        <v>6984</v>
      </c>
      <c r="FVQ3" t="s">
        <v>6984</v>
      </c>
      <c r="FVR3" t="s">
        <v>6984</v>
      </c>
      <c r="FVS3" t="s">
        <v>6984</v>
      </c>
      <c r="FVT3" t="s">
        <v>6984</v>
      </c>
      <c r="FVU3" t="s">
        <v>6984</v>
      </c>
      <c r="FVV3" t="s">
        <v>6984</v>
      </c>
      <c r="FVW3" t="s">
        <v>6984</v>
      </c>
      <c r="FVX3" t="s">
        <v>6984</v>
      </c>
      <c r="FVY3" t="s">
        <v>6984</v>
      </c>
      <c r="FVZ3" t="s">
        <v>6984</v>
      </c>
      <c r="FWA3" t="s">
        <v>6984</v>
      </c>
      <c r="FWB3" t="s">
        <v>6984</v>
      </c>
      <c r="FWC3" t="s">
        <v>6984</v>
      </c>
      <c r="FWD3" t="s">
        <v>6984</v>
      </c>
      <c r="FWE3" t="s">
        <v>6984</v>
      </c>
      <c r="FWF3" t="s">
        <v>6984</v>
      </c>
      <c r="FWG3" t="s">
        <v>6984</v>
      </c>
      <c r="FWH3" t="s">
        <v>6984</v>
      </c>
      <c r="FWI3" t="s">
        <v>6984</v>
      </c>
      <c r="FWJ3" t="s">
        <v>6984</v>
      </c>
      <c r="FWK3" t="s">
        <v>6984</v>
      </c>
      <c r="FWL3" t="s">
        <v>6984</v>
      </c>
      <c r="FWM3" t="s">
        <v>6984</v>
      </c>
      <c r="FWN3" t="s">
        <v>6984</v>
      </c>
      <c r="FWO3" t="s">
        <v>6984</v>
      </c>
      <c r="FWP3" t="s">
        <v>6984</v>
      </c>
      <c r="FWQ3" t="s">
        <v>6984</v>
      </c>
      <c r="FWR3" t="s">
        <v>6984</v>
      </c>
      <c r="FWS3" t="s">
        <v>6984</v>
      </c>
      <c r="FWT3" t="s">
        <v>6984</v>
      </c>
      <c r="FWU3" t="s">
        <v>6984</v>
      </c>
      <c r="FWV3" t="s">
        <v>6984</v>
      </c>
      <c r="FWW3" t="s">
        <v>6984</v>
      </c>
      <c r="FWX3" t="s">
        <v>6984</v>
      </c>
      <c r="FWY3" t="s">
        <v>6984</v>
      </c>
      <c r="FWZ3" t="s">
        <v>6984</v>
      </c>
      <c r="FXA3" t="s">
        <v>6984</v>
      </c>
      <c r="FXB3" t="s">
        <v>6984</v>
      </c>
      <c r="FXC3" t="s">
        <v>6984</v>
      </c>
      <c r="FXD3" t="s">
        <v>6984</v>
      </c>
      <c r="FXE3" t="s">
        <v>6984</v>
      </c>
      <c r="FXF3" t="s">
        <v>6984</v>
      </c>
      <c r="FXG3" t="s">
        <v>6984</v>
      </c>
      <c r="FXH3" t="s">
        <v>6984</v>
      </c>
      <c r="FXI3" t="s">
        <v>6984</v>
      </c>
      <c r="FXJ3" t="s">
        <v>6984</v>
      </c>
      <c r="FXK3" t="s">
        <v>6984</v>
      </c>
      <c r="FXL3" t="s">
        <v>6984</v>
      </c>
      <c r="FXM3" t="s">
        <v>6984</v>
      </c>
      <c r="FXN3" t="s">
        <v>6984</v>
      </c>
      <c r="FXO3" t="s">
        <v>6984</v>
      </c>
      <c r="FXP3" t="s">
        <v>6984</v>
      </c>
      <c r="FXQ3" t="s">
        <v>6984</v>
      </c>
      <c r="FXR3" t="s">
        <v>6984</v>
      </c>
      <c r="FXS3" t="s">
        <v>6984</v>
      </c>
      <c r="FXT3" t="s">
        <v>6984</v>
      </c>
      <c r="FXU3" t="s">
        <v>6984</v>
      </c>
      <c r="FXV3" t="s">
        <v>6984</v>
      </c>
      <c r="FXW3" t="s">
        <v>6984</v>
      </c>
      <c r="FXX3" t="s">
        <v>6984</v>
      </c>
      <c r="FXY3" t="s">
        <v>6984</v>
      </c>
      <c r="FXZ3" t="s">
        <v>6984</v>
      </c>
      <c r="FYA3" t="s">
        <v>6984</v>
      </c>
      <c r="FYB3" t="s">
        <v>6984</v>
      </c>
      <c r="FYC3" t="s">
        <v>6984</v>
      </c>
      <c r="FYD3" t="s">
        <v>6984</v>
      </c>
      <c r="FYE3" t="s">
        <v>6984</v>
      </c>
      <c r="FYF3" t="s">
        <v>6984</v>
      </c>
      <c r="FYG3" t="s">
        <v>6984</v>
      </c>
      <c r="FYH3" t="s">
        <v>6984</v>
      </c>
      <c r="FYI3" t="s">
        <v>6984</v>
      </c>
      <c r="FYJ3" t="s">
        <v>6984</v>
      </c>
      <c r="FYK3" t="s">
        <v>6984</v>
      </c>
      <c r="FYL3" t="s">
        <v>6984</v>
      </c>
      <c r="FYM3" t="s">
        <v>6984</v>
      </c>
      <c r="FYN3" t="s">
        <v>6984</v>
      </c>
      <c r="FYO3" t="s">
        <v>6984</v>
      </c>
      <c r="FYP3" t="s">
        <v>6984</v>
      </c>
      <c r="FYQ3" t="s">
        <v>6984</v>
      </c>
      <c r="FYR3" t="s">
        <v>6984</v>
      </c>
      <c r="FYS3" t="s">
        <v>6984</v>
      </c>
      <c r="FYT3" t="s">
        <v>6984</v>
      </c>
      <c r="FYU3" t="s">
        <v>6984</v>
      </c>
      <c r="FYV3" t="s">
        <v>6984</v>
      </c>
      <c r="FYW3" t="s">
        <v>6984</v>
      </c>
      <c r="FYX3" t="s">
        <v>6984</v>
      </c>
      <c r="FYY3" t="s">
        <v>6984</v>
      </c>
      <c r="FYZ3" t="s">
        <v>6984</v>
      </c>
      <c r="FZA3" t="s">
        <v>6984</v>
      </c>
      <c r="FZB3" t="s">
        <v>6984</v>
      </c>
      <c r="FZC3" t="s">
        <v>6984</v>
      </c>
      <c r="FZD3" t="s">
        <v>6984</v>
      </c>
      <c r="FZE3" t="s">
        <v>6984</v>
      </c>
      <c r="FZF3" t="s">
        <v>6984</v>
      </c>
      <c r="FZG3" t="s">
        <v>6984</v>
      </c>
      <c r="FZH3" t="s">
        <v>6984</v>
      </c>
      <c r="FZI3" t="s">
        <v>6984</v>
      </c>
      <c r="FZJ3" t="s">
        <v>6984</v>
      </c>
      <c r="FZK3" t="s">
        <v>6984</v>
      </c>
      <c r="FZL3" t="s">
        <v>6984</v>
      </c>
      <c r="FZM3" t="s">
        <v>6984</v>
      </c>
      <c r="FZN3" t="s">
        <v>6984</v>
      </c>
      <c r="FZO3" t="s">
        <v>6984</v>
      </c>
      <c r="FZP3" t="s">
        <v>6984</v>
      </c>
      <c r="FZQ3" t="s">
        <v>6984</v>
      </c>
      <c r="FZR3" t="s">
        <v>6984</v>
      </c>
      <c r="FZS3" t="s">
        <v>6984</v>
      </c>
      <c r="FZT3" t="s">
        <v>6984</v>
      </c>
      <c r="FZU3" t="s">
        <v>6984</v>
      </c>
      <c r="FZV3" t="s">
        <v>6984</v>
      </c>
      <c r="FZW3" t="s">
        <v>6984</v>
      </c>
      <c r="FZX3" t="s">
        <v>6984</v>
      </c>
      <c r="FZY3" t="s">
        <v>6984</v>
      </c>
      <c r="FZZ3" t="s">
        <v>6984</v>
      </c>
      <c r="GAA3" t="s">
        <v>6984</v>
      </c>
      <c r="GAB3" t="s">
        <v>6984</v>
      </c>
      <c r="GAC3" t="s">
        <v>6984</v>
      </c>
      <c r="GAD3" t="s">
        <v>6984</v>
      </c>
      <c r="GAE3" t="s">
        <v>6984</v>
      </c>
      <c r="GAF3" t="s">
        <v>6984</v>
      </c>
      <c r="GAG3" t="s">
        <v>6984</v>
      </c>
      <c r="GAH3" t="s">
        <v>6984</v>
      </c>
      <c r="GAI3" t="s">
        <v>6984</v>
      </c>
      <c r="GAJ3" t="s">
        <v>6984</v>
      </c>
      <c r="GAK3" t="s">
        <v>6984</v>
      </c>
      <c r="GAL3" t="s">
        <v>6984</v>
      </c>
      <c r="GAM3" t="s">
        <v>6984</v>
      </c>
      <c r="GAN3" t="s">
        <v>6984</v>
      </c>
      <c r="GAO3" t="s">
        <v>6984</v>
      </c>
      <c r="GAP3" t="s">
        <v>6984</v>
      </c>
      <c r="GAQ3" t="s">
        <v>6984</v>
      </c>
      <c r="GAR3" t="s">
        <v>6984</v>
      </c>
      <c r="GAS3" t="s">
        <v>6984</v>
      </c>
      <c r="GAT3" t="s">
        <v>6984</v>
      </c>
      <c r="GAU3" t="s">
        <v>6984</v>
      </c>
      <c r="GAV3" t="s">
        <v>6984</v>
      </c>
      <c r="GAW3" t="s">
        <v>6984</v>
      </c>
      <c r="GAX3" t="s">
        <v>6984</v>
      </c>
      <c r="GAY3" t="s">
        <v>6984</v>
      </c>
      <c r="GAZ3" t="s">
        <v>6984</v>
      </c>
      <c r="GBA3" t="s">
        <v>6984</v>
      </c>
      <c r="GBB3" t="s">
        <v>6984</v>
      </c>
      <c r="GBC3" t="s">
        <v>6984</v>
      </c>
      <c r="GBD3" t="s">
        <v>6984</v>
      </c>
      <c r="GBE3" t="s">
        <v>6984</v>
      </c>
      <c r="GBF3" t="s">
        <v>6984</v>
      </c>
      <c r="GBG3" t="s">
        <v>6984</v>
      </c>
      <c r="GBH3" t="s">
        <v>6984</v>
      </c>
      <c r="GBI3" t="s">
        <v>6984</v>
      </c>
      <c r="GBJ3" t="s">
        <v>6984</v>
      </c>
      <c r="GBK3" t="s">
        <v>6984</v>
      </c>
      <c r="GBL3" t="s">
        <v>6984</v>
      </c>
      <c r="GBM3" t="s">
        <v>6984</v>
      </c>
      <c r="GBN3" t="s">
        <v>6984</v>
      </c>
      <c r="GBO3" t="s">
        <v>6984</v>
      </c>
      <c r="GBP3" t="s">
        <v>6984</v>
      </c>
      <c r="GBQ3" t="s">
        <v>6984</v>
      </c>
      <c r="GBR3" t="s">
        <v>6984</v>
      </c>
      <c r="GBS3" t="s">
        <v>6984</v>
      </c>
      <c r="GBT3" t="s">
        <v>6984</v>
      </c>
      <c r="GBU3" t="s">
        <v>6984</v>
      </c>
      <c r="GBV3" t="s">
        <v>6984</v>
      </c>
      <c r="GBW3" t="s">
        <v>6984</v>
      </c>
      <c r="GBX3" t="s">
        <v>6984</v>
      </c>
      <c r="GBY3" t="s">
        <v>6984</v>
      </c>
      <c r="GBZ3" t="s">
        <v>6984</v>
      </c>
      <c r="GCA3" t="s">
        <v>6984</v>
      </c>
      <c r="GCB3" t="s">
        <v>6984</v>
      </c>
      <c r="GCC3" t="s">
        <v>6984</v>
      </c>
      <c r="GCD3" t="s">
        <v>6984</v>
      </c>
      <c r="GCE3" t="s">
        <v>6984</v>
      </c>
      <c r="GCF3" t="s">
        <v>6984</v>
      </c>
      <c r="GCG3" t="s">
        <v>6984</v>
      </c>
      <c r="GCH3" t="s">
        <v>6984</v>
      </c>
      <c r="GCI3" t="s">
        <v>6984</v>
      </c>
      <c r="GCJ3" t="s">
        <v>6984</v>
      </c>
      <c r="GCK3" t="s">
        <v>6984</v>
      </c>
      <c r="GCL3" t="s">
        <v>6984</v>
      </c>
      <c r="GCM3" t="s">
        <v>6984</v>
      </c>
      <c r="GCN3" t="s">
        <v>6984</v>
      </c>
      <c r="GCO3" t="s">
        <v>6984</v>
      </c>
      <c r="GCP3" t="s">
        <v>6984</v>
      </c>
      <c r="GCQ3" t="s">
        <v>6984</v>
      </c>
      <c r="GCR3" t="s">
        <v>6984</v>
      </c>
      <c r="GCS3" t="s">
        <v>6984</v>
      </c>
      <c r="GCT3" t="s">
        <v>6984</v>
      </c>
      <c r="GCU3" t="s">
        <v>6984</v>
      </c>
      <c r="GCV3" t="s">
        <v>6984</v>
      </c>
      <c r="GCW3" t="s">
        <v>6984</v>
      </c>
      <c r="GCX3" t="s">
        <v>6984</v>
      </c>
      <c r="GCY3" t="s">
        <v>6984</v>
      </c>
      <c r="GCZ3" t="s">
        <v>6984</v>
      </c>
      <c r="GDA3" t="s">
        <v>6984</v>
      </c>
      <c r="GDB3" t="s">
        <v>6984</v>
      </c>
      <c r="GDC3" t="s">
        <v>6984</v>
      </c>
      <c r="GDD3" t="s">
        <v>6984</v>
      </c>
      <c r="GDE3" t="s">
        <v>6984</v>
      </c>
      <c r="GDF3" t="s">
        <v>6984</v>
      </c>
      <c r="GDG3" t="s">
        <v>6984</v>
      </c>
      <c r="GDH3" t="s">
        <v>6984</v>
      </c>
      <c r="GDI3" t="s">
        <v>6984</v>
      </c>
      <c r="GDJ3" t="s">
        <v>6984</v>
      </c>
      <c r="GDK3" t="s">
        <v>6984</v>
      </c>
      <c r="GDL3" t="s">
        <v>6984</v>
      </c>
      <c r="GDM3" t="s">
        <v>6984</v>
      </c>
      <c r="GDN3" t="s">
        <v>6984</v>
      </c>
      <c r="GDO3" t="s">
        <v>6984</v>
      </c>
      <c r="GDP3" t="s">
        <v>6984</v>
      </c>
      <c r="GDQ3" t="s">
        <v>6984</v>
      </c>
      <c r="GDR3" t="s">
        <v>6984</v>
      </c>
      <c r="GDS3" t="s">
        <v>6984</v>
      </c>
      <c r="GDT3" t="s">
        <v>6984</v>
      </c>
      <c r="GDU3" t="s">
        <v>6984</v>
      </c>
      <c r="GDV3" t="s">
        <v>6984</v>
      </c>
      <c r="GDW3" t="s">
        <v>6984</v>
      </c>
      <c r="GDX3" t="s">
        <v>6984</v>
      </c>
      <c r="GDY3" t="s">
        <v>6984</v>
      </c>
      <c r="GDZ3" t="s">
        <v>6984</v>
      </c>
      <c r="GEA3" t="s">
        <v>6984</v>
      </c>
      <c r="GEB3" t="s">
        <v>6984</v>
      </c>
      <c r="GEC3" t="s">
        <v>6984</v>
      </c>
      <c r="GED3" t="s">
        <v>6984</v>
      </c>
      <c r="GEE3" t="s">
        <v>6984</v>
      </c>
      <c r="GEF3" t="s">
        <v>6984</v>
      </c>
      <c r="GEG3" t="s">
        <v>6984</v>
      </c>
      <c r="GEH3" t="s">
        <v>6984</v>
      </c>
      <c r="GEI3" t="s">
        <v>6984</v>
      </c>
      <c r="GEJ3" t="s">
        <v>6984</v>
      </c>
      <c r="GEK3" t="s">
        <v>6984</v>
      </c>
      <c r="GEL3" t="s">
        <v>6984</v>
      </c>
      <c r="GEM3" t="s">
        <v>6984</v>
      </c>
      <c r="GEN3" t="s">
        <v>6984</v>
      </c>
      <c r="GEO3" t="s">
        <v>6984</v>
      </c>
      <c r="GEP3" t="s">
        <v>6984</v>
      </c>
      <c r="GEQ3" t="s">
        <v>6984</v>
      </c>
      <c r="GER3" t="s">
        <v>6984</v>
      </c>
      <c r="GES3" t="s">
        <v>6984</v>
      </c>
      <c r="GET3" t="s">
        <v>6984</v>
      </c>
      <c r="GEU3" t="s">
        <v>6984</v>
      </c>
      <c r="GEV3" t="s">
        <v>6984</v>
      </c>
      <c r="GEW3" t="s">
        <v>6984</v>
      </c>
      <c r="GEX3" t="s">
        <v>6984</v>
      </c>
      <c r="GEY3" t="s">
        <v>6984</v>
      </c>
      <c r="GEZ3" t="s">
        <v>6984</v>
      </c>
      <c r="GFA3" t="s">
        <v>6984</v>
      </c>
      <c r="GFB3" t="s">
        <v>6984</v>
      </c>
      <c r="GFC3" t="s">
        <v>6984</v>
      </c>
      <c r="GFD3" t="s">
        <v>6984</v>
      </c>
      <c r="GFE3" t="s">
        <v>6984</v>
      </c>
      <c r="GFF3" t="s">
        <v>6984</v>
      </c>
      <c r="GFG3" t="s">
        <v>6984</v>
      </c>
      <c r="GFH3" t="s">
        <v>6984</v>
      </c>
      <c r="GFI3" t="s">
        <v>6984</v>
      </c>
      <c r="GFJ3" t="s">
        <v>6984</v>
      </c>
      <c r="GFK3" t="s">
        <v>6984</v>
      </c>
      <c r="GFL3" t="s">
        <v>6984</v>
      </c>
      <c r="GFM3" t="s">
        <v>6984</v>
      </c>
      <c r="GFN3" t="s">
        <v>6984</v>
      </c>
      <c r="GFO3" t="s">
        <v>6984</v>
      </c>
      <c r="GFP3" t="s">
        <v>6984</v>
      </c>
      <c r="GFQ3" t="s">
        <v>6984</v>
      </c>
      <c r="GFR3" t="s">
        <v>6984</v>
      </c>
      <c r="GFS3" t="s">
        <v>6984</v>
      </c>
      <c r="GFT3" t="s">
        <v>6984</v>
      </c>
      <c r="GFU3" t="s">
        <v>6984</v>
      </c>
      <c r="GFV3" t="s">
        <v>6984</v>
      </c>
      <c r="GFW3" t="s">
        <v>6984</v>
      </c>
      <c r="GFX3" t="s">
        <v>6984</v>
      </c>
      <c r="GFY3" t="s">
        <v>6984</v>
      </c>
      <c r="GFZ3" t="s">
        <v>6984</v>
      </c>
      <c r="GGA3" t="s">
        <v>6984</v>
      </c>
      <c r="GGB3" t="s">
        <v>6984</v>
      </c>
      <c r="GGC3" t="s">
        <v>6984</v>
      </c>
      <c r="GGD3" t="s">
        <v>6984</v>
      </c>
      <c r="GGE3" t="s">
        <v>6984</v>
      </c>
      <c r="GGF3" t="s">
        <v>6984</v>
      </c>
      <c r="GGG3" t="s">
        <v>6984</v>
      </c>
      <c r="GGH3" t="s">
        <v>6984</v>
      </c>
      <c r="GGI3" t="s">
        <v>6984</v>
      </c>
      <c r="GGJ3" t="s">
        <v>6984</v>
      </c>
      <c r="GGK3" t="s">
        <v>6984</v>
      </c>
      <c r="GGL3" t="s">
        <v>6984</v>
      </c>
      <c r="GGM3" t="s">
        <v>6984</v>
      </c>
      <c r="GGN3" t="s">
        <v>6984</v>
      </c>
      <c r="GGO3" t="s">
        <v>6984</v>
      </c>
      <c r="GGP3" t="s">
        <v>6984</v>
      </c>
      <c r="GGQ3" t="s">
        <v>6984</v>
      </c>
      <c r="GGR3" t="s">
        <v>6984</v>
      </c>
      <c r="GGS3" t="s">
        <v>6984</v>
      </c>
      <c r="GGT3" t="s">
        <v>6984</v>
      </c>
      <c r="GGU3" t="s">
        <v>6984</v>
      </c>
      <c r="GGV3" t="s">
        <v>6984</v>
      </c>
      <c r="GGW3" t="s">
        <v>6984</v>
      </c>
      <c r="GGX3" t="s">
        <v>6984</v>
      </c>
      <c r="GGY3" t="s">
        <v>6984</v>
      </c>
      <c r="GGZ3" t="s">
        <v>6984</v>
      </c>
      <c r="GHA3" t="s">
        <v>6984</v>
      </c>
      <c r="GHB3" t="s">
        <v>6984</v>
      </c>
      <c r="GHC3" t="s">
        <v>6984</v>
      </c>
      <c r="GHD3" t="s">
        <v>6984</v>
      </c>
      <c r="GHE3" t="s">
        <v>6984</v>
      </c>
      <c r="GHF3" t="s">
        <v>6984</v>
      </c>
      <c r="GHG3" t="s">
        <v>6984</v>
      </c>
      <c r="GHH3" t="s">
        <v>6984</v>
      </c>
      <c r="GHI3" t="s">
        <v>6984</v>
      </c>
      <c r="GHJ3" t="s">
        <v>6984</v>
      </c>
      <c r="GHK3" t="s">
        <v>6984</v>
      </c>
      <c r="GHL3" t="s">
        <v>6984</v>
      </c>
      <c r="GHM3" t="s">
        <v>6984</v>
      </c>
      <c r="GHN3" t="s">
        <v>6984</v>
      </c>
      <c r="GHO3" t="s">
        <v>6984</v>
      </c>
      <c r="GHP3" t="s">
        <v>6984</v>
      </c>
      <c r="GHQ3" t="s">
        <v>6984</v>
      </c>
      <c r="GHR3" t="s">
        <v>6984</v>
      </c>
      <c r="GHS3" t="s">
        <v>6984</v>
      </c>
      <c r="GHT3" t="s">
        <v>6984</v>
      </c>
      <c r="GHU3" t="s">
        <v>6984</v>
      </c>
      <c r="GHV3" t="s">
        <v>6984</v>
      </c>
      <c r="GHW3" t="s">
        <v>6984</v>
      </c>
      <c r="GHX3" t="s">
        <v>6984</v>
      </c>
      <c r="GHY3" t="s">
        <v>6984</v>
      </c>
      <c r="GHZ3" t="s">
        <v>6984</v>
      </c>
      <c r="GIA3" t="s">
        <v>6984</v>
      </c>
      <c r="GIB3" t="s">
        <v>6984</v>
      </c>
      <c r="GIC3" t="s">
        <v>6984</v>
      </c>
      <c r="GID3" t="s">
        <v>6984</v>
      </c>
      <c r="GIE3" t="s">
        <v>6984</v>
      </c>
      <c r="GIF3" t="s">
        <v>6984</v>
      </c>
      <c r="GIG3" t="s">
        <v>6984</v>
      </c>
      <c r="GIH3" t="s">
        <v>6984</v>
      </c>
      <c r="GII3" t="s">
        <v>6984</v>
      </c>
      <c r="GIJ3" t="s">
        <v>6984</v>
      </c>
      <c r="GIK3" t="s">
        <v>6984</v>
      </c>
      <c r="GIL3" t="s">
        <v>6984</v>
      </c>
      <c r="GIM3" t="s">
        <v>6984</v>
      </c>
      <c r="GIN3" t="s">
        <v>6984</v>
      </c>
      <c r="GIO3" t="s">
        <v>6984</v>
      </c>
      <c r="GIP3" t="s">
        <v>6984</v>
      </c>
      <c r="GIQ3" t="s">
        <v>6984</v>
      </c>
      <c r="GIR3" t="s">
        <v>6984</v>
      </c>
      <c r="GIS3" t="s">
        <v>6984</v>
      </c>
      <c r="GIT3" t="s">
        <v>6984</v>
      </c>
      <c r="GIU3" t="s">
        <v>6984</v>
      </c>
      <c r="GIV3" t="s">
        <v>6984</v>
      </c>
      <c r="GIW3" t="s">
        <v>6984</v>
      </c>
      <c r="GIX3" t="s">
        <v>6984</v>
      </c>
      <c r="GIY3" t="s">
        <v>6984</v>
      </c>
      <c r="GIZ3" t="s">
        <v>6984</v>
      </c>
      <c r="GJA3" t="s">
        <v>6984</v>
      </c>
      <c r="GJB3" t="s">
        <v>6984</v>
      </c>
      <c r="GJC3" t="s">
        <v>6984</v>
      </c>
      <c r="GJD3" t="s">
        <v>6984</v>
      </c>
      <c r="GJE3" t="s">
        <v>6984</v>
      </c>
      <c r="GJF3" t="s">
        <v>6984</v>
      </c>
      <c r="GJG3" t="s">
        <v>6984</v>
      </c>
      <c r="GJH3" t="s">
        <v>6984</v>
      </c>
      <c r="GJI3" t="s">
        <v>6984</v>
      </c>
      <c r="GJJ3" t="s">
        <v>6984</v>
      </c>
      <c r="GJK3" t="s">
        <v>6984</v>
      </c>
      <c r="GJL3" t="s">
        <v>6984</v>
      </c>
      <c r="GJM3" t="s">
        <v>6984</v>
      </c>
      <c r="GJN3" t="s">
        <v>6984</v>
      </c>
      <c r="GJO3" t="s">
        <v>6984</v>
      </c>
      <c r="GJP3" t="s">
        <v>6984</v>
      </c>
      <c r="GJQ3" t="s">
        <v>6984</v>
      </c>
      <c r="GJR3" t="s">
        <v>6984</v>
      </c>
      <c r="GJS3" t="s">
        <v>6984</v>
      </c>
      <c r="GJT3" t="s">
        <v>6984</v>
      </c>
      <c r="GJU3" t="s">
        <v>6984</v>
      </c>
      <c r="GJV3" t="s">
        <v>6984</v>
      </c>
      <c r="GJW3" t="s">
        <v>6984</v>
      </c>
      <c r="GJX3" t="s">
        <v>6984</v>
      </c>
      <c r="GJY3" t="s">
        <v>6984</v>
      </c>
      <c r="GJZ3" t="s">
        <v>6984</v>
      </c>
      <c r="GKA3" t="s">
        <v>6984</v>
      </c>
      <c r="GKB3" t="s">
        <v>6984</v>
      </c>
      <c r="GKC3" t="s">
        <v>6984</v>
      </c>
      <c r="GKD3" t="s">
        <v>6984</v>
      </c>
      <c r="GKE3" t="s">
        <v>6984</v>
      </c>
      <c r="GKF3" t="s">
        <v>6984</v>
      </c>
      <c r="GKG3" t="s">
        <v>6984</v>
      </c>
      <c r="GKH3" t="s">
        <v>6984</v>
      </c>
      <c r="GKI3" t="s">
        <v>6984</v>
      </c>
      <c r="GKJ3" t="s">
        <v>6984</v>
      </c>
      <c r="GKK3" t="s">
        <v>6984</v>
      </c>
      <c r="GKL3" t="s">
        <v>6984</v>
      </c>
      <c r="GKM3" t="s">
        <v>6984</v>
      </c>
      <c r="GKN3" t="s">
        <v>6984</v>
      </c>
      <c r="GKO3" t="s">
        <v>6984</v>
      </c>
      <c r="GKP3" t="s">
        <v>6984</v>
      </c>
      <c r="GKQ3" t="s">
        <v>6984</v>
      </c>
      <c r="GKR3" t="s">
        <v>6984</v>
      </c>
      <c r="GKS3" t="s">
        <v>6984</v>
      </c>
      <c r="GKT3" t="s">
        <v>6984</v>
      </c>
      <c r="GKU3" t="s">
        <v>6984</v>
      </c>
      <c r="GKV3" t="s">
        <v>6984</v>
      </c>
      <c r="GKW3" t="s">
        <v>6984</v>
      </c>
      <c r="GKX3" t="s">
        <v>6984</v>
      </c>
      <c r="GKY3" t="s">
        <v>6984</v>
      </c>
      <c r="GKZ3" t="s">
        <v>6984</v>
      </c>
      <c r="GLA3" t="s">
        <v>6984</v>
      </c>
      <c r="GLB3" t="s">
        <v>6984</v>
      </c>
      <c r="GLC3" t="s">
        <v>6984</v>
      </c>
      <c r="GLD3" t="s">
        <v>6984</v>
      </c>
      <c r="GLE3" t="s">
        <v>6984</v>
      </c>
      <c r="GLF3" t="s">
        <v>6984</v>
      </c>
      <c r="GLG3" t="s">
        <v>6984</v>
      </c>
      <c r="GLH3" t="s">
        <v>6984</v>
      </c>
      <c r="GLI3" t="s">
        <v>6984</v>
      </c>
      <c r="GLJ3" t="s">
        <v>6984</v>
      </c>
      <c r="GLK3" t="s">
        <v>6984</v>
      </c>
      <c r="GLL3" t="s">
        <v>6984</v>
      </c>
      <c r="GLM3" t="s">
        <v>6984</v>
      </c>
      <c r="GLN3" t="s">
        <v>6984</v>
      </c>
      <c r="GLO3" t="s">
        <v>6984</v>
      </c>
      <c r="GLP3" t="s">
        <v>6984</v>
      </c>
      <c r="GLQ3" t="s">
        <v>6984</v>
      </c>
      <c r="GLR3" t="s">
        <v>6984</v>
      </c>
      <c r="GLS3" t="s">
        <v>6984</v>
      </c>
      <c r="GLT3" t="s">
        <v>6984</v>
      </c>
      <c r="GLU3" t="s">
        <v>6984</v>
      </c>
      <c r="GLV3" t="s">
        <v>6984</v>
      </c>
      <c r="GLW3" t="s">
        <v>6984</v>
      </c>
      <c r="GLX3" t="s">
        <v>6984</v>
      </c>
      <c r="GLY3" t="s">
        <v>6984</v>
      </c>
      <c r="GLZ3" t="s">
        <v>6984</v>
      </c>
      <c r="GMA3" t="s">
        <v>6984</v>
      </c>
      <c r="GMB3" t="s">
        <v>6984</v>
      </c>
      <c r="GMC3" t="s">
        <v>6984</v>
      </c>
      <c r="GMD3" t="s">
        <v>6984</v>
      </c>
      <c r="GME3" t="s">
        <v>6984</v>
      </c>
      <c r="GMF3" t="s">
        <v>6984</v>
      </c>
      <c r="GMG3" t="s">
        <v>6984</v>
      </c>
      <c r="GMH3" t="s">
        <v>6984</v>
      </c>
      <c r="GMI3" t="s">
        <v>6984</v>
      </c>
      <c r="GMJ3" t="s">
        <v>6984</v>
      </c>
      <c r="GMK3" t="s">
        <v>6984</v>
      </c>
      <c r="GML3" t="s">
        <v>6984</v>
      </c>
      <c r="GMM3" t="s">
        <v>6984</v>
      </c>
      <c r="GMN3" t="s">
        <v>6984</v>
      </c>
      <c r="GMO3" t="s">
        <v>6984</v>
      </c>
      <c r="GMP3" t="s">
        <v>6984</v>
      </c>
      <c r="GMQ3" t="s">
        <v>6984</v>
      </c>
      <c r="GMR3" t="s">
        <v>6984</v>
      </c>
      <c r="GMS3" t="s">
        <v>6984</v>
      </c>
      <c r="GMT3" t="s">
        <v>6984</v>
      </c>
      <c r="GMU3" t="s">
        <v>6984</v>
      </c>
      <c r="GMV3" t="s">
        <v>6984</v>
      </c>
      <c r="GMW3" t="s">
        <v>6984</v>
      </c>
      <c r="GMX3" t="s">
        <v>6984</v>
      </c>
      <c r="GMY3" t="s">
        <v>6984</v>
      </c>
      <c r="GMZ3" t="s">
        <v>6984</v>
      </c>
      <c r="GNA3" t="s">
        <v>6984</v>
      </c>
      <c r="GNB3" t="s">
        <v>6984</v>
      </c>
      <c r="GNC3" t="s">
        <v>6984</v>
      </c>
      <c r="GND3" t="s">
        <v>6984</v>
      </c>
      <c r="GNE3" t="s">
        <v>6984</v>
      </c>
      <c r="GNF3" t="s">
        <v>6984</v>
      </c>
      <c r="GNG3" t="s">
        <v>6984</v>
      </c>
      <c r="GNH3" t="s">
        <v>6984</v>
      </c>
      <c r="GNI3" t="s">
        <v>6984</v>
      </c>
      <c r="GNJ3" t="s">
        <v>6984</v>
      </c>
      <c r="GNK3" t="s">
        <v>6984</v>
      </c>
      <c r="GNL3" t="s">
        <v>6984</v>
      </c>
      <c r="GNM3" t="s">
        <v>6984</v>
      </c>
      <c r="GNN3" t="s">
        <v>6984</v>
      </c>
      <c r="GNO3" t="s">
        <v>6984</v>
      </c>
      <c r="GNP3" t="s">
        <v>6984</v>
      </c>
      <c r="GNQ3" t="s">
        <v>6984</v>
      </c>
      <c r="GNR3" t="s">
        <v>6984</v>
      </c>
      <c r="GNS3" t="s">
        <v>6984</v>
      </c>
      <c r="GNT3" t="s">
        <v>6984</v>
      </c>
      <c r="GNU3" t="s">
        <v>6984</v>
      </c>
      <c r="GNV3" t="s">
        <v>6984</v>
      </c>
      <c r="GNW3" t="s">
        <v>6984</v>
      </c>
      <c r="GNX3" t="s">
        <v>6984</v>
      </c>
      <c r="GNY3" t="s">
        <v>6984</v>
      </c>
      <c r="GNZ3" t="s">
        <v>6984</v>
      </c>
      <c r="GOA3" t="s">
        <v>6984</v>
      </c>
      <c r="GOB3" t="s">
        <v>6984</v>
      </c>
      <c r="GOC3" t="s">
        <v>6984</v>
      </c>
      <c r="GOD3" t="s">
        <v>6984</v>
      </c>
      <c r="GOE3" t="s">
        <v>6984</v>
      </c>
      <c r="GOF3" t="s">
        <v>6984</v>
      </c>
      <c r="GOG3" t="s">
        <v>6984</v>
      </c>
      <c r="GOH3" t="s">
        <v>6984</v>
      </c>
      <c r="GOI3" t="s">
        <v>6984</v>
      </c>
      <c r="GOJ3" t="s">
        <v>6984</v>
      </c>
      <c r="GOK3" t="s">
        <v>6984</v>
      </c>
      <c r="GOL3" t="s">
        <v>6984</v>
      </c>
      <c r="GOM3" t="s">
        <v>6984</v>
      </c>
      <c r="GON3" t="s">
        <v>6984</v>
      </c>
      <c r="GOO3" t="s">
        <v>6984</v>
      </c>
      <c r="GOP3" t="s">
        <v>6984</v>
      </c>
      <c r="GOQ3" t="s">
        <v>6984</v>
      </c>
      <c r="GOR3" t="s">
        <v>6984</v>
      </c>
      <c r="GOS3" t="s">
        <v>6984</v>
      </c>
      <c r="GOT3" t="s">
        <v>6984</v>
      </c>
      <c r="GOU3" t="s">
        <v>6984</v>
      </c>
      <c r="GOV3" t="s">
        <v>6984</v>
      </c>
      <c r="GOW3" t="s">
        <v>6984</v>
      </c>
      <c r="GOX3" t="s">
        <v>6984</v>
      </c>
      <c r="GOY3" t="s">
        <v>6984</v>
      </c>
      <c r="GOZ3" t="s">
        <v>6984</v>
      </c>
      <c r="GPA3" t="s">
        <v>6984</v>
      </c>
      <c r="GPB3" t="s">
        <v>6984</v>
      </c>
      <c r="GPC3" t="s">
        <v>6984</v>
      </c>
      <c r="GPD3" t="s">
        <v>6984</v>
      </c>
      <c r="GPE3" t="s">
        <v>6984</v>
      </c>
      <c r="GPF3" t="s">
        <v>6984</v>
      </c>
      <c r="GPG3" t="s">
        <v>6984</v>
      </c>
      <c r="GPH3" t="s">
        <v>6984</v>
      </c>
      <c r="GPI3" t="s">
        <v>6984</v>
      </c>
      <c r="GPJ3" t="s">
        <v>6984</v>
      </c>
      <c r="GPK3" t="s">
        <v>6984</v>
      </c>
      <c r="GPL3" t="s">
        <v>6984</v>
      </c>
      <c r="GPM3" t="s">
        <v>6984</v>
      </c>
      <c r="GPN3" t="s">
        <v>6984</v>
      </c>
      <c r="GPO3" t="s">
        <v>6984</v>
      </c>
      <c r="GPP3" t="s">
        <v>6984</v>
      </c>
      <c r="GPQ3" t="s">
        <v>6984</v>
      </c>
      <c r="GPR3" t="s">
        <v>6984</v>
      </c>
      <c r="GPS3" t="s">
        <v>6984</v>
      </c>
      <c r="GPT3" t="s">
        <v>6984</v>
      </c>
      <c r="GPU3" t="s">
        <v>6984</v>
      </c>
      <c r="GPV3" t="s">
        <v>6984</v>
      </c>
      <c r="GPW3" t="s">
        <v>6984</v>
      </c>
      <c r="GPX3" t="s">
        <v>6984</v>
      </c>
      <c r="GPY3" t="s">
        <v>6984</v>
      </c>
      <c r="GPZ3" t="s">
        <v>6984</v>
      </c>
      <c r="GQA3" t="s">
        <v>6984</v>
      </c>
      <c r="GQB3" t="s">
        <v>6984</v>
      </c>
      <c r="GQC3" t="s">
        <v>6984</v>
      </c>
      <c r="GQD3" t="s">
        <v>6984</v>
      </c>
      <c r="GQE3" t="s">
        <v>6984</v>
      </c>
      <c r="GQF3" t="s">
        <v>6984</v>
      </c>
      <c r="GQG3" t="s">
        <v>6984</v>
      </c>
      <c r="GQH3" t="s">
        <v>6984</v>
      </c>
      <c r="GQI3" t="s">
        <v>6984</v>
      </c>
      <c r="GQJ3" t="s">
        <v>6984</v>
      </c>
      <c r="GQK3" t="s">
        <v>6984</v>
      </c>
      <c r="GQL3" t="s">
        <v>6984</v>
      </c>
      <c r="GQM3" t="s">
        <v>6984</v>
      </c>
      <c r="GQN3" t="s">
        <v>6984</v>
      </c>
      <c r="GQO3" t="s">
        <v>6984</v>
      </c>
      <c r="GQP3" t="s">
        <v>6984</v>
      </c>
      <c r="GQQ3" t="s">
        <v>6984</v>
      </c>
      <c r="GQR3" t="s">
        <v>6984</v>
      </c>
      <c r="GQS3" t="s">
        <v>6984</v>
      </c>
      <c r="GQT3" t="s">
        <v>6984</v>
      </c>
      <c r="GQU3" t="s">
        <v>6984</v>
      </c>
      <c r="GQV3" t="s">
        <v>6984</v>
      </c>
      <c r="GQW3" t="s">
        <v>6984</v>
      </c>
      <c r="GQX3" t="s">
        <v>6984</v>
      </c>
      <c r="GQY3" t="s">
        <v>6984</v>
      </c>
      <c r="GQZ3" t="s">
        <v>6984</v>
      </c>
      <c r="GRA3" t="s">
        <v>6984</v>
      </c>
      <c r="GRB3" t="s">
        <v>6984</v>
      </c>
      <c r="GRC3" t="s">
        <v>6984</v>
      </c>
      <c r="GRD3" t="s">
        <v>6984</v>
      </c>
      <c r="GRE3" t="s">
        <v>6984</v>
      </c>
      <c r="GRF3" t="s">
        <v>6984</v>
      </c>
      <c r="GRG3" t="s">
        <v>6984</v>
      </c>
      <c r="GRH3" t="s">
        <v>6984</v>
      </c>
      <c r="GRI3" t="s">
        <v>6984</v>
      </c>
      <c r="GRJ3" t="s">
        <v>6984</v>
      </c>
      <c r="GRK3" t="s">
        <v>6984</v>
      </c>
      <c r="GRL3" t="s">
        <v>6984</v>
      </c>
      <c r="GRM3" t="s">
        <v>6984</v>
      </c>
      <c r="GRN3" t="s">
        <v>6984</v>
      </c>
      <c r="GRO3" t="s">
        <v>6984</v>
      </c>
      <c r="GRP3" t="s">
        <v>6984</v>
      </c>
      <c r="GRQ3" t="s">
        <v>6984</v>
      </c>
      <c r="GRR3" t="s">
        <v>6984</v>
      </c>
      <c r="GRS3" t="s">
        <v>6984</v>
      </c>
      <c r="GRT3" t="s">
        <v>6984</v>
      </c>
      <c r="GRU3" t="s">
        <v>6984</v>
      </c>
      <c r="GRV3" t="s">
        <v>6984</v>
      </c>
      <c r="GRW3" t="s">
        <v>6984</v>
      </c>
      <c r="GRX3" t="s">
        <v>6984</v>
      </c>
      <c r="GRY3" t="s">
        <v>6984</v>
      </c>
      <c r="GRZ3" t="s">
        <v>6984</v>
      </c>
      <c r="GSA3" t="s">
        <v>6984</v>
      </c>
      <c r="GSB3" t="s">
        <v>6984</v>
      </c>
      <c r="GSC3" t="s">
        <v>6984</v>
      </c>
      <c r="GSD3" t="s">
        <v>6984</v>
      </c>
      <c r="GSE3" t="s">
        <v>6984</v>
      </c>
      <c r="GSF3" t="s">
        <v>6984</v>
      </c>
      <c r="GSG3" t="s">
        <v>6984</v>
      </c>
      <c r="GSH3" t="s">
        <v>6984</v>
      </c>
      <c r="GSI3" t="s">
        <v>6984</v>
      </c>
      <c r="GSJ3" t="s">
        <v>6984</v>
      </c>
      <c r="GSK3" t="s">
        <v>6984</v>
      </c>
      <c r="GSL3" t="s">
        <v>6984</v>
      </c>
      <c r="GSM3" t="s">
        <v>6984</v>
      </c>
      <c r="GSN3" t="s">
        <v>6984</v>
      </c>
      <c r="GSO3" t="s">
        <v>6984</v>
      </c>
      <c r="GSP3" t="s">
        <v>6984</v>
      </c>
      <c r="GSQ3" t="s">
        <v>6984</v>
      </c>
      <c r="GSR3" t="s">
        <v>6984</v>
      </c>
      <c r="GSS3" t="s">
        <v>6984</v>
      </c>
      <c r="GST3" t="s">
        <v>6984</v>
      </c>
      <c r="GSU3" t="s">
        <v>6984</v>
      </c>
      <c r="GSV3" t="s">
        <v>6984</v>
      </c>
      <c r="GSW3" t="s">
        <v>6984</v>
      </c>
      <c r="GSX3" t="s">
        <v>6984</v>
      </c>
      <c r="GSY3" t="s">
        <v>6984</v>
      </c>
      <c r="GSZ3" t="s">
        <v>6984</v>
      </c>
      <c r="GTA3" t="s">
        <v>6984</v>
      </c>
      <c r="GTB3" t="s">
        <v>6984</v>
      </c>
      <c r="GTC3" t="s">
        <v>6984</v>
      </c>
      <c r="GTD3" t="s">
        <v>6984</v>
      </c>
      <c r="GTE3" t="s">
        <v>6984</v>
      </c>
      <c r="GTF3" t="s">
        <v>6984</v>
      </c>
      <c r="GTG3" t="s">
        <v>6984</v>
      </c>
      <c r="GTH3" t="s">
        <v>6984</v>
      </c>
      <c r="GTI3" t="s">
        <v>6984</v>
      </c>
      <c r="GTJ3" t="s">
        <v>6984</v>
      </c>
      <c r="GTK3" t="s">
        <v>6984</v>
      </c>
      <c r="GTL3" t="s">
        <v>6984</v>
      </c>
      <c r="GTM3" t="s">
        <v>6984</v>
      </c>
      <c r="GTN3" t="s">
        <v>6984</v>
      </c>
      <c r="GTO3" t="s">
        <v>6984</v>
      </c>
      <c r="GTP3" t="s">
        <v>6984</v>
      </c>
      <c r="GTQ3" t="s">
        <v>6984</v>
      </c>
      <c r="GTR3" t="s">
        <v>6984</v>
      </c>
      <c r="GTS3" t="s">
        <v>6984</v>
      </c>
      <c r="GTT3" t="s">
        <v>6984</v>
      </c>
      <c r="GTU3" t="s">
        <v>6984</v>
      </c>
      <c r="GTV3" t="s">
        <v>6984</v>
      </c>
      <c r="GTW3" t="s">
        <v>6984</v>
      </c>
      <c r="GTX3" t="s">
        <v>6984</v>
      </c>
      <c r="GTY3" t="s">
        <v>6984</v>
      </c>
      <c r="GTZ3" t="s">
        <v>6984</v>
      </c>
      <c r="GUA3" t="s">
        <v>6984</v>
      </c>
      <c r="GUB3" t="s">
        <v>6984</v>
      </c>
      <c r="GUC3" t="s">
        <v>6984</v>
      </c>
      <c r="GUD3" t="s">
        <v>6984</v>
      </c>
      <c r="GUE3" t="s">
        <v>6984</v>
      </c>
      <c r="GUF3" t="s">
        <v>6984</v>
      </c>
      <c r="GUG3" t="s">
        <v>6984</v>
      </c>
      <c r="GUH3" t="s">
        <v>6984</v>
      </c>
      <c r="GUI3" t="s">
        <v>6984</v>
      </c>
      <c r="GUJ3" t="s">
        <v>6984</v>
      </c>
      <c r="GUK3" t="s">
        <v>6984</v>
      </c>
      <c r="GUL3" t="s">
        <v>6984</v>
      </c>
      <c r="GUM3" t="s">
        <v>6984</v>
      </c>
      <c r="GUN3" t="s">
        <v>6984</v>
      </c>
      <c r="GUO3" t="s">
        <v>6984</v>
      </c>
      <c r="GUP3" t="s">
        <v>6984</v>
      </c>
      <c r="GUQ3" t="s">
        <v>6984</v>
      </c>
      <c r="GUR3" t="s">
        <v>6984</v>
      </c>
      <c r="GUS3" t="s">
        <v>6984</v>
      </c>
      <c r="GUT3" t="s">
        <v>6984</v>
      </c>
      <c r="GUU3" t="s">
        <v>6984</v>
      </c>
      <c r="GUV3" t="s">
        <v>6984</v>
      </c>
      <c r="GUW3" t="s">
        <v>6984</v>
      </c>
      <c r="GUX3" t="s">
        <v>6984</v>
      </c>
      <c r="GUY3" t="s">
        <v>6984</v>
      </c>
      <c r="GUZ3" t="s">
        <v>6984</v>
      </c>
      <c r="GVA3" t="s">
        <v>6984</v>
      </c>
      <c r="GVB3" t="s">
        <v>6984</v>
      </c>
      <c r="GVC3" t="s">
        <v>6984</v>
      </c>
      <c r="GVD3" t="s">
        <v>6984</v>
      </c>
      <c r="GVE3" t="s">
        <v>6984</v>
      </c>
      <c r="GVF3" t="s">
        <v>6984</v>
      </c>
      <c r="GVG3" t="s">
        <v>6984</v>
      </c>
      <c r="GVH3" t="s">
        <v>6984</v>
      </c>
      <c r="GVI3" t="s">
        <v>6984</v>
      </c>
      <c r="GVJ3" t="s">
        <v>6984</v>
      </c>
      <c r="GVK3" t="s">
        <v>6984</v>
      </c>
      <c r="GVL3" t="s">
        <v>6984</v>
      </c>
      <c r="GVM3" t="s">
        <v>6984</v>
      </c>
      <c r="GVN3" t="s">
        <v>6984</v>
      </c>
      <c r="GVO3" t="s">
        <v>6984</v>
      </c>
      <c r="GVP3" t="s">
        <v>6984</v>
      </c>
      <c r="GVQ3" t="s">
        <v>6984</v>
      </c>
      <c r="GVR3" t="s">
        <v>6984</v>
      </c>
      <c r="GVS3" t="s">
        <v>6984</v>
      </c>
      <c r="GVT3" t="s">
        <v>6984</v>
      </c>
      <c r="GVU3" t="s">
        <v>6984</v>
      </c>
      <c r="GVV3" t="s">
        <v>6984</v>
      </c>
      <c r="GVW3" t="s">
        <v>6984</v>
      </c>
      <c r="GVX3" t="s">
        <v>6984</v>
      </c>
      <c r="GVY3" t="s">
        <v>6984</v>
      </c>
      <c r="GVZ3" t="s">
        <v>6984</v>
      </c>
      <c r="GWA3" t="s">
        <v>6984</v>
      </c>
      <c r="GWB3" t="s">
        <v>6984</v>
      </c>
      <c r="GWC3" t="s">
        <v>6984</v>
      </c>
      <c r="GWD3" t="s">
        <v>6984</v>
      </c>
      <c r="GWE3" t="s">
        <v>6984</v>
      </c>
      <c r="GWF3" t="s">
        <v>6984</v>
      </c>
      <c r="GWG3" t="s">
        <v>6984</v>
      </c>
      <c r="GWH3" t="s">
        <v>6984</v>
      </c>
      <c r="GWI3" t="s">
        <v>6984</v>
      </c>
      <c r="GWJ3" t="s">
        <v>6984</v>
      </c>
      <c r="GWK3" t="s">
        <v>6984</v>
      </c>
      <c r="GWL3" t="s">
        <v>6984</v>
      </c>
      <c r="GWM3" t="s">
        <v>6984</v>
      </c>
      <c r="GWN3" t="s">
        <v>6984</v>
      </c>
      <c r="GWO3" t="s">
        <v>6984</v>
      </c>
      <c r="GWP3" t="s">
        <v>6984</v>
      </c>
      <c r="GWQ3" t="s">
        <v>6984</v>
      </c>
      <c r="GWR3" t="s">
        <v>6984</v>
      </c>
      <c r="GWS3" t="s">
        <v>6984</v>
      </c>
      <c r="GWT3" t="s">
        <v>6984</v>
      </c>
      <c r="GWU3" t="s">
        <v>6984</v>
      </c>
      <c r="GWV3" t="s">
        <v>6984</v>
      </c>
      <c r="GWW3" t="s">
        <v>6984</v>
      </c>
      <c r="GWX3" t="s">
        <v>6984</v>
      </c>
      <c r="GWY3" t="s">
        <v>6984</v>
      </c>
      <c r="GWZ3" t="s">
        <v>6984</v>
      </c>
      <c r="GXA3" t="s">
        <v>6984</v>
      </c>
      <c r="GXB3" t="s">
        <v>6984</v>
      </c>
      <c r="GXC3" t="s">
        <v>6984</v>
      </c>
      <c r="GXD3" t="s">
        <v>6984</v>
      </c>
      <c r="GXE3" t="s">
        <v>6984</v>
      </c>
      <c r="GXF3" t="s">
        <v>6984</v>
      </c>
      <c r="GXG3" t="s">
        <v>6984</v>
      </c>
      <c r="GXH3" t="s">
        <v>6984</v>
      </c>
      <c r="GXI3" t="s">
        <v>6984</v>
      </c>
      <c r="GXJ3" t="s">
        <v>6984</v>
      </c>
      <c r="GXK3" t="s">
        <v>6984</v>
      </c>
      <c r="GXL3" t="s">
        <v>6984</v>
      </c>
      <c r="GXM3" t="s">
        <v>6984</v>
      </c>
      <c r="GXN3" t="s">
        <v>6984</v>
      </c>
      <c r="GXO3" t="s">
        <v>6984</v>
      </c>
      <c r="GXP3" t="s">
        <v>6984</v>
      </c>
      <c r="GXQ3" t="s">
        <v>6984</v>
      </c>
      <c r="GXR3" t="s">
        <v>6984</v>
      </c>
      <c r="GXS3" t="s">
        <v>6984</v>
      </c>
      <c r="GXT3" t="s">
        <v>6984</v>
      </c>
      <c r="GXU3" t="s">
        <v>6984</v>
      </c>
      <c r="GXV3" t="s">
        <v>6984</v>
      </c>
      <c r="GXW3" t="s">
        <v>6984</v>
      </c>
      <c r="GXX3" t="s">
        <v>6984</v>
      </c>
      <c r="GXY3" t="s">
        <v>6984</v>
      </c>
      <c r="GXZ3" t="s">
        <v>6984</v>
      </c>
      <c r="GYA3" t="s">
        <v>6984</v>
      </c>
      <c r="GYB3" t="s">
        <v>6984</v>
      </c>
      <c r="GYC3" t="s">
        <v>6984</v>
      </c>
      <c r="GYD3" t="s">
        <v>6984</v>
      </c>
      <c r="GYE3" t="s">
        <v>6984</v>
      </c>
      <c r="GYF3" t="s">
        <v>6984</v>
      </c>
      <c r="GYG3" t="s">
        <v>6984</v>
      </c>
      <c r="GYH3" t="s">
        <v>6984</v>
      </c>
      <c r="GYI3" t="s">
        <v>6984</v>
      </c>
      <c r="GYJ3" t="s">
        <v>6984</v>
      </c>
      <c r="GYK3" t="s">
        <v>6984</v>
      </c>
      <c r="GYL3" t="s">
        <v>6984</v>
      </c>
      <c r="GYM3" t="s">
        <v>6984</v>
      </c>
      <c r="GYN3" t="s">
        <v>6984</v>
      </c>
      <c r="GYO3" t="s">
        <v>6984</v>
      </c>
      <c r="GYP3" t="s">
        <v>6984</v>
      </c>
      <c r="GYQ3" t="s">
        <v>6984</v>
      </c>
      <c r="GYR3" t="s">
        <v>6984</v>
      </c>
      <c r="GYS3" t="s">
        <v>6984</v>
      </c>
      <c r="GYT3" t="s">
        <v>6984</v>
      </c>
      <c r="GYU3" t="s">
        <v>6984</v>
      </c>
      <c r="GYV3" t="s">
        <v>6984</v>
      </c>
      <c r="GYW3" t="s">
        <v>6984</v>
      </c>
      <c r="GYX3" t="s">
        <v>6984</v>
      </c>
      <c r="GYY3" t="s">
        <v>6984</v>
      </c>
      <c r="GYZ3" t="s">
        <v>6984</v>
      </c>
      <c r="GZA3" t="s">
        <v>6984</v>
      </c>
      <c r="GZB3" t="s">
        <v>6984</v>
      </c>
      <c r="GZC3" t="s">
        <v>6984</v>
      </c>
      <c r="GZD3" t="s">
        <v>6984</v>
      </c>
      <c r="GZE3" t="s">
        <v>6984</v>
      </c>
      <c r="GZF3" t="s">
        <v>6984</v>
      </c>
      <c r="GZG3" t="s">
        <v>6984</v>
      </c>
      <c r="GZH3" t="s">
        <v>6984</v>
      </c>
      <c r="GZI3" t="s">
        <v>6984</v>
      </c>
      <c r="GZJ3" t="s">
        <v>6984</v>
      </c>
      <c r="GZK3" t="s">
        <v>6984</v>
      </c>
      <c r="GZL3" t="s">
        <v>6984</v>
      </c>
      <c r="GZM3" t="s">
        <v>6984</v>
      </c>
      <c r="GZN3" t="s">
        <v>6984</v>
      </c>
      <c r="GZO3" t="s">
        <v>6984</v>
      </c>
      <c r="GZP3" t="s">
        <v>6984</v>
      </c>
      <c r="GZQ3" t="s">
        <v>6984</v>
      </c>
      <c r="GZR3" t="s">
        <v>6984</v>
      </c>
      <c r="GZS3" t="s">
        <v>6984</v>
      </c>
      <c r="GZT3" t="s">
        <v>6984</v>
      </c>
      <c r="GZU3" t="s">
        <v>6984</v>
      </c>
      <c r="GZV3" t="s">
        <v>6984</v>
      </c>
      <c r="GZW3" t="s">
        <v>6984</v>
      </c>
      <c r="GZX3" t="s">
        <v>6984</v>
      </c>
      <c r="GZY3" t="s">
        <v>6984</v>
      </c>
      <c r="GZZ3" t="s">
        <v>6984</v>
      </c>
      <c r="HAA3" t="s">
        <v>6984</v>
      </c>
      <c r="HAB3" t="s">
        <v>6984</v>
      </c>
      <c r="HAC3" t="s">
        <v>6984</v>
      </c>
      <c r="HAD3" t="s">
        <v>6984</v>
      </c>
      <c r="HAE3" t="s">
        <v>6984</v>
      </c>
      <c r="HAF3" t="s">
        <v>6984</v>
      </c>
      <c r="HAG3" t="s">
        <v>6984</v>
      </c>
      <c r="HAH3" t="s">
        <v>6984</v>
      </c>
      <c r="HAI3" t="s">
        <v>6984</v>
      </c>
      <c r="HAJ3" t="s">
        <v>6984</v>
      </c>
      <c r="HAK3" t="s">
        <v>6984</v>
      </c>
      <c r="HAL3" t="s">
        <v>6984</v>
      </c>
      <c r="HAM3" t="s">
        <v>6984</v>
      </c>
      <c r="HAN3" t="s">
        <v>6984</v>
      </c>
      <c r="HAO3" t="s">
        <v>6984</v>
      </c>
      <c r="HAP3" t="s">
        <v>6984</v>
      </c>
      <c r="HAQ3" t="s">
        <v>6984</v>
      </c>
      <c r="HAR3" t="s">
        <v>6984</v>
      </c>
      <c r="HAS3" t="s">
        <v>6984</v>
      </c>
      <c r="HAT3" t="s">
        <v>6984</v>
      </c>
      <c r="HAU3" t="s">
        <v>6984</v>
      </c>
      <c r="HAV3" t="s">
        <v>6984</v>
      </c>
      <c r="HAW3" t="s">
        <v>6984</v>
      </c>
      <c r="HAX3" t="s">
        <v>6984</v>
      </c>
      <c r="HAY3" t="s">
        <v>6984</v>
      </c>
      <c r="HAZ3" t="s">
        <v>6984</v>
      </c>
      <c r="HBA3" t="s">
        <v>6984</v>
      </c>
      <c r="HBB3" t="s">
        <v>6984</v>
      </c>
      <c r="HBC3" t="s">
        <v>6984</v>
      </c>
      <c r="HBD3" t="s">
        <v>6984</v>
      </c>
      <c r="HBE3" t="s">
        <v>6984</v>
      </c>
      <c r="HBF3" t="s">
        <v>6984</v>
      </c>
      <c r="HBG3" t="s">
        <v>6984</v>
      </c>
      <c r="HBH3" t="s">
        <v>6984</v>
      </c>
      <c r="HBI3" t="s">
        <v>6984</v>
      </c>
      <c r="HBJ3" t="s">
        <v>6984</v>
      </c>
      <c r="HBK3" t="s">
        <v>6984</v>
      </c>
      <c r="HBL3" t="s">
        <v>6984</v>
      </c>
      <c r="HBM3" t="s">
        <v>6984</v>
      </c>
      <c r="HBN3" t="s">
        <v>6984</v>
      </c>
      <c r="HBO3" t="s">
        <v>6984</v>
      </c>
      <c r="HBP3" t="s">
        <v>6984</v>
      </c>
      <c r="HBQ3" t="s">
        <v>6984</v>
      </c>
      <c r="HBR3" t="s">
        <v>6984</v>
      </c>
      <c r="HBS3" t="s">
        <v>6984</v>
      </c>
      <c r="HBT3" t="s">
        <v>6984</v>
      </c>
      <c r="HBU3" t="s">
        <v>6984</v>
      </c>
      <c r="HBV3" t="s">
        <v>6984</v>
      </c>
      <c r="HBW3" t="s">
        <v>6984</v>
      </c>
      <c r="HBX3" t="s">
        <v>6984</v>
      </c>
      <c r="HBY3" t="s">
        <v>6984</v>
      </c>
      <c r="HBZ3" t="s">
        <v>6984</v>
      </c>
      <c r="HCA3" t="s">
        <v>6984</v>
      </c>
      <c r="HCB3" t="s">
        <v>6984</v>
      </c>
      <c r="HCC3" t="s">
        <v>6984</v>
      </c>
      <c r="HCD3" t="s">
        <v>6984</v>
      </c>
      <c r="HCE3" t="s">
        <v>6984</v>
      </c>
      <c r="HCF3" t="s">
        <v>6984</v>
      </c>
      <c r="HCG3" t="s">
        <v>6984</v>
      </c>
      <c r="HCH3" t="s">
        <v>6984</v>
      </c>
      <c r="HCI3" t="s">
        <v>6984</v>
      </c>
      <c r="HCJ3" t="s">
        <v>6984</v>
      </c>
      <c r="HCK3" t="s">
        <v>6984</v>
      </c>
      <c r="HCL3" t="s">
        <v>6984</v>
      </c>
      <c r="HCM3" t="s">
        <v>6984</v>
      </c>
      <c r="HCN3" t="s">
        <v>6984</v>
      </c>
      <c r="HCO3" t="s">
        <v>6984</v>
      </c>
      <c r="HCP3" t="s">
        <v>6984</v>
      </c>
      <c r="HCQ3" t="s">
        <v>6984</v>
      </c>
      <c r="HCR3" t="s">
        <v>6984</v>
      </c>
      <c r="HCS3" t="s">
        <v>6984</v>
      </c>
      <c r="HCT3" t="s">
        <v>6984</v>
      </c>
      <c r="HCU3" t="s">
        <v>6984</v>
      </c>
      <c r="HCV3" t="s">
        <v>6984</v>
      </c>
      <c r="HCW3" t="s">
        <v>6984</v>
      </c>
      <c r="HCX3" t="s">
        <v>6984</v>
      </c>
      <c r="HCY3" t="s">
        <v>6984</v>
      </c>
      <c r="HCZ3" t="s">
        <v>6984</v>
      </c>
      <c r="HDA3" t="s">
        <v>6984</v>
      </c>
      <c r="HDB3" t="s">
        <v>6984</v>
      </c>
      <c r="HDC3" t="s">
        <v>6984</v>
      </c>
      <c r="HDD3" t="s">
        <v>6984</v>
      </c>
      <c r="HDE3" t="s">
        <v>6984</v>
      </c>
      <c r="HDF3" t="s">
        <v>6984</v>
      </c>
      <c r="HDG3" t="s">
        <v>6984</v>
      </c>
      <c r="HDH3" t="s">
        <v>6984</v>
      </c>
      <c r="HDI3" t="s">
        <v>6984</v>
      </c>
      <c r="HDJ3" t="s">
        <v>6984</v>
      </c>
      <c r="HDK3" t="s">
        <v>6984</v>
      </c>
      <c r="HDL3" t="s">
        <v>6984</v>
      </c>
      <c r="HDM3" t="s">
        <v>6984</v>
      </c>
      <c r="HDN3" t="s">
        <v>6984</v>
      </c>
      <c r="HDO3" t="s">
        <v>6984</v>
      </c>
      <c r="HDP3" t="s">
        <v>6984</v>
      </c>
      <c r="HDQ3" t="s">
        <v>6984</v>
      </c>
      <c r="HDR3" t="s">
        <v>6984</v>
      </c>
      <c r="HDS3" t="s">
        <v>6984</v>
      </c>
      <c r="HDT3" t="s">
        <v>6984</v>
      </c>
      <c r="HDU3" t="s">
        <v>6984</v>
      </c>
      <c r="HDV3" t="s">
        <v>6984</v>
      </c>
      <c r="HDW3" t="s">
        <v>6984</v>
      </c>
      <c r="HDX3" t="s">
        <v>6984</v>
      </c>
      <c r="HDY3" t="s">
        <v>6984</v>
      </c>
      <c r="HDZ3" t="s">
        <v>6984</v>
      </c>
      <c r="HEA3" t="s">
        <v>6984</v>
      </c>
      <c r="HEB3" t="s">
        <v>6984</v>
      </c>
      <c r="HEC3" t="s">
        <v>6984</v>
      </c>
      <c r="HED3" t="s">
        <v>6984</v>
      </c>
      <c r="HEE3" t="s">
        <v>6984</v>
      </c>
      <c r="HEF3" t="s">
        <v>6984</v>
      </c>
      <c r="HEG3" t="s">
        <v>6984</v>
      </c>
      <c r="HEH3" t="s">
        <v>6984</v>
      </c>
      <c r="HEI3" t="s">
        <v>6984</v>
      </c>
      <c r="HEJ3" t="s">
        <v>6984</v>
      </c>
      <c r="HEK3" t="s">
        <v>6984</v>
      </c>
      <c r="HEL3" t="s">
        <v>6984</v>
      </c>
      <c r="HEM3" t="s">
        <v>6984</v>
      </c>
      <c r="HEN3" t="s">
        <v>6984</v>
      </c>
      <c r="HEO3" t="s">
        <v>6984</v>
      </c>
      <c r="HEP3" t="s">
        <v>6984</v>
      </c>
      <c r="HEQ3" t="s">
        <v>6984</v>
      </c>
      <c r="HER3" t="s">
        <v>6984</v>
      </c>
      <c r="HES3" t="s">
        <v>6984</v>
      </c>
      <c r="HET3" t="s">
        <v>6984</v>
      </c>
      <c r="HEU3" t="s">
        <v>6984</v>
      </c>
      <c r="HEV3" t="s">
        <v>6984</v>
      </c>
      <c r="HEW3" t="s">
        <v>6984</v>
      </c>
      <c r="HEX3" t="s">
        <v>6984</v>
      </c>
      <c r="HEY3" t="s">
        <v>6984</v>
      </c>
      <c r="HEZ3" t="s">
        <v>6984</v>
      </c>
      <c r="HFA3" t="s">
        <v>6984</v>
      </c>
      <c r="HFB3" t="s">
        <v>6984</v>
      </c>
      <c r="HFC3" t="s">
        <v>6984</v>
      </c>
      <c r="HFD3" t="s">
        <v>6984</v>
      </c>
      <c r="HFE3" t="s">
        <v>6984</v>
      </c>
      <c r="HFF3" t="s">
        <v>6984</v>
      </c>
      <c r="HFG3" t="s">
        <v>6984</v>
      </c>
      <c r="HFH3" t="s">
        <v>6984</v>
      </c>
      <c r="HFI3" t="s">
        <v>6984</v>
      </c>
      <c r="HFJ3" t="s">
        <v>6984</v>
      </c>
      <c r="HFK3" t="s">
        <v>6984</v>
      </c>
      <c r="HFL3" t="s">
        <v>6984</v>
      </c>
      <c r="HFM3" t="s">
        <v>6984</v>
      </c>
      <c r="HFN3" t="s">
        <v>6984</v>
      </c>
      <c r="HFO3" t="s">
        <v>6984</v>
      </c>
      <c r="HFP3" t="s">
        <v>6984</v>
      </c>
      <c r="HFQ3" t="s">
        <v>6984</v>
      </c>
      <c r="HFR3" t="s">
        <v>6984</v>
      </c>
      <c r="HFS3" t="s">
        <v>6984</v>
      </c>
      <c r="HFT3" t="s">
        <v>6984</v>
      </c>
      <c r="HFU3" t="s">
        <v>6984</v>
      </c>
      <c r="HFV3" t="s">
        <v>6984</v>
      </c>
      <c r="HFW3" t="s">
        <v>6984</v>
      </c>
      <c r="HFX3" t="s">
        <v>6984</v>
      </c>
      <c r="HFY3" t="s">
        <v>6984</v>
      </c>
      <c r="HFZ3" t="s">
        <v>6984</v>
      </c>
      <c r="HGA3" t="s">
        <v>6984</v>
      </c>
      <c r="HGB3" t="s">
        <v>6984</v>
      </c>
      <c r="HGC3" t="s">
        <v>6984</v>
      </c>
      <c r="HGD3" t="s">
        <v>6984</v>
      </c>
      <c r="HGE3" t="s">
        <v>6984</v>
      </c>
      <c r="HGF3" t="s">
        <v>6984</v>
      </c>
      <c r="HGG3" t="s">
        <v>6984</v>
      </c>
      <c r="HGH3" t="s">
        <v>6984</v>
      </c>
      <c r="HGI3" t="s">
        <v>6984</v>
      </c>
      <c r="HGJ3" t="s">
        <v>6984</v>
      </c>
      <c r="HGK3" t="s">
        <v>6984</v>
      </c>
      <c r="HGL3" t="s">
        <v>6984</v>
      </c>
      <c r="HGM3" t="s">
        <v>6984</v>
      </c>
      <c r="HGN3" t="s">
        <v>6984</v>
      </c>
      <c r="HGO3" t="s">
        <v>6984</v>
      </c>
      <c r="HGP3" t="s">
        <v>6984</v>
      </c>
      <c r="HGQ3" t="s">
        <v>6984</v>
      </c>
      <c r="HGR3" t="s">
        <v>6984</v>
      </c>
      <c r="HGS3" t="s">
        <v>6984</v>
      </c>
      <c r="HGT3" t="s">
        <v>6984</v>
      </c>
      <c r="HGU3" t="s">
        <v>6984</v>
      </c>
      <c r="HGV3" t="s">
        <v>6984</v>
      </c>
      <c r="HGW3" t="s">
        <v>6984</v>
      </c>
      <c r="HGX3" t="s">
        <v>6984</v>
      </c>
      <c r="HGY3" t="s">
        <v>6984</v>
      </c>
      <c r="HGZ3" t="s">
        <v>6984</v>
      </c>
      <c r="HHA3" t="s">
        <v>6984</v>
      </c>
      <c r="HHB3" t="s">
        <v>6984</v>
      </c>
      <c r="HHC3" t="s">
        <v>6984</v>
      </c>
      <c r="HHD3" t="s">
        <v>6984</v>
      </c>
      <c r="HHE3" t="s">
        <v>6984</v>
      </c>
      <c r="HHF3" t="s">
        <v>6984</v>
      </c>
      <c r="HHG3" t="s">
        <v>6984</v>
      </c>
      <c r="HHH3" t="s">
        <v>6984</v>
      </c>
      <c r="HHI3" t="s">
        <v>6984</v>
      </c>
      <c r="HHJ3" t="s">
        <v>6984</v>
      </c>
      <c r="HHK3" t="s">
        <v>6984</v>
      </c>
      <c r="HHL3" t="s">
        <v>6984</v>
      </c>
      <c r="HHM3" t="s">
        <v>6984</v>
      </c>
      <c r="HHN3" t="s">
        <v>6984</v>
      </c>
      <c r="HHO3" t="s">
        <v>6984</v>
      </c>
      <c r="HHP3" t="s">
        <v>6984</v>
      </c>
      <c r="HHQ3" t="s">
        <v>6984</v>
      </c>
      <c r="HHR3" t="s">
        <v>6984</v>
      </c>
      <c r="HHS3" t="s">
        <v>6984</v>
      </c>
      <c r="HHT3" t="s">
        <v>6984</v>
      </c>
      <c r="HHU3" t="s">
        <v>6984</v>
      </c>
      <c r="HHV3" t="s">
        <v>6984</v>
      </c>
      <c r="HHW3" t="s">
        <v>6984</v>
      </c>
      <c r="HHX3" t="s">
        <v>6984</v>
      </c>
      <c r="HHY3" t="s">
        <v>6984</v>
      </c>
      <c r="HHZ3" t="s">
        <v>6984</v>
      </c>
      <c r="HIA3" t="s">
        <v>6984</v>
      </c>
      <c r="HIB3" t="s">
        <v>6984</v>
      </c>
      <c r="HIC3" t="s">
        <v>6984</v>
      </c>
      <c r="HID3" t="s">
        <v>6984</v>
      </c>
      <c r="HIE3" t="s">
        <v>6984</v>
      </c>
      <c r="HIF3" t="s">
        <v>6984</v>
      </c>
      <c r="HIG3" t="s">
        <v>6984</v>
      </c>
      <c r="HIH3" t="s">
        <v>6984</v>
      </c>
      <c r="HII3" t="s">
        <v>6984</v>
      </c>
      <c r="HIJ3" t="s">
        <v>6984</v>
      </c>
      <c r="HIK3" t="s">
        <v>6984</v>
      </c>
      <c r="HIL3" t="s">
        <v>6984</v>
      </c>
      <c r="HIM3" t="s">
        <v>6984</v>
      </c>
      <c r="HIN3" t="s">
        <v>6984</v>
      </c>
      <c r="HIO3" t="s">
        <v>6984</v>
      </c>
      <c r="HIP3" t="s">
        <v>6984</v>
      </c>
      <c r="HIQ3" t="s">
        <v>6984</v>
      </c>
      <c r="HIR3" t="s">
        <v>6984</v>
      </c>
      <c r="HIS3" t="s">
        <v>6984</v>
      </c>
      <c r="HIT3" t="s">
        <v>6984</v>
      </c>
      <c r="HIU3" t="s">
        <v>6984</v>
      </c>
      <c r="HIV3" t="s">
        <v>6984</v>
      </c>
      <c r="HIW3" t="s">
        <v>6984</v>
      </c>
      <c r="HIX3" t="s">
        <v>6984</v>
      </c>
      <c r="HIY3" t="s">
        <v>6984</v>
      </c>
      <c r="HIZ3" t="s">
        <v>6984</v>
      </c>
      <c r="HJA3" t="s">
        <v>6984</v>
      </c>
      <c r="HJB3" t="s">
        <v>6984</v>
      </c>
      <c r="HJC3" t="s">
        <v>6984</v>
      </c>
      <c r="HJD3" t="s">
        <v>6984</v>
      </c>
      <c r="HJE3" t="s">
        <v>6984</v>
      </c>
      <c r="HJF3" t="s">
        <v>6984</v>
      </c>
      <c r="HJG3" t="s">
        <v>6984</v>
      </c>
      <c r="HJH3" t="s">
        <v>6984</v>
      </c>
      <c r="HJI3" t="s">
        <v>6984</v>
      </c>
      <c r="HJJ3" t="s">
        <v>6984</v>
      </c>
      <c r="HJK3" t="s">
        <v>6984</v>
      </c>
      <c r="HJL3" t="s">
        <v>6984</v>
      </c>
      <c r="HJM3" t="s">
        <v>6984</v>
      </c>
      <c r="HJN3" t="s">
        <v>6984</v>
      </c>
      <c r="HJO3" t="s">
        <v>6984</v>
      </c>
      <c r="HJP3" t="s">
        <v>6984</v>
      </c>
      <c r="HJQ3" t="s">
        <v>6984</v>
      </c>
      <c r="HJR3" t="s">
        <v>6984</v>
      </c>
      <c r="HJS3" t="s">
        <v>6984</v>
      </c>
      <c r="HJT3" t="s">
        <v>6984</v>
      </c>
      <c r="HJU3" t="s">
        <v>6984</v>
      </c>
      <c r="HJV3" t="s">
        <v>6984</v>
      </c>
      <c r="HJW3" t="s">
        <v>6984</v>
      </c>
      <c r="HJX3" t="s">
        <v>6984</v>
      </c>
      <c r="HJY3" t="s">
        <v>6984</v>
      </c>
      <c r="HJZ3" t="s">
        <v>6984</v>
      </c>
      <c r="HKA3" t="s">
        <v>6984</v>
      </c>
      <c r="HKB3" t="s">
        <v>6984</v>
      </c>
      <c r="HKC3" t="s">
        <v>6984</v>
      </c>
      <c r="HKD3" t="s">
        <v>6984</v>
      </c>
      <c r="HKE3" t="s">
        <v>6984</v>
      </c>
      <c r="HKF3" t="s">
        <v>6984</v>
      </c>
      <c r="HKG3" t="s">
        <v>6984</v>
      </c>
      <c r="HKH3" t="s">
        <v>6984</v>
      </c>
      <c r="HKI3" t="s">
        <v>6984</v>
      </c>
      <c r="HKJ3" t="s">
        <v>6984</v>
      </c>
      <c r="HKK3" t="s">
        <v>6984</v>
      </c>
      <c r="HKL3" t="s">
        <v>6984</v>
      </c>
      <c r="HKM3" t="s">
        <v>6984</v>
      </c>
      <c r="HKN3" t="s">
        <v>6984</v>
      </c>
      <c r="HKO3" t="s">
        <v>6984</v>
      </c>
      <c r="HKP3" t="s">
        <v>6984</v>
      </c>
      <c r="HKQ3" t="s">
        <v>6984</v>
      </c>
      <c r="HKR3" t="s">
        <v>6984</v>
      </c>
      <c r="HKS3" t="s">
        <v>6984</v>
      </c>
      <c r="HKT3" t="s">
        <v>6984</v>
      </c>
      <c r="HKU3" t="s">
        <v>6984</v>
      </c>
      <c r="HKV3" t="s">
        <v>6984</v>
      </c>
      <c r="HKW3" t="s">
        <v>6984</v>
      </c>
      <c r="HKX3" t="s">
        <v>6984</v>
      </c>
      <c r="HKY3" t="s">
        <v>6984</v>
      </c>
      <c r="HKZ3" t="s">
        <v>6984</v>
      </c>
      <c r="HLA3" t="s">
        <v>6984</v>
      </c>
      <c r="HLB3" t="s">
        <v>6984</v>
      </c>
      <c r="HLC3" t="s">
        <v>6984</v>
      </c>
      <c r="HLD3" t="s">
        <v>6984</v>
      </c>
      <c r="HLE3" t="s">
        <v>6984</v>
      </c>
      <c r="HLF3" t="s">
        <v>6984</v>
      </c>
      <c r="HLG3" t="s">
        <v>6984</v>
      </c>
      <c r="HLH3" t="s">
        <v>6984</v>
      </c>
      <c r="HLI3" t="s">
        <v>6984</v>
      </c>
      <c r="HLJ3" t="s">
        <v>6984</v>
      </c>
      <c r="HLK3" t="s">
        <v>6984</v>
      </c>
      <c r="HLL3" t="s">
        <v>6984</v>
      </c>
      <c r="HLM3" t="s">
        <v>6984</v>
      </c>
      <c r="HLN3" t="s">
        <v>6984</v>
      </c>
      <c r="HLO3" t="s">
        <v>6984</v>
      </c>
      <c r="HLP3" t="s">
        <v>6984</v>
      </c>
      <c r="HLQ3" t="s">
        <v>6984</v>
      </c>
      <c r="HLR3" t="s">
        <v>6984</v>
      </c>
      <c r="HLS3" t="s">
        <v>6984</v>
      </c>
      <c r="HLT3" t="s">
        <v>6984</v>
      </c>
      <c r="HLU3" t="s">
        <v>6984</v>
      </c>
      <c r="HLV3" t="s">
        <v>6984</v>
      </c>
      <c r="HLW3" t="s">
        <v>6984</v>
      </c>
      <c r="HLX3" t="s">
        <v>6984</v>
      </c>
      <c r="HLY3" t="s">
        <v>6984</v>
      </c>
      <c r="HLZ3" t="s">
        <v>6984</v>
      </c>
      <c r="HMA3" t="s">
        <v>6984</v>
      </c>
      <c r="HMB3" t="s">
        <v>6984</v>
      </c>
      <c r="HMC3" t="s">
        <v>6984</v>
      </c>
      <c r="HMD3" t="s">
        <v>6984</v>
      </c>
      <c r="HME3" t="s">
        <v>6984</v>
      </c>
      <c r="HMF3" t="s">
        <v>6984</v>
      </c>
      <c r="HMG3" t="s">
        <v>6984</v>
      </c>
      <c r="HMH3" t="s">
        <v>6984</v>
      </c>
      <c r="HMI3" t="s">
        <v>6984</v>
      </c>
      <c r="HMJ3" t="s">
        <v>6984</v>
      </c>
      <c r="HMK3" t="s">
        <v>6984</v>
      </c>
      <c r="HML3" t="s">
        <v>6984</v>
      </c>
      <c r="HMM3" t="s">
        <v>6984</v>
      </c>
      <c r="HMN3" t="s">
        <v>6984</v>
      </c>
      <c r="HMO3" t="s">
        <v>6984</v>
      </c>
      <c r="HMP3" t="s">
        <v>6984</v>
      </c>
      <c r="HMQ3" t="s">
        <v>6984</v>
      </c>
      <c r="HMR3" t="s">
        <v>6984</v>
      </c>
      <c r="HMS3" t="s">
        <v>6984</v>
      </c>
      <c r="HMT3" t="s">
        <v>6984</v>
      </c>
      <c r="HMU3" t="s">
        <v>6984</v>
      </c>
      <c r="HMV3" t="s">
        <v>6984</v>
      </c>
      <c r="HMW3" t="s">
        <v>6984</v>
      </c>
      <c r="HMX3" t="s">
        <v>6984</v>
      </c>
      <c r="HMY3" t="s">
        <v>6984</v>
      </c>
      <c r="HMZ3" t="s">
        <v>6984</v>
      </c>
      <c r="HNA3" t="s">
        <v>6984</v>
      </c>
      <c r="HNB3" t="s">
        <v>6984</v>
      </c>
      <c r="HNC3" t="s">
        <v>6984</v>
      </c>
      <c r="HND3" t="s">
        <v>6984</v>
      </c>
      <c r="HNE3" t="s">
        <v>6984</v>
      </c>
      <c r="HNF3" t="s">
        <v>6984</v>
      </c>
      <c r="HNG3" t="s">
        <v>6984</v>
      </c>
      <c r="HNH3" t="s">
        <v>6984</v>
      </c>
      <c r="HNI3" t="s">
        <v>6984</v>
      </c>
      <c r="HNJ3" t="s">
        <v>6984</v>
      </c>
      <c r="HNK3" t="s">
        <v>6984</v>
      </c>
      <c r="HNL3" t="s">
        <v>6984</v>
      </c>
      <c r="HNM3" t="s">
        <v>6984</v>
      </c>
      <c r="HNN3" t="s">
        <v>6984</v>
      </c>
      <c r="HNO3" t="s">
        <v>6984</v>
      </c>
      <c r="HNP3" t="s">
        <v>6984</v>
      </c>
      <c r="HNQ3" t="s">
        <v>6984</v>
      </c>
      <c r="HNR3" t="s">
        <v>6984</v>
      </c>
      <c r="HNS3" t="s">
        <v>6984</v>
      </c>
      <c r="HNT3" t="s">
        <v>6984</v>
      </c>
      <c r="HNU3" t="s">
        <v>6984</v>
      </c>
      <c r="HNV3" t="s">
        <v>6984</v>
      </c>
      <c r="HNW3" t="s">
        <v>6984</v>
      </c>
      <c r="HNX3" t="s">
        <v>6984</v>
      </c>
      <c r="HNY3" t="s">
        <v>6984</v>
      </c>
      <c r="HNZ3" t="s">
        <v>6984</v>
      </c>
      <c r="HOA3" t="s">
        <v>6984</v>
      </c>
      <c r="HOB3" t="s">
        <v>6984</v>
      </c>
      <c r="HOC3" t="s">
        <v>6984</v>
      </c>
      <c r="HOD3" t="s">
        <v>6984</v>
      </c>
      <c r="HOE3" t="s">
        <v>6984</v>
      </c>
      <c r="HOF3" t="s">
        <v>6984</v>
      </c>
      <c r="HOG3" t="s">
        <v>6984</v>
      </c>
      <c r="HOH3" t="s">
        <v>6984</v>
      </c>
      <c r="HOI3" t="s">
        <v>6984</v>
      </c>
      <c r="HOJ3" t="s">
        <v>6984</v>
      </c>
      <c r="HOK3" t="s">
        <v>6984</v>
      </c>
      <c r="HOL3" t="s">
        <v>6984</v>
      </c>
      <c r="HOM3" t="s">
        <v>6984</v>
      </c>
      <c r="HON3" t="s">
        <v>6984</v>
      </c>
      <c r="HOO3" t="s">
        <v>6984</v>
      </c>
      <c r="HOP3" t="s">
        <v>6984</v>
      </c>
      <c r="HOQ3" t="s">
        <v>6984</v>
      </c>
      <c r="HOR3" t="s">
        <v>6984</v>
      </c>
      <c r="HOS3" t="s">
        <v>6984</v>
      </c>
      <c r="HOT3" t="s">
        <v>6984</v>
      </c>
      <c r="HOU3" t="s">
        <v>6984</v>
      </c>
      <c r="HOV3" t="s">
        <v>6984</v>
      </c>
      <c r="HOW3" t="s">
        <v>6984</v>
      </c>
      <c r="HOX3" t="s">
        <v>6984</v>
      </c>
      <c r="HOY3" t="s">
        <v>6984</v>
      </c>
      <c r="HOZ3" t="s">
        <v>6984</v>
      </c>
      <c r="HPA3" t="s">
        <v>6984</v>
      </c>
      <c r="HPB3" t="s">
        <v>6984</v>
      </c>
      <c r="HPC3" t="s">
        <v>6984</v>
      </c>
      <c r="HPD3" t="s">
        <v>6984</v>
      </c>
      <c r="HPE3" t="s">
        <v>6984</v>
      </c>
      <c r="HPF3" t="s">
        <v>6984</v>
      </c>
      <c r="HPG3" t="s">
        <v>6984</v>
      </c>
      <c r="HPH3" t="s">
        <v>6984</v>
      </c>
      <c r="HPI3" t="s">
        <v>6984</v>
      </c>
      <c r="HPJ3" t="s">
        <v>6984</v>
      </c>
      <c r="HPK3" t="s">
        <v>6984</v>
      </c>
      <c r="HPL3" t="s">
        <v>6984</v>
      </c>
      <c r="HPM3" t="s">
        <v>6984</v>
      </c>
      <c r="HPN3" t="s">
        <v>6984</v>
      </c>
      <c r="HPO3" t="s">
        <v>6984</v>
      </c>
      <c r="HPP3" t="s">
        <v>6984</v>
      </c>
      <c r="HPQ3" t="s">
        <v>6984</v>
      </c>
      <c r="HPR3" t="s">
        <v>6984</v>
      </c>
      <c r="HPS3" t="s">
        <v>6984</v>
      </c>
      <c r="HPT3" t="s">
        <v>6984</v>
      </c>
      <c r="HPU3" t="s">
        <v>6984</v>
      </c>
      <c r="HPV3" t="s">
        <v>6984</v>
      </c>
      <c r="HPW3" t="s">
        <v>6984</v>
      </c>
      <c r="HPX3" t="s">
        <v>6984</v>
      </c>
      <c r="HPY3" t="s">
        <v>6984</v>
      </c>
      <c r="HPZ3" t="s">
        <v>6984</v>
      </c>
      <c r="HQA3" t="s">
        <v>6984</v>
      </c>
      <c r="HQB3" t="s">
        <v>6984</v>
      </c>
      <c r="HQC3" t="s">
        <v>6984</v>
      </c>
      <c r="HQD3" t="s">
        <v>6984</v>
      </c>
      <c r="HQE3" t="s">
        <v>6984</v>
      </c>
      <c r="HQF3" t="s">
        <v>6984</v>
      </c>
      <c r="HQG3" t="s">
        <v>6984</v>
      </c>
      <c r="HQH3" t="s">
        <v>6984</v>
      </c>
      <c r="HQI3" t="s">
        <v>6984</v>
      </c>
      <c r="HQJ3" t="s">
        <v>6984</v>
      </c>
      <c r="HQK3" t="s">
        <v>6984</v>
      </c>
      <c r="HQL3" t="s">
        <v>6984</v>
      </c>
      <c r="HQM3" t="s">
        <v>6984</v>
      </c>
      <c r="HQN3" t="s">
        <v>6984</v>
      </c>
      <c r="HQO3" t="s">
        <v>6984</v>
      </c>
      <c r="HQP3" t="s">
        <v>6984</v>
      </c>
      <c r="HQQ3" t="s">
        <v>6984</v>
      </c>
      <c r="HQR3" t="s">
        <v>6984</v>
      </c>
      <c r="HQS3" t="s">
        <v>6984</v>
      </c>
      <c r="HQT3" t="s">
        <v>6984</v>
      </c>
      <c r="HQU3" t="s">
        <v>6984</v>
      </c>
      <c r="HQV3" t="s">
        <v>6984</v>
      </c>
      <c r="HQW3" t="s">
        <v>6984</v>
      </c>
      <c r="HQX3" t="s">
        <v>6984</v>
      </c>
      <c r="HQY3" t="s">
        <v>6984</v>
      </c>
      <c r="HQZ3" t="s">
        <v>6984</v>
      </c>
      <c r="HRA3" t="s">
        <v>6984</v>
      </c>
      <c r="HRB3" t="s">
        <v>6984</v>
      </c>
      <c r="HRC3" t="s">
        <v>6984</v>
      </c>
      <c r="HRD3" t="s">
        <v>6984</v>
      </c>
      <c r="HRE3" t="s">
        <v>6984</v>
      </c>
      <c r="HRF3" t="s">
        <v>6984</v>
      </c>
      <c r="HRG3" t="s">
        <v>6984</v>
      </c>
      <c r="HRH3" t="s">
        <v>6984</v>
      </c>
      <c r="HRI3" t="s">
        <v>6984</v>
      </c>
      <c r="HRJ3" t="s">
        <v>6984</v>
      </c>
      <c r="HRK3" t="s">
        <v>6984</v>
      </c>
      <c r="HRL3" t="s">
        <v>6984</v>
      </c>
      <c r="HRM3" t="s">
        <v>6984</v>
      </c>
      <c r="HRN3" t="s">
        <v>6984</v>
      </c>
      <c r="HRO3" t="s">
        <v>6984</v>
      </c>
      <c r="HRP3" t="s">
        <v>6984</v>
      </c>
      <c r="HRQ3" t="s">
        <v>6984</v>
      </c>
      <c r="HRR3" t="s">
        <v>6984</v>
      </c>
      <c r="HRS3" t="s">
        <v>6984</v>
      </c>
      <c r="HRT3" t="s">
        <v>6984</v>
      </c>
      <c r="HRU3" t="s">
        <v>6984</v>
      </c>
      <c r="HRV3" t="s">
        <v>6984</v>
      </c>
      <c r="HRW3" t="s">
        <v>6984</v>
      </c>
      <c r="HRX3" t="s">
        <v>6984</v>
      </c>
      <c r="HRY3" t="s">
        <v>6984</v>
      </c>
      <c r="HRZ3" t="s">
        <v>6984</v>
      </c>
      <c r="HSA3" t="s">
        <v>6984</v>
      </c>
      <c r="HSB3" t="s">
        <v>6984</v>
      </c>
      <c r="HSC3" t="s">
        <v>6984</v>
      </c>
      <c r="HSD3" t="s">
        <v>6984</v>
      </c>
      <c r="HSE3" t="s">
        <v>6984</v>
      </c>
      <c r="HSF3" t="s">
        <v>6984</v>
      </c>
      <c r="HSG3" t="s">
        <v>6984</v>
      </c>
      <c r="HSH3" t="s">
        <v>6984</v>
      </c>
      <c r="HSI3" t="s">
        <v>6984</v>
      </c>
      <c r="HSJ3" t="s">
        <v>6984</v>
      </c>
      <c r="HSK3" t="s">
        <v>6984</v>
      </c>
      <c r="HSL3" t="s">
        <v>6984</v>
      </c>
      <c r="HSM3" t="s">
        <v>6984</v>
      </c>
      <c r="HSN3" t="s">
        <v>6984</v>
      </c>
      <c r="HSO3" t="s">
        <v>6984</v>
      </c>
      <c r="HSP3" t="s">
        <v>6984</v>
      </c>
      <c r="HSQ3" t="s">
        <v>6984</v>
      </c>
      <c r="HSR3" t="s">
        <v>6984</v>
      </c>
      <c r="HSS3" t="s">
        <v>6984</v>
      </c>
      <c r="HST3" t="s">
        <v>6984</v>
      </c>
      <c r="HSU3" t="s">
        <v>6984</v>
      </c>
      <c r="HSV3" t="s">
        <v>6984</v>
      </c>
      <c r="HSW3" t="s">
        <v>6984</v>
      </c>
      <c r="HSX3" t="s">
        <v>6984</v>
      </c>
      <c r="HSY3" t="s">
        <v>6984</v>
      </c>
      <c r="HSZ3" t="s">
        <v>6984</v>
      </c>
      <c r="HTA3" t="s">
        <v>6984</v>
      </c>
      <c r="HTB3" t="s">
        <v>6984</v>
      </c>
      <c r="HTC3" t="s">
        <v>6984</v>
      </c>
      <c r="HTD3" t="s">
        <v>6984</v>
      </c>
      <c r="HTE3" t="s">
        <v>6984</v>
      </c>
      <c r="HTF3" t="s">
        <v>6984</v>
      </c>
      <c r="HTG3" t="s">
        <v>6984</v>
      </c>
      <c r="HTH3" t="s">
        <v>6984</v>
      </c>
      <c r="HTI3" t="s">
        <v>6984</v>
      </c>
      <c r="HTJ3" t="s">
        <v>6984</v>
      </c>
      <c r="HTK3" t="s">
        <v>6984</v>
      </c>
      <c r="HTL3" t="s">
        <v>6984</v>
      </c>
      <c r="HTM3" t="s">
        <v>6984</v>
      </c>
      <c r="HTN3" t="s">
        <v>6984</v>
      </c>
      <c r="HTO3" t="s">
        <v>6984</v>
      </c>
      <c r="HTP3" t="s">
        <v>6984</v>
      </c>
      <c r="HTQ3" t="s">
        <v>6984</v>
      </c>
      <c r="HTR3" t="s">
        <v>6984</v>
      </c>
      <c r="HTS3" t="s">
        <v>6984</v>
      </c>
      <c r="HTT3" t="s">
        <v>6984</v>
      </c>
      <c r="HTU3" t="s">
        <v>6984</v>
      </c>
      <c r="HTV3" t="s">
        <v>6984</v>
      </c>
      <c r="HTW3" t="s">
        <v>6984</v>
      </c>
      <c r="HTX3" t="s">
        <v>6984</v>
      </c>
      <c r="HTY3" t="s">
        <v>6984</v>
      </c>
      <c r="HTZ3" t="s">
        <v>6984</v>
      </c>
      <c r="HUA3" t="s">
        <v>6984</v>
      </c>
      <c r="HUB3" t="s">
        <v>6984</v>
      </c>
      <c r="HUC3" t="s">
        <v>6984</v>
      </c>
      <c r="HUD3" t="s">
        <v>6984</v>
      </c>
      <c r="HUE3" t="s">
        <v>6984</v>
      </c>
      <c r="HUF3" t="s">
        <v>6984</v>
      </c>
      <c r="HUG3" t="s">
        <v>6984</v>
      </c>
      <c r="HUH3" t="s">
        <v>6984</v>
      </c>
      <c r="HUI3" t="s">
        <v>6984</v>
      </c>
      <c r="HUJ3" t="s">
        <v>6984</v>
      </c>
      <c r="HUK3" t="s">
        <v>6984</v>
      </c>
      <c r="HUL3" t="s">
        <v>6984</v>
      </c>
      <c r="HUM3" t="s">
        <v>6984</v>
      </c>
      <c r="HUN3" t="s">
        <v>6984</v>
      </c>
      <c r="HUO3" t="s">
        <v>6984</v>
      </c>
      <c r="HUP3" t="s">
        <v>6984</v>
      </c>
      <c r="HUQ3" t="s">
        <v>6984</v>
      </c>
      <c r="HUR3" t="s">
        <v>6984</v>
      </c>
      <c r="HUS3" t="s">
        <v>6984</v>
      </c>
      <c r="HUT3" t="s">
        <v>6984</v>
      </c>
      <c r="HUU3" t="s">
        <v>6984</v>
      </c>
      <c r="HUV3" t="s">
        <v>6984</v>
      </c>
      <c r="HUW3" t="s">
        <v>6984</v>
      </c>
      <c r="HUX3" t="s">
        <v>6984</v>
      </c>
      <c r="HUY3" t="s">
        <v>6984</v>
      </c>
      <c r="HUZ3" t="s">
        <v>6984</v>
      </c>
      <c r="HVA3" t="s">
        <v>6984</v>
      </c>
      <c r="HVB3" t="s">
        <v>6984</v>
      </c>
      <c r="HVC3" t="s">
        <v>6984</v>
      </c>
      <c r="HVD3" t="s">
        <v>6984</v>
      </c>
      <c r="HVE3" t="s">
        <v>6984</v>
      </c>
      <c r="HVF3" t="s">
        <v>6984</v>
      </c>
      <c r="HVG3" t="s">
        <v>6984</v>
      </c>
      <c r="HVH3" t="s">
        <v>6984</v>
      </c>
      <c r="HVI3" t="s">
        <v>6984</v>
      </c>
      <c r="HVJ3" t="s">
        <v>6984</v>
      </c>
      <c r="HVK3" t="s">
        <v>6984</v>
      </c>
      <c r="HVL3" t="s">
        <v>6984</v>
      </c>
      <c r="HVM3" t="s">
        <v>6984</v>
      </c>
      <c r="HVN3" t="s">
        <v>6984</v>
      </c>
      <c r="HVO3" t="s">
        <v>6984</v>
      </c>
      <c r="HVP3" t="s">
        <v>6984</v>
      </c>
      <c r="HVQ3" t="s">
        <v>6984</v>
      </c>
      <c r="HVR3" t="s">
        <v>6984</v>
      </c>
      <c r="HVS3" t="s">
        <v>6984</v>
      </c>
      <c r="HVT3" t="s">
        <v>6984</v>
      </c>
      <c r="HVU3" t="s">
        <v>6984</v>
      </c>
      <c r="HVV3" t="s">
        <v>6984</v>
      </c>
      <c r="HVW3" t="s">
        <v>6984</v>
      </c>
      <c r="HVX3" t="s">
        <v>6984</v>
      </c>
      <c r="HVY3" t="s">
        <v>6984</v>
      </c>
      <c r="HVZ3" t="s">
        <v>6984</v>
      </c>
      <c r="HWA3" t="s">
        <v>6984</v>
      </c>
      <c r="HWB3" t="s">
        <v>6984</v>
      </c>
      <c r="HWC3" t="s">
        <v>6984</v>
      </c>
      <c r="HWD3" t="s">
        <v>6984</v>
      </c>
      <c r="HWE3" t="s">
        <v>6984</v>
      </c>
      <c r="HWF3" t="s">
        <v>6984</v>
      </c>
      <c r="HWG3" t="s">
        <v>6984</v>
      </c>
      <c r="HWH3" t="s">
        <v>6984</v>
      </c>
      <c r="HWI3" t="s">
        <v>6984</v>
      </c>
      <c r="HWJ3" t="s">
        <v>6984</v>
      </c>
      <c r="HWK3" t="s">
        <v>6984</v>
      </c>
      <c r="HWL3" t="s">
        <v>6984</v>
      </c>
      <c r="HWM3" t="s">
        <v>6984</v>
      </c>
      <c r="HWN3" t="s">
        <v>6984</v>
      </c>
      <c r="HWO3" t="s">
        <v>6984</v>
      </c>
      <c r="HWP3" t="s">
        <v>6984</v>
      </c>
      <c r="HWQ3" t="s">
        <v>6984</v>
      </c>
      <c r="HWR3" t="s">
        <v>6984</v>
      </c>
      <c r="HWS3" t="s">
        <v>6984</v>
      </c>
      <c r="HWT3" t="s">
        <v>6984</v>
      </c>
      <c r="HWU3" t="s">
        <v>6984</v>
      </c>
      <c r="HWV3" t="s">
        <v>6984</v>
      </c>
      <c r="HWW3" t="s">
        <v>6984</v>
      </c>
      <c r="HWX3" t="s">
        <v>6984</v>
      </c>
      <c r="HWY3" t="s">
        <v>6984</v>
      </c>
      <c r="HWZ3" t="s">
        <v>6984</v>
      </c>
      <c r="HXA3" t="s">
        <v>6984</v>
      </c>
      <c r="HXB3" t="s">
        <v>6984</v>
      </c>
      <c r="HXC3" t="s">
        <v>6984</v>
      </c>
      <c r="HXD3" t="s">
        <v>6984</v>
      </c>
      <c r="HXE3" t="s">
        <v>6984</v>
      </c>
      <c r="HXF3" t="s">
        <v>6984</v>
      </c>
      <c r="HXG3" t="s">
        <v>6984</v>
      </c>
      <c r="HXH3" t="s">
        <v>6984</v>
      </c>
      <c r="HXI3" t="s">
        <v>6984</v>
      </c>
      <c r="HXJ3" t="s">
        <v>6984</v>
      </c>
      <c r="HXK3" t="s">
        <v>6984</v>
      </c>
      <c r="HXL3" t="s">
        <v>6984</v>
      </c>
      <c r="HXM3" t="s">
        <v>6984</v>
      </c>
      <c r="HXN3" t="s">
        <v>6984</v>
      </c>
      <c r="HXO3" t="s">
        <v>6984</v>
      </c>
      <c r="HXP3" t="s">
        <v>6984</v>
      </c>
      <c r="HXQ3" t="s">
        <v>6984</v>
      </c>
      <c r="HXR3" t="s">
        <v>6984</v>
      </c>
      <c r="HXS3" t="s">
        <v>6984</v>
      </c>
      <c r="HXT3" t="s">
        <v>6984</v>
      </c>
      <c r="HXU3" t="s">
        <v>6984</v>
      </c>
      <c r="HXV3" t="s">
        <v>6984</v>
      </c>
      <c r="HXW3" t="s">
        <v>6984</v>
      </c>
      <c r="HXX3" t="s">
        <v>6984</v>
      </c>
      <c r="HXY3" t="s">
        <v>6984</v>
      </c>
      <c r="HXZ3" t="s">
        <v>6984</v>
      </c>
      <c r="HYA3" t="s">
        <v>6984</v>
      </c>
      <c r="HYB3" t="s">
        <v>6984</v>
      </c>
      <c r="HYC3" t="s">
        <v>6984</v>
      </c>
      <c r="HYD3" t="s">
        <v>6984</v>
      </c>
      <c r="HYE3" t="s">
        <v>6984</v>
      </c>
      <c r="HYF3" t="s">
        <v>6984</v>
      </c>
      <c r="HYG3" t="s">
        <v>6984</v>
      </c>
      <c r="HYH3" t="s">
        <v>6984</v>
      </c>
      <c r="HYI3" t="s">
        <v>6984</v>
      </c>
      <c r="HYJ3" t="s">
        <v>6984</v>
      </c>
      <c r="HYK3" t="s">
        <v>6984</v>
      </c>
      <c r="HYL3" t="s">
        <v>6984</v>
      </c>
      <c r="HYM3" t="s">
        <v>6984</v>
      </c>
      <c r="HYN3" t="s">
        <v>6984</v>
      </c>
      <c r="HYO3" t="s">
        <v>6984</v>
      </c>
      <c r="HYP3" t="s">
        <v>6984</v>
      </c>
      <c r="HYQ3" t="s">
        <v>6984</v>
      </c>
      <c r="HYR3" t="s">
        <v>6984</v>
      </c>
      <c r="HYS3" t="s">
        <v>6984</v>
      </c>
      <c r="HYT3" t="s">
        <v>6984</v>
      </c>
      <c r="HYU3" t="s">
        <v>6984</v>
      </c>
      <c r="HYV3" t="s">
        <v>6984</v>
      </c>
      <c r="HYW3" t="s">
        <v>6984</v>
      </c>
      <c r="HYX3" t="s">
        <v>6984</v>
      </c>
      <c r="HYY3" t="s">
        <v>6984</v>
      </c>
      <c r="HYZ3" t="s">
        <v>6984</v>
      </c>
      <c r="HZA3" t="s">
        <v>6984</v>
      </c>
      <c r="HZB3" t="s">
        <v>6984</v>
      </c>
      <c r="HZC3" t="s">
        <v>6984</v>
      </c>
      <c r="HZD3" t="s">
        <v>6984</v>
      </c>
      <c r="HZE3" t="s">
        <v>6984</v>
      </c>
      <c r="HZF3" t="s">
        <v>6984</v>
      </c>
      <c r="HZG3" t="s">
        <v>6984</v>
      </c>
      <c r="HZH3" t="s">
        <v>6984</v>
      </c>
      <c r="HZI3" t="s">
        <v>6984</v>
      </c>
      <c r="HZJ3" t="s">
        <v>6984</v>
      </c>
      <c r="HZK3" t="s">
        <v>6984</v>
      </c>
      <c r="HZL3" t="s">
        <v>6984</v>
      </c>
      <c r="HZM3" t="s">
        <v>6984</v>
      </c>
      <c r="HZN3" t="s">
        <v>6984</v>
      </c>
      <c r="HZO3" t="s">
        <v>6984</v>
      </c>
      <c r="HZP3" t="s">
        <v>6984</v>
      </c>
      <c r="HZQ3" t="s">
        <v>6984</v>
      </c>
      <c r="HZR3" t="s">
        <v>6984</v>
      </c>
      <c r="HZS3" t="s">
        <v>6984</v>
      </c>
      <c r="HZT3" t="s">
        <v>6984</v>
      </c>
      <c r="HZU3" t="s">
        <v>6984</v>
      </c>
      <c r="HZV3" t="s">
        <v>6984</v>
      </c>
      <c r="HZW3" t="s">
        <v>6984</v>
      </c>
      <c r="HZX3" t="s">
        <v>6984</v>
      </c>
      <c r="HZY3" t="s">
        <v>6984</v>
      </c>
      <c r="HZZ3" t="s">
        <v>6984</v>
      </c>
      <c r="IAA3" t="s">
        <v>6984</v>
      </c>
      <c r="IAB3" t="s">
        <v>6984</v>
      </c>
      <c r="IAC3" t="s">
        <v>6984</v>
      </c>
      <c r="IAD3" t="s">
        <v>6984</v>
      </c>
      <c r="IAE3" t="s">
        <v>6984</v>
      </c>
      <c r="IAF3" t="s">
        <v>6984</v>
      </c>
      <c r="IAG3" t="s">
        <v>6984</v>
      </c>
      <c r="IAH3" t="s">
        <v>6984</v>
      </c>
      <c r="IAI3" t="s">
        <v>6984</v>
      </c>
      <c r="IAJ3" t="s">
        <v>6984</v>
      </c>
      <c r="IAK3" t="s">
        <v>6984</v>
      </c>
      <c r="IAL3" t="s">
        <v>6984</v>
      </c>
      <c r="IAM3" t="s">
        <v>6984</v>
      </c>
      <c r="IAN3" t="s">
        <v>6984</v>
      </c>
      <c r="IAO3" t="s">
        <v>6984</v>
      </c>
      <c r="IAP3" t="s">
        <v>6984</v>
      </c>
      <c r="IAQ3" t="s">
        <v>6984</v>
      </c>
      <c r="IAR3" t="s">
        <v>6984</v>
      </c>
      <c r="IAS3" t="s">
        <v>6984</v>
      </c>
      <c r="IAT3" t="s">
        <v>6984</v>
      </c>
      <c r="IAU3" t="s">
        <v>6984</v>
      </c>
      <c r="IAV3" t="s">
        <v>6984</v>
      </c>
      <c r="IAW3" t="s">
        <v>6984</v>
      </c>
      <c r="IAX3" t="s">
        <v>6984</v>
      </c>
      <c r="IAY3" t="s">
        <v>6984</v>
      </c>
      <c r="IAZ3" t="s">
        <v>6984</v>
      </c>
      <c r="IBA3" t="s">
        <v>6984</v>
      </c>
      <c r="IBB3" t="s">
        <v>6984</v>
      </c>
      <c r="IBC3" t="s">
        <v>6984</v>
      </c>
      <c r="IBD3" t="s">
        <v>6984</v>
      </c>
      <c r="IBE3" t="s">
        <v>6984</v>
      </c>
      <c r="IBF3" t="s">
        <v>6984</v>
      </c>
      <c r="IBG3" t="s">
        <v>6984</v>
      </c>
      <c r="IBH3" t="s">
        <v>6984</v>
      </c>
      <c r="IBI3" t="s">
        <v>6984</v>
      </c>
      <c r="IBJ3" t="s">
        <v>6984</v>
      </c>
      <c r="IBK3" t="s">
        <v>6984</v>
      </c>
      <c r="IBL3" t="s">
        <v>6984</v>
      </c>
      <c r="IBM3" t="s">
        <v>6984</v>
      </c>
      <c r="IBN3" t="s">
        <v>6984</v>
      </c>
      <c r="IBO3" t="s">
        <v>6984</v>
      </c>
      <c r="IBP3" t="s">
        <v>6984</v>
      </c>
      <c r="IBQ3" t="s">
        <v>6984</v>
      </c>
      <c r="IBR3" t="s">
        <v>6984</v>
      </c>
      <c r="IBS3" t="s">
        <v>6984</v>
      </c>
      <c r="IBT3" t="s">
        <v>6984</v>
      </c>
      <c r="IBU3" t="s">
        <v>6984</v>
      </c>
      <c r="IBV3" t="s">
        <v>6984</v>
      </c>
      <c r="IBW3" t="s">
        <v>6984</v>
      </c>
      <c r="IBX3" t="s">
        <v>6984</v>
      </c>
      <c r="IBY3" t="s">
        <v>6984</v>
      </c>
      <c r="IBZ3" t="s">
        <v>6984</v>
      </c>
      <c r="ICA3" t="s">
        <v>6984</v>
      </c>
      <c r="ICB3" t="s">
        <v>6984</v>
      </c>
      <c r="ICC3" t="s">
        <v>6984</v>
      </c>
      <c r="ICD3" t="s">
        <v>6984</v>
      </c>
      <c r="ICE3" t="s">
        <v>6984</v>
      </c>
      <c r="ICF3" t="s">
        <v>6984</v>
      </c>
      <c r="ICG3" t="s">
        <v>6984</v>
      </c>
      <c r="ICH3" t="s">
        <v>6984</v>
      </c>
      <c r="ICI3" t="s">
        <v>6984</v>
      </c>
      <c r="ICJ3" t="s">
        <v>6984</v>
      </c>
      <c r="ICK3" t="s">
        <v>6984</v>
      </c>
      <c r="ICL3" t="s">
        <v>6984</v>
      </c>
      <c r="ICM3" t="s">
        <v>6984</v>
      </c>
      <c r="ICN3" t="s">
        <v>6984</v>
      </c>
      <c r="ICO3" t="s">
        <v>6984</v>
      </c>
      <c r="ICP3" t="s">
        <v>6984</v>
      </c>
      <c r="ICQ3" t="s">
        <v>6984</v>
      </c>
      <c r="ICR3" t="s">
        <v>6984</v>
      </c>
      <c r="ICS3" t="s">
        <v>6984</v>
      </c>
      <c r="ICT3" t="s">
        <v>6984</v>
      </c>
      <c r="ICU3" t="s">
        <v>6984</v>
      </c>
      <c r="ICV3" t="s">
        <v>6984</v>
      </c>
      <c r="ICW3" t="s">
        <v>6984</v>
      </c>
      <c r="ICX3" t="s">
        <v>6984</v>
      </c>
      <c r="ICY3" t="s">
        <v>6984</v>
      </c>
      <c r="ICZ3" t="s">
        <v>6984</v>
      </c>
      <c r="IDA3" t="s">
        <v>6984</v>
      </c>
      <c r="IDB3" t="s">
        <v>6984</v>
      </c>
      <c r="IDC3" t="s">
        <v>6984</v>
      </c>
      <c r="IDD3" t="s">
        <v>6984</v>
      </c>
      <c r="IDE3" t="s">
        <v>6984</v>
      </c>
      <c r="IDF3" t="s">
        <v>6984</v>
      </c>
      <c r="IDG3" t="s">
        <v>6984</v>
      </c>
      <c r="IDH3" t="s">
        <v>6984</v>
      </c>
      <c r="IDI3" t="s">
        <v>6984</v>
      </c>
      <c r="IDJ3" t="s">
        <v>6984</v>
      </c>
      <c r="IDK3" t="s">
        <v>6984</v>
      </c>
      <c r="IDL3" t="s">
        <v>6984</v>
      </c>
      <c r="IDM3" t="s">
        <v>6984</v>
      </c>
      <c r="IDN3" t="s">
        <v>6984</v>
      </c>
      <c r="IDO3" t="s">
        <v>6984</v>
      </c>
      <c r="IDP3" t="s">
        <v>6984</v>
      </c>
      <c r="IDQ3" t="s">
        <v>6984</v>
      </c>
      <c r="IDR3" t="s">
        <v>6984</v>
      </c>
      <c r="IDS3" t="s">
        <v>6984</v>
      </c>
      <c r="IDT3" t="s">
        <v>6984</v>
      </c>
      <c r="IDU3" t="s">
        <v>6984</v>
      </c>
      <c r="IDV3" t="s">
        <v>6984</v>
      </c>
      <c r="IDW3" t="s">
        <v>6984</v>
      </c>
      <c r="IDX3" t="s">
        <v>6984</v>
      </c>
      <c r="IDY3" t="s">
        <v>6984</v>
      </c>
      <c r="IDZ3" t="s">
        <v>6984</v>
      </c>
      <c r="IEA3" t="s">
        <v>6984</v>
      </c>
      <c r="IEB3" t="s">
        <v>6984</v>
      </c>
      <c r="IEC3" t="s">
        <v>6984</v>
      </c>
      <c r="IED3" t="s">
        <v>6984</v>
      </c>
      <c r="IEE3" t="s">
        <v>6984</v>
      </c>
      <c r="IEF3" t="s">
        <v>6984</v>
      </c>
      <c r="IEG3" t="s">
        <v>6984</v>
      </c>
      <c r="IEH3" t="s">
        <v>6984</v>
      </c>
      <c r="IEI3" t="s">
        <v>6984</v>
      </c>
      <c r="IEJ3" t="s">
        <v>6984</v>
      </c>
      <c r="IEK3" t="s">
        <v>6984</v>
      </c>
      <c r="IEL3" t="s">
        <v>6984</v>
      </c>
      <c r="IEM3" t="s">
        <v>6984</v>
      </c>
      <c r="IEN3" t="s">
        <v>6984</v>
      </c>
      <c r="IEO3" t="s">
        <v>6984</v>
      </c>
      <c r="IEP3" t="s">
        <v>6984</v>
      </c>
      <c r="IEQ3" t="s">
        <v>6984</v>
      </c>
      <c r="IER3" t="s">
        <v>6984</v>
      </c>
      <c r="IES3" t="s">
        <v>6984</v>
      </c>
      <c r="IET3" t="s">
        <v>6984</v>
      </c>
      <c r="IEU3" t="s">
        <v>6984</v>
      </c>
      <c r="IEV3" t="s">
        <v>6984</v>
      </c>
      <c r="IEW3" t="s">
        <v>6984</v>
      </c>
      <c r="IEX3" t="s">
        <v>6984</v>
      </c>
      <c r="IEY3" t="s">
        <v>6984</v>
      </c>
      <c r="IEZ3" t="s">
        <v>6984</v>
      </c>
      <c r="IFA3" t="s">
        <v>6984</v>
      </c>
      <c r="IFB3" t="s">
        <v>6984</v>
      </c>
      <c r="IFC3" t="s">
        <v>6984</v>
      </c>
      <c r="IFD3" t="s">
        <v>6984</v>
      </c>
      <c r="IFE3" t="s">
        <v>6984</v>
      </c>
      <c r="IFF3" t="s">
        <v>6984</v>
      </c>
      <c r="IFG3" t="s">
        <v>6984</v>
      </c>
      <c r="IFH3" t="s">
        <v>6984</v>
      </c>
      <c r="IFI3" t="s">
        <v>6984</v>
      </c>
      <c r="IFJ3" t="s">
        <v>6984</v>
      </c>
      <c r="IFK3" t="s">
        <v>6984</v>
      </c>
      <c r="IFL3" t="s">
        <v>6984</v>
      </c>
      <c r="IFM3" t="s">
        <v>6984</v>
      </c>
      <c r="IFN3" t="s">
        <v>6984</v>
      </c>
      <c r="IFO3" t="s">
        <v>6984</v>
      </c>
      <c r="IFP3" t="s">
        <v>6984</v>
      </c>
      <c r="IFQ3" t="s">
        <v>6984</v>
      </c>
      <c r="IFR3" t="s">
        <v>6984</v>
      </c>
      <c r="IFS3" t="s">
        <v>6984</v>
      </c>
      <c r="IFT3" t="s">
        <v>6984</v>
      </c>
      <c r="IFU3" t="s">
        <v>6984</v>
      </c>
      <c r="IFV3" t="s">
        <v>6984</v>
      </c>
      <c r="IFW3" t="s">
        <v>6984</v>
      </c>
      <c r="IFX3" t="s">
        <v>6984</v>
      </c>
      <c r="IFY3" t="s">
        <v>6984</v>
      </c>
      <c r="IFZ3" t="s">
        <v>6984</v>
      </c>
      <c r="IGA3" t="s">
        <v>6984</v>
      </c>
      <c r="IGB3" t="s">
        <v>6984</v>
      </c>
      <c r="IGC3" t="s">
        <v>6984</v>
      </c>
      <c r="IGD3" t="s">
        <v>6984</v>
      </c>
      <c r="IGE3" t="s">
        <v>6984</v>
      </c>
      <c r="IGF3" t="s">
        <v>6984</v>
      </c>
      <c r="IGG3" t="s">
        <v>6984</v>
      </c>
      <c r="IGH3" t="s">
        <v>6984</v>
      </c>
      <c r="IGI3" t="s">
        <v>6984</v>
      </c>
      <c r="IGJ3" t="s">
        <v>6984</v>
      </c>
      <c r="IGK3" t="s">
        <v>6984</v>
      </c>
      <c r="IGL3" t="s">
        <v>6984</v>
      </c>
      <c r="IGM3" t="s">
        <v>6984</v>
      </c>
      <c r="IGN3" t="s">
        <v>6984</v>
      </c>
      <c r="IGO3" t="s">
        <v>6984</v>
      </c>
      <c r="IGP3" t="s">
        <v>6984</v>
      </c>
      <c r="IGQ3" t="s">
        <v>6984</v>
      </c>
      <c r="IGR3" t="s">
        <v>6984</v>
      </c>
      <c r="IGS3" t="s">
        <v>6984</v>
      </c>
      <c r="IGT3" t="s">
        <v>6984</v>
      </c>
      <c r="IGU3" t="s">
        <v>6984</v>
      </c>
      <c r="IGV3" t="s">
        <v>6984</v>
      </c>
      <c r="IGW3" t="s">
        <v>6984</v>
      </c>
      <c r="IGX3" t="s">
        <v>6984</v>
      </c>
      <c r="IGY3" t="s">
        <v>6984</v>
      </c>
      <c r="IGZ3" t="s">
        <v>6984</v>
      </c>
      <c r="IHA3" t="s">
        <v>6984</v>
      </c>
      <c r="IHB3" t="s">
        <v>6984</v>
      </c>
      <c r="IHC3" t="s">
        <v>6984</v>
      </c>
      <c r="IHD3" t="s">
        <v>6984</v>
      </c>
      <c r="IHE3" t="s">
        <v>6984</v>
      </c>
      <c r="IHF3" t="s">
        <v>6984</v>
      </c>
      <c r="IHG3" t="s">
        <v>6984</v>
      </c>
      <c r="IHH3" t="s">
        <v>6984</v>
      </c>
      <c r="IHI3" t="s">
        <v>6984</v>
      </c>
      <c r="IHJ3" t="s">
        <v>6984</v>
      </c>
      <c r="IHK3" t="s">
        <v>6984</v>
      </c>
      <c r="IHL3" t="s">
        <v>6984</v>
      </c>
      <c r="IHM3" t="s">
        <v>6984</v>
      </c>
      <c r="IHN3" t="s">
        <v>6984</v>
      </c>
      <c r="IHO3" t="s">
        <v>6984</v>
      </c>
      <c r="IHP3" t="s">
        <v>6984</v>
      </c>
      <c r="IHQ3" t="s">
        <v>6984</v>
      </c>
      <c r="IHR3" t="s">
        <v>6984</v>
      </c>
      <c r="IHS3" t="s">
        <v>6984</v>
      </c>
      <c r="IHT3" t="s">
        <v>6984</v>
      </c>
      <c r="IHU3" t="s">
        <v>6984</v>
      </c>
      <c r="IHV3" t="s">
        <v>6984</v>
      </c>
      <c r="IHW3" t="s">
        <v>6984</v>
      </c>
      <c r="IHX3" t="s">
        <v>6984</v>
      </c>
      <c r="IHY3" t="s">
        <v>6984</v>
      </c>
      <c r="IHZ3" t="s">
        <v>6984</v>
      </c>
      <c r="IIA3" t="s">
        <v>6984</v>
      </c>
      <c r="IIB3" t="s">
        <v>6984</v>
      </c>
      <c r="IIC3" t="s">
        <v>6984</v>
      </c>
      <c r="IID3" t="s">
        <v>6984</v>
      </c>
      <c r="IIE3" t="s">
        <v>6984</v>
      </c>
      <c r="IIF3" t="s">
        <v>6984</v>
      </c>
      <c r="IIG3" t="s">
        <v>6984</v>
      </c>
      <c r="IIH3" t="s">
        <v>6984</v>
      </c>
      <c r="III3" t="s">
        <v>6984</v>
      </c>
      <c r="IIJ3" t="s">
        <v>6984</v>
      </c>
      <c r="IIK3" t="s">
        <v>6984</v>
      </c>
      <c r="IIL3" t="s">
        <v>6984</v>
      </c>
      <c r="IIM3" t="s">
        <v>6984</v>
      </c>
      <c r="IIN3" t="s">
        <v>6984</v>
      </c>
      <c r="IIO3" t="s">
        <v>6984</v>
      </c>
      <c r="IIP3" t="s">
        <v>6984</v>
      </c>
      <c r="IIQ3" t="s">
        <v>6984</v>
      </c>
      <c r="IIR3" t="s">
        <v>6984</v>
      </c>
      <c r="IIS3" t="s">
        <v>6984</v>
      </c>
      <c r="IIT3" t="s">
        <v>6984</v>
      </c>
      <c r="IIU3" t="s">
        <v>6984</v>
      </c>
      <c r="IIV3" t="s">
        <v>6984</v>
      </c>
      <c r="IIW3" t="s">
        <v>6984</v>
      </c>
      <c r="IIX3" t="s">
        <v>6984</v>
      </c>
      <c r="IIY3" t="s">
        <v>6984</v>
      </c>
      <c r="IIZ3" t="s">
        <v>6984</v>
      </c>
      <c r="IJA3" t="s">
        <v>6984</v>
      </c>
      <c r="IJB3" t="s">
        <v>6984</v>
      </c>
      <c r="IJC3" t="s">
        <v>6984</v>
      </c>
      <c r="IJD3" t="s">
        <v>6984</v>
      </c>
      <c r="IJE3" t="s">
        <v>6984</v>
      </c>
      <c r="IJF3" t="s">
        <v>6984</v>
      </c>
      <c r="IJG3" t="s">
        <v>6984</v>
      </c>
      <c r="IJH3" t="s">
        <v>6984</v>
      </c>
      <c r="IJI3" t="s">
        <v>6984</v>
      </c>
      <c r="IJJ3" t="s">
        <v>6984</v>
      </c>
      <c r="IJK3" t="s">
        <v>6984</v>
      </c>
      <c r="IJL3" t="s">
        <v>6984</v>
      </c>
      <c r="IJM3" t="s">
        <v>6984</v>
      </c>
      <c r="IJN3" t="s">
        <v>6984</v>
      </c>
      <c r="IJO3" t="s">
        <v>6984</v>
      </c>
      <c r="IJP3" t="s">
        <v>6984</v>
      </c>
      <c r="IJQ3" t="s">
        <v>6984</v>
      </c>
      <c r="IJR3" t="s">
        <v>6984</v>
      </c>
      <c r="IJS3" t="s">
        <v>6984</v>
      </c>
      <c r="IJT3" t="s">
        <v>6984</v>
      </c>
      <c r="IJU3" t="s">
        <v>6984</v>
      </c>
      <c r="IJV3" t="s">
        <v>6984</v>
      </c>
      <c r="IJW3" t="s">
        <v>6984</v>
      </c>
      <c r="IJX3" t="s">
        <v>6984</v>
      </c>
      <c r="IJY3" t="s">
        <v>6984</v>
      </c>
      <c r="IJZ3" t="s">
        <v>6984</v>
      </c>
      <c r="IKA3" t="s">
        <v>6984</v>
      </c>
      <c r="IKB3" t="s">
        <v>6984</v>
      </c>
      <c r="IKC3" t="s">
        <v>6984</v>
      </c>
      <c r="IKD3" t="s">
        <v>6984</v>
      </c>
      <c r="IKE3" t="s">
        <v>6984</v>
      </c>
      <c r="IKF3" t="s">
        <v>6984</v>
      </c>
      <c r="IKG3" t="s">
        <v>6984</v>
      </c>
      <c r="IKH3" t="s">
        <v>6984</v>
      </c>
      <c r="IKI3" t="s">
        <v>6984</v>
      </c>
      <c r="IKJ3" t="s">
        <v>6984</v>
      </c>
      <c r="IKK3" t="s">
        <v>6984</v>
      </c>
      <c r="IKL3" t="s">
        <v>6984</v>
      </c>
      <c r="IKM3" t="s">
        <v>6984</v>
      </c>
      <c r="IKN3" t="s">
        <v>6984</v>
      </c>
      <c r="IKO3" t="s">
        <v>6984</v>
      </c>
      <c r="IKP3" t="s">
        <v>6984</v>
      </c>
      <c r="IKQ3" t="s">
        <v>6984</v>
      </c>
      <c r="IKR3" t="s">
        <v>6984</v>
      </c>
      <c r="IKS3" t="s">
        <v>6984</v>
      </c>
      <c r="IKT3" t="s">
        <v>6984</v>
      </c>
      <c r="IKU3" t="s">
        <v>6984</v>
      </c>
      <c r="IKV3" t="s">
        <v>6984</v>
      </c>
      <c r="IKW3" t="s">
        <v>6984</v>
      </c>
      <c r="IKX3" t="s">
        <v>6984</v>
      </c>
      <c r="IKY3" t="s">
        <v>6984</v>
      </c>
      <c r="IKZ3" t="s">
        <v>6984</v>
      </c>
      <c r="ILA3" t="s">
        <v>6984</v>
      </c>
      <c r="ILB3" t="s">
        <v>6984</v>
      </c>
      <c r="ILC3" t="s">
        <v>6984</v>
      </c>
      <c r="ILD3" t="s">
        <v>6984</v>
      </c>
      <c r="ILE3" t="s">
        <v>6984</v>
      </c>
      <c r="ILF3" t="s">
        <v>6984</v>
      </c>
      <c r="ILG3" t="s">
        <v>6984</v>
      </c>
      <c r="ILH3" t="s">
        <v>6984</v>
      </c>
      <c r="ILI3" t="s">
        <v>6984</v>
      </c>
      <c r="ILJ3" t="s">
        <v>6984</v>
      </c>
      <c r="ILK3" t="s">
        <v>6984</v>
      </c>
      <c r="ILL3" t="s">
        <v>6984</v>
      </c>
      <c r="ILM3" t="s">
        <v>6984</v>
      </c>
      <c r="ILN3" t="s">
        <v>6984</v>
      </c>
      <c r="ILO3" t="s">
        <v>6984</v>
      </c>
      <c r="ILP3" t="s">
        <v>6984</v>
      </c>
      <c r="ILQ3" t="s">
        <v>6984</v>
      </c>
      <c r="ILR3" t="s">
        <v>6984</v>
      </c>
      <c r="ILS3" t="s">
        <v>6984</v>
      </c>
      <c r="ILT3" t="s">
        <v>6984</v>
      </c>
      <c r="ILU3" t="s">
        <v>6984</v>
      </c>
      <c r="ILV3" t="s">
        <v>6984</v>
      </c>
      <c r="ILW3" t="s">
        <v>6984</v>
      </c>
      <c r="ILX3" t="s">
        <v>6984</v>
      </c>
      <c r="ILY3" t="s">
        <v>6984</v>
      </c>
      <c r="ILZ3" t="s">
        <v>6984</v>
      </c>
      <c r="IMA3" t="s">
        <v>6984</v>
      </c>
      <c r="IMB3" t="s">
        <v>6984</v>
      </c>
      <c r="IMC3" t="s">
        <v>6984</v>
      </c>
      <c r="IMD3" t="s">
        <v>6984</v>
      </c>
      <c r="IME3" t="s">
        <v>6984</v>
      </c>
      <c r="IMF3" t="s">
        <v>6984</v>
      </c>
      <c r="IMG3" t="s">
        <v>6984</v>
      </c>
      <c r="IMH3" t="s">
        <v>6984</v>
      </c>
      <c r="IMI3" t="s">
        <v>6984</v>
      </c>
      <c r="IMJ3" t="s">
        <v>6984</v>
      </c>
      <c r="IMK3" t="s">
        <v>6984</v>
      </c>
      <c r="IML3" t="s">
        <v>6984</v>
      </c>
      <c r="IMM3" t="s">
        <v>6984</v>
      </c>
      <c r="IMN3" t="s">
        <v>6984</v>
      </c>
      <c r="IMO3" t="s">
        <v>6984</v>
      </c>
      <c r="IMP3" t="s">
        <v>6984</v>
      </c>
      <c r="IMQ3" t="s">
        <v>6984</v>
      </c>
      <c r="IMR3" t="s">
        <v>6984</v>
      </c>
      <c r="IMS3" t="s">
        <v>6984</v>
      </c>
      <c r="IMT3" t="s">
        <v>6984</v>
      </c>
      <c r="IMU3" t="s">
        <v>6984</v>
      </c>
      <c r="IMV3" t="s">
        <v>6984</v>
      </c>
      <c r="IMW3" t="s">
        <v>6984</v>
      </c>
      <c r="IMX3" t="s">
        <v>6984</v>
      </c>
      <c r="IMY3" t="s">
        <v>6984</v>
      </c>
      <c r="IMZ3" t="s">
        <v>6984</v>
      </c>
      <c r="INA3" t="s">
        <v>6984</v>
      </c>
      <c r="INB3" t="s">
        <v>6984</v>
      </c>
      <c r="INC3" t="s">
        <v>6984</v>
      </c>
      <c r="IND3" t="s">
        <v>6984</v>
      </c>
      <c r="INE3" t="s">
        <v>6984</v>
      </c>
      <c r="INF3" t="s">
        <v>6984</v>
      </c>
      <c r="ING3" t="s">
        <v>6984</v>
      </c>
      <c r="INH3" t="s">
        <v>6984</v>
      </c>
      <c r="INI3" t="s">
        <v>6984</v>
      </c>
      <c r="INJ3" t="s">
        <v>6984</v>
      </c>
      <c r="INK3" t="s">
        <v>6984</v>
      </c>
      <c r="INL3" t="s">
        <v>6984</v>
      </c>
      <c r="INM3" t="s">
        <v>6984</v>
      </c>
      <c r="INN3" t="s">
        <v>6984</v>
      </c>
      <c r="INO3" t="s">
        <v>6984</v>
      </c>
      <c r="INP3" t="s">
        <v>6984</v>
      </c>
      <c r="INQ3" t="s">
        <v>6984</v>
      </c>
      <c r="INR3" t="s">
        <v>6984</v>
      </c>
      <c r="INS3" t="s">
        <v>6984</v>
      </c>
      <c r="INT3" t="s">
        <v>6984</v>
      </c>
      <c r="INU3" t="s">
        <v>6984</v>
      </c>
      <c r="INV3" t="s">
        <v>6984</v>
      </c>
      <c r="INW3" t="s">
        <v>6984</v>
      </c>
      <c r="INX3" t="s">
        <v>6984</v>
      </c>
      <c r="INY3" t="s">
        <v>6984</v>
      </c>
      <c r="INZ3" t="s">
        <v>6984</v>
      </c>
      <c r="IOA3" t="s">
        <v>6984</v>
      </c>
      <c r="IOB3" t="s">
        <v>6984</v>
      </c>
      <c r="IOC3" t="s">
        <v>6984</v>
      </c>
      <c r="IOD3" t="s">
        <v>6984</v>
      </c>
      <c r="IOE3" t="s">
        <v>6984</v>
      </c>
      <c r="IOF3" t="s">
        <v>6984</v>
      </c>
      <c r="IOG3" t="s">
        <v>6984</v>
      </c>
      <c r="IOH3" t="s">
        <v>6984</v>
      </c>
      <c r="IOI3" t="s">
        <v>6984</v>
      </c>
      <c r="IOJ3" t="s">
        <v>6984</v>
      </c>
      <c r="IOK3" t="s">
        <v>6984</v>
      </c>
      <c r="IOL3" t="s">
        <v>6984</v>
      </c>
      <c r="IOM3" t="s">
        <v>6984</v>
      </c>
      <c r="ION3" t="s">
        <v>6984</v>
      </c>
      <c r="IOO3" t="s">
        <v>6984</v>
      </c>
      <c r="IOP3" t="s">
        <v>6984</v>
      </c>
      <c r="IOQ3" t="s">
        <v>6984</v>
      </c>
      <c r="IOR3" t="s">
        <v>6984</v>
      </c>
      <c r="IOS3" t="s">
        <v>6984</v>
      </c>
      <c r="IOT3" t="s">
        <v>6984</v>
      </c>
      <c r="IOU3" t="s">
        <v>6984</v>
      </c>
      <c r="IOV3" t="s">
        <v>6984</v>
      </c>
      <c r="IOW3" t="s">
        <v>6984</v>
      </c>
      <c r="IOX3" t="s">
        <v>6984</v>
      </c>
      <c r="IOY3" t="s">
        <v>6984</v>
      </c>
      <c r="IOZ3" t="s">
        <v>6984</v>
      </c>
      <c r="IPA3" t="s">
        <v>6984</v>
      </c>
      <c r="IPB3" t="s">
        <v>6984</v>
      </c>
      <c r="IPC3" t="s">
        <v>6984</v>
      </c>
      <c r="IPD3" t="s">
        <v>6984</v>
      </c>
      <c r="IPE3" t="s">
        <v>6984</v>
      </c>
      <c r="IPF3" t="s">
        <v>6984</v>
      </c>
      <c r="IPG3" t="s">
        <v>6984</v>
      </c>
      <c r="IPH3" t="s">
        <v>6984</v>
      </c>
      <c r="IPI3" t="s">
        <v>6984</v>
      </c>
      <c r="IPJ3" t="s">
        <v>6984</v>
      </c>
      <c r="IPK3" t="s">
        <v>6984</v>
      </c>
      <c r="IPL3" t="s">
        <v>6984</v>
      </c>
      <c r="IPM3" t="s">
        <v>6984</v>
      </c>
      <c r="IPN3" t="s">
        <v>6984</v>
      </c>
      <c r="IPO3" t="s">
        <v>6984</v>
      </c>
      <c r="IPP3" t="s">
        <v>6984</v>
      </c>
      <c r="IPQ3" t="s">
        <v>6984</v>
      </c>
      <c r="IPR3" t="s">
        <v>6984</v>
      </c>
      <c r="IPS3" t="s">
        <v>6984</v>
      </c>
      <c r="IPT3" t="s">
        <v>6984</v>
      </c>
      <c r="IPU3" t="s">
        <v>6984</v>
      </c>
      <c r="IPV3" t="s">
        <v>6984</v>
      </c>
      <c r="IPW3" t="s">
        <v>6984</v>
      </c>
      <c r="IPX3" t="s">
        <v>6984</v>
      </c>
      <c r="IPY3" t="s">
        <v>6984</v>
      </c>
      <c r="IPZ3" t="s">
        <v>6984</v>
      </c>
      <c r="IQA3" t="s">
        <v>6984</v>
      </c>
      <c r="IQB3" t="s">
        <v>6984</v>
      </c>
      <c r="IQC3" t="s">
        <v>6984</v>
      </c>
      <c r="IQD3" t="s">
        <v>6984</v>
      </c>
      <c r="IQE3" t="s">
        <v>6984</v>
      </c>
      <c r="IQF3" t="s">
        <v>6984</v>
      </c>
      <c r="IQG3" t="s">
        <v>6984</v>
      </c>
      <c r="IQH3" t="s">
        <v>6984</v>
      </c>
      <c r="IQI3" t="s">
        <v>6984</v>
      </c>
      <c r="IQJ3" t="s">
        <v>6984</v>
      </c>
      <c r="IQK3" t="s">
        <v>6984</v>
      </c>
      <c r="IQL3" t="s">
        <v>6984</v>
      </c>
      <c r="IQM3" t="s">
        <v>6984</v>
      </c>
      <c r="IQN3" t="s">
        <v>6984</v>
      </c>
      <c r="IQO3" t="s">
        <v>6984</v>
      </c>
      <c r="IQP3" t="s">
        <v>6984</v>
      </c>
      <c r="IQQ3" t="s">
        <v>6984</v>
      </c>
      <c r="IQR3" t="s">
        <v>6984</v>
      </c>
      <c r="IQS3" t="s">
        <v>6984</v>
      </c>
      <c r="IQT3" t="s">
        <v>6984</v>
      </c>
      <c r="IQU3" t="s">
        <v>6984</v>
      </c>
      <c r="IQV3" t="s">
        <v>6984</v>
      </c>
      <c r="IQW3" t="s">
        <v>6984</v>
      </c>
      <c r="IQX3" t="s">
        <v>6984</v>
      </c>
      <c r="IQY3" t="s">
        <v>6984</v>
      </c>
      <c r="IQZ3" t="s">
        <v>6984</v>
      </c>
      <c r="IRA3" t="s">
        <v>6984</v>
      </c>
      <c r="IRB3" t="s">
        <v>6984</v>
      </c>
      <c r="IRC3" t="s">
        <v>6984</v>
      </c>
      <c r="IRD3" t="s">
        <v>6984</v>
      </c>
      <c r="IRE3" t="s">
        <v>6984</v>
      </c>
      <c r="IRF3" t="s">
        <v>6984</v>
      </c>
      <c r="IRG3" t="s">
        <v>6984</v>
      </c>
      <c r="IRH3" t="s">
        <v>6984</v>
      </c>
      <c r="IRI3" t="s">
        <v>6984</v>
      </c>
      <c r="IRJ3" t="s">
        <v>6984</v>
      </c>
      <c r="IRK3" t="s">
        <v>6984</v>
      </c>
      <c r="IRL3" t="s">
        <v>6984</v>
      </c>
      <c r="IRM3" t="s">
        <v>6984</v>
      </c>
      <c r="IRN3" t="s">
        <v>6984</v>
      </c>
      <c r="IRO3" t="s">
        <v>6984</v>
      </c>
      <c r="IRP3" t="s">
        <v>6984</v>
      </c>
      <c r="IRQ3" t="s">
        <v>6984</v>
      </c>
      <c r="IRR3" t="s">
        <v>6984</v>
      </c>
      <c r="IRS3" t="s">
        <v>6984</v>
      </c>
      <c r="IRT3" t="s">
        <v>6984</v>
      </c>
      <c r="IRU3" t="s">
        <v>6984</v>
      </c>
      <c r="IRV3" t="s">
        <v>6984</v>
      </c>
      <c r="IRW3" t="s">
        <v>6984</v>
      </c>
      <c r="IRX3" t="s">
        <v>6984</v>
      </c>
      <c r="IRY3" t="s">
        <v>6984</v>
      </c>
      <c r="IRZ3" t="s">
        <v>6984</v>
      </c>
      <c r="ISA3" t="s">
        <v>6984</v>
      </c>
      <c r="ISB3" t="s">
        <v>6984</v>
      </c>
      <c r="ISC3" t="s">
        <v>6984</v>
      </c>
      <c r="ISD3" t="s">
        <v>6984</v>
      </c>
      <c r="ISE3" t="s">
        <v>6984</v>
      </c>
      <c r="ISF3" t="s">
        <v>6984</v>
      </c>
      <c r="ISG3" t="s">
        <v>6984</v>
      </c>
      <c r="ISH3" t="s">
        <v>6984</v>
      </c>
      <c r="ISI3" t="s">
        <v>6984</v>
      </c>
      <c r="ISJ3" t="s">
        <v>6984</v>
      </c>
      <c r="ISK3" t="s">
        <v>6984</v>
      </c>
      <c r="ISL3" t="s">
        <v>6984</v>
      </c>
      <c r="ISM3" t="s">
        <v>6984</v>
      </c>
      <c r="ISN3" t="s">
        <v>6984</v>
      </c>
      <c r="ISO3" t="s">
        <v>6984</v>
      </c>
      <c r="ISP3" t="s">
        <v>6984</v>
      </c>
      <c r="ISQ3" t="s">
        <v>6984</v>
      </c>
      <c r="ISR3" t="s">
        <v>6984</v>
      </c>
      <c r="ISS3" t="s">
        <v>6984</v>
      </c>
      <c r="IST3" t="s">
        <v>6984</v>
      </c>
      <c r="ISU3" t="s">
        <v>6984</v>
      </c>
      <c r="ISV3" t="s">
        <v>6984</v>
      </c>
      <c r="ISW3" t="s">
        <v>6984</v>
      </c>
      <c r="ISX3" t="s">
        <v>6984</v>
      </c>
      <c r="ISY3" t="s">
        <v>6984</v>
      </c>
      <c r="ISZ3" t="s">
        <v>6984</v>
      </c>
      <c r="ITA3" t="s">
        <v>6984</v>
      </c>
      <c r="ITB3" t="s">
        <v>6984</v>
      </c>
      <c r="ITC3" t="s">
        <v>6984</v>
      </c>
      <c r="ITD3" t="s">
        <v>6984</v>
      </c>
      <c r="ITE3" t="s">
        <v>6984</v>
      </c>
      <c r="ITF3" t="s">
        <v>6984</v>
      </c>
      <c r="ITG3" t="s">
        <v>6984</v>
      </c>
      <c r="ITH3" t="s">
        <v>6984</v>
      </c>
      <c r="ITI3" t="s">
        <v>6984</v>
      </c>
      <c r="ITJ3" t="s">
        <v>6984</v>
      </c>
      <c r="ITK3" t="s">
        <v>6984</v>
      </c>
      <c r="ITL3" t="s">
        <v>6984</v>
      </c>
      <c r="ITM3" t="s">
        <v>6984</v>
      </c>
      <c r="ITN3" t="s">
        <v>6984</v>
      </c>
      <c r="ITO3" t="s">
        <v>6984</v>
      </c>
      <c r="ITP3" t="s">
        <v>6984</v>
      </c>
      <c r="ITQ3" t="s">
        <v>6984</v>
      </c>
      <c r="ITR3" t="s">
        <v>6984</v>
      </c>
      <c r="ITS3" t="s">
        <v>6984</v>
      </c>
      <c r="ITT3" t="s">
        <v>6984</v>
      </c>
      <c r="ITU3" t="s">
        <v>6984</v>
      </c>
      <c r="ITV3" t="s">
        <v>6984</v>
      </c>
      <c r="ITW3" t="s">
        <v>6984</v>
      </c>
      <c r="ITX3" t="s">
        <v>6984</v>
      </c>
      <c r="ITY3" t="s">
        <v>6984</v>
      </c>
      <c r="ITZ3" t="s">
        <v>6984</v>
      </c>
      <c r="IUA3" t="s">
        <v>6984</v>
      </c>
      <c r="IUB3" t="s">
        <v>6984</v>
      </c>
      <c r="IUC3" t="s">
        <v>6984</v>
      </c>
      <c r="IUD3" t="s">
        <v>6984</v>
      </c>
      <c r="IUE3" t="s">
        <v>6984</v>
      </c>
      <c r="IUF3" t="s">
        <v>6984</v>
      </c>
      <c r="IUG3" t="s">
        <v>6984</v>
      </c>
      <c r="IUH3" t="s">
        <v>6984</v>
      </c>
      <c r="IUI3" t="s">
        <v>6984</v>
      </c>
      <c r="IUJ3" t="s">
        <v>6984</v>
      </c>
      <c r="IUK3" t="s">
        <v>6984</v>
      </c>
      <c r="IUL3" t="s">
        <v>6984</v>
      </c>
      <c r="IUM3" t="s">
        <v>6984</v>
      </c>
      <c r="IUN3" t="s">
        <v>6984</v>
      </c>
      <c r="IUO3" t="s">
        <v>6984</v>
      </c>
      <c r="IUP3" t="s">
        <v>6984</v>
      </c>
      <c r="IUQ3" t="s">
        <v>6984</v>
      </c>
      <c r="IUR3" t="s">
        <v>6984</v>
      </c>
      <c r="IUS3" t="s">
        <v>6984</v>
      </c>
      <c r="IUT3" t="s">
        <v>6984</v>
      </c>
      <c r="IUU3" t="s">
        <v>6984</v>
      </c>
      <c r="IUV3" t="s">
        <v>6984</v>
      </c>
      <c r="IUW3" t="s">
        <v>6984</v>
      </c>
      <c r="IUX3" t="s">
        <v>6984</v>
      </c>
      <c r="IUY3" t="s">
        <v>6984</v>
      </c>
      <c r="IUZ3" t="s">
        <v>6984</v>
      </c>
      <c r="IVA3" t="s">
        <v>6984</v>
      </c>
      <c r="IVB3" t="s">
        <v>6984</v>
      </c>
      <c r="IVC3" t="s">
        <v>6984</v>
      </c>
      <c r="IVD3" t="s">
        <v>6984</v>
      </c>
      <c r="IVE3" t="s">
        <v>6984</v>
      </c>
      <c r="IVF3" t="s">
        <v>6984</v>
      </c>
      <c r="IVG3" t="s">
        <v>6984</v>
      </c>
      <c r="IVH3" t="s">
        <v>6984</v>
      </c>
      <c r="IVI3" t="s">
        <v>6984</v>
      </c>
      <c r="IVJ3" t="s">
        <v>6984</v>
      </c>
      <c r="IVK3" t="s">
        <v>6984</v>
      </c>
      <c r="IVL3" t="s">
        <v>6984</v>
      </c>
      <c r="IVM3" t="s">
        <v>6984</v>
      </c>
      <c r="IVN3" t="s">
        <v>6984</v>
      </c>
      <c r="IVO3" t="s">
        <v>6984</v>
      </c>
      <c r="IVP3" t="s">
        <v>6984</v>
      </c>
      <c r="IVQ3" t="s">
        <v>6984</v>
      </c>
      <c r="IVR3" t="s">
        <v>6984</v>
      </c>
      <c r="IVS3" t="s">
        <v>6984</v>
      </c>
      <c r="IVT3" t="s">
        <v>6984</v>
      </c>
      <c r="IVU3" t="s">
        <v>6984</v>
      </c>
      <c r="IVV3" t="s">
        <v>6984</v>
      </c>
      <c r="IVW3" t="s">
        <v>6984</v>
      </c>
      <c r="IVX3" t="s">
        <v>6984</v>
      </c>
      <c r="IVY3" t="s">
        <v>6984</v>
      </c>
      <c r="IVZ3" t="s">
        <v>6984</v>
      </c>
      <c r="IWA3" t="s">
        <v>6984</v>
      </c>
      <c r="IWB3" t="s">
        <v>6984</v>
      </c>
      <c r="IWC3" t="s">
        <v>6984</v>
      </c>
      <c r="IWD3" t="s">
        <v>6984</v>
      </c>
      <c r="IWE3" t="s">
        <v>6984</v>
      </c>
      <c r="IWF3" t="s">
        <v>6984</v>
      </c>
      <c r="IWG3" t="s">
        <v>6984</v>
      </c>
      <c r="IWH3" t="s">
        <v>6984</v>
      </c>
      <c r="IWI3" t="s">
        <v>6984</v>
      </c>
      <c r="IWJ3" t="s">
        <v>6984</v>
      </c>
      <c r="IWK3" t="s">
        <v>6984</v>
      </c>
      <c r="IWL3" t="s">
        <v>6984</v>
      </c>
      <c r="IWM3" t="s">
        <v>6984</v>
      </c>
      <c r="IWN3" t="s">
        <v>6984</v>
      </c>
      <c r="IWO3" t="s">
        <v>6984</v>
      </c>
      <c r="IWP3" t="s">
        <v>6984</v>
      </c>
      <c r="IWQ3" t="s">
        <v>6984</v>
      </c>
      <c r="IWR3" t="s">
        <v>6984</v>
      </c>
      <c r="IWS3" t="s">
        <v>6984</v>
      </c>
      <c r="IWT3" t="s">
        <v>6984</v>
      </c>
      <c r="IWU3" t="s">
        <v>6984</v>
      </c>
      <c r="IWV3" t="s">
        <v>6984</v>
      </c>
      <c r="IWW3" t="s">
        <v>6984</v>
      </c>
      <c r="IWX3" t="s">
        <v>6984</v>
      </c>
      <c r="IWY3" t="s">
        <v>6984</v>
      </c>
      <c r="IWZ3" t="s">
        <v>6984</v>
      </c>
      <c r="IXA3" t="s">
        <v>6984</v>
      </c>
      <c r="IXB3" t="s">
        <v>6984</v>
      </c>
      <c r="IXC3" t="s">
        <v>6984</v>
      </c>
      <c r="IXD3" t="s">
        <v>6984</v>
      </c>
      <c r="IXE3" t="s">
        <v>6984</v>
      </c>
      <c r="IXF3" t="s">
        <v>6984</v>
      </c>
      <c r="IXG3" t="s">
        <v>6984</v>
      </c>
      <c r="IXH3" t="s">
        <v>6984</v>
      </c>
      <c r="IXI3" t="s">
        <v>6984</v>
      </c>
      <c r="IXJ3" t="s">
        <v>6984</v>
      </c>
      <c r="IXK3" t="s">
        <v>6984</v>
      </c>
      <c r="IXL3" t="s">
        <v>6984</v>
      </c>
      <c r="IXM3" t="s">
        <v>6984</v>
      </c>
      <c r="IXN3" t="s">
        <v>6984</v>
      </c>
      <c r="IXO3" t="s">
        <v>6984</v>
      </c>
      <c r="IXP3" t="s">
        <v>6984</v>
      </c>
      <c r="IXQ3" t="s">
        <v>6984</v>
      </c>
      <c r="IXR3" t="s">
        <v>6984</v>
      </c>
      <c r="IXS3" t="s">
        <v>6984</v>
      </c>
      <c r="IXT3" t="s">
        <v>6984</v>
      </c>
      <c r="IXU3" t="s">
        <v>6984</v>
      </c>
      <c r="IXV3" t="s">
        <v>6984</v>
      </c>
      <c r="IXW3" t="s">
        <v>6984</v>
      </c>
      <c r="IXX3" t="s">
        <v>6984</v>
      </c>
      <c r="IXY3" t="s">
        <v>6984</v>
      </c>
      <c r="IXZ3" t="s">
        <v>6984</v>
      </c>
      <c r="IYA3" t="s">
        <v>6984</v>
      </c>
      <c r="IYB3" t="s">
        <v>6984</v>
      </c>
      <c r="IYC3" t="s">
        <v>6984</v>
      </c>
      <c r="IYD3" t="s">
        <v>6984</v>
      </c>
      <c r="IYE3" t="s">
        <v>6984</v>
      </c>
      <c r="IYF3" t="s">
        <v>6984</v>
      </c>
      <c r="IYG3" t="s">
        <v>6984</v>
      </c>
      <c r="IYH3" t="s">
        <v>6984</v>
      </c>
      <c r="IYI3" t="s">
        <v>6984</v>
      </c>
      <c r="IYJ3" t="s">
        <v>6984</v>
      </c>
      <c r="IYK3" t="s">
        <v>6984</v>
      </c>
      <c r="IYL3" t="s">
        <v>6984</v>
      </c>
      <c r="IYM3" t="s">
        <v>6984</v>
      </c>
      <c r="IYN3" t="s">
        <v>6984</v>
      </c>
      <c r="IYO3" t="s">
        <v>6984</v>
      </c>
      <c r="IYP3" t="s">
        <v>6984</v>
      </c>
      <c r="IYQ3" t="s">
        <v>6984</v>
      </c>
      <c r="IYR3" t="s">
        <v>6984</v>
      </c>
      <c r="IYS3" t="s">
        <v>6984</v>
      </c>
      <c r="IYT3" t="s">
        <v>6984</v>
      </c>
      <c r="IYU3" t="s">
        <v>6984</v>
      </c>
      <c r="IYV3" t="s">
        <v>6984</v>
      </c>
      <c r="IYW3" t="s">
        <v>6984</v>
      </c>
      <c r="IYX3" t="s">
        <v>6984</v>
      </c>
      <c r="IYY3" t="s">
        <v>6984</v>
      </c>
      <c r="IYZ3" t="s">
        <v>6984</v>
      </c>
      <c r="IZA3" t="s">
        <v>6984</v>
      </c>
      <c r="IZB3" t="s">
        <v>6984</v>
      </c>
      <c r="IZC3" t="s">
        <v>6984</v>
      </c>
      <c r="IZD3" t="s">
        <v>6984</v>
      </c>
      <c r="IZE3" t="s">
        <v>6984</v>
      </c>
      <c r="IZF3" t="s">
        <v>6984</v>
      </c>
      <c r="IZG3" t="s">
        <v>6984</v>
      </c>
      <c r="IZH3" t="s">
        <v>6984</v>
      </c>
      <c r="IZI3" t="s">
        <v>6984</v>
      </c>
      <c r="IZJ3" t="s">
        <v>6984</v>
      </c>
      <c r="IZK3" t="s">
        <v>6984</v>
      </c>
      <c r="IZL3" t="s">
        <v>6984</v>
      </c>
      <c r="IZM3" t="s">
        <v>6984</v>
      </c>
      <c r="IZN3" t="s">
        <v>6984</v>
      </c>
      <c r="IZO3" t="s">
        <v>6984</v>
      </c>
      <c r="IZP3" t="s">
        <v>6984</v>
      </c>
      <c r="IZQ3" t="s">
        <v>6984</v>
      </c>
      <c r="IZR3" t="s">
        <v>6984</v>
      </c>
      <c r="IZS3" t="s">
        <v>6984</v>
      </c>
      <c r="IZT3" t="s">
        <v>6984</v>
      </c>
      <c r="IZU3" t="s">
        <v>6984</v>
      </c>
      <c r="IZV3" t="s">
        <v>6984</v>
      </c>
      <c r="IZW3" t="s">
        <v>6984</v>
      </c>
      <c r="IZX3" t="s">
        <v>6984</v>
      </c>
      <c r="IZY3" t="s">
        <v>6984</v>
      </c>
      <c r="IZZ3" t="s">
        <v>6984</v>
      </c>
      <c r="JAA3" t="s">
        <v>6984</v>
      </c>
      <c r="JAB3" t="s">
        <v>6984</v>
      </c>
      <c r="JAC3" t="s">
        <v>6984</v>
      </c>
      <c r="JAD3" t="s">
        <v>6984</v>
      </c>
      <c r="JAE3" t="s">
        <v>6984</v>
      </c>
      <c r="JAF3" t="s">
        <v>6984</v>
      </c>
      <c r="JAG3" t="s">
        <v>6984</v>
      </c>
      <c r="JAH3" t="s">
        <v>6984</v>
      </c>
      <c r="JAI3" t="s">
        <v>6984</v>
      </c>
      <c r="JAJ3" t="s">
        <v>6984</v>
      </c>
      <c r="JAK3" t="s">
        <v>6984</v>
      </c>
      <c r="JAL3" t="s">
        <v>6984</v>
      </c>
      <c r="JAM3" t="s">
        <v>6984</v>
      </c>
      <c r="JAN3" t="s">
        <v>6984</v>
      </c>
      <c r="JAO3" t="s">
        <v>6984</v>
      </c>
      <c r="JAP3" t="s">
        <v>6984</v>
      </c>
      <c r="JAQ3" t="s">
        <v>6984</v>
      </c>
      <c r="JAR3" t="s">
        <v>6984</v>
      </c>
      <c r="JAS3" t="s">
        <v>6984</v>
      </c>
      <c r="JAT3" t="s">
        <v>6984</v>
      </c>
      <c r="JAU3" t="s">
        <v>6984</v>
      </c>
      <c r="JAV3" t="s">
        <v>6984</v>
      </c>
      <c r="JAW3" t="s">
        <v>6984</v>
      </c>
      <c r="JAX3" t="s">
        <v>6984</v>
      </c>
      <c r="JAY3" t="s">
        <v>6984</v>
      </c>
      <c r="JAZ3" t="s">
        <v>6984</v>
      </c>
      <c r="JBA3" t="s">
        <v>6984</v>
      </c>
      <c r="JBB3" t="s">
        <v>6984</v>
      </c>
      <c r="JBC3" t="s">
        <v>6984</v>
      </c>
      <c r="JBD3" t="s">
        <v>6984</v>
      </c>
      <c r="JBE3" t="s">
        <v>6984</v>
      </c>
      <c r="JBF3" t="s">
        <v>6984</v>
      </c>
      <c r="JBG3" t="s">
        <v>6984</v>
      </c>
      <c r="JBH3" t="s">
        <v>6984</v>
      </c>
      <c r="JBI3" t="s">
        <v>6984</v>
      </c>
      <c r="JBJ3" t="s">
        <v>6984</v>
      </c>
      <c r="JBK3" t="s">
        <v>6984</v>
      </c>
      <c r="JBL3" t="s">
        <v>6984</v>
      </c>
      <c r="JBM3" t="s">
        <v>6984</v>
      </c>
      <c r="JBN3" t="s">
        <v>6984</v>
      </c>
      <c r="JBO3" t="s">
        <v>6984</v>
      </c>
      <c r="JBP3" t="s">
        <v>6984</v>
      </c>
      <c r="JBQ3" t="s">
        <v>6984</v>
      </c>
      <c r="JBR3" t="s">
        <v>6984</v>
      </c>
      <c r="JBS3" t="s">
        <v>6984</v>
      </c>
      <c r="JBT3" t="s">
        <v>6984</v>
      </c>
      <c r="JBU3" t="s">
        <v>6984</v>
      </c>
      <c r="JBV3" t="s">
        <v>6984</v>
      </c>
      <c r="JBW3" t="s">
        <v>6984</v>
      </c>
      <c r="JBX3" t="s">
        <v>6984</v>
      </c>
      <c r="JBY3" t="s">
        <v>6984</v>
      </c>
      <c r="JBZ3" t="s">
        <v>6984</v>
      </c>
      <c r="JCA3" t="s">
        <v>6984</v>
      </c>
      <c r="JCB3" t="s">
        <v>6984</v>
      </c>
      <c r="JCC3" t="s">
        <v>6984</v>
      </c>
      <c r="JCD3" t="s">
        <v>6984</v>
      </c>
      <c r="JCE3" t="s">
        <v>6984</v>
      </c>
      <c r="JCF3" t="s">
        <v>6984</v>
      </c>
      <c r="JCG3" t="s">
        <v>6984</v>
      </c>
      <c r="JCH3" t="s">
        <v>6984</v>
      </c>
      <c r="JCI3" t="s">
        <v>6984</v>
      </c>
      <c r="JCJ3" t="s">
        <v>6984</v>
      </c>
      <c r="JCK3" t="s">
        <v>6984</v>
      </c>
      <c r="JCL3" t="s">
        <v>6984</v>
      </c>
      <c r="JCM3" t="s">
        <v>6984</v>
      </c>
      <c r="JCN3" t="s">
        <v>6984</v>
      </c>
      <c r="JCO3" t="s">
        <v>6984</v>
      </c>
      <c r="JCP3" t="s">
        <v>6984</v>
      </c>
      <c r="JCQ3" t="s">
        <v>6984</v>
      </c>
      <c r="JCR3" t="s">
        <v>6984</v>
      </c>
      <c r="JCS3" t="s">
        <v>6984</v>
      </c>
      <c r="JCT3" t="s">
        <v>6984</v>
      </c>
      <c r="JCU3" t="s">
        <v>6984</v>
      </c>
      <c r="JCV3" t="s">
        <v>6984</v>
      </c>
      <c r="JCW3" t="s">
        <v>6984</v>
      </c>
      <c r="JCX3" t="s">
        <v>6984</v>
      </c>
      <c r="JCY3" t="s">
        <v>6984</v>
      </c>
      <c r="JCZ3" t="s">
        <v>6984</v>
      </c>
      <c r="JDA3" t="s">
        <v>6984</v>
      </c>
      <c r="JDB3" t="s">
        <v>6984</v>
      </c>
      <c r="JDC3" t="s">
        <v>6984</v>
      </c>
      <c r="JDD3" t="s">
        <v>6984</v>
      </c>
      <c r="JDE3" t="s">
        <v>6984</v>
      </c>
      <c r="JDF3" t="s">
        <v>6984</v>
      </c>
      <c r="JDG3" t="s">
        <v>6984</v>
      </c>
      <c r="JDH3" t="s">
        <v>6984</v>
      </c>
      <c r="JDI3" t="s">
        <v>6984</v>
      </c>
      <c r="JDJ3" t="s">
        <v>6984</v>
      </c>
      <c r="JDK3" t="s">
        <v>6984</v>
      </c>
      <c r="JDL3" t="s">
        <v>6984</v>
      </c>
      <c r="JDM3" t="s">
        <v>6984</v>
      </c>
      <c r="JDN3" t="s">
        <v>6984</v>
      </c>
      <c r="JDO3" t="s">
        <v>6984</v>
      </c>
      <c r="JDP3" t="s">
        <v>6984</v>
      </c>
      <c r="JDQ3" t="s">
        <v>6984</v>
      </c>
      <c r="JDR3" t="s">
        <v>6984</v>
      </c>
      <c r="JDS3" t="s">
        <v>6984</v>
      </c>
      <c r="JDT3" t="s">
        <v>6984</v>
      </c>
      <c r="JDU3" t="s">
        <v>6984</v>
      </c>
      <c r="JDV3" t="s">
        <v>6984</v>
      </c>
      <c r="JDW3" t="s">
        <v>6984</v>
      </c>
      <c r="JDX3" t="s">
        <v>6984</v>
      </c>
      <c r="JDY3" t="s">
        <v>6984</v>
      </c>
      <c r="JDZ3" t="s">
        <v>6984</v>
      </c>
      <c r="JEA3" t="s">
        <v>6984</v>
      </c>
      <c r="JEB3" t="s">
        <v>6984</v>
      </c>
      <c r="JEC3" t="s">
        <v>6984</v>
      </c>
      <c r="JED3" t="s">
        <v>6984</v>
      </c>
      <c r="JEE3" t="s">
        <v>6984</v>
      </c>
      <c r="JEF3" t="s">
        <v>6984</v>
      </c>
      <c r="JEG3" t="s">
        <v>6984</v>
      </c>
      <c r="JEH3" t="s">
        <v>6984</v>
      </c>
      <c r="JEI3" t="s">
        <v>6984</v>
      </c>
      <c r="JEJ3" t="s">
        <v>6984</v>
      </c>
      <c r="JEK3" t="s">
        <v>6984</v>
      </c>
      <c r="JEL3" t="s">
        <v>6984</v>
      </c>
      <c r="JEM3" t="s">
        <v>6984</v>
      </c>
      <c r="JEN3" t="s">
        <v>6984</v>
      </c>
      <c r="JEO3" t="s">
        <v>6984</v>
      </c>
      <c r="JEP3" t="s">
        <v>6984</v>
      </c>
      <c r="JEQ3" t="s">
        <v>6984</v>
      </c>
      <c r="JER3" t="s">
        <v>6984</v>
      </c>
      <c r="JES3" t="s">
        <v>6984</v>
      </c>
      <c r="JET3" t="s">
        <v>6984</v>
      </c>
      <c r="JEU3" t="s">
        <v>6984</v>
      </c>
      <c r="JEV3" t="s">
        <v>6984</v>
      </c>
      <c r="JEW3" t="s">
        <v>6984</v>
      </c>
      <c r="JEX3" t="s">
        <v>6984</v>
      </c>
      <c r="JEY3" t="s">
        <v>6984</v>
      </c>
      <c r="JEZ3" t="s">
        <v>6984</v>
      </c>
      <c r="JFA3" t="s">
        <v>6984</v>
      </c>
      <c r="JFB3" t="s">
        <v>6984</v>
      </c>
      <c r="JFC3" t="s">
        <v>6984</v>
      </c>
      <c r="JFD3" t="s">
        <v>6984</v>
      </c>
      <c r="JFE3" t="s">
        <v>6984</v>
      </c>
      <c r="JFF3" t="s">
        <v>6984</v>
      </c>
      <c r="JFG3" t="s">
        <v>6984</v>
      </c>
      <c r="JFH3" t="s">
        <v>6984</v>
      </c>
      <c r="JFI3" t="s">
        <v>6984</v>
      </c>
      <c r="JFJ3" t="s">
        <v>6984</v>
      </c>
      <c r="JFK3" t="s">
        <v>6984</v>
      </c>
      <c r="JFL3" t="s">
        <v>6984</v>
      </c>
      <c r="JFM3" t="s">
        <v>6984</v>
      </c>
      <c r="JFN3" t="s">
        <v>6984</v>
      </c>
      <c r="JFO3" t="s">
        <v>6984</v>
      </c>
      <c r="JFP3" t="s">
        <v>6984</v>
      </c>
      <c r="JFQ3" t="s">
        <v>6984</v>
      </c>
      <c r="JFR3" t="s">
        <v>6984</v>
      </c>
      <c r="JFS3" t="s">
        <v>6984</v>
      </c>
      <c r="JFT3" t="s">
        <v>6984</v>
      </c>
      <c r="JFU3" t="s">
        <v>6984</v>
      </c>
      <c r="JFV3" t="s">
        <v>6984</v>
      </c>
      <c r="JFW3" t="s">
        <v>6984</v>
      </c>
      <c r="JFX3" t="s">
        <v>6984</v>
      </c>
      <c r="JFY3" t="s">
        <v>6984</v>
      </c>
      <c r="JFZ3" t="s">
        <v>6984</v>
      </c>
      <c r="JGA3" t="s">
        <v>6984</v>
      </c>
      <c r="JGB3" t="s">
        <v>6984</v>
      </c>
      <c r="JGC3" t="s">
        <v>6984</v>
      </c>
      <c r="JGD3" t="s">
        <v>6984</v>
      </c>
      <c r="JGE3" t="s">
        <v>6984</v>
      </c>
      <c r="JGF3" t="s">
        <v>6984</v>
      </c>
      <c r="JGG3" t="s">
        <v>6984</v>
      </c>
      <c r="JGH3" t="s">
        <v>6984</v>
      </c>
      <c r="JGI3" t="s">
        <v>6984</v>
      </c>
      <c r="JGJ3" t="s">
        <v>6984</v>
      </c>
      <c r="JGK3" t="s">
        <v>6984</v>
      </c>
      <c r="JGL3" t="s">
        <v>6984</v>
      </c>
      <c r="JGM3" t="s">
        <v>6984</v>
      </c>
      <c r="JGN3" t="s">
        <v>6984</v>
      </c>
      <c r="JGO3" t="s">
        <v>6984</v>
      </c>
      <c r="JGP3" t="s">
        <v>6984</v>
      </c>
      <c r="JGQ3" t="s">
        <v>6984</v>
      </c>
      <c r="JGR3" t="s">
        <v>6984</v>
      </c>
      <c r="JGS3" t="s">
        <v>6984</v>
      </c>
      <c r="JGT3" t="s">
        <v>6984</v>
      </c>
      <c r="JGU3" t="s">
        <v>6984</v>
      </c>
      <c r="JGV3" t="s">
        <v>6984</v>
      </c>
      <c r="JGW3" t="s">
        <v>6984</v>
      </c>
      <c r="JGX3" t="s">
        <v>6984</v>
      </c>
      <c r="JGY3" t="s">
        <v>6984</v>
      </c>
      <c r="JGZ3" t="s">
        <v>6984</v>
      </c>
      <c r="JHA3" t="s">
        <v>6984</v>
      </c>
      <c r="JHB3" t="s">
        <v>6984</v>
      </c>
      <c r="JHC3" t="s">
        <v>6984</v>
      </c>
      <c r="JHD3" t="s">
        <v>6984</v>
      </c>
      <c r="JHE3" t="s">
        <v>6984</v>
      </c>
      <c r="JHF3" t="s">
        <v>6984</v>
      </c>
      <c r="JHG3" t="s">
        <v>6984</v>
      </c>
      <c r="JHH3" t="s">
        <v>6984</v>
      </c>
      <c r="JHI3" t="s">
        <v>6984</v>
      </c>
      <c r="JHJ3" t="s">
        <v>6984</v>
      </c>
      <c r="JHK3" t="s">
        <v>6984</v>
      </c>
      <c r="JHL3" t="s">
        <v>6984</v>
      </c>
      <c r="JHM3" t="s">
        <v>6984</v>
      </c>
      <c r="JHN3" t="s">
        <v>6984</v>
      </c>
      <c r="JHO3" t="s">
        <v>6984</v>
      </c>
      <c r="JHP3" t="s">
        <v>6984</v>
      </c>
      <c r="JHQ3" t="s">
        <v>6984</v>
      </c>
      <c r="JHR3" t="s">
        <v>6984</v>
      </c>
      <c r="JHS3" t="s">
        <v>6984</v>
      </c>
      <c r="JHT3" t="s">
        <v>6984</v>
      </c>
      <c r="JHU3" t="s">
        <v>6984</v>
      </c>
      <c r="JHV3" t="s">
        <v>6984</v>
      </c>
      <c r="JHW3" t="s">
        <v>6984</v>
      </c>
      <c r="JHX3" t="s">
        <v>6984</v>
      </c>
      <c r="JHY3" t="s">
        <v>6984</v>
      </c>
      <c r="JHZ3" t="s">
        <v>6984</v>
      </c>
      <c r="JIA3" t="s">
        <v>6984</v>
      </c>
      <c r="JIB3" t="s">
        <v>6984</v>
      </c>
      <c r="JIC3" t="s">
        <v>6984</v>
      </c>
      <c r="JID3" t="s">
        <v>6984</v>
      </c>
      <c r="JIE3" t="s">
        <v>6984</v>
      </c>
      <c r="JIF3" t="s">
        <v>6984</v>
      </c>
      <c r="JIG3" t="s">
        <v>6984</v>
      </c>
      <c r="JIH3" t="s">
        <v>6984</v>
      </c>
      <c r="JII3" t="s">
        <v>6984</v>
      </c>
      <c r="JIJ3" t="s">
        <v>6984</v>
      </c>
      <c r="JIK3" t="s">
        <v>6984</v>
      </c>
      <c r="JIL3" t="s">
        <v>6984</v>
      </c>
      <c r="JIM3" t="s">
        <v>6984</v>
      </c>
      <c r="JIN3" t="s">
        <v>6984</v>
      </c>
      <c r="JIO3" t="s">
        <v>6984</v>
      </c>
      <c r="JIP3" t="s">
        <v>6984</v>
      </c>
      <c r="JIQ3" t="s">
        <v>6984</v>
      </c>
      <c r="JIR3" t="s">
        <v>6984</v>
      </c>
      <c r="JIS3" t="s">
        <v>6984</v>
      </c>
      <c r="JIT3" t="s">
        <v>6984</v>
      </c>
      <c r="JIU3" t="s">
        <v>6984</v>
      </c>
      <c r="JIV3" t="s">
        <v>6984</v>
      </c>
      <c r="JIW3" t="s">
        <v>6984</v>
      </c>
      <c r="JIX3" t="s">
        <v>6984</v>
      </c>
      <c r="JIY3" t="s">
        <v>6984</v>
      </c>
      <c r="JIZ3" t="s">
        <v>6984</v>
      </c>
      <c r="JJA3" t="s">
        <v>6984</v>
      </c>
    </row>
    <row r="4" spans="1:7021" x14ac:dyDescent="0.25">
      <c r="A4" t="s">
        <v>6985</v>
      </c>
      <c r="B4">
        <v>95.86</v>
      </c>
      <c r="C4">
        <v>95.86</v>
      </c>
      <c r="D4">
        <v>95.86</v>
      </c>
      <c r="E4">
        <v>95.67</v>
      </c>
      <c r="F4">
        <v>95.67</v>
      </c>
      <c r="G4">
        <v>95.6875</v>
      </c>
      <c r="H4">
        <v>95.69</v>
      </c>
      <c r="I4">
        <v>95.6875</v>
      </c>
      <c r="J4">
        <v>95.677499999999995</v>
      </c>
      <c r="K4">
        <v>95.677499999999995</v>
      </c>
      <c r="L4">
        <v>95.677499999999995</v>
      </c>
      <c r="M4">
        <v>95.692499999999995</v>
      </c>
      <c r="N4">
        <v>95.692499999999995</v>
      </c>
      <c r="O4">
        <v>95.6875</v>
      </c>
      <c r="P4">
        <v>95.6875</v>
      </c>
      <c r="Q4">
        <v>95.6875</v>
      </c>
      <c r="R4">
        <v>95.6875</v>
      </c>
      <c r="S4">
        <v>95.68</v>
      </c>
      <c r="T4">
        <v>95.68</v>
      </c>
      <c r="U4">
        <v>95.68</v>
      </c>
      <c r="V4">
        <v>95.68</v>
      </c>
      <c r="W4">
        <v>95.682500000000005</v>
      </c>
      <c r="X4">
        <v>95.682500000000005</v>
      </c>
      <c r="Y4">
        <v>95.685000000000002</v>
      </c>
      <c r="Z4">
        <v>95.692499999999995</v>
      </c>
      <c r="AA4">
        <v>95.694999999999993</v>
      </c>
      <c r="AB4">
        <v>95.704999999999998</v>
      </c>
      <c r="AC4">
        <v>95.7</v>
      </c>
      <c r="AD4">
        <v>95.7</v>
      </c>
      <c r="AE4">
        <v>95.704999999999998</v>
      </c>
      <c r="AF4">
        <v>95.745000000000005</v>
      </c>
      <c r="AG4">
        <v>95.745000000000005</v>
      </c>
      <c r="AH4">
        <v>95.76</v>
      </c>
      <c r="AI4">
        <v>95.795000000000002</v>
      </c>
      <c r="AJ4">
        <v>95.78</v>
      </c>
      <c r="AK4">
        <v>95.8</v>
      </c>
      <c r="AL4">
        <v>95.885000000000005</v>
      </c>
      <c r="AM4">
        <v>95.915000000000006</v>
      </c>
      <c r="AN4">
        <v>95.905000000000001</v>
      </c>
      <c r="AO4">
        <v>95.894999999999996</v>
      </c>
      <c r="AP4">
        <v>95.885000000000005</v>
      </c>
      <c r="AQ4">
        <v>95.875</v>
      </c>
      <c r="AR4">
        <v>95.86</v>
      </c>
      <c r="AS4">
        <v>95.905000000000001</v>
      </c>
      <c r="AT4">
        <v>95.94</v>
      </c>
      <c r="AU4">
        <v>95.905000000000001</v>
      </c>
      <c r="AV4">
        <v>95.905000000000001</v>
      </c>
      <c r="AW4">
        <v>95.924999999999997</v>
      </c>
      <c r="AX4">
        <v>95.924999999999997</v>
      </c>
      <c r="AY4">
        <v>95.935000000000002</v>
      </c>
      <c r="AZ4">
        <v>95.94</v>
      </c>
      <c r="BA4">
        <v>95.995000000000005</v>
      </c>
      <c r="BB4">
        <v>95.915000000000006</v>
      </c>
      <c r="BC4">
        <v>96.125</v>
      </c>
      <c r="BD4">
        <v>96.084999999999994</v>
      </c>
      <c r="BE4">
        <v>96.075000000000003</v>
      </c>
      <c r="BF4">
        <v>95.97</v>
      </c>
      <c r="BG4">
        <v>95.894999999999996</v>
      </c>
      <c r="BH4">
        <v>95.94</v>
      </c>
      <c r="BI4">
        <v>95.92</v>
      </c>
      <c r="BJ4">
        <v>95.935000000000002</v>
      </c>
      <c r="BK4">
        <v>95.87</v>
      </c>
      <c r="BL4">
        <v>95.88</v>
      </c>
      <c r="BM4">
        <v>95.88</v>
      </c>
      <c r="BN4">
        <v>95.875</v>
      </c>
      <c r="BO4">
        <v>95.924999999999997</v>
      </c>
      <c r="BP4">
        <v>95.905000000000001</v>
      </c>
      <c r="BQ4">
        <v>95.88</v>
      </c>
      <c r="BR4">
        <v>95.682500000000005</v>
      </c>
      <c r="BS4">
        <v>95.6875</v>
      </c>
      <c r="BT4">
        <v>95.7</v>
      </c>
      <c r="BU4">
        <v>95.707499999999996</v>
      </c>
      <c r="BV4">
        <v>95.7</v>
      </c>
      <c r="BW4">
        <v>95.71</v>
      </c>
      <c r="BX4">
        <v>95.72</v>
      </c>
      <c r="BY4">
        <v>95.704999999999998</v>
      </c>
      <c r="BZ4">
        <v>95.73</v>
      </c>
      <c r="CA4">
        <v>95.712500000000006</v>
      </c>
      <c r="CB4">
        <v>95.722499999999997</v>
      </c>
      <c r="CC4">
        <v>95.72</v>
      </c>
      <c r="CD4">
        <v>95.712500000000006</v>
      </c>
      <c r="CE4">
        <v>95.697500000000005</v>
      </c>
      <c r="CF4">
        <v>95.702500000000001</v>
      </c>
      <c r="CG4">
        <v>95.704999999999998</v>
      </c>
      <c r="CH4">
        <v>95.702500000000001</v>
      </c>
      <c r="CI4">
        <v>95.707499999999996</v>
      </c>
      <c r="CJ4">
        <v>95.692499999999995</v>
      </c>
      <c r="CK4">
        <v>95.682500000000005</v>
      </c>
      <c r="CL4">
        <v>95.68</v>
      </c>
      <c r="CM4">
        <v>95.692499999999995</v>
      </c>
      <c r="CN4">
        <v>95.692499999999995</v>
      </c>
      <c r="CO4">
        <v>95.69</v>
      </c>
      <c r="CP4">
        <v>95.685000000000002</v>
      </c>
      <c r="CQ4">
        <v>95.704999999999998</v>
      </c>
      <c r="CR4">
        <v>95.71</v>
      </c>
      <c r="CS4">
        <v>95.72</v>
      </c>
      <c r="CT4">
        <v>95.74</v>
      </c>
      <c r="CU4">
        <v>95.745000000000005</v>
      </c>
      <c r="CV4">
        <v>95.745000000000005</v>
      </c>
      <c r="CW4">
        <v>95.734999999999999</v>
      </c>
      <c r="CX4">
        <v>95.75</v>
      </c>
      <c r="CY4">
        <v>95.754999999999995</v>
      </c>
      <c r="CZ4">
        <v>95.76</v>
      </c>
      <c r="DA4">
        <v>95.784999999999997</v>
      </c>
      <c r="DB4">
        <v>95.79</v>
      </c>
      <c r="DC4">
        <v>95.78</v>
      </c>
      <c r="DD4">
        <v>95.765000000000001</v>
      </c>
      <c r="DE4">
        <v>95.75</v>
      </c>
      <c r="DF4">
        <v>95.76</v>
      </c>
      <c r="DG4">
        <v>95.775000000000006</v>
      </c>
      <c r="DH4">
        <v>95.775000000000006</v>
      </c>
      <c r="DI4">
        <v>95.775000000000006</v>
      </c>
      <c r="DJ4">
        <v>95.775000000000006</v>
      </c>
      <c r="DK4">
        <v>95.74</v>
      </c>
      <c r="DL4">
        <v>95.73</v>
      </c>
      <c r="DM4">
        <v>95.75</v>
      </c>
      <c r="DN4">
        <v>95.8</v>
      </c>
      <c r="DO4">
        <v>95.79</v>
      </c>
      <c r="DP4">
        <v>95.79</v>
      </c>
      <c r="DQ4">
        <v>95.805000000000007</v>
      </c>
      <c r="DR4">
        <v>95.81</v>
      </c>
      <c r="DS4">
        <v>95.814999999999998</v>
      </c>
      <c r="DT4">
        <v>95.825000000000003</v>
      </c>
      <c r="DU4">
        <v>95.825000000000003</v>
      </c>
      <c r="DV4">
        <v>95.825000000000003</v>
      </c>
      <c r="DW4">
        <v>95.814999999999998</v>
      </c>
      <c r="DX4">
        <v>95.795000000000002</v>
      </c>
      <c r="DY4">
        <v>95.805000000000007</v>
      </c>
      <c r="DZ4">
        <v>95.805000000000007</v>
      </c>
      <c r="EA4">
        <v>95.79</v>
      </c>
      <c r="EB4">
        <v>95.81</v>
      </c>
      <c r="EC4">
        <v>95.805000000000007</v>
      </c>
      <c r="ED4">
        <v>95.78</v>
      </c>
      <c r="EE4">
        <v>95.632499999999993</v>
      </c>
      <c r="EF4">
        <v>95.635000000000005</v>
      </c>
      <c r="EG4">
        <v>95.642499999999998</v>
      </c>
      <c r="EH4">
        <v>95.647499999999994</v>
      </c>
      <c r="EI4">
        <v>95.647499999999994</v>
      </c>
      <c r="EJ4">
        <v>95.62</v>
      </c>
      <c r="EK4">
        <v>95.625</v>
      </c>
      <c r="EL4">
        <v>95.635000000000005</v>
      </c>
      <c r="EM4">
        <v>95.597499999999997</v>
      </c>
      <c r="EN4">
        <v>95.6</v>
      </c>
      <c r="EO4">
        <v>95.59</v>
      </c>
      <c r="EP4">
        <v>95.555000000000007</v>
      </c>
      <c r="EQ4">
        <v>95.572500000000005</v>
      </c>
      <c r="ER4">
        <v>95.572500000000005</v>
      </c>
      <c r="ES4">
        <v>95.572500000000005</v>
      </c>
      <c r="ET4">
        <v>95.552499999999995</v>
      </c>
      <c r="EU4">
        <v>95.527500000000003</v>
      </c>
      <c r="EV4">
        <v>95.525000000000006</v>
      </c>
      <c r="EW4">
        <v>95.525000000000006</v>
      </c>
      <c r="EX4">
        <v>95.525000000000006</v>
      </c>
      <c r="EY4">
        <v>95.537499999999994</v>
      </c>
      <c r="EZ4">
        <v>95.542500000000004</v>
      </c>
      <c r="FA4">
        <v>95.545000000000002</v>
      </c>
      <c r="FB4">
        <v>95.584999999999994</v>
      </c>
      <c r="FC4">
        <v>95.614999999999995</v>
      </c>
      <c r="FD4">
        <v>95.555000000000007</v>
      </c>
      <c r="FE4">
        <v>95.564999999999998</v>
      </c>
      <c r="FF4">
        <v>95.575000000000003</v>
      </c>
      <c r="FG4">
        <v>95.594999999999999</v>
      </c>
      <c r="FH4">
        <v>95.594999999999999</v>
      </c>
      <c r="FI4">
        <v>95.614999999999995</v>
      </c>
      <c r="FJ4">
        <v>95.635000000000005</v>
      </c>
      <c r="FK4">
        <v>95.63</v>
      </c>
      <c r="FL4">
        <v>95.62</v>
      </c>
      <c r="FM4">
        <v>95.62</v>
      </c>
      <c r="FN4">
        <v>95.625</v>
      </c>
      <c r="FO4">
        <v>95.605000000000004</v>
      </c>
      <c r="FP4">
        <v>95.625</v>
      </c>
      <c r="FQ4">
        <v>95.614999999999995</v>
      </c>
      <c r="FR4">
        <v>95.59</v>
      </c>
      <c r="FS4">
        <v>95.605000000000004</v>
      </c>
      <c r="FT4">
        <v>95.594999999999999</v>
      </c>
      <c r="FU4">
        <v>95.635000000000005</v>
      </c>
      <c r="FV4">
        <v>95.614999999999995</v>
      </c>
      <c r="FW4">
        <v>95.665000000000006</v>
      </c>
      <c r="FX4">
        <v>95.665000000000006</v>
      </c>
      <c r="FY4">
        <v>95.64</v>
      </c>
      <c r="FZ4">
        <v>95.674999999999997</v>
      </c>
      <c r="GA4">
        <v>95.655000000000001</v>
      </c>
      <c r="GB4">
        <v>95.66</v>
      </c>
      <c r="GC4">
        <v>95.71</v>
      </c>
      <c r="GD4">
        <v>95.69</v>
      </c>
      <c r="GE4">
        <v>95.765000000000001</v>
      </c>
      <c r="GF4">
        <v>95.92</v>
      </c>
      <c r="GG4">
        <v>95.965000000000003</v>
      </c>
      <c r="GH4">
        <v>95.974999999999994</v>
      </c>
      <c r="GI4">
        <v>95.96</v>
      </c>
      <c r="GJ4">
        <v>96.05</v>
      </c>
      <c r="GK4">
        <v>96.004999999999995</v>
      </c>
      <c r="GL4">
        <v>96.06</v>
      </c>
      <c r="GM4">
        <v>96.075000000000003</v>
      </c>
      <c r="GN4">
        <v>96.045000000000002</v>
      </c>
      <c r="GO4">
        <v>96.034999999999997</v>
      </c>
      <c r="GP4">
        <v>96.01</v>
      </c>
      <c r="GQ4">
        <v>95.99</v>
      </c>
      <c r="GR4">
        <v>95.17</v>
      </c>
      <c r="GS4">
        <v>95.167500000000004</v>
      </c>
      <c r="GT4">
        <v>95.144999999999996</v>
      </c>
      <c r="GU4">
        <v>95.092500000000001</v>
      </c>
      <c r="GV4">
        <v>95.052499999999995</v>
      </c>
      <c r="GW4">
        <v>95.112499999999997</v>
      </c>
      <c r="GX4">
        <v>95.105000000000004</v>
      </c>
      <c r="GY4">
        <v>95.105000000000004</v>
      </c>
      <c r="GZ4">
        <v>95.122500000000002</v>
      </c>
      <c r="HA4">
        <v>95.132499999999993</v>
      </c>
      <c r="HB4">
        <v>95.09</v>
      </c>
      <c r="HC4">
        <v>95.082499999999996</v>
      </c>
      <c r="HD4">
        <v>95.082499999999996</v>
      </c>
      <c r="HE4">
        <v>95.084999999999994</v>
      </c>
      <c r="HF4">
        <v>95.1</v>
      </c>
      <c r="HG4">
        <v>95.094999999999999</v>
      </c>
      <c r="HH4">
        <v>95.077500000000001</v>
      </c>
      <c r="HI4">
        <v>95.094999999999999</v>
      </c>
      <c r="HJ4">
        <v>95.06</v>
      </c>
      <c r="HK4">
        <v>95.112499999999997</v>
      </c>
      <c r="HL4">
        <v>95.067499999999995</v>
      </c>
      <c r="HM4">
        <v>95.047499999999999</v>
      </c>
      <c r="HN4">
        <v>95.05</v>
      </c>
      <c r="HO4">
        <v>95.05</v>
      </c>
      <c r="HP4">
        <v>95.11</v>
      </c>
      <c r="HQ4">
        <v>95.155000000000001</v>
      </c>
      <c r="HR4">
        <v>95.13</v>
      </c>
      <c r="HS4">
        <v>95.135000000000005</v>
      </c>
      <c r="HT4">
        <v>95.155000000000001</v>
      </c>
      <c r="HU4">
        <v>95.2</v>
      </c>
      <c r="HV4">
        <v>95.2</v>
      </c>
      <c r="HW4">
        <v>95.284999999999997</v>
      </c>
      <c r="HX4">
        <v>95.275000000000006</v>
      </c>
      <c r="HY4">
        <v>95.045000000000002</v>
      </c>
      <c r="HZ4">
        <v>94.965000000000003</v>
      </c>
      <c r="IA4">
        <v>94.965000000000003</v>
      </c>
      <c r="IB4">
        <v>94.954999999999998</v>
      </c>
      <c r="IC4">
        <v>94.96</v>
      </c>
      <c r="ID4">
        <v>94.95</v>
      </c>
      <c r="IE4">
        <v>94.94</v>
      </c>
      <c r="IF4">
        <v>94.924999999999997</v>
      </c>
      <c r="IG4">
        <v>94.915000000000006</v>
      </c>
      <c r="IH4">
        <v>94.935000000000002</v>
      </c>
      <c r="II4">
        <v>94.94</v>
      </c>
      <c r="IJ4">
        <v>94.95</v>
      </c>
      <c r="IK4">
        <v>94.96</v>
      </c>
      <c r="IL4">
        <v>94.965000000000003</v>
      </c>
      <c r="IM4">
        <v>94.944999999999993</v>
      </c>
      <c r="IN4">
        <v>94.935000000000002</v>
      </c>
      <c r="IO4">
        <v>94.875</v>
      </c>
      <c r="IP4">
        <v>94.87</v>
      </c>
      <c r="IQ4">
        <v>94.88</v>
      </c>
      <c r="IR4">
        <v>94.89</v>
      </c>
      <c r="IS4">
        <v>94.87</v>
      </c>
      <c r="IT4">
        <v>94.87</v>
      </c>
      <c r="IU4">
        <v>94.85</v>
      </c>
      <c r="IV4">
        <v>94.844999999999999</v>
      </c>
      <c r="IW4">
        <v>94.85</v>
      </c>
      <c r="IX4">
        <v>94.844999999999999</v>
      </c>
      <c r="IY4">
        <v>94.83</v>
      </c>
      <c r="IZ4">
        <v>94.855000000000004</v>
      </c>
      <c r="JA4">
        <v>94.855000000000004</v>
      </c>
      <c r="JB4">
        <v>94.85</v>
      </c>
      <c r="JC4">
        <v>94.844999999999999</v>
      </c>
      <c r="JD4">
        <v>94.642499999999998</v>
      </c>
      <c r="JE4">
        <v>94.642499999999998</v>
      </c>
      <c r="JF4">
        <v>94.644999999999996</v>
      </c>
      <c r="JG4">
        <v>94.652500000000003</v>
      </c>
      <c r="JH4">
        <v>94.655000000000001</v>
      </c>
      <c r="JI4">
        <v>94.655000000000001</v>
      </c>
      <c r="JJ4">
        <v>94.655000000000001</v>
      </c>
      <c r="JK4">
        <v>94.652500000000003</v>
      </c>
      <c r="JL4">
        <v>94.655000000000001</v>
      </c>
      <c r="JM4">
        <v>94.677499999999995</v>
      </c>
      <c r="JN4">
        <v>94.672499999999999</v>
      </c>
      <c r="JO4">
        <v>94.667500000000004</v>
      </c>
      <c r="JP4">
        <v>94.667500000000004</v>
      </c>
      <c r="JQ4">
        <v>94.665000000000006</v>
      </c>
      <c r="JR4">
        <v>94.662499999999994</v>
      </c>
      <c r="JS4">
        <v>94.657499999999999</v>
      </c>
      <c r="JT4">
        <v>94.655000000000001</v>
      </c>
      <c r="JU4">
        <v>94.657499999999999</v>
      </c>
      <c r="JV4">
        <v>94.657499999999999</v>
      </c>
      <c r="JW4">
        <v>94.66</v>
      </c>
      <c r="JX4">
        <v>94.672499999999999</v>
      </c>
      <c r="JY4">
        <v>94.685000000000002</v>
      </c>
      <c r="JZ4">
        <v>94.685000000000002</v>
      </c>
      <c r="KA4">
        <v>94.692499999999995</v>
      </c>
      <c r="KB4">
        <v>94.697500000000005</v>
      </c>
      <c r="KC4">
        <v>94.702500000000001</v>
      </c>
      <c r="KD4">
        <v>94.694999999999993</v>
      </c>
      <c r="KE4">
        <v>94.694999999999993</v>
      </c>
      <c r="KF4">
        <v>94.7</v>
      </c>
      <c r="KG4">
        <v>94.71</v>
      </c>
      <c r="KH4">
        <v>94.704999999999998</v>
      </c>
      <c r="KI4">
        <v>94.704999999999998</v>
      </c>
      <c r="KJ4">
        <v>94.715000000000003</v>
      </c>
      <c r="KK4">
        <v>94.715000000000003</v>
      </c>
      <c r="KL4">
        <v>94.715000000000003</v>
      </c>
      <c r="KM4">
        <v>94.694999999999993</v>
      </c>
      <c r="KN4">
        <v>94.69</v>
      </c>
      <c r="KO4">
        <v>94.704999999999998</v>
      </c>
      <c r="KP4">
        <v>94.71</v>
      </c>
      <c r="KQ4">
        <v>94.71</v>
      </c>
      <c r="KR4">
        <v>94.734999999999999</v>
      </c>
      <c r="KS4">
        <v>94.745000000000005</v>
      </c>
      <c r="KT4">
        <v>94.734999999999999</v>
      </c>
      <c r="KU4">
        <v>94.74</v>
      </c>
      <c r="KV4">
        <v>94.73</v>
      </c>
      <c r="KW4">
        <v>94.74</v>
      </c>
      <c r="KX4">
        <v>94.74</v>
      </c>
      <c r="KY4">
        <v>94.75</v>
      </c>
      <c r="KZ4">
        <v>94.77</v>
      </c>
      <c r="LA4">
        <v>94.74</v>
      </c>
      <c r="LB4">
        <v>94.72</v>
      </c>
      <c r="LC4">
        <v>94.834999999999994</v>
      </c>
      <c r="LD4">
        <v>94.814999999999998</v>
      </c>
      <c r="LE4">
        <v>94.834999999999994</v>
      </c>
      <c r="LF4">
        <v>94.885000000000005</v>
      </c>
      <c r="LG4">
        <v>94.85</v>
      </c>
      <c r="LH4">
        <v>94.85</v>
      </c>
      <c r="LI4">
        <v>94.825000000000003</v>
      </c>
      <c r="LJ4">
        <v>94.864999999999995</v>
      </c>
      <c r="LK4">
        <v>94.864999999999995</v>
      </c>
      <c r="LL4">
        <v>94.885000000000005</v>
      </c>
      <c r="LM4">
        <v>94.885000000000005</v>
      </c>
      <c r="LN4">
        <v>94.89</v>
      </c>
      <c r="LO4">
        <v>94.91</v>
      </c>
      <c r="LP4">
        <v>94.89</v>
      </c>
      <c r="LQ4">
        <v>94.91</v>
      </c>
      <c r="LR4">
        <v>94.665000000000006</v>
      </c>
      <c r="LS4">
        <v>94.665000000000006</v>
      </c>
      <c r="LT4">
        <v>94.665000000000006</v>
      </c>
      <c r="LU4">
        <v>94.667500000000004</v>
      </c>
      <c r="LV4">
        <v>94.67</v>
      </c>
      <c r="LW4">
        <v>94.672499999999999</v>
      </c>
      <c r="LX4">
        <v>94.685000000000002</v>
      </c>
      <c r="LY4">
        <v>94.697500000000005</v>
      </c>
      <c r="LZ4">
        <v>94.702500000000001</v>
      </c>
      <c r="MA4">
        <v>94.694999999999993</v>
      </c>
      <c r="MB4">
        <v>94.694999999999993</v>
      </c>
      <c r="MC4">
        <v>94.6875</v>
      </c>
      <c r="MD4">
        <v>94.704999999999998</v>
      </c>
      <c r="ME4">
        <v>94.685000000000002</v>
      </c>
      <c r="MF4">
        <v>94.682500000000005</v>
      </c>
      <c r="MG4">
        <v>94.674999999999997</v>
      </c>
      <c r="MH4">
        <v>94.67</v>
      </c>
      <c r="MI4">
        <v>94.6875</v>
      </c>
      <c r="MJ4">
        <v>94.697500000000005</v>
      </c>
      <c r="MK4">
        <v>94.702500000000001</v>
      </c>
      <c r="ML4">
        <v>94.712500000000006</v>
      </c>
      <c r="MM4">
        <v>94.71</v>
      </c>
      <c r="MN4">
        <v>94.71</v>
      </c>
      <c r="MO4">
        <v>94.724999999999994</v>
      </c>
      <c r="MP4">
        <v>94.73</v>
      </c>
      <c r="MQ4">
        <v>94.72</v>
      </c>
      <c r="MR4">
        <v>94.765000000000001</v>
      </c>
      <c r="MS4">
        <v>94.775000000000006</v>
      </c>
      <c r="MT4">
        <v>94.78</v>
      </c>
      <c r="MU4">
        <v>94.784999999999997</v>
      </c>
      <c r="MV4">
        <v>94.784999999999997</v>
      </c>
      <c r="MW4">
        <v>94.77</v>
      </c>
      <c r="MX4">
        <v>94.8</v>
      </c>
      <c r="MY4">
        <v>94.89</v>
      </c>
      <c r="MZ4">
        <v>94.915000000000006</v>
      </c>
      <c r="NA4">
        <v>94.855000000000004</v>
      </c>
      <c r="NB4">
        <v>94.875</v>
      </c>
      <c r="NC4">
        <v>94.864999999999995</v>
      </c>
      <c r="ND4">
        <v>94.88</v>
      </c>
      <c r="NE4">
        <v>94.84</v>
      </c>
      <c r="NF4">
        <v>94.86</v>
      </c>
      <c r="NG4">
        <v>94.85</v>
      </c>
      <c r="NH4">
        <v>94.86</v>
      </c>
      <c r="NI4">
        <v>94.894999999999996</v>
      </c>
      <c r="NJ4">
        <v>94.89</v>
      </c>
      <c r="NK4">
        <v>94.944999999999993</v>
      </c>
      <c r="NL4">
        <v>95.01</v>
      </c>
      <c r="NM4">
        <v>95.01</v>
      </c>
      <c r="NN4">
        <v>94.96</v>
      </c>
      <c r="NO4">
        <v>94.93</v>
      </c>
      <c r="NP4">
        <v>94.915000000000006</v>
      </c>
      <c r="NQ4">
        <v>94.924999999999997</v>
      </c>
      <c r="NR4">
        <v>94.93</v>
      </c>
      <c r="NS4">
        <v>94.92</v>
      </c>
      <c r="NT4">
        <v>94.94</v>
      </c>
      <c r="NU4">
        <v>94.974999999999994</v>
      </c>
      <c r="NV4">
        <v>95.015000000000001</v>
      </c>
      <c r="NW4">
        <v>95.015000000000001</v>
      </c>
      <c r="NX4">
        <v>95.004999999999995</v>
      </c>
      <c r="NY4">
        <v>95.025000000000006</v>
      </c>
      <c r="NZ4">
        <v>95</v>
      </c>
      <c r="OA4">
        <v>95.015000000000001</v>
      </c>
      <c r="OB4">
        <v>95.015000000000001</v>
      </c>
      <c r="OC4">
        <v>94.995000000000005</v>
      </c>
      <c r="OD4">
        <v>94.974999999999994</v>
      </c>
      <c r="OE4">
        <v>94.625</v>
      </c>
      <c r="OF4">
        <v>94.625</v>
      </c>
      <c r="OG4">
        <v>94.627499999999998</v>
      </c>
      <c r="OH4">
        <v>94.632499999999993</v>
      </c>
      <c r="OI4">
        <v>94.622500000000002</v>
      </c>
      <c r="OJ4">
        <v>94.61</v>
      </c>
      <c r="OK4">
        <v>94.612499999999997</v>
      </c>
      <c r="OL4">
        <v>94.614999999999995</v>
      </c>
      <c r="OM4">
        <v>94.635000000000005</v>
      </c>
      <c r="ON4">
        <v>94.63</v>
      </c>
      <c r="OO4">
        <v>94.622500000000002</v>
      </c>
      <c r="OP4">
        <v>94.62</v>
      </c>
      <c r="OQ4">
        <v>94.64</v>
      </c>
      <c r="OR4">
        <v>94.622500000000002</v>
      </c>
      <c r="OS4">
        <v>94.625</v>
      </c>
      <c r="OT4">
        <v>94.617500000000007</v>
      </c>
      <c r="OU4">
        <v>94.605000000000004</v>
      </c>
      <c r="OV4">
        <v>94.6</v>
      </c>
      <c r="OW4">
        <v>94.605000000000004</v>
      </c>
      <c r="OX4">
        <v>94.605000000000004</v>
      </c>
      <c r="OY4">
        <v>94.614999999999995</v>
      </c>
      <c r="OZ4">
        <v>94.617500000000007</v>
      </c>
      <c r="PA4">
        <v>94.622500000000002</v>
      </c>
      <c r="PB4">
        <v>94.627499999999998</v>
      </c>
      <c r="PC4">
        <v>94.622500000000002</v>
      </c>
      <c r="PD4">
        <v>94.635000000000005</v>
      </c>
      <c r="PE4">
        <v>94.58</v>
      </c>
      <c r="PF4">
        <v>94.594999999999999</v>
      </c>
      <c r="PG4">
        <v>94.594999999999999</v>
      </c>
      <c r="PH4">
        <v>94.61</v>
      </c>
      <c r="PI4">
        <v>94.62</v>
      </c>
      <c r="PJ4">
        <v>94.614999999999995</v>
      </c>
      <c r="PK4">
        <v>94.62</v>
      </c>
      <c r="PL4">
        <v>94.584999999999994</v>
      </c>
      <c r="PM4">
        <v>94.58</v>
      </c>
      <c r="PN4">
        <v>94.56</v>
      </c>
      <c r="PO4">
        <v>94.57</v>
      </c>
      <c r="PP4">
        <v>94.584999999999994</v>
      </c>
      <c r="PQ4">
        <v>94.575000000000003</v>
      </c>
      <c r="PR4">
        <v>94.555000000000007</v>
      </c>
      <c r="PS4">
        <v>94.56</v>
      </c>
      <c r="PT4">
        <v>94.564999999999998</v>
      </c>
      <c r="PU4">
        <v>94.575000000000003</v>
      </c>
      <c r="PV4">
        <v>94.55</v>
      </c>
      <c r="PW4">
        <v>94.52</v>
      </c>
      <c r="PX4">
        <v>94.51</v>
      </c>
      <c r="PY4">
        <v>94.55</v>
      </c>
      <c r="PZ4">
        <v>94.56</v>
      </c>
      <c r="QA4">
        <v>94.545000000000002</v>
      </c>
      <c r="QB4">
        <v>94.57</v>
      </c>
      <c r="QC4">
        <v>94.58</v>
      </c>
      <c r="QD4">
        <v>94.584999999999994</v>
      </c>
      <c r="QE4">
        <v>94.53</v>
      </c>
      <c r="QF4">
        <v>94.57</v>
      </c>
      <c r="QG4">
        <v>94.56</v>
      </c>
      <c r="QH4">
        <v>94.51</v>
      </c>
      <c r="QI4">
        <v>94.515000000000001</v>
      </c>
      <c r="QJ4">
        <v>94.55</v>
      </c>
      <c r="QK4">
        <v>94.545000000000002</v>
      </c>
      <c r="QL4">
        <v>94.515000000000001</v>
      </c>
      <c r="QM4">
        <v>94.54</v>
      </c>
      <c r="QN4">
        <v>94.53</v>
      </c>
      <c r="QO4">
        <v>94.53</v>
      </c>
      <c r="QP4">
        <v>94.52</v>
      </c>
      <c r="QQ4">
        <v>94.52</v>
      </c>
      <c r="QR4">
        <v>94.607500000000002</v>
      </c>
      <c r="QS4">
        <v>94.605000000000004</v>
      </c>
      <c r="QT4">
        <v>94.607500000000002</v>
      </c>
      <c r="QU4">
        <v>94.6</v>
      </c>
      <c r="QV4">
        <v>94.59</v>
      </c>
      <c r="QW4">
        <v>94.582499999999996</v>
      </c>
      <c r="QX4">
        <v>94.58</v>
      </c>
      <c r="QY4">
        <v>94.584999999999994</v>
      </c>
      <c r="QZ4">
        <v>94.582499999999996</v>
      </c>
      <c r="RA4">
        <v>94.58</v>
      </c>
      <c r="RB4">
        <v>94.58</v>
      </c>
      <c r="RC4">
        <v>94.594999999999999</v>
      </c>
      <c r="RD4">
        <v>94.594999999999999</v>
      </c>
      <c r="RE4">
        <v>94.587500000000006</v>
      </c>
      <c r="RF4">
        <v>94.577500000000001</v>
      </c>
      <c r="RG4">
        <v>94.567499999999995</v>
      </c>
      <c r="RH4">
        <v>94.54</v>
      </c>
      <c r="RI4">
        <v>94.545000000000002</v>
      </c>
      <c r="RJ4">
        <v>94.564999999999998</v>
      </c>
      <c r="RK4">
        <v>94.587500000000006</v>
      </c>
      <c r="RL4">
        <v>94.577500000000001</v>
      </c>
      <c r="RM4">
        <v>94.584999999999994</v>
      </c>
      <c r="RN4">
        <v>94.6</v>
      </c>
      <c r="RO4">
        <v>94.587500000000006</v>
      </c>
      <c r="RP4">
        <v>94.584999999999994</v>
      </c>
      <c r="RQ4">
        <v>94.59</v>
      </c>
      <c r="RR4">
        <v>94.587500000000006</v>
      </c>
      <c r="RS4">
        <v>94.594999999999999</v>
      </c>
      <c r="RT4">
        <v>94.61</v>
      </c>
      <c r="RU4">
        <v>94.6</v>
      </c>
      <c r="RV4">
        <v>94.6</v>
      </c>
      <c r="RW4">
        <v>94.6</v>
      </c>
      <c r="RX4">
        <v>94.6</v>
      </c>
      <c r="RY4">
        <v>94.59</v>
      </c>
      <c r="RZ4">
        <v>94.594999999999999</v>
      </c>
      <c r="SA4">
        <v>94.59</v>
      </c>
      <c r="SB4">
        <v>94.59</v>
      </c>
      <c r="SC4">
        <v>94.59</v>
      </c>
      <c r="SD4">
        <v>94.58</v>
      </c>
      <c r="SE4">
        <v>94.575000000000003</v>
      </c>
      <c r="SF4">
        <v>94.57</v>
      </c>
      <c r="SG4">
        <v>94.584999999999994</v>
      </c>
      <c r="SH4">
        <v>94.6</v>
      </c>
      <c r="SI4">
        <v>94.59</v>
      </c>
      <c r="SJ4">
        <v>94.605000000000004</v>
      </c>
      <c r="SK4">
        <v>94.6</v>
      </c>
      <c r="SL4">
        <v>94.6</v>
      </c>
      <c r="SM4">
        <v>94.605000000000004</v>
      </c>
      <c r="SN4">
        <v>94.63</v>
      </c>
      <c r="SO4">
        <v>94.61</v>
      </c>
      <c r="SP4">
        <v>94.57</v>
      </c>
      <c r="SQ4">
        <v>94.584999999999994</v>
      </c>
      <c r="SR4">
        <v>94.58</v>
      </c>
      <c r="SS4">
        <v>94.564999999999998</v>
      </c>
      <c r="ST4">
        <v>94.605000000000004</v>
      </c>
      <c r="SU4">
        <v>94.594999999999999</v>
      </c>
      <c r="SV4">
        <v>94.594999999999999</v>
      </c>
      <c r="SW4">
        <v>94.6</v>
      </c>
      <c r="SX4">
        <v>94.58</v>
      </c>
      <c r="SY4">
        <v>94.635000000000005</v>
      </c>
      <c r="SZ4">
        <v>94.635000000000005</v>
      </c>
      <c r="TA4">
        <v>94.655000000000001</v>
      </c>
      <c r="TB4">
        <v>94.665000000000006</v>
      </c>
      <c r="TC4">
        <v>94.644999999999996</v>
      </c>
      <c r="TD4">
        <v>94.66</v>
      </c>
      <c r="TE4">
        <v>94.777500000000003</v>
      </c>
      <c r="TF4">
        <v>94.784999999999997</v>
      </c>
      <c r="TG4">
        <v>94.784999999999997</v>
      </c>
      <c r="TH4">
        <v>94.795000000000002</v>
      </c>
      <c r="TI4">
        <v>94.8</v>
      </c>
      <c r="TJ4">
        <v>94.78</v>
      </c>
      <c r="TK4">
        <v>94.73</v>
      </c>
      <c r="TL4">
        <v>94.737499999999997</v>
      </c>
      <c r="TM4">
        <v>94.745000000000005</v>
      </c>
      <c r="TN4">
        <v>94.745000000000005</v>
      </c>
      <c r="TO4">
        <v>94.745000000000005</v>
      </c>
      <c r="TP4">
        <v>94.732500000000002</v>
      </c>
      <c r="TQ4">
        <v>94.722499999999997</v>
      </c>
      <c r="TR4">
        <v>94.757499999999993</v>
      </c>
      <c r="TS4">
        <v>94.72</v>
      </c>
      <c r="TT4">
        <v>94.662499999999994</v>
      </c>
      <c r="TU4">
        <v>94.672499999999999</v>
      </c>
      <c r="TV4">
        <v>94.672499999999999</v>
      </c>
      <c r="TW4">
        <v>94.682500000000005</v>
      </c>
      <c r="TX4">
        <v>94.737499999999997</v>
      </c>
      <c r="TY4">
        <v>94.784999999999997</v>
      </c>
      <c r="TZ4">
        <v>94.802499999999995</v>
      </c>
      <c r="UA4">
        <v>94.842500000000001</v>
      </c>
      <c r="UB4">
        <v>94.81</v>
      </c>
      <c r="UC4">
        <v>94.864999999999995</v>
      </c>
      <c r="UD4">
        <v>94.894999999999996</v>
      </c>
      <c r="UE4">
        <v>94.907499999999999</v>
      </c>
      <c r="UF4">
        <v>94.924999999999997</v>
      </c>
      <c r="UG4">
        <v>94.944999999999993</v>
      </c>
      <c r="UH4">
        <v>94.965000000000003</v>
      </c>
      <c r="UI4">
        <v>94.915000000000006</v>
      </c>
      <c r="UJ4">
        <v>94.93</v>
      </c>
      <c r="UK4">
        <v>94.96</v>
      </c>
      <c r="UL4">
        <v>95.04</v>
      </c>
      <c r="UM4">
        <v>94.935000000000002</v>
      </c>
      <c r="UN4">
        <v>94.984999999999999</v>
      </c>
      <c r="UO4">
        <v>94.875</v>
      </c>
      <c r="UP4">
        <v>94.915000000000006</v>
      </c>
      <c r="UQ4">
        <v>94.9</v>
      </c>
      <c r="UR4">
        <v>94.984999999999999</v>
      </c>
      <c r="US4">
        <v>95</v>
      </c>
      <c r="UT4">
        <v>94.905000000000001</v>
      </c>
      <c r="UU4">
        <v>94.905000000000001</v>
      </c>
      <c r="UV4">
        <v>94.915000000000006</v>
      </c>
      <c r="UW4">
        <v>94.885000000000005</v>
      </c>
      <c r="UX4">
        <v>94.915000000000006</v>
      </c>
      <c r="UY4">
        <v>94.92</v>
      </c>
      <c r="UZ4">
        <v>94.965000000000003</v>
      </c>
      <c r="VA4">
        <v>95.07</v>
      </c>
      <c r="VB4">
        <v>95.055000000000007</v>
      </c>
      <c r="VC4">
        <v>95.025000000000006</v>
      </c>
      <c r="VD4">
        <v>95.02</v>
      </c>
      <c r="VE4">
        <v>95.055000000000007</v>
      </c>
      <c r="VF4">
        <v>95.18</v>
      </c>
      <c r="VG4">
        <v>95.224999999999994</v>
      </c>
      <c r="VH4">
        <v>95.19</v>
      </c>
      <c r="VI4">
        <v>95.07</v>
      </c>
      <c r="VJ4">
        <v>95.125</v>
      </c>
      <c r="VK4">
        <v>95.144999999999996</v>
      </c>
      <c r="VL4">
        <v>95.18</v>
      </c>
      <c r="VM4">
        <v>95.21</v>
      </c>
      <c r="VN4">
        <v>95.204999999999998</v>
      </c>
      <c r="VO4">
        <v>95.39</v>
      </c>
      <c r="VP4">
        <v>95.394999999999996</v>
      </c>
      <c r="VQ4">
        <v>95.24</v>
      </c>
      <c r="VR4">
        <v>95.174999999999997</v>
      </c>
      <c r="VS4">
        <v>95.51</v>
      </c>
      <c r="VT4">
        <v>95.62</v>
      </c>
      <c r="VU4">
        <v>95.29</v>
      </c>
      <c r="VV4">
        <v>95.614999999999995</v>
      </c>
      <c r="VW4">
        <v>95.16</v>
      </c>
      <c r="VX4">
        <v>95.267499999999998</v>
      </c>
      <c r="VY4">
        <v>94.96</v>
      </c>
      <c r="VZ4">
        <v>94.86</v>
      </c>
      <c r="WA4">
        <v>94.832499999999996</v>
      </c>
      <c r="WB4">
        <v>94.864999999999995</v>
      </c>
      <c r="WC4">
        <v>94.974999999999994</v>
      </c>
      <c r="WD4">
        <v>94.987499999999997</v>
      </c>
      <c r="WE4">
        <v>94.99</v>
      </c>
      <c r="WF4">
        <v>94.99</v>
      </c>
      <c r="WG4">
        <v>95.004999999999995</v>
      </c>
      <c r="WH4">
        <v>95.002499999999998</v>
      </c>
      <c r="WI4">
        <v>95</v>
      </c>
      <c r="WJ4">
        <v>94.99</v>
      </c>
      <c r="WK4">
        <v>94.987499999999997</v>
      </c>
      <c r="WL4">
        <v>95.004999999999995</v>
      </c>
      <c r="WM4">
        <v>95.03</v>
      </c>
      <c r="WN4">
        <v>95.03</v>
      </c>
      <c r="WO4">
        <v>95.06</v>
      </c>
      <c r="WP4">
        <v>95.06</v>
      </c>
      <c r="WQ4">
        <v>95.052499999999995</v>
      </c>
      <c r="WR4">
        <v>95.064999999999998</v>
      </c>
      <c r="WS4">
        <v>95.07</v>
      </c>
      <c r="WT4">
        <v>95.07</v>
      </c>
      <c r="WU4">
        <v>95.075000000000003</v>
      </c>
      <c r="WV4">
        <v>95.08</v>
      </c>
      <c r="WW4">
        <v>95.09</v>
      </c>
      <c r="WX4">
        <v>95.12</v>
      </c>
      <c r="WY4">
        <v>95.18</v>
      </c>
      <c r="WZ4">
        <v>95.17</v>
      </c>
      <c r="XA4">
        <v>95.165000000000006</v>
      </c>
      <c r="XB4">
        <v>95.15</v>
      </c>
      <c r="XC4">
        <v>95.16</v>
      </c>
      <c r="XD4">
        <v>95.16</v>
      </c>
      <c r="XE4">
        <v>95.17</v>
      </c>
      <c r="XF4">
        <v>95.15</v>
      </c>
      <c r="XG4">
        <v>95.14</v>
      </c>
      <c r="XH4">
        <v>95.16</v>
      </c>
      <c r="XI4">
        <v>95.165000000000006</v>
      </c>
      <c r="XJ4">
        <v>95.18</v>
      </c>
      <c r="XK4">
        <v>95.155000000000001</v>
      </c>
      <c r="XL4">
        <v>95.144999999999996</v>
      </c>
      <c r="XM4">
        <v>95.144999999999996</v>
      </c>
      <c r="XN4">
        <v>95.155000000000001</v>
      </c>
      <c r="XO4">
        <v>95.114999999999995</v>
      </c>
      <c r="XP4">
        <v>95.114999999999995</v>
      </c>
      <c r="XQ4">
        <v>95.12</v>
      </c>
      <c r="XR4">
        <v>95.1</v>
      </c>
      <c r="XS4">
        <v>95.05</v>
      </c>
      <c r="XT4">
        <v>95.084999999999994</v>
      </c>
      <c r="XU4">
        <v>95.084999999999994</v>
      </c>
      <c r="XV4">
        <v>95.084999999999994</v>
      </c>
      <c r="XW4">
        <v>95.084999999999994</v>
      </c>
      <c r="XX4">
        <v>95.11</v>
      </c>
      <c r="XY4">
        <v>95.105000000000004</v>
      </c>
      <c r="XZ4">
        <v>95.064999999999998</v>
      </c>
      <c r="YA4">
        <v>95.12</v>
      </c>
      <c r="YB4">
        <v>95.12</v>
      </c>
      <c r="YC4">
        <v>95.144999999999996</v>
      </c>
      <c r="YD4">
        <v>95.18</v>
      </c>
      <c r="YE4">
        <v>95.49</v>
      </c>
      <c r="YF4">
        <v>95.49</v>
      </c>
      <c r="YG4">
        <v>95.502499999999998</v>
      </c>
      <c r="YH4">
        <v>95.502499999999998</v>
      </c>
      <c r="YI4">
        <v>95.5</v>
      </c>
      <c r="YJ4">
        <v>95.495000000000005</v>
      </c>
      <c r="YK4">
        <v>95.462500000000006</v>
      </c>
      <c r="YL4">
        <v>95.474999999999994</v>
      </c>
      <c r="YM4">
        <v>95.474999999999994</v>
      </c>
      <c r="YN4">
        <v>95.477500000000006</v>
      </c>
      <c r="YO4">
        <v>95.467500000000001</v>
      </c>
      <c r="YP4">
        <v>95.462500000000006</v>
      </c>
      <c r="YQ4">
        <v>95.477500000000006</v>
      </c>
      <c r="YR4">
        <v>95.48</v>
      </c>
      <c r="YS4">
        <v>95.46</v>
      </c>
      <c r="YT4">
        <v>95.442499999999995</v>
      </c>
      <c r="YU4">
        <v>95.43</v>
      </c>
      <c r="YV4">
        <v>95.432500000000005</v>
      </c>
      <c r="YW4">
        <v>95.424999999999997</v>
      </c>
      <c r="YX4">
        <v>95.424999999999997</v>
      </c>
      <c r="YY4">
        <v>95.42</v>
      </c>
      <c r="YZ4">
        <v>95.4375</v>
      </c>
      <c r="ZA4">
        <v>95.45</v>
      </c>
      <c r="ZB4">
        <v>95.467500000000001</v>
      </c>
      <c r="ZC4">
        <v>95.482500000000002</v>
      </c>
      <c r="ZD4">
        <v>95.482500000000002</v>
      </c>
      <c r="ZE4">
        <v>95.477500000000006</v>
      </c>
      <c r="ZF4">
        <v>95.49</v>
      </c>
      <c r="ZG4">
        <v>95.495000000000005</v>
      </c>
      <c r="ZH4">
        <v>95.41</v>
      </c>
      <c r="ZI4">
        <v>95.394999999999996</v>
      </c>
      <c r="ZJ4">
        <v>95.38</v>
      </c>
      <c r="ZK4">
        <v>95.41</v>
      </c>
      <c r="ZL4">
        <v>95.375</v>
      </c>
      <c r="ZM4">
        <v>95.405000000000001</v>
      </c>
      <c r="ZN4">
        <v>95.385000000000005</v>
      </c>
      <c r="ZO4">
        <v>95.39</v>
      </c>
      <c r="ZP4">
        <v>95.43</v>
      </c>
      <c r="ZQ4">
        <v>95.47</v>
      </c>
      <c r="ZR4">
        <v>95.444999999999993</v>
      </c>
      <c r="ZS4">
        <v>95.39</v>
      </c>
      <c r="ZT4">
        <v>95.375</v>
      </c>
      <c r="ZU4">
        <v>95.41</v>
      </c>
      <c r="ZV4">
        <v>95.305000000000007</v>
      </c>
      <c r="ZW4">
        <v>95.32</v>
      </c>
      <c r="ZX4">
        <v>95.364999999999995</v>
      </c>
      <c r="ZY4">
        <v>95.355000000000004</v>
      </c>
      <c r="ZZ4">
        <v>95.34</v>
      </c>
      <c r="AAA4">
        <v>95.36</v>
      </c>
      <c r="AAB4">
        <v>95.52</v>
      </c>
      <c r="AAC4">
        <v>95.525000000000006</v>
      </c>
      <c r="AAD4">
        <v>95.52</v>
      </c>
      <c r="AAE4">
        <v>95.545000000000002</v>
      </c>
      <c r="AAF4">
        <v>95.625</v>
      </c>
      <c r="AAG4">
        <v>95.665000000000006</v>
      </c>
      <c r="AAH4">
        <v>95.674999999999997</v>
      </c>
      <c r="AAI4">
        <v>95.715000000000003</v>
      </c>
      <c r="AAJ4">
        <v>95.704999999999998</v>
      </c>
      <c r="AAK4">
        <v>95.734999999999999</v>
      </c>
      <c r="AAL4">
        <v>95.75</v>
      </c>
      <c r="AAM4">
        <v>95.68</v>
      </c>
      <c r="AAN4">
        <v>95.635000000000005</v>
      </c>
      <c r="AAO4">
        <v>95.605000000000004</v>
      </c>
      <c r="AAP4">
        <v>95.63</v>
      </c>
      <c r="AAQ4">
        <v>95.674999999999997</v>
      </c>
      <c r="AAR4">
        <v>96.542500000000004</v>
      </c>
      <c r="AAS4">
        <v>96.534999999999997</v>
      </c>
      <c r="AAT4">
        <v>96.55</v>
      </c>
      <c r="AAU4">
        <v>96.532499999999999</v>
      </c>
      <c r="AAV4">
        <v>96.532499999999999</v>
      </c>
      <c r="AAW4">
        <v>96.537499999999994</v>
      </c>
      <c r="AAX4">
        <v>96.685000000000002</v>
      </c>
      <c r="AAY4">
        <v>96.694999999999993</v>
      </c>
      <c r="AAZ4">
        <v>96.712500000000006</v>
      </c>
      <c r="ABA4">
        <v>96.742500000000007</v>
      </c>
      <c r="ABB4">
        <v>96.745000000000005</v>
      </c>
      <c r="ABC4">
        <v>96.82</v>
      </c>
      <c r="ABD4">
        <v>96.82</v>
      </c>
      <c r="ABE4">
        <v>96.754999999999995</v>
      </c>
      <c r="ABF4">
        <v>96.777500000000003</v>
      </c>
      <c r="ABG4">
        <v>96.767499999999998</v>
      </c>
      <c r="ABH4">
        <v>96.775000000000006</v>
      </c>
      <c r="ABI4">
        <v>96.817499999999995</v>
      </c>
      <c r="ABJ4">
        <v>96.814999999999998</v>
      </c>
      <c r="ABK4">
        <v>96.822500000000005</v>
      </c>
      <c r="ABL4">
        <v>96.85</v>
      </c>
      <c r="ABM4">
        <v>96.842500000000001</v>
      </c>
      <c r="ABN4">
        <v>96.885000000000005</v>
      </c>
      <c r="ABO4">
        <v>96.894999999999996</v>
      </c>
      <c r="ABP4">
        <v>96.892499999999998</v>
      </c>
      <c r="ABQ4">
        <v>96.887500000000003</v>
      </c>
      <c r="ABR4">
        <v>96.89</v>
      </c>
      <c r="ABS4">
        <v>96.88</v>
      </c>
      <c r="ABT4">
        <v>96.88</v>
      </c>
      <c r="ABU4">
        <v>96.885000000000005</v>
      </c>
      <c r="ABV4">
        <v>96.81</v>
      </c>
      <c r="ABW4">
        <v>96.82</v>
      </c>
      <c r="ABX4">
        <v>96.82</v>
      </c>
      <c r="ABY4">
        <v>96.94</v>
      </c>
      <c r="ABZ4">
        <v>96.915000000000006</v>
      </c>
      <c r="ACA4">
        <v>96.93</v>
      </c>
      <c r="ACB4">
        <v>96.98</v>
      </c>
      <c r="ACC4">
        <v>96.99</v>
      </c>
      <c r="ACD4">
        <v>97</v>
      </c>
      <c r="ACE4">
        <v>96.965000000000003</v>
      </c>
      <c r="ACF4">
        <v>96.905000000000001</v>
      </c>
      <c r="ACG4">
        <v>96.885000000000005</v>
      </c>
      <c r="ACH4">
        <v>96.92</v>
      </c>
      <c r="ACI4">
        <v>96.864999999999995</v>
      </c>
      <c r="ACJ4">
        <v>96.805000000000007</v>
      </c>
      <c r="ACK4">
        <v>96.81</v>
      </c>
      <c r="ACL4">
        <v>96.84</v>
      </c>
      <c r="ACM4">
        <v>96.84</v>
      </c>
      <c r="ACN4">
        <v>96.74</v>
      </c>
      <c r="ACO4">
        <v>96.64</v>
      </c>
      <c r="ACP4">
        <v>96.935000000000002</v>
      </c>
      <c r="ACQ4">
        <v>96.924999999999997</v>
      </c>
      <c r="ACR4">
        <v>96.924999999999997</v>
      </c>
      <c r="ACS4">
        <v>97</v>
      </c>
      <c r="ACT4">
        <v>97.025000000000006</v>
      </c>
      <c r="ACU4">
        <v>97.08</v>
      </c>
      <c r="ACV4">
        <v>97.03</v>
      </c>
      <c r="ACW4">
        <v>97.03</v>
      </c>
      <c r="ACX4">
        <v>97.045000000000002</v>
      </c>
      <c r="ACY4">
        <v>96.974999999999994</v>
      </c>
      <c r="ACZ4">
        <v>96.974999999999994</v>
      </c>
      <c r="ADA4">
        <v>96.97</v>
      </c>
      <c r="ADB4">
        <v>97.004999999999995</v>
      </c>
      <c r="ADC4">
        <v>96.95</v>
      </c>
      <c r="ADD4">
        <v>96.944999999999993</v>
      </c>
      <c r="ADE4">
        <v>96.875</v>
      </c>
      <c r="ADF4">
        <v>96.91</v>
      </c>
      <c r="ADG4">
        <v>96.91</v>
      </c>
      <c r="ADH4">
        <v>96.915000000000006</v>
      </c>
      <c r="ADI4">
        <v>96.95</v>
      </c>
      <c r="ADJ4">
        <v>98.094999999999999</v>
      </c>
      <c r="ADK4">
        <v>98.317499999999995</v>
      </c>
      <c r="ADL4">
        <v>98.362499999999997</v>
      </c>
      <c r="ADM4">
        <v>98.417500000000004</v>
      </c>
      <c r="ADN4">
        <v>98.42</v>
      </c>
      <c r="ADO4">
        <v>98.42</v>
      </c>
      <c r="ADP4">
        <v>98.417500000000004</v>
      </c>
      <c r="ADQ4">
        <v>98.43</v>
      </c>
      <c r="ADR4">
        <v>98.427499999999995</v>
      </c>
      <c r="ADS4">
        <v>98.424999999999997</v>
      </c>
      <c r="ADT4">
        <v>98.4375</v>
      </c>
      <c r="ADU4">
        <v>98.442499999999995</v>
      </c>
      <c r="ADV4">
        <v>98.442499999999995</v>
      </c>
      <c r="ADW4">
        <v>98.432500000000005</v>
      </c>
      <c r="ADX4">
        <v>98.427499999999995</v>
      </c>
      <c r="ADY4">
        <v>98.42</v>
      </c>
      <c r="ADZ4">
        <v>98.4</v>
      </c>
      <c r="AEA4">
        <v>98.42</v>
      </c>
      <c r="AEB4">
        <v>98.407499999999999</v>
      </c>
      <c r="AEC4">
        <v>98.392499999999998</v>
      </c>
      <c r="AED4">
        <v>98.385000000000005</v>
      </c>
      <c r="AEE4">
        <v>98.41</v>
      </c>
      <c r="AEF4">
        <v>98.41</v>
      </c>
      <c r="AEG4">
        <v>98.43</v>
      </c>
      <c r="AEH4">
        <v>98.4</v>
      </c>
      <c r="AEI4">
        <v>98.41</v>
      </c>
      <c r="AEJ4">
        <v>98.424999999999997</v>
      </c>
      <c r="AEK4">
        <v>98.405000000000001</v>
      </c>
      <c r="AEL4">
        <v>98.39</v>
      </c>
      <c r="AEM4">
        <v>98.405000000000001</v>
      </c>
      <c r="AEN4">
        <v>98.355000000000004</v>
      </c>
      <c r="AEO4">
        <v>98.364999999999995</v>
      </c>
      <c r="AEP4">
        <v>98.34</v>
      </c>
      <c r="AEQ4">
        <v>98.38</v>
      </c>
      <c r="AER4">
        <v>98.415000000000006</v>
      </c>
      <c r="AES4">
        <v>98.405000000000001</v>
      </c>
      <c r="AET4">
        <v>98.38</v>
      </c>
      <c r="AEU4">
        <v>98.34</v>
      </c>
      <c r="AEV4">
        <v>98.424999999999997</v>
      </c>
      <c r="AEW4">
        <v>98.484999999999999</v>
      </c>
      <c r="AEX4">
        <v>98.52</v>
      </c>
      <c r="AEY4">
        <v>98.56</v>
      </c>
      <c r="AEZ4">
        <v>98.56</v>
      </c>
      <c r="AFA4">
        <v>98.56</v>
      </c>
      <c r="AFB4">
        <v>98.594999999999999</v>
      </c>
      <c r="AFC4">
        <v>98.584999999999994</v>
      </c>
      <c r="AFD4">
        <v>98.545000000000002</v>
      </c>
      <c r="AFE4">
        <v>98.54</v>
      </c>
      <c r="AFF4">
        <v>98.56</v>
      </c>
      <c r="AFG4">
        <v>98.56</v>
      </c>
      <c r="AFH4">
        <v>98.584999999999994</v>
      </c>
      <c r="AFI4">
        <v>98.61</v>
      </c>
      <c r="AFJ4">
        <v>98.625</v>
      </c>
      <c r="AFK4">
        <v>98.665000000000006</v>
      </c>
      <c r="AFL4">
        <v>98.66</v>
      </c>
      <c r="AFM4">
        <v>98.63</v>
      </c>
      <c r="AFN4">
        <v>98.584999999999994</v>
      </c>
      <c r="AFO4">
        <v>98.61</v>
      </c>
      <c r="AFP4">
        <v>98.67</v>
      </c>
      <c r="AFQ4">
        <v>98.7</v>
      </c>
      <c r="AFR4">
        <v>98.69</v>
      </c>
      <c r="AFS4">
        <v>98.694999999999993</v>
      </c>
      <c r="AFT4">
        <v>98.814999999999998</v>
      </c>
      <c r="AFU4">
        <v>98.844999999999999</v>
      </c>
      <c r="AFV4">
        <v>98.795000000000002</v>
      </c>
      <c r="AFW4">
        <v>99.49</v>
      </c>
      <c r="AFX4">
        <v>99.477500000000006</v>
      </c>
      <c r="AFY4">
        <v>99.522499999999994</v>
      </c>
      <c r="AFZ4">
        <v>99.525000000000006</v>
      </c>
      <c r="AGA4">
        <v>99.527500000000003</v>
      </c>
      <c r="AGB4">
        <v>99.545000000000002</v>
      </c>
      <c r="AGC4">
        <v>99.545000000000002</v>
      </c>
      <c r="AGD4">
        <v>99.542500000000004</v>
      </c>
      <c r="AGE4">
        <v>99.542500000000004</v>
      </c>
      <c r="AGF4">
        <v>99.542500000000004</v>
      </c>
      <c r="AGG4">
        <v>99.594999999999999</v>
      </c>
      <c r="AGH4">
        <v>99.55</v>
      </c>
      <c r="AGI4">
        <v>99.492500000000007</v>
      </c>
      <c r="AGJ4">
        <v>99.522499999999994</v>
      </c>
      <c r="AGK4">
        <v>99.452500000000001</v>
      </c>
      <c r="AGL4">
        <v>99.447500000000005</v>
      </c>
      <c r="AGM4">
        <v>99.5</v>
      </c>
      <c r="AGN4">
        <v>99.5</v>
      </c>
      <c r="AGO4">
        <v>99.48</v>
      </c>
      <c r="AGP4">
        <v>99.457499999999996</v>
      </c>
      <c r="AGQ4">
        <v>99.424999999999997</v>
      </c>
      <c r="AGR4">
        <v>99.402500000000003</v>
      </c>
      <c r="AGS4">
        <v>99.435000000000002</v>
      </c>
      <c r="AGT4">
        <v>99.38</v>
      </c>
      <c r="AGU4">
        <v>99.504999999999995</v>
      </c>
      <c r="AGV4">
        <v>99.5</v>
      </c>
      <c r="AGW4">
        <v>99.51</v>
      </c>
      <c r="AGX4">
        <v>99.49</v>
      </c>
      <c r="AGY4">
        <v>99.564999999999998</v>
      </c>
      <c r="AGZ4">
        <v>99.584999999999994</v>
      </c>
      <c r="AHA4">
        <v>99.575000000000003</v>
      </c>
      <c r="AHB4">
        <v>99.575000000000003</v>
      </c>
      <c r="AHC4">
        <v>99.57</v>
      </c>
      <c r="AHD4">
        <v>99.564999999999998</v>
      </c>
      <c r="AHE4">
        <v>99.62</v>
      </c>
      <c r="AHF4">
        <v>99.64</v>
      </c>
      <c r="AHG4">
        <v>99.655000000000001</v>
      </c>
      <c r="AHH4">
        <v>99.644999999999996</v>
      </c>
      <c r="AHI4">
        <v>99.63</v>
      </c>
      <c r="AHJ4">
        <v>99.625</v>
      </c>
      <c r="AHK4">
        <v>99.625</v>
      </c>
      <c r="AHL4">
        <v>99.665000000000006</v>
      </c>
      <c r="AHM4">
        <v>99.665000000000006</v>
      </c>
      <c r="AHN4">
        <v>99.685000000000002</v>
      </c>
      <c r="AHO4">
        <v>99.685000000000002</v>
      </c>
      <c r="AHP4">
        <v>99.694999999999993</v>
      </c>
      <c r="AHQ4">
        <v>99.694999999999993</v>
      </c>
      <c r="AHR4">
        <v>99.71</v>
      </c>
      <c r="AHS4">
        <v>99.7</v>
      </c>
      <c r="AHT4">
        <v>99.715000000000003</v>
      </c>
      <c r="AHU4">
        <v>99.745000000000005</v>
      </c>
      <c r="AHV4">
        <v>99.745000000000005</v>
      </c>
      <c r="AHW4">
        <v>99.76</v>
      </c>
      <c r="AHX4">
        <v>99.75</v>
      </c>
      <c r="AHY4">
        <v>99.734999999999999</v>
      </c>
      <c r="AHZ4">
        <v>99.74</v>
      </c>
      <c r="AIA4">
        <v>99.74</v>
      </c>
      <c r="AIB4">
        <v>99.754999999999995</v>
      </c>
      <c r="AIC4">
        <v>99.754999999999995</v>
      </c>
      <c r="AID4">
        <v>99.76</v>
      </c>
      <c r="AIE4">
        <v>99.76</v>
      </c>
      <c r="AIF4">
        <v>99.775000000000006</v>
      </c>
      <c r="AIG4">
        <v>99.77</v>
      </c>
      <c r="AIH4">
        <v>99.79</v>
      </c>
      <c r="AII4">
        <v>99.78</v>
      </c>
      <c r="AIJ4">
        <v>99.93</v>
      </c>
      <c r="AIK4">
        <v>99.9375</v>
      </c>
      <c r="AIL4">
        <v>99.94</v>
      </c>
      <c r="AIM4">
        <v>99.94</v>
      </c>
      <c r="AIN4">
        <v>99.94</v>
      </c>
      <c r="AIO4">
        <v>99.9375</v>
      </c>
      <c r="AIP4">
        <v>99.9375</v>
      </c>
      <c r="AIQ4">
        <v>99.942499999999995</v>
      </c>
      <c r="AIR4">
        <v>99.942499999999995</v>
      </c>
      <c r="AIS4">
        <v>99.944999999999993</v>
      </c>
      <c r="AIT4">
        <v>99.944999999999993</v>
      </c>
      <c r="AIU4">
        <v>99.944999999999993</v>
      </c>
      <c r="AIV4">
        <v>99.947500000000005</v>
      </c>
      <c r="AIW4">
        <v>99.944999999999993</v>
      </c>
      <c r="AIX4">
        <v>99.944999999999993</v>
      </c>
      <c r="AIY4">
        <v>99.94</v>
      </c>
      <c r="AIZ4">
        <v>99.942499999999995</v>
      </c>
      <c r="AJA4">
        <v>99.942499999999995</v>
      </c>
      <c r="AJB4">
        <v>99.944999999999993</v>
      </c>
      <c r="AJC4">
        <v>99.944999999999993</v>
      </c>
      <c r="AJD4">
        <v>99.942499999999995</v>
      </c>
      <c r="AJE4">
        <v>99.942499999999995</v>
      </c>
      <c r="AJF4">
        <v>99.944999999999993</v>
      </c>
      <c r="AJG4">
        <v>99.94</v>
      </c>
      <c r="AJH4">
        <v>99.94</v>
      </c>
      <c r="AJI4">
        <v>99.95</v>
      </c>
      <c r="AJJ4">
        <v>99.944999999999993</v>
      </c>
      <c r="AJK4">
        <v>99.954999999999998</v>
      </c>
      <c r="AJL4">
        <v>99.95</v>
      </c>
      <c r="AJM4">
        <v>99.95</v>
      </c>
      <c r="AJN4">
        <v>99.944999999999993</v>
      </c>
      <c r="AJO4">
        <v>99.94</v>
      </c>
      <c r="AJP4">
        <v>99.944999999999993</v>
      </c>
      <c r="AJQ4">
        <v>99.944999999999993</v>
      </c>
      <c r="AJR4">
        <v>99.94</v>
      </c>
      <c r="AJS4">
        <v>99.94</v>
      </c>
      <c r="AJT4">
        <v>99.944999999999993</v>
      </c>
      <c r="AJU4">
        <v>99.944999999999993</v>
      </c>
      <c r="AJV4">
        <v>99.94</v>
      </c>
      <c r="AJW4">
        <v>99.944999999999993</v>
      </c>
      <c r="AJX4">
        <v>99.94</v>
      </c>
      <c r="AJY4">
        <v>99.935000000000002</v>
      </c>
      <c r="AJZ4">
        <v>99.94</v>
      </c>
      <c r="AKA4">
        <v>99.944999999999993</v>
      </c>
      <c r="AKB4">
        <v>99.94</v>
      </c>
      <c r="AKC4">
        <v>99.94</v>
      </c>
      <c r="AKD4">
        <v>99.944999999999993</v>
      </c>
      <c r="AKE4">
        <v>99.944999999999993</v>
      </c>
      <c r="AKF4">
        <v>99.944999999999993</v>
      </c>
      <c r="AKG4">
        <v>99.944999999999993</v>
      </c>
      <c r="AKH4">
        <v>99.95</v>
      </c>
      <c r="AKI4">
        <v>99.95</v>
      </c>
      <c r="AKJ4">
        <v>99.944999999999993</v>
      </c>
      <c r="AKK4">
        <v>99.95</v>
      </c>
      <c r="AKL4">
        <v>99.944999999999993</v>
      </c>
      <c r="AKM4">
        <v>99.944999999999993</v>
      </c>
      <c r="AKN4">
        <v>99.944999999999993</v>
      </c>
      <c r="AKO4">
        <v>99.944999999999993</v>
      </c>
      <c r="AKP4">
        <v>99.94</v>
      </c>
      <c r="AKQ4">
        <v>99.944999999999993</v>
      </c>
      <c r="AKR4">
        <v>99.944999999999993</v>
      </c>
      <c r="AKS4">
        <v>99.944999999999993</v>
      </c>
      <c r="AKT4">
        <v>99.944999999999993</v>
      </c>
      <c r="AKU4">
        <v>99.944999999999993</v>
      </c>
      <c r="AKV4">
        <v>99.95</v>
      </c>
      <c r="AKW4">
        <v>99.947500000000005</v>
      </c>
      <c r="AKX4">
        <v>99.95</v>
      </c>
      <c r="AKY4">
        <v>99.95</v>
      </c>
      <c r="AKZ4">
        <v>99.944999999999993</v>
      </c>
      <c r="ALA4">
        <v>99.944999999999993</v>
      </c>
      <c r="ALB4">
        <v>99.944999999999993</v>
      </c>
      <c r="ALC4">
        <v>99.947500000000005</v>
      </c>
      <c r="ALD4">
        <v>99.947500000000005</v>
      </c>
      <c r="ALE4">
        <v>99.947500000000005</v>
      </c>
      <c r="ALF4">
        <v>99.95</v>
      </c>
      <c r="ALG4">
        <v>99.95</v>
      </c>
      <c r="ALH4">
        <v>99.95</v>
      </c>
      <c r="ALI4">
        <v>99.95</v>
      </c>
      <c r="ALJ4">
        <v>99.947500000000005</v>
      </c>
      <c r="ALK4">
        <v>99.944999999999993</v>
      </c>
      <c r="ALL4">
        <v>99.947500000000005</v>
      </c>
      <c r="ALM4">
        <v>99.947500000000005</v>
      </c>
      <c r="ALN4">
        <v>99.95</v>
      </c>
      <c r="ALO4">
        <v>99.947500000000005</v>
      </c>
      <c r="ALP4">
        <v>99.95</v>
      </c>
      <c r="ALQ4">
        <v>99.947500000000005</v>
      </c>
      <c r="ALR4">
        <v>99.947500000000005</v>
      </c>
      <c r="ALS4">
        <v>99.95</v>
      </c>
      <c r="ALT4">
        <v>99.95</v>
      </c>
      <c r="ALU4">
        <v>99.944999999999993</v>
      </c>
      <c r="ALV4">
        <v>99.944999999999993</v>
      </c>
      <c r="ALW4">
        <v>99.95</v>
      </c>
      <c r="ALX4">
        <v>99.95</v>
      </c>
      <c r="ALY4">
        <v>99.95</v>
      </c>
      <c r="ALZ4">
        <v>99.954999999999998</v>
      </c>
      <c r="AMA4">
        <v>99.954999999999998</v>
      </c>
      <c r="AMB4">
        <v>99.954999999999998</v>
      </c>
      <c r="AMC4">
        <v>99.954999999999998</v>
      </c>
      <c r="AMD4">
        <v>99.954999999999998</v>
      </c>
      <c r="AME4">
        <v>99.95</v>
      </c>
      <c r="AMF4">
        <v>99.95</v>
      </c>
      <c r="AMG4">
        <v>99.944999999999993</v>
      </c>
      <c r="AMH4">
        <v>99.95</v>
      </c>
      <c r="AMI4">
        <v>99.954999999999998</v>
      </c>
      <c r="AMJ4">
        <v>99.954999999999998</v>
      </c>
      <c r="AMK4">
        <v>99.95</v>
      </c>
      <c r="AML4">
        <v>99.944999999999993</v>
      </c>
      <c r="AMM4">
        <v>99.954999999999998</v>
      </c>
      <c r="AMN4">
        <v>99.954999999999998</v>
      </c>
      <c r="AMO4">
        <v>99.95</v>
      </c>
      <c r="AMP4">
        <v>99.95</v>
      </c>
      <c r="AMQ4">
        <v>99.95</v>
      </c>
      <c r="AMR4">
        <v>99.95</v>
      </c>
      <c r="AMS4">
        <v>99.954999999999998</v>
      </c>
      <c r="AMT4">
        <v>99.954999999999998</v>
      </c>
      <c r="AMU4">
        <v>99.954999999999998</v>
      </c>
      <c r="AMV4">
        <v>99.95</v>
      </c>
      <c r="AMW4">
        <v>99.95</v>
      </c>
      <c r="AMX4">
        <v>99.95</v>
      </c>
      <c r="AMY4">
        <v>99.954999999999998</v>
      </c>
      <c r="AMZ4">
        <v>99.95</v>
      </c>
      <c r="ANA4">
        <v>99.95</v>
      </c>
      <c r="ANB4">
        <v>99.944999999999993</v>
      </c>
      <c r="ANC4">
        <v>99.95</v>
      </c>
      <c r="AND4">
        <v>99.95</v>
      </c>
      <c r="ANE4">
        <v>99.96</v>
      </c>
      <c r="ANF4">
        <v>99.944999999999993</v>
      </c>
      <c r="ANG4">
        <v>99.944999999999993</v>
      </c>
      <c r="ANH4">
        <v>99.95</v>
      </c>
      <c r="ANI4">
        <v>99.944999999999993</v>
      </c>
      <c r="ANJ4">
        <v>99.97</v>
      </c>
      <c r="ANK4">
        <v>99.97</v>
      </c>
      <c r="ANL4">
        <v>99.974999999999994</v>
      </c>
      <c r="ANM4">
        <v>99.972499999999997</v>
      </c>
      <c r="ANN4">
        <v>99.972499999999997</v>
      </c>
      <c r="ANO4">
        <v>99.972499999999997</v>
      </c>
      <c r="ANP4">
        <v>99.97</v>
      </c>
      <c r="ANQ4">
        <v>99.97</v>
      </c>
      <c r="ANR4">
        <v>99.97</v>
      </c>
      <c r="ANS4">
        <v>99.967500000000001</v>
      </c>
      <c r="ANT4">
        <v>99.97</v>
      </c>
      <c r="ANU4">
        <v>99.972499999999997</v>
      </c>
      <c r="ANV4">
        <v>99.972499999999997</v>
      </c>
      <c r="ANW4">
        <v>99.972499999999997</v>
      </c>
      <c r="ANX4">
        <v>99.972499999999997</v>
      </c>
      <c r="ANY4">
        <v>99.967500000000001</v>
      </c>
      <c r="ANZ4">
        <v>99.967500000000001</v>
      </c>
      <c r="AOA4">
        <v>99.965000000000003</v>
      </c>
      <c r="AOB4">
        <v>99.967500000000001</v>
      </c>
      <c r="AOC4">
        <v>99.967500000000001</v>
      </c>
      <c r="AOD4">
        <v>99.97</v>
      </c>
      <c r="AOE4">
        <v>99.97</v>
      </c>
      <c r="AOF4">
        <v>99.97</v>
      </c>
      <c r="AOG4">
        <v>99.97</v>
      </c>
      <c r="AOH4">
        <v>99.965000000000003</v>
      </c>
      <c r="AOI4">
        <v>99.96</v>
      </c>
      <c r="AOJ4">
        <v>99.96</v>
      </c>
      <c r="AOK4">
        <v>99.965000000000003</v>
      </c>
      <c r="AOL4">
        <v>99.96</v>
      </c>
      <c r="AOM4">
        <v>99.96</v>
      </c>
      <c r="AON4">
        <v>99.954999999999998</v>
      </c>
      <c r="AOO4">
        <v>99.96</v>
      </c>
      <c r="AOP4">
        <v>99.96</v>
      </c>
      <c r="AOQ4">
        <v>99.96</v>
      </c>
      <c r="AOR4">
        <v>99.965000000000003</v>
      </c>
      <c r="AOS4">
        <v>99.96</v>
      </c>
      <c r="AOT4">
        <v>99.96</v>
      </c>
      <c r="AOU4">
        <v>99.96</v>
      </c>
      <c r="AOV4">
        <v>99.96</v>
      </c>
      <c r="AOW4">
        <v>99.96</v>
      </c>
      <c r="AOX4">
        <v>99.954999999999998</v>
      </c>
      <c r="AOY4">
        <v>99.954999999999998</v>
      </c>
      <c r="AOZ4">
        <v>99.954999999999998</v>
      </c>
      <c r="APA4">
        <v>99.96</v>
      </c>
      <c r="APB4">
        <v>99.96</v>
      </c>
      <c r="APC4">
        <v>99.96</v>
      </c>
      <c r="APD4">
        <v>99.96</v>
      </c>
      <c r="APE4">
        <v>99.96</v>
      </c>
      <c r="APF4">
        <v>99.96</v>
      </c>
      <c r="APG4">
        <v>99.965000000000003</v>
      </c>
      <c r="APH4">
        <v>99.97</v>
      </c>
      <c r="API4">
        <v>99.97</v>
      </c>
      <c r="APJ4">
        <v>99.97</v>
      </c>
      <c r="APK4">
        <v>99.965000000000003</v>
      </c>
      <c r="APL4">
        <v>99.965000000000003</v>
      </c>
      <c r="APM4">
        <v>99.965000000000003</v>
      </c>
      <c r="APN4">
        <v>99.965000000000003</v>
      </c>
      <c r="APO4">
        <v>99.97</v>
      </c>
      <c r="APP4">
        <v>99.97</v>
      </c>
      <c r="APQ4">
        <v>99.97</v>
      </c>
      <c r="APR4">
        <v>99.974999999999994</v>
      </c>
      <c r="APS4">
        <v>99.974999999999994</v>
      </c>
      <c r="APT4">
        <v>99.97</v>
      </c>
      <c r="APU4">
        <v>99.96</v>
      </c>
      <c r="APV4">
        <v>99.954999999999998</v>
      </c>
      <c r="APW4">
        <v>99.962500000000006</v>
      </c>
      <c r="APX4">
        <v>99.962500000000006</v>
      </c>
      <c r="APY4">
        <v>99.96</v>
      </c>
      <c r="APZ4">
        <v>99.957499999999996</v>
      </c>
      <c r="AQA4">
        <v>99.954999999999998</v>
      </c>
      <c r="AQB4">
        <v>99.957499999999996</v>
      </c>
      <c r="AQC4">
        <v>99.954999999999998</v>
      </c>
      <c r="AQD4">
        <v>99.952500000000001</v>
      </c>
      <c r="AQE4">
        <v>99.952500000000001</v>
      </c>
      <c r="AQF4">
        <v>99.952500000000001</v>
      </c>
      <c r="AQG4">
        <v>99.944999999999993</v>
      </c>
      <c r="AQH4">
        <v>99.947500000000005</v>
      </c>
      <c r="AQI4">
        <v>99.952500000000001</v>
      </c>
      <c r="AQJ4">
        <v>99.947500000000005</v>
      </c>
      <c r="AQK4">
        <v>99.95</v>
      </c>
      <c r="AQL4">
        <v>99.96</v>
      </c>
      <c r="AQM4">
        <v>99.965000000000003</v>
      </c>
      <c r="AQN4">
        <v>99.962500000000006</v>
      </c>
      <c r="AQO4">
        <v>99.965000000000003</v>
      </c>
      <c r="AQP4">
        <v>99.96</v>
      </c>
      <c r="AQQ4">
        <v>99.96</v>
      </c>
      <c r="AQR4">
        <v>99.965000000000003</v>
      </c>
      <c r="AQS4">
        <v>99.965000000000003</v>
      </c>
      <c r="AQT4">
        <v>99.965000000000003</v>
      </c>
      <c r="AQU4">
        <v>99.965000000000003</v>
      </c>
      <c r="AQV4">
        <v>99.96</v>
      </c>
      <c r="AQW4">
        <v>99.96</v>
      </c>
      <c r="AQX4">
        <v>99.965000000000003</v>
      </c>
      <c r="AQY4">
        <v>99.965000000000003</v>
      </c>
      <c r="AQZ4">
        <v>99.96</v>
      </c>
      <c r="ARA4">
        <v>99.96</v>
      </c>
      <c r="ARB4">
        <v>99.965000000000003</v>
      </c>
      <c r="ARC4">
        <v>99.965000000000003</v>
      </c>
      <c r="ARD4">
        <v>99.954999999999998</v>
      </c>
      <c r="ARE4">
        <v>99.954999999999998</v>
      </c>
      <c r="ARF4">
        <v>99.95</v>
      </c>
      <c r="ARG4">
        <v>99.95</v>
      </c>
      <c r="ARH4">
        <v>99.95</v>
      </c>
      <c r="ARI4">
        <v>99.944999999999993</v>
      </c>
      <c r="ARJ4">
        <v>99.94</v>
      </c>
      <c r="ARK4">
        <v>99.935000000000002</v>
      </c>
      <c r="ARL4">
        <v>99.935000000000002</v>
      </c>
      <c r="ARM4">
        <v>99.935000000000002</v>
      </c>
      <c r="ARN4">
        <v>99.935000000000002</v>
      </c>
      <c r="ARO4">
        <v>99.94</v>
      </c>
      <c r="ARP4">
        <v>99.935000000000002</v>
      </c>
      <c r="ARQ4">
        <v>99.94</v>
      </c>
      <c r="ARR4">
        <v>99.94</v>
      </c>
      <c r="ARS4">
        <v>99.94</v>
      </c>
      <c r="ART4">
        <v>99.935000000000002</v>
      </c>
      <c r="ARU4">
        <v>99.95</v>
      </c>
      <c r="ARV4">
        <v>99.954999999999998</v>
      </c>
      <c r="ARW4">
        <v>99.95</v>
      </c>
      <c r="ARX4">
        <v>99.95</v>
      </c>
      <c r="ARY4">
        <v>99.95</v>
      </c>
      <c r="ARZ4">
        <v>99.95</v>
      </c>
      <c r="ASA4">
        <v>99.95</v>
      </c>
      <c r="ASB4">
        <v>99.95</v>
      </c>
      <c r="ASC4">
        <v>99.95</v>
      </c>
      <c r="ASD4">
        <v>99.95</v>
      </c>
      <c r="ASE4">
        <v>99.95</v>
      </c>
      <c r="ASF4">
        <v>99.95</v>
      </c>
      <c r="ASG4">
        <v>99.95</v>
      </c>
      <c r="ASH4">
        <v>99.95</v>
      </c>
      <c r="ASI4">
        <v>99.95</v>
      </c>
      <c r="ASJ4">
        <v>99.94</v>
      </c>
      <c r="ASK4">
        <v>99.942499999999995</v>
      </c>
      <c r="ASL4">
        <v>99.944999999999993</v>
      </c>
      <c r="ASM4">
        <v>99.94</v>
      </c>
      <c r="ASN4">
        <v>99.942499999999995</v>
      </c>
      <c r="ASO4">
        <v>99.9375</v>
      </c>
      <c r="ASP4">
        <v>99.9375</v>
      </c>
      <c r="ASQ4">
        <v>99.932500000000005</v>
      </c>
      <c r="ASR4">
        <v>99.932500000000005</v>
      </c>
      <c r="ASS4">
        <v>99.932500000000005</v>
      </c>
      <c r="AST4">
        <v>99.935000000000002</v>
      </c>
      <c r="ASU4">
        <v>99.932500000000005</v>
      </c>
      <c r="ASV4">
        <v>99.932500000000005</v>
      </c>
      <c r="ASW4">
        <v>99.932500000000005</v>
      </c>
      <c r="ASX4">
        <v>99.932500000000005</v>
      </c>
      <c r="ASY4">
        <v>99.935000000000002</v>
      </c>
      <c r="ASZ4">
        <v>99.932500000000005</v>
      </c>
      <c r="ATA4">
        <v>99.932500000000005</v>
      </c>
      <c r="ATB4">
        <v>99.927499999999995</v>
      </c>
      <c r="ATC4">
        <v>99.92</v>
      </c>
      <c r="ATD4">
        <v>99.92</v>
      </c>
      <c r="ATE4">
        <v>99.92</v>
      </c>
      <c r="ATF4">
        <v>99.92</v>
      </c>
      <c r="ATG4">
        <v>99.92</v>
      </c>
      <c r="ATH4">
        <v>99.92</v>
      </c>
      <c r="ATI4">
        <v>99.92</v>
      </c>
      <c r="ATJ4">
        <v>99.915000000000006</v>
      </c>
      <c r="ATK4">
        <v>99.92</v>
      </c>
      <c r="ATL4">
        <v>99.92</v>
      </c>
      <c r="ATM4">
        <v>99.924999999999997</v>
      </c>
      <c r="ATN4">
        <v>99.92</v>
      </c>
      <c r="ATO4">
        <v>99.92</v>
      </c>
      <c r="ATP4">
        <v>99.924999999999997</v>
      </c>
      <c r="ATQ4">
        <v>99.924999999999997</v>
      </c>
      <c r="ATR4">
        <v>99.924999999999997</v>
      </c>
      <c r="ATS4">
        <v>99.924999999999997</v>
      </c>
      <c r="ATT4">
        <v>99.924999999999997</v>
      </c>
      <c r="ATU4">
        <v>99.92</v>
      </c>
      <c r="ATV4">
        <v>99.92</v>
      </c>
      <c r="ATW4">
        <v>99.924999999999997</v>
      </c>
      <c r="ATX4">
        <v>99.924999999999997</v>
      </c>
      <c r="ATY4">
        <v>99.93</v>
      </c>
      <c r="ATZ4">
        <v>99.93</v>
      </c>
      <c r="AUA4">
        <v>99.924999999999997</v>
      </c>
      <c r="AUB4">
        <v>99.93</v>
      </c>
      <c r="AUC4">
        <v>99.93</v>
      </c>
      <c r="AUD4">
        <v>99.93</v>
      </c>
      <c r="AUE4">
        <v>99.93</v>
      </c>
      <c r="AUF4">
        <v>99.93</v>
      </c>
      <c r="AUG4">
        <v>99.93</v>
      </c>
      <c r="AUH4">
        <v>99.93</v>
      </c>
      <c r="AUI4">
        <v>99.93</v>
      </c>
      <c r="AUJ4">
        <v>99.935000000000002</v>
      </c>
      <c r="AUK4">
        <v>99.935000000000002</v>
      </c>
      <c r="AUL4">
        <v>99.935000000000002</v>
      </c>
      <c r="AUM4">
        <v>99.935000000000002</v>
      </c>
      <c r="AUN4">
        <v>99.935000000000002</v>
      </c>
      <c r="AUO4">
        <v>99.935000000000002</v>
      </c>
      <c r="AUP4">
        <v>99.935000000000002</v>
      </c>
      <c r="AUQ4">
        <v>99.93</v>
      </c>
      <c r="AUR4">
        <v>99.93</v>
      </c>
      <c r="AUS4">
        <v>99.924999999999997</v>
      </c>
      <c r="AUT4">
        <v>99.924999999999997</v>
      </c>
      <c r="AUU4">
        <v>99.93</v>
      </c>
      <c r="AUV4">
        <v>99.93</v>
      </c>
      <c r="AUW4">
        <v>99.927499999999995</v>
      </c>
      <c r="AUX4">
        <v>99.922499999999999</v>
      </c>
      <c r="AUY4">
        <v>99.922499999999999</v>
      </c>
      <c r="AUZ4">
        <v>99.922499999999999</v>
      </c>
      <c r="AVA4">
        <v>99.917500000000004</v>
      </c>
      <c r="AVB4">
        <v>99.92</v>
      </c>
      <c r="AVC4">
        <v>99.92</v>
      </c>
      <c r="AVD4">
        <v>99.92</v>
      </c>
      <c r="AVE4">
        <v>99.927499999999995</v>
      </c>
      <c r="AVF4">
        <v>99.924999999999997</v>
      </c>
      <c r="AVG4">
        <v>99.927499999999995</v>
      </c>
      <c r="AVH4">
        <v>99.924999999999997</v>
      </c>
      <c r="AVI4">
        <v>99.93</v>
      </c>
      <c r="AVJ4">
        <v>99.924999999999997</v>
      </c>
      <c r="AVK4">
        <v>99.922499999999999</v>
      </c>
      <c r="AVL4">
        <v>99.924999999999997</v>
      </c>
      <c r="AVM4">
        <v>99.927499999999995</v>
      </c>
      <c r="AVN4">
        <v>99.927499999999995</v>
      </c>
      <c r="AVO4">
        <v>99.924999999999997</v>
      </c>
      <c r="AVP4">
        <v>99.924999999999997</v>
      </c>
      <c r="AVQ4">
        <v>99.917500000000004</v>
      </c>
      <c r="AVR4">
        <v>99.92</v>
      </c>
      <c r="AVS4">
        <v>99.92</v>
      </c>
      <c r="AVT4">
        <v>99.92</v>
      </c>
      <c r="AVU4">
        <v>99.924999999999997</v>
      </c>
      <c r="AVV4">
        <v>99.93</v>
      </c>
      <c r="AVW4">
        <v>99.93</v>
      </c>
      <c r="AVX4">
        <v>99.93</v>
      </c>
      <c r="AVY4">
        <v>99.93</v>
      </c>
      <c r="AVZ4">
        <v>99.93</v>
      </c>
      <c r="AWA4">
        <v>99.935000000000002</v>
      </c>
      <c r="AWB4">
        <v>99.935000000000002</v>
      </c>
      <c r="AWC4">
        <v>99.94</v>
      </c>
      <c r="AWD4">
        <v>99.94</v>
      </c>
      <c r="AWE4">
        <v>99.94</v>
      </c>
      <c r="AWF4">
        <v>99.93</v>
      </c>
      <c r="AWG4">
        <v>99.93</v>
      </c>
      <c r="AWH4">
        <v>99.93</v>
      </c>
      <c r="AWI4">
        <v>99.935000000000002</v>
      </c>
      <c r="AWJ4">
        <v>99.93</v>
      </c>
      <c r="AWK4">
        <v>99.935000000000002</v>
      </c>
      <c r="AWL4">
        <v>99.935000000000002</v>
      </c>
      <c r="AWM4">
        <v>99.935000000000002</v>
      </c>
      <c r="AWN4">
        <v>99.935000000000002</v>
      </c>
      <c r="AWO4">
        <v>99.93</v>
      </c>
      <c r="AWP4">
        <v>99.93</v>
      </c>
      <c r="AWQ4">
        <v>99.93</v>
      </c>
      <c r="AWR4">
        <v>99.935000000000002</v>
      </c>
      <c r="AWS4">
        <v>99.935000000000002</v>
      </c>
      <c r="AWT4">
        <v>99.94</v>
      </c>
      <c r="AWU4">
        <v>99.94</v>
      </c>
      <c r="AWV4">
        <v>99.94</v>
      </c>
      <c r="AWW4">
        <v>99.94</v>
      </c>
      <c r="AWX4">
        <v>99.94</v>
      </c>
      <c r="AWY4">
        <v>99.944999999999993</v>
      </c>
      <c r="AWZ4">
        <v>99.95</v>
      </c>
      <c r="AXA4">
        <v>99.95</v>
      </c>
      <c r="AXB4">
        <v>99.95</v>
      </c>
      <c r="AXC4">
        <v>99.94</v>
      </c>
      <c r="AXD4">
        <v>99.935000000000002</v>
      </c>
      <c r="AXE4">
        <v>99.935000000000002</v>
      </c>
      <c r="AXF4">
        <v>99.935000000000002</v>
      </c>
      <c r="AXG4">
        <v>99.93</v>
      </c>
      <c r="AXH4">
        <v>99.924999999999997</v>
      </c>
      <c r="AXI4">
        <v>99.92</v>
      </c>
      <c r="AXJ4">
        <v>99.905000000000001</v>
      </c>
      <c r="AXK4">
        <v>99.905000000000001</v>
      </c>
      <c r="AXL4">
        <v>99.905000000000001</v>
      </c>
      <c r="AXM4">
        <v>99.924999999999997</v>
      </c>
      <c r="AXN4">
        <v>99.924999999999997</v>
      </c>
      <c r="AXO4">
        <v>99.922499999999999</v>
      </c>
      <c r="AXP4">
        <v>99.92</v>
      </c>
      <c r="AXQ4">
        <v>99.924999999999997</v>
      </c>
      <c r="AXR4">
        <v>99.924999999999997</v>
      </c>
      <c r="AXS4">
        <v>99.922499999999999</v>
      </c>
      <c r="AXT4">
        <v>99.93</v>
      </c>
      <c r="AXU4">
        <v>99.93</v>
      </c>
      <c r="AXV4">
        <v>99.93</v>
      </c>
      <c r="AXW4">
        <v>99.924999999999997</v>
      </c>
      <c r="AXX4">
        <v>99.93</v>
      </c>
      <c r="AXY4">
        <v>99.932500000000005</v>
      </c>
      <c r="AXZ4">
        <v>99.94</v>
      </c>
      <c r="AYA4">
        <v>99.94</v>
      </c>
      <c r="AYB4">
        <v>99.94</v>
      </c>
      <c r="AYC4">
        <v>99.94</v>
      </c>
      <c r="AYD4">
        <v>99.932500000000005</v>
      </c>
      <c r="AYE4">
        <v>99.927499999999995</v>
      </c>
      <c r="AYF4">
        <v>99.94</v>
      </c>
      <c r="AYG4">
        <v>99.94</v>
      </c>
      <c r="AYH4">
        <v>99.94</v>
      </c>
      <c r="AYI4">
        <v>99.93</v>
      </c>
      <c r="AYJ4">
        <v>99.94</v>
      </c>
      <c r="AYK4">
        <v>99.95</v>
      </c>
      <c r="AYL4">
        <v>99.96</v>
      </c>
      <c r="AYM4">
        <v>99.965000000000003</v>
      </c>
      <c r="AYN4">
        <v>99.96</v>
      </c>
      <c r="AYO4">
        <v>99.974999999999994</v>
      </c>
      <c r="AYP4">
        <v>99.97</v>
      </c>
      <c r="AYQ4">
        <v>99.974999999999994</v>
      </c>
      <c r="AYR4">
        <v>99.965000000000003</v>
      </c>
      <c r="AYS4">
        <v>99.944999999999993</v>
      </c>
      <c r="AYT4">
        <v>99.95</v>
      </c>
      <c r="AYU4">
        <v>99.944999999999993</v>
      </c>
      <c r="AYV4">
        <v>99.94</v>
      </c>
      <c r="AYW4">
        <v>99.94</v>
      </c>
      <c r="AYX4">
        <v>99.94</v>
      </c>
      <c r="AYY4">
        <v>99.93</v>
      </c>
      <c r="AYZ4">
        <v>99.93</v>
      </c>
      <c r="AZA4">
        <v>99.915000000000006</v>
      </c>
      <c r="AZB4">
        <v>99.924999999999997</v>
      </c>
      <c r="AZC4">
        <v>99.92</v>
      </c>
      <c r="AZD4">
        <v>99.935000000000002</v>
      </c>
      <c r="AZE4">
        <v>99.94</v>
      </c>
      <c r="AZF4">
        <v>99.94</v>
      </c>
      <c r="AZG4">
        <v>99.935000000000002</v>
      </c>
      <c r="AZH4">
        <v>99.93</v>
      </c>
      <c r="AZI4">
        <v>99.93</v>
      </c>
      <c r="AZJ4">
        <v>99.93</v>
      </c>
      <c r="AZK4">
        <v>99.935000000000002</v>
      </c>
      <c r="AZL4">
        <v>99.93</v>
      </c>
      <c r="AZM4">
        <v>99.944999999999993</v>
      </c>
      <c r="AZN4">
        <v>99.95</v>
      </c>
      <c r="AZO4">
        <v>99.95</v>
      </c>
      <c r="AZP4">
        <v>99.96</v>
      </c>
      <c r="AZQ4">
        <v>99.94</v>
      </c>
      <c r="AZR4">
        <v>99.94</v>
      </c>
      <c r="AZS4">
        <v>99.95</v>
      </c>
      <c r="AZT4">
        <v>99.93</v>
      </c>
      <c r="AZU4">
        <v>99.935000000000002</v>
      </c>
      <c r="AZV4">
        <v>99.92</v>
      </c>
      <c r="AZW4">
        <v>99.84</v>
      </c>
      <c r="AZX4">
        <v>99.864999999999995</v>
      </c>
      <c r="AZY4">
        <v>99.795000000000002</v>
      </c>
      <c r="AZZ4">
        <v>99.78</v>
      </c>
      <c r="BAA4">
        <v>99.71</v>
      </c>
      <c r="BAB4">
        <v>99.625</v>
      </c>
      <c r="BAC4">
        <v>99.694999999999993</v>
      </c>
      <c r="BAD4">
        <v>99.484999999999999</v>
      </c>
      <c r="BAE4">
        <v>99.39</v>
      </c>
      <c r="BAF4">
        <v>99.295000000000002</v>
      </c>
      <c r="BAG4">
        <v>99.242500000000007</v>
      </c>
      <c r="BAH4">
        <v>98.987499999999997</v>
      </c>
      <c r="BAI4">
        <v>98.885000000000005</v>
      </c>
      <c r="BAJ4">
        <v>98.644999999999996</v>
      </c>
      <c r="BAK4">
        <v>98.582499999999996</v>
      </c>
      <c r="BAL4">
        <v>98.5625</v>
      </c>
      <c r="BAM4">
        <v>98.52</v>
      </c>
      <c r="BAN4">
        <v>98.48</v>
      </c>
      <c r="BAO4">
        <v>98.472499999999997</v>
      </c>
      <c r="BAP4">
        <v>98.462500000000006</v>
      </c>
      <c r="BAQ4">
        <v>98.487499999999997</v>
      </c>
      <c r="BAR4">
        <v>98.484999999999999</v>
      </c>
      <c r="BAS4">
        <v>98.484999999999999</v>
      </c>
      <c r="BAT4">
        <v>98.48</v>
      </c>
      <c r="BAU4">
        <v>98.465000000000003</v>
      </c>
      <c r="BAV4">
        <v>98.47</v>
      </c>
      <c r="BAW4">
        <v>98.49</v>
      </c>
      <c r="BAX4">
        <v>98.474999999999994</v>
      </c>
      <c r="BAY4">
        <v>98.45</v>
      </c>
      <c r="BAZ4">
        <v>98.454999999999998</v>
      </c>
      <c r="BBA4">
        <v>98.454999999999998</v>
      </c>
      <c r="BBB4">
        <v>98.49</v>
      </c>
      <c r="BBC4">
        <v>98.51</v>
      </c>
      <c r="BBD4">
        <v>98.474999999999994</v>
      </c>
      <c r="BBE4">
        <v>98.45</v>
      </c>
      <c r="BBF4">
        <v>98.444999999999993</v>
      </c>
      <c r="BBG4">
        <v>98.465000000000003</v>
      </c>
      <c r="BBH4">
        <v>98.444999999999993</v>
      </c>
      <c r="BBI4">
        <v>98.435000000000002</v>
      </c>
      <c r="BBJ4">
        <v>98.435000000000002</v>
      </c>
      <c r="BBK4">
        <v>98.435000000000002</v>
      </c>
      <c r="BBL4">
        <v>98.42</v>
      </c>
      <c r="BBM4">
        <v>98.42</v>
      </c>
      <c r="BBN4">
        <v>98.424999999999997</v>
      </c>
      <c r="BBO4">
        <v>98.42</v>
      </c>
      <c r="BBP4">
        <v>98.42</v>
      </c>
      <c r="BBQ4">
        <v>98.42</v>
      </c>
      <c r="BBR4">
        <v>98.43</v>
      </c>
      <c r="BBS4">
        <v>98.435000000000002</v>
      </c>
      <c r="BBT4">
        <v>98.424999999999997</v>
      </c>
      <c r="BBU4">
        <v>98.44</v>
      </c>
      <c r="BBV4">
        <v>98.44</v>
      </c>
      <c r="BBW4">
        <v>98.444999999999993</v>
      </c>
      <c r="BBX4">
        <v>98.454999999999998</v>
      </c>
      <c r="BBY4">
        <v>98.454999999999998</v>
      </c>
      <c r="BBZ4">
        <v>98.454999999999998</v>
      </c>
      <c r="BCA4">
        <v>98.45</v>
      </c>
      <c r="BCB4">
        <v>98.454999999999998</v>
      </c>
      <c r="BCC4">
        <v>98.444999999999993</v>
      </c>
      <c r="BCD4">
        <v>98.444999999999993</v>
      </c>
      <c r="BCE4">
        <v>98.444999999999993</v>
      </c>
      <c r="BCF4">
        <v>98.44</v>
      </c>
      <c r="BCG4">
        <v>98.45</v>
      </c>
      <c r="BCH4">
        <v>98.46</v>
      </c>
      <c r="BCI4">
        <v>98.45</v>
      </c>
      <c r="BCJ4">
        <v>98.407499999999999</v>
      </c>
      <c r="BCK4">
        <v>98.407499999999999</v>
      </c>
      <c r="BCL4">
        <v>98.405000000000001</v>
      </c>
      <c r="BCM4">
        <v>98.394999999999996</v>
      </c>
      <c r="BCN4">
        <v>98.397499999999994</v>
      </c>
      <c r="BCO4">
        <v>98.397499999999994</v>
      </c>
      <c r="BCP4">
        <v>98.4</v>
      </c>
      <c r="BCQ4">
        <v>98.394999999999996</v>
      </c>
      <c r="BCR4">
        <v>98.412499999999994</v>
      </c>
      <c r="BCS4">
        <v>98.407499999999999</v>
      </c>
      <c r="BCT4">
        <v>98.412499999999994</v>
      </c>
      <c r="BCU4">
        <v>98.394999999999996</v>
      </c>
      <c r="BCV4">
        <v>98.394999999999996</v>
      </c>
      <c r="BCW4">
        <v>98.385000000000005</v>
      </c>
      <c r="BCX4">
        <v>98.385000000000005</v>
      </c>
      <c r="BCY4">
        <v>98.394999999999996</v>
      </c>
      <c r="BCZ4">
        <v>98.394999999999996</v>
      </c>
      <c r="BDA4">
        <v>98.394999999999996</v>
      </c>
      <c r="BDB4">
        <v>98.405000000000001</v>
      </c>
      <c r="BDC4">
        <v>98.422499999999999</v>
      </c>
      <c r="BDD4">
        <v>98.43</v>
      </c>
      <c r="BDE4">
        <v>98.4375</v>
      </c>
      <c r="BDF4">
        <v>98.44</v>
      </c>
      <c r="BDG4">
        <v>98.444999999999993</v>
      </c>
      <c r="BDH4">
        <v>98.44</v>
      </c>
      <c r="BDI4">
        <v>98.435000000000002</v>
      </c>
      <c r="BDJ4">
        <v>98.42</v>
      </c>
      <c r="BDK4">
        <v>98.424999999999997</v>
      </c>
      <c r="BDL4">
        <v>98.424999999999997</v>
      </c>
      <c r="BDM4">
        <v>98.45</v>
      </c>
      <c r="BDN4">
        <v>98.435000000000002</v>
      </c>
      <c r="BDO4">
        <v>98.44</v>
      </c>
      <c r="BDP4">
        <v>98.45</v>
      </c>
      <c r="BDQ4">
        <v>98.495000000000005</v>
      </c>
      <c r="BDR4">
        <v>98.454999999999998</v>
      </c>
      <c r="BDS4">
        <v>98.444999999999993</v>
      </c>
      <c r="BDT4">
        <v>98.444999999999993</v>
      </c>
      <c r="BDU4">
        <v>98.46</v>
      </c>
      <c r="BDV4">
        <v>98.474999999999994</v>
      </c>
      <c r="BDW4">
        <v>98.49</v>
      </c>
      <c r="BDX4">
        <v>98.48</v>
      </c>
      <c r="BDY4">
        <v>98.46</v>
      </c>
      <c r="BDZ4">
        <v>98.48</v>
      </c>
      <c r="BEA4">
        <v>98.45</v>
      </c>
      <c r="BEB4">
        <v>98.47</v>
      </c>
      <c r="BEC4">
        <v>98.435000000000002</v>
      </c>
      <c r="BED4">
        <v>98.47</v>
      </c>
      <c r="BEE4">
        <v>98.44</v>
      </c>
      <c r="BEF4">
        <v>98.5</v>
      </c>
      <c r="BEG4">
        <v>98.525000000000006</v>
      </c>
      <c r="BEH4">
        <v>98.55</v>
      </c>
      <c r="BEI4">
        <v>98.525000000000006</v>
      </c>
      <c r="BEJ4">
        <v>98.555000000000007</v>
      </c>
      <c r="BEK4">
        <v>98.575000000000003</v>
      </c>
      <c r="BEL4">
        <v>98.495000000000005</v>
      </c>
      <c r="BEM4">
        <v>98.44</v>
      </c>
      <c r="BEN4">
        <v>98.39</v>
      </c>
      <c r="BEO4">
        <v>98.394999999999996</v>
      </c>
      <c r="BEP4">
        <v>98.38</v>
      </c>
      <c r="BEQ4">
        <v>98.375</v>
      </c>
      <c r="BER4">
        <v>98.415000000000006</v>
      </c>
      <c r="BES4">
        <v>98.36</v>
      </c>
      <c r="BET4">
        <v>98.334999999999994</v>
      </c>
      <c r="BEU4">
        <v>98.325000000000003</v>
      </c>
      <c r="BEV4">
        <v>98.32</v>
      </c>
      <c r="BEW4">
        <v>98.06</v>
      </c>
      <c r="BEX4">
        <v>98.067499999999995</v>
      </c>
      <c r="BEY4">
        <v>98.08</v>
      </c>
      <c r="BEZ4">
        <v>98.102500000000006</v>
      </c>
      <c r="BFA4">
        <v>98.125</v>
      </c>
      <c r="BFB4">
        <v>98.13</v>
      </c>
      <c r="BFC4">
        <v>98.142499999999998</v>
      </c>
      <c r="BFD4">
        <v>98.142499999999998</v>
      </c>
      <c r="BFE4">
        <v>98.142499999999998</v>
      </c>
      <c r="BFF4">
        <v>98.2</v>
      </c>
      <c r="BFG4">
        <v>98.177499999999995</v>
      </c>
      <c r="BFH4">
        <v>98.157499999999999</v>
      </c>
      <c r="BFI4">
        <v>98.157499999999999</v>
      </c>
      <c r="BFJ4">
        <v>98.155000000000001</v>
      </c>
      <c r="BFK4">
        <v>98.162499999999994</v>
      </c>
      <c r="BFL4">
        <v>98.167500000000004</v>
      </c>
      <c r="BFM4">
        <v>98.162499999999994</v>
      </c>
      <c r="BFN4">
        <v>98.207499999999996</v>
      </c>
      <c r="BFO4">
        <v>98.152500000000003</v>
      </c>
      <c r="BFP4">
        <v>98.18</v>
      </c>
      <c r="BFQ4">
        <v>98.215000000000003</v>
      </c>
      <c r="BFR4">
        <v>98.207499999999996</v>
      </c>
      <c r="BFS4">
        <v>98.254999999999995</v>
      </c>
      <c r="BFT4">
        <v>98.26</v>
      </c>
      <c r="BFU4">
        <v>98.224999999999994</v>
      </c>
      <c r="BFV4">
        <v>98.174999999999997</v>
      </c>
      <c r="BFW4">
        <v>98.245000000000005</v>
      </c>
      <c r="BFX4">
        <v>98.204999999999998</v>
      </c>
      <c r="BFY4">
        <v>98.2</v>
      </c>
      <c r="BFZ4">
        <v>98.265000000000001</v>
      </c>
      <c r="BGA4">
        <v>98.185000000000002</v>
      </c>
      <c r="BGB4">
        <v>98.22</v>
      </c>
      <c r="BGC4">
        <v>98.1</v>
      </c>
      <c r="BGD4">
        <v>98.064999999999998</v>
      </c>
      <c r="BGE4">
        <v>97.954999999999998</v>
      </c>
      <c r="BGF4">
        <v>98.004999999999995</v>
      </c>
      <c r="BGG4">
        <v>98.015000000000001</v>
      </c>
      <c r="BGH4">
        <v>97.99</v>
      </c>
      <c r="BGI4">
        <v>98.015000000000001</v>
      </c>
      <c r="BGJ4">
        <v>98.03</v>
      </c>
      <c r="BGK4">
        <v>98.03</v>
      </c>
      <c r="BGL4">
        <v>98.055000000000007</v>
      </c>
      <c r="BGM4">
        <v>98.06</v>
      </c>
      <c r="BGN4">
        <v>98.13</v>
      </c>
      <c r="BGO4">
        <v>98.06</v>
      </c>
      <c r="BGP4">
        <v>98.04</v>
      </c>
      <c r="BGQ4">
        <v>98.06</v>
      </c>
      <c r="BGR4">
        <v>98.06</v>
      </c>
      <c r="BGS4">
        <v>98.04</v>
      </c>
      <c r="BGT4">
        <v>98.064999999999998</v>
      </c>
      <c r="BGU4">
        <v>97.99</v>
      </c>
      <c r="BGV4">
        <v>98.01</v>
      </c>
      <c r="BGW4">
        <v>98.004999999999995</v>
      </c>
      <c r="BGX4">
        <v>98.084999999999994</v>
      </c>
      <c r="BGY4">
        <v>98.084999999999994</v>
      </c>
      <c r="BGZ4">
        <v>98.08</v>
      </c>
      <c r="BHA4">
        <v>98.06</v>
      </c>
      <c r="BHB4">
        <v>98.114999999999995</v>
      </c>
      <c r="BHC4">
        <v>98.114999999999995</v>
      </c>
      <c r="BHD4">
        <v>98.1</v>
      </c>
      <c r="BHE4">
        <v>98.15</v>
      </c>
      <c r="BHF4">
        <v>98.165000000000006</v>
      </c>
      <c r="BHG4">
        <v>98.125</v>
      </c>
      <c r="BHH4">
        <v>98.155000000000001</v>
      </c>
      <c r="BHI4">
        <v>98.114999999999995</v>
      </c>
      <c r="BHJ4">
        <v>97.72</v>
      </c>
      <c r="BHK4">
        <v>97.707499999999996</v>
      </c>
      <c r="BHL4">
        <v>97.712500000000006</v>
      </c>
      <c r="BHM4">
        <v>97.727500000000006</v>
      </c>
      <c r="BHN4">
        <v>97.704999999999998</v>
      </c>
      <c r="BHO4">
        <v>97.682500000000005</v>
      </c>
      <c r="BHP4">
        <v>97.692499999999995</v>
      </c>
      <c r="BHQ4">
        <v>97.71</v>
      </c>
      <c r="BHR4">
        <v>97.665000000000006</v>
      </c>
      <c r="BHS4">
        <v>97.672499999999999</v>
      </c>
      <c r="BHT4">
        <v>97.665000000000006</v>
      </c>
      <c r="BHU4">
        <v>97.655000000000001</v>
      </c>
      <c r="BHV4">
        <v>97.62</v>
      </c>
      <c r="BHW4">
        <v>97.577500000000001</v>
      </c>
      <c r="BHX4">
        <v>97.582499999999996</v>
      </c>
      <c r="BHY4">
        <v>97.58</v>
      </c>
      <c r="BHZ4">
        <v>97.58</v>
      </c>
      <c r="BIA4">
        <v>97.58</v>
      </c>
      <c r="BIB4">
        <v>97.6</v>
      </c>
      <c r="BIC4">
        <v>97.592500000000001</v>
      </c>
      <c r="BID4">
        <v>97.594999999999999</v>
      </c>
      <c r="BIE4">
        <v>97.6</v>
      </c>
      <c r="BIF4">
        <v>97.61</v>
      </c>
      <c r="BIG4">
        <v>97.612499999999997</v>
      </c>
      <c r="BIH4">
        <v>97.627499999999998</v>
      </c>
      <c r="BII4">
        <v>97.632499999999993</v>
      </c>
      <c r="BIJ4">
        <v>97.635000000000005</v>
      </c>
      <c r="BIK4">
        <v>97.614999999999995</v>
      </c>
      <c r="BIL4">
        <v>97.605000000000004</v>
      </c>
      <c r="BIM4">
        <v>97.59</v>
      </c>
      <c r="BIN4">
        <v>97.6</v>
      </c>
      <c r="BIO4">
        <v>97.6</v>
      </c>
      <c r="BIP4">
        <v>97.584999999999994</v>
      </c>
      <c r="BIQ4">
        <v>97.575000000000003</v>
      </c>
      <c r="BIR4">
        <v>97.584999999999994</v>
      </c>
      <c r="BIS4">
        <v>97.61</v>
      </c>
      <c r="BIT4">
        <v>97.6</v>
      </c>
      <c r="BIU4">
        <v>97.61</v>
      </c>
      <c r="BIV4">
        <v>97.594999999999999</v>
      </c>
      <c r="BIW4">
        <v>97.61</v>
      </c>
      <c r="BIX4">
        <v>97.59</v>
      </c>
      <c r="BIY4">
        <v>97.584999999999994</v>
      </c>
      <c r="BIZ4">
        <v>97.575000000000003</v>
      </c>
      <c r="BJA4">
        <v>97.575000000000003</v>
      </c>
      <c r="BJB4">
        <v>97.58</v>
      </c>
      <c r="BJC4">
        <v>97.584999999999994</v>
      </c>
      <c r="BJD4">
        <v>97.584999999999994</v>
      </c>
      <c r="BJE4">
        <v>97.584999999999994</v>
      </c>
      <c r="BJF4">
        <v>97.59</v>
      </c>
      <c r="BJG4">
        <v>97.605000000000004</v>
      </c>
      <c r="BJH4">
        <v>97.605000000000004</v>
      </c>
      <c r="BJI4">
        <v>97.6</v>
      </c>
      <c r="BJJ4">
        <v>97.605000000000004</v>
      </c>
      <c r="BJK4">
        <v>97.61</v>
      </c>
      <c r="BJL4">
        <v>97.61</v>
      </c>
      <c r="BJM4">
        <v>97.625</v>
      </c>
      <c r="BJN4">
        <v>97.62</v>
      </c>
      <c r="BJO4">
        <v>97.64</v>
      </c>
      <c r="BJP4">
        <v>97.65</v>
      </c>
      <c r="BJQ4">
        <v>97.655000000000001</v>
      </c>
      <c r="BJR4">
        <v>97.635000000000005</v>
      </c>
      <c r="BJS4">
        <v>97.644999999999996</v>
      </c>
      <c r="BJT4">
        <v>97.625</v>
      </c>
      <c r="BJU4">
        <v>97.59</v>
      </c>
      <c r="BJV4">
        <v>97.6</v>
      </c>
      <c r="BJW4">
        <v>97.56</v>
      </c>
      <c r="BJX4">
        <v>97.564999999999998</v>
      </c>
      <c r="BJY4">
        <v>97.57</v>
      </c>
      <c r="BJZ4">
        <v>97.567499999999995</v>
      </c>
      <c r="BKA4">
        <v>97.564999999999998</v>
      </c>
      <c r="BKB4">
        <v>97.567499999999995</v>
      </c>
      <c r="BKC4">
        <v>97.57</v>
      </c>
      <c r="BKD4">
        <v>97.567499999999995</v>
      </c>
      <c r="BKE4">
        <v>97.57</v>
      </c>
      <c r="BKF4">
        <v>97.557500000000005</v>
      </c>
      <c r="BKG4">
        <v>97.55</v>
      </c>
      <c r="BKH4">
        <v>97.547499999999999</v>
      </c>
      <c r="BKI4">
        <v>97.54</v>
      </c>
      <c r="BKJ4">
        <v>97.545000000000002</v>
      </c>
      <c r="BKK4">
        <v>97.54</v>
      </c>
      <c r="BKL4">
        <v>97.55</v>
      </c>
      <c r="BKM4">
        <v>97.55</v>
      </c>
      <c r="BKN4">
        <v>97.555000000000007</v>
      </c>
      <c r="BKO4">
        <v>97.55</v>
      </c>
      <c r="BKP4">
        <v>97.5625</v>
      </c>
      <c r="BKQ4">
        <v>97.564999999999998</v>
      </c>
      <c r="BKR4">
        <v>97.555000000000007</v>
      </c>
      <c r="BKS4">
        <v>97.555000000000007</v>
      </c>
      <c r="BKT4">
        <v>97.56</v>
      </c>
      <c r="BKU4">
        <v>97.555000000000007</v>
      </c>
      <c r="BKV4">
        <v>97.56</v>
      </c>
      <c r="BKW4">
        <v>97.56</v>
      </c>
      <c r="BKX4">
        <v>97.564999999999998</v>
      </c>
      <c r="BKY4">
        <v>97.564999999999998</v>
      </c>
      <c r="BKZ4">
        <v>97.555000000000007</v>
      </c>
      <c r="BLA4">
        <v>97.564999999999998</v>
      </c>
      <c r="BLB4">
        <v>97.56</v>
      </c>
      <c r="BLC4">
        <v>97.564999999999998</v>
      </c>
      <c r="BLD4">
        <v>97.575000000000003</v>
      </c>
      <c r="BLE4">
        <v>97.57</v>
      </c>
      <c r="BLF4">
        <v>97.56</v>
      </c>
      <c r="BLG4">
        <v>97.56</v>
      </c>
      <c r="BLH4">
        <v>97.55</v>
      </c>
      <c r="BLI4">
        <v>97.555000000000007</v>
      </c>
      <c r="BLJ4">
        <v>97.545000000000002</v>
      </c>
      <c r="BLK4">
        <v>97.555000000000007</v>
      </c>
      <c r="BLL4">
        <v>97.534999999999997</v>
      </c>
      <c r="BLM4">
        <v>97.534999999999997</v>
      </c>
      <c r="BLN4">
        <v>97.56</v>
      </c>
      <c r="BLO4">
        <v>97.564999999999998</v>
      </c>
      <c r="BLP4">
        <v>97.56</v>
      </c>
      <c r="BLQ4">
        <v>97.55</v>
      </c>
      <c r="BLR4">
        <v>97.56</v>
      </c>
      <c r="BLS4">
        <v>97.55</v>
      </c>
      <c r="BLT4">
        <v>97.56</v>
      </c>
      <c r="BLU4">
        <v>97.55</v>
      </c>
      <c r="BLV4">
        <v>97.58</v>
      </c>
      <c r="BLW4">
        <v>97.58</v>
      </c>
      <c r="BLX4">
        <v>97.625</v>
      </c>
      <c r="BLY4">
        <v>97.57</v>
      </c>
      <c r="BLZ4">
        <v>97.584999999999994</v>
      </c>
      <c r="BMA4">
        <v>97.584999999999994</v>
      </c>
      <c r="BMB4">
        <v>97.58</v>
      </c>
      <c r="BMC4">
        <v>97.58</v>
      </c>
      <c r="BMD4">
        <v>97.55</v>
      </c>
      <c r="BME4">
        <v>97.56</v>
      </c>
      <c r="BMF4">
        <v>97.56</v>
      </c>
      <c r="BMG4">
        <v>97.525000000000006</v>
      </c>
      <c r="BMH4">
        <v>97.51</v>
      </c>
      <c r="BMI4">
        <v>97.525000000000006</v>
      </c>
      <c r="BMJ4">
        <v>97.584999999999994</v>
      </c>
      <c r="BMK4">
        <v>97.584999999999994</v>
      </c>
      <c r="BML4">
        <v>97.584999999999994</v>
      </c>
      <c r="BMM4">
        <v>97.587500000000006</v>
      </c>
      <c r="BMN4">
        <v>97.592500000000001</v>
      </c>
      <c r="BMO4">
        <v>97.6</v>
      </c>
      <c r="BMP4">
        <v>97.62</v>
      </c>
      <c r="BMQ4">
        <v>97.614999999999995</v>
      </c>
      <c r="BMR4">
        <v>97.61</v>
      </c>
      <c r="BMS4">
        <v>97.6</v>
      </c>
      <c r="BMT4">
        <v>97.6</v>
      </c>
      <c r="BMU4">
        <v>97.59</v>
      </c>
      <c r="BMV4">
        <v>97.6</v>
      </c>
      <c r="BMW4">
        <v>97.597499999999997</v>
      </c>
      <c r="BMX4">
        <v>97.597499999999997</v>
      </c>
      <c r="BMY4">
        <v>97.597499999999997</v>
      </c>
      <c r="BMZ4">
        <v>97.594999999999999</v>
      </c>
      <c r="BNA4">
        <v>97.6</v>
      </c>
      <c r="BNB4">
        <v>97.602500000000006</v>
      </c>
      <c r="BNC4">
        <v>97.602500000000006</v>
      </c>
      <c r="BND4">
        <v>97.612499999999997</v>
      </c>
      <c r="BNE4">
        <v>97.617500000000007</v>
      </c>
      <c r="BNF4">
        <v>97.614999999999995</v>
      </c>
      <c r="BNG4">
        <v>97.605000000000004</v>
      </c>
      <c r="BNH4">
        <v>97.605000000000004</v>
      </c>
      <c r="BNI4">
        <v>97.6</v>
      </c>
      <c r="BNJ4">
        <v>97.6</v>
      </c>
      <c r="BNK4">
        <v>97.594999999999999</v>
      </c>
      <c r="BNL4">
        <v>97.58</v>
      </c>
      <c r="BNM4">
        <v>97.59</v>
      </c>
      <c r="BNN4">
        <v>97.594999999999999</v>
      </c>
      <c r="BNO4">
        <v>97.6</v>
      </c>
      <c r="BNP4">
        <v>97.594999999999999</v>
      </c>
      <c r="BNQ4">
        <v>97.6</v>
      </c>
      <c r="BNR4">
        <v>97.59</v>
      </c>
      <c r="BNS4">
        <v>97.6</v>
      </c>
      <c r="BNT4">
        <v>97.6</v>
      </c>
      <c r="BNU4">
        <v>97.6</v>
      </c>
      <c r="BNV4">
        <v>97.58</v>
      </c>
      <c r="BNW4">
        <v>97.575000000000003</v>
      </c>
      <c r="BNX4">
        <v>97.57</v>
      </c>
      <c r="BNY4">
        <v>97.56</v>
      </c>
      <c r="BNZ4">
        <v>97.555000000000007</v>
      </c>
      <c r="BOA4">
        <v>97.564999999999998</v>
      </c>
      <c r="BOB4">
        <v>97.58</v>
      </c>
      <c r="BOC4">
        <v>97.584999999999994</v>
      </c>
      <c r="BOD4">
        <v>97.58</v>
      </c>
      <c r="BOE4">
        <v>97.59</v>
      </c>
      <c r="BOF4">
        <v>97.584999999999994</v>
      </c>
      <c r="BOG4">
        <v>97.584999999999994</v>
      </c>
      <c r="BOH4">
        <v>97.575000000000003</v>
      </c>
      <c r="BOI4">
        <v>97.58</v>
      </c>
      <c r="BOJ4">
        <v>97.584999999999994</v>
      </c>
      <c r="BOK4">
        <v>97.584999999999994</v>
      </c>
      <c r="BOL4">
        <v>97.584999999999994</v>
      </c>
      <c r="BOM4">
        <v>97.59</v>
      </c>
      <c r="BON4">
        <v>97.58</v>
      </c>
      <c r="BOO4">
        <v>97.584999999999994</v>
      </c>
      <c r="BOP4">
        <v>97.58</v>
      </c>
      <c r="BOQ4">
        <v>97.575000000000003</v>
      </c>
      <c r="BOR4">
        <v>97.564999999999998</v>
      </c>
      <c r="BOS4">
        <v>97.58</v>
      </c>
      <c r="BOT4">
        <v>97.58</v>
      </c>
      <c r="BOU4">
        <v>97.57</v>
      </c>
      <c r="BOV4">
        <v>97.58</v>
      </c>
      <c r="BOW4">
        <v>97.82</v>
      </c>
      <c r="BOX4">
        <v>97.82</v>
      </c>
      <c r="BOY4">
        <v>97.825000000000003</v>
      </c>
      <c r="BOZ4">
        <v>97.834999999999994</v>
      </c>
      <c r="BPA4">
        <v>97.84</v>
      </c>
      <c r="BPB4">
        <v>97.827500000000001</v>
      </c>
      <c r="BPC4">
        <v>97.827500000000001</v>
      </c>
      <c r="BPD4">
        <v>97.825000000000003</v>
      </c>
      <c r="BPE4">
        <v>97.837500000000006</v>
      </c>
      <c r="BPF4">
        <v>97.834999999999994</v>
      </c>
      <c r="BPG4">
        <v>97.837500000000006</v>
      </c>
      <c r="BPH4">
        <v>97.842500000000001</v>
      </c>
      <c r="BPI4">
        <v>97.842500000000001</v>
      </c>
      <c r="BPJ4">
        <v>97.84</v>
      </c>
      <c r="BPK4">
        <v>97.832499999999996</v>
      </c>
      <c r="BPL4">
        <v>97.83</v>
      </c>
      <c r="BPM4">
        <v>97.84</v>
      </c>
      <c r="BPN4">
        <v>97.847499999999997</v>
      </c>
      <c r="BPO4">
        <v>97.855000000000004</v>
      </c>
      <c r="BPP4">
        <v>97.87</v>
      </c>
      <c r="BPQ4">
        <v>97.864999999999995</v>
      </c>
      <c r="BPR4">
        <v>97.875</v>
      </c>
      <c r="BPS4">
        <v>97.867500000000007</v>
      </c>
      <c r="BPT4">
        <v>97.862499999999997</v>
      </c>
      <c r="BPU4">
        <v>97.87</v>
      </c>
      <c r="BPV4">
        <v>97.87</v>
      </c>
      <c r="BPW4">
        <v>97.87</v>
      </c>
      <c r="BPX4">
        <v>97.885000000000005</v>
      </c>
      <c r="BPY4">
        <v>97.87</v>
      </c>
      <c r="BPZ4">
        <v>97.87</v>
      </c>
      <c r="BQA4">
        <v>97.864999999999995</v>
      </c>
      <c r="BQB4">
        <v>97.864999999999995</v>
      </c>
      <c r="BQC4">
        <v>97.864999999999995</v>
      </c>
      <c r="BQD4">
        <v>97.855000000000004</v>
      </c>
      <c r="BQE4">
        <v>97.844999999999999</v>
      </c>
      <c r="BQF4">
        <v>97.85</v>
      </c>
      <c r="BQG4">
        <v>97.85</v>
      </c>
      <c r="BQH4">
        <v>97.85</v>
      </c>
      <c r="BQI4">
        <v>97.844999999999999</v>
      </c>
      <c r="BQJ4">
        <v>97.85</v>
      </c>
      <c r="BQK4">
        <v>97.855000000000004</v>
      </c>
      <c r="BQL4">
        <v>97.864999999999995</v>
      </c>
      <c r="BQM4">
        <v>97.864999999999995</v>
      </c>
      <c r="BQN4">
        <v>97.86</v>
      </c>
      <c r="BQO4">
        <v>97.85</v>
      </c>
      <c r="BQP4">
        <v>97.855000000000004</v>
      </c>
      <c r="BQQ4">
        <v>97.864999999999995</v>
      </c>
      <c r="BQR4">
        <v>97.875</v>
      </c>
      <c r="BQS4">
        <v>97.885000000000005</v>
      </c>
      <c r="BQT4">
        <v>97.894999999999996</v>
      </c>
      <c r="BQU4">
        <v>97.9</v>
      </c>
      <c r="BQV4">
        <v>97.915000000000006</v>
      </c>
      <c r="BQW4">
        <v>97.92</v>
      </c>
      <c r="BQX4">
        <v>97.915000000000006</v>
      </c>
      <c r="BQY4">
        <v>97.924999999999997</v>
      </c>
      <c r="BQZ4">
        <v>97.924999999999997</v>
      </c>
      <c r="BRA4">
        <v>97.915000000000006</v>
      </c>
      <c r="BRB4">
        <v>97.91</v>
      </c>
      <c r="BRC4">
        <v>97.91</v>
      </c>
      <c r="BRD4">
        <v>97.9</v>
      </c>
      <c r="BRE4">
        <v>97.894999999999996</v>
      </c>
      <c r="BRF4">
        <v>97.885000000000005</v>
      </c>
      <c r="BRG4">
        <v>97.88</v>
      </c>
      <c r="BRH4">
        <v>97.875</v>
      </c>
      <c r="BRI4">
        <v>97.864999999999995</v>
      </c>
      <c r="BRJ4">
        <v>97.87</v>
      </c>
      <c r="BRK4">
        <v>97.864999999999995</v>
      </c>
      <c r="BRL4">
        <v>97.86</v>
      </c>
      <c r="BRM4">
        <v>97.844999999999999</v>
      </c>
      <c r="BRN4">
        <v>97.834999999999994</v>
      </c>
      <c r="BRO4">
        <v>97.85</v>
      </c>
      <c r="BRP4">
        <v>97.85</v>
      </c>
      <c r="BRQ4">
        <v>97.864999999999995</v>
      </c>
      <c r="BRR4">
        <v>97.85</v>
      </c>
      <c r="BRS4">
        <v>97.85</v>
      </c>
      <c r="BRT4">
        <v>97.86</v>
      </c>
      <c r="BRU4">
        <v>97.85</v>
      </c>
      <c r="BRV4">
        <v>97.864999999999995</v>
      </c>
      <c r="BRW4">
        <v>97.89</v>
      </c>
      <c r="BRX4">
        <v>97.905000000000001</v>
      </c>
      <c r="BRY4">
        <v>97.94</v>
      </c>
      <c r="BRZ4">
        <v>97.885000000000005</v>
      </c>
      <c r="BSA4">
        <v>97.885000000000005</v>
      </c>
      <c r="BSB4">
        <v>97.87</v>
      </c>
      <c r="BSC4">
        <v>97.844999999999999</v>
      </c>
      <c r="BSD4">
        <v>97.81</v>
      </c>
      <c r="BSE4">
        <v>97.8</v>
      </c>
      <c r="BSF4">
        <v>97.814999999999998</v>
      </c>
      <c r="BSG4">
        <v>97.805000000000007</v>
      </c>
      <c r="BSH4">
        <v>97.805000000000007</v>
      </c>
      <c r="BSI4">
        <v>97.81</v>
      </c>
      <c r="BSJ4">
        <v>97.825000000000003</v>
      </c>
      <c r="BSK4">
        <v>97.814999999999998</v>
      </c>
      <c r="BSL4">
        <v>97.825000000000003</v>
      </c>
      <c r="BSM4">
        <v>97.84</v>
      </c>
      <c r="BSN4">
        <v>97.84</v>
      </c>
      <c r="BSO4">
        <v>97.84</v>
      </c>
      <c r="BSP4">
        <v>97.79</v>
      </c>
      <c r="BSQ4" t="s">
        <v>6984</v>
      </c>
      <c r="BSR4" t="s">
        <v>6984</v>
      </c>
      <c r="BSS4" t="s">
        <v>6984</v>
      </c>
      <c r="BST4" t="s">
        <v>6984</v>
      </c>
      <c r="BSU4" t="s">
        <v>6984</v>
      </c>
      <c r="BSV4" t="s">
        <v>6984</v>
      </c>
      <c r="BSW4" t="s">
        <v>6984</v>
      </c>
      <c r="BSX4" t="s">
        <v>6984</v>
      </c>
      <c r="BSY4" t="s">
        <v>6984</v>
      </c>
      <c r="BSZ4" t="s">
        <v>6984</v>
      </c>
      <c r="BTA4" t="s">
        <v>6984</v>
      </c>
      <c r="BTB4" t="s">
        <v>6984</v>
      </c>
      <c r="BTC4" t="s">
        <v>6984</v>
      </c>
      <c r="BTD4" t="s">
        <v>6984</v>
      </c>
      <c r="BTE4" t="s">
        <v>6984</v>
      </c>
      <c r="BTF4" t="s">
        <v>6984</v>
      </c>
      <c r="BTG4" t="s">
        <v>6984</v>
      </c>
      <c r="BTH4" t="s">
        <v>6984</v>
      </c>
      <c r="BTI4" t="s">
        <v>6984</v>
      </c>
      <c r="BTJ4" t="s">
        <v>6984</v>
      </c>
      <c r="BTK4" t="s">
        <v>6984</v>
      </c>
      <c r="BTL4" t="s">
        <v>6984</v>
      </c>
      <c r="BTM4" t="s">
        <v>6984</v>
      </c>
      <c r="BTN4" t="s">
        <v>6984</v>
      </c>
      <c r="BTO4" t="s">
        <v>6984</v>
      </c>
      <c r="BTP4" t="s">
        <v>6984</v>
      </c>
      <c r="BTQ4" t="s">
        <v>6984</v>
      </c>
      <c r="BTR4" t="s">
        <v>6984</v>
      </c>
      <c r="BTS4" t="s">
        <v>6984</v>
      </c>
      <c r="BTT4" t="s">
        <v>6984</v>
      </c>
      <c r="BTU4" t="s">
        <v>6984</v>
      </c>
      <c r="BTV4" t="s">
        <v>6984</v>
      </c>
      <c r="BTW4" t="s">
        <v>6984</v>
      </c>
      <c r="BTX4" t="s">
        <v>6984</v>
      </c>
      <c r="BTY4" t="s">
        <v>6984</v>
      </c>
      <c r="BTZ4" t="s">
        <v>6984</v>
      </c>
      <c r="BUA4" t="s">
        <v>6984</v>
      </c>
      <c r="BUB4" t="s">
        <v>6984</v>
      </c>
      <c r="BUC4" t="s">
        <v>6984</v>
      </c>
      <c r="BUD4" t="s">
        <v>6984</v>
      </c>
      <c r="BUE4" t="s">
        <v>6984</v>
      </c>
      <c r="BUF4" t="s">
        <v>6984</v>
      </c>
      <c r="BUG4" t="s">
        <v>6984</v>
      </c>
      <c r="BUH4" t="s">
        <v>6984</v>
      </c>
      <c r="BUI4" t="s">
        <v>6984</v>
      </c>
      <c r="BUJ4" t="s">
        <v>6984</v>
      </c>
      <c r="BUK4" t="s">
        <v>6984</v>
      </c>
      <c r="BUL4" t="s">
        <v>6984</v>
      </c>
      <c r="BUM4" t="s">
        <v>6984</v>
      </c>
      <c r="BUN4" t="s">
        <v>6984</v>
      </c>
      <c r="BUO4" t="s">
        <v>6984</v>
      </c>
      <c r="BUP4" t="s">
        <v>6984</v>
      </c>
      <c r="BUQ4" t="s">
        <v>6984</v>
      </c>
      <c r="BUR4" t="s">
        <v>6984</v>
      </c>
      <c r="BUS4" t="s">
        <v>6984</v>
      </c>
      <c r="BUT4" t="s">
        <v>6984</v>
      </c>
      <c r="BUU4" t="s">
        <v>6984</v>
      </c>
      <c r="BUV4" t="s">
        <v>6984</v>
      </c>
      <c r="BUW4" t="s">
        <v>6984</v>
      </c>
      <c r="BUX4" t="s">
        <v>6984</v>
      </c>
      <c r="BUY4" t="s">
        <v>6984</v>
      </c>
      <c r="BUZ4" t="s">
        <v>6984</v>
      </c>
      <c r="BVA4" t="s">
        <v>6984</v>
      </c>
      <c r="BVB4" t="s">
        <v>6984</v>
      </c>
      <c r="BVC4" t="s">
        <v>6984</v>
      </c>
      <c r="BVD4" t="s">
        <v>6984</v>
      </c>
      <c r="BVE4" t="s">
        <v>6984</v>
      </c>
      <c r="BVF4" t="s">
        <v>6984</v>
      </c>
      <c r="BVG4" t="s">
        <v>6984</v>
      </c>
      <c r="BVH4" t="s">
        <v>6984</v>
      </c>
      <c r="BVI4" t="s">
        <v>6984</v>
      </c>
      <c r="BVJ4" t="s">
        <v>6984</v>
      </c>
      <c r="BVK4" t="s">
        <v>6984</v>
      </c>
      <c r="BVL4" t="s">
        <v>6984</v>
      </c>
      <c r="BVM4" t="s">
        <v>6984</v>
      </c>
      <c r="BVN4" t="s">
        <v>6984</v>
      </c>
      <c r="BVO4" t="s">
        <v>6984</v>
      </c>
      <c r="BVP4" t="s">
        <v>6984</v>
      </c>
      <c r="BVQ4" t="s">
        <v>6984</v>
      </c>
      <c r="BVR4" t="s">
        <v>6984</v>
      </c>
      <c r="BVS4" t="s">
        <v>6984</v>
      </c>
      <c r="BVT4" t="s">
        <v>6984</v>
      </c>
      <c r="BVU4" t="s">
        <v>6984</v>
      </c>
      <c r="BVV4" t="s">
        <v>6984</v>
      </c>
      <c r="BVW4" t="s">
        <v>6984</v>
      </c>
      <c r="BVX4" t="s">
        <v>6984</v>
      </c>
      <c r="BVY4" t="s">
        <v>6984</v>
      </c>
      <c r="BVZ4" t="s">
        <v>6984</v>
      </c>
      <c r="BWA4" t="s">
        <v>6984</v>
      </c>
      <c r="BWB4" t="s">
        <v>6984</v>
      </c>
      <c r="BWC4" t="s">
        <v>6984</v>
      </c>
      <c r="BWD4" t="s">
        <v>6984</v>
      </c>
      <c r="BWE4" t="s">
        <v>6984</v>
      </c>
      <c r="BWF4" t="s">
        <v>6984</v>
      </c>
      <c r="BWG4" t="s">
        <v>6984</v>
      </c>
      <c r="BWH4" t="s">
        <v>6984</v>
      </c>
      <c r="BWI4" t="s">
        <v>6984</v>
      </c>
      <c r="BWJ4" t="s">
        <v>6984</v>
      </c>
      <c r="BWK4" t="s">
        <v>6984</v>
      </c>
      <c r="BWL4" t="s">
        <v>6984</v>
      </c>
      <c r="BWM4" t="s">
        <v>6984</v>
      </c>
      <c r="BWN4" t="s">
        <v>6984</v>
      </c>
      <c r="BWO4" t="s">
        <v>6984</v>
      </c>
      <c r="BWP4" t="s">
        <v>6984</v>
      </c>
      <c r="BWQ4" t="s">
        <v>6984</v>
      </c>
      <c r="BWR4" t="s">
        <v>6984</v>
      </c>
      <c r="BWS4" t="s">
        <v>6984</v>
      </c>
      <c r="BWT4" t="s">
        <v>6984</v>
      </c>
      <c r="BWU4" t="s">
        <v>6984</v>
      </c>
      <c r="BWV4" t="s">
        <v>6984</v>
      </c>
      <c r="BWW4" t="s">
        <v>6984</v>
      </c>
      <c r="BWX4" t="s">
        <v>6984</v>
      </c>
      <c r="BWY4" t="s">
        <v>6984</v>
      </c>
      <c r="BWZ4" t="s">
        <v>6984</v>
      </c>
      <c r="BXA4" t="s">
        <v>6984</v>
      </c>
      <c r="BXB4" t="s">
        <v>6984</v>
      </c>
      <c r="BXC4" t="s">
        <v>6984</v>
      </c>
      <c r="BXD4" t="s">
        <v>6984</v>
      </c>
      <c r="BXE4" t="s">
        <v>6984</v>
      </c>
      <c r="BXF4" t="s">
        <v>6984</v>
      </c>
      <c r="BXG4" t="s">
        <v>6984</v>
      </c>
      <c r="BXH4" t="s">
        <v>6984</v>
      </c>
      <c r="BXI4" t="s">
        <v>6984</v>
      </c>
      <c r="BXJ4" t="s">
        <v>6984</v>
      </c>
      <c r="BXK4" t="s">
        <v>6984</v>
      </c>
      <c r="BXL4" t="s">
        <v>6984</v>
      </c>
      <c r="BXM4" t="s">
        <v>6984</v>
      </c>
      <c r="BXN4" t="s">
        <v>6984</v>
      </c>
      <c r="BXO4" t="s">
        <v>6984</v>
      </c>
      <c r="BXP4" t="s">
        <v>6984</v>
      </c>
      <c r="BXQ4" t="s">
        <v>6984</v>
      </c>
      <c r="BXR4" t="s">
        <v>6984</v>
      </c>
      <c r="BXS4" t="s">
        <v>6984</v>
      </c>
      <c r="BXT4" t="s">
        <v>6984</v>
      </c>
      <c r="BXU4" t="s">
        <v>6984</v>
      </c>
      <c r="BXV4" t="s">
        <v>6984</v>
      </c>
      <c r="BXW4" t="s">
        <v>6984</v>
      </c>
      <c r="BXX4" t="s">
        <v>6984</v>
      </c>
      <c r="BXY4" t="s">
        <v>6984</v>
      </c>
      <c r="BXZ4" t="s">
        <v>6984</v>
      </c>
      <c r="BYA4" t="s">
        <v>6984</v>
      </c>
      <c r="BYB4" t="s">
        <v>6984</v>
      </c>
      <c r="BYC4" t="s">
        <v>6984</v>
      </c>
      <c r="BYD4" t="s">
        <v>6984</v>
      </c>
      <c r="BYE4" t="s">
        <v>6984</v>
      </c>
      <c r="BYF4" t="s">
        <v>6984</v>
      </c>
      <c r="BYG4" t="s">
        <v>6984</v>
      </c>
      <c r="BYH4" t="s">
        <v>6984</v>
      </c>
      <c r="BYI4" t="s">
        <v>6984</v>
      </c>
      <c r="BYJ4" t="s">
        <v>6984</v>
      </c>
      <c r="BYK4" t="s">
        <v>6984</v>
      </c>
      <c r="BYL4" t="s">
        <v>6984</v>
      </c>
      <c r="BYM4" t="s">
        <v>6984</v>
      </c>
      <c r="BYN4" t="s">
        <v>6984</v>
      </c>
      <c r="BYO4" t="s">
        <v>6984</v>
      </c>
      <c r="BYP4" t="s">
        <v>6984</v>
      </c>
      <c r="BYQ4" t="s">
        <v>6984</v>
      </c>
      <c r="BYR4" t="s">
        <v>6984</v>
      </c>
      <c r="BYS4" t="s">
        <v>6984</v>
      </c>
      <c r="BYT4" t="s">
        <v>6984</v>
      </c>
      <c r="BYU4" t="s">
        <v>6984</v>
      </c>
      <c r="BYV4" t="s">
        <v>6984</v>
      </c>
      <c r="BYW4" t="s">
        <v>6984</v>
      </c>
      <c r="BYX4" t="s">
        <v>6984</v>
      </c>
      <c r="BYY4" t="s">
        <v>6984</v>
      </c>
      <c r="BYZ4" t="s">
        <v>6984</v>
      </c>
      <c r="BZA4" t="s">
        <v>6984</v>
      </c>
      <c r="BZB4" t="s">
        <v>6984</v>
      </c>
      <c r="BZC4" t="s">
        <v>6984</v>
      </c>
      <c r="BZD4" t="s">
        <v>6984</v>
      </c>
      <c r="BZE4" t="s">
        <v>6984</v>
      </c>
      <c r="BZF4" t="s">
        <v>6984</v>
      </c>
      <c r="BZG4" t="s">
        <v>6984</v>
      </c>
      <c r="BZH4" t="s">
        <v>6984</v>
      </c>
      <c r="BZI4" t="s">
        <v>6984</v>
      </c>
      <c r="BZJ4" t="s">
        <v>6984</v>
      </c>
      <c r="BZK4" t="s">
        <v>6984</v>
      </c>
      <c r="BZL4" t="s">
        <v>6984</v>
      </c>
      <c r="BZM4" t="s">
        <v>6984</v>
      </c>
      <c r="BZN4" t="s">
        <v>6984</v>
      </c>
      <c r="BZO4" t="s">
        <v>6984</v>
      </c>
      <c r="BZP4" t="s">
        <v>6984</v>
      </c>
      <c r="BZQ4" t="s">
        <v>6984</v>
      </c>
      <c r="BZR4" t="s">
        <v>6984</v>
      </c>
      <c r="BZS4" t="s">
        <v>6984</v>
      </c>
      <c r="BZT4" t="s">
        <v>6984</v>
      </c>
      <c r="BZU4" t="s">
        <v>6984</v>
      </c>
      <c r="BZV4" t="s">
        <v>6984</v>
      </c>
      <c r="BZW4" t="s">
        <v>6984</v>
      </c>
      <c r="BZX4" t="s">
        <v>6984</v>
      </c>
      <c r="BZY4" t="s">
        <v>6984</v>
      </c>
      <c r="BZZ4" t="s">
        <v>6984</v>
      </c>
      <c r="CAA4" t="s">
        <v>6984</v>
      </c>
      <c r="CAB4" t="s">
        <v>6984</v>
      </c>
      <c r="CAC4" t="s">
        <v>6984</v>
      </c>
      <c r="CAD4" t="s">
        <v>6984</v>
      </c>
      <c r="CAE4" t="s">
        <v>6984</v>
      </c>
      <c r="CAF4" t="s">
        <v>6984</v>
      </c>
      <c r="CAG4" t="s">
        <v>6984</v>
      </c>
      <c r="CAH4" t="s">
        <v>6984</v>
      </c>
      <c r="CAI4" t="s">
        <v>6984</v>
      </c>
      <c r="CAJ4" t="s">
        <v>6984</v>
      </c>
      <c r="CAK4" t="s">
        <v>6984</v>
      </c>
      <c r="CAL4" t="s">
        <v>6984</v>
      </c>
      <c r="CAM4" t="s">
        <v>6984</v>
      </c>
      <c r="CAN4" t="s">
        <v>6984</v>
      </c>
      <c r="CAO4" t="s">
        <v>6984</v>
      </c>
      <c r="CAP4" t="s">
        <v>6984</v>
      </c>
      <c r="CAQ4" t="s">
        <v>6984</v>
      </c>
      <c r="CAR4" t="s">
        <v>6984</v>
      </c>
      <c r="CAS4" t="s">
        <v>6984</v>
      </c>
      <c r="CAT4" t="s">
        <v>6984</v>
      </c>
      <c r="CAU4" t="s">
        <v>6984</v>
      </c>
      <c r="CAV4" t="s">
        <v>6984</v>
      </c>
      <c r="CAW4" t="s">
        <v>6984</v>
      </c>
      <c r="CAX4" t="s">
        <v>6984</v>
      </c>
      <c r="CAY4" t="s">
        <v>6984</v>
      </c>
      <c r="CAZ4" t="s">
        <v>6984</v>
      </c>
      <c r="CBA4" t="s">
        <v>6984</v>
      </c>
      <c r="CBB4" t="s">
        <v>6984</v>
      </c>
      <c r="CBC4" t="s">
        <v>6984</v>
      </c>
      <c r="CBD4" t="s">
        <v>6984</v>
      </c>
      <c r="CBE4" t="s">
        <v>6984</v>
      </c>
      <c r="CBF4" t="s">
        <v>6984</v>
      </c>
      <c r="CBG4" t="s">
        <v>6984</v>
      </c>
      <c r="CBH4" t="s">
        <v>6984</v>
      </c>
      <c r="CBI4" t="s">
        <v>6984</v>
      </c>
      <c r="CBJ4" t="s">
        <v>6984</v>
      </c>
      <c r="CBK4" t="s">
        <v>6984</v>
      </c>
      <c r="CBL4" t="s">
        <v>6984</v>
      </c>
      <c r="CBM4" t="s">
        <v>6984</v>
      </c>
      <c r="CBN4" t="s">
        <v>6984</v>
      </c>
      <c r="CBO4" t="s">
        <v>6984</v>
      </c>
      <c r="CBP4" t="s">
        <v>6984</v>
      </c>
      <c r="CBQ4" t="s">
        <v>6984</v>
      </c>
      <c r="CBR4" t="s">
        <v>6984</v>
      </c>
      <c r="CBS4" t="s">
        <v>6984</v>
      </c>
      <c r="CBT4" t="s">
        <v>6984</v>
      </c>
      <c r="CBU4" t="s">
        <v>6984</v>
      </c>
      <c r="CBV4" t="s">
        <v>6984</v>
      </c>
      <c r="CBW4" t="s">
        <v>6984</v>
      </c>
      <c r="CBX4" t="s">
        <v>6984</v>
      </c>
      <c r="CBY4" t="s">
        <v>6984</v>
      </c>
      <c r="CBZ4" t="s">
        <v>6984</v>
      </c>
      <c r="CCA4" t="s">
        <v>6984</v>
      </c>
      <c r="CCB4" t="s">
        <v>6984</v>
      </c>
      <c r="CCC4" t="s">
        <v>6984</v>
      </c>
      <c r="CCD4" t="s">
        <v>6984</v>
      </c>
      <c r="CCE4" t="s">
        <v>6984</v>
      </c>
      <c r="CCF4" t="s">
        <v>6984</v>
      </c>
      <c r="CCG4" t="s">
        <v>6984</v>
      </c>
      <c r="CCH4" t="s">
        <v>6984</v>
      </c>
      <c r="CCI4" t="s">
        <v>6984</v>
      </c>
      <c r="CCJ4" t="s">
        <v>6984</v>
      </c>
      <c r="CCK4" t="s">
        <v>6984</v>
      </c>
      <c r="CCL4" t="s">
        <v>6984</v>
      </c>
      <c r="CCM4" t="s">
        <v>6984</v>
      </c>
      <c r="CCN4" t="s">
        <v>6984</v>
      </c>
      <c r="CCO4" t="s">
        <v>6984</v>
      </c>
      <c r="CCP4" t="s">
        <v>6984</v>
      </c>
      <c r="CCQ4" t="s">
        <v>6984</v>
      </c>
      <c r="CCR4" t="s">
        <v>6984</v>
      </c>
      <c r="CCS4" t="s">
        <v>6984</v>
      </c>
      <c r="CCT4" t="s">
        <v>6984</v>
      </c>
      <c r="CCU4" t="s">
        <v>6984</v>
      </c>
      <c r="CCV4" t="s">
        <v>6984</v>
      </c>
      <c r="CCW4" t="s">
        <v>6984</v>
      </c>
      <c r="CCX4" t="s">
        <v>6984</v>
      </c>
      <c r="CCY4" t="s">
        <v>6984</v>
      </c>
      <c r="CCZ4" t="s">
        <v>6984</v>
      </c>
      <c r="CDA4" t="s">
        <v>6984</v>
      </c>
      <c r="CDB4" t="s">
        <v>6984</v>
      </c>
      <c r="CDC4" t="s">
        <v>6984</v>
      </c>
      <c r="CDD4" t="s">
        <v>6984</v>
      </c>
      <c r="CDE4" t="s">
        <v>6984</v>
      </c>
      <c r="CDF4" t="s">
        <v>6984</v>
      </c>
      <c r="CDG4" t="s">
        <v>6984</v>
      </c>
      <c r="CDH4" t="s">
        <v>6984</v>
      </c>
      <c r="CDI4" t="s">
        <v>6984</v>
      </c>
      <c r="CDJ4" t="s">
        <v>6984</v>
      </c>
      <c r="CDK4" t="s">
        <v>6984</v>
      </c>
      <c r="CDL4" t="s">
        <v>6984</v>
      </c>
      <c r="CDM4" t="s">
        <v>6984</v>
      </c>
      <c r="CDN4" t="s">
        <v>6984</v>
      </c>
      <c r="CDO4" t="s">
        <v>6984</v>
      </c>
      <c r="CDP4" t="s">
        <v>6984</v>
      </c>
      <c r="CDQ4" t="s">
        <v>6984</v>
      </c>
      <c r="CDR4" t="s">
        <v>6984</v>
      </c>
      <c r="CDS4" t="s">
        <v>6984</v>
      </c>
      <c r="CDT4" t="s">
        <v>6984</v>
      </c>
      <c r="CDU4" t="s">
        <v>6984</v>
      </c>
      <c r="CDV4" t="s">
        <v>6984</v>
      </c>
      <c r="CDW4" t="s">
        <v>6984</v>
      </c>
      <c r="CDX4" t="s">
        <v>6984</v>
      </c>
      <c r="CDY4" t="s">
        <v>6984</v>
      </c>
      <c r="CDZ4" t="s">
        <v>6984</v>
      </c>
      <c r="CEA4" t="s">
        <v>6984</v>
      </c>
      <c r="CEB4" t="s">
        <v>6984</v>
      </c>
      <c r="CEC4" t="s">
        <v>6984</v>
      </c>
      <c r="CED4" t="s">
        <v>6984</v>
      </c>
      <c r="CEE4" t="s">
        <v>6984</v>
      </c>
      <c r="CEF4" t="s">
        <v>6984</v>
      </c>
      <c r="CEG4" t="s">
        <v>6984</v>
      </c>
      <c r="CEH4" t="s">
        <v>6984</v>
      </c>
      <c r="CEI4" t="s">
        <v>6984</v>
      </c>
      <c r="CEJ4" t="s">
        <v>6984</v>
      </c>
      <c r="CEK4" t="s">
        <v>6984</v>
      </c>
      <c r="CEL4" t="s">
        <v>6984</v>
      </c>
      <c r="CEM4" t="s">
        <v>6984</v>
      </c>
      <c r="CEN4" t="s">
        <v>6984</v>
      </c>
      <c r="CEO4" t="s">
        <v>6984</v>
      </c>
      <c r="CEP4" t="s">
        <v>6984</v>
      </c>
      <c r="CEQ4" t="s">
        <v>6984</v>
      </c>
      <c r="CER4" t="s">
        <v>6984</v>
      </c>
      <c r="CES4" t="s">
        <v>6984</v>
      </c>
      <c r="CET4" t="s">
        <v>6984</v>
      </c>
      <c r="CEU4" t="s">
        <v>6984</v>
      </c>
      <c r="CEV4" t="s">
        <v>6984</v>
      </c>
      <c r="CEW4" t="s">
        <v>6984</v>
      </c>
      <c r="CEX4" t="s">
        <v>6984</v>
      </c>
      <c r="CEY4" t="s">
        <v>6984</v>
      </c>
      <c r="CEZ4" t="s">
        <v>6984</v>
      </c>
      <c r="CFA4" t="s">
        <v>6984</v>
      </c>
      <c r="CFB4" t="s">
        <v>6984</v>
      </c>
      <c r="CFC4" t="s">
        <v>6984</v>
      </c>
      <c r="CFD4" t="s">
        <v>6984</v>
      </c>
      <c r="CFE4" t="s">
        <v>6984</v>
      </c>
      <c r="CFF4" t="s">
        <v>6984</v>
      </c>
      <c r="CFG4" t="s">
        <v>6984</v>
      </c>
      <c r="CFH4" t="s">
        <v>6984</v>
      </c>
      <c r="CFI4" t="s">
        <v>6984</v>
      </c>
      <c r="CFJ4" t="s">
        <v>6984</v>
      </c>
      <c r="CFK4" t="s">
        <v>6984</v>
      </c>
      <c r="CFL4" t="s">
        <v>6984</v>
      </c>
      <c r="CFM4" t="s">
        <v>6984</v>
      </c>
      <c r="CFN4" t="s">
        <v>6984</v>
      </c>
      <c r="CFO4" t="s">
        <v>6984</v>
      </c>
      <c r="CFP4" t="s">
        <v>6984</v>
      </c>
      <c r="CFQ4" t="s">
        <v>6984</v>
      </c>
      <c r="CFR4" t="s">
        <v>6984</v>
      </c>
      <c r="CFS4" t="s">
        <v>6984</v>
      </c>
      <c r="CFT4" t="s">
        <v>6984</v>
      </c>
      <c r="CFU4" t="s">
        <v>6984</v>
      </c>
      <c r="CFV4" t="s">
        <v>6984</v>
      </c>
      <c r="CFW4" t="s">
        <v>6984</v>
      </c>
      <c r="CFX4" t="s">
        <v>6984</v>
      </c>
      <c r="CFY4" t="s">
        <v>6984</v>
      </c>
      <c r="CFZ4" t="s">
        <v>6984</v>
      </c>
      <c r="CGA4" t="s">
        <v>6984</v>
      </c>
      <c r="CGB4" t="s">
        <v>6984</v>
      </c>
      <c r="CGC4" t="s">
        <v>6984</v>
      </c>
      <c r="CGD4" t="s">
        <v>6984</v>
      </c>
      <c r="CGE4" t="s">
        <v>6984</v>
      </c>
      <c r="CGF4" t="s">
        <v>6984</v>
      </c>
      <c r="CGG4" t="s">
        <v>6984</v>
      </c>
      <c r="CGH4" t="s">
        <v>6984</v>
      </c>
      <c r="CGI4" t="s">
        <v>6984</v>
      </c>
      <c r="CGJ4" t="s">
        <v>6984</v>
      </c>
      <c r="CGK4" t="s">
        <v>6984</v>
      </c>
      <c r="CGL4" t="s">
        <v>6984</v>
      </c>
      <c r="CGM4" t="s">
        <v>6984</v>
      </c>
      <c r="CGN4" t="s">
        <v>6984</v>
      </c>
      <c r="CGO4" t="s">
        <v>6984</v>
      </c>
      <c r="CGP4" t="s">
        <v>6984</v>
      </c>
      <c r="CGQ4" t="s">
        <v>6984</v>
      </c>
      <c r="CGR4" t="s">
        <v>6984</v>
      </c>
      <c r="CGS4" t="s">
        <v>6984</v>
      </c>
      <c r="CGT4" t="s">
        <v>6984</v>
      </c>
      <c r="CGU4" t="s">
        <v>6984</v>
      </c>
      <c r="CGV4" t="s">
        <v>6984</v>
      </c>
      <c r="CGW4" t="s">
        <v>6984</v>
      </c>
      <c r="CGX4" t="s">
        <v>6984</v>
      </c>
      <c r="CGY4" t="s">
        <v>6984</v>
      </c>
      <c r="CGZ4" t="s">
        <v>6984</v>
      </c>
      <c r="CHA4" t="s">
        <v>6984</v>
      </c>
      <c r="CHB4" t="s">
        <v>6984</v>
      </c>
      <c r="CHC4" t="s">
        <v>6984</v>
      </c>
      <c r="CHD4" t="s">
        <v>6984</v>
      </c>
      <c r="CHE4" t="s">
        <v>6984</v>
      </c>
      <c r="CHF4" t="s">
        <v>6984</v>
      </c>
      <c r="CHG4" t="s">
        <v>6984</v>
      </c>
      <c r="CHH4" t="s">
        <v>6984</v>
      </c>
      <c r="CHI4" t="s">
        <v>6984</v>
      </c>
      <c r="CHJ4" t="s">
        <v>6984</v>
      </c>
      <c r="CHK4" t="s">
        <v>6984</v>
      </c>
      <c r="CHL4" t="s">
        <v>6984</v>
      </c>
      <c r="CHM4" t="s">
        <v>6984</v>
      </c>
      <c r="CHN4" t="s">
        <v>6984</v>
      </c>
      <c r="CHO4" t="s">
        <v>6984</v>
      </c>
      <c r="CHP4" t="s">
        <v>6984</v>
      </c>
      <c r="CHQ4" t="s">
        <v>6984</v>
      </c>
      <c r="CHR4" t="s">
        <v>6984</v>
      </c>
      <c r="CHS4" t="s">
        <v>6984</v>
      </c>
      <c r="CHT4" t="s">
        <v>6984</v>
      </c>
      <c r="CHU4" t="s">
        <v>6984</v>
      </c>
      <c r="CHV4" t="s">
        <v>6984</v>
      </c>
      <c r="CHW4" t="s">
        <v>6984</v>
      </c>
      <c r="CHX4" t="s">
        <v>6984</v>
      </c>
      <c r="CHY4" t="s">
        <v>6984</v>
      </c>
      <c r="CHZ4" t="s">
        <v>6984</v>
      </c>
      <c r="CIA4" t="s">
        <v>6984</v>
      </c>
      <c r="CIB4" t="s">
        <v>6984</v>
      </c>
      <c r="CIC4" t="s">
        <v>6984</v>
      </c>
      <c r="CID4" t="s">
        <v>6984</v>
      </c>
      <c r="CIE4" t="s">
        <v>6984</v>
      </c>
      <c r="CIF4" t="s">
        <v>6984</v>
      </c>
      <c r="CIG4" t="s">
        <v>6984</v>
      </c>
      <c r="CIH4" t="s">
        <v>6984</v>
      </c>
      <c r="CII4" t="s">
        <v>6984</v>
      </c>
      <c r="CIJ4" t="s">
        <v>6984</v>
      </c>
      <c r="CIK4" t="s">
        <v>6984</v>
      </c>
      <c r="CIL4" t="s">
        <v>6984</v>
      </c>
      <c r="CIM4" t="s">
        <v>6984</v>
      </c>
      <c r="CIN4" t="s">
        <v>6984</v>
      </c>
      <c r="CIO4" t="s">
        <v>6984</v>
      </c>
      <c r="CIP4" t="s">
        <v>6984</v>
      </c>
      <c r="CIQ4" t="s">
        <v>6984</v>
      </c>
      <c r="CIR4" t="s">
        <v>6984</v>
      </c>
      <c r="CIS4" t="s">
        <v>6984</v>
      </c>
      <c r="CIT4" t="s">
        <v>6984</v>
      </c>
      <c r="CIU4" t="s">
        <v>6984</v>
      </c>
      <c r="CIV4" t="s">
        <v>6984</v>
      </c>
      <c r="CIW4" t="s">
        <v>6984</v>
      </c>
      <c r="CIX4" t="s">
        <v>6984</v>
      </c>
      <c r="CIY4" t="s">
        <v>6984</v>
      </c>
      <c r="CIZ4" t="s">
        <v>6984</v>
      </c>
      <c r="CJA4" t="s">
        <v>6984</v>
      </c>
      <c r="CJB4" t="s">
        <v>6984</v>
      </c>
      <c r="CJC4" t="s">
        <v>6984</v>
      </c>
      <c r="CJD4" t="s">
        <v>6984</v>
      </c>
      <c r="CJE4" t="s">
        <v>6984</v>
      </c>
      <c r="CJF4" t="s">
        <v>6984</v>
      </c>
      <c r="CJG4" t="s">
        <v>6984</v>
      </c>
      <c r="CJH4" t="s">
        <v>6984</v>
      </c>
      <c r="CJI4" t="s">
        <v>6984</v>
      </c>
      <c r="CJJ4" t="s">
        <v>6984</v>
      </c>
      <c r="CJK4" t="s">
        <v>6984</v>
      </c>
      <c r="CJL4" t="s">
        <v>6984</v>
      </c>
      <c r="CJM4" t="s">
        <v>6984</v>
      </c>
      <c r="CJN4" t="s">
        <v>6984</v>
      </c>
      <c r="CJO4" t="s">
        <v>6984</v>
      </c>
      <c r="CJP4" t="s">
        <v>6984</v>
      </c>
      <c r="CJQ4" t="s">
        <v>6984</v>
      </c>
      <c r="CJR4" t="s">
        <v>6984</v>
      </c>
      <c r="CJS4" t="s">
        <v>6984</v>
      </c>
      <c r="CJT4" t="s">
        <v>6984</v>
      </c>
      <c r="CJU4" t="s">
        <v>6984</v>
      </c>
      <c r="CJV4" t="s">
        <v>6984</v>
      </c>
      <c r="CJW4" t="s">
        <v>6984</v>
      </c>
      <c r="CJX4" t="s">
        <v>6984</v>
      </c>
      <c r="CJY4" t="s">
        <v>6984</v>
      </c>
      <c r="CJZ4" t="s">
        <v>6984</v>
      </c>
      <c r="CKA4" t="s">
        <v>6984</v>
      </c>
      <c r="CKB4" t="s">
        <v>6984</v>
      </c>
      <c r="CKC4" t="s">
        <v>6984</v>
      </c>
      <c r="CKD4" t="s">
        <v>6984</v>
      </c>
      <c r="CKE4" t="s">
        <v>6984</v>
      </c>
      <c r="CKF4" t="s">
        <v>6984</v>
      </c>
      <c r="CKG4" t="s">
        <v>6984</v>
      </c>
      <c r="CKH4" t="s">
        <v>6984</v>
      </c>
      <c r="CKI4" t="s">
        <v>6984</v>
      </c>
      <c r="CKJ4" t="s">
        <v>6984</v>
      </c>
      <c r="CKK4" t="s">
        <v>6984</v>
      </c>
      <c r="CKL4" t="s">
        <v>6984</v>
      </c>
      <c r="CKM4" t="s">
        <v>6984</v>
      </c>
      <c r="CKN4" t="s">
        <v>6984</v>
      </c>
      <c r="CKO4" t="s">
        <v>6984</v>
      </c>
      <c r="CKP4" t="s">
        <v>6984</v>
      </c>
      <c r="CKQ4" t="s">
        <v>6984</v>
      </c>
      <c r="CKR4" t="s">
        <v>6984</v>
      </c>
      <c r="CKS4" t="s">
        <v>6984</v>
      </c>
      <c r="CKT4" t="s">
        <v>6984</v>
      </c>
      <c r="CKU4" t="s">
        <v>6984</v>
      </c>
      <c r="CKV4" t="s">
        <v>6984</v>
      </c>
      <c r="CKW4" t="s">
        <v>6984</v>
      </c>
      <c r="CKX4" t="s">
        <v>6984</v>
      </c>
      <c r="CKY4" t="s">
        <v>6984</v>
      </c>
      <c r="CKZ4" t="s">
        <v>6984</v>
      </c>
      <c r="CLA4" t="s">
        <v>6984</v>
      </c>
      <c r="CLB4" t="s">
        <v>6984</v>
      </c>
      <c r="CLC4" t="s">
        <v>6984</v>
      </c>
      <c r="CLD4" t="s">
        <v>6984</v>
      </c>
      <c r="CLE4" t="s">
        <v>6984</v>
      </c>
      <c r="CLF4" t="s">
        <v>6984</v>
      </c>
      <c r="CLG4" t="s">
        <v>6984</v>
      </c>
      <c r="CLH4" t="s">
        <v>6984</v>
      </c>
      <c r="CLI4" t="s">
        <v>6984</v>
      </c>
      <c r="CLJ4" t="s">
        <v>6984</v>
      </c>
      <c r="CLK4" t="s">
        <v>6984</v>
      </c>
      <c r="CLL4" t="s">
        <v>6984</v>
      </c>
      <c r="CLM4" t="s">
        <v>6984</v>
      </c>
      <c r="CLN4" t="s">
        <v>6984</v>
      </c>
      <c r="CLO4" t="s">
        <v>6984</v>
      </c>
      <c r="CLP4" t="s">
        <v>6984</v>
      </c>
      <c r="CLQ4" t="s">
        <v>6984</v>
      </c>
      <c r="CLR4" t="s">
        <v>6984</v>
      </c>
      <c r="CLS4" t="s">
        <v>6984</v>
      </c>
      <c r="CLT4" t="s">
        <v>6984</v>
      </c>
      <c r="CLU4" t="s">
        <v>6984</v>
      </c>
      <c r="CLV4" t="s">
        <v>6984</v>
      </c>
      <c r="CLW4" t="s">
        <v>6984</v>
      </c>
      <c r="CLX4" t="s">
        <v>6984</v>
      </c>
      <c r="CLY4" t="s">
        <v>6984</v>
      </c>
      <c r="CLZ4" t="s">
        <v>6984</v>
      </c>
      <c r="CMA4" t="s">
        <v>6984</v>
      </c>
      <c r="CMB4" t="s">
        <v>6984</v>
      </c>
      <c r="CMC4" t="s">
        <v>6984</v>
      </c>
      <c r="CMD4" t="s">
        <v>6984</v>
      </c>
      <c r="CME4" t="s">
        <v>6984</v>
      </c>
      <c r="CMF4" t="s">
        <v>6984</v>
      </c>
      <c r="CMG4" t="s">
        <v>6984</v>
      </c>
      <c r="CMH4" t="s">
        <v>6984</v>
      </c>
      <c r="CMI4" t="s">
        <v>6984</v>
      </c>
      <c r="CMJ4" t="s">
        <v>6984</v>
      </c>
      <c r="CMK4" t="s">
        <v>6984</v>
      </c>
      <c r="CML4" t="s">
        <v>6984</v>
      </c>
      <c r="CMM4" t="s">
        <v>6984</v>
      </c>
      <c r="CMN4" t="s">
        <v>6984</v>
      </c>
      <c r="CMO4" t="s">
        <v>6984</v>
      </c>
      <c r="CMP4" t="s">
        <v>6984</v>
      </c>
      <c r="CMQ4" t="s">
        <v>6984</v>
      </c>
      <c r="CMR4" t="s">
        <v>6984</v>
      </c>
      <c r="CMS4" t="s">
        <v>6984</v>
      </c>
      <c r="CMT4" t="s">
        <v>6984</v>
      </c>
      <c r="CMU4" t="s">
        <v>6984</v>
      </c>
      <c r="CMV4" t="s">
        <v>6984</v>
      </c>
      <c r="CMW4" t="s">
        <v>6984</v>
      </c>
      <c r="CMX4" t="s">
        <v>6984</v>
      </c>
      <c r="CMY4" t="s">
        <v>6984</v>
      </c>
      <c r="CMZ4" t="s">
        <v>6984</v>
      </c>
      <c r="CNA4" t="s">
        <v>6984</v>
      </c>
      <c r="CNB4" t="s">
        <v>6984</v>
      </c>
      <c r="CNC4" t="s">
        <v>6984</v>
      </c>
      <c r="CND4" t="s">
        <v>6984</v>
      </c>
      <c r="CNE4" t="s">
        <v>6984</v>
      </c>
      <c r="CNF4" t="s">
        <v>6984</v>
      </c>
      <c r="CNG4" t="s">
        <v>6984</v>
      </c>
      <c r="CNH4" t="s">
        <v>6984</v>
      </c>
      <c r="CNI4" t="s">
        <v>6984</v>
      </c>
      <c r="CNJ4" t="s">
        <v>6984</v>
      </c>
      <c r="CNK4" t="s">
        <v>6984</v>
      </c>
      <c r="CNL4" t="s">
        <v>6984</v>
      </c>
      <c r="CNM4" t="s">
        <v>6984</v>
      </c>
      <c r="CNN4" t="s">
        <v>6984</v>
      </c>
      <c r="CNO4" t="s">
        <v>6984</v>
      </c>
      <c r="CNP4" t="s">
        <v>6984</v>
      </c>
      <c r="CNQ4" t="s">
        <v>6984</v>
      </c>
      <c r="CNR4" t="s">
        <v>6984</v>
      </c>
      <c r="CNS4" t="s">
        <v>6984</v>
      </c>
      <c r="CNT4" t="s">
        <v>6984</v>
      </c>
      <c r="CNU4" t="s">
        <v>6984</v>
      </c>
      <c r="CNV4" t="s">
        <v>6984</v>
      </c>
      <c r="CNW4" t="s">
        <v>6984</v>
      </c>
      <c r="CNX4" t="s">
        <v>6984</v>
      </c>
      <c r="CNY4" t="s">
        <v>6984</v>
      </c>
      <c r="CNZ4" t="s">
        <v>6984</v>
      </c>
      <c r="COA4" t="s">
        <v>6984</v>
      </c>
      <c r="COB4" t="s">
        <v>6984</v>
      </c>
      <c r="COC4" t="s">
        <v>6984</v>
      </c>
      <c r="COD4" t="s">
        <v>6984</v>
      </c>
      <c r="COE4" t="s">
        <v>6984</v>
      </c>
      <c r="COF4" t="s">
        <v>6984</v>
      </c>
      <c r="COG4" t="s">
        <v>6984</v>
      </c>
      <c r="COH4" t="s">
        <v>6984</v>
      </c>
      <c r="COI4" t="s">
        <v>6984</v>
      </c>
      <c r="COJ4" t="s">
        <v>6984</v>
      </c>
      <c r="COK4" t="s">
        <v>6984</v>
      </c>
      <c r="COL4" t="s">
        <v>6984</v>
      </c>
      <c r="COM4" t="s">
        <v>6984</v>
      </c>
      <c r="CON4" t="s">
        <v>6984</v>
      </c>
      <c r="COO4" t="s">
        <v>6984</v>
      </c>
      <c r="COP4" t="s">
        <v>6984</v>
      </c>
      <c r="COQ4" t="s">
        <v>6984</v>
      </c>
      <c r="COR4" t="s">
        <v>6984</v>
      </c>
      <c r="COS4" t="s">
        <v>6984</v>
      </c>
      <c r="COT4" t="s">
        <v>6984</v>
      </c>
      <c r="COU4" t="s">
        <v>6984</v>
      </c>
      <c r="COV4" t="s">
        <v>6984</v>
      </c>
      <c r="COW4" t="s">
        <v>6984</v>
      </c>
      <c r="COX4" t="s">
        <v>6984</v>
      </c>
      <c r="COY4" t="s">
        <v>6984</v>
      </c>
      <c r="COZ4" t="s">
        <v>6984</v>
      </c>
      <c r="CPA4" t="s">
        <v>6984</v>
      </c>
      <c r="CPB4" t="s">
        <v>6984</v>
      </c>
      <c r="CPC4" t="s">
        <v>6984</v>
      </c>
      <c r="CPD4" t="s">
        <v>6984</v>
      </c>
      <c r="CPE4" t="s">
        <v>6984</v>
      </c>
      <c r="CPF4" t="s">
        <v>6984</v>
      </c>
      <c r="CPG4" t="s">
        <v>6984</v>
      </c>
      <c r="CPH4" t="s">
        <v>6984</v>
      </c>
      <c r="CPI4" t="s">
        <v>6984</v>
      </c>
      <c r="CPJ4" t="s">
        <v>6984</v>
      </c>
      <c r="CPK4" t="s">
        <v>6984</v>
      </c>
      <c r="CPL4" t="s">
        <v>6984</v>
      </c>
      <c r="CPM4" t="s">
        <v>6984</v>
      </c>
      <c r="CPN4" t="s">
        <v>6984</v>
      </c>
      <c r="CPO4" t="s">
        <v>6984</v>
      </c>
      <c r="CPP4" t="s">
        <v>6984</v>
      </c>
      <c r="CPQ4" t="s">
        <v>6984</v>
      </c>
      <c r="CPR4" t="s">
        <v>6984</v>
      </c>
      <c r="CPS4" t="s">
        <v>6984</v>
      </c>
      <c r="CPT4" t="s">
        <v>6984</v>
      </c>
      <c r="CPU4" t="s">
        <v>6984</v>
      </c>
      <c r="CPV4" t="s">
        <v>6984</v>
      </c>
      <c r="CPW4" t="s">
        <v>6984</v>
      </c>
      <c r="CPX4" t="s">
        <v>6984</v>
      </c>
      <c r="CPY4" t="s">
        <v>6984</v>
      </c>
      <c r="CPZ4" t="s">
        <v>6984</v>
      </c>
      <c r="CQA4" t="s">
        <v>6984</v>
      </c>
      <c r="CQB4" t="s">
        <v>6984</v>
      </c>
      <c r="CQC4" t="s">
        <v>6984</v>
      </c>
      <c r="CQD4" t="s">
        <v>6984</v>
      </c>
      <c r="CQE4" t="s">
        <v>6984</v>
      </c>
      <c r="CQF4" t="s">
        <v>6984</v>
      </c>
      <c r="CQG4" t="s">
        <v>6984</v>
      </c>
      <c r="CQH4" t="s">
        <v>6984</v>
      </c>
      <c r="CQI4" t="s">
        <v>6984</v>
      </c>
      <c r="CQJ4" t="s">
        <v>6984</v>
      </c>
      <c r="CQK4" t="s">
        <v>6984</v>
      </c>
      <c r="CQL4" t="s">
        <v>6984</v>
      </c>
      <c r="CQM4" t="s">
        <v>6984</v>
      </c>
      <c r="CQN4" t="s">
        <v>6984</v>
      </c>
      <c r="CQO4" t="s">
        <v>6984</v>
      </c>
      <c r="CQP4" t="s">
        <v>6984</v>
      </c>
      <c r="CQQ4" t="s">
        <v>6984</v>
      </c>
      <c r="CQR4" t="s">
        <v>6984</v>
      </c>
      <c r="CQS4" t="s">
        <v>6984</v>
      </c>
      <c r="CQT4" t="s">
        <v>6984</v>
      </c>
      <c r="CQU4" t="s">
        <v>6984</v>
      </c>
      <c r="CQV4" t="s">
        <v>6984</v>
      </c>
      <c r="CQW4" t="s">
        <v>6984</v>
      </c>
      <c r="CQX4" t="s">
        <v>6984</v>
      </c>
      <c r="CQY4" t="s">
        <v>6984</v>
      </c>
      <c r="CQZ4" t="s">
        <v>6984</v>
      </c>
      <c r="CRA4" t="s">
        <v>6984</v>
      </c>
      <c r="CRB4" t="s">
        <v>6984</v>
      </c>
      <c r="CRC4" t="s">
        <v>6984</v>
      </c>
      <c r="CRD4" t="s">
        <v>6984</v>
      </c>
      <c r="CRE4" t="s">
        <v>6984</v>
      </c>
      <c r="CRF4" t="s">
        <v>6984</v>
      </c>
      <c r="CRG4" t="s">
        <v>6984</v>
      </c>
      <c r="CRH4" t="s">
        <v>6984</v>
      </c>
      <c r="CRI4" t="s">
        <v>6984</v>
      </c>
      <c r="CRJ4" t="s">
        <v>6984</v>
      </c>
      <c r="CRK4" t="s">
        <v>6984</v>
      </c>
      <c r="CRL4" t="s">
        <v>6984</v>
      </c>
      <c r="CRM4" t="s">
        <v>6984</v>
      </c>
      <c r="CRN4" t="s">
        <v>6984</v>
      </c>
      <c r="CRO4" t="s">
        <v>6984</v>
      </c>
      <c r="CRP4" t="s">
        <v>6984</v>
      </c>
      <c r="CRQ4" t="s">
        <v>6984</v>
      </c>
      <c r="CRR4" t="s">
        <v>6984</v>
      </c>
      <c r="CRS4" t="s">
        <v>6984</v>
      </c>
      <c r="CRT4" t="s">
        <v>6984</v>
      </c>
      <c r="CRU4" t="s">
        <v>6984</v>
      </c>
      <c r="CRV4" t="s">
        <v>6984</v>
      </c>
      <c r="CRW4" t="s">
        <v>6984</v>
      </c>
      <c r="CRX4" t="s">
        <v>6984</v>
      </c>
      <c r="CRY4" t="s">
        <v>6984</v>
      </c>
      <c r="CRZ4" t="s">
        <v>6984</v>
      </c>
      <c r="CSA4" t="s">
        <v>6984</v>
      </c>
      <c r="CSB4" t="s">
        <v>6984</v>
      </c>
      <c r="CSC4" t="s">
        <v>6984</v>
      </c>
      <c r="CSD4" t="s">
        <v>6984</v>
      </c>
      <c r="CSE4" t="s">
        <v>6984</v>
      </c>
      <c r="CSF4" t="s">
        <v>6984</v>
      </c>
      <c r="CSG4" t="s">
        <v>6984</v>
      </c>
      <c r="CSH4" t="s">
        <v>6984</v>
      </c>
      <c r="CSI4" t="s">
        <v>6984</v>
      </c>
      <c r="CSJ4" t="s">
        <v>6984</v>
      </c>
      <c r="CSK4" t="s">
        <v>6984</v>
      </c>
      <c r="CSL4" t="s">
        <v>6984</v>
      </c>
      <c r="CSM4" t="s">
        <v>6984</v>
      </c>
      <c r="CSN4" t="s">
        <v>6984</v>
      </c>
      <c r="CSO4" t="s">
        <v>6984</v>
      </c>
      <c r="CSP4" t="s">
        <v>6984</v>
      </c>
      <c r="CSQ4" t="s">
        <v>6984</v>
      </c>
      <c r="CSR4" t="s">
        <v>6984</v>
      </c>
      <c r="CSS4" t="s">
        <v>6984</v>
      </c>
      <c r="CST4" t="s">
        <v>6984</v>
      </c>
      <c r="CSU4" t="s">
        <v>6984</v>
      </c>
      <c r="CSV4" t="s">
        <v>6984</v>
      </c>
      <c r="CSW4" t="s">
        <v>6984</v>
      </c>
      <c r="CSX4" t="s">
        <v>6984</v>
      </c>
      <c r="CSY4" t="s">
        <v>6984</v>
      </c>
      <c r="CSZ4" t="s">
        <v>6984</v>
      </c>
      <c r="CTA4" t="s">
        <v>6984</v>
      </c>
      <c r="CTB4" t="s">
        <v>6984</v>
      </c>
      <c r="CTC4" t="s">
        <v>6984</v>
      </c>
      <c r="CTD4" t="s">
        <v>6984</v>
      </c>
      <c r="CTE4" t="s">
        <v>6984</v>
      </c>
      <c r="CTF4" t="s">
        <v>6984</v>
      </c>
      <c r="CTG4" t="s">
        <v>6984</v>
      </c>
      <c r="CTH4" t="s">
        <v>6984</v>
      </c>
      <c r="CTI4" t="s">
        <v>6984</v>
      </c>
      <c r="CTJ4" t="s">
        <v>6984</v>
      </c>
      <c r="CTK4" t="s">
        <v>6984</v>
      </c>
      <c r="CTL4" t="s">
        <v>6984</v>
      </c>
      <c r="CTM4" t="s">
        <v>6984</v>
      </c>
      <c r="CTN4" t="s">
        <v>6984</v>
      </c>
      <c r="CTO4" t="s">
        <v>6984</v>
      </c>
      <c r="CTP4" t="s">
        <v>6984</v>
      </c>
      <c r="CTQ4" t="s">
        <v>6984</v>
      </c>
      <c r="CTR4" t="s">
        <v>6984</v>
      </c>
      <c r="CTS4" t="s">
        <v>6984</v>
      </c>
      <c r="CTT4" t="s">
        <v>6984</v>
      </c>
      <c r="CTU4" t="s">
        <v>6984</v>
      </c>
      <c r="CTV4" t="s">
        <v>6984</v>
      </c>
      <c r="CTW4" t="s">
        <v>6984</v>
      </c>
      <c r="CTX4" t="s">
        <v>6984</v>
      </c>
      <c r="CTY4" t="s">
        <v>6984</v>
      </c>
      <c r="CTZ4" t="s">
        <v>6984</v>
      </c>
      <c r="CUA4" t="s">
        <v>6984</v>
      </c>
      <c r="CUB4" t="s">
        <v>6984</v>
      </c>
      <c r="CUC4" t="s">
        <v>6984</v>
      </c>
      <c r="CUD4" t="s">
        <v>6984</v>
      </c>
      <c r="CUE4" t="s">
        <v>6984</v>
      </c>
      <c r="CUF4" t="s">
        <v>6984</v>
      </c>
      <c r="CUG4" t="s">
        <v>6984</v>
      </c>
      <c r="CUH4" t="s">
        <v>6984</v>
      </c>
      <c r="CUI4" t="s">
        <v>6984</v>
      </c>
      <c r="CUJ4" t="s">
        <v>6984</v>
      </c>
      <c r="CUK4" t="s">
        <v>6984</v>
      </c>
      <c r="CUL4" t="s">
        <v>6984</v>
      </c>
      <c r="CUM4" t="s">
        <v>6984</v>
      </c>
      <c r="CUN4" t="s">
        <v>6984</v>
      </c>
      <c r="CUO4" t="s">
        <v>6984</v>
      </c>
      <c r="CUP4" t="s">
        <v>6984</v>
      </c>
      <c r="CUQ4" t="s">
        <v>6984</v>
      </c>
      <c r="CUR4" t="s">
        <v>6984</v>
      </c>
      <c r="CUS4" t="s">
        <v>6984</v>
      </c>
      <c r="CUT4" t="s">
        <v>6984</v>
      </c>
      <c r="CUU4" t="s">
        <v>6984</v>
      </c>
      <c r="CUV4" t="s">
        <v>6984</v>
      </c>
      <c r="CUW4" t="s">
        <v>6984</v>
      </c>
      <c r="CUX4" t="s">
        <v>6984</v>
      </c>
      <c r="CUY4" t="s">
        <v>6984</v>
      </c>
      <c r="CUZ4" t="s">
        <v>6984</v>
      </c>
      <c r="CVA4" t="s">
        <v>6984</v>
      </c>
      <c r="CVB4" t="s">
        <v>6984</v>
      </c>
      <c r="CVC4" t="s">
        <v>6984</v>
      </c>
      <c r="CVD4" t="s">
        <v>6984</v>
      </c>
      <c r="CVE4" t="s">
        <v>6984</v>
      </c>
      <c r="CVF4" t="s">
        <v>6984</v>
      </c>
      <c r="CVG4" t="s">
        <v>6984</v>
      </c>
      <c r="CVH4" t="s">
        <v>6984</v>
      </c>
      <c r="CVI4" t="s">
        <v>6984</v>
      </c>
      <c r="CVJ4" t="s">
        <v>6984</v>
      </c>
      <c r="CVK4" t="s">
        <v>6984</v>
      </c>
      <c r="CVL4" t="s">
        <v>6984</v>
      </c>
      <c r="CVM4" t="s">
        <v>6984</v>
      </c>
      <c r="CVN4" t="s">
        <v>6984</v>
      </c>
      <c r="CVO4" t="s">
        <v>6984</v>
      </c>
      <c r="CVP4" t="s">
        <v>6984</v>
      </c>
      <c r="CVQ4" t="s">
        <v>6984</v>
      </c>
      <c r="CVR4" t="s">
        <v>6984</v>
      </c>
      <c r="CVS4" t="s">
        <v>6984</v>
      </c>
      <c r="CVT4" t="s">
        <v>6984</v>
      </c>
      <c r="CVU4" t="s">
        <v>6984</v>
      </c>
      <c r="CVV4" t="s">
        <v>6984</v>
      </c>
      <c r="CVW4" t="s">
        <v>6984</v>
      </c>
      <c r="CVX4" t="s">
        <v>6984</v>
      </c>
      <c r="CVY4" t="s">
        <v>6984</v>
      </c>
      <c r="CVZ4" t="s">
        <v>6984</v>
      </c>
      <c r="CWA4" t="s">
        <v>6984</v>
      </c>
      <c r="CWB4" t="s">
        <v>6984</v>
      </c>
      <c r="CWC4" t="s">
        <v>6984</v>
      </c>
      <c r="CWD4" t="s">
        <v>6984</v>
      </c>
      <c r="CWE4" t="s">
        <v>6984</v>
      </c>
      <c r="CWF4" t="s">
        <v>6984</v>
      </c>
      <c r="CWG4" t="s">
        <v>6984</v>
      </c>
      <c r="CWH4" t="s">
        <v>6984</v>
      </c>
      <c r="CWI4" t="s">
        <v>6984</v>
      </c>
      <c r="CWJ4" t="s">
        <v>6984</v>
      </c>
      <c r="CWK4" t="s">
        <v>6984</v>
      </c>
      <c r="CWL4" t="s">
        <v>6984</v>
      </c>
      <c r="CWM4" t="s">
        <v>6984</v>
      </c>
      <c r="CWN4" t="s">
        <v>6984</v>
      </c>
      <c r="CWO4" t="s">
        <v>6984</v>
      </c>
      <c r="CWP4" t="s">
        <v>6984</v>
      </c>
      <c r="CWQ4" t="s">
        <v>6984</v>
      </c>
      <c r="CWR4" t="s">
        <v>6984</v>
      </c>
      <c r="CWS4" t="s">
        <v>6984</v>
      </c>
      <c r="CWT4" t="s">
        <v>6984</v>
      </c>
      <c r="CWU4" t="s">
        <v>6984</v>
      </c>
      <c r="CWV4" t="s">
        <v>6984</v>
      </c>
      <c r="CWW4" t="s">
        <v>6984</v>
      </c>
      <c r="CWX4" t="s">
        <v>6984</v>
      </c>
      <c r="CWY4" t="s">
        <v>6984</v>
      </c>
      <c r="CWZ4" t="s">
        <v>6984</v>
      </c>
      <c r="CXA4" t="s">
        <v>6984</v>
      </c>
      <c r="CXB4" t="s">
        <v>6984</v>
      </c>
      <c r="CXC4" t="s">
        <v>6984</v>
      </c>
      <c r="CXD4" t="s">
        <v>6984</v>
      </c>
      <c r="CXE4" t="s">
        <v>6984</v>
      </c>
      <c r="CXF4" t="s">
        <v>6984</v>
      </c>
      <c r="CXG4" t="s">
        <v>6984</v>
      </c>
      <c r="CXH4" t="s">
        <v>6984</v>
      </c>
      <c r="CXI4" t="s">
        <v>6984</v>
      </c>
      <c r="CXJ4" t="s">
        <v>6984</v>
      </c>
      <c r="CXK4" t="s">
        <v>6984</v>
      </c>
      <c r="CXL4" t="s">
        <v>6984</v>
      </c>
      <c r="CXM4" t="s">
        <v>6984</v>
      </c>
      <c r="CXN4" t="s">
        <v>6984</v>
      </c>
      <c r="CXO4" t="s">
        <v>6984</v>
      </c>
      <c r="CXP4" t="s">
        <v>6984</v>
      </c>
      <c r="CXQ4" t="s">
        <v>6984</v>
      </c>
      <c r="CXR4" t="s">
        <v>6984</v>
      </c>
      <c r="CXS4" t="s">
        <v>6984</v>
      </c>
      <c r="CXT4" t="s">
        <v>6984</v>
      </c>
      <c r="CXU4" t="s">
        <v>6984</v>
      </c>
      <c r="CXV4" t="s">
        <v>6984</v>
      </c>
      <c r="CXW4" t="s">
        <v>6984</v>
      </c>
      <c r="CXX4" t="s">
        <v>6984</v>
      </c>
      <c r="CXY4" t="s">
        <v>6984</v>
      </c>
      <c r="CXZ4" t="s">
        <v>6984</v>
      </c>
      <c r="CYA4" t="s">
        <v>6984</v>
      </c>
      <c r="CYB4" t="s">
        <v>6984</v>
      </c>
      <c r="CYC4" t="s">
        <v>6984</v>
      </c>
      <c r="CYD4" t="s">
        <v>6984</v>
      </c>
      <c r="CYE4" t="s">
        <v>6984</v>
      </c>
      <c r="CYF4" t="s">
        <v>6984</v>
      </c>
      <c r="CYG4" t="s">
        <v>6984</v>
      </c>
      <c r="CYH4" t="s">
        <v>6984</v>
      </c>
      <c r="CYI4" t="s">
        <v>6984</v>
      </c>
      <c r="CYJ4" t="s">
        <v>6984</v>
      </c>
      <c r="CYK4" t="s">
        <v>6984</v>
      </c>
      <c r="CYL4" t="s">
        <v>6984</v>
      </c>
      <c r="CYM4" t="s">
        <v>6984</v>
      </c>
      <c r="CYN4" t="s">
        <v>6984</v>
      </c>
      <c r="CYO4" t="s">
        <v>6984</v>
      </c>
      <c r="CYP4" t="s">
        <v>6984</v>
      </c>
      <c r="CYQ4" t="s">
        <v>6984</v>
      </c>
      <c r="CYR4" t="s">
        <v>6984</v>
      </c>
      <c r="CYS4" t="s">
        <v>6984</v>
      </c>
      <c r="CYT4" t="s">
        <v>6984</v>
      </c>
      <c r="CYU4" t="s">
        <v>6984</v>
      </c>
      <c r="CYV4" t="s">
        <v>6984</v>
      </c>
      <c r="CYW4" t="s">
        <v>6984</v>
      </c>
      <c r="CYX4" t="s">
        <v>6984</v>
      </c>
      <c r="CYY4" t="s">
        <v>6984</v>
      </c>
      <c r="CYZ4" t="s">
        <v>6984</v>
      </c>
      <c r="CZA4" t="s">
        <v>6984</v>
      </c>
      <c r="CZB4" t="s">
        <v>6984</v>
      </c>
      <c r="CZC4" t="s">
        <v>6984</v>
      </c>
      <c r="CZD4" t="s">
        <v>6984</v>
      </c>
      <c r="CZE4" t="s">
        <v>6984</v>
      </c>
      <c r="CZF4" t="s">
        <v>6984</v>
      </c>
      <c r="CZG4" t="s">
        <v>6984</v>
      </c>
      <c r="CZH4" t="s">
        <v>6984</v>
      </c>
      <c r="CZI4" t="s">
        <v>6984</v>
      </c>
      <c r="CZJ4" t="s">
        <v>6984</v>
      </c>
      <c r="CZK4" t="s">
        <v>6984</v>
      </c>
      <c r="CZL4" t="s">
        <v>6984</v>
      </c>
      <c r="CZM4" t="s">
        <v>6984</v>
      </c>
      <c r="CZN4" t="s">
        <v>6984</v>
      </c>
      <c r="CZO4" t="s">
        <v>6984</v>
      </c>
      <c r="CZP4" t="s">
        <v>6984</v>
      </c>
      <c r="CZQ4" t="s">
        <v>6984</v>
      </c>
      <c r="CZR4" t="s">
        <v>6984</v>
      </c>
      <c r="CZS4" t="s">
        <v>6984</v>
      </c>
      <c r="CZT4" t="s">
        <v>6984</v>
      </c>
      <c r="CZU4" t="s">
        <v>6984</v>
      </c>
      <c r="CZV4" t="s">
        <v>6984</v>
      </c>
      <c r="CZW4" t="s">
        <v>6984</v>
      </c>
      <c r="CZX4" t="s">
        <v>6984</v>
      </c>
      <c r="CZY4" t="s">
        <v>6984</v>
      </c>
      <c r="CZZ4" t="s">
        <v>6984</v>
      </c>
      <c r="DAA4" t="s">
        <v>6984</v>
      </c>
      <c r="DAB4" t="s">
        <v>6984</v>
      </c>
      <c r="DAC4" t="s">
        <v>6984</v>
      </c>
      <c r="DAD4" t="s">
        <v>6984</v>
      </c>
      <c r="DAE4" t="s">
        <v>6984</v>
      </c>
      <c r="DAF4" t="s">
        <v>6984</v>
      </c>
      <c r="DAG4" t="s">
        <v>6984</v>
      </c>
      <c r="DAH4" t="s">
        <v>6984</v>
      </c>
      <c r="DAI4" t="s">
        <v>6984</v>
      </c>
      <c r="DAJ4" t="s">
        <v>6984</v>
      </c>
      <c r="DAK4" t="s">
        <v>6984</v>
      </c>
      <c r="DAL4" t="s">
        <v>6984</v>
      </c>
      <c r="DAM4" t="s">
        <v>6984</v>
      </c>
      <c r="DAN4" t="s">
        <v>6984</v>
      </c>
      <c r="DAO4" t="s">
        <v>6984</v>
      </c>
      <c r="DAP4" t="s">
        <v>6984</v>
      </c>
      <c r="DAQ4" t="s">
        <v>6984</v>
      </c>
      <c r="DAR4" t="s">
        <v>6984</v>
      </c>
      <c r="DAS4" t="s">
        <v>6984</v>
      </c>
      <c r="DAT4" t="s">
        <v>6984</v>
      </c>
      <c r="DAU4" t="s">
        <v>6984</v>
      </c>
      <c r="DAV4" t="s">
        <v>6984</v>
      </c>
      <c r="DAW4" t="s">
        <v>6984</v>
      </c>
      <c r="DAX4" t="s">
        <v>6984</v>
      </c>
      <c r="DAY4" t="s">
        <v>6984</v>
      </c>
      <c r="DAZ4" t="s">
        <v>6984</v>
      </c>
      <c r="DBA4" t="s">
        <v>6984</v>
      </c>
      <c r="DBB4" t="s">
        <v>6984</v>
      </c>
      <c r="DBC4" t="s">
        <v>6984</v>
      </c>
      <c r="DBD4" t="s">
        <v>6984</v>
      </c>
      <c r="DBE4" t="s">
        <v>6984</v>
      </c>
      <c r="DBF4" t="s">
        <v>6984</v>
      </c>
      <c r="DBG4" t="s">
        <v>6984</v>
      </c>
      <c r="DBH4" t="s">
        <v>6984</v>
      </c>
      <c r="DBI4" t="s">
        <v>6984</v>
      </c>
      <c r="DBJ4" t="s">
        <v>6984</v>
      </c>
      <c r="DBK4" t="s">
        <v>6984</v>
      </c>
      <c r="DBL4" t="s">
        <v>6984</v>
      </c>
      <c r="DBM4" t="s">
        <v>6984</v>
      </c>
      <c r="DBN4" t="s">
        <v>6984</v>
      </c>
      <c r="DBO4" t="s">
        <v>6984</v>
      </c>
      <c r="DBP4" t="s">
        <v>6984</v>
      </c>
      <c r="DBQ4" t="s">
        <v>6984</v>
      </c>
      <c r="DBR4" t="s">
        <v>6984</v>
      </c>
      <c r="DBS4" t="s">
        <v>6984</v>
      </c>
      <c r="DBT4" t="s">
        <v>6984</v>
      </c>
      <c r="DBU4" t="s">
        <v>6984</v>
      </c>
      <c r="DBV4" t="s">
        <v>6984</v>
      </c>
      <c r="DBW4" t="s">
        <v>6984</v>
      </c>
      <c r="DBX4" t="s">
        <v>6984</v>
      </c>
      <c r="DBY4" t="s">
        <v>6984</v>
      </c>
      <c r="DBZ4" t="s">
        <v>6984</v>
      </c>
      <c r="DCA4" t="s">
        <v>6984</v>
      </c>
      <c r="DCB4" t="s">
        <v>6984</v>
      </c>
      <c r="DCC4" t="s">
        <v>6984</v>
      </c>
      <c r="DCD4" t="s">
        <v>6984</v>
      </c>
      <c r="DCE4" t="s">
        <v>6984</v>
      </c>
      <c r="DCF4" t="s">
        <v>6984</v>
      </c>
      <c r="DCG4" t="s">
        <v>6984</v>
      </c>
      <c r="DCH4" t="s">
        <v>6984</v>
      </c>
      <c r="DCI4" t="s">
        <v>6984</v>
      </c>
      <c r="DCJ4" t="s">
        <v>6984</v>
      </c>
      <c r="DCK4" t="s">
        <v>6984</v>
      </c>
      <c r="DCL4" t="s">
        <v>6984</v>
      </c>
      <c r="DCM4" t="s">
        <v>6984</v>
      </c>
      <c r="DCN4" t="s">
        <v>6984</v>
      </c>
      <c r="DCO4" t="s">
        <v>6984</v>
      </c>
      <c r="DCP4" t="s">
        <v>6984</v>
      </c>
      <c r="DCQ4" t="s">
        <v>6984</v>
      </c>
      <c r="DCR4" t="s">
        <v>6984</v>
      </c>
      <c r="DCS4" t="s">
        <v>6984</v>
      </c>
      <c r="DCT4" t="s">
        <v>6984</v>
      </c>
      <c r="DCU4" t="s">
        <v>6984</v>
      </c>
      <c r="DCV4" t="s">
        <v>6984</v>
      </c>
      <c r="DCW4" t="s">
        <v>6984</v>
      </c>
      <c r="DCX4" t="s">
        <v>6984</v>
      </c>
      <c r="DCY4" t="s">
        <v>6984</v>
      </c>
      <c r="DCZ4" t="s">
        <v>6984</v>
      </c>
      <c r="DDA4" t="s">
        <v>6984</v>
      </c>
      <c r="DDB4" t="s">
        <v>6984</v>
      </c>
      <c r="DDC4" t="s">
        <v>6984</v>
      </c>
      <c r="DDD4" t="s">
        <v>6984</v>
      </c>
      <c r="DDE4" t="s">
        <v>6984</v>
      </c>
      <c r="DDF4" t="s">
        <v>6984</v>
      </c>
      <c r="DDG4" t="s">
        <v>6984</v>
      </c>
      <c r="DDH4" t="s">
        <v>6984</v>
      </c>
      <c r="DDI4" t="s">
        <v>6984</v>
      </c>
      <c r="DDJ4" t="s">
        <v>6984</v>
      </c>
      <c r="DDK4" t="s">
        <v>6984</v>
      </c>
      <c r="DDL4" t="s">
        <v>6984</v>
      </c>
      <c r="DDM4" t="s">
        <v>6984</v>
      </c>
      <c r="DDN4" t="s">
        <v>6984</v>
      </c>
      <c r="DDO4" t="s">
        <v>6984</v>
      </c>
      <c r="DDP4" t="s">
        <v>6984</v>
      </c>
      <c r="DDQ4" t="s">
        <v>6984</v>
      </c>
      <c r="DDR4" t="s">
        <v>6984</v>
      </c>
      <c r="DDS4" t="s">
        <v>6984</v>
      </c>
      <c r="DDT4" t="s">
        <v>6984</v>
      </c>
      <c r="DDU4" t="s">
        <v>6984</v>
      </c>
      <c r="DDV4" t="s">
        <v>6984</v>
      </c>
      <c r="DDW4" t="s">
        <v>6984</v>
      </c>
      <c r="DDX4" t="s">
        <v>6984</v>
      </c>
      <c r="DDY4" t="s">
        <v>6984</v>
      </c>
      <c r="DDZ4" t="s">
        <v>6984</v>
      </c>
      <c r="DEA4" t="s">
        <v>6984</v>
      </c>
      <c r="DEB4" t="s">
        <v>6984</v>
      </c>
      <c r="DEC4" t="s">
        <v>6984</v>
      </c>
      <c r="DED4" t="s">
        <v>6984</v>
      </c>
      <c r="DEE4" t="s">
        <v>6984</v>
      </c>
      <c r="DEF4" t="s">
        <v>6984</v>
      </c>
      <c r="DEG4" t="s">
        <v>6984</v>
      </c>
      <c r="DEH4" t="s">
        <v>6984</v>
      </c>
      <c r="DEI4" t="s">
        <v>6984</v>
      </c>
      <c r="DEJ4" t="s">
        <v>6984</v>
      </c>
      <c r="DEK4" t="s">
        <v>6984</v>
      </c>
      <c r="DEL4" t="s">
        <v>6984</v>
      </c>
      <c r="DEM4" t="s">
        <v>6984</v>
      </c>
      <c r="DEN4" t="s">
        <v>6984</v>
      </c>
      <c r="DEO4" t="s">
        <v>6984</v>
      </c>
      <c r="DEP4" t="s">
        <v>6984</v>
      </c>
      <c r="DEQ4" t="s">
        <v>6984</v>
      </c>
      <c r="DER4" t="s">
        <v>6984</v>
      </c>
      <c r="DES4" t="s">
        <v>6984</v>
      </c>
      <c r="DET4" t="s">
        <v>6984</v>
      </c>
      <c r="DEU4" t="s">
        <v>6984</v>
      </c>
      <c r="DEV4" t="s">
        <v>6984</v>
      </c>
      <c r="DEW4" t="s">
        <v>6984</v>
      </c>
      <c r="DEX4" t="s">
        <v>6984</v>
      </c>
      <c r="DEY4" t="s">
        <v>6984</v>
      </c>
      <c r="DEZ4" t="s">
        <v>6984</v>
      </c>
      <c r="DFA4" t="s">
        <v>6984</v>
      </c>
      <c r="DFB4" t="s">
        <v>6984</v>
      </c>
      <c r="DFC4" t="s">
        <v>6984</v>
      </c>
      <c r="DFD4" t="s">
        <v>6984</v>
      </c>
      <c r="DFE4" t="s">
        <v>6984</v>
      </c>
      <c r="DFF4" t="s">
        <v>6984</v>
      </c>
      <c r="DFG4" t="s">
        <v>6984</v>
      </c>
      <c r="DFH4" t="s">
        <v>6984</v>
      </c>
      <c r="DFI4" t="s">
        <v>6984</v>
      </c>
      <c r="DFJ4" t="s">
        <v>6984</v>
      </c>
      <c r="DFK4" t="s">
        <v>6984</v>
      </c>
      <c r="DFL4" t="s">
        <v>6984</v>
      </c>
      <c r="DFM4" t="s">
        <v>6984</v>
      </c>
      <c r="DFN4" t="s">
        <v>6984</v>
      </c>
      <c r="DFO4" t="s">
        <v>6984</v>
      </c>
      <c r="DFP4" t="s">
        <v>6984</v>
      </c>
      <c r="DFQ4" t="s">
        <v>6984</v>
      </c>
      <c r="DFR4" t="s">
        <v>6984</v>
      </c>
      <c r="DFS4" t="s">
        <v>6984</v>
      </c>
      <c r="DFT4" t="s">
        <v>6984</v>
      </c>
      <c r="DFU4" t="s">
        <v>6984</v>
      </c>
      <c r="DFV4" t="s">
        <v>6984</v>
      </c>
      <c r="DFW4" t="s">
        <v>6984</v>
      </c>
      <c r="DFX4" t="s">
        <v>6984</v>
      </c>
      <c r="DFY4" t="s">
        <v>6984</v>
      </c>
      <c r="DFZ4" t="s">
        <v>6984</v>
      </c>
      <c r="DGA4" t="s">
        <v>6984</v>
      </c>
      <c r="DGB4" t="s">
        <v>6984</v>
      </c>
      <c r="DGC4" t="s">
        <v>6984</v>
      </c>
      <c r="DGD4" t="s">
        <v>6984</v>
      </c>
      <c r="DGE4" t="s">
        <v>6984</v>
      </c>
      <c r="DGF4" t="s">
        <v>6984</v>
      </c>
      <c r="DGG4" t="s">
        <v>6984</v>
      </c>
      <c r="DGH4" t="s">
        <v>6984</v>
      </c>
      <c r="DGI4" t="s">
        <v>6984</v>
      </c>
      <c r="DGJ4" t="s">
        <v>6984</v>
      </c>
      <c r="DGK4" t="s">
        <v>6984</v>
      </c>
      <c r="DGL4" t="s">
        <v>6984</v>
      </c>
      <c r="DGM4" t="s">
        <v>6984</v>
      </c>
      <c r="DGN4" t="s">
        <v>6984</v>
      </c>
      <c r="DGO4" t="s">
        <v>6984</v>
      </c>
      <c r="DGP4" t="s">
        <v>6984</v>
      </c>
      <c r="DGQ4" t="s">
        <v>6984</v>
      </c>
      <c r="DGR4" t="s">
        <v>6984</v>
      </c>
      <c r="DGS4" t="s">
        <v>6984</v>
      </c>
      <c r="DGT4" t="s">
        <v>6984</v>
      </c>
      <c r="DGU4" t="s">
        <v>6984</v>
      </c>
      <c r="DGV4" t="s">
        <v>6984</v>
      </c>
      <c r="DGW4" t="s">
        <v>6984</v>
      </c>
      <c r="DGX4" t="s">
        <v>6984</v>
      </c>
      <c r="DGY4" t="s">
        <v>6984</v>
      </c>
      <c r="DGZ4" t="s">
        <v>6984</v>
      </c>
      <c r="DHA4" t="s">
        <v>6984</v>
      </c>
      <c r="DHB4" t="s">
        <v>6984</v>
      </c>
      <c r="DHC4" t="s">
        <v>6984</v>
      </c>
      <c r="DHD4" t="s">
        <v>6984</v>
      </c>
      <c r="DHE4" t="s">
        <v>6984</v>
      </c>
      <c r="DHF4" t="s">
        <v>6984</v>
      </c>
      <c r="DHG4" t="s">
        <v>6984</v>
      </c>
      <c r="DHH4" t="s">
        <v>6984</v>
      </c>
      <c r="DHI4" t="s">
        <v>6984</v>
      </c>
      <c r="DHJ4" t="s">
        <v>6984</v>
      </c>
      <c r="DHK4" t="s">
        <v>6984</v>
      </c>
      <c r="DHL4" t="s">
        <v>6984</v>
      </c>
      <c r="DHM4" t="s">
        <v>6984</v>
      </c>
      <c r="DHN4" t="s">
        <v>6984</v>
      </c>
      <c r="DHO4" t="s">
        <v>6984</v>
      </c>
      <c r="DHP4" t="s">
        <v>6984</v>
      </c>
      <c r="DHQ4" t="s">
        <v>6984</v>
      </c>
      <c r="DHR4" t="s">
        <v>6984</v>
      </c>
      <c r="DHS4" t="s">
        <v>6984</v>
      </c>
      <c r="DHT4" t="s">
        <v>6984</v>
      </c>
      <c r="DHU4" t="s">
        <v>6984</v>
      </c>
      <c r="DHV4" t="s">
        <v>6984</v>
      </c>
      <c r="DHW4" t="s">
        <v>6984</v>
      </c>
      <c r="DHX4" t="s">
        <v>6984</v>
      </c>
      <c r="DHY4" t="s">
        <v>6984</v>
      </c>
      <c r="DHZ4" t="s">
        <v>6984</v>
      </c>
      <c r="DIA4" t="s">
        <v>6984</v>
      </c>
      <c r="DIB4" t="s">
        <v>6984</v>
      </c>
      <c r="DIC4" t="s">
        <v>6984</v>
      </c>
      <c r="DID4" t="s">
        <v>6984</v>
      </c>
      <c r="DIE4" t="s">
        <v>6984</v>
      </c>
      <c r="DIF4" t="s">
        <v>6984</v>
      </c>
      <c r="DIG4" t="s">
        <v>6984</v>
      </c>
      <c r="DIH4" t="s">
        <v>6984</v>
      </c>
      <c r="DII4" t="s">
        <v>6984</v>
      </c>
      <c r="DIJ4" t="s">
        <v>6984</v>
      </c>
      <c r="DIK4" t="s">
        <v>6984</v>
      </c>
      <c r="DIL4" t="s">
        <v>6984</v>
      </c>
      <c r="DIM4" t="s">
        <v>6984</v>
      </c>
      <c r="DIN4" t="s">
        <v>6984</v>
      </c>
      <c r="DIO4" t="s">
        <v>6984</v>
      </c>
      <c r="DIP4" t="s">
        <v>6984</v>
      </c>
      <c r="DIQ4" t="s">
        <v>6984</v>
      </c>
      <c r="DIR4" t="s">
        <v>6984</v>
      </c>
      <c r="DIS4" t="s">
        <v>6984</v>
      </c>
      <c r="DIT4" t="s">
        <v>6984</v>
      </c>
      <c r="DIU4" t="s">
        <v>6984</v>
      </c>
      <c r="DIV4" t="s">
        <v>6984</v>
      </c>
      <c r="DIW4" t="s">
        <v>6984</v>
      </c>
      <c r="DIX4" t="s">
        <v>6984</v>
      </c>
      <c r="DIY4" t="s">
        <v>6984</v>
      </c>
      <c r="DIZ4" t="s">
        <v>6984</v>
      </c>
      <c r="DJA4" t="s">
        <v>6984</v>
      </c>
      <c r="DJB4" t="s">
        <v>6984</v>
      </c>
      <c r="DJC4" t="s">
        <v>6984</v>
      </c>
      <c r="DJD4" t="s">
        <v>6984</v>
      </c>
      <c r="DJE4" t="s">
        <v>6984</v>
      </c>
      <c r="DJF4" t="s">
        <v>6984</v>
      </c>
      <c r="DJG4" t="s">
        <v>6984</v>
      </c>
      <c r="DJH4" t="s">
        <v>6984</v>
      </c>
      <c r="DJI4" t="s">
        <v>6984</v>
      </c>
      <c r="DJJ4" t="s">
        <v>6984</v>
      </c>
      <c r="DJK4" t="s">
        <v>6984</v>
      </c>
      <c r="DJL4" t="s">
        <v>6984</v>
      </c>
      <c r="DJM4" t="s">
        <v>6984</v>
      </c>
      <c r="DJN4" t="s">
        <v>6984</v>
      </c>
      <c r="DJO4" t="s">
        <v>6984</v>
      </c>
      <c r="DJP4" t="s">
        <v>6984</v>
      </c>
      <c r="DJQ4" t="s">
        <v>6984</v>
      </c>
      <c r="DJR4" t="s">
        <v>6984</v>
      </c>
      <c r="DJS4" t="s">
        <v>6984</v>
      </c>
      <c r="DJT4" t="s">
        <v>6984</v>
      </c>
      <c r="DJU4" t="s">
        <v>6984</v>
      </c>
      <c r="DJV4" t="s">
        <v>6984</v>
      </c>
      <c r="DJW4" t="s">
        <v>6984</v>
      </c>
      <c r="DJX4" t="s">
        <v>6984</v>
      </c>
      <c r="DJY4" t="s">
        <v>6984</v>
      </c>
      <c r="DJZ4" t="s">
        <v>6984</v>
      </c>
      <c r="DKA4" t="s">
        <v>6984</v>
      </c>
      <c r="DKB4" t="s">
        <v>6984</v>
      </c>
      <c r="DKC4" t="s">
        <v>6984</v>
      </c>
      <c r="DKD4" t="s">
        <v>6984</v>
      </c>
      <c r="DKE4" t="s">
        <v>6984</v>
      </c>
      <c r="DKF4" t="s">
        <v>6984</v>
      </c>
      <c r="DKG4" t="s">
        <v>6984</v>
      </c>
      <c r="DKH4" t="s">
        <v>6984</v>
      </c>
      <c r="DKI4" t="s">
        <v>6984</v>
      </c>
      <c r="DKJ4" t="s">
        <v>6984</v>
      </c>
      <c r="DKK4" t="s">
        <v>6984</v>
      </c>
      <c r="DKL4" t="s">
        <v>6984</v>
      </c>
      <c r="DKM4" t="s">
        <v>6984</v>
      </c>
      <c r="DKN4" t="s">
        <v>6984</v>
      </c>
      <c r="DKO4" t="s">
        <v>6984</v>
      </c>
      <c r="DKP4" t="s">
        <v>6984</v>
      </c>
      <c r="DKQ4" t="s">
        <v>6984</v>
      </c>
      <c r="DKR4" t="s">
        <v>6984</v>
      </c>
      <c r="DKS4" t="s">
        <v>6984</v>
      </c>
      <c r="DKT4" t="s">
        <v>6984</v>
      </c>
      <c r="DKU4" t="s">
        <v>6984</v>
      </c>
      <c r="DKV4" t="s">
        <v>6984</v>
      </c>
      <c r="DKW4" t="s">
        <v>6984</v>
      </c>
      <c r="DKX4" t="s">
        <v>6984</v>
      </c>
      <c r="DKY4" t="s">
        <v>6984</v>
      </c>
      <c r="DKZ4" t="s">
        <v>6984</v>
      </c>
      <c r="DLA4" t="s">
        <v>6984</v>
      </c>
      <c r="DLB4" t="s">
        <v>6984</v>
      </c>
      <c r="DLC4" t="s">
        <v>6984</v>
      </c>
      <c r="DLD4" t="s">
        <v>6984</v>
      </c>
      <c r="DLE4" t="s">
        <v>6984</v>
      </c>
      <c r="DLF4" t="s">
        <v>6984</v>
      </c>
      <c r="DLG4" t="s">
        <v>6984</v>
      </c>
      <c r="DLH4" t="s">
        <v>6984</v>
      </c>
      <c r="DLI4" t="s">
        <v>6984</v>
      </c>
      <c r="DLJ4" t="s">
        <v>6984</v>
      </c>
      <c r="DLK4" t="s">
        <v>6984</v>
      </c>
      <c r="DLL4" t="s">
        <v>6984</v>
      </c>
      <c r="DLM4" t="s">
        <v>6984</v>
      </c>
      <c r="DLN4" t="s">
        <v>6984</v>
      </c>
      <c r="DLO4" t="s">
        <v>6984</v>
      </c>
      <c r="DLP4" t="s">
        <v>6984</v>
      </c>
      <c r="DLQ4" t="s">
        <v>6984</v>
      </c>
      <c r="DLR4" t="s">
        <v>6984</v>
      </c>
      <c r="DLS4" t="s">
        <v>6984</v>
      </c>
      <c r="DLT4" t="s">
        <v>6984</v>
      </c>
      <c r="DLU4" t="s">
        <v>6984</v>
      </c>
      <c r="DLV4" t="s">
        <v>6984</v>
      </c>
      <c r="DLW4" t="s">
        <v>6984</v>
      </c>
      <c r="DLX4" t="s">
        <v>6984</v>
      </c>
      <c r="DLY4" t="s">
        <v>6984</v>
      </c>
      <c r="DLZ4" t="s">
        <v>6984</v>
      </c>
      <c r="DMA4" t="s">
        <v>6984</v>
      </c>
      <c r="DMB4" t="s">
        <v>6984</v>
      </c>
      <c r="DMC4" t="s">
        <v>6984</v>
      </c>
      <c r="DMD4" t="s">
        <v>6984</v>
      </c>
      <c r="DME4" t="s">
        <v>6984</v>
      </c>
      <c r="DMF4" t="s">
        <v>6984</v>
      </c>
      <c r="DMG4" t="s">
        <v>6984</v>
      </c>
      <c r="DMH4" t="s">
        <v>6984</v>
      </c>
      <c r="DMI4" t="s">
        <v>6984</v>
      </c>
      <c r="DMJ4" t="s">
        <v>6984</v>
      </c>
      <c r="DMK4" t="s">
        <v>6984</v>
      </c>
      <c r="DML4" t="s">
        <v>6984</v>
      </c>
      <c r="DMM4" t="s">
        <v>6984</v>
      </c>
      <c r="DMN4" t="s">
        <v>6984</v>
      </c>
      <c r="DMO4" t="s">
        <v>6984</v>
      </c>
      <c r="DMP4" t="s">
        <v>6984</v>
      </c>
      <c r="DMQ4" t="s">
        <v>6984</v>
      </c>
      <c r="DMR4" t="s">
        <v>6984</v>
      </c>
      <c r="DMS4" t="s">
        <v>6984</v>
      </c>
      <c r="DMT4" t="s">
        <v>6984</v>
      </c>
      <c r="DMU4" t="s">
        <v>6984</v>
      </c>
      <c r="DMV4" t="s">
        <v>6984</v>
      </c>
      <c r="DMW4" t="s">
        <v>6984</v>
      </c>
      <c r="DMX4" t="s">
        <v>6984</v>
      </c>
      <c r="DMY4" t="s">
        <v>6984</v>
      </c>
      <c r="DMZ4" t="s">
        <v>6984</v>
      </c>
      <c r="DNA4" t="s">
        <v>6984</v>
      </c>
      <c r="DNB4" t="s">
        <v>6984</v>
      </c>
      <c r="DNC4" t="s">
        <v>6984</v>
      </c>
      <c r="DND4" t="s">
        <v>6984</v>
      </c>
      <c r="DNE4" t="s">
        <v>6984</v>
      </c>
      <c r="DNF4" t="s">
        <v>6984</v>
      </c>
      <c r="DNG4" t="s">
        <v>6984</v>
      </c>
      <c r="DNH4" t="s">
        <v>6984</v>
      </c>
      <c r="DNI4" t="s">
        <v>6984</v>
      </c>
      <c r="DNJ4" t="s">
        <v>6984</v>
      </c>
      <c r="DNK4" t="s">
        <v>6984</v>
      </c>
      <c r="DNL4" t="s">
        <v>6984</v>
      </c>
      <c r="DNM4" t="s">
        <v>6984</v>
      </c>
      <c r="DNN4" t="s">
        <v>6984</v>
      </c>
      <c r="DNO4" t="s">
        <v>6984</v>
      </c>
      <c r="DNP4" t="s">
        <v>6984</v>
      </c>
      <c r="DNQ4" t="s">
        <v>6984</v>
      </c>
      <c r="DNR4" t="s">
        <v>6984</v>
      </c>
      <c r="DNS4" t="s">
        <v>6984</v>
      </c>
      <c r="DNT4" t="s">
        <v>6984</v>
      </c>
      <c r="DNU4" t="s">
        <v>6984</v>
      </c>
      <c r="DNV4" t="s">
        <v>6984</v>
      </c>
      <c r="DNW4" t="s">
        <v>6984</v>
      </c>
      <c r="DNX4" t="s">
        <v>6984</v>
      </c>
      <c r="DNY4" t="s">
        <v>6984</v>
      </c>
      <c r="DNZ4" t="s">
        <v>6984</v>
      </c>
      <c r="DOA4" t="s">
        <v>6984</v>
      </c>
      <c r="DOB4" t="s">
        <v>6984</v>
      </c>
      <c r="DOC4" t="s">
        <v>6984</v>
      </c>
      <c r="DOD4" t="s">
        <v>6984</v>
      </c>
      <c r="DOE4" t="s">
        <v>6984</v>
      </c>
      <c r="DOF4" t="s">
        <v>6984</v>
      </c>
      <c r="DOG4" t="s">
        <v>6984</v>
      </c>
      <c r="DOH4" t="s">
        <v>6984</v>
      </c>
      <c r="DOI4" t="s">
        <v>6984</v>
      </c>
      <c r="DOJ4" t="s">
        <v>6984</v>
      </c>
      <c r="DOK4" t="s">
        <v>6984</v>
      </c>
      <c r="DOL4" t="s">
        <v>6984</v>
      </c>
      <c r="DOM4" t="s">
        <v>6984</v>
      </c>
      <c r="DON4" t="s">
        <v>6984</v>
      </c>
      <c r="DOO4" t="s">
        <v>6984</v>
      </c>
      <c r="DOP4" t="s">
        <v>6984</v>
      </c>
      <c r="DOQ4" t="s">
        <v>6984</v>
      </c>
      <c r="DOR4" t="s">
        <v>6984</v>
      </c>
      <c r="DOS4" t="s">
        <v>6984</v>
      </c>
      <c r="DOT4" t="s">
        <v>6984</v>
      </c>
      <c r="DOU4" t="s">
        <v>6984</v>
      </c>
      <c r="DOV4" t="s">
        <v>6984</v>
      </c>
      <c r="DOW4" t="s">
        <v>6984</v>
      </c>
      <c r="DOX4" t="s">
        <v>6984</v>
      </c>
      <c r="DOY4" t="s">
        <v>6984</v>
      </c>
      <c r="DOZ4" t="s">
        <v>6984</v>
      </c>
      <c r="DPA4" t="s">
        <v>6984</v>
      </c>
      <c r="DPB4" t="s">
        <v>6984</v>
      </c>
      <c r="DPC4" t="s">
        <v>6984</v>
      </c>
      <c r="DPD4" t="s">
        <v>6984</v>
      </c>
      <c r="DPE4" t="s">
        <v>6984</v>
      </c>
      <c r="DPF4" t="s">
        <v>6984</v>
      </c>
      <c r="DPG4" t="s">
        <v>6984</v>
      </c>
      <c r="DPH4" t="s">
        <v>6984</v>
      </c>
      <c r="DPI4" t="s">
        <v>6984</v>
      </c>
      <c r="DPJ4" t="s">
        <v>6984</v>
      </c>
      <c r="DPK4" t="s">
        <v>6984</v>
      </c>
      <c r="DPL4" t="s">
        <v>6984</v>
      </c>
      <c r="DPM4" t="s">
        <v>6984</v>
      </c>
      <c r="DPN4" t="s">
        <v>6984</v>
      </c>
      <c r="DPO4" t="s">
        <v>6984</v>
      </c>
      <c r="DPP4" t="s">
        <v>6984</v>
      </c>
      <c r="DPQ4" t="s">
        <v>6984</v>
      </c>
      <c r="DPR4" t="s">
        <v>6984</v>
      </c>
      <c r="DPS4" t="s">
        <v>6984</v>
      </c>
      <c r="DPT4" t="s">
        <v>6984</v>
      </c>
      <c r="DPU4" t="s">
        <v>6984</v>
      </c>
      <c r="DPV4" t="s">
        <v>6984</v>
      </c>
      <c r="DPW4" t="s">
        <v>6984</v>
      </c>
      <c r="DPX4" t="s">
        <v>6984</v>
      </c>
      <c r="DPY4" t="s">
        <v>6984</v>
      </c>
      <c r="DPZ4" t="s">
        <v>6984</v>
      </c>
      <c r="DQA4" t="s">
        <v>6984</v>
      </c>
      <c r="DQB4" t="s">
        <v>6984</v>
      </c>
      <c r="DQC4" t="s">
        <v>6984</v>
      </c>
      <c r="DQD4" t="s">
        <v>6984</v>
      </c>
      <c r="DQE4" t="s">
        <v>6984</v>
      </c>
      <c r="DQF4" t="s">
        <v>6984</v>
      </c>
      <c r="DQG4" t="s">
        <v>6984</v>
      </c>
      <c r="DQH4" t="s">
        <v>6984</v>
      </c>
      <c r="DQI4" t="s">
        <v>6984</v>
      </c>
      <c r="DQJ4" t="s">
        <v>6984</v>
      </c>
      <c r="DQK4" t="s">
        <v>6984</v>
      </c>
      <c r="DQL4" t="s">
        <v>6984</v>
      </c>
      <c r="DQM4" t="s">
        <v>6984</v>
      </c>
      <c r="DQN4" t="s">
        <v>6984</v>
      </c>
      <c r="DQO4" t="s">
        <v>6984</v>
      </c>
      <c r="DQP4" t="s">
        <v>6984</v>
      </c>
      <c r="DQQ4" t="s">
        <v>6984</v>
      </c>
      <c r="DQR4" t="s">
        <v>6984</v>
      </c>
      <c r="DQS4" t="s">
        <v>6984</v>
      </c>
      <c r="DQT4" t="s">
        <v>6984</v>
      </c>
      <c r="DQU4" t="s">
        <v>6984</v>
      </c>
      <c r="DQV4" t="s">
        <v>6984</v>
      </c>
      <c r="DQW4" t="s">
        <v>6984</v>
      </c>
      <c r="DQX4" t="s">
        <v>6984</v>
      </c>
      <c r="DQY4" t="s">
        <v>6984</v>
      </c>
      <c r="DQZ4" t="s">
        <v>6984</v>
      </c>
      <c r="DRA4" t="s">
        <v>6984</v>
      </c>
      <c r="DRB4" t="s">
        <v>6984</v>
      </c>
      <c r="DRC4" t="s">
        <v>6984</v>
      </c>
      <c r="DRD4" t="s">
        <v>6984</v>
      </c>
      <c r="DRE4" t="s">
        <v>6984</v>
      </c>
      <c r="DRF4" t="s">
        <v>6984</v>
      </c>
      <c r="DRG4" t="s">
        <v>6984</v>
      </c>
      <c r="DRH4" t="s">
        <v>6984</v>
      </c>
      <c r="DRI4" t="s">
        <v>6984</v>
      </c>
      <c r="DRJ4" t="s">
        <v>6984</v>
      </c>
      <c r="DRK4" t="s">
        <v>6984</v>
      </c>
      <c r="DRL4" t="s">
        <v>6984</v>
      </c>
      <c r="DRM4" t="s">
        <v>6984</v>
      </c>
      <c r="DRN4" t="s">
        <v>6984</v>
      </c>
      <c r="DRO4" t="s">
        <v>6984</v>
      </c>
      <c r="DRP4" t="s">
        <v>6984</v>
      </c>
      <c r="DRQ4" t="s">
        <v>6984</v>
      </c>
      <c r="DRR4" t="s">
        <v>6984</v>
      </c>
      <c r="DRS4" t="s">
        <v>6984</v>
      </c>
      <c r="DRT4" t="s">
        <v>6984</v>
      </c>
      <c r="DRU4" t="s">
        <v>6984</v>
      </c>
      <c r="DRV4" t="s">
        <v>6984</v>
      </c>
      <c r="DRW4" t="s">
        <v>6984</v>
      </c>
      <c r="DRX4" t="s">
        <v>6984</v>
      </c>
      <c r="DRY4" t="s">
        <v>6984</v>
      </c>
      <c r="DRZ4" t="s">
        <v>6984</v>
      </c>
      <c r="DSA4" t="s">
        <v>6984</v>
      </c>
      <c r="DSB4" t="s">
        <v>6984</v>
      </c>
      <c r="DSC4" t="s">
        <v>6984</v>
      </c>
      <c r="DSD4" t="s">
        <v>6984</v>
      </c>
      <c r="DSE4" t="s">
        <v>6984</v>
      </c>
      <c r="DSF4" t="s">
        <v>6984</v>
      </c>
      <c r="DSG4" t="s">
        <v>6984</v>
      </c>
      <c r="DSH4" t="s">
        <v>6984</v>
      </c>
      <c r="DSI4" t="s">
        <v>6984</v>
      </c>
      <c r="DSJ4" t="s">
        <v>6984</v>
      </c>
      <c r="DSK4" t="s">
        <v>6984</v>
      </c>
      <c r="DSL4" t="s">
        <v>6984</v>
      </c>
      <c r="DSM4" t="s">
        <v>6984</v>
      </c>
      <c r="DSN4" t="s">
        <v>6984</v>
      </c>
      <c r="DSO4" t="s">
        <v>6984</v>
      </c>
      <c r="DSP4" t="s">
        <v>6984</v>
      </c>
      <c r="DSQ4" t="s">
        <v>6984</v>
      </c>
      <c r="DSR4" t="s">
        <v>6984</v>
      </c>
      <c r="DSS4" t="s">
        <v>6984</v>
      </c>
      <c r="DST4" t="s">
        <v>6984</v>
      </c>
      <c r="DSU4" t="s">
        <v>6984</v>
      </c>
      <c r="DSV4" t="s">
        <v>6984</v>
      </c>
      <c r="DSW4" t="s">
        <v>6984</v>
      </c>
      <c r="DSX4" t="s">
        <v>6984</v>
      </c>
      <c r="DSY4" t="s">
        <v>6984</v>
      </c>
      <c r="DSZ4" t="s">
        <v>6984</v>
      </c>
      <c r="DTA4" t="s">
        <v>6984</v>
      </c>
      <c r="DTB4" t="s">
        <v>6984</v>
      </c>
      <c r="DTC4" t="s">
        <v>6984</v>
      </c>
      <c r="DTD4" t="s">
        <v>6984</v>
      </c>
      <c r="DTE4" t="s">
        <v>6984</v>
      </c>
      <c r="DTF4" t="s">
        <v>6984</v>
      </c>
      <c r="DTG4" t="s">
        <v>6984</v>
      </c>
      <c r="DTH4" t="s">
        <v>6984</v>
      </c>
      <c r="DTI4" t="s">
        <v>6984</v>
      </c>
      <c r="DTJ4" t="s">
        <v>6984</v>
      </c>
      <c r="DTK4" t="s">
        <v>6984</v>
      </c>
      <c r="DTL4" t="s">
        <v>6984</v>
      </c>
      <c r="DTM4" t="s">
        <v>6984</v>
      </c>
      <c r="DTN4" t="s">
        <v>6984</v>
      </c>
      <c r="DTO4" t="s">
        <v>6984</v>
      </c>
      <c r="DTP4" t="s">
        <v>6984</v>
      </c>
      <c r="DTQ4" t="s">
        <v>6984</v>
      </c>
      <c r="DTR4" t="s">
        <v>6984</v>
      </c>
      <c r="DTS4" t="s">
        <v>6984</v>
      </c>
      <c r="DTT4" t="s">
        <v>6984</v>
      </c>
      <c r="DTU4" t="s">
        <v>6984</v>
      </c>
      <c r="DTV4" t="s">
        <v>6984</v>
      </c>
      <c r="DTW4" t="s">
        <v>6984</v>
      </c>
      <c r="DTX4" t="s">
        <v>6984</v>
      </c>
      <c r="DTY4" t="s">
        <v>6984</v>
      </c>
      <c r="DTZ4" t="s">
        <v>6984</v>
      </c>
      <c r="DUA4" t="s">
        <v>6984</v>
      </c>
      <c r="DUB4" t="s">
        <v>6984</v>
      </c>
      <c r="DUC4" t="s">
        <v>6984</v>
      </c>
      <c r="DUD4" t="s">
        <v>6984</v>
      </c>
      <c r="DUE4" t="s">
        <v>6984</v>
      </c>
      <c r="DUF4" t="s">
        <v>6984</v>
      </c>
      <c r="DUG4" t="s">
        <v>6984</v>
      </c>
      <c r="DUH4" t="s">
        <v>6984</v>
      </c>
      <c r="DUI4" t="s">
        <v>6984</v>
      </c>
      <c r="DUJ4" t="s">
        <v>6984</v>
      </c>
      <c r="DUK4" t="s">
        <v>6984</v>
      </c>
      <c r="DUL4" t="s">
        <v>6984</v>
      </c>
      <c r="DUM4" t="s">
        <v>6984</v>
      </c>
      <c r="DUN4" t="s">
        <v>6984</v>
      </c>
      <c r="DUO4" t="s">
        <v>6984</v>
      </c>
      <c r="DUP4" t="s">
        <v>6984</v>
      </c>
      <c r="DUQ4" t="s">
        <v>6984</v>
      </c>
      <c r="DUR4" t="s">
        <v>6984</v>
      </c>
      <c r="DUS4" t="s">
        <v>6984</v>
      </c>
      <c r="DUT4" t="s">
        <v>6984</v>
      </c>
      <c r="DUU4" t="s">
        <v>6984</v>
      </c>
      <c r="DUV4" t="s">
        <v>6984</v>
      </c>
      <c r="DUW4" t="s">
        <v>6984</v>
      </c>
      <c r="DUX4" t="s">
        <v>6984</v>
      </c>
      <c r="DUY4" t="s">
        <v>6984</v>
      </c>
      <c r="DUZ4" t="s">
        <v>6984</v>
      </c>
      <c r="DVA4" t="s">
        <v>6984</v>
      </c>
      <c r="DVB4" t="s">
        <v>6984</v>
      </c>
      <c r="DVC4" t="s">
        <v>6984</v>
      </c>
      <c r="DVD4" t="s">
        <v>6984</v>
      </c>
      <c r="DVE4" t="s">
        <v>6984</v>
      </c>
      <c r="DVF4" t="s">
        <v>6984</v>
      </c>
      <c r="DVG4" t="s">
        <v>6984</v>
      </c>
      <c r="DVH4" t="s">
        <v>6984</v>
      </c>
      <c r="DVI4" t="s">
        <v>6984</v>
      </c>
      <c r="DVJ4" t="s">
        <v>6984</v>
      </c>
      <c r="DVK4" t="s">
        <v>6984</v>
      </c>
      <c r="DVL4" t="s">
        <v>6984</v>
      </c>
      <c r="DVM4" t="s">
        <v>6984</v>
      </c>
      <c r="DVN4" t="s">
        <v>6984</v>
      </c>
      <c r="DVO4" t="s">
        <v>6984</v>
      </c>
      <c r="DVP4" t="s">
        <v>6984</v>
      </c>
      <c r="DVQ4" t="s">
        <v>6984</v>
      </c>
      <c r="DVR4" t="s">
        <v>6984</v>
      </c>
      <c r="DVS4" t="s">
        <v>6984</v>
      </c>
      <c r="DVT4" t="s">
        <v>6984</v>
      </c>
      <c r="DVU4" t="s">
        <v>6984</v>
      </c>
      <c r="DVV4" t="s">
        <v>6984</v>
      </c>
      <c r="DVW4" t="s">
        <v>6984</v>
      </c>
      <c r="DVX4" t="s">
        <v>6984</v>
      </c>
      <c r="DVY4" t="s">
        <v>6984</v>
      </c>
      <c r="DVZ4" t="s">
        <v>6984</v>
      </c>
      <c r="DWA4" t="s">
        <v>6984</v>
      </c>
      <c r="DWB4" t="s">
        <v>6984</v>
      </c>
      <c r="DWC4" t="s">
        <v>6984</v>
      </c>
      <c r="DWD4" t="s">
        <v>6984</v>
      </c>
      <c r="DWE4" t="s">
        <v>6984</v>
      </c>
      <c r="DWF4" t="s">
        <v>6984</v>
      </c>
      <c r="DWG4" t="s">
        <v>6984</v>
      </c>
      <c r="DWH4" t="s">
        <v>6984</v>
      </c>
      <c r="DWI4" t="s">
        <v>6984</v>
      </c>
      <c r="DWJ4" t="s">
        <v>6984</v>
      </c>
      <c r="DWK4" t="s">
        <v>6984</v>
      </c>
      <c r="DWL4" t="s">
        <v>6984</v>
      </c>
      <c r="DWM4" t="s">
        <v>6984</v>
      </c>
      <c r="DWN4" t="s">
        <v>6984</v>
      </c>
      <c r="DWO4" t="s">
        <v>6984</v>
      </c>
      <c r="DWP4" t="s">
        <v>6984</v>
      </c>
      <c r="DWQ4" t="s">
        <v>6984</v>
      </c>
      <c r="DWR4" t="s">
        <v>6984</v>
      </c>
      <c r="DWS4" t="s">
        <v>6984</v>
      </c>
      <c r="DWT4" t="s">
        <v>6984</v>
      </c>
      <c r="DWU4" t="s">
        <v>6984</v>
      </c>
      <c r="DWV4" t="s">
        <v>6984</v>
      </c>
      <c r="DWW4" t="s">
        <v>6984</v>
      </c>
      <c r="DWX4" t="s">
        <v>6984</v>
      </c>
      <c r="DWY4" t="s">
        <v>6984</v>
      </c>
      <c r="DWZ4" t="s">
        <v>6984</v>
      </c>
      <c r="DXA4" t="s">
        <v>6984</v>
      </c>
      <c r="DXB4" t="s">
        <v>6984</v>
      </c>
      <c r="DXC4" t="s">
        <v>6984</v>
      </c>
      <c r="DXD4" t="s">
        <v>6984</v>
      </c>
      <c r="DXE4" t="s">
        <v>6984</v>
      </c>
      <c r="DXF4" t="s">
        <v>6984</v>
      </c>
      <c r="DXG4" t="s">
        <v>6984</v>
      </c>
      <c r="DXH4" t="s">
        <v>6984</v>
      </c>
      <c r="DXI4" t="s">
        <v>6984</v>
      </c>
      <c r="DXJ4" t="s">
        <v>6984</v>
      </c>
      <c r="DXK4" t="s">
        <v>6984</v>
      </c>
      <c r="DXL4" t="s">
        <v>6984</v>
      </c>
      <c r="DXM4" t="s">
        <v>6984</v>
      </c>
      <c r="DXN4" t="s">
        <v>6984</v>
      </c>
      <c r="DXO4" t="s">
        <v>6984</v>
      </c>
      <c r="DXP4" t="s">
        <v>6984</v>
      </c>
      <c r="DXQ4" t="s">
        <v>6984</v>
      </c>
      <c r="DXR4" t="s">
        <v>6984</v>
      </c>
      <c r="DXS4" t="s">
        <v>6984</v>
      </c>
      <c r="DXT4" t="s">
        <v>6984</v>
      </c>
      <c r="DXU4" t="s">
        <v>6984</v>
      </c>
      <c r="DXV4" t="s">
        <v>6984</v>
      </c>
      <c r="DXW4" t="s">
        <v>6984</v>
      </c>
      <c r="DXX4" t="s">
        <v>6984</v>
      </c>
      <c r="DXY4" t="s">
        <v>6984</v>
      </c>
      <c r="DXZ4" t="s">
        <v>6984</v>
      </c>
      <c r="DYA4" t="s">
        <v>6984</v>
      </c>
      <c r="DYB4" t="s">
        <v>6984</v>
      </c>
      <c r="DYC4" t="s">
        <v>6984</v>
      </c>
      <c r="DYD4" t="s">
        <v>6984</v>
      </c>
      <c r="DYE4" t="s">
        <v>6984</v>
      </c>
      <c r="DYF4" t="s">
        <v>6984</v>
      </c>
      <c r="DYG4" t="s">
        <v>6984</v>
      </c>
      <c r="DYH4" t="s">
        <v>6984</v>
      </c>
      <c r="DYI4" t="s">
        <v>6984</v>
      </c>
      <c r="DYJ4" t="s">
        <v>6984</v>
      </c>
      <c r="DYK4" t="s">
        <v>6984</v>
      </c>
      <c r="DYL4" t="s">
        <v>6984</v>
      </c>
      <c r="DYM4" t="s">
        <v>6984</v>
      </c>
      <c r="DYN4" t="s">
        <v>6984</v>
      </c>
      <c r="DYO4" t="s">
        <v>6984</v>
      </c>
      <c r="DYP4" t="s">
        <v>6984</v>
      </c>
      <c r="DYQ4" t="s">
        <v>6984</v>
      </c>
      <c r="DYR4" t="s">
        <v>6984</v>
      </c>
      <c r="DYS4" t="s">
        <v>6984</v>
      </c>
      <c r="DYT4" t="s">
        <v>6984</v>
      </c>
      <c r="DYU4" t="s">
        <v>6984</v>
      </c>
      <c r="DYV4" t="s">
        <v>6984</v>
      </c>
      <c r="DYW4" t="s">
        <v>6984</v>
      </c>
      <c r="DYX4" t="s">
        <v>6984</v>
      </c>
      <c r="DYY4" t="s">
        <v>6984</v>
      </c>
      <c r="DYZ4" t="s">
        <v>6984</v>
      </c>
      <c r="DZA4" t="s">
        <v>6984</v>
      </c>
      <c r="DZB4" t="s">
        <v>6984</v>
      </c>
      <c r="DZC4" t="s">
        <v>6984</v>
      </c>
      <c r="DZD4" t="s">
        <v>6984</v>
      </c>
      <c r="DZE4" t="s">
        <v>6984</v>
      </c>
      <c r="DZF4" t="s">
        <v>6984</v>
      </c>
      <c r="DZG4" t="s">
        <v>6984</v>
      </c>
      <c r="DZH4" t="s">
        <v>6984</v>
      </c>
      <c r="DZI4" t="s">
        <v>6984</v>
      </c>
      <c r="DZJ4" t="s">
        <v>6984</v>
      </c>
      <c r="DZK4" t="s">
        <v>6984</v>
      </c>
      <c r="DZL4" t="s">
        <v>6984</v>
      </c>
      <c r="DZM4" t="s">
        <v>6984</v>
      </c>
      <c r="DZN4" t="s">
        <v>6984</v>
      </c>
      <c r="DZO4" t="s">
        <v>6984</v>
      </c>
      <c r="DZP4" t="s">
        <v>6984</v>
      </c>
      <c r="DZQ4" t="s">
        <v>6984</v>
      </c>
      <c r="DZR4" t="s">
        <v>6984</v>
      </c>
      <c r="DZS4" t="s">
        <v>6984</v>
      </c>
      <c r="DZT4" t="s">
        <v>6984</v>
      </c>
      <c r="DZU4" t="s">
        <v>6984</v>
      </c>
      <c r="DZV4" t="s">
        <v>6984</v>
      </c>
      <c r="DZW4" t="s">
        <v>6984</v>
      </c>
      <c r="DZX4" t="s">
        <v>6984</v>
      </c>
      <c r="DZY4" t="s">
        <v>6984</v>
      </c>
      <c r="DZZ4" t="s">
        <v>6984</v>
      </c>
      <c r="EAA4" t="s">
        <v>6984</v>
      </c>
      <c r="EAB4" t="s">
        <v>6984</v>
      </c>
      <c r="EAC4" t="s">
        <v>6984</v>
      </c>
      <c r="EAD4" t="s">
        <v>6984</v>
      </c>
      <c r="EAE4" t="s">
        <v>6984</v>
      </c>
      <c r="EAF4" t="s">
        <v>6984</v>
      </c>
      <c r="EAG4" t="s">
        <v>6984</v>
      </c>
      <c r="EAH4" t="s">
        <v>6984</v>
      </c>
      <c r="EAI4" t="s">
        <v>6984</v>
      </c>
      <c r="EAJ4" t="s">
        <v>6984</v>
      </c>
      <c r="EAK4" t="s">
        <v>6984</v>
      </c>
      <c r="EAL4" t="s">
        <v>6984</v>
      </c>
      <c r="EAM4" t="s">
        <v>6984</v>
      </c>
      <c r="EAN4" t="s">
        <v>6984</v>
      </c>
      <c r="EAO4" t="s">
        <v>6984</v>
      </c>
      <c r="EAP4" t="s">
        <v>6984</v>
      </c>
      <c r="EAQ4" t="s">
        <v>6984</v>
      </c>
      <c r="EAR4" t="s">
        <v>6984</v>
      </c>
      <c r="EAS4" t="s">
        <v>6984</v>
      </c>
      <c r="EAT4" t="s">
        <v>6984</v>
      </c>
      <c r="EAU4" t="s">
        <v>6984</v>
      </c>
      <c r="EAV4" t="s">
        <v>6984</v>
      </c>
      <c r="EAW4" t="s">
        <v>6984</v>
      </c>
      <c r="EAX4" t="s">
        <v>6984</v>
      </c>
      <c r="EAY4" t="s">
        <v>6984</v>
      </c>
      <c r="EAZ4" t="s">
        <v>6984</v>
      </c>
      <c r="EBA4" t="s">
        <v>6984</v>
      </c>
      <c r="EBB4" t="s">
        <v>6984</v>
      </c>
      <c r="EBC4" t="s">
        <v>6984</v>
      </c>
      <c r="EBD4" t="s">
        <v>6984</v>
      </c>
      <c r="EBE4" t="s">
        <v>6984</v>
      </c>
      <c r="EBF4" t="s">
        <v>6984</v>
      </c>
      <c r="EBG4" t="s">
        <v>6984</v>
      </c>
      <c r="EBH4" t="s">
        <v>6984</v>
      </c>
      <c r="EBI4" t="s">
        <v>6984</v>
      </c>
      <c r="EBJ4" t="s">
        <v>6984</v>
      </c>
      <c r="EBK4" t="s">
        <v>6984</v>
      </c>
      <c r="EBL4" t="s">
        <v>6984</v>
      </c>
      <c r="EBM4" t="s">
        <v>6984</v>
      </c>
      <c r="EBN4" t="s">
        <v>6984</v>
      </c>
      <c r="EBO4" t="s">
        <v>6984</v>
      </c>
      <c r="EBP4" t="s">
        <v>6984</v>
      </c>
      <c r="EBQ4" t="s">
        <v>6984</v>
      </c>
      <c r="EBR4" t="s">
        <v>6984</v>
      </c>
      <c r="EBS4" t="s">
        <v>6984</v>
      </c>
      <c r="EBT4" t="s">
        <v>6984</v>
      </c>
      <c r="EBU4" t="s">
        <v>6984</v>
      </c>
      <c r="EBV4" t="s">
        <v>6984</v>
      </c>
      <c r="EBW4" t="s">
        <v>6984</v>
      </c>
      <c r="EBX4" t="s">
        <v>6984</v>
      </c>
      <c r="EBY4" t="s">
        <v>6984</v>
      </c>
      <c r="EBZ4" t="s">
        <v>6984</v>
      </c>
      <c r="ECA4" t="s">
        <v>6984</v>
      </c>
      <c r="ECB4" t="s">
        <v>6984</v>
      </c>
      <c r="ECC4" t="s">
        <v>6984</v>
      </c>
      <c r="ECD4" t="s">
        <v>6984</v>
      </c>
      <c r="ECE4" t="s">
        <v>6984</v>
      </c>
      <c r="ECF4" t="s">
        <v>6984</v>
      </c>
      <c r="ECG4" t="s">
        <v>6984</v>
      </c>
      <c r="ECH4" t="s">
        <v>6984</v>
      </c>
      <c r="ECI4" t="s">
        <v>6984</v>
      </c>
      <c r="ECJ4" t="s">
        <v>6984</v>
      </c>
      <c r="ECK4" t="s">
        <v>6984</v>
      </c>
      <c r="ECL4" t="s">
        <v>6984</v>
      </c>
      <c r="ECM4" t="s">
        <v>6984</v>
      </c>
      <c r="ECN4" t="s">
        <v>6984</v>
      </c>
      <c r="ECO4" t="s">
        <v>6984</v>
      </c>
      <c r="ECP4" t="s">
        <v>6984</v>
      </c>
      <c r="ECQ4" t="s">
        <v>6984</v>
      </c>
      <c r="ECR4" t="s">
        <v>6984</v>
      </c>
      <c r="ECS4" t="s">
        <v>6984</v>
      </c>
      <c r="ECT4" t="s">
        <v>6984</v>
      </c>
      <c r="ECU4" t="s">
        <v>6984</v>
      </c>
      <c r="ECV4" t="s">
        <v>6984</v>
      </c>
      <c r="ECW4" t="s">
        <v>6984</v>
      </c>
      <c r="ECX4" t="s">
        <v>6984</v>
      </c>
      <c r="ECY4" t="s">
        <v>6984</v>
      </c>
      <c r="ECZ4" t="s">
        <v>6984</v>
      </c>
      <c r="EDA4" t="s">
        <v>6984</v>
      </c>
      <c r="EDB4" t="s">
        <v>6984</v>
      </c>
      <c r="EDC4" t="s">
        <v>6984</v>
      </c>
      <c r="EDD4" t="s">
        <v>6984</v>
      </c>
      <c r="EDE4" t="s">
        <v>6984</v>
      </c>
      <c r="EDF4" t="s">
        <v>6984</v>
      </c>
      <c r="EDG4" t="s">
        <v>6984</v>
      </c>
      <c r="EDH4" t="s">
        <v>6984</v>
      </c>
      <c r="EDI4" t="s">
        <v>6984</v>
      </c>
      <c r="EDJ4" t="s">
        <v>6984</v>
      </c>
      <c r="EDK4" t="s">
        <v>6984</v>
      </c>
      <c r="EDL4" t="s">
        <v>6984</v>
      </c>
      <c r="EDM4" t="s">
        <v>6984</v>
      </c>
      <c r="EDN4" t="s">
        <v>6984</v>
      </c>
      <c r="EDO4" t="s">
        <v>6984</v>
      </c>
      <c r="EDP4" t="s">
        <v>6984</v>
      </c>
      <c r="EDQ4" t="s">
        <v>6984</v>
      </c>
      <c r="EDR4" t="s">
        <v>6984</v>
      </c>
      <c r="EDS4" t="s">
        <v>6984</v>
      </c>
      <c r="EDT4" t="s">
        <v>6984</v>
      </c>
      <c r="EDU4" t="s">
        <v>6984</v>
      </c>
      <c r="EDV4" t="s">
        <v>6984</v>
      </c>
      <c r="EDW4" t="s">
        <v>6984</v>
      </c>
      <c r="EDX4" t="s">
        <v>6984</v>
      </c>
      <c r="EDY4" t="s">
        <v>6984</v>
      </c>
      <c r="EDZ4" t="s">
        <v>6984</v>
      </c>
      <c r="EEA4" t="s">
        <v>6984</v>
      </c>
      <c r="EEB4" t="s">
        <v>6984</v>
      </c>
      <c r="EEC4" t="s">
        <v>6984</v>
      </c>
      <c r="EED4" t="s">
        <v>6984</v>
      </c>
      <c r="EEE4" t="s">
        <v>6984</v>
      </c>
      <c r="EEF4" t="s">
        <v>6984</v>
      </c>
      <c r="EEG4" t="s">
        <v>6984</v>
      </c>
      <c r="EEH4" t="s">
        <v>6984</v>
      </c>
      <c r="EEI4" t="s">
        <v>6984</v>
      </c>
      <c r="EEJ4" t="s">
        <v>6984</v>
      </c>
      <c r="EEK4" t="s">
        <v>6984</v>
      </c>
      <c r="EEL4" t="s">
        <v>6984</v>
      </c>
      <c r="EEM4" t="s">
        <v>6984</v>
      </c>
      <c r="EEN4" t="s">
        <v>6984</v>
      </c>
      <c r="EEO4" t="s">
        <v>6984</v>
      </c>
      <c r="EEP4" t="s">
        <v>6984</v>
      </c>
      <c r="EEQ4" t="s">
        <v>6984</v>
      </c>
      <c r="EER4" t="s">
        <v>6984</v>
      </c>
      <c r="EES4" t="s">
        <v>6984</v>
      </c>
      <c r="EET4" t="s">
        <v>6984</v>
      </c>
      <c r="EEU4" t="s">
        <v>6984</v>
      </c>
      <c r="EEV4" t="s">
        <v>6984</v>
      </c>
      <c r="EEW4" t="s">
        <v>6984</v>
      </c>
      <c r="EEX4" t="s">
        <v>6984</v>
      </c>
      <c r="EEY4" t="s">
        <v>6984</v>
      </c>
      <c r="EEZ4" t="s">
        <v>6984</v>
      </c>
      <c r="EFA4" t="s">
        <v>6984</v>
      </c>
      <c r="EFB4" t="s">
        <v>6984</v>
      </c>
      <c r="EFC4" t="s">
        <v>6984</v>
      </c>
      <c r="EFD4" t="s">
        <v>6984</v>
      </c>
      <c r="EFE4" t="s">
        <v>6984</v>
      </c>
      <c r="EFF4" t="s">
        <v>6984</v>
      </c>
      <c r="EFG4" t="s">
        <v>6984</v>
      </c>
      <c r="EFH4" t="s">
        <v>6984</v>
      </c>
      <c r="EFI4" t="s">
        <v>6984</v>
      </c>
      <c r="EFJ4" t="s">
        <v>6984</v>
      </c>
      <c r="EFK4" t="s">
        <v>6984</v>
      </c>
      <c r="EFL4" t="s">
        <v>6984</v>
      </c>
      <c r="EFM4" t="s">
        <v>6984</v>
      </c>
      <c r="EFN4" t="s">
        <v>6984</v>
      </c>
      <c r="EFO4" t="s">
        <v>6984</v>
      </c>
      <c r="EFP4" t="s">
        <v>6984</v>
      </c>
      <c r="EFQ4" t="s">
        <v>6984</v>
      </c>
      <c r="EFR4" t="s">
        <v>6984</v>
      </c>
      <c r="EFS4" t="s">
        <v>6984</v>
      </c>
      <c r="EFT4" t="s">
        <v>6984</v>
      </c>
      <c r="EFU4" t="s">
        <v>6984</v>
      </c>
      <c r="EFV4" t="s">
        <v>6984</v>
      </c>
      <c r="EFW4" t="s">
        <v>6984</v>
      </c>
      <c r="EFX4" t="s">
        <v>6984</v>
      </c>
      <c r="EFY4" t="s">
        <v>6984</v>
      </c>
      <c r="EFZ4" t="s">
        <v>6984</v>
      </c>
      <c r="EGA4" t="s">
        <v>6984</v>
      </c>
      <c r="EGB4" t="s">
        <v>6984</v>
      </c>
      <c r="EGC4" t="s">
        <v>6984</v>
      </c>
      <c r="EGD4" t="s">
        <v>6984</v>
      </c>
      <c r="EGE4" t="s">
        <v>6984</v>
      </c>
      <c r="EGF4" t="s">
        <v>6984</v>
      </c>
      <c r="EGG4" t="s">
        <v>6984</v>
      </c>
      <c r="EGH4" t="s">
        <v>6984</v>
      </c>
      <c r="EGI4" t="s">
        <v>6984</v>
      </c>
      <c r="EGJ4" t="s">
        <v>6984</v>
      </c>
      <c r="EGK4" t="s">
        <v>6984</v>
      </c>
      <c r="EGL4" t="s">
        <v>6984</v>
      </c>
      <c r="EGM4" t="s">
        <v>6984</v>
      </c>
      <c r="EGN4" t="s">
        <v>6984</v>
      </c>
      <c r="EGO4" t="s">
        <v>6984</v>
      </c>
      <c r="EGP4" t="s">
        <v>6984</v>
      </c>
      <c r="EGQ4" t="s">
        <v>6984</v>
      </c>
      <c r="EGR4" t="s">
        <v>6984</v>
      </c>
      <c r="EGS4" t="s">
        <v>6984</v>
      </c>
      <c r="EGT4" t="s">
        <v>6984</v>
      </c>
      <c r="EGU4" t="s">
        <v>6984</v>
      </c>
      <c r="EGV4" t="s">
        <v>6984</v>
      </c>
      <c r="EGW4" t="s">
        <v>6984</v>
      </c>
      <c r="EGX4" t="s">
        <v>6984</v>
      </c>
      <c r="EGY4" t="s">
        <v>6984</v>
      </c>
      <c r="EGZ4" t="s">
        <v>6984</v>
      </c>
      <c r="EHA4" t="s">
        <v>6984</v>
      </c>
      <c r="EHB4" t="s">
        <v>6984</v>
      </c>
      <c r="EHC4" t="s">
        <v>6984</v>
      </c>
      <c r="EHD4" t="s">
        <v>6984</v>
      </c>
      <c r="EHE4" t="s">
        <v>6984</v>
      </c>
      <c r="EHF4" t="s">
        <v>6984</v>
      </c>
      <c r="EHG4" t="s">
        <v>6984</v>
      </c>
      <c r="EHH4" t="s">
        <v>6984</v>
      </c>
      <c r="EHI4" t="s">
        <v>6984</v>
      </c>
      <c r="EHJ4" t="s">
        <v>6984</v>
      </c>
      <c r="EHK4" t="s">
        <v>6984</v>
      </c>
      <c r="EHL4" t="s">
        <v>6984</v>
      </c>
      <c r="EHM4" t="s">
        <v>6984</v>
      </c>
      <c r="EHN4" t="s">
        <v>6984</v>
      </c>
      <c r="EHO4" t="s">
        <v>6984</v>
      </c>
      <c r="EHP4" t="s">
        <v>6984</v>
      </c>
      <c r="EHQ4" t="s">
        <v>6984</v>
      </c>
      <c r="EHR4" t="s">
        <v>6984</v>
      </c>
      <c r="EHS4" t="s">
        <v>6984</v>
      </c>
      <c r="EHT4" t="s">
        <v>6984</v>
      </c>
      <c r="EHU4" t="s">
        <v>6984</v>
      </c>
      <c r="EHV4" t="s">
        <v>6984</v>
      </c>
      <c r="EHW4" t="s">
        <v>6984</v>
      </c>
      <c r="EHX4" t="s">
        <v>6984</v>
      </c>
      <c r="EHY4" t="s">
        <v>6984</v>
      </c>
      <c r="EHZ4" t="s">
        <v>6984</v>
      </c>
      <c r="EIA4" t="s">
        <v>6984</v>
      </c>
      <c r="EIB4" t="s">
        <v>6984</v>
      </c>
      <c r="EIC4" t="s">
        <v>6984</v>
      </c>
      <c r="EID4" t="s">
        <v>6984</v>
      </c>
      <c r="EIE4" t="s">
        <v>6984</v>
      </c>
      <c r="EIF4" t="s">
        <v>6984</v>
      </c>
      <c r="EIG4" t="s">
        <v>6984</v>
      </c>
      <c r="EIH4" t="s">
        <v>6984</v>
      </c>
      <c r="EII4" t="s">
        <v>6984</v>
      </c>
      <c r="EIJ4" t="s">
        <v>6984</v>
      </c>
      <c r="EIK4" t="s">
        <v>6984</v>
      </c>
      <c r="EIL4" t="s">
        <v>6984</v>
      </c>
      <c r="EIM4" t="s">
        <v>6984</v>
      </c>
      <c r="EIN4" t="s">
        <v>6984</v>
      </c>
      <c r="EIO4" t="s">
        <v>6984</v>
      </c>
      <c r="EIP4" t="s">
        <v>6984</v>
      </c>
      <c r="EIQ4" t="s">
        <v>6984</v>
      </c>
      <c r="EIR4" t="s">
        <v>6984</v>
      </c>
      <c r="EIS4" t="s">
        <v>6984</v>
      </c>
      <c r="EIT4" t="s">
        <v>6984</v>
      </c>
      <c r="EIU4" t="s">
        <v>6984</v>
      </c>
      <c r="EIV4" t="s">
        <v>6984</v>
      </c>
      <c r="EIW4" t="s">
        <v>6984</v>
      </c>
      <c r="EIX4" t="s">
        <v>6984</v>
      </c>
      <c r="EIY4" t="s">
        <v>6984</v>
      </c>
      <c r="EIZ4" t="s">
        <v>6984</v>
      </c>
      <c r="EJA4" t="s">
        <v>6984</v>
      </c>
      <c r="EJB4" t="s">
        <v>6984</v>
      </c>
      <c r="EJC4" t="s">
        <v>6984</v>
      </c>
      <c r="EJD4" t="s">
        <v>6984</v>
      </c>
      <c r="EJE4" t="s">
        <v>6984</v>
      </c>
      <c r="EJF4" t="s">
        <v>6984</v>
      </c>
      <c r="EJG4" t="s">
        <v>6984</v>
      </c>
      <c r="EJH4" t="s">
        <v>6984</v>
      </c>
      <c r="EJI4" t="s">
        <v>6984</v>
      </c>
      <c r="EJJ4" t="s">
        <v>6984</v>
      </c>
      <c r="EJK4" t="s">
        <v>6984</v>
      </c>
      <c r="EJL4" t="s">
        <v>6984</v>
      </c>
      <c r="EJM4" t="s">
        <v>6984</v>
      </c>
      <c r="EJN4" t="s">
        <v>6984</v>
      </c>
      <c r="EJO4" t="s">
        <v>6984</v>
      </c>
      <c r="EJP4" t="s">
        <v>6984</v>
      </c>
      <c r="EJQ4" t="s">
        <v>6984</v>
      </c>
      <c r="EJR4" t="s">
        <v>6984</v>
      </c>
      <c r="EJS4" t="s">
        <v>6984</v>
      </c>
      <c r="EJT4" t="s">
        <v>6984</v>
      </c>
      <c r="EJU4" t="s">
        <v>6984</v>
      </c>
      <c r="EJV4" t="s">
        <v>6984</v>
      </c>
      <c r="EJW4" t="s">
        <v>6984</v>
      </c>
      <c r="EJX4" t="s">
        <v>6984</v>
      </c>
      <c r="EJY4" t="s">
        <v>6984</v>
      </c>
      <c r="EJZ4" t="s">
        <v>6984</v>
      </c>
      <c r="EKA4" t="s">
        <v>6984</v>
      </c>
      <c r="EKB4" t="s">
        <v>6984</v>
      </c>
      <c r="EKC4" t="s">
        <v>6984</v>
      </c>
      <c r="EKD4" t="s">
        <v>6984</v>
      </c>
      <c r="EKE4" t="s">
        <v>6984</v>
      </c>
      <c r="EKF4" t="s">
        <v>6984</v>
      </c>
      <c r="EKG4" t="s">
        <v>6984</v>
      </c>
      <c r="EKH4" t="s">
        <v>6984</v>
      </c>
      <c r="EKI4" t="s">
        <v>6984</v>
      </c>
      <c r="EKJ4" t="s">
        <v>6984</v>
      </c>
      <c r="EKK4" t="s">
        <v>6984</v>
      </c>
      <c r="EKL4" t="s">
        <v>6984</v>
      </c>
      <c r="EKM4" t="s">
        <v>6984</v>
      </c>
      <c r="EKN4" t="s">
        <v>6984</v>
      </c>
      <c r="EKO4" t="s">
        <v>6984</v>
      </c>
      <c r="EKP4" t="s">
        <v>6984</v>
      </c>
      <c r="EKQ4" t="s">
        <v>6984</v>
      </c>
      <c r="EKR4" t="s">
        <v>6984</v>
      </c>
      <c r="EKS4" t="s">
        <v>6984</v>
      </c>
      <c r="EKT4" t="s">
        <v>6984</v>
      </c>
      <c r="EKU4" t="s">
        <v>6984</v>
      </c>
      <c r="EKV4" t="s">
        <v>6984</v>
      </c>
      <c r="EKW4" t="s">
        <v>6984</v>
      </c>
      <c r="EKX4" t="s">
        <v>6984</v>
      </c>
      <c r="EKY4" t="s">
        <v>6984</v>
      </c>
      <c r="EKZ4" t="s">
        <v>6984</v>
      </c>
      <c r="ELA4" t="s">
        <v>6984</v>
      </c>
      <c r="ELB4" t="s">
        <v>6984</v>
      </c>
      <c r="ELC4" t="s">
        <v>6984</v>
      </c>
      <c r="ELD4" t="s">
        <v>6984</v>
      </c>
      <c r="ELE4" t="s">
        <v>6984</v>
      </c>
      <c r="ELF4" t="s">
        <v>6984</v>
      </c>
      <c r="ELG4" t="s">
        <v>6984</v>
      </c>
      <c r="ELH4" t="s">
        <v>6984</v>
      </c>
      <c r="ELI4" t="s">
        <v>6984</v>
      </c>
      <c r="ELJ4" t="s">
        <v>6984</v>
      </c>
      <c r="ELK4" t="s">
        <v>6984</v>
      </c>
      <c r="ELL4" t="s">
        <v>6984</v>
      </c>
      <c r="ELM4" t="s">
        <v>6984</v>
      </c>
      <c r="ELN4" t="s">
        <v>6984</v>
      </c>
      <c r="ELO4" t="s">
        <v>6984</v>
      </c>
      <c r="ELP4" t="s">
        <v>6984</v>
      </c>
      <c r="ELQ4" t="s">
        <v>6984</v>
      </c>
      <c r="ELR4" t="s">
        <v>6984</v>
      </c>
      <c r="ELS4" t="s">
        <v>6984</v>
      </c>
      <c r="ELT4" t="s">
        <v>6984</v>
      </c>
      <c r="ELU4" t="s">
        <v>6984</v>
      </c>
      <c r="ELV4" t="s">
        <v>6984</v>
      </c>
      <c r="ELW4" t="s">
        <v>6984</v>
      </c>
      <c r="ELX4" t="s">
        <v>6984</v>
      </c>
      <c r="ELY4" t="s">
        <v>6984</v>
      </c>
      <c r="ELZ4" t="s">
        <v>6984</v>
      </c>
      <c r="EMA4" t="s">
        <v>6984</v>
      </c>
      <c r="EMB4" t="s">
        <v>6984</v>
      </c>
      <c r="EMC4" t="s">
        <v>6984</v>
      </c>
      <c r="EMD4" t="s">
        <v>6984</v>
      </c>
      <c r="EME4" t="s">
        <v>6984</v>
      </c>
      <c r="EMF4" t="s">
        <v>6984</v>
      </c>
      <c r="EMG4" t="s">
        <v>6984</v>
      </c>
      <c r="EMH4" t="s">
        <v>6984</v>
      </c>
      <c r="EMI4" t="s">
        <v>6984</v>
      </c>
      <c r="EMJ4" t="s">
        <v>6984</v>
      </c>
      <c r="EMK4" t="s">
        <v>6984</v>
      </c>
      <c r="EML4" t="s">
        <v>6984</v>
      </c>
      <c r="EMM4" t="s">
        <v>6984</v>
      </c>
      <c r="EMN4" t="s">
        <v>6984</v>
      </c>
      <c r="EMO4" t="s">
        <v>6984</v>
      </c>
      <c r="EMP4" t="s">
        <v>6984</v>
      </c>
      <c r="EMQ4" t="s">
        <v>6984</v>
      </c>
      <c r="EMR4" t="s">
        <v>6984</v>
      </c>
      <c r="EMS4" t="s">
        <v>6984</v>
      </c>
      <c r="EMT4" t="s">
        <v>6984</v>
      </c>
      <c r="EMU4" t="s">
        <v>6984</v>
      </c>
      <c r="EMV4" t="s">
        <v>6984</v>
      </c>
      <c r="EMW4" t="s">
        <v>6984</v>
      </c>
      <c r="EMX4" t="s">
        <v>6984</v>
      </c>
      <c r="EMY4" t="s">
        <v>6984</v>
      </c>
      <c r="EMZ4" t="s">
        <v>6984</v>
      </c>
      <c r="ENA4" t="s">
        <v>6984</v>
      </c>
      <c r="ENB4" t="s">
        <v>6984</v>
      </c>
      <c r="ENC4" t="s">
        <v>6984</v>
      </c>
      <c r="END4" t="s">
        <v>6984</v>
      </c>
      <c r="ENE4" t="s">
        <v>6984</v>
      </c>
      <c r="ENF4" t="s">
        <v>6984</v>
      </c>
      <c r="ENG4" t="s">
        <v>6984</v>
      </c>
      <c r="ENH4" t="s">
        <v>6984</v>
      </c>
      <c r="ENI4" t="s">
        <v>6984</v>
      </c>
      <c r="ENJ4" t="s">
        <v>6984</v>
      </c>
      <c r="ENK4" t="s">
        <v>6984</v>
      </c>
      <c r="ENL4" t="s">
        <v>6984</v>
      </c>
      <c r="ENM4" t="s">
        <v>6984</v>
      </c>
      <c r="ENN4" t="s">
        <v>6984</v>
      </c>
      <c r="ENO4" t="s">
        <v>6984</v>
      </c>
      <c r="ENP4" t="s">
        <v>6984</v>
      </c>
      <c r="ENQ4" t="s">
        <v>6984</v>
      </c>
      <c r="ENR4" t="s">
        <v>6984</v>
      </c>
      <c r="ENS4" t="s">
        <v>6984</v>
      </c>
      <c r="ENT4" t="s">
        <v>6984</v>
      </c>
      <c r="ENU4" t="s">
        <v>6984</v>
      </c>
      <c r="ENV4" t="s">
        <v>6984</v>
      </c>
      <c r="ENW4" t="s">
        <v>6984</v>
      </c>
      <c r="ENX4" t="s">
        <v>6984</v>
      </c>
      <c r="ENY4" t="s">
        <v>6984</v>
      </c>
      <c r="ENZ4" t="s">
        <v>6984</v>
      </c>
      <c r="EOA4" t="s">
        <v>6984</v>
      </c>
      <c r="EOB4" t="s">
        <v>6984</v>
      </c>
      <c r="EOC4" t="s">
        <v>6984</v>
      </c>
      <c r="EOD4" t="s">
        <v>6984</v>
      </c>
      <c r="EOE4" t="s">
        <v>6984</v>
      </c>
      <c r="EOF4" t="s">
        <v>6984</v>
      </c>
      <c r="EOG4" t="s">
        <v>6984</v>
      </c>
      <c r="EOH4" t="s">
        <v>6984</v>
      </c>
      <c r="EOI4" t="s">
        <v>6984</v>
      </c>
      <c r="EOJ4" t="s">
        <v>6984</v>
      </c>
      <c r="EOK4" t="s">
        <v>6984</v>
      </c>
      <c r="EOL4" t="s">
        <v>6984</v>
      </c>
      <c r="EOM4" t="s">
        <v>6984</v>
      </c>
      <c r="EON4" t="s">
        <v>6984</v>
      </c>
      <c r="EOO4" t="s">
        <v>6984</v>
      </c>
      <c r="EOP4" t="s">
        <v>6984</v>
      </c>
      <c r="EOQ4" t="s">
        <v>6984</v>
      </c>
      <c r="EOR4" t="s">
        <v>6984</v>
      </c>
      <c r="EOS4" t="s">
        <v>6984</v>
      </c>
      <c r="EOT4" t="s">
        <v>6984</v>
      </c>
      <c r="EOU4" t="s">
        <v>6984</v>
      </c>
      <c r="EOV4" t="s">
        <v>6984</v>
      </c>
      <c r="EOW4" t="s">
        <v>6984</v>
      </c>
      <c r="EOX4" t="s">
        <v>6984</v>
      </c>
      <c r="EOY4" t="s">
        <v>6984</v>
      </c>
      <c r="EOZ4" t="s">
        <v>6984</v>
      </c>
      <c r="EPA4" t="s">
        <v>6984</v>
      </c>
      <c r="EPB4" t="s">
        <v>6984</v>
      </c>
      <c r="EPC4" t="s">
        <v>6984</v>
      </c>
      <c r="EPD4" t="s">
        <v>6984</v>
      </c>
      <c r="EPE4" t="s">
        <v>6984</v>
      </c>
      <c r="EPF4" t="s">
        <v>6984</v>
      </c>
      <c r="EPG4" t="s">
        <v>6984</v>
      </c>
      <c r="EPH4" t="s">
        <v>6984</v>
      </c>
      <c r="EPI4" t="s">
        <v>6984</v>
      </c>
      <c r="EPJ4" t="s">
        <v>6984</v>
      </c>
      <c r="EPK4" t="s">
        <v>6984</v>
      </c>
      <c r="EPL4" t="s">
        <v>6984</v>
      </c>
      <c r="EPM4" t="s">
        <v>6984</v>
      </c>
      <c r="EPN4" t="s">
        <v>6984</v>
      </c>
      <c r="EPO4" t="s">
        <v>6984</v>
      </c>
      <c r="EPP4" t="s">
        <v>6984</v>
      </c>
      <c r="EPQ4" t="s">
        <v>6984</v>
      </c>
      <c r="EPR4" t="s">
        <v>6984</v>
      </c>
      <c r="EPS4" t="s">
        <v>6984</v>
      </c>
      <c r="EPT4" t="s">
        <v>6984</v>
      </c>
      <c r="EPU4" t="s">
        <v>6984</v>
      </c>
      <c r="EPV4" t="s">
        <v>6984</v>
      </c>
      <c r="EPW4" t="s">
        <v>6984</v>
      </c>
      <c r="EPX4" t="s">
        <v>6984</v>
      </c>
      <c r="EPY4" t="s">
        <v>6984</v>
      </c>
      <c r="EPZ4" t="s">
        <v>6984</v>
      </c>
      <c r="EQA4" t="s">
        <v>6984</v>
      </c>
      <c r="EQB4" t="s">
        <v>6984</v>
      </c>
      <c r="EQC4" t="s">
        <v>6984</v>
      </c>
      <c r="EQD4" t="s">
        <v>6984</v>
      </c>
      <c r="EQE4" t="s">
        <v>6984</v>
      </c>
      <c r="EQF4" t="s">
        <v>6984</v>
      </c>
      <c r="EQG4" t="s">
        <v>6984</v>
      </c>
      <c r="EQH4" t="s">
        <v>6984</v>
      </c>
      <c r="EQI4" t="s">
        <v>6984</v>
      </c>
      <c r="EQJ4" t="s">
        <v>6984</v>
      </c>
      <c r="EQK4" t="s">
        <v>6984</v>
      </c>
      <c r="EQL4" t="s">
        <v>6984</v>
      </c>
      <c r="EQM4" t="s">
        <v>6984</v>
      </c>
      <c r="EQN4" t="s">
        <v>6984</v>
      </c>
      <c r="EQO4" t="s">
        <v>6984</v>
      </c>
      <c r="EQP4" t="s">
        <v>6984</v>
      </c>
      <c r="EQQ4" t="s">
        <v>6984</v>
      </c>
      <c r="EQR4" t="s">
        <v>6984</v>
      </c>
      <c r="EQS4" t="s">
        <v>6984</v>
      </c>
      <c r="EQT4" t="s">
        <v>6984</v>
      </c>
      <c r="EQU4" t="s">
        <v>6984</v>
      </c>
      <c r="EQV4" t="s">
        <v>6984</v>
      </c>
      <c r="EQW4" t="s">
        <v>6984</v>
      </c>
      <c r="EQX4" t="s">
        <v>6984</v>
      </c>
      <c r="EQY4" t="s">
        <v>6984</v>
      </c>
      <c r="EQZ4" t="s">
        <v>6984</v>
      </c>
      <c r="ERA4" t="s">
        <v>6984</v>
      </c>
      <c r="ERB4" t="s">
        <v>6984</v>
      </c>
      <c r="ERC4" t="s">
        <v>6984</v>
      </c>
      <c r="ERD4" t="s">
        <v>6984</v>
      </c>
      <c r="ERE4" t="s">
        <v>6984</v>
      </c>
      <c r="ERF4" t="s">
        <v>6984</v>
      </c>
      <c r="ERG4" t="s">
        <v>6984</v>
      </c>
      <c r="ERH4" t="s">
        <v>6984</v>
      </c>
      <c r="ERI4" t="s">
        <v>6984</v>
      </c>
      <c r="ERJ4" t="s">
        <v>6984</v>
      </c>
      <c r="ERK4" t="s">
        <v>6984</v>
      </c>
      <c r="ERL4" t="s">
        <v>6984</v>
      </c>
      <c r="ERM4" t="s">
        <v>6984</v>
      </c>
      <c r="ERN4" t="s">
        <v>6984</v>
      </c>
      <c r="ERO4" t="s">
        <v>6984</v>
      </c>
      <c r="ERP4" t="s">
        <v>6984</v>
      </c>
      <c r="ERQ4" t="s">
        <v>6984</v>
      </c>
      <c r="ERR4" t="s">
        <v>6984</v>
      </c>
      <c r="ERS4" t="s">
        <v>6984</v>
      </c>
      <c r="ERT4" t="s">
        <v>6984</v>
      </c>
      <c r="ERU4" t="s">
        <v>6984</v>
      </c>
      <c r="ERV4" t="s">
        <v>6984</v>
      </c>
      <c r="ERW4" t="s">
        <v>6984</v>
      </c>
      <c r="ERX4" t="s">
        <v>6984</v>
      </c>
      <c r="ERY4" t="s">
        <v>6984</v>
      </c>
      <c r="ERZ4" t="s">
        <v>6984</v>
      </c>
      <c r="ESA4" t="s">
        <v>6984</v>
      </c>
      <c r="ESB4" t="s">
        <v>6984</v>
      </c>
      <c r="ESC4" t="s">
        <v>6984</v>
      </c>
      <c r="ESD4" t="s">
        <v>6984</v>
      </c>
      <c r="ESE4" t="s">
        <v>6984</v>
      </c>
      <c r="ESF4" t="s">
        <v>6984</v>
      </c>
      <c r="ESG4" t="s">
        <v>6984</v>
      </c>
      <c r="ESH4" t="s">
        <v>6984</v>
      </c>
      <c r="ESI4" t="s">
        <v>6984</v>
      </c>
      <c r="ESJ4" t="s">
        <v>6984</v>
      </c>
      <c r="ESK4" t="s">
        <v>6984</v>
      </c>
      <c r="ESL4" t="s">
        <v>6984</v>
      </c>
      <c r="ESM4" t="s">
        <v>6984</v>
      </c>
      <c r="ESN4" t="s">
        <v>6984</v>
      </c>
      <c r="ESO4" t="s">
        <v>6984</v>
      </c>
      <c r="ESP4" t="s">
        <v>6984</v>
      </c>
      <c r="ESQ4" t="s">
        <v>6984</v>
      </c>
      <c r="ESR4" t="s">
        <v>6984</v>
      </c>
      <c r="ESS4" t="s">
        <v>6984</v>
      </c>
      <c r="EST4" t="s">
        <v>6984</v>
      </c>
      <c r="ESU4" t="s">
        <v>6984</v>
      </c>
      <c r="ESV4" t="s">
        <v>6984</v>
      </c>
      <c r="ESW4" t="s">
        <v>6984</v>
      </c>
      <c r="ESX4" t="s">
        <v>6984</v>
      </c>
      <c r="ESY4" t="s">
        <v>6984</v>
      </c>
      <c r="ESZ4" t="s">
        <v>6984</v>
      </c>
      <c r="ETA4" t="s">
        <v>6984</v>
      </c>
      <c r="ETB4" t="s">
        <v>6984</v>
      </c>
      <c r="ETC4" t="s">
        <v>6984</v>
      </c>
      <c r="ETD4" t="s">
        <v>6984</v>
      </c>
      <c r="ETE4" t="s">
        <v>6984</v>
      </c>
      <c r="ETF4" t="s">
        <v>6984</v>
      </c>
      <c r="ETG4" t="s">
        <v>6984</v>
      </c>
      <c r="ETH4" t="s">
        <v>6984</v>
      </c>
      <c r="ETI4" t="s">
        <v>6984</v>
      </c>
      <c r="ETJ4" t="s">
        <v>6984</v>
      </c>
      <c r="ETK4" t="s">
        <v>6984</v>
      </c>
      <c r="ETL4" t="s">
        <v>6984</v>
      </c>
      <c r="ETM4" t="s">
        <v>6984</v>
      </c>
      <c r="ETN4" t="s">
        <v>6984</v>
      </c>
      <c r="ETO4" t="s">
        <v>6984</v>
      </c>
      <c r="ETP4" t="s">
        <v>6984</v>
      </c>
      <c r="ETQ4" t="s">
        <v>6984</v>
      </c>
      <c r="ETR4" t="s">
        <v>6984</v>
      </c>
      <c r="ETS4" t="s">
        <v>6984</v>
      </c>
      <c r="ETT4" t="s">
        <v>6984</v>
      </c>
      <c r="ETU4" t="s">
        <v>6984</v>
      </c>
      <c r="ETV4" t="s">
        <v>6984</v>
      </c>
      <c r="ETW4" t="s">
        <v>6984</v>
      </c>
      <c r="ETX4" t="s">
        <v>6984</v>
      </c>
      <c r="ETY4" t="s">
        <v>6984</v>
      </c>
      <c r="ETZ4" t="s">
        <v>6984</v>
      </c>
      <c r="EUA4" t="s">
        <v>6984</v>
      </c>
      <c r="EUB4" t="s">
        <v>6984</v>
      </c>
      <c r="EUC4" t="s">
        <v>6984</v>
      </c>
      <c r="EUD4" t="s">
        <v>6984</v>
      </c>
      <c r="EUE4" t="s">
        <v>6984</v>
      </c>
      <c r="EUF4" t="s">
        <v>6984</v>
      </c>
      <c r="EUG4" t="s">
        <v>6984</v>
      </c>
      <c r="EUH4" t="s">
        <v>6984</v>
      </c>
      <c r="EUI4" t="s">
        <v>6984</v>
      </c>
      <c r="EUJ4" t="s">
        <v>6984</v>
      </c>
      <c r="EUK4" t="s">
        <v>6984</v>
      </c>
      <c r="EUL4" t="s">
        <v>6984</v>
      </c>
      <c r="EUM4" t="s">
        <v>6984</v>
      </c>
      <c r="EUN4" t="s">
        <v>6984</v>
      </c>
      <c r="EUO4" t="s">
        <v>6984</v>
      </c>
      <c r="EUP4" t="s">
        <v>6984</v>
      </c>
      <c r="EUQ4" t="s">
        <v>6984</v>
      </c>
      <c r="EUR4" t="s">
        <v>6984</v>
      </c>
      <c r="EUS4" t="s">
        <v>6984</v>
      </c>
      <c r="EUT4" t="s">
        <v>6984</v>
      </c>
      <c r="EUU4" t="s">
        <v>6984</v>
      </c>
      <c r="EUV4" t="s">
        <v>6984</v>
      </c>
      <c r="EUW4" t="s">
        <v>6984</v>
      </c>
      <c r="EUX4" t="s">
        <v>6984</v>
      </c>
      <c r="EUY4" t="s">
        <v>6984</v>
      </c>
      <c r="EUZ4" t="s">
        <v>6984</v>
      </c>
      <c r="EVA4" t="s">
        <v>6984</v>
      </c>
      <c r="EVB4" t="s">
        <v>6984</v>
      </c>
      <c r="EVC4" t="s">
        <v>6984</v>
      </c>
      <c r="EVD4" t="s">
        <v>6984</v>
      </c>
      <c r="EVE4" t="s">
        <v>6984</v>
      </c>
      <c r="EVF4" t="s">
        <v>6984</v>
      </c>
      <c r="EVG4" t="s">
        <v>6984</v>
      </c>
      <c r="EVH4" t="s">
        <v>6984</v>
      </c>
      <c r="EVI4" t="s">
        <v>6984</v>
      </c>
      <c r="EVJ4" t="s">
        <v>6984</v>
      </c>
      <c r="EVK4" t="s">
        <v>6984</v>
      </c>
      <c r="EVL4" t="s">
        <v>6984</v>
      </c>
      <c r="EVM4" t="s">
        <v>6984</v>
      </c>
      <c r="EVN4" t="s">
        <v>6984</v>
      </c>
      <c r="EVO4" t="s">
        <v>6984</v>
      </c>
      <c r="EVP4" t="s">
        <v>6984</v>
      </c>
      <c r="EVQ4" t="s">
        <v>6984</v>
      </c>
      <c r="EVR4" t="s">
        <v>6984</v>
      </c>
      <c r="EVS4" t="s">
        <v>6984</v>
      </c>
      <c r="EVT4" t="s">
        <v>6984</v>
      </c>
      <c r="EVU4" t="s">
        <v>6984</v>
      </c>
      <c r="EVV4" t="s">
        <v>6984</v>
      </c>
      <c r="EVW4" t="s">
        <v>6984</v>
      </c>
      <c r="EVX4" t="s">
        <v>6984</v>
      </c>
      <c r="EVY4" t="s">
        <v>6984</v>
      </c>
      <c r="EVZ4" t="s">
        <v>6984</v>
      </c>
      <c r="EWA4" t="s">
        <v>6984</v>
      </c>
      <c r="EWB4" t="s">
        <v>6984</v>
      </c>
      <c r="EWC4" t="s">
        <v>6984</v>
      </c>
      <c r="EWD4" t="s">
        <v>6984</v>
      </c>
      <c r="EWE4" t="s">
        <v>6984</v>
      </c>
      <c r="EWF4" t="s">
        <v>6984</v>
      </c>
      <c r="EWG4" t="s">
        <v>6984</v>
      </c>
      <c r="EWH4" t="s">
        <v>6984</v>
      </c>
      <c r="EWI4" t="s">
        <v>6984</v>
      </c>
      <c r="EWJ4" t="s">
        <v>6984</v>
      </c>
      <c r="EWK4" t="s">
        <v>6984</v>
      </c>
      <c r="EWL4" t="s">
        <v>6984</v>
      </c>
      <c r="EWM4" t="s">
        <v>6984</v>
      </c>
      <c r="EWN4" t="s">
        <v>6984</v>
      </c>
      <c r="EWO4" t="s">
        <v>6984</v>
      </c>
      <c r="EWP4" t="s">
        <v>6984</v>
      </c>
      <c r="EWQ4" t="s">
        <v>6984</v>
      </c>
      <c r="EWR4" t="s">
        <v>6984</v>
      </c>
      <c r="EWS4" t="s">
        <v>6984</v>
      </c>
      <c r="EWT4" t="s">
        <v>6984</v>
      </c>
      <c r="EWU4" t="s">
        <v>6984</v>
      </c>
      <c r="EWV4" t="s">
        <v>6984</v>
      </c>
      <c r="EWW4" t="s">
        <v>6984</v>
      </c>
      <c r="EWX4" t="s">
        <v>6984</v>
      </c>
      <c r="EWY4" t="s">
        <v>6984</v>
      </c>
      <c r="EWZ4" t="s">
        <v>6984</v>
      </c>
      <c r="EXA4" t="s">
        <v>6984</v>
      </c>
      <c r="EXB4" t="s">
        <v>6984</v>
      </c>
      <c r="EXC4" t="s">
        <v>6984</v>
      </c>
      <c r="EXD4" t="s">
        <v>6984</v>
      </c>
      <c r="EXE4" t="s">
        <v>6984</v>
      </c>
      <c r="EXF4" t="s">
        <v>6984</v>
      </c>
      <c r="EXG4" t="s">
        <v>6984</v>
      </c>
      <c r="EXH4" t="s">
        <v>6984</v>
      </c>
      <c r="EXI4" t="s">
        <v>6984</v>
      </c>
      <c r="EXJ4" t="s">
        <v>6984</v>
      </c>
      <c r="EXK4" t="s">
        <v>6984</v>
      </c>
      <c r="EXL4" t="s">
        <v>6984</v>
      </c>
      <c r="EXM4" t="s">
        <v>6984</v>
      </c>
      <c r="EXN4" t="s">
        <v>6984</v>
      </c>
      <c r="EXO4" t="s">
        <v>6984</v>
      </c>
      <c r="EXP4" t="s">
        <v>6984</v>
      </c>
      <c r="EXQ4" t="s">
        <v>6984</v>
      </c>
      <c r="EXR4" t="s">
        <v>6984</v>
      </c>
      <c r="EXS4" t="s">
        <v>6984</v>
      </c>
      <c r="EXT4" t="s">
        <v>6984</v>
      </c>
      <c r="EXU4" t="s">
        <v>6984</v>
      </c>
      <c r="EXV4" t="s">
        <v>6984</v>
      </c>
      <c r="EXW4" t="s">
        <v>6984</v>
      </c>
      <c r="EXX4" t="s">
        <v>6984</v>
      </c>
      <c r="EXY4" t="s">
        <v>6984</v>
      </c>
      <c r="EXZ4" t="s">
        <v>6984</v>
      </c>
      <c r="EYA4" t="s">
        <v>6984</v>
      </c>
      <c r="EYB4" t="s">
        <v>6984</v>
      </c>
      <c r="EYC4" t="s">
        <v>6984</v>
      </c>
      <c r="EYD4" t="s">
        <v>6984</v>
      </c>
      <c r="EYE4" t="s">
        <v>6984</v>
      </c>
      <c r="EYF4" t="s">
        <v>6984</v>
      </c>
      <c r="EYG4" t="s">
        <v>6984</v>
      </c>
      <c r="EYH4" t="s">
        <v>6984</v>
      </c>
      <c r="EYI4" t="s">
        <v>6984</v>
      </c>
      <c r="EYJ4" t="s">
        <v>6984</v>
      </c>
      <c r="EYK4" t="s">
        <v>6984</v>
      </c>
      <c r="EYL4" t="s">
        <v>6984</v>
      </c>
      <c r="EYM4" t="s">
        <v>6984</v>
      </c>
      <c r="EYN4" t="s">
        <v>6984</v>
      </c>
      <c r="EYO4" t="s">
        <v>6984</v>
      </c>
      <c r="EYP4" t="s">
        <v>6984</v>
      </c>
      <c r="EYQ4" t="s">
        <v>6984</v>
      </c>
      <c r="EYR4" t="s">
        <v>6984</v>
      </c>
      <c r="EYS4" t="s">
        <v>6984</v>
      </c>
      <c r="EYT4" t="s">
        <v>6984</v>
      </c>
      <c r="EYU4" t="s">
        <v>6984</v>
      </c>
      <c r="EYV4" t="s">
        <v>6984</v>
      </c>
      <c r="EYW4" t="s">
        <v>6984</v>
      </c>
      <c r="EYX4" t="s">
        <v>6984</v>
      </c>
      <c r="EYY4" t="s">
        <v>6984</v>
      </c>
      <c r="EYZ4" t="s">
        <v>6984</v>
      </c>
      <c r="EZA4" t="s">
        <v>6984</v>
      </c>
      <c r="EZB4" t="s">
        <v>6984</v>
      </c>
      <c r="EZC4" t="s">
        <v>6984</v>
      </c>
      <c r="EZD4" t="s">
        <v>6984</v>
      </c>
      <c r="EZE4" t="s">
        <v>6984</v>
      </c>
      <c r="EZF4" t="s">
        <v>6984</v>
      </c>
      <c r="EZG4" t="s">
        <v>6984</v>
      </c>
      <c r="EZH4" t="s">
        <v>6984</v>
      </c>
      <c r="EZI4" t="s">
        <v>6984</v>
      </c>
      <c r="EZJ4" t="s">
        <v>6984</v>
      </c>
      <c r="EZK4" t="s">
        <v>6984</v>
      </c>
      <c r="EZL4" t="s">
        <v>6984</v>
      </c>
      <c r="EZM4" t="s">
        <v>6984</v>
      </c>
      <c r="EZN4" t="s">
        <v>6984</v>
      </c>
      <c r="EZO4" t="s">
        <v>6984</v>
      </c>
      <c r="EZP4" t="s">
        <v>6984</v>
      </c>
      <c r="EZQ4" t="s">
        <v>6984</v>
      </c>
      <c r="EZR4" t="s">
        <v>6984</v>
      </c>
      <c r="EZS4" t="s">
        <v>6984</v>
      </c>
      <c r="EZT4" t="s">
        <v>6984</v>
      </c>
      <c r="EZU4" t="s">
        <v>6984</v>
      </c>
      <c r="EZV4" t="s">
        <v>6984</v>
      </c>
      <c r="EZW4" t="s">
        <v>6984</v>
      </c>
      <c r="EZX4" t="s">
        <v>6984</v>
      </c>
      <c r="EZY4" t="s">
        <v>6984</v>
      </c>
      <c r="EZZ4" t="s">
        <v>6984</v>
      </c>
      <c r="FAA4" t="s">
        <v>6984</v>
      </c>
      <c r="FAB4" t="s">
        <v>6984</v>
      </c>
      <c r="FAC4" t="s">
        <v>6984</v>
      </c>
      <c r="FAD4" t="s">
        <v>6984</v>
      </c>
      <c r="FAE4" t="s">
        <v>6984</v>
      </c>
      <c r="FAF4" t="s">
        <v>6984</v>
      </c>
      <c r="FAG4" t="s">
        <v>6984</v>
      </c>
      <c r="FAH4" t="s">
        <v>6984</v>
      </c>
      <c r="FAI4" t="s">
        <v>6984</v>
      </c>
      <c r="FAJ4" t="s">
        <v>6984</v>
      </c>
      <c r="FAK4" t="s">
        <v>6984</v>
      </c>
      <c r="FAL4" t="s">
        <v>6984</v>
      </c>
      <c r="FAM4" t="s">
        <v>6984</v>
      </c>
      <c r="FAN4" t="s">
        <v>6984</v>
      </c>
      <c r="FAO4" t="s">
        <v>6984</v>
      </c>
      <c r="FAP4" t="s">
        <v>6984</v>
      </c>
      <c r="FAQ4" t="s">
        <v>6984</v>
      </c>
      <c r="FAR4" t="s">
        <v>6984</v>
      </c>
      <c r="FAS4" t="s">
        <v>6984</v>
      </c>
      <c r="FAT4" t="s">
        <v>6984</v>
      </c>
      <c r="FAU4" t="s">
        <v>6984</v>
      </c>
      <c r="FAV4" t="s">
        <v>6984</v>
      </c>
      <c r="FAW4" t="s">
        <v>6984</v>
      </c>
      <c r="FAX4" t="s">
        <v>6984</v>
      </c>
      <c r="FAY4" t="s">
        <v>6984</v>
      </c>
      <c r="FAZ4" t="s">
        <v>6984</v>
      </c>
      <c r="FBA4" t="s">
        <v>6984</v>
      </c>
      <c r="FBB4" t="s">
        <v>6984</v>
      </c>
      <c r="FBC4" t="s">
        <v>6984</v>
      </c>
      <c r="FBD4" t="s">
        <v>6984</v>
      </c>
      <c r="FBE4" t="s">
        <v>6984</v>
      </c>
      <c r="FBF4" t="s">
        <v>6984</v>
      </c>
      <c r="FBG4" t="s">
        <v>6984</v>
      </c>
      <c r="FBH4" t="s">
        <v>6984</v>
      </c>
      <c r="FBI4" t="s">
        <v>6984</v>
      </c>
      <c r="FBJ4" t="s">
        <v>6984</v>
      </c>
      <c r="FBK4" t="s">
        <v>6984</v>
      </c>
      <c r="FBL4" t="s">
        <v>6984</v>
      </c>
      <c r="FBM4" t="s">
        <v>6984</v>
      </c>
      <c r="FBN4" t="s">
        <v>6984</v>
      </c>
      <c r="FBO4" t="s">
        <v>6984</v>
      </c>
      <c r="FBP4" t="s">
        <v>6984</v>
      </c>
      <c r="FBQ4" t="s">
        <v>6984</v>
      </c>
      <c r="FBR4" t="s">
        <v>6984</v>
      </c>
      <c r="FBS4" t="s">
        <v>6984</v>
      </c>
      <c r="FBT4" t="s">
        <v>6984</v>
      </c>
      <c r="FBU4" t="s">
        <v>6984</v>
      </c>
      <c r="FBV4" t="s">
        <v>6984</v>
      </c>
      <c r="FBW4" t="s">
        <v>6984</v>
      </c>
      <c r="FBX4" t="s">
        <v>6984</v>
      </c>
      <c r="FBY4" t="s">
        <v>6984</v>
      </c>
      <c r="FBZ4" t="s">
        <v>6984</v>
      </c>
      <c r="FCA4" t="s">
        <v>6984</v>
      </c>
      <c r="FCB4" t="s">
        <v>6984</v>
      </c>
      <c r="FCC4" t="s">
        <v>6984</v>
      </c>
      <c r="FCD4" t="s">
        <v>6984</v>
      </c>
      <c r="FCE4" t="s">
        <v>6984</v>
      </c>
      <c r="FCF4" t="s">
        <v>6984</v>
      </c>
      <c r="FCG4" t="s">
        <v>6984</v>
      </c>
      <c r="FCH4" t="s">
        <v>6984</v>
      </c>
      <c r="FCI4" t="s">
        <v>6984</v>
      </c>
      <c r="FCJ4" t="s">
        <v>6984</v>
      </c>
      <c r="FCK4" t="s">
        <v>6984</v>
      </c>
      <c r="FCL4" t="s">
        <v>6984</v>
      </c>
      <c r="FCM4" t="s">
        <v>6984</v>
      </c>
      <c r="FCN4" t="s">
        <v>6984</v>
      </c>
      <c r="FCO4" t="s">
        <v>6984</v>
      </c>
      <c r="FCP4" t="s">
        <v>6984</v>
      </c>
      <c r="FCQ4" t="s">
        <v>6984</v>
      </c>
      <c r="FCR4" t="s">
        <v>6984</v>
      </c>
      <c r="FCS4" t="s">
        <v>6984</v>
      </c>
      <c r="FCT4" t="s">
        <v>6984</v>
      </c>
      <c r="FCU4" t="s">
        <v>6984</v>
      </c>
      <c r="FCV4" t="s">
        <v>6984</v>
      </c>
      <c r="FCW4" t="s">
        <v>6984</v>
      </c>
      <c r="FCX4" t="s">
        <v>6984</v>
      </c>
      <c r="FCY4" t="s">
        <v>6984</v>
      </c>
      <c r="FCZ4" t="s">
        <v>6984</v>
      </c>
      <c r="FDA4" t="s">
        <v>6984</v>
      </c>
      <c r="FDB4" t="s">
        <v>6984</v>
      </c>
      <c r="FDC4" t="s">
        <v>6984</v>
      </c>
      <c r="FDD4" t="s">
        <v>6984</v>
      </c>
      <c r="FDE4" t="s">
        <v>6984</v>
      </c>
      <c r="FDF4" t="s">
        <v>6984</v>
      </c>
      <c r="FDG4" t="s">
        <v>6984</v>
      </c>
      <c r="FDH4" t="s">
        <v>6984</v>
      </c>
      <c r="FDI4" t="s">
        <v>6984</v>
      </c>
      <c r="FDJ4" t="s">
        <v>6984</v>
      </c>
      <c r="FDK4" t="s">
        <v>6984</v>
      </c>
      <c r="FDL4" t="s">
        <v>6984</v>
      </c>
      <c r="FDM4" t="s">
        <v>6984</v>
      </c>
      <c r="FDN4" t="s">
        <v>6984</v>
      </c>
      <c r="FDO4" t="s">
        <v>6984</v>
      </c>
      <c r="FDP4" t="s">
        <v>6984</v>
      </c>
      <c r="FDQ4" t="s">
        <v>6984</v>
      </c>
      <c r="FDR4" t="s">
        <v>6984</v>
      </c>
      <c r="FDS4" t="s">
        <v>6984</v>
      </c>
      <c r="FDT4" t="s">
        <v>6984</v>
      </c>
      <c r="FDU4" t="s">
        <v>6984</v>
      </c>
      <c r="FDV4" t="s">
        <v>6984</v>
      </c>
      <c r="FDW4" t="s">
        <v>6984</v>
      </c>
      <c r="FDX4" t="s">
        <v>6984</v>
      </c>
      <c r="FDY4" t="s">
        <v>6984</v>
      </c>
      <c r="FDZ4" t="s">
        <v>6984</v>
      </c>
      <c r="FEA4" t="s">
        <v>6984</v>
      </c>
      <c r="FEB4" t="s">
        <v>6984</v>
      </c>
      <c r="FEC4" t="s">
        <v>6984</v>
      </c>
      <c r="FED4" t="s">
        <v>6984</v>
      </c>
      <c r="FEE4" t="s">
        <v>6984</v>
      </c>
      <c r="FEF4" t="s">
        <v>6984</v>
      </c>
      <c r="FEG4" t="s">
        <v>6984</v>
      </c>
      <c r="FEH4" t="s">
        <v>6984</v>
      </c>
      <c r="FEI4" t="s">
        <v>6984</v>
      </c>
      <c r="FEJ4" t="s">
        <v>6984</v>
      </c>
      <c r="FEK4" t="s">
        <v>6984</v>
      </c>
      <c r="FEL4" t="s">
        <v>6984</v>
      </c>
      <c r="FEM4" t="s">
        <v>6984</v>
      </c>
      <c r="FEN4" t="s">
        <v>6984</v>
      </c>
      <c r="FEO4" t="s">
        <v>6984</v>
      </c>
      <c r="FEP4" t="s">
        <v>6984</v>
      </c>
      <c r="FEQ4" t="s">
        <v>6984</v>
      </c>
      <c r="FER4" t="s">
        <v>6984</v>
      </c>
      <c r="FES4" t="s">
        <v>6984</v>
      </c>
      <c r="FET4" t="s">
        <v>6984</v>
      </c>
      <c r="FEU4" t="s">
        <v>6984</v>
      </c>
      <c r="FEV4" t="s">
        <v>6984</v>
      </c>
      <c r="FEW4" t="s">
        <v>6984</v>
      </c>
      <c r="FEX4" t="s">
        <v>6984</v>
      </c>
      <c r="FEY4" t="s">
        <v>6984</v>
      </c>
      <c r="FEZ4" t="s">
        <v>6984</v>
      </c>
      <c r="FFA4" t="s">
        <v>6984</v>
      </c>
      <c r="FFB4" t="s">
        <v>6984</v>
      </c>
      <c r="FFC4" t="s">
        <v>6984</v>
      </c>
      <c r="FFD4" t="s">
        <v>6984</v>
      </c>
      <c r="FFE4" t="s">
        <v>6984</v>
      </c>
      <c r="FFF4" t="s">
        <v>6984</v>
      </c>
      <c r="FFG4" t="s">
        <v>6984</v>
      </c>
      <c r="FFH4" t="s">
        <v>6984</v>
      </c>
      <c r="FFI4" t="s">
        <v>6984</v>
      </c>
      <c r="FFJ4" t="s">
        <v>6984</v>
      </c>
      <c r="FFK4" t="s">
        <v>6984</v>
      </c>
      <c r="FFL4" t="s">
        <v>6984</v>
      </c>
      <c r="FFM4" t="s">
        <v>6984</v>
      </c>
      <c r="FFN4" t="s">
        <v>6984</v>
      </c>
      <c r="FFO4" t="s">
        <v>6984</v>
      </c>
      <c r="FFP4" t="s">
        <v>6984</v>
      </c>
      <c r="FFQ4" t="s">
        <v>6984</v>
      </c>
      <c r="FFR4" t="s">
        <v>6984</v>
      </c>
      <c r="FFS4" t="s">
        <v>6984</v>
      </c>
      <c r="FFT4" t="s">
        <v>6984</v>
      </c>
      <c r="FFU4" t="s">
        <v>6984</v>
      </c>
      <c r="FFV4" t="s">
        <v>6984</v>
      </c>
      <c r="FFW4" t="s">
        <v>6984</v>
      </c>
      <c r="FFX4" t="s">
        <v>6984</v>
      </c>
      <c r="FFY4" t="s">
        <v>6984</v>
      </c>
      <c r="FFZ4" t="s">
        <v>6984</v>
      </c>
      <c r="FGA4" t="s">
        <v>6984</v>
      </c>
      <c r="FGB4" t="s">
        <v>6984</v>
      </c>
      <c r="FGC4" t="s">
        <v>6984</v>
      </c>
      <c r="FGD4" t="s">
        <v>6984</v>
      </c>
      <c r="FGE4" t="s">
        <v>6984</v>
      </c>
      <c r="FGF4" t="s">
        <v>6984</v>
      </c>
      <c r="FGG4" t="s">
        <v>6984</v>
      </c>
      <c r="FGH4" t="s">
        <v>6984</v>
      </c>
      <c r="FGI4" t="s">
        <v>6984</v>
      </c>
      <c r="FGJ4" t="s">
        <v>6984</v>
      </c>
      <c r="FGK4" t="s">
        <v>6984</v>
      </c>
      <c r="FGL4" t="s">
        <v>6984</v>
      </c>
      <c r="FGM4" t="s">
        <v>6984</v>
      </c>
      <c r="FGN4" t="s">
        <v>6984</v>
      </c>
      <c r="FGO4" t="s">
        <v>6984</v>
      </c>
      <c r="FGP4" t="s">
        <v>6984</v>
      </c>
      <c r="FGQ4" t="s">
        <v>6984</v>
      </c>
      <c r="FGR4" t="s">
        <v>6984</v>
      </c>
      <c r="FGS4" t="s">
        <v>6984</v>
      </c>
      <c r="FGT4" t="s">
        <v>6984</v>
      </c>
      <c r="FGU4" t="s">
        <v>6984</v>
      </c>
      <c r="FGV4" t="s">
        <v>6984</v>
      </c>
      <c r="FGW4" t="s">
        <v>6984</v>
      </c>
      <c r="FGX4" t="s">
        <v>6984</v>
      </c>
      <c r="FGY4" t="s">
        <v>6984</v>
      </c>
      <c r="FGZ4" t="s">
        <v>6984</v>
      </c>
      <c r="FHA4" t="s">
        <v>6984</v>
      </c>
      <c r="FHB4" t="s">
        <v>6984</v>
      </c>
      <c r="FHC4" t="s">
        <v>6984</v>
      </c>
      <c r="FHD4" t="s">
        <v>6984</v>
      </c>
      <c r="FHE4" t="s">
        <v>6984</v>
      </c>
      <c r="FHF4" t="s">
        <v>6984</v>
      </c>
      <c r="FHG4" t="s">
        <v>6984</v>
      </c>
      <c r="FHH4" t="s">
        <v>6984</v>
      </c>
      <c r="FHI4" t="s">
        <v>6984</v>
      </c>
      <c r="FHJ4" t="s">
        <v>6984</v>
      </c>
      <c r="FHK4" t="s">
        <v>6984</v>
      </c>
      <c r="FHL4" t="s">
        <v>6984</v>
      </c>
      <c r="FHM4" t="s">
        <v>6984</v>
      </c>
      <c r="FHN4" t="s">
        <v>6984</v>
      </c>
      <c r="FHO4" t="s">
        <v>6984</v>
      </c>
      <c r="FHP4" t="s">
        <v>6984</v>
      </c>
      <c r="FHQ4" t="s">
        <v>6984</v>
      </c>
      <c r="FHR4" t="s">
        <v>6984</v>
      </c>
      <c r="FHS4" t="s">
        <v>6984</v>
      </c>
      <c r="FHT4" t="s">
        <v>6984</v>
      </c>
      <c r="FHU4" t="s">
        <v>6984</v>
      </c>
      <c r="FHV4" t="s">
        <v>6984</v>
      </c>
      <c r="FHW4" t="s">
        <v>6984</v>
      </c>
      <c r="FHX4" t="s">
        <v>6984</v>
      </c>
      <c r="FHY4" t="s">
        <v>6984</v>
      </c>
      <c r="FHZ4" t="s">
        <v>6984</v>
      </c>
      <c r="FIA4" t="s">
        <v>6984</v>
      </c>
      <c r="FIB4" t="s">
        <v>6984</v>
      </c>
      <c r="FIC4" t="s">
        <v>6984</v>
      </c>
      <c r="FID4" t="s">
        <v>6984</v>
      </c>
      <c r="FIE4" t="s">
        <v>6984</v>
      </c>
      <c r="FIF4" t="s">
        <v>6984</v>
      </c>
      <c r="FIG4" t="s">
        <v>6984</v>
      </c>
      <c r="FIH4" t="s">
        <v>6984</v>
      </c>
      <c r="FII4" t="s">
        <v>6984</v>
      </c>
      <c r="FIJ4" t="s">
        <v>6984</v>
      </c>
      <c r="FIK4" t="s">
        <v>6984</v>
      </c>
      <c r="FIL4" t="s">
        <v>6984</v>
      </c>
      <c r="FIM4" t="s">
        <v>6984</v>
      </c>
      <c r="FIN4" t="s">
        <v>6984</v>
      </c>
      <c r="FIO4" t="s">
        <v>6984</v>
      </c>
      <c r="FIP4" t="s">
        <v>6984</v>
      </c>
      <c r="FIQ4" t="s">
        <v>6984</v>
      </c>
      <c r="FIR4" t="s">
        <v>6984</v>
      </c>
      <c r="FIS4" t="s">
        <v>6984</v>
      </c>
      <c r="FIT4" t="s">
        <v>6984</v>
      </c>
      <c r="FIU4" t="s">
        <v>6984</v>
      </c>
      <c r="FIV4" t="s">
        <v>6984</v>
      </c>
      <c r="FIW4" t="s">
        <v>6984</v>
      </c>
      <c r="FIX4" t="s">
        <v>6984</v>
      </c>
      <c r="FIY4" t="s">
        <v>6984</v>
      </c>
      <c r="FIZ4" t="s">
        <v>6984</v>
      </c>
      <c r="FJA4" t="s">
        <v>6984</v>
      </c>
      <c r="FJB4" t="s">
        <v>6984</v>
      </c>
      <c r="FJC4" t="s">
        <v>6984</v>
      </c>
      <c r="FJD4" t="s">
        <v>6984</v>
      </c>
      <c r="FJE4" t="s">
        <v>6984</v>
      </c>
      <c r="FJF4" t="s">
        <v>6984</v>
      </c>
      <c r="FJG4" t="s">
        <v>6984</v>
      </c>
      <c r="FJH4" t="s">
        <v>6984</v>
      </c>
      <c r="FJI4" t="s">
        <v>6984</v>
      </c>
      <c r="FJJ4" t="s">
        <v>6984</v>
      </c>
      <c r="FJK4" t="s">
        <v>6984</v>
      </c>
      <c r="FJL4" t="s">
        <v>6984</v>
      </c>
      <c r="FJM4" t="s">
        <v>6984</v>
      </c>
      <c r="FJN4" t="s">
        <v>6984</v>
      </c>
      <c r="FJO4" t="s">
        <v>6984</v>
      </c>
      <c r="FJP4" t="s">
        <v>6984</v>
      </c>
      <c r="FJQ4" t="s">
        <v>6984</v>
      </c>
      <c r="FJR4" t="s">
        <v>6984</v>
      </c>
      <c r="FJS4" t="s">
        <v>6984</v>
      </c>
      <c r="FJT4" t="s">
        <v>6984</v>
      </c>
      <c r="FJU4" t="s">
        <v>6984</v>
      </c>
      <c r="FJV4" t="s">
        <v>6984</v>
      </c>
      <c r="FJW4" t="s">
        <v>6984</v>
      </c>
      <c r="FJX4" t="s">
        <v>6984</v>
      </c>
      <c r="FJY4" t="s">
        <v>6984</v>
      </c>
      <c r="FJZ4" t="s">
        <v>6984</v>
      </c>
      <c r="FKA4" t="s">
        <v>6984</v>
      </c>
      <c r="FKB4" t="s">
        <v>6984</v>
      </c>
      <c r="FKC4" t="s">
        <v>6984</v>
      </c>
      <c r="FKD4" t="s">
        <v>6984</v>
      </c>
      <c r="FKE4" t="s">
        <v>6984</v>
      </c>
      <c r="FKF4" t="s">
        <v>6984</v>
      </c>
      <c r="FKG4" t="s">
        <v>6984</v>
      </c>
      <c r="FKH4" t="s">
        <v>6984</v>
      </c>
      <c r="FKI4" t="s">
        <v>6984</v>
      </c>
      <c r="FKJ4" t="s">
        <v>6984</v>
      </c>
      <c r="FKK4" t="s">
        <v>6984</v>
      </c>
      <c r="FKL4" t="s">
        <v>6984</v>
      </c>
      <c r="FKM4" t="s">
        <v>6984</v>
      </c>
      <c r="FKN4" t="s">
        <v>6984</v>
      </c>
      <c r="FKO4" t="s">
        <v>6984</v>
      </c>
      <c r="FKP4" t="s">
        <v>6984</v>
      </c>
      <c r="FKQ4" t="s">
        <v>6984</v>
      </c>
      <c r="FKR4" t="s">
        <v>6984</v>
      </c>
      <c r="FKS4" t="s">
        <v>6984</v>
      </c>
      <c r="FKT4" t="s">
        <v>6984</v>
      </c>
      <c r="FKU4" t="s">
        <v>6984</v>
      </c>
      <c r="FKV4" t="s">
        <v>6984</v>
      </c>
      <c r="FKW4" t="s">
        <v>6984</v>
      </c>
      <c r="FKX4" t="s">
        <v>6984</v>
      </c>
      <c r="FKY4" t="s">
        <v>6984</v>
      </c>
      <c r="FKZ4" t="s">
        <v>6984</v>
      </c>
      <c r="FLA4" t="s">
        <v>6984</v>
      </c>
      <c r="FLB4" t="s">
        <v>6984</v>
      </c>
      <c r="FLC4" t="s">
        <v>6984</v>
      </c>
      <c r="FLD4" t="s">
        <v>6984</v>
      </c>
      <c r="FLE4" t="s">
        <v>6984</v>
      </c>
      <c r="FLF4" t="s">
        <v>6984</v>
      </c>
      <c r="FLG4" t="s">
        <v>6984</v>
      </c>
      <c r="FLH4" t="s">
        <v>6984</v>
      </c>
      <c r="FLI4" t="s">
        <v>6984</v>
      </c>
      <c r="FLJ4" t="s">
        <v>6984</v>
      </c>
      <c r="FLK4" t="s">
        <v>6984</v>
      </c>
      <c r="FLL4" t="s">
        <v>6984</v>
      </c>
      <c r="FLM4" t="s">
        <v>6984</v>
      </c>
      <c r="FLN4" t="s">
        <v>6984</v>
      </c>
      <c r="FLO4" t="s">
        <v>6984</v>
      </c>
      <c r="FLP4" t="s">
        <v>6984</v>
      </c>
      <c r="FLQ4" t="s">
        <v>6984</v>
      </c>
      <c r="FLR4" t="s">
        <v>6984</v>
      </c>
      <c r="FLS4" t="s">
        <v>6984</v>
      </c>
      <c r="FLT4" t="s">
        <v>6984</v>
      </c>
      <c r="FLU4" t="s">
        <v>6984</v>
      </c>
      <c r="FLV4" t="s">
        <v>6984</v>
      </c>
      <c r="FLW4" t="s">
        <v>6984</v>
      </c>
      <c r="FLX4" t="s">
        <v>6984</v>
      </c>
      <c r="FLY4" t="s">
        <v>6984</v>
      </c>
      <c r="FLZ4" t="s">
        <v>6984</v>
      </c>
      <c r="FMA4" t="s">
        <v>6984</v>
      </c>
      <c r="FMB4" t="s">
        <v>6984</v>
      </c>
      <c r="FMC4" t="s">
        <v>6984</v>
      </c>
      <c r="FMD4" t="s">
        <v>6984</v>
      </c>
      <c r="FME4" t="s">
        <v>6984</v>
      </c>
      <c r="FMF4" t="s">
        <v>6984</v>
      </c>
      <c r="FMG4" t="s">
        <v>6984</v>
      </c>
      <c r="FMH4" t="s">
        <v>6984</v>
      </c>
      <c r="FMI4" t="s">
        <v>6984</v>
      </c>
      <c r="FMJ4" t="s">
        <v>6984</v>
      </c>
      <c r="FMK4" t="s">
        <v>6984</v>
      </c>
      <c r="FML4" t="s">
        <v>6984</v>
      </c>
      <c r="FMM4" t="s">
        <v>6984</v>
      </c>
      <c r="FMN4" t="s">
        <v>6984</v>
      </c>
      <c r="FMO4" t="s">
        <v>6984</v>
      </c>
      <c r="FMP4" t="s">
        <v>6984</v>
      </c>
      <c r="FMQ4" t="s">
        <v>6984</v>
      </c>
      <c r="FMR4" t="s">
        <v>6984</v>
      </c>
      <c r="FMS4" t="s">
        <v>6984</v>
      </c>
      <c r="FMT4" t="s">
        <v>6984</v>
      </c>
      <c r="FMU4" t="s">
        <v>6984</v>
      </c>
      <c r="FMV4" t="s">
        <v>6984</v>
      </c>
      <c r="FMW4" t="s">
        <v>6984</v>
      </c>
      <c r="FMX4" t="s">
        <v>6984</v>
      </c>
      <c r="FMY4" t="s">
        <v>6984</v>
      </c>
      <c r="FMZ4" t="s">
        <v>6984</v>
      </c>
      <c r="FNA4" t="s">
        <v>6984</v>
      </c>
      <c r="FNB4" t="s">
        <v>6984</v>
      </c>
      <c r="FNC4" t="s">
        <v>6984</v>
      </c>
      <c r="FND4" t="s">
        <v>6984</v>
      </c>
      <c r="FNE4" t="s">
        <v>6984</v>
      </c>
      <c r="FNF4" t="s">
        <v>6984</v>
      </c>
      <c r="FNG4" t="s">
        <v>6984</v>
      </c>
      <c r="FNH4" t="s">
        <v>6984</v>
      </c>
      <c r="FNI4" t="s">
        <v>6984</v>
      </c>
      <c r="FNJ4" t="s">
        <v>6984</v>
      </c>
      <c r="FNK4" t="s">
        <v>6984</v>
      </c>
      <c r="FNL4" t="s">
        <v>6984</v>
      </c>
      <c r="FNM4" t="s">
        <v>6984</v>
      </c>
      <c r="FNN4" t="s">
        <v>6984</v>
      </c>
      <c r="FNO4" t="s">
        <v>6984</v>
      </c>
      <c r="FNP4" t="s">
        <v>6984</v>
      </c>
      <c r="FNQ4" t="s">
        <v>6984</v>
      </c>
      <c r="FNR4" t="s">
        <v>6984</v>
      </c>
      <c r="FNS4" t="s">
        <v>6984</v>
      </c>
      <c r="FNT4" t="s">
        <v>6984</v>
      </c>
      <c r="FNU4" t="s">
        <v>6984</v>
      </c>
      <c r="FNV4" t="s">
        <v>6984</v>
      </c>
      <c r="FNW4" t="s">
        <v>6984</v>
      </c>
      <c r="FNX4" t="s">
        <v>6984</v>
      </c>
      <c r="FNY4" t="s">
        <v>6984</v>
      </c>
      <c r="FNZ4" t="s">
        <v>6984</v>
      </c>
      <c r="FOA4" t="s">
        <v>6984</v>
      </c>
      <c r="FOB4" t="s">
        <v>6984</v>
      </c>
      <c r="FOC4" t="s">
        <v>6984</v>
      </c>
      <c r="FOD4" t="s">
        <v>6984</v>
      </c>
      <c r="FOE4" t="s">
        <v>6984</v>
      </c>
      <c r="FOF4" t="s">
        <v>6984</v>
      </c>
      <c r="FOG4" t="s">
        <v>6984</v>
      </c>
      <c r="FOH4" t="s">
        <v>6984</v>
      </c>
      <c r="FOI4" t="s">
        <v>6984</v>
      </c>
      <c r="FOJ4" t="s">
        <v>6984</v>
      </c>
      <c r="FOK4" t="s">
        <v>6984</v>
      </c>
      <c r="FOL4" t="s">
        <v>6984</v>
      </c>
      <c r="FOM4" t="s">
        <v>6984</v>
      </c>
      <c r="FON4" t="s">
        <v>6984</v>
      </c>
      <c r="FOO4" t="s">
        <v>6984</v>
      </c>
      <c r="FOP4" t="s">
        <v>6984</v>
      </c>
      <c r="FOQ4" t="s">
        <v>6984</v>
      </c>
      <c r="FOR4" t="s">
        <v>6984</v>
      </c>
      <c r="FOS4" t="s">
        <v>6984</v>
      </c>
      <c r="FOT4" t="s">
        <v>6984</v>
      </c>
      <c r="FOU4" t="s">
        <v>6984</v>
      </c>
      <c r="FOV4" t="s">
        <v>6984</v>
      </c>
      <c r="FOW4" t="s">
        <v>6984</v>
      </c>
      <c r="FOX4" t="s">
        <v>6984</v>
      </c>
      <c r="FOY4" t="s">
        <v>6984</v>
      </c>
      <c r="FOZ4" t="s">
        <v>6984</v>
      </c>
      <c r="FPA4" t="s">
        <v>6984</v>
      </c>
      <c r="FPB4" t="s">
        <v>6984</v>
      </c>
      <c r="FPC4" t="s">
        <v>6984</v>
      </c>
      <c r="FPD4" t="s">
        <v>6984</v>
      </c>
      <c r="FPE4" t="s">
        <v>6984</v>
      </c>
      <c r="FPF4" t="s">
        <v>6984</v>
      </c>
      <c r="FPG4" t="s">
        <v>6984</v>
      </c>
      <c r="FPH4" t="s">
        <v>6984</v>
      </c>
      <c r="FPI4" t="s">
        <v>6984</v>
      </c>
      <c r="FPJ4" t="s">
        <v>6984</v>
      </c>
      <c r="FPK4" t="s">
        <v>6984</v>
      </c>
      <c r="FPL4" t="s">
        <v>6984</v>
      </c>
      <c r="FPM4" t="s">
        <v>6984</v>
      </c>
      <c r="FPN4" t="s">
        <v>6984</v>
      </c>
      <c r="FPO4" t="s">
        <v>6984</v>
      </c>
      <c r="FPP4" t="s">
        <v>6984</v>
      </c>
      <c r="FPQ4" t="s">
        <v>6984</v>
      </c>
      <c r="FPR4" t="s">
        <v>6984</v>
      </c>
      <c r="FPS4" t="s">
        <v>6984</v>
      </c>
      <c r="FPT4" t="s">
        <v>6984</v>
      </c>
      <c r="FPU4" t="s">
        <v>6984</v>
      </c>
      <c r="FPV4" t="s">
        <v>6984</v>
      </c>
      <c r="FPW4" t="s">
        <v>6984</v>
      </c>
      <c r="FPX4" t="s">
        <v>6984</v>
      </c>
      <c r="FPY4" t="s">
        <v>6984</v>
      </c>
      <c r="FPZ4" t="s">
        <v>6984</v>
      </c>
      <c r="FQA4" t="s">
        <v>6984</v>
      </c>
      <c r="FQB4" t="s">
        <v>6984</v>
      </c>
      <c r="FQC4" t="s">
        <v>6984</v>
      </c>
      <c r="FQD4" t="s">
        <v>6984</v>
      </c>
      <c r="FQE4" t="s">
        <v>6984</v>
      </c>
      <c r="FQF4" t="s">
        <v>6984</v>
      </c>
      <c r="FQG4" t="s">
        <v>6984</v>
      </c>
      <c r="FQH4" t="s">
        <v>6984</v>
      </c>
      <c r="FQI4" t="s">
        <v>6984</v>
      </c>
      <c r="FQJ4" t="s">
        <v>6984</v>
      </c>
      <c r="FQK4" t="s">
        <v>6984</v>
      </c>
      <c r="FQL4" t="s">
        <v>6984</v>
      </c>
      <c r="FQM4" t="s">
        <v>6984</v>
      </c>
      <c r="FQN4" t="s">
        <v>6984</v>
      </c>
      <c r="FQO4" t="s">
        <v>6984</v>
      </c>
      <c r="FQP4" t="s">
        <v>6984</v>
      </c>
      <c r="FQQ4" t="s">
        <v>6984</v>
      </c>
      <c r="FQR4" t="s">
        <v>6984</v>
      </c>
      <c r="FQS4" t="s">
        <v>6984</v>
      </c>
      <c r="FQT4" t="s">
        <v>6984</v>
      </c>
      <c r="FQU4" t="s">
        <v>6984</v>
      </c>
      <c r="FQV4" t="s">
        <v>6984</v>
      </c>
      <c r="FQW4" t="s">
        <v>6984</v>
      </c>
      <c r="FQX4" t="s">
        <v>6984</v>
      </c>
      <c r="FQY4" t="s">
        <v>6984</v>
      </c>
      <c r="FQZ4" t="s">
        <v>6984</v>
      </c>
      <c r="FRA4" t="s">
        <v>6984</v>
      </c>
      <c r="FRB4" t="s">
        <v>6984</v>
      </c>
      <c r="FRC4" t="s">
        <v>6984</v>
      </c>
      <c r="FRD4" t="s">
        <v>6984</v>
      </c>
      <c r="FRE4" t="s">
        <v>6984</v>
      </c>
      <c r="FRF4" t="s">
        <v>6984</v>
      </c>
      <c r="FRG4" t="s">
        <v>6984</v>
      </c>
      <c r="FRH4" t="s">
        <v>6984</v>
      </c>
      <c r="FRI4" t="s">
        <v>6984</v>
      </c>
      <c r="FRJ4" t="s">
        <v>6984</v>
      </c>
      <c r="FRK4" t="s">
        <v>6984</v>
      </c>
      <c r="FRL4" t="s">
        <v>6984</v>
      </c>
      <c r="FRM4" t="s">
        <v>6984</v>
      </c>
      <c r="FRN4" t="s">
        <v>6984</v>
      </c>
      <c r="FRO4" t="s">
        <v>6984</v>
      </c>
      <c r="FRP4" t="s">
        <v>6984</v>
      </c>
      <c r="FRQ4" t="s">
        <v>6984</v>
      </c>
      <c r="FRR4" t="s">
        <v>6984</v>
      </c>
      <c r="FRS4" t="s">
        <v>6984</v>
      </c>
      <c r="FRT4" t="s">
        <v>6984</v>
      </c>
      <c r="FRU4" t="s">
        <v>6984</v>
      </c>
      <c r="FRV4" t="s">
        <v>6984</v>
      </c>
      <c r="FRW4" t="s">
        <v>6984</v>
      </c>
      <c r="FRX4" t="s">
        <v>6984</v>
      </c>
      <c r="FRY4" t="s">
        <v>6984</v>
      </c>
      <c r="FRZ4" t="s">
        <v>6984</v>
      </c>
      <c r="FSA4" t="s">
        <v>6984</v>
      </c>
      <c r="FSB4" t="s">
        <v>6984</v>
      </c>
      <c r="FSC4" t="s">
        <v>6984</v>
      </c>
      <c r="FSD4" t="s">
        <v>6984</v>
      </c>
      <c r="FSE4" t="s">
        <v>6984</v>
      </c>
      <c r="FSF4" t="s">
        <v>6984</v>
      </c>
      <c r="FSG4" t="s">
        <v>6984</v>
      </c>
      <c r="FSH4" t="s">
        <v>6984</v>
      </c>
      <c r="FSI4" t="s">
        <v>6984</v>
      </c>
      <c r="FSJ4" t="s">
        <v>6984</v>
      </c>
      <c r="FSK4" t="s">
        <v>6984</v>
      </c>
      <c r="FSL4" t="s">
        <v>6984</v>
      </c>
      <c r="FSM4" t="s">
        <v>6984</v>
      </c>
      <c r="FSN4" t="s">
        <v>6984</v>
      </c>
      <c r="FSO4" t="s">
        <v>6984</v>
      </c>
      <c r="FSP4" t="s">
        <v>6984</v>
      </c>
      <c r="FSQ4" t="s">
        <v>6984</v>
      </c>
      <c r="FSR4" t="s">
        <v>6984</v>
      </c>
      <c r="FSS4" t="s">
        <v>6984</v>
      </c>
      <c r="FST4" t="s">
        <v>6984</v>
      </c>
      <c r="FSU4" t="s">
        <v>6984</v>
      </c>
      <c r="FSV4" t="s">
        <v>6984</v>
      </c>
      <c r="FSW4" t="s">
        <v>6984</v>
      </c>
      <c r="FSX4" t="s">
        <v>6984</v>
      </c>
      <c r="FSY4" t="s">
        <v>6984</v>
      </c>
      <c r="FSZ4" t="s">
        <v>6984</v>
      </c>
      <c r="FTA4" t="s">
        <v>6984</v>
      </c>
      <c r="FTB4" t="s">
        <v>6984</v>
      </c>
      <c r="FTC4" t="s">
        <v>6984</v>
      </c>
      <c r="FTD4" t="s">
        <v>6984</v>
      </c>
      <c r="FTE4" t="s">
        <v>6984</v>
      </c>
      <c r="FTF4" t="s">
        <v>6984</v>
      </c>
      <c r="FTG4" t="s">
        <v>6984</v>
      </c>
      <c r="FTH4" t="s">
        <v>6984</v>
      </c>
      <c r="FTI4" t="s">
        <v>6984</v>
      </c>
      <c r="FTJ4" t="s">
        <v>6984</v>
      </c>
      <c r="FTK4" t="s">
        <v>6984</v>
      </c>
      <c r="FTL4" t="s">
        <v>6984</v>
      </c>
      <c r="FTM4" t="s">
        <v>6984</v>
      </c>
      <c r="FTN4" t="s">
        <v>6984</v>
      </c>
      <c r="FTO4" t="s">
        <v>6984</v>
      </c>
      <c r="FTP4" t="s">
        <v>6984</v>
      </c>
      <c r="FTQ4" t="s">
        <v>6984</v>
      </c>
      <c r="FTR4" t="s">
        <v>6984</v>
      </c>
      <c r="FTS4" t="s">
        <v>6984</v>
      </c>
      <c r="FTT4" t="s">
        <v>6984</v>
      </c>
      <c r="FTU4" t="s">
        <v>6984</v>
      </c>
      <c r="FTV4" t="s">
        <v>6984</v>
      </c>
      <c r="FTW4" t="s">
        <v>6984</v>
      </c>
      <c r="FTX4" t="s">
        <v>6984</v>
      </c>
      <c r="FTY4" t="s">
        <v>6984</v>
      </c>
      <c r="FTZ4" t="s">
        <v>6984</v>
      </c>
      <c r="FUA4" t="s">
        <v>6984</v>
      </c>
      <c r="FUB4" t="s">
        <v>6984</v>
      </c>
      <c r="FUC4" t="s">
        <v>6984</v>
      </c>
      <c r="FUD4" t="s">
        <v>6984</v>
      </c>
      <c r="FUE4" t="s">
        <v>6984</v>
      </c>
      <c r="FUF4" t="s">
        <v>6984</v>
      </c>
      <c r="FUG4" t="s">
        <v>6984</v>
      </c>
      <c r="FUH4" t="s">
        <v>6984</v>
      </c>
      <c r="FUI4" t="s">
        <v>6984</v>
      </c>
      <c r="FUJ4" t="s">
        <v>6984</v>
      </c>
      <c r="FUK4" t="s">
        <v>6984</v>
      </c>
      <c r="FUL4" t="s">
        <v>6984</v>
      </c>
      <c r="FUM4" t="s">
        <v>6984</v>
      </c>
      <c r="FUN4" t="s">
        <v>6984</v>
      </c>
      <c r="FUO4" t="s">
        <v>6984</v>
      </c>
      <c r="FUP4" t="s">
        <v>6984</v>
      </c>
      <c r="FUQ4" t="s">
        <v>6984</v>
      </c>
      <c r="FUR4" t="s">
        <v>6984</v>
      </c>
      <c r="FUS4" t="s">
        <v>6984</v>
      </c>
      <c r="FUT4" t="s">
        <v>6984</v>
      </c>
      <c r="FUU4" t="s">
        <v>6984</v>
      </c>
      <c r="FUV4" t="s">
        <v>6984</v>
      </c>
      <c r="FUW4" t="s">
        <v>6984</v>
      </c>
      <c r="FUX4" t="s">
        <v>6984</v>
      </c>
      <c r="FUY4" t="s">
        <v>6984</v>
      </c>
      <c r="FUZ4" t="s">
        <v>6984</v>
      </c>
      <c r="FVA4" t="s">
        <v>6984</v>
      </c>
      <c r="FVB4" t="s">
        <v>6984</v>
      </c>
      <c r="FVC4" t="s">
        <v>6984</v>
      </c>
      <c r="FVD4" t="s">
        <v>6984</v>
      </c>
      <c r="FVE4" t="s">
        <v>6984</v>
      </c>
      <c r="FVF4" t="s">
        <v>6984</v>
      </c>
      <c r="FVG4" t="s">
        <v>6984</v>
      </c>
      <c r="FVH4" t="s">
        <v>6984</v>
      </c>
      <c r="FVI4" t="s">
        <v>6984</v>
      </c>
      <c r="FVJ4" t="s">
        <v>6984</v>
      </c>
      <c r="FVK4" t="s">
        <v>6984</v>
      </c>
      <c r="FVL4" t="s">
        <v>6984</v>
      </c>
      <c r="FVM4" t="s">
        <v>6984</v>
      </c>
      <c r="FVN4" t="s">
        <v>6984</v>
      </c>
      <c r="FVO4" t="s">
        <v>6984</v>
      </c>
      <c r="FVP4" t="s">
        <v>6984</v>
      </c>
      <c r="FVQ4" t="s">
        <v>6984</v>
      </c>
      <c r="FVR4" t="s">
        <v>6984</v>
      </c>
      <c r="FVS4" t="s">
        <v>6984</v>
      </c>
      <c r="FVT4" t="s">
        <v>6984</v>
      </c>
      <c r="FVU4" t="s">
        <v>6984</v>
      </c>
      <c r="FVV4" t="s">
        <v>6984</v>
      </c>
      <c r="FVW4" t="s">
        <v>6984</v>
      </c>
      <c r="FVX4" t="s">
        <v>6984</v>
      </c>
      <c r="FVY4" t="s">
        <v>6984</v>
      </c>
      <c r="FVZ4" t="s">
        <v>6984</v>
      </c>
      <c r="FWA4" t="s">
        <v>6984</v>
      </c>
      <c r="FWB4" t="s">
        <v>6984</v>
      </c>
      <c r="FWC4" t="s">
        <v>6984</v>
      </c>
      <c r="FWD4" t="s">
        <v>6984</v>
      </c>
      <c r="FWE4" t="s">
        <v>6984</v>
      </c>
      <c r="FWF4" t="s">
        <v>6984</v>
      </c>
      <c r="FWG4" t="s">
        <v>6984</v>
      </c>
      <c r="FWH4" t="s">
        <v>6984</v>
      </c>
      <c r="FWI4" t="s">
        <v>6984</v>
      </c>
      <c r="FWJ4" t="s">
        <v>6984</v>
      </c>
      <c r="FWK4" t="s">
        <v>6984</v>
      </c>
      <c r="FWL4" t="s">
        <v>6984</v>
      </c>
      <c r="FWM4" t="s">
        <v>6984</v>
      </c>
      <c r="FWN4" t="s">
        <v>6984</v>
      </c>
      <c r="FWO4" t="s">
        <v>6984</v>
      </c>
      <c r="FWP4" t="s">
        <v>6984</v>
      </c>
      <c r="FWQ4" t="s">
        <v>6984</v>
      </c>
      <c r="FWR4" t="s">
        <v>6984</v>
      </c>
      <c r="FWS4" t="s">
        <v>6984</v>
      </c>
      <c r="FWT4" t="s">
        <v>6984</v>
      </c>
      <c r="FWU4" t="s">
        <v>6984</v>
      </c>
      <c r="FWV4" t="s">
        <v>6984</v>
      </c>
      <c r="FWW4" t="s">
        <v>6984</v>
      </c>
      <c r="FWX4" t="s">
        <v>6984</v>
      </c>
      <c r="FWY4" t="s">
        <v>6984</v>
      </c>
      <c r="FWZ4" t="s">
        <v>6984</v>
      </c>
      <c r="FXA4" t="s">
        <v>6984</v>
      </c>
      <c r="FXB4" t="s">
        <v>6984</v>
      </c>
      <c r="FXC4" t="s">
        <v>6984</v>
      </c>
      <c r="FXD4" t="s">
        <v>6984</v>
      </c>
      <c r="FXE4" t="s">
        <v>6984</v>
      </c>
      <c r="FXF4" t="s">
        <v>6984</v>
      </c>
      <c r="FXG4" t="s">
        <v>6984</v>
      </c>
      <c r="FXH4" t="s">
        <v>6984</v>
      </c>
      <c r="FXI4" t="s">
        <v>6984</v>
      </c>
      <c r="FXJ4" t="s">
        <v>6984</v>
      </c>
      <c r="FXK4" t="s">
        <v>6984</v>
      </c>
      <c r="FXL4" t="s">
        <v>6984</v>
      </c>
      <c r="FXM4" t="s">
        <v>6984</v>
      </c>
      <c r="FXN4" t="s">
        <v>6984</v>
      </c>
      <c r="FXO4" t="s">
        <v>6984</v>
      </c>
      <c r="FXP4" t="s">
        <v>6984</v>
      </c>
      <c r="FXQ4" t="s">
        <v>6984</v>
      </c>
      <c r="FXR4" t="s">
        <v>6984</v>
      </c>
      <c r="FXS4" t="s">
        <v>6984</v>
      </c>
      <c r="FXT4" t="s">
        <v>6984</v>
      </c>
      <c r="FXU4" t="s">
        <v>6984</v>
      </c>
      <c r="FXV4" t="s">
        <v>6984</v>
      </c>
      <c r="FXW4" t="s">
        <v>6984</v>
      </c>
      <c r="FXX4" t="s">
        <v>6984</v>
      </c>
      <c r="FXY4" t="s">
        <v>6984</v>
      </c>
      <c r="FXZ4" t="s">
        <v>6984</v>
      </c>
      <c r="FYA4" t="s">
        <v>6984</v>
      </c>
      <c r="FYB4" t="s">
        <v>6984</v>
      </c>
      <c r="FYC4" t="s">
        <v>6984</v>
      </c>
      <c r="FYD4" t="s">
        <v>6984</v>
      </c>
      <c r="FYE4" t="s">
        <v>6984</v>
      </c>
      <c r="FYF4" t="s">
        <v>6984</v>
      </c>
      <c r="FYG4" t="s">
        <v>6984</v>
      </c>
      <c r="FYH4" t="s">
        <v>6984</v>
      </c>
      <c r="FYI4" t="s">
        <v>6984</v>
      </c>
      <c r="FYJ4" t="s">
        <v>6984</v>
      </c>
      <c r="FYK4" t="s">
        <v>6984</v>
      </c>
      <c r="FYL4" t="s">
        <v>6984</v>
      </c>
      <c r="FYM4" t="s">
        <v>6984</v>
      </c>
      <c r="FYN4" t="s">
        <v>6984</v>
      </c>
      <c r="FYO4" t="s">
        <v>6984</v>
      </c>
      <c r="FYP4" t="s">
        <v>6984</v>
      </c>
      <c r="FYQ4" t="s">
        <v>6984</v>
      </c>
      <c r="FYR4" t="s">
        <v>6984</v>
      </c>
      <c r="FYS4" t="s">
        <v>6984</v>
      </c>
      <c r="FYT4" t="s">
        <v>6984</v>
      </c>
      <c r="FYU4" t="s">
        <v>6984</v>
      </c>
      <c r="FYV4" t="s">
        <v>6984</v>
      </c>
      <c r="FYW4" t="s">
        <v>6984</v>
      </c>
      <c r="FYX4" t="s">
        <v>6984</v>
      </c>
      <c r="FYY4" t="s">
        <v>6984</v>
      </c>
      <c r="FYZ4" t="s">
        <v>6984</v>
      </c>
      <c r="FZA4" t="s">
        <v>6984</v>
      </c>
      <c r="FZB4" t="s">
        <v>6984</v>
      </c>
      <c r="FZC4" t="s">
        <v>6984</v>
      </c>
      <c r="FZD4" t="s">
        <v>6984</v>
      </c>
      <c r="FZE4" t="s">
        <v>6984</v>
      </c>
      <c r="FZF4" t="s">
        <v>6984</v>
      </c>
      <c r="FZG4" t="s">
        <v>6984</v>
      </c>
      <c r="FZH4" t="s">
        <v>6984</v>
      </c>
      <c r="FZI4" t="s">
        <v>6984</v>
      </c>
      <c r="FZJ4" t="s">
        <v>6984</v>
      </c>
      <c r="FZK4" t="s">
        <v>6984</v>
      </c>
      <c r="FZL4" t="s">
        <v>6984</v>
      </c>
      <c r="FZM4" t="s">
        <v>6984</v>
      </c>
      <c r="FZN4" t="s">
        <v>6984</v>
      </c>
      <c r="FZO4" t="s">
        <v>6984</v>
      </c>
      <c r="FZP4" t="s">
        <v>6984</v>
      </c>
      <c r="FZQ4" t="s">
        <v>6984</v>
      </c>
      <c r="FZR4" t="s">
        <v>6984</v>
      </c>
      <c r="FZS4" t="s">
        <v>6984</v>
      </c>
      <c r="FZT4" t="s">
        <v>6984</v>
      </c>
      <c r="FZU4" t="s">
        <v>6984</v>
      </c>
      <c r="FZV4" t="s">
        <v>6984</v>
      </c>
      <c r="FZW4" t="s">
        <v>6984</v>
      </c>
      <c r="FZX4" t="s">
        <v>6984</v>
      </c>
      <c r="FZY4" t="s">
        <v>6984</v>
      </c>
      <c r="FZZ4" t="s">
        <v>6984</v>
      </c>
      <c r="GAA4" t="s">
        <v>6984</v>
      </c>
      <c r="GAB4" t="s">
        <v>6984</v>
      </c>
      <c r="GAC4" t="s">
        <v>6984</v>
      </c>
      <c r="GAD4" t="s">
        <v>6984</v>
      </c>
      <c r="GAE4" t="s">
        <v>6984</v>
      </c>
      <c r="GAF4" t="s">
        <v>6984</v>
      </c>
      <c r="GAG4" t="s">
        <v>6984</v>
      </c>
      <c r="GAH4" t="s">
        <v>6984</v>
      </c>
      <c r="GAI4" t="s">
        <v>6984</v>
      </c>
      <c r="GAJ4" t="s">
        <v>6984</v>
      </c>
      <c r="GAK4" t="s">
        <v>6984</v>
      </c>
      <c r="GAL4" t="s">
        <v>6984</v>
      </c>
      <c r="GAM4" t="s">
        <v>6984</v>
      </c>
      <c r="GAN4" t="s">
        <v>6984</v>
      </c>
      <c r="GAO4" t="s">
        <v>6984</v>
      </c>
      <c r="GAP4" t="s">
        <v>6984</v>
      </c>
      <c r="GAQ4" t="s">
        <v>6984</v>
      </c>
      <c r="GAR4" t="s">
        <v>6984</v>
      </c>
      <c r="GAS4" t="s">
        <v>6984</v>
      </c>
      <c r="GAT4" t="s">
        <v>6984</v>
      </c>
      <c r="GAU4" t="s">
        <v>6984</v>
      </c>
      <c r="GAV4" t="s">
        <v>6984</v>
      </c>
      <c r="GAW4" t="s">
        <v>6984</v>
      </c>
      <c r="GAX4" t="s">
        <v>6984</v>
      </c>
      <c r="GAY4" t="s">
        <v>6984</v>
      </c>
      <c r="GAZ4" t="s">
        <v>6984</v>
      </c>
      <c r="GBA4" t="s">
        <v>6984</v>
      </c>
      <c r="GBB4" t="s">
        <v>6984</v>
      </c>
      <c r="GBC4" t="s">
        <v>6984</v>
      </c>
      <c r="GBD4" t="s">
        <v>6984</v>
      </c>
      <c r="GBE4" t="s">
        <v>6984</v>
      </c>
      <c r="GBF4" t="s">
        <v>6984</v>
      </c>
      <c r="GBG4" t="s">
        <v>6984</v>
      </c>
      <c r="GBH4" t="s">
        <v>6984</v>
      </c>
      <c r="GBI4" t="s">
        <v>6984</v>
      </c>
      <c r="GBJ4" t="s">
        <v>6984</v>
      </c>
      <c r="GBK4" t="s">
        <v>6984</v>
      </c>
      <c r="GBL4" t="s">
        <v>6984</v>
      </c>
      <c r="GBM4" t="s">
        <v>6984</v>
      </c>
      <c r="GBN4" t="s">
        <v>6984</v>
      </c>
      <c r="GBO4" t="s">
        <v>6984</v>
      </c>
      <c r="GBP4" t="s">
        <v>6984</v>
      </c>
      <c r="GBQ4" t="s">
        <v>6984</v>
      </c>
      <c r="GBR4" t="s">
        <v>6984</v>
      </c>
      <c r="GBS4" t="s">
        <v>6984</v>
      </c>
      <c r="GBT4" t="s">
        <v>6984</v>
      </c>
      <c r="GBU4" t="s">
        <v>6984</v>
      </c>
      <c r="GBV4" t="s">
        <v>6984</v>
      </c>
      <c r="GBW4" t="s">
        <v>6984</v>
      </c>
      <c r="GBX4" t="s">
        <v>6984</v>
      </c>
      <c r="GBY4" t="s">
        <v>6984</v>
      </c>
      <c r="GBZ4" t="s">
        <v>6984</v>
      </c>
      <c r="GCA4" t="s">
        <v>6984</v>
      </c>
      <c r="GCB4" t="s">
        <v>6984</v>
      </c>
      <c r="GCC4" t="s">
        <v>6984</v>
      </c>
      <c r="GCD4" t="s">
        <v>6984</v>
      </c>
      <c r="GCE4" t="s">
        <v>6984</v>
      </c>
      <c r="GCF4" t="s">
        <v>6984</v>
      </c>
      <c r="GCG4" t="s">
        <v>6984</v>
      </c>
      <c r="GCH4" t="s">
        <v>6984</v>
      </c>
      <c r="GCI4" t="s">
        <v>6984</v>
      </c>
      <c r="GCJ4" t="s">
        <v>6984</v>
      </c>
      <c r="GCK4" t="s">
        <v>6984</v>
      </c>
      <c r="GCL4" t="s">
        <v>6984</v>
      </c>
      <c r="GCM4" t="s">
        <v>6984</v>
      </c>
      <c r="GCN4" t="s">
        <v>6984</v>
      </c>
      <c r="GCO4" t="s">
        <v>6984</v>
      </c>
      <c r="GCP4" t="s">
        <v>6984</v>
      </c>
      <c r="GCQ4" t="s">
        <v>6984</v>
      </c>
      <c r="GCR4" t="s">
        <v>6984</v>
      </c>
      <c r="GCS4" t="s">
        <v>6984</v>
      </c>
      <c r="GCT4" t="s">
        <v>6984</v>
      </c>
      <c r="GCU4" t="s">
        <v>6984</v>
      </c>
      <c r="GCV4" t="s">
        <v>6984</v>
      </c>
      <c r="GCW4" t="s">
        <v>6984</v>
      </c>
      <c r="GCX4" t="s">
        <v>6984</v>
      </c>
      <c r="GCY4" t="s">
        <v>6984</v>
      </c>
      <c r="GCZ4" t="s">
        <v>6984</v>
      </c>
      <c r="GDA4" t="s">
        <v>6984</v>
      </c>
      <c r="GDB4" t="s">
        <v>6984</v>
      </c>
      <c r="GDC4" t="s">
        <v>6984</v>
      </c>
      <c r="GDD4" t="s">
        <v>6984</v>
      </c>
      <c r="GDE4" t="s">
        <v>6984</v>
      </c>
      <c r="GDF4" t="s">
        <v>6984</v>
      </c>
      <c r="GDG4" t="s">
        <v>6984</v>
      </c>
      <c r="GDH4" t="s">
        <v>6984</v>
      </c>
      <c r="GDI4" t="s">
        <v>6984</v>
      </c>
      <c r="GDJ4" t="s">
        <v>6984</v>
      </c>
      <c r="GDK4" t="s">
        <v>6984</v>
      </c>
      <c r="GDL4" t="s">
        <v>6984</v>
      </c>
      <c r="GDM4" t="s">
        <v>6984</v>
      </c>
      <c r="GDN4" t="s">
        <v>6984</v>
      </c>
      <c r="GDO4" t="s">
        <v>6984</v>
      </c>
      <c r="GDP4" t="s">
        <v>6984</v>
      </c>
      <c r="GDQ4" t="s">
        <v>6984</v>
      </c>
      <c r="GDR4" t="s">
        <v>6984</v>
      </c>
      <c r="GDS4" t="s">
        <v>6984</v>
      </c>
      <c r="GDT4" t="s">
        <v>6984</v>
      </c>
      <c r="GDU4" t="s">
        <v>6984</v>
      </c>
      <c r="GDV4" t="s">
        <v>6984</v>
      </c>
      <c r="GDW4" t="s">
        <v>6984</v>
      </c>
      <c r="GDX4" t="s">
        <v>6984</v>
      </c>
      <c r="GDY4" t="s">
        <v>6984</v>
      </c>
      <c r="GDZ4" t="s">
        <v>6984</v>
      </c>
      <c r="GEA4" t="s">
        <v>6984</v>
      </c>
      <c r="GEB4" t="s">
        <v>6984</v>
      </c>
      <c r="GEC4" t="s">
        <v>6984</v>
      </c>
      <c r="GED4" t="s">
        <v>6984</v>
      </c>
      <c r="GEE4" t="s">
        <v>6984</v>
      </c>
      <c r="GEF4" t="s">
        <v>6984</v>
      </c>
      <c r="GEG4" t="s">
        <v>6984</v>
      </c>
      <c r="GEH4" t="s">
        <v>6984</v>
      </c>
      <c r="GEI4" t="s">
        <v>6984</v>
      </c>
      <c r="GEJ4" t="s">
        <v>6984</v>
      </c>
      <c r="GEK4" t="s">
        <v>6984</v>
      </c>
      <c r="GEL4" t="s">
        <v>6984</v>
      </c>
      <c r="GEM4" t="s">
        <v>6984</v>
      </c>
      <c r="GEN4" t="s">
        <v>6984</v>
      </c>
      <c r="GEO4" t="s">
        <v>6984</v>
      </c>
      <c r="GEP4" t="s">
        <v>6984</v>
      </c>
      <c r="GEQ4" t="s">
        <v>6984</v>
      </c>
      <c r="GER4" t="s">
        <v>6984</v>
      </c>
      <c r="GES4" t="s">
        <v>6984</v>
      </c>
      <c r="GET4" t="s">
        <v>6984</v>
      </c>
      <c r="GEU4" t="s">
        <v>6984</v>
      </c>
      <c r="GEV4" t="s">
        <v>6984</v>
      </c>
      <c r="GEW4" t="s">
        <v>6984</v>
      </c>
      <c r="GEX4" t="s">
        <v>6984</v>
      </c>
      <c r="GEY4" t="s">
        <v>6984</v>
      </c>
      <c r="GEZ4" t="s">
        <v>6984</v>
      </c>
      <c r="GFA4" t="s">
        <v>6984</v>
      </c>
      <c r="GFB4" t="s">
        <v>6984</v>
      </c>
      <c r="GFC4" t="s">
        <v>6984</v>
      </c>
      <c r="GFD4" t="s">
        <v>6984</v>
      </c>
      <c r="GFE4" t="s">
        <v>6984</v>
      </c>
      <c r="GFF4" t="s">
        <v>6984</v>
      </c>
      <c r="GFG4" t="s">
        <v>6984</v>
      </c>
      <c r="GFH4" t="s">
        <v>6984</v>
      </c>
      <c r="GFI4" t="s">
        <v>6984</v>
      </c>
      <c r="GFJ4" t="s">
        <v>6984</v>
      </c>
      <c r="GFK4" t="s">
        <v>6984</v>
      </c>
      <c r="GFL4" t="s">
        <v>6984</v>
      </c>
      <c r="GFM4" t="s">
        <v>6984</v>
      </c>
      <c r="GFN4" t="s">
        <v>6984</v>
      </c>
      <c r="GFO4" t="s">
        <v>6984</v>
      </c>
      <c r="GFP4" t="s">
        <v>6984</v>
      </c>
      <c r="GFQ4" t="s">
        <v>6984</v>
      </c>
      <c r="GFR4" t="s">
        <v>6984</v>
      </c>
      <c r="GFS4" t="s">
        <v>6984</v>
      </c>
      <c r="GFT4" t="s">
        <v>6984</v>
      </c>
      <c r="GFU4" t="s">
        <v>6984</v>
      </c>
      <c r="GFV4" t="s">
        <v>6984</v>
      </c>
      <c r="GFW4" t="s">
        <v>6984</v>
      </c>
      <c r="GFX4" t="s">
        <v>6984</v>
      </c>
      <c r="GFY4" t="s">
        <v>6984</v>
      </c>
      <c r="GFZ4" t="s">
        <v>6984</v>
      </c>
      <c r="GGA4" t="s">
        <v>6984</v>
      </c>
      <c r="GGB4" t="s">
        <v>6984</v>
      </c>
      <c r="GGC4" t="s">
        <v>6984</v>
      </c>
      <c r="GGD4" t="s">
        <v>6984</v>
      </c>
      <c r="GGE4" t="s">
        <v>6984</v>
      </c>
      <c r="GGF4" t="s">
        <v>6984</v>
      </c>
      <c r="GGG4" t="s">
        <v>6984</v>
      </c>
      <c r="GGH4" t="s">
        <v>6984</v>
      </c>
      <c r="GGI4" t="s">
        <v>6984</v>
      </c>
      <c r="GGJ4" t="s">
        <v>6984</v>
      </c>
      <c r="GGK4" t="s">
        <v>6984</v>
      </c>
      <c r="GGL4" t="s">
        <v>6984</v>
      </c>
      <c r="GGM4" t="s">
        <v>6984</v>
      </c>
      <c r="GGN4" t="s">
        <v>6984</v>
      </c>
      <c r="GGO4" t="s">
        <v>6984</v>
      </c>
      <c r="GGP4" t="s">
        <v>6984</v>
      </c>
      <c r="GGQ4" t="s">
        <v>6984</v>
      </c>
      <c r="GGR4" t="s">
        <v>6984</v>
      </c>
      <c r="GGS4" t="s">
        <v>6984</v>
      </c>
      <c r="GGT4" t="s">
        <v>6984</v>
      </c>
      <c r="GGU4" t="s">
        <v>6984</v>
      </c>
      <c r="GGV4" t="s">
        <v>6984</v>
      </c>
      <c r="GGW4" t="s">
        <v>6984</v>
      </c>
      <c r="GGX4" t="s">
        <v>6984</v>
      </c>
      <c r="GGY4" t="s">
        <v>6984</v>
      </c>
      <c r="GGZ4" t="s">
        <v>6984</v>
      </c>
      <c r="GHA4" t="s">
        <v>6984</v>
      </c>
      <c r="GHB4" t="s">
        <v>6984</v>
      </c>
      <c r="GHC4" t="s">
        <v>6984</v>
      </c>
      <c r="GHD4" t="s">
        <v>6984</v>
      </c>
      <c r="GHE4" t="s">
        <v>6984</v>
      </c>
      <c r="GHF4" t="s">
        <v>6984</v>
      </c>
      <c r="GHG4" t="s">
        <v>6984</v>
      </c>
      <c r="GHH4" t="s">
        <v>6984</v>
      </c>
      <c r="GHI4" t="s">
        <v>6984</v>
      </c>
      <c r="GHJ4" t="s">
        <v>6984</v>
      </c>
      <c r="GHK4" t="s">
        <v>6984</v>
      </c>
      <c r="GHL4" t="s">
        <v>6984</v>
      </c>
      <c r="GHM4" t="s">
        <v>6984</v>
      </c>
      <c r="GHN4" t="s">
        <v>6984</v>
      </c>
      <c r="GHO4" t="s">
        <v>6984</v>
      </c>
      <c r="GHP4" t="s">
        <v>6984</v>
      </c>
      <c r="GHQ4" t="s">
        <v>6984</v>
      </c>
      <c r="GHR4" t="s">
        <v>6984</v>
      </c>
      <c r="GHS4" t="s">
        <v>6984</v>
      </c>
      <c r="GHT4" t="s">
        <v>6984</v>
      </c>
      <c r="GHU4" t="s">
        <v>6984</v>
      </c>
      <c r="GHV4" t="s">
        <v>6984</v>
      </c>
      <c r="GHW4" t="s">
        <v>6984</v>
      </c>
      <c r="GHX4" t="s">
        <v>6984</v>
      </c>
      <c r="GHY4" t="s">
        <v>6984</v>
      </c>
      <c r="GHZ4" t="s">
        <v>6984</v>
      </c>
      <c r="GIA4" t="s">
        <v>6984</v>
      </c>
      <c r="GIB4" t="s">
        <v>6984</v>
      </c>
      <c r="GIC4" t="s">
        <v>6984</v>
      </c>
      <c r="GID4" t="s">
        <v>6984</v>
      </c>
      <c r="GIE4" t="s">
        <v>6984</v>
      </c>
      <c r="GIF4" t="s">
        <v>6984</v>
      </c>
      <c r="GIG4" t="s">
        <v>6984</v>
      </c>
      <c r="GIH4" t="s">
        <v>6984</v>
      </c>
      <c r="GII4" t="s">
        <v>6984</v>
      </c>
      <c r="GIJ4" t="s">
        <v>6984</v>
      </c>
      <c r="GIK4" t="s">
        <v>6984</v>
      </c>
      <c r="GIL4" t="s">
        <v>6984</v>
      </c>
      <c r="GIM4" t="s">
        <v>6984</v>
      </c>
      <c r="GIN4" t="s">
        <v>6984</v>
      </c>
      <c r="GIO4" t="s">
        <v>6984</v>
      </c>
      <c r="GIP4" t="s">
        <v>6984</v>
      </c>
      <c r="GIQ4" t="s">
        <v>6984</v>
      </c>
      <c r="GIR4" t="s">
        <v>6984</v>
      </c>
      <c r="GIS4" t="s">
        <v>6984</v>
      </c>
      <c r="GIT4" t="s">
        <v>6984</v>
      </c>
      <c r="GIU4" t="s">
        <v>6984</v>
      </c>
      <c r="GIV4" t="s">
        <v>6984</v>
      </c>
      <c r="GIW4" t="s">
        <v>6984</v>
      </c>
      <c r="GIX4" t="s">
        <v>6984</v>
      </c>
      <c r="GIY4" t="s">
        <v>6984</v>
      </c>
      <c r="GIZ4" t="s">
        <v>6984</v>
      </c>
      <c r="GJA4" t="s">
        <v>6984</v>
      </c>
      <c r="GJB4" t="s">
        <v>6984</v>
      </c>
      <c r="GJC4" t="s">
        <v>6984</v>
      </c>
      <c r="GJD4" t="s">
        <v>6984</v>
      </c>
      <c r="GJE4" t="s">
        <v>6984</v>
      </c>
      <c r="GJF4" t="s">
        <v>6984</v>
      </c>
      <c r="GJG4" t="s">
        <v>6984</v>
      </c>
      <c r="GJH4" t="s">
        <v>6984</v>
      </c>
      <c r="GJI4" t="s">
        <v>6984</v>
      </c>
      <c r="GJJ4" t="s">
        <v>6984</v>
      </c>
      <c r="GJK4" t="s">
        <v>6984</v>
      </c>
      <c r="GJL4" t="s">
        <v>6984</v>
      </c>
      <c r="GJM4" t="s">
        <v>6984</v>
      </c>
      <c r="GJN4" t="s">
        <v>6984</v>
      </c>
      <c r="GJO4" t="s">
        <v>6984</v>
      </c>
      <c r="GJP4" t="s">
        <v>6984</v>
      </c>
      <c r="GJQ4" t="s">
        <v>6984</v>
      </c>
      <c r="GJR4" t="s">
        <v>6984</v>
      </c>
      <c r="GJS4" t="s">
        <v>6984</v>
      </c>
      <c r="GJT4" t="s">
        <v>6984</v>
      </c>
      <c r="GJU4" t="s">
        <v>6984</v>
      </c>
      <c r="GJV4" t="s">
        <v>6984</v>
      </c>
      <c r="GJW4" t="s">
        <v>6984</v>
      </c>
      <c r="GJX4" t="s">
        <v>6984</v>
      </c>
      <c r="GJY4" t="s">
        <v>6984</v>
      </c>
      <c r="GJZ4" t="s">
        <v>6984</v>
      </c>
      <c r="GKA4" t="s">
        <v>6984</v>
      </c>
      <c r="GKB4" t="s">
        <v>6984</v>
      </c>
      <c r="GKC4" t="s">
        <v>6984</v>
      </c>
      <c r="GKD4" t="s">
        <v>6984</v>
      </c>
      <c r="GKE4" t="s">
        <v>6984</v>
      </c>
      <c r="GKF4" t="s">
        <v>6984</v>
      </c>
      <c r="GKG4" t="s">
        <v>6984</v>
      </c>
      <c r="GKH4" t="s">
        <v>6984</v>
      </c>
      <c r="GKI4" t="s">
        <v>6984</v>
      </c>
      <c r="GKJ4" t="s">
        <v>6984</v>
      </c>
      <c r="GKK4" t="s">
        <v>6984</v>
      </c>
      <c r="GKL4" t="s">
        <v>6984</v>
      </c>
      <c r="GKM4" t="s">
        <v>6984</v>
      </c>
      <c r="GKN4" t="s">
        <v>6984</v>
      </c>
      <c r="GKO4" t="s">
        <v>6984</v>
      </c>
      <c r="GKP4" t="s">
        <v>6984</v>
      </c>
      <c r="GKQ4" t="s">
        <v>6984</v>
      </c>
      <c r="GKR4" t="s">
        <v>6984</v>
      </c>
      <c r="GKS4" t="s">
        <v>6984</v>
      </c>
      <c r="GKT4" t="s">
        <v>6984</v>
      </c>
      <c r="GKU4" t="s">
        <v>6984</v>
      </c>
      <c r="GKV4" t="s">
        <v>6984</v>
      </c>
      <c r="GKW4" t="s">
        <v>6984</v>
      </c>
      <c r="GKX4" t="s">
        <v>6984</v>
      </c>
      <c r="GKY4" t="s">
        <v>6984</v>
      </c>
      <c r="GKZ4" t="s">
        <v>6984</v>
      </c>
      <c r="GLA4" t="s">
        <v>6984</v>
      </c>
      <c r="GLB4" t="s">
        <v>6984</v>
      </c>
      <c r="GLC4" t="s">
        <v>6984</v>
      </c>
      <c r="GLD4" t="s">
        <v>6984</v>
      </c>
      <c r="GLE4" t="s">
        <v>6984</v>
      </c>
      <c r="GLF4" t="s">
        <v>6984</v>
      </c>
      <c r="GLG4" t="s">
        <v>6984</v>
      </c>
      <c r="GLH4" t="s">
        <v>6984</v>
      </c>
      <c r="GLI4" t="s">
        <v>6984</v>
      </c>
      <c r="GLJ4" t="s">
        <v>6984</v>
      </c>
      <c r="GLK4" t="s">
        <v>6984</v>
      </c>
      <c r="GLL4" t="s">
        <v>6984</v>
      </c>
      <c r="GLM4" t="s">
        <v>6984</v>
      </c>
      <c r="GLN4" t="s">
        <v>6984</v>
      </c>
      <c r="GLO4" t="s">
        <v>6984</v>
      </c>
      <c r="GLP4" t="s">
        <v>6984</v>
      </c>
      <c r="GLQ4" t="s">
        <v>6984</v>
      </c>
      <c r="GLR4" t="s">
        <v>6984</v>
      </c>
      <c r="GLS4" t="s">
        <v>6984</v>
      </c>
      <c r="GLT4" t="s">
        <v>6984</v>
      </c>
      <c r="GLU4" t="s">
        <v>6984</v>
      </c>
      <c r="GLV4" t="s">
        <v>6984</v>
      </c>
      <c r="GLW4" t="s">
        <v>6984</v>
      </c>
      <c r="GLX4" t="s">
        <v>6984</v>
      </c>
      <c r="GLY4" t="s">
        <v>6984</v>
      </c>
      <c r="GLZ4" t="s">
        <v>6984</v>
      </c>
      <c r="GMA4" t="s">
        <v>6984</v>
      </c>
      <c r="GMB4" t="s">
        <v>6984</v>
      </c>
      <c r="GMC4" t="s">
        <v>6984</v>
      </c>
      <c r="GMD4" t="s">
        <v>6984</v>
      </c>
      <c r="GME4" t="s">
        <v>6984</v>
      </c>
      <c r="GMF4" t="s">
        <v>6984</v>
      </c>
      <c r="GMG4" t="s">
        <v>6984</v>
      </c>
      <c r="GMH4" t="s">
        <v>6984</v>
      </c>
      <c r="GMI4" t="s">
        <v>6984</v>
      </c>
      <c r="GMJ4" t="s">
        <v>6984</v>
      </c>
      <c r="GMK4" t="s">
        <v>6984</v>
      </c>
      <c r="GML4" t="s">
        <v>6984</v>
      </c>
      <c r="GMM4" t="s">
        <v>6984</v>
      </c>
      <c r="GMN4" t="s">
        <v>6984</v>
      </c>
      <c r="GMO4" t="s">
        <v>6984</v>
      </c>
      <c r="GMP4" t="s">
        <v>6984</v>
      </c>
      <c r="GMQ4" t="s">
        <v>6984</v>
      </c>
      <c r="GMR4" t="s">
        <v>6984</v>
      </c>
      <c r="GMS4" t="s">
        <v>6984</v>
      </c>
      <c r="GMT4" t="s">
        <v>6984</v>
      </c>
      <c r="GMU4" t="s">
        <v>6984</v>
      </c>
      <c r="GMV4" t="s">
        <v>6984</v>
      </c>
      <c r="GMW4" t="s">
        <v>6984</v>
      </c>
      <c r="GMX4" t="s">
        <v>6984</v>
      </c>
      <c r="GMY4" t="s">
        <v>6984</v>
      </c>
      <c r="GMZ4" t="s">
        <v>6984</v>
      </c>
      <c r="GNA4" t="s">
        <v>6984</v>
      </c>
      <c r="GNB4" t="s">
        <v>6984</v>
      </c>
      <c r="GNC4" t="s">
        <v>6984</v>
      </c>
      <c r="GND4" t="s">
        <v>6984</v>
      </c>
      <c r="GNE4" t="s">
        <v>6984</v>
      </c>
      <c r="GNF4" t="s">
        <v>6984</v>
      </c>
      <c r="GNG4" t="s">
        <v>6984</v>
      </c>
      <c r="GNH4" t="s">
        <v>6984</v>
      </c>
      <c r="GNI4" t="s">
        <v>6984</v>
      </c>
      <c r="GNJ4" t="s">
        <v>6984</v>
      </c>
      <c r="GNK4" t="s">
        <v>6984</v>
      </c>
      <c r="GNL4" t="s">
        <v>6984</v>
      </c>
      <c r="GNM4" t="s">
        <v>6984</v>
      </c>
      <c r="GNN4" t="s">
        <v>6984</v>
      </c>
      <c r="GNO4" t="s">
        <v>6984</v>
      </c>
      <c r="GNP4" t="s">
        <v>6984</v>
      </c>
      <c r="GNQ4" t="s">
        <v>6984</v>
      </c>
      <c r="GNR4" t="s">
        <v>6984</v>
      </c>
      <c r="GNS4" t="s">
        <v>6984</v>
      </c>
      <c r="GNT4" t="s">
        <v>6984</v>
      </c>
      <c r="GNU4" t="s">
        <v>6984</v>
      </c>
      <c r="GNV4" t="s">
        <v>6984</v>
      </c>
      <c r="GNW4" t="s">
        <v>6984</v>
      </c>
      <c r="GNX4" t="s">
        <v>6984</v>
      </c>
      <c r="GNY4" t="s">
        <v>6984</v>
      </c>
      <c r="GNZ4" t="s">
        <v>6984</v>
      </c>
      <c r="GOA4" t="s">
        <v>6984</v>
      </c>
      <c r="GOB4" t="s">
        <v>6984</v>
      </c>
      <c r="GOC4" t="s">
        <v>6984</v>
      </c>
      <c r="GOD4" t="s">
        <v>6984</v>
      </c>
      <c r="GOE4" t="s">
        <v>6984</v>
      </c>
      <c r="GOF4" t="s">
        <v>6984</v>
      </c>
      <c r="GOG4" t="s">
        <v>6984</v>
      </c>
      <c r="GOH4" t="s">
        <v>6984</v>
      </c>
      <c r="GOI4" t="s">
        <v>6984</v>
      </c>
      <c r="GOJ4" t="s">
        <v>6984</v>
      </c>
      <c r="GOK4" t="s">
        <v>6984</v>
      </c>
      <c r="GOL4" t="s">
        <v>6984</v>
      </c>
      <c r="GOM4" t="s">
        <v>6984</v>
      </c>
      <c r="GON4" t="s">
        <v>6984</v>
      </c>
      <c r="GOO4" t="s">
        <v>6984</v>
      </c>
      <c r="GOP4" t="s">
        <v>6984</v>
      </c>
      <c r="GOQ4" t="s">
        <v>6984</v>
      </c>
      <c r="GOR4" t="s">
        <v>6984</v>
      </c>
      <c r="GOS4" t="s">
        <v>6984</v>
      </c>
      <c r="GOT4" t="s">
        <v>6984</v>
      </c>
      <c r="GOU4" t="s">
        <v>6984</v>
      </c>
      <c r="GOV4" t="s">
        <v>6984</v>
      </c>
      <c r="GOW4" t="s">
        <v>6984</v>
      </c>
      <c r="GOX4" t="s">
        <v>6984</v>
      </c>
      <c r="GOY4" t="s">
        <v>6984</v>
      </c>
      <c r="GOZ4" t="s">
        <v>6984</v>
      </c>
      <c r="GPA4" t="s">
        <v>6984</v>
      </c>
      <c r="GPB4" t="s">
        <v>6984</v>
      </c>
      <c r="GPC4" t="s">
        <v>6984</v>
      </c>
      <c r="GPD4" t="s">
        <v>6984</v>
      </c>
      <c r="GPE4" t="s">
        <v>6984</v>
      </c>
      <c r="GPF4" t="s">
        <v>6984</v>
      </c>
      <c r="GPG4" t="s">
        <v>6984</v>
      </c>
      <c r="GPH4" t="s">
        <v>6984</v>
      </c>
      <c r="GPI4" t="s">
        <v>6984</v>
      </c>
      <c r="GPJ4" t="s">
        <v>6984</v>
      </c>
      <c r="GPK4" t="s">
        <v>6984</v>
      </c>
      <c r="GPL4" t="s">
        <v>6984</v>
      </c>
      <c r="GPM4" t="s">
        <v>6984</v>
      </c>
      <c r="GPN4" t="s">
        <v>6984</v>
      </c>
      <c r="GPO4" t="s">
        <v>6984</v>
      </c>
      <c r="GPP4" t="s">
        <v>6984</v>
      </c>
      <c r="GPQ4" t="s">
        <v>6984</v>
      </c>
      <c r="GPR4" t="s">
        <v>6984</v>
      </c>
      <c r="GPS4" t="s">
        <v>6984</v>
      </c>
      <c r="GPT4" t="s">
        <v>6984</v>
      </c>
      <c r="GPU4" t="s">
        <v>6984</v>
      </c>
      <c r="GPV4" t="s">
        <v>6984</v>
      </c>
      <c r="GPW4" t="s">
        <v>6984</v>
      </c>
      <c r="GPX4" t="s">
        <v>6984</v>
      </c>
      <c r="GPY4" t="s">
        <v>6984</v>
      </c>
      <c r="GPZ4" t="s">
        <v>6984</v>
      </c>
      <c r="GQA4" t="s">
        <v>6984</v>
      </c>
      <c r="GQB4" t="s">
        <v>6984</v>
      </c>
      <c r="GQC4" t="s">
        <v>6984</v>
      </c>
      <c r="GQD4" t="s">
        <v>6984</v>
      </c>
      <c r="GQE4" t="s">
        <v>6984</v>
      </c>
      <c r="GQF4" t="s">
        <v>6984</v>
      </c>
      <c r="GQG4" t="s">
        <v>6984</v>
      </c>
      <c r="GQH4" t="s">
        <v>6984</v>
      </c>
      <c r="GQI4" t="s">
        <v>6984</v>
      </c>
      <c r="GQJ4" t="s">
        <v>6984</v>
      </c>
      <c r="GQK4" t="s">
        <v>6984</v>
      </c>
      <c r="GQL4" t="s">
        <v>6984</v>
      </c>
      <c r="GQM4" t="s">
        <v>6984</v>
      </c>
      <c r="GQN4" t="s">
        <v>6984</v>
      </c>
      <c r="GQO4" t="s">
        <v>6984</v>
      </c>
      <c r="GQP4" t="s">
        <v>6984</v>
      </c>
      <c r="GQQ4" t="s">
        <v>6984</v>
      </c>
      <c r="GQR4" t="s">
        <v>6984</v>
      </c>
      <c r="GQS4" t="s">
        <v>6984</v>
      </c>
      <c r="GQT4" t="s">
        <v>6984</v>
      </c>
      <c r="GQU4" t="s">
        <v>6984</v>
      </c>
      <c r="GQV4" t="s">
        <v>6984</v>
      </c>
      <c r="GQW4" t="s">
        <v>6984</v>
      </c>
      <c r="GQX4" t="s">
        <v>6984</v>
      </c>
      <c r="GQY4" t="s">
        <v>6984</v>
      </c>
      <c r="GQZ4" t="s">
        <v>6984</v>
      </c>
      <c r="GRA4" t="s">
        <v>6984</v>
      </c>
      <c r="GRB4" t="s">
        <v>6984</v>
      </c>
      <c r="GRC4" t="s">
        <v>6984</v>
      </c>
      <c r="GRD4" t="s">
        <v>6984</v>
      </c>
      <c r="GRE4" t="s">
        <v>6984</v>
      </c>
      <c r="GRF4" t="s">
        <v>6984</v>
      </c>
      <c r="GRG4" t="s">
        <v>6984</v>
      </c>
      <c r="GRH4" t="s">
        <v>6984</v>
      </c>
      <c r="GRI4" t="s">
        <v>6984</v>
      </c>
      <c r="GRJ4" t="s">
        <v>6984</v>
      </c>
      <c r="GRK4" t="s">
        <v>6984</v>
      </c>
      <c r="GRL4" t="s">
        <v>6984</v>
      </c>
      <c r="GRM4" t="s">
        <v>6984</v>
      </c>
      <c r="GRN4" t="s">
        <v>6984</v>
      </c>
      <c r="GRO4" t="s">
        <v>6984</v>
      </c>
      <c r="GRP4" t="s">
        <v>6984</v>
      </c>
      <c r="GRQ4" t="s">
        <v>6984</v>
      </c>
      <c r="GRR4" t="s">
        <v>6984</v>
      </c>
      <c r="GRS4" t="s">
        <v>6984</v>
      </c>
      <c r="GRT4" t="s">
        <v>6984</v>
      </c>
      <c r="GRU4" t="s">
        <v>6984</v>
      </c>
      <c r="GRV4" t="s">
        <v>6984</v>
      </c>
      <c r="GRW4" t="s">
        <v>6984</v>
      </c>
      <c r="GRX4" t="s">
        <v>6984</v>
      </c>
      <c r="GRY4" t="s">
        <v>6984</v>
      </c>
      <c r="GRZ4" t="s">
        <v>6984</v>
      </c>
      <c r="GSA4" t="s">
        <v>6984</v>
      </c>
      <c r="GSB4" t="s">
        <v>6984</v>
      </c>
      <c r="GSC4" t="s">
        <v>6984</v>
      </c>
      <c r="GSD4" t="s">
        <v>6984</v>
      </c>
      <c r="GSE4" t="s">
        <v>6984</v>
      </c>
      <c r="GSF4" t="s">
        <v>6984</v>
      </c>
      <c r="GSG4" t="s">
        <v>6984</v>
      </c>
      <c r="GSH4" t="s">
        <v>6984</v>
      </c>
      <c r="GSI4" t="s">
        <v>6984</v>
      </c>
      <c r="GSJ4" t="s">
        <v>6984</v>
      </c>
      <c r="GSK4" t="s">
        <v>6984</v>
      </c>
      <c r="GSL4" t="s">
        <v>6984</v>
      </c>
      <c r="GSM4" t="s">
        <v>6984</v>
      </c>
      <c r="GSN4" t="s">
        <v>6984</v>
      </c>
      <c r="GSO4" t="s">
        <v>6984</v>
      </c>
      <c r="GSP4" t="s">
        <v>6984</v>
      </c>
      <c r="GSQ4" t="s">
        <v>6984</v>
      </c>
      <c r="GSR4" t="s">
        <v>6984</v>
      </c>
      <c r="GSS4" t="s">
        <v>6984</v>
      </c>
      <c r="GST4" t="s">
        <v>6984</v>
      </c>
      <c r="GSU4" t="s">
        <v>6984</v>
      </c>
      <c r="GSV4" t="s">
        <v>6984</v>
      </c>
      <c r="GSW4" t="s">
        <v>6984</v>
      </c>
      <c r="GSX4" t="s">
        <v>6984</v>
      </c>
      <c r="GSY4" t="s">
        <v>6984</v>
      </c>
      <c r="GSZ4" t="s">
        <v>6984</v>
      </c>
      <c r="GTA4" t="s">
        <v>6984</v>
      </c>
      <c r="GTB4" t="s">
        <v>6984</v>
      </c>
      <c r="GTC4" t="s">
        <v>6984</v>
      </c>
      <c r="GTD4" t="s">
        <v>6984</v>
      </c>
      <c r="GTE4" t="s">
        <v>6984</v>
      </c>
      <c r="GTF4" t="s">
        <v>6984</v>
      </c>
      <c r="GTG4" t="s">
        <v>6984</v>
      </c>
      <c r="GTH4" t="s">
        <v>6984</v>
      </c>
      <c r="GTI4" t="s">
        <v>6984</v>
      </c>
      <c r="GTJ4" t="s">
        <v>6984</v>
      </c>
      <c r="GTK4" t="s">
        <v>6984</v>
      </c>
      <c r="GTL4" t="s">
        <v>6984</v>
      </c>
      <c r="GTM4" t="s">
        <v>6984</v>
      </c>
      <c r="GTN4" t="s">
        <v>6984</v>
      </c>
      <c r="GTO4" t="s">
        <v>6984</v>
      </c>
      <c r="GTP4" t="s">
        <v>6984</v>
      </c>
      <c r="GTQ4" t="s">
        <v>6984</v>
      </c>
      <c r="GTR4" t="s">
        <v>6984</v>
      </c>
      <c r="GTS4" t="s">
        <v>6984</v>
      </c>
      <c r="GTT4" t="s">
        <v>6984</v>
      </c>
      <c r="GTU4" t="s">
        <v>6984</v>
      </c>
      <c r="GTV4" t="s">
        <v>6984</v>
      </c>
      <c r="GTW4" t="s">
        <v>6984</v>
      </c>
      <c r="GTX4" t="s">
        <v>6984</v>
      </c>
      <c r="GTY4" t="s">
        <v>6984</v>
      </c>
      <c r="GTZ4" t="s">
        <v>6984</v>
      </c>
      <c r="GUA4" t="s">
        <v>6984</v>
      </c>
      <c r="GUB4" t="s">
        <v>6984</v>
      </c>
      <c r="GUC4" t="s">
        <v>6984</v>
      </c>
      <c r="GUD4" t="s">
        <v>6984</v>
      </c>
      <c r="GUE4" t="s">
        <v>6984</v>
      </c>
      <c r="GUF4" t="s">
        <v>6984</v>
      </c>
      <c r="GUG4" t="s">
        <v>6984</v>
      </c>
      <c r="GUH4" t="s">
        <v>6984</v>
      </c>
      <c r="GUI4" t="s">
        <v>6984</v>
      </c>
      <c r="GUJ4" t="s">
        <v>6984</v>
      </c>
      <c r="GUK4" t="s">
        <v>6984</v>
      </c>
      <c r="GUL4" t="s">
        <v>6984</v>
      </c>
      <c r="GUM4" t="s">
        <v>6984</v>
      </c>
      <c r="GUN4" t="s">
        <v>6984</v>
      </c>
      <c r="GUO4" t="s">
        <v>6984</v>
      </c>
      <c r="GUP4" t="s">
        <v>6984</v>
      </c>
      <c r="GUQ4" t="s">
        <v>6984</v>
      </c>
      <c r="GUR4" t="s">
        <v>6984</v>
      </c>
      <c r="GUS4" t="s">
        <v>6984</v>
      </c>
      <c r="GUT4" t="s">
        <v>6984</v>
      </c>
      <c r="GUU4" t="s">
        <v>6984</v>
      </c>
      <c r="GUV4" t="s">
        <v>6984</v>
      </c>
      <c r="GUW4" t="s">
        <v>6984</v>
      </c>
      <c r="GUX4" t="s">
        <v>6984</v>
      </c>
      <c r="GUY4" t="s">
        <v>6984</v>
      </c>
      <c r="GUZ4" t="s">
        <v>6984</v>
      </c>
      <c r="GVA4" t="s">
        <v>6984</v>
      </c>
      <c r="GVB4" t="s">
        <v>6984</v>
      </c>
      <c r="GVC4" t="s">
        <v>6984</v>
      </c>
      <c r="GVD4" t="s">
        <v>6984</v>
      </c>
      <c r="GVE4" t="s">
        <v>6984</v>
      </c>
      <c r="GVF4" t="s">
        <v>6984</v>
      </c>
      <c r="GVG4" t="s">
        <v>6984</v>
      </c>
      <c r="GVH4" t="s">
        <v>6984</v>
      </c>
      <c r="GVI4" t="s">
        <v>6984</v>
      </c>
      <c r="GVJ4" t="s">
        <v>6984</v>
      </c>
      <c r="GVK4" t="s">
        <v>6984</v>
      </c>
      <c r="GVL4" t="s">
        <v>6984</v>
      </c>
      <c r="GVM4" t="s">
        <v>6984</v>
      </c>
      <c r="GVN4" t="s">
        <v>6984</v>
      </c>
      <c r="GVO4" t="s">
        <v>6984</v>
      </c>
      <c r="GVP4" t="s">
        <v>6984</v>
      </c>
      <c r="GVQ4" t="s">
        <v>6984</v>
      </c>
      <c r="GVR4" t="s">
        <v>6984</v>
      </c>
      <c r="GVS4" t="s">
        <v>6984</v>
      </c>
      <c r="GVT4" t="s">
        <v>6984</v>
      </c>
      <c r="GVU4" t="s">
        <v>6984</v>
      </c>
      <c r="GVV4" t="s">
        <v>6984</v>
      </c>
      <c r="GVW4" t="s">
        <v>6984</v>
      </c>
      <c r="GVX4" t="s">
        <v>6984</v>
      </c>
      <c r="GVY4" t="s">
        <v>6984</v>
      </c>
      <c r="GVZ4" t="s">
        <v>6984</v>
      </c>
      <c r="GWA4" t="s">
        <v>6984</v>
      </c>
      <c r="GWB4" t="s">
        <v>6984</v>
      </c>
      <c r="GWC4" t="s">
        <v>6984</v>
      </c>
      <c r="GWD4" t="s">
        <v>6984</v>
      </c>
      <c r="GWE4" t="s">
        <v>6984</v>
      </c>
      <c r="GWF4" t="s">
        <v>6984</v>
      </c>
      <c r="GWG4" t="s">
        <v>6984</v>
      </c>
      <c r="GWH4" t="s">
        <v>6984</v>
      </c>
      <c r="GWI4" t="s">
        <v>6984</v>
      </c>
      <c r="GWJ4" t="s">
        <v>6984</v>
      </c>
      <c r="GWK4" t="s">
        <v>6984</v>
      </c>
      <c r="GWL4" t="s">
        <v>6984</v>
      </c>
      <c r="GWM4" t="s">
        <v>6984</v>
      </c>
      <c r="GWN4" t="s">
        <v>6984</v>
      </c>
      <c r="GWO4" t="s">
        <v>6984</v>
      </c>
      <c r="GWP4" t="s">
        <v>6984</v>
      </c>
      <c r="GWQ4" t="s">
        <v>6984</v>
      </c>
      <c r="GWR4" t="s">
        <v>6984</v>
      </c>
      <c r="GWS4" t="s">
        <v>6984</v>
      </c>
      <c r="GWT4" t="s">
        <v>6984</v>
      </c>
      <c r="GWU4" t="s">
        <v>6984</v>
      </c>
      <c r="GWV4" t="s">
        <v>6984</v>
      </c>
      <c r="GWW4" t="s">
        <v>6984</v>
      </c>
      <c r="GWX4" t="s">
        <v>6984</v>
      </c>
      <c r="GWY4" t="s">
        <v>6984</v>
      </c>
      <c r="GWZ4" t="s">
        <v>6984</v>
      </c>
      <c r="GXA4" t="s">
        <v>6984</v>
      </c>
      <c r="GXB4" t="s">
        <v>6984</v>
      </c>
      <c r="GXC4" t="s">
        <v>6984</v>
      </c>
      <c r="GXD4" t="s">
        <v>6984</v>
      </c>
      <c r="GXE4" t="s">
        <v>6984</v>
      </c>
      <c r="GXF4" t="s">
        <v>6984</v>
      </c>
      <c r="GXG4" t="s">
        <v>6984</v>
      </c>
      <c r="GXH4" t="s">
        <v>6984</v>
      </c>
      <c r="GXI4" t="s">
        <v>6984</v>
      </c>
      <c r="GXJ4" t="s">
        <v>6984</v>
      </c>
      <c r="GXK4" t="s">
        <v>6984</v>
      </c>
      <c r="GXL4" t="s">
        <v>6984</v>
      </c>
      <c r="GXM4" t="s">
        <v>6984</v>
      </c>
      <c r="GXN4" t="s">
        <v>6984</v>
      </c>
      <c r="GXO4" t="s">
        <v>6984</v>
      </c>
      <c r="GXP4" t="s">
        <v>6984</v>
      </c>
      <c r="GXQ4" t="s">
        <v>6984</v>
      </c>
      <c r="GXR4" t="s">
        <v>6984</v>
      </c>
      <c r="GXS4" t="s">
        <v>6984</v>
      </c>
      <c r="GXT4" t="s">
        <v>6984</v>
      </c>
      <c r="GXU4" t="s">
        <v>6984</v>
      </c>
      <c r="GXV4" t="s">
        <v>6984</v>
      </c>
      <c r="GXW4" t="s">
        <v>6984</v>
      </c>
      <c r="GXX4" t="s">
        <v>6984</v>
      </c>
      <c r="GXY4" t="s">
        <v>6984</v>
      </c>
      <c r="GXZ4" t="s">
        <v>6984</v>
      </c>
      <c r="GYA4" t="s">
        <v>6984</v>
      </c>
      <c r="GYB4" t="s">
        <v>6984</v>
      </c>
      <c r="GYC4" t="s">
        <v>6984</v>
      </c>
      <c r="GYD4" t="s">
        <v>6984</v>
      </c>
      <c r="GYE4" t="s">
        <v>6984</v>
      </c>
      <c r="GYF4" t="s">
        <v>6984</v>
      </c>
      <c r="GYG4" t="s">
        <v>6984</v>
      </c>
      <c r="GYH4" t="s">
        <v>6984</v>
      </c>
      <c r="GYI4" t="s">
        <v>6984</v>
      </c>
      <c r="GYJ4" t="s">
        <v>6984</v>
      </c>
      <c r="GYK4" t="s">
        <v>6984</v>
      </c>
      <c r="GYL4" t="s">
        <v>6984</v>
      </c>
      <c r="GYM4" t="s">
        <v>6984</v>
      </c>
      <c r="GYN4" t="s">
        <v>6984</v>
      </c>
      <c r="GYO4" t="s">
        <v>6984</v>
      </c>
      <c r="GYP4" t="s">
        <v>6984</v>
      </c>
      <c r="GYQ4" t="s">
        <v>6984</v>
      </c>
      <c r="GYR4" t="s">
        <v>6984</v>
      </c>
      <c r="GYS4" t="s">
        <v>6984</v>
      </c>
      <c r="GYT4" t="s">
        <v>6984</v>
      </c>
      <c r="GYU4" t="s">
        <v>6984</v>
      </c>
      <c r="GYV4" t="s">
        <v>6984</v>
      </c>
      <c r="GYW4" t="s">
        <v>6984</v>
      </c>
      <c r="GYX4" t="s">
        <v>6984</v>
      </c>
      <c r="GYY4" t="s">
        <v>6984</v>
      </c>
      <c r="GYZ4" t="s">
        <v>6984</v>
      </c>
      <c r="GZA4" t="s">
        <v>6984</v>
      </c>
      <c r="GZB4" t="s">
        <v>6984</v>
      </c>
      <c r="GZC4" t="s">
        <v>6984</v>
      </c>
      <c r="GZD4" t="s">
        <v>6984</v>
      </c>
      <c r="GZE4" t="s">
        <v>6984</v>
      </c>
      <c r="GZF4" t="s">
        <v>6984</v>
      </c>
      <c r="GZG4" t="s">
        <v>6984</v>
      </c>
      <c r="GZH4" t="s">
        <v>6984</v>
      </c>
      <c r="GZI4" t="s">
        <v>6984</v>
      </c>
      <c r="GZJ4" t="s">
        <v>6984</v>
      </c>
      <c r="GZK4" t="s">
        <v>6984</v>
      </c>
      <c r="GZL4" t="s">
        <v>6984</v>
      </c>
      <c r="GZM4" t="s">
        <v>6984</v>
      </c>
      <c r="GZN4" t="s">
        <v>6984</v>
      </c>
      <c r="GZO4" t="s">
        <v>6984</v>
      </c>
      <c r="GZP4" t="s">
        <v>6984</v>
      </c>
      <c r="GZQ4" t="s">
        <v>6984</v>
      </c>
      <c r="GZR4" t="s">
        <v>6984</v>
      </c>
      <c r="GZS4" t="s">
        <v>6984</v>
      </c>
      <c r="GZT4" t="s">
        <v>6984</v>
      </c>
      <c r="GZU4" t="s">
        <v>6984</v>
      </c>
      <c r="GZV4" t="s">
        <v>6984</v>
      </c>
      <c r="GZW4" t="s">
        <v>6984</v>
      </c>
      <c r="GZX4" t="s">
        <v>6984</v>
      </c>
      <c r="GZY4" t="s">
        <v>6984</v>
      </c>
      <c r="GZZ4" t="s">
        <v>6984</v>
      </c>
      <c r="HAA4" t="s">
        <v>6984</v>
      </c>
      <c r="HAB4" t="s">
        <v>6984</v>
      </c>
      <c r="HAC4" t="s">
        <v>6984</v>
      </c>
      <c r="HAD4" t="s">
        <v>6984</v>
      </c>
      <c r="HAE4" t="s">
        <v>6984</v>
      </c>
      <c r="HAF4" t="s">
        <v>6984</v>
      </c>
      <c r="HAG4" t="s">
        <v>6984</v>
      </c>
      <c r="HAH4" t="s">
        <v>6984</v>
      </c>
      <c r="HAI4" t="s">
        <v>6984</v>
      </c>
      <c r="HAJ4" t="s">
        <v>6984</v>
      </c>
      <c r="HAK4" t="s">
        <v>6984</v>
      </c>
      <c r="HAL4" t="s">
        <v>6984</v>
      </c>
      <c r="HAM4" t="s">
        <v>6984</v>
      </c>
      <c r="HAN4" t="s">
        <v>6984</v>
      </c>
      <c r="HAO4" t="s">
        <v>6984</v>
      </c>
      <c r="HAP4" t="s">
        <v>6984</v>
      </c>
      <c r="HAQ4" t="s">
        <v>6984</v>
      </c>
      <c r="HAR4" t="s">
        <v>6984</v>
      </c>
      <c r="HAS4" t="s">
        <v>6984</v>
      </c>
      <c r="HAT4" t="s">
        <v>6984</v>
      </c>
      <c r="HAU4" t="s">
        <v>6984</v>
      </c>
      <c r="HAV4" t="s">
        <v>6984</v>
      </c>
      <c r="HAW4" t="s">
        <v>6984</v>
      </c>
      <c r="HAX4" t="s">
        <v>6984</v>
      </c>
      <c r="HAY4" t="s">
        <v>6984</v>
      </c>
      <c r="HAZ4" t="s">
        <v>6984</v>
      </c>
      <c r="HBA4" t="s">
        <v>6984</v>
      </c>
      <c r="HBB4" t="s">
        <v>6984</v>
      </c>
      <c r="HBC4" t="s">
        <v>6984</v>
      </c>
      <c r="HBD4" t="s">
        <v>6984</v>
      </c>
      <c r="HBE4" t="s">
        <v>6984</v>
      </c>
      <c r="HBF4" t="s">
        <v>6984</v>
      </c>
      <c r="HBG4" t="s">
        <v>6984</v>
      </c>
      <c r="HBH4" t="s">
        <v>6984</v>
      </c>
      <c r="HBI4" t="s">
        <v>6984</v>
      </c>
      <c r="HBJ4" t="s">
        <v>6984</v>
      </c>
      <c r="HBK4" t="s">
        <v>6984</v>
      </c>
      <c r="HBL4" t="s">
        <v>6984</v>
      </c>
      <c r="HBM4" t="s">
        <v>6984</v>
      </c>
      <c r="HBN4" t="s">
        <v>6984</v>
      </c>
      <c r="HBO4" t="s">
        <v>6984</v>
      </c>
      <c r="HBP4" t="s">
        <v>6984</v>
      </c>
      <c r="HBQ4" t="s">
        <v>6984</v>
      </c>
      <c r="HBR4" t="s">
        <v>6984</v>
      </c>
      <c r="HBS4" t="s">
        <v>6984</v>
      </c>
      <c r="HBT4" t="s">
        <v>6984</v>
      </c>
      <c r="HBU4" t="s">
        <v>6984</v>
      </c>
      <c r="HBV4" t="s">
        <v>6984</v>
      </c>
      <c r="HBW4" t="s">
        <v>6984</v>
      </c>
      <c r="HBX4" t="s">
        <v>6984</v>
      </c>
      <c r="HBY4" t="s">
        <v>6984</v>
      </c>
      <c r="HBZ4" t="s">
        <v>6984</v>
      </c>
      <c r="HCA4" t="s">
        <v>6984</v>
      </c>
      <c r="HCB4" t="s">
        <v>6984</v>
      </c>
      <c r="HCC4" t="s">
        <v>6984</v>
      </c>
      <c r="HCD4" t="s">
        <v>6984</v>
      </c>
      <c r="HCE4" t="s">
        <v>6984</v>
      </c>
      <c r="HCF4" t="s">
        <v>6984</v>
      </c>
      <c r="HCG4" t="s">
        <v>6984</v>
      </c>
      <c r="HCH4" t="s">
        <v>6984</v>
      </c>
      <c r="HCI4" t="s">
        <v>6984</v>
      </c>
      <c r="HCJ4" t="s">
        <v>6984</v>
      </c>
      <c r="HCK4" t="s">
        <v>6984</v>
      </c>
      <c r="HCL4" t="s">
        <v>6984</v>
      </c>
      <c r="HCM4" t="s">
        <v>6984</v>
      </c>
      <c r="HCN4" t="s">
        <v>6984</v>
      </c>
      <c r="HCO4" t="s">
        <v>6984</v>
      </c>
      <c r="HCP4" t="s">
        <v>6984</v>
      </c>
      <c r="HCQ4" t="s">
        <v>6984</v>
      </c>
      <c r="HCR4" t="s">
        <v>6984</v>
      </c>
      <c r="HCS4" t="s">
        <v>6984</v>
      </c>
      <c r="HCT4" t="s">
        <v>6984</v>
      </c>
      <c r="HCU4" t="s">
        <v>6984</v>
      </c>
      <c r="HCV4" t="s">
        <v>6984</v>
      </c>
      <c r="HCW4" t="s">
        <v>6984</v>
      </c>
      <c r="HCX4" t="s">
        <v>6984</v>
      </c>
      <c r="HCY4" t="s">
        <v>6984</v>
      </c>
      <c r="HCZ4" t="s">
        <v>6984</v>
      </c>
      <c r="HDA4" t="s">
        <v>6984</v>
      </c>
      <c r="HDB4" t="s">
        <v>6984</v>
      </c>
      <c r="HDC4" t="s">
        <v>6984</v>
      </c>
      <c r="HDD4" t="s">
        <v>6984</v>
      </c>
      <c r="HDE4" t="s">
        <v>6984</v>
      </c>
      <c r="HDF4" t="s">
        <v>6984</v>
      </c>
      <c r="HDG4" t="s">
        <v>6984</v>
      </c>
      <c r="HDH4" t="s">
        <v>6984</v>
      </c>
      <c r="HDI4" t="s">
        <v>6984</v>
      </c>
      <c r="HDJ4" t="s">
        <v>6984</v>
      </c>
      <c r="HDK4" t="s">
        <v>6984</v>
      </c>
      <c r="HDL4" t="s">
        <v>6984</v>
      </c>
      <c r="HDM4" t="s">
        <v>6984</v>
      </c>
      <c r="HDN4" t="s">
        <v>6984</v>
      </c>
      <c r="HDO4" t="s">
        <v>6984</v>
      </c>
      <c r="HDP4" t="s">
        <v>6984</v>
      </c>
      <c r="HDQ4" t="s">
        <v>6984</v>
      </c>
      <c r="HDR4" t="s">
        <v>6984</v>
      </c>
      <c r="HDS4" t="s">
        <v>6984</v>
      </c>
      <c r="HDT4" t="s">
        <v>6984</v>
      </c>
      <c r="HDU4" t="s">
        <v>6984</v>
      </c>
      <c r="HDV4" t="s">
        <v>6984</v>
      </c>
      <c r="HDW4" t="s">
        <v>6984</v>
      </c>
      <c r="HDX4" t="s">
        <v>6984</v>
      </c>
      <c r="HDY4" t="s">
        <v>6984</v>
      </c>
      <c r="HDZ4" t="s">
        <v>6984</v>
      </c>
      <c r="HEA4" t="s">
        <v>6984</v>
      </c>
      <c r="HEB4" t="s">
        <v>6984</v>
      </c>
      <c r="HEC4" t="s">
        <v>6984</v>
      </c>
      <c r="HED4" t="s">
        <v>6984</v>
      </c>
      <c r="HEE4" t="s">
        <v>6984</v>
      </c>
      <c r="HEF4" t="s">
        <v>6984</v>
      </c>
      <c r="HEG4" t="s">
        <v>6984</v>
      </c>
      <c r="HEH4" t="s">
        <v>6984</v>
      </c>
      <c r="HEI4" t="s">
        <v>6984</v>
      </c>
      <c r="HEJ4" t="s">
        <v>6984</v>
      </c>
      <c r="HEK4" t="s">
        <v>6984</v>
      </c>
      <c r="HEL4" t="s">
        <v>6984</v>
      </c>
      <c r="HEM4" t="s">
        <v>6984</v>
      </c>
      <c r="HEN4" t="s">
        <v>6984</v>
      </c>
      <c r="HEO4" t="s">
        <v>6984</v>
      </c>
      <c r="HEP4" t="s">
        <v>6984</v>
      </c>
      <c r="HEQ4" t="s">
        <v>6984</v>
      </c>
      <c r="HER4" t="s">
        <v>6984</v>
      </c>
      <c r="HES4" t="s">
        <v>6984</v>
      </c>
      <c r="HET4" t="s">
        <v>6984</v>
      </c>
      <c r="HEU4" t="s">
        <v>6984</v>
      </c>
      <c r="HEV4" t="s">
        <v>6984</v>
      </c>
      <c r="HEW4" t="s">
        <v>6984</v>
      </c>
      <c r="HEX4" t="s">
        <v>6984</v>
      </c>
      <c r="HEY4" t="s">
        <v>6984</v>
      </c>
      <c r="HEZ4" t="s">
        <v>6984</v>
      </c>
      <c r="HFA4" t="s">
        <v>6984</v>
      </c>
      <c r="HFB4" t="s">
        <v>6984</v>
      </c>
      <c r="HFC4" t="s">
        <v>6984</v>
      </c>
      <c r="HFD4" t="s">
        <v>6984</v>
      </c>
      <c r="HFE4" t="s">
        <v>6984</v>
      </c>
      <c r="HFF4" t="s">
        <v>6984</v>
      </c>
      <c r="HFG4" t="s">
        <v>6984</v>
      </c>
      <c r="HFH4" t="s">
        <v>6984</v>
      </c>
      <c r="HFI4" t="s">
        <v>6984</v>
      </c>
      <c r="HFJ4" t="s">
        <v>6984</v>
      </c>
      <c r="HFK4" t="s">
        <v>6984</v>
      </c>
      <c r="HFL4" t="s">
        <v>6984</v>
      </c>
      <c r="HFM4" t="s">
        <v>6984</v>
      </c>
      <c r="HFN4" t="s">
        <v>6984</v>
      </c>
      <c r="HFO4" t="s">
        <v>6984</v>
      </c>
      <c r="HFP4" t="s">
        <v>6984</v>
      </c>
      <c r="HFQ4" t="s">
        <v>6984</v>
      </c>
      <c r="HFR4" t="s">
        <v>6984</v>
      </c>
      <c r="HFS4" t="s">
        <v>6984</v>
      </c>
      <c r="HFT4" t="s">
        <v>6984</v>
      </c>
      <c r="HFU4" t="s">
        <v>6984</v>
      </c>
      <c r="HFV4" t="s">
        <v>6984</v>
      </c>
      <c r="HFW4" t="s">
        <v>6984</v>
      </c>
      <c r="HFX4" t="s">
        <v>6984</v>
      </c>
      <c r="HFY4" t="s">
        <v>6984</v>
      </c>
      <c r="HFZ4" t="s">
        <v>6984</v>
      </c>
      <c r="HGA4" t="s">
        <v>6984</v>
      </c>
      <c r="HGB4" t="s">
        <v>6984</v>
      </c>
      <c r="HGC4" t="s">
        <v>6984</v>
      </c>
      <c r="HGD4" t="s">
        <v>6984</v>
      </c>
      <c r="HGE4" t="s">
        <v>6984</v>
      </c>
      <c r="HGF4" t="s">
        <v>6984</v>
      </c>
      <c r="HGG4" t="s">
        <v>6984</v>
      </c>
      <c r="HGH4" t="s">
        <v>6984</v>
      </c>
      <c r="HGI4" t="s">
        <v>6984</v>
      </c>
      <c r="HGJ4" t="s">
        <v>6984</v>
      </c>
      <c r="HGK4" t="s">
        <v>6984</v>
      </c>
      <c r="HGL4" t="s">
        <v>6984</v>
      </c>
      <c r="HGM4" t="s">
        <v>6984</v>
      </c>
      <c r="HGN4" t="s">
        <v>6984</v>
      </c>
      <c r="HGO4" t="s">
        <v>6984</v>
      </c>
      <c r="HGP4" t="s">
        <v>6984</v>
      </c>
      <c r="HGQ4" t="s">
        <v>6984</v>
      </c>
      <c r="HGR4" t="s">
        <v>6984</v>
      </c>
      <c r="HGS4" t="s">
        <v>6984</v>
      </c>
      <c r="HGT4" t="s">
        <v>6984</v>
      </c>
      <c r="HGU4" t="s">
        <v>6984</v>
      </c>
      <c r="HGV4" t="s">
        <v>6984</v>
      </c>
      <c r="HGW4" t="s">
        <v>6984</v>
      </c>
      <c r="HGX4" t="s">
        <v>6984</v>
      </c>
      <c r="HGY4" t="s">
        <v>6984</v>
      </c>
      <c r="HGZ4" t="s">
        <v>6984</v>
      </c>
      <c r="HHA4" t="s">
        <v>6984</v>
      </c>
      <c r="HHB4" t="s">
        <v>6984</v>
      </c>
      <c r="HHC4" t="s">
        <v>6984</v>
      </c>
      <c r="HHD4" t="s">
        <v>6984</v>
      </c>
      <c r="HHE4" t="s">
        <v>6984</v>
      </c>
      <c r="HHF4" t="s">
        <v>6984</v>
      </c>
      <c r="HHG4" t="s">
        <v>6984</v>
      </c>
      <c r="HHH4" t="s">
        <v>6984</v>
      </c>
      <c r="HHI4" t="s">
        <v>6984</v>
      </c>
      <c r="HHJ4" t="s">
        <v>6984</v>
      </c>
      <c r="HHK4" t="s">
        <v>6984</v>
      </c>
      <c r="HHL4" t="s">
        <v>6984</v>
      </c>
      <c r="HHM4" t="s">
        <v>6984</v>
      </c>
      <c r="HHN4" t="s">
        <v>6984</v>
      </c>
      <c r="HHO4" t="s">
        <v>6984</v>
      </c>
      <c r="HHP4" t="s">
        <v>6984</v>
      </c>
      <c r="HHQ4" t="s">
        <v>6984</v>
      </c>
      <c r="HHR4" t="s">
        <v>6984</v>
      </c>
      <c r="HHS4" t="s">
        <v>6984</v>
      </c>
      <c r="HHT4" t="s">
        <v>6984</v>
      </c>
      <c r="HHU4" t="s">
        <v>6984</v>
      </c>
      <c r="HHV4" t="s">
        <v>6984</v>
      </c>
      <c r="HHW4" t="s">
        <v>6984</v>
      </c>
      <c r="HHX4" t="s">
        <v>6984</v>
      </c>
      <c r="HHY4" t="s">
        <v>6984</v>
      </c>
      <c r="HHZ4" t="s">
        <v>6984</v>
      </c>
      <c r="HIA4" t="s">
        <v>6984</v>
      </c>
      <c r="HIB4" t="s">
        <v>6984</v>
      </c>
      <c r="HIC4" t="s">
        <v>6984</v>
      </c>
      <c r="HID4" t="s">
        <v>6984</v>
      </c>
      <c r="HIE4" t="s">
        <v>6984</v>
      </c>
      <c r="HIF4" t="s">
        <v>6984</v>
      </c>
      <c r="HIG4" t="s">
        <v>6984</v>
      </c>
      <c r="HIH4" t="s">
        <v>6984</v>
      </c>
      <c r="HII4" t="s">
        <v>6984</v>
      </c>
      <c r="HIJ4" t="s">
        <v>6984</v>
      </c>
      <c r="HIK4" t="s">
        <v>6984</v>
      </c>
      <c r="HIL4" t="s">
        <v>6984</v>
      </c>
      <c r="HIM4" t="s">
        <v>6984</v>
      </c>
      <c r="HIN4" t="s">
        <v>6984</v>
      </c>
      <c r="HIO4" t="s">
        <v>6984</v>
      </c>
      <c r="HIP4" t="s">
        <v>6984</v>
      </c>
      <c r="HIQ4" t="s">
        <v>6984</v>
      </c>
      <c r="HIR4" t="s">
        <v>6984</v>
      </c>
      <c r="HIS4" t="s">
        <v>6984</v>
      </c>
      <c r="HIT4" t="s">
        <v>6984</v>
      </c>
      <c r="HIU4" t="s">
        <v>6984</v>
      </c>
      <c r="HIV4" t="s">
        <v>6984</v>
      </c>
      <c r="HIW4" t="s">
        <v>6984</v>
      </c>
      <c r="HIX4" t="s">
        <v>6984</v>
      </c>
      <c r="HIY4" t="s">
        <v>6984</v>
      </c>
      <c r="HIZ4" t="s">
        <v>6984</v>
      </c>
      <c r="HJA4" t="s">
        <v>6984</v>
      </c>
      <c r="HJB4" t="s">
        <v>6984</v>
      </c>
      <c r="HJC4" t="s">
        <v>6984</v>
      </c>
      <c r="HJD4" t="s">
        <v>6984</v>
      </c>
      <c r="HJE4" t="s">
        <v>6984</v>
      </c>
      <c r="HJF4" t="s">
        <v>6984</v>
      </c>
      <c r="HJG4" t="s">
        <v>6984</v>
      </c>
      <c r="HJH4" t="s">
        <v>6984</v>
      </c>
      <c r="HJI4" t="s">
        <v>6984</v>
      </c>
      <c r="HJJ4" t="s">
        <v>6984</v>
      </c>
      <c r="HJK4" t="s">
        <v>6984</v>
      </c>
      <c r="HJL4" t="s">
        <v>6984</v>
      </c>
      <c r="HJM4" t="s">
        <v>6984</v>
      </c>
      <c r="HJN4" t="s">
        <v>6984</v>
      </c>
      <c r="HJO4" t="s">
        <v>6984</v>
      </c>
      <c r="HJP4" t="s">
        <v>6984</v>
      </c>
      <c r="HJQ4" t="s">
        <v>6984</v>
      </c>
      <c r="HJR4" t="s">
        <v>6984</v>
      </c>
      <c r="HJS4" t="s">
        <v>6984</v>
      </c>
      <c r="HJT4" t="s">
        <v>6984</v>
      </c>
      <c r="HJU4" t="s">
        <v>6984</v>
      </c>
      <c r="HJV4" t="s">
        <v>6984</v>
      </c>
      <c r="HJW4" t="s">
        <v>6984</v>
      </c>
      <c r="HJX4" t="s">
        <v>6984</v>
      </c>
      <c r="HJY4" t="s">
        <v>6984</v>
      </c>
      <c r="HJZ4" t="s">
        <v>6984</v>
      </c>
      <c r="HKA4" t="s">
        <v>6984</v>
      </c>
      <c r="HKB4" t="s">
        <v>6984</v>
      </c>
      <c r="HKC4" t="s">
        <v>6984</v>
      </c>
      <c r="HKD4" t="s">
        <v>6984</v>
      </c>
      <c r="HKE4" t="s">
        <v>6984</v>
      </c>
      <c r="HKF4" t="s">
        <v>6984</v>
      </c>
      <c r="HKG4" t="s">
        <v>6984</v>
      </c>
      <c r="HKH4" t="s">
        <v>6984</v>
      </c>
      <c r="HKI4" t="s">
        <v>6984</v>
      </c>
      <c r="HKJ4" t="s">
        <v>6984</v>
      </c>
      <c r="HKK4" t="s">
        <v>6984</v>
      </c>
      <c r="HKL4" t="s">
        <v>6984</v>
      </c>
      <c r="HKM4" t="s">
        <v>6984</v>
      </c>
      <c r="HKN4" t="s">
        <v>6984</v>
      </c>
      <c r="HKO4" t="s">
        <v>6984</v>
      </c>
      <c r="HKP4" t="s">
        <v>6984</v>
      </c>
      <c r="HKQ4" t="s">
        <v>6984</v>
      </c>
      <c r="HKR4" t="s">
        <v>6984</v>
      </c>
      <c r="HKS4" t="s">
        <v>6984</v>
      </c>
      <c r="HKT4" t="s">
        <v>6984</v>
      </c>
      <c r="HKU4" t="s">
        <v>6984</v>
      </c>
      <c r="HKV4" t="s">
        <v>6984</v>
      </c>
      <c r="HKW4" t="s">
        <v>6984</v>
      </c>
      <c r="HKX4" t="s">
        <v>6984</v>
      </c>
      <c r="HKY4" t="s">
        <v>6984</v>
      </c>
      <c r="HKZ4" t="s">
        <v>6984</v>
      </c>
      <c r="HLA4" t="s">
        <v>6984</v>
      </c>
      <c r="HLB4" t="s">
        <v>6984</v>
      </c>
      <c r="HLC4" t="s">
        <v>6984</v>
      </c>
      <c r="HLD4" t="s">
        <v>6984</v>
      </c>
      <c r="HLE4" t="s">
        <v>6984</v>
      </c>
      <c r="HLF4" t="s">
        <v>6984</v>
      </c>
      <c r="HLG4" t="s">
        <v>6984</v>
      </c>
      <c r="HLH4" t="s">
        <v>6984</v>
      </c>
      <c r="HLI4" t="s">
        <v>6984</v>
      </c>
      <c r="HLJ4" t="s">
        <v>6984</v>
      </c>
      <c r="HLK4" t="s">
        <v>6984</v>
      </c>
      <c r="HLL4" t="s">
        <v>6984</v>
      </c>
      <c r="HLM4" t="s">
        <v>6984</v>
      </c>
      <c r="HLN4" t="s">
        <v>6984</v>
      </c>
      <c r="HLO4" t="s">
        <v>6984</v>
      </c>
      <c r="HLP4" t="s">
        <v>6984</v>
      </c>
      <c r="HLQ4" t="s">
        <v>6984</v>
      </c>
      <c r="HLR4" t="s">
        <v>6984</v>
      </c>
      <c r="HLS4" t="s">
        <v>6984</v>
      </c>
      <c r="HLT4" t="s">
        <v>6984</v>
      </c>
      <c r="HLU4" t="s">
        <v>6984</v>
      </c>
      <c r="HLV4" t="s">
        <v>6984</v>
      </c>
      <c r="HLW4" t="s">
        <v>6984</v>
      </c>
      <c r="HLX4" t="s">
        <v>6984</v>
      </c>
      <c r="HLY4" t="s">
        <v>6984</v>
      </c>
      <c r="HLZ4" t="s">
        <v>6984</v>
      </c>
      <c r="HMA4" t="s">
        <v>6984</v>
      </c>
      <c r="HMB4" t="s">
        <v>6984</v>
      </c>
      <c r="HMC4" t="s">
        <v>6984</v>
      </c>
      <c r="HMD4" t="s">
        <v>6984</v>
      </c>
      <c r="HME4" t="s">
        <v>6984</v>
      </c>
      <c r="HMF4" t="s">
        <v>6984</v>
      </c>
      <c r="HMG4" t="s">
        <v>6984</v>
      </c>
      <c r="HMH4" t="s">
        <v>6984</v>
      </c>
      <c r="HMI4" t="s">
        <v>6984</v>
      </c>
      <c r="HMJ4" t="s">
        <v>6984</v>
      </c>
      <c r="HMK4" t="s">
        <v>6984</v>
      </c>
      <c r="HML4" t="s">
        <v>6984</v>
      </c>
      <c r="HMM4" t="s">
        <v>6984</v>
      </c>
      <c r="HMN4" t="s">
        <v>6984</v>
      </c>
      <c r="HMO4" t="s">
        <v>6984</v>
      </c>
      <c r="HMP4" t="s">
        <v>6984</v>
      </c>
      <c r="HMQ4" t="s">
        <v>6984</v>
      </c>
      <c r="HMR4" t="s">
        <v>6984</v>
      </c>
      <c r="HMS4" t="s">
        <v>6984</v>
      </c>
      <c r="HMT4" t="s">
        <v>6984</v>
      </c>
      <c r="HMU4" t="s">
        <v>6984</v>
      </c>
      <c r="HMV4" t="s">
        <v>6984</v>
      </c>
      <c r="HMW4" t="s">
        <v>6984</v>
      </c>
      <c r="HMX4" t="s">
        <v>6984</v>
      </c>
      <c r="HMY4" t="s">
        <v>6984</v>
      </c>
      <c r="HMZ4" t="s">
        <v>6984</v>
      </c>
      <c r="HNA4" t="s">
        <v>6984</v>
      </c>
      <c r="HNB4" t="s">
        <v>6984</v>
      </c>
      <c r="HNC4" t="s">
        <v>6984</v>
      </c>
      <c r="HND4" t="s">
        <v>6984</v>
      </c>
      <c r="HNE4" t="s">
        <v>6984</v>
      </c>
      <c r="HNF4" t="s">
        <v>6984</v>
      </c>
      <c r="HNG4" t="s">
        <v>6984</v>
      </c>
      <c r="HNH4" t="s">
        <v>6984</v>
      </c>
      <c r="HNI4" t="s">
        <v>6984</v>
      </c>
      <c r="HNJ4" t="s">
        <v>6984</v>
      </c>
      <c r="HNK4" t="s">
        <v>6984</v>
      </c>
      <c r="HNL4" t="s">
        <v>6984</v>
      </c>
      <c r="HNM4" t="s">
        <v>6984</v>
      </c>
      <c r="HNN4" t="s">
        <v>6984</v>
      </c>
      <c r="HNO4" t="s">
        <v>6984</v>
      </c>
      <c r="HNP4" t="s">
        <v>6984</v>
      </c>
      <c r="HNQ4" t="s">
        <v>6984</v>
      </c>
      <c r="HNR4" t="s">
        <v>6984</v>
      </c>
      <c r="HNS4" t="s">
        <v>6984</v>
      </c>
      <c r="HNT4" t="s">
        <v>6984</v>
      </c>
      <c r="HNU4" t="s">
        <v>6984</v>
      </c>
      <c r="HNV4" t="s">
        <v>6984</v>
      </c>
      <c r="HNW4" t="s">
        <v>6984</v>
      </c>
      <c r="HNX4" t="s">
        <v>6984</v>
      </c>
      <c r="HNY4" t="s">
        <v>6984</v>
      </c>
      <c r="HNZ4" t="s">
        <v>6984</v>
      </c>
      <c r="HOA4" t="s">
        <v>6984</v>
      </c>
      <c r="HOB4" t="s">
        <v>6984</v>
      </c>
      <c r="HOC4" t="s">
        <v>6984</v>
      </c>
      <c r="HOD4" t="s">
        <v>6984</v>
      </c>
      <c r="HOE4" t="s">
        <v>6984</v>
      </c>
      <c r="HOF4" t="s">
        <v>6984</v>
      </c>
      <c r="HOG4" t="s">
        <v>6984</v>
      </c>
      <c r="HOH4" t="s">
        <v>6984</v>
      </c>
      <c r="HOI4" t="s">
        <v>6984</v>
      </c>
      <c r="HOJ4" t="s">
        <v>6984</v>
      </c>
      <c r="HOK4" t="s">
        <v>6984</v>
      </c>
      <c r="HOL4" t="s">
        <v>6984</v>
      </c>
      <c r="HOM4" t="s">
        <v>6984</v>
      </c>
      <c r="HON4" t="s">
        <v>6984</v>
      </c>
      <c r="HOO4" t="s">
        <v>6984</v>
      </c>
      <c r="HOP4" t="s">
        <v>6984</v>
      </c>
      <c r="HOQ4" t="s">
        <v>6984</v>
      </c>
      <c r="HOR4" t="s">
        <v>6984</v>
      </c>
      <c r="HOS4" t="s">
        <v>6984</v>
      </c>
      <c r="HOT4" t="s">
        <v>6984</v>
      </c>
      <c r="HOU4" t="s">
        <v>6984</v>
      </c>
      <c r="HOV4" t="s">
        <v>6984</v>
      </c>
      <c r="HOW4" t="s">
        <v>6984</v>
      </c>
      <c r="HOX4" t="s">
        <v>6984</v>
      </c>
      <c r="HOY4" t="s">
        <v>6984</v>
      </c>
      <c r="HOZ4" t="s">
        <v>6984</v>
      </c>
      <c r="HPA4" t="s">
        <v>6984</v>
      </c>
      <c r="HPB4" t="s">
        <v>6984</v>
      </c>
      <c r="HPC4" t="s">
        <v>6984</v>
      </c>
      <c r="HPD4" t="s">
        <v>6984</v>
      </c>
      <c r="HPE4" t="s">
        <v>6984</v>
      </c>
      <c r="HPF4" t="s">
        <v>6984</v>
      </c>
      <c r="HPG4" t="s">
        <v>6984</v>
      </c>
      <c r="HPH4" t="s">
        <v>6984</v>
      </c>
      <c r="HPI4" t="s">
        <v>6984</v>
      </c>
      <c r="HPJ4" t="s">
        <v>6984</v>
      </c>
      <c r="HPK4" t="s">
        <v>6984</v>
      </c>
      <c r="HPL4" t="s">
        <v>6984</v>
      </c>
      <c r="HPM4" t="s">
        <v>6984</v>
      </c>
      <c r="HPN4" t="s">
        <v>6984</v>
      </c>
      <c r="HPO4" t="s">
        <v>6984</v>
      </c>
      <c r="HPP4" t="s">
        <v>6984</v>
      </c>
      <c r="HPQ4" t="s">
        <v>6984</v>
      </c>
      <c r="HPR4" t="s">
        <v>6984</v>
      </c>
      <c r="HPS4" t="s">
        <v>6984</v>
      </c>
      <c r="HPT4" t="s">
        <v>6984</v>
      </c>
      <c r="HPU4" t="s">
        <v>6984</v>
      </c>
      <c r="HPV4" t="s">
        <v>6984</v>
      </c>
      <c r="HPW4" t="s">
        <v>6984</v>
      </c>
      <c r="HPX4" t="s">
        <v>6984</v>
      </c>
      <c r="HPY4" t="s">
        <v>6984</v>
      </c>
      <c r="HPZ4" t="s">
        <v>6984</v>
      </c>
      <c r="HQA4" t="s">
        <v>6984</v>
      </c>
      <c r="HQB4" t="s">
        <v>6984</v>
      </c>
      <c r="HQC4" t="s">
        <v>6984</v>
      </c>
      <c r="HQD4" t="s">
        <v>6984</v>
      </c>
      <c r="HQE4" t="s">
        <v>6984</v>
      </c>
      <c r="HQF4" t="s">
        <v>6984</v>
      </c>
      <c r="HQG4" t="s">
        <v>6984</v>
      </c>
      <c r="HQH4" t="s">
        <v>6984</v>
      </c>
      <c r="HQI4" t="s">
        <v>6984</v>
      </c>
      <c r="HQJ4" t="s">
        <v>6984</v>
      </c>
      <c r="HQK4" t="s">
        <v>6984</v>
      </c>
      <c r="HQL4" t="s">
        <v>6984</v>
      </c>
      <c r="HQM4" t="s">
        <v>6984</v>
      </c>
      <c r="HQN4" t="s">
        <v>6984</v>
      </c>
      <c r="HQO4" t="s">
        <v>6984</v>
      </c>
      <c r="HQP4" t="s">
        <v>6984</v>
      </c>
      <c r="HQQ4" t="s">
        <v>6984</v>
      </c>
      <c r="HQR4" t="s">
        <v>6984</v>
      </c>
      <c r="HQS4" t="s">
        <v>6984</v>
      </c>
      <c r="HQT4" t="s">
        <v>6984</v>
      </c>
      <c r="HQU4" t="s">
        <v>6984</v>
      </c>
      <c r="HQV4" t="s">
        <v>6984</v>
      </c>
      <c r="HQW4" t="s">
        <v>6984</v>
      </c>
      <c r="HQX4" t="s">
        <v>6984</v>
      </c>
      <c r="HQY4" t="s">
        <v>6984</v>
      </c>
      <c r="HQZ4" t="s">
        <v>6984</v>
      </c>
      <c r="HRA4" t="s">
        <v>6984</v>
      </c>
      <c r="HRB4" t="s">
        <v>6984</v>
      </c>
      <c r="HRC4" t="s">
        <v>6984</v>
      </c>
      <c r="HRD4" t="s">
        <v>6984</v>
      </c>
      <c r="HRE4" t="s">
        <v>6984</v>
      </c>
      <c r="HRF4" t="s">
        <v>6984</v>
      </c>
      <c r="HRG4" t="s">
        <v>6984</v>
      </c>
      <c r="HRH4" t="s">
        <v>6984</v>
      </c>
      <c r="HRI4" t="s">
        <v>6984</v>
      </c>
      <c r="HRJ4" t="s">
        <v>6984</v>
      </c>
      <c r="HRK4" t="s">
        <v>6984</v>
      </c>
      <c r="HRL4" t="s">
        <v>6984</v>
      </c>
      <c r="HRM4" t="s">
        <v>6984</v>
      </c>
      <c r="HRN4" t="s">
        <v>6984</v>
      </c>
      <c r="HRO4" t="s">
        <v>6984</v>
      </c>
      <c r="HRP4" t="s">
        <v>6984</v>
      </c>
      <c r="HRQ4" t="s">
        <v>6984</v>
      </c>
      <c r="HRR4" t="s">
        <v>6984</v>
      </c>
      <c r="HRS4" t="s">
        <v>6984</v>
      </c>
      <c r="HRT4" t="s">
        <v>6984</v>
      </c>
      <c r="HRU4" t="s">
        <v>6984</v>
      </c>
      <c r="HRV4" t="s">
        <v>6984</v>
      </c>
      <c r="HRW4" t="s">
        <v>6984</v>
      </c>
      <c r="HRX4" t="s">
        <v>6984</v>
      </c>
      <c r="HRY4" t="s">
        <v>6984</v>
      </c>
      <c r="HRZ4" t="s">
        <v>6984</v>
      </c>
      <c r="HSA4" t="s">
        <v>6984</v>
      </c>
      <c r="HSB4" t="s">
        <v>6984</v>
      </c>
      <c r="HSC4" t="s">
        <v>6984</v>
      </c>
      <c r="HSD4" t="s">
        <v>6984</v>
      </c>
      <c r="HSE4" t="s">
        <v>6984</v>
      </c>
      <c r="HSF4" t="s">
        <v>6984</v>
      </c>
      <c r="HSG4" t="s">
        <v>6984</v>
      </c>
      <c r="HSH4" t="s">
        <v>6984</v>
      </c>
      <c r="HSI4" t="s">
        <v>6984</v>
      </c>
      <c r="HSJ4" t="s">
        <v>6984</v>
      </c>
      <c r="HSK4" t="s">
        <v>6984</v>
      </c>
      <c r="HSL4" t="s">
        <v>6984</v>
      </c>
      <c r="HSM4" t="s">
        <v>6984</v>
      </c>
      <c r="HSN4" t="s">
        <v>6984</v>
      </c>
      <c r="HSO4" t="s">
        <v>6984</v>
      </c>
      <c r="HSP4" t="s">
        <v>6984</v>
      </c>
      <c r="HSQ4" t="s">
        <v>6984</v>
      </c>
      <c r="HSR4" t="s">
        <v>6984</v>
      </c>
      <c r="HSS4" t="s">
        <v>6984</v>
      </c>
      <c r="HST4" t="s">
        <v>6984</v>
      </c>
      <c r="HSU4" t="s">
        <v>6984</v>
      </c>
      <c r="HSV4" t="s">
        <v>6984</v>
      </c>
      <c r="HSW4" t="s">
        <v>6984</v>
      </c>
      <c r="HSX4" t="s">
        <v>6984</v>
      </c>
      <c r="HSY4" t="s">
        <v>6984</v>
      </c>
      <c r="HSZ4" t="s">
        <v>6984</v>
      </c>
      <c r="HTA4" t="s">
        <v>6984</v>
      </c>
      <c r="HTB4" t="s">
        <v>6984</v>
      </c>
      <c r="HTC4" t="s">
        <v>6984</v>
      </c>
      <c r="HTD4" t="s">
        <v>6984</v>
      </c>
      <c r="HTE4" t="s">
        <v>6984</v>
      </c>
      <c r="HTF4" t="s">
        <v>6984</v>
      </c>
      <c r="HTG4" t="s">
        <v>6984</v>
      </c>
      <c r="HTH4" t="s">
        <v>6984</v>
      </c>
      <c r="HTI4" t="s">
        <v>6984</v>
      </c>
      <c r="HTJ4" t="s">
        <v>6984</v>
      </c>
      <c r="HTK4" t="s">
        <v>6984</v>
      </c>
      <c r="HTL4" t="s">
        <v>6984</v>
      </c>
      <c r="HTM4" t="s">
        <v>6984</v>
      </c>
      <c r="HTN4" t="s">
        <v>6984</v>
      </c>
      <c r="HTO4" t="s">
        <v>6984</v>
      </c>
      <c r="HTP4" t="s">
        <v>6984</v>
      </c>
      <c r="HTQ4" t="s">
        <v>6984</v>
      </c>
      <c r="HTR4" t="s">
        <v>6984</v>
      </c>
      <c r="HTS4" t="s">
        <v>6984</v>
      </c>
      <c r="HTT4" t="s">
        <v>6984</v>
      </c>
      <c r="HTU4" t="s">
        <v>6984</v>
      </c>
      <c r="HTV4" t="s">
        <v>6984</v>
      </c>
      <c r="HTW4" t="s">
        <v>6984</v>
      </c>
      <c r="HTX4" t="s">
        <v>6984</v>
      </c>
      <c r="HTY4" t="s">
        <v>6984</v>
      </c>
      <c r="HTZ4" t="s">
        <v>6984</v>
      </c>
      <c r="HUA4" t="s">
        <v>6984</v>
      </c>
      <c r="HUB4" t="s">
        <v>6984</v>
      </c>
      <c r="HUC4" t="s">
        <v>6984</v>
      </c>
      <c r="HUD4" t="s">
        <v>6984</v>
      </c>
      <c r="HUE4" t="s">
        <v>6984</v>
      </c>
      <c r="HUF4" t="s">
        <v>6984</v>
      </c>
      <c r="HUG4" t="s">
        <v>6984</v>
      </c>
      <c r="HUH4" t="s">
        <v>6984</v>
      </c>
      <c r="HUI4" t="s">
        <v>6984</v>
      </c>
      <c r="HUJ4" t="s">
        <v>6984</v>
      </c>
      <c r="HUK4" t="s">
        <v>6984</v>
      </c>
      <c r="HUL4" t="s">
        <v>6984</v>
      </c>
      <c r="HUM4" t="s">
        <v>6984</v>
      </c>
      <c r="HUN4" t="s">
        <v>6984</v>
      </c>
      <c r="HUO4" t="s">
        <v>6984</v>
      </c>
      <c r="HUP4" t="s">
        <v>6984</v>
      </c>
      <c r="HUQ4" t="s">
        <v>6984</v>
      </c>
      <c r="HUR4" t="s">
        <v>6984</v>
      </c>
      <c r="HUS4" t="s">
        <v>6984</v>
      </c>
      <c r="HUT4" t="s">
        <v>6984</v>
      </c>
      <c r="HUU4" t="s">
        <v>6984</v>
      </c>
      <c r="HUV4" t="s">
        <v>6984</v>
      </c>
      <c r="HUW4" t="s">
        <v>6984</v>
      </c>
      <c r="HUX4" t="s">
        <v>6984</v>
      </c>
      <c r="HUY4" t="s">
        <v>6984</v>
      </c>
      <c r="HUZ4" t="s">
        <v>6984</v>
      </c>
      <c r="HVA4" t="s">
        <v>6984</v>
      </c>
      <c r="HVB4" t="s">
        <v>6984</v>
      </c>
      <c r="HVC4" t="s">
        <v>6984</v>
      </c>
      <c r="HVD4" t="s">
        <v>6984</v>
      </c>
      <c r="HVE4" t="s">
        <v>6984</v>
      </c>
      <c r="HVF4" t="s">
        <v>6984</v>
      </c>
      <c r="HVG4" t="s">
        <v>6984</v>
      </c>
      <c r="HVH4" t="s">
        <v>6984</v>
      </c>
      <c r="HVI4" t="s">
        <v>6984</v>
      </c>
      <c r="HVJ4" t="s">
        <v>6984</v>
      </c>
      <c r="HVK4" t="s">
        <v>6984</v>
      </c>
      <c r="HVL4" t="s">
        <v>6984</v>
      </c>
      <c r="HVM4" t="s">
        <v>6984</v>
      </c>
      <c r="HVN4" t="s">
        <v>6984</v>
      </c>
      <c r="HVO4" t="s">
        <v>6984</v>
      </c>
      <c r="HVP4" t="s">
        <v>6984</v>
      </c>
      <c r="HVQ4" t="s">
        <v>6984</v>
      </c>
      <c r="HVR4" t="s">
        <v>6984</v>
      </c>
      <c r="HVS4" t="s">
        <v>6984</v>
      </c>
      <c r="HVT4" t="s">
        <v>6984</v>
      </c>
      <c r="HVU4" t="s">
        <v>6984</v>
      </c>
      <c r="HVV4" t="s">
        <v>6984</v>
      </c>
      <c r="HVW4" t="s">
        <v>6984</v>
      </c>
      <c r="HVX4" t="s">
        <v>6984</v>
      </c>
      <c r="HVY4" t="s">
        <v>6984</v>
      </c>
      <c r="HVZ4" t="s">
        <v>6984</v>
      </c>
      <c r="HWA4" t="s">
        <v>6984</v>
      </c>
      <c r="HWB4" t="s">
        <v>6984</v>
      </c>
      <c r="HWC4" t="s">
        <v>6984</v>
      </c>
      <c r="HWD4" t="s">
        <v>6984</v>
      </c>
      <c r="HWE4" t="s">
        <v>6984</v>
      </c>
      <c r="HWF4" t="s">
        <v>6984</v>
      </c>
      <c r="HWG4" t="s">
        <v>6984</v>
      </c>
      <c r="HWH4" t="s">
        <v>6984</v>
      </c>
      <c r="HWI4" t="s">
        <v>6984</v>
      </c>
      <c r="HWJ4" t="s">
        <v>6984</v>
      </c>
      <c r="HWK4" t="s">
        <v>6984</v>
      </c>
      <c r="HWL4" t="s">
        <v>6984</v>
      </c>
      <c r="HWM4" t="s">
        <v>6984</v>
      </c>
      <c r="HWN4" t="s">
        <v>6984</v>
      </c>
      <c r="HWO4" t="s">
        <v>6984</v>
      </c>
      <c r="HWP4" t="s">
        <v>6984</v>
      </c>
      <c r="HWQ4" t="s">
        <v>6984</v>
      </c>
      <c r="HWR4" t="s">
        <v>6984</v>
      </c>
      <c r="HWS4" t="s">
        <v>6984</v>
      </c>
      <c r="HWT4" t="s">
        <v>6984</v>
      </c>
      <c r="HWU4" t="s">
        <v>6984</v>
      </c>
      <c r="HWV4" t="s">
        <v>6984</v>
      </c>
      <c r="HWW4" t="s">
        <v>6984</v>
      </c>
      <c r="HWX4" t="s">
        <v>6984</v>
      </c>
      <c r="HWY4" t="s">
        <v>6984</v>
      </c>
      <c r="HWZ4" t="s">
        <v>6984</v>
      </c>
      <c r="HXA4" t="s">
        <v>6984</v>
      </c>
      <c r="HXB4" t="s">
        <v>6984</v>
      </c>
      <c r="HXC4" t="s">
        <v>6984</v>
      </c>
      <c r="HXD4" t="s">
        <v>6984</v>
      </c>
      <c r="HXE4" t="s">
        <v>6984</v>
      </c>
      <c r="HXF4" t="s">
        <v>6984</v>
      </c>
      <c r="HXG4" t="s">
        <v>6984</v>
      </c>
      <c r="HXH4" t="s">
        <v>6984</v>
      </c>
      <c r="HXI4" t="s">
        <v>6984</v>
      </c>
      <c r="HXJ4" t="s">
        <v>6984</v>
      </c>
      <c r="HXK4" t="s">
        <v>6984</v>
      </c>
      <c r="HXL4" t="s">
        <v>6984</v>
      </c>
      <c r="HXM4" t="s">
        <v>6984</v>
      </c>
      <c r="HXN4" t="s">
        <v>6984</v>
      </c>
      <c r="HXO4" t="s">
        <v>6984</v>
      </c>
      <c r="HXP4" t="s">
        <v>6984</v>
      </c>
      <c r="HXQ4" t="s">
        <v>6984</v>
      </c>
      <c r="HXR4" t="s">
        <v>6984</v>
      </c>
      <c r="HXS4" t="s">
        <v>6984</v>
      </c>
      <c r="HXT4" t="s">
        <v>6984</v>
      </c>
      <c r="HXU4" t="s">
        <v>6984</v>
      </c>
      <c r="HXV4" t="s">
        <v>6984</v>
      </c>
      <c r="HXW4" t="s">
        <v>6984</v>
      </c>
      <c r="HXX4" t="s">
        <v>6984</v>
      </c>
      <c r="HXY4" t="s">
        <v>6984</v>
      </c>
      <c r="HXZ4" t="s">
        <v>6984</v>
      </c>
      <c r="HYA4" t="s">
        <v>6984</v>
      </c>
      <c r="HYB4" t="s">
        <v>6984</v>
      </c>
      <c r="HYC4" t="s">
        <v>6984</v>
      </c>
      <c r="HYD4" t="s">
        <v>6984</v>
      </c>
      <c r="HYE4" t="s">
        <v>6984</v>
      </c>
      <c r="HYF4" t="s">
        <v>6984</v>
      </c>
      <c r="HYG4" t="s">
        <v>6984</v>
      </c>
      <c r="HYH4" t="s">
        <v>6984</v>
      </c>
      <c r="HYI4" t="s">
        <v>6984</v>
      </c>
      <c r="HYJ4" t="s">
        <v>6984</v>
      </c>
      <c r="HYK4" t="s">
        <v>6984</v>
      </c>
      <c r="HYL4" t="s">
        <v>6984</v>
      </c>
      <c r="HYM4" t="s">
        <v>6984</v>
      </c>
      <c r="HYN4" t="s">
        <v>6984</v>
      </c>
      <c r="HYO4" t="s">
        <v>6984</v>
      </c>
      <c r="HYP4" t="s">
        <v>6984</v>
      </c>
      <c r="HYQ4" t="s">
        <v>6984</v>
      </c>
      <c r="HYR4" t="s">
        <v>6984</v>
      </c>
      <c r="HYS4" t="s">
        <v>6984</v>
      </c>
      <c r="HYT4" t="s">
        <v>6984</v>
      </c>
      <c r="HYU4" t="s">
        <v>6984</v>
      </c>
      <c r="HYV4" t="s">
        <v>6984</v>
      </c>
      <c r="HYW4" t="s">
        <v>6984</v>
      </c>
      <c r="HYX4" t="s">
        <v>6984</v>
      </c>
      <c r="HYY4" t="s">
        <v>6984</v>
      </c>
      <c r="HYZ4" t="s">
        <v>6984</v>
      </c>
      <c r="HZA4" t="s">
        <v>6984</v>
      </c>
      <c r="HZB4" t="s">
        <v>6984</v>
      </c>
      <c r="HZC4" t="s">
        <v>6984</v>
      </c>
      <c r="HZD4" t="s">
        <v>6984</v>
      </c>
      <c r="HZE4" t="s">
        <v>6984</v>
      </c>
      <c r="HZF4" t="s">
        <v>6984</v>
      </c>
      <c r="HZG4" t="s">
        <v>6984</v>
      </c>
      <c r="HZH4" t="s">
        <v>6984</v>
      </c>
      <c r="HZI4" t="s">
        <v>6984</v>
      </c>
      <c r="HZJ4" t="s">
        <v>6984</v>
      </c>
      <c r="HZK4" t="s">
        <v>6984</v>
      </c>
      <c r="HZL4" t="s">
        <v>6984</v>
      </c>
      <c r="HZM4" t="s">
        <v>6984</v>
      </c>
      <c r="HZN4" t="s">
        <v>6984</v>
      </c>
      <c r="HZO4" t="s">
        <v>6984</v>
      </c>
      <c r="HZP4" t="s">
        <v>6984</v>
      </c>
      <c r="HZQ4" t="s">
        <v>6984</v>
      </c>
      <c r="HZR4" t="s">
        <v>6984</v>
      </c>
      <c r="HZS4" t="s">
        <v>6984</v>
      </c>
      <c r="HZT4" t="s">
        <v>6984</v>
      </c>
      <c r="HZU4" t="s">
        <v>6984</v>
      </c>
      <c r="HZV4" t="s">
        <v>6984</v>
      </c>
      <c r="HZW4" t="s">
        <v>6984</v>
      </c>
      <c r="HZX4" t="s">
        <v>6984</v>
      </c>
      <c r="HZY4" t="s">
        <v>6984</v>
      </c>
      <c r="HZZ4" t="s">
        <v>6984</v>
      </c>
      <c r="IAA4" t="s">
        <v>6984</v>
      </c>
      <c r="IAB4" t="s">
        <v>6984</v>
      </c>
      <c r="IAC4" t="s">
        <v>6984</v>
      </c>
      <c r="IAD4" t="s">
        <v>6984</v>
      </c>
      <c r="IAE4" t="s">
        <v>6984</v>
      </c>
      <c r="IAF4" t="s">
        <v>6984</v>
      </c>
      <c r="IAG4" t="s">
        <v>6984</v>
      </c>
      <c r="IAH4" t="s">
        <v>6984</v>
      </c>
      <c r="IAI4" t="s">
        <v>6984</v>
      </c>
      <c r="IAJ4" t="s">
        <v>6984</v>
      </c>
      <c r="IAK4" t="s">
        <v>6984</v>
      </c>
      <c r="IAL4" t="s">
        <v>6984</v>
      </c>
      <c r="IAM4" t="s">
        <v>6984</v>
      </c>
      <c r="IAN4" t="s">
        <v>6984</v>
      </c>
      <c r="IAO4" t="s">
        <v>6984</v>
      </c>
      <c r="IAP4" t="s">
        <v>6984</v>
      </c>
      <c r="IAQ4" t="s">
        <v>6984</v>
      </c>
      <c r="IAR4" t="s">
        <v>6984</v>
      </c>
      <c r="IAS4" t="s">
        <v>6984</v>
      </c>
      <c r="IAT4" t="s">
        <v>6984</v>
      </c>
      <c r="IAU4" t="s">
        <v>6984</v>
      </c>
      <c r="IAV4" t="s">
        <v>6984</v>
      </c>
      <c r="IAW4" t="s">
        <v>6984</v>
      </c>
      <c r="IAX4" t="s">
        <v>6984</v>
      </c>
      <c r="IAY4" t="s">
        <v>6984</v>
      </c>
      <c r="IAZ4" t="s">
        <v>6984</v>
      </c>
      <c r="IBA4" t="s">
        <v>6984</v>
      </c>
      <c r="IBB4" t="s">
        <v>6984</v>
      </c>
      <c r="IBC4" t="s">
        <v>6984</v>
      </c>
      <c r="IBD4" t="s">
        <v>6984</v>
      </c>
      <c r="IBE4" t="s">
        <v>6984</v>
      </c>
      <c r="IBF4" t="s">
        <v>6984</v>
      </c>
      <c r="IBG4" t="s">
        <v>6984</v>
      </c>
      <c r="IBH4" t="s">
        <v>6984</v>
      </c>
      <c r="IBI4" t="s">
        <v>6984</v>
      </c>
      <c r="IBJ4" t="s">
        <v>6984</v>
      </c>
      <c r="IBK4" t="s">
        <v>6984</v>
      </c>
      <c r="IBL4" t="s">
        <v>6984</v>
      </c>
      <c r="IBM4" t="s">
        <v>6984</v>
      </c>
      <c r="IBN4" t="s">
        <v>6984</v>
      </c>
      <c r="IBO4" t="s">
        <v>6984</v>
      </c>
      <c r="IBP4" t="s">
        <v>6984</v>
      </c>
      <c r="IBQ4" t="s">
        <v>6984</v>
      </c>
      <c r="IBR4" t="s">
        <v>6984</v>
      </c>
      <c r="IBS4" t="s">
        <v>6984</v>
      </c>
      <c r="IBT4" t="s">
        <v>6984</v>
      </c>
      <c r="IBU4" t="s">
        <v>6984</v>
      </c>
      <c r="IBV4" t="s">
        <v>6984</v>
      </c>
      <c r="IBW4" t="s">
        <v>6984</v>
      </c>
      <c r="IBX4" t="s">
        <v>6984</v>
      </c>
      <c r="IBY4" t="s">
        <v>6984</v>
      </c>
      <c r="IBZ4" t="s">
        <v>6984</v>
      </c>
      <c r="ICA4" t="s">
        <v>6984</v>
      </c>
      <c r="ICB4" t="s">
        <v>6984</v>
      </c>
      <c r="ICC4" t="s">
        <v>6984</v>
      </c>
      <c r="ICD4" t="s">
        <v>6984</v>
      </c>
      <c r="ICE4" t="s">
        <v>6984</v>
      </c>
      <c r="ICF4" t="s">
        <v>6984</v>
      </c>
      <c r="ICG4" t="s">
        <v>6984</v>
      </c>
      <c r="ICH4" t="s">
        <v>6984</v>
      </c>
      <c r="ICI4" t="s">
        <v>6984</v>
      </c>
      <c r="ICJ4" t="s">
        <v>6984</v>
      </c>
      <c r="ICK4" t="s">
        <v>6984</v>
      </c>
      <c r="ICL4" t="s">
        <v>6984</v>
      </c>
      <c r="ICM4" t="s">
        <v>6984</v>
      </c>
      <c r="ICN4" t="s">
        <v>6984</v>
      </c>
      <c r="ICO4" t="s">
        <v>6984</v>
      </c>
      <c r="ICP4" t="s">
        <v>6984</v>
      </c>
      <c r="ICQ4" t="s">
        <v>6984</v>
      </c>
      <c r="ICR4" t="s">
        <v>6984</v>
      </c>
      <c r="ICS4" t="s">
        <v>6984</v>
      </c>
      <c r="ICT4" t="s">
        <v>6984</v>
      </c>
      <c r="ICU4" t="s">
        <v>6984</v>
      </c>
      <c r="ICV4" t="s">
        <v>6984</v>
      </c>
      <c r="ICW4" t="s">
        <v>6984</v>
      </c>
      <c r="ICX4" t="s">
        <v>6984</v>
      </c>
      <c r="ICY4" t="s">
        <v>6984</v>
      </c>
      <c r="ICZ4" t="s">
        <v>6984</v>
      </c>
      <c r="IDA4" t="s">
        <v>6984</v>
      </c>
      <c r="IDB4" t="s">
        <v>6984</v>
      </c>
      <c r="IDC4" t="s">
        <v>6984</v>
      </c>
      <c r="IDD4" t="s">
        <v>6984</v>
      </c>
      <c r="IDE4" t="s">
        <v>6984</v>
      </c>
      <c r="IDF4" t="s">
        <v>6984</v>
      </c>
      <c r="IDG4" t="s">
        <v>6984</v>
      </c>
      <c r="IDH4" t="s">
        <v>6984</v>
      </c>
      <c r="IDI4" t="s">
        <v>6984</v>
      </c>
      <c r="IDJ4" t="s">
        <v>6984</v>
      </c>
      <c r="IDK4" t="s">
        <v>6984</v>
      </c>
      <c r="IDL4" t="s">
        <v>6984</v>
      </c>
      <c r="IDM4" t="s">
        <v>6984</v>
      </c>
      <c r="IDN4" t="s">
        <v>6984</v>
      </c>
      <c r="IDO4" t="s">
        <v>6984</v>
      </c>
      <c r="IDP4" t="s">
        <v>6984</v>
      </c>
      <c r="IDQ4" t="s">
        <v>6984</v>
      </c>
      <c r="IDR4" t="s">
        <v>6984</v>
      </c>
      <c r="IDS4" t="s">
        <v>6984</v>
      </c>
      <c r="IDT4" t="s">
        <v>6984</v>
      </c>
      <c r="IDU4" t="s">
        <v>6984</v>
      </c>
      <c r="IDV4" t="s">
        <v>6984</v>
      </c>
      <c r="IDW4" t="s">
        <v>6984</v>
      </c>
      <c r="IDX4" t="s">
        <v>6984</v>
      </c>
      <c r="IDY4" t="s">
        <v>6984</v>
      </c>
      <c r="IDZ4" t="s">
        <v>6984</v>
      </c>
      <c r="IEA4" t="s">
        <v>6984</v>
      </c>
      <c r="IEB4" t="s">
        <v>6984</v>
      </c>
      <c r="IEC4" t="s">
        <v>6984</v>
      </c>
      <c r="IED4" t="s">
        <v>6984</v>
      </c>
      <c r="IEE4" t="s">
        <v>6984</v>
      </c>
      <c r="IEF4" t="s">
        <v>6984</v>
      </c>
      <c r="IEG4" t="s">
        <v>6984</v>
      </c>
      <c r="IEH4" t="s">
        <v>6984</v>
      </c>
      <c r="IEI4" t="s">
        <v>6984</v>
      </c>
      <c r="IEJ4" t="s">
        <v>6984</v>
      </c>
      <c r="IEK4" t="s">
        <v>6984</v>
      </c>
      <c r="IEL4" t="s">
        <v>6984</v>
      </c>
      <c r="IEM4" t="s">
        <v>6984</v>
      </c>
      <c r="IEN4" t="s">
        <v>6984</v>
      </c>
      <c r="IEO4" t="s">
        <v>6984</v>
      </c>
      <c r="IEP4" t="s">
        <v>6984</v>
      </c>
      <c r="IEQ4" t="s">
        <v>6984</v>
      </c>
      <c r="IER4" t="s">
        <v>6984</v>
      </c>
      <c r="IES4" t="s">
        <v>6984</v>
      </c>
      <c r="IET4" t="s">
        <v>6984</v>
      </c>
      <c r="IEU4" t="s">
        <v>6984</v>
      </c>
      <c r="IEV4" t="s">
        <v>6984</v>
      </c>
      <c r="IEW4" t="s">
        <v>6984</v>
      </c>
      <c r="IEX4" t="s">
        <v>6984</v>
      </c>
      <c r="IEY4" t="s">
        <v>6984</v>
      </c>
      <c r="IEZ4" t="s">
        <v>6984</v>
      </c>
      <c r="IFA4" t="s">
        <v>6984</v>
      </c>
      <c r="IFB4" t="s">
        <v>6984</v>
      </c>
      <c r="IFC4" t="s">
        <v>6984</v>
      </c>
      <c r="IFD4" t="s">
        <v>6984</v>
      </c>
      <c r="IFE4" t="s">
        <v>6984</v>
      </c>
      <c r="IFF4" t="s">
        <v>6984</v>
      </c>
      <c r="IFG4" t="s">
        <v>6984</v>
      </c>
      <c r="IFH4" t="s">
        <v>6984</v>
      </c>
      <c r="IFI4" t="s">
        <v>6984</v>
      </c>
      <c r="IFJ4" t="s">
        <v>6984</v>
      </c>
      <c r="IFK4" t="s">
        <v>6984</v>
      </c>
      <c r="IFL4" t="s">
        <v>6984</v>
      </c>
      <c r="IFM4" t="s">
        <v>6984</v>
      </c>
      <c r="IFN4" t="s">
        <v>6984</v>
      </c>
      <c r="IFO4" t="s">
        <v>6984</v>
      </c>
      <c r="IFP4" t="s">
        <v>6984</v>
      </c>
      <c r="IFQ4" t="s">
        <v>6984</v>
      </c>
      <c r="IFR4" t="s">
        <v>6984</v>
      </c>
      <c r="IFS4" t="s">
        <v>6984</v>
      </c>
      <c r="IFT4" t="s">
        <v>6984</v>
      </c>
      <c r="IFU4" t="s">
        <v>6984</v>
      </c>
      <c r="IFV4" t="s">
        <v>6984</v>
      </c>
      <c r="IFW4" t="s">
        <v>6984</v>
      </c>
      <c r="IFX4" t="s">
        <v>6984</v>
      </c>
      <c r="IFY4" t="s">
        <v>6984</v>
      </c>
      <c r="IFZ4" t="s">
        <v>6984</v>
      </c>
      <c r="IGA4" t="s">
        <v>6984</v>
      </c>
      <c r="IGB4" t="s">
        <v>6984</v>
      </c>
      <c r="IGC4" t="s">
        <v>6984</v>
      </c>
      <c r="IGD4" t="s">
        <v>6984</v>
      </c>
      <c r="IGE4" t="s">
        <v>6984</v>
      </c>
      <c r="IGF4" t="s">
        <v>6984</v>
      </c>
      <c r="IGG4" t="s">
        <v>6984</v>
      </c>
      <c r="IGH4" t="s">
        <v>6984</v>
      </c>
      <c r="IGI4" t="s">
        <v>6984</v>
      </c>
      <c r="IGJ4" t="s">
        <v>6984</v>
      </c>
      <c r="IGK4" t="s">
        <v>6984</v>
      </c>
      <c r="IGL4" t="s">
        <v>6984</v>
      </c>
      <c r="IGM4" t="s">
        <v>6984</v>
      </c>
      <c r="IGN4" t="s">
        <v>6984</v>
      </c>
      <c r="IGO4" t="s">
        <v>6984</v>
      </c>
      <c r="IGP4" t="s">
        <v>6984</v>
      </c>
      <c r="IGQ4" t="s">
        <v>6984</v>
      </c>
      <c r="IGR4" t="s">
        <v>6984</v>
      </c>
      <c r="IGS4" t="s">
        <v>6984</v>
      </c>
      <c r="IGT4" t="s">
        <v>6984</v>
      </c>
      <c r="IGU4" t="s">
        <v>6984</v>
      </c>
      <c r="IGV4" t="s">
        <v>6984</v>
      </c>
      <c r="IGW4" t="s">
        <v>6984</v>
      </c>
      <c r="IGX4" t="s">
        <v>6984</v>
      </c>
      <c r="IGY4" t="s">
        <v>6984</v>
      </c>
      <c r="IGZ4" t="s">
        <v>6984</v>
      </c>
      <c r="IHA4" t="s">
        <v>6984</v>
      </c>
      <c r="IHB4" t="s">
        <v>6984</v>
      </c>
      <c r="IHC4" t="s">
        <v>6984</v>
      </c>
      <c r="IHD4" t="s">
        <v>6984</v>
      </c>
      <c r="IHE4" t="s">
        <v>6984</v>
      </c>
      <c r="IHF4" t="s">
        <v>6984</v>
      </c>
      <c r="IHG4" t="s">
        <v>6984</v>
      </c>
      <c r="IHH4" t="s">
        <v>6984</v>
      </c>
      <c r="IHI4" t="s">
        <v>6984</v>
      </c>
      <c r="IHJ4" t="s">
        <v>6984</v>
      </c>
      <c r="IHK4" t="s">
        <v>6984</v>
      </c>
      <c r="IHL4" t="s">
        <v>6984</v>
      </c>
      <c r="IHM4" t="s">
        <v>6984</v>
      </c>
      <c r="IHN4" t="s">
        <v>6984</v>
      </c>
      <c r="IHO4" t="s">
        <v>6984</v>
      </c>
      <c r="IHP4" t="s">
        <v>6984</v>
      </c>
      <c r="IHQ4" t="s">
        <v>6984</v>
      </c>
      <c r="IHR4" t="s">
        <v>6984</v>
      </c>
      <c r="IHS4" t="s">
        <v>6984</v>
      </c>
      <c r="IHT4" t="s">
        <v>6984</v>
      </c>
      <c r="IHU4" t="s">
        <v>6984</v>
      </c>
      <c r="IHV4" t="s">
        <v>6984</v>
      </c>
      <c r="IHW4" t="s">
        <v>6984</v>
      </c>
      <c r="IHX4" t="s">
        <v>6984</v>
      </c>
      <c r="IHY4" t="s">
        <v>6984</v>
      </c>
      <c r="IHZ4" t="s">
        <v>6984</v>
      </c>
      <c r="IIA4" t="s">
        <v>6984</v>
      </c>
      <c r="IIB4" t="s">
        <v>6984</v>
      </c>
      <c r="IIC4" t="s">
        <v>6984</v>
      </c>
      <c r="IID4" t="s">
        <v>6984</v>
      </c>
      <c r="IIE4" t="s">
        <v>6984</v>
      </c>
      <c r="IIF4" t="s">
        <v>6984</v>
      </c>
      <c r="IIG4" t="s">
        <v>6984</v>
      </c>
      <c r="IIH4" t="s">
        <v>6984</v>
      </c>
      <c r="III4" t="s">
        <v>6984</v>
      </c>
      <c r="IIJ4" t="s">
        <v>6984</v>
      </c>
      <c r="IIK4" t="s">
        <v>6984</v>
      </c>
      <c r="IIL4" t="s">
        <v>6984</v>
      </c>
      <c r="IIM4" t="s">
        <v>6984</v>
      </c>
      <c r="IIN4" t="s">
        <v>6984</v>
      </c>
      <c r="IIO4" t="s">
        <v>6984</v>
      </c>
      <c r="IIP4" t="s">
        <v>6984</v>
      </c>
      <c r="IIQ4" t="s">
        <v>6984</v>
      </c>
      <c r="IIR4" t="s">
        <v>6984</v>
      </c>
      <c r="IIS4" t="s">
        <v>6984</v>
      </c>
      <c r="IIT4" t="s">
        <v>6984</v>
      </c>
      <c r="IIU4" t="s">
        <v>6984</v>
      </c>
      <c r="IIV4" t="s">
        <v>6984</v>
      </c>
      <c r="IIW4" t="s">
        <v>6984</v>
      </c>
      <c r="IIX4" t="s">
        <v>6984</v>
      </c>
      <c r="IIY4" t="s">
        <v>6984</v>
      </c>
      <c r="IIZ4" t="s">
        <v>6984</v>
      </c>
      <c r="IJA4" t="s">
        <v>6984</v>
      </c>
      <c r="IJB4" t="s">
        <v>6984</v>
      </c>
      <c r="IJC4" t="s">
        <v>6984</v>
      </c>
      <c r="IJD4" t="s">
        <v>6984</v>
      </c>
      <c r="IJE4" t="s">
        <v>6984</v>
      </c>
      <c r="IJF4" t="s">
        <v>6984</v>
      </c>
      <c r="IJG4" t="s">
        <v>6984</v>
      </c>
      <c r="IJH4" t="s">
        <v>6984</v>
      </c>
      <c r="IJI4" t="s">
        <v>6984</v>
      </c>
      <c r="IJJ4" t="s">
        <v>6984</v>
      </c>
      <c r="IJK4" t="s">
        <v>6984</v>
      </c>
      <c r="IJL4" t="s">
        <v>6984</v>
      </c>
      <c r="IJM4" t="s">
        <v>6984</v>
      </c>
      <c r="IJN4" t="s">
        <v>6984</v>
      </c>
      <c r="IJO4" t="s">
        <v>6984</v>
      </c>
      <c r="IJP4" t="s">
        <v>6984</v>
      </c>
      <c r="IJQ4" t="s">
        <v>6984</v>
      </c>
      <c r="IJR4" t="s">
        <v>6984</v>
      </c>
      <c r="IJS4" t="s">
        <v>6984</v>
      </c>
      <c r="IJT4" t="s">
        <v>6984</v>
      </c>
      <c r="IJU4" t="s">
        <v>6984</v>
      </c>
      <c r="IJV4" t="s">
        <v>6984</v>
      </c>
      <c r="IJW4" t="s">
        <v>6984</v>
      </c>
      <c r="IJX4" t="s">
        <v>6984</v>
      </c>
      <c r="IJY4" t="s">
        <v>6984</v>
      </c>
      <c r="IJZ4" t="s">
        <v>6984</v>
      </c>
      <c r="IKA4" t="s">
        <v>6984</v>
      </c>
      <c r="IKB4" t="s">
        <v>6984</v>
      </c>
      <c r="IKC4" t="s">
        <v>6984</v>
      </c>
      <c r="IKD4" t="s">
        <v>6984</v>
      </c>
      <c r="IKE4" t="s">
        <v>6984</v>
      </c>
      <c r="IKF4" t="s">
        <v>6984</v>
      </c>
      <c r="IKG4" t="s">
        <v>6984</v>
      </c>
      <c r="IKH4" t="s">
        <v>6984</v>
      </c>
      <c r="IKI4" t="s">
        <v>6984</v>
      </c>
      <c r="IKJ4" t="s">
        <v>6984</v>
      </c>
      <c r="IKK4" t="s">
        <v>6984</v>
      </c>
      <c r="IKL4" t="s">
        <v>6984</v>
      </c>
      <c r="IKM4" t="s">
        <v>6984</v>
      </c>
      <c r="IKN4" t="s">
        <v>6984</v>
      </c>
      <c r="IKO4" t="s">
        <v>6984</v>
      </c>
      <c r="IKP4" t="s">
        <v>6984</v>
      </c>
      <c r="IKQ4" t="s">
        <v>6984</v>
      </c>
      <c r="IKR4" t="s">
        <v>6984</v>
      </c>
      <c r="IKS4" t="s">
        <v>6984</v>
      </c>
      <c r="IKT4" t="s">
        <v>6984</v>
      </c>
      <c r="IKU4" t="s">
        <v>6984</v>
      </c>
      <c r="IKV4" t="s">
        <v>6984</v>
      </c>
      <c r="IKW4" t="s">
        <v>6984</v>
      </c>
      <c r="IKX4" t="s">
        <v>6984</v>
      </c>
      <c r="IKY4" t="s">
        <v>6984</v>
      </c>
      <c r="IKZ4" t="s">
        <v>6984</v>
      </c>
      <c r="ILA4" t="s">
        <v>6984</v>
      </c>
      <c r="ILB4" t="s">
        <v>6984</v>
      </c>
      <c r="ILC4" t="s">
        <v>6984</v>
      </c>
      <c r="ILD4" t="s">
        <v>6984</v>
      </c>
      <c r="ILE4" t="s">
        <v>6984</v>
      </c>
      <c r="ILF4" t="s">
        <v>6984</v>
      </c>
      <c r="ILG4" t="s">
        <v>6984</v>
      </c>
      <c r="ILH4" t="s">
        <v>6984</v>
      </c>
      <c r="ILI4" t="s">
        <v>6984</v>
      </c>
      <c r="ILJ4" t="s">
        <v>6984</v>
      </c>
      <c r="ILK4" t="s">
        <v>6984</v>
      </c>
      <c r="ILL4" t="s">
        <v>6984</v>
      </c>
      <c r="ILM4" t="s">
        <v>6984</v>
      </c>
      <c r="ILN4" t="s">
        <v>6984</v>
      </c>
      <c r="ILO4" t="s">
        <v>6984</v>
      </c>
      <c r="ILP4" t="s">
        <v>6984</v>
      </c>
      <c r="ILQ4" t="s">
        <v>6984</v>
      </c>
      <c r="ILR4" t="s">
        <v>6984</v>
      </c>
      <c r="ILS4" t="s">
        <v>6984</v>
      </c>
      <c r="ILT4" t="s">
        <v>6984</v>
      </c>
      <c r="ILU4" t="s">
        <v>6984</v>
      </c>
      <c r="ILV4" t="s">
        <v>6984</v>
      </c>
      <c r="ILW4" t="s">
        <v>6984</v>
      </c>
      <c r="ILX4" t="s">
        <v>6984</v>
      </c>
      <c r="ILY4" t="s">
        <v>6984</v>
      </c>
      <c r="ILZ4" t="s">
        <v>6984</v>
      </c>
      <c r="IMA4" t="s">
        <v>6984</v>
      </c>
      <c r="IMB4" t="s">
        <v>6984</v>
      </c>
      <c r="IMC4" t="s">
        <v>6984</v>
      </c>
      <c r="IMD4" t="s">
        <v>6984</v>
      </c>
      <c r="IME4" t="s">
        <v>6984</v>
      </c>
      <c r="IMF4" t="s">
        <v>6984</v>
      </c>
      <c r="IMG4" t="s">
        <v>6984</v>
      </c>
      <c r="IMH4" t="s">
        <v>6984</v>
      </c>
      <c r="IMI4" t="s">
        <v>6984</v>
      </c>
      <c r="IMJ4" t="s">
        <v>6984</v>
      </c>
      <c r="IMK4" t="s">
        <v>6984</v>
      </c>
      <c r="IML4" t="s">
        <v>6984</v>
      </c>
      <c r="IMM4" t="s">
        <v>6984</v>
      </c>
      <c r="IMN4" t="s">
        <v>6984</v>
      </c>
      <c r="IMO4" t="s">
        <v>6984</v>
      </c>
      <c r="IMP4" t="s">
        <v>6984</v>
      </c>
      <c r="IMQ4" t="s">
        <v>6984</v>
      </c>
      <c r="IMR4" t="s">
        <v>6984</v>
      </c>
      <c r="IMS4" t="s">
        <v>6984</v>
      </c>
      <c r="IMT4" t="s">
        <v>6984</v>
      </c>
      <c r="IMU4" t="s">
        <v>6984</v>
      </c>
      <c r="IMV4" t="s">
        <v>6984</v>
      </c>
      <c r="IMW4" t="s">
        <v>6984</v>
      </c>
      <c r="IMX4" t="s">
        <v>6984</v>
      </c>
      <c r="IMY4" t="s">
        <v>6984</v>
      </c>
      <c r="IMZ4" t="s">
        <v>6984</v>
      </c>
      <c r="INA4" t="s">
        <v>6984</v>
      </c>
      <c r="INB4" t="s">
        <v>6984</v>
      </c>
      <c r="INC4" t="s">
        <v>6984</v>
      </c>
      <c r="IND4" t="s">
        <v>6984</v>
      </c>
      <c r="INE4" t="s">
        <v>6984</v>
      </c>
      <c r="INF4" t="s">
        <v>6984</v>
      </c>
      <c r="ING4" t="s">
        <v>6984</v>
      </c>
      <c r="INH4" t="s">
        <v>6984</v>
      </c>
      <c r="INI4" t="s">
        <v>6984</v>
      </c>
      <c r="INJ4" t="s">
        <v>6984</v>
      </c>
      <c r="INK4" t="s">
        <v>6984</v>
      </c>
      <c r="INL4" t="s">
        <v>6984</v>
      </c>
      <c r="INM4" t="s">
        <v>6984</v>
      </c>
      <c r="INN4" t="s">
        <v>6984</v>
      </c>
      <c r="INO4" t="s">
        <v>6984</v>
      </c>
      <c r="INP4" t="s">
        <v>6984</v>
      </c>
      <c r="INQ4" t="s">
        <v>6984</v>
      </c>
      <c r="INR4" t="s">
        <v>6984</v>
      </c>
      <c r="INS4" t="s">
        <v>6984</v>
      </c>
      <c r="INT4" t="s">
        <v>6984</v>
      </c>
      <c r="INU4" t="s">
        <v>6984</v>
      </c>
      <c r="INV4" t="s">
        <v>6984</v>
      </c>
      <c r="INW4" t="s">
        <v>6984</v>
      </c>
      <c r="INX4" t="s">
        <v>6984</v>
      </c>
      <c r="INY4" t="s">
        <v>6984</v>
      </c>
      <c r="INZ4" t="s">
        <v>6984</v>
      </c>
      <c r="IOA4" t="s">
        <v>6984</v>
      </c>
      <c r="IOB4" t="s">
        <v>6984</v>
      </c>
      <c r="IOC4" t="s">
        <v>6984</v>
      </c>
      <c r="IOD4" t="s">
        <v>6984</v>
      </c>
      <c r="IOE4" t="s">
        <v>6984</v>
      </c>
      <c r="IOF4" t="s">
        <v>6984</v>
      </c>
      <c r="IOG4" t="s">
        <v>6984</v>
      </c>
      <c r="IOH4" t="s">
        <v>6984</v>
      </c>
      <c r="IOI4" t="s">
        <v>6984</v>
      </c>
      <c r="IOJ4" t="s">
        <v>6984</v>
      </c>
      <c r="IOK4" t="s">
        <v>6984</v>
      </c>
      <c r="IOL4" t="s">
        <v>6984</v>
      </c>
      <c r="IOM4" t="s">
        <v>6984</v>
      </c>
      <c r="ION4" t="s">
        <v>6984</v>
      </c>
      <c r="IOO4" t="s">
        <v>6984</v>
      </c>
      <c r="IOP4" t="s">
        <v>6984</v>
      </c>
      <c r="IOQ4" t="s">
        <v>6984</v>
      </c>
      <c r="IOR4" t="s">
        <v>6984</v>
      </c>
      <c r="IOS4" t="s">
        <v>6984</v>
      </c>
      <c r="IOT4" t="s">
        <v>6984</v>
      </c>
      <c r="IOU4" t="s">
        <v>6984</v>
      </c>
      <c r="IOV4" t="s">
        <v>6984</v>
      </c>
      <c r="IOW4" t="s">
        <v>6984</v>
      </c>
      <c r="IOX4" t="s">
        <v>6984</v>
      </c>
      <c r="IOY4" t="s">
        <v>6984</v>
      </c>
      <c r="IOZ4" t="s">
        <v>6984</v>
      </c>
      <c r="IPA4" t="s">
        <v>6984</v>
      </c>
      <c r="IPB4" t="s">
        <v>6984</v>
      </c>
      <c r="IPC4" t="s">
        <v>6984</v>
      </c>
      <c r="IPD4" t="s">
        <v>6984</v>
      </c>
      <c r="IPE4" t="s">
        <v>6984</v>
      </c>
      <c r="IPF4" t="s">
        <v>6984</v>
      </c>
      <c r="IPG4" t="s">
        <v>6984</v>
      </c>
      <c r="IPH4" t="s">
        <v>6984</v>
      </c>
      <c r="IPI4" t="s">
        <v>6984</v>
      </c>
      <c r="IPJ4" t="s">
        <v>6984</v>
      </c>
      <c r="IPK4" t="s">
        <v>6984</v>
      </c>
      <c r="IPL4" t="s">
        <v>6984</v>
      </c>
      <c r="IPM4" t="s">
        <v>6984</v>
      </c>
      <c r="IPN4" t="s">
        <v>6984</v>
      </c>
      <c r="IPO4" t="s">
        <v>6984</v>
      </c>
      <c r="IPP4" t="s">
        <v>6984</v>
      </c>
      <c r="IPQ4" t="s">
        <v>6984</v>
      </c>
      <c r="IPR4" t="s">
        <v>6984</v>
      </c>
      <c r="IPS4" t="s">
        <v>6984</v>
      </c>
      <c r="IPT4" t="s">
        <v>6984</v>
      </c>
      <c r="IPU4" t="s">
        <v>6984</v>
      </c>
      <c r="IPV4" t="s">
        <v>6984</v>
      </c>
      <c r="IPW4" t="s">
        <v>6984</v>
      </c>
      <c r="IPX4" t="s">
        <v>6984</v>
      </c>
      <c r="IPY4" t="s">
        <v>6984</v>
      </c>
      <c r="IPZ4" t="s">
        <v>6984</v>
      </c>
      <c r="IQA4" t="s">
        <v>6984</v>
      </c>
      <c r="IQB4" t="s">
        <v>6984</v>
      </c>
      <c r="IQC4" t="s">
        <v>6984</v>
      </c>
      <c r="IQD4" t="s">
        <v>6984</v>
      </c>
      <c r="IQE4" t="s">
        <v>6984</v>
      </c>
      <c r="IQF4" t="s">
        <v>6984</v>
      </c>
      <c r="IQG4" t="s">
        <v>6984</v>
      </c>
      <c r="IQH4" t="s">
        <v>6984</v>
      </c>
      <c r="IQI4" t="s">
        <v>6984</v>
      </c>
      <c r="IQJ4" t="s">
        <v>6984</v>
      </c>
      <c r="IQK4" t="s">
        <v>6984</v>
      </c>
      <c r="IQL4" t="s">
        <v>6984</v>
      </c>
      <c r="IQM4" t="s">
        <v>6984</v>
      </c>
      <c r="IQN4" t="s">
        <v>6984</v>
      </c>
      <c r="IQO4" t="s">
        <v>6984</v>
      </c>
      <c r="IQP4" t="s">
        <v>6984</v>
      </c>
      <c r="IQQ4" t="s">
        <v>6984</v>
      </c>
      <c r="IQR4" t="s">
        <v>6984</v>
      </c>
      <c r="IQS4" t="s">
        <v>6984</v>
      </c>
      <c r="IQT4" t="s">
        <v>6984</v>
      </c>
      <c r="IQU4" t="s">
        <v>6984</v>
      </c>
      <c r="IQV4" t="s">
        <v>6984</v>
      </c>
      <c r="IQW4" t="s">
        <v>6984</v>
      </c>
      <c r="IQX4" t="s">
        <v>6984</v>
      </c>
      <c r="IQY4" t="s">
        <v>6984</v>
      </c>
      <c r="IQZ4" t="s">
        <v>6984</v>
      </c>
      <c r="IRA4" t="s">
        <v>6984</v>
      </c>
      <c r="IRB4" t="s">
        <v>6984</v>
      </c>
      <c r="IRC4" t="s">
        <v>6984</v>
      </c>
      <c r="IRD4" t="s">
        <v>6984</v>
      </c>
      <c r="IRE4" t="s">
        <v>6984</v>
      </c>
      <c r="IRF4" t="s">
        <v>6984</v>
      </c>
      <c r="IRG4" t="s">
        <v>6984</v>
      </c>
      <c r="IRH4" t="s">
        <v>6984</v>
      </c>
      <c r="IRI4" t="s">
        <v>6984</v>
      </c>
      <c r="IRJ4" t="s">
        <v>6984</v>
      </c>
      <c r="IRK4" t="s">
        <v>6984</v>
      </c>
      <c r="IRL4" t="s">
        <v>6984</v>
      </c>
      <c r="IRM4" t="s">
        <v>6984</v>
      </c>
      <c r="IRN4" t="s">
        <v>6984</v>
      </c>
      <c r="IRO4" t="s">
        <v>6984</v>
      </c>
      <c r="IRP4" t="s">
        <v>6984</v>
      </c>
      <c r="IRQ4" t="s">
        <v>6984</v>
      </c>
      <c r="IRR4" t="s">
        <v>6984</v>
      </c>
      <c r="IRS4" t="s">
        <v>6984</v>
      </c>
      <c r="IRT4" t="s">
        <v>6984</v>
      </c>
      <c r="IRU4" t="s">
        <v>6984</v>
      </c>
      <c r="IRV4" t="s">
        <v>6984</v>
      </c>
      <c r="IRW4" t="s">
        <v>6984</v>
      </c>
      <c r="IRX4" t="s">
        <v>6984</v>
      </c>
      <c r="IRY4" t="s">
        <v>6984</v>
      </c>
      <c r="IRZ4" t="s">
        <v>6984</v>
      </c>
      <c r="ISA4" t="s">
        <v>6984</v>
      </c>
      <c r="ISB4" t="s">
        <v>6984</v>
      </c>
      <c r="ISC4" t="s">
        <v>6984</v>
      </c>
      <c r="ISD4" t="s">
        <v>6984</v>
      </c>
      <c r="ISE4" t="s">
        <v>6984</v>
      </c>
      <c r="ISF4" t="s">
        <v>6984</v>
      </c>
      <c r="ISG4" t="s">
        <v>6984</v>
      </c>
      <c r="ISH4" t="s">
        <v>6984</v>
      </c>
      <c r="ISI4" t="s">
        <v>6984</v>
      </c>
      <c r="ISJ4" t="s">
        <v>6984</v>
      </c>
      <c r="ISK4" t="s">
        <v>6984</v>
      </c>
      <c r="ISL4" t="s">
        <v>6984</v>
      </c>
      <c r="ISM4" t="s">
        <v>6984</v>
      </c>
      <c r="ISN4" t="s">
        <v>6984</v>
      </c>
      <c r="ISO4" t="s">
        <v>6984</v>
      </c>
      <c r="ISP4" t="s">
        <v>6984</v>
      </c>
      <c r="ISQ4" t="s">
        <v>6984</v>
      </c>
      <c r="ISR4" t="s">
        <v>6984</v>
      </c>
      <c r="ISS4" t="s">
        <v>6984</v>
      </c>
      <c r="IST4" t="s">
        <v>6984</v>
      </c>
      <c r="ISU4" t="s">
        <v>6984</v>
      </c>
      <c r="ISV4" t="s">
        <v>6984</v>
      </c>
      <c r="ISW4" t="s">
        <v>6984</v>
      </c>
      <c r="ISX4" t="s">
        <v>6984</v>
      </c>
      <c r="ISY4" t="s">
        <v>6984</v>
      </c>
      <c r="ISZ4" t="s">
        <v>6984</v>
      </c>
      <c r="ITA4" t="s">
        <v>6984</v>
      </c>
      <c r="ITB4" t="s">
        <v>6984</v>
      </c>
      <c r="ITC4" t="s">
        <v>6984</v>
      </c>
      <c r="ITD4" t="s">
        <v>6984</v>
      </c>
      <c r="ITE4" t="s">
        <v>6984</v>
      </c>
      <c r="ITF4" t="s">
        <v>6984</v>
      </c>
      <c r="ITG4" t="s">
        <v>6984</v>
      </c>
      <c r="ITH4" t="s">
        <v>6984</v>
      </c>
      <c r="ITI4" t="s">
        <v>6984</v>
      </c>
      <c r="ITJ4" t="s">
        <v>6984</v>
      </c>
      <c r="ITK4" t="s">
        <v>6984</v>
      </c>
      <c r="ITL4" t="s">
        <v>6984</v>
      </c>
      <c r="ITM4" t="s">
        <v>6984</v>
      </c>
      <c r="ITN4" t="s">
        <v>6984</v>
      </c>
      <c r="ITO4" t="s">
        <v>6984</v>
      </c>
      <c r="ITP4" t="s">
        <v>6984</v>
      </c>
      <c r="ITQ4" t="s">
        <v>6984</v>
      </c>
      <c r="ITR4" t="s">
        <v>6984</v>
      </c>
      <c r="ITS4" t="s">
        <v>6984</v>
      </c>
      <c r="ITT4" t="s">
        <v>6984</v>
      </c>
      <c r="ITU4" t="s">
        <v>6984</v>
      </c>
      <c r="ITV4" t="s">
        <v>6984</v>
      </c>
      <c r="ITW4" t="s">
        <v>6984</v>
      </c>
      <c r="ITX4" t="s">
        <v>6984</v>
      </c>
      <c r="ITY4" t="s">
        <v>6984</v>
      </c>
      <c r="ITZ4" t="s">
        <v>6984</v>
      </c>
      <c r="IUA4" t="s">
        <v>6984</v>
      </c>
      <c r="IUB4" t="s">
        <v>6984</v>
      </c>
      <c r="IUC4" t="s">
        <v>6984</v>
      </c>
      <c r="IUD4" t="s">
        <v>6984</v>
      </c>
      <c r="IUE4" t="s">
        <v>6984</v>
      </c>
      <c r="IUF4" t="s">
        <v>6984</v>
      </c>
      <c r="IUG4" t="s">
        <v>6984</v>
      </c>
      <c r="IUH4" t="s">
        <v>6984</v>
      </c>
      <c r="IUI4" t="s">
        <v>6984</v>
      </c>
      <c r="IUJ4" t="s">
        <v>6984</v>
      </c>
      <c r="IUK4" t="s">
        <v>6984</v>
      </c>
      <c r="IUL4" t="s">
        <v>6984</v>
      </c>
      <c r="IUM4" t="s">
        <v>6984</v>
      </c>
      <c r="IUN4" t="s">
        <v>6984</v>
      </c>
      <c r="IUO4" t="s">
        <v>6984</v>
      </c>
      <c r="IUP4" t="s">
        <v>6984</v>
      </c>
      <c r="IUQ4" t="s">
        <v>6984</v>
      </c>
      <c r="IUR4" t="s">
        <v>6984</v>
      </c>
      <c r="IUS4" t="s">
        <v>6984</v>
      </c>
      <c r="IUT4" t="s">
        <v>6984</v>
      </c>
      <c r="IUU4" t="s">
        <v>6984</v>
      </c>
      <c r="IUV4" t="s">
        <v>6984</v>
      </c>
      <c r="IUW4" t="s">
        <v>6984</v>
      </c>
      <c r="IUX4" t="s">
        <v>6984</v>
      </c>
      <c r="IUY4" t="s">
        <v>6984</v>
      </c>
      <c r="IUZ4" t="s">
        <v>6984</v>
      </c>
      <c r="IVA4" t="s">
        <v>6984</v>
      </c>
      <c r="IVB4" t="s">
        <v>6984</v>
      </c>
      <c r="IVC4" t="s">
        <v>6984</v>
      </c>
      <c r="IVD4" t="s">
        <v>6984</v>
      </c>
      <c r="IVE4" t="s">
        <v>6984</v>
      </c>
      <c r="IVF4" t="s">
        <v>6984</v>
      </c>
      <c r="IVG4" t="s">
        <v>6984</v>
      </c>
      <c r="IVH4" t="s">
        <v>6984</v>
      </c>
      <c r="IVI4" t="s">
        <v>6984</v>
      </c>
      <c r="IVJ4" t="s">
        <v>6984</v>
      </c>
      <c r="IVK4" t="s">
        <v>6984</v>
      </c>
      <c r="IVL4" t="s">
        <v>6984</v>
      </c>
      <c r="IVM4" t="s">
        <v>6984</v>
      </c>
      <c r="IVN4" t="s">
        <v>6984</v>
      </c>
      <c r="IVO4" t="s">
        <v>6984</v>
      </c>
      <c r="IVP4" t="s">
        <v>6984</v>
      </c>
      <c r="IVQ4" t="s">
        <v>6984</v>
      </c>
      <c r="IVR4" t="s">
        <v>6984</v>
      </c>
      <c r="IVS4" t="s">
        <v>6984</v>
      </c>
      <c r="IVT4" t="s">
        <v>6984</v>
      </c>
      <c r="IVU4" t="s">
        <v>6984</v>
      </c>
      <c r="IVV4" t="s">
        <v>6984</v>
      </c>
      <c r="IVW4" t="s">
        <v>6984</v>
      </c>
      <c r="IVX4" t="s">
        <v>6984</v>
      </c>
      <c r="IVY4" t="s">
        <v>6984</v>
      </c>
      <c r="IVZ4" t="s">
        <v>6984</v>
      </c>
      <c r="IWA4" t="s">
        <v>6984</v>
      </c>
      <c r="IWB4" t="s">
        <v>6984</v>
      </c>
      <c r="IWC4" t="s">
        <v>6984</v>
      </c>
      <c r="IWD4" t="s">
        <v>6984</v>
      </c>
      <c r="IWE4" t="s">
        <v>6984</v>
      </c>
      <c r="IWF4" t="s">
        <v>6984</v>
      </c>
      <c r="IWG4" t="s">
        <v>6984</v>
      </c>
      <c r="IWH4" t="s">
        <v>6984</v>
      </c>
      <c r="IWI4" t="s">
        <v>6984</v>
      </c>
      <c r="IWJ4" t="s">
        <v>6984</v>
      </c>
      <c r="IWK4" t="s">
        <v>6984</v>
      </c>
      <c r="IWL4" t="s">
        <v>6984</v>
      </c>
      <c r="IWM4" t="s">
        <v>6984</v>
      </c>
      <c r="IWN4" t="s">
        <v>6984</v>
      </c>
      <c r="IWO4" t="s">
        <v>6984</v>
      </c>
      <c r="IWP4" t="s">
        <v>6984</v>
      </c>
      <c r="IWQ4" t="s">
        <v>6984</v>
      </c>
      <c r="IWR4" t="s">
        <v>6984</v>
      </c>
      <c r="IWS4" t="s">
        <v>6984</v>
      </c>
      <c r="IWT4" t="s">
        <v>6984</v>
      </c>
      <c r="IWU4" t="s">
        <v>6984</v>
      </c>
      <c r="IWV4" t="s">
        <v>6984</v>
      </c>
      <c r="IWW4" t="s">
        <v>6984</v>
      </c>
      <c r="IWX4" t="s">
        <v>6984</v>
      </c>
      <c r="IWY4" t="s">
        <v>6984</v>
      </c>
      <c r="IWZ4" t="s">
        <v>6984</v>
      </c>
      <c r="IXA4" t="s">
        <v>6984</v>
      </c>
      <c r="IXB4" t="s">
        <v>6984</v>
      </c>
      <c r="IXC4" t="s">
        <v>6984</v>
      </c>
      <c r="IXD4" t="s">
        <v>6984</v>
      </c>
      <c r="IXE4" t="s">
        <v>6984</v>
      </c>
      <c r="IXF4" t="s">
        <v>6984</v>
      </c>
      <c r="IXG4" t="s">
        <v>6984</v>
      </c>
      <c r="IXH4" t="s">
        <v>6984</v>
      </c>
      <c r="IXI4" t="s">
        <v>6984</v>
      </c>
      <c r="IXJ4" t="s">
        <v>6984</v>
      </c>
      <c r="IXK4" t="s">
        <v>6984</v>
      </c>
      <c r="IXL4" t="s">
        <v>6984</v>
      </c>
      <c r="IXM4" t="s">
        <v>6984</v>
      </c>
      <c r="IXN4" t="s">
        <v>6984</v>
      </c>
      <c r="IXO4" t="s">
        <v>6984</v>
      </c>
      <c r="IXP4" t="s">
        <v>6984</v>
      </c>
      <c r="IXQ4" t="s">
        <v>6984</v>
      </c>
      <c r="IXR4" t="s">
        <v>6984</v>
      </c>
      <c r="IXS4" t="s">
        <v>6984</v>
      </c>
      <c r="IXT4" t="s">
        <v>6984</v>
      </c>
      <c r="IXU4" t="s">
        <v>6984</v>
      </c>
      <c r="IXV4" t="s">
        <v>6984</v>
      </c>
      <c r="IXW4" t="s">
        <v>6984</v>
      </c>
      <c r="IXX4" t="s">
        <v>6984</v>
      </c>
      <c r="IXY4" t="s">
        <v>6984</v>
      </c>
      <c r="IXZ4" t="s">
        <v>6984</v>
      </c>
      <c r="IYA4" t="s">
        <v>6984</v>
      </c>
      <c r="IYB4" t="s">
        <v>6984</v>
      </c>
      <c r="IYC4" t="s">
        <v>6984</v>
      </c>
      <c r="IYD4" t="s">
        <v>6984</v>
      </c>
      <c r="IYE4" t="s">
        <v>6984</v>
      </c>
      <c r="IYF4" t="s">
        <v>6984</v>
      </c>
      <c r="IYG4" t="s">
        <v>6984</v>
      </c>
      <c r="IYH4" t="s">
        <v>6984</v>
      </c>
      <c r="IYI4" t="s">
        <v>6984</v>
      </c>
      <c r="IYJ4" t="s">
        <v>6984</v>
      </c>
      <c r="IYK4" t="s">
        <v>6984</v>
      </c>
      <c r="IYL4" t="s">
        <v>6984</v>
      </c>
      <c r="IYM4" t="s">
        <v>6984</v>
      </c>
      <c r="IYN4" t="s">
        <v>6984</v>
      </c>
      <c r="IYO4" t="s">
        <v>6984</v>
      </c>
      <c r="IYP4" t="s">
        <v>6984</v>
      </c>
      <c r="IYQ4" t="s">
        <v>6984</v>
      </c>
      <c r="IYR4" t="s">
        <v>6984</v>
      </c>
      <c r="IYS4" t="s">
        <v>6984</v>
      </c>
      <c r="IYT4" t="s">
        <v>6984</v>
      </c>
      <c r="IYU4" t="s">
        <v>6984</v>
      </c>
      <c r="IYV4" t="s">
        <v>6984</v>
      </c>
      <c r="IYW4" t="s">
        <v>6984</v>
      </c>
      <c r="IYX4" t="s">
        <v>6984</v>
      </c>
      <c r="IYY4" t="s">
        <v>6984</v>
      </c>
      <c r="IYZ4" t="s">
        <v>6984</v>
      </c>
      <c r="IZA4" t="s">
        <v>6984</v>
      </c>
      <c r="IZB4" t="s">
        <v>6984</v>
      </c>
      <c r="IZC4" t="s">
        <v>6984</v>
      </c>
      <c r="IZD4" t="s">
        <v>6984</v>
      </c>
      <c r="IZE4" t="s">
        <v>6984</v>
      </c>
      <c r="IZF4" t="s">
        <v>6984</v>
      </c>
      <c r="IZG4" t="s">
        <v>6984</v>
      </c>
      <c r="IZH4" t="s">
        <v>6984</v>
      </c>
      <c r="IZI4" t="s">
        <v>6984</v>
      </c>
      <c r="IZJ4" t="s">
        <v>6984</v>
      </c>
      <c r="IZK4" t="s">
        <v>6984</v>
      </c>
      <c r="IZL4" t="s">
        <v>6984</v>
      </c>
      <c r="IZM4" t="s">
        <v>6984</v>
      </c>
      <c r="IZN4" t="s">
        <v>6984</v>
      </c>
      <c r="IZO4" t="s">
        <v>6984</v>
      </c>
      <c r="IZP4" t="s">
        <v>6984</v>
      </c>
      <c r="IZQ4" t="s">
        <v>6984</v>
      </c>
      <c r="IZR4" t="s">
        <v>6984</v>
      </c>
      <c r="IZS4" t="s">
        <v>6984</v>
      </c>
      <c r="IZT4" t="s">
        <v>6984</v>
      </c>
      <c r="IZU4" t="s">
        <v>6984</v>
      </c>
      <c r="IZV4" t="s">
        <v>6984</v>
      </c>
      <c r="IZW4" t="s">
        <v>6984</v>
      </c>
      <c r="IZX4" t="s">
        <v>6984</v>
      </c>
      <c r="IZY4" t="s">
        <v>6984</v>
      </c>
      <c r="IZZ4" t="s">
        <v>6984</v>
      </c>
      <c r="JAA4" t="s">
        <v>6984</v>
      </c>
      <c r="JAB4" t="s">
        <v>6984</v>
      </c>
      <c r="JAC4" t="s">
        <v>6984</v>
      </c>
      <c r="JAD4" t="s">
        <v>6984</v>
      </c>
      <c r="JAE4" t="s">
        <v>6984</v>
      </c>
      <c r="JAF4" t="s">
        <v>6984</v>
      </c>
      <c r="JAG4" t="s">
        <v>6984</v>
      </c>
      <c r="JAH4" t="s">
        <v>6984</v>
      </c>
      <c r="JAI4" t="s">
        <v>6984</v>
      </c>
      <c r="JAJ4" t="s">
        <v>6984</v>
      </c>
      <c r="JAK4" t="s">
        <v>6984</v>
      </c>
      <c r="JAL4" t="s">
        <v>6984</v>
      </c>
      <c r="JAM4" t="s">
        <v>6984</v>
      </c>
      <c r="JAN4" t="s">
        <v>6984</v>
      </c>
      <c r="JAO4" t="s">
        <v>6984</v>
      </c>
      <c r="JAP4" t="s">
        <v>6984</v>
      </c>
      <c r="JAQ4" t="s">
        <v>6984</v>
      </c>
      <c r="JAR4" t="s">
        <v>6984</v>
      </c>
      <c r="JAS4" t="s">
        <v>6984</v>
      </c>
      <c r="JAT4" t="s">
        <v>6984</v>
      </c>
      <c r="JAU4" t="s">
        <v>6984</v>
      </c>
      <c r="JAV4" t="s">
        <v>6984</v>
      </c>
      <c r="JAW4" t="s">
        <v>6984</v>
      </c>
      <c r="JAX4" t="s">
        <v>6984</v>
      </c>
      <c r="JAY4" t="s">
        <v>6984</v>
      </c>
      <c r="JAZ4" t="s">
        <v>6984</v>
      </c>
      <c r="JBA4" t="s">
        <v>6984</v>
      </c>
      <c r="JBB4" t="s">
        <v>6984</v>
      </c>
      <c r="JBC4" t="s">
        <v>6984</v>
      </c>
      <c r="JBD4" t="s">
        <v>6984</v>
      </c>
      <c r="JBE4" t="s">
        <v>6984</v>
      </c>
      <c r="JBF4" t="s">
        <v>6984</v>
      </c>
      <c r="JBG4" t="s">
        <v>6984</v>
      </c>
      <c r="JBH4" t="s">
        <v>6984</v>
      </c>
      <c r="JBI4" t="s">
        <v>6984</v>
      </c>
      <c r="JBJ4" t="s">
        <v>6984</v>
      </c>
      <c r="JBK4" t="s">
        <v>6984</v>
      </c>
      <c r="JBL4" t="s">
        <v>6984</v>
      </c>
      <c r="JBM4" t="s">
        <v>6984</v>
      </c>
      <c r="JBN4" t="s">
        <v>6984</v>
      </c>
      <c r="JBO4" t="s">
        <v>6984</v>
      </c>
      <c r="JBP4" t="s">
        <v>6984</v>
      </c>
      <c r="JBQ4" t="s">
        <v>6984</v>
      </c>
      <c r="JBR4" t="s">
        <v>6984</v>
      </c>
      <c r="JBS4" t="s">
        <v>6984</v>
      </c>
      <c r="JBT4" t="s">
        <v>6984</v>
      </c>
      <c r="JBU4" t="s">
        <v>6984</v>
      </c>
      <c r="JBV4" t="s">
        <v>6984</v>
      </c>
      <c r="JBW4" t="s">
        <v>6984</v>
      </c>
      <c r="JBX4" t="s">
        <v>6984</v>
      </c>
      <c r="JBY4" t="s">
        <v>6984</v>
      </c>
      <c r="JBZ4" t="s">
        <v>6984</v>
      </c>
      <c r="JCA4" t="s">
        <v>6984</v>
      </c>
      <c r="JCB4" t="s">
        <v>6984</v>
      </c>
      <c r="JCC4" t="s">
        <v>6984</v>
      </c>
      <c r="JCD4" t="s">
        <v>6984</v>
      </c>
      <c r="JCE4" t="s">
        <v>6984</v>
      </c>
      <c r="JCF4" t="s">
        <v>6984</v>
      </c>
      <c r="JCG4" t="s">
        <v>6984</v>
      </c>
      <c r="JCH4" t="s">
        <v>6984</v>
      </c>
      <c r="JCI4" t="s">
        <v>6984</v>
      </c>
      <c r="JCJ4" t="s">
        <v>6984</v>
      </c>
      <c r="JCK4" t="s">
        <v>6984</v>
      </c>
      <c r="JCL4" t="s">
        <v>6984</v>
      </c>
      <c r="JCM4" t="s">
        <v>6984</v>
      </c>
      <c r="JCN4" t="s">
        <v>6984</v>
      </c>
      <c r="JCO4" t="s">
        <v>6984</v>
      </c>
      <c r="JCP4" t="s">
        <v>6984</v>
      </c>
      <c r="JCQ4" t="s">
        <v>6984</v>
      </c>
      <c r="JCR4" t="s">
        <v>6984</v>
      </c>
      <c r="JCS4" t="s">
        <v>6984</v>
      </c>
      <c r="JCT4" t="s">
        <v>6984</v>
      </c>
      <c r="JCU4" t="s">
        <v>6984</v>
      </c>
      <c r="JCV4" t="s">
        <v>6984</v>
      </c>
      <c r="JCW4" t="s">
        <v>6984</v>
      </c>
      <c r="JCX4" t="s">
        <v>6984</v>
      </c>
      <c r="JCY4" t="s">
        <v>6984</v>
      </c>
      <c r="JCZ4" t="s">
        <v>6984</v>
      </c>
      <c r="JDA4" t="s">
        <v>6984</v>
      </c>
      <c r="JDB4" t="s">
        <v>6984</v>
      </c>
      <c r="JDC4" t="s">
        <v>6984</v>
      </c>
      <c r="JDD4" t="s">
        <v>6984</v>
      </c>
      <c r="JDE4" t="s">
        <v>6984</v>
      </c>
      <c r="JDF4" t="s">
        <v>6984</v>
      </c>
      <c r="JDG4" t="s">
        <v>6984</v>
      </c>
      <c r="JDH4" t="s">
        <v>6984</v>
      </c>
      <c r="JDI4" t="s">
        <v>6984</v>
      </c>
      <c r="JDJ4" t="s">
        <v>6984</v>
      </c>
      <c r="JDK4" t="s">
        <v>6984</v>
      </c>
      <c r="JDL4" t="s">
        <v>6984</v>
      </c>
      <c r="JDM4" t="s">
        <v>6984</v>
      </c>
      <c r="JDN4" t="s">
        <v>6984</v>
      </c>
      <c r="JDO4" t="s">
        <v>6984</v>
      </c>
      <c r="JDP4" t="s">
        <v>6984</v>
      </c>
      <c r="JDQ4" t="s">
        <v>6984</v>
      </c>
      <c r="JDR4" t="s">
        <v>6984</v>
      </c>
      <c r="JDS4" t="s">
        <v>6984</v>
      </c>
      <c r="JDT4" t="s">
        <v>6984</v>
      </c>
      <c r="JDU4" t="s">
        <v>6984</v>
      </c>
      <c r="JDV4" t="s">
        <v>6984</v>
      </c>
      <c r="JDW4" t="s">
        <v>6984</v>
      </c>
      <c r="JDX4" t="s">
        <v>6984</v>
      </c>
      <c r="JDY4" t="s">
        <v>6984</v>
      </c>
      <c r="JDZ4" t="s">
        <v>6984</v>
      </c>
      <c r="JEA4" t="s">
        <v>6984</v>
      </c>
      <c r="JEB4" t="s">
        <v>6984</v>
      </c>
      <c r="JEC4" t="s">
        <v>6984</v>
      </c>
      <c r="JED4" t="s">
        <v>6984</v>
      </c>
      <c r="JEE4" t="s">
        <v>6984</v>
      </c>
      <c r="JEF4" t="s">
        <v>6984</v>
      </c>
      <c r="JEG4" t="s">
        <v>6984</v>
      </c>
      <c r="JEH4" t="s">
        <v>6984</v>
      </c>
      <c r="JEI4" t="s">
        <v>6984</v>
      </c>
      <c r="JEJ4" t="s">
        <v>6984</v>
      </c>
      <c r="JEK4" t="s">
        <v>6984</v>
      </c>
      <c r="JEL4" t="s">
        <v>6984</v>
      </c>
      <c r="JEM4" t="s">
        <v>6984</v>
      </c>
      <c r="JEN4" t="s">
        <v>6984</v>
      </c>
      <c r="JEO4" t="s">
        <v>6984</v>
      </c>
      <c r="JEP4" t="s">
        <v>6984</v>
      </c>
      <c r="JEQ4" t="s">
        <v>6984</v>
      </c>
      <c r="JER4" t="s">
        <v>6984</v>
      </c>
      <c r="JES4" t="s">
        <v>6984</v>
      </c>
      <c r="JET4" t="s">
        <v>6984</v>
      </c>
      <c r="JEU4" t="s">
        <v>6984</v>
      </c>
      <c r="JEV4" t="s">
        <v>6984</v>
      </c>
      <c r="JEW4" t="s">
        <v>6984</v>
      </c>
      <c r="JEX4" t="s">
        <v>6984</v>
      </c>
      <c r="JEY4" t="s">
        <v>6984</v>
      </c>
      <c r="JEZ4" t="s">
        <v>6984</v>
      </c>
      <c r="JFA4" t="s">
        <v>6984</v>
      </c>
      <c r="JFB4" t="s">
        <v>6984</v>
      </c>
      <c r="JFC4" t="s">
        <v>6984</v>
      </c>
      <c r="JFD4" t="s">
        <v>6984</v>
      </c>
      <c r="JFE4" t="s">
        <v>6984</v>
      </c>
      <c r="JFF4" t="s">
        <v>6984</v>
      </c>
      <c r="JFG4" t="s">
        <v>6984</v>
      </c>
      <c r="JFH4" t="s">
        <v>6984</v>
      </c>
      <c r="JFI4" t="s">
        <v>6984</v>
      </c>
      <c r="JFJ4" t="s">
        <v>6984</v>
      </c>
      <c r="JFK4" t="s">
        <v>6984</v>
      </c>
      <c r="JFL4" t="s">
        <v>6984</v>
      </c>
      <c r="JFM4" t="s">
        <v>6984</v>
      </c>
      <c r="JFN4" t="s">
        <v>6984</v>
      </c>
      <c r="JFO4" t="s">
        <v>6984</v>
      </c>
      <c r="JFP4" t="s">
        <v>6984</v>
      </c>
      <c r="JFQ4" t="s">
        <v>6984</v>
      </c>
      <c r="JFR4" t="s">
        <v>6984</v>
      </c>
      <c r="JFS4" t="s">
        <v>6984</v>
      </c>
      <c r="JFT4" t="s">
        <v>6984</v>
      </c>
      <c r="JFU4" t="s">
        <v>6984</v>
      </c>
      <c r="JFV4" t="s">
        <v>6984</v>
      </c>
      <c r="JFW4" t="s">
        <v>6984</v>
      </c>
      <c r="JFX4" t="s">
        <v>6984</v>
      </c>
      <c r="JFY4" t="s">
        <v>6984</v>
      </c>
      <c r="JFZ4" t="s">
        <v>6984</v>
      </c>
      <c r="JGA4" t="s">
        <v>6984</v>
      </c>
      <c r="JGB4" t="s">
        <v>6984</v>
      </c>
      <c r="JGC4" t="s">
        <v>6984</v>
      </c>
      <c r="JGD4" t="s">
        <v>6984</v>
      </c>
      <c r="JGE4" t="s">
        <v>6984</v>
      </c>
      <c r="JGF4" t="s">
        <v>6984</v>
      </c>
      <c r="JGG4" t="s">
        <v>6984</v>
      </c>
      <c r="JGH4" t="s">
        <v>6984</v>
      </c>
      <c r="JGI4" t="s">
        <v>6984</v>
      </c>
      <c r="JGJ4" t="s">
        <v>6984</v>
      </c>
      <c r="JGK4" t="s">
        <v>6984</v>
      </c>
      <c r="JGL4" t="s">
        <v>6984</v>
      </c>
      <c r="JGM4" t="s">
        <v>6984</v>
      </c>
      <c r="JGN4" t="s">
        <v>6984</v>
      </c>
      <c r="JGO4" t="s">
        <v>6984</v>
      </c>
      <c r="JGP4" t="s">
        <v>6984</v>
      </c>
      <c r="JGQ4" t="s">
        <v>6984</v>
      </c>
      <c r="JGR4" t="s">
        <v>6984</v>
      </c>
      <c r="JGS4" t="s">
        <v>6984</v>
      </c>
      <c r="JGT4" t="s">
        <v>6984</v>
      </c>
      <c r="JGU4" t="s">
        <v>6984</v>
      </c>
      <c r="JGV4" t="s">
        <v>6984</v>
      </c>
      <c r="JGW4" t="s">
        <v>6984</v>
      </c>
      <c r="JGX4" t="s">
        <v>6984</v>
      </c>
      <c r="JGY4" t="s">
        <v>6984</v>
      </c>
      <c r="JGZ4" t="s">
        <v>6984</v>
      </c>
      <c r="JHA4" t="s">
        <v>6984</v>
      </c>
      <c r="JHB4" t="s">
        <v>6984</v>
      </c>
      <c r="JHC4" t="s">
        <v>6984</v>
      </c>
      <c r="JHD4" t="s">
        <v>6984</v>
      </c>
      <c r="JHE4" t="s">
        <v>6984</v>
      </c>
      <c r="JHF4" t="s">
        <v>6984</v>
      </c>
      <c r="JHG4" t="s">
        <v>6984</v>
      </c>
      <c r="JHH4" t="s">
        <v>6984</v>
      </c>
      <c r="JHI4" t="s">
        <v>6984</v>
      </c>
      <c r="JHJ4" t="s">
        <v>6984</v>
      </c>
      <c r="JHK4" t="s">
        <v>6984</v>
      </c>
      <c r="JHL4" t="s">
        <v>6984</v>
      </c>
      <c r="JHM4" t="s">
        <v>6984</v>
      </c>
      <c r="JHN4" t="s">
        <v>6984</v>
      </c>
      <c r="JHO4" t="s">
        <v>6984</v>
      </c>
      <c r="JHP4" t="s">
        <v>6984</v>
      </c>
      <c r="JHQ4" t="s">
        <v>6984</v>
      </c>
      <c r="JHR4" t="s">
        <v>6984</v>
      </c>
      <c r="JHS4" t="s">
        <v>6984</v>
      </c>
      <c r="JHT4" t="s">
        <v>6984</v>
      </c>
      <c r="JHU4" t="s">
        <v>6984</v>
      </c>
      <c r="JHV4" t="s">
        <v>6984</v>
      </c>
      <c r="JHW4" t="s">
        <v>6984</v>
      </c>
      <c r="JHX4" t="s">
        <v>6984</v>
      </c>
      <c r="JHY4" t="s">
        <v>6984</v>
      </c>
      <c r="JHZ4" t="s">
        <v>6984</v>
      </c>
      <c r="JIA4" t="s">
        <v>6984</v>
      </c>
      <c r="JIB4" t="s">
        <v>6984</v>
      </c>
      <c r="JIC4" t="s">
        <v>6984</v>
      </c>
      <c r="JID4" t="s">
        <v>6984</v>
      </c>
      <c r="JIE4" t="s">
        <v>6984</v>
      </c>
      <c r="JIF4" t="s">
        <v>6984</v>
      </c>
      <c r="JIG4" t="s">
        <v>6984</v>
      </c>
      <c r="JIH4" t="s">
        <v>6984</v>
      </c>
      <c r="JII4" t="s">
        <v>6984</v>
      </c>
      <c r="JIJ4" t="s">
        <v>6984</v>
      </c>
      <c r="JIK4" t="s">
        <v>6984</v>
      </c>
      <c r="JIL4" t="s">
        <v>6984</v>
      </c>
      <c r="JIM4" t="s">
        <v>6984</v>
      </c>
      <c r="JIN4" t="s">
        <v>6984</v>
      </c>
      <c r="JIO4" t="s">
        <v>6984</v>
      </c>
      <c r="JIP4" t="s">
        <v>6984</v>
      </c>
      <c r="JIQ4" t="s">
        <v>6984</v>
      </c>
      <c r="JIR4" t="s">
        <v>6984</v>
      </c>
      <c r="JIS4" t="s">
        <v>6984</v>
      </c>
      <c r="JIT4" t="s">
        <v>6984</v>
      </c>
      <c r="JIU4" t="s">
        <v>6984</v>
      </c>
      <c r="JIV4" t="s">
        <v>6984</v>
      </c>
      <c r="JIW4" t="s">
        <v>6984</v>
      </c>
      <c r="JIX4" t="s">
        <v>6984</v>
      </c>
      <c r="JIY4" t="s">
        <v>6984</v>
      </c>
      <c r="JIZ4" t="s">
        <v>6984</v>
      </c>
      <c r="JJA4" t="s">
        <v>6984</v>
      </c>
    </row>
    <row r="5" spans="1:7021" x14ac:dyDescent="0.25">
      <c r="A5" t="s">
        <v>6986</v>
      </c>
      <c r="B5">
        <v>96.11</v>
      </c>
      <c r="C5">
        <v>96.11</v>
      </c>
      <c r="D5">
        <v>96.11</v>
      </c>
      <c r="E5">
        <v>95.85</v>
      </c>
      <c r="F5">
        <v>95.87</v>
      </c>
      <c r="G5">
        <v>95.905000000000001</v>
      </c>
      <c r="H5">
        <v>95.92</v>
      </c>
      <c r="I5">
        <v>95.894999999999996</v>
      </c>
      <c r="J5">
        <v>95.85</v>
      </c>
      <c r="K5">
        <v>95.86</v>
      </c>
      <c r="L5">
        <v>95.855000000000004</v>
      </c>
      <c r="M5">
        <v>95.93</v>
      </c>
      <c r="N5">
        <v>95.944999999999993</v>
      </c>
      <c r="O5">
        <v>95.905000000000001</v>
      </c>
      <c r="P5">
        <v>95.905000000000001</v>
      </c>
      <c r="Q5">
        <v>95.92</v>
      </c>
      <c r="R5">
        <v>95.9</v>
      </c>
      <c r="S5">
        <v>95.86</v>
      </c>
      <c r="T5">
        <v>95.88</v>
      </c>
      <c r="U5">
        <v>95.875</v>
      </c>
      <c r="V5">
        <v>95.875</v>
      </c>
      <c r="W5">
        <v>95.89</v>
      </c>
      <c r="X5">
        <v>95.9</v>
      </c>
      <c r="Y5">
        <v>95.91</v>
      </c>
      <c r="Z5">
        <v>95.92</v>
      </c>
      <c r="AA5">
        <v>95.91</v>
      </c>
      <c r="AB5">
        <v>95.94</v>
      </c>
      <c r="AC5">
        <v>95.905000000000001</v>
      </c>
      <c r="AD5">
        <v>95.93</v>
      </c>
      <c r="AE5">
        <v>95.965000000000003</v>
      </c>
      <c r="AF5">
        <v>96.055000000000007</v>
      </c>
      <c r="AG5">
        <v>96.055000000000007</v>
      </c>
      <c r="AH5">
        <v>96.125</v>
      </c>
      <c r="AI5">
        <v>96.165000000000006</v>
      </c>
      <c r="AJ5">
        <v>96.12</v>
      </c>
      <c r="AK5">
        <v>96.155000000000001</v>
      </c>
      <c r="AL5">
        <v>96.28</v>
      </c>
      <c r="AM5">
        <v>96.364999999999995</v>
      </c>
      <c r="AN5">
        <v>96.32</v>
      </c>
      <c r="AO5">
        <v>96.29</v>
      </c>
      <c r="AP5">
        <v>96.26</v>
      </c>
      <c r="AQ5">
        <v>96.245000000000005</v>
      </c>
      <c r="AR5">
        <v>96.204999999999998</v>
      </c>
      <c r="AS5">
        <v>96.27</v>
      </c>
      <c r="AT5">
        <v>96.334999999999994</v>
      </c>
      <c r="AU5">
        <v>96.265000000000001</v>
      </c>
      <c r="AV5">
        <v>96.265000000000001</v>
      </c>
      <c r="AW5">
        <v>96.295000000000002</v>
      </c>
      <c r="AX5">
        <v>96.275000000000006</v>
      </c>
      <c r="AY5">
        <v>96.29</v>
      </c>
      <c r="AZ5">
        <v>96.23</v>
      </c>
      <c r="BA5">
        <v>96.32</v>
      </c>
      <c r="BB5">
        <v>96.204999999999998</v>
      </c>
      <c r="BC5">
        <v>96.465000000000003</v>
      </c>
      <c r="BD5">
        <v>96.415000000000006</v>
      </c>
      <c r="BE5">
        <v>96.42</v>
      </c>
      <c r="BF5">
        <v>96.314999999999998</v>
      </c>
      <c r="BG5">
        <v>96.18</v>
      </c>
      <c r="BH5">
        <v>96.234999999999999</v>
      </c>
      <c r="BI5">
        <v>96.19</v>
      </c>
      <c r="BJ5">
        <v>96.194999999999993</v>
      </c>
      <c r="BK5">
        <v>96.094999999999999</v>
      </c>
      <c r="BL5">
        <v>96.1</v>
      </c>
      <c r="BM5">
        <v>96.11</v>
      </c>
      <c r="BN5">
        <v>96.094999999999999</v>
      </c>
      <c r="BO5">
        <v>96.174999999999997</v>
      </c>
      <c r="BP5">
        <v>96.15</v>
      </c>
      <c r="BQ5">
        <v>96.114999999999995</v>
      </c>
      <c r="BR5">
        <v>95.87</v>
      </c>
      <c r="BS5">
        <v>95.885000000000005</v>
      </c>
      <c r="BT5">
        <v>95.93</v>
      </c>
      <c r="BU5">
        <v>95.96</v>
      </c>
      <c r="BV5">
        <v>95.935000000000002</v>
      </c>
      <c r="BW5">
        <v>95.99</v>
      </c>
      <c r="BX5">
        <v>96.03</v>
      </c>
      <c r="BY5">
        <v>95.965000000000003</v>
      </c>
      <c r="BZ5">
        <v>96.004999999999995</v>
      </c>
      <c r="CA5">
        <v>95.954999999999998</v>
      </c>
      <c r="CB5">
        <v>95.98</v>
      </c>
      <c r="CC5">
        <v>95.965000000000003</v>
      </c>
      <c r="CD5">
        <v>95.954999999999998</v>
      </c>
      <c r="CE5">
        <v>95.89</v>
      </c>
      <c r="CF5">
        <v>95.894999999999996</v>
      </c>
      <c r="CG5">
        <v>95.89</v>
      </c>
      <c r="CH5">
        <v>95.864999999999995</v>
      </c>
      <c r="CI5">
        <v>95.87</v>
      </c>
      <c r="CJ5">
        <v>95.814999999999998</v>
      </c>
      <c r="CK5">
        <v>95.8</v>
      </c>
      <c r="CL5">
        <v>95.79</v>
      </c>
      <c r="CM5">
        <v>95.82</v>
      </c>
      <c r="CN5">
        <v>95.82</v>
      </c>
      <c r="CO5">
        <v>95.78</v>
      </c>
      <c r="CP5">
        <v>95.75</v>
      </c>
      <c r="CQ5">
        <v>95.81</v>
      </c>
      <c r="CR5">
        <v>95.83</v>
      </c>
      <c r="CS5">
        <v>95.83</v>
      </c>
      <c r="CT5">
        <v>95.89</v>
      </c>
      <c r="CU5">
        <v>95.9</v>
      </c>
      <c r="CV5">
        <v>95.89</v>
      </c>
      <c r="CW5">
        <v>95.86</v>
      </c>
      <c r="CX5">
        <v>95.894999999999996</v>
      </c>
      <c r="CY5">
        <v>95.92</v>
      </c>
      <c r="CZ5">
        <v>95.915000000000006</v>
      </c>
      <c r="DA5">
        <v>95.95</v>
      </c>
      <c r="DB5">
        <v>95.96</v>
      </c>
      <c r="DC5">
        <v>95.915000000000006</v>
      </c>
      <c r="DD5">
        <v>95.894999999999996</v>
      </c>
      <c r="DE5">
        <v>95.885000000000005</v>
      </c>
      <c r="DF5">
        <v>95.885000000000005</v>
      </c>
      <c r="DG5">
        <v>95.894999999999996</v>
      </c>
      <c r="DH5">
        <v>95.894999999999996</v>
      </c>
      <c r="DI5">
        <v>95.91</v>
      </c>
      <c r="DJ5">
        <v>95.9</v>
      </c>
      <c r="DK5">
        <v>95.84</v>
      </c>
      <c r="DL5">
        <v>95.82</v>
      </c>
      <c r="DM5">
        <v>95.834999999999994</v>
      </c>
      <c r="DN5">
        <v>95.935000000000002</v>
      </c>
      <c r="DO5">
        <v>95.91</v>
      </c>
      <c r="DP5">
        <v>95.9</v>
      </c>
      <c r="DQ5">
        <v>95.924999999999997</v>
      </c>
      <c r="DR5">
        <v>95.93</v>
      </c>
      <c r="DS5">
        <v>95.944999999999993</v>
      </c>
      <c r="DT5">
        <v>95.954999999999998</v>
      </c>
      <c r="DU5">
        <v>95.954999999999998</v>
      </c>
      <c r="DV5">
        <v>95.96</v>
      </c>
      <c r="DW5">
        <v>95.92</v>
      </c>
      <c r="DX5">
        <v>95.894999999999996</v>
      </c>
      <c r="DY5">
        <v>95.894999999999996</v>
      </c>
      <c r="DZ5">
        <v>95.894999999999996</v>
      </c>
      <c r="EA5">
        <v>95.87</v>
      </c>
      <c r="EB5">
        <v>95.9</v>
      </c>
      <c r="EC5">
        <v>95.894999999999996</v>
      </c>
      <c r="ED5">
        <v>95.855000000000004</v>
      </c>
      <c r="EE5">
        <v>95.83</v>
      </c>
      <c r="EF5">
        <v>95.84</v>
      </c>
      <c r="EG5">
        <v>95.844999999999999</v>
      </c>
      <c r="EH5">
        <v>95.864999999999995</v>
      </c>
      <c r="EI5">
        <v>95.88</v>
      </c>
      <c r="EJ5">
        <v>95.87</v>
      </c>
      <c r="EK5">
        <v>95.885000000000005</v>
      </c>
      <c r="EL5">
        <v>95.9</v>
      </c>
      <c r="EM5">
        <v>95.844999999999999</v>
      </c>
      <c r="EN5">
        <v>95.86</v>
      </c>
      <c r="EO5">
        <v>95.825000000000003</v>
      </c>
      <c r="EP5">
        <v>95.76</v>
      </c>
      <c r="EQ5">
        <v>95.795000000000002</v>
      </c>
      <c r="ER5">
        <v>95.775000000000006</v>
      </c>
      <c r="ES5">
        <v>95.775000000000006</v>
      </c>
      <c r="ET5">
        <v>95.745000000000005</v>
      </c>
      <c r="EU5">
        <v>95.75</v>
      </c>
      <c r="EV5">
        <v>95.724999999999994</v>
      </c>
      <c r="EW5">
        <v>95.734999999999999</v>
      </c>
      <c r="EX5">
        <v>95.754999999999995</v>
      </c>
      <c r="EY5">
        <v>95.775000000000006</v>
      </c>
      <c r="EZ5">
        <v>95.784999999999997</v>
      </c>
      <c r="FA5">
        <v>95.79</v>
      </c>
      <c r="FB5">
        <v>95.825000000000003</v>
      </c>
      <c r="FC5">
        <v>95.85</v>
      </c>
      <c r="FD5">
        <v>95.754999999999995</v>
      </c>
      <c r="FE5">
        <v>95.78</v>
      </c>
      <c r="FF5">
        <v>95.814999999999998</v>
      </c>
      <c r="FG5">
        <v>95.864999999999995</v>
      </c>
      <c r="FH5">
        <v>95.85</v>
      </c>
      <c r="FI5">
        <v>95.91</v>
      </c>
      <c r="FJ5">
        <v>95.93</v>
      </c>
      <c r="FK5">
        <v>95.915000000000006</v>
      </c>
      <c r="FL5">
        <v>95.935000000000002</v>
      </c>
      <c r="FM5">
        <v>95.95</v>
      </c>
      <c r="FN5">
        <v>95.965000000000003</v>
      </c>
      <c r="FO5">
        <v>95.944999999999993</v>
      </c>
      <c r="FP5">
        <v>95.965000000000003</v>
      </c>
      <c r="FQ5">
        <v>95.984999999999999</v>
      </c>
      <c r="FR5">
        <v>95.944999999999993</v>
      </c>
      <c r="FS5">
        <v>95.98</v>
      </c>
      <c r="FT5">
        <v>95.98</v>
      </c>
      <c r="FU5">
        <v>96.05</v>
      </c>
      <c r="FV5">
        <v>96.025000000000006</v>
      </c>
      <c r="FW5">
        <v>96.084999999999994</v>
      </c>
      <c r="FX5">
        <v>96.075000000000003</v>
      </c>
      <c r="FY5">
        <v>96.04</v>
      </c>
      <c r="FZ5">
        <v>96.105000000000004</v>
      </c>
      <c r="GA5">
        <v>96.045000000000002</v>
      </c>
      <c r="GB5">
        <v>96.025000000000006</v>
      </c>
      <c r="GC5">
        <v>96.09</v>
      </c>
      <c r="GD5">
        <v>96.06</v>
      </c>
      <c r="GE5">
        <v>96.13</v>
      </c>
      <c r="GF5">
        <v>96.394999999999996</v>
      </c>
      <c r="GG5">
        <v>96.48</v>
      </c>
      <c r="GH5">
        <v>96.5</v>
      </c>
      <c r="GI5">
        <v>96.484999999999999</v>
      </c>
      <c r="GJ5">
        <v>96.61</v>
      </c>
      <c r="GK5">
        <v>96.545000000000002</v>
      </c>
      <c r="GL5">
        <v>96.63</v>
      </c>
      <c r="GM5">
        <v>96.655000000000001</v>
      </c>
      <c r="GN5">
        <v>96.63</v>
      </c>
      <c r="GO5">
        <v>96.625</v>
      </c>
      <c r="GP5">
        <v>96.594999999999999</v>
      </c>
      <c r="GQ5">
        <v>96.59</v>
      </c>
      <c r="GR5">
        <v>95.965000000000003</v>
      </c>
      <c r="GS5">
        <v>96</v>
      </c>
      <c r="GT5">
        <v>95.965000000000003</v>
      </c>
      <c r="GU5">
        <v>95.885000000000005</v>
      </c>
      <c r="GV5">
        <v>95.85</v>
      </c>
      <c r="GW5">
        <v>95.94</v>
      </c>
      <c r="GX5">
        <v>95.91</v>
      </c>
      <c r="GY5">
        <v>95.93</v>
      </c>
      <c r="GZ5">
        <v>95.86</v>
      </c>
      <c r="HA5">
        <v>95.875</v>
      </c>
      <c r="HB5">
        <v>95.76</v>
      </c>
      <c r="HC5">
        <v>95.745000000000005</v>
      </c>
      <c r="HD5">
        <v>95.745000000000005</v>
      </c>
      <c r="HE5">
        <v>95.76</v>
      </c>
      <c r="HF5">
        <v>95.79</v>
      </c>
      <c r="HG5">
        <v>95.8</v>
      </c>
      <c r="HH5">
        <v>95.76</v>
      </c>
      <c r="HI5">
        <v>95.784999999999997</v>
      </c>
      <c r="HJ5">
        <v>95.71</v>
      </c>
      <c r="HK5">
        <v>95.795000000000002</v>
      </c>
      <c r="HL5">
        <v>95.715000000000003</v>
      </c>
      <c r="HM5">
        <v>95.665000000000006</v>
      </c>
      <c r="HN5">
        <v>95.67</v>
      </c>
      <c r="HO5">
        <v>95.65</v>
      </c>
      <c r="HP5">
        <v>95.79</v>
      </c>
      <c r="HQ5">
        <v>95.82</v>
      </c>
      <c r="HR5">
        <v>95.75</v>
      </c>
      <c r="HS5">
        <v>95.74</v>
      </c>
      <c r="HT5">
        <v>95.754999999999995</v>
      </c>
      <c r="HU5">
        <v>95.82</v>
      </c>
      <c r="HV5">
        <v>95.795000000000002</v>
      </c>
      <c r="HW5">
        <v>95.924999999999997</v>
      </c>
      <c r="HX5">
        <v>95.92</v>
      </c>
      <c r="HY5">
        <v>95.555000000000007</v>
      </c>
      <c r="HZ5">
        <v>95.394999999999996</v>
      </c>
      <c r="IA5">
        <v>95.38</v>
      </c>
      <c r="IB5">
        <v>95.36</v>
      </c>
      <c r="IC5">
        <v>95.37</v>
      </c>
      <c r="ID5">
        <v>95.344999999999999</v>
      </c>
      <c r="IE5">
        <v>95.344999999999999</v>
      </c>
      <c r="IF5">
        <v>95.32</v>
      </c>
      <c r="IG5">
        <v>95.295000000000002</v>
      </c>
      <c r="IH5">
        <v>95.32</v>
      </c>
      <c r="II5">
        <v>95.344999999999999</v>
      </c>
      <c r="IJ5">
        <v>95.36</v>
      </c>
      <c r="IK5">
        <v>95.364999999999995</v>
      </c>
      <c r="IL5">
        <v>95.37</v>
      </c>
      <c r="IM5">
        <v>95.334999999999994</v>
      </c>
      <c r="IN5">
        <v>95.31</v>
      </c>
      <c r="IO5">
        <v>95.204999999999998</v>
      </c>
      <c r="IP5">
        <v>95.2</v>
      </c>
      <c r="IQ5">
        <v>95.21</v>
      </c>
      <c r="IR5">
        <v>95.23</v>
      </c>
      <c r="IS5">
        <v>95.165000000000006</v>
      </c>
      <c r="IT5">
        <v>95.165000000000006</v>
      </c>
      <c r="IU5">
        <v>95.14</v>
      </c>
      <c r="IV5">
        <v>95.125</v>
      </c>
      <c r="IW5">
        <v>95.144999999999996</v>
      </c>
      <c r="IX5">
        <v>95.14</v>
      </c>
      <c r="IY5">
        <v>95.12</v>
      </c>
      <c r="IZ5">
        <v>95.165000000000006</v>
      </c>
      <c r="JA5">
        <v>95.165000000000006</v>
      </c>
      <c r="JB5">
        <v>95.16</v>
      </c>
      <c r="JC5">
        <v>95.16</v>
      </c>
      <c r="JD5">
        <v>94.85</v>
      </c>
      <c r="JE5">
        <v>94.85</v>
      </c>
      <c r="JF5">
        <v>94.84</v>
      </c>
      <c r="JG5">
        <v>94.875</v>
      </c>
      <c r="JH5">
        <v>94.864999999999995</v>
      </c>
      <c r="JI5">
        <v>94.844999999999999</v>
      </c>
      <c r="JJ5">
        <v>94.814999999999998</v>
      </c>
      <c r="JK5">
        <v>94.805000000000007</v>
      </c>
      <c r="JL5">
        <v>94.81</v>
      </c>
      <c r="JM5">
        <v>94.894999999999996</v>
      </c>
      <c r="JN5">
        <v>94.894999999999996</v>
      </c>
      <c r="JO5">
        <v>94.87</v>
      </c>
      <c r="JP5">
        <v>94.844999999999999</v>
      </c>
      <c r="JQ5">
        <v>94.82</v>
      </c>
      <c r="JR5">
        <v>94.814999999999998</v>
      </c>
      <c r="JS5">
        <v>94.79</v>
      </c>
      <c r="JT5">
        <v>94.784999999999997</v>
      </c>
      <c r="JU5">
        <v>94.8</v>
      </c>
      <c r="JV5">
        <v>94.8</v>
      </c>
      <c r="JW5">
        <v>94.81</v>
      </c>
      <c r="JX5">
        <v>94.844999999999999</v>
      </c>
      <c r="JY5">
        <v>94.87</v>
      </c>
      <c r="JZ5">
        <v>94.86</v>
      </c>
      <c r="KA5">
        <v>94.875</v>
      </c>
      <c r="KB5">
        <v>94.89</v>
      </c>
      <c r="KC5">
        <v>94.924999999999997</v>
      </c>
      <c r="KD5">
        <v>94.885000000000005</v>
      </c>
      <c r="KE5">
        <v>94.875</v>
      </c>
      <c r="KF5">
        <v>94.88</v>
      </c>
      <c r="KG5">
        <v>94.91</v>
      </c>
      <c r="KH5">
        <v>94.89</v>
      </c>
      <c r="KI5">
        <v>94.89</v>
      </c>
      <c r="KJ5">
        <v>94.905000000000001</v>
      </c>
      <c r="KK5">
        <v>94.915000000000006</v>
      </c>
      <c r="KL5">
        <v>94.875</v>
      </c>
      <c r="KM5">
        <v>94.834999999999994</v>
      </c>
      <c r="KN5">
        <v>94.795000000000002</v>
      </c>
      <c r="KO5">
        <v>94.844999999999999</v>
      </c>
      <c r="KP5">
        <v>94.844999999999999</v>
      </c>
      <c r="KQ5">
        <v>94.844999999999999</v>
      </c>
      <c r="KR5">
        <v>94.905000000000001</v>
      </c>
      <c r="KS5">
        <v>94.92</v>
      </c>
      <c r="KT5">
        <v>94.89</v>
      </c>
      <c r="KU5">
        <v>94.89</v>
      </c>
      <c r="KV5">
        <v>94.87</v>
      </c>
      <c r="KW5">
        <v>94.905000000000001</v>
      </c>
      <c r="KX5">
        <v>94.9</v>
      </c>
      <c r="KY5">
        <v>94.905000000000001</v>
      </c>
      <c r="KZ5">
        <v>94.94</v>
      </c>
      <c r="LA5">
        <v>94.89</v>
      </c>
      <c r="LB5">
        <v>94.87</v>
      </c>
      <c r="LC5">
        <v>95.075000000000003</v>
      </c>
      <c r="LD5">
        <v>95.04</v>
      </c>
      <c r="LE5">
        <v>95.075000000000003</v>
      </c>
      <c r="LF5">
        <v>95.144999999999996</v>
      </c>
      <c r="LG5">
        <v>95.1</v>
      </c>
      <c r="LH5">
        <v>95.09</v>
      </c>
      <c r="LI5">
        <v>95.06</v>
      </c>
      <c r="LJ5">
        <v>95.135000000000005</v>
      </c>
      <c r="LK5">
        <v>95.135000000000005</v>
      </c>
      <c r="LL5">
        <v>95.18</v>
      </c>
      <c r="LM5">
        <v>95.17</v>
      </c>
      <c r="LN5">
        <v>95.185000000000002</v>
      </c>
      <c r="LO5">
        <v>95.215000000000003</v>
      </c>
      <c r="LP5">
        <v>95.194999999999993</v>
      </c>
      <c r="LQ5">
        <v>95.21</v>
      </c>
      <c r="LR5">
        <v>94.855000000000004</v>
      </c>
      <c r="LS5">
        <v>94.834999999999994</v>
      </c>
      <c r="LT5">
        <v>94.85</v>
      </c>
      <c r="LU5">
        <v>94.864999999999995</v>
      </c>
      <c r="LV5">
        <v>94.885000000000005</v>
      </c>
      <c r="LW5">
        <v>94.9</v>
      </c>
      <c r="LX5">
        <v>94.935000000000002</v>
      </c>
      <c r="LY5">
        <v>94.954999999999998</v>
      </c>
      <c r="LZ5">
        <v>94.954999999999998</v>
      </c>
      <c r="MA5">
        <v>94.93</v>
      </c>
      <c r="MB5">
        <v>94.935000000000002</v>
      </c>
      <c r="MC5">
        <v>94.905000000000001</v>
      </c>
      <c r="MD5">
        <v>94.96</v>
      </c>
      <c r="ME5">
        <v>94.89</v>
      </c>
      <c r="MF5">
        <v>94.89</v>
      </c>
      <c r="MG5">
        <v>94.86</v>
      </c>
      <c r="MH5">
        <v>94.86</v>
      </c>
      <c r="MI5">
        <v>94.9</v>
      </c>
      <c r="MJ5">
        <v>94.9</v>
      </c>
      <c r="MK5">
        <v>94.94</v>
      </c>
      <c r="ML5">
        <v>94.97</v>
      </c>
      <c r="MM5">
        <v>94.95</v>
      </c>
      <c r="MN5">
        <v>94.95</v>
      </c>
      <c r="MO5">
        <v>95</v>
      </c>
      <c r="MP5">
        <v>95.004999999999995</v>
      </c>
      <c r="MQ5">
        <v>94.96</v>
      </c>
      <c r="MR5">
        <v>95.105000000000004</v>
      </c>
      <c r="MS5">
        <v>95.114999999999995</v>
      </c>
      <c r="MT5">
        <v>95.144999999999996</v>
      </c>
      <c r="MU5">
        <v>95.17</v>
      </c>
      <c r="MV5">
        <v>95.17</v>
      </c>
      <c r="MW5">
        <v>95.12</v>
      </c>
      <c r="MX5">
        <v>95.185000000000002</v>
      </c>
      <c r="MY5">
        <v>95.38</v>
      </c>
      <c r="MZ5">
        <v>95.39</v>
      </c>
      <c r="NA5">
        <v>95.254999999999995</v>
      </c>
      <c r="NB5">
        <v>95.295000000000002</v>
      </c>
      <c r="NC5">
        <v>95.28</v>
      </c>
      <c r="ND5">
        <v>95.32</v>
      </c>
      <c r="NE5">
        <v>95.26</v>
      </c>
      <c r="NF5">
        <v>95.275000000000006</v>
      </c>
      <c r="NG5">
        <v>95.27</v>
      </c>
      <c r="NH5">
        <v>95.27</v>
      </c>
      <c r="NI5">
        <v>95.34</v>
      </c>
      <c r="NJ5">
        <v>95.33</v>
      </c>
      <c r="NK5">
        <v>95.46</v>
      </c>
      <c r="NL5">
        <v>95.575000000000003</v>
      </c>
      <c r="NM5">
        <v>95.575000000000003</v>
      </c>
      <c r="NN5">
        <v>95.44</v>
      </c>
      <c r="NO5">
        <v>95.355000000000004</v>
      </c>
      <c r="NP5">
        <v>95.334999999999994</v>
      </c>
      <c r="NQ5">
        <v>95.355000000000004</v>
      </c>
      <c r="NR5">
        <v>95.34</v>
      </c>
      <c r="NS5">
        <v>95.33</v>
      </c>
      <c r="NT5">
        <v>95.38</v>
      </c>
      <c r="NU5">
        <v>95.42</v>
      </c>
      <c r="NV5">
        <v>95.484999999999999</v>
      </c>
      <c r="NW5">
        <v>95.484999999999999</v>
      </c>
      <c r="NX5">
        <v>95.465000000000003</v>
      </c>
      <c r="NY5">
        <v>95.504999999999995</v>
      </c>
      <c r="NZ5">
        <v>95.465000000000003</v>
      </c>
      <c r="OA5">
        <v>95.504999999999995</v>
      </c>
      <c r="OB5">
        <v>95.504999999999995</v>
      </c>
      <c r="OC5">
        <v>95.474999999999994</v>
      </c>
      <c r="OD5">
        <v>95.444999999999993</v>
      </c>
      <c r="OE5">
        <v>94.944999999999993</v>
      </c>
      <c r="OF5">
        <v>94.924999999999997</v>
      </c>
      <c r="OG5">
        <v>94.92</v>
      </c>
      <c r="OH5">
        <v>94.965000000000003</v>
      </c>
      <c r="OI5">
        <v>94.94</v>
      </c>
      <c r="OJ5">
        <v>94.795000000000002</v>
      </c>
      <c r="OK5">
        <v>94.805000000000007</v>
      </c>
      <c r="OL5">
        <v>94.81</v>
      </c>
      <c r="OM5">
        <v>94.894999999999996</v>
      </c>
      <c r="ON5">
        <v>94.885000000000005</v>
      </c>
      <c r="OO5">
        <v>94.894999999999996</v>
      </c>
      <c r="OP5">
        <v>94.86</v>
      </c>
      <c r="OQ5">
        <v>94.91</v>
      </c>
      <c r="OR5">
        <v>94.82</v>
      </c>
      <c r="OS5">
        <v>94.84</v>
      </c>
      <c r="OT5">
        <v>94.775000000000006</v>
      </c>
      <c r="OU5">
        <v>94.72</v>
      </c>
      <c r="OV5">
        <v>94.71</v>
      </c>
      <c r="OW5">
        <v>94.73</v>
      </c>
      <c r="OX5">
        <v>94.73</v>
      </c>
      <c r="OY5">
        <v>94.754999999999995</v>
      </c>
      <c r="OZ5">
        <v>94.75</v>
      </c>
      <c r="PA5">
        <v>94.76</v>
      </c>
      <c r="PB5">
        <v>94.775000000000006</v>
      </c>
      <c r="PC5">
        <v>94.745000000000005</v>
      </c>
      <c r="PD5">
        <v>94.795000000000002</v>
      </c>
      <c r="PE5">
        <v>94.65</v>
      </c>
      <c r="PF5">
        <v>94.66</v>
      </c>
      <c r="PG5">
        <v>94.665000000000006</v>
      </c>
      <c r="PH5">
        <v>94.715000000000003</v>
      </c>
      <c r="PI5">
        <v>94.74</v>
      </c>
      <c r="PJ5">
        <v>94.734999999999999</v>
      </c>
      <c r="PK5">
        <v>94.775000000000006</v>
      </c>
      <c r="PL5">
        <v>94.685000000000002</v>
      </c>
      <c r="PM5">
        <v>94.68</v>
      </c>
      <c r="PN5">
        <v>94.625</v>
      </c>
      <c r="PO5">
        <v>94.655000000000001</v>
      </c>
      <c r="PP5">
        <v>94.674999999999997</v>
      </c>
      <c r="PQ5">
        <v>94.665000000000006</v>
      </c>
      <c r="PR5">
        <v>94.62</v>
      </c>
      <c r="PS5">
        <v>94.635000000000005</v>
      </c>
      <c r="PT5">
        <v>94.65</v>
      </c>
      <c r="PU5">
        <v>94.665000000000006</v>
      </c>
      <c r="PV5">
        <v>94.625</v>
      </c>
      <c r="PW5">
        <v>94.58</v>
      </c>
      <c r="PX5">
        <v>94.575000000000003</v>
      </c>
      <c r="PY5">
        <v>94.644999999999996</v>
      </c>
      <c r="PZ5">
        <v>94.67</v>
      </c>
      <c r="QA5">
        <v>94.65</v>
      </c>
      <c r="QB5">
        <v>94.694999999999993</v>
      </c>
      <c r="QC5">
        <v>94.715000000000003</v>
      </c>
      <c r="QD5">
        <v>94.724999999999994</v>
      </c>
      <c r="QE5">
        <v>94.625</v>
      </c>
      <c r="QF5">
        <v>94.69</v>
      </c>
      <c r="QG5">
        <v>94.67</v>
      </c>
      <c r="QH5">
        <v>94.58</v>
      </c>
      <c r="QI5">
        <v>94.584999999999994</v>
      </c>
      <c r="QJ5">
        <v>94.625</v>
      </c>
      <c r="QK5">
        <v>94.62</v>
      </c>
      <c r="QL5">
        <v>94.564999999999998</v>
      </c>
      <c r="QM5">
        <v>94.61</v>
      </c>
      <c r="QN5">
        <v>94.61</v>
      </c>
      <c r="QO5">
        <v>94.61</v>
      </c>
      <c r="QP5">
        <v>94.594999999999999</v>
      </c>
      <c r="QQ5">
        <v>94.584999999999994</v>
      </c>
      <c r="QR5">
        <v>94.53</v>
      </c>
      <c r="QS5">
        <v>94.534999999999997</v>
      </c>
      <c r="QT5">
        <v>94.55</v>
      </c>
      <c r="QU5">
        <v>94.55</v>
      </c>
      <c r="QV5">
        <v>94.545000000000002</v>
      </c>
      <c r="QW5">
        <v>94.545000000000002</v>
      </c>
      <c r="QX5">
        <v>94.54</v>
      </c>
      <c r="QY5">
        <v>94.555000000000007</v>
      </c>
      <c r="QZ5">
        <v>94.555000000000007</v>
      </c>
      <c r="RA5">
        <v>94.545000000000002</v>
      </c>
      <c r="RB5">
        <v>94.555000000000007</v>
      </c>
      <c r="RC5">
        <v>94.605000000000004</v>
      </c>
      <c r="RD5">
        <v>94.605000000000004</v>
      </c>
      <c r="RE5">
        <v>94.6</v>
      </c>
      <c r="RF5">
        <v>94.575000000000003</v>
      </c>
      <c r="RG5">
        <v>94.564999999999998</v>
      </c>
      <c r="RH5">
        <v>94.504999999999995</v>
      </c>
      <c r="RI5">
        <v>94.51</v>
      </c>
      <c r="RJ5">
        <v>94.555000000000007</v>
      </c>
      <c r="RK5">
        <v>94.594999999999999</v>
      </c>
      <c r="RL5">
        <v>94.564999999999998</v>
      </c>
      <c r="RM5">
        <v>94.584999999999994</v>
      </c>
      <c r="RN5">
        <v>94.62</v>
      </c>
      <c r="RO5">
        <v>94.605000000000004</v>
      </c>
      <c r="RP5">
        <v>94.584999999999994</v>
      </c>
      <c r="RQ5">
        <v>94.605000000000004</v>
      </c>
      <c r="RR5">
        <v>94.584999999999994</v>
      </c>
      <c r="RS5">
        <v>94.614999999999995</v>
      </c>
      <c r="RT5">
        <v>94.644999999999996</v>
      </c>
      <c r="RU5">
        <v>94.644999999999996</v>
      </c>
      <c r="RV5">
        <v>94.65</v>
      </c>
      <c r="RW5">
        <v>94.655000000000001</v>
      </c>
      <c r="RX5">
        <v>94.655000000000001</v>
      </c>
      <c r="RY5">
        <v>94.62</v>
      </c>
      <c r="RZ5">
        <v>94.64</v>
      </c>
      <c r="SA5">
        <v>94.62</v>
      </c>
      <c r="SB5">
        <v>94.625</v>
      </c>
      <c r="SC5">
        <v>94.62</v>
      </c>
      <c r="SD5">
        <v>94.594999999999999</v>
      </c>
      <c r="SE5">
        <v>94.62</v>
      </c>
      <c r="SF5">
        <v>94.59</v>
      </c>
      <c r="SG5">
        <v>94.62</v>
      </c>
      <c r="SH5">
        <v>94.644999999999996</v>
      </c>
      <c r="SI5">
        <v>94.64</v>
      </c>
      <c r="SJ5">
        <v>94.68</v>
      </c>
      <c r="SK5">
        <v>94.68</v>
      </c>
      <c r="SL5">
        <v>94.694999999999993</v>
      </c>
      <c r="SM5">
        <v>94.68</v>
      </c>
      <c r="SN5">
        <v>94.745000000000005</v>
      </c>
      <c r="SO5">
        <v>94.68</v>
      </c>
      <c r="SP5">
        <v>94.594999999999999</v>
      </c>
      <c r="SQ5">
        <v>94.635000000000005</v>
      </c>
      <c r="SR5">
        <v>94.614999999999995</v>
      </c>
      <c r="SS5">
        <v>94.575000000000003</v>
      </c>
      <c r="ST5">
        <v>94.635000000000005</v>
      </c>
      <c r="SU5">
        <v>94.62</v>
      </c>
      <c r="SV5">
        <v>94.62</v>
      </c>
      <c r="SW5">
        <v>94.64</v>
      </c>
      <c r="SX5">
        <v>94.605000000000004</v>
      </c>
      <c r="SY5">
        <v>94.724999999999994</v>
      </c>
      <c r="SZ5">
        <v>94.71</v>
      </c>
      <c r="TA5">
        <v>94.77</v>
      </c>
      <c r="TB5">
        <v>94.784999999999997</v>
      </c>
      <c r="TC5">
        <v>94.74</v>
      </c>
      <c r="TD5">
        <v>94.79</v>
      </c>
      <c r="TE5">
        <v>94.67</v>
      </c>
      <c r="TF5">
        <v>94.69</v>
      </c>
      <c r="TG5">
        <v>94.69</v>
      </c>
      <c r="TH5">
        <v>94.71</v>
      </c>
      <c r="TI5">
        <v>94.7</v>
      </c>
      <c r="TJ5">
        <v>94.73</v>
      </c>
      <c r="TK5">
        <v>94.734999999999999</v>
      </c>
      <c r="TL5">
        <v>94.76</v>
      </c>
      <c r="TM5">
        <v>94.795000000000002</v>
      </c>
      <c r="TN5">
        <v>94.78</v>
      </c>
      <c r="TO5">
        <v>94.784999999999997</v>
      </c>
      <c r="TP5">
        <v>94.784999999999997</v>
      </c>
      <c r="TQ5">
        <v>94.77</v>
      </c>
      <c r="TR5">
        <v>94.875</v>
      </c>
      <c r="TS5">
        <v>94.83</v>
      </c>
      <c r="TT5">
        <v>94.775000000000006</v>
      </c>
      <c r="TU5">
        <v>94.754999999999995</v>
      </c>
      <c r="TV5">
        <v>94.754999999999995</v>
      </c>
      <c r="TW5">
        <v>94.784999999999997</v>
      </c>
      <c r="TX5">
        <v>94.885000000000005</v>
      </c>
      <c r="TY5">
        <v>94.96</v>
      </c>
      <c r="TZ5">
        <v>94.984999999999999</v>
      </c>
      <c r="UA5">
        <v>95.04</v>
      </c>
      <c r="UB5">
        <v>95.02</v>
      </c>
      <c r="UC5">
        <v>95.114999999999995</v>
      </c>
      <c r="UD5">
        <v>95.15</v>
      </c>
      <c r="UE5">
        <v>95.21</v>
      </c>
      <c r="UF5">
        <v>95.224999999999994</v>
      </c>
      <c r="UG5">
        <v>95.305000000000007</v>
      </c>
      <c r="UH5">
        <v>95.32</v>
      </c>
      <c r="UI5">
        <v>95.224999999999994</v>
      </c>
      <c r="UJ5">
        <v>95.24</v>
      </c>
      <c r="UK5">
        <v>95.31</v>
      </c>
      <c r="UL5">
        <v>95.474999999999994</v>
      </c>
      <c r="UM5">
        <v>95.245000000000005</v>
      </c>
      <c r="UN5">
        <v>95.254999999999995</v>
      </c>
      <c r="UO5">
        <v>95.094999999999999</v>
      </c>
      <c r="UP5">
        <v>95.155000000000001</v>
      </c>
      <c r="UQ5">
        <v>95.14</v>
      </c>
      <c r="UR5">
        <v>95.3</v>
      </c>
      <c r="US5">
        <v>95.314999999999998</v>
      </c>
      <c r="UT5">
        <v>95.144999999999996</v>
      </c>
      <c r="UU5">
        <v>95.12</v>
      </c>
      <c r="UV5">
        <v>95.144999999999996</v>
      </c>
      <c r="UW5">
        <v>95.084999999999994</v>
      </c>
      <c r="UX5">
        <v>95.135000000000005</v>
      </c>
      <c r="UY5">
        <v>95.16</v>
      </c>
      <c r="UZ5">
        <v>95.224999999999994</v>
      </c>
      <c r="VA5">
        <v>95.375</v>
      </c>
      <c r="VB5">
        <v>95.375</v>
      </c>
      <c r="VC5">
        <v>95.305000000000007</v>
      </c>
      <c r="VD5">
        <v>95.305000000000007</v>
      </c>
      <c r="VE5">
        <v>95.35</v>
      </c>
      <c r="VF5">
        <v>95.54</v>
      </c>
      <c r="VG5">
        <v>95.635000000000005</v>
      </c>
      <c r="VH5">
        <v>95.55</v>
      </c>
      <c r="VI5">
        <v>95.38</v>
      </c>
      <c r="VJ5">
        <v>95.394999999999996</v>
      </c>
      <c r="VK5">
        <v>95.4</v>
      </c>
      <c r="VL5">
        <v>95.44</v>
      </c>
      <c r="VM5">
        <v>95.484999999999999</v>
      </c>
      <c r="VN5">
        <v>95.545000000000002</v>
      </c>
      <c r="VO5">
        <v>95.784999999999997</v>
      </c>
      <c r="VP5">
        <v>95.76</v>
      </c>
      <c r="VQ5">
        <v>95.504999999999995</v>
      </c>
      <c r="VR5">
        <v>95.4</v>
      </c>
      <c r="VS5">
        <v>95.83</v>
      </c>
      <c r="VT5">
        <v>95.96</v>
      </c>
      <c r="VU5">
        <v>95.614999999999995</v>
      </c>
      <c r="VV5">
        <v>95.984999999999999</v>
      </c>
      <c r="VW5">
        <v>95.334999999999994</v>
      </c>
      <c r="VX5">
        <v>95.58</v>
      </c>
      <c r="VY5">
        <v>94.715000000000003</v>
      </c>
      <c r="VZ5">
        <v>94.435000000000002</v>
      </c>
      <c r="WA5">
        <v>94.355000000000004</v>
      </c>
      <c r="WB5">
        <v>94.4</v>
      </c>
      <c r="WC5">
        <v>94.57</v>
      </c>
      <c r="WD5">
        <v>94.594999999999999</v>
      </c>
      <c r="WE5">
        <v>94.594999999999999</v>
      </c>
      <c r="WF5">
        <v>94.584999999999994</v>
      </c>
      <c r="WG5">
        <v>94.625</v>
      </c>
      <c r="WH5">
        <v>94.63</v>
      </c>
      <c r="WI5">
        <v>94.63</v>
      </c>
      <c r="WJ5">
        <v>94.665000000000006</v>
      </c>
      <c r="WK5">
        <v>94.64</v>
      </c>
      <c r="WL5">
        <v>94.655000000000001</v>
      </c>
      <c r="WM5">
        <v>94.72</v>
      </c>
      <c r="WN5">
        <v>94.72</v>
      </c>
      <c r="WO5">
        <v>94.78</v>
      </c>
      <c r="WP5">
        <v>94.765000000000001</v>
      </c>
      <c r="WQ5">
        <v>94.724999999999994</v>
      </c>
      <c r="WR5">
        <v>94.795000000000002</v>
      </c>
      <c r="WS5">
        <v>94.82</v>
      </c>
      <c r="WT5">
        <v>94.834999999999994</v>
      </c>
      <c r="WU5">
        <v>94.85</v>
      </c>
      <c r="WV5">
        <v>94.844999999999999</v>
      </c>
      <c r="WW5">
        <v>94.88</v>
      </c>
      <c r="WX5">
        <v>94.99</v>
      </c>
      <c r="WY5">
        <v>95.14</v>
      </c>
      <c r="WZ5">
        <v>95.125</v>
      </c>
      <c r="XA5">
        <v>95.105000000000004</v>
      </c>
      <c r="XB5">
        <v>95.08</v>
      </c>
      <c r="XC5">
        <v>95.11</v>
      </c>
      <c r="XD5">
        <v>95.114999999999995</v>
      </c>
      <c r="XE5">
        <v>95.14</v>
      </c>
      <c r="XF5">
        <v>95.094999999999999</v>
      </c>
      <c r="XG5">
        <v>95.08</v>
      </c>
      <c r="XH5">
        <v>95.11</v>
      </c>
      <c r="XI5">
        <v>95.13</v>
      </c>
      <c r="XJ5">
        <v>95.165000000000006</v>
      </c>
      <c r="XK5">
        <v>95.12</v>
      </c>
      <c r="XL5">
        <v>95.084999999999994</v>
      </c>
      <c r="XM5">
        <v>95.084999999999994</v>
      </c>
      <c r="XN5">
        <v>95.12</v>
      </c>
      <c r="XO5">
        <v>95.08</v>
      </c>
      <c r="XP5">
        <v>95.084999999999994</v>
      </c>
      <c r="XQ5">
        <v>95.1</v>
      </c>
      <c r="XR5">
        <v>95.064999999999998</v>
      </c>
      <c r="XS5">
        <v>94.98</v>
      </c>
      <c r="XT5">
        <v>95.03</v>
      </c>
      <c r="XU5">
        <v>95.04</v>
      </c>
      <c r="XV5">
        <v>95.04</v>
      </c>
      <c r="XW5">
        <v>95.04</v>
      </c>
      <c r="XX5">
        <v>95.075000000000003</v>
      </c>
      <c r="XY5">
        <v>95.075000000000003</v>
      </c>
      <c r="XZ5">
        <v>95.04</v>
      </c>
      <c r="YA5">
        <v>95.125</v>
      </c>
      <c r="YB5">
        <v>95.125</v>
      </c>
      <c r="YC5">
        <v>95.15</v>
      </c>
      <c r="YD5">
        <v>95.2</v>
      </c>
      <c r="YE5">
        <v>95.155000000000001</v>
      </c>
      <c r="YF5">
        <v>95.155000000000001</v>
      </c>
      <c r="YG5">
        <v>95.194999999999993</v>
      </c>
      <c r="YH5">
        <v>95.144999999999996</v>
      </c>
      <c r="YI5">
        <v>95.18</v>
      </c>
      <c r="YJ5">
        <v>95.17</v>
      </c>
      <c r="YK5">
        <v>95.055000000000007</v>
      </c>
      <c r="YL5">
        <v>95.084999999999994</v>
      </c>
      <c r="YM5">
        <v>95.09</v>
      </c>
      <c r="YN5">
        <v>95.114999999999995</v>
      </c>
      <c r="YO5">
        <v>95.07</v>
      </c>
      <c r="YP5">
        <v>95.045000000000002</v>
      </c>
      <c r="YQ5">
        <v>95.114999999999995</v>
      </c>
      <c r="YR5">
        <v>95.16</v>
      </c>
      <c r="YS5">
        <v>95.084999999999994</v>
      </c>
      <c r="YT5">
        <v>95.05</v>
      </c>
      <c r="YU5">
        <v>95.034999999999997</v>
      </c>
      <c r="YV5">
        <v>95.03</v>
      </c>
      <c r="YW5">
        <v>95.02</v>
      </c>
      <c r="YX5">
        <v>95.02</v>
      </c>
      <c r="YY5">
        <v>94.974999999999994</v>
      </c>
      <c r="YZ5">
        <v>95</v>
      </c>
      <c r="ZA5">
        <v>95.015000000000001</v>
      </c>
      <c r="ZB5">
        <v>95.07</v>
      </c>
      <c r="ZC5">
        <v>95.125</v>
      </c>
      <c r="ZD5">
        <v>95.14</v>
      </c>
      <c r="ZE5">
        <v>95.11</v>
      </c>
      <c r="ZF5">
        <v>95.144999999999996</v>
      </c>
      <c r="ZG5">
        <v>95.155000000000001</v>
      </c>
      <c r="ZH5">
        <v>94.98</v>
      </c>
      <c r="ZI5">
        <v>94.97</v>
      </c>
      <c r="ZJ5">
        <v>94.93</v>
      </c>
      <c r="ZK5">
        <v>94.974999999999994</v>
      </c>
      <c r="ZL5">
        <v>94.92</v>
      </c>
      <c r="ZM5">
        <v>94.98</v>
      </c>
      <c r="ZN5">
        <v>94.995000000000005</v>
      </c>
      <c r="ZO5">
        <v>95.06</v>
      </c>
      <c r="ZP5">
        <v>95.125</v>
      </c>
      <c r="ZQ5">
        <v>95.215000000000003</v>
      </c>
      <c r="ZR5">
        <v>95.174999999999997</v>
      </c>
      <c r="ZS5">
        <v>95.11</v>
      </c>
      <c r="ZT5">
        <v>95.1</v>
      </c>
      <c r="ZU5">
        <v>95.15</v>
      </c>
      <c r="ZV5">
        <v>95.02</v>
      </c>
      <c r="ZW5">
        <v>95.055000000000007</v>
      </c>
      <c r="ZX5">
        <v>95.13</v>
      </c>
      <c r="ZY5">
        <v>95.09</v>
      </c>
      <c r="ZZ5">
        <v>95.07</v>
      </c>
      <c r="AAA5">
        <v>95.155000000000001</v>
      </c>
      <c r="AAB5">
        <v>95.375</v>
      </c>
      <c r="AAC5">
        <v>95.364999999999995</v>
      </c>
      <c r="AAD5">
        <v>95.334999999999994</v>
      </c>
      <c r="AAE5">
        <v>95.385000000000005</v>
      </c>
      <c r="AAF5">
        <v>95.49</v>
      </c>
      <c r="AAG5">
        <v>95.56</v>
      </c>
      <c r="AAH5">
        <v>95.575000000000003</v>
      </c>
      <c r="AAI5">
        <v>95.62</v>
      </c>
      <c r="AAJ5">
        <v>95.58</v>
      </c>
      <c r="AAK5">
        <v>95.605000000000004</v>
      </c>
      <c r="AAL5">
        <v>95.644999999999996</v>
      </c>
      <c r="AAM5">
        <v>95.49</v>
      </c>
      <c r="AAN5">
        <v>95.39</v>
      </c>
      <c r="AAO5">
        <v>95.32</v>
      </c>
      <c r="AAP5">
        <v>95.364999999999995</v>
      </c>
      <c r="AAQ5">
        <v>95.504999999999995</v>
      </c>
      <c r="AAR5">
        <v>95.74</v>
      </c>
      <c r="AAS5">
        <v>95.734999999999999</v>
      </c>
      <c r="AAT5">
        <v>95.784999999999997</v>
      </c>
      <c r="AAU5">
        <v>95.73</v>
      </c>
      <c r="AAV5">
        <v>95.78</v>
      </c>
      <c r="AAW5">
        <v>95.82</v>
      </c>
      <c r="AAX5">
        <v>96.105000000000004</v>
      </c>
      <c r="AAY5">
        <v>96.11</v>
      </c>
      <c r="AAZ5">
        <v>96.185000000000002</v>
      </c>
      <c r="ABA5">
        <v>96.204999999999998</v>
      </c>
      <c r="ABB5">
        <v>96.19</v>
      </c>
      <c r="ABC5">
        <v>96.31</v>
      </c>
      <c r="ABD5">
        <v>96.31</v>
      </c>
      <c r="ABE5">
        <v>96.21</v>
      </c>
      <c r="ABF5">
        <v>96.254999999999995</v>
      </c>
      <c r="ABG5">
        <v>96.254999999999995</v>
      </c>
      <c r="ABH5">
        <v>96.284999999999997</v>
      </c>
      <c r="ABI5">
        <v>96.344999999999999</v>
      </c>
      <c r="ABJ5">
        <v>96.35</v>
      </c>
      <c r="ABK5">
        <v>96.355000000000004</v>
      </c>
      <c r="ABL5">
        <v>96.394999999999996</v>
      </c>
      <c r="ABM5">
        <v>96.38</v>
      </c>
      <c r="ABN5">
        <v>96.454999999999998</v>
      </c>
      <c r="ABO5">
        <v>96.47</v>
      </c>
      <c r="ABP5">
        <v>96.44</v>
      </c>
      <c r="ABQ5">
        <v>96.46</v>
      </c>
      <c r="ABR5">
        <v>96.484999999999999</v>
      </c>
      <c r="ABS5">
        <v>96.45</v>
      </c>
      <c r="ABT5">
        <v>96.454999999999998</v>
      </c>
      <c r="ABU5">
        <v>96.474999999999994</v>
      </c>
      <c r="ABV5">
        <v>96.394999999999996</v>
      </c>
      <c r="ABW5">
        <v>96.44</v>
      </c>
      <c r="ABX5">
        <v>96.424999999999997</v>
      </c>
      <c r="ABY5">
        <v>96.625</v>
      </c>
      <c r="ABZ5">
        <v>96.59</v>
      </c>
      <c r="ACA5">
        <v>96.62</v>
      </c>
      <c r="ACB5">
        <v>96.74</v>
      </c>
      <c r="ACC5">
        <v>96.745000000000005</v>
      </c>
      <c r="ACD5">
        <v>96.78</v>
      </c>
      <c r="ACE5">
        <v>96.73</v>
      </c>
      <c r="ACF5">
        <v>96.65</v>
      </c>
      <c r="ACG5">
        <v>96.625</v>
      </c>
      <c r="ACH5">
        <v>96.685000000000002</v>
      </c>
      <c r="ACI5">
        <v>96.594999999999999</v>
      </c>
      <c r="ACJ5">
        <v>96.45</v>
      </c>
      <c r="ACK5">
        <v>96.46</v>
      </c>
      <c r="ACL5">
        <v>96.515000000000001</v>
      </c>
      <c r="ACM5">
        <v>96.51</v>
      </c>
      <c r="ACN5">
        <v>96.45</v>
      </c>
      <c r="ACO5">
        <v>96.39</v>
      </c>
      <c r="ACP5">
        <v>96.61</v>
      </c>
      <c r="ACQ5">
        <v>96.564999999999998</v>
      </c>
      <c r="ACR5">
        <v>96.51</v>
      </c>
      <c r="ACS5">
        <v>96.61</v>
      </c>
      <c r="ACT5">
        <v>96.685000000000002</v>
      </c>
      <c r="ACU5">
        <v>96.775000000000006</v>
      </c>
      <c r="ACV5">
        <v>96.685000000000002</v>
      </c>
      <c r="ACW5">
        <v>96.685000000000002</v>
      </c>
      <c r="ACX5">
        <v>96.67</v>
      </c>
      <c r="ACY5">
        <v>96.525000000000006</v>
      </c>
      <c r="ACZ5">
        <v>96.545000000000002</v>
      </c>
      <c r="ADA5">
        <v>96.57</v>
      </c>
      <c r="ADB5">
        <v>96.614999999999995</v>
      </c>
      <c r="ADC5">
        <v>96.57</v>
      </c>
      <c r="ADD5">
        <v>96.53</v>
      </c>
      <c r="ADE5">
        <v>96.38</v>
      </c>
      <c r="ADF5">
        <v>96.41</v>
      </c>
      <c r="ADG5">
        <v>96.41</v>
      </c>
      <c r="ADH5">
        <v>96.375</v>
      </c>
      <c r="ADI5">
        <v>96.37</v>
      </c>
      <c r="ADJ5">
        <v>96.87</v>
      </c>
      <c r="ADK5">
        <v>97.185000000000002</v>
      </c>
      <c r="ADL5">
        <v>97.334999999999994</v>
      </c>
      <c r="ADM5">
        <v>97.564999999999998</v>
      </c>
      <c r="ADN5">
        <v>97.584999999999994</v>
      </c>
      <c r="ADO5">
        <v>97.605000000000004</v>
      </c>
      <c r="ADP5">
        <v>97.584999999999994</v>
      </c>
      <c r="ADQ5">
        <v>97.61</v>
      </c>
      <c r="ADR5">
        <v>97.61</v>
      </c>
      <c r="ADS5">
        <v>97.614999999999995</v>
      </c>
      <c r="ADT5">
        <v>97.67</v>
      </c>
      <c r="ADU5">
        <v>97.74</v>
      </c>
      <c r="ADV5">
        <v>97.74</v>
      </c>
      <c r="ADW5">
        <v>97.74</v>
      </c>
      <c r="ADX5">
        <v>97.734999999999999</v>
      </c>
      <c r="ADY5">
        <v>97.724999999999994</v>
      </c>
      <c r="ADZ5">
        <v>97.63</v>
      </c>
      <c r="AEA5">
        <v>97.66</v>
      </c>
      <c r="AEB5">
        <v>97.63</v>
      </c>
      <c r="AEC5">
        <v>97.59</v>
      </c>
      <c r="AED5">
        <v>97.575000000000003</v>
      </c>
      <c r="AEE5">
        <v>97.66</v>
      </c>
      <c r="AEF5">
        <v>97.655000000000001</v>
      </c>
      <c r="AEG5">
        <v>97.724999999999994</v>
      </c>
      <c r="AEH5">
        <v>97.64</v>
      </c>
      <c r="AEI5">
        <v>97.68</v>
      </c>
      <c r="AEJ5">
        <v>97.7</v>
      </c>
      <c r="AEK5">
        <v>97.62</v>
      </c>
      <c r="AEL5">
        <v>97.59</v>
      </c>
      <c r="AEM5">
        <v>97.625</v>
      </c>
      <c r="AEN5">
        <v>97.5</v>
      </c>
      <c r="AEO5">
        <v>97.56</v>
      </c>
      <c r="AEP5">
        <v>97.55</v>
      </c>
      <c r="AEQ5">
        <v>97.62</v>
      </c>
      <c r="AER5">
        <v>97.655000000000001</v>
      </c>
      <c r="AES5">
        <v>97.655000000000001</v>
      </c>
      <c r="AET5">
        <v>97.614999999999995</v>
      </c>
      <c r="AEU5">
        <v>97.555000000000007</v>
      </c>
      <c r="AEV5">
        <v>97.67</v>
      </c>
      <c r="AEW5">
        <v>97.79</v>
      </c>
      <c r="AEX5">
        <v>97.834999999999994</v>
      </c>
      <c r="AEY5">
        <v>97.91</v>
      </c>
      <c r="AEZ5">
        <v>97.92</v>
      </c>
      <c r="AFA5">
        <v>97.92</v>
      </c>
      <c r="AFB5">
        <v>97.99</v>
      </c>
      <c r="AFC5">
        <v>97.954999999999998</v>
      </c>
      <c r="AFD5">
        <v>97.87</v>
      </c>
      <c r="AFE5">
        <v>97.864999999999995</v>
      </c>
      <c r="AFF5">
        <v>97.885000000000005</v>
      </c>
      <c r="AFG5">
        <v>97.864999999999995</v>
      </c>
      <c r="AFH5">
        <v>97.864999999999995</v>
      </c>
      <c r="AFI5">
        <v>97.915000000000006</v>
      </c>
      <c r="AFJ5">
        <v>97.92</v>
      </c>
      <c r="AFK5">
        <v>98.015000000000001</v>
      </c>
      <c r="AFL5">
        <v>97.98</v>
      </c>
      <c r="AFM5">
        <v>97.954999999999998</v>
      </c>
      <c r="AFN5">
        <v>97.894999999999996</v>
      </c>
      <c r="AFO5">
        <v>97.935000000000002</v>
      </c>
      <c r="AFP5">
        <v>98.064999999999998</v>
      </c>
      <c r="AFQ5">
        <v>98.12</v>
      </c>
      <c r="AFR5">
        <v>98.1</v>
      </c>
      <c r="AFS5">
        <v>98.13</v>
      </c>
      <c r="AFT5">
        <v>98.32</v>
      </c>
      <c r="AFU5">
        <v>98.35</v>
      </c>
      <c r="AFV5">
        <v>98.32</v>
      </c>
      <c r="AFW5">
        <v>98.87</v>
      </c>
      <c r="AFX5">
        <v>98.855000000000004</v>
      </c>
      <c r="AFY5">
        <v>98.93</v>
      </c>
      <c r="AFZ5">
        <v>98.944999999999993</v>
      </c>
      <c r="AGA5">
        <v>98.965000000000003</v>
      </c>
      <c r="AGB5">
        <v>99</v>
      </c>
      <c r="AGC5">
        <v>99.015000000000001</v>
      </c>
      <c r="AGD5">
        <v>99.055000000000007</v>
      </c>
      <c r="AGE5">
        <v>99.03</v>
      </c>
      <c r="AGF5">
        <v>99.034999999999997</v>
      </c>
      <c r="AGG5">
        <v>99.25</v>
      </c>
      <c r="AGH5">
        <v>99.13</v>
      </c>
      <c r="AGI5">
        <v>99</v>
      </c>
      <c r="AGJ5">
        <v>99.02</v>
      </c>
      <c r="AGK5">
        <v>98.915000000000006</v>
      </c>
      <c r="AGL5">
        <v>98.91</v>
      </c>
      <c r="AGM5">
        <v>99.01</v>
      </c>
      <c r="AGN5">
        <v>99.01</v>
      </c>
      <c r="AGO5">
        <v>98.98</v>
      </c>
      <c r="AGP5">
        <v>98.944999999999993</v>
      </c>
      <c r="AGQ5">
        <v>98.905000000000001</v>
      </c>
      <c r="AGR5">
        <v>98.85</v>
      </c>
      <c r="AGS5">
        <v>98.89</v>
      </c>
      <c r="AGT5">
        <v>98.864999999999995</v>
      </c>
      <c r="AGU5">
        <v>99.075000000000003</v>
      </c>
      <c r="AGV5">
        <v>99.075000000000003</v>
      </c>
      <c r="AGW5">
        <v>99.094999999999999</v>
      </c>
      <c r="AGX5">
        <v>99.08</v>
      </c>
      <c r="AGY5">
        <v>99.194999999999993</v>
      </c>
      <c r="AGZ5">
        <v>99.23</v>
      </c>
      <c r="AHA5">
        <v>99.21</v>
      </c>
      <c r="AHB5">
        <v>99.194999999999993</v>
      </c>
      <c r="AHC5">
        <v>99.21</v>
      </c>
      <c r="AHD5">
        <v>99.204999999999998</v>
      </c>
      <c r="AHE5">
        <v>99.29</v>
      </c>
      <c r="AHF5">
        <v>99.334999999999994</v>
      </c>
      <c r="AHG5">
        <v>99.375</v>
      </c>
      <c r="AHH5">
        <v>99.35</v>
      </c>
      <c r="AHI5">
        <v>99.314999999999998</v>
      </c>
      <c r="AHJ5">
        <v>99.33</v>
      </c>
      <c r="AHK5">
        <v>99.314999999999998</v>
      </c>
      <c r="AHL5">
        <v>99.39</v>
      </c>
      <c r="AHM5">
        <v>99.39</v>
      </c>
      <c r="AHN5">
        <v>99.435000000000002</v>
      </c>
      <c r="AHO5">
        <v>99.435000000000002</v>
      </c>
      <c r="AHP5">
        <v>99.45</v>
      </c>
      <c r="AHQ5">
        <v>99.444999999999993</v>
      </c>
      <c r="AHR5">
        <v>99.47</v>
      </c>
      <c r="AHS5">
        <v>99.44</v>
      </c>
      <c r="AHT5">
        <v>99.474999999999994</v>
      </c>
      <c r="AHU5">
        <v>99.53</v>
      </c>
      <c r="AHV5">
        <v>99.515000000000001</v>
      </c>
      <c r="AHW5">
        <v>99.53</v>
      </c>
      <c r="AHX5">
        <v>99.52</v>
      </c>
      <c r="AHY5">
        <v>99.5</v>
      </c>
      <c r="AHZ5">
        <v>99.51</v>
      </c>
      <c r="AIA5">
        <v>99.515000000000001</v>
      </c>
      <c r="AIB5">
        <v>99.534999999999997</v>
      </c>
      <c r="AIC5">
        <v>99.534999999999997</v>
      </c>
      <c r="AID5">
        <v>99.55</v>
      </c>
      <c r="AIE5">
        <v>99.55</v>
      </c>
      <c r="AIF5">
        <v>99.575000000000003</v>
      </c>
      <c r="AIG5">
        <v>99.564999999999998</v>
      </c>
      <c r="AIH5">
        <v>99.594999999999999</v>
      </c>
      <c r="AII5">
        <v>99.584999999999994</v>
      </c>
      <c r="AIJ5">
        <v>99.814999999999998</v>
      </c>
      <c r="AIK5">
        <v>99.83</v>
      </c>
      <c r="AIL5">
        <v>99.814999999999998</v>
      </c>
      <c r="AIM5">
        <v>99.82</v>
      </c>
      <c r="AIN5">
        <v>99.82</v>
      </c>
      <c r="AIO5">
        <v>99.81</v>
      </c>
      <c r="AIP5">
        <v>99.83</v>
      </c>
      <c r="AIQ5">
        <v>99.85</v>
      </c>
      <c r="AIR5">
        <v>99.84</v>
      </c>
      <c r="AIS5">
        <v>99.86</v>
      </c>
      <c r="AIT5">
        <v>99.864999999999995</v>
      </c>
      <c r="AIU5">
        <v>99.885000000000005</v>
      </c>
      <c r="AIV5">
        <v>99.885000000000005</v>
      </c>
      <c r="AIW5">
        <v>99.84</v>
      </c>
      <c r="AIX5">
        <v>99.84</v>
      </c>
      <c r="AIY5">
        <v>99.855000000000004</v>
      </c>
      <c r="AIZ5">
        <v>99.86</v>
      </c>
      <c r="AJA5">
        <v>99.885000000000005</v>
      </c>
      <c r="AJB5">
        <v>99.894999999999996</v>
      </c>
      <c r="AJC5">
        <v>99.89</v>
      </c>
      <c r="AJD5">
        <v>99.88</v>
      </c>
      <c r="AJE5">
        <v>99.885000000000005</v>
      </c>
      <c r="AJF5">
        <v>99.88</v>
      </c>
      <c r="AJG5">
        <v>99.885000000000005</v>
      </c>
      <c r="AJH5">
        <v>99.894999999999996</v>
      </c>
      <c r="AJI5">
        <v>99.915000000000006</v>
      </c>
      <c r="AJJ5">
        <v>99.905000000000001</v>
      </c>
      <c r="AJK5">
        <v>99.92</v>
      </c>
      <c r="AJL5">
        <v>99.91</v>
      </c>
      <c r="AJM5">
        <v>99.894999999999996</v>
      </c>
      <c r="AJN5">
        <v>99.905000000000001</v>
      </c>
      <c r="AJO5">
        <v>99.885000000000005</v>
      </c>
      <c r="AJP5">
        <v>99.88</v>
      </c>
      <c r="AJQ5">
        <v>99.885000000000005</v>
      </c>
      <c r="AJR5">
        <v>99.89</v>
      </c>
      <c r="AJS5">
        <v>99.894999999999996</v>
      </c>
      <c r="AJT5">
        <v>99.9</v>
      </c>
      <c r="AJU5">
        <v>99.885000000000005</v>
      </c>
      <c r="AJV5">
        <v>99.9</v>
      </c>
      <c r="AJW5">
        <v>99.915000000000006</v>
      </c>
      <c r="AJX5">
        <v>99.91</v>
      </c>
      <c r="AJY5">
        <v>99.905000000000001</v>
      </c>
      <c r="AJZ5">
        <v>99.905000000000001</v>
      </c>
      <c r="AKA5">
        <v>99.924999999999997</v>
      </c>
      <c r="AKB5">
        <v>99.92</v>
      </c>
      <c r="AKC5">
        <v>99.93</v>
      </c>
      <c r="AKD5">
        <v>99.935000000000002</v>
      </c>
      <c r="AKE5">
        <v>99.94</v>
      </c>
      <c r="AKF5">
        <v>99.944999999999993</v>
      </c>
      <c r="AKG5">
        <v>99.94</v>
      </c>
      <c r="AKH5">
        <v>99.944999999999993</v>
      </c>
      <c r="AKI5">
        <v>99.95</v>
      </c>
      <c r="AKJ5">
        <v>99.944999999999993</v>
      </c>
      <c r="AKK5">
        <v>99.944999999999993</v>
      </c>
      <c r="AKL5">
        <v>99.94</v>
      </c>
      <c r="AKM5">
        <v>99.944999999999993</v>
      </c>
      <c r="AKN5">
        <v>99.944999999999993</v>
      </c>
      <c r="AKO5">
        <v>99.944999999999993</v>
      </c>
      <c r="AKP5">
        <v>99.944999999999993</v>
      </c>
      <c r="AKQ5">
        <v>99.944999999999993</v>
      </c>
      <c r="AKR5">
        <v>99.95</v>
      </c>
      <c r="AKS5">
        <v>99.95</v>
      </c>
      <c r="AKT5">
        <v>99.944999999999993</v>
      </c>
      <c r="AKU5">
        <v>99.95</v>
      </c>
      <c r="AKV5">
        <v>99.95</v>
      </c>
      <c r="AKW5">
        <v>99.95</v>
      </c>
      <c r="AKX5">
        <v>99.95</v>
      </c>
      <c r="AKY5">
        <v>99.95</v>
      </c>
      <c r="AKZ5">
        <v>99.944999999999993</v>
      </c>
      <c r="ALA5">
        <v>99.944999999999993</v>
      </c>
      <c r="ALB5">
        <v>99.944999999999993</v>
      </c>
      <c r="ALC5">
        <v>99.944999999999993</v>
      </c>
      <c r="ALD5">
        <v>99.944999999999993</v>
      </c>
      <c r="ALE5">
        <v>99.944999999999993</v>
      </c>
      <c r="ALF5">
        <v>99.95</v>
      </c>
      <c r="ALG5">
        <v>99.95</v>
      </c>
      <c r="ALH5">
        <v>99.95</v>
      </c>
      <c r="ALI5">
        <v>99.95</v>
      </c>
      <c r="ALJ5">
        <v>99.944999999999993</v>
      </c>
      <c r="ALK5">
        <v>99.94</v>
      </c>
      <c r="ALL5">
        <v>99.944999999999993</v>
      </c>
      <c r="ALM5">
        <v>99.944999999999993</v>
      </c>
      <c r="ALN5">
        <v>99.944999999999993</v>
      </c>
      <c r="ALO5">
        <v>99.944999999999993</v>
      </c>
      <c r="ALP5">
        <v>99.95</v>
      </c>
      <c r="ALQ5">
        <v>99.944999999999993</v>
      </c>
      <c r="ALR5">
        <v>99.944999999999993</v>
      </c>
      <c r="ALS5">
        <v>99.95</v>
      </c>
      <c r="ALT5">
        <v>99.95</v>
      </c>
      <c r="ALU5">
        <v>99.944999999999993</v>
      </c>
      <c r="ALV5">
        <v>99.944999999999993</v>
      </c>
      <c r="ALW5">
        <v>99.95</v>
      </c>
      <c r="ALX5">
        <v>99.95</v>
      </c>
      <c r="ALY5">
        <v>99.95</v>
      </c>
      <c r="ALZ5">
        <v>99.954999999999998</v>
      </c>
      <c r="AMA5">
        <v>99.954999999999998</v>
      </c>
      <c r="AMB5">
        <v>99.954999999999998</v>
      </c>
      <c r="AMC5">
        <v>99.954999999999998</v>
      </c>
      <c r="AMD5">
        <v>99.95</v>
      </c>
      <c r="AME5">
        <v>99.95</v>
      </c>
      <c r="AMF5">
        <v>99.95</v>
      </c>
      <c r="AMG5">
        <v>99.944999999999993</v>
      </c>
      <c r="AMH5">
        <v>99.944999999999993</v>
      </c>
      <c r="AMI5">
        <v>99.95</v>
      </c>
      <c r="AMJ5">
        <v>99.95</v>
      </c>
      <c r="AMK5">
        <v>99.95</v>
      </c>
      <c r="AML5">
        <v>99.944999999999993</v>
      </c>
      <c r="AMM5">
        <v>99.95</v>
      </c>
      <c r="AMN5">
        <v>99.95</v>
      </c>
      <c r="AMO5">
        <v>99.944999999999993</v>
      </c>
      <c r="AMP5">
        <v>99.95</v>
      </c>
      <c r="AMQ5">
        <v>99.95</v>
      </c>
      <c r="AMR5">
        <v>99.95</v>
      </c>
      <c r="AMS5">
        <v>99.954999999999998</v>
      </c>
      <c r="AMT5">
        <v>99.95</v>
      </c>
      <c r="AMU5">
        <v>99.95</v>
      </c>
      <c r="AMV5">
        <v>99.944999999999993</v>
      </c>
      <c r="AMW5">
        <v>99.944999999999993</v>
      </c>
      <c r="AMX5">
        <v>99.944999999999993</v>
      </c>
      <c r="AMY5">
        <v>99.95</v>
      </c>
      <c r="AMZ5">
        <v>99.944999999999993</v>
      </c>
      <c r="ANA5">
        <v>99.944999999999993</v>
      </c>
      <c r="ANB5">
        <v>99.94</v>
      </c>
      <c r="ANC5">
        <v>99.94</v>
      </c>
      <c r="AND5">
        <v>99.94</v>
      </c>
      <c r="ANE5">
        <v>99.95</v>
      </c>
      <c r="ANF5">
        <v>99.935000000000002</v>
      </c>
      <c r="ANG5">
        <v>99.935000000000002</v>
      </c>
      <c r="ANH5">
        <v>99.944999999999993</v>
      </c>
      <c r="ANI5">
        <v>99.944999999999993</v>
      </c>
      <c r="ANJ5">
        <v>99.96</v>
      </c>
      <c r="ANK5">
        <v>99.96</v>
      </c>
      <c r="ANL5">
        <v>99.965000000000003</v>
      </c>
      <c r="ANM5">
        <v>99.965000000000003</v>
      </c>
      <c r="ANN5">
        <v>99.965000000000003</v>
      </c>
      <c r="ANO5">
        <v>99.965000000000003</v>
      </c>
      <c r="ANP5">
        <v>99.965000000000003</v>
      </c>
      <c r="ANQ5">
        <v>99.965000000000003</v>
      </c>
      <c r="ANR5">
        <v>99.965000000000003</v>
      </c>
      <c r="ANS5">
        <v>99.965000000000003</v>
      </c>
      <c r="ANT5">
        <v>99.965000000000003</v>
      </c>
      <c r="ANU5">
        <v>99.97</v>
      </c>
      <c r="ANV5">
        <v>99.97</v>
      </c>
      <c r="ANW5">
        <v>99.97</v>
      </c>
      <c r="ANX5">
        <v>99.97</v>
      </c>
      <c r="ANY5">
        <v>99.965000000000003</v>
      </c>
      <c r="ANZ5">
        <v>99.965000000000003</v>
      </c>
      <c r="AOA5">
        <v>99.96</v>
      </c>
      <c r="AOB5">
        <v>99.965000000000003</v>
      </c>
      <c r="AOC5">
        <v>99.965000000000003</v>
      </c>
      <c r="AOD5">
        <v>99.965000000000003</v>
      </c>
      <c r="AOE5">
        <v>99.965000000000003</v>
      </c>
      <c r="AOF5">
        <v>99.96</v>
      </c>
      <c r="AOG5">
        <v>99.965000000000003</v>
      </c>
      <c r="AOH5">
        <v>99.96</v>
      </c>
      <c r="AOI5">
        <v>99.954999999999998</v>
      </c>
      <c r="AOJ5">
        <v>99.954999999999998</v>
      </c>
      <c r="AOK5">
        <v>99.96</v>
      </c>
      <c r="AOL5">
        <v>99.96</v>
      </c>
      <c r="AOM5">
        <v>99.954999999999998</v>
      </c>
      <c r="AON5">
        <v>99.95</v>
      </c>
      <c r="AOO5">
        <v>99.95</v>
      </c>
      <c r="AOP5">
        <v>99.95</v>
      </c>
      <c r="AOQ5">
        <v>99.95</v>
      </c>
      <c r="AOR5">
        <v>99.954999999999998</v>
      </c>
      <c r="AOS5">
        <v>99.95</v>
      </c>
      <c r="AOT5">
        <v>99.95</v>
      </c>
      <c r="AOU5">
        <v>99.95</v>
      </c>
      <c r="AOV5">
        <v>99.95</v>
      </c>
      <c r="AOW5">
        <v>99.95</v>
      </c>
      <c r="AOX5">
        <v>99.944999999999993</v>
      </c>
      <c r="AOY5">
        <v>99.944999999999993</v>
      </c>
      <c r="AOZ5">
        <v>99.944999999999993</v>
      </c>
      <c r="APA5">
        <v>99.95</v>
      </c>
      <c r="APB5">
        <v>99.954999999999998</v>
      </c>
      <c r="APC5">
        <v>99.954999999999998</v>
      </c>
      <c r="APD5">
        <v>99.954999999999998</v>
      </c>
      <c r="APE5">
        <v>99.954999999999998</v>
      </c>
      <c r="APF5">
        <v>99.95</v>
      </c>
      <c r="APG5">
        <v>99.954999999999998</v>
      </c>
      <c r="APH5">
        <v>99.96</v>
      </c>
      <c r="API5">
        <v>99.96</v>
      </c>
      <c r="APJ5">
        <v>99.954999999999998</v>
      </c>
      <c r="APK5">
        <v>99.954999999999998</v>
      </c>
      <c r="APL5">
        <v>99.954999999999998</v>
      </c>
      <c r="APM5">
        <v>99.95</v>
      </c>
      <c r="APN5">
        <v>99.954999999999998</v>
      </c>
      <c r="APO5">
        <v>99.954999999999998</v>
      </c>
      <c r="APP5">
        <v>99.954999999999998</v>
      </c>
      <c r="APQ5">
        <v>99.954999999999998</v>
      </c>
      <c r="APR5">
        <v>99.96</v>
      </c>
      <c r="APS5">
        <v>99.96</v>
      </c>
      <c r="APT5">
        <v>99.954999999999998</v>
      </c>
      <c r="APU5">
        <v>99.944999999999993</v>
      </c>
      <c r="APV5">
        <v>99.944999999999993</v>
      </c>
      <c r="APW5">
        <v>99.94</v>
      </c>
      <c r="APX5">
        <v>99.944999999999993</v>
      </c>
      <c r="APY5">
        <v>99.944999999999993</v>
      </c>
      <c r="APZ5">
        <v>99.944999999999993</v>
      </c>
      <c r="AQA5">
        <v>99.944999999999993</v>
      </c>
      <c r="AQB5">
        <v>99.95</v>
      </c>
      <c r="AQC5">
        <v>99.944999999999993</v>
      </c>
      <c r="AQD5">
        <v>99.944999999999993</v>
      </c>
      <c r="AQE5">
        <v>99.944999999999993</v>
      </c>
      <c r="AQF5">
        <v>99.944999999999993</v>
      </c>
      <c r="AQG5">
        <v>99.935000000000002</v>
      </c>
      <c r="AQH5">
        <v>99.94</v>
      </c>
      <c r="AQI5">
        <v>99.944999999999993</v>
      </c>
      <c r="AQJ5">
        <v>99.94</v>
      </c>
      <c r="AQK5">
        <v>99.94</v>
      </c>
      <c r="AQL5">
        <v>99.95</v>
      </c>
      <c r="AQM5">
        <v>99.954999999999998</v>
      </c>
      <c r="AQN5">
        <v>99.954999999999998</v>
      </c>
      <c r="AQO5">
        <v>99.96</v>
      </c>
      <c r="AQP5">
        <v>99.954999999999998</v>
      </c>
      <c r="AQQ5">
        <v>99.954999999999998</v>
      </c>
      <c r="AQR5">
        <v>99.96</v>
      </c>
      <c r="AQS5">
        <v>99.96</v>
      </c>
      <c r="AQT5">
        <v>99.96</v>
      </c>
      <c r="AQU5">
        <v>99.954999999999998</v>
      </c>
      <c r="AQV5">
        <v>99.954999999999998</v>
      </c>
      <c r="AQW5">
        <v>99.954999999999998</v>
      </c>
      <c r="AQX5">
        <v>99.96</v>
      </c>
      <c r="AQY5">
        <v>99.954999999999998</v>
      </c>
      <c r="AQZ5">
        <v>99.95</v>
      </c>
      <c r="ARA5">
        <v>99.954999999999998</v>
      </c>
      <c r="ARB5">
        <v>99.954999999999998</v>
      </c>
      <c r="ARC5">
        <v>99.954999999999998</v>
      </c>
      <c r="ARD5">
        <v>99.95</v>
      </c>
      <c r="ARE5">
        <v>99.954999999999998</v>
      </c>
      <c r="ARF5">
        <v>99.95</v>
      </c>
      <c r="ARG5">
        <v>99.95</v>
      </c>
      <c r="ARH5">
        <v>99.95</v>
      </c>
      <c r="ARI5">
        <v>99.944999999999993</v>
      </c>
      <c r="ARJ5">
        <v>99.94</v>
      </c>
      <c r="ARK5">
        <v>99.94</v>
      </c>
      <c r="ARL5">
        <v>99.94</v>
      </c>
      <c r="ARM5">
        <v>99.94</v>
      </c>
      <c r="ARN5">
        <v>99.94</v>
      </c>
      <c r="ARO5">
        <v>99.94</v>
      </c>
      <c r="ARP5">
        <v>99.935000000000002</v>
      </c>
      <c r="ARQ5">
        <v>99.94</v>
      </c>
      <c r="ARR5">
        <v>99.94</v>
      </c>
      <c r="ARS5">
        <v>99.94</v>
      </c>
      <c r="ART5">
        <v>99.935000000000002</v>
      </c>
      <c r="ARU5">
        <v>99.95</v>
      </c>
      <c r="ARV5">
        <v>99.954999999999998</v>
      </c>
      <c r="ARW5">
        <v>99.95</v>
      </c>
      <c r="ARX5">
        <v>99.95</v>
      </c>
      <c r="ARY5">
        <v>99.95</v>
      </c>
      <c r="ARZ5">
        <v>99.95</v>
      </c>
      <c r="ASA5">
        <v>99.95</v>
      </c>
      <c r="ASB5">
        <v>99.95</v>
      </c>
      <c r="ASC5">
        <v>99.95</v>
      </c>
      <c r="ASD5">
        <v>99.944999999999993</v>
      </c>
      <c r="ASE5">
        <v>99.944999999999993</v>
      </c>
      <c r="ASF5">
        <v>99.95</v>
      </c>
      <c r="ASG5">
        <v>99.95</v>
      </c>
      <c r="ASH5">
        <v>99.95</v>
      </c>
      <c r="ASI5">
        <v>99.95</v>
      </c>
      <c r="ASJ5">
        <v>99.95</v>
      </c>
      <c r="ASK5">
        <v>99.95</v>
      </c>
      <c r="ASL5">
        <v>99.95</v>
      </c>
      <c r="ASM5">
        <v>99.944999999999993</v>
      </c>
      <c r="ASN5">
        <v>99.944999999999993</v>
      </c>
      <c r="ASO5">
        <v>99.94</v>
      </c>
      <c r="ASP5">
        <v>99.944999999999993</v>
      </c>
      <c r="ASQ5">
        <v>99.94</v>
      </c>
      <c r="ASR5">
        <v>99.94</v>
      </c>
      <c r="ASS5">
        <v>99.94</v>
      </c>
      <c r="AST5">
        <v>99.94</v>
      </c>
      <c r="ASU5">
        <v>99.94</v>
      </c>
      <c r="ASV5">
        <v>99.94</v>
      </c>
      <c r="ASW5">
        <v>99.94</v>
      </c>
      <c r="ASX5">
        <v>99.94</v>
      </c>
      <c r="ASY5">
        <v>99.94</v>
      </c>
      <c r="ASZ5">
        <v>99.94</v>
      </c>
      <c r="ATA5">
        <v>99.94</v>
      </c>
      <c r="ATB5">
        <v>99.935000000000002</v>
      </c>
      <c r="ATC5">
        <v>99.924999999999997</v>
      </c>
      <c r="ATD5">
        <v>99.924999999999997</v>
      </c>
      <c r="ATE5">
        <v>99.924999999999997</v>
      </c>
      <c r="ATF5">
        <v>99.924999999999997</v>
      </c>
      <c r="ATG5">
        <v>99.924999999999997</v>
      </c>
      <c r="ATH5">
        <v>99.92</v>
      </c>
      <c r="ATI5">
        <v>99.92</v>
      </c>
      <c r="ATJ5">
        <v>99.915000000000006</v>
      </c>
      <c r="ATK5">
        <v>99.93</v>
      </c>
      <c r="ATL5">
        <v>99.93</v>
      </c>
      <c r="ATM5">
        <v>99.93</v>
      </c>
      <c r="ATN5">
        <v>99.924999999999997</v>
      </c>
      <c r="ATO5">
        <v>99.93</v>
      </c>
      <c r="ATP5">
        <v>99.935000000000002</v>
      </c>
      <c r="ATQ5">
        <v>99.935000000000002</v>
      </c>
      <c r="ATR5">
        <v>99.935000000000002</v>
      </c>
      <c r="ATS5">
        <v>99.93</v>
      </c>
      <c r="ATT5">
        <v>99.93</v>
      </c>
      <c r="ATU5">
        <v>99.924999999999997</v>
      </c>
      <c r="ATV5">
        <v>99.93</v>
      </c>
      <c r="ATW5">
        <v>99.935000000000002</v>
      </c>
      <c r="ATX5">
        <v>99.935000000000002</v>
      </c>
      <c r="ATY5">
        <v>99.935000000000002</v>
      </c>
      <c r="ATZ5">
        <v>99.935000000000002</v>
      </c>
      <c r="AUA5">
        <v>99.93</v>
      </c>
      <c r="AUB5">
        <v>99.935000000000002</v>
      </c>
      <c r="AUC5">
        <v>99.935000000000002</v>
      </c>
      <c r="AUD5">
        <v>99.935000000000002</v>
      </c>
      <c r="AUE5">
        <v>99.935000000000002</v>
      </c>
      <c r="AUF5">
        <v>99.935000000000002</v>
      </c>
      <c r="AUG5">
        <v>99.935000000000002</v>
      </c>
      <c r="AUH5">
        <v>99.94</v>
      </c>
      <c r="AUI5">
        <v>99.94</v>
      </c>
      <c r="AUJ5">
        <v>99.944999999999993</v>
      </c>
      <c r="AUK5">
        <v>99.944999999999993</v>
      </c>
      <c r="AUL5">
        <v>99.95</v>
      </c>
      <c r="AUM5">
        <v>99.954999999999998</v>
      </c>
      <c r="AUN5">
        <v>99.954999999999998</v>
      </c>
      <c r="AUO5">
        <v>99.954999999999998</v>
      </c>
      <c r="AUP5">
        <v>99.95</v>
      </c>
      <c r="AUQ5">
        <v>99.944999999999993</v>
      </c>
      <c r="AUR5">
        <v>99.944999999999993</v>
      </c>
      <c r="AUS5">
        <v>99.944999999999993</v>
      </c>
      <c r="AUT5">
        <v>99.944999999999993</v>
      </c>
      <c r="AUU5">
        <v>99.954999999999998</v>
      </c>
      <c r="AUV5">
        <v>99.954999999999998</v>
      </c>
      <c r="AUW5">
        <v>99.93</v>
      </c>
      <c r="AUX5">
        <v>99.93</v>
      </c>
      <c r="AUY5">
        <v>99.93</v>
      </c>
      <c r="AUZ5">
        <v>99.93</v>
      </c>
      <c r="AVA5">
        <v>99.924999999999997</v>
      </c>
      <c r="AVB5">
        <v>99.93</v>
      </c>
      <c r="AVC5">
        <v>99.93</v>
      </c>
      <c r="AVD5">
        <v>99.93</v>
      </c>
      <c r="AVE5">
        <v>99.94</v>
      </c>
      <c r="AVF5">
        <v>99.935000000000002</v>
      </c>
      <c r="AVG5">
        <v>99.94</v>
      </c>
      <c r="AVH5">
        <v>99.94</v>
      </c>
      <c r="AVI5">
        <v>99.94</v>
      </c>
      <c r="AVJ5">
        <v>99.93</v>
      </c>
      <c r="AVK5">
        <v>99.93</v>
      </c>
      <c r="AVL5">
        <v>99.935000000000002</v>
      </c>
      <c r="AVM5">
        <v>99.935000000000002</v>
      </c>
      <c r="AVN5">
        <v>99.935000000000002</v>
      </c>
      <c r="AVO5">
        <v>99.935000000000002</v>
      </c>
      <c r="AVP5">
        <v>99.935000000000002</v>
      </c>
      <c r="AVQ5">
        <v>99.93</v>
      </c>
      <c r="AVR5">
        <v>99.94</v>
      </c>
      <c r="AVS5">
        <v>99.935000000000002</v>
      </c>
      <c r="AVT5">
        <v>99.935000000000002</v>
      </c>
      <c r="AVU5">
        <v>99.94</v>
      </c>
      <c r="AVV5">
        <v>99.94</v>
      </c>
      <c r="AVW5">
        <v>99.94</v>
      </c>
      <c r="AVX5">
        <v>99.94</v>
      </c>
      <c r="AVY5">
        <v>99.95</v>
      </c>
      <c r="AVZ5">
        <v>99.95</v>
      </c>
      <c r="AWA5">
        <v>99.954999999999998</v>
      </c>
      <c r="AWB5">
        <v>99.954999999999998</v>
      </c>
      <c r="AWC5">
        <v>99.96</v>
      </c>
      <c r="AWD5">
        <v>99.96</v>
      </c>
      <c r="AWE5">
        <v>99.96</v>
      </c>
      <c r="AWF5">
        <v>99.95</v>
      </c>
      <c r="AWG5">
        <v>99.95</v>
      </c>
      <c r="AWH5">
        <v>99.95</v>
      </c>
      <c r="AWI5">
        <v>99.954999999999998</v>
      </c>
      <c r="AWJ5">
        <v>99.95</v>
      </c>
      <c r="AWK5">
        <v>99.954999999999998</v>
      </c>
      <c r="AWL5">
        <v>99.954999999999998</v>
      </c>
      <c r="AWM5">
        <v>99.954999999999998</v>
      </c>
      <c r="AWN5">
        <v>99.954999999999998</v>
      </c>
      <c r="AWO5">
        <v>99.95</v>
      </c>
      <c r="AWP5">
        <v>99.954999999999998</v>
      </c>
      <c r="AWQ5">
        <v>99.954999999999998</v>
      </c>
      <c r="AWR5">
        <v>99.96</v>
      </c>
      <c r="AWS5">
        <v>99.96</v>
      </c>
      <c r="AWT5">
        <v>99.965000000000003</v>
      </c>
      <c r="AWU5">
        <v>99.965000000000003</v>
      </c>
      <c r="AWV5">
        <v>99.965000000000003</v>
      </c>
      <c r="AWW5">
        <v>99.965000000000003</v>
      </c>
      <c r="AWX5">
        <v>99.965000000000003</v>
      </c>
      <c r="AWY5">
        <v>99.97</v>
      </c>
      <c r="AWZ5">
        <v>99.98</v>
      </c>
      <c r="AXA5">
        <v>99.974999999999994</v>
      </c>
      <c r="AXB5">
        <v>99.97</v>
      </c>
      <c r="AXC5">
        <v>99.95</v>
      </c>
      <c r="AXD5">
        <v>99.95</v>
      </c>
      <c r="AXE5">
        <v>99.95</v>
      </c>
      <c r="AXF5">
        <v>99.95</v>
      </c>
      <c r="AXG5">
        <v>99.944999999999993</v>
      </c>
      <c r="AXH5">
        <v>99.94</v>
      </c>
      <c r="AXI5">
        <v>99.935000000000002</v>
      </c>
      <c r="AXJ5">
        <v>99.91</v>
      </c>
      <c r="AXK5">
        <v>99.915000000000006</v>
      </c>
      <c r="AXL5">
        <v>99.92</v>
      </c>
      <c r="AXM5">
        <v>99.94</v>
      </c>
      <c r="AXN5">
        <v>99.935000000000002</v>
      </c>
      <c r="AXO5">
        <v>99.924999999999997</v>
      </c>
      <c r="AXP5">
        <v>99.92</v>
      </c>
      <c r="AXQ5">
        <v>99.924999999999997</v>
      </c>
      <c r="AXR5">
        <v>99.93</v>
      </c>
      <c r="AXS5">
        <v>99.93</v>
      </c>
      <c r="AXT5">
        <v>99.944999999999993</v>
      </c>
      <c r="AXU5">
        <v>99.944999999999993</v>
      </c>
      <c r="AXV5">
        <v>99.94</v>
      </c>
      <c r="AXW5">
        <v>99.935000000000002</v>
      </c>
      <c r="AXX5">
        <v>99.94</v>
      </c>
      <c r="AXY5">
        <v>99.94</v>
      </c>
      <c r="AXZ5">
        <v>99.944999999999993</v>
      </c>
      <c r="AYA5">
        <v>99.944999999999993</v>
      </c>
      <c r="AYB5">
        <v>99.944999999999993</v>
      </c>
      <c r="AYC5">
        <v>99.944999999999993</v>
      </c>
      <c r="AYD5">
        <v>99.94</v>
      </c>
      <c r="AYE5">
        <v>99.935000000000002</v>
      </c>
      <c r="AYF5">
        <v>99.95</v>
      </c>
      <c r="AYG5">
        <v>99.95</v>
      </c>
      <c r="AYH5">
        <v>99.95</v>
      </c>
      <c r="AYI5">
        <v>99.94</v>
      </c>
      <c r="AYJ5">
        <v>99.954999999999998</v>
      </c>
      <c r="AYK5">
        <v>99.97</v>
      </c>
      <c r="AYL5">
        <v>99.995000000000005</v>
      </c>
      <c r="AYM5">
        <v>99.97</v>
      </c>
      <c r="AYN5">
        <v>99.96</v>
      </c>
      <c r="AYO5">
        <v>99.97</v>
      </c>
      <c r="AYP5">
        <v>99.965000000000003</v>
      </c>
      <c r="AYQ5">
        <v>99.97</v>
      </c>
      <c r="AYR5">
        <v>99.96</v>
      </c>
      <c r="AYS5">
        <v>99.944999999999993</v>
      </c>
      <c r="AYT5">
        <v>99.95</v>
      </c>
      <c r="AYU5">
        <v>99.95</v>
      </c>
      <c r="AYV5">
        <v>99.944999999999993</v>
      </c>
      <c r="AYW5">
        <v>99.944999999999993</v>
      </c>
      <c r="AYX5">
        <v>99.944999999999993</v>
      </c>
      <c r="AYY5">
        <v>99.935000000000002</v>
      </c>
      <c r="AYZ5">
        <v>99.944999999999993</v>
      </c>
      <c r="AZA5">
        <v>99.935000000000002</v>
      </c>
      <c r="AZB5">
        <v>99.944999999999993</v>
      </c>
      <c r="AZC5">
        <v>99.94</v>
      </c>
      <c r="AZD5">
        <v>99.954999999999998</v>
      </c>
      <c r="AZE5">
        <v>99.954999999999998</v>
      </c>
      <c r="AZF5">
        <v>99.954999999999998</v>
      </c>
      <c r="AZG5">
        <v>99.94</v>
      </c>
      <c r="AZH5">
        <v>99.93</v>
      </c>
      <c r="AZI5">
        <v>99.935000000000002</v>
      </c>
      <c r="AZJ5">
        <v>99.93</v>
      </c>
      <c r="AZK5">
        <v>99.95</v>
      </c>
      <c r="AZL5">
        <v>99.94</v>
      </c>
      <c r="AZM5">
        <v>99.95</v>
      </c>
      <c r="AZN5">
        <v>99.95</v>
      </c>
      <c r="AZO5">
        <v>99.95</v>
      </c>
      <c r="AZP5">
        <v>99.96</v>
      </c>
      <c r="AZQ5">
        <v>99.94</v>
      </c>
      <c r="AZR5">
        <v>99.935000000000002</v>
      </c>
      <c r="AZS5">
        <v>99.944999999999993</v>
      </c>
      <c r="AZT5">
        <v>99.924999999999997</v>
      </c>
      <c r="AZU5">
        <v>99.9</v>
      </c>
      <c r="AZV5">
        <v>99.85</v>
      </c>
      <c r="AZW5">
        <v>99.894999999999996</v>
      </c>
      <c r="AZX5">
        <v>99.94</v>
      </c>
      <c r="AZY5">
        <v>99.894999999999996</v>
      </c>
      <c r="AZZ5">
        <v>99.89</v>
      </c>
      <c r="BAA5">
        <v>99.85</v>
      </c>
      <c r="BAB5">
        <v>99.8</v>
      </c>
      <c r="BAC5">
        <v>99.87</v>
      </c>
      <c r="BAD5">
        <v>99.694999999999993</v>
      </c>
      <c r="BAE5">
        <v>99.6</v>
      </c>
      <c r="BAF5">
        <v>99.52</v>
      </c>
      <c r="BAG5">
        <v>99.4</v>
      </c>
      <c r="BAH5">
        <v>99.254999999999995</v>
      </c>
      <c r="BAI5">
        <v>99.155000000000001</v>
      </c>
      <c r="BAJ5">
        <v>98.915000000000006</v>
      </c>
      <c r="BAK5">
        <v>98.84</v>
      </c>
      <c r="BAL5">
        <v>98.784999999999997</v>
      </c>
      <c r="BAM5">
        <v>98.74</v>
      </c>
      <c r="BAN5">
        <v>98.655000000000001</v>
      </c>
      <c r="BAO5">
        <v>98.614999999999995</v>
      </c>
      <c r="BAP5">
        <v>98.584999999999994</v>
      </c>
      <c r="BAQ5">
        <v>98.61</v>
      </c>
      <c r="BAR5">
        <v>98.59</v>
      </c>
      <c r="BAS5">
        <v>98.59</v>
      </c>
      <c r="BAT5">
        <v>98.57</v>
      </c>
      <c r="BAU5">
        <v>98.555000000000007</v>
      </c>
      <c r="BAV5">
        <v>98.57</v>
      </c>
      <c r="BAW5">
        <v>98.605000000000004</v>
      </c>
      <c r="BAX5">
        <v>98.575000000000003</v>
      </c>
      <c r="BAY5">
        <v>98.54</v>
      </c>
      <c r="BAZ5">
        <v>98.545000000000002</v>
      </c>
      <c r="BBA5">
        <v>98.56</v>
      </c>
      <c r="BBB5">
        <v>98.625</v>
      </c>
      <c r="BBC5">
        <v>98.644999999999996</v>
      </c>
      <c r="BBD5">
        <v>98.59</v>
      </c>
      <c r="BBE5">
        <v>98.56</v>
      </c>
      <c r="BBF5">
        <v>98.54</v>
      </c>
      <c r="BBG5">
        <v>98.575000000000003</v>
      </c>
      <c r="BBH5">
        <v>98.54</v>
      </c>
      <c r="BBI5">
        <v>98.525000000000006</v>
      </c>
      <c r="BBJ5">
        <v>98.51</v>
      </c>
      <c r="BBK5">
        <v>98.504999999999995</v>
      </c>
      <c r="BBL5">
        <v>98.48</v>
      </c>
      <c r="BBM5">
        <v>98.48</v>
      </c>
      <c r="BBN5">
        <v>98.49</v>
      </c>
      <c r="BBO5">
        <v>98.484999999999999</v>
      </c>
      <c r="BBP5">
        <v>98.484999999999999</v>
      </c>
      <c r="BBQ5">
        <v>98.484999999999999</v>
      </c>
      <c r="BBR5">
        <v>98.495000000000005</v>
      </c>
      <c r="BBS5">
        <v>98.5</v>
      </c>
      <c r="BBT5">
        <v>98.495000000000005</v>
      </c>
      <c r="BBU5">
        <v>98.52</v>
      </c>
      <c r="BBV5">
        <v>98.52</v>
      </c>
      <c r="BBW5">
        <v>98.525000000000006</v>
      </c>
      <c r="BBX5">
        <v>98.504999999999995</v>
      </c>
      <c r="BBY5">
        <v>98.495000000000005</v>
      </c>
      <c r="BBZ5">
        <v>98.495000000000005</v>
      </c>
      <c r="BCA5">
        <v>98.5</v>
      </c>
      <c r="BCB5">
        <v>98.504999999999995</v>
      </c>
      <c r="BCC5">
        <v>98.49</v>
      </c>
      <c r="BCD5">
        <v>98.49</v>
      </c>
      <c r="BCE5">
        <v>98.49</v>
      </c>
      <c r="BCF5">
        <v>98.484999999999999</v>
      </c>
      <c r="BCG5">
        <v>98.5</v>
      </c>
      <c r="BCH5">
        <v>98.51</v>
      </c>
      <c r="BCI5">
        <v>98.5</v>
      </c>
      <c r="BCJ5">
        <v>98.45</v>
      </c>
      <c r="BCK5">
        <v>98.45</v>
      </c>
      <c r="BCL5">
        <v>98.465000000000003</v>
      </c>
      <c r="BCM5">
        <v>98.45</v>
      </c>
      <c r="BCN5">
        <v>98.474999999999994</v>
      </c>
      <c r="BCO5">
        <v>98.474999999999994</v>
      </c>
      <c r="BCP5">
        <v>98.49</v>
      </c>
      <c r="BCQ5">
        <v>98.484999999999999</v>
      </c>
      <c r="BCR5">
        <v>98.51</v>
      </c>
      <c r="BCS5">
        <v>98.495000000000005</v>
      </c>
      <c r="BCT5">
        <v>98.52</v>
      </c>
      <c r="BCU5">
        <v>98.47</v>
      </c>
      <c r="BCV5">
        <v>98.47</v>
      </c>
      <c r="BCW5">
        <v>98.46</v>
      </c>
      <c r="BCX5">
        <v>98.46</v>
      </c>
      <c r="BCY5">
        <v>98.484999999999999</v>
      </c>
      <c r="BCZ5">
        <v>98.474999999999994</v>
      </c>
      <c r="BDA5">
        <v>98.484999999999999</v>
      </c>
      <c r="BDB5">
        <v>98.51</v>
      </c>
      <c r="BDC5">
        <v>98.545000000000002</v>
      </c>
      <c r="BDD5">
        <v>98.54</v>
      </c>
      <c r="BDE5">
        <v>98.534999999999997</v>
      </c>
      <c r="BDF5">
        <v>98.534999999999997</v>
      </c>
      <c r="BDG5">
        <v>98.54</v>
      </c>
      <c r="BDH5">
        <v>98.525000000000006</v>
      </c>
      <c r="BDI5">
        <v>98.51</v>
      </c>
      <c r="BDJ5">
        <v>98.49</v>
      </c>
      <c r="BDK5">
        <v>98.495000000000005</v>
      </c>
      <c r="BDL5">
        <v>98.495000000000005</v>
      </c>
      <c r="BDM5">
        <v>98.534999999999997</v>
      </c>
      <c r="BDN5">
        <v>98.515000000000001</v>
      </c>
      <c r="BDO5">
        <v>98.545000000000002</v>
      </c>
      <c r="BDP5">
        <v>98.564999999999998</v>
      </c>
      <c r="BDQ5">
        <v>98.62</v>
      </c>
      <c r="BDR5">
        <v>98.55</v>
      </c>
      <c r="BDS5">
        <v>98.54</v>
      </c>
      <c r="BDT5">
        <v>98.545000000000002</v>
      </c>
      <c r="BDU5">
        <v>98.56</v>
      </c>
      <c r="BDV5">
        <v>98.59</v>
      </c>
      <c r="BDW5">
        <v>98.605000000000004</v>
      </c>
      <c r="BDX5">
        <v>98.59</v>
      </c>
      <c r="BDY5">
        <v>98.56</v>
      </c>
      <c r="BDZ5">
        <v>98.59</v>
      </c>
      <c r="BEA5">
        <v>98.555000000000007</v>
      </c>
      <c r="BEB5">
        <v>98.57</v>
      </c>
      <c r="BEC5">
        <v>98.525000000000006</v>
      </c>
      <c r="BED5">
        <v>98.555000000000007</v>
      </c>
      <c r="BEE5">
        <v>98.534999999999997</v>
      </c>
      <c r="BEF5">
        <v>98.63</v>
      </c>
      <c r="BEG5">
        <v>98.674999999999997</v>
      </c>
      <c r="BEH5">
        <v>98.724999999999994</v>
      </c>
      <c r="BEI5">
        <v>98.7</v>
      </c>
      <c r="BEJ5">
        <v>98.754999999999995</v>
      </c>
      <c r="BEK5">
        <v>98.77</v>
      </c>
      <c r="BEL5">
        <v>98.665000000000006</v>
      </c>
      <c r="BEM5">
        <v>98.6</v>
      </c>
      <c r="BEN5">
        <v>98.534999999999997</v>
      </c>
      <c r="BEO5">
        <v>98.54</v>
      </c>
      <c r="BEP5">
        <v>98.525000000000006</v>
      </c>
      <c r="BEQ5">
        <v>98.52</v>
      </c>
      <c r="BER5">
        <v>98.58</v>
      </c>
      <c r="BES5">
        <v>98.504999999999995</v>
      </c>
      <c r="BET5">
        <v>98.48</v>
      </c>
      <c r="BEU5">
        <v>98.49</v>
      </c>
      <c r="BEV5">
        <v>98.484999999999999</v>
      </c>
      <c r="BEW5">
        <v>98.34</v>
      </c>
      <c r="BEX5">
        <v>98.325000000000003</v>
      </c>
      <c r="BEY5">
        <v>98.295000000000002</v>
      </c>
      <c r="BEZ5">
        <v>98.355000000000004</v>
      </c>
      <c r="BFA5">
        <v>98.394999999999996</v>
      </c>
      <c r="BFB5">
        <v>98.4</v>
      </c>
      <c r="BFC5">
        <v>98.44</v>
      </c>
      <c r="BFD5">
        <v>98.46</v>
      </c>
      <c r="BFE5">
        <v>98.454999999999998</v>
      </c>
      <c r="BFF5">
        <v>98.534999999999997</v>
      </c>
      <c r="BFG5">
        <v>98.495000000000005</v>
      </c>
      <c r="BFH5">
        <v>98.444999999999993</v>
      </c>
      <c r="BFI5">
        <v>98.444999999999993</v>
      </c>
      <c r="BFJ5">
        <v>98.43</v>
      </c>
      <c r="BFK5">
        <v>98.47</v>
      </c>
      <c r="BFL5">
        <v>98.474999999999994</v>
      </c>
      <c r="BFM5">
        <v>98.47</v>
      </c>
      <c r="BFN5">
        <v>98.52</v>
      </c>
      <c r="BFO5">
        <v>98.44</v>
      </c>
      <c r="BFP5">
        <v>98.48</v>
      </c>
      <c r="BFQ5">
        <v>98.53</v>
      </c>
      <c r="BFR5">
        <v>98.504999999999995</v>
      </c>
      <c r="BFS5">
        <v>98.564999999999998</v>
      </c>
      <c r="BFT5">
        <v>98.56</v>
      </c>
      <c r="BFU5">
        <v>98.5</v>
      </c>
      <c r="BFV5">
        <v>98.424999999999997</v>
      </c>
      <c r="BFW5">
        <v>98.51</v>
      </c>
      <c r="BFX5">
        <v>98.454999999999998</v>
      </c>
      <c r="BFY5">
        <v>98.46</v>
      </c>
      <c r="BFZ5">
        <v>98.53</v>
      </c>
      <c r="BGA5">
        <v>98.43</v>
      </c>
      <c r="BGB5">
        <v>98.474999999999994</v>
      </c>
      <c r="BGC5">
        <v>98.3</v>
      </c>
      <c r="BGD5">
        <v>98.28</v>
      </c>
      <c r="BGE5">
        <v>98.11</v>
      </c>
      <c r="BGF5">
        <v>98.17</v>
      </c>
      <c r="BGG5">
        <v>98.18</v>
      </c>
      <c r="BGH5">
        <v>98.165000000000006</v>
      </c>
      <c r="BGI5">
        <v>98.194999999999993</v>
      </c>
      <c r="BGJ5">
        <v>98.22</v>
      </c>
      <c r="BGK5">
        <v>98.22</v>
      </c>
      <c r="BGL5">
        <v>98.245000000000005</v>
      </c>
      <c r="BGM5">
        <v>98.25</v>
      </c>
      <c r="BGN5">
        <v>98.305000000000007</v>
      </c>
      <c r="BGO5">
        <v>98.23</v>
      </c>
      <c r="BGP5">
        <v>98.215000000000003</v>
      </c>
      <c r="BGQ5">
        <v>98.234999999999999</v>
      </c>
      <c r="BGR5">
        <v>98.234999999999999</v>
      </c>
      <c r="BGS5">
        <v>98.21</v>
      </c>
      <c r="BGT5">
        <v>98.234999999999999</v>
      </c>
      <c r="BGU5">
        <v>98.15</v>
      </c>
      <c r="BGV5">
        <v>98.17</v>
      </c>
      <c r="BGW5">
        <v>98.155000000000001</v>
      </c>
      <c r="BGX5">
        <v>98.26</v>
      </c>
      <c r="BGY5">
        <v>98.26</v>
      </c>
      <c r="BGZ5">
        <v>98.26</v>
      </c>
      <c r="BHA5">
        <v>98.23</v>
      </c>
      <c r="BHB5">
        <v>98.295000000000002</v>
      </c>
      <c r="BHC5">
        <v>98.305000000000007</v>
      </c>
      <c r="BHD5">
        <v>98.29</v>
      </c>
      <c r="BHE5">
        <v>98.36</v>
      </c>
      <c r="BHF5">
        <v>98.37</v>
      </c>
      <c r="BHG5">
        <v>98.325000000000003</v>
      </c>
      <c r="BHH5">
        <v>98.364999999999995</v>
      </c>
      <c r="BHI5">
        <v>98.33</v>
      </c>
      <c r="BHJ5">
        <v>98.015000000000001</v>
      </c>
      <c r="BHK5">
        <v>98.02</v>
      </c>
      <c r="BHL5">
        <v>98.045000000000002</v>
      </c>
      <c r="BHM5">
        <v>98.06</v>
      </c>
      <c r="BHN5">
        <v>97.995000000000005</v>
      </c>
      <c r="BHO5">
        <v>97.974999999999994</v>
      </c>
      <c r="BHP5">
        <v>98.01</v>
      </c>
      <c r="BHQ5">
        <v>98.04</v>
      </c>
      <c r="BHR5">
        <v>97.99</v>
      </c>
      <c r="BHS5">
        <v>98.004999999999995</v>
      </c>
      <c r="BHT5">
        <v>97.984999999999999</v>
      </c>
      <c r="BHU5">
        <v>97.974999999999994</v>
      </c>
      <c r="BHV5">
        <v>97.86</v>
      </c>
      <c r="BHW5">
        <v>97.76</v>
      </c>
      <c r="BHX5">
        <v>97.765000000000001</v>
      </c>
      <c r="BHY5">
        <v>97.745000000000005</v>
      </c>
      <c r="BHZ5">
        <v>97.73</v>
      </c>
      <c r="BIA5">
        <v>97.73</v>
      </c>
      <c r="BIB5">
        <v>97.765000000000001</v>
      </c>
      <c r="BIC5">
        <v>97.694999999999993</v>
      </c>
      <c r="BID5">
        <v>97.694999999999993</v>
      </c>
      <c r="BIE5">
        <v>97.72</v>
      </c>
      <c r="BIF5">
        <v>97.734999999999999</v>
      </c>
      <c r="BIG5">
        <v>97.74</v>
      </c>
      <c r="BIH5">
        <v>97.76</v>
      </c>
      <c r="BII5">
        <v>97.75</v>
      </c>
      <c r="BIJ5">
        <v>97.75</v>
      </c>
      <c r="BIK5">
        <v>97.7</v>
      </c>
      <c r="BIL5">
        <v>97.685000000000002</v>
      </c>
      <c r="BIM5">
        <v>97.67</v>
      </c>
      <c r="BIN5">
        <v>97.685000000000002</v>
      </c>
      <c r="BIO5">
        <v>97.68</v>
      </c>
      <c r="BIP5">
        <v>97.66</v>
      </c>
      <c r="BIQ5">
        <v>97.65</v>
      </c>
      <c r="BIR5">
        <v>97.68</v>
      </c>
      <c r="BIS5">
        <v>97.704999999999998</v>
      </c>
      <c r="BIT5">
        <v>97.694999999999993</v>
      </c>
      <c r="BIU5">
        <v>97.7</v>
      </c>
      <c r="BIV5">
        <v>97.67</v>
      </c>
      <c r="BIW5">
        <v>97.69</v>
      </c>
      <c r="BIX5">
        <v>97.655000000000001</v>
      </c>
      <c r="BIY5">
        <v>97.65</v>
      </c>
      <c r="BIZ5">
        <v>97.63</v>
      </c>
      <c r="BJA5">
        <v>97.63</v>
      </c>
      <c r="BJB5">
        <v>97.625</v>
      </c>
      <c r="BJC5">
        <v>97.63</v>
      </c>
      <c r="BJD5">
        <v>97.63</v>
      </c>
      <c r="BJE5">
        <v>97.63</v>
      </c>
      <c r="BJF5">
        <v>97.65</v>
      </c>
      <c r="BJG5">
        <v>97.665000000000006</v>
      </c>
      <c r="BJH5">
        <v>97.665000000000006</v>
      </c>
      <c r="BJI5">
        <v>97.66</v>
      </c>
      <c r="BJJ5">
        <v>97.67</v>
      </c>
      <c r="BJK5">
        <v>97.685000000000002</v>
      </c>
      <c r="BJL5">
        <v>97.69</v>
      </c>
      <c r="BJM5">
        <v>97.704999999999998</v>
      </c>
      <c r="BJN5">
        <v>97.7</v>
      </c>
      <c r="BJO5">
        <v>97.734999999999999</v>
      </c>
      <c r="BJP5">
        <v>97.754999999999995</v>
      </c>
      <c r="BJQ5">
        <v>97.765000000000001</v>
      </c>
      <c r="BJR5">
        <v>97.734999999999999</v>
      </c>
      <c r="BJS5">
        <v>97.765000000000001</v>
      </c>
      <c r="BJT5">
        <v>97.694999999999993</v>
      </c>
      <c r="BJU5">
        <v>97.63</v>
      </c>
      <c r="BJV5">
        <v>97.63</v>
      </c>
      <c r="BJW5">
        <v>97.59</v>
      </c>
      <c r="BJX5">
        <v>97.59</v>
      </c>
      <c r="BJY5">
        <v>97.594999999999999</v>
      </c>
      <c r="BJZ5">
        <v>97.584999999999994</v>
      </c>
      <c r="BKA5">
        <v>97.584999999999994</v>
      </c>
      <c r="BKB5">
        <v>97.59</v>
      </c>
      <c r="BKC5">
        <v>97.58</v>
      </c>
      <c r="BKD5">
        <v>97.575000000000003</v>
      </c>
      <c r="BKE5">
        <v>97.575000000000003</v>
      </c>
      <c r="BKF5">
        <v>97.555000000000007</v>
      </c>
      <c r="BKG5">
        <v>97.54</v>
      </c>
      <c r="BKH5">
        <v>97.54</v>
      </c>
      <c r="BKI5">
        <v>97.53</v>
      </c>
      <c r="BKJ5">
        <v>97.545000000000002</v>
      </c>
      <c r="BKK5">
        <v>97.555000000000007</v>
      </c>
      <c r="BKL5">
        <v>97.57</v>
      </c>
      <c r="BKM5">
        <v>97.555000000000007</v>
      </c>
      <c r="BKN5">
        <v>97.56</v>
      </c>
      <c r="BKO5">
        <v>97.55</v>
      </c>
      <c r="BKP5">
        <v>97.564999999999998</v>
      </c>
      <c r="BKQ5">
        <v>97.56</v>
      </c>
      <c r="BKR5">
        <v>97.545000000000002</v>
      </c>
      <c r="BKS5">
        <v>97.545000000000002</v>
      </c>
      <c r="BKT5">
        <v>97.55</v>
      </c>
      <c r="BKU5">
        <v>97.54</v>
      </c>
      <c r="BKV5">
        <v>97.555000000000007</v>
      </c>
      <c r="BKW5">
        <v>97.564999999999998</v>
      </c>
      <c r="BKX5">
        <v>97.575000000000003</v>
      </c>
      <c r="BKY5">
        <v>97.564999999999998</v>
      </c>
      <c r="BKZ5">
        <v>97.545000000000002</v>
      </c>
      <c r="BLA5">
        <v>97.555000000000007</v>
      </c>
      <c r="BLB5">
        <v>97.55</v>
      </c>
      <c r="BLC5">
        <v>97.56</v>
      </c>
      <c r="BLD5">
        <v>97.575000000000003</v>
      </c>
      <c r="BLE5">
        <v>97.545000000000002</v>
      </c>
      <c r="BLF5">
        <v>97.515000000000001</v>
      </c>
      <c r="BLG5">
        <v>97.515000000000001</v>
      </c>
      <c r="BLH5">
        <v>97.504999999999995</v>
      </c>
      <c r="BLI5">
        <v>97.515000000000001</v>
      </c>
      <c r="BLJ5">
        <v>97.5</v>
      </c>
      <c r="BLK5">
        <v>97.51</v>
      </c>
      <c r="BLL5">
        <v>97.484999999999999</v>
      </c>
      <c r="BLM5">
        <v>97.484999999999999</v>
      </c>
      <c r="BLN5">
        <v>97.525000000000006</v>
      </c>
      <c r="BLO5">
        <v>97.53</v>
      </c>
      <c r="BLP5">
        <v>97.534999999999997</v>
      </c>
      <c r="BLQ5">
        <v>97.525000000000006</v>
      </c>
      <c r="BLR5">
        <v>97.515000000000001</v>
      </c>
      <c r="BLS5">
        <v>97.51</v>
      </c>
      <c r="BLT5">
        <v>97.52</v>
      </c>
      <c r="BLU5">
        <v>97.51</v>
      </c>
      <c r="BLV5">
        <v>97.56</v>
      </c>
      <c r="BLW5">
        <v>97.575000000000003</v>
      </c>
      <c r="BLX5">
        <v>97.65</v>
      </c>
      <c r="BLY5">
        <v>97.555000000000007</v>
      </c>
      <c r="BLZ5">
        <v>97.57</v>
      </c>
      <c r="BMA5">
        <v>97.57</v>
      </c>
      <c r="BMB5">
        <v>97.564999999999998</v>
      </c>
      <c r="BMC5">
        <v>97.56</v>
      </c>
      <c r="BMD5">
        <v>97.515000000000001</v>
      </c>
      <c r="BME5">
        <v>97.525000000000006</v>
      </c>
      <c r="BMF5">
        <v>97.525000000000006</v>
      </c>
      <c r="BMG5">
        <v>97.474999999999994</v>
      </c>
      <c r="BMH5">
        <v>97.454999999999998</v>
      </c>
      <c r="BMI5">
        <v>97.474999999999994</v>
      </c>
      <c r="BMJ5">
        <v>97.55</v>
      </c>
      <c r="BMK5">
        <v>97.534999999999997</v>
      </c>
      <c r="BML5">
        <v>97.515000000000001</v>
      </c>
      <c r="BMM5">
        <v>97.5</v>
      </c>
      <c r="BMN5">
        <v>97.504999999999995</v>
      </c>
      <c r="BMO5">
        <v>97.52</v>
      </c>
      <c r="BMP5">
        <v>97.55</v>
      </c>
      <c r="BMQ5">
        <v>97.53</v>
      </c>
      <c r="BMR5">
        <v>97.5</v>
      </c>
      <c r="BMS5">
        <v>97.46</v>
      </c>
      <c r="BMT5">
        <v>97.46</v>
      </c>
      <c r="BMU5">
        <v>97.444999999999993</v>
      </c>
      <c r="BMV5">
        <v>97.46</v>
      </c>
      <c r="BMW5">
        <v>97.46</v>
      </c>
      <c r="BMX5">
        <v>97.46</v>
      </c>
      <c r="BMY5">
        <v>97.45</v>
      </c>
      <c r="BMZ5">
        <v>97.444999999999993</v>
      </c>
      <c r="BNA5">
        <v>97.454999999999998</v>
      </c>
      <c r="BNB5">
        <v>97.46</v>
      </c>
      <c r="BNC5">
        <v>97.46</v>
      </c>
      <c r="BND5">
        <v>97.47</v>
      </c>
      <c r="BNE5">
        <v>97.474999999999994</v>
      </c>
      <c r="BNF5">
        <v>97.465000000000003</v>
      </c>
      <c r="BNG5">
        <v>97.435000000000002</v>
      </c>
      <c r="BNH5">
        <v>97.435000000000002</v>
      </c>
      <c r="BNI5">
        <v>97.424999999999997</v>
      </c>
      <c r="BNJ5">
        <v>97.415000000000006</v>
      </c>
      <c r="BNK5">
        <v>97.405000000000001</v>
      </c>
      <c r="BNL5">
        <v>97.39</v>
      </c>
      <c r="BNM5">
        <v>97.4</v>
      </c>
      <c r="BNN5">
        <v>97.405000000000001</v>
      </c>
      <c r="BNO5">
        <v>97.415000000000006</v>
      </c>
      <c r="BNP5">
        <v>97.4</v>
      </c>
      <c r="BNQ5">
        <v>97.42</v>
      </c>
      <c r="BNR5">
        <v>97.415000000000006</v>
      </c>
      <c r="BNS5">
        <v>97.435000000000002</v>
      </c>
      <c r="BNT5">
        <v>97.44</v>
      </c>
      <c r="BNU5">
        <v>97.44</v>
      </c>
      <c r="BNV5">
        <v>97.41</v>
      </c>
      <c r="BNW5">
        <v>97.41</v>
      </c>
      <c r="BNX5">
        <v>97.4</v>
      </c>
      <c r="BNY5">
        <v>97.385000000000005</v>
      </c>
      <c r="BNZ5">
        <v>97.38</v>
      </c>
      <c r="BOA5">
        <v>97.39</v>
      </c>
      <c r="BOB5">
        <v>97.39</v>
      </c>
      <c r="BOC5">
        <v>97.39</v>
      </c>
      <c r="BOD5">
        <v>97.385000000000005</v>
      </c>
      <c r="BOE5">
        <v>97.394999999999996</v>
      </c>
      <c r="BOF5">
        <v>97.39</v>
      </c>
      <c r="BOG5">
        <v>97.38</v>
      </c>
      <c r="BOH5">
        <v>97.37</v>
      </c>
      <c r="BOI5">
        <v>97.375</v>
      </c>
      <c r="BOJ5">
        <v>97.38</v>
      </c>
      <c r="BOK5">
        <v>97.375</v>
      </c>
      <c r="BOL5">
        <v>97.39</v>
      </c>
      <c r="BOM5">
        <v>97.4</v>
      </c>
      <c r="BON5">
        <v>97.394999999999996</v>
      </c>
      <c r="BOO5">
        <v>97.4</v>
      </c>
      <c r="BOP5">
        <v>97.385000000000005</v>
      </c>
      <c r="BOQ5">
        <v>97.385000000000005</v>
      </c>
      <c r="BOR5">
        <v>97.38</v>
      </c>
      <c r="BOS5">
        <v>97.394999999999996</v>
      </c>
      <c r="BOT5">
        <v>97.394999999999996</v>
      </c>
      <c r="BOU5">
        <v>97.38</v>
      </c>
      <c r="BOV5">
        <v>97.4</v>
      </c>
      <c r="BOW5">
        <v>97.6</v>
      </c>
      <c r="BOX5">
        <v>97.6</v>
      </c>
      <c r="BOY5">
        <v>97.605000000000004</v>
      </c>
      <c r="BOZ5">
        <v>97.614999999999995</v>
      </c>
      <c r="BPA5">
        <v>97.62</v>
      </c>
      <c r="BPB5">
        <v>97.605000000000004</v>
      </c>
      <c r="BPC5">
        <v>97.614999999999995</v>
      </c>
      <c r="BPD5">
        <v>97.62</v>
      </c>
      <c r="BPE5">
        <v>97.644999999999996</v>
      </c>
      <c r="BPF5">
        <v>97.64</v>
      </c>
      <c r="BPG5">
        <v>97.644999999999996</v>
      </c>
      <c r="BPH5">
        <v>97.65</v>
      </c>
      <c r="BPI5">
        <v>97.65</v>
      </c>
      <c r="BPJ5">
        <v>97.644999999999996</v>
      </c>
      <c r="BPK5">
        <v>97.635000000000005</v>
      </c>
      <c r="BPL5">
        <v>97.64</v>
      </c>
      <c r="BPM5">
        <v>97.65</v>
      </c>
      <c r="BPN5">
        <v>97.665000000000006</v>
      </c>
      <c r="BPO5">
        <v>97.674999999999997</v>
      </c>
      <c r="BPP5">
        <v>97.694999999999993</v>
      </c>
      <c r="BPQ5">
        <v>97.69</v>
      </c>
      <c r="BPR5">
        <v>97.7</v>
      </c>
      <c r="BPS5">
        <v>97.685000000000002</v>
      </c>
      <c r="BPT5">
        <v>97.674999999999997</v>
      </c>
      <c r="BPU5">
        <v>97.685000000000002</v>
      </c>
      <c r="BPV5">
        <v>97.67</v>
      </c>
      <c r="BPW5">
        <v>97.69</v>
      </c>
      <c r="BPX5">
        <v>97.704999999999998</v>
      </c>
      <c r="BPY5">
        <v>97.67</v>
      </c>
      <c r="BPZ5">
        <v>97.665000000000006</v>
      </c>
      <c r="BQA5">
        <v>97.655000000000001</v>
      </c>
      <c r="BQB5">
        <v>97.655000000000001</v>
      </c>
      <c r="BQC5">
        <v>97.655000000000001</v>
      </c>
      <c r="BQD5">
        <v>97.644999999999996</v>
      </c>
      <c r="BQE5">
        <v>97.635000000000005</v>
      </c>
      <c r="BQF5">
        <v>97.64</v>
      </c>
      <c r="BQG5">
        <v>97.644999999999996</v>
      </c>
      <c r="BQH5">
        <v>97.644999999999996</v>
      </c>
      <c r="BQI5">
        <v>97.64</v>
      </c>
      <c r="BQJ5">
        <v>97.644999999999996</v>
      </c>
      <c r="BQK5">
        <v>97.644999999999996</v>
      </c>
      <c r="BQL5">
        <v>97.655000000000001</v>
      </c>
      <c r="BQM5">
        <v>97.665000000000006</v>
      </c>
      <c r="BQN5">
        <v>97.665000000000006</v>
      </c>
      <c r="BQO5">
        <v>97.66</v>
      </c>
      <c r="BQP5">
        <v>97.665000000000006</v>
      </c>
      <c r="BQQ5">
        <v>97.69</v>
      </c>
      <c r="BQR5">
        <v>97.7</v>
      </c>
      <c r="BQS5">
        <v>97.704999999999998</v>
      </c>
      <c r="BQT5">
        <v>97.72</v>
      </c>
      <c r="BQU5">
        <v>97.72</v>
      </c>
      <c r="BQV5">
        <v>97.734999999999999</v>
      </c>
      <c r="BQW5">
        <v>97.75</v>
      </c>
      <c r="BQX5">
        <v>97.74</v>
      </c>
      <c r="BQY5">
        <v>97.76</v>
      </c>
      <c r="BQZ5">
        <v>97.76</v>
      </c>
      <c r="BRA5">
        <v>97.745000000000005</v>
      </c>
      <c r="BRB5">
        <v>97.745000000000005</v>
      </c>
      <c r="BRC5">
        <v>97.745000000000005</v>
      </c>
      <c r="BRD5">
        <v>97.74</v>
      </c>
      <c r="BRE5">
        <v>97.72</v>
      </c>
      <c r="BRF5">
        <v>97.7</v>
      </c>
      <c r="BRG5">
        <v>97.694999999999993</v>
      </c>
      <c r="BRH5">
        <v>97.694999999999993</v>
      </c>
      <c r="BRI5">
        <v>97.685000000000002</v>
      </c>
      <c r="BRJ5">
        <v>97.69</v>
      </c>
      <c r="BRK5">
        <v>97.685000000000002</v>
      </c>
      <c r="BRL5">
        <v>97.685000000000002</v>
      </c>
      <c r="BRM5">
        <v>97.67</v>
      </c>
      <c r="BRN5">
        <v>97.66</v>
      </c>
      <c r="BRO5">
        <v>97.69</v>
      </c>
      <c r="BRP5">
        <v>97.69</v>
      </c>
      <c r="BRQ5">
        <v>97.704999999999998</v>
      </c>
      <c r="BRR5">
        <v>97.685000000000002</v>
      </c>
      <c r="BRS5">
        <v>97.685000000000002</v>
      </c>
      <c r="BRT5">
        <v>97.704999999999998</v>
      </c>
      <c r="BRU5">
        <v>97.7</v>
      </c>
      <c r="BRV5">
        <v>97.724999999999994</v>
      </c>
      <c r="BRW5">
        <v>97.784999999999997</v>
      </c>
      <c r="BRX5">
        <v>97.79</v>
      </c>
      <c r="BRY5">
        <v>97.864999999999995</v>
      </c>
      <c r="BRZ5">
        <v>97.73</v>
      </c>
      <c r="BSA5">
        <v>97.73</v>
      </c>
      <c r="BSB5">
        <v>97.71</v>
      </c>
      <c r="BSC5">
        <v>97.694999999999993</v>
      </c>
      <c r="BSD5">
        <v>97.644999999999996</v>
      </c>
      <c r="BSE5">
        <v>97.635000000000005</v>
      </c>
      <c r="BSF5">
        <v>97.644999999999996</v>
      </c>
      <c r="BSG5">
        <v>97.635000000000005</v>
      </c>
      <c r="BSH5">
        <v>97.635000000000005</v>
      </c>
      <c r="BSI5">
        <v>97.635000000000005</v>
      </c>
      <c r="BSJ5">
        <v>97.644999999999996</v>
      </c>
      <c r="BSK5">
        <v>97.64</v>
      </c>
      <c r="BSL5">
        <v>97.66</v>
      </c>
      <c r="BSM5">
        <v>97.68</v>
      </c>
      <c r="BSN5">
        <v>97.685000000000002</v>
      </c>
      <c r="BSO5">
        <v>97.69</v>
      </c>
      <c r="BSP5">
        <v>97.644999999999996</v>
      </c>
      <c r="BSQ5" t="s">
        <v>6984</v>
      </c>
      <c r="BSR5" t="s">
        <v>6984</v>
      </c>
      <c r="BSS5" t="s">
        <v>6984</v>
      </c>
      <c r="BST5" t="s">
        <v>6984</v>
      </c>
      <c r="BSU5" t="s">
        <v>6984</v>
      </c>
      <c r="BSV5" t="s">
        <v>6984</v>
      </c>
      <c r="BSW5" t="s">
        <v>6984</v>
      </c>
      <c r="BSX5" t="s">
        <v>6984</v>
      </c>
      <c r="BSY5" t="s">
        <v>6984</v>
      </c>
      <c r="BSZ5" t="s">
        <v>6984</v>
      </c>
      <c r="BTA5" t="s">
        <v>6984</v>
      </c>
      <c r="BTB5" t="s">
        <v>6984</v>
      </c>
      <c r="BTC5" t="s">
        <v>6984</v>
      </c>
      <c r="BTD5" t="s">
        <v>6984</v>
      </c>
      <c r="BTE5" t="s">
        <v>6984</v>
      </c>
      <c r="BTF5" t="s">
        <v>6984</v>
      </c>
      <c r="BTG5" t="s">
        <v>6984</v>
      </c>
      <c r="BTH5" t="s">
        <v>6984</v>
      </c>
      <c r="BTI5" t="s">
        <v>6984</v>
      </c>
      <c r="BTJ5" t="s">
        <v>6984</v>
      </c>
      <c r="BTK5" t="s">
        <v>6984</v>
      </c>
      <c r="BTL5" t="s">
        <v>6984</v>
      </c>
      <c r="BTM5" t="s">
        <v>6984</v>
      </c>
      <c r="BTN5" t="s">
        <v>6984</v>
      </c>
      <c r="BTO5" t="s">
        <v>6984</v>
      </c>
      <c r="BTP5" t="s">
        <v>6984</v>
      </c>
      <c r="BTQ5" t="s">
        <v>6984</v>
      </c>
      <c r="BTR5" t="s">
        <v>6984</v>
      </c>
      <c r="BTS5" t="s">
        <v>6984</v>
      </c>
      <c r="BTT5" t="s">
        <v>6984</v>
      </c>
      <c r="BTU5" t="s">
        <v>6984</v>
      </c>
      <c r="BTV5" t="s">
        <v>6984</v>
      </c>
      <c r="BTW5" t="s">
        <v>6984</v>
      </c>
      <c r="BTX5" t="s">
        <v>6984</v>
      </c>
      <c r="BTY5" t="s">
        <v>6984</v>
      </c>
      <c r="BTZ5" t="s">
        <v>6984</v>
      </c>
      <c r="BUA5" t="s">
        <v>6984</v>
      </c>
      <c r="BUB5" t="s">
        <v>6984</v>
      </c>
      <c r="BUC5" t="s">
        <v>6984</v>
      </c>
      <c r="BUD5" t="s">
        <v>6984</v>
      </c>
      <c r="BUE5" t="s">
        <v>6984</v>
      </c>
      <c r="BUF5" t="s">
        <v>6984</v>
      </c>
      <c r="BUG5" t="s">
        <v>6984</v>
      </c>
      <c r="BUH5" t="s">
        <v>6984</v>
      </c>
      <c r="BUI5" t="s">
        <v>6984</v>
      </c>
      <c r="BUJ5" t="s">
        <v>6984</v>
      </c>
      <c r="BUK5" t="s">
        <v>6984</v>
      </c>
      <c r="BUL5" t="s">
        <v>6984</v>
      </c>
      <c r="BUM5" t="s">
        <v>6984</v>
      </c>
      <c r="BUN5" t="s">
        <v>6984</v>
      </c>
      <c r="BUO5" t="s">
        <v>6984</v>
      </c>
      <c r="BUP5" t="s">
        <v>6984</v>
      </c>
      <c r="BUQ5" t="s">
        <v>6984</v>
      </c>
      <c r="BUR5" t="s">
        <v>6984</v>
      </c>
      <c r="BUS5" t="s">
        <v>6984</v>
      </c>
      <c r="BUT5" t="s">
        <v>6984</v>
      </c>
      <c r="BUU5" t="s">
        <v>6984</v>
      </c>
      <c r="BUV5" t="s">
        <v>6984</v>
      </c>
      <c r="BUW5" t="s">
        <v>6984</v>
      </c>
      <c r="BUX5" t="s">
        <v>6984</v>
      </c>
      <c r="BUY5" t="s">
        <v>6984</v>
      </c>
      <c r="BUZ5" t="s">
        <v>6984</v>
      </c>
      <c r="BVA5" t="s">
        <v>6984</v>
      </c>
      <c r="BVB5" t="s">
        <v>6984</v>
      </c>
      <c r="BVC5" t="s">
        <v>6984</v>
      </c>
      <c r="BVD5" t="s">
        <v>6984</v>
      </c>
      <c r="BVE5" t="s">
        <v>6984</v>
      </c>
      <c r="BVF5" t="s">
        <v>6984</v>
      </c>
      <c r="BVG5" t="s">
        <v>6984</v>
      </c>
      <c r="BVH5" t="s">
        <v>6984</v>
      </c>
      <c r="BVI5" t="s">
        <v>6984</v>
      </c>
      <c r="BVJ5" t="s">
        <v>6984</v>
      </c>
      <c r="BVK5" t="s">
        <v>6984</v>
      </c>
      <c r="BVL5" t="s">
        <v>6984</v>
      </c>
      <c r="BVM5" t="s">
        <v>6984</v>
      </c>
      <c r="BVN5" t="s">
        <v>6984</v>
      </c>
      <c r="BVO5" t="s">
        <v>6984</v>
      </c>
      <c r="BVP5" t="s">
        <v>6984</v>
      </c>
      <c r="BVQ5" t="s">
        <v>6984</v>
      </c>
      <c r="BVR5" t="s">
        <v>6984</v>
      </c>
      <c r="BVS5" t="s">
        <v>6984</v>
      </c>
      <c r="BVT5" t="s">
        <v>6984</v>
      </c>
      <c r="BVU5" t="s">
        <v>6984</v>
      </c>
      <c r="BVV5" t="s">
        <v>6984</v>
      </c>
      <c r="BVW5" t="s">
        <v>6984</v>
      </c>
      <c r="BVX5" t="s">
        <v>6984</v>
      </c>
      <c r="BVY5" t="s">
        <v>6984</v>
      </c>
      <c r="BVZ5" t="s">
        <v>6984</v>
      </c>
      <c r="BWA5" t="s">
        <v>6984</v>
      </c>
      <c r="BWB5" t="s">
        <v>6984</v>
      </c>
      <c r="BWC5" t="s">
        <v>6984</v>
      </c>
      <c r="BWD5" t="s">
        <v>6984</v>
      </c>
      <c r="BWE5" t="s">
        <v>6984</v>
      </c>
      <c r="BWF5" t="s">
        <v>6984</v>
      </c>
      <c r="BWG5" t="s">
        <v>6984</v>
      </c>
      <c r="BWH5" t="s">
        <v>6984</v>
      </c>
      <c r="BWI5" t="s">
        <v>6984</v>
      </c>
      <c r="BWJ5" t="s">
        <v>6984</v>
      </c>
      <c r="BWK5" t="s">
        <v>6984</v>
      </c>
      <c r="BWL5" t="s">
        <v>6984</v>
      </c>
      <c r="BWM5" t="s">
        <v>6984</v>
      </c>
      <c r="BWN5" t="s">
        <v>6984</v>
      </c>
      <c r="BWO5" t="s">
        <v>6984</v>
      </c>
      <c r="BWP5" t="s">
        <v>6984</v>
      </c>
      <c r="BWQ5" t="s">
        <v>6984</v>
      </c>
      <c r="BWR5" t="s">
        <v>6984</v>
      </c>
      <c r="BWS5" t="s">
        <v>6984</v>
      </c>
      <c r="BWT5" t="s">
        <v>6984</v>
      </c>
      <c r="BWU5" t="s">
        <v>6984</v>
      </c>
      <c r="BWV5" t="s">
        <v>6984</v>
      </c>
      <c r="BWW5" t="s">
        <v>6984</v>
      </c>
      <c r="BWX5" t="s">
        <v>6984</v>
      </c>
      <c r="BWY5" t="s">
        <v>6984</v>
      </c>
      <c r="BWZ5" t="s">
        <v>6984</v>
      </c>
      <c r="BXA5" t="s">
        <v>6984</v>
      </c>
      <c r="BXB5" t="s">
        <v>6984</v>
      </c>
      <c r="BXC5" t="s">
        <v>6984</v>
      </c>
      <c r="BXD5" t="s">
        <v>6984</v>
      </c>
      <c r="BXE5" t="s">
        <v>6984</v>
      </c>
      <c r="BXF5" t="s">
        <v>6984</v>
      </c>
      <c r="BXG5" t="s">
        <v>6984</v>
      </c>
      <c r="BXH5" t="s">
        <v>6984</v>
      </c>
      <c r="BXI5" t="s">
        <v>6984</v>
      </c>
      <c r="BXJ5" t="s">
        <v>6984</v>
      </c>
      <c r="BXK5" t="s">
        <v>6984</v>
      </c>
      <c r="BXL5" t="s">
        <v>6984</v>
      </c>
      <c r="BXM5" t="s">
        <v>6984</v>
      </c>
      <c r="BXN5" t="s">
        <v>6984</v>
      </c>
      <c r="BXO5" t="s">
        <v>6984</v>
      </c>
      <c r="BXP5" t="s">
        <v>6984</v>
      </c>
      <c r="BXQ5" t="s">
        <v>6984</v>
      </c>
      <c r="BXR5" t="s">
        <v>6984</v>
      </c>
      <c r="BXS5" t="s">
        <v>6984</v>
      </c>
      <c r="BXT5" t="s">
        <v>6984</v>
      </c>
      <c r="BXU5" t="s">
        <v>6984</v>
      </c>
      <c r="BXV5" t="s">
        <v>6984</v>
      </c>
      <c r="BXW5" t="s">
        <v>6984</v>
      </c>
      <c r="BXX5" t="s">
        <v>6984</v>
      </c>
      <c r="BXY5" t="s">
        <v>6984</v>
      </c>
      <c r="BXZ5" t="s">
        <v>6984</v>
      </c>
      <c r="BYA5" t="s">
        <v>6984</v>
      </c>
      <c r="BYB5" t="s">
        <v>6984</v>
      </c>
      <c r="BYC5" t="s">
        <v>6984</v>
      </c>
      <c r="BYD5" t="s">
        <v>6984</v>
      </c>
      <c r="BYE5" t="s">
        <v>6984</v>
      </c>
      <c r="BYF5" t="s">
        <v>6984</v>
      </c>
      <c r="BYG5" t="s">
        <v>6984</v>
      </c>
      <c r="BYH5" t="s">
        <v>6984</v>
      </c>
      <c r="BYI5" t="s">
        <v>6984</v>
      </c>
      <c r="BYJ5" t="s">
        <v>6984</v>
      </c>
      <c r="BYK5" t="s">
        <v>6984</v>
      </c>
      <c r="BYL5" t="s">
        <v>6984</v>
      </c>
      <c r="BYM5" t="s">
        <v>6984</v>
      </c>
      <c r="BYN5" t="s">
        <v>6984</v>
      </c>
      <c r="BYO5" t="s">
        <v>6984</v>
      </c>
      <c r="BYP5" t="s">
        <v>6984</v>
      </c>
      <c r="BYQ5" t="s">
        <v>6984</v>
      </c>
      <c r="BYR5" t="s">
        <v>6984</v>
      </c>
      <c r="BYS5" t="s">
        <v>6984</v>
      </c>
      <c r="BYT5" t="s">
        <v>6984</v>
      </c>
      <c r="BYU5" t="s">
        <v>6984</v>
      </c>
      <c r="BYV5" t="s">
        <v>6984</v>
      </c>
      <c r="BYW5" t="s">
        <v>6984</v>
      </c>
      <c r="BYX5" t="s">
        <v>6984</v>
      </c>
      <c r="BYY5" t="s">
        <v>6984</v>
      </c>
      <c r="BYZ5" t="s">
        <v>6984</v>
      </c>
      <c r="BZA5" t="s">
        <v>6984</v>
      </c>
      <c r="BZB5" t="s">
        <v>6984</v>
      </c>
      <c r="BZC5" t="s">
        <v>6984</v>
      </c>
      <c r="BZD5" t="s">
        <v>6984</v>
      </c>
      <c r="BZE5" t="s">
        <v>6984</v>
      </c>
      <c r="BZF5" t="s">
        <v>6984</v>
      </c>
      <c r="BZG5" t="s">
        <v>6984</v>
      </c>
      <c r="BZH5" t="s">
        <v>6984</v>
      </c>
      <c r="BZI5" t="s">
        <v>6984</v>
      </c>
      <c r="BZJ5" t="s">
        <v>6984</v>
      </c>
      <c r="BZK5" t="s">
        <v>6984</v>
      </c>
      <c r="BZL5" t="s">
        <v>6984</v>
      </c>
      <c r="BZM5" t="s">
        <v>6984</v>
      </c>
      <c r="BZN5" t="s">
        <v>6984</v>
      </c>
      <c r="BZO5" t="s">
        <v>6984</v>
      </c>
      <c r="BZP5" t="s">
        <v>6984</v>
      </c>
      <c r="BZQ5" t="s">
        <v>6984</v>
      </c>
      <c r="BZR5" t="s">
        <v>6984</v>
      </c>
      <c r="BZS5" t="s">
        <v>6984</v>
      </c>
      <c r="BZT5" t="s">
        <v>6984</v>
      </c>
      <c r="BZU5" t="s">
        <v>6984</v>
      </c>
      <c r="BZV5" t="s">
        <v>6984</v>
      </c>
      <c r="BZW5" t="s">
        <v>6984</v>
      </c>
      <c r="BZX5" t="s">
        <v>6984</v>
      </c>
      <c r="BZY5" t="s">
        <v>6984</v>
      </c>
      <c r="BZZ5" t="s">
        <v>6984</v>
      </c>
      <c r="CAA5" t="s">
        <v>6984</v>
      </c>
      <c r="CAB5" t="s">
        <v>6984</v>
      </c>
      <c r="CAC5" t="s">
        <v>6984</v>
      </c>
      <c r="CAD5" t="s">
        <v>6984</v>
      </c>
      <c r="CAE5" t="s">
        <v>6984</v>
      </c>
      <c r="CAF5" t="s">
        <v>6984</v>
      </c>
      <c r="CAG5" t="s">
        <v>6984</v>
      </c>
      <c r="CAH5" t="s">
        <v>6984</v>
      </c>
      <c r="CAI5" t="s">
        <v>6984</v>
      </c>
      <c r="CAJ5" t="s">
        <v>6984</v>
      </c>
      <c r="CAK5" t="s">
        <v>6984</v>
      </c>
      <c r="CAL5" t="s">
        <v>6984</v>
      </c>
      <c r="CAM5" t="s">
        <v>6984</v>
      </c>
      <c r="CAN5" t="s">
        <v>6984</v>
      </c>
      <c r="CAO5" t="s">
        <v>6984</v>
      </c>
      <c r="CAP5" t="s">
        <v>6984</v>
      </c>
      <c r="CAQ5" t="s">
        <v>6984</v>
      </c>
      <c r="CAR5" t="s">
        <v>6984</v>
      </c>
      <c r="CAS5" t="s">
        <v>6984</v>
      </c>
      <c r="CAT5" t="s">
        <v>6984</v>
      </c>
      <c r="CAU5" t="s">
        <v>6984</v>
      </c>
      <c r="CAV5" t="s">
        <v>6984</v>
      </c>
      <c r="CAW5" t="s">
        <v>6984</v>
      </c>
      <c r="CAX5" t="s">
        <v>6984</v>
      </c>
      <c r="CAY5" t="s">
        <v>6984</v>
      </c>
      <c r="CAZ5" t="s">
        <v>6984</v>
      </c>
      <c r="CBA5" t="s">
        <v>6984</v>
      </c>
      <c r="CBB5" t="s">
        <v>6984</v>
      </c>
      <c r="CBC5" t="s">
        <v>6984</v>
      </c>
      <c r="CBD5" t="s">
        <v>6984</v>
      </c>
      <c r="CBE5" t="s">
        <v>6984</v>
      </c>
      <c r="CBF5" t="s">
        <v>6984</v>
      </c>
      <c r="CBG5" t="s">
        <v>6984</v>
      </c>
      <c r="CBH5" t="s">
        <v>6984</v>
      </c>
      <c r="CBI5" t="s">
        <v>6984</v>
      </c>
      <c r="CBJ5" t="s">
        <v>6984</v>
      </c>
      <c r="CBK5" t="s">
        <v>6984</v>
      </c>
      <c r="CBL5" t="s">
        <v>6984</v>
      </c>
      <c r="CBM5" t="s">
        <v>6984</v>
      </c>
      <c r="CBN5" t="s">
        <v>6984</v>
      </c>
      <c r="CBO5" t="s">
        <v>6984</v>
      </c>
      <c r="CBP5" t="s">
        <v>6984</v>
      </c>
      <c r="CBQ5" t="s">
        <v>6984</v>
      </c>
      <c r="CBR5" t="s">
        <v>6984</v>
      </c>
      <c r="CBS5" t="s">
        <v>6984</v>
      </c>
      <c r="CBT5" t="s">
        <v>6984</v>
      </c>
      <c r="CBU5" t="s">
        <v>6984</v>
      </c>
      <c r="CBV5" t="s">
        <v>6984</v>
      </c>
      <c r="CBW5" t="s">
        <v>6984</v>
      </c>
      <c r="CBX5" t="s">
        <v>6984</v>
      </c>
      <c r="CBY5" t="s">
        <v>6984</v>
      </c>
      <c r="CBZ5" t="s">
        <v>6984</v>
      </c>
      <c r="CCA5" t="s">
        <v>6984</v>
      </c>
      <c r="CCB5" t="s">
        <v>6984</v>
      </c>
      <c r="CCC5" t="s">
        <v>6984</v>
      </c>
      <c r="CCD5" t="s">
        <v>6984</v>
      </c>
      <c r="CCE5" t="s">
        <v>6984</v>
      </c>
      <c r="CCF5" t="s">
        <v>6984</v>
      </c>
      <c r="CCG5" t="s">
        <v>6984</v>
      </c>
      <c r="CCH5" t="s">
        <v>6984</v>
      </c>
      <c r="CCI5" t="s">
        <v>6984</v>
      </c>
      <c r="CCJ5" t="s">
        <v>6984</v>
      </c>
      <c r="CCK5" t="s">
        <v>6984</v>
      </c>
      <c r="CCL5" t="s">
        <v>6984</v>
      </c>
      <c r="CCM5" t="s">
        <v>6984</v>
      </c>
      <c r="CCN5" t="s">
        <v>6984</v>
      </c>
      <c r="CCO5" t="s">
        <v>6984</v>
      </c>
      <c r="CCP5" t="s">
        <v>6984</v>
      </c>
      <c r="CCQ5" t="s">
        <v>6984</v>
      </c>
      <c r="CCR5" t="s">
        <v>6984</v>
      </c>
      <c r="CCS5" t="s">
        <v>6984</v>
      </c>
      <c r="CCT5" t="s">
        <v>6984</v>
      </c>
      <c r="CCU5" t="s">
        <v>6984</v>
      </c>
      <c r="CCV5" t="s">
        <v>6984</v>
      </c>
      <c r="CCW5" t="s">
        <v>6984</v>
      </c>
      <c r="CCX5" t="s">
        <v>6984</v>
      </c>
      <c r="CCY5" t="s">
        <v>6984</v>
      </c>
      <c r="CCZ5" t="s">
        <v>6984</v>
      </c>
      <c r="CDA5" t="s">
        <v>6984</v>
      </c>
      <c r="CDB5" t="s">
        <v>6984</v>
      </c>
      <c r="CDC5" t="s">
        <v>6984</v>
      </c>
      <c r="CDD5" t="s">
        <v>6984</v>
      </c>
      <c r="CDE5" t="s">
        <v>6984</v>
      </c>
      <c r="CDF5" t="s">
        <v>6984</v>
      </c>
      <c r="CDG5" t="s">
        <v>6984</v>
      </c>
      <c r="CDH5" t="s">
        <v>6984</v>
      </c>
      <c r="CDI5" t="s">
        <v>6984</v>
      </c>
      <c r="CDJ5" t="s">
        <v>6984</v>
      </c>
      <c r="CDK5" t="s">
        <v>6984</v>
      </c>
      <c r="CDL5" t="s">
        <v>6984</v>
      </c>
      <c r="CDM5" t="s">
        <v>6984</v>
      </c>
      <c r="CDN5" t="s">
        <v>6984</v>
      </c>
      <c r="CDO5" t="s">
        <v>6984</v>
      </c>
      <c r="CDP5" t="s">
        <v>6984</v>
      </c>
      <c r="CDQ5" t="s">
        <v>6984</v>
      </c>
      <c r="CDR5" t="s">
        <v>6984</v>
      </c>
      <c r="CDS5" t="s">
        <v>6984</v>
      </c>
      <c r="CDT5" t="s">
        <v>6984</v>
      </c>
      <c r="CDU5" t="s">
        <v>6984</v>
      </c>
      <c r="CDV5" t="s">
        <v>6984</v>
      </c>
      <c r="CDW5" t="s">
        <v>6984</v>
      </c>
      <c r="CDX5" t="s">
        <v>6984</v>
      </c>
      <c r="CDY5" t="s">
        <v>6984</v>
      </c>
      <c r="CDZ5" t="s">
        <v>6984</v>
      </c>
      <c r="CEA5" t="s">
        <v>6984</v>
      </c>
      <c r="CEB5" t="s">
        <v>6984</v>
      </c>
      <c r="CEC5" t="s">
        <v>6984</v>
      </c>
      <c r="CED5" t="s">
        <v>6984</v>
      </c>
      <c r="CEE5" t="s">
        <v>6984</v>
      </c>
      <c r="CEF5" t="s">
        <v>6984</v>
      </c>
      <c r="CEG5" t="s">
        <v>6984</v>
      </c>
      <c r="CEH5" t="s">
        <v>6984</v>
      </c>
      <c r="CEI5" t="s">
        <v>6984</v>
      </c>
      <c r="CEJ5" t="s">
        <v>6984</v>
      </c>
      <c r="CEK5" t="s">
        <v>6984</v>
      </c>
      <c r="CEL5" t="s">
        <v>6984</v>
      </c>
      <c r="CEM5" t="s">
        <v>6984</v>
      </c>
      <c r="CEN5" t="s">
        <v>6984</v>
      </c>
      <c r="CEO5" t="s">
        <v>6984</v>
      </c>
      <c r="CEP5" t="s">
        <v>6984</v>
      </c>
      <c r="CEQ5" t="s">
        <v>6984</v>
      </c>
      <c r="CER5" t="s">
        <v>6984</v>
      </c>
      <c r="CES5" t="s">
        <v>6984</v>
      </c>
      <c r="CET5" t="s">
        <v>6984</v>
      </c>
      <c r="CEU5" t="s">
        <v>6984</v>
      </c>
      <c r="CEV5" t="s">
        <v>6984</v>
      </c>
      <c r="CEW5" t="s">
        <v>6984</v>
      </c>
      <c r="CEX5" t="s">
        <v>6984</v>
      </c>
      <c r="CEY5" t="s">
        <v>6984</v>
      </c>
      <c r="CEZ5" t="s">
        <v>6984</v>
      </c>
      <c r="CFA5" t="s">
        <v>6984</v>
      </c>
      <c r="CFB5" t="s">
        <v>6984</v>
      </c>
      <c r="CFC5" t="s">
        <v>6984</v>
      </c>
      <c r="CFD5" t="s">
        <v>6984</v>
      </c>
      <c r="CFE5" t="s">
        <v>6984</v>
      </c>
      <c r="CFF5" t="s">
        <v>6984</v>
      </c>
      <c r="CFG5" t="s">
        <v>6984</v>
      </c>
      <c r="CFH5" t="s">
        <v>6984</v>
      </c>
      <c r="CFI5" t="s">
        <v>6984</v>
      </c>
      <c r="CFJ5" t="s">
        <v>6984</v>
      </c>
      <c r="CFK5" t="s">
        <v>6984</v>
      </c>
      <c r="CFL5" t="s">
        <v>6984</v>
      </c>
      <c r="CFM5" t="s">
        <v>6984</v>
      </c>
      <c r="CFN5" t="s">
        <v>6984</v>
      </c>
      <c r="CFO5" t="s">
        <v>6984</v>
      </c>
      <c r="CFP5" t="s">
        <v>6984</v>
      </c>
      <c r="CFQ5" t="s">
        <v>6984</v>
      </c>
      <c r="CFR5" t="s">
        <v>6984</v>
      </c>
      <c r="CFS5" t="s">
        <v>6984</v>
      </c>
      <c r="CFT5" t="s">
        <v>6984</v>
      </c>
      <c r="CFU5" t="s">
        <v>6984</v>
      </c>
      <c r="CFV5" t="s">
        <v>6984</v>
      </c>
      <c r="CFW5" t="s">
        <v>6984</v>
      </c>
      <c r="CFX5" t="s">
        <v>6984</v>
      </c>
      <c r="CFY5" t="s">
        <v>6984</v>
      </c>
      <c r="CFZ5" t="s">
        <v>6984</v>
      </c>
      <c r="CGA5" t="s">
        <v>6984</v>
      </c>
      <c r="CGB5" t="s">
        <v>6984</v>
      </c>
      <c r="CGC5" t="s">
        <v>6984</v>
      </c>
      <c r="CGD5" t="s">
        <v>6984</v>
      </c>
      <c r="CGE5" t="s">
        <v>6984</v>
      </c>
      <c r="CGF5" t="s">
        <v>6984</v>
      </c>
      <c r="CGG5" t="s">
        <v>6984</v>
      </c>
      <c r="CGH5" t="s">
        <v>6984</v>
      </c>
      <c r="CGI5" t="s">
        <v>6984</v>
      </c>
      <c r="CGJ5" t="s">
        <v>6984</v>
      </c>
      <c r="CGK5" t="s">
        <v>6984</v>
      </c>
      <c r="CGL5" t="s">
        <v>6984</v>
      </c>
      <c r="CGM5" t="s">
        <v>6984</v>
      </c>
      <c r="CGN5" t="s">
        <v>6984</v>
      </c>
      <c r="CGO5" t="s">
        <v>6984</v>
      </c>
      <c r="CGP5" t="s">
        <v>6984</v>
      </c>
      <c r="CGQ5" t="s">
        <v>6984</v>
      </c>
      <c r="CGR5" t="s">
        <v>6984</v>
      </c>
      <c r="CGS5" t="s">
        <v>6984</v>
      </c>
      <c r="CGT5" t="s">
        <v>6984</v>
      </c>
      <c r="CGU5" t="s">
        <v>6984</v>
      </c>
      <c r="CGV5" t="s">
        <v>6984</v>
      </c>
      <c r="CGW5" t="s">
        <v>6984</v>
      </c>
      <c r="CGX5" t="s">
        <v>6984</v>
      </c>
      <c r="CGY5" t="s">
        <v>6984</v>
      </c>
      <c r="CGZ5" t="s">
        <v>6984</v>
      </c>
      <c r="CHA5" t="s">
        <v>6984</v>
      </c>
      <c r="CHB5" t="s">
        <v>6984</v>
      </c>
      <c r="CHC5" t="s">
        <v>6984</v>
      </c>
      <c r="CHD5" t="s">
        <v>6984</v>
      </c>
      <c r="CHE5" t="s">
        <v>6984</v>
      </c>
      <c r="CHF5" t="s">
        <v>6984</v>
      </c>
      <c r="CHG5" t="s">
        <v>6984</v>
      </c>
      <c r="CHH5" t="s">
        <v>6984</v>
      </c>
      <c r="CHI5" t="s">
        <v>6984</v>
      </c>
      <c r="CHJ5" t="s">
        <v>6984</v>
      </c>
      <c r="CHK5" t="s">
        <v>6984</v>
      </c>
      <c r="CHL5" t="s">
        <v>6984</v>
      </c>
      <c r="CHM5" t="s">
        <v>6984</v>
      </c>
      <c r="CHN5" t="s">
        <v>6984</v>
      </c>
      <c r="CHO5" t="s">
        <v>6984</v>
      </c>
      <c r="CHP5" t="s">
        <v>6984</v>
      </c>
      <c r="CHQ5" t="s">
        <v>6984</v>
      </c>
      <c r="CHR5" t="s">
        <v>6984</v>
      </c>
      <c r="CHS5" t="s">
        <v>6984</v>
      </c>
      <c r="CHT5" t="s">
        <v>6984</v>
      </c>
      <c r="CHU5" t="s">
        <v>6984</v>
      </c>
      <c r="CHV5" t="s">
        <v>6984</v>
      </c>
      <c r="CHW5" t="s">
        <v>6984</v>
      </c>
      <c r="CHX5" t="s">
        <v>6984</v>
      </c>
      <c r="CHY5" t="s">
        <v>6984</v>
      </c>
      <c r="CHZ5" t="s">
        <v>6984</v>
      </c>
      <c r="CIA5" t="s">
        <v>6984</v>
      </c>
      <c r="CIB5" t="s">
        <v>6984</v>
      </c>
      <c r="CIC5" t="s">
        <v>6984</v>
      </c>
      <c r="CID5" t="s">
        <v>6984</v>
      </c>
      <c r="CIE5" t="s">
        <v>6984</v>
      </c>
      <c r="CIF5" t="s">
        <v>6984</v>
      </c>
      <c r="CIG5" t="s">
        <v>6984</v>
      </c>
      <c r="CIH5" t="s">
        <v>6984</v>
      </c>
      <c r="CII5" t="s">
        <v>6984</v>
      </c>
      <c r="CIJ5" t="s">
        <v>6984</v>
      </c>
      <c r="CIK5" t="s">
        <v>6984</v>
      </c>
      <c r="CIL5" t="s">
        <v>6984</v>
      </c>
      <c r="CIM5" t="s">
        <v>6984</v>
      </c>
      <c r="CIN5" t="s">
        <v>6984</v>
      </c>
      <c r="CIO5" t="s">
        <v>6984</v>
      </c>
      <c r="CIP5" t="s">
        <v>6984</v>
      </c>
      <c r="CIQ5" t="s">
        <v>6984</v>
      </c>
      <c r="CIR5" t="s">
        <v>6984</v>
      </c>
      <c r="CIS5" t="s">
        <v>6984</v>
      </c>
      <c r="CIT5" t="s">
        <v>6984</v>
      </c>
      <c r="CIU5" t="s">
        <v>6984</v>
      </c>
      <c r="CIV5" t="s">
        <v>6984</v>
      </c>
      <c r="CIW5" t="s">
        <v>6984</v>
      </c>
      <c r="CIX5" t="s">
        <v>6984</v>
      </c>
      <c r="CIY5" t="s">
        <v>6984</v>
      </c>
      <c r="CIZ5" t="s">
        <v>6984</v>
      </c>
      <c r="CJA5" t="s">
        <v>6984</v>
      </c>
      <c r="CJB5" t="s">
        <v>6984</v>
      </c>
      <c r="CJC5" t="s">
        <v>6984</v>
      </c>
      <c r="CJD5" t="s">
        <v>6984</v>
      </c>
      <c r="CJE5" t="s">
        <v>6984</v>
      </c>
      <c r="CJF5" t="s">
        <v>6984</v>
      </c>
      <c r="CJG5" t="s">
        <v>6984</v>
      </c>
      <c r="CJH5" t="s">
        <v>6984</v>
      </c>
      <c r="CJI5" t="s">
        <v>6984</v>
      </c>
      <c r="CJJ5" t="s">
        <v>6984</v>
      </c>
      <c r="CJK5" t="s">
        <v>6984</v>
      </c>
      <c r="CJL5" t="s">
        <v>6984</v>
      </c>
      <c r="CJM5" t="s">
        <v>6984</v>
      </c>
      <c r="CJN5" t="s">
        <v>6984</v>
      </c>
      <c r="CJO5" t="s">
        <v>6984</v>
      </c>
      <c r="CJP5" t="s">
        <v>6984</v>
      </c>
      <c r="CJQ5" t="s">
        <v>6984</v>
      </c>
      <c r="CJR5" t="s">
        <v>6984</v>
      </c>
      <c r="CJS5" t="s">
        <v>6984</v>
      </c>
      <c r="CJT5" t="s">
        <v>6984</v>
      </c>
      <c r="CJU5" t="s">
        <v>6984</v>
      </c>
      <c r="CJV5" t="s">
        <v>6984</v>
      </c>
      <c r="CJW5" t="s">
        <v>6984</v>
      </c>
      <c r="CJX5" t="s">
        <v>6984</v>
      </c>
      <c r="CJY5" t="s">
        <v>6984</v>
      </c>
      <c r="CJZ5" t="s">
        <v>6984</v>
      </c>
      <c r="CKA5" t="s">
        <v>6984</v>
      </c>
      <c r="CKB5" t="s">
        <v>6984</v>
      </c>
      <c r="CKC5" t="s">
        <v>6984</v>
      </c>
      <c r="CKD5" t="s">
        <v>6984</v>
      </c>
      <c r="CKE5" t="s">
        <v>6984</v>
      </c>
      <c r="CKF5" t="s">
        <v>6984</v>
      </c>
      <c r="CKG5" t="s">
        <v>6984</v>
      </c>
      <c r="CKH5" t="s">
        <v>6984</v>
      </c>
      <c r="CKI5" t="s">
        <v>6984</v>
      </c>
      <c r="CKJ5" t="s">
        <v>6984</v>
      </c>
      <c r="CKK5" t="s">
        <v>6984</v>
      </c>
      <c r="CKL5" t="s">
        <v>6984</v>
      </c>
      <c r="CKM5" t="s">
        <v>6984</v>
      </c>
      <c r="CKN5" t="s">
        <v>6984</v>
      </c>
      <c r="CKO5" t="s">
        <v>6984</v>
      </c>
      <c r="CKP5" t="s">
        <v>6984</v>
      </c>
      <c r="CKQ5" t="s">
        <v>6984</v>
      </c>
      <c r="CKR5" t="s">
        <v>6984</v>
      </c>
      <c r="CKS5" t="s">
        <v>6984</v>
      </c>
      <c r="CKT5" t="s">
        <v>6984</v>
      </c>
      <c r="CKU5" t="s">
        <v>6984</v>
      </c>
      <c r="CKV5" t="s">
        <v>6984</v>
      </c>
      <c r="CKW5" t="s">
        <v>6984</v>
      </c>
      <c r="CKX5" t="s">
        <v>6984</v>
      </c>
      <c r="CKY5" t="s">
        <v>6984</v>
      </c>
      <c r="CKZ5" t="s">
        <v>6984</v>
      </c>
      <c r="CLA5" t="s">
        <v>6984</v>
      </c>
      <c r="CLB5" t="s">
        <v>6984</v>
      </c>
      <c r="CLC5" t="s">
        <v>6984</v>
      </c>
      <c r="CLD5" t="s">
        <v>6984</v>
      </c>
      <c r="CLE5" t="s">
        <v>6984</v>
      </c>
      <c r="CLF5" t="s">
        <v>6984</v>
      </c>
      <c r="CLG5" t="s">
        <v>6984</v>
      </c>
      <c r="CLH5" t="s">
        <v>6984</v>
      </c>
      <c r="CLI5" t="s">
        <v>6984</v>
      </c>
      <c r="CLJ5" t="s">
        <v>6984</v>
      </c>
      <c r="CLK5" t="s">
        <v>6984</v>
      </c>
      <c r="CLL5" t="s">
        <v>6984</v>
      </c>
      <c r="CLM5" t="s">
        <v>6984</v>
      </c>
      <c r="CLN5" t="s">
        <v>6984</v>
      </c>
      <c r="CLO5" t="s">
        <v>6984</v>
      </c>
      <c r="CLP5" t="s">
        <v>6984</v>
      </c>
      <c r="CLQ5" t="s">
        <v>6984</v>
      </c>
      <c r="CLR5" t="s">
        <v>6984</v>
      </c>
      <c r="CLS5" t="s">
        <v>6984</v>
      </c>
      <c r="CLT5" t="s">
        <v>6984</v>
      </c>
      <c r="CLU5" t="s">
        <v>6984</v>
      </c>
      <c r="CLV5" t="s">
        <v>6984</v>
      </c>
      <c r="CLW5" t="s">
        <v>6984</v>
      </c>
      <c r="CLX5" t="s">
        <v>6984</v>
      </c>
      <c r="CLY5" t="s">
        <v>6984</v>
      </c>
      <c r="CLZ5" t="s">
        <v>6984</v>
      </c>
      <c r="CMA5" t="s">
        <v>6984</v>
      </c>
      <c r="CMB5" t="s">
        <v>6984</v>
      </c>
      <c r="CMC5" t="s">
        <v>6984</v>
      </c>
      <c r="CMD5" t="s">
        <v>6984</v>
      </c>
      <c r="CME5" t="s">
        <v>6984</v>
      </c>
      <c r="CMF5" t="s">
        <v>6984</v>
      </c>
      <c r="CMG5" t="s">
        <v>6984</v>
      </c>
      <c r="CMH5" t="s">
        <v>6984</v>
      </c>
      <c r="CMI5" t="s">
        <v>6984</v>
      </c>
      <c r="CMJ5" t="s">
        <v>6984</v>
      </c>
      <c r="CMK5" t="s">
        <v>6984</v>
      </c>
      <c r="CML5" t="s">
        <v>6984</v>
      </c>
      <c r="CMM5" t="s">
        <v>6984</v>
      </c>
      <c r="CMN5" t="s">
        <v>6984</v>
      </c>
      <c r="CMO5" t="s">
        <v>6984</v>
      </c>
      <c r="CMP5" t="s">
        <v>6984</v>
      </c>
      <c r="CMQ5" t="s">
        <v>6984</v>
      </c>
      <c r="CMR5" t="s">
        <v>6984</v>
      </c>
      <c r="CMS5" t="s">
        <v>6984</v>
      </c>
      <c r="CMT5" t="s">
        <v>6984</v>
      </c>
      <c r="CMU5" t="s">
        <v>6984</v>
      </c>
      <c r="CMV5" t="s">
        <v>6984</v>
      </c>
      <c r="CMW5" t="s">
        <v>6984</v>
      </c>
      <c r="CMX5" t="s">
        <v>6984</v>
      </c>
      <c r="CMY5" t="s">
        <v>6984</v>
      </c>
      <c r="CMZ5" t="s">
        <v>6984</v>
      </c>
      <c r="CNA5" t="s">
        <v>6984</v>
      </c>
      <c r="CNB5" t="s">
        <v>6984</v>
      </c>
      <c r="CNC5" t="s">
        <v>6984</v>
      </c>
      <c r="CND5" t="s">
        <v>6984</v>
      </c>
      <c r="CNE5" t="s">
        <v>6984</v>
      </c>
      <c r="CNF5" t="s">
        <v>6984</v>
      </c>
      <c r="CNG5" t="s">
        <v>6984</v>
      </c>
      <c r="CNH5" t="s">
        <v>6984</v>
      </c>
      <c r="CNI5" t="s">
        <v>6984</v>
      </c>
      <c r="CNJ5" t="s">
        <v>6984</v>
      </c>
      <c r="CNK5" t="s">
        <v>6984</v>
      </c>
      <c r="CNL5" t="s">
        <v>6984</v>
      </c>
      <c r="CNM5" t="s">
        <v>6984</v>
      </c>
      <c r="CNN5" t="s">
        <v>6984</v>
      </c>
      <c r="CNO5" t="s">
        <v>6984</v>
      </c>
      <c r="CNP5" t="s">
        <v>6984</v>
      </c>
      <c r="CNQ5" t="s">
        <v>6984</v>
      </c>
      <c r="CNR5" t="s">
        <v>6984</v>
      </c>
      <c r="CNS5" t="s">
        <v>6984</v>
      </c>
      <c r="CNT5" t="s">
        <v>6984</v>
      </c>
      <c r="CNU5" t="s">
        <v>6984</v>
      </c>
      <c r="CNV5" t="s">
        <v>6984</v>
      </c>
      <c r="CNW5" t="s">
        <v>6984</v>
      </c>
      <c r="CNX5" t="s">
        <v>6984</v>
      </c>
      <c r="CNY5" t="s">
        <v>6984</v>
      </c>
      <c r="CNZ5" t="s">
        <v>6984</v>
      </c>
      <c r="COA5" t="s">
        <v>6984</v>
      </c>
      <c r="COB5" t="s">
        <v>6984</v>
      </c>
      <c r="COC5" t="s">
        <v>6984</v>
      </c>
      <c r="COD5" t="s">
        <v>6984</v>
      </c>
      <c r="COE5" t="s">
        <v>6984</v>
      </c>
      <c r="COF5" t="s">
        <v>6984</v>
      </c>
      <c r="COG5" t="s">
        <v>6984</v>
      </c>
      <c r="COH5" t="s">
        <v>6984</v>
      </c>
      <c r="COI5" t="s">
        <v>6984</v>
      </c>
      <c r="COJ5" t="s">
        <v>6984</v>
      </c>
      <c r="COK5" t="s">
        <v>6984</v>
      </c>
      <c r="COL5" t="s">
        <v>6984</v>
      </c>
      <c r="COM5" t="s">
        <v>6984</v>
      </c>
      <c r="CON5" t="s">
        <v>6984</v>
      </c>
      <c r="COO5" t="s">
        <v>6984</v>
      </c>
      <c r="COP5" t="s">
        <v>6984</v>
      </c>
      <c r="COQ5" t="s">
        <v>6984</v>
      </c>
      <c r="COR5" t="s">
        <v>6984</v>
      </c>
      <c r="COS5" t="s">
        <v>6984</v>
      </c>
      <c r="COT5" t="s">
        <v>6984</v>
      </c>
      <c r="COU5" t="s">
        <v>6984</v>
      </c>
      <c r="COV5" t="s">
        <v>6984</v>
      </c>
      <c r="COW5" t="s">
        <v>6984</v>
      </c>
      <c r="COX5" t="s">
        <v>6984</v>
      </c>
      <c r="COY5" t="s">
        <v>6984</v>
      </c>
      <c r="COZ5" t="s">
        <v>6984</v>
      </c>
      <c r="CPA5" t="s">
        <v>6984</v>
      </c>
      <c r="CPB5" t="s">
        <v>6984</v>
      </c>
      <c r="CPC5" t="s">
        <v>6984</v>
      </c>
      <c r="CPD5" t="s">
        <v>6984</v>
      </c>
      <c r="CPE5" t="s">
        <v>6984</v>
      </c>
      <c r="CPF5" t="s">
        <v>6984</v>
      </c>
      <c r="CPG5" t="s">
        <v>6984</v>
      </c>
      <c r="CPH5" t="s">
        <v>6984</v>
      </c>
      <c r="CPI5" t="s">
        <v>6984</v>
      </c>
      <c r="CPJ5" t="s">
        <v>6984</v>
      </c>
      <c r="CPK5" t="s">
        <v>6984</v>
      </c>
      <c r="CPL5" t="s">
        <v>6984</v>
      </c>
      <c r="CPM5" t="s">
        <v>6984</v>
      </c>
      <c r="CPN5" t="s">
        <v>6984</v>
      </c>
      <c r="CPO5" t="s">
        <v>6984</v>
      </c>
      <c r="CPP5" t="s">
        <v>6984</v>
      </c>
      <c r="CPQ5" t="s">
        <v>6984</v>
      </c>
      <c r="CPR5" t="s">
        <v>6984</v>
      </c>
      <c r="CPS5" t="s">
        <v>6984</v>
      </c>
      <c r="CPT5" t="s">
        <v>6984</v>
      </c>
      <c r="CPU5" t="s">
        <v>6984</v>
      </c>
      <c r="CPV5" t="s">
        <v>6984</v>
      </c>
      <c r="CPW5" t="s">
        <v>6984</v>
      </c>
      <c r="CPX5" t="s">
        <v>6984</v>
      </c>
      <c r="CPY5" t="s">
        <v>6984</v>
      </c>
      <c r="CPZ5" t="s">
        <v>6984</v>
      </c>
      <c r="CQA5" t="s">
        <v>6984</v>
      </c>
      <c r="CQB5" t="s">
        <v>6984</v>
      </c>
      <c r="CQC5" t="s">
        <v>6984</v>
      </c>
      <c r="CQD5" t="s">
        <v>6984</v>
      </c>
      <c r="CQE5" t="s">
        <v>6984</v>
      </c>
      <c r="CQF5" t="s">
        <v>6984</v>
      </c>
      <c r="CQG5" t="s">
        <v>6984</v>
      </c>
      <c r="CQH5" t="s">
        <v>6984</v>
      </c>
      <c r="CQI5" t="s">
        <v>6984</v>
      </c>
      <c r="CQJ5" t="s">
        <v>6984</v>
      </c>
      <c r="CQK5" t="s">
        <v>6984</v>
      </c>
      <c r="CQL5" t="s">
        <v>6984</v>
      </c>
      <c r="CQM5" t="s">
        <v>6984</v>
      </c>
      <c r="CQN5" t="s">
        <v>6984</v>
      </c>
      <c r="CQO5" t="s">
        <v>6984</v>
      </c>
      <c r="CQP5" t="s">
        <v>6984</v>
      </c>
      <c r="CQQ5" t="s">
        <v>6984</v>
      </c>
      <c r="CQR5" t="s">
        <v>6984</v>
      </c>
      <c r="CQS5" t="s">
        <v>6984</v>
      </c>
      <c r="CQT5" t="s">
        <v>6984</v>
      </c>
      <c r="CQU5" t="s">
        <v>6984</v>
      </c>
      <c r="CQV5" t="s">
        <v>6984</v>
      </c>
      <c r="CQW5" t="s">
        <v>6984</v>
      </c>
      <c r="CQX5" t="s">
        <v>6984</v>
      </c>
      <c r="CQY5" t="s">
        <v>6984</v>
      </c>
      <c r="CQZ5" t="s">
        <v>6984</v>
      </c>
      <c r="CRA5" t="s">
        <v>6984</v>
      </c>
      <c r="CRB5" t="s">
        <v>6984</v>
      </c>
      <c r="CRC5" t="s">
        <v>6984</v>
      </c>
      <c r="CRD5" t="s">
        <v>6984</v>
      </c>
      <c r="CRE5" t="s">
        <v>6984</v>
      </c>
      <c r="CRF5" t="s">
        <v>6984</v>
      </c>
      <c r="CRG5" t="s">
        <v>6984</v>
      </c>
      <c r="CRH5" t="s">
        <v>6984</v>
      </c>
      <c r="CRI5" t="s">
        <v>6984</v>
      </c>
      <c r="CRJ5" t="s">
        <v>6984</v>
      </c>
      <c r="CRK5" t="s">
        <v>6984</v>
      </c>
      <c r="CRL5" t="s">
        <v>6984</v>
      </c>
      <c r="CRM5" t="s">
        <v>6984</v>
      </c>
      <c r="CRN5" t="s">
        <v>6984</v>
      </c>
      <c r="CRO5" t="s">
        <v>6984</v>
      </c>
      <c r="CRP5" t="s">
        <v>6984</v>
      </c>
      <c r="CRQ5" t="s">
        <v>6984</v>
      </c>
      <c r="CRR5" t="s">
        <v>6984</v>
      </c>
      <c r="CRS5" t="s">
        <v>6984</v>
      </c>
      <c r="CRT5" t="s">
        <v>6984</v>
      </c>
      <c r="CRU5" t="s">
        <v>6984</v>
      </c>
      <c r="CRV5" t="s">
        <v>6984</v>
      </c>
      <c r="CRW5" t="s">
        <v>6984</v>
      </c>
      <c r="CRX5" t="s">
        <v>6984</v>
      </c>
      <c r="CRY5" t="s">
        <v>6984</v>
      </c>
      <c r="CRZ5" t="s">
        <v>6984</v>
      </c>
      <c r="CSA5" t="s">
        <v>6984</v>
      </c>
      <c r="CSB5" t="s">
        <v>6984</v>
      </c>
      <c r="CSC5" t="s">
        <v>6984</v>
      </c>
      <c r="CSD5" t="s">
        <v>6984</v>
      </c>
      <c r="CSE5" t="s">
        <v>6984</v>
      </c>
      <c r="CSF5" t="s">
        <v>6984</v>
      </c>
      <c r="CSG5" t="s">
        <v>6984</v>
      </c>
      <c r="CSH5" t="s">
        <v>6984</v>
      </c>
      <c r="CSI5" t="s">
        <v>6984</v>
      </c>
      <c r="CSJ5" t="s">
        <v>6984</v>
      </c>
      <c r="CSK5" t="s">
        <v>6984</v>
      </c>
      <c r="CSL5" t="s">
        <v>6984</v>
      </c>
      <c r="CSM5" t="s">
        <v>6984</v>
      </c>
      <c r="CSN5" t="s">
        <v>6984</v>
      </c>
      <c r="CSO5" t="s">
        <v>6984</v>
      </c>
      <c r="CSP5" t="s">
        <v>6984</v>
      </c>
      <c r="CSQ5" t="s">
        <v>6984</v>
      </c>
      <c r="CSR5" t="s">
        <v>6984</v>
      </c>
      <c r="CSS5" t="s">
        <v>6984</v>
      </c>
      <c r="CST5" t="s">
        <v>6984</v>
      </c>
      <c r="CSU5" t="s">
        <v>6984</v>
      </c>
      <c r="CSV5" t="s">
        <v>6984</v>
      </c>
      <c r="CSW5" t="s">
        <v>6984</v>
      </c>
      <c r="CSX5" t="s">
        <v>6984</v>
      </c>
      <c r="CSY5" t="s">
        <v>6984</v>
      </c>
      <c r="CSZ5" t="s">
        <v>6984</v>
      </c>
      <c r="CTA5" t="s">
        <v>6984</v>
      </c>
      <c r="CTB5" t="s">
        <v>6984</v>
      </c>
      <c r="CTC5" t="s">
        <v>6984</v>
      </c>
      <c r="CTD5" t="s">
        <v>6984</v>
      </c>
      <c r="CTE5" t="s">
        <v>6984</v>
      </c>
      <c r="CTF5" t="s">
        <v>6984</v>
      </c>
      <c r="CTG5" t="s">
        <v>6984</v>
      </c>
      <c r="CTH5" t="s">
        <v>6984</v>
      </c>
      <c r="CTI5" t="s">
        <v>6984</v>
      </c>
      <c r="CTJ5" t="s">
        <v>6984</v>
      </c>
      <c r="CTK5" t="s">
        <v>6984</v>
      </c>
      <c r="CTL5" t="s">
        <v>6984</v>
      </c>
      <c r="CTM5" t="s">
        <v>6984</v>
      </c>
      <c r="CTN5" t="s">
        <v>6984</v>
      </c>
      <c r="CTO5" t="s">
        <v>6984</v>
      </c>
      <c r="CTP5" t="s">
        <v>6984</v>
      </c>
      <c r="CTQ5" t="s">
        <v>6984</v>
      </c>
      <c r="CTR5" t="s">
        <v>6984</v>
      </c>
      <c r="CTS5" t="s">
        <v>6984</v>
      </c>
      <c r="CTT5" t="s">
        <v>6984</v>
      </c>
      <c r="CTU5" t="s">
        <v>6984</v>
      </c>
      <c r="CTV5" t="s">
        <v>6984</v>
      </c>
      <c r="CTW5" t="s">
        <v>6984</v>
      </c>
      <c r="CTX5" t="s">
        <v>6984</v>
      </c>
      <c r="CTY5" t="s">
        <v>6984</v>
      </c>
      <c r="CTZ5" t="s">
        <v>6984</v>
      </c>
      <c r="CUA5" t="s">
        <v>6984</v>
      </c>
      <c r="CUB5" t="s">
        <v>6984</v>
      </c>
      <c r="CUC5" t="s">
        <v>6984</v>
      </c>
      <c r="CUD5" t="s">
        <v>6984</v>
      </c>
      <c r="CUE5" t="s">
        <v>6984</v>
      </c>
      <c r="CUF5" t="s">
        <v>6984</v>
      </c>
      <c r="CUG5" t="s">
        <v>6984</v>
      </c>
      <c r="CUH5" t="s">
        <v>6984</v>
      </c>
      <c r="CUI5" t="s">
        <v>6984</v>
      </c>
      <c r="CUJ5" t="s">
        <v>6984</v>
      </c>
      <c r="CUK5" t="s">
        <v>6984</v>
      </c>
      <c r="CUL5" t="s">
        <v>6984</v>
      </c>
      <c r="CUM5" t="s">
        <v>6984</v>
      </c>
      <c r="CUN5" t="s">
        <v>6984</v>
      </c>
      <c r="CUO5" t="s">
        <v>6984</v>
      </c>
      <c r="CUP5" t="s">
        <v>6984</v>
      </c>
      <c r="CUQ5" t="s">
        <v>6984</v>
      </c>
      <c r="CUR5" t="s">
        <v>6984</v>
      </c>
      <c r="CUS5" t="s">
        <v>6984</v>
      </c>
      <c r="CUT5" t="s">
        <v>6984</v>
      </c>
      <c r="CUU5" t="s">
        <v>6984</v>
      </c>
      <c r="CUV5" t="s">
        <v>6984</v>
      </c>
      <c r="CUW5" t="s">
        <v>6984</v>
      </c>
      <c r="CUX5" t="s">
        <v>6984</v>
      </c>
      <c r="CUY5" t="s">
        <v>6984</v>
      </c>
      <c r="CUZ5" t="s">
        <v>6984</v>
      </c>
      <c r="CVA5" t="s">
        <v>6984</v>
      </c>
      <c r="CVB5" t="s">
        <v>6984</v>
      </c>
      <c r="CVC5" t="s">
        <v>6984</v>
      </c>
      <c r="CVD5" t="s">
        <v>6984</v>
      </c>
      <c r="CVE5" t="s">
        <v>6984</v>
      </c>
      <c r="CVF5" t="s">
        <v>6984</v>
      </c>
      <c r="CVG5" t="s">
        <v>6984</v>
      </c>
      <c r="CVH5" t="s">
        <v>6984</v>
      </c>
      <c r="CVI5" t="s">
        <v>6984</v>
      </c>
      <c r="CVJ5" t="s">
        <v>6984</v>
      </c>
      <c r="CVK5" t="s">
        <v>6984</v>
      </c>
      <c r="CVL5" t="s">
        <v>6984</v>
      </c>
      <c r="CVM5" t="s">
        <v>6984</v>
      </c>
      <c r="CVN5" t="s">
        <v>6984</v>
      </c>
      <c r="CVO5" t="s">
        <v>6984</v>
      </c>
      <c r="CVP5" t="s">
        <v>6984</v>
      </c>
      <c r="CVQ5" t="s">
        <v>6984</v>
      </c>
      <c r="CVR5" t="s">
        <v>6984</v>
      </c>
      <c r="CVS5" t="s">
        <v>6984</v>
      </c>
      <c r="CVT5" t="s">
        <v>6984</v>
      </c>
      <c r="CVU5" t="s">
        <v>6984</v>
      </c>
      <c r="CVV5" t="s">
        <v>6984</v>
      </c>
      <c r="CVW5" t="s">
        <v>6984</v>
      </c>
      <c r="CVX5" t="s">
        <v>6984</v>
      </c>
      <c r="CVY5" t="s">
        <v>6984</v>
      </c>
      <c r="CVZ5" t="s">
        <v>6984</v>
      </c>
      <c r="CWA5" t="s">
        <v>6984</v>
      </c>
      <c r="CWB5" t="s">
        <v>6984</v>
      </c>
      <c r="CWC5" t="s">
        <v>6984</v>
      </c>
      <c r="CWD5" t="s">
        <v>6984</v>
      </c>
      <c r="CWE5" t="s">
        <v>6984</v>
      </c>
      <c r="CWF5" t="s">
        <v>6984</v>
      </c>
      <c r="CWG5" t="s">
        <v>6984</v>
      </c>
      <c r="CWH5" t="s">
        <v>6984</v>
      </c>
      <c r="CWI5" t="s">
        <v>6984</v>
      </c>
      <c r="CWJ5" t="s">
        <v>6984</v>
      </c>
      <c r="CWK5" t="s">
        <v>6984</v>
      </c>
      <c r="CWL5" t="s">
        <v>6984</v>
      </c>
      <c r="CWM5" t="s">
        <v>6984</v>
      </c>
      <c r="CWN5" t="s">
        <v>6984</v>
      </c>
      <c r="CWO5" t="s">
        <v>6984</v>
      </c>
      <c r="CWP5" t="s">
        <v>6984</v>
      </c>
      <c r="CWQ5" t="s">
        <v>6984</v>
      </c>
      <c r="CWR5" t="s">
        <v>6984</v>
      </c>
      <c r="CWS5" t="s">
        <v>6984</v>
      </c>
      <c r="CWT5" t="s">
        <v>6984</v>
      </c>
      <c r="CWU5" t="s">
        <v>6984</v>
      </c>
      <c r="CWV5" t="s">
        <v>6984</v>
      </c>
      <c r="CWW5" t="s">
        <v>6984</v>
      </c>
      <c r="CWX5" t="s">
        <v>6984</v>
      </c>
      <c r="CWY5" t="s">
        <v>6984</v>
      </c>
      <c r="CWZ5" t="s">
        <v>6984</v>
      </c>
      <c r="CXA5" t="s">
        <v>6984</v>
      </c>
      <c r="CXB5" t="s">
        <v>6984</v>
      </c>
      <c r="CXC5" t="s">
        <v>6984</v>
      </c>
      <c r="CXD5" t="s">
        <v>6984</v>
      </c>
      <c r="CXE5" t="s">
        <v>6984</v>
      </c>
      <c r="CXF5" t="s">
        <v>6984</v>
      </c>
      <c r="CXG5" t="s">
        <v>6984</v>
      </c>
      <c r="CXH5" t="s">
        <v>6984</v>
      </c>
      <c r="CXI5" t="s">
        <v>6984</v>
      </c>
      <c r="CXJ5" t="s">
        <v>6984</v>
      </c>
      <c r="CXK5" t="s">
        <v>6984</v>
      </c>
      <c r="CXL5" t="s">
        <v>6984</v>
      </c>
      <c r="CXM5" t="s">
        <v>6984</v>
      </c>
      <c r="CXN5" t="s">
        <v>6984</v>
      </c>
      <c r="CXO5" t="s">
        <v>6984</v>
      </c>
      <c r="CXP5" t="s">
        <v>6984</v>
      </c>
      <c r="CXQ5" t="s">
        <v>6984</v>
      </c>
      <c r="CXR5" t="s">
        <v>6984</v>
      </c>
      <c r="CXS5" t="s">
        <v>6984</v>
      </c>
      <c r="CXT5" t="s">
        <v>6984</v>
      </c>
      <c r="CXU5" t="s">
        <v>6984</v>
      </c>
      <c r="CXV5" t="s">
        <v>6984</v>
      </c>
      <c r="CXW5" t="s">
        <v>6984</v>
      </c>
      <c r="CXX5" t="s">
        <v>6984</v>
      </c>
      <c r="CXY5" t="s">
        <v>6984</v>
      </c>
      <c r="CXZ5" t="s">
        <v>6984</v>
      </c>
      <c r="CYA5" t="s">
        <v>6984</v>
      </c>
      <c r="CYB5" t="s">
        <v>6984</v>
      </c>
      <c r="CYC5" t="s">
        <v>6984</v>
      </c>
      <c r="CYD5" t="s">
        <v>6984</v>
      </c>
      <c r="CYE5" t="s">
        <v>6984</v>
      </c>
      <c r="CYF5" t="s">
        <v>6984</v>
      </c>
      <c r="CYG5" t="s">
        <v>6984</v>
      </c>
      <c r="CYH5" t="s">
        <v>6984</v>
      </c>
      <c r="CYI5" t="s">
        <v>6984</v>
      </c>
      <c r="CYJ5" t="s">
        <v>6984</v>
      </c>
      <c r="CYK5" t="s">
        <v>6984</v>
      </c>
      <c r="CYL5" t="s">
        <v>6984</v>
      </c>
      <c r="CYM5" t="s">
        <v>6984</v>
      </c>
      <c r="CYN5" t="s">
        <v>6984</v>
      </c>
      <c r="CYO5" t="s">
        <v>6984</v>
      </c>
      <c r="CYP5" t="s">
        <v>6984</v>
      </c>
      <c r="CYQ5" t="s">
        <v>6984</v>
      </c>
      <c r="CYR5" t="s">
        <v>6984</v>
      </c>
      <c r="CYS5" t="s">
        <v>6984</v>
      </c>
      <c r="CYT5" t="s">
        <v>6984</v>
      </c>
      <c r="CYU5" t="s">
        <v>6984</v>
      </c>
      <c r="CYV5" t="s">
        <v>6984</v>
      </c>
      <c r="CYW5" t="s">
        <v>6984</v>
      </c>
      <c r="CYX5" t="s">
        <v>6984</v>
      </c>
      <c r="CYY5" t="s">
        <v>6984</v>
      </c>
      <c r="CYZ5" t="s">
        <v>6984</v>
      </c>
      <c r="CZA5" t="s">
        <v>6984</v>
      </c>
      <c r="CZB5" t="s">
        <v>6984</v>
      </c>
      <c r="CZC5" t="s">
        <v>6984</v>
      </c>
      <c r="CZD5" t="s">
        <v>6984</v>
      </c>
      <c r="CZE5" t="s">
        <v>6984</v>
      </c>
      <c r="CZF5" t="s">
        <v>6984</v>
      </c>
      <c r="CZG5" t="s">
        <v>6984</v>
      </c>
      <c r="CZH5" t="s">
        <v>6984</v>
      </c>
      <c r="CZI5" t="s">
        <v>6984</v>
      </c>
      <c r="CZJ5" t="s">
        <v>6984</v>
      </c>
      <c r="CZK5" t="s">
        <v>6984</v>
      </c>
      <c r="CZL5" t="s">
        <v>6984</v>
      </c>
      <c r="CZM5" t="s">
        <v>6984</v>
      </c>
      <c r="CZN5" t="s">
        <v>6984</v>
      </c>
      <c r="CZO5" t="s">
        <v>6984</v>
      </c>
      <c r="CZP5" t="s">
        <v>6984</v>
      </c>
      <c r="CZQ5" t="s">
        <v>6984</v>
      </c>
      <c r="CZR5" t="s">
        <v>6984</v>
      </c>
      <c r="CZS5" t="s">
        <v>6984</v>
      </c>
      <c r="CZT5" t="s">
        <v>6984</v>
      </c>
      <c r="CZU5" t="s">
        <v>6984</v>
      </c>
      <c r="CZV5" t="s">
        <v>6984</v>
      </c>
      <c r="CZW5" t="s">
        <v>6984</v>
      </c>
      <c r="CZX5" t="s">
        <v>6984</v>
      </c>
      <c r="CZY5" t="s">
        <v>6984</v>
      </c>
      <c r="CZZ5" t="s">
        <v>6984</v>
      </c>
      <c r="DAA5" t="s">
        <v>6984</v>
      </c>
      <c r="DAB5" t="s">
        <v>6984</v>
      </c>
      <c r="DAC5" t="s">
        <v>6984</v>
      </c>
      <c r="DAD5" t="s">
        <v>6984</v>
      </c>
      <c r="DAE5" t="s">
        <v>6984</v>
      </c>
      <c r="DAF5" t="s">
        <v>6984</v>
      </c>
      <c r="DAG5" t="s">
        <v>6984</v>
      </c>
      <c r="DAH5" t="s">
        <v>6984</v>
      </c>
      <c r="DAI5" t="s">
        <v>6984</v>
      </c>
      <c r="DAJ5" t="s">
        <v>6984</v>
      </c>
      <c r="DAK5" t="s">
        <v>6984</v>
      </c>
      <c r="DAL5" t="s">
        <v>6984</v>
      </c>
      <c r="DAM5" t="s">
        <v>6984</v>
      </c>
      <c r="DAN5" t="s">
        <v>6984</v>
      </c>
      <c r="DAO5" t="s">
        <v>6984</v>
      </c>
      <c r="DAP5" t="s">
        <v>6984</v>
      </c>
      <c r="DAQ5" t="s">
        <v>6984</v>
      </c>
      <c r="DAR5" t="s">
        <v>6984</v>
      </c>
      <c r="DAS5" t="s">
        <v>6984</v>
      </c>
      <c r="DAT5" t="s">
        <v>6984</v>
      </c>
      <c r="DAU5" t="s">
        <v>6984</v>
      </c>
      <c r="DAV5" t="s">
        <v>6984</v>
      </c>
      <c r="DAW5" t="s">
        <v>6984</v>
      </c>
      <c r="DAX5" t="s">
        <v>6984</v>
      </c>
      <c r="DAY5" t="s">
        <v>6984</v>
      </c>
      <c r="DAZ5" t="s">
        <v>6984</v>
      </c>
      <c r="DBA5" t="s">
        <v>6984</v>
      </c>
      <c r="DBB5" t="s">
        <v>6984</v>
      </c>
      <c r="DBC5" t="s">
        <v>6984</v>
      </c>
      <c r="DBD5" t="s">
        <v>6984</v>
      </c>
      <c r="DBE5" t="s">
        <v>6984</v>
      </c>
      <c r="DBF5" t="s">
        <v>6984</v>
      </c>
      <c r="DBG5" t="s">
        <v>6984</v>
      </c>
      <c r="DBH5" t="s">
        <v>6984</v>
      </c>
      <c r="DBI5" t="s">
        <v>6984</v>
      </c>
      <c r="DBJ5" t="s">
        <v>6984</v>
      </c>
      <c r="DBK5" t="s">
        <v>6984</v>
      </c>
      <c r="DBL5" t="s">
        <v>6984</v>
      </c>
      <c r="DBM5" t="s">
        <v>6984</v>
      </c>
      <c r="DBN5" t="s">
        <v>6984</v>
      </c>
      <c r="DBO5" t="s">
        <v>6984</v>
      </c>
      <c r="DBP5" t="s">
        <v>6984</v>
      </c>
      <c r="DBQ5" t="s">
        <v>6984</v>
      </c>
      <c r="DBR5" t="s">
        <v>6984</v>
      </c>
      <c r="DBS5" t="s">
        <v>6984</v>
      </c>
      <c r="DBT5" t="s">
        <v>6984</v>
      </c>
      <c r="DBU5" t="s">
        <v>6984</v>
      </c>
      <c r="DBV5" t="s">
        <v>6984</v>
      </c>
      <c r="DBW5" t="s">
        <v>6984</v>
      </c>
      <c r="DBX5" t="s">
        <v>6984</v>
      </c>
      <c r="DBY5" t="s">
        <v>6984</v>
      </c>
      <c r="DBZ5" t="s">
        <v>6984</v>
      </c>
      <c r="DCA5" t="s">
        <v>6984</v>
      </c>
      <c r="DCB5" t="s">
        <v>6984</v>
      </c>
      <c r="DCC5" t="s">
        <v>6984</v>
      </c>
      <c r="DCD5" t="s">
        <v>6984</v>
      </c>
      <c r="DCE5" t="s">
        <v>6984</v>
      </c>
      <c r="DCF5" t="s">
        <v>6984</v>
      </c>
      <c r="DCG5" t="s">
        <v>6984</v>
      </c>
      <c r="DCH5" t="s">
        <v>6984</v>
      </c>
      <c r="DCI5" t="s">
        <v>6984</v>
      </c>
      <c r="DCJ5" t="s">
        <v>6984</v>
      </c>
      <c r="DCK5" t="s">
        <v>6984</v>
      </c>
      <c r="DCL5" t="s">
        <v>6984</v>
      </c>
      <c r="DCM5" t="s">
        <v>6984</v>
      </c>
      <c r="DCN5" t="s">
        <v>6984</v>
      </c>
      <c r="DCO5" t="s">
        <v>6984</v>
      </c>
      <c r="DCP5" t="s">
        <v>6984</v>
      </c>
      <c r="DCQ5" t="s">
        <v>6984</v>
      </c>
      <c r="DCR5" t="s">
        <v>6984</v>
      </c>
      <c r="DCS5" t="s">
        <v>6984</v>
      </c>
      <c r="DCT5" t="s">
        <v>6984</v>
      </c>
      <c r="DCU5" t="s">
        <v>6984</v>
      </c>
      <c r="DCV5" t="s">
        <v>6984</v>
      </c>
      <c r="DCW5" t="s">
        <v>6984</v>
      </c>
      <c r="DCX5" t="s">
        <v>6984</v>
      </c>
      <c r="DCY5" t="s">
        <v>6984</v>
      </c>
      <c r="DCZ5" t="s">
        <v>6984</v>
      </c>
      <c r="DDA5" t="s">
        <v>6984</v>
      </c>
      <c r="DDB5" t="s">
        <v>6984</v>
      </c>
      <c r="DDC5" t="s">
        <v>6984</v>
      </c>
      <c r="DDD5" t="s">
        <v>6984</v>
      </c>
      <c r="DDE5" t="s">
        <v>6984</v>
      </c>
      <c r="DDF5" t="s">
        <v>6984</v>
      </c>
      <c r="DDG5" t="s">
        <v>6984</v>
      </c>
      <c r="DDH5" t="s">
        <v>6984</v>
      </c>
      <c r="DDI5" t="s">
        <v>6984</v>
      </c>
      <c r="DDJ5" t="s">
        <v>6984</v>
      </c>
      <c r="DDK5" t="s">
        <v>6984</v>
      </c>
      <c r="DDL5" t="s">
        <v>6984</v>
      </c>
      <c r="DDM5" t="s">
        <v>6984</v>
      </c>
      <c r="DDN5" t="s">
        <v>6984</v>
      </c>
      <c r="DDO5" t="s">
        <v>6984</v>
      </c>
      <c r="DDP5" t="s">
        <v>6984</v>
      </c>
      <c r="DDQ5" t="s">
        <v>6984</v>
      </c>
      <c r="DDR5" t="s">
        <v>6984</v>
      </c>
      <c r="DDS5" t="s">
        <v>6984</v>
      </c>
      <c r="DDT5" t="s">
        <v>6984</v>
      </c>
      <c r="DDU5" t="s">
        <v>6984</v>
      </c>
      <c r="DDV5" t="s">
        <v>6984</v>
      </c>
      <c r="DDW5" t="s">
        <v>6984</v>
      </c>
      <c r="DDX5" t="s">
        <v>6984</v>
      </c>
      <c r="DDY5" t="s">
        <v>6984</v>
      </c>
      <c r="DDZ5" t="s">
        <v>6984</v>
      </c>
      <c r="DEA5" t="s">
        <v>6984</v>
      </c>
      <c r="DEB5" t="s">
        <v>6984</v>
      </c>
      <c r="DEC5" t="s">
        <v>6984</v>
      </c>
      <c r="DED5" t="s">
        <v>6984</v>
      </c>
      <c r="DEE5" t="s">
        <v>6984</v>
      </c>
      <c r="DEF5" t="s">
        <v>6984</v>
      </c>
      <c r="DEG5" t="s">
        <v>6984</v>
      </c>
      <c r="DEH5" t="s">
        <v>6984</v>
      </c>
      <c r="DEI5" t="s">
        <v>6984</v>
      </c>
      <c r="DEJ5" t="s">
        <v>6984</v>
      </c>
      <c r="DEK5" t="s">
        <v>6984</v>
      </c>
      <c r="DEL5" t="s">
        <v>6984</v>
      </c>
      <c r="DEM5" t="s">
        <v>6984</v>
      </c>
      <c r="DEN5" t="s">
        <v>6984</v>
      </c>
      <c r="DEO5" t="s">
        <v>6984</v>
      </c>
      <c r="DEP5" t="s">
        <v>6984</v>
      </c>
      <c r="DEQ5" t="s">
        <v>6984</v>
      </c>
      <c r="DER5" t="s">
        <v>6984</v>
      </c>
      <c r="DES5" t="s">
        <v>6984</v>
      </c>
      <c r="DET5" t="s">
        <v>6984</v>
      </c>
      <c r="DEU5" t="s">
        <v>6984</v>
      </c>
      <c r="DEV5" t="s">
        <v>6984</v>
      </c>
      <c r="DEW5" t="s">
        <v>6984</v>
      </c>
      <c r="DEX5" t="s">
        <v>6984</v>
      </c>
      <c r="DEY5" t="s">
        <v>6984</v>
      </c>
      <c r="DEZ5" t="s">
        <v>6984</v>
      </c>
      <c r="DFA5" t="s">
        <v>6984</v>
      </c>
      <c r="DFB5" t="s">
        <v>6984</v>
      </c>
      <c r="DFC5" t="s">
        <v>6984</v>
      </c>
      <c r="DFD5" t="s">
        <v>6984</v>
      </c>
      <c r="DFE5" t="s">
        <v>6984</v>
      </c>
      <c r="DFF5" t="s">
        <v>6984</v>
      </c>
      <c r="DFG5" t="s">
        <v>6984</v>
      </c>
      <c r="DFH5" t="s">
        <v>6984</v>
      </c>
      <c r="DFI5" t="s">
        <v>6984</v>
      </c>
      <c r="DFJ5" t="s">
        <v>6984</v>
      </c>
      <c r="DFK5" t="s">
        <v>6984</v>
      </c>
      <c r="DFL5" t="s">
        <v>6984</v>
      </c>
      <c r="DFM5" t="s">
        <v>6984</v>
      </c>
      <c r="DFN5" t="s">
        <v>6984</v>
      </c>
      <c r="DFO5" t="s">
        <v>6984</v>
      </c>
      <c r="DFP5" t="s">
        <v>6984</v>
      </c>
      <c r="DFQ5" t="s">
        <v>6984</v>
      </c>
      <c r="DFR5" t="s">
        <v>6984</v>
      </c>
      <c r="DFS5" t="s">
        <v>6984</v>
      </c>
      <c r="DFT5" t="s">
        <v>6984</v>
      </c>
      <c r="DFU5" t="s">
        <v>6984</v>
      </c>
      <c r="DFV5" t="s">
        <v>6984</v>
      </c>
      <c r="DFW5" t="s">
        <v>6984</v>
      </c>
      <c r="DFX5" t="s">
        <v>6984</v>
      </c>
      <c r="DFY5" t="s">
        <v>6984</v>
      </c>
      <c r="DFZ5" t="s">
        <v>6984</v>
      </c>
      <c r="DGA5" t="s">
        <v>6984</v>
      </c>
      <c r="DGB5" t="s">
        <v>6984</v>
      </c>
      <c r="DGC5" t="s">
        <v>6984</v>
      </c>
      <c r="DGD5" t="s">
        <v>6984</v>
      </c>
      <c r="DGE5" t="s">
        <v>6984</v>
      </c>
      <c r="DGF5" t="s">
        <v>6984</v>
      </c>
      <c r="DGG5" t="s">
        <v>6984</v>
      </c>
      <c r="DGH5" t="s">
        <v>6984</v>
      </c>
      <c r="DGI5" t="s">
        <v>6984</v>
      </c>
      <c r="DGJ5" t="s">
        <v>6984</v>
      </c>
      <c r="DGK5" t="s">
        <v>6984</v>
      </c>
      <c r="DGL5" t="s">
        <v>6984</v>
      </c>
      <c r="DGM5" t="s">
        <v>6984</v>
      </c>
      <c r="DGN5" t="s">
        <v>6984</v>
      </c>
      <c r="DGO5" t="s">
        <v>6984</v>
      </c>
      <c r="DGP5" t="s">
        <v>6984</v>
      </c>
      <c r="DGQ5" t="s">
        <v>6984</v>
      </c>
      <c r="DGR5" t="s">
        <v>6984</v>
      </c>
      <c r="DGS5" t="s">
        <v>6984</v>
      </c>
      <c r="DGT5" t="s">
        <v>6984</v>
      </c>
      <c r="DGU5" t="s">
        <v>6984</v>
      </c>
      <c r="DGV5" t="s">
        <v>6984</v>
      </c>
      <c r="DGW5" t="s">
        <v>6984</v>
      </c>
      <c r="DGX5" t="s">
        <v>6984</v>
      </c>
      <c r="DGY5" t="s">
        <v>6984</v>
      </c>
      <c r="DGZ5" t="s">
        <v>6984</v>
      </c>
      <c r="DHA5" t="s">
        <v>6984</v>
      </c>
      <c r="DHB5" t="s">
        <v>6984</v>
      </c>
      <c r="DHC5" t="s">
        <v>6984</v>
      </c>
      <c r="DHD5" t="s">
        <v>6984</v>
      </c>
      <c r="DHE5" t="s">
        <v>6984</v>
      </c>
      <c r="DHF5" t="s">
        <v>6984</v>
      </c>
      <c r="DHG5" t="s">
        <v>6984</v>
      </c>
      <c r="DHH5" t="s">
        <v>6984</v>
      </c>
      <c r="DHI5" t="s">
        <v>6984</v>
      </c>
      <c r="DHJ5" t="s">
        <v>6984</v>
      </c>
      <c r="DHK5" t="s">
        <v>6984</v>
      </c>
      <c r="DHL5" t="s">
        <v>6984</v>
      </c>
      <c r="DHM5" t="s">
        <v>6984</v>
      </c>
      <c r="DHN5" t="s">
        <v>6984</v>
      </c>
      <c r="DHO5" t="s">
        <v>6984</v>
      </c>
      <c r="DHP5" t="s">
        <v>6984</v>
      </c>
      <c r="DHQ5" t="s">
        <v>6984</v>
      </c>
      <c r="DHR5" t="s">
        <v>6984</v>
      </c>
      <c r="DHS5" t="s">
        <v>6984</v>
      </c>
      <c r="DHT5" t="s">
        <v>6984</v>
      </c>
      <c r="DHU5" t="s">
        <v>6984</v>
      </c>
      <c r="DHV5" t="s">
        <v>6984</v>
      </c>
      <c r="DHW5" t="s">
        <v>6984</v>
      </c>
      <c r="DHX5" t="s">
        <v>6984</v>
      </c>
      <c r="DHY5" t="s">
        <v>6984</v>
      </c>
      <c r="DHZ5" t="s">
        <v>6984</v>
      </c>
      <c r="DIA5" t="s">
        <v>6984</v>
      </c>
      <c r="DIB5" t="s">
        <v>6984</v>
      </c>
      <c r="DIC5" t="s">
        <v>6984</v>
      </c>
      <c r="DID5" t="s">
        <v>6984</v>
      </c>
      <c r="DIE5" t="s">
        <v>6984</v>
      </c>
      <c r="DIF5" t="s">
        <v>6984</v>
      </c>
      <c r="DIG5" t="s">
        <v>6984</v>
      </c>
      <c r="DIH5" t="s">
        <v>6984</v>
      </c>
      <c r="DII5" t="s">
        <v>6984</v>
      </c>
      <c r="DIJ5" t="s">
        <v>6984</v>
      </c>
      <c r="DIK5" t="s">
        <v>6984</v>
      </c>
      <c r="DIL5" t="s">
        <v>6984</v>
      </c>
      <c r="DIM5" t="s">
        <v>6984</v>
      </c>
      <c r="DIN5" t="s">
        <v>6984</v>
      </c>
      <c r="DIO5" t="s">
        <v>6984</v>
      </c>
      <c r="DIP5" t="s">
        <v>6984</v>
      </c>
      <c r="DIQ5" t="s">
        <v>6984</v>
      </c>
      <c r="DIR5" t="s">
        <v>6984</v>
      </c>
      <c r="DIS5" t="s">
        <v>6984</v>
      </c>
      <c r="DIT5" t="s">
        <v>6984</v>
      </c>
      <c r="DIU5" t="s">
        <v>6984</v>
      </c>
      <c r="DIV5" t="s">
        <v>6984</v>
      </c>
      <c r="DIW5" t="s">
        <v>6984</v>
      </c>
      <c r="DIX5" t="s">
        <v>6984</v>
      </c>
      <c r="DIY5" t="s">
        <v>6984</v>
      </c>
      <c r="DIZ5" t="s">
        <v>6984</v>
      </c>
      <c r="DJA5" t="s">
        <v>6984</v>
      </c>
      <c r="DJB5" t="s">
        <v>6984</v>
      </c>
      <c r="DJC5" t="s">
        <v>6984</v>
      </c>
      <c r="DJD5" t="s">
        <v>6984</v>
      </c>
      <c r="DJE5" t="s">
        <v>6984</v>
      </c>
      <c r="DJF5" t="s">
        <v>6984</v>
      </c>
      <c r="DJG5" t="s">
        <v>6984</v>
      </c>
      <c r="DJH5" t="s">
        <v>6984</v>
      </c>
      <c r="DJI5" t="s">
        <v>6984</v>
      </c>
      <c r="DJJ5" t="s">
        <v>6984</v>
      </c>
      <c r="DJK5" t="s">
        <v>6984</v>
      </c>
      <c r="DJL5" t="s">
        <v>6984</v>
      </c>
      <c r="DJM5" t="s">
        <v>6984</v>
      </c>
      <c r="DJN5" t="s">
        <v>6984</v>
      </c>
      <c r="DJO5" t="s">
        <v>6984</v>
      </c>
      <c r="DJP5" t="s">
        <v>6984</v>
      </c>
      <c r="DJQ5" t="s">
        <v>6984</v>
      </c>
      <c r="DJR5" t="s">
        <v>6984</v>
      </c>
      <c r="DJS5" t="s">
        <v>6984</v>
      </c>
      <c r="DJT5" t="s">
        <v>6984</v>
      </c>
      <c r="DJU5" t="s">
        <v>6984</v>
      </c>
      <c r="DJV5" t="s">
        <v>6984</v>
      </c>
      <c r="DJW5" t="s">
        <v>6984</v>
      </c>
      <c r="DJX5" t="s">
        <v>6984</v>
      </c>
      <c r="DJY5" t="s">
        <v>6984</v>
      </c>
      <c r="DJZ5" t="s">
        <v>6984</v>
      </c>
      <c r="DKA5" t="s">
        <v>6984</v>
      </c>
      <c r="DKB5" t="s">
        <v>6984</v>
      </c>
      <c r="DKC5" t="s">
        <v>6984</v>
      </c>
      <c r="DKD5" t="s">
        <v>6984</v>
      </c>
      <c r="DKE5" t="s">
        <v>6984</v>
      </c>
      <c r="DKF5" t="s">
        <v>6984</v>
      </c>
      <c r="DKG5" t="s">
        <v>6984</v>
      </c>
      <c r="DKH5" t="s">
        <v>6984</v>
      </c>
      <c r="DKI5" t="s">
        <v>6984</v>
      </c>
      <c r="DKJ5" t="s">
        <v>6984</v>
      </c>
      <c r="DKK5" t="s">
        <v>6984</v>
      </c>
      <c r="DKL5" t="s">
        <v>6984</v>
      </c>
      <c r="DKM5" t="s">
        <v>6984</v>
      </c>
      <c r="DKN5" t="s">
        <v>6984</v>
      </c>
      <c r="DKO5" t="s">
        <v>6984</v>
      </c>
      <c r="DKP5" t="s">
        <v>6984</v>
      </c>
      <c r="DKQ5" t="s">
        <v>6984</v>
      </c>
      <c r="DKR5" t="s">
        <v>6984</v>
      </c>
      <c r="DKS5" t="s">
        <v>6984</v>
      </c>
      <c r="DKT5" t="s">
        <v>6984</v>
      </c>
      <c r="DKU5" t="s">
        <v>6984</v>
      </c>
      <c r="DKV5" t="s">
        <v>6984</v>
      </c>
      <c r="DKW5" t="s">
        <v>6984</v>
      </c>
      <c r="DKX5" t="s">
        <v>6984</v>
      </c>
      <c r="DKY5" t="s">
        <v>6984</v>
      </c>
      <c r="DKZ5" t="s">
        <v>6984</v>
      </c>
      <c r="DLA5" t="s">
        <v>6984</v>
      </c>
      <c r="DLB5" t="s">
        <v>6984</v>
      </c>
      <c r="DLC5" t="s">
        <v>6984</v>
      </c>
      <c r="DLD5" t="s">
        <v>6984</v>
      </c>
      <c r="DLE5" t="s">
        <v>6984</v>
      </c>
      <c r="DLF5" t="s">
        <v>6984</v>
      </c>
      <c r="DLG5" t="s">
        <v>6984</v>
      </c>
      <c r="DLH5" t="s">
        <v>6984</v>
      </c>
      <c r="DLI5" t="s">
        <v>6984</v>
      </c>
      <c r="DLJ5" t="s">
        <v>6984</v>
      </c>
      <c r="DLK5" t="s">
        <v>6984</v>
      </c>
      <c r="DLL5" t="s">
        <v>6984</v>
      </c>
      <c r="DLM5" t="s">
        <v>6984</v>
      </c>
      <c r="DLN5" t="s">
        <v>6984</v>
      </c>
      <c r="DLO5" t="s">
        <v>6984</v>
      </c>
      <c r="DLP5" t="s">
        <v>6984</v>
      </c>
      <c r="DLQ5" t="s">
        <v>6984</v>
      </c>
      <c r="DLR5" t="s">
        <v>6984</v>
      </c>
      <c r="DLS5" t="s">
        <v>6984</v>
      </c>
      <c r="DLT5" t="s">
        <v>6984</v>
      </c>
      <c r="DLU5" t="s">
        <v>6984</v>
      </c>
      <c r="DLV5" t="s">
        <v>6984</v>
      </c>
      <c r="DLW5" t="s">
        <v>6984</v>
      </c>
      <c r="DLX5" t="s">
        <v>6984</v>
      </c>
      <c r="DLY5" t="s">
        <v>6984</v>
      </c>
      <c r="DLZ5" t="s">
        <v>6984</v>
      </c>
      <c r="DMA5" t="s">
        <v>6984</v>
      </c>
      <c r="DMB5" t="s">
        <v>6984</v>
      </c>
      <c r="DMC5" t="s">
        <v>6984</v>
      </c>
      <c r="DMD5" t="s">
        <v>6984</v>
      </c>
      <c r="DME5" t="s">
        <v>6984</v>
      </c>
      <c r="DMF5" t="s">
        <v>6984</v>
      </c>
      <c r="DMG5" t="s">
        <v>6984</v>
      </c>
      <c r="DMH5" t="s">
        <v>6984</v>
      </c>
      <c r="DMI5" t="s">
        <v>6984</v>
      </c>
      <c r="DMJ5" t="s">
        <v>6984</v>
      </c>
      <c r="DMK5" t="s">
        <v>6984</v>
      </c>
      <c r="DML5" t="s">
        <v>6984</v>
      </c>
      <c r="DMM5" t="s">
        <v>6984</v>
      </c>
      <c r="DMN5" t="s">
        <v>6984</v>
      </c>
      <c r="DMO5" t="s">
        <v>6984</v>
      </c>
      <c r="DMP5" t="s">
        <v>6984</v>
      </c>
      <c r="DMQ5" t="s">
        <v>6984</v>
      </c>
      <c r="DMR5" t="s">
        <v>6984</v>
      </c>
      <c r="DMS5" t="s">
        <v>6984</v>
      </c>
      <c r="DMT5" t="s">
        <v>6984</v>
      </c>
      <c r="DMU5" t="s">
        <v>6984</v>
      </c>
      <c r="DMV5" t="s">
        <v>6984</v>
      </c>
      <c r="DMW5" t="s">
        <v>6984</v>
      </c>
      <c r="DMX5" t="s">
        <v>6984</v>
      </c>
      <c r="DMY5" t="s">
        <v>6984</v>
      </c>
      <c r="DMZ5" t="s">
        <v>6984</v>
      </c>
      <c r="DNA5" t="s">
        <v>6984</v>
      </c>
      <c r="DNB5" t="s">
        <v>6984</v>
      </c>
      <c r="DNC5" t="s">
        <v>6984</v>
      </c>
      <c r="DND5" t="s">
        <v>6984</v>
      </c>
      <c r="DNE5" t="s">
        <v>6984</v>
      </c>
      <c r="DNF5" t="s">
        <v>6984</v>
      </c>
      <c r="DNG5" t="s">
        <v>6984</v>
      </c>
      <c r="DNH5" t="s">
        <v>6984</v>
      </c>
      <c r="DNI5" t="s">
        <v>6984</v>
      </c>
      <c r="DNJ5" t="s">
        <v>6984</v>
      </c>
      <c r="DNK5" t="s">
        <v>6984</v>
      </c>
      <c r="DNL5" t="s">
        <v>6984</v>
      </c>
      <c r="DNM5" t="s">
        <v>6984</v>
      </c>
      <c r="DNN5" t="s">
        <v>6984</v>
      </c>
      <c r="DNO5" t="s">
        <v>6984</v>
      </c>
      <c r="DNP5" t="s">
        <v>6984</v>
      </c>
      <c r="DNQ5" t="s">
        <v>6984</v>
      </c>
      <c r="DNR5" t="s">
        <v>6984</v>
      </c>
      <c r="DNS5" t="s">
        <v>6984</v>
      </c>
      <c r="DNT5" t="s">
        <v>6984</v>
      </c>
      <c r="DNU5" t="s">
        <v>6984</v>
      </c>
      <c r="DNV5" t="s">
        <v>6984</v>
      </c>
      <c r="DNW5" t="s">
        <v>6984</v>
      </c>
      <c r="DNX5" t="s">
        <v>6984</v>
      </c>
      <c r="DNY5" t="s">
        <v>6984</v>
      </c>
      <c r="DNZ5" t="s">
        <v>6984</v>
      </c>
      <c r="DOA5" t="s">
        <v>6984</v>
      </c>
      <c r="DOB5" t="s">
        <v>6984</v>
      </c>
      <c r="DOC5" t="s">
        <v>6984</v>
      </c>
      <c r="DOD5" t="s">
        <v>6984</v>
      </c>
      <c r="DOE5" t="s">
        <v>6984</v>
      </c>
      <c r="DOF5" t="s">
        <v>6984</v>
      </c>
      <c r="DOG5" t="s">
        <v>6984</v>
      </c>
      <c r="DOH5" t="s">
        <v>6984</v>
      </c>
      <c r="DOI5" t="s">
        <v>6984</v>
      </c>
      <c r="DOJ5" t="s">
        <v>6984</v>
      </c>
      <c r="DOK5" t="s">
        <v>6984</v>
      </c>
      <c r="DOL5" t="s">
        <v>6984</v>
      </c>
      <c r="DOM5" t="s">
        <v>6984</v>
      </c>
      <c r="DON5" t="s">
        <v>6984</v>
      </c>
      <c r="DOO5" t="s">
        <v>6984</v>
      </c>
      <c r="DOP5" t="s">
        <v>6984</v>
      </c>
      <c r="DOQ5" t="s">
        <v>6984</v>
      </c>
      <c r="DOR5" t="s">
        <v>6984</v>
      </c>
      <c r="DOS5" t="s">
        <v>6984</v>
      </c>
      <c r="DOT5" t="s">
        <v>6984</v>
      </c>
      <c r="DOU5" t="s">
        <v>6984</v>
      </c>
      <c r="DOV5" t="s">
        <v>6984</v>
      </c>
      <c r="DOW5" t="s">
        <v>6984</v>
      </c>
      <c r="DOX5" t="s">
        <v>6984</v>
      </c>
      <c r="DOY5" t="s">
        <v>6984</v>
      </c>
      <c r="DOZ5" t="s">
        <v>6984</v>
      </c>
      <c r="DPA5" t="s">
        <v>6984</v>
      </c>
      <c r="DPB5" t="s">
        <v>6984</v>
      </c>
      <c r="DPC5" t="s">
        <v>6984</v>
      </c>
      <c r="DPD5" t="s">
        <v>6984</v>
      </c>
      <c r="DPE5" t="s">
        <v>6984</v>
      </c>
      <c r="DPF5" t="s">
        <v>6984</v>
      </c>
      <c r="DPG5" t="s">
        <v>6984</v>
      </c>
      <c r="DPH5" t="s">
        <v>6984</v>
      </c>
      <c r="DPI5" t="s">
        <v>6984</v>
      </c>
      <c r="DPJ5" t="s">
        <v>6984</v>
      </c>
      <c r="DPK5" t="s">
        <v>6984</v>
      </c>
      <c r="DPL5" t="s">
        <v>6984</v>
      </c>
      <c r="DPM5" t="s">
        <v>6984</v>
      </c>
      <c r="DPN5" t="s">
        <v>6984</v>
      </c>
      <c r="DPO5" t="s">
        <v>6984</v>
      </c>
      <c r="DPP5" t="s">
        <v>6984</v>
      </c>
      <c r="DPQ5" t="s">
        <v>6984</v>
      </c>
      <c r="DPR5" t="s">
        <v>6984</v>
      </c>
      <c r="DPS5" t="s">
        <v>6984</v>
      </c>
      <c r="DPT5" t="s">
        <v>6984</v>
      </c>
      <c r="DPU5" t="s">
        <v>6984</v>
      </c>
      <c r="DPV5" t="s">
        <v>6984</v>
      </c>
      <c r="DPW5" t="s">
        <v>6984</v>
      </c>
      <c r="DPX5" t="s">
        <v>6984</v>
      </c>
      <c r="DPY5" t="s">
        <v>6984</v>
      </c>
      <c r="DPZ5" t="s">
        <v>6984</v>
      </c>
      <c r="DQA5" t="s">
        <v>6984</v>
      </c>
      <c r="DQB5" t="s">
        <v>6984</v>
      </c>
      <c r="DQC5" t="s">
        <v>6984</v>
      </c>
      <c r="DQD5" t="s">
        <v>6984</v>
      </c>
      <c r="DQE5" t="s">
        <v>6984</v>
      </c>
      <c r="DQF5" t="s">
        <v>6984</v>
      </c>
      <c r="DQG5" t="s">
        <v>6984</v>
      </c>
      <c r="DQH5" t="s">
        <v>6984</v>
      </c>
      <c r="DQI5" t="s">
        <v>6984</v>
      </c>
      <c r="DQJ5" t="s">
        <v>6984</v>
      </c>
      <c r="DQK5" t="s">
        <v>6984</v>
      </c>
      <c r="DQL5" t="s">
        <v>6984</v>
      </c>
      <c r="DQM5" t="s">
        <v>6984</v>
      </c>
      <c r="DQN5" t="s">
        <v>6984</v>
      </c>
      <c r="DQO5" t="s">
        <v>6984</v>
      </c>
      <c r="DQP5" t="s">
        <v>6984</v>
      </c>
      <c r="DQQ5" t="s">
        <v>6984</v>
      </c>
      <c r="DQR5" t="s">
        <v>6984</v>
      </c>
      <c r="DQS5" t="s">
        <v>6984</v>
      </c>
      <c r="DQT5" t="s">
        <v>6984</v>
      </c>
      <c r="DQU5" t="s">
        <v>6984</v>
      </c>
      <c r="DQV5" t="s">
        <v>6984</v>
      </c>
      <c r="DQW5" t="s">
        <v>6984</v>
      </c>
      <c r="DQX5" t="s">
        <v>6984</v>
      </c>
      <c r="DQY5" t="s">
        <v>6984</v>
      </c>
      <c r="DQZ5" t="s">
        <v>6984</v>
      </c>
      <c r="DRA5" t="s">
        <v>6984</v>
      </c>
      <c r="DRB5" t="s">
        <v>6984</v>
      </c>
      <c r="DRC5" t="s">
        <v>6984</v>
      </c>
      <c r="DRD5" t="s">
        <v>6984</v>
      </c>
      <c r="DRE5" t="s">
        <v>6984</v>
      </c>
      <c r="DRF5" t="s">
        <v>6984</v>
      </c>
      <c r="DRG5" t="s">
        <v>6984</v>
      </c>
      <c r="DRH5" t="s">
        <v>6984</v>
      </c>
      <c r="DRI5" t="s">
        <v>6984</v>
      </c>
      <c r="DRJ5" t="s">
        <v>6984</v>
      </c>
      <c r="DRK5" t="s">
        <v>6984</v>
      </c>
      <c r="DRL5" t="s">
        <v>6984</v>
      </c>
      <c r="DRM5" t="s">
        <v>6984</v>
      </c>
      <c r="DRN5" t="s">
        <v>6984</v>
      </c>
      <c r="DRO5" t="s">
        <v>6984</v>
      </c>
      <c r="DRP5" t="s">
        <v>6984</v>
      </c>
      <c r="DRQ5" t="s">
        <v>6984</v>
      </c>
      <c r="DRR5" t="s">
        <v>6984</v>
      </c>
      <c r="DRS5" t="s">
        <v>6984</v>
      </c>
      <c r="DRT5" t="s">
        <v>6984</v>
      </c>
      <c r="DRU5" t="s">
        <v>6984</v>
      </c>
      <c r="DRV5" t="s">
        <v>6984</v>
      </c>
      <c r="DRW5" t="s">
        <v>6984</v>
      </c>
      <c r="DRX5" t="s">
        <v>6984</v>
      </c>
      <c r="DRY5" t="s">
        <v>6984</v>
      </c>
      <c r="DRZ5" t="s">
        <v>6984</v>
      </c>
      <c r="DSA5" t="s">
        <v>6984</v>
      </c>
      <c r="DSB5" t="s">
        <v>6984</v>
      </c>
      <c r="DSC5" t="s">
        <v>6984</v>
      </c>
      <c r="DSD5" t="s">
        <v>6984</v>
      </c>
      <c r="DSE5" t="s">
        <v>6984</v>
      </c>
      <c r="DSF5" t="s">
        <v>6984</v>
      </c>
      <c r="DSG5" t="s">
        <v>6984</v>
      </c>
      <c r="DSH5" t="s">
        <v>6984</v>
      </c>
      <c r="DSI5" t="s">
        <v>6984</v>
      </c>
      <c r="DSJ5" t="s">
        <v>6984</v>
      </c>
      <c r="DSK5" t="s">
        <v>6984</v>
      </c>
      <c r="DSL5" t="s">
        <v>6984</v>
      </c>
      <c r="DSM5" t="s">
        <v>6984</v>
      </c>
      <c r="DSN5" t="s">
        <v>6984</v>
      </c>
      <c r="DSO5" t="s">
        <v>6984</v>
      </c>
      <c r="DSP5" t="s">
        <v>6984</v>
      </c>
      <c r="DSQ5" t="s">
        <v>6984</v>
      </c>
      <c r="DSR5" t="s">
        <v>6984</v>
      </c>
      <c r="DSS5" t="s">
        <v>6984</v>
      </c>
      <c r="DST5" t="s">
        <v>6984</v>
      </c>
      <c r="DSU5" t="s">
        <v>6984</v>
      </c>
      <c r="DSV5" t="s">
        <v>6984</v>
      </c>
      <c r="DSW5" t="s">
        <v>6984</v>
      </c>
      <c r="DSX5" t="s">
        <v>6984</v>
      </c>
      <c r="DSY5" t="s">
        <v>6984</v>
      </c>
      <c r="DSZ5" t="s">
        <v>6984</v>
      </c>
      <c r="DTA5" t="s">
        <v>6984</v>
      </c>
      <c r="DTB5" t="s">
        <v>6984</v>
      </c>
      <c r="DTC5" t="s">
        <v>6984</v>
      </c>
      <c r="DTD5" t="s">
        <v>6984</v>
      </c>
      <c r="DTE5" t="s">
        <v>6984</v>
      </c>
      <c r="DTF5" t="s">
        <v>6984</v>
      </c>
      <c r="DTG5" t="s">
        <v>6984</v>
      </c>
      <c r="DTH5" t="s">
        <v>6984</v>
      </c>
      <c r="DTI5" t="s">
        <v>6984</v>
      </c>
      <c r="DTJ5" t="s">
        <v>6984</v>
      </c>
      <c r="DTK5" t="s">
        <v>6984</v>
      </c>
      <c r="DTL5" t="s">
        <v>6984</v>
      </c>
      <c r="DTM5" t="s">
        <v>6984</v>
      </c>
      <c r="DTN5" t="s">
        <v>6984</v>
      </c>
      <c r="DTO5" t="s">
        <v>6984</v>
      </c>
      <c r="DTP5" t="s">
        <v>6984</v>
      </c>
      <c r="DTQ5" t="s">
        <v>6984</v>
      </c>
      <c r="DTR5" t="s">
        <v>6984</v>
      </c>
      <c r="DTS5" t="s">
        <v>6984</v>
      </c>
      <c r="DTT5" t="s">
        <v>6984</v>
      </c>
      <c r="DTU5" t="s">
        <v>6984</v>
      </c>
      <c r="DTV5" t="s">
        <v>6984</v>
      </c>
      <c r="DTW5" t="s">
        <v>6984</v>
      </c>
      <c r="DTX5" t="s">
        <v>6984</v>
      </c>
      <c r="DTY5" t="s">
        <v>6984</v>
      </c>
      <c r="DTZ5" t="s">
        <v>6984</v>
      </c>
      <c r="DUA5" t="s">
        <v>6984</v>
      </c>
      <c r="DUB5" t="s">
        <v>6984</v>
      </c>
      <c r="DUC5" t="s">
        <v>6984</v>
      </c>
      <c r="DUD5" t="s">
        <v>6984</v>
      </c>
      <c r="DUE5" t="s">
        <v>6984</v>
      </c>
      <c r="DUF5" t="s">
        <v>6984</v>
      </c>
      <c r="DUG5" t="s">
        <v>6984</v>
      </c>
      <c r="DUH5" t="s">
        <v>6984</v>
      </c>
      <c r="DUI5" t="s">
        <v>6984</v>
      </c>
      <c r="DUJ5" t="s">
        <v>6984</v>
      </c>
      <c r="DUK5" t="s">
        <v>6984</v>
      </c>
      <c r="DUL5" t="s">
        <v>6984</v>
      </c>
      <c r="DUM5" t="s">
        <v>6984</v>
      </c>
      <c r="DUN5" t="s">
        <v>6984</v>
      </c>
      <c r="DUO5" t="s">
        <v>6984</v>
      </c>
      <c r="DUP5" t="s">
        <v>6984</v>
      </c>
      <c r="DUQ5" t="s">
        <v>6984</v>
      </c>
      <c r="DUR5" t="s">
        <v>6984</v>
      </c>
      <c r="DUS5" t="s">
        <v>6984</v>
      </c>
      <c r="DUT5" t="s">
        <v>6984</v>
      </c>
      <c r="DUU5" t="s">
        <v>6984</v>
      </c>
      <c r="DUV5" t="s">
        <v>6984</v>
      </c>
      <c r="DUW5" t="s">
        <v>6984</v>
      </c>
      <c r="DUX5" t="s">
        <v>6984</v>
      </c>
      <c r="DUY5" t="s">
        <v>6984</v>
      </c>
      <c r="DUZ5" t="s">
        <v>6984</v>
      </c>
      <c r="DVA5" t="s">
        <v>6984</v>
      </c>
      <c r="DVB5" t="s">
        <v>6984</v>
      </c>
      <c r="DVC5" t="s">
        <v>6984</v>
      </c>
      <c r="DVD5" t="s">
        <v>6984</v>
      </c>
      <c r="DVE5" t="s">
        <v>6984</v>
      </c>
      <c r="DVF5" t="s">
        <v>6984</v>
      </c>
      <c r="DVG5" t="s">
        <v>6984</v>
      </c>
      <c r="DVH5" t="s">
        <v>6984</v>
      </c>
      <c r="DVI5" t="s">
        <v>6984</v>
      </c>
      <c r="DVJ5" t="s">
        <v>6984</v>
      </c>
      <c r="DVK5" t="s">
        <v>6984</v>
      </c>
      <c r="DVL5" t="s">
        <v>6984</v>
      </c>
      <c r="DVM5" t="s">
        <v>6984</v>
      </c>
      <c r="DVN5" t="s">
        <v>6984</v>
      </c>
      <c r="DVO5" t="s">
        <v>6984</v>
      </c>
      <c r="DVP5" t="s">
        <v>6984</v>
      </c>
      <c r="DVQ5" t="s">
        <v>6984</v>
      </c>
      <c r="DVR5" t="s">
        <v>6984</v>
      </c>
      <c r="DVS5" t="s">
        <v>6984</v>
      </c>
      <c r="DVT5" t="s">
        <v>6984</v>
      </c>
      <c r="DVU5" t="s">
        <v>6984</v>
      </c>
      <c r="DVV5" t="s">
        <v>6984</v>
      </c>
      <c r="DVW5" t="s">
        <v>6984</v>
      </c>
      <c r="DVX5" t="s">
        <v>6984</v>
      </c>
      <c r="DVY5" t="s">
        <v>6984</v>
      </c>
      <c r="DVZ5" t="s">
        <v>6984</v>
      </c>
      <c r="DWA5" t="s">
        <v>6984</v>
      </c>
      <c r="DWB5" t="s">
        <v>6984</v>
      </c>
      <c r="DWC5" t="s">
        <v>6984</v>
      </c>
      <c r="DWD5" t="s">
        <v>6984</v>
      </c>
      <c r="DWE5" t="s">
        <v>6984</v>
      </c>
      <c r="DWF5" t="s">
        <v>6984</v>
      </c>
      <c r="DWG5" t="s">
        <v>6984</v>
      </c>
      <c r="DWH5" t="s">
        <v>6984</v>
      </c>
      <c r="DWI5" t="s">
        <v>6984</v>
      </c>
      <c r="DWJ5" t="s">
        <v>6984</v>
      </c>
      <c r="DWK5" t="s">
        <v>6984</v>
      </c>
      <c r="DWL5" t="s">
        <v>6984</v>
      </c>
      <c r="DWM5" t="s">
        <v>6984</v>
      </c>
      <c r="DWN5" t="s">
        <v>6984</v>
      </c>
      <c r="DWO5" t="s">
        <v>6984</v>
      </c>
      <c r="DWP5" t="s">
        <v>6984</v>
      </c>
      <c r="DWQ5" t="s">
        <v>6984</v>
      </c>
      <c r="DWR5" t="s">
        <v>6984</v>
      </c>
      <c r="DWS5" t="s">
        <v>6984</v>
      </c>
      <c r="DWT5" t="s">
        <v>6984</v>
      </c>
      <c r="DWU5" t="s">
        <v>6984</v>
      </c>
      <c r="DWV5" t="s">
        <v>6984</v>
      </c>
      <c r="DWW5" t="s">
        <v>6984</v>
      </c>
      <c r="DWX5" t="s">
        <v>6984</v>
      </c>
      <c r="DWY5" t="s">
        <v>6984</v>
      </c>
      <c r="DWZ5" t="s">
        <v>6984</v>
      </c>
      <c r="DXA5" t="s">
        <v>6984</v>
      </c>
      <c r="DXB5" t="s">
        <v>6984</v>
      </c>
      <c r="DXC5" t="s">
        <v>6984</v>
      </c>
      <c r="DXD5" t="s">
        <v>6984</v>
      </c>
      <c r="DXE5" t="s">
        <v>6984</v>
      </c>
      <c r="DXF5" t="s">
        <v>6984</v>
      </c>
      <c r="DXG5" t="s">
        <v>6984</v>
      </c>
      <c r="DXH5" t="s">
        <v>6984</v>
      </c>
      <c r="DXI5" t="s">
        <v>6984</v>
      </c>
      <c r="DXJ5" t="s">
        <v>6984</v>
      </c>
      <c r="DXK5" t="s">
        <v>6984</v>
      </c>
      <c r="DXL5" t="s">
        <v>6984</v>
      </c>
      <c r="DXM5" t="s">
        <v>6984</v>
      </c>
      <c r="DXN5" t="s">
        <v>6984</v>
      </c>
      <c r="DXO5" t="s">
        <v>6984</v>
      </c>
      <c r="DXP5" t="s">
        <v>6984</v>
      </c>
      <c r="DXQ5" t="s">
        <v>6984</v>
      </c>
      <c r="DXR5" t="s">
        <v>6984</v>
      </c>
      <c r="DXS5" t="s">
        <v>6984</v>
      </c>
      <c r="DXT5" t="s">
        <v>6984</v>
      </c>
      <c r="DXU5" t="s">
        <v>6984</v>
      </c>
      <c r="DXV5" t="s">
        <v>6984</v>
      </c>
      <c r="DXW5" t="s">
        <v>6984</v>
      </c>
      <c r="DXX5" t="s">
        <v>6984</v>
      </c>
      <c r="DXY5" t="s">
        <v>6984</v>
      </c>
      <c r="DXZ5" t="s">
        <v>6984</v>
      </c>
      <c r="DYA5" t="s">
        <v>6984</v>
      </c>
      <c r="DYB5" t="s">
        <v>6984</v>
      </c>
      <c r="DYC5" t="s">
        <v>6984</v>
      </c>
      <c r="DYD5" t="s">
        <v>6984</v>
      </c>
      <c r="DYE5" t="s">
        <v>6984</v>
      </c>
      <c r="DYF5" t="s">
        <v>6984</v>
      </c>
      <c r="DYG5" t="s">
        <v>6984</v>
      </c>
      <c r="DYH5" t="s">
        <v>6984</v>
      </c>
      <c r="DYI5" t="s">
        <v>6984</v>
      </c>
      <c r="DYJ5" t="s">
        <v>6984</v>
      </c>
      <c r="DYK5" t="s">
        <v>6984</v>
      </c>
      <c r="DYL5" t="s">
        <v>6984</v>
      </c>
      <c r="DYM5" t="s">
        <v>6984</v>
      </c>
      <c r="DYN5" t="s">
        <v>6984</v>
      </c>
      <c r="DYO5" t="s">
        <v>6984</v>
      </c>
      <c r="DYP5" t="s">
        <v>6984</v>
      </c>
      <c r="DYQ5" t="s">
        <v>6984</v>
      </c>
      <c r="DYR5" t="s">
        <v>6984</v>
      </c>
      <c r="DYS5" t="s">
        <v>6984</v>
      </c>
      <c r="DYT5" t="s">
        <v>6984</v>
      </c>
      <c r="DYU5" t="s">
        <v>6984</v>
      </c>
      <c r="DYV5" t="s">
        <v>6984</v>
      </c>
      <c r="DYW5" t="s">
        <v>6984</v>
      </c>
      <c r="DYX5" t="s">
        <v>6984</v>
      </c>
      <c r="DYY5" t="s">
        <v>6984</v>
      </c>
      <c r="DYZ5" t="s">
        <v>6984</v>
      </c>
      <c r="DZA5" t="s">
        <v>6984</v>
      </c>
      <c r="DZB5" t="s">
        <v>6984</v>
      </c>
      <c r="DZC5" t="s">
        <v>6984</v>
      </c>
      <c r="DZD5" t="s">
        <v>6984</v>
      </c>
      <c r="DZE5" t="s">
        <v>6984</v>
      </c>
      <c r="DZF5" t="s">
        <v>6984</v>
      </c>
      <c r="DZG5" t="s">
        <v>6984</v>
      </c>
      <c r="DZH5" t="s">
        <v>6984</v>
      </c>
      <c r="DZI5" t="s">
        <v>6984</v>
      </c>
      <c r="DZJ5" t="s">
        <v>6984</v>
      </c>
      <c r="DZK5" t="s">
        <v>6984</v>
      </c>
      <c r="DZL5" t="s">
        <v>6984</v>
      </c>
      <c r="DZM5" t="s">
        <v>6984</v>
      </c>
      <c r="DZN5" t="s">
        <v>6984</v>
      </c>
      <c r="DZO5" t="s">
        <v>6984</v>
      </c>
      <c r="DZP5" t="s">
        <v>6984</v>
      </c>
      <c r="DZQ5" t="s">
        <v>6984</v>
      </c>
      <c r="DZR5" t="s">
        <v>6984</v>
      </c>
      <c r="DZS5" t="s">
        <v>6984</v>
      </c>
      <c r="DZT5" t="s">
        <v>6984</v>
      </c>
      <c r="DZU5" t="s">
        <v>6984</v>
      </c>
      <c r="DZV5" t="s">
        <v>6984</v>
      </c>
      <c r="DZW5" t="s">
        <v>6984</v>
      </c>
      <c r="DZX5" t="s">
        <v>6984</v>
      </c>
      <c r="DZY5" t="s">
        <v>6984</v>
      </c>
      <c r="DZZ5" t="s">
        <v>6984</v>
      </c>
      <c r="EAA5" t="s">
        <v>6984</v>
      </c>
      <c r="EAB5" t="s">
        <v>6984</v>
      </c>
      <c r="EAC5" t="s">
        <v>6984</v>
      </c>
      <c r="EAD5" t="s">
        <v>6984</v>
      </c>
      <c r="EAE5" t="s">
        <v>6984</v>
      </c>
      <c r="EAF5" t="s">
        <v>6984</v>
      </c>
      <c r="EAG5" t="s">
        <v>6984</v>
      </c>
      <c r="EAH5" t="s">
        <v>6984</v>
      </c>
      <c r="EAI5" t="s">
        <v>6984</v>
      </c>
      <c r="EAJ5" t="s">
        <v>6984</v>
      </c>
      <c r="EAK5" t="s">
        <v>6984</v>
      </c>
      <c r="EAL5" t="s">
        <v>6984</v>
      </c>
      <c r="EAM5" t="s">
        <v>6984</v>
      </c>
      <c r="EAN5" t="s">
        <v>6984</v>
      </c>
      <c r="EAO5" t="s">
        <v>6984</v>
      </c>
      <c r="EAP5" t="s">
        <v>6984</v>
      </c>
      <c r="EAQ5" t="s">
        <v>6984</v>
      </c>
      <c r="EAR5" t="s">
        <v>6984</v>
      </c>
      <c r="EAS5" t="s">
        <v>6984</v>
      </c>
      <c r="EAT5" t="s">
        <v>6984</v>
      </c>
      <c r="EAU5" t="s">
        <v>6984</v>
      </c>
      <c r="EAV5" t="s">
        <v>6984</v>
      </c>
      <c r="EAW5" t="s">
        <v>6984</v>
      </c>
      <c r="EAX5" t="s">
        <v>6984</v>
      </c>
      <c r="EAY5" t="s">
        <v>6984</v>
      </c>
      <c r="EAZ5" t="s">
        <v>6984</v>
      </c>
      <c r="EBA5" t="s">
        <v>6984</v>
      </c>
      <c r="EBB5" t="s">
        <v>6984</v>
      </c>
      <c r="EBC5" t="s">
        <v>6984</v>
      </c>
      <c r="EBD5" t="s">
        <v>6984</v>
      </c>
      <c r="EBE5" t="s">
        <v>6984</v>
      </c>
      <c r="EBF5" t="s">
        <v>6984</v>
      </c>
      <c r="EBG5" t="s">
        <v>6984</v>
      </c>
      <c r="EBH5" t="s">
        <v>6984</v>
      </c>
      <c r="EBI5" t="s">
        <v>6984</v>
      </c>
      <c r="EBJ5" t="s">
        <v>6984</v>
      </c>
      <c r="EBK5" t="s">
        <v>6984</v>
      </c>
      <c r="EBL5" t="s">
        <v>6984</v>
      </c>
      <c r="EBM5" t="s">
        <v>6984</v>
      </c>
      <c r="EBN5" t="s">
        <v>6984</v>
      </c>
      <c r="EBO5" t="s">
        <v>6984</v>
      </c>
      <c r="EBP5" t="s">
        <v>6984</v>
      </c>
      <c r="EBQ5" t="s">
        <v>6984</v>
      </c>
      <c r="EBR5" t="s">
        <v>6984</v>
      </c>
      <c r="EBS5" t="s">
        <v>6984</v>
      </c>
      <c r="EBT5" t="s">
        <v>6984</v>
      </c>
      <c r="EBU5" t="s">
        <v>6984</v>
      </c>
      <c r="EBV5" t="s">
        <v>6984</v>
      </c>
      <c r="EBW5" t="s">
        <v>6984</v>
      </c>
      <c r="EBX5" t="s">
        <v>6984</v>
      </c>
      <c r="EBY5" t="s">
        <v>6984</v>
      </c>
      <c r="EBZ5" t="s">
        <v>6984</v>
      </c>
      <c r="ECA5" t="s">
        <v>6984</v>
      </c>
      <c r="ECB5" t="s">
        <v>6984</v>
      </c>
      <c r="ECC5" t="s">
        <v>6984</v>
      </c>
      <c r="ECD5" t="s">
        <v>6984</v>
      </c>
      <c r="ECE5" t="s">
        <v>6984</v>
      </c>
      <c r="ECF5" t="s">
        <v>6984</v>
      </c>
      <c r="ECG5" t="s">
        <v>6984</v>
      </c>
      <c r="ECH5" t="s">
        <v>6984</v>
      </c>
      <c r="ECI5" t="s">
        <v>6984</v>
      </c>
      <c r="ECJ5" t="s">
        <v>6984</v>
      </c>
      <c r="ECK5" t="s">
        <v>6984</v>
      </c>
      <c r="ECL5" t="s">
        <v>6984</v>
      </c>
      <c r="ECM5" t="s">
        <v>6984</v>
      </c>
      <c r="ECN5" t="s">
        <v>6984</v>
      </c>
      <c r="ECO5" t="s">
        <v>6984</v>
      </c>
      <c r="ECP5" t="s">
        <v>6984</v>
      </c>
      <c r="ECQ5" t="s">
        <v>6984</v>
      </c>
      <c r="ECR5" t="s">
        <v>6984</v>
      </c>
      <c r="ECS5" t="s">
        <v>6984</v>
      </c>
      <c r="ECT5" t="s">
        <v>6984</v>
      </c>
      <c r="ECU5" t="s">
        <v>6984</v>
      </c>
      <c r="ECV5" t="s">
        <v>6984</v>
      </c>
      <c r="ECW5" t="s">
        <v>6984</v>
      </c>
      <c r="ECX5" t="s">
        <v>6984</v>
      </c>
      <c r="ECY5" t="s">
        <v>6984</v>
      </c>
      <c r="ECZ5" t="s">
        <v>6984</v>
      </c>
      <c r="EDA5" t="s">
        <v>6984</v>
      </c>
      <c r="EDB5" t="s">
        <v>6984</v>
      </c>
      <c r="EDC5" t="s">
        <v>6984</v>
      </c>
      <c r="EDD5" t="s">
        <v>6984</v>
      </c>
      <c r="EDE5" t="s">
        <v>6984</v>
      </c>
      <c r="EDF5" t="s">
        <v>6984</v>
      </c>
      <c r="EDG5" t="s">
        <v>6984</v>
      </c>
      <c r="EDH5" t="s">
        <v>6984</v>
      </c>
      <c r="EDI5" t="s">
        <v>6984</v>
      </c>
      <c r="EDJ5" t="s">
        <v>6984</v>
      </c>
      <c r="EDK5" t="s">
        <v>6984</v>
      </c>
      <c r="EDL5" t="s">
        <v>6984</v>
      </c>
      <c r="EDM5" t="s">
        <v>6984</v>
      </c>
      <c r="EDN5" t="s">
        <v>6984</v>
      </c>
      <c r="EDO5" t="s">
        <v>6984</v>
      </c>
      <c r="EDP5" t="s">
        <v>6984</v>
      </c>
      <c r="EDQ5" t="s">
        <v>6984</v>
      </c>
      <c r="EDR5" t="s">
        <v>6984</v>
      </c>
      <c r="EDS5" t="s">
        <v>6984</v>
      </c>
      <c r="EDT5" t="s">
        <v>6984</v>
      </c>
      <c r="EDU5" t="s">
        <v>6984</v>
      </c>
      <c r="EDV5" t="s">
        <v>6984</v>
      </c>
      <c r="EDW5" t="s">
        <v>6984</v>
      </c>
      <c r="EDX5" t="s">
        <v>6984</v>
      </c>
      <c r="EDY5" t="s">
        <v>6984</v>
      </c>
      <c r="EDZ5" t="s">
        <v>6984</v>
      </c>
      <c r="EEA5" t="s">
        <v>6984</v>
      </c>
      <c r="EEB5" t="s">
        <v>6984</v>
      </c>
      <c r="EEC5" t="s">
        <v>6984</v>
      </c>
      <c r="EED5" t="s">
        <v>6984</v>
      </c>
      <c r="EEE5" t="s">
        <v>6984</v>
      </c>
      <c r="EEF5" t="s">
        <v>6984</v>
      </c>
      <c r="EEG5" t="s">
        <v>6984</v>
      </c>
      <c r="EEH5" t="s">
        <v>6984</v>
      </c>
      <c r="EEI5" t="s">
        <v>6984</v>
      </c>
      <c r="EEJ5" t="s">
        <v>6984</v>
      </c>
      <c r="EEK5" t="s">
        <v>6984</v>
      </c>
      <c r="EEL5" t="s">
        <v>6984</v>
      </c>
      <c r="EEM5" t="s">
        <v>6984</v>
      </c>
      <c r="EEN5" t="s">
        <v>6984</v>
      </c>
      <c r="EEO5" t="s">
        <v>6984</v>
      </c>
      <c r="EEP5" t="s">
        <v>6984</v>
      </c>
      <c r="EEQ5" t="s">
        <v>6984</v>
      </c>
      <c r="EER5" t="s">
        <v>6984</v>
      </c>
      <c r="EES5" t="s">
        <v>6984</v>
      </c>
      <c r="EET5" t="s">
        <v>6984</v>
      </c>
      <c r="EEU5" t="s">
        <v>6984</v>
      </c>
      <c r="EEV5" t="s">
        <v>6984</v>
      </c>
      <c r="EEW5" t="s">
        <v>6984</v>
      </c>
      <c r="EEX5" t="s">
        <v>6984</v>
      </c>
      <c r="EEY5" t="s">
        <v>6984</v>
      </c>
      <c r="EEZ5" t="s">
        <v>6984</v>
      </c>
      <c r="EFA5" t="s">
        <v>6984</v>
      </c>
      <c r="EFB5" t="s">
        <v>6984</v>
      </c>
      <c r="EFC5" t="s">
        <v>6984</v>
      </c>
      <c r="EFD5" t="s">
        <v>6984</v>
      </c>
      <c r="EFE5" t="s">
        <v>6984</v>
      </c>
      <c r="EFF5" t="s">
        <v>6984</v>
      </c>
      <c r="EFG5" t="s">
        <v>6984</v>
      </c>
      <c r="EFH5" t="s">
        <v>6984</v>
      </c>
      <c r="EFI5" t="s">
        <v>6984</v>
      </c>
      <c r="EFJ5" t="s">
        <v>6984</v>
      </c>
      <c r="EFK5" t="s">
        <v>6984</v>
      </c>
      <c r="EFL5" t="s">
        <v>6984</v>
      </c>
      <c r="EFM5" t="s">
        <v>6984</v>
      </c>
      <c r="EFN5" t="s">
        <v>6984</v>
      </c>
      <c r="EFO5" t="s">
        <v>6984</v>
      </c>
      <c r="EFP5" t="s">
        <v>6984</v>
      </c>
      <c r="EFQ5" t="s">
        <v>6984</v>
      </c>
      <c r="EFR5" t="s">
        <v>6984</v>
      </c>
      <c r="EFS5" t="s">
        <v>6984</v>
      </c>
      <c r="EFT5" t="s">
        <v>6984</v>
      </c>
      <c r="EFU5" t="s">
        <v>6984</v>
      </c>
      <c r="EFV5" t="s">
        <v>6984</v>
      </c>
      <c r="EFW5" t="s">
        <v>6984</v>
      </c>
      <c r="EFX5" t="s">
        <v>6984</v>
      </c>
      <c r="EFY5" t="s">
        <v>6984</v>
      </c>
      <c r="EFZ5" t="s">
        <v>6984</v>
      </c>
      <c r="EGA5" t="s">
        <v>6984</v>
      </c>
      <c r="EGB5" t="s">
        <v>6984</v>
      </c>
      <c r="EGC5" t="s">
        <v>6984</v>
      </c>
      <c r="EGD5" t="s">
        <v>6984</v>
      </c>
      <c r="EGE5" t="s">
        <v>6984</v>
      </c>
      <c r="EGF5" t="s">
        <v>6984</v>
      </c>
      <c r="EGG5" t="s">
        <v>6984</v>
      </c>
      <c r="EGH5" t="s">
        <v>6984</v>
      </c>
      <c r="EGI5" t="s">
        <v>6984</v>
      </c>
      <c r="EGJ5" t="s">
        <v>6984</v>
      </c>
      <c r="EGK5" t="s">
        <v>6984</v>
      </c>
      <c r="EGL5" t="s">
        <v>6984</v>
      </c>
      <c r="EGM5" t="s">
        <v>6984</v>
      </c>
      <c r="EGN5" t="s">
        <v>6984</v>
      </c>
      <c r="EGO5" t="s">
        <v>6984</v>
      </c>
      <c r="EGP5" t="s">
        <v>6984</v>
      </c>
      <c r="EGQ5" t="s">
        <v>6984</v>
      </c>
      <c r="EGR5" t="s">
        <v>6984</v>
      </c>
      <c r="EGS5" t="s">
        <v>6984</v>
      </c>
      <c r="EGT5" t="s">
        <v>6984</v>
      </c>
      <c r="EGU5" t="s">
        <v>6984</v>
      </c>
      <c r="EGV5" t="s">
        <v>6984</v>
      </c>
      <c r="EGW5" t="s">
        <v>6984</v>
      </c>
      <c r="EGX5" t="s">
        <v>6984</v>
      </c>
      <c r="EGY5" t="s">
        <v>6984</v>
      </c>
      <c r="EGZ5" t="s">
        <v>6984</v>
      </c>
      <c r="EHA5" t="s">
        <v>6984</v>
      </c>
      <c r="EHB5" t="s">
        <v>6984</v>
      </c>
      <c r="EHC5" t="s">
        <v>6984</v>
      </c>
      <c r="EHD5" t="s">
        <v>6984</v>
      </c>
      <c r="EHE5" t="s">
        <v>6984</v>
      </c>
      <c r="EHF5" t="s">
        <v>6984</v>
      </c>
      <c r="EHG5" t="s">
        <v>6984</v>
      </c>
      <c r="EHH5" t="s">
        <v>6984</v>
      </c>
      <c r="EHI5" t="s">
        <v>6984</v>
      </c>
      <c r="EHJ5" t="s">
        <v>6984</v>
      </c>
      <c r="EHK5" t="s">
        <v>6984</v>
      </c>
      <c r="EHL5" t="s">
        <v>6984</v>
      </c>
      <c r="EHM5" t="s">
        <v>6984</v>
      </c>
      <c r="EHN5" t="s">
        <v>6984</v>
      </c>
      <c r="EHO5" t="s">
        <v>6984</v>
      </c>
      <c r="EHP5" t="s">
        <v>6984</v>
      </c>
      <c r="EHQ5" t="s">
        <v>6984</v>
      </c>
      <c r="EHR5" t="s">
        <v>6984</v>
      </c>
      <c r="EHS5" t="s">
        <v>6984</v>
      </c>
      <c r="EHT5" t="s">
        <v>6984</v>
      </c>
      <c r="EHU5" t="s">
        <v>6984</v>
      </c>
      <c r="EHV5" t="s">
        <v>6984</v>
      </c>
      <c r="EHW5" t="s">
        <v>6984</v>
      </c>
      <c r="EHX5" t="s">
        <v>6984</v>
      </c>
      <c r="EHY5" t="s">
        <v>6984</v>
      </c>
      <c r="EHZ5" t="s">
        <v>6984</v>
      </c>
      <c r="EIA5" t="s">
        <v>6984</v>
      </c>
      <c r="EIB5" t="s">
        <v>6984</v>
      </c>
      <c r="EIC5" t="s">
        <v>6984</v>
      </c>
      <c r="EID5" t="s">
        <v>6984</v>
      </c>
      <c r="EIE5" t="s">
        <v>6984</v>
      </c>
      <c r="EIF5" t="s">
        <v>6984</v>
      </c>
      <c r="EIG5" t="s">
        <v>6984</v>
      </c>
      <c r="EIH5" t="s">
        <v>6984</v>
      </c>
      <c r="EII5" t="s">
        <v>6984</v>
      </c>
      <c r="EIJ5" t="s">
        <v>6984</v>
      </c>
      <c r="EIK5" t="s">
        <v>6984</v>
      </c>
      <c r="EIL5" t="s">
        <v>6984</v>
      </c>
      <c r="EIM5" t="s">
        <v>6984</v>
      </c>
      <c r="EIN5" t="s">
        <v>6984</v>
      </c>
      <c r="EIO5" t="s">
        <v>6984</v>
      </c>
      <c r="EIP5" t="s">
        <v>6984</v>
      </c>
      <c r="EIQ5" t="s">
        <v>6984</v>
      </c>
      <c r="EIR5" t="s">
        <v>6984</v>
      </c>
      <c r="EIS5" t="s">
        <v>6984</v>
      </c>
      <c r="EIT5" t="s">
        <v>6984</v>
      </c>
      <c r="EIU5" t="s">
        <v>6984</v>
      </c>
      <c r="EIV5" t="s">
        <v>6984</v>
      </c>
      <c r="EIW5" t="s">
        <v>6984</v>
      </c>
      <c r="EIX5" t="s">
        <v>6984</v>
      </c>
      <c r="EIY5" t="s">
        <v>6984</v>
      </c>
      <c r="EIZ5" t="s">
        <v>6984</v>
      </c>
      <c r="EJA5" t="s">
        <v>6984</v>
      </c>
      <c r="EJB5" t="s">
        <v>6984</v>
      </c>
      <c r="EJC5" t="s">
        <v>6984</v>
      </c>
      <c r="EJD5" t="s">
        <v>6984</v>
      </c>
      <c r="EJE5" t="s">
        <v>6984</v>
      </c>
      <c r="EJF5" t="s">
        <v>6984</v>
      </c>
      <c r="EJG5" t="s">
        <v>6984</v>
      </c>
      <c r="EJH5" t="s">
        <v>6984</v>
      </c>
      <c r="EJI5" t="s">
        <v>6984</v>
      </c>
      <c r="EJJ5" t="s">
        <v>6984</v>
      </c>
      <c r="EJK5" t="s">
        <v>6984</v>
      </c>
      <c r="EJL5" t="s">
        <v>6984</v>
      </c>
      <c r="EJM5" t="s">
        <v>6984</v>
      </c>
      <c r="EJN5" t="s">
        <v>6984</v>
      </c>
      <c r="EJO5" t="s">
        <v>6984</v>
      </c>
      <c r="EJP5" t="s">
        <v>6984</v>
      </c>
      <c r="EJQ5" t="s">
        <v>6984</v>
      </c>
      <c r="EJR5" t="s">
        <v>6984</v>
      </c>
      <c r="EJS5" t="s">
        <v>6984</v>
      </c>
      <c r="EJT5" t="s">
        <v>6984</v>
      </c>
      <c r="EJU5" t="s">
        <v>6984</v>
      </c>
      <c r="EJV5" t="s">
        <v>6984</v>
      </c>
      <c r="EJW5" t="s">
        <v>6984</v>
      </c>
      <c r="EJX5" t="s">
        <v>6984</v>
      </c>
      <c r="EJY5" t="s">
        <v>6984</v>
      </c>
      <c r="EJZ5" t="s">
        <v>6984</v>
      </c>
      <c r="EKA5" t="s">
        <v>6984</v>
      </c>
      <c r="EKB5" t="s">
        <v>6984</v>
      </c>
      <c r="EKC5" t="s">
        <v>6984</v>
      </c>
      <c r="EKD5" t="s">
        <v>6984</v>
      </c>
      <c r="EKE5" t="s">
        <v>6984</v>
      </c>
      <c r="EKF5" t="s">
        <v>6984</v>
      </c>
      <c r="EKG5" t="s">
        <v>6984</v>
      </c>
      <c r="EKH5" t="s">
        <v>6984</v>
      </c>
      <c r="EKI5" t="s">
        <v>6984</v>
      </c>
      <c r="EKJ5" t="s">
        <v>6984</v>
      </c>
      <c r="EKK5" t="s">
        <v>6984</v>
      </c>
      <c r="EKL5" t="s">
        <v>6984</v>
      </c>
      <c r="EKM5" t="s">
        <v>6984</v>
      </c>
      <c r="EKN5" t="s">
        <v>6984</v>
      </c>
      <c r="EKO5" t="s">
        <v>6984</v>
      </c>
      <c r="EKP5" t="s">
        <v>6984</v>
      </c>
      <c r="EKQ5" t="s">
        <v>6984</v>
      </c>
      <c r="EKR5" t="s">
        <v>6984</v>
      </c>
      <c r="EKS5" t="s">
        <v>6984</v>
      </c>
      <c r="EKT5" t="s">
        <v>6984</v>
      </c>
      <c r="EKU5" t="s">
        <v>6984</v>
      </c>
      <c r="EKV5" t="s">
        <v>6984</v>
      </c>
      <c r="EKW5" t="s">
        <v>6984</v>
      </c>
      <c r="EKX5" t="s">
        <v>6984</v>
      </c>
      <c r="EKY5" t="s">
        <v>6984</v>
      </c>
      <c r="EKZ5" t="s">
        <v>6984</v>
      </c>
      <c r="ELA5" t="s">
        <v>6984</v>
      </c>
      <c r="ELB5" t="s">
        <v>6984</v>
      </c>
      <c r="ELC5" t="s">
        <v>6984</v>
      </c>
      <c r="ELD5" t="s">
        <v>6984</v>
      </c>
      <c r="ELE5" t="s">
        <v>6984</v>
      </c>
      <c r="ELF5" t="s">
        <v>6984</v>
      </c>
      <c r="ELG5" t="s">
        <v>6984</v>
      </c>
      <c r="ELH5" t="s">
        <v>6984</v>
      </c>
      <c r="ELI5" t="s">
        <v>6984</v>
      </c>
      <c r="ELJ5" t="s">
        <v>6984</v>
      </c>
      <c r="ELK5" t="s">
        <v>6984</v>
      </c>
      <c r="ELL5" t="s">
        <v>6984</v>
      </c>
      <c r="ELM5" t="s">
        <v>6984</v>
      </c>
      <c r="ELN5" t="s">
        <v>6984</v>
      </c>
      <c r="ELO5" t="s">
        <v>6984</v>
      </c>
      <c r="ELP5" t="s">
        <v>6984</v>
      </c>
      <c r="ELQ5" t="s">
        <v>6984</v>
      </c>
      <c r="ELR5" t="s">
        <v>6984</v>
      </c>
      <c r="ELS5" t="s">
        <v>6984</v>
      </c>
      <c r="ELT5" t="s">
        <v>6984</v>
      </c>
      <c r="ELU5" t="s">
        <v>6984</v>
      </c>
      <c r="ELV5" t="s">
        <v>6984</v>
      </c>
      <c r="ELW5" t="s">
        <v>6984</v>
      </c>
      <c r="ELX5" t="s">
        <v>6984</v>
      </c>
      <c r="ELY5" t="s">
        <v>6984</v>
      </c>
      <c r="ELZ5" t="s">
        <v>6984</v>
      </c>
      <c r="EMA5" t="s">
        <v>6984</v>
      </c>
      <c r="EMB5" t="s">
        <v>6984</v>
      </c>
      <c r="EMC5" t="s">
        <v>6984</v>
      </c>
      <c r="EMD5" t="s">
        <v>6984</v>
      </c>
      <c r="EME5" t="s">
        <v>6984</v>
      </c>
      <c r="EMF5" t="s">
        <v>6984</v>
      </c>
      <c r="EMG5" t="s">
        <v>6984</v>
      </c>
      <c r="EMH5" t="s">
        <v>6984</v>
      </c>
      <c r="EMI5" t="s">
        <v>6984</v>
      </c>
      <c r="EMJ5" t="s">
        <v>6984</v>
      </c>
      <c r="EMK5" t="s">
        <v>6984</v>
      </c>
      <c r="EML5" t="s">
        <v>6984</v>
      </c>
      <c r="EMM5" t="s">
        <v>6984</v>
      </c>
      <c r="EMN5" t="s">
        <v>6984</v>
      </c>
      <c r="EMO5" t="s">
        <v>6984</v>
      </c>
      <c r="EMP5" t="s">
        <v>6984</v>
      </c>
      <c r="EMQ5" t="s">
        <v>6984</v>
      </c>
      <c r="EMR5" t="s">
        <v>6984</v>
      </c>
      <c r="EMS5" t="s">
        <v>6984</v>
      </c>
      <c r="EMT5" t="s">
        <v>6984</v>
      </c>
      <c r="EMU5" t="s">
        <v>6984</v>
      </c>
      <c r="EMV5" t="s">
        <v>6984</v>
      </c>
      <c r="EMW5" t="s">
        <v>6984</v>
      </c>
      <c r="EMX5" t="s">
        <v>6984</v>
      </c>
      <c r="EMY5" t="s">
        <v>6984</v>
      </c>
      <c r="EMZ5" t="s">
        <v>6984</v>
      </c>
      <c r="ENA5" t="s">
        <v>6984</v>
      </c>
      <c r="ENB5" t="s">
        <v>6984</v>
      </c>
      <c r="ENC5" t="s">
        <v>6984</v>
      </c>
      <c r="END5" t="s">
        <v>6984</v>
      </c>
      <c r="ENE5" t="s">
        <v>6984</v>
      </c>
      <c r="ENF5" t="s">
        <v>6984</v>
      </c>
      <c r="ENG5" t="s">
        <v>6984</v>
      </c>
      <c r="ENH5" t="s">
        <v>6984</v>
      </c>
      <c r="ENI5" t="s">
        <v>6984</v>
      </c>
      <c r="ENJ5" t="s">
        <v>6984</v>
      </c>
      <c r="ENK5" t="s">
        <v>6984</v>
      </c>
      <c r="ENL5" t="s">
        <v>6984</v>
      </c>
      <c r="ENM5" t="s">
        <v>6984</v>
      </c>
      <c r="ENN5" t="s">
        <v>6984</v>
      </c>
      <c r="ENO5" t="s">
        <v>6984</v>
      </c>
      <c r="ENP5" t="s">
        <v>6984</v>
      </c>
      <c r="ENQ5" t="s">
        <v>6984</v>
      </c>
      <c r="ENR5" t="s">
        <v>6984</v>
      </c>
      <c r="ENS5" t="s">
        <v>6984</v>
      </c>
      <c r="ENT5" t="s">
        <v>6984</v>
      </c>
      <c r="ENU5" t="s">
        <v>6984</v>
      </c>
      <c r="ENV5" t="s">
        <v>6984</v>
      </c>
      <c r="ENW5" t="s">
        <v>6984</v>
      </c>
      <c r="ENX5" t="s">
        <v>6984</v>
      </c>
      <c r="ENY5" t="s">
        <v>6984</v>
      </c>
      <c r="ENZ5" t="s">
        <v>6984</v>
      </c>
      <c r="EOA5" t="s">
        <v>6984</v>
      </c>
      <c r="EOB5" t="s">
        <v>6984</v>
      </c>
      <c r="EOC5" t="s">
        <v>6984</v>
      </c>
      <c r="EOD5" t="s">
        <v>6984</v>
      </c>
      <c r="EOE5" t="s">
        <v>6984</v>
      </c>
      <c r="EOF5" t="s">
        <v>6984</v>
      </c>
      <c r="EOG5" t="s">
        <v>6984</v>
      </c>
      <c r="EOH5" t="s">
        <v>6984</v>
      </c>
      <c r="EOI5" t="s">
        <v>6984</v>
      </c>
      <c r="EOJ5" t="s">
        <v>6984</v>
      </c>
      <c r="EOK5" t="s">
        <v>6984</v>
      </c>
      <c r="EOL5" t="s">
        <v>6984</v>
      </c>
      <c r="EOM5" t="s">
        <v>6984</v>
      </c>
      <c r="EON5" t="s">
        <v>6984</v>
      </c>
      <c r="EOO5" t="s">
        <v>6984</v>
      </c>
      <c r="EOP5" t="s">
        <v>6984</v>
      </c>
      <c r="EOQ5" t="s">
        <v>6984</v>
      </c>
      <c r="EOR5" t="s">
        <v>6984</v>
      </c>
      <c r="EOS5" t="s">
        <v>6984</v>
      </c>
      <c r="EOT5" t="s">
        <v>6984</v>
      </c>
      <c r="EOU5" t="s">
        <v>6984</v>
      </c>
      <c r="EOV5" t="s">
        <v>6984</v>
      </c>
      <c r="EOW5" t="s">
        <v>6984</v>
      </c>
      <c r="EOX5" t="s">
        <v>6984</v>
      </c>
      <c r="EOY5" t="s">
        <v>6984</v>
      </c>
      <c r="EOZ5" t="s">
        <v>6984</v>
      </c>
      <c r="EPA5" t="s">
        <v>6984</v>
      </c>
      <c r="EPB5" t="s">
        <v>6984</v>
      </c>
      <c r="EPC5" t="s">
        <v>6984</v>
      </c>
      <c r="EPD5" t="s">
        <v>6984</v>
      </c>
      <c r="EPE5" t="s">
        <v>6984</v>
      </c>
      <c r="EPF5" t="s">
        <v>6984</v>
      </c>
      <c r="EPG5" t="s">
        <v>6984</v>
      </c>
      <c r="EPH5" t="s">
        <v>6984</v>
      </c>
      <c r="EPI5" t="s">
        <v>6984</v>
      </c>
      <c r="EPJ5" t="s">
        <v>6984</v>
      </c>
      <c r="EPK5" t="s">
        <v>6984</v>
      </c>
      <c r="EPL5" t="s">
        <v>6984</v>
      </c>
      <c r="EPM5" t="s">
        <v>6984</v>
      </c>
      <c r="EPN5" t="s">
        <v>6984</v>
      </c>
      <c r="EPO5" t="s">
        <v>6984</v>
      </c>
      <c r="EPP5" t="s">
        <v>6984</v>
      </c>
      <c r="EPQ5" t="s">
        <v>6984</v>
      </c>
      <c r="EPR5" t="s">
        <v>6984</v>
      </c>
      <c r="EPS5" t="s">
        <v>6984</v>
      </c>
      <c r="EPT5" t="s">
        <v>6984</v>
      </c>
      <c r="EPU5" t="s">
        <v>6984</v>
      </c>
      <c r="EPV5" t="s">
        <v>6984</v>
      </c>
      <c r="EPW5" t="s">
        <v>6984</v>
      </c>
      <c r="EPX5" t="s">
        <v>6984</v>
      </c>
      <c r="EPY5" t="s">
        <v>6984</v>
      </c>
      <c r="EPZ5" t="s">
        <v>6984</v>
      </c>
      <c r="EQA5" t="s">
        <v>6984</v>
      </c>
      <c r="EQB5" t="s">
        <v>6984</v>
      </c>
      <c r="EQC5" t="s">
        <v>6984</v>
      </c>
      <c r="EQD5" t="s">
        <v>6984</v>
      </c>
      <c r="EQE5" t="s">
        <v>6984</v>
      </c>
      <c r="EQF5" t="s">
        <v>6984</v>
      </c>
      <c r="EQG5" t="s">
        <v>6984</v>
      </c>
      <c r="EQH5" t="s">
        <v>6984</v>
      </c>
      <c r="EQI5" t="s">
        <v>6984</v>
      </c>
      <c r="EQJ5" t="s">
        <v>6984</v>
      </c>
      <c r="EQK5" t="s">
        <v>6984</v>
      </c>
      <c r="EQL5" t="s">
        <v>6984</v>
      </c>
      <c r="EQM5" t="s">
        <v>6984</v>
      </c>
      <c r="EQN5" t="s">
        <v>6984</v>
      </c>
      <c r="EQO5" t="s">
        <v>6984</v>
      </c>
      <c r="EQP5" t="s">
        <v>6984</v>
      </c>
      <c r="EQQ5" t="s">
        <v>6984</v>
      </c>
      <c r="EQR5" t="s">
        <v>6984</v>
      </c>
      <c r="EQS5" t="s">
        <v>6984</v>
      </c>
      <c r="EQT5" t="s">
        <v>6984</v>
      </c>
      <c r="EQU5" t="s">
        <v>6984</v>
      </c>
      <c r="EQV5" t="s">
        <v>6984</v>
      </c>
      <c r="EQW5" t="s">
        <v>6984</v>
      </c>
      <c r="EQX5" t="s">
        <v>6984</v>
      </c>
      <c r="EQY5" t="s">
        <v>6984</v>
      </c>
      <c r="EQZ5" t="s">
        <v>6984</v>
      </c>
      <c r="ERA5" t="s">
        <v>6984</v>
      </c>
      <c r="ERB5" t="s">
        <v>6984</v>
      </c>
      <c r="ERC5" t="s">
        <v>6984</v>
      </c>
      <c r="ERD5" t="s">
        <v>6984</v>
      </c>
      <c r="ERE5" t="s">
        <v>6984</v>
      </c>
      <c r="ERF5" t="s">
        <v>6984</v>
      </c>
      <c r="ERG5" t="s">
        <v>6984</v>
      </c>
      <c r="ERH5" t="s">
        <v>6984</v>
      </c>
      <c r="ERI5" t="s">
        <v>6984</v>
      </c>
      <c r="ERJ5" t="s">
        <v>6984</v>
      </c>
      <c r="ERK5" t="s">
        <v>6984</v>
      </c>
      <c r="ERL5" t="s">
        <v>6984</v>
      </c>
      <c r="ERM5" t="s">
        <v>6984</v>
      </c>
      <c r="ERN5" t="s">
        <v>6984</v>
      </c>
      <c r="ERO5" t="s">
        <v>6984</v>
      </c>
      <c r="ERP5" t="s">
        <v>6984</v>
      </c>
      <c r="ERQ5" t="s">
        <v>6984</v>
      </c>
      <c r="ERR5" t="s">
        <v>6984</v>
      </c>
      <c r="ERS5" t="s">
        <v>6984</v>
      </c>
      <c r="ERT5" t="s">
        <v>6984</v>
      </c>
      <c r="ERU5" t="s">
        <v>6984</v>
      </c>
      <c r="ERV5" t="s">
        <v>6984</v>
      </c>
      <c r="ERW5" t="s">
        <v>6984</v>
      </c>
      <c r="ERX5" t="s">
        <v>6984</v>
      </c>
      <c r="ERY5" t="s">
        <v>6984</v>
      </c>
      <c r="ERZ5" t="s">
        <v>6984</v>
      </c>
      <c r="ESA5" t="s">
        <v>6984</v>
      </c>
      <c r="ESB5" t="s">
        <v>6984</v>
      </c>
      <c r="ESC5" t="s">
        <v>6984</v>
      </c>
      <c r="ESD5" t="s">
        <v>6984</v>
      </c>
      <c r="ESE5" t="s">
        <v>6984</v>
      </c>
      <c r="ESF5" t="s">
        <v>6984</v>
      </c>
      <c r="ESG5" t="s">
        <v>6984</v>
      </c>
      <c r="ESH5" t="s">
        <v>6984</v>
      </c>
      <c r="ESI5" t="s">
        <v>6984</v>
      </c>
      <c r="ESJ5" t="s">
        <v>6984</v>
      </c>
      <c r="ESK5" t="s">
        <v>6984</v>
      </c>
      <c r="ESL5" t="s">
        <v>6984</v>
      </c>
      <c r="ESM5" t="s">
        <v>6984</v>
      </c>
      <c r="ESN5" t="s">
        <v>6984</v>
      </c>
      <c r="ESO5" t="s">
        <v>6984</v>
      </c>
      <c r="ESP5" t="s">
        <v>6984</v>
      </c>
      <c r="ESQ5" t="s">
        <v>6984</v>
      </c>
      <c r="ESR5" t="s">
        <v>6984</v>
      </c>
      <c r="ESS5" t="s">
        <v>6984</v>
      </c>
      <c r="EST5" t="s">
        <v>6984</v>
      </c>
      <c r="ESU5" t="s">
        <v>6984</v>
      </c>
      <c r="ESV5" t="s">
        <v>6984</v>
      </c>
      <c r="ESW5" t="s">
        <v>6984</v>
      </c>
      <c r="ESX5" t="s">
        <v>6984</v>
      </c>
      <c r="ESY5" t="s">
        <v>6984</v>
      </c>
      <c r="ESZ5" t="s">
        <v>6984</v>
      </c>
      <c r="ETA5" t="s">
        <v>6984</v>
      </c>
      <c r="ETB5" t="s">
        <v>6984</v>
      </c>
      <c r="ETC5" t="s">
        <v>6984</v>
      </c>
      <c r="ETD5" t="s">
        <v>6984</v>
      </c>
      <c r="ETE5" t="s">
        <v>6984</v>
      </c>
      <c r="ETF5" t="s">
        <v>6984</v>
      </c>
      <c r="ETG5" t="s">
        <v>6984</v>
      </c>
      <c r="ETH5" t="s">
        <v>6984</v>
      </c>
      <c r="ETI5" t="s">
        <v>6984</v>
      </c>
      <c r="ETJ5" t="s">
        <v>6984</v>
      </c>
      <c r="ETK5" t="s">
        <v>6984</v>
      </c>
      <c r="ETL5" t="s">
        <v>6984</v>
      </c>
      <c r="ETM5" t="s">
        <v>6984</v>
      </c>
      <c r="ETN5" t="s">
        <v>6984</v>
      </c>
      <c r="ETO5" t="s">
        <v>6984</v>
      </c>
      <c r="ETP5" t="s">
        <v>6984</v>
      </c>
      <c r="ETQ5" t="s">
        <v>6984</v>
      </c>
      <c r="ETR5" t="s">
        <v>6984</v>
      </c>
      <c r="ETS5" t="s">
        <v>6984</v>
      </c>
      <c r="ETT5" t="s">
        <v>6984</v>
      </c>
      <c r="ETU5" t="s">
        <v>6984</v>
      </c>
      <c r="ETV5" t="s">
        <v>6984</v>
      </c>
      <c r="ETW5" t="s">
        <v>6984</v>
      </c>
      <c r="ETX5" t="s">
        <v>6984</v>
      </c>
      <c r="ETY5" t="s">
        <v>6984</v>
      </c>
      <c r="ETZ5" t="s">
        <v>6984</v>
      </c>
      <c r="EUA5" t="s">
        <v>6984</v>
      </c>
      <c r="EUB5" t="s">
        <v>6984</v>
      </c>
      <c r="EUC5" t="s">
        <v>6984</v>
      </c>
      <c r="EUD5" t="s">
        <v>6984</v>
      </c>
      <c r="EUE5" t="s">
        <v>6984</v>
      </c>
      <c r="EUF5" t="s">
        <v>6984</v>
      </c>
      <c r="EUG5" t="s">
        <v>6984</v>
      </c>
      <c r="EUH5" t="s">
        <v>6984</v>
      </c>
      <c r="EUI5" t="s">
        <v>6984</v>
      </c>
      <c r="EUJ5" t="s">
        <v>6984</v>
      </c>
      <c r="EUK5" t="s">
        <v>6984</v>
      </c>
      <c r="EUL5" t="s">
        <v>6984</v>
      </c>
      <c r="EUM5" t="s">
        <v>6984</v>
      </c>
      <c r="EUN5" t="s">
        <v>6984</v>
      </c>
      <c r="EUO5" t="s">
        <v>6984</v>
      </c>
      <c r="EUP5" t="s">
        <v>6984</v>
      </c>
      <c r="EUQ5" t="s">
        <v>6984</v>
      </c>
      <c r="EUR5" t="s">
        <v>6984</v>
      </c>
      <c r="EUS5" t="s">
        <v>6984</v>
      </c>
      <c r="EUT5" t="s">
        <v>6984</v>
      </c>
      <c r="EUU5" t="s">
        <v>6984</v>
      </c>
      <c r="EUV5" t="s">
        <v>6984</v>
      </c>
      <c r="EUW5" t="s">
        <v>6984</v>
      </c>
      <c r="EUX5" t="s">
        <v>6984</v>
      </c>
      <c r="EUY5" t="s">
        <v>6984</v>
      </c>
      <c r="EUZ5" t="s">
        <v>6984</v>
      </c>
      <c r="EVA5" t="s">
        <v>6984</v>
      </c>
      <c r="EVB5" t="s">
        <v>6984</v>
      </c>
      <c r="EVC5" t="s">
        <v>6984</v>
      </c>
      <c r="EVD5" t="s">
        <v>6984</v>
      </c>
      <c r="EVE5" t="s">
        <v>6984</v>
      </c>
      <c r="EVF5" t="s">
        <v>6984</v>
      </c>
      <c r="EVG5" t="s">
        <v>6984</v>
      </c>
      <c r="EVH5" t="s">
        <v>6984</v>
      </c>
      <c r="EVI5" t="s">
        <v>6984</v>
      </c>
      <c r="EVJ5" t="s">
        <v>6984</v>
      </c>
      <c r="EVK5" t="s">
        <v>6984</v>
      </c>
      <c r="EVL5" t="s">
        <v>6984</v>
      </c>
      <c r="EVM5" t="s">
        <v>6984</v>
      </c>
      <c r="EVN5" t="s">
        <v>6984</v>
      </c>
      <c r="EVO5" t="s">
        <v>6984</v>
      </c>
      <c r="EVP5" t="s">
        <v>6984</v>
      </c>
      <c r="EVQ5" t="s">
        <v>6984</v>
      </c>
      <c r="EVR5" t="s">
        <v>6984</v>
      </c>
      <c r="EVS5" t="s">
        <v>6984</v>
      </c>
      <c r="EVT5" t="s">
        <v>6984</v>
      </c>
      <c r="EVU5" t="s">
        <v>6984</v>
      </c>
      <c r="EVV5" t="s">
        <v>6984</v>
      </c>
      <c r="EVW5" t="s">
        <v>6984</v>
      </c>
      <c r="EVX5" t="s">
        <v>6984</v>
      </c>
      <c r="EVY5" t="s">
        <v>6984</v>
      </c>
      <c r="EVZ5" t="s">
        <v>6984</v>
      </c>
      <c r="EWA5" t="s">
        <v>6984</v>
      </c>
      <c r="EWB5" t="s">
        <v>6984</v>
      </c>
      <c r="EWC5" t="s">
        <v>6984</v>
      </c>
      <c r="EWD5" t="s">
        <v>6984</v>
      </c>
      <c r="EWE5" t="s">
        <v>6984</v>
      </c>
      <c r="EWF5" t="s">
        <v>6984</v>
      </c>
      <c r="EWG5" t="s">
        <v>6984</v>
      </c>
      <c r="EWH5" t="s">
        <v>6984</v>
      </c>
      <c r="EWI5" t="s">
        <v>6984</v>
      </c>
      <c r="EWJ5" t="s">
        <v>6984</v>
      </c>
      <c r="EWK5" t="s">
        <v>6984</v>
      </c>
      <c r="EWL5" t="s">
        <v>6984</v>
      </c>
      <c r="EWM5" t="s">
        <v>6984</v>
      </c>
      <c r="EWN5" t="s">
        <v>6984</v>
      </c>
      <c r="EWO5" t="s">
        <v>6984</v>
      </c>
      <c r="EWP5" t="s">
        <v>6984</v>
      </c>
      <c r="EWQ5" t="s">
        <v>6984</v>
      </c>
      <c r="EWR5" t="s">
        <v>6984</v>
      </c>
      <c r="EWS5" t="s">
        <v>6984</v>
      </c>
      <c r="EWT5" t="s">
        <v>6984</v>
      </c>
      <c r="EWU5" t="s">
        <v>6984</v>
      </c>
      <c r="EWV5" t="s">
        <v>6984</v>
      </c>
      <c r="EWW5" t="s">
        <v>6984</v>
      </c>
      <c r="EWX5" t="s">
        <v>6984</v>
      </c>
      <c r="EWY5" t="s">
        <v>6984</v>
      </c>
      <c r="EWZ5" t="s">
        <v>6984</v>
      </c>
      <c r="EXA5" t="s">
        <v>6984</v>
      </c>
      <c r="EXB5" t="s">
        <v>6984</v>
      </c>
      <c r="EXC5" t="s">
        <v>6984</v>
      </c>
      <c r="EXD5" t="s">
        <v>6984</v>
      </c>
      <c r="EXE5" t="s">
        <v>6984</v>
      </c>
      <c r="EXF5" t="s">
        <v>6984</v>
      </c>
      <c r="EXG5" t="s">
        <v>6984</v>
      </c>
      <c r="EXH5" t="s">
        <v>6984</v>
      </c>
      <c r="EXI5" t="s">
        <v>6984</v>
      </c>
      <c r="EXJ5" t="s">
        <v>6984</v>
      </c>
      <c r="EXK5" t="s">
        <v>6984</v>
      </c>
      <c r="EXL5" t="s">
        <v>6984</v>
      </c>
      <c r="EXM5" t="s">
        <v>6984</v>
      </c>
      <c r="EXN5" t="s">
        <v>6984</v>
      </c>
      <c r="EXO5" t="s">
        <v>6984</v>
      </c>
      <c r="EXP5" t="s">
        <v>6984</v>
      </c>
      <c r="EXQ5" t="s">
        <v>6984</v>
      </c>
      <c r="EXR5" t="s">
        <v>6984</v>
      </c>
      <c r="EXS5" t="s">
        <v>6984</v>
      </c>
      <c r="EXT5" t="s">
        <v>6984</v>
      </c>
      <c r="EXU5" t="s">
        <v>6984</v>
      </c>
      <c r="EXV5" t="s">
        <v>6984</v>
      </c>
      <c r="EXW5" t="s">
        <v>6984</v>
      </c>
      <c r="EXX5" t="s">
        <v>6984</v>
      </c>
      <c r="EXY5" t="s">
        <v>6984</v>
      </c>
      <c r="EXZ5" t="s">
        <v>6984</v>
      </c>
      <c r="EYA5" t="s">
        <v>6984</v>
      </c>
      <c r="EYB5" t="s">
        <v>6984</v>
      </c>
      <c r="EYC5" t="s">
        <v>6984</v>
      </c>
      <c r="EYD5" t="s">
        <v>6984</v>
      </c>
      <c r="EYE5" t="s">
        <v>6984</v>
      </c>
      <c r="EYF5" t="s">
        <v>6984</v>
      </c>
      <c r="EYG5" t="s">
        <v>6984</v>
      </c>
      <c r="EYH5" t="s">
        <v>6984</v>
      </c>
      <c r="EYI5" t="s">
        <v>6984</v>
      </c>
      <c r="EYJ5" t="s">
        <v>6984</v>
      </c>
      <c r="EYK5" t="s">
        <v>6984</v>
      </c>
      <c r="EYL5" t="s">
        <v>6984</v>
      </c>
      <c r="EYM5" t="s">
        <v>6984</v>
      </c>
      <c r="EYN5" t="s">
        <v>6984</v>
      </c>
      <c r="EYO5" t="s">
        <v>6984</v>
      </c>
      <c r="EYP5" t="s">
        <v>6984</v>
      </c>
      <c r="EYQ5" t="s">
        <v>6984</v>
      </c>
      <c r="EYR5" t="s">
        <v>6984</v>
      </c>
      <c r="EYS5" t="s">
        <v>6984</v>
      </c>
      <c r="EYT5" t="s">
        <v>6984</v>
      </c>
      <c r="EYU5" t="s">
        <v>6984</v>
      </c>
      <c r="EYV5" t="s">
        <v>6984</v>
      </c>
      <c r="EYW5" t="s">
        <v>6984</v>
      </c>
      <c r="EYX5" t="s">
        <v>6984</v>
      </c>
      <c r="EYY5" t="s">
        <v>6984</v>
      </c>
      <c r="EYZ5" t="s">
        <v>6984</v>
      </c>
      <c r="EZA5" t="s">
        <v>6984</v>
      </c>
      <c r="EZB5" t="s">
        <v>6984</v>
      </c>
      <c r="EZC5" t="s">
        <v>6984</v>
      </c>
      <c r="EZD5" t="s">
        <v>6984</v>
      </c>
      <c r="EZE5" t="s">
        <v>6984</v>
      </c>
      <c r="EZF5" t="s">
        <v>6984</v>
      </c>
      <c r="EZG5" t="s">
        <v>6984</v>
      </c>
      <c r="EZH5" t="s">
        <v>6984</v>
      </c>
      <c r="EZI5" t="s">
        <v>6984</v>
      </c>
      <c r="EZJ5" t="s">
        <v>6984</v>
      </c>
      <c r="EZK5" t="s">
        <v>6984</v>
      </c>
      <c r="EZL5" t="s">
        <v>6984</v>
      </c>
      <c r="EZM5" t="s">
        <v>6984</v>
      </c>
      <c r="EZN5" t="s">
        <v>6984</v>
      </c>
      <c r="EZO5" t="s">
        <v>6984</v>
      </c>
      <c r="EZP5" t="s">
        <v>6984</v>
      </c>
      <c r="EZQ5" t="s">
        <v>6984</v>
      </c>
      <c r="EZR5" t="s">
        <v>6984</v>
      </c>
      <c r="EZS5" t="s">
        <v>6984</v>
      </c>
      <c r="EZT5" t="s">
        <v>6984</v>
      </c>
      <c r="EZU5" t="s">
        <v>6984</v>
      </c>
      <c r="EZV5" t="s">
        <v>6984</v>
      </c>
      <c r="EZW5" t="s">
        <v>6984</v>
      </c>
      <c r="EZX5" t="s">
        <v>6984</v>
      </c>
      <c r="EZY5" t="s">
        <v>6984</v>
      </c>
      <c r="EZZ5" t="s">
        <v>6984</v>
      </c>
      <c r="FAA5" t="s">
        <v>6984</v>
      </c>
      <c r="FAB5" t="s">
        <v>6984</v>
      </c>
      <c r="FAC5" t="s">
        <v>6984</v>
      </c>
      <c r="FAD5" t="s">
        <v>6984</v>
      </c>
      <c r="FAE5" t="s">
        <v>6984</v>
      </c>
      <c r="FAF5" t="s">
        <v>6984</v>
      </c>
      <c r="FAG5" t="s">
        <v>6984</v>
      </c>
      <c r="FAH5" t="s">
        <v>6984</v>
      </c>
      <c r="FAI5" t="s">
        <v>6984</v>
      </c>
      <c r="FAJ5" t="s">
        <v>6984</v>
      </c>
      <c r="FAK5" t="s">
        <v>6984</v>
      </c>
      <c r="FAL5" t="s">
        <v>6984</v>
      </c>
      <c r="FAM5" t="s">
        <v>6984</v>
      </c>
      <c r="FAN5" t="s">
        <v>6984</v>
      </c>
      <c r="FAO5" t="s">
        <v>6984</v>
      </c>
      <c r="FAP5" t="s">
        <v>6984</v>
      </c>
      <c r="FAQ5" t="s">
        <v>6984</v>
      </c>
      <c r="FAR5" t="s">
        <v>6984</v>
      </c>
      <c r="FAS5" t="s">
        <v>6984</v>
      </c>
      <c r="FAT5" t="s">
        <v>6984</v>
      </c>
      <c r="FAU5" t="s">
        <v>6984</v>
      </c>
      <c r="FAV5" t="s">
        <v>6984</v>
      </c>
      <c r="FAW5" t="s">
        <v>6984</v>
      </c>
      <c r="FAX5" t="s">
        <v>6984</v>
      </c>
      <c r="FAY5" t="s">
        <v>6984</v>
      </c>
      <c r="FAZ5" t="s">
        <v>6984</v>
      </c>
      <c r="FBA5" t="s">
        <v>6984</v>
      </c>
      <c r="FBB5" t="s">
        <v>6984</v>
      </c>
      <c r="FBC5" t="s">
        <v>6984</v>
      </c>
      <c r="FBD5" t="s">
        <v>6984</v>
      </c>
      <c r="FBE5" t="s">
        <v>6984</v>
      </c>
      <c r="FBF5" t="s">
        <v>6984</v>
      </c>
      <c r="FBG5" t="s">
        <v>6984</v>
      </c>
      <c r="FBH5" t="s">
        <v>6984</v>
      </c>
      <c r="FBI5" t="s">
        <v>6984</v>
      </c>
      <c r="FBJ5" t="s">
        <v>6984</v>
      </c>
      <c r="FBK5" t="s">
        <v>6984</v>
      </c>
      <c r="FBL5" t="s">
        <v>6984</v>
      </c>
      <c r="FBM5" t="s">
        <v>6984</v>
      </c>
      <c r="FBN5" t="s">
        <v>6984</v>
      </c>
      <c r="FBO5" t="s">
        <v>6984</v>
      </c>
      <c r="FBP5" t="s">
        <v>6984</v>
      </c>
      <c r="FBQ5" t="s">
        <v>6984</v>
      </c>
      <c r="FBR5" t="s">
        <v>6984</v>
      </c>
      <c r="FBS5" t="s">
        <v>6984</v>
      </c>
      <c r="FBT5" t="s">
        <v>6984</v>
      </c>
      <c r="FBU5" t="s">
        <v>6984</v>
      </c>
      <c r="FBV5" t="s">
        <v>6984</v>
      </c>
      <c r="FBW5" t="s">
        <v>6984</v>
      </c>
      <c r="FBX5" t="s">
        <v>6984</v>
      </c>
      <c r="FBY5" t="s">
        <v>6984</v>
      </c>
      <c r="FBZ5" t="s">
        <v>6984</v>
      </c>
      <c r="FCA5" t="s">
        <v>6984</v>
      </c>
      <c r="FCB5" t="s">
        <v>6984</v>
      </c>
      <c r="FCC5" t="s">
        <v>6984</v>
      </c>
      <c r="FCD5" t="s">
        <v>6984</v>
      </c>
      <c r="FCE5" t="s">
        <v>6984</v>
      </c>
      <c r="FCF5" t="s">
        <v>6984</v>
      </c>
      <c r="FCG5" t="s">
        <v>6984</v>
      </c>
      <c r="FCH5" t="s">
        <v>6984</v>
      </c>
      <c r="FCI5" t="s">
        <v>6984</v>
      </c>
      <c r="FCJ5" t="s">
        <v>6984</v>
      </c>
      <c r="FCK5" t="s">
        <v>6984</v>
      </c>
      <c r="FCL5" t="s">
        <v>6984</v>
      </c>
      <c r="FCM5" t="s">
        <v>6984</v>
      </c>
      <c r="FCN5" t="s">
        <v>6984</v>
      </c>
      <c r="FCO5" t="s">
        <v>6984</v>
      </c>
      <c r="FCP5" t="s">
        <v>6984</v>
      </c>
      <c r="FCQ5" t="s">
        <v>6984</v>
      </c>
      <c r="FCR5" t="s">
        <v>6984</v>
      </c>
      <c r="FCS5" t="s">
        <v>6984</v>
      </c>
      <c r="FCT5" t="s">
        <v>6984</v>
      </c>
      <c r="FCU5" t="s">
        <v>6984</v>
      </c>
      <c r="FCV5" t="s">
        <v>6984</v>
      </c>
      <c r="FCW5" t="s">
        <v>6984</v>
      </c>
      <c r="FCX5" t="s">
        <v>6984</v>
      </c>
      <c r="FCY5" t="s">
        <v>6984</v>
      </c>
      <c r="FCZ5" t="s">
        <v>6984</v>
      </c>
      <c r="FDA5" t="s">
        <v>6984</v>
      </c>
      <c r="FDB5" t="s">
        <v>6984</v>
      </c>
      <c r="FDC5" t="s">
        <v>6984</v>
      </c>
      <c r="FDD5" t="s">
        <v>6984</v>
      </c>
      <c r="FDE5" t="s">
        <v>6984</v>
      </c>
      <c r="FDF5" t="s">
        <v>6984</v>
      </c>
      <c r="FDG5" t="s">
        <v>6984</v>
      </c>
      <c r="FDH5" t="s">
        <v>6984</v>
      </c>
      <c r="FDI5" t="s">
        <v>6984</v>
      </c>
      <c r="FDJ5" t="s">
        <v>6984</v>
      </c>
      <c r="FDK5" t="s">
        <v>6984</v>
      </c>
      <c r="FDL5" t="s">
        <v>6984</v>
      </c>
      <c r="FDM5" t="s">
        <v>6984</v>
      </c>
      <c r="FDN5" t="s">
        <v>6984</v>
      </c>
      <c r="FDO5" t="s">
        <v>6984</v>
      </c>
      <c r="FDP5" t="s">
        <v>6984</v>
      </c>
      <c r="FDQ5" t="s">
        <v>6984</v>
      </c>
      <c r="FDR5" t="s">
        <v>6984</v>
      </c>
      <c r="FDS5" t="s">
        <v>6984</v>
      </c>
      <c r="FDT5" t="s">
        <v>6984</v>
      </c>
      <c r="FDU5" t="s">
        <v>6984</v>
      </c>
      <c r="FDV5" t="s">
        <v>6984</v>
      </c>
      <c r="FDW5" t="s">
        <v>6984</v>
      </c>
      <c r="FDX5" t="s">
        <v>6984</v>
      </c>
      <c r="FDY5" t="s">
        <v>6984</v>
      </c>
      <c r="FDZ5" t="s">
        <v>6984</v>
      </c>
      <c r="FEA5" t="s">
        <v>6984</v>
      </c>
      <c r="FEB5" t="s">
        <v>6984</v>
      </c>
      <c r="FEC5" t="s">
        <v>6984</v>
      </c>
      <c r="FED5" t="s">
        <v>6984</v>
      </c>
      <c r="FEE5" t="s">
        <v>6984</v>
      </c>
      <c r="FEF5" t="s">
        <v>6984</v>
      </c>
      <c r="FEG5" t="s">
        <v>6984</v>
      </c>
      <c r="FEH5" t="s">
        <v>6984</v>
      </c>
      <c r="FEI5" t="s">
        <v>6984</v>
      </c>
      <c r="FEJ5" t="s">
        <v>6984</v>
      </c>
      <c r="FEK5" t="s">
        <v>6984</v>
      </c>
      <c r="FEL5" t="s">
        <v>6984</v>
      </c>
      <c r="FEM5" t="s">
        <v>6984</v>
      </c>
      <c r="FEN5" t="s">
        <v>6984</v>
      </c>
      <c r="FEO5" t="s">
        <v>6984</v>
      </c>
      <c r="FEP5" t="s">
        <v>6984</v>
      </c>
      <c r="FEQ5" t="s">
        <v>6984</v>
      </c>
      <c r="FER5" t="s">
        <v>6984</v>
      </c>
      <c r="FES5" t="s">
        <v>6984</v>
      </c>
      <c r="FET5" t="s">
        <v>6984</v>
      </c>
      <c r="FEU5" t="s">
        <v>6984</v>
      </c>
      <c r="FEV5" t="s">
        <v>6984</v>
      </c>
      <c r="FEW5" t="s">
        <v>6984</v>
      </c>
      <c r="FEX5" t="s">
        <v>6984</v>
      </c>
      <c r="FEY5" t="s">
        <v>6984</v>
      </c>
      <c r="FEZ5" t="s">
        <v>6984</v>
      </c>
      <c r="FFA5" t="s">
        <v>6984</v>
      </c>
      <c r="FFB5" t="s">
        <v>6984</v>
      </c>
      <c r="FFC5" t="s">
        <v>6984</v>
      </c>
      <c r="FFD5" t="s">
        <v>6984</v>
      </c>
      <c r="FFE5" t="s">
        <v>6984</v>
      </c>
      <c r="FFF5" t="s">
        <v>6984</v>
      </c>
      <c r="FFG5" t="s">
        <v>6984</v>
      </c>
      <c r="FFH5" t="s">
        <v>6984</v>
      </c>
      <c r="FFI5" t="s">
        <v>6984</v>
      </c>
      <c r="FFJ5" t="s">
        <v>6984</v>
      </c>
      <c r="FFK5" t="s">
        <v>6984</v>
      </c>
      <c r="FFL5" t="s">
        <v>6984</v>
      </c>
      <c r="FFM5" t="s">
        <v>6984</v>
      </c>
      <c r="FFN5" t="s">
        <v>6984</v>
      </c>
      <c r="FFO5" t="s">
        <v>6984</v>
      </c>
      <c r="FFP5" t="s">
        <v>6984</v>
      </c>
      <c r="FFQ5" t="s">
        <v>6984</v>
      </c>
      <c r="FFR5" t="s">
        <v>6984</v>
      </c>
      <c r="FFS5" t="s">
        <v>6984</v>
      </c>
      <c r="FFT5" t="s">
        <v>6984</v>
      </c>
      <c r="FFU5" t="s">
        <v>6984</v>
      </c>
      <c r="FFV5" t="s">
        <v>6984</v>
      </c>
      <c r="FFW5" t="s">
        <v>6984</v>
      </c>
      <c r="FFX5" t="s">
        <v>6984</v>
      </c>
      <c r="FFY5" t="s">
        <v>6984</v>
      </c>
      <c r="FFZ5" t="s">
        <v>6984</v>
      </c>
      <c r="FGA5" t="s">
        <v>6984</v>
      </c>
      <c r="FGB5" t="s">
        <v>6984</v>
      </c>
      <c r="FGC5" t="s">
        <v>6984</v>
      </c>
      <c r="FGD5" t="s">
        <v>6984</v>
      </c>
      <c r="FGE5" t="s">
        <v>6984</v>
      </c>
      <c r="FGF5" t="s">
        <v>6984</v>
      </c>
      <c r="FGG5" t="s">
        <v>6984</v>
      </c>
      <c r="FGH5" t="s">
        <v>6984</v>
      </c>
      <c r="FGI5" t="s">
        <v>6984</v>
      </c>
      <c r="FGJ5" t="s">
        <v>6984</v>
      </c>
      <c r="FGK5" t="s">
        <v>6984</v>
      </c>
      <c r="FGL5" t="s">
        <v>6984</v>
      </c>
      <c r="FGM5" t="s">
        <v>6984</v>
      </c>
      <c r="FGN5" t="s">
        <v>6984</v>
      </c>
      <c r="FGO5" t="s">
        <v>6984</v>
      </c>
      <c r="FGP5" t="s">
        <v>6984</v>
      </c>
      <c r="FGQ5" t="s">
        <v>6984</v>
      </c>
      <c r="FGR5" t="s">
        <v>6984</v>
      </c>
      <c r="FGS5" t="s">
        <v>6984</v>
      </c>
      <c r="FGT5" t="s">
        <v>6984</v>
      </c>
      <c r="FGU5" t="s">
        <v>6984</v>
      </c>
      <c r="FGV5" t="s">
        <v>6984</v>
      </c>
      <c r="FGW5" t="s">
        <v>6984</v>
      </c>
      <c r="FGX5" t="s">
        <v>6984</v>
      </c>
      <c r="FGY5" t="s">
        <v>6984</v>
      </c>
      <c r="FGZ5" t="s">
        <v>6984</v>
      </c>
      <c r="FHA5" t="s">
        <v>6984</v>
      </c>
      <c r="FHB5" t="s">
        <v>6984</v>
      </c>
      <c r="FHC5" t="s">
        <v>6984</v>
      </c>
      <c r="FHD5" t="s">
        <v>6984</v>
      </c>
      <c r="FHE5" t="s">
        <v>6984</v>
      </c>
      <c r="FHF5" t="s">
        <v>6984</v>
      </c>
      <c r="FHG5" t="s">
        <v>6984</v>
      </c>
      <c r="FHH5" t="s">
        <v>6984</v>
      </c>
      <c r="FHI5" t="s">
        <v>6984</v>
      </c>
      <c r="FHJ5" t="s">
        <v>6984</v>
      </c>
      <c r="FHK5" t="s">
        <v>6984</v>
      </c>
      <c r="FHL5" t="s">
        <v>6984</v>
      </c>
      <c r="FHM5" t="s">
        <v>6984</v>
      </c>
      <c r="FHN5" t="s">
        <v>6984</v>
      </c>
      <c r="FHO5" t="s">
        <v>6984</v>
      </c>
      <c r="FHP5" t="s">
        <v>6984</v>
      </c>
      <c r="FHQ5" t="s">
        <v>6984</v>
      </c>
      <c r="FHR5" t="s">
        <v>6984</v>
      </c>
      <c r="FHS5" t="s">
        <v>6984</v>
      </c>
      <c r="FHT5" t="s">
        <v>6984</v>
      </c>
      <c r="FHU5" t="s">
        <v>6984</v>
      </c>
      <c r="FHV5" t="s">
        <v>6984</v>
      </c>
      <c r="FHW5" t="s">
        <v>6984</v>
      </c>
      <c r="FHX5" t="s">
        <v>6984</v>
      </c>
      <c r="FHY5" t="s">
        <v>6984</v>
      </c>
      <c r="FHZ5" t="s">
        <v>6984</v>
      </c>
      <c r="FIA5" t="s">
        <v>6984</v>
      </c>
      <c r="FIB5" t="s">
        <v>6984</v>
      </c>
      <c r="FIC5" t="s">
        <v>6984</v>
      </c>
      <c r="FID5" t="s">
        <v>6984</v>
      </c>
      <c r="FIE5" t="s">
        <v>6984</v>
      </c>
      <c r="FIF5" t="s">
        <v>6984</v>
      </c>
      <c r="FIG5" t="s">
        <v>6984</v>
      </c>
      <c r="FIH5" t="s">
        <v>6984</v>
      </c>
      <c r="FII5" t="s">
        <v>6984</v>
      </c>
      <c r="FIJ5" t="s">
        <v>6984</v>
      </c>
      <c r="FIK5" t="s">
        <v>6984</v>
      </c>
      <c r="FIL5" t="s">
        <v>6984</v>
      </c>
      <c r="FIM5" t="s">
        <v>6984</v>
      </c>
      <c r="FIN5" t="s">
        <v>6984</v>
      </c>
      <c r="FIO5" t="s">
        <v>6984</v>
      </c>
      <c r="FIP5" t="s">
        <v>6984</v>
      </c>
      <c r="FIQ5" t="s">
        <v>6984</v>
      </c>
      <c r="FIR5" t="s">
        <v>6984</v>
      </c>
      <c r="FIS5" t="s">
        <v>6984</v>
      </c>
      <c r="FIT5" t="s">
        <v>6984</v>
      </c>
      <c r="FIU5" t="s">
        <v>6984</v>
      </c>
      <c r="FIV5" t="s">
        <v>6984</v>
      </c>
      <c r="FIW5" t="s">
        <v>6984</v>
      </c>
      <c r="FIX5" t="s">
        <v>6984</v>
      </c>
      <c r="FIY5" t="s">
        <v>6984</v>
      </c>
      <c r="FIZ5" t="s">
        <v>6984</v>
      </c>
      <c r="FJA5" t="s">
        <v>6984</v>
      </c>
      <c r="FJB5" t="s">
        <v>6984</v>
      </c>
      <c r="FJC5" t="s">
        <v>6984</v>
      </c>
      <c r="FJD5" t="s">
        <v>6984</v>
      </c>
      <c r="FJE5" t="s">
        <v>6984</v>
      </c>
      <c r="FJF5" t="s">
        <v>6984</v>
      </c>
      <c r="FJG5" t="s">
        <v>6984</v>
      </c>
      <c r="FJH5" t="s">
        <v>6984</v>
      </c>
      <c r="FJI5" t="s">
        <v>6984</v>
      </c>
      <c r="FJJ5" t="s">
        <v>6984</v>
      </c>
      <c r="FJK5" t="s">
        <v>6984</v>
      </c>
      <c r="FJL5" t="s">
        <v>6984</v>
      </c>
      <c r="FJM5" t="s">
        <v>6984</v>
      </c>
      <c r="FJN5" t="s">
        <v>6984</v>
      </c>
      <c r="FJO5" t="s">
        <v>6984</v>
      </c>
      <c r="FJP5" t="s">
        <v>6984</v>
      </c>
      <c r="FJQ5" t="s">
        <v>6984</v>
      </c>
      <c r="FJR5" t="s">
        <v>6984</v>
      </c>
      <c r="FJS5" t="s">
        <v>6984</v>
      </c>
      <c r="FJT5" t="s">
        <v>6984</v>
      </c>
      <c r="FJU5" t="s">
        <v>6984</v>
      </c>
      <c r="FJV5" t="s">
        <v>6984</v>
      </c>
      <c r="FJW5" t="s">
        <v>6984</v>
      </c>
      <c r="FJX5" t="s">
        <v>6984</v>
      </c>
      <c r="FJY5" t="s">
        <v>6984</v>
      </c>
      <c r="FJZ5" t="s">
        <v>6984</v>
      </c>
      <c r="FKA5" t="s">
        <v>6984</v>
      </c>
      <c r="FKB5" t="s">
        <v>6984</v>
      </c>
      <c r="FKC5" t="s">
        <v>6984</v>
      </c>
      <c r="FKD5" t="s">
        <v>6984</v>
      </c>
      <c r="FKE5" t="s">
        <v>6984</v>
      </c>
      <c r="FKF5" t="s">
        <v>6984</v>
      </c>
      <c r="FKG5" t="s">
        <v>6984</v>
      </c>
      <c r="FKH5" t="s">
        <v>6984</v>
      </c>
      <c r="FKI5" t="s">
        <v>6984</v>
      </c>
      <c r="FKJ5" t="s">
        <v>6984</v>
      </c>
      <c r="FKK5" t="s">
        <v>6984</v>
      </c>
      <c r="FKL5" t="s">
        <v>6984</v>
      </c>
      <c r="FKM5" t="s">
        <v>6984</v>
      </c>
      <c r="FKN5" t="s">
        <v>6984</v>
      </c>
      <c r="FKO5" t="s">
        <v>6984</v>
      </c>
      <c r="FKP5" t="s">
        <v>6984</v>
      </c>
      <c r="FKQ5" t="s">
        <v>6984</v>
      </c>
      <c r="FKR5" t="s">
        <v>6984</v>
      </c>
      <c r="FKS5" t="s">
        <v>6984</v>
      </c>
      <c r="FKT5" t="s">
        <v>6984</v>
      </c>
      <c r="FKU5" t="s">
        <v>6984</v>
      </c>
      <c r="FKV5" t="s">
        <v>6984</v>
      </c>
      <c r="FKW5" t="s">
        <v>6984</v>
      </c>
      <c r="FKX5" t="s">
        <v>6984</v>
      </c>
      <c r="FKY5" t="s">
        <v>6984</v>
      </c>
      <c r="FKZ5" t="s">
        <v>6984</v>
      </c>
      <c r="FLA5" t="s">
        <v>6984</v>
      </c>
      <c r="FLB5" t="s">
        <v>6984</v>
      </c>
      <c r="FLC5" t="s">
        <v>6984</v>
      </c>
      <c r="FLD5" t="s">
        <v>6984</v>
      </c>
      <c r="FLE5" t="s">
        <v>6984</v>
      </c>
      <c r="FLF5" t="s">
        <v>6984</v>
      </c>
      <c r="FLG5" t="s">
        <v>6984</v>
      </c>
      <c r="FLH5" t="s">
        <v>6984</v>
      </c>
      <c r="FLI5" t="s">
        <v>6984</v>
      </c>
      <c r="FLJ5" t="s">
        <v>6984</v>
      </c>
      <c r="FLK5" t="s">
        <v>6984</v>
      </c>
      <c r="FLL5" t="s">
        <v>6984</v>
      </c>
      <c r="FLM5" t="s">
        <v>6984</v>
      </c>
      <c r="FLN5" t="s">
        <v>6984</v>
      </c>
      <c r="FLO5" t="s">
        <v>6984</v>
      </c>
      <c r="FLP5" t="s">
        <v>6984</v>
      </c>
      <c r="FLQ5" t="s">
        <v>6984</v>
      </c>
      <c r="FLR5" t="s">
        <v>6984</v>
      </c>
      <c r="FLS5" t="s">
        <v>6984</v>
      </c>
      <c r="FLT5" t="s">
        <v>6984</v>
      </c>
      <c r="FLU5" t="s">
        <v>6984</v>
      </c>
      <c r="FLV5" t="s">
        <v>6984</v>
      </c>
      <c r="FLW5" t="s">
        <v>6984</v>
      </c>
      <c r="FLX5" t="s">
        <v>6984</v>
      </c>
      <c r="FLY5" t="s">
        <v>6984</v>
      </c>
      <c r="FLZ5" t="s">
        <v>6984</v>
      </c>
      <c r="FMA5" t="s">
        <v>6984</v>
      </c>
      <c r="FMB5" t="s">
        <v>6984</v>
      </c>
      <c r="FMC5" t="s">
        <v>6984</v>
      </c>
      <c r="FMD5" t="s">
        <v>6984</v>
      </c>
      <c r="FME5" t="s">
        <v>6984</v>
      </c>
      <c r="FMF5" t="s">
        <v>6984</v>
      </c>
      <c r="FMG5" t="s">
        <v>6984</v>
      </c>
      <c r="FMH5" t="s">
        <v>6984</v>
      </c>
      <c r="FMI5" t="s">
        <v>6984</v>
      </c>
      <c r="FMJ5" t="s">
        <v>6984</v>
      </c>
      <c r="FMK5" t="s">
        <v>6984</v>
      </c>
      <c r="FML5" t="s">
        <v>6984</v>
      </c>
      <c r="FMM5" t="s">
        <v>6984</v>
      </c>
      <c r="FMN5" t="s">
        <v>6984</v>
      </c>
      <c r="FMO5" t="s">
        <v>6984</v>
      </c>
      <c r="FMP5" t="s">
        <v>6984</v>
      </c>
      <c r="FMQ5" t="s">
        <v>6984</v>
      </c>
      <c r="FMR5" t="s">
        <v>6984</v>
      </c>
      <c r="FMS5" t="s">
        <v>6984</v>
      </c>
      <c r="FMT5" t="s">
        <v>6984</v>
      </c>
      <c r="FMU5" t="s">
        <v>6984</v>
      </c>
      <c r="FMV5" t="s">
        <v>6984</v>
      </c>
      <c r="FMW5" t="s">
        <v>6984</v>
      </c>
      <c r="FMX5" t="s">
        <v>6984</v>
      </c>
      <c r="FMY5" t="s">
        <v>6984</v>
      </c>
      <c r="FMZ5" t="s">
        <v>6984</v>
      </c>
      <c r="FNA5" t="s">
        <v>6984</v>
      </c>
      <c r="FNB5" t="s">
        <v>6984</v>
      </c>
      <c r="FNC5" t="s">
        <v>6984</v>
      </c>
      <c r="FND5" t="s">
        <v>6984</v>
      </c>
      <c r="FNE5" t="s">
        <v>6984</v>
      </c>
      <c r="FNF5" t="s">
        <v>6984</v>
      </c>
      <c r="FNG5" t="s">
        <v>6984</v>
      </c>
      <c r="FNH5" t="s">
        <v>6984</v>
      </c>
      <c r="FNI5" t="s">
        <v>6984</v>
      </c>
      <c r="FNJ5" t="s">
        <v>6984</v>
      </c>
      <c r="FNK5" t="s">
        <v>6984</v>
      </c>
      <c r="FNL5" t="s">
        <v>6984</v>
      </c>
      <c r="FNM5" t="s">
        <v>6984</v>
      </c>
      <c r="FNN5" t="s">
        <v>6984</v>
      </c>
      <c r="FNO5" t="s">
        <v>6984</v>
      </c>
      <c r="FNP5" t="s">
        <v>6984</v>
      </c>
      <c r="FNQ5" t="s">
        <v>6984</v>
      </c>
      <c r="FNR5" t="s">
        <v>6984</v>
      </c>
      <c r="FNS5" t="s">
        <v>6984</v>
      </c>
      <c r="FNT5" t="s">
        <v>6984</v>
      </c>
      <c r="FNU5" t="s">
        <v>6984</v>
      </c>
      <c r="FNV5" t="s">
        <v>6984</v>
      </c>
      <c r="FNW5" t="s">
        <v>6984</v>
      </c>
      <c r="FNX5" t="s">
        <v>6984</v>
      </c>
      <c r="FNY5" t="s">
        <v>6984</v>
      </c>
      <c r="FNZ5" t="s">
        <v>6984</v>
      </c>
      <c r="FOA5" t="s">
        <v>6984</v>
      </c>
      <c r="FOB5" t="s">
        <v>6984</v>
      </c>
      <c r="FOC5" t="s">
        <v>6984</v>
      </c>
      <c r="FOD5" t="s">
        <v>6984</v>
      </c>
      <c r="FOE5" t="s">
        <v>6984</v>
      </c>
      <c r="FOF5" t="s">
        <v>6984</v>
      </c>
      <c r="FOG5" t="s">
        <v>6984</v>
      </c>
      <c r="FOH5" t="s">
        <v>6984</v>
      </c>
      <c r="FOI5" t="s">
        <v>6984</v>
      </c>
      <c r="FOJ5" t="s">
        <v>6984</v>
      </c>
      <c r="FOK5" t="s">
        <v>6984</v>
      </c>
      <c r="FOL5" t="s">
        <v>6984</v>
      </c>
      <c r="FOM5" t="s">
        <v>6984</v>
      </c>
      <c r="FON5" t="s">
        <v>6984</v>
      </c>
      <c r="FOO5" t="s">
        <v>6984</v>
      </c>
      <c r="FOP5" t="s">
        <v>6984</v>
      </c>
      <c r="FOQ5" t="s">
        <v>6984</v>
      </c>
      <c r="FOR5" t="s">
        <v>6984</v>
      </c>
      <c r="FOS5" t="s">
        <v>6984</v>
      </c>
      <c r="FOT5" t="s">
        <v>6984</v>
      </c>
      <c r="FOU5" t="s">
        <v>6984</v>
      </c>
      <c r="FOV5" t="s">
        <v>6984</v>
      </c>
      <c r="FOW5" t="s">
        <v>6984</v>
      </c>
      <c r="FOX5" t="s">
        <v>6984</v>
      </c>
      <c r="FOY5" t="s">
        <v>6984</v>
      </c>
      <c r="FOZ5" t="s">
        <v>6984</v>
      </c>
      <c r="FPA5" t="s">
        <v>6984</v>
      </c>
      <c r="FPB5" t="s">
        <v>6984</v>
      </c>
      <c r="FPC5" t="s">
        <v>6984</v>
      </c>
      <c r="FPD5" t="s">
        <v>6984</v>
      </c>
      <c r="FPE5" t="s">
        <v>6984</v>
      </c>
      <c r="FPF5" t="s">
        <v>6984</v>
      </c>
      <c r="FPG5" t="s">
        <v>6984</v>
      </c>
      <c r="FPH5" t="s">
        <v>6984</v>
      </c>
      <c r="FPI5" t="s">
        <v>6984</v>
      </c>
      <c r="FPJ5" t="s">
        <v>6984</v>
      </c>
      <c r="FPK5" t="s">
        <v>6984</v>
      </c>
      <c r="FPL5" t="s">
        <v>6984</v>
      </c>
      <c r="FPM5" t="s">
        <v>6984</v>
      </c>
      <c r="FPN5" t="s">
        <v>6984</v>
      </c>
      <c r="FPO5" t="s">
        <v>6984</v>
      </c>
      <c r="FPP5" t="s">
        <v>6984</v>
      </c>
      <c r="FPQ5" t="s">
        <v>6984</v>
      </c>
      <c r="FPR5" t="s">
        <v>6984</v>
      </c>
      <c r="FPS5" t="s">
        <v>6984</v>
      </c>
      <c r="FPT5" t="s">
        <v>6984</v>
      </c>
      <c r="FPU5" t="s">
        <v>6984</v>
      </c>
      <c r="FPV5" t="s">
        <v>6984</v>
      </c>
      <c r="FPW5" t="s">
        <v>6984</v>
      </c>
      <c r="FPX5" t="s">
        <v>6984</v>
      </c>
      <c r="FPY5" t="s">
        <v>6984</v>
      </c>
      <c r="FPZ5" t="s">
        <v>6984</v>
      </c>
      <c r="FQA5" t="s">
        <v>6984</v>
      </c>
      <c r="FQB5" t="s">
        <v>6984</v>
      </c>
      <c r="FQC5" t="s">
        <v>6984</v>
      </c>
      <c r="FQD5" t="s">
        <v>6984</v>
      </c>
      <c r="FQE5" t="s">
        <v>6984</v>
      </c>
      <c r="FQF5" t="s">
        <v>6984</v>
      </c>
      <c r="FQG5" t="s">
        <v>6984</v>
      </c>
      <c r="FQH5" t="s">
        <v>6984</v>
      </c>
      <c r="FQI5" t="s">
        <v>6984</v>
      </c>
      <c r="FQJ5" t="s">
        <v>6984</v>
      </c>
      <c r="FQK5" t="s">
        <v>6984</v>
      </c>
      <c r="FQL5" t="s">
        <v>6984</v>
      </c>
      <c r="FQM5" t="s">
        <v>6984</v>
      </c>
      <c r="FQN5" t="s">
        <v>6984</v>
      </c>
      <c r="FQO5" t="s">
        <v>6984</v>
      </c>
      <c r="FQP5" t="s">
        <v>6984</v>
      </c>
      <c r="FQQ5" t="s">
        <v>6984</v>
      </c>
      <c r="FQR5" t="s">
        <v>6984</v>
      </c>
      <c r="FQS5" t="s">
        <v>6984</v>
      </c>
      <c r="FQT5" t="s">
        <v>6984</v>
      </c>
      <c r="FQU5" t="s">
        <v>6984</v>
      </c>
      <c r="FQV5" t="s">
        <v>6984</v>
      </c>
      <c r="FQW5" t="s">
        <v>6984</v>
      </c>
      <c r="FQX5" t="s">
        <v>6984</v>
      </c>
      <c r="FQY5" t="s">
        <v>6984</v>
      </c>
      <c r="FQZ5" t="s">
        <v>6984</v>
      </c>
      <c r="FRA5" t="s">
        <v>6984</v>
      </c>
      <c r="FRB5" t="s">
        <v>6984</v>
      </c>
      <c r="FRC5" t="s">
        <v>6984</v>
      </c>
      <c r="FRD5" t="s">
        <v>6984</v>
      </c>
      <c r="FRE5" t="s">
        <v>6984</v>
      </c>
      <c r="FRF5" t="s">
        <v>6984</v>
      </c>
      <c r="FRG5" t="s">
        <v>6984</v>
      </c>
      <c r="FRH5" t="s">
        <v>6984</v>
      </c>
      <c r="FRI5" t="s">
        <v>6984</v>
      </c>
      <c r="FRJ5" t="s">
        <v>6984</v>
      </c>
      <c r="FRK5" t="s">
        <v>6984</v>
      </c>
      <c r="FRL5" t="s">
        <v>6984</v>
      </c>
      <c r="FRM5" t="s">
        <v>6984</v>
      </c>
      <c r="FRN5" t="s">
        <v>6984</v>
      </c>
      <c r="FRO5" t="s">
        <v>6984</v>
      </c>
      <c r="FRP5" t="s">
        <v>6984</v>
      </c>
      <c r="FRQ5" t="s">
        <v>6984</v>
      </c>
      <c r="FRR5" t="s">
        <v>6984</v>
      </c>
      <c r="FRS5" t="s">
        <v>6984</v>
      </c>
      <c r="FRT5" t="s">
        <v>6984</v>
      </c>
      <c r="FRU5" t="s">
        <v>6984</v>
      </c>
      <c r="FRV5" t="s">
        <v>6984</v>
      </c>
      <c r="FRW5" t="s">
        <v>6984</v>
      </c>
      <c r="FRX5" t="s">
        <v>6984</v>
      </c>
      <c r="FRY5" t="s">
        <v>6984</v>
      </c>
      <c r="FRZ5" t="s">
        <v>6984</v>
      </c>
      <c r="FSA5" t="s">
        <v>6984</v>
      </c>
      <c r="FSB5" t="s">
        <v>6984</v>
      </c>
      <c r="FSC5" t="s">
        <v>6984</v>
      </c>
      <c r="FSD5" t="s">
        <v>6984</v>
      </c>
      <c r="FSE5" t="s">
        <v>6984</v>
      </c>
      <c r="FSF5" t="s">
        <v>6984</v>
      </c>
      <c r="FSG5" t="s">
        <v>6984</v>
      </c>
      <c r="FSH5" t="s">
        <v>6984</v>
      </c>
      <c r="FSI5" t="s">
        <v>6984</v>
      </c>
      <c r="FSJ5" t="s">
        <v>6984</v>
      </c>
      <c r="FSK5" t="s">
        <v>6984</v>
      </c>
      <c r="FSL5" t="s">
        <v>6984</v>
      </c>
      <c r="FSM5" t="s">
        <v>6984</v>
      </c>
      <c r="FSN5" t="s">
        <v>6984</v>
      </c>
      <c r="FSO5" t="s">
        <v>6984</v>
      </c>
      <c r="FSP5" t="s">
        <v>6984</v>
      </c>
      <c r="FSQ5" t="s">
        <v>6984</v>
      </c>
      <c r="FSR5" t="s">
        <v>6984</v>
      </c>
      <c r="FSS5" t="s">
        <v>6984</v>
      </c>
      <c r="FST5" t="s">
        <v>6984</v>
      </c>
      <c r="FSU5" t="s">
        <v>6984</v>
      </c>
      <c r="FSV5" t="s">
        <v>6984</v>
      </c>
      <c r="FSW5" t="s">
        <v>6984</v>
      </c>
      <c r="FSX5" t="s">
        <v>6984</v>
      </c>
      <c r="FSY5" t="s">
        <v>6984</v>
      </c>
      <c r="FSZ5" t="s">
        <v>6984</v>
      </c>
      <c r="FTA5" t="s">
        <v>6984</v>
      </c>
      <c r="FTB5" t="s">
        <v>6984</v>
      </c>
      <c r="FTC5" t="s">
        <v>6984</v>
      </c>
      <c r="FTD5" t="s">
        <v>6984</v>
      </c>
      <c r="FTE5" t="s">
        <v>6984</v>
      </c>
      <c r="FTF5" t="s">
        <v>6984</v>
      </c>
      <c r="FTG5" t="s">
        <v>6984</v>
      </c>
      <c r="FTH5" t="s">
        <v>6984</v>
      </c>
      <c r="FTI5" t="s">
        <v>6984</v>
      </c>
      <c r="FTJ5" t="s">
        <v>6984</v>
      </c>
      <c r="FTK5" t="s">
        <v>6984</v>
      </c>
      <c r="FTL5" t="s">
        <v>6984</v>
      </c>
      <c r="FTM5" t="s">
        <v>6984</v>
      </c>
      <c r="FTN5" t="s">
        <v>6984</v>
      </c>
      <c r="FTO5" t="s">
        <v>6984</v>
      </c>
      <c r="FTP5" t="s">
        <v>6984</v>
      </c>
      <c r="FTQ5" t="s">
        <v>6984</v>
      </c>
      <c r="FTR5" t="s">
        <v>6984</v>
      </c>
      <c r="FTS5" t="s">
        <v>6984</v>
      </c>
      <c r="FTT5" t="s">
        <v>6984</v>
      </c>
      <c r="FTU5" t="s">
        <v>6984</v>
      </c>
      <c r="FTV5" t="s">
        <v>6984</v>
      </c>
      <c r="FTW5" t="s">
        <v>6984</v>
      </c>
      <c r="FTX5" t="s">
        <v>6984</v>
      </c>
      <c r="FTY5" t="s">
        <v>6984</v>
      </c>
      <c r="FTZ5" t="s">
        <v>6984</v>
      </c>
      <c r="FUA5" t="s">
        <v>6984</v>
      </c>
      <c r="FUB5" t="s">
        <v>6984</v>
      </c>
      <c r="FUC5" t="s">
        <v>6984</v>
      </c>
      <c r="FUD5" t="s">
        <v>6984</v>
      </c>
      <c r="FUE5" t="s">
        <v>6984</v>
      </c>
      <c r="FUF5" t="s">
        <v>6984</v>
      </c>
      <c r="FUG5" t="s">
        <v>6984</v>
      </c>
      <c r="FUH5" t="s">
        <v>6984</v>
      </c>
      <c r="FUI5" t="s">
        <v>6984</v>
      </c>
      <c r="FUJ5" t="s">
        <v>6984</v>
      </c>
      <c r="FUK5" t="s">
        <v>6984</v>
      </c>
      <c r="FUL5" t="s">
        <v>6984</v>
      </c>
      <c r="FUM5" t="s">
        <v>6984</v>
      </c>
      <c r="FUN5" t="s">
        <v>6984</v>
      </c>
      <c r="FUO5" t="s">
        <v>6984</v>
      </c>
      <c r="FUP5" t="s">
        <v>6984</v>
      </c>
      <c r="FUQ5" t="s">
        <v>6984</v>
      </c>
      <c r="FUR5" t="s">
        <v>6984</v>
      </c>
      <c r="FUS5" t="s">
        <v>6984</v>
      </c>
      <c r="FUT5" t="s">
        <v>6984</v>
      </c>
      <c r="FUU5" t="s">
        <v>6984</v>
      </c>
      <c r="FUV5" t="s">
        <v>6984</v>
      </c>
      <c r="FUW5" t="s">
        <v>6984</v>
      </c>
      <c r="FUX5" t="s">
        <v>6984</v>
      </c>
      <c r="FUY5" t="s">
        <v>6984</v>
      </c>
      <c r="FUZ5" t="s">
        <v>6984</v>
      </c>
      <c r="FVA5" t="s">
        <v>6984</v>
      </c>
      <c r="FVB5" t="s">
        <v>6984</v>
      </c>
      <c r="FVC5" t="s">
        <v>6984</v>
      </c>
      <c r="FVD5" t="s">
        <v>6984</v>
      </c>
      <c r="FVE5" t="s">
        <v>6984</v>
      </c>
      <c r="FVF5" t="s">
        <v>6984</v>
      </c>
      <c r="FVG5" t="s">
        <v>6984</v>
      </c>
      <c r="FVH5" t="s">
        <v>6984</v>
      </c>
      <c r="FVI5" t="s">
        <v>6984</v>
      </c>
      <c r="FVJ5" t="s">
        <v>6984</v>
      </c>
      <c r="FVK5" t="s">
        <v>6984</v>
      </c>
      <c r="FVL5" t="s">
        <v>6984</v>
      </c>
      <c r="FVM5" t="s">
        <v>6984</v>
      </c>
      <c r="FVN5" t="s">
        <v>6984</v>
      </c>
      <c r="FVO5" t="s">
        <v>6984</v>
      </c>
      <c r="FVP5" t="s">
        <v>6984</v>
      </c>
      <c r="FVQ5" t="s">
        <v>6984</v>
      </c>
      <c r="FVR5" t="s">
        <v>6984</v>
      </c>
      <c r="FVS5" t="s">
        <v>6984</v>
      </c>
      <c r="FVT5" t="s">
        <v>6984</v>
      </c>
      <c r="FVU5" t="s">
        <v>6984</v>
      </c>
      <c r="FVV5" t="s">
        <v>6984</v>
      </c>
      <c r="FVW5" t="s">
        <v>6984</v>
      </c>
      <c r="FVX5" t="s">
        <v>6984</v>
      </c>
      <c r="FVY5" t="s">
        <v>6984</v>
      </c>
      <c r="FVZ5" t="s">
        <v>6984</v>
      </c>
      <c r="FWA5" t="s">
        <v>6984</v>
      </c>
      <c r="FWB5" t="s">
        <v>6984</v>
      </c>
      <c r="FWC5" t="s">
        <v>6984</v>
      </c>
      <c r="FWD5" t="s">
        <v>6984</v>
      </c>
      <c r="FWE5" t="s">
        <v>6984</v>
      </c>
      <c r="FWF5" t="s">
        <v>6984</v>
      </c>
      <c r="FWG5" t="s">
        <v>6984</v>
      </c>
      <c r="FWH5" t="s">
        <v>6984</v>
      </c>
      <c r="FWI5" t="s">
        <v>6984</v>
      </c>
      <c r="FWJ5" t="s">
        <v>6984</v>
      </c>
      <c r="FWK5" t="s">
        <v>6984</v>
      </c>
      <c r="FWL5" t="s">
        <v>6984</v>
      </c>
      <c r="FWM5" t="s">
        <v>6984</v>
      </c>
      <c r="FWN5" t="s">
        <v>6984</v>
      </c>
      <c r="FWO5" t="s">
        <v>6984</v>
      </c>
      <c r="FWP5" t="s">
        <v>6984</v>
      </c>
      <c r="FWQ5" t="s">
        <v>6984</v>
      </c>
      <c r="FWR5" t="s">
        <v>6984</v>
      </c>
      <c r="FWS5" t="s">
        <v>6984</v>
      </c>
      <c r="FWT5" t="s">
        <v>6984</v>
      </c>
      <c r="FWU5" t="s">
        <v>6984</v>
      </c>
      <c r="FWV5" t="s">
        <v>6984</v>
      </c>
      <c r="FWW5" t="s">
        <v>6984</v>
      </c>
      <c r="FWX5" t="s">
        <v>6984</v>
      </c>
      <c r="FWY5" t="s">
        <v>6984</v>
      </c>
      <c r="FWZ5" t="s">
        <v>6984</v>
      </c>
      <c r="FXA5" t="s">
        <v>6984</v>
      </c>
      <c r="FXB5" t="s">
        <v>6984</v>
      </c>
      <c r="FXC5" t="s">
        <v>6984</v>
      </c>
      <c r="FXD5" t="s">
        <v>6984</v>
      </c>
      <c r="FXE5" t="s">
        <v>6984</v>
      </c>
      <c r="FXF5" t="s">
        <v>6984</v>
      </c>
      <c r="FXG5" t="s">
        <v>6984</v>
      </c>
      <c r="FXH5" t="s">
        <v>6984</v>
      </c>
      <c r="FXI5" t="s">
        <v>6984</v>
      </c>
      <c r="FXJ5" t="s">
        <v>6984</v>
      </c>
      <c r="FXK5" t="s">
        <v>6984</v>
      </c>
      <c r="FXL5" t="s">
        <v>6984</v>
      </c>
      <c r="FXM5" t="s">
        <v>6984</v>
      </c>
      <c r="FXN5" t="s">
        <v>6984</v>
      </c>
      <c r="FXO5" t="s">
        <v>6984</v>
      </c>
      <c r="FXP5" t="s">
        <v>6984</v>
      </c>
      <c r="FXQ5" t="s">
        <v>6984</v>
      </c>
      <c r="FXR5" t="s">
        <v>6984</v>
      </c>
      <c r="FXS5" t="s">
        <v>6984</v>
      </c>
      <c r="FXT5" t="s">
        <v>6984</v>
      </c>
      <c r="FXU5" t="s">
        <v>6984</v>
      </c>
      <c r="FXV5" t="s">
        <v>6984</v>
      </c>
      <c r="FXW5" t="s">
        <v>6984</v>
      </c>
      <c r="FXX5" t="s">
        <v>6984</v>
      </c>
      <c r="FXY5" t="s">
        <v>6984</v>
      </c>
      <c r="FXZ5" t="s">
        <v>6984</v>
      </c>
      <c r="FYA5" t="s">
        <v>6984</v>
      </c>
      <c r="FYB5" t="s">
        <v>6984</v>
      </c>
      <c r="FYC5" t="s">
        <v>6984</v>
      </c>
      <c r="FYD5" t="s">
        <v>6984</v>
      </c>
      <c r="FYE5" t="s">
        <v>6984</v>
      </c>
      <c r="FYF5" t="s">
        <v>6984</v>
      </c>
      <c r="FYG5" t="s">
        <v>6984</v>
      </c>
      <c r="FYH5" t="s">
        <v>6984</v>
      </c>
      <c r="FYI5" t="s">
        <v>6984</v>
      </c>
      <c r="FYJ5" t="s">
        <v>6984</v>
      </c>
      <c r="FYK5" t="s">
        <v>6984</v>
      </c>
      <c r="FYL5" t="s">
        <v>6984</v>
      </c>
      <c r="FYM5" t="s">
        <v>6984</v>
      </c>
      <c r="FYN5" t="s">
        <v>6984</v>
      </c>
      <c r="FYO5" t="s">
        <v>6984</v>
      </c>
      <c r="FYP5" t="s">
        <v>6984</v>
      </c>
      <c r="FYQ5" t="s">
        <v>6984</v>
      </c>
      <c r="FYR5" t="s">
        <v>6984</v>
      </c>
      <c r="FYS5" t="s">
        <v>6984</v>
      </c>
      <c r="FYT5" t="s">
        <v>6984</v>
      </c>
      <c r="FYU5" t="s">
        <v>6984</v>
      </c>
      <c r="FYV5" t="s">
        <v>6984</v>
      </c>
      <c r="FYW5" t="s">
        <v>6984</v>
      </c>
      <c r="FYX5" t="s">
        <v>6984</v>
      </c>
      <c r="FYY5" t="s">
        <v>6984</v>
      </c>
      <c r="FYZ5" t="s">
        <v>6984</v>
      </c>
      <c r="FZA5" t="s">
        <v>6984</v>
      </c>
      <c r="FZB5" t="s">
        <v>6984</v>
      </c>
      <c r="FZC5" t="s">
        <v>6984</v>
      </c>
      <c r="FZD5" t="s">
        <v>6984</v>
      </c>
      <c r="FZE5" t="s">
        <v>6984</v>
      </c>
      <c r="FZF5" t="s">
        <v>6984</v>
      </c>
      <c r="FZG5" t="s">
        <v>6984</v>
      </c>
      <c r="FZH5" t="s">
        <v>6984</v>
      </c>
      <c r="FZI5" t="s">
        <v>6984</v>
      </c>
      <c r="FZJ5" t="s">
        <v>6984</v>
      </c>
      <c r="FZK5" t="s">
        <v>6984</v>
      </c>
      <c r="FZL5" t="s">
        <v>6984</v>
      </c>
      <c r="FZM5" t="s">
        <v>6984</v>
      </c>
      <c r="FZN5" t="s">
        <v>6984</v>
      </c>
      <c r="FZO5" t="s">
        <v>6984</v>
      </c>
      <c r="FZP5" t="s">
        <v>6984</v>
      </c>
      <c r="FZQ5" t="s">
        <v>6984</v>
      </c>
      <c r="FZR5" t="s">
        <v>6984</v>
      </c>
      <c r="FZS5" t="s">
        <v>6984</v>
      </c>
      <c r="FZT5" t="s">
        <v>6984</v>
      </c>
      <c r="FZU5" t="s">
        <v>6984</v>
      </c>
      <c r="FZV5" t="s">
        <v>6984</v>
      </c>
      <c r="FZW5" t="s">
        <v>6984</v>
      </c>
      <c r="FZX5" t="s">
        <v>6984</v>
      </c>
      <c r="FZY5" t="s">
        <v>6984</v>
      </c>
      <c r="FZZ5" t="s">
        <v>6984</v>
      </c>
      <c r="GAA5" t="s">
        <v>6984</v>
      </c>
      <c r="GAB5" t="s">
        <v>6984</v>
      </c>
      <c r="GAC5" t="s">
        <v>6984</v>
      </c>
      <c r="GAD5" t="s">
        <v>6984</v>
      </c>
      <c r="GAE5" t="s">
        <v>6984</v>
      </c>
      <c r="GAF5" t="s">
        <v>6984</v>
      </c>
      <c r="GAG5" t="s">
        <v>6984</v>
      </c>
      <c r="GAH5" t="s">
        <v>6984</v>
      </c>
      <c r="GAI5" t="s">
        <v>6984</v>
      </c>
      <c r="GAJ5" t="s">
        <v>6984</v>
      </c>
      <c r="GAK5" t="s">
        <v>6984</v>
      </c>
      <c r="GAL5" t="s">
        <v>6984</v>
      </c>
      <c r="GAM5" t="s">
        <v>6984</v>
      </c>
      <c r="GAN5" t="s">
        <v>6984</v>
      </c>
      <c r="GAO5" t="s">
        <v>6984</v>
      </c>
      <c r="GAP5" t="s">
        <v>6984</v>
      </c>
      <c r="GAQ5" t="s">
        <v>6984</v>
      </c>
      <c r="GAR5" t="s">
        <v>6984</v>
      </c>
      <c r="GAS5" t="s">
        <v>6984</v>
      </c>
      <c r="GAT5" t="s">
        <v>6984</v>
      </c>
      <c r="GAU5" t="s">
        <v>6984</v>
      </c>
      <c r="GAV5" t="s">
        <v>6984</v>
      </c>
      <c r="GAW5" t="s">
        <v>6984</v>
      </c>
      <c r="GAX5" t="s">
        <v>6984</v>
      </c>
      <c r="GAY5" t="s">
        <v>6984</v>
      </c>
      <c r="GAZ5" t="s">
        <v>6984</v>
      </c>
      <c r="GBA5" t="s">
        <v>6984</v>
      </c>
      <c r="GBB5" t="s">
        <v>6984</v>
      </c>
      <c r="GBC5" t="s">
        <v>6984</v>
      </c>
      <c r="GBD5" t="s">
        <v>6984</v>
      </c>
      <c r="GBE5" t="s">
        <v>6984</v>
      </c>
      <c r="GBF5" t="s">
        <v>6984</v>
      </c>
      <c r="GBG5" t="s">
        <v>6984</v>
      </c>
      <c r="GBH5" t="s">
        <v>6984</v>
      </c>
      <c r="GBI5" t="s">
        <v>6984</v>
      </c>
      <c r="GBJ5" t="s">
        <v>6984</v>
      </c>
      <c r="GBK5" t="s">
        <v>6984</v>
      </c>
      <c r="GBL5" t="s">
        <v>6984</v>
      </c>
      <c r="GBM5" t="s">
        <v>6984</v>
      </c>
      <c r="GBN5" t="s">
        <v>6984</v>
      </c>
      <c r="GBO5" t="s">
        <v>6984</v>
      </c>
      <c r="GBP5" t="s">
        <v>6984</v>
      </c>
      <c r="GBQ5" t="s">
        <v>6984</v>
      </c>
      <c r="GBR5" t="s">
        <v>6984</v>
      </c>
      <c r="GBS5" t="s">
        <v>6984</v>
      </c>
      <c r="GBT5" t="s">
        <v>6984</v>
      </c>
      <c r="GBU5" t="s">
        <v>6984</v>
      </c>
      <c r="GBV5" t="s">
        <v>6984</v>
      </c>
      <c r="GBW5" t="s">
        <v>6984</v>
      </c>
      <c r="GBX5" t="s">
        <v>6984</v>
      </c>
      <c r="GBY5" t="s">
        <v>6984</v>
      </c>
      <c r="GBZ5" t="s">
        <v>6984</v>
      </c>
      <c r="GCA5" t="s">
        <v>6984</v>
      </c>
      <c r="GCB5" t="s">
        <v>6984</v>
      </c>
      <c r="GCC5" t="s">
        <v>6984</v>
      </c>
      <c r="GCD5" t="s">
        <v>6984</v>
      </c>
      <c r="GCE5" t="s">
        <v>6984</v>
      </c>
      <c r="GCF5" t="s">
        <v>6984</v>
      </c>
      <c r="GCG5" t="s">
        <v>6984</v>
      </c>
      <c r="GCH5" t="s">
        <v>6984</v>
      </c>
      <c r="GCI5" t="s">
        <v>6984</v>
      </c>
      <c r="GCJ5" t="s">
        <v>6984</v>
      </c>
      <c r="GCK5" t="s">
        <v>6984</v>
      </c>
      <c r="GCL5" t="s">
        <v>6984</v>
      </c>
      <c r="GCM5" t="s">
        <v>6984</v>
      </c>
      <c r="GCN5" t="s">
        <v>6984</v>
      </c>
      <c r="GCO5" t="s">
        <v>6984</v>
      </c>
      <c r="GCP5" t="s">
        <v>6984</v>
      </c>
      <c r="GCQ5" t="s">
        <v>6984</v>
      </c>
      <c r="GCR5" t="s">
        <v>6984</v>
      </c>
      <c r="GCS5" t="s">
        <v>6984</v>
      </c>
      <c r="GCT5" t="s">
        <v>6984</v>
      </c>
      <c r="GCU5" t="s">
        <v>6984</v>
      </c>
      <c r="GCV5" t="s">
        <v>6984</v>
      </c>
      <c r="GCW5" t="s">
        <v>6984</v>
      </c>
      <c r="GCX5" t="s">
        <v>6984</v>
      </c>
      <c r="GCY5" t="s">
        <v>6984</v>
      </c>
      <c r="GCZ5" t="s">
        <v>6984</v>
      </c>
      <c r="GDA5" t="s">
        <v>6984</v>
      </c>
      <c r="GDB5" t="s">
        <v>6984</v>
      </c>
      <c r="GDC5" t="s">
        <v>6984</v>
      </c>
      <c r="GDD5" t="s">
        <v>6984</v>
      </c>
      <c r="GDE5" t="s">
        <v>6984</v>
      </c>
      <c r="GDF5" t="s">
        <v>6984</v>
      </c>
      <c r="GDG5" t="s">
        <v>6984</v>
      </c>
      <c r="GDH5" t="s">
        <v>6984</v>
      </c>
      <c r="GDI5" t="s">
        <v>6984</v>
      </c>
      <c r="GDJ5" t="s">
        <v>6984</v>
      </c>
      <c r="GDK5" t="s">
        <v>6984</v>
      </c>
      <c r="GDL5" t="s">
        <v>6984</v>
      </c>
      <c r="GDM5" t="s">
        <v>6984</v>
      </c>
      <c r="GDN5" t="s">
        <v>6984</v>
      </c>
      <c r="GDO5" t="s">
        <v>6984</v>
      </c>
      <c r="GDP5" t="s">
        <v>6984</v>
      </c>
      <c r="GDQ5" t="s">
        <v>6984</v>
      </c>
      <c r="GDR5" t="s">
        <v>6984</v>
      </c>
      <c r="GDS5" t="s">
        <v>6984</v>
      </c>
      <c r="GDT5" t="s">
        <v>6984</v>
      </c>
      <c r="GDU5" t="s">
        <v>6984</v>
      </c>
      <c r="GDV5" t="s">
        <v>6984</v>
      </c>
      <c r="GDW5" t="s">
        <v>6984</v>
      </c>
      <c r="GDX5" t="s">
        <v>6984</v>
      </c>
      <c r="GDY5" t="s">
        <v>6984</v>
      </c>
      <c r="GDZ5" t="s">
        <v>6984</v>
      </c>
      <c r="GEA5" t="s">
        <v>6984</v>
      </c>
      <c r="GEB5" t="s">
        <v>6984</v>
      </c>
      <c r="GEC5" t="s">
        <v>6984</v>
      </c>
      <c r="GED5" t="s">
        <v>6984</v>
      </c>
      <c r="GEE5" t="s">
        <v>6984</v>
      </c>
      <c r="GEF5" t="s">
        <v>6984</v>
      </c>
      <c r="GEG5" t="s">
        <v>6984</v>
      </c>
      <c r="GEH5" t="s">
        <v>6984</v>
      </c>
      <c r="GEI5" t="s">
        <v>6984</v>
      </c>
      <c r="GEJ5" t="s">
        <v>6984</v>
      </c>
      <c r="GEK5" t="s">
        <v>6984</v>
      </c>
      <c r="GEL5" t="s">
        <v>6984</v>
      </c>
      <c r="GEM5" t="s">
        <v>6984</v>
      </c>
      <c r="GEN5" t="s">
        <v>6984</v>
      </c>
      <c r="GEO5" t="s">
        <v>6984</v>
      </c>
      <c r="GEP5" t="s">
        <v>6984</v>
      </c>
      <c r="GEQ5" t="s">
        <v>6984</v>
      </c>
      <c r="GER5" t="s">
        <v>6984</v>
      </c>
      <c r="GES5" t="s">
        <v>6984</v>
      </c>
      <c r="GET5" t="s">
        <v>6984</v>
      </c>
      <c r="GEU5" t="s">
        <v>6984</v>
      </c>
      <c r="GEV5" t="s">
        <v>6984</v>
      </c>
      <c r="GEW5" t="s">
        <v>6984</v>
      </c>
      <c r="GEX5" t="s">
        <v>6984</v>
      </c>
      <c r="GEY5" t="s">
        <v>6984</v>
      </c>
      <c r="GEZ5" t="s">
        <v>6984</v>
      </c>
      <c r="GFA5" t="s">
        <v>6984</v>
      </c>
      <c r="GFB5" t="s">
        <v>6984</v>
      </c>
      <c r="GFC5" t="s">
        <v>6984</v>
      </c>
      <c r="GFD5" t="s">
        <v>6984</v>
      </c>
      <c r="GFE5" t="s">
        <v>6984</v>
      </c>
      <c r="GFF5" t="s">
        <v>6984</v>
      </c>
      <c r="GFG5" t="s">
        <v>6984</v>
      </c>
      <c r="GFH5" t="s">
        <v>6984</v>
      </c>
      <c r="GFI5" t="s">
        <v>6984</v>
      </c>
      <c r="GFJ5" t="s">
        <v>6984</v>
      </c>
      <c r="GFK5" t="s">
        <v>6984</v>
      </c>
      <c r="GFL5" t="s">
        <v>6984</v>
      </c>
      <c r="GFM5" t="s">
        <v>6984</v>
      </c>
      <c r="GFN5" t="s">
        <v>6984</v>
      </c>
      <c r="GFO5" t="s">
        <v>6984</v>
      </c>
      <c r="GFP5" t="s">
        <v>6984</v>
      </c>
      <c r="GFQ5" t="s">
        <v>6984</v>
      </c>
      <c r="GFR5" t="s">
        <v>6984</v>
      </c>
      <c r="GFS5" t="s">
        <v>6984</v>
      </c>
      <c r="GFT5" t="s">
        <v>6984</v>
      </c>
      <c r="GFU5" t="s">
        <v>6984</v>
      </c>
      <c r="GFV5" t="s">
        <v>6984</v>
      </c>
      <c r="GFW5" t="s">
        <v>6984</v>
      </c>
      <c r="GFX5" t="s">
        <v>6984</v>
      </c>
      <c r="GFY5" t="s">
        <v>6984</v>
      </c>
      <c r="GFZ5" t="s">
        <v>6984</v>
      </c>
      <c r="GGA5" t="s">
        <v>6984</v>
      </c>
      <c r="GGB5" t="s">
        <v>6984</v>
      </c>
      <c r="GGC5" t="s">
        <v>6984</v>
      </c>
      <c r="GGD5" t="s">
        <v>6984</v>
      </c>
      <c r="GGE5" t="s">
        <v>6984</v>
      </c>
      <c r="GGF5" t="s">
        <v>6984</v>
      </c>
      <c r="GGG5" t="s">
        <v>6984</v>
      </c>
      <c r="GGH5" t="s">
        <v>6984</v>
      </c>
      <c r="GGI5" t="s">
        <v>6984</v>
      </c>
      <c r="GGJ5" t="s">
        <v>6984</v>
      </c>
      <c r="GGK5" t="s">
        <v>6984</v>
      </c>
      <c r="GGL5" t="s">
        <v>6984</v>
      </c>
      <c r="GGM5" t="s">
        <v>6984</v>
      </c>
      <c r="GGN5" t="s">
        <v>6984</v>
      </c>
      <c r="GGO5" t="s">
        <v>6984</v>
      </c>
      <c r="GGP5" t="s">
        <v>6984</v>
      </c>
      <c r="GGQ5" t="s">
        <v>6984</v>
      </c>
      <c r="GGR5" t="s">
        <v>6984</v>
      </c>
      <c r="GGS5" t="s">
        <v>6984</v>
      </c>
      <c r="GGT5" t="s">
        <v>6984</v>
      </c>
      <c r="GGU5" t="s">
        <v>6984</v>
      </c>
      <c r="GGV5" t="s">
        <v>6984</v>
      </c>
      <c r="GGW5" t="s">
        <v>6984</v>
      </c>
      <c r="GGX5" t="s">
        <v>6984</v>
      </c>
      <c r="GGY5" t="s">
        <v>6984</v>
      </c>
      <c r="GGZ5" t="s">
        <v>6984</v>
      </c>
      <c r="GHA5" t="s">
        <v>6984</v>
      </c>
      <c r="GHB5" t="s">
        <v>6984</v>
      </c>
      <c r="GHC5" t="s">
        <v>6984</v>
      </c>
      <c r="GHD5" t="s">
        <v>6984</v>
      </c>
      <c r="GHE5" t="s">
        <v>6984</v>
      </c>
      <c r="GHF5" t="s">
        <v>6984</v>
      </c>
      <c r="GHG5" t="s">
        <v>6984</v>
      </c>
      <c r="GHH5" t="s">
        <v>6984</v>
      </c>
      <c r="GHI5" t="s">
        <v>6984</v>
      </c>
      <c r="GHJ5" t="s">
        <v>6984</v>
      </c>
      <c r="GHK5" t="s">
        <v>6984</v>
      </c>
      <c r="GHL5" t="s">
        <v>6984</v>
      </c>
      <c r="GHM5" t="s">
        <v>6984</v>
      </c>
      <c r="GHN5" t="s">
        <v>6984</v>
      </c>
      <c r="GHO5" t="s">
        <v>6984</v>
      </c>
      <c r="GHP5" t="s">
        <v>6984</v>
      </c>
      <c r="GHQ5" t="s">
        <v>6984</v>
      </c>
      <c r="GHR5" t="s">
        <v>6984</v>
      </c>
      <c r="GHS5" t="s">
        <v>6984</v>
      </c>
      <c r="GHT5" t="s">
        <v>6984</v>
      </c>
      <c r="GHU5" t="s">
        <v>6984</v>
      </c>
      <c r="GHV5" t="s">
        <v>6984</v>
      </c>
      <c r="GHW5" t="s">
        <v>6984</v>
      </c>
      <c r="GHX5" t="s">
        <v>6984</v>
      </c>
      <c r="GHY5" t="s">
        <v>6984</v>
      </c>
      <c r="GHZ5" t="s">
        <v>6984</v>
      </c>
      <c r="GIA5" t="s">
        <v>6984</v>
      </c>
      <c r="GIB5" t="s">
        <v>6984</v>
      </c>
      <c r="GIC5" t="s">
        <v>6984</v>
      </c>
      <c r="GID5" t="s">
        <v>6984</v>
      </c>
      <c r="GIE5" t="s">
        <v>6984</v>
      </c>
      <c r="GIF5" t="s">
        <v>6984</v>
      </c>
      <c r="GIG5" t="s">
        <v>6984</v>
      </c>
      <c r="GIH5" t="s">
        <v>6984</v>
      </c>
      <c r="GII5" t="s">
        <v>6984</v>
      </c>
      <c r="GIJ5" t="s">
        <v>6984</v>
      </c>
      <c r="GIK5" t="s">
        <v>6984</v>
      </c>
      <c r="GIL5" t="s">
        <v>6984</v>
      </c>
      <c r="GIM5" t="s">
        <v>6984</v>
      </c>
      <c r="GIN5" t="s">
        <v>6984</v>
      </c>
      <c r="GIO5" t="s">
        <v>6984</v>
      </c>
      <c r="GIP5" t="s">
        <v>6984</v>
      </c>
      <c r="GIQ5" t="s">
        <v>6984</v>
      </c>
      <c r="GIR5" t="s">
        <v>6984</v>
      </c>
      <c r="GIS5" t="s">
        <v>6984</v>
      </c>
      <c r="GIT5" t="s">
        <v>6984</v>
      </c>
      <c r="GIU5" t="s">
        <v>6984</v>
      </c>
      <c r="GIV5" t="s">
        <v>6984</v>
      </c>
      <c r="GIW5" t="s">
        <v>6984</v>
      </c>
      <c r="GIX5" t="s">
        <v>6984</v>
      </c>
      <c r="GIY5" t="s">
        <v>6984</v>
      </c>
      <c r="GIZ5" t="s">
        <v>6984</v>
      </c>
      <c r="GJA5" t="s">
        <v>6984</v>
      </c>
      <c r="GJB5" t="s">
        <v>6984</v>
      </c>
      <c r="GJC5" t="s">
        <v>6984</v>
      </c>
      <c r="GJD5" t="s">
        <v>6984</v>
      </c>
      <c r="GJE5" t="s">
        <v>6984</v>
      </c>
      <c r="GJF5" t="s">
        <v>6984</v>
      </c>
      <c r="GJG5" t="s">
        <v>6984</v>
      </c>
      <c r="GJH5" t="s">
        <v>6984</v>
      </c>
      <c r="GJI5" t="s">
        <v>6984</v>
      </c>
      <c r="GJJ5" t="s">
        <v>6984</v>
      </c>
      <c r="GJK5" t="s">
        <v>6984</v>
      </c>
      <c r="GJL5" t="s">
        <v>6984</v>
      </c>
      <c r="GJM5" t="s">
        <v>6984</v>
      </c>
      <c r="GJN5" t="s">
        <v>6984</v>
      </c>
      <c r="GJO5" t="s">
        <v>6984</v>
      </c>
      <c r="GJP5" t="s">
        <v>6984</v>
      </c>
      <c r="GJQ5" t="s">
        <v>6984</v>
      </c>
      <c r="GJR5" t="s">
        <v>6984</v>
      </c>
      <c r="GJS5" t="s">
        <v>6984</v>
      </c>
      <c r="GJT5" t="s">
        <v>6984</v>
      </c>
      <c r="GJU5" t="s">
        <v>6984</v>
      </c>
      <c r="GJV5" t="s">
        <v>6984</v>
      </c>
      <c r="GJW5" t="s">
        <v>6984</v>
      </c>
      <c r="GJX5" t="s">
        <v>6984</v>
      </c>
      <c r="GJY5" t="s">
        <v>6984</v>
      </c>
      <c r="GJZ5" t="s">
        <v>6984</v>
      </c>
      <c r="GKA5" t="s">
        <v>6984</v>
      </c>
      <c r="GKB5" t="s">
        <v>6984</v>
      </c>
      <c r="GKC5" t="s">
        <v>6984</v>
      </c>
      <c r="GKD5" t="s">
        <v>6984</v>
      </c>
      <c r="GKE5" t="s">
        <v>6984</v>
      </c>
      <c r="GKF5" t="s">
        <v>6984</v>
      </c>
      <c r="GKG5" t="s">
        <v>6984</v>
      </c>
      <c r="GKH5" t="s">
        <v>6984</v>
      </c>
      <c r="GKI5" t="s">
        <v>6984</v>
      </c>
      <c r="GKJ5" t="s">
        <v>6984</v>
      </c>
      <c r="GKK5" t="s">
        <v>6984</v>
      </c>
      <c r="GKL5" t="s">
        <v>6984</v>
      </c>
      <c r="GKM5" t="s">
        <v>6984</v>
      </c>
      <c r="GKN5" t="s">
        <v>6984</v>
      </c>
      <c r="GKO5" t="s">
        <v>6984</v>
      </c>
      <c r="GKP5" t="s">
        <v>6984</v>
      </c>
      <c r="GKQ5" t="s">
        <v>6984</v>
      </c>
      <c r="GKR5" t="s">
        <v>6984</v>
      </c>
      <c r="GKS5" t="s">
        <v>6984</v>
      </c>
      <c r="GKT5" t="s">
        <v>6984</v>
      </c>
      <c r="GKU5" t="s">
        <v>6984</v>
      </c>
      <c r="GKV5" t="s">
        <v>6984</v>
      </c>
      <c r="GKW5" t="s">
        <v>6984</v>
      </c>
      <c r="GKX5" t="s">
        <v>6984</v>
      </c>
      <c r="GKY5" t="s">
        <v>6984</v>
      </c>
      <c r="GKZ5" t="s">
        <v>6984</v>
      </c>
      <c r="GLA5" t="s">
        <v>6984</v>
      </c>
      <c r="GLB5" t="s">
        <v>6984</v>
      </c>
      <c r="GLC5" t="s">
        <v>6984</v>
      </c>
      <c r="GLD5" t="s">
        <v>6984</v>
      </c>
      <c r="GLE5" t="s">
        <v>6984</v>
      </c>
      <c r="GLF5" t="s">
        <v>6984</v>
      </c>
      <c r="GLG5" t="s">
        <v>6984</v>
      </c>
      <c r="GLH5" t="s">
        <v>6984</v>
      </c>
      <c r="GLI5" t="s">
        <v>6984</v>
      </c>
      <c r="GLJ5" t="s">
        <v>6984</v>
      </c>
      <c r="GLK5" t="s">
        <v>6984</v>
      </c>
      <c r="GLL5" t="s">
        <v>6984</v>
      </c>
      <c r="GLM5" t="s">
        <v>6984</v>
      </c>
      <c r="GLN5" t="s">
        <v>6984</v>
      </c>
      <c r="GLO5" t="s">
        <v>6984</v>
      </c>
      <c r="GLP5" t="s">
        <v>6984</v>
      </c>
      <c r="GLQ5" t="s">
        <v>6984</v>
      </c>
      <c r="GLR5" t="s">
        <v>6984</v>
      </c>
      <c r="GLS5" t="s">
        <v>6984</v>
      </c>
      <c r="GLT5" t="s">
        <v>6984</v>
      </c>
      <c r="GLU5" t="s">
        <v>6984</v>
      </c>
      <c r="GLV5" t="s">
        <v>6984</v>
      </c>
      <c r="GLW5" t="s">
        <v>6984</v>
      </c>
      <c r="GLX5" t="s">
        <v>6984</v>
      </c>
      <c r="GLY5" t="s">
        <v>6984</v>
      </c>
      <c r="GLZ5" t="s">
        <v>6984</v>
      </c>
      <c r="GMA5" t="s">
        <v>6984</v>
      </c>
      <c r="GMB5" t="s">
        <v>6984</v>
      </c>
      <c r="GMC5" t="s">
        <v>6984</v>
      </c>
      <c r="GMD5" t="s">
        <v>6984</v>
      </c>
      <c r="GME5" t="s">
        <v>6984</v>
      </c>
      <c r="GMF5" t="s">
        <v>6984</v>
      </c>
      <c r="GMG5" t="s">
        <v>6984</v>
      </c>
      <c r="GMH5" t="s">
        <v>6984</v>
      </c>
      <c r="GMI5" t="s">
        <v>6984</v>
      </c>
      <c r="GMJ5" t="s">
        <v>6984</v>
      </c>
      <c r="GMK5" t="s">
        <v>6984</v>
      </c>
      <c r="GML5" t="s">
        <v>6984</v>
      </c>
      <c r="GMM5" t="s">
        <v>6984</v>
      </c>
      <c r="GMN5" t="s">
        <v>6984</v>
      </c>
      <c r="GMO5" t="s">
        <v>6984</v>
      </c>
      <c r="GMP5" t="s">
        <v>6984</v>
      </c>
      <c r="GMQ5" t="s">
        <v>6984</v>
      </c>
      <c r="GMR5" t="s">
        <v>6984</v>
      </c>
      <c r="GMS5" t="s">
        <v>6984</v>
      </c>
      <c r="GMT5" t="s">
        <v>6984</v>
      </c>
      <c r="GMU5" t="s">
        <v>6984</v>
      </c>
      <c r="GMV5" t="s">
        <v>6984</v>
      </c>
      <c r="GMW5" t="s">
        <v>6984</v>
      </c>
      <c r="GMX5" t="s">
        <v>6984</v>
      </c>
      <c r="GMY5" t="s">
        <v>6984</v>
      </c>
      <c r="GMZ5" t="s">
        <v>6984</v>
      </c>
      <c r="GNA5" t="s">
        <v>6984</v>
      </c>
      <c r="GNB5" t="s">
        <v>6984</v>
      </c>
      <c r="GNC5" t="s">
        <v>6984</v>
      </c>
      <c r="GND5" t="s">
        <v>6984</v>
      </c>
      <c r="GNE5" t="s">
        <v>6984</v>
      </c>
      <c r="GNF5" t="s">
        <v>6984</v>
      </c>
      <c r="GNG5" t="s">
        <v>6984</v>
      </c>
      <c r="GNH5" t="s">
        <v>6984</v>
      </c>
      <c r="GNI5" t="s">
        <v>6984</v>
      </c>
      <c r="GNJ5" t="s">
        <v>6984</v>
      </c>
      <c r="GNK5" t="s">
        <v>6984</v>
      </c>
      <c r="GNL5" t="s">
        <v>6984</v>
      </c>
      <c r="GNM5" t="s">
        <v>6984</v>
      </c>
      <c r="GNN5" t="s">
        <v>6984</v>
      </c>
      <c r="GNO5" t="s">
        <v>6984</v>
      </c>
      <c r="GNP5" t="s">
        <v>6984</v>
      </c>
      <c r="GNQ5" t="s">
        <v>6984</v>
      </c>
      <c r="GNR5" t="s">
        <v>6984</v>
      </c>
      <c r="GNS5" t="s">
        <v>6984</v>
      </c>
      <c r="GNT5" t="s">
        <v>6984</v>
      </c>
      <c r="GNU5" t="s">
        <v>6984</v>
      </c>
      <c r="GNV5" t="s">
        <v>6984</v>
      </c>
      <c r="GNW5" t="s">
        <v>6984</v>
      </c>
      <c r="GNX5" t="s">
        <v>6984</v>
      </c>
      <c r="GNY5" t="s">
        <v>6984</v>
      </c>
      <c r="GNZ5" t="s">
        <v>6984</v>
      </c>
      <c r="GOA5" t="s">
        <v>6984</v>
      </c>
      <c r="GOB5" t="s">
        <v>6984</v>
      </c>
      <c r="GOC5" t="s">
        <v>6984</v>
      </c>
      <c r="GOD5" t="s">
        <v>6984</v>
      </c>
      <c r="GOE5" t="s">
        <v>6984</v>
      </c>
      <c r="GOF5" t="s">
        <v>6984</v>
      </c>
      <c r="GOG5" t="s">
        <v>6984</v>
      </c>
      <c r="GOH5" t="s">
        <v>6984</v>
      </c>
      <c r="GOI5" t="s">
        <v>6984</v>
      </c>
      <c r="GOJ5" t="s">
        <v>6984</v>
      </c>
      <c r="GOK5" t="s">
        <v>6984</v>
      </c>
      <c r="GOL5" t="s">
        <v>6984</v>
      </c>
      <c r="GOM5" t="s">
        <v>6984</v>
      </c>
      <c r="GON5" t="s">
        <v>6984</v>
      </c>
      <c r="GOO5" t="s">
        <v>6984</v>
      </c>
      <c r="GOP5" t="s">
        <v>6984</v>
      </c>
      <c r="GOQ5" t="s">
        <v>6984</v>
      </c>
      <c r="GOR5" t="s">
        <v>6984</v>
      </c>
      <c r="GOS5" t="s">
        <v>6984</v>
      </c>
      <c r="GOT5" t="s">
        <v>6984</v>
      </c>
      <c r="GOU5" t="s">
        <v>6984</v>
      </c>
      <c r="GOV5" t="s">
        <v>6984</v>
      </c>
      <c r="GOW5" t="s">
        <v>6984</v>
      </c>
      <c r="GOX5" t="s">
        <v>6984</v>
      </c>
      <c r="GOY5" t="s">
        <v>6984</v>
      </c>
      <c r="GOZ5" t="s">
        <v>6984</v>
      </c>
      <c r="GPA5" t="s">
        <v>6984</v>
      </c>
      <c r="GPB5" t="s">
        <v>6984</v>
      </c>
      <c r="GPC5" t="s">
        <v>6984</v>
      </c>
      <c r="GPD5" t="s">
        <v>6984</v>
      </c>
      <c r="GPE5" t="s">
        <v>6984</v>
      </c>
      <c r="GPF5" t="s">
        <v>6984</v>
      </c>
      <c r="GPG5" t="s">
        <v>6984</v>
      </c>
      <c r="GPH5" t="s">
        <v>6984</v>
      </c>
      <c r="GPI5" t="s">
        <v>6984</v>
      </c>
      <c r="GPJ5" t="s">
        <v>6984</v>
      </c>
      <c r="GPK5" t="s">
        <v>6984</v>
      </c>
      <c r="GPL5" t="s">
        <v>6984</v>
      </c>
      <c r="GPM5" t="s">
        <v>6984</v>
      </c>
      <c r="GPN5" t="s">
        <v>6984</v>
      </c>
      <c r="GPO5" t="s">
        <v>6984</v>
      </c>
      <c r="GPP5" t="s">
        <v>6984</v>
      </c>
      <c r="GPQ5" t="s">
        <v>6984</v>
      </c>
      <c r="GPR5" t="s">
        <v>6984</v>
      </c>
      <c r="GPS5" t="s">
        <v>6984</v>
      </c>
      <c r="GPT5" t="s">
        <v>6984</v>
      </c>
      <c r="GPU5" t="s">
        <v>6984</v>
      </c>
      <c r="GPV5" t="s">
        <v>6984</v>
      </c>
      <c r="GPW5" t="s">
        <v>6984</v>
      </c>
      <c r="GPX5" t="s">
        <v>6984</v>
      </c>
      <c r="GPY5" t="s">
        <v>6984</v>
      </c>
      <c r="GPZ5" t="s">
        <v>6984</v>
      </c>
      <c r="GQA5" t="s">
        <v>6984</v>
      </c>
      <c r="GQB5" t="s">
        <v>6984</v>
      </c>
      <c r="GQC5" t="s">
        <v>6984</v>
      </c>
      <c r="GQD5" t="s">
        <v>6984</v>
      </c>
      <c r="GQE5" t="s">
        <v>6984</v>
      </c>
      <c r="GQF5" t="s">
        <v>6984</v>
      </c>
      <c r="GQG5" t="s">
        <v>6984</v>
      </c>
      <c r="GQH5" t="s">
        <v>6984</v>
      </c>
      <c r="GQI5" t="s">
        <v>6984</v>
      </c>
      <c r="GQJ5" t="s">
        <v>6984</v>
      </c>
      <c r="GQK5" t="s">
        <v>6984</v>
      </c>
      <c r="GQL5" t="s">
        <v>6984</v>
      </c>
      <c r="GQM5" t="s">
        <v>6984</v>
      </c>
      <c r="GQN5" t="s">
        <v>6984</v>
      </c>
      <c r="GQO5" t="s">
        <v>6984</v>
      </c>
      <c r="GQP5" t="s">
        <v>6984</v>
      </c>
      <c r="GQQ5" t="s">
        <v>6984</v>
      </c>
      <c r="GQR5" t="s">
        <v>6984</v>
      </c>
      <c r="GQS5" t="s">
        <v>6984</v>
      </c>
      <c r="GQT5" t="s">
        <v>6984</v>
      </c>
      <c r="GQU5" t="s">
        <v>6984</v>
      </c>
      <c r="GQV5" t="s">
        <v>6984</v>
      </c>
      <c r="GQW5" t="s">
        <v>6984</v>
      </c>
      <c r="GQX5" t="s">
        <v>6984</v>
      </c>
      <c r="GQY5" t="s">
        <v>6984</v>
      </c>
      <c r="GQZ5" t="s">
        <v>6984</v>
      </c>
      <c r="GRA5" t="s">
        <v>6984</v>
      </c>
      <c r="GRB5" t="s">
        <v>6984</v>
      </c>
      <c r="GRC5" t="s">
        <v>6984</v>
      </c>
      <c r="GRD5" t="s">
        <v>6984</v>
      </c>
      <c r="GRE5" t="s">
        <v>6984</v>
      </c>
      <c r="GRF5" t="s">
        <v>6984</v>
      </c>
      <c r="GRG5" t="s">
        <v>6984</v>
      </c>
      <c r="GRH5" t="s">
        <v>6984</v>
      </c>
      <c r="GRI5" t="s">
        <v>6984</v>
      </c>
      <c r="GRJ5" t="s">
        <v>6984</v>
      </c>
      <c r="GRK5" t="s">
        <v>6984</v>
      </c>
      <c r="GRL5" t="s">
        <v>6984</v>
      </c>
      <c r="GRM5" t="s">
        <v>6984</v>
      </c>
      <c r="GRN5" t="s">
        <v>6984</v>
      </c>
      <c r="GRO5" t="s">
        <v>6984</v>
      </c>
      <c r="GRP5" t="s">
        <v>6984</v>
      </c>
      <c r="GRQ5" t="s">
        <v>6984</v>
      </c>
      <c r="GRR5" t="s">
        <v>6984</v>
      </c>
      <c r="GRS5" t="s">
        <v>6984</v>
      </c>
      <c r="GRT5" t="s">
        <v>6984</v>
      </c>
      <c r="GRU5" t="s">
        <v>6984</v>
      </c>
      <c r="GRV5" t="s">
        <v>6984</v>
      </c>
      <c r="GRW5" t="s">
        <v>6984</v>
      </c>
      <c r="GRX5" t="s">
        <v>6984</v>
      </c>
      <c r="GRY5" t="s">
        <v>6984</v>
      </c>
      <c r="GRZ5" t="s">
        <v>6984</v>
      </c>
      <c r="GSA5" t="s">
        <v>6984</v>
      </c>
      <c r="GSB5" t="s">
        <v>6984</v>
      </c>
      <c r="GSC5" t="s">
        <v>6984</v>
      </c>
      <c r="GSD5" t="s">
        <v>6984</v>
      </c>
      <c r="GSE5" t="s">
        <v>6984</v>
      </c>
      <c r="GSF5" t="s">
        <v>6984</v>
      </c>
      <c r="GSG5" t="s">
        <v>6984</v>
      </c>
      <c r="GSH5" t="s">
        <v>6984</v>
      </c>
      <c r="GSI5" t="s">
        <v>6984</v>
      </c>
      <c r="GSJ5" t="s">
        <v>6984</v>
      </c>
      <c r="GSK5" t="s">
        <v>6984</v>
      </c>
      <c r="GSL5" t="s">
        <v>6984</v>
      </c>
      <c r="GSM5" t="s">
        <v>6984</v>
      </c>
      <c r="GSN5" t="s">
        <v>6984</v>
      </c>
      <c r="GSO5" t="s">
        <v>6984</v>
      </c>
      <c r="GSP5" t="s">
        <v>6984</v>
      </c>
      <c r="GSQ5" t="s">
        <v>6984</v>
      </c>
      <c r="GSR5" t="s">
        <v>6984</v>
      </c>
      <c r="GSS5" t="s">
        <v>6984</v>
      </c>
      <c r="GST5" t="s">
        <v>6984</v>
      </c>
      <c r="GSU5" t="s">
        <v>6984</v>
      </c>
      <c r="GSV5" t="s">
        <v>6984</v>
      </c>
      <c r="GSW5" t="s">
        <v>6984</v>
      </c>
      <c r="GSX5" t="s">
        <v>6984</v>
      </c>
      <c r="GSY5" t="s">
        <v>6984</v>
      </c>
      <c r="GSZ5" t="s">
        <v>6984</v>
      </c>
      <c r="GTA5" t="s">
        <v>6984</v>
      </c>
      <c r="GTB5" t="s">
        <v>6984</v>
      </c>
      <c r="GTC5" t="s">
        <v>6984</v>
      </c>
      <c r="GTD5" t="s">
        <v>6984</v>
      </c>
      <c r="GTE5" t="s">
        <v>6984</v>
      </c>
      <c r="GTF5" t="s">
        <v>6984</v>
      </c>
      <c r="GTG5" t="s">
        <v>6984</v>
      </c>
      <c r="GTH5" t="s">
        <v>6984</v>
      </c>
      <c r="GTI5" t="s">
        <v>6984</v>
      </c>
      <c r="GTJ5" t="s">
        <v>6984</v>
      </c>
      <c r="GTK5" t="s">
        <v>6984</v>
      </c>
      <c r="GTL5" t="s">
        <v>6984</v>
      </c>
      <c r="GTM5" t="s">
        <v>6984</v>
      </c>
      <c r="GTN5" t="s">
        <v>6984</v>
      </c>
      <c r="GTO5" t="s">
        <v>6984</v>
      </c>
      <c r="GTP5" t="s">
        <v>6984</v>
      </c>
      <c r="GTQ5" t="s">
        <v>6984</v>
      </c>
      <c r="GTR5" t="s">
        <v>6984</v>
      </c>
      <c r="GTS5" t="s">
        <v>6984</v>
      </c>
      <c r="GTT5" t="s">
        <v>6984</v>
      </c>
      <c r="GTU5" t="s">
        <v>6984</v>
      </c>
      <c r="GTV5" t="s">
        <v>6984</v>
      </c>
      <c r="GTW5" t="s">
        <v>6984</v>
      </c>
      <c r="GTX5" t="s">
        <v>6984</v>
      </c>
      <c r="GTY5" t="s">
        <v>6984</v>
      </c>
      <c r="GTZ5" t="s">
        <v>6984</v>
      </c>
      <c r="GUA5" t="s">
        <v>6984</v>
      </c>
      <c r="GUB5" t="s">
        <v>6984</v>
      </c>
      <c r="GUC5" t="s">
        <v>6984</v>
      </c>
      <c r="GUD5" t="s">
        <v>6984</v>
      </c>
      <c r="GUE5" t="s">
        <v>6984</v>
      </c>
      <c r="GUF5" t="s">
        <v>6984</v>
      </c>
      <c r="GUG5" t="s">
        <v>6984</v>
      </c>
      <c r="GUH5" t="s">
        <v>6984</v>
      </c>
      <c r="GUI5" t="s">
        <v>6984</v>
      </c>
      <c r="GUJ5" t="s">
        <v>6984</v>
      </c>
      <c r="GUK5" t="s">
        <v>6984</v>
      </c>
      <c r="GUL5" t="s">
        <v>6984</v>
      </c>
      <c r="GUM5" t="s">
        <v>6984</v>
      </c>
      <c r="GUN5" t="s">
        <v>6984</v>
      </c>
      <c r="GUO5" t="s">
        <v>6984</v>
      </c>
      <c r="GUP5" t="s">
        <v>6984</v>
      </c>
      <c r="GUQ5" t="s">
        <v>6984</v>
      </c>
      <c r="GUR5" t="s">
        <v>6984</v>
      </c>
      <c r="GUS5" t="s">
        <v>6984</v>
      </c>
      <c r="GUT5" t="s">
        <v>6984</v>
      </c>
      <c r="GUU5" t="s">
        <v>6984</v>
      </c>
      <c r="GUV5" t="s">
        <v>6984</v>
      </c>
      <c r="GUW5" t="s">
        <v>6984</v>
      </c>
      <c r="GUX5" t="s">
        <v>6984</v>
      </c>
      <c r="GUY5" t="s">
        <v>6984</v>
      </c>
      <c r="GUZ5" t="s">
        <v>6984</v>
      </c>
      <c r="GVA5" t="s">
        <v>6984</v>
      </c>
      <c r="GVB5" t="s">
        <v>6984</v>
      </c>
      <c r="GVC5" t="s">
        <v>6984</v>
      </c>
      <c r="GVD5" t="s">
        <v>6984</v>
      </c>
      <c r="GVE5" t="s">
        <v>6984</v>
      </c>
      <c r="GVF5" t="s">
        <v>6984</v>
      </c>
      <c r="GVG5" t="s">
        <v>6984</v>
      </c>
      <c r="GVH5" t="s">
        <v>6984</v>
      </c>
      <c r="GVI5" t="s">
        <v>6984</v>
      </c>
      <c r="GVJ5" t="s">
        <v>6984</v>
      </c>
      <c r="GVK5" t="s">
        <v>6984</v>
      </c>
      <c r="GVL5" t="s">
        <v>6984</v>
      </c>
      <c r="GVM5" t="s">
        <v>6984</v>
      </c>
      <c r="GVN5" t="s">
        <v>6984</v>
      </c>
      <c r="GVO5" t="s">
        <v>6984</v>
      </c>
      <c r="GVP5" t="s">
        <v>6984</v>
      </c>
      <c r="GVQ5" t="s">
        <v>6984</v>
      </c>
      <c r="GVR5" t="s">
        <v>6984</v>
      </c>
      <c r="GVS5" t="s">
        <v>6984</v>
      </c>
      <c r="GVT5" t="s">
        <v>6984</v>
      </c>
      <c r="GVU5" t="s">
        <v>6984</v>
      </c>
      <c r="GVV5" t="s">
        <v>6984</v>
      </c>
      <c r="GVW5" t="s">
        <v>6984</v>
      </c>
      <c r="GVX5" t="s">
        <v>6984</v>
      </c>
      <c r="GVY5" t="s">
        <v>6984</v>
      </c>
      <c r="GVZ5" t="s">
        <v>6984</v>
      </c>
      <c r="GWA5" t="s">
        <v>6984</v>
      </c>
      <c r="GWB5" t="s">
        <v>6984</v>
      </c>
      <c r="GWC5" t="s">
        <v>6984</v>
      </c>
      <c r="GWD5" t="s">
        <v>6984</v>
      </c>
      <c r="GWE5" t="s">
        <v>6984</v>
      </c>
      <c r="GWF5" t="s">
        <v>6984</v>
      </c>
      <c r="GWG5" t="s">
        <v>6984</v>
      </c>
      <c r="GWH5" t="s">
        <v>6984</v>
      </c>
      <c r="GWI5" t="s">
        <v>6984</v>
      </c>
      <c r="GWJ5" t="s">
        <v>6984</v>
      </c>
      <c r="GWK5" t="s">
        <v>6984</v>
      </c>
      <c r="GWL5" t="s">
        <v>6984</v>
      </c>
      <c r="GWM5" t="s">
        <v>6984</v>
      </c>
      <c r="GWN5" t="s">
        <v>6984</v>
      </c>
      <c r="GWO5" t="s">
        <v>6984</v>
      </c>
      <c r="GWP5" t="s">
        <v>6984</v>
      </c>
      <c r="GWQ5" t="s">
        <v>6984</v>
      </c>
      <c r="GWR5" t="s">
        <v>6984</v>
      </c>
      <c r="GWS5" t="s">
        <v>6984</v>
      </c>
      <c r="GWT5" t="s">
        <v>6984</v>
      </c>
      <c r="GWU5" t="s">
        <v>6984</v>
      </c>
      <c r="GWV5" t="s">
        <v>6984</v>
      </c>
      <c r="GWW5" t="s">
        <v>6984</v>
      </c>
      <c r="GWX5" t="s">
        <v>6984</v>
      </c>
      <c r="GWY5" t="s">
        <v>6984</v>
      </c>
      <c r="GWZ5" t="s">
        <v>6984</v>
      </c>
      <c r="GXA5" t="s">
        <v>6984</v>
      </c>
      <c r="GXB5" t="s">
        <v>6984</v>
      </c>
      <c r="GXC5" t="s">
        <v>6984</v>
      </c>
      <c r="GXD5" t="s">
        <v>6984</v>
      </c>
      <c r="GXE5" t="s">
        <v>6984</v>
      </c>
      <c r="GXF5" t="s">
        <v>6984</v>
      </c>
      <c r="GXG5" t="s">
        <v>6984</v>
      </c>
      <c r="GXH5" t="s">
        <v>6984</v>
      </c>
      <c r="GXI5" t="s">
        <v>6984</v>
      </c>
      <c r="GXJ5" t="s">
        <v>6984</v>
      </c>
      <c r="GXK5" t="s">
        <v>6984</v>
      </c>
      <c r="GXL5" t="s">
        <v>6984</v>
      </c>
      <c r="GXM5" t="s">
        <v>6984</v>
      </c>
      <c r="GXN5" t="s">
        <v>6984</v>
      </c>
      <c r="GXO5" t="s">
        <v>6984</v>
      </c>
      <c r="GXP5" t="s">
        <v>6984</v>
      </c>
      <c r="GXQ5" t="s">
        <v>6984</v>
      </c>
      <c r="GXR5" t="s">
        <v>6984</v>
      </c>
      <c r="GXS5" t="s">
        <v>6984</v>
      </c>
      <c r="GXT5" t="s">
        <v>6984</v>
      </c>
      <c r="GXU5" t="s">
        <v>6984</v>
      </c>
      <c r="GXV5" t="s">
        <v>6984</v>
      </c>
      <c r="GXW5" t="s">
        <v>6984</v>
      </c>
      <c r="GXX5" t="s">
        <v>6984</v>
      </c>
      <c r="GXY5" t="s">
        <v>6984</v>
      </c>
      <c r="GXZ5" t="s">
        <v>6984</v>
      </c>
      <c r="GYA5" t="s">
        <v>6984</v>
      </c>
      <c r="GYB5" t="s">
        <v>6984</v>
      </c>
      <c r="GYC5" t="s">
        <v>6984</v>
      </c>
      <c r="GYD5" t="s">
        <v>6984</v>
      </c>
      <c r="GYE5" t="s">
        <v>6984</v>
      </c>
      <c r="GYF5" t="s">
        <v>6984</v>
      </c>
      <c r="GYG5" t="s">
        <v>6984</v>
      </c>
      <c r="GYH5" t="s">
        <v>6984</v>
      </c>
      <c r="GYI5" t="s">
        <v>6984</v>
      </c>
      <c r="GYJ5" t="s">
        <v>6984</v>
      </c>
      <c r="GYK5" t="s">
        <v>6984</v>
      </c>
      <c r="GYL5" t="s">
        <v>6984</v>
      </c>
      <c r="GYM5" t="s">
        <v>6984</v>
      </c>
      <c r="GYN5" t="s">
        <v>6984</v>
      </c>
      <c r="GYO5" t="s">
        <v>6984</v>
      </c>
      <c r="GYP5" t="s">
        <v>6984</v>
      </c>
      <c r="GYQ5" t="s">
        <v>6984</v>
      </c>
      <c r="GYR5" t="s">
        <v>6984</v>
      </c>
      <c r="GYS5" t="s">
        <v>6984</v>
      </c>
      <c r="GYT5" t="s">
        <v>6984</v>
      </c>
      <c r="GYU5" t="s">
        <v>6984</v>
      </c>
      <c r="GYV5" t="s">
        <v>6984</v>
      </c>
      <c r="GYW5" t="s">
        <v>6984</v>
      </c>
      <c r="GYX5" t="s">
        <v>6984</v>
      </c>
      <c r="GYY5" t="s">
        <v>6984</v>
      </c>
      <c r="GYZ5" t="s">
        <v>6984</v>
      </c>
      <c r="GZA5" t="s">
        <v>6984</v>
      </c>
      <c r="GZB5" t="s">
        <v>6984</v>
      </c>
      <c r="GZC5" t="s">
        <v>6984</v>
      </c>
      <c r="GZD5" t="s">
        <v>6984</v>
      </c>
      <c r="GZE5" t="s">
        <v>6984</v>
      </c>
      <c r="GZF5" t="s">
        <v>6984</v>
      </c>
      <c r="GZG5" t="s">
        <v>6984</v>
      </c>
      <c r="GZH5" t="s">
        <v>6984</v>
      </c>
      <c r="GZI5" t="s">
        <v>6984</v>
      </c>
      <c r="GZJ5" t="s">
        <v>6984</v>
      </c>
      <c r="GZK5" t="s">
        <v>6984</v>
      </c>
      <c r="GZL5" t="s">
        <v>6984</v>
      </c>
      <c r="GZM5" t="s">
        <v>6984</v>
      </c>
      <c r="GZN5" t="s">
        <v>6984</v>
      </c>
      <c r="GZO5" t="s">
        <v>6984</v>
      </c>
      <c r="GZP5" t="s">
        <v>6984</v>
      </c>
      <c r="GZQ5" t="s">
        <v>6984</v>
      </c>
      <c r="GZR5" t="s">
        <v>6984</v>
      </c>
      <c r="GZS5" t="s">
        <v>6984</v>
      </c>
      <c r="GZT5" t="s">
        <v>6984</v>
      </c>
      <c r="GZU5" t="s">
        <v>6984</v>
      </c>
      <c r="GZV5" t="s">
        <v>6984</v>
      </c>
      <c r="GZW5" t="s">
        <v>6984</v>
      </c>
      <c r="GZX5" t="s">
        <v>6984</v>
      </c>
      <c r="GZY5" t="s">
        <v>6984</v>
      </c>
      <c r="GZZ5" t="s">
        <v>6984</v>
      </c>
      <c r="HAA5" t="s">
        <v>6984</v>
      </c>
      <c r="HAB5" t="s">
        <v>6984</v>
      </c>
      <c r="HAC5" t="s">
        <v>6984</v>
      </c>
      <c r="HAD5" t="s">
        <v>6984</v>
      </c>
      <c r="HAE5" t="s">
        <v>6984</v>
      </c>
      <c r="HAF5" t="s">
        <v>6984</v>
      </c>
      <c r="HAG5" t="s">
        <v>6984</v>
      </c>
      <c r="HAH5" t="s">
        <v>6984</v>
      </c>
      <c r="HAI5" t="s">
        <v>6984</v>
      </c>
      <c r="HAJ5" t="s">
        <v>6984</v>
      </c>
      <c r="HAK5" t="s">
        <v>6984</v>
      </c>
      <c r="HAL5" t="s">
        <v>6984</v>
      </c>
      <c r="HAM5" t="s">
        <v>6984</v>
      </c>
      <c r="HAN5" t="s">
        <v>6984</v>
      </c>
      <c r="HAO5" t="s">
        <v>6984</v>
      </c>
      <c r="HAP5" t="s">
        <v>6984</v>
      </c>
      <c r="HAQ5" t="s">
        <v>6984</v>
      </c>
      <c r="HAR5" t="s">
        <v>6984</v>
      </c>
      <c r="HAS5" t="s">
        <v>6984</v>
      </c>
      <c r="HAT5" t="s">
        <v>6984</v>
      </c>
      <c r="HAU5" t="s">
        <v>6984</v>
      </c>
      <c r="HAV5" t="s">
        <v>6984</v>
      </c>
      <c r="HAW5" t="s">
        <v>6984</v>
      </c>
      <c r="HAX5" t="s">
        <v>6984</v>
      </c>
      <c r="HAY5" t="s">
        <v>6984</v>
      </c>
      <c r="HAZ5" t="s">
        <v>6984</v>
      </c>
      <c r="HBA5" t="s">
        <v>6984</v>
      </c>
      <c r="HBB5" t="s">
        <v>6984</v>
      </c>
      <c r="HBC5" t="s">
        <v>6984</v>
      </c>
      <c r="HBD5" t="s">
        <v>6984</v>
      </c>
      <c r="HBE5" t="s">
        <v>6984</v>
      </c>
      <c r="HBF5" t="s">
        <v>6984</v>
      </c>
      <c r="HBG5" t="s">
        <v>6984</v>
      </c>
      <c r="HBH5" t="s">
        <v>6984</v>
      </c>
      <c r="HBI5" t="s">
        <v>6984</v>
      </c>
      <c r="HBJ5" t="s">
        <v>6984</v>
      </c>
      <c r="HBK5" t="s">
        <v>6984</v>
      </c>
      <c r="HBL5" t="s">
        <v>6984</v>
      </c>
      <c r="HBM5" t="s">
        <v>6984</v>
      </c>
      <c r="HBN5" t="s">
        <v>6984</v>
      </c>
      <c r="HBO5" t="s">
        <v>6984</v>
      </c>
      <c r="HBP5" t="s">
        <v>6984</v>
      </c>
      <c r="HBQ5" t="s">
        <v>6984</v>
      </c>
      <c r="HBR5" t="s">
        <v>6984</v>
      </c>
      <c r="HBS5" t="s">
        <v>6984</v>
      </c>
      <c r="HBT5" t="s">
        <v>6984</v>
      </c>
      <c r="HBU5" t="s">
        <v>6984</v>
      </c>
      <c r="HBV5" t="s">
        <v>6984</v>
      </c>
      <c r="HBW5" t="s">
        <v>6984</v>
      </c>
      <c r="HBX5" t="s">
        <v>6984</v>
      </c>
      <c r="HBY5" t="s">
        <v>6984</v>
      </c>
      <c r="HBZ5" t="s">
        <v>6984</v>
      </c>
      <c r="HCA5" t="s">
        <v>6984</v>
      </c>
      <c r="HCB5" t="s">
        <v>6984</v>
      </c>
      <c r="HCC5" t="s">
        <v>6984</v>
      </c>
      <c r="HCD5" t="s">
        <v>6984</v>
      </c>
      <c r="HCE5" t="s">
        <v>6984</v>
      </c>
      <c r="HCF5" t="s">
        <v>6984</v>
      </c>
      <c r="HCG5" t="s">
        <v>6984</v>
      </c>
      <c r="HCH5" t="s">
        <v>6984</v>
      </c>
      <c r="HCI5" t="s">
        <v>6984</v>
      </c>
      <c r="HCJ5" t="s">
        <v>6984</v>
      </c>
      <c r="HCK5" t="s">
        <v>6984</v>
      </c>
      <c r="HCL5" t="s">
        <v>6984</v>
      </c>
      <c r="HCM5" t="s">
        <v>6984</v>
      </c>
      <c r="HCN5" t="s">
        <v>6984</v>
      </c>
      <c r="HCO5" t="s">
        <v>6984</v>
      </c>
      <c r="HCP5" t="s">
        <v>6984</v>
      </c>
      <c r="HCQ5" t="s">
        <v>6984</v>
      </c>
      <c r="HCR5" t="s">
        <v>6984</v>
      </c>
      <c r="HCS5" t="s">
        <v>6984</v>
      </c>
      <c r="HCT5" t="s">
        <v>6984</v>
      </c>
      <c r="HCU5" t="s">
        <v>6984</v>
      </c>
      <c r="HCV5" t="s">
        <v>6984</v>
      </c>
      <c r="HCW5" t="s">
        <v>6984</v>
      </c>
      <c r="HCX5" t="s">
        <v>6984</v>
      </c>
      <c r="HCY5" t="s">
        <v>6984</v>
      </c>
      <c r="HCZ5" t="s">
        <v>6984</v>
      </c>
      <c r="HDA5" t="s">
        <v>6984</v>
      </c>
      <c r="HDB5" t="s">
        <v>6984</v>
      </c>
      <c r="HDC5" t="s">
        <v>6984</v>
      </c>
      <c r="HDD5" t="s">
        <v>6984</v>
      </c>
      <c r="HDE5" t="s">
        <v>6984</v>
      </c>
      <c r="HDF5" t="s">
        <v>6984</v>
      </c>
      <c r="HDG5" t="s">
        <v>6984</v>
      </c>
      <c r="HDH5" t="s">
        <v>6984</v>
      </c>
      <c r="HDI5" t="s">
        <v>6984</v>
      </c>
      <c r="HDJ5" t="s">
        <v>6984</v>
      </c>
      <c r="HDK5" t="s">
        <v>6984</v>
      </c>
      <c r="HDL5" t="s">
        <v>6984</v>
      </c>
      <c r="HDM5" t="s">
        <v>6984</v>
      </c>
      <c r="HDN5" t="s">
        <v>6984</v>
      </c>
      <c r="HDO5" t="s">
        <v>6984</v>
      </c>
      <c r="HDP5" t="s">
        <v>6984</v>
      </c>
      <c r="HDQ5" t="s">
        <v>6984</v>
      </c>
      <c r="HDR5" t="s">
        <v>6984</v>
      </c>
      <c r="HDS5" t="s">
        <v>6984</v>
      </c>
      <c r="HDT5" t="s">
        <v>6984</v>
      </c>
      <c r="HDU5" t="s">
        <v>6984</v>
      </c>
      <c r="HDV5" t="s">
        <v>6984</v>
      </c>
      <c r="HDW5" t="s">
        <v>6984</v>
      </c>
      <c r="HDX5" t="s">
        <v>6984</v>
      </c>
      <c r="HDY5" t="s">
        <v>6984</v>
      </c>
      <c r="HDZ5" t="s">
        <v>6984</v>
      </c>
      <c r="HEA5" t="s">
        <v>6984</v>
      </c>
      <c r="HEB5" t="s">
        <v>6984</v>
      </c>
      <c r="HEC5" t="s">
        <v>6984</v>
      </c>
      <c r="HED5" t="s">
        <v>6984</v>
      </c>
      <c r="HEE5" t="s">
        <v>6984</v>
      </c>
      <c r="HEF5" t="s">
        <v>6984</v>
      </c>
      <c r="HEG5" t="s">
        <v>6984</v>
      </c>
      <c r="HEH5" t="s">
        <v>6984</v>
      </c>
      <c r="HEI5" t="s">
        <v>6984</v>
      </c>
      <c r="HEJ5" t="s">
        <v>6984</v>
      </c>
      <c r="HEK5" t="s">
        <v>6984</v>
      </c>
      <c r="HEL5" t="s">
        <v>6984</v>
      </c>
      <c r="HEM5" t="s">
        <v>6984</v>
      </c>
      <c r="HEN5" t="s">
        <v>6984</v>
      </c>
      <c r="HEO5" t="s">
        <v>6984</v>
      </c>
      <c r="HEP5" t="s">
        <v>6984</v>
      </c>
      <c r="HEQ5" t="s">
        <v>6984</v>
      </c>
      <c r="HER5" t="s">
        <v>6984</v>
      </c>
      <c r="HES5" t="s">
        <v>6984</v>
      </c>
      <c r="HET5" t="s">
        <v>6984</v>
      </c>
      <c r="HEU5" t="s">
        <v>6984</v>
      </c>
      <c r="HEV5" t="s">
        <v>6984</v>
      </c>
      <c r="HEW5" t="s">
        <v>6984</v>
      </c>
      <c r="HEX5" t="s">
        <v>6984</v>
      </c>
      <c r="HEY5" t="s">
        <v>6984</v>
      </c>
      <c r="HEZ5" t="s">
        <v>6984</v>
      </c>
      <c r="HFA5" t="s">
        <v>6984</v>
      </c>
      <c r="HFB5" t="s">
        <v>6984</v>
      </c>
      <c r="HFC5" t="s">
        <v>6984</v>
      </c>
      <c r="HFD5" t="s">
        <v>6984</v>
      </c>
      <c r="HFE5" t="s">
        <v>6984</v>
      </c>
      <c r="HFF5" t="s">
        <v>6984</v>
      </c>
      <c r="HFG5" t="s">
        <v>6984</v>
      </c>
      <c r="HFH5" t="s">
        <v>6984</v>
      </c>
      <c r="HFI5" t="s">
        <v>6984</v>
      </c>
      <c r="HFJ5" t="s">
        <v>6984</v>
      </c>
      <c r="HFK5" t="s">
        <v>6984</v>
      </c>
      <c r="HFL5" t="s">
        <v>6984</v>
      </c>
      <c r="HFM5" t="s">
        <v>6984</v>
      </c>
      <c r="HFN5" t="s">
        <v>6984</v>
      </c>
      <c r="HFO5" t="s">
        <v>6984</v>
      </c>
      <c r="HFP5" t="s">
        <v>6984</v>
      </c>
      <c r="HFQ5" t="s">
        <v>6984</v>
      </c>
      <c r="HFR5" t="s">
        <v>6984</v>
      </c>
      <c r="HFS5" t="s">
        <v>6984</v>
      </c>
      <c r="HFT5" t="s">
        <v>6984</v>
      </c>
      <c r="HFU5" t="s">
        <v>6984</v>
      </c>
      <c r="HFV5" t="s">
        <v>6984</v>
      </c>
      <c r="HFW5" t="s">
        <v>6984</v>
      </c>
      <c r="HFX5" t="s">
        <v>6984</v>
      </c>
      <c r="HFY5" t="s">
        <v>6984</v>
      </c>
      <c r="HFZ5" t="s">
        <v>6984</v>
      </c>
      <c r="HGA5" t="s">
        <v>6984</v>
      </c>
      <c r="HGB5" t="s">
        <v>6984</v>
      </c>
      <c r="HGC5" t="s">
        <v>6984</v>
      </c>
      <c r="HGD5" t="s">
        <v>6984</v>
      </c>
      <c r="HGE5" t="s">
        <v>6984</v>
      </c>
      <c r="HGF5" t="s">
        <v>6984</v>
      </c>
      <c r="HGG5" t="s">
        <v>6984</v>
      </c>
      <c r="HGH5" t="s">
        <v>6984</v>
      </c>
      <c r="HGI5" t="s">
        <v>6984</v>
      </c>
      <c r="HGJ5" t="s">
        <v>6984</v>
      </c>
      <c r="HGK5" t="s">
        <v>6984</v>
      </c>
      <c r="HGL5" t="s">
        <v>6984</v>
      </c>
      <c r="HGM5" t="s">
        <v>6984</v>
      </c>
      <c r="HGN5" t="s">
        <v>6984</v>
      </c>
      <c r="HGO5" t="s">
        <v>6984</v>
      </c>
      <c r="HGP5" t="s">
        <v>6984</v>
      </c>
      <c r="HGQ5" t="s">
        <v>6984</v>
      </c>
      <c r="HGR5" t="s">
        <v>6984</v>
      </c>
      <c r="HGS5" t="s">
        <v>6984</v>
      </c>
      <c r="HGT5" t="s">
        <v>6984</v>
      </c>
      <c r="HGU5" t="s">
        <v>6984</v>
      </c>
      <c r="HGV5" t="s">
        <v>6984</v>
      </c>
      <c r="HGW5" t="s">
        <v>6984</v>
      </c>
      <c r="HGX5" t="s">
        <v>6984</v>
      </c>
      <c r="HGY5" t="s">
        <v>6984</v>
      </c>
      <c r="HGZ5" t="s">
        <v>6984</v>
      </c>
      <c r="HHA5" t="s">
        <v>6984</v>
      </c>
      <c r="HHB5" t="s">
        <v>6984</v>
      </c>
      <c r="HHC5" t="s">
        <v>6984</v>
      </c>
      <c r="HHD5" t="s">
        <v>6984</v>
      </c>
      <c r="HHE5" t="s">
        <v>6984</v>
      </c>
      <c r="HHF5" t="s">
        <v>6984</v>
      </c>
      <c r="HHG5" t="s">
        <v>6984</v>
      </c>
      <c r="HHH5" t="s">
        <v>6984</v>
      </c>
      <c r="HHI5" t="s">
        <v>6984</v>
      </c>
      <c r="HHJ5" t="s">
        <v>6984</v>
      </c>
      <c r="HHK5" t="s">
        <v>6984</v>
      </c>
      <c r="HHL5" t="s">
        <v>6984</v>
      </c>
      <c r="HHM5" t="s">
        <v>6984</v>
      </c>
      <c r="HHN5" t="s">
        <v>6984</v>
      </c>
      <c r="HHO5" t="s">
        <v>6984</v>
      </c>
      <c r="HHP5" t="s">
        <v>6984</v>
      </c>
      <c r="HHQ5" t="s">
        <v>6984</v>
      </c>
      <c r="HHR5" t="s">
        <v>6984</v>
      </c>
      <c r="HHS5" t="s">
        <v>6984</v>
      </c>
      <c r="HHT5" t="s">
        <v>6984</v>
      </c>
      <c r="HHU5" t="s">
        <v>6984</v>
      </c>
      <c r="HHV5" t="s">
        <v>6984</v>
      </c>
      <c r="HHW5" t="s">
        <v>6984</v>
      </c>
      <c r="HHX5" t="s">
        <v>6984</v>
      </c>
      <c r="HHY5" t="s">
        <v>6984</v>
      </c>
      <c r="HHZ5" t="s">
        <v>6984</v>
      </c>
      <c r="HIA5" t="s">
        <v>6984</v>
      </c>
      <c r="HIB5" t="s">
        <v>6984</v>
      </c>
      <c r="HIC5" t="s">
        <v>6984</v>
      </c>
      <c r="HID5" t="s">
        <v>6984</v>
      </c>
      <c r="HIE5" t="s">
        <v>6984</v>
      </c>
      <c r="HIF5" t="s">
        <v>6984</v>
      </c>
      <c r="HIG5" t="s">
        <v>6984</v>
      </c>
      <c r="HIH5" t="s">
        <v>6984</v>
      </c>
      <c r="HII5" t="s">
        <v>6984</v>
      </c>
      <c r="HIJ5" t="s">
        <v>6984</v>
      </c>
      <c r="HIK5" t="s">
        <v>6984</v>
      </c>
      <c r="HIL5" t="s">
        <v>6984</v>
      </c>
      <c r="HIM5" t="s">
        <v>6984</v>
      </c>
      <c r="HIN5" t="s">
        <v>6984</v>
      </c>
      <c r="HIO5" t="s">
        <v>6984</v>
      </c>
      <c r="HIP5" t="s">
        <v>6984</v>
      </c>
      <c r="HIQ5" t="s">
        <v>6984</v>
      </c>
      <c r="HIR5" t="s">
        <v>6984</v>
      </c>
      <c r="HIS5" t="s">
        <v>6984</v>
      </c>
      <c r="HIT5" t="s">
        <v>6984</v>
      </c>
      <c r="HIU5" t="s">
        <v>6984</v>
      </c>
      <c r="HIV5" t="s">
        <v>6984</v>
      </c>
      <c r="HIW5" t="s">
        <v>6984</v>
      </c>
      <c r="HIX5" t="s">
        <v>6984</v>
      </c>
      <c r="HIY5" t="s">
        <v>6984</v>
      </c>
      <c r="HIZ5" t="s">
        <v>6984</v>
      </c>
      <c r="HJA5" t="s">
        <v>6984</v>
      </c>
      <c r="HJB5" t="s">
        <v>6984</v>
      </c>
      <c r="HJC5" t="s">
        <v>6984</v>
      </c>
      <c r="HJD5" t="s">
        <v>6984</v>
      </c>
      <c r="HJE5" t="s">
        <v>6984</v>
      </c>
      <c r="HJF5" t="s">
        <v>6984</v>
      </c>
      <c r="HJG5" t="s">
        <v>6984</v>
      </c>
      <c r="HJH5" t="s">
        <v>6984</v>
      </c>
      <c r="HJI5" t="s">
        <v>6984</v>
      </c>
      <c r="HJJ5" t="s">
        <v>6984</v>
      </c>
      <c r="HJK5" t="s">
        <v>6984</v>
      </c>
      <c r="HJL5" t="s">
        <v>6984</v>
      </c>
      <c r="HJM5" t="s">
        <v>6984</v>
      </c>
      <c r="HJN5" t="s">
        <v>6984</v>
      </c>
      <c r="HJO5" t="s">
        <v>6984</v>
      </c>
      <c r="HJP5" t="s">
        <v>6984</v>
      </c>
      <c r="HJQ5" t="s">
        <v>6984</v>
      </c>
      <c r="HJR5" t="s">
        <v>6984</v>
      </c>
      <c r="HJS5" t="s">
        <v>6984</v>
      </c>
      <c r="HJT5" t="s">
        <v>6984</v>
      </c>
      <c r="HJU5" t="s">
        <v>6984</v>
      </c>
      <c r="HJV5" t="s">
        <v>6984</v>
      </c>
      <c r="HJW5" t="s">
        <v>6984</v>
      </c>
      <c r="HJX5" t="s">
        <v>6984</v>
      </c>
      <c r="HJY5" t="s">
        <v>6984</v>
      </c>
      <c r="HJZ5" t="s">
        <v>6984</v>
      </c>
      <c r="HKA5" t="s">
        <v>6984</v>
      </c>
      <c r="HKB5" t="s">
        <v>6984</v>
      </c>
      <c r="HKC5" t="s">
        <v>6984</v>
      </c>
      <c r="HKD5" t="s">
        <v>6984</v>
      </c>
      <c r="HKE5" t="s">
        <v>6984</v>
      </c>
      <c r="HKF5" t="s">
        <v>6984</v>
      </c>
      <c r="HKG5" t="s">
        <v>6984</v>
      </c>
      <c r="HKH5" t="s">
        <v>6984</v>
      </c>
      <c r="HKI5" t="s">
        <v>6984</v>
      </c>
      <c r="HKJ5" t="s">
        <v>6984</v>
      </c>
      <c r="HKK5" t="s">
        <v>6984</v>
      </c>
      <c r="HKL5" t="s">
        <v>6984</v>
      </c>
      <c r="HKM5" t="s">
        <v>6984</v>
      </c>
      <c r="HKN5" t="s">
        <v>6984</v>
      </c>
      <c r="HKO5" t="s">
        <v>6984</v>
      </c>
      <c r="HKP5" t="s">
        <v>6984</v>
      </c>
      <c r="HKQ5" t="s">
        <v>6984</v>
      </c>
      <c r="HKR5" t="s">
        <v>6984</v>
      </c>
      <c r="HKS5" t="s">
        <v>6984</v>
      </c>
      <c r="HKT5" t="s">
        <v>6984</v>
      </c>
      <c r="HKU5" t="s">
        <v>6984</v>
      </c>
      <c r="HKV5" t="s">
        <v>6984</v>
      </c>
      <c r="HKW5" t="s">
        <v>6984</v>
      </c>
      <c r="HKX5" t="s">
        <v>6984</v>
      </c>
      <c r="HKY5" t="s">
        <v>6984</v>
      </c>
      <c r="HKZ5" t="s">
        <v>6984</v>
      </c>
      <c r="HLA5" t="s">
        <v>6984</v>
      </c>
      <c r="HLB5" t="s">
        <v>6984</v>
      </c>
      <c r="HLC5" t="s">
        <v>6984</v>
      </c>
      <c r="HLD5" t="s">
        <v>6984</v>
      </c>
      <c r="HLE5" t="s">
        <v>6984</v>
      </c>
      <c r="HLF5" t="s">
        <v>6984</v>
      </c>
      <c r="HLG5" t="s">
        <v>6984</v>
      </c>
      <c r="HLH5" t="s">
        <v>6984</v>
      </c>
      <c r="HLI5" t="s">
        <v>6984</v>
      </c>
      <c r="HLJ5" t="s">
        <v>6984</v>
      </c>
      <c r="HLK5" t="s">
        <v>6984</v>
      </c>
      <c r="HLL5" t="s">
        <v>6984</v>
      </c>
      <c r="HLM5" t="s">
        <v>6984</v>
      </c>
      <c r="HLN5" t="s">
        <v>6984</v>
      </c>
      <c r="HLO5" t="s">
        <v>6984</v>
      </c>
      <c r="HLP5" t="s">
        <v>6984</v>
      </c>
      <c r="HLQ5" t="s">
        <v>6984</v>
      </c>
      <c r="HLR5" t="s">
        <v>6984</v>
      </c>
      <c r="HLS5" t="s">
        <v>6984</v>
      </c>
      <c r="HLT5" t="s">
        <v>6984</v>
      </c>
      <c r="HLU5" t="s">
        <v>6984</v>
      </c>
      <c r="HLV5" t="s">
        <v>6984</v>
      </c>
      <c r="HLW5" t="s">
        <v>6984</v>
      </c>
      <c r="HLX5" t="s">
        <v>6984</v>
      </c>
      <c r="HLY5" t="s">
        <v>6984</v>
      </c>
      <c r="HLZ5" t="s">
        <v>6984</v>
      </c>
      <c r="HMA5" t="s">
        <v>6984</v>
      </c>
      <c r="HMB5" t="s">
        <v>6984</v>
      </c>
      <c r="HMC5" t="s">
        <v>6984</v>
      </c>
      <c r="HMD5" t="s">
        <v>6984</v>
      </c>
      <c r="HME5" t="s">
        <v>6984</v>
      </c>
      <c r="HMF5" t="s">
        <v>6984</v>
      </c>
      <c r="HMG5" t="s">
        <v>6984</v>
      </c>
      <c r="HMH5" t="s">
        <v>6984</v>
      </c>
      <c r="HMI5" t="s">
        <v>6984</v>
      </c>
      <c r="HMJ5" t="s">
        <v>6984</v>
      </c>
      <c r="HMK5" t="s">
        <v>6984</v>
      </c>
      <c r="HML5" t="s">
        <v>6984</v>
      </c>
      <c r="HMM5" t="s">
        <v>6984</v>
      </c>
      <c r="HMN5" t="s">
        <v>6984</v>
      </c>
      <c r="HMO5" t="s">
        <v>6984</v>
      </c>
      <c r="HMP5" t="s">
        <v>6984</v>
      </c>
      <c r="HMQ5" t="s">
        <v>6984</v>
      </c>
      <c r="HMR5" t="s">
        <v>6984</v>
      </c>
      <c r="HMS5" t="s">
        <v>6984</v>
      </c>
      <c r="HMT5" t="s">
        <v>6984</v>
      </c>
      <c r="HMU5" t="s">
        <v>6984</v>
      </c>
      <c r="HMV5" t="s">
        <v>6984</v>
      </c>
      <c r="HMW5" t="s">
        <v>6984</v>
      </c>
      <c r="HMX5" t="s">
        <v>6984</v>
      </c>
      <c r="HMY5" t="s">
        <v>6984</v>
      </c>
      <c r="HMZ5" t="s">
        <v>6984</v>
      </c>
      <c r="HNA5" t="s">
        <v>6984</v>
      </c>
      <c r="HNB5" t="s">
        <v>6984</v>
      </c>
      <c r="HNC5" t="s">
        <v>6984</v>
      </c>
      <c r="HND5" t="s">
        <v>6984</v>
      </c>
      <c r="HNE5" t="s">
        <v>6984</v>
      </c>
      <c r="HNF5" t="s">
        <v>6984</v>
      </c>
      <c r="HNG5" t="s">
        <v>6984</v>
      </c>
      <c r="HNH5" t="s">
        <v>6984</v>
      </c>
      <c r="HNI5" t="s">
        <v>6984</v>
      </c>
      <c r="HNJ5" t="s">
        <v>6984</v>
      </c>
      <c r="HNK5" t="s">
        <v>6984</v>
      </c>
      <c r="HNL5" t="s">
        <v>6984</v>
      </c>
      <c r="HNM5" t="s">
        <v>6984</v>
      </c>
      <c r="HNN5" t="s">
        <v>6984</v>
      </c>
      <c r="HNO5" t="s">
        <v>6984</v>
      </c>
      <c r="HNP5" t="s">
        <v>6984</v>
      </c>
      <c r="HNQ5" t="s">
        <v>6984</v>
      </c>
      <c r="HNR5" t="s">
        <v>6984</v>
      </c>
      <c r="HNS5" t="s">
        <v>6984</v>
      </c>
      <c r="HNT5" t="s">
        <v>6984</v>
      </c>
      <c r="HNU5" t="s">
        <v>6984</v>
      </c>
      <c r="HNV5" t="s">
        <v>6984</v>
      </c>
      <c r="HNW5" t="s">
        <v>6984</v>
      </c>
      <c r="HNX5" t="s">
        <v>6984</v>
      </c>
      <c r="HNY5" t="s">
        <v>6984</v>
      </c>
      <c r="HNZ5" t="s">
        <v>6984</v>
      </c>
      <c r="HOA5" t="s">
        <v>6984</v>
      </c>
      <c r="HOB5" t="s">
        <v>6984</v>
      </c>
      <c r="HOC5" t="s">
        <v>6984</v>
      </c>
      <c r="HOD5" t="s">
        <v>6984</v>
      </c>
      <c r="HOE5" t="s">
        <v>6984</v>
      </c>
      <c r="HOF5" t="s">
        <v>6984</v>
      </c>
      <c r="HOG5" t="s">
        <v>6984</v>
      </c>
      <c r="HOH5" t="s">
        <v>6984</v>
      </c>
      <c r="HOI5" t="s">
        <v>6984</v>
      </c>
      <c r="HOJ5" t="s">
        <v>6984</v>
      </c>
      <c r="HOK5" t="s">
        <v>6984</v>
      </c>
      <c r="HOL5" t="s">
        <v>6984</v>
      </c>
      <c r="HOM5" t="s">
        <v>6984</v>
      </c>
      <c r="HON5" t="s">
        <v>6984</v>
      </c>
      <c r="HOO5" t="s">
        <v>6984</v>
      </c>
      <c r="HOP5" t="s">
        <v>6984</v>
      </c>
      <c r="HOQ5" t="s">
        <v>6984</v>
      </c>
      <c r="HOR5" t="s">
        <v>6984</v>
      </c>
      <c r="HOS5" t="s">
        <v>6984</v>
      </c>
      <c r="HOT5" t="s">
        <v>6984</v>
      </c>
      <c r="HOU5" t="s">
        <v>6984</v>
      </c>
      <c r="HOV5" t="s">
        <v>6984</v>
      </c>
      <c r="HOW5" t="s">
        <v>6984</v>
      </c>
      <c r="HOX5" t="s">
        <v>6984</v>
      </c>
      <c r="HOY5" t="s">
        <v>6984</v>
      </c>
      <c r="HOZ5" t="s">
        <v>6984</v>
      </c>
      <c r="HPA5" t="s">
        <v>6984</v>
      </c>
      <c r="HPB5" t="s">
        <v>6984</v>
      </c>
      <c r="HPC5" t="s">
        <v>6984</v>
      </c>
      <c r="HPD5" t="s">
        <v>6984</v>
      </c>
      <c r="HPE5" t="s">
        <v>6984</v>
      </c>
      <c r="HPF5" t="s">
        <v>6984</v>
      </c>
      <c r="HPG5" t="s">
        <v>6984</v>
      </c>
      <c r="HPH5" t="s">
        <v>6984</v>
      </c>
      <c r="HPI5" t="s">
        <v>6984</v>
      </c>
      <c r="HPJ5" t="s">
        <v>6984</v>
      </c>
      <c r="HPK5" t="s">
        <v>6984</v>
      </c>
      <c r="HPL5" t="s">
        <v>6984</v>
      </c>
      <c r="HPM5" t="s">
        <v>6984</v>
      </c>
      <c r="HPN5" t="s">
        <v>6984</v>
      </c>
      <c r="HPO5" t="s">
        <v>6984</v>
      </c>
      <c r="HPP5" t="s">
        <v>6984</v>
      </c>
      <c r="HPQ5" t="s">
        <v>6984</v>
      </c>
      <c r="HPR5" t="s">
        <v>6984</v>
      </c>
      <c r="HPS5" t="s">
        <v>6984</v>
      </c>
      <c r="HPT5" t="s">
        <v>6984</v>
      </c>
      <c r="HPU5" t="s">
        <v>6984</v>
      </c>
      <c r="HPV5" t="s">
        <v>6984</v>
      </c>
      <c r="HPW5" t="s">
        <v>6984</v>
      </c>
      <c r="HPX5" t="s">
        <v>6984</v>
      </c>
      <c r="HPY5" t="s">
        <v>6984</v>
      </c>
      <c r="HPZ5" t="s">
        <v>6984</v>
      </c>
      <c r="HQA5" t="s">
        <v>6984</v>
      </c>
      <c r="HQB5" t="s">
        <v>6984</v>
      </c>
      <c r="HQC5" t="s">
        <v>6984</v>
      </c>
      <c r="HQD5" t="s">
        <v>6984</v>
      </c>
      <c r="HQE5" t="s">
        <v>6984</v>
      </c>
      <c r="HQF5" t="s">
        <v>6984</v>
      </c>
      <c r="HQG5" t="s">
        <v>6984</v>
      </c>
      <c r="HQH5" t="s">
        <v>6984</v>
      </c>
      <c r="HQI5" t="s">
        <v>6984</v>
      </c>
      <c r="HQJ5" t="s">
        <v>6984</v>
      </c>
      <c r="HQK5" t="s">
        <v>6984</v>
      </c>
      <c r="HQL5" t="s">
        <v>6984</v>
      </c>
      <c r="HQM5" t="s">
        <v>6984</v>
      </c>
      <c r="HQN5" t="s">
        <v>6984</v>
      </c>
      <c r="HQO5" t="s">
        <v>6984</v>
      </c>
      <c r="HQP5" t="s">
        <v>6984</v>
      </c>
      <c r="HQQ5" t="s">
        <v>6984</v>
      </c>
      <c r="HQR5" t="s">
        <v>6984</v>
      </c>
      <c r="HQS5" t="s">
        <v>6984</v>
      </c>
      <c r="HQT5" t="s">
        <v>6984</v>
      </c>
      <c r="HQU5" t="s">
        <v>6984</v>
      </c>
      <c r="HQV5" t="s">
        <v>6984</v>
      </c>
      <c r="HQW5" t="s">
        <v>6984</v>
      </c>
      <c r="HQX5" t="s">
        <v>6984</v>
      </c>
      <c r="HQY5" t="s">
        <v>6984</v>
      </c>
      <c r="HQZ5" t="s">
        <v>6984</v>
      </c>
      <c r="HRA5" t="s">
        <v>6984</v>
      </c>
      <c r="HRB5" t="s">
        <v>6984</v>
      </c>
      <c r="HRC5" t="s">
        <v>6984</v>
      </c>
      <c r="HRD5" t="s">
        <v>6984</v>
      </c>
      <c r="HRE5" t="s">
        <v>6984</v>
      </c>
      <c r="HRF5" t="s">
        <v>6984</v>
      </c>
      <c r="HRG5" t="s">
        <v>6984</v>
      </c>
      <c r="HRH5" t="s">
        <v>6984</v>
      </c>
      <c r="HRI5" t="s">
        <v>6984</v>
      </c>
      <c r="HRJ5" t="s">
        <v>6984</v>
      </c>
      <c r="HRK5" t="s">
        <v>6984</v>
      </c>
      <c r="HRL5" t="s">
        <v>6984</v>
      </c>
      <c r="HRM5" t="s">
        <v>6984</v>
      </c>
      <c r="HRN5" t="s">
        <v>6984</v>
      </c>
      <c r="HRO5" t="s">
        <v>6984</v>
      </c>
      <c r="HRP5" t="s">
        <v>6984</v>
      </c>
      <c r="HRQ5" t="s">
        <v>6984</v>
      </c>
      <c r="HRR5" t="s">
        <v>6984</v>
      </c>
      <c r="HRS5" t="s">
        <v>6984</v>
      </c>
      <c r="HRT5" t="s">
        <v>6984</v>
      </c>
      <c r="HRU5" t="s">
        <v>6984</v>
      </c>
      <c r="HRV5" t="s">
        <v>6984</v>
      </c>
      <c r="HRW5" t="s">
        <v>6984</v>
      </c>
      <c r="HRX5" t="s">
        <v>6984</v>
      </c>
      <c r="HRY5" t="s">
        <v>6984</v>
      </c>
      <c r="HRZ5" t="s">
        <v>6984</v>
      </c>
      <c r="HSA5" t="s">
        <v>6984</v>
      </c>
      <c r="HSB5" t="s">
        <v>6984</v>
      </c>
      <c r="HSC5" t="s">
        <v>6984</v>
      </c>
      <c r="HSD5" t="s">
        <v>6984</v>
      </c>
      <c r="HSE5" t="s">
        <v>6984</v>
      </c>
      <c r="HSF5" t="s">
        <v>6984</v>
      </c>
      <c r="HSG5" t="s">
        <v>6984</v>
      </c>
      <c r="HSH5" t="s">
        <v>6984</v>
      </c>
      <c r="HSI5" t="s">
        <v>6984</v>
      </c>
      <c r="HSJ5" t="s">
        <v>6984</v>
      </c>
      <c r="HSK5" t="s">
        <v>6984</v>
      </c>
      <c r="HSL5" t="s">
        <v>6984</v>
      </c>
      <c r="HSM5" t="s">
        <v>6984</v>
      </c>
      <c r="HSN5" t="s">
        <v>6984</v>
      </c>
      <c r="HSO5" t="s">
        <v>6984</v>
      </c>
      <c r="HSP5" t="s">
        <v>6984</v>
      </c>
      <c r="HSQ5" t="s">
        <v>6984</v>
      </c>
      <c r="HSR5" t="s">
        <v>6984</v>
      </c>
      <c r="HSS5" t="s">
        <v>6984</v>
      </c>
      <c r="HST5" t="s">
        <v>6984</v>
      </c>
      <c r="HSU5" t="s">
        <v>6984</v>
      </c>
      <c r="HSV5" t="s">
        <v>6984</v>
      </c>
      <c r="HSW5" t="s">
        <v>6984</v>
      </c>
      <c r="HSX5" t="s">
        <v>6984</v>
      </c>
      <c r="HSY5" t="s">
        <v>6984</v>
      </c>
      <c r="HSZ5" t="s">
        <v>6984</v>
      </c>
      <c r="HTA5" t="s">
        <v>6984</v>
      </c>
      <c r="HTB5" t="s">
        <v>6984</v>
      </c>
      <c r="HTC5" t="s">
        <v>6984</v>
      </c>
      <c r="HTD5" t="s">
        <v>6984</v>
      </c>
      <c r="HTE5" t="s">
        <v>6984</v>
      </c>
      <c r="HTF5" t="s">
        <v>6984</v>
      </c>
      <c r="HTG5" t="s">
        <v>6984</v>
      </c>
      <c r="HTH5" t="s">
        <v>6984</v>
      </c>
      <c r="HTI5" t="s">
        <v>6984</v>
      </c>
      <c r="HTJ5" t="s">
        <v>6984</v>
      </c>
      <c r="HTK5" t="s">
        <v>6984</v>
      </c>
      <c r="HTL5" t="s">
        <v>6984</v>
      </c>
      <c r="HTM5" t="s">
        <v>6984</v>
      </c>
      <c r="HTN5" t="s">
        <v>6984</v>
      </c>
      <c r="HTO5" t="s">
        <v>6984</v>
      </c>
      <c r="HTP5" t="s">
        <v>6984</v>
      </c>
      <c r="HTQ5" t="s">
        <v>6984</v>
      </c>
      <c r="HTR5" t="s">
        <v>6984</v>
      </c>
      <c r="HTS5" t="s">
        <v>6984</v>
      </c>
      <c r="HTT5" t="s">
        <v>6984</v>
      </c>
      <c r="HTU5" t="s">
        <v>6984</v>
      </c>
      <c r="HTV5" t="s">
        <v>6984</v>
      </c>
      <c r="HTW5" t="s">
        <v>6984</v>
      </c>
      <c r="HTX5" t="s">
        <v>6984</v>
      </c>
      <c r="HTY5" t="s">
        <v>6984</v>
      </c>
      <c r="HTZ5" t="s">
        <v>6984</v>
      </c>
      <c r="HUA5" t="s">
        <v>6984</v>
      </c>
      <c r="HUB5" t="s">
        <v>6984</v>
      </c>
      <c r="HUC5" t="s">
        <v>6984</v>
      </c>
      <c r="HUD5" t="s">
        <v>6984</v>
      </c>
      <c r="HUE5" t="s">
        <v>6984</v>
      </c>
      <c r="HUF5" t="s">
        <v>6984</v>
      </c>
      <c r="HUG5" t="s">
        <v>6984</v>
      </c>
      <c r="HUH5" t="s">
        <v>6984</v>
      </c>
      <c r="HUI5" t="s">
        <v>6984</v>
      </c>
      <c r="HUJ5" t="s">
        <v>6984</v>
      </c>
      <c r="HUK5" t="s">
        <v>6984</v>
      </c>
      <c r="HUL5" t="s">
        <v>6984</v>
      </c>
      <c r="HUM5" t="s">
        <v>6984</v>
      </c>
      <c r="HUN5" t="s">
        <v>6984</v>
      </c>
      <c r="HUO5" t="s">
        <v>6984</v>
      </c>
      <c r="HUP5" t="s">
        <v>6984</v>
      </c>
      <c r="HUQ5" t="s">
        <v>6984</v>
      </c>
      <c r="HUR5" t="s">
        <v>6984</v>
      </c>
      <c r="HUS5" t="s">
        <v>6984</v>
      </c>
      <c r="HUT5" t="s">
        <v>6984</v>
      </c>
      <c r="HUU5" t="s">
        <v>6984</v>
      </c>
      <c r="HUV5" t="s">
        <v>6984</v>
      </c>
      <c r="HUW5" t="s">
        <v>6984</v>
      </c>
      <c r="HUX5" t="s">
        <v>6984</v>
      </c>
      <c r="HUY5" t="s">
        <v>6984</v>
      </c>
      <c r="HUZ5" t="s">
        <v>6984</v>
      </c>
      <c r="HVA5" t="s">
        <v>6984</v>
      </c>
      <c r="HVB5" t="s">
        <v>6984</v>
      </c>
      <c r="HVC5" t="s">
        <v>6984</v>
      </c>
      <c r="HVD5" t="s">
        <v>6984</v>
      </c>
      <c r="HVE5" t="s">
        <v>6984</v>
      </c>
      <c r="HVF5" t="s">
        <v>6984</v>
      </c>
      <c r="HVG5" t="s">
        <v>6984</v>
      </c>
      <c r="HVH5" t="s">
        <v>6984</v>
      </c>
      <c r="HVI5" t="s">
        <v>6984</v>
      </c>
      <c r="HVJ5" t="s">
        <v>6984</v>
      </c>
      <c r="HVK5" t="s">
        <v>6984</v>
      </c>
      <c r="HVL5" t="s">
        <v>6984</v>
      </c>
      <c r="HVM5" t="s">
        <v>6984</v>
      </c>
      <c r="HVN5" t="s">
        <v>6984</v>
      </c>
      <c r="HVO5" t="s">
        <v>6984</v>
      </c>
      <c r="HVP5" t="s">
        <v>6984</v>
      </c>
      <c r="HVQ5" t="s">
        <v>6984</v>
      </c>
      <c r="HVR5" t="s">
        <v>6984</v>
      </c>
      <c r="HVS5" t="s">
        <v>6984</v>
      </c>
      <c r="HVT5" t="s">
        <v>6984</v>
      </c>
      <c r="HVU5" t="s">
        <v>6984</v>
      </c>
      <c r="HVV5" t="s">
        <v>6984</v>
      </c>
      <c r="HVW5" t="s">
        <v>6984</v>
      </c>
      <c r="HVX5" t="s">
        <v>6984</v>
      </c>
      <c r="HVY5" t="s">
        <v>6984</v>
      </c>
      <c r="HVZ5" t="s">
        <v>6984</v>
      </c>
      <c r="HWA5" t="s">
        <v>6984</v>
      </c>
      <c r="HWB5" t="s">
        <v>6984</v>
      </c>
      <c r="HWC5" t="s">
        <v>6984</v>
      </c>
      <c r="HWD5" t="s">
        <v>6984</v>
      </c>
      <c r="HWE5" t="s">
        <v>6984</v>
      </c>
      <c r="HWF5" t="s">
        <v>6984</v>
      </c>
      <c r="HWG5" t="s">
        <v>6984</v>
      </c>
      <c r="HWH5" t="s">
        <v>6984</v>
      </c>
      <c r="HWI5" t="s">
        <v>6984</v>
      </c>
      <c r="HWJ5" t="s">
        <v>6984</v>
      </c>
      <c r="HWK5" t="s">
        <v>6984</v>
      </c>
      <c r="HWL5" t="s">
        <v>6984</v>
      </c>
      <c r="HWM5" t="s">
        <v>6984</v>
      </c>
      <c r="HWN5" t="s">
        <v>6984</v>
      </c>
      <c r="HWO5" t="s">
        <v>6984</v>
      </c>
      <c r="HWP5" t="s">
        <v>6984</v>
      </c>
      <c r="HWQ5" t="s">
        <v>6984</v>
      </c>
      <c r="HWR5" t="s">
        <v>6984</v>
      </c>
      <c r="HWS5" t="s">
        <v>6984</v>
      </c>
      <c r="HWT5" t="s">
        <v>6984</v>
      </c>
      <c r="HWU5" t="s">
        <v>6984</v>
      </c>
      <c r="HWV5" t="s">
        <v>6984</v>
      </c>
      <c r="HWW5" t="s">
        <v>6984</v>
      </c>
      <c r="HWX5" t="s">
        <v>6984</v>
      </c>
      <c r="HWY5" t="s">
        <v>6984</v>
      </c>
      <c r="HWZ5" t="s">
        <v>6984</v>
      </c>
      <c r="HXA5" t="s">
        <v>6984</v>
      </c>
      <c r="HXB5" t="s">
        <v>6984</v>
      </c>
      <c r="HXC5" t="s">
        <v>6984</v>
      </c>
      <c r="HXD5" t="s">
        <v>6984</v>
      </c>
      <c r="HXE5" t="s">
        <v>6984</v>
      </c>
      <c r="HXF5" t="s">
        <v>6984</v>
      </c>
      <c r="HXG5" t="s">
        <v>6984</v>
      </c>
      <c r="HXH5" t="s">
        <v>6984</v>
      </c>
      <c r="HXI5" t="s">
        <v>6984</v>
      </c>
      <c r="HXJ5" t="s">
        <v>6984</v>
      </c>
      <c r="HXK5" t="s">
        <v>6984</v>
      </c>
      <c r="HXL5" t="s">
        <v>6984</v>
      </c>
      <c r="HXM5" t="s">
        <v>6984</v>
      </c>
      <c r="HXN5" t="s">
        <v>6984</v>
      </c>
      <c r="HXO5" t="s">
        <v>6984</v>
      </c>
      <c r="HXP5" t="s">
        <v>6984</v>
      </c>
      <c r="HXQ5" t="s">
        <v>6984</v>
      </c>
      <c r="HXR5" t="s">
        <v>6984</v>
      </c>
      <c r="HXS5" t="s">
        <v>6984</v>
      </c>
      <c r="HXT5" t="s">
        <v>6984</v>
      </c>
      <c r="HXU5" t="s">
        <v>6984</v>
      </c>
      <c r="HXV5" t="s">
        <v>6984</v>
      </c>
      <c r="HXW5" t="s">
        <v>6984</v>
      </c>
      <c r="HXX5" t="s">
        <v>6984</v>
      </c>
      <c r="HXY5" t="s">
        <v>6984</v>
      </c>
      <c r="HXZ5" t="s">
        <v>6984</v>
      </c>
      <c r="HYA5" t="s">
        <v>6984</v>
      </c>
      <c r="HYB5" t="s">
        <v>6984</v>
      </c>
      <c r="HYC5" t="s">
        <v>6984</v>
      </c>
      <c r="HYD5" t="s">
        <v>6984</v>
      </c>
      <c r="HYE5" t="s">
        <v>6984</v>
      </c>
      <c r="HYF5" t="s">
        <v>6984</v>
      </c>
      <c r="HYG5" t="s">
        <v>6984</v>
      </c>
      <c r="HYH5" t="s">
        <v>6984</v>
      </c>
      <c r="HYI5" t="s">
        <v>6984</v>
      </c>
      <c r="HYJ5" t="s">
        <v>6984</v>
      </c>
      <c r="HYK5" t="s">
        <v>6984</v>
      </c>
      <c r="HYL5" t="s">
        <v>6984</v>
      </c>
      <c r="HYM5" t="s">
        <v>6984</v>
      </c>
      <c r="HYN5" t="s">
        <v>6984</v>
      </c>
      <c r="HYO5" t="s">
        <v>6984</v>
      </c>
      <c r="HYP5" t="s">
        <v>6984</v>
      </c>
      <c r="HYQ5" t="s">
        <v>6984</v>
      </c>
      <c r="HYR5" t="s">
        <v>6984</v>
      </c>
      <c r="HYS5" t="s">
        <v>6984</v>
      </c>
      <c r="HYT5" t="s">
        <v>6984</v>
      </c>
      <c r="HYU5" t="s">
        <v>6984</v>
      </c>
      <c r="HYV5" t="s">
        <v>6984</v>
      </c>
      <c r="HYW5" t="s">
        <v>6984</v>
      </c>
      <c r="HYX5" t="s">
        <v>6984</v>
      </c>
      <c r="HYY5" t="s">
        <v>6984</v>
      </c>
      <c r="HYZ5" t="s">
        <v>6984</v>
      </c>
      <c r="HZA5" t="s">
        <v>6984</v>
      </c>
      <c r="HZB5" t="s">
        <v>6984</v>
      </c>
      <c r="HZC5" t="s">
        <v>6984</v>
      </c>
      <c r="HZD5" t="s">
        <v>6984</v>
      </c>
      <c r="HZE5" t="s">
        <v>6984</v>
      </c>
      <c r="HZF5" t="s">
        <v>6984</v>
      </c>
      <c r="HZG5" t="s">
        <v>6984</v>
      </c>
      <c r="HZH5" t="s">
        <v>6984</v>
      </c>
      <c r="HZI5" t="s">
        <v>6984</v>
      </c>
      <c r="HZJ5" t="s">
        <v>6984</v>
      </c>
      <c r="HZK5" t="s">
        <v>6984</v>
      </c>
      <c r="HZL5" t="s">
        <v>6984</v>
      </c>
      <c r="HZM5" t="s">
        <v>6984</v>
      </c>
      <c r="HZN5" t="s">
        <v>6984</v>
      </c>
      <c r="HZO5" t="s">
        <v>6984</v>
      </c>
      <c r="HZP5" t="s">
        <v>6984</v>
      </c>
      <c r="HZQ5" t="s">
        <v>6984</v>
      </c>
      <c r="HZR5" t="s">
        <v>6984</v>
      </c>
      <c r="HZS5" t="s">
        <v>6984</v>
      </c>
      <c r="HZT5" t="s">
        <v>6984</v>
      </c>
      <c r="HZU5" t="s">
        <v>6984</v>
      </c>
      <c r="HZV5" t="s">
        <v>6984</v>
      </c>
      <c r="HZW5" t="s">
        <v>6984</v>
      </c>
      <c r="HZX5" t="s">
        <v>6984</v>
      </c>
      <c r="HZY5" t="s">
        <v>6984</v>
      </c>
      <c r="HZZ5" t="s">
        <v>6984</v>
      </c>
      <c r="IAA5" t="s">
        <v>6984</v>
      </c>
      <c r="IAB5" t="s">
        <v>6984</v>
      </c>
      <c r="IAC5" t="s">
        <v>6984</v>
      </c>
      <c r="IAD5" t="s">
        <v>6984</v>
      </c>
      <c r="IAE5" t="s">
        <v>6984</v>
      </c>
      <c r="IAF5" t="s">
        <v>6984</v>
      </c>
      <c r="IAG5" t="s">
        <v>6984</v>
      </c>
      <c r="IAH5" t="s">
        <v>6984</v>
      </c>
      <c r="IAI5" t="s">
        <v>6984</v>
      </c>
      <c r="IAJ5" t="s">
        <v>6984</v>
      </c>
      <c r="IAK5" t="s">
        <v>6984</v>
      </c>
      <c r="IAL5" t="s">
        <v>6984</v>
      </c>
      <c r="IAM5" t="s">
        <v>6984</v>
      </c>
      <c r="IAN5" t="s">
        <v>6984</v>
      </c>
      <c r="IAO5" t="s">
        <v>6984</v>
      </c>
      <c r="IAP5" t="s">
        <v>6984</v>
      </c>
      <c r="IAQ5" t="s">
        <v>6984</v>
      </c>
      <c r="IAR5" t="s">
        <v>6984</v>
      </c>
      <c r="IAS5" t="s">
        <v>6984</v>
      </c>
      <c r="IAT5" t="s">
        <v>6984</v>
      </c>
      <c r="IAU5" t="s">
        <v>6984</v>
      </c>
      <c r="IAV5" t="s">
        <v>6984</v>
      </c>
      <c r="IAW5" t="s">
        <v>6984</v>
      </c>
      <c r="IAX5" t="s">
        <v>6984</v>
      </c>
      <c r="IAY5" t="s">
        <v>6984</v>
      </c>
      <c r="IAZ5" t="s">
        <v>6984</v>
      </c>
      <c r="IBA5" t="s">
        <v>6984</v>
      </c>
      <c r="IBB5" t="s">
        <v>6984</v>
      </c>
      <c r="IBC5" t="s">
        <v>6984</v>
      </c>
      <c r="IBD5" t="s">
        <v>6984</v>
      </c>
      <c r="IBE5" t="s">
        <v>6984</v>
      </c>
      <c r="IBF5" t="s">
        <v>6984</v>
      </c>
      <c r="IBG5" t="s">
        <v>6984</v>
      </c>
      <c r="IBH5" t="s">
        <v>6984</v>
      </c>
      <c r="IBI5" t="s">
        <v>6984</v>
      </c>
      <c r="IBJ5" t="s">
        <v>6984</v>
      </c>
      <c r="IBK5" t="s">
        <v>6984</v>
      </c>
      <c r="IBL5" t="s">
        <v>6984</v>
      </c>
      <c r="IBM5" t="s">
        <v>6984</v>
      </c>
      <c r="IBN5" t="s">
        <v>6984</v>
      </c>
      <c r="IBO5" t="s">
        <v>6984</v>
      </c>
      <c r="IBP5" t="s">
        <v>6984</v>
      </c>
      <c r="IBQ5" t="s">
        <v>6984</v>
      </c>
      <c r="IBR5" t="s">
        <v>6984</v>
      </c>
      <c r="IBS5" t="s">
        <v>6984</v>
      </c>
      <c r="IBT5" t="s">
        <v>6984</v>
      </c>
      <c r="IBU5" t="s">
        <v>6984</v>
      </c>
      <c r="IBV5" t="s">
        <v>6984</v>
      </c>
      <c r="IBW5" t="s">
        <v>6984</v>
      </c>
      <c r="IBX5" t="s">
        <v>6984</v>
      </c>
      <c r="IBY5" t="s">
        <v>6984</v>
      </c>
      <c r="IBZ5" t="s">
        <v>6984</v>
      </c>
      <c r="ICA5" t="s">
        <v>6984</v>
      </c>
      <c r="ICB5" t="s">
        <v>6984</v>
      </c>
      <c r="ICC5" t="s">
        <v>6984</v>
      </c>
      <c r="ICD5" t="s">
        <v>6984</v>
      </c>
      <c r="ICE5" t="s">
        <v>6984</v>
      </c>
      <c r="ICF5" t="s">
        <v>6984</v>
      </c>
      <c r="ICG5" t="s">
        <v>6984</v>
      </c>
      <c r="ICH5" t="s">
        <v>6984</v>
      </c>
      <c r="ICI5" t="s">
        <v>6984</v>
      </c>
      <c r="ICJ5" t="s">
        <v>6984</v>
      </c>
      <c r="ICK5" t="s">
        <v>6984</v>
      </c>
      <c r="ICL5" t="s">
        <v>6984</v>
      </c>
      <c r="ICM5" t="s">
        <v>6984</v>
      </c>
      <c r="ICN5" t="s">
        <v>6984</v>
      </c>
      <c r="ICO5" t="s">
        <v>6984</v>
      </c>
      <c r="ICP5" t="s">
        <v>6984</v>
      </c>
      <c r="ICQ5" t="s">
        <v>6984</v>
      </c>
      <c r="ICR5" t="s">
        <v>6984</v>
      </c>
      <c r="ICS5" t="s">
        <v>6984</v>
      </c>
      <c r="ICT5" t="s">
        <v>6984</v>
      </c>
      <c r="ICU5" t="s">
        <v>6984</v>
      </c>
      <c r="ICV5" t="s">
        <v>6984</v>
      </c>
      <c r="ICW5" t="s">
        <v>6984</v>
      </c>
      <c r="ICX5" t="s">
        <v>6984</v>
      </c>
      <c r="ICY5" t="s">
        <v>6984</v>
      </c>
      <c r="ICZ5" t="s">
        <v>6984</v>
      </c>
      <c r="IDA5" t="s">
        <v>6984</v>
      </c>
      <c r="IDB5" t="s">
        <v>6984</v>
      </c>
      <c r="IDC5" t="s">
        <v>6984</v>
      </c>
      <c r="IDD5" t="s">
        <v>6984</v>
      </c>
      <c r="IDE5" t="s">
        <v>6984</v>
      </c>
      <c r="IDF5" t="s">
        <v>6984</v>
      </c>
      <c r="IDG5" t="s">
        <v>6984</v>
      </c>
      <c r="IDH5" t="s">
        <v>6984</v>
      </c>
      <c r="IDI5" t="s">
        <v>6984</v>
      </c>
      <c r="IDJ5" t="s">
        <v>6984</v>
      </c>
      <c r="IDK5" t="s">
        <v>6984</v>
      </c>
      <c r="IDL5" t="s">
        <v>6984</v>
      </c>
      <c r="IDM5" t="s">
        <v>6984</v>
      </c>
      <c r="IDN5" t="s">
        <v>6984</v>
      </c>
      <c r="IDO5" t="s">
        <v>6984</v>
      </c>
      <c r="IDP5" t="s">
        <v>6984</v>
      </c>
      <c r="IDQ5" t="s">
        <v>6984</v>
      </c>
      <c r="IDR5" t="s">
        <v>6984</v>
      </c>
      <c r="IDS5" t="s">
        <v>6984</v>
      </c>
      <c r="IDT5" t="s">
        <v>6984</v>
      </c>
      <c r="IDU5" t="s">
        <v>6984</v>
      </c>
      <c r="IDV5" t="s">
        <v>6984</v>
      </c>
      <c r="IDW5" t="s">
        <v>6984</v>
      </c>
      <c r="IDX5" t="s">
        <v>6984</v>
      </c>
      <c r="IDY5" t="s">
        <v>6984</v>
      </c>
      <c r="IDZ5" t="s">
        <v>6984</v>
      </c>
      <c r="IEA5" t="s">
        <v>6984</v>
      </c>
      <c r="IEB5" t="s">
        <v>6984</v>
      </c>
      <c r="IEC5" t="s">
        <v>6984</v>
      </c>
      <c r="IED5" t="s">
        <v>6984</v>
      </c>
      <c r="IEE5" t="s">
        <v>6984</v>
      </c>
      <c r="IEF5" t="s">
        <v>6984</v>
      </c>
      <c r="IEG5" t="s">
        <v>6984</v>
      </c>
      <c r="IEH5" t="s">
        <v>6984</v>
      </c>
      <c r="IEI5" t="s">
        <v>6984</v>
      </c>
      <c r="IEJ5" t="s">
        <v>6984</v>
      </c>
      <c r="IEK5" t="s">
        <v>6984</v>
      </c>
      <c r="IEL5" t="s">
        <v>6984</v>
      </c>
      <c r="IEM5" t="s">
        <v>6984</v>
      </c>
      <c r="IEN5" t="s">
        <v>6984</v>
      </c>
      <c r="IEO5" t="s">
        <v>6984</v>
      </c>
      <c r="IEP5" t="s">
        <v>6984</v>
      </c>
      <c r="IEQ5" t="s">
        <v>6984</v>
      </c>
      <c r="IER5" t="s">
        <v>6984</v>
      </c>
      <c r="IES5" t="s">
        <v>6984</v>
      </c>
      <c r="IET5" t="s">
        <v>6984</v>
      </c>
      <c r="IEU5" t="s">
        <v>6984</v>
      </c>
      <c r="IEV5" t="s">
        <v>6984</v>
      </c>
      <c r="IEW5" t="s">
        <v>6984</v>
      </c>
      <c r="IEX5" t="s">
        <v>6984</v>
      </c>
      <c r="IEY5" t="s">
        <v>6984</v>
      </c>
      <c r="IEZ5" t="s">
        <v>6984</v>
      </c>
      <c r="IFA5" t="s">
        <v>6984</v>
      </c>
      <c r="IFB5" t="s">
        <v>6984</v>
      </c>
      <c r="IFC5" t="s">
        <v>6984</v>
      </c>
      <c r="IFD5" t="s">
        <v>6984</v>
      </c>
      <c r="IFE5" t="s">
        <v>6984</v>
      </c>
      <c r="IFF5" t="s">
        <v>6984</v>
      </c>
      <c r="IFG5" t="s">
        <v>6984</v>
      </c>
      <c r="IFH5" t="s">
        <v>6984</v>
      </c>
      <c r="IFI5" t="s">
        <v>6984</v>
      </c>
      <c r="IFJ5" t="s">
        <v>6984</v>
      </c>
      <c r="IFK5" t="s">
        <v>6984</v>
      </c>
      <c r="IFL5" t="s">
        <v>6984</v>
      </c>
      <c r="IFM5" t="s">
        <v>6984</v>
      </c>
      <c r="IFN5" t="s">
        <v>6984</v>
      </c>
      <c r="IFO5" t="s">
        <v>6984</v>
      </c>
      <c r="IFP5" t="s">
        <v>6984</v>
      </c>
      <c r="IFQ5" t="s">
        <v>6984</v>
      </c>
      <c r="IFR5" t="s">
        <v>6984</v>
      </c>
      <c r="IFS5" t="s">
        <v>6984</v>
      </c>
      <c r="IFT5" t="s">
        <v>6984</v>
      </c>
      <c r="IFU5" t="s">
        <v>6984</v>
      </c>
      <c r="IFV5" t="s">
        <v>6984</v>
      </c>
      <c r="IFW5" t="s">
        <v>6984</v>
      </c>
      <c r="IFX5" t="s">
        <v>6984</v>
      </c>
      <c r="IFY5" t="s">
        <v>6984</v>
      </c>
      <c r="IFZ5" t="s">
        <v>6984</v>
      </c>
      <c r="IGA5" t="s">
        <v>6984</v>
      </c>
      <c r="IGB5" t="s">
        <v>6984</v>
      </c>
      <c r="IGC5" t="s">
        <v>6984</v>
      </c>
      <c r="IGD5" t="s">
        <v>6984</v>
      </c>
      <c r="IGE5" t="s">
        <v>6984</v>
      </c>
      <c r="IGF5" t="s">
        <v>6984</v>
      </c>
      <c r="IGG5" t="s">
        <v>6984</v>
      </c>
      <c r="IGH5" t="s">
        <v>6984</v>
      </c>
      <c r="IGI5" t="s">
        <v>6984</v>
      </c>
      <c r="IGJ5" t="s">
        <v>6984</v>
      </c>
      <c r="IGK5" t="s">
        <v>6984</v>
      </c>
      <c r="IGL5" t="s">
        <v>6984</v>
      </c>
      <c r="IGM5" t="s">
        <v>6984</v>
      </c>
      <c r="IGN5" t="s">
        <v>6984</v>
      </c>
      <c r="IGO5" t="s">
        <v>6984</v>
      </c>
      <c r="IGP5" t="s">
        <v>6984</v>
      </c>
      <c r="IGQ5" t="s">
        <v>6984</v>
      </c>
      <c r="IGR5" t="s">
        <v>6984</v>
      </c>
      <c r="IGS5" t="s">
        <v>6984</v>
      </c>
      <c r="IGT5" t="s">
        <v>6984</v>
      </c>
      <c r="IGU5" t="s">
        <v>6984</v>
      </c>
      <c r="IGV5" t="s">
        <v>6984</v>
      </c>
      <c r="IGW5" t="s">
        <v>6984</v>
      </c>
      <c r="IGX5" t="s">
        <v>6984</v>
      </c>
      <c r="IGY5" t="s">
        <v>6984</v>
      </c>
      <c r="IGZ5" t="s">
        <v>6984</v>
      </c>
      <c r="IHA5" t="s">
        <v>6984</v>
      </c>
      <c r="IHB5" t="s">
        <v>6984</v>
      </c>
      <c r="IHC5" t="s">
        <v>6984</v>
      </c>
      <c r="IHD5" t="s">
        <v>6984</v>
      </c>
      <c r="IHE5" t="s">
        <v>6984</v>
      </c>
      <c r="IHF5" t="s">
        <v>6984</v>
      </c>
      <c r="IHG5" t="s">
        <v>6984</v>
      </c>
      <c r="IHH5" t="s">
        <v>6984</v>
      </c>
      <c r="IHI5" t="s">
        <v>6984</v>
      </c>
      <c r="IHJ5" t="s">
        <v>6984</v>
      </c>
      <c r="IHK5" t="s">
        <v>6984</v>
      </c>
      <c r="IHL5" t="s">
        <v>6984</v>
      </c>
      <c r="IHM5" t="s">
        <v>6984</v>
      </c>
      <c r="IHN5" t="s">
        <v>6984</v>
      </c>
      <c r="IHO5" t="s">
        <v>6984</v>
      </c>
      <c r="IHP5" t="s">
        <v>6984</v>
      </c>
      <c r="IHQ5" t="s">
        <v>6984</v>
      </c>
      <c r="IHR5" t="s">
        <v>6984</v>
      </c>
      <c r="IHS5" t="s">
        <v>6984</v>
      </c>
      <c r="IHT5" t="s">
        <v>6984</v>
      </c>
      <c r="IHU5" t="s">
        <v>6984</v>
      </c>
      <c r="IHV5" t="s">
        <v>6984</v>
      </c>
      <c r="IHW5" t="s">
        <v>6984</v>
      </c>
      <c r="IHX5" t="s">
        <v>6984</v>
      </c>
      <c r="IHY5" t="s">
        <v>6984</v>
      </c>
      <c r="IHZ5" t="s">
        <v>6984</v>
      </c>
      <c r="IIA5" t="s">
        <v>6984</v>
      </c>
      <c r="IIB5" t="s">
        <v>6984</v>
      </c>
      <c r="IIC5" t="s">
        <v>6984</v>
      </c>
      <c r="IID5" t="s">
        <v>6984</v>
      </c>
      <c r="IIE5" t="s">
        <v>6984</v>
      </c>
      <c r="IIF5" t="s">
        <v>6984</v>
      </c>
      <c r="IIG5" t="s">
        <v>6984</v>
      </c>
      <c r="IIH5" t="s">
        <v>6984</v>
      </c>
      <c r="III5" t="s">
        <v>6984</v>
      </c>
      <c r="IIJ5" t="s">
        <v>6984</v>
      </c>
      <c r="IIK5" t="s">
        <v>6984</v>
      </c>
      <c r="IIL5" t="s">
        <v>6984</v>
      </c>
      <c r="IIM5" t="s">
        <v>6984</v>
      </c>
      <c r="IIN5" t="s">
        <v>6984</v>
      </c>
      <c r="IIO5" t="s">
        <v>6984</v>
      </c>
      <c r="IIP5" t="s">
        <v>6984</v>
      </c>
      <c r="IIQ5" t="s">
        <v>6984</v>
      </c>
      <c r="IIR5" t="s">
        <v>6984</v>
      </c>
      <c r="IIS5" t="s">
        <v>6984</v>
      </c>
      <c r="IIT5" t="s">
        <v>6984</v>
      </c>
      <c r="IIU5" t="s">
        <v>6984</v>
      </c>
      <c r="IIV5" t="s">
        <v>6984</v>
      </c>
      <c r="IIW5" t="s">
        <v>6984</v>
      </c>
      <c r="IIX5" t="s">
        <v>6984</v>
      </c>
      <c r="IIY5" t="s">
        <v>6984</v>
      </c>
      <c r="IIZ5" t="s">
        <v>6984</v>
      </c>
      <c r="IJA5" t="s">
        <v>6984</v>
      </c>
      <c r="IJB5" t="s">
        <v>6984</v>
      </c>
      <c r="IJC5" t="s">
        <v>6984</v>
      </c>
      <c r="IJD5" t="s">
        <v>6984</v>
      </c>
      <c r="IJE5" t="s">
        <v>6984</v>
      </c>
      <c r="IJF5" t="s">
        <v>6984</v>
      </c>
      <c r="IJG5" t="s">
        <v>6984</v>
      </c>
      <c r="IJH5" t="s">
        <v>6984</v>
      </c>
      <c r="IJI5" t="s">
        <v>6984</v>
      </c>
      <c r="IJJ5" t="s">
        <v>6984</v>
      </c>
      <c r="IJK5" t="s">
        <v>6984</v>
      </c>
      <c r="IJL5" t="s">
        <v>6984</v>
      </c>
      <c r="IJM5" t="s">
        <v>6984</v>
      </c>
      <c r="IJN5" t="s">
        <v>6984</v>
      </c>
      <c r="IJO5" t="s">
        <v>6984</v>
      </c>
      <c r="IJP5" t="s">
        <v>6984</v>
      </c>
      <c r="IJQ5" t="s">
        <v>6984</v>
      </c>
      <c r="IJR5" t="s">
        <v>6984</v>
      </c>
      <c r="IJS5" t="s">
        <v>6984</v>
      </c>
      <c r="IJT5" t="s">
        <v>6984</v>
      </c>
      <c r="IJU5" t="s">
        <v>6984</v>
      </c>
      <c r="IJV5" t="s">
        <v>6984</v>
      </c>
      <c r="IJW5" t="s">
        <v>6984</v>
      </c>
      <c r="IJX5" t="s">
        <v>6984</v>
      </c>
      <c r="IJY5" t="s">
        <v>6984</v>
      </c>
      <c r="IJZ5" t="s">
        <v>6984</v>
      </c>
      <c r="IKA5" t="s">
        <v>6984</v>
      </c>
      <c r="IKB5" t="s">
        <v>6984</v>
      </c>
      <c r="IKC5" t="s">
        <v>6984</v>
      </c>
      <c r="IKD5" t="s">
        <v>6984</v>
      </c>
      <c r="IKE5" t="s">
        <v>6984</v>
      </c>
      <c r="IKF5" t="s">
        <v>6984</v>
      </c>
      <c r="IKG5" t="s">
        <v>6984</v>
      </c>
      <c r="IKH5" t="s">
        <v>6984</v>
      </c>
      <c r="IKI5" t="s">
        <v>6984</v>
      </c>
      <c r="IKJ5" t="s">
        <v>6984</v>
      </c>
      <c r="IKK5" t="s">
        <v>6984</v>
      </c>
      <c r="IKL5" t="s">
        <v>6984</v>
      </c>
      <c r="IKM5" t="s">
        <v>6984</v>
      </c>
      <c r="IKN5" t="s">
        <v>6984</v>
      </c>
      <c r="IKO5" t="s">
        <v>6984</v>
      </c>
      <c r="IKP5" t="s">
        <v>6984</v>
      </c>
      <c r="IKQ5" t="s">
        <v>6984</v>
      </c>
      <c r="IKR5" t="s">
        <v>6984</v>
      </c>
      <c r="IKS5" t="s">
        <v>6984</v>
      </c>
      <c r="IKT5" t="s">
        <v>6984</v>
      </c>
      <c r="IKU5" t="s">
        <v>6984</v>
      </c>
      <c r="IKV5" t="s">
        <v>6984</v>
      </c>
      <c r="IKW5" t="s">
        <v>6984</v>
      </c>
      <c r="IKX5" t="s">
        <v>6984</v>
      </c>
      <c r="IKY5" t="s">
        <v>6984</v>
      </c>
      <c r="IKZ5" t="s">
        <v>6984</v>
      </c>
      <c r="ILA5" t="s">
        <v>6984</v>
      </c>
      <c r="ILB5" t="s">
        <v>6984</v>
      </c>
      <c r="ILC5" t="s">
        <v>6984</v>
      </c>
      <c r="ILD5" t="s">
        <v>6984</v>
      </c>
      <c r="ILE5" t="s">
        <v>6984</v>
      </c>
      <c r="ILF5" t="s">
        <v>6984</v>
      </c>
      <c r="ILG5" t="s">
        <v>6984</v>
      </c>
      <c r="ILH5" t="s">
        <v>6984</v>
      </c>
      <c r="ILI5" t="s">
        <v>6984</v>
      </c>
      <c r="ILJ5" t="s">
        <v>6984</v>
      </c>
      <c r="ILK5" t="s">
        <v>6984</v>
      </c>
      <c r="ILL5" t="s">
        <v>6984</v>
      </c>
      <c r="ILM5" t="s">
        <v>6984</v>
      </c>
      <c r="ILN5" t="s">
        <v>6984</v>
      </c>
      <c r="ILO5" t="s">
        <v>6984</v>
      </c>
      <c r="ILP5" t="s">
        <v>6984</v>
      </c>
      <c r="ILQ5" t="s">
        <v>6984</v>
      </c>
      <c r="ILR5" t="s">
        <v>6984</v>
      </c>
      <c r="ILS5" t="s">
        <v>6984</v>
      </c>
      <c r="ILT5" t="s">
        <v>6984</v>
      </c>
      <c r="ILU5" t="s">
        <v>6984</v>
      </c>
      <c r="ILV5" t="s">
        <v>6984</v>
      </c>
      <c r="ILW5" t="s">
        <v>6984</v>
      </c>
      <c r="ILX5" t="s">
        <v>6984</v>
      </c>
      <c r="ILY5" t="s">
        <v>6984</v>
      </c>
      <c r="ILZ5" t="s">
        <v>6984</v>
      </c>
      <c r="IMA5" t="s">
        <v>6984</v>
      </c>
      <c r="IMB5" t="s">
        <v>6984</v>
      </c>
      <c r="IMC5" t="s">
        <v>6984</v>
      </c>
      <c r="IMD5" t="s">
        <v>6984</v>
      </c>
      <c r="IME5" t="s">
        <v>6984</v>
      </c>
      <c r="IMF5" t="s">
        <v>6984</v>
      </c>
      <c r="IMG5" t="s">
        <v>6984</v>
      </c>
      <c r="IMH5" t="s">
        <v>6984</v>
      </c>
      <c r="IMI5" t="s">
        <v>6984</v>
      </c>
      <c r="IMJ5" t="s">
        <v>6984</v>
      </c>
      <c r="IMK5" t="s">
        <v>6984</v>
      </c>
      <c r="IML5" t="s">
        <v>6984</v>
      </c>
      <c r="IMM5" t="s">
        <v>6984</v>
      </c>
      <c r="IMN5" t="s">
        <v>6984</v>
      </c>
      <c r="IMO5" t="s">
        <v>6984</v>
      </c>
      <c r="IMP5" t="s">
        <v>6984</v>
      </c>
      <c r="IMQ5" t="s">
        <v>6984</v>
      </c>
      <c r="IMR5" t="s">
        <v>6984</v>
      </c>
      <c r="IMS5" t="s">
        <v>6984</v>
      </c>
      <c r="IMT5" t="s">
        <v>6984</v>
      </c>
      <c r="IMU5" t="s">
        <v>6984</v>
      </c>
      <c r="IMV5" t="s">
        <v>6984</v>
      </c>
      <c r="IMW5" t="s">
        <v>6984</v>
      </c>
      <c r="IMX5" t="s">
        <v>6984</v>
      </c>
      <c r="IMY5" t="s">
        <v>6984</v>
      </c>
      <c r="IMZ5" t="s">
        <v>6984</v>
      </c>
      <c r="INA5" t="s">
        <v>6984</v>
      </c>
      <c r="INB5" t="s">
        <v>6984</v>
      </c>
      <c r="INC5" t="s">
        <v>6984</v>
      </c>
      <c r="IND5" t="s">
        <v>6984</v>
      </c>
      <c r="INE5" t="s">
        <v>6984</v>
      </c>
      <c r="INF5" t="s">
        <v>6984</v>
      </c>
      <c r="ING5" t="s">
        <v>6984</v>
      </c>
      <c r="INH5" t="s">
        <v>6984</v>
      </c>
      <c r="INI5" t="s">
        <v>6984</v>
      </c>
      <c r="INJ5" t="s">
        <v>6984</v>
      </c>
      <c r="INK5" t="s">
        <v>6984</v>
      </c>
      <c r="INL5" t="s">
        <v>6984</v>
      </c>
      <c r="INM5" t="s">
        <v>6984</v>
      </c>
      <c r="INN5" t="s">
        <v>6984</v>
      </c>
      <c r="INO5" t="s">
        <v>6984</v>
      </c>
      <c r="INP5" t="s">
        <v>6984</v>
      </c>
      <c r="INQ5" t="s">
        <v>6984</v>
      </c>
      <c r="INR5" t="s">
        <v>6984</v>
      </c>
      <c r="INS5" t="s">
        <v>6984</v>
      </c>
      <c r="INT5" t="s">
        <v>6984</v>
      </c>
      <c r="INU5" t="s">
        <v>6984</v>
      </c>
      <c r="INV5" t="s">
        <v>6984</v>
      </c>
      <c r="INW5" t="s">
        <v>6984</v>
      </c>
      <c r="INX5" t="s">
        <v>6984</v>
      </c>
      <c r="INY5" t="s">
        <v>6984</v>
      </c>
      <c r="INZ5" t="s">
        <v>6984</v>
      </c>
      <c r="IOA5" t="s">
        <v>6984</v>
      </c>
      <c r="IOB5" t="s">
        <v>6984</v>
      </c>
      <c r="IOC5" t="s">
        <v>6984</v>
      </c>
      <c r="IOD5" t="s">
        <v>6984</v>
      </c>
      <c r="IOE5" t="s">
        <v>6984</v>
      </c>
      <c r="IOF5" t="s">
        <v>6984</v>
      </c>
      <c r="IOG5" t="s">
        <v>6984</v>
      </c>
      <c r="IOH5" t="s">
        <v>6984</v>
      </c>
      <c r="IOI5" t="s">
        <v>6984</v>
      </c>
      <c r="IOJ5" t="s">
        <v>6984</v>
      </c>
      <c r="IOK5" t="s">
        <v>6984</v>
      </c>
      <c r="IOL5" t="s">
        <v>6984</v>
      </c>
      <c r="IOM5" t="s">
        <v>6984</v>
      </c>
      <c r="ION5" t="s">
        <v>6984</v>
      </c>
      <c r="IOO5" t="s">
        <v>6984</v>
      </c>
      <c r="IOP5" t="s">
        <v>6984</v>
      </c>
      <c r="IOQ5" t="s">
        <v>6984</v>
      </c>
      <c r="IOR5" t="s">
        <v>6984</v>
      </c>
      <c r="IOS5" t="s">
        <v>6984</v>
      </c>
      <c r="IOT5" t="s">
        <v>6984</v>
      </c>
      <c r="IOU5" t="s">
        <v>6984</v>
      </c>
      <c r="IOV5" t="s">
        <v>6984</v>
      </c>
      <c r="IOW5" t="s">
        <v>6984</v>
      </c>
      <c r="IOX5" t="s">
        <v>6984</v>
      </c>
      <c r="IOY5" t="s">
        <v>6984</v>
      </c>
      <c r="IOZ5" t="s">
        <v>6984</v>
      </c>
      <c r="IPA5" t="s">
        <v>6984</v>
      </c>
      <c r="IPB5" t="s">
        <v>6984</v>
      </c>
      <c r="IPC5" t="s">
        <v>6984</v>
      </c>
      <c r="IPD5" t="s">
        <v>6984</v>
      </c>
      <c r="IPE5" t="s">
        <v>6984</v>
      </c>
      <c r="IPF5" t="s">
        <v>6984</v>
      </c>
      <c r="IPG5" t="s">
        <v>6984</v>
      </c>
      <c r="IPH5" t="s">
        <v>6984</v>
      </c>
      <c r="IPI5" t="s">
        <v>6984</v>
      </c>
      <c r="IPJ5" t="s">
        <v>6984</v>
      </c>
      <c r="IPK5" t="s">
        <v>6984</v>
      </c>
      <c r="IPL5" t="s">
        <v>6984</v>
      </c>
      <c r="IPM5" t="s">
        <v>6984</v>
      </c>
      <c r="IPN5" t="s">
        <v>6984</v>
      </c>
      <c r="IPO5" t="s">
        <v>6984</v>
      </c>
      <c r="IPP5" t="s">
        <v>6984</v>
      </c>
      <c r="IPQ5" t="s">
        <v>6984</v>
      </c>
      <c r="IPR5" t="s">
        <v>6984</v>
      </c>
      <c r="IPS5" t="s">
        <v>6984</v>
      </c>
      <c r="IPT5" t="s">
        <v>6984</v>
      </c>
      <c r="IPU5" t="s">
        <v>6984</v>
      </c>
      <c r="IPV5" t="s">
        <v>6984</v>
      </c>
      <c r="IPW5" t="s">
        <v>6984</v>
      </c>
      <c r="IPX5" t="s">
        <v>6984</v>
      </c>
      <c r="IPY5" t="s">
        <v>6984</v>
      </c>
      <c r="IPZ5" t="s">
        <v>6984</v>
      </c>
      <c r="IQA5" t="s">
        <v>6984</v>
      </c>
      <c r="IQB5" t="s">
        <v>6984</v>
      </c>
      <c r="IQC5" t="s">
        <v>6984</v>
      </c>
      <c r="IQD5" t="s">
        <v>6984</v>
      </c>
      <c r="IQE5" t="s">
        <v>6984</v>
      </c>
      <c r="IQF5" t="s">
        <v>6984</v>
      </c>
      <c r="IQG5" t="s">
        <v>6984</v>
      </c>
      <c r="IQH5" t="s">
        <v>6984</v>
      </c>
      <c r="IQI5" t="s">
        <v>6984</v>
      </c>
      <c r="IQJ5" t="s">
        <v>6984</v>
      </c>
      <c r="IQK5" t="s">
        <v>6984</v>
      </c>
      <c r="IQL5" t="s">
        <v>6984</v>
      </c>
      <c r="IQM5" t="s">
        <v>6984</v>
      </c>
      <c r="IQN5" t="s">
        <v>6984</v>
      </c>
      <c r="IQO5" t="s">
        <v>6984</v>
      </c>
      <c r="IQP5" t="s">
        <v>6984</v>
      </c>
      <c r="IQQ5" t="s">
        <v>6984</v>
      </c>
      <c r="IQR5" t="s">
        <v>6984</v>
      </c>
      <c r="IQS5" t="s">
        <v>6984</v>
      </c>
      <c r="IQT5" t="s">
        <v>6984</v>
      </c>
      <c r="IQU5" t="s">
        <v>6984</v>
      </c>
      <c r="IQV5" t="s">
        <v>6984</v>
      </c>
      <c r="IQW5" t="s">
        <v>6984</v>
      </c>
      <c r="IQX5" t="s">
        <v>6984</v>
      </c>
      <c r="IQY5" t="s">
        <v>6984</v>
      </c>
      <c r="IQZ5" t="s">
        <v>6984</v>
      </c>
      <c r="IRA5" t="s">
        <v>6984</v>
      </c>
      <c r="IRB5" t="s">
        <v>6984</v>
      </c>
      <c r="IRC5" t="s">
        <v>6984</v>
      </c>
      <c r="IRD5" t="s">
        <v>6984</v>
      </c>
      <c r="IRE5" t="s">
        <v>6984</v>
      </c>
      <c r="IRF5" t="s">
        <v>6984</v>
      </c>
      <c r="IRG5" t="s">
        <v>6984</v>
      </c>
      <c r="IRH5" t="s">
        <v>6984</v>
      </c>
      <c r="IRI5" t="s">
        <v>6984</v>
      </c>
      <c r="IRJ5" t="s">
        <v>6984</v>
      </c>
      <c r="IRK5" t="s">
        <v>6984</v>
      </c>
      <c r="IRL5" t="s">
        <v>6984</v>
      </c>
      <c r="IRM5" t="s">
        <v>6984</v>
      </c>
      <c r="IRN5" t="s">
        <v>6984</v>
      </c>
      <c r="IRO5" t="s">
        <v>6984</v>
      </c>
      <c r="IRP5" t="s">
        <v>6984</v>
      </c>
      <c r="IRQ5" t="s">
        <v>6984</v>
      </c>
      <c r="IRR5" t="s">
        <v>6984</v>
      </c>
      <c r="IRS5" t="s">
        <v>6984</v>
      </c>
      <c r="IRT5" t="s">
        <v>6984</v>
      </c>
      <c r="IRU5" t="s">
        <v>6984</v>
      </c>
      <c r="IRV5" t="s">
        <v>6984</v>
      </c>
      <c r="IRW5" t="s">
        <v>6984</v>
      </c>
      <c r="IRX5" t="s">
        <v>6984</v>
      </c>
      <c r="IRY5" t="s">
        <v>6984</v>
      </c>
      <c r="IRZ5" t="s">
        <v>6984</v>
      </c>
      <c r="ISA5" t="s">
        <v>6984</v>
      </c>
      <c r="ISB5" t="s">
        <v>6984</v>
      </c>
      <c r="ISC5" t="s">
        <v>6984</v>
      </c>
      <c r="ISD5" t="s">
        <v>6984</v>
      </c>
      <c r="ISE5" t="s">
        <v>6984</v>
      </c>
      <c r="ISF5" t="s">
        <v>6984</v>
      </c>
      <c r="ISG5" t="s">
        <v>6984</v>
      </c>
      <c r="ISH5" t="s">
        <v>6984</v>
      </c>
      <c r="ISI5" t="s">
        <v>6984</v>
      </c>
      <c r="ISJ5" t="s">
        <v>6984</v>
      </c>
      <c r="ISK5" t="s">
        <v>6984</v>
      </c>
      <c r="ISL5" t="s">
        <v>6984</v>
      </c>
      <c r="ISM5" t="s">
        <v>6984</v>
      </c>
      <c r="ISN5" t="s">
        <v>6984</v>
      </c>
      <c r="ISO5" t="s">
        <v>6984</v>
      </c>
      <c r="ISP5" t="s">
        <v>6984</v>
      </c>
      <c r="ISQ5" t="s">
        <v>6984</v>
      </c>
      <c r="ISR5" t="s">
        <v>6984</v>
      </c>
      <c r="ISS5" t="s">
        <v>6984</v>
      </c>
      <c r="IST5" t="s">
        <v>6984</v>
      </c>
      <c r="ISU5" t="s">
        <v>6984</v>
      </c>
      <c r="ISV5" t="s">
        <v>6984</v>
      </c>
      <c r="ISW5" t="s">
        <v>6984</v>
      </c>
      <c r="ISX5" t="s">
        <v>6984</v>
      </c>
      <c r="ISY5" t="s">
        <v>6984</v>
      </c>
      <c r="ISZ5" t="s">
        <v>6984</v>
      </c>
      <c r="ITA5" t="s">
        <v>6984</v>
      </c>
      <c r="ITB5" t="s">
        <v>6984</v>
      </c>
      <c r="ITC5" t="s">
        <v>6984</v>
      </c>
      <c r="ITD5" t="s">
        <v>6984</v>
      </c>
      <c r="ITE5" t="s">
        <v>6984</v>
      </c>
      <c r="ITF5" t="s">
        <v>6984</v>
      </c>
      <c r="ITG5" t="s">
        <v>6984</v>
      </c>
      <c r="ITH5" t="s">
        <v>6984</v>
      </c>
      <c r="ITI5" t="s">
        <v>6984</v>
      </c>
      <c r="ITJ5" t="s">
        <v>6984</v>
      </c>
      <c r="ITK5" t="s">
        <v>6984</v>
      </c>
      <c r="ITL5" t="s">
        <v>6984</v>
      </c>
      <c r="ITM5" t="s">
        <v>6984</v>
      </c>
      <c r="ITN5" t="s">
        <v>6984</v>
      </c>
      <c r="ITO5" t="s">
        <v>6984</v>
      </c>
      <c r="ITP5" t="s">
        <v>6984</v>
      </c>
      <c r="ITQ5" t="s">
        <v>6984</v>
      </c>
      <c r="ITR5" t="s">
        <v>6984</v>
      </c>
      <c r="ITS5" t="s">
        <v>6984</v>
      </c>
      <c r="ITT5" t="s">
        <v>6984</v>
      </c>
      <c r="ITU5" t="s">
        <v>6984</v>
      </c>
      <c r="ITV5" t="s">
        <v>6984</v>
      </c>
      <c r="ITW5" t="s">
        <v>6984</v>
      </c>
      <c r="ITX5" t="s">
        <v>6984</v>
      </c>
      <c r="ITY5" t="s">
        <v>6984</v>
      </c>
      <c r="ITZ5" t="s">
        <v>6984</v>
      </c>
      <c r="IUA5" t="s">
        <v>6984</v>
      </c>
      <c r="IUB5" t="s">
        <v>6984</v>
      </c>
      <c r="IUC5" t="s">
        <v>6984</v>
      </c>
      <c r="IUD5" t="s">
        <v>6984</v>
      </c>
      <c r="IUE5" t="s">
        <v>6984</v>
      </c>
      <c r="IUF5" t="s">
        <v>6984</v>
      </c>
      <c r="IUG5" t="s">
        <v>6984</v>
      </c>
      <c r="IUH5" t="s">
        <v>6984</v>
      </c>
      <c r="IUI5" t="s">
        <v>6984</v>
      </c>
      <c r="IUJ5" t="s">
        <v>6984</v>
      </c>
      <c r="IUK5" t="s">
        <v>6984</v>
      </c>
      <c r="IUL5" t="s">
        <v>6984</v>
      </c>
      <c r="IUM5" t="s">
        <v>6984</v>
      </c>
      <c r="IUN5" t="s">
        <v>6984</v>
      </c>
      <c r="IUO5" t="s">
        <v>6984</v>
      </c>
      <c r="IUP5" t="s">
        <v>6984</v>
      </c>
      <c r="IUQ5" t="s">
        <v>6984</v>
      </c>
      <c r="IUR5" t="s">
        <v>6984</v>
      </c>
      <c r="IUS5" t="s">
        <v>6984</v>
      </c>
      <c r="IUT5" t="s">
        <v>6984</v>
      </c>
      <c r="IUU5" t="s">
        <v>6984</v>
      </c>
      <c r="IUV5" t="s">
        <v>6984</v>
      </c>
      <c r="IUW5" t="s">
        <v>6984</v>
      </c>
      <c r="IUX5" t="s">
        <v>6984</v>
      </c>
      <c r="IUY5" t="s">
        <v>6984</v>
      </c>
      <c r="IUZ5" t="s">
        <v>6984</v>
      </c>
      <c r="IVA5" t="s">
        <v>6984</v>
      </c>
      <c r="IVB5" t="s">
        <v>6984</v>
      </c>
      <c r="IVC5" t="s">
        <v>6984</v>
      </c>
      <c r="IVD5" t="s">
        <v>6984</v>
      </c>
      <c r="IVE5" t="s">
        <v>6984</v>
      </c>
      <c r="IVF5" t="s">
        <v>6984</v>
      </c>
      <c r="IVG5" t="s">
        <v>6984</v>
      </c>
      <c r="IVH5" t="s">
        <v>6984</v>
      </c>
      <c r="IVI5" t="s">
        <v>6984</v>
      </c>
      <c r="IVJ5" t="s">
        <v>6984</v>
      </c>
      <c r="IVK5" t="s">
        <v>6984</v>
      </c>
      <c r="IVL5" t="s">
        <v>6984</v>
      </c>
      <c r="IVM5" t="s">
        <v>6984</v>
      </c>
      <c r="IVN5" t="s">
        <v>6984</v>
      </c>
      <c r="IVO5" t="s">
        <v>6984</v>
      </c>
      <c r="IVP5" t="s">
        <v>6984</v>
      </c>
      <c r="IVQ5" t="s">
        <v>6984</v>
      </c>
      <c r="IVR5" t="s">
        <v>6984</v>
      </c>
      <c r="IVS5" t="s">
        <v>6984</v>
      </c>
      <c r="IVT5" t="s">
        <v>6984</v>
      </c>
      <c r="IVU5" t="s">
        <v>6984</v>
      </c>
      <c r="IVV5" t="s">
        <v>6984</v>
      </c>
      <c r="IVW5" t="s">
        <v>6984</v>
      </c>
      <c r="IVX5" t="s">
        <v>6984</v>
      </c>
      <c r="IVY5" t="s">
        <v>6984</v>
      </c>
      <c r="IVZ5" t="s">
        <v>6984</v>
      </c>
      <c r="IWA5" t="s">
        <v>6984</v>
      </c>
      <c r="IWB5" t="s">
        <v>6984</v>
      </c>
      <c r="IWC5" t="s">
        <v>6984</v>
      </c>
      <c r="IWD5" t="s">
        <v>6984</v>
      </c>
      <c r="IWE5" t="s">
        <v>6984</v>
      </c>
      <c r="IWF5" t="s">
        <v>6984</v>
      </c>
      <c r="IWG5" t="s">
        <v>6984</v>
      </c>
      <c r="IWH5" t="s">
        <v>6984</v>
      </c>
      <c r="IWI5" t="s">
        <v>6984</v>
      </c>
      <c r="IWJ5" t="s">
        <v>6984</v>
      </c>
      <c r="IWK5" t="s">
        <v>6984</v>
      </c>
      <c r="IWL5" t="s">
        <v>6984</v>
      </c>
      <c r="IWM5" t="s">
        <v>6984</v>
      </c>
      <c r="IWN5" t="s">
        <v>6984</v>
      </c>
      <c r="IWO5" t="s">
        <v>6984</v>
      </c>
      <c r="IWP5" t="s">
        <v>6984</v>
      </c>
      <c r="IWQ5" t="s">
        <v>6984</v>
      </c>
      <c r="IWR5" t="s">
        <v>6984</v>
      </c>
      <c r="IWS5" t="s">
        <v>6984</v>
      </c>
      <c r="IWT5" t="s">
        <v>6984</v>
      </c>
      <c r="IWU5" t="s">
        <v>6984</v>
      </c>
      <c r="IWV5" t="s">
        <v>6984</v>
      </c>
      <c r="IWW5" t="s">
        <v>6984</v>
      </c>
      <c r="IWX5" t="s">
        <v>6984</v>
      </c>
      <c r="IWY5" t="s">
        <v>6984</v>
      </c>
      <c r="IWZ5" t="s">
        <v>6984</v>
      </c>
      <c r="IXA5" t="s">
        <v>6984</v>
      </c>
      <c r="IXB5" t="s">
        <v>6984</v>
      </c>
      <c r="IXC5" t="s">
        <v>6984</v>
      </c>
      <c r="IXD5" t="s">
        <v>6984</v>
      </c>
      <c r="IXE5" t="s">
        <v>6984</v>
      </c>
      <c r="IXF5" t="s">
        <v>6984</v>
      </c>
      <c r="IXG5" t="s">
        <v>6984</v>
      </c>
      <c r="IXH5" t="s">
        <v>6984</v>
      </c>
      <c r="IXI5" t="s">
        <v>6984</v>
      </c>
      <c r="IXJ5" t="s">
        <v>6984</v>
      </c>
      <c r="IXK5" t="s">
        <v>6984</v>
      </c>
      <c r="IXL5" t="s">
        <v>6984</v>
      </c>
      <c r="IXM5" t="s">
        <v>6984</v>
      </c>
      <c r="IXN5" t="s">
        <v>6984</v>
      </c>
      <c r="IXO5" t="s">
        <v>6984</v>
      </c>
      <c r="IXP5" t="s">
        <v>6984</v>
      </c>
      <c r="IXQ5" t="s">
        <v>6984</v>
      </c>
      <c r="IXR5" t="s">
        <v>6984</v>
      </c>
      <c r="IXS5" t="s">
        <v>6984</v>
      </c>
      <c r="IXT5" t="s">
        <v>6984</v>
      </c>
      <c r="IXU5" t="s">
        <v>6984</v>
      </c>
      <c r="IXV5" t="s">
        <v>6984</v>
      </c>
      <c r="IXW5" t="s">
        <v>6984</v>
      </c>
      <c r="IXX5" t="s">
        <v>6984</v>
      </c>
      <c r="IXY5" t="s">
        <v>6984</v>
      </c>
      <c r="IXZ5" t="s">
        <v>6984</v>
      </c>
      <c r="IYA5" t="s">
        <v>6984</v>
      </c>
      <c r="IYB5" t="s">
        <v>6984</v>
      </c>
      <c r="IYC5" t="s">
        <v>6984</v>
      </c>
      <c r="IYD5" t="s">
        <v>6984</v>
      </c>
      <c r="IYE5" t="s">
        <v>6984</v>
      </c>
      <c r="IYF5" t="s">
        <v>6984</v>
      </c>
      <c r="IYG5" t="s">
        <v>6984</v>
      </c>
      <c r="IYH5" t="s">
        <v>6984</v>
      </c>
      <c r="IYI5" t="s">
        <v>6984</v>
      </c>
      <c r="IYJ5" t="s">
        <v>6984</v>
      </c>
      <c r="IYK5" t="s">
        <v>6984</v>
      </c>
      <c r="IYL5" t="s">
        <v>6984</v>
      </c>
      <c r="IYM5" t="s">
        <v>6984</v>
      </c>
      <c r="IYN5" t="s">
        <v>6984</v>
      </c>
      <c r="IYO5" t="s">
        <v>6984</v>
      </c>
      <c r="IYP5" t="s">
        <v>6984</v>
      </c>
      <c r="IYQ5" t="s">
        <v>6984</v>
      </c>
      <c r="IYR5" t="s">
        <v>6984</v>
      </c>
      <c r="IYS5" t="s">
        <v>6984</v>
      </c>
      <c r="IYT5" t="s">
        <v>6984</v>
      </c>
      <c r="IYU5" t="s">
        <v>6984</v>
      </c>
      <c r="IYV5" t="s">
        <v>6984</v>
      </c>
      <c r="IYW5" t="s">
        <v>6984</v>
      </c>
      <c r="IYX5" t="s">
        <v>6984</v>
      </c>
      <c r="IYY5" t="s">
        <v>6984</v>
      </c>
      <c r="IYZ5" t="s">
        <v>6984</v>
      </c>
      <c r="IZA5" t="s">
        <v>6984</v>
      </c>
      <c r="IZB5" t="s">
        <v>6984</v>
      </c>
      <c r="IZC5" t="s">
        <v>6984</v>
      </c>
      <c r="IZD5" t="s">
        <v>6984</v>
      </c>
      <c r="IZE5" t="s">
        <v>6984</v>
      </c>
      <c r="IZF5" t="s">
        <v>6984</v>
      </c>
      <c r="IZG5" t="s">
        <v>6984</v>
      </c>
      <c r="IZH5" t="s">
        <v>6984</v>
      </c>
      <c r="IZI5" t="s">
        <v>6984</v>
      </c>
      <c r="IZJ5" t="s">
        <v>6984</v>
      </c>
      <c r="IZK5" t="s">
        <v>6984</v>
      </c>
      <c r="IZL5" t="s">
        <v>6984</v>
      </c>
      <c r="IZM5" t="s">
        <v>6984</v>
      </c>
      <c r="IZN5" t="s">
        <v>6984</v>
      </c>
      <c r="IZO5" t="s">
        <v>6984</v>
      </c>
      <c r="IZP5" t="s">
        <v>6984</v>
      </c>
      <c r="IZQ5" t="s">
        <v>6984</v>
      </c>
      <c r="IZR5" t="s">
        <v>6984</v>
      </c>
      <c r="IZS5" t="s">
        <v>6984</v>
      </c>
      <c r="IZT5" t="s">
        <v>6984</v>
      </c>
      <c r="IZU5" t="s">
        <v>6984</v>
      </c>
      <c r="IZV5" t="s">
        <v>6984</v>
      </c>
      <c r="IZW5" t="s">
        <v>6984</v>
      </c>
      <c r="IZX5" t="s">
        <v>6984</v>
      </c>
      <c r="IZY5" t="s">
        <v>6984</v>
      </c>
      <c r="IZZ5" t="s">
        <v>6984</v>
      </c>
      <c r="JAA5" t="s">
        <v>6984</v>
      </c>
      <c r="JAB5" t="s">
        <v>6984</v>
      </c>
      <c r="JAC5" t="s">
        <v>6984</v>
      </c>
      <c r="JAD5" t="s">
        <v>6984</v>
      </c>
      <c r="JAE5" t="s">
        <v>6984</v>
      </c>
      <c r="JAF5" t="s">
        <v>6984</v>
      </c>
      <c r="JAG5" t="s">
        <v>6984</v>
      </c>
      <c r="JAH5" t="s">
        <v>6984</v>
      </c>
      <c r="JAI5" t="s">
        <v>6984</v>
      </c>
      <c r="JAJ5" t="s">
        <v>6984</v>
      </c>
      <c r="JAK5" t="s">
        <v>6984</v>
      </c>
      <c r="JAL5" t="s">
        <v>6984</v>
      </c>
      <c r="JAM5" t="s">
        <v>6984</v>
      </c>
      <c r="JAN5" t="s">
        <v>6984</v>
      </c>
      <c r="JAO5" t="s">
        <v>6984</v>
      </c>
      <c r="JAP5" t="s">
        <v>6984</v>
      </c>
      <c r="JAQ5" t="s">
        <v>6984</v>
      </c>
      <c r="JAR5" t="s">
        <v>6984</v>
      </c>
      <c r="JAS5" t="s">
        <v>6984</v>
      </c>
      <c r="JAT5" t="s">
        <v>6984</v>
      </c>
      <c r="JAU5" t="s">
        <v>6984</v>
      </c>
      <c r="JAV5" t="s">
        <v>6984</v>
      </c>
      <c r="JAW5" t="s">
        <v>6984</v>
      </c>
      <c r="JAX5" t="s">
        <v>6984</v>
      </c>
      <c r="JAY5" t="s">
        <v>6984</v>
      </c>
      <c r="JAZ5" t="s">
        <v>6984</v>
      </c>
      <c r="JBA5" t="s">
        <v>6984</v>
      </c>
      <c r="JBB5" t="s">
        <v>6984</v>
      </c>
      <c r="JBC5" t="s">
        <v>6984</v>
      </c>
      <c r="JBD5" t="s">
        <v>6984</v>
      </c>
      <c r="JBE5" t="s">
        <v>6984</v>
      </c>
      <c r="JBF5" t="s">
        <v>6984</v>
      </c>
      <c r="JBG5" t="s">
        <v>6984</v>
      </c>
      <c r="JBH5" t="s">
        <v>6984</v>
      </c>
      <c r="JBI5" t="s">
        <v>6984</v>
      </c>
      <c r="JBJ5" t="s">
        <v>6984</v>
      </c>
      <c r="JBK5" t="s">
        <v>6984</v>
      </c>
      <c r="JBL5" t="s">
        <v>6984</v>
      </c>
      <c r="JBM5" t="s">
        <v>6984</v>
      </c>
      <c r="JBN5" t="s">
        <v>6984</v>
      </c>
      <c r="JBO5" t="s">
        <v>6984</v>
      </c>
      <c r="JBP5" t="s">
        <v>6984</v>
      </c>
      <c r="JBQ5" t="s">
        <v>6984</v>
      </c>
      <c r="JBR5" t="s">
        <v>6984</v>
      </c>
      <c r="JBS5" t="s">
        <v>6984</v>
      </c>
      <c r="JBT5" t="s">
        <v>6984</v>
      </c>
      <c r="JBU5" t="s">
        <v>6984</v>
      </c>
      <c r="JBV5" t="s">
        <v>6984</v>
      </c>
      <c r="JBW5" t="s">
        <v>6984</v>
      </c>
      <c r="JBX5" t="s">
        <v>6984</v>
      </c>
      <c r="JBY5" t="s">
        <v>6984</v>
      </c>
      <c r="JBZ5" t="s">
        <v>6984</v>
      </c>
      <c r="JCA5" t="s">
        <v>6984</v>
      </c>
      <c r="JCB5" t="s">
        <v>6984</v>
      </c>
      <c r="JCC5" t="s">
        <v>6984</v>
      </c>
      <c r="JCD5" t="s">
        <v>6984</v>
      </c>
      <c r="JCE5" t="s">
        <v>6984</v>
      </c>
      <c r="JCF5" t="s">
        <v>6984</v>
      </c>
      <c r="JCG5" t="s">
        <v>6984</v>
      </c>
      <c r="JCH5" t="s">
        <v>6984</v>
      </c>
      <c r="JCI5" t="s">
        <v>6984</v>
      </c>
      <c r="JCJ5" t="s">
        <v>6984</v>
      </c>
      <c r="JCK5" t="s">
        <v>6984</v>
      </c>
      <c r="JCL5" t="s">
        <v>6984</v>
      </c>
      <c r="JCM5" t="s">
        <v>6984</v>
      </c>
      <c r="JCN5" t="s">
        <v>6984</v>
      </c>
      <c r="JCO5" t="s">
        <v>6984</v>
      </c>
      <c r="JCP5" t="s">
        <v>6984</v>
      </c>
      <c r="JCQ5" t="s">
        <v>6984</v>
      </c>
      <c r="JCR5" t="s">
        <v>6984</v>
      </c>
      <c r="JCS5" t="s">
        <v>6984</v>
      </c>
      <c r="JCT5" t="s">
        <v>6984</v>
      </c>
      <c r="JCU5" t="s">
        <v>6984</v>
      </c>
      <c r="JCV5" t="s">
        <v>6984</v>
      </c>
      <c r="JCW5" t="s">
        <v>6984</v>
      </c>
      <c r="JCX5" t="s">
        <v>6984</v>
      </c>
      <c r="JCY5" t="s">
        <v>6984</v>
      </c>
      <c r="JCZ5" t="s">
        <v>6984</v>
      </c>
      <c r="JDA5" t="s">
        <v>6984</v>
      </c>
      <c r="JDB5" t="s">
        <v>6984</v>
      </c>
      <c r="JDC5" t="s">
        <v>6984</v>
      </c>
      <c r="JDD5" t="s">
        <v>6984</v>
      </c>
      <c r="JDE5" t="s">
        <v>6984</v>
      </c>
      <c r="JDF5" t="s">
        <v>6984</v>
      </c>
      <c r="JDG5" t="s">
        <v>6984</v>
      </c>
      <c r="JDH5" t="s">
        <v>6984</v>
      </c>
      <c r="JDI5" t="s">
        <v>6984</v>
      </c>
      <c r="JDJ5" t="s">
        <v>6984</v>
      </c>
      <c r="JDK5" t="s">
        <v>6984</v>
      </c>
      <c r="JDL5" t="s">
        <v>6984</v>
      </c>
      <c r="JDM5" t="s">
        <v>6984</v>
      </c>
      <c r="JDN5" t="s">
        <v>6984</v>
      </c>
      <c r="JDO5" t="s">
        <v>6984</v>
      </c>
      <c r="JDP5" t="s">
        <v>6984</v>
      </c>
      <c r="JDQ5" t="s">
        <v>6984</v>
      </c>
      <c r="JDR5" t="s">
        <v>6984</v>
      </c>
      <c r="JDS5" t="s">
        <v>6984</v>
      </c>
      <c r="JDT5" t="s">
        <v>6984</v>
      </c>
      <c r="JDU5" t="s">
        <v>6984</v>
      </c>
      <c r="JDV5" t="s">
        <v>6984</v>
      </c>
      <c r="JDW5" t="s">
        <v>6984</v>
      </c>
      <c r="JDX5" t="s">
        <v>6984</v>
      </c>
      <c r="JDY5" t="s">
        <v>6984</v>
      </c>
      <c r="JDZ5" t="s">
        <v>6984</v>
      </c>
      <c r="JEA5" t="s">
        <v>6984</v>
      </c>
      <c r="JEB5" t="s">
        <v>6984</v>
      </c>
      <c r="JEC5" t="s">
        <v>6984</v>
      </c>
      <c r="JED5" t="s">
        <v>6984</v>
      </c>
      <c r="JEE5" t="s">
        <v>6984</v>
      </c>
      <c r="JEF5" t="s">
        <v>6984</v>
      </c>
      <c r="JEG5" t="s">
        <v>6984</v>
      </c>
      <c r="JEH5" t="s">
        <v>6984</v>
      </c>
      <c r="JEI5" t="s">
        <v>6984</v>
      </c>
      <c r="JEJ5" t="s">
        <v>6984</v>
      </c>
      <c r="JEK5" t="s">
        <v>6984</v>
      </c>
      <c r="JEL5" t="s">
        <v>6984</v>
      </c>
      <c r="JEM5" t="s">
        <v>6984</v>
      </c>
      <c r="JEN5" t="s">
        <v>6984</v>
      </c>
      <c r="JEO5" t="s">
        <v>6984</v>
      </c>
      <c r="JEP5" t="s">
        <v>6984</v>
      </c>
      <c r="JEQ5" t="s">
        <v>6984</v>
      </c>
      <c r="JER5" t="s">
        <v>6984</v>
      </c>
      <c r="JES5" t="s">
        <v>6984</v>
      </c>
      <c r="JET5" t="s">
        <v>6984</v>
      </c>
      <c r="JEU5" t="s">
        <v>6984</v>
      </c>
      <c r="JEV5" t="s">
        <v>6984</v>
      </c>
      <c r="JEW5" t="s">
        <v>6984</v>
      </c>
      <c r="JEX5" t="s">
        <v>6984</v>
      </c>
      <c r="JEY5" t="s">
        <v>6984</v>
      </c>
      <c r="JEZ5" t="s">
        <v>6984</v>
      </c>
      <c r="JFA5" t="s">
        <v>6984</v>
      </c>
      <c r="JFB5" t="s">
        <v>6984</v>
      </c>
      <c r="JFC5" t="s">
        <v>6984</v>
      </c>
      <c r="JFD5" t="s">
        <v>6984</v>
      </c>
      <c r="JFE5" t="s">
        <v>6984</v>
      </c>
      <c r="JFF5" t="s">
        <v>6984</v>
      </c>
      <c r="JFG5" t="s">
        <v>6984</v>
      </c>
      <c r="JFH5" t="s">
        <v>6984</v>
      </c>
      <c r="JFI5" t="s">
        <v>6984</v>
      </c>
      <c r="JFJ5" t="s">
        <v>6984</v>
      </c>
      <c r="JFK5" t="s">
        <v>6984</v>
      </c>
      <c r="JFL5" t="s">
        <v>6984</v>
      </c>
      <c r="JFM5" t="s">
        <v>6984</v>
      </c>
      <c r="JFN5" t="s">
        <v>6984</v>
      </c>
      <c r="JFO5" t="s">
        <v>6984</v>
      </c>
      <c r="JFP5" t="s">
        <v>6984</v>
      </c>
      <c r="JFQ5" t="s">
        <v>6984</v>
      </c>
      <c r="JFR5" t="s">
        <v>6984</v>
      </c>
      <c r="JFS5" t="s">
        <v>6984</v>
      </c>
      <c r="JFT5" t="s">
        <v>6984</v>
      </c>
      <c r="JFU5" t="s">
        <v>6984</v>
      </c>
      <c r="JFV5" t="s">
        <v>6984</v>
      </c>
      <c r="JFW5" t="s">
        <v>6984</v>
      </c>
      <c r="JFX5" t="s">
        <v>6984</v>
      </c>
      <c r="JFY5" t="s">
        <v>6984</v>
      </c>
      <c r="JFZ5" t="s">
        <v>6984</v>
      </c>
      <c r="JGA5" t="s">
        <v>6984</v>
      </c>
      <c r="JGB5" t="s">
        <v>6984</v>
      </c>
      <c r="JGC5" t="s">
        <v>6984</v>
      </c>
      <c r="JGD5" t="s">
        <v>6984</v>
      </c>
      <c r="JGE5" t="s">
        <v>6984</v>
      </c>
      <c r="JGF5" t="s">
        <v>6984</v>
      </c>
      <c r="JGG5" t="s">
        <v>6984</v>
      </c>
      <c r="JGH5" t="s">
        <v>6984</v>
      </c>
      <c r="JGI5" t="s">
        <v>6984</v>
      </c>
      <c r="JGJ5" t="s">
        <v>6984</v>
      </c>
      <c r="JGK5" t="s">
        <v>6984</v>
      </c>
      <c r="JGL5" t="s">
        <v>6984</v>
      </c>
      <c r="JGM5" t="s">
        <v>6984</v>
      </c>
      <c r="JGN5" t="s">
        <v>6984</v>
      </c>
      <c r="JGO5" t="s">
        <v>6984</v>
      </c>
      <c r="JGP5" t="s">
        <v>6984</v>
      </c>
      <c r="JGQ5" t="s">
        <v>6984</v>
      </c>
      <c r="JGR5" t="s">
        <v>6984</v>
      </c>
      <c r="JGS5" t="s">
        <v>6984</v>
      </c>
      <c r="JGT5" t="s">
        <v>6984</v>
      </c>
      <c r="JGU5" t="s">
        <v>6984</v>
      </c>
      <c r="JGV5" t="s">
        <v>6984</v>
      </c>
      <c r="JGW5" t="s">
        <v>6984</v>
      </c>
      <c r="JGX5" t="s">
        <v>6984</v>
      </c>
      <c r="JGY5" t="s">
        <v>6984</v>
      </c>
      <c r="JGZ5" t="s">
        <v>6984</v>
      </c>
      <c r="JHA5" t="s">
        <v>6984</v>
      </c>
      <c r="JHB5" t="s">
        <v>6984</v>
      </c>
      <c r="JHC5" t="s">
        <v>6984</v>
      </c>
      <c r="JHD5" t="s">
        <v>6984</v>
      </c>
      <c r="JHE5" t="s">
        <v>6984</v>
      </c>
      <c r="JHF5" t="s">
        <v>6984</v>
      </c>
      <c r="JHG5" t="s">
        <v>6984</v>
      </c>
      <c r="JHH5" t="s">
        <v>6984</v>
      </c>
      <c r="JHI5" t="s">
        <v>6984</v>
      </c>
      <c r="JHJ5" t="s">
        <v>6984</v>
      </c>
      <c r="JHK5" t="s">
        <v>6984</v>
      </c>
      <c r="JHL5" t="s">
        <v>6984</v>
      </c>
      <c r="JHM5" t="s">
        <v>6984</v>
      </c>
      <c r="JHN5" t="s">
        <v>6984</v>
      </c>
      <c r="JHO5" t="s">
        <v>6984</v>
      </c>
      <c r="JHP5" t="s">
        <v>6984</v>
      </c>
      <c r="JHQ5" t="s">
        <v>6984</v>
      </c>
      <c r="JHR5" t="s">
        <v>6984</v>
      </c>
      <c r="JHS5" t="s">
        <v>6984</v>
      </c>
      <c r="JHT5" t="s">
        <v>6984</v>
      </c>
      <c r="JHU5" t="s">
        <v>6984</v>
      </c>
      <c r="JHV5" t="s">
        <v>6984</v>
      </c>
      <c r="JHW5" t="s">
        <v>6984</v>
      </c>
      <c r="JHX5" t="s">
        <v>6984</v>
      </c>
      <c r="JHY5" t="s">
        <v>6984</v>
      </c>
      <c r="JHZ5" t="s">
        <v>6984</v>
      </c>
      <c r="JIA5" t="s">
        <v>6984</v>
      </c>
      <c r="JIB5" t="s">
        <v>6984</v>
      </c>
      <c r="JIC5" t="s">
        <v>6984</v>
      </c>
      <c r="JID5" t="s">
        <v>6984</v>
      </c>
      <c r="JIE5" t="s">
        <v>6984</v>
      </c>
      <c r="JIF5" t="s">
        <v>6984</v>
      </c>
      <c r="JIG5" t="s">
        <v>6984</v>
      </c>
      <c r="JIH5" t="s">
        <v>6984</v>
      </c>
      <c r="JII5" t="s">
        <v>6984</v>
      </c>
      <c r="JIJ5" t="s">
        <v>6984</v>
      </c>
      <c r="JIK5" t="s">
        <v>6984</v>
      </c>
      <c r="JIL5" t="s">
        <v>6984</v>
      </c>
      <c r="JIM5" t="s">
        <v>6984</v>
      </c>
      <c r="JIN5" t="s">
        <v>6984</v>
      </c>
      <c r="JIO5" t="s">
        <v>6984</v>
      </c>
      <c r="JIP5" t="s">
        <v>6984</v>
      </c>
      <c r="JIQ5" t="s">
        <v>6984</v>
      </c>
      <c r="JIR5" t="s">
        <v>6984</v>
      </c>
      <c r="JIS5" t="s">
        <v>6984</v>
      </c>
      <c r="JIT5" t="s">
        <v>6984</v>
      </c>
      <c r="JIU5" t="s">
        <v>6984</v>
      </c>
      <c r="JIV5" t="s">
        <v>6984</v>
      </c>
      <c r="JIW5" t="s">
        <v>6984</v>
      </c>
      <c r="JIX5" t="s">
        <v>6984</v>
      </c>
      <c r="JIY5" t="s">
        <v>6984</v>
      </c>
      <c r="JIZ5" t="s">
        <v>6984</v>
      </c>
      <c r="JJA5" t="s">
        <v>6984</v>
      </c>
    </row>
    <row r="6" spans="1:7021" x14ac:dyDescent="0.25">
      <c r="A6" t="s">
        <v>6987</v>
      </c>
      <c r="B6">
        <v>96.325000000000003</v>
      </c>
      <c r="C6">
        <v>96.325000000000003</v>
      </c>
      <c r="D6">
        <v>96.325000000000003</v>
      </c>
      <c r="E6">
        <v>96.09</v>
      </c>
      <c r="F6">
        <v>96.114999999999995</v>
      </c>
      <c r="G6">
        <v>96.15</v>
      </c>
      <c r="H6">
        <v>96.185000000000002</v>
      </c>
      <c r="I6">
        <v>96.155000000000001</v>
      </c>
      <c r="J6">
        <v>96.09</v>
      </c>
      <c r="K6">
        <v>96.105000000000004</v>
      </c>
      <c r="L6">
        <v>96.09</v>
      </c>
      <c r="M6">
        <v>96.2</v>
      </c>
      <c r="N6">
        <v>96.23</v>
      </c>
      <c r="O6">
        <v>96.155000000000001</v>
      </c>
      <c r="P6">
        <v>96.17</v>
      </c>
      <c r="Q6">
        <v>96.194999999999993</v>
      </c>
      <c r="R6">
        <v>96.17</v>
      </c>
      <c r="S6">
        <v>96.114999999999995</v>
      </c>
      <c r="T6">
        <v>96.15</v>
      </c>
      <c r="U6">
        <v>96.144999999999996</v>
      </c>
      <c r="V6">
        <v>96.144999999999996</v>
      </c>
      <c r="W6">
        <v>96.16</v>
      </c>
      <c r="X6">
        <v>96.165000000000006</v>
      </c>
      <c r="Y6">
        <v>96.194999999999993</v>
      </c>
      <c r="Z6">
        <v>96.194999999999993</v>
      </c>
      <c r="AA6">
        <v>96.174999999999997</v>
      </c>
      <c r="AB6">
        <v>96.21</v>
      </c>
      <c r="AC6">
        <v>96.14</v>
      </c>
      <c r="AD6">
        <v>96.18</v>
      </c>
      <c r="AE6">
        <v>96.215000000000003</v>
      </c>
      <c r="AF6">
        <v>96.33</v>
      </c>
      <c r="AG6">
        <v>96.33</v>
      </c>
      <c r="AH6">
        <v>96.444999999999993</v>
      </c>
      <c r="AI6">
        <v>96.474999999999994</v>
      </c>
      <c r="AJ6">
        <v>96.415000000000006</v>
      </c>
      <c r="AK6">
        <v>96.44</v>
      </c>
      <c r="AL6">
        <v>96.584999999999994</v>
      </c>
      <c r="AM6">
        <v>96.694999999999993</v>
      </c>
      <c r="AN6">
        <v>96.644999999999996</v>
      </c>
      <c r="AO6">
        <v>96.605000000000004</v>
      </c>
      <c r="AP6">
        <v>96.54</v>
      </c>
      <c r="AQ6">
        <v>96.52</v>
      </c>
      <c r="AR6">
        <v>96.465000000000003</v>
      </c>
      <c r="AS6">
        <v>96.54</v>
      </c>
      <c r="AT6">
        <v>96.62</v>
      </c>
      <c r="AU6">
        <v>96.534999999999997</v>
      </c>
      <c r="AV6">
        <v>96.534999999999997</v>
      </c>
      <c r="AW6">
        <v>96.555000000000007</v>
      </c>
      <c r="AX6">
        <v>96.515000000000001</v>
      </c>
      <c r="AY6">
        <v>96.52</v>
      </c>
      <c r="AZ6">
        <v>96.42</v>
      </c>
      <c r="BA6">
        <v>96.515000000000001</v>
      </c>
      <c r="BB6">
        <v>96.38</v>
      </c>
      <c r="BC6">
        <v>96.665000000000006</v>
      </c>
      <c r="BD6">
        <v>96.625</v>
      </c>
      <c r="BE6">
        <v>96.655000000000001</v>
      </c>
      <c r="BF6">
        <v>96.564999999999998</v>
      </c>
      <c r="BG6">
        <v>96.375</v>
      </c>
      <c r="BH6">
        <v>96.43</v>
      </c>
      <c r="BI6">
        <v>96.375</v>
      </c>
      <c r="BJ6">
        <v>96.375</v>
      </c>
      <c r="BK6">
        <v>96.265000000000001</v>
      </c>
      <c r="BL6">
        <v>96.26</v>
      </c>
      <c r="BM6">
        <v>96.28</v>
      </c>
      <c r="BN6">
        <v>96.254999999999995</v>
      </c>
      <c r="BO6">
        <v>96.35</v>
      </c>
      <c r="BP6">
        <v>96.325000000000003</v>
      </c>
      <c r="BQ6">
        <v>96.295000000000002</v>
      </c>
      <c r="BR6">
        <v>96.08</v>
      </c>
      <c r="BS6">
        <v>96.094999999999999</v>
      </c>
      <c r="BT6">
        <v>96.144999999999996</v>
      </c>
      <c r="BU6">
        <v>96.21</v>
      </c>
      <c r="BV6">
        <v>96.18</v>
      </c>
      <c r="BW6">
        <v>96.245000000000005</v>
      </c>
      <c r="BX6">
        <v>96.295000000000002</v>
      </c>
      <c r="BY6">
        <v>96.194999999999993</v>
      </c>
      <c r="BZ6">
        <v>96.245000000000005</v>
      </c>
      <c r="CA6">
        <v>96.2</v>
      </c>
      <c r="CB6">
        <v>96.215000000000003</v>
      </c>
      <c r="CC6">
        <v>96.19</v>
      </c>
      <c r="CD6">
        <v>96.174999999999997</v>
      </c>
      <c r="CE6">
        <v>96.084999999999994</v>
      </c>
      <c r="CF6">
        <v>96.09</v>
      </c>
      <c r="CG6">
        <v>96.08</v>
      </c>
      <c r="CH6">
        <v>96.025000000000006</v>
      </c>
      <c r="CI6">
        <v>96.015000000000001</v>
      </c>
      <c r="CJ6">
        <v>95.93</v>
      </c>
      <c r="CK6">
        <v>95.915000000000006</v>
      </c>
      <c r="CL6">
        <v>95.9</v>
      </c>
      <c r="CM6">
        <v>95.94</v>
      </c>
      <c r="CN6">
        <v>95.94</v>
      </c>
      <c r="CO6">
        <v>95.875</v>
      </c>
      <c r="CP6">
        <v>95.825000000000003</v>
      </c>
      <c r="CQ6">
        <v>95.905000000000001</v>
      </c>
      <c r="CR6">
        <v>95.935000000000002</v>
      </c>
      <c r="CS6">
        <v>95.93</v>
      </c>
      <c r="CT6">
        <v>96.01</v>
      </c>
      <c r="CU6">
        <v>96.025000000000006</v>
      </c>
      <c r="CV6">
        <v>96.004999999999995</v>
      </c>
      <c r="CW6">
        <v>95.965000000000003</v>
      </c>
      <c r="CX6">
        <v>96.004999999999995</v>
      </c>
      <c r="CY6">
        <v>96.045000000000002</v>
      </c>
      <c r="CZ6">
        <v>96.025000000000006</v>
      </c>
      <c r="DA6">
        <v>96.06</v>
      </c>
      <c r="DB6">
        <v>96.075000000000003</v>
      </c>
      <c r="DC6">
        <v>96</v>
      </c>
      <c r="DD6">
        <v>95.98</v>
      </c>
      <c r="DE6">
        <v>95.965000000000003</v>
      </c>
      <c r="DF6">
        <v>95.96</v>
      </c>
      <c r="DG6">
        <v>95.97</v>
      </c>
      <c r="DH6">
        <v>95.97</v>
      </c>
      <c r="DI6">
        <v>96</v>
      </c>
      <c r="DJ6">
        <v>95.98</v>
      </c>
      <c r="DK6">
        <v>95.894999999999996</v>
      </c>
      <c r="DL6">
        <v>95.864999999999995</v>
      </c>
      <c r="DM6">
        <v>95.875</v>
      </c>
      <c r="DN6">
        <v>96.015000000000001</v>
      </c>
      <c r="DO6">
        <v>95.98</v>
      </c>
      <c r="DP6">
        <v>95.965000000000003</v>
      </c>
      <c r="DQ6">
        <v>95.99</v>
      </c>
      <c r="DR6">
        <v>95.99</v>
      </c>
      <c r="DS6">
        <v>96.015000000000001</v>
      </c>
      <c r="DT6">
        <v>96.02</v>
      </c>
      <c r="DU6">
        <v>96.02</v>
      </c>
      <c r="DV6">
        <v>96.03</v>
      </c>
      <c r="DW6">
        <v>95.97</v>
      </c>
      <c r="DX6">
        <v>95.954999999999998</v>
      </c>
      <c r="DY6">
        <v>95.954999999999998</v>
      </c>
      <c r="DZ6">
        <v>95.954999999999998</v>
      </c>
      <c r="EA6">
        <v>95.924999999999997</v>
      </c>
      <c r="EB6">
        <v>95.96</v>
      </c>
      <c r="EC6">
        <v>95.95</v>
      </c>
      <c r="ED6">
        <v>95.91</v>
      </c>
      <c r="EE6">
        <v>95.96</v>
      </c>
      <c r="EF6">
        <v>95.97</v>
      </c>
      <c r="EG6">
        <v>95.98</v>
      </c>
      <c r="EH6">
        <v>96.02</v>
      </c>
      <c r="EI6">
        <v>96.05</v>
      </c>
      <c r="EJ6">
        <v>96.05</v>
      </c>
      <c r="EK6">
        <v>96.08</v>
      </c>
      <c r="EL6">
        <v>96.094999999999999</v>
      </c>
      <c r="EM6">
        <v>96.04</v>
      </c>
      <c r="EN6">
        <v>96.064999999999998</v>
      </c>
      <c r="EO6">
        <v>96.01</v>
      </c>
      <c r="EP6">
        <v>95.944999999999993</v>
      </c>
      <c r="EQ6">
        <v>95.974999999999994</v>
      </c>
      <c r="ER6">
        <v>95.944999999999993</v>
      </c>
      <c r="ES6">
        <v>95.944999999999993</v>
      </c>
      <c r="ET6">
        <v>95.9</v>
      </c>
      <c r="EU6">
        <v>95.924999999999997</v>
      </c>
      <c r="EV6">
        <v>95.87</v>
      </c>
      <c r="EW6">
        <v>95.9</v>
      </c>
      <c r="EX6">
        <v>95.94</v>
      </c>
      <c r="EY6">
        <v>95.97</v>
      </c>
      <c r="EZ6">
        <v>95.98</v>
      </c>
      <c r="FA6">
        <v>95.97</v>
      </c>
      <c r="FB6">
        <v>95.995000000000005</v>
      </c>
      <c r="FC6">
        <v>96.015000000000001</v>
      </c>
      <c r="FD6">
        <v>95.91</v>
      </c>
      <c r="FE6">
        <v>95.944999999999993</v>
      </c>
      <c r="FF6">
        <v>96</v>
      </c>
      <c r="FG6">
        <v>96.06</v>
      </c>
      <c r="FH6">
        <v>96.025000000000006</v>
      </c>
      <c r="FI6">
        <v>96.105000000000004</v>
      </c>
      <c r="FJ6">
        <v>96.144999999999996</v>
      </c>
      <c r="FK6">
        <v>96.125</v>
      </c>
      <c r="FL6">
        <v>96.155000000000001</v>
      </c>
      <c r="FM6">
        <v>96.174999999999997</v>
      </c>
      <c r="FN6">
        <v>96.204999999999998</v>
      </c>
      <c r="FO6">
        <v>96.174999999999997</v>
      </c>
      <c r="FP6">
        <v>96.204999999999998</v>
      </c>
      <c r="FQ6">
        <v>96.245000000000005</v>
      </c>
      <c r="FR6">
        <v>96.204999999999998</v>
      </c>
      <c r="FS6">
        <v>96.254999999999995</v>
      </c>
      <c r="FT6">
        <v>96.27</v>
      </c>
      <c r="FU6">
        <v>96.355000000000004</v>
      </c>
      <c r="FV6">
        <v>96.33</v>
      </c>
      <c r="FW6">
        <v>96.385000000000005</v>
      </c>
      <c r="FX6">
        <v>96.364999999999995</v>
      </c>
      <c r="FY6">
        <v>96.32</v>
      </c>
      <c r="FZ6">
        <v>96.394999999999996</v>
      </c>
      <c r="GA6">
        <v>96.314999999999998</v>
      </c>
      <c r="GB6">
        <v>96.284999999999997</v>
      </c>
      <c r="GC6">
        <v>96.344999999999999</v>
      </c>
      <c r="GD6">
        <v>96.32</v>
      </c>
      <c r="GE6">
        <v>96.394999999999996</v>
      </c>
      <c r="GF6">
        <v>96.68</v>
      </c>
      <c r="GG6">
        <v>96.784999999999997</v>
      </c>
      <c r="GH6">
        <v>96.814999999999998</v>
      </c>
      <c r="GI6">
        <v>96.79</v>
      </c>
      <c r="GJ6">
        <v>96.92</v>
      </c>
      <c r="GK6">
        <v>96.85</v>
      </c>
      <c r="GL6">
        <v>96.94</v>
      </c>
      <c r="GM6">
        <v>96.974999999999994</v>
      </c>
      <c r="GN6">
        <v>96.944999999999993</v>
      </c>
      <c r="GO6">
        <v>96.94</v>
      </c>
      <c r="GP6">
        <v>96.905000000000001</v>
      </c>
      <c r="GQ6">
        <v>96.91</v>
      </c>
      <c r="GR6">
        <v>96.605000000000004</v>
      </c>
      <c r="GS6">
        <v>96.67</v>
      </c>
      <c r="GT6">
        <v>96.625</v>
      </c>
      <c r="GU6">
        <v>96.534999999999997</v>
      </c>
      <c r="GV6">
        <v>96.525000000000006</v>
      </c>
      <c r="GW6">
        <v>96.594999999999999</v>
      </c>
      <c r="GX6">
        <v>96.545000000000002</v>
      </c>
      <c r="GY6">
        <v>96.564999999999998</v>
      </c>
      <c r="GZ6">
        <v>96.43</v>
      </c>
      <c r="HA6">
        <v>96.424999999999997</v>
      </c>
      <c r="HB6">
        <v>96.265000000000001</v>
      </c>
      <c r="HC6">
        <v>96.245000000000005</v>
      </c>
      <c r="HD6">
        <v>96.245000000000005</v>
      </c>
      <c r="HE6">
        <v>96.275000000000006</v>
      </c>
      <c r="HF6">
        <v>96.305000000000007</v>
      </c>
      <c r="HG6">
        <v>96.314999999999998</v>
      </c>
      <c r="HH6">
        <v>96.27</v>
      </c>
      <c r="HI6">
        <v>96.3</v>
      </c>
      <c r="HJ6">
        <v>96.204999999999998</v>
      </c>
      <c r="HK6">
        <v>96.31</v>
      </c>
      <c r="HL6">
        <v>96.21</v>
      </c>
      <c r="HM6">
        <v>96.135000000000005</v>
      </c>
      <c r="HN6">
        <v>96.135000000000005</v>
      </c>
      <c r="HO6">
        <v>96.105000000000004</v>
      </c>
      <c r="HP6">
        <v>96.295000000000002</v>
      </c>
      <c r="HQ6">
        <v>96.305000000000007</v>
      </c>
      <c r="HR6">
        <v>96.204999999999998</v>
      </c>
      <c r="HS6">
        <v>96.18</v>
      </c>
      <c r="HT6">
        <v>96.21</v>
      </c>
      <c r="HU6">
        <v>96.28</v>
      </c>
      <c r="HV6">
        <v>96.265000000000001</v>
      </c>
      <c r="HW6">
        <v>96.41</v>
      </c>
      <c r="HX6">
        <v>96.424999999999997</v>
      </c>
      <c r="HY6">
        <v>96.015000000000001</v>
      </c>
      <c r="HZ6">
        <v>95.8</v>
      </c>
      <c r="IA6">
        <v>95.775000000000006</v>
      </c>
      <c r="IB6">
        <v>95.745000000000005</v>
      </c>
      <c r="IC6">
        <v>95.75</v>
      </c>
      <c r="ID6">
        <v>95.715000000000003</v>
      </c>
      <c r="IE6">
        <v>95.73</v>
      </c>
      <c r="IF6">
        <v>95.694999999999993</v>
      </c>
      <c r="IG6">
        <v>95.655000000000001</v>
      </c>
      <c r="IH6">
        <v>95.68</v>
      </c>
      <c r="II6">
        <v>95.724999999999994</v>
      </c>
      <c r="IJ6">
        <v>95.745000000000005</v>
      </c>
      <c r="IK6">
        <v>95.745000000000005</v>
      </c>
      <c r="IL6">
        <v>95.745000000000005</v>
      </c>
      <c r="IM6">
        <v>95.71</v>
      </c>
      <c r="IN6">
        <v>95.674999999999997</v>
      </c>
      <c r="IO6">
        <v>95.53</v>
      </c>
      <c r="IP6">
        <v>95.525000000000006</v>
      </c>
      <c r="IQ6">
        <v>95.534999999999997</v>
      </c>
      <c r="IR6">
        <v>95.555000000000007</v>
      </c>
      <c r="IS6">
        <v>95.454999999999998</v>
      </c>
      <c r="IT6">
        <v>95.454999999999998</v>
      </c>
      <c r="IU6">
        <v>95.415000000000006</v>
      </c>
      <c r="IV6">
        <v>95.394999999999996</v>
      </c>
      <c r="IW6">
        <v>95.435000000000002</v>
      </c>
      <c r="IX6">
        <v>95.43</v>
      </c>
      <c r="IY6">
        <v>95.4</v>
      </c>
      <c r="IZ6">
        <v>95.465000000000003</v>
      </c>
      <c r="JA6">
        <v>95.47</v>
      </c>
      <c r="JB6">
        <v>95.465000000000003</v>
      </c>
      <c r="JC6">
        <v>95.465000000000003</v>
      </c>
      <c r="JD6">
        <v>95.18</v>
      </c>
      <c r="JE6">
        <v>95.18</v>
      </c>
      <c r="JF6">
        <v>95.14</v>
      </c>
      <c r="JG6">
        <v>95.21</v>
      </c>
      <c r="JH6">
        <v>95.19</v>
      </c>
      <c r="JI6">
        <v>95.13</v>
      </c>
      <c r="JJ6">
        <v>95.07</v>
      </c>
      <c r="JK6">
        <v>95.045000000000002</v>
      </c>
      <c r="JL6">
        <v>95.05</v>
      </c>
      <c r="JM6">
        <v>95.185000000000002</v>
      </c>
      <c r="JN6">
        <v>95.17</v>
      </c>
      <c r="JO6">
        <v>95.125</v>
      </c>
      <c r="JP6">
        <v>95.084999999999994</v>
      </c>
      <c r="JQ6">
        <v>95.03</v>
      </c>
      <c r="JR6">
        <v>95.01</v>
      </c>
      <c r="JS6">
        <v>94.97</v>
      </c>
      <c r="JT6">
        <v>94.97</v>
      </c>
      <c r="JU6">
        <v>94.995000000000005</v>
      </c>
      <c r="JV6">
        <v>94.995000000000005</v>
      </c>
      <c r="JW6">
        <v>95.01</v>
      </c>
      <c r="JX6">
        <v>95.06</v>
      </c>
      <c r="JY6">
        <v>95.1</v>
      </c>
      <c r="JZ6">
        <v>95.084999999999994</v>
      </c>
      <c r="KA6">
        <v>95.105000000000004</v>
      </c>
      <c r="KB6">
        <v>95.13</v>
      </c>
      <c r="KC6">
        <v>95.19</v>
      </c>
      <c r="KD6">
        <v>95.114999999999995</v>
      </c>
      <c r="KE6">
        <v>95.094999999999999</v>
      </c>
      <c r="KF6">
        <v>95.094999999999999</v>
      </c>
      <c r="KG6">
        <v>95.15</v>
      </c>
      <c r="KH6">
        <v>95.114999999999995</v>
      </c>
      <c r="KI6">
        <v>95.125</v>
      </c>
      <c r="KJ6">
        <v>95.135000000000005</v>
      </c>
      <c r="KK6">
        <v>95.155000000000001</v>
      </c>
      <c r="KL6">
        <v>95.08</v>
      </c>
      <c r="KM6">
        <v>95.02</v>
      </c>
      <c r="KN6">
        <v>94.94</v>
      </c>
      <c r="KO6">
        <v>95.015000000000001</v>
      </c>
      <c r="KP6">
        <v>95</v>
      </c>
      <c r="KQ6">
        <v>95.004999999999995</v>
      </c>
      <c r="KR6">
        <v>95.084999999999994</v>
      </c>
      <c r="KS6">
        <v>95.11</v>
      </c>
      <c r="KT6">
        <v>95.064999999999998</v>
      </c>
      <c r="KU6">
        <v>95.064999999999998</v>
      </c>
      <c r="KV6">
        <v>95.04</v>
      </c>
      <c r="KW6">
        <v>95.105000000000004</v>
      </c>
      <c r="KX6">
        <v>95.09</v>
      </c>
      <c r="KY6">
        <v>95.09</v>
      </c>
      <c r="KZ6">
        <v>95.14</v>
      </c>
      <c r="LA6">
        <v>95.075000000000003</v>
      </c>
      <c r="LB6">
        <v>95.07</v>
      </c>
      <c r="LC6">
        <v>95.33</v>
      </c>
      <c r="LD6">
        <v>95.29</v>
      </c>
      <c r="LE6">
        <v>95.334999999999994</v>
      </c>
      <c r="LF6">
        <v>95.42</v>
      </c>
      <c r="LG6">
        <v>95.38</v>
      </c>
      <c r="LH6">
        <v>95.36</v>
      </c>
      <c r="LI6">
        <v>95.334999999999994</v>
      </c>
      <c r="LJ6">
        <v>95.43</v>
      </c>
      <c r="LK6">
        <v>95.43</v>
      </c>
      <c r="LL6">
        <v>95.484999999999999</v>
      </c>
      <c r="LM6">
        <v>95.465000000000003</v>
      </c>
      <c r="LN6">
        <v>95.48</v>
      </c>
      <c r="LO6">
        <v>95.515000000000001</v>
      </c>
      <c r="LP6">
        <v>95.49</v>
      </c>
      <c r="LQ6">
        <v>95.515000000000001</v>
      </c>
      <c r="LR6">
        <v>95.12</v>
      </c>
      <c r="LS6">
        <v>95.1</v>
      </c>
      <c r="LT6">
        <v>95.12</v>
      </c>
      <c r="LU6">
        <v>95.14</v>
      </c>
      <c r="LV6">
        <v>95.185000000000002</v>
      </c>
      <c r="LW6">
        <v>95.21</v>
      </c>
      <c r="LX6">
        <v>95.265000000000001</v>
      </c>
      <c r="LY6">
        <v>95.295000000000002</v>
      </c>
      <c r="LZ6">
        <v>95.284999999999997</v>
      </c>
      <c r="MA6">
        <v>95.24</v>
      </c>
      <c r="MB6">
        <v>95.25</v>
      </c>
      <c r="MC6">
        <v>95.204999999999998</v>
      </c>
      <c r="MD6">
        <v>95.28</v>
      </c>
      <c r="ME6">
        <v>95.185000000000002</v>
      </c>
      <c r="MF6">
        <v>95.194999999999993</v>
      </c>
      <c r="MG6">
        <v>95.135000000000005</v>
      </c>
      <c r="MH6">
        <v>95.144999999999996</v>
      </c>
      <c r="MI6">
        <v>95.194999999999993</v>
      </c>
      <c r="MJ6">
        <v>95.185000000000002</v>
      </c>
      <c r="MK6">
        <v>95.25</v>
      </c>
      <c r="ML6">
        <v>95.29</v>
      </c>
      <c r="MM6">
        <v>95.265000000000001</v>
      </c>
      <c r="MN6">
        <v>95.265000000000001</v>
      </c>
      <c r="MO6">
        <v>95.334999999999994</v>
      </c>
      <c r="MP6">
        <v>95.34</v>
      </c>
      <c r="MQ6">
        <v>95.265000000000001</v>
      </c>
      <c r="MR6">
        <v>95.474999999999994</v>
      </c>
      <c r="MS6">
        <v>95.48</v>
      </c>
      <c r="MT6">
        <v>95.525000000000006</v>
      </c>
      <c r="MU6">
        <v>95.56</v>
      </c>
      <c r="MV6">
        <v>95.57</v>
      </c>
      <c r="MW6">
        <v>95.504999999999995</v>
      </c>
      <c r="MX6">
        <v>95.594999999999999</v>
      </c>
      <c r="MY6">
        <v>95.82</v>
      </c>
      <c r="MZ6">
        <v>95.814999999999998</v>
      </c>
      <c r="NA6">
        <v>95.65</v>
      </c>
      <c r="NB6">
        <v>95.71</v>
      </c>
      <c r="NC6">
        <v>95.685000000000002</v>
      </c>
      <c r="ND6">
        <v>95.745000000000005</v>
      </c>
      <c r="NE6">
        <v>95.67</v>
      </c>
      <c r="NF6">
        <v>95.685000000000002</v>
      </c>
      <c r="NG6">
        <v>95.685000000000002</v>
      </c>
      <c r="NH6">
        <v>95.67</v>
      </c>
      <c r="NI6">
        <v>95.75</v>
      </c>
      <c r="NJ6">
        <v>95.74</v>
      </c>
      <c r="NK6">
        <v>95.91</v>
      </c>
      <c r="NL6">
        <v>96.025000000000006</v>
      </c>
      <c r="NM6">
        <v>96.025000000000006</v>
      </c>
      <c r="NN6">
        <v>95.87</v>
      </c>
      <c r="NO6">
        <v>95.745000000000005</v>
      </c>
      <c r="NP6">
        <v>95.724999999999994</v>
      </c>
      <c r="NQ6">
        <v>95.75</v>
      </c>
      <c r="NR6">
        <v>95.724999999999994</v>
      </c>
      <c r="NS6">
        <v>95.73</v>
      </c>
      <c r="NT6">
        <v>95.795000000000002</v>
      </c>
      <c r="NU6">
        <v>95.825000000000003</v>
      </c>
      <c r="NV6">
        <v>95.905000000000001</v>
      </c>
      <c r="NW6">
        <v>95.905000000000001</v>
      </c>
      <c r="NX6">
        <v>95.875</v>
      </c>
      <c r="NY6">
        <v>95.924999999999997</v>
      </c>
      <c r="NZ6">
        <v>95.864999999999995</v>
      </c>
      <c r="OA6">
        <v>95.905000000000001</v>
      </c>
      <c r="OB6">
        <v>95.905000000000001</v>
      </c>
      <c r="OC6">
        <v>95.88</v>
      </c>
      <c r="OD6">
        <v>95.85</v>
      </c>
      <c r="OE6">
        <v>95.375</v>
      </c>
      <c r="OF6">
        <v>95.34</v>
      </c>
      <c r="OG6">
        <v>95.33</v>
      </c>
      <c r="OH6">
        <v>95.405000000000001</v>
      </c>
      <c r="OI6">
        <v>95.355000000000004</v>
      </c>
      <c r="OJ6">
        <v>95.105000000000004</v>
      </c>
      <c r="OK6">
        <v>95.12</v>
      </c>
      <c r="OL6">
        <v>95.114999999999995</v>
      </c>
      <c r="OM6">
        <v>95.254999999999995</v>
      </c>
      <c r="ON6">
        <v>95.23</v>
      </c>
      <c r="OO6">
        <v>95.265000000000001</v>
      </c>
      <c r="OP6">
        <v>95.215000000000003</v>
      </c>
      <c r="OQ6">
        <v>95.29</v>
      </c>
      <c r="OR6">
        <v>95.13</v>
      </c>
      <c r="OS6">
        <v>95.174999999999997</v>
      </c>
      <c r="OT6">
        <v>95.05</v>
      </c>
      <c r="OU6">
        <v>94.95</v>
      </c>
      <c r="OV6">
        <v>94.924999999999997</v>
      </c>
      <c r="OW6">
        <v>94.965000000000003</v>
      </c>
      <c r="OX6">
        <v>94.965000000000003</v>
      </c>
      <c r="OY6">
        <v>95</v>
      </c>
      <c r="OZ6">
        <v>94.984999999999999</v>
      </c>
      <c r="PA6">
        <v>95</v>
      </c>
      <c r="PB6">
        <v>95.045000000000002</v>
      </c>
      <c r="PC6">
        <v>94.99</v>
      </c>
      <c r="PD6">
        <v>95.084999999999994</v>
      </c>
      <c r="PE6">
        <v>94.875</v>
      </c>
      <c r="PF6">
        <v>94.864999999999995</v>
      </c>
      <c r="PG6">
        <v>94.885000000000005</v>
      </c>
      <c r="PH6">
        <v>94.96</v>
      </c>
      <c r="PI6">
        <v>94.995000000000005</v>
      </c>
      <c r="PJ6">
        <v>94.974999999999994</v>
      </c>
      <c r="PK6">
        <v>95.064999999999998</v>
      </c>
      <c r="PL6">
        <v>94.935000000000002</v>
      </c>
      <c r="PM6">
        <v>94.92</v>
      </c>
      <c r="PN6">
        <v>94.825000000000003</v>
      </c>
      <c r="PO6">
        <v>94.875</v>
      </c>
      <c r="PP6">
        <v>94.9</v>
      </c>
      <c r="PQ6">
        <v>94.88</v>
      </c>
      <c r="PR6">
        <v>94.814999999999998</v>
      </c>
      <c r="PS6">
        <v>94.844999999999999</v>
      </c>
      <c r="PT6">
        <v>94.875</v>
      </c>
      <c r="PU6">
        <v>94.875</v>
      </c>
      <c r="PV6">
        <v>94.814999999999998</v>
      </c>
      <c r="PW6">
        <v>94.754999999999995</v>
      </c>
      <c r="PX6">
        <v>94.75</v>
      </c>
      <c r="PY6">
        <v>94.84</v>
      </c>
      <c r="PZ6">
        <v>94.87</v>
      </c>
      <c r="QA6">
        <v>94.85</v>
      </c>
      <c r="QB6">
        <v>94.91</v>
      </c>
      <c r="QC6">
        <v>94.94</v>
      </c>
      <c r="QD6">
        <v>94.965000000000003</v>
      </c>
      <c r="QE6">
        <v>94.825000000000003</v>
      </c>
      <c r="QF6">
        <v>94.9</v>
      </c>
      <c r="QG6">
        <v>94.864999999999995</v>
      </c>
      <c r="QH6">
        <v>94.754999999999995</v>
      </c>
      <c r="QI6">
        <v>94.76</v>
      </c>
      <c r="QJ6">
        <v>94.814999999999998</v>
      </c>
      <c r="QK6">
        <v>94.805000000000007</v>
      </c>
      <c r="QL6">
        <v>94.74</v>
      </c>
      <c r="QM6">
        <v>94.79</v>
      </c>
      <c r="QN6">
        <v>94.78</v>
      </c>
      <c r="QO6">
        <v>94.78</v>
      </c>
      <c r="QP6">
        <v>94.765000000000001</v>
      </c>
      <c r="QQ6">
        <v>94.76</v>
      </c>
      <c r="QR6">
        <v>94.61</v>
      </c>
      <c r="QS6">
        <v>94.635000000000005</v>
      </c>
      <c r="QT6">
        <v>94.65</v>
      </c>
      <c r="QU6">
        <v>94.674999999999997</v>
      </c>
      <c r="QV6">
        <v>94.68</v>
      </c>
      <c r="QW6">
        <v>94.68</v>
      </c>
      <c r="QX6">
        <v>94.685000000000002</v>
      </c>
      <c r="QY6">
        <v>94.694999999999993</v>
      </c>
      <c r="QZ6">
        <v>94.715000000000003</v>
      </c>
      <c r="RA6">
        <v>94.674999999999997</v>
      </c>
      <c r="RB6">
        <v>94.7</v>
      </c>
      <c r="RC6">
        <v>94.795000000000002</v>
      </c>
      <c r="RD6">
        <v>94.795000000000002</v>
      </c>
      <c r="RE6">
        <v>94.8</v>
      </c>
      <c r="RF6">
        <v>94.77</v>
      </c>
      <c r="RG6">
        <v>94.75</v>
      </c>
      <c r="RH6">
        <v>94.64</v>
      </c>
      <c r="RI6">
        <v>94.644999999999996</v>
      </c>
      <c r="RJ6">
        <v>94.715000000000003</v>
      </c>
      <c r="RK6">
        <v>94.795000000000002</v>
      </c>
      <c r="RL6">
        <v>94.73</v>
      </c>
      <c r="RM6">
        <v>94.765000000000001</v>
      </c>
      <c r="RN6">
        <v>94.814999999999998</v>
      </c>
      <c r="RO6">
        <v>94.795000000000002</v>
      </c>
      <c r="RP6">
        <v>94.77</v>
      </c>
      <c r="RQ6">
        <v>94.79</v>
      </c>
      <c r="RR6">
        <v>94.775000000000006</v>
      </c>
      <c r="RS6">
        <v>94.84</v>
      </c>
      <c r="RT6">
        <v>94.89</v>
      </c>
      <c r="RU6">
        <v>94.9</v>
      </c>
      <c r="RV6">
        <v>94.924999999999997</v>
      </c>
      <c r="RW6">
        <v>94.94</v>
      </c>
      <c r="RX6">
        <v>94.924999999999997</v>
      </c>
      <c r="RY6">
        <v>94.86</v>
      </c>
      <c r="RZ6">
        <v>94.875</v>
      </c>
      <c r="SA6">
        <v>94.83</v>
      </c>
      <c r="SB6">
        <v>94.84</v>
      </c>
      <c r="SC6">
        <v>94.82</v>
      </c>
      <c r="SD6">
        <v>94.784999999999997</v>
      </c>
      <c r="SE6">
        <v>94.88</v>
      </c>
      <c r="SF6">
        <v>94.84</v>
      </c>
      <c r="SG6">
        <v>94.875</v>
      </c>
      <c r="SH6">
        <v>94.91</v>
      </c>
      <c r="SI6">
        <v>94.924999999999997</v>
      </c>
      <c r="SJ6">
        <v>94.995000000000005</v>
      </c>
      <c r="SK6">
        <v>95.004999999999995</v>
      </c>
      <c r="SL6">
        <v>95.034999999999997</v>
      </c>
      <c r="SM6">
        <v>95.01</v>
      </c>
      <c r="SN6">
        <v>95.12</v>
      </c>
      <c r="SO6">
        <v>94.99</v>
      </c>
      <c r="SP6">
        <v>94.844999999999999</v>
      </c>
      <c r="SQ6">
        <v>94.885000000000005</v>
      </c>
      <c r="SR6">
        <v>94.83</v>
      </c>
      <c r="SS6">
        <v>94.77</v>
      </c>
      <c r="ST6">
        <v>94.84</v>
      </c>
      <c r="SU6">
        <v>94.834999999999994</v>
      </c>
      <c r="SV6">
        <v>94.834999999999994</v>
      </c>
      <c r="SW6">
        <v>94.885000000000005</v>
      </c>
      <c r="SX6">
        <v>94.86</v>
      </c>
      <c r="SY6">
        <v>95.03</v>
      </c>
      <c r="SZ6">
        <v>94.984999999999999</v>
      </c>
      <c r="TA6">
        <v>95.08</v>
      </c>
      <c r="TB6">
        <v>95.094999999999999</v>
      </c>
      <c r="TC6">
        <v>95.02</v>
      </c>
      <c r="TD6">
        <v>95.114999999999995</v>
      </c>
      <c r="TE6">
        <v>94.805000000000007</v>
      </c>
      <c r="TF6">
        <v>94.814999999999998</v>
      </c>
      <c r="TG6">
        <v>94.814999999999998</v>
      </c>
      <c r="TH6">
        <v>94.844999999999999</v>
      </c>
      <c r="TI6">
        <v>94.805000000000007</v>
      </c>
      <c r="TJ6">
        <v>94.864999999999995</v>
      </c>
      <c r="TK6">
        <v>94.954999999999998</v>
      </c>
      <c r="TL6">
        <v>94.965000000000003</v>
      </c>
      <c r="TM6">
        <v>95.034999999999997</v>
      </c>
      <c r="TN6">
        <v>95.015000000000001</v>
      </c>
      <c r="TO6">
        <v>95.045000000000002</v>
      </c>
      <c r="TP6">
        <v>95.08</v>
      </c>
      <c r="TQ6">
        <v>95.045000000000002</v>
      </c>
      <c r="TR6">
        <v>95.21</v>
      </c>
      <c r="TS6">
        <v>95.155000000000001</v>
      </c>
      <c r="TT6">
        <v>95.084999999999994</v>
      </c>
      <c r="TU6">
        <v>95.015000000000001</v>
      </c>
      <c r="TV6">
        <v>95.015000000000001</v>
      </c>
      <c r="TW6">
        <v>95.08</v>
      </c>
      <c r="TX6">
        <v>95.23</v>
      </c>
      <c r="TY6">
        <v>95.314999999999998</v>
      </c>
      <c r="TZ6">
        <v>95.344999999999999</v>
      </c>
      <c r="UA6">
        <v>95.4</v>
      </c>
      <c r="UB6">
        <v>95.394999999999996</v>
      </c>
      <c r="UC6">
        <v>95.52</v>
      </c>
      <c r="UD6">
        <v>95.58</v>
      </c>
      <c r="UE6">
        <v>95.665000000000006</v>
      </c>
      <c r="UF6">
        <v>95.674999999999997</v>
      </c>
      <c r="UG6">
        <v>95.775000000000006</v>
      </c>
      <c r="UH6">
        <v>95.795000000000002</v>
      </c>
      <c r="UI6">
        <v>95.66</v>
      </c>
      <c r="UJ6">
        <v>95.67</v>
      </c>
      <c r="UK6">
        <v>95.765000000000001</v>
      </c>
      <c r="UL6">
        <v>95.974999999999994</v>
      </c>
      <c r="UM6">
        <v>95.69</v>
      </c>
      <c r="UN6">
        <v>95.65</v>
      </c>
      <c r="UO6">
        <v>95.465000000000003</v>
      </c>
      <c r="UP6">
        <v>95.55</v>
      </c>
      <c r="UQ6">
        <v>95.54</v>
      </c>
      <c r="UR6">
        <v>95.734999999999999</v>
      </c>
      <c r="US6">
        <v>95.745000000000005</v>
      </c>
      <c r="UT6">
        <v>95.525000000000006</v>
      </c>
      <c r="UU6">
        <v>95.48</v>
      </c>
      <c r="UV6">
        <v>95.504999999999995</v>
      </c>
      <c r="UW6">
        <v>95.41</v>
      </c>
      <c r="UX6">
        <v>95.48</v>
      </c>
      <c r="UY6">
        <v>95.51</v>
      </c>
      <c r="UZ6">
        <v>95.59</v>
      </c>
      <c r="VA6">
        <v>95.74</v>
      </c>
      <c r="VB6">
        <v>95.74</v>
      </c>
      <c r="VC6">
        <v>95.665000000000006</v>
      </c>
      <c r="VD6">
        <v>95.674999999999997</v>
      </c>
      <c r="VE6">
        <v>95.71</v>
      </c>
      <c r="VF6">
        <v>95.905000000000001</v>
      </c>
      <c r="VG6">
        <v>96.02</v>
      </c>
      <c r="VH6">
        <v>95.93</v>
      </c>
      <c r="VI6">
        <v>95.74</v>
      </c>
      <c r="VJ6">
        <v>95.7</v>
      </c>
      <c r="VK6">
        <v>95.68</v>
      </c>
      <c r="VL6">
        <v>95.715000000000003</v>
      </c>
      <c r="VM6">
        <v>95.765000000000001</v>
      </c>
      <c r="VN6">
        <v>95.87</v>
      </c>
      <c r="VO6">
        <v>96.135000000000005</v>
      </c>
      <c r="VP6">
        <v>96.105000000000004</v>
      </c>
      <c r="VQ6">
        <v>95.83</v>
      </c>
      <c r="VR6">
        <v>95.65</v>
      </c>
      <c r="VS6">
        <v>96.055000000000007</v>
      </c>
      <c r="VT6">
        <v>96.165000000000006</v>
      </c>
      <c r="VU6">
        <v>95.834999999999994</v>
      </c>
      <c r="VV6">
        <v>96.13</v>
      </c>
      <c r="VW6">
        <v>95.635000000000005</v>
      </c>
      <c r="VX6">
        <v>95.885000000000005</v>
      </c>
      <c r="VY6">
        <v>94.875</v>
      </c>
      <c r="VZ6">
        <v>94.43</v>
      </c>
      <c r="WA6">
        <v>94.305000000000007</v>
      </c>
      <c r="WB6">
        <v>94.355000000000004</v>
      </c>
      <c r="WC6">
        <v>94.534999999999997</v>
      </c>
      <c r="WD6">
        <v>94.564999999999998</v>
      </c>
      <c r="WE6">
        <v>94.55</v>
      </c>
      <c r="WF6">
        <v>94.534999999999997</v>
      </c>
      <c r="WG6">
        <v>94.594999999999999</v>
      </c>
      <c r="WH6">
        <v>94.594999999999999</v>
      </c>
      <c r="WI6">
        <v>94.594999999999999</v>
      </c>
      <c r="WJ6">
        <v>94.665000000000006</v>
      </c>
      <c r="WK6">
        <v>94.644999999999996</v>
      </c>
      <c r="WL6">
        <v>94.65</v>
      </c>
      <c r="WM6">
        <v>94.74</v>
      </c>
      <c r="WN6">
        <v>94.74</v>
      </c>
      <c r="WO6">
        <v>94.8</v>
      </c>
      <c r="WP6">
        <v>94.78</v>
      </c>
      <c r="WQ6">
        <v>94.74</v>
      </c>
      <c r="WR6">
        <v>94.85</v>
      </c>
      <c r="WS6">
        <v>94.87</v>
      </c>
      <c r="WT6">
        <v>94.9</v>
      </c>
      <c r="WU6">
        <v>94.94</v>
      </c>
      <c r="WV6">
        <v>94.935000000000002</v>
      </c>
      <c r="WW6">
        <v>94.96</v>
      </c>
      <c r="WX6">
        <v>95.114999999999995</v>
      </c>
      <c r="WY6">
        <v>95.33</v>
      </c>
      <c r="WZ6">
        <v>95.314999999999998</v>
      </c>
      <c r="XA6">
        <v>95.26</v>
      </c>
      <c r="XB6">
        <v>95.224999999999994</v>
      </c>
      <c r="XC6">
        <v>95.265000000000001</v>
      </c>
      <c r="XD6">
        <v>95.284999999999997</v>
      </c>
      <c r="XE6">
        <v>95.314999999999998</v>
      </c>
      <c r="XF6">
        <v>95.254999999999995</v>
      </c>
      <c r="XG6">
        <v>95.24</v>
      </c>
      <c r="XH6">
        <v>95.284999999999997</v>
      </c>
      <c r="XI6">
        <v>95.314999999999998</v>
      </c>
      <c r="XJ6">
        <v>95.36</v>
      </c>
      <c r="XK6">
        <v>95.295000000000002</v>
      </c>
      <c r="XL6">
        <v>95.24</v>
      </c>
      <c r="XM6">
        <v>95.24</v>
      </c>
      <c r="XN6">
        <v>95.314999999999998</v>
      </c>
      <c r="XO6">
        <v>95.275000000000006</v>
      </c>
      <c r="XP6">
        <v>95.26</v>
      </c>
      <c r="XQ6">
        <v>95.295000000000002</v>
      </c>
      <c r="XR6">
        <v>95.24</v>
      </c>
      <c r="XS6">
        <v>95.105000000000004</v>
      </c>
      <c r="XT6">
        <v>95.185000000000002</v>
      </c>
      <c r="XU6">
        <v>95.2</v>
      </c>
      <c r="XV6">
        <v>95.185000000000002</v>
      </c>
      <c r="XW6">
        <v>95.185000000000002</v>
      </c>
      <c r="XX6">
        <v>95.23</v>
      </c>
      <c r="XY6">
        <v>95.23</v>
      </c>
      <c r="XZ6">
        <v>95.21</v>
      </c>
      <c r="YA6">
        <v>95.305000000000007</v>
      </c>
      <c r="YB6">
        <v>95.305000000000007</v>
      </c>
      <c r="YC6">
        <v>95.355000000000004</v>
      </c>
      <c r="YD6">
        <v>95.4</v>
      </c>
      <c r="YE6">
        <v>95.165000000000006</v>
      </c>
      <c r="YF6">
        <v>95.16</v>
      </c>
      <c r="YG6">
        <v>95.204999999999998</v>
      </c>
      <c r="YH6">
        <v>95.125</v>
      </c>
      <c r="YI6">
        <v>95.17</v>
      </c>
      <c r="YJ6">
        <v>95.18</v>
      </c>
      <c r="YK6">
        <v>95.034999999999997</v>
      </c>
      <c r="YL6">
        <v>95.07</v>
      </c>
      <c r="YM6">
        <v>95.08</v>
      </c>
      <c r="YN6">
        <v>95.125</v>
      </c>
      <c r="YO6">
        <v>95.06</v>
      </c>
      <c r="YP6">
        <v>95.02</v>
      </c>
      <c r="YQ6">
        <v>95.12</v>
      </c>
      <c r="YR6">
        <v>95.174999999999997</v>
      </c>
      <c r="YS6">
        <v>95.084999999999994</v>
      </c>
      <c r="YT6">
        <v>95.004999999999995</v>
      </c>
      <c r="YU6">
        <v>95.01</v>
      </c>
      <c r="YV6">
        <v>95</v>
      </c>
      <c r="YW6">
        <v>94.984999999999999</v>
      </c>
      <c r="YX6">
        <v>94.984999999999999</v>
      </c>
      <c r="YY6">
        <v>94.935000000000002</v>
      </c>
      <c r="YZ6">
        <v>94.95</v>
      </c>
      <c r="ZA6">
        <v>94.974999999999994</v>
      </c>
      <c r="ZB6">
        <v>95.05</v>
      </c>
      <c r="ZC6">
        <v>95.12</v>
      </c>
      <c r="ZD6">
        <v>95.135000000000005</v>
      </c>
      <c r="ZE6">
        <v>95.11</v>
      </c>
      <c r="ZF6">
        <v>95.17</v>
      </c>
      <c r="ZG6">
        <v>95.204999999999998</v>
      </c>
      <c r="ZH6">
        <v>94.965000000000003</v>
      </c>
      <c r="ZI6">
        <v>94.94</v>
      </c>
      <c r="ZJ6">
        <v>94.89</v>
      </c>
      <c r="ZK6">
        <v>94.94</v>
      </c>
      <c r="ZL6">
        <v>94.875</v>
      </c>
      <c r="ZM6">
        <v>94.98</v>
      </c>
      <c r="ZN6">
        <v>95.03</v>
      </c>
      <c r="ZO6">
        <v>95.105000000000004</v>
      </c>
      <c r="ZP6">
        <v>95.19</v>
      </c>
      <c r="ZQ6">
        <v>95.314999999999998</v>
      </c>
      <c r="ZR6">
        <v>95.234999999999999</v>
      </c>
      <c r="ZS6">
        <v>95.16</v>
      </c>
      <c r="ZT6">
        <v>95.15</v>
      </c>
      <c r="ZU6">
        <v>95.174999999999997</v>
      </c>
      <c r="ZV6">
        <v>95.04</v>
      </c>
      <c r="ZW6">
        <v>95.1</v>
      </c>
      <c r="ZX6">
        <v>95.194999999999993</v>
      </c>
      <c r="ZY6">
        <v>95.15</v>
      </c>
      <c r="ZZ6">
        <v>95.114999999999995</v>
      </c>
      <c r="AAA6">
        <v>95.204999999999998</v>
      </c>
      <c r="AAB6">
        <v>95.43</v>
      </c>
      <c r="AAC6">
        <v>95.415000000000006</v>
      </c>
      <c r="AAD6">
        <v>95.364999999999995</v>
      </c>
      <c r="AAE6">
        <v>95.415000000000006</v>
      </c>
      <c r="AAF6">
        <v>95.515000000000001</v>
      </c>
      <c r="AAG6">
        <v>95.61</v>
      </c>
      <c r="AAH6">
        <v>95.65</v>
      </c>
      <c r="AAI6">
        <v>95.68</v>
      </c>
      <c r="AAJ6">
        <v>95.614999999999995</v>
      </c>
      <c r="AAK6">
        <v>95.64</v>
      </c>
      <c r="AAL6">
        <v>95.685000000000002</v>
      </c>
      <c r="AAM6">
        <v>95.49</v>
      </c>
      <c r="AAN6">
        <v>95.364999999999995</v>
      </c>
      <c r="AAO6">
        <v>95.334999999999994</v>
      </c>
      <c r="AAP6">
        <v>95.405000000000001</v>
      </c>
      <c r="AAQ6">
        <v>95.564999999999998</v>
      </c>
      <c r="AAR6">
        <v>95.564999999999998</v>
      </c>
      <c r="AAS6">
        <v>95.58</v>
      </c>
      <c r="AAT6">
        <v>95.655000000000001</v>
      </c>
      <c r="AAU6">
        <v>95.6</v>
      </c>
      <c r="AAV6">
        <v>95.674999999999997</v>
      </c>
      <c r="AAW6">
        <v>95.734999999999999</v>
      </c>
      <c r="AAX6">
        <v>96.03</v>
      </c>
      <c r="AAY6">
        <v>96.034999999999997</v>
      </c>
      <c r="AAZ6">
        <v>96.12</v>
      </c>
      <c r="ABA6">
        <v>96.135000000000005</v>
      </c>
      <c r="ABB6">
        <v>96.084999999999994</v>
      </c>
      <c r="ABC6">
        <v>96.215000000000003</v>
      </c>
      <c r="ABD6">
        <v>96.215000000000003</v>
      </c>
      <c r="ABE6">
        <v>96.07</v>
      </c>
      <c r="ABF6">
        <v>96.13</v>
      </c>
      <c r="ABG6">
        <v>96.14</v>
      </c>
      <c r="ABH6">
        <v>96.185000000000002</v>
      </c>
      <c r="ABI6">
        <v>96.234999999999999</v>
      </c>
      <c r="ABJ6">
        <v>96.23</v>
      </c>
      <c r="ABK6">
        <v>96.23</v>
      </c>
      <c r="ABL6">
        <v>96.27</v>
      </c>
      <c r="ABM6">
        <v>96.234999999999999</v>
      </c>
      <c r="ABN6">
        <v>96.35</v>
      </c>
      <c r="ABO6">
        <v>96.375</v>
      </c>
      <c r="ABP6">
        <v>96.325000000000003</v>
      </c>
      <c r="ABQ6">
        <v>96.37</v>
      </c>
      <c r="ABR6">
        <v>96.405000000000001</v>
      </c>
      <c r="ABS6">
        <v>96.355000000000004</v>
      </c>
      <c r="ABT6">
        <v>96.385000000000005</v>
      </c>
      <c r="ABU6">
        <v>96.424999999999997</v>
      </c>
      <c r="ABV6">
        <v>96.344999999999999</v>
      </c>
      <c r="ABW6">
        <v>96.41</v>
      </c>
      <c r="ABX6">
        <v>96.39</v>
      </c>
      <c r="ABY6">
        <v>96.64</v>
      </c>
      <c r="ABZ6">
        <v>96.58</v>
      </c>
      <c r="ACA6">
        <v>96.64</v>
      </c>
      <c r="ACB6">
        <v>96.814999999999998</v>
      </c>
      <c r="ACC6">
        <v>96.83</v>
      </c>
      <c r="ACD6">
        <v>96.885000000000005</v>
      </c>
      <c r="ACE6">
        <v>96.814999999999998</v>
      </c>
      <c r="ACF6">
        <v>96.74</v>
      </c>
      <c r="ACG6">
        <v>96.734999999999999</v>
      </c>
      <c r="ACH6">
        <v>96.8</v>
      </c>
      <c r="ACI6">
        <v>96.68</v>
      </c>
      <c r="ACJ6">
        <v>96.49</v>
      </c>
      <c r="ACK6">
        <v>96.515000000000001</v>
      </c>
      <c r="ACL6">
        <v>96.58</v>
      </c>
      <c r="ACM6">
        <v>96.56</v>
      </c>
      <c r="ACN6">
        <v>96.51</v>
      </c>
      <c r="ACO6">
        <v>96.54</v>
      </c>
      <c r="ACP6">
        <v>96.635000000000005</v>
      </c>
      <c r="ACQ6">
        <v>96.56</v>
      </c>
      <c r="ACR6">
        <v>96.45</v>
      </c>
      <c r="ACS6">
        <v>96.564999999999998</v>
      </c>
      <c r="ACT6">
        <v>96.674999999999997</v>
      </c>
      <c r="ACU6">
        <v>96.795000000000002</v>
      </c>
      <c r="ACV6">
        <v>96.71</v>
      </c>
      <c r="ACW6">
        <v>96.71</v>
      </c>
      <c r="ACX6">
        <v>96.63</v>
      </c>
      <c r="ACY6">
        <v>96.44</v>
      </c>
      <c r="ACZ6">
        <v>96.444999999999993</v>
      </c>
      <c r="ADA6">
        <v>96.465000000000003</v>
      </c>
      <c r="ADB6">
        <v>96.525000000000006</v>
      </c>
      <c r="ADC6">
        <v>96.52</v>
      </c>
      <c r="ADD6">
        <v>96.45</v>
      </c>
      <c r="ADE6">
        <v>96.254999999999995</v>
      </c>
      <c r="ADF6">
        <v>96.27</v>
      </c>
      <c r="ADG6">
        <v>96.27</v>
      </c>
      <c r="ADH6">
        <v>96.224999999999994</v>
      </c>
      <c r="ADI6">
        <v>96.15</v>
      </c>
      <c r="ADJ6">
        <v>96.245000000000005</v>
      </c>
      <c r="ADK6">
        <v>96.454999999999998</v>
      </c>
      <c r="ADL6">
        <v>96.74</v>
      </c>
      <c r="ADM6">
        <v>97.03</v>
      </c>
      <c r="ADN6">
        <v>97.075000000000003</v>
      </c>
      <c r="ADO6">
        <v>97.11</v>
      </c>
      <c r="ADP6">
        <v>97.09</v>
      </c>
      <c r="ADQ6">
        <v>97.13</v>
      </c>
      <c r="ADR6">
        <v>97.144999999999996</v>
      </c>
      <c r="ADS6">
        <v>97.155000000000001</v>
      </c>
      <c r="ADT6">
        <v>97.245000000000005</v>
      </c>
      <c r="ADU6">
        <v>97.325000000000003</v>
      </c>
      <c r="ADV6">
        <v>97.325000000000003</v>
      </c>
      <c r="ADW6">
        <v>97.33</v>
      </c>
      <c r="ADX6">
        <v>97.32</v>
      </c>
      <c r="ADY6">
        <v>97.314999999999998</v>
      </c>
      <c r="ADZ6">
        <v>97.185000000000002</v>
      </c>
      <c r="AEA6">
        <v>97.215000000000003</v>
      </c>
      <c r="AEB6">
        <v>97.194999999999993</v>
      </c>
      <c r="AEC6">
        <v>97.155000000000001</v>
      </c>
      <c r="AED6">
        <v>97.13</v>
      </c>
      <c r="AEE6">
        <v>97.26</v>
      </c>
      <c r="AEF6">
        <v>97.25</v>
      </c>
      <c r="AEG6">
        <v>97.334999999999994</v>
      </c>
      <c r="AEH6">
        <v>97.23</v>
      </c>
      <c r="AEI6">
        <v>97.27</v>
      </c>
      <c r="AEJ6">
        <v>97.275000000000006</v>
      </c>
      <c r="AEK6">
        <v>97.155000000000001</v>
      </c>
      <c r="AEL6">
        <v>97.125</v>
      </c>
      <c r="AEM6">
        <v>97.22</v>
      </c>
      <c r="AEN6">
        <v>97.07</v>
      </c>
      <c r="AEO6">
        <v>97.13</v>
      </c>
      <c r="AEP6">
        <v>97.14</v>
      </c>
      <c r="AEQ6">
        <v>97.224999999999994</v>
      </c>
      <c r="AER6">
        <v>97.275000000000006</v>
      </c>
      <c r="AES6">
        <v>97.29</v>
      </c>
      <c r="AET6">
        <v>97.234999999999999</v>
      </c>
      <c r="AEU6">
        <v>97.125</v>
      </c>
      <c r="AEV6">
        <v>97.2</v>
      </c>
      <c r="AEW6">
        <v>97.34</v>
      </c>
      <c r="AEX6">
        <v>97.37</v>
      </c>
      <c r="AEY6">
        <v>97.47</v>
      </c>
      <c r="AEZ6">
        <v>97.48</v>
      </c>
      <c r="AFA6">
        <v>97.48</v>
      </c>
      <c r="AFB6">
        <v>97.575000000000003</v>
      </c>
      <c r="AFC6">
        <v>97.52</v>
      </c>
      <c r="AFD6">
        <v>97.394999999999996</v>
      </c>
      <c r="AFE6">
        <v>97.39</v>
      </c>
      <c r="AFF6">
        <v>97.44</v>
      </c>
      <c r="AFG6">
        <v>97.405000000000001</v>
      </c>
      <c r="AFH6">
        <v>97.4</v>
      </c>
      <c r="AFI6">
        <v>97.47</v>
      </c>
      <c r="AFJ6">
        <v>97.465000000000003</v>
      </c>
      <c r="AFK6">
        <v>97.6</v>
      </c>
      <c r="AFL6">
        <v>97.555000000000007</v>
      </c>
      <c r="AFM6">
        <v>97.534999999999997</v>
      </c>
      <c r="AFN6">
        <v>97.48</v>
      </c>
      <c r="AFO6">
        <v>97.53</v>
      </c>
      <c r="AFP6">
        <v>97.69</v>
      </c>
      <c r="AFQ6">
        <v>97.745000000000005</v>
      </c>
      <c r="AFR6">
        <v>97.715000000000003</v>
      </c>
      <c r="AFS6">
        <v>97.74</v>
      </c>
      <c r="AFT6">
        <v>97.94</v>
      </c>
      <c r="AFU6">
        <v>97.984999999999999</v>
      </c>
      <c r="AFV6">
        <v>97.97</v>
      </c>
      <c r="AFW6">
        <v>98.45</v>
      </c>
      <c r="AFX6">
        <v>98.444999999999993</v>
      </c>
      <c r="AFY6">
        <v>98.52</v>
      </c>
      <c r="AFZ6">
        <v>98.545000000000002</v>
      </c>
      <c r="AGA6">
        <v>98.575000000000003</v>
      </c>
      <c r="AGB6">
        <v>98.62</v>
      </c>
      <c r="AGC6">
        <v>98.685000000000002</v>
      </c>
      <c r="AGD6">
        <v>98.724999999999994</v>
      </c>
      <c r="AGE6">
        <v>98.685000000000002</v>
      </c>
      <c r="AGF6">
        <v>98.71</v>
      </c>
      <c r="AGG6">
        <v>98.99</v>
      </c>
      <c r="AGH6">
        <v>98.82</v>
      </c>
      <c r="AGI6">
        <v>98.62</v>
      </c>
      <c r="AGJ6">
        <v>98.64</v>
      </c>
      <c r="AGK6">
        <v>98.55</v>
      </c>
      <c r="AGL6">
        <v>98.555000000000007</v>
      </c>
      <c r="AGM6">
        <v>98.67</v>
      </c>
      <c r="AGN6">
        <v>98.67</v>
      </c>
      <c r="AGO6">
        <v>98.635000000000005</v>
      </c>
      <c r="AGP6">
        <v>98.59</v>
      </c>
      <c r="AGQ6">
        <v>98.534999999999997</v>
      </c>
      <c r="AGR6">
        <v>98.474999999999994</v>
      </c>
      <c r="AGS6">
        <v>98.545000000000002</v>
      </c>
      <c r="AGT6">
        <v>98.51</v>
      </c>
      <c r="AGU6">
        <v>98.78</v>
      </c>
      <c r="AGV6">
        <v>98.784999999999997</v>
      </c>
      <c r="AGW6">
        <v>98.82</v>
      </c>
      <c r="AGX6">
        <v>98.79</v>
      </c>
      <c r="AGY6">
        <v>98.915000000000006</v>
      </c>
      <c r="AGZ6">
        <v>98.944999999999993</v>
      </c>
      <c r="AHA6">
        <v>98.924999999999997</v>
      </c>
      <c r="AHB6">
        <v>98.91</v>
      </c>
      <c r="AHC6">
        <v>98.93</v>
      </c>
      <c r="AHD6">
        <v>98.93</v>
      </c>
      <c r="AHE6">
        <v>99.045000000000002</v>
      </c>
      <c r="AHF6">
        <v>99.12</v>
      </c>
      <c r="AHG6">
        <v>99.165000000000006</v>
      </c>
      <c r="AHH6">
        <v>99.125</v>
      </c>
      <c r="AHI6">
        <v>99.07</v>
      </c>
      <c r="AHJ6">
        <v>99.105000000000004</v>
      </c>
      <c r="AHK6">
        <v>99.084999999999994</v>
      </c>
      <c r="AHL6">
        <v>99.17</v>
      </c>
      <c r="AHM6">
        <v>99.17</v>
      </c>
      <c r="AHN6">
        <v>99.23</v>
      </c>
      <c r="AHO6">
        <v>99.23</v>
      </c>
      <c r="AHP6">
        <v>99.245000000000005</v>
      </c>
      <c r="AHQ6">
        <v>99.24</v>
      </c>
      <c r="AHR6">
        <v>99.275000000000006</v>
      </c>
      <c r="AHS6">
        <v>99.245000000000005</v>
      </c>
      <c r="AHT6">
        <v>99.28</v>
      </c>
      <c r="AHU6">
        <v>99.344999999999999</v>
      </c>
      <c r="AHV6">
        <v>99.32</v>
      </c>
      <c r="AHW6">
        <v>99.344999999999999</v>
      </c>
      <c r="AHX6">
        <v>99.34</v>
      </c>
      <c r="AHY6">
        <v>99.32</v>
      </c>
      <c r="AHZ6">
        <v>99.334999999999994</v>
      </c>
      <c r="AIA6">
        <v>99.34</v>
      </c>
      <c r="AIB6">
        <v>99.36</v>
      </c>
      <c r="AIC6">
        <v>99.36</v>
      </c>
      <c r="AID6">
        <v>99.38</v>
      </c>
      <c r="AIE6">
        <v>99.38</v>
      </c>
      <c r="AIF6">
        <v>99.415000000000006</v>
      </c>
      <c r="AIG6">
        <v>99.4</v>
      </c>
      <c r="AIH6">
        <v>99.43</v>
      </c>
      <c r="AII6">
        <v>99.394999999999996</v>
      </c>
      <c r="AIJ6">
        <v>99.63</v>
      </c>
      <c r="AIK6">
        <v>99.655000000000001</v>
      </c>
      <c r="AIL6">
        <v>99.64</v>
      </c>
      <c r="AIM6">
        <v>99.64</v>
      </c>
      <c r="AIN6">
        <v>99.644999999999996</v>
      </c>
      <c r="AIO6">
        <v>99.63</v>
      </c>
      <c r="AIP6">
        <v>99.665000000000006</v>
      </c>
      <c r="AIQ6">
        <v>99.694999999999993</v>
      </c>
      <c r="AIR6">
        <v>99.674999999999997</v>
      </c>
      <c r="AIS6">
        <v>99.704999999999998</v>
      </c>
      <c r="AIT6">
        <v>99.724999999999994</v>
      </c>
      <c r="AIU6">
        <v>99.754999999999995</v>
      </c>
      <c r="AIV6">
        <v>99.75</v>
      </c>
      <c r="AIW6">
        <v>99.644999999999996</v>
      </c>
      <c r="AIX6">
        <v>99.644999999999996</v>
      </c>
      <c r="AIY6">
        <v>99.674999999999997</v>
      </c>
      <c r="AIZ6">
        <v>99.67</v>
      </c>
      <c r="AJA6">
        <v>99.73</v>
      </c>
      <c r="AJB6">
        <v>99.74</v>
      </c>
      <c r="AJC6">
        <v>99.734999999999999</v>
      </c>
      <c r="AJD6">
        <v>99.72</v>
      </c>
      <c r="AJE6">
        <v>99.715000000000003</v>
      </c>
      <c r="AJF6">
        <v>99.71</v>
      </c>
      <c r="AJG6">
        <v>99.71</v>
      </c>
      <c r="AJH6">
        <v>99.74</v>
      </c>
      <c r="AJI6">
        <v>99.79</v>
      </c>
      <c r="AJJ6">
        <v>99.765000000000001</v>
      </c>
      <c r="AJK6">
        <v>99.795000000000002</v>
      </c>
      <c r="AJL6">
        <v>99.775000000000006</v>
      </c>
      <c r="AJM6">
        <v>99.74</v>
      </c>
      <c r="AJN6">
        <v>99.76</v>
      </c>
      <c r="AJO6">
        <v>99.715000000000003</v>
      </c>
      <c r="AJP6">
        <v>99.72</v>
      </c>
      <c r="AJQ6">
        <v>99.72</v>
      </c>
      <c r="AJR6">
        <v>99.734999999999999</v>
      </c>
      <c r="AJS6">
        <v>99.754999999999995</v>
      </c>
      <c r="AJT6">
        <v>99.765000000000001</v>
      </c>
      <c r="AJU6">
        <v>99.74</v>
      </c>
      <c r="AJV6">
        <v>99.775000000000006</v>
      </c>
      <c r="AJW6">
        <v>99.814999999999998</v>
      </c>
      <c r="AJX6">
        <v>99.814999999999998</v>
      </c>
      <c r="AJY6">
        <v>99.8</v>
      </c>
      <c r="AJZ6">
        <v>99.805000000000007</v>
      </c>
      <c r="AKA6">
        <v>99.834999999999994</v>
      </c>
      <c r="AKB6">
        <v>99.83</v>
      </c>
      <c r="AKC6">
        <v>99.85</v>
      </c>
      <c r="AKD6">
        <v>99.855000000000004</v>
      </c>
      <c r="AKE6">
        <v>99.875</v>
      </c>
      <c r="AKF6">
        <v>99.89</v>
      </c>
      <c r="AKG6">
        <v>99.894999999999996</v>
      </c>
      <c r="AKH6">
        <v>99.9</v>
      </c>
      <c r="AKI6">
        <v>99.905000000000001</v>
      </c>
      <c r="AKJ6">
        <v>99.905000000000001</v>
      </c>
      <c r="AKK6">
        <v>99.9</v>
      </c>
      <c r="AKL6">
        <v>99.894999999999996</v>
      </c>
      <c r="AKM6">
        <v>99.894999999999996</v>
      </c>
      <c r="AKN6">
        <v>99.894999999999996</v>
      </c>
      <c r="AKO6">
        <v>99.905000000000001</v>
      </c>
      <c r="AKP6">
        <v>99.915000000000006</v>
      </c>
      <c r="AKQ6">
        <v>99.92</v>
      </c>
      <c r="AKR6">
        <v>99.93</v>
      </c>
      <c r="AKS6">
        <v>99.93</v>
      </c>
      <c r="AKT6">
        <v>99.924999999999997</v>
      </c>
      <c r="AKU6">
        <v>99.93</v>
      </c>
      <c r="AKV6">
        <v>99.93</v>
      </c>
      <c r="AKW6">
        <v>99.95</v>
      </c>
      <c r="AKX6">
        <v>99.95</v>
      </c>
      <c r="AKY6">
        <v>99.95</v>
      </c>
      <c r="AKZ6">
        <v>99.944999999999993</v>
      </c>
      <c r="ALA6">
        <v>99.944999999999993</v>
      </c>
      <c r="ALB6">
        <v>99.944999999999993</v>
      </c>
      <c r="ALC6">
        <v>99.95</v>
      </c>
      <c r="ALD6">
        <v>99.95</v>
      </c>
      <c r="ALE6">
        <v>99.944999999999993</v>
      </c>
      <c r="ALF6">
        <v>99.95</v>
      </c>
      <c r="ALG6">
        <v>99.95</v>
      </c>
      <c r="ALH6">
        <v>99.95</v>
      </c>
      <c r="ALI6">
        <v>99.95</v>
      </c>
      <c r="ALJ6">
        <v>99.94</v>
      </c>
      <c r="ALK6">
        <v>99.935000000000002</v>
      </c>
      <c r="ALL6">
        <v>99.94</v>
      </c>
      <c r="ALM6">
        <v>99.94</v>
      </c>
      <c r="ALN6">
        <v>99.94</v>
      </c>
      <c r="ALO6">
        <v>99.94</v>
      </c>
      <c r="ALP6">
        <v>99.944999999999993</v>
      </c>
      <c r="ALQ6">
        <v>99.94</v>
      </c>
      <c r="ALR6">
        <v>99.935000000000002</v>
      </c>
      <c r="ALS6">
        <v>99.94</v>
      </c>
      <c r="ALT6">
        <v>99.94</v>
      </c>
      <c r="ALU6">
        <v>99.94</v>
      </c>
      <c r="ALV6">
        <v>99.935000000000002</v>
      </c>
      <c r="ALW6">
        <v>99.944999999999993</v>
      </c>
      <c r="ALX6">
        <v>99.944999999999993</v>
      </c>
      <c r="ALY6">
        <v>99.944999999999993</v>
      </c>
      <c r="ALZ6">
        <v>99.95</v>
      </c>
      <c r="AMA6">
        <v>99.95</v>
      </c>
      <c r="AMB6">
        <v>99.95</v>
      </c>
      <c r="AMC6">
        <v>99.944999999999993</v>
      </c>
      <c r="AMD6">
        <v>99.94</v>
      </c>
      <c r="AME6">
        <v>99.94</v>
      </c>
      <c r="AMF6">
        <v>99.94</v>
      </c>
      <c r="AMG6">
        <v>99.93</v>
      </c>
      <c r="AMH6">
        <v>99.93</v>
      </c>
      <c r="AMI6">
        <v>99.935000000000002</v>
      </c>
      <c r="AMJ6">
        <v>99.93</v>
      </c>
      <c r="AMK6">
        <v>99.935000000000002</v>
      </c>
      <c r="AML6">
        <v>99.924999999999997</v>
      </c>
      <c r="AMM6">
        <v>99.93</v>
      </c>
      <c r="AMN6">
        <v>99.93</v>
      </c>
      <c r="AMO6">
        <v>99.924999999999997</v>
      </c>
      <c r="AMP6">
        <v>99.92</v>
      </c>
      <c r="AMQ6">
        <v>99.93</v>
      </c>
      <c r="AMR6">
        <v>99.935000000000002</v>
      </c>
      <c r="AMS6">
        <v>99.94</v>
      </c>
      <c r="AMT6">
        <v>99.935000000000002</v>
      </c>
      <c r="AMU6">
        <v>99.935000000000002</v>
      </c>
      <c r="AMV6">
        <v>99.924999999999997</v>
      </c>
      <c r="AMW6">
        <v>99.924999999999997</v>
      </c>
      <c r="AMX6">
        <v>99.915000000000006</v>
      </c>
      <c r="AMY6">
        <v>99.92</v>
      </c>
      <c r="AMZ6">
        <v>99.92</v>
      </c>
      <c r="ANA6">
        <v>99.92</v>
      </c>
      <c r="ANB6">
        <v>99.91</v>
      </c>
      <c r="ANC6">
        <v>99.91</v>
      </c>
      <c r="AND6">
        <v>99.915000000000006</v>
      </c>
      <c r="ANE6">
        <v>99.924999999999997</v>
      </c>
      <c r="ANF6">
        <v>99.91</v>
      </c>
      <c r="ANG6">
        <v>99.915000000000006</v>
      </c>
      <c r="ANH6">
        <v>99.935000000000002</v>
      </c>
      <c r="ANI6">
        <v>99.935000000000002</v>
      </c>
      <c r="ANJ6">
        <v>99.954999999999998</v>
      </c>
      <c r="ANK6">
        <v>99.954999999999998</v>
      </c>
      <c r="ANL6">
        <v>99.96</v>
      </c>
      <c r="ANM6">
        <v>99.96</v>
      </c>
      <c r="ANN6">
        <v>99.96</v>
      </c>
      <c r="ANO6">
        <v>99.96</v>
      </c>
      <c r="ANP6">
        <v>99.96</v>
      </c>
      <c r="ANQ6">
        <v>99.96</v>
      </c>
      <c r="ANR6">
        <v>99.96</v>
      </c>
      <c r="ANS6">
        <v>99.96</v>
      </c>
      <c r="ANT6">
        <v>99.96</v>
      </c>
      <c r="ANU6">
        <v>99.965000000000003</v>
      </c>
      <c r="ANV6">
        <v>99.965000000000003</v>
      </c>
      <c r="ANW6">
        <v>99.965000000000003</v>
      </c>
      <c r="ANX6">
        <v>99.965000000000003</v>
      </c>
      <c r="ANY6">
        <v>99.96</v>
      </c>
      <c r="ANZ6">
        <v>99.96</v>
      </c>
      <c r="AOA6">
        <v>99.954999999999998</v>
      </c>
      <c r="AOB6">
        <v>99.954999999999998</v>
      </c>
      <c r="AOC6">
        <v>99.954999999999998</v>
      </c>
      <c r="AOD6">
        <v>99.954999999999998</v>
      </c>
      <c r="AOE6">
        <v>99.954999999999998</v>
      </c>
      <c r="AOF6">
        <v>99.95</v>
      </c>
      <c r="AOG6">
        <v>99.954999999999998</v>
      </c>
      <c r="AOH6">
        <v>99.95</v>
      </c>
      <c r="AOI6">
        <v>99.944999999999993</v>
      </c>
      <c r="AOJ6">
        <v>99.944999999999993</v>
      </c>
      <c r="AOK6">
        <v>99.95</v>
      </c>
      <c r="AOL6">
        <v>99.95</v>
      </c>
      <c r="AOM6">
        <v>99.95</v>
      </c>
      <c r="AON6">
        <v>99.944999999999993</v>
      </c>
      <c r="AOO6">
        <v>99.94</v>
      </c>
      <c r="AOP6">
        <v>99.94</v>
      </c>
      <c r="AOQ6">
        <v>99.94</v>
      </c>
      <c r="AOR6">
        <v>99.94</v>
      </c>
      <c r="AOS6">
        <v>99.94</v>
      </c>
      <c r="AOT6">
        <v>99.94</v>
      </c>
      <c r="AOU6">
        <v>99.94</v>
      </c>
      <c r="AOV6">
        <v>99.935000000000002</v>
      </c>
      <c r="AOW6">
        <v>99.935000000000002</v>
      </c>
      <c r="AOX6">
        <v>99.935000000000002</v>
      </c>
      <c r="AOY6">
        <v>99.935000000000002</v>
      </c>
      <c r="AOZ6">
        <v>99.935000000000002</v>
      </c>
      <c r="APA6">
        <v>99.94</v>
      </c>
      <c r="APB6">
        <v>99.94</v>
      </c>
      <c r="APC6">
        <v>99.94</v>
      </c>
      <c r="APD6">
        <v>99.94</v>
      </c>
      <c r="APE6">
        <v>99.94</v>
      </c>
      <c r="APF6">
        <v>99.94</v>
      </c>
      <c r="APG6">
        <v>99.935000000000002</v>
      </c>
      <c r="APH6">
        <v>99.94</v>
      </c>
      <c r="API6">
        <v>99.94</v>
      </c>
      <c r="APJ6">
        <v>99.93</v>
      </c>
      <c r="APK6">
        <v>99.935000000000002</v>
      </c>
      <c r="APL6">
        <v>99.935000000000002</v>
      </c>
      <c r="APM6">
        <v>99.935000000000002</v>
      </c>
      <c r="APN6">
        <v>99.94</v>
      </c>
      <c r="APO6">
        <v>99.94</v>
      </c>
      <c r="APP6">
        <v>99.94</v>
      </c>
      <c r="APQ6">
        <v>99.94</v>
      </c>
      <c r="APR6">
        <v>99.94</v>
      </c>
      <c r="APS6">
        <v>99.94</v>
      </c>
      <c r="APT6">
        <v>99.94</v>
      </c>
      <c r="APU6">
        <v>99.93</v>
      </c>
      <c r="APV6">
        <v>99.93</v>
      </c>
      <c r="APW6">
        <v>99.93</v>
      </c>
      <c r="APX6">
        <v>99.935000000000002</v>
      </c>
      <c r="APY6">
        <v>99.93</v>
      </c>
      <c r="APZ6">
        <v>99.93</v>
      </c>
      <c r="AQA6">
        <v>99.935000000000002</v>
      </c>
      <c r="AQB6">
        <v>99.94</v>
      </c>
      <c r="AQC6">
        <v>99.935000000000002</v>
      </c>
      <c r="AQD6">
        <v>99.94</v>
      </c>
      <c r="AQE6">
        <v>99.935000000000002</v>
      </c>
      <c r="AQF6">
        <v>99.935000000000002</v>
      </c>
      <c r="AQG6">
        <v>99.924999999999997</v>
      </c>
      <c r="AQH6">
        <v>99.93</v>
      </c>
      <c r="AQI6">
        <v>99.935000000000002</v>
      </c>
      <c r="AQJ6">
        <v>99.93</v>
      </c>
      <c r="AQK6">
        <v>99.93</v>
      </c>
      <c r="AQL6">
        <v>99.935000000000002</v>
      </c>
      <c r="AQM6">
        <v>99.94</v>
      </c>
      <c r="AQN6">
        <v>99.94</v>
      </c>
      <c r="AQO6">
        <v>99.944999999999993</v>
      </c>
      <c r="AQP6">
        <v>99.944999999999993</v>
      </c>
      <c r="AQQ6">
        <v>99.94</v>
      </c>
      <c r="AQR6">
        <v>99.944999999999993</v>
      </c>
      <c r="AQS6">
        <v>99.944999999999993</v>
      </c>
      <c r="AQT6">
        <v>99.944999999999993</v>
      </c>
      <c r="AQU6">
        <v>99.944999999999993</v>
      </c>
      <c r="AQV6">
        <v>99.944999999999993</v>
      </c>
      <c r="AQW6">
        <v>99.944999999999993</v>
      </c>
      <c r="AQX6">
        <v>99.944999999999993</v>
      </c>
      <c r="AQY6">
        <v>99.944999999999993</v>
      </c>
      <c r="AQZ6">
        <v>99.935000000000002</v>
      </c>
      <c r="ARA6">
        <v>99.94</v>
      </c>
      <c r="ARB6">
        <v>99.94</v>
      </c>
      <c r="ARC6">
        <v>99.94</v>
      </c>
      <c r="ARD6">
        <v>99.935000000000002</v>
      </c>
      <c r="ARE6">
        <v>99.94</v>
      </c>
      <c r="ARF6">
        <v>99.935000000000002</v>
      </c>
      <c r="ARG6">
        <v>99.94</v>
      </c>
      <c r="ARH6">
        <v>99.94</v>
      </c>
      <c r="ARI6">
        <v>99.94</v>
      </c>
      <c r="ARJ6">
        <v>99.935000000000002</v>
      </c>
      <c r="ARK6">
        <v>99.935000000000002</v>
      </c>
      <c r="ARL6">
        <v>99.935000000000002</v>
      </c>
      <c r="ARM6">
        <v>99.935000000000002</v>
      </c>
      <c r="ARN6">
        <v>99.93</v>
      </c>
      <c r="ARO6">
        <v>99.93</v>
      </c>
      <c r="ARP6">
        <v>99.924999999999997</v>
      </c>
      <c r="ARQ6">
        <v>99.93</v>
      </c>
      <c r="ARR6">
        <v>99.93</v>
      </c>
      <c r="ARS6">
        <v>99.93</v>
      </c>
      <c r="ART6">
        <v>99.93</v>
      </c>
      <c r="ARU6">
        <v>99.94</v>
      </c>
      <c r="ARV6">
        <v>99.944999999999993</v>
      </c>
      <c r="ARW6">
        <v>99.94</v>
      </c>
      <c r="ARX6">
        <v>99.94</v>
      </c>
      <c r="ARY6">
        <v>99.935000000000002</v>
      </c>
      <c r="ARZ6">
        <v>99.935000000000002</v>
      </c>
      <c r="ASA6">
        <v>99.935000000000002</v>
      </c>
      <c r="ASB6">
        <v>99.94</v>
      </c>
      <c r="ASC6">
        <v>99.94</v>
      </c>
      <c r="ASD6">
        <v>99.935000000000002</v>
      </c>
      <c r="ASE6">
        <v>99.935000000000002</v>
      </c>
      <c r="ASF6">
        <v>99.94</v>
      </c>
      <c r="ASG6">
        <v>99.94</v>
      </c>
      <c r="ASH6">
        <v>99.94</v>
      </c>
      <c r="ASI6">
        <v>99.944999999999993</v>
      </c>
      <c r="ASJ6">
        <v>99.95</v>
      </c>
      <c r="ASK6">
        <v>99.95</v>
      </c>
      <c r="ASL6">
        <v>99.95</v>
      </c>
      <c r="ASM6">
        <v>99.94</v>
      </c>
      <c r="ASN6">
        <v>99.94</v>
      </c>
      <c r="ASO6">
        <v>99.94</v>
      </c>
      <c r="ASP6">
        <v>99.94</v>
      </c>
      <c r="ASQ6">
        <v>99.94</v>
      </c>
      <c r="ASR6">
        <v>99.935000000000002</v>
      </c>
      <c r="ASS6">
        <v>99.935000000000002</v>
      </c>
      <c r="AST6">
        <v>99.935000000000002</v>
      </c>
      <c r="ASU6">
        <v>99.935000000000002</v>
      </c>
      <c r="ASV6">
        <v>99.94</v>
      </c>
      <c r="ASW6">
        <v>99.94</v>
      </c>
      <c r="ASX6">
        <v>99.94</v>
      </c>
      <c r="ASY6">
        <v>99.94</v>
      </c>
      <c r="ASZ6">
        <v>99.94</v>
      </c>
      <c r="ATA6">
        <v>99.944999999999993</v>
      </c>
      <c r="ATB6">
        <v>99.935000000000002</v>
      </c>
      <c r="ATC6">
        <v>99.93</v>
      </c>
      <c r="ATD6">
        <v>99.93</v>
      </c>
      <c r="ATE6">
        <v>99.93</v>
      </c>
      <c r="ATF6">
        <v>99.924999999999997</v>
      </c>
      <c r="ATG6">
        <v>99.924999999999997</v>
      </c>
      <c r="ATH6">
        <v>99.92</v>
      </c>
      <c r="ATI6">
        <v>99.924999999999997</v>
      </c>
      <c r="ATJ6">
        <v>99.92</v>
      </c>
      <c r="ATK6">
        <v>99.935000000000002</v>
      </c>
      <c r="ATL6">
        <v>99.94</v>
      </c>
      <c r="ATM6">
        <v>99.94</v>
      </c>
      <c r="ATN6">
        <v>99.935000000000002</v>
      </c>
      <c r="ATO6">
        <v>99.94</v>
      </c>
      <c r="ATP6">
        <v>99.944999999999993</v>
      </c>
      <c r="ATQ6">
        <v>99.944999999999993</v>
      </c>
      <c r="ATR6">
        <v>99.94</v>
      </c>
      <c r="ATS6">
        <v>99.94</v>
      </c>
      <c r="ATT6">
        <v>99.94</v>
      </c>
      <c r="ATU6">
        <v>99.935000000000002</v>
      </c>
      <c r="ATV6">
        <v>99.935000000000002</v>
      </c>
      <c r="ATW6">
        <v>99.94</v>
      </c>
      <c r="ATX6">
        <v>99.94</v>
      </c>
      <c r="ATY6">
        <v>99.94</v>
      </c>
      <c r="ATZ6">
        <v>99.94</v>
      </c>
      <c r="AUA6">
        <v>99.935000000000002</v>
      </c>
      <c r="AUB6">
        <v>99.94</v>
      </c>
      <c r="AUC6">
        <v>99.94</v>
      </c>
      <c r="AUD6">
        <v>99.935000000000002</v>
      </c>
      <c r="AUE6">
        <v>99.935000000000002</v>
      </c>
      <c r="AUF6">
        <v>99.94</v>
      </c>
      <c r="AUG6">
        <v>99.935000000000002</v>
      </c>
      <c r="AUH6">
        <v>99.944999999999993</v>
      </c>
      <c r="AUI6">
        <v>99.944999999999993</v>
      </c>
      <c r="AUJ6">
        <v>99.95</v>
      </c>
      <c r="AUK6">
        <v>99.95</v>
      </c>
      <c r="AUL6">
        <v>99.96</v>
      </c>
      <c r="AUM6">
        <v>99.96</v>
      </c>
      <c r="AUN6">
        <v>99.965000000000003</v>
      </c>
      <c r="AUO6">
        <v>99.965000000000003</v>
      </c>
      <c r="AUP6">
        <v>99.96</v>
      </c>
      <c r="AUQ6">
        <v>99.954999999999998</v>
      </c>
      <c r="AUR6">
        <v>99.96</v>
      </c>
      <c r="AUS6">
        <v>99.954999999999998</v>
      </c>
      <c r="AUT6">
        <v>99.954999999999998</v>
      </c>
      <c r="AUU6">
        <v>99.965000000000003</v>
      </c>
      <c r="AUV6">
        <v>99.965000000000003</v>
      </c>
      <c r="AUW6">
        <v>99.954999999999998</v>
      </c>
      <c r="AUX6">
        <v>99.954999999999998</v>
      </c>
      <c r="AUY6">
        <v>99.96</v>
      </c>
      <c r="AUZ6">
        <v>99.95</v>
      </c>
      <c r="AVA6">
        <v>99.95</v>
      </c>
      <c r="AVB6">
        <v>99.954999999999998</v>
      </c>
      <c r="AVC6">
        <v>99.954999999999998</v>
      </c>
      <c r="AVD6">
        <v>99.954999999999998</v>
      </c>
      <c r="AVE6">
        <v>99.965000000000003</v>
      </c>
      <c r="AVF6">
        <v>99.954999999999998</v>
      </c>
      <c r="AVG6">
        <v>99.96</v>
      </c>
      <c r="AVH6">
        <v>99.965000000000003</v>
      </c>
      <c r="AVI6">
        <v>99.965000000000003</v>
      </c>
      <c r="AVJ6">
        <v>99.954999999999998</v>
      </c>
      <c r="AVK6">
        <v>99.954999999999998</v>
      </c>
      <c r="AVL6">
        <v>99.96</v>
      </c>
      <c r="AVM6">
        <v>99.965000000000003</v>
      </c>
      <c r="AVN6">
        <v>99.965000000000003</v>
      </c>
      <c r="AVO6">
        <v>99.965000000000003</v>
      </c>
      <c r="AVP6">
        <v>99.965000000000003</v>
      </c>
      <c r="AVQ6">
        <v>99.96</v>
      </c>
      <c r="AVR6">
        <v>99.96</v>
      </c>
      <c r="AVS6">
        <v>99.954999999999998</v>
      </c>
      <c r="AVT6">
        <v>99.954999999999998</v>
      </c>
      <c r="AVU6">
        <v>99.96</v>
      </c>
      <c r="AVV6">
        <v>99.96</v>
      </c>
      <c r="AVW6">
        <v>99.97</v>
      </c>
      <c r="AVX6">
        <v>99.97</v>
      </c>
      <c r="AVY6">
        <v>99.98</v>
      </c>
      <c r="AVZ6">
        <v>99.98</v>
      </c>
      <c r="AWA6">
        <v>99.984999999999999</v>
      </c>
      <c r="AWB6">
        <v>99.984999999999999</v>
      </c>
      <c r="AWC6">
        <v>99.984999999999999</v>
      </c>
      <c r="AWD6">
        <v>99.984999999999999</v>
      </c>
      <c r="AWE6">
        <v>99.98</v>
      </c>
      <c r="AWF6">
        <v>99.974999999999994</v>
      </c>
      <c r="AWG6">
        <v>99.974999999999994</v>
      </c>
      <c r="AWH6">
        <v>99.98</v>
      </c>
      <c r="AWI6">
        <v>99.984999999999999</v>
      </c>
      <c r="AWJ6">
        <v>99.98</v>
      </c>
      <c r="AWK6">
        <v>99.98</v>
      </c>
      <c r="AWL6">
        <v>99.98</v>
      </c>
      <c r="AWM6">
        <v>99.98</v>
      </c>
      <c r="AWN6">
        <v>99.984999999999999</v>
      </c>
      <c r="AWO6">
        <v>99.98</v>
      </c>
      <c r="AWP6">
        <v>99.984999999999999</v>
      </c>
      <c r="AWQ6">
        <v>99.984999999999999</v>
      </c>
      <c r="AWR6">
        <v>99.99</v>
      </c>
      <c r="AWS6">
        <v>99.99</v>
      </c>
      <c r="AWT6">
        <v>99.99</v>
      </c>
      <c r="AWU6">
        <v>99.99</v>
      </c>
      <c r="AWV6">
        <v>99.99</v>
      </c>
      <c r="AWW6">
        <v>99.99</v>
      </c>
      <c r="AWX6">
        <v>99.99</v>
      </c>
      <c r="AWY6">
        <v>99.99</v>
      </c>
      <c r="AWZ6">
        <v>100</v>
      </c>
      <c r="AXA6">
        <v>99.99</v>
      </c>
      <c r="AXB6">
        <v>99.984999999999999</v>
      </c>
      <c r="AXC6">
        <v>99.97</v>
      </c>
      <c r="AXD6">
        <v>99.97</v>
      </c>
      <c r="AXE6">
        <v>99.97</v>
      </c>
      <c r="AXF6">
        <v>99.97</v>
      </c>
      <c r="AXG6">
        <v>99.965000000000003</v>
      </c>
      <c r="AXH6">
        <v>99.96</v>
      </c>
      <c r="AXI6">
        <v>99.954999999999998</v>
      </c>
      <c r="AXJ6">
        <v>99.93</v>
      </c>
      <c r="AXK6">
        <v>99.935000000000002</v>
      </c>
      <c r="AXL6">
        <v>99.935000000000002</v>
      </c>
      <c r="AXM6">
        <v>99.954999999999998</v>
      </c>
      <c r="AXN6">
        <v>99.944999999999993</v>
      </c>
      <c r="AXO6">
        <v>99.93</v>
      </c>
      <c r="AXP6">
        <v>99.924999999999997</v>
      </c>
      <c r="AXQ6">
        <v>99.93</v>
      </c>
      <c r="AXR6">
        <v>99.935000000000002</v>
      </c>
      <c r="AXS6">
        <v>99.94</v>
      </c>
      <c r="AXT6">
        <v>99.96</v>
      </c>
      <c r="AXU6">
        <v>99.954999999999998</v>
      </c>
      <c r="AXV6">
        <v>99.95</v>
      </c>
      <c r="AXW6">
        <v>99.95</v>
      </c>
      <c r="AXX6">
        <v>99.95</v>
      </c>
      <c r="AXY6">
        <v>99.954999999999998</v>
      </c>
      <c r="AXZ6">
        <v>99.96</v>
      </c>
      <c r="AYA6">
        <v>99.96</v>
      </c>
      <c r="AYB6">
        <v>99.96</v>
      </c>
      <c r="AYC6">
        <v>99.96</v>
      </c>
      <c r="AYD6">
        <v>99.96</v>
      </c>
      <c r="AYE6">
        <v>99.96</v>
      </c>
      <c r="AYF6">
        <v>99.974999999999994</v>
      </c>
      <c r="AYG6">
        <v>99.974999999999994</v>
      </c>
      <c r="AYH6">
        <v>99.974999999999994</v>
      </c>
      <c r="AYI6">
        <v>99.97</v>
      </c>
      <c r="AYJ6">
        <v>99.974999999999994</v>
      </c>
      <c r="AYK6">
        <v>99.995000000000005</v>
      </c>
      <c r="AYL6">
        <v>100.02</v>
      </c>
      <c r="AYM6">
        <v>99.97</v>
      </c>
      <c r="AYN6">
        <v>99.954999999999998</v>
      </c>
      <c r="AYO6">
        <v>99.96</v>
      </c>
      <c r="AYP6">
        <v>99.954999999999998</v>
      </c>
      <c r="AYQ6">
        <v>99.96</v>
      </c>
      <c r="AYR6">
        <v>99.954999999999998</v>
      </c>
      <c r="AYS6">
        <v>99.935000000000002</v>
      </c>
      <c r="AYT6">
        <v>99.935000000000002</v>
      </c>
      <c r="AYU6">
        <v>99.93</v>
      </c>
      <c r="AYV6">
        <v>99.924999999999997</v>
      </c>
      <c r="AYW6">
        <v>99.93</v>
      </c>
      <c r="AYX6">
        <v>99.93</v>
      </c>
      <c r="AYY6">
        <v>99.924999999999997</v>
      </c>
      <c r="AYZ6">
        <v>99.92</v>
      </c>
      <c r="AZA6">
        <v>99.915000000000006</v>
      </c>
      <c r="AZB6">
        <v>99.92</v>
      </c>
      <c r="AZC6">
        <v>99.91</v>
      </c>
      <c r="AZD6">
        <v>99.92</v>
      </c>
      <c r="AZE6">
        <v>99.924999999999997</v>
      </c>
      <c r="AZF6">
        <v>99.924999999999997</v>
      </c>
      <c r="AZG6">
        <v>99.915000000000006</v>
      </c>
      <c r="AZH6">
        <v>99.91</v>
      </c>
      <c r="AZI6">
        <v>99.92</v>
      </c>
      <c r="AZJ6">
        <v>99.92</v>
      </c>
      <c r="AZK6">
        <v>99.93</v>
      </c>
      <c r="AZL6">
        <v>99.924999999999997</v>
      </c>
      <c r="AZM6">
        <v>99.92</v>
      </c>
      <c r="AZN6">
        <v>99.92</v>
      </c>
      <c r="AZO6">
        <v>99.92</v>
      </c>
      <c r="AZP6">
        <v>99.915000000000006</v>
      </c>
      <c r="AZQ6">
        <v>99.894999999999996</v>
      </c>
      <c r="AZR6">
        <v>99.88</v>
      </c>
      <c r="AZS6">
        <v>99.894999999999996</v>
      </c>
      <c r="AZT6">
        <v>99.875</v>
      </c>
      <c r="AZU6">
        <v>99.844999999999999</v>
      </c>
      <c r="AZV6">
        <v>99.81</v>
      </c>
      <c r="AZW6">
        <v>99.85</v>
      </c>
      <c r="AZX6">
        <v>99.9</v>
      </c>
      <c r="AZY6">
        <v>99.87</v>
      </c>
      <c r="AZZ6">
        <v>99.85</v>
      </c>
      <c r="BAA6">
        <v>99.82</v>
      </c>
      <c r="BAB6">
        <v>99.765000000000001</v>
      </c>
      <c r="BAC6">
        <v>99.844999999999999</v>
      </c>
      <c r="BAD6">
        <v>99.724999999999994</v>
      </c>
      <c r="BAE6">
        <v>99.644999999999996</v>
      </c>
      <c r="BAF6">
        <v>99.58</v>
      </c>
      <c r="BAG6">
        <v>99.46</v>
      </c>
      <c r="BAH6">
        <v>99.344999999999999</v>
      </c>
      <c r="BAI6">
        <v>99.27</v>
      </c>
      <c r="BAJ6">
        <v>99.034999999999997</v>
      </c>
      <c r="BAK6">
        <v>98.96</v>
      </c>
      <c r="BAL6">
        <v>98.905000000000001</v>
      </c>
      <c r="BAM6">
        <v>98.86</v>
      </c>
      <c r="BAN6">
        <v>98.775000000000006</v>
      </c>
      <c r="BAO6">
        <v>98.724999999999994</v>
      </c>
      <c r="BAP6">
        <v>98.69</v>
      </c>
      <c r="BAQ6">
        <v>98.72</v>
      </c>
      <c r="BAR6">
        <v>98.69</v>
      </c>
      <c r="BAS6">
        <v>98.69</v>
      </c>
      <c r="BAT6">
        <v>98.66</v>
      </c>
      <c r="BAU6">
        <v>98.655000000000001</v>
      </c>
      <c r="BAV6">
        <v>98.674999999999997</v>
      </c>
      <c r="BAW6">
        <v>98.71</v>
      </c>
      <c r="BAX6">
        <v>98.68</v>
      </c>
      <c r="BAY6">
        <v>98.644999999999996</v>
      </c>
      <c r="BAZ6">
        <v>98.65</v>
      </c>
      <c r="BBA6">
        <v>98.68</v>
      </c>
      <c r="BBB6">
        <v>98.754999999999995</v>
      </c>
      <c r="BBC6">
        <v>98.78</v>
      </c>
      <c r="BBD6">
        <v>98.724999999999994</v>
      </c>
      <c r="BBE6">
        <v>98.69</v>
      </c>
      <c r="BBF6">
        <v>98.655000000000001</v>
      </c>
      <c r="BBG6">
        <v>98.69</v>
      </c>
      <c r="BBH6">
        <v>98.644999999999996</v>
      </c>
      <c r="BBI6">
        <v>98.62</v>
      </c>
      <c r="BBJ6">
        <v>98.605000000000004</v>
      </c>
      <c r="BBK6">
        <v>98.594999999999999</v>
      </c>
      <c r="BBL6">
        <v>98.564999999999998</v>
      </c>
      <c r="BBM6">
        <v>98.564999999999998</v>
      </c>
      <c r="BBN6">
        <v>98.575000000000003</v>
      </c>
      <c r="BBO6">
        <v>98.57</v>
      </c>
      <c r="BBP6">
        <v>98.57</v>
      </c>
      <c r="BBQ6">
        <v>98.57</v>
      </c>
      <c r="BBR6">
        <v>98.575000000000003</v>
      </c>
      <c r="BBS6">
        <v>98.58</v>
      </c>
      <c r="BBT6">
        <v>98.575000000000003</v>
      </c>
      <c r="BBU6">
        <v>98.6</v>
      </c>
      <c r="BBV6">
        <v>98.6</v>
      </c>
      <c r="BBW6">
        <v>98.605000000000004</v>
      </c>
      <c r="BBX6">
        <v>98.564999999999998</v>
      </c>
      <c r="BBY6">
        <v>98.56</v>
      </c>
      <c r="BBZ6">
        <v>98.56</v>
      </c>
      <c r="BCA6">
        <v>98.564999999999998</v>
      </c>
      <c r="BCB6">
        <v>98.564999999999998</v>
      </c>
      <c r="BCC6">
        <v>98.545000000000002</v>
      </c>
      <c r="BCD6">
        <v>98.545000000000002</v>
      </c>
      <c r="BCE6">
        <v>98.545000000000002</v>
      </c>
      <c r="BCF6">
        <v>98.54</v>
      </c>
      <c r="BCG6">
        <v>98.564999999999998</v>
      </c>
      <c r="BCH6">
        <v>98.575000000000003</v>
      </c>
      <c r="BCI6">
        <v>98.555000000000007</v>
      </c>
      <c r="BCJ6">
        <v>98.504999999999995</v>
      </c>
      <c r="BCK6">
        <v>98.504999999999995</v>
      </c>
      <c r="BCL6">
        <v>98.54</v>
      </c>
      <c r="BCM6">
        <v>98.51</v>
      </c>
      <c r="BCN6">
        <v>98.55</v>
      </c>
      <c r="BCO6">
        <v>98.54</v>
      </c>
      <c r="BCP6">
        <v>98.56</v>
      </c>
      <c r="BCQ6">
        <v>98.555000000000007</v>
      </c>
      <c r="BCR6">
        <v>98.584999999999994</v>
      </c>
      <c r="BCS6">
        <v>98.575000000000003</v>
      </c>
      <c r="BCT6">
        <v>98.62</v>
      </c>
      <c r="BCU6">
        <v>98.545000000000002</v>
      </c>
      <c r="BCV6">
        <v>98.55</v>
      </c>
      <c r="BCW6">
        <v>98.54</v>
      </c>
      <c r="BCX6">
        <v>98.54</v>
      </c>
      <c r="BCY6">
        <v>98.57</v>
      </c>
      <c r="BCZ6">
        <v>98.56</v>
      </c>
      <c r="BDA6">
        <v>98.575000000000003</v>
      </c>
      <c r="BDB6">
        <v>98.605000000000004</v>
      </c>
      <c r="BDC6">
        <v>98.64</v>
      </c>
      <c r="BDD6">
        <v>98.614999999999995</v>
      </c>
      <c r="BDE6">
        <v>98.605000000000004</v>
      </c>
      <c r="BDF6">
        <v>98.594999999999999</v>
      </c>
      <c r="BDG6">
        <v>98.6</v>
      </c>
      <c r="BDH6">
        <v>98.575000000000003</v>
      </c>
      <c r="BDI6">
        <v>98.55</v>
      </c>
      <c r="BDJ6">
        <v>98.53</v>
      </c>
      <c r="BDK6">
        <v>98.534999999999997</v>
      </c>
      <c r="BDL6">
        <v>98.534999999999997</v>
      </c>
      <c r="BDM6">
        <v>98.584999999999994</v>
      </c>
      <c r="BDN6">
        <v>98.56</v>
      </c>
      <c r="BDO6">
        <v>98.6</v>
      </c>
      <c r="BDP6">
        <v>98.63</v>
      </c>
      <c r="BDQ6">
        <v>98.685000000000002</v>
      </c>
      <c r="BDR6">
        <v>98.594999999999999</v>
      </c>
      <c r="BDS6">
        <v>98.584999999999994</v>
      </c>
      <c r="BDT6">
        <v>98.59</v>
      </c>
      <c r="BDU6">
        <v>98.61</v>
      </c>
      <c r="BDV6">
        <v>98.655000000000001</v>
      </c>
      <c r="BDW6">
        <v>98.66</v>
      </c>
      <c r="BDX6">
        <v>98.64</v>
      </c>
      <c r="BDY6">
        <v>98.614999999999995</v>
      </c>
      <c r="BDZ6">
        <v>98.644999999999996</v>
      </c>
      <c r="BEA6">
        <v>98.61</v>
      </c>
      <c r="BEB6">
        <v>98.63</v>
      </c>
      <c r="BEC6">
        <v>98.584999999999994</v>
      </c>
      <c r="BED6">
        <v>98.614999999999995</v>
      </c>
      <c r="BEE6">
        <v>98.6</v>
      </c>
      <c r="BEF6">
        <v>98.71</v>
      </c>
      <c r="BEG6">
        <v>98.765000000000001</v>
      </c>
      <c r="BEH6">
        <v>98.825000000000003</v>
      </c>
      <c r="BEI6">
        <v>98.795000000000002</v>
      </c>
      <c r="BEJ6">
        <v>98.86</v>
      </c>
      <c r="BEK6">
        <v>98.87</v>
      </c>
      <c r="BEL6">
        <v>98.76</v>
      </c>
      <c r="BEM6">
        <v>98.69</v>
      </c>
      <c r="BEN6">
        <v>98.62</v>
      </c>
      <c r="BEO6">
        <v>98.625</v>
      </c>
      <c r="BEP6">
        <v>98.61</v>
      </c>
      <c r="BEQ6">
        <v>98.6</v>
      </c>
      <c r="BER6">
        <v>98.674999999999997</v>
      </c>
      <c r="BES6">
        <v>98.584999999999994</v>
      </c>
      <c r="BET6">
        <v>98.56</v>
      </c>
      <c r="BEU6">
        <v>98.575000000000003</v>
      </c>
      <c r="BEV6">
        <v>98.555000000000007</v>
      </c>
      <c r="BEW6">
        <v>98.5</v>
      </c>
      <c r="BEX6">
        <v>98.474999999999994</v>
      </c>
      <c r="BEY6">
        <v>98.44</v>
      </c>
      <c r="BEZ6">
        <v>98.504999999999995</v>
      </c>
      <c r="BFA6">
        <v>98.56</v>
      </c>
      <c r="BFB6">
        <v>98.564999999999998</v>
      </c>
      <c r="BFC6">
        <v>98.635000000000005</v>
      </c>
      <c r="BFD6">
        <v>98.685000000000002</v>
      </c>
      <c r="BFE6">
        <v>98.685000000000002</v>
      </c>
      <c r="BFF6">
        <v>98.765000000000001</v>
      </c>
      <c r="BFG6">
        <v>98.724999999999994</v>
      </c>
      <c r="BFH6">
        <v>98.66</v>
      </c>
      <c r="BFI6">
        <v>98.66</v>
      </c>
      <c r="BFJ6">
        <v>98.64</v>
      </c>
      <c r="BFK6">
        <v>98.69</v>
      </c>
      <c r="BFL6">
        <v>98.68</v>
      </c>
      <c r="BFM6">
        <v>98.67</v>
      </c>
      <c r="BFN6">
        <v>98.704999999999998</v>
      </c>
      <c r="BFO6">
        <v>98.614999999999995</v>
      </c>
      <c r="BFP6">
        <v>98.66</v>
      </c>
      <c r="BFQ6">
        <v>98.71</v>
      </c>
      <c r="BFR6">
        <v>98.685000000000002</v>
      </c>
      <c r="BFS6">
        <v>98.74</v>
      </c>
      <c r="BFT6">
        <v>98.734999999999999</v>
      </c>
      <c r="BFU6">
        <v>98.665000000000006</v>
      </c>
      <c r="BFV6">
        <v>98.584999999999994</v>
      </c>
      <c r="BFW6">
        <v>98.68</v>
      </c>
      <c r="BFX6">
        <v>98.62</v>
      </c>
      <c r="BFY6">
        <v>98.64</v>
      </c>
      <c r="BFZ6">
        <v>98.715000000000003</v>
      </c>
      <c r="BGA6">
        <v>98.625</v>
      </c>
      <c r="BGB6">
        <v>98.665000000000006</v>
      </c>
      <c r="BGC6">
        <v>98.465000000000003</v>
      </c>
      <c r="BGD6">
        <v>98.444999999999993</v>
      </c>
      <c r="BGE6">
        <v>98.284999999999997</v>
      </c>
      <c r="BGF6">
        <v>98.35</v>
      </c>
      <c r="BGG6">
        <v>98.36</v>
      </c>
      <c r="BGH6">
        <v>98.344999999999999</v>
      </c>
      <c r="BGI6">
        <v>98.375</v>
      </c>
      <c r="BGJ6">
        <v>98.4</v>
      </c>
      <c r="BGK6">
        <v>98.4</v>
      </c>
      <c r="BGL6">
        <v>98.43</v>
      </c>
      <c r="BGM6">
        <v>98.424999999999997</v>
      </c>
      <c r="BGN6">
        <v>98.474999999999994</v>
      </c>
      <c r="BGO6">
        <v>98.385000000000005</v>
      </c>
      <c r="BGP6">
        <v>98.36</v>
      </c>
      <c r="BGQ6">
        <v>98.38</v>
      </c>
      <c r="BGR6">
        <v>98.375</v>
      </c>
      <c r="BGS6">
        <v>98.355000000000004</v>
      </c>
      <c r="BGT6">
        <v>98.38</v>
      </c>
      <c r="BGU6">
        <v>98.295000000000002</v>
      </c>
      <c r="BGV6">
        <v>98.314999999999998</v>
      </c>
      <c r="BGW6">
        <v>98.31</v>
      </c>
      <c r="BGX6">
        <v>98.424999999999997</v>
      </c>
      <c r="BGY6">
        <v>98.424999999999997</v>
      </c>
      <c r="BGZ6">
        <v>98.424999999999997</v>
      </c>
      <c r="BHA6">
        <v>98.4</v>
      </c>
      <c r="BHB6">
        <v>98.46</v>
      </c>
      <c r="BHC6">
        <v>98.47</v>
      </c>
      <c r="BHD6">
        <v>98.45</v>
      </c>
      <c r="BHE6">
        <v>98.525000000000006</v>
      </c>
      <c r="BHF6">
        <v>98.53</v>
      </c>
      <c r="BHG6">
        <v>98.48</v>
      </c>
      <c r="BHH6">
        <v>98.53</v>
      </c>
      <c r="BHI6">
        <v>98.504999999999995</v>
      </c>
      <c r="BHJ6">
        <v>98.21</v>
      </c>
      <c r="BHK6">
        <v>98.23</v>
      </c>
      <c r="BHL6">
        <v>98.27</v>
      </c>
      <c r="BHM6">
        <v>98.28</v>
      </c>
      <c r="BHN6">
        <v>98.21</v>
      </c>
      <c r="BHO6">
        <v>98.18</v>
      </c>
      <c r="BHP6">
        <v>98.215000000000003</v>
      </c>
      <c r="BHQ6">
        <v>98.26</v>
      </c>
      <c r="BHR6">
        <v>98.22</v>
      </c>
      <c r="BHS6">
        <v>98.254999999999995</v>
      </c>
      <c r="BHT6">
        <v>98.224999999999994</v>
      </c>
      <c r="BHU6">
        <v>98.234999999999999</v>
      </c>
      <c r="BHV6">
        <v>98.1</v>
      </c>
      <c r="BHW6">
        <v>97.965000000000003</v>
      </c>
      <c r="BHX6">
        <v>97.965000000000003</v>
      </c>
      <c r="BHY6">
        <v>97.935000000000002</v>
      </c>
      <c r="BHZ6">
        <v>97.905000000000001</v>
      </c>
      <c r="BIA6">
        <v>97.905000000000001</v>
      </c>
      <c r="BIB6">
        <v>97.94</v>
      </c>
      <c r="BIC6">
        <v>97.84</v>
      </c>
      <c r="BID6">
        <v>97.83</v>
      </c>
      <c r="BIE6">
        <v>97.86</v>
      </c>
      <c r="BIF6">
        <v>97.875</v>
      </c>
      <c r="BIG6">
        <v>97.875</v>
      </c>
      <c r="BIH6">
        <v>97.905000000000001</v>
      </c>
      <c r="BII6">
        <v>97.875</v>
      </c>
      <c r="BIJ6">
        <v>97.885000000000005</v>
      </c>
      <c r="BIK6">
        <v>97.81</v>
      </c>
      <c r="BIL6">
        <v>97.79</v>
      </c>
      <c r="BIM6">
        <v>97.77</v>
      </c>
      <c r="BIN6">
        <v>97.78</v>
      </c>
      <c r="BIO6">
        <v>97.765000000000001</v>
      </c>
      <c r="BIP6">
        <v>97.734999999999999</v>
      </c>
      <c r="BIQ6">
        <v>97.724999999999994</v>
      </c>
      <c r="BIR6">
        <v>97.765000000000001</v>
      </c>
      <c r="BIS6">
        <v>97.795000000000002</v>
      </c>
      <c r="BIT6">
        <v>97.78</v>
      </c>
      <c r="BIU6">
        <v>97.784999999999997</v>
      </c>
      <c r="BIV6">
        <v>97.75</v>
      </c>
      <c r="BIW6">
        <v>97.77</v>
      </c>
      <c r="BIX6">
        <v>97.724999999999994</v>
      </c>
      <c r="BIY6">
        <v>97.715000000000003</v>
      </c>
      <c r="BIZ6">
        <v>97.694999999999993</v>
      </c>
      <c r="BJA6">
        <v>97.694999999999993</v>
      </c>
      <c r="BJB6">
        <v>97.69</v>
      </c>
      <c r="BJC6">
        <v>97.685000000000002</v>
      </c>
      <c r="BJD6">
        <v>97.694999999999993</v>
      </c>
      <c r="BJE6">
        <v>97.69</v>
      </c>
      <c r="BJF6">
        <v>97.734999999999999</v>
      </c>
      <c r="BJG6">
        <v>97.754999999999995</v>
      </c>
      <c r="BJH6">
        <v>97.754999999999995</v>
      </c>
      <c r="BJI6">
        <v>97.745000000000005</v>
      </c>
      <c r="BJJ6">
        <v>97.754999999999995</v>
      </c>
      <c r="BJK6">
        <v>97.77</v>
      </c>
      <c r="BJL6">
        <v>97.775000000000006</v>
      </c>
      <c r="BJM6">
        <v>97.795000000000002</v>
      </c>
      <c r="BJN6">
        <v>97.79</v>
      </c>
      <c r="BJO6">
        <v>97.834999999999994</v>
      </c>
      <c r="BJP6">
        <v>97.87</v>
      </c>
      <c r="BJQ6">
        <v>97.88</v>
      </c>
      <c r="BJR6">
        <v>97.84</v>
      </c>
      <c r="BJS6">
        <v>97.87</v>
      </c>
      <c r="BJT6">
        <v>97.78</v>
      </c>
      <c r="BJU6">
        <v>97.69</v>
      </c>
      <c r="BJV6">
        <v>97.68</v>
      </c>
      <c r="BJW6">
        <v>97.61</v>
      </c>
      <c r="BJX6">
        <v>97.614999999999995</v>
      </c>
      <c r="BJY6">
        <v>97.62</v>
      </c>
      <c r="BJZ6">
        <v>97.605000000000004</v>
      </c>
      <c r="BKA6">
        <v>97.605000000000004</v>
      </c>
      <c r="BKB6">
        <v>97.605000000000004</v>
      </c>
      <c r="BKC6">
        <v>97.584999999999994</v>
      </c>
      <c r="BKD6">
        <v>97.58</v>
      </c>
      <c r="BKE6">
        <v>97.58</v>
      </c>
      <c r="BKF6">
        <v>97.54</v>
      </c>
      <c r="BKG6">
        <v>97.52</v>
      </c>
      <c r="BKH6">
        <v>97.525000000000006</v>
      </c>
      <c r="BKI6">
        <v>97.515000000000001</v>
      </c>
      <c r="BKJ6">
        <v>97.545000000000002</v>
      </c>
      <c r="BKK6">
        <v>97.555000000000007</v>
      </c>
      <c r="BKL6">
        <v>97.57</v>
      </c>
      <c r="BKM6">
        <v>97.555000000000007</v>
      </c>
      <c r="BKN6">
        <v>97.56</v>
      </c>
      <c r="BKO6">
        <v>97.545000000000002</v>
      </c>
      <c r="BKP6">
        <v>97.56</v>
      </c>
      <c r="BKQ6">
        <v>97.55</v>
      </c>
      <c r="BKR6">
        <v>97.54</v>
      </c>
      <c r="BKS6">
        <v>97.54</v>
      </c>
      <c r="BKT6">
        <v>97.545000000000002</v>
      </c>
      <c r="BKU6">
        <v>97.525000000000006</v>
      </c>
      <c r="BKV6">
        <v>97.55</v>
      </c>
      <c r="BKW6">
        <v>97.57</v>
      </c>
      <c r="BKX6">
        <v>97.58</v>
      </c>
      <c r="BKY6">
        <v>97.57</v>
      </c>
      <c r="BKZ6">
        <v>97.55</v>
      </c>
      <c r="BLA6">
        <v>97.555000000000007</v>
      </c>
      <c r="BLB6">
        <v>97.55</v>
      </c>
      <c r="BLC6">
        <v>97.57</v>
      </c>
      <c r="BLD6">
        <v>97.584999999999994</v>
      </c>
      <c r="BLE6">
        <v>97.534999999999997</v>
      </c>
      <c r="BLF6">
        <v>97.504999999999995</v>
      </c>
      <c r="BLG6">
        <v>97.504999999999995</v>
      </c>
      <c r="BLH6">
        <v>97.495000000000005</v>
      </c>
      <c r="BLI6">
        <v>97.515000000000001</v>
      </c>
      <c r="BLJ6">
        <v>97.504999999999995</v>
      </c>
      <c r="BLK6">
        <v>97.51</v>
      </c>
      <c r="BLL6">
        <v>97.48</v>
      </c>
      <c r="BLM6">
        <v>97.48</v>
      </c>
      <c r="BLN6">
        <v>97.525000000000006</v>
      </c>
      <c r="BLO6">
        <v>97.545000000000002</v>
      </c>
      <c r="BLP6">
        <v>97.555000000000007</v>
      </c>
      <c r="BLQ6">
        <v>97.54</v>
      </c>
      <c r="BLR6">
        <v>97.54</v>
      </c>
      <c r="BLS6">
        <v>97.53</v>
      </c>
      <c r="BLT6">
        <v>97.534999999999997</v>
      </c>
      <c r="BLU6">
        <v>97.53</v>
      </c>
      <c r="BLV6">
        <v>97.59</v>
      </c>
      <c r="BLW6">
        <v>97.625</v>
      </c>
      <c r="BLX6">
        <v>97.694999999999993</v>
      </c>
      <c r="BLY6">
        <v>97.57</v>
      </c>
      <c r="BLZ6">
        <v>97.584999999999994</v>
      </c>
      <c r="BMA6">
        <v>97.584999999999994</v>
      </c>
      <c r="BMB6">
        <v>97.58</v>
      </c>
      <c r="BMC6">
        <v>97.564999999999998</v>
      </c>
      <c r="BMD6">
        <v>97.51</v>
      </c>
      <c r="BME6">
        <v>97.51</v>
      </c>
      <c r="BMF6">
        <v>97.51</v>
      </c>
      <c r="BMG6">
        <v>97.46</v>
      </c>
      <c r="BMH6">
        <v>97.43</v>
      </c>
      <c r="BMI6">
        <v>97.45</v>
      </c>
      <c r="BMJ6">
        <v>97.49</v>
      </c>
      <c r="BMK6">
        <v>97.465000000000003</v>
      </c>
      <c r="BML6">
        <v>97.44</v>
      </c>
      <c r="BMM6">
        <v>97.415000000000006</v>
      </c>
      <c r="BMN6">
        <v>97.42</v>
      </c>
      <c r="BMO6">
        <v>97.435000000000002</v>
      </c>
      <c r="BMP6">
        <v>97.47</v>
      </c>
      <c r="BMQ6">
        <v>97.454999999999998</v>
      </c>
      <c r="BMR6">
        <v>97.424999999999997</v>
      </c>
      <c r="BMS6">
        <v>97.364999999999995</v>
      </c>
      <c r="BMT6">
        <v>97.364999999999995</v>
      </c>
      <c r="BMU6">
        <v>97.355000000000004</v>
      </c>
      <c r="BMV6">
        <v>97.375</v>
      </c>
      <c r="BMW6">
        <v>97.375</v>
      </c>
      <c r="BMX6">
        <v>97.37</v>
      </c>
      <c r="BMY6">
        <v>97.35</v>
      </c>
      <c r="BMZ6">
        <v>97.34</v>
      </c>
      <c r="BNA6">
        <v>97.355000000000004</v>
      </c>
      <c r="BNB6">
        <v>97.355000000000004</v>
      </c>
      <c r="BNC6">
        <v>97.355000000000004</v>
      </c>
      <c r="BND6">
        <v>97.355000000000004</v>
      </c>
      <c r="BNE6">
        <v>97.36</v>
      </c>
      <c r="BNF6">
        <v>97.33</v>
      </c>
      <c r="BNG6">
        <v>97.295000000000002</v>
      </c>
      <c r="BNH6">
        <v>97.29</v>
      </c>
      <c r="BNI6">
        <v>97.265000000000001</v>
      </c>
      <c r="BNJ6">
        <v>97.245000000000005</v>
      </c>
      <c r="BNK6">
        <v>97.23</v>
      </c>
      <c r="BNL6">
        <v>97.215000000000003</v>
      </c>
      <c r="BNM6">
        <v>97.234999999999999</v>
      </c>
      <c r="BNN6">
        <v>97.24</v>
      </c>
      <c r="BNO6">
        <v>97.25</v>
      </c>
      <c r="BNP6">
        <v>97.245000000000005</v>
      </c>
      <c r="BNQ6">
        <v>97.275000000000006</v>
      </c>
      <c r="BNR6">
        <v>97.27</v>
      </c>
      <c r="BNS6">
        <v>97.295000000000002</v>
      </c>
      <c r="BNT6">
        <v>97.295000000000002</v>
      </c>
      <c r="BNU6">
        <v>97.295000000000002</v>
      </c>
      <c r="BNV6">
        <v>97.265000000000001</v>
      </c>
      <c r="BNW6">
        <v>97.265000000000001</v>
      </c>
      <c r="BNX6">
        <v>97.254999999999995</v>
      </c>
      <c r="BNY6">
        <v>97.23</v>
      </c>
      <c r="BNZ6">
        <v>97.224999999999994</v>
      </c>
      <c r="BOA6">
        <v>97.24</v>
      </c>
      <c r="BOB6">
        <v>97.23</v>
      </c>
      <c r="BOC6">
        <v>97.234999999999999</v>
      </c>
      <c r="BOD6">
        <v>97.234999999999999</v>
      </c>
      <c r="BOE6">
        <v>97.245000000000005</v>
      </c>
      <c r="BOF6">
        <v>97.24</v>
      </c>
      <c r="BOG6">
        <v>97.215000000000003</v>
      </c>
      <c r="BOH6">
        <v>97.204999999999998</v>
      </c>
      <c r="BOI6">
        <v>97.204999999999998</v>
      </c>
      <c r="BOJ6">
        <v>97.21</v>
      </c>
      <c r="BOK6">
        <v>97.21</v>
      </c>
      <c r="BOL6">
        <v>97.234999999999999</v>
      </c>
      <c r="BOM6">
        <v>97.254999999999995</v>
      </c>
      <c r="BON6">
        <v>97.245000000000005</v>
      </c>
      <c r="BOO6">
        <v>97.245000000000005</v>
      </c>
      <c r="BOP6">
        <v>97.234999999999999</v>
      </c>
      <c r="BOQ6">
        <v>97.234999999999999</v>
      </c>
      <c r="BOR6">
        <v>97.224999999999994</v>
      </c>
      <c r="BOS6">
        <v>97.24</v>
      </c>
      <c r="BOT6">
        <v>97.24</v>
      </c>
      <c r="BOU6">
        <v>97.23</v>
      </c>
      <c r="BOV6">
        <v>97.24</v>
      </c>
      <c r="BOW6">
        <v>97.42</v>
      </c>
      <c r="BOX6">
        <v>97.42</v>
      </c>
      <c r="BOY6">
        <v>97.424999999999997</v>
      </c>
      <c r="BOZ6">
        <v>97.435000000000002</v>
      </c>
      <c r="BPA6">
        <v>97.444999999999993</v>
      </c>
      <c r="BPB6">
        <v>97.435000000000002</v>
      </c>
      <c r="BPC6">
        <v>97.454999999999998</v>
      </c>
      <c r="BPD6">
        <v>97.454999999999998</v>
      </c>
      <c r="BPE6">
        <v>97.495000000000005</v>
      </c>
      <c r="BPF6">
        <v>97.49</v>
      </c>
      <c r="BPG6">
        <v>97.495000000000005</v>
      </c>
      <c r="BPH6">
        <v>97.504999999999995</v>
      </c>
      <c r="BPI6">
        <v>97.504999999999995</v>
      </c>
      <c r="BPJ6">
        <v>97.49</v>
      </c>
      <c r="BPK6">
        <v>97.48</v>
      </c>
      <c r="BPL6">
        <v>97.49</v>
      </c>
      <c r="BPM6">
        <v>97.504999999999995</v>
      </c>
      <c r="BPN6">
        <v>97.525000000000006</v>
      </c>
      <c r="BPO6">
        <v>97.534999999999997</v>
      </c>
      <c r="BPP6">
        <v>97.555000000000007</v>
      </c>
      <c r="BPQ6">
        <v>97.55</v>
      </c>
      <c r="BPR6">
        <v>97.56</v>
      </c>
      <c r="BPS6">
        <v>97.54</v>
      </c>
      <c r="BPT6">
        <v>97.534999999999997</v>
      </c>
      <c r="BPU6">
        <v>97.545000000000002</v>
      </c>
      <c r="BPV6">
        <v>97.52</v>
      </c>
      <c r="BPW6">
        <v>97.545000000000002</v>
      </c>
      <c r="BPX6">
        <v>97.555000000000007</v>
      </c>
      <c r="BPY6">
        <v>97.504999999999995</v>
      </c>
      <c r="BPZ6">
        <v>97.495000000000005</v>
      </c>
      <c r="BQA6">
        <v>97.49</v>
      </c>
      <c r="BQB6">
        <v>97.49</v>
      </c>
      <c r="BQC6">
        <v>97.484999999999999</v>
      </c>
      <c r="BQD6">
        <v>97.474999999999994</v>
      </c>
      <c r="BQE6">
        <v>97.47</v>
      </c>
      <c r="BQF6">
        <v>97.474999999999994</v>
      </c>
      <c r="BQG6">
        <v>97.48</v>
      </c>
      <c r="BQH6">
        <v>97.474999999999994</v>
      </c>
      <c r="BQI6">
        <v>97.47</v>
      </c>
      <c r="BQJ6">
        <v>97.49</v>
      </c>
      <c r="BQK6">
        <v>97.49</v>
      </c>
      <c r="BQL6">
        <v>97.495000000000005</v>
      </c>
      <c r="BQM6">
        <v>97.515000000000001</v>
      </c>
      <c r="BQN6">
        <v>97.515000000000001</v>
      </c>
      <c r="BQO6">
        <v>97.515000000000001</v>
      </c>
      <c r="BQP6">
        <v>97.52</v>
      </c>
      <c r="BQQ6">
        <v>97.545000000000002</v>
      </c>
      <c r="BQR6">
        <v>97.56</v>
      </c>
      <c r="BQS6">
        <v>97.564999999999998</v>
      </c>
      <c r="BQT6">
        <v>97.58</v>
      </c>
      <c r="BQU6">
        <v>97.58</v>
      </c>
      <c r="BQV6">
        <v>97.594999999999999</v>
      </c>
      <c r="BQW6">
        <v>97.614999999999995</v>
      </c>
      <c r="BQX6">
        <v>97.6</v>
      </c>
      <c r="BQY6">
        <v>97.62</v>
      </c>
      <c r="BQZ6">
        <v>97.62</v>
      </c>
      <c r="BRA6">
        <v>97.61</v>
      </c>
      <c r="BRB6">
        <v>97.61</v>
      </c>
      <c r="BRC6">
        <v>97.61</v>
      </c>
      <c r="BRD6">
        <v>97.61</v>
      </c>
      <c r="BRE6">
        <v>97.58</v>
      </c>
      <c r="BRF6">
        <v>97.564999999999998</v>
      </c>
      <c r="BRG6">
        <v>97.545000000000002</v>
      </c>
      <c r="BRH6">
        <v>97.545000000000002</v>
      </c>
      <c r="BRI6">
        <v>97.534999999999997</v>
      </c>
      <c r="BRJ6">
        <v>97.54</v>
      </c>
      <c r="BRK6">
        <v>97.52</v>
      </c>
      <c r="BRL6">
        <v>97.52</v>
      </c>
      <c r="BRM6">
        <v>97.504999999999995</v>
      </c>
      <c r="BRN6">
        <v>97.504999999999995</v>
      </c>
      <c r="BRO6">
        <v>97.534999999999997</v>
      </c>
      <c r="BRP6">
        <v>97.545000000000002</v>
      </c>
      <c r="BRQ6">
        <v>97.56</v>
      </c>
      <c r="BRR6">
        <v>97.545000000000002</v>
      </c>
      <c r="BRS6">
        <v>97.54</v>
      </c>
      <c r="BRT6">
        <v>97.57</v>
      </c>
      <c r="BRU6">
        <v>97.56</v>
      </c>
      <c r="BRV6">
        <v>97.614999999999995</v>
      </c>
      <c r="BRW6">
        <v>97.685000000000002</v>
      </c>
      <c r="BRX6">
        <v>97.69</v>
      </c>
      <c r="BRY6">
        <v>97.78</v>
      </c>
      <c r="BRZ6">
        <v>97.6</v>
      </c>
      <c r="BSA6">
        <v>97.6</v>
      </c>
      <c r="BSB6">
        <v>97.575000000000003</v>
      </c>
      <c r="BSC6">
        <v>97.545000000000002</v>
      </c>
      <c r="BSD6">
        <v>97.495000000000005</v>
      </c>
      <c r="BSE6">
        <v>97.484999999999999</v>
      </c>
      <c r="BSF6">
        <v>97.495000000000005</v>
      </c>
      <c r="BSG6">
        <v>97.48</v>
      </c>
      <c r="BSH6">
        <v>97.48</v>
      </c>
      <c r="BSI6">
        <v>97.48</v>
      </c>
      <c r="BSJ6">
        <v>97.5</v>
      </c>
      <c r="BSK6">
        <v>97.5</v>
      </c>
      <c r="BSL6">
        <v>97.515000000000001</v>
      </c>
      <c r="BSM6">
        <v>97.534999999999997</v>
      </c>
      <c r="BSN6">
        <v>97.55</v>
      </c>
      <c r="BSO6">
        <v>97.56</v>
      </c>
      <c r="BSP6">
        <v>97.534999999999997</v>
      </c>
      <c r="BSQ6" t="s">
        <v>6984</v>
      </c>
      <c r="BSR6" t="s">
        <v>6984</v>
      </c>
      <c r="BSS6" t="s">
        <v>6984</v>
      </c>
      <c r="BST6" t="s">
        <v>6984</v>
      </c>
      <c r="BSU6" t="s">
        <v>6984</v>
      </c>
      <c r="BSV6" t="s">
        <v>6984</v>
      </c>
      <c r="BSW6" t="s">
        <v>6984</v>
      </c>
      <c r="BSX6" t="s">
        <v>6984</v>
      </c>
      <c r="BSY6" t="s">
        <v>6984</v>
      </c>
      <c r="BSZ6" t="s">
        <v>6984</v>
      </c>
      <c r="BTA6" t="s">
        <v>6984</v>
      </c>
      <c r="BTB6" t="s">
        <v>6984</v>
      </c>
      <c r="BTC6" t="s">
        <v>6984</v>
      </c>
      <c r="BTD6" t="s">
        <v>6984</v>
      </c>
      <c r="BTE6" t="s">
        <v>6984</v>
      </c>
      <c r="BTF6" t="s">
        <v>6984</v>
      </c>
      <c r="BTG6" t="s">
        <v>6984</v>
      </c>
      <c r="BTH6" t="s">
        <v>6984</v>
      </c>
      <c r="BTI6" t="s">
        <v>6984</v>
      </c>
      <c r="BTJ6" t="s">
        <v>6984</v>
      </c>
      <c r="BTK6" t="s">
        <v>6984</v>
      </c>
      <c r="BTL6" t="s">
        <v>6984</v>
      </c>
      <c r="BTM6" t="s">
        <v>6984</v>
      </c>
      <c r="BTN6" t="s">
        <v>6984</v>
      </c>
      <c r="BTO6" t="s">
        <v>6984</v>
      </c>
      <c r="BTP6" t="s">
        <v>6984</v>
      </c>
      <c r="BTQ6" t="s">
        <v>6984</v>
      </c>
      <c r="BTR6" t="s">
        <v>6984</v>
      </c>
      <c r="BTS6" t="s">
        <v>6984</v>
      </c>
      <c r="BTT6" t="s">
        <v>6984</v>
      </c>
      <c r="BTU6" t="s">
        <v>6984</v>
      </c>
      <c r="BTV6" t="s">
        <v>6984</v>
      </c>
      <c r="BTW6" t="s">
        <v>6984</v>
      </c>
      <c r="BTX6" t="s">
        <v>6984</v>
      </c>
      <c r="BTY6" t="s">
        <v>6984</v>
      </c>
      <c r="BTZ6" t="s">
        <v>6984</v>
      </c>
      <c r="BUA6" t="s">
        <v>6984</v>
      </c>
      <c r="BUB6" t="s">
        <v>6984</v>
      </c>
      <c r="BUC6" t="s">
        <v>6984</v>
      </c>
      <c r="BUD6" t="s">
        <v>6984</v>
      </c>
      <c r="BUE6" t="s">
        <v>6984</v>
      </c>
      <c r="BUF6" t="s">
        <v>6984</v>
      </c>
      <c r="BUG6" t="s">
        <v>6984</v>
      </c>
      <c r="BUH6" t="s">
        <v>6984</v>
      </c>
      <c r="BUI6" t="s">
        <v>6984</v>
      </c>
      <c r="BUJ6" t="s">
        <v>6984</v>
      </c>
      <c r="BUK6" t="s">
        <v>6984</v>
      </c>
      <c r="BUL6" t="s">
        <v>6984</v>
      </c>
      <c r="BUM6" t="s">
        <v>6984</v>
      </c>
      <c r="BUN6" t="s">
        <v>6984</v>
      </c>
      <c r="BUO6" t="s">
        <v>6984</v>
      </c>
      <c r="BUP6" t="s">
        <v>6984</v>
      </c>
      <c r="BUQ6" t="s">
        <v>6984</v>
      </c>
      <c r="BUR6" t="s">
        <v>6984</v>
      </c>
      <c r="BUS6" t="s">
        <v>6984</v>
      </c>
      <c r="BUT6" t="s">
        <v>6984</v>
      </c>
      <c r="BUU6" t="s">
        <v>6984</v>
      </c>
      <c r="BUV6" t="s">
        <v>6984</v>
      </c>
      <c r="BUW6" t="s">
        <v>6984</v>
      </c>
      <c r="BUX6" t="s">
        <v>6984</v>
      </c>
      <c r="BUY6" t="s">
        <v>6984</v>
      </c>
      <c r="BUZ6" t="s">
        <v>6984</v>
      </c>
      <c r="BVA6" t="s">
        <v>6984</v>
      </c>
      <c r="BVB6" t="s">
        <v>6984</v>
      </c>
      <c r="BVC6" t="s">
        <v>6984</v>
      </c>
      <c r="BVD6" t="s">
        <v>6984</v>
      </c>
      <c r="BVE6" t="s">
        <v>6984</v>
      </c>
      <c r="BVF6" t="s">
        <v>6984</v>
      </c>
      <c r="BVG6" t="s">
        <v>6984</v>
      </c>
      <c r="BVH6" t="s">
        <v>6984</v>
      </c>
      <c r="BVI6" t="s">
        <v>6984</v>
      </c>
      <c r="BVJ6" t="s">
        <v>6984</v>
      </c>
      <c r="BVK6" t="s">
        <v>6984</v>
      </c>
      <c r="BVL6" t="s">
        <v>6984</v>
      </c>
      <c r="BVM6" t="s">
        <v>6984</v>
      </c>
      <c r="BVN6" t="s">
        <v>6984</v>
      </c>
      <c r="BVO6" t="s">
        <v>6984</v>
      </c>
      <c r="BVP6" t="s">
        <v>6984</v>
      </c>
      <c r="BVQ6" t="s">
        <v>6984</v>
      </c>
      <c r="BVR6" t="s">
        <v>6984</v>
      </c>
      <c r="BVS6" t="s">
        <v>6984</v>
      </c>
      <c r="BVT6" t="s">
        <v>6984</v>
      </c>
      <c r="BVU6" t="s">
        <v>6984</v>
      </c>
      <c r="BVV6" t="s">
        <v>6984</v>
      </c>
      <c r="BVW6" t="s">
        <v>6984</v>
      </c>
      <c r="BVX6" t="s">
        <v>6984</v>
      </c>
      <c r="BVY6" t="s">
        <v>6984</v>
      </c>
      <c r="BVZ6" t="s">
        <v>6984</v>
      </c>
      <c r="BWA6" t="s">
        <v>6984</v>
      </c>
      <c r="BWB6" t="s">
        <v>6984</v>
      </c>
      <c r="BWC6" t="s">
        <v>6984</v>
      </c>
      <c r="BWD6" t="s">
        <v>6984</v>
      </c>
      <c r="BWE6" t="s">
        <v>6984</v>
      </c>
      <c r="BWF6" t="s">
        <v>6984</v>
      </c>
      <c r="BWG6" t="s">
        <v>6984</v>
      </c>
      <c r="BWH6" t="s">
        <v>6984</v>
      </c>
      <c r="BWI6" t="s">
        <v>6984</v>
      </c>
      <c r="BWJ6" t="s">
        <v>6984</v>
      </c>
      <c r="BWK6" t="s">
        <v>6984</v>
      </c>
      <c r="BWL6" t="s">
        <v>6984</v>
      </c>
      <c r="BWM6" t="s">
        <v>6984</v>
      </c>
      <c r="BWN6" t="s">
        <v>6984</v>
      </c>
      <c r="BWO6" t="s">
        <v>6984</v>
      </c>
      <c r="BWP6" t="s">
        <v>6984</v>
      </c>
      <c r="BWQ6" t="s">
        <v>6984</v>
      </c>
      <c r="BWR6" t="s">
        <v>6984</v>
      </c>
      <c r="BWS6" t="s">
        <v>6984</v>
      </c>
      <c r="BWT6" t="s">
        <v>6984</v>
      </c>
      <c r="BWU6" t="s">
        <v>6984</v>
      </c>
      <c r="BWV6" t="s">
        <v>6984</v>
      </c>
      <c r="BWW6" t="s">
        <v>6984</v>
      </c>
      <c r="BWX6" t="s">
        <v>6984</v>
      </c>
      <c r="BWY6" t="s">
        <v>6984</v>
      </c>
      <c r="BWZ6" t="s">
        <v>6984</v>
      </c>
      <c r="BXA6" t="s">
        <v>6984</v>
      </c>
      <c r="BXB6" t="s">
        <v>6984</v>
      </c>
      <c r="BXC6" t="s">
        <v>6984</v>
      </c>
      <c r="BXD6" t="s">
        <v>6984</v>
      </c>
      <c r="BXE6" t="s">
        <v>6984</v>
      </c>
      <c r="BXF6" t="s">
        <v>6984</v>
      </c>
      <c r="BXG6" t="s">
        <v>6984</v>
      </c>
      <c r="BXH6" t="s">
        <v>6984</v>
      </c>
      <c r="BXI6" t="s">
        <v>6984</v>
      </c>
      <c r="BXJ6" t="s">
        <v>6984</v>
      </c>
      <c r="BXK6" t="s">
        <v>6984</v>
      </c>
      <c r="BXL6" t="s">
        <v>6984</v>
      </c>
      <c r="BXM6" t="s">
        <v>6984</v>
      </c>
      <c r="BXN6" t="s">
        <v>6984</v>
      </c>
      <c r="BXO6" t="s">
        <v>6984</v>
      </c>
      <c r="BXP6" t="s">
        <v>6984</v>
      </c>
      <c r="BXQ6" t="s">
        <v>6984</v>
      </c>
      <c r="BXR6" t="s">
        <v>6984</v>
      </c>
      <c r="BXS6" t="s">
        <v>6984</v>
      </c>
      <c r="BXT6" t="s">
        <v>6984</v>
      </c>
      <c r="BXU6" t="s">
        <v>6984</v>
      </c>
      <c r="BXV6" t="s">
        <v>6984</v>
      </c>
      <c r="BXW6" t="s">
        <v>6984</v>
      </c>
      <c r="BXX6" t="s">
        <v>6984</v>
      </c>
      <c r="BXY6" t="s">
        <v>6984</v>
      </c>
      <c r="BXZ6" t="s">
        <v>6984</v>
      </c>
      <c r="BYA6" t="s">
        <v>6984</v>
      </c>
      <c r="BYB6" t="s">
        <v>6984</v>
      </c>
      <c r="BYC6" t="s">
        <v>6984</v>
      </c>
      <c r="BYD6" t="s">
        <v>6984</v>
      </c>
      <c r="BYE6" t="s">
        <v>6984</v>
      </c>
      <c r="BYF6" t="s">
        <v>6984</v>
      </c>
      <c r="BYG6" t="s">
        <v>6984</v>
      </c>
      <c r="BYH6" t="s">
        <v>6984</v>
      </c>
      <c r="BYI6" t="s">
        <v>6984</v>
      </c>
      <c r="BYJ6" t="s">
        <v>6984</v>
      </c>
      <c r="BYK6" t="s">
        <v>6984</v>
      </c>
      <c r="BYL6" t="s">
        <v>6984</v>
      </c>
      <c r="BYM6" t="s">
        <v>6984</v>
      </c>
      <c r="BYN6" t="s">
        <v>6984</v>
      </c>
      <c r="BYO6" t="s">
        <v>6984</v>
      </c>
      <c r="BYP6" t="s">
        <v>6984</v>
      </c>
      <c r="BYQ6" t="s">
        <v>6984</v>
      </c>
      <c r="BYR6" t="s">
        <v>6984</v>
      </c>
      <c r="BYS6" t="s">
        <v>6984</v>
      </c>
      <c r="BYT6" t="s">
        <v>6984</v>
      </c>
      <c r="BYU6" t="s">
        <v>6984</v>
      </c>
      <c r="BYV6" t="s">
        <v>6984</v>
      </c>
      <c r="BYW6" t="s">
        <v>6984</v>
      </c>
      <c r="BYX6" t="s">
        <v>6984</v>
      </c>
      <c r="BYY6" t="s">
        <v>6984</v>
      </c>
      <c r="BYZ6" t="s">
        <v>6984</v>
      </c>
      <c r="BZA6" t="s">
        <v>6984</v>
      </c>
      <c r="BZB6" t="s">
        <v>6984</v>
      </c>
      <c r="BZC6" t="s">
        <v>6984</v>
      </c>
      <c r="BZD6" t="s">
        <v>6984</v>
      </c>
      <c r="BZE6" t="s">
        <v>6984</v>
      </c>
      <c r="BZF6" t="s">
        <v>6984</v>
      </c>
      <c r="BZG6" t="s">
        <v>6984</v>
      </c>
      <c r="BZH6" t="s">
        <v>6984</v>
      </c>
      <c r="BZI6" t="s">
        <v>6984</v>
      </c>
      <c r="BZJ6" t="s">
        <v>6984</v>
      </c>
      <c r="BZK6" t="s">
        <v>6984</v>
      </c>
      <c r="BZL6" t="s">
        <v>6984</v>
      </c>
      <c r="BZM6" t="s">
        <v>6984</v>
      </c>
      <c r="BZN6" t="s">
        <v>6984</v>
      </c>
      <c r="BZO6" t="s">
        <v>6984</v>
      </c>
      <c r="BZP6" t="s">
        <v>6984</v>
      </c>
      <c r="BZQ6" t="s">
        <v>6984</v>
      </c>
      <c r="BZR6" t="s">
        <v>6984</v>
      </c>
      <c r="BZS6" t="s">
        <v>6984</v>
      </c>
      <c r="BZT6" t="s">
        <v>6984</v>
      </c>
      <c r="BZU6" t="s">
        <v>6984</v>
      </c>
      <c r="BZV6" t="s">
        <v>6984</v>
      </c>
      <c r="BZW6" t="s">
        <v>6984</v>
      </c>
      <c r="BZX6" t="s">
        <v>6984</v>
      </c>
      <c r="BZY6" t="s">
        <v>6984</v>
      </c>
      <c r="BZZ6" t="s">
        <v>6984</v>
      </c>
      <c r="CAA6" t="s">
        <v>6984</v>
      </c>
      <c r="CAB6" t="s">
        <v>6984</v>
      </c>
      <c r="CAC6" t="s">
        <v>6984</v>
      </c>
      <c r="CAD6" t="s">
        <v>6984</v>
      </c>
      <c r="CAE6" t="s">
        <v>6984</v>
      </c>
      <c r="CAF6" t="s">
        <v>6984</v>
      </c>
      <c r="CAG6" t="s">
        <v>6984</v>
      </c>
      <c r="CAH6" t="s">
        <v>6984</v>
      </c>
      <c r="CAI6" t="s">
        <v>6984</v>
      </c>
      <c r="CAJ6" t="s">
        <v>6984</v>
      </c>
      <c r="CAK6" t="s">
        <v>6984</v>
      </c>
      <c r="CAL6" t="s">
        <v>6984</v>
      </c>
      <c r="CAM6" t="s">
        <v>6984</v>
      </c>
      <c r="CAN6" t="s">
        <v>6984</v>
      </c>
      <c r="CAO6" t="s">
        <v>6984</v>
      </c>
      <c r="CAP6" t="s">
        <v>6984</v>
      </c>
      <c r="CAQ6" t="s">
        <v>6984</v>
      </c>
      <c r="CAR6" t="s">
        <v>6984</v>
      </c>
      <c r="CAS6" t="s">
        <v>6984</v>
      </c>
      <c r="CAT6" t="s">
        <v>6984</v>
      </c>
      <c r="CAU6" t="s">
        <v>6984</v>
      </c>
      <c r="CAV6" t="s">
        <v>6984</v>
      </c>
      <c r="CAW6" t="s">
        <v>6984</v>
      </c>
      <c r="CAX6" t="s">
        <v>6984</v>
      </c>
      <c r="CAY6" t="s">
        <v>6984</v>
      </c>
      <c r="CAZ6" t="s">
        <v>6984</v>
      </c>
      <c r="CBA6" t="s">
        <v>6984</v>
      </c>
      <c r="CBB6" t="s">
        <v>6984</v>
      </c>
      <c r="CBC6" t="s">
        <v>6984</v>
      </c>
      <c r="CBD6" t="s">
        <v>6984</v>
      </c>
      <c r="CBE6" t="s">
        <v>6984</v>
      </c>
      <c r="CBF6" t="s">
        <v>6984</v>
      </c>
      <c r="CBG6" t="s">
        <v>6984</v>
      </c>
      <c r="CBH6" t="s">
        <v>6984</v>
      </c>
      <c r="CBI6" t="s">
        <v>6984</v>
      </c>
      <c r="CBJ6" t="s">
        <v>6984</v>
      </c>
      <c r="CBK6" t="s">
        <v>6984</v>
      </c>
      <c r="CBL6" t="s">
        <v>6984</v>
      </c>
      <c r="CBM6" t="s">
        <v>6984</v>
      </c>
      <c r="CBN6" t="s">
        <v>6984</v>
      </c>
      <c r="CBO6" t="s">
        <v>6984</v>
      </c>
      <c r="CBP6" t="s">
        <v>6984</v>
      </c>
      <c r="CBQ6" t="s">
        <v>6984</v>
      </c>
      <c r="CBR6" t="s">
        <v>6984</v>
      </c>
      <c r="CBS6" t="s">
        <v>6984</v>
      </c>
      <c r="CBT6" t="s">
        <v>6984</v>
      </c>
      <c r="CBU6" t="s">
        <v>6984</v>
      </c>
      <c r="CBV6" t="s">
        <v>6984</v>
      </c>
      <c r="CBW6" t="s">
        <v>6984</v>
      </c>
      <c r="CBX6" t="s">
        <v>6984</v>
      </c>
      <c r="CBY6" t="s">
        <v>6984</v>
      </c>
      <c r="CBZ6" t="s">
        <v>6984</v>
      </c>
      <c r="CCA6" t="s">
        <v>6984</v>
      </c>
      <c r="CCB6" t="s">
        <v>6984</v>
      </c>
      <c r="CCC6" t="s">
        <v>6984</v>
      </c>
      <c r="CCD6" t="s">
        <v>6984</v>
      </c>
      <c r="CCE6" t="s">
        <v>6984</v>
      </c>
      <c r="CCF6" t="s">
        <v>6984</v>
      </c>
      <c r="CCG6" t="s">
        <v>6984</v>
      </c>
      <c r="CCH6" t="s">
        <v>6984</v>
      </c>
      <c r="CCI6" t="s">
        <v>6984</v>
      </c>
      <c r="CCJ6" t="s">
        <v>6984</v>
      </c>
      <c r="CCK6" t="s">
        <v>6984</v>
      </c>
      <c r="CCL6" t="s">
        <v>6984</v>
      </c>
      <c r="CCM6" t="s">
        <v>6984</v>
      </c>
      <c r="CCN6" t="s">
        <v>6984</v>
      </c>
      <c r="CCO6" t="s">
        <v>6984</v>
      </c>
      <c r="CCP6" t="s">
        <v>6984</v>
      </c>
      <c r="CCQ6" t="s">
        <v>6984</v>
      </c>
      <c r="CCR6" t="s">
        <v>6984</v>
      </c>
      <c r="CCS6" t="s">
        <v>6984</v>
      </c>
      <c r="CCT6" t="s">
        <v>6984</v>
      </c>
      <c r="CCU6" t="s">
        <v>6984</v>
      </c>
      <c r="CCV6" t="s">
        <v>6984</v>
      </c>
      <c r="CCW6" t="s">
        <v>6984</v>
      </c>
      <c r="CCX6" t="s">
        <v>6984</v>
      </c>
      <c r="CCY6" t="s">
        <v>6984</v>
      </c>
      <c r="CCZ6" t="s">
        <v>6984</v>
      </c>
      <c r="CDA6" t="s">
        <v>6984</v>
      </c>
      <c r="CDB6" t="s">
        <v>6984</v>
      </c>
      <c r="CDC6" t="s">
        <v>6984</v>
      </c>
      <c r="CDD6" t="s">
        <v>6984</v>
      </c>
      <c r="CDE6" t="s">
        <v>6984</v>
      </c>
      <c r="CDF6" t="s">
        <v>6984</v>
      </c>
      <c r="CDG6" t="s">
        <v>6984</v>
      </c>
      <c r="CDH6" t="s">
        <v>6984</v>
      </c>
      <c r="CDI6" t="s">
        <v>6984</v>
      </c>
      <c r="CDJ6" t="s">
        <v>6984</v>
      </c>
      <c r="CDK6" t="s">
        <v>6984</v>
      </c>
      <c r="CDL6" t="s">
        <v>6984</v>
      </c>
      <c r="CDM6" t="s">
        <v>6984</v>
      </c>
      <c r="CDN6" t="s">
        <v>6984</v>
      </c>
      <c r="CDO6" t="s">
        <v>6984</v>
      </c>
      <c r="CDP6" t="s">
        <v>6984</v>
      </c>
      <c r="CDQ6" t="s">
        <v>6984</v>
      </c>
      <c r="CDR6" t="s">
        <v>6984</v>
      </c>
      <c r="CDS6" t="s">
        <v>6984</v>
      </c>
      <c r="CDT6" t="s">
        <v>6984</v>
      </c>
      <c r="CDU6" t="s">
        <v>6984</v>
      </c>
      <c r="CDV6" t="s">
        <v>6984</v>
      </c>
      <c r="CDW6" t="s">
        <v>6984</v>
      </c>
      <c r="CDX6" t="s">
        <v>6984</v>
      </c>
      <c r="CDY6" t="s">
        <v>6984</v>
      </c>
      <c r="CDZ6" t="s">
        <v>6984</v>
      </c>
      <c r="CEA6" t="s">
        <v>6984</v>
      </c>
      <c r="CEB6" t="s">
        <v>6984</v>
      </c>
      <c r="CEC6" t="s">
        <v>6984</v>
      </c>
      <c r="CED6" t="s">
        <v>6984</v>
      </c>
      <c r="CEE6" t="s">
        <v>6984</v>
      </c>
      <c r="CEF6" t="s">
        <v>6984</v>
      </c>
      <c r="CEG6" t="s">
        <v>6984</v>
      </c>
      <c r="CEH6" t="s">
        <v>6984</v>
      </c>
      <c r="CEI6" t="s">
        <v>6984</v>
      </c>
      <c r="CEJ6" t="s">
        <v>6984</v>
      </c>
      <c r="CEK6" t="s">
        <v>6984</v>
      </c>
      <c r="CEL6" t="s">
        <v>6984</v>
      </c>
      <c r="CEM6" t="s">
        <v>6984</v>
      </c>
      <c r="CEN6" t="s">
        <v>6984</v>
      </c>
      <c r="CEO6" t="s">
        <v>6984</v>
      </c>
      <c r="CEP6" t="s">
        <v>6984</v>
      </c>
      <c r="CEQ6" t="s">
        <v>6984</v>
      </c>
      <c r="CER6" t="s">
        <v>6984</v>
      </c>
      <c r="CES6" t="s">
        <v>6984</v>
      </c>
      <c r="CET6" t="s">
        <v>6984</v>
      </c>
      <c r="CEU6" t="s">
        <v>6984</v>
      </c>
      <c r="CEV6" t="s">
        <v>6984</v>
      </c>
      <c r="CEW6" t="s">
        <v>6984</v>
      </c>
      <c r="CEX6" t="s">
        <v>6984</v>
      </c>
      <c r="CEY6" t="s">
        <v>6984</v>
      </c>
      <c r="CEZ6" t="s">
        <v>6984</v>
      </c>
      <c r="CFA6" t="s">
        <v>6984</v>
      </c>
      <c r="CFB6" t="s">
        <v>6984</v>
      </c>
      <c r="CFC6" t="s">
        <v>6984</v>
      </c>
      <c r="CFD6" t="s">
        <v>6984</v>
      </c>
      <c r="CFE6" t="s">
        <v>6984</v>
      </c>
      <c r="CFF6" t="s">
        <v>6984</v>
      </c>
      <c r="CFG6" t="s">
        <v>6984</v>
      </c>
      <c r="CFH6" t="s">
        <v>6984</v>
      </c>
      <c r="CFI6" t="s">
        <v>6984</v>
      </c>
      <c r="CFJ6" t="s">
        <v>6984</v>
      </c>
      <c r="CFK6" t="s">
        <v>6984</v>
      </c>
      <c r="CFL6" t="s">
        <v>6984</v>
      </c>
      <c r="CFM6" t="s">
        <v>6984</v>
      </c>
      <c r="CFN6" t="s">
        <v>6984</v>
      </c>
      <c r="CFO6" t="s">
        <v>6984</v>
      </c>
      <c r="CFP6" t="s">
        <v>6984</v>
      </c>
      <c r="CFQ6" t="s">
        <v>6984</v>
      </c>
      <c r="CFR6" t="s">
        <v>6984</v>
      </c>
      <c r="CFS6" t="s">
        <v>6984</v>
      </c>
      <c r="CFT6" t="s">
        <v>6984</v>
      </c>
      <c r="CFU6" t="s">
        <v>6984</v>
      </c>
      <c r="CFV6" t="s">
        <v>6984</v>
      </c>
      <c r="CFW6" t="s">
        <v>6984</v>
      </c>
      <c r="CFX6" t="s">
        <v>6984</v>
      </c>
      <c r="CFY6" t="s">
        <v>6984</v>
      </c>
      <c r="CFZ6" t="s">
        <v>6984</v>
      </c>
      <c r="CGA6" t="s">
        <v>6984</v>
      </c>
      <c r="CGB6" t="s">
        <v>6984</v>
      </c>
      <c r="CGC6" t="s">
        <v>6984</v>
      </c>
      <c r="CGD6" t="s">
        <v>6984</v>
      </c>
      <c r="CGE6" t="s">
        <v>6984</v>
      </c>
      <c r="CGF6" t="s">
        <v>6984</v>
      </c>
      <c r="CGG6" t="s">
        <v>6984</v>
      </c>
      <c r="CGH6" t="s">
        <v>6984</v>
      </c>
      <c r="CGI6" t="s">
        <v>6984</v>
      </c>
      <c r="CGJ6" t="s">
        <v>6984</v>
      </c>
      <c r="CGK6" t="s">
        <v>6984</v>
      </c>
      <c r="CGL6" t="s">
        <v>6984</v>
      </c>
      <c r="CGM6" t="s">
        <v>6984</v>
      </c>
      <c r="CGN6" t="s">
        <v>6984</v>
      </c>
      <c r="CGO6" t="s">
        <v>6984</v>
      </c>
      <c r="CGP6" t="s">
        <v>6984</v>
      </c>
      <c r="CGQ6" t="s">
        <v>6984</v>
      </c>
      <c r="CGR6" t="s">
        <v>6984</v>
      </c>
      <c r="CGS6" t="s">
        <v>6984</v>
      </c>
      <c r="CGT6" t="s">
        <v>6984</v>
      </c>
      <c r="CGU6" t="s">
        <v>6984</v>
      </c>
      <c r="CGV6" t="s">
        <v>6984</v>
      </c>
      <c r="CGW6" t="s">
        <v>6984</v>
      </c>
      <c r="CGX6" t="s">
        <v>6984</v>
      </c>
      <c r="CGY6" t="s">
        <v>6984</v>
      </c>
      <c r="CGZ6" t="s">
        <v>6984</v>
      </c>
      <c r="CHA6" t="s">
        <v>6984</v>
      </c>
      <c r="CHB6" t="s">
        <v>6984</v>
      </c>
      <c r="CHC6" t="s">
        <v>6984</v>
      </c>
      <c r="CHD6" t="s">
        <v>6984</v>
      </c>
      <c r="CHE6" t="s">
        <v>6984</v>
      </c>
      <c r="CHF6" t="s">
        <v>6984</v>
      </c>
      <c r="CHG6" t="s">
        <v>6984</v>
      </c>
      <c r="CHH6" t="s">
        <v>6984</v>
      </c>
      <c r="CHI6" t="s">
        <v>6984</v>
      </c>
      <c r="CHJ6" t="s">
        <v>6984</v>
      </c>
      <c r="CHK6" t="s">
        <v>6984</v>
      </c>
      <c r="CHL6" t="s">
        <v>6984</v>
      </c>
      <c r="CHM6" t="s">
        <v>6984</v>
      </c>
      <c r="CHN6" t="s">
        <v>6984</v>
      </c>
      <c r="CHO6" t="s">
        <v>6984</v>
      </c>
      <c r="CHP6" t="s">
        <v>6984</v>
      </c>
      <c r="CHQ6" t="s">
        <v>6984</v>
      </c>
      <c r="CHR6" t="s">
        <v>6984</v>
      </c>
      <c r="CHS6" t="s">
        <v>6984</v>
      </c>
      <c r="CHT6" t="s">
        <v>6984</v>
      </c>
      <c r="CHU6" t="s">
        <v>6984</v>
      </c>
      <c r="CHV6" t="s">
        <v>6984</v>
      </c>
      <c r="CHW6" t="s">
        <v>6984</v>
      </c>
      <c r="CHX6" t="s">
        <v>6984</v>
      </c>
      <c r="CHY6" t="s">
        <v>6984</v>
      </c>
      <c r="CHZ6" t="s">
        <v>6984</v>
      </c>
      <c r="CIA6" t="s">
        <v>6984</v>
      </c>
      <c r="CIB6" t="s">
        <v>6984</v>
      </c>
      <c r="CIC6" t="s">
        <v>6984</v>
      </c>
      <c r="CID6" t="s">
        <v>6984</v>
      </c>
      <c r="CIE6" t="s">
        <v>6984</v>
      </c>
      <c r="CIF6" t="s">
        <v>6984</v>
      </c>
      <c r="CIG6" t="s">
        <v>6984</v>
      </c>
      <c r="CIH6" t="s">
        <v>6984</v>
      </c>
      <c r="CII6" t="s">
        <v>6984</v>
      </c>
      <c r="CIJ6" t="s">
        <v>6984</v>
      </c>
      <c r="CIK6" t="s">
        <v>6984</v>
      </c>
      <c r="CIL6" t="s">
        <v>6984</v>
      </c>
      <c r="CIM6" t="s">
        <v>6984</v>
      </c>
      <c r="CIN6" t="s">
        <v>6984</v>
      </c>
      <c r="CIO6" t="s">
        <v>6984</v>
      </c>
      <c r="CIP6" t="s">
        <v>6984</v>
      </c>
      <c r="CIQ6" t="s">
        <v>6984</v>
      </c>
      <c r="CIR6" t="s">
        <v>6984</v>
      </c>
      <c r="CIS6" t="s">
        <v>6984</v>
      </c>
      <c r="CIT6" t="s">
        <v>6984</v>
      </c>
      <c r="CIU6" t="s">
        <v>6984</v>
      </c>
      <c r="CIV6" t="s">
        <v>6984</v>
      </c>
      <c r="CIW6" t="s">
        <v>6984</v>
      </c>
      <c r="CIX6" t="s">
        <v>6984</v>
      </c>
      <c r="CIY6" t="s">
        <v>6984</v>
      </c>
      <c r="CIZ6" t="s">
        <v>6984</v>
      </c>
      <c r="CJA6" t="s">
        <v>6984</v>
      </c>
      <c r="CJB6" t="s">
        <v>6984</v>
      </c>
      <c r="CJC6" t="s">
        <v>6984</v>
      </c>
      <c r="CJD6" t="s">
        <v>6984</v>
      </c>
      <c r="CJE6" t="s">
        <v>6984</v>
      </c>
      <c r="CJF6" t="s">
        <v>6984</v>
      </c>
      <c r="CJG6" t="s">
        <v>6984</v>
      </c>
      <c r="CJH6" t="s">
        <v>6984</v>
      </c>
      <c r="CJI6" t="s">
        <v>6984</v>
      </c>
      <c r="CJJ6" t="s">
        <v>6984</v>
      </c>
      <c r="CJK6" t="s">
        <v>6984</v>
      </c>
      <c r="CJL6" t="s">
        <v>6984</v>
      </c>
      <c r="CJM6" t="s">
        <v>6984</v>
      </c>
      <c r="CJN6" t="s">
        <v>6984</v>
      </c>
      <c r="CJO6" t="s">
        <v>6984</v>
      </c>
      <c r="CJP6" t="s">
        <v>6984</v>
      </c>
      <c r="CJQ6" t="s">
        <v>6984</v>
      </c>
      <c r="CJR6" t="s">
        <v>6984</v>
      </c>
      <c r="CJS6" t="s">
        <v>6984</v>
      </c>
      <c r="CJT6" t="s">
        <v>6984</v>
      </c>
      <c r="CJU6" t="s">
        <v>6984</v>
      </c>
      <c r="CJV6" t="s">
        <v>6984</v>
      </c>
      <c r="CJW6" t="s">
        <v>6984</v>
      </c>
      <c r="CJX6" t="s">
        <v>6984</v>
      </c>
      <c r="CJY6" t="s">
        <v>6984</v>
      </c>
      <c r="CJZ6" t="s">
        <v>6984</v>
      </c>
      <c r="CKA6" t="s">
        <v>6984</v>
      </c>
      <c r="CKB6" t="s">
        <v>6984</v>
      </c>
      <c r="CKC6" t="s">
        <v>6984</v>
      </c>
      <c r="CKD6" t="s">
        <v>6984</v>
      </c>
      <c r="CKE6" t="s">
        <v>6984</v>
      </c>
      <c r="CKF6" t="s">
        <v>6984</v>
      </c>
      <c r="CKG6" t="s">
        <v>6984</v>
      </c>
      <c r="CKH6" t="s">
        <v>6984</v>
      </c>
      <c r="CKI6" t="s">
        <v>6984</v>
      </c>
      <c r="CKJ6" t="s">
        <v>6984</v>
      </c>
      <c r="CKK6" t="s">
        <v>6984</v>
      </c>
      <c r="CKL6" t="s">
        <v>6984</v>
      </c>
      <c r="CKM6" t="s">
        <v>6984</v>
      </c>
      <c r="CKN6" t="s">
        <v>6984</v>
      </c>
      <c r="CKO6" t="s">
        <v>6984</v>
      </c>
      <c r="CKP6" t="s">
        <v>6984</v>
      </c>
      <c r="CKQ6" t="s">
        <v>6984</v>
      </c>
      <c r="CKR6" t="s">
        <v>6984</v>
      </c>
      <c r="CKS6" t="s">
        <v>6984</v>
      </c>
      <c r="CKT6" t="s">
        <v>6984</v>
      </c>
      <c r="CKU6" t="s">
        <v>6984</v>
      </c>
      <c r="CKV6" t="s">
        <v>6984</v>
      </c>
      <c r="CKW6" t="s">
        <v>6984</v>
      </c>
      <c r="CKX6" t="s">
        <v>6984</v>
      </c>
      <c r="CKY6" t="s">
        <v>6984</v>
      </c>
      <c r="CKZ6" t="s">
        <v>6984</v>
      </c>
      <c r="CLA6" t="s">
        <v>6984</v>
      </c>
      <c r="CLB6" t="s">
        <v>6984</v>
      </c>
      <c r="CLC6" t="s">
        <v>6984</v>
      </c>
      <c r="CLD6" t="s">
        <v>6984</v>
      </c>
      <c r="CLE6" t="s">
        <v>6984</v>
      </c>
      <c r="CLF6" t="s">
        <v>6984</v>
      </c>
      <c r="CLG6" t="s">
        <v>6984</v>
      </c>
      <c r="CLH6" t="s">
        <v>6984</v>
      </c>
      <c r="CLI6" t="s">
        <v>6984</v>
      </c>
      <c r="CLJ6" t="s">
        <v>6984</v>
      </c>
      <c r="CLK6" t="s">
        <v>6984</v>
      </c>
      <c r="CLL6" t="s">
        <v>6984</v>
      </c>
      <c r="CLM6" t="s">
        <v>6984</v>
      </c>
      <c r="CLN6" t="s">
        <v>6984</v>
      </c>
      <c r="CLO6" t="s">
        <v>6984</v>
      </c>
      <c r="CLP6" t="s">
        <v>6984</v>
      </c>
      <c r="CLQ6" t="s">
        <v>6984</v>
      </c>
      <c r="CLR6" t="s">
        <v>6984</v>
      </c>
      <c r="CLS6" t="s">
        <v>6984</v>
      </c>
      <c r="CLT6" t="s">
        <v>6984</v>
      </c>
      <c r="CLU6" t="s">
        <v>6984</v>
      </c>
      <c r="CLV6" t="s">
        <v>6984</v>
      </c>
      <c r="CLW6" t="s">
        <v>6984</v>
      </c>
      <c r="CLX6" t="s">
        <v>6984</v>
      </c>
      <c r="CLY6" t="s">
        <v>6984</v>
      </c>
      <c r="CLZ6" t="s">
        <v>6984</v>
      </c>
      <c r="CMA6" t="s">
        <v>6984</v>
      </c>
      <c r="CMB6" t="s">
        <v>6984</v>
      </c>
      <c r="CMC6" t="s">
        <v>6984</v>
      </c>
      <c r="CMD6" t="s">
        <v>6984</v>
      </c>
      <c r="CME6" t="s">
        <v>6984</v>
      </c>
      <c r="CMF6" t="s">
        <v>6984</v>
      </c>
      <c r="CMG6" t="s">
        <v>6984</v>
      </c>
      <c r="CMH6" t="s">
        <v>6984</v>
      </c>
      <c r="CMI6" t="s">
        <v>6984</v>
      </c>
      <c r="CMJ6" t="s">
        <v>6984</v>
      </c>
      <c r="CMK6" t="s">
        <v>6984</v>
      </c>
      <c r="CML6" t="s">
        <v>6984</v>
      </c>
      <c r="CMM6" t="s">
        <v>6984</v>
      </c>
      <c r="CMN6" t="s">
        <v>6984</v>
      </c>
      <c r="CMO6" t="s">
        <v>6984</v>
      </c>
      <c r="CMP6" t="s">
        <v>6984</v>
      </c>
      <c r="CMQ6" t="s">
        <v>6984</v>
      </c>
      <c r="CMR6" t="s">
        <v>6984</v>
      </c>
      <c r="CMS6" t="s">
        <v>6984</v>
      </c>
      <c r="CMT6" t="s">
        <v>6984</v>
      </c>
      <c r="CMU6" t="s">
        <v>6984</v>
      </c>
      <c r="CMV6" t="s">
        <v>6984</v>
      </c>
      <c r="CMW6" t="s">
        <v>6984</v>
      </c>
      <c r="CMX6" t="s">
        <v>6984</v>
      </c>
      <c r="CMY6" t="s">
        <v>6984</v>
      </c>
      <c r="CMZ6" t="s">
        <v>6984</v>
      </c>
      <c r="CNA6" t="s">
        <v>6984</v>
      </c>
      <c r="CNB6" t="s">
        <v>6984</v>
      </c>
      <c r="CNC6" t="s">
        <v>6984</v>
      </c>
      <c r="CND6" t="s">
        <v>6984</v>
      </c>
      <c r="CNE6" t="s">
        <v>6984</v>
      </c>
      <c r="CNF6" t="s">
        <v>6984</v>
      </c>
      <c r="CNG6" t="s">
        <v>6984</v>
      </c>
      <c r="CNH6" t="s">
        <v>6984</v>
      </c>
      <c r="CNI6" t="s">
        <v>6984</v>
      </c>
      <c r="CNJ6" t="s">
        <v>6984</v>
      </c>
      <c r="CNK6" t="s">
        <v>6984</v>
      </c>
      <c r="CNL6" t="s">
        <v>6984</v>
      </c>
      <c r="CNM6" t="s">
        <v>6984</v>
      </c>
      <c r="CNN6" t="s">
        <v>6984</v>
      </c>
      <c r="CNO6" t="s">
        <v>6984</v>
      </c>
      <c r="CNP6" t="s">
        <v>6984</v>
      </c>
      <c r="CNQ6" t="s">
        <v>6984</v>
      </c>
      <c r="CNR6" t="s">
        <v>6984</v>
      </c>
      <c r="CNS6" t="s">
        <v>6984</v>
      </c>
      <c r="CNT6" t="s">
        <v>6984</v>
      </c>
      <c r="CNU6" t="s">
        <v>6984</v>
      </c>
      <c r="CNV6" t="s">
        <v>6984</v>
      </c>
      <c r="CNW6" t="s">
        <v>6984</v>
      </c>
      <c r="CNX6" t="s">
        <v>6984</v>
      </c>
      <c r="CNY6" t="s">
        <v>6984</v>
      </c>
      <c r="CNZ6" t="s">
        <v>6984</v>
      </c>
      <c r="COA6" t="s">
        <v>6984</v>
      </c>
      <c r="COB6" t="s">
        <v>6984</v>
      </c>
      <c r="COC6" t="s">
        <v>6984</v>
      </c>
      <c r="COD6" t="s">
        <v>6984</v>
      </c>
      <c r="COE6" t="s">
        <v>6984</v>
      </c>
      <c r="COF6" t="s">
        <v>6984</v>
      </c>
      <c r="COG6" t="s">
        <v>6984</v>
      </c>
      <c r="COH6" t="s">
        <v>6984</v>
      </c>
      <c r="COI6" t="s">
        <v>6984</v>
      </c>
      <c r="COJ6" t="s">
        <v>6984</v>
      </c>
      <c r="COK6" t="s">
        <v>6984</v>
      </c>
      <c r="COL6" t="s">
        <v>6984</v>
      </c>
      <c r="COM6" t="s">
        <v>6984</v>
      </c>
      <c r="CON6" t="s">
        <v>6984</v>
      </c>
      <c r="COO6" t="s">
        <v>6984</v>
      </c>
      <c r="COP6" t="s">
        <v>6984</v>
      </c>
      <c r="COQ6" t="s">
        <v>6984</v>
      </c>
      <c r="COR6" t="s">
        <v>6984</v>
      </c>
      <c r="COS6" t="s">
        <v>6984</v>
      </c>
      <c r="COT6" t="s">
        <v>6984</v>
      </c>
      <c r="COU6" t="s">
        <v>6984</v>
      </c>
      <c r="COV6" t="s">
        <v>6984</v>
      </c>
      <c r="COW6" t="s">
        <v>6984</v>
      </c>
      <c r="COX6" t="s">
        <v>6984</v>
      </c>
      <c r="COY6" t="s">
        <v>6984</v>
      </c>
      <c r="COZ6" t="s">
        <v>6984</v>
      </c>
      <c r="CPA6" t="s">
        <v>6984</v>
      </c>
      <c r="CPB6" t="s">
        <v>6984</v>
      </c>
      <c r="CPC6" t="s">
        <v>6984</v>
      </c>
      <c r="CPD6" t="s">
        <v>6984</v>
      </c>
      <c r="CPE6" t="s">
        <v>6984</v>
      </c>
      <c r="CPF6" t="s">
        <v>6984</v>
      </c>
      <c r="CPG6" t="s">
        <v>6984</v>
      </c>
      <c r="CPH6" t="s">
        <v>6984</v>
      </c>
      <c r="CPI6" t="s">
        <v>6984</v>
      </c>
      <c r="CPJ6" t="s">
        <v>6984</v>
      </c>
      <c r="CPK6" t="s">
        <v>6984</v>
      </c>
      <c r="CPL6" t="s">
        <v>6984</v>
      </c>
      <c r="CPM6" t="s">
        <v>6984</v>
      </c>
      <c r="CPN6" t="s">
        <v>6984</v>
      </c>
      <c r="CPO6" t="s">
        <v>6984</v>
      </c>
      <c r="CPP6" t="s">
        <v>6984</v>
      </c>
      <c r="CPQ6" t="s">
        <v>6984</v>
      </c>
      <c r="CPR6" t="s">
        <v>6984</v>
      </c>
      <c r="CPS6" t="s">
        <v>6984</v>
      </c>
      <c r="CPT6" t="s">
        <v>6984</v>
      </c>
      <c r="CPU6" t="s">
        <v>6984</v>
      </c>
      <c r="CPV6" t="s">
        <v>6984</v>
      </c>
      <c r="CPW6" t="s">
        <v>6984</v>
      </c>
      <c r="CPX6" t="s">
        <v>6984</v>
      </c>
      <c r="CPY6" t="s">
        <v>6984</v>
      </c>
      <c r="CPZ6" t="s">
        <v>6984</v>
      </c>
      <c r="CQA6" t="s">
        <v>6984</v>
      </c>
      <c r="CQB6" t="s">
        <v>6984</v>
      </c>
      <c r="CQC6" t="s">
        <v>6984</v>
      </c>
      <c r="CQD6" t="s">
        <v>6984</v>
      </c>
      <c r="CQE6" t="s">
        <v>6984</v>
      </c>
      <c r="CQF6" t="s">
        <v>6984</v>
      </c>
      <c r="CQG6" t="s">
        <v>6984</v>
      </c>
      <c r="CQH6" t="s">
        <v>6984</v>
      </c>
      <c r="CQI6" t="s">
        <v>6984</v>
      </c>
      <c r="CQJ6" t="s">
        <v>6984</v>
      </c>
      <c r="CQK6" t="s">
        <v>6984</v>
      </c>
      <c r="CQL6" t="s">
        <v>6984</v>
      </c>
      <c r="CQM6" t="s">
        <v>6984</v>
      </c>
      <c r="CQN6" t="s">
        <v>6984</v>
      </c>
      <c r="CQO6" t="s">
        <v>6984</v>
      </c>
      <c r="CQP6" t="s">
        <v>6984</v>
      </c>
      <c r="CQQ6" t="s">
        <v>6984</v>
      </c>
      <c r="CQR6" t="s">
        <v>6984</v>
      </c>
      <c r="CQS6" t="s">
        <v>6984</v>
      </c>
      <c r="CQT6" t="s">
        <v>6984</v>
      </c>
      <c r="CQU6" t="s">
        <v>6984</v>
      </c>
      <c r="CQV6" t="s">
        <v>6984</v>
      </c>
      <c r="CQW6" t="s">
        <v>6984</v>
      </c>
      <c r="CQX6" t="s">
        <v>6984</v>
      </c>
      <c r="CQY6" t="s">
        <v>6984</v>
      </c>
      <c r="CQZ6" t="s">
        <v>6984</v>
      </c>
      <c r="CRA6" t="s">
        <v>6984</v>
      </c>
      <c r="CRB6" t="s">
        <v>6984</v>
      </c>
      <c r="CRC6" t="s">
        <v>6984</v>
      </c>
      <c r="CRD6" t="s">
        <v>6984</v>
      </c>
      <c r="CRE6" t="s">
        <v>6984</v>
      </c>
      <c r="CRF6" t="s">
        <v>6984</v>
      </c>
      <c r="CRG6" t="s">
        <v>6984</v>
      </c>
      <c r="CRH6" t="s">
        <v>6984</v>
      </c>
      <c r="CRI6" t="s">
        <v>6984</v>
      </c>
      <c r="CRJ6" t="s">
        <v>6984</v>
      </c>
      <c r="CRK6" t="s">
        <v>6984</v>
      </c>
      <c r="CRL6" t="s">
        <v>6984</v>
      </c>
      <c r="CRM6" t="s">
        <v>6984</v>
      </c>
      <c r="CRN6" t="s">
        <v>6984</v>
      </c>
      <c r="CRO6" t="s">
        <v>6984</v>
      </c>
      <c r="CRP6" t="s">
        <v>6984</v>
      </c>
      <c r="CRQ6" t="s">
        <v>6984</v>
      </c>
      <c r="CRR6" t="s">
        <v>6984</v>
      </c>
      <c r="CRS6" t="s">
        <v>6984</v>
      </c>
      <c r="CRT6" t="s">
        <v>6984</v>
      </c>
      <c r="CRU6" t="s">
        <v>6984</v>
      </c>
      <c r="CRV6" t="s">
        <v>6984</v>
      </c>
      <c r="CRW6" t="s">
        <v>6984</v>
      </c>
      <c r="CRX6" t="s">
        <v>6984</v>
      </c>
      <c r="CRY6" t="s">
        <v>6984</v>
      </c>
      <c r="CRZ6" t="s">
        <v>6984</v>
      </c>
      <c r="CSA6" t="s">
        <v>6984</v>
      </c>
      <c r="CSB6" t="s">
        <v>6984</v>
      </c>
      <c r="CSC6" t="s">
        <v>6984</v>
      </c>
      <c r="CSD6" t="s">
        <v>6984</v>
      </c>
      <c r="CSE6" t="s">
        <v>6984</v>
      </c>
      <c r="CSF6" t="s">
        <v>6984</v>
      </c>
      <c r="CSG6" t="s">
        <v>6984</v>
      </c>
      <c r="CSH6" t="s">
        <v>6984</v>
      </c>
      <c r="CSI6" t="s">
        <v>6984</v>
      </c>
      <c r="CSJ6" t="s">
        <v>6984</v>
      </c>
      <c r="CSK6" t="s">
        <v>6984</v>
      </c>
      <c r="CSL6" t="s">
        <v>6984</v>
      </c>
      <c r="CSM6" t="s">
        <v>6984</v>
      </c>
      <c r="CSN6" t="s">
        <v>6984</v>
      </c>
      <c r="CSO6" t="s">
        <v>6984</v>
      </c>
      <c r="CSP6" t="s">
        <v>6984</v>
      </c>
      <c r="CSQ6" t="s">
        <v>6984</v>
      </c>
      <c r="CSR6" t="s">
        <v>6984</v>
      </c>
      <c r="CSS6" t="s">
        <v>6984</v>
      </c>
      <c r="CST6" t="s">
        <v>6984</v>
      </c>
      <c r="CSU6" t="s">
        <v>6984</v>
      </c>
      <c r="CSV6" t="s">
        <v>6984</v>
      </c>
      <c r="CSW6" t="s">
        <v>6984</v>
      </c>
      <c r="CSX6" t="s">
        <v>6984</v>
      </c>
      <c r="CSY6" t="s">
        <v>6984</v>
      </c>
      <c r="CSZ6" t="s">
        <v>6984</v>
      </c>
      <c r="CTA6" t="s">
        <v>6984</v>
      </c>
      <c r="CTB6" t="s">
        <v>6984</v>
      </c>
      <c r="CTC6" t="s">
        <v>6984</v>
      </c>
      <c r="CTD6" t="s">
        <v>6984</v>
      </c>
      <c r="CTE6" t="s">
        <v>6984</v>
      </c>
      <c r="CTF6" t="s">
        <v>6984</v>
      </c>
      <c r="CTG6" t="s">
        <v>6984</v>
      </c>
      <c r="CTH6" t="s">
        <v>6984</v>
      </c>
      <c r="CTI6" t="s">
        <v>6984</v>
      </c>
      <c r="CTJ6" t="s">
        <v>6984</v>
      </c>
      <c r="CTK6" t="s">
        <v>6984</v>
      </c>
      <c r="CTL6" t="s">
        <v>6984</v>
      </c>
      <c r="CTM6" t="s">
        <v>6984</v>
      </c>
      <c r="CTN6" t="s">
        <v>6984</v>
      </c>
      <c r="CTO6" t="s">
        <v>6984</v>
      </c>
      <c r="CTP6" t="s">
        <v>6984</v>
      </c>
      <c r="CTQ6" t="s">
        <v>6984</v>
      </c>
      <c r="CTR6" t="s">
        <v>6984</v>
      </c>
      <c r="CTS6" t="s">
        <v>6984</v>
      </c>
      <c r="CTT6" t="s">
        <v>6984</v>
      </c>
      <c r="CTU6" t="s">
        <v>6984</v>
      </c>
      <c r="CTV6" t="s">
        <v>6984</v>
      </c>
      <c r="CTW6" t="s">
        <v>6984</v>
      </c>
      <c r="CTX6" t="s">
        <v>6984</v>
      </c>
      <c r="CTY6" t="s">
        <v>6984</v>
      </c>
      <c r="CTZ6" t="s">
        <v>6984</v>
      </c>
      <c r="CUA6" t="s">
        <v>6984</v>
      </c>
      <c r="CUB6" t="s">
        <v>6984</v>
      </c>
      <c r="CUC6" t="s">
        <v>6984</v>
      </c>
      <c r="CUD6" t="s">
        <v>6984</v>
      </c>
      <c r="CUE6" t="s">
        <v>6984</v>
      </c>
      <c r="CUF6" t="s">
        <v>6984</v>
      </c>
      <c r="CUG6" t="s">
        <v>6984</v>
      </c>
      <c r="CUH6" t="s">
        <v>6984</v>
      </c>
      <c r="CUI6" t="s">
        <v>6984</v>
      </c>
      <c r="CUJ6" t="s">
        <v>6984</v>
      </c>
      <c r="CUK6" t="s">
        <v>6984</v>
      </c>
      <c r="CUL6" t="s">
        <v>6984</v>
      </c>
      <c r="CUM6" t="s">
        <v>6984</v>
      </c>
      <c r="CUN6" t="s">
        <v>6984</v>
      </c>
      <c r="CUO6" t="s">
        <v>6984</v>
      </c>
      <c r="CUP6" t="s">
        <v>6984</v>
      </c>
      <c r="CUQ6" t="s">
        <v>6984</v>
      </c>
      <c r="CUR6" t="s">
        <v>6984</v>
      </c>
      <c r="CUS6" t="s">
        <v>6984</v>
      </c>
      <c r="CUT6" t="s">
        <v>6984</v>
      </c>
      <c r="CUU6" t="s">
        <v>6984</v>
      </c>
      <c r="CUV6" t="s">
        <v>6984</v>
      </c>
      <c r="CUW6" t="s">
        <v>6984</v>
      </c>
      <c r="CUX6" t="s">
        <v>6984</v>
      </c>
      <c r="CUY6" t="s">
        <v>6984</v>
      </c>
      <c r="CUZ6" t="s">
        <v>6984</v>
      </c>
      <c r="CVA6" t="s">
        <v>6984</v>
      </c>
      <c r="CVB6" t="s">
        <v>6984</v>
      </c>
      <c r="CVC6" t="s">
        <v>6984</v>
      </c>
      <c r="CVD6" t="s">
        <v>6984</v>
      </c>
      <c r="CVE6" t="s">
        <v>6984</v>
      </c>
      <c r="CVF6" t="s">
        <v>6984</v>
      </c>
      <c r="CVG6" t="s">
        <v>6984</v>
      </c>
      <c r="CVH6" t="s">
        <v>6984</v>
      </c>
      <c r="CVI6" t="s">
        <v>6984</v>
      </c>
      <c r="CVJ6" t="s">
        <v>6984</v>
      </c>
      <c r="CVK6" t="s">
        <v>6984</v>
      </c>
      <c r="CVL6" t="s">
        <v>6984</v>
      </c>
      <c r="CVM6" t="s">
        <v>6984</v>
      </c>
      <c r="CVN6" t="s">
        <v>6984</v>
      </c>
      <c r="CVO6" t="s">
        <v>6984</v>
      </c>
      <c r="CVP6" t="s">
        <v>6984</v>
      </c>
      <c r="CVQ6" t="s">
        <v>6984</v>
      </c>
      <c r="CVR6" t="s">
        <v>6984</v>
      </c>
      <c r="CVS6" t="s">
        <v>6984</v>
      </c>
      <c r="CVT6" t="s">
        <v>6984</v>
      </c>
      <c r="CVU6" t="s">
        <v>6984</v>
      </c>
      <c r="CVV6" t="s">
        <v>6984</v>
      </c>
      <c r="CVW6" t="s">
        <v>6984</v>
      </c>
      <c r="CVX6" t="s">
        <v>6984</v>
      </c>
      <c r="CVY6" t="s">
        <v>6984</v>
      </c>
      <c r="CVZ6" t="s">
        <v>6984</v>
      </c>
      <c r="CWA6" t="s">
        <v>6984</v>
      </c>
      <c r="CWB6" t="s">
        <v>6984</v>
      </c>
      <c r="CWC6" t="s">
        <v>6984</v>
      </c>
      <c r="CWD6" t="s">
        <v>6984</v>
      </c>
      <c r="CWE6" t="s">
        <v>6984</v>
      </c>
      <c r="CWF6" t="s">
        <v>6984</v>
      </c>
      <c r="CWG6" t="s">
        <v>6984</v>
      </c>
      <c r="CWH6" t="s">
        <v>6984</v>
      </c>
      <c r="CWI6" t="s">
        <v>6984</v>
      </c>
      <c r="CWJ6" t="s">
        <v>6984</v>
      </c>
      <c r="CWK6" t="s">
        <v>6984</v>
      </c>
      <c r="CWL6" t="s">
        <v>6984</v>
      </c>
      <c r="CWM6" t="s">
        <v>6984</v>
      </c>
      <c r="CWN6" t="s">
        <v>6984</v>
      </c>
      <c r="CWO6" t="s">
        <v>6984</v>
      </c>
      <c r="CWP6" t="s">
        <v>6984</v>
      </c>
      <c r="CWQ6" t="s">
        <v>6984</v>
      </c>
      <c r="CWR6" t="s">
        <v>6984</v>
      </c>
      <c r="CWS6" t="s">
        <v>6984</v>
      </c>
      <c r="CWT6" t="s">
        <v>6984</v>
      </c>
      <c r="CWU6" t="s">
        <v>6984</v>
      </c>
      <c r="CWV6" t="s">
        <v>6984</v>
      </c>
      <c r="CWW6" t="s">
        <v>6984</v>
      </c>
      <c r="CWX6" t="s">
        <v>6984</v>
      </c>
      <c r="CWY6" t="s">
        <v>6984</v>
      </c>
      <c r="CWZ6" t="s">
        <v>6984</v>
      </c>
      <c r="CXA6" t="s">
        <v>6984</v>
      </c>
      <c r="CXB6" t="s">
        <v>6984</v>
      </c>
      <c r="CXC6" t="s">
        <v>6984</v>
      </c>
      <c r="CXD6" t="s">
        <v>6984</v>
      </c>
      <c r="CXE6" t="s">
        <v>6984</v>
      </c>
      <c r="CXF6" t="s">
        <v>6984</v>
      </c>
      <c r="CXG6" t="s">
        <v>6984</v>
      </c>
      <c r="CXH6" t="s">
        <v>6984</v>
      </c>
      <c r="CXI6" t="s">
        <v>6984</v>
      </c>
      <c r="CXJ6" t="s">
        <v>6984</v>
      </c>
      <c r="CXK6" t="s">
        <v>6984</v>
      </c>
      <c r="CXL6" t="s">
        <v>6984</v>
      </c>
      <c r="CXM6" t="s">
        <v>6984</v>
      </c>
      <c r="CXN6" t="s">
        <v>6984</v>
      </c>
      <c r="CXO6" t="s">
        <v>6984</v>
      </c>
      <c r="CXP6" t="s">
        <v>6984</v>
      </c>
      <c r="CXQ6" t="s">
        <v>6984</v>
      </c>
      <c r="CXR6" t="s">
        <v>6984</v>
      </c>
      <c r="CXS6" t="s">
        <v>6984</v>
      </c>
      <c r="CXT6" t="s">
        <v>6984</v>
      </c>
      <c r="CXU6" t="s">
        <v>6984</v>
      </c>
      <c r="CXV6" t="s">
        <v>6984</v>
      </c>
      <c r="CXW6" t="s">
        <v>6984</v>
      </c>
      <c r="CXX6" t="s">
        <v>6984</v>
      </c>
      <c r="CXY6" t="s">
        <v>6984</v>
      </c>
      <c r="CXZ6" t="s">
        <v>6984</v>
      </c>
      <c r="CYA6" t="s">
        <v>6984</v>
      </c>
      <c r="CYB6" t="s">
        <v>6984</v>
      </c>
      <c r="CYC6" t="s">
        <v>6984</v>
      </c>
      <c r="CYD6" t="s">
        <v>6984</v>
      </c>
      <c r="CYE6" t="s">
        <v>6984</v>
      </c>
      <c r="CYF6" t="s">
        <v>6984</v>
      </c>
      <c r="CYG6" t="s">
        <v>6984</v>
      </c>
      <c r="CYH6" t="s">
        <v>6984</v>
      </c>
      <c r="CYI6" t="s">
        <v>6984</v>
      </c>
      <c r="CYJ6" t="s">
        <v>6984</v>
      </c>
      <c r="CYK6" t="s">
        <v>6984</v>
      </c>
      <c r="CYL6" t="s">
        <v>6984</v>
      </c>
      <c r="CYM6" t="s">
        <v>6984</v>
      </c>
      <c r="CYN6" t="s">
        <v>6984</v>
      </c>
      <c r="CYO6" t="s">
        <v>6984</v>
      </c>
      <c r="CYP6" t="s">
        <v>6984</v>
      </c>
      <c r="CYQ6" t="s">
        <v>6984</v>
      </c>
      <c r="CYR6" t="s">
        <v>6984</v>
      </c>
      <c r="CYS6" t="s">
        <v>6984</v>
      </c>
      <c r="CYT6" t="s">
        <v>6984</v>
      </c>
      <c r="CYU6" t="s">
        <v>6984</v>
      </c>
      <c r="CYV6" t="s">
        <v>6984</v>
      </c>
      <c r="CYW6" t="s">
        <v>6984</v>
      </c>
      <c r="CYX6" t="s">
        <v>6984</v>
      </c>
      <c r="CYY6" t="s">
        <v>6984</v>
      </c>
      <c r="CYZ6" t="s">
        <v>6984</v>
      </c>
      <c r="CZA6" t="s">
        <v>6984</v>
      </c>
      <c r="CZB6" t="s">
        <v>6984</v>
      </c>
      <c r="CZC6" t="s">
        <v>6984</v>
      </c>
      <c r="CZD6" t="s">
        <v>6984</v>
      </c>
      <c r="CZE6" t="s">
        <v>6984</v>
      </c>
      <c r="CZF6" t="s">
        <v>6984</v>
      </c>
      <c r="CZG6" t="s">
        <v>6984</v>
      </c>
      <c r="CZH6" t="s">
        <v>6984</v>
      </c>
      <c r="CZI6" t="s">
        <v>6984</v>
      </c>
      <c r="CZJ6" t="s">
        <v>6984</v>
      </c>
      <c r="CZK6" t="s">
        <v>6984</v>
      </c>
      <c r="CZL6" t="s">
        <v>6984</v>
      </c>
      <c r="CZM6" t="s">
        <v>6984</v>
      </c>
      <c r="CZN6" t="s">
        <v>6984</v>
      </c>
      <c r="CZO6" t="s">
        <v>6984</v>
      </c>
      <c r="CZP6" t="s">
        <v>6984</v>
      </c>
      <c r="CZQ6" t="s">
        <v>6984</v>
      </c>
      <c r="CZR6" t="s">
        <v>6984</v>
      </c>
      <c r="CZS6" t="s">
        <v>6984</v>
      </c>
      <c r="CZT6" t="s">
        <v>6984</v>
      </c>
      <c r="CZU6" t="s">
        <v>6984</v>
      </c>
      <c r="CZV6" t="s">
        <v>6984</v>
      </c>
      <c r="CZW6" t="s">
        <v>6984</v>
      </c>
      <c r="CZX6" t="s">
        <v>6984</v>
      </c>
      <c r="CZY6" t="s">
        <v>6984</v>
      </c>
      <c r="CZZ6" t="s">
        <v>6984</v>
      </c>
      <c r="DAA6" t="s">
        <v>6984</v>
      </c>
      <c r="DAB6" t="s">
        <v>6984</v>
      </c>
      <c r="DAC6" t="s">
        <v>6984</v>
      </c>
      <c r="DAD6" t="s">
        <v>6984</v>
      </c>
      <c r="DAE6" t="s">
        <v>6984</v>
      </c>
      <c r="DAF6" t="s">
        <v>6984</v>
      </c>
      <c r="DAG6" t="s">
        <v>6984</v>
      </c>
      <c r="DAH6" t="s">
        <v>6984</v>
      </c>
      <c r="DAI6" t="s">
        <v>6984</v>
      </c>
      <c r="DAJ6" t="s">
        <v>6984</v>
      </c>
      <c r="DAK6" t="s">
        <v>6984</v>
      </c>
      <c r="DAL6" t="s">
        <v>6984</v>
      </c>
      <c r="DAM6" t="s">
        <v>6984</v>
      </c>
      <c r="DAN6" t="s">
        <v>6984</v>
      </c>
      <c r="DAO6" t="s">
        <v>6984</v>
      </c>
      <c r="DAP6" t="s">
        <v>6984</v>
      </c>
      <c r="DAQ6" t="s">
        <v>6984</v>
      </c>
      <c r="DAR6" t="s">
        <v>6984</v>
      </c>
      <c r="DAS6" t="s">
        <v>6984</v>
      </c>
      <c r="DAT6" t="s">
        <v>6984</v>
      </c>
      <c r="DAU6" t="s">
        <v>6984</v>
      </c>
      <c r="DAV6" t="s">
        <v>6984</v>
      </c>
      <c r="DAW6" t="s">
        <v>6984</v>
      </c>
      <c r="DAX6" t="s">
        <v>6984</v>
      </c>
      <c r="DAY6" t="s">
        <v>6984</v>
      </c>
      <c r="DAZ6" t="s">
        <v>6984</v>
      </c>
      <c r="DBA6" t="s">
        <v>6984</v>
      </c>
      <c r="DBB6" t="s">
        <v>6984</v>
      </c>
      <c r="DBC6" t="s">
        <v>6984</v>
      </c>
      <c r="DBD6" t="s">
        <v>6984</v>
      </c>
      <c r="DBE6" t="s">
        <v>6984</v>
      </c>
      <c r="DBF6" t="s">
        <v>6984</v>
      </c>
      <c r="DBG6" t="s">
        <v>6984</v>
      </c>
      <c r="DBH6" t="s">
        <v>6984</v>
      </c>
      <c r="DBI6" t="s">
        <v>6984</v>
      </c>
      <c r="DBJ6" t="s">
        <v>6984</v>
      </c>
      <c r="DBK6" t="s">
        <v>6984</v>
      </c>
      <c r="DBL6" t="s">
        <v>6984</v>
      </c>
      <c r="DBM6" t="s">
        <v>6984</v>
      </c>
      <c r="DBN6" t="s">
        <v>6984</v>
      </c>
      <c r="DBO6" t="s">
        <v>6984</v>
      </c>
      <c r="DBP6" t="s">
        <v>6984</v>
      </c>
      <c r="DBQ6" t="s">
        <v>6984</v>
      </c>
      <c r="DBR6" t="s">
        <v>6984</v>
      </c>
      <c r="DBS6" t="s">
        <v>6984</v>
      </c>
      <c r="DBT6" t="s">
        <v>6984</v>
      </c>
      <c r="DBU6" t="s">
        <v>6984</v>
      </c>
      <c r="DBV6" t="s">
        <v>6984</v>
      </c>
      <c r="DBW6" t="s">
        <v>6984</v>
      </c>
      <c r="DBX6" t="s">
        <v>6984</v>
      </c>
      <c r="DBY6" t="s">
        <v>6984</v>
      </c>
      <c r="DBZ6" t="s">
        <v>6984</v>
      </c>
      <c r="DCA6" t="s">
        <v>6984</v>
      </c>
      <c r="DCB6" t="s">
        <v>6984</v>
      </c>
      <c r="DCC6" t="s">
        <v>6984</v>
      </c>
      <c r="DCD6" t="s">
        <v>6984</v>
      </c>
      <c r="DCE6" t="s">
        <v>6984</v>
      </c>
      <c r="DCF6" t="s">
        <v>6984</v>
      </c>
      <c r="DCG6" t="s">
        <v>6984</v>
      </c>
      <c r="DCH6" t="s">
        <v>6984</v>
      </c>
      <c r="DCI6" t="s">
        <v>6984</v>
      </c>
      <c r="DCJ6" t="s">
        <v>6984</v>
      </c>
      <c r="DCK6" t="s">
        <v>6984</v>
      </c>
      <c r="DCL6" t="s">
        <v>6984</v>
      </c>
      <c r="DCM6" t="s">
        <v>6984</v>
      </c>
      <c r="DCN6" t="s">
        <v>6984</v>
      </c>
      <c r="DCO6" t="s">
        <v>6984</v>
      </c>
      <c r="DCP6" t="s">
        <v>6984</v>
      </c>
      <c r="DCQ6" t="s">
        <v>6984</v>
      </c>
      <c r="DCR6" t="s">
        <v>6984</v>
      </c>
      <c r="DCS6" t="s">
        <v>6984</v>
      </c>
      <c r="DCT6" t="s">
        <v>6984</v>
      </c>
      <c r="DCU6" t="s">
        <v>6984</v>
      </c>
      <c r="DCV6" t="s">
        <v>6984</v>
      </c>
      <c r="DCW6" t="s">
        <v>6984</v>
      </c>
      <c r="DCX6" t="s">
        <v>6984</v>
      </c>
      <c r="DCY6" t="s">
        <v>6984</v>
      </c>
      <c r="DCZ6" t="s">
        <v>6984</v>
      </c>
      <c r="DDA6" t="s">
        <v>6984</v>
      </c>
      <c r="DDB6" t="s">
        <v>6984</v>
      </c>
      <c r="DDC6" t="s">
        <v>6984</v>
      </c>
      <c r="DDD6" t="s">
        <v>6984</v>
      </c>
      <c r="DDE6" t="s">
        <v>6984</v>
      </c>
      <c r="DDF6" t="s">
        <v>6984</v>
      </c>
      <c r="DDG6" t="s">
        <v>6984</v>
      </c>
      <c r="DDH6" t="s">
        <v>6984</v>
      </c>
      <c r="DDI6" t="s">
        <v>6984</v>
      </c>
      <c r="DDJ6" t="s">
        <v>6984</v>
      </c>
      <c r="DDK6" t="s">
        <v>6984</v>
      </c>
      <c r="DDL6" t="s">
        <v>6984</v>
      </c>
      <c r="DDM6" t="s">
        <v>6984</v>
      </c>
      <c r="DDN6" t="s">
        <v>6984</v>
      </c>
      <c r="DDO6" t="s">
        <v>6984</v>
      </c>
      <c r="DDP6" t="s">
        <v>6984</v>
      </c>
      <c r="DDQ6" t="s">
        <v>6984</v>
      </c>
      <c r="DDR6" t="s">
        <v>6984</v>
      </c>
      <c r="DDS6" t="s">
        <v>6984</v>
      </c>
      <c r="DDT6" t="s">
        <v>6984</v>
      </c>
      <c r="DDU6" t="s">
        <v>6984</v>
      </c>
      <c r="DDV6" t="s">
        <v>6984</v>
      </c>
      <c r="DDW6" t="s">
        <v>6984</v>
      </c>
      <c r="DDX6" t="s">
        <v>6984</v>
      </c>
      <c r="DDY6" t="s">
        <v>6984</v>
      </c>
      <c r="DDZ6" t="s">
        <v>6984</v>
      </c>
      <c r="DEA6" t="s">
        <v>6984</v>
      </c>
      <c r="DEB6" t="s">
        <v>6984</v>
      </c>
      <c r="DEC6" t="s">
        <v>6984</v>
      </c>
      <c r="DED6" t="s">
        <v>6984</v>
      </c>
      <c r="DEE6" t="s">
        <v>6984</v>
      </c>
      <c r="DEF6" t="s">
        <v>6984</v>
      </c>
      <c r="DEG6" t="s">
        <v>6984</v>
      </c>
      <c r="DEH6" t="s">
        <v>6984</v>
      </c>
      <c r="DEI6" t="s">
        <v>6984</v>
      </c>
      <c r="DEJ6" t="s">
        <v>6984</v>
      </c>
      <c r="DEK6" t="s">
        <v>6984</v>
      </c>
      <c r="DEL6" t="s">
        <v>6984</v>
      </c>
      <c r="DEM6" t="s">
        <v>6984</v>
      </c>
      <c r="DEN6" t="s">
        <v>6984</v>
      </c>
      <c r="DEO6" t="s">
        <v>6984</v>
      </c>
      <c r="DEP6" t="s">
        <v>6984</v>
      </c>
      <c r="DEQ6" t="s">
        <v>6984</v>
      </c>
      <c r="DER6" t="s">
        <v>6984</v>
      </c>
      <c r="DES6" t="s">
        <v>6984</v>
      </c>
      <c r="DET6" t="s">
        <v>6984</v>
      </c>
      <c r="DEU6" t="s">
        <v>6984</v>
      </c>
      <c r="DEV6" t="s">
        <v>6984</v>
      </c>
      <c r="DEW6" t="s">
        <v>6984</v>
      </c>
      <c r="DEX6" t="s">
        <v>6984</v>
      </c>
      <c r="DEY6" t="s">
        <v>6984</v>
      </c>
      <c r="DEZ6" t="s">
        <v>6984</v>
      </c>
      <c r="DFA6" t="s">
        <v>6984</v>
      </c>
      <c r="DFB6" t="s">
        <v>6984</v>
      </c>
      <c r="DFC6" t="s">
        <v>6984</v>
      </c>
      <c r="DFD6" t="s">
        <v>6984</v>
      </c>
      <c r="DFE6" t="s">
        <v>6984</v>
      </c>
      <c r="DFF6" t="s">
        <v>6984</v>
      </c>
      <c r="DFG6" t="s">
        <v>6984</v>
      </c>
      <c r="DFH6" t="s">
        <v>6984</v>
      </c>
      <c r="DFI6" t="s">
        <v>6984</v>
      </c>
      <c r="DFJ6" t="s">
        <v>6984</v>
      </c>
      <c r="DFK6" t="s">
        <v>6984</v>
      </c>
      <c r="DFL6" t="s">
        <v>6984</v>
      </c>
      <c r="DFM6" t="s">
        <v>6984</v>
      </c>
      <c r="DFN6" t="s">
        <v>6984</v>
      </c>
      <c r="DFO6" t="s">
        <v>6984</v>
      </c>
      <c r="DFP6" t="s">
        <v>6984</v>
      </c>
      <c r="DFQ6" t="s">
        <v>6984</v>
      </c>
      <c r="DFR6" t="s">
        <v>6984</v>
      </c>
      <c r="DFS6" t="s">
        <v>6984</v>
      </c>
      <c r="DFT6" t="s">
        <v>6984</v>
      </c>
      <c r="DFU6" t="s">
        <v>6984</v>
      </c>
      <c r="DFV6" t="s">
        <v>6984</v>
      </c>
      <c r="DFW6" t="s">
        <v>6984</v>
      </c>
      <c r="DFX6" t="s">
        <v>6984</v>
      </c>
      <c r="DFY6" t="s">
        <v>6984</v>
      </c>
      <c r="DFZ6" t="s">
        <v>6984</v>
      </c>
      <c r="DGA6" t="s">
        <v>6984</v>
      </c>
      <c r="DGB6" t="s">
        <v>6984</v>
      </c>
      <c r="DGC6" t="s">
        <v>6984</v>
      </c>
      <c r="DGD6" t="s">
        <v>6984</v>
      </c>
      <c r="DGE6" t="s">
        <v>6984</v>
      </c>
      <c r="DGF6" t="s">
        <v>6984</v>
      </c>
      <c r="DGG6" t="s">
        <v>6984</v>
      </c>
      <c r="DGH6" t="s">
        <v>6984</v>
      </c>
      <c r="DGI6" t="s">
        <v>6984</v>
      </c>
      <c r="DGJ6" t="s">
        <v>6984</v>
      </c>
      <c r="DGK6" t="s">
        <v>6984</v>
      </c>
      <c r="DGL6" t="s">
        <v>6984</v>
      </c>
      <c r="DGM6" t="s">
        <v>6984</v>
      </c>
      <c r="DGN6" t="s">
        <v>6984</v>
      </c>
      <c r="DGO6" t="s">
        <v>6984</v>
      </c>
      <c r="DGP6" t="s">
        <v>6984</v>
      </c>
      <c r="DGQ6" t="s">
        <v>6984</v>
      </c>
      <c r="DGR6" t="s">
        <v>6984</v>
      </c>
      <c r="DGS6" t="s">
        <v>6984</v>
      </c>
      <c r="DGT6" t="s">
        <v>6984</v>
      </c>
      <c r="DGU6" t="s">
        <v>6984</v>
      </c>
      <c r="DGV6" t="s">
        <v>6984</v>
      </c>
      <c r="DGW6" t="s">
        <v>6984</v>
      </c>
      <c r="DGX6" t="s">
        <v>6984</v>
      </c>
      <c r="DGY6" t="s">
        <v>6984</v>
      </c>
      <c r="DGZ6" t="s">
        <v>6984</v>
      </c>
      <c r="DHA6" t="s">
        <v>6984</v>
      </c>
      <c r="DHB6" t="s">
        <v>6984</v>
      </c>
      <c r="DHC6" t="s">
        <v>6984</v>
      </c>
      <c r="DHD6" t="s">
        <v>6984</v>
      </c>
      <c r="DHE6" t="s">
        <v>6984</v>
      </c>
      <c r="DHF6" t="s">
        <v>6984</v>
      </c>
      <c r="DHG6" t="s">
        <v>6984</v>
      </c>
      <c r="DHH6" t="s">
        <v>6984</v>
      </c>
      <c r="DHI6" t="s">
        <v>6984</v>
      </c>
      <c r="DHJ6" t="s">
        <v>6984</v>
      </c>
      <c r="DHK6" t="s">
        <v>6984</v>
      </c>
      <c r="DHL6" t="s">
        <v>6984</v>
      </c>
      <c r="DHM6" t="s">
        <v>6984</v>
      </c>
      <c r="DHN6" t="s">
        <v>6984</v>
      </c>
      <c r="DHO6" t="s">
        <v>6984</v>
      </c>
      <c r="DHP6" t="s">
        <v>6984</v>
      </c>
      <c r="DHQ6" t="s">
        <v>6984</v>
      </c>
      <c r="DHR6" t="s">
        <v>6984</v>
      </c>
      <c r="DHS6" t="s">
        <v>6984</v>
      </c>
      <c r="DHT6" t="s">
        <v>6984</v>
      </c>
      <c r="DHU6" t="s">
        <v>6984</v>
      </c>
      <c r="DHV6" t="s">
        <v>6984</v>
      </c>
      <c r="DHW6" t="s">
        <v>6984</v>
      </c>
      <c r="DHX6" t="s">
        <v>6984</v>
      </c>
      <c r="DHY6" t="s">
        <v>6984</v>
      </c>
      <c r="DHZ6" t="s">
        <v>6984</v>
      </c>
      <c r="DIA6" t="s">
        <v>6984</v>
      </c>
      <c r="DIB6" t="s">
        <v>6984</v>
      </c>
      <c r="DIC6" t="s">
        <v>6984</v>
      </c>
      <c r="DID6" t="s">
        <v>6984</v>
      </c>
      <c r="DIE6" t="s">
        <v>6984</v>
      </c>
      <c r="DIF6" t="s">
        <v>6984</v>
      </c>
      <c r="DIG6" t="s">
        <v>6984</v>
      </c>
      <c r="DIH6" t="s">
        <v>6984</v>
      </c>
      <c r="DII6" t="s">
        <v>6984</v>
      </c>
      <c r="DIJ6" t="s">
        <v>6984</v>
      </c>
      <c r="DIK6" t="s">
        <v>6984</v>
      </c>
      <c r="DIL6" t="s">
        <v>6984</v>
      </c>
      <c r="DIM6" t="s">
        <v>6984</v>
      </c>
      <c r="DIN6" t="s">
        <v>6984</v>
      </c>
      <c r="DIO6" t="s">
        <v>6984</v>
      </c>
      <c r="DIP6" t="s">
        <v>6984</v>
      </c>
      <c r="DIQ6" t="s">
        <v>6984</v>
      </c>
      <c r="DIR6" t="s">
        <v>6984</v>
      </c>
      <c r="DIS6" t="s">
        <v>6984</v>
      </c>
      <c r="DIT6" t="s">
        <v>6984</v>
      </c>
      <c r="DIU6" t="s">
        <v>6984</v>
      </c>
      <c r="DIV6" t="s">
        <v>6984</v>
      </c>
      <c r="DIW6" t="s">
        <v>6984</v>
      </c>
      <c r="DIX6" t="s">
        <v>6984</v>
      </c>
      <c r="DIY6" t="s">
        <v>6984</v>
      </c>
      <c r="DIZ6" t="s">
        <v>6984</v>
      </c>
      <c r="DJA6" t="s">
        <v>6984</v>
      </c>
      <c r="DJB6" t="s">
        <v>6984</v>
      </c>
      <c r="DJC6" t="s">
        <v>6984</v>
      </c>
      <c r="DJD6" t="s">
        <v>6984</v>
      </c>
      <c r="DJE6" t="s">
        <v>6984</v>
      </c>
      <c r="DJF6" t="s">
        <v>6984</v>
      </c>
      <c r="DJG6" t="s">
        <v>6984</v>
      </c>
      <c r="DJH6" t="s">
        <v>6984</v>
      </c>
      <c r="DJI6" t="s">
        <v>6984</v>
      </c>
      <c r="DJJ6" t="s">
        <v>6984</v>
      </c>
      <c r="DJK6" t="s">
        <v>6984</v>
      </c>
      <c r="DJL6" t="s">
        <v>6984</v>
      </c>
      <c r="DJM6" t="s">
        <v>6984</v>
      </c>
      <c r="DJN6" t="s">
        <v>6984</v>
      </c>
      <c r="DJO6" t="s">
        <v>6984</v>
      </c>
      <c r="DJP6" t="s">
        <v>6984</v>
      </c>
      <c r="DJQ6" t="s">
        <v>6984</v>
      </c>
      <c r="DJR6" t="s">
        <v>6984</v>
      </c>
      <c r="DJS6" t="s">
        <v>6984</v>
      </c>
      <c r="DJT6" t="s">
        <v>6984</v>
      </c>
      <c r="DJU6" t="s">
        <v>6984</v>
      </c>
      <c r="DJV6" t="s">
        <v>6984</v>
      </c>
      <c r="DJW6" t="s">
        <v>6984</v>
      </c>
      <c r="DJX6" t="s">
        <v>6984</v>
      </c>
      <c r="DJY6" t="s">
        <v>6984</v>
      </c>
      <c r="DJZ6" t="s">
        <v>6984</v>
      </c>
      <c r="DKA6" t="s">
        <v>6984</v>
      </c>
      <c r="DKB6" t="s">
        <v>6984</v>
      </c>
      <c r="DKC6" t="s">
        <v>6984</v>
      </c>
      <c r="DKD6" t="s">
        <v>6984</v>
      </c>
      <c r="DKE6" t="s">
        <v>6984</v>
      </c>
      <c r="DKF6" t="s">
        <v>6984</v>
      </c>
      <c r="DKG6" t="s">
        <v>6984</v>
      </c>
      <c r="DKH6" t="s">
        <v>6984</v>
      </c>
      <c r="DKI6" t="s">
        <v>6984</v>
      </c>
      <c r="DKJ6" t="s">
        <v>6984</v>
      </c>
      <c r="DKK6" t="s">
        <v>6984</v>
      </c>
      <c r="DKL6" t="s">
        <v>6984</v>
      </c>
      <c r="DKM6" t="s">
        <v>6984</v>
      </c>
      <c r="DKN6" t="s">
        <v>6984</v>
      </c>
      <c r="DKO6" t="s">
        <v>6984</v>
      </c>
      <c r="DKP6" t="s">
        <v>6984</v>
      </c>
      <c r="DKQ6" t="s">
        <v>6984</v>
      </c>
      <c r="DKR6" t="s">
        <v>6984</v>
      </c>
      <c r="DKS6" t="s">
        <v>6984</v>
      </c>
      <c r="DKT6" t="s">
        <v>6984</v>
      </c>
      <c r="DKU6" t="s">
        <v>6984</v>
      </c>
      <c r="DKV6" t="s">
        <v>6984</v>
      </c>
      <c r="DKW6" t="s">
        <v>6984</v>
      </c>
      <c r="DKX6" t="s">
        <v>6984</v>
      </c>
      <c r="DKY6" t="s">
        <v>6984</v>
      </c>
      <c r="DKZ6" t="s">
        <v>6984</v>
      </c>
      <c r="DLA6" t="s">
        <v>6984</v>
      </c>
      <c r="DLB6" t="s">
        <v>6984</v>
      </c>
      <c r="DLC6" t="s">
        <v>6984</v>
      </c>
      <c r="DLD6" t="s">
        <v>6984</v>
      </c>
      <c r="DLE6" t="s">
        <v>6984</v>
      </c>
      <c r="DLF6" t="s">
        <v>6984</v>
      </c>
      <c r="DLG6" t="s">
        <v>6984</v>
      </c>
      <c r="DLH6" t="s">
        <v>6984</v>
      </c>
      <c r="DLI6" t="s">
        <v>6984</v>
      </c>
      <c r="DLJ6" t="s">
        <v>6984</v>
      </c>
      <c r="DLK6" t="s">
        <v>6984</v>
      </c>
      <c r="DLL6" t="s">
        <v>6984</v>
      </c>
      <c r="DLM6" t="s">
        <v>6984</v>
      </c>
      <c r="DLN6" t="s">
        <v>6984</v>
      </c>
      <c r="DLO6" t="s">
        <v>6984</v>
      </c>
      <c r="DLP6" t="s">
        <v>6984</v>
      </c>
      <c r="DLQ6" t="s">
        <v>6984</v>
      </c>
      <c r="DLR6" t="s">
        <v>6984</v>
      </c>
      <c r="DLS6" t="s">
        <v>6984</v>
      </c>
      <c r="DLT6" t="s">
        <v>6984</v>
      </c>
      <c r="DLU6" t="s">
        <v>6984</v>
      </c>
      <c r="DLV6" t="s">
        <v>6984</v>
      </c>
      <c r="DLW6" t="s">
        <v>6984</v>
      </c>
      <c r="DLX6" t="s">
        <v>6984</v>
      </c>
      <c r="DLY6" t="s">
        <v>6984</v>
      </c>
      <c r="DLZ6" t="s">
        <v>6984</v>
      </c>
      <c r="DMA6" t="s">
        <v>6984</v>
      </c>
      <c r="DMB6" t="s">
        <v>6984</v>
      </c>
      <c r="DMC6" t="s">
        <v>6984</v>
      </c>
      <c r="DMD6" t="s">
        <v>6984</v>
      </c>
      <c r="DME6" t="s">
        <v>6984</v>
      </c>
      <c r="DMF6" t="s">
        <v>6984</v>
      </c>
      <c r="DMG6" t="s">
        <v>6984</v>
      </c>
      <c r="DMH6" t="s">
        <v>6984</v>
      </c>
      <c r="DMI6" t="s">
        <v>6984</v>
      </c>
      <c r="DMJ6" t="s">
        <v>6984</v>
      </c>
      <c r="DMK6" t="s">
        <v>6984</v>
      </c>
      <c r="DML6" t="s">
        <v>6984</v>
      </c>
      <c r="DMM6" t="s">
        <v>6984</v>
      </c>
      <c r="DMN6" t="s">
        <v>6984</v>
      </c>
      <c r="DMO6" t="s">
        <v>6984</v>
      </c>
      <c r="DMP6" t="s">
        <v>6984</v>
      </c>
      <c r="DMQ6" t="s">
        <v>6984</v>
      </c>
      <c r="DMR6" t="s">
        <v>6984</v>
      </c>
      <c r="DMS6" t="s">
        <v>6984</v>
      </c>
      <c r="DMT6" t="s">
        <v>6984</v>
      </c>
      <c r="DMU6" t="s">
        <v>6984</v>
      </c>
      <c r="DMV6" t="s">
        <v>6984</v>
      </c>
      <c r="DMW6" t="s">
        <v>6984</v>
      </c>
      <c r="DMX6" t="s">
        <v>6984</v>
      </c>
      <c r="DMY6" t="s">
        <v>6984</v>
      </c>
      <c r="DMZ6" t="s">
        <v>6984</v>
      </c>
      <c r="DNA6" t="s">
        <v>6984</v>
      </c>
      <c r="DNB6" t="s">
        <v>6984</v>
      </c>
      <c r="DNC6" t="s">
        <v>6984</v>
      </c>
      <c r="DND6" t="s">
        <v>6984</v>
      </c>
      <c r="DNE6" t="s">
        <v>6984</v>
      </c>
      <c r="DNF6" t="s">
        <v>6984</v>
      </c>
      <c r="DNG6" t="s">
        <v>6984</v>
      </c>
      <c r="DNH6" t="s">
        <v>6984</v>
      </c>
      <c r="DNI6" t="s">
        <v>6984</v>
      </c>
      <c r="DNJ6" t="s">
        <v>6984</v>
      </c>
      <c r="DNK6" t="s">
        <v>6984</v>
      </c>
      <c r="DNL6" t="s">
        <v>6984</v>
      </c>
      <c r="DNM6" t="s">
        <v>6984</v>
      </c>
      <c r="DNN6" t="s">
        <v>6984</v>
      </c>
      <c r="DNO6" t="s">
        <v>6984</v>
      </c>
      <c r="DNP6" t="s">
        <v>6984</v>
      </c>
      <c r="DNQ6" t="s">
        <v>6984</v>
      </c>
      <c r="DNR6" t="s">
        <v>6984</v>
      </c>
      <c r="DNS6" t="s">
        <v>6984</v>
      </c>
      <c r="DNT6" t="s">
        <v>6984</v>
      </c>
      <c r="DNU6" t="s">
        <v>6984</v>
      </c>
      <c r="DNV6" t="s">
        <v>6984</v>
      </c>
      <c r="DNW6" t="s">
        <v>6984</v>
      </c>
      <c r="DNX6" t="s">
        <v>6984</v>
      </c>
      <c r="DNY6" t="s">
        <v>6984</v>
      </c>
      <c r="DNZ6" t="s">
        <v>6984</v>
      </c>
      <c r="DOA6" t="s">
        <v>6984</v>
      </c>
      <c r="DOB6" t="s">
        <v>6984</v>
      </c>
      <c r="DOC6" t="s">
        <v>6984</v>
      </c>
      <c r="DOD6" t="s">
        <v>6984</v>
      </c>
      <c r="DOE6" t="s">
        <v>6984</v>
      </c>
      <c r="DOF6" t="s">
        <v>6984</v>
      </c>
      <c r="DOG6" t="s">
        <v>6984</v>
      </c>
      <c r="DOH6" t="s">
        <v>6984</v>
      </c>
      <c r="DOI6" t="s">
        <v>6984</v>
      </c>
      <c r="DOJ6" t="s">
        <v>6984</v>
      </c>
      <c r="DOK6" t="s">
        <v>6984</v>
      </c>
      <c r="DOL6" t="s">
        <v>6984</v>
      </c>
      <c r="DOM6" t="s">
        <v>6984</v>
      </c>
      <c r="DON6" t="s">
        <v>6984</v>
      </c>
      <c r="DOO6" t="s">
        <v>6984</v>
      </c>
      <c r="DOP6" t="s">
        <v>6984</v>
      </c>
      <c r="DOQ6" t="s">
        <v>6984</v>
      </c>
      <c r="DOR6" t="s">
        <v>6984</v>
      </c>
      <c r="DOS6" t="s">
        <v>6984</v>
      </c>
      <c r="DOT6" t="s">
        <v>6984</v>
      </c>
      <c r="DOU6" t="s">
        <v>6984</v>
      </c>
      <c r="DOV6" t="s">
        <v>6984</v>
      </c>
      <c r="DOW6" t="s">
        <v>6984</v>
      </c>
      <c r="DOX6" t="s">
        <v>6984</v>
      </c>
      <c r="DOY6" t="s">
        <v>6984</v>
      </c>
      <c r="DOZ6" t="s">
        <v>6984</v>
      </c>
      <c r="DPA6" t="s">
        <v>6984</v>
      </c>
      <c r="DPB6" t="s">
        <v>6984</v>
      </c>
      <c r="DPC6" t="s">
        <v>6984</v>
      </c>
      <c r="DPD6" t="s">
        <v>6984</v>
      </c>
      <c r="DPE6" t="s">
        <v>6984</v>
      </c>
      <c r="DPF6" t="s">
        <v>6984</v>
      </c>
      <c r="DPG6" t="s">
        <v>6984</v>
      </c>
      <c r="DPH6" t="s">
        <v>6984</v>
      </c>
      <c r="DPI6" t="s">
        <v>6984</v>
      </c>
      <c r="DPJ6" t="s">
        <v>6984</v>
      </c>
      <c r="DPK6" t="s">
        <v>6984</v>
      </c>
      <c r="DPL6" t="s">
        <v>6984</v>
      </c>
      <c r="DPM6" t="s">
        <v>6984</v>
      </c>
      <c r="DPN6" t="s">
        <v>6984</v>
      </c>
      <c r="DPO6" t="s">
        <v>6984</v>
      </c>
      <c r="DPP6" t="s">
        <v>6984</v>
      </c>
      <c r="DPQ6" t="s">
        <v>6984</v>
      </c>
      <c r="DPR6" t="s">
        <v>6984</v>
      </c>
      <c r="DPS6" t="s">
        <v>6984</v>
      </c>
      <c r="DPT6" t="s">
        <v>6984</v>
      </c>
      <c r="DPU6" t="s">
        <v>6984</v>
      </c>
      <c r="DPV6" t="s">
        <v>6984</v>
      </c>
      <c r="DPW6" t="s">
        <v>6984</v>
      </c>
      <c r="DPX6" t="s">
        <v>6984</v>
      </c>
      <c r="DPY6" t="s">
        <v>6984</v>
      </c>
      <c r="DPZ6" t="s">
        <v>6984</v>
      </c>
      <c r="DQA6" t="s">
        <v>6984</v>
      </c>
      <c r="DQB6" t="s">
        <v>6984</v>
      </c>
      <c r="DQC6" t="s">
        <v>6984</v>
      </c>
      <c r="DQD6" t="s">
        <v>6984</v>
      </c>
      <c r="DQE6" t="s">
        <v>6984</v>
      </c>
      <c r="DQF6" t="s">
        <v>6984</v>
      </c>
      <c r="DQG6" t="s">
        <v>6984</v>
      </c>
      <c r="DQH6" t="s">
        <v>6984</v>
      </c>
      <c r="DQI6" t="s">
        <v>6984</v>
      </c>
      <c r="DQJ6" t="s">
        <v>6984</v>
      </c>
      <c r="DQK6" t="s">
        <v>6984</v>
      </c>
      <c r="DQL6" t="s">
        <v>6984</v>
      </c>
      <c r="DQM6" t="s">
        <v>6984</v>
      </c>
      <c r="DQN6" t="s">
        <v>6984</v>
      </c>
      <c r="DQO6" t="s">
        <v>6984</v>
      </c>
      <c r="DQP6" t="s">
        <v>6984</v>
      </c>
      <c r="DQQ6" t="s">
        <v>6984</v>
      </c>
      <c r="DQR6" t="s">
        <v>6984</v>
      </c>
      <c r="DQS6" t="s">
        <v>6984</v>
      </c>
      <c r="DQT6" t="s">
        <v>6984</v>
      </c>
      <c r="DQU6" t="s">
        <v>6984</v>
      </c>
      <c r="DQV6" t="s">
        <v>6984</v>
      </c>
      <c r="DQW6" t="s">
        <v>6984</v>
      </c>
      <c r="DQX6" t="s">
        <v>6984</v>
      </c>
      <c r="DQY6" t="s">
        <v>6984</v>
      </c>
      <c r="DQZ6" t="s">
        <v>6984</v>
      </c>
      <c r="DRA6" t="s">
        <v>6984</v>
      </c>
      <c r="DRB6" t="s">
        <v>6984</v>
      </c>
      <c r="DRC6" t="s">
        <v>6984</v>
      </c>
      <c r="DRD6" t="s">
        <v>6984</v>
      </c>
      <c r="DRE6" t="s">
        <v>6984</v>
      </c>
      <c r="DRF6" t="s">
        <v>6984</v>
      </c>
      <c r="DRG6" t="s">
        <v>6984</v>
      </c>
      <c r="DRH6" t="s">
        <v>6984</v>
      </c>
      <c r="DRI6" t="s">
        <v>6984</v>
      </c>
      <c r="DRJ6" t="s">
        <v>6984</v>
      </c>
      <c r="DRK6" t="s">
        <v>6984</v>
      </c>
      <c r="DRL6" t="s">
        <v>6984</v>
      </c>
      <c r="DRM6" t="s">
        <v>6984</v>
      </c>
      <c r="DRN6" t="s">
        <v>6984</v>
      </c>
      <c r="DRO6" t="s">
        <v>6984</v>
      </c>
      <c r="DRP6" t="s">
        <v>6984</v>
      </c>
      <c r="DRQ6" t="s">
        <v>6984</v>
      </c>
      <c r="DRR6" t="s">
        <v>6984</v>
      </c>
      <c r="DRS6" t="s">
        <v>6984</v>
      </c>
      <c r="DRT6" t="s">
        <v>6984</v>
      </c>
      <c r="DRU6" t="s">
        <v>6984</v>
      </c>
      <c r="DRV6" t="s">
        <v>6984</v>
      </c>
      <c r="DRW6" t="s">
        <v>6984</v>
      </c>
      <c r="DRX6" t="s">
        <v>6984</v>
      </c>
      <c r="DRY6" t="s">
        <v>6984</v>
      </c>
      <c r="DRZ6" t="s">
        <v>6984</v>
      </c>
      <c r="DSA6" t="s">
        <v>6984</v>
      </c>
      <c r="DSB6" t="s">
        <v>6984</v>
      </c>
      <c r="DSC6" t="s">
        <v>6984</v>
      </c>
      <c r="DSD6" t="s">
        <v>6984</v>
      </c>
      <c r="DSE6" t="s">
        <v>6984</v>
      </c>
      <c r="DSF6" t="s">
        <v>6984</v>
      </c>
      <c r="DSG6" t="s">
        <v>6984</v>
      </c>
      <c r="DSH6" t="s">
        <v>6984</v>
      </c>
      <c r="DSI6" t="s">
        <v>6984</v>
      </c>
      <c r="DSJ6" t="s">
        <v>6984</v>
      </c>
      <c r="DSK6" t="s">
        <v>6984</v>
      </c>
      <c r="DSL6" t="s">
        <v>6984</v>
      </c>
      <c r="DSM6" t="s">
        <v>6984</v>
      </c>
      <c r="DSN6" t="s">
        <v>6984</v>
      </c>
      <c r="DSO6" t="s">
        <v>6984</v>
      </c>
      <c r="DSP6" t="s">
        <v>6984</v>
      </c>
      <c r="DSQ6" t="s">
        <v>6984</v>
      </c>
      <c r="DSR6" t="s">
        <v>6984</v>
      </c>
      <c r="DSS6" t="s">
        <v>6984</v>
      </c>
      <c r="DST6" t="s">
        <v>6984</v>
      </c>
      <c r="DSU6" t="s">
        <v>6984</v>
      </c>
      <c r="DSV6" t="s">
        <v>6984</v>
      </c>
      <c r="DSW6" t="s">
        <v>6984</v>
      </c>
      <c r="DSX6" t="s">
        <v>6984</v>
      </c>
      <c r="DSY6" t="s">
        <v>6984</v>
      </c>
      <c r="DSZ6" t="s">
        <v>6984</v>
      </c>
      <c r="DTA6" t="s">
        <v>6984</v>
      </c>
      <c r="DTB6" t="s">
        <v>6984</v>
      </c>
      <c r="DTC6" t="s">
        <v>6984</v>
      </c>
      <c r="DTD6" t="s">
        <v>6984</v>
      </c>
      <c r="DTE6" t="s">
        <v>6984</v>
      </c>
      <c r="DTF6" t="s">
        <v>6984</v>
      </c>
      <c r="DTG6" t="s">
        <v>6984</v>
      </c>
      <c r="DTH6" t="s">
        <v>6984</v>
      </c>
      <c r="DTI6" t="s">
        <v>6984</v>
      </c>
      <c r="DTJ6" t="s">
        <v>6984</v>
      </c>
      <c r="DTK6" t="s">
        <v>6984</v>
      </c>
      <c r="DTL6" t="s">
        <v>6984</v>
      </c>
      <c r="DTM6" t="s">
        <v>6984</v>
      </c>
      <c r="DTN6" t="s">
        <v>6984</v>
      </c>
      <c r="DTO6" t="s">
        <v>6984</v>
      </c>
      <c r="DTP6" t="s">
        <v>6984</v>
      </c>
      <c r="DTQ6" t="s">
        <v>6984</v>
      </c>
      <c r="DTR6" t="s">
        <v>6984</v>
      </c>
      <c r="DTS6" t="s">
        <v>6984</v>
      </c>
      <c r="DTT6" t="s">
        <v>6984</v>
      </c>
      <c r="DTU6" t="s">
        <v>6984</v>
      </c>
      <c r="DTV6" t="s">
        <v>6984</v>
      </c>
      <c r="DTW6" t="s">
        <v>6984</v>
      </c>
      <c r="DTX6" t="s">
        <v>6984</v>
      </c>
      <c r="DTY6" t="s">
        <v>6984</v>
      </c>
      <c r="DTZ6" t="s">
        <v>6984</v>
      </c>
      <c r="DUA6" t="s">
        <v>6984</v>
      </c>
      <c r="DUB6" t="s">
        <v>6984</v>
      </c>
      <c r="DUC6" t="s">
        <v>6984</v>
      </c>
      <c r="DUD6" t="s">
        <v>6984</v>
      </c>
      <c r="DUE6" t="s">
        <v>6984</v>
      </c>
      <c r="DUF6" t="s">
        <v>6984</v>
      </c>
      <c r="DUG6" t="s">
        <v>6984</v>
      </c>
      <c r="DUH6" t="s">
        <v>6984</v>
      </c>
      <c r="DUI6" t="s">
        <v>6984</v>
      </c>
      <c r="DUJ6" t="s">
        <v>6984</v>
      </c>
      <c r="DUK6" t="s">
        <v>6984</v>
      </c>
      <c r="DUL6" t="s">
        <v>6984</v>
      </c>
      <c r="DUM6" t="s">
        <v>6984</v>
      </c>
      <c r="DUN6" t="s">
        <v>6984</v>
      </c>
      <c r="DUO6" t="s">
        <v>6984</v>
      </c>
      <c r="DUP6" t="s">
        <v>6984</v>
      </c>
      <c r="DUQ6" t="s">
        <v>6984</v>
      </c>
      <c r="DUR6" t="s">
        <v>6984</v>
      </c>
      <c r="DUS6" t="s">
        <v>6984</v>
      </c>
      <c r="DUT6" t="s">
        <v>6984</v>
      </c>
      <c r="DUU6" t="s">
        <v>6984</v>
      </c>
      <c r="DUV6" t="s">
        <v>6984</v>
      </c>
      <c r="DUW6" t="s">
        <v>6984</v>
      </c>
      <c r="DUX6" t="s">
        <v>6984</v>
      </c>
      <c r="DUY6" t="s">
        <v>6984</v>
      </c>
      <c r="DUZ6" t="s">
        <v>6984</v>
      </c>
      <c r="DVA6" t="s">
        <v>6984</v>
      </c>
      <c r="DVB6" t="s">
        <v>6984</v>
      </c>
      <c r="DVC6" t="s">
        <v>6984</v>
      </c>
      <c r="DVD6" t="s">
        <v>6984</v>
      </c>
      <c r="DVE6" t="s">
        <v>6984</v>
      </c>
      <c r="DVF6" t="s">
        <v>6984</v>
      </c>
      <c r="DVG6" t="s">
        <v>6984</v>
      </c>
      <c r="DVH6" t="s">
        <v>6984</v>
      </c>
      <c r="DVI6" t="s">
        <v>6984</v>
      </c>
      <c r="DVJ6" t="s">
        <v>6984</v>
      </c>
      <c r="DVK6" t="s">
        <v>6984</v>
      </c>
      <c r="DVL6" t="s">
        <v>6984</v>
      </c>
      <c r="DVM6" t="s">
        <v>6984</v>
      </c>
      <c r="DVN6" t="s">
        <v>6984</v>
      </c>
      <c r="DVO6" t="s">
        <v>6984</v>
      </c>
      <c r="DVP6" t="s">
        <v>6984</v>
      </c>
      <c r="DVQ6" t="s">
        <v>6984</v>
      </c>
      <c r="DVR6" t="s">
        <v>6984</v>
      </c>
      <c r="DVS6" t="s">
        <v>6984</v>
      </c>
      <c r="DVT6" t="s">
        <v>6984</v>
      </c>
      <c r="DVU6" t="s">
        <v>6984</v>
      </c>
      <c r="DVV6" t="s">
        <v>6984</v>
      </c>
      <c r="DVW6" t="s">
        <v>6984</v>
      </c>
      <c r="DVX6" t="s">
        <v>6984</v>
      </c>
      <c r="DVY6" t="s">
        <v>6984</v>
      </c>
      <c r="DVZ6" t="s">
        <v>6984</v>
      </c>
      <c r="DWA6" t="s">
        <v>6984</v>
      </c>
      <c r="DWB6" t="s">
        <v>6984</v>
      </c>
      <c r="DWC6" t="s">
        <v>6984</v>
      </c>
      <c r="DWD6" t="s">
        <v>6984</v>
      </c>
      <c r="DWE6" t="s">
        <v>6984</v>
      </c>
      <c r="DWF6" t="s">
        <v>6984</v>
      </c>
      <c r="DWG6" t="s">
        <v>6984</v>
      </c>
      <c r="DWH6" t="s">
        <v>6984</v>
      </c>
      <c r="DWI6" t="s">
        <v>6984</v>
      </c>
      <c r="DWJ6" t="s">
        <v>6984</v>
      </c>
      <c r="DWK6" t="s">
        <v>6984</v>
      </c>
      <c r="DWL6" t="s">
        <v>6984</v>
      </c>
      <c r="DWM6" t="s">
        <v>6984</v>
      </c>
      <c r="DWN6" t="s">
        <v>6984</v>
      </c>
      <c r="DWO6" t="s">
        <v>6984</v>
      </c>
      <c r="DWP6" t="s">
        <v>6984</v>
      </c>
      <c r="DWQ6" t="s">
        <v>6984</v>
      </c>
      <c r="DWR6" t="s">
        <v>6984</v>
      </c>
      <c r="DWS6" t="s">
        <v>6984</v>
      </c>
      <c r="DWT6" t="s">
        <v>6984</v>
      </c>
      <c r="DWU6" t="s">
        <v>6984</v>
      </c>
      <c r="DWV6" t="s">
        <v>6984</v>
      </c>
      <c r="DWW6" t="s">
        <v>6984</v>
      </c>
      <c r="DWX6" t="s">
        <v>6984</v>
      </c>
      <c r="DWY6" t="s">
        <v>6984</v>
      </c>
      <c r="DWZ6" t="s">
        <v>6984</v>
      </c>
      <c r="DXA6" t="s">
        <v>6984</v>
      </c>
      <c r="DXB6" t="s">
        <v>6984</v>
      </c>
      <c r="DXC6" t="s">
        <v>6984</v>
      </c>
      <c r="DXD6" t="s">
        <v>6984</v>
      </c>
      <c r="DXE6" t="s">
        <v>6984</v>
      </c>
      <c r="DXF6" t="s">
        <v>6984</v>
      </c>
      <c r="DXG6" t="s">
        <v>6984</v>
      </c>
      <c r="DXH6" t="s">
        <v>6984</v>
      </c>
      <c r="DXI6" t="s">
        <v>6984</v>
      </c>
      <c r="DXJ6" t="s">
        <v>6984</v>
      </c>
      <c r="DXK6" t="s">
        <v>6984</v>
      </c>
      <c r="DXL6" t="s">
        <v>6984</v>
      </c>
      <c r="DXM6" t="s">
        <v>6984</v>
      </c>
      <c r="DXN6" t="s">
        <v>6984</v>
      </c>
      <c r="DXO6" t="s">
        <v>6984</v>
      </c>
      <c r="DXP6" t="s">
        <v>6984</v>
      </c>
      <c r="DXQ6" t="s">
        <v>6984</v>
      </c>
      <c r="DXR6" t="s">
        <v>6984</v>
      </c>
      <c r="DXS6" t="s">
        <v>6984</v>
      </c>
      <c r="DXT6" t="s">
        <v>6984</v>
      </c>
      <c r="DXU6" t="s">
        <v>6984</v>
      </c>
      <c r="DXV6" t="s">
        <v>6984</v>
      </c>
      <c r="DXW6" t="s">
        <v>6984</v>
      </c>
      <c r="DXX6" t="s">
        <v>6984</v>
      </c>
      <c r="DXY6" t="s">
        <v>6984</v>
      </c>
      <c r="DXZ6" t="s">
        <v>6984</v>
      </c>
      <c r="DYA6" t="s">
        <v>6984</v>
      </c>
      <c r="DYB6" t="s">
        <v>6984</v>
      </c>
      <c r="DYC6" t="s">
        <v>6984</v>
      </c>
      <c r="DYD6" t="s">
        <v>6984</v>
      </c>
      <c r="DYE6" t="s">
        <v>6984</v>
      </c>
      <c r="DYF6" t="s">
        <v>6984</v>
      </c>
      <c r="DYG6" t="s">
        <v>6984</v>
      </c>
      <c r="DYH6" t="s">
        <v>6984</v>
      </c>
      <c r="DYI6" t="s">
        <v>6984</v>
      </c>
      <c r="DYJ6" t="s">
        <v>6984</v>
      </c>
      <c r="DYK6" t="s">
        <v>6984</v>
      </c>
      <c r="DYL6" t="s">
        <v>6984</v>
      </c>
      <c r="DYM6" t="s">
        <v>6984</v>
      </c>
      <c r="DYN6" t="s">
        <v>6984</v>
      </c>
      <c r="DYO6" t="s">
        <v>6984</v>
      </c>
      <c r="DYP6" t="s">
        <v>6984</v>
      </c>
      <c r="DYQ6" t="s">
        <v>6984</v>
      </c>
      <c r="DYR6" t="s">
        <v>6984</v>
      </c>
      <c r="DYS6" t="s">
        <v>6984</v>
      </c>
      <c r="DYT6" t="s">
        <v>6984</v>
      </c>
      <c r="DYU6" t="s">
        <v>6984</v>
      </c>
      <c r="DYV6" t="s">
        <v>6984</v>
      </c>
      <c r="DYW6" t="s">
        <v>6984</v>
      </c>
      <c r="DYX6" t="s">
        <v>6984</v>
      </c>
      <c r="DYY6" t="s">
        <v>6984</v>
      </c>
      <c r="DYZ6" t="s">
        <v>6984</v>
      </c>
      <c r="DZA6" t="s">
        <v>6984</v>
      </c>
      <c r="DZB6" t="s">
        <v>6984</v>
      </c>
      <c r="DZC6" t="s">
        <v>6984</v>
      </c>
      <c r="DZD6" t="s">
        <v>6984</v>
      </c>
      <c r="DZE6" t="s">
        <v>6984</v>
      </c>
      <c r="DZF6" t="s">
        <v>6984</v>
      </c>
      <c r="DZG6" t="s">
        <v>6984</v>
      </c>
      <c r="DZH6" t="s">
        <v>6984</v>
      </c>
      <c r="DZI6" t="s">
        <v>6984</v>
      </c>
      <c r="DZJ6" t="s">
        <v>6984</v>
      </c>
      <c r="DZK6" t="s">
        <v>6984</v>
      </c>
      <c r="DZL6" t="s">
        <v>6984</v>
      </c>
      <c r="DZM6" t="s">
        <v>6984</v>
      </c>
      <c r="DZN6" t="s">
        <v>6984</v>
      </c>
      <c r="DZO6" t="s">
        <v>6984</v>
      </c>
      <c r="DZP6" t="s">
        <v>6984</v>
      </c>
      <c r="DZQ6" t="s">
        <v>6984</v>
      </c>
      <c r="DZR6" t="s">
        <v>6984</v>
      </c>
      <c r="DZS6" t="s">
        <v>6984</v>
      </c>
      <c r="DZT6" t="s">
        <v>6984</v>
      </c>
      <c r="DZU6" t="s">
        <v>6984</v>
      </c>
      <c r="DZV6" t="s">
        <v>6984</v>
      </c>
      <c r="DZW6" t="s">
        <v>6984</v>
      </c>
      <c r="DZX6" t="s">
        <v>6984</v>
      </c>
      <c r="DZY6" t="s">
        <v>6984</v>
      </c>
      <c r="DZZ6" t="s">
        <v>6984</v>
      </c>
      <c r="EAA6" t="s">
        <v>6984</v>
      </c>
      <c r="EAB6" t="s">
        <v>6984</v>
      </c>
      <c r="EAC6" t="s">
        <v>6984</v>
      </c>
      <c r="EAD6" t="s">
        <v>6984</v>
      </c>
      <c r="EAE6" t="s">
        <v>6984</v>
      </c>
      <c r="EAF6" t="s">
        <v>6984</v>
      </c>
      <c r="EAG6" t="s">
        <v>6984</v>
      </c>
      <c r="EAH6" t="s">
        <v>6984</v>
      </c>
      <c r="EAI6" t="s">
        <v>6984</v>
      </c>
      <c r="EAJ6" t="s">
        <v>6984</v>
      </c>
      <c r="EAK6" t="s">
        <v>6984</v>
      </c>
      <c r="EAL6" t="s">
        <v>6984</v>
      </c>
      <c r="EAM6" t="s">
        <v>6984</v>
      </c>
      <c r="EAN6" t="s">
        <v>6984</v>
      </c>
      <c r="EAO6" t="s">
        <v>6984</v>
      </c>
      <c r="EAP6" t="s">
        <v>6984</v>
      </c>
      <c r="EAQ6" t="s">
        <v>6984</v>
      </c>
      <c r="EAR6" t="s">
        <v>6984</v>
      </c>
      <c r="EAS6" t="s">
        <v>6984</v>
      </c>
      <c r="EAT6" t="s">
        <v>6984</v>
      </c>
      <c r="EAU6" t="s">
        <v>6984</v>
      </c>
      <c r="EAV6" t="s">
        <v>6984</v>
      </c>
      <c r="EAW6" t="s">
        <v>6984</v>
      </c>
      <c r="EAX6" t="s">
        <v>6984</v>
      </c>
      <c r="EAY6" t="s">
        <v>6984</v>
      </c>
      <c r="EAZ6" t="s">
        <v>6984</v>
      </c>
      <c r="EBA6" t="s">
        <v>6984</v>
      </c>
      <c r="EBB6" t="s">
        <v>6984</v>
      </c>
      <c r="EBC6" t="s">
        <v>6984</v>
      </c>
      <c r="EBD6" t="s">
        <v>6984</v>
      </c>
      <c r="EBE6" t="s">
        <v>6984</v>
      </c>
      <c r="EBF6" t="s">
        <v>6984</v>
      </c>
      <c r="EBG6" t="s">
        <v>6984</v>
      </c>
      <c r="EBH6" t="s">
        <v>6984</v>
      </c>
      <c r="EBI6" t="s">
        <v>6984</v>
      </c>
      <c r="EBJ6" t="s">
        <v>6984</v>
      </c>
      <c r="EBK6" t="s">
        <v>6984</v>
      </c>
      <c r="EBL6" t="s">
        <v>6984</v>
      </c>
      <c r="EBM6" t="s">
        <v>6984</v>
      </c>
      <c r="EBN6" t="s">
        <v>6984</v>
      </c>
      <c r="EBO6" t="s">
        <v>6984</v>
      </c>
      <c r="EBP6" t="s">
        <v>6984</v>
      </c>
      <c r="EBQ6" t="s">
        <v>6984</v>
      </c>
      <c r="EBR6" t="s">
        <v>6984</v>
      </c>
      <c r="EBS6" t="s">
        <v>6984</v>
      </c>
      <c r="EBT6" t="s">
        <v>6984</v>
      </c>
      <c r="EBU6" t="s">
        <v>6984</v>
      </c>
      <c r="EBV6" t="s">
        <v>6984</v>
      </c>
      <c r="EBW6" t="s">
        <v>6984</v>
      </c>
      <c r="EBX6" t="s">
        <v>6984</v>
      </c>
      <c r="EBY6" t="s">
        <v>6984</v>
      </c>
      <c r="EBZ6" t="s">
        <v>6984</v>
      </c>
      <c r="ECA6" t="s">
        <v>6984</v>
      </c>
      <c r="ECB6" t="s">
        <v>6984</v>
      </c>
      <c r="ECC6" t="s">
        <v>6984</v>
      </c>
      <c r="ECD6" t="s">
        <v>6984</v>
      </c>
      <c r="ECE6" t="s">
        <v>6984</v>
      </c>
      <c r="ECF6" t="s">
        <v>6984</v>
      </c>
      <c r="ECG6" t="s">
        <v>6984</v>
      </c>
      <c r="ECH6" t="s">
        <v>6984</v>
      </c>
      <c r="ECI6" t="s">
        <v>6984</v>
      </c>
      <c r="ECJ6" t="s">
        <v>6984</v>
      </c>
      <c r="ECK6" t="s">
        <v>6984</v>
      </c>
      <c r="ECL6" t="s">
        <v>6984</v>
      </c>
      <c r="ECM6" t="s">
        <v>6984</v>
      </c>
      <c r="ECN6" t="s">
        <v>6984</v>
      </c>
      <c r="ECO6" t="s">
        <v>6984</v>
      </c>
      <c r="ECP6" t="s">
        <v>6984</v>
      </c>
      <c r="ECQ6" t="s">
        <v>6984</v>
      </c>
      <c r="ECR6" t="s">
        <v>6984</v>
      </c>
      <c r="ECS6" t="s">
        <v>6984</v>
      </c>
      <c r="ECT6" t="s">
        <v>6984</v>
      </c>
      <c r="ECU6" t="s">
        <v>6984</v>
      </c>
      <c r="ECV6" t="s">
        <v>6984</v>
      </c>
      <c r="ECW6" t="s">
        <v>6984</v>
      </c>
      <c r="ECX6" t="s">
        <v>6984</v>
      </c>
      <c r="ECY6" t="s">
        <v>6984</v>
      </c>
      <c r="ECZ6" t="s">
        <v>6984</v>
      </c>
      <c r="EDA6" t="s">
        <v>6984</v>
      </c>
      <c r="EDB6" t="s">
        <v>6984</v>
      </c>
      <c r="EDC6" t="s">
        <v>6984</v>
      </c>
      <c r="EDD6" t="s">
        <v>6984</v>
      </c>
      <c r="EDE6" t="s">
        <v>6984</v>
      </c>
      <c r="EDF6" t="s">
        <v>6984</v>
      </c>
      <c r="EDG6" t="s">
        <v>6984</v>
      </c>
      <c r="EDH6" t="s">
        <v>6984</v>
      </c>
      <c r="EDI6" t="s">
        <v>6984</v>
      </c>
      <c r="EDJ6" t="s">
        <v>6984</v>
      </c>
      <c r="EDK6" t="s">
        <v>6984</v>
      </c>
      <c r="EDL6" t="s">
        <v>6984</v>
      </c>
      <c r="EDM6" t="s">
        <v>6984</v>
      </c>
      <c r="EDN6" t="s">
        <v>6984</v>
      </c>
      <c r="EDO6" t="s">
        <v>6984</v>
      </c>
      <c r="EDP6" t="s">
        <v>6984</v>
      </c>
      <c r="EDQ6" t="s">
        <v>6984</v>
      </c>
      <c r="EDR6" t="s">
        <v>6984</v>
      </c>
      <c r="EDS6" t="s">
        <v>6984</v>
      </c>
      <c r="EDT6" t="s">
        <v>6984</v>
      </c>
      <c r="EDU6" t="s">
        <v>6984</v>
      </c>
      <c r="EDV6" t="s">
        <v>6984</v>
      </c>
      <c r="EDW6" t="s">
        <v>6984</v>
      </c>
      <c r="EDX6" t="s">
        <v>6984</v>
      </c>
      <c r="EDY6" t="s">
        <v>6984</v>
      </c>
      <c r="EDZ6" t="s">
        <v>6984</v>
      </c>
      <c r="EEA6" t="s">
        <v>6984</v>
      </c>
      <c r="EEB6" t="s">
        <v>6984</v>
      </c>
      <c r="EEC6" t="s">
        <v>6984</v>
      </c>
      <c r="EED6" t="s">
        <v>6984</v>
      </c>
      <c r="EEE6" t="s">
        <v>6984</v>
      </c>
      <c r="EEF6" t="s">
        <v>6984</v>
      </c>
      <c r="EEG6" t="s">
        <v>6984</v>
      </c>
      <c r="EEH6" t="s">
        <v>6984</v>
      </c>
      <c r="EEI6" t="s">
        <v>6984</v>
      </c>
      <c r="EEJ6" t="s">
        <v>6984</v>
      </c>
      <c r="EEK6" t="s">
        <v>6984</v>
      </c>
      <c r="EEL6" t="s">
        <v>6984</v>
      </c>
      <c r="EEM6" t="s">
        <v>6984</v>
      </c>
      <c r="EEN6" t="s">
        <v>6984</v>
      </c>
      <c r="EEO6" t="s">
        <v>6984</v>
      </c>
      <c r="EEP6" t="s">
        <v>6984</v>
      </c>
      <c r="EEQ6" t="s">
        <v>6984</v>
      </c>
      <c r="EER6" t="s">
        <v>6984</v>
      </c>
      <c r="EES6" t="s">
        <v>6984</v>
      </c>
      <c r="EET6" t="s">
        <v>6984</v>
      </c>
      <c r="EEU6" t="s">
        <v>6984</v>
      </c>
      <c r="EEV6" t="s">
        <v>6984</v>
      </c>
      <c r="EEW6" t="s">
        <v>6984</v>
      </c>
      <c r="EEX6" t="s">
        <v>6984</v>
      </c>
      <c r="EEY6" t="s">
        <v>6984</v>
      </c>
      <c r="EEZ6" t="s">
        <v>6984</v>
      </c>
      <c r="EFA6" t="s">
        <v>6984</v>
      </c>
      <c r="EFB6" t="s">
        <v>6984</v>
      </c>
      <c r="EFC6" t="s">
        <v>6984</v>
      </c>
      <c r="EFD6" t="s">
        <v>6984</v>
      </c>
      <c r="EFE6" t="s">
        <v>6984</v>
      </c>
      <c r="EFF6" t="s">
        <v>6984</v>
      </c>
      <c r="EFG6" t="s">
        <v>6984</v>
      </c>
      <c r="EFH6" t="s">
        <v>6984</v>
      </c>
      <c r="EFI6" t="s">
        <v>6984</v>
      </c>
      <c r="EFJ6" t="s">
        <v>6984</v>
      </c>
      <c r="EFK6" t="s">
        <v>6984</v>
      </c>
      <c r="EFL6" t="s">
        <v>6984</v>
      </c>
      <c r="EFM6" t="s">
        <v>6984</v>
      </c>
      <c r="EFN6" t="s">
        <v>6984</v>
      </c>
      <c r="EFO6" t="s">
        <v>6984</v>
      </c>
      <c r="EFP6" t="s">
        <v>6984</v>
      </c>
      <c r="EFQ6" t="s">
        <v>6984</v>
      </c>
      <c r="EFR6" t="s">
        <v>6984</v>
      </c>
      <c r="EFS6" t="s">
        <v>6984</v>
      </c>
      <c r="EFT6" t="s">
        <v>6984</v>
      </c>
      <c r="EFU6" t="s">
        <v>6984</v>
      </c>
      <c r="EFV6" t="s">
        <v>6984</v>
      </c>
      <c r="EFW6" t="s">
        <v>6984</v>
      </c>
      <c r="EFX6" t="s">
        <v>6984</v>
      </c>
      <c r="EFY6" t="s">
        <v>6984</v>
      </c>
      <c r="EFZ6" t="s">
        <v>6984</v>
      </c>
      <c r="EGA6" t="s">
        <v>6984</v>
      </c>
      <c r="EGB6" t="s">
        <v>6984</v>
      </c>
      <c r="EGC6" t="s">
        <v>6984</v>
      </c>
      <c r="EGD6" t="s">
        <v>6984</v>
      </c>
      <c r="EGE6" t="s">
        <v>6984</v>
      </c>
      <c r="EGF6" t="s">
        <v>6984</v>
      </c>
      <c r="EGG6" t="s">
        <v>6984</v>
      </c>
      <c r="EGH6" t="s">
        <v>6984</v>
      </c>
      <c r="EGI6" t="s">
        <v>6984</v>
      </c>
      <c r="EGJ6" t="s">
        <v>6984</v>
      </c>
      <c r="EGK6" t="s">
        <v>6984</v>
      </c>
      <c r="EGL6" t="s">
        <v>6984</v>
      </c>
      <c r="EGM6" t="s">
        <v>6984</v>
      </c>
      <c r="EGN6" t="s">
        <v>6984</v>
      </c>
      <c r="EGO6" t="s">
        <v>6984</v>
      </c>
      <c r="EGP6" t="s">
        <v>6984</v>
      </c>
      <c r="EGQ6" t="s">
        <v>6984</v>
      </c>
      <c r="EGR6" t="s">
        <v>6984</v>
      </c>
      <c r="EGS6" t="s">
        <v>6984</v>
      </c>
      <c r="EGT6" t="s">
        <v>6984</v>
      </c>
      <c r="EGU6" t="s">
        <v>6984</v>
      </c>
      <c r="EGV6" t="s">
        <v>6984</v>
      </c>
      <c r="EGW6" t="s">
        <v>6984</v>
      </c>
      <c r="EGX6" t="s">
        <v>6984</v>
      </c>
      <c r="EGY6" t="s">
        <v>6984</v>
      </c>
      <c r="EGZ6" t="s">
        <v>6984</v>
      </c>
      <c r="EHA6" t="s">
        <v>6984</v>
      </c>
      <c r="EHB6" t="s">
        <v>6984</v>
      </c>
      <c r="EHC6" t="s">
        <v>6984</v>
      </c>
      <c r="EHD6" t="s">
        <v>6984</v>
      </c>
      <c r="EHE6" t="s">
        <v>6984</v>
      </c>
      <c r="EHF6" t="s">
        <v>6984</v>
      </c>
      <c r="EHG6" t="s">
        <v>6984</v>
      </c>
      <c r="EHH6" t="s">
        <v>6984</v>
      </c>
      <c r="EHI6" t="s">
        <v>6984</v>
      </c>
      <c r="EHJ6" t="s">
        <v>6984</v>
      </c>
      <c r="EHK6" t="s">
        <v>6984</v>
      </c>
      <c r="EHL6" t="s">
        <v>6984</v>
      </c>
      <c r="EHM6" t="s">
        <v>6984</v>
      </c>
      <c r="EHN6" t="s">
        <v>6984</v>
      </c>
      <c r="EHO6" t="s">
        <v>6984</v>
      </c>
      <c r="EHP6" t="s">
        <v>6984</v>
      </c>
      <c r="EHQ6" t="s">
        <v>6984</v>
      </c>
      <c r="EHR6" t="s">
        <v>6984</v>
      </c>
      <c r="EHS6" t="s">
        <v>6984</v>
      </c>
      <c r="EHT6" t="s">
        <v>6984</v>
      </c>
      <c r="EHU6" t="s">
        <v>6984</v>
      </c>
      <c r="EHV6" t="s">
        <v>6984</v>
      </c>
      <c r="EHW6" t="s">
        <v>6984</v>
      </c>
      <c r="EHX6" t="s">
        <v>6984</v>
      </c>
      <c r="EHY6" t="s">
        <v>6984</v>
      </c>
      <c r="EHZ6" t="s">
        <v>6984</v>
      </c>
      <c r="EIA6" t="s">
        <v>6984</v>
      </c>
      <c r="EIB6" t="s">
        <v>6984</v>
      </c>
      <c r="EIC6" t="s">
        <v>6984</v>
      </c>
      <c r="EID6" t="s">
        <v>6984</v>
      </c>
      <c r="EIE6" t="s">
        <v>6984</v>
      </c>
      <c r="EIF6" t="s">
        <v>6984</v>
      </c>
      <c r="EIG6" t="s">
        <v>6984</v>
      </c>
      <c r="EIH6" t="s">
        <v>6984</v>
      </c>
      <c r="EII6" t="s">
        <v>6984</v>
      </c>
      <c r="EIJ6" t="s">
        <v>6984</v>
      </c>
      <c r="EIK6" t="s">
        <v>6984</v>
      </c>
      <c r="EIL6" t="s">
        <v>6984</v>
      </c>
      <c r="EIM6" t="s">
        <v>6984</v>
      </c>
      <c r="EIN6" t="s">
        <v>6984</v>
      </c>
      <c r="EIO6" t="s">
        <v>6984</v>
      </c>
      <c r="EIP6" t="s">
        <v>6984</v>
      </c>
      <c r="EIQ6" t="s">
        <v>6984</v>
      </c>
      <c r="EIR6" t="s">
        <v>6984</v>
      </c>
      <c r="EIS6" t="s">
        <v>6984</v>
      </c>
      <c r="EIT6" t="s">
        <v>6984</v>
      </c>
      <c r="EIU6" t="s">
        <v>6984</v>
      </c>
      <c r="EIV6" t="s">
        <v>6984</v>
      </c>
      <c r="EIW6" t="s">
        <v>6984</v>
      </c>
      <c r="EIX6" t="s">
        <v>6984</v>
      </c>
      <c r="EIY6" t="s">
        <v>6984</v>
      </c>
      <c r="EIZ6" t="s">
        <v>6984</v>
      </c>
      <c r="EJA6" t="s">
        <v>6984</v>
      </c>
      <c r="EJB6" t="s">
        <v>6984</v>
      </c>
      <c r="EJC6" t="s">
        <v>6984</v>
      </c>
      <c r="EJD6" t="s">
        <v>6984</v>
      </c>
      <c r="EJE6" t="s">
        <v>6984</v>
      </c>
      <c r="EJF6" t="s">
        <v>6984</v>
      </c>
      <c r="EJG6" t="s">
        <v>6984</v>
      </c>
      <c r="EJH6" t="s">
        <v>6984</v>
      </c>
      <c r="EJI6" t="s">
        <v>6984</v>
      </c>
      <c r="EJJ6" t="s">
        <v>6984</v>
      </c>
      <c r="EJK6" t="s">
        <v>6984</v>
      </c>
      <c r="EJL6" t="s">
        <v>6984</v>
      </c>
      <c r="EJM6" t="s">
        <v>6984</v>
      </c>
      <c r="EJN6" t="s">
        <v>6984</v>
      </c>
      <c r="EJO6" t="s">
        <v>6984</v>
      </c>
      <c r="EJP6" t="s">
        <v>6984</v>
      </c>
      <c r="EJQ6" t="s">
        <v>6984</v>
      </c>
      <c r="EJR6" t="s">
        <v>6984</v>
      </c>
      <c r="EJS6" t="s">
        <v>6984</v>
      </c>
      <c r="EJT6" t="s">
        <v>6984</v>
      </c>
      <c r="EJU6" t="s">
        <v>6984</v>
      </c>
      <c r="EJV6" t="s">
        <v>6984</v>
      </c>
      <c r="EJW6" t="s">
        <v>6984</v>
      </c>
      <c r="EJX6" t="s">
        <v>6984</v>
      </c>
      <c r="EJY6" t="s">
        <v>6984</v>
      </c>
      <c r="EJZ6" t="s">
        <v>6984</v>
      </c>
      <c r="EKA6" t="s">
        <v>6984</v>
      </c>
      <c r="EKB6" t="s">
        <v>6984</v>
      </c>
      <c r="EKC6" t="s">
        <v>6984</v>
      </c>
      <c r="EKD6" t="s">
        <v>6984</v>
      </c>
      <c r="EKE6" t="s">
        <v>6984</v>
      </c>
      <c r="EKF6" t="s">
        <v>6984</v>
      </c>
      <c r="EKG6" t="s">
        <v>6984</v>
      </c>
      <c r="EKH6" t="s">
        <v>6984</v>
      </c>
      <c r="EKI6" t="s">
        <v>6984</v>
      </c>
      <c r="EKJ6" t="s">
        <v>6984</v>
      </c>
      <c r="EKK6" t="s">
        <v>6984</v>
      </c>
      <c r="EKL6" t="s">
        <v>6984</v>
      </c>
      <c r="EKM6" t="s">
        <v>6984</v>
      </c>
      <c r="EKN6" t="s">
        <v>6984</v>
      </c>
      <c r="EKO6" t="s">
        <v>6984</v>
      </c>
      <c r="EKP6" t="s">
        <v>6984</v>
      </c>
      <c r="EKQ6" t="s">
        <v>6984</v>
      </c>
      <c r="EKR6" t="s">
        <v>6984</v>
      </c>
      <c r="EKS6" t="s">
        <v>6984</v>
      </c>
      <c r="EKT6" t="s">
        <v>6984</v>
      </c>
      <c r="EKU6" t="s">
        <v>6984</v>
      </c>
      <c r="EKV6" t="s">
        <v>6984</v>
      </c>
      <c r="EKW6" t="s">
        <v>6984</v>
      </c>
      <c r="EKX6" t="s">
        <v>6984</v>
      </c>
      <c r="EKY6" t="s">
        <v>6984</v>
      </c>
      <c r="EKZ6" t="s">
        <v>6984</v>
      </c>
      <c r="ELA6" t="s">
        <v>6984</v>
      </c>
      <c r="ELB6" t="s">
        <v>6984</v>
      </c>
      <c r="ELC6" t="s">
        <v>6984</v>
      </c>
      <c r="ELD6" t="s">
        <v>6984</v>
      </c>
      <c r="ELE6" t="s">
        <v>6984</v>
      </c>
      <c r="ELF6" t="s">
        <v>6984</v>
      </c>
      <c r="ELG6" t="s">
        <v>6984</v>
      </c>
      <c r="ELH6" t="s">
        <v>6984</v>
      </c>
      <c r="ELI6" t="s">
        <v>6984</v>
      </c>
      <c r="ELJ6" t="s">
        <v>6984</v>
      </c>
      <c r="ELK6" t="s">
        <v>6984</v>
      </c>
      <c r="ELL6" t="s">
        <v>6984</v>
      </c>
      <c r="ELM6" t="s">
        <v>6984</v>
      </c>
      <c r="ELN6" t="s">
        <v>6984</v>
      </c>
      <c r="ELO6" t="s">
        <v>6984</v>
      </c>
      <c r="ELP6" t="s">
        <v>6984</v>
      </c>
      <c r="ELQ6" t="s">
        <v>6984</v>
      </c>
      <c r="ELR6" t="s">
        <v>6984</v>
      </c>
      <c r="ELS6" t="s">
        <v>6984</v>
      </c>
      <c r="ELT6" t="s">
        <v>6984</v>
      </c>
      <c r="ELU6" t="s">
        <v>6984</v>
      </c>
      <c r="ELV6" t="s">
        <v>6984</v>
      </c>
      <c r="ELW6" t="s">
        <v>6984</v>
      </c>
      <c r="ELX6" t="s">
        <v>6984</v>
      </c>
      <c r="ELY6" t="s">
        <v>6984</v>
      </c>
      <c r="ELZ6" t="s">
        <v>6984</v>
      </c>
      <c r="EMA6" t="s">
        <v>6984</v>
      </c>
      <c r="EMB6" t="s">
        <v>6984</v>
      </c>
      <c r="EMC6" t="s">
        <v>6984</v>
      </c>
      <c r="EMD6" t="s">
        <v>6984</v>
      </c>
      <c r="EME6" t="s">
        <v>6984</v>
      </c>
      <c r="EMF6" t="s">
        <v>6984</v>
      </c>
      <c r="EMG6" t="s">
        <v>6984</v>
      </c>
      <c r="EMH6" t="s">
        <v>6984</v>
      </c>
      <c r="EMI6" t="s">
        <v>6984</v>
      </c>
      <c r="EMJ6" t="s">
        <v>6984</v>
      </c>
      <c r="EMK6" t="s">
        <v>6984</v>
      </c>
      <c r="EML6" t="s">
        <v>6984</v>
      </c>
      <c r="EMM6" t="s">
        <v>6984</v>
      </c>
      <c r="EMN6" t="s">
        <v>6984</v>
      </c>
      <c r="EMO6" t="s">
        <v>6984</v>
      </c>
      <c r="EMP6" t="s">
        <v>6984</v>
      </c>
      <c r="EMQ6" t="s">
        <v>6984</v>
      </c>
      <c r="EMR6" t="s">
        <v>6984</v>
      </c>
      <c r="EMS6" t="s">
        <v>6984</v>
      </c>
      <c r="EMT6" t="s">
        <v>6984</v>
      </c>
      <c r="EMU6" t="s">
        <v>6984</v>
      </c>
      <c r="EMV6" t="s">
        <v>6984</v>
      </c>
      <c r="EMW6" t="s">
        <v>6984</v>
      </c>
      <c r="EMX6" t="s">
        <v>6984</v>
      </c>
      <c r="EMY6" t="s">
        <v>6984</v>
      </c>
      <c r="EMZ6" t="s">
        <v>6984</v>
      </c>
      <c r="ENA6" t="s">
        <v>6984</v>
      </c>
      <c r="ENB6" t="s">
        <v>6984</v>
      </c>
      <c r="ENC6" t="s">
        <v>6984</v>
      </c>
      <c r="END6" t="s">
        <v>6984</v>
      </c>
      <c r="ENE6" t="s">
        <v>6984</v>
      </c>
      <c r="ENF6" t="s">
        <v>6984</v>
      </c>
      <c r="ENG6" t="s">
        <v>6984</v>
      </c>
      <c r="ENH6" t="s">
        <v>6984</v>
      </c>
      <c r="ENI6" t="s">
        <v>6984</v>
      </c>
      <c r="ENJ6" t="s">
        <v>6984</v>
      </c>
      <c r="ENK6" t="s">
        <v>6984</v>
      </c>
      <c r="ENL6" t="s">
        <v>6984</v>
      </c>
      <c r="ENM6" t="s">
        <v>6984</v>
      </c>
      <c r="ENN6" t="s">
        <v>6984</v>
      </c>
      <c r="ENO6" t="s">
        <v>6984</v>
      </c>
      <c r="ENP6" t="s">
        <v>6984</v>
      </c>
      <c r="ENQ6" t="s">
        <v>6984</v>
      </c>
      <c r="ENR6" t="s">
        <v>6984</v>
      </c>
      <c r="ENS6" t="s">
        <v>6984</v>
      </c>
      <c r="ENT6" t="s">
        <v>6984</v>
      </c>
      <c r="ENU6" t="s">
        <v>6984</v>
      </c>
      <c r="ENV6" t="s">
        <v>6984</v>
      </c>
      <c r="ENW6" t="s">
        <v>6984</v>
      </c>
      <c r="ENX6" t="s">
        <v>6984</v>
      </c>
      <c r="ENY6" t="s">
        <v>6984</v>
      </c>
      <c r="ENZ6" t="s">
        <v>6984</v>
      </c>
      <c r="EOA6" t="s">
        <v>6984</v>
      </c>
      <c r="EOB6" t="s">
        <v>6984</v>
      </c>
      <c r="EOC6" t="s">
        <v>6984</v>
      </c>
      <c r="EOD6" t="s">
        <v>6984</v>
      </c>
      <c r="EOE6" t="s">
        <v>6984</v>
      </c>
      <c r="EOF6" t="s">
        <v>6984</v>
      </c>
      <c r="EOG6" t="s">
        <v>6984</v>
      </c>
      <c r="EOH6" t="s">
        <v>6984</v>
      </c>
      <c r="EOI6" t="s">
        <v>6984</v>
      </c>
      <c r="EOJ6" t="s">
        <v>6984</v>
      </c>
      <c r="EOK6" t="s">
        <v>6984</v>
      </c>
      <c r="EOL6" t="s">
        <v>6984</v>
      </c>
      <c r="EOM6" t="s">
        <v>6984</v>
      </c>
      <c r="EON6" t="s">
        <v>6984</v>
      </c>
      <c r="EOO6" t="s">
        <v>6984</v>
      </c>
      <c r="EOP6" t="s">
        <v>6984</v>
      </c>
      <c r="EOQ6" t="s">
        <v>6984</v>
      </c>
      <c r="EOR6" t="s">
        <v>6984</v>
      </c>
      <c r="EOS6" t="s">
        <v>6984</v>
      </c>
      <c r="EOT6" t="s">
        <v>6984</v>
      </c>
      <c r="EOU6" t="s">
        <v>6984</v>
      </c>
      <c r="EOV6" t="s">
        <v>6984</v>
      </c>
      <c r="EOW6" t="s">
        <v>6984</v>
      </c>
      <c r="EOX6" t="s">
        <v>6984</v>
      </c>
      <c r="EOY6" t="s">
        <v>6984</v>
      </c>
      <c r="EOZ6" t="s">
        <v>6984</v>
      </c>
      <c r="EPA6" t="s">
        <v>6984</v>
      </c>
      <c r="EPB6" t="s">
        <v>6984</v>
      </c>
      <c r="EPC6" t="s">
        <v>6984</v>
      </c>
      <c r="EPD6" t="s">
        <v>6984</v>
      </c>
      <c r="EPE6" t="s">
        <v>6984</v>
      </c>
      <c r="EPF6" t="s">
        <v>6984</v>
      </c>
      <c r="EPG6" t="s">
        <v>6984</v>
      </c>
      <c r="EPH6" t="s">
        <v>6984</v>
      </c>
      <c r="EPI6" t="s">
        <v>6984</v>
      </c>
      <c r="EPJ6" t="s">
        <v>6984</v>
      </c>
      <c r="EPK6" t="s">
        <v>6984</v>
      </c>
      <c r="EPL6" t="s">
        <v>6984</v>
      </c>
      <c r="EPM6" t="s">
        <v>6984</v>
      </c>
      <c r="EPN6" t="s">
        <v>6984</v>
      </c>
      <c r="EPO6" t="s">
        <v>6984</v>
      </c>
      <c r="EPP6" t="s">
        <v>6984</v>
      </c>
      <c r="EPQ6" t="s">
        <v>6984</v>
      </c>
      <c r="EPR6" t="s">
        <v>6984</v>
      </c>
      <c r="EPS6" t="s">
        <v>6984</v>
      </c>
      <c r="EPT6" t="s">
        <v>6984</v>
      </c>
      <c r="EPU6" t="s">
        <v>6984</v>
      </c>
      <c r="EPV6" t="s">
        <v>6984</v>
      </c>
      <c r="EPW6" t="s">
        <v>6984</v>
      </c>
      <c r="EPX6" t="s">
        <v>6984</v>
      </c>
      <c r="EPY6" t="s">
        <v>6984</v>
      </c>
      <c r="EPZ6" t="s">
        <v>6984</v>
      </c>
      <c r="EQA6" t="s">
        <v>6984</v>
      </c>
      <c r="EQB6" t="s">
        <v>6984</v>
      </c>
      <c r="EQC6" t="s">
        <v>6984</v>
      </c>
      <c r="EQD6" t="s">
        <v>6984</v>
      </c>
      <c r="EQE6" t="s">
        <v>6984</v>
      </c>
      <c r="EQF6" t="s">
        <v>6984</v>
      </c>
      <c r="EQG6" t="s">
        <v>6984</v>
      </c>
      <c r="EQH6" t="s">
        <v>6984</v>
      </c>
      <c r="EQI6" t="s">
        <v>6984</v>
      </c>
      <c r="EQJ6" t="s">
        <v>6984</v>
      </c>
      <c r="EQK6" t="s">
        <v>6984</v>
      </c>
      <c r="EQL6" t="s">
        <v>6984</v>
      </c>
      <c r="EQM6" t="s">
        <v>6984</v>
      </c>
      <c r="EQN6" t="s">
        <v>6984</v>
      </c>
      <c r="EQO6" t="s">
        <v>6984</v>
      </c>
      <c r="EQP6" t="s">
        <v>6984</v>
      </c>
      <c r="EQQ6" t="s">
        <v>6984</v>
      </c>
      <c r="EQR6" t="s">
        <v>6984</v>
      </c>
      <c r="EQS6" t="s">
        <v>6984</v>
      </c>
      <c r="EQT6" t="s">
        <v>6984</v>
      </c>
      <c r="EQU6" t="s">
        <v>6984</v>
      </c>
      <c r="EQV6" t="s">
        <v>6984</v>
      </c>
      <c r="EQW6" t="s">
        <v>6984</v>
      </c>
      <c r="EQX6" t="s">
        <v>6984</v>
      </c>
      <c r="EQY6" t="s">
        <v>6984</v>
      </c>
      <c r="EQZ6" t="s">
        <v>6984</v>
      </c>
      <c r="ERA6" t="s">
        <v>6984</v>
      </c>
      <c r="ERB6" t="s">
        <v>6984</v>
      </c>
      <c r="ERC6" t="s">
        <v>6984</v>
      </c>
      <c r="ERD6" t="s">
        <v>6984</v>
      </c>
      <c r="ERE6" t="s">
        <v>6984</v>
      </c>
      <c r="ERF6" t="s">
        <v>6984</v>
      </c>
      <c r="ERG6" t="s">
        <v>6984</v>
      </c>
      <c r="ERH6" t="s">
        <v>6984</v>
      </c>
      <c r="ERI6" t="s">
        <v>6984</v>
      </c>
      <c r="ERJ6" t="s">
        <v>6984</v>
      </c>
      <c r="ERK6" t="s">
        <v>6984</v>
      </c>
      <c r="ERL6" t="s">
        <v>6984</v>
      </c>
      <c r="ERM6" t="s">
        <v>6984</v>
      </c>
      <c r="ERN6" t="s">
        <v>6984</v>
      </c>
      <c r="ERO6" t="s">
        <v>6984</v>
      </c>
      <c r="ERP6" t="s">
        <v>6984</v>
      </c>
      <c r="ERQ6" t="s">
        <v>6984</v>
      </c>
      <c r="ERR6" t="s">
        <v>6984</v>
      </c>
      <c r="ERS6" t="s">
        <v>6984</v>
      </c>
      <c r="ERT6" t="s">
        <v>6984</v>
      </c>
      <c r="ERU6" t="s">
        <v>6984</v>
      </c>
      <c r="ERV6" t="s">
        <v>6984</v>
      </c>
      <c r="ERW6" t="s">
        <v>6984</v>
      </c>
      <c r="ERX6" t="s">
        <v>6984</v>
      </c>
      <c r="ERY6" t="s">
        <v>6984</v>
      </c>
      <c r="ERZ6" t="s">
        <v>6984</v>
      </c>
      <c r="ESA6" t="s">
        <v>6984</v>
      </c>
      <c r="ESB6" t="s">
        <v>6984</v>
      </c>
      <c r="ESC6" t="s">
        <v>6984</v>
      </c>
      <c r="ESD6" t="s">
        <v>6984</v>
      </c>
      <c r="ESE6" t="s">
        <v>6984</v>
      </c>
      <c r="ESF6" t="s">
        <v>6984</v>
      </c>
      <c r="ESG6" t="s">
        <v>6984</v>
      </c>
      <c r="ESH6" t="s">
        <v>6984</v>
      </c>
      <c r="ESI6" t="s">
        <v>6984</v>
      </c>
      <c r="ESJ6" t="s">
        <v>6984</v>
      </c>
      <c r="ESK6" t="s">
        <v>6984</v>
      </c>
      <c r="ESL6" t="s">
        <v>6984</v>
      </c>
      <c r="ESM6" t="s">
        <v>6984</v>
      </c>
      <c r="ESN6" t="s">
        <v>6984</v>
      </c>
      <c r="ESO6" t="s">
        <v>6984</v>
      </c>
      <c r="ESP6" t="s">
        <v>6984</v>
      </c>
      <c r="ESQ6" t="s">
        <v>6984</v>
      </c>
      <c r="ESR6" t="s">
        <v>6984</v>
      </c>
      <c r="ESS6" t="s">
        <v>6984</v>
      </c>
      <c r="EST6" t="s">
        <v>6984</v>
      </c>
      <c r="ESU6" t="s">
        <v>6984</v>
      </c>
      <c r="ESV6" t="s">
        <v>6984</v>
      </c>
      <c r="ESW6" t="s">
        <v>6984</v>
      </c>
      <c r="ESX6" t="s">
        <v>6984</v>
      </c>
      <c r="ESY6" t="s">
        <v>6984</v>
      </c>
      <c r="ESZ6" t="s">
        <v>6984</v>
      </c>
      <c r="ETA6" t="s">
        <v>6984</v>
      </c>
      <c r="ETB6" t="s">
        <v>6984</v>
      </c>
      <c r="ETC6" t="s">
        <v>6984</v>
      </c>
      <c r="ETD6" t="s">
        <v>6984</v>
      </c>
      <c r="ETE6" t="s">
        <v>6984</v>
      </c>
      <c r="ETF6" t="s">
        <v>6984</v>
      </c>
      <c r="ETG6" t="s">
        <v>6984</v>
      </c>
      <c r="ETH6" t="s">
        <v>6984</v>
      </c>
      <c r="ETI6" t="s">
        <v>6984</v>
      </c>
      <c r="ETJ6" t="s">
        <v>6984</v>
      </c>
      <c r="ETK6" t="s">
        <v>6984</v>
      </c>
      <c r="ETL6" t="s">
        <v>6984</v>
      </c>
      <c r="ETM6" t="s">
        <v>6984</v>
      </c>
      <c r="ETN6" t="s">
        <v>6984</v>
      </c>
      <c r="ETO6" t="s">
        <v>6984</v>
      </c>
      <c r="ETP6" t="s">
        <v>6984</v>
      </c>
      <c r="ETQ6" t="s">
        <v>6984</v>
      </c>
      <c r="ETR6" t="s">
        <v>6984</v>
      </c>
      <c r="ETS6" t="s">
        <v>6984</v>
      </c>
      <c r="ETT6" t="s">
        <v>6984</v>
      </c>
      <c r="ETU6" t="s">
        <v>6984</v>
      </c>
      <c r="ETV6" t="s">
        <v>6984</v>
      </c>
      <c r="ETW6" t="s">
        <v>6984</v>
      </c>
      <c r="ETX6" t="s">
        <v>6984</v>
      </c>
      <c r="ETY6" t="s">
        <v>6984</v>
      </c>
      <c r="ETZ6" t="s">
        <v>6984</v>
      </c>
      <c r="EUA6" t="s">
        <v>6984</v>
      </c>
      <c r="EUB6" t="s">
        <v>6984</v>
      </c>
      <c r="EUC6" t="s">
        <v>6984</v>
      </c>
      <c r="EUD6" t="s">
        <v>6984</v>
      </c>
      <c r="EUE6" t="s">
        <v>6984</v>
      </c>
      <c r="EUF6" t="s">
        <v>6984</v>
      </c>
      <c r="EUG6" t="s">
        <v>6984</v>
      </c>
      <c r="EUH6" t="s">
        <v>6984</v>
      </c>
      <c r="EUI6" t="s">
        <v>6984</v>
      </c>
      <c r="EUJ6" t="s">
        <v>6984</v>
      </c>
      <c r="EUK6" t="s">
        <v>6984</v>
      </c>
      <c r="EUL6" t="s">
        <v>6984</v>
      </c>
      <c r="EUM6" t="s">
        <v>6984</v>
      </c>
      <c r="EUN6" t="s">
        <v>6984</v>
      </c>
      <c r="EUO6" t="s">
        <v>6984</v>
      </c>
      <c r="EUP6" t="s">
        <v>6984</v>
      </c>
      <c r="EUQ6" t="s">
        <v>6984</v>
      </c>
      <c r="EUR6" t="s">
        <v>6984</v>
      </c>
      <c r="EUS6" t="s">
        <v>6984</v>
      </c>
      <c r="EUT6" t="s">
        <v>6984</v>
      </c>
      <c r="EUU6" t="s">
        <v>6984</v>
      </c>
      <c r="EUV6" t="s">
        <v>6984</v>
      </c>
      <c r="EUW6" t="s">
        <v>6984</v>
      </c>
      <c r="EUX6" t="s">
        <v>6984</v>
      </c>
      <c r="EUY6" t="s">
        <v>6984</v>
      </c>
      <c r="EUZ6" t="s">
        <v>6984</v>
      </c>
      <c r="EVA6" t="s">
        <v>6984</v>
      </c>
      <c r="EVB6" t="s">
        <v>6984</v>
      </c>
      <c r="EVC6" t="s">
        <v>6984</v>
      </c>
      <c r="EVD6" t="s">
        <v>6984</v>
      </c>
      <c r="EVE6" t="s">
        <v>6984</v>
      </c>
      <c r="EVF6" t="s">
        <v>6984</v>
      </c>
      <c r="EVG6" t="s">
        <v>6984</v>
      </c>
      <c r="EVH6" t="s">
        <v>6984</v>
      </c>
      <c r="EVI6" t="s">
        <v>6984</v>
      </c>
      <c r="EVJ6" t="s">
        <v>6984</v>
      </c>
      <c r="EVK6" t="s">
        <v>6984</v>
      </c>
      <c r="EVL6" t="s">
        <v>6984</v>
      </c>
      <c r="EVM6" t="s">
        <v>6984</v>
      </c>
      <c r="EVN6" t="s">
        <v>6984</v>
      </c>
      <c r="EVO6" t="s">
        <v>6984</v>
      </c>
      <c r="EVP6" t="s">
        <v>6984</v>
      </c>
      <c r="EVQ6" t="s">
        <v>6984</v>
      </c>
      <c r="EVR6" t="s">
        <v>6984</v>
      </c>
      <c r="EVS6" t="s">
        <v>6984</v>
      </c>
      <c r="EVT6" t="s">
        <v>6984</v>
      </c>
      <c r="EVU6" t="s">
        <v>6984</v>
      </c>
      <c r="EVV6" t="s">
        <v>6984</v>
      </c>
      <c r="EVW6" t="s">
        <v>6984</v>
      </c>
      <c r="EVX6" t="s">
        <v>6984</v>
      </c>
      <c r="EVY6" t="s">
        <v>6984</v>
      </c>
      <c r="EVZ6" t="s">
        <v>6984</v>
      </c>
      <c r="EWA6" t="s">
        <v>6984</v>
      </c>
      <c r="EWB6" t="s">
        <v>6984</v>
      </c>
      <c r="EWC6" t="s">
        <v>6984</v>
      </c>
      <c r="EWD6" t="s">
        <v>6984</v>
      </c>
      <c r="EWE6" t="s">
        <v>6984</v>
      </c>
      <c r="EWF6" t="s">
        <v>6984</v>
      </c>
      <c r="EWG6" t="s">
        <v>6984</v>
      </c>
      <c r="EWH6" t="s">
        <v>6984</v>
      </c>
      <c r="EWI6" t="s">
        <v>6984</v>
      </c>
      <c r="EWJ6" t="s">
        <v>6984</v>
      </c>
      <c r="EWK6" t="s">
        <v>6984</v>
      </c>
      <c r="EWL6" t="s">
        <v>6984</v>
      </c>
      <c r="EWM6" t="s">
        <v>6984</v>
      </c>
      <c r="EWN6" t="s">
        <v>6984</v>
      </c>
      <c r="EWO6" t="s">
        <v>6984</v>
      </c>
      <c r="EWP6" t="s">
        <v>6984</v>
      </c>
      <c r="EWQ6" t="s">
        <v>6984</v>
      </c>
      <c r="EWR6" t="s">
        <v>6984</v>
      </c>
      <c r="EWS6" t="s">
        <v>6984</v>
      </c>
      <c r="EWT6" t="s">
        <v>6984</v>
      </c>
      <c r="EWU6" t="s">
        <v>6984</v>
      </c>
      <c r="EWV6" t="s">
        <v>6984</v>
      </c>
      <c r="EWW6" t="s">
        <v>6984</v>
      </c>
      <c r="EWX6" t="s">
        <v>6984</v>
      </c>
      <c r="EWY6" t="s">
        <v>6984</v>
      </c>
      <c r="EWZ6" t="s">
        <v>6984</v>
      </c>
      <c r="EXA6" t="s">
        <v>6984</v>
      </c>
      <c r="EXB6" t="s">
        <v>6984</v>
      </c>
      <c r="EXC6" t="s">
        <v>6984</v>
      </c>
      <c r="EXD6" t="s">
        <v>6984</v>
      </c>
      <c r="EXE6" t="s">
        <v>6984</v>
      </c>
      <c r="EXF6" t="s">
        <v>6984</v>
      </c>
      <c r="EXG6" t="s">
        <v>6984</v>
      </c>
      <c r="EXH6" t="s">
        <v>6984</v>
      </c>
      <c r="EXI6" t="s">
        <v>6984</v>
      </c>
      <c r="EXJ6" t="s">
        <v>6984</v>
      </c>
      <c r="EXK6" t="s">
        <v>6984</v>
      </c>
      <c r="EXL6" t="s">
        <v>6984</v>
      </c>
      <c r="EXM6" t="s">
        <v>6984</v>
      </c>
      <c r="EXN6" t="s">
        <v>6984</v>
      </c>
      <c r="EXO6" t="s">
        <v>6984</v>
      </c>
      <c r="EXP6" t="s">
        <v>6984</v>
      </c>
      <c r="EXQ6" t="s">
        <v>6984</v>
      </c>
      <c r="EXR6" t="s">
        <v>6984</v>
      </c>
      <c r="EXS6" t="s">
        <v>6984</v>
      </c>
      <c r="EXT6" t="s">
        <v>6984</v>
      </c>
      <c r="EXU6" t="s">
        <v>6984</v>
      </c>
      <c r="EXV6" t="s">
        <v>6984</v>
      </c>
      <c r="EXW6" t="s">
        <v>6984</v>
      </c>
      <c r="EXX6" t="s">
        <v>6984</v>
      </c>
      <c r="EXY6" t="s">
        <v>6984</v>
      </c>
      <c r="EXZ6" t="s">
        <v>6984</v>
      </c>
      <c r="EYA6" t="s">
        <v>6984</v>
      </c>
      <c r="EYB6" t="s">
        <v>6984</v>
      </c>
      <c r="EYC6" t="s">
        <v>6984</v>
      </c>
      <c r="EYD6" t="s">
        <v>6984</v>
      </c>
      <c r="EYE6" t="s">
        <v>6984</v>
      </c>
      <c r="EYF6" t="s">
        <v>6984</v>
      </c>
      <c r="EYG6" t="s">
        <v>6984</v>
      </c>
      <c r="EYH6" t="s">
        <v>6984</v>
      </c>
      <c r="EYI6" t="s">
        <v>6984</v>
      </c>
      <c r="EYJ6" t="s">
        <v>6984</v>
      </c>
      <c r="EYK6" t="s">
        <v>6984</v>
      </c>
      <c r="EYL6" t="s">
        <v>6984</v>
      </c>
      <c r="EYM6" t="s">
        <v>6984</v>
      </c>
      <c r="EYN6" t="s">
        <v>6984</v>
      </c>
      <c r="EYO6" t="s">
        <v>6984</v>
      </c>
      <c r="EYP6" t="s">
        <v>6984</v>
      </c>
      <c r="EYQ6" t="s">
        <v>6984</v>
      </c>
      <c r="EYR6" t="s">
        <v>6984</v>
      </c>
      <c r="EYS6" t="s">
        <v>6984</v>
      </c>
      <c r="EYT6" t="s">
        <v>6984</v>
      </c>
      <c r="EYU6" t="s">
        <v>6984</v>
      </c>
      <c r="EYV6" t="s">
        <v>6984</v>
      </c>
      <c r="EYW6" t="s">
        <v>6984</v>
      </c>
      <c r="EYX6" t="s">
        <v>6984</v>
      </c>
      <c r="EYY6" t="s">
        <v>6984</v>
      </c>
      <c r="EYZ6" t="s">
        <v>6984</v>
      </c>
      <c r="EZA6" t="s">
        <v>6984</v>
      </c>
      <c r="EZB6" t="s">
        <v>6984</v>
      </c>
      <c r="EZC6" t="s">
        <v>6984</v>
      </c>
      <c r="EZD6" t="s">
        <v>6984</v>
      </c>
      <c r="EZE6" t="s">
        <v>6984</v>
      </c>
      <c r="EZF6" t="s">
        <v>6984</v>
      </c>
      <c r="EZG6" t="s">
        <v>6984</v>
      </c>
      <c r="EZH6" t="s">
        <v>6984</v>
      </c>
      <c r="EZI6" t="s">
        <v>6984</v>
      </c>
      <c r="EZJ6" t="s">
        <v>6984</v>
      </c>
      <c r="EZK6" t="s">
        <v>6984</v>
      </c>
      <c r="EZL6" t="s">
        <v>6984</v>
      </c>
      <c r="EZM6" t="s">
        <v>6984</v>
      </c>
      <c r="EZN6" t="s">
        <v>6984</v>
      </c>
      <c r="EZO6" t="s">
        <v>6984</v>
      </c>
      <c r="EZP6" t="s">
        <v>6984</v>
      </c>
      <c r="EZQ6" t="s">
        <v>6984</v>
      </c>
      <c r="EZR6" t="s">
        <v>6984</v>
      </c>
      <c r="EZS6" t="s">
        <v>6984</v>
      </c>
      <c r="EZT6" t="s">
        <v>6984</v>
      </c>
      <c r="EZU6" t="s">
        <v>6984</v>
      </c>
      <c r="EZV6" t="s">
        <v>6984</v>
      </c>
      <c r="EZW6" t="s">
        <v>6984</v>
      </c>
      <c r="EZX6" t="s">
        <v>6984</v>
      </c>
      <c r="EZY6" t="s">
        <v>6984</v>
      </c>
      <c r="EZZ6" t="s">
        <v>6984</v>
      </c>
      <c r="FAA6" t="s">
        <v>6984</v>
      </c>
      <c r="FAB6" t="s">
        <v>6984</v>
      </c>
      <c r="FAC6" t="s">
        <v>6984</v>
      </c>
      <c r="FAD6" t="s">
        <v>6984</v>
      </c>
      <c r="FAE6" t="s">
        <v>6984</v>
      </c>
      <c r="FAF6" t="s">
        <v>6984</v>
      </c>
      <c r="FAG6" t="s">
        <v>6984</v>
      </c>
      <c r="FAH6" t="s">
        <v>6984</v>
      </c>
      <c r="FAI6" t="s">
        <v>6984</v>
      </c>
      <c r="FAJ6" t="s">
        <v>6984</v>
      </c>
      <c r="FAK6" t="s">
        <v>6984</v>
      </c>
      <c r="FAL6" t="s">
        <v>6984</v>
      </c>
      <c r="FAM6" t="s">
        <v>6984</v>
      </c>
      <c r="FAN6" t="s">
        <v>6984</v>
      </c>
      <c r="FAO6" t="s">
        <v>6984</v>
      </c>
      <c r="FAP6" t="s">
        <v>6984</v>
      </c>
      <c r="FAQ6" t="s">
        <v>6984</v>
      </c>
      <c r="FAR6" t="s">
        <v>6984</v>
      </c>
      <c r="FAS6" t="s">
        <v>6984</v>
      </c>
      <c r="FAT6" t="s">
        <v>6984</v>
      </c>
      <c r="FAU6" t="s">
        <v>6984</v>
      </c>
      <c r="FAV6" t="s">
        <v>6984</v>
      </c>
      <c r="FAW6" t="s">
        <v>6984</v>
      </c>
      <c r="FAX6" t="s">
        <v>6984</v>
      </c>
      <c r="FAY6" t="s">
        <v>6984</v>
      </c>
      <c r="FAZ6" t="s">
        <v>6984</v>
      </c>
      <c r="FBA6" t="s">
        <v>6984</v>
      </c>
      <c r="FBB6" t="s">
        <v>6984</v>
      </c>
      <c r="FBC6" t="s">
        <v>6984</v>
      </c>
      <c r="FBD6" t="s">
        <v>6984</v>
      </c>
      <c r="FBE6" t="s">
        <v>6984</v>
      </c>
      <c r="FBF6" t="s">
        <v>6984</v>
      </c>
      <c r="FBG6" t="s">
        <v>6984</v>
      </c>
      <c r="FBH6" t="s">
        <v>6984</v>
      </c>
      <c r="FBI6" t="s">
        <v>6984</v>
      </c>
      <c r="FBJ6" t="s">
        <v>6984</v>
      </c>
      <c r="FBK6" t="s">
        <v>6984</v>
      </c>
      <c r="FBL6" t="s">
        <v>6984</v>
      </c>
      <c r="FBM6" t="s">
        <v>6984</v>
      </c>
      <c r="FBN6" t="s">
        <v>6984</v>
      </c>
      <c r="FBO6" t="s">
        <v>6984</v>
      </c>
      <c r="FBP6" t="s">
        <v>6984</v>
      </c>
      <c r="FBQ6" t="s">
        <v>6984</v>
      </c>
      <c r="FBR6" t="s">
        <v>6984</v>
      </c>
      <c r="FBS6" t="s">
        <v>6984</v>
      </c>
      <c r="FBT6" t="s">
        <v>6984</v>
      </c>
      <c r="FBU6" t="s">
        <v>6984</v>
      </c>
      <c r="FBV6" t="s">
        <v>6984</v>
      </c>
      <c r="FBW6" t="s">
        <v>6984</v>
      </c>
      <c r="FBX6" t="s">
        <v>6984</v>
      </c>
      <c r="FBY6" t="s">
        <v>6984</v>
      </c>
      <c r="FBZ6" t="s">
        <v>6984</v>
      </c>
      <c r="FCA6" t="s">
        <v>6984</v>
      </c>
      <c r="FCB6" t="s">
        <v>6984</v>
      </c>
      <c r="FCC6" t="s">
        <v>6984</v>
      </c>
      <c r="FCD6" t="s">
        <v>6984</v>
      </c>
      <c r="FCE6" t="s">
        <v>6984</v>
      </c>
      <c r="FCF6" t="s">
        <v>6984</v>
      </c>
      <c r="FCG6" t="s">
        <v>6984</v>
      </c>
      <c r="FCH6" t="s">
        <v>6984</v>
      </c>
      <c r="FCI6" t="s">
        <v>6984</v>
      </c>
      <c r="FCJ6" t="s">
        <v>6984</v>
      </c>
      <c r="FCK6" t="s">
        <v>6984</v>
      </c>
      <c r="FCL6" t="s">
        <v>6984</v>
      </c>
      <c r="FCM6" t="s">
        <v>6984</v>
      </c>
      <c r="FCN6" t="s">
        <v>6984</v>
      </c>
      <c r="FCO6" t="s">
        <v>6984</v>
      </c>
      <c r="FCP6" t="s">
        <v>6984</v>
      </c>
      <c r="FCQ6" t="s">
        <v>6984</v>
      </c>
      <c r="FCR6" t="s">
        <v>6984</v>
      </c>
      <c r="FCS6" t="s">
        <v>6984</v>
      </c>
      <c r="FCT6" t="s">
        <v>6984</v>
      </c>
      <c r="FCU6" t="s">
        <v>6984</v>
      </c>
      <c r="FCV6" t="s">
        <v>6984</v>
      </c>
      <c r="FCW6" t="s">
        <v>6984</v>
      </c>
      <c r="FCX6" t="s">
        <v>6984</v>
      </c>
      <c r="FCY6" t="s">
        <v>6984</v>
      </c>
      <c r="FCZ6" t="s">
        <v>6984</v>
      </c>
      <c r="FDA6" t="s">
        <v>6984</v>
      </c>
      <c r="FDB6" t="s">
        <v>6984</v>
      </c>
      <c r="FDC6" t="s">
        <v>6984</v>
      </c>
      <c r="FDD6" t="s">
        <v>6984</v>
      </c>
      <c r="FDE6" t="s">
        <v>6984</v>
      </c>
      <c r="FDF6" t="s">
        <v>6984</v>
      </c>
      <c r="FDG6" t="s">
        <v>6984</v>
      </c>
      <c r="FDH6" t="s">
        <v>6984</v>
      </c>
      <c r="FDI6" t="s">
        <v>6984</v>
      </c>
      <c r="FDJ6" t="s">
        <v>6984</v>
      </c>
      <c r="FDK6" t="s">
        <v>6984</v>
      </c>
      <c r="FDL6" t="s">
        <v>6984</v>
      </c>
      <c r="FDM6" t="s">
        <v>6984</v>
      </c>
      <c r="FDN6" t="s">
        <v>6984</v>
      </c>
      <c r="FDO6" t="s">
        <v>6984</v>
      </c>
      <c r="FDP6" t="s">
        <v>6984</v>
      </c>
      <c r="FDQ6" t="s">
        <v>6984</v>
      </c>
      <c r="FDR6" t="s">
        <v>6984</v>
      </c>
      <c r="FDS6" t="s">
        <v>6984</v>
      </c>
      <c r="FDT6" t="s">
        <v>6984</v>
      </c>
      <c r="FDU6" t="s">
        <v>6984</v>
      </c>
      <c r="FDV6" t="s">
        <v>6984</v>
      </c>
      <c r="FDW6" t="s">
        <v>6984</v>
      </c>
      <c r="FDX6" t="s">
        <v>6984</v>
      </c>
      <c r="FDY6" t="s">
        <v>6984</v>
      </c>
      <c r="FDZ6" t="s">
        <v>6984</v>
      </c>
      <c r="FEA6" t="s">
        <v>6984</v>
      </c>
      <c r="FEB6" t="s">
        <v>6984</v>
      </c>
      <c r="FEC6" t="s">
        <v>6984</v>
      </c>
      <c r="FED6" t="s">
        <v>6984</v>
      </c>
      <c r="FEE6" t="s">
        <v>6984</v>
      </c>
      <c r="FEF6" t="s">
        <v>6984</v>
      </c>
      <c r="FEG6" t="s">
        <v>6984</v>
      </c>
      <c r="FEH6" t="s">
        <v>6984</v>
      </c>
      <c r="FEI6" t="s">
        <v>6984</v>
      </c>
      <c r="FEJ6" t="s">
        <v>6984</v>
      </c>
      <c r="FEK6" t="s">
        <v>6984</v>
      </c>
      <c r="FEL6" t="s">
        <v>6984</v>
      </c>
      <c r="FEM6" t="s">
        <v>6984</v>
      </c>
      <c r="FEN6" t="s">
        <v>6984</v>
      </c>
      <c r="FEO6" t="s">
        <v>6984</v>
      </c>
      <c r="FEP6" t="s">
        <v>6984</v>
      </c>
      <c r="FEQ6" t="s">
        <v>6984</v>
      </c>
      <c r="FER6" t="s">
        <v>6984</v>
      </c>
      <c r="FES6" t="s">
        <v>6984</v>
      </c>
      <c r="FET6" t="s">
        <v>6984</v>
      </c>
      <c r="FEU6" t="s">
        <v>6984</v>
      </c>
      <c r="FEV6" t="s">
        <v>6984</v>
      </c>
      <c r="FEW6" t="s">
        <v>6984</v>
      </c>
      <c r="FEX6" t="s">
        <v>6984</v>
      </c>
      <c r="FEY6" t="s">
        <v>6984</v>
      </c>
      <c r="FEZ6" t="s">
        <v>6984</v>
      </c>
      <c r="FFA6" t="s">
        <v>6984</v>
      </c>
      <c r="FFB6" t="s">
        <v>6984</v>
      </c>
      <c r="FFC6" t="s">
        <v>6984</v>
      </c>
      <c r="FFD6" t="s">
        <v>6984</v>
      </c>
      <c r="FFE6" t="s">
        <v>6984</v>
      </c>
      <c r="FFF6" t="s">
        <v>6984</v>
      </c>
      <c r="FFG6" t="s">
        <v>6984</v>
      </c>
      <c r="FFH6" t="s">
        <v>6984</v>
      </c>
      <c r="FFI6" t="s">
        <v>6984</v>
      </c>
      <c r="FFJ6" t="s">
        <v>6984</v>
      </c>
      <c r="FFK6" t="s">
        <v>6984</v>
      </c>
      <c r="FFL6" t="s">
        <v>6984</v>
      </c>
      <c r="FFM6" t="s">
        <v>6984</v>
      </c>
      <c r="FFN6" t="s">
        <v>6984</v>
      </c>
      <c r="FFO6" t="s">
        <v>6984</v>
      </c>
      <c r="FFP6" t="s">
        <v>6984</v>
      </c>
      <c r="FFQ6" t="s">
        <v>6984</v>
      </c>
      <c r="FFR6" t="s">
        <v>6984</v>
      </c>
      <c r="FFS6" t="s">
        <v>6984</v>
      </c>
      <c r="FFT6" t="s">
        <v>6984</v>
      </c>
      <c r="FFU6" t="s">
        <v>6984</v>
      </c>
      <c r="FFV6" t="s">
        <v>6984</v>
      </c>
      <c r="FFW6" t="s">
        <v>6984</v>
      </c>
      <c r="FFX6" t="s">
        <v>6984</v>
      </c>
      <c r="FFY6" t="s">
        <v>6984</v>
      </c>
      <c r="FFZ6" t="s">
        <v>6984</v>
      </c>
      <c r="FGA6" t="s">
        <v>6984</v>
      </c>
      <c r="FGB6" t="s">
        <v>6984</v>
      </c>
      <c r="FGC6" t="s">
        <v>6984</v>
      </c>
      <c r="FGD6" t="s">
        <v>6984</v>
      </c>
      <c r="FGE6" t="s">
        <v>6984</v>
      </c>
      <c r="FGF6" t="s">
        <v>6984</v>
      </c>
      <c r="FGG6" t="s">
        <v>6984</v>
      </c>
      <c r="FGH6" t="s">
        <v>6984</v>
      </c>
      <c r="FGI6" t="s">
        <v>6984</v>
      </c>
      <c r="FGJ6" t="s">
        <v>6984</v>
      </c>
      <c r="FGK6" t="s">
        <v>6984</v>
      </c>
      <c r="FGL6" t="s">
        <v>6984</v>
      </c>
      <c r="FGM6" t="s">
        <v>6984</v>
      </c>
      <c r="FGN6" t="s">
        <v>6984</v>
      </c>
      <c r="FGO6" t="s">
        <v>6984</v>
      </c>
      <c r="FGP6" t="s">
        <v>6984</v>
      </c>
      <c r="FGQ6" t="s">
        <v>6984</v>
      </c>
      <c r="FGR6" t="s">
        <v>6984</v>
      </c>
      <c r="FGS6" t="s">
        <v>6984</v>
      </c>
      <c r="FGT6" t="s">
        <v>6984</v>
      </c>
      <c r="FGU6" t="s">
        <v>6984</v>
      </c>
      <c r="FGV6" t="s">
        <v>6984</v>
      </c>
      <c r="FGW6" t="s">
        <v>6984</v>
      </c>
      <c r="FGX6" t="s">
        <v>6984</v>
      </c>
      <c r="FGY6" t="s">
        <v>6984</v>
      </c>
      <c r="FGZ6" t="s">
        <v>6984</v>
      </c>
      <c r="FHA6" t="s">
        <v>6984</v>
      </c>
      <c r="FHB6" t="s">
        <v>6984</v>
      </c>
      <c r="FHC6" t="s">
        <v>6984</v>
      </c>
      <c r="FHD6" t="s">
        <v>6984</v>
      </c>
      <c r="FHE6" t="s">
        <v>6984</v>
      </c>
      <c r="FHF6" t="s">
        <v>6984</v>
      </c>
      <c r="FHG6" t="s">
        <v>6984</v>
      </c>
      <c r="FHH6" t="s">
        <v>6984</v>
      </c>
      <c r="FHI6" t="s">
        <v>6984</v>
      </c>
      <c r="FHJ6" t="s">
        <v>6984</v>
      </c>
      <c r="FHK6" t="s">
        <v>6984</v>
      </c>
      <c r="FHL6" t="s">
        <v>6984</v>
      </c>
      <c r="FHM6" t="s">
        <v>6984</v>
      </c>
      <c r="FHN6" t="s">
        <v>6984</v>
      </c>
      <c r="FHO6" t="s">
        <v>6984</v>
      </c>
      <c r="FHP6" t="s">
        <v>6984</v>
      </c>
      <c r="FHQ6" t="s">
        <v>6984</v>
      </c>
      <c r="FHR6" t="s">
        <v>6984</v>
      </c>
      <c r="FHS6" t="s">
        <v>6984</v>
      </c>
      <c r="FHT6" t="s">
        <v>6984</v>
      </c>
      <c r="FHU6" t="s">
        <v>6984</v>
      </c>
      <c r="FHV6" t="s">
        <v>6984</v>
      </c>
      <c r="FHW6" t="s">
        <v>6984</v>
      </c>
      <c r="FHX6" t="s">
        <v>6984</v>
      </c>
      <c r="FHY6" t="s">
        <v>6984</v>
      </c>
      <c r="FHZ6" t="s">
        <v>6984</v>
      </c>
      <c r="FIA6" t="s">
        <v>6984</v>
      </c>
      <c r="FIB6" t="s">
        <v>6984</v>
      </c>
      <c r="FIC6" t="s">
        <v>6984</v>
      </c>
      <c r="FID6" t="s">
        <v>6984</v>
      </c>
      <c r="FIE6" t="s">
        <v>6984</v>
      </c>
      <c r="FIF6" t="s">
        <v>6984</v>
      </c>
      <c r="FIG6" t="s">
        <v>6984</v>
      </c>
      <c r="FIH6" t="s">
        <v>6984</v>
      </c>
      <c r="FII6" t="s">
        <v>6984</v>
      </c>
      <c r="FIJ6" t="s">
        <v>6984</v>
      </c>
      <c r="FIK6" t="s">
        <v>6984</v>
      </c>
      <c r="FIL6" t="s">
        <v>6984</v>
      </c>
      <c r="FIM6" t="s">
        <v>6984</v>
      </c>
      <c r="FIN6" t="s">
        <v>6984</v>
      </c>
      <c r="FIO6" t="s">
        <v>6984</v>
      </c>
      <c r="FIP6" t="s">
        <v>6984</v>
      </c>
      <c r="FIQ6" t="s">
        <v>6984</v>
      </c>
      <c r="FIR6" t="s">
        <v>6984</v>
      </c>
      <c r="FIS6" t="s">
        <v>6984</v>
      </c>
      <c r="FIT6" t="s">
        <v>6984</v>
      </c>
      <c r="FIU6" t="s">
        <v>6984</v>
      </c>
      <c r="FIV6" t="s">
        <v>6984</v>
      </c>
      <c r="FIW6" t="s">
        <v>6984</v>
      </c>
      <c r="FIX6" t="s">
        <v>6984</v>
      </c>
      <c r="FIY6" t="s">
        <v>6984</v>
      </c>
      <c r="FIZ6" t="s">
        <v>6984</v>
      </c>
      <c r="FJA6" t="s">
        <v>6984</v>
      </c>
      <c r="FJB6" t="s">
        <v>6984</v>
      </c>
      <c r="FJC6" t="s">
        <v>6984</v>
      </c>
      <c r="FJD6" t="s">
        <v>6984</v>
      </c>
      <c r="FJE6" t="s">
        <v>6984</v>
      </c>
      <c r="FJF6" t="s">
        <v>6984</v>
      </c>
      <c r="FJG6" t="s">
        <v>6984</v>
      </c>
      <c r="FJH6" t="s">
        <v>6984</v>
      </c>
      <c r="FJI6" t="s">
        <v>6984</v>
      </c>
      <c r="FJJ6" t="s">
        <v>6984</v>
      </c>
      <c r="FJK6" t="s">
        <v>6984</v>
      </c>
      <c r="FJL6" t="s">
        <v>6984</v>
      </c>
      <c r="FJM6" t="s">
        <v>6984</v>
      </c>
      <c r="FJN6" t="s">
        <v>6984</v>
      </c>
      <c r="FJO6" t="s">
        <v>6984</v>
      </c>
      <c r="FJP6" t="s">
        <v>6984</v>
      </c>
      <c r="FJQ6" t="s">
        <v>6984</v>
      </c>
      <c r="FJR6" t="s">
        <v>6984</v>
      </c>
      <c r="FJS6" t="s">
        <v>6984</v>
      </c>
      <c r="FJT6" t="s">
        <v>6984</v>
      </c>
      <c r="FJU6" t="s">
        <v>6984</v>
      </c>
      <c r="FJV6" t="s">
        <v>6984</v>
      </c>
      <c r="FJW6" t="s">
        <v>6984</v>
      </c>
      <c r="FJX6" t="s">
        <v>6984</v>
      </c>
      <c r="FJY6" t="s">
        <v>6984</v>
      </c>
      <c r="FJZ6" t="s">
        <v>6984</v>
      </c>
      <c r="FKA6" t="s">
        <v>6984</v>
      </c>
      <c r="FKB6" t="s">
        <v>6984</v>
      </c>
      <c r="FKC6" t="s">
        <v>6984</v>
      </c>
      <c r="FKD6" t="s">
        <v>6984</v>
      </c>
      <c r="FKE6" t="s">
        <v>6984</v>
      </c>
      <c r="FKF6" t="s">
        <v>6984</v>
      </c>
      <c r="FKG6" t="s">
        <v>6984</v>
      </c>
      <c r="FKH6" t="s">
        <v>6984</v>
      </c>
      <c r="FKI6" t="s">
        <v>6984</v>
      </c>
      <c r="FKJ6" t="s">
        <v>6984</v>
      </c>
      <c r="FKK6" t="s">
        <v>6984</v>
      </c>
      <c r="FKL6" t="s">
        <v>6984</v>
      </c>
      <c r="FKM6" t="s">
        <v>6984</v>
      </c>
      <c r="FKN6" t="s">
        <v>6984</v>
      </c>
      <c r="FKO6" t="s">
        <v>6984</v>
      </c>
      <c r="FKP6" t="s">
        <v>6984</v>
      </c>
      <c r="FKQ6" t="s">
        <v>6984</v>
      </c>
      <c r="FKR6" t="s">
        <v>6984</v>
      </c>
      <c r="FKS6" t="s">
        <v>6984</v>
      </c>
      <c r="FKT6" t="s">
        <v>6984</v>
      </c>
      <c r="FKU6" t="s">
        <v>6984</v>
      </c>
      <c r="FKV6" t="s">
        <v>6984</v>
      </c>
      <c r="FKW6" t="s">
        <v>6984</v>
      </c>
      <c r="FKX6" t="s">
        <v>6984</v>
      </c>
      <c r="FKY6" t="s">
        <v>6984</v>
      </c>
      <c r="FKZ6" t="s">
        <v>6984</v>
      </c>
      <c r="FLA6" t="s">
        <v>6984</v>
      </c>
      <c r="FLB6" t="s">
        <v>6984</v>
      </c>
      <c r="FLC6" t="s">
        <v>6984</v>
      </c>
      <c r="FLD6" t="s">
        <v>6984</v>
      </c>
      <c r="FLE6" t="s">
        <v>6984</v>
      </c>
      <c r="FLF6" t="s">
        <v>6984</v>
      </c>
      <c r="FLG6" t="s">
        <v>6984</v>
      </c>
      <c r="FLH6" t="s">
        <v>6984</v>
      </c>
      <c r="FLI6" t="s">
        <v>6984</v>
      </c>
      <c r="FLJ6" t="s">
        <v>6984</v>
      </c>
      <c r="FLK6" t="s">
        <v>6984</v>
      </c>
      <c r="FLL6" t="s">
        <v>6984</v>
      </c>
      <c r="FLM6" t="s">
        <v>6984</v>
      </c>
      <c r="FLN6" t="s">
        <v>6984</v>
      </c>
      <c r="FLO6" t="s">
        <v>6984</v>
      </c>
      <c r="FLP6" t="s">
        <v>6984</v>
      </c>
      <c r="FLQ6" t="s">
        <v>6984</v>
      </c>
      <c r="FLR6" t="s">
        <v>6984</v>
      </c>
      <c r="FLS6" t="s">
        <v>6984</v>
      </c>
      <c r="FLT6" t="s">
        <v>6984</v>
      </c>
      <c r="FLU6" t="s">
        <v>6984</v>
      </c>
      <c r="FLV6" t="s">
        <v>6984</v>
      </c>
      <c r="FLW6" t="s">
        <v>6984</v>
      </c>
      <c r="FLX6" t="s">
        <v>6984</v>
      </c>
      <c r="FLY6" t="s">
        <v>6984</v>
      </c>
      <c r="FLZ6" t="s">
        <v>6984</v>
      </c>
      <c r="FMA6" t="s">
        <v>6984</v>
      </c>
      <c r="FMB6" t="s">
        <v>6984</v>
      </c>
      <c r="FMC6" t="s">
        <v>6984</v>
      </c>
      <c r="FMD6" t="s">
        <v>6984</v>
      </c>
      <c r="FME6" t="s">
        <v>6984</v>
      </c>
      <c r="FMF6" t="s">
        <v>6984</v>
      </c>
      <c r="FMG6" t="s">
        <v>6984</v>
      </c>
      <c r="FMH6" t="s">
        <v>6984</v>
      </c>
      <c r="FMI6" t="s">
        <v>6984</v>
      </c>
      <c r="FMJ6" t="s">
        <v>6984</v>
      </c>
      <c r="FMK6" t="s">
        <v>6984</v>
      </c>
      <c r="FML6" t="s">
        <v>6984</v>
      </c>
      <c r="FMM6" t="s">
        <v>6984</v>
      </c>
      <c r="FMN6" t="s">
        <v>6984</v>
      </c>
      <c r="FMO6" t="s">
        <v>6984</v>
      </c>
      <c r="FMP6" t="s">
        <v>6984</v>
      </c>
      <c r="FMQ6" t="s">
        <v>6984</v>
      </c>
      <c r="FMR6" t="s">
        <v>6984</v>
      </c>
      <c r="FMS6" t="s">
        <v>6984</v>
      </c>
      <c r="FMT6" t="s">
        <v>6984</v>
      </c>
      <c r="FMU6" t="s">
        <v>6984</v>
      </c>
      <c r="FMV6" t="s">
        <v>6984</v>
      </c>
      <c r="FMW6" t="s">
        <v>6984</v>
      </c>
      <c r="FMX6" t="s">
        <v>6984</v>
      </c>
      <c r="FMY6" t="s">
        <v>6984</v>
      </c>
      <c r="FMZ6" t="s">
        <v>6984</v>
      </c>
      <c r="FNA6" t="s">
        <v>6984</v>
      </c>
      <c r="FNB6" t="s">
        <v>6984</v>
      </c>
      <c r="FNC6" t="s">
        <v>6984</v>
      </c>
      <c r="FND6" t="s">
        <v>6984</v>
      </c>
      <c r="FNE6" t="s">
        <v>6984</v>
      </c>
      <c r="FNF6" t="s">
        <v>6984</v>
      </c>
      <c r="FNG6" t="s">
        <v>6984</v>
      </c>
      <c r="FNH6" t="s">
        <v>6984</v>
      </c>
      <c r="FNI6" t="s">
        <v>6984</v>
      </c>
      <c r="FNJ6" t="s">
        <v>6984</v>
      </c>
      <c r="FNK6" t="s">
        <v>6984</v>
      </c>
      <c r="FNL6" t="s">
        <v>6984</v>
      </c>
      <c r="FNM6" t="s">
        <v>6984</v>
      </c>
      <c r="FNN6" t="s">
        <v>6984</v>
      </c>
      <c r="FNO6" t="s">
        <v>6984</v>
      </c>
      <c r="FNP6" t="s">
        <v>6984</v>
      </c>
      <c r="FNQ6" t="s">
        <v>6984</v>
      </c>
      <c r="FNR6" t="s">
        <v>6984</v>
      </c>
      <c r="FNS6" t="s">
        <v>6984</v>
      </c>
      <c r="FNT6" t="s">
        <v>6984</v>
      </c>
      <c r="FNU6" t="s">
        <v>6984</v>
      </c>
      <c r="FNV6" t="s">
        <v>6984</v>
      </c>
      <c r="FNW6" t="s">
        <v>6984</v>
      </c>
      <c r="FNX6" t="s">
        <v>6984</v>
      </c>
      <c r="FNY6" t="s">
        <v>6984</v>
      </c>
      <c r="FNZ6" t="s">
        <v>6984</v>
      </c>
      <c r="FOA6" t="s">
        <v>6984</v>
      </c>
      <c r="FOB6" t="s">
        <v>6984</v>
      </c>
      <c r="FOC6" t="s">
        <v>6984</v>
      </c>
      <c r="FOD6" t="s">
        <v>6984</v>
      </c>
      <c r="FOE6" t="s">
        <v>6984</v>
      </c>
      <c r="FOF6" t="s">
        <v>6984</v>
      </c>
      <c r="FOG6" t="s">
        <v>6984</v>
      </c>
      <c r="FOH6" t="s">
        <v>6984</v>
      </c>
      <c r="FOI6" t="s">
        <v>6984</v>
      </c>
      <c r="FOJ6" t="s">
        <v>6984</v>
      </c>
      <c r="FOK6" t="s">
        <v>6984</v>
      </c>
      <c r="FOL6" t="s">
        <v>6984</v>
      </c>
      <c r="FOM6" t="s">
        <v>6984</v>
      </c>
      <c r="FON6" t="s">
        <v>6984</v>
      </c>
      <c r="FOO6" t="s">
        <v>6984</v>
      </c>
      <c r="FOP6" t="s">
        <v>6984</v>
      </c>
      <c r="FOQ6" t="s">
        <v>6984</v>
      </c>
      <c r="FOR6" t="s">
        <v>6984</v>
      </c>
      <c r="FOS6" t="s">
        <v>6984</v>
      </c>
      <c r="FOT6" t="s">
        <v>6984</v>
      </c>
      <c r="FOU6" t="s">
        <v>6984</v>
      </c>
      <c r="FOV6" t="s">
        <v>6984</v>
      </c>
      <c r="FOW6" t="s">
        <v>6984</v>
      </c>
      <c r="FOX6" t="s">
        <v>6984</v>
      </c>
      <c r="FOY6" t="s">
        <v>6984</v>
      </c>
      <c r="FOZ6" t="s">
        <v>6984</v>
      </c>
      <c r="FPA6" t="s">
        <v>6984</v>
      </c>
      <c r="FPB6" t="s">
        <v>6984</v>
      </c>
      <c r="FPC6" t="s">
        <v>6984</v>
      </c>
      <c r="FPD6" t="s">
        <v>6984</v>
      </c>
      <c r="FPE6" t="s">
        <v>6984</v>
      </c>
      <c r="FPF6" t="s">
        <v>6984</v>
      </c>
      <c r="FPG6" t="s">
        <v>6984</v>
      </c>
      <c r="FPH6" t="s">
        <v>6984</v>
      </c>
      <c r="FPI6" t="s">
        <v>6984</v>
      </c>
      <c r="FPJ6" t="s">
        <v>6984</v>
      </c>
      <c r="FPK6" t="s">
        <v>6984</v>
      </c>
      <c r="FPL6" t="s">
        <v>6984</v>
      </c>
      <c r="FPM6" t="s">
        <v>6984</v>
      </c>
      <c r="FPN6" t="s">
        <v>6984</v>
      </c>
      <c r="FPO6" t="s">
        <v>6984</v>
      </c>
      <c r="FPP6" t="s">
        <v>6984</v>
      </c>
      <c r="FPQ6" t="s">
        <v>6984</v>
      </c>
      <c r="FPR6" t="s">
        <v>6984</v>
      </c>
      <c r="FPS6" t="s">
        <v>6984</v>
      </c>
      <c r="FPT6" t="s">
        <v>6984</v>
      </c>
      <c r="FPU6" t="s">
        <v>6984</v>
      </c>
      <c r="FPV6" t="s">
        <v>6984</v>
      </c>
      <c r="FPW6" t="s">
        <v>6984</v>
      </c>
      <c r="FPX6" t="s">
        <v>6984</v>
      </c>
      <c r="FPY6" t="s">
        <v>6984</v>
      </c>
      <c r="FPZ6" t="s">
        <v>6984</v>
      </c>
      <c r="FQA6" t="s">
        <v>6984</v>
      </c>
      <c r="FQB6" t="s">
        <v>6984</v>
      </c>
      <c r="FQC6" t="s">
        <v>6984</v>
      </c>
      <c r="FQD6" t="s">
        <v>6984</v>
      </c>
      <c r="FQE6" t="s">
        <v>6984</v>
      </c>
      <c r="FQF6" t="s">
        <v>6984</v>
      </c>
      <c r="FQG6" t="s">
        <v>6984</v>
      </c>
      <c r="FQH6" t="s">
        <v>6984</v>
      </c>
      <c r="FQI6" t="s">
        <v>6984</v>
      </c>
      <c r="FQJ6" t="s">
        <v>6984</v>
      </c>
      <c r="FQK6" t="s">
        <v>6984</v>
      </c>
      <c r="FQL6" t="s">
        <v>6984</v>
      </c>
      <c r="FQM6" t="s">
        <v>6984</v>
      </c>
      <c r="FQN6" t="s">
        <v>6984</v>
      </c>
      <c r="FQO6" t="s">
        <v>6984</v>
      </c>
      <c r="FQP6" t="s">
        <v>6984</v>
      </c>
      <c r="FQQ6" t="s">
        <v>6984</v>
      </c>
      <c r="FQR6" t="s">
        <v>6984</v>
      </c>
      <c r="FQS6" t="s">
        <v>6984</v>
      </c>
      <c r="FQT6" t="s">
        <v>6984</v>
      </c>
      <c r="FQU6" t="s">
        <v>6984</v>
      </c>
      <c r="FQV6" t="s">
        <v>6984</v>
      </c>
      <c r="FQW6" t="s">
        <v>6984</v>
      </c>
      <c r="FQX6" t="s">
        <v>6984</v>
      </c>
      <c r="FQY6" t="s">
        <v>6984</v>
      </c>
      <c r="FQZ6" t="s">
        <v>6984</v>
      </c>
      <c r="FRA6" t="s">
        <v>6984</v>
      </c>
      <c r="FRB6" t="s">
        <v>6984</v>
      </c>
      <c r="FRC6" t="s">
        <v>6984</v>
      </c>
      <c r="FRD6" t="s">
        <v>6984</v>
      </c>
      <c r="FRE6" t="s">
        <v>6984</v>
      </c>
      <c r="FRF6" t="s">
        <v>6984</v>
      </c>
      <c r="FRG6" t="s">
        <v>6984</v>
      </c>
      <c r="FRH6" t="s">
        <v>6984</v>
      </c>
      <c r="FRI6" t="s">
        <v>6984</v>
      </c>
      <c r="FRJ6" t="s">
        <v>6984</v>
      </c>
      <c r="FRK6" t="s">
        <v>6984</v>
      </c>
      <c r="FRL6" t="s">
        <v>6984</v>
      </c>
      <c r="FRM6" t="s">
        <v>6984</v>
      </c>
      <c r="FRN6" t="s">
        <v>6984</v>
      </c>
      <c r="FRO6" t="s">
        <v>6984</v>
      </c>
      <c r="FRP6" t="s">
        <v>6984</v>
      </c>
      <c r="FRQ6" t="s">
        <v>6984</v>
      </c>
      <c r="FRR6" t="s">
        <v>6984</v>
      </c>
      <c r="FRS6" t="s">
        <v>6984</v>
      </c>
      <c r="FRT6" t="s">
        <v>6984</v>
      </c>
      <c r="FRU6" t="s">
        <v>6984</v>
      </c>
      <c r="FRV6" t="s">
        <v>6984</v>
      </c>
      <c r="FRW6" t="s">
        <v>6984</v>
      </c>
      <c r="FRX6" t="s">
        <v>6984</v>
      </c>
      <c r="FRY6" t="s">
        <v>6984</v>
      </c>
      <c r="FRZ6" t="s">
        <v>6984</v>
      </c>
      <c r="FSA6" t="s">
        <v>6984</v>
      </c>
      <c r="FSB6" t="s">
        <v>6984</v>
      </c>
      <c r="FSC6" t="s">
        <v>6984</v>
      </c>
      <c r="FSD6" t="s">
        <v>6984</v>
      </c>
      <c r="FSE6" t="s">
        <v>6984</v>
      </c>
      <c r="FSF6" t="s">
        <v>6984</v>
      </c>
      <c r="FSG6" t="s">
        <v>6984</v>
      </c>
      <c r="FSH6" t="s">
        <v>6984</v>
      </c>
      <c r="FSI6" t="s">
        <v>6984</v>
      </c>
      <c r="FSJ6" t="s">
        <v>6984</v>
      </c>
      <c r="FSK6" t="s">
        <v>6984</v>
      </c>
      <c r="FSL6" t="s">
        <v>6984</v>
      </c>
      <c r="FSM6" t="s">
        <v>6984</v>
      </c>
      <c r="FSN6" t="s">
        <v>6984</v>
      </c>
      <c r="FSO6" t="s">
        <v>6984</v>
      </c>
      <c r="FSP6" t="s">
        <v>6984</v>
      </c>
      <c r="FSQ6" t="s">
        <v>6984</v>
      </c>
      <c r="FSR6" t="s">
        <v>6984</v>
      </c>
      <c r="FSS6" t="s">
        <v>6984</v>
      </c>
      <c r="FST6" t="s">
        <v>6984</v>
      </c>
      <c r="FSU6" t="s">
        <v>6984</v>
      </c>
      <c r="FSV6" t="s">
        <v>6984</v>
      </c>
      <c r="FSW6" t="s">
        <v>6984</v>
      </c>
      <c r="FSX6" t="s">
        <v>6984</v>
      </c>
      <c r="FSY6" t="s">
        <v>6984</v>
      </c>
      <c r="FSZ6" t="s">
        <v>6984</v>
      </c>
      <c r="FTA6" t="s">
        <v>6984</v>
      </c>
      <c r="FTB6" t="s">
        <v>6984</v>
      </c>
      <c r="FTC6" t="s">
        <v>6984</v>
      </c>
      <c r="FTD6" t="s">
        <v>6984</v>
      </c>
      <c r="FTE6" t="s">
        <v>6984</v>
      </c>
      <c r="FTF6" t="s">
        <v>6984</v>
      </c>
      <c r="FTG6" t="s">
        <v>6984</v>
      </c>
      <c r="FTH6" t="s">
        <v>6984</v>
      </c>
      <c r="FTI6" t="s">
        <v>6984</v>
      </c>
      <c r="FTJ6" t="s">
        <v>6984</v>
      </c>
      <c r="FTK6" t="s">
        <v>6984</v>
      </c>
      <c r="FTL6" t="s">
        <v>6984</v>
      </c>
      <c r="FTM6" t="s">
        <v>6984</v>
      </c>
      <c r="FTN6" t="s">
        <v>6984</v>
      </c>
      <c r="FTO6" t="s">
        <v>6984</v>
      </c>
      <c r="FTP6" t="s">
        <v>6984</v>
      </c>
      <c r="FTQ6" t="s">
        <v>6984</v>
      </c>
      <c r="FTR6" t="s">
        <v>6984</v>
      </c>
      <c r="FTS6" t="s">
        <v>6984</v>
      </c>
      <c r="FTT6" t="s">
        <v>6984</v>
      </c>
      <c r="FTU6" t="s">
        <v>6984</v>
      </c>
      <c r="FTV6" t="s">
        <v>6984</v>
      </c>
      <c r="FTW6" t="s">
        <v>6984</v>
      </c>
      <c r="FTX6" t="s">
        <v>6984</v>
      </c>
      <c r="FTY6" t="s">
        <v>6984</v>
      </c>
      <c r="FTZ6" t="s">
        <v>6984</v>
      </c>
      <c r="FUA6" t="s">
        <v>6984</v>
      </c>
      <c r="FUB6" t="s">
        <v>6984</v>
      </c>
      <c r="FUC6" t="s">
        <v>6984</v>
      </c>
      <c r="FUD6" t="s">
        <v>6984</v>
      </c>
      <c r="FUE6" t="s">
        <v>6984</v>
      </c>
      <c r="FUF6" t="s">
        <v>6984</v>
      </c>
      <c r="FUG6" t="s">
        <v>6984</v>
      </c>
      <c r="FUH6" t="s">
        <v>6984</v>
      </c>
      <c r="FUI6" t="s">
        <v>6984</v>
      </c>
      <c r="FUJ6" t="s">
        <v>6984</v>
      </c>
      <c r="FUK6" t="s">
        <v>6984</v>
      </c>
      <c r="FUL6" t="s">
        <v>6984</v>
      </c>
      <c r="FUM6" t="s">
        <v>6984</v>
      </c>
      <c r="FUN6" t="s">
        <v>6984</v>
      </c>
      <c r="FUO6" t="s">
        <v>6984</v>
      </c>
      <c r="FUP6" t="s">
        <v>6984</v>
      </c>
      <c r="FUQ6" t="s">
        <v>6984</v>
      </c>
      <c r="FUR6" t="s">
        <v>6984</v>
      </c>
      <c r="FUS6" t="s">
        <v>6984</v>
      </c>
      <c r="FUT6" t="s">
        <v>6984</v>
      </c>
      <c r="FUU6" t="s">
        <v>6984</v>
      </c>
      <c r="FUV6" t="s">
        <v>6984</v>
      </c>
      <c r="FUW6" t="s">
        <v>6984</v>
      </c>
      <c r="FUX6" t="s">
        <v>6984</v>
      </c>
      <c r="FUY6" t="s">
        <v>6984</v>
      </c>
      <c r="FUZ6" t="s">
        <v>6984</v>
      </c>
      <c r="FVA6" t="s">
        <v>6984</v>
      </c>
      <c r="FVB6" t="s">
        <v>6984</v>
      </c>
      <c r="FVC6" t="s">
        <v>6984</v>
      </c>
      <c r="FVD6" t="s">
        <v>6984</v>
      </c>
      <c r="FVE6" t="s">
        <v>6984</v>
      </c>
      <c r="FVF6" t="s">
        <v>6984</v>
      </c>
      <c r="FVG6" t="s">
        <v>6984</v>
      </c>
      <c r="FVH6" t="s">
        <v>6984</v>
      </c>
      <c r="FVI6" t="s">
        <v>6984</v>
      </c>
      <c r="FVJ6" t="s">
        <v>6984</v>
      </c>
      <c r="FVK6" t="s">
        <v>6984</v>
      </c>
      <c r="FVL6" t="s">
        <v>6984</v>
      </c>
      <c r="FVM6" t="s">
        <v>6984</v>
      </c>
      <c r="FVN6" t="s">
        <v>6984</v>
      </c>
      <c r="FVO6" t="s">
        <v>6984</v>
      </c>
      <c r="FVP6" t="s">
        <v>6984</v>
      </c>
      <c r="FVQ6" t="s">
        <v>6984</v>
      </c>
      <c r="FVR6" t="s">
        <v>6984</v>
      </c>
      <c r="FVS6" t="s">
        <v>6984</v>
      </c>
      <c r="FVT6" t="s">
        <v>6984</v>
      </c>
      <c r="FVU6" t="s">
        <v>6984</v>
      </c>
      <c r="FVV6" t="s">
        <v>6984</v>
      </c>
      <c r="FVW6" t="s">
        <v>6984</v>
      </c>
      <c r="FVX6" t="s">
        <v>6984</v>
      </c>
      <c r="FVY6" t="s">
        <v>6984</v>
      </c>
      <c r="FVZ6" t="s">
        <v>6984</v>
      </c>
      <c r="FWA6" t="s">
        <v>6984</v>
      </c>
      <c r="FWB6" t="s">
        <v>6984</v>
      </c>
      <c r="FWC6" t="s">
        <v>6984</v>
      </c>
      <c r="FWD6" t="s">
        <v>6984</v>
      </c>
      <c r="FWE6" t="s">
        <v>6984</v>
      </c>
      <c r="FWF6" t="s">
        <v>6984</v>
      </c>
      <c r="FWG6" t="s">
        <v>6984</v>
      </c>
      <c r="FWH6" t="s">
        <v>6984</v>
      </c>
      <c r="FWI6" t="s">
        <v>6984</v>
      </c>
      <c r="FWJ6" t="s">
        <v>6984</v>
      </c>
      <c r="FWK6" t="s">
        <v>6984</v>
      </c>
      <c r="FWL6" t="s">
        <v>6984</v>
      </c>
      <c r="FWM6" t="s">
        <v>6984</v>
      </c>
      <c r="FWN6" t="s">
        <v>6984</v>
      </c>
      <c r="FWO6" t="s">
        <v>6984</v>
      </c>
      <c r="FWP6" t="s">
        <v>6984</v>
      </c>
      <c r="FWQ6" t="s">
        <v>6984</v>
      </c>
      <c r="FWR6" t="s">
        <v>6984</v>
      </c>
      <c r="FWS6" t="s">
        <v>6984</v>
      </c>
      <c r="FWT6" t="s">
        <v>6984</v>
      </c>
      <c r="FWU6" t="s">
        <v>6984</v>
      </c>
      <c r="FWV6" t="s">
        <v>6984</v>
      </c>
      <c r="FWW6" t="s">
        <v>6984</v>
      </c>
      <c r="FWX6" t="s">
        <v>6984</v>
      </c>
      <c r="FWY6" t="s">
        <v>6984</v>
      </c>
      <c r="FWZ6" t="s">
        <v>6984</v>
      </c>
      <c r="FXA6" t="s">
        <v>6984</v>
      </c>
      <c r="FXB6" t="s">
        <v>6984</v>
      </c>
      <c r="FXC6" t="s">
        <v>6984</v>
      </c>
      <c r="FXD6" t="s">
        <v>6984</v>
      </c>
      <c r="FXE6" t="s">
        <v>6984</v>
      </c>
      <c r="FXF6" t="s">
        <v>6984</v>
      </c>
      <c r="FXG6" t="s">
        <v>6984</v>
      </c>
      <c r="FXH6" t="s">
        <v>6984</v>
      </c>
      <c r="FXI6" t="s">
        <v>6984</v>
      </c>
      <c r="FXJ6" t="s">
        <v>6984</v>
      </c>
      <c r="FXK6" t="s">
        <v>6984</v>
      </c>
      <c r="FXL6" t="s">
        <v>6984</v>
      </c>
      <c r="FXM6" t="s">
        <v>6984</v>
      </c>
      <c r="FXN6" t="s">
        <v>6984</v>
      </c>
      <c r="FXO6" t="s">
        <v>6984</v>
      </c>
      <c r="FXP6" t="s">
        <v>6984</v>
      </c>
      <c r="FXQ6" t="s">
        <v>6984</v>
      </c>
      <c r="FXR6" t="s">
        <v>6984</v>
      </c>
      <c r="FXS6" t="s">
        <v>6984</v>
      </c>
      <c r="FXT6" t="s">
        <v>6984</v>
      </c>
      <c r="FXU6" t="s">
        <v>6984</v>
      </c>
      <c r="FXV6" t="s">
        <v>6984</v>
      </c>
      <c r="FXW6" t="s">
        <v>6984</v>
      </c>
      <c r="FXX6" t="s">
        <v>6984</v>
      </c>
      <c r="FXY6" t="s">
        <v>6984</v>
      </c>
      <c r="FXZ6" t="s">
        <v>6984</v>
      </c>
      <c r="FYA6" t="s">
        <v>6984</v>
      </c>
      <c r="FYB6" t="s">
        <v>6984</v>
      </c>
      <c r="FYC6" t="s">
        <v>6984</v>
      </c>
      <c r="FYD6" t="s">
        <v>6984</v>
      </c>
      <c r="FYE6" t="s">
        <v>6984</v>
      </c>
      <c r="FYF6" t="s">
        <v>6984</v>
      </c>
      <c r="FYG6" t="s">
        <v>6984</v>
      </c>
      <c r="FYH6" t="s">
        <v>6984</v>
      </c>
      <c r="FYI6" t="s">
        <v>6984</v>
      </c>
      <c r="FYJ6" t="s">
        <v>6984</v>
      </c>
      <c r="FYK6" t="s">
        <v>6984</v>
      </c>
      <c r="FYL6" t="s">
        <v>6984</v>
      </c>
      <c r="FYM6" t="s">
        <v>6984</v>
      </c>
      <c r="FYN6" t="s">
        <v>6984</v>
      </c>
      <c r="FYO6" t="s">
        <v>6984</v>
      </c>
      <c r="FYP6" t="s">
        <v>6984</v>
      </c>
      <c r="FYQ6" t="s">
        <v>6984</v>
      </c>
      <c r="FYR6" t="s">
        <v>6984</v>
      </c>
      <c r="FYS6" t="s">
        <v>6984</v>
      </c>
      <c r="FYT6" t="s">
        <v>6984</v>
      </c>
      <c r="FYU6" t="s">
        <v>6984</v>
      </c>
      <c r="FYV6" t="s">
        <v>6984</v>
      </c>
      <c r="FYW6" t="s">
        <v>6984</v>
      </c>
      <c r="FYX6" t="s">
        <v>6984</v>
      </c>
      <c r="FYY6" t="s">
        <v>6984</v>
      </c>
      <c r="FYZ6" t="s">
        <v>6984</v>
      </c>
      <c r="FZA6" t="s">
        <v>6984</v>
      </c>
      <c r="FZB6" t="s">
        <v>6984</v>
      </c>
      <c r="FZC6" t="s">
        <v>6984</v>
      </c>
      <c r="FZD6" t="s">
        <v>6984</v>
      </c>
      <c r="FZE6" t="s">
        <v>6984</v>
      </c>
      <c r="FZF6" t="s">
        <v>6984</v>
      </c>
      <c r="FZG6" t="s">
        <v>6984</v>
      </c>
      <c r="FZH6" t="s">
        <v>6984</v>
      </c>
      <c r="FZI6" t="s">
        <v>6984</v>
      </c>
      <c r="FZJ6" t="s">
        <v>6984</v>
      </c>
      <c r="FZK6" t="s">
        <v>6984</v>
      </c>
      <c r="FZL6" t="s">
        <v>6984</v>
      </c>
      <c r="FZM6" t="s">
        <v>6984</v>
      </c>
      <c r="FZN6" t="s">
        <v>6984</v>
      </c>
      <c r="FZO6" t="s">
        <v>6984</v>
      </c>
      <c r="FZP6" t="s">
        <v>6984</v>
      </c>
      <c r="FZQ6" t="s">
        <v>6984</v>
      </c>
      <c r="FZR6" t="s">
        <v>6984</v>
      </c>
      <c r="FZS6" t="s">
        <v>6984</v>
      </c>
      <c r="FZT6" t="s">
        <v>6984</v>
      </c>
      <c r="FZU6" t="s">
        <v>6984</v>
      </c>
      <c r="FZV6" t="s">
        <v>6984</v>
      </c>
      <c r="FZW6" t="s">
        <v>6984</v>
      </c>
      <c r="FZX6" t="s">
        <v>6984</v>
      </c>
      <c r="FZY6" t="s">
        <v>6984</v>
      </c>
      <c r="FZZ6" t="s">
        <v>6984</v>
      </c>
      <c r="GAA6" t="s">
        <v>6984</v>
      </c>
      <c r="GAB6" t="s">
        <v>6984</v>
      </c>
      <c r="GAC6" t="s">
        <v>6984</v>
      </c>
      <c r="GAD6" t="s">
        <v>6984</v>
      </c>
      <c r="GAE6" t="s">
        <v>6984</v>
      </c>
      <c r="GAF6" t="s">
        <v>6984</v>
      </c>
      <c r="GAG6" t="s">
        <v>6984</v>
      </c>
      <c r="GAH6" t="s">
        <v>6984</v>
      </c>
      <c r="GAI6" t="s">
        <v>6984</v>
      </c>
      <c r="GAJ6" t="s">
        <v>6984</v>
      </c>
      <c r="GAK6" t="s">
        <v>6984</v>
      </c>
      <c r="GAL6" t="s">
        <v>6984</v>
      </c>
      <c r="GAM6" t="s">
        <v>6984</v>
      </c>
      <c r="GAN6" t="s">
        <v>6984</v>
      </c>
      <c r="GAO6" t="s">
        <v>6984</v>
      </c>
      <c r="GAP6" t="s">
        <v>6984</v>
      </c>
      <c r="GAQ6" t="s">
        <v>6984</v>
      </c>
      <c r="GAR6" t="s">
        <v>6984</v>
      </c>
      <c r="GAS6" t="s">
        <v>6984</v>
      </c>
      <c r="GAT6" t="s">
        <v>6984</v>
      </c>
      <c r="GAU6" t="s">
        <v>6984</v>
      </c>
      <c r="GAV6" t="s">
        <v>6984</v>
      </c>
      <c r="GAW6" t="s">
        <v>6984</v>
      </c>
      <c r="GAX6" t="s">
        <v>6984</v>
      </c>
      <c r="GAY6" t="s">
        <v>6984</v>
      </c>
      <c r="GAZ6" t="s">
        <v>6984</v>
      </c>
      <c r="GBA6" t="s">
        <v>6984</v>
      </c>
      <c r="GBB6" t="s">
        <v>6984</v>
      </c>
      <c r="GBC6" t="s">
        <v>6984</v>
      </c>
      <c r="GBD6" t="s">
        <v>6984</v>
      </c>
      <c r="GBE6" t="s">
        <v>6984</v>
      </c>
      <c r="GBF6" t="s">
        <v>6984</v>
      </c>
      <c r="GBG6" t="s">
        <v>6984</v>
      </c>
      <c r="GBH6" t="s">
        <v>6984</v>
      </c>
      <c r="GBI6" t="s">
        <v>6984</v>
      </c>
      <c r="GBJ6" t="s">
        <v>6984</v>
      </c>
      <c r="GBK6" t="s">
        <v>6984</v>
      </c>
      <c r="GBL6" t="s">
        <v>6984</v>
      </c>
      <c r="GBM6" t="s">
        <v>6984</v>
      </c>
      <c r="GBN6" t="s">
        <v>6984</v>
      </c>
      <c r="GBO6" t="s">
        <v>6984</v>
      </c>
      <c r="GBP6" t="s">
        <v>6984</v>
      </c>
      <c r="GBQ6" t="s">
        <v>6984</v>
      </c>
      <c r="GBR6" t="s">
        <v>6984</v>
      </c>
      <c r="GBS6" t="s">
        <v>6984</v>
      </c>
      <c r="GBT6" t="s">
        <v>6984</v>
      </c>
      <c r="GBU6" t="s">
        <v>6984</v>
      </c>
      <c r="GBV6" t="s">
        <v>6984</v>
      </c>
      <c r="GBW6" t="s">
        <v>6984</v>
      </c>
      <c r="GBX6" t="s">
        <v>6984</v>
      </c>
      <c r="GBY6" t="s">
        <v>6984</v>
      </c>
      <c r="GBZ6" t="s">
        <v>6984</v>
      </c>
      <c r="GCA6" t="s">
        <v>6984</v>
      </c>
      <c r="GCB6" t="s">
        <v>6984</v>
      </c>
      <c r="GCC6" t="s">
        <v>6984</v>
      </c>
      <c r="GCD6" t="s">
        <v>6984</v>
      </c>
      <c r="GCE6" t="s">
        <v>6984</v>
      </c>
      <c r="GCF6" t="s">
        <v>6984</v>
      </c>
      <c r="GCG6" t="s">
        <v>6984</v>
      </c>
      <c r="GCH6" t="s">
        <v>6984</v>
      </c>
      <c r="GCI6" t="s">
        <v>6984</v>
      </c>
      <c r="GCJ6" t="s">
        <v>6984</v>
      </c>
      <c r="GCK6" t="s">
        <v>6984</v>
      </c>
      <c r="GCL6" t="s">
        <v>6984</v>
      </c>
      <c r="GCM6" t="s">
        <v>6984</v>
      </c>
      <c r="GCN6" t="s">
        <v>6984</v>
      </c>
      <c r="GCO6" t="s">
        <v>6984</v>
      </c>
      <c r="GCP6" t="s">
        <v>6984</v>
      </c>
      <c r="GCQ6" t="s">
        <v>6984</v>
      </c>
      <c r="GCR6" t="s">
        <v>6984</v>
      </c>
      <c r="GCS6" t="s">
        <v>6984</v>
      </c>
      <c r="GCT6" t="s">
        <v>6984</v>
      </c>
      <c r="GCU6" t="s">
        <v>6984</v>
      </c>
      <c r="GCV6" t="s">
        <v>6984</v>
      </c>
      <c r="GCW6" t="s">
        <v>6984</v>
      </c>
      <c r="GCX6" t="s">
        <v>6984</v>
      </c>
      <c r="GCY6" t="s">
        <v>6984</v>
      </c>
      <c r="GCZ6" t="s">
        <v>6984</v>
      </c>
      <c r="GDA6" t="s">
        <v>6984</v>
      </c>
      <c r="GDB6" t="s">
        <v>6984</v>
      </c>
      <c r="GDC6" t="s">
        <v>6984</v>
      </c>
      <c r="GDD6" t="s">
        <v>6984</v>
      </c>
      <c r="GDE6" t="s">
        <v>6984</v>
      </c>
      <c r="GDF6" t="s">
        <v>6984</v>
      </c>
      <c r="GDG6" t="s">
        <v>6984</v>
      </c>
      <c r="GDH6" t="s">
        <v>6984</v>
      </c>
      <c r="GDI6" t="s">
        <v>6984</v>
      </c>
      <c r="GDJ6" t="s">
        <v>6984</v>
      </c>
      <c r="GDK6" t="s">
        <v>6984</v>
      </c>
      <c r="GDL6" t="s">
        <v>6984</v>
      </c>
      <c r="GDM6" t="s">
        <v>6984</v>
      </c>
      <c r="GDN6" t="s">
        <v>6984</v>
      </c>
      <c r="GDO6" t="s">
        <v>6984</v>
      </c>
      <c r="GDP6" t="s">
        <v>6984</v>
      </c>
      <c r="GDQ6" t="s">
        <v>6984</v>
      </c>
      <c r="GDR6" t="s">
        <v>6984</v>
      </c>
      <c r="GDS6" t="s">
        <v>6984</v>
      </c>
      <c r="GDT6" t="s">
        <v>6984</v>
      </c>
      <c r="GDU6" t="s">
        <v>6984</v>
      </c>
      <c r="GDV6" t="s">
        <v>6984</v>
      </c>
      <c r="GDW6" t="s">
        <v>6984</v>
      </c>
      <c r="GDX6" t="s">
        <v>6984</v>
      </c>
      <c r="GDY6" t="s">
        <v>6984</v>
      </c>
      <c r="GDZ6" t="s">
        <v>6984</v>
      </c>
      <c r="GEA6" t="s">
        <v>6984</v>
      </c>
      <c r="GEB6" t="s">
        <v>6984</v>
      </c>
      <c r="GEC6" t="s">
        <v>6984</v>
      </c>
      <c r="GED6" t="s">
        <v>6984</v>
      </c>
      <c r="GEE6" t="s">
        <v>6984</v>
      </c>
      <c r="GEF6" t="s">
        <v>6984</v>
      </c>
      <c r="GEG6" t="s">
        <v>6984</v>
      </c>
      <c r="GEH6" t="s">
        <v>6984</v>
      </c>
      <c r="GEI6" t="s">
        <v>6984</v>
      </c>
      <c r="GEJ6" t="s">
        <v>6984</v>
      </c>
      <c r="GEK6" t="s">
        <v>6984</v>
      </c>
      <c r="GEL6" t="s">
        <v>6984</v>
      </c>
      <c r="GEM6" t="s">
        <v>6984</v>
      </c>
      <c r="GEN6" t="s">
        <v>6984</v>
      </c>
      <c r="GEO6" t="s">
        <v>6984</v>
      </c>
      <c r="GEP6" t="s">
        <v>6984</v>
      </c>
      <c r="GEQ6" t="s">
        <v>6984</v>
      </c>
      <c r="GER6" t="s">
        <v>6984</v>
      </c>
      <c r="GES6" t="s">
        <v>6984</v>
      </c>
      <c r="GET6" t="s">
        <v>6984</v>
      </c>
      <c r="GEU6" t="s">
        <v>6984</v>
      </c>
      <c r="GEV6" t="s">
        <v>6984</v>
      </c>
      <c r="GEW6" t="s">
        <v>6984</v>
      </c>
      <c r="GEX6" t="s">
        <v>6984</v>
      </c>
      <c r="GEY6" t="s">
        <v>6984</v>
      </c>
      <c r="GEZ6" t="s">
        <v>6984</v>
      </c>
      <c r="GFA6" t="s">
        <v>6984</v>
      </c>
      <c r="GFB6" t="s">
        <v>6984</v>
      </c>
      <c r="GFC6" t="s">
        <v>6984</v>
      </c>
      <c r="GFD6" t="s">
        <v>6984</v>
      </c>
      <c r="GFE6" t="s">
        <v>6984</v>
      </c>
      <c r="GFF6" t="s">
        <v>6984</v>
      </c>
      <c r="GFG6" t="s">
        <v>6984</v>
      </c>
      <c r="GFH6" t="s">
        <v>6984</v>
      </c>
      <c r="GFI6" t="s">
        <v>6984</v>
      </c>
      <c r="GFJ6" t="s">
        <v>6984</v>
      </c>
      <c r="GFK6" t="s">
        <v>6984</v>
      </c>
      <c r="GFL6" t="s">
        <v>6984</v>
      </c>
      <c r="GFM6" t="s">
        <v>6984</v>
      </c>
      <c r="GFN6" t="s">
        <v>6984</v>
      </c>
      <c r="GFO6" t="s">
        <v>6984</v>
      </c>
      <c r="GFP6" t="s">
        <v>6984</v>
      </c>
      <c r="GFQ6" t="s">
        <v>6984</v>
      </c>
      <c r="GFR6" t="s">
        <v>6984</v>
      </c>
      <c r="GFS6" t="s">
        <v>6984</v>
      </c>
      <c r="GFT6" t="s">
        <v>6984</v>
      </c>
      <c r="GFU6" t="s">
        <v>6984</v>
      </c>
      <c r="GFV6" t="s">
        <v>6984</v>
      </c>
      <c r="GFW6" t="s">
        <v>6984</v>
      </c>
      <c r="GFX6" t="s">
        <v>6984</v>
      </c>
      <c r="GFY6" t="s">
        <v>6984</v>
      </c>
      <c r="GFZ6" t="s">
        <v>6984</v>
      </c>
      <c r="GGA6" t="s">
        <v>6984</v>
      </c>
      <c r="GGB6" t="s">
        <v>6984</v>
      </c>
      <c r="GGC6" t="s">
        <v>6984</v>
      </c>
      <c r="GGD6" t="s">
        <v>6984</v>
      </c>
      <c r="GGE6" t="s">
        <v>6984</v>
      </c>
      <c r="GGF6" t="s">
        <v>6984</v>
      </c>
      <c r="GGG6" t="s">
        <v>6984</v>
      </c>
      <c r="GGH6" t="s">
        <v>6984</v>
      </c>
      <c r="GGI6" t="s">
        <v>6984</v>
      </c>
      <c r="GGJ6" t="s">
        <v>6984</v>
      </c>
      <c r="GGK6" t="s">
        <v>6984</v>
      </c>
      <c r="GGL6" t="s">
        <v>6984</v>
      </c>
      <c r="GGM6" t="s">
        <v>6984</v>
      </c>
      <c r="GGN6" t="s">
        <v>6984</v>
      </c>
      <c r="GGO6" t="s">
        <v>6984</v>
      </c>
      <c r="GGP6" t="s">
        <v>6984</v>
      </c>
      <c r="GGQ6" t="s">
        <v>6984</v>
      </c>
      <c r="GGR6" t="s">
        <v>6984</v>
      </c>
      <c r="GGS6" t="s">
        <v>6984</v>
      </c>
      <c r="GGT6" t="s">
        <v>6984</v>
      </c>
      <c r="GGU6" t="s">
        <v>6984</v>
      </c>
      <c r="GGV6" t="s">
        <v>6984</v>
      </c>
      <c r="GGW6" t="s">
        <v>6984</v>
      </c>
      <c r="GGX6" t="s">
        <v>6984</v>
      </c>
      <c r="GGY6" t="s">
        <v>6984</v>
      </c>
      <c r="GGZ6" t="s">
        <v>6984</v>
      </c>
      <c r="GHA6" t="s">
        <v>6984</v>
      </c>
      <c r="GHB6" t="s">
        <v>6984</v>
      </c>
      <c r="GHC6" t="s">
        <v>6984</v>
      </c>
      <c r="GHD6" t="s">
        <v>6984</v>
      </c>
      <c r="GHE6" t="s">
        <v>6984</v>
      </c>
      <c r="GHF6" t="s">
        <v>6984</v>
      </c>
      <c r="GHG6" t="s">
        <v>6984</v>
      </c>
      <c r="GHH6" t="s">
        <v>6984</v>
      </c>
      <c r="GHI6" t="s">
        <v>6984</v>
      </c>
      <c r="GHJ6" t="s">
        <v>6984</v>
      </c>
      <c r="GHK6" t="s">
        <v>6984</v>
      </c>
      <c r="GHL6" t="s">
        <v>6984</v>
      </c>
      <c r="GHM6" t="s">
        <v>6984</v>
      </c>
      <c r="GHN6" t="s">
        <v>6984</v>
      </c>
      <c r="GHO6" t="s">
        <v>6984</v>
      </c>
      <c r="GHP6" t="s">
        <v>6984</v>
      </c>
      <c r="GHQ6" t="s">
        <v>6984</v>
      </c>
      <c r="GHR6" t="s">
        <v>6984</v>
      </c>
      <c r="GHS6" t="s">
        <v>6984</v>
      </c>
      <c r="GHT6" t="s">
        <v>6984</v>
      </c>
      <c r="GHU6" t="s">
        <v>6984</v>
      </c>
      <c r="GHV6" t="s">
        <v>6984</v>
      </c>
      <c r="GHW6" t="s">
        <v>6984</v>
      </c>
      <c r="GHX6" t="s">
        <v>6984</v>
      </c>
      <c r="GHY6" t="s">
        <v>6984</v>
      </c>
      <c r="GHZ6" t="s">
        <v>6984</v>
      </c>
      <c r="GIA6" t="s">
        <v>6984</v>
      </c>
      <c r="GIB6" t="s">
        <v>6984</v>
      </c>
      <c r="GIC6" t="s">
        <v>6984</v>
      </c>
      <c r="GID6" t="s">
        <v>6984</v>
      </c>
      <c r="GIE6" t="s">
        <v>6984</v>
      </c>
      <c r="GIF6" t="s">
        <v>6984</v>
      </c>
      <c r="GIG6" t="s">
        <v>6984</v>
      </c>
      <c r="GIH6" t="s">
        <v>6984</v>
      </c>
      <c r="GII6" t="s">
        <v>6984</v>
      </c>
      <c r="GIJ6" t="s">
        <v>6984</v>
      </c>
      <c r="GIK6" t="s">
        <v>6984</v>
      </c>
      <c r="GIL6" t="s">
        <v>6984</v>
      </c>
      <c r="GIM6" t="s">
        <v>6984</v>
      </c>
      <c r="GIN6" t="s">
        <v>6984</v>
      </c>
      <c r="GIO6" t="s">
        <v>6984</v>
      </c>
      <c r="GIP6" t="s">
        <v>6984</v>
      </c>
      <c r="GIQ6" t="s">
        <v>6984</v>
      </c>
      <c r="GIR6" t="s">
        <v>6984</v>
      </c>
      <c r="GIS6" t="s">
        <v>6984</v>
      </c>
      <c r="GIT6" t="s">
        <v>6984</v>
      </c>
      <c r="GIU6" t="s">
        <v>6984</v>
      </c>
      <c r="GIV6" t="s">
        <v>6984</v>
      </c>
      <c r="GIW6" t="s">
        <v>6984</v>
      </c>
      <c r="GIX6" t="s">
        <v>6984</v>
      </c>
      <c r="GIY6" t="s">
        <v>6984</v>
      </c>
      <c r="GIZ6" t="s">
        <v>6984</v>
      </c>
      <c r="GJA6" t="s">
        <v>6984</v>
      </c>
      <c r="GJB6" t="s">
        <v>6984</v>
      </c>
      <c r="GJC6" t="s">
        <v>6984</v>
      </c>
      <c r="GJD6" t="s">
        <v>6984</v>
      </c>
      <c r="GJE6" t="s">
        <v>6984</v>
      </c>
      <c r="GJF6" t="s">
        <v>6984</v>
      </c>
      <c r="GJG6" t="s">
        <v>6984</v>
      </c>
      <c r="GJH6" t="s">
        <v>6984</v>
      </c>
      <c r="GJI6" t="s">
        <v>6984</v>
      </c>
      <c r="GJJ6" t="s">
        <v>6984</v>
      </c>
      <c r="GJK6" t="s">
        <v>6984</v>
      </c>
      <c r="GJL6" t="s">
        <v>6984</v>
      </c>
      <c r="GJM6" t="s">
        <v>6984</v>
      </c>
      <c r="GJN6" t="s">
        <v>6984</v>
      </c>
      <c r="GJO6" t="s">
        <v>6984</v>
      </c>
      <c r="GJP6" t="s">
        <v>6984</v>
      </c>
      <c r="GJQ6" t="s">
        <v>6984</v>
      </c>
      <c r="GJR6" t="s">
        <v>6984</v>
      </c>
      <c r="GJS6" t="s">
        <v>6984</v>
      </c>
      <c r="GJT6" t="s">
        <v>6984</v>
      </c>
      <c r="GJU6" t="s">
        <v>6984</v>
      </c>
      <c r="GJV6" t="s">
        <v>6984</v>
      </c>
      <c r="GJW6" t="s">
        <v>6984</v>
      </c>
      <c r="GJX6" t="s">
        <v>6984</v>
      </c>
      <c r="GJY6" t="s">
        <v>6984</v>
      </c>
      <c r="GJZ6" t="s">
        <v>6984</v>
      </c>
      <c r="GKA6" t="s">
        <v>6984</v>
      </c>
      <c r="GKB6" t="s">
        <v>6984</v>
      </c>
      <c r="GKC6" t="s">
        <v>6984</v>
      </c>
      <c r="GKD6" t="s">
        <v>6984</v>
      </c>
      <c r="GKE6" t="s">
        <v>6984</v>
      </c>
      <c r="GKF6" t="s">
        <v>6984</v>
      </c>
      <c r="GKG6" t="s">
        <v>6984</v>
      </c>
      <c r="GKH6" t="s">
        <v>6984</v>
      </c>
      <c r="GKI6" t="s">
        <v>6984</v>
      </c>
      <c r="GKJ6" t="s">
        <v>6984</v>
      </c>
      <c r="GKK6" t="s">
        <v>6984</v>
      </c>
      <c r="GKL6" t="s">
        <v>6984</v>
      </c>
      <c r="GKM6" t="s">
        <v>6984</v>
      </c>
      <c r="GKN6" t="s">
        <v>6984</v>
      </c>
      <c r="GKO6" t="s">
        <v>6984</v>
      </c>
      <c r="GKP6" t="s">
        <v>6984</v>
      </c>
      <c r="GKQ6" t="s">
        <v>6984</v>
      </c>
      <c r="GKR6" t="s">
        <v>6984</v>
      </c>
      <c r="GKS6" t="s">
        <v>6984</v>
      </c>
      <c r="GKT6" t="s">
        <v>6984</v>
      </c>
      <c r="GKU6" t="s">
        <v>6984</v>
      </c>
      <c r="GKV6" t="s">
        <v>6984</v>
      </c>
      <c r="GKW6" t="s">
        <v>6984</v>
      </c>
      <c r="GKX6" t="s">
        <v>6984</v>
      </c>
      <c r="GKY6" t="s">
        <v>6984</v>
      </c>
      <c r="GKZ6" t="s">
        <v>6984</v>
      </c>
      <c r="GLA6" t="s">
        <v>6984</v>
      </c>
      <c r="GLB6" t="s">
        <v>6984</v>
      </c>
      <c r="GLC6" t="s">
        <v>6984</v>
      </c>
      <c r="GLD6" t="s">
        <v>6984</v>
      </c>
      <c r="GLE6" t="s">
        <v>6984</v>
      </c>
      <c r="GLF6" t="s">
        <v>6984</v>
      </c>
      <c r="GLG6" t="s">
        <v>6984</v>
      </c>
      <c r="GLH6" t="s">
        <v>6984</v>
      </c>
      <c r="GLI6" t="s">
        <v>6984</v>
      </c>
      <c r="GLJ6" t="s">
        <v>6984</v>
      </c>
      <c r="GLK6" t="s">
        <v>6984</v>
      </c>
      <c r="GLL6" t="s">
        <v>6984</v>
      </c>
      <c r="GLM6" t="s">
        <v>6984</v>
      </c>
      <c r="GLN6" t="s">
        <v>6984</v>
      </c>
      <c r="GLO6" t="s">
        <v>6984</v>
      </c>
      <c r="GLP6" t="s">
        <v>6984</v>
      </c>
      <c r="GLQ6" t="s">
        <v>6984</v>
      </c>
      <c r="GLR6" t="s">
        <v>6984</v>
      </c>
      <c r="GLS6" t="s">
        <v>6984</v>
      </c>
      <c r="GLT6" t="s">
        <v>6984</v>
      </c>
      <c r="GLU6" t="s">
        <v>6984</v>
      </c>
      <c r="GLV6" t="s">
        <v>6984</v>
      </c>
      <c r="GLW6" t="s">
        <v>6984</v>
      </c>
      <c r="GLX6" t="s">
        <v>6984</v>
      </c>
      <c r="GLY6" t="s">
        <v>6984</v>
      </c>
      <c r="GLZ6" t="s">
        <v>6984</v>
      </c>
      <c r="GMA6" t="s">
        <v>6984</v>
      </c>
      <c r="GMB6" t="s">
        <v>6984</v>
      </c>
      <c r="GMC6" t="s">
        <v>6984</v>
      </c>
      <c r="GMD6" t="s">
        <v>6984</v>
      </c>
      <c r="GME6" t="s">
        <v>6984</v>
      </c>
      <c r="GMF6" t="s">
        <v>6984</v>
      </c>
      <c r="GMG6" t="s">
        <v>6984</v>
      </c>
      <c r="GMH6" t="s">
        <v>6984</v>
      </c>
      <c r="GMI6" t="s">
        <v>6984</v>
      </c>
      <c r="GMJ6" t="s">
        <v>6984</v>
      </c>
      <c r="GMK6" t="s">
        <v>6984</v>
      </c>
      <c r="GML6" t="s">
        <v>6984</v>
      </c>
      <c r="GMM6" t="s">
        <v>6984</v>
      </c>
      <c r="GMN6" t="s">
        <v>6984</v>
      </c>
      <c r="GMO6" t="s">
        <v>6984</v>
      </c>
      <c r="GMP6" t="s">
        <v>6984</v>
      </c>
      <c r="GMQ6" t="s">
        <v>6984</v>
      </c>
      <c r="GMR6" t="s">
        <v>6984</v>
      </c>
      <c r="GMS6" t="s">
        <v>6984</v>
      </c>
      <c r="GMT6" t="s">
        <v>6984</v>
      </c>
      <c r="GMU6" t="s">
        <v>6984</v>
      </c>
      <c r="GMV6" t="s">
        <v>6984</v>
      </c>
      <c r="GMW6" t="s">
        <v>6984</v>
      </c>
      <c r="GMX6" t="s">
        <v>6984</v>
      </c>
      <c r="GMY6" t="s">
        <v>6984</v>
      </c>
      <c r="GMZ6" t="s">
        <v>6984</v>
      </c>
      <c r="GNA6" t="s">
        <v>6984</v>
      </c>
      <c r="GNB6" t="s">
        <v>6984</v>
      </c>
      <c r="GNC6" t="s">
        <v>6984</v>
      </c>
      <c r="GND6" t="s">
        <v>6984</v>
      </c>
      <c r="GNE6" t="s">
        <v>6984</v>
      </c>
      <c r="GNF6" t="s">
        <v>6984</v>
      </c>
      <c r="GNG6" t="s">
        <v>6984</v>
      </c>
      <c r="GNH6" t="s">
        <v>6984</v>
      </c>
      <c r="GNI6" t="s">
        <v>6984</v>
      </c>
      <c r="GNJ6" t="s">
        <v>6984</v>
      </c>
      <c r="GNK6" t="s">
        <v>6984</v>
      </c>
      <c r="GNL6" t="s">
        <v>6984</v>
      </c>
      <c r="GNM6" t="s">
        <v>6984</v>
      </c>
      <c r="GNN6" t="s">
        <v>6984</v>
      </c>
      <c r="GNO6" t="s">
        <v>6984</v>
      </c>
      <c r="GNP6" t="s">
        <v>6984</v>
      </c>
      <c r="GNQ6" t="s">
        <v>6984</v>
      </c>
      <c r="GNR6" t="s">
        <v>6984</v>
      </c>
      <c r="GNS6" t="s">
        <v>6984</v>
      </c>
      <c r="GNT6" t="s">
        <v>6984</v>
      </c>
      <c r="GNU6" t="s">
        <v>6984</v>
      </c>
      <c r="GNV6" t="s">
        <v>6984</v>
      </c>
      <c r="GNW6" t="s">
        <v>6984</v>
      </c>
      <c r="GNX6" t="s">
        <v>6984</v>
      </c>
      <c r="GNY6" t="s">
        <v>6984</v>
      </c>
      <c r="GNZ6" t="s">
        <v>6984</v>
      </c>
      <c r="GOA6" t="s">
        <v>6984</v>
      </c>
      <c r="GOB6" t="s">
        <v>6984</v>
      </c>
      <c r="GOC6" t="s">
        <v>6984</v>
      </c>
      <c r="GOD6" t="s">
        <v>6984</v>
      </c>
      <c r="GOE6" t="s">
        <v>6984</v>
      </c>
      <c r="GOF6" t="s">
        <v>6984</v>
      </c>
      <c r="GOG6" t="s">
        <v>6984</v>
      </c>
      <c r="GOH6" t="s">
        <v>6984</v>
      </c>
      <c r="GOI6" t="s">
        <v>6984</v>
      </c>
      <c r="GOJ6" t="s">
        <v>6984</v>
      </c>
      <c r="GOK6" t="s">
        <v>6984</v>
      </c>
      <c r="GOL6" t="s">
        <v>6984</v>
      </c>
      <c r="GOM6" t="s">
        <v>6984</v>
      </c>
      <c r="GON6" t="s">
        <v>6984</v>
      </c>
      <c r="GOO6" t="s">
        <v>6984</v>
      </c>
      <c r="GOP6" t="s">
        <v>6984</v>
      </c>
      <c r="GOQ6" t="s">
        <v>6984</v>
      </c>
      <c r="GOR6" t="s">
        <v>6984</v>
      </c>
      <c r="GOS6" t="s">
        <v>6984</v>
      </c>
      <c r="GOT6" t="s">
        <v>6984</v>
      </c>
      <c r="GOU6" t="s">
        <v>6984</v>
      </c>
      <c r="GOV6" t="s">
        <v>6984</v>
      </c>
      <c r="GOW6" t="s">
        <v>6984</v>
      </c>
      <c r="GOX6" t="s">
        <v>6984</v>
      </c>
      <c r="GOY6" t="s">
        <v>6984</v>
      </c>
      <c r="GOZ6" t="s">
        <v>6984</v>
      </c>
      <c r="GPA6" t="s">
        <v>6984</v>
      </c>
      <c r="GPB6" t="s">
        <v>6984</v>
      </c>
      <c r="GPC6" t="s">
        <v>6984</v>
      </c>
      <c r="GPD6" t="s">
        <v>6984</v>
      </c>
      <c r="GPE6" t="s">
        <v>6984</v>
      </c>
      <c r="GPF6" t="s">
        <v>6984</v>
      </c>
      <c r="GPG6" t="s">
        <v>6984</v>
      </c>
      <c r="GPH6" t="s">
        <v>6984</v>
      </c>
      <c r="GPI6" t="s">
        <v>6984</v>
      </c>
      <c r="GPJ6" t="s">
        <v>6984</v>
      </c>
      <c r="GPK6" t="s">
        <v>6984</v>
      </c>
      <c r="GPL6" t="s">
        <v>6984</v>
      </c>
      <c r="GPM6" t="s">
        <v>6984</v>
      </c>
      <c r="GPN6" t="s">
        <v>6984</v>
      </c>
      <c r="GPO6" t="s">
        <v>6984</v>
      </c>
      <c r="GPP6" t="s">
        <v>6984</v>
      </c>
      <c r="GPQ6" t="s">
        <v>6984</v>
      </c>
      <c r="GPR6" t="s">
        <v>6984</v>
      </c>
      <c r="GPS6" t="s">
        <v>6984</v>
      </c>
      <c r="GPT6" t="s">
        <v>6984</v>
      </c>
      <c r="GPU6" t="s">
        <v>6984</v>
      </c>
      <c r="GPV6" t="s">
        <v>6984</v>
      </c>
      <c r="GPW6" t="s">
        <v>6984</v>
      </c>
      <c r="GPX6" t="s">
        <v>6984</v>
      </c>
      <c r="GPY6" t="s">
        <v>6984</v>
      </c>
      <c r="GPZ6" t="s">
        <v>6984</v>
      </c>
      <c r="GQA6" t="s">
        <v>6984</v>
      </c>
      <c r="GQB6" t="s">
        <v>6984</v>
      </c>
      <c r="GQC6" t="s">
        <v>6984</v>
      </c>
      <c r="GQD6" t="s">
        <v>6984</v>
      </c>
      <c r="GQE6" t="s">
        <v>6984</v>
      </c>
      <c r="GQF6" t="s">
        <v>6984</v>
      </c>
      <c r="GQG6" t="s">
        <v>6984</v>
      </c>
      <c r="GQH6" t="s">
        <v>6984</v>
      </c>
      <c r="GQI6" t="s">
        <v>6984</v>
      </c>
      <c r="GQJ6" t="s">
        <v>6984</v>
      </c>
      <c r="GQK6" t="s">
        <v>6984</v>
      </c>
      <c r="GQL6" t="s">
        <v>6984</v>
      </c>
      <c r="GQM6" t="s">
        <v>6984</v>
      </c>
      <c r="GQN6" t="s">
        <v>6984</v>
      </c>
      <c r="GQO6" t="s">
        <v>6984</v>
      </c>
      <c r="GQP6" t="s">
        <v>6984</v>
      </c>
      <c r="GQQ6" t="s">
        <v>6984</v>
      </c>
      <c r="GQR6" t="s">
        <v>6984</v>
      </c>
      <c r="GQS6" t="s">
        <v>6984</v>
      </c>
      <c r="GQT6" t="s">
        <v>6984</v>
      </c>
      <c r="GQU6" t="s">
        <v>6984</v>
      </c>
      <c r="GQV6" t="s">
        <v>6984</v>
      </c>
      <c r="GQW6" t="s">
        <v>6984</v>
      </c>
      <c r="GQX6" t="s">
        <v>6984</v>
      </c>
      <c r="GQY6" t="s">
        <v>6984</v>
      </c>
      <c r="GQZ6" t="s">
        <v>6984</v>
      </c>
      <c r="GRA6" t="s">
        <v>6984</v>
      </c>
      <c r="GRB6" t="s">
        <v>6984</v>
      </c>
      <c r="GRC6" t="s">
        <v>6984</v>
      </c>
      <c r="GRD6" t="s">
        <v>6984</v>
      </c>
      <c r="GRE6" t="s">
        <v>6984</v>
      </c>
      <c r="GRF6" t="s">
        <v>6984</v>
      </c>
      <c r="GRG6" t="s">
        <v>6984</v>
      </c>
      <c r="GRH6" t="s">
        <v>6984</v>
      </c>
      <c r="GRI6" t="s">
        <v>6984</v>
      </c>
      <c r="GRJ6" t="s">
        <v>6984</v>
      </c>
      <c r="GRK6" t="s">
        <v>6984</v>
      </c>
      <c r="GRL6" t="s">
        <v>6984</v>
      </c>
      <c r="GRM6" t="s">
        <v>6984</v>
      </c>
      <c r="GRN6" t="s">
        <v>6984</v>
      </c>
      <c r="GRO6" t="s">
        <v>6984</v>
      </c>
      <c r="GRP6" t="s">
        <v>6984</v>
      </c>
      <c r="GRQ6" t="s">
        <v>6984</v>
      </c>
      <c r="GRR6" t="s">
        <v>6984</v>
      </c>
      <c r="GRS6" t="s">
        <v>6984</v>
      </c>
      <c r="GRT6" t="s">
        <v>6984</v>
      </c>
      <c r="GRU6" t="s">
        <v>6984</v>
      </c>
      <c r="GRV6" t="s">
        <v>6984</v>
      </c>
      <c r="GRW6" t="s">
        <v>6984</v>
      </c>
      <c r="GRX6" t="s">
        <v>6984</v>
      </c>
      <c r="GRY6" t="s">
        <v>6984</v>
      </c>
      <c r="GRZ6" t="s">
        <v>6984</v>
      </c>
      <c r="GSA6" t="s">
        <v>6984</v>
      </c>
      <c r="GSB6" t="s">
        <v>6984</v>
      </c>
      <c r="GSC6" t="s">
        <v>6984</v>
      </c>
      <c r="GSD6" t="s">
        <v>6984</v>
      </c>
      <c r="GSE6" t="s">
        <v>6984</v>
      </c>
      <c r="GSF6" t="s">
        <v>6984</v>
      </c>
      <c r="GSG6" t="s">
        <v>6984</v>
      </c>
      <c r="GSH6" t="s">
        <v>6984</v>
      </c>
      <c r="GSI6" t="s">
        <v>6984</v>
      </c>
      <c r="GSJ6" t="s">
        <v>6984</v>
      </c>
      <c r="GSK6" t="s">
        <v>6984</v>
      </c>
      <c r="GSL6" t="s">
        <v>6984</v>
      </c>
      <c r="GSM6" t="s">
        <v>6984</v>
      </c>
      <c r="GSN6" t="s">
        <v>6984</v>
      </c>
      <c r="GSO6" t="s">
        <v>6984</v>
      </c>
      <c r="GSP6" t="s">
        <v>6984</v>
      </c>
      <c r="GSQ6" t="s">
        <v>6984</v>
      </c>
      <c r="GSR6" t="s">
        <v>6984</v>
      </c>
      <c r="GSS6" t="s">
        <v>6984</v>
      </c>
      <c r="GST6" t="s">
        <v>6984</v>
      </c>
      <c r="GSU6" t="s">
        <v>6984</v>
      </c>
      <c r="GSV6" t="s">
        <v>6984</v>
      </c>
      <c r="GSW6" t="s">
        <v>6984</v>
      </c>
      <c r="GSX6" t="s">
        <v>6984</v>
      </c>
      <c r="GSY6" t="s">
        <v>6984</v>
      </c>
      <c r="GSZ6" t="s">
        <v>6984</v>
      </c>
      <c r="GTA6" t="s">
        <v>6984</v>
      </c>
      <c r="GTB6" t="s">
        <v>6984</v>
      </c>
      <c r="GTC6" t="s">
        <v>6984</v>
      </c>
      <c r="GTD6" t="s">
        <v>6984</v>
      </c>
      <c r="GTE6" t="s">
        <v>6984</v>
      </c>
      <c r="GTF6" t="s">
        <v>6984</v>
      </c>
      <c r="GTG6" t="s">
        <v>6984</v>
      </c>
      <c r="GTH6" t="s">
        <v>6984</v>
      </c>
      <c r="GTI6" t="s">
        <v>6984</v>
      </c>
      <c r="GTJ6" t="s">
        <v>6984</v>
      </c>
      <c r="GTK6" t="s">
        <v>6984</v>
      </c>
      <c r="GTL6" t="s">
        <v>6984</v>
      </c>
      <c r="GTM6" t="s">
        <v>6984</v>
      </c>
      <c r="GTN6" t="s">
        <v>6984</v>
      </c>
      <c r="GTO6" t="s">
        <v>6984</v>
      </c>
      <c r="GTP6" t="s">
        <v>6984</v>
      </c>
      <c r="GTQ6" t="s">
        <v>6984</v>
      </c>
      <c r="GTR6" t="s">
        <v>6984</v>
      </c>
      <c r="GTS6" t="s">
        <v>6984</v>
      </c>
      <c r="GTT6" t="s">
        <v>6984</v>
      </c>
      <c r="GTU6" t="s">
        <v>6984</v>
      </c>
      <c r="GTV6" t="s">
        <v>6984</v>
      </c>
      <c r="GTW6" t="s">
        <v>6984</v>
      </c>
      <c r="GTX6" t="s">
        <v>6984</v>
      </c>
      <c r="GTY6" t="s">
        <v>6984</v>
      </c>
      <c r="GTZ6" t="s">
        <v>6984</v>
      </c>
      <c r="GUA6" t="s">
        <v>6984</v>
      </c>
      <c r="GUB6" t="s">
        <v>6984</v>
      </c>
      <c r="GUC6" t="s">
        <v>6984</v>
      </c>
      <c r="GUD6" t="s">
        <v>6984</v>
      </c>
      <c r="GUE6" t="s">
        <v>6984</v>
      </c>
      <c r="GUF6" t="s">
        <v>6984</v>
      </c>
      <c r="GUG6" t="s">
        <v>6984</v>
      </c>
      <c r="GUH6" t="s">
        <v>6984</v>
      </c>
      <c r="GUI6" t="s">
        <v>6984</v>
      </c>
      <c r="GUJ6" t="s">
        <v>6984</v>
      </c>
      <c r="GUK6" t="s">
        <v>6984</v>
      </c>
      <c r="GUL6" t="s">
        <v>6984</v>
      </c>
      <c r="GUM6" t="s">
        <v>6984</v>
      </c>
      <c r="GUN6" t="s">
        <v>6984</v>
      </c>
      <c r="GUO6" t="s">
        <v>6984</v>
      </c>
      <c r="GUP6" t="s">
        <v>6984</v>
      </c>
      <c r="GUQ6" t="s">
        <v>6984</v>
      </c>
      <c r="GUR6" t="s">
        <v>6984</v>
      </c>
      <c r="GUS6" t="s">
        <v>6984</v>
      </c>
      <c r="GUT6" t="s">
        <v>6984</v>
      </c>
      <c r="GUU6" t="s">
        <v>6984</v>
      </c>
      <c r="GUV6" t="s">
        <v>6984</v>
      </c>
      <c r="GUW6" t="s">
        <v>6984</v>
      </c>
      <c r="GUX6" t="s">
        <v>6984</v>
      </c>
      <c r="GUY6" t="s">
        <v>6984</v>
      </c>
      <c r="GUZ6" t="s">
        <v>6984</v>
      </c>
      <c r="GVA6" t="s">
        <v>6984</v>
      </c>
      <c r="GVB6" t="s">
        <v>6984</v>
      </c>
      <c r="GVC6" t="s">
        <v>6984</v>
      </c>
      <c r="GVD6" t="s">
        <v>6984</v>
      </c>
      <c r="GVE6" t="s">
        <v>6984</v>
      </c>
      <c r="GVF6" t="s">
        <v>6984</v>
      </c>
      <c r="GVG6" t="s">
        <v>6984</v>
      </c>
      <c r="GVH6" t="s">
        <v>6984</v>
      </c>
      <c r="GVI6" t="s">
        <v>6984</v>
      </c>
      <c r="GVJ6" t="s">
        <v>6984</v>
      </c>
      <c r="GVK6" t="s">
        <v>6984</v>
      </c>
      <c r="GVL6" t="s">
        <v>6984</v>
      </c>
      <c r="GVM6" t="s">
        <v>6984</v>
      </c>
      <c r="GVN6" t="s">
        <v>6984</v>
      </c>
      <c r="GVO6" t="s">
        <v>6984</v>
      </c>
      <c r="GVP6" t="s">
        <v>6984</v>
      </c>
      <c r="GVQ6" t="s">
        <v>6984</v>
      </c>
      <c r="GVR6" t="s">
        <v>6984</v>
      </c>
      <c r="GVS6" t="s">
        <v>6984</v>
      </c>
      <c r="GVT6" t="s">
        <v>6984</v>
      </c>
      <c r="GVU6" t="s">
        <v>6984</v>
      </c>
      <c r="GVV6" t="s">
        <v>6984</v>
      </c>
      <c r="GVW6" t="s">
        <v>6984</v>
      </c>
      <c r="GVX6" t="s">
        <v>6984</v>
      </c>
      <c r="GVY6" t="s">
        <v>6984</v>
      </c>
      <c r="GVZ6" t="s">
        <v>6984</v>
      </c>
      <c r="GWA6" t="s">
        <v>6984</v>
      </c>
      <c r="GWB6" t="s">
        <v>6984</v>
      </c>
      <c r="GWC6" t="s">
        <v>6984</v>
      </c>
      <c r="GWD6" t="s">
        <v>6984</v>
      </c>
      <c r="GWE6" t="s">
        <v>6984</v>
      </c>
      <c r="GWF6" t="s">
        <v>6984</v>
      </c>
      <c r="GWG6" t="s">
        <v>6984</v>
      </c>
      <c r="GWH6" t="s">
        <v>6984</v>
      </c>
      <c r="GWI6" t="s">
        <v>6984</v>
      </c>
      <c r="GWJ6" t="s">
        <v>6984</v>
      </c>
      <c r="GWK6" t="s">
        <v>6984</v>
      </c>
      <c r="GWL6" t="s">
        <v>6984</v>
      </c>
      <c r="GWM6" t="s">
        <v>6984</v>
      </c>
      <c r="GWN6" t="s">
        <v>6984</v>
      </c>
      <c r="GWO6" t="s">
        <v>6984</v>
      </c>
      <c r="GWP6" t="s">
        <v>6984</v>
      </c>
      <c r="GWQ6" t="s">
        <v>6984</v>
      </c>
      <c r="GWR6" t="s">
        <v>6984</v>
      </c>
      <c r="GWS6" t="s">
        <v>6984</v>
      </c>
      <c r="GWT6" t="s">
        <v>6984</v>
      </c>
      <c r="GWU6" t="s">
        <v>6984</v>
      </c>
      <c r="GWV6" t="s">
        <v>6984</v>
      </c>
      <c r="GWW6" t="s">
        <v>6984</v>
      </c>
      <c r="GWX6" t="s">
        <v>6984</v>
      </c>
      <c r="GWY6" t="s">
        <v>6984</v>
      </c>
      <c r="GWZ6" t="s">
        <v>6984</v>
      </c>
      <c r="GXA6" t="s">
        <v>6984</v>
      </c>
      <c r="GXB6" t="s">
        <v>6984</v>
      </c>
      <c r="GXC6" t="s">
        <v>6984</v>
      </c>
      <c r="GXD6" t="s">
        <v>6984</v>
      </c>
      <c r="GXE6" t="s">
        <v>6984</v>
      </c>
      <c r="GXF6" t="s">
        <v>6984</v>
      </c>
      <c r="GXG6" t="s">
        <v>6984</v>
      </c>
      <c r="GXH6" t="s">
        <v>6984</v>
      </c>
      <c r="GXI6" t="s">
        <v>6984</v>
      </c>
      <c r="GXJ6" t="s">
        <v>6984</v>
      </c>
      <c r="GXK6" t="s">
        <v>6984</v>
      </c>
      <c r="GXL6" t="s">
        <v>6984</v>
      </c>
      <c r="GXM6" t="s">
        <v>6984</v>
      </c>
      <c r="GXN6" t="s">
        <v>6984</v>
      </c>
      <c r="GXO6" t="s">
        <v>6984</v>
      </c>
      <c r="GXP6" t="s">
        <v>6984</v>
      </c>
      <c r="GXQ6" t="s">
        <v>6984</v>
      </c>
      <c r="GXR6" t="s">
        <v>6984</v>
      </c>
      <c r="GXS6" t="s">
        <v>6984</v>
      </c>
      <c r="GXT6" t="s">
        <v>6984</v>
      </c>
      <c r="GXU6" t="s">
        <v>6984</v>
      </c>
      <c r="GXV6" t="s">
        <v>6984</v>
      </c>
      <c r="GXW6" t="s">
        <v>6984</v>
      </c>
      <c r="GXX6" t="s">
        <v>6984</v>
      </c>
      <c r="GXY6" t="s">
        <v>6984</v>
      </c>
      <c r="GXZ6" t="s">
        <v>6984</v>
      </c>
      <c r="GYA6" t="s">
        <v>6984</v>
      </c>
      <c r="GYB6" t="s">
        <v>6984</v>
      </c>
      <c r="GYC6" t="s">
        <v>6984</v>
      </c>
      <c r="GYD6" t="s">
        <v>6984</v>
      </c>
      <c r="GYE6" t="s">
        <v>6984</v>
      </c>
      <c r="GYF6" t="s">
        <v>6984</v>
      </c>
      <c r="GYG6" t="s">
        <v>6984</v>
      </c>
      <c r="GYH6" t="s">
        <v>6984</v>
      </c>
      <c r="GYI6" t="s">
        <v>6984</v>
      </c>
      <c r="GYJ6" t="s">
        <v>6984</v>
      </c>
      <c r="GYK6" t="s">
        <v>6984</v>
      </c>
      <c r="GYL6" t="s">
        <v>6984</v>
      </c>
      <c r="GYM6" t="s">
        <v>6984</v>
      </c>
      <c r="GYN6" t="s">
        <v>6984</v>
      </c>
      <c r="GYO6" t="s">
        <v>6984</v>
      </c>
      <c r="GYP6" t="s">
        <v>6984</v>
      </c>
      <c r="GYQ6" t="s">
        <v>6984</v>
      </c>
      <c r="GYR6" t="s">
        <v>6984</v>
      </c>
      <c r="GYS6" t="s">
        <v>6984</v>
      </c>
      <c r="GYT6" t="s">
        <v>6984</v>
      </c>
      <c r="GYU6" t="s">
        <v>6984</v>
      </c>
      <c r="GYV6" t="s">
        <v>6984</v>
      </c>
      <c r="GYW6" t="s">
        <v>6984</v>
      </c>
      <c r="GYX6" t="s">
        <v>6984</v>
      </c>
      <c r="GYY6" t="s">
        <v>6984</v>
      </c>
      <c r="GYZ6" t="s">
        <v>6984</v>
      </c>
      <c r="GZA6" t="s">
        <v>6984</v>
      </c>
      <c r="GZB6" t="s">
        <v>6984</v>
      </c>
      <c r="GZC6" t="s">
        <v>6984</v>
      </c>
      <c r="GZD6" t="s">
        <v>6984</v>
      </c>
      <c r="GZE6" t="s">
        <v>6984</v>
      </c>
      <c r="GZF6" t="s">
        <v>6984</v>
      </c>
      <c r="GZG6" t="s">
        <v>6984</v>
      </c>
      <c r="GZH6" t="s">
        <v>6984</v>
      </c>
      <c r="GZI6" t="s">
        <v>6984</v>
      </c>
      <c r="GZJ6" t="s">
        <v>6984</v>
      </c>
      <c r="GZK6" t="s">
        <v>6984</v>
      </c>
      <c r="GZL6" t="s">
        <v>6984</v>
      </c>
      <c r="GZM6" t="s">
        <v>6984</v>
      </c>
      <c r="GZN6" t="s">
        <v>6984</v>
      </c>
      <c r="GZO6" t="s">
        <v>6984</v>
      </c>
      <c r="GZP6" t="s">
        <v>6984</v>
      </c>
      <c r="GZQ6" t="s">
        <v>6984</v>
      </c>
      <c r="GZR6" t="s">
        <v>6984</v>
      </c>
      <c r="GZS6" t="s">
        <v>6984</v>
      </c>
      <c r="GZT6" t="s">
        <v>6984</v>
      </c>
      <c r="GZU6" t="s">
        <v>6984</v>
      </c>
      <c r="GZV6" t="s">
        <v>6984</v>
      </c>
      <c r="GZW6" t="s">
        <v>6984</v>
      </c>
      <c r="GZX6" t="s">
        <v>6984</v>
      </c>
      <c r="GZY6" t="s">
        <v>6984</v>
      </c>
      <c r="GZZ6" t="s">
        <v>6984</v>
      </c>
      <c r="HAA6" t="s">
        <v>6984</v>
      </c>
      <c r="HAB6" t="s">
        <v>6984</v>
      </c>
      <c r="HAC6" t="s">
        <v>6984</v>
      </c>
      <c r="HAD6" t="s">
        <v>6984</v>
      </c>
      <c r="HAE6" t="s">
        <v>6984</v>
      </c>
      <c r="HAF6" t="s">
        <v>6984</v>
      </c>
      <c r="HAG6" t="s">
        <v>6984</v>
      </c>
      <c r="HAH6" t="s">
        <v>6984</v>
      </c>
      <c r="HAI6" t="s">
        <v>6984</v>
      </c>
      <c r="HAJ6" t="s">
        <v>6984</v>
      </c>
      <c r="HAK6" t="s">
        <v>6984</v>
      </c>
      <c r="HAL6" t="s">
        <v>6984</v>
      </c>
      <c r="HAM6" t="s">
        <v>6984</v>
      </c>
      <c r="HAN6" t="s">
        <v>6984</v>
      </c>
      <c r="HAO6" t="s">
        <v>6984</v>
      </c>
      <c r="HAP6" t="s">
        <v>6984</v>
      </c>
      <c r="HAQ6" t="s">
        <v>6984</v>
      </c>
      <c r="HAR6" t="s">
        <v>6984</v>
      </c>
      <c r="HAS6" t="s">
        <v>6984</v>
      </c>
      <c r="HAT6" t="s">
        <v>6984</v>
      </c>
      <c r="HAU6" t="s">
        <v>6984</v>
      </c>
      <c r="HAV6" t="s">
        <v>6984</v>
      </c>
      <c r="HAW6" t="s">
        <v>6984</v>
      </c>
      <c r="HAX6" t="s">
        <v>6984</v>
      </c>
      <c r="HAY6" t="s">
        <v>6984</v>
      </c>
      <c r="HAZ6" t="s">
        <v>6984</v>
      </c>
      <c r="HBA6" t="s">
        <v>6984</v>
      </c>
      <c r="HBB6" t="s">
        <v>6984</v>
      </c>
      <c r="HBC6" t="s">
        <v>6984</v>
      </c>
      <c r="HBD6" t="s">
        <v>6984</v>
      </c>
      <c r="HBE6" t="s">
        <v>6984</v>
      </c>
      <c r="HBF6" t="s">
        <v>6984</v>
      </c>
      <c r="HBG6" t="s">
        <v>6984</v>
      </c>
      <c r="HBH6" t="s">
        <v>6984</v>
      </c>
      <c r="HBI6" t="s">
        <v>6984</v>
      </c>
      <c r="HBJ6" t="s">
        <v>6984</v>
      </c>
      <c r="HBK6" t="s">
        <v>6984</v>
      </c>
      <c r="HBL6" t="s">
        <v>6984</v>
      </c>
      <c r="HBM6" t="s">
        <v>6984</v>
      </c>
      <c r="HBN6" t="s">
        <v>6984</v>
      </c>
      <c r="HBO6" t="s">
        <v>6984</v>
      </c>
      <c r="HBP6" t="s">
        <v>6984</v>
      </c>
      <c r="HBQ6" t="s">
        <v>6984</v>
      </c>
      <c r="HBR6" t="s">
        <v>6984</v>
      </c>
      <c r="HBS6" t="s">
        <v>6984</v>
      </c>
      <c r="HBT6" t="s">
        <v>6984</v>
      </c>
      <c r="HBU6" t="s">
        <v>6984</v>
      </c>
      <c r="HBV6" t="s">
        <v>6984</v>
      </c>
      <c r="HBW6" t="s">
        <v>6984</v>
      </c>
      <c r="HBX6" t="s">
        <v>6984</v>
      </c>
      <c r="HBY6" t="s">
        <v>6984</v>
      </c>
      <c r="HBZ6" t="s">
        <v>6984</v>
      </c>
      <c r="HCA6" t="s">
        <v>6984</v>
      </c>
      <c r="HCB6" t="s">
        <v>6984</v>
      </c>
      <c r="HCC6" t="s">
        <v>6984</v>
      </c>
      <c r="HCD6" t="s">
        <v>6984</v>
      </c>
      <c r="HCE6" t="s">
        <v>6984</v>
      </c>
      <c r="HCF6" t="s">
        <v>6984</v>
      </c>
      <c r="HCG6" t="s">
        <v>6984</v>
      </c>
      <c r="HCH6" t="s">
        <v>6984</v>
      </c>
      <c r="HCI6" t="s">
        <v>6984</v>
      </c>
      <c r="HCJ6" t="s">
        <v>6984</v>
      </c>
      <c r="HCK6" t="s">
        <v>6984</v>
      </c>
      <c r="HCL6" t="s">
        <v>6984</v>
      </c>
      <c r="HCM6" t="s">
        <v>6984</v>
      </c>
      <c r="HCN6" t="s">
        <v>6984</v>
      </c>
      <c r="HCO6" t="s">
        <v>6984</v>
      </c>
      <c r="HCP6" t="s">
        <v>6984</v>
      </c>
      <c r="HCQ6" t="s">
        <v>6984</v>
      </c>
      <c r="HCR6" t="s">
        <v>6984</v>
      </c>
      <c r="HCS6" t="s">
        <v>6984</v>
      </c>
      <c r="HCT6" t="s">
        <v>6984</v>
      </c>
      <c r="HCU6" t="s">
        <v>6984</v>
      </c>
      <c r="HCV6" t="s">
        <v>6984</v>
      </c>
      <c r="HCW6" t="s">
        <v>6984</v>
      </c>
      <c r="HCX6" t="s">
        <v>6984</v>
      </c>
      <c r="HCY6" t="s">
        <v>6984</v>
      </c>
      <c r="HCZ6" t="s">
        <v>6984</v>
      </c>
      <c r="HDA6" t="s">
        <v>6984</v>
      </c>
      <c r="HDB6" t="s">
        <v>6984</v>
      </c>
      <c r="HDC6" t="s">
        <v>6984</v>
      </c>
      <c r="HDD6" t="s">
        <v>6984</v>
      </c>
      <c r="HDE6" t="s">
        <v>6984</v>
      </c>
      <c r="HDF6" t="s">
        <v>6984</v>
      </c>
      <c r="HDG6" t="s">
        <v>6984</v>
      </c>
      <c r="HDH6" t="s">
        <v>6984</v>
      </c>
      <c r="HDI6" t="s">
        <v>6984</v>
      </c>
      <c r="HDJ6" t="s">
        <v>6984</v>
      </c>
      <c r="HDK6" t="s">
        <v>6984</v>
      </c>
      <c r="HDL6" t="s">
        <v>6984</v>
      </c>
      <c r="HDM6" t="s">
        <v>6984</v>
      </c>
      <c r="HDN6" t="s">
        <v>6984</v>
      </c>
      <c r="HDO6" t="s">
        <v>6984</v>
      </c>
      <c r="HDP6" t="s">
        <v>6984</v>
      </c>
      <c r="HDQ6" t="s">
        <v>6984</v>
      </c>
      <c r="HDR6" t="s">
        <v>6984</v>
      </c>
      <c r="HDS6" t="s">
        <v>6984</v>
      </c>
      <c r="HDT6" t="s">
        <v>6984</v>
      </c>
      <c r="HDU6" t="s">
        <v>6984</v>
      </c>
      <c r="HDV6" t="s">
        <v>6984</v>
      </c>
      <c r="HDW6" t="s">
        <v>6984</v>
      </c>
      <c r="HDX6" t="s">
        <v>6984</v>
      </c>
      <c r="HDY6" t="s">
        <v>6984</v>
      </c>
      <c r="HDZ6" t="s">
        <v>6984</v>
      </c>
      <c r="HEA6" t="s">
        <v>6984</v>
      </c>
      <c r="HEB6" t="s">
        <v>6984</v>
      </c>
      <c r="HEC6" t="s">
        <v>6984</v>
      </c>
      <c r="HED6" t="s">
        <v>6984</v>
      </c>
      <c r="HEE6" t="s">
        <v>6984</v>
      </c>
      <c r="HEF6" t="s">
        <v>6984</v>
      </c>
      <c r="HEG6" t="s">
        <v>6984</v>
      </c>
      <c r="HEH6" t="s">
        <v>6984</v>
      </c>
      <c r="HEI6" t="s">
        <v>6984</v>
      </c>
      <c r="HEJ6" t="s">
        <v>6984</v>
      </c>
      <c r="HEK6" t="s">
        <v>6984</v>
      </c>
      <c r="HEL6" t="s">
        <v>6984</v>
      </c>
      <c r="HEM6" t="s">
        <v>6984</v>
      </c>
      <c r="HEN6" t="s">
        <v>6984</v>
      </c>
      <c r="HEO6" t="s">
        <v>6984</v>
      </c>
      <c r="HEP6" t="s">
        <v>6984</v>
      </c>
      <c r="HEQ6" t="s">
        <v>6984</v>
      </c>
      <c r="HER6" t="s">
        <v>6984</v>
      </c>
      <c r="HES6" t="s">
        <v>6984</v>
      </c>
      <c r="HET6" t="s">
        <v>6984</v>
      </c>
      <c r="HEU6" t="s">
        <v>6984</v>
      </c>
      <c r="HEV6" t="s">
        <v>6984</v>
      </c>
      <c r="HEW6" t="s">
        <v>6984</v>
      </c>
      <c r="HEX6" t="s">
        <v>6984</v>
      </c>
      <c r="HEY6" t="s">
        <v>6984</v>
      </c>
      <c r="HEZ6" t="s">
        <v>6984</v>
      </c>
      <c r="HFA6" t="s">
        <v>6984</v>
      </c>
      <c r="HFB6" t="s">
        <v>6984</v>
      </c>
      <c r="HFC6" t="s">
        <v>6984</v>
      </c>
      <c r="HFD6" t="s">
        <v>6984</v>
      </c>
      <c r="HFE6" t="s">
        <v>6984</v>
      </c>
      <c r="HFF6" t="s">
        <v>6984</v>
      </c>
      <c r="HFG6" t="s">
        <v>6984</v>
      </c>
      <c r="HFH6" t="s">
        <v>6984</v>
      </c>
      <c r="HFI6" t="s">
        <v>6984</v>
      </c>
      <c r="HFJ6" t="s">
        <v>6984</v>
      </c>
      <c r="HFK6" t="s">
        <v>6984</v>
      </c>
      <c r="HFL6" t="s">
        <v>6984</v>
      </c>
      <c r="HFM6" t="s">
        <v>6984</v>
      </c>
      <c r="HFN6" t="s">
        <v>6984</v>
      </c>
      <c r="HFO6" t="s">
        <v>6984</v>
      </c>
      <c r="HFP6" t="s">
        <v>6984</v>
      </c>
      <c r="HFQ6" t="s">
        <v>6984</v>
      </c>
      <c r="HFR6" t="s">
        <v>6984</v>
      </c>
      <c r="HFS6" t="s">
        <v>6984</v>
      </c>
      <c r="HFT6" t="s">
        <v>6984</v>
      </c>
      <c r="HFU6" t="s">
        <v>6984</v>
      </c>
      <c r="HFV6" t="s">
        <v>6984</v>
      </c>
      <c r="HFW6" t="s">
        <v>6984</v>
      </c>
      <c r="HFX6" t="s">
        <v>6984</v>
      </c>
      <c r="HFY6" t="s">
        <v>6984</v>
      </c>
      <c r="HFZ6" t="s">
        <v>6984</v>
      </c>
      <c r="HGA6" t="s">
        <v>6984</v>
      </c>
      <c r="HGB6" t="s">
        <v>6984</v>
      </c>
      <c r="HGC6" t="s">
        <v>6984</v>
      </c>
      <c r="HGD6" t="s">
        <v>6984</v>
      </c>
      <c r="HGE6" t="s">
        <v>6984</v>
      </c>
      <c r="HGF6" t="s">
        <v>6984</v>
      </c>
      <c r="HGG6" t="s">
        <v>6984</v>
      </c>
      <c r="HGH6" t="s">
        <v>6984</v>
      </c>
      <c r="HGI6" t="s">
        <v>6984</v>
      </c>
      <c r="HGJ6" t="s">
        <v>6984</v>
      </c>
      <c r="HGK6" t="s">
        <v>6984</v>
      </c>
      <c r="HGL6" t="s">
        <v>6984</v>
      </c>
      <c r="HGM6" t="s">
        <v>6984</v>
      </c>
      <c r="HGN6" t="s">
        <v>6984</v>
      </c>
      <c r="HGO6" t="s">
        <v>6984</v>
      </c>
      <c r="HGP6" t="s">
        <v>6984</v>
      </c>
      <c r="HGQ6" t="s">
        <v>6984</v>
      </c>
      <c r="HGR6" t="s">
        <v>6984</v>
      </c>
      <c r="HGS6" t="s">
        <v>6984</v>
      </c>
      <c r="HGT6" t="s">
        <v>6984</v>
      </c>
      <c r="HGU6" t="s">
        <v>6984</v>
      </c>
      <c r="HGV6" t="s">
        <v>6984</v>
      </c>
      <c r="HGW6" t="s">
        <v>6984</v>
      </c>
      <c r="HGX6" t="s">
        <v>6984</v>
      </c>
      <c r="HGY6" t="s">
        <v>6984</v>
      </c>
      <c r="HGZ6" t="s">
        <v>6984</v>
      </c>
      <c r="HHA6" t="s">
        <v>6984</v>
      </c>
      <c r="HHB6" t="s">
        <v>6984</v>
      </c>
      <c r="HHC6" t="s">
        <v>6984</v>
      </c>
      <c r="HHD6" t="s">
        <v>6984</v>
      </c>
      <c r="HHE6" t="s">
        <v>6984</v>
      </c>
      <c r="HHF6" t="s">
        <v>6984</v>
      </c>
      <c r="HHG6" t="s">
        <v>6984</v>
      </c>
      <c r="HHH6" t="s">
        <v>6984</v>
      </c>
      <c r="HHI6" t="s">
        <v>6984</v>
      </c>
      <c r="HHJ6" t="s">
        <v>6984</v>
      </c>
      <c r="HHK6" t="s">
        <v>6984</v>
      </c>
      <c r="HHL6" t="s">
        <v>6984</v>
      </c>
      <c r="HHM6" t="s">
        <v>6984</v>
      </c>
      <c r="HHN6" t="s">
        <v>6984</v>
      </c>
      <c r="HHO6" t="s">
        <v>6984</v>
      </c>
      <c r="HHP6" t="s">
        <v>6984</v>
      </c>
      <c r="HHQ6" t="s">
        <v>6984</v>
      </c>
      <c r="HHR6" t="s">
        <v>6984</v>
      </c>
      <c r="HHS6" t="s">
        <v>6984</v>
      </c>
      <c r="HHT6" t="s">
        <v>6984</v>
      </c>
      <c r="HHU6" t="s">
        <v>6984</v>
      </c>
      <c r="HHV6" t="s">
        <v>6984</v>
      </c>
      <c r="HHW6" t="s">
        <v>6984</v>
      </c>
      <c r="HHX6" t="s">
        <v>6984</v>
      </c>
      <c r="HHY6" t="s">
        <v>6984</v>
      </c>
      <c r="HHZ6" t="s">
        <v>6984</v>
      </c>
      <c r="HIA6" t="s">
        <v>6984</v>
      </c>
      <c r="HIB6" t="s">
        <v>6984</v>
      </c>
      <c r="HIC6" t="s">
        <v>6984</v>
      </c>
      <c r="HID6" t="s">
        <v>6984</v>
      </c>
      <c r="HIE6" t="s">
        <v>6984</v>
      </c>
      <c r="HIF6" t="s">
        <v>6984</v>
      </c>
      <c r="HIG6" t="s">
        <v>6984</v>
      </c>
      <c r="HIH6" t="s">
        <v>6984</v>
      </c>
      <c r="HII6" t="s">
        <v>6984</v>
      </c>
      <c r="HIJ6" t="s">
        <v>6984</v>
      </c>
      <c r="HIK6" t="s">
        <v>6984</v>
      </c>
      <c r="HIL6" t="s">
        <v>6984</v>
      </c>
      <c r="HIM6" t="s">
        <v>6984</v>
      </c>
      <c r="HIN6" t="s">
        <v>6984</v>
      </c>
      <c r="HIO6" t="s">
        <v>6984</v>
      </c>
      <c r="HIP6" t="s">
        <v>6984</v>
      </c>
      <c r="HIQ6" t="s">
        <v>6984</v>
      </c>
      <c r="HIR6" t="s">
        <v>6984</v>
      </c>
      <c r="HIS6" t="s">
        <v>6984</v>
      </c>
      <c r="HIT6" t="s">
        <v>6984</v>
      </c>
      <c r="HIU6" t="s">
        <v>6984</v>
      </c>
      <c r="HIV6" t="s">
        <v>6984</v>
      </c>
      <c r="HIW6" t="s">
        <v>6984</v>
      </c>
      <c r="HIX6" t="s">
        <v>6984</v>
      </c>
      <c r="HIY6" t="s">
        <v>6984</v>
      </c>
      <c r="HIZ6" t="s">
        <v>6984</v>
      </c>
      <c r="HJA6" t="s">
        <v>6984</v>
      </c>
      <c r="HJB6" t="s">
        <v>6984</v>
      </c>
      <c r="HJC6" t="s">
        <v>6984</v>
      </c>
      <c r="HJD6" t="s">
        <v>6984</v>
      </c>
      <c r="HJE6" t="s">
        <v>6984</v>
      </c>
      <c r="HJF6" t="s">
        <v>6984</v>
      </c>
      <c r="HJG6" t="s">
        <v>6984</v>
      </c>
      <c r="HJH6" t="s">
        <v>6984</v>
      </c>
      <c r="HJI6" t="s">
        <v>6984</v>
      </c>
      <c r="HJJ6" t="s">
        <v>6984</v>
      </c>
      <c r="HJK6" t="s">
        <v>6984</v>
      </c>
      <c r="HJL6" t="s">
        <v>6984</v>
      </c>
      <c r="HJM6" t="s">
        <v>6984</v>
      </c>
      <c r="HJN6" t="s">
        <v>6984</v>
      </c>
      <c r="HJO6" t="s">
        <v>6984</v>
      </c>
      <c r="HJP6" t="s">
        <v>6984</v>
      </c>
      <c r="HJQ6" t="s">
        <v>6984</v>
      </c>
      <c r="HJR6" t="s">
        <v>6984</v>
      </c>
      <c r="HJS6" t="s">
        <v>6984</v>
      </c>
      <c r="HJT6" t="s">
        <v>6984</v>
      </c>
      <c r="HJU6" t="s">
        <v>6984</v>
      </c>
      <c r="HJV6" t="s">
        <v>6984</v>
      </c>
      <c r="HJW6" t="s">
        <v>6984</v>
      </c>
      <c r="HJX6" t="s">
        <v>6984</v>
      </c>
      <c r="HJY6" t="s">
        <v>6984</v>
      </c>
      <c r="HJZ6" t="s">
        <v>6984</v>
      </c>
      <c r="HKA6" t="s">
        <v>6984</v>
      </c>
      <c r="HKB6" t="s">
        <v>6984</v>
      </c>
      <c r="HKC6" t="s">
        <v>6984</v>
      </c>
      <c r="HKD6" t="s">
        <v>6984</v>
      </c>
      <c r="HKE6" t="s">
        <v>6984</v>
      </c>
      <c r="HKF6" t="s">
        <v>6984</v>
      </c>
      <c r="HKG6" t="s">
        <v>6984</v>
      </c>
      <c r="HKH6" t="s">
        <v>6984</v>
      </c>
      <c r="HKI6" t="s">
        <v>6984</v>
      </c>
      <c r="HKJ6" t="s">
        <v>6984</v>
      </c>
      <c r="HKK6" t="s">
        <v>6984</v>
      </c>
      <c r="HKL6" t="s">
        <v>6984</v>
      </c>
      <c r="HKM6" t="s">
        <v>6984</v>
      </c>
      <c r="HKN6" t="s">
        <v>6984</v>
      </c>
      <c r="HKO6" t="s">
        <v>6984</v>
      </c>
      <c r="HKP6" t="s">
        <v>6984</v>
      </c>
      <c r="HKQ6" t="s">
        <v>6984</v>
      </c>
      <c r="HKR6" t="s">
        <v>6984</v>
      </c>
      <c r="HKS6" t="s">
        <v>6984</v>
      </c>
      <c r="HKT6" t="s">
        <v>6984</v>
      </c>
      <c r="HKU6" t="s">
        <v>6984</v>
      </c>
      <c r="HKV6" t="s">
        <v>6984</v>
      </c>
      <c r="HKW6" t="s">
        <v>6984</v>
      </c>
      <c r="HKX6" t="s">
        <v>6984</v>
      </c>
      <c r="HKY6" t="s">
        <v>6984</v>
      </c>
      <c r="HKZ6" t="s">
        <v>6984</v>
      </c>
      <c r="HLA6" t="s">
        <v>6984</v>
      </c>
      <c r="HLB6" t="s">
        <v>6984</v>
      </c>
      <c r="HLC6" t="s">
        <v>6984</v>
      </c>
      <c r="HLD6" t="s">
        <v>6984</v>
      </c>
      <c r="HLE6" t="s">
        <v>6984</v>
      </c>
      <c r="HLF6" t="s">
        <v>6984</v>
      </c>
      <c r="HLG6" t="s">
        <v>6984</v>
      </c>
      <c r="HLH6" t="s">
        <v>6984</v>
      </c>
      <c r="HLI6" t="s">
        <v>6984</v>
      </c>
      <c r="HLJ6" t="s">
        <v>6984</v>
      </c>
      <c r="HLK6" t="s">
        <v>6984</v>
      </c>
      <c r="HLL6" t="s">
        <v>6984</v>
      </c>
      <c r="HLM6" t="s">
        <v>6984</v>
      </c>
      <c r="HLN6" t="s">
        <v>6984</v>
      </c>
      <c r="HLO6" t="s">
        <v>6984</v>
      </c>
      <c r="HLP6" t="s">
        <v>6984</v>
      </c>
      <c r="HLQ6" t="s">
        <v>6984</v>
      </c>
      <c r="HLR6" t="s">
        <v>6984</v>
      </c>
      <c r="HLS6" t="s">
        <v>6984</v>
      </c>
      <c r="HLT6" t="s">
        <v>6984</v>
      </c>
      <c r="HLU6" t="s">
        <v>6984</v>
      </c>
      <c r="HLV6" t="s">
        <v>6984</v>
      </c>
      <c r="HLW6" t="s">
        <v>6984</v>
      </c>
      <c r="HLX6" t="s">
        <v>6984</v>
      </c>
      <c r="HLY6" t="s">
        <v>6984</v>
      </c>
      <c r="HLZ6" t="s">
        <v>6984</v>
      </c>
      <c r="HMA6" t="s">
        <v>6984</v>
      </c>
      <c r="HMB6" t="s">
        <v>6984</v>
      </c>
      <c r="HMC6" t="s">
        <v>6984</v>
      </c>
      <c r="HMD6" t="s">
        <v>6984</v>
      </c>
      <c r="HME6" t="s">
        <v>6984</v>
      </c>
      <c r="HMF6" t="s">
        <v>6984</v>
      </c>
      <c r="HMG6" t="s">
        <v>6984</v>
      </c>
      <c r="HMH6" t="s">
        <v>6984</v>
      </c>
      <c r="HMI6" t="s">
        <v>6984</v>
      </c>
      <c r="HMJ6" t="s">
        <v>6984</v>
      </c>
      <c r="HMK6" t="s">
        <v>6984</v>
      </c>
      <c r="HML6" t="s">
        <v>6984</v>
      </c>
      <c r="HMM6" t="s">
        <v>6984</v>
      </c>
      <c r="HMN6" t="s">
        <v>6984</v>
      </c>
      <c r="HMO6" t="s">
        <v>6984</v>
      </c>
      <c r="HMP6" t="s">
        <v>6984</v>
      </c>
      <c r="HMQ6" t="s">
        <v>6984</v>
      </c>
      <c r="HMR6" t="s">
        <v>6984</v>
      </c>
      <c r="HMS6" t="s">
        <v>6984</v>
      </c>
      <c r="HMT6" t="s">
        <v>6984</v>
      </c>
      <c r="HMU6" t="s">
        <v>6984</v>
      </c>
      <c r="HMV6" t="s">
        <v>6984</v>
      </c>
      <c r="HMW6" t="s">
        <v>6984</v>
      </c>
      <c r="HMX6" t="s">
        <v>6984</v>
      </c>
      <c r="HMY6" t="s">
        <v>6984</v>
      </c>
      <c r="HMZ6" t="s">
        <v>6984</v>
      </c>
      <c r="HNA6" t="s">
        <v>6984</v>
      </c>
      <c r="HNB6" t="s">
        <v>6984</v>
      </c>
      <c r="HNC6" t="s">
        <v>6984</v>
      </c>
      <c r="HND6" t="s">
        <v>6984</v>
      </c>
      <c r="HNE6" t="s">
        <v>6984</v>
      </c>
      <c r="HNF6" t="s">
        <v>6984</v>
      </c>
      <c r="HNG6" t="s">
        <v>6984</v>
      </c>
      <c r="HNH6" t="s">
        <v>6984</v>
      </c>
      <c r="HNI6" t="s">
        <v>6984</v>
      </c>
      <c r="HNJ6" t="s">
        <v>6984</v>
      </c>
      <c r="HNK6" t="s">
        <v>6984</v>
      </c>
      <c r="HNL6" t="s">
        <v>6984</v>
      </c>
      <c r="HNM6" t="s">
        <v>6984</v>
      </c>
      <c r="HNN6" t="s">
        <v>6984</v>
      </c>
      <c r="HNO6" t="s">
        <v>6984</v>
      </c>
      <c r="HNP6" t="s">
        <v>6984</v>
      </c>
      <c r="HNQ6" t="s">
        <v>6984</v>
      </c>
      <c r="HNR6" t="s">
        <v>6984</v>
      </c>
      <c r="HNS6" t="s">
        <v>6984</v>
      </c>
      <c r="HNT6" t="s">
        <v>6984</v>
      </c>
      <c r="HNU6" t="s">
        <v>6984</v>
      </c>
      <c r="HNV6" t="s">
        <v>6984</v>
      </c>
      <c r="HNW6" t="s">
        <v>6984</v>
      </c>
      <c r="HNX6" t="s">
        <v>6984</v>
      </c>
      <c r="HNY6" t="s">
        <v>6984</v>
      </c>
      <c r="HNZ6" t="s">
        <v>6984</v>
      </c>
      <c r="HOA6" t="s">
        <v>6984</v>
      </c>
      <c r="HOB6" t="s">
        <v>6984</v>
      </c>
      <c r="HOC6" t="s">
        <v>6984</v>
      </c>
      <c r="HOD6" t="s">
        <v>6984</v>
      </c>
      <c r="HOE6" t="s">
        <v>6984</v>
      </c>
      <c r="HOF6" t="s">
        <v>6984</v>
      </c>
      <c r="HOG6" t="s">
        <v>6984</v>
      </c>
      <c r="HOH6" t="s">
        <v>6984</v>
      </c>
      <c r="HOI6" t="s">
        <v>6984</v>
      </c>
      <c r="HOJ6" t="s">
        <v>6984</v>
      </c>
      <c r="HOK6" t="s">
        <v>6984</v>
      </c>
      <c r="HOL6" t="s">
        <v>6984</v>
      </c>
      <c r="HOM6" t="s">
        <v>6984</v>
      </c>
      <c r="HON6" t="s">
        <v>6984</v>
      </c>
      <c r="HOO6" t="s">
        <v>6984</v>
      </c>
      <c r="HOP6" t="s">
        <v>6984</v>
      </c>
      <c r="HOQ6" t="s">
        <v>6984</v>
      </c>
      <c r="HOR6" t="s">
        <v>6984</v>
      </c>
      <c r="HOS6" t="s">
        <v>6984</v>
      </c>
      <c r="HOT6" t="s">
        <v>6984</v>
      </c>
      <c r="HOU6" t="s">
        <v>6984</v>
      </c>
      <c r="HOV6" t="s">
        <v>6984</v>
      </c>
      <c r="HOW6" t="s">
        <v>6984</v>
      </c>
      <c r="HOX6" t="s">
        <v>6984</v>
      </c>
      <c r="HOY6" t="s">
        <v>6984</v>
      </c>
      <c r="HOZ6" t="s">
        <v>6984</v>
      </c>
      <c r="HPA6" t="s">
        <v>6984</v>
      </c>
      <c r="HPB6" t="s">
        <v>6984</v>
      </c>
      <c r="HPC6" t="s">
        <v>6984</v>
      </c>
      <c r="HPD6" t="s">
        <v>6984</v>
      </c>
      <c r="HPE6" t="s">
        <v>6984</v>
      </c>
      <c r="HPF6" t="s">
        <v>6984</v>
      </c>
      <c r="HPG6" t="s">
        <v>6984</v>
      </c>
      <c r="HPH6" t="s">
        <v>6984</v>
      </c>
      <c r="HPI6" t="s">
        <v>6984</v>
      </c>
      <c r="HPJ6" t="s">
        <v>6984</v>
      </c>
      <c r="HPK6" t="s">
        <v>6984</v>
      </c>
      <c r="HPL6" t="s">
        <v>6984</v>
      </c>
      <c r="HPM6" t="s">
        <v>6984</v>
      </c>
      <c r="HPN6" t="s">
        <v>6984</v>
      </c>
      <c r="HPO6" t="s">
        <v>6984</v>
      </c>
      <c r="HPP6" t="s">
        <v>6984</v>
      </c>
      <c r="HPQ6" t="s">
        <v>6984</v>
      </c>
      <c r="HPR6" t="s">
        <v>6984</v>
      </c>
      <c r="HPS6" t="s">
        <v>6984</v>
      </c>
      <c r="HPT6" t="s">
        <v>6984</v>
      </c>
      <c r="HPU6" t="s">
        <v>6984</v>
      </c>
      <c r="HPV6" t="s">
        <v>6984</v>
      </c>
      <c r="HPW6" t="s">
        <v>6984</v>
      </c>
      <c r="HPX6" t="s">
        <v>6984</v>
      </c>
      <c r="HPY6" t="s">
        <v>6984</v>
      </c>
      <c r="HPZ6" t="s">
        <v>6984</v>
      </c>
      <c r="HQA6" t="s">
        <v>6984</v>
      </c>
      <c r="HQB6" t="s">
        <v>6984</v>
      </c>
      <c r="HQC6" t="s">
        <v>6984</v>
      </c>
      <c r="HQD6" t="s">
        <v>6984</v>
      </c>
      <c r="HQE6" t="s">
        <v>6984</v>
      </c>
      <c r="HQF6" t="s">
        <v>6984</v>
      </c>
      <c r="HQG6" t="s">
        <v>6984</v>
      </c>
      <c r="HQH6" t="s">
        <v>6984</v>
      </c>
      <c r="HQI6" t="s">
        <v>6984</v>
      </c>
      <c r="HQJ6" t="s">
        <v>6984</v>
      </c>
      <c r="HQK6" t="s">
        <v>6984</v>
      </c>
      <c r="HQL6" t="s">
        <v>6984</v>
      </c>
      <c r="HQM6" t="s">
        <v>6984</v>
      </c>
      <c r="HQN6" t="s">
        <v>6984</v>
      </c>
      <c r="HQO6" t="s">
        <v>6984</v>
      </c>
      <c r="HQP6" t="s">
        <v>6984</v>
      </c>
      <c r="HQQ6" t="s">
        <v>6984</v>
      </c>
      <c r="HQR6" t="s">
        <v>6984</v>
      </c>
      <c r="HQS6" t="s">
        <v>6984</v>
      </c>
      <c r="HQT6" t="s">
        <v>6984</v>
      </c>
      <c r="HQU6" t="s">
        <v>6984</v>
      </c>
      <c r="HQV6" t="s">
        <v>6984</v>
      </c>
      <c r="HQW6" t="s">
        <v>6984</v>
      </c>
      <c r="HQX6" t="s">
        <v>6984</v>
      </c>
      <c r="HQY6" t="s">
        <v>6984</v>
      </c>
      <c r="HQZ6" t="s">
        <v>6984</v>
      </c>
      <c r="HRA6" t="s">
        <v>6984</v>
      </c>
      <c r="HRB6" t="s">
        <v>6984</v>
      </c>
      <c r="HRC6" t="s">
        <v>6984</v>
      </c>
      <c r="HRD6" t="s">
        <v>6984</v>
      </c>
      <c r="HRE6" t="s">
        <v>6984</v>
      </c>
      <c r="HRF6" t="s">
        <v>6984</v>
      </c>
      <c r="HRG6" t="s">
        <v>6984</v>
      </c>
      <c r="HRH6" t="s">
        <v>6984</v>
      </c>
      <c r="HRI6" t="s">
        <v>6984</v>
      </c>
      <c r="HRJ6" t="s">
        <v>6984</v>
      </c>
      <c r="HRK6" t="s">
        <v>6984</v>
      </c>
      <c r="HRL6" t="s">
        <v>6984</v>
      </c>
      <c r="HRM6" t="s">
        <v>6984</v>
      </c>
      <c r="HRN6" t="s">
        <v>6984</v>
      </c>
      <c r="HRO6" t="s">
        <v>6984</v>
      </c>
      <c r="HRP6" t="s">
        <v>6984</v>
      </c>
      <c r="HRQ6" t="s">
        <v>6984</v>
      </c>
      <c r="HRR6" t="s">
        <v>6984</v>
      </c>
      <c r="HRS6" t="s">
        <v>6984</v>
      </c>
      <c r="HRT6" t="s">
        <v>6984</v>
      </c>
      <c r="HRU6" t="s">
        <v>6984</v>
      </c>
      <c r="HRV6" t="s">
        <v>6984</v>
      </c>
      <c r="HRW6" t="s">
        <v>6984</v>
      </c>
      <c r="HRX6" t="s">
        <v>6984</v>
      </c>
      <c r="HRY6" t="s">
        <v>6984</v>
      </c>
      <c r="HRZ6" t="s">
        <v>6984</v>
      </c>
      <c r="HSA6" t="s">
        <v>6984</v>
      </c>
      <c r="HSB6" t="s">
        <v>6984</v>
      </c>
      <c r="HSC6" t="s">
        <v>6984</v>
      </c>
      <c r="HSD6" t="s">
        <v>6984</v>
      </c>
      <c r="HSE6" t="s">
        <v>6984</v>
      </c>
      <c r="HSF6" t="s">
        <v>6984</v>
      </c>
      <c r="HSG6" t="s">
        <v>6984</v>
      </c>
      <c r="HSH6" t="s">
        <v>6984</v>
      </c>
      <c r="HSI6" t="s">
        <v>6984</v>
      </c>
      <c r="HSJ6" t="s">
        <v>6984</v>
      </c>
      <c r="HSK6" t="s">
        <v>6984</v>
      </c>
      <c r="HSL6" t="s">
        <v>6984</v>
      </c>
      <c r="HSM6" t="s">
        <v>6984</v>
      </c>
      <c r="HSN6" t="s">
        <v>6984</v>
      </c>
      <c r="HSO6" t="s">
        <v>6984</v>
      </c>
      <c r="HSP6" t="s">
        <v>6984</v>
      </c>
      <c r="HSQ6" t="s">
        <v>6984</v>
      </c>
      <c r="HSR6" t="s">
        <v>6984</v>
      </c>
      <c r="HSS6" t="s">
        <v>6984</v>
      </c>
      <c r="HST6" t="s">
        <v>6984</v>
      </c>
      <c r="HSU6" t="s">
        <v>6984</v>
      </c>
      <c r="HSV6" t="s">
        <v>6984</v>
      </c>
      <c r="HSW6" t="s">
        <v>6984</v>
      </c>
      <c r="HSX6" t="s">
        <v>6984</v>
      </c>
      <c r="HSY6" t="s">
        <v>6984</v>
      </c>
      <c r="HSZ6" t="s">
        <v>6984</v>
      </c>
      <c r="HTA6" t="s">
        <v>6984</v>
      </c>
      <c r="HTB6" t="s">
        <v>6984</v>
      </c>
      <c r="HTC6" t="s">
        <v>6984</v>
      </c>
      <c r="HTD6" t="s">
        <v>6984</v>
      </c>
      <c r="HTE6" t="s">
        <v>6984</v>
      </c>
      <c r="HTF6" t="s">
        <v>6984</v>
      </c>
      <c r="HTG6" t="s">
        <v>6984</v>
      </c>
      <c r="HTH6" t="s">
        <v>6984</v>
      </c>
      <c r="HTI6" t="s">
        <v>6984</v>
      </c>
      <c r="HTJ6" t="s">
        <v>6984</v>
      </c>
      <c r="HTK6" t="s">
        <v>6984</v>
      </c>
      <c r="HTL6" t="s">
        <v>6984</v>
      </c>
      <c r="HTM6" t="s">
        <v>6984</v>
      </c>
      <c r="HTN6" t="s">
        <v>6984</v>
      </c>
      <c r="HTO6" t="s">
        <v>6984</v>
      </c>
      <c r="HTP6" t="s">
        <v>6984</v>
      </c>
      <c r="HTQ6" t="s">
        <v>6984</v>
      </c>
      <c r="HTR6" t="s">
        <v>6984</v>
      </c>
      <c r="HTS6" t="s">
        <v>6984</v>
      </c>
      <c r="HTT6" t="s">
        <v>6984</v>
      </c>
      <c r="HTU6" t="s">
        <v>6984</v>
      </c>
      <c r="HTV6" t="s">
        <v>6984</v>
      </c>
      <c r="HTW6" t="s">
        <v>6984</v>
      </c>
      <c r="HTX6" t="s">
        <v>6984</v>
      </c>
      <c r="HTY6" t="s">
        <v>6984</v>
      </c>
      <c r="HTZ6" t="s">
        <v>6984</v>
      </c>
      <c r="HUA6" t="s">
        <v>6984</v>
      </c>
      <c r="HUB6" t="s">
        <v>6984</v>
      </c>
      <c r="HUC6" t="s">
        <v>6984</v>
      </c>
      <c r="HUD6" t="s">
        <v>6984</v>
      </c>
      <c r="HUE6" t="s">
        <v>6984</v>
      </c>
      <c r="HUF6" t="s">
        <v>6984</v>
      </c>
      <c r="HUG6" t="s">
        <v>6984</v>
      </c>
      <c r="HUH6" t="s">
        <v>6984</v>
      </c>
      <c r="HUI6" t="s">
        <v>6984</v>
      </c>
      <c r="HUJ6" t="s">
        <v>6984</v>
      </c>
      <c r="HUK6" t="s">
        <v>6984</v>
      </c>
      <c r="HUL6" t="s">
        <v>6984</v>
      </c>
      <c r="HUM6" t="s">
        <v>6984</v>
      </c>
      <c r="HUN6" t="s">
        <v>6984</v>
      </c>
      <c r="HUO6" t="s">
        <v>6984</v>
      </c>
      <c r="HUP6" t="s">
        <v>6984</v>
      </c>
      <c r="HUQ6" t="s">
        <v>6984</v>
      </c>
      <c r="HUR6" t="s">
        <v>6984</v>
      </c>
      <c r="HUS6" t="s">
        <v>6984</v>
      </c>
      <c r="HUT6" t="s">
        <v>6984</v>
      </c>
      <c r="HUU6" t="s">
        <v>6984</v>
      </c>
      <c r="HUV6" t="s">
        <v>6984</v>
      </c>
      <c r="HUW6" t="s">
        <v>6984</v>
      </c>
      <c r="HUX6" t="s">
        <v>6984</v>
      </c>
      <c r="HUY6" t="s">
        <v>6984</v>
      </c>
      <c r="HUZ6" t="s">
        <v>6984</v>
      </c>
      <c r="HVA6" t="s">
        <v>6984</v>
      </c>
      <c r="HVB6" t="s">
        <v>6984</v>
      </c>
      <c r="HVC6" t="s">
        <v>6984</v>
      </c>
      <c r="HVD6" t="s">
        <v>6984</v>
      </c>
      <c r="HVE6" t="s">
        <v>6984</v>
      </c>
      <c r="HVF6" t="s">
        <v>6984</v>
      </c>
      <c r="HVG6" t="s">
        <v>6984</v>
      </c>
      <c r="HVH6" t="s">
        <v>6984</v>
      </c>
      <c r="HVI6" t="s">
        <v>6984</v>
      </c>
      <c r="HVJ6" t="s">
        <v>6984</v>
      </c>
      <c r="HVK6" t="s">
        <v>6984</v>
      </c>
      <c r="HVL6" t="s">
        <v>6984</v>
      </c>
      <c r="HVM6" t="s">
        <v>6984</v>
      </c>
      <c r="HVN6" t="s">
        <v>6984</v>
      </c>
      <c r="HVO6" t="s">
        <v>6984</v>
      </c>
      <c r="HVP6" t="s">
        <v>6984</v>
      </c>
      <c r="HVQ6" t="s">
        <v>6984</v>
      </c>
      <c r="HVR6" t="s">
        <v>6984</v>
      </c>
      <c r="HVS6" t="s">
        <v>6984</v>
      </c>
      <c r="HVT6" t="s">
        <v>6984</v>
      </c>
      <c r="HVU6" t="s">
        <v>6984</v>
      </c>
      <c r="HVV6" t="s">
        <v>6984</v>
      </c>
      <c r="HVW6" t="s">
        <v>6984</v>
      </c>
      <c r="HVX6" t="s">
        <v>6984</v>
      </c>
      <c r="HVY6" t="s">
        <v>6984</v>
      </c>
      <c r="HVZ6" t="s">
        <v>6984</v>
      </c>
      <c r="HWA6" t="s">
        <v>6984</v>
      </c>
      <c r="HWB6" t="s">
        <v>6984</v>
      </c>
      <c r="HWC6" t="s">
        <v>6984</v>
      </c>
      <c r="HWD6" t="s">
        <v>6984</v>
      </c>
      <c r="HWE6" t="s">
        <v>6984</v>
      </c>
      <c r="HWF6" t="s">
        <v>6984</v>
      </c>
      <c r="HWG6" t="s">
        <v>6984</v>
      </c>
      <c r="HWH6" t="s">
        <v>6984</v>
      </c>
      <c r="HWI6" t="s">
        <v>6984</v>
      </c>
      <c r="HWJ6" t="s">
        <v>6984</v>
      </c>
      <c r="HWK6" t="s">
        <v>6984</v>
      </c>
      <c r="HWL6" t="s">
        <v>6984</v>
      </c>
      <c r="HWM6" t="s">
        <v>6984</v>
      </c>
      <c r="HWN6" t="s">
        <v>6984</v>
      </c>
      <c r="HWO6" t="s">
        <v>6984</v>
      </c>
      <c r="HWP6" t="s">
        <v>6984</v>
      </c>
      <c r="HWQ6" t="s">
        <v>6984</v>
      </c>
      <c r="HWR6" t="s">
        <v>6984</v>
      </c>
      <c r="HWS6" t="s">
        <v>6984</v>
      </c>
      <c r="HWT6" t="s">
        <v>6984</v>
      </c>
      <c r="HWU6" t="s">
        <v>6984</v>
      </c>
      <c r="HWV6" t="s">
        <v>6984</v>
      </c>
      <c r="HWW6" t="s">
        <v>6984</v>
      </c>
      <c r="HWX6" t="s">
        <v>6984</v>
      </c>
      <c r="HWY6" t="s">
        <v>6984</v>
      </c>
      <c r="HWZ6" t="s">
        <v>6984</v>
      </c>
      <c r="HXA6" t="s">
        <v>6984</v>
      </c>
      <c r="HXB6" t="s">
        <v>6984</v>
      </c>
      <c r="HXC6" t="s">
        <v>6984</v>
      </c>
      <c r="HXD6" t="s">
        <v>6984</v>
      </c>
      <c r="HXE6" t="s">
        <v>6984</v>
      </c>
      <c r="HXF6" t="s">
        <v>6984</v>
      </c>
      <c r="HXG6" t="s">
        <v>6984</v>
      </c>
      <c r="HXH6" t="s">
        <v>6984</v>
      </c>
      <c r="HXI6" t="s">
        <v>6984</v>
      </c>
      <c r="HXJ6" t="s">
        <v>6984</v>
      </c>
      <c r="HXK6" t="s">
        <v>6984</v>
      </c>
      <c r="HXL6" t="s">
        <v>6984</v>
      </c>
      <c r="HXM6" t="s">
        <v>6984</v>
      </c>
      <c r="HXN6" t="s">
        <v>6984</v>
      </c>
      <c r="HXO6" t="s">
        <v>6984</v>
      </c>
      <c r="HXP6" t="s">
        <v>6984</v>
      </c>
      <c r="HXQ6" t="s">
        <v>6984</v>
      </c>
      <c r="HXR6" t="s">
        <v>6984</v>
      </c>
      <c r="HXS6" t="s">
        <v>6984</v>
      </c>
      <c r="HXT6" t="s">
        <v>6984</v>
      </c>
      <c r="HXU6" t="s">
        <v>6984</v>
      </c>
      <c r="HXV6" t="s">
        <v>6984</v>
      </c>
      <c r="HXW6" t="s">
        <v>6984</v>
      </c>
      <c r="HXX6" t="s">
        <v>6984</v>
      </c>
      <c r="HXY6" t="s">
        <v>6984</v>
      </c>
      <c r="HXZ6" t="s">
        <v>6984</v>
      </c>
      <c r="HYA6" t="s">
        <v>6984</v>
      </c>
      <c r="HYB6" t="s">
        <v>6984</v>
      </c>
      <c r="HYC6" t="s">
        <v>6984</v>
      </c>
      <c r="HYD6" t="s">
        <v>6984</v>
      </c>
      <c r="HYE6" t="s">
        <v>6984</v>
      </c>
      <c r="HYF6" t="s">
        <v>6984</v>
      </c>
      <c r="HYG6" t="s">
        <v>6984</v>
      </c>
      <c r="HYH6" t="s">
        <v>6984</v>
      </c>
      <c r="HYI6" t="s">
        <v>6984</v>
      </c>
      <c r="HYJ6" t="s">
        <v>6984</v>
      </c>
      <c r="HYK6" t="s">
        <v>6984</v>
      </c>
      <c r="HYL6" t="s">
        <v>6984</v>
      </c>
      <c r="HYM6" t="s">
        <v>6984</v>
      </c>
      <c r="HYN6" t="s">
        <v>6984</v>
      </c>
      <c r="HYO6" t="s">
        <v>6984</v>
      </c>
      <c r="HYP6" t="s">
        <v>6984</v>
      </c>
      <c r="HYQ6" t="s">
        <v>6984</v>
      </c>
      <c r="HYR6" t="s">
        <v>6984</v>
      </c>
      <c r="HYS6" t="s">
        <v>6984</v>
      </c>
      <c r="HYT6" t="s">
        <v>6984</v>
      </c>
      <c r="HYU6" t="s">
        <v>6984</v>
      </c>
      <c r="HYV6" t="s">
        <v>6984</v>
      </c>
      <c r="HYW6" t="s">
        <v>6984</v>
      </c>
      <c r="HYX6" t="s">
        <v>6984</v>
      </c>
      <c r="HYY6" t="s">
        <v>6984</v>
      </c>
      <c r="HYZ6" t="s">
        <v>6984</v>
      </c>
      <c r="HZA6" t="s">
        <v>6984</v>
      </c>
      <c r="HZB6" t="s">
        <v>6984</v>
      </c>
      <c r="HZC6" t="s">
        <v>6984</v>
      </c>
      <c r="HZD6" t="s">
        <v>6984</v>
      </c>
      <c r="HZE6" t="s">
        <v>6984</v>
      </c>
      <c r="HZF6" t="s">
        <v>6984</v>
      </c>
      <c r="HZG6" t="s">
        <v>6984</v>
      </c>
      <c r="HZH6" t="s">
        <v>6984</v>
      </c>
      <c r="HZI6" t="s">
        <v>6984</v>
      </c>
      <c r="HZJ6" t="s">
        <v>6984</v>
      </c>
      <c r="HZK6" t="s">
        <v>6984</v>
      </c>
      <c r="HZL6" t="s">
        <v>6984</v>
      </c>
      <c r="HZM6" t="s">
        <v>6984</v>
      </c>
      <c r="HZN6" t="s">
        <v>6984</v>
      </c>
      <c r="HZO6" t="s">
        <v>6984</v>
      </c>
      <c r="HZP6" t="s">
        <v>6984</v>
      </c>
      <c r="HZQ6" t="s">
        <v>6984</v>
      </c>
      <c r="HZR6" t="s">
        <v>6984</v>
      </c>
      <c r="HZS6" t="s">
        <v>6984</v>
      </c>
      <c r="HZT6" t="s">
        <v>6984</v>
      </c>
      <c r="HZU6" t="s">
        <v>6984</v>
      </c>
      <c r="HZV6" t="s">
        <v>6984</v>
      </c>
      <c r="HZW6" t="s">
        <v>6984</v>
      </c>
      <c r="HZX6" t="s">
        <v>6984</v>
      </c>
      <c r="HZY6" t="s">
        <v>6984</v>
      </c>
      <c r="HZZ6" t="s">
        <v>6984</v>
      </c>
      <c r="IAA6" t="s">
        <v>6984</v>
      </c>
      <c r="IAB6" t="s">
        <v>6984</v>
      </c>
      <c r="IAC6" t="s">
        <v>6984</v>
      </c>
      <c r="IAD6" t="s">
        <v>6984</v>
      </c>
      <c r="IAE6" t="s">
        <v>6984</v>
      </c>
      <c r="IAF6" t="s">
        <v>6984</v>
      </c>
      <c r="IAG6" t="s">
        <v>6984</v>
      </c>
      <c r="IAH6" t="s">
        <v>6984</v>
      </c>
      <c r="IAI6" t="s">
        <v>6984</v>
      </c>
      <c r="IAJ6" t="s">
        <v>6984</v>
      </c>
      <c r="IAK6" t="s">
        <v>6984</v>
      </c>
      <c r="IAL6" t="s">
        <v>6984</v>
      </c>
      <c r="IAM6" t="s">
        <v>6984</v>
      </c>
      <c r="IAN6" t="s">
        <v>6984</v>
      </c>
      <c r="IAO6" t="s">
        <v>6984</v>
      </c>
      <c r="IAP6" t="s">
        <v>6984</v>
      </c>
      <c r="IAQ6" t="s">
        <v>6984</v>
      </c>
      <c r="IAR6" t="s">
        <v>6984</v>
      </c>
      <c r="IAS6" t="s">
        <v>6984</v>
      </c>
      <c r="IAT6" t="s">
        <v>6984</v>
      </c>
      <c r="IAU6" t="s">
        <v>6984</v>
      </c>
      <c r="IAV6" t="s">
        <v>6984</v>
      </c>
      <c r="IAW6" t="s">
        <v>6984</v>
      </c>
      <c r="IAX6" t="s">
        <v>6984</v>
      </c>
      <c r="IAY6" t="s">
        <v>6984</v>
      </c>
      <c r="IAZ6" t="s">
        <v>6984</v>
      </c>
      <c r="IBA6" t="s">
        <v>6984</v>
      </c>
      <c r="IBB6" t="s">
        <v>6984</v>
      </c>
      <c r="IBC6" t="s">
        <v>6984</v>
      </c>
      <c r="IBD6" t="s">
        <v>6984</v>
      </c>
      <c r="IBE6" t="s">
        <v>6984</v>
      </c>
      <c r="IBF6" t="s">
        <v>6984</v>
      </c>
      <c r="IBG6" t="s">
        <v>6984</v>
      </c>
      <c r="IBH6" t="s">
        <v>6984</v>
      </c>
      <c r="IBI6" t="s">
        <v>6984</v>
      </c>
      <c r="IBJ6" t="s">
        <v>6984</v>
      </c>
      <c r="IBK6" t="s">
        <v>6984</v>
      </c>
      <c r="IBL6" t="s">
        <v>6984</v>
      </c>
      <c r="IBM6" t="s">
        <v>6984</v>
      </c>
      <c r="IBN6" t="s">
        <v>6984</v>
      </c>
      <c r="IBO6" t="s">
        <v>6984</v>
      </c>
      <c r="IBP6" t="s">
        <v>6984</v>
      </c>
      <c r="IBQ6" t="s">
        <v>6984</v>
      </c>
      <c r="IBR6" t="s">
        <v>6984</v>
      </c>
      <c r="IBS6" t="s">
        <v>6984</v>
      </c>
      <c r="IBT6" t="s">
        <v>6984</v>
      </c>
      <c r="IBU6" t="s">
        <v>6984</v>
      </c>
      <c r="IBV6" t="s">
        <v>6984</v>
      </c>
      <c r="IBW6" t="s">
        <v>6984</v>
      </c>
      <c r="IBX6" t="s">
        <v>6984</v>
      </c>
      <c r="IBY6" t="s">
        <v>6984</v>
      </c>
      <c r="IBZ6" t="s">
        <v>6984</v>
      </c>
      <c r="ICA6" t="s">
        <v>6984</v>
      </c>
      <c r="ICB6" t="s">
        <v>6984</v>
      </c>
      <c r="ICC6" t="s">
        <v>6984</v>
      </c>
      <c r="ICD6" t="s">
        <v>6984</v>
      </c>
      <c r="ICE6" t="s">
        <v>6984</v>
      </c>
      <c r="ICF6" t="s">
        <v>6984</v>
      </c>
      <c r="ICG6" t="s">
        <v>6984</v>
      </c>
      <c r="ICH6" t="s">
        <v>6984</v>
      </c>
      <c r="ICI6" t="s">
        <v>6984</v>
      </c>
      <c r="ICJ6" t="s">
        <v>6984</v>
      </c>
      <c r="ICK6" t="s">
        <v>6984</v>
      </c>
      <c r="ICL6" t="s">
        <v>6984</v>
      </c>
      <c r="ICM6" t="s">
        <v>6984</v>
      </c>
      <c r="ICN6" t="s">
        <v>6984</v>
      </c>
      <c r="ICO6" t="s">
        <v>6984</v>
      </c>
      <c r="ICP6" t="s">
        <v>6984</v>
      </c>
      <c r="ICQ6" t="s">
        <v>6984</v>
      </c>
      <c r="ICR6" t="s">
        <v>6984</v>
      </c>
      <c r="ICS6" t="s">
        <v>6984</v>
      </c>
      <c r="ICT6" t="s">
        <v>6984</v>
      </c>
      <c r="ICU6" t="s">
        <v>6984</v>
      </c>
      <c r="ICV6" t="s">
        <v>6984</v>
      </c>
      <c r="ICW6" t="s">
        <v>6984</v>
      </c>
      <c r="ICX6" t="s">
        <v>6984</v>
      </c>
      <c r="ICY6" t="s">
        <v>6984</v>
      </c>
      <c r="ICZ6" t="s">
        <v>6984</v>
      </c>
      <c r="IDA6" t="s">
        <v>6984</v>
      </c>
      <c r="IDB6" t="s">
        <v>6984</v>
      </c>
      <c r="IDC6" t="s">
        <v>6984</v>
      </c>
      <c r="IDD6" t="s">
        <v>6984</v>
      </c>
      <c r="IDE6" t="s">
        <v>6984</v>
      </c>
      <c r="IDF6" t="s">
        <v>6984</v>
      </c>
      <c r="IDG6" t="s">
        <v>6984</v>
      </c>
      <c r="IDH6" t="s">
        <v>6984</v>
      </c>
      <c r="IDI6" t="s">
        <v>6984</v>
      </c>
      <c r="IDJ6" t="s">
        <v>6984</v>
      </c>
      <c r="IDK6" t="s">
        <v>6984</v>
      </c>
      <c r="IDL6" t="s">
        <v>6984</v>
      </c>
      <c r="IDM6" t="s">
        <v>6984</v>
      </c>
      <c r="IDN6" t="s">
        <v>6984</v>
      </c>
      <c r="IDO6" t="s">
        <v>6984</v>
      </c>
      <c r="IDP6" t="s">
        <v>6984</v>
      </c>
      <c r="IDQ6" t="s">
        <v>6984</v>
      </c>
      <c r="IDR6" t="s">
        <v>6984</v>
      </c>
      <c r="IDS6" t="s">
        <v>6984</v>
      </c>
      <c r="IDT6" t="s">
        <v>6984</v>
      </c>
      <c r="IDU6" t="s">
        <v>6984</v>
      </c>
      <c r="IDV6" t="s">
        <v>6984</v>
      </c>
      <c r="IDW6" t="s">
        <v>6984</v>
      </c>
      <c r="IDX6" t="s">
        <v>6984</v>
      </c>
      <c r="IDY6" t="s">
        <v>6984</v>
      </c>
      <c r="IDZ6" t="s">
        <v>6984</v>
      </c>
      <c r="IEA6" t="s">
        <v>6984</v>
      </c>
      <c r="IEB6" t="s">
        <v>6984</v>
      </c>
      <c r="IEC6" t="s">
        <v>6984</v>
      </c>
      <c r="IED6" t="s">
        <v>6984</v>
      </c>
      <c r="IEE6" t="s">
        <v>6984</v>
      </c>
      <c r="IEF6" t="s">
        <v>6984</v>
      </c>
      <c r="IEG6" t="s">
        <v>6984</v>
      </c>
      <c r="IEH6" t="s">
        <v>6984</v>
      </c>
      <c r="IEI6" t="s">
        <v>6984</v>
      </c>
      <c r="IEJ6" t="s">
        <v>6984</v>
      </c>
      <c r="IEK6" t="s">
        <v>6984</v>
      </c>
      <c r="IEL6" t="s">
        <v>6984</v>
      </c>
      <c r="IEM6" t="s">
        <v>6984</v>
      </c>
      <c r="IEN6" t="s">
        <v>6984</v>
      </c>
      <c r="IEO6" t="s">
        <v>6984</v>
      </c>
      <c r="IEP6" t="s">
        <v>6984</v>
      </c>
      <c r="IEQ6" t="s">
        <v>6984</v>
      </c>
      <c r="IER6" t="s">
        <v>6984</v>
      </c>
      <c r="IES6" t="s">
        <v>6984</v>
      </c>
      <c r="IET6" t="s">
        <v>6984</v>
      </c>
      <c r="IEU6" t="s">
        <v>6984</v>
      </c>
      <c r="IEV6" t="s">
        <v>6984</v>
      </c>
      <c r="IEW6" t="s">
        <v>6984</v>
      </c>
      <c r="IEX6" t="s">
        <v>6984</v>
      </c>
      <c r="IEY6" t="s">
        <v>6984</v>
      </c>
      <c r="IEZ6" t="s">
        <v>6984</v>
      </c>
      <c r="IFA6" t="s">
        <v>6984</v>
      </c>
      <c r="IFB6" t="s">
        <v>6984</v>
      </c>
      <c r="IFC6" t="s">
        <v>6984</v>
      </c>
      <c r="IFD6" t="s">
        <v>6984</v>
      </c>
      <c r="IFE6" t="s">
        <v>6984</v>
      </c>
      <c r="IFF6" t="s">
        <v>6984</v>
      </c>
      <c r="IFG6" t="s">
        <v>6984</v>
      </c>
      <c r="IFH6" t="s">
        <v>6984</v>
      </c>
      <c r="IFI6" t="s">
        <v>6984</v>
      </c>
      <c r="IFJ6" t="s">
        <v>6984</v>
      </c>
      <c r="IFK6" t="s">
        <v>6984</v>
      </c>
      <c r="IFL6" t="s">
        <v>6984</v>
      </c>
      <c r="IFM6" t="s">
        <v>6984</v>
      </c>
      <c r="IFN6" t="s">
        <v>6984</v>
      </c>
      <c r="IFO6" t="s">
        <v>6984</v>
      </c>
      <c r="IFP6" t="s">
        <v>6984</v>
      </c>
      <c r="IFQ6" t="s">
        <v>6984</v>
      </c>
      <c r="IFR6" t="s">
        <v>6984</v>
      </c>
      <c r="IFS6" t="s">
        <v>6984</v>
      </c>
      <c r="IFT6" t="s">
        <v>6984</v>
      </c>
      <c r="IFU6" t="s">
        <v>6984</v>
      </c>
      <c r="IFV6" t="s">
        <v>6984</v>
      </c>
      <c r="IFW6" t="s">
        <v>6984</v>
      </c>
      <c r="IFX6" t="s">
        <v>6984</v>
      </c>
      <c r="IFY6" t="s">
        <v>6984</v>
      </c>
      <c r="IFZ6" t="s">
        <v>6984</v>
      </c>
      <c r="IGA6" t="s">
        <v>6984</v>
      </c>
      <c r="IGB6" t="s">
        <v>6984</v>
      </c>
      <c r="IGC6" t="s">
        <v>6984</v>
      </c>
      <c r="IGD6" t="s">
        <v>6984</v>
      </c>
      <c r="IGE6" t="s">
        <v>6984</v>
      </c>
      <c r="IGF6" t="s">
        <v>6984</v>
      </c>
      <c r="IGG6" t="s">
        <v>6984</v>
      </c>
      <c r="IGH6" t="s">
        <v>6984</v>
      </c>
      <c r="IGI6" t="s">
        <v>6984</v>
      </c>
      <c r="IGJ6" t="s">
        <v>6984</v>
      </c>
      <c r="IGK6" t="s">
        <v>6984</v>
      </c>
      <c r="IGL6" t="s">
        <v>6984</v>
      </c>
      <c r="IGM6" t="s">
        <v>6984</v>
      </c>
      <c r="IGN6" t="s">
        <v>6984</v>
      </c>
      <c r="IGO6" t="s">
        <v>6984</v>
      </c>
      <c r="IGP6" t="s">
        <v>6984</v>
      </c>
      <c r="IGQ6" t="s">
        <v>6984</v>
      </c>
      <c r="IGR6" t="s">
        <v>6984</v>
      </c>
      <c r="IGS6" t="s">
        <v>6984</v>
      </c>
      <c r="IGT6" t="s">
        <v>6984</v>
      </c>
      <c r="IGU6" t="s">
        <v>6984</v>
      </c>
      <c r="IGV6" t="s">
        <v>6984</v>
      </c>
      <c r="IGW6" t="s">
        <v>6984</v>
      </c>
      <c r="IGX6" t="s">
        <v>6984</v>
      </c>
      <c r="IGY6" t="s">
        <v>6984</v>
      </c>
      <c r="IGZ6" t="s">
        <v>6984</v>
      </c>
      <c r="IHA6" t="s">
        <v>6984</v>
      </c>
      <c r="IHB6" t="s">
        <v>6984</v>
      </c>
      <c r="IHC6" t="s">
        <v>6984</v>
      </c>
      <c r="IHD6" t="s">
        <v>6984</v>
      </c>
      <c r="IHE6" t="s">
        <v>6984</v>
      </c>
      <c r="IHF6" t="s">
        <v>6984</v>
      </c>
      <c r="IHG6" t="s">
        <v>6984</v>
      </c>
      <c r="IHH6" t="s">
        <v>6984</v>
      </c>
      <c r="IHI6" t="s">
        <v>6984</v>
      </c>
      <c r="IHJ6" t="s">
        <v>6984</v>
      </c>
      <c r="IHK6" t="s">
        <v>6984</v>
      </c>
      <c r="IHL6" t="s">
        <v>6984</v>
      </c>
      <c r="IHM6" t="s">
        <v>6984</v>
      </c>
      <c r="IHN6" t="s">
        <v>6984</v>
      </c>
      <c r="IHO6" t="s">
        <v>6984</v>
      </c>
      <c r="IHP6" t="s">
        <v>6984</v>
      </c>
      <c r="IHQ6" t="s">
        <v>6984</v>
      </c>
      <c r="IHR6" t="s">
        <v>6984</v>
      </c>
      <c r="IHS6" t="s">
        <v>6984</v>
      </c>
      <c r="IHT6" t="s">
        <v>6984</v>
      </c>
      <c r="IHU6" t="s">
        <v>6984</v>
      </c>
      <c r="IHV6" t="s">
        <v>6984</v>
      </c>
      <c r="IHW6" t="s">
        <v>6984</v>
      </c>
      <c r="IHX6" t="s">
        <v>6984</v>
      </c>
      <c r="IHY6" t="s">
        <v>6984</v>
      </c>
      <c r="IHZ6" t="s">
        <v>6984</v>
      </c>
      <c r="IIA6" t="s">
        <v>6984</v>
      </c>
      <c r="IIB6" t="s">
        <v>6984</v>
      </c>
      <c r="IIC6" t="s">
        <v>6984</v>
      </c>
      <c r="IID6" t="s">
        <v>6984</v>
      </c>
      <c r="IIE6" t="s">
        <v>6984</v>
      </c>
      <c r="IIF6" t="s">
        <v>6984</v>
      </c>
      <c r="IIG6" t="s">
        <v>6984</v>
      </c>
      <c r="IIH6" t="s">
        <v>6984</v>
      </c>
      <c r="III6" t="s">
        <v>6984</v>
      </c>
      <c r="IIJ6" t="s">
        <v>6984</v>
      </c>
      <c r="IIK6" t="s">
        <v>6984</v>
      </c>
      <c r="IIL6" t="s">
        <v>6984</v>
      </c>
      <c r="IIM6" t="s">
        <v>6984</v>
      </c>
      <c r="IIN6" t="s">
        <v>6984</v>
      </c>
      <c r="IIO6" t="s">
        <v>6984</v>
      </c>
      <c r="IIP6" t="s">
        <v>6984</v>
      </c>
      <c r="IIQ6" t="s">
        <v>6984</v>
      </c>
      <c r="IIR6" t="s">
        <v>6984</v>
      </c>
      <c r="IIS6" t="s">
        <v>6984</v>
      </c>
      <c r="IIT6" t="s">
        <v>6984</v>
      </c>
      <c r="IIU6" t="s">
        <v>6984</v>
      </c>
      <c r="IIV6" t="s">
        <v>6984</v>
      </c>
      <c r="IIW6" t="s">
        <v>6984</v>
      </c>
      <c r="IIX6" t="s">
        <v>6984</v>
      </c>
      <c r="IIY6" t="s">
        <v>6984</v>
      </c>
      <c r="IIZ6" t="s">
        <v>6984</v>
      </c>
      <c r="IJA6" t="s">
        <v>6984</v>
      </c>
      <c r="IJB6" t="s">
        <v>6984</v>
      </c>
      <c r="IJC6" t="s">
        <v>6984</v>
      </c>
      <c r="IJD6" t="s">
        <v>6984</v>
      </c>
      <c r="IJE6" t="s">
        <v>6984</v>
      </c>
      <c r="IJF6" t="s">
        <v>6984</v>
      </c>
      <c r="IJG6" t="s">
        <v>6984</v>
      </c>
      <c r="IJH6" t="s">
        <v>6984</v>
      </c>
      <c r="IJI6" t="s">
        <v>6984</v>
      </c>
      <c r="IJJ6" t="s">
        <v>6984</v>
      </c>
      <c r="IJK6" t="s">
        <v>6984</v>
      </c>
      <c r="IJL6" t="s">
        <v>6984</v>
      </c>
      <c r="IJM6" t="s">
        <v>6984</v>
      </c>
      <c r="IJN6" t="s">
        <v>6984</v>
      </c>
      <c r="IJO6" t="s">
        <v>6984</v>
      </c>
      <c r="IJP6" t="s">
        <v>6984</v>
      </c>
      <c r="IJQ6" t="s">
        <v>6984</v>
      </c>
      <c r="IJR6" t="s">
        <v>6984</v>
      </c>
      <c r="IJS6" t="s">
        <v>6984</v>
      </c>
      <c r="IJT6" t="s">
        <v>6984</v>
      </c>
      <c r="IJU6" t="s">
        <v>6984</v>
      </c>
      <c r="IJV6" t="s">
        <v>6984</v>
      </c>
      <c r="IJW6" t="s">
        <v>6984</v>
      </c>
      <c r="IJX6" t="s">
        <v>6984</v>
      </c>
      <c r="IJY6" t="s">
        <v>6984</v>
      </c>
      <c r="IJZ6" t="s">
        <v>6984</v>
      </c>
      <c r="IKA6" t="s">
        <v>6984</v>
      </c>
      <c r="IKB6" t="s">
        <v>6984</v>
      </c>
      <c r="IKC6" t="s">
        <v>6984</v>
      </c>
      <c r="IKD6" t="s">
        <v>6984</v>
      </c>
      <c r="IKE6" t="s">
        <v>6984</v>
      </c>
      <c r="IKF6" t="s">
        <v>6984</v>
      </c>
      <c r="IKG6" t="s">
        <v>6984</v>
      </c>
      <c r="IKH6" t="s">
        <v>6984</v>
      </c>
      <c r="IKI6" t="s">
        <v>6984</v>
      </c>
      <c r="IKJ6" t="s">
        <v>6984</v>
      </c>
      <c r="IKK6" t="s">
        <v>6984</v>
      </c>
      <c r="IKL6" t="s">
        <v>6984</v>
      </c>
      <c r="IKM6" t="s">
        <v>6984</v>
      </c>
      <c r="IKN6" t="s">
        <v>6984</v>
      </c>
      <c r="IKO6" t="s">
        <v>6984</v>
      </c>
      <c r="IKP6" t="s">
        <v>6984</v>
      </c>
      <c r="IKQ6" t="s">
        <v>6984</v>
      </c>
      <c r="IKR6" t="s">
        <v>6984</v>
      </c>
      <c r="IKS6" t="s">
        <v>6984</v>
      </c>
      <c r="IKT6" t="s">
        <v>6984</v>
      </c>
      <c r="IKU6" t="s">
        <v>6984</v>
      </c>
      <c r="IKV6" t="s">
        <v>6984</v>
      </c>
      <c r="IKW6" t="s">
        <v>6984</v>
      </c>
      <c r="IKX6" t="s">
        <v>6984</v>
      </c>
      <c r="IKY6" t="s">
        <v>6984</v>
      </c>
      <c r="IKZ6" t="s">
        <v>6984</v>
      </c>
      <c r="ILA6" t="s">
        <v>6984</v>
      </c>
      <c r="ILB6" t="s">
        <v>6984</v>
      </c>
      <c r="ILC6" t="s">
        <v>6984</v>
      </c>
      <c r="ILD6" t="s">
        <v>6984</v>
      </c>
      <c r="ILE6" t="s">
        <v>6984</v>
      </c>
      <c r="ILF6" t="s">
        <v>6984</v>
      </c>
      <c r="ILG6" t="s">
        <v>6984</v>
      </c>
      <c r="ILH6" t="s">
        <v>6984</v>
      </c>
      <c r="ILI6" t="s">
        <v>6984</v>
      </c>
      <c r="ILJ6" t="s">
        <v>6984</v>
      </c>
      <c r="ILK6" t="s">
        <v>6984</v>
      </c>
      <c r="ILL6" t="s">
        <v>6984</v>
      </c>
      <c r="ILM6" t="s">
        <v>6984</v>
      </c>
      <c r="ILN6" t="s">
        <v>6984</v>
      </c>
      <c r="ILO6" t="s">
        <v>6984</v>
      </c>
      <c r="ILP6" t="s">
        <v>6984</v>
      </c>
      <c r="ILQ6" t="s">
        <v>6984</v>
      </c>
      <c r="ILR6" t="s">
        <v>6984</v>
      </c>
      <c r="ILS6" t="s">
        <v>6984</v>
      </c>
      <c r="ILT6" t="s">
        <v>6984</v>
      </c>
      <c r="ILU6" t="s">
        <v>6984</v>
      </c>
      <c r="ILV6" t="s">
        <v>6984</v>
      </c>
      <c r="ILW6" t="s">
        <v>6984</v>
      </c>
      <c r="ILX6" t="s">
        <v>6984</v>
      </c>
      <c r="ILY6" t="s">
        <v>6984</v>
      </c>
      <c r="ILZ6" t="s">
        <v>6984</v>
      </c>
      <c r="IMA6" t="s">
        <v>6984</v>
      </c>
      <c r="IMB6" t="s">
        <v>6984</v>
      </c>
      <c r="IMC6" t="s">
        <v>6984</v>
      </c>
      <c r="IMD6" t="s">
        <v>6984</v>
      </c>
      <c r="IME6" t="s">
        <v>6984</v>
      </c>
      <c r="IMF6" t="s">
        <v>6984</v>
      </c>
      <c r="IMG6" t="s">
        <v>6984</v>
      </c>
      <c r="IMH6" t="s">
        <v>6984</v>
      </c>
      <c r="IMI6" t="s">
        <v>6984</v>
      </c>
      <c r="IMJ6" t="s">
        <v>6984</v>
      </c>
      <c r="IMK6" t="s">
        <v>6984</v>
      </c>
      <c r="IML6" t="s">
        <v>6984</v>
      </c>
      <c r="IMM6" t="s">
        <v>6984</v>
      </c>
      <c r="IMN6" t="s">
        <v>6984</v>
      </c>
      <c r="IMO6" t="s">
        <v>6984</v>
      </c>
      <c r="IMP6" t="s">
        <v>6984</v>
      </c>
      <c r="IMQ6" t="s">
        <v>6984</v>
      </c>
      <c r="IMR6" t="s">
        <v>6984</v>
      </c>
      <c r="IMS6" t="s">
        <v>6984</v>
      </c>
      <c r="IMT6" t="s">
        <v>6984</v>
      </c>
      <c r="IMU6" t="s">
        <v>6984</v>
      </c>
      <c r="IMV6" t="s">
        <v>6984</v>
      </c>
      <c r="IMW6" t="s">
        <v>6984</v>
      </c>
      <c r="IMX6" t="s">
        <v>6984</v>
      </c>
      <c r="IMY6" t="s">
        <v>6984</v>
      </c>
      <c r="IMZ6" t="s">
        <v>6984</v>
      </c>
      <c r="INA6" t="s">
        <v>6984</v>
      </c>
      <c r="INB6" t="s">
        <v>6984</v>
      </c>
      <c r="INC6" t="s">
        <v>6984</v>
      </c>
      <c r="IND6" t="s">
        <v>6984</v>
      </c>
      <c r="INE6" t="s">
        <v>6984</v>
      </c>
      <c r="INF6" t="s">
        <v>6984</v>
      </c>
      <c r="ING6" t="s">
        <v>6984</v>
      </c>
      <c r="INH6" t="s">
        <v>6984</v>
      </c>
      <c r="INI6" t="s">
        <v>6984</v>
      </c>
      <c r="INJ6" t="s">
        <v>6984</v>
      </c>
      <c r="INK6" t="s">
        <v>6984</v>
      </c>
      <c r="INL6" t="s">
        <v>6984</v>
      </c>
      <c r="INM6" t="s">
        <v>6984</v>
      </c>
      <c r="INN6" t="s">
        <v>6984</v>
      </c>
      <c r="INO6" t="s">
        <v>6984</v>
      </c>
      <c r="INP6" t="s">
        <v>6984</v>
      </c>
      <c r="INQ6" t="s">
        <v>6984</v>
      </c>
      <c r="INR6" t="s">
        <v>6984</v>
      </c>
      <c r="INS6" t="s">
        <v>6984</v>
      </c>
      <c r="INT6" t="s">
        <v>6984</v>
      </c>
      <c r="INU6" t="s">
        <v>6984</v>
      </c>
      <c r="INV6" t="s">
        <v>6984</v>
      </c>
      <c r="INW6" t="s">
        <v>6984</v>
      </c>
      <c r="INX6" t="s">
        <v>6984</v>
      </c>
      <c r="INY6" t="s">
        <v>6984</v>
      </c>
      <c r="INZ6" t="s">
        <v>6984</v>
      </c>
      <c r="IOA6" t="s">
        <v>6984</v>
      </c>
      <c r="IOB6" t="s">
        <v>6984</v>
      </c>
      <c r="IOC6" t="s">
        <v>6984</v>
      </c>
      <c r="IOD6" t="s">
        <v>6984</v>
      </c>
      <c r="IOE6" t="s">
        <v>6984</v>
      </c>
      <c r="IOF6" t="s">
        <v>6984</v>
      </c>
      <c r="IOG6" t="s">
        <v>6984</v>
      </c>
      <c r="IOH6" t="s">
        <v>6984</v>
      </c>
      <c r="IOI6" t="s">
        <v>6984</v>
      </c>
      <c r="IOJ6" t="s">
        <v>6984</v>
      </c>
      <c r="IOK6" t="s">
        <v>6984</v>
      </c>
      <c r="IOL6" t="s">
        <v>6984</v>
      </c>
      <c r="IOM6" t="s">
        <v>6984</v>
      </c>
      <c r="ION6" t="s">
        <v>6984</v>
      </c>
      <c r="IOO6" t="s">
        <v>6984</v>
      </c>
      <c r="IOP6" t="s">
        <v>6984</v>
      </c>
      <c r="IOQ6" t="s">
        <v>6984</v>
      </c>
      <c r="IOR6" t="s">
        <v>6984</v>
      </c>
      <c r="IOS6" t="s">
        <v>6984</v>
      </c>
      <c r="IOT6" t="s">
        <v>6984</v>
      </c>
      <c r="IOU6" t="s">
        <v>6984</v>
      </c>
      <c r="IOV6" t="s">
        <v>6984</v>
      </c>
      <c r="IOW6" t="s">
        <v>6984</v>
      </c>
      <c r="IOX6" t="s">
        <v>6984</v>
      </c>
      <c r="IOY6" t="s">
        <v>6984</v>
      </c>
      <c r="IOZ6" t="s">
        <v>6984</v>
      </c>
      <c r="IPA6" t="s">
        <v>6984</v>
      </c>
      <c r="IPB6" t="s">
        <v>6984</v>
      </c>
      <c r="IPC6" t="s">
        <v>6984</v>
      </c>
      <c r="IPD6" t="s">
        <v>6984</v>
      </c>
      <c r="IPE6" t="s">
        <v>6984</v>
      </c>
      <c r="IPF6" t="s">
        <v>6984</v>
      </c>
      <c r="IPG6" t="s">
        <v>6984</v>
      </c>
      <c r="IPH6" t="s">
        <v>6984</v>
      </c>
      <c r="IPI6" t="s">
        <v>6984</v>
      </c>
      <c r="IPJ6" t="s">
        <v>6984</v>
      </c>
      <c r="IPK6" t="s">
        <v>6984</v>
      </c>
      <c r="IPL6" t="s">
        <v>6984</v>
      </c>
      <c r="IPM6" t="s">
        <v>6984</v>
      </c>
      <c r="IPN6" t="s">
        <v>6984</v>
      </c>
      <c r="IPO6" t="s">
        <v>6984</v>
      </c>
      <c r="IPP6" t="s">
        <v>6984</v>
      </c>
      <c r="IPQ6" t="s">
        <v>6984</v>
      </c>
      <c r="IPR6" t="s">
        <v>6984</v>
      </c>
      <c r="IPS6" t="s">
        <v>6984</v>
      </c>
      <c r="IPT6" t="s">
        <v>6984</v>
      </c>
      <c r="IPU6" t="s">
        <v>6984</v>
      </c>
      <c r="IPV6" t="s">
        <v>6984</v>
      </c>
      <c r="IPW6" t="s">
        <v>6984</v>
      </c>
      <c r="IPX6" t="s">
        <v>6984</v>
      </c>
      <c r="IPY6" t="s">
        <v>6984</v>
      </c>
      <c r="IPZ6" t="s">
        <v>6984</v>
      </c>
      <c r="IQA6" t="s">
        <v>6984</v>
      </c>
      <c r="IQB6" t="s">
        <v>6984</v>
      </c>
      <c r="IQC6" t="s">
        <v>6984</v>
      </c>
      <c r="IQD6" t="s">
        <v>6984</v>
      </c>
      <c r="IQE6" t="s">
        <v>6984</v>
      </c>
      <c r="IQF6" t="s">
        <v>6984</v>
      </c>
      <c r="IQG6" t="s">
        <v>6984</v>
      </c>
      <c r="IQH6" t="s">
        <v>6984</v>
      </c>
      <c r="IQI6" t="s">
        <v>6984</v>
      </c>
      <c r="IQJ6" t="s">
        <v>6984</v>
      </c>
      <c r="IQK6" t="s">
        <v>6984</v>
      </c>
      <c r="IQL6" t="s">
        <v>6984</v>
      </c>
      <c r="IQM6" t="s">
        <v>6984</v>
      </c>
      <c r="IQN6" t="s">
        <v>6984</v>
      </c>
      <c r="IQO6" t="s">
        <v>6984</v>
      </c>
      <c r="IQP6" t="s">
        <v>6984</v>
      </c>
      <c r="IQQ6" t="s">
        <v>6984</v>
      </c>
      <c r="IQR6" t="s">
        <v>6984</v>
      </c>
      <c r="IQS6" t="s">
        <v>6984</v>
      </c>
      <c r="IQT6" t="s">
        <v>6984</v>
      </c>
      <c r="IQU6" t="s">
        <v>6984</v>
      </c>
      <c r="IQV6" t="s">
        <v>6984</v>
      </c>
      <c r="IQW6" t="s">
        <v>6984</v>
      </c>
      <c r="IQX6" t="s">
        <v>6984</v>
      </c>
      <c r="IQY6" t="s">
        <v>6984</v>
      </c>
      <c r="IQZ6" t="s">
        <v>6984</v>
      </c>
      <c r="IRA6" t="s">
        <v>6984</v>
      </c>
      <c r="IRB6" t="s">
        <v>6984</v>
      </c>
      <c r="IRC6" t="s">
        <v>6984</v>
      </c>
      <c r="IRD6" t="s">
        <v>6984</v>
      </c>
      <c r="IRE6" t="s">
        <v>6984</v>
      </c>
      <c r="IRF6" t="s">
        <v>6984</v>
      </c>
      <c r="IRG6" t="s">
        <v>6984</v>
      </c>
      <c r="IRH6" t="s">
        <v>6984</v>
      </c>
      <c r="IRI6" t="s">
        <v>6984</v>
      </c>
      <c r="IRJ6" t="s">
        <v>6984</v>
      </c>
      <c r="IRK6" t="s">
        <v>6984</v>
      </c>
      <c r="IRL6" t="s">
        <v>6984</v>
      </c>
      <c r="IRM6" t="s">
        <v>6984</v>
      </c>
      <c r="IRN6" t="s">
        <v>6984</v>
      </c>
      <c r="IRO6" t="s">
        <v>6984</v>
      </c>
      <c r="IRP6" t="s">
        <v>6984</v>
      </c>
      <c r="IRQ6" t="s">
        <v>6984</v>
      </c>
      <c r="IRR6" t="s">
        <v>6984</v>
      </c>
      <c r="IRS6" t="s">
        <v>6984</v>
      </c>
      <c r="IRT6" t="s">
        <v>6984</v>
      </c>
      <c r="IRU6" t="s">
        <v>6984</v>
      </c>
      <c r="IRV6" t="s">
        <v>6984</v>
      </c>
      <c r="IRW6" t="s">
        <v>6984</v>
      </c>
      <c r="IRX6" t="s">
        <v>6984</v>
      </c>
      <c r="IRY6" t="s">
        <v>6984</v>
      </c>
      <c r="IRZ6" t="s">
        <v>6984</v>
      </c>
      <c r="ISA6" t="s">
        <v>6984</v>
      </c>
      <c r="ISB6" t="s">
        <v>6984</v>
      </c>
      <c r="ISC6" t="s">
        <v>6984</v>
      </c>
      <c r="ISD6" t="s">
        <v>6984</v>
      </c>
      <c r="ISE6" t="s">
        <v>6984</v>
      </c>
      <c r="ISF6" t="s">
        <v>6984</v>
      </c>
      <c r="ISG6" t="s">
        <v>6984</v>
      </c>
      <c r="ISH6" t="s">
        <v>6984</v>
      </c>
      <c r="ISI6" t="s">
        <v>6984</v>
      </c>
      <c r="ISJ6" t="s">
        <v>6984</v>
      </c>
      <c r="ISK6" t="s">
        <v>6984</v>
      </c>
      <c r="ISL6" t="s">
        <v>6984</v>
      </c>
      <c r="ISM6" t="s">
        <v>6984</v>
      </c>
      <c r="ISN6" t="s">
        <v>6984</v>
      </c>
      <c r="ISO6" t="s">
        <v>6984</v>
      </c>
      <c r="ISP6" t="s">
        <v>6984</v>
      </c>
      <c r="ISQ6" t="s">
        <v>6984</v>
      </c>
      <c r="ISR6" t="s">
        <v>6984</v>
      </c>
      <c r="ISS6" t="s">
        <v>6984</v>
      </c>
      <c r="IST6" t="s">
        <v>6984</v>
      </c>
      <c r="ISU6" t="s">
        <v>6984</v>
      </c>
      <c r="ISV6" t="s">
        <v>6984</v>
      </c>
      <c r="ISW6" t="s">
        <v>6984</v>
      </c>
      <c r="ISX6" t="s">
        <v>6984</v>
      </c>
      <c r="ISY6" t="s">
        <v>6984</v>
      </c>
      <c r="ISZ6" t="s">
        <v>6984</v>
      </c>
      <c r="ITA6" t="s">
        <v>6984</v>
      </c>
      <c r="ITB6" t="s">
        <v>6984</v>
      </c>
      <c r="ITC6" t="s">
        <v>6984</v>
      </c>
      <c r="ITD6" t="s">
        <v>6984</v>
      </c>
      <c r="ITE6" t="s">
        <v>6984</v>
      </c>
      <c r="ITF6" t="s">
        <v>6984</v>
      </c>
      <c r="ITG6" t="s">
        <v>6984</v>
      </c>
      <c r="ITH6" t="s">
        <v>6984</v>
      </c>
      <c r="ITI6" t="s">
        <v>6984</v>
      </c>
      <c r="ITJ6" t="s">
        <v>6984</v>
      </c>
      <c r="ITK6" t="s">
        <v>6984</v>
      </c>
      <c r="ITL6" t="s">
        <v>6984</v>
      </c>
      <c r="ITM6" t="s">
        <v>6984</v>
      </c>
      <c r="ITN6" t="s">
        <v>6984</v>
      </c>
      <c r="ITO6" t="s">
        <v>6984</v>
      </c>
      <c r="ITP6" t="s">
        <v>6984</v>
      </c>
      <c r="ITQ6" t="s">
        <v>6984</v>
      </c>
      <c r="ITR6" t="s">
        <v>6984</v>
      </c>
      <c r="ITS6" t="s">
        <v>6984</v>
      </c>
      <c r="ITT6" t="s">
        <v>6984</v>
      </c>
      <c r="ITU6" t="s">
        <v>6984</v>
      </c>
      <c r="ITV6" t="s">
        <v>6984</v>
      </c>
      <c r="ITW6" t="s">
        <v>6984</v>
      </c>
      <c r="ITX6" t="s">
        <v>6984</v>
      </c>
      <c r="ITY6" t="s">
        <v>6984</v>
      </c>
      <c r="ITZ6" t="s">
        <v>6984</v>
      </c>
      <c r="IUA6" t="s">
        <v>6984</v>
      </c>
      <c r="IUB6" t="s">
        <v>6984</v>
      </c>
      <c r="IUC6" t="s">
        <v>6984</v>
      </c>
      <c r="IUD6" t="s">
        <v>6984</v>
      </c>
      <c r="IUE6" t="s">
        <v>6984</v>
      </c>
      <c r="IUF6" t="s">
        <v>6984</v>
      </c>
      <c r="IUG6" t="s">
        <v>6984</v>
      </c>
      <c r="IUH6" t="s">
        <v>6984</v>
      </c>
      <c r="IUI6" t="s">
        <v>6984</v>
      </c>
      <c r="IUJ6" t="s">
        <v>6984</v>
      </c>
      <c r="IUK6" t="s">
        <v>6984</v>
      </c>
      <c r="IUL6" t="s">
        <v>6984</v>
      </c>
      <c r="IUM6" t="s">
        <v>6984</v>
      </c>
      <c r="IUN6" t="s">
        <v>6984</v>
      </c>
      <c r="IUO6" t="s">
        <v>6984</v>
      </c>
      <c r="IUP6" t="s">
        <v>6984</v>
      </c>
      <c r="IUQ6" t="s">
        <v>6984</v>
      </c>
      <c r="IUR6" t="s">
        <v>6984</v>
      </c>
      <c r="IUS6" t="s">
        <v>6984</v>
      </c>
      <c r="IUT6" t="s">
        <v>6984</v>
      </c>
      <c r="IUU6" t="s">
        <v>6984</v>
      </c>
      <c r="IUV6" t="s">
        <v>6984</v>
      </c>
      <c r="IUW6" t="s">
        <v>6984</v>
      </c>
      <c r="IUX6" t="s">
        <v>6984</v>
      </c>
      <c r="IUY6" t="s">
        <v>6984</v>
      </c>
      <c r="IUZ6" t="s">
        <v>6984</v>
      </c>
      <c r="IVA6" t="s">
        <v>6984</v>
      </c>
      <c r="IVB6" t="s">
        <v>6984</v>
      </c>
      <c r="IVC6" t="s">
        <v>6984</v>
      </c>
      <c r="IVD6" t="s">
        <v>6984</v>
      </c>
      <c r="IVE6" t="s">
        <v>6984</v>
      </c>
      <c r="IVF6" t="s">
        <v>6984</v>
      </c>
      <c r="IVG6" t="s">
        <v>6984</v>
      </c>
      <c r="IVH6" t="s">
        <v>6984</v>
      </c>
      <c r="IVI6" t="s">
        <v>6984</v>
      </c>
      <c r="IVJ6" t="s">
        <v>6984</v>
      </c>
      <c r="IVK6" t="s">
        <v>6984</v>
      </c>
      <c r="IVL6" t="s">
        <v>6984</v>
      </c>
      <c r="IVM6" t="s">
        <v>6984</v>
      </c>
      <c r="IVN6" t="s">
        <v>6984</v>
      </c>
      <c r="IVO6" t="s">
        <v>6984</v>
      </c>
      <c r="IVP6" t="s">
        <v>6984</v>
      </c>
      <c r="IVQ6" t="s">
        <v>6984</v>
      </c>
      <c r="IVR6" t="s">
        <v>6984</v>
      </c>
      <c r="IVS6" t="s">
        <v>6984</v>
      </c>
      <c r="IVT6" t="s">
        <v>6984</v>
      </c>
      <c r="IVU6" t="s">
        <v>6984</v>
      </c>
      <c r="IVV6" t="s">
        <v>6984</v>
      </c>
      <c r="IVW6" t="s">
        <v>6984</v>
      </c>
      <c r="IVX6" t="s">
        <v>6984</v>
      </c>
      <c r="IVY6" t="s">
        <v>6984</v>
      </c>
      <c r="IVZ6" t="s">
        <v>6984</v>
      </c>
      <c r="IWA6" t="s">
        <v>6984</v>
      </c>
      <c r="IWB6" t="s">
        <v>6984</v>
      </c>
      <c r="IWC6" t="s">
        <v>6984</v>
      </c>
      <c r="IWD6" t="s">
        <v>6984</v>
      </c>
      <c r="IWE6" t="s">
        <v>6984</v>
      </c>
      <c r="IWF6" t="s">
        <v>6984</v>
      </c>
      <c r="IWG6" t="s">
        <v>6984</v>
      </c>
      <c r="IWH6" t="s">
        <v>6984</v>
      </c>
      <c r="IWI6" t="s">
        <v>6984</v>
      </c>
      <c r="IWJ6" t="s">
        <v>6984</v>
      </c>
      <c r="IWK6" t="s">
        <v>6984</v>
      </c>
      <c r="IWL6" t="s">
        <v>6984</v>
      </c>
      <c r="IWM6" t="s">
        <v>6984</v>
      </c>
      <c r="IWN6" t="s">
        <v>6984</v>
      </c>
      <c r="IWO6" t="s">
        <v>6984</v>
      </c>
      <c r="IWP6" t="s">
        <v>6984</v>
      </c>
      <c r="IWQ6" t="s">
        <v>6984</v>
      </c>
      <c r="IWR6" t="s">
        <v>6984</v>
      </c>
      <c r="IWS6" t="s">
        <v>6984</v>
      </c>
      <c r="IWT6" t="s">
        <v>6984</v>
      </c>
      <c r="IWU6" t="s">
        <v>6984</v>
      </c>
      <c r="IWV6" t="s">
        <v>6984</v>
      </c>
      <c r="IWW6" t="s">
        <v>6984</v>
      </c>
      <c r="IWX6" t="s">
        <v>6984</v>
      </c>
      <c r="IWY6" t="s">
        <v>6984</v>
      </c>
      <c r="IWZ6" t="s">
        <v>6984</v>
      </c>
      <c r="IXA6" t="s">
        <v>6984</v>
      </c>
      <c r="IXB6" t="s">
        <v>6984</v>
      </c>
      <c r="IXC6" t="s">
        <v>6984</v>
      </c>
      <c r="IXD6" t="s">
        <v>6984</v>
      </c>
      <c r="IXE6" t="s">
        <v>6984</v>
      </c>
      <c r="IXF6" t="s">
        <v>6984</v>
      </c>
      <c r="IXG6" t="s">
        <v>6984</v>
      </c>
      <c r="IXH6" t="s">
        <v>6984</v>
      </c>
      <c r="IXI6" t="s">
        <v>6984</v>
      </c>
      <c r="IXJ6" t="s">
        <v>6984</v>
      </c>
      <c r="IXK6" t="s">
        <v>6984</v>
      </c>
      <c r="IXL6" t="s">
        <v>6984</v>
      </c>
      <c r="IXM6" t="s">
        <v>6984</v>
      </c>
      <c r="IXN6" t="s">
        <v>6984</v>
      </c>
      <c r="IXO6" t="s">
        <v>6984</v>
      </c>
      <c r="IXP6" t="s">
        <v>6984</v>
      </c>
      <c r="IXQ6" t="s">
        <v>6984</v>
      </c>
      <c r="IXR6" t="s">
        <v>6984</v>
      </c>
      <c r="IXS6" t="s">
        <v>6984</v>
      </c>
      <c r="IXT6" t="s">
        <v>6984</v>
      </c>
      <c r="IXU6" t="s">
        <v>6984</v>
      </c>
      <c r="IXV6" t="s">
        <v>6984</v>
      </c>
      <c r="IXW6" t="s">
        <v>6984</v>
      </c>
      <c r="IXX6" t="s">
        <v>6984</v>
      </c>
      <c r="IXY6" t="s">
        <v>6984</v>
      </c>
      <c r="IXZ6" t="s">
        <v>6984</v>
      </c>
      <c r="IYA6" t="s">
        <v>6984</v>
      </c>
      <c r="IYB6" t="s">
        <v>6984</v>
      </c>
      <c r="IYC6" t="s">
        <v>6984</v>
      </c>
      <c r="IYD6" t="s">
        <v>6984</v>
      </c>
      <c r="IYE6" t="s">
        <v>6984</v>
      </c>
      <c r="IYF6" t="s">
        <v>6984</v>
      </c>
      <c r="IYG6" t="s">
        <v>6984</v>
      </c>
      <c r="IYH6" t="s">
        <v>6984</v>
      </c>
      <c r="IYI6" t="s">
        <v>6984</v>
      </c>
      <c r="IYJ6" t="s">
        <v>6984</v>
      </c>
      <c r="IYK6" t="s">
        <v>6984</v>
      </c>
      <c r="IYL6" t="s">
        <v>6984</v>
      </c>
      <c r="IYM6" t="s">
        <v>6984</v>
      </c>
      <c r="IYN6" t="s">
        <v>6984</v>
      </c>
      <c r="IYO6" t="s">
        <v>6984</v>
      </c>
      <c r="IYP6" t="s">
        <v>6984</v>
      </c>
      <c r="IYQ6" t="s">
        <v>6984</v>
      </c>
      <c r="IYR6" t="s">
        <v>6984</v>
      </c>
      <c r="IYS6" t="s">
        <v>6984</v>
      </c>
      <c r="IYT6" t="s">
        <v>6984</v>
      </c>
      <c r="IYU6" t="s">
        <v>6984</v>
      </c>
      <c r="IYV6" t="s">
        <v>6984</v>
      </c>
      <c r="IYW6" t="s">
        <v>6984</v>
      </c>
      <c r="IYX6" t="s">
        <v>6984</v>
      </c>
      <c r="IYY6" t="s">
        <v>6984</v>
      </c>
      <c r="IYZ6" t="s">
        <v>6984</v>
      </c>
      <c r="IZA6" t="s">
        <v>6984</v>
      </c>
      <c r="IZB6" t="s">
        <v>6984</v>
      </c>
      <c r="IZC6" t="s">
        <v>6984</v>
      </c>
      <c r="IZD6" t="s">
        <v>6984</v>
      </c>
      <c r="IZE6" t="s">
        <v>6984</v>
      </c>
      <c r="IZF6" t="s">
        <v>6984</v>
      </c>
      <c r="IZG6" t="s">
        <v>6984</v>
      </c>
      <c r="IZH6" t="s">
        <v>6984</v>
      </c>
      <c r="IZI6" t="s">
        <v>6984</v>
      </c>
      <c r="IZJ6" t="s">
        <v>6984</v>
      </c>
      <c r="IZK6" t="s">
        <v>6984</v>
      </c>
      <c r="IZL6" t="s">
        <v>6984</v>
      </c>
      <c r="IZM6" t="s">
        <v>6984</v>
      </c>
      <c r="IZN6" t="s">
        <v>6984</v>
      </c>
      <c r="IZO6" t="s">
        <v>6984</v>
      </c>
      <c r="IZP6" t="s">
        <v>6984</v>
      </c>
      <c r="IZQ6" t="s">
        <v>6984</v>
      </c>
      <c r="IZR6" t="s">
        <v>6984</v>
      </c>
      <c r="IZS6" t="s">
        <v>6984</v>
      </c>
      <c r="IZT6" t="s">
        <v>6984</v>
      </c>
      <c r="IZU6" t="s">
        <v>6984</v>
      </c>
      <c r="IZV6" t="s">
        <v>6984</v>
      </c>
      <c r="IZW6" t="s">
        <v>6984</v>
      </c>
      <c r="IZX6" t="s">
        <v>6984</v>
      </c>
      <c r="IZY6" t="s">
        <v>6984</v>
      </c>
      <c r="IZZ6" t="s">
        <v>6984</v>
      </c>
      <c r="JAA6" t="s">
        <v>6984</v>
      </c>
      <c r="JAB6" t="s">
        <v>6984</v>
      </c>
      <c r="JAC6" t="s">
        <v>6984</v>
      </c>
      <c r="JAD6" t="s">
        <v>6984</v>
      </c>
      <c r="JAE6" t="s">
        <v>6984</v>
      </c>
      <c r="JAF6" t="s">
        <v>6984</v>
      </c>
      <c r="JAG6" t="s">
        <v>6984</v>
      </c>
      <c r="JAH6" t="s">
        <v>6984</v>
      </c>
      <c r="JAI6" t="s">
        <v>6984</v>
      </c>
      <c r="JAJ6" t="s">
        <v>6984</v>
      </c>
      <c r="JAK6" t="s">
        <v>6984</v>
      </c>
      <c r="JAL6" t="s">
        <v>6984</v>
      </c>
      <c r="JAM6" t="s">
        <v>6984</v>
      </c>
      <c r="JAN6" t="s">
        <v>6984</v>
      </c>
      <c r="JAO6" t="s">
        <v>6984</v>
      </c>
      <c r="JAP6" t="s">
        <v>6984</v>
      </c>
      <c r="JAQ6" t="s">
        <v>6984</v>
      </c>
      <c r="JAR6" t="s">
        <v>6984</v>
      </c>
      <c r="JAS6" t="s">
        <v>6984</v>
      </c>
      <c r="JAT6" t="s">
        <v>6984</v>
      </c>
      <c r="JAU6" t="s">
        <v>6984</v>
      </c>
      <c r="JAV6" t="s">
        <v>6984</v>
      </c>
      <c r="JAW6" t="s">
        <v>6984</v>
      </c>
      <c r="JAX6" t="s">
        <v>6984</v>
      </c>
      <c r="JAY6" t="s">
        <v>6984</v>
      </c>
      <c r="JAZ6" t="s">
        <v>6984</v>
      </c>
      <c r="JBA6" t="s">
        <v>6984</v>
      </c>
      <c r="JBB6" t="s">
        <v>6984</v>
      </c>
      <c r="JBC6" t="s">
        <v>6984</v>
      </c>
      <c r="JBD6" t="s">
        <v>6984</v>
      </c>
      <c r="JBE6" t="s">
        <v>6984</v>
      </c>
      <c r="JBF6" t="s">
        <v>6984</v>
      </c>
      <c r="JBG6" t="s">
        <v>6984</v>
      </c>
      <c r="JBH6" t="s">
        <v>6984</v>
      </c>
      <c r="JBI6" t="s">
        <v>6984</v>
      </c>
      <c r="JBJ6" t="s">
        <v>6984</v>
      </c>
      <c r="JBK6" t="s">
        <v>6984</v>
      </c>
      <c r="JBL6" t="s">
        <v>6984</v>
      </c>
      <c r="JBM6" t="s">
        <v>6984</v>
      </c>
      <c r="JBN6" t="s">
        <v>6984</v>
      </c>
      <c r="JBO6" t="s">
        <v>6984</v>
      </c>
      <c r="JBP6" t="s">
        <v>6984</v>
      </c>
      <c r="JBQ6" t="s">
        <v>6984</v>
      </c>
      <c r="JBR6" t="s">
        <v>6984</v>
      </c>
      <c r="JBS6" t="s">
        <v>6984</v>
      </c>
      <c r="JBT6" t="s">
        <v>6984</v>
      </c>
      <c r="JBU6" t="s">
        <v>6984</v>
      </c>
      <c r="JBV6" t="s">
        <v>6984</v>
      </c>
      <c r="JBW6" t="s">
        <v>6984</v>
      </c>
      <c r="JBX6" t="s">
        <v>6984</v>
      </c>
      <c r="JBY6" t="s">
        <v>6984</v>
      </c>
      <c r="JBZ6" t="s">
        <v>6984</v>
      </c>
      <c r="JCA6" t="s">
        <v>6984</v>
      </c>
      <c r="JCB6" t="s">
        <v>6984</v>
      </c>
      <c r="JCC6" t="s">
        <v>6984</v>
      </c>
      <c r="JCD6" t="s">
        <v>6984</v>
      </c>
      <c r="JCE6" t="s">
        <v>6984</v>
      </c>
      <c r="JCF6" t="s">
        <v>6984</v>
      </c>
      <c r="JCG6" t="s">
        <v>6984</v>
      </c>
      <c r="JCH6" t="s">
        <v>6984</v>
      </c>
      <c r="JCI6" t="s">
        <v>6984</v>
      </c>
      <c r="JCJ6" t="s">
        <v>6984</v>
      </c>
      <c r="JCK6" t="s">
        <v>6984</v>
      </c>
      <c r="JCL6" t="s">
        <v>6984</v>
      </c>
      <c r="JCM6" t="s">
        <v>6984</v>
      </c>
      <c r="JCN6" t="s">
        <v>6984</v>
      </c>
      <c r="JCO6" t="s">
        <v>6984</v>
      </c>
      <c r="JCP6" t="s">
        <v>6984</v>
      </c>
      <c r="JCQ6" t="s">
        <v>6984</v>
      </c>
      <c r="JCR6" t="s">
        <v>6984</v>
      </c>
      <c r="JCS6" t="s">
        <v>6984</v>
      </c>
      <c r="JCT6" t="s">
        <v>6984</v>
      </c>
      <c r="JCU6" t="s">
        <v>6984</v>
      </c>
      <c r="JCV6" t="s">
        <v>6984</v>
      </c>
      <c r="JCW6" t="s">
        <v>6984</v>
      </c>
      <c r="JCX6" t="s">
        <v>6984</v>
      </c>
      <c r="JCY6" t="s">
        <v>6984</v>
      </c>
      <c r="JCZ6" t="s">
        <v>6984</v>
      </c>
      <c r="JDA6" t="s">
        <v>6984</v>
      </c>
      <c r="JDB6" t="s">
        <v>6984</v>
      </c>
      <c r="JDC6" t="s">
        <v>6984</v>
      </c>
      <c r="JDD6" t="s">
        <v>6984</v>
      </c>
      <c r="JDE6" t="s">
        <v>6984</v>
      </c>
      <c r="JDF6" t="s">
        <v>6984</v>
      </c>
      <c r="JDG6" t="s">
        <v>6984</v>
      </c>
      <c r="JDH6" t="s">
        <v>6984</v>
      </c>
      <c r="JDI6" t="s">
        <v>6984</v>
      </c>
      <c r="JDJ6" t="s">
        <v>6984</v>
      </c>
      <c r="JDK6" t="s">
        <v>6984</v>
      </c>
      <c r="JDL6" t="s">
        <v>6984</v>
      </c>
      <c r="JDM6" t="s">
        <v>6984</v>
      </c>
      <c r="JDN6" t="s">
        <v>6984</v>
      </c>
      <c r="JDO6" t="s">
        <v>6984</v>
      </c>
      <c r="JDP6" t="s">
        <v>6984</v>
      </c>
      <c r="JDQ6" t="s">
        <v>6984</v>
      </c>
      <c r="JDR6" t="s">
        <v>6984</v>
      </c>
      <c r="JDS6" t="s">
        <v>6984</v>
      </c>
      <c r="JDT6" t="s">
        <v>6984</v>
      </c>
      <c r="JDU6" t="s">
        <v>6984</v>
      </c>
      <c r="JDV6" t="s">
        <v>6984</v>
      </c>
      <c r="JDW6" t="s">
        <v>6984</v>
      </c>
      <c r="JDX6" t="s">
        <v>6984</v>
      </c>
      <c r="JDY6" t="s">
        <v>6984</v>
      </c>
      <c r="JDZ6" t="s">
        <v>6984</v>
      </c>
      <c r="JEA6" t="s">
        <v>6984</v>
      </c>
      <c r="JEB6" t="s">
        <v>6984</v>
      </c>
      <c r="JEC6" t="s">
        <v>6984</v>
      </c>
      <c r="JED6" t="s">
        <v>6984</v>
      </c>
      <c r="JEE6" t="s">
        <v>6984</v>
      </c>
      <c r="JEF6" t="s">
        <v>6984</v>
      </c>
      <c r="JEG6" t="s">
        <v>6984</v>
      </c>
      <c r="JEH6" t="s">
        <v>6984</v>
      </c>
      <c r="JEI6" t="s">
        <v>6984</v>
      </c>
      <c r="JEJ6" t="s">
        <v>6984</v>
      </c>
      <c r="JEK6" t="s">
        <v>6984</v>
      </c>
      <c r="JEL6" t="s">
        <v>6984</v>
      </c>
      <c r="JEM6" t="s">
        <v>6984</v>
      </c>
      <c r="JEN6" t="s">
        <v>6984</v>
      </c>
      <c r="JEO6" t="s">
        <v>6984</v>
      </c>
      <c r="JEP6" t="s">
        <v>6984</v>
      </c>
      <c r="JEQ6" t="s">
        <v>6984</v>
      </c>
      <c r="JER6" t="s">
        <v>6984</v>
      </c>
      <c r="JES6" t="s">
        <v>6984</v>
      </c>
      <c r="JET6" t="s">
        <v>6984</v>
      </c>
      <c r="JEU6" t="s">
        <v>6984</v>
      </c>
      <c r="JEV6" t="s">
        <v>6984</v>
      </c>
      <c r="JEW6" t="s">
        <v>6984</v>
      </c>
      <c r="JEX6" t="s">
        <v>6984</v>
      </c>
      <c r="JEY6" t="s">
        <v>6984</v>
      </c>
      <c r="JEZ6" t="s">
        <v>6984</v>
      </c>
      <c r="JFA6" t="s">
        <v>6984</v>
      </c>
      <c r="JFB6" t="s">
        <v>6984</v>
      </c>
      <c r="JFC6" t="s">
        <v>6984</v>
      </c>
      <c r="JFD6" t="s">
        <v>6984</v>
      </c>
      <c r="JFE6" t="s">
        <v>6984</v>
      </c>
      <c r="JFF6" t="s">
        <v>6984</v>
      </c>
      <c r="JFG6" t="s">
        <v>6984</v>
      </c>
      <c r="JFH6" t="s">
        <v>6984</v>
      </c>
      <c r="JFI6" t="s">
        <v>6984</v>
      </c>
      <c r="JFJ6" t="s">
        <v>6984</v>
      </c>
      <c r="JFK6" t="s">
        <v>6984</v>
      </c>
      <c r="JFL6" t="s">
        <v>6984</v>
      </c>
      <c r="JFM6" t="s">
        <v>6984</v>
      </c>
      <c r="JFN6" t="s">
        <v>6984</v>
      </c>
      <c r="JFO6" t="s">
        <v>6984</v>
      </c>
      <c r="JFP6" t="s">
        <v>6984</v>
      </c>
      <c r="JFQ6" t="s">
        <v>6984</v>
      </c>
      <c r="JFR6" t="s">
        <v>6984</v>
      </c>
      <c r="JFS6" t="s">
        <v>6984</v>
      </c>
      <c r="JFT6" t="s">
        <v>6984</v>
      </c>
      <c r="JFU6" t="s">
        <v>6984</v>
      </c>
      <c r="JFV6" t="s">
        <v>6984</v>
      </c>
      <c r="JFW6" t="s">
        <v>6984</v>
      </c>
      <c r="JFX6" t="s">
        <v>6984</v>
      </c>
      <c r="JFY6" t="s">
        <v>6984</v>
      </c>
      <c r="JFZ6" t="s">
        <v>6984</v>
      </c>
      <c r="JGA6" t="s">
        <v>6984</v>
      </c>
      <c r="JGB6" t="s">
        <v>6984</v>
      </c>
      <c r="JGC6" t="s">
        <v>6984</v>
      </c>
      <c r="JGD6" t="s">
        <v>6984</v>
      </c>
      <c r="JGE6" t="s">
        <v>6984</v>
      </c>
      <c r="JGF6" t="s">
        <v>6984</v>
      </c>
      <c r="JGG6" t="s">
        <v>6984</v>
      </c>
      <c r="JGH6" t="s">
        <v>6984</v>
      </c>
      <c r="JGI6" t="s">
        <v>6984</v>
      </c>
      <c r="JGJ6" t="s">
        <v>6984</v>
      </c>
      <c r="JGK6" t="s">
        <v>6984</v>
      </c>
      <c r="JGL6" t="s">
        <v>6984</v>
      </c>
      <c r="JGM6" t="s">
        <v>6984</v>
      </c>
      <c r="JGN6" t="s">
        <v>6984</v>
      </c>
      <c r="JGO6" t="s">
        <v>6984</v>
      </c>
      <c r="JGP6" t="s">
        <v>6984</v>
      </c>
      <c r="JGQ6" t="s">
        <v>6984</v>
      </c>
      <c r="JGR6" t="s">
        <v>6984</v>
      </c>
      <c r="JGS6" t="s">
        <v>6984</v>
      </c>
      <c r="JGT6" t="s">
        <v>6984</v>
      </c>
      <c r="JGU6" t="s">
        <v>6984</v>
      </c>
      <c r="JGV6" t="s">
        <v>6984</v>
      </c>
      <c r="JGW6" t="s">
        <v>6984</v>
      </c>
      <c r="JGX6" t="s">
        <v>6984</v>
      </c>
      <c r="JGY6" t="s">
        <v>6984</v>
      </c>
      <c r="JGZ6" t="s">
        <v>6984</v>
      </c>
      <c r="JHA6" t="s">
        <v>6984</v>
      </c>
      <c r="JHB6" t="s">
        <v>6984</v>
      </c>
      <c r="JHC6" t="s">
        <v>6984</v>
      </c>
      <c r="JHD6" t="s">
        <v>6984</v>
      </c>
      <c r="JHE6" t="s">
        <v>6984</v>
      </c>
      <c r="JHF6" t="s">
        <v>6984</v>
      </c>
      <c r="JHG6" t="s">
        <v>6984</v>
      </c>
      <c r="JHH6" t="s">
        <v>6984</v>
      </c>
      <c r="JHI6" t="s">
        <v>6984</v>
      </c>
      <c r="JHJ6" t="s">
        <v>6984</v>
      </c>
      <c r="JHK6" t="s">
        <v>6984</v>
      </c>
      <c r="JHL6" t="s">
        <v>6984</v>
      </c>
      <c r="JHM6" t="s">
        <v>6984</v>
      </c>
      <c r="JHN6" t="s">
        <v>6984</v>
      </c>
      <c r="JHO6" t="s">
        <v>6984</v>
      </c>
      <c r="JHP6" t="s">
        <v>6984</v>
      </c>
      <c r="JHQ6" t="s">
        <v>6984</v>
      </c>
      <c r="JHR6" t="s">
        <v>6984</v>
      </c>
      <c r="JHS6" t="s">
        <v>6984</v>
      </c>
      <c r="JHT6" t="s">
        <v>6984</v>
      </c>
      <c r="JHU6" t="s">
        <v>6984</v>
      </c>
      <c r="JHV6" t="s">
        <v>6984</v>
      </c>
      <c r="JHW6" t="s">
        <v>6984</v>
      </c>
      <c r="JHX6" t="s">
        <v>6984</v>
      </c>
      <c r="JHY6" t="s">
        <v>6984</v>
      </c>
      <c r="JHZ6" t="s">
        <v>6984</v>
      </c>
      <c r="JIA6" t="s">
        <v>6984</v>
      </c>
      <c r="JIB6" t="s">
        <v>6984</v>
      </c>
      <c r="JIC6" t="s">
        <v>6984</v>
      </c>
      <c r="JID6" t="s">
        <v>6984</v>
      </c>
      <c r="JIE6" t="s">
        <v>6984</v>
      </c>
      <c r="JIF6" t="s">
        <v>6984</v>
      </c>
      <c r="JIG6" t="s">
        <v>6984</v>
      </c>
      <c r="JIH6" t="s">
        <v>6984</v>
      </c>
      <c r="JII6" t="s">
        <v>6984</v>
      </c>
      <c r="JIJ6" t="s">
        <v>6984</v>
      </c>
      <c r="JIK6" t="s">
        <v>6984</v>
      </c>
      <c r="JIL6" t="s">
        <v>6984</v>
      </c>
      <c r="JIM6" t="s">
        <v>6984</v>
      </c>
      <c r="JIN6" t="s">
        <v>6984</v>
      </c>
      <c r="JIO6" t="s">
        <v>6984</v>
      </c>
      <c r="JIP6" t="s">
        <v>6984</v>
      </c>
      <c r="JIQ6" t="s">
        <v>6984</v>
      </c>
      <c r="JIR6" t="s">
        <v>6984</v>
      </c>
      <c r="JIS6" t="s">
        <v>6984</v>
      </c>
      <c r="JIT6" t="s">
        <v>6984</v>
      </c>
      <c r="JIU6" t="s">
        <v>6984</v>
      </c>
      <c r="JIV6" t="s">
        <v>6984</v>
      </c>
      <c r="JIW6" t="s">
        <v>6984</v>
      </c>
      <c r="JIX6" t="s">
        <v>6984</v>
      </c>
      <c r="JIY6" t="s">
        <v>6984</v>
      </c>
      <c r="JIZ6" t="s">
        <v>6984</v>
      </c>
      <c r="JJA6" t="s">
        <v>6984</v>
      </c>
    </row>
    <row r="7" spans="1:7021" x14ac:dyDescent="0.25">
      <c r="A7" t="s">
        <v>6988</v>
      </c>
      <c r="B7">
        <v>96.534999999999997</v>
      </c>
      <c r="C7">
        <v>96.534999999999997</v>
      </c>
      <c r="D7">
        <v>96.534999999999997</v>
      </c>
      <c r="E7">
        <v>96.314999999999998</v>
      </c>
      <c r="F7">
        <v>96.325000000000003</v>
      </c>
      <c r="G7">
        <v>96.355000000000004</v>
      </c>
      <c r="H7">
        <v>96.405000000000001</v>
      </c>
      <c r="I7">
        <v>96.37</v>
      </c>
      <c r="J7">
        <v>96.3</v>
      </c>
      <c r="K7">
        <v>96.314999999999998</v>
      </c>
      <c r="L7">
        <v>96.284999999999997</v>
      </c>
      <c r="M7">
        <v>96.42</v>
      </c>
      <c r="N7">
        <v>96.454999999999998</v>
      </c>
      <c r="O7">
        <v>96.364999999999995</v>
      </c>
      <c r="P7">
        <v>96.394999999999996</v>
      </c>
      <c r="Q7">
        <v>96.424999999999997</v>
      </c>
      <c r="R7">
        <v>96.405000000000001</v>
      </c>
      <c r="S7">
        <v>96.34</v>
      </c>
      <c r="T7">
        <v>96.385000000000005</v>
      </c>
      <c r="U7">
        <v>96.375</v>
      </c>
      <c r="V7">
        <v>96.375</v>
      </c>
      <c r="W7">
        <v>96.37</v>
      </c>
      <c r="X7">
        <v>96.37</v>
      </c>
      <c r="Y7">
        <v>96.41</v>
      </c>
      <c r="Z7">
        <v>96.394999999999996</v>
      </c>
      <c r="AA7">
        <v>96.375</v>
      </c>
      <c r="AB7">
        <v>96.41</v>
      </c>
      <c r="AC7">
        <v>96.314999999999998</v>
      </c>
      <c r="AD7">
        <v>96.37</v>
      </c>
      <c r="AE7">
        <v>96.394999999999996</v>
      </c>
      <c r="AF7">
        <v>96.534999999999997</v>
      </c>
      <c r="AG7">
        <v>96.53</v>
      </c>
      <c r="AH7">
        <v>96.674999999999997</v>
      </c>
      <c r="AI7">
        <v>96.685000000000002</v>
      </c>
      <c r="AJ7">
        <v>96.62</v>
      </c>
      <c r="AK7">
        <v>96.63</v>
      </c>
      <c r="AL7">
        <v>96.795000000000002</v>
      </c>
      <c r="AM7">
        <v>96.91</v>
      </c>
      <c r="AN7">
        <v>96.864999999999995</v>
      </c>
      <c r="AO7">
        <v>96.814999999999998</v>
      </c>
      <c r="AP7">
        <v>96.73</v>
      </c>
      <c r="AQ7">
        <v>96.7</v>
      </c>
      <c r="AR7">
        <v>96.63</v>
      </c>
      <c r="AS7">
        <v>96.715000000000003</v>
      </c>
      <c r="AT7">
        <v>96.8</v>
      </c>
      <c r="AU7">
        <v>96.71</v>
      </c>
      <c r="AV7">
        <v>96.71</v>
      </c>
      <c r="AW7">
        <v>96.715000000000003</v>
      </c>
      <c r="AX7">
        <v>96.655000000000001</v>
      </c>
      <c r="AY7">
        <v>96.655000000000001</v>
      </c>
      <c r="AZ7">
        <v>96.53</v>
      </c>
      <c r="BA7">
        <v>96.635000000000005</v>
      </c>
      <c r="BB7">
        <v>96.495000000000005</v>
      </c>
      <c r="BC7">
        <v>96.795000000000002</v>
      </c>
      <c r="BD7">
        <v>96.76</v>
      </c>
      <c r="BE7">
        <v>96.81</v>
      </c>
      <c r="BF7">
        <v>96.734999999999999</v>
      </c>
      <c r="BG7">
        <v>96.504999999999995</v>
      </c>
      <c r="BH7">
        <v>96.55</v>
      </c>
      <c r="BI7">
        <v>96.495000000000005</v>
      </c>
      <c r="BJ7">
        <v>96.495000000000005</v>
      </c>
      <c r="BK7">
        <v>96.38</v>
      </c>
      <c r="BL7">
        <v>96.37</v>
      </c>
      <c r="BM7">
        <v>96.394999999999996</v>
      </c>
      <c r="BN7">
        <v>96.36</v>
      </c>
      <c r="BO7">
        <v>96.46</v>
      </c>
      <c r="BP7">
        <v>96.44</v>
      </c>
      <c r="BQ7">
        <v>96.415000000000006</v>
      </c>
      <c r="BR7">
        <v>96.23</v>
      </c>
      <c r="BS7">
        <v>96.234999999999999</v>
      </c>
      <c r="BT7">
        <v>96.28</v>
      </c>
      <c r="BU7">
        <v>96.36</v>
      </c>
      <c r="BV7">
        <v>96.32</v>
      </c>
      <c r="BW7">
        <v>96.39</v>
      </c>
      <c r="BX7">
        <v>96.45</v>
      </c>
      <c r="BY7">
        <v>96.325000000000003</v>
      </c>
      <c r="BZ7">
        <v>96.37</v>
      </c>
      <c r="CA7">
        <v>96.334999999999994</v>
      </c>
      <c r="CB7">
        <v>96.355000000000004</v>
      </c>
      <c r="CC7">
        <v>96.325000000000003</v>
      </c>
      <c r="CD7">
        <v>96.314999999999998</v>
      </c>
      <c r="CE7">
        <v>96.21</v>
      </c>
      <c r="CF7">
        <v>96.224999999999994</v>
      </c>
      <c r="CG7">
        <v>96.204999999999998</v>
      </c>
      <c r="CH7">
        <v>96.13</v>
      </c>
      <c r="CI7">
        <v>96.1</v>
      </c>
      <c r="CJ7">
        <v>96</v>
      </c>
      <c r="CK7">
        <v>95.99</v>
      </c>
      <c r="CL7">
        <v>95.97</v>
      </c>
      <c r="CM7">
        <v>96.02</v>
      </c>
      <c r="CN7">
        <v>96.02</v>
      </c>
      <c r="CO7">
        <v>95.944999999999993</v>
      </c>
      <c r="CP7">
        <v>95.88</v>
      </c>
      <c r="CQ7">
        <v>95.974999999999994</v>
      </c>
      <c r="CR7">
        <v>96.004999999999995</v>
      </c>
      <c r="CS7">
        <v>95.995000000000005</v>
      </c>
      <c r="CT7">
        <v>96.084999999999994</v>
      </c>
      <c r="CU7">
        <v>96.105000000000004</v>
      </c>
      <c r="CV7">
        <v>96.075000000000003</v>
      </c>
      <c r="CW7">
        <v>96.025000000000006</v>
      </c>
      <c r="CX7">
        <v>96.064999999999998</v>
      </c>
      <c r="CY7">
        <v>96.11</v>
      </c>
      <c r="CZ7">
        <v>96.084999999999994</v>
      </c>
      <c r="DA7">
        <v>96.114999999999995</v>
      </c>
      <c r="DB7">
        <v>96.135000000000005</v>
      </c>
      <c r="DC7">
        <v>96.034999999999997</v>
      </c>
      <c r="DD7">
        <v>96.02</v>
      </c>
      <c r="DE7">
        <v>96</v>
      </c>
      <c r="DF7">
        <v>96</v>
      </c>
      <c r="DG7">
        <v>96.004999999999995</v>
      </c>
      <c r="DH7">
        <v>96.004999999999995</v>
      </c>
      <c r="DI7">
        <v>96.05</v>
      </c>
      <c r="DJ7">
        <v>96.02</v>
      </c>
      <c r="DK7">
        <v>95.915000000000006</v>
      </c>
      <c r="DL7">
        <v>95.875</v>
      </c>
      <c r="DM7">
        <v>95.885000000000005</v>
      </c>
      <c r="DN7">
        <v>96.05</v>
      </c>
      <c r="DO7">
        <v>96.015000000000001</v>
      </c>
      <c r="DP7">
        <v>95.995000000000005</v>
      </c>
      <c r="DQ7">
        <v>96.02</v>
      </c>
      <c r="DR7">
        <v>96.02</v>
      </c>
      <c r="DS7">
        <v>96.055000000000007</v>
      </c>
      <c r="DT7">
        <v>96.055000000000007</v>
      </c>
      <c r="DU7">
        <v>96.055000000000007</v>
      </c>
      <c r="DV7">
        <v>96.06</v>
      </c>
      <c r="DW7">
        <v>95.99</v>
      </c>
      <c r="DX7">
        <v>95.984999999999999</v>
      </c>
      <c r="DY7">
        <v>95.984999999999999</v>
      </c>
      <c r="DZ7">
        <v>95.984999999999999</v>
      </c>
      <c r="EA7">
        <v>95.96</v>
      </c>
      <c r="EB7">
        <v>95.995000000000005</v>
      </c>
      <c r="EC7">
        <v>95.984999999999999</v>
      </c>
      <c r="ED7">
        <v>95.95</v>
      </c>
      <c r="EE7">
        <v>96.045000000000002</v>
      </c>
      <c r="EF7">
        <v>96.055000000000007</v>
      </c>
      <c r="EG7">
        <v>96.064999999999998</v>
      </c>
      <c r="EH7">
        <v>96.114999999999995</v>
      </c>
      <c r="EI7">
        <v>96.15</v>
      </c>
      <c r="EJ7">
        <v>96.155000000000001</v>
      </c>
      <c r="EK7">
        <v>96.19</v>
      </c>
      <c r="EL7">
        <v>96.215000000000003</v>
      </c>
      <c r="EM7">
        <v>96.155000000000001</v>
      </c>
      <c r="EN7">
        <v>96.19</v>
      </c>
      <c r="EO7">
        <v>96.13</v>
      </c>
      <c r="EP7">
        <v>96.08</v>
      </c>
      <c r="EQ7">
        <v>96.11</v>
      </c>
      <c r="ER7">
        <v>96.08</v>
      </c>
      <c r="ES7">
        <v>96.08</v>
      </c>
      <c r="ET7">
        <v>96.02</v>
      </c>
      <c r="EU7">
        <v>96.045000000000002</v>
      </c>
      <c r="EV7">
        <v>95.965000000000003</v>
      </c>
      <c r="EW7">
        <v>96</v>
      </c>
      <c r="EX7">
        <v>96.045000000000002</v>
      </c>
      <c r="EY7">
        <v>96.09</v>
      </c>
      <c r="EZ7">
        <v>96.08</v>
      </c>
      <c r="FA7">
        <v>96.064999999999998</v>
      </c>
      <c r="FB7">
        <v>96.08</v>
      </c>
      <c r="FC7">
        <v>96.094999999999999</v>
      </c>
      <c r="FD7">
        <v>96.004999999999995</v>
      </c>
      <c r="FE7">
        <v>96.045000000000002</v>
      </c>
      <c r="FF7">
        <v>96.114999999999995</v>
      </c>
      <c r="FG7">
        <v>96.165000000000006</v>
      </c>
      <c r="FH7">
        <v>96.114999999999995</v>
      </c>
      <c r="FI7">
        <v>96.21</v>
      </c>
      <c r="FJ7">
        <v>96.26</v>
      </c>
      <c r="FK7">
        <v>96.24</v>
      </c>
      <c r="FL7">
        <v>96.28</v>
      </c>
      <c r="FM7">
        <v>96.295000000000002</v>
      </c>
      <c r="FN7">
        <v>96.344999999999999</v>
      </c>
      <c r="FO7">
        <v>96.314999999999998</v>
      </c>
      <c r="FP7">
        <v>96.355000000000004</v>
      </c>
      <c r="FQ7">
        <v>96.405000000000001</v>
      </c>
      <c r="FR7">
        <v>96.364999999999995</v>
      </c>
      <c r="FS7">
        <v>96.424999999999997</v>
      </c>
      <c r="FT7">
        <v>96.444999999999993</v>
      </c>
      <c r="FU7">
        <v>96.53</v>
      </c>
      <c r="FV7">
        <v>96.504999999999995</v>
      </c>
      <c r="FW7">
        <v>96.56</v>
      </c>
      <c r="FX7">
        <v>96.534999999999997</v>
      </c>
      <c r="FY7">
        <v>96.484999999999999</v>
      </c>
      <c r="FZ7">
        <v>96.555000000000007</v>
      </c>
      <c r="GA7">
        <v>96.474999999999994</v>
      </c>
      <c r="GB7">
        <v>96.45</v>
      </c>
      <c r="GC7">
        <v>96.504999999999995</v>
      </c>
      <c r="GD7">
        <v>96.48</v>
      </c>
      <c r="GE7">
        <v>96.564999999999998</v>
      </c>
      <c r="GF7">
        <v>96.84</v>
      </c>
      <c r="GG7">
        <v>96.94</v>
      </c>
      <c r="GH7">
        <v>96.974999999999994</v>
      </c>
      <c r="GI7">
        <v>96.935000000000002</v>
      </c>
      <c r="GJ7">
        <v>97.045000000000002</v>
      </c>
      <c r="GK7">
        <v>96.984999999999999</v>
      </c>
      <c r="GL7">
        <v>97.064999999999998</v>
      </c>
      <c r="GM7">
        <v>97.105000000000004</v>
      </c>
      <c r="GN7">
        <v>97.07</v>
      </c>
      <c r="GO7">
        <v>97.07</v>
      </c>
      <c r="GP7">
        <v>97.034999999999997</v>
      </c>
      <c r="GQ7">
        <v>97.04</v>
      </c>
      <c r="GR7">
        <v>96.94</v>
      </c>
      <c r="GS7">
        <v>97.004999999999995</v>
      </c>
      <c r="GT7">
        <v>96.974999999999994</v>
      </c>
      <c r="GU7">
        <v>96.894999999999996</v>
      </c>
      <c r="GV7">
        <v>96.905000000000001</v>
      </c>
      <c r="GW7">
        <v>96.95</v>
      </c>
      <c r="GX7">
        <v>96.885000000000005</v>
      </c>
      <c r="GY7">
        <v>96.91</v>
      </c>
      <c r="GZ7">
        <v>96.75</v>
      </c>
      <c r="HA7">
        <v>96.74</v>
      </c>
      <c r="HB7">
        <v>96.58</v>
      </c>
      <c r="HC7">
        <v>96.55</v>
      </c>
      <c r="HD7">
        <v>96.55</v>
      </c>
      <c r="HE7">
        <v>96.584999999999994</v>
      </c>
      <c r="HF7">
        <v>96.61</v>
      </c>
      <c r="HG7">
        <v>96.62</v>
      </c>
      <c r="HH7">
        <v>96.58</v>
      </c>
      <c r="HI7">
        <v>96.605000000000004</v>
      </c>
      <c r="HJ7">
        <v>96.5</v>
      </c>
      <c r="HK7">
        <v>96.61</v>
      </c>
      <c r="HL7">
        <v>96.51</v>
      </c>
      <c r="HM7">
        <v>96.43</v>
      </c>
      <c r="HN7">
        <v>96.424999999999997</v>
      </c>
      <c r="HO7">
        <v>96.394999999999996</v>
      </c>
      <c r="HP7">
        <v>96.6</v>
      </c>
      <c r="HQ7">
        <v>96.61</v>
      </c>
      <c r="HR7">
        <v>96.504999999999995</v>
      </c>
      <c r="HS7">
        <v>96.465000000000003</v>
      </c>
      <c r="HT7">
        <v>96.484999999999999</v>
      </c>
      <c r="HU7">
        <v>96.545000000000002</v>
      </c>
      <c r="HV7">
        <v>96.55</v>
      </c>
      <c r="HW7">
        <v>96.67</v>
      </c>
      <c r="HX7">
        <v>96.71</v>
      </c>
      <c r="HY7">
        <v>96.334999999999994</v>
      </c>
      <c r="HZ7">
        <v>96.1</v>
      </c>
      <c r="IA7">
        <v>96.075000000000003</v>
      </c>
      <c r="IB7">
        <v>96.04</v>
      </c>
      <c r="IC7">
        <v>96.04</v>
      </c>
      <c r="ID7">
        <v>95.995000000000005</v>
      </c>
      <c r="IE7">
        <v>96.025000000000006</v>
      </c>
      <c r="IF7">
        <v>95.984999999999999</v>
      </c>
      <c r="IG7">
        <v>95.94</v>
      </c>
      <c r="IH7">
        <v>95.965000000000003</v>
      </c>
      <c r="II7">
        <v>96.02</v>
      </c>
      <c r="IJ7">
        <v>96.05</v>
      </c>
      <c r="IK7">
        <v>96.04</v>
      </c>
      <c r="IL7">
        <v>96.04</v>
      </c>
      <c r="IM7">
        <v>96.01</v>
      </c>
      <c r="IN7">
        <v>95.97</v>
      </c>
      <c r="IO7">
        <v>95.805000000000007</v>
      </c>
      <c r="IP7">
        <v>95.8</v>
      </c>
      <c r="IQ7">
        <v>95.81</v>
      </c>
      <c r="IR7">
        <v>95.83</v>
      </c>
      <c r="IS7">
        <v>95.704999999999998</v>
      </c>
      <c r="IT7">
        <v>95.704999999999998</v>
      </c>
      <c r="IU7">
        <v>95.65</v>
      </c>
      <c r="IV7">
        <v>95.62</v>
      </c>
      <c r="IW7">
        <v>95.685000000000002</v>
      </c>
      <c r="IX7">
        <v>95.674999999999997</v>
      </c>
      <c r="IY7">
        <v>95.644999999999996</v>
      </c>
      <c r="IZ7">
        <v>95.724999999999994</v>
      </c>
      <c r="JA7">
        <v>95.73</v>
      </c>
      <c r="JB7">
        <v>95.73</v>
      </c>
      <c r="JC7">
        <v>95.73</v>
      </c>
      <c r="JD7">
        <v>95.495000000000005</v>
      </c>
      <c r="JE7">
        <v>95.495000000000005</v>
      </c>
      <c r="JF7">
        <v>95.43</v>
      </c>
      <c r="JG7">
        <v>95.525000000000006</v>
      </c>
      <c r="JH7">
        <v>95.504999999999995</v>
      </c>
      <c r="JI7">
        <v>95.42</v>
      </c>
      <c r="JJ7">
        <v>95.325000000000003</v>
      </c>
      <c r="JK7">
        <v>95.284999999999997</v>
      </c>
      <c r="JL7">
        <v>95.284999999999997</v>
      </c>
      <c r="JM7">
        <v>95.46</v>
      </c>
      <c r="JN7">
        <v>95.44</v>
      </c>
      <c r="JO7">
        <v>95.385000000000005</v>
      </c>
      <c r="JP7">
        <v>95.325000000000003</v>
      </c>
      <c r="JQ7">
        <v>95.245000000000005</v>
      </c>
      <c r="JR7">
        <v>95.21</v>
      </c>
      <c r="JS7">
        <v>95.155000000000001</v>
      </c>
      <c r="JT7">
        <v>95.17</v>
      </c>
      <c r="JU7">
        <v>95.2</v>
      </c>
      <c r="JV7">
        <v>95.2</v>
      </c>
      <c r="JW7">
        <v>95.22</v>
      </c>
      <c r="JX7">
        <v>95.29</v>
      </c>
      <c r="JY7">
        <v>95.344999999999999</v>
      </c>
      <c r="JZ7">
        <v>95.33</v>
      </c>
      <c r="KA7">
        <v>95.35</v>
      </c>
      <c r="KB7">
        <v>95.39</v>
      </c>
      <c r="KC7">
        <v>95.465000000000003</v>
      </c>
      <c r="KD7">
        <v>95.364999999999995</v>
      </c>
      <c r="KE7">
        <v>95.33</v>
      </c>
      <c r="KF7">
        <v>95.325000000000003</v>
      </c>
      <c r="KG7">
        <v>95.394999999999996</v>
      </c>
      <c r="KH7">
        <v>95.355000000000004</v>
      </c>
      <c r="KI7">
        <v>95.38</v>
      </c>
      <c r="KJ7">
        <v>95.385000000000005</v>
      </c>
      <c r="KK7">
        <v>95.405000000000001</v>
      </c>
      <c r="KL7">
        <v>95.3</v>
      </c>
      <c r="KM7">
        <v>95.22</v>
      </c>
      <c r="KN7">
        <v>95.11</v>
      </c>
      <c r="KO7">
        <v>95.2</v>
      </c>
      <c r="KP7">
        <v>95.174999999999997</v>
      </c>
      <c r="KQ7">
        <v>95.18</v>
      </c>
      <c r="KR7">
        <v>95.27</v>
      </c>
      <c r="KS7">
        <v>95.305000000000007</v>
      </c>
      <c r="KT7">
        <v>95.25</v>
      </c>
      <c r="KU7">
        <v>95.245000000000005</v>
      </c>
      <c r="KV7">
        <v>95.22</v>
      </c>
      <c r="KW7">
        <v>95.3</v>
      </c>
      <c r="KX7">
        <v>95.27</v>
      </c>
      <c r="KY7">
        <v>95.28</v>
      </c>
      <c r="KZ7">
        <v>95.344999999999999</v>
      </c>
      <c r="LA7">
        <v>95.265000000000001</v>
      </c>
      <c r="LB7">
        <v>95.265000000000001</v>
      </c>
      <c r="LC7">
        <v>95.555000000000007</v>
      </c>
      <c r="LD7">
        <v>95.51</v>
      </c>
      <c r="LE7">
        <v>95.57</v>
      </c>
      <c r="LF7">
        <v>95.67</v>
      </c>
      <c r="LG7">
        <v>95.635000000000005</v>
      </c>
      <c r="LH7">
        <v>95.61</v>
      </c>
      <c r="LI7">
        <v>95.59</v>
      </c>
      <c r="LJ7">
        <v>95.7</v>
      </c>
      <c r="LK7">
        <v>95.7</v>
      </c>
      <c r="LL7">
        <v>95.76</v>
      </c>
      <c r="LM7">
        <v>95.734999999999999</v>
      </c>
      <c r="LN7">
        <v>95.745000000000005</v>
      </c>
      <c r="LO7">
        <v>95.78</v>
      </c>
      <c r="LP7">
        <v>95.75</v>
      </c>
      <c r="LQ7">
        <v>95.78</v>
      </c>
      <c r="LR7">
        <v>95.41</v>
      </c>
      <c r="LS7">
        <v>95.38</v>
      </c>
      <c r="LT7">
        <v>95.405000000000001</v>
      </c>
      <c r="LU7">
        <v>95.43</v>
      </c>
      <c r="LV7">
        <v>95.5</v>
      </c>
      <c r="LW7">
        <v>95.53</v>
      </c>
      <c r="LX7">
        <v>95.605000000000004</v>
      </c>
      <c r="LY7">
        <v>95.644999999999996</v>
      </c>
      <c r="LZ7">
        <v>95.614999999999995</v>
      </c>
      <c r="MA7">
        <v>95.564999999999998</v>
      </c>
      <c r="MB7">
        <v>95.58</v>
      </c>
      <c r="MC7">
        <v>95.52</v>
      </c>
      <c r="MD7">
        <v>95.605000000000004</v>
      </c>
      <c r="ME7">
        <v>95.5</v>
      </c>
      <c r="MF7">
        <v>95.515000000000001</v>
      </c>
      <c r="MG7">
        <v>95.444999999999993</v>
      </c>
      <c r="MH7">
        <v>95.46</v>
      </c>
      <c r="MI7">
        <v>95.51</v>
      </c>
      <c r="MJ7">
        <v>95.495000000000005</v>
      </c>
      <c r="MK7">
        <v>95.57</v>
      </c>
      <c r="ML7">
        <v>95.614999999999995</v>
      </c>
      <c r="MM7">
        <v>95.584999999999994</v>
      </c>
      <c r="MN7">
        <v>95.584999999999994</v>
      </c>
      <c r="MO7">
        <v>95.67</v>
      </c>
      <c r="MP7">
        <v>95.67</v>
      </c>
      <c r="MQ7">
        <v>95.584999999999994</v>
      </c>
      <c r="MR7">
        <v>95.82</v>
      </c>
      <c r="MS7">
        <v>95.814999999999998</v>
      </c>
      <c r="MT7">
        <v>95.864999999999995</v>
      </c>
      <c r="MU7">
        <v>95.905000000000001</v>
      </c>
      <c r="MV7">
        <v>95.92</v>
      </c>
      <c r="MW7">
        <v>95.844999999999999</v>
      </c>
      <c r="MX7">
        <v>95.954999999999998</v>
      </c>
      <c r="MY7">
        <v>96.19</v>
      </c>
      <c r="MZ7">
        <v>96.174999999999997</v>
      </c>
      <c r="NA7">
        <v>96</v>
      </c>
      <c r="NB7">
        <v>96.07</v>
      </c>
      <c r="NC7">
        <v>96.025000000000006</v>
      </c>
      <c r="ND7">
        <v>96.094999999999999</v>
      </c>
      <c r="NE7">
        <v>96.02</v>
      </c>
      <c r="NF7">
        <v>96.04</v>
      </c>
      <c r="NG7">
        <v>96.045000000000002</v>
      </c>
      <c r="NH7">
        <v>96.02</v>
      </c>
      <c r="NI7">
        <v>96.1</v>
      </c>
      <c r="NJ7">
        <v>96.09</v>
      </c>
      <c r="NK7">
        <v>96.27</v>
      </c>
      <c r="NL7">
        <v>96.375</v>
      </c>
      <c r="NM7">
        <v>96.375</v>
      </c>
      <c r="NN7">
        <v>96.224999999999994</v>
      </c>
      <c r="NO7">
        <v>96.08</v>
      </c>
      <c r="NP7">
        <v>96.07</v>
      </c>
      <c r="NQ7">
        <v>96.1</v>
      </c>
      <c r="NR7">
        <v>96.064999999999998</v>
      </c>
      <c r="NS7">
        <v>96.08</v>
      </c>
      <c r="NT7">
        <v>96.165000000000006</v>
      </c>
      <c r="NU7">
        <v>96.174999999999997</v>
      </c>
      <c r="NV7">
        <v>96.27</v>
      </c>
      <c r="NW7">
        <v>96.27</v>
      </c>
      <c r="NX7">
        <v>96.234999999999999</v>
      </c>
      <c r="NY7">
        <v>96.284999999999997</v>
      </c>
      <c r="NZ7">
        <v>96.22</v>
      </c>
      <c r="OA7">
        <v>96.245000000000005</v>
      </c>
      <c r="OB7">
        <v>96.245000000000005</v>
      </c>
      <c r="OC7">
        <v>96.234999999999999</v>
      </c>
      <c r="OD7">
        <v>96.204999999999998</v>
      </c>
      <c r="OE7">
        <v>95.76</v>
      </c>
      <c r="OF7">
        <v>95.734999999999999</v>
      </c>
      <c r="OG7">
        <v>95.72</v>
      </c>
      <c r="OH7">
        <v>95.805000000000007</v>
      </c>
      <c r="OI7">
        <v>95.734999999999999</v>
      </c>
      <c r="OJ7">
        <v>95.435000000000002</v>
      </c>
      <c r="OK7">
        <v>95.454999999999998</v>
      </c>
      <c r="OL7">
        <v>95.444999999999993</v>
      </c>
      <c r="OM7">
        <v>95.625</v>
      </c>
      <c r="ON7">
        <v>95.59</v>
      </c>
      <c r="OO7">
        <v>95.644999999999996</v>
      </c>
      <c r="OP7">
        <v>95.584999999999994</v>
      </c>
      <c r="OQ7">
        <v>95.674999999999997</v>
      </c>
      <c r="OR7">
        <v>95.47</v>
      </c>
      <c r="OS7">
        <v>95.54</v>
      </c>
      <c r="OT7">
        <v>95.385000000000005</v>
      </c>
      <c r="OU7">
        <v>95.25</v>
      </c>
      <c r="OV7">
        <v>95.204999999999998</v>
      </c>
      <c r="OW7">
        <v>95.25</v>
      </c>
      <c r="OX7">
        <v>95.25</v>
      </c>
      <c r="OY7">
        <v>95.295000000000002</v>
      </c>
      <c r="OZ7">
        <v>95.27</v>
      </c>
      <c r="PA7">
        <v>95.29</v>
      </c>
      <c r="PB7">
        <v>95.355000000000004</v>
      </c>
      <c r="PC7">
        <v>95.28</v>
      </c>
      <c r="PD7">
        <v>95.4</v>
      </c>
      <c r="PE7">
        <v>95.15</v>
      </c>
      <c r="PF7">
        <v>95.13</v>
      </c>
      <c r="PG7">
        <v>95.165000000000006</v>
      </c>
      <c r="PH7">
        <v>95.254999999999995</v>
      </c>
      <c r="PI7">
        <v>95.295000000000002</v>
      </c>
      <c r="PJ7">
        <v>95.26</v>
      </c>
      <c r="PK7">
        <v>95.39</v>
      </c>
      <c r="PL7">
        <v>95.22</v>
      </c>
      <c r="PM7">
        <v>95.21</v>
      </c>
      <c r="PN7">
        <v>95.084999999999994</v>
      </c>
      <c r="PO7">
        <v>95.14</v>
      </c>
      <c r="PP7">
        <v>95.17</v>
      </c>
      <c r="PQ7">
        <v>95.144999999999996</v>
      </c>
      <c r="PR7">
        <v>95.06</v>
      </c>
      <c r="PS7">
        <v>95.105000000000004</v>
      </c>
      <c r="PT7">
        <v>95.15</v>
      </c>
      <c r="PU7">
        <v>95.12</v>
      </c>
      <c r="PV7">
        <v>95.03</v>
      </c>
      <c r="PW7">
        <v>94.97</v>
      </c>
      <c r="PX7">
        <v>94.97</v>
      </c>
      <c r="PY7">
        <v>95.08</v>
      </c>
      <c r="PZ7">
        <v>95.114999999999995</v>
      </c>
      <c r="QA7">
        <v>95.105000000000004</v>
      </c>
      <c r="QB7">
        <v>95.174999999999997</v>
      </c>
      <c r="QC7">
        <v>95.215000000000003</v>
      </c>
      <c r="QD7">
        <v>95.254999999999995</v>
      </c>
      <c r="QE7">
        <v>95.09</v>
      </c>
      <c r="QF7">
        <v>95.16</v>
      </c>
      <c r="QG7">
        <v>95.12</v>
      </c>
      <c r="QH7">
        <v>95</v>
      </c>
      <c r="QI7">
        <v>95.015000000000001</v>
      </c>
      <c r="QJ7">
        <v>95.09</v>
      </c>
      <c r="QK7">
        <v>95.07</v>
      </c>
      <c r="QL7">
        <v>94.99</v>
      </c>
      <c r="QM7">
        <v>95.05</v>
      </c>
      <c r="QN7">
        <v>95.034999999999997</v>
      </c>
      <c r="QO7">
        <v>95.04</v>
      </c>
      <c r="QP7">
        <v>95.02</v>
      </c>
      <c r="QQ7">
        <v>95.04</v>
      </c>
      <c r="QR7">
        <v>94.8</v>
      </c>
      <c r="QS7">
        <v>94.85</v>
      </c>
      <c r="QT7">
        <v>94.87</v>
      </c>
      <c r="QU7">
        <v>94.91</v>
      </c>
      <c r="QV7">
        <v>94.935000000000002</v>
      </c>
      <c r="QW7">
        <v>94.924999999999997</v>
      </c>
      <c r="QX7">
        <v>94.944999999999993</v>
      </c>
      <c r="QY7">
        <v>94.954999999999998</v>
      </c>
      <c r="QZ7">
        <v>94.995000000000005</v>
      </c>
      <c r="RA7">
        <v>94.924999999999997</v>
      </c>
      <c r="RB7">
        <v>94.974999999999994</v>
      </c>
      <c r="RC7">
        <v>95.105000000000004</v>
      </c>
      <c r="RD7">
        <v>95.105000000000004</v>
      </c>
      <c r="RE7">
        <v>95.114999999999995</v>
      </c>
      <c r="RF7">
        <v>95.08</v>
      </c>
      <c r="RG7">
        <v>95.055000000000007</v>
      </c>
      <c r="RH7">
        <v>94.915000000000006</v>
      </c>
      <c r="RI7">
        <v>94.924999999999997</v>
      </c>
      <c r="RJ7">
        <v>95</v>
      </c>
      <c r="RK7">
        <v>95.1</v>
      </c>
      <c r="RL7">
        <v>95.004999999999995</v>
      </c>
      <c r="RM7">
        <v>95.055000000000007</v>
      </c>
      <c r="RN7">
        <v>95.114999999999995</v>
      </c>
      <c r="RO7">
        <v>95.094999999999999</v>
      </c>
      <c r="RP7">
        <v>95.064999999999998</v>
      </c>
      <c r="RQ7">
        <v>95.094999999999999</v>
      </c>
      <c r="RR7">
        <v>95.084999999999994</v>
      </c>
      <c r="RS7">
        <v>95.174999999999997</v>
      </c>
      <c r="RT7">
        <v>95.245000000000005</v>
      </c>
      <c r="RU7">
        <v>95.27</v>
      </c>
      <c r="RV7">
        <v>95.31</v>
      </c>
      <c r="RW7">
        <v>95.32</v>
      </c>
      <c r="RX7">
        <v>95.29</v>
      </c>
      <c r="RY7">
        <v>95.194999999999993</v>
      </c>
      <c r="RZ7">
        <v>95.204999999999998</v>
      </c>
      <c r="SA7">
        <v>95.14</v>
      </c>
      <c r="SB7">
        <v>95.16</v>
      </c>
      <c r="SC7">
        <v>95.13</v>
      </c>
      <c r="SD7">
        <v>95.09</v>
      </c>
      <c r="SE7">
        <v>95.24</v>
      </c>
      <c r="SF7">
        <v>95.18</v>
      </c>
      <c r="SG7">
        <v>95.22</v>
      </c>
      <c r="SH7">
        <v>95.265000000000001</v>
      </c>
      <c r="SI7">
        <v>95.295000000000002</v>
      </c>
      <c r="SJ7">
        <v>95.39</v>
      </c>
      <c r="SK7">
        <v>95.405000000000001</v>
      </c>
      <c r="SL7">
        <v>95.44</v>
      </c>
      <c r="SM7">
        <v>95.424999999999997</v>
      </c>
      <c r="SN7">
        <v>95.584999999999994</v>
      </c>
      <c r="SO7">
        <v>95.415000000000006</v>
      </c>
      <c r="SP7">
        <v>95.22</v>
      </c>
      <c r="SQ7">
        <v>95.254999999999995</v>
      </c>
      <c r="SR7">
        <v>95.17</v>
      </c>
      <c r="SS7">
        <v>95.09</v>
      </c>
      <c r="ST7">
        <v>95.155000000000001</v>
      </c>
      <c r="SU7">
        <v>95.174999999999997</v>
      </c>
      <c r="SV7">
        <v>95.174999999999997</v>
      </c>
      <c r="SW7">
        <v>95.24</v>
      </c>
      <c r="SX7">
        <v>95.245000000000005</v>
      </c>
      <c r="SY7">
        <v>95.44</v>
      </c>
      <c r="SZ7">
        <v>95.38</v>
      </c>
      <c r="TA7">
        <v>95.5</v>
      </c>
      <c r="TB7">
        <v>95.5</v>
      </c>
      <c r="TC7">
        <v>95.415000000000006</v>
      </c>
      <c r="TD7">
        <v>95.55</v>
      </c>
      <c r="TE7">
        <v>95.12</v>
      </c>
      <c r="TF7">
        <v>95.11</v>
      </c>
      <c r="TG7">
        <v>95.11</v>
      </c>
      <c r="TH7">
        <v>95.18</v>
      </c>
      <c r="TI7">
        <v>95.125</v>
      </c>
      <c r="TJ7">
        <v>95.18</v>
      </c>
      <c r="TK7">
        <v>95.325000000000003</v>
      </c>
      <c r="TL7">
        <v>95.314999999999998</v>
      </c>
      <c r="TM7">
        <v>95.424999999999997</v>
      </c>
      <c r="TN7">
        <v>95.405000000000001</v>
      </c>
      <c r="TO7">
        <v>95.465000000000003</v>
      </c>
      <c r="TP7">
        <v>95.534999999999997</v>
      </c>
      <c r="TQ7">
        <v>95.484999999999999</v>
      </c>
      <c r="TR7">
        <v>95.694999999999993</v>
      </c>
      <c r="TS7">
        <v>95.62</v>
      </c>
      <c r="TT7">
        <v>95.525000000000006</v>
      </c>
      <c r="TU7">
        <v>95.41</v>
      </c>
      <c r="TV7">
        <v>95.41</v>
      </c>
      <c r="TW7">
        <v>95.51</v>
      </c>
      <c r="TX7">
        <v>95.704999999999998</v>
      </c>
      <c r="TY7">
        <v>95.784999999999997</v>
      </c>
      <c r="TZ7">
        <v>95.81</v>
      </c>
      <c r="UA7">
        <v>95.855000000000004</v>
      </c>
      <c r="UB7">
        <v>95.87</v>
      </c>
      <c r="UC7">
        <v>96.025000000000006</v>
      </c>
      <c r="UD7">
        <v>96.114999999999995</v>
      </c>
      <c r="UE7">
        <v>96.204999999999998</v>
      </c>
      <c r="UF7">
        <v>96.21</v>
      </c>
      <c r="UG7">
        <v>96.325000000000003</v>
      </c>
      <c r="UH7">
        <v>96.34</v>
      </c>
      <c r="UI7">
        <v>96.185000000000002</v>
      </c>
      <c r="UJ7">
        <v>96.19</v>
      </c>
      <c r="UK7">
        <v>96.295000000000002</v>
      </c>
      <c r="UL7">
        <v>96.534999999999997</v>
      </c>
      <c r="UM7">
        <v>96.224999999999994</v>
      </c>
      <c r="UN7">
        <v>96.15</v>
      </c>
      <c r="UO7">
        <v>95.954999999999998</v>
      </c>
      <c r="UP7">
        <v>96.05</v>
      </c>
      <c r="UQ7">
        <v>96.034999999999997</v>
      </c>
      <c r="UR7">
        <v>96.234999999999999</v>
      </c>
      <c r="US7">
        <v>96.254999999999995</v>
      </c>
      <c r="UT7">
        <v>96</v>
      </c>
      <c r="UU7">
        <v>95.944999999999993</v>
      </c>
      <c r="UV7">
        <v>95.965000000000003</v>
      </c>
      <c r="UW7">
        <v>95.834999999999994</v>
      </c>
      <c r="UX7">
        <v>95.92</v>
      </c>
      <c r="UY7">
        <v>95.944999999999993</v>
      </c>
      <c r="UZ7">
        <v>96.045000000000002</v>
      </c>
      <c r="VA7">
        <v>96.19</v>
      </c>
      <c r="VB7">
        <v>96.194999999999993</v>
      </c>
      <c r="VC7">
        <v>96.11</v>
      </c>
      <c r="VD7">
        <v>96.14</v>
      </c>
      <c r="VE7">
        <v>96.174999999999997</v>
      </c>
      <c r="VF7">
        <v>96.36</v>
      </c>
      <c r="VG7">
        <v>96.474999999999994</v>
      </c>
      <c r="VH7">
        <v>96.385000000000005</v>
      </c>
      <c r="VI7">
        <v>96.18</v>
      </c>
      <c r="VJ7">
        <v>96.094999999999999</v>
      </c>
      <c r="VK7">
        <v>96.045000000000002</v>
      </c>
      <c r="VL7">
        <v>96.08</v>
      </c>
      <c r="VM7">
        <v>96.135000000000005</v>
      </c>
      <c r="VN7">
        <v>96.254999999999995</v>
      </c>
      <c r="VO7">
        <v>96.525000000000006</v>
      </c>
      <c r="VP7">
        <v>96.5</v>
      </c>
      <c r="VQ7">
        <v>96.245000000000005</v>
      </c>
      <c r="VR7">
        <v>95.995000000000005</v>
      </c>
      <c r="VS7">
        <v>96.355000000000004</v>
      </c>
      <c r="VT7">
        <v>96.43</v>
      </c>
      <c r="VU7">
        <v>96.13</v>
      </c>
      <c r="VV7">
        <v>96.31</v>
      </c>
      <c r="VW7">
        <v>95.834999999999994</v>
      </c>
      <c r="VX7">
        <v>96.09</v>
      </c>
      <c r="VY7">
        <v>95.16</v>
      </c>
      <c r="VZ7">
        <v>94.635000000000005</v>
      </c>
      <c r="WA7">
        <v>94.465000000000003</v>
      </c>
      <c r="WB7">
        <v>94.51</v>
      </c>
      <c r="WC7">
        <v>94.68</v>
      </c>
      <c r="WD7">
        <v>94.715000000000003</v>
      </c>
      <c r="WE7">
        <v>94.69</v>
      </c>
      <c r="WF7">
        <v>94.67</v>
      </c>
      <c r="WG7">
        <v>94.75</v>
      </c>
      <c r="WH7">
        <v>94.745000000000005</v>
      </c>
      <c r="WI7">
        <v>94.745000000000005</v>
      </c>
      <c r="WJ7">
        <v>94.864999999999995</v>
      </c>
      <c r="WK7">
        <v>94.86</v>
      </c>
      <c r="WL7">
        <v>94.864999999999995</v>
      </c>
      <c r="WM7">
        <v>94.98</v>
      </c>
      <c r="WN7">
        <v>94.98</v>
      </c>
      <c r="WO7">
        <v>95.02</v>
      </c>
      <c r="WP7">
        <v>94.984999999999999</v>
      </c>
      <c r="WQ7">
        <v>94.965000000000003</v>
      </c>
      <c r="WR7">
        <v>95.125</v>
      </c>
      <c r="WS7">
        <v>95.14</v>
      </c>
      <c r="WT7">
        <v>95.185000000000002</v>
      </c>
      <c r="WU7">
        <v>95.245000000000005</v>
      </c>
      <c r="WV7">
        <v>95.24</v>
      </c>
      <c r="WW7">
        <v>95.27</v>
      </c>
      <c r="WX7">
        <v>95.444999999999993</v>
      </c>
      <c r="WY7">
        <v>95.7</v>
      </c>
      <c r="WZ7">
        <v>95.68</v>
      </c>
      <c r="XA7">
        <v>95.584999999999994</v>
      </c>
      <c r="XB7">
        <v>95.534999999999997</v>
      </c>
      <c r="XC7">
        <v>95.59</v>
      </c>
      <c r="XD7">
        <v>95.62</v>
      </c>
      <c r="XE7">
        <v>95.655000000000001</v>
      </c>
      <c r="XF7">
        <v>95.6</v>
      </c>
      <c r="XG7">
        <v>95.58</v>
      </c>
      <c r="XH7">
        <v>95.655000000000001</v>
      </c>
      <c r="XI7">
        <v>95.7</v>
      </c>
      <c r="XJ7">
        <v>95.754999999999995</v>
      </c>
      <c r="XK7">
        <v>95.66</v>
      </c>
      <c r="XL7">
        <v>95.6</v>
      </c>
      <c r="XM7">
        <v>95.6</v>
      </c>
      <c r="XN7">
        <v>95.715000000000003</v>
      </c>
      <c r="XO7">
        <v>95.655000000000001</v>
      </c>
      <c r="XP7">
        <v>95.62</v>
      </c>
      <c r="XQ7">
        <v>95.665000000000006</v>
      </c>
      <c r="XR7">
        <v>95.594999999999999</v>
      </c>
      <c r="XS7">
        <v>95.394999999999996</v>
      </c>
      <c r="XT7">
        <v>95.48</v>
      </c>
      <c r="XU7">
        <v>95.49</v>
      </c>
      <c r="XV7">
        <v>95.47</v>
      </c>
      <c r="XW7">
        <v>95.47</v>
      </c>
      <c r="XX7">
        <v>95.515000000000001</v>
      </c>
      <c r="XY7">
        <v>95.515000000000001</v>
      </c>
      <c r="XZ7">
        <v>95.51</v>
      </c>
      <c r="YA7">
        <v>95.61</v>
      </c>
      <c r="YB7">
        <v>95.61</v>
      </c>
      <c r="YC7">
        <v>95.674999999999997</v>
      </c>
      <c r="YD7">
        <v>95.715000000000003</v>
      </c>
      <c r="YE7">
        <v>95.35</v>
      </c>
      <c r="YF7">
        <v>95.344999999999999</v>
      </c>
      <c r="YG7">
        <v>95.405000000000001</v>
      </c>
      <c r="YH7">
        <v>95.32</v>
      </c>
      <c r="YI7">
        <v>95.36</v>
      </c>
      <c r="YJ7">
        <v>95.37</v>
      </c>
      <c r="YK7">
        <v>95.19</v>
      </c>
      <c r="YL7">
        <v>95.234999999999999</v>
      </c>
      <c r="YM7">
        <v>95.254999999999995</v>
      </c>
      <c r="YN7">
        <v>95.314999999999998</v>
      </c>
      <c r="YO7">
        <v>95.224999999999994</v>
      </c>
      <c r="YP7">
        <v>95.17</v>
      </c>
      <c r="YQ7">
        <v>95.31</v>
      </c>
      <c r="YR7">
        <v>95.355000000000004</v>
      </c>
      <c r="YS7">
        <v>95.26</v>
      </c>
      <c r="YT7">
        <v>95.144999999999996</v>
      </c>
      <c r="YU7">
        <v>95.155000000000001</v>
      </c>
      <c r="YV7">
        <v>95.144999999999996</v>
      </c>
      <c r="YW7">
        <v>95.14</v>
      </c>
      <c r="YX7">
        <v>95.14</v>
      </c>
      <c r="YY7">
        <v>95.105000000000004</v>
      </c>
      <c r="YZ7">
        <v>95.11</v>
      </c>
      <c r="ZA7">
        <v>95.155000000000001</v>
      </c>
      <c r="ZB7">
        <v>95.234999999999999</v>
      </c>
      <c r="ZC7">
        <v>95.33</v>
      </c>
      <c r="ZD7">
        <v>95.344999999999999</v>
      </c>
      <c r="ZE7">
        <v>95.3</v>
      </c>
      <c r="ZF7">
        <v>95.37</v>
      </c>
      <c r="ZG7">
        <v>95.415000000000006</v>
      </c>
      <c r="ZH7">
        <v>95.1</v>
      </c>
      <c r="ZI7">
        <v>95.055000000000007</v>
      </c>
      <c r="ZJ7">
        <v>94.99</v>
      </c>
      <c r="ZK7">
        <v>95.055000000000007</v>
      </c>
      <c r="ZL7">
        <v>94.98</v>
      </c>
      <c r="ZM7">
        <v>95.114999999999995</v>
      </c>
      <c r="ZN7">
        <v>95.19</v>
      </c>
      <c r="ZO7">
        <v>95.26</v>
      </c>
      <c r="ZP7">
        <v>95.355000000000004</v>
      </c>
      <c r="ZQ7">
        <v>95.495000000000005</v>
      </c>
      <c r="ZR7">
        <v>95.375</v>
      </c>
      <c r="ZS7">
        <v>95.29</v>
      </c>
      <c r="ZT7">
        <v>95.26</v>
      </c>
      <c r="ZU7">
        <v>95.265000000000001</v>
      </c>
      <c r="ZV7">
        <v>95.114999999999995</v>
      </c>
      <c r="ZW7">
        <v>95.21</v>
      </c>
      <c r="ZX7">
        <v>95.325000000000003</v>
      </c>
      <c r="ZY7">
        <v>95.28</v>
      </c>
      <c r="ZZ7">
        <v>95.23</v>
      </c>
      <c r="AAA7">
        <v>95.32</v>
      </c>
      <c r="AAB7">
        <v>95.534999999999997</v>
      </c>
      <c r="AAC7">
        <v>95.5</v>
      </c>
      <c r="AAD7">
        <v>95.444999999999993</v>
      </c>
      <c r="AAE7">
        <v>95.49</v>
      </c>
      <c r="AAF7">
        <v>95.59</v>
      </c>
      <c r="AAG7">
        <v>95.704999999999998</v>
      </c>
      <c r="AAH7">
        <v>95.78</v>
      </c>
      <c r="AAI7">
        <v>95.765000000000001</v>
      </c>
      <c r="AAJ7">
        <v>95.68</v>
      </c>
      <c r="AAK7">
        <v>95.704999999999998</v>
      </c>
      <c r="AAL7">
        <v>95.765000000000001</v>
      </c>
      <c r="AAM7">
        <v>95.525000000000006</v>
      </c>
      <c r="AAN7">
        <v>95.405000000000001</v>
      </c>
      <c r="AAO7">
        <v>95.444999999999993</v>
      </c>
      <c r="AAP7">
        <v>95.54</v>
      </c>
      <c r="AAQ7">
        <v>95.72</v>
      </c>
      <c r="AAR7">
        <v>95.64</v>
      </c>
      <c r="AAS7">
        <v>95.65</v>
      </c>
      <c r="AAT7">
        <v>95.74</v>
      </c>
      <c r="AAU7">
        <v>95.69</v>
      </c>
      <c r="AAV7">
        <v>95.78</v>
      </c>
      <c r="AAW7">
        <v>95.84</v>
      </c>
      <c r="AAX7">
        <v>96.1</v>
      </c>
      <c r="AAY7">
        <v>96.1</v>
      </c>
      <c r="AAZ7">
        <v>96.19</v>
      </c>
      <c r="ABA7">
        <v>96.215000000000003</v>
      </c>
      <c r="ABB7">
        <v>96.144999999999996</v>
      </c>
      <c r="ABC7">
        <v>96.275000000000006</v>
      </c>
      <c r="ABD7">
        <v>96.275000000000006</v>
      </c>
      <c r="ABE7">
        <v>96.11</v>
      </c>
      <c r="ABF7">
        <v>96.174999999999997</v>
      </c>
      <c r="ABG7">
        <v>96.18</v>
      </c>
      <c r="ABH7">
        <v>96.24</v>
      </c>
      <c r="ABI7">
        <v>96.29</v>
      </c>
      <c r="ABJ7">
        <v>96.31</v>
      </c>
      <c r="ABK7">
        <v>96.31</v>
      </c>
      <c r="ABL7">
        <v>96.35</v>
      </c>
      <c r="ABM7">
        <v>96.305000000000007</v>
      </c>
      <c r="ABN7">
        <v>96.435000000000002</v>
      </c>
      <c r="ABO7">
        <v>96.465000000000003</v>
      </c>
      <c r="ABP7">
        <v>96.415000000000006</v>
      </c>
      <c r="ABQ7">
        <v>96.484999999999999</v>
      </c>
      <c r="ABR7">
        <v>96.52</v>
      </c>
      <c r="ABS7">
        <v>96.46</v>
      </c>
      <c r="ABT7">
        <v>96.515000000000001</v>
      </c>
      <c r="ABU7">
        <v>96.564999999999998</v>
      </c>
      <c r="ABV7">
        <v>96.51</v>
      </c>
      <c r="ABW7">
        <v>96.59</v>
      </c>
      <c r="ABX7">
        <v>96.57</v>
      </c>
      <c r="ABY7">
        <v>96.82</v>
      </c>
      <c r="ABZ7">
        <v>96.745000000000005</v>
      </c>
      <c r="ACA7">
        <v>96.81</v>
      </c>
      <c r="ACB7">
        <v>97.01</v>
      </c>
      <c r="ACC7">
        <v>97.034999999999997</v>
      </c>
      <c r="ACD7">
        <v>97.075000000000003</v>
      </c>
      <c r="ACE7">
        <v>96.974999999999994</v>
      </c>
      <c r="ACF7">
        <v>96.91</v>
      </c>
      <c r="ACG7">
        <v>96.915000000000006</v>
      </c>
      <c r="ACH7">
        <v>96.984999999999999</v>
      </c>
      <c r="ACI7">
        <v>96.844999999999999</v>
      </c>
      <c r="ACJ7">
        <v>96.644999999999996</v>
      </c>
      <c r="ACK7">
        <v>96.665000000000006</v>
      </c>
      <c r="ACL7">
        <v>96.754999999999995</v>
      </c>
      <c r="ACM7">
        <v>96.75</v>
      </c>
      <c r="ACN7">
        <v>96.715000000000003</v>
      </c>
      <c r="ACO7">
        <v>96.77</v>
      </c>
      <c r="ACP7">
        <v>96.825000000000003</v>
      </c>
      <c r="ACQ7">
        <v>96.75</v>
      </c>
      <c r="ACR7">
        <v>96.625</v>
      </c>
      <c r="ACS7">
        <v>96.745000000000005</v>
      </c>
      <c r="ACT7">
        <v>96.864999999999995</v>
      </c>
      <c r="ACU7">
        <v>97.025000000000006</v>
      </c>
      <c r="ACV7">
        <v>96.94</v>
      </c>
      <c r="ACW7">
        <v>96.94</v>
      </c>
      <c r="ACX7">
        <v>96.825000000000003</v>
      </c>
      <c r="ACY7">
        <v>96.61</v>
      </c>
      <c r="ACZ7">
        <v>96.564999999999998</v>
      </c>
      <c r="ADA7">
        <v>96.575000000000003</v>
      </c>
      <c r="ADB7">
        <v>96.63</v>
      </c>
      <c r="ADC7">
        <v>96.655000000000001</v>
      </c>
      <c r="ADD7">
        <v>96.555000000000007</v>
      </c>
      <c r="ADE7">
        <v>96.36</v>
      </c>
      <c r="ADF7">
        <v>96.344999999999999</v>
      </c>
      <c r="ADG7">
        <v>96.344999999999999</v>
      </c>
      <c r="ADH7">
        <v>96.325000000000003</v>
      </c>
      <c r="ADI7">
        <v>96.234999999999999</v>
      </c>
      <c r="ADJ7">
        <v>95.99</v>
      </c>
      <c r="ADK7">
        <v>96.09</v>
      </c>
      <c r="ADL7">
        <v>96.41</v>
      </c>
      <c r="ADM7">
        <v>96.71</v>
      </c>
      <c r="ADN7">
        <v>96.79</v>
      </c>
      <c r="ADO7">
        <v>96.825000000000003</v>
      </c>
      <c r="ADP7">
        <v>96.805000000000007</v>
      </c>
      <c r="ADQ7">
        <v>96.86</v>
      </c>
      <c r="ADR7">
        <v>96.894999999999996</v>
      </c>
      <c r="ADS7">
        <v>96.894999999999996</v>
      </c>
      <c r="ADT7">
        <v>97.03</v>
      </c>
      <c r="ADU7">
        <v>97.11</v>
      </c>
      <c r="ADV7">
        <v>97.11</v>
      </c>
      <c r="ADW7">
        <v>97.125</v>
      </c>
      <c r="ADX7">
        <v>97.12</v>
      </c>
      <c r="ADY7">
        <v>97.105000000000004</v>
      </c>
      <c r="ADZ7">
        <v>96.954999999999998</v>
      </c>
      <c r="AEA7">
        <v>96.99</v>
      </c>
      <c r="AEB7">
        <v>96.965000000000003</v>
      </c>
      <c r="AEC7">
        <v>96.924999999999997</v>
      </c>
      <c r="AED7">
        <v>96.885000000000005</v>
      </c>
      <c r="AEE7">
        <v>97.05</v>
      </c>
      <c r="AEF7">
        <v>97.03</v>
      </c>
      <c r="AEG7">
        <v>97.12</v>
      </c>
      <c r="AEH7">
        <v>96.98</v>
      </c>
      <c r="AEI7">
        <v>96.995000000000005</v>
      </c>
      <c r="AEJ7">
        <v>96.97</v>
      </c>
      <c r="AEK7">
        <v>96.825000000000003</v>
      </c>
      <c r="AEL7">
        <v>96.795000000000002</v>
      </c>
      <c r="AEM7">
        <v>96.93</v>
      </c>
      <c r="AEN7">
        <v>96.765000000000001</v>
      </c>
      <c r="AEO7">
        <v>96.82</v>
      </c>
      <c r="AEP7">
        <v>96.855000000000004</v>
      </c>
      <c r="AEQ7">
        <v>96.935000000000002</v>
      </c>
      <c r="AER7">
        <v>97.01</v>
      </c>
      <c r="AES7">
        <v>97.03</v>
      </c>
      <c r="AET7">
        <v>96.95</v>
      </c>
      <c r="AEU7">
        <v>96.814999999999998</v>
      </c>
      <c r="AEV7">
        <v>96.84</v>
      </c>
      <c r="AEW7">
        <v>96.984999999999999</v>
      </c>
      <c r="AEX7">
        <v>97</v>
      </c>
      <c r="AEY7">
        <v>97.125</v>
      </c>
      <c r="AEZ7">
        <v>97.144999999999996</v>
      </c>
      <c r="AFA7">
        <v>97.144999999999996</v>
      </c>
      <c r="AFB7">
        <v>97.26</v>
      </c>
      <c r="AFC7">
        <v>97.194999999999993</v>
      </c>
      <c r="AFD7">
        <v>97.034999999999997</v>
      </c>
      <c r="AFE7">
        <v>97.02</v>
      </c>
      <c r="AFF7">
        <v>97.1</v>
      </c>
      <c r="AFG7">
        <v>97.05</v>
      </c>
      <c r="AFH7">
        <v>97.034999999999997</v>
      </c>
      <c r="AFI7">
        <v>97.12</v>
      </c>
      <c r="AFJ7">
        <v>97.11</v>
      </c>
      <c r="AFK7">
        <v>97.275000000000006</v>
      </c>
      <c r="AFL7">
        <v>97.224999999999994</v>
      </c>
      <c r="AFM7">
        <v>97.204999999999998</v>
      </c>
      <c r="AFN7">
        <v>97.17</v>
      </c>
      <c r="AFO7">
        <v>97.23</v>
      </c>
      <c r="AFP7">
        <v>97.41</v>
      </c>
      <c r="AFQ7">
        <v>97.454999999999998</v>
      </c>
      <c r="AFR7">
        <v>97.415000000000006</v>
      </c>
      <c r="AFS7">
        <v>97.435000000000002</v>
      </c>
      <c r="AFT7">
        <v>97.644999999999996</v>
      </c>
      <c r="AFU7">
        <v>97.685000000000002</v>
      </c>
      <c r="AFV7">
        <v>97.674999999999997</v>
      </c>
      <c r="AFW7">
        <v>98.13</v>
      </c>
      <c r="AFX7">
        <v>98.125</v>
      </c>
      <c r="AFY7">
        <v>98.21</v>
      </c>
      <c r="AFZ7">
        <v>98.25</v>
      </c>
      <c r="AGA7">
        <v>98.284999999999997</v>
      </c>
      <c r="AGB7">
        <v>98.35</v>
      </c>
      <c r="AGC7">
        <v>98.44</v>
      </c>
      <c r="AGD7">
        <v>98.474999999999994</v>
      </c>
      <c r="AGE7">
        <v>98.424999999999997</v>
      </c>
      <c r="AGF7">
        <v>98.454999999999998</v>
      </c>
      <c r="AGG7">
        <v>98.75</v>
      </c>
      <c r="AGH7">
        <v>98.555000000000007</v>
      </c>
      <c r="AGI7">
        <v>98.33</v>
      </c>
      <c r="AGJ7">
        <v>98.36</v>
      </c>
      <c r="AGK7">
        <v>98.29</v>
      </c>
      <c r="AGL7">
        <v>98.314999999999998</v>
      </c>
      <c r="AGM7">
        <v>98.435000000000002</v>
      </c>
      <c r="AGN7">
        <v>98.435000000000002</v>
      </c>
      <c r="AGO7">
        <v>98.4</v>
      </c>
      <c r="AGP7">
        <v>98.344999999999999</v>
      </c>
      <c r="AGQ7">
        <v>98.29</v>
      </c>
      <c r="AGR7">
        <v>98.245000000000005</v>
      </c>
      <c r="AGS7">
        <v>98.33</v>
      </c>
      <c r="AGT7">
        <v>98.28</v>
      </c>
      <c r="AGU7">
        <v>98.55</v>
      </c>
      <c r="AGV7">
        <v>98.555000000000007</v>
      </c>
      <c r="AGW7">
        <v>98.59</v>
      </c>
      <c r="AGX7">
        <v>98.56</v>
      </c>
      <c r="AGY7">
        <v>98.694999999999993</v>
      </c>
      <c r="AGZ7">
        <v>98.734999999999999</v>
      </c>
      <c r="AHA7">
        <v>98.72</v>
      </c>
      <c r="AHB7">
        <v>98.71</v>
      </c>
      <c r="AHC7">
        <v>98.72</v>
      </c>
      <c r="AHD7">
        <v>98.72</v>
      </c>
      <c r="AHE7">
        <v>98.855000000000004</v>
      </c>
      <c r="AHF7">
        <v>98.944999999999993</v>
      </c>
      <c r="AHG7">
        <v>98.99</v>
      </c>
      <c r="AHH7">
        <v>98.93</v>
      </c>
      <c r="AHI7">
        <v>98.86</v>
      </c>
      <c r="AHJ7">
        <v>98.905000000000001</v>
      </c>
      <c r="AHK7">
        <v>98.88</v>
      </c>
      <c r="AHL7">
        <v>98.965000000000003</v>
      </c>
      <c r="AHM7">
        <v>98.965000000000003</v>
      </c>
      <c r="AHN7">
        <v>99.034999999999997</v>
      </c>
      <c r="AHO7">
        <v>99.03</v>
      </c>
      <c r="AHP7">
        <v>99.045000000000002</v>
      </c>
      <c r="AHQ7">
        <v>99.03</v>
      </c>
      <c r="AHR7">
        <v>99.075000000000003</v>
      </c>
      <c r="AHS7">
        <v>99.055000000000007</v>
      </c>
      <c r="AHT7">
        <v>99.094999999999999</v>
      </c>
      <c r="AHU7">
        <v>99.17</v>
      </c>
      <c r="AHV7">
        <v>99.144999999999996</v>
      </c>
      <c r="AHW7">
        <v>99.185000000000002</v>
      </c>
      <c r="AHX7">
        <v>99.18</v>
      </c>
      <c r="AHY7">
        <v>99.155000000000001</v>
      </c>
      <c r="AHZ7">
        <v>99.17</v>
      </c>
      <c r="AIA7">
        <v>99.165000000000006</v>
      </c>
      <c r="AIB7">
        <v>99.185000000000002</v>
      </c>
      <c r="AIC7">
        <v>99.185000000000002</v>
      </c>
      <c r="AID7">
        <v>99.21</v>
      </c>
      <c r="AIE7">
        <v>99.215000000000003</v>
      </c>
      <c r="AIF7">
        <v>99.26</v>
      </c>
      <c r="AIG7">
        <v>99.234999999999999</v>
      </c>
      <c r="AIH7">
        <v>99.254999999999995</v>
      </c>
      <c r="AII7">
        <v>99.19</v>
      </c>
      <c r="AIJ7">
        <v>99.435000000000002</v>
      </c>
      <c r="AIK7">
        <v>99.465000000000003</v>
      </c>
      <c r="AIL7">
        <v>99.45</v>
      </c>
      <c r="AIM7">
        <v>99.43</v>
      </c>
      <c r="AIN7">
        <v>99.444999999999993</v>
      </c>
      <c r="AIO7">
        <v>99.42</v>
      </c>
      <c r="AIP7">
        <v>99.47</v>
      </c>
      <c r="AIQ7">
        <v>99.504999999999995</v>
      </c>
      <c r="AIR7">
        <v>99.47</v>
      </c>
      <c r="AIS7">
        <v>99.52</v>
      </c>
      <c r="AIT7">
        <v>99.55</v>
      </c>
      <c r="AIU7">
        <v>99.58</v>
      </c>
      <c r="AIV7">
        <v>99.575000000000003</v>
      </c>
      <c r="AIW7">
        <v>99.424999999999997</v>
      </c>
      <c r="AIX7">
        <v>99.424999999999997</v>
      </c>
      <c r="AIY7">
        <v>99.465000000000003</v>
      </c>
      <c r="AIZ7">
        <v>99.44</v>
      </c>
      <c r="AJA7">
        <v>99.515000000000001</v>
      </c>
      <c r="AJB7">
        <v>99.525000000000006</v>
      </c>
      <c r="AJC7">
        <v>99.525000000000006</v>
      </c>
      <c r="AJD7">
        <v>99.504999999999995</v>
      </c>
      <c r="AJE7">
        <v>99.504999999999995</v>
      </c>
      <c r="AJF7">
        <v>99.495000000000005</v>
      </c>
      <c r="AJG7">
        <v>99.495000000000005</v>
      </c>
      <c r="AJH7">
        <v>99.54</v>
      </c>
      <c r="AJI7">
        <v>99.63</v>
      </c>
      <c r="AJJ7">
        <v>99.594999999999999</v>
      </c>
      <c r="AJK7">
        <v>99.64</v>
      </c>
      <c r="AJL7">
        <v>99.61</v>
      </c>
      <c r="AJM7">
        <v>99.555000000000007</v>
      </c>
      <c r="AJN7">
        <v>99.584999999999994</v>
      </c>
      <c r="AJO7">
        <v>99.525000000000006</v>
      </c>
      <c r="AJP7">
        <v>99.53</v>
      </c>
      <c r="AJQ7">
        <v>99.534999999999997</v>
      </c>
      <c r="AJR7">
        <v>99.55</v>
      </c>
      <c r="AJS7">
        <v>99.584999999999994</v>
      </c>
      <c r="AJT7">
        <v>99.6</v>
      </c>
      <c r="AJU7">
        <v>99.564999999999998</v>
      </c>
      <c r="AJV7">
        <v>99.61</v>
      </c>
      <c r="AJW7">
        <v>99.67</v>
      </c>
      <c r="AJX7">
        <v>99.665000000000006</v>
      </c>
      <c r="AJY7">
        <v>99.635000000000005</v>
      </c>
      <c r="AJZ7">
        <v>99.644999999999996</v>
      </c>
      <c r="AKA7">
        <v>99.704999999999998</v>
      </c>
      <c r="AKB7">
        <v>99.694999999999993</v>
      </c>
      <c r="AKC7">
        <v>99.724999999999994</v>
      </c>
      <c r="AKD7">
        <v>99.734999999999999</v>
      </c>
      <c r="AKE7">
        <v>99.76</v>
      </c>
      <c r="AKF7">
        <v>99.78</v>
      </c>
      <c r="AKG7">
        <v>99.79</v>
      </c>
      <c r="AKH7">
        <v>99.8</v>
      </c>
      <c r="AKI7">
        <v>99.81</v>
      </c>
      <c r="AKJ7">
        <v>99.81</v>
      </c>
      <c r="AKK7">
        <v>99.8</v>
      </c>
      <c r="AKL7">
        <v>99.79</v>
      </c>
      <c r="AKM7">
        <v>99.784999999999997</v>
      </c>
      <c r="AKN7">
        <v>99.784999999999997</v>
      </c>
      <c r="AKO7">
        <v>99.795000000000002</v>
      </c>
      <c r="AKP7">
        <v>99.814999999999998</v>
      </c>
      <c r="AKQ7">
        <v>99.83</v>
      </c>
      <c r="AKR7">
        <v>99.855000000000004</v>
      </c>
      <c r="AKS7">
        <v>99.855000000000004</v>
      </c>
      <c r="AKT7">
        <v>99.844999999999999</v>
      </c>
      <c r="AKU7">
        <v>99.85</v>
      </c>
      <c r="AKV7">
        <v>99.855000000000004</v>
      </c>
      <c r="AKW7">
        <v>99.93</v>
      </c>
      <c r="AKX7">
        <v>99.924999999999997</v>
      </c>
      <c r="AKY7">
        <v>99.924999999999997</v>
      </c>
      <c r="AKZ7">
        <v>99.924999999999997</v>
      </c>
      <c r="ALA7">
        <v>99.924999999999997</v>
      </c>
      <c r="ALB7">
        <v>99.924999999999997</v>
      </c>
      <c r="ALC7">
        <v>99.93</v>
      </c>
      <c r="ALD7">
        <v>99.93</v>
      </c>
      <c r="ALE7">
        <v>99.924999999999997</v>
      </c>
      <c r="ALF7">
        <v>99.924999999999997</v>
      </c>
      <c r="ALG7">
        <v>99.924999999999997</v>
      </c>
      <c r="ALH7">
        <v>99.924999999999997</v>
      </c>
      <c r="ALI7">
        <v>99.92</v>
      </c>
      <c r="ALJ7">
        <v>99.91</v>
      </c>
      <c r="ALK7">
        <v>99.905000000000001</v>
      </c>
      <c r="ALL7">
        <v>99.905000000000001</v>
      </c>
      <c r="ALM7">
        <v>99.905000000000001</v>
      </c>
      <c r="ALN7">
        <v>99.91</v>
      </c>
      <c r="ALO7">
        <v>99.905000000000001</v>
      </c>
      <c r="ALP7">
        <v>99.905000000000001</v>
      </c>
      <c r="ALQ7">
        <v>99.905000000000001</v>
      </c>
      <c r="ALR7">
        <v>99.9</v>
      </c>
      <c r="ALS7">
        <v>99.9</v>
      </c>
      <c r="ALT7">
        <v>99.894999999999996</v>
      </c>
      <c r="ALU7">
        <v>99.9</v>
      </c>
      <c r="ALV7">
        <v>99.89</v>
      </c>
      <c r="ALW7">
        <v>99.905000000000001</v>
      </c>
      <c r="ALX7">
        <v>99.905000000000001</v>
      </c>
      <c r="ALY7">
        <v>99.91</v>
      </c>
      <c r="ALZ7">
        <v>99.924999999999997</v>
      </c>
      <c r="AMA7">
        <v>99.924999999999997</v>
      </c>
      <c r="AMB7">
        <v>99.924999999999997</v>
      </c>
      <c r="AMC7">
        <v>99.91</v>
      </c>
      <c r="AMD7">
        <v>99.905000000000001</v>
      </c>
      <c r="AME7">
        <v>99.894999999999996</v>
      </c>
      <c r="AMF7">
        <v>99.9</v>
      </c>
      <c r="AMG7">
        <v>99.89</v>
      </c>
      <c r="AMH7">
        <v>99.885000000000005</v>
      </c>
      <c r="AMI7">
        <v>99.89</v>
      </c>
      <c r="AMJ7">
        <v>99.885000000000005</v>
      </c>
      <c r="AMK7">
        <v>99.894999999999996</v>
      </c>
      <c r="AML7">
        <v>99.885000000000005</v>
      </c>
      <c r="AMM7">
        <v>99.875</v>
      </c>
      <c r="AMN7">
        <v>99.88</v>
      </c>
      <c r="AMO7">
        <v>99.87</v>
      </c>
      <c r="AMP7">
        <v>99.85</v>
      </c>
      <c r="AMQ7">
        <v>99.875</v>
      </c>
      <c r="AMR7">
        <v>99.885000000000005</v>
      </c>
      <c r="AMS7">
        <v>99.894999999999996</v>
      </c>
      <c r="AMT7">
        <v>99.885000000000005</v>
      </c>
      <c r="AMU7">
        <v>99.88</v>
      </c>
      <c r="AMV7">
        <v>99.864999999999995</v>
      </c>
      <c r="AMW7">
        <v>99.864999999999995</v>
      </c>
      <c r="AMX7">
        <v>99.844999999999999</v>
      </c>
      <c r="AMY7">
        <v>99.855000000000004</v>
      </c>
      <c r="AMZ7">
        <v>99.85</v>
      </c>
      <c r="ANA7">
        <v>99.85</v>
      </c>
      <c r="ANB7">
        <v>99.84</v>
      </c>
      <c r="ANC7">
        <v>99.84</v>
      </c>
      <c r="AND7">
        <v>99.844999999999999</v>
      </c>
      <c r="ANE7">
        <v>99.86</v>
      </c>
      <c r="ANF7">
        <v>99.84</v>
      </c>
      <c r="ANG7">
        <v>99.834999999999994</v>
      </c>
      <c r="ANH7">
        <v>99.88</v>
      </c>
      <c r="ANI7">
        <v>99.885000000000005</v>
      </c>
      <c r="ANJ7">
        <v>99.94</v>
      </c>
      <c r="ANK7">
        <v>99.94</v>
      </c>
      <c r="ANL7">
        <v>99.944999999999993</v>
      </c>
      <c r="ANM7">
        <v>99.95</v>
      </c>
      <c r="ANN7">
        <v>99.95</v>
      </c>
      <c r="ANO7">
        <v>99.95</v>
      </c>
      <c r="ANP7">
        <v>99.95</v>
      </c>
      <c r="ANQ7">
        <v>99.954999999999998</v>
      </c>
      <c r="ANR7">
        <v>99.95</v>
      </c>
      <c r="ANS7">
        <v>99.95</v>
      </c>
      <c r="ANT7">
        <v>99.95</v>
      </c>
      <c r="ANU7">
        <v>99.954999999999998</v>
      </c>
      <c r="ANV7">
        <v>99.954999999999998</v>
      </c>
      <c r="ANW7">
        <v>99.954999999999998</v>
      </c>
      <c r="ANX7">
        <v>99.95</v>
      </c>
      <c r="ANY7">
        <v>99.944999999999993</v>
      </c>
      <c r="ANZ7">
        <v>99.94</v>
      </c>
      <c r="AOA7">
        <v>99.94</v>
      </c>
      <c r="AOB7">
        <v>99.94</v>
      </c>
      <c r="AOC7">
        <v>99.935000000000002</v>
      </c>
      <c r="AOD7">
        <v>99.935000000000002</v>
      </c>
      <c r="AOE7">
        <v>99.935000000000002</v>
      </c>
      <c r="AOF7">
        <v>99.935000000000002</v>
      </c>
      <c r="AOG7">
        <v>99.935000000000002</v>
      </c>
      <c r="AOH7">
        <v>99.93</v>
      </c>
      <c r="AOI7">
        <v>99.93</v>
      </c>
      <c r="AOJ7">
        <v>99.93</v>
      </c>
      <c r="AOK7">
        <v>99.935000000000002</v>
      </c>
      <c r="AOL7">
        <v>99.935000000000002</v>
      </c>
      <c r="AOM7">
        <v>99.93</v>
      </c>
      <c r="AON7">
        <v>99.924999999999997</v>
      </c>
      <c r="AOO7">
        <v>99.924999999999997</v>
      </c>
      <c r="AOP7">
        <v>99.924999999999997</v>
      </c>
      <c r="AOQ7">
        <v>99.92</v>
      </c>
      <c r="AOR7">
        <v>99.92</v>
      </c>
      <c r="AOS7">
        <v>99.92</v>
      </c>
      <c r="AOT7">
        <v>99.92</v>
      </c>
      <c r="AOU7">
        <v>99.924999999999997</v>
      </c>
      <c r="AOV7">
        <v>99.92</v>
      </c>
      <c r="AOW7">
        <v>99.92</v>
      </c>
      <c r="AOX7">
        <v>99.92</v>
      </c>
      <c r="AOY7">
        <v>99.92</v>
      </c>
      <c r="AOZ7">
        <v>99.92</v>
      </c>
      <c r="APA7">
        <v>99.924999999999997</v>
      </c>
      <c r="APB7">
        <v>99.924999999999997</v>
      </c>
      <c r="APC7">
        <v>99.924999999999997</v>
      </c>
      <c r="APD7">
        <v>99.92</v>
      </c>
      <c r="APE7">
        <v>99.92</v>
      </c>
      <c r="APF7">
        <v>99.924999999999997</v>
      </c>
      <c r="APG7">
        <v>99.92</v>
      </c>
      <c r="APH7">
        <v>99.92</v>
      </c>
      <c r="API7">
        <v>99.915000000000006</v>
      </c>
      <c r="APJ7">
        <v>99.9</v>
      </c>
      <c r="APK7">
        <v>99.915000000000006</v>
      </c>
      <c r="APL7">
        <v>99.915000000000006</v>
      </c>
      <c r="APM7">
        <v>99.92</v>
      </c>
      <c r="APN7">
        <v>99.924999999999997</v>
      </c>
      <c r="APO7">
        <v>99.93</v>
      </c>
      <c r="APP7">
        <v>99.93</v>
      </c>
      <c r="APQ7">
        <v>99.924999999999997</v>
      </c>
      <c r="APR7">
        <v>99.924999999999997</v>
      </c>
      <c r="APS7">
        <v>99.924999999999997</v>
      </c>
      <c r="APT7">
        <v>99.924999999999997</v>
      </c>
      <c r="APU7">
        <v>99.92</v>
      </c>
      <c r="APV7">
        <v>99.93</v>
      </c>
      <c r="APW7">
        <v>99.915000000000006</v>
      </c>
      <c r="APX7">
        <v>99.92</v>
      </c>
      <c r="APY7">
        <v>99.92</v>
      </c>
      <c r="APZ7">
        <v>99.92</v>
      </c>
      <c r="AQA7">
        <v>99.924999999999997</v>
      </c>
      <c r="AQB7">
        <v>99.93</v>
      </c>
      <c r="AQC7">
        <v>99.924999999999997</v>
      </c>
      <c r="AQD7">
        <v>99.93</v>
      </c>
      <c r="AQE7">
        <v>99.924999999999997</v>
      </c>
      <c r="AQF7">
        <v>99.924999999999997</v>
      </c>
      <c r="AQG7">
        <v>99.924999999999997</v>
      </c>
      <c r="AQH7">
        <v>99.93</v>
      </c>
      <c r="AQI7">
        <v>99.93</v>
      </c>
      <c r="AQJ7">
        <v>99.924999999999997</v>
      </c>
      <c r="AQK7">
        <v>99.924999999999997</v>
      </c>
      <c r="AQL7">
        <v>99.93</v>
      </c>
      <c r="AQM7">
        <v>99.935000000000002</v>
      </c>
      <c r="AQN7">
        <v>99.935000000000002</v>
      </c>
      <c r="AQO7">
        <v>99.94</v>
      </c>
      <c r="AQP7">
        <v>99.94</v>
      </c>
      <c r="AQQ7">
        <v>99.935000000000002</v>
      </c>
      <c r="AQR7">
        <v>99.94</v>
      </c>
      <c r="AQS7">
        <v>99.94</v>
      </c>
      <c r="AQT7">
        <v>99.94</v>
      </c>
      <c r="AQU7">
        <v>99.94</v>
      </c>
      <c r="AQV7">
        <v>99.94</v>
      </c>
      <c r="AQW7">
        <v>99.94</v>
      </c>
      <c r="AQX7">
        <v>99.94</v>
      </c>
      <c r="AQY7">
        <v>99.94</v>
      </c>
      <c r="AQZ7">
        <v>99.935000000000002</v>
      </c>
      <c r="ARA7">
        <v>99.935000000000002</v>
      </c>
      <c r="ARB7">
        <v>99.94</v>
      </c>
      <c r="ARC7">
        <v>99.94</v>
      </c>
      <c r="ARD7">
        <v>99.935000000000002</v>
      </c>
      <c r="ARE7">
        <v>99.94</v>
      </c>
      <c r="ARF7">
        <v>99.935000000000002</v>
      </c>
      <c r="ARG7">
        <v>99.935000000000002</v>
      </c>
      <c r="ARH7">
        <v>99.935000000000002</v>
      </c>
      <c r="ARI7">
        <v>99.935000000000002</v>
      </c>
      <c r="ARJ7">
        <v>99.935000000000002</v>
      </c>
      <c r="ARK7">
        <v>99.935000000000002</v>
      </c>
      <c r="ARL7">
        <v>99.935000000000002</v>
      </c>
      <c r="ARM7">
        <v>99.935000000000002</v>
      </c>
      <c r="ARN7">
        <v>99.93</v>
      </c>
      <c r="ARO7">
        <v>99.924999999999997</v>
      </c>
      <c r="ARP7">
        <v>99.92</v>
      </c>
      <c r="ARQ7">
        <v>99.924999999999997</v>
      </c>
      <c r="ARR7">
        <v>99.924999999999997</v>
      </c>
      <c r="ARS7">
        <v>99.92</v>
      </c>
      <c r="ART7">
        <v>99.924999999999997</v>
      </c>
      <c r="ARU7">
        <v>99.935000000000002</v>
      </c>
      <c r="ARV7">
        <v>99.94</v>
      </c>
      <c r="ARW7">
        <v>99.935000000000002</v>
      </c>
      <c r="ARX7">
        <v>99.935000000000002</v>
      </c>
      <c r="ARY7">
        <v>99.924999999999997</v>
      </c>
      <c r="ARZ7">
        <v>99.924999999999997</v>
      </c>
      <c r="ASA7">
        <v>99.924999999999997</v>
      </c>
      <c r="ASB7">
        <v>99.935000000000002</v>
      </c>
      <c r="ASC7">
        <v>99.935000000000002</v>
      </c>
      <c r="ASD7">
        <v>99.93</v>
      </c>
      <c r="ASE7">
        <v>99.93</v>
      </c>
      <c r="ASF7">
        <v>99.935000000000002</v>
      </c>
      <c r="ASG7">
        <v>99.935000000000002</v>
      </c>
      <c r="ASH7">
        <v>99.935000000000002</v>
      </c>
      <c r="ASI7">
        <v>99.94</v>
      </c>
      <c r="ASJ7">
        <v>99.944999999999993</v>
      </c>
      <c r="ASK7">
        <v>99.94</v>
      </c>
      <c r="ASL7">
        <v>99.94</v>
      </c>
      <c r="ASM7">
        <v>99.935000000000002</v>
      </c>
      <c r="ASN7">
        <v>99.93</v>
      </c>
      <c r="ASO7">
        <v>99.93</v>
      </c>
      <c r="ASP7">
        <v>99.93</v>
      </c>
      <c r="ASQ7">
        <v>99.93</v>
      </c>
      <c r="ASR7">
        <v>99.924999999999997</v>
      </c>
      <c r="ASS7">
        <v>99.924999999999997</v>
      </c>
      <c r="AST7">
        <v>99.924999999999997</v>
      </c>
      <c r="ASU7">
        <v>99.93</v>
      </c>
      <c r="ASV7">
        <v>99.935000000000002</v>
      </c>
      <c r="ASW7">
        <v>99.93</v>
      </c>
      <c r="ASX7">
        <v>99.93</v>
      </c>
      <c r="ASY7">
        <v>99.935000000000002</v>
      </c>
      <c r="ASZ7">
        <v>99.935000000000002</v>
      </c>
      <c r="ATA7">
        <v>99.94</v>
      </c>
      <c r="ATB7">
        <v>99.93</v>
      </c>
      <c r="ATC7">
        <v>99.924999999999997</v>
      </c>
      <c r="ATD7">
        <v>99.924999999999997</v>
      </c>
      <c r="ATE7">
        <v>99.924999999999997</v>
      </c>
      <c r="ATF7">
        <v>99.92</v>
      </c>
      <c r="ATG7">
        <v>99.924999999999997</v>
      </c>
      <c r="ATH7">
        <v>99.92</v>
      </c>
      <c r="ATI7">
        <v>99.924999999999997</v>
      </c>
      <c r="ATJ7">
        <v>99.92</v>
      </c>
      <c r="ATK7">
        <v>99.94</v>
      </c>
      <c r="ATL7">
        <v>99.944999999999993</v>
      </c>
      <c r="ATM7">
        <v>99.95</v>
      </c>
      <c r="ATN7">
        <v>99.94</v>
      </c>
      <c r="ATO7">
        <v>99.944999999999993</v>
      </c>
      <c r="ATP7">
        <v>99.95</v>
      </c>
      <c r="ATQ7">
        <v>99.95</v>
      </c>
      <c r="ATR7">
        <v>99.944999999999993</v>
      </c>
      <c r="ATS7">
        <v>99.944999999999993</v>
      </c>
      <c r="ATT7">
        <v>99.944999999999993</v>
      </c>
      <c r="ATU7">
        <v>99.94</v>
      </c>
      <c r="ATV7">
        <v>99.935000000000002</v>
      </c>
      <c r="ATW7">
        <v>99.94</v>
      </c>
      <c r="ATX7">
        <v>99.94</v>
      </c>
      <c r="ATY7">
        <v>99.944999999999993</v>
      </c>
      <c r="ATZ7">
        <v>99.944999999999993</v>
      </c>
      <c r="AUA7">
        <v>99.94</v>
      </c>
      <c r="AUB7">
        <v>99.944999999999993</v>
      </c>
      <c r="AUC7">
        <v>99.944999999999993</v>
      </c>
      <c r="AUD7">
        <v>99.935000000000002</v>
      </c>
      <c r="AUE7">
        <v>99.935000000000002</v>
      </c>
      <c r="AUF7">
        <v>99.944999999999993</v>
      </c>
      <c r="AUG7">
        <v>99.94</v>
      </c>
      <c r="AUH7">
        <v>99.95</v>
      </c>
      <c r="AUI7">
        <v>99.95</v>
      </c>
      <c r="AUJ7">
        <v>99.954999999999998</v>
      </c>
      <c r="AUK7">
        <v>99.954999999999998</v>
      </c>
      <c r="AUL7">
        <v>99.965000000000003</v>
      </c>
      <c r="AUM7">
        <v>99.965000000000003</v>
      </c>
      <c r="AUN7">
        <v>99.965000000000003</v>
      </c>
      <c r="AUO7">
        <v>99.965000000000003</v>
      </c>
      <c r="AUP7">
        <v>99.965000000000003</v>
      </c>
      <c r="AUQ7">
        <v>99.96</v>
      </c>
      <c r="AUR7">
        <v>99.965000000000003</v>
      </c>
      <c r="AUS7">
        <v>99.96</v>
      </c>
      <c r="AUT7">
        <v>99.954999999999998</v>
      </c>
      <c r="AUU7">
        <v>99.97</v>
      </c>
      <c r="AUV7">
        <v>99.965000000000003</v>
      </c>
      <c r="AUW7">
        <v>99.965000000000003</v>
      </c>
      <c r="AUX7">
        <v>99.965000000000003</v>
      </c>
      <c r="AUY7">
        <v>99.97</v>
      </c>
      <c r="AUZ7">
        <v>99.96</v>
      </c>
      <c r="AVA7">
        <v>99.954999999999998</v>
      </c>
      <c r="AVB7">
        <v>99.96</v>
      </c>
      <c r="AVC7">
        <v>99.96</v>
      </c>
      <c r="AVD7">
        <v>99.96</v>
      </c>
      <c r="AVE7">
        <v>99.97</v>
      </c>
      <c r="AVF7">
        <v>99.96</v>
      </c>
      <c r="AVG7">
        <v>99.97</v>
      </c>
      <c r="AVH7">
        <v>99.97</v>
      </c>
      <c r="AVI7">
        <v>99.97</v>
      </c>
      <c r="AVJ7">
        <v>99.96</v>
      </c>
      <c r="AVK7">
        <v>99.96</v>
      </c>
      <c r="AVL7">
        <v>99.965000000000003</v>
      </c>
      <c r="AVM7">
        <v>99.974999999999994</v>
      </c>
      <c r="AVN7">
        <v>99.974999999999994</v>
      </c>
      <c r="AVO7">
        <v>99.974999999999994</v>
      </c>
      <c r="AVP7">
        <v>99.974999999999994</v>
      </c>
      <c r="AVQ7">
        <v>99.97</v>
      </c>
      <c r="AVR7">
        <v>99.965000000000003</v>
      </c>
      <c r="AVS7">
        <v>99.96</v>
      </c>
      <c r="AVT7">
        <v>99.96</v>
      </c>
      <c r="AVU7">
        <v>99.965000000000003</v>
      </c>
      <c r="AVV7">
        <v>99.965000000000003</v>
      </c>
      <c r="AVW7">
        <v>99.98</v>
      </c>
      <c r="AVX7">
        <v>99.984999999999999</v>
      </c>
      <c r="AVY7">
        <v>99.995000000000005</v>
      </c>
      <c r="AVZ7">
        <v>99.995000000000005</v>
      </c>
      <c r="AWA7">
        <v>100.005</v>
      </c>
      <c r="AWB7">
        <v>100.005</v>
      </c>
      <c r="AWC7">
        <v>100.01</v>
      </c>
      <c r="AWD7">
        <v>100.01</v>
      </c>
      <c r="AWE7">
        <v>100</v>
      </c>
      <c r="AWF7">
        <v>99.995000000000005</v>
      </c>
      <c r="AWG7">
        <v>99.995000000000005</v>
      </c>
      <c r="AWH7">
        <v>100</v>
      </c>
      <c r="AWI7">
        <v>100.005</v>
      </c>
      <c r="AWJ7">
        <v>100.005</v>
      </c>
      <c r="AWK7">
        <v>100.005</v>
      </c>
      <c r="AWL7">
        <v>100</v>
      </c>
      <c r="AWM7">
        <v>100</v>
      </c>
      <c r="AWN7">
        <v>100.01</v>
      </c>
      <c r="AWO7">
        <v>100.005</v>
      </c>
      <c r="AWP7">
        <v>100.01</v>
      </c>
      <c r="AWQ7">
        <v>100.01</v>
      </c>
      <c r="AWR7">
        <v>100.015</v>
      </c>
      <c r="AWS7">
        <v>100.015</v>
      </c>
      <c r="AWT7">
        <v>100.01</v>
      </c>
      <c r="AWU7">
        <v>100.01</v>
      </c>
      <c r="AWV7">
        <v>100.01</v>
      </c>
      <c r="AWW7">
        <v>100.01</v>
      </c>
      <c r="AWX7">
        <v>100.01</v>
      </c>
      <c r="AWY7">
        <v>100.01</v>
      </c>
      <c r="AWZ7">
        <v>100.02</v>
      </c>
      <c r="AXA7">
        <v>100.01</v>
      </c>
      <c r="AXB7">
        <v>100.005</v>
      </c>
      <c r="AXC7">
        <v>99.99</v>
      </c>
      <c r="AXD7">
        <v>99.995000000000005</v>
      </c>
      <c r="AXE7">
        <v>99.995000000000005</v>
      </c>
      <c r="AXF7">
        <v>99.99</v>
      </c>
      <c r="AXG7">
        <v>99.984999999999999</v>
      </c>
      <c r="AXH7">
        <v>99.98</v>
      </c>
      <c r="AXI7">
        <v>99.974999999999994</v>
      </c>
      <c r="AXJ7">
        <v>99.95</v>
      </c>
      <c r="AXK7">
        <v>99.96</v>
      </c>
      <c r="AXL7">
        <v>99.954999999999998</v>
      </c>
      <c r="AXM7">
        <v>99.974999999999994</v>
      </c>
      <c r="AXN7">
        <v>99.96</v>
      </c>
      <c r="AXO7">
        <v>99.944999999999993</v>
      </c>
      <c r="AXP7">
        <v>99.93</v>
      </c>
      <c r="AXQ7">
        <v>99.94</v>
      </c>
      <c r="AXR7">
        <v>99.95</v>
      </c>
      <c r="AXS7">
        <v>99.954999999999998</v>
      </c>
      <c r="AXT7">
        <v>99.974999999999994</v>
      </c>
      <c r="AXU7">
        <v>99.974999999999994</v>
      </c>
      <c r="AXV7">
        <v>99.97</v>
      </c>
      <c r="AXW7">
        <v>99.965000000000003</v>
      </c>
      <c r="AXX7">
        <v>99.965000000000003</v>
      </c>
      <c r="AXY7">
        <v>99.97</v>
      </c>
      <c r="AXZ7">
        <v>99.974999999999994</v>
      </c>
      <c r="AYA7">
        <v>99.974999999999994</v>
      </c>
      <c r="AYB7">
        <v>99.974999999999994</v>
      </c>
      <c r="AYC7">
        <v>99.974999999999994</v>
      </c>
      <c r="AYD7">
        <v>99.974999999999994</v>
      </c>
      <c r="AYE7">
        <v>99.98</v>
      </c>
      <c r="AYF7">
        <v>99.995000000000005</v>
      </c>
      <c r="AYG7">
        <v>99.995000000000005</v>
      </c>
      <c r="AYH7">
        <v>99.99</v>
      </c>
      <c r="AYI7">
        <v>99.984999999999999</v>
      </c>
      <c r="AYJ7">
        <v>99.984999999999999</v>
      </c>
      <c r="AYK7">
        <v>100.005</v>
      </c>
      <c r="AYL7">
        <v>100.02500000000001</v>
      </c>
      <c r="AYM7">
        <v>99.97</v>
      </c>
      <c r="AYN7">
        <v>99.95</v>
      </c>
      <c r="AYO7">
        <v>99.95</v>
      </c>
      <c r="AYP7">
        <v>99.944999999999993</v>
      </c>
      <c r="AYQ7">
        <v>99.95</v>
      </c>
      <c r="AYR7">
        <v>99.944999999999993</v>
      </c>
      <c r="AYS7">
        <v>99.93</v>
      </c>
      <c r="AYT7">
        <v>99.93</v>
      </c>
      <c r="AYU7">
        <v>99.93</v>
      </c>
      <c r="AYV7">
        <v>99.924999999999997</v>
      </c>
      <c r="AYW7">
        <v>99.915000000000006</v>
      </c>
      <c r="AYX7">
        <v>99.915000000000006</v>
      </c>
      <c r="AYY7">
        <v>99.91</v>
      </c>
      <c r="AYZ7">
        <v>99.905000000000001</v>
      </c>
      <c r="AZA7">
        <v>99.894999999999996</v>
      </c>
      <c r="AZB7">
        <v>99.894999999999996</v>
      </c>
      <c r="AZC7">
        <v>99.885000000000005</v>
      </c>
      <c r="AZD7">
        <v>99.885000000000005</v>
      </c>
      <c r="AZE7">
        <v>99.894999999999996</v>
      </c>
      <c r="AZF7">
        <v>99.894999999999996</v>
      </c>
      <c r="AZG7">
        <v>99.88</v>
      </c>
      <c r="AZH7">
        <v>99.875</v>
      </c>
      <c r="AZI7">
        <v>99.9</v>
      </c>
      <c r="AZJ7">
        <v>99.92</v>
      </c>
      <c r="AZK7">
        <v>99.924999999999997</v>
      </c>
      <c r="AZL7">
        <v>99.91</v>
      </c>
      <c r="AZM7">
        <v>99.9</v>
      </c>
      <c r="AZN7">
        <v>99.9</v>
      </c>
      <c r="AZO7">
        <v>99.9</v>
      </c>
      <c r="AZP7">
        <v>99.89</v>
      </c>
      <c r="AZQ7">
        <v>99.864999999999995</v>
      </c>
      <c r="AZR7">
        <v>99.85</v>
      </c>
      <c r="AZS7">
        <v>99.864999999999995</v>
      </c>
      <c r="AZT7">
        <v>99.834999999999994</v>
      </c>
      <c r="AZU7">
        <v>99.795000000000002</v>
      </c>
      <c r="AZV7">
        <v>99.77</v>
      </c>
      <c r="AZW7">
        <v>99.81</v>
      </c>
      <c r="AZX7">
        <v>99.87</v>
      </c>
      <c r="AZY7">
        <v>99.855000000000004</v>
      </c>
      <c r="AZZ7">
        <v>99.834999999999994</v>
      </c>
      <c r="BAA7">
        <v>99.79</v>
      </c>
      <c r="BAB7">
        <v>99.75</v>
      </c>
      <c r="BAC7">
        <v>99.834999999999994</v>
      </c>
      <c r="BAD7">
        <v>99.745000000000005</v>
      </c>
      <c r="BAE7">
        <v>99.665000000000006</v>
      </c>
      <c r="BAF7">
        <v>99.6</v>
      </c>
      <c r="BAG7">
        <v>99.51</v>
      </c>
      <c r="BAH7">
        <v>99.4</v>
      </c>
      <c r="BAI7">
        <v>99.364999999999995</v>
      </c>
      <c r="BAJ7">
        <v>99.15</v>
      </c>
      <c r="BAK7">
        <v>99.075000000000003</v>
      </c>
      <c r="BAL7">
        <v>99.025000000000006</v>
      </c>
      <c r="BAM7">
        <v>98.98</v>
      </c>
      <c r="BAN7">
        <v>98.89</v>
      </c>
      <c r="BAO7">
        <v>98.834999999999994</v>
      </c>
      <c r="BAP7">
        <v>98.795000000000002</v>
      </c>
      <c r="BAQ7">
        <v>98.825000000000003</v>
      </c>
      <c r="BAR7">
        <v>98.795000000000002</v>
      </c>
      <c r="BAS7">
        <v>98.795000000000002</v>
      </c>
      <c r="BAT7">
        <v>98.765000000000001</v>
      </c>
      <c r="BAU7">
        <v>98.76</v>
      </c>
      <c r="BAV7">
        <v>98.784999999999997</v>
      </c>
      <c r="BAW7">
        <v>98.82</v>
      </c>
      <c r="BAX7">
        <v>98.79</v>
      </c>
      <c r="BAY7">
        <v>98.745000000000005</v>
      </c>
      <c r="BAZ7">
        <v>98.76</v>
      </c>
      <c r="BBA7">
        <v>98.79</v>
      </c>
      <c r="BBB7">
        <v>98.87</v>
      </c>
      <c r="BBC7">
        <v>98.9</v>
      </c>
      <c r="BBD7">
        <v>98.844999999999999</v>
      </c>
      <c r="BBE7">
        <v>98.81</v>
      </c>
      <c r="BBF7">
        <v>98.765000000000001</v>
      </c>
      <c r="BBG7">
        <v>98.8</v>
      </c>
      <c r="BBH7">
        <v>98.74</v>
      </c>
      <c r="BBI7">
        <v>98.7</v>
      </c>
      <c r="BBJ7">
        <v>98.685000000000002</v>
      </c>
      <c r="BBK7">
        <v>98.674999999999997</v>
      </c>
      <c r="BBL7">
        <v>98.63</v>
      </c>
      <c r="BBM7">
        <v>98.63</v>
      </c>
      <c r="BBN7">
        <v>98.64</v>
      </c>
      <c r="BBO7">
        <v>98.64</v>
      </c>
      <c r="BBP7">
        <v>98.635000000000005</v>
      </c>
      <c r="BBQ7">
        <v>98.63</v>
      </c>
      <c r="BBR7">
        <v>98.635000000000005</v>
      </c>
      <c r="BBS7">
        <v>98.635000000000005</v>
      </c>
      <c r="BBT7">
        <v>98.63</v>
      </c>
      <c r="BBU7">
        <v>98.665000000000006</v>
      </c>
      <c r="BBV7">
        <v>98.665000000000006</v>
      </c>
      <c r="BBW7">
        <v>98.67</v>
      </c>
      <c r="BBX7">
        <v>98.61</v>
      </c>
      <c r="BBY7">
        <v>98.61</v>
      </c>
      <c r="BBZ7">
        <v>98.61</v>
      </c>
      <c r="BCA7">
        <v>98.614999999999995</v>
      </c>
      <c r="BCB7">
        <v>98.614999999999995</v>
      </c>
      <c r="BCC7">
        <v>98.59</v>
      </c>
      <c r="BCD7">
        <v>98.59</v>
      </c>
      <c r="BCE7">
        <v>98.59</v>
      </c>
      <c r="BCF7">
        <v>98.58</v>
      </c>
      <c r="BCG7">
        <v>98.605000000000004</v>
      </c>
      <c r="BCH7">
        <v>98.62</v>
      </c>
      <c r="BCI7">
        <v>98.6</v>
      </c>
      <c r="BCJ7">
        <v>98.57</v>
      </c>
      <c r="BCK7">
        <v>98.57</v>
      </c>
      <c r="BCL7">
        <v>98.62</v>
      </c>
      <c r="BCM7">
        <v>98.57</v>
      </c>
      <c r="BCN7">
        <v>98.62</v>
      </c>
      <c r="BCO7">
        <v>98.6</v>
      </c>
      <c r="BCP7">
        <v>98.625</v>
      </c>
      <c r="BCQ7">
        <v>98.625</v>
      </c>
      <c r="BCR7">
        <v>98.66</v>
      </c>
      <c r="BCS7">
        <v>98.66</v>
      </c>
      <c r="BCT7">
        <v>98.715000000000003</v>
      </c>
      <c r="BCU7">
        <v>98.625</v>
      </c>
      <c r="BCV7">
        <v>98.635000000000005</v>
      </c>
      <c r="BCW7">
        <v>98.62</v>
      </c>
      <c r="BCX7">
        <v>98.62</v>
      </c>
      <c r="BCY7">
        <v>98.655000000000001</v>
      </c>
      <c r="BCZ7">
        <v>98.65</v>
      </c>
      <c r="BDA7">
        <v>98.655000000000001</v>
      </c>
      <c r="BDB7">
        <v>98.685000000000002</v>
      </c>
      <c r="BDC7">
        <v>98.715000000000003</v>
      </c>
      <c r="BDD7">
        <v>98.685000000000002</v>
      </c>
      <c r="BDE7">
        <v>98.67</v>
      </c>
      <c r="BDF7">
        <v>98.655000000000001</v>
      </c>
      <c r="BDG7">
        <v>98.665000000000006</v>
      </c>
      <c r="BDH7">
        <v>98.63</v>
      </c>
      <c r="BDI7">
        <v>98.6</v>
      </c>
      <c r="BDJ7">
        <v>98.57</v>
      </c>
      <c r="BDK7">
        <v>98.58</v>
      </c>
      <c r="BDL7">
        <v>98.57</v>
      </c>
      <c r="BDM7">
        <v>98.64</v>
      </c>
      <c r="BDN7">
        <v>98.61</v>
      </c>
      <c r="BDO7">
        <v>98.65</v>
      </c>
      <c r="BDP7">
        <v>98.69</v>
      </c>
      <c r="BDQ7">
        <v>98.754999999999995</v>
      </c>
      <c r="BDR7">
        <v>98.644999999999996</v>
      </c>
      <c r="BDS7">
        <v>98.635000000000005</v>
      </c>
      <c r="BDT7">
        <v>98.64</v>
      </c>
      <c r="BDU7">
        <v>98.66</v>
      </c>
      <c r="BDV7">
        <v>98.71</v>
      </c>
      <c r="BDW7">
        <v>98.715000000000003</v>
      </c>
      <c r="BDX7">
        <v>98.694999999999993</v>
      </c>
      <c r="BDY7">
        <v>98.67</v>
      </c>
      <c r="BDZ7">
        <v>98.7</v>
      </c>
      <c r="BEA7">
        <v>98.665000000000006</v>
      </c>
      <c r="BEB7">
        <v>98.685000000000002</v>
      </c>
      <c r="BEC7">
        <v>98.64</v>
      </c>
      <c r="BED7">
        <v>98.67</v>
      </c>
      <c r="BEE7">
        <v>98.655000000000001</v>
      </c>
      <c r="BEF7">
        <v>98.775000000000006</v>
      </c>
      <c r="BEG7">
        <v>98.84</v>
      </c>
      <c r="BEH7">
        <v>98.91</v>
      </c>
      <c r="BEI7">
        <v>98.864999999999995</v>
      </c>
      <c r="BEJ7">
        <v>98.935000000000002</v>
      </c>
      <c r="BEK7">
        <v>98.944999999999993</v>
      </c>
      <c r="BEL7">
        <v>98.834999999999994</v>
      </c>
      <c r="BEM7">
        <v>98.76</v>
      </c>
      <c r="BEN7">
        <v>98.69</v>
      </c>
      <c r="BEO7">
        <v>98.7</v>
      </c>
      <c r="BEP7">
        <v>98.685000000000002</v>
      </c>
      <c r="BEQ7">
        <v>98.674999999999997</v>
      </c>
      <c r="BER7">
        <v>98.76</v>
      </c>
      <c r="BES7">
        <v>98.665000000000006</v>
      </c>
      <c r="BET7">
        <v>98.635000000000005</v>
      </c>
      <c r="BEU7">
        <v>98.65</v>
      </c>
      <c r="BEV7">
        <v>98.63</v>
      </c>
      <c r="BEW7">
        <v>98.575000000000003</v>
      </c>
      <c r="BEX7">
        <v>98.55</v>
      </c>
      <c r="BEY7">
        <v>98.5</v>
      </c>
      <c r="BEZ7">
        <v>98.57</v>
      </c>
      <c r="BFA7">
        <v>98.644999999999996</v>
      </c>
      <c r="BFB7">
        <v>98.655000000000001</v>
      </c>
      <c r="BFC7">
        <v>98.745000000000005</v>
      </c>
      <c r="BFD7">
        <v>98.805000000000007</v>
      </c>
      <c r="BFE7">
        <v>98.805000000000007</v>
      </c>
      <c r="BFF7">
        <v>98.9</v>
      </c>
      <c r="BFG7">
        <v>98.86</v>
      </c>
      <c r="BFH7">
        <v>98.79</v>
      </c>
      <c r="BFI7">
        <v>98.79</v>
      </c>
      <c r="BFJ7">
        <v>98.765000000000001</v>
      </c>
      <c r="BFK7">
        <v>98.814999999999998</v>
      </c>
      <c r="BFL7">
        <v>98.795000000000002</v>
      </c>
      <c r="BFM7">
        <v>98.775000000000006</v>
      </c>
      <c r="BFN7">
        <v>98.805000000000007</v>
      </c>
      <c r="BFO7">
        <v>98.71</v>
      </c>
      <c r="BFP7">
        <v>98.754999999999995</v>
      </c>
      <c r="BFQ7">
        <v>98.805000000000007</v>
      </c>
      <c r="BFR7">
        <v>98.775000000000006</v>
      </c>
      <c r="BFS7">
        <v>98.834999999999994</v>
      </c>
      <c r="BFT7">
        <v>98.825000000000003</v>
      </c>
      <c r="BFU7">
        <v>98.75</v>
      </c>
      <c r="BFV7">
        <v>98.665000000000006</v>
      </c>
      <c r="BFW7">
        <v>98.77</v>
      </c>
      <c r="BFX7">
        <v>98.7</v>
      </c>
      <c r="BFY7">
        <v>98.734999999999999</v>
      </c>
      <c r="BFZ7">
        <v>98.814999999999998</v>
      </c>
      <c r="BGA7">
        <v>98.734999999999999</v>
      </c>
      <c r="BGB7">
        <v>98.79</v>
      </c>
      <c r="BGC7">
        <v>98.57</v>
      </c>
      <c r="BGD7">
        <v>98.55</v>
      </c>
      <c r="BGE7">
        <v>98.375</v>
      </c>
      <c r="BGF7">
        <v>98.444999999999993</v>
      </c>
      <c r="BGG7">
        <v>98.454999999999998</v>
      </c>
      <c r="BGH7">
        <v>98.44</v>
      </c>
      <c r="BGI7">
        <v>98.474999999999994</v>
      </c>
      <c r="BGJ7">
        <v>98.504999999999995</v>
      </c>
      <c r="BGK7">
        <v>98.5</v>
      </c>
      <c r="BGL7">
        <v>98.53</v>
      </c>
      <c r="BGM7">
        <v>98.52</v>
      </c>
      <c r="BGN7">
        <v>98.57</v>
      </c>
      <c r="BGO7">
        <v>98.484999999999999</v>
      </c>
      <c r="BGP7">
        <v>98.444999999999993</v>
      </c>
      <c r="BGQ7">
        <v>98.47</v>
      </c>
      <c r="BGR7">
        <v>98.46</v>
      </c>
      <c r="BGS7">
        <v>98.44</v>
      </c>
      <c r="BGT7">
        <v>98.47</v>
      </c>
      <c r="BGU7">
        <v>98.394999999999996</v>
      </c>
      <c r="BGV7">
        <v>98.415000000000006</v>
      </c>
      <c r="BGW7">
        <v>98.41</v>
      </c>
      <c r="BGX7">
        <v>98.53</v>
      </c>
      <c r="BGY7">
        <v>98.53</v>
      </c>
      <c r="BGZ7">
        <v>98.53</v>
      </c>
      <c r="BHA7">
        <v>98.495000000000005</v>
      </c>
      <c r="BHB7">
        <v>98.555000000000007</v>
      </c>
      <c r="BHC7">
        <v>98.57</v>
      </c>
      <c r="BHD7">
        <v>98.545000000000002</v>
      </c>
      <c r="BHE7">
        <v>98.62</v>
      </c>
      <c r="BHF7">
        <v>98.614999999999995</v>
      </c>
      <c r="BHG7">
        <v>98.564999999999998</v>
      </c>
      <c r="BHH7">
        <v>98.62</v>
      </c>
      <c r="BHI7">
        <v>98.594999999999999</v>
      </c>
      <c r="BHJ7">
        <v>98.375</v>
      </c>
      <c r="BHK7">
        <v>98.39</v>
      </c>
      <c r="BHL7">
        <v>98.424999999999997</v>
      </c>
      <c r="BHM7">
        <v>98.43</v>
      </c>
      <c r="BHN7">
        <v>98.36</v>
      </c>
      <c r="BHO7">
        <v>98.325000000000003</v>
      </c>
      <c r="BHP7">
        <v>98.35</v>
      </c>
      <c r="BHQ7">
        <v>98.4</v>
      </c>
      <c r="BHR7">
        <v>98.375</v>
      </c>
      <c r="BHS7">
        <v>98.42</v>
      </c>
      <c r="BHT7">
        <v>98.39</v>
      </c>
      <c r="BHU7">
        <v>98.415000000000006</v>
      </c>
      <c r="BHV7">
        <v>98.28</v>
      </c>
      <c r="BHW7">
        <v>98.13</v>
      </c>
      <c r="BHX7">
        <v>98.13</v>
      </c>
      <c r="BHY7">
        <v>98.09</v>
      </c>
      <c r="BHZ7">
        <v>98.05</v>
      </c>
      <c r="BIA7">
        <v>98.05</v>
      </c>
      <c r="BIB7">
        <v>98.084999999999994</v>
      </c>
      <c r="BIC7">
        <v>97.965000000000003</v>
      </c>
      <c r="BID7">
        <v>97.94</v>
      </c>
      <c r="BIE7">
        <v>97.98</v>
      </c>
      <c r="BIF7">
        <v>97.995000000000005</v>
      </c>
      <c r="BIG7">
        <v>97.99</v>
      </c>
      <c r="BIH7">
        <v>98.03</v>
      </c>
      <c r="BII7">
        <v>97.984999999999999</v>
      </c>
      <c r="BIJ7">
        <v>97.99</v>
      </c>
      <c r="BIK7">
        <v>97.905000000000001</v>
      </c>
      <c r="BIL7">
        <v>97.885000000000005</v>
      </c>
      <c r="BIM7">
        <v>97.855000000000004</v>
      </c>
      <c r="BIN7">
        <v>97.87</v>
      </c>
      <c r="BIO7">
        <v>97.844999999999999</v>
      </c>
      <c r="BIP7">
        <v>97.81</v>
      </c>
      <c r="BIQ7">
        <v>97.8</v>
      </c>
      <c r="BIR7">
        <v>97.85</v>
      </c>
      <c r="BIS7">
        <v>97.885000000000005</v>
      </c>
      <c r="BIT7">
        <v>97.864999999999995</v>
      </c>
      <c r="BIU7">
        <v>97.864999999999995</v>
      </c>
      <c r="BIV7">
        <v>97.83</v>
      </c>
      <c r="BIW7">
        <v>97.85</v>
      </c>
      <c r="BIX7">
        <v>97.805000000000007</v>
      </c>
      <c r="BIY7">
        <v>97.784999999999997</v>
      </c>
      <c r="BIZ7">
        <v>97.775000000000006</v>
      </c>
      <c r="BJA7">
        <v>97.775000000000006</v>
      </c>
      <c r="BJB7">
        <v>97.76</v>
      </c>
      <c r="BJC7">
        <v>97.75</v>
      </c>
      <c r="BJD7">
        <v>97.77</v>
      </c>
      <c r="BJE7">
        <v>97.765000000000001</v>
      </c>
      <c r="BJF7">
        <v>97.82</v>
      </c>
      <c r="BJG7">
        <v>97.85</v>
      </c>
      <c r="BJH7">
        <v>97.84</v>
      </c>
      <c r="BJI7">
        <v>97.825000000000003</v>
      </c>
      <c r="BJJ7">
        <v>97.834999999999994</v>
      </c>
      <c r="BJK7">
        <v>97.844999999999999</v>
      </c>
      <c r="BJL7">
        <v>97.855000000000004</v>
      </c>
      <c r="BJM7">
        <v>97.875</v>
      </c>
      <c r="BJN7">
        <v>97.864999999999995</v>
      </c>
      <c r="BJO7">
        <v>97.93</v>
      </c>
      <c r="BJP7">
        <v>97.984999999999999</v>
      </c>
      <c r="BJQ7">
        <v>98.004999999999995</v>
      </c>
      <c r="BJR7">
        <v>97.954999999999998</v>
      </c>
      <c r="BJS7">
        <v>97.984999999999999</v>
      </c>
      <c r="BJT7">
        <v>97.88</v>
      </c>
      <c r="BJU7">
        <v>97.765000000000001</v>
      </c>
      <c r="BJV7">
        <v>97.754999999999995</v>
      </c>
      <c r="BJW7">
        <v>97.64</v>
      </c>
      <c r="BJX7">
        <v>97.655000000000001</v>
      </c>
      <c r="BJY7">
        <v>97.66</v>
      </c>
      <c r="BJZ7">
        <v>97.64</v>
      </c>
      <c r="BKA7">
        <v>97.64</v>
      </c>
      <c r="BKB7">
        <v>97.635000000000005</v>
      </c>
      <c r="BKC7">
        <v>97.614999999999995</v>
      </c>
      <c r="BKD7">
        <v>97.62</v>
      </c>
      <c r="BKE7">
        <v>97.614999999999995</v>
      </c>
      <c r="BKF7">
        <v>97.56</v>
      </c>
      <c r="BKG7">
        <v>97.53</v>
      </c>
      <c r="BKH7">
        <v>97.534999999999997</v>
      </c>
      <c r="BKI7">
        <v>97.525000000000006</v>
      </c>
      <c r="BKJ7">
        <v>97.57</v>
      </c>
      <c r="BKK7">
        <v>97.584999999999994</v>
      </c>
      <c r="BKL7">
        <v>97.605000000000004</v>
      </c>
      <c r="BKM7">
        <v>97.59</v>
      </c>
      <c r="BKN7">
        <v>97.594999999999999</v>
      </c>
      <c r="BKO7">
        <v>97.57</v>
      </c>
      <c r="BKP7">
        <v>97.59</v>
      </c>
      <c r="BKQ7">
        <v>97.58</v>
      </c>
      <c r="BKR7">
        <v>97.57</v>
      </c>
      <c r="BKS7">
        <v>97.57</v>
      </c>
      <c r="BKT7">
        <v>97.575000000000003</v>
      </c>
      <c r="BKU7">
        <v>97.545000000000002</v>
      </c>
      <c r="BKV7">
        <v>97.59</v>
      </c>
      <c r="BKW7">
        <v>97.614999999999995</v>
      </c>
      <c r="BKX7">
        <v>97.63</v>
      </c>
      <c r="BKY7">
        <v>97.614999999999995</v>
      </c>
      <c r="BKZ7">
        <v>97.584999999999994</v>
      </c>
      <c r="BLA7">
        <v>97.584999999999994</v>
      </c>
      <c r="BLB7">
        <v>97.58</v>
      </c>
      <c r="BLC7">
        <v>97.605000000000004</v>
      </c>
      <c r="BLD7">
        <v>97.63</v>
      </c>
      <c r="BLE7">
        <v>97.564999999999998</v>
      </c>
      <c r="BLF7">
        <v>97.53</v>
      </c>
      <c r="BLG7">
        <v>97.53</v>
      </c>
      <c r="BLH7">
        <v>97.52</v>
      </c>
      <c r="BLI7">
        <v>97.545000000000002</v>
      </c>
      <c r="BLJ7">
        <v>97.534999999999997</v>
      </c>
      <c r="BLK7">
        <v>97.54</v>
      </c>
      <c r="BLL7">
        <v>97.5</v>
      </c>
      <c r="BLM7">
        <v>97.5</v>
      </c>
      <c r="BLN7">
        <v>97.555000000000007</v>
      </c>
      <c r="BLO7">
        <v>97.584999999999994</v>
      </c>
      <c r="BLP7">
        <v>97.605000000000004</v>
      </c>
      <c r="BLQ7">
        <v>97.59</v>
      </c>
      <c r="BLR7">
        <v>97.594999999999999</v>
      </c>
      <c r="BLS7">
        <v>97.58</v>
      </c>
      <c r="BLT7">
        <v>97.584999999999994</v>
      </c>
      <c r="BLU7">
        <v>97.58</v>
      </c>
      <c r="BLV7">
        <v>97.644999999999996</v>
      </c>
      <c r="BLW7">
        <v>97.685000000000002</v>
      </c>
      <c r="BLX7">
        <v>97.754999999999995</v>
      </c>
      <c r="BLY7">
        <v>97.605000000000004</v>
      </c>
      <c r="BLZ7">
        <v>97.614999999999995</v>
      </c>
      <c r="BMA7">
        <v>97.614999999999995</v>
      </c>
      <c r="BMB7">
        <v>97.61</v>
      </c>
      <c r="BMC7">
        <v>97.6</v>
      </c>
      <c r="BMD7">
        <v>97.545000000000002</v>
      </c>
      <c r="BME7">
        <v>97.525000000000006</v>
      </c>
      <c r="BMF7">
        <v>97.525000000000006</v>
      </c>
      <c r="BMG7">
        <v>97.47</v>
      </c>
      <c r="BMH7">
        <v>97.435000000000002</v>
      </c>
      <c r="BMI7">
        <v>97.45</v>
      </c>
      <c r="BMJ7">
        <v>97.465000000000003</v>
      </c>
      <c r="BMK7">
        <v>97.43</v>
      </c>
      <c r="BML7">
        <v>97.405000000000001</v>
      </c>
      <c r="BMM7">
        <v>97.38</v>
      </c>
      <c r="BMN7">
        <v>97.385000000000005</v>
      </c>
      <c r="BMO7">
        <v>97.405000000000001</v>
      </c>
      <c r="BMP7">
        <v>97.444999999999993</v>
      </c>
      <c r="BMQ7">
        <v>97.424999999999997</v>
      </c>
      <c r="BMR7">
        <v>97.394999999999996</v>
      </c>
      <c r="BMS7">
        <v>97.31</v>
      </c>
      <c r="BMT7">
        <v>97.31</v>
      </c>
      <c r="BMU7">
        <v>97.295000000000002</v>
      </c>
      <c r="BMV7">
        <v>97.314999999999998</v>
      </c>
      <c r="BMW7">
        <v>97.314999999999998</v>
      </c>
      <c r="BMX7">
        <v>97.314999999999998</v>
      </c>
      <c r="BMY7">
        <v>97.28</v>
      </c>
      <c r="BMZ7">
        <v>97.27</v>
      </c>
      <c r="BNA7">
        <v>97.28</v>
      </c>
      <c r="BNB7">
        <v>97.28</v>
      </c>
      <c r="BNC7">
        <v>97.28</v>
      </c>
      <c r="BND7">
        <v>97.28</v>
      </c>
      <c r="BNE7">
        <v>97.284999999999997</v>
      </c>
      <c r="BNF7">
        <v>97.254999999999995</v>
      </c>
      <c r="BNG7">
        <v>97.21</v>
      </c>
      <c r="BNH7">
        <v>97.204999999999998</v>
      </c>
      <c r="BNI7">
        <v>97.165000000000006</v>
      </c>
      <c r="BNJ7">
        <v>97.144999999999996</v>
      </c>
      <c r="BNK7">
        <v>97.125</v>
      </c>
      <c r="BNL7">
        <v>97.11</v>
      </c>
      <c r="BNM7">
        <v>97.135000000000005</v>
      </c>
      <c r="BNN7">
        <v>97.144999999999996</v>
      </c>
      <c r="BNO7">
        <v>97.155000000000001</v>
      </c>
      <c r="BNP7">
        <v>97.16</v>
      </c>
      <c r="BNQ7">
        <v>97.194999999999993</v>
      </c>
      <c r="BNR7">
        <v>97.185000000000002</v>
      </c>
      <c r="BNS7">
        <v>97.215000000000003</v>
      </c>
      <c r="BNT7">
        <v>97.215000000000003</v>
      </c>
      <c r="BNU7">
        <v>97.22</v>
      </c>
      <c r="BNV7">
        <v>97.174999999999997</v>
      </c>
      <c r="BNW7">
        <v>97.174999999999997</v>
      </c>
      <c r="BNX7">
        <v>97.16</v>
      </c>
      <c r="BNY7">
        <v>97.13</v>
      </c>
      <c r="BNZ7">
        <v>97.125</v>
      </c>
      <c r="BOA7">
        <v>97.144999999999996</v>
      </c>
      <c r="BOB7">
        <v>97.135000000000005</v>
      </c>
      <c r="BOC7">
        <v>97.135000000000005</v>
      </c>
      <c r="BOD7">
        <v>97.14</v>
      </c>
      <c r="BOE7">
        <v>97.15</v>
      </c>
      <c r="BOF7">
        <v>97.14</v>
      </c>
      <c r="BOG7">
        <v>97.1</v>
      </c>
      <c r="BOH7">
        <v>97.09</v>
      </c>
      <c r="BOI7">
        <v>97.09</v>
      </c>
      <c r="BOJ7">
        <v>97.094999999999999</v>
      </c>
      <c r="BOK7">
        <v>97.11</v>
      </c>
      <c r="BOL7">
        <v>97.135000000000005</v>
      </c>
      <c r="BOM7">
        <v>97.174999999999997</v>
      </c>
      <c r="BON7">
        <v>97.165000000000006</v>
      </c>
      <c r="BOO7">
        <v>97.165000000000006</v>
      </c>
      <c r="BOP7">
        <v>97.15</v>
      </c>
      <c r="BOQ7">
        <v>97.15</v>
      </c>
      <c r="BOR7">
        <v>97.14</v>
      </c>
      <c r="BOS7">
        <v>97.15</v>
      </c>
      <c r="BOT7">
        <v>97.15</v>
      </c>
      <c r="BOU7">
        <v>97.14</v>
      </c>
      <c r="BOV7">
        <v>97.15</v>
      </c>
      <c r="BOW7">
        <v>97.254999999999995</v>
      </c>
      <c r="BOX7">
        <v>97.265000000000001</v>
      </c>
      <c r="BOY7">
        <v>97.27</v>
      </c>
      <c r="BOZ7">
        <v>97.295000000000002</v>
      </c>
      <c r="BPA7">
        <v>97.314999999999998</v>
      </c>
      <c r="BPB7">
        <v>97.31</v>
      </c>
      <c r="BPC7">
        <v>97.34</v>
      </c>
      <c r="BPD7">
        <v>97.34</v>
      </c>
      <c r="BPE7">
        <v>97.394999999999996</v>
      </c>
      <c r="BPF7">
        <v>97.385000000000005</v>
      </c>
      <c r="BPG7">
        <v>97.39</v>
      </c>
      <c r="BPH7">
        <v>97.405000000000001</v>
      </c>
      <c r="BPI7">
        <v>97.405000000000001</v>
      </c>
      <c r="BPJ7">
        <v>97.38</v>
      </c>
      <c r="BPK7">
        <v>97.37</v>
      </c>
      <c r="BPL7">
        <v>97.385000000000005</v>
      </c>
      <c r="BPM7">
        <v>97.4</v>
      </c>
      <c r="BPN7">
        <v>97.42</v>
      </c>
      <c r="BPO7">
        <v>97.43</v>
      </c>
      <c r="BPP7">
        <v>97.45</v>
      </c>
      <c r="BPQ7">
        <v>97.444999999999993</v>
      </c>
      <c r="BPR7">
        <v>97.454999999999998</v>
      </c>
      <c r="BPS7">
        <v>97.43</v>
      </c>
      <c r="BPT7">
        <v>97.424999999999997</v>
      </c>
      <c r="BPU7">
        <v>97.444999999999993</v>
      </c>
      <c r="BPV7">
        <v>97.41</v>
      </c>
      <c r="BPW7">
        <v>97.44</v>
      </c>
      <c r="BPX7">
        <v>97.45</v>
      </c>
      <c r="BPY7">
        <v>97.39</v>
      </c>
      <c r="BPZ7">
        <v>97.375</v>
      </c>
      <c r="BQA7">
        <v>97.37</v>
      </c>
      <c r="BQB7">
        <v>97.375</v>
      </c>
      <c r="BQC7">
        <v>97.364999999999995</v>
      </c>
      <c r="BQD7">
        <v>97.355000000000004</v>
      </c>
      <c r="BQE7">
        <v>97.35</v>
      </c>
      <c r="BQF7">
        <v>97.355000000000004</v>
      </c>
      <c r="BQG7">
        <v>97.355000000000004</v>
      </c>
      <c r="BQH7">
        <v>97.355000000000004</v>
      </c>
      <c r="BQI7">
        <v>97.35</v>
      </c>
      <c r="BQJ7">
        <v>97.38</v>
      </c>
      <c r="BQK7">
        <v>97.38</v>
      </c>
      <c r="BQL7">
        <v>97.39</v>
      </c>
      <c r="BQM7">
        <v>97.42</v>
      </c>
      <c r="BQN7">
        <v>97.424999999999997</v>
      </c>
      <c r="BQO7">
        <v>97.424999999999997</v>
      </c>
      <c r="BQP7">
        <v>97.43</v>
      </c>
      <c r="BQQ7">
        <v>97.454999999999998</v>
      </c>
      <c r="BQR7">
        <v>97.47</v>
      </c>
      <c r="BQS7">
        <v>97.465000000000003</v>
      </c>
      <c r="BQT7">
        <v>97.48</v>
      </c>
      <c r="BQU7">
        <v>97.48</v>
      </c>
      <c r="BQV7">
        <v>97.495000000000005</v>
      </c>
      <c r="BQW7">
        <v>97.515000000000001</v>
      </c>
      <c r="BQX7">
        <v>97.5</v>
      </c>
      <c r="BQY7">
        <v>97.52</v>
      </c>
      <c r="BQZ7">
        <v>97.52</v>
      </c>
      <c r="BRA7">
        <v>97.515000000000001</v>
      </c>
      <c r="BRB7">
        <v>97.515000000000001</v>
      </c>
      <c r="BRC7">
        <v>97.515000000000001</v>
      </c>
      <c r="BRD7">
        <v>97.515000000000001</v>
      </c>
      <c r="BRE7">
        <v>97.48</v>
      </c>
      <c r="BRF7">
        <v>97.465000000000003</v>
      </c>
      <c r="BRG7">
        <v>97.444999999999993</v>
      </c>
      <c r="BRH7">
        <v>97.444999999999993</v>
      </c>
      <c r="BRI7">
        <v>97.435000000000002</v>
      </c>
      <c r="BRJ7">
        <v>97.44</v>
      </c>
      <c r="BRK7">
        <v>97.41</v>
      </c>
      <c r="BRL7">
        <v>97.42</v>
      </c>
      <c r="BRM7">
        <v>97.405000000000001</v>
      </c>
      <c r="BRN7">
        <v>97.405000000000001</v>
      </c>
      <c r="BRO7">
        <v>97.44</v>
      </c>
      <c r="BRP7">
        <v>97.45</v>
      </c>
      <c r="BRQ7">
        <v>97.465000000000003</v>
      </c>
      <c r="BRR7">
        <v>97.45</v>
      </c>
      <c r="BRS7">
        <v>97.44</v>
      </c>
      <c r="BRT7">
        <v>97.48</v>
      </c>
      <c r="BRU7">
        <v>97.47</v>
      </c>
      <c r="BRV7">
        <v>97.53</v>
      </c>
      <c r="BRW7">
        <v>97.605000000000004</v>
      </c>
      <c r="BRX7">
        <v>97.614999999999995</v>
      </c>
      <c r="BRY7">
        <v>97.71</v>
      </c>
      <c r="BRZ7">
        <v>97.495000000000005</v>
      </c>
      <c r="BSA7">
        <v>97.495000000000005</v>
      </c>
      <c r="BSB7">
        <v>97.465000000000003</v>
      </c>
      <c r="BSC7">
        <v>97.435000000000002</v>
      </c>
      <c r="BSD7">
        <v>97.385000000000005</v>
      </c>
      <c r="BSE7">
        <v>97.375</v>
      </c>
      <c r="BSF7">
        <v>97.385000000000005</v>
      </c>
      <c r="BSG7">
        <v>97.364999999999995</v>
      </c>
      <c r="BSH7">
        <v>97.364999999999995</v>
      </c>
      <c r="BSI7">
        <v>97.37</v>
      </c>
      <c r="BSJ7">
        <v>97.4</v>
      </c>
      <c r="BSK7">
        <v>97.4</v>
      </c>
      <c r="BSL7">
        <v>97.415000000000006</v>
      </c>
      <c r="BSM7">
        <v>97.435000000000002</v>
      </c>
      <c r="BSN7">
        <v>97.45</v>
      </c>
      <c r="BSO7">
        <v>97.46</v>
      </c>
      <c r="BSP7">
        <v>97.435000000000002</v>
      </c>
      <c r="BSQ7" t="s">
        <v>6984</v>
      </c>
      <c r="BSR7" t="s">
        <v>6984</v>
      </c>
      <c r="BSS7" t="s">
        <v>6984</v>
      </c>
      <c r="BST7" t="s">
        <v>6984</v>
      </c>
      <c r="BSU7" t="s">
        <v>6984</v>
      </c>
      <c r="BSV7" t="s">
        <v>6984</v>
      </c>
      <c r="BSW7" t="s">
        <v>6984</v>
      </c>
      <c r="BSX7" t="s">
        <v>6984</v>
      </c>
      <c r="BSY7" t="s">
        <v>6984</v>
      </c>
      <c r="BSZ7" t="s">
        <v>6984</v>
      </c>
      <c r="BTA7" t="s">
        <v>6984</v>
      </c>
      <c r="BTB7" t="s">
        <v>6984</v>
      </c>
      <c r="BTC7" t="s">
        <v>6984</v>
      </c>
      <c r="BTD7" t="s">
        <v>6984</v>
      </c>
      <c r="BTE7" t="s">
        <v>6984</v>
      </c>
      <c r="BTF7" t="s">
        <v>6984</v>
      </c>
      <c r="BTG7" t="s">
        <v>6984</v>
      </c>
      <c r="BTH7" t="s">
        <v>6984</v>
      </c>
      <c r="BTI7" t="s">
        <v>6984</v>
      </c>
      <c r="BTJ7" t="s">
        <v>6984</v>
      </c>
      <c r="BTK7" t="s">
        <v>6984</v>
      </c>
      <c r="BTL7" t="s">
        <v>6984</v>
      </c>
      <c r="BTM7" t="s">
        <v>6984</v>
      </c>
      <c r="BTN7" t="s">
        <v>6984</v>
      </c>
      <c r="BTO7" t="s">
        <v>6984</v>
      </c>
      <c r="BTP7" t="s">
        <v>6984</v>
      </c>
      <c r="BTQ7" t="s">
        <v>6984</v>
      </c>
      <c r="BTR7" t="s">
        <v>6984</v>
      </c>
      <c r="BTS7" t="s">
        <v>6984</v>
      </c>
      <c r="BTT7" t="s">
        <v>6984</v>
      </c>
      <c r="BTU7" t="s">
        <v>6984</v>
      </c>
      <c r="BTV7" t="s">
        <v>6984</v>
      </c>
      <c r="BTW7" t="s">
        <v>6984</v>
      </c>
      <c r="BTX7" t="s">
        <v>6984</v>
      </c>
      <c r="BTY7" t="s">
        <v>6984</v>
      </c>
      <c r="BTZ7" t="s">
        <v>6984</v>
      </c>
      <c r="BUA7" t="s">
        <v>6984</v>
      </c>
      <c r="BUB7" t="s">
        <v>6984</v>
      </c>
      <c r="BUC7" t="s">
        <v>6984</v>
      </c>
      <c r="BUD7" t="s">
        <v>6984</v>
      </c>
      <c r="BUE7" t="s">
        <v>6984</v>
      </c>
      <c r="BUF7" t="s">
        <v>6984</v>
      </c>
      <c r="BUG7" t="s">
        <v>6984</v>
      </c>
      <c r="BUH7" t="s">
        <v>6984</v>
      </c>
      <c r="BUI7" t="s">
        <v>6984</v>
      </c>
      <c r="BUJ7" t="s">
        <v>6984</v>
      </c>
      <c r="BUK7" t="s">
        <v>6984</v>
      </c>
      <c r="BUL7" t="s">
        <v>6984</v>
      </c>
      <c r="BUM7" t="s">
        <v>6984</v>
      </c>
      <c r="BUN7" t="s">
        <v>6984</v>
      </c>
      <c r="BUO7" t="s">
        <v>6984</v>
      </c>
      <c r="BUP7" t="s">
        <v>6984</v>
      </c>
      <c r="BUQ7" t="s">
        <v>6984</v>
      </c>
      <c r="BUR7" t="s">
        <v>6984</v>
      </c>
      <c r="BUS7" t="s">
        <v>6984</v>
      </c>
      <c r="BUT7" t="s">
        <v>6984</v>
      </c>
      <c r="BUU7" t="s">
        <v>6984</v>
      </c>
      <c r="BUV7" t="s">
        <v>6984</v>
      </c>
      <c r="BUW7" t="s">
        <v>6984</v>
      </c>
      <c r="BUX7" t="s">
        <v>6984</v>
      </c>
      <c r="BUY7" t="s">
        <v>6984</v>
      </c>
      <c r="BUZ7" t="s">
        <v>6984</v>
      </c>
      <c r="BVA7" t="s">
        <v>6984</v>
      </c>
      <c r="BVB7" t="s">
        <v>6984</v>
      </c>
      <c r="BVC7" t="s">
        <v>6984</v>
      </c>
      <c r="BVD7" t="s">
        <v>6984</v>
      </c>
      <c r="BVE7" t="s">
        <v>6984</v>
      </c>
      <c r="BVF7" t="s">
        <v>6984</v>
      </c>
      <c r="BVG7" t="s">
        <v>6984</v>
      </c>
      <c r="BVH7" t="s">
        <v>6984</v>
      </c>
      <c r="BVI7" t="s">
        <v>6984</v>
      </c>
      <c r="BVJ7" t="s">
        <v>6984</v>
      </c>
      <c r="BVK7" t="s">
        <v>6984</v>
      </c>
      <c r="BVL7" t="s">
        <v>6984</v>
      </c>
      <c r="BVM7" t="s">
        <v>6984</v>
      </c>
      <c r="BVN7" t="s">
        <v>6984</v>
      </c>
      <c r="BVO7" t="s">
        <v>6984</v>
      </c>
      <c r="BVP7" t="s">
        <v>6984</v>
      </c>
      <c r="BVQ7" t="s">
        <v>6984</v>
      </c>
      <c r="BVR7" t="s">
        <v>6984</v>
      </c>
      <c r="BVS7" t="s">
        <v>6984</v>
      </c>
      <c r="BVT7" t="s">
        <v>6984</v>
      </c>
      <c r="BVU7" t="s">
        <v>6984</v>
      </c>
      <c r="BVV7" t="s">
        <v>6984</v>
      </c>
      <c r="BVW7" t="s">
        <v>6984</v>
      </c>
      <c r="BVX7" t="s">
        <v>6984</v>
      </c>
      <c r="BVY7" t="s">
        <v>6984</v>
      </c>
      <c r="BVZ7" t="s">
        <v>6984</v>
      </c>
      <c r="BWA7" t="s">
        <v>6984</v>
      </c>
      <c r="BWB7" t="s">
        <v>6984</v>
      </c>
      <c r="BWC7" t="s">
        <v>6984</v>
      </c>
      <c r="BWD7" t="s">
        <v>6984</v>
      </c>
      <c r="BWE7" t="s">
        <v>6984</v>
      </c>
      <c r="BWF7" t="s">
        <v>6984</v>
      </c>
      <c r="BWG7" t="s">
        <v>6984</v>
      </c>
      <c r="BWH7" t="s">
        <v>6984</v>
      </c>
      <c r="BWI7" t="s">
        <v>6984</v>
      </c>
      <c r="BWJ7" t="s">
        <v>6984</v>
      </c>
      <c r="BWK7" t="s">
        <v>6984</v>
      </c>
      <c r="BWL7" t="s">
        <v>6984</v>
      </c>
      <c r="BWM7" t="s">
        <v>6984</v>
      </c>
      <c r="BWN7" t="s">
        <v>6984</v>
      </c>
      <c r="BWO7" t="s">
        <v>6984</v>
      </c>
      <c r="BWP7" t="s">
        <v>6984</v>
      </c>
      <c r="BWQ7" t="s">
        <v>6984</v>
      </c>
      <c r="BWR7" t="s">
        <v>6984</v>
      </c>
      <c r="BWS7" t="s">
        <v>6984</v>
      </c>
      <c r="BWT7" t="s">
        <v>6984</v>
      </c>
      <c r="BWU7" t="s">
        <v>6984</v>
      </c>
      <c r="BWV7" t="s">
        <v>6984</v>
      </c>
      <c r="BWW7" t="s">
        <v>6984</v>
      </c>
      <c r="BWX7" t="s">
        <v>6984</v>
      </c>
      <c r="BWY7" t="s">
        <v>6984</v>
      </c>
      <c r="BWZ7" t="s">
        <v>6984</v>
      </c>
      <c r="BXA7" t="s">
        <v>6984</v>
      </c>
      <c r="BXB7" t="s">
        <v>6984</v>
      </c>
      <c r="BXC7" t="s">
        <v>6984</v>
      </c>
      <c r="BXD7" t="s">
        <v>6984</v>
      </c>
      <c r="BXE7" t="s">
        <v>6984</v>
      </c>
      <c r="BXF7" t="s">
        <v>6984</v>
      </c>
      <c r="BXG7" t="s">
        <v>6984</v>
      </c>
      <c r="BXH7" t="s">
        <v>6984</v>
      </c>
      <c r="BXI7" t="s">
        <v>6984</v>
      </c>
      <c r="BXJ7" t="s">
        <v>6984</v>
      </c>
      <c r="BXK7" t="s">
        <v>6984</v>
      </c>
      <c r="BXL7" t="s">
        <v>6984</v>
      </c>
      <c r="BXM7" t="s">
        <v>6984</v>
      </c>
      <c r="BXN7" t="s">
        <v>6984</v>
      </c>
      <c r="BXO7" t="s">
        <v>6984</v>
      </c>
      <c r="BXP7" t="s">
        <v>6984</v>
      </c>
      <c r="BXQ7" t="s">
        <v>6984</v>
      </c>
      <c r="BXR7" t="s">
        <v>6984</v>
      </c>
      <c r="BXS7" t="s">
        <v>6984</v>
      </c>
      <c r="BXT7" t="s">
        <v>6984</v>
      </c>
      <c r="BXU7" t="s">
        <v>6984</v>
      </c>
      <c r="BXV7" t="s">
        <v>6984</v>
      </c>
      <c r="BXW7" t="s">
        <v>6984</v>
      </c>
      <c r="BXX7" t="s">
        <v>6984</v>
      </c>
      <c r="BXY7" t="s">
        <v>6984</v>
      </c>
      <c r="BXZ7" t="s">
        <v>6984</v>
      </c>
      <c r="BYA7" t="s">
        <v>6984</v>
      </c>
      <c r="BYB7" t="s">
        <v>6984</v>
      </c>
      <c r="BYC7" t="s">
        <v>6984</v>
      </c>
      <c r="BYD7" t="s">
        <v>6984</v>
      </c>
      <c r="BYE7" t="s">
        <v>6984</v>
      </c>
      <c r="BYF7" t="s">
        <v>6984</v>
      </c>
      <c r="BYG7" t="s">
        <v>6984</v>
      </c>
      <c r="BYH7" t="s">
        <v>6984</v>
      </c>
      <c r="BYI7" t="s">
        <v>6984</v>
      </c>
      <c r="BYJ7" t="s">
        <v>6984</v>
      </c>
      <c r="BYK7" t="s">
        <v>6984</v>
      </c>
      <c r="BYL7" t="s">
        <v>6984</v>
      </c>
      <c r="BYM7" t="s">
        <v>6984</v>
      </c>
      <c r="BYN7" t="s">
        <v>6984</v>
      </c>
      <c r="BYO7" t="s">
        <v>6984</v>
      </c>
      <c r="BYP7" t="s">
        <v>6984</v>
      </c>
      <c r="BYQ7" t="s">
        <v>6984</v>
      </c>
      <c r="BYR7" t="s">
        <v>6984</v>
      </c>
      <c r="BYS7" t="s">
        <v>6984</v>
      </c>
      <c r="BYT7" t="s">
        <v>6984</v>
      </c>
      <c r="BYU7" t="s">
        <v>6984</v>
      </c>
      <c r="BYV7" t="s">
        <v>6984</v>
      </c>
      <c r="BYW7" t="s">
        <v>6984</v>
      </c>
      <c r="BYX7" t="s">
        <v>6984</v>
      </c>
      <c r="BYY7" t="s">
        <v>6984</v>
      </c>
      <c r="BYZ7" t="s">
        <v>6984</v>
      </c>
      <c r="BZA7" t="s">
        <v>6984</v>
      </c>
      <c r="BZB7" t="s">
        <v>6984</v>
      </c>
      <c r="BZC7" t="s">
        <v>6984</v>
      </c>
      <c r="BZD7" t="s">
        <v>6984</v>
      </c>
      <c r="BZE7" t="s">
        <v>6984</v>
      </c>
      <c r="BZF7" t="s">
        <v>6984</v>
      </c>
      <c r="BZG7" t="s">
        <v>6984</v>
      </c>
      <c r="BZH7" t="s">
        <v>6984</v>
      </c>
      <c r="BZI7" t="s">
        <v>6984</v>
      </c>
      <c r="BZJ7" t="s">
        <v>6984</v>
      </c>
      <c r="BZK7" t="s">
        <v>6984</v>
      </c>
      <c r="BZL7" t="s">
        <v>6984</v>
      </c>
      <c r="BZM7" t="s">
        <v>6984</v>
      </c>
      <c r="BZN7" t="s">
        <v>6984</v>
      </c>
      <c r="BZO7" t="s">
        <v>6984</v>
      </c>
      <c r="BZP7" t="s">
        <v>6984</v>
      </c>
      <c r="BZQ7" t="s">
        <v>6984</v>
      </c>
      <c r="BZR7" t="s">
        <v>6984</v>
      </c>
      <c r="BZS7" t="s">
        <v>6984</v>
      </c>
      <c r="BZT7" t="s">
        <v>6984</v>
      </c>
      <c r="BZU7" t="s">
        <v>6984</v>
      </c>
      <c r="BZV7" t="s">
        <v>6984</v>
      </c>
      <c r="BZW7" t="s">
        <v>6984</v>
      </c>
      <c r="BZX7" t="s">
        <v>6984</v>
      </c>
      <c r="BZY7" t="s">
        <v>6984</v>
      </c>
      <c r="BZZ7" t="s">
        <v>6984</v>
      </c>
      <c r="CAA7" t="s">
        <v>6984</v>
      </c>
      <c r="CAB7" t="s">
        <v>6984</v>
      </c>
      <c r="CAC7" t="s">
        <v>6984</v>
      </c>
      <c r="CAD7" t="s">
        <v>6984</v>
      </c>
      <c r="CAE7" t="s">
        <v>6984</v>
      </c>
      <c r="CAF7" t="s">
        <v>6984</v>
      </c>
      <c r="CAG7" t="s">
        <v>6984</v>
      </c>
      <c r="CAH7" t="s">
        <v>6984</v>
      </c>
      <c r="CAI7" t="s">
        <v>6984</v>
      </c>
      <c r="CAJ7" t="s">
        <v>6984</v>
      </c>
      <c r="CAK7" t="s">
        <v>6984</v>
      </c>
      <c r="CAL7" t="s">
        <v>6984</v>
      </c>
      <c r="CAM7" t="s">
        <v>6984</v>
      </c>
      <c r="CAN7" t="s">
        <v>6984</v>
      </c>
      <c r="CAO7" t="s">
        <v>6984</v>
      </c>
      <c r="CAP7" t="s">
        <v>6984</v>
      </c>
      <c r="CAQ7" t="s">
        <v>6984</v>
      </c>
      <c r="CAR7" t="s">
        <v>6984</v>
      </c>
      <c r="CAS7" t="s">
        <v>6984</v>
      </c>
      <c r="CAT7" t="s">
        <v>6984</v>
      </c>
      <c r="CAU7" t="s">
        <v>6984</v>
      </c>
      <c r="CAV7" t="s">
        <v>6984</v>
      </c>
      <c r="CAW7" t="s">
        <v>6984</v>
      </c>
      <c r="CAX7" t="s">
        <v>6984</v>
      </c>
      <c r="CAY7" t="s">
        <v>6984</v>
      </c>
      <c r="CAZ7" t="s">
        <v>6984</v>
      </c>
      <c r="CBA7" t="s">
        <v>6984</v>
      </c>
      <c r="CBB7" t="s">
        <v>6984</v>
      </c>
      <c r="CBC7" t="s">
        <v>6984</v>
      </c>
      <c r="CBD7" t="s">
        <v>6984</v>
      </c>
      <c r="CBE7" t="s">
        <v>6984</v>
      </c>
      <c r="CBF7" t="s">
        <v>6984</v>
      </c>
      <c r="CBG7" t="s">
        <v>6984</v>
      </c>
      <c r="CBH7" t="s">
        <v>6984</v>
      </c>
      <c r="CBI7" t="s">
        <v>6984</v>
      </c>
      <c r="CBJ7" t="s">
        <v>6984</v>
      </c>
      <c r="CBK7" t="s">
        <v>6984</v>
      </c>
      <c r="CBL7" t="s">
        <v>6984</v>
      </c>
      <c r="CBM7" t="s">
        <v>6984</v>
      </c>
      <c r="CBN7" t="s">
        <v>6984</v>
      </c>
      <c r="CBO7" t="s">
        <v>6984</v>
      </c>
      <c r="CBP7" t="s">
        <v>6984</v>
      </c>
      <c r="CBQ7" t="s">
        <v>6984</v>
      </c>
      <c r="CBR7" t="s">
        <v>6984</v>
      </c>
      <c r="CBS7" t="s">
        <v>6984</v>
      </c>
      <c r="CBT7" t="s">
        <v>6984</v>
      </c>
      <c r="CBU7" t="s">
        <v>6984</v>
      </c>
      <c r="CBV7" t="s">
        <v>6984</v>
      </c>
      <c r="CBW7" t="s">
        <v>6984</v>
      </c>
      <c r="CBX7" t="s">
        <v>6984</v>
      </c>
      <c r="CBY7" t="s">
        <v>6984</v>
      </c>
      <c r="CBZ7" t="s">
        <v>6984</v>
      </c>
      <c r="CCA7" t="s">
        <v>6984</v>
      </c>
      <c r="CCB7" t="s">
        <v>6984</v>
      </c>
      <c r="CCC7" t="s">
        <v>6984</v>
      </c>
      <c r="CCD7" t="s">
        <v>6984</v>
      </c>
      <c r="CCE7" t="s">
        <v>6984</v>
      </c>
      <c r="CCF7" t="s">
        <v>6984</v>
      </c>
      <c r="CCG7" t="s">
        <v>6984</v>
      </c>
      <c r="CCH7" t="s">
        <v>6984</v>
      </c>
      <c r="CCI7" t="s">
        <v>6984</v>
      </c>
      <c r="CCJ7" t="s">
        <v>6984</v>
      </c>
      <c r="CCK7" t="s">
        <v>6984</v>
      </c>
      <c r="CCL7" t="s">
        <v>6984</v>
      </c>
      <c r="CCM7" t="s">
        <v>6984</v>
      </c>
      <c r="CCN7" t="s">
        <v>6984</v>
      </c>
      <c r="CCO7" t="s">
        <v>6984</v>
      </c>
      <c r="CCP7" t="s">
        <v>6984</v>
      </c>
      <c r="CCQ7" t="s">
        <v>6984</v>
      </c>
      <c r="CCR7" t="s">
        <v>6984</v>
      </c>
      <c r="CCS7" t="s">
        <v>6984</v>
      </c>
      <c r="CCT7" t="s">
        <v>6984</v>
      </c>
      <c r="CCU7" t="s">
        <v>6984</v>
      </c>
      <c r="CCV7" t="s">
        <v>6984</v>
      </c>
      <c r="CCW7" t="s">
        <v>6984</v>
      </c>
      <c r="CCX7" t="s">
        <v>6984</v>
      </c>
      <c r="CCY7" t="s">
        <v>6984</v>
      </c>
      <c r="CCZ7" t="s">
        <v>6984</v>
      </c>
      <c r="CDA7" t="s">
        <v>6984</v>
      </c>
      <c r="CDB7" t="s">
        <v>6984</v>
      </c>
      <c r="CDC7" t="s">
        <v>6984</v>
      </c>
      <c r="CDD7" t="s">
        <v>6984</v>
      </c>
      <c r="CDE7" t="s">
        <v>6984</v>
      </c>
      <c r="CDF7" t="s">
        <v>6984</v>
      </c>
      <c r="CDG7" t="s">
        <v>6984</v>
      </c>
      <c r="CDH7" t="s">
        <v>6984</v>
      </c>
      <c r="CDI7" t="s">
        <v>6984</v>
      </c>
      <c r="CDJ7" t="s">
        <v>6984</v>
      </c>
      <c r="CDK7" t="s">
        <v>6984</v>
      </c>
      <c r="CDL7" t="s">
        <v>6984</v>
      </c>
      <c r="CDM7" t="s">
        <v>6984</v>
      </c>
      <c r="CDN7" t="s">
        <v>6984</v>
      </c>
      <c r="CDO7" t="s">
        <v>6984</v>
      </c>
      <c r="CDP7" t="s">
        <v>6984</v>
      </c>
      <c r="CDQ7" t="s">
        <v>6984</v>
      </c>
      <c r="CDR7" t="s">
        <v>6984</v>
      </c>
      <c r="CDS7" t="s">
        <v>6984</v>
      </c>
      <c r="CDT7" t="s">
        <v>6984</v>
      </c>
      <c r="CDU7" t="s">
        <v>6984</v>
      </c>
      <c r="CDV7" t="s">
        <v>6984</v>
      </c>
      <c r="CDW7" t="s">
        <v>6984</v>
      </c>
      <c r="CDX7" t="s">
        <v>6984</v>
      </c>
      <c r="CDY7" t="s">
        <v>6984</v>
      </c>
      <c r="CDZ7" t="s">
        <v>6984</v>
      </c>
      <c r="CEA7" t="s">
        <v>6984</v>
      </c>
      <c r="CEB7" t="s">
        <v>6984</v>
      </c>
      <c r="CEC7" t="s">
        <v>6984</v>
      </c>
      <c r="CED7" t="s">
        <v>6984</v>
      </c>
      <c r="CEE7" t="s">
        <v>6984</v>
      </c>
      <c r="CEF7" t="s">
        <v>6984</v>
      </c>
      <c r="CEG7" t="s">
        <v>6984</v>
      </c>
      <c r="CEH7" t="s">
        <v>6984</v>
      </c>
      <c r="CEI7" t="s">
        <v>6984</v>
      </c>
      <c r="CEJ7" t="s">
        <v>6984</v>
      </c>
      <c r="CEK7" t="s">
        <v>6984</v>
      </c>
      <c r="CEL7" t="s">
        <v>6984</v>
      </c>
      <c r="CEM7" t="s">
        <v>6984</v>
      </c>
      <c r="CEN7" t="s">
        <v>6984</v>
      </c>
      <c r="CEO7" t="s">
        <v>6984</v>
      </c>
      <c r="CEP7" t="s">
        <v>6984</v>
      </c>
      <c r="CEQ7" t="s">
        <v>6984</v>
      </c>
      <c r="CER7" t="s">
        <v>6984</v>
      </c>
      <c r="CES7" t="s">
        <v>6984</v>
      </c>
      <c r="CET7" t="s">
        <v>6984</v>
      </c>
      <c r="CEU7" t="s">
        <v>6984</v>
      </c>
      <c r="CEV7" t="s">
        <v>6984</v>
      </c>
      <c r="CEW7" t="s">
        <v>6984</v>
      </c>
      <c r="CEX7" t="s">
        <v>6984</v>
      </c>
      <c r="CEY7" t="s">
        <v>6984</v>
      </c>
      <c r="CEZ7" t="s">
        <v>6984</v>
      </c>
      <c r="CFA7" t="s">
        <v>6984</v>
      </c>
      <c r="CFB7" t="s">
        <v>6984</v>
      </c>
      <c r="CFC7" t="s">
        <v>6984</v>
      </c>
      <c r="CFD7" t="s">
        <v>6984</v>
      </c>
      <c r="CFE7" t="s">
        <v>6984</v>
      </c>
      <c r="CFF7" t="s">
        <v>6984</v>
      </c>
      <c r="CFG7" t="s">
        <v>6984</v>
      </c>
      <c r="CFH7" t="s">
        <v>6984</v>
      </c>
      <c r="CFI7" t="s">
        <v>6984</v>
      </c>
      <c r="CFJ7" t="s">
        <v>6984</v>
      </c>
      <c r="CFK7" t="s">
        <v>6984</v>
      </c>
      <c r="CFL7" t="s">
        <v>6984</v>
      </c>
      <c r="CFM7" t="s">
        <v>6984</v>
      </c>
      <c r="CFN7" t="s">
        <v>6984</v>
      </c>
      <c r="CFO7" t="s">
        <v>6984</v>
      </c>
      <c r="CFP7" t="s">
        <v>6984</v>
      </c>
      <c r="CFQ7" t="s">
        <v>6984</v>
      </c>
      <c r="CFR7" t="s">
        <v>6984</v>
      </c>
      <c r="CFS7" t="s">
        <v>6984</v>
      </c>
      <c r="CFT7" t="s">
        <v>6984</v>
      </c>
      <c r="CFU7" t="s">
        <v>6984</v>
      </c>
      <c r="CFV7" t="s">
        <v>6984</v>
      </c>
      <c r="CFW7" t="s">
        <v>6984</v>
      </c>
      <c r="CFX7" t="s">
        <v>6984</v>
      </c>
      <c r="CFY7" t="s">
        <v>6984</v>
      </c>
      <c r="CFZ7" t="s">
        <v>6984</v>
      </c>
      <c r="CGA7" t="s">
        <v>6984</v>
      </c>
      <c r="CGB7" t="s">
        <v>6984</v>
      </c>
      <c r="CGC7" t="s">
        <v>6984</v>
      </c>
      <c r="CGD7" t="s">
        <v>6984</v>
      </c>
      <c r="CGE7" t="s">
        <v>6984</v>
      </c>
      <c r="CGF7" t="s">
        <v>6984</v>
      </c>
      <c r="CGG7" t="s">
        <v>6984</v>
      </c>
      <c r="CGH7" t="s">
        <v>6984</v>
      </c>
      <c r="CGI7" t="s">
        <v>6984</v>
      </c>
      <c r="CGJ7" t="s">
        <v>6984</v>
      </c>
      <c r="CGK7" t="s">
        <v>6984</v>
      </c>
      <c r="CGL7" t="s">
        <v>6984</v>
      </c>
      <c r="CGM7" t="s">
        <v>6984</v>
      </c>
      <c r="CGN7" t="s">
        <v>6984</v>
      </c>
      <c r="CGO7" t="s">
        <v>6984</v>
      </c>
      <c r="CGP7" t="s">
        <v>6984</v>
      </c>
      <c r="CGQ7" t="s">
        <v>6984</v>
      </c>
      <c r="CGR7" t="s">
        <v>6984</v>
      </c>
      <c r="CGS7" t="s">
        <v>6984</v>
      </c>
      <c r="CGT7" t="s">
        <v>6984</v>
      </c>
      <c r="CGU7" t="s">
        <v>6984</v>
      </c>
      <c r="CGV7" t="s">
        <v>6984</v>
      </c>
      <c r="CGW7" t="s">
        <v>6984</v>
      </c>
      <c r="CGX7" t="s">
        <v>6984</v>
      </c>
      <c r="CGY7" t="s">
        <v>6984</v>
      </c>
      <c r="CGZ7" t="s">
        <v>6984</v>
      </c>
      <c r="CHA7" t="s">
        <v>6984</v>
      </c>
      <c r="CHB7" t="s">
        <v>6984</v>
      </c>
      <c r="CHC7" t="s">
        <v>6984</v>
      </c>
      <c r="CHD7" t="s">
        <v>6984</v>
      </c>
      <c r="CHE7" t="s">
        <v>6984</v>
      </c>
      <c r="CHF7" t="s">
        <v>6984</v>
      </c>
      <c r="CHG7" t="s">
        <v>6984</v>
      </c>
      <c r="CHH7" t="s">
        <v>6984</v>
      </c>
      <c r="CHI7" t="s">
        <v>6984</v>
      </c>
      <c r="CHJ7" t="s">
        <v>6984</v>
      </c>
      <c r="CHK7" t="s">
        <v>6984</v>
      </c>
      <c r="CHL7" t="s">
        <v>6984</v>
      </c>
      <c r="CHM7" t="s">
        <v>6984</v>
      </c>
      <c r="CHN7" t="s">
        <v>6984</v>
      </c>
      <c r="CHO7" t="s">
        <v>6984</v>
      </c>
      <c r="CHP7" t="s">
        <v>6984</v>
      </c>
      <c r="CHQ7" t="s">
        <v>6984</v>
      </c>
      <c r="CHR7" t="s">
        <v>6984</v>
      </c>
      <c r="CHS7" t="s">
        <v>6984</v>
      </c>
      <c r="CHT7" t="s">
        <v>6984</v>
      </c>
      <c r="CHU7" t="s">
        <v>6984</v>
      </c>
      <c r="CHV7" t="s">
        <v>6984</v>
      </c>
      <c r="CHW7" t="s">
        <v>6984</v>
      </c>
      <c r="CHX7" t="s">
        <v>6984</v>
      </c>
      <c r="CHY7" t="s">
        <v>6984</v>
      </c>
      <c r="CHZ7" t="s">
        <v>6984</v>
      </c>
      <c r="CIA7" t="s">
        <v>6984</v>
      </c>
      <c r="CIB7" t="s">
        <v>6984</v>
      </c>
      <c r="CIC7" t="s">
        <v>6984</v>
      </c>
      <c r="CID7" t="s">
        <v>6984</v>
      </c>
      <c r="CIE7" t="s">
        <v>6984</v>
      </c>
      <c r="CIF7" t="s">
        <v>6984</v>
      </c>
      <c r="CIG7" t="s">
        <v>6984</v>
      </c>
      <c r="CIH7" t="s">
        <v>6984</v>
      </c>
      <c r="CII7" t="s">
        <v>6984</v>
      </c>
      <c r="CIJ7" t="s">
        <v>6984</v>
      </c>
      <c r="CIK7" t="s">
        <v>6984</v>
      </c>
      <c r="CIL7" t="s">
        <v>6984</v>
      </c>
      <c r="CIM7" t="s">
        <v>6984</v>
      </c>
      <c r="CIN7" t="s">
        <v>6984</v>
      </c>
      <c r="CIO7" t="s">
        <v>6984</v>
      </c>
      <c r="CIP7" t="s">
        <v>6984</v>
      </c>
      <c r="CIQ7" t="s">
        <v>6984</v>
      </c>
      <c r="CIR7" t="s">
        <v>6984</v>
      </c>
      <c r="CIS7" t="s">
        <v>6984</v>
      </c>
      <c r="CIT7" t="s">
        <v>6984</v>
      </c>
      <c r="CIU7" t="s">
        <v>6984</v>
      </c>
      <c r="CIV7" t="s">
        <v>6984</v>
      </c>
      <c r="CIW7" t="s">
        <v>6984</v>
      </c>
      <c r="CIX7" t="s">
        <v>6984</v>
      </c>
      <c r="CIY7" t="s">
        <v>6984</v>
      </c>
      <c r="CIZ7" t="s">
        <v>6984</v>
      </c>
      <c r="CJA7" t="s">
        <v>6984</v>
      </c>
      <c r="CJB7" t="s">
        <v>6984</v>
      </c>
      <c r="CJC7" t="s">
        <v>6984</v>
      </c>
      <c r="CJD7" t="s">
        <v>6984</v>
      </c>
      <c r="CJE7" t="s">
        <v>6984</v>
      </c>
      <c r="CJF7" t="s">
        <v>6984</v>
      </c>
      <c r="CJG7" t="s">
        <v>6984</v>
      </c>
      <c r="CJH7" t="s">
        <v>6984</v>
      </c>
      <c r="CJI7" t="s">
        <v>6984</v>
      </c>
      <c r="CJJ7" t="s">
        <v>6984</v>
      </c>
      <c r="CJK7" t="s">
        <v>6984</v>
      </c>
      <c r="CJL7" t="s">
        <v>6984</v>
      </c>
      <c r="CJM7" t="s">
        <v>6984</v>
      </c>
      <c r="CJN7" t="s">
        <v>6984</v>
      </c>
      <c r="CJO7" t="s">
        <v>6984</v>
      </c>
      <c r="CJP7" t="s">
        <v>6984</v>
      </c>
      <c r="CJQ7" t="s">
        <v>6984</v>
      </c>
      <c r="CJR7" t="s">
        <v>6984</v>
      </c>
      <c r="CJS7" t="s">
        <v>6984</v>
      </c>
      <c r="CJT7" t="s">
        <v>6984</v>
      </c>
      <c r="CJU7" t="s">
        <v>6984</v>
      </c>
      <c r="CJV7" t="s">
        <v>6984</v>
      </c>
      <c r="CJW7" t="s">
        <v>6984</v>
      </c>
      <c r="CJX7" t="s">
        <v>6984</v>
      </c>
      <c r="CJY7" t="s">
        <v>6984</v>
      </c>
      <c r="CJZ7" t="s">
        <v>6984</v>
      </c>
      <c r="CKA7" t="s">
        <v>6984</v>
      </c>
      <c r="CKB7" t="s">
        <v>6984</v>
      </c>
      <c r="CKC7" t="s">
        <v>6984</v>
      </c>
      <c r="CKD7" t="s">
        <v>6984</v>
      </c>
      <c r="CKE7" t="s">
        <v>6984</v>
      </c>
      <c r="CKF7" t="s">
        <v>6984</v>
      </c>
      <c r="CKG7" t="s">
        <v>6984</v>
      </c>
      <c r="CKH7" t="s">
        <v>6984</v>
      </c>
      <c r="CKI7" t="s">
        <v>6984</v>
      </c>
      <c r="CKJ7" t="s">
        <v>6984</v>
      </c>
      <c r="CKK7" t="s">
        <v>6984</v>
      </c>
      <c r="CKL7" t="s">
        <v>6984</v>
      </c>
      <c r="CKM7" t="s">
        <v>6984</v>
      </c>
      <c r="CKN7" t="s">
        <v>6984</v>
      </c>
      <c r="CKO7" t="s">
        <v>6984</v>
      </c>
      <c r="CKP7" t="s">
        <v>6984</v>
      </c>
      <c r="CKQ7" t="s">
        <v>6984</v>
      </c>
      <c r="CKR7" t="s">
        <v>6984</v>
      </c>
      <c r="CKS7" t="s">
        <v>6984</v>
      </c>
      <c r="CKT7" t="s">
        <v>6984</v>
      </c>
      <c r="CKU7" t="s">
        <v>6984</v>
      </c>
      <c r="CKV7" t="s">
        <v>6984</v>
      </c>
      <c r="CKW7" t="s">
        <v>6984</v>
      </c>
      <c r="CKX7" t="s">
        <v>6984</v>
      </c>
      <c r="CKY7" t="s">
        <v>6984</v>
      </c>
      <c r="CKZ7" t="s">
        <v>6984</v>
      </c>
      <c r="CLA7" t="s">
        <v>6984</v>
      </c>
      <c r="CLB7" t="s">
        <v>6984</v>
      </c>
      <c r="CLC7" t="s">
        <v>6984</v>
      </c>
      <c r="CLD7" t="s">
        <v>6984</v>
      </c>
      <c r="CLE7" t="s">
        <v>6984</v>
      </c>
      <c r="CLF7" t="s">
        <v>6984</v>
      </c>
      <c r="CLG7" t="s">
        <v>6984</v>
      </c>
      <c r="CLH7" t="s">
        <v>6984</v>
      </c>
      <c r="CLI7" t="s">
        <v>6984</v>
      </c>
      <c r="CLJ7" t="s">
        <v>6984</v>
      </c>
      <c r="CLK7" t="s">
        <v>6984</v>
      </c>
      <c r="CLL7" t="s">
        <v>6984</v>
      </c>
      <c r="CLM7" t="s">
        <v>6984</v>
      </c>
      <c r="CLN7" t="s">
        <v>6984</v>
      </c>
      <c r="CLO7" t="s">
        <v>6984</v>
      </c>
      <c r="CLP7" t="s">
        <v>6984</v>
      </c>
      <c r="CLQ7" t="s">
        <v>6984</v>
      </c>
      <c r="CLR7" t="s">
        <v>6984</v>
      </c>
      <c r="CLS7" t="s">
        <v>6984</v>
      </c>
      <c r="CLT7" t="s">
        <v>6984</v>
      </c>
      <c r="CLU7" t="s">
        <v>6984</v>
      </c>
      <c r="CLV7" t="s">
        <v>6984</v>
      </c>
      <c r="CLW7" t="s">
        <v>6984</v>
      </c>
      <c r="CLX7" t="s">
        <v>6984</v>
      </c>
      <c r="CLY7" t="s">
        <v>6984</v>
      </c>
      <c r="CLZ7" t="s">
        <v>6984</v>
      </c>
      <c r="CMA7" t="s">
        <v>6984</v>
      </c>
      <c r="CMB7" t="s">
        <v>6984</v>
      </c>
      <c r="CMC7" t="s">
        <v>6984</v>
      </c>
      <c r="CMD7" t="s">
        <v>6984</v>
      </c>
      <c r="CME7" t="s">
        <v>6984</v>
      </c>
      <c r="CMF7" t="s">
        <v>6984</v>
      </c>
      <c r="CMG7" t="s">
        <v>6984</v>
      </c>
      <c r="CMH7" t="s">
        <v>6984</v>
      </c>
      <c r="CMI7" t="s">
        <v>6984</v>
      </c>
      <c r="CMJ7" t="s">
        <v>6984</v>
      </c>
      <c r="CMK7" t="s">
        <v>6984</v>
      </c>
      <c r="CML7" t="s">
        <v>6984</v>
      </c>
      <c r="CMM7" t="s">
        <v>6984</v>
      </c>
      <c r="CMN7" t="s">
        <v>6984</v>
      </c>
      <c r="CMO7" t="s">
        <v>6984</v>
      </c>
      <c r="CMP7" t="s">
        <v>6984</v>
      </c>
      <c r="CMQ7" t="s">
        <v>6984</v>
      </c>
      <c r="CMR7" t="s">
        <v>6984</v>
      </c>
      <c r="CMS7" t="s">
        <v>6984</v>
      </c>
      <c r="CMT7" t="s">
        <v>6984</v>
      </c>
      <c r="CMU7" t="s">
        <v>6984</v>
      </c>
      <c r="CMV7" t="s">
        <v>6984</v>
      </c>
      <c r="CMW7" t="s">
        <v>6984</v>
      </c>
      <c r="CMX7" t="s">
        <v>6984</v>
      </c>
      <c r="CMY7" t="s">
        <v>6984</v>
      </c>
      <c r="CMZ7" t="s">
        <v>6984</v>
      </c>
      <c r="CNA7" t="s">
        <v>6984</v>
      </c>
      <c r="CNB7" t="s">
        <v>6984</v>
      </c>
      <c r="CNC7" t="s">
        <v>6984</v>
      </c>
      <c r="CND7" t="s">
        <v>6984</v>
      </c>
      <c r="CNE7" t="s">
        <v>6984</v>
      </c>
      <c r="CNF7" t="s">
        <v>6984</v>
      </c>
      <c r="CNG7" t="s">
        <v>6984</v>
      </c>
      <c r="CNH7" t="s">
        <v>6984</v>
      </c>
      <c r="CNI7" t="s">
        <v>6984</v>
      </c>
      <c r="CNJ7" t="s">
        <v>6984</v>
      </c>
      <c r="CNK7" t="s">
        <v>6984</v>
      </c>
      <c r="CNL7" t="s">
        <v>6984</v>
      </c>
      <c r="CNM7" t="s">
        <v>6984</v>
      </c>
      <c r="CNN7" t="s">
        <v>6984</v>
      </c>
      <c r="CNO7" t="s">
        <v>6984</v>
      </c>
      <c r="CNP7" t="s">
        <v>6984</v>
      </c>
      <c r="CNQ7" t="s">
        <v>6984</v>
      </c>
      <c r="CNR7" t="s">
        <v>6984</v>
      </c>
      <c r="CNS7" t="s">
        <v>6984</v>
      </c>
      <c r="CNT7" t="s">
        <v>6984</v>
      </c>
      <c r="CNU7" t="s">
        <v>6984</v>
      </c>
      <c r="CNV7" t="s">
        <v>6984</v>
      </c>
      <c r="CNW7" t="s">
        <v>6984</v>
      </c>
      <c r="CNX7" t="s">
        <v>6984</v>
      </c>
      <c r="CNY7" t="s">
        <v>6984</v>
      </c>
      <c r="CNZ7" t="s">
        <v>6984</v>
      </c>
      <c r="COA7" t="s">
        <v>6984</v>
      </c>
      <c r="COB7" t="s">
        <v>6984</v>
      </c>
      <c r="COC7" t="s">
        <v>6984</v>
      </c>
      <c r="COD7" t="s">
        <v>6984</v>
      </c>
      <c r="COE7" t="s">
        <v>6984</v>
      </c>
      <c r="COF7" t="s">
        <v>6984</v>
      </c>
      <c r="COG7" t="s">
        <v>6984</v>
      </c>
      <c r="COH7" t="s">
        <v>6984</v>
      </c>
      <c r="COI7" t="s">
        <v>6984</v>
      </c>
      <c r="COJ7" t="s">
        <v>6984</v>
      </c>
      <c r="COK7" t="s">
        <v>6984</v>
      </c>
      <c r="COL7" t="s">
        <v>6984</v>
      </c>
      <c r="COM7" t="s">
        <v>6984</v>
      </c>
      <c r="CON7" t="s">
        <v>6984</v>
      </c>
      <c r="COO7" t="s">
        <v>6984</v>
      </c>
      <c r="COP7" t="s">
        <v>6984</v>
      </c>
      <c r="COQ7" t="s">
        <v>6984</v>
      </c>
      <c r="COR7" t="s">
        <v>6984</v>
      </c>
      <c r="COS7" t="s">
        <v>6984</v>
      </c>
      <c r="COT7" t="s">
        <v>6984</v>
      </c>
      <c r="COU7" t="s">
        <v>6984</v>
      </c>
      <c r="COV7" t="s">
        <v>6984</v>
      </c>
      <c r="COW7" t="s">
        <v>6984</v>
      </c>
      <c r="COX7" t="s">
        <v>6984</v>
      </c>
      <c r="COY7" t="s">
        <v>6984</v>
      </c>
      <c r="COZ7" t="s">
        <v>6984</v>
      </c>
      <c r="CPA7" t="s">
        <v>6984</v>
      </c>
      <c r="CPB7" t="s">
        <v>6984</v>
      </c>
      <c r="CPC7" t="s">
        <v>6984</v>
      </c>
      <c r="CPD7" t="s">
        <v>6984</v>
      </c>
      <c r="CPE7" t="s">
        <v>6984</v>
      </c>
      <c r="CPF7" t="s">
        <v>6984</v>
      </c>
      <c r="CPG7" t="s">
        <v>6984</v>
      </c>
      <c r="CPH7" t="s">
        <v>6984</v>
      </c>
      <c r="CPI7" t="s">
        <v>6984</v>
      </c>
      <c r="CPJ7" t="s">
        <v>6984</v>
      </c>
      <c r="CPK7" t="s">
        <v>6984</v>
      </c>
      <c r="CPL7" t="s">
        <v>6984</v>
      </c>
      <c r="CPM7" t="s">
        <v>6984</v>
      </c>
      <c r="CPN7" t="s">
        <v>6984</v>
      </c>
      <c r="CPO7" t="s">
        <v>6984</v>
      </c>
      <c r="CPP7" t="s">
        <v>6984</v>
      </c>
      <c r="CPQ7" t="s">
        <v>6984</v>
      </c>
      <c r="CPR7" t="s">
        <v>6984</v>
      </c>
      <c r="CPS7" t="s">
        <v>6984</v>
      </c>
      <c r="CPT7" t="s">
        <v>6984</v>
      </c>
      <c r="CPU7" t="s">
        <v>6984</v>
      </c>
      <c r="CPV7" t="s">
        <v>6984</v>
      </c>
      <c r="CPW7" t="s">
        <v>6984</v>
      </c>
      <c r="CPX7" t="s">
        <v>6984</v>
      </c>
      <c r="CPY7" t="s">
        <v>6984</v>
      </c>
      <c r="CPZ7" t="s">
        <v>6984</v>
      </c>
      <c r="CQA7" t="s">
        <v>6984</v>
      </c>
      <c r="CQB7" t="s">
        <v>6984</v>
      </c>
      <c r="CQC7" t="s">
        <v>6984</v>
      </c>
      <c r="CQD7" t="s">
        <v>6984</v>
      </c>
      <c r="CQE7" t="s">
        <v>6984</v>
      </c>
      <c r="CQF7" t="s">
        <v>6984</v>
      </c>
      <c r="CQG7" t="s">
        <v>6984</v>
      </c>
      <c r="CQH7" t="s">
        <v>6984</v>
      </c>
      <c r="CQI7" t="s">
        <v>6984</v>
      </c>
      <c r="CQJ7" t="s">
        <v>6984</v>
      </c>
      <c r="CQK7" t="s">
        <v>6984</v>
      </c>
      <c r="CQL7" t="s">
        <v>6984</v>
      </c>
      <c r="CQM7" t="s">
        <v>6984</v>
      </c>
      <c r="CQN7" t="s">
        <v>6984</v>
      </c>
      <c r="CQO7" t="s">
        <v>6984</v>
      </c>
      <c r="CQP7" t="s">
        <v>6984</v>
      </c>
      <c r="CQQ7" t="s">
        <v>6984</v>
      </c>
      <c r="CQR7" t="s">
        <v>6984</v>
      </c>
      <c r="CQS7" t="s">
        <v>6984</v>
      </c>
      <c r="CQT7" t="s">
        <v>6984</v>
      </c>
      <c r="CQU7" t="s">
        <v>6984</v>
      </c>
      <c r="CQV7" t="s">
        <v>6984</v>
      </c>
      <c r="CQW7" t="s">
        <v>6984</v>
      </c>
      <c r="CQX7" t="s">
        <v>6984</v>
      </c>
      <c r="CQY7" t="s">
        <v>6984</v>
      </c>
      <c r="CQZ7" t="s">
        <v>6984</v>
      </c>
      <c r="CRA7" t="s">
        <v>6984</v>
      </c>
      <c r="CRB7" t="s">
        <v>6984</v>
      </c>
      <c r="CRC7" t="s">
        <v>6984</v>
      </c>
      <c r="CRD7" t="s">
        <v>6984</v>
      </c>
      <c r="CRE7" t="s">
        <v>6984</v>
      </c>
      <c r="CRF7" t="s">
        <v>6984</v>
      </c>
      <c r="CRG7" t="s">
        <v>6984</v>
      </c>
      <c r="CRH7" t="s">
        <v>6984</v>
      </c>
      <c r="CRI7" t="s">
        <v>6984</v>
      </c>
      <c r="CRJ7" t="s">
        <v>6984</v>
      </c>
      <c r="CRK7" t="s">
        <v>6984</v>
      </c>
      <c r="CRL7" t="s">
        <v>6984</v>
      </c>
      <c r="CRM7" t="s">
        <v>6984</v>
      </c>
      <c r="CRN7" t="s">
        <v>6984</v>
      </c>
      <c r="CRO7" t="s">
        <v>6984</v>
      </c>
      <c r="CRP7" t="s">
        <v>6984</v>
      </c>
      <c r="CRQ7" t="s">
        <v>6984</v>
      </c>
      <c r="CRR7" t="s">
        <v>6984</v>
      </c>
      <c r="CRS7" t="s">
        <v>6984</v>
      </c>
      <c r="CRT7" t="s">
        <v>6984</v>
      </c>
      <c r="CRU7" t="s">
        <v>6984</v>
      </c>
      <c r="CRV7" t="s">
        <v>6984</v>
      </c>
      <c r="CRW7" t="s">
        <v>6984</v>
      </c>
      <c r="CRX7" t="s">
        <v>6984</v>
      </c>
      <c r="CRY7" t="s">
        <v>6984</v>
      </c>
      <c r="CRZ7" t="s">
        <v>6984</v>
      </c>
      <c r="CSA7" t="s">
        <v>6984</v>
      </c>
      <c r="CSB7" t="s">
        <v>6984</v>
      </c>
      <c r="CSC7" t="s">
        <v>6984</v>
      </c>
      <c r="CSD7" t="s">
        <v>6984</v>
      </c>
      <c r="CSE7" t="s">
        <v>6984</v>
      </c>
      <c r="CSF7" t="s">
        <v>6984</v>
      </c>
      <c r="CSG7" t="s">
        <v>6984</v>
      </c>
      <c r="CSH7" t="s">
        <v>6984</v>
      </c>
      <c r="CSI7" t="s">
        <v>6984</v>
      </c>
      <c r="CSJ7" t="s">
        <v>6984</v>
      </c>
      <c r="CSK7" t="s">
        <v>6984</v>
      </c>
      <c r="CSL7" t="s">
        <v>6984</v>
      </c>
      <c r="CSM7" t="s">
        <v>6984</v>
      </c>
      <c r="CSN7" t="s">
        <v>6984</v>
      </c>
      <c r="CSO7" t="s">
        <v>6984</v>
      </c>
      <c r="CSP7" t="s">
        <v>6984</v>
      </c>
      <c r="CSQ7" t="s">
        <v>6984</v>
      </c>
      <c r="CSR7" t="s">
        <v>6984</v>
      </c>
      <c r="CSS7" t="s">
        <v>6984</v>
      </c>
      <c r="CST7" t="s">
        <v>6984</v>
      </c>
      <c r="CSU7" t="s">
        <v>6984</v>
      </c>
      <c r="CSV7" t="s">
        <v>6984</v>
      </c>
      <c r="CSW7" t="s">
        <v>6984</v>
      </c>
      <c r="CSX7" t="s">
        <v>6984</v>
      </c>
      <c r="CSY7" t="s">
        <v>6984</v>
      </c>
      <c r="CSZ7" t="s">
        <v>6984</v>
      </c>
      <c r="CTA7" t="s">
        <v>6984</v>
      </c>
      <c r="CTB7" t="s">
        <v>6984</v>
      </c>
      <c r="CTC7" t="s">
        <v>6984</v>
      </c>
      <c r="CTD7" t="s">
        <v>6984</v>
      </c>
      <c r="CTE7" t="s">
        <v>6984</v>
      </c>
      <c r="CTF7" t="s">
        <v>6984</v>
      </c>
      <c r="CTG7" t="s">
        <v>6984</v>
      </c>
      <c r="CTH7" t="s">
        <v>6984</v>
      </c>
      <c r="CTI7" t="s">
        <v>6984</v>
      </c>
      <c r="CTJ7" t="s">
        <v>6984</v>
      </c>
      <c r="CTK7" t="s">
        <v>6984</v>
      </c>
      <c r="CTL7" t="s">
        <v>6984</v>
      </c>
      <c r="CTM7" t="s">
        <v>6984</v>
      </c>
      <c r="CTN7" t="s">
        <v>6984</v>
      </c>
      <c r="CTO7" t="s">
        <v>6984</v>
      </c>
      <c r="CTP7" t="s">
        <v>6984</v>
      </c>
      <c r="CTQ7" t="s">
        <v>6984</v>
      </c>
      <c r="CTR7" t="s">
        <v>6984</v>
      </c>
      <c r="CTS7" t="s">
        <v>6984</v>
      </c>
      <c r="CTT7" t="s">
        <v>6984</v>
      </c>
      <c r="CTU7" t="s">
        <v>6984</v>
      </c>
      <c r="CTV7" t="s">
        <v>6984</v>
      </c>
      <c r="CTW7" t="s">
        <v>6984</v>
      </c>
      <c r="CTX7" t="s">
        <v>6984</v>
      </c>
      <c r="CTY7" t="s">
        <v>6984</v>
      </c>
      <c r="CTZ7" t="s">
        <v>6984</v>
      </c>
      <c r="CUA7" t="s">
        <v>6984</v>
      </c>
      <c r="CUB7" t="s">
        <v>6984</v>
      </c>
      <c r="CUC7" t="s">
        <v>6984</v>
      </c>
      <c r="CUD7" t="s">
        <v>6984</v>
      </c>
      <c r="CUE7" t="s">
        <v>6984</v>
      </c>
      <c r="CUF7" t="s">
        <v>6984</v>
      </c>
      <c r="CUG7" t="s">
        <v>6984</v>
      </c>
      <c r="CUH7" t="s">
        <v>6984</v>
      </c>
      <c r="CUI7" t="s">
        <v>6984</v>
      </c>
      <c r="CUJ7" t="s">
        <v>6984</v>
      </c>
      <c r="CUK7" t="s">
        <v>6984</v>
      </c>
      <c r="CUL7" t="s">
        <v>6984</v>
      </c>
      <c r="CUM7" t="s">
        <v>6984</v>
      </c>
      <c r="CUN7" t="s">
        <v>6984</v>
      </c>
      <c r="CUO7" t="s">
        <v>6984</v>
      </c>
      <c r="CUP7" t="s">
        <v>6984</v>
      </c>
      <c r="CUQ7" t="s">
        <v>6984</v>
      </c>
      <c r="CUR7" t="s">
        <v>6984</v>
      </c>
      <c r="CUS7" t="s">
        <v>6984</v>
      </c>
      <c r="CUT7" t="s">
        <v>6984</v>
      </c>
      <c r="CUU7" t="s">
        <v>6984</v>
      </c>
      <c r="CUV7" t="s">
        <v>6984</v>
      </c>
      <c r="CUW7" t="s">
        <v>6984</v>
      </c>
      <c r="CUX7" t="s">
        <v>6984</v>
      </c>
      <c r="CUY7" t="s">
        <v>6984</v>
      </c>
      <c r="CUZ7" t="s">
        <v>6984</v>
      </c>
      <c r="CVA7" t="s">
        <v>6984</v>
      </c>
      <c r="CVB7" t="s">
        <v>6984</v>
      </c>
      <c r="CVC7" t="s">
        <v>6984</v>
      </c>
      <c r="CVD7" t="s">
        <v>6984</v>
      </c>
      <c r="CVE7" t="s">
        <v>6984</v>
      </c>
      <c r="CVF7" t="s">
        <v>6984</v>
      </c>
      <c r="CVG7" t="s">
        <v>6984</v>
      </c>
      <c r="CVH7" t="s">
        <v>6984</v>
      </c>
      <c r="CVI7" t="s">
        <v>6984</v>
      </c>
      <c r="CVJ7" t="s">
        <v>6984</v>
      </c>
      <c r="CVK7" t="s">
        <v>6984</v>
      </c>
      <c r="CVL7" t="s">
        <v>6984</v>
      </c>
      <c r="CVM7" t="s">
        <v>6984</v>
      </c>
      <c r="CVN7" t="s">
        <v>6984</v>
      </c>
      <c r="CVO7" t="s">
        <v>6984</v>
      </c>
      <c r="CVP7" t="s">
        <v>6984</v>
      </c>
      <c r="CVQ7" t="s">
        <v>6984</v>
      </c>
      <c r="CVR7" t="s">
        <v>6984</v>
      </c>
      <c r="CVS7" t="s">
        <v>6984</v>
      </c>
      <c r="CVT7" t="s">
        <v>6984</v>
      </c>
      <c r="CVU7" t="s">
        <v>6984</v>
      </c>
      <c r="CVV7" t="s">
        <v>6984</v>
      </c>
      <c r="CVW7" t="s">
        <v>6984</v>
      </c>
      <c r="CVX7" t="s">
        <v>6984</v>
      </c>
      <c r="CVY7" t="s">
        <v>6984</v>
      </c>
      <c r="CVZ7" t="s">
        <v>6984</v>
      </c>
      <c r="CWA7" t="s">
        <v>6984</v>
      </c>
      <c r="CWB7" t="s">
        <v>6984</v>
      </c>
      <c r="CWC7" t="s">
        <v>6984</v>
      </c>
      <c r="CWD7" t="s">
        <v>6984</v>
      </c>
      <c r="CWE7" t="s">
        <v>6984</v>
      </c>
      <c r="CWF7" t="s">
        <v>6984</v>
      </c>
      <c r="CWG7" t="s">
        <v>6984</v>
      </c>
      <c r="CWH7" t="s">
        <v>6984</v>
      </c>
      <c r="CWI7" t="s">
        <v>6984</v>
      </c>
      <c r="CWJ7" t="s">
        <v>6984</v>
      </c>
      <c r="CWK7" t="s">
        <v>6984</v>
      </c>
      <c r="CWL7" t="s">
        <v>6984</v>
      </c>
      <c r="CWM7" t="s">
        <v>6984</v>
      </c>
      <c r="CWN7" t="s">
        <v>6984</v>
      </c>
      <c r="CWO7" t="s">
        <v>6984</v>
      </c>
      <c r="CWP7" t="s">
        <v>6984</v>
      </c>
      <c r="CWQ7" t="s">
        <v>6984</v>
      </c>
      <c r="CWR7" t="s">
        <v>6984</v>
      </c>
      <c r="CWS7" t="s">
        <v>6984</v>
      </c>
      <c r="CWT7" t="s">
        <v>6984</v>
      </c>
      <c r="CWU7" t="s">
        <v>6984</v>
      </c>
      <c r="CWV7" t="s">
        <v>6984</v>
      </c>
      <c r="CWW7" t="s">
        <v>6984</v>
      </c>
      <c r="CWX7" t="s">
        <v>6984</v>
      </c>
      <c r="CWY7" t="s">
        <v>6984</v>
      </c>
      <c r="CWZ7" t="s">
        <v>6984</v>
      </c>
      <c r="CXA7" t="s">
        <v>6984</v>
      </c>
      <c r="CXB7" t="s">
        <v>6984</v>
      </c>
      <c r="CXC7" t="s">
        <v>6984</v>
      </c>
      <c r="CXD7" t="s">
        <v>6984</v>
      </c>
      <c r="CXE7" t="s">
        <v>6984</v>
      </c>
      <c r="CXF7" t="s">
        <v>6984</v>
      </c>
      <c r="CXG7" t="s">
        <v>6984</v>
      </c>
      <c r="CXH7" t="s">
        <v>6984</v>
      </c>
      <c r="CXI7" t="s">
        <v>6984</v>
      </c>
      <c r="CXJ7" t="s">
        <v>6984</v>
      </c>
      <c r="CXK7" t="s">
        <v>6984</v>
      </c>
      <c r="CXL7" t="s">
        <v>6984</v>
      </c>
      <c r="CXM7" t="s">
        <v>6984</v>
      </c>
      <c r="CXN7" t="s">
        <v>6984</v>
      </c>
      <c r="CXO7" t="s">
        <v>6984</v>
      </c>
      <c r="CXP7" t="s">
        <v>6984</v>
      </c>
      <c r="CXQ7" t="s">
        <v>6984</v>
      </c>
      <c r="CXR7" t="s">
        <v>6984</v>
      </c>
      <c r="CXS7" t="s">
        <v>6984</v>
      </c>
      <c r="CXT7" t="s">
        <v>6984</v>
      </c>
      <c r="CXU7" t="s">
        <v>6984</v>
      </c>
      <c r="CXV7" t="s">
        <v>6984</v>
      </c>
      <c r="CXW7" t="s">
        <v>6984</v>
      </c>
      <c r="CXX7" t="s">
        <v>6984</v>
      </c>
      <c r="CXY7" t="s">
        <v>6984</v>
      </c>
      <c r="CXZ7" t="s">
        <v>6984</v>
      </c>
      <c r="CYA7" t="s">
        <v>6984</v>
      </c>
      <c r="CYB7" t="s">
        <v>6984</v>
      </c>
      <c r="CYC7" t="s">
        <v>6984</v>
      </c>
      <c r="CYD7" t="s">
        <v>6984</v>
      </c>
      <c r="CYE7" t="s">
        <v>6984</v>
      </c>
      <c r="CYF7" t="s">
        <v>6984</v>
      </c>
      <c r="CYG7" t="s">
        <v>6984</v>
      </c>
      <c r="CYH7" t="s">
        <v>6984</v>
      </c>
      <c r="CYI7" t="s">
        <v>6984</v>
      </c>
      <c r="CYJ7" t="s">
        <v>6984</v>
      </c>
      <c r="CYK7" t="s">
        <v>6984</v>
      </c>
      <c r="CYL7" t="s">
        <v>6984</v>
      </c>
      <c r="CYM7" t="s">
        <v>6984</v>
      </c>
      <c r="CYN7" t="s">
        <v>6984</v>
      </c>
      <c r="CYO7" t="s">
        <v>6984</v>
      </c>
      <c r="CYP7" t="s">
        <v>6984</v>
      </c>
      <c r="CYQ7" t="s">
        <v>6984</v>
      </c>
      <c r="CYR7" t="s">
        <v>6984</v>
      </c>
      <c r="CYS7" t="s">
        <v>6984</v>
      </c>
      <c r="CYT7" t="s">
        <v>6984</v>
      </c>
      <c r="CYU7" t="s">
        <v>6984</v>
      </c>
      <c r="CYV7" t="s">
        <v>6984</v>
      </c>
      <c r="CYW7" t="s">
        <v>6984</v>
      </c>
      <c r="CYX7" t="s">
        <v>6984</v>
      </c>
      <c r="CYY7" t="s">
        <v>6984</v>
      </c>
      <c r="CYZ7" t="s">
        <v>6984</v>
      </c>
      <c r="CZA7" t="s">
        <v>6984</v>
      </c>
      <c r="CZB7" t="s">
        <v>6984</v>
      </c>
      <c r="CZC7" t="s">
        <v>6984</v>
      </c>
      <c r="CZD7" t="s">
        <v>6984</v>
      </c>
      <c r="CZE7" t="s">
        <v>6984</v>
      </c>
      <c r="CZF7" t="s">
        <v>6984</v>
      </c>
      <c r="CZG7" t="s">
        <v>6984</v>
      </c>
      <c r="CZH7" t="s">
        <v>6984</v>
      </c>
      <c r="CZI7" t="s">
        <v>6984</v>
      </c>
      <c r="CZJ7" t="s">
        <v>6984</v>
      </c>
      <c r="CZK7" t="s">
        <v>6984</v>
      </c>
      <c r="CZL7" t="s">
        <v>6984</v>
      </c>
      <c r="CZM7" t="s">
        <v>6984</v>
      </c>
      <c r="CZN7" t="s">
        <v>6984</v>
      </c>
      <c r="CZO7" t="s">
        <v>6984</v>
      </c>
      <c r="CZP7" t="s">
        <v>6984</v>
      </c>
      <c r="CZQ7" t="s">
        <v>6984</v>
      </c>
      <c r="CZR7" t="s">
        <v>6984</v>
      </c>
      <c r="CZS7" t="s">
        <v>6984</v>
      </c>
      <c r="CZT7" t="s">
        <v>6984</v>
      </c>
      <c r="CZU7" t="s">
        <v>6984</v>
      </c>
      <c r="CZV7" t="s">
        <v>6984</v>
      </c>
      <c r="CZW7" t="s">
        <v>6984</v>
      </c>
      <c r="CZX7" t="s">
        <v>6984</v>
      </c>
      <c r="CZY7" t="s">
        <v>6984</v>
      </c>
      <c r="CZZ7" t="s">
        <v>6984</v>
      </c>
      <c r="DAA7" t="s">
        <v>6984</v>
      </c>
      <c r="DAB7" t="s">
        <v>6984</v>
      </c>
      <c r="DAC7" t="s">
        <v>6984</v>
      </c>
      <c r="DAD7" t="s">
        <v>6984</v>
      </c>
      <c r="DAE7" t="s">
        <v>6984</v>
      </c>
      <c r="DAF7" t="s">
        <v>6984</v>
      </c>
      <c r="DAG7" t="s">
        <v>6984</v>
      </c>
      <c r="DAH7" t="s">
        <v>6984</v>
      </c>
      <c r="DAI7" t="s">
        <v>6984</v>
      </c>
      <c r="DAJ7" t="s">
        <v>6984</v>
      </c>
      <c r="DAK7" t="s">
        <v>6984</v>
      </c>
      <c r="DAL7" t="s">
        <v>6984</v>
      </c>
      <c r="DAM7" t="s">
        <v>6984</v>
      </c>
      <c r="DAN7" t="s">
        <v>6984</v>
      </c>
      <c r="DAO7" t="s">
        <v>6984</v>
      </c>
      <c r="DAP7" t="s">
        <v>6984</v>
      </c>
      <c r="DAQ7" t="s">
        <v>6984</v>
      </c>
      <c r="DAR7" t="s">
        <v>6984</v>
      </c>
      <c r="DAS7" t="s">
        <v>6984</v>
      </c>
      <c r="DAT7" t="s">
        <v>6984</v>
      </c>
      <c r="DAU7" t="s">
        <v>6984</v>
      </c>
      <c r="DAV7" t="s">
        <v>6984</v>
      </c>
      <c r="DAW7" t="s">
        <v>6984</v>
      </c>
      <c r="DAX7" t="s">
        <v>6984</v>
      </c>
      <c r="DAY7" t="s">
        <v>6984</v>
      </c>
      <c r="DAZ7" t="s">
        <v>6984</v>
      </c>
      <c r="DBA7" t="s">
        <v>6984</v>
      </c>
      <c r="DBB7" t="s">
        <v>6984</v>
      </c>
      <c r="DBC7" t="s">
        <v>6984</v>
      </c>
      <c r="DBD7" t="s">
        <v>6984</v>
      </c>
      <c r="DBE7" t="s">
        <v>6984</v>
      </c>
      <c r="DBF7" t="s">
        <v>6984</v>
      </c>
      <c r="DBG7" t="s">
        <v>6984</v>
      </c>
      <c r="DBH7" t="s">
        <v>6984</v>
      </c>
      <c r="DBI7" t="s">
        <v>6984</v>
      </c>
      <c r="DBJ7" t="s">
        <v>6984</v>
      </c>
      <c r="DBK7" t="s">
        <v>6984</v>
      </c>
      <c r="DBL7" t="s">
        <v>6984</v>
      </c>
      <c r="DBM7" t="s">
        <v>6984</v>
      </c>
      <c r="DBN7" t="s">
        <v>6984</v>
      </c>
      <c r="DBO7" t="s">
        <v>6984</v>
      </c>
      <c r="DBP7" t="s">
        <v>6984</v>
      </c>
      <c r="DBQ7" t="s">
        <v>6984</v>
      </c>
      <c r="DBR7" t="s">
        <v>6984</v>
      </c>
      <c r="DBS7" t="s">
        <v>6984</v>
      </c>
      <c r="DBT7" t="s">
        <v>6984</v>
      </c>
      <c r="DBU7" t="s">
        <v>6984</v>
      </c>
      <c r="DBV7" t="s">
        <v>6984</v>
      </c>
      <c r="DBW7" t="s">
        <v>6984</v>
      </c>
      <c r="DBX7" t="s">
        <v>6984</v>
      </c>
      <c r="DBY7" t="s">
        <v>6984</v>
      </c>
      <c r="DBZ7" t="s">
        <v>6984</v>
      </c>
      <c r="DCA7" t="s">
        <v>6984</v>
      </c>
      <c r="DCB7" t="s">
        <v>6984</v>
      </c>
      <c r="DCC7" t="s">
        <v>6984</v>
      </c>
      <c r="DCD7" t="s">
        <v>6984</v>
      </c>
      <c r="DCE7" t="s">
        <v>6984</v>
      </c>
      <c r="DCF7" t="s">
        <v>6984</v>
      </c>
      <c r="DCG7" t="s">
        <v>6984</v>
      </c>
      <c r="DCH7" t="s">
        <v>6984</v>
      </c>
      <c r="DCI7" t="s">
        <v>6984</v>
      </c>
      <c r="DCJ7" t="s">
        <v>6984</v>
      </c>
      <c r="DCK7" t="s">
        <v>6984</v>
      </c>
      <c r="DCL7" t="s">
        <v>6984</v>
      </c>
      <c r="DCM7" t="s">
        <v>6984</v>
      </c>
      <c r="DCN7" t="s">
        <v>6984</v>
      </c>
      <c r="DCO7" t="s">
        <v>6984</v>
      </c>
      <c r="DCP7" t="s">
        <v>6984</v>
      </c>
      <c r="DCQ7" t="s">
        <v>6984</v>
      </c>
      <c r="DCR7" t="s">
        <v>6984</v>
      </c>
      <c r="DCS7" t="s">
        <v>6984</v>
      </c>
      <c r="DCT7" t="s">
        <v>6984</v>
      </c>
      <c r="DCU7" t="s">
        <v>6984</v>
      </c>
      <c r="DCV7" t="s">
        <v>6984</v>
      </c>
      <c r="DCW7" t="s">
        <v>6984</v>
      </c>
      <c r="DCX7" t="s">
        <v>6984</v>
      </c>
      <c r="DCY7" t="s">
        <v>6984</v>
      </c>
      <c r="DCZ7" t="s">
        <v>6984</v>
      </c>
      <c r="DDA7" t="s">
        <v>6984</v>
      </c>
      <c r="DDB7" t="s">
        <v>6984</v>
      </c>
      <c r="DDC7" t="s">
        <v>6984</v>
      </c>
      <c r="DDD7" t="s">
        <v>6984</v>
      </c>
      <c r="DDE7" t="s">
        <v>6984</v>
      </c>
      <c r="DDF7" t="s">
        <v>6984</v>
      </c>
      <c r="DDG7" t="s">
        <v>6984</v>
      </c>
      <c r="DDH7" t="s">
        <v>6984</v>
      </c>
      <c r="DDI7" t="s">
        <v>6984</v>
      </c>
      <c r="DDJ7" t="s">
        <v>6984</v>
      </c>
      <c r="DDK7" t="s">
        <v>6984</v>
      </c>
      <c r="DDL7" t="s">
        <v>6984</v>
      </c>
      <c r="DDM7" t="s">
        <v>6984</v>
      </c>
      <c r="DDN7" t="s">
        <v>6984</v>
      </c>
      <c r="DDO7" t="s">
        <v>6984</v>
      </c>
      <c r="DDP7" t="s">
        <v>6984</v>
      </c>
      <c r="DDQ7" t="s">
        <v>6984</v>
      </c>
      <c r="DDR7" t="s">
        <v>6984</v>
      </c>
      <c r="DDS7" t="s">
        <v>6984</v>
      </c>
      <c r="DDT7" t="s">
        <v>6984</v>
      </c>
      <c r="DDU7" t="s">
        <v>6984</v>
      </c>
      <c r="DDV7" t="s">
        <v>6984</v>
      </c>
      <c r="DDW7" t="s">
        <v>6984</v>
      </c>
      <c r="DDX7" t="s">
        <v>6984</v>
      </c>
      <c r="DDY7" t="s">
        <v>6984</v>
      </c>
      <c r="DDZ7" t="s">
        <v>6984</v>
      </c>
      <c r="DEA7" t="s">
        <v>6984</v>
      </c>
      <c r="DEB7" t="s">
        <v>6984</v>
      </c>
      <c r="DEC7" t="s">
        <v>6984</v>
      </c>
      <c r="DED7" t="s">
        <v>6984</v>
      </c>
      <c r="DEE7" t="s">
        <v>6984</v>
      </c>
      <c r="DEF7" t="s">
        <v>6984</v>
      </c>
      <c r="DEG7" t="s">
        <v>6984</v>
      </c>
      <c r="DEH7" t="s">
        <v>6984</v>
      </c>
      <c r="DEI7" t="s">
        <v>6984</v>
      </c>
      <c r="DEJ7" t="s">
        <v>6984</v>
      </c>
      <c r="DEK7" t="s">
        <v>6984</v>
      </c>
      <c r="DEL7" t="s">
        <v>6984</v>
      </c>
      <c r="DEM7" t="s">
        <v>6984</v>
      </c>
      <c r="DEN7" t="s">
        <v>6984</v>
      </c>
      <c r="DEO7" t="s">
        <v>6984</v>
      </c>
      <c r="DEP7" t="s">
        <v>6984</v>
      </c>
      <c r="DEQ7" t="s">
        <v>6984</v>
      </c>
      <c r="DER7" t="s">
        <v>6984</v>
      </c>
      <c r="DES7" t="s">
        <v>6984</v>
      </c>
      <c r="DET7" t="s">
        <v>6984</v>
      </c>
      <c r="DEU7" t="s">
        <v>6984</v>
      </c>
      <c r="DEV7" t="s">
        <v>6984</v>
      </c>
      <c r="DEW7" t="s">
        <v>6984</v>
      </c>
      <c r="DEX7" t="s">
        <v>6984</v>
      </c>
      <c r="DEY7" t="s">
        <v>6984</v>
      </c>
      <c r="DEZ7" t="s">
        <v>6984</v>
      </c>
      <c r="DFA7" t="s">
        <v>6984</v>
      </c>
      <c r="DFB7" t="s">
        <v>6984</v>
      </c>
      <c r="DFC7" t="s">
        <v>6984</v>
      </c>
      <c r="DFD7" t="s">
        <v>6984</v>
      </c>
      <c r="DFE7" t="s">
        <v>6984</v>
      </c>
      <c r="DFF7" t="s">
        <v>6984</v>
      </c>
      <c r="DFG7" t="s">
        <v>6984</v>
      </c>
      <c r="DFH7" t="s">
        <v>6984</v>
      </c>
      <c r="DFI7" t="s">
        <v>6984</v>
      </c>
      <c r="DFJ7" t="s">
        <v>6984</v>
      </c>
      <c r="DFK7" t="s">
        <v>6984</v>
      </c>
      <c r="DFL7" t="s">
        <v>6984</v>
      </c>
      <c r="DFM7" t="s">
        <v>6984</v>
      </c>
      <c r="DFN7" t="s">
        <v>6984</v>
      </c>
      <c r="DFO7" t="s">
        <v>6984</v>
      </c>
      <c r="DFP7" t="s">
        <v>6984</v>
      </c>
      <c r="DFQ7" t="s">
        <v>6984</v>
      </c>
      <c r="DFR7" t="s">
        <v>6984</v>
      </c>
      <c r="DFS7" t="s">
        <v>6984</v>
      </c>
      <c r="DFT7" t="s">
        <v>6984</v>
      </c>
      <c r="DFU7" t="s">
        <v>6984</v>
      </c>
      <c r="DFV7" t="s">
        <v>6984</v>
      </c>
      <c r="DFW7" t="s">
        <v>6984</v>
      </c>
      <c r="DFX7" t="s">
        <v>6984</v>
      </c>
      <c r="DFY7" t="s">
        <v>6984</v>
      </c>
      <c r="DFZ7" t="s">
        <v>6984</v>
      </c>
      <c r="DGA7" t="s">
        <v>6984</v>
      </c>
      <c r="DGB7" t="s">
        <v>6984</v>
      </c>
      <c r="DGC7" t="s">
        <v>6984</v>
      </c>
      <c r="DGD7" t="s">
        <v>6984</v>
      </c>
      <c r="DGE7" t="s">
        <v>6984</v>
      </c>
      <c r="DGF7" t="s">
        <v>6984</v>
      </c>
      <c r="DGG7" t="s">
        <v>6984</v>
      </c>
      <c r="DGH7" t="s">
        <v>6984</v>
      </c>
      <c r="DGI7" t="s">
        <v>6984</v>
      </c>
      <c r="DGJ7" t="s">
        <v>6984</v>
      </c>
      <c r="DGK7" t="s">
        <v>6984</v>
      </c>
      <c r="DGL7" t="s">
        <v>6984</v>
      </c>
      <c r="DGM7" t="s">
        <v>6984</v>
      </c>
      <c r="DGN7" t="s">
        <v>6984</v>
      </c>
      <c r="DGO7" t="s">
        <v>6984</v>
      </c>
      <c r="DGP7" t="s">
        <v>6984</v>
      </c>
      <c r="DGQ7" t="s">
        <v>6984</v>
      </c>
      <c r="DGR7" t="s">
        <v>6984</v>
      </c>
      <c r="DGS7" t="s">
        <v>6984</v>
      </c>
      <c r="DGT7" t="s">
        <v>6984</v>
      </c>
      <c r="DGU7" t="s">
        <v>6984</v>
      </c>
      <c r="DGV7" t="s">
        <v>6984</v>
      </c>
      <c r="DGW7" t="s">
        <v>6984</v>
      </c>
      <c r="DGX7" t="s">
        <v>6984</v>
      </c>
      <c r="DGY7" t="s">
        <v>6984</v>
      </c>
      <c r="DGZ7" t="s">
        <v>6984</v>
      </c>
      <c r="DHA7" t="s">
        <v>6984</v>
      </c>
      <c r="DHB7" t="s">
        <v>6984</v>
      </c>
      <c r="DHC7" t="s">
        <v>6984</v>
      </c>
      <c r="DHD7" t="s">
        <v>6984</v>
      </c>
      <c r="DHE7" t="s">
        <v>6984</v>
      </c>
      <c r="DHF7" t="s">
        <v>6984</v>
      </c>
      <c r="DHG7" t="s">
        <v>6984</v>
      </c>
      <c r="DHH7" t="s">
        <v>6984</v>
      </c>
      <c r="DHI7" t="s">
        <v>6984</v>
      </c>
      <c r="DHJ7" t="s">
        <v>6984</v>
      </c>
      <c r="DHK7" t="s">
        <v>6984</v>
      </c>
      <c r="DHL7" t="s">
        <v>6984</v>
      </c>
      <c r="DHM7" t="s">
        <v>6984</v>
      </c>
      <c r="DHN7" t="s">
        <v>6984</v>
      </c>
      <c r="DHO7" t="s">
        <v>6984</v>
      </c>
      <c r="DHP7" t="s">
        <v>6984</v>
      </c>
      <c r="DHQ7" t="s">
        <v>6984</v>
      </c>
      <c r="DHR7" t="s">
        <v>6984</v>
      </c>
      <c r="DHS7" t="s">
        <v>6984</v>
      </c>
      <c r="DHT7" t="s">
        <v>6984</v>
      </c>
      <c r="DHU7" t="s">
        <v>6984</v>
      </c>
      <c r="DHV7" t="s">
        <v>6984</v>
      </c>
      <c r="DHW7" t="s">
        <v>6984</v>
      </c>
      <c r="DHX7" t="s">
        <v>6984</v>
      </c>
      <c r="DHY7" t="s">
        <v>6984</v>
      </c>
      <c r="DHZ7" t="s">
        <v>6984</v>
      </c>
      <c r="DIA7" t="s">
        <v>6984</v>
      </c>
      <c r="DIB7" t="s">
        <v>6984</v>
      </c>
      <c r="DIC7" t="s">
        <v>6984</v>
      </c>
      <c r="DID7" t="s">
        <v>6984</v>
      </c>
      <c r="DIE7" t="s">
        <v>6984</v>
      </c>
      <c r="DIF7" t="s">
        <v>6984</v>
      </c>
      <c r="DIG7" t="s">
        <v>6984</v>
      </c>
      <c r="DIH7" t="s">
        <v>6984</v>
      </c>
      <c r="DII7" t="s">
        <v>6984</v>
      </c>
      <c r="DIJ7" t="s">
        <v>6984</v>
      </c>
      <c r="DIK7" t="s">
        <v>6984</v>
      </c>
      <c r="DIL7" t="s">
        <v>6984</v>
      </c>
      <c r="DIM7" t="s">
        <v>6984</v>
      </c>
      <c r="DIN7" t="s">
        <v>6984</v>
      </c>
      <c r="DIO7" t="s">
        <v>6984</v>
      </c>
      <c r="DIP7" t="s">
        <v>6984</v>
      </c>
      <c r="DIQ7" t="s">
        <v>6984</v>
      </c>
      <c r="DIR7" t="s">
        <v>6984</v>
      </c>
      <c r="DIS7" t="s">
        <v>6984</v>
      </c>
      <c r="DIT7" t="s">
        <v>6984</v>
      </c>
      <c r="DIU7" t="s">
        <v>6984</v>
      </c>
      <c r="DIV7" t="s">
        <v>6984</v>
      </c>
      <c r="DIW7" t="s">
        <v>6984</v>
      </c>
      <c r="DIX7" t="s">
        <v>6984</v>
      </c>
      <c r="DIY7" t="s">
        <v>6984</v>
      </c>
      <c r="DIZ7" t="s">
        <v>6984</v>
      </c>
      <c r="DJA7" t="s">
        <v>6984</v>
      </c>
      <c r="DJB7" t="s">
        <v>6984</v>
      </c>
      <c r="DJC7" t="s">
        <v>6984</v>
      </c>
      <c r="DJD7" t="s">
        <v>6984</v>
      </c>
      <c r="DJE7" t="s">
        <v>6984</v>
      </c>
      <c r="DJF7" t="s">
        <v>6984</v>
      </c>
      <c r="DJG7" t="s">
        <v>6984</v>
      </c>
      <c r="DJH7" t="s">
        <v>6984</v>
      </c>
      <c r="DJI7" t="s">
        <v>6984</v>
      </c>
      <c r="DJJ7" t="s">
        <v>6984</v>
      </c>
      <c r="DJK7" t="s">
        <v>6984</v>
      </c>
      <c r="DJL7" t="s">
        <v>6984</v>
      </c>
      <c r="DJM7" t="s">
        <v>6984</v>
      </c>
      <c r="DJN7" t="s">
        <v>6984</v>
      </c>
      <c r="DJO7" t="s">
        <v>6984</v>
      </c>
      <c r="DJP7" t="s">
        <v>6984</v>
      </c>
      <c r="DJQ7" t="s">
        <v>6984</v>
      </c>
      <c r="DJR7" t="s">
        <v>6984</v>
      </c>
      <c r="DJS7" t="s">
        <v>6984</v>
      </c>
      <c r="DJT7" t="s">
        <v>6984</v>
      </c>
      <c r="DJU7" t="s">
        <v>6984</v>
      </c>
      <c r="DJV7" t="s">
        <v>6984</v>
      </c>
      <c r="DJW7" t="s">
        <v>6984</v>
      </c>
      <c r="DJX7" t="s">
        <v>6984</v>
      </c>
      <c r="DJY7" t="s">
        <v>6984</v>
      </c>
      <c r="DJZ7" t="s">
        <v>6984</v>
      </c>
      <c r="DKA7" t="s">
        <v>6984</v>
      </c>
      <c r="DKB7" t="s">
        <v>6984</v>
      </c>
      <c r="DKC7" t="s">
        <v>6984</v>
      </c>
      <c r="DKD7" t="s">
        <v>6984</v>
      </c>
      <c r="DKE7" t="s">
        <v>6984</v>
      </c>
      <c r="DKF7" t="s">
        <v>6984</v>
      </c>
      <c r="DKG7" t="s">
        <v>6984</v>
      </c>
      <c r="DKH7" t="s">
        <v>6984</v>
      </c>
      <c r="DKI7" t="s">
        <v>6984</v>
      </c>
      <c r="DKJ7" t="s">
        <v>6984</v>
      </c>
      <c r="DKK7" t="s">
        <v>6984</v>
      </c>
      <c r="DKL7" t="s">
        <v>6984</v>
      </c>
      <c r="DKM7" t="s">
        <v>6984</v>
      </c>
      <c r="DKN7" t="s">
        <v>6984</v>
      </c>
      <c r="DKO7" t="s">
        <v>6984</v>
      </c>
      <c r="DKP7" t="s">
        <v>6984</v>
      </c>
      <c r="DKQ7" t="s">
        <v>6984</v>
      </c>
      <c r="DKR7" t="s">
        <v>6984</v>
      </c>
      <c r="DKS7" t="s">
        <v>6984</v>
      </c>
      <c r="DKT7" t="s">
        <v>6984</v>
      </c>
      <c r="DKU7" t="s">
        <v>6984</v>
      </c>
      <c r="DKV7" t="s">
        <v>6984</v>
      </c>
      <c r="DKW7" t="s">
        <v>6984</v>
      </c>
      <c r="DKX7" t="s">
        <v>6984</v>
      </c>
      <c r="DKY7" t="s">
        <v>6984</v>
      </c>
      <c r="DKZ7" t="s">
        <v>6984</v>
      </c>
      <c r="DLA7" t="s">
        <v>6984</v>
      </c>
      <c r="DLB7" t="s">
        <v>6984</v>
      </c>
      <c r="DLC7" t="s">
        <v>6984</v>
      </c>
      <c r="DLD7" t="s">
        <v>6984</v>
      </c>
      <c r="DLE7" t="s">
        <v>6984</v>
      </c>
      <c r="DLF7" t="s">
        <v>6984</v>
      </c>
      <c r="DLG7" t="s">
        <v>6984</v>
      </c>
      <c r="DLH7" t="s">
        <v>6984</v>
      </c>
      <c r="DLI7" t="s">
        <v>6984</v>
      </c>
      <c r="DLJ7" t="s">
        <v>6984</v>
      </c>
      <c r="DLK7" t="s">
        <v>6984</v>
      </c>
      <c r="DLL7" t="s">
        <v>6984</v>
      </c>
      <c r="DLM7" t="s">
        <v>6984</v>
      </c>
      <c r="DLN7" t="s">
        <v>6984</v>
      </c>
      <c r="DLO7" t="s">
        <v>6984</v>
      </c>
      <c r="DLP7" t="s">
        <v>6984</v>
      </c>
      <c r="DLQ7" t="s">
        <v>6984</v>
      </c>
      <c r="DLR7" t="s">
        <v>6984</v>
      </c>
      <c r="DLS7" t="s">
        <v>6984</v>
      </c>
      <c r="DLT7" t="s">
        <v>6984</v>
      </c>
      <c r="DLU7" t="s">
        <v>6984</v>
      </c>
      <c r="DLV7" t="s">
        <v>6984</v>
      </c>
      <c r="DLW7" t="s">
        <v>6984</v>
      </c>
      <c r="DLX7" t="s">
        <v>6984</v>
      </c>
      <c r="DLY7" t="s">
        <v>6984</v>
      </c>
      <c r="DLZ7" t="s">
        <v>6984</v>
      </c>
      <c r="DMA7" t="s">
        <v>6984</v>
      </c>
      <c r="DMB7" t="s">
        <v>6984</v>
      </c>
      <c r="DMC7" t="s">
        <v>6984</v>
      </c>
      <c r="DMD7" t="s">
        <v>6984</v>
      </c>
      <c r="DME7" t="s">
        <v>6984</v>
      </c>
      <c r="DMF7" t="s">
        <v>6984</v>
      </c>
      <c r="DMG7" t="s">
        <v>6984</v>
      </c>
      <c r="DMH7" t="s">
        <v>6984</v>
      </c>
      <c r="DMI7" t="s">
        <v>6984</v>
      </c>
      <c r="DMJ7" t="s">
        <v>6984</v>
      </c>
      <c r="DMK7" t="s">
        <v>6984</v>
      </c>
      <c r="DML7" t="s">
        <v>6984</v>
      </c>
      <c r="DMM7" t="s">
        <v>6984</v>
      </c>
      <c r="DMN7" t="s">
        <v>6984</v>
      </c>
      <c r="DMO7" t="s">
        <v>6984</v>
      </c>
      <c r="DMP7" t="s">
        <v>6984</v>
      </c>
      <c r="DMQ7" t="s">
        <v>6984</v>
      </c>
      <c r="DMR7" t="s">
        <v>6984</v>
      </c>
      <c r="DMS7" t="s">
        <v>6984</v>
      </c>
      <c r="DMT7" t="s">
        <v>6984</v>
      </c>
      <c r="DMU7" t="s">
        <v>6984</v>
      </c>
      <c r="DMV7" t="s">
        <v>6984</v>
      </c>
      <c r="DMW7" t="s">
        <v>6984</v>
      </c>
      <c r="DMX7" t="s">
        <v>6984</v>
      </c>
      <c r="DMY7" t="s">
        <v>6984</v>
      </c>
      <c r="DMZ7" t="s">
        <v>6984</v>
      </c>
      <c r="DNA7" t="s">
        <v>6984</v>
      </c>
      <c r="DNB7" t="s">
        <v>6984</v>
      </c>
      <c r="DNC7" t="s">
        <v>6984</v>
      </c>
      <c r="DND7" t="s">
        <v>6984</v>
      </c>
      <c r="DNE7" t="s">
        <v>6984</v>
      </c>
      <c r="DNF7" t="s">
        <v>6984</v>
      </c>
      <c r="DNG7" t="s">
        <v>6984</v>
      </c>
      <c r="DNH7" t="s">
        <v>6984</v>
      </c>
      <c r="DNI7" t="s">
        <v>6984</v>
      </c>
      <c r="DNJ7" t="s">
        <v>6984</v>
      </c>
      <c r="DNK7" t="s">
        <v>6984</v>
      </c>
      <c r="DNL7" t="s">
        <v>6984</v>
      </c>
      <c r="DNM7" t="s">
        <v>6984</v>
      </c>
      <c r="DNN7" t="s">
        <v>6984</v>
      </c>
      <c r="DNO7" t="s">
        <v>6984</v>
      </c>
      <c r="DNP7" t="s">
        <v>6984</v>
      </c>
      <c r="DNQ7" t="s">
        <v>6984</v>
      </c>
      <c r="DNR7" t="s">
        <v>6984</v>
      </c>
      <c r="DNS7" t="s">
        <v>6984</v>
      </c>
      <c r="DNT7" t="s">
        <v>6984</v>
      </c>
      <c r="DNU7" t="s">
        <v>6984</v>
      </c>
      <c r="DNV7" t="s">
        <v>6984</v>
      </c>
      <c r="DNW7" t="s">
        <v>6984</v>
      </c>
      <c r="DNX7" t="s">
        <v>6984</v>
      </c>
      <c r="DNY7" t="s">
        <v>6984</v>
      </c>
      <c r="DNZ7" t="s">
        <v>6984</v>
      </c>
      <c r="DOA7" t="s">
        <v>6984</v>
      </c>
      <c r="DOB7" t="s">
        <v>6984</v>
      </c>
      <c r="DOC7" t="s">
        <v>6984</v>
      </c>
      <c r="DOD7" t="s">
        <v>6984</v>
      </c>
      <c r="DOE7" t="s">
        <v>6984</v>
      </c>
      <c r="DOF7" t="s">
        <v>6984</v>
      </c>
      <c r="DOG7" t="s">
        <v>6984</v>
      </c>
      <c r="DOH7" t="s">
        <v>6984</v>
      </c>
      <c r="DOI7" t="s">
        <v>6984</v>
      </c>
      <c r="DOJ7" t="s">
        <v>6984</v>
      </c>
      <c r="DOK7" t="s">
        <v>6984</v>
      </c>
      <c r="DOL7" t="s">
        <v>6984</v>
      </c>
      <c r="DOM7" t="s">
        <v>6984</v>
      </c>
      <c r="DON7" t="s">
        <v>6984</v>
      </c>
      <c r="DOO7" t="s">
        <v>6984</v>
      </c>
      <c r="DOP7" t="s">
        <v>6984</v>
      </c>
      <c r="DOQ7" t="s">
        <v>6984</v>
      </c>
      <c r="DOR7" t="s">
        <v>6984</v>
      </c>
      <c r="DOS7" t="s">
        <v>6984</v>
      </c>
      <c r="DOT7" t="s">
        <v>6984</v>
      </c>
      <c r="DOU7" t="s">
        <v>6984</v>
      </c>
      <c r="DOV7" t="s">
        <v>6984</v>
      </c>
      <c r="DOW7" t="s">
        <v>6984</v>
      </c>
      <c r="DOX7" t="s">
        <v>6984</v>
      </c>
      <c r="DOY7" t="s">
        <v>6984</v>
      </c>
      <c r="DOZ7" t="s">
        <v>6984</v>
      </c>
      <c r="DPA7" t="s">
        <v>6984</v>
      </c>
      <c r="DPB7" t="s">
        <v>6984</v>
      </c>
      <c r="DPC7" t="s">
        <v>6984</v>
      </c>
      <c r="DPD7" t="s">
        <v>6984</v>
      </c>
      <c r="DPE7" t="s">
        <v>6984</v>
      </c>
      <c r="DPF7" t="s">
        <v>6984</v>
      </c>
      <c r="DPG7" t="s">
        <v>6984</v>
      </c>
      <c r="DPH7" t="s">
        <v>6984</v>
      </c>
      <c r="DPI7" t="s">
        <v>6984</v>
      </c>
      <c r="DPJ7" t="s">
        <v>6984</v>
      </c>
      <c r="DPK7" t="s">
        <v>6984</v>
      </c>
      <c r="DPL7" t="s">
        <v>6984</v>
      </c>
      <c r="DPM7" t="s">
        <v>6984</v>
      </c>
      <c r="DPN7" t="s">
        <v>6984</v>
      </c>
      <c r="DPO7" t="s">
        <v>6984</v>
      </c>
      <c r="DPP7" t="s">
        <v>6984</v>
      </c>
      <c r="DPQ7" t="s">
        <v>6984</v>
      </c>
      <c r="DPR7" t="s">
        <v>6984</v>
      </c>
      <c r="DPS7" t="s">
        <v>6984</v>
      </c>
      <c r="DPT7" t="s">
        <v>6984</v>
      </c>
      <c r="DPU7" t="s">
        <v>6984</v>
      </c>
      <c r="DPV7" t="s">
        <v>6984</v>
      </c>
      <c r="DPW7" t="s">
        <v>6984</v>
      </c>
      <c r="DPX7" t="s">
        <v>6984</v>
      </c>
      <c r="DPY7" t="s">
        <v>6984</v>
      </c>
      <c r="DPZ7" t="s">
        <v>6984</v>
      </c>
      <c r="DQA7" t="s">
        <v>6984</v>
      </c>
      <c r="DQB7" t="s">
        <v>6984</v>
      </c>
      <c r="DQC7" t="s">
        <v>6984</v>
      </c>
      <c r="DQD7" t="s">
        <v>6984</v>
      </c>
      <c r="DQE7" t="s">
        <v>6984</v>
      </c>
      <c r="DQF7" t="s">
        <v>6984</v>
      </c>
      <c r="DQG7" t="s">
        <v>6984</v>
      </c>
      <c r="DQH7" t="s">
        <v>6984</v>
      </c>
      <c r="DQI7" t="s">
        <v>6984</v>
      </c>
      <c r="DQJ7" t="s">
        <v>6984</v>
      </c>
      <c r="DQK7" t="s">
        <v>6984</v>
      </c>
      <c r="DQL7" t="s">
        <v>6984</v>
      </c>
      <c r="DQM7" t="s">
        <v>6984</v>
      </c>
      <c r="DQN7" t="s">
        <v>6984</v>
      </c>
      <c r="DQO7" t="s">
        <v>6984</v>
      </c>
      <c r="DQP7" t="s">
        <v>6984</v>
      </c>
      <c r="DQQ7" t="s">
        <v>6984</v>
      </c>
      <c r="DQR7" t="s">
        <v>6984</v>
      </c>
      <c r="DQS7" t="s">
        <v>6984</v>
      </c>
      <c r="DQT7" t="s">
        <v>6984</v>
      </c>
      <c r="DQU7" t="s">
        <v>6984</v>
      </c>
      <c r="DQV7" t="s">
        <v>6984</v>
      </c>
      <c r="DQW7" t="s">
        <v>6984</v>
      </c>
      <c r="DQX7" t="s">
        <v>6984</v>
      </c>
      <c r="DQY7" t="s">
        <v>6984</v>
      </c>
      <c r="DQZ7" t="s">
        <v>6984</v>
      </c>
      <c r="DRA7" t="s">
        <v>6984</v>
      </c>
      <c r="DRB7" t="s">
        <v>6984</v>
      </c>
      <c r="DRC7" t="s">
        <v>6984</v>
      </c>
      <c r="DRD7" t="s">
        <v>6984</v>
      </c>
      <c r="DRE7" t="s">
        <v>6984</v>
      </c>
      <c r="DRF7" t="s">
        <v>6984</v>
      </c>
      <c r="DRG7" t="s">
        <v>6984</v>
      </c>
      <c r="DRH7" t="s">
        <v>6984</v>
      </c>
      <c r="DRI7" t="s">
        <v>6984</v>
      </c>
      <c r="DRJ7" t="s">
        <v>6984</v>
      </c>
      <c r="DRK7" t="s">
        <v>6984</v>
      </c>
      <c r="DRL7" t="s">
        <v>6984</v>
      </c>
      <c r="DRM7" t="s">
        <v>6984</v>
      </c>
      <c r="DRN7" t="s">
        <v>6984</v>
      </c>
      <c r="DRO7" t="s">
        <v>6984</v>
      </c>
      <c r="DRP7" t="s">
        <v>6984</v>
      </c>
      <c r="DRQ7" t="s">
        <v>6984</v>
      </c>
      <c r="DRR7" t="s">
        <v>6984</v>
      </c>
      <c r="DRS7" t="s">
        <v>6984</v>
      </c>
      <c r="DRT7" t="s">
        <v>6984</v>
      </c>
      <c r="DRU7" t="s">
        <v>6984</v>
      </c>
      <c r="DRV7" t="s">
        <v>6984</v>
      </c>
      <c r="DRW7" t="s">
        <v>6984</v>
      </c>
      <c r="DRX7" t="s">
        <v>6984</v>
      </c>
      <c r="DRY7" t="s">
        <v>6984</v>
      </c>
      <c r="DRZ7" t="s">
        <v>6984</v>
      </c>
      <c r="DSA7" t="s">
        <v>6984</v>
      </c>
      <c r="DSB7" t="s">
        <v>6984</v>
      </c>
      <c r="DSC7" t="s">
        <v>6984</v>
      </c>
      <c r="DSD7" t="s">
        <v>6984</v>
      </c>
      <c r="DSE7" t="s">
        <v>6984</v>
      </c>
      <c r="DSF7" t="s">
        <v>6984</v>
      </c>
      <c r="DSG7" t="s">
        <v>6984</v>
      </c>
      <c r="DSH7" t="s">
        <v>6984</v>
      </c>
      <c r="DSI7" t="s">
        <v>6984</v>
      </c>
      <c r="DSJ7" t="s">
        <v>6984</v>
      </c>
      <c r="DSK7" t="s">
        <v>6984</v>
      </c>
      <c r="DSL7" t="s">
        <v>6984</v>
      </c>
      <c r="DSM7" t="s">
        <v>6984</v>
      </c>
      <c r="DSN7" t="s">
        <v>6984</v>
      </c>
      <c r="DSO7" t="s">
        <v>6984</v>
      </c>
      <c r="DSP7" t="s">
        <v>6984</v>
      </c>
      <c r="DSQ7" t="s">
        <v>6984</v>
      </c>
      <c r="DSR7" t="s">
        <v>6984</v>
      </c>
      <c r="DSS7" t="s">
        <v>6984</v>
      </c>
      <c r="DST7" t="s">
        <v>6984</v>
      </c>
      <c r="DSU7" t="s">
        <v>6984</v>
      </c>
      <c r="DSV7" t="s">
        <v>6984</v>
      </c>
      <c r="DSW7" t="s">
        <v>6984</v>
      </c>
      <c r="DSX7" t="s">
        <v>6984</v>
      </c>
      <c r="DSY7" t="s">
        <v>6984</v>
      </c>
      <c r="DSZ7" t="s">
        <v>6984</v>
      </c>
      <c r="DTA7" t="s">
        <v>6984</v>
      </c>
      <c r="DTB7" t="s">
        <v>6984</v>
      </c>
      <c r="DTC7" t="s">
        <v>6984</v>
      </c>
      <c r="DTD7" t="s">
        <v>6984</v>
      </c>
      <c r="DTE7" t="s">
        <v>6984</v>
      </c>
      <c r="DTF7" t="s">
        <v>6984</v>
      </c>
      <c r="DTG7" t="s">
        <v>6984</v>
      </c>
      <c r="DTH7" t="s">
        <v>6984</v>
      </c>
      <c r="DTI7" t="s">
        <v>6984</v>
      </c>
      <c r="DTJ7" t="s">
        <v>6984</v>
      </c>
      <c r="DTK7" t="s">
        <v>6984</v>
      </c>
      <c r="DTL7" t="s">
        <v>6984</v>
      </c>
      <c r="DTM7" t="s">
        <v>6984</v>
      </c>
      <c r="DTN7" t="s">
        <v>6984</v>
      </c>
      <c r="DTO7" t="s">
        <v>6984</v>
      </c>
      <c r="DTP7" t="s">
        <v>6984</v>
      </c>
      <c r="DTQ7" t="s">
        <v>6984</v>
      </c>
      <c r="DTR7" t="s">
        <v>6984</v>
      </c>
      <c r="DTS7" t="s">
        <v>6984</v>
      </c>
      <c r="DTT7" t="s">
        <v>6984</v>
      </c>
      <c r="DTU7" t="s">
        <v>6984</v>
      </c>
      <c r="DTV7" t="s">
        <v>6984</v>
      </c>
      <c r="DTW7" t="s">
        <v>6984</v>
      </c>
      <c r="DTX7" t="s">
        <v>6984</v>
      </c>
      <c r="DTY7" t="s">
        <v>6984</v>
      </c>
      <c r="DTZ7" t="s">
        <v>6984</v>
      </c>
      <c r="DUA7" t="s">
        <v>6984</v>
      </c>
      <c r="DUB7" t="s">
        <v>6984</v>
      </c>
      <c r="DUC7" t="s">
        <v>6984</v>
      </c>
      <c r="DUD7" t="s">
        <v>6984</v>
      </c>
      <c r="DUE7" t="s">
        <v>6984</v>
      </c>
      <c r="DUF7" t="s">
        <v>6984</v>
      </c>
      <c r="DUG7" t="s">
        <v>6984</v>
      </c>
      <c r="DUH7" t="s">
        <v>6984</v>
      </c>
      <c r="DUI7" t="s">
        <v>6984</v>
      </c>
      <c r="DUJ7" t="s">
        <v>6984</v>
      </c>
      <c r="DUK7" t="s">
        <v>6984</v>
      </c>
      <c r="DUL7" t="s">
        <v>6984</v>
      </c>
      <c r="DUM7" t="s">
        <v>6984</v>
      </c>
      <c r="DUN7" t="s">
        <v>6984</v>
      </c>
      <c r="DUO7" t="s">
        <v>6984</v>
      </c>
      <c r="DUP7" t="s">
        <v>6984</v>
      </c>
      <c r="DUQ7" t="s">
        <v>6984</v>
      </c>
      <c r="DUR7" t="s">
        <v>6984</v>
      </c>
      <c r="DUS7" t="s">
        <v>6984</v>
      </c>
      <c r="DUT7" t="s">
        <v>6984</v>
      </c>
      <c r="DUU7" t="s">
        <v>6984</v>
      </c>
      <c r="DUV7" t="s">
        <v>6984</v>
      </c>
      <c r="DUW7" t="s">
        <v>6984</v>
      </c>
      <c r="DUX7" t="s">
        <v>6984</v>
      </c>
      <c r="DUY7" t="s">
        <v>6984</v>
      </c>
      <c r="DUZ7" t="s">
        <v>6984</v>
      </c>
      <c r="DVA7" t="s">
        <v>6984</v>
      </c>
      <c r="DVB7" t="s">
        <v>6984</v>
      </c>
      <c r="DVC7" t="s">
        <v>6984</v>
      </c>
      <c r="DVD7" t="s">
        <v>6984</v>
      </c>
      <c r="DVE7" t="s">
        <v>6984</v>
      </c>
      <c r="DVF7" t="s">
        <v>6984</v>
      </c>
      <c r="DVG7" t="s">
        <v>6984</v>
      </c>
      <c r="DVH7" t="s">
        <v>6984</v>
      </c>
      <c r="DVI7" t="s">
        <v>6984</v>
      </c>
      <c r="DVJ7" t="s">
        <v>6984</v>
      </c>
      <c r="DVK7" t="s">
        <v>6984</v>
      </c>
      <c r="DVL7" t="s">
        <v>6984</v>
      </c>
      <c r="DVM7" t="s">
        <v>6984</v>
      </c>
      <c r="DVN7" t="s">
        <v>6984</v>
      </c>
      <c r="DVO7" t="s">
        <v>6984</v>
      </c>
      <c r="DVP7" t="s">
        <v>6984</v>
      </c>
      <c r="DVQ7" t="s">
        <v>6984</v>
      </c>
      <c r="DVR7" t="s">
        <v>6984</v>
      </c>
      <c r="DVS7" t="s">
        <v>6984</v>
      </c>
      <c r="DVT7" t="s">
        <v>6984</v>
      </c>
      <c r="DVU7" t="s">
        <v>6984</v>
      </c>
      <c r="DVV7" t="s">
        <v>6984</v>
      </c>
      <c r="DVW7" t="s">
        <v>6984</v>
      </c>
      <c r="DVX7" t="s">
        <v>6984</v>
      </c>
      <c r="DVY7" t="s">
        <v>6984</v>
      </c>
      <c r="DVZ7" t="s">
        <v>6984</v>
      </c>
      <c r="DWA7" t="s">
        <v>6984</v>
      </c>
      <c r="DWB7" t="s">
        <v>6984</v>
      </c>
      <c r="DWC7" t="s">
        <v>6984</v>
      </c>
      <c r="DWD7" t="s">
        <v>6984</v>
      </c>
      <c r="DWE7" t="s">
        <v>6984</v>
      </c>
      <c r="DWF7" t="s">
        <v>6984</v>
      </c>
      <c r="DWG7" t="s">
        <v>6984</v>
      </c>
      <c r="DWH7" t="s">
        <v>6984</v>
      </c>
      <c r="DWI7" t="s">
        <v>6984</v>
      </c>
      <c r="DWJ7" t="s">
        <v>6984</v>
      </c>
      <c r="DWK7" t="s">
        <v>6984</v>
      </c>
      <c r="DWL7" t="s">
        <v>6984</v>
      </c>
      <c r="DWM7" t="s">
        <v>6984</v>
      </c>
      <c r="DWN7" t="s">
        <v>6984</v>
      </c>
      <c r="DWO7" t="s">
        <v>6984</v>
      </c>
      <c r="DWP7" t="s">
        <v>6984</v>
      </c>
      <c r="DWQ7" t="s">
        <v>6984</v>
      </c>
      <c r="DWR7" t="s">
        <v>6984</v>
      </c>
      <c r="DWS7" t="s">
        <v>6984</v>
      </c>
      <c r="DWT7" t="s">
        <v>6984</v>
      </c>
      <c r="DWU7" t="s">
        <v>6984</v>
      </c>
      <c r="DWV7" t="s">
        <v>6984</v>
      </c>
      <c r="DWW7" t="s">
        <v>6984</v>
      </c>
      <c r="DWX7" t="s">
        <v>6984</v>
      </c>
      <c r="DWY7" t="s">
        <v>6984</v>
      </c>
      <c r="DWZ7" t="s">
        <v>6984</v>
      </c>
      <c r="DXA7" t="s">
        <v>6984</v>
      </c>
      <c r="DXB7" t="s">
        <v>6984</v>
      </c>
      <c r="DXC7" t="s">
        <v>6984</v>
      </c>
      <c r="DXD7" t="s">
        <v>6984</v>
      </c>
      <c r="DXE7" t="s">
        <v>6984</v>
      </c>
      <c r="DXF7" t="s">
        <v>6984</v>
      </c>
      <c r="DXG7" t="s">
        <v>6984</v>
      </c>
      <c r="DXH7" t="s">
        <v>6984</v>
      </c>
      <c r="DXI7" t="s">
        <v>6984</v>
      </c>
      <c r="DXJ7" t="s">
        <v>6984</v>
      </c>
      <c r="DXK7" t="s">
        <v>6984</v>
      </c>
      <c r="DXL7" t="s">
        <v>6984</v>
      </c>
      <c r="DXM7" t="s">
        <v>6984</v>
      </c>
      <c r="DXN7" t="s">
        <v>6984</v>
      </c>
      <c r="DXO7" t="s">
        <v>6984</v>
      </c>
      <c r="DXP7" t="s">
        <v>6984</v>
      </c>
      <c r="DXQ7" t="s">
        <v>6984</v>
      </c>
      <c r="DXR7" t="s">
        <v>6984</v>
      </c>
      <c r="DXS7" t="s">
        <v>6984</v>
      </c>
      <c r="DXT7" t="s">
        <v>6984</v>
      </c>
      <c r="DXU7" t="s">
        <v>6984</v>
      </c>
      <c r="DXV7" t="s">
        <v>6984</v>
      </c>
      <c r="DXW7" t="s">
        <v>6984</v>
      </c>
      <c r="DXX7" t="s">
        <v>6984</v>
      </c>
      <c r="DXY7" t="s">
        <v>6984</v>
      </c>
      <c r="DXZ7" t="s">
        <v>6984</v>
      </c>
      <c r="DYA7" t="s">
        <v>6984</v>
      </c>
      <c r="DYB7" t="s">
        <v>6984</v>
      </c>
      <c r="DYC7" t="s">
        <v>6984</v>
      </c>
      <c r="DYD7" t="s">
        <v>6984</v>
      </c>
      <c r="DYE7" t="s">
        <v>6984</v>
      </c>
      <c r="DYF7" t="s">
        <v>6984</v>
      </c>
      <c r="DYG7" t="s">
        <v>6984</v>
      </c>
      <c r="DYH7" t="s">
        <v>6984</v>
      </c>
      <c r="DYI7" t="s">
        <v>6984</v>
      </c>
      <c r="DYJ7" t="s">
        <v>6984</v>
      </c>
      <c r="DYK7" t="s">
        <v>6984</v>
      </c>
      <c r="DYL7" t="s">
        <v>6984</v>
      </c>
      <c r="DYM7" t="s">
        <v>6984</v>
      </c>
      <c r="DYN7" t="s">
        <v>6984</v>
      </c>
      <c r="DYO7" t="s">
        <v>6984</v>
      </c>
      <c r="DYP7" t="s">
        <v>6984</v>
      </c>
      <c r="DYQ7" t="s">
        <v>6984</v>
      </c>
      <c r="DYR7" t="s">
        <v>6984</v>
      </c>
      <c r="DYS7" t="s">
        <v>6984</v>
      </c>
      <c r="DYT7" t="s">
        <v>6984</v>
      </c>
      <c r="DYU7" t="s">
        <v>6984</v>
      </c>
      <c r="DYV7" t="s">
        <v>6984</v>
      </c>
      <c r="DYW7" t="s">
        <v>6984</v>
      </c>
      <c r="DYX7" t="s">
        <v>6984</v>
      </c>
      <c r="DYY7" t="s">
        <v>6984</v>
      </c>
      <c r="DYZ7" t="s">
        <v>6984</v>
      </c>
      <c r="DZA7" t="s">
        <v>6984</v>
      </c>
      <c r="DZB7" t="s">
        <v>6984</v>
      </c>
      <c r="DZC7" t="s">
        <v>6984</v>
      </c>
      <c r="DZD7" t="s">
        <v>6984</v>
      </c>
      <c r="DZE7" t="s">
        <v>6984</v>
      </c>
      <c r="DZF7" t="s">
        <v>6984</v>
      </c>
      <c r="DZG7" t="s">
        <v>6984</v>
      </c>
      <c r="DZH7" t="s">
        <v>6984</v>
      </c>
      <c r="DZI7" t="s">
        <v>6984</v>
      </c>
      <c r="DZJ7" t="s">
        <v>6984</v>
      </c>
      <c r="DZK7" t="s">
        <v>6984</v>
      </c>
      <c r="DZL7" t="s">
        <v>6984</v>
      </c>
      <c r="DZM7" t="s">
        <v>6984</v>
      </c>
      <c r="DZN7" t="s">
        <v>6984</v>
      </c>
      <c r="DZO7" t="s">
        <v>6984</v>
      </c>
      <c r="DZP7" t="s">
        <v>6984</v>
      </c>
      <c r="DZQ7" t="s">
        <v>6984</v>
      </c>
      <c r="DZR7" t="s">
        <v>6984</v>
      </c>
      <c r="DZS7" t="s">
        <v>6984</v>
      </c>
      <c r="DZT7" t="s">
        <v>6984</v>
      </c>
      <c r="DZU7" t="s">
        <v>6984</v>
      </c>
      <c r="DZV7" t="s">
        <v>6984</v>
      </c>
      <c r="DZW7" t="s">
        <v>6984</v>
      </c>
      <c r="DZX7" t="s">
        <v>6984</v>
      </c>
      <c r="DZY7" t="s">
        <v>6984</v>
      </c>
      <c r="DZZ7" t="s">
        <v>6984</v>
      </c>
      <c r="EAA7" t="s">
        <v>6984</v>
      </c>
      <c r="EAB7" t="s">
        <v>6984</v>
      </c>
      <c r="EAC7" t="s">
        <v>6984</v>
      </c>
      <c r="EAD7" t="s">
        <v>6984</v>
      </c>
      <c r="EAE7" t="s">
        <v>6984</v>
      </c>
      <c r="EAF7" t="s">
        <v>6984</v>
      </c>
      <c r="EAG7" t="s">
        <v>6984</v>
      </c>
      <c r="EAH7" t="s">
        <v>6984</v>
      </c>
      <c r="EAI7" t="s">
        <v>6984</v>
      </c>
      <c r="EAJ7" t="s">
        <v>6984</v>
      </c>
      <c r="EAK7" t="s">
        <v>6984</v>
      </c>
      <c r="EAL7" t="s">
        <v>6984</v>
      </c>
      <c r="EAM7" t="s">
        <v>6984</v>
      </c>
      <c r="EAN7" t="s">
        <v>6984</v>
      </c>
      <c r="EAO7" t="s">
        <v>6984</v>
      </c>
      <c r="EAP7" t="s">
        <v>6984</v>
      </c>
      <c r="EAQ7" t="s">
        <v>6984</v>
      </c>
      <c r="EAR7" t="s">
        <v>6984</v>
      </c>
      <c r="EAS7" t="s">
        <v>6984</v>
      </c>
      <c r="EAT7" t="s">
        <v>6984</v>
      </c>
      <c r="EAU7" t="s">
        <v>6984</v>
      </c>
      <c r="EAV7" t="s">
        <v>6984</v>
      </c>
      <c r="EAW7" t="s">
        <v>6984</v>
      </c>
      <c r="EAX7" t="s">
        <v>6984</v>
      </c>
      <c r="EAY7" t="s">
        <v>6984</v>
      </c>
      <c r="EAZ7" t="s">
        <v>6984</v>
      </c>
      <c r="EBA7" t="s">
        <v>6984</v>
      </c>
      <c r="EBB7" t="s">
        <v>6984</v>
      </c>
      <c r="EBC7" t="s">
        <v>6984</v>
      </c>
      <c r="EBD7" t="s">
        <v>6984</v>
      </c>
      <c r="EBE7" t="s">
        <v>6984</v>
      </c>
      <c r="EBF7" t="s">
        <v>6984</v>
      </c>
      <c r="EBG7" t="s">
        <v>6984</v>
      </c>
      <c r="EBH7" t="s">
        <v>6984</v>
      </c>
      <c r="EBI7" t="s">
        <v>6984</v>
      </c>
      <c r="EBJ7" t="s">
        <v>6984</v>
      </c>
      <c r="EBK7" t="s">
        <v>6984</v>
      </c>
      <c r="EBL7" t="s">
        <v>6984</v>
      </c>
      <c r="EBM7" t="s">
        <v>6984</v>
      </c>
      <c r="EBN7" t="s">
        <v>6984</v>
      </c>
      <c r="EBO7" t="s">
        <v>6984</v>
      </c>
      <c r="EBP7" t="s">
        <v>6984</v>
      </c>
      <c r="EBQ7" t="s">
        <v>6984</v>
      </c>
      <c r="EBR7" t="s">
        <v>6984</v>
      </c>
      <c r="EBS7" t="s">
        <v>6984</v>
      </c>
      <c r="EBT7" t="s">
        <v>6984</v>
      </c>
      <c r="EBU7" t="s">
        <v>6984</v>
      </c>
      <c r="EBV7" t="s">
        <v>6984</v>
      </c>
      <c r="EBW7" t="s">
        <v>6984</v>
      </c>
      <c r="EBX7" t="s">
        <v>6984</v>
      </c>
      <c r="EBY7" t="s">
        <v>6984</v>
      </c>
      <c r="EBZ7" t="s">
        <v>6984</v>
      </c>
      <c r="ECA7" t="s">
        <v>6984</v>
      </c>
      <c r="ECB7" t="s">
        <v>6984</v>
      </c>
      <c r="ECC7" t="s">
        <v>6984</v>
      </c>
      <c r="ECD7" t="s">
        <v>6984</v>
      </c>
      <c r="ECE7" t="s">
        <v>6984</v>
      </c>
      <c r="ECF7" t="s">
        <v>6984</v>
      </c>
      <c r="ECG7" t="s">
        <v>6984</v>
      </c>
      <c r="ECH7" t="s">
        <v>6984</v>
      </c>
      <c r="ECI7" t="s">
        <v>6984</v>
      </c>
      <c r="ECJ7" t="s">
        <v>6984</v>
      </c>
      <c r="ECK7" t="s">
        <v>6984</v>
      </c>
      <c r="ECL7" t="s">
        <v>6984</v>
      </c>
      <c r="ECM7" t="s">
        <v>6984</v>
      </c>
      <c r="ECN7" t="s">
        <v>6984</v>
      </c>
      <c r="ECO7" t="s">
        <v>6984</v>
      </c>
      <c r="ECP7" t="s">
        <v>6984</v>
      </c>
      <c r="ECQ7" t="s">
        <v>6984</v>
      </c>
      <c r="ECR7" t="s">
        <v>6984</v>
      </c>
      <c r="ECS7" t="s">
        <v>6984</v>
      </c>
      <c r="ECT7" t="s">
        <v>6984</v>
      </c>
      <c r="ECU7" t="s">
        <v>6984</v>
      </c>
      <c r="ECV7" t="s">
        <v>6984</v>
      </c>
      <c r="ECW7" t="s">
        <v>6984</v>
      </c>
      <c r="ECX7" t="s">
        <v>6984</v>
      </c>
      <c r="ECY7" t="s">
        <v>6984</v>
      </c>
      <c r="ECZ7" t="s">
        <v>6984</v>
      </c>
      <c r="EDA7" t="s">
        <v>6984</v>
      </c>
      <c r="EDB7" t="s">
        <v>6984</v>
      </c>
      <c r="EDC7" t="s">
        <v>6984</v>
      </c>
      <c r="EDD7" t="s">
        <v>6984</v>
      </c>
      <c r="EDE7" t="s">
        <v>6984</v>
      </c>
      <c r="EDF7" t="s">
        <v>6984</v>
      </c>
      <c r="EDG7" t="s">
        <v>6984</v>
      </c>
      <c r="EDH7" t="s">
        <v>6984</v>
      </c>
      <c r="EDI7" t="s">
        <v>6984</v>
      </c>
      <c r="EDJ7" t="s">
        <v>6984</v>
      </c>
      <c r="EDK7" t="s">
        <v>6984</v>
      </c>
      <c r="EDL7" t="s">
        <v>6984</v>
      </c>
      <c r="EDM7" t="s">
        <v>6984</v>
      </c>
      <c r="EDN7" t="s">
        <v>6984</v>
      </c>
      <c r="EDO7" t="s">
        <v>6984</v>
      </c>
      <c r="EDP7" t="s">
        <v>6984</v>
      </c>
      <c r="EDQ7" t="s">
        <v>6984</v>
      </c>
      <c r="EDR7" t="s">
        <v>6984</v>
      </c>
      <c r="EDS7" t="s">
        <v>6984</v>
      </c>
      <c r="EDT7" t="s">
        <v>6984</v>
      </c>
      <c r="EDU7" t="s">
        <v>6984</v>
      </c>
      <c r="EDV7" t="s">
        <v>6984</v>
      </c>
      <c r="EDW7" t="s">
        <v>6984</v>
      </c>
      <c r="EDX7" t="s">
        <v>6984</v>
      </c>
      <c r="EDY7" t="s">
        <v>6984</v>
      </c>
      <c r="EDZ7" t="s">
        <v>6984</v>
      </c>
      <c r="EEA7" t="s">
        <v>6984</v>
      </c>
      <c r="EEB7" t="s">
        <v>6984</v>
      </c>
      <c r="EEC7" t="s">
        <v>6984</v>
      </c>
      <c r="EED7" t="s">
        <v>6984</v>
      </c>
      <c r="EEE7" t="s">
        <v>6984</v>
      </c>
      <c r="EEF7" t="s">
        <v>6984</v>
      </c>
      <c r="EEG7" t="s">
        <v>6984</v>
      </c>
      <c r="EEH7" t="s">
        <v>6984</v>
      </c>
      <c r="EEI7" t="s">
        <v>6984</v>
      </c>
      <c r="EEJ7" t="s">
        <v>6984</v>
      </c>
      <c r="EEK7" t="s">
        <v>6984</v>
      </c>
      <c r="EEL7" t="s">
        <v>6984</v>
      </c>
      <c r="EEM7" t="s">
        <v>6984</v>
      </c>
      <c r="EEN7" t="s">
        <v>6984</v>
      </c>
      <c r="EEO7" t="s">
        <v>6984</v>
      </c>
      <c r="EEP7" t="s">
        <v>6984</v>
      </c>
      <c r="EEQ7" t="s">
        <v>6984</v>
      </c>
      <c r="EER7" t="s">
        <v>6984</v>
      </c>
      <c r="EES7" t="s">
        <v>6984</v>
      </c>
      <c r="EET7" t="s">
        <v>6984</v>
      </c>
      <c r="EEU7" t="s">
        <v>6984</v>
      </c>
      <c r="EEV7" t="s">
        <v>6984</v>
      </c>
      <c r="EEW7" t="s">
        <v>6984</v>
      </c>
      <c r="EEX7" t="s">
        <v>6984</v>
      </c>
      <c r="EEY7" t="s">
        <v>6984</v>
      </c>
      <c r="EEZ7" t="s">
        <v>6984</v>
      </c>
      <c r="EFA7" t="s">
        <v>6984</v>
      </c>
      <c r="EFB7" t="s">
        <v>6984</v>
      </c>
      <c r="EFC7" t="s">
        <v>6984</v>
      </c>
      <c r="EFD7" t="s">
        <v>6984</v>
      </c>
      <c r="EFE7" t="s">
        <v>6984</v>
      </c>
      <c r="EFF7" t="s">
        <v>6984</v>
      </c>
      <c r="EFG7" t="s">
        <v>6984</v>
      </c>
      <c r="EFH7" t="s">
        <v>6984</v>
      </c>
      <c r="EFI7" t="s">
        <v>6984</v>
      </c>
      <c r="EFJ7" t="s">
        <v>6984</v>
      </c>
      <c r="EFK7" t="s">
        <v>6984</v>
      </c>
      <c r="EFL7" t="s">
        <v>6984</v>
      </c>
      <c r="EFM7" t="s">
        <v>6984</v>
      </c>
      <c r="EFN7" t="s">
        <v>6984</v>
      </c>
      <c r="EFO7" t="s">
        <v>6984</v>
      </c>
      <c r="EFP7" t="s">
        <v>6984</v>
      </c>
      <c r="EFQ7" t="s">
        <v>6984</v>
      </c>
      <c r="EFR7" t="s">
        <v>6984</v>
      </c>
      <c r="EFS7" t="s">
        <v>6984</v>
      </c>
      <c r="EFT7" t="s">
        <v>6984</v>
      </c>
      <c r="EFU7" t="s">
        <v>6984</v>
      </c>
      <c r="EFV7" t="s">
        <v>6984</v>
      </c>
      <c r="EFW7" t="s">
        <v>6984</v>
      </c>
      <c r="EFX7" t="s">
        <v>6984</v>
      </c>
      <c r="EFY7" t="s">
        <v>6984</v>
      </c>
      <c r="EFZ7" t="s">
        <v>6984</v>
      </c>
      <c r="EGA7" t="s">
        <v>6984</v>
      </c>
      <c r="EGB7" t="s">
        <v>6984</v>
      </c>
      <c r="EGC7" t="s">
        <v>6984</v>
      </c>
      <c r="EGD7" t="s">
        <v>6984</v>
      </c>
      <c r="EGE7" t="s">
        <v>6984</v>
      </c>
      <c r="EGF7" t="s">
        <v>6984</v>
      </c>
      <c r="EGG7" t="s">
        <v>6984</v>
      </c>
      <c r="EGH7" t="s">
        <v>6984</v>
      </c>
      <c r="EGI7" t="s">
        <v>6984</v>
      </c>
      <c r="EGJ7" t="s">
        <v>6984</v>
      </c>
      <c r="EGK7" t="s">
        <v>6984</v>
      </c>
      <c r="EGL7" t="s">
        <v>6984</v>
      </c>
      <c r="EGM7" t="s">
        <v>6984</v>
      </c>
      <c r="EGN7" t="s">
        <v>6984</v>
      </c>
      <c r="EGO7" t="s">
        <v>6984</v>
      </c>
      <c r="EGP7" t="s">
        <v>6984</v>
      </c>
      <c r="EGQ7" t="s">
        <v>6984</v>
      </c>
      <c r="EGR7" t="s">
        <v>6984</v>
      </c>
      <c r="EGS7" t="s">
        <v>6984</v>
      </c>
      <c r="EGT7" t="s">
        <v>6984</v>
      </c>
      <c r="EGU7" t="s">
        <v>6984</v>
      </c>
      <c r="EGV7" t="s">
        <v>6984</v>
      </c>
      <c r="EGW7" t="s">
        <v>6984</v>
      </c>
      <c r="EGX7" t="s">
        <v>6984</v>
      </c>
      <c r="EGY7" t="s">
        <v>6984</v>
      </c>
      <c r="EGZ7" t="s">
        <v>6984</v>
      </c>
      <c r="EHA7" t="s">
        <v>6984</v>
      </c>
      <c r="EHB7" t="s">
        <v>6984</v>
      </c>
      <c r="EHC7" t="s">
        <v>6984</v>
      </c>
      <c r="EHD7" t="s">
        <v>6984</v>
      </c>
      <c r="EHE7" t="s">
        <v>6984</v>
      </c>
      <c r="EHF7" t="s">
        <v>6984</v>
      </c>
      <c r="EHG7" t="s">
        <v>6984</v>
      </c>
      <c r="EHH7" t="s">
        <v>6984</v>
      </c>
      <c r="EHI7" t="s">
        <v>6984</v>
      </c>
      <c r="EHJ7" t="s">
        <v>6984</v>
      </c>
      <c r="EHK7" t="s">
        <v>6984</v>
      </c>
      <c r="EHL7" t="s">
        <v>6984</v>
      </c>
      <c r="EHM7" t="s">
        <v>6984</v>
      </c>
      <c r="EHN7" t="s">
        <v>6984</v>
      </c>
      <c r="EHO7" t="s">
        <v>6984</v>
      </c>
      <c r="EHP7" t="s">
        <v>6984</v>
      </c>
      <c r="EHQ7" t="s">
        <v>6984</v>
      </c>
      <c r="EHR7" t="s">
        <v>6984</v>
      </c>
      <c r="EHS7" t="s">
        <v>6984</v>
      </c>
      <c r="EHT7" t="s">
        <v>6984</v>
      </c>
      <c r="EHU7" t="s">
        <v>6984</v>
      </c>
      <c r="EHV7" t="s">
        <v>6984</v>
      </c>
      <c r="EHW7" t="s">
        <v>6984</v>
      </c>
      <c r="EHX7" t="s">
        <v>6984</v>
      </c>
      <c r="EHY7" t="s">
        <v>6984</v>
      </c>
      <c r="EHZ7" t="s">
        <v>6984</v>
      </c>
      <c r="EIA7" t="s">
        <v>6984</v>
      </c>
      <c r="EIB7" t="s">
        <v>6984</v>
      </c>
      <c r="EIC7" t="s">
        <v>6984</v>
      </c>
      <c r="EID7" t="s">
        <v>6984</v>
      </c>
      <c r="EIE7" t="s">
        <v>6984</v>
      </c>
      <c r="EIF7" t="s">
        <v>6984</v>
      </c>
      <c r="EIG7" t="s">
        <v>6984</v>
      </c>
      <c r="EIH7" t="s">
        <v>6984</v>
      </c>
      <c r="EII7" t="s">
        <v>6984</v>
      </c>
      <c r="EIJ7" t="s">
        <v>6984</v>
      </c>
      <c r="EIK7" t="s">
        <v>6984</v>
      </c>
      <c r="EIL7" t="s">
        <v>6984</v>
      </c>
      <c r="EIM7" t="s">
        <v>6984</v>
      </c>
      <c r="EIN7" t="s">
        <v>6984</v>
      </c>
      <c r="EIO7" t="s">
        <v>6984</v>
      </c>
      <c r="EIP7" t="s">
        <v>6984</v>
      </c>
      <c r="EIQ7" t="s">
        <v>6984</v>
      </c>
      <c r="EIR7" t="s">
        <v>6984</v>
      </c>
      <c r="EIS7" t="s">
        <v>6984</v>
      </c>
      <c r="EIT7" t="s">
        <v>6984</v>
      </c>
      <c r="EIU7" t="s">
        <v>6984</v>
      </c>
      <c r="EIV7" t="s">
        <v>6984</v>
      </c>
      <c r="EIW7" t="s">
        <v>6984</v>
      </c>
      <c r="EIX7" t="s">
        <v>6984</v>
      </c>
      <c r="EIY7" t="s">
        <v>6984</v>
      </c>
      <c r="EIZ7" t="s">
        <v>6984</v>
      </c>
      <c r="EJA7" t="s">
        <v>6984</v>
      </c>
      <c r="EJB7" t="s">
        <v>6984</v>
      </c>
      <c r="EJC7" t="s">
        <v>6984</v>
      </c>
      <c r="EJD7" t="s">
        <v>6984</v>
      </c>
      <c r="EJE7" t="s">
        <v>6984</v>
      </c>
      <c r="EJF7" t="s">
        <v>6984</v>
      </c>
      <c r="EJG7" t="s">
        <v>6984</v>
      </c>
      <c r="EJH7" t="s">
        <v>6984</v>
      </c>
      <c r="EJI7" t="s">
        <v>6984</v>
      </c>
      <c r="EJJ7" t="s">
        <v>6984</v>
      </c>
      <c r="EJK7" t="s">
        <v>6984</v>
      </c>
      <c r="EJL7" t="s">
        <v>6984</v>
      </c>
      <c r="EJM7" t="s">
        <v>6984</v>
      </c>
      <c r="EJN7" t="s">
        <v>6984</v>
      </c>
      <c r="EJO7" t="s">
        <v>6984</v>
      </c>
      <c r="EJP7" t="s">
        <v>6984</v>
      </c>
      <c r="EJQ7" t="s">
        <v>6984</v>
      </c>
      <c r="EJR7" t="s">
        <v>6984</v>
      </c>
      <c r="EJS7" t="s">
        <v>6984</v>
      </c>
      <c r="EJT7" t="s">
        <v>6984</v>
      </c>
      <c r="EJU7" t="s">
        <v>6984</v>
      </c>
      <c r="EJV7" t="s">
        <v>6984</v>
      </c>
      <c r="EJW7" t="s">
        <v>6984</v>
      </c>
      <c r="EJX7" t="s">
        <v>6984</v>
      </c>
      <c r="EJY7" t="s">
        <v>6984</v>
      </c>
      <c r="EJZ7" t="s">
        <v>6984</v>
      </c>
      <c r="EKA7" t="s">
        <v>6984</v>
      </c>
      <c r="EKB7" t="s">
        <v>6984</v>
      </c>
      <c r="EKC7" t="s">
        <v>6984</v>
      </c>
      <c r="EKD7" t="s">
        <v>6984</v>
      </c>
      <c r="EKE7" t="s">
        <v>6984</v>
      </c>
      <c r="EKF7" t="s">
        <v>6984</v>
      </c>
      <c r="EKG7" t="s">
        <v>6984</v>
      </c>
      <c r="EKH7" t="s">
        <v>6984</v>
      </c>
      <c r="EKI7" t="s">
        <v>6984</v>
      </c>
      <c r="EKJ7" t="s">
        <v>6984</v>
      </c>
      <c r="EKK7" t="s">
        <v>6984</v>
      </c>
      <c r="EKL7" t="s">
        <v>6984</v>
      </c>
      <c r="EKM7" t="s">
        <v>6984</v>
      </c>
      <c r="EKN7" t="s">
        <v>6984</v>
      </c>
      <c r="EKO7" t="s">
        <v>6984</v>
      </c>
      <c r="EKP7" t="s">
        <v>6984</v>
      </c>
      <c r="EKQ7" t="s">
        <v>6984</v>
      </c>
      <c r="EKR7" t="s">
        <v>6984</v>
      </c>
      <c r="EKS7" t="s">
        <v>6984</v>
      </c>
      <c r="EKT7" t="s">
        <v>6984</v>
      </c>
      <c r="EKU7" t="s">
        <v>6984</v>
      </c>
      <c r="EKV7" t="s">
        <v>6984</v>
      </c>
      <c r="EKW7" t="s">
        <v>6984</v>
      </c>
      <c r="EKX7" t="s">
        <v>6984</v>
      </c>
      <c r="EKY7" t="s">
        <v>6984</v>
      </c>
      <c r="EKZ7" t="s">
        <v>6984</v>
      </c>
      <c r="ELA7" t="s">
        <v>6984</v>
      </c>
      <c r="ELB7" t="s">
        <v>6984</v>
      </c>
      <c r="ELC7" t="s">
        <v>6984</v>
      </c>
      <c r="ELD7" t="s">
        <v>6984</v>
      </c>
      <c r="ELE7" t="s">
        <v>6984</v>
      </c>
      <c r="ELF7" t="s">
        <v>6984</v>
      </c>
      <c r="ELG7" t="s">
        <v>6984</v>
      </c>
      <c r="ELH7" t="s">
        <v>6984</v>
      </c>
      <c r="ELI7" t="s">
        <v>6984</v>
      </c>
      <c r="ELJ7" t="s">
        <v>6984</v>
      </c>
      <c r="ELK7" t="s">
        <v>6984</v>
      </c>
      <c r="ELL7" t="s">
        <v>6984</v>
      </c>
      <c r="ELM7" t="s">
        <v>6984</v>
      </c>
      <c r="ELN7" t="s">
        <v>6984</v>
      </c>
      <c r="ELO7" t="s">
        <v>6984</v>
      </c>
      <c r="ELP7" t="s">
        <v>6984</v>
      </c>
      <c r="ELQ7" t="s">
        <v>6984</v>
      </c>
      <c r="ELR7" t="s">
        <v>6984</v>
      </c>
      <c r="ELS7" t="s">
        <v>6984</v>
      </c>
      <c r="ELT7" t="s">
        <v>6984</v>
      </c>
      <c r="ELU7" t="s">
        <v>6984</v>
      </c>
      <c r="ELV7" t="s">
        <v>6984</v>
      </c>
      <c r="ELW7" t="s">
        <v>6984</v>
      </c>
      <c r="ELX7" t="s">
        <v>6984</v>
      </c>
      <c r="ELY7" t="s">
        <v>6984</v>
      </c>
      <c r="ELZ7" t="s">
        <v>6984</v>
      </c>
      <c r="EMA7" t="s">
        <v>6984</v>
      </c>
      <c r="EMB7" t="s">
        <v>6984</v>
      </c>
      <c r="EMC7" t="s">
        <v>6984</v>
      </c>
      <c r="EMD7" t="s">
        <v>6984</v>
      </c>
      <c r="EME7" t="s">
        <v>6984</v>
      </c>
      <c r="EMF7" t="s">
        <v>6984</v>
      </c>
      <c r="EMG7" t="s">
        <v>6984</v>
      </c>
      <c r="EMH7" t="s">
        <v>6984</v>
      </c>
      <c r="EMI7" t="s">
        <v>6984</v>
      </c>
      <c r="EMJ7" t="s">
        <v>6984</v>
      </c>
      <c r="EMK7" t="s">
        <v>6984</v>
      </c>
      <c r="EML7" t="s">
        <v>6984</v>
      </c>
      <c r="EMM7" t="s">
        <v>6984</v>
      </c>
      <c r="EMN7" t="s">
        <v>6984</v>
      </c>
      <c r="EMO7" t="s">
        <v>6984</v>
      </c>
      <c r="EMP7" t="s">
        <v>6984</v>
      </c>
      <c r="EMQ7" t="s">
        <v>6984</v>
      </c>
      <c r="EMR7" t="s">
        <v>6984</v>
      </c>
      <c r="EMS7" t="s">
        <v>6984</v>
      </c>
      <c r="EMT7" t="s">
        <v>6984</v>
      </c>
      <c r="EMU7" t="s">
        <v>6984</v>
      </c>
      <c r="EMV7" t="s">
        <v>6984</v>
      </c>
      <c r="EMW7" t="s">
        <v>6984</v>
      </c>
      <c r="EMX7" t="s">
        <v>6984</v>
      </c>
      <c r="EMY7" t="s">
        <v>6984</v>
      </c>
      <c r="EMZ7" t="s">
        <v>6984</v>
      </c>
      <c r="ENA7" t="s">
        <v>6984</v>
      </c>
      <c r="ENB7" t="s">
        <v>6984</v>
      </c>
      <c r="ENC7" t="s">
        <v>6984</v>
      </c>
      <c r="END7" t="s">
        <v>6984</v>
      </c>
      <c r="ENE7" t="s">
        <v>6984</v>
      </c>
      <c r="ENF7" t="s">
        <v>6984</v>
      </c>
      <c r="ENG7" t="s">
        <v>6984</v>
      </c>
      <c r="ENH7" t="s">
        <v>6984</v>
      </c>
      <c r="ENI7" t="s">
        <v>6984</v>
      </c>
      <c r="ENJ7" t="s">
        <v>6984</v>
      </c>
      <c r="ENK7" t="s">
        <v>6984</v>
      </c>
      <c r="ENL7" t="s">
        <v>6984</v>
      </c>
      <c r="ENM7" t="s">
        <v>6984</v>
      </c>
      <c r="ENN7" t="s">
        <v>6984</v>
      </c>
      <c r="ENO7" t="s">
        <v>6984</v>
      </c>
      <c r="ENP7" t="s">
        <v>6984</v>
      </c>
      <c r="ENQ7" t="s">
        <v>6984</v>
      </c>
      <c r="ENR7" t="s">
        <v>6984</v>
      </c>
      <c r="ENS7" t="s">
        <v>6984</v>
      </c>
      <c r="ENT7" t="s">
        <v>6984</v>
      </c>
      <c r="ENU7" t="s">
        <v>6984</v>
      </c>
      <c r="ENV7" t="s">
        <v>6984</v>
      </c>
      <c r="ENW7" t="s">
        <v>6984</v>
      </c>
      <c r="ENX7" t="s">
        <v>6984</v>
      </c>
      <c r="ENY7" t="s">
        <v>6984</v>
      </c>
      <c r="ENZ7" t="s">
        <v>6984</v>
      </c>
      <c r="EOA7" t="s">
        <v>6984</v>
      </c>
      <c r="EOB7" t="s">
        <v>6984</v>
      </c>
      <c r="EOC7" t="s">
        <v>6984</v>
      </c>
      <c r="EOD7" t="s">
        <v>6984</v>
      </c>
      <c r="EOE7" t="s">
        <v>6984</v>
      </c>
      <c r="EOF7" t="s">
        <v>6984</v>
      </c>
      <c r="EOG7" t="s">
        <v>6984</v>
      </c>
      <c r="EOH7" t="s">
        <v>6984</v>
      </c>
      <c r="EOI7" t="s">
        <v>6984</v>
      </c>
      <c r="EOJ7" t="s">
        <v>6984</v>
      </c>
      <c r="EOK7" t="s">
        <v>6984</v>
      </c>
      <c r="EOL7" t="s">
        <v>6984</v>
      </c>
      <c r="EOM7" t="s">
        <v>6984</v>
      </c>
      <c r="EON7" t="s">
        <v>6984</v>
      </c>
      <c r="EOO7" t="s">
        <v>6984</v>
      </c>
      <c r="EOP7" t="s">
        <v>6984</v>
      </c>
      <c r="EOQ7" t="s">
        <v>6984</v>
      </c>
      <c r="EOR7" t="s">
        <v>6984</v>
      </c>
      <c r="EOS7" t="s">
        <v>6984</v>
      </c>
      <c r="EOT7" t="s">
        <v>6984</v>
      </c>
      <c r="EOU7" t="s">
        <v>6984</v>
      </c>
      <c r="EOV7" t="s">
        <v>6984</v>
      </c>
      <c r="EOW7" t="s">
        <v>6984</v>
      </c>
      <c r="EOX7" t="s">
        <v>6984</v>
      </c>
      <c r="EOY7" t="s">
        <v>6984</v>
      </c>
      <c r="EOZ7" t="s">
        <v>6984</v>
      </c>
      <c r="EPA7" t="s">
        <v>6984</v>
      </c>
      <c r="EPB7" t="s">
        <v>6984</v>
      </c>
      <c r="EPC7" t="s">
        <v>6984</v>
      </c>
      <c r="EPD7" t="s">
        <v>6984</v>
      </c>
      <c r="EPE7" t="s">
        <v>6984</v>
      </c>
      <c r="EPF7" t="s">
        <v>6984</v>
      </c>
      <c r="EPG7" t="s">
        <v>6984</v>
      </c>
      <c r="EPH7" t="s">
        <v>6984</v>
      </c>
      <c r="EPI7" t="s">
        <v>6984</v>
      </c>
      <c r="EPJ7" t="s">
        <v>6984</v>
      </c>
      <c r="EPK7" t="s">
        <v>6984</v>
      </c>
      <c r="EPL7" t="s">
        <v>6984</v>
      </c>
      <c r="EPM7" t="s">
        <v>6984</v>
      </c>
      <c r="EPN7" t="s">
        <v>6984</v>
      </c>
      <c r="EPO7" t="s">
        <v>6984</v>
      </c>
      <c r="EPP7" t="s">
        <v>6984</v>
      </c>
      <c r="EPQ7" t="s">
        <v>6984</v>
      </c>
      <c r="EPR7" t="s">
        <v>6984</v>
      </c>
      <c r="EPS7" t="s">
        <v>6984</v>
      </c>
      <c r="EPT7" t="s">
        <v>6984</v>
      </c>
      <c r="EPU7" t="s">
        <v>6984</v>
      </c>
      <c r="EPV7" t="s">
        <v>6984</v>
      </c>
      <c r="EPW7" t="s">
        <v>6984</v>
      </c>
      <c r="EPX7" t="s">
        <v>6984</v>
      </c>
      <c r="EPY7" t="s">
        <v>6984</v>
      </c>
      <c r="EPZ7" t="s">
        <v>6984</v>
      </c>
      <c r="EQA7" t="s">
        <v>6984</v>
      </c>
      <c r="EQB7" t="s">
        <v>6984</v>
      </c>
      <c r="EQC7" t="s">
        <v>6984</v>
      </c>
      <c r="EQD7" t="s">
        <v>6984</v>
      </c>
      <c r="EQE7" t="s">
        <v>6984</v>
      </c>
      <c r="EQF7" t="s">
        <v>6984</v>
      </c>
      <c r="EQG7" t="s">
        <v>6984</v>
      </c>
      <c r="EQH7" t="s">
        <v>6984</v>
      </c>
      <c r="EQI7" t="s">
        <v>6984</v>
      </c>
      <c r="EQJ7" t="s">
        <v>6984</v>
      </c>
      <c r="EQK7" t="s">
        <v>6984</v>
      </c>
      <c r="EQL7" t="s">
        <v>6984</v>
      </c>
      <c r="EQM7" t="s">
        <v>6984</v>
      </c>
      <c r="EQN7" t="s">
        <v>6984</v>
      </c>
      <c r="EQO7" t="s">
        <v>6984</v>
      </c>
      <c r="EQP7" t="s">
        <v>6984</v>
      </c>
      <c r="EQQ7" t="s">
        <v>6984</v>
      </c>
      <c r="EQR7" t="s">
        <v>6984</v>
      </c>
      <c r="EQS7" t="s">
        <v>6984</v>
      </c>
      <c r="EQT7" t="s">
        <v>6984</v>
      </c>
      <c r="EQU7" t="s">
        <v>6984</v>
      </c>
      <c r="EQV7" t="s">
        <v>6984</v>
      </c>
      <c r="EQW7" t="s">
        <v>6984</v>
      </c>
      <c r="EQX7" t="s">
        <v>6984</v>
      </c>
      <c r="EQY7" t="s">
        <v>6984</v>
      </c>
      <c r="EQZ7" t="s">
        <v>6984</v>
      </c>
      <c r="ERA7" t="s">
        <v>6984</v>
      </c>
      <c r="ERB7" t="s">
        <v>6984</v>
      </c>
      <c r="ERC7" t="s">
        <v>6984</v>
      </c>
      <c r="ERD7" t="s">
        <v>6984</v>
      </c>
      <c r="ERE7" t="s">
        <v>6984</v>
      </c>
      <c r="ERF7" t="s">
        <v>6984</v>
      </c>
      <c r="ERG7" t="s">
        <v>6984</v>
      </c>
      <c r="ERH7" t="s">
        <v>6984</v>
      </c>
      <c r="ERI7" t="s">
        <v>6984</v>
      </c>
      <c r="ERJ7" t="s">
        <v>6984</v>
      </c>
      <c r="ERK7" t="s">
        <v>6984</v>
      </c>
      <c r="ERL7" t="s">
        <v>6984</v>
      </c>
      <c r="ERM7" t="s">
        <v>6984</v>
      </c>
      <c r="ERN7" t="s">
        <v>6984</v>
      </c>
      <c r="ERO7" t="s">
        <v>6984</v>
      </c>
      <c r="ERP7" t="s">
        <v>6984</v>
      </c>
      <c r="ERQ7" t="s">
        <v>6984</v>
      </c>
      <c r="ERR7" t="s">
        <v>6984</v>
      </c>
      <c r="ERS7" t="s">
        <v>6984</v>
      </c>
      <c r="ERT7" t="s">
        <v>6984</v>
      </c>
      <c r="ERU7" t="s">
        <v>6984</v>
      </c>
      <c r="ERV7" t="s">
        <v>6984</v>
      </c>
      <c r="ERW7" t="s">
        <v>6984</v>
      </c>
      <c r="ERX7" t="s">
        <v>6984</v>
      </c>
      <c r="ERY7" t="s">
        <v>6984</v>
      </c>
      <c r="ERZ7" t="s">
        <v>6984</v>
      </c>
      <c r="ESA7" t="s">
        <v>6984</v>
      </c>
      <c r="ESB7" t="s">
        <v>6984</v>
      </c>
      <c r="ESC7" t="s">
        <v>6984</v>
      </c>
      <c r="ESD7" t="s">
        <v>6984</v>
      </c>
      <c r="ESE7" t="s">
        <v>6984</v>
      </c>
      <c r="ESF7" t="s">
        <v>6984</v>
      </c>
      <c r="ESG7" t="s">
        <v>6984</v>
      </c>
      <c r="ESH7" t="s">
        <v>6984</v>
      </c>
      <c r="ESI7" t="s">
        <v>6984</v>
      </c>
      <c r="ESJ7" t="s">
        <v>6984</v>
      </c>
      <c r="ESK7" t="s">
        <v>6984</v>
      </c>
      <c r="ESL7" t="s">
        <v>6984</v>
      </c>
      <c r="ESM7" t="s">
        <v>6984</v>
      </c>
      <c r="ESN7" t="s">
        <v>6984</v>
      </c>
      <c r="ESO7" t="s">
        <v>6984</v>
      </c>
      <c r="ESP7" t="s">
        <v>6984</v>
      </c>
      <c r="ESQ7" t="s">
        <v>6984</v>
      </c>
      <c r="ESR7" t="s">
        <v>6984</v>
      </c>
      <c r="ESS7" t="s">
        <v>6984</v>
      </c>
      <c r="EST7" t="s">
        <v>6984</v>
      </c>
      <c r="ESU7" t="s">
        <v>6984</v>
      </c>
      <c r="ESV7" t="s">
        <v>6984</v>
      </c>
      <c r="ESW7" t="s">
        <v>6984</v>
      </c>
      <c r="ESX7" t="s">
        <v>6984</v>
      </c>
      <c r="ESY7" t="s">
        <v>6984</v>
      </c>
      <c r="ESZ7" t="s">
        <v>6984</v>
      </c>
      <c r="ETA7" t="s">
        <v>6984</v>
      </c>
      <c r="ETB7" t="s">
        <v>6984</v>
      </c>
      <c r="ETC7" t="s">
        <v>6984</v>
      </c>
      <c r="ETD7" t="s">
        <v>6984</v>
      </c>
      <c r="ETE7" t="s">
        <v>6984</v>
      </c>
      <c r="ETF7" t="s">
        <v>6984</v>
      </c>
      <c r="ETG7" t="s">
        <v>6984</v>
      </c>
      <c r="ETH7" t="s">
        <v>6984</v>
      </c>
      <c r="ETI7" t="s">
        <v>6984</v>
      </c>
      <c r="ETJ7" t="s">
        <v>6984</v>
      </c>
      <c r="ETK7" t="s">
        <v>6984</v>
      </c>
      <c r="ETL7" t="s">
        <v>6984</v>
      </c>
      <c r="ETM7" t="s">
        <v>6984</v>
      </c>
      <c r="ETN7" t="s">
        <v>6984</v>
      </c>
      <c r="ETO7" t="s">
        <v>6984</v>
      </c>
      <c r="ETP7" t="s">
        <v>6984</v>
      </c>
      <c r="ETQ7" t="s">
        <v>6984</v>
      </c>
      <c r="ETR7" t="s">
        <v>6984</v>
      </c>
      <c r="ETS7" t="s">
        <v>6984</v>
      </c>
      <c r="ETT7" t="s">
        <v>6984</v>
      </c>
      <c r="ETU7" t="s">
        <v>6984</v>
      </c>
      <c r="ETV7" t="s">
        <v>6984</v>
      </c>
      <c r="ETW7" t="s">
        <v>6984</v>
      </c>
      <c r="ETX7" t="s">
        <v>6984</v>
      </c>
      <c r="ETY7" t="s">
        <v>6984</v>
      </c>
      <c r="ETZ7" t="s">
        <v>6984</v>
      </c>
      <c r="EUA7" t="s">
        <v>6984</v>
      </c>
      <c r="EUB7" t="s">
        <v>6984</v>
      </c>
      <c r="EUC7" t="s">
        <v>6984</v>
      </c>
      <c r="EUD7" t="s">
        <v>6984</v>
      </c>
      <c r="EUE7" t="s">
        <v>6984</v>
      </c>
      <c r="EUF7" t="s">
        <v>6984</v>
      </c>
      <c r="EUG7" t="s">
        <v>6984</v>
      </c>
      <c r="EUH7" t="s">
        <v>6984</v>
      </c>
      <c r="EUI7" t="s">
        <v>6984</v>
      </c>
      <c r="EUJ7" t="s">
        <v>6984</v>
      </c>
      <c r="EUK7" t="s">
        <v>6984</v>
      </c>
      <c r="EUL7" t="s">
        <v>6984</v>
      </c>
      <c r="EUM7" t="s">
        <v>6984</v>
      </c>
      <c r="EUN7" t="s">
        <v>6984</v>
      </c>
      <c r="EUO7" t="s">
        <v>6984</v>
      </c>
      <c r="EUP7" t="s">
        <v>6984</v>
      </c>
      <c r="EUQ7" t="s">
        <v>6984</v>
      </c>
      <c r="EUR7" t="s">
        <v>6984</v>
      </c>
      <c r="EUS7" t="s">
        <v>6984</v>
      </c>
      <c r="EUT7" t="s">
        <v>6984</v>
      </c>
      <c r="EUU7" t="s">
        <v>6984</v>
      </c>
      <c r="EUV7" t="s">
        <v>6984</v>
      </c>
      <c r="EUW7" t="s">
        <v>6984</v>
      </c>
      <c r="EUX7" t="s">
        <v>6984</v>
      </c>
      <c r="EUY7" t="s">
        <v>6984</v>
      </c>
      <c r="EUZ7" t="s">
        <v>6984</v>
      </c>
      <c r="EVA7" t="s">
        <v>6984</v>
      </c>
      <c r="EVB7" t="s">
        <v>6984</v>
      </c>
      <c r="EVC7" t="s">
        <v>6984</v>
      </c>
      <c r="EVD7" t="s">
        <v>6984</v>
      </c>
      <c r="EVE7" t="s">
        <v>6984</v>
      </c>
      <c r="EVF7" t="s">
        <v>6984</v>
      </c>
      <c r="EVG7" t="s">
        <v>6984</v>
      </c>
      <c r="EVH7" t="s">
        <v>6984</v>
      </c>
      <c r="EVI7" t="s">
        <v>6984</v>
      </c>
      <c r="EVJ7" t="s">
        <v>6984</v>
      </c>
      <c r="EVK7" t="s">
        <v>6984</v>
      </c>
      <c r="EVL7" t="s">
        <v>6984</v>
      </c>
      <c r="EVM7" t="s">
        <v>6984</v>
      </c>
      <c r="EVN7" t="s">
        <v>6984</v>
      </c>
      <c r="EVO7" t="s">
        <v>6984</v>
      </c>
      <c r="EVP7" t="s">
        <v>6984</v>
      </c>
      <c r="EVQ7" t="s">
        <v>6984</v>
      </c>
      <c r="EVR7" t="s">
        <v>6984</v>
      </c>
      <c r="EVS7" t="s">
        <v>6984</v>
      </c>
      <c r="EVT7" t="s">
        <v>6984</v>
      </c>
      <c r="EVU7" t="s">
        <v>6984</v>
      </c>
      <c r="EVV7" t="s">
        <v>6984</v>
      </c>
      <c r="EVW7" t="s">
        <v>6984</v>
      </c>
      <c r="EVX7" t="s">
        <v>6984</v>
      </c>
      <c r="EVY7" t="s">
        <v>6984</v>
      </c>
      <c r="EVZ7" t="s">
        <v>6984</v>
      </c>
      <c r="EWA7" t="s">
        <v>6984</v>
      </c>
      <c r="EWB7" t="s">
        <v>6984</v>
      </c>
      <c r="EWC7" t="s">
        <v>6984</v>
      </c>
      <c r="EWD7" t="s">
        <v>6984</v>
      </c>
      <c r="EWE7" t="s">
        <v>6984</v>
      </c>
      <c r="EWF7" t="s">
        <v>6984</v>
      </c>
      <c r="EWG7" t="s">
        <v>6984</v>
      </c>
      <c r="EWH7" t="s">
        <v>6984</v>
      </c>
      <c r="EWI7" t="s">
        <v>6984</v>
      </c>
      <c r="EWJ7" t="s">
        <v>6984</v>
      </c>
      <c r="EWK7" t="s">
        <v>6984</v>
      </c>
      <c r="EWL7" t="s">
        <v>6984</v>
      </c>
      <c r="EWM7" t="s">
        <v>6984</v>
      </c>
      <c r="EWN7" t="s">
        <v>6984</v>
      </c>
      <c r="EWO7" t="s">
        <v>6984</v>
      </c>
      <c r="EWP7" t="s">
        <v>6984</v>
      </c>
      <c r="EWQ7" t="s">
        <v>6984</v>
      </c>
      <c r="EWR7" t="s">
        <v>6984</v>
      </c>
      <c r="EWS7" t="s">
        <v>6984</v>
      </c>
      <c r="EWT7" t="s">
        <v>6984</v>
      </c>
      <c r="EWU7" t="s">
        <v>6984</v>
      </c>
      <c r="EWV7" t="s">
        <v>6984</v>
      </c>
      <c r="EWW7" t="s">
        <v>6984</v>
      </c>
      <c r="EWX7" t="s">
        <v>6984</v>
      </c>
      <c r="EWY7" t="s">
        <v>6984</v>
      </c>
      <c r="EWZ7" t="s">
        <v>6984</v>
      </c>
      <c r="EXA7" t="s">
        <v>6984</v>
      </c>
      <c r="EXB7" t="s">
        <v>6984</v>
      </c>
      <c r="EXC7" t="s">
        <v>6984</v>
      </c>
      <c r="EXD7" t="s">
        <v>6984</v>
      </c>
      <c r="EXE7" t="s">
        <v>6984</v>
      </c>
      <c r="EXF7" t="s">
        <v>6984</v>
      </c>
      <c r="EXG7" t="s">
        <v>6984</v>
      </c>
      <c r="EXH7" t="s">
        <v>6984</v>
      </c>
      <c r="EXI7" t="s">
        <v>6984</v>
      </c>
      <c r="EXJ7" t="s">
        <v>6984</v>
      </c>
      <c r="EXK7" t="s">
        <v>6984</v>
      </c>
      <c r="EXL7" t="s">
        <v>6984</v>
      </c>
      <c r="EXM7" t="s">
        <v>6984</v>
      </c>
      <c r="EXN7" t="s">
        <v>6984</v>
      </c>
      <c r="EXO7" t="s">
        <v>6984</v>
      </c>
      <c r="EXP7" t="s">
        <v>6984</v>
      </c>
      <c r="EXQ7" t="s">
        <v>6984</v>
      </c>
      <c r="EXR7" t="s">
        <v>6984</v>
      </c>
      <c r="EXS7" t="s">
        <v>6984</v>
      </c>
      <c r="EXT7" t="s">
        <v>6984</v>
      </c>
      <c r="EXU7" t="s">
        <v>6984</v>
      </c>
      <c r="EXV7" t="s">
        <v>6984</v>
      </c>
      <c r="EXW7" t="s">
        <v>6984</v>
      </c>
      <c r="EXX7" t="s">
        <v>6984</v>
      </c>
      <c r="EXY7" t="s">
        <v>6984</v>
      </c>
      <c r="EXZ7" t="s">
        <v>6984</v>
      </c>
      <c r="EYA7" t="s">
        <v>6984</v>
      </c>
      <c r="EYB7" t="s">
        <v>6984</v>
      </c>
      <c r="EYC7" t="s">
        <v>6984</v>
      </c>
      <c r="EYD7" t="s">
        <v>6984</v>
      </c>
      <c r="EYE7" t="s">
        <v>6984</v>
      </c>
      <c r="EYF7" t="s">
        <v>6984</v>
      </c>
      <c r="EYG7" t="s">
        <v>6984</v>
      </c>
      <c r="EYH7" t="s">
        <v>6984</v>
      </c>
      <c r="EYI7" t="s">
        <v>6984</v>
      </c>
      <c r="EYJ7" t="s">
        <v>6984</v>
      </c>
      <c r="EYK7" t="s">
        <v>6984</v>
      </c>
      <c r="EYL7" t="s">
        <v>6984</v>
      </c>
      <c r="EYM7" t="s">
        <v>6984</v>
      </c>
      <c r="EYN7" t="s">
        <v>6984</v>
      </c>
      <c r="EYO7" t="s">
        <v>6984</v>
      </c>
      <c r="EYP7" t="s">
        <v>6984</v>
      </c>
      <c r="EYQ7" t="s">
        <v>6984</v>
      </c>
      <c r="EYR7" t="s">
        <v>6984</v>
      </c>
      <c r="EYS7" t="s">
        <v>6984</v>
      </c>
      <c r="EYT7" t="s">
        <v>6984</v>
      </c>
      <c r="EYU7" t="s">
        <v>6984</v>
      </c>
      <c r="EYV7" t="s">
        <v>6984</v>
      </c>
      <c r="EYW7" t="s">
        <v>6984</v>
      </c>
      <c r="EYX7" t="s">
        <v>6984</v>
      </c>
      <c r="EYY7" t="s">
        <v>6984</v>
      </c>
      <c r="EYZ7" t="s">
        <v>6984</v>
      </c>
      <c r="EZA7" t="s">
        <v>6984</v>
      </c>
      <c r="EZB7" t="s">
        <v>6984</v>
      </c>
      <c r="EZC7" t="s">
        <v>6984</v>
      </c>
      <c r="EZD7" t="s">
        <v>6984</v>
      </c>
      <c r="EZE7" t="s">
        <v>6984</v>
      </c>
      <c r="EZF7" t="s">
        <v>6984</v>
      </c>
      <c r="EZG7" t="s">
        <v>6984</v>
      </c>
      <c r="EZH7" t="s">
        <v>6984</v>
      </c>
      <c r="EZI7" t="s">
        <v>6984</v>
      </c>
      <c r="EZJ7" t="s">
        <v>6984</v>
      </c>
      <c r="EZK7" t="s">
        <v>6984</v>
      </c>
      <c r="EZL7" t="s">
        <v>6984</v>
      </c>
      <c r="EZM7" t="s">
        <v>6984</v>
      </c>
      <c r="EZN7" t="s">
        <v>6984</v>
      </c>
      <c r="EZO7" t="s">
        <v>6984</v>
      </c>
      <c r="EZP7" t="s">
        <v>6984</v>
      </c>
      <c r="EZQ7" t="s">
        <v>6984</v>
      </c>
      <c r="EZR7" t="s">
        <v>6984</v>
      </c>
      <c r="EZS7" t="s">
        <v>6984</v>
      </c>
      <c r="EZT7" t="s">
        <v>6984</v>
      </c>
      <c r="EZU7" t="s">
        <v>6984</v>
      </c>
      <c r="EZV7" t="s">
        <v>6984</v>
      </c>
      <c r="EZW7" t="s">
        <v>6984</v>
      </c>
      <c r="EZX7" t="s">
        <v>6984</v>
      </c>
      <c r="EZY7" t="s">
        <v>6984</v>
      </c>
      <c r="EZZ7" t="s">
        <v>6984</v>
      </c>
      <c r="FAA7" t="s">
        <v>6984</v>
      </c>
      <c r="FAB7" t="s">
        <v>6984</v>
      </c>
      <c r="FAC7" t="s">
        <v>6984</v>
      </c>
      <c r="FAD7" t="s">
        <v>6984</v>
      </c>
      <c r="FAE7" t="s">
        <v>6984</v>
      </c>
      <c r="FAF7" t="s">
        <v>6984</v>
      </c>
      <c r="FAG7" t="s">
        <v>6984</v>
      </c>
      <c r="FAH7" t="s">
        <v>6984</v>
      </c>
      <c r="FAI7" t="s">
        <v>6984</v>
      </c>
      <c r="FAJ7" t="s">
        <v>6984</v>
      </c>
      <c r="FAK7" t="s">
        <v>6984</v>
      </c>
      <c r="FAL7" t="s">
        <v>6984</v>
      </c>
      <c r="FAM7" t="s">
        <v>6984</v>
      </c>
      <c r="FAN7" t="s">
        <v>6984</v>
      </c>
      <c r="FAO7" t="s">
        <v>6984</v>
      </c>
      <c r="FAP7" t="s">
        <v>6984</v>
      </c>
      <c r="FAQ7" t="s">
        <v>6984</v>
      </c>
      <c r="FAR7" t="s">
        <v>6984</v>
      </c>
      <c r="FAS7" t="s">
        <v>6984</v>
      </c>
      <c r="FAT7" t="s">
        <v>6984</v>
      </c>
      <c r="FAU7" t="s">
        <v>6984</v>
      </c>
      <c r="FAV7" t="s">
        <v>6984</v>
      </c>
      <c r="FAW7" t="s">
        <v>6984</v>
      </c>
      <c r="FAX7" t="s">
        <v>6984</v>
      </c>
      <c r="FAY7" t="s">
        <v>6984</v>
      </c>
      <c r="FAZ7" t="s">
        <v>6984</v>
      </c>
      <c r="FBA7" t="s">
        <v>6984</v>
      </c>
      <c r="FBB7" t="s">
        <v>6984</v>
      </c>
      <c r="FBC7" t="s">
        <v>6984</v>
      </c>
      <c r="FBD7" t="s">
        <v>6984</v>
      </c>
      <c r="FBE7" t="s">
        <v>6984</v>
      </c>
      <c r="FBF7" t="s">
        <v>6984</v>
      </c>
      <c r="FBG7" t="s">
        <v>6984</v>
      </c>
      <c r="FBH7" t="s">
        <v>6984</v>
      </c>
      <c r="FBI7" t="s">
        <v>6984</v>
      </c>
      <c r="FBJ7" t="s">
        <v>6984</v>
      </c>
      <c r="FBK7" t="s">
        <v>6984</v>
      </c>
      <c r="FBL7" t="s">
        <v>6984</v>
      </c>
      <c r="FBM7" t="s">
        <v>6984</v>
      </c>
      <c r="FBN7" t="s">
        <v>6984</v>
      </c>
      <c r="FBO7" t="s">
        <v>6984</v>
      </c>
      <c r="FBP7" t="s">
        <v>6984</v>
      </c>
      <c r="FBQ7" t="s">
        <v>6984</v>
      </c>
      <c r="FBR7" t="s">
        <v>6984</v>
      </c>
      <c r="FBS7" t="s">
        <v>6984</v>
      </c>
      <c r="FBT7" t="s">
        <v>6984</v>
      </c>
      <c r="FBU7" t="s">
        <v>6984</v>
      </c>
      <c r="FBV7" t="s">
        <v>6984</v>
      </c>
      <c r="FBW7" t="s">
        <v>6984</v>
      </c>
      <c r="FBX7" t="s">
        <v>6984</v>
      </c>
      <c r="FBY7" t="s">
        <v>6984</v>
      </c>
      <c r="FBZ7" t="s">
        <v>6984</v>
      </c>
      <c r="FCA7" t="s">
        <v>6984</v>
      </c>
      <c r="FCB7" t="s">
        <v>6984</v>
      </c>
      <c r="FCC7" t="s">
        <v>6984</v>
      </c>
      <c r="FCD7" t="s">
        <v>6984</v>
      </c>
      <c r="FCE7" t="s">
        <v>6984</v>
      </c>
      <c r="FCF7" t="s">
        <v>6984</v>
      </c>
      <c r="FCG7" t="s">
        <v>6984</v>
      </c>
      <c r="FCH7" t="s">
        <v>6984</v>
      </c>
      <c r="FCI7" t="s">
        <v>6984</v>
      </c>
      <c r="FCJ7" t="s">
        <v>6984</v>
      </c>
      <c r="FCK7" t="s">
        <v>6984</v>
      </c>
      <c r="FCL7" t="s">
        <v>6984</v>
      </c>
      <c r="FCM7" t="s">
        <v>6984</v>
      </c>
      <c r="FCN7" t="s">
        <v>6984</v>
      </c>
      <c r="FCO7" t="s">
        <v>6984</v>
      </c>
      <c r="FCP7" t="s">
        <v>6984</v>
      </c>
      <c r="FCQ7" t="s">
        <v>6984</v>
      </c>
      <c r="FCR7" t="s">
        <v>6984</v>
      </c>
      <c r="FCS7" t="s">
        <v>6984</v>
      </c>
      <c r="FCT7" t="s">
        <v>6984</v>
      </c>
      <c r="FCU7" t="s">
        <v>6984</v>
      </c>
      <c r="FCV7" t="s">
        <v>6984</v>
      </c>
      <c r="FCW7" t="s">
        <v>6984</v>
      </c>
      <c r="FCX7" t="s">
        <v>6984</v>
      </c>
      <c r="FCY7" t="s">
        <v>6984</v>
      </c>
      <c r="FCZ7" t="s">
        <v>6984</v>
      </c>
      <c r="FDA7" t="s">
        <v>6984</v>
      </c>
      <c r="FDB7" t="s">
        <v>6984</v>
      </c>
      <c r="FDC7" t="s">
        <v>6984</v>
      </c>
      <c r="FDD7" t="s">
        <v>6984</v>
      </c>
      <c r="FDE7" t="s">
        <v>6984</v>
      </c>
      <c r="FDF7" t="s">
        <v>6984</v>
      </c>
      <c r="FDG7" t="s">
        <v>6984</v>
      </c>
      <c r="FDH7" t="s">
        <v>6984</v>
      </c>
      <c r="FDI7" t="s">
        <v>6984</v>
      </c>
      <c r="FDJ7" t="s">
        <v>6984</v>
      </c>
      <c r="FDK7" t="s">
        <v>6984</v>
      </c>
      <c r="FDL7" t="s">
        <v>6984</v>
      </c>
      <c r="FDM7" t="s">
        <v>6984</v>
      </c>
      <c r="FDN7" t="s">
        <v>6984</v>
      </c>
      <c r="FDO7" t="s">
        <v>6984</v>
      </c>
      <c r="FDP7" t="s">
        <v>6984</v>
      </c>
      <c r="FDQ7" t="s">
        <v>6984</v>
      </c>
      <c r="FDR7" t="s">
        <v>6984</v>
      </c>
      <c r="FDS7" t="s">
        <v>6984</v>
      </c>
      <c r="FDT7" t="s">
        <v>6984</v>
      </c>
      <c r="FDU7" t="s">
        <v>6984</v>
      </c>
      <c r="FDV7" t="s">
        <v>6984</v>
      </c>
      <c r="FDW7" t="s">
        <v>6984</v>
      </c>
      <c r="FDX7" t="s">
        <v>6984</v>
      </c>
      <c r="FDY7" t="s">
        <v>6984</v>
      </c>
      <c r="FDZ7" t="s">
        <v>6984</v>
      </c>
      <c r="FEA7" t="s">
        <v>6984</v>
      </c>
      <c r="FEB7" t="s">
        <v>6984</v>
      </c>
      <c r="FEC7" t="s">
        <v>6984</v>
      </c>
      <c r="FED7" t="s">
        <v>6984</v>
      </c>
      <c r="FEE7" t="s">
        <v>6984</v>
      </c>
      <c r="FEF7" t="s">
        <v>6984</v>
      </c>
      <c r="FEG7" t="s">
        <v>6984</v>
      </c>
      <c r="FEH7" t="s">
        <v>6984</v>
      </c>
      <c r="FEI7" t="s">
        <v>6984</v>
      </c>
      <c r="FEJ7" t="s">
        <v>6984</v>
      </c>
      <c r="FEK7" t="s">
        <v>6984</v>
      </c>
      <c r="FEL7" t="s">
        <v>6984</v>
      </c>
      <c r="FEM7" t="s">
        <v>6984</v>
      </c>
      <c r="FEN7" t="s">
        <v>6984</v>
      </c>
      <c r="FEO7" t="s">
        <v>6984</v>
      </c>
      <c r="FEP7" t="s">
        <v>6984</v>
      </c>
      <c r="FEQ7" t="s">
        <v>6984</v>
      </c>
      <c r="FER7" t="s">
        <v>6984</v>
      </c>
      <c r="FES7" t="s">
        <v>6984</v>
      </c>
      <c r="FET7" t="s">
        <v>6984</v>
      </c>
      <c r="FEU7" t="s">
        <v>6984</v>
      </c>
      <c r="FEV7" t="s">
        <v>6984</v>
      </c>
      <c r="FEW7" t="s">
        <v>6984</v>
      </c>
      <c r="FEX7" t="s">
        <v>6984</v>
      </c>
      <c r="FEY7" t="s">
        <v>6984</v>
      </c>
      <c r="FEZ7" t="s">
        <v>6984</v>
      </c>
      <c r="FFA7" t="s">
        <v>6984</v>
      </c>
      <c r="FFB7" t="s">
        <v>6984</v>
      </c>
      <c r="FFC7" t="s">
        <v>6984</v>
      </c>
      <c r="FFD7" t="s">
        <v>6984</v>
      </c>
      <c r="FFE7" t="s">
        <v>6984</v>
      </c>
      <c r="FFF7" t="s">
        <v>6984</v>
      </c>
      <c r="FFG7" t="s">
        <v>6984</v>
      </c>
      <c r="FFH7" t="s">
        <v>6984</v>
      </c>
      <c r="FFI7" t="s">
        <v>6984</v>
      </c>
      <c r="FFJ7" t="s">
        <v>6984</v>
      </c>
      <c r="FFK7" t="s">
        <v>6984</v>
      </c>
      <c r="FFL7" t="s">
        <v>6984</v>
      </c>
      <c r="FFM7" t="s">
        <v>6984</v>
      </c>
      <c r="FFN7" t="s">
        <v>6984</v>
      </c>
      <c r="FFO7" t="s">
        <v>6984</v>
      </c>
      <c r="FFP7" t="s">
        <v>6984</v>
      </c>
      <c r="FFQ7" t="s">
        <v>6984</v>
      </c>
      <c r="FFR7" t="s">
        <v>6984</v>
      </c>
      <c r="FFS7" t="s">
        <v>6984</v>
      </c>
      <c r="FFT7" t="s">
        <v>6984</v>
      </c>
      <c r="FFU7" t="s">
        <v>6984</v>
      </c>
      <c r="FFV7" t="s">
        <v>6984</v>
      </c>
      <c r="FFW7" t="s">
        <v>6984</v>
      </c>
      <c r="FFX7" t="s">
        <v>6984</v>
      </c>
      <c r="FFY7" t="s">
        <v>6984</v>
      </c>
      <c r="FFZ7" t="s">
        <v>6984</v>
      </c>
      <c r="FGA7" t="s">
        <v>6984</v>
      </c>
      <c r="FGB7" t="s">
        <v>6984</v>
      </c>
      <c r="FGC7" t="s">
        <v>6984</v>
      </c>
      <c r="FGD7" t="s">
        <v>6984</v>
      </c>
      <c r="FGE7" t="s">
        <v>6984</v>
      </c>
      <c r="FGF7" t="s">
        <v>6984</v>
      </c>
      <c r="FGG7" t="s">
        <v>6984</v>
      </c>
      <c r="FGH7" t="s">
        <v>6984</v>
      </c>
      <c r="FGI7" t="s">
        <v>6984</v>
      </c>
      <c r="FGJ7" t="s">
        <v>6984</v>
      </c>
      <c r="FGK7" t="s">
        <v>6984</v>
      </c>
      <c r="FGL7" t="s">
        <v>6984</v>
      </c>
      <c r="FGM7" t="s">
        <v>6984</v>
      </c>
      <c r="FGN7" t="s">
        <v>6984</v>
      </c>
      <c r="FGO7" t="s">
        <v>6984</v>
      </c>
      <c r="FGP7" t="s">
        <v>6984</v>
      </c>
      <c r="FGQ7" t="s">
        <v>6984</v>
      </c>
      <c r="FGR7" t="s">
        <v>6984</v>
      </c>
      <c r="FGS7" t="s">
        <v>6984</v>
      </c>
      <c r="FGT7" t="s">
        <v>6984</v>
      </c>
      <c r="FGU7" t="s">
        <v>6984</v>
      </c>
      <c r="FGV7" t="s">
        <v>6984</v>
      </c>
      <c r="FGW7" t="s">
        <v>6984</v>
      </c>
      <c r="FGX7" t="s">
        <v>6984</v>
      </c>
      <c r="FGY7" t="s">
        <v>6984</v>
      </c>
      <c r="FGZ7" t="s">
        <v>6984</v>
      </c>
      <c r="FHA7" t="s">
        <v>6984</v>
      </c>
      <c r="FHB7" t="s">
        <v>6984</v>
      </c>
      <c r="FHC7" t="s">
        <v>6984</v>
      </c>
      <c r="FHD7" t="s">
        <v>6984</v>
      </c>
      <c r="FHE7" t="s">
        <v>6984</v>
      </c>
      <c r="FHF7" t="s">
        <v>6984</v>
      </c>
      <c r="FHG7" t="s">
        <v>6984</v>
      </c>
      <c r="FHH7" t="s">
        <v>6984</v>
      </c>
      <c r="FHI7" t="s">
        <v>6984</v>
      </c>
      <c r="FHJ7" t="s">
        <v>6984</v>
      </c>
      <c r="FHK7" t="s">
        <v>6984</v>
      </c>
      <c r="FHL7" t="s">
        <v>6984</v>
      </c>
      <c r="FHM7" t="s">
        <v>6984</v>
      </c>
      <c r="FHN7" t="s">
        <v>6984</v>
      </c>
      <c r="FHO7" t="s">
        <v>6984</v>
      </c>
      <c r="FHP7" t="s">
        <v>6984</v>
      </c>
      <c r="FHQ7" t="s">
        <v>6984</v>
      </c>
      <c r="FHR7" t="s">
        <v>6984</v>
      </c>
      <c r="FHS7" t="s">
        <v>6984</v>
      </c>
      <c r="FHT7" t="s">
        <v>6984</v>
      </c>
      <c r="FHU7" t="s">
        <v>6984</v>
      </c>
      <c r="FHV7" t="s">
        <v>6984</v>
      </c>
      <c r="FHW7" t="s">
        <v>6984</v>
      </c>
      <c r="FHX7" t="s">
        <v>6984</v>
      </c>
      <c r="FHY7" t="s">
        <v>6984</v>
      </c>
      <c r="FHZ7" t="s">
        <v>6984</v>
      </c>
      <c r="FIA7" t="s">
        <v>6984</v>
      </c>
      <c r="FIB7" t="s">
        <v>6984</v>
      </c>
      <c r="FIC7" t="s">
        <v>6984</v>
      </c>
      <c r="FID7" t="s">
        <v>6984</v>
      </c>
      <c r="FIE7" t="s">
        <v>6984</v>
      </c>
      <c r="FIF7" t="s">
        <v>6984</v>
      </c>
      <c r="FIG7" t="s">
        <v>6984</v>
      </c>
      <c r="FIH7" t="s">
        <v>6984</v>
      </c>
      <c r="FII7" t="s">
        <v>6984</v>
      </c>
      <c r="FIJ7" t="s">
        <v>6984</v>
      </c>
      <c r="FIK7" t="s">
        <v>6984</v>
      </c>
      <c r="FIL7" t="s">
        <v>6984</v>
      </c>
      <c r="FIM7" t="s">
        <v>6984</v>
      </c>
      <c r="FIN7" t="s">
        <v>6984</v>
      </c>
      <c r="FIO7" t="s">
        <v>6984</v>
      </c>
      <c r="FIP7" t="s">
        <v>6984</v>
      </c>
      <c r="FIQ7" t="s">
        <v>6984</v>
      </c>
      <c r="FIR7" t="s">
        <v>6984</v>
      </c>
      <c r="FIS7" t="s">
        <v>6984</v>
      </c>
      <c r="FIT7" t="s">
        <v>6984</v>
      </c>
      <c r="FIU7" t="s">
        <v>6984</v>
      </c>
      <c r="FIV7" t="s">
        <v>6984</v>
      </c>
      <c r="FIW7" t="s">
        <v>6984</v>
      </c>
      <c r="FIX7" t="s">
        <v>6984</v>
      </c>
      <c r="FIY7" t="s">
        <v>6984</v>
      </c>
      <c r="FIZ7" t="s">
        <v>6984</v>
      </c>
      <c r="FJA7" t="s">
        <v>6984</v>
      </c>
      <c r="FJB7" t="s">
        <v>6984</v>
      </c>
      <c r="FJC7" t="s">
        <v>6984</v>
      </c>
      <c r="FJD7" t="s">
        <v>6984</v>
      </c>
      <c r="FJE7" t="s">
        <v>6984</v>
      </c>
      <c r="FJF7" t="s">
        <v>6984</v>
      </c>
      <c r="FJG7" t="s">
        <v>6984</v>
      </c>
      <c r="FJH7" t="s">
        <v>6984</v>
      </c>
      <c r="FJI7" t="s">
        <v>6984</v>
      </c>
      <c r="FJJ7" t="s">
        <v>6984</v>
      </c>
      <c r="FJK7" t="s">
        <v>6984</v>
      </c>
      <c r="FJL7" t="s">
        <v>6984</v>
      </c>
      <c r="FJM7" t="s">
        <v>6984</v>
      </c>
      <c r="FJN7" t="s">
        <v>6984</v>
      </c>
      <c r="FJO7" t="s">
        <v>6984</v>
      </c>
      <c r="FJP7" t="s">
        <v>6984</v>
      </c>
      <c r="FJQ7" t="s">
        <v>6984</v>
      </c>
      <c r="FJR7" t="s">
        <v>6984</v>
      </c>
      <c r="FJS7" t="s">
        <v>6984</v>
      </c>
      <c r="FJT7" t="s">
        <v>6984</v>
      </c>
      <c r="FJU7" t="s">
        <v>6984</v>
      </c>
      <c r="FJV7" t="s">
        <v>6984</v>
      </c>
      <c r="FJW7" t="s">
        <v>6984</v>
      </c>
      <c r="FJX7" t="s">
        <v>6984</v>
      </c>
      <c r="FJY7" t="s">
        <v>6984</v>
      </c>
      <c r="FJZ7" t="s">
        <v>6984</v>
      </c>
      <c r="FKA7" t="s">
        <v>6984</v>
      </c>
      <c r="FKB7" t="s">
        <v>6984</v>
      </c>
      <c r="FKC7" t="s">
        <v>6984</v>
      </c>
      <c r="FKD7" t="s">
        <v>6984</v>
      </c>
      <c r="FKE7" t="s">
        <v>6984</v>
      </c>
      <c r="FKF7" t="s">
        <v>6984</v>
      </c>
      <c r="FKG7" t="s">
        <v>6984</v>
      </c>
      <c r="FKH7" t="s">
        <v>6984</v>
      </c>
      <c r="FKI7" t="s">
        <v>6984</v>
      </c>
      <c r="FKJ7" t="s">
        <v>6984</v>
      </c>
      <c r="FKK7" t="s">
        <v>6984</v>
      </c>
      <c r="FKL7" t="s">
        <v>6984</v>
      </c>
      <c r="FKM7" t="s">
        <v>6984</v>
      </c>
      <c r="FKN7" t="s">
        <v>6984</v>
      </c>
      <c r="FKO7" t="s">
        <v>6984</v>
      </c>
      <c r="FKP7" t="s">
        <v>6984</v>
      </c>
      <c r="FKQ7" t="s">
        <v>6984</v>
      </c>
      <c r="FKR7" t="s">
        <v>6984</v>
      </c>
      <c r="FKS7" t="s">
        <v>6984</v>
      </c>
      <c r="FKT7" t="s">
        <v>6984</v>
      </c>
      <c r="FKU7" t="s">
        <v>6984</v>
      </c>
      <c r="FKV7" t="s">
        <v>6984</v>
      </c>
      <c r="FKW7" t="s">
        <v>6984</v>
      </c>
      <c r="FKX7" t="s">
        <v>6984</v>
      </c>
      <c r="FKY7" t="s">
        <v>6984</v>
      </c>
      <c r="FKZ7" t="s">
        <v>6984</v>
      </c>
      <c r="FLA7" t="s">
        <v>6984</v>
      </c>
      <c r="FLB7" t="s">
        <v>6984</v>
      </c>
      <c r="FLC7" t="s">
        <v>6984</v>
      </c>
      <c r="FLD7" t="s">
        <v>6984</v>
      </c>
      <c r="FLE7" t="s">
        <v>6984</v>
      </c>
      <c r="FLF7" t="s">
        <v>6984</v>
      </c>
      <c r="FLG7" t="s">
        <v>6984</v>
      </c>
      <c r="FLH7" t="s">
        <v>6984</v>
      </c>
      <c r="FLI7" t="s">
        <v>6984</v>
      </c>
      <c r="FLJ7" t="s">
        <v>6984</v>
      </c>
      <c r="FLK7" t="s">
        <v>6984</v>
      </c>
      <c r="FLL7" t="s">
        <v>6984</v>
      </c>
      <c r="FLM7" t="s">
        <v>6984</v>
      </c>
      <c r="FLN7" t="s">
        <v>6984</v>
      </c>
      <c r="FLO7" t="s">
        <v>6984</v>
      </c>
      <c r="FLP7" t="s">
        <v>6984</v>
      </c>
      <c r="FLQ7" t="s">
        <v>6984</v>
      </c>
      <c r="FLR7" t="s">
        <v>6984</v>
      </c>
      <c r="FLS7" t="s">
        <v>6984</v>
      </c>
      <c r="FLT7" t="s">
        <v>6984</v>
      </c>
      <c r="FLU7" t="s">
        <v>6984</v>
      </c>
      <c r="FLV7" t="s">
        <v>6984</v>
      </c>
      <c r="FLW7" t="s">
        <v>6984</v>
      </c>
      <c r="FLX7" t="s">
        <v>6984</v>
      </c>
      <c r="FLY7" t="s">
        <v>6984</v>
      </c>
      <c r="FLZ7" t="s">
        <v>6984</v>
      </c>
      <c r="FMA7" t="s">
        <v>6984</v>
      </c>
      <c r="FMB7" t="s">
        <v>6984</v>
      </c>
      <c r="FMC7" t="s">
        <v>6984</v>
      </c>
      <c r="FMD7" t="s">
        <v>6984</v>
      </c>
      <c r="FME7" t="s">
        <v>6984</v>
      </c>
      <c r="FMF7" t="s">
        <v>6984</v>
      </c>
      <c r="FMG7" t="s">
        <v>6984</v>
      </c>
      <c r="FMH7" t="s">
        <v>6984</v>
      </c>
      <c r="FMI7" t="s">
        <v>6984</v>
      </c>
      <c r="FMJ7" t="s">
        <v>6984</v>
      </c>
      <c r="FMK7" t="s">
        <v>6984</v>
      </c>
      <c r="FML7" t="s">
        <v>6984</v>
      </c>
      <c r="FMM7" t="s">
        <v>6984</v>
      </c>
      <c r="FMN7" t="s">
        <v>6984</v>
      </c>
      <c r="FMO7" t="s">
        <v>6984</v>
      </c>
      <c r="FMP7" t="s">
        <v>6984</v>
      </c>
      <c r="FMQ7" t="s">
        <v>6984</v>
      </c>
      <c r="FMR7" t="s">
        <v>6984</v>
      </c>
      <c r="FMS7" t="s">
        <v>6984</v>
      </c>
      <c r="FMT7" t="s">
        <v>6984</v>
      </c>
      <c r="FMU7" t="s">
        <v>6984</v>
      </c>
      <c r="FMV7" t="s">
        <v>6984</v>
      </c>
      <c r="FMW7" t="s">
        <v>6984</v>
      </c>
      <c r="FMX7" t="s">
        <v>6984</v>
      </c>
      <c r="FMY7" t="s">
        <v>6984</v>
      </c>
      <c r="FMZ7" t="s">
        <v>6984</v>
      </c>
      <c r="FNA7" t="s">
        <v>6984</v>
      </c>
      <c r="FNB7" t="s">
        <v>6984</v>
      </c>
      <c r="FNC7" t="s">
        <v>6984</v>
      </c>
      <c r="FND7" t="s">
        <v>6984</v>
      </c>
      <c r="FNE7" t="s">
        <v>6984</v>
      </c>
      <c r="FNF7" t="s">
        <v>6984</v>
      </c>
      <c r="FNG7" t="s">
        <v>6984</v>
      </c>
      <c r="FNH7" t="s">
        <v>6984</v>
      </c>
      <c r="FNI7" t="s">
        <v>6984</v>
      </c>
      <c r="FNJ7" t="s">
        <v>6984</v>
      </c>
      <c r="FNK7" t="s">
        <v>6984</v>
      </c>
      <c r="FNL7" t="s">
        <v>6984</v>
      </c>
      <c r="FNM7" t="s">
        <v>6984</v>
      </c>
      <c r="FNN7" t="s">
        <v>6984</v>
      </c>
      <c r="FNO7" t="s">
        <v>6984</v>
      </c>
      <c r="FNP7" t="s">
        <v>6984</v>
      </c>
      <c r="FNQ7" t="s">
        <v>6984</v>
      </c>
      <c r="FNR7" t="s">
        <v>6984</v>
      </c>
      <c r="FNS7" t="s">
        <v>6984</v>
      </c>
      <c r="FNT7" t="s">
        <v>6984</v>
      </c>
      <c r="FNU7" t="s">
        <v>6984</v>
      </c>
      <c r="FNV7" t="s">
        <v>6984</v>
      </c>
      <c r="FNW7" t="s">
        <v>6984</v>
      </c>
      <c r="FNX7" t="s">
        <v>6984</v>
      </c>
      <c r="FNY7" t="s">
        <v>6984</v>
      </c>
      <c r="FNZ7" t="s">
        <v>6984</v>
      </c>
      <c r="FOA7" t="s">
        <v>6984</v>
      </c>
      <c r="FOB7" t="s">
        <v>6984</v>
      </c>
      <c r="FOC7" t="s">
        <v>6984</v>
      </c>
      <c r="FOD7" t="s">
        <v>6984</v>
      </c>
      <c r="FOE7" t="s">
        <v>6984</v>
      </c>
      <c r="FOF7" t="s">
        <v>6984</v>
      </c>
      <c r="FOG7" t="s">
        <v>6984</v>
      </c>
      <c r="FOH7" t="s">
        <v>6984</v>
      </c>
      <c r="FOI7" t="s">
        <v>6984</v>
      </c>
      <c r="FOJ7" t="s">
        <v>6984</v>
      </c>
      <c r="FOK7" t="s">
        <v>6984</v>
      </c>
      <c r="FOL7" t="s">
        <v>6984</v>
      </c>
      <c r="FOM7" t="s">
        <v>6984</v>
      </c>
      <c r="FON7" t="s">
        <v>6984</v>
      </c>
      <c r="FOO7" t="s">
        <v>6984</v>
      </c>
      <c r="FOP7" t="s">
        <v>6984</v>
      </c>
      <c r="FOQ7" t="s">
        <v>6984</v>
      </c>
      <c r="FOR7" t="s">
        <v>6984</v>
      </c>
      <c r="FOS7" t="s">
        <v>6984</v>
      </c>
      <c r="FOT7" t="s">
        <v>6984</v>
      </c>
      <c r="FOU7" t="s">
        <v>6984</v>
      </c>
      <c r="FOV7" t="s">
        <v>6984</v>
      </c>
      <c r="FOW7" t="s">
        <v>6984</v>
      </c>
      <c r="FOX7" t="s">
        <v>6984</v>
      </c>
      <c r="FOY7" t="s">
        <v>6984</v>
      </c>
      <c r="FOZ7" t="s">
        <v>6984</v>
      </c>
      <c r="FPA7" t="s">
        <v>6984</v>
      </c>
      <c r="FPB7" t="s">
        <v>6984</v>
      </c>
      <c r="FPC7" t="s">
        <v>6984</v>
      </c>
      <c r="FPD7" t="s">
        <v>6984</v>
      </c>
      <c r="FPE7" t="s">
        <v>6984</v>
      </c>
      <c r="FPF7" t="s">
        <v>6984</v>
      </c>
      <c r="FPG7" t="s">
        <v>6984</v>
      </c>
      <c r="FPH7" t="s">
        <v>6984</v>
      </c>
      <c r="FPI7" t="s">
        <v>6984</v>
      </c>
      <c r="FPJ7" t="s">
        <v>6984</v>
      </c>
      <c r="FPK7" t="s">
        <v>6984</v>
      </c>
      <c r="FPL7" t="s">
        <v>6984</v>
      </c>
      <c r="FPM7" t="s">
        <v>6984</v>
      </c>
      <c r="FPN7" t="s">
        <v>6984</v>
      </c>
      <c r="FPO7" t="s">
        <v>6984</v>
      </c>
      <c r="FPP7" t="s">
        <v>6984</v>
      </c>
      <c r="FPQ7" t="s">
        <v>6984</v>
      </c>
      <c r="FPR7" t="s">
        <v>6984</v>
      </c>
      <c r="FPS7" t="s">
        <v>6984</v>
      </c>
      <c r="FPT7" t="s">
        <v>6984</v>
      </c>
      <c r="FPU7" t="s">
        <v>6984</v>
      </c>
      <c r="FPV7" t="s">
        <v>6984</v>
      </c>
      <c r="FPW7" t="s">
        <v>6984</v>
      </c>
      <c r="FPX7" t="s">
        <v>6984</v>
      </c>
      <c r="FPY7" t="s">
        <v>6984</v>
      </c>
      <c r="FPZ7" t="s">
        <v>6984</v>
      </c>
      <c r="FQA7" t="s">
        <v>6984</v>
      </c>
      <c r="FQB7" t="s">
        <v>6984</v>
      </c>
      <c r="FQC7" t="s">
        <v>6984</v>
      </c>
      <c r="FQD7" t="s">
        <v>6984</v>
      </c>
      <c r="FQE7" t="s">
        <v>6984</v>
      </c>
      <c r="FQF7" t="s">
        <v>6984</v>
      </c>
      <c r="FQG7" t="s">
        <v>6984</v>
      </c>
      <c r="FQH7" t="s">
        <v>6984</v>
      </c>
      <c r="FQI7" t="s">
        <v>6984</v>
      </c>
      <c r="FQJ7" t="s">
        <v>6984</v>
      </c>
      <c r="FQK7" t="s">
        <v>6984</v>
      </c>
      <c r="FQL7" t="s">
        <v>6984</v>
      </c>
      <c r="FQM7" t="s">
        <v>6984</v>
      </c>
      <c r="FQN7" t="s">
        <v>6984</v>
      </c>
      <c r="FQO7" t="s">
        <v>6984</v>
      </c>
      <c r="FQP7" t="s">
        <v>6984</v>
      </c>
      <c r="FQQ7" t="s">
        <v>6984</v>
      </c>
      <c r="FQR7" t="s">
        <v>6984</v>
      </c>
      <c r="FQS7" t="s">
        <v>6984</v>
      </c>
      <c r="FQT7" t="s">
        <v>6984</v>
      </c>
      <c r="FQU7" t="s">
        <v>6984</v>
      </c>
      <c r="FQV7" t="s">
        <v>6984</v>
      </c>
      <c r="FQW7" t="s">
        <v>6984</v>
      </c>
      <c r="FQX7" t="s">
        <v>6984</v>
      </c>
      <c r="FQY7" t="s">
        <v>6984</v>
      </c>
      <c r="FQZ7" t="s">
        <v>6984</v>
      </c>
      <c r="FRA7" t="s">
        <v>6984</v>
      </c>
      <c r="FRB7" t="s">
        <v>6984</v>
      </c>
      <c r="FRC7" t="s">
        <v>6984</v>
      </c>
      <c r="FRD7" t="s">
        <v>6984</v>
      </c>
      <c r="FRE7" t="s">
        <v>6984</v>
      </c>
      <c r="FRF7" t="s">
        <v>6984</v>
      </c>
      <c r="FRG7" t="s">
        <v>6984</v>
      </c>
      <c r="FRH7" t="s">
        <v>6984</v>
      </c>
      <c r="FRI7" t="s">
        <v>6984</v>
      </c>
      <c r="FRJ7" t="s">
        <v>6984</v>
      </c>
      <c r="FRK7" t="s">
        <v>6984</v>
      </c>
      <c r="FRL7" t="s">
        <v>6984</v>
      </c>
      <c r="FRM7" t="s">
        <v>6984</v>
      </c>
      <c r="FRN7" t="s">
        <v>6984</v>
      </c>
      <c r="FRO7" t="s">
        <v>6984</v>
      </c>
      <c r="FRP7" t="s">
        <v>6984</v>
      </c>
      <c r="FRQ7" t="s">
        <v>6984</v>
      </c>
      <c r="FRR7" t="s">
        <v>6984</v>
      </c>
      <c r="FRS7" t="s">
        <v>6984</v>
      </c>
      <c r="FRT7" t="s">
        <v>6984</v>
      </c>
      <c r="FRU7" t="s">
        <v>6984</v>
      </c>
      <c r="FRV7" t="s">
        <v>6984</v>
      </c>
      <c r="FRW7" t="s">
        <v>6984</v>
      </c>
      <c r="FRX7" t="s">
        <v>6984</v>
      </c>
      <c r="FRY7" t="s">
        <v>6984</v>
      </c>
      <c r="FRZ7" t="s">
        <v>6984</v>
      </c>
      <c r="FSA7" t="s">
        <v>6984</v>
      </c>
      <c r="FSB7" t="s">
        <v>6984</v>
      </c>
      <c r="FSC7" t="s">
        <v>6984</v>
      </c>
      <c r="FSD7" t="s">
        <v>6984</v>
      </c>
      <c r="FSE7" t="s">
        <v>6984</v>
      </c>
      <c r="FSF7" t="s">
        <v>6984</v>
      </c>
      <c r="FSG7" t="s">
        <v>6984</v>
      </c>
      <c r="FSH7" t="s">
        <v>6984</v>
      </c>
      <c r="FSI7" t="s">
        <v>6984</v>
      </c>
      <c r="FSJ7" t="s">
        <v>6984</v>
      </c>
      <c r="FSK7" t="s">
        <v>6984</v>
      </c>
      <c r="FSL7" t="s">
        <v>6984</v>
      </c>
      <c r="FSM7" t="s">
        <v>6984</v>
      </c>
      <c r="FSN7" t="s">
        <v>6984</v>
      </c>
      <c r="FSO7" t="s">
        <v>6984</v>
      </c>
      <c r="FSP7" t="s">
        <v>6984</v>
      </c>
      <c r="FSQ7" t="s">
        <v>6984</v>
      </c>
      <c r="FSR7" t="s">
        <v>6984</v>
      </c>
      <c r="FSS7" t="s">
        <v>6984</v>
      </c>
      <c r="FST7" t="s">
        <v>6984</v>
      </c>
      <c r="FSU7" t="s">
        <v>6984</v>
      </c>
      <c r="FSV7" t="s">
        <v>6984</v>
      </c>
      <c r="FSW7" t="s">
        <v>6984</v>
      </c>
      <c r="FSX7" t="s">
        <v>6984</v>
      </c>
      <c r="FSY7" t="s">
        <v>6984</v>
      </c>
      <c r="FSZ7" t="s">
        <v>6984</v>
      </c>
      <c r="FTA7" t="s">
        <v>6984</v>
      </c>
      <c r="FTB7" t="s">
        <v>6984</v>
      </c>
      <c r="FTC7" t="s">
        <v>6984</v>
      </c>
      <c r="FTD7" t="s">
        <v>6984</v>
      </c>
      <c r="FTE7" t="s">
        <v>6984</v>
      </c>
      <c r="FTF7" t="s">
        <v>6984</v>
      </c>
      <c r="FTG7" t="s">
        <v>6984</v>
      </c>
      <c r="FTH7" t="s">
        <v>6984</v>
      </c>
      <c r="FTI7" t="s">
        <v>6984</v>
      </c>
      <c r="FTJ7" t="s">
        <v>6984</v>
      </c>
      <c r="FTK7" t="s">
        <v>6984</v>
      </c>
      <c r="FTL7" t="s">
        <v>6984</v>
      </c>
      <c r="FTM7" t="s">
        <v>6984</v>
      </c>
      <c r="FTN7" t="s">
        <v>6984</v>
      </c>
      <c r="FTO7" t="s">
        <v>6984</v>
      </c>
      <c r="FTP7" t="s">
        <v>6984</v>
      </c>
      <c r="FTQ7" t="s">
        <v>6984</v>
      </c>
      <c r="FTR7" t="s">
        <v>6984</v>
      </c>
      <c r="FTS7" t="s">
        <v>6984</v>
      </c>
      <c r="FTT7" t="s">
        <v>6984</v>
      </c>
      <c r="FTU7" t="s">
        <v>6984</v>
      </c>
      <c r="FTV7" t="s">
        <v>6984</v>
      </c>
      <c r="FTW7" t="s">
        <v>6984</v>
      </c>
      <c r="FTX7" t="s">
        <v>6984</v>
      </c>
      <c r="FTY7" t="s">
        <v>6984</v>
      </c>
      <c r="FTZ7" t="s">
        <v>6984</v>
      </c>
      <c r="FUA7" t="s">
        <v>6984</v>
      </c>
      <c r="FUB7" t="s">
        <v>6984</v>
      </c>
      <c r="FUC7" t="s">
        <v>6984</v>
      </c>
      <c r="FUD7" t="s">
        <v>6984</v>
      </c>
      <c r="FUE7" t="s">
        <v>6984</v>
      </c>
      <c r="FUF7" t="s">
        <v>6984</v>
      </c>
      <c r="FUG7" t="s">
        <v>6984</v>
      </c>
      <c r="FUH7" t="s">
        <v>6984</v>
      </c>
      <c r="FUI7" t="s">
        <v>6984</v>
      </c>
      <c r="FUJ7" t="s">
        <v>6984</v>
      </c>
      <c r="FUK7" t="s">
        <v>6984</v>
      </c>
      <c r="FUL7" t="s">
        <v>6984</v>
      </c>
      <c r="FUM7" t="s">
        <v>6984</v>
      </c>
      <c r="FUN7" t="s">
        <v>6984</v>
      </c>
      <c r="FUO7" t="s">
        <v>6984</v>
      </c>
      <c r="FUP7" t="s">
        <v>6984</v>
      </c>
      <c r="FUQ7" t="s">
        <v>6984</v>
      </c>
      <c r="FUR7" t="s">
        <v>6984</v>
      </c>
      <c r="FUS7" t="s">
        <v>6984</v>
      </c>
      <c r="FUT7" t="s">
        <v>6984</v>
      </c>
      <c r="FUU7" t="s">
        <v>6984</v>
      </c>
      <c r="FUV7" t="s">
        <v>6984</v>
      </c>
      <c r="FUW7" t="s">
        <v>6984</v>
      </c>
      <c r="FUX7" t="s">
        <v>6984</v>
      </c>
      <c r="FUY7" t="s">
        <v>6984</v>
      </c>
      <c r="FUZ7" t="s">
        <v>6984</v>
      </c>
      <c r="FVA7" t="s">
        <v>6984</v>
      </c>
      <c r="FVB7" t="s">
        <v>6984</v>
      </c>
      <c r="FVC7" t="s">
        <v>6984</v>
      </c>
      <c r="FVD7" t="s">
        <v>6984</v>
      </c>
      <c r="FVE7" t="s">
        <v>6984</v>
      </c>
      <c r="FVF7" t="s">
        <v>6984</v>
      </c>
      <c r="FVG7" t="s">
        <v>6984</v>
      </c>
      <c r="FVH7" t="s">
        <v>6984</v>
      </c>
      <c r="FVI7" t="s">
        <v>6984</v>
      </c>
      <c r="FVJ7" t="s">
        <v>6984</v>
      </c>
      <c r="FVK7" t="s">
        <v>6984</v>
      </c>
      <c r="FVL7" t="s">
        <v>6984</v>
      </c>
      <c r="FVM7" t="s">
        <v>6984</v>
      </c>
      <c r="FVN7" t="s">
        <v>6984</v>
      </c>
      <c r="FVO7" t="s">
        <v>6984</v>
      </c>
      <c r="FVP7" t="s">
        <v>6984</v>
      </c>
      <c r="FVQ7" t="s">
        <v>6984</v>
      </c>
      <c r="FVR7" t="s">
        <v>6984</v>
      </c>
      <c r="FVS7" t="s">
        <v>6984</v>
      </c>
      <c r="FVT7" t="s">
        <v>6984</v>
      </c>
      <c r="FVU7" t="s">
        <v>6984</v>
      </c>
      <c r="FVV7" t="s">
        <v>6984</v>
      </c>
      <c r="FVW7" t="s">
        <v>6984</v>
      </c>
      <c r="FVX7" t="s">
        <v>6984</v>
      </c>
      <c r="FVY7" t="s">
        <v>6984</v>
      </c>
      <c r="FVZ7" t="s">
        <v>6984</v>
      </c>
      <c r="FWA7" t="s">
        <v>6984</v>
      </c>
      <c r="FWB7" t="s">
        <v>6984</v>
      </c>
      <c r="FWC7" t="s">
        <v>6984</v>
      </c>
      <c r="FWD7" t="s">
        <v>6984</v>
      </c>
      <c r="FWE7" t="s">
        <v>6984</v>
      </c>
      <c r="FWF7" t="s">
        <v>6984</v>
      </c>
      <c r="FWG7" t="s">
        <v>6984</v>
      </c>
      <c r="FWH7" t="s">
        <v>6984</v>
      </c>
      <c r="FWI7" t="s">
        <v>6984</v>
      </c>
      <c r="FWJ7" t="s">
        <v>6984</v>
      </c>
      <c r="FWK7" t="s">
        <v>6984</v>
      </c>
      <c r="FWL7" t="s">
        <v>6984</v>
      </c>
      <c r="FWM7" t="s">
        <v>6984</v>
      </c>
      <c r="FWN7" t="s">
        <v>6984</v>
      </c>
      <c r="FWO7" t="s">
        <v>6984</v>
      </c>
      <c r="FWP7" t="s">
        <v>6984</v>
      </c>
      <c r="FWQ7" t="s">
        <v>6984</v>
      </c>
      <c r="FWR7" t="s">
        <v>6984</v>
      </c>
      <c r="FWS7" t="s">
        <v>6984</v>
      </c>
      <c r="FWT7" t="s">
        <v>6984</v>
      </c>
      <c r="FWU7" t="s">
        <v>6984</v>
      </c>
      <c r="FWV7" t="s">
        <v>6984</v>
      </c>
      <c r="FWW7" t="s">
        <v>6984</v>
      </c>
      <c r="FWX7" t="s">
        <v>6984</v>
      </c>
      <c r="FWY7" t="s">
        <v>6984</v>
      </c>
      <c r="FWZ7" t="s">
        <v>6984</v>
      </c>
      <c r="FXA7" t="s">
        <v>6984</v>
      </c>
      <c r="FXB7" t="s">
        <v>6984</v>
      </c>
      <c r="FXC7" t="s">
        <v>6984</v>
      </c>
      <c r="FXD7" t="s">
        <v>6984</v>
      </c>
      <c r="FXE7" t="s">
        <v>6984</v>
      </c>
      <c r="FXF7" t="s">
        <v>6984</v>
      </c>
      <c r="FXG7" t="s">
        <v>6984</v>
      </c>
      <c r="FXH7" t="s">
        <v>6984</v>
      </c>
      <c r="FXI7" t="s">
        <v>6984</v>
      </c>
      <c r="FXJ7" t="s">
        <v>6984</v>
      </c>
      <c r="FXK7" t="s">
        <v>6984</v>
      </c>
      <c r="FXL7" t="s">
        <v>6984</v>
      </c>
      <c r="FXM7" t="s">
        <v>6984</v>
      </c>
      <c r="FXN7" t="s">
        <v>6984</v>
      </c>
      <c r="FXO7" t="s">
        <v>6984</v>
      </c>
      <c r="FXP7" t="s">
        <v>6984</v>
      </c>
      <c r="FXQ7" t="s">
        <v>6984</v>
      </c>
      <c r="FXR7" t="s">
        <v>6984</v>
      </c>
      <c r="FXS7" t="s">
        <v>6984</v>
      </c>
      <c r="FXT7" t="s">
        <v>6984</v>
      </c>
      <c r="FXU7" t="s">
        <v>6984</v>
      </c>
      <c r="FXV7" t="s">
        <v>6984</v>
      </c>
      <c r="FXW7" t="s">
        <v>6984</v>
      </c>
      <c r="FXX7" t="s">
        <v>6984</v>
      </c>
      <c r="FXY7" t="s">
        <v>6984</v>
      </c>
      <c r="FXZ7" t="s">
        <v>6984</v>
      </c>
      <c r="FYA7" t="s">
        <v>6984</v>
      </c>
      <c r="FYB7" t="s">
        <v>6984</v>
      </c>
      <c r="FYC7" t="s">
        <v>6984</v>
      </c>
      <c r="FYD7" t="s">
        <v>6984</v>
      </c>
      <c r="FYE7" t="s">
        <v>6984</v>
      </c>
      <c r="FYF7" t="s">
        <v>6984</v>
      </c>
      <c r="FYG7" t="s">
        <v>6984</v>
      </c>
      <c r="FYH7" t="s">
        <v>6984</v>
      </c>
      <c r="FYI7" t="s">
        <v>6984</v>
      </c>
      <c r="FYJ7" t="s">
        <v>6984</v>
      </c>
      <c r="FYK7" t="s">
        <v>6984</v>
      </c>
      <c r="FYL7" t="s">
        <v>6984</v>
      </c>
      <c r="FYM7" t="s">
        <v>6984</v>
      </c>
      <c r="FYN7" t="s">
        <v>6984</v>
      </c>
      <c r="FYO7" t="s">
        <v>6984</v>
      </c>
      <c r="FYP7" t="s">
        <v>6984</v>
      </c>
      <c r="FYQ7" t="s">
        <v>6984</v>
      </c>
      <c r="FYR7" t="s">
        <v>6984</v>
      </c>
      <c r="FYS7" t="s">
        <v>6984</v>
      </c>
      <c r="FYT7" t="s">
        <v>6984</v>
      </c>
      <c r="FYU7" t="s">
        <v>6984</v>
      </c>
      <c r="FYV7" t="s">
        <v>6984</v>
      </c>
      <c r="FYW7" t="s">
        <v>6984</v>
      </c>
      <c r="FYX7" t="s">
        <v>6984</v>
      </c>
      <c r="FYY7" t="s">
        <v>6984</v>
      </c>
      <c r="FYZ7" t="s">
        <v>6984</v>
      </c>
      <c r="FZA7" t="s">
        <v>6984</v>
      </c>
      <c r="FZB7" t="s">
        <v>6984</v>
      </c>
      <c r="FZC7" t="s">
        <v>6984</v>
      </c>
      <c r="FZD7" t="s">
        <v>6984</v>
      </c>
      <c r="FZE7" t="s">
        <v>6984</v>
      </c>
      <c r="FZF7" t="s">
        <v>6984</v>
      </c>
      <c r="FZG7" t="s">
        <v>6984</v>
      </c>
      <c r="FZH7" t="s">
        <v>6984</v>
      </c>
      <c r="FZI7" t="s">
        <v>6984</v>
      </c>
      <c r="FZJ7" t="s">
        <v>6984</v>
      </c>
      <c r="FZK7" t="s">
        <v>6984</v>
      </c>
      <c r="FZL7" t="s">
        <v>6984</v>
      </c>
      <c r="FZM7" t="s">
        <v>6984</v>
      </c>
      <c r="FZN7" t="s">
        <v>6984</v>
      </c>
      <c r="FZO7" t="s">
        <v>6984</v>
      </c>
      <c r="FZP7" t="s">
        <v>6984</v>
      </c>
      <c r="FZQ7" t="s">
        <v>6984</v>
      </c>
      <c r="FZR7" t="s">
        <v>6984</v>
      </c>
      <c r="FZS7" t="s">
        <v>6984</v>
      </c>
      <c r="FZT7" t="s">
        <v>6984</v>
      </c>
      <c r="FZU7" t="s">
        <v>6984</v>
      </c>
      <c r="FZV7" t="s">
        <v>6984</v>
      </c>
      <c r="FZW7" t="s">
        <v>6984</v>
      </c>
      <c r="FZX7" t="s">
        <v>6984</v>
      </c>
      <c r="FZY7" t="s">
        <v>6984</v>
      </c>
      <c r="FZZ7" t="s">
        <v>6984</v>
      </c>
      <c r="GAA7" t="s">
        <v>6984</v>
      </c>
      <c r="GAB7" t="s">
        <v>6984</v>
      </c>
      <c r="GAC7" t="s">
        <v>6984</v>
      </c>
      <c r="GAD7" t="s">
        <v>6984</v>
      </c>
      <c r="GAE7" t="s">
        <v>6984</v>
      </c>
      <c r="GAF7" t="s">
        <v>6984</v>
      </c>
      <c r="GAG7" t="s">
        <v>6984</v>
      </c>
      <c r="GAH7" t="s">
        <v>6984</v>
      </c>
      <c r="GAI7" t="s">
        <v>6984</v>
      </c>
      <c r="GAJ7" t="s">
        <v>6984</v>
      </c>
      <c r="GAK7" t="s">
        <v>6984</v>
      </c>
      <c r="GAL7" t="s">
        <v>6984</v>
      </c>
      <c r="GAM7" t="s">
        <v>6984</v>
      </c>
      <c r="GAN7" t="s">
        <v>6984</v>
      </c>
      <c r="GAO7" t="s">
        <v>6984</v>
      </c>
      <c r="GAP7" t="s">
        <v>6984</v>
      </c>
      <c r="GAQ7" t="s">
        <v>6984</v>
      </c>
      <c r="GAR7" t="s">
        <v>6984</v>
      </c>
      <c r="GAS7" t="s">
        <v>6984</v>
      </c>
      <c r="GAT7" t="s">
        <v>6984</v>
      </c>
      <c r="GAU7" t="s">
        <v>6984</v>
      </c>
      <c r="GAV7" t="s">
        <v>6984</v>
      </c>
      <c r="GAW7" t="s">
        <v>6984</v>
      </c>
      <c r="GAX7" t="s">
        <v>6984</v>
      </c>
      <c r="GAY7" t="s">
        <v>6984</v>
      </c>
      <c r="GAZ7" t="s">
        <v>6984</v>
      </c>
      <c r="GBA7" t="s">
        <v>6984</v>
      </c>
      <c r="GBB7" t="s">
        <v>6984</v>
      </c>
      <c r="GBC7" t="s">
        <v>6984</v>
      </c>
      <c r="GBD7" t="s">
        <v>6984</v>
      </c>
      <c r="GBE7" t="s">
        <v>6984</v>
      </c>
      <c r="GBF7" t="s">
        <v>6984</v>
      </c>
      <c r="GBG7" t="s">
        <v>6984</v>
      </c>
      <c r="GBH7" t="s">
        <v>6984</v>
      </c>
      <c r="GBI7" t="s">
        <v>6984</v>
      </c>
      <c r="GBJ7" t="s">
        <v>6984</v>
      </c>
      <c r="GBK7" t="s">
        <v>6984</v>
      </c>
      <c r="GBL7" t="s">
        <v>6984</v>
      </c>
      <c r="GBM7" t="s">
        <v>6984</v>
      </c>
      <c r="GBN7" t="s">
        <v>6984</v>
      </c>
      <c r="GBO7" t="s">
        <v>6984</v>
      </c>
      <c r="GBP7" t="s">
        <v>6984</v>
      </c>
      <c r="GBQ7" t="s">
        <v>6984</v>
      </c>
      <c r="GBR7" t="s">
        <v>6984</v>
      </c>
      <c r="GBS7" t="s">
        <v>6984</v>
      </c>
      <c r="GBT7" t="s">
        <v>6984</v>
      </c>
      <c r="GBU7" t="s">
        <v>6984</v>
      </c>
      <c r="GBV7" t="s">
        <v>6984</v>
      </c>
      <c r="GBW7" t="s">
        <v>6984</v>
      </c>
      <c r="GBX7" t="s">
        <v>6984</v>
      </c>
      <c r="GBY7" t="s">
        <v>6984</v>
      </c>
      <c r="GBZ7" t="s">
        <v>6984</v>
      </c>
      <c r="GCA7" t="s">
        <v>6984</v>
      </c>
      <c r="GCB7" t="s">
        <v>6984</v>
      </c>
      <c r="GCC7" t="s">
        <v>6984</v>
      </c>
      <c r="GCD7" t="s">
        <v>6984</v>
      </c>
      <c r="GCE7" t="s">
        <v>6984</v>
      </c>
      <c r="GCF7" t="s">
        <v>6984</v>
      </c>
      <c r="GCG7" t="s">
        <v>6984</v>
      </c>
      <c r="GCH7" t="s">
        <v>6984</v>
      </c>
      <c r="GCI7" t="s">
        <v>6984</v>
      </c>
      <c r="GCJ7" t="s">
        <v>6984</v>
      </c>
      <c r="GCK7" t="s">
        <v>6984</v>
      </c>
      <c r="GCL7" t="s">
        <v>6984</v>
      </c>
      <c r="GCM7" t="s">
        <v>6984</v>
      </c>
      <c r="GCN7" t="s">
        <v>6984</v>
      </c>
      <c r="GCO7" t="s">
        <v>6984</v>
      </c>
      <c r="GCP7" t="s">
        <v>6984</v>
      </c>
      <c r="GCQ7" t="s">
        <v>6984</v>
      </c>
      <c r="GCR7" t="s">
        <v>6984</v>
      </c>
      <c r="GCS7" t="s">
        <v>6984</v>
      </c>
      <c r="GCT7" t="s">
        <v>6984</v>
      </c>
      <c r="GCU7" t="s">
        <v>6984</v>
      </c>
      <c r="GCV7" t="s">
        <v>6984</v>
      </c>
      <c r="GCW7" t="s">
        <v>6984</v>
      </c>
      <c r="GCX7" t="s">
        <v>6984</v>
      </c>
      <c r="GCY7" t="s">
        <v>6984</v>
      </c>
      <c r="GCZ7" t="s">
        <v>6984</v>
      </c>
      <c r="GDA7" t="s">
        <v>6984</v>
      </c>
      <c r="GDB7" t="s">
        <v>6984</v>
      </c>
      <c r="GDC7" t="s">
        <v>6984</v>
      </c>
      <c r="GDD7" t="s">
        <v>6984</v>
      </c>
      <c r="GDE7" t="s">
        <v>6984</v>
      </c>
      <c r="GDF7" t="s">
        <v>6984</v>
      </c>
      <c r="GDG7" t="s">
        <v>6984</v>
      </c>
      <c r="GDH7" t="s">
        <v>6984</v>
      </c>
      <c r="GDI7" t="s">
        <v>6984</v>
      </c>
      <c r="GDJ7" t="s">
        <v>6984</v>
      </c>
      <c r="GDK7" t="s">
        <v>6984</v>
      </c>
      <c r="GDL7" t="s">
        <v>6984</v>
      </c>
      <c r="GDM7" t="s">
        <v>6984</v>
      </c>
      <c r="GDN7" t="s">
        <v>6984</v>
      </c>
      <c r="GDO7" t="s">
        <v>6984</v>
      </c>
      <c r="GDP7" t="s">
        <v>6984</v>
      </c>
      <c r="GDQ7" t="s">
        <v>6984</v>
      </c>
      <c r="GDR7" t="s">
        <v>6984</v>
      </c>
      <c r="GDS7" t="s">
        <v>6984</v>
      </c>
      <c r="GDT7" t="s">
        <v>6984</v>
      </c>
      <c r="GDU7" t="s">
        <v>6984</v>
      </c>
      <c r="GDV7" t="s">
        <v>6984</v>
      </c>
      <c r="GDW7" t="s">
        <v>6984</v>
      </c>
      <c r="GDX7" t="s">
        <v>6984</v>
      </c>
      <c r="GDY7" t="s">
        <v>6984</v>
      </c>
      <c r="GDZ7" t="s">
        <v>6984</v>
      </c>
      <c r="GEA7" t="s">
        <v>6984</v>
      </c>
      <c r="GEB7" t="s">
        <v>6984</v>
      </c>
      <c r="GEC7" t="s">
        <v>6984</v>
      </c>
      <c r="GED7" t="s">
        <v>6984</v>
      </c>
      <c r="GEE7" t="s">
        <v>6984</v>
      </c>
      <c r="GEF7" t="s">
        <v>6984</v>
      </c>
      <c r="GEG7" t="s">
        <v>6984</v>
      </c>
      <c r="GEH7" t="s">
        <v>6984</v>
      </c>
      <c r="GEI7" t="s">
        <v>6984</v>
      </c>
      <c r="GEJ7" t="s">
        <v>6984</v>
      </c>
      <c r="GEK7" t="s">
        <v>6984</v>
      </c>
      <c r="GEL7" t="s">
        <v>6984</v>
      </c>
      <c r="GEM7" t="s">
        <v>6984</v>
      </c>
      <c r="GEN7" t="s">
        <v>6984</v>
      </c>
      <c r="GEO7" t="s">
        <v>6984</v>
      </c>
      <c r="GEP7" t="s">
        <v>6984</v>
      </c>
      <c r="GEQ7" t="s">
        <v>6984</v>
      </c>
      <c r="GER7" t="s">
        <v>6984</v>
      </c>
      <c r="GES7" t="s">
        <v>6984</v>
      </c>
      <c r="GET7" t="s">
        <v>6984</v>
      </c>
      <c r="GEU7" t="s">
        <v>6984</v>
      </c>
      <c r="GEV7" t="s">
        <v>6984</v>
      </c>
      <c r="GEW7" t="s">
        <v>6984</v>
      </c>
      <c r="GEX7" t="s">
        <v>6984</v>
      </c>
      <c r="GEY7" t="s">
        <v>6984</v>
      </c>
      <c r="GEZ7" t="s">
        <v>6984</v>
      </c>
      <c r="GFA7" t="s">
        <v>6984</v>
      </c>
      <c r="GFB7" t="s">
        <v>6984</v>
      </c>
      <c r="GFC7" t="s">
        <v>6984</v>
      </c>
      <c r="GFD7" t="s">
        <v>6984</v>
      </c>
      <c r="GFE7" t="s">
        <v>6984</v>
      </c>
      <c r="GFF7" t="s">
        <v>6984</v>
      </c>
      <c r="GFG7" t="s">
        <v>6984</v>
      </c>
      <c r="GFH7" t="s">
        <v>6984</v>
      </c>
      <c r="GFI7" t="s">
        <v>6984</v>
      </c>
      <c r="GFJ7" t="s">
        <v>6984</v>
      </c>
      <c r="GFK7" t="s">
        <v>6984</v>
      </c>
      <c r="GFL7" t="s">
        <v>6984</v>
      </c>
      <c r="GFM7" t="s">
        <v>6984</v>
      </c>
      <c r="GFN7" t="s">
        <v>6984</v>
      </c>
      <c r="GFO7" t="s">
        <v>6984</v>
      </c>
      <c r="GFP7" t="s">
        <v>6984</v>
      </c>
      <c r="GFQ7" t="s">
        <v>6984</v>
      </c>
      <c r="GFR7" t="s">
        <v>6984</v>
      </c>
      <c r="GFS7" t="s">
        <v>6984</v>
      </c>
      <c r="GFT7" t="s">
        <v>6984</v>
      </c>
      <c r="GFU7" t="s">
        <v>6984</v>
      </c>
      <c r="GFV7" t="s">
        <v>6984</v>
      </c>
      <c r="GFW7" t="s">
        <v>6984</v>
      </c>
      <c r="GFX7" t="s">
        <v>6984</v>
      </c>
      <c r="GFY7" t="s">
        <v>6984</v>
      </c>
      <c r="GFZ7" t="s">
        <v>6984</v>
      </c>
      <c r="GGA7" t="s">
        <v>6984</v>
      </c>
      <c r="GGB7" t="s">
        <v>6984</v>
      </c>
      <c r="GGC7" t="s">
        <v>6984</v>
      </c>
      <c r="GGD7" t="s">
        <v>6984</v>
      </c>
      <c r="GGE7" t="s">
        <v>6984</v>
      </c>
      <c r="GGF7" t="s">
        <v>6984</v>
      </c>
      <c r="GGG7" t="s">
        <v>6984</v>
      </c>
      <c r="GGH7" t="s">
        <v>6984</v>
      </c>
      <c r="GGI7" t="s">
        <v>6984</v>
      </c>
      <c r="GGJ7" t="s">
        <v>6984</v>
      </c>
      <c r="GGK7" t="s">
        <v>6984</v>
      </c>
      <c r="GGL7" t="s">
        <v>6984</v>
      </c>
      <c r="GGM7" t="s">
        <v>6984</v>
      </c>
      <c r="GGN7" t="s">
        <v>6984</v>
      </c>
      <c r="GGO7" t="s">
        <v>6984</v>
      </c>
      <c r="GGP7" t="s">
        <v>6984</v>
      </c>
      <c r="GGQ7" t="s">
        <v>6984</v>
      </c>
      <c r="GGR7" t="s">
        <v>6984</v>
      </c>
      <c r="GGS7" t="s">
        <v>6984</v>
      </c>
      <c r="GGT7" t="s">
        <v>6984</v>
      </c>
      <c r="GGU7" t="s">
        <v>6984</v>
      </c>
      <c r="GGV7" t="s">
        <v>6984</v>
      </c>
      <c r="GGW7" t="s">
        <v>6984</v>
      </c>
      <c r="GGX7" t="s">
        <v>6984</v>
      </c>
      <c r="GGY7" t="s">
        <v>6984</v>
      </c>
      <c r="GGZ7" t="s">
        <v>6984</v>
      </c>
      <c r="GHA7" t="s">
        <v>6984</v>
      </c>
      <c r="GHB7" t="s">
        <v>6984</v>
      </c>
      <c r="GHC7" t="s">
        <v>6984</v>
      </c>
      <c r="GHD7" t="s">
        <v>6984</v>
      </c>
      <c r="GHE7" t="s">
        <v>6984</v>
      </c>
      <c r="GHF7" t="s">
        <v>6984</v>
      </c>
      <c r="GHG7" t="s">
        <v>6984</v>
      </c>
      <c r="GHH7" t="s">
        <v>6984</v>
      </c>
      <c r="GHI7" t="s">
        <v>6984</v>
      </c>
      <c r="GHJ7" t="s">
        <v>6984</v>
      </c>
      <c r="GHK7" t="s">
        <v>6984</v>
      </c>
      <c r="GHL7" t="s">
        <v>6984</v>
      </c>
      <c r="GHM7" t="s">
        <v>6984</v>
      </c>
      <c r="GHN7" t="s">
        <v>6984</v>
      </c>
      <c r="GHO7" t="s">
        <v>6984</v>
      </c>
      <c r="GHP7" t="s">
        <v>6984</v>
      </c>
      <c r="GHQ7" t="s">
        <v>6984</v>
      </c>
      <c r="GHR7" t="s">
        <v>6984</v>
      </c>
      <c r="GHS7" t="s">
        <v>6984</v>
      </c>
      <c r="GHT7" t="s">
        <v>6984</v>
      </c>
      <c r="GHU7" t="s">
        <v>6984</v>
      </c>
      <c r="GHV7" t="s">
        <v>6984</v>
      </c>
      <c r="GHW7" t="s">
        <v>6984</v>
      </c>
      <c r="GHX7" t="s">
        <v>6984</v>
      </c>
      <c r="GHY7" t="s">
        <v>6984</v>
      </c>
      <c r="GHZ7" t="s">
        <v>6984</v>
      </c>
      <c r="GIA7" t="s">
        <v>6984</v>
      </c>
      <c r="GIB7" t="s">
        <v>6984</v>
      </c>
      <c r="GIC7" t="s">
        <v>6984</v>
      </c>
      <c r="GID7" t="s">
        <v>6984</v>
      </c>
      <c r="GIE7" t="s">
        <v>6984</v>
      </c>
      <c r="GIF7" t="s">
        <v>6984</v>
      </c>
      <c r="GIG7" t="s">
        <v>6984</v>
      </c>
      <c r="GIH7" t="s">
        <v>6984</v>
      </c>
      <c r="GII7" t="s">
        <v>6984</v>
      </c>
      <c r="GIJ7" t="s">
        <v>6984</v>
      </c>
      <c r="GIK7" t="s">
        <v>6984</v>
      </c>
      <c r="GIL7" t="s">
        <v>6984</v>
      </c>
      <c r="GIM7" t="s">
        <v>6984</v>
      </c>
      <c r="GIN7" t="s">
        <v>6984</v>
      </c>
      <c r="GIO7" t="s">
        <v>6984</v>
      </c>
      <c r="GIP7" t="s">
        <v>6984</v>
      </c>
      <c r="GIQ7" t="s">
        <v>6984</v>
      </c>
      <c r="GIR7" t="s">
        <v>6984</v>
      </c>
      <c r="GIS7" t="s">
        <v>6984</v>
      </c>
      <c r="GIT7" t="s">
        <v>6984</v>
      </c>
      <c r="GIU7" t="s">
        <v>6984</v>
      </c>
      <c r="GIV7" t="s">
        <v>6984</v>
      </c>
      <c r="GIW7" t="s">
        <v>6984</v>
      </c>
      <c r="GIX7" t="s">
        <v>6984</v>
      </c>
      <c r="GIY7" t="s">
        <v>6984</v>
      </c>
      <c r="GIZ7" t="s">
        <v>6984</v>
      </c>
      <c r="GJA7" t="s">
        <v>6984</v>
      </c>
      <c r="GJB7" t="s">
        <v>6984</v>
      </c>
      <c r="GJC7" t="s">
        <v>6984</v>
      </c>
      <c r="GJD7" t="s">
        <v>6984</v>
      </c>
      <c r="GJE7" t="s">
        <v>6984</v>
      </c>
      <c r="GJF7" t="s">
        <v>6984</v>
      </c>
      <c r="GJG7" t="s">
        <v>6984</v>
      </c>
      <c r="GJH7" t="s">
        <v>6984</v>
      </c>
      <c r="GJI7" t="s">
        <v>6984</v>
      </c>
      <c r="GJJ7" t="s">
        <v>6984</v>
      </c>
      <c r="GJK7" t="s">
        <v>6984</v>
      </c>
      <c r="GJL7" t="s">
        <v>6984</v>
      </c>
      <c r="GJM7" t="s">
        <v>6984</v>
      </c>
      <c r="GJN7" t="s">
        <v>6984</v>
      </c>
      <c r="GJO7" t="s">
        <v>6984</v>
      </c>
      <c r="GJP7" t="s">
        <v>6984</v>
      </c>
      <c r="GJQ7" t="s">
        <v>6984</v>
      </c>
      <c r="GJR7" t="s">
        <v>6984</v>
      </c>
      <c r="GJS7" t="s">
        <v>6984</v>
      </c>
      <c r="GJT7" t="s">
        <v>6984</v>
      </c>
      <c r="GJU7" t="s">
        <v>6984</v>
      </c>
      <c r="GJV7" t="s">
        <v>6984</v>
      </c>
      <c r="GJW7" t="s">
        <v>6984</v>
      </c>
      <c r="GJX7" t="s">
        <v>6984</v>
      </c>
      <c r="GJY7" t="s">
        <v>6984</v>
      </c>
      <c r="GJZ7" t="s">
        <v>6984</v>
      </c>
      <c r="GKA7" t="s">
        <v>6984</v>
      </c>
      <c r="GKB7" t="s">
        <v>6984</v>
      </c>
      <c r="GKC7" t="s">
        <v>6984</v>
      </c>
      <c r="GKD7" t="s">
        <v>6984</v>
      </c>
      <c r="GKE7" t="s">
        <v>6984</v>
      </c>
      <c r="GKF7" t="s">
        <v>6984</v>
      </c>
      <c r="GKG7" t="s">
        <v>6984</v>
      </c>
      <c r="GKH7" t="s">
        <v>6984</v>
      </c>
      <c r="GKI7" t="s">
        <v>6984</v>
      </c>
      <c r="GKJ7" t="s">
        <v>6984</v>
      </c>
      <c r="GKK7" t="s">
        <v>6984</v>
      </c>
      <c r="GKL7" t="s">
        <v>6984</v>
      </c>
      <c r="GKM7" t="s">
        <v>6984</v>
      </c>
      <c r="GKN7" t="s">
        <v>6984</v>
      </c>
      <c r="GKO7" t="s">
        <v>6984</v>
      </c>
      <c r="GKP7" t="s">
        <v>6984</v>
      </c>
      <c r="GKQ7" t="s">
        <v>6984</v>
      </c>
      <c r="GKR7" t="s">
        <v>6984</v>
      </c>
      <c r="GKS7" t="s">
        <v>6984</v>
      </c>
      <c r="GKT7" t="s">
        <v>6984</v>
      </c>
      <c r="GKU7" t="s">
        <v>6984</v>
      </c>
      <c r="GKV7" t="s">
        <v>6984</v>
      </c>
      <c r="GKW7" t="s">
        <v>6984</v>
      </c>
      <c r="GKX7" t="s">
        <v>6984</v>
      </c>
      <c r="GKY7" t="s">
        <v>6984</v>
      </c>
      <c r="GKZ7" t="s">
        <v>6984</v>
      </c>
      <c r="GLA7" t="s">
        <v>6984</v>
      </c>
      <c r="GLB7" t="s">
        <v>6984</v>
      </c>
      <c r="GLC7" t="s">
        <v>6984</v>
      </c>
      <c r="GLD7" t="s">
        <v>6984</v>
      </c>
      <c r="GLE7" t="s">
        <v>6984</v>
      </c>
      <c r="GLF7" t="s">
        <v>6984</v>
      </c>
      <c r="GLG7" t="s">
        <v>6984</v>
      </c>
      <c r="GLH7" t="s">
        <v>6984</v>
      </c>
      <c r="GLI7" t="s">
        <v>6984</v>
      </c>
      <c r="GLJ7" t="s">
        <v>6984</v>
      </c>
      <c r="GLK7" t="s">
        <v>6984</v>
      </c>
      <c r="GLL7" t="s">
        <v>6984</v>
      </c>
      <c r="GLM7" t="s">
        <v>6984</v>
      </c>
      <c r="GLN7" t="s">
        <v>6984</v>
      </c>
      <c r="GLO7" t="s">
        <v>6984</v>
      </c>
      <c r="GLP7" t="s">
        <v>6984</v>
      </c>
      <c r="GLQ7" t="s">
        <v>6984</v>
      </c>
      <c r="GLR7" t="s">
        <v>6984</v>
      </c>
      <c r="GLS7" t="s">
        <v>6984</v>
      </c>
      <c r="GLT7" t="s">
        <v>6984</v>
      </c>
      <c r="GLU7" t="s">
        <v>6984</v>
      </c>
      <c r="GLV7" t="s">
        <v>6984</v>
      </c>
      <c r="GLW7" t="s">
        <v>6984</v>
      </c>
      <c r="GLX7" t="s">
        <v>6984</v>
      </c>
      <c r="GLY7" t="s">
        <v>6984</v>
      </c>
      <c r="GLZ7" t="s">
        <v>6984</v>
      </c>
      <c r="GMA7" t="s">
        <v>6984</v>
      </c>
      <c r="GMB7" t="s">
        <v>6984</v>
      </c>
      <c r="GMC7" t="s">
        <v>6984</v>
      </c>
      <c r="GMD7" t="s">
        <v>6984</v>
      </c>
      <c r="GME7" t="s">
        <v>6984</v>
      </c>
      <c r="GMF7" t="s">
        <v>6984</v>
      </c>
      <c r="GMG7" t="s">
        <v>6984</v>
      </c>
      <c r="GMH7" t="s">
        <v>6984</v>
      </c>
      <c r="GMI7" t="s">
        <v>6984</v>
      </c>
      <c r="GMJ7" t="s">
        <v>6984</v>
      </c>
      <c r="GMK7" t="s">
        <v>6984</v>
      </c>
      <c r="GML7" t="s">
        <v>6984</v>
      </c>
      <c r="GMM7" t="s">
        <v>6984</v>
      </c>
      <c r="GMN7" t="s">
        <v>6984</v>
      </c>
      <c r="GMO7" t="s">
        <v>6984</v>
      </c>
      <c r="GMP7" t="s">
        <v>6984</v>
      </c>
      <c r="GMQ7" t="s">
        <v>6984</v>
      </c>
      <c r="GMR7" t="s">
        <v>6984</v>
      </c>
      <c r="GMS7" t="s">
        <v>6984</v>
      </c>
      <c r="GMT7" t="s">
        <v>6984</v>
      </c>
      <c r="GMU7" t="s">
        <v>6984</v>
      </c>
      <c r="GMV7" t="s">
        <v>6984</v>
      </c>
      <c r="GMW7" t="s">
        <v>6984</v>
      </c>
      <c r="GMX7" t="s">
        <v>6984</v>
      </c>
      <c r="GMY7" t="s">
        <v>6984</v>
      </c>
      <c r="GMZ7" t="s">
        <v>6984</v>
      </c>
      <c r="GNA7" t="s">
        <v>6984</v>
      </c>
      <c r="GNB7" t="s">
        <v>6984</v>
      </c>
      <c r="GNC7" t="s">
        <v>6984</v>
      </c>
      <c r="GND7" t="s">
        <v>6984</v>
      </c>
      <c r="GNE7" t="s">
        <v>6984</v>
      </c>
      <c r="GNF7" t="s">
        <v>6984</v>
      </c>
      <c r="GNG7" t="s">
        <v>6984</v>
      </c>
      <c r="GNH7" t="s">
        <v>6984</v>
      </c>
      <c r="GNI7" t="s">
        <v>6984</v>
      </c>
      <c r="GNJ7" t="s">
        <v>6984</v>
      </c>
      <c r="GNK7" t="s">
        <v>6984</v>
      </c>
      <c r="GNL7" t="s">
        <v>6984</v>
      </c>
      <c r="GNM7" t="s">
        <v>6984</v>
      </c>
      <c r="GNN7" t="s">
        <v>6984</v>
      </c>
      <c r="GNO7" t="s">
        <v>6984</v>
      </c>
      <c r="GNP7" t="s">
        <v>6984</v>
      </c>
      <c r="GNQ7" t="s">
        <v>6984</v>
      </c>
      <c r="GNR7" t="s">
        <v>6984</v>
      </c>
      <c r="GNS7" t="s">
        <v>6984</v>
      </c>
      <c r="GNT7" t="s">
        <v>6984</v>
      </c>
      <c r="GNU7" t="s">
        <v>6984</v>
      </c>
      <c r="GNV7" t="s">
        <v>6984</v>
      </c>
      <c r="GNW7" t="s">
        <v>6984</v>
      </c>
      <c r="GNX7" t="s">
        <v>6984</v>
      </c>
      <c r="GNY7" t="s">
        <v>6984</v>
      </c>
      <c r="GNZ7" t="s">
        <v>6984</v>
      </c>
      <c r="GOA7" t="s">
        <v>6984</v>
      </c>
      <c r="GOB7" t="s">
        <v>6984</v>
      </c>
      <c r="GOC7" t="s">
        <v>6984</v>
      </c>
      <c r="GOD7" t="s">
        <v>6984</v>
      </c>
      <c r="GOE7" t="s">
        <v>6984</v>
      </c>
      <c r="GOF7" t="s">
        <v>6984</v>
      </c>
      <c r="GOG7" t="s">
        <v>6984</v>
      </c>
      <c r="GOH7" t="s">
        <v>6984</v>
      </c>
      <c r="GOI7" t="s">
        <v>6984</v>
      </c>
      <c r="GOJ7" t="s">
        <v>6984</v>
      </c>
      <c r="GOK7" t="s">
        <v>6984</v>
      </c>
      <c r="GOL7" t="s">
        <v>6984</v>
      </c>
      <c r="GOM7" t="s">
        <v>6984</v>
      </c>
      <c r="GON7" t="s">
        <v>6984</v>
      </c>
      <c r="GOO7" t="s">
        <v>6984</v>
      </c>
      <c r="GOP7" t="s">
        <v>6984</v>
      </c>
      <c r="GOQ7" t="s">
        <v>6984</v>
      </c>
      <c r="GOR7" t="s">
        <v>6984</v>
      </c>
      <c r="GOS7" t="s">
        <v>6984</v>
      </c>
      <c r="GOT7" t="s">
        <v>6984</v>
      </c>
      <c r="GOU7" t="s">
        <v>6984</v>
      </c>
      <c r="GOV7" t="s">
        <v>6984</v>
      </c>
      <c r="GOW7" t="s">
        <v>6984</v>
      </c>
      <c r="GOX7" t="s">
        <v>6984</v>
      </c>
      <c r="GOY7" t="s">
        <v>6984</v>
      </c>
      <c r="GOZ7" t="s">
        <v>6984</v>
      </c>
      <c r="GPA7" t="s">
        <v>6984</v>
      </c>
      <c r="GPB7" t="s">
        <v>6984</v>
      </c>
      <c r="GPC7" t="s">
        <v>6984</v>
      </c>
      <c r="GPD7" t="s">
        <v>6984</v>
      </c>
      <c r="GPE7" t="s">
        <v>6984</v>
      </c>
      <c r="GPF7" t="s">
        <v>6984</v>
      </c>
      <c r="GPG7" t="s">
        <v>6984</v>
      </c>
      <c r="GPH7" t="s">
        <v>6984</v>
      </c>
      <c r="GPI7" t="s">
        <v>6984</v>
      </c>
      <c r="GPJ7" t="s">
        <v>6984</v>
      </c>
      <c r="GPK7" t="s">
        <v>6984</v>
      </c>
      <c r="GPL7" t="s">
        <v>6984</v>
      </c>
      <c r="GPM7" t="s">
        <v>6984</v>
      </c>
      <c r="GPN7" t="s">
        <v>6984</v>
      </c>
      <c r="GPO7" t="s">
        <v>6984</v>
      </c>
      <c r="GPP7" t="s">
        <v>6984</v>
      </c>
      <c r="GPQ7" t="s">
        <v>6984</v>
      </c>
      <c r="GPR7" t="s">
        <v>6984</v>
      </c>
      <c r="GPS7" t="s">
        <v>6984</v>
      </c>
      <c r="GPT7" t="s">
        <v>6984</v>
      </c>
      <c r="GPU7" t="s">
        <v>6984</v>
      </c>
      <c r="GPV7" t="s">
        <v>6984</v>
      </c>
      <c r="GPW7" t="s">
        <v>6984</v>
      </c>
      <c r="GPX7" t="s">
        <v>6984</v>
      </c>
      <c r="GPY7" t="s">
        <v>6984</v>
      </c>
      <c r="GPZ7" t="s">
        <v>6984</v>
      </c>
      <c r="GQA7" t="s">
        <v>6984</v>
      </c>
      <c r="GQB7" t="s">
        <v>6984</v>
      </c>
      <c r="GQC7" t="s">
        <v>6984</v>
      </c>
      <c r="GQD7" t="s">
        <v>6984</v>
      </c>
      <c r="GQE7" t="s">
        <v>6984</v>
      </c>
      <c r="GQF7" t="s">
        <v>6984</v>
      </c>
      <c r="GQG7" t="s">
        <v>6984</v>
      </c>
      <c r="GQH7" t="s">
        <v>6984</v>
      </c>
      <c r="GQI7" t="s">
        <v>6984</v>
      </c>
      <c r="GQJ7" t="s">
        <v>6984</v>
      </c>
      <c r="GQK7" t="s">
        <v>6984</v>
      </c>
      <c r="GQL7" t="s">
        <v>6984</v>
      </c>
      <c r="GQM7" t="s">
        <v>6984</v>
      </c>
      <c r="GQN7" t="s">
        <v>6984</v>
      </c>
      <c r="GQO7" t="s">
        <v>6984</v>
      </c>
      <c r="GQP7" t="s">
        <v>6984</v>
      </c>
      <c r="GQQ7" t="s">
        <v>6984</v>
      </c>
      <c r="GQR7" t="s">
        <v>6984</v>
      </c>
      <c r="GQS7" t="s">
        <v>6984</v>
      </c>
      <c r="GQT7" t="s">
        <v>6984</v>
      </c>
      <c r="GQU7" t="s">
        <v>6984</v>
      </c>
      <c r="GQV7" t="s">
        <v>6984</v>
      </c>
      <c r="GQW7" t="s">
        <v>6984</v>
      </c>
      <c r="GQX7" t="s">
        <v>6984</v>
      </c>
      <c r="GQY7" t="s">
        <v>6984</v>
      </c>
      <c r="GQZ7" t="s">
        <v>6984</v>
      </c>
      <c r="GRA7" t="s">
        <v>6984</v>
      </c>
      <c r="GRB7" t="s">
        <v>6984</v>
      </c>
      <c r="GRC7" t="s">
        <v>6984</v>
      </c>
      <c r="GRD7" t="s">
        <v>6984</v>
      </c>
      <c r="GRE7" t="s">
        <v>6984</v>
      </c>
      <c r="GRF7" t="s">
        <v>6984</v>
      </c>
      <c r="GRG7" t="s">
        <v>6984</v>
      </c>
      <c r="GRH7" t="s">
        <v>6984</v>
      </c>
      <c r="GRI7" t="s">
        <v>6984</v>
      </c>
      <c r="GRJ7" t="s">
        <v>6984</v>
      </c>
      <c r="GRK7" t="s">
        <v>6984</v>
      </c>
      <c r="GRL7" t="s">
        <v>6984</v>
      </c>
      <c r="GRM7" t="s">
        <v>6984</v>
      </c>
      <c r="GRN7" t="s">
        <v>6984</v>
      </c>
      <c r="GRO7" t="s">
        <v>6984</v>
      </c>
      <c r="GRP7" t="s">
        <v>6984</v>
      </c>
      <c r="GRQ7" t="s">
        <v>6984</v>
      </c>
      <c r="GRR7" t="s">
        <v>6984</v>
      </c>
      <c r="GRS7" t="s">
        <v>6984</v>
      </c>
      <c r="GRT7" t="s">
        <v>6984</v>
      </c>
      <c r="GRU7" t="s">
        <v>6984</v>
      </c>
      <c r="GRV7" t="s">
        <v>6984</v>
      </c>
      <c r="GRW7" t="s">
        <v>6984</v>
      </c>
      <c r="GRX7" t="s">
        <v>6984</v>
      </c>
      <c r="GRY7" t="s">
        <v>6984</v>
      </c>
      <c r="GRZ7" t="s">
        <v>6984</v>
      </c>
      <c r="GSA7" t="s">
        <v>6984</v>
      </c>
      <c r="GSB7" t="s">
        <v>6984</v>
      </c>
      <c r="GSC7" t="s">
        <v>6984</v>
      </c>
      <c r="GSD7" t="s">
        <v>6984</v>
      </c>
      <c r="GSE7" t="s">
        <v>6984</v>
      </c>
      <c r="GSF7" t="s">
        <v>6984</v>
      </c>
      <c r="GSG7" t="s">
        <v>6984</v>
      </c>
      <c r="GSH7" t="s">
        <v>6984</v>
      </c>
      <c r="GSI7" t="s">
        <v>6984</v>
      </c>
      <c r="GSJ7" t="s">
        <v>6984</v>
      </c>
      <c r="GSK7" t="s">
        <v>6984</v>
      </c>
      <c r="GSL7" t="s">
        <v>6984</v>
      </c>
      <c r="GSM7" t="s">
        <v>6984</v>
      </c>
      <c r="GSN7" t="s">
        <v>6984</v>
      </c>
      <c r="GSO7" t="s">
        <v>6984</v>
      </c>
      <c r="GSP7" t="s">
        <v>6984</v>
      </c>
      <c r="GSQ7" t="s">
        <v>6984</v>
      </c>
      <c r="GSR7" t="s">
        <v>6984</v>
      </c>
      <c r="GSS7" t="s">
        <v>6984</v>
      </c>
      <c r="GST7" t="s">
        <v>6984</v>
      </c>
      <c r="GSU7" t="s">
        <v>6984</v>
      </c>
      <c r="GSV7" t="s">
        <v>6984</v>
      </c>
      <c r="GSW7" t="s">
        <v>6984</v>
      </c>
      <c r="GSX7" t="s">
        <v>6984</v>
      </c>
      <c r="GSY7" t="s">
        <v>6984</v>
      </c>
      <c r="GSZ7" t="s">
        <v>6984</v>
      </c>
      <c r="GTA7" t="s">
        <v>6984</v>
      </c>
      <c r="GTB7" t="s">
        <v>6984</v>
      </c>
      <c r="GTC7" t="s">
        <v>6984</v>
      </c>
      <c r="GTD7" t="s">
        <v>6984</v>
      </c>
      <c r="GTE7" t="s">
        <v>6984</v>
      </c>
      <c r="GTF7" t="s">
        <v>6984</v>
      </c>
      <c r="GTG7" t="s">
        <v>6984</v>
      </c>
      <c r="GTH7" t="s">
        <v>6984</v>
      </c>
      <c r="GTI7" t="s">
        <v>6984</v>
      </c>
      <c r="GTJ7" t="s">
        <v>6984</v>
      </c>
      <c r="GTK7" t="s">
        <v>6984</v>
      </c>
      <c r="GTL7" t="s">
        <v>6984</v>
      </c>
      <c r="GTM7" t="s">
        <v>6984</v>
      </c>
      <c r="GTN7" t="s">
        <v>6984</v>
      </c>
      <c r="GTO7" t="s">
        <v>6984</v>
      </c>
      <c r="GTP7" t="s">
        <v>6984</v>
      </c>
      <c r="GTQ7" t="s">
        <v>6984</v>
      </c>
      <c r="GTR7" t="s">
        <v>6984</v>
      </c>
      <c r="GTS7" t="s">
        <v>6984</v>
      </c>
      <c r="GTT7" t="s">
        <v>6984</v>
      </c>
      <c r="GTU7" t="s">
        <v>6984</v>
      </c>
      <c r="GTV7" t="s">
        <v>6984</v>
      </c>
      <c r="GTW7" t="s">
        <v>6984</v>
      </c>
      <c r="GTX7" t="s">
        <v>6984</v>
      </c>
      <c r="GTY7" t="s">
        <v>6984</v>
      </c>
      <c r="GTZ7" t="s">
        <v>6984</v>
      </c>
      <c r="GUA7" t="s">
        <v>6984</v>
      </c>
      <c r="GUB7" t="s">
        <v>6984</v>
      </c>
      <c r="GUC7" t="s">
        <v>6984</v>
      </c>
      <c r="GUD7" t="s">
        <v>6984</v>
      </c>
      <c r="GUE7" t="s">
        <v>6984</v>
      </c>
      <c r="GUF7" t="s">
        <v>6984</v>
      </c>
      <c r="GUG7" t="s">
        <v>6984</v>
      </c>
      <c r="GUH7" t="s">
        <v>6984</v>
      </c>
      <c r="GUI7" t="s">
        <v>6984</v>
      </c>
      <c r="GUJ7" t="s">
        <v>6984</v>
      </c>
      <c r="GUK7" t="s">
        <v>6984</v>
      </c>
      <c r="GUL7" t="s">
        <v>6984</v>
      </c>
      <c r="GUM7" t="s">
        <v>6984</v>
      </c>
      <c r="GUN7" t="s">
        <v>6984</v>
      </c>
      <c r="GUO7" t="s">
        <v>6984</v>
      </c>
      <c r="GUP7" t="s">
        <v>6984</v>
      </c>
      <c r="GUQ7" t="s">
        <v>6984</v>
      </c>
      <c r="GUR7" t="s">
        <v>6984</v>
      </c>
      <c r="GUS7" t="s">
        <v>6984</v>
      </c>
      <c r="GUT7" t="s">
        <v>6984</v>
      </c>
      <c r="GUU7" t="s">
        <v>6984</v>
      </c>
      <c r="GUV7" t="s">
        <v>6984</v>
      </c>
      <c r="GUW7" t="s">
        <v>6984</v>
      </c>
      <c r="GUX7" t="s">
        <v>6984</v>
      </c>
      <c r="GUY7" t="s">
        <v>6984</v>
      </c>
      <c r="GUZ7" t="s">
        <v>6984</v>
      </c>
      <c r="GVA7" t="s">
        <v>6984</v>
      </c>
      <c r="GVB7" t="s">
        <v>6984</v>
      </c>
      <c r="GVC7" t="s">
        <v>6984</v>
      </c>
      <c r="GVD7" t="s">
        <v>6984</v>
      </c>
      <c r="GVE7" t="s">
        <v>6984</v>
      </c>
      <c r="GVF7" t="s">
        <v>6984</v>
      </c>
      <c r="GVG7" t="s">
        <v>6984</v>
      </c>
      <c r="GVH7" t="s">
        <v>6984</v>
      </c>
      <c r="GVI7" t="s">
        <v>6984</v>
      </c>
      <c r="GVJ7" t="s">
        <v>6984</v>
      </c>
      <c r="GVK7" t="s">
        <v>6984</v>
      </c>
      <c r="GVL7" t="s">
        <v>6984</v>
      </c>
      <c r="GVM7" t="s">
        <v>6984</v>
      </c>
      <c r="GVN7" t="s">
        <v>6984</v>
      </c>
      <c r="GVO7" t="s">
        <v>6984</v>
      </c>
      <c r="GVP7" t="s">
        <v>6984</v>
      </c>
      <c r="GVQ7" t="s">
        <v>6984</v>
      </c>
      <c r="GVR7" t="s">
        <v>6984</v>
      </c>
      <c r="GVS7" t="s">
        <v>6984</v>
      </c>
      <c r="GVT7" t="s">
        <v>6984</v>
      </c>
      <c r="GVU7" t="s">
        <v>6984</v>
      </c>
      <c r="GVV7" t="s">
        <v>6984</v>
      </c>
      <c r="GVW7" t="s">
        <v>6984</v>
      </c>
      <c r="GVX7" t="s">
        <v>6984</v>
      </c>
      <c r="GVY7" t="s">
        <v>6984</v>
      </c>
      <c r="GVZ7" t="s">
        <v>6984</v>
      </c>
      <c r="GWA7" t="s">
        <v>6984</v>
      </c>
      <c r="GWB7" t="s">
        <v>6984</v>
      </c>
      <c r="GWC7" t="s">
        <v>6984</v>
      </c>
      <c r="GWD7" t="s">
        <v>6984</v>
      </c>
      <c r="GWE7" t="s">
        <v>6984</v>
      </c>
      <c r="GWF7" t="s">
        <v>6984</v>
      </c>
      <c r="GWG7" t="s">
        <v>6984</v>
      </c>
      <c r="GWH7" t="s">
        <v>6984</v>
      </c>
      <c r="GWI7" t="s">
        <v>6984</v>
      </c>
      <c r="GWJ7" t="s">
        <v>6984</v>
      </c>
      <c r="GWK7" t="s">
        <v>6984</v>
      </c>
      <c r="GWL7" t="s">
        <v>6984</v>
      </c>
      <c r="GWM7" t="s">
        <v>6984</v>
      </c>
      <c r="GWN7" t="s">
        <v>6984</v>
      </c>
      <c r="GWO7" t="s">
        <v>6984</v>
      </c>
      <c r="GWP7" t="s">
        <v>6984</v>
      </c>
      <c r="GWQ7" t="s">
        <v>6984</v>
      </c>
      <c r="GWR7" t="s">
        <v>6984</v>
      </c>
      <c r="GWS7" t="s">
        <v>6984</v>
      </c>
      <c r="GWT7" t="s">
        <v>6984</v>
      </c>
      <c r="GWU7" t="s">
        <v>6984</v>
      </c>
      <c r="GWV7" t="s">
        <v>6984</v>
      </c>
      <c r="GWW7" t="s">
        <v>6984</v>
      </c>
      <c r="GWX7" t="s">
        <v>6984</v>
      </c>
      <c r="GWY7" t="s">
        <v>6984</v>
      </c>
      <c r="GWZ7" t="s">
        <v>6984</v>
      </c>
      <c r="GXA7" t="s">
        <v>6984</v>
      </c>
      <c r="GXB7" t="s">
        <v>6984</v>
      </c>
      <c r="GXC7" t="s">
        <v>6984</v>
      </c>
      <c r="GXD7" t="s">
        <v>6984</v>
      </c>
      <c r="GXE7" t="s">
        <v>6984</v>
      </c>
      <c r="GXF7" t="s">
        <v>6984</v>
      </c>
      <c r="GXG7" t="s">
        <v>6984</v>
      </c>
      <c r="GXH7" t="s">
        <v>6984</v>
      </c>
      <c r="GXI7" t="s">
        <v>6984</v>
      </c>
      <c r="GXJ7" t="s">
        <v>6984</v>
      </c>
      <c r="GXK7" t="s">
        <v>6984</v>
      </c>
      <c r="GXL7" t="s">
        <v>6984</v>
      </c>
      <c r="GXM7" t="s">
        <v>6984</v>
      </c>
      <c r="GXN7" t="s">
        <v>6984</v>
      </c>
      <c r="GXO7" t="s">
        <v>6984</v>
      </c>
      <c r="GXP7" t="s">
        <v>6984</v>
      </c>
      <c r="GXQ7" t="s">
        <v>6984</v>
      </c>
      <c r="GXR7" t="s">
        <v>6984</v>
      </c>
      <c r="GXS7" t="s">
        <v>6984</v>
      </c>
      <c r="GXT7" t="s">
        <v>6984</v>
      </c>
      <c r="GXU7" t="s">
        <v>6984</v>
      </c>
      <c r="GXV7" t="s">
        <v>6984</v>
      </c>
      <c r="GXW7" t="s">
        <v>6984</v>
      </c>
      <c r="GXX7" t="s">
        <v>6984</v>
      </c>
      <c r="GXY7" t="s">
        <v>6984</v>
      </c>
      <c r="GXZ7" t="s">
        <v>6984</v>
      </c>
      <c r="GYA7" t="s">
        <v>6984</v>
      </c>
      <c r="GYB7" t="s">
        <v>6984</v>
      </c>
      <c r="GYC7" t="s">
        <v>6984</v>
      </c>
      <c r="GYD7" t="s">
        <v>6984</v>
      </c>
      <c r="GYE7" t="s">
        <v>6984</v>
      </c>
      <c r="GYF7" t="s">
        <v>6984</v>
      </c>
      <c r="GYG7" t="s">
        <v>6984</v>
      </c>
      <c r="GYH7" t="s">
        <v>6984</v>
      </c>
      <c r="GYI7" t="s">
        <v>6984</v>
      </c>
      <c r="GYJ7" t="s">
        <v>6984</v>
      </c>
      <c r="GYK7" t="s">
        <v>6984</v>
      </c>
      <c r="GYL7" t="s">
        <v>6984</v>
      </c>
      <c r="GYM7" t="s">
        <v>6984</v>
      </c>
      <c r="GYN7" t="s">
        <v>6984</v>
      </c>
      <c r="GYO7" t="s">
        <v>6984</v>
      </c>
      <c r="GYP7" t="s">
        <v>6984</v>
      </c>
      <c r="GYQ7" t="s">
        <v>6984</v>
      </c>
      <c r="GYR7" t="s">
        <v>6984</v>
      </c>
      <c r="GYS7" t="s">
        <v>6984</v>
      </c>
      <c r="GYT7" t="s">
        <v>6984</v>
      </c>
      <c r="GYU7" t="s">
        <v>6984</v>
      </c>
      <c r="GYV7" t="s">
        <v>6984</v>
      </c>
      <c r="GYW7" t="s">
        <v>6984</v>
      </c>
      <c r="GYX7" t="s">
        <v>6984</v>
      </c>
      <c r="GYY7" t="s">
        <v>6984</v>
      </c>
      <c r="GYZ7" t="s">
        <v>6984</v>
      </c>
      <c r="GZA7" t="s">
        <v>6984</v>
      </c>
      <c r="GZB7" t="s">
        <v>6984</v>
      </c>
      <c r="GZC7" t="s">
        <v>6984</v>
      </c>
      <c r="GZD7" t="s">
        <v>6984</v>
      </c>
      <c r="GZE7" t="s">
        <v>6984</v>
      </c>
      <c r="GZF7" t="s">
        <v>6984</v>
      </c>
      <c r="GZG7" t="s">
        <v>6984</v>
      </c>
      <c r="GZH7" t="s">
        <v>6984</v>
      </c>
      <c r="GZI7" t="s">
        <v>6984</v>
      </c>
      <c r="GZJ7" t="s">
        <v>6984</v>
      </c>
      <c r="GZK7" t="s">
        <v>6984</v>
      </c>
      <c r="GZL7" t="s">
        <v>6984</v>
      </c>
      <c r="GZM7" t="s">
        <v>6984</v>
      </c>
      <c r="GZN7" t="s">
        <v>6984</v>
      </c>
      <c r="GZO7" t="s">
        <v>6984</v>
      </c>
      <c r="GZP7" t="s">
        <v>6984</v>
      </c>
      <c r="GZQ7" t="s">
        <v>6984</v>
      </c>
      <c r="GZR7" t="s">
        <v>6984</v>
      </c>
      <c r="GZS7" t="s">
        <v>6984</v>
      </c>
      <c r="GZT7" t="s">
        <v>6984</v>
      </c>
      <c r="GZU7" t="s">
        <v>6984</v>
      </c>
      <c r="GZV7" t="s">
        <v>6984</v>
      </c>
      <c r="GZW7" t="s">
        <v>6984</v>
      </c>
      <c r="GZX7" t="s">
        <v>6984</v>
      </c>
      <c r="GZY7" t="s">
        <v>6984</v>
      </c>
      <c r="GZZ7" t="s">
        <v>6984</v>
      </c>
      <c r="HAA7" t="s">
        <v>6984</v>
      </c>
      <c r="HAB7" t="s">
        <v>6984</v>
      </c>
      <c r="HAC7" t="s">
        <v>6984</v>
      </c>
      <c r="HAD7" t="s">
        <v>6984</v>
      </c>
      <c r="HAE7" t="s">
        <v>6984</v>
      </c>
      <c r="HAF7" t="s">
        <v>6984</v>
      </c>
      <c r="HAG7" t="s">
        <v>6984</v>
      </c>
      <c r="HAH7" t="s">
        <v>6984</v>
      </c>
      <c r="HAI7" t="s">
        <v>6984</v>
      </c>
      <c r="HAJ7" t="s">
        <v>6984</v>
      </c>
      <c r="HAK7" t="s">
        <v>6984</v>
      </c>
      <c r="HAL7" t="s">
        <v>6984</v>
      </c>
      <c r="HAM7" t="s">
        <v>6984</v>
      </c>
      <c r="HAN7" t="s">
        <v>6984</v>
      </c>
      <c r="HAO7" t="s">
        <v>6984</v>
      </c>
      <c r="HAP7" t="s">
        <v>6984</v>
      </c>
      <c r="HAQ7" t="s">
        <v>6984</v>
      </c>
      <c r="HAR7" t="s">
        <v>6984</v>
      </c>
      <c r="HAS7" t="s">
        <v>6984</v>
      </c>
      <c r="HAT7" t="s">
        <v>6984</v>
      </c>
      <c r="HAU7" t="s">
        <v>6984</v>
      </c>
      <c r="HAV7" t="s">
        <v>6984</v>
      </c>
      <c r="HAW7" t="s">
        <v>6984</v>
      </c>
      <c r="HAX7" t="s">
        <v>6984</v>
      </c>
      <c r="HAY7" t="s">
        <v>6984</v>
      </c>
      <c r="HAZ7" t="s">
        <v>6984</v>
      </c>
      <c r="HBA7" t="s">
        <v>6984</v>
      </c>
      <c r="HBB7" t="s">
        <v>6984</v>
      </c>
      <c r="HBC7" t="s">
        <v>6984</v>
      </c>
      <c r="HBD7" t="s">
        <v>6984</v>
      </c>
      <c r="HBE7" t="s">
        <v>6984</v>
      </c>
      <c r="HBF7" t="s">
        <v>6984</v>
      </c>
      <c r="HBG7" t="s">
        <v>6984</v>
      </c>
      <c r="HBH7" t="s">
        <v>6984</v>
      </c>
      <c r="HBI7" t="s">
        <v>6984</v>
      </c>
      <c r="HBJ7" t="s">
        <v>6984</v>
      </c>
      <c r="HBK7" t="s">
        <v>6984</v>
      </c>
      <c r="HBL7" t="s">
        <v>6984</v>
      </c>
      <c r="HBM7" t="s">
        <v>6984</v>
      </c>
      <c r="HBN7" t="s">
        <v>6984</v>
      </c>
      <c r="HBO7" t="s">
        <v>6984</v>
      </c>
      <c r="HBP7" t="s">
        <v>6984</v>
      </c>
      <c r="HBQ7" t="s">
        <v>6984</v>
      </c>
      <c r="HBR7" t="s">
        <v>6984</v>
      </c>
      <c r="HBS7" t="s">
        <v>6984</v>
      </c>
      <c r="HBT7" t="s">
        <v>6984</v>
      </c>
      <c r="HBU7" t="s">
        <v>6984</v>
      </c>
      <c r="HBV7" t="s">
        <v>6984</v>
      </c>
      <c r="HBW7" t="s">
        <v>6984</v>
      </c>
      <c r="HBX7" t="s">
        <v>6984</v>
      </c>
      <c r="HBY7" t="s">
        <v>6984</v>
      </c>
      <c r="HBZ7" t="s">
        <v>6984</v>
      </c>
      <c r="HCA7" t="s">
        <v>6984</v>
      </c>
      <c r="HCB7" t="s">
        <v>6984</v>
      </c>
      <c r="HCC7" t="s">
        <v>6984</v>
      </c>
      <c r="HCD7" t="s">
        <v>6984</v>
      </c>
      <c r="HCE7" t="s">
        <v>6984</v>
      </c>
      <c r="HCF7" t="s">
        <v>6984</v>
      </c>
      <c r="HCG7" t="s">
        <v>6984</v>
      </c>
      <c r="HCH7" t="s">
        <v>6984</v>
      </c>
      <c r="HCI7" t="s">
        <v>6984</v>
      </c>
      <c r="HCJ7" t="s">
        <v>6984</v>
      </c>
      <c r="HCK7" t="s">
        <v>6984</v>
      </c>
      <c r="HCL7" t="s">
        <v>6984</v>
      </c>
      <c r="HCM7" t="s">
        <v>6984</v>
      </c>
      <c r="HCN7" t="s">
        <v>6984</v>
      </c>
      <c r="HCO7" t="s">
        <v>6984</v>
      </c>
      <c r="HCP7" t="s">
        <v>6984</v>
      </c>
      <c r="HCQ7" t="s">
        <v>6984</v>
      </c>
      <c r="HCR7" t="s">
        <v>6984</v>
      </c>
      <c r="HCS7" t="s">
        <v>6984</v>
      </c>
      <c r="HCT7" t="s">
        <v>6984</v>
      </c>
      <c r="HCU7" t="s">
        <v>6984</v>
      </c>
      <c r="HCV7" t="s">
        <v>6984</v>
      </c>
      <c r="HCW7" t="s">
        <v>6984</v>
      </c>
      <c r="HCX7" t="s">
        <v>6984</v>
      </c>
      <c r="HCY7" t="s">
        <v>6984</v>
      </c>
      <c r="HCZ7" t="s">
        <v>6984</v>
      </c>
      <c r="HDA7" t="s">
        <v>6984</v>
      </c>
      <c r="HDB7" t="s">
        <v>6984</v>
      </c>
      <c r="HDC7" t="s">
        <v>6984</v>
      </c>
      <c r="HDD7" t="s">
        <v>6984</v>
      </c>
      <c r="HDE7" t="s">
        <v>6984</v>
      </c>
      <c r="HDF7" t="s">
        <v>6984</v>
      </c>
      <c r="HDG7" t="s">
        <v>6984</v>
      </c>
      <c r="HDH7" t="s">
        <v>6984</v>
      </c>
      <c r="HDI7" t="s">
        <v>6984</v>
      </c>
      <c r="HDJ7" t="s">
        <v>6984</v>
      </c>
      <c r="HDK7" t="s">
        <v>6984</v>
      </c>
      <c r="HDL7" t="s">
        <v>6984</v>
      </c>
      <c r="HDM7" t="s">
        <v>6984</v>
      </c>
      <c r="HDN7" t="s">
        <v>6984</v>
      </c>
      <c r="HDO7" t="s">
        <v>6984</v>
      </c>
      <c r="HDP7" t="s">
        <v>6984</v>
      </c>
      <c r="HDQ7" t="s">
        <v>6984</v>
      </c>
      <c r="HDR7" t="s">
        <v>6984</v>
      </c>
      <c r="HDS7" t="s">
        <v>6984</v>
      </c>
      <c r="HDT7" t="s">
        <v>6984</v>
      </c>
      <c r="HDU7" t="s">
        <v>6984</v>
      </c>
      <c r="HDV7" t="s">
        <v>6984</v>
      </c>
      <c r="HDW7" t="s">
        <v>6984</v>
      </c>
      <c r="HDX7" t="s">
        <v>6984</v>
      </c>
      <c r="HDY7" t="s">
        <v>6984</v>
      </c>
      <c r="HDZ7" t="s">
        <v>6984</v>
      </c>
      <c r="HEA7" t="s">
        <v>6984</v>
      </c>
      <c r="HEB7" t="s">
        <v>6984</v>
      </c>
      <c r="HEC7" t="s">
        <v>6984</v>
      </c>
      <c r="HED7" t="s">
        <v>6984</v>
      </c>
      <c r="HEE7" t="s">
        <v>6984</v>
      </c>
      <c r="HEF7" t="s">
        <v>6984</v>
      </c>
      <c r="HEG7" t="s">
        <v>6984</v>
      </c>
      <c r="HEH7" t="s">
        <v>6984</v>
      </c>
      <c r="HEI7" t="s">
        <v>6984</v>
      </c>
      <c r="HEJ7" t="s">
        <v>6984</v>
      </c>
      <c r="HEK7" t="s">
        <v>6984</v>
      </c>
      <c r="HEL7" t="s">
        <v>6984</v>
      </c>
      <c r="HEM7" t="s">
        <v>6984</v>
      </c>
      <c r="HEN7" t="s">
        <v>6984</v>
      </c>
      <c r="HEO7" t="s">
        <v>6984</v>
      </c>
      <c r="HEP7" t="s">
        <v>6984</v>
      </c>
      <c r="HEQ7" t="s">
        <v>6984</v>
      </c>
      <c r="HER7" t="s">
        <v>6984</v>
      </c>
      <c r="HES7" t="s">
        <v>6984</v>
      </c>
      <c r="HET7" t="s">
        <v>6984</v>
      </c>
      <c r="HEU7" t="s">
        <v>6984</v>
      </c>
      <c r="HEV7" t="s">
        <v>6984</v>
      </c>
      <c r="HEW7" t="s">
        <v>6984</v>
      </c>
      <c r="HEX7" t="s">
        <v>6984</v>
      </c>
      <c r="HEY7" t="s">
        <v>6984</v>
      </c>
      <c r="HEZ7" t="s">
        <v>6984</v>
      </c>
      <c r="HFA7" t="s">
        <v>6984</v>
      </c>
      <c r="HFB7" t="s">
        <v>6984</v>
      </c>
      <c r="HFC7" t="s">
        <v>6984</v>
      </c>
      <c r="HFD7" t="s">
        <v>6984</v>
      </c>
      <c r="HFE7" t="s">
        <v>6984</v>
      </c>
      <c r="HFF7" t="s">
        <v>6984</v>
      </c>
      <c r="HFG7" t="s">
        <v>6984</v>
      </c>
      <c r="HFH7" t="s">
        <v>6984</v>
      </c>
      <c r="HFI7" t="s">
        <v>6984</v>
      </c>
      <c r="HFJ7" t="s">
        <v>6984</v>
      </c>
      <c r="HFK7" t="s">
        <v>6984</v>
      </c>
      <c r="HFL7" t="s">
        <v>6984</v>
      </c>
      <c r="HFM7" t="s">
        <v>6984</v>
      </c>
      <c r="HFN7" t="s">
        <v>6984</v>
      </c>
      <c r="HFO7" t="s">
        <v>6984</v>
      </c>
      <c r="HFP7" t="s">
        <v>6984</v>
      </c>
      <c r="HFQ7" t="s">
        <v>6984</v>
      </c>
      <c r="HFR7" t="s">
        <v>6984</v>
      </c>
      <c r="HFS7" t="s">
        <v>6984</v>
      </c>
      <c r="HFT7" t="s">
        <v>6984</v>
      </c>
      <c r="HFU7" t="s">
        <v>6984</v>
      </c>
      <c r="HFV7" t="s">
        <v>6984</v>
      </c>
      <c r="HFW7" t="s">
        <v>6984</v>
      </c>
      <c r="HFX7" t="s">
        <v>6984</v>
      </c>
      <c r="HFY7" t="s">
        <v>6984</v>
      </c>
      <c r="HFZ7" t="s">
        <v>6984</v>
      </c>
      <c r="HGA7" t="s">
        <v>6984</v>
      </c>
      <c r="HGB7" t="s">
        <v>6984</v>
      </c>
      <c r="HGC7" t="s">
        <v>6984</v>
      </c>
      <c r="HGD7" t="s">
        <v>6984</v>
      </c>
      <c r="HGE7" t="s">
        <v>6984</v>
      </c>
      <c r="HGF7" t="s">
        <v>6984</v>
      </c>
      <c r="HGG7" t="s">
        <v>6984</v>
      </c>
      <c r="HGH7" t="s">
        <v>6984</v>
      </c>
      <c r="HGI7" t="s">
        <v>6984</v>
      </c>
      <c r="HGJ7" t="s">
        <v>6984</v>
      </c>
      <c r="HGK7" t="s">
        <v>6984</v>
      </c>
      <c r="HGL7" t="s">
        <v>6984</v>
      </c>
      <c r="HGM7" t="s">
        <v>6984</v>
      </c>
      <c r="HGN7" t="s">
        <v>6984</v>
      </c>
      <c r="HGO7" t="s">
        <v>6984</v>
      </c>
      <c r="HGP7" t="s">
        <v>6984</v>
      </c>
      <c r="HGQ7" t="s">
        <v>6984</v>
      </c>
      <c r="HGR7" t="s">
        <v>6984</v>
      </c>
      <c r="HGS7" t="s">
        <v>6984</v>
      </c>
      <c r="HGT7" t="s">
        <v>6984</v>
      </c>
      <c r="HGU7" t="s">
        <v>6984</v>
      </c>
      <c r="HGV7" t="s">
        <v>6984</v>
      </c>
      <c r="HGW7" t="s">
        <v>6984</v>
      </c>
      <c r="HGX7" t="s">
        <v>6984</v>
      </c>
      <c r="HGY7" t="s">
        <v>6984</v>
      </c>
      <c r="HGZ7" t="s">
        <v>6984</v>
      </c>
      <c r="HHA7" t="s">
        <v>6984</v>
      </c>
      <c r="HHB7" t="s">
        <v>6984</v>
      </c>
      <c r="HHC7" t="s">
        <v>6984</v>
      </c>
      <c r="HHD7" t="s">
        <v>6984</v>
      </c>
      <c r="HHE7" t="s">
        <v>6984</v>
      </c>
      <c r="HHF7" t="s">
        <v>6984</v>
      </c>
      <c r="HHG7" t="s">
        <v>6984</v>
      </c>
      <c r="HHH7" t="s">
        <v>6984</v>
      </c>
      <c r="HHI7" t="s">
        <v>6984</v>
      </c>
      <c r="HHJ7" t="s">
        <v>6984</v>
      </c>
      <c r="HHK7" t="s">
        <v>6984</v>
      </c>
      <c r="HHL7" t="s">
        <v>6984</v>
      </c>
      <c r="HHM7" t="s">
        <v>6984</v>
      </c>
      <c r="HHN7" t="s">
        <v>6984</v>
      </c>
      <c r="HHO7" t="s">
        <v>6984</v>
      </c>
      <c r="HHP7" t="s">
        <v>6984</v>
      </c>
      <c r="HHQ7" t="s">
        <v>6984</v>
      </c>
      <c r="HHR7" t="s">
        <v>6984</v>
      </c>
      <c r="HHS7" t="s">
        <v>6984</v>
      </c>
      <c r="HHT7" t="s">
        <v>6984</v>
      </c>
      <c r="HHU7" t="s">
        <v>6984</v>
      </c>
      <c r="HHV7" t="s">
        <v>6984</v>
      </c>
      <c r="HHW7" t="s">
        <v>6984</v>
      </c>
      <c r="HHX7" t="s">
        <v>6984</v>
      </c>
      <c r="HHY7" t="s">
        <v>6984</v>
      </c>
      <c r="HHZ7" t="s">
        <v>6984</v>
      </c>
      <c r="HIA7" t="s">
        <v>6984</v>
      </c>
      <c r="HIB7" t="s">
        <v>6984</v>
      </c>
      <c r="HIC7" t="s">
        <v>6984</v>
      </c>
      <c r="HID7" t="s">
        <v>6984</v>
      </c>
      <c r="HIE7" t="s">
        <v>6984</v>
      </c>
      <c r="HIF7" t="s">
        <v>6984</v>
      </c>
      <c r="HIG7" t="s">
        <v>6984</v>
      </c>
      <c r="HIH7" t="s">
        <v>6984</v>
      </c>
      <c r="HII7" t="s">
        <v>6984</v>
      </c>
      <c r="HIJ7" t="s">
        <v>6984</v>
      </c>
      <c r="HIK7" t="s">
        <v>6984</v>
      </c>
      <c r="HIL7" t="s">
        <v>6984</v>
      </c>
      <c r="HIM7" t="s">
        <v>6984</v>
      </c>
      <c r="HIN7" t="s">
        <v>6984</v>
      </c>
      <c r="HIO7" t="s">
        <v>6984</v>
      </c>
      <c r="HIP7" t="s">
        <v>6984</v>
      </c>
      <c r="HIQ7" t="s">
        <v>6984</v>
      </c>
      <c r="HIR7" t="s">
        <v>6984</v>
      </c>
      <c r="HIS7" t="s">
        <v>6984</v>
      </c>
      <c r="HIT7" t="s">
        <v>6984</v>
      </c>
      <c r="HIU7" t="s">
        <v>6984</v>
      </c>
      <c r="HIV7" t="s">
        <v>6984</v>
      </c>
      <c r="HIW7" t="s">
        <v>6984</v>
      </c>
      <c r="HIX7" t="s">
        <v>6984</v>
      </c>
      <c r="HIY7" t="s">
        <v>6984</v>
      </c>
      <c r="HIZ7" t="s">
        <v>6984</v>
      </c>
      <c r="HJA7" t="s">
        <v>6984</v>
      </c>
      <c r="HJB7" t="s">
        <v>6984</v>
      </c>
      <c r="HJC7" t="s">
        <v>6984</v>
      </c>
      <c r="HJD7" t="s">
        <v>6984</v>
      </c>
      <c r="HJE7" t="s">
        <v>6984</v>
      </c>
      <c r="HJF7" t="s">
        <v>6984</v>
      </c>
      <c r="HJG7" t="s">
        <v>6984</v>
      </c>
      <c r="HJH7" t="s">
        <v>6984</v>
      </c>
      <c r="HJI7" t="s">
        <v>6984</v>
      </c>
      <c r="HJJ7" t="s">
        <v>6984</v>
      </c>
      <c r="HJK7" t="s">
        <v>6984</v>
      </c>
      <c r="HJL7" t="s">
        <v>6984</v>
      </c>
      <c r="HJM7" t="s">
        <v>6984</v>
      </c>
      <c r="HJN7" t="s">
        <v>6984</v>
      </c>
      <c r="HJO7" t="s">
        <v>6984</v>
      </c>
      <c r="HJP7" t="s">
        <v>6984</v>
      </c>
      <c r="HJQ7" t="s">
        <v>6984</v>
      </c>
      <c r="HJR7" t="s">
        <v>6984</v>
      </c>
      <c r="HJS7" t="s">
        <v>6984</v>
      </c>
      <c r="HJT7" t="s">
        <v>6984</v>
      </c>
      <c r="HJU7" t="s">
        <v>6984</v>
      </c>
      <c r="HJV7" t="s">
        <v>6984</v>
      </c>
      <c r="HJW7" t="s">
        <v>6984</v>
      </c>
      <c r="HJX7" t="s">
        <v>6984</v>
      </c>
      <c r="HJY7" t="s">
        <v>6984</v>
      </c>
      <c r="HJZ7" t="s">
        <v>6984</v>
      </c>
      <c r="HKA7" t="s">
        <v>6984</v>
      </c>
      <c r="HKB7" t="s">
        <v>6984</v>
      </c>
      <c r="HKC7" t="s">
        <v>6984</v>
      </c>
      <c r="HKD7" t="s">
        <v>6984</v>
      </c>
      <c r="HKE7" t="s">
        <v>6984</v>
      </c>
      <c r="HKF7" t="s">
        <v>6984</v>
      </c>
      <c r="HKG7" t="s">
        <v>6984</v>
      </c>
      <c r="HKH7" t="s">
        <v>6984</v>
      </c>
      <c r="HKI7" t="s">
        <v>6984</v>
      </c>
      <c r="HKJ7" t="s">
        <v>6984</v>
      </c>
      <c r="HKK7" t="s">
        <v>6984</v>
      </c>
      <c r="HKL7" t="s">
        <v>6984</v>
      </c>
      <c r="HKM7" t="s">
        <v>6984</v>
      </c>
      <c r="HKN7" t="s">
        <v>6984</v>
      </c>
      <c r="HKO7" t="s">
        <v>6984</v>
      </c>
      <c r="HKP7" t="s">
        <v>6984</v>
      </c>
      <c r="HKQ7" t="s">
        <v>6984</v>
      </c>
      <c r="HKR7" t="s">
        <v>6984</v>
      </c>
      <c r="HKS7" t="s">
        <v>6984</v>
      </c>
      <c r="HKT7" t="s">
        <v>6984</v>
      </c>
      <c r="HKU7" t="s">
        <v>6984</v>
      </c>
      <c r="HKV7" t="s">
        <v>6984</v>
      </c>
      <c r="HKW7" t="s">
        <v>6984</v>
      </c>
      <c r="HKX7" t="s">
        <v>6984</v>
      </c>
      <c r="HKY7" t="s">
        <v>6984</v>
      </c>
      <c r="HKZ7" t="s">
        <v>6984</v>
      </c>
      <c r="HLA7" t="s">
        <v>6984</v>
      </c>
      <c r="HLB7" t="s">
        <v>6984</v>
      </c>
      <c r="HLC7" t="s">
        <v>6984</v>
      </c>
      <c r="HLD7" t="s">
        <v>6984</v>
      </c>
      <c r="HLE7" t="s">
        <v>6984</v>
      </c>
      <c r="HLF7" t="s">
        <v>6984</v>
      </c>
      <c r="HLG7" t="s">
        <v>6984</v>
      </c>
      <c r="HLH7" t="s">
        <v>6984</v>
      </c>
      <c r="HLI7" t="s">
        <v>6984</v>
      </c>
      <c r="HLJ7" t="s">
        <v>6984</v>
      </c>
      <c r="HLK7" t="s">
        <v>6984</v>
      </c>
      <c r="HLL7" t="s">
        <v>6984</v>
      </c>
      <c r="HLM7" t="s">
        <v>6984</v>
      </c>
      <c r="HLN7" t="s">
        <v>6984</v>
      </c>
      <c r="HLO7" t="s">
        <v>6984</v>
      </c>
      <c r="HLP7" t="s">
        <v>6984</v>
      </c>
      <c r="HLQ7" t="s">
        <v>6984</v>
      </c>
      <c r="HLR7" t="s">
        <v>6984</v>
      </c>
      <c r="HLS7" t="s">
        <v>6984</v>
      </c>
      <c r="HLT7" t="s">
        <v>6984</v>
      </c>
      <c r="HLU7" t="s">
        <v>6984</v>
      </c>
      <c r="HLV7" t="s">
        <v>6984</v>
      </c>
      <c r="HLW7" t="s">
        <v>6984</v>
      </c>
      <c r="HLX7" t="s">
        <v>6984</v>
      </c>
      <c r="HLY7" t="s">
        <v>6984</v>
      </c>
      <c r="HLZ7" t="s">
        <v>6984</v>
      </c>
      <c r="HMA7" t="s">
        <v>6984</v>
      </c>
      <c r="HMB7" t="s">
        <v>6984</v>
      </c>
      <c r="HMC7" t="s">
        <v>6984</v>
      </c>
      <c r="HMD7" t="s">
        <v>6984</v>
      </c>
      <c r="HME7" t="s">
        <v>6984</v>
      </c>
      <c r="HMF7" t="s">
        <v>6984</v>
      </c>
      <c r="HMG7" t="s">
        <v>6984</v>
      </c>
      <c r="HMH7" t="s">
        <v>6984</v>
      </c>
      <c r="HMI7" t="s">
        <v>6984</v>
      </c>
      <c r="HMJ7" t="s">
        <v>6984</v>
      </c>
      <c r="HMK7" t="s">
        <v>6984</v>
      </c>
      <c r="HML7" t="s">
        <v>6984</v>
      </c>
      <c r="HMM7" t="s">
        <v>6984</v>
      </c>
      <c r="HMN7" t="s">
        <v>6984</v>
      </c>
      <c r="HMO7" t="s">
        <v>6984</v>
      </c>
      <c r="HMP7" t="s">
        <v>6984</v>
      </c>
      <c r="HMQ7" t="s">
        <v>6984</v>
      </c>
      <c r="HMR7" t="s">
        <v>6984</v>
      </c>
      <c r="HMS7" t="s">
        <v>6984</v>
      </c>
      <c r="HMT7" t="s">
        <v>6984</v>
      </c>
      <c r="HMU7" t="s">
        <v>6984</v>
      </c>
      <c r="HMV7" t="s">
        <v>6984</v>
      </c>
      <c r="HMW7" t="s">
        <v>6984</v>
      </c>
      <c r="HMX7" t="s">
        <v>6984</v>
      </c>
      <c r="HMY7" t="s">
        <v>6984</v>
      </c>
      <c r="HMZ7" t="s">
        <v>6984</v>
      </c>
      <c r="HNA7" t="s">
        <v>6984</v>
      </c>
      <c r="HNB7" t="s">
        <v>6984</v>
      </c>
      <c r="HNC7" t="s">
        <v>6984</v>
      </c>
      <c r="HND7" t="s">
        <v>6984</v>
      </c>
      <c r="HNE7" t="s">
        <v>6984</v>
      </c>
      <c r="HNF7" t="s">
        <v>6984</v>
      </c>
      <c r="HNG7" t="s">
        <v>6984</v>
      </c>
      <c r="HNH7" t="s">
        <v>6984</v>
      </c>
      <c r="HNI7" t="s">
        <v>6984</v>
      </c>
      <c r="HNJ7" t="s">
        <v>6984</v>
      </c>
      <c r="HNK7" t="s">
        <v>6984</v>
      </c>
      <c r="HNL7" t="s">
        <v>6984</v>
      </c>
      <c r="HNM7" t="s">
        <v>6984</v>
      </c>
      <c r="HNN7" t="s">
        <v>6984</v>
      </c>
      <c r="HNO7" t="s">
        <v>6984</v>
      </c>
      <c r="HNP7" t="s">
        <v>6984</v>
      </c>
      <c r="HNQ7" t="s">
        <v>6984</v>
      </c>
      <c r="HNR7" t="s">
        <v>6984</v>
      </c>
      <c r="HNS7" t="s">
        <v>6984</v>
      </c>
      <c r="HNT7" t="s">
        <v>6984</v>
      </c>
      <c r="HNU7" t="s">
        <v>6984</v>
      </c>
      <c r="HNV7" t="s">
        <v>6984</v>
      </c>
      <c r="HNW7" t="s">
        <v>6984</v>
      </c>
      <c r="HNX7" t="s">
        <v>6984</v>
      </c>
      <c r="HNY7" t="s">
        <v>6984</v>
      </c>
      <c r="HNZ7" t="s">
        <v>6984</v>
      </c>
      <c r="HOA7" t="s">
        <v>6984</v>
      </c>
      <c r="HOB7" t="s">
        <v>6984</v>
      </c>
      <c r="HOC7" t="s">
        <v>6984</v>
      </c>
      <c r="HOD7" t="s">
        <v>6984</v>
      </c>
      <c r="HOE7" t="s">
        <v>6984</v>
      </c>
      <c r="HOF7" t="s">
        <v>6984</v>
      </c>
      <c r="HOG7" t="s">
        <v>6984</v>
      </c>
      <c r="HOH7" t="s">
        <v>6984</v>
      </c>
      <c r="HOI7" t="s">
        <v>6984</v>
      </c>
      <c r="HOJ7" t="s">
        <v>6984</v>
      </c>
      <c r="HOK7" t="s">
        <v>6984</v>
      </c>
      <c r="HOL7" t="s">
        <v>6984</v>
      </c>
      <c r="HOM7" t="s">
        <v>6984</v>
      </c>
      <c r="HON7" t="s">
        <v>6984</v>
      </c>
      <c r="HOO7" t="s">
        <v>6984</v>
      </c>
      <c r="HOP7" t="s">
        <v>6984</v>
      </c>
      <c r="HOQ7" t="s">
        <v>6984</v>
      </c>
      <c r="HOR7" t="s">
        <v>6984</v>
      </c>
      <c r="HOS7" t="s">
        <v>6984</v>
      </c>
      <c r="HOT7" t="s">
        <v>6984</v>
      </c>
      <c r="HOU7" t="s">
        <v>6984</v>
      </c>
      <c r="HOV7" t="s">
        <v>6984</v>
      </c>
      <c r="HOW7" t="s">
        <v>6984</v>
      </c>
      <c r="HOX7" t="s">
        <v>6984</v>
      </c>
      <c r="HOY7" t="s">
        <v>6984</v>
      </c>
      <c r="HOZ7" t="s">
        <v>6984</v>
      </c>
      <c r="HPA7" t="s">
        <v>6984</v>
      </c>
      <c r="HPB7" t="s">
        <v>6984</v>
      </c>
      <c r="HPC7" t="s">
        <v>6984</v>
      </c>
      <c r="HPD7" t="s">
        <v>6984</v>
      </c>
      <c r="HPE7" t="s">
        <v>6984</v>
      </c>
      <c r="HPF7" t="s">
        <v>6984</v>
      </c>
      <c r="HPG7" t="s">
        <v>6984</v>
      </c>
      <c r="HPH7" t="s">
        <v>6984</v>
      </c>
      <c r="HPI7" t="s">
        <v>6984</v>
      </c>
      <c r="HPJ7" t="s">
        <v>6984</v>
      </c>
      <c r="HPK7" t="s">
        <v>6984</v>
      </c>
      <c r="HPL7" t="s">
        <v>6984</v>
      </c>
      <c r="HPM7" t="s">
        <v>6984</v>
      </c>
      <c r="HPN7" t="s">
        <v>6984</v>
      </c>
      <c r="HPO7" t="s">
        <v>6984</v>
      </c>
      <c r="HPP7" t="s">
        <v>6984</v>
      </c>
      <c r="HPQ7" t="s">
        <v>6984</v>
      </c>
      <c r="HPR7" t="s">
        <v>6984</v>
      </c>
      <c r="HPS7" t="s">
        <v>6984</v>
      </c>
      <c r="HPT7" t="s">
        <v>6984</v>
      </c>
      <c r="HPU7" t="s">
        <v>6984</v>
      </c>
      <c r="HPV7" t="s">
        <v>6984</v>
      </c>
      <c r="HPW7" t="s">
        <v>6984</v>
      </c>
      <c r="HPX7" t="s">
        <v>6984</v>
      </c>
      <c r="HPY7" t="s">
        <v>6984</v>
      </c>
      <c r="HPZ7" t="s">
        <v>6984</v>
      </c>
      <c r="HQA7" t="s">
        <v>6984</v>
      </c>
      <c r="HQB7" t="s">
        <v>6984</v>
      </c>
      <c r="HQC7" t="s">
        <v>6984</v>
      </c>
      <c r="HQD7" t="s">
        <v>6984</v>
      </c>
      <c r="HQE7" t="s">
        <v>6984</v>
      </c>
      <c r="HQF7" t="s">
        <v>6984</v>
      </c>
      <c r="HQG7" t="s">
        <v>6984</v>
      </c>
      <c r="HQH7" t="s">
        <v>6984</v>
      </c>
      <c r="HQI7" t="s">
        <v>6984</v>
      </c>
      <c r="HQJ7" t="s">
        <v>6984</v>
      </c>
      <c r="HQK7" t="s">
        <v>6984</v>
      </c>
      <c r="HQL7" t="s">
        <v>6984</v>
      </c>
      <c r="HQM7" t="s">
        <v>6984</v>
      </c>
      <c r="HQN7" t="s">
        <v>6984</v>
      </c>
      <c r="HQO7" t="s">
        <v>6984</v>
      </c>
      <c r="HQP7" t="s">
        <v>6984</v>
      </c>
      <c r="HQQ7" t="s">
        <v>6984</v>
      </c>
      <c r="HQR7" t="s">
        <v>6984</v>
      </c>
      <c r="HQS7" t="s">
        <v>6984</v>
      </c>
      <c r="HQT7" t="s">
        <v>6984</v>
      </c>
      <c r="HQU7" t="s">
        <v>6984</v>
      </c>
      <c r="HQV7" t="s">
        <v>6984</v>
      </c>
      <c r="HQW7" t="s">
        <v>6984</v>
      </c>
      <c r="HQX7" t="s">
        <v>6984</v>
      </c>
      <c r="HQY7" t="s">
        <v>6984</v>
      </c>
      <c r="HQZ7" t="s">
        <v>6984</v>
      </c>
      <c r="HRA7" t="s">
        <v>6984</v>
      </c>
      <c r="HRB7" t="s">
        <v>6984</v>
      </c>
      <c r="HRC7" t="s">
        <v>6984</v>
      </c>
      <c r="HRD7" t="s">
        <v>6984</v>
      </c>
      <c r="HRE7" t="s">
        <v>6984</v>
      </c>
      <c r="HRF7" t="s">
        <v>6984</v>
      </c>
      <c r="HRG7" t="s">
        <v>6984</v>
      </c>
      <c r="HRH7" t="s">
        <v>6984</v>
      </c>
      <c r="HRI7" t="s">
        <v>6984</v>
      </c>
      <c r="HRJ7" t="s">
        <v>6984</v>
      </c>
      <c r="HRK7" t="s">
        <v>6984</v>
      </c>
      <c r="HRL7" t="s">
        <v>6984</v>
      </c>
      <c r="HRM7" t="s">
        <v>6984</v>
      </c>
      <c r="HRN7" t="s">
        <v>6984</v>
      </c>
      <c r="HRO7" t="s">
        <v>6984</v>
      </c>
      <c r="HRP7" t="s">
        <v>6984</v>
      </c>
      <c r="HRQ7" t="s">
        <v>6984</v>
      </c>
      <c r="HRR7" t="s">
        <v>6984</v>
      </c>
      <c r="HRS7" t="s">
        <v>6984</v>
      </c>
      <c r="HRT7" t="s">
        <v>6984</v>
      </c>
      <c r="HRU7" t="s">
        <v>6984</v>
      </c>
      <c r="HRV7" t="s">
        <v>6984</v>
      </c>
      <c r="HRW7" t="s">
        <v>6984</v>
      </c>
      <c r="HRX7" t="s">
        <v>6984</v>
      </c>
      <c r="HRY7" t="s">
        <v>6984</v>
      </c>
      <c r="HRZ7" t="s">
        <v>6984</v>
      </c>
      <c r="HSA7" t="s">
        <v>6984</v>
      </c>
      <c r="HSB7" t="s">
        <v>6984</v>
      </c>
      <c r="HSC7" t="s">
        <v>6984</v>
      </c>
      <c r="HSD7" t="s">
        <v>6984</v>
      </c>
      <c r="HSE7" t="s">
        <v>6984</v>
      </c>
      <c r="HSF7" t="s">
        <v>6984</v>
      </c>
      <c r="HSG7" t="s">
        <v>6984</v>
      </c>
      <c r="HSH7" t="s">
        <v>6984</v>
      </c>
      <c r="HSI7" t="s">
        <v>6984</v>
      </c>
      <c r="HSJ7" t="s">
        <v>6984</v>
      </c>
      <c r="HSK7" t="s">
        <v>6984</v>
      </c>
      <c r="HSL7" t="s">
        <v>6984</v>
      </c>
      <c r="HSM7" t="s">
        <v>6984</v>
      </c>
      <c r="HSN7" t="s">
        <v>6984</v>
      </c>
      <c r="HSO7" t="s">
        <v>6984</v>
      </c>
      <c r="HSP7" t="s">
        <v>6984</v>
      </c>
      <c r="HSQ7" t="s">
        <v>6984</v>
      </c>
      <c r="HSR7" t="s">
        <v>6984</v>
      </c>
      <c r="HSS7" t="s">
        <v>6984</v>
      </c>
      <c r="HST7" t="s">
        <v>6984</v>
      </c>
      <c r="HSU7" t="s">
        <v>6984</v>
      </c>
      <c r="HSV7" t="s">
        <v>6984</v>
      </c>
      <c r="HSW7" t="s">
        <v>6984</v>
      </c>
      <c r="HSX7" t="s">
        <v>6984</v>
      </c>
      <c r="HSY7" t="s">
        <v>6984</v>
      </c>
      <c r="HSZ7" t="s">
        <v>6984</v>
      </c>
      <c r="HTA7" t="s">
        <v>6984</v>
      </c>
      <c r="HTB7" t="s">
        <v>6984</v>
      </c>
      <c r="HTC7" t="s">
        <v>6984</v>
      </c>
      <c r="HTD7" t="s">
        <v>6984</v>
      </c>
      <c r="HTE7" t="s">
        <v>6984</v>
      </c>
      <c r="HTF7" t="s">
        <v>6984</v>
      </c>
      <c r="HTG7" t="s">
        <v>6984</v>
      </c>
      <c r="HTH7" t="s">
        <v>6984</v>
      </c>
      <c r="HTI7" t="s">
        <v>6984</v>
      </c>
      <c r="HTJ7" t="s">
        <v>6984</v>
      </c>
      <c r="HTK7" t="s">
        <v>6984</v>
      </c>
      <c r="HTL7" t="s">
        <v>6984</v>
      </c>
      <c r="HTM7" t="s">
        <v>6984</v>
      </c>
      <c r="HTN7" t="s">
        <v>6984</v>
      </c>
      <c r="HTO7" t="s">
        <v>6984</v>
      </c>
      <c r="HTP7" t="s">
        <v>6984</v>
      </c>
      <c r="HTQ7" t="s">
        <v>6984</v>
      </c>
      <c r="HTR7" t="s">
        <v>6984</v>
      </c>
      <c r="HTS7" t="s">
        <v>6984</v>
      </c>
      <c r="HTT7" t="s">
        <v>6984</v>
      </c>
      <c r="HTU7" t="s">
        <v>6984</v>
      </c>
      <c r="HTV7" t="s">
        <v>6984</v>
      </c>
      <c r="HTW7" t="s">
        <v>6984</v>
      </c>
      <c r="HTX7" t="s">
        <v>6984</v>
      </c>
      <c r="HTY7" t="s">
        <v>6984</v>
      </c>
      <c r="HTZ7" t="s">
        <v>6984</v>
      </c>
      <c r="HUA7" t="s">
        <v>6984</v>
      </c>
      <c r="HUB7" t="s">
        <v>6984</v>
      </c>
      <c r="HUC7" t="s">
        <v>6984</v>
      </c>
      <c r="HUD7" t="s">
        <v>6984</v>
      </c>
      <c r="HUE7" t="s">
        <v>6984</v>
      </c>
      <c r="HUF7" t="s">
        <v>6984</v>
      </c>
      <c r="HUG7" t="s">
        <v>6984</v>
      </c>
      <c r="HUH7" t="s">
        <v>6984</v>
      </c>
      <c r="HUI7" t="s">
        <v>6984</v>
      </c>
      <c r="HUJ7" t="s">
        <v>6984</v>
      </c>
      <c r="HUK7" t="s">
        <v>6984</v>
      </c>
      <c r="HUL7" t="s">
        <v>6984</v>
      </c>
      <c r="HUM7" t="s">
        <v>6984</v>
      </c>
      <c r="HUN7" t="s">
        <v>6984</v>
      </c>
      <c r="HUO7" t="s">
        <v>6984</v>
      </c>
      <c r="HUP7" t="s">
        <v>6984</v>
      </c>
      <c r="HUQ7" t="s">
        <v>6984</v>
      </c>
      <c r="HUR7" t="s">
        <v>6984</v>
      </c>
      <c r="HUS7" t="s">
        <v>6984</v>
      </c>
      <c r="HUT7" t="s">
        <v>6984</v>
      </c>
      <c r="HUU7" t="s">
        <v>6984</v>
      </c>
      <c r="HUV7" t="s">
        <v>6984</v>
      </c>
      <c r="HUW7" t="s">
        <v>6984</v>
      </c>
      <c r="HUX7" t="s">
        <v>6984</v>
      </c>
      <c r="HUY7" t="s">
        <v>6984</v>
      </c>
      <c r="HUZ7" t="s">
        <v>6984</v>
      </c>
      <c r="HVA7" t="s">
        <v>6984</v>
      </c>
      <c r="HVB7" t="s">
        <v>6984</v>
      </c>
      <c r="HVC7" t="s">
        <v>6984</v>
      </c>
      <c r="HVD7" t="s">
        <v>6984</v>
      </c>
      <c r="HVE7" t="s">
        <v>6984</v>
      </c>
      <c r="HVF7" t="s">
        <v>6984</v>
      </c>
      <c r="HVG7" t="s">
        <v>6984</v>
      </c>
      <c r="HVH7" t="s">
        <v>6984</v>
      </c>
      <c r="HVI7" t="s">
        <v>6984</v>
      </c>
      <c r="HVJ7" t="s">
        <v>6984</v>
      </c>
      <c r="HVK7" t="s">
        <v>6984</v>
      </c>
      <c r="HVL7" t="s">
        <v>6984</v>
      </c>
      <c r="HVM7" t="s">
        <v>6984</v>
      </c>
      <c r="HVN7" t="s">
        <v>6984</v>
      </c>
      <c r="HVO7" t="s">
        <v>6984</v>
      </c>
      <c r="HVP7" t="s">
        <v>6984</v>
      </c>
      <c r="HVQ7" t="s">
        <v>6984</v>
      </c>
      <c r="HVR7" t="s">
        <v>6984</v>
      </c>
      <c r="HVS7" t="s">
        <v>6984</v>
      </c>
      <c r="HVT7" t="s">
        <v>6984</v>
      </c>
      <c r="HVU7" t="s">
        <v>6984</v>
      </c>
      <c r="HVV7" t="s">
        <v>6984</v>
      </c>
      <c r="HVW7" t="s">
        <v>6984</v>
      </c>
      <c r="HVX7" t="s">
        <v>6984</v>
      </c>
      <c r="HVY7" t="s">
        <v>6984</v>
      </c>
      <c r="HVZ7" t="s">
        <v>6984</v>
      </c>
      <c r="HWA7" t="s">
        <v>6984</v>
      </c>
      <c r="HWB7" t="s">
        <v>6984</v>
      </c>
      <c r="HWC7" t="s">
        <v>6984</v>
      </c>
      <c r="HWD7" t="s">
        <v>6984</v>
      </c>
      <c r="HWE7" t="s">
        <v>6984</v>
      </c>
      <c r="HWF7" t="s">
        <v>6984</v>
      </c>
      <c r="HWG7" t="s">
        <v>6984</v>
      </c>
      <c r="HWH7" t="s">
        <v>6984</v>
      </c>
      <c r="HWI7" t="s">
        <v>6984</v>
      </c>
      <c r="HWJ7" t="s">
        <v>6984</v>
      </c>
      <c r="HWK7" t="s">
        <v>6984</v>
      </c>
      <c r="HWL7" t="s">
        <v>6984</v>
      </c>
      <c r="HWM7" t="s">
        <v>6984</v>
      </c>
      <c r="HWN7" t="s">
        <v>6984</v>
      </c>
      <c r="HWO7" t="s">
        <v>6984</v>
      </c>
      <c r="HWP7" t="s">
        <v>6984</v>
      </c>
      <c r="HWQ7" t="s">
        <v>6984</v>
      </c>
      <c r="HWR7" t="s">
        <v>6984</v>
      </c>
      <c r="HWS7" t="s">
        <v>6984</v>
      </c>
      <c r="HWT7" t="s">
        <v>6984</v>
      </c>
      <c r="HWU7" t="s">
        <v>6984</v>
      </c>
      <c r="HWV7" t="s">
        <v>6984</v>
      </c>
      <c r="HWW7" t="s">
        <v>6984</v>
      </c>
      <c r="HWX7" t="s">
        <v>6984</v>
      </c>
      <c r="HWY7" t="s">
        <v>6984</v>
      </c>
      <c r="HWZ7" t="s">
        <v>6984</v>
      </c>
      <c r="HXA7" t="s">
        <v>6984</v>
      </c>
      <c r="HXB7" t="s">
        <v>6984</v>
      </c>
      <c r="HXC7" t="s">
        <v>6984</v>
      </c>
      <c r="HXD7" t="s">
        <v>6984</v>
      </c>
      <c r="HXE7" t="s">
        <v>6984</v>
      </c>
      <c r="HXF7" t="s">
        <v>6984</v>
      </c>
      <c r="HXG7" t="s">
        <v>6984</v>
      </c>
      <c r="HXH7" t="s">
        <v>6984</v>
      </c>
      <c r="HXI7" t="s">
        <v>6984</v>
      </c>
      <c r="HXJ7" t="s">
        <v>6984</v>
      </c>
      <c r="HXK7" t="s">
        <v>6984</v>
      </c>
      <c r="HXL7" t="s">
        <v>6984</v>
      </c>
      <c r="HXM7" t="s">
        <v>6984</v>
      </c>
      <c r="HXN7" t="s">
        <v>6984</v>
      </c>
      <c r="HXO7" t="s">
        <v>6984</v>
      </c>
      <c r="HXP7" t="s">
        <v>6984</v>
      </c>
      <c r="HXQ7" t="s">
        <v>6984</v>
      </c>
      <c r="HXR7" t="s">
        <v>6984</v>
      </c>
      <c r="HXS7" t="s">
        <v>6984</v>
      </c>
      <c r="HXT7" t="s">
        <v>6984</v>
      </c>
      <c r="HXU7" t="s">
        <v>6984</v>
      </c>
      <c r="HXV7" t="s">
        <v>6984</v>
      </c>
      <c r="HXW7" t="s">
        <v>6984</v>
      </c>
      <c r="HXX7" t="s">
        <v>6984</v>
      </c>
      <c r="HXY7" t="s">
        <v>6984</v>
      </c>
      <c r="HXZ7" t="s">
        <v>6984</v>
      </c>
      <c r="HYA7" t="s">
        <v>6984</v>
      </c>
      <c r="HYB7" t="s">
        <v>6984</v>
      </c>
      <c r="HYC7" t="s">
        <v>6984</v>
      </c>
      <c r="HYD7" t="s">
        <v>6984</v>
      </c>
      <c r="HYE7" t="s">
        <v>6984</v>
      </c>
      <c r="HYF7" t="s">
        <v>6984</v>
      </c>
      <c r="HYG7" t="s">
        <v>6984</v>
      </c>
      <c r="HYH7" t="s">
        <v>6984</v>
      </c>
      <c r="HYI7" t="s">
        <v>6984</v>
      </c>
      <c r="HYJ7" t="s">
        <v>6984</v>
      </c>
      <c r="HYK7" t="s">
        <v>6984</v>
      </c>
      <c r="HYL7" t="s">
        <v>6984</v>
      </c>
      <c r="HYM7" t="s">
        <v>6984</v>
      </c>
      <c r="HYN7" t="s">
        <v>6984</v>
      </c>
      <c r="HYO7" t="s">
        <v>6984</v>
      </c>
      <c r="HYP7" t="s">
        <v>6984</v>
      </c>
      <c r="HYQ7" t="s">
        <v>6984</v>
      </c>
      <c r="HYR7" t="s">
        <v>6984</v>
      </c>
      <c r="HYS7" t="s">
        <v>6984</v>
      </c>
      <c r="HYT7" t="s">
        <v>6984</v>
      </c>
      <c r="HYU7" t="s">
        <v>6984</v>
      </c>
      <c r="HYV7" t="s">
        <v>6984</v>
      </c>
      <c r="HYW7" t="s">
        <v>6984</v>
      </c>
      <c r="HYX7" t="s">
        <v>6984</v>
      </c>
      <c r="HYY7" t="s">
        <v>6984</v>
      </c>
      <c r="HYZ7" t="s">
        <v>6984</v>
      </c>
      <c r="HZA7" t="s">
        <v>6984</v>
      </c>
      <c r="HZB7" t="s">
        <v>6984</v>
      </c>
      <c r="HZC7" t="s">
        <v>6984</v>
      </c>
      <c r="HZD7" t="s">
        <v>6984</v>
      </c>
      <c r="HZE7" t="s">
        <v>6984</v>
      </c>
      <c r="HZF7" t="s">
        <v>6984</v>
      </c>
      <c r="HZG7" t="s">
        <v>6984</v>
      </c>
      <c r="HZH7" t="s">
        <v>6984</v>
      </c>
      <c r="HZI7" t="s">
        <v>6984</v>
      </c>
      <c r="HZJ7" t="s">
        <v>6984</v>
      </c>
      <c r="HZK7" t="s">
        <v>6984</v>
      </c>
      <c r="HZL7" t="s">
        <v>6984</v>
      </c>
      <c r="HZM7" t="s">
        <v>6984</v>
      </c>
      <c r="HZN7" t="s">
        <v>6984</v>
      </c>
      <c r="HZO7" t="s">
        <v>6984</v>
      </c>
      <c r="HZP7" t="s">
        <v>6984</v>
      </c>
      <c r="HZQ7" t="s">
        <v>6984</v>
      </c>
      <c r="HZR7" t="s">
        <v>6984</v>
      </c>
      <c r="HZS7" t="s">
        <v>6984</v>
      </c>
      <c r="HZT7" t="s">
        <v>6984</v>
      </c>
      <c r="HZU7" t="s">
        <v>6984</v>
      </c>
      <c r="HZV7" t="s">
        <v>6984</v>
      </c>
      <c r="HZW7" t="s">
        <v>6984</v>
      </c>
      <c r="HZX7" t="s">
        <v>6984</v>
      </c>
      <c r="HZY7" t="s">
        <v>6984</v>
      </c>
      <c r="HZZ7" t="s">
        <v>6984</v>
      </c>
      <c r="IAA7" t="s">
        <v>6984</v>
      </c>
      <c r="IAB7" t="s">
        <v>6984</v>
      </c>
      <c r="IAC7" t="s">
        <v>6984</v>
      </c>
      <c r="IAD7" t="s">
        <v>6984</v>
      </c>
      <c r="IAE7" t="s">
        <v>6984</v>
      </c>
      <c r="IAF7" t="s">
        <v>6984</v>
      </c>
      <c r="IAG7" t="s">
        <v>6984</v>
      </c>
      <c r="IAH7" t="s">
        <v>6984</v>
      </c>
      <c r="IAI7" t="s">
        <v>6984</v>
      </c>
      <c r="IAJ7" t="s">
        <v>6984</v>
      </c>
      <c r="IAK7" t="s">
        <v>6984</v>
      </c>
      <c r="IAL7" t="s">
        <v>6984</v>
      </c>
      <c r="IAM7" t="s">
        <v>6984</v>
      </c>
      <c r="IAN7" t="s">
        <v>6984</v>
      </c>
      <c r="IAO7" t="s">
        <v>6984</v>
      </c>
      <c r="IAP7" t="s">
        <v>6984</v>
      </c>
      <c r="IAQ7" t="s">
        <v>6984</v>
      </c>
      <c r="IAR7" t="s">
        <v>6984</v>
      </c>
      <c r="IAS7" t="s">
        <v>6984</v>
      </c>
      <c r="IAT7" t="s">
        <v>6984</v>
      </c>
      <c r="IAU7" t="s">
        <v>6984</v>
      </c>
      <c r="IAV7" t="s">
        <v>6984</v>
      </c>
      <c r="IAW7" t="s">
        <v>6984</v>
      </c>
      <c r="IAX7" t="s">
        <v>6984</v>
      </c>
      <c r="IAY7" t="s">
        <v>6984</v>
      </c>
      <c r="IAZ7" t="s">
        <v>6984</v>
      </c>
      <c r="IBA7" t="s">
        <v>6984</v>
      </c>
      <c r="IBB7" t="s">
        <v>6984</v>
      </c>
      <c r="IBC7" t="s">
        <v>6984</v>
      </c>
      <c r="IBD7" t="s">
        <v>6984</v>
      </c>
      <c r="IBE7" t="s">
        <v>6984</v>
      </c>
      <c r="IBF7" t="s">
        <v>6984</v>
      </c>
      <c r="IBG7" t="s">
        <v>6984</v>
      </c>
      <c r="IBH7" t="s">
        <v>6984</v>
      </c>
      <c r="IBI7" t="s">
        <v>6984</v>
      </c>
      <c r="IBJ7" t="s">
        <v>6984</v>
      </c>
      <c r="IBK7" t="s">
        <v>6984</v>
      </c>
      <c r="IBL7" t="s">
        <v>6984</v>
      </c>
      <c r="IBM7" t="s">
        <v>6984</v>
      </c>
      <c r="IBN7" t="s">
        <v>6984</v>
      </c>
      <c r="IBO7" t="s">
        <v>6984</v>
      </c>
      <c r="IBP7" t="s">
        <v>6984</v>
      </c>
      <c r="IBQ7" t="s">
        <v>6984</v>
      </c>
      <c r="IBR7" t="s">
        <v>6984</v>
      </c>
      <c r="IBS7" t="s">
        <v>6984</v>
      </c>
      <c r="IBT7" t="s">
        <v>6984</v>
      </c>
      <c r="IBU7" t="s">
        <v>6984</v>
      </c>
      <c r="IBV7" t="s">
        <v>6984</v>
      </c>
      <c r="IBW7" t="s">
        <v>6984</v>
      </c>
      <c r="IBX7" t="s">
        <v>6984</v>
      </c>
      <c r="IBY7" t="s">
        <v>6984</v>
      </c>
      <c r="IBZ7" t="s">
        <v>6984</v>
      </c>
      <c r="ICA7" t="s">
        <v>6984</v>
      </c>
      <c r="ICB7" t="s">
        <v>6984</v>
      </c>
      <c r="ICC7" t="s">
        <v>6984</v>
      </c>
      <c r="ICD7" t="s">
        <v>6984</v>
      </c>
      <c r="ICE7" t="s">
        <v>6984</v>
      </c>
      <c r="ICF7" t="s">
        <v>6984</v>
      </c>
      <c r="ICG7" t="s">
        <v>6984</v>
      </c>
      <c r="ICH7" t="s">
        <v>6984</v>
      </c>
      <c r="ICI7" t="s">
        <v>6984</v>
      </c>
      <c r="ICJ7" t="s">
        <v>6984</v>
      </c>
      <c r="ICK7" t="s">
        <v>6984</v>
      </c>
      <c r="ICL7" t="s">
        <v>6984</v>
      </c>
      <c r="ICM7" t="s">
        <v>6984</v>
      </c>
      <c r="ICN7" t="s">
        <v>6984</v>
      </c>
      <c r="ICO7" t="s">
        <v>6984</v>
      </c>
      <c r="ICP7" t="s">
        <v>6984</v>
      </c>
      <c r="ICQ7" t="s">
        <v>6984</v>
      </c>
      <c r="ICR7" t="s">
        <v>6984</v>
      </c>
      <c r="ICS7" t="s">
        <v>6984</v>
      </c>
      <c r="ICT7" t="s">
        <v>6984</v>
      </c>
      <c r="ICU7" t="s">
        <v>6984</v>
      </c>
      <c r="ICV7" t="s">
        <v>6984</v>
      </c>
      <c r="ICW7" t="s">
        <v>6984</v>
      </c>
      <c r="ICX7" t="s">
        <v>6984</v>
      </c>
      <c r="ICY7" t="s">
        <v>6984</v>
      </c>
      <c r="ICZ7" t="s">
        <v>6984</v>
      </c>
      <c r="IDA7" t="s">
        <v>6984</v>
      </c>
      <c r="IDB7" t="s">
        <v>6984</v>
      </c>
      <c r="IDC7" t="s">
        <v>6984</v>
      </c>
      <c r="IDD7" t="s">
        <v>6984</v>
      </c>
      <c r="IDE7" t="s">
        <v>6984</v>
      </c>
      <c r="IDF7" t="s">
        <v>6984</v>
      </c>
      <c r="IDG7" t="s">
        <v>6984</v>
      </c>
      <c r="IDH7" t="s">
        <v>6984</v>
      </c>
      <c r="IDI7" t="s">
        <v>6984</v>
      </c>
      <c r="IDJ7" t="s">
        <v>6984</v>
      </c>
      <c r="IDK7" t="s">
        <v>6984</v>
      </c>
      <c r="IDL7" t="s">
        <v>6984</v>
      </c>
      <c r="IDM7" t="s">
        <v>6984</v>
      </c>
      <c r="IDN7" t="s">
        <v>6984</v>
      </c>
      <c r="IDO7" t="s">
        <v>6984</v>
      </c>
      <c r="IDP7" t="s">
        <v>6984</v>
      </c>
      <c r="IDQ7" t="s">
        <v>6984</v>
      </c>
      <c r="IDR7" t="s">
        <v>6984</v>
      </c>
      <c r="IDS7" t="s">
        <v>6984</v>
      </c>
      <c r="IDT7" t="s">
        <v>6984</v>
      </c>
      <c r="IDU7" t="s">
        <v>6984</v>
      </c>
      <c r="IDV7" t="s">
        <v>6984</v>
      </c>
      <c r="IDW7" t="s">
        <v>6984</v>
      </c>
      <c r="IDX7" t="s">
        <v>6984</v>
      </c>
      <c r="IDY7" t="s">
        <v>6984</v>
      </c>
      <c r="IDZ7" t="s">
        <v>6984</v>
      </c>
      <c r="IEA7" t="s">
        <v>6984</v>
      </c>
      <c r="IEB7" t="s">
        <v>6984</v>
      </c>
      <c r="IEC7" t="s">
        <v>6984</v>
      </c>
      <c r="IED7" t="s">
        <v>6984</v>
      </c>
      <c r="IEE7" t="s">
        <v>6984</v>
      </c>
      <c r="IEF7" t="s">
        <v>6984</v>
      </c>
      <c r="IEG7" t="s">
        <v>6984</v>
      </c>
      <c r="IEH7" t="s">
        <v>6984</v>
      </c>
      <c r="IEI7" t="s">
        <v>6984</v>
      </c>
      <c r="IEJ7" t="s">
        <v>6984</v>
      </c>
      <c r="IEK7" t="s">
        <v>6984</v>
      </c>
      <c r="IEL7" t="s">
        <v>6984</v>
      </c>
      <c r="IEM7" t="s">
        <v>6984</v>
      </c>
      <c r="IEN7" t="s">
        <v>6984</v>
      </c>
      <c r="IEO7" t="s">
        <v>6984</v>
      </c>
      <c r="IEP7" t="s">
        <v>6984</v>
      </c>
      <c r="IEQ7" t="s">
        <v>6984</v>
      </c>
      <c r="IER7" t="s">
        <v>6984</v>
      </c>
      <c r="IES7" t="s">
        <v>6984</v>
      </c>
      <c r="IET7" t="s">
        <v>6984</v>
      </c>
      <c r="IEU7" t="s">
        <v>6984</v>
      </c>
      <c r="IEV7" t="s">
        <v>6984</v>
      </c>
      <c r="IEW7" t="s">
        <v>6984</v>
      </c>
      <c r="IEX7" t="s">
        <v>6984</v>
      </c>
      <c r="IEY7" t="s">
        <v>6984</v>
      </c>
      <c r="IEZ7" t="s">
        <v>6984</v>
      </c>
      <c r="IFA7" t="s">
        <v>6984</v>
      </c>
      <c r="IFB7" t="s">
        <v>6984</v>
      </c>
      <c r="IFC7" t="s">
        <v>6984</v>
      </c>
      <c r="IFD7" t="s">
        <v>6984</v>
      </c>
      <c r="IFE7" t="s">
        <v>6984</v>
      </c>
      <c r="IFF7" t="s">
        <v>6984</v>
      </c>
      <c r="IFG7" t="s">
        <v>6984</v>
      </c>
      <c r="IFH7" t="s">
        <v>6984</v>
      </c>
      <c r="IFI7" t="s">
        <v>6984</v>
      </c>
      <c r="IFJ7" t="s">
        <v>6984</v>
      </c>
      <c r="IFK7" t="s">
        <v>6984</v>
      </c>
      <c r="IFL7" t="s">
        <v>6984</v>
      </c>
      <c r="IFM7" t="s">
        <v>6984</v>
      </c>
      <c r="IFN7" t="s">
        <v>6984</v>
      </c>
      <c r="IFO7" t="s">
        <v>6984</v>
      </c>
      <c r="IFP7" t="s">
        <v>6984</v>
      </c>
      <c r="IFQ7" t="s">
        <v>6984</v>
      </c>
      <c r="IFR7" t="s">
        <v>6984</v>
      </c>
      <c r="IFS7" t="s">
        <v>6984</v>
      </c>
      <c r="IFT7" t="s">
        <v>6984</v>
      </c>
      <c r="IFU7" t="s">
        <v>6984</v>
      </c>
      <c r="IFV7" t="s">
        <v>6984</v>
      </c>
      <c r="IFW7" t="s">
        <v>6984</v>
      </c>
      <c r="IFX7" t="s">
        <v>6984</v>
      </c>
      <c r="IFY7" t="s">
        <v>6984</v>
      </c>
      <c r="IFZ7" t="s">
        <v>6984</v>
      </c>
      <c r="IGA7" t="s">
        <v>6984</v>
      </c>
      <c r="IGB7" t="s">
        <v>6984</v>
      </c>
      <c r="IGC7" t="s">
        <v>6984</v>
      </c>
      <c r="IGD7" t="s">
        <v>6984</v>
      </c>
      <c r="IGE7" t="s">
        <v>6984</v>
      </c>
      <c r="IGF7" t="s">
        <v>6984</v>
      </c>
      <c r="IGG7" t="s">
        <v>6984</v>
      </c>
      <c r="IGH7" t="s">
        <v>6984</v>
      </c>
      <c r="IGI7" t="s">
        <v>6984</v>
      </c>
      <c r="IGJ7" t="s">
        <v>6984</v>
      </c>
      <c r="IGK7" t="s">
        <v>6984</v>
      </c>
      <c r="IGL7" t="s">
        <v>6984</v>
      </c>
      <c r="IGM7" t="s">
        <v>6984</v>
      </c>
      <c r="IGN7" t="s">
        <v>6984</v>
      </c>
      <c r="IGO7" t="s">
        <v>6984</v>
      </c>
      <c r="IGP7" t="s">
        <v>6984</v>
      </c>
      <c r="IGQ7" t="s">
        <v>6984</v>
      </c>
      <c r="IGR7" t="s">
        <v>6984</v>
      </c>
      <c r="IGS7" t="s">
        <v>6984</v>
      </c>
      <c r="IGT7" t="s">
        <v>6984</v>
      </c>
      <c r="IGU7" t="s">
        <v>6984</v>
      </c>
      <c r="IGV7" t="s">
        <v>6984</v>
      </c>
      <c r="IGW7" t="s">
        <v>6984</v>
      </c>
      <c r="IGX7" t="s">
        <v>6984</v>
      </c>
      <c r="IGY7" t="s">
        <v>6984</v>
      </c>
      <c r="IGZ7" t="s">
        <v>6984</v>
      </c>
      <c r="IHA7" t="s">
        <v>6984</v>
      </c>
      <c r="IHB7" t="s">
        <v>6984</v>
      </c>
      <c r="IHC7" t="s">
        <v>6984</v>
      </c>
      <c r="IHD7" t="s">
        <v>6984</v>
      </c>
      <c r="IHE7" t="s">
        <v>6984</v>
      </c>
      <c r="IHF7" t="s">
        <v>6984</v>
      </c>
      <c r="IHG7" t="s">
        <v>6984</v>
      </c>
      <c r="IHH7" t="s">
        <v>6984</v>
      </c>
      <c r="IHI7" t="s">
        <v>6984</v>
      </c>
      <c r="IHJ7" t="s">
        <v>6984</v>
      </c>
      <c r="IHK7" t="s">
        <v>6984</v>
      </c>
      <c r="IHL7" t="s">
        <v>6984</v>
      </c>
      <c r="IHM7" t="s">
        <v>6984</v>
      </c>
      <c r="IHN7" t="s">
        <v>6984</v>
      </c>
      <c r="IHO7" t="s">
        <v>6984</v>
      </c>
      <c r="IHP7" t="s">
        <v>6984</v>
      </c>
      <c r="IHQ7" t="s">
        <v>6984</v>
      </c>
      <c r="IHR7" t="s">
        <v>6984</v>
      </c>
      <c r="IHS7" t="s">
        <v>6984</v>
      </c>
      <c r="IHT7" t="s">
        <v>6984</v>
      </c>
      <c r="IHU7" t="s">
        <v>6984</v>
      </c>
      <c r="IHV7" t="s">
        <v>6984</v>
      </c>
      <c r="IHW7" t="s">
        <v>6984</v>
      </c>
      <c r="IHX7" t="s">
        <v>6984</v>
      </c>
      <c r="IHY7" t="s">
        <v>6984</v>
      </c>
      <c r="IHZ7" t="s">
        <v>6984</v>
      </c>
      <c r="IIA7" t="s">
        <v>6984</v>
      </c>
      <c r="IIB7" t="s">
        <v>6984</v>
      </c>
      <c r="IIC7" t="s">
        <v>6984</v>
      </c>
      <c r="IID7" t="s">
        <v>6984</v>
      </c>
      <c r="IIE7" t="s">
        <v>6984</v>
      </c>
      <c r="IIF7" t="s">
        <v>6984</v>
      </c>
      <c r="IIG7" t="s">
        <v>6984</v>
      </c>
      <c r="IIH7" t="s">
        <v>6984</v>
      </c>
      <c r="III7" t="s">
        <v>6984</v>
      </c>
      <c r="IIJ7" t="s">
        <v>6984</v>
      </c>
      <c r="IIK7" t="s">
        <v>6984</v>
      </c>
      <c r="IIL7" t="s">
        <v>6984</v>
      </c>
      <c r="IIM7" t="s">
        <v>6984</v>
      </c>
      <c r="IIN7" t="s">
        <v>6984</v>
      </c>
      <c r="IIO7" t="s">
        <v>6984</v>
      </c>
      <c r="IIP7" t="s">
        <v>6984</v>
      </c>
      <c r="IIQ7" t="s">
        <v>6984</v>
      </c>
      <c r="IIR7" t="s">
        <v>6984</v>
      </c>
      <c r="IIS7" t="s">
        <v>6984</v>
      </c>
      <c r="IIT7" t="s">
        <v>6984</v>
      </c>
      <c r="IIU7" t="s">
        <v>6984</v>
      </c>
      <c r="IIV7" t="s">
        <v>6984</v>
      </c>
      <c r="IIW7" t="s">
        <v>6984</v>
      </c>
      <c r="IIX7" t="s">
        <v>6984</v>
      </c>
      <c r="IIY7" t="s">
        <v>6984</v>
      </c>
      <c r="IIZ7" t="s">
        <v>6984</v>
      </c>
      <c r="IJA7" t="s">
        <v>6984</v>
      </c>
      <c r="IJB7" t="s">
        <v>6984</v>
      </c>
      <c r="IJC7" t="s">
        <v>6984</v>
      </c>
      <c r="IJD7" t="s">
        <v>6984</v>
      </c>
      <c r="IJE7" t="s">
        <v>6984</v>
      </c>
      <c r="IJF7" t="s">
        <v>6984</v>
      </c>
      <c r="IJG7" t="s">
        <v>6984</v>
      </c>
      <c r="IJH7" t="s">
        <v>6984</v>
      </c>
      <c r="IJI7" t="s">
        <v>6984</v>
      </c>
      <c r="IJJ7" t="s">
        <v>6984</v>
      </c>
      <c r="IJK7" t="s">
        <v>6984</v>
      </c>
      <c r="IJL7" t="s">
        <v>6984</v>
      </c>
      <c r="IJM7" t="s">
        <v>6984</v>
      </c>
      <c r="IJN7" t="s">
        <v>6984</v>
      </c>
      <c r="IJO7" t="s">
        <v>6984</v>
      </c>
      <c r="IJP7" t="s">
        <v>6984</v>
      </c>
      <c r="IJQ7" t="s">
        <v>6984</v>
      </c>
      <c r="IJR7" t="s">
        <v>6984</v>
      </c>
      <c r="IJS7" t="s">
        <v>6984</v>
      </c>
      <c r="IJT7" t="s">
        <v>6984</v>
      </c>
      <c r="IJU7" t="s">
        <v>6984</v>
      </c>
      <c r="IJV7" t="s">
        <v>6984</v>
      </c>
      <c r="IJW7" t="s">
        <v>6984</v>
      </c>
      <c r="IJX7" t="s">
        <v>6984</v>
      </c>
      <c r="IJY7" t="s">
        <v>6984</v>
      </c>
      <c r="IJZ7" t="s">
        <v>6984</v>
      </c>
      <c r="IKA7" t="s">
        <v>6984</v>
      </c>
      <c r="IKB7" t="s">
        <v>6984</v>
      </c>
      <c r="IKC7" t="s">
        <v>6984</v>
      </c>
      <c r="IKD7" t="s">
        <v>6984</v>
      </c>
      <c r="IKE7" t="s">
        <v>6984</v>
      </c>
      <c r="IKF7" t="s">
        <v>6984</v>
      </c>
      <c r="IKG7" t="s">
        <v>6984</v>
      </c>
      <c r="IKH7" t="s">
        <v>6984</v>
      </c>
      <c r="IKI7" t="s">
        <v>6984</v>
      </c>
      <c r="IKJ7" t="s">
        <v>6984</v>
      </c>
      <c r="IKK7" t="s">
        <v>6984</v>
      </c>
      <c r="IKL7" t="s">
        <v>6984</v>
      </c>
      <c r="IKM7" t="s">
        <v>6984</v>
      </c>
      <c r="IKN7" t="s">
        <v>6984</v>
      </c>
      <c r="IKO7" t="s">
        <v>6984</v>
      </c>
      <c r="IKP7" t="s">
        <v>6984</v>
      </c>
      <c r="IKQ7" t="s">
        <v>6984</v>
      </c>
      <c r="IKR7" t="s">
        <v>6984</v>
      </c>
      <c r="IKS7" t="s">
        <v>6984</v>
      </c>
      <c r="IKT7" t="s">
        <v>6984</v>
      </c>
      <c r="IKU7" t="s">
        <v>6984</v>
      </c>
      <c r="IKV7" t="s">
        <v>6984</v>
      </c>
      <c r="IKW7" t="s">
        <v>6984</v>
      </c>
      <c r="IKX7" t="s">
        <v>6984</v>
      </c>
      <c r="IKY7" t="s">
        <v>6984</v>
      </c>
      <c r="IKZ7" t="s">
        <v>6984</v>
      </c>
      <c r="ILA7" t="s">
        <v>6984</v>
      </c>
      <c r="ILB7" t="s">
        <v>6984</v>
      </c>
      <c r="ILC7" t="s">
        <v>6984</v>
      </c>
      <c r="ILD7" t="s">
        <v>6984</v>
      </c>
      <c r="ILE7" t="s">
        <v>6984</v>
      </c>
      <c r="ILF7" t="s">
        <v>6984</v>
      </c>
      <c r="ILG7" t="s">
        <v>6984</v>
      </c>
      <c r="ILH7" t="s">
        <v>6984</v>
      </c>
      <c r="ILI7" t="s">
        <v>6984</v>
      </c>
      <c r="ILJ7" t="s">
        <v>6984</v>
      </c>
      <c r="ILK7" t="s">
        <v>6984</v>
      </c>
      <c r="ILL7" t="s">
        <v>6984</v>
      </c>
      <c r="ILM7" t="s">
        <v>6984</v>
      </c>
      <c r="ILN7" t="s">
        <v>6984</v>
      </c>
      <c r="ILO7" t="s">
        <v>6984</v>
      </c>
      <c r="ILP7" t="s">
        <v>6984</v>
      </c>
      <c r="ILQ7" t="s">
        <v>6984</v>
      </c>
      <c r="ILR7" t="s">
        <v>6984</v>
      </c>
      <c r="ILS7" t="s">
        <v>6984</v>
      </c>
      <c r="ILT7" t="s">
        <v>6984</v>
      </c>
      <c r="ILU7" t="s">
        <v>6984</v>
      </c>
      <c r="ILV7" t="s">
        <v>6984</v>
      </c>
      <c r="ILW7" t="s">
        <v>6984</v>
      </c>
      <c r="ILX7" t="s">
        <v>6984</v>
      </c>
      <c r="ILY7" t="s">
        <v>6984</v>
      </c>
      <c r="ILZ7" t="s">
        <v>6984</v>
      </c>
      <c r="IMA7" t="s">
        <v>6984</v>
      </c>
      <c r="IMB7" t="s">
        <v>6984</v>
      </c>
      <c r="IMC7" t="s">
        <v>6984</v>
      </c>
      <c r="IMD7" t="s">
        <v>6984</v>
      </c>
      <c r="IME7" t="s">
        <v>6984</v>
      </c>
      <c r="IMF7" t="s">
        <v>6984</v>
      </c>
      <c r="IMG7" t="s">
        <v>6984</v>
      </c>
      <c r="IMH7" t="s">
        <v>6984</v>
      </c>
      <c r="IMI7" t="s">
        <v>6984</v>
      </c>
      <c r="IMJ7" t="s">
        <v>6984</v>
      </c>
      <c r="IMK7" t="s">
        <v>6984</v>
      </c>
      <c r="IML7" t="s">
        <v>6984</v>
      </c>
      <c r="IMM7" t="s">
        <v>6984</v>
      </c>
      <c r="IMN7" t="s">
        <v>6984</v>
      </c>
      <c r="IMO7" t="s">
        <v>6984</v>
      </c>
      <c r="IMP7" t="s">
        <v>6984</v>
      </c>
      <c r="IMQ7" t="s">
        <v>6984</v>
      </c>
      <c r="IMR7" t="s">
        <v>6984</v>
      </c>
      <c r="IMS7" t="s">
        <v>6984</v>
      </c>
      <c r="IMT7" t="s">
        <v>6984</v>
      </c>
      <c r="IMU7" t="s">
        <v>6984</v>
      </c>
      <c r="IMV7" t="s">
        <v>6984</v>
      </c>
      <c r="IMW7" t="s">
        <v>6984</v>
      </c>
      <c r="IMX7" t="s">
        <v>6984</v>
      </c>
      <c r="IMY7" t="s">
        <v>6984</v>
      </c>
      <c r="IMZ7" t="s">
        <v>6984</v>
      </c>
      <c r="INA7" t="s">
        <v>6984</v>
      </c>
      <c r="INB7" t="s">
        <v>6984</v>
      </c>
      <c r="INC7" t="s">
        <v>6984</v>
      </c>
      <c r="IND7" t="s">
        <v>6984</v>
      </c>
      <c r="INE7" t="s">
        <v>6984</v>
      </c>
      <c r="INF7" t="s">
        <v>6984</v>
      </c>
      <c r="ING7" t="s">
        <v>6984</v>
      </c>
      <c r="INH7" t="s">
        <v>6984</v>
      </c>
      <c r="INI7" t="s">
        <v>6984</v>
      </c>
      <c r="INJ7" t="s">
        <v>6984</v>
      </c>
      <c r="INK7" t="s">
        <v>6984</v>
      </c>
      <c r="INL7" t="s">
        <v>6984</v>
      </c>
      <c r="INM7" t="s">
        <v>6984</v>
      </c>
      <c r="INN7" t="s">
        <v>6984</v>
      </c>
      <c r="INO7" t="s">
        <v>6984</v>
      </c>
      <c r="INP7" t="s">
        <v>6984</v>
      </c>
      <c r="INQ7" t="s">
        <v>6984</v>
      </c>
      <c r="INR7" t="s">
        <v>6984</v>
      </c>
      <c r="INS7" t="s">
        <v>6984</v>
      </c>
      <c r="INT7" t="s">
        <v>6984</v>
      </c>
      <c r="INU7" t="s">
        <v>6984</v>
      </c>
      <c r="INV7" t="s">
        <v>6984</v>
      </c>
      <c r="INW7" t="s">
        <v>6984</v>
      </c>
      <c r="INX7" t="s">
        <v>6984</v>
      </c>
      <c r="INY7" t="s">
        <v>6984</v>
      </c>
      <c r="INZ7" t="s">
        <v>6984</v>
      </c>
      <c r="IOA7" t="s">
        <v>6984</v>
      </c>
      <c r="IOB7" t="s">
        <v>6984</v>
      </c>
      <c r="IOC7" t="s">
        <v>6984</v>
      </c>
      <c r="IOD7" t="s">
        <v>6984</v>
      </c>
      <c r="IOE7" t="s">
        <v>6984</v>
      </c>
      <c r="IOF7" t="s">
        <v>6984</v>
      </c>
      <c r="IOG7" t="s">
        <v>6984</v>
      </c>
      <c r="IOH7" t="s">
        <v>6984</v>
      </c>
      <c r="IOI7" t="s">
        <v>6984</v>
      </c>
      <c r="IOJ7" t="s">
        <v>6984</v>
      </c>
      <c r="IOK7" t="s">
        <v>6984</v>
      </c>
      <c r="IOL7" t="s">
        <v>6984</v>
      </c>
      <c r="IOM7" t="s">
        <v>6984</v>
      </c>
      <c r="ION7" t="s">
        <v>6984</v>
      </c>
      <c r="IOO7" t="s">
        <v>6984</v>
      </c>
      <c r="IOP7" t="s">
        <v>6984</v>
      </c>
      <c r="IOQ7" t="s">
        <v>6984</v>
      </c>
      <c r="IOR7" t="s">
        <v>6984</v>
      </c>
      <c r="IOS7" t="s">
        <v>6984</v>
      </c>
      <c r="IOT7" t="s">
        <v>6984</v>
      </c>
      <c r="IOU7" t="s">
        <v>6984</v>
      </c>
      <c r="IOV7" t="s">
        <v>6984</v>
      </c>
      <c r="IOW7" t="s">
        <v>6984</v>
      </c>
      <c r="IOX7" t="s">
        <v>6984</v>
      </c>
      <c r="IOY7" t="s">
        <v>6984</v>
      </c>
      <c r="IOZ7" t="s">
        <v>6984</v>
      </c>
      <c r="IPA7" t="s">
        <v>6984</v>
      </c>
      <c r="IPB7" t="s">
        <v>6984</v>
      </c>
      <c r="IPC7" t="s">
        <v>6984</v>
      </c>
      <c r="IPD7" t="s">
        <v>6984</v>
      </c>
      <c r="IPE7" t="s">
        <v>6984</v>
      </c>
      <c r="IPF7" t="s">
        <v>6984</v>
      </c>
      <c r="IPG7" t="s">
        <v>6984</v>
      </c>
      <c r="IPH7" t="s">
        <v>6984</v>
      </c>
      <c r="IPI7" t="s">
        <v>6984</v>
      </c>
      <c r="IPJ7" t="s">
        <v>6984</v>
      </c>
      <c r="IPK7" t="s">
        <v>6984</v>
      </c>
      <c r="IPL7" t="s">
        <v>6984</v>
      </c>
      <c r="IPM7" t="s">
        <v>6984</v>
      </c>
      <c r="IPN7" t="s">
        <v>6984</v>
      </c>
      <c r="IPO7" t="s">
        <v>6984</v>
      </c>
      <c r="IPP7" t="s">
        <v>6984</v>
      </c>
      <c r="IPQ7" t="s">
        <v>6984</v>
      </c>
      <c r="IPR7" t="s">
        <v>6984</v>
      </c>
      <c r="IPS7" t="s">
        <v>6984</v>
      </c>
      <c r="IPT7" t="s">
        <v>6984</v>
      </c>
      <c r="IPU7" t="s">
        <v>6984</v>
      </c>
      <c r="IPV7" t="s">
        <v>6984</v>
      </c>
      <c r="IPW7" t="s">
        <v>6984</v>
      </c>
      <c r="IPX7" t="s">
        <v>6984</v>
      </c>
      <c r="IPY7" t="s">
        <v>6984</v>
      </c>
      <c r="IPZ7" t="s">
        <v>6984</v>
      </c>
      <c r="IQA7" t="s">
        <v>6984</v>
      </c>
      <c r="IQB7" t="s">
        <v>6984</v>
      </c>
      <c r="IQC7" t="s">
        <v>6984</v>
      </c>
      <c r="IQD7" t="s">
        <v>6984</v>
      </c>
      <c r="IQE7" t="s">
        <v>6984</v>
      </c>
      <c r="IQF7" t="s">
        <v>6984</v>
      </c>
      <c r="IQG7" t="s">
        <v>6984</v>
      </c>
      <c r="IQH7" t="s">
        <v>6984</v>
      </c>
      <c r="IQI7" t="s">
        <v>6984</v>
      </c>
      <c r="IQJ7" t="s">
        <v>6984</v>
      </c>
      <c r="IQK7" t="s">
        <v>6984</v>
      </c>
      <c r="IQL7" t="s">
        <v>6984</v>
      </c>
      <c r="IQM7" t="s">
        <v>6984</v>
      </c>
      <c r="IQN7" t="s">
        <v>6984</v>
      </c>
      <c r="IQO7" t="s">
        <v>6984</v>
      </c>
      <c r="IQP7" t="s">
        <v>6984</v>
      </c>
      <c r="IQQ7" t="s">
        <v>6984</v>
      </c>
      <c r="IQR7" t="s">
        <v>6984</v>
      </c>
      <c r="IQS7" t="s">
        <v>6984</v>
      </c>
      <c r="IQT7" t="s">
        <v>6984</v>
      </c>
      <c r="IQU7" t="s">
        <v>6984</v>
      </c>
      <c r="IQV7" t="s">
        <v>6984</v>
      </c>
      <c r="IQW7" t="s">
        <v>6984</v>
      </c>
      <c r="IQX7" t="s">
        <v>6984</v>
      </c>
      <c r="IQY7" t="s">
        <v>6984</v>
      </c>
      <c r="IQZ7" t="s">
        <v>6984</v>
      </c>
      <c r="IRA7" t="s">
        <v>6984</v>
      </c>
      <c r="IRB7" t="s">
        <v>6984</v>
      </c>
      <c r="IRC7" t="s">
        <v>6984</v>
      </c>
      <c r="IRD7" t="s">
        <v>6984</v>
      </c>
      <c r="IRE7" t="s">
        <v>6984</v>
      </c>
      <c r="IRF7" t="s">
        <v>6984</v>
      </c>
      <c r="IRG7" t="s">
        <v>6984</v>
      </c>
      <c r="IRH7" t="s">
        <v>6984</v>
      </c>
      <c r="IRI7" t="s">
        <v>6984</v>
      </c>
      <c r="IRJ7" t="s">
        <v>6984</v>
      </c>
      <c r="IRK7" t="s">
        <v>6984</v>
      </c>
      <c r="IRL7" t="s">
        <v>6984</v>
      </c>
      <c r="IRM7" t="s">
        <v>6984</v>
      </c>
      <c r="IRN7" t="s">
        <v>6984</v>
      </c>
      <c r="IRO7" t="s">
        <v>6984</v>
      </c>
      <c r="IRP7" t="s">
        <v>6984</v>
      </c>
      <c r="IRQ7" t="s">
        <v>6984</v>
      </c>
      <c r="IRR7" t="s">
        <v>6984</v>
      </c>
      <c r="IRS7" t="s">
        <v>6984</v>
      </c>
      <c r="IRT7" t="s">
        <v>6984</v>
      </c>
      <c r="IRU7" t="s">
        <v>6984</v>
      </c>
      <c r="IRV7" t="s">
        <v>6984</v>
      </c>
      <c r="IRW7" t="s">
        <v>6984</v>
      </c>
      <c r="IRX7" t="s">
        <v>6984</v>
      </c>
      <c r="IRY7" t="s">
        <v>6984</v>
      </c>
      <c r="IRZ7" t="s">
        <v>6984</v>
      </c>
      <c r="ISA7" t="s">
        <v>6984</v>
      </c>
      <c r="ISB7" t="s">
        <v>6984</v>
      </c>
      <c r="ISC7" t="s">
        <v>6984</v>
      </c>
      <c r="ISD7" t="s">
        <v>6984</v>
      </c>
      <c r="ISE7" t="s">
        <v>6984</v>
      </c>
      <c r="ISF7" t="s">
        <v>6984</v>
      </c>
      <c r="ISG7" t="s">
        <v>6984</v>
      </c>
      <c r="ISH7" t="s">
        <v>6984</v>
      </c>
      <c r="ISI7" t="s">
        <v>6984</v>
      </c>
      <c r="ISJ7" t="s">
        <v>6984</v>
      </c>
      <c r="ISK7" t="s">
        <v>6984</v>
      </c>
      <c r="ISL7" t="s">
        <v>6984</v>
      </c>
      <c r="ISM7" t="s">
        <v>6984</v>
      </c>
      <c r="ISN7" t="s">
        <v>6984</v>
      </c>
      <c r="ISO7" t="s">
        <v>6984</v>
      </c>
      <c r="ISP7" t="s">
        <v>6984</v>
      </c>
      <c r="ISQ7" t="s">
        <v>6984</v>
      </c>
      <c r="ISR7" t="s">
        <v>6984</v>
      </c>
      <c r="ISS7" t="s">
        <v>6984</v>
      </c>
      <c r="IST7" t="s">
        <v>6984</v>
      </c>
      <c r="ISU7" t="s">
        <v>6984</v>
      </c>
      <c r="ISV7" t="s">
        <v>6984</v>
      </c>
      <c r="ISW7" t="s">
        <v>6984</v>
      </c>
      <c r="ISX7" t="s">
        <v>6984</v>
      </c>
      <c r="ISY7" t="s">
        <v>6984</v>
      </c>
      <c r="ISZ7" t="s">
        <v>6984</v>
      </c>
      <c r="ITA7" t="s">
        <v>6984</v>
      </c>
      <c r="ITB7" t="s">
        <v>6984</v>
      </c>
      <c r="ITC7" t="s">
        <v>6984</v>
      </c>
      <c r="ITD7" t="s">
        <v>6984</v>
      </c>
      <c r="ITE7" t="s">
        <v>6984</v>
      </c>
      <c r="ITF7" t="s">
        <v>6984</v>
      </c>
      <c r="ITG7" t="s">
        <v>6984</v>
      </c>
      <c r="ITH7" t="s">
        <v>6984</v>
      </c>
      <c r="ITI7" t="s">
        <v>6984</v>
      </c>
      <c r="ITJ7" t="s">
        <v>6984</v>
      </c>
      <c r="ITK7" t="s">
        <v>6984</v>
      </c>
      <c r="ITL7" t="s">
        <v>6984</v>
      </c>
      <c r="ITM7" t="s">
        <v>6984</v>
      </c>
      <c r="ITN7" t="s">
        <v>6984</v>
      </c>
      <c r="ITO7" t="s">
        <v>6984</v>
      </c>
      <c r="ITP7" t="s">
        <v>6984</v>
      </c>
      <c r="ITQ7" t="s">
        <v>6984</v>
      </c>
      <c r="ITR7" t="s">
        <v>6984</v>
      </c>
      <c r="ITS7" t="s">
        <v>6984</v>
      </c>
      <c r="ITT7" t="s">
        <v>6984</v>
      </c>
      <c r="ITU7" t="s">
        <v>6984</v>
      </c>
      <c r="ITV7" t="s">
        <v>6984</v>
      </c>
      <c r="ITW7" t="s">
        <v>6984</v>
      </c>
      <c r="ITX7" t="s">
        <v>6984</v>
      </c>
      <c r="ITY7" t="s">
        <v>6984</v>
      </c>
      <c r="ITZ7" t="s">
        <v>6984</v>
      </c>
      <c r="IUA7" t="s">
        <v>6984</v>
      </c>
      <c r="IUB7" t="s">
        <v>6984</v>
      </c>
      <c r="IUC7" t="s">
        <v>6984</v>
      </c>
      <c r="IUD7" t="s">
        <v>6984</v>
      </c>
      <c r="IUE7" t="s">
        <v>6984</v>
      </c>
      <c r="IUF7" t="s">
        <v>6984</v>
      </c>
      <c r="IUG7" t="s">
        <v>6984</v>
      </c>
      <c r="IUH7" t="s">
        <v>6984</v>
      </c>
      <c r="IUI7" t="s">
        <v>6984</v>
      </c>
      <c r="IUJ7" t="s">
        <v>6984</v>
      </c>
      <c r="IUK7" t="s">
        <v>6984</v>
      </c>
      <c r="IUL7" t="s">
        <v>6984</v>
      </c>
      <c r="IUM7" t="s">
        <v>6984</v>
      </c>
      <c r="IUN7" t="s">
        <v>6984</v>
      </c>
      <c r="IUO7" t="s">
        <v>6984</v>
      </c>
      <c r="IUP7" t="s">
        <v>6984</v>
      </c>
      <c r="IUQ7" t="s">
        <v>6984</v>
      </c>
      <c r="IUR7" t="s">
        <v>6984</v>
      </c>
      <c r="IUS7" t="s">
        <v>6984</v>
      </c>
      <c r="IUT7" t="s">
        <v>6984</v>
      </c>
      <c r="IUU7" t="s">
        <v>6984</v>
      </c>
      <c r="IUV7" t="s">
        <v>6984</v>
      </c>
      <c r="IUW7" t="s">
        <v>6984</v>
      </c>
      <c r="IUX7" t="s">
        <v>6984</v>
      </c>
      <c r="IUY7" t="s">
        <v>6984</v>
      </c>
      <c r="IUZ7" t="s">
        <v>6984</v>
      </c>
      <c r="IVA7" t="s">
        <v>6984</v>
      </c>
      <c r="IVB7" t="s">
        <v>6984</v>
      </c>
      <c r="IVC7" t="s">
        <v>6984</v>
      </c>
      <c r="IVD7" t="s">
        <v>6984</v>
      </c>
      <c r="IVE7" t="s">
        <v>6984</v>
      </c>
      <c r="IVF7" t="s">
        <v>6984</v>
      </c>
      <c r="IVG7" t="s">
        <v>6984</v>
      </c>
      <c r="IVH7" t="s">
        <v>6984</v>
      </c>
      <c r="IVI7" t="s">
        <v>6984</v>
      </c>
      <c r="IVJ7" t="s">
        <v>6984</v>
      </c>
      <c r="IVK7" t="s">
        <v>6984</v>
      </c>
      <c r="IVL7" t="s">
        <v>6984</v>
      </c>
      <c r="IVM7" t="s">
        <v>6984</v>
      </c>
      <c r="IVN7" t="s">
        <v>6984</v>
      </c>
      <c r="IVO7" t="s">
        <v>6984</v>
      </c>
      <c r="IVP7" t="s">
        <v>6984</v>
      </c>
      <c r="IVQ7" t="s">
        <v>6984</v>
      </c>
      <c r="IVR7" t="s">
        <v>6984</v>
      </c>
      <c r="IVS7" t="s">
        <v>6984</v>
      </c>
      <c r="IVT7" t="s">
        <v>6984</v>
      </c>
      <c r="IVU7" t="s">
        <v>6984</v>
      </c>
      <c r="IVV7" t="s">
        <v>6984</v>
      </c>
      <c r="IVW7" t="s">
        <v>6984</v>
      </c>
      <c r="IVX7" t="s">
        <v>6984</v>
      </c>
      <c r="IVY7" t="s">
        <v>6984</v>
      </c>
      <c r="IVZ7" t="s">
        <v>6984</v>
      </c>
      <c r="IWA7" t="s">
        <v>6984</v>
      </c>
      <c r="IWB7" t="s">
        <v>6984</v>
      </c>
      <c r="IWC7" t="s">
        <v>6984</v>
      </c>
      <c r="IWD7" t="s">
        <v>6984</v>
      </c>
      <c r="IWE7" t="s">
        <v>6984</v>
      </c>
      <c r="IWF7" t="s">
        <v>6984</v>
      </c>
      <c r="IWG7" t="s">
        <v>6984</v>
      </c>
      <c r="IWH7" t="s">
        <v>6984</v>
      </c>
      <c r="IWI7" t="s">
        <v>6984</v>
      </c>
      <c r="IWJ7" t="s">
        <v>6984</v>
      </c>
      <c r="IWK7" t="s">
        <v>6984</v>
      </c>
      <c r="IWL7" t="s">
        <v>6984</v>
      </c>
      <c r="IWM7" t="s">
        <v>6984</v>
      </c>
      <c r="IWN7" t="s">
        <v>6984</v>
      </c>
      <c r="IWO7" t="s">
        <v>6984</v>
      </c>
      <c r="IWP7" t="s">
        <v>6984</v>
      </c>
      <c r="IWQ7" t="s">
        <v>6984</v>
      </c>
      <c r="IWR7" t="s">
        <v>6984</v>
      </c>
      <c r="IWS7" t="s">
        <v>6984</v>
      </c>
      <c r="IWT7" t="s">
        <v>6984</v>
      </c>
      <c r="IWU7" t="s">
        <v>6984</v>
      </c>
      <c r="IWV7" t="s">
        <v>6984</v>
      </c>
      <c r="IWW7" t="s">
        <v>6984</v>
      </c>
      <c r="IWX7" t="s">
        <v>6984</v>
      </c>
      <c r="IWY7" t="s">
        <v>6984</v>
      </c>
      <c r="IWZ7" t="s">
        <v>6984</v>
      </c>
      <c r="IXA7" t="s">
        <v>6984</v>
      </c>
      <c r="IXB7" t="s">
        <v>6984</v>
      </c>
      <c r="IXC7" t="s">
        <v>6984</v>
      </c>
      <c r="IXD7" t="s">
        <v>6984</v>
      </c>
      <c r="IXE7" t="s">
        <v>6984</v>
      </c>
      <c r="IXF7" t="s">
        <v>6984</v>
      </c>
      <c r="IXG7" t="s">
        <v>6984</v>
      </c>
      <c r="IXH7" t="s">
        <v>6984</v>
      </c>
      <c r="IXI7" t="s">
        <v>6984</v>
      </c>
      <c r="IXJ7" t="s">
        <v>6984</v>
      </c>
      <c r="IXK7" t="s">
        <v>6984</v>
      </c>
      <c r="IXL7" t="s">
        <v>6984</v>
      </c>
      <c r="IXM7" t="s">
        <v>6984</v>
      </c>
      <c r="IXN7" t="s">
        <v>6984</v>
      </c>
      <c r="IXO7" t="s">
        <v>6984</v>
      </c>
      <c r="IXP7" t="s">
        <v>6984</v>
      </c>
      <c r="IXQ7" t="s">
        <v>6984</v>
      </c>
      <c r="IXR7" t="s">
        <v>6984</v>
      </c>
      <c r="IXS7" t="s">
        <v>6984</v>
      </c>
      <c r="IXT7" t="s">
        <v>6984</v>
      </c>
      <c r="IXU7" t="s">
        <v>6984</v>
      </c>
      <c r="IXV7" t="s">
        <v>6984</v>
      </c>
      <c r="IXW7" t="s">
        <v>6984</v>
      </c>
      <c r="IXX7" t="s">
        <v>6984</v>
      </c>
      <c r="IXY7" t="s">
        <v>6984</v>
      </c>
      <c r="IXZ7" t="s">
        <v>6984</v>
      </c>
      <c r="IYA7" t="s">
        <v>6984</v>
      </c>
      <c r="IYB7" t="s">
        <v>6984</v>
      </c>
      <c r="IYC7" t="s">
        <v>6984</v>
      </c>
      <c r="IYD7" t="s">
        <v>6984</v>
      </c>
      <c r="IYE7" t="s">
        <v>6984</v>
      </c>
      <c r="IYF7" t="s">
        <v>6984</v>
      </c>
      <c r="IYG7" t="s">
        <v>6984</v>
      </c>
      <c r="IYH7" t="s">
        <v>6984</v>
      </c>
      <c r="IYI7" t="s">
        <v>6984</v>
      </c>
      <c r="IYJ7" t="s">
        <v>6984</v>
      </c>
      <c r="IYK7" t="s">
        <v>6984</v>
      </c>
      <c r="IYL7" t="s">
        <v>6984</v>
      </c>
      <c r="IYM7" t="s">
        <v>6984</v>
      </c>
      <c r="IYN7" t="s">
        <v>6984</v>
      </c>
      <c r="IYO7" t="s">
        <v>6984</v>
      </c>
      <c r="IYP7" t="s">
        <v>6984</v>
      </c>
      <c r="IYQ7" t="s">
        <v>6984</v>
      </c>
      <c r="IYR7" t="s">
        <v>6984</v>
      </c>
      <c r="IYS7" t="s">
        <v>6984</v>
      </c>
      <c r="IYT7" t="s">
        <v>6984</v>
      </c>
      <c r="IYU7" t="s">
        <v>6984</v>
      </c>
      <c r="IYV7" t="s">
        <v>6984</v>
      </c>
      <c r="IYW7" t="s">
        <v>6984</v>
      </c>
      <c r="IYX7" t="s">
        <v>6984</v>
      </c>
      <c r="IYY7" t="s">
        <v>6984</v>
      </c>
      <c r="IYZ7" t="s">
        <v>6984</v>
      </c>
      <c r="IZA7" t="s">
        <v>6984</v>
      </c>
      <c r="IZB7" t="s">
        <v>6984</v>
      </c>
      <c r="IZC7" t="s">
        <v>6984</v>
      </c>
      <c r="IZD7" t="s">
        <v>6984</v>
      </c>
      <c r="IZE7" t="s">
        <v>6984</v>
      </c>
      <c r="IZF7" t="s">
        <v>6984</v>
      </c>
      <c r="IZG7" t="s">
        <v>6984</v>
      </c>
      <c r="IZH7" t="s">
        <v>6984</v>
      </c>
      <c r="IZI7" t="s">
        <v>6984</v>
      </c>
      <c r="IZJ7" t="s">
        <v>6984</v>
      </c>
      <c r="IZK7" t="s">
        <v>6984</v>
      </c>
      <c r="IZL7" t="s">
        <v>6984</v>
      </c>
      <c r="IZM7" t="s">
        <v>6984</v>
      </c>
      <c r="IZN7" t="s">
        <v>6984</v>
      </c>
      <c r="IZO7" t="s">
        <v>6984</v>
      </c>
      <c r="IZP7" t="s">
        <v>6984</v>
      </c>
      <c r="IZQ7" t="s">
        <v>6984</v>
      </c>
      <c r="IZR7" t="s">
        <v>6984</v>
      </c>
      <c r="IZS7" t="s">
        <v>6984</v>
      </c>
      <c r="IZT7" t="s">
        <v>6984</v>
      </c>
      <c r="IZU7" t="s">
        <v>6984</v>
      </c>
      <c r="IZV7" t="s">
        <v>6984</v>
      </c>
      <c r="IZW7" t="s">
        <v>6984</v>
      </c>
      <c r="IZX7" t="s">
        <v>6984</v>
      </c>
      <c r="IZY7" t="s">
        <v>6984</v>
      </c>
      <c r="IZZ7" t="s">
        <v>6984</v>
      </c>
      <c r="JAA7" t="s">
        <v>6984</v>
      </c>
      <c r="JAB7" t="s">
        <v>6984</v>
      </c>
      <c r="JAC7" t="s">
        <v>6984</v>
      </c>
      <c r="JAD7" t="s">
        <v>6984</v>
      </c>
      <c r="JAE7" t="s">
        <v>6984</v>
      </c>
      <c r="JAF7" t="s">
        <v>6984</v>
      </c>
      <c r="JAG7" t="s">
        <v>6984</v>
      </c>
      <c r="JAH7" t="s">
        <v>6984</v>
      </c>
      <c r="JAI7" t="s">
        <v>6984</v>
      </c>
      <c r="JAJ7" t="s">
        <v>6984</v>
      </c>
      <c r="JAK7" t="s">
        <v>6984</v>
      </c>
      <c r="JAL7" t="s">
        <v>6984</v>
      </c>
      <c r="JAM7" t="s">
        <v>6984</v>
      </c>
      <c r="JAN7" t="s">
        <v>6984</v>
      </c>
      <c r="JAO7" t="s">
        <v>6984</v>
      </c>
      <c r="JAP7" t="s">
        <v>6984</v>
      </c>
      <c r="JAQ7" t="s">
        <v>6984</v>
      </c>
      <c r="JAR7" t="s">
        <v>6984</v>
      </c>
      <c r="JAS7" t="s">
        <v>6984</v>
      </c>
      <c r="JAT7" t="s">
        <v>6984</v>
      </c>
      <c r="JAU7" t="s">
        <v>6984</v>
      </c>
      <c r="JAV7" t="s">
        <v>6984</v>
      </c>
      <c r="JAW7" t="s">
        <v>6984</v>
      </c>
      <c r="JAX7" t="s">
        <v>6984</v>
      </c>
      <c r="JAY7" t="s">
        <v>6984</v>
      </c>
      <c r="JAZ7" t="s">
        <v>6984</v>
      </c>
      <c r="JBA7" t="s">
        <v>6984</v>
      </c>
      <c r="JBB7" t="s">
        <v>6984</v>
      </c>
      <c r="JBC7" t="s">
        <v>6984</v>
      </c>
      <c r="JBD7" t="s">
        <v>6984</v>
      </c>
      <c r="JBE7" t="s">
        <v>6984</v>
      </c>
      <c r="JBF7" t="s">
        <v>6984</v>
      </c>
      <c r="JBG7" t="s">
        <v>6984</v>
      </c>
      <c r="JBH7" t="s">
        <v>6984</v>
      </c>
      <c r="JBI7" t="s">
        <v>6984</v>
      </c>
      <c r="JBJ7" t="s">
        <v>6984</v>
      </c>
      <c r="JBK7" t="s">
        <v>6984</v>
      </c>
      <c r="JBL7" t="s">
        <v>6984</v>
      </c>
      <c r="JBM7" t="s">
        <v>6984</v>
      </c>
      <c r="JBN7" t="s">
        <v>6984</v>
      </c>
      <c r="JBO7" t="s">
        <v>6984</v>
      </c>
      <c r="JBP7" t="s">
        <v>6984</v>
      </c>
      <c r="JBQ7" t="s">
        <v>6984</v>
      </c>
      <c r="JBR7" t="s">
        <v>6984</v>
      </c>
      <c r="JBS7" t="s">
        <v>6984</v>
      </c>
      <c r="JBT7" t="s">
        <v>6984</v>
      </c>
      <c r="JBU7" t="s">
        <v>6984</v>
      </c>
      <c r="JBV7" t="s">
        <v>6984</v>
      </c>
      <c r="JBW7" t="s">
        <v>6984</v>
      </c>
      <c r="JBX7" t="s">
        <v>6984</v>
      </c>
      <c r="JBY7" t="s">
        <v>6984</v>
      </c>
      <c r="JBZ7" t="s">
        <v>6984</v>
      </c>
      <c r="JCA7" t="s">
        <v>6984</v>
      </c>
      <c r="JCB7" t="s">
        <v>6984</v>
      </c>
      <c r="JCC7" t="s">
        <v>6984</v>
      </c>
      <c r="JCD7" t="s">
        <v>6984</v>
      </c>
      <c r="JCE7" t="s">
        <v>6984</v>
      </c>
      <c r="JCF7" t="s">
        <v>6984</v>
      </c>
      <c r="JCG7" t="s">
        <v>6984</v>
      </c>
      <c r="JCH7" t="s">
        <v>6984</v>
      </c>
      <c r="JCI7" t="s">
        <v>6984</v>
      </c>
      <c r="JCJ7" t="s">
        <v>6984</v>
      </c>
      <c r="JCK7" t="s">
        <v>6984</v>
      </c>
      <c r="JCL7" t="s">
        <v>6984</v>
      </c>
      <c r="JCM7" t="s">
        <v>6984</v>
      </c>
      <c r="JCN7" t="s">
        <v>6984</v>
      </c>
      <c r="JCO7" t="s">
        <v>6984</v>
      </c>
      <c r="JCP7" t="s">
        <v>6984</v>
      </c>
      <c r="JCQ7" t="s">
        <v>6984</v>
      </c>
      <c r="JCR7" t="s">
        <v>6984</v>
      </c>
      <c r="JCS7" t="s">
        <v>6984</v>
      </c>
      <c r="JCT7" t="s">
        <v>6984</v>
      </c>
      <c r="JCU7" t="s">
        <v>6984</v>
      </c>
      <c r="JCV7" t="s">
        <v>6984</v>
      </c>
      <c r="JCW7" t="s">
        <v>6984</v>
      </c>
      <c r="JCX7" t="s">
        <v>6984</v>
      </c>
      <c r="JCY7" t="s">
        <v>6984</v>
      </c>
      <c r="JCZ7" t="s">
        <v>6984</v>
      </c>
      <c r="JDA7" t="s">
        <v>6984</v>
      </c>
      <c r="JDB7" t="s">
        <v>6984</v>
      </c>
      <c r="JDC7" t="s">
        <v>6984</v>
      </c>
      <c r="JDD7" t="s">
        <v>6984</v>
      </c>
      <c r="JDE7" t="s">
        <v>6984</v>
      </c>
      <c r="JDF7" t="s">
        <v>6984</v>
      </c>
      <c r="JDG7" t="s">
        <v>6984</v>
      </c>
      <c r="JDH7" t="s">
        <v>6984</v>
      </c>
      <c r="JDI7" t="s">
        <v>6984</v>
      </c>
      <c r="JDJ7" t="s">
        <v>6984</v>
      </c>
      <c r="JDK7" t="s">
        <v>6984</v>
      </c>
      <c r="JDL7" t="s">
        <v>6984</v>
      </c>
      <c r="JDM7" t="s">
        <v>6984</v>
      </c>
      <c r="JDN7" t="s">
        <v>6984</v>
      </c>
      <c r="JDO7" t="s">
        <v>6984</v>
      </c>
      <c r="JDP7" t="s">
        <v>6984</v>
      </c>
      <c r="JDQ7" t="s">
        <v>6984</v>
      </c>
      <c r="JDR7" t="s">
        <v>6984</v>
      </c>
      <c r="JDS7" t="s">
        <v>6984</v>
      </c>
      <c r="JDT7" t="s">
        <v>6984</v>
      </c>
      <c r="JDU7" t="s">
        <v>6984</v>
      </c>
      <c r="JDV7" t="s">
        <v>6984</v>
      </c>
      <c r="JDW7" t="s">
        <v>6984</v>
      </c>
      <c r="JDX7" t="s">
        <v>6984</v>
      </c>
      <c r="JDY7" t="s">
        <v>6984</v>
      </c>
      <c r="JDZ7" t="s">
        <v>6984</v>
      </c>
      <c r="JEA7" t="s">
        <v>6984</v>
      </c>
      <c r="JEB7" t="s">
        <v>6984</v>
      </c>
      <c r="JEC7" t="s">
        <v>6984</v>
      </c>
      <c r="JED7" t="s">
        <v>6984</v>
      </c>
      <c r="JEE7" t="s">
        <v>6984</v>
      </c>
      <c r="JEF7" t="s">
        <v>6984</v>
      </c>
      <c r="JEG7" t="s">
        <v>6984</v>
      </c>
      <c r="JEH7" t="s">
        <v>6984</v>
      </c>
      <c r="JEI7" t="s">
        <v>6984</v>
      </c>
      <c r="JEJ7" t="s">
        <v>6984</v>
      </c>
      <c r="JEK7" t="s">
        <v>6984</v>
      </c>
      <c r="JEL7" t="s">
        <v>6984</v>
      </c>
      <c r="JEM7" t="s">
        <v>6984</v>
      </c>
      <c r="JEN7" t="s">
        <v>6984</v>
      </c>
      <c r="JEO7" t="s">
        <v>6984</v>
      </c>
      <c r="JEP7" t="s">
        <v>6984</v>
      </c>
      <c r="JEQ7" t="s">
        <v>6984</v>
      </c>
      <c r="JER7" t="s">
        <v>6984</v>
      </c>
      <c r="JES7" t="s">
        <v>6984</v>
      </c>
      <c r="JET7" t="s">
        <v>6984</v>
      </c>
      <c r="JEU7" t="s">
        <v>6984</v>
      </c>
      <c r="JEV7" t="s">
        <v>6984</v>
      </c>
      <c r="JEW7" t="s">
        <v>6984</v>
      </c>
      <c r="JEX7" t="s">
        <v>6984</v>
      </c>
      <c r="JEY7" t="s">
        <v>6984</v>
      </c>
      <c r="JEZ7" t="s">
        <v>6984</v>
      </c>
      <c r="JFA7" t="s">
        <v>6984</v>
      </c>
      <c r="JFB7" t="s">
        <v>6984</v>
      </c>
      <c r="JFC7" t="s">
        <v>6984</v>
      </c>
      <c r="JFD7" t="s">
        <v>6984</v>
      </c>
      <c r="JFE7" t="s">
        <v>6984</v>
      </c>
      <c r="JFF7" t="s">
        <v>6984</v>
      </c>
      <c r="JFG7" t="s">
        <v>6984</v>
      </c>
      <c r="JFH7" t="s">
        <v>6984</v>
      </c>
      <c r="JFI7" t="s">
        <v>6984</v>
      </c>
      <c r="JFJ7" t="s">
        <v>6984</v>
      </c>
      <c r="JFK7" t="s">
        <v>6984</v>
      </c>
      <c r="JFL7" t="s">
        <v>6984</v>
      </c>
      <c r="JFM7" t="s">
        <v>6984</v>
      </c>
      <c r="JFN7" t="s">
        <v>6984</v>
      </c>
      <c r="JFO7" t="s">
        <v>6984</v>
      </c>
      <c r="JFP7" t="s">
        <v>6984</v>
      </c>
      <c r="JFQ7" t="s">
        <v>6984</v>
      </c>
      <c r="JFR7" t="s">
        <v>6984</v>
      </c>
      <c r="JFS7" t="s">
        <v>6984</v>
      </c>
      <c r="JFT7" t="s">
        <v>6984</v>
      </c>
      <c r="JFU7" t="s">
        <v>6984</v>
      </c>
      <c r="JFV7" t="s">
        <v>6984</v>
      </c>
      <c r="JFW7" t="s">
        <v>6984</v>
      </c>
      <c r="JFX7" t="s">
        <v>6984</v>
      </c>
      <c r="JFY7" t="s">
        <v>6984</v>
      </c>
      <c r="JFZ7" t="s">
        <v>6984</v>
      </c>
      <c r="JGA7" t="s">
        <v>6984</v>
      </c>
      <c r="JGB7" t="s">
        <v>6984</v>
      </c>
      <c r="JGC7" t="s">
        <v>6984</v>
      </c>
      <c r="JGD7" t="s">
        <v>6984</v>
      </c>
      <c r="JGE7" t="s">
        <v>6984</v>
      </c>
      <c r="JGF7" t="s">
        <v>6984</v>
      </c>
      <c r="JGG7" t="s">
        <v>6984</v>
      </c>
      <c r="JGH7" t="s">
        <v>6984</v>
      </c>
      <c r="JGI7" t="s">
        <v>6984</v>
      </c>
      <c r="JGJ7" t="s">
        <v>6984</v>
      </c>
      <c r="JGK7" t="s">
        <v>6984</v>
      </c>
      <c r="JGL7" t="s">
        <v>6984</v>
      </c>
      <c r="JGM7" t="s">
        <v>6984</v>
      </c>
      <c r="JGN7" t="s">
        <v>6984</v>
      </c>
      <c r="JGO7" t="s">
        <v>6984</v>
      </c>
      <c r="JGP7" t="s">
        <v>6984</v>
      </c>
      <c r="JGQ7" t="s">
        <v>6984</v>
      </c>
      <c r="JGR7" t="s">
        <v>6984</v>
      </c>
      <c r="JGS7" t="s">
        <v>6984</v>
      </c>
      <c r="JGT7" t="s">
        <v>6984</v>
      </c>
      <c r="JGU7" t="s">
        <v>6984</v>
      </c>
      <c r="JGV7" t="s">
        <v>6984</v>
      </c>
      <c r="JGW7" t="s">
        <v>6984</v>
      </c>
      <c r="JGX7" t="s">
        <v>6984</v>
      </c>
      <c r="JGY7" t="s">
        <v>6984</v>
      </c>
      <c r="JGZ7" t="s">
        <v>6984</v>
      </c>
      <c r="JHA7" t="s">
        <v>6984</v>
      </c>
      <c r="JHB7" t="s">
        <v>6984</v>
      </c>
      <c r="JHC7" t="s">
        <v>6984</v>
      </c>
      <c r="JHD7" t="s">
        <v>6984</v>
      </c>
      <c r="JHE7" t="s">
        <v>6984</v>
      </c>
      <c r="JHF7" t="s">
        <v>6984</v>
      </c>
      <c r="JHG7" t="s">
        <v>6984</v>
      </c>
      <c r="JHH7" t="s">
        <v>6984</v>
      </c>
      <c r="JHI7" t="s">
        <v>6984</v>
      </c>
      <c r="JHJ7" t="s">
        <v>6984</v>
      </c>
      <c r="JHK7" t="s">
        <v>6984</v>
      </c>
      <c r="JHL7" t="s">
        <v>6984</v>
      </c>
      <c r="JHM7" t="s">
        <v>6984</v>
      </c>
      <c r="JHN7" t="s">
        <v>6984</v>
      </c>
      <c r="JHO7" t="s">
        <v>6984</v>
      </c>
      <c r="JHP7" t="s">
        <v>6984</v>
      </c>
      <c r="JHQ7" t="s">
        <v>6984</v>
      </c>
      <c r="JHR7" t="s">
        <v>6984</v>
      </c>
      <c r="JHS7" t="s">
        <v>6984</v>
      </c>
      <c r="JHT7" t="s">
        <v>6984</v>
      </c>
      <c r="JHU7" t="s">
        <v>6984</v>
      </c>
      <c r="JHV7" t="s">
        <v>6984</v>
      </c>
      <c r="JHW7" t="s">
        <v>6984</v>
      </c>
      <c r="JHX7" t="s">
        <v>6984</v>
      </c>
      <c r="JHY7" t="s">
        <v>6984</v>
      </c>
      <c r="JHZ7" t="s">
        <v>6984</v>
      </c>
      <c r="JIA7" t="s">
        <v>6984</v>
      </c>
      <c r="JIB7" t="s">
        <v>6984</v>
      </c>
      <c r="JIC7" t="s">
        <v>6984</v>
      </c>
      <c r="JID7" t="s">
        <v>6984</v>
      </c>
      <c r="JIE7" t="s">
        <v>6984</v>
      </c>
      <c r="JIF7" t="s">
        <v>6984</v>
      </c>
      <c r="JIG7" t="s">
        <v>6984</v>
      </c>
      <c r="JIH7" t="s">
        <v>6984</v>
      </c>
      <c r="JII7" t="s">
        <v>6984</v>
      </c>
      <c r="JIJ7" t="s">
        <v>6984</v>
      </c>
      <c r="JIK7" t="s">
        <v>6984</v>
      </c>
      <c r="JIL7" t="s">
        <v>6984</v>
      </c>
      <c r="JIM7" t="s">
        <v>6984</v>
      </c>
      <c r="JIN7" t="s">
        <v>6984</v>
      </c>
      <c r="JIO7" t="s">
        <v>6984</v>
      </c>
      <c r="JIP7" t="s">
        <v>6984</v>
      </c>
      <c r="JIQ7" t="s">
        <v>6984</v>
      </c>
      <c r="JIR7" t="s">
        <v>6984</v>
      </c>
      <c r="JIS7" t="s">
        <v>6984</v>
      </c>
      <c r="JIT7" t="s">
        <v>6984</v>
      </c>
      <c r="JIU7" t="s">
        <v>6984</v>
      </c>
      <c r="JIV7" t="s">
        <v>6984</v>
      </c>
      <c r="JIW7" t="s">
        <v>6984</v>
      </c>
      <c r="JIX7" t="s">
        <v>6984</v>
      </c>
      <c r="JIY7" t="s">
        <v>6984</v>
      </c>
      <c r="JIZ7" t="s">
        <v>6984</v>
      </c>
      <c r="JJA7" t="s">
        <v>6984</v>
      </c>
    </row>
    <row r="8" spans="1:7021" x14ac:dyDescent="0.25">
      <c r="A8" t="s">
        <v>6989</v>
      </c>
      <c r="B8">
        <v>96.665000000000006</v>
      </c>
      <c r="C8">
        <v>96.665000000000006</v>
      </c>
      <c r="D8">
        <v>96.665000000000006</v>
      </c>
      <c r="E8">
        <v>96.53</v>
      </c>
      <c r="F8">
        <v>96.52</v>
      </c>
      <c r="G8">
        <v>96.534999999999997</v>
      </c>
      <c r="H8">
        <v>96.59</v>
      </c>
      <c r="I8">
        <v>96.54</v>
      </c>
      <c r="J8">
        <v>96.465000000000003</v>
      </c>
      <c r="K8">
        <v>96.48</v>
      </c>
      <c r="L8">
        <v>96.435000000000002</v>
      </c>
      <c r="M8">
        <v>96.58</v>
      </c>
      <c r="N8">
        <v>96.625</v>
      </c>
      <c r="O8">
        <v>96.53</v>
      </c>
      <c r="P8">
        <v>96.564999999999998</v>
      </c>
      <c r="Q8">
        <v>96.6</v>
      </c>
      <c r="R8">
        <v>96.58</v>
      </c>
      <c r="S8">
        <v>96.515000000000001</v>
      </c>
      <c r="T8">
        <v>96.564999999999998</v>
      </c>
      <c r="U8">
        <v>96.545000000000002</v>
      </c>
      <c r="V8">
        <v>96.545000000000002</v>
      </c>
      <c r="W8">
        <v>96.52</v>
      </c>
      <c r="X8">
        <v>96.51</v>
      </c>
      <c r="Y8">
        <v>96.56</v>
      </c>
      <c r="Z8">
        <v>96.534999999999997</v>
      </c>
      <c r="AA8">
        <v>96.515000000000001</v>
      </c>
      <c r="AB8">
        <v>96.54</v>
      </c>
      <c r="AC8">
        <v>96.435000000000002</v>
      </c>
      <c r="AD8">
        <v>96.49</v>
      </c>
      <c r="AE8">
        <v>96.51</v>
      </c>
      <c r="AF8">
        <v>96.67</v>
      </c>
      <c r="AG8">
        <v>96.66</v>
      </c>
      <c r="AH8">
        <v>96.82</v>
      </c>
      <c r="AI8">
        <v>96.814999999999998</v>
      </c>
      <c r="AJ8">
        <v>96.75</v>
      </c>
      <c r="AK8">
        <v>96.745000000000005</v>
      </c>
      <c r="AL8">
        <v>96.915000000000006</v>
      </c>
      <c r="AM8">
        <v>97.025000000000006</v>
      </c>
      <c r="AN8">
        <v>96.984999999999999</v>
      </c>
      <c r="AO8">
        <v>96.94</v>
      </c>
      <c r="AP8">
        <v>96.84</v>
      </c>
      <c r="AQ8">
        <v>96.805000000000007</v>
      </c>
      <c r="AR8">
        <v>96.724999999999994</v>
      </c>
      <c r="AS8">
        <v>96.814999999999998</v>
      </c>
      <c r="AT8">
        <v>96.9</v>
      </c>
      <c r="AU8">
        <v>96.81</v>
      </c>
      <c r="AV8">
        <v>96.81</v>
      </c>
      <c r="AW8">
        <v>96.8</v>
      </c>
      <c r="AX8">
        <v>96.734999999999999</v>
      </c>
      <c r="AY8">
        <v>96.724999999999994</v>
      </c>
      <c r="AZ8">
        <v>96.584999999999994</v>
      </c>
      <c r="BA8">
        <v>96.704999999999998</v>
      </c>
      <c r="BB8">
        <v>96.564999999999998</v>
      </c>
      <c r="BC8">
        <v>96.87</v>
      </c>
      <c r="BD8">
        <v>96.834999999999994</v>
      </c>
      <c r="BE8">
        <v>96.9</v>
      </c>
      <c r="BF8">
        <v>96.83</v>
      </c>
      <c r="BG8">
        <v>96.58</v>
      </c>
      <c r="BH8">
        <v>96.614999999999995</v>
      </c>
      <c r="BI8">
        <v>96.555000000000007</v>
      </c>
      <c r="BJ8">
        <v>96.56</v>
      </c>
      <c r="BK8">
        <v>96.444999999999993</v>
      </c>
      <c r="BL8">
        <v>96.43</v>
      </c>
      <c r="BM8">
        <v>96.46</v>
      </c>
      <c r="BN8">
        <v>96.42</v>
      </c>
      <c r="BO8">
        <v>96.52</v>
      </c>
      <c r="BP8">
        <v>96.5</v>
      </c>
      <c r="BQ8">
        <v>96.474999999999994</v>
      </c>
      <c r="BR8">
        <v>96.334999999999994</v>
      </c>
      <c r="BS8">
        <v>96.325000000000003</v>
      </c>
      <c r="BT8">
        <v>96.364999999999995</v>
      </c>
      <c r="BU8">
        <v>96.45</v>
      </c>
      <c r="BV8">
        <v>96.405000000000001</v>
      </c>
      <c r="BW8">
        <v>96.474999999999994</v>
      </c>
      <c r="BX8">
        <v>96.534999999999997</v>
      </c>
      <c r="BY8">
        <v>96.4</v>
      </c>
      <c r="BZ8">
        <v>96.435000000000002</v>
      </c>
      <c r="CA8">
        <v>96.41</v>
      </c>
      <c r="CB8">
        <v>96.44</v>
      </c>
      <c r="CC8">
        <v>96.405000000000001</v>
      </c>
      <c r="CD8">
        <v>96.394999999999996</v>
      </c>
      <c r="CE8">
        <v>96.29</v>
      </c>
      <c r="CF8">
        <v>96.31</v>
      </c>
      <c r="CG8">
        <v>96.28</v>
      </c>
      <c r="CH8">
        <v>96.185000000000002</v>
      </c>
      <c r="CI8">
        <v>96.144999999999996</v>
      </c>
      <c r="CJ8">
        <v>96.04</v>
      </c>
      <c r="CK8">
        <v>96.03</v>
      </c>
      <c r="CL8">
        <v>96.01</v>
      </c>
      <c r="CM8">
        <v>96.06</v>
      </c>
      <c r="CN8">
        <v>96.06</v>
      </c>
      <c r="CO8">
        <v>95.984999999999999</v>
      </c>
      <c r="CP8">
        <v>95.91</v>
      </c>
      <c r="CQ8">
        <v>96.015000000000001</v>
      </c>
      <c r="CR8">
        <v>96.05</v>
      </c>
      <c r="CS8">
        <v>96.034999999999997</v>
      </c>
      <c r="CT8">
        <v>96.125</v>
      </c>
      <c r="CU8">
        <v>96.155000000000001</v>
      </c>
      <c r="CV8">
        <v>96.11</v>
      </c>
      <c r="CW8">
        <v>96.055000000000007</v>
      </c>
      <c r="CX8">
        <v>96.084999999999994</v>
      </c>
      <c r="CY8">
        <v>96.13</v>
      </c>
      <c r="CZ8">
        <v>96.1</v>
      </c>
      <c r="DA8">
        <v>96.13</v>
      </c>
      <c r="DB8">
        <v>96.15</v>
      </c>
      <c r="DC8">
        <v>96.04</v>
      </c>
      <c r="DD8">
        <v>96.025000000000006</v>
      </c>
      <c r="DE8">
        <v>96.004999999999995</v>
      </c>
      <c r="DF8">
        <v>96.01</v>
      </c>
      <c r="DG8">
        <v>96.015000000000001</v>
      </c>
      <c r="DH8">
        <v>96.015000000000001</v>
      </c>
      <c r="DI8">
        <v>96.06</v>
      </c>
      <c r="DJ8">
        <v>96.025000000000006</v>
      </c>
      <c r="DK8">
        <v>95.9</v>
      </c>
      <c r="DL8">
        <v>95.86</v>
      </c>
      <c r="DM8">
        <v>95.875</v>
      </c>
      <c r="DN8">
        <v>96.055000000000007</v>
      </c>
      <c r="DO8">
        <v>96.015000000000001</v>
      </c>
      <c r="DP8">
        <v>95.995000000000005</v>
      </c>
      <c r="DQ8">
        <v>96.02</v>
      </c>
      <c r="DR8">
        <v>96.025000000000006</v>
      </c>
      <c r="DS8">
        <v>96.064999999999998</v>
      </c>
      <c r="DT8">
        <v>96.064999999999998</v>
      </c>
      <c r="DU8">
        <v>96.064999999999998</v>
      </c>
      <c r="DV8">
        <v>96.07</v>
      </c>
      <c r="DW8">
        <v>95.99</v>
      </c>
      <c r="DX8">
        <v>95.99</v>
      </c>
      <c r="DY8">
        <v>95.99</v>
      </c>
      <c r="DZ8">
        <v>95.99</v>
      </c>
      <c r="EA8">
        <v>95.97</v>
      </c>
      <c r="EB8">
        <v>96.015000000000001</v>
      </c>
      <c r="EC8">
        <v>95.995000000000005</v>
      </c>
      <c r="ED8">
        <v>95.98</v>
      </c>
      <c r="EE8">
        <v>96.1</v>
      </c>
      <c r="EF8">
        <v>96.1</v>
      </c>
      <c r="EG8">
        <v>96.114999999999995</v>
      </c>
      <c r="EH8">
        <v>96.17</v>
      </c>
      <c r="EI8">
        <v>96.21</v>
      </c>
      <c r="EJ8">
        <v>96.224999999999994</v>
      </c>
      <c r="EK8">
        <v>96.26</v>
      </c>
      <c r="EL8">
        <v>96.29</v>
      </c>
      <c r="EM8">
        <v>96.234999999999999</v>
      </c>
      <c r="EN8">
        <v>96.27</v>
      </c>
      <c r="EO8">
        <v>96.21</v>
      </c>
      <c r="EP8">
        <v>96.174999999999997</v>
      </c>
      <c r="EQ8">
        <v>96.21</v>
      </c>
      <c r="ER8">
        <v>96.174999999999997</v>
      </c>
      <c r="ES8">
        <v>96.174999999999997</v>
      </c>
      <c r="ET8">
        <v>96.11</v>
      </c>
      <c r="EU8">
        <v>96.135000000000005</v>
      </c>
      <c r="EV8">
        <v>96.034999999999997</v>
      </c>
      <c r="EW8">
        <v>96.06</v>
      </c>
      <c r="EX8">
        <v>96.105000000000004</v>
      </c>
      <c r="EY8">
        <v>96.155000000000001</v>
      </c>
      <c r="EZ8">
        <v>96.13</v>
      </c>
      <c r="FA8">
        <v>96.114999999999995</v>
      </c>
      <c r="FB8">
        <v>96.125</v>
      </c>
      <c r="FC8">
        <v>96.13</v>
      </c>
      <c r="FD8">
        <v>96.064999999999998</v>
      </c>
      <c r="FE8">
        <v>96.105000000000004</v>
      </c>
      <c r="FF8">
        <v>96.18</v>
      </c>
      <c r="FG8">
        <v>96.22</v>
      </c>
      <c r="FH8">
        <v>96.165000000000006</v>
      </c>
      <c r="FI8">
        <v>96.265000000000001</v>
      </c>
      <c r="FJ8">
        <v>96.314999999999998</v>
      </c>
      <c r="FK8">
        <v>96.3</v>
      </c>
      <c r="FL8">
        <v>96.34</v>
      </c>
      <c r="FM8">
        <v>96.355000000000004</v>
      </c>
      <c r="FN8">
        <v>96.415000000000006</v>
      </c>
      <c r="FO8">
        <v>96.39</v>
      </c>
      <c r="FP8">
        <v>96.435000000000002</v>
      </c>
      <c r="FQ8">
        <v>96.484999999999999</v>
      </c>
      <c r="FR8">
        <v>96.444999999999993</v>
      </c>
      <c r="FS8">
        <v>96.51</v>
      </c>
      <c r="FT8">
        <v>96.534999999999997</v>
      </c>
      <c r="FU8">
        <v>96.625</v>
      </c>
      <c r="FV8">
        <v>96.594999999999999</v>
      </c>
      <c r="FW8">
        <v>96.655000000000001</v>
      </c>
      <c r="FX8">
        <v>96.63</v>
      </c>
      <c r="FY8">
        <v>96.575000000000003</v>
      </c>
      <c r="FZ8">
        <v>96.64</v>
      </c>
      <c r="GA8">
        <v>96.564999999999998</v>
      </c>
      <c r="GB8">
        <v>96.55</v>
      </c>
      <c r="GC8">
        <v>96.6</v>
      </c>
      <c r="GD8">
        <v>96.575000000000003</v>
      </c>
      <c r="GE8">
        <v>96.665000000000006</v>
      </c>
      <c r="GF8">
        <v>96.924999999999997</v>
      </c>
      <c r="GG8">
        <v>97.01</v>
      </c>
      <c r="GH8">
        <v>97.05</v>
      </c>
      <c r="GI8">
        <v>97</v>
      </c>
      <c r="GJ8">
        <v>97.09</v>
      </c>
      <c r="GK8">
        <v>97.03</v>
      </c>
      <c r="GL8">
        <v>97.1</v>
      </c>
      <c r="GM8">
        <v>97.14</v>
      </c>
      <c r="GN8">
        <v>97.105000000000004</v>
      </c>
      <c r="GO8">
        <v>97.105000000000004</v>
      </c>
      <c r="GP8">
        <v>97.08</v>
      </c>
      <c r="GQ8">
        <v>97.084999999999994</v>
      </c>
      <c r="GR8">
        <v>97.075000000000003</v>
      </c>
      <c r="GS8">
        <v>97.135000000000005</v>
      </c>
      <c r="GT8">
        <v>97.12</v>
      </c>
      <c r="GU8">
        <v>97.07</v>
      </c>
      <c r="GV8">
        <v>97.084999999999994</v>
      </c>
      <c r="GW8">
        <v>97.12</v>
      </c>
      <c r="GX8">
        <v>97.05</v>
      </c>
      <c r="GY8">
        <v>97.075000000000003</v>
      </c>
      <c r="GZ8">
        <v>96.924999999999997</v>
      </c>
      <c r="HA8">
        <v>96.91</v>
      </c>
      <c r="HB8">
        <v>96.765000000000001</v>
      </c>
      <c r="HC8">
        <v>96.724999999999994</v>
      </c>
      <c r="HD8">
        <v>96.724999999999994</v>
      </c>
      <c r="HE8">
        <v>96.765000000000001</v>
      </c>
      <c r="HF8">
        <v>96.784999999999997</v>
      </c>
      <c r="HG8">
        <v>96.795000000000002</v>
      </c>
      <c r="HH8">
        <v>96.765000000000001</v>
      </c>
      <c r="HI8">
        <v>96.78</v>
      </c>
      <c r="HJ8">
        <v>96.674999999999997</v>
      </c>
      <c r="HK8">
        <v>96.78</v>
      </c>
      <c r="HL8">
        <v>96.69</v>
      </c>
      <c r="HM8">
        <v>96.61</v>
      </c>
      <c r="HN8">
        <v>96.605000000000004</v>
      </c>
      <c r="HO8">
        <v>96.575000000000003</v>
      </c>
      <c r="HP8">
        <v>96.775000000000006</v>
      </c>
      <c r="HQ8">
        <v>96.78</v>
      </c>
      <c r="HR8">
        <v>96.685000000000002</v>
      </c>
      <c r="HS8">
        <v>96.635000000000005</v>
      </c>
      <c r="HT8">
        <v>96.644999999999996</v>
      </c>
      <c r="HU8">
        <v>96.694999999999993</v>
      </c>
      <c r="HV8">
        <v>96.72</v>
      </c>
      <c r="HW8">
        <v>96.814999999999998</v>
      </c>
      <c r="HX8">
        <v>96.855000000000004</v>
      </c>
      <c r="HY8">
        <v>96.53</v>
      </c>
      <c r="HZ8">
        <v>96.305000000000007</v>
      </c>
      <c r="IA8">
        <v>96.28</v>
      </c>
      <c r="IB8">
        <v>96.24</v>
      </c>
      <c r="IC8">
        <v>96.234999999999999</v>
      </c>
      <c r="ID8">
        <v>96.185000000000002</v>
      </c>
      <c r="IE8">
        <v>96.22</v>
      </c>
      <c r="IF8">
        <v>96.185000000000002</v>
      </c>
      <c r="IG8">
        <v>96.14</v>
      </c>
      <c r="IH8">
        <v>96.16</v>
      </c>
      <c r="II8">
        <v>96.224999999999994</v>
      </c>
      <c r="IJ8">
        <v>96.26</v>
      </c>
      <c r="IK8">
        <v>96.24</v>
      </c>
      <c r="IL8">
        <v>96.24</v>
      </c>
      <c r="IM8">
        <v>96.224999999999994</v>
      </c>
      <c r="IN8">
        <v>96.18</v>
      </c>
      <c r="IO8">
        <v>96.015000000000001</v>
      </c>
      <c r="IP8">
        <v>96.01</v>
      </c>
      <c r="IQ8">
        <v>96.015000000000001</v>
      </c>
      <c r="IR8">
        <v>96.034999999999997</v>
      </c>
      <c r="IS8">
        <v>95.9</v>
      </c>
      <c r="IT8">
        <v>95.9</v>
      </c>
      <c r="IU8">
        <v>95.834999999999994</v>
      </c>
      <c r="IV8">
        <v>95.795000000000002</v>
      </c>
      <c r="IW8">
        <v>95.88</v>
      </c>
      <c r="IX8">
        <v>95.875</v>
      </c>
      <c r="IY8">
        <v>95.84</v>
      </c>
      <c r="IZ8">
        <v>95.924999999999997</v>
      </c>
      <c r="JA8">
        <v>95.93</v>
      </c>
      <c r="JB8">
        <v>95.935000000000002</v>
      </c>
      <c r="JC8">
        <v>95.935000000000002</v>
      </c>
      <c r="JD8">
        <v>95.765000000000001</v>
      </c>
      <c r="JE8">
        <v>95.765000000000001</v>
      </c>
      <c r="JF8">
        <v>95.69</v>
      </c>
      <c r="JG8">
        <v>95.79</v>
      </c>
      <c r="JH8">
        <v>95.775000000000006</v>
      </c>
      <c r="JI8">
        <v>95.68</v>
      </c>
      <c r="JJ8">
        <v>95.56</v>
      </c>
      <c r="JK8">
        <v>95.5</v>
      </c>
      <c r="JL8">
        <v>95.504999999999995</v>
      </c>
      <c r="JM8">
        <v>95.694999999999993</v>
      </c>
      <c r="JN8">
        <v>95.674999999999997</v>
      </c>
      <c r="JO8">
        <v>95.62</v>
      </c>
      <c r="JP8">
        <v>95.55</v>
      </c>
      <c r="JQ8">
        <v>95.45</v>
      </c>
      <c r="JR8">
        <v>95.4</v>
      </c>
      <c r="JS8">
        <v>95.334999999999994</v>
      </c>
      <c r="JT8">
        <v>95.37</v>
      </c>
      <c r="JU8">
        <v>95.4</v>
      </c>
      <c r="JV8">
        <v>95.4</v>
      </c>
      <c r="JW8">
        <v>95.42</v>
      </c>
      <c r="JX8">
        <v>95.5</v>
      </c>
      <c r="JY8">
        <v>95.57</v>
      </c>
      <c r="JZ8">
        <v>95.555000000000007</v>
      </c>
      <c r="KA8">
        <v>95.575000000000003</v>
      </c>
      <c r="KB8">
        <v>95.625</v>
      </c>
      <c r="KC8">
        <v>95.704999999999998</v>
      </c>
      <c r="KD8">
        <v>95.584999999999994</v>
      </c>
      <c r="KE8">
        <v>95.534999999999997</v>
      </c>
      <c r="KF8">
        <v>95.525000000000006</v>
      </c>
      <c r="KG8">
        <v>95.61</v>
      </c>
      <c r="KH8">
        <v>95.564999999999998</v>
      </c>
      <c r="KI8">
        <v>95.594999999999999</v>
      </c>
      <c r="KJ8">
        <v>95.6</v>
      </c>
      <c r="KK8">
        <v>95.62</v>
      </c>
      <c r="KL8">
        <v>95.5</v>
      </c>
      <c r="KM8">
        <v>95.41</v>
      </c>
      <c r="KN8">
        <v>95.28</v>
      </c>
      <c r="KO8">
        <v>95.38</v>
      </c>
      <c r="KP8">
        <v>95.35</v>
      </c>
      <c r="KQ8">
        <v>95.35</v>
      </c>
      <c r="KR8">
        <v>95.44</v>
      </c>
      <c r="KS8">
        <v>95.484999999999999</v>
      </c>
      <c r="KT8">
        <v>95.424999999999997</v>
      </c>
      <c r="KU8">
        <v>95.42</v>
      </c>
      <c r="KV8">
        <v>95.39</v>
      </c>
      <c r="KW8">
        <v>95.48</v>
      </c>
      <c r="KX8">
        <v>95.43</v>
      </c>
      <c r="KY8">
        <v>95.46</v>
      </c>
      <c r="KZ8">
        <v>95.53</v>
      </c>
      <c r="LA8">
        <v>95.44</v>
      </c>
      <c r="LB8">
        <v>95.444999999999993</v>
      </c>
      <c r="LC8">
        <v>95.745000000000005</v>
      </c>
      <c r="LD8">
        <v>95.694999999999993</v>
      </c>
      <c r="LE8">
        <v>95.77</v>
      </c>
      <c r="LF8">
        <v>95.885000000000005</v>
      </c>
      <c r="LG8">
        <v>95.85</v>
      </c>
      <c r="LH8">
        <v>95.825000000000003</v>
      </c>
      <c r="LI8">
        <v>95.81</v>
      </c>
      <c r="LJ8">
        <v>95.935000000000002</v>
      </c>
      <c r="LK8">
        <v>95.935000000000002</v>
      </c>
      <c r="LL8">
        <v>95.995000000000005</v>
      </c>
      <c r="LM8">
        <v>95.96</v>
      </c>
      <c r="LN8">
        <v>95.965000000000003</v>
      </c>
      <c r="LO8">
        <v>96</v>
      </c>
      <c r="LP8">
        <v>95.96</v>
      </c>
      <c r="LQ8">
        <v>95.995000000000005</v>
      </c>
      <c r="LR8">
        <v>95.674999999999997</v>
      </c>
      <c r="LS8">
        <v>95.63</v>
      </c>
      <c r="LT8">
        <v>95.655000000000001</v>
      </c>
      <c r="LU8">
        <v>95.694999999999993</v>
      </c>
      <c r="LV8">
        <v>95.79</v>
      </c>
      <c r="LW8">
        <v>95.825000000000003</v>
      </c>
      <c r="LX8">
        <v>95.915000000000006</v>
      </c>
      <c r="LY8">
        <v>95.96</v>
      </c>
      <c r="LZ8">
        <v>95.92</v>
      </c>
      <c r="MA8">
        <v>95.864999999999995</v>
      </c>
      <c r="MB8">
        <v>95.875</v>
      </c>
      <c r="MC8">
        <v>95.81</v>
      </c>
      <c r="MD8">
        <v>95.894999999999996</v>
      </c>
      <c r="ME8">
        <v>95.784999999999997</v>
      </c>
      <c r="MF8">
        <v>95.795000000000002</v>
      </c>
      <c r="MG8">
        <v>95.724999999999994</v>
      </c>
      <c r="MH8">
        <v>95.74</v>
      </c>
      <c r="MI8">
        <v>95.79</v>
      </c>
      <c r="MJ8">
        <v>95.765000000000001</v>
      </c>
      <c r="MK8">
        <v>95.844999999999999</v>
      </c>
      <c r="ML8">
        <v>95.9</v>
      </c>
      <c r="MM8">
        <v>95.86</v>
      </c>
      <c r="MN8">
        <v>95.86</v>
      </c>
      <c r="MO8">
        <v>95.954999999999998</v>
      </c>
      <c r="MP8">
        <v>95.95</v>
      </c>
      <c r="MQ8">
        <v>95.86</v>
      </c>
      <c r="MR8">
        <v>96.11</v>
      </c>
      <c r="MS8">
        <v>96.094999999999999</v>
      </c>
      <c r="MT8">
        <v>96.15</v>
      </c>
      <c r="MU8">
        <v>96.194999999999993</v>
      </c>
      <c r="MV8">
        <v>96.215000000000003</v>
      </c>
      <c r="MW8">
        <v>96.135000000000005</v>
      </c>
      <c r="MX8">
        <v>96.26</v>
      </c>
      <c r="MY8">
        <v>96.495000000000005</v>
      </c>
      <c r="MZ8">
        <v>96.46</v>
      </c>
      <c r="NA8">
        <v>96.29</v>
      </c>
      <c r="NB8">
        <v>96.36</v>
      </c>
      <c r="NC8">
        <v>96.295000000000002</v>
      </c>
      <c r="ND8">
        <v>96.375</v>
      </c>
      <c r="NE8">
        <v>96.3</v>
      </c>
      <c r="NF8">
        <v>96.325000000000003</v>
      </c>
      <c r="NG8">
        <v>96.334999999999994</v>
      </c>
      <c r="NH8">
        <v>96.3</v>
      </c>
      <c r="NI8">
        <v>96.37</v>
      </c>
      <c r="NJ8">
        <v>96.37</v>
      </c>
      <c r="NK8">
        <v>96.545000000000002</v>
      </c>
      <c r="NL8">
        <v>96.644999999999996</v>
      </c>
      <c r="NM8">
        <v>96.644999999999996</v>
      </c>
      <c r="NN8">
        <v>96.51</v>
      </c>
      <c r="NO8">
        <v>96.364999999999995</v>
      </c>
      <c r="NP8">
        <v>96.36</v>
      </c>
      <c r="NQ8">
        <v>96.39</v>
      </c>
      <c r="NR8">
        <v>96.355000000000004</v>
      </c>
      <c r="NS8">
        <v>96.375</v>
      </c>
      <c r="NT8">
        <v>96.474999999999994</v>
      </c>
      <c r="NU8">
        <v>96.47</v>
      </c>
      <c r="NV8">
        <v>96.58</v>
      </c>
      <c r="NW8">
        <v>96.58</v>
      </c>
      <c r="NX8">
        <v>96.54</v>
      </c>
      <c r="NY8">
        <v>96.59</v>
      </c>
      <c r="NZ8">
        <v>96.52</v>
      </c>
      <c r="OA8">
        <v>96.525000000000006</v>
      </c>
      <c r="OB8">
        <v>96.525000000000006</v>
      </c>
      <c r="OC8">
        <v>96.53</v>
      </c>
      <c r="OD8">
        <v>96.5</v>
      </c>
      <c r="OE8">
        <v>96.11</v>
      </c>
      <c r="OF8">
        <v>96.094999999999999</v>
      </c>
      <c r="OG8">
        <v>96.09</v>
      </c>
      <c r="OH8">
        <v>96.17</v>
      </c>
      <c r="OI8">
        <v>96.075000000000003</v>
      </c>
      <c r="OJ8">
        <v>95.765000000000001</v>
      </c>
      <c r="OK8">
        <v>95.78</v>
      </c>
      <c r="OL8">
        <v>95.765000000000001</v>
      </c>
      <c r="OM8">
        <v>95.97</v>
      </c>
      <c r="ON8">
        <v>95.935000000000002</v>
      </c>
      <c r="OO8">
        <v>95.995000000000005</v>
      </c>
      <c r="OP8">
        <v>95.915000000000006</v>
      </c>
      <c r="OQ8">
        <v>96.01</v>
      </c>
      <c r="OR8">
        <v>95.795000000000002</v>
      </c>
      <c r="OS8">
        <v>95.88</v>
      </c>
      <c r="OT8">
        <v>95.734999999999999</v>
      </c>
      <c r="OU8">
        <v>95.58</v>
      </c>
      <c r="OV8">
        <v>95.515000000000001</v>
      </c>
      <c r="OW8">
        <v>95.57</v>
      </c>
      <c r="OX8">
        <v>95.57</v>
      </c>
      <c r="OY8">
        <v>95.614999999999995</v>
      </c>
      <c r="OZ8">
        <v>95.58</v>
      </c>
      <c r="PA8">
        <v>95.594999999999999</v>
      </c>
      <c r="PB8">
        <v>95.67</v>
      </c>
      <c r="PC8">
        <v>95.58</v>
      </c>
      <c r="PD8">
        <v>95.704999999999998</v>
      </c>
      <c r="PE8">
        <v>95.435000000000002</v>
      </c>
      <c r="PF8">
        <v>95.405000000000001</v>
      </c>
      <c r="PG8">
        <v>95.46</v>
      </c>
      <c r="PH8">
        <v>95.56</v>
      </c>
      <c r="PI8">
        <v>95.59</v>
      </c>
      <c r="PJ8">
        <v>95.54</v>
      </c>
      <c r="PK8">
        <v>95.685000000000002</v>
      </c>
      <c r="PL8">
        <v>95.495000000000005</v>
      </c>
      <c r="PM8">
        <v>95.495000000000005</v>
      </c>
      <c r="PN8">
        <v>95.355000000000004</v>
      </c>
      <c r="PO8">
        <v>95.405000000000001</v>
      </c>
      <c r="PP8">
        <v>95.435000000000002</v>
      </c>
      <c r="PQ8">
        <v>95.405000000000001</v>
      </c>
      <c r="PR8">
        <v>95.3</v>
      </c>
      <c r="PS8">
        <v>95.36</v>
      </c>
      <c r="PT8">
        <v>95.42</v>
      </c>
      <c r="PU8">
        <v>95.36</v>
      </c>
      <c r="PV8">
        <v>95.245000000000005</v>
      </c>
      <c r="PW8">
        <v>95.194999999999993</v>
      </c>
      <c r="PX8">
        <v>95.21</v>
      </c>
      <c r="PY8">
        <v>95.35</v>
      </c>
      <c r="PZ8">
        <v>95.394999999999996</v>
      </c>
      <c r="QA8">
        <v>95.39</v>
      </c>
      <c r="QB8">
        <v>95.474999999999994</v>
      </c>
      <c r="QC8">
        <v>95.515000000000001</v>
      </c>
      <c r="QD8">
        <v>95.564999999999998</v>
      </c>
      <c r="QE8">
        <v>95.385000000000005</v>
      </c>
      <c r="QF8">
        <v>95.45</v>
      </c>
      <c r="QG8">
        <v>95.405000000000001</v>
      </c>
      <c r="QH8">
        <v>95.284999999999997</v>
      </c>
      <c r="QI8">
        <v>95.314999999999998</v>
      </c>
      <c r="QJ8">
        <v>95.41</v>
      </c>
      <c r="QK8">
        <v>95.385000000000005</v>
      </c>
      <c r="QL8">
        <v>95.284999999999997</v>
      </c>
      <c r="QM8">
        <v>95.35</v>
      </c>
      <c r="QN8">
        <v>95.34</v>
      </c>
      <c r="QO8">
        <v>95.355000000000004</v>
      </c>
      <c r="QP8">
        <v>95.32</v>
      </c>
      <c r="QQ8">
        <v>95.38</v>
      </c>
      <c r="QR8">
        <v>95.07</v>
      </c>
      <c r="QS8">
        <v>95.144999999999996</v>
      </c>
      <c r="QT8">
        <v>95.185000000000002</v>
      </c>
      <c r="QU8">
        <v>95.23</v>
      </c>
      <c r="QV8">
        <v>95.275000000000006</v>
      </c>
      <c r="QW8">
        <v>95.254999999999995</v>
      </c>
      <c r="QX8">
        <v>95.284999999999997</v>
      </c>
      <c r="QY8">
        <v>95.295000000000002</v>
      </c>
      <c r="QZ8">
        <v>95.35</v>
      </c>
      <c r="RA8">
        <v>95.254999999999995</v>
      </c>
      <c r="RB8">
        <v>95.33</v>
      </c>
      <c r="RC8">
        <v>95.474999999999994</v>
      </c>
      <c r="RD8">
        <v>95.474999999999994</v>
      </c>
      <c r="RE8">
        <v>95.484999999999999</v>
      </c>
      <c r="RF8">
        <v>95.454999999999998</v>
      </c>
      <c r="RG8">
        <v>95.435000000000002</v>
      </c>
      <c r="RH8">
        <v>95.28</v>
      </c>
      <c r="RI8">
        <v>95.295000000000002</v>
      </c>
      <c r="RJ8">
        <v>95.355000000000004</v>
      </c>
      <c r="RK8">
        <v>95.46</v>
      </c>
      <c r="RL8">
        <v>95.34</v>
      </c>
      <c r="RM8">
        <v>95.4</v>
      </c>
      <c r="RN8">
        <v>95.465000000000003</v>
      </c>
      <c r="RO8">
        <v>95.44</v>
      </c>
      <c r="RP8">
        <v>95.42</v>
      </c>
      <c r="RQ8">
        <v>95.454999999999998</v>
      </c>
      <c r="RR8">
        <v>95.45</v>
      </c>
      <c r="RS8">
        <v>95.545000000000002</v>
      </c>
      <c r="RT8">
        <v>95.64</v>
      </c>
      <c r="RU8">
        <v>95.68</v>
      </c>
      <c r="RV8">
        <v>95.73</v>
      </c>
      <c r="RW8">
        <v>95.73</v>
      </c>
      <c r="RX8">
        <v>95.68</v>
      </c>
      <c r="RY8">
        <v>95.56</v>
      </c>
      <c r="RZ8">
        <v>95.57</v>
      </c>
      <c r="SA8">
        <v>95.5</v>
      </c>
      <c r="SB8">
        <v>95.534999999999997</v>
      </c>
      <c r="SC8">
        <v>95.5</v>
      </c>
      <c r="SD8">
        <v>95.46</v>
      </c>
      <c r="SE8">
        <v>95.635000000000005</v>
      </c>
      <c r="SF8">
        <v>95.555000000000007</v>
      </c>
      <c r="SG8">
        <v>95.61</v>
      </c>
      <c r="SH8">
        <v>95.665000000000006</v>
      </c>
      <c r="SI8">
        <v>95.7</v>
      </c>
      <c r="SJ8">
        <v>95.81</v>
      </c>
      <c r="SK8">
        <v>95.82</v>
      </c>
      <c r="SL8">
        <v>95.85</v>
      </c>
      <c r="SM8">
        <v>95.84</v>
      </c>
      <c r="SN8">
        <v>96.03</v>
      </c>
      <c r="SO8">
        <v>95.834999999999994</v>
      </c>
      <c r="SP8">
        <v>95.62</v>
      </c>
      <c r="SQ8">
        <v>95.65</v>
      </c>
      <c r="SR8">
        <v>95.54</v>
      </c>
      <c r="SS8">
        <v>95.46</v>
      </c>
      <c r="ST8">
        <v>95.52</v>
      </c>
      <c r="SU8">
        <v>95.555000000000007</v>
      </c>
      <c r="SV8">
        <v>95.555000000000007</v>
      </c>
      <c r="SW8">
        <v>95.63</v>
      </c>
      <c r="SX8">
        <v>95.665000000000006</v>
      </c>
      <c r="SY8">
        <v>95.87</v>
      </c>
      <c r="SZ8">
        <v>95.8</v>
      </c>
      <c r="TA8">
        <v>95.924999999999997</v>
      </c>
      <c r="TB8">
        <v>95.905000000000001</v>
      </c>
      <c r="TC8">
        <v>95.825000000000003</v>
      </c>
      <c r="TD8">
        <v>95.974999999999994</v>
      </c>
      <c r="TE8">
        <v>95.55</v>
      </c>
      <c r="TF8">
        <v>95.525000000000006</v>
      </c>
      <c r="TG8">
        <v>95.525000000000006</v>
      </c>
      <c r="TH8">
        <v>95.62</v>
      </c>
      <c r="TI8">
        <v>95.56</v>
      </c>
      <c r="TJ8">
        <v>95.584999999999994</v>
      </c>
      <c r="TK8">
        <v>95.76</v>
      </c>
      <c r="TL8">
        <v>95.73</v>
      </c>
      <c r="TM8">
        <v>95.86</v>
      </c>
      <c r="TN8">
        <v>95.834999999999994</v>
      </c>
      <c r="TO8">
        <v>95.915000000000006</v>
      </c>
      <c r="TP8">
        <v>96.004999999999995</v>
      </c>
      <c r="TQ8">
        <v>95.944999999999993</v>
      </c>
      <c r="TR8">
        <v>96.174999999999997</v>
      </c>
      <c r="TS8">
        <v>96.094999999999999</v>
      </c>
      <c r="TT8">
        <v>95.984999999999999</v>
      </c>
      <c r="TU8">
        <v>95.825000000000003</v>
      </c>
      <c r="TV8">
        <v>95.825000000000003</v>
      </c>
      <c r="TW8">
        <v>95.944999999999993</v>
      </c>
      <c r="TX8">
        <v>96.16</v>
      </c>
      <c r="TY8">
        <v>96.224999999999994</v>
      </c>
      <c r="TZ8">
        <v>96.234999999999999</v>
      </c>
      <c r="UA8">
        <v>96.265000000000001</v>
      </c>
      <c r="UB8">
        <v>96.3</v>
      </c>
      <c r="UC8">
        <v>96.47</v>
      </c>
      <c r="UD8">
        <v>96.58</v>
      </c>
      <c r="UE8">
        <v>96.655000000000001</v>
      </c>
      <c r="UF8">
        <v>96.655000000000001</v>
      </c>
      <c r="UG8">
        <v>96.78</v>
      </c>
      <c r="UH8">
        <v>96.79</v>
      </c>
      <c r="UI8">
        <v>96.63</v>
      </c>
      <c r="UJ8">
        <v>96.625</v>
      </c>
      <c r="UK8">
        <v>96.72</v>
      </c>
      <c r="UL8">
        <v>96.96</v>
      </c>
      <c r="UM8">
        <v>96.68</v>
      </c>
      <c r="UN8">
        <v>96.6</v>
      </c>
      <c r="UO8">
        <v>96.4</v>
      </c>
      <c r="UP8">
        <v>96.495000000000005</v>
      </c>
      <c r="UQ8">
        <v>96.465000000000003</v>
      </c>
      <c r="UR8">
        <v>96.66</v>
      </c>
      <c r="US8">
        <v>96.694999999999993</v>
      </c>
      <c r="UT8">
        <v>96.42</v>
      </c>
      <c r="UU8">
        <v>96.355000000000004</v>
      </c>
      <c r="UV8">
        <v>96.37</v>
      </c>
      <c r="UW8">
        <v>96.22</v>
      </c>
      <c r="UX8">
        <v>96.31</v>
      </c>
      <c r="UY8">
        <v>96.325000000000003</v>
      </c>
      <c r="UZ8">
        <v>96.444999999999993</v>
      </c>
      <c r="VA8">
        <v>96.59</v>
      </c>
      <c r="VB8">
        <v>96.594999999999999</v>
      </c>
      <c r="VC8">
        <v>96.484999999999999</v>
      </c>
      <c r="VD8">
        <v>96.545000000000002</v>
      </c>
      <c r="VE8">
        <v>96.58</v>
      </c>
      <c r="VF8">
        <v>96.765000000000001</v>
      </c>
      <c r="VG8">
        <v>96.85</v>
      </c>
      <c r="VH8">
        <v>96.77</v>
      </c>
      <c r="VI8">
        <v>96.564999999999998</v>
      </c>
      <c r="VJ8">
        <v>96.435000000000002</v>
      </c>
      <c r="VK8">
        <v>96.375</v>
      </c>
      <c r="VL8">
        <v>96.41</v>
      </c>
      <c r="VM8">
        <v>96.46</v>
      </c>
      <c r="VN8">
        <v>96.58</v>
      </c>
      <c r="VO8">
        <v>96.84</v>
      </c>
      <c r="VP8">
        <v>96.825000000000003</v>
      </c>
      <c r="VQ8">
        <v>96.61</v>
      </c>
      <c r="VR8">
        <v>96.33</v>
      </c>
      <c r="VS8">
        <v>96.625</v>
      </c>
      <c r="VT8">
        <v>96.694999999999993</v>
      </c>
      <c r="VU8">
        <v>96.375</v>
      </c>
      <c r="VV8">
        <v>96.46</v>
      </c>
      <c r="VW8">
        <v>96.075000000000003</v>
      </c>
      <c r="VX8">
        <v>96.325000000000003</v>
      </c>
      <c r="VY8">
        <v>95.55</v>
      </c>
      <c r="VZ8">
        <v>95.01</v>
      </c>
      <c r="WA8">
        <v>94.805000000000007</v>
      </c>
      <c r="WB8">
        <v>94.85</v>
      </c>
      <c r="WC8">
        <v>94.99</v>
      </c>
      <c r="WD8">
        <v>95.01</v>
      </c>
      <c r="WE8">
        <v>94.965000000000003</v>
      </c>
      <c r="WF8">
        <v>94.965000000000003</v>
      </c>
      <c r="WG8">
        <v>95.07</v>
      </c>
      <c r="WH8">
        <v>95.075000000000003</v>
      </c>
      <c r="WI8">
        <v>95.08</v>
      </c>
      <c r="WJ8">
        <v>95.254999999999995</v>
      </c>
      <c r="WK8">
        <v>95.27</v>
      </c>
      <c r="WL8">
        <v>95.28</v>
      </c>
      <c r="WM8">
        <v>95.42</v>
      </c>
      <c r="WN8">
        <v>95.42</v>
      </c>
      <c r="WO8">
        <v>95.415000000000006</v>
      </c>
      <c r="WP8">
        <v>95.36</v>
      </c>
      <c r="WQ8">
        <v>95.385000000000005</v>
      </c>
      <c r="WR8">
        <v>95.58</v>
      </c>
      <c r="WS8">
        <v>95.594999999999999</v>
      </c>
      <c r="WT8">
        <v>95.64</v>
      </c>
      <c r="WU8">
        <v>95.724999999999994</v>
      </c>
      <c r="WV8">
        <v>95.72</v>
      </c>
      <c r="WW8">
        <v>95.76</v>
      </c>
      <c r="WX8">
        <v>95.954999999999998</v>
      </c>
      <c r="WY8">
        <v>96.22</v>
      </c>
      <c r="WZ8">
        <v>96.19</v>
      </c>
      <c r="XA8">
        <v>96.06</v>
      </c>
      <c r="XB8">
        <v>95.995000000000005</v>
      </c>
      <c r="XC8">
        <v>96.08</v>
      </c>
      <c r="XD8">
        <v>96.125</v>
      </c>
      <c r="XE8">
        <v>96.174999999999997</v>
      </c>
      <c r="XF8">
        <v>96.14</v>
      </c>
      <c r="XG8">
        <v>96.11</v>
      </c>
      <c r="XH8">
        <v>96.2</v>
      </c>
      <c r="XI8">
        <v>96.28</v>
      </c>
      <c r="XJ8">
        <v>96.334999999999994</v>
      </c>
      <c r="XK8">
        <v>96.19</v>
      </c>
      <c r="XL8">
        <v>96.12</v>
      </c>
      <c r="XM8">
        <v>96.12</v>
      </c>
      <c r="XN8">
        <v>96.245000000000005</v>
      </c>
      <c r="XO8">
        <v>96.155000000000001</v>
      </c>
      <c r="XP8">
        <v>96.094999999999999</v>
      </c>
      <c r="XQ8">
        <v>96.15</v>
      </c>
      <c r="XR8">
        <v>96.064999999999998</v>
      </c>
      <c r="XS8">
        <v>95.805000000000007</v>
      </c>
      <c r="XT8">
        <v>95.89</v>
      </c>
      <c r="XU8">
        <v>95.875</v>
      </c>
      <c r="XV8">
        <v>95.86</v>
      </c>
      <c r="XW8">
        <v>95.86</v>
      </c>
      <c r="XX8">
        <v>95.89</v>
      </c>
      <c r="XY8">
        <v>95.894999999999996</v>
      </c>
      <c r="XZ8">
        <v>95.9</v>
      </c>
      <c r="YA8">
        <v>96</v>
      </c>
      <c r="YB8">
        <v>96</v>
      </c>
      <c r="YC8">
        <v>96.075000000000003</v>
      </c>
      <c r="YD8">
        <v>96.125</v>
      </c>
      <c r="YE8">
        <v>95.665000000000006</v>
      </c>
      <c r="YF8">
        <v>95.68</v>
      </c>
      <c r="YG8">
        <v>95.75</v>
      </c>
      <c r="YH8">
        <v>95.685000000000002</v>
      </c>
      <c r="YI8">
        <v>95.71</v>
      </c>
      <c r="YJ8">
        <v>95.715000000000003</v>
      </c>
      <c r="YK8">
        <v>95.51</v>
      </c>
      <c r="YL8">
        <v>95.57</v>
      </c>
      <c r="YM8">
        <v>95.59</v>
      </c>
      <c r="YN8">
        <v>95.67</v>
      </c>
      <c r="YO8">
        <v>95.55</v>
      </c>
      <c r="YP8">
        <v>95.49</v>
      </c>
      <c r="YQ8">
        <v>95.65</v>
      </c>
      <c r="YR8">
        <v>95.68</v>
      </c>
      <c r="YS8">
        <v>95.58</v>
      </c>
      <c r="YT8">
        <v>95.44</v>
      </c>
      <c r="YU8">
        <v>95.444999999999993</v>
      </c>
      <c r="YV8">
        <v>95.44</v>
      </c>
      <c r="YW8">
        <v>95.444999999999993</v>
      </c>
      <c r="YX8">
        <v>95.444999999999993</v>
      </c>
      <c r="YY8">
        <v>95.435000000000002</v>
      </c>
      <c r="YZ8">
        <v>95.405000000000001</v>
      </c>
      <c r="ZA8">
        <v>95.444999999999993</v>
      </c>
      <c r="ZB8">
        <v>95.53</v>
      </c>
      <c r="ZC8">
        <v>95.665000000000006</v>
      </c>
      <c r="ZD8">
        <v>95.674999999999997</v>
      </c>
      <c r="ZE8">
        <v>95.594999999999999</v>
      </c>
      <c r="ZF8">
        <v>95.67</v>
      </c>
      <c r="ZG8">
        <v>95.69</v>
      </c>
      <c r="ZH8">
        <v>95.32</v>
      </c>
      <c r="ZI8">
        <v>95.25</v>
      </c>
      <c r="ZJ8">
        <v>95.17</v>
      </c>
      <c r="ZK8">
        <v>95.245000000000005</v>
      </c>
      <c r="ZL8">
        <v>95.17</v>
      </c>
      <c r="ZM8">
        <v>95.325000000000003</v>
      </c>
      <c r="ZN8">
        <v>95.41</v>
      </c>
      <c r="ZO8">
        <v>95.46</v>
      </c>
      <c r="ZP8">
        <v>95.555000000000007</v>
      </c>
      <c r="ZQ8">
        <v>95.694999999999993</v>
      </c>
      <c r="ZR8">
        <v>95.555000000000007</v>
      </c>
      <c r="ZS8">
        <v>95.47</v>
      </c>
      <c r="ZT8">
        <v>95.424999999999997</v>
      </c>
      <c r="ZU8">
        <v>95.41</v>
      </c>
      <c r="ZV8">
        <v>95.25</v>
      </c>
      <c r="ZW8">
        <v>95.364999999999995</v>
      </c>
      <c r="ZX8">
        <v>95.495000000000005</v>
      </c>
      <c r="ZY8">
        <v>95.465000000000003</v>
      </c>
      <c r="ZZ8">
        <v>95.405000000000001</v>
      </c>
      <c r="AAA8">
        <v>95.49</v>
      </c>
      <c r="AAB8">
        <v>95.68</v>
      </c>
      <c r="AAC8">
        <v>95.625</v>
      </c>
      <c r="AAD8">
        <v>95.58</v>
      </c>
      <c r="AAE8">
        <v>95.62</v>
      </c>
      <c r="AAF8">
        <v>95.715000000000003</v>
      </c>
      <c r="AAG8">
        <v>95.834999999999994</v>
      </c>
      <c r="AAH8">
        <v>95.93</v>
      </c>
      <c r="AAI8">
        <v>95.88</v>
      </c>
      <c r="AAJ8">
        <v>95.77</v>
      </c>
      <c r="AAK8">
        <v>95.805000000000007</v>
      </c>
      <c r="AAL8">
        <v>95.86</v>
      </c>
      <c r="AAM8">
        <v>95.594999999999999</v>
      </c>
      <c r="AAN8">
        <v>95.52</v>
      </c>
      <c r="AAO8">
        <v>95.62</v>
      </c>
      <c r="AAP8">
        <v>95.734999999999999</v>
      </c>
      <c r="AAQ8">
        <v>95.924999999999997</v>
      </c>
      <c r="AAR8">
        <v>95.795000000000002</v>
      </c>
      <c r="AAS8">
        <v>95.805000000000007</v>
      </c>
      <c r="AAT8">
        <v>95.905000000000001</v>
      </c>
      <c r="AAU8">
        <v>95.86</v>
      </c>
      <c r="AAV8">
        <v>95.98</v>
      </c>
      <c r="AAW8">
        <v>96.045000000000002</v>
      </c>
      <c r="AAX8">
        <v>96.254999999999995</v>
      </c>
      <c r="AAY8">
        <v>96.25</v>
      </c>
      <c r="AAZ8">
        <v>96.33</v>
      </c>
      <c r="ABA8">
        <v>96.37</v>
      </c>
      <c r="ABB8">
        <v>96.295000000000002</v>
      </c>
      <c r="ABC8">
        <v>96.42</v>
      </c>
      <c r="ABD8">
        <v>96.42</v>
      </c>
      <c r="ABE8">
        <v>96.265000000000001</v>
      </c>
      <c r="ABF8">
        <v>96.334999999999994</v>
      </c>
      <c r="ABG8">
        <v>96.32</v>
      </c>
      <c r="ABH8">
        <v>96.38</v>
      </c>
      <c r="ABI8">
        <v>96.44</v>
      </c>
      <c r="ABJ8">
        <v>96.474999999999994</v>
      </c>
      <c r="ABK8">
        <v>96.465000000000003</v>
      </c>
      <c r="ABL8">
        <v>96.51</v>
      </c>
      <c r="ABM8">
        <v>96.45</v>
      </c>
      <c r="ABN8">
        <v>96.58</v>
      </c>
      <c r="ABO8">
        <v>96.625</v>
      </c>
      <c r="ABP8">
        <v>96.58</v>
      </c>
      <c r="ABQ8">
        <v>96.665000000000006</v>
      </c>
      <c r="ABR8">
        <v>96.71</v>
      </c>
      <c r="ABS8">
        <v>96.644999999999996</v>
      </c>
      <c r="ABT8">
        <v>96.704999999999998</v>
      </c>
      <c r="ABU8">
        <v>96.765000000000001</v>
      </c>
      <c r="ABV8">
        <v>96.72</v>
      </c>
      <c r="ABW8">
        <v>96.805000000000007</v>
      </c>
      <c r="ABX8">
        <v>96.77</v>
      </c>
      <c r="ABY8">
        <v>97.01</v>
      </c>
      <c r="ABZ8">
        <v>96.905000000000001</v>
      </c>
      <c r="ACA8">
        <v>96.97</v>
      </c>
      <c r="ACB8">
        <v>97.185000000000002</v>
      </c>
      <c r="ACC8">
        <v>97.21</v>
      </c>
      <c r="ACD8">
        <v>97.234999999999999</v>
      </c>
      <c r="ACE8">
        <v>97.12</v>
      </c>
      <c r="ACF8">
        <v>97.064999999999998</v>
      </c>
      <c r="ACG8">
        <v>97.084999999999994</v>
      </c>
      <c r="ACH8">
        <v>97.155000000000001</v>
      </c>
      <c r="ACI8">
        <v>97</v>
      </c>
      <c r="ACJ8">
        <v>96.795000000000002</v>
      </c>
      <c r="ACK8">
        <v>96.8</v>
      </c>
      <c r="ACL8">
        <v>96.9</v>
      </c>
      <c r="ACM8">
        <v>96.92</v>
      </c>
      <c r="ACN8">
        <v>96.905000000000001</v>
      </c>
      <c r="ACO8">
        <v>96.954999999999998</v>
      </c>
      <c r="ACP8">
        <v>97</v>
      </c>
      <c r="ACQ8">
        <v>96.935000000000002</v>
      </c>
      <c r="ACR8">
        <v>96.825000000000003</v>
      </c>
      <c r="ACS8">
        <v>96.935000000000002</v>
      </c>
      <c r="ACT8">
        <v>97.045000000000002</v>
      </c>
      <c r="ACU8">
        <v>97.23</v>
      </c>
      <c r="ACV8">
        <v>97.16</v>
      </c>
      <c r="ACW8">
        <v>97.16</v>
      </c>
      <c r="ACX8">
        <v>97.015000000000001</v>
      </c>
      <c r="ACY8">
        <v>96.805000000000007</v>
      </c>
      <c r="ACZ8">
        <v>96.704999999999998</v>
      </c>
      <c r="ADA8">
        <v>96.71</v>
      </c>
      <c r="ADB8">
        <v>96.765000000000001</v>
      </c>
      <c r="ADC8">
        <v>96.795000000000002</v>
      </c>
      <c r="ADD8">
        <v>96.68</v>
      </c>
      <c r="ADE8">
        <v>96.495000000000005</v>
      </c>
      <c r="ADF8">
        <v>96.47</v>
      </c>
      <c r="ADG8">
        <v>96.47</v>
      </c>
      <c r="ADH8">
        <v>96.465000000000003</v>
      </c>
      <c r="ADI8">
        <v>96.385000000000005</v>
      </c>
      <c r="ADJ8">
        <v>96.04</v>
      </c>
      <c r="ADK8">
        <v>96.075000000000003</v>
      </c>
      <c r="ADL8">
        <v>96.37</v>
      </c>
      <c r="ADM8">
        <v>96.644999999999996</v>
      </c>
      <c r="ADN8">
        <v>96.73</v>
      </c>
      <c r="ADO8">
        <v>96.765000000000001</v>
      </c>
      <c r="ADP8">
        <v>96.74</v>
      </c>
      <c r="ADQ8">
        <v>96.814999999999998</v>
      </c>
      <c r="ADR8">
        <v>96.86</v>
      </c>
      <c r="ADS8">
        <v>96.844999999999999</v>
      </c>
      <c r="ADT8">
        <v>97.02</v>
      </c>
      <c r="ADU8">
        <v>97.09</v>
      </c>
      <c r="ADV8">
        <v>97.09</v>
      </c>
      <c r="ADW8">
        <v>97.114999999999995</v>
      </c>
      <c r="ADX8">
        <v>97.12</v>
      </c>
      <c r="ADY8">
        <v>97.105000000000004</v>
      </c>
      <c r="ADZ8">
        <v>96.94</v>
      </c>
      <c r="AEA8">
        <v>96.98</v>
      </c>
      <c r="AEB8">
        <v>96.93</v>
      </c>
      <c r="AEC8">
        <v>96.88</v>
      </c>
      <c r="AED8">
        <v>96.834999999999994</v>
      </c>
      <c r="AEE8">
        <v>97.01</v>
      </c>
      <c r="AEF8">
        <v>96.97</v>
      </c>
      <c r="AEG8">
        <v>97.055000000000007</v>
      </c>
      <c r="AEH8">
        <v>96.894999999999996</v>
      </c>
      <c r="AEI8">
        <v>96.88</v>
      </c>
      <c r="AEJ8">
        <v>96.84</v>
      </c>
      <c r="AEK8">
        <v>96.694999999999993</v>
      </c>
      <c r="AEL8">
        <v>96.665000000000006</v>
      </c>
      <c r="AEM8">
        <v>96.805000000000007</v>
      </c>
      <c r="AEN8">
        <v>96.635000000000005</v>
      </c>
      <c r="AEO8">
        <v>96.67</v>
      </c>
      <c r="AEP8">
        <v>96.72</v>
      </c>
      <c r="AEQ8">
        <v>96.79</v>
      </c>
      <c r="AER8">
        <v>96.89</v>
      </c>
      <c r="AES8">
        <v>96.92</v>
      </c>
      <c r="AET8">
        <v>96.81</v>
      </c>
      <c r="AEU8">
        <v>96.674999999999997</v>
      </c>
      <c r="AEV8">
        <v>96.665000000000006</v>
      </c>
      <c r="AEW8">
        <v>96.805000000000007</v>
      </c>
      <c r="AEX8">
        <v>96.805000000000007</v>
      </c>
      <c r="AEY8">
        <v>96.954999999999998</v>
      </c>
      <c r="AEZ8">
        <v>96.98</v>
      </c>
      <c r="AFA8">
        <v>96.98</v>
      </c>
      <c r="AFB8">
        <v>97.105000000000004</v>
      </c>
      <c r="AFC8">
        <v>97.045000000000002</v>
      </c>
      <c r="AFD8">
        <v>96.855000000000004</v>
      </c>
      <c r="AFE8">
        <v>96.82</v>
      </c>
      <c r="AFF8">
        <v>96.92</v>
      </c>
      <c r="AFG8">
        <v>96.864999999999995</v>
      </c>
      <c r="AFH8">
        <v>96.855000000000004</v>
      </c>
      <c r="AFI8">
        <v>96.95</v>
      </c>
      <c r="AFJ8">
        <v>96.944999999999993</v>
      </c>
      <c r="AFK8">
        <v>97.125</v>
      </c>
      <c r="AFL8">
        <v>97.075000000000003</v>
      </c>
      <c r="AFM8">
        <v>97.05</v>
      </c>
      <c r="AFN8">
        <v>97.034999999999997</v>
      </c>
      <c r="AFO8">
        <v>97.105000000000004</v>
      </c>
      <c r="AFP8">
        <v>97.3</v>
      </c>
      <c r="AFQ8">
        <v>97.33</v>
      </c>
      <c r="AFR8">
        <v>97.284999999999997</v>
      </c>
      <c r="AFS8">
        <v>97.29</v>
      </c>
      <c r="AFT8">
        <v>97.495000000000005</v>
      </c>
      <c r="AFU8">
        <v>97.525000000000006</v>
      </c>
      <c r="AFV8">
        <v>97.51</v>
      </c>
      <c r="AFW8">
        <v>97.85</v>
      </c>
      <c r="AFX8">
        <v>97.844999999999999</v>
      </c>
      <c r="AFY8">
        <v>97.954999999999998</v>
      </c>
      <c r="AFZ8">
        <v>98.004999999999995</v>
      </c>
      <c r="AGA8">
        <v>98.045000000000002</v>
      </c>
      <c r="AGB8">
        <v>98.125</v>
      </c>
      <c r="AGC8">
        <v>98.234999999999999</v>
      </c>
      <c r="AGD8">
        <v>98.275000000000006</v>
      </c>
      <c r="AGE8">
        <v>98.215000000000003</v>
      </c>
      <c r="AGF8">
        <v>98.245000000000005</v>
      </c>
      <c r="AGG8">
        <v>98.54</v>
      </c>
      <c r="AGH8">
        <v>98.32</v>
      </c>
      <c r="AGI8">
        <v>98.09</v>
      </c>
      <c r="AGJ8">
        <v>98.125</v>
      </c>
      <c r="AGK8">
        <v>98.075000000000003</v>
      </c>
      <c r="AGL8">
        <v>98.11</v>
      </c>
      <c r="AGM8">
        <v>98.22</v>
      </c>
      <c r="AGN8">
        <v>98.22</v>
      </c>
      <c r="AGO8">
        <v>98.19</v>
      </c>
      <c r="AGP8">
        <v>98.125</v>
      </c>
      <c r="AGQ8">
        <v>98.07</v>
      </c>
      <c r="AGR8">
        <v>98.04</v>
      </c>
      <c r="AGS8">
        <v>98.135000000000005</v>
      </c>
      <c r="AGT8">
        <v>98.07</v>
      </c>
      <c r="AGU8">
        <v>98.334999999999994</v>
      </c>
      <c r="AGV8">
        <v>98.34</v>
      </c>
      <c r="AGW8">
        <v>98.38</v>
      </c>
      <c r="AGX8">
        <v>98.35</v>
      </c>
      <c r="AGY8">
        <v>98.5</v>
      </c>
      <c r="AGZ8">
        <v>98.54</v>
      </c>
      <c r="AHA8">
        <v>98.534999999999997</v>
      </c>
      <c r="AHB8">
        <v>98.534999999999997</v>
      </c>
      <c r="AHC8">
        <v>98.525000000000006</v>
      </c>
      <c r="AHD8">
        <v>98.52</v>
      </c>
      <c r="AHE8">
        <v>98.66</v>
      </c>
      <c r="AHF8">
        <v>98.754999999999995</v>
      </c>
      <c r="AHG8">
        <v>98.8</v>
      </c>
      <c r="AHH8">
        <v>98.724999999999994</v>
      </c>
      <c r="AHI8">
        <v>98.644999999999996</v>
      </c>
      <c r="AHJ8">
        <v>98.69</v>
      </c>
      <c r="AHK8">
        <v>98.655000000000001</v>
      </c>
      <c r="AHL8">
        <v>98.74</v>
      </c>
      <c r="AHM8">
        <v>98.74</v>
      </c>
      <c r="AHN8">
        <v>98.825000000000003</v>
      </c>
      <c r="AHO8">
        <v>98.82</v>
      </c>
      <c r="AHP8">
        <v>98.825000000000003</v>
      </c>
      <c r="AHQ8">
        <v>98.81</v>
      </c>
      <c r="AHR8">
        <v>98.855000000000004</v>
      </c>
      <c r="AHS8">
        <v>98.85</v>
      </c>
      <c r="AHT8">
        <v>98.894999999999996</v>
      </c>
      <c r="AHU8">
        <v>98.974999999999994</v>
      </c>
      <c r="AHV8">
        <v>98.95</v>
      </c>
      <c r="AHW8">
        <v>99.004999999999995</v>
      </c>
      <c r="AHX8">
        <v>99</v>
      </c>
      <c r="AHY8">
        <v>98.974999999999994</v>
      </c>
      <c r="AHZ8">
        <v>98.99</v>
      </c>
      <c r="AIA8">
        <v>98.98</v>
      </c>
      <c r="AIB8">
        <v>99.004999999999995</v>
      </c>
      <c r="AIC8">
        <v>99.004999999999995</v>
      </c>
      <c r="AID8">
        <v>99.03</v>
      </c>
      <c r="AIE8">
        <v>99.03</v>
      </c>
      <c r="AIF8">
        <v>99.084999999999994</v>
      </c>
      <c r="AIG8">
        <v>99.055000000000007</v>
      </c>
      <c r="AIH8">
        <v>99.06</v>
      </c>
      <c r="AII8">
        <v>98.974999999999994</v>
      </c>
      <c r="AIJ8">
        <v>99.23</v>
      </c>
      <c r="AIK8">
        <v>99.265000000000001</v>
      </c>
      <c r="AIL8">
        <v>99.245000000000005</v>
      </c>
      <c r="AIM8">
        <v>99.215000000000003</v>
      </c>
      <c r="AIN8">
        <v>99.234999999999999</v>
      </c>
      <c r="AIO8">
        <v>99.21</v>
      </c>
      <c r="AIP8">
        <v>99.265000000000001</v>
      </c>
      <c r="AIQ8">
        <v>99.31</v>
      </c>
      <c r="AIR8">
        <v>99.265000000000001</v>
      </c>
      <c r="AIS8">
        <v>99.33</v>
      </c>
      <c r="AIT8">
        <v>99.36</v>
      </c>
      <c r="AIU8">
        <v>99.39</v>
      </c>
      <c r="AIV8">
        <v>99.39</v>
      </c>
      <c r="AIW8">
        <v>99.215000000000003</v>
      </c>
      <c r="AIX8">
        <v>99.215000000000003</v>
      </c>
      <c r="AIY8">
        <v>99.26</v>
      </c>
      <c r="AIZ8">
        <v>99.224999999999994</v>
      </c>
      <c r="AJA8">
        <v>99.32</v>
      </c>
      <c r="AJB8">
        <v>99.325000000000003</v>
      </c>
      <c r="AJC8">
        <v>99.32</v>
      </c>
      <c r="AJD8">
        <v>99.295000000000002</v>
      </c>
      <c r="AJE8">
        <v>99.295000000000002</v>
      </c>
      <c r="AJF8">
        <v>99.284999999999997</v>
      </c>
      <c r="AJG8">
        <v>99.28</v>
      </c>
      <c r="AJH8">
        <v>99.34</v>
      </c>
      <c r="AJI8">
        <v>99.47</v>
      </c>
      <c r="AJJ8">
        <v>99.43</v>
      </c>
      <c r="AJK8">
        <v>99.49</v>
      </c>
      <c r="AJL8">
        <v>99.454999999999998</v>
      </c>
      <c r="AJM8">
        <v>99.38</v>
      </c>
      <c r="AJN8">
        <v>99.41</v>
      </c>
      <c r="AJO8">
        <v>99.34</v>
      </c>
      <c r="AJP8">
        <v>99.34</v>
      </c>
      <c r="AJQ8">
        <v>99.355000000000004</v>
      </c>
      <c r="AJR8">
        <v>99.37</v>
      </c>
      <c r="AJS8">
        <v>99.405000000000001</v>
      </c>
      <c r="AJT8">
        <v>99.42</v>
      </c>
      <c r="AJU8">
        <v>99.38</v>
      </c>
      <c r="AJV8">
        <v>99.42</v>
      </c>
      <c r="AJW8">
        <v>99.5</v>
      </c>
      <c r="AJX8">
        <v>99.49</v>
      </c>
      <c r="AJY8">
        <v>99.454999999999998</v>
      </c>
      <c r="AJZ8">
        <v>99.474999999999994</v>
      </c>
      <c r="AKA8">
        <v>99.555000000000007</v>
      </c>
      <c r="AKB8">
        <v>99.534999999999997</v>
      </c>
      <c r="AKC8">
        <v>99.575000000000003</v>
      </c>
      <c r="AKD8">
        <v>99.59</v>
      </c>
      <c r="AKE8">
        <v>99.625</v>
      </c>
      <c r="AKF8">
        <v>99.644999999999996</v>
      </c>
      <c r="AKG8">
        <v>99.665000000000006</v>
      </c>
      <c r="AKH8">
        <v>99.68</v>
      </c>
      <c r="AKI8">
        <v>99.694999999999993</v>
      </c>
      <c r="AKJ8">
        <v>99.694999999999993</v>
      </c>
      <c r="AKK8">
        <v>99.67</v>
      </c>
      <c r="AKL8">
        <v>99.66</v>
      </c>
      <c r="AKM8">
        <v>99.65</v>
      </c>
      <c r="AKN8">
        <v>99.65</v>
      </c>
      <c r="AKO8">
        <v>99.66</v>
      </c>
      <c r="AKP8">
        <v>99.685000000000002</v>
      </c>
      <c r="AKQ8">
        <v>99.71</v>
      </c>
      <c r="AKR8">
        <v>99.75</v>
      </c>
      <c r="AKS8">
        <v>99.75</v>
      </c>
      <c r="AKT8">
        <v>99.734999999999999</v>
      </c>
      <c r="AKU8">
        <v>99.74</v>
      </c>
      <c r="AKV8">
        <v>99.75</v>
      </c>
      <c r="AKW8">
        <v>99.855000000000004</v>
      </c>
      <c r="AKX8">
        <v>99.85</v>
      </c>
      <c r="AKY8">
        <v>99.85</v>
      </c>
      <c r="AKZ8">
        <v>99.85</v>
      </c>
      <c r="ALA8">
        <v>99.85</v>
      </c>
      <c r="ALB8">
        <v>99.85</v>
      </c>
      <c r="ALC8">
        <v>99.86</v>
      </c>
      <c r="ALD8">
        <v>99.86</v>
      </c>
      <c r="ALE8">
        <v>99.855000000000004</v>
      </c>
      <c r="ALF8">
        <v>99.85</v>
      </c>
      <c r="ALG8">
        <v>99.855000000000004</v>
      </c>
      <c r="ALH8">
        <v>99.85</v>
      </c>
      <c r="ALI8">
        <v>99.844999999999999</v>
      </c>
      <c r="ALJ8">
        <v>99.825000000000003</v>
      </c>
      <c r="ALK8">
        <v>99.82</v>
      </c>
      <c r="ALL8">
        <v>99.82</v>
      </c>
      <c r="ALM8">
        <v>99.82</v>
      </c>
      <c r="ALN8">
        <v>99.82</v>
      </c>
      <c r="ALO8">
        <v>99.82</v>
      </c>
      <c r="ALP8">
        <v>99.82</v>
      </c>
      <c r="ALQ8">
        <v>99.82</v>
      </c>
      <c r="ALR8">
        <v>99.82</v>
      </c>
      <c r="ALS8">
        <v>99.814999999999998</v>
      </c>
      <c r="ALT8">
        <v>99.805000000000007</v>
      </c>
      <c r="ALU8">
        <v>99.814999999999998</v>
      </c>
      <c r="ALV8">
        <v>99.8</v>
      </c>
      <c r="ALW8">
        <v>99.82</v>
      </c>
      <c r="ALX8">
        <v>99.825000000000003</v>
      </c>
      <c r="ALY8">
        <v>99.834999999999994</v>
      </c>
      <c r="ALZ8">
        <v>99.86</v>
      </c>
      <c r="AMA8">
        <v>99.87</v>
      </c>
      <c r="AMB8">
        <v>99.864999999999995</v>
      </c>
      <c r="AMC8">
        <v>99.85</v>
      </c>
      <c r="AMD8">
        <v>99.84</v>
      </c>
      <c r="AME8">
        <v>99.825000000000003</v>
      </c>
      <c r="AMF8">
        <v>99.834999999999994</v>
      </c>
      <c r="AMG8">
        <v>99.825000000000003</v>
      </c>
      <c r="AMH8">
        <v>99.82</v>
      </c>
      <c r="AMI8">
        <v>99.825000000000003</v>
      </c>
      <c r="AMJ8">
        <v>99.82</v>
      </c>
      <c r="AMK8">
        <v>99.84</v>
      </c>
      <c r="AML8">
        <v>99.814999999999998</v>
      </c>
      <c r="AMM8">
        <v>99.79</v>
      </c>
      <c r="AMN8">
        <v>99.795000000000002</v>
      </c>
      <c r="AMO8">
        <v>99.784999999999997</v>
      </c>
      <c r="AMP8">
        <v>99.754999999999995</v>
      </c>
      <c r="AMQ8">
        <v>99.795000000000002</v>
      </c>
      <c r="AMR8">
        <v>99.81</v>
      </c>
      <c r="AMS8">
        <v>99.83</v>
      </c>
      <c r="AMT8">
        <v>99.805000000000007</v>
      </c>
      <c r="AMU8">
        <v>99.8</v>
      </c>
      <c r="AMV8">
        <v>99.78</v>
      </c>
      <c r="AMW8">
        <v>99.78</v>
      </c>
      <c r="AMX8">
        <v>99.75</v>
      </c>
      <c r="AMY8">
        <v>99.76</v>
      </c>
      <c r="AMZ8">
        <v>99.754999999999995</v>
      </c>
      <c r="ANA8">
        <v>99.76</v>
      </c>
      <c r="ANB8">
        <v>99.745000000000005</v>
      </c>
      <c r="ANC8">
        <v>99.745000000000005</v>
      </c>
      <c r="AND8">
        <v>99.754999999999995</v>
      </c>
      <c r="ANE8">
        <v>99.775000000000006</v>
      </c>
      <c r="ANF8">
        <v>99.754999999999995</v>
      </c>
      <c r="ANG8">
        <v>99.745000000000005</v>
      </c>
      <c r="ANH8">
        <v>99.795000000000002</v>
      </c>
      <c r="ANI8">
        <v>99.814999999999998</v>
      </c>
      <c r="ANJ8">
        <v>99.91</v>
      </c>
      <c r="ANK8">
        <v>99.91</v>
      </c>
      <c r="ANL8">
        <v>99.915000000000006</v>
      </c>
      <c r="ANM8">
        <v>99.92</v>
      </c>
      <c r="ANN8">
        <v>99.92</v>
      </c>
      <c r="ANO8">
        <v>99.92</v>
      </c>
      <c r="ANP8">
        <v>99.92</v>
      </c>
      <c r="ANQ8">
        <v>99.924999999999997</v>
      </c>
      <c r="ANR8">
        <v>99.92</v>
      </c>
      <c r="ANS8">
        <v>99.92</v>
      </c>
      <c r="ANT8">
        <v>99.92</v>
      </c>
      <c r="ANU8">
        <v>99.92</v>
      </c>
      <c r="ANV8">
        <v>99.92</v>
      </c>
      <c r="ANW8">
        <v>99.92</v>
      </c>
      <c r="ANX8">
        <v>99.915000000000006</v>
      </c>
      <c r="ANY8">
        <v>99.915000000000006</v>
      </c>
      <c r="ANZ8">
        <v>99.905000000000001</v>
      </c>
      <c r="AOA8">
        <v>99.9</v>
      </c>
      <c r="AOB8">
        <v>99.9</v>
      </c>
      <c r="AOC8">
        <v>99.894999999999996</v>
      </c>
      <c r="AOD8">
        <v>99.9</v>
      </c>
      <c r="AOE8">
        <v>99.9</v>
      </c>
      <c r="AOF8">
        <v>99.9</v>
      </c>
      <c r="AOG8">
        <v>99.9</v>
      </c>
      <c r="AOH8">
        <v>99.89</v>
      </c>
      <c r="AOI8">
        <v>99.9</v>
      </c>
      <c r="AOJ8">
        <v>99.905000000000001</v>
      </c>
      <c r="AOK8">
        <v>99.91</v>
      </c>
      <c r="AOL8">
        <v>99.905000000000001</v>
      </c>
      <c r="AOM8">
        <v>99.894999999999996</v>
      </c>
      <c r="AON8">
        <v>99.89</v>
      </c>
      <c r="AOO8">
        <v>99.89</v>
      </c>
      <c r="AOP8">
        <v>99.885000000000005</v>
      </c>
      <c r="AOQ8">
        <v>99.885000000000005</v>
      </c>
      <c r="AOR8">
        <v>99.88</v>
      </c>
      <c r="AOS8">
        <v>99.88</v>
      </c>
      <c r="AOT8">
        <v>99.88</v>
      </c>
      <c r="AOU8">
        <v>99.885000000000005</v>
      </c>
      <c r="AOV8">
        <v>99.885000000000005</v>
      </c>
      <c r="AOW8">
        <v>99.89</v>
      </c>
      <c r="AOX8">
        <v>99.89</v>
      </c>
      <c r="AOY8">
        <v>99.885000000000005</v>
      </c>
      <c r="AOZ8">
        <v>99.885000000000005</v>
      </c>
      <c r="APA8">
        <v>99.89</v>
      </c>
      <c r="APB8">
        <v>99.885000000000005</v>
      </c>
      <c r="APC8">
        <v>99.89</v>
      </c>
      <c r="APD8">
        <v>99.875</v>
      </c>
      <c r="APE8">
        <v>99.88</v>
      </c>
      <c r="APF8">
        <v>99.885000000000005</v>
      </c>
      <c r="APG8">
        <v>99.88</v>
      </c>
      <c r="APH8">
        <v>99.875</v>
      </c>
      <c r="API8">
        <v>99.86</v>
      </c>
      <c r="APJ8">
        <v>99.84</v>
      </c>
      <c r="APK8">
        <v>99.87</v>
      </c>
      <c r="APL8">
        <v>99.87</v>
      </c>
      <c r="APM8">
        <v>99.88</v>
      </c>
      <c r="APN8">
        <v>99.89</v>
      </c>
      <c r="APO8">
        <v>99.894999999999996</v>
      </c>
      <c r="APP8">
        <v>99.894999999999996</v>
      </c>
      <c r="APQ8">
        <v>99.89</v>
      </c>
      <c r="APR8">
        <v>99.89</v>
      </c>
      <c r="APS8">
        <v>99.89</v>
      </c>
      <c r="APT8">
        <v>99.885000000000005</v>
      </c>
      <c r="APU8">
        <v>99.88</v>
      </c>
      <c r="APV8">
        <v>99.894999999999996</v>
      </c>
      <c r="APW8">
        <v>99.915000000000006</v>
      </c>
      <c r="APX8">
        <v>99.915000000000006</v>
      </c>
      <c r="APY8">
        <v>99.915000000000006</v>
      </c>
      <c r="APZ8">
        <v>99.92</v>
      </c>
      <c r="AQA8">
        <v>99.92</v>
      </c>
      <c r="AQB8">
        <v>99.924999999999997</v>
      </c>
      <c r="AQC8">
        <v>99.92</v>
      </c>
      <c r="AQD8">
        <v>99.93</v>
      </c>
      <c r="AQE8">
        <v>99.92</v>
      </c>
      <c r="AQF8">
        <v>99.92</v>
      </c>
      <c r="AQG8">
        <v>99.924999999999997</v>
      </c>
      <c r="AQH8">
        <v>99.93</v>
      </c>
      <c r="AQI8">
        <v>99.92</v>
      </c>
      <c r="AQJ8">
        <v>99.915000000000006</v>
      </c>
      <c r="AQK8">
        <v>99.924999999999997</v>
      </c>
      <c r="AQL8">
        <v>99.924999999999997</v>
      </c>
      <c r="AQM8">
        <v>99.93</v>
      </c>
      <c r="AQN8">
        <v>99.93</v>
      </c>
      <c r="AQO8">
        <v>99.93</v>
      </c>
      <c r="AQP8">
        <v>99.93</v>
      </c>
      <c r="AQQ8">
        <v>99.924999999999997</v>
      </c>
      <c r="AQR8">
        <v>99.935000000000002</v>
      </c>
      <c r="AQS8">
        <v>99.935000000000002</v>
      </c>
      <c r="AQT8">
        <v>99.935000000000002</v>
      </c>
      <c r="AQU8">
        <v>99.935000000000002</v>
      </c>
      <c r="AQV8">
        <v>99.935000000000002</v>
      </c>
      <c r="AQW8">
        <v>99.935000000000002</v>
      </c>
      <c r="AQX8">
        <v>99.94</v>
      </c>
      <c r="AQY8">
        <v>99.94</v>
      </c>
      <c r="AQZ8">
        <v>99.935000000000002</v>
      </c>
      <c r="ARA8">
        <v>99.935000000000002</v>
      </c>
      <c r="ARB8">
        <v>99.94</v>
      </c>
      <c r="ARC8">
        <v>99.94</v>
      </c>
      <c r="ARD8">
        <v>99.935000000000002</v>
      </c>
      <c r="ARE8">
        <v>99.935000000000002</v>
      </c>
      <c r="ARF8">
        <v>99.935000000000002</v>
      </c>
      <c r="ARG8">
        <v>99.935000000000002</v>
      </c>
      <c r="ARH8">
        <v>99.935000000000002</v>
      </c>
      <c r="ARI8">
        <v>99.935000000000002</v>
      </c>
      <c r="ARJ8">
        <v>99.93</v>
      </c>
      <c r="ARK8">
        <v>99.93</v>
      </c>
      <c r="ARL8">
        <v>99.93</v>
      </c>
      <c r="ARM8">
        <v>99.93</v>
      </c>
      <c r="ARN8">
        <v>99.924999999999997</v>
      </c>
      <c r="ARO8">
        <v>99.915000000000006</v>
      </c>
      <c r="ARP8">
        <v>99.91</v>
      </c>
      <c r="ARQ8">
        <v>99.915000000000006</v>
      </c>
      <c r="ARR8">
        <v>99.92</v>
      </c>
      <c r="ARS8">
        <v>99.915000000000006</v>
      </c>
      <c r="ART8">
        <v>99.924999999999997</v>
      </c>
      <c r="ARU8">
        <v>99.935000000000002</v>
      </c>
      <c r="ARV8">
        <v>99.94</v>
      </c>
      <c r="ARW8">
        <v>99.935000000000002</v>
      </c>
      <c r="ARX8">
        <v>99.935000000000002</v>
      </c>
      <c r="ARY8">
        <v>99.924999999999997</v>
      </c>
      <c r="ARZ8">
        <v>99.924999999999997</v>
      </c>
      <c r="ASA8">
        <v>99.924999999999997</v>
      </c>
      <c r="ASB8">
        <v>99.93</v>
      </c>
      <c r="ASC8">
        <v>99.93</v>
      </c>
      <c r="ASD8">
        <v>99.93</v>
      </c>
      <c r="ASE8">
        <v>99.93</v>
      </c>
      <c r="ASF8">
        <v>99.93</v>
      </c>
      <c r="ASG8">
        <v>99.93</v>
      </c>
      <c r="ASH8">
        <v>99.93</v>
      </c>
      <c r="ASI8">
        <v>99.935000000000002</v>
      </c>
      <c r="ASJ8">
        <v>99.94</v>
      </c>
      <c r="ASK8">
        <v>99.935000000000002</v>
      </c>
      <c r="ASL8">
        <v>99.935000000000002</v>
      </c>
      <c r="ASM8">
        <v>99.93</v>
      </c>
      <c r="ASN8">
        <v>99.924999999999997</v>
      </c>
      <c r="ASO8">
        <v>99.92</v>
      </c>
      <c r="ASP8">
        <v>99.92</v>
      </c>
      <c r="ASQ8">
        <v>99.92</v>
      </c>
      <c r="ASR8">
        <v>99.915000000000006</v>
      </c>
      <c r="ASS8">
        <v>99.92</v>
      </c>
      <c r="AST8">
        <v>99.92</v>
      </c>
      <c r="ASU8">
        <v>99.924999999999997</v>
      </c>
      <c r="ASV8">
        <v>99.93</v>
      </c>
      <c r="ASW8">
        <v>99.924999999999997</v>
      </c>
      <c r="ASX8">
        <v>99.924999999999997</v>
      </c>
      <c r="ASY8">
        <v>99.93</v>
      </c>
      <c r="ASZ8">
        <v>99.93</v>
      </c>
      <c r="ATA8">
        <v>99.935000000000002</v>
      </c>
      <c r="ATB8">
        <v>99.924999999999997</v>
      </c>
      <c r="ATC8">
        <v>99.915000000000006</v>
      </c>
      <c r="ATD8">
        <v>99.915000000000006</v>
      </c>
      <c r="ATE8">
        <v>99.915000000000006</v>
      </c>
      <c r="ATF8">
        <v>99.915000000000006</v>
      </c>
      <c r="ATG8">
        <v>99.92</v>
      </c>
      <c r="ATH8">
        <v>99.915000000000006</v>
      </c>
      <c r="ATI8">
        <v>99.92</v>
      </c>
      <c r="ATJ8">
        <v>99.92</v>
      </c>
      <c r="ATK8">
        <v>99.944999999999993</v>
      </c>
      <c r="ATL8">
        <v>99.95</v>
      </c>
      <c r="ATM8">
        <v>99.954999999999998</v>
      </c>
      <c r="ATN8">
        <v>99.94</v>
      </c>
      <c r="ATO8">
        <v>99.944999999999993</v>
      </c>
      <c r="ATP8">
        <v>99.95</v>
      </c>
      <c r="ATQ8">
        <v>99.95</v>
      </c>
      <c r="ATR8">
        <v>99.95</v>
      </c>
      <c r="ATS8">
        <v>99.95</v>
      </c>
      <c r="ATT8">
        <v>99.95</v>
      </c>
      <c r="ATU8">
        <v>99.944999999999993</v>
      </c>
      <c r="ATV8">
        <v>99.94</v>
      </c>
      <c r="ATW8">
        <v>99.944999999999993</v>
      </c>
      <c r="ATX8">
        <v>99.944999999999993</v>
      </c>
      <c r="ATY8">
        <v>99.95</v>
      </c>
      <c r="ATZ8">
        <v>99.95</v>
      </c>
      <c r="AUA8">
        <v>99.944999999999993</v>
      </c>
      <c r="AUB8">
        <v>99.954999999999998</v>
      </c>
      <c r="AUC8">
        <v>99.954999999999998</v>
      </c>
      <c r="AUD8">
        <v>99.944999999999993</v>
      </c>
      <c r="AUE8">
        <v>99.944999999999993</v>
      </c>
      <c r="AUF8">
        <v>99.954999999999998</v>
      </c>
      <c r="AUG8">
        <v>99.95</v>
      </c>
      <c r="AUH8">
        <v>99.96</v>
      </c>
      <c r="AUI8">
        <v>99.96</v>
      </c>
      <c r="AUJ8">
        <v>99.97</v>
      </c>
      <c r="AUK8">
        <v>99.97</v>
      </c>
      <c r="AUL8">
        <v>99.98</v>
      </c>
      <c r="AUM8">
        <v>99.98</v>
      </c>
      <c r="AUN8">
        <v>99.98</v>
      </c>
      <c r="AUO8">
        <v>99.98</v>
      </c>
      <c r="AUP8">
        <v>99.98</v>
      </c>
      <c r="AUQ8">
        <v>99.974999999999994</v>
      </c>
      <c r="AUR8">
        <v>99.974999999999994</v>
      </c>
      <c r="AUS8">
        <v>99.97</v>
      </c>
      <c r="AUT8">
        <v>99.965000000000003</v>
      </c>
      <c r="AUU8">
        <v>99.98</v>
      </c>
      <c r="AUV8">
        <v>99.974999999999994</v>
      </c>
      <c r="AUW8">
        <v>99.97</v>
      </c>
      <c r="AUX8">
        <v>99.97</v>
      </c>
      <c r="AUY8">
        <v>99.974999999999994</v>
      </c>
      <c r="AUZ8">
        <v>99.96</v>
      </c>
      <c r="AVA8">
        <v>99.954999999999998</v>
      </c>
      <c r="AVB8">
        <v>99.96</v>
      </c>
      <c r="AVC8">
        <v>99.96</v>
      </c>
      <c r="AVD8">
        <v>99.96</v>
      </c>
      <c r="AVE8">
        <v>99.974999999999994</v>
      </c>
      <c r="AVF8">
        <v>99.965000000000003</v>
      </c>
      <c r="AVG8">
        <v>99.974999999999994</v>
      </c>
      <c r="AVH8">
        <v>99.974999999999994</v>
      </c>
      <c r="AVI8">
        <v>99.974999999999994</v>
      </c>
      <c r="AVJ8">
        <v>99.96</v>
      </c>
      <c r="AVK8">
        <v>99.965000000000003</v>
      </c>
      <c r="AVL8">
        <v>99.97</v>
      </c>
      <c r="AVM8">
        <v>99.98</v>
      </c>
      <c r="AVN8">
        <v>99.98</v>
      </c>
      <c r="AVO8">
        <v>99.98</v>
      </c>
      <c r="AVP8">
        <v>99.98</v>
      </c>
      <c r="AVQ8">
        <v>99.974999999999994</v>
      </c>
      <c r="AVR8">
        <v>99.97</v>
      </c>
      <c r="AVS8">
        <v>99.965000000000003</v>
      </c>
      <c r="AVT8">
        <v>99.965000000000003</v>
      </c>
      <c r="AVU8">
        <v>99.97</v>
      </c>
      <c r="AVV8">
        <v>99.97</v>
      </c>
      <c r="AVW8">
        <v>99.99</v>
      </c>
      <c r="AVX8">
        <v>99.995000000000005</v>
      </c>
      <c r="AVY8">
        <v>100.01</v>
      </c>
      <c r="AVZ8">
        <v>100.01</v>
      </c>
      <c r="AWA8">
        <v>100.02</v>
      </c>
      <c r="AWB8">
        <v>100.02</v>
      </c>
      <c r="AWC8">
        <v>100.02500000000001</v>
      </c>
      <c r="AWD8">
        <v>100.02500000000001</v>
      </c>
      <c r="AWE8">
        <v>100.02</v>
      </c>
      <c r="AWF8">
        <v>100.01</v>
      </c>
      <c r="AWG8">
        <v>100.01</v>
      </c>
      <c r="AWH8">
        <v>100.02</v>
      </c>
      <c r="AWI8">
        <v>100.02500000000001</v>
      </c>
      <c r="AWJ8">
        <v>100.02500000000001</v>
      </c>
      <c r="AWK8">
        <v>100.02</v>
      </c>
      <c r="AWL8">
        <v>100.015</v>
      </c>
      <c r="AWM8">
        <v>100.015</v>
      </c>
      <c r="AWN8">
        <v>100.02</v>
      </c>
      <c r="AWO8">
        <v>100.02</v>
      </c>
      <c r="AWP8">
        <v>100.02500000000001</v>
      </c>
      <c r="AWQ8">
        <v>100.02500000000001</v>
      </c>
      <c r="AWR8">
        <v>100.03</v>
      </c>
      <c r="AWS8">
        <v>100.03</v>
      </c>
      <c r="AWT8">
        <v>100.02500000000001</v>
      </c>
      <c r="AWU8">
        <v>100.02500000000001</v>
      </c>
      <c r="AWV8">
        <v>100.02500000000001</v>
      </c>
      <c r="AWW8">
        <v>100.02500000000001</v>
      </c>
      <c r="AWX8">
        <v>100.02500000000001</v>
      </c>
      <c r="AWY8">
        <v>100.02</v>
      </c>
      <c r="AWZ8">
        <v>100.03</v>
      </c>
      <c r="AXA8">
        <v>100.02500000000001</v>
      </c>
      <c r="AXB8">
        <v>100.015</v>
      </c>
      <c r="AXC8">
        <v>100</v>
      </c>
      <c r="AXD8">
        <v>100.005</v>
      </c>
      <c r="AXE8">
        <v>100.005</v>
      </c>
      <c r="AXF8">
        <v>100</v>
      </c>
      <c r="AXG8">
        <v>99.995000000000005</v>
      </c>
      <c r="AXH8">
        <v>99.984999999999999</v>
      </c>
      <c r="AXI8">
        <v>99.98</v>
      </c>
      <c r="AXJ8">
        <v>99.965000000000003</v>
      </c>
      <c r="AXK8">
        <v>99.974999999999994</v>
      </c>
      <c r="AXL8">
        <v>99.97</v>
      </c>
      <c r="AXM8">
        <v>99.99</v>
      </c>
      <c r="AXN8">
        <v>99.974999999999994</v>
      </c>
      <c r="AXO8">
        <v>99.954999999999998</v>
      </c>
      <c r="AXP8">
        <v>99.94</v>
      </c>
      <c r="AXQ8">
        <v>99.944999999999993</v>
      </c>
      <c r="AXR8">
        <v>99.965000000000003</v>
      </c>
      <c r="AXS8">
        <v>99.974999999999994</v>
      </c>
      <c r="AXT8">
        <v>100</v>
      </c>
      <c r="AXU8">
        <v>100</v>
      </c>
      <c r="AXV8">
        <v>99.99</v>
      </c>
      <c r="AXW8">
        <v>99.984999999999999</v>
      </c>
      <c r="AXX8">
        <v>99.984999999999999</v>
      </c>
      <c r="AXY8">
        <v>99.99</v>
      </c>
      <c r="AXZ8">
        <v>99.995000000000005</v>
      </c>
      <c r="AYA8">
        <v>99.995000000000005</v>
      </c>
      <c r="AYB8">
        <v>99.995000000000005</v>
      </c>
      <c r="AYC8">
        <v>99.995000000000005</v>
      </c>
      <c r="AYD8">
        <v>99.99</v>
      </c>
      <c r="AYE8">
        <v>99.99</v>
      </c>
      <c r="AYF8">
        <v>100.01</v>
      </c>
      <c r="AYG8">
        <v>100.005</v>
      </c>
      <c r="AYH8">
        <v>100</v>
      </c>
      <c r="AYI8">
        <v>99.995000000000005</v>
      </c>
      <c r="AYJ8">
        <v>99.99</v>
      </c>
      <c r="AYK8">
        <v>100.01</v>
      </c>
      <c r="AYL8">
        <v>100.02500000000001</v>
      </c>
      <c r="AYM8">
        <v>99.97</v>
      </c>
      <c r="AYN8">
        <v>99.95</v>
      </c>
      <c r="AYO8">
        <v>99.95</v>
      </c>
      <c r="AYP8">
        <v>99.94</v>
      </c>
      <c r="AYQ8">
        <v>99.944999999999993</v>
      </c>
      <c r="AYR8">
        <v>99.94</v>
      </c>
      <c r="AYS8">
        <v>99.93</v>
      </c>
      <c r="AYT8">
        <v>99.93</v>
      </c>
      <c r="AYU8">
        <v>99.93</v>
      </c>
      <c r="AYV8">
        <v>99.93</v>
      </c>
      <c r="AYW8">
        <v>99.92</v>
      </c>
      <c r="AYX8">
        <v>99.924999999999997</v>
      </c>
      <c r="AYY8">
        <v>99.915000000000006</v>
      </c>
      <c r="AYZ8">
        <v>99.91</v>
      </c>
      <c r="AZA8">
        <v>99.9</v>
      </c>
      <c r="AZB8">
        <v>99.9</v>
      </c>
      <c r="AZC8">
        <v>99.885000000000005</v>
      </c>
      <c r="AZD8">
        <v>99.885000000000005</v>
      </c>
      <c r="AZE8">
        <v>99.894999999999996</v>
      </c>
      <c r="AZF8">
        <v>99.894999999999996</v>
      </c>
      <c r="AZG8">
        <v>99.875</v>
      </c>
      <c r="AZH8">
        <v>99.87</v>
      </c>
      <c r="AZI8">
        <v>99.894999999999996</v>
      </c>
      <c r="AZJ8">
        <v>99.92</v>
      </c>
      <c r="AZK8">
        <v>99.92</v>
      </c>
      <c r="AZL8">
        <v>99.91</v>
      </c>
      <c r="AZM8">
        <v>99.9</v>
      </c>
      <c r="AZN8">
        <v>99.9</v>
      </c>
      <c r="AZO8">
        <v>99.9</v>
      </c>
      <c r="AZP8">
        <v>99.89</v>
      </c>
      <c r="AZQ8">
        <v>99.855000000000004</v>
      </c>
      <c r="AZR8">
        <v>99.84</v>
      </c>
      <c r="AZS8">
        <v>99.875</v>
      </c>
      <c r="AZT8">
        <v>99.834999999999994</v>
      </c>
      <c r="AZU8">
        <v>99.78</v>
      </c>
      <c r="AZV8">
        <v>99.75</v>
      </c>
      <c r="AZW8">
        <v>99.79</v>
      </c>
      <c r="AZX8">
        <v>99.84</v>
      </c>
      <c r="AZY8">
        <v>99.825000000000003</v>
      </c>
      <c r="AZZ8">
        <v>99.805000000000007</v>
      </c>
      <c r="BAA8">
        <v>99.76</v>
      </c>
      <c r="BAB8">
        <v>99.724999999999994</v>
      </c>
      <c r="BAC8">
        <v>99.82</v>
      </c>
      <c r="BAD8">
        <v>99.74</v>
      </c>
      <c r="BAE8">
        <v>99.66</v>
      </c>
      <c r="BAF8">
        <v>99.594999999999999</v>
      </c>
      <c r="BAG8">
        <v>99.515000000000001</v>
      </c>
      <c r="BAH8">
        <v>99.424999999999997</v>
      </c>
      <c r="BAI8">
        <v>99.415000000000006</v>
      </c>
      <c r="BAJ8">
        <v>99.2</v>
      </c>
      <c r="BAK8">
        <v>99.125</v>
      </c>
      <c r="BAL8">
        <v>99.08</v>
      </c>
      <c r="BAM8">
        <v>99.03</v>
      </c>
      <c r="BAN8">
        <v>98.94</v>
      </c>
      <c r="BAO8">
        <v>98.88</v>
      </c>
      <c r="BAP8">
        <v>98.84</v>
      </c>
      <c r="BAQ8">
        <v>98.864999999999995</v>
      </c>
      <c r="BAR8">
        <v>98.834999999999994</v>
      </c>
      <c r="BAS8">
        <v>98.834999999999994</v>
      </c>
      <c r="BAT8">
        <v>98.805000000000007</v>
      </c>
      <c r="BAU8">
        <v>98.8</v>
      </c>
      <c r="BAV8">
        <v>98.83</v>
      </c>
      <c r="BAW8">
        <v>98.864999999999995</v>
      </c>
      <c r="BAX8">
        <v>98.83</v>
      </c>
      <c r="BAY8">
        <v>98.784999999999997</v>
      </c>
      <c r="BAZ8">
        <v>98.8</v>
      </c>
      <c r="BBA8">
        <v>98.834999999999994</v>
      </c>
      <c r="BBB8">
        <v>98.92</v>
      </c>
      <c r="BBC8">
        <v>98.95</v>
      </c>
      <c r="BBD8">
        <v>98.894999999999996</v>
      </c>
      <c r="BBE8">
        <v>98.855000000000004</v>
      </c>
      <c r="BBF8">
        <v>98.81</v>
      </c>
      <c r="BBG8">
        <v>98.844999999999999</v>
      </c>
      <c r="BBH8">
        <v>98.775000000000006</v>
      </c>
      <c r="BBI8">
        <v>98.724999999999994</v>
      </c>
      <c r="BBJ8">
        <v>98.71</v>
      </c>
      <c r="BBK8">
        <v>98.7</v>
      </c>
      <c r="BBL8">
        <v>98.65</v>
      </c>
      <c r="BBM8">
        <v>98.65</v>
      </c>
      <c r="BBN8">
        <v>98.665000000000006</v>
      </c>
      <c r="BBO8">
        <v>98.665000000000006</v>
      </c>
      <c r="BBP8">
        <v>98.66</v>
      </c>
      <c r="BBQ8">
        <v>98.655000000000001</v>
      </c>
      <c r="BBR8">
        <v>98.66</v>
      </c>
      <c r="BBS8">
        <v>98.655000000000001</v>
      </c>
      <c r="BBT8">
        <v>98.65</v>
      </c>
      <c r="BBU8">
        <v>98.694999999999993</v>
      </c>
      <c r="BBV8">
        <v>98.694999999999993</v>
      </c>
      <c r="BBW8">
        <v>98.7</v>
      </c>
      <c r="BBX8">
        <v>98.63</v>
      </c>
      <c r="BBY8">
        <v>98.625</v>
      </c>
      <c r="BBZ8">
        <v>98.625</v>
      </c>
      <c r="BCA8">
        <v>98.63</v>
      </c>
      <c r="BCB8">
        <v>98.63</v>
      </c>
      <c r="BCC8">
        <v>98.6</v>
      </c>
      <c r="BCD8">
        <v>98.6</v>
      </c>
      <c r="BCE8">
        <v>98.6</v>
      </c>
      <c r="BCF8">
        <v>98.584999999999994</v>
      </c>
      <c r="BCG8">
        <v>98.62</v>
      </c>
      <c r="BCH8">
        <v>98.635000000000005</v>
      </c>
      <c r="BCI8">
        <v>98.61</v>
      </c>
      <c r="BCJ8">
        <v>98.614999999999995</v>
      </c>
      <c r="BCK8">
        <v>98.614999999999995</v>
      </c>
      <c r="BCL8">
        <v>98.67</v>
      </c>
      <c r="BCM8">
        <v>98.61</v>
      </c>
      <c r="BCN8">
        <v>98.67</v>
      </c>
      <c r="BCO8">
        <v>98.64</v>
      </c>
      <c r="BCP8">
        <v>98.665000000000006</v>
      </c>
      <c r="BCQ8">
        <v>98.67</v>
      </c>
      <c r="BCR8">
        <v>98.71</v>
      </c>
      <c r="BCS8">
        <v>98.715000000000003</v>
      </c>
      <c r="BCT8">
        <v>98.78</v>
      </c>
      <c r="BCU8">
        <v>98.674999999999997</v>
      </c>
      <c r="BCV8">
        <v>98.694999999999993</v>
      </c>
      <c r="BCW8">
        <v>98.68</v>
      </c>
      <c r="BCX8">
        <v>98.68</v>
      </c>
      <c r="BCY8">
        <v>98.715000000000003</v>
      </c>
      <c r="BCZ8">
        <v>98.71</v>
      </c>
      <c r="BDA8">
        <v>98.704999999999998</v>
      </c>
      <c r="BDB8">
        <v>98.734999999999999</v>
      </c>
      <c r="BDC8">
        <v>98.765000000000001</v>
      </c>
      <c r="BDD8">
        <v>98.734999999999999</v>
      </c>
      <c r="BDE8">
        <v>98.72</v>
      </c>
      <c r="BDF8">
        <v>98.7</v>
      </c>
      <c r="BDG8">
        <v>98.71</v>
      </c>
      <c r="BDH8">
        <v>98.665000000000006</v>
      </c>
      <c r="BDI8">
        <v>98.63</v>
      </c>
      <c r="BDJ8">
        <v>98.6</v>
      </c>
      <c r="BDK8">
        <v>98.61</v>
      </c>
      <c r="BDL8">
        <v>98.594999999999999</v>
      </c>
      <c r="BDM8">
        <v>98.68</v>
      </c>
      <c r="BDN8">
        <v>98.65</v>
      </c>
      <c r="BDO8">
        <v>98.69</v>
      </c>
      <c r="BDP8">
        <v>98.734999999999999</v>
      </c>
      <c r="BDQ8">
        <v>98.805000000000007</v>
      </c>
      <c r="BDR8">
        <v>98.685000000000002</v>
      </c>
      <c r="BDS8">
        <v>98.67</v>
      </c>
      <c r="BDT8">
        <v>98.674999999999997</v>
      </c>
      <c r="BDU8">
        <v>98.7</v>
      </c>
      <c r="BDV8">
        <v>98.754999999999995</v>
      </c>
      <c r="BDW8">
        <v>98.76</v>
      </c>
      <c r="BDX8">
        <v>98.74</v>
      </c>
      <c r="BDY8">
        <v>98.715000000000003</v>
      </c>
      <c r="BDZ8">
        <v>98.74</v>
      </c>
      <c r="BEA8">
        <v>98.71</v>
      </c>
      <c r="BEB8">
        <v>98.734999999999999</v>
      </c>
      <c r="BEC8">
        <v>98.69</v>
      </c>
      <c r="BED8">
        <v>98.724999999999994</v>
      </c>
      <c r="BEE8">
        <v>98.704999999999998</v>
      </c>
      <c r="BEF8">
        <v>98.83</v>
      </c>
      <c r="BEG8">
        <v>98.894999999999996</v>
      </c>
      <c r="BEH8">
        <v>98.965000000000003</v>
      </c>
      <c r="BEI8">
        <v>98.915000000000006</v>
      </c>
      <c r="BEJ8">
        <v>98.984999999999999</v>
      </c>
      <c r="BEK8">
        <v>98.995000000000005</v>
      </c>
      <c r="BEL8">
        <v>98.885000000000005</v>
      </c>
      <c r="BEM8">
        <v>98.81</v>
      </c>
      <c r="BEN8">
        <v>98.74</v>
      </c>
      <c r="BEO8">
        <v>98.75</v>
      </c>
      <c r="BEP8">
        <v>98.74</v>
      </c>
      <c r="BEQ8">
        <v>98.73</v>
      </c>
      <c r="BER8">
        <v>98.82</v>
      </c>
      <c r="BES8">
        <v>98.724999999999994</v>
      </c>
      <c r="BET8">
        <v>98.69</v>
      </c>
      <c r="BEU8">
        <v>98.7</v>
      </c>
      <c r="BEV8">
        <v>98.674999999999997</v>
      </c>
      <c r="BEW8">
        <v>98.644999999999996</v>
      </c>
      <c r="BEX8">
        <v>98.614999999999995</v>
      </c>
      <c r="BEY8">
        <v>98.555000000000007</v>
      </c>
      <c r="BEZ8">
        <v>98.635000000000005</v>
      </c>
      <c r="BFA8">
        <v>98.715000000000003</v>
      </c>
      <c r="BFB8">
        <v>98.73</v>
      </c>
      <c r="BFC8">
        <v>98.834999999999994</v>
      </c>
      <c r="BFD8">
        <v>98.894999999999996</v>
      </c>
      <c r="BFE8">
        <v>98.894999999999996</v>
      </c>
      <c r="BFF8">
        <v>99.01</v>
      </c>
      <c r="BFG8">
        <v>98.97</v>
      </c>
      <c r="BFH8">
        <v>98.894999999999996</v>
      </c>
      <c r="BFI8">
        <v>98.894999999999996</v>
      </c>
      <c r="BFJ8">
        <v>98.87</v>
      </c>
      <c r="BFK8">
        <v>98.915000000000006</v>
      </c>
      <c r="BFL8">
        <v>98.885000000000005</v>
      </c>
      <c r="BFM8">
        <v>98.86</v>
      </c>
      <c r="BFN8">
        <v>98.89</v>
      </c>
      <c r="BFO8">
        <v>98.795000000000002</v>
      </c>
      <c r="BFP8">
        <v>98.834999999999994</v>
      </c>
      <c r="BFQ8">
        <v>98.88</v>
      </c>
      <c r="BFR8">
        <v>98.844999999999999</v>
      </c>
      <c r="BFS8">
        <v>98.905000000000001</v>
      </c>
      <c r="BFT8">
        <v>98.894999999999996</v>
      </c>
      <c r="BFU8">
        <v>98.82</v>
      </c>
      <c r="BFV8">
        <v>98.734999999999999</v>
      </c>
      <c r="BFW8">
        <v>98.84</v>
      </c>
      <c r="BFX8">
        <v>98.77</v>
      </c>
      <c r="BFY8">
        <v>98.814999999999998</v>
      </c>
      <c r="BFZ8">
        <v>98.89</v>
      </c>
      <c r="BGA8">
        <v>98.81</v>
      </c>
      <c r="BGB8">
        <v>98.87</v>
      </c>
      <c r="BGC8">
        <v>98.65</v>
      </c>
      <c r="BGD8">
        <v>98.63</v>
      </c>
      <c r="BGE8">
        <v>98.444999999999993</v>
      </c>
      <c r="BGF8">
        <v>98.515000000000001</v>
      </c>
      <c r="BGG8">
        <v>98.525000000000006</v>
      </c>
      <c r="BGH8">
        <v>98.51</v>
      </c>
      <c r="BGI8">
        <v>98.545000000000002</v>
      </c>
      <c r="BGJ8">
        <v>98.575000000000003</v>
      </c>
      <c r="BGK8">
        <v>98.57</v>
      </c>
      <c r="BGL8">
        <v>98.6</v>
      </c>
      <c r="BGM8">
        <v>98.584999999999994</v>
      </c>
      <c r="BGN8">
        <v>98.635000000000005</v>
      </c>
      <c r="BGO8">
        <v>98.55</v>
      </c>
      <c r="BGP8">
        <v>98.504999999999995</v>
      </c>
      <c r="BGQ8">
        <v>98.534999999999997</v>
      </c>
      <c r="BGR8">
        <v>98.525000000000006</v>
      </c>
      <c r="BGS8">
        <v>98.504999999999995</v>
      </c>
      <c r="BGT8">
        <v>98.534999999999997</v>
      </c>
      <c r="BGU8">
        <v>98.47</v>
      </c>
      <c r="BGV8">
        <v>98.49</v>
      </c>
      <c r="BGW8">
        <v>98.484999999999999</v>
      </c>
      <c r="BGX8">
        <v>98.605000000000004</v>
      </c>
      <c r="BGY8">
        <v>98.605000000000004</v>
      </c>
      <c r="BGZ8">
        <v>98.6</v>
      </c>
      <c r="BHA8">
        <v>98.564999999999998</v>
      </c>
      <c r="BHB8">
        <v>98.62</v>
      </c>
      <c r="BHC8">
        <v>98.635000000000005</v>
      </c>
      <c r="BHD8">
        <v>98.605000000000004</v>
      </c>
      <c r="BHE8">
        <v>98.69</v>
      </c>
      <c r="BHF8">
        <v>98.674999999999997</v>
      </c>
      <c r="BHG8">
        <v>98.625</v>
      </c>
      <c r="BHH8">
        <v>98.68</v>
      </c>
      <c r="BHI8">
        <v>98.66</v>
      </c>
      <c r="BHJ8">
        <v>98.47</v>
      </c>
      <c r="BHK8">
        <v>98.48</v>
      </c>
      <c r="BHL8">
        <v>98.51</v>
      </c>
      <c r="BHM8">
        <v>98.515000000000001</v>
      </c>
      <c r="BHN8">
        <v>98.444999999999993</v>
      </c>
      <c r="BHO8">
        <v>98.4</v>
      </c>
      <c r="BHP8">
        <v>98.415000000000006</v>
      </c>
      <c r="BHQ8">
        <v>98.47</v>
      </c>
      <c r="BHR8">
        <v>98.454999999999998</v>
      </c>
      <c r="BHS8">
        <v>98.52</v>
      </c>
      <c r="BHT8">
        <v>98.49</v>
      </c>
      <c r="BHU8">
        <v>98.525000000000006</v>
      </c>
      <c r="BHV8">
        <v>98.4</v>
      </c>
      <c r="BHW8">
        <v>98.25</v>
      </c>
      <c r="BHX8">
        <v>98.25</v>
      </c>
      <c r="BHY8">
        <v>98.21</v>
      </c>
      <c r="BHZ8">
        <v>98.16</v>
      </c>
      <c r="BIA8">
        <v>98.16</v>
      </c>
      <c r="BIB8">
        <v>98.194999999999993</v>
      </c>
      <c r="BIC8">
        <v>98.064999999999998</v>
      </c>
      <c r="BID8">
        <v>98.034999999999997</v>
      </c>
      <c r="BIE8">
        <v>98.075000000000003</v>
      </c>
      <c r="BIF8">
        <v>98.09</v>
      </c>
      <c r="BIG8">
        <v>98.084999999999994</v>
      </c>
      <c r="BIH8">
        <v>98.13</v>
      </c>
      <c r="BII8">
        <v>98.075000000000003</v>
      </c>
      <c r="BIJ8">
        <v>98.08</v>
      </c>
      <c r="BIK8">
        <v>97.99</v>
      </c>
      <c r="BIL8">
        <v>97.97</v>
      </c>
      <c r="BIM8">
        <v>97.935000000000002</v>
      </c>
      <c r="BIN8">
        <v>97.954999999999998</v>
      </c>
      <c r="BIO8">
        <v>97.92</v>
      </c>
      <c r="BIP8">
        <v>97.885000000000005</v>
      </c>
      <c r="BIQ8">
        <v>97.875</v>
      </c>
      <c r="BIR8">
        <v>97.935000000000002</v>
      </c>
      <c r="BIS8">
        <v>97.974999999999994</v>
      </c>
      <c r="BIT8">
        <v>97.95</v>
      </c>
      <c r="BIU8">
        <v>97.95</v>
      </c>
      <c r="BIV8">
        <v>97.91</v>
      </c>
      <c r="BIW8">
        <v>97.93</v>
      </c>
      <c r="BIX8">
        <v>97.88</v>
      </c>
      <c r="BIY8">
        <v>97.86</v>
      </c>
      <c r="BIZ8">
        <v>97.85</v>
      </c>
      <c r="BJA8">
        <v>97.85</v>
      </c>
      <c r="BJB8">
        <v>97.83</v>
      </c>
      <c r="BJC8">
        <v>97.82</v>
      </c>
      <c r="BJD8">
        <v>97.844999999999999</v>
      </c>
      <c r="BJE8">
        <v>97.84</v>
      </c>
      <c r="BJF8">
        <v>97.905000000000001</v>
      </c>
      <c r="BJG8">
        <v>97.94</v>
      </c>
      <c r="BJH8">
        <v>97.92</v>
      </c>
      <c r="BJI8">
        <v>97.9</v>
      </c>
      <c r="BJJ8">
        <v>97.91</v>
      </c>
      <c r="BJK8">
        <v>97.92</v>
      </c>
      <c r="BJL8">
        <v>97.93</v>
      </c>
      <c r="BJM8">
        <v>97.95</v>
      </c>
      <c r="BJN8">
        <v>97.94</v>
      </c>
      <c r="BJO8">
        <v>98.015000000000001</v>
      </c>
      <c r="BJP8">
        <v>98.084999999999994</v>
      </c>
      <c r="BJQ8">
        <v>98.11</v>
      </c>
      <c r="BJR8">
        <v>98.05</v>
      </c>
      <c r="BJS8">
        <v>98.08</v>
      </c>
      <c r="BJT8">
        <v>97.965000000000003</v>
      </c>
      <c r="BJU8">
        <v>97.834999999999994</v>
      </c>
      <c r="BJV8">
        <v>97.825000000000003</v>
      </c>
      <c r="BJW8">
        <v>97.694999999999993</v>
      </c>
      <c r="BJX8">
        <v>97.71</v>
      </c>
      <c r="BJY8">
        <v>97.715000000000003</v>
      </c>
      <c r="BJZ8">
        <v>97.69</v>
      </c>
      <c r="BKA8">
        <v>97.69</v>
      </c>
      <c r="BKB8">
        <v>97.685000000000002</v>
      </c>
      <c r="BKC8">
        <v>97.665000000000006</v>
      </c>
      <c r="BKD8">
        <v>97.674999999999997</v>
      </c>
      <c r="BKE8">
        <v>97.665000000000006</v>
      </c>
      <c r="BKF8">
        <v>97.605000000000004</v>
      </c>
      <c r="BKG8">
        <v>97.57</v>
      </c>
      <c r="BKH8">
        <v>97.575000000000003</v>
      </c>
      <c r="BKI8">
        <v>97.564999999999998</v>
      </c>
      <c r="BKJ8">
        <v>97.625</v>
      </c>
      <c r="BKK8">
        <v>97.644999999999996</v>
      </c>
      <c r="BKL8">
        <v>97.665000000000006</v>
      </c>
      <c r="BKM8">
        <v>97.644999999999996</v>
      </c>
      <c r="BKN8">
        <v>97.65</v>
      </c>
      <c r="BKO8">
        <v>97.62</v>
      </c>
      <c r="BKP8">
        <v>97.644999999999996</v>
      </c>
      <c r="BKQ8">
        <v>97.64</v>
      </c>
      <c r="BKR8">
        <v>97.63</v>
      </c>
      <c r="BKS8">
        <v>97.63</v>
      </c>
      <c r="BKT8">
        <v>97.635000000000005</v>
      </c>
      <c r="BKU8">
        <v>97.6</v>
      </c>
      <c r="BKV8">
        <v>97.65</v>
      </c>
      <c r="BKW8">
        <v>97.68</v>
      </c>
      <c r="BKX8">
        <v>97.7</v>
      </c>
      <c r="BKY8">
        <v>97.68</v>
      </c>
      <c r="BKZ8">
        <v>97.64</v>
      </c>
      <c r="BLA8">
        <v>97.635000000000005</v>
      </c>
      <c r="BLB8">
        <v>97.635000000000005</v>
      </c>
      <c r="BLC8">
        <v>97.66</v>
      </c>
      <c r="BLD8">
        <v>97.685000000000002</v>
      </c>
      <c r="BLE8">
        <v>97.614999999999995</v>
      </c>
      <c r="BLF8">
        <v>97.575000000000003</v>
      </c>
      <c r="BLG8">
        <v>97.575000000000003</v>
      </c>
      <c r="BLH8">
        <v>97.564999999999998</v>
      </c>
      <c r="BLI8">
        <v>97.59</v>
      </c>
      <c r="BLJ8">
        <v>97.58</v>
      </c>
      <c r="BLK8">
        <v>97.584999999999994</v>
      </c>
      <c r="BLL8">
        <v>97.545000000000002</v>
      </c>
      <c r="BLM8">
        <v>97.545000000000002</v>
      </c>
      <c r="BLN8">
        <v>97.61</v>
      </c>
      <c r="BLO8">
        <v>97.64</v>
      </c>
      <c r="BLP8">
        <v>97.665000000000006</v>
      </c>
      <c r="BLQ8">
        <v>97.65</v>
      </c>
      <c r="BLR8">
        <v>97.655000000000001</v>
      </c>
      <c r="BLS8">
        <v>97.64</v>
      </c>
      <c r="BLT8">
        <v>97.644999999999996</v>
      </c>
      <c r="BLU8">
        <v>97.644999999999996</v>
      </c>
      <c r="BLV8">
        <v>97.715000000000003</v>
      </c>
      <c r="BLW8">
        <v>97.754999999999995</v>
      </c>
      <c r="BLX8">
        <v>97.82</v>
      </c>
      <c r="BLY8">
        <v>97.65</v>
      </c>
      <c r="BLZ8">
        <v>97.66</v>
      </c>
      <c r="BMA8">
        <v>97.66</v>
      </c>
      <c r="BMB8">
        <v>97.655000000000001</v>
      </c>
      <c r="BMC8">
        <v>97.644999999999996</v>
      </c>
      <c r="BMD8">
        <v>97.59</v>
      </c>
      <c r="BME8">
        <v>97.564999999999998</v>
      </c>
      <c r="BMF8">
        <v>97.564999999999998</v>
      </c>
      <c r="BMG8">
        <v>97.504999999999995</v>
      </c>
      <c r="BMH8">
        <v>97.47</v>
      </c>
      <c r="BMI8">
        <v>97.48</v>
      </c>
      <c r="BMJ8">
        <v>97.46</v>
      </c>
      <c r="BMK8">
        <v>97.42</v>
      </c>
      <c r="BML8">
        <v>97.39</v>
      </c>
      <c r="BMM8">
        <v>97.36</v>
      </c>
      <c r="BMN8">
        <v>97.364999999999995</v>
      </c>
      <c r="BMO8">
        <v>97.39</v>
      </c>
      <c r="BMP8">
        <v>97.43</v>
      </c>
      <c r="BMQ8">
        <v>97.405000000000001</v>
      </c>
      <c r="BMR8">
        <v>97.37</v>
      </c>
      <c r="BMS8">
        <v>97.275000000000006</v>
      </c>
      <c r="BMT8">
        <v>97.275000000000006</v>
      </c>
      <c r="BMU8">
        <v>97.254999999999995</v>
      </c>
      <c r="BMV8">
        <v>97.275000000000006</v>
      </c>
      <c r="BMW8">
        <v>97.275000000000006</v>
      </c>
      <c r="BMX8">
        <v>97.275000000000006</v>
      </c>
      <c r="BMY8">
        <v>97.234999999999999</v>
      </c>
      <c r="BMZ8">
        <v>97.224999999999994</v>
      </c>
      <c r="BNA8">
        <v>97.234999999999999</v>
      </c>
      <c r="BNB8">
        <v>97.234999999999999</v>
      </c>
      <c r="BNC8">
        <v>97.234999999999999</v>
      </c>
      <c r="BND8">
        <v>97.234999999999999</v>
      </c>
      <c r="BNE8">
        <v>97.24</v>
      </c>
      <c r="BNF8">
        <v>97.204999999999998</v>
      </c>
      <c r="BNG8">
        <v>97.16</v>
      </c>
      <c r="BNH8">
        <v>97.15</v>
      </c>
      <c r="BNI8">
        <v>97.105000000000004</v>
      </c>
      <c r="BNJ8">
        <v>97.084999999999994</v>
      </c>
      <c r="BNK8">
        <v>97.064999999999998</v>
      </c>
      <c r="BNL8">
        <v>97.05</v>
      </c>
      <c r="BNM8">
        <v>97.08</v>
      </c>
      <c r="BNN8">
        <v>97.09</v>
      </c>
      <c r="BNO8">
        <v>97.1</v>
      </c>
      <c r="BNP8">
        <v>97.105000000000004</v>
      </c>
      <c r="BNQ8">
        <v>97.14</v>
      </c>
      <c r="BNR8">
        <v>97.13</v>
      </c>
      <c r="BNS8">
        <v>97.165000000000006</v>
      </c>
      <c r="BNT8">
        <v>97.165000000000006</v>
      </c>
      <c r="BNU8">
        <v>97.17</v>
      </c>
      <c r="BNV8">
        <v>97.114999999999995</v>
      </c>
      <c r="BNW8">
        <v>97.114999999999995</v>
      </c>
      <c r="BNX8">
        <v>97.094999999999999</v>
      </c>
      <c r="BNY8">
        <v>97.064999999999998</v>
      </c>
      <c r="BNZ8">
        <v>97.06</v>
      </c>
      <c r="BOA8">
        <v>97.08</v>
      </c>
      <c r="BOB8">
        <v>97.07</v>
      </c>
      <c r="BOC8">
        <v>97.07</v>
      </c>
      <c r="BOD8">
        <v>97.075000000000003</v>
      </c>
      <c r="BOE8">
        <v>97.084999999999994</v>
      </c>
      <c r="BOF8">
        <v>97.075000000000003</v>
      </c>
      <c r="BOG8">
        <v>97.03</v>
      </c>
      <c r="BOH8">
        <v>97.02</v>
      </c>
      <c r="BOI8">
        <v>97.02</v>
      </c>
      <c r="BOJ8">
        <v>97.025000000000006</v>
      </c>
      <c r="BOK8">
        <v>97.05</v>
      </c>
      <c r="BOL8">
        <v>97.08</v>
      </c>
      <c r="BOM8">
        <v>97.125</v>
      </c>
      <c r="BON8">
        <v>97.114999999999995</v>
      </c>
      <c r="BOO8">
        <v>97.114999999999995</v>
      </c>
      <c r="BOP8">
        <v>97.094999999999999</v>
      </c>
      <c r="BOQ8">
        <v>97.094999999999999</v>
      </c>
      <c r="BOR8">
        <v>97.084999999999994</v>
      </c>
      <c r="BOS8">
        <v>97.094999999999999</v>
      </c>
      <c r="BOT8">
        <v>97.094999999999999</v>
      </c>
      <c r="BOU8">
        <v>97.084999999999994</v>
      </c>
      <c r="BOV8">
        <v>97.094999999999999</v>
      </c>
      <c r="BOW8">
        <v>97.165000000000006</v>
      </c>
      <c r="BOX8">
        <v>97.185000000000002</v>
      </c>
      <c r="BOY8">
        <v>97.19</v>
      </c>
      <c r="BOZ8">
        <v>97.22</v>
      </c>
      <c r="BPA8">
        <v>97.245000000000005</v>
      </c>
      <c r="BPB8">
        <v>97.24</v>
      </c>
      <c r="BPC8">
        <v>97.28</v>
      </c>
      <c r="BPD8">
        <v>97.28</v>
      </c>
      <c r="BPE8">
        <v>97.34</v>
      </c>
      <c r="BPF8">
        <v>97.325000000000003</v>
      </c>
      <c r="BPG8">
        <v>97.33</v>
      </c>
      <c r="BPH8">
        <v>97.35</v>
      </c>
      <c r="BPI8">
        <v>97.35</v>
      </c>
      <c r="BPJ8">
        <v>97.325000000000003</v>
      </c>
      <c r="BPK8">
        <v>97.314999999999998</v>
      </c>
      <c r="BPL8">
        <v>97.33</v>
      </c>
      <c r="BPM8">
        <v>97.344999999999999</v>
      </c>
      <c r="BPN8">
        <v>97.364999999999995</v>
      </c>
      <c r="BPO8">
        <v>97.37</v>
      </c>
      <c r="BPP8">
        <v>97.39</v>
      </c>
      <c r="BPQ8">
        <v>97.38</v>
      </c>
      <c r="BPR8">
        <v>97.39</v>
      </c>
      <c r="BPS8">
        <v>97.364999999999995</v>
      </c>
      <c r="BPT8">
        <v>97.36</v>
      </c>
      <c r="BPU8">
        <v>97.38</v>
      </c>
      <c r="BPV8">
        <v>97.344999999999999</v>
      </c>
      <c r="BPW8">
        <v>97.375</v>
      </c>
      <c r="BPX8">
        <v>97.385000000000005</v>
      </c>
      <c r="BPY8">
        <v>97.32</v>
      </c>
      <c r="BPZ8">
        <v>97.305000000000007</v>
      </c>
      <c r="BQA8">
        <v>97.3</v>
      </c>
      <c r="BQB8">
        <v>97.305000000000007</v>
      </c>
      <c r="BQC8">
        <v>97.295000000000002</v>
      </c>
      <c r="BQD8">
        <v>97.284999999999997</v>
      </c>
      <c r="BQE8">
        <v>97.284999999999997</v>
      </c>
      <c r="BQF8">
        <v>97.29</v>
      </c>
      <c r="BQG8">
        <v>97.29</v>
      </c>
      <c r="BQH8">
        <v>97.29</v>
      </c>
      <c r="BQI8">
        <v>97.284999999999997</v>
      </c>
      <c r="BQJ8">
        <v>97.325000000000003</v>
      </c>
      <c r="BQK8">
        <v>97.325000000000003</v>
      </c>
      <c r="BQL8">
        <v>97.334999999999994</v>
      </c>
      <c r="BQM8">
        <v>97.37</v>
      </c>
      <c r="BQN8">
        <v>97.375</v>
      </c>
      <c r="BQO8">
        <v>97.37</v>
      </c>
      <c r="BQP8">
        <v>97.375</v>
      </c>
      <c r="BQQ8">
        <v>97.4</v>
      </c>
      <c r="BQR8">
        <v>97.415000000000006</v>
      </c>
      <c r="BQS8">
        <v>97.41</v>
      </c>
      <c r="BQT8">
        <v>97.42</v>
      </c>
      <c r="BQU8">
        <v>97.42</v>
      </c>
      <c r="BQV8">
        <v>97.435000000000002</v>
      </c>
      <c r="BQW8">
        <v>97.454999999999998</v>
      </c>
      <c r="BQX8">
        <v>97.435000000000002</v>
      </c>
      <c r="BQY8">
        <v>97.454999999999998</v>
      </c>
      <c r="BQZ8">
        <v>97.454999999999998</v>
      </c>
      <c r="BRA8">
        <v>97.45</v>
      </c>
      <c r="BRB8">
        <v>97.45</v>
      </c>
      <c r="BRC8">
        <v>97.454999999999998</v>
      </c>
      <c r="BRD8">
        <v>97.454999999999998</v>
      </c>
      <c r="BRE8">
        <v>97.41</v>
      </c>
      <c r="BRF8">
        <v>97.394999999999996</v>
      </c>
      <c r="BRG8">
        <v>97.375</v>
      </c>
      <c r="BRH8">
        <v>97.375</v>
      </c>
      <c r="BRI8">
        <v>97.364999999999995</v>
      </c>
      <c r="BRJ8">
        <v>97.37</v>
      </c>
      <c r="BRK8">
        <v>97.34</v>
      </c>
      <c r="BRL8">
        <v>97.35</v>
      </c>
      <c r="BRM8">
        <v>97.334999999999994</v>
      </c>
      <c r="BRN8">
        <v>97.334999999999994</v>
      </c>
      <c r="BRO8">
        <v>97.37</v>
      </c>
      <c r="BRP8">
        <v>97.385000000000005</v>
      </c>
      <c r="BRQ8">
        <v>97.4</v>
      </c>
      <c r="BRR8">
        <v>97.375</v>
      </c>
      <c r="BRS8">
        <v>97.364999999999995</v>
      </c>
      <c r="BRT8">
        <v>97.405000000000001</v>
      </c>
      <c r="BRU8">
        <v>97.394999999999996</v>
      </c>
      <c r="BRV8">
        <v>97.444999999999993</v>
      </c>
      <c r="BRW8">
        <v>97.52</v>
      </c>
      <c r="BRX8">
        <v>97.53</v>
      </c>
      <c r="BRY8">
        <v>97.625</v>
      </c>
      <c r="BRZ8">
        <v>97.41</v>
      </c>
      <c r="BSA8">
        <v>97.41</v>
      </c>
      <c r="BSB8">
        <v>97.38</v>
      </c>
      <c r="BSC8">
        <v>97.35</v>
      </c>
      <c r="BSD8">
        <v>97.3</v>
      </c>
      <c r="BSE8">
        <v>97.29</v>
      </c>
      <c r="BSF8">
        <v>97.3</v>
      </c>
      <c r="BSG8">
        <v>97.275000000000006</v>
      </c>
      <c r="BSH8">
        <v>97.28</v>
      </c>
      <c r="BSI8">
        <v>97.29</v>
      </c>
      <c r="BSJ8">
        <v>97.32</v>
      </c>
      <c r="BSK8">
        <v>97.32</v>
      </c>
      <c r="BSL8">
        <v>97.334999999999994</v>
      </c>
      <c r="BSM8">
        <v>97.355000000000004</v>
      </c>
      <c r="BSN8">
        <v>97.375</v>
      </c>
      <c r="BSO8">
        <v>97.385000000000005</v>
      </c>
      <c r="BSP8">
        <v>97.375</v>
      </c>
      <c r="BSQ8" t="s">
        <v>6984</v>
      </c>
      <c r="BSR8" t="s">
        <v>6984</v>
      </c>
      <c r="BSS8" t="s">
        <v>6984</v>
      </c>
      <c r="BST8" t="s">
        <v>6984</v>
      </c>
      <c r="BSU8" t="s">
        <v>6984</v>
      </c>
      <c r="BSV8" t="s">
        <v>6984</v>
      </c>
      <c r="BSW8" t="s">
        <v>6984</v>
      </c>
      <c r="BSX8" t="s">
        <v>6984</v>
      </c>
      <c r="BSY8" t="s">
        <v>6984</v>
      </c>
      <c r="BSZ8" t="s">
        <v>6984</v>
      </c>
      <c r="BTA8" t="s">
        <v>6984</v>
      </c>
      <c r="BTB8" t="s">
        <v>6984</v>
      </c>
      <c r="BTC8" t="s">
        <v>6984</v>
      </c>
      <c r="BTD8" t="s">
        <v>6984</v>
      </c>
      <c r="BTE8" t="s">
        <v>6984</v>
      </c>
      <c r="BTF8" t="s">
        <v>6984</v>
      </c>
      <c r="BTG8" t="s">
        <v>6984</v>
      </c>
      <c r="BTH8" t="s">
        <v>6984</v>
      </c>
      <c r="BTI8" t="s">
        <v>6984</v>
      </c>
      <c r="BTJ8" t="s">
        <v>6984</v>
      </c>
      <c r="BTK8" t="s">
        <v>6984</v>
      </c>
      <c r="BTL8" t="s">
        <v>6984</v>
      </c>
      <c r="BTM8" t="s">
        <v>6984</v>
      </c>
      <c r="BTN8" t="s">
        <v>6984</v>
      </c>
      <c r="BTO8" t="s">
        <v>6984</v>
      </c>
      <c r="BTP8" t="s">
        <v>6984</v>
      </c>
      <c r="BTQ8" t="s">
        <v>6984</v>
      </c>
      <c r="BTR8" t="s">
        <v>6984</v>
      </c>
      <c r="BTS8" t="s">
        <v>6984</v>
      </c>
      <c r="BTT8" t="s">
        <v>6984</v>
      </c>
      <c r="BTU8" t="s">
        <v>6984</v>
      </c>
      <c r="BTV8" t="s">
        <v>6984</v>
      </c>
      <c r="BTW8" t="s">
        <v>6984</v>
      </c>
      <c r="BTX8" t="s">
        <v>6984</v>
      </c>
      <c r="BTY8" t="s">
        <v>6984</v>
      </c>
      <c r="BTZ8" t="s">
        <v>6984</v>
      </c>
      <c r="BUA8" t="s">
        <v>6984</v>
      </c>
      <c r="BUB8" t="s">
        <v>6984</v>
      </c>
      <c r="BUC8" t="s">
        <v>6984</v>
      </c>
      <c r="BUD8" t="s">
        <v>6984</v>
      </c>
      <c r="BUE8" t="s">
        <v>6984</v>
      </c>
      <c r="BUF8" t="s">
        <v>6984</v>
      </c>
      <c r="BUG8" t="s">
        <v>6984</v>
      </c>
      <c r="BUH8" t="s">
        <v>6984</v>
      </c>
      <c r="BUI8" t="s">
        <v>6984</v>
      </c>
      <c r="BUJ8" t="s">
        <v>6984</v>
      </c>
      <c r="BUK8" t="s">
        <v>6984</v>
      </c>
      <c r="BUL8" t="s">
        <v>6984</v>
      </c>
      <c r="BUM8" t="s">
        <v>6984</v>
      </c>
      <c r="BUN8" t="s">
        <v>6984</v>
      </c>
      <c r="BUO8" t="s">
        <v>6984</v>
      </c>
      <c r="BUP8" t="s">
        <v>6984</v>
      </c>
      <c r="BUQ8" t="s">
        <v>6984</v>
      </c>
      <c r="BUR8" t="s">
        <v>6984</v>
      </c>
      <c r="BUS8" t="s">
        <v>6984</v>
      </c>
      <c r="BUT8" t="s">
        <v>6984</v>
      </c>
      <c r="BUU8" t="s">
        <v>6984</v>
      </c>
      <c r="BUV8" t="s">
        <v>6984</v>
      </c>
      <c r="BUW8" t="s">
        <v>6984</v>
      </c>
      <c r="BUX8" t="s">
        <v>6984</v>
      </c>
      <c r="BUY8" t="s">
        <v>6984</v>
      </c>
      <c r="BUZ8" t="s">
        <v>6984</v>
      </c>
      <c r="BVA8" t="s">
        <v>6984</v>
      </c>
      <c r="BVB8" t="s">
        <v>6984</v>
      </c>
      <c r="BVC8" t="s">
        <v>6984</v>
      </c>
      <c r="BVD8" t="s">
        <v>6984</v>
      </c>
      <c r="BVE8" t="s">
        <v>6984</v>
      </c>
      <c r="BVF8" t="s">
        <v>6984</v>
      </c>
      <c r="BVG8" t="s">
        <v>6984</v>
      </c>
      <c r="BVH8" t="s">
        <v>6984</v>
      </c>
      <c r="BVI8" t="s">
        <v>6984</v>
      </c>
      <c r="BVJ8" t="s">
        <v>6984</v>
      </c>
      <c r="BVK8" t="s">
        <v>6984</v>
      </c>
      <c r="BVL8" t="s">
        <v>6984</v>
      </c>
      <c r="BVM8" t="s">
        <v>6984</v>
      </c>
      <c r="BVN8" t="s">
        <v>6984</v>
      </c>
      <c r="BVO8" t="s">
        <v>6984</v>
      </c>
      <c r="BVP8" t="s">
        <v>6984</v>
      </c>
      <c r="BVQ8" t="s">
        <v>6984</v>
      </c>
      <c r="BVR8" t="s">
        <v>6984</v>
      </c>
      <c r="BVS8" t="s">
        <v>6984</v>
      </c>
      <c r="BVT8" t="s">
        <v>6984</v>
      </c>
      <c r="BVU8" t="s">
        <v>6984</v>
      </c>
      <c r="BVV8" t="s">
        <v>6984</v>
      </c>
      <c r="BVW8" t="s">
        <v>6984</v>
      </c>
      <c r="BVX8" t="s">
        <v>6984</v>
      </c>
      <c r="BVY8" t="s">
        <v>6984</v>
      </c>
      <c r="BVZ8" t="s">
        <v>6984</v>
      </c>
      <c r="BWA8" t="s">
        <v>6984</v>
      </c>
      <c r="BWB8" t="s">
        <v>6984</v>
      </c>
      <c r="BWC8" t="s">
        <v>6984</v>
      </c>
      <c r="BWD8" t="s">
        <v>6984</v>
      </c>
      <c r="BWE8" t="s">
        <v>6984</v>
      </c>
      <c r="BWF8" t="s">
        <v>6984</v>
      </c>
      <c r="BWG8" t="s">
        <v>6984</v>
      </c>
      <c r="BWH8" t="s">
        <v>6984</v>
      </c>
      <c r="BWI8" t="s">
        <v>6984</v>
      </c>
      <c r="BWJ8" t="s">
        <v>6984</v>
      </c>
      <c r="BWK8" t="s">
        <v>6984</v>
      </c>
      <c r="BWL8" t="s">
        <v>6984</v>
      </c>
      <c r="BWM8" t="s">
        <v>6984</v>
      </c>
      <c r="BWN8" t="s">
        <v>6984</v>
      </c>
      <c r="BWO8" t="s">
        <v>6984</v>
      </c>
      <c r="BWP8" t="s">
        <v>6984</v>
      </c>
      <c r="BWQ8" t="s">
        <v>6984</v>
      </c>
      <c r="BWR8" t="s">
        <v>6984</v>
      </c>
      <c r="BWS8" t="s">
        <v>6984</v>
      </c>
      <c r="BWT8" t="s">
        <v>6984</v>
      </c>
      <c r="BWU8" t="s">
        <v>6984</v>
      </c>
      <c r="BWV8" t="s">
        <v>6984</v>
      </c>
      <c r="BWW8" t="s">
        <v>6984</v>
      </c>
      <c r="BWX8" t="s">
        <v>6984</v>
      </c>
      <c r="BWY8" t="s">
        <v>6984</v>
      </c>
      <c r="BWZ8" t="s">
        <v>6984</v>
      </c>
      <c r="BXA8" t="s">
        <v>6984</v>
      </c>
      <c r="BXB8" t="s">
        <v>6984</v>
      </c>
      <c r="BXC8" t="s">
        <v>6984</v>
      </c>
      <c r="BXD8" t="s">
        <v>6984</v>
      </c>
      <c r="BXE8" t="s">
        <v>6984</v>
      </c>
      <c r="BXF8" t="s">
        <v>6984</v>
      </c>
      <c r="BXG8" t="s">
        <v>6984</v>
      </c>
      <c r="BXH8" t="s">
        <v>6984</v>
      </c>
      <c r="BXI8" t="s">
        <v>6984</v>
      </c>
      <c r="BXJ8" t="s">
        <v>6984</v>
      </c>
      <c r="BXK8" t="s">
        <v>6984</v>
      </c>
      <c r="BXL8" t="s">
        <v>6984</v>
      </c>
      <c r="BXM8" t="s">
        <v>6984</v>
      </c>
      <c r="BXN8" t="s">
        <v>6984</v>
      </c>
      <c r="BXO8" t="s">
        <v>6984</v>
      </c>
      <c r="BXP8" t="s">
        <v>6984</v>
      </c>
      <c r="BXQ8" t="s">
        <v>6984</v>
      </c>
      <c r="BXR8" t="s">
        <v>6984</v>
      </c>
      <c r="BXS8" t="s">
        <v>6984</v>
      </c>
      <c r="BXT8" t="s">
        <v>6984</v>
      </c>
      <c r="BXU8" t="s">
        <v>6984</v>
      </c>
      <c r="BXV8" t="s">
        <v>6984</v>
      </c>
      <c r="BXW8" t="s">
        <v>6984</v>
      </c>
      <c r="BXX8" t="s">
        <v>6984</v>
      </c>
      <c r="BXY8" t="s">
        <v>6984</v>
      </c>
      <c r="BXZ8" t="s">
        <v>6984</v>
      </c>
      <c r="BYA8" t="s">
        <v>6984</v>
      </c>
      <c r="BYB8" t="s">
        <v>6984</v>
      </c>
      <c r="BYC8" t="s">
        <v>6984</v>
      </c>
      <c r="BYD8" t="s">
        <v>6984</v>
      </c>
      <c r="BYE8" t="s">
        <v>6984</v>
      </c>
      <c r="BYF8" t="s">
        <v>6984</v>
      </c>
      <c r="BYG8" t="s">
        <v>6984</v>
      </c>
      <c r="BYH8" t="s">
        <v>6984</v>
      </c>
      <c r="BYI8" t="s">
        <v>6984</v>
      </c>
      <c r="BYJ8" t="s">
        <v>6984</v>
      </c>
      <c r="BYK8" t="s">
        <v>6984</v>
      </c>
      <c r="BYL8" t="s">
        <v>6984</v>
      </c>
      <c r="BYM8" t="s">
        <v>6984</v>
      </c>
      <c r="BYN8" t="s">
        <v>6984</v>
      </c>
      <c r="BYO8" t="s">
        <v>6984</v>
      </c>
      <c r="BYP8" t="s">
        <v>6984</v>
      </c>
      <c r="BYQ8" t="s">
        <v>6984</v>
      </c>
      <c r="BYR8" t="s">
        <v>6984</v>
      </c>
      <c r="BYS8" t="s">
        <v>6984</v>
      </c>
      <c r="BYT8" t="s">
        <v>6984</v>
      </c>
      <c r="BYU8" t="s">
        <v>6984</v>
      </c>
      <c r="BYV8" t="s">
        <v>6984</v>
      </c>
      <c r="BYW8" t="s">
        <v>6984</v>
      </c>
      <c r="BYX8" t="s">
        <v>6984</v>
      </c>
      <c r="BYY8" t="s">
        <v>6984</v>
      </c>
      <c r="BYZ8" t="s">
        <v>6984</v>
      </c>
      <c r="BZA8" t="s">
        <v>6984</v>
      </c>
      <c r="BZB8" t="s">
        <v>6984</v>
      </c>
      <c r="BZC8" t="s">
        <v>6984</v>
      </c>
      <c r="BZD8" t="s">
        <v>6984</v>
      </c>
      <c r="BZE8" t="s">
        <v>6984</v>
      </c>
      <c r="BZF8" t="s">
        <v>6984</v>
      </c>
      <c r="BZG8" t="s">
        <v>6984</v>
      </c>
      <c r="BZH8" t="s">
        <v>6984</v>
      </c>
      <c r="BZI8" t="s">
        <v>6984</v>
      </c>
      <c r="BZJ8" t="s">
        <v>6984</v>
      </c>
      <c r="BZK8" t="s">
        <v>6984</v>
      </c>
      <c r="BZL8" t="s">
        <v>6984</v>
      </c>
      <c r="BZM8" t="s">
        <v>6984</v>
      </c>
      <c r="BZN8" t="s">
        <v>6984</v>
      </c>
      <c r="BZO8" t="s">
        <v>6984</v>
      </c>
      <c r="BZP8" t="s">
        <v>6984</v>
      </c>
      <c r="BZQ8" t="s">
        <v>6984</v>
      </c>
      <c r="BZR8" t="s">
        <v>6984</v>
      </c>
      <c r="BZS8" t="s">
        <v>6984</v>
      </c>
      <c r="BZT8" t="s">
        <v>6984</v>
      </c>
      <c r="BZU8" t="s">
        <v>6984</v>
      </c>
      <c r="BZV8" t="s">
        <v>6984</v>
      </c>
      <c r="BZW8" t="s">
        <v>6984</v>
      </c>
      <c r="BZX8" t="s">
        <v>6984</v>
      </c>
      <c r="BZY8" t="s">
        <v>6984</v>
      </c>
      <c r="BZZ8" t="s">
        <v>6984</v>
      </c>
      <c r="CAA8" t="s">
        <v>6984</v>
      </c>
      <c r="CAB8" t="s">
        <v>6984</v>
      </c>
      <c r="CAC8" t="s">
        <v>6984</v>
      </c>
      <c r="CAD8" t="s">
        <v>6984</v>
      </c>
      <c r="CAE8" t="s">
        <v>6984</v>
      </c>
      <c r="CAF8" t="s">
        <v>6984</v>
      </c>
      <c r="CAG8" t="s">
        <v>6984</v>
      </c>
      <c r="CAH8" t="s">
        <v>6984</v>
      </c>
      <c r="CAI8" t="s">
        <v>6984</v>
      </c>
      <c r="CAJ8" t="s">
        <v>6984</v>
      </c>
      <c r="CAK8" t="s">
        <v>6984</v>
      </c>
      <c r="CAL8" t="s">
        <v>6984</v>
      </c>
      <c r="CAM8" t="s">
        <v>6984</v>
      </c>
      <c r="CAN8" t="s">
        <v>6984</v>
      </c>
      <c r="CAO8" t="s">
        <v>6984</v>
      </c>
      <c r="CAP8" t="s">
        <v>6984</v>
      </c>
      <c r="CAQ8" t="s">
        <v>6984</v>
      </c>
      <c r="CAR8" t="s">
        <v>6984</v>
      </c>
      <c r="CAS8" t="s">
        <v>6984</v>
      </c>
      <c r="CAT8" t="s">
        <v>6984</v>
      </c>
      <c r="CAU8" t="s">
        <v>6984</v>
      </c>
      <c r="CAV8" t="s">
        <v>6984</v>
      </c>
      <c r="CAW8" t="s">
        <v>6984</v>
      </c>
      <c r="CAX8" t="s">
        <v>6984</v>
      </c>
      <c r="CAY8" t="s">
        <v>6984</v>
      </c>
      <c r="CAZ8" t="s">
        <v>6984</v>
      </c>
      <c r="CBA8" t="s">
        <v>6984</v>
      </c>
      <c r="CBB8" t="s">
        <v>6984</v>
      </c>
      <c r="CBC8" t="s">
        <v>6984</v>
      </c>
      <c r="CBD8" t="s">
        <v>6984</v>
      </c>
      <c r="CBE8" t="s">
        <v>6984</v>
      </c>
      <c r="CBF8" t="s">
        <v>6984</v>
      </c>
      <c r="CBG8" t="s">
        <v>6984</v>
      </c>
      <c r="CBH8" t="s">
        <v>6984</v>
      </c>
      <c r="CBI8" t="s">
        <v>6984</v>
      </c>
      <c r="CBJ8" t="s">
        <v>6984</v>
      </c>
      <c r="CBK8" t="s">
        <v>6984</v>
      </c>
      <c r="CBL8" t="s">
        <v>6984</v>
      </c>
      <c r="CBM8" t="s">
        <v>6984</v>
      </c>
      <c r="CBN8" t="s">
        <v>6984</v>
      </c>
      <c r="CBO8" t="s">
        <v>6984</v>
      </c>
      <c r="CBP8" t="s">
        <v>6984</v>
      </c>
      <c r="CBQ8" t="s">
        <v>6984</v>
      </c>
      <c r="CBR8" t="s">
        <v>6984</v>
      </c>
      <c r="CBS8" t="s">
        <v>6984</v>
      </c>
      <c r="CBT8" t="s">
        <v>6984</v>
      </c>
      <c r="CBU8" t="s">
        <v>6984</v>
      </c>
      <c r="CBV8" t="s">
        <v>6984</v>
      </c>
      <c r="CBW8" t="s">
        <v>6984</v>
      </c>
      <c r="CBX8" t="s">
        <v>6984</v>
      </c>
      <c r="CBY8" t="s">
        <v>6984</v>
      </c>
      <c r="CBZ8" t="s">
        <v>6984</v>
      </c>
      <c r="CCA8" t="s">
        <v>6984</v>
      </c>
      <c r="CCB8" t="s">
        <v>6984</v>
      </c>
      <c r="CCC8" t="s">
        <v>6984</v>
      </c>
      <c r="CCD8" t="s">
        <v>6984</v>
      </c>
      <c r="CCE8" t="s">
        <v>6984</v>
      </c>
      <c r="CCF8" t="s">
        <v>6984</v>
      </c>
      <c r="CCG8" t="s">
        <v>6984</v>
      </c>
      <c r="CCH8" t="s">
        <v>6984</v>
      </c>
      <c r="CCI8" t="s">
        <v>6984</v>
      </c>
      <c r="CCJ8" t="s">
        <v>6984</v>
      </c>
      <c r="CCK8" t="s">
        <v>6984</v>
      </c>
      <c r="CCL8" t="s">
        <v>6984</v>
      </c>
      <c r="CCM8" t="s">
        <v>6984</v>
      </c>
      <c r="CCN8" t="s">
        <v>6984</v>
      </c>
      <c r="CCO8" t="s">
        <v>6984</v>
      </c>
      <c r="CCP8" t="s">
        <v>6984</v>
      </c>
      <c r="CCQ8" t="s">
        <v>6984</v>
      </c>
      <c r="CCR8" t="s">
        <v>6984</v>
      </c>
      <c r="CCS8" t="s">
        <v>6984</v>
      </c>
      <c r="CCT8" t="s">
        <v>6984</v>
      </c>
      <c r="CCU8" t="s">
        <v>6984</v>
      </c>
      <c r="CCV8" t="s">
        <v>6984</v>
      </c>
      <c r="CCW8" t="s">
        <v>6984</v>
      </c>
      <c r="CCX8" t="s">
        <v>6984</v>
      </c>
      <c r="CCY8" t="s">
        <v>6984</v>
      </c>
      <c r="CCZ8" t="s">
        <v>6984</v>
      </c>
      <c r="CDA8" t="s">
        <v>6984</v>
      </c>
      <c r="CDB8" t="s">
        <v>6984</v>
      </c>
      <c r="CDC8" t="s">
        <v>6984</v>
      </c>
      <c r="CDD8" t="s">
        <v>6984</v>
      </c>
      <c r="CDE8" t="s">
        <v>6984</v>
      </c>
      <c r="CDF8" t="s">
        <v>6984</v>
      </c>
      <c r="CDG8" t="s">
        <v>6984</v>
      </c>
      <c r="CDH8" t="s">
        <v>6984</v>
      </c>
      <c r="CDI8" t="s">
        <v>6984</v>
      </c>
      <c r="CDJ8" t="s">
        <v>6984</v>
      </c>
      <c r="CDK8" t="s">
        <v>6984</v>
      </c>
      <c r="CDL8" t="s">
        <v>6984</v>
      </c>
      <c r="CDM8" t="s">
        <v>6984</v>
      </c>
      <c r="CDN8" t="s">
        <v>6984</v>
      </c>
      <c r="CDO8" t="s">
        <v>6984</v>
      </c>
      <c r="CDP8" t="s">
        <v>6984</v>
      </c>
      <c r="CDQ8" t="s">
        <v>6984</v>
      </c>
      <c r="CDR8" t="s">
        <v>6984</v>
      </c>
      <c r="CDS8" t="s">
        <v>6984</v>
      </c>
      <c r="CDT8" t="s">
        <v>6984</v>
      </c>
      <c r="CDU8" t="s">
        <v>6984</v>
      </c>
      <c r="CDV8" t="s">
        <v>6984</v>
      </c>
      <c r="CDW8" t="s">
        <v>6984</v>
      </c>
      <c r="CDX8" t="s">
        <v>6984</v>
      </c>
      <c r="CDY8" t="s">
        <v>6984</v>
      </c>
      <c r="CDZ8" t="s">
        <v>6984</v>
      </c>
      <c r="CEA8" t="s">
        <v>6984</v>
      </c>
      <c r="CEB8" t="s">
        <v>6984</v>
      </c>
      <c r="CEC8" t="s">
        <v>6984</v>
      </c>
      <c r="CED8" t="s">
        <v>6984</v>
      </c>
      <c r="CEE8" t="s">
        <v>6984</v>
      </c>
      <c r="CEF8" t="s">
        <v>6984</v>
      </c>
      <c r="CEG8" t="s">
        <v>6984</v>
      </c>
      <c r="CEH8" t="s">
        <v>6984</v>
      </c>
      <c r="CEI8" t="s">
        <v>6984</v>
      </c>
      <c r="CEJ8" t="s">
        <v>6984</v>
      </c>
      <c r="CEK8" t="s">
        <v>6984</v>
      </c>
      <c r="CEL8" t="s">
        <v>6984</v>
      </c>
      <c r="CEM8" t="s">
        <v>6984</v>
      </c>
      <c r="CEN8" t="s">
        <v>6984</v>
      </c>
      <c r="CEO8" t="s">
        <v>6984</v>
      </c>
      <c r="CEP8" t="s">
        <v>6984</v>
      </c>
      <c r="CEQ8" t="s">
        <v>6984</v>
      </c>
      <c r="CER8" t="s">
        <v>6984</v>
      </c>
      <c r="CES8" t="s">
        <v>6984</v>
      </c>
      <c r="CET8" t="s">
        <v>6984</v>
      </c>
      <c r="CEU8" t="s">
        <v>6984</v>
      </c>
      <c r="CEV8" t="s">
        <v>6984</v>
      </c>
      <c r="CEW8" t="s">
        <v>6984</v>
      </c>
      <c r="CEX8" t="s">
        <v>6984</v>
      </c>
      <c r="CEY8" t="s">
        <v>6984</v>
      </c>
      <c r="CEZ8" t="s">
        <v>6984</v>
      </c>
      <c r="CFA8" t="s">
        <v>6984</v>
      </c>
      <c r="CFB8" t="s">
        <v>6984</v>
      </c>
      <c r="CFC8" t="s">
        <v>6984</v>
      </c>
      <c r="CFD8" t="s">
        <v>6984</v>
      </c>
      <c r="CFE8" t="s">
        <v>6984</v>
      </c>
      <c r="CFF8" t="s">
        <v>6984</v>
      </c>
      <c r="CFG8" t="s">
        <v>6984</v>
      </c>
      <c r="CFH8" t="s">
        <v>6984</v>
      </c>
      <c r="CFI8" t="s">
        <v>6984</v>
      </c>
      <c r="CFJ8" t="s">
        <v>6984</v>
      </c>
      <c r="CFK8" t="s">
        <v>6984</v>
      </c>
      <c r="CFL8" t="s">
        <v>6984</v>
      </c>
      <c r="CFM8" t="s">
        <v>6984</v>
      </c>
      <c r="CFN8" t="s">
        <v>6984</v>
      </c>
      <c r="CFO8" t="s">
        <v>6984</v>
      </c>
      <c r="CFP8" t="s">
        <v>6984</v>
      </c>
      <c r="CFQ8" t="s">
        <v>6984</v>
      </c>
      <c r="CFR8" t="s">
        <v>6984</v>
      </c>
      <c r="CFS8" t="s">
        <v>6984</v>
      </c>
      <c r="CFT8" t="s">
        <v>6984</v>
      </c>
      <c r="CFU8" t="s">
        <v>6984</v>
      </c>
      <c r="CFV8" t="s">
        <v>6984</v>
      </c>
      <c r="CFW8" t="s">
        <v>6984</v>
      </c>
      <c r="CFX8" t="s">
        <v>6984</v>
      </c>
      <c r="CFY8" t="s">
        <v>6984</v>
      </c>
      <c r="CFZ8" t="s">
        <v>6984</v>
      </c>
      <c r="CGA8" t="s">
        <v>6984</v>
      </c>
      <c r="CGB8" t="s">
        <v>6984</v>
      </c>
      <c r="CGC8" t="s">
        <v>6984</v>
      </c>
      <c r="CGD8" t="s">
        <v>6984</v>
      </c>
      <c r="CGE8" t="s">
        <v>6984</v>
      </c>
      <c r="CGF8" t="s">
        <v>6984</v>
      </c>
      <c r="CGG8" t="s">
        <v>6984</v>
      </c>
      <c r="CGH8" t="s">
        <v>6984</v>
      </c>
      <c r="CGI8" t="s">
        <v>6984</v>
      </c>
      <c r="CGJ8" t="s">
        <v>6984</v>
      </c>
      <c r="CGK8" t="s">
        <v>6984</v>
      </c>
      <c r="CGL8" t="s">
        <v>6984</v>
      </c>
      <c r="CGM8" t="s">
        <v>6984</v>
      </c>
      <c r="CGN8" t="s">
        <v>6984</v>
      </c>
      <c r="CGO8" t="s">
        <v>6984</v>
      </c>
      <c r="CGP8" t="s">
        <v>6984</v>
      </c>
      <c r="CGQ8" t="s">
        <v>6984</v>
      </c>
      <c r="CGR8" t="s">
        <v>6984</v>
      </c>
      <c r="CGS8" t="s">
        <v>6984</v>
      </c>
      <c r="CGT8" t="s">
        <v>6984</v>
      </c>
      <c r="CGU8" t="s">
        <v>6984</v>
      </c>
      <c r="CGV8" t="s">
        <v>6984</v>
      </c>
      <c r="CGW8" t="s">
        <v>6984</v>
      </c>
      <c r="CGX8" t="s">
        <v>6984</v>
      </c>
      <c r="CGY8" t="s">
        <v>6984</v>
      </c>
      <c r="CGZ8" t="s">
        <v>6984</v>
      </c>
      <c r="CHA8" t="s">
        <v>6984</v>
      </c>
      <c r="CHB8" t="s">
        <v>6984</v>
      </c>
      <c r="CHC8" t="s">
        <v>6984</v>
      </c>
      <c r="CHD8" t="s">
        <v>6984</v>
      </c>
      <c r="CHE8" t="s">
        <v>6984</v>
      </c>
      <c r="CHF8" t="s">
        <v>6984</v>
      </c>
      <c r="CHG8" t="s">
        <v>6984</v>
      </c>
      <c r="CHH8" t="s">
        <v>6984</v>
      </c>
      <c r="CHI8" t="s">
        <v>6984</v>
      </c>
      <c r="CHJ8" t="s">
        <v>6984</v>
      </c>
      <c r="CHK8" t="s">
        <v>6984</v>
      </c>
      <c r="CHL8" t="s">
        <v>6984</v>
      </c>
      <c r="CHM8" t="s">
        <v>6984</v>
      </c>
      <c r="CHN8" t="s">
        <v>6984</v>
      </c>
      <c r="CHO8" t="s">
        <v>6984</v>
      </c>
      <c r="CHP8" t="s">
        <v>6984</v>
      </c>
      <c r="CHQ8" t="s">
        <v>6984</v>
      </c>
      <c r="CHR8" t="s">
        <v>6984</v>
      </c>
      <c r="CHS8" t="s">
        <v>6984</v>
      </c>
      <c r="CHT8" t="s">
        <v>6984</v>
      </c>
      <c r="CHU8" t="s">
        <v>6984</v>
      </c>
      <c r="CHV8" t="s">
        <v>6984</v>
      </c>
      <c r="CHW8" t="s">
        <v>6984</v>
      </c>
      <c r="CHX8" t="s">
        <v>6984</v>
      </c>
      <c r="CHY8" t="s">
        <v>6984</v>
      </c>
      <c r="CHZ8" t="s">
        <v>6984</v>
      </c>
      <c r="CIA8" t="s">
        <v>6984</v>
      </c>
      <c r="CIB8" t="s">
        <v>6984</v>
      </c>
      <c r="CIC8" t="s">
        <v>6984</v>
      </c>
      <c r="CID8" t="s">
        <v>6984</v>
      </c>
      <c r="CIE8" t="s">
        <v>6984</v>
      </c>
      <c r="CIF8" t="s">
        <v>6984</v>
      </c>
      <c r="CIG8" t="s">
        <v>6984</v>
      </c>
      <c r="CIH8" t="s">
        <v>6984</v>
      </c>
      <c r="CII8" t="s">
        <v>6984</v>
      </c>
      <c r="CIJ8" t="s">
        <v>6984</v>
      </c>
      <c r="CIK8" t="s">
        <v>6984</v>
      </c>
      <c r="CIL8" t="s">
        <v>6984</v>
      </c>
      <c r="CIM8" t="s">
        <v>6984</v>
      </c>
      <c r="CIN8" t="s">
        <v>6984</v>
      </c>
      <c r="CIO8" t="s">
        <v>6984</v>
      </c>
      <c r="CIP8" t="s">
        <v>6984</v>
      </c>
      <c r="CIQ8" t="s">
        <v>6984</v>
      </c>
      <c r="CIR8" t="s">
        <v>6984</v>
      </c>
      <c r="CIS8" t="s">
        <v>6984</v>
      </c>
      <c r="CIT8" t="s">
        <v>6984</v>
      </c>
      <c r="CIU8" t="s">
        <v>6984</v>
      </c>
      <c r="CIV8" t="s">
        <v>6984</v>
      </c>
      <c r="CIW8" t="s">
        <v>6984</v>
      </c>
      <c r="CIX8" t="s">
        <v>6984</v>
      </c>
      <c r="CIY8" t="s">
        <v>6984</v>
      </c>
      <c r="CIZ8" t="s">
        <v>6984</v>
      </c>
      <c r="CJA8" t="s">
        <v>6984</v>
      </c>
      <c r="CJB8" t="s">
        <v>6984</v>
      </c>
      <c r="CJC8" t="s">
        <v>6984</v>
      </c>
      <c r="CJD8" t="s">
        <v>6984</v>
      </c>
      <c r="CJE8" t="s">
        <v>6984</v>
      </c>
      <c r="CJF8" t="s">
        <v>6984</v>
      </c>
      <c r="CJG8" t="s">
        <v>6984</v>
      </c>
      <c r="CJH8" t="s">
        <v>6984</v>
      </c>
      <c r="CJI8" t="s">
        <v>6984</v>
      </c>
      <c r="CJJ8" t="s">
        <v>6984</v>
      </c>
      <c r="CJK8" t="s">
        <v>6984</v>
      </c>
      <c r="CJL8" t="s">
        <v>6984</v>
      </c>
      <c r="CJM8" t="s">
        <v>6984</v>
      </c>
      <c r="CJN8" t="s">
        <v>6984</v>
      </c>
      <c r="CJO8" t="s">
        <v>6984</v>
      </c>
      <c r="CJP8" t="s">
        <v>6984</v>
      </c>
      <c r="CJQ8" t="s">
        <v>6984</v>
      </c>
      <c r="CJR8" t="s">
        <v>6984</v>
      </c>
      <c r="CJS8" t="s">
        <v>6984</v>
      </c>
      <c r="CJT8" t="s">
        <v>6984</v>
      </c>
      <c r="CJU8" t="s">
        <v>6984</v>
      </c>
      <c r="CJV8" t="s">
        <v>6984</v>
      </c>
      <c r="CJW8" t="s">
        <v>6984</v>
      </c>
      <c r="CJX8" t="s">
        <v>6984</v>
      </c>
      <c r="CJY8" t="s">
        <v>6984</v>
      </c>
      <c r="CJZ8" t="s">
        <v>6984</v>
      </c>
      <c r="CKA8" t="s">
        <v>6984</v>
      </c>
      <c r="CKB8" t="s">
        <v>6984</v>
      </c>
      <c r="CKC8" t="s">
        <v>6984</v>
      </c>
      <c r="CKD8" t="s">
        <v>6984</v>
      </c>
      <c r="CKE8" t="s">
        <v>6984</v>
      </c>
      <c r="CKF8" t="s">
        <v>6984</v>
      </c>
      <c r="CKG8" t="s">
        <v>6984</v>
      </c>
      <c r="CKH8" t="s">
        <v>6984</v>
      </c>
      <c r="CKI8" t="s">
        <v>6984</v>
      </c>
      <c r="CKJ8" t="s">
        <v>6984</v>
      </c>
      <c r="CKK8" t="s">
        <v>6984</v>
      </c>
      <c r="CKL8" t="s">
        <v>6984</v>
      </c>
      <c r="CKM8" t="s">
        <v>6984</v>
      </c>
      <c r="CKN8" t="s">
        <v>6984</v>
      </c>
      <c r="CKO8" t="s">
        <v>6984</v>
      </c>
      <c r="CKP8" t="s">
        <v>6984</v>
      </c>
      <c r="CKQ8" t="s">
        <v>6984</v>
      </c>
      <c r="CKR8" t="s">
        <v>6984</v>
      </c>
      <c r="CKS8" t="s">
        <v>6984</v>
      </c>
      <c r="CKT8" t="s">
        <v>6984</v>
      </c>
      <c r="CKU8" t="s">
        <v>6984</v>
      </c>
      <c r="CKV8" t="s">
        <v>6984</v>
      </c>
      <c r="CKW8" t="s">
        <v>6984</v>
      </c>
      <c r="CKX8" t="s">
        <v>6984</v>
      </c>
      <c r="CKY8" t="s">
        <v>6984</v>
      </c>
      <c r="CKZ8" t="s">
        <v>6984</v>
      </c>
      <c r="CLA8" t="s">
        <v>6984</v>
      </c>
      <c r="CLB8" t="s">
        <v>6984</v>
      </c>
      <c r="CLC8" t="s">
        <v>6984</v>
      </c>
      <c r="CLD8" t="s">
        <v>6984</v>
      </c>
      <c r="CLE8" t="s">
        <v>6984</v>
      </c>
      <c r="CLF8" t="s">
        <v>6984</v>
      </c>
      <c r="CLG8" t="s">
        <v>6984</v>
      </c>
      <c r="CLH8" t="s">
        <v>6984</v>
      </c>
      <c r="CLI8" t="s">
        <v>6984</v>
      </c>
      <c r="CLJ8" t="s">
        <v>6984</v>
      </c>
      <c r="CLK8" t="s">
        <v>6984</v>
      </c>
      <c r="CLL8" t="s">
        <v>6984</v>
      </c>
      <c r="CLM8" t="s">
        <v>6984</v>
      </c>
      <c r="CLN8" t="s">
        <v>6984</v>
      </c>
      <c r="CLO8" t="s">
        <v>6984</v>
      </c>
      <c r="CLP8" t="s">
        <v>6984</v>
      </c>
      <c r="CLQ8" t="s">
        <v>6984</v>
      </c>
      <c r="CLR8" t="s">
        <v>6984</v>
      </c>
      <c r="CLS8" t="s">
        <v>6984</v>
      </c>
      <c r="CLT8" t="s">
        <v>6984</v>
      </c>
      <c r="CLU8" t="s">
        <v>6984</v>
      </c>
      <c r="CLV8" t="s">
        <v>6984</v>
      </c>
      <c r="CLW8" t="s">
        <v>6984</v>
      </c>
      <c r="CLX8" t="s">
        <v>6984</v>
      </c>
      <c r="CLY8" t="s">
        <v>6984</v>
      </c>
      <c r="CLZ8" t="s">
        <v>6984</v>
      </c>
      <c r="CMA8" t="s">
        <v>6984</v>
      </c>
      <c r="CMB8" t="s">
        <v>6984</v>
      </c>
      <c r="CMC8" t="s">
        <v>6984</v>
      </c>
      <c r="CMD8" t="s">
        <v>6984</v>
      </c>
      <c r="CME8" t="s">
        <v>6984</v>
      </c>
      <c r="CMF8" t="s">
        <v>6984</v>
      </c>
      <c r="CMG8" t="s">
        <v>6984</v>
      </c>
      <c r="CMH8" t="s">
        <v>6984</v>
      </c>
      <c r="CMI8" t="s">
        <v>6984</v>
      </c>
      <c r="CMJ8" t="s">
        <v>6984</v>
      </c>
      <c r="CMK8" t="s">
        <v>6984</v>
      </c>
      <c r="CML8" t="s">
        <v>6984</v>
      </c>
      <c r="CMM8" t="s">
        <v>6984</v>
      </c>
      <c r="CMN8" t="s">
        <v>6984</v>
      </c>
      <c r="CMO8" t="s">
        <v>6984</v>
      </c>
      <c r="CMP8" t="s">
        <v>6984</v>
      </c>
      <c r="CMQ8" t="s">
        <v>6984</v>
      </c>
      <c r="CMR8" t="s">
        <v>6984</v>
      </c>
      <c r="CMS8" t="s">
        <v>6984</v>
      </c>
      <c r="CMT8" t="s">
        <v>6984</v>
      </c>
      <c r="CMU8" t="s">
        <v>6984</v>
      </c>
      <c r="CMV8" t="s">
        <v>6984</v>
      </c>
      <c r="CMW8" t="s">
        <v>6984</v>
      </c>
      <c r="CMX8" t="s">
        <v>6984</v>
      </c>
      <c r="CMY8" t="s">
        <v>6984</v>
      </c>
      <c r="CMZ8" t="s">
        <v>6984</v>
      </c>
      <c r="CNA8" t="s">
        <v>6984</v>
      </c>
      <c r="CNB8" t="s">
        <v>6984</v>
      </c>
      <c r="CNC8" t="s">
        <v>6984</v>
      </c>
      <c r="CND8" t="s">
        <v>6984</v>
      </c>
      <c r="CNE8" t="s">
        <v>6984</v>
      </c>
      <c r="CNF8" t="s">
        <v>6984</v>
      </c>
      <c r="CNG8" t="s">
        <v>6984</v>
      </c>
      <c r="CNH8" t="s">
        <v>6984</v>
      </c>
      <c r="CNI8" t="s">
        <v>6984</v>
      </c>
      <c r="CNJ8" t="s">
        <v>6984</v>
      </c>
      <c r="CNK8" t="s">
        <v>6984</v>
      </c>
      <c r="CNL8" t="s">
        <v>6984</v>
      </c>
      <c r="CNM8" t="s">
        <v>6984</v>
      </c>
      <c r="CNN8" t="s">
        <v>6984</v>
      </c>
      <c r="CNO8" t="s">
        <v>6984</v>
      </c>
      <c r="CNP8" t="s">
        <v>6984</v>
      </c>
      <c r="CNQ8" t="s">
        <v>6984</v>
      </c>
      <c r="CNR8" t="s">
        <v>6984</v>
      </c>
      <c r="CNS8" t="s">
        <v>6984</v>
      </c>
      <c r="CNT8" t="s">
        <v>6984</v>
      </c>
      <c r="CNU8" t="s">
        <v>6984</v>
      </c>
      <c r="CNV8" t="s">
        <v>6984</v>
      </c>
      <c r="CNW8" t="s">
        <v>6984</v>
      </c>
      <c r="CNX8" t="s">
        <v>6984</v>
      </c>
      <c r="CNY8" t="s">
        <v>6984</v>
      </c>
      <c r="CNZ8" t="s">
        <v>6984</v>
      </c>
      <c r="COA8" t="s">
        <v>6984</v>
      </c>
      <c r="COB8" t="s">
        <v>6984</v>
      </c>
      <c r="COC8" t="s">
        <v>6984</v>
      </c>
      <c r="COD8" t="s">
        <v>6984</v>
      </c>
      <c r="COE8" t="s">
        <v>6984</v>
      </c>
      <c r="COF8" t="s">
        <v>6984</v>
      </c>
      <c r="COG8" t="s">
        <v>6984</v>
      </c>
      <c r="COH8" t="s">
        <v>6984</v>
      </c>
      <c r="COI8" t="s">
        <v>6984</v>
      </c>
      <c r="COJ8" t="s">
        <v>6984</v>
      </c>
      <c r="COK8" t="s">
        <v>6984</v>
      </c>
      <c r="COL8" t="s">
        <v>6984</v>
      </c>
      <c r="COM8" t="s">
        <v>6984</v>
      </c>
      <c r="CON8" t="s">
        <v>6984</v>
      </c>
      <c r="COO8" t="s">
        <v>6984</v>
      </c>
      <c r="COP8" t="s">
        <v>6984</v>
      </c>
      <c r="COQ8" t="s">
        <v>6984</v>
      </c>
      <c r="COR8" t="s">
        <v>6984</v>
      </c>
      <c r="COS8" t="s">
        <v>6984</v>
      </c>
      <c r="COT8" t="s">
        <v>6984</v>
      </c>
      <c r="COU8" t="s">
        <v>6984</v>
      </c>
      <c r="COV8" t="s">
        <v>6984</v>
      </c>
      <c r="COW8" t="s">
        <v>6984</v>
      </c>
      <c r="COX8" t="s">
        <v>6984</v>
      </c>
      <c r="COY8" t="s">
        <v>6984</v>
      </c>
      <c r="COZ8" t="s">
        <v>6984</v>
      </c>
      <c r="CPA8" t="s">
        <v>6984</v>
      </c>
      <c r="CPB8" t="s">
        <v>6984</v>
      </c>
      <c r="CPC8" t="s">
        <v>6984</v>
      </c>
      <c r="CPD8" t="s">
        <v>6984</v>
      </c>
      <c r="CPE8" t="s">
        <v>6984</v>
      </c>
      <c r="CPF8" t="s">
        <v>6984</v>
      </c>
      <c r="CPG8" t="s">
        <v>6984</v>
      </c>
      <c r="CPH8" t="s">
        <v>6984</v>
      </c>
      <c r="CPI8" t="s">
        <v>6984</v>
      </c>
      <c r="CPJ8" t="s">
        <v>6984</v>
      </c>
      <c r="CPK8" t="s">
        <v>6984</v>
      </c>
      <c r="CPL8" t="s">
        <v>6984</v>
      </c>
      <c r="CPM8" t="s">
        <v>6984</v>
      </c>
      <c r="CPN8" t="s">
        <v>6984</v>
      </c>
      <c r="CPO8" t="s">
        <v>6984</v>
      </c>
      <c r="CPP8" t="s">
        <v>6984</v>
      </c>
      <c r="CPQ8" t="s">
        <v>6984</v>
      </c>
      <c r="CPR8" t="s">
        <v>6984</v>
      </c>
      <c r="CPS8" t="s">
        <v>6984</v>
      </c>
      <c r="CPT8" t="s">
        <v>6984</v>
      </c>
      <c r="CPU8" t="s">
        <v>6984</v>
      </c>
      <c r="CPV8" t="s">
        <v>6984</v>
      </c>
      <c r="CPW8" t="s">
        <v>6984</v>
      </c>
      <c r="CPX8" t="s">
        <v>6984</v>
      </c>
      <c r="CPY8" t="s">
        <v>6984</v>
      </c>
      <c r="CPZ8" t="s">
        <v>6984</v>
      </c>
      <c r="CQA8" t="s">
        <v>6984</v>
      </c>
      <c r="CQB8" t="s">
        <v>6984</v>
      </c>
      <c r="CQC8" t="s">
        <v>6984</v>
      </c>
      <c r="CQD8" t="s">
        <v>6984</v>
      </c>
      <c r="CQE8" t="s">
        <v>6984</v>
      </c>
      <c r="CQF8" t="s">
        <v>6984</v>
      </c>
      <c r="CQG8" t="s">
        <v>6984</v>
      </c>
      <c r="CQH8" t="s">
        <v>6984</v>
      </c>
      <c r="CQI8" t="s">
        <v>6984</v>
      </c>
      <c r="CQJ8" t="s">
        <v>6984</v>
      </c>
      <c r="CQK8" t="s">
        <v>6984</v>
      </c>
      <c r="CQL8" t="s">
        <v>6984</v>
      </c>
      <c r="CQM8" t="s">
        <v>6984</v>
      </c>
      <c r="CQN8" t="s">
        <v>6984</v>
      </c>
      <c r="CQO8" t="s">
        <v>6984</v>
      </c>
      <c r="CQP8" t="s">
        <v>6984</v>
      </c>
      <c r="CQQ8" t="s">
        <v>6984</v>
      </c>
      <c r="CQR8" t="s">
        <v>6984</v>
      </c>
      <c r="CQS8" t="s">
        <v>6984</v>
      </c>
      <c r="CQT8" t="s">
        <v>6984</v>
      </c>
      <c r="CQU8" t="s">
        <v>6984</v>
      </c>
      <c r="CQV8" t="s">
        <v>6984</v>
      </c>
      <c r="CQW8" t="s">
        <v>6984</v>
      </c>
      <c r="CQX8" t="s">
        <v>6984</v>
      </c>
      <c r="CQY8" t="s">
        <v>6984</v>
      </c>
      <c r="CQZ8" t="s">
        <v>6984</v>
      </c>
      <c r="CRA8" t="s">
        <v>6984</v>
      </c>
      <c r="CRB8" t="s">
        <v>6984</v>
      </c>
      <c r="CRC8" t="s">
        <v>6984</v>
      </c>
      <c r="CRD8" t="s">
        <v>6984</v>
      </c>
      <c r="CRE8" t="s">
        <v>6984</v>
      </c>
      <c r="CRF8" t="s">
        <v>6984</v>
      </c>
      <c r="CRG8" t="s">
        <v>6984</v>
      </c>
      <c r="CRH8" t="s">
        <v>6984</v>
      </c>
      <c r="CRI8" t="s">
        <v>6984</v>
      </c>
      <c r="CRJ8" t="s">
        <v>6984</v>
      </c>
      <c r="CRK8" t="s">
        <v>6984</v>
      </c>
      <c r="CRL8" t="s">
        <v>6984</v>
      </c>
      <c r="CRM8" t="s">
        <v>6984</v>
      </c>
      <c r="CRN8" t="s">
        <v>6984</v>
      </c>
      <c r="CRO8" t="s">
        <v>6984</v>
      </c>
      <c r="CRP8" t="s">
        <v>6984</v>
      </c>
      <c r="CRQ8" t="s">
        <v>6984</v>
      </c>
      <c r="CRR8" t="s">
        <v>6984</v>
      </c>
      <c r="CRS8" t="s">
        <v>6984</v>
      </c>
      <c r="CRT8" t="s">
        <v>6984</v>
      </c>
      <c r="CRU8" t="s">
        <v>6984</v>
      </c>
      <c r="CRV8" t="s">
        <v>6984</v>
      </c>
      <c r="CRW8" t="s">
        <v>6984</v>
      </c>
      <c r="CRX8" t="s">
        <v>6984</v>
      </c>
      <c r="CRY8" t="s">
        <v>6984</v>
      </c>
      <c r="CRZ8" t="s">
        <v>6984</v>
      </c>
      <c r="CSA8" t="s">
        <v>6984</v>
      </c>
      <c r="CSB8" t="s">
        <v>6984</v>
      </c>
      <c r="CSC8" t="s">
        <v>6984</v>
      </c>
      <c r="CSD8" t="s">
        <v>6984</v>
      </c>
      <c r="CSE8" t="s">
        <v>6984</v>
      </c>
      <c r="CSF8" t="s">
        <v>6984</v>
      </c>
      <c r="CSG8" t="s">
        <v>6984</v>
      </c>
      <c r="CSH8" t="s">
        <v>6984</v>
      </c>
      <c r="CSI8" t="s">
        <v>6984</v>
      </c>
      <c r="CSJ8" t="s">
        <v>6984</v>
      </c>
      <c r="CSK8" t="s">
        <v>6984</v>
      </c>
      <c r="CSL8" t="s">
        <v>6984</v>
      </c>
      <c r="CSM8" t="s">
        <v>6984</v>
      </c>
      <c r="CSN8" t="s">
        <v>6984</v>
      </c>
      <c r="CSO8" t="s">
        <v>6984</v>
      </c>
      <c r="CSP8" t="s">
        <v>6984</v>
      </c>
      <c r="CSQ8" t="s">
        <v>6984</v>
      </c>
      <c r="CSR8" t="s">
        <v>6984</v>
      </c>
      <c r="CSS8" t="s">
        <v>6984</v>
      </c>
      <c r="CST8" t="s">
        <v>6984</v>
      </c>
      <c r="CSU8" t="s">
        <v>6984</v>
      </c>
      <c r="CSV8" t="s">
        <v>6984</v>
      </c>
      <c r="CSW8" t="s">
        <v>6984</v>
      </c>
      <c r="CSX8" t="s">
        <v>6984</v>
      </c>
      <c r="CSY8" t="s">
        <v>6984</v>
      </c>
      <c r="CSZ8" t="s">
        <v>6984</v>
      </c>
      <c r="CTA8" t="s">
        <v>6984</v>
      </c>
      <c r="CTB8" t="s">
        <v>6984</v>
      </c>
      <c r="CTC8" t="s">
        <v>6984</v>
      </c>
      <c r="CTD8" t="s">
        <v>6984</v>
      </c>
      <c r="CTE8" t="s">
        <v>6984</v>
      </c>
      <c r="CTF8" t="s">
        <v>6984</v>
      </c>
      <c r="CTG8" t="s">
        <v>6984</v>
      </c>
      <c r="CTH8" t="s">
        <v>6984</v>
      </c>
      <c r="CTI8" t="s">
        <v>6984</v>
      </c>
      <c r="CTJ8" t="s">
        <v>6984</v>
      </c>
      <c r="CTK8" t="s">
        <v>6984</v>
      </c>
      <c r="CTL8" t="s">
        <v>6984</v>
      </c>
      <c r="CTM8" t="s">
        <v>6984</v>
      </c>
      <c r="CTN8" t="s">
        <v>6984</v>
      </c>
      <c r="CTO8" t="s">
        <v>6984</v>
      </c>
      <c r="CTP8" t="s">
        <v>6984</v>
      </c>
      <c r="CTQ8" t="s">
        <v>6984</v>
      </c>
      <c r="CTR8" t="s">
        <v>6984</v>
      </c>
      <c r="CTS8" t="s">
        <v>6984</v>
      </c>
      <c r="CTT8" t="s">
        <v>6984</v>
      </c>
      <c r="CTU8" t="s">
        <v>6984</v>
      </c>
      <c r="CTV8" t="s">
        <v>6984</v>
      </c>
      <c r="CTW8" t="s">
        <v>6984</v>
      </c>
      <c r="CTX8" t="s">
        <v>6984</v>
      </c>
      <c r="CTY8" t="s">
        <v>6984</v>
      </c>
      <c r="CTZ8" t="s">
        <v>6984</v>
      </c>
      <c r="CUA8" t="s">
        <v>6984</v>
      </c>
      <c r="CUB8" t="s">
        <v>6984</v>
      </c>
      <c r="CUC8" t="s">
        <v>6984</v>
      </c>
      <c r="CUD8" t="s">
        <v>6984</v>
      </c>
      <c r="CUE8" t="s">
        <v>6984</v>
      </c>
      <c r="CUF8" t="s">
        <v>6984</v>
      </c>
      <c r="CUG8" t="s">
        <v>6984</v>
      </c>
      <c r="CUH8" t="s">
        <v>6984</v>
      </c>
      <c r="CUI8" t="s">
        <v>6984</v>
      </c>
      <c r="CUJ8" t="s">
        <v>6984</v>
      </c>
      <c r="CUK8" t="s">
        <v>6984</v>
      </c>
      <c r="CUL8" t="s">
        <v>6984</v>
      </c>
      <c r="CUM8" t="s">
        <v>6984</v>
      </c>
      <c r="CUN8" t="s">
        <v>6984</v>
      </c>
      <c r="CUO8" t="s">
        <v>6984</v>
      </c>
      <c r="CUP8" t="s">
        <v>6984</v>
      </c>
      <c r="CUQ8" t="s">
        <v>6984</v>
      </c>
      <c r="CUR8" t="s">
        <v>6984</v>
      </c>
      <c r="CUS8" t="s">
        <v>6984</v>
      </c>
      <c r="CUT8" t="s">
        <v>6984</v>
      </c>
      <c r="CUU8" t="s">
        <v>6984</v>
      </c>
      <c r="CUV8" t="s">
        <v>6984</v>
      </c>
      <c r="CUW8" t="s">
        <v>6984</v>
      </c>
      <c r="CUX8" t="s">
        <v>6984</v>
      </c>
      <c r="CUY8" t="s">
        <v>6984</v>
      </c>
      <c r="CUZ8" t="s">
        <v>6984</v>
      </c>
      <c r="CVA8" t="s">
        <v>6984</v>
      </c>
      <c r="CVB8" t="s">
        <v>6984</v>
      </c>
      <c r="CVC8" t="s">
        <v>6984</v>
      </c>
      <c r="CVD8" t="s">
        <v>6984</v>
      </c>
      <c r="CVE8" t="s">
        <v>6984</v>
      </c>
      <c r="CVF8" t="s">
        <v>6984</v>
      </c>
      <c r="CVG8" t="s">
        <v>6984</v>
      </c>
      <c r="CVH8" t="s">
        <v>6984</v>
      </c>
      <c r="CVI8" t="s">
        <v>6984</v>
      </c>
      <c r="CVJ8" t="s">
        <v>6984</v>
      </c>
      <c r="CVK8" t="s">
        <v>6984</v>
      </c>
      <c r="CVL8" t="s">
        <v>6984</v>
      </c>
      <c r="CVM8" t="s">
        <v>6984</v>
      </c>
      <c r="CVN8" t="s">
        <v>6984</v>
      </c>
      <c r="CVO8" t="s">
        <v>6984</v>
      </c>
      <c r="CVP8" t="s">
        <v>6984</v>
      </c>
      <c r="CVQ8" t="s">
        <v>6984</v>
      </c>
      <c r="CVR8" t="s">
        <v>6984</v>
      </c>
      <c r="CVS8" t="s">
        <v>6984</v>
      </c>
      <c r="CVT8" t="s">
        <v>6984</v>
      </c>
      <c r="CVU8" t="s">
        <v>6984</v>
      </c>
      <c r="CVV8" t="s">
        <v>6984</v>
      </c>
      <c r="CVW8" t="s">
        <v>6984</v>
      </c>
      <c r="CVX8" t="s">
        <v>6984</v>
      </c>
      <c r="CVY8" t="s">
        <v>6984</v>
      </c>
      <c r="CVZ8" t="s">
        <v>6984</v>
      </c>
      <c r="CWA8" t="s">
        <v>6984</v>
      </c>
      <c r="CWB8" t="s">
        <v>6984</v>
      </c>
      <c r="CWC8" t="s">
        <v>6984</v>
      </c>
      <c r="CWD8" t="s">
        <v>6984</v>
      </c>
      <c r="CWE8" t="s">
        <v>6984</v>
      </c>
      <c r="CWF8" t="s">
        <v>6984</v>
      </c>
      <c r="CWG8" t="s">
        <v>6984</v>
      </c>
      <c r="CWH8" t="s">
        <v>6984</v>
      </c>
      <c r="CWI8" t="s">
        <v>6984</v>
      </c>
      <c r="CWJ8" t="s">
        <v>6984</v>
      </c>
      <c r="CWK8" t="s">
        <v>6984</v>
      </c>
      <c r="CWL8" t="s">
        <v>6984</v>
      </c>
      <c r="CWM8" t="s">
        <v>6984</v>
      </c>
      <c r="CWN8" t="s">
        <v>6984</v>
      </c>
      <c r="CWO8" t="s">
        <v>6984</v>
      </c>
      <c r="CWP8" t="s">
        <v>6984</v>
      </c>
      <c r="CWQ8" t="s">
        <v>6984</v>
      </c>
      <c r="CWR8" t="s">
        <v>6984</v>
      </c>
      <c r="CWS8" t="s">
        <v>6984</v>
      </c>
      <c r="CWT8" t="s">
        <v>6984</v>
      </c>
      <c r="CWU8" t="s">
        <v>6984</v>
      </c>
      <c r="CWV8" t="s">
        <v>6984</v>
      </c>
      <c r="CWW8" t="s">
        <v>6984</v>
      </c>
      <c r="CWX8" t="s">
        <v>6984</v>
      </c>
      <c r="CWY8" t="s">
        <v>6984</v>
      </c>
      <c r="CWZ8" t="s">
        <v>6984</v>
      </c>
      <c r="CXA8" t="s">
        <v>6984</v>
      </c>
      <c r="CXB8" t="s">
        <v>6984</v>
      </c>
      <c r="CXC8" t="s">
        <v>6984</v>
      </c>
      <c r="CXD8" t="s">
        <v>6984</v>
      </c>
      <c r="CXE8" t="s">
        <v>6984</v>
      </c>
      <c r="CXF8" t="s">
        <v>6984</v>
      </c>
      <c r="CXG8" t="s">
        <v>6984</v>
      </c>
      <c r="CXH8" t="s">
        <v>6984</v>
      </c>
      <c r="CXI8" t="s">
        <v>6984</v>
      </c>
      <c r="CXJ8" t="s">
        <v>6984</v>
      </c>
      <c r="CXK8" t="s">
        <v>6984</v>
      </c>
      <c r="CXL8" t="s">
        <v>6984</v>
      </c>
      <c r="CXM8" t="s">
        <v>6984</v>
      </c>
      <c r="CXN8" t="s">
        <v>6984</v>
      </c>
      <c r="CXO8" t="s">
        <v>6984</v>
      </c>
      <c r="CXP8" t="s">
        <v>6984</v>
      </c>
      <c r="CXQ8" t="s">
        <v>6984</v>
      </c>
      <c r="CXR8" t="s">
        <v>6984</v>
      </c>
      <c r="CXS8" t="s">
        <v>6984</v>
      </c>
      <c r="CXT8" t="s">
        <v>6984</v>
      </c>
      <c r="CXU8" t="s">
        <v>6984</v>
      </c>
      <c r="CXV8" t="s">
        <v>6984</v>
      </c>
      <c r="CXW8" t="s">
        <v>6984</v>
      </c>
      <c r="CXX8" t="s">
        <v>6984</v>
      </c>
      <c r="CXY8" t="s">
        <v>6984</v>
      </c>
      <c r="CXZ8" t="s">
        <v>6984</v>
      </c>
      <c r="CYA8" t="s">
        <v>6984</v>
      </c>
      <c r="CYB8" t="s">
        <v>6984</v>
      </c>
      <c r="CYC8" t="s">
        <v>6984</v>
      </c>
      <c r="CYD8" t="s">
        <v>6984</v>
      </c>
      <c r="CYE8" t="s">
        <v>6984</v>
      </c>
      <c r="CYF8" t="s">
        <v>6984</v>
      </c>
      <c r="CYG8" t="s">
        <v>6984</v>
      </c>
      <c r="CYH8" t="s">
        <v>6984</v>
      </c>
      <c r="CYI8" t="s">
        <v>6984</v>
      </c>
      <c r="CYJ8" t="s">
        <v>6984</v>
      </c>
      <c r="CYK8" t="s">
        <v>6984</v>
      </c>
      <c r="CYL8" t="s">
        <v>6984</v>
      </c>
      <c r="CYM8" t="s">
        <v>6984</v>
      </c>
      <c r="CYN8" t="s">
        <v>6984</v>
      </c>
      <c r="CYO8" t="s">
        <v>6984</v>
      </c>
      <c r="CYP8" t="s">
        <v>6984</v>
      </c>
      <c r="CYQ8" t="s">
        <v>6984</v>
      </c>
      <c r="CYR8" t="s">
        <v>6984</v>
      </c>
      <c r="CYS8" t="s">
        <v>6984</v>
      </c>
      <c r="CYT8" t="s">
        <v>6984</v>
      </c>
      <c r="CYU8" t="s">
        <v>6984</v>
      </c>
      <c r="CYV8" t="s">
        <v>6984</v>
      </c>
      <c r="CYW8" t="s">
        <v>6984</v>
      </c>
      <c r="CYX8" t="s">
        <v>6984</v>
      </c>
      <c r="CYY8" t="s">
        <v>6984</v>
      </c>
      <c r="CYZ8" t="s">
        <v>6984</v>
      </c>
      <c r="CZA8" t="s">
        <v>6984</v>
      </c>
      <c r="CZB8" t="s">
        <v>6984</v>
      </c>
      <c r="CZC8" t="s">
        <v>6984</v>
      </c>
      <c r="CZD8" t="s">
        <v>6984</v>
      </c>
      <c r="CZE8" t="s">
        <v>6984</v>
      </c>
      <c r="CZF8" t="s">
        <v>6984</v>
      </c>
      <c r="CZG8" t="s">
        <v>6984</v>
      </c>
      <c r="CZH8" t="s">
        <v>6984</v>
      </c>
      <c r="CZI8" t="s">
        <v>6984</v>
      </c>
      <c r="CZJ8" t="s">
        <v>6984</v>
      </c>
      <c r="CZK8" t="s">
        <v>6984</v>
      </c>
      <c r="CZL8" t="s">
        <v>6984</v>
      </c>
      <c r="CZM8" t="s">
        <v>6984</v>
      </c>
      <c r="CZN8" t="s">
        <v>6984</v>
      </c>
      <c r="CZO8" t="s">
        <v>6984</v>
      </c>
      <c r="CZP8" t="s">
        <v>6984</v>
      </c>
      <c r="CZQ8" t="s">
        <v>6984</v>
      </c>
      <c r="CZR8" t="s">
        <v>6984</v>
      </c>
      <c r="CZS8" t="s">
        <v>6984</v>
      </c>
      <c r="CZT8" t="s">
        <v>6984</v>
      </c>
      <c r="CZU8" t="s">
        <v>6984</v>
      </c>
      <c r="CZV8" t="s">
        <v>6984</v>
      </c>
      <c r="CZW8" t="s">
        <v>6984</v>
      </c>
      <c r="CZX8" t="s">
        <v>6984</v>
      </c>
      <c r="CZY8" t="s">
        <v>6984</v>
      </c>
      <c r="CZZ8" t="s">
        <v>6984</v>
      </c>
      <c r="DAA8" t="s">
        <v>6984</v>
      </c>
      <c r="DAB8" t="s">
        <v>6984</v>
      </c>
      <c r="DAC8" t="s">
        <v>6984</v>
      </c>
      <c r="DAD8" t="s">
        <v>6984</v>
      </c>
      <c r="DAE8" t="s">
        <v>6984</v>
      </c>
      <c r="DAF8" t="s">
        <v>6984</v>
      </c>
      <c r="DAG8" t="s">
        <v>6984</v>
      </c>
      <c r="DAH8" t="s">
        <v>6984</v>
      </c>
      <c r="DAI8" t="s">
        <v>6984</v>
      </c>
      <c r="DAJ8" t="s">
        <v>6984</v>
      </c>
      <c r="DAK8" t="s">
        <v>6984</v>
      </c>
      <c r="DAL8" t="s">
        <v>6984</v>
      </c>
      <c r="DAM8" t="s">
        <v>6984</v>
      </c>
      <c r="DAN8" t="s">
        <v>6984</v>
      </c>
      <c r="DAO8" t="s">
        <v>6984</v>
      </c>
      <c r="DAP8" t="s">
        <v>6984</v>
      </c>
      <c r="DAQ8" t="s">
        <v>6984</v>
      </c>
      <c r="DAR8" t="s">
        <v>6984</v>
      </c>
      <c r="DAS8" t="s">
        <v>6984</v>
      </c>
      <c r="DAT8" t="s">
        <v>6984</v>
      </c>
      <c r="DAU8" t="s">
        <v>6984</v>
      </c>
      <c r="DAV8" t="s">
        <v>6984</v>
      </c>
      <c r="DAW8" t="s">
        <v>6984</v>
      </c>
      <c r="DAX8" t="s">
        <v>6984</v>
      </c>
      <c r="DAY8" t="s">
        <v>6984</v>
      </c>
      <c r="DAZ8" t="s">
        <v>6984</v>
      </c>
      <c r="DBA8" t="s">
        <v>6984</v>
      </c>
      <c r="DBB8" t="s">
        <v>6984</v>
      </c>
      <c r="DBC8" t="s">
        <v>6984</v>
      </c>
      <c r="DBD8" t="s">
        <v>6984</v>
      </c>
      <c r="DBE8" t="s">
        <v>6984</v>
      </c>
      <c r="DBF8" t="s">
        <v>6984</v>
      </c>
      <c r="DBG8" t="s">
        <v>6984</v>
      </c>
      <c r="DBH8" t="s">
        <v>6984</v>
      </c>
      <c r="DBI8" t="s">
        <v>6984</v>
      </c>
      <c r="DBJ8" t="s">
        <v>6984</v>
      </c>
      <c r="DBK8" t="s">
        <v>6984</v>
      </c>
      <c r="DBL8" t="s">
        <v>6984</v>
      </c>
      <c r="DBM8" t="s">
        <v>6984</v>
      </c>
      <c r="DBN8" t="s">
        <v>6984</v>
      </c>
      <c r="DBO8" t="s">
        <v>6984</v>
      </c>
      <c r="DBP8" t="s">
        <v>6984</v>
      </c>
      <c r="DBQ8" t="s">
        <v>6984</v>
      </c>
      <c r="DBR8" t="s">
        <v>6984</v>
      </c>
      <c r="DBS8" t="s">
        <v>6984</v>
      </c>
      <c r="DBT8" t="s">
        <v>6984</v>
      </c>
      <c r="DBU8" t="s">
        <v>6984</v>
      </c>
      <c r="DBV8" t="s">
        <v>6984</v>
      </c>
      <c r="DBW8" t="s">
        <v>6984</v>
      </c>
      <c r="DBX8" t="s">
        <v>6984</v>
      </c>
      <c r="DBY8" t="s">
        <v>6984</v>
      </c>
      <c r="DBZ8" t="s">
        <v>6984</v>
      </c>
      <c r="DCA8" t="s">
        <v>6984</v>
      </c>
      <c r="DCB8" t="s">
        <v>6984</v>
      </c>
      <c r="DCC8" t="s">
        <v>6984</v>
      </c>
      <c r="DCD8" t="s">
        <v>6984</v>
      </c>
      <c r="DCE8" t="s">
        <v>6984</v>
      </c>
      <c r="DCF8" t="s">
        <v>6984</v>
      </c>
      <c r="DCG8" t="s">
        <v>6984</v>
      </c>
      <c r="DCH8" t="s">
        <v>6984</v>
      </c>
      <c r="DCI8" t="s">
        <v>6984</v>
      </c>
      <c r="DCJ8" t="s">
        <v>6984</v>
      </c>
      <c r="DCK8" t="s">
        <v>6984</v>
      </c>
      <c r="DCL8" t="s">
        <v>6984</v>
      </c>
      <c r="DCM8" t="s">
        <v>6984</v>
      </c>
      <c r="DCN8" t="s">
        <v>6984</v>
      </c>
      <c r="DCO8" t="s">
        <v>6984</v>
      </c>
      <c r="DCP8" t="s">
        <v>6984</v>
      </c>
      <c r="DCQ8" t="s">
        <v>6984</v>
      </c>
      <c r="DCR8" t="s">
        <v>6984</v>
      </c>
      <c r="DCS8" t="s">
        <v>6984</v>
      </c>
      <c r="DCT8" t="s">
        <v>6984</v>
      </c>
      <c r="DCU8" t="s">
        <v>6984</v>
      </c>
      <c r="DCV8" t="s">
        <v>6984</v>
      </c>
      <c r="DCW8" t="s">
        <v>6984</v>
      </c>
      <c r="DCX8" t="s">
        <v>6984</v>
      </c>
      <c r="DCY8" t="s">
        <v>6984</v>
      </c>
      <c r="DCZ8" t="s">
        <v>6984</v>
      </c>
      <c r="DDA8" t="s">
        <v>6984</v>
      </c>
      <c r="DDB8" t="s">
        <v>6984</v>
      </c>
      <c r="DDC8" t="s">
        <v>6984</v>
      </c>
      <c r="DDD8" t="s">
        <v>6984</v>
      </c>
      <c r="DDE8" t="s">
        <v>6984</v>
      </c>
      <c r="DDF8" t="s">
        <v>6984</v>
      </c>
      <c r="DDG8" t="s">
        <v>6984</v>
      </c>
      <c r="DDH8" t="s">
        <v>6984</v>
      </c>
      <c r="DDI8" t="s">
        <v>6984</v>
      </c>
      <c r="DDJ8" t="s">
        <v>6984</v>
      </c>
      <c r="DDK8" t="s">
        <v>6984</v>
      </c>
      <c r="DDL8" t="s">
        <v>6984</v>
      </c>
      <c r="DDM8" t="s">
        <v>6984</v>
      </c>
      <c r="DDN8" t="s">
        <v>6984</v>
      </c>
      <c r="DDO8" t="s">
        <v>6984</v>
      </c>
      <c r="DDP8" t="s">
        <v>6984</v>
      </c>
      <c r="DDQ8" t="s">
        <v>6984</v>
      </c>
      <c r="DDR8" t="s">
        <v>6984</v>
      </c>
      <c r="DDS8" t="s">
        <v>6984</v>
      </c>
      <c r="DDT8" t="s">
        <v>6984</v>
      </c>
      <c r="DDU8" t="s">
        <v>6984</v>
      </c>
      <c r="DDV8" t="s">
        <v>6984</v>
      </c>
      <c r="DDW8" t="s">
        <v>6984</v>
      </c>
      <c r="DDX8" t="s">
        <v>6984</v>
      </c>
      <c r="DDY8" t="s">
        <v>6984</v>
      </c>
      <c r="DDZ8" t="s">
        <v>6984</v>
      </c>
      <c r="DEA8" t="s">
        <v>6984</v>
      </c>
      <c r="DEB8" t="s">
        <v>6984</v>
      </c>
      <c r="DEC8" t="s">
        <v>6984</v>
      </c>
      <c r="DED8" t="s">
        <v>6984</v>
      </c>
      <c r="DEE8" t="s">
        <v>6984</v>
      </c>
      <c r="DEF8" t="s">
        <v>6984</v>
      </c>
      <c r="DEG8" t="s">
        <v>6984</v>
      </c>
      <c r="DEH8" t="s">
        <v>6984</v>
      </c>
      <c r="DEI8" t="s">
        <v>6984</v>
      </c>
      <c r="DEJ8" t="s">
        <v>6984</v>
      </c>
      <c r="DEK8" t="s">
        <v>6984</v>
      </c>
      <c r="DEL8" t="s">
        <v>6984</v>
      </c>
      <c r="DEM8" t="s">
        <v>6984</v>
      </c>
      <c r="DEN8" t="s">
        <v>6984</v>
      </c>
      <c r="DEO8" t="s">
        <v>6984</v>
      </c>
      <c r="DEP8" t="s">
        <v>6984</v>
      </c>
      <c r="DEQ8" t="s">
        <v>6984</v>
      </c>
      <c r="DER8" t="s">
        <v>6984</v>
      </c>
      <c r="DES8" t="s">
        <v>6984</v>
      </c>
      <c r="DET8" t="s">
        <v>6984</v>
      </c>
      <c r="DEU8" t="s">
        <v>6984</v>
      </c>
      <c r="DEV8" t="s">
        <v>6984</v>
      </c>
      <c r="DEW8" t="s">
        <v>6984</v>
      </c>
      <c r="DEX8" t="s">
        <v>6984</v>
      </c>
      <c r="DEY8" t="s">
        <v>6984</v>
      </c>
      <c r="DEZ8" t="s">
        <v>6984</v>
      </c>
      <c r="DFA8" t="s">
        <v>6984</v>
      </c>
      <c r="DFB8" t="s">
        <v>6984</v>
      </c>
      <c r="DFC8" t="s">
        <v>6984</v>
      </c>
      <c r="DFD8" t="s">
        <v>6984</v>
      </c>
      <c r="DFE8" t="s">
        <v>6984</v>
      </c>
      <c r="DFF8" t="s">
        <v>6984</v>
      </c>
      <c r="DFG8" t="s">
        <v>6984</v>
      </c>
      <c r="DFH8" t="s">
        <v>6984</v>
      </c>
      <c r="DFI8" t="s">
        <v>6984</v>
      </c>
      <c r="DFJ8" t="s">
        <v>6984</v>
      </c>
      <c r="DFK8" t="s">
        <v>6984</v>
      </c>
      <c r="DFL8" t="s">
        <v>6984</v>
      </c>
      <c r="DFM8" t="s">
        <v>6984</v>
      </c>
      <c r="DFN8" t="s">
        <v>6984</v>
      </c>
      <c r="DFO8" t="s">
        <v>6984</v>
      </c>
      <c r="DFP8" t="s">
        <v>6984</v>
      </c>
      <c r="DFQ8" t="s">
        <v>6984</v>
      </c>
      <c r="DFR8" t="s">
        <v>6984</v>
      </c>
      <c r="DFS8" t="s">
        <v>6984</v>
      </c>
      <c r="DFT8" t="s">
        <v>6984</v>
      </c>
      <c r="DFU8" t="s">
        <v>6984</v>
      </c>
      <c r="DFV8" t="s">
        <v>6984</v>
      </c>
      <c r="DFW8" t="s">
        <v>6984</v>
      </c>
      <c r="DFX8" t="s">
        <v>6984</v>
      </c>
      <c r="DFY8" t="s">
        <v>6984</v>
      </c>
      <c r="DFZ8" t="s">
        <v>6984</v>
      </c>
      <c r="DGA8" t="s">
        <v>6984</v>
      </c>
      <c r="DGB8" t="s">
        <v>6984</v>
      </c>
      <c r="DGC8" t="s">
        <v>6984</v>
      </c>
      <c r="DGD8" t="s">
        <v>6984</v>
      </c>
      <c r="DGE8" t="s">
        <v>6984</v>
      </c>
      <c r="DGF8" t="s">
        <v>6984</v>
      </c>
      <c r="DGG8" t="s">
        <v>6984</v>
      </c>
      <c r="DGH8" t="s">
        <v>6984</v>
      </c>
      <c r="DGI8" t="s">
        <v>6984</v>
      </c>
      <c r="DGJ8" t="s">
        <v>6984</v>
      </c>
      <c r="DGK8" t="s">
        <v>6984</v>
      </c>
      <c r="DGL8" t="s">
        <v>6984</v>
      </c>
      <c r="DGM8" t="s">
        <v>6984</v>
      </c>
      <c r="DGN8" t="s">
        <v>6984</v>
      </c>
      <c r="DGO8" t="s">
        <v>6984</v>
      </c>
      <c r="DGP8" t="s">
        <v>6984</v>
      </c>
      <c r="DGQ8" t="s">
        <v>6984</v>
      </c>
      <c r="DGR8" t="s">
        <v>6984</v>
      </c>
      <c r="DGS8" t="s">
        <v>6984</v>
      </c>
      <c r="DGT8" t="s">
        <v>6984</v>
      </c>
      <c r="DGU8" t="s">
        <v>6984</v>
      </c>
      <c r="DGV8" t="s">
        <v>6984</v>
      </c>
      <c r="DGW8" t="s">
        <v>6984</v>
      </c>
      <c r="DGX8" t="s">
        <v>6984</v>
      </c>
      <c r="DGY8" t="s">
        <v>6984</v>
      </c>
      <c r="DGZ8" t="s">
        <v>6984</v>
      </c>
      <c r="DHA8" t="s">
        <v>6984</v>
      </c>
      <c r="DHB8" t="s">
        <v>6984</v>
      </c>
      <c r="DHC8" t="s">
        <v>6984</v>
      </c>
      <c r="DHD8" t="s">
        <v>6984</v>
      </c>
      <c r="DHE8" t="s">
        <v>6984</v>
      </c>
      <c r="DHF8" t="s">
        <v>6984</v>
      </c>
      <c r="DHG8" t="s">
        <v>6984</v>
      </c>
      <c r="DHH8" t="s">
        <v>6984</v>
      </c>
      <c r="DHI8" t="s">
        <v>6984</v>
      </c>
      <c r="DHJ8" t="s">
        <v>6984</v>
      </c>
      <c r="DHK8" t="s">
        <v>6984</v>
      </c>
      <c r="DHL8" t="s">
        <v>6984</v>
      </c>
      <c r="DHM8" t="s">
        <v>6984</v>
      </c>
      <c r="DHN8" t="s">
        <v>6984</v>
      </c>
      <c r="DHO8" t="s">
        <v>6984</v>
      </c>
      <c r="DHP8" t="s">
        <v>6984</v>
      </c>
      <c r="DHQ8" t="s">
        <v>6984</v>
      </c>
      <c r="DHR8" t="s">
        <v>6984</v>
      </c>
      <c r="DHS8" t="s">
        <v>6984</v>
      </c>
      <c r="DHT8" t="s">
        <v>6984</v>
      </c>
      <c r="DHU8" t="s">
        <v>6984</v>
      </c>
      <c r="DHV8" t="s">
        <v>6984</v>
      </c>
      <c r="DHW8" t="s">
        <v>6984</v>
      </c>
      <c r="DHX8" t="s">
        <v>6984</v>
      </c>
      <c r="DHY8" t="s">
        <v>6984</v>
      </c>
      <c r="DHZ8" t="s">
        <v>6984</v>
      </c>
      <c r="DIA8" t="s">
        <v>6984</v>
      </c>
      <c r="DIB8" t="s">
        <v>6984</v>
      </c>
      <c r="DIC8" t="s">
        <v>6984</v>
      </c>
      <c r="DID8" t="s">
        <v>6984</v>
      </c>
      <c r="DIE8" t="s">
        <v>6984</v>
      </c>
      <c r="DIF8" t="s">
        <v>6984</v>
      </c>
      <c r="DIG8" t="s">
        <v>6984</v>
      </c>
      <c r="DIH8" t="s">
        <v>6984</v>
      </c>
      <c r="DII8" t="s">
        <v>6984</v>
      </c>
      <c r="DIJ8" t="s">
        <v>6984</v>
      </c>
      <c r="DIK8" t="s">
        <v>6984</v>
      </c>
      <c r="DIL8" t="s">
        <v>6984</v>
      </c>
      <c r="DIM8" t="s">
        <v>6984</v>
      </c>
      <c r="DIN8" t="s">
        <v>6984</v>
      </c>
      <c r="DIO8" t="s">
        <v>6984</v>
      </c>
      <c r="DIP8" t="s">
        <v>6984</v>
      </c>
      <c r="DIQ8" t="s">
        <v>6984</v>
      </c>
      <c r="DIR8" t="s">
        <v>6984</v>
      </c>
      <c r="DIS8" t="s">
        <v>6984</v>
      </c>
      <c r="DIT8" t="s">
        <v>6984</v>
      </c>
      <c r="DIU8" t="s">
        <v>6984</v>
      </c>
      <c r="DIV8" t="s">
        <v>6984</v>
      </c>
      <c r="DIW8" t="s">
        <v>6984</v>
      </c>
      <c r="DIX8" t="s">
        <v>6984</v>
      </c>
      <c r="DIY8" t="s">
        <v>6984</v>
      </c>
      <c r="DIZ8" t="s">
        <v>6984</v>
      </c>
      <c r="DJA8" t="s">
        <v>6984</v>
      </c>
      <c r="DJB8" t="s">
        <v>6984</v>
      </c>
      <c r="DJC8" t="s">
        <v>6984</v>
      </c>
      <c r="DJD8" t="s">
        <v>6984</v>
      </c>
      <c r="DJE8" t="s">
        <v>6984</v>
      </c>
      <c r="DJF8" t="s">
        <v>6984</v>
      </c>
      <c r="DJG8" t="s">
        <v>6984</v>
      </c>
      <c r="DJH8" t="s">
        <v>6984</v>
      </c>
      <c r="DJI8" t="s">
        <v>6984</v>
      </c>
      <c r="DJJ8" t="s">
        <v>6984</v>
      </c>
      <c r="DJK8" t="s">
        <v>6984</v>
      </c>
      <c r="DJL8" t="s">
        <v>6984</v>
      </c>
      <c r="DJM8" t="s">
        <v>6984</v>
      </c>
      <c r="DJN8" t="s">
        <v>6984</v>
      </c>
      <c r="DJO8" t="s">
        <v>6984</v>
      </c>
      <c r="DJP8" t="s">
        <v>6984</v>
      </c>
      <c r="DJQ8" t="s">
        <v>6984</v>
      </c>
      <c r="DJR8" t="s">
        <v>6984</v>
      </c>
      <c r="DJS8" t="s">
        <v>6984</v>
      </c>
      <c r="DJT8" t="s">
        <v>6984</v>
      </c>
      <c r="DJU8" t="s">
        <v>6984</v>
      </c>
      <c r="DJV8" t="s">
        <v>6984</v>
      </c>
      <c r="DJW8" t="s">
        <v>6984</v>
      </c>
      <c r="DJX8" t="s">
        <v>6984</v>
      </c>
      <c r="DJY8" t="s">
        <v>6984</v>
      </c>
      <c r="DJZ8" t="s">
        <v>6984</v>
      </c>
      <c r="DKA8" t="s">
        <v>6984</v>
      </c>
      <c r="DKB8" t="s">
        <v>6984</v>
      </c>
      <c r="DKC8" t="s">
        <v>6984</v>
      </c>
      <c r="DKD8" t="s">
        <v>6984</v>
      </c>
      <c r="DKE8" t="s">
        <v>6984</v>
      </c>
      <c r="DKF8" t="s">
        <v>6984</v>
      </c>
      <c r="DKG8" t="s">
        <v>6984</v>
      </c>
      <c r="DKH8" t="s">
        <v>6984</v>
      </c>
      <c r="DKI8" t="s">
        <v>6984</v>
      </c>
      <c r="DKJ8" t="s">
        <v>6984</v>
      </c>
      <c r="DKK8" t="s">
        <v>6984</v>
      </c>
      <c r="DKL8" t="s">
        <v>6984</v>
      </c>
      <c r="DKM8" t="s">
        <v>6984</v>
      </c>
      <c r="DKN8" t="s">
        <v>6984</v>
      </c>
      <c r="DKO8" t="s">
        <v>6984</v>
      </c>
      <c r="DKP8" t="s">
        <v>6984</v>
      </c>
      <c r="DKQ8" t="s">
        <v>6984</v>
      </c>
      <c r="DKR8" t="s">
        <v>6984</v>
      </c>
      <c r="DKS8" t="s">
        <v>6984</v>
      </c>
      <c r="DKT8" t="s">
        <v>6984</v>
      </c>
      <c r="DKU8" t="s">
        <v>6984</v>
      </c>
      <c r="DKV8" t="s">
        <v>6984</v>
      </c>
      <c r="DKW8" t="s">
        <v>6984</v>
      </c>
      <c r="DKX8" t="s">
        <v>6984</v>
      </c>
      <c r="DKY8" t="s">
        <v>6984</v>
      </c>
      <c r="DKZ8" t="s">
        <v>6984</v>
      </c>
      <c r="DLA8" t="s">
        <v>6984</v>
      </c>
      <c r="DLB8" t="s">
        <v>6984</v>
      </c>
      <c r="DLC8" t="s">
        <v>6984</v>
      </c>
      <c r="DLD8" t="s">
        <v>6984</v>
      </c>
      <c r="DLE8" t="s">
        <v>6984</v>
      </c>
      <c r="DLF8" t="s">
        <v>6984</v>
      </c>
      <c r="DLG8" t="s">
        <v>6984</v>
      </c>
      <c r="DLH8" t="s">
        <v>6984</v>
      </c>
      <c r="DLI8" t="s">
        <v>6984</v>
      </c>
      <c r="DLJ8" t="s">
        <v>6984</v>
      </c>
      <c r="DLK8" t="s">
        <v>6984</v>
      </c>
      <c r="DLL8" t="s">
        <v>6984</v>
      </c>
      <c r="DLM8" t="s">
        <v>6984</v>
      </c>
      <c r="DLN8" t="s">
        <v>6984</v>
      </c>
      <c r="DLO8" t="s">
        <v>6984</v>
      </c>
      <c r="DLP8" t="s">
        <v>6984</v>
      </c>
      <c r="DLQ8" t="s">
        <v>6984</v>
      </c>
      <c r="DLR8" t="s">
        <v>6984</v>
      </c>
      <c r="DLS8" t="s">
        <v>6984</v>
      </c>
      <c r="DLT8" t="s">
        <v>6984</v>
      </c>
      <c r="DLU8" t="s">
        <v>6984</v>
      </c>
      <c r="DLV8" t="s">
        <v>6984</v>
      </c>
      <c r="DLW8" t="s">
        <v>6984</v>
      </c>
      <c r="DLX8" t="s">
        <v>6984</v>
      </c>
      <c r="DLY8" t="s">
        <v>6984</v>
      </c>
      <c r="DLZ8" t="s">
        <v>6984</v>
      </c>
      <c r="DMA8" t="s">
        <v>6984</v>
      </c>
      <c r="DMB8" t="s">
        <v>6984</v>
      </c>
      <c r="DMC8" t="s">
        <v>6984</v>
      </c>
      <c r="DMD8" t="s">
        <v>6984</v>
      </c>
      <c r="DME8" t="s">
        <v>6984</v>
      </c>
      <c r="DMF8" t="s">
        <v>6984</v>
      </c>
      <c r="DMG8" t="s">
        <v>6984</v>
      </c>
      <c r="DMH8" t="s">
        <v>6984</v>
      </c>
      <c r="DMI8" t="s">
        <v>6984</v>
      </c>
      <c r="DMJ8" t="s">
        <v>6984</v>
      </c>
      <c r="DMK8" t="s">
        <v>6984</v>
      </c>
      <c r="DML8" t="s">
        <v>6984</v>
      </c>
      <c r="DMM8" t="s">
        <v>6984</v>
      </c>
      <c r="DMN8" t="s">
        <v>6984</v>
      </c>
      <c r="DMO8" t="s">
        <v>6984</v>
      </c>
      <c r="DMP8" t="s">
        <v>6984</v>
      </c>
      <c r="DMQ8" t="s">
        <v>6984</v>
      </c>
      <c r="DMR8" t="s">
        <v>6984</v>
      </c>
      <c r="DMS8" t="s">
        <v>6984</v>
      </c>
      <c r="DMT8" t="s">
        <v>6984</v>
      </c>
      <c r="DMU8" t="s">
        <v>6984</v>
      </c>
      <c r="DMV8" t="s">
        <v>6984</v>
      </c>
      <c r="DMW8" t="s">
        <v>6984</v>
      </c>
      <c r="DMX8" t="s">
        <v>6984</v>
      </c>
      <c r="DMY8" t="s">
        <v>6984</v>
      </c>
      <c r="DMZ8" t="s">
        <v>6984</v>
      </c>
      <c r="DNA8" t="s">
        <v>6984</v>
      </c>
      <c r="DNB8" t="s">
        <v>6984</v>
      </c>
      <c r="DNC8" t="s">
        <v>6984</v>
      </c>
      <c r="DND8" t="s">
        <v>6984</v>
      </c>
      <c r="DNE8" t="s">
        <v>6984</v>
      </c>
      <c r="DNF8" t="s">
        <v>6984</v>
      </c>
      <c r="DNG8" t="s">
        <v>6984</v>
      </c>
      <c r="DNH8" t="s">
        <v>6984</v>
      </c>
      <c r="DNI8" t="s">
        <v>6984</v>
      </c>
      <c r="DNJ8" t="s">
        <v>6984</v>
      </c>
      <c r="DNK8" t="s">
        <v>6984</v>
      </c>
      <c r="DNL8" t="s">
        <v>6984</v>
      </c>
      <c r="DNM8" t="s">
        <v>6984</v>
      </c>
      <c r="DNN8" t="s">
        <v>6984</v>
      </c>
      <c r="DNO8" t="s">
        <v>6984</v>
      </c>
      <c r="DNP8" t="s">
        <v>6984</v>
      </c>
      <c r="DNQ8" t="s">
        <v>6984</v>
      </c>
      <c r="DNR8" t="s">
        <v>6984</v>
      </c>
      <c r="DNS8" t="s">
        <v>6984</v>
      </c>
      <c r="DNT8" t="s">
        <v>6984</v>
      </c>
      <c r="DNU8" t="s">
        <v>6984</v>
      </c>
      <c r="DNV8" t="s">
        <v>6984</v>
      </c>
      <c r="DNW8" t="s">
        <v>6984</v>
      </c>
      <c r="DNX8" t="s">
        <v>6984</v>
      </c>
      <c r="DNY8" t="s">
        <v>6984</v>
      </c>
      <c r="DNZ8" t="s">
        <v>6984</v>
      </c>
      <c r="DOA8" t="s">
        <v>6984</v>
      </c>
      <c r="DOB8" t="s">
        <v>6984</v>
      </c>
      <c r="DOC8" t="s">
        <v>6984</v>
      </c>
      <c r="DOD8" t="s">
        <v>6984</v>
      </c>
      <c r="DOE8" t="s">
        <v>6984</v>
      </c>
      <c r="DOF8" t="s">
        <v>6984</v>
      </c>
      <c r="DOG8" t="s">
        <v>6984</v>
      </c>
      <c r="DOH8" t="s">
        <v>6984</v>
      </c>
      <c r="DOI8" t="s">
        <v>6984</v>
      </c>
      <c r="DOJ8" t="s">
        <v>6984</v>
      </c>
      <c r="DOK8" t="s">
        <v>6984</v>
      </c>
      <c r="DOL8" t="s">
        <v>6984</v>
      </c>
      <c r="DOM8" t="s">
        <v>6984</v>
      </c>
      <c r="DON8" t="s">
        <v>6984</v>
      </c>
      <c r="DOO8" t="s">
        <v>6984</v>
      </c>
      <c r="DOP8" t="s">
        <v>6984</v>
      </c>
      <c r="DOQ8" t="s">
        <v>6984</v>
      </c>
      <c r="DOR8" t="s">
        <v>6984</v>
      </c>
      <c r="DOS8" t="s">
        <v>6984</v>
      </c>
      <c r="DOT8" t="s">
        <v>6984</v>
      </c>
      <c r="DOU8" t="s">
        <v>6984</v>
      </c>
      <c r="DOV8" t="s">
        <v>6984</v>
      </c>
      <c r="DOW8" t="s">
        <v>6984</v>
      </c>
      <c r="DOX8" t="s">
        <v>6984</v>
      </c>
      <c r="DOY8" t="s">
        <v>6984</v>
      </c>
      <c r="DOZ8" t="s">
        <v>6984</v>
      </c>
      <c r="DPA8" t="s">
        <v>6984</v>
      </c>
      <c r="DPB8" t="s">
        <v>6984</v>
      </c>
      <c r="DPC8" t="s">
        <v>6984</v>
      </c>
      <c r="DPD8" t="s">
        <v>6984</v>
      </c>
      <c r="DPE8" t="s">
        <v>6984</v>
      </c>
      <c r="DPF8" t="s">
        <v>6984</v>
      </c>
      <c r="DPG8" t="s">
        <v>6984</v>
      </c>
      <c r="DPH8" t="s">
        <v>6984</v>
      </c>
      <c r="DPI8" t="s">
        <v>6984</v>
      </c>
      <c r="DPJ8" t="s">
        <v>6984</v>
      </c>
      <c r="DPK8" t="s">
        <v>6984</v>
      </c>
      <c r="DPL8" t="s">
        <v>6984</v>
      </c>
      <c r="DPM8" t="s">
        <v>6984</v>
      </c>
      <c r="DPN8" t="s">
        <v>6984</v>
      </c>
      <c r="DPO8" t="s">
        <v>6984</v>
      </c>
      <c r="DPP8" t="s">
        <v>6984</v>
      </c>
      <c r="DPQ8" t="s">
        <v>6984</v>
      </c>
      <c r="DPR8" t="s">
        <v>6984</v>
      </c>
      <c r="DPS8" t="s">
        <v>6984</v>
      </c>
      <c r="DPT8" t="s">
        <v>6984</v>
      </c>
      <c r="DPU8" t="s">
        <v>6984</v>
      </c>
      <c r="DPV8" t="s">
        <v>6984</v>
      </c>
      <c r="DPW8" t="s">
        <v>6984</v>
      </c>
      <c r="DPX8" t="s">
        <v>6984</v>
      </c>
      <c r="DPY8" t="s">
        <v>6984</v>
      </c>
      <c r="DPZ8" t="s">
        <v>6984</v>
      </c>
      <c r="DQA8" t="s">
        <v>6984</v>
      </c>
      <c r="DQB8" t="s">
        <v>6984</v>
      </c>
      <c r="DQC8" t="s">
        <v>6984</v>
      </c>
      <c r="DQD8" t="s">
        <v>6984</v>
      </c>
      <c r="DQE8" t="s">
        <v>6984</v>
      </c>
      <c r="DQF8" t="s">
        <v>6984</v>
      </c>
      <c r="DQG8" t="s">
        <v>6984</v>
      </c>
      <c r="DQH8" t="s">
        <v>6984</v>
      </c>
      <c r="DQI8" t="s">
        <v>6984</v>
      </c>
      <c r="DQJ8" t="s">
        <v>6984</v>
      </c>
      <c r="DQK8" t="s">
        <v>6984</v>
      </c>
      <c r="DQL8" t="s">
        <v>6984</v>
      </c>
      <c r="DQM8" t="s">
        <v>6984</v>
      </c>
      <c r="DQN8" t="s">
        <v>6984</v>
      </c>
      <c r="DQO8" t="s">
        <v>6984</v>
      </c>
      <c r="DQP8" t="s">
        <v>6984</v>
      </c>
      <c r="DQQ8" t="s">
        <v>6984</v>
      </c>
      <c r="DQR8" t="s">
        <v>6984</v>
      </c>
      <c r="DQS8" t="s">
        <v>6984</v>
      </c>
      <c r="DQT8" t="s">
        <v>6984</v>
      </c>
      <c r="DQU8" t="s">
        <v>6984</v>
      </c>
      <c r="DQV8" t="s">
        <v>6984</v>
      </c>
      <c r="DQW8" t="s">
        <v>6984</v>
      </c>
      <c r="DQX8" t="s">
        <v>6984</v>
      </c>
      <c r="DQY8" t="s">
        <v>6984</v>
      </c>
      <c r="DQZ8" t="s">
        <v>6984</v>
      </c>
      <c r="DRA8" t="s">
        <v>6984</v>
      </c>
      <c r="DRB8" t="s">
        <v>6984</v>
      </c>
      <c r="DRC8" t="s">
        <v>6984</v>
      </c>
      <c r="DRD8" t="s">
        <v>6984</v>
      </c>
      <c r="DRE8" t="s">
        <v>6984</v>
      </c>
      <c r="DRF8" t="s">
        <v>6984</v>
      </c>
      <c r="DRG8" t="s">
        <v>6984</v>
      </c>
      <c r="DRH8" t="s">
        <v>6984</v>
      </c>
      <c r="DRI8" t="s">
        <v>6984</v>
      </c>
      <c r="DRJ8" t="s">
        <v>6984</v>
      </c>
      <c r="DRK8" t="s">
        <v>6984</v>
      </c>
      <c r="DRL8" t="s">
        <v>6984</v>
      </c>
      <c r="DRM8" t="s">
        <v>6984</v>
      </c>
      <c r="DRN8" t="s">
        <v>6984</v>
      </c>
      <c r="DRO8" t="s">
        <v>6984</v>
      </c>
      <c r="DRP8" t="s">
        <v>6984</v>
      </c>
      <c r="DRQ8" t="s">
        <v>6984</v>
      </c>
      <c r="DRR8" t="s">
        <v>6984</v>
      </c>
      <c r="DRS8" t="s">
        <v>6984</v>
      </c>
      <c r="DRT8" t="s">
        <v>6984</v>
      </c>
      <c r="DRU8" t="s">
        <v>6984</v>
      </c>
      <c r="DRV8" t="s">
        <v>6984</v>
      </c>
      <c r="DRW8" t="s">
        <v>6984</v>
      </c>
      <c r="DRX8" t="s">
        <v>6984</v>
      </c>
      <c r="DRY8" t="s">
        <v>6984</v>
      </c>
      <c r="DRZ8" t="s">
        <v>6984</v>
      </c>
      <c r="DSA8" t="s">
        <v>6984</v>
      </c>
      <c r="DSB8" t="s">
        <v>6984</v>
      </c>
      <c r="DSC8" t="s">
        <v>6984</v>
      </c>
      <c r="DSD8" t="s">
        <v>6984</v>
      </c>
      <c r="DSE8" t="s">
        <v>6984</v>
      </c>
      <c r="DSF8" t="s">
        <v>6984</v>
      </c>
      <c r="DSG8" t="s">
        <v>6984</v>
      </c>
      <c r="DSH8" t="s">
        <v>6984</v>
      </c>
      <c r="DSI8" t="s">
        <v>6984</v>
      </c>
      <c r="DSJ8" t="s">
        <v>6984</v>
      </c>
      <c r="DSK8" t="s">
        <v>6984</v>
      </c>
      <c r="DSL8" t="s">
        <v>6984</v>
      </c>
      <c r="DSM8" t="s">
        <v>6984</v>
      </c>
      <c r="DSN8" t="s">
        <v>6984</v>
      </c>
      <c r="DSO8" t="s">
        <v>6984</v>
      </c>
      <c r="DSP8" t="s">
        <v>6984</v>
      </c>
      <c r="DSQ8" t="s">
        <v>6984</v>
      </c>
      <c r="DSR8" t="s">
        <v>6984</v>
      </c>
      <c r="DSS8" t="s">
        <v>6984</v>
      </c>
      <c r="DST8" t="s">
        <v>6984</v>
      </c>
      <c r="DSU8" t="s">
        <v>6984</v>
      </c>
      <c r="DSV8" t="s">
        <v>6984</v>
      </c>
      <c r="DSW8" t="s">
        <v>6984</v>
      </c>
      <c r="DSX8" t="s">
        <v>6984</v>
      </c>
      <c r="DSY8" t="s">
        <v>6984</v>
      </c>
      <c r="DSZ8" t="s">
        <v>6984</v>
      </c>
      <c r="DTA8" t="s">
        <v>6984</v>
      </c>
      <c r="DTB8" t="s">
        <v>6984</v>
      </c>
      <c r="DTC8" t="s">
        <v>6984</v>
      </c>
      <c r="DTD8" t="s">
        <v>6984</v>
      </c>
      <c r="DTE8" t="s">
        <v>6984</v>
      </c>
      <c r="DTF8" t="s">
        <v>6984</v>
      </c>
      <c r="DTG8" t="s">
        <v>6984</v>
      </c>
      <c r="DTH8" t="s">
        <v>6984</v>
      </c>
      <c r="DTI8" t="s">
        <v>6984</v>
      </c>
      <c r="DTJ8" t="s">
        <v>6984</v>
      </c>
      <c r="DTK8" t="s">
        <v>6984</v>
      </c>
      <c r="DTL8" t="s">
        <v>6984</v>
      </c>
      <c r="DTM8" t="s">
        <v>6984</v>
      </c>
      <c r="DTN8" t="s">
        <v>6984</v>
      </c>
      <c r="DTO8" t="s">
        <v>6984</v>
      </c>
      <c r="DTP8" t="s">
        <v>6984</v>
      </c>
      <c r="DTQ8" t="s">
        <v>6984</v>
      </c>
      <c r="DTR8" t="s">
        <v>6984</v>
      </c>
      <c r="DTS8" t="s">
        <v>6984</v>
      </c>
      <c r="DTT8" t="s">
        <v>6984</v>
      </c>
      <c r="DTU8" t="s">
        <v>6984</v>
      </c>
      <c r="DTV8" t="s">
        <v>6984</v>
      </c>
      <c r="DTW8" t="s">
        <v>6984</v>
      </c>
      <c r="DTX8" t="s">
        <v>6984</v>
      </c>
      <c r="DTY8" t="s">
        <v>6984</v>
      </c>
      <c r="DTZ8" t="s">
        <v>6984</v>
      </c>
      <c r="DUA8" t="s">
        <v>6984</v>
      </c>
      <c r="DUB8" t="s">
        <v>6984</v>
      </c>
      <c r="DUC8" t="s">
        <v>6984</v>
      </c>
      <c r="DUD8" t="s">
        <v>6984</v>
      </c>
      <c r="DUE8" t="s">
        <v>6984</v>
      </c>
      <c r="DUF8" t="s">
        <v>6984</v>
      </c>
      <c r="DUG8" t="s">
        <v>6984</v>
      </c>
      <c r="DUH8" t="s">
        <v>6984</v>
      </c>
      <c r="DUI8" t="s">
        <v>6984</v>
      </c>
      <c r="DUJ8" t="s">
        <v>6984</v>
      </c>
      <c r="DUK8" t="s">
        <v>6984</v>
      </c>
      <c r="DUL8" t="s">
        <v>6984</v>
      </c>
      <c r="DUM8" t="s">
        <v>6984</v>
      </c>
      <c r="DUN8" t="s">
        <v>6984</v>
      </c>
      <c r="DUO8" t="s">
        <v>6984</v>
      </c>
      <c r="DUP8" t="s">
        <v>6984</v>
      </c>
      <c r="DUQ8" t="s">
        <v>6984</v>
      </c>
      <c r="DUR8" t="s">
        <v>6984</v>
      </c>
      <c r="DUS8" t="s">
        <v>6984</v>
      </c>
      <c r="DUT8" t="s">
        <v>6984</v>
      </c>
      <c r="DUU8" t="s">
        <v>6984</v>
      </c>
      <c r="DUV8" t="s">
        <v>6984</v>
      </c>
      <c r="DUW8" t="s">
        <v>6984</v>
      </c>
      <c r="DUX8" t="s">
        <v>6984</v>
      </c>
      <c r="DUY8" t="s">
        <v>6984</v>
      </c>
      <c r="DUZ8" t="s">
        <v>6984</v>
      </c>
      <c r="DVA8" t="s">
        <v>6984</v>
      </c>
      <c r="DVB8" t="s">
        <v>6984</v>
      </c>
      <c r="DVC8" t="s">
        <v>6984</v>
      </c>
      <c r="DVD8" t="s">
        <v>6984</v>
      </c>
      <c r="DVE8" t="s">
        <v>6984</v>
      </c>
      <c r="DVF8" t="s">
        <v>6984</v>
      </c>
      <c r="DVG8" t="s">
        <v>6984</v>
      </c>
      <c r="DVH8" t="s">
        <v>6984</v>
      </c>
      <c r="DVI8" t="s">
        <v>6984</v>
      </c>
      <c r="DVJ8" t="s">
        <v>6984</v>
      </c>
      <c r="DVK8" t="s">
        <v>6984</v>
      </c>
      <c r="DVL8" t="s">
        <v>6984</v>
      </c>
      <c r="DVM8" t="s">
        <v>6984</v>
      </c>
      <c r="DVN8" t="s">
        <v>6984</v>
      </c>
      <c r="DVO8" t="s">
        <v>6984</v>
      </c>
      <c r="DVP8" t="s">
        <v>6984</v>
      </c>
      <c r="DVQ8" t="s">
        <v>6984</v>
      </c>
      <c r="DVR8" t="s">
        <v>6984</v>
      </c>
      <c r="DVS8" t="s">
        <v>6984</v>
      </c>
      <c r="DVT8" t="s">
        <v>6984</v>
      </c>
      <c r="DVU8" t="s">
        <v>6984</v>
      </c>
      <c r="DVV8" t="s">
        <v>6984</v>
      </c>
      <c r="DVW8" t="s">
        <v>6984</v>
      </c>
      <c r="DVX8" t="s">
        <v>6984</v>
      </c>
      <c r="DVY8" t="s">
        <v>6984</v>
      </c>
      <c r="DVZ8" t="s">
        <v>6984</v>
      </c>
      <c r="DWA8" t="s">
        <v>6984</v>
      </c>
      <c r="DWB8" t="s">
        <v>6984</v>
      </c>
      <c r="DWC8" t="s">
        <v>6984</v>
      </c>
      <c r="DWD8" t="s">
        <v>6984</v>
      </c>
      <c r="DWE8" t="s">
        <v>6984</v>
      </c>
      <c r="DWF8" t="s">
        <v>6984</v>
      </c>
      <c r="DWG8" t="s">
        <v>6984</v>
      </c>
      <c r="DWH8" t="s">
        <v>6984</v>
      </c>
      <c r="DWI8" t="s">
        <v>6984</v>
      </c>
      <c r="DWJ8" t="s">
        <v>6984</v>
      </c>
      <c r="DWK8" t="s">
        <v>6984</v>
      </c>
      <c r="DWL8" t="s">
        <v>6984</v>
      </c>
      <c r="DWM8" t="s">
        <v>6984</v>
      </c>
      <c r="DWN8" t="s">
        <v>6984</v>
      </c>
      <c r="DWO8" t="s">
        <v>6984</v>
      </c>
      <c r="DWP8" t="s">
        <v>6984</v>
      </c>
      <c r="DWQ8" t="s">
        <v>6984</v>
      </c>
      <c r="DWR8" t="s">
        <v>6984</v>
      </c>
      <c r="DWS8" t="s">
        <v>6984</v>
      </c>
      <c r="DWT8" t="s">
        <v>6984</v>
      </c>
      <c r="DWU8" t="s">
        <v>6984</v>
      </c>
      <c r="DWV8" t="s">
        <v>6984</v>
      </c>
      <c r="DWW8" t="s">
        <v>6984</v>
      </c>
      <c r="DWX8" t="s">
        <v>6984</v>
      </c>
      <c r="DWY8" t="s">
        <v>6984</v>
      </c>
      <c r="DWZ8" t="s">
        <v>6984</v>
      </c>
      <c r="DXA8" t="s">
        <v>6984</v>
      </c>
      <c r="DXB8" t="s">
        <v>6984</v>
      </c>
      <c r="DXC8" t="s">
        <v>6984</v>
      </c>
      <c r="DXD8" t="s">
        <v>6984</v>
      </c>
      <c r="DXE8" t="s">
        <v>6984</v>
      </c>
      <c r="DXF8" t="s">
        <v>6984</v>
      </c>
      <c r="DXG8" t="s">
        <v>6984</v>
      </c>
      <c r="DXH8" t="s">
        <v>6984</v>
      </c>
      <c r="DXI8" t="s">
        <v>6984</v>
      </c>
      <c r="DXJ8" t="s">
        <v>6984</v>
      </c>
      <c r="DXK8" t="s">
        <v>6984</v>
      </c>
      <c r="DXL8" t="s">
        <v>6984</v>
      </c>
      <c r="DXM8" t="s">
        <v>6984</v>
      </c>
      <c r="DXN8" t="s">
        <v>6984</v>
      </c>
      <c r="DXO8" t="s">
        <v>6984</v>
      </c>
      <c r="DXP8" t="s">
        <v>6984</v>
      </c>
      <c r="DXQ8" t="s">
        <v>6984</v>
      </c>
      <c r="DXR8" t="s">
        <v>6984</v>
      </c>
      <c r="DXS8" t="s">
        <v>6984</v>
      </c>
      <c r="DXT8" t="s">
        <v>6984</v>
      </c>
      <c r="DXU8" t="s">
        <v>6984</v>
      </c>
      <c r="DXV8" t="s">
        <v>6984</v>
      </c>
      <c r="DXW8" t="s">
        <v>6984</v>
      </c>
      <c r="DXX8" t="s">
        <v>6984</v>
      </c>
      <c r="DXY8" t="s">
        <v>6984</v>
      </c>
      <c r="DXZ8" t="s">
        <v>6984</v>
      </c>
      <c r="DYA8" t="s">
        <v>6984</v>
      </c>
      <c r="DYB8" t="s">
        <v>6984</v>
      </c>
      <c r="DYC8" t="s">
        <v>6984</v>
      </c>
      <c r="DYD8" t="s">
        <v>6984</v>
      </c>
      <c r="DYE8" t="s">
        <v>6984</v>
      </c>
      <c r="DYF8" t="s">
        <v>6984</v>
      </c>
      <c r="DYG8" t="s">
        <v>6984</v>
      </c>
      <c r="DYH8" t="s">
        <v>6984</v>
      </c>
      <c r="DYI8" t="s">
        <v>6984</v>
      </c>
      <c r="DYJ8" t="s">
        <v>6984</v>
      </c>
      <c r="DYK8" t="s">
        <v>6984</v>
      </c>
      <c r="DYL8" t="s">
        <v>6984</v>
      </c>
      <c r="DYM8" t="s">
        <v>6984</v>
      </c>
      <c r="DYN8" t="s">
        <v>6984</v>
      </c>
      <c r="DYO8" t="s">
        <v>6984</v>
      </c>
      <c r="DYP8" t="s">
        <v>6984</v>
      </c>
      <c r="DYQ8" t="s">
        <v>6984</v>
      </c>
      <c r="DYR8" t="s">
        <v>6984</v>
      </c>
      <c r="DYS8" t="s">
        <v>6984</v>
      </c>
      <c r="DYT8" t="s">
        <v>6984</v>
      </c>
      <c r="DYU8" t="s">
        <v>6984</v>
      </c>
      <c r="DYV8" t="s">
        <v>6984</v>
      </c>
      <c r="DYW8" t="s">
        <v>6984</v>
      </c>
      <c r="DYX8" t="s">
        <v>6984</v>
      </c>
      <c r="DYY8" t="s">
        <v>6984</v>
      </c>
      <c r="DYZ8" t="s">
        <v>6984</v>
      </c>
      <c r="DZA8" t="s">
        <v>6984</v>
      </c>
      <c r="DZB8" t="s">
        <v>6984</v>
      </c>
      <c r="DZC8" t="s">
        <v>6984</v>
      </c>
      <c r="DZD8" t="s">
        <v>6984</v>
      </c>
      <c r="DZE8" t="s">
        <v>6984</v>
      </c>
      <c r="DZF8" t="s">
        <v>6984</v>
      </c>
      <c r="DZG8" t="s">
        <v>6984</v>
      </c>
      <c r="DZH8" t="s">
        <v>6984</v>
      </c>
      <c r="DZI8" t="s">
        <v>6984</v>
      </c>
      <c r="DZJ8" t="s">
        <v>6984</v>
      </c>
      <c r="DZK8" t="s">
        <v>6984</v>
      </c>
      <c r="DZL8" t="s">
        <v>6984</v>
      </c>
      <c r="DZM8" t="s">
        <v>6984</v>
      </c>
      <c r="DZN8" t="s">
        <v>6984</v>
      </c>
      <c r="DZO8" t="s">
        <v>6984</v>
      </c>
      <c r="DZP8" t="s">
        <v>6984</v>
      </c>
      <c r="DZQ8" t="s">
        <v>6984</v>
      </c>
      <c r="DZR8" t="s">
        <v>6984</v>
      </c>
      <c r="DZS8" t="s">
        <v>6984</v>
      </c>
      <c r="DZT8" t="s">
        <v>6984</v>
      </c>
      <c r="DZU8" t="s">
        <v>6984</v>
      </c>
      <c r="DZV8" t="s">
        <v>6984</v>
      </c>
      <c r="DZW8" t="s">
        <v>6984</v>
      </c>
      <c r="DZX8" t="s">
        <v>6984</v>
      </c>
      <c r="DZY8" t="s">
        <v>6984</v>
      </c>
      <c r="DZZ8" t="s">
        <v>6984</v>
      </c>
      <c r="EAA8" t="s">
        <v>6984</v>
      </c>
      <c r="EAB8" t="s">
        <v>6984</v>
      </c>
      <c r="EAC8" t="s">
        <v>6984</v>
      </c>
      <c r="EAD8" t="s">
        <v>6984</v>
      </c>
      <c r="EAE8" t="s">
        <v>6984</v>
      </c>
      <c r="EAF8" t="s">
        <v>6984</v>
      </c>
      <c r="EAG8" t="s">
        <v>6984</v>
      </c>
      <c r="EAH8" t="s">
        <v>6984</v>
      </c>
      <c r="EAI8" t="s">
        <v>6984</v>
      </c>
      <c r="EAJ8" t="s">
        <v>6984</v>
      </c>
      <c r="EAK8" t="s">
        <v>6984</v>
      </c>
      <c r="EAL8" t="s">
        <v>6984</v>
      </c>
      <c r="EAM8" t="s">
        <v>6984</v>
      </c>
      <c r="EAN8" t="s">
        <v>6984</v>
      </c>
      <c r="EAO8" t="s">
        <v>6984</v>
      </c>
      <c r="EAP8" t="s">
        <v>6984</v>
      </c>
      <c r="EAQ8" t="s">
        <v>6984</v>
      </c>
      <c r="EAR8" t="s">
        <v>6984</v>
      </c>
      <c r="EAS8" t="s">
        <v>6984</v>
      </c>
      <c r="EAT8" t="s">
        <v>6984</v>
      </c>
      <c r="EAU8" t="s">
        <v>6984</v>
      </c>
      <c r="EAV8" t="s">
        <v>6984</v>
      </c>
      <c r="EAW8" t="s">
        <v>6984</v>
      </c>
      <c r="EAX8" t="s">
        <v>6984</v>
      </c>
      <c r="EAY8" t="s">
        <v>6984</v>
      </c>
      <c r="EAZ8" t="s">
        <v>6984</v>
      </c>
      <c r="EBA8" t="s">
        <v>6984</v>
      </c>
      <c r="EBB8" t="s">
        <v>6984</v>
      </c>
      <c r="EBC8" t="s">
        <v>6984</v>
      </c>
      <c r="EBD8" t="s">
        <v>6984</v>
      </c>
      <c r="EBE8" t="s">
        <v>6984</v>
      </c>
      <c r="EBF8" t="s">
        <v>6984</v>
      </c>
      <c r="EBG8" t="s">
        <v>6984</v>
      </c>
      <c r="EBH8" t="s">
        <v>6984</v>
      </c>
      <c r="EBI8" t="s">
        <v>6984</v>
      </c>
      <c r="EBJ8" t="s">
        <v>6984</v>
      </c>
      <c r="EBK8" t="s">
        <v>6984</v>
      </c>
      <c r="EBL8" t="s">
        <v>6984</v>
      </c>
      <c r="EBM8" t="s">
        <v>6984</v>
      </c>
      <c r="EBN8" t="s">
        <v>6984</v>
      </c>
      <c r="EBO8" t="s">
        <v>6984</v>
      </c>
      <c r="EBP8" t="s">
        <v>6984</v>
      </c>
      <c r="EBQ8" t="s">
        <v>6984</v>
      </c>
      <c r="EBR8" t="s">
        <v>6984</v>
      </c>
      <c r="EBS8" t="s">
        <v>6984</v>
      </c>
      <c r="EBT8" t="s">
        <v>6984</v>
      </c>
      <c r="EBU8" t="s">
        <v>6984</v>
      </c>
      <c r="EBV8" t="s">
        <v>6984</v>
      </c>
      <c r="EBW8" t="s">
        <v>6984</v>
      </c>
      <c r="EBX8" t="s">
        <v>6984</v>
      </c>
      <c r="EBY8" t="s">
        <v>6984</v>
      </c>
      <c r="EBZ8" t="s">
        <v>6984</v>
      </c>
      <c r="ECA8" t="s">
        <v>6984</v>
      </c>
      <c r="ECB8" t="s">
        <v>6984</v>
      </c>
      <c r="ECC8" t="s">
        <v>6984</v>
      </c>
      <c r="ECD8" t="s">
        <v>6984</v>
      </c>
      <c r="ECE8" t="s">
        <v>6984</v>
      </c>
      <c r="ECF8" t="s">
        <v>6984</v>
      </c>
      <c r="ECG8" t="s">
        <v>6984</v>
      </c>
      <c r="ECH8" t="s">
        <v>6984</v>
      </c>
      <c r="ECI8" t="s">
        <v>6984</v>
      </c>
      <c r="ECJ8" t="s">
        <v>6984</v>
      </c>
      <c r="ECK8" t="s">
        <v>6984</v>
      </c>
      <c r="ECL8" t="s">
        <v>6984</v>
      </c>
      <c r="ECM8" t="s">
        <v>6984</v>
      </c>
      <c r="ECN8" t="s">
        <v>6984</v>
      </c>
      <c r="ECO8" t="s">
        <v>6984</v>
      </c>
      <c r="ECP8" t="s">
        <v>6984</v>
      </c>
      <c r="ECQ8" t="s">
        <v>6984</v>
      </c>
      <c r="ECR8" t="s">
        <v>6984</v>
      </c>
      <c r="ECS8" t="s">
        <v>6984</v>
      </c>
      <c r="ECT8" t="s">
        <v>6984</v>
      </c>
      <c r="ECU8" t="s">
        <v>6984</v>
      </c>
      <c r="ECV8" t="s">
        <v>6984</v>
      </c>
      <c r="ECW8" t="s">
        <v>6984</v>
      </c>
      <c r="ECX8" t="s">
        <v>6984</v>
      </c>
      <c r="ECY8" t="s">
        <v>6984</v>
      </c>
      <c r="ECZ8" t="s">
        <v>6984</v>
      </c>
      <c r="EDA8" t="s">
        <v>6984</v>
      </c>
      <c r="EDB8" t="s">
        <v>6984</v>
      </c>
      <c r="EDC8" t="s">
        <v>6984</v>
      </c>
      <c r="EDD8" t="s">
        <v>6984</v>
      </c>
      <c r="EDE8" t="s">
        <v>6984</v>
      </c>
      <c r="EDF8" t="s">
        <v>6984</v>
      </c>
      <c r="EDG8" t="s">
        <v>6984</v>
      </c>
      <c r="EDH8" t="s">
        <v>6984</v>
      </c>
      <c r="EDI8" t="s">
        <v>6984</v>
      </c>
      <c r="EDJ8" t="s">
        <v>6984</v>
      </c>
      <c r="EDK8" t="s">
        <v>6984</v>
      </c>
      <c r="EDL8" t="s">
        <v>6984</v>
      </c>
      <c r="EDM8" t="s">
        <v>6984</v>
      </c>
      <c r="EDN8" t="s">
        <v>6984</v>
      </c>
      <c r="EDO8" t="s">
        <v>6984</v>
      </c>
      <c r="EDP8" t="s">
        <v>6984</v>
      </c>
      <c r="EDQ8" t="s">
        <v>6984</v>
      </c>
      <c r="EDR8" t="s">
        <v>6984</v>
      </c>
      <c r="EDS8" t="s">
        <v>6984</v>
      </c>
      <c r="EDT8" t="s">
        <v>6984</v>
      </c>
      <c r="EDU8" t="s">
        <v>6984</v>
      </c>
      <c r="EDV8" t="s">
        <v>6984</v>
      </c>
      <c r="EDW8" t="s">
        <v>6984</v>
      </c>
      <c r="EDX8" t="s">
        <v>6984</v>
      </c>
      <c r="EDY8" t="s">
        <v>6984</v>
      </c>
      <c r="EDZ8" t="s">
        <v>6984</v>
      </c>
      <c r="EEA8" t="s">
        <v>6984</v>
      </c>
      <c r="EEB8" t="s">
        <v>6984</v>
      </c>
      <c r="EEC8" t="s">
        <v>6984</v>
      </c>
      <c r="EED8" t="s">
        <v>6984</v>
      </c>
      <c r="EEE8" t="s">
        <v>6984</v>
      </c>
      <c r="EEF8" t="s">
        <v>6984</v>
      </c>
      <c r="EEG8" t="s">
        <v>6984</v>
      </c>
      <c r="EEH8" t="s">
        <v>6984</v>
      </c>
      <c r="EEI8" t="s">
        <v>6984</v>
      </c>
      <c r="EEJ8" t="s">
        <v>6984</v>
      </c>
      <c r="EEK8" t="s">
        <v>6984</v>
      </c>
      <c r="EEL8" t="s">
        <v>6984</v>
      </c>
      <c r="EEM8" t="s">
        <v>6984</v>
      </c>
      <c r="EEN8" t="s">
        <v>6984</v>
      </c>
      <c r="EEO8" t="s">
        <v>6984</v>
      </c>
      <c r="EEP8" t="s">
        <v>6984</v>
      </c>
      <c r="EEQ8" t="s">
        <v>6984</v>
      </c>
      <c r="EER8" t="s">
        <v>6984</v>
      </c>
      <c r="EES8" t="s">
        <v>6984</v>
      </c>
      <c r="EET8" t="s">
        <v>6984</v>
      </c>
      <c r="EEU8" t="s">
        <v>6984</v>
      </c>
      <c r="EEV8" t="s">
        <v>6984</v>
      </c>
      <c r="EEW8" t="s">
        <v>6984</v>
      </c>
      <c r="EEX8" t="s">
        <v>6984</v>
      </c>
      <c r="EEY8" t="s">
        <v>6984</v>
      </c>
      <c r="EEZ8" t="s">
        <v>6984</v>
      </c>
      <c r="EFA8" t="s">
        <v>6984</v>
      </c>
      <c r="EFB8" t="s">
        <v>6984</v>
      </c>
      <c r="EFC8" t="s">
        <v>6984</v>
      </c>
      <c r="EFD8" t="s">
        <v>6984</v>
      </c>
      <c r="EFE8" t="s">
        <v>6984</v>
      </c>
      <c r="EFF8" t="s">
        <v>6984</v>
      </c>
      <c r="EFG8" t="s">
        <v>6984</v>
      </c>
      <c r="EFH8" t="s">
        <v>6984</v>
      </c>
      <c r="EFI8" t="s">
        <v>6984</v>
      </c>
      <c r="EFJ8" t="s">
        <v>6984</v>
      </c>
      <c r="EFK8" t="s">
        <v>6984</v>
      </c>
      <c r="EFL8" t="s">
        <v>6984</v>
      </c>
      <c r="EFM8" t="s">
        <v>6984</v>
      </c>
      <c r="EFN8" t="s">
        <v>6984</v>
      </c>
      <c r="EFO8" t="s">
        <v>6984</v>
      </c>
      <c r="EFP8" t="s">
        <v>6984</v>
      </c>
      <c r="EFQ8" t="s">
        <v>6984</v>
      </c>
      <c r="EFR8" t="s">
        <v>6984</v>
      </c>
      <c r="EFS8" t="s">
        <v>6984</v>
      </c>
      <c r="EFT8" t="s">
        <v>6984</v>
      </c>
      <c r="EFU8" t="s">
        <v>6984</v>
      </c>
      <c r="EFV8" t="s">
        <v>6984</v>
      </c>
      <c r="EFW8" t="s">
        <v>6984</v>
      </c>
      <c r="EFX8" t="s">
        <v>6984</v>
      </c>
      <c r="EFY8" t="s">
        <v>6984</v>
      </c>
      <c r="EFZ8" t="s">
        <v>6984</v>
      </c>
      <c r="EGA8" t="s">
        <v>6984</v>
      </c>
      <c r="EGB8" t="s">
        <v>6984</v>
      </c>
      <c r="EGC8" t="s">
        <v>6984</v>
      </c>
      <c r="EGD8" t="s">
        <v>6984</v>
      </c>
      <c r="EGE8" t="s">
        <v>6984</v>
      </c>
      <c r="EGF8" t="s">
        <v>6984</v>
      </c>
      <c r="EGG8" t="s">
        <v>6984</v>
      </c>
      <c r="EGH8" t="s">
        <v>6984</v>
      </c>
      <c r="EGI8" t="s">
        <v>6984</v>
      </c>
      <c r="EGJ8" t="s">
        <v>6984</v>
      </c>
      <c r="EGK8" t="s">
        <v>6984</v>
      </c>
      <c r="EGL8" t="s">
        <v>6984</v>
      </c>
      <c r="EGM8" t="s">
        <v>6984</v>
      </c>
      <c r="EGN8" t="s">
        <v>6984</v>
      </c>
      <c r="EGO8" t="s">
        <v>6984</v>
      </c>
      <c r="EGP8" t="s">
        <v>6984</v>
      </c>
      <c r="EGQ8" t="s">
        <v>6984</v>
      </c>
      <c r="EGR8" t="s">
        <v>6984</v>
      </c>
      <c r="EGS8" t="s">
        <v>6984</v>
      </c>
      <c r="EGT8" t="s">
        <v>6984</v>
      </c>
      <c r="EGU8" t="s">
        <v>6984</v>
      </c>
      <c r="EGV8" t="s">
        <v>6984</v>
      </c>
      <c r="EGW8" t="s">
        <v>6984</v>
      </c>
      <c r="EGX8" t="s">
        <v>6984</v>
      </c>
      <c r="EGY8" t="s">
        <v>6984</v>
      </c>
      <c r="EGZ8" t="s">
        <v>6984</v>
      </c>
      <c r="EHA8" t="s">
        <v>6984</v>
      </c>
      <c r="EHB8" t="s">
        <v>6984</v>
      </c>
      <c r="EHC8" t="s">
        <v>6984</v>
      </c>
      <c r="EHD8" t="s">
        <v>6984</v>
      </c>
      <c r="EHE8" t="s">
        <v>6984</v>
      </c>
      <c r="EHF8" t="s">
        <v>6984</v>
      </c>
      <c r="EHG8" t="s">
        <v>6984</v>
      </c>
      <c r="EHH8" t="s">
        <v>6984</v>
      </c>
      <c r="EHI8" t="s">
        <v>6984</v>
      </c>
      <c r="EHJ8" t="s">
        <v>6984</v>
      </c>
      <c r="EHK8" t="s">
        <v>6984</v>
      </c>
      <c r="EHL8" t="s">
        <v>6984</v>
      </c>
      <c r="EHM8" t="s">
        <v>6984</v>
      </c>
      <c r="EHN8" t="s">
        <v>6984</v>
      </c>
      <c r="EHO8" t="s">
        <v>6984</v>
      </c>
      <c r="EHP8" t="s">
        <v>6984</v>
      </c>
      <c r="EHQ8" t="s">
        <v>6984</v>
      </c>
      <c r="EHR8" t="s">
        <v>6984</v>
      </c>
      <c r="EHS8" t="s">
        <v>6984</v>
      </c>
      <c r="EHT8" t="s">
        <v>6984</v>
      </c>
      <c r="EHU8" t="s">
        <v>6984</v>
      </c>
      <c r="EHV8" t="s">
        <v>6984</v>
      </c>
      <c r="EHW8" t="s">
        <v>6984</v>
      </c>
      <c r="EHX8" t="s">
        <v>6984</v>
      </c>
      <c r="EHY8" t="s">
        <v>6984</v>
      </c>
      <c r="EHZ8" t="s">
        <v>6984</v>
      </c>
      <c r="EIA8" t="s">
        <v>6984</v>
      </c>
      <c r="EIB8" t="s">
        <v>6984</v>
      </c>
      <c r="EIC8" t="s">
        <v>6984</v>
      </c>
      <c r="EID8" t="s">
        <v>6984</v>
      </c>
      <c r="EIE8" t="s">
        <v>6984</v>
      </c>
      <c r="EIF8" t="s">
        <v>6984</v>
      </c>
      <c r="EIG8" t="s">
        <v>6984</v>
      </c>
      <c r="EIH8" t="s">
        <v>6984</v>
      </c>
      <c r="EII8" t="s">
        <v>6984</v>
      </c>
      <c r="EIJ8" t="s">
        <v>6984</v>
      </c>
      <c r="EIK8" t="s">
        <v>6984</v>
      </c>
      <c r="EIL8" t="s">
        <v>6984</v>
      </c>
      <c r="EIM8" t="s">
        <v>6984</v>
      </c>
      <c r="EIN8" t="s">
        <v>6984</v>
      </c>
      <c r="EIO8" t="s">
        <v>6984</v>
      </c>
      <c r="EIP8" t="s">
        <v>6984</v>
      </c>
      <c r="EIQ8" t="s">
        <v>6984</v>
      </c>
      <c r="EIR8" t="s">
        <v>6984</v>
      </c>
      <c r="EIS8" t="s">
        <v>6984</v>
      </c>
      <c r="EIT8" t="s">
        <v>6984</v>
      </c>
      <c r="EIU8" t="s">
        <v>6984</v>
      </c>
      <c r="EIV8" t="s">
        <v>6984</v>
      </c>
      <c r="EIW8" t="s">
        <v>6984</v>
      </c>
      <c r="EIX8" t="s">
        <v>6984</v>
      </c>
      <c r="EIY8" t="s">
        <v>6984</v>
      </c>
      <c r="EIZ8" t="s">
        <v>6984</v>
      </c>
      <c r="EJA8" t="s">
        <v>6984</v>
      </c>
      <c r="EJB8" t="s">
        <v>6984</v>
      </c>
      <c r="EJC8" t="s">
        <v>6984</v>
      </c>
      <c r="EJD8" t="s">
        <v>6984</v>
      </c>
      <c r="EJE8" t="s">
        <v>6984</v>
      </c>
      <c r="EJF8" t="s">
        <v>6984</v>
      </c>
      <c r="EJG8" t="s">
        <v>6984</v>
      </c>
      <c r="EJH8" t="s">
        <v>6984</v>
      </c>
      <c r="EJI8" t="s">
        <v>6984</v>
      </c>
      <c r="EJJ8" t="s">
        <v>6984</v>
      </c>
      <c r="EJK8" t="s">
        <v>6984</v>
      </c>
      <c r="EJL8" t="s">
        <v>6984</v>
      </c>
      <c r="EJM8" t="s">
        <v>6984</v>
      </c>
      <c r="EJN8" t="s">
        <v>6984</v>
      </c>
      <c r="EJO8" t="s">
        <v>6984</v>
      </c>
      <c r="EJP8" t="s">
        <v>6984</v>
      </c>
      <c r="EJQ8" t="s">
        <v>6984</v>
      </c>
      <c r="EJR8" t="s">
        <v>6984</v>
      </c>
      <c r="EJS8" t="s">
        <v>6984</v>
      </c>
      <c r="EJT8" t="s">
        <v>6984</v>
      </c>
      <c r="EJU8" t="s">
        <v>6984</v>
      </c>
      <c r="EJV8" t="s">
        <v>6984</v>
      </c>
      <c r="EJW8" t="s">
        <v>6984</v>
      </c>
      <c r="EJX8" t="s">
        <v>6984</v>
      </c>
      <c r="EJY8" t="s">
        <v>6984</v>
      </c>
      <c r="EJZ8" t="s">
        <v>6984</v>
      </c>
      <c r="EKA8" t="s">
        <v>6984</v>
      </c>
      <c r="EKB8" t="s">
        <v>6984</v>
      </c>
      <c r="EKC8" t="s">
        <v>6984</v>
      </c>
      <c r="EKD8" t="s">
        <v>6984</v>
      </c>
      <c r="EKE8" t="s">
        <v>6984</v>
      </c>
      <c r="EKF8" t="s">
        <v>6984</v>
      </c>
      <c r="EKG8" t="s">
        <v>6984</v>
      </c>
      <c r="EKH8" t="s">
        <v>6984</v>
      </c>
      <c r="EKI8" t="s">
        <v>6984</v>
      </c>
      <c r="EKJ8" t="s">
        <v>6984</v>
      </c>
      <c r="EKK8" t="s">
        <v>6984</v>
      </c>
      <c r="EKL8" t="s">
        <v>6984</v>
      </c>
      <c r="EKM8" t="s">
        <v>6984</v>
      </c>
      <c r="EKN8" t="s">
        <v>6984</v>
      </c>
      <c r="EKO8" t="s">
        <v>6984</v>
      </c>
      <c r="EKP8" t="s">
        <v>6984</v>
      </c>
      <c r="EKQ8" t="s">
        <v>6984</v>
      </c>
      <c r="EKR8" t="s">
        <v>6984</v>
      </c>
      <c r="EKS8" t="s">
        <v>6984</v>
      </c>
      <c r="EKT8" t="s">
        <v>6984</v>
      </c>
      <c r="EKU8" t="s">
        <v>6984</v>
      </c>
      <c r="EKV8" t="s">
        <v>6984</v>
      </c>
      <c r="EKW8" t="s">
        <v>6984</v>
      </c>
      <c r="EKX8" t="s">
        <v>6984</v>
      </c>
      <c r="EKY8" t="s">
        <v>6984</v>
      </c>
      <c r="EKZ8" t="s">
        <v>6984</v>
      </c>
      <c r="ELA8" t="s">
        <v>6984</v>
      </c>
      <c r="ELB8" t="s">
        <v>6984</v>
      </c>
      <c r="ELC8" t="s">
        <v>6984</v>
      </c>
      <c r="ELD8" t="s">
        <v>6984</v>
      </c>
      <c r="ELE8" t="s">
        <v>6984</v>
      </c>
      <c r="ELF8" t="s">
        <v>6984</v>
      </c>
      <c r="ELG8" t="s">
        <v>6984</v>
      </c>
      <c r="ELH8" t="s">
        <v>6984</v>
      </c>
      <c r="ELI8" t="s">
        <v>6984</v>
      </c>
      <c r="ELJ8" t="s">
        <v>6984</v>
      </c>
      <c r="ELK8" t="s">
        <v>6984</v>
      </c>
      <c r="ELL8" t="s">
        <v>6984</v>
      </c>
      <c r="ELM8" t="s">
        <v>6984</v>
      </c>
      <c r="ELN8" t="s">
        <v>6984</v>
      </c>
      <c r="ELO8" t="s">
        <v>6984</v>
      </c>
      <c r="ELP8" t="s">
        <v>6984</v>
      </c>
      <c r="ELQ8" t="s">
        <v>6984</v>
      </c>
      <c r="ELR8" t="s">
        <v>6984</v>
      </c>
      <c r="ELS8" t="s">
        <v>6984</v>
      </c>
      <c r="ELT8" t="s">
        <v>6984</v>
      </c>
      <c r="ELU8" t="s">
        <v>6984</v>
      </c>
      <c r="ELV8" t="s">
        <v>6984</v>
      </c>
      <c r="ELW8" t="s">
        <v>6984</v>
      </c>
      <c r="ELX8" t="s">
        <v>6984</v>
      </c>
      <c r="ELY8" t="s">
        <v>6984</v>
      </c>
      <c r="ELZ8" t="s">
        <v>6984</v>
      </c>
      <c r="EMA8" t="s">
        <v>6984</v>
      </c>
      <c r="EMB8" t="s">
        <v>6984</v>
      </c>
      <c r="EMC8" t="s">
        <v>6984</v>
      </c>
      <c r="EMD8" t="s">
        <v>6984</v>
      </c>
      <c r="EME8" t="s">
        <v>6984</v>
      </c>
      <c r="EMF8" t="s">
        <v>6984</v>
      </c>
      <c r="EMG8" t="s">
        <v>6984</v>
      </c>
      <c r="EMH8" t="s">
        <v>6984</v>
      </c>
      <c r="EMI8" t="s">
        <v>6984</v>
      </c>
      <c r="EMJ8" t="s">
        <v>6984</v>
      </c>
      <c r="EMK8" t="s">
        <v>6984</v>
      </c>
      <c r="EML8" t="s">
        <v>6984</v>
      </c>
      <c r="EMM8" t="s">
        <v>6984</v>
      </c>
      <c r="EMN8" t="s">
        <v>6984</v>
      </c>
      <c r="EMO8" t="s">
        <v>6984</v>
      </c>
      <c r="EMP8" t="s">
        <v>6984</v>
      </c>
      <c r="EMQ8" t="s">
        <v>6984</v>
      </c>
      <c r="EMR8" t="s">
        <v>6984</v>
      </c>
      <c r="EMS8" t="s">
        <v>6984</v>
      </c>
      <c r="EMT8" t="s">
        <v>6984</v>
      </c>
      <c r="EMU8" t="s">
        <v>6984</v>
      </c>
      <c r="EMV8" t="s">
        <v>6984</v>
      </c>
      <c r="EMW8" t="s">
        <v>6984</v>
      </c>
      <c r="EMX8" t="s">
        <v>6984</v>
      </c>
      <c r="EMY8" t="s">
        <v>6984</v>
      </c>
      <c r="EMZ8" t="s">
        <v>6984</v>
      </c>
      <c r="ENA8" t="s">
        <v>6984</v>
      </c>
      <c r="ENB8" t="s">
        <v>6984</v>
      </c>
      <c r="ENC8" t="s">
        <v>6984</v>
      </c>
      <c r="END8" t="s">
        <v>6984</v>
      </c>
      <c r="ENE8" t="s">
        <v>6984</v>
      </c>
      <c r="ENF8" t="s">
        <v>6984</v>
      </c>
      <c r="ENG8" t="s">
        <v>6984</v>
      </c>
      <c r="ENH8" t="s">
        <v>6984</v>
      </c>
      <c r="ENI8" t="s">
        <v>6984</v>
      </c>
      <c r="ENJ8" t="s">
        <v>6984</v>
      </c>
      <c r="ENK8" t="s">
        <v>6984</v>
      </c>
      <c r="ENL8" t="s">
        <v>6984</v>
      </c>
      <c r="ENM8" t="s">
        <v>6984</v>
      </c>
      <c r="ENN8" t="s">
        <v>6984</v>
      </c>
      <c r="ENO8" t="s">
        <v>6984</v>
      </c>
      <c r="ENP8" t="s">
        <v>6984</v>
      </c>
      <c r="ENQ8" t="s">
        <v>6984</v>
      </c>
      <c r="ENR8" t="s">
        <v>6984</v>
      </c>
      <c r="ENS8" t="s">
        <v>6984</v>
      </c>
      <c r="ENT8" t="s">
        <v>6984</v>
      </c>
      <c r="ENU8" t="s">
        <v>6984</v>
      </c>
      <c r="ENV8" t="s">
        <v>6984</v>
      </c>
      <c r="ENW8" t="s">
        <v>6984</v>
      </c>
      <c r="ENX8" t="s">
        <v>6984</v>
      </c>
      <c r="ENY8" t="s">
        <v>6984</v>
      </c>
      <c r="ENZ8" t="s">
        <v>6984</v>
      </c>
      <c r="EOA8" t="s">
        <v>6984</v>
      </c>
      <c r="EOB8" t="s">
        <v>6984</v>
      </c>
      <c r="EOC8" t="s">
        <v>6984</v>
      </c>
      <c r="EOD8" t="s">
        <v>6984</v>
      </c>
      <c r="EOE8" t="s">
        <v>6984</v>
      </c>
      <c r="EOF8" t="s">
        <v>6984</v>
      </c>
      <c r="EOG8" t="s">
        <v>6984</v>
      </c>
      <c r="EOH8" t="s">
        <v>6984</v>
      </c>
      <c r="EOI8" t="s">
        <v>6984</v>
      </c>
      <c r="EOJ8" t="s">
        <v>6984</v>
      </c>
      <c r="EOK8" t="s">
        <v>6984</v>
      </c>
      <c r="EOL8" t="s">
        <v>6984</v>
      </c>
      <c r="EOM8" t="s">
        <v>6984</v>
      </c>
      <c r="EON8" t="s">
        <v>6984</v>
      </c>
      <c r="EOO8" t="s">
        <v>6984</v>
      </c>
      <c r="EOP8" t="s">
        <v>6984</v>
      </c>
      <c r="EOQ8" t="s">
        <v>6984</v>
      </c>
      <c r="EOR8" t="s">
        <v>6984</v>
      </c>
      <c r="EOS8" t="s">
        <v>6984</v>
      </c>
      <c r="EOT8" t="s">
        <v>6984</v>
      </c>
      <c r="EOU8" t="s">
        <v>6984</v>
      </c>
      <c r="EOV8" t="s">
        <v>6984</v>
      </c>
      <c r="EOW8" t="s">
        <v>6984</v>
      </c>
      <c r="EOX8" t="s">
        <v>6984</v>
      </c>
      <c r="EOY8" t="s">
        <v>6984</v>
      </c>
      <c r="EOZ8" t="s">
        <v>6984</v>
      </c>
      <c r="EPA8" t="s">
        <v>6984</v>
      </c>
      <c r="EPB8" t="s">
        <v>6984</v>
      </c>
      <c r="EPC8" t="s">
        <v>6984</v>
      </c>
      <c r="EPD8" t="s">
        <v>6984</v>
      </c>
      <c r="EPE8" t="s">
        <v>6984</v>
      </c>
      <c r="EPF8" t="s">
        <v>6984</v>
      </c>
      <c r="EPG8" t="s">
        <v>6984</v>
      </c>
      <c r="EPH8" t="s">
        <v>6984</v>
      </c>
      <c r="EPI8" t="s">
        <v>6984</v>
      </c>
      <c r="EPJ8" t="s">
        <v>6984</v>
      </c>
      <c r="EPK8" t="s">
        <v>6984</v>
      </c>
      <c r="EPL8" t="s">
        <v>6984</v>
      </c>
      <c r="EPM8" t="s">
        <v>6984</v>
      </c>
      <c r="EPN8" t="s">
        <v>6984</v>
      </c>
      <c r="EPO8" t="s">
        <v>6984</v>
      </c>
      <c r="EPP8" t="s">
        <v>6984</v>
      </c>
      <c r="EPQ8" t="s">
        <v>6984</v>
      </c>
      <c r="EPR8" t="s">
        <v>6984</v>
      </c>
      <c r="EPS8" t="s">
        <v>6984</v>
      </c>
      <c r="EPT8" t="s">
        <v>6984</v>
      </c>
      <c r="EPU8" t="s">
        <v>6984</v>
      </c>
      <c r="EPV8" t="s">
        <v>6984</v>
      </c>
      <c r="EPW8" t="s">
        <v>6984</v>
      </c>
      <c r="EPX8" t="s">
        <v>6984</v>
      </c>
      <c r="EPY8" t="s">
        <v>6984</v>
      </c>
      <c r="EPZ8" t="s">
        <v>6984</v>
      </c>
      <c r="EQA8" t="s">
        <v>6984</v>
      </c>
      <c r="EQB8" t="s">
        <v>6984</v>
      </c>
      <c r="EQC8" t="s">
        <v>6984</v>
      </c>
      <c r="EQD8" t="s">
        <v>6984</v>
      </c>
      <c r="EQE8" t="s">
        <v>6984</v>
      </c>
      <c r="EQF8" t="s">
        <v>6984</v>
      </c>
      <c r="EQG8" t="s">
        <v>6984</v>
      </c>
      <c r="EQH8" t="s">
        <v>6984</v>
      </c>
      <c r="EQI8" t="s">
        <v>6984</v>
      </c>
      <c r="EQJ8" t="s">
        <v>6984</v>
      </c>
      <c r="EQK8" t="s">
        <v>6984</v>
      </c>
      <c r="EQL8" t="s">
        <v>6984</v>
      </c>
      <c r="EQM8" t="s">
        <v>6984</v>
      </c>
      <c r="EQN8" t="s">
        <v>6984</v>
      </c>
      <c r="EQO8" t="s">
        <v>6984</v>
      </c>
      <c r="EQP8" t="s">
        <v>6984</v>
      </c>
      <c r="EQQ8" t="s">
        <v>6984</v>
      </c>
      <c r="EQR8" t="s">
        <v>6984</v>
      </c>
      <c r="EQS8" t="s">
        <v>6984</v>
      </c>
      <c r="EQT8" t="s">
        <v>6984</v>
      </c>
      <c r="EQU8" t="s">
        <v>6984</v>
      </c>
      <c r="EQV8" t="s">
        <v>6984</v>
      </c>
      <c r="EQW8" t="s">
        <v>6984</v>
      </c>
      <c r="EQX8" t="s">
        <v>6984</v>
      </c>
      <c r="EQY8" t="s">
        <v>6984</v>
      </c>
      <c r="EQZ8" t="s">
        <v>6984</v>
      </c>
      <c r="ERA8" t="s">
        <v>6984</v>
      </c>
      <c r="ERB8" t="s">
        <v>6984</v>
      </c>
      <c r="ERC8" t="s">
        <v>6984</v>
      </c>
      <c r="ERD8" t="s">
        <v>6984</v>
      </c>
      <c r="ERE8" t="s">
        <v>6984</v>
      </c>
      <c r="ERF8" t="s">
        <v>6984</v>
      </c>
      <c r="ERG8" t="s">
        <v>6984</v>
      </c>
      <c r="ERH8" t="s">
        <v>6984</v>
      </c>
      <c r="ERI8" t="s">
        <v>6984</v>
      </c>
      <c r="ERJ8" t="s">
        <v>6984</v>
      </c>
      <c r="ERK8" t="s">
        <v>6984</v>
      </c>
      <c r="ERL8" t="s">
        <v>6984</v>
      </c>
      <c r="ERM8" t="s">
        <v>6984</v>
      </c>
      <c r="ERN8" t="s">
        <v>6984</v>
      </c>
      <c r="ERO8" t="s">
        <v>6984</v>
      </c>
      <c r="ERP8" t="s">
        <v>6984</v>
      </c>
      <c r="ERQ8" t="s">
        <v>6984</v>
      </c>
      <c r="ERR8" t="s">
        <v>6984</v>
      </c>
      <c r="ERS8" t="s">
        <v>6984</v>
      </c>
      <c r="ERT8" t="s">
        <v>6984</v>
      </c>
      <c r="ERU8" t="s">
        <v>6984</v>
      </c>
      <c r="ERV8" t="s">
        <v>6984</v>
      </c>
      <c r="ERW8" t="s">
        <v>6984</v>
      </c>
      <c r="ERX8" t="s">
        <v>6984</v>
      </c>
      <c r="ERY8" t="s">
        <v>6984</v>
      </c>
      <c r="ERZ8" t="s">
        <v>6984</v>
      </c>
      <c r="ESA8" t="s">
        <v>6984</v>
      </c>
      <c r="ESB8" t="s">
        <v>6984</v>
      </c>
      <c r="ESC8" t="s">
        <v>6984</v>
      </c>
      <c r="ESD8" t="s">
        <v>6984</v>
      </c>
      <c r="ESE8" t="s">
        <v>6984</v>
      </c>
      <c r="ESF8" t="s">
        <v>6984</v>
      </c>
      <c r="ESG8" t="s">
        <v>6984</v>
      </c>
      <c r="ESH8" t="s">
        <v>6984</v>
      </c>
      <c r="ESI8" t="s">
        <v>6984</v>
      </c>
      <c r="ESJ8" t="s">
        <v>6984</v>
      </c>
      <c r="ESK8" t="s">
        <v>6984</v>
      </c>
      <c r="ESL8" t="s">
        <v>6984</v>
      </c>
      <c r="ESM8" t="s">
        <v>6984</v>
      </c>
      <c r="ESN8" t="s">
        <v>6984</v>
      </c>
      <c r="ESO8" t="s">
        <v>6984</v>
      </c>
      <c r="ESP8" t="s">
        <v>6984</v>
      </c>
      <c r="ESQ8" t="s">
        <v>6984</v>
      </c>
      <c r="ESR8" t="s">
        <v>6984</v>
      </c>
      <c r="ESS8" t="s">
        <v>6984</v>
      </c>
      <c r="EST8" t="s">
        <v>6984</v>
      </c>
      <c r="ESU8" t="s">
        <v>6984</v>
      </c>
      <c r="ESV8" t="s">
        <v>6984</v>
      </c>
      <c r="ESW8" t="s">
        <v>6984</v>
      </c>
      <c r="ESX8" t="s">
        <v>6984</v>
      </c>
      <c r="ESY8" t="s">
        <v>6984</v>
      </c>
      <c r="ESZ8" t="s">
        <v>6984</v>
      </c>
      <c r="ETA8" t="s">
        <v>6984</v>
      </c>
      <c r="ETB8" t="s">
        <v>6984</v>
      </c>
      <c r="ETC8" t="s">
        <v>6984</v>
      </c>
      <c r="ETD8" t="s">
        <v>6984</v>
      </c>
      <c r="ETE8" t="s">
        <v>6984</v>
      </c>
      <c r="ETF8" t="s">
        <v>6984</v>
      </c>
      <c r="ETG8" t="s">
        <v>6984</v>
      </c>
      <c r="ETH8" t="s">
        <v>6984</v>
      </c>
      <c r="ETI8" t="s">
        <v>6984</v>
      </c>
      <c r="ETJ8" t="s">
        <v>6984</v>
      </c>
      <c r="ETK8" t="s">
        <v>6984</v>
      </c>
      <c r="ETL8" t="s">
        <v>6984</v>
      </c>
      <c r="ETM8" t="s">
        <v>6984</v>
      </c>
      <c r="ETN8" t="s">
        <v>6984</v>
      </c>
      <c r="ETO8" t="s">
        <v>6984</v>
      </c>
      <c r="ETP8" t="s">
        <v>6984</v>
      </c>
      <c r="ETQ8" t="s">
        <v>6984</v>
      </c>
      <c r="ETR8" t="s">
        <v>6984</v>
      </c>
      <c r="ETS8" t="s">
        <v>6984</v>
      </c>
      <c r="ETT8" t="s">
        <v>6984</v>
      </c>
      <c r="ETU8" t="s">
        <v>6984</v>
      </c>
      <c r="ETV8" t="s">
        <v>6984</v>
      </c>
      <c r="ETW8" t="s">
        <v>6984</v>
      </c>
      <c r="ETX8" t="s">
        <v>6984</v>
      </c>
      <c r="ETY8" t="s">
        <v>6984</v>
      </c>
      <c r="ETZ8" t="s">
        <v>6984</v>
      </c>
      <c r="EUA8" t="s">
        <v>6984</v>
      </c>
      <c r="EUB8" t="s">
        <v>6984</v>
      </c>
      <c r="EUC8" t="s">
        <v>6984</v>
      </c>
      <c r="EUD8" t="s">
        <v>6984</v>
      </c>
      <c r="EUE8" t="s">
        <v>6984</v>
      </c>
      <c r="EUF8" t="s">
        <v>6984</v>
      </c>
      <c r="EUG8" t="s">
        <v>6984</v>
      </c>
      <c r="EUH8" t="s">
        <v>6984</v>
      </c>
      <c r="EUI8" t="s">
        <v>6984</v>
      </c>
      <c r="EUJ8" t="s">
        <v>6984</v>
      </c>
      <c r="EUK8" t="s">
        <v>6984</v>
      </c>
      <c r="EUL8" t="s">
        <v>6984</v>
      </c>
      <c r="EUM8" t="s">
        <v>6984</v>
      </c>
      <c r="EUN8" t="s">
        <v>6984</v>
      </c>
      <c r="EUO8" t="s">
        <v>6984</v>
      </c>
      <c r="EUP8" t="s">
        <v>6984</v>
      </c>
      <c r="EUQ8" t="s">
        <v>6984</v>
      </c>
      <c r="EUR8" t="s">
        <v>6984</v>
      </c>
      <c r="EUS8" t="s">
        <v>6984</v>
      </c>
      <c r="EUT8" t="s">
        <v>6984</v>
      </c>
      <c r="EUU8" t="s">
        <v>6984</v>
      </c>
      <c r="EUV8" t="s">
        <v>6984</v>
      </c>
      <c r="EUW8" t="s">
        <v>6984</v>
      </c>
      <c r="EUX8" t="s">
        <v>6984</v>
      </c>
      <c r="EUY8" t="s">
        <v>6984</v>
      </c>
      <c r="EUZ8" t="s">
        <v>6984</v>
      </c>
      <c r="EVA8" t="s">
        <v>6984</v>
      </c>
      <c r="EVB8" t="s">
        <v>6984</v>
      </c>
      <c r="EVC8" t="s">
        <v>6984</v>
      </c>
      <c r="EVD8" t="s">
        <v>6984</v>
      </c>
      <c r="EVE8" t="s">
        <v>6984</v>
      </c>
      <c r="EVF8" t="s">
        <v>6984</v>
      </c>
      <c r="EVG8" t="s">
        <v>6984</v>
      </c>
      <c r="EVH8" t="s">
        <v>6984</v>
      </c>
      <c r="EVI8" t="s">
        <v>6984</v>
      </c>
      <c r="EVJ8" t="s">
        <v>6984</v>
      </c>
      <c r="EVK8" t="s">
        <v>6984</v>
      </c>
      <c r="EVL8" t="s">
        <v>6984</v>
      </c>
      <c r="EVM8" t="s">
        <v>6984</v>
      </c>
      <c r="EVN8" t="s">
        <v>6984</v>
      </c>
      <c r="EVO8" t="s">
        <v>6984</v>
      </c>
      <c r="EVP8" t="s">
        <v>6984</v>
      </c>
      <c r="EVQ8" t="s">
        <v>6984</v>
      </c>
      <c r="EVR8" t="s">
        <v>6984</v>
      </c>
      <c r="EVS8" t="s">
        <v>6984</v>
      </c>
      <c r="EVT8" t="s">
        <v>6984</v>
      </c>
      <c r="EVU8" t="s">
        <v>6984</v>
      </c>
      <c r="EVV8" t="s">
        <v>6984</v>
      </c>
      <c r="EVW8" t="s">
        <v>6984</v>
      </c>
      <c r="EVX8" t="s">
        <v>6984</v>
      </c>
      <c r="EVY8" t="s">
        <v>6984</v>
      </c>
      <c r="EVZ8" t="s">
        <v>6984</v>
      </c>
      <c r="EWA8" t="s">
        <v>6984</v>
      </c>
      <c r="EWB8" t="s">
        <v>6984</v>
      </c>
      <c r="EWC8" t="s">
        <v>6984</v>
      </c>
      <c r="EWD8" t="s">
        <v>6984</v>
      </c>
      <c r="EWE8" t="s">
        <v>6984</v>
      </c>
      <c r="EWF8" t="s">
        <v>6984</v>
      </c>
      <c r="EWG8" t="s">
        <v>6984</v>
      </c>
      <c r="EWH8" t="s">
        <v>6984</v>
      </c>
      <c r="EWI8" t="s">
        <v>6984</v>
      </c>
      <c r="EWJ8" t="s">
        <v>6984</v>
      </c>
      <c r="EWK8" t="s">
        <v>6984</v>
      </c>
      <c r="EWL8" t="s">
        <v>6984</v>
      </c>
      <c r="EWM8" t="s">
        <v>6984</v>
      </c>
      <c r="EWN8" t="s">
        <v>6984</v>
      </c>
      <c r="EWO8" t="s">
        <v>6984</v>
      </c>
      <c r="EWP8" t="s">
        <v>6984</v>
      </c>
      <c r="EWQ8" t="s">
        <v>6984</v>
      </c>
      <c r="EWR8" t="s">
        <v>6984</v>
      </c>
      <c r="EWS8" t="s">
        <v>6984</v>
      </c>
      <c r="EWT8" t="s">
        <v>6984</v>
      </c>
      <c r="EWU8" t="s">
        <v>6984</v>
      </c>
      <c r="EWV8" t="s">
        <v>6984</v>
      </c>
      <c r="EWW8" t="s">
        <v>6984</v>
      </c>
      <c r="EWX8" t="s">
        <v>6984</v>
      </c>
      <c r="EWY8" t="s">
        <v>6984</v>
      </c>
      <c r="EWZ8" t="s">
        <v>6984</v>
      </c>
      <c r="EXA8" t="s">
        <v>6984</v>
      </c>
      <c r="EXB8" t="s">
        <v>6984</v>
      </c>
      <c r="EXC8" t="s">
        <v>6984</v>
      </c>
      <c r="EXD8" t="s">
        <v>6984</v>
      </c>
      <c r="EXE8" t="s">
        <v>6984</v>
      </c>
      <c r="EXF8" t="s">
        <v>6984</v>
      </c>
      <c r="EXG8" t="s">
        <v>6984</v>
      </c>
      <c r="EXH8" t="s">
        <v>6984</v>
      </c>
      <c r="EXI8" t="s">
        <v>6984</v>
      </c>
      <c r="EXJ8" t="s">
        <v>6984</v>
      </c>
      <c r="EXK8" t="s">
        <v>6984</v>
      </c>
      <c r="EXL8" t="s">
        <v>6984</v>
      </c>
      <c r="EXM8" t="s">
        <v>6984</v>
      </c>
      <c r="EXN8" t="s">
        <v>6984</v>
      </c>
      <c r="EXO8" t="s">
        <v>6984</v>
      </c>
      <c r="EXP8" t="s">
        <v>6984</v>
      </c>
      <c r="EXQ8" t="s">
        <v>6984</v>
      </c>
      <c r="EXR8" t="s">
        <v>6984</v>
      </c>
      <c r="EXS8" t="s">
        <v>6984</v>
      </c>
      <c r="EXT8" t="s">
        <v>6984</v>
      </c>
      <c r="EXU8" t="s">
        <v>6984</v>
      </c>
      <c r="EXV8" t="s">
        <v>6984</v>
      </c>
      <c r="EXW8" t="s">
        <v>6984</v>
      </c>
      <c r="EXX8" t="s">
        <v>6984</v>
      </c>
      <c r="EXY8" t="s">
        <v>6984</v>
      </c>
      <c r="EXZ8" t="s">
        <v>6984</v>
      </c>
      <c r="EYA8" t="s">
        <v>6984</v>
      </c>
      <c r="EYB8" t="s">
        <v>6984</v>
      </c>
      <c r="EYC8" t="s">
        <v>6984</v>
      </c>
      <c r="EYD8" t="s">
        <v>6984</v>
      </c>
      <c r="EYE8" t="s">
        <v>6984</v>
      </c>
      <c r="EYF8" t="s">
        <v>6984</v>
      </c>
      <c r="EYG8" t="s">
        <v>6984</v>
      </c>
      <c r="EYH8" t="s">
        <v>6984</v>
      </c>
      <c r="EYI8" t="s">
        <v>6984</v>
      </c>
      <c r="EYJ8" t="s">
        <v>6984</v>
      </c>
      <c r="EYK8" t="s">
        <v>6984</v>
      </c>
      <c r="EYL8" t="s">
        <v>6984</v>
      </c>
      <c r="EYM8" t="s">
        <v>6984</v>
      </c>
      <c r="EYN8" t="s">
        <v>6984</v>
      </c>
      <c r="EYO8" t="s">
        <v>6984</v>
      </c>
      <c r="EYP8" t="s">
        <v>6984</v>
      </c>
      <c r="EYQ8" t="s">
        <v>6984</v>
      </c>
      <c r="EYR8" t="s">
        <v>6984</v>
      </c>
      <c r="EYS8" t="s">
        <v>6984</v>
      </c>
      <c r="EYT8" t="s">
        <v>6984</v>
      </c>
      <c r="EYU8" t="s">
        <v>6984</v>
      </c>
      <c r="EYV8" t="s">
        <v>6984</v>
      </c>
      <c r="EYW8" t="s">
        <v>6984</v>
      </c>
      <c r="EYX8" t="s">
        <v>6984</v>
      </c>
      <c r="EYY8" t="s">
        <v>6984</v>
      </c>
      <c r="EYZ8" t="s">
        <v>6984</v>
      </c>
      <c r="EZA8" t="s">
        <v>6984</v>
      </c>
      <c r="EZB8" t="s">
        <v>6984</v>
      </c>
      <c r="EZC8" t="s">
        <v>6984</v>
      </c>
      <c r="EZD8" t="s">
        <v>6984</v>
      </c>
      <c r="EZE8" t="s">
        <v>6984</v>
      </c>
      <c r="EZF8" t="s">
        <v>6984</v>
      </c>
      <c r="EZG8" t="s">
        <v>6984</v>
      </c>
      <c r="EZH8" t="s">
        <v>6984</v>
      </c>
      <c r="EZI8" t="s">
        <v>6984</v>
      </c>
      <c r="EZJ8" t="s">
        <v>6984</v>
      </c>
      <c r="EZK8" t="s">
        <v>6984</v>
      </c>
      <c r="EZL8" t="s">
        <v>6984</v>
      </c>
      <c r="EZM8" t="s">
        <v>6984</v>
      </c>
      <c r="EZN8" t="s">
        <v>6984</v>
      </c>
      <c r="EZO8" t="s">
        <v>6984</v>
      </c>
      <c r="EZP8" t="s">
        <v>6984</v>
      </c>
      <c r="EZQ8" t="s">
        <v>6984</v>
      </c>
      <c r="EZR8" t="s">
        <v>6984</v>
      </c>
      <c r="EZS8" t="s">
        <v>6984</v>
      </c>
      <c r="EZT8" t="s">
        <v>6984</v>
      </c>
      <c r="EZU8" t="s">
        <v>6984</v>
      </c>
      <c r="EZV8" t="s">
        <v>6984</v>
      </c>
      <c r="EZW8" t="s">
        <v>6984</v>
      </c>
      <c r="EZX8" t="s">
        <v>6984</v>
      </c>
      <c r="EZY8" t="s">
        <v>6984</v>
      </c>
      <c r="EZZ8" t="s">
        <v>6984</v>
      </c>
      <c r="FAA8" t="s">
        <v>6984</v>
      </c>
      <c r="FAB8" t="s">
        <v>6984</v>
      </c>
      <c r="FAC8" t="s">
        <v>6984</v>
      </c>
      <c r="FAD8" t="s">
        <v>6984</v>
      </c>
      <c r="FAE8" t="s">
        <v>6984</v>
      </c>
      <c r="FAF8" t="s">
        <v>6984</v>
      </c>
      <c r="FAG8" t="s">
        <v>6984</v>
      </c>
      <c r="FAH8" t="s">
        <v>6984</v>
      </c>
      <c r="FAI8" t="s">
        <v>6984</v>
      </c>
      <c r="FAJ8" t="s">
        <v>6984</v>
      </c>
      <c r="FAK8" t="s">
        <v>6984</v>
      </c>
      <c r="FAL8" t="s">
        <v>6984</v>
      </c>
      <c r="FAM8" t="s">
        <v>6984</v>
      </c>
      <c r="FAN8" t="s">
        <v>6984</v>
      </c>
      <c r="FAO8" t="s">
        <v>6984</v>
      </c>
      <c r="FAP8" t="s">
        <v>6984</v>
      </c>
      <c r="FAQ8" t="s">
        <v>6984</v>
      </c>
      <c r="FAR8" t="s">
        <v>6984</v>
      </c>
      <c r="FAS8" t="s">
        <v>6984</v>
      </c>
      <c r="FAT8" t="s">
        <v>6984</v>
      </c>
      <c r="FAU8" t="s">
        <v>6984</v>
      </c>
      <c r="FAV8" t="s">
        <v>6984</v>
      </c>
      <c r="FAW8" t="s">
        <v>6984</v>
      </c>
      <c r="FAX8" t="s">
        <v>6984</v>
      </c>
      <c r="FAY8" t="s">
        <v>6984</v>
      </c>
      <c r="FAZ8" t="s">
        <v>6984</v>
      </c>
      <c r="FBA8" t="s">
        <v>6984</v>
      </c>
      <c r="FBB8" t="s">
        <v>6984</v>
      </c>
      <c r="FBC8" t="s">
        <v>6984</v>
      </c>
      <c r="FBD8" t="s">
        <v>6984</v>
      </c>
      <c r="FBE8" t="s">
        <v>6984</v>
      </c>
      <c r="FBF8" t="s">
        <v>6984</v>
      </c>
      <c r="FBG8" t="s">
        <v>6984</v>
      </c>
      <c r="FBH8" t="s">
        <v>6984</v>
      </c>
      <c r="FBI8" t="s">
        <v>6984</v>
      </c>
      <c r="FBJ8" t="s">
        <v>6984</v>
      </c>
      <c r="FBK8" t="s">
        <v>6984</v>
      </c>
      <c r="FBL8" t="s">
        <v>6984</v>
      </c>
      <c r="FBM8" t="s">
        <v>6984</v>
      </c>
      <c r="FBN8" t="s">
        <v>6984</v>
      </c>
      <c r="FBO8" t="s">
        <v>6984</v>
      </c>
      <c r="FBP8" t="s">
        <v>6984</v>
      </c>
      <c r="FBQ8" t="s">
        <v>6984</v>
      </c>
      <c r="FBR8" t="s">
        <v>6984</v>
      </c>
      <c r="FBS8" t="s">
        <v>6984</v>
      </c>
      <c r="FBT8" t="s">
        <v>6984</v>
      </c>
      <c r="FBU8" t="s">
        <v>6984</v>
      </c>
      <c r="FBV8" t="s">
        <v>6984</v>
      </c>
      <c r="FBW8" t="s">
        <v>6984</v>
      </c>
      <c r="FBX8" t="s">
        <v>6984</v>
      </c>
      <c r="FBY8" t="s">
        <v>6984</v>
      </c>
      <c r="FBZ8" t="s">
        <v>6984</v>
      </c>
      <c r="FCA8" t="s">
        <v>6984</v>
      </c>
      <c r="FCB8" t="s">
        <v>6984</v>
      </c>
      <c r="FCC8" t="s">
        <v>6984</v>
      </c>
      <c r="FCD8" t="s">
        <v>6984</v>
      </c>
      <c r="FCE8" t="s">
        <v>6984</v>
      </c>
      <c r="FCF8" t="s">
        <v>6984</v>
      </c>
      <c r="FCG8" t="s">
        <v>6984</v>
      </c>
      <c r="FCH8" t="s">
        <v>6984</v>
      </c>
      <c r="FCI8" t="s">
        <v>6984</v>
      </c>
      <c r="FCJ8" t="s">
        <v>6984</v>
      </c>
      <c r="FCK8" t="s">
        <v>6984</v>
      </c>
      <c r="FCL8" t="s">
        <v>6984</v>
      </c>
      <c r="FCM8" t="s">
        <v>6984</v>
      </c>
      <c r="FCN8" t="s">
        <v>6984</v>
      </c>
      <c r="FCO8" t="s">
        <v>6984</v>
      </c>
      <c r="FCP8" t="s">
        <v>6984</v>
      </c>
      <c r="FCQ8" t="s">
        <v>6984</v>
      </c>
      <c r="FCR8" t="s">
        <v>6984</v>
      </c>
      <c r="FCS8" t="s">
        <v>6984</v>
      </c>
      <c r="FCT8" t="s">
        <v>6984</v>
      </c>
      <c r="FCU8" t="s">
        <v>6984</v>
      </c>
      <c r="FCV8" t="s">
        <v>6984</v>
      </c>
      <c r="FCW8" t="s">
        <v>6984</v>
      </c>
      <c r="FCX8" t="s">
        <v>6984</v>
      </c>
      <c r="FCY8" t="s">
        <v>6984</v>
      </c>
      <c r="FCZ8" t="s">
        <v>6984</v>
      </c>
      <c r="FDA8" t="s">
        <v>6984</v>
      </c>
      <c r="FDB8" t="s">
        <v>6984</v>
      </c>
      <c r="FDC8" t="s">
        <v>6984</v>
      </c>
      <c r="FDD8" t="s">
        <v>6984</v>
      </c>
      <c r="FDE8" t="s">
        <v>6984</v>
      </c>
      <c r="FDF8" t="s">
        <v>6984</v>
      </c>
      <c r="FDG8" t="s">
        <v>6984</v>
      </c>
      <c r="FDH8" t="s">
        <v>6984</v>
      </c>
      <c r="FDI8" t="s">
        <v>6984</v>
      </c>
      <c r="FDJ8" t="s">
        <v>6984</v>
      </c>
      <c r="FDK8" t="s">
        <v>6984</v>
      </c>
      <c r="FDL8" t="s">
        <v>6984</v>
      </c>
      <c r="FDM8" t="s">
        <v>6984</v>
      </c>
      <c r="FDN8" t="s">
        <v>6984</v>
      </c>
      <c r="FDO8" t="s">
        <v>6984</v>
      </c>
      <c r="FDP8" t="s">
        <v>6984</v>
      </c>
      <c r="FDQ8" t="s">
        <v>6984</v>
      </c>
      <c r="FDR8" t="s">
        <v>6984</v>
      </c>
      <c r="FDS8" t="s">
        <v>6984</v>
      </c>
      <c r="FDT8" t="s">
        <v>6984</v>
      </c>
      <c r="FDU8" t="s">
        <v>6984</v>
      </c>
      <c r="FDV8" t="s">
        <v>6984</v>
      </c>
      <c r="FDW8" t="s">
        <v>6984</v>
      </c>
      <c r="FDX8" t="s">
        <v>6984</v>
      </c>
      <c r="FDY8" t="s">
        <v>6984</v>
      </c>
      <c r="FDZ8" t="s">
        <v>6984</v>
      </c>
      <c r="FEA8" t="s">
        <v>6984</v>
      </c>
      <c r="FEB8" t="s">
        <v>6984</v>
      </c>
      <c r="FEC8" t="s">
        <v>6984</v>
      </c>
      <c r="FED8" t="s">
        <v>6984</v>
      </c>
      <c r="FEE8" t="s">
        <v>6984</v>
      </c>
      <c r="FEF8" t="s">
        <v>6984</v>
      </c>
      <c r="FEG8" t="s">
        <v>6984</v>
      </c>
      <c r="FEH8" t="s">
        <v>6984</v>
      </c>
      <c r="FEI8" t="s">
        <v>6984</v>
      </c>
      <c r="FEJ8" t="s">
        <v>6984</v>
      </c>
      <c r="FEK8" t="s">
        <v>6984</v>
      </c>
      <c r="FEL8" t="s">
        <v>6984</v>
      </c>
      <c r="FEM8" t="s">
        <v>6984</v>
      </c>
      <c r="FEN8" t="s">
        <v>6984</v>
      </c>
      <c r="FEO8" t="s">
        <v>6984</v>
      </c>
      <c r="FEP8" t="s">
        <v>6984</v>
      </c>
      <c r="FEQ8" t="s">
        <v>6984</v>
      </c>
      <c r="FER8" t="s">
        <v>6984</v>
      </c>
      <c r="FES8" t="s">
        <v>6984</v>
      </c>
      <c r="FET8" t="s">
        <v>6984</v>
      </c>
      <c r="FEU8" t="s">
        <v>6984</v>
      </c>
      <c r="FEV8" t="s">
        <v>6984</v>
      </c>
      <c r="FEW8" t="s">
        <v>6984</v>
      </c>
      <c r="FEX8" t="s">
        <v>6984</v>
      </c>
      <c r="FEY8" t="s">
        <v>6984</v>
      </c>
      <c r="FEZ8" t="s">
        <v>6984</v>
      </c>
      <c r="FFA8" t="s">
        <v>6984</v>
      </c>
      <c r="FFB8" t="s">
        <v>6984</v>
      </c>
      <c r="FFC8" t="s">
        <v>6984</v>
      </c>
      <c r="FFD8" t="s">
        <v>6984</v>
      </c>
      <c r="FFE8" t="s">
        <v>6984</v>
      </c>
      <c r="FFF8" t="s">
        <v>6984</v>
      </c>
      <c r="FFG8" t="s">
        <v>6984</v>
      </c>
      <c r="FFH8" t="s">
        <v>6984</v>
      </c>
      <c r="FFI8" t="s">
        <v>6984</v>
      </c>
      <c r="FFJ8" t="s">
        <v>6984</v>
      </c>
      <c r="FFK8" t="s">
        <v>6984</v>
      </c>
      <c r="FFL8" t="s">
        <v>6984</v>
      </c>
      <c r="FFM8" t="s">
        <v>6984</v>
      </c>
      <c r="FFN8" t="s">
        <v>6984</v>
      </c>
      <c r="FFO8" t="s">
        <v>6984</v>
      </c>
      <c r="FFP8" t="s">
        <v>6984</v>
      </c>
      <c r="FFQ8" t="s">
        <v>6984</v>
      </c>
      <c r="FFR8" t="s">
        <v>6984</v>
      </c>
      <c r="FFS8" t="s">
        <v>6984</v>
      </c>
      <c r="FFT8" t="s">
        <v>6984</v>
      </c>
      <c r="FFU8" t="s">
        <v>6984</v>
      </c>
      <c r="FFV8" t="s">
        <v>6984</v>
      </c>
      <c r="FFW8" t="s">
        <v>6984</v>
      </c>
      <c r="FFX8" t="s">
        <v>6984</v>
      </c>
      <c r="FFY8" t="s">
        <v>6984</v>
      </c>
      <c r="FFZ8" t="s">
        <v>6984</v>
      </c>
      <c r="FGA8" t="s">
        <v>6984</v>
      </c>
      <c r="FGB8" t="s">
        <v>6984</v>
      </c>
      <c r="FGC8" t="s">
        <v>6984</v>
      </c>
      <c r="FGD8" t="s">
        <v>6984</v>
      </c>
      <c r="FGE8" t="s">
        <v>6984</v>
      </c>
      <c r="FGF8" t="s">
        <v>6984</v>
      </c>
      <c r="FGG8" t="s">
        <v>6984</v>
      </c>
      <c r="FGH8" t="s">
        <v>6984</v>
      </c>
      <c r="FGI8" t="s">
        <v>6984</v>
      </c>
      <c r="FGJ8" t="s">
        <v>6984</v>
      </c>
      <c r="FGK8" t="s">
        <v>6984</v>
      </c>
      <c r="FGL8" t="s">
        <v>6984</v>
      </c>
      <c r="FGM8" t="s">
        <v>6984</v>
      </c>
      <c r="FGN8" t="s">
        <v>6984</v>
      </c>
      <c r="FGO8" t="s">
        <v>6984</v>
      </c>
      <c r="FGP8" t="s">
        <v>6984</v>
      </c>
      <c r="FGQ8" t="s">
        <v>6984</v>
      </c>
      <c r="FGR8" t="s">
        <v>6984</v>
      </c>
      <c r="FGS8" t="s">
        <v>6984</v>
      </c>
      <c r="FGT8" t="s">
        <v>6984</v>
      </c>
      <c r="FGU8" t="s">
        <v>6984</v>
      </c>
      <c r="FGV8" t="s">
        <v>6984</v>
      </c>
      <c r="FGW8" t="s">
        <v>6984</v>
      </c>
      <c r="FGX8" t="s">
        <v>6984</v>
      </c>
      <c r="FGY8" t="s">
        <v>6984</v>
      </c>
      <c r="FGZ8" t="s">
        <v>6984</v>
      </c>
      <c r="FHA8" t="s">
        <v>6984</v>
      </c>
      <c r="FHB8" t="s">
        <v>6984</v>
      </c>
      <c r="FHC8" t="s">
        <v>6984</v>
      </c>
      <c r="FHD8" t="s">
        <v>6984</v>
      </c>
      <c r="FHE8" t="s">
        <v>6984</v>
      </c>
      <c r="FHF8" t="s">
        <v>6984</v>
      </c>
      <c r="FHG8" t="s">
        <v>6984</v>
      </c>
      <c r="FHH8" t="s">
        <v>6984</v>
      </c>
      <c r="FHI8" t="s">
        <v>6984</v>
      </c>
      <c r="FHJ8" t="s">
        <v>6984</v>
      </c>
      <c r="FHK8" t="s">
        <v>6984</v>
      </c>
      <c r="FHL8" t="s">
        <v>6984</v>
      </c>
      <c r="FHM8" t="s">
        <v>6984</v>
      </c>
      <c r="FHN8" t="s">
        <v>6984</v>
      </c>
      <c r="FHO8" t="s">
        <v>6984</v>
      </c>
      <c r="FHP8" t="s">
        <v>6984</v>
      </c>
      <c r="FHQ8" t="s">
        <v>6984</v>
      </c>
      <c r="FHR8" t="s">
        <v>6984</v>
      </c>
      <c r="FHS8" t="s">
        <v>6984</v>
      </c>
      <c r="FHT8" t="s">
        <v>6984</v>
      </c>
      <c r="FHU8" t="s">
        <v>6984</v>
      </c>
      <c r="FHV8" t="s">
        <v>6984</v>
      </c>
      <c r="FHW8" t="s">
        <v>6984</v>
      </c>
      <c r="FHX8" t="s">
        <v>6984</v>
      </c>
      <c r="FHY8" t="s">
        <v>6984</v>
      </c>
      <c r="FHZ8" t="s">
        <v>6984</v>
      </c>
      <c r="FIA8" t="s">
        <v>6984</v>
      </c>
      <c r="FIB8" t="s">
        <v>6984</v>
      </c>
      <c r="FIC8" t="s">
        <v>6984</v>
      </c>
      <c r="FID8" t="s">
        <v>6984</v>
      </c>
      <c r="FIE8" t="s">
        <v>6984</v>
      </c>
      <c r="FIF8" t="s">
        <v>6984</v>
      </c>
      <c r="FIG8" t="s">
        <v>6984</v>
      </c>
      <c r="FIH8" t="s">
        <v>6984</v>
      </c>
      <c r="FII8" t="s">
        <v>6984</v>
      </c>
      <c r="FIJ8" t="s">
        <v>6984</v>
      </c>
      <c r="FIK8" t="s">
        <v>6984</v>
      </c>
      <c r="FIL8" t="s">
        <v>6984</v>
      </c>
      <c r="FIM8" t="s">
        <v>6984</v>
      </c>
      <c r="FIN8" t="s">
        <v>6984</v>
      </c>
      <c r="FIO8" t="s">
        <v>6984</v>
      </c>
      <c r="FIP8" t="s">
        <v>6984</v>
      </c>
      <c r="FIQ8" t="s">
        <v>6984</v>
      </c>
      <c r="FIR8" t="s">
        <v>6984</v>
      </c>
      <c r="FIS8" t="s">
        <v>6984</v>
      </c>
      <c r="FIT8" t="s">
        <v>6984</v>
      </c>
      <c r="FIU8" t="s">
        <v>6984</v>
      </c>
      <c r="FIV8" t="s">
        <v>6984</v>
      </c>
      <c r="FIW8" t="s">
        <v>6984</v>
      </c>
      <c r="FIX8" t="s">
        <v>6984</v>
      </c>
      <c r="FIY8" t="s">
        <v>6984</v>
      </c>
      <c r="FIZ8" t="s">
        <v>6984</v>
      </c>
      <c r="FJA8" t="s">
        <v>6984</v>
      </c>
      <c r="FJB8" t="s">
        <v>6984</v>
      </c>
      <c r="FJC8" t="s">
        <v>6984</v>
      </c>
      <c r="FJD8" t="s">
        <v>6984</v>
      </c>
      <c r="FJE8" t="s">
        <v>6984</v>
      </c>
      <c r="FJF8" t="s">
        <v>6984</v>
      </c>
      <c r="FJG8" t="s">
        <v>6984</v>
      </c>
      <c r="FJH8" t="s">
        <v>6984</v>
      </c>
      <c r="FJI8" t="s">
        <v>6984</v>
      </c>
      <c r="FJJ8" t="s">
        <v>6984</v>
      </c>
      <c r="FJK8" t="s">
        <v>6984</v>
      </c>
      <c r="FJL8" t="s">
        <v>6984</v>
      </c>
      <c r="FJM8" t="s">
        <v>6984</v>
      </c>
      <c r="FJN8" t="s">
        <v>6984</v>
      </c>
      <c r="FJO8" t="s">
        <v>6984</v>
      </c>
      <c r="FJP8" t="s">
        <v>6984</v>
      </c>
      <c r="FJQ8" t="s">
        <v>6984</v>
      </c>
      <c r="FJR8" t="s">
        <v>6984</v>
      </c>
      <c r="FJS8" t="s">
        <v>6984</v>
      </c>
      <c r="FJT8" t="s">
        <v>6984</v>
      </c>
      <c r="FJU8" t="s">
        <v>6984</v>
      </c>
      <c r="FJV8" t="s">
        <v>6984</v>
      </c>
      <c r="FJW8" t="s">
        <v>6984</v>
      </c>
      <c r="FJX8" t="s">
        <v>6984</v>
      </c>
      <c r="FJY8" t="s">
        <v>6984</v>
      </c>
      <c r="FJZ8" t="s">
        <v>6984</v>
      </c>
      <c r="FKA8" t="s">
        <v>6984</v>
      </c>
      <c r="FKB8" t="s">
        <v>6984</v>
      </c>
      <c r="FKC8" t="s">
        <v>6984</v>
      </c>
      <c r="FKD8" t="s">
        <v>6984</v>
      </c>
      <c r="FKE8" t="s">
        <v>6984</v>
      </c>
      <c r="FKF8" t="s">
        <v>6984</v>
      </c>
      <c r="FKG8" t="s">
        <v>6984</v>
      </c>
      <c r="FKH8" t="s">
        <v>6984</v>
      </c>
      <c r="FKI8" t="s">
        <v>6984</v>
      </c>
      <c r="FKJ8" t="s">
        <v>6984</v>
      </c>
      <c r="FKK8" t="s">
        <v>6984</v>
      </c>
      <c r="FKL8" t="s">
        <v>6984</v>
      </c>
      <c r="FKM8" t="s">
        <v>6984</v>
      </c>
      <c r="FKN8" t="s">
        <v>6984</v>
      </c>
      <c r="FKO8" t="s">
        <v>6984</v>
      </c>
      <c r="FKP8" t="s">
        <v>6984</v>
      </c>
      <c r="FKQ8" t="s">
        <v>6984</v>
      </c>
      <c r="FKR8" t="s">
        <v>6984</v>
      </c>
      <c r="FKS8" t="s">
        <v>6984</v>
      </c>
      <c r="FKT8" t="s">
        <v>6984</v>
      </c>
      <c r="FKU8" t="s">
        <v>6984</v>
      </c>
      <c r="FKV8" t="s">
        <v>6984</v>
      </c>
      <c r="FKW8" t="s">
        <v>6984</v>
      </c>
      <c r="FKX8" t="s">
        <v>6984</v>
      </c>
      <c r="FKY8" t="s">
        <v>6984</v>
      </c>
      <c r="FKZ8" t="s">
        <v>6984</v>
      </c>
      <c r="FLA8" t="s">
        <v>6984</v>
      </c>
      <c r="FLB8" t="s">
        <v>6984</v>
      </c>
      <c r="FLC8" t="s">
        <v>6984</v>
      </c>
      <c r="FLD8" t="s">
        <v>6984</v>
      </c>
      <c r="FLE8" t="s">
        <v>6984</v>
      </c>
      <c r="FLF8" t="s">
        <v>6984</v>
      </c>
      <c r="FLG8" t="s">
        <v>6984</v>
      </c>
      <c r="FLH8" t="s">
        <v>6984</v>
      </c>
      <c r="FLI8" t="s">
        <v>6984</v>
      </c>
      <c r="FLJ8" t="s">
        <v>6984</v>
      </c>
      <c r="FLK8" t="s">
        <v>6984</v>
      </c>
      <c r="FLL8" t="s">
        <v>6984</v>
      </c>
      <c r="FLM8" t="s">
        <v>6984</v>
      </c>
      <c r="FLN8" t="s">
        <v>6984</v>
      </c>
      <c r="FLO8" t="s">
        <v>6984</v>
      </c>
      <c r="FLP8" t="s">
        <v>6984</v>
      </c>
      <c r="FLQ8" t="s">
        <v>6984</v>
      </c>
      <c r="FLR8" t="s">
        <v>6984</v>
      </c>
      <c r="FLS8" t="s">
        <v>6984</v>
      </c>
      <c r="FLT8" t="s">
        <v>6984</v>
      </c>
      <c r="FLU8" t="s">
        <v>6984</v>
      </c>
      <c r="FLV8" t="s">
        <v>6984</v>
      </c>
      <c r="FLW8" t="s">
        <v>6984</v>
      </c>
      <c r="FLX8" t="s">
        <v>6984</v>
      </c>
      <c r="FLY8" t="s">
        <v>6984</v>
      </c>
      <c r="FLZ8" t="s">
        <v>6984</v>
      </c>
      <c r="FMA8" t="s">
        <v>6984</v>
      </c>
      <c r="FMB8" t="s">
        <v>6984</v>
      </c>
      <c r="FMC8" t="s">
        <v>6984</v>
      </c>
      <c r="FMD8" t="s">
        <v>6984</v>
      </c>
      <c r="FME8" t="s">
        <v>6984</v>
      </c>
      <c r="FMF8" t="s">
        <v>6984</v>
      </c>
      <c r="FMG8" t="s">
        <v>6984</v>
      </c>
      <c r="FMH8" t="s">
        <v>6984</v>
      </c>
      <c r="FMI8" t="s">
        <v>6984</v>
      </c>
      <c r="FMJ8" t="s">
        <v>6984</v>
      </c>
      <c r="FMK8" t="s">
        <v>6984</v>
      </c>
      <c r="FML8" t="s">
        <v>6984</v>
      </c>
      <c r="FMM8" t="s">
        <v>6984</v>
      </c>
      <c r="FMN8" t="s">
        <v>6984</v>
      </c>
      <c r="FMO8" t="s">
        <v>6984</v>
      </c>
      <c r="FMP8" t="s">
        <v>6984</v>
      </c>
      <c r="FMQ8" t="s">
        <v>6984</v>
      </c>
      <c r="FMR8" t="s">
        <v>6984</v>
      </c>
      <c r="FMS8" t="s">
        <v>6984</v>
      </c>
      <c r="FMT8" t="s">
        <v>6984</v>
      </c>
      <c r="FMU8" t="s">
        <v>6984</v>
      </c>
      <c r="FMV8" t="s">
        <v>6984</v>
      </c>
      <c r="FMW8" t="s">
        <v>6984</v>
      </c>
      <c r="FMX8" t="s">
        <v>6984</v>
      </c>
      <c r="FMY8" t="s">
        <v>6984</v>
      </c>
      <c r="FMZ8" t="s">
        <v>6984</v>
      </c>
      <c r="FNA8" t="s">
        <v>6984</v>
      </c>
      <c r="FNB8" t="s">
        <v>6984</v>
      </c>
      <c r="FNC8" t="s">
        <v>6984</v>
      </c>
      <c r="FND8" t="s">
        <v>6984</v>
      </c>
      <c r="FNE8" t="s">
        <v>6984</v>
      </c>
      <c r="FNF8" t="s">
        <v>6984</v>
      </c>
      <c r="FNG8" t="s">
        <v>6984</v>
      </c>
      <c r="FNH8" t="s">
        <v>6984</v>
      </c>
      <c r="FNI8" t="s">
        <v>6984</v>
      </c>
      <c r="FNJ8" t="s">
        <v>6984</v>
      </c>
      <c r="FNK8" t="s">
        <v>6984</v>
      </c>
      <c r="FNL8" t="s">
        <v>6984</v>
      </c>
      <c r="FNM8" t="s">
        <v>6984</v>
      </c>
      <c r="FNN8" t="s">
        <v>6984</v>
      </c>
      <c r="FNO8" t="s">
        <v>6984</v>
      </c>
      <c r="FNP8" t="s">
        <v>6984</v>
      </c>
      <c r="FNQ8" t="s">
        <v>6984</v>
      </c>
      <c r="FNR8" t="s">
        <v>6984</v>
      </c>
      <c r="FNS8" t="s">
        <v>6984</v>
      </c>
      <c r="FNT8" t="s">
        <v>6984</v>
      </c>
      <c r="FNU8" t="s">
        <v>6984</v>
      </c>
      <c r="FNV8" t="s">
        <v>6984</v>
      </c>
      <c r="FNW8" t="s">
        <v>6984</v>
      </c>
      <c r="FNX8" t="s">
        <v>6984</v>
      </c>
      <c r="FNY8" t="s">
        <v>6984</v>
      </c>
      <c r="FNZ8" t="s">
        <v>6984</v>
      </c>
      <c r="FOA8" t="s">
        <v>6984</v>
      </c>
      <c r="FOB8" t="s">
        <v>6984</v>
      </c>
      <c r="FOC8" t="s">
        <v>6984</v>
      </c>
      <c r="FOD8" t="s">
        <v>6984</v>
      </c>
      <c r="FOE8" t="s">
        <v>6984</v>
      </c>
      <c r="FOF8" t="s">
        <v>6984</v>
      </c>
      <c r="FOG8" t="s">
        <v>6984</v>
      </c>
      <c r="FOH8" t="s">
        <v>6984</v>
      </c>
      <c r="FOI8" t="s">
        <v>6984</v>
      </c>
      <c r="FOJ8" t="s">
        <v>6984</v>
      </c>
      <c r="FOK8" t="s">
        <v>6984</v>
      </c>
      <c r="FOL8" t="s">
        <v>6984</v>
      </c>
      <c r="FOM8" t="s">
        <v>6984</v>
      </c>
      <c r="FON8" t="s">
        <v>6984</v>
      </c>
      <c r="FOO8" t="s">
        <v>6984</v>
      </c>
      <c r="FOP8" t="s">
        <v>6984</v>
      </c>
      <c r="FOQ8" t="s">
        <v>6984</v>
      </c>
      <c r="FOR8" t="s">
        <v>6984</v>
      </c>
      <c r="FOS8" t="s">
        <v>6984</v>
      </c>
      <c r="FOT8" t="s">
        <v>6984</v>
      </c>
      <c r="FOU8" t="s">
        <v>6984</v>
      </c>
      <c r="FOV8" t="s">
        <v>6984</v>
      </c>
      <c r="FOW8" t="s">
        <v>6984</v>
      </c>
      <c r="FOX8" t="s">
        <v>6984</v>
      </c>
      <c r="FOY8" t="s">
        <v>6984</v>
      </c>
      <c r="FOZ8" t="s">
        <v>6984</v>
      </c>
      <c r="FPA8" t="s">
        <v>6984</v>
      </c>
      <c r="FPB8" t="s">
        <v>6984</v>
      </c>
      <c r="FPC8" t="s">
        <v>6984</v>
      </c>
      <c r="FPD8" t="s">
        <v>6984</v>
      </c>
      <c r="FPE8" t="s">
        <v>6984</v>
      </c>
      <c r="FPF8" t="s">
        <v>6984</v>
      </c>
      <c r="FPG8" t="s">
        <v>6984</v>
      </c>
      <c r="FPH8" t="s">
        <v>6984</v>
      </c>
      <c r="FPI8" t="s">
        <v>6984</v>
      </c>
      <c r="FPJ8" t="s">
        <v>6984</v>
      </c>
      <c r="FPK8" t="s">
        <v>6984</v>
      </c>
      <c r="FPL8" t="s">
        <v>6984</v>
      </c>
      <c r="FPM8" t="s">
        <v>6984</v>
      </c>
      <c r="FPN8" t="s">
        <v>6984</v>
      </c>
      <c r="FPO8" t="s">
        <v>6984</v>
      </c>
      <c r="FPP8" t="s">
        <v>6984</v>
      </c>
      <c r="FPQ8" t="s">
        <v>6984</v>
      </c>
      <c r="FPR8" t="s">
        <v>6984</v>
      </c>
      <c r="FPS8" t="s">
        <v>6984</v>
      </c>
      <c r="FPT8" t="s">
        <v>6984</v>
      </c>
      <c r="FPU8" t="s">
        <v>6984</v>
      </c>
      <c r="FPV8" t="s">
        <v>6984</v>
      </c>
      <c r="FPW8" t="s">
        <v>6984</v>
      </c>
      <c r="FPX8" t="s">
        <v>6984</v>
      </c>
      <c r="FPY8" t="s">
        <v>6984</v>
      </c>
      <c r="FPZ8" t="s">
        <v>6984</v>
      </c>
      <c r="FQA8" t="s">
        <v>6984</v>
      </c>
      <c r="FQB8" t="s">
        <v>6984</v>
      </c>
      <c r="FQC8" t="s">
        <v>6984</v>
      </c>
      <c r="FQD8" t="s">
        <v>6984</v>
      </c>
      <c r="FQE8" t="s">
        <v>6984</v>
      </c>
      <c r="FQF8" t="s">
        <v>6984</v>
      </c>
      <c r="FQG8" t="s">
        <v>6984</v>
      </c>
      <c r="FQH8" t="s">
        <v>6984</v>
      </c>
      <c r="FQI8" t="s">
        <v>6984</v>
      </c>
      <c r="FQJ8" t="s">
        <v>6984</v>
      </c>
      <c r="FQK8" t="s">
        <v>6984</v>
      </c>
      <c r="FQL8" t="s">
        <v>6984</v>
      </c>
      <c r="FQM8" t="s">
        <v>6984</v>
      </c>
      <c r="FQN8" t="s">
        <v>6984</v>
      </c>
      <c r="FQO8" t="s">
        <v>6984</v>
      </c>
      <c r="FQP8" t="s">
        <v>6984</v>
      </c>
      <c r="FQQ8" t="s">
        <v>6984</v>
      </c>
      <c r="FQR8" t="s">
        <v>6984</v>
      </c>
      <c r="FQS8" t="s">
        <v>6984</v>
      </c>
      <c r="FQT8" t="s">
        <v>6984</v>
      </c>
      <c r="FQU8" t="s">
        <v>6984</v>
      </c>
      <c r="FQV8" t="s">
        <v>6984</v>
      </c>
      <c r="FQW8" t="s">
        <v>6984</v>
      </c>
      <c r="FQX8" t="s">
        <v>6984</v>
      </c>
      <c r="FQY8" t="s">
        <v>6984</v>
      </c>
      <c r="FQZ8" t="s">
        <v>6984</v>
      </c>
      <c r="FRA8" t="s">
        <v>6984</v>
      </c>
      <c r="FRB8" t="s">
        <v>6984</v>
      </c>
      <c r="FRC8" t="s">
        <v>6984</v>
      </c>
      <c r="FRD8" t="s">
        <v>6984</v>
      </c>
      <c r="FRE8" t="s">
        <v>6984</v>
      </c>
      <c r="FRF8" t="s">
        <v>6984</v>
      </c>
      <c r="FRG8" t="s">
        <v>6984</v>
      </c>
      <c r="FRH8" t="s">
        <v>6984</v>
      </c>
      <c r="FRI8" t="s">
        <v>6984</v>
      </c>
      <c r="FRJ8" t="s">
        <v>6984</v>
      </c>
      <c r="FRK8" t="s">
        <v>6984</v>
      </c>
      <c r="FRL8" t="s">
        <v>6984</v>
      </c>
      <c r="FRM8" t="s">
        <v>6984</v>
      </c>
      <c r="FRN8" t="s">
        <v>6984</v>
      </c>
      <c r="FRO8" t="s">
        <v>6984</v>
      </c>
      <c r="FRP8" t="s">
        <v>6984</v>
      </c>
      <c r="FRQ8" t="s">
        <v>6984</v>
      </c>
      <c r="FRR8" t="s">
        <v>6984</v>
      </c>
      <c r="FRS8" t="s">
        <v>6984</v>
      </c>
      <c r="FRT8" t="s">
        <v>6984</v>
      </c>
      <c r="FRU8" t="s">
        <v>6984</v>
      </c>
      <c r="FRV8" t="s">
        <v>6984</v>
      </c>
      <c r="FRW8" t="s">
        <v>6984</v>
      </c>
      <c r="FRX8" t="s">
        <v>6984</v>
      </c>
      <c r="FRY8" t="s">
        <v>6984</v>
      </c>
      <c r="FRZ8" t="s">
        <v>6984</v>
      </c>
      <c r="FSA8" t="s">
        <v>6984</v>
      </c>
      <c r="FSB8" t="s">
        <v>6984</v>
      </c>
      <c r="FSC8" t="s">
        <v>6984</v>
      </c>
      <c r="FSD8" t="s">
        <v>6984</v>
      </c>
      <c r="FSE8" t="s">
        <v>6984</v>
      </c>
      <c r="FSF8" t="s">
        <v>6984</v>
      </c>
      <c r="FSG8" t="s">
        <v>6984</v>
      </c>
      <c r="FSH8" t="s">
        <v>6984</v>
      </c>
      <c r="FSI8" t="s">
        <v>6984</v>
      </c>
      <c r="FSJ8" t="s">
        <v>6984</v>
      </c>
      <c r="FSK8" t="s">
        <v>6984</v>
      </c>
      <c r="FSL8" t="s">
        <v>6984</v>
      </c>
      <c r="FSM8" t="s">
        <v>6984</v>
      </c>
      <c r="FSN8" t="s">
        <v>6984</v>
      </c>
      <c r="FSO8" t="s">
        <v>6984</v>
      </c>
      <c r="FSP8" t="s">
        <v>6984</v>
      </c>
      <c r="FSQ8" t="s">
        <v>6984</v>
      </c>
      <c r="FSR8" t="s">
        <v>6984</v>
      </c>
      <c r="FSS8" t="s">
        <v>6984</v>
      </c>
      <c r="FST8" t="s">
        <v>6984</v>
      </c>
      <c r="FSU8" t="s">
        <v>6984</v>
      </c>
      <c r="FSV8" t="s">
        <v>6984</v>
      </c>
      <c r="FSW8" t="s">
        <v>6984</v>
      </c>
      <c r="FSX8" t="s">
        <v>6984</v>
      </c>
      <c r="FSY8" t="s">
        <v>6984</v>
      </c>
      <c r="FSZ8" t="s">
        <v>6984</v>
      </c>
      <c r="FTA8" t="s">
        <v>6984</v>
      </c>
      <c r="FTB8" t="s">
        <v>6984</v>
      </c>
      <c r="FTC8" t="s">
        <v>6984</v>
      </c>
      <c r="FTD8" t="s">
        <v>6984</v>
      </c>
      <c r="FTE8" t="s">
        <v>6984</v>
      </c>
      <c r="FTF8" t="s">
        <v>6984</v>
      </c>
      <c r="FTG8" t="s">
        <v>6984</v>
      </c>
      <c r="FTH8" t="s">
        <v>6984</v>
      </c>
      <c r="FTI8" t="s">
        <v>6984</v>
      </c>
      <c r="FTJ8" t="s">
        <v>6984</v>
      </c>
      <c r="FTK8" t="s">
        <v>6984</v>
      </c>
      <c r="FTL8" t="s">
        <v>6984</v>
      </c>
      <c r="FTM8" t="s">
        <v>6984</v>
      </c>
      <c r="FTN8" t="s">
        <v>6984</v>
      </c>
      <c r="FTO8" t="s">
        <v>6984</v>
      </c>
      <c r="FTP8" t="s">
        <v>6984</v>
      </c>
      <c r="FTQ8" t="s">
        <v>6984</v>
      </c>
      <c r="FTR8" t="s">
        <v>6984</v>
      </c>
      <c r="FTS8" t="s">
        <v>6984</v>
      </c>
      <c r="FTT8" t="s">
        <v>6984</v>
      </c>
      <c r="FTU8" t="s">
        <v>6984</v>
      </c>
      <c r="FTV8" t="s">
        <v>6984</v>
      </c>
      <c r="FTW8" t="s">
        <v>6984</v>
      </c>
      <c r="FTX8" t="s">
        <v>6984</v>
      </c>
      <c r="FTY8" t="s">
        <v>6984</v>
      </c>
      <c r="FTZ8" t="s">
        <v>6984</v>
      </c>
      <c r="FUA8" t="s">
        <v>6984</v>
      </c>
      <c r="FUB8" t="s">
        <v>6984</v>
      </c>
      <c r="FUC8" t="s">
        <v>6984</v>
      </c>
      <c r="FUD8" t="s">
        <v>6984</v>
      </c>
      <c r="FUE8" t="s">
        <v>6984</v>
      </c>
      <c r="FUF8" t="s">
        <v>6984</v>
      </c>
      <c r="FUG8" t="s">
        <v>6984</v>
      </c>
      <c r="FUH8" t="s">
        <v>6984</v>
      </c>
      <c r="FUI8" t="s">
        <v>6984</v>
      </c>
      <c r="FUJ8" t="s">
        <v>6984</v>
      </c>
      <c r="FUK8" t="s">
        <v>6984</v>
      </c>
      <c r="FUL8" t="s">
        <v>6984</v>
      </c>
      <c r="FUM8" t="s">
        <v>6984</v>
      </c>
      <c r="FUN8" t="s">
        <v>6984</v>
      </c>
      <c r="FUO8" t="s">
        <v>6984</v>
      </c>
      <c r="FUP8" t="s">
        <v>6984</v>
      </c>
      <c r="FUQ8" t="s">
        <v>6984</v>
      </c>
      <c r="FUR8" t="s">
        <v>6984</v>
      </c>
      <c r="FUS8" t="s">
        <v>6984</v>
      </c>
      <c r="FUT8" t="s">
        <v>6984</v>
      </c>
      <c r="FUU8" t="s">
        <v>6984</v>
      </c>
      <c r="FUV8" t="s">
        <v>6984</v>
      </c>
      <c r="FUW8" t="s">
        <v>6984</v>
      </c>
      <c r="FUX8" t="s">
        <v>6984</v>
      </c>
      <c r="FUY8" t="s">
        <v>6984</v>
      </c>
      <c r="FUZ8" t="s">
        <v>6984</v>
      </c>
      <c r="FVA8" t="s">
        <v>6984</v>
      </c>
      <c r="FVB8" t="s">
        <v>6984</v>
      </c>
      <c r="FVC8" t="s">
        <v>6984</v>
      </c>
      <c r="FVD8" t="s">
        <v>6984</v>
      </c>
      <c r="FVE8" t="s">
        <v>6984</v>
      </c>
      <c r="FVF8" t="s">
        <v>6984</v>
      </c>
      <c r="FVG8" t="s">
        <v>6984</v>
      </c>
      <c r="FVH8" t="s">
        <v>6984</v>
      </c>
      <c r="FVI8" t="s">
        <v>6984</v>
      </c>
      <c r="FVJ8" t="s">
        <v>6984</v>
      </c>
      <c r="FVK8" t="s">
        <v>6984</v>
      </c>
      <c r="FVL8" t="s">
        <v>6984</v>
      </c>
      <c r="FVM8" t="s">
        <v>6984</v>
      </c>
      <c r="FVN8" t="s">
        <v>6984</v>
      </c>
      <c r="FVO8" t="s">
        <v>6984</v>
      </c>
      <c r="FVP8" t="s">
        <v>6984</v>
      </c>
      <c r="FVQ8" t="s">
        <v>6984</v>
      </c>
      <c r="FVR8" t="s">
        <v>6984</v>
      </c>
      <c r="FVS8" t="s">
        <v>6984</v>
      </c>
      <c r="FVT8" t="s">
        <v>6984</v>
      </c>
      <c r="FVU8" t="s">
        <v>6984</v>
      </c>
      <c r="FVV8" t="s">
        <v>6984</v>
      </c>
      <c r="FVW8" t="s">
        <v>6984</v>
      </c>
      <c r="FVX8" t="s">
        <v>6984</v>
      </c>
      <c r="FVY8" t="s">
        <v>6984</v>
      </c>
      <c r="FVZ8" t="s">
        <v>6984</v>
      </c>
      <c r="FWA8" t="s">
        <v>6984</v>
      </c>
      <c r="FWB8" t="s">
        <v>6984</v>
      </c>
      <c r="FWC8" t="s">
        <v>6984</v>
      </c>
      <c r="FWD8" t="s">
        <v>6984</v>
      </c>
      <c r="FWE8" t="s">
        <v>6984</v>
      </c>
      <c r="FWF8" t="s">
        <v>6984</v>
      </c>
      <c r="FWG8" t="s">
        <v>6984</v>
      </c>
      <c r="FWH8" t="s">
        <v>6984</v>
      </c>
      <c r="FWI8" t="s">
        <v>6984</v>
      </c>
      <c r="FWJ8" t="s">
        <v>6984</v>
      </c>
      <c r="FWK8" t="s">
        <v>6984</v>
      </c>
      <c r="FWL8" t="s">
        <v>6984</v>
      </c>
      <c r="FWM8" t="s">
        <v>6984</v>
      </c>
      <c r="FWN8" t="s">
        <v>6984</v>
      </c>
      <c r="FWO8" t="s">
        <v>6984</v>
      </c>
      <c r="FWP8" t="s">
        <v>6984</v>
      </c>
      <c r="FWQ8" t="s">
        <v>6984</v>
      </c>
      <c r="FWR8" t="s">
        <v>6984</v>
      </c>
      <c r="FWS8" t="s">
        <v>6984</v>
      </c>
      <c r="FWT8" t="s">
        <v>6984</v>
      </c>
      <c r="FWU8" t="s">
        <v>6984</v>
      </c>
      <c r="FWV8" t="s">
        <v>6984</v>
      </c>
      <c r="FWW8" t="s">
        <v>6984</v>
      </c>
      <c r="FWX8" t="s">
        <v>6984</v>
      </c>
      <c r="FWY8" t="s">
        <v>6984</v>
      </c>
      <c r="FWZ8" t="s">
        <v>6984</v>
      </c>
      <c r="FXA8" t="s">
        <v>6984</v>
      </c>
      <c r="FXB8" t="s">
        <v>6984</v>
      </c>
      <c r="FXC8" t="s">
        <v>6984</v>
      </c>
      <c r="FXD8" t="s">
        <v>6984</v>
      </c>
      <c r="FXE8" t="s">
        <v>6984</v>
      </c>
      <c r="FXF8" t="s">
        <v>6984</v>
      </c>
      <c r="FXG8" t="s">
        <v>6984</v>
      </c>
      <c r="FXH8" t="s">
        <v>6984</v>
      </c>
      <c r="FXI8" t="s">
        <v>6984</v>
      </c>
      <c r="FXJ8" t="s">
        <v>6984</v>
      </c>
      <c r="FXK8" t="s">
        <v>6984</v>
      </c>
      <c r="FXL8" t="s">
        <v>6984</v>
      </c>
      <c r="FXM8" t="s">
        <v>6984</v>
      </c>
      <c r="FXN8" t="s">
        <v>6984</v>
      </c>
      <c r="FXO8" t="s">
        <v>6984</v>
      </c>
      <c r="FXP8" t="s">
        <v>6984</v>
      </c>
      <c r="FXQ8" t="s">
        <v>6984</v>
      </c>
      <c r="FXR8" t="s">
        <v>6984</v>
      </c>
      <c r="FXS8" t="s">
        <v>6984</v>
      </c>
      <c r="FXT8" t="s">
        <v>6984</v>
      </c>
      <c r="FXU8" t="s">
        <v>6984</v>
      </c>
      <c r="FXV8" t="s">
        <v>6984</v>
      </c>
      <c r="FXW8" t="s">
        <v>6984</v>
      </c>
      <c r="FXX8" t="s">
        <v>6984</v>
      </c>
      <c r="FXY8" t="s">
        <v>6984</v>
      </c>
      <c r="FXZ8" t="s">
        <v>6984</v>
      </c>
      <c r="FYA8" t="s">
        <v>6984</v>
      </c>
      <c r="FYB8" t="s">
        <v>6984</v>
      </c>
      <c r="FYC8" t="s">
        <v>6984</v>
      </c>
      <c r="FYD8" t="s">
        <v>6984</v>
      </c>
      <c r="FYE8" t="s">
        <v>6984</v>
      </c>
      <c r="FYF8" t="s">
        <v>6984</v>
      </c>
      <c r="FYG8" t="s">
        <v>6984</v>
      </c>
      <c r="FYH8" t="s">
        <v>6984</v>
      </c>
      <c r="FYI8" t="s">
        <v>6984</v>
      </c>
      <c r="FYJ8" t="s">
        <v>6984</v>
      </c>
      <c r="FYK8" t="s">
        <v>6984</v>
      </c>
      <c r="FYL8" t="s">
        <v>6984</v>
      </c>
      <c r="FYM8" t="s">
        <v>6984</v>
      </c>
      <c r="FYN8" t="s">
        <v>6984</v>
      </c>
      <c r="FYO8" t="s">
        <v>6984</v>
      </c>
      <c r="FYP8" t="s">
        <v>6984</v>
      </c>
      <c r="FYQ8" t="s">
        <v>6984</v>
      </c>
      <c r="FYR8" t="s">
        <v>6984</v>
      </c>
      <c r="FYS8" t="s">
        <v>6984</v>
      </c>
      <c r="FYT8" t="s">
        <v>6984</v>
      </c>
      <c r="FYU8" t="s">
        <v>6984</v>
      </c>
      <c r="FYV8" t="s">
        <v>6984</v>
      </c>
      <c r="FYW8" t="s">
        <v>6984</v>
      </c>
      <c r="FYX8" t="s">
        <v>6984</v>
      </c>
      <c r="FYY8" t="s">
        <v>6984</v>
      </c>
      <c r="FYZ8" t="s">
        <v>6984</v>
      </c>
      <c r="FZA8" t="s">
        <v>6984</v>
      </c>
      <c r="FZB8" t="s">
        <v>6984</v>
      </c>
      <c r="FZC8" t="s">
        <v>6984</v>
      </c>
      <c r="FZD8" t="s">
        <v>6984</v>
      </c>
      <c r="FZE8" t="s">
        <v>6984</v>
      </c>
      <c r="FZF8" t="s">
        <v>6984</v>
      </c>
      <c r="FZG8" t="s">
        <v>6984</v>
      </c>
      <c r="FZH8" t="s">
        <v>6984</v>
      </c>
      <c r="FZI8" t="s">
        <v>6984</v>
      </c>
      <c r="FZJ8" t="s">
        <v>6984</v>
      </c>
      <c r="FZK8" t="s">
        <v>6984</v>
      </c>
      <c r="FZL8" t="s">
        <v>6984</v>
      </c>
      <c r="FZM8" t="s">
        <v>6984</v>
      </c>
      <c r="FZN8" t="s">
        <v>6984</v>
      </c>
      <c r="FZO8" t="s">
        <v>6984</v>
      </c>
      <c r="FZP8" t="s">
        <v>6984</v>
      </c>
      <c r="FZQ8" t="s">
        <v>6984</v>
      </c>
      <c r="FZR8" t="s">
        <v>6984</v>
      </c>
      <c r="FZS8" t="s">
        <v>6984</v>
      </c>
      <c r="FZT8" t="s">
        <v>6984</v>
      </c>
      <c r="FZU8" t="s">
        <v>6984</v>
      </c>
      <c r="FZV8" t="s">
        <v>6984</v>
      </c>
      <c r="FZW8" t="s">
        <v>6984</v>
      </c>
      <c r="FZX8" t="s">
        <v>6984</v>
      </c>
      <c r="FZY8" t="s">
        <v>6984</v>
      </c>
      <c r="FZZ8" t="s">
        <v>6984</v>
      </c>
      <c r="GAA8" t="s">
        <v>6984</v>
      </c>
      <c r="GAB8" t="s">
        <v>6984</v>
      </c>
      <c r="GAC8" t="s">
        <v>6984</v>
      </c>
      <c r="GAD8" t="s">
        <v>6984</v>
      </c>
      <c r="GAE8" t="s">
        <v>6984</v>
      </c>
      <c r="GAF8" t="s">
        <v>6984</v>
      </c>
      <c r="GAG8" t="s">
        <v>6984</v>
      </c>
      <c r="GAH8" t="s">
        <v>6984</v>
      </c>
      <c r="GAI8" t="s">
        <v>6984</v>
      </c>
      <c r="GAJ8" t="s">
        <v>6984</v>
      </c>
      <c r="GAK8" t="s">
        <v>6984</v>
      </c>
      <c r="GAL8" t="s">
        <v>6984</v>
      </c>
      <c r="GAM8" t="s">
        <v>6984</v>
      </c>
      <c r="GAN8" t="s">
        <v>6984</v>
      </c>
      <c r="GAO8" t="s">
        <v>6984</v>
      </c>
      <c r="GAP8" t="s">
        <v>6984</v>
      </c>
      <c r="GAQ8" t="s">
        <v>6984</v>
      </c>
      <c r="GAR8" t="s">
        <v>6984</v>
      </c>
      <c r="GAS8" t="s">
        <v>6984</v>
      </c>
      <c r="GAT8" t="s">
        <v>6984</v>
      </c>
      <c r="GAU8" t="s">
        <v>6984</v>
      </c>
      <c r="GAV8" t="s">
        <v>6984</v>
      </c>
      <c r="GAW8" t="s">
        <v>6984</v>
      </c>
      <c r="GAX8" t="s">
        <v>6984</v>
      </c>
      <c r="GAY8" t="s">
        <v>6984</v>
      </c>
      <c r="GAZ8" t="s">
        <v>6984</v>
      </c>
      <c r="GBA8" t="s">
        <v>6984</v>
      </c>
      <c r="GBB8" t="s">
        <v>6984</v>
      </c>
      <c r="GBC8" t="s">
        <v>6984</v>
      </c>
      <c r="GBD8" t="s">
        <v>6984</v>
      </c>
      <c r="GBE8" t="s">
        <v>6984</v>
      </c>
      <c r="GBF8" t="s">
        <v>6984</v>
      </c>
      <c r="GBG8" t="s">
        <v>6984</v>
      </c>
      <c r="GBH8" t="s">
        <v>6984</v>
      </c>
      <c r="GBI8" t="s">
        <v>6984</v>
      </c>
      <c r="GBJ8" t="s">
        <v>6984</v>
      </c>
      <c r="GBK8" t="s">
        <v>6984</v>
      </c>
      <c r="GBL8" t="s">
        <v>6984</v>
      </c>
      <c r="GBM8" t="s">
        <v>6984</v>
      </c>
      <c r="GBN8" t="s">
        <v>6984</v>
      </c>
      <c r="GBO8" t="s">
        <v>6984</v>
      </c>
      <c r="GBP8" t="s">
        <v>6984</v>
      </c>
      <c r="GBQ8" t="s">
        <v>6984</v>
      </c>
      <c r="GBR8" t="s">
        <v>6984</v>
      </c>
      <c r="GBS8" t="s">
        <v>6984</v>
      </c>
      <c r="GBT8" t="s">
        <v>6984</v>
      </c>
      <c r="GBU8" t="s">
        <v>6984</v>
      </c>
      <c r="GBV8" t="s">
        <v>6984</v>
      </c>
      <c r="GBW8" t="s">
        <v>6984</v>
      </c>
      <c r="GBX8" t="s">
        <v>6984</v>
      </c>
      <c r="GBY8" t="s">
        <v>6984</v>
      </c>
      <c r="GBZ8" t="s">
        <v>6984</v>
      </c>
      <c r="GCA8" t="s">
        <v>6984</v>
      </c>
      <c r="GCB8" t="s">
        <v>6984</v>
      </c>
      <c r="GCC8" t="s">
        <v>6984</v>
      </c>
      <c r="GCD8" t="s">
        <v>6984</v>
      </c>
      <c r="GCE8" t="s">
        <v>6984</v>
      </c>
      <c r="GCF8" t="s">
        <v>6984</v>
      </c>
      <c r="GCG8" t="s">
        <v>6984</v>
      </c>
      <c r="GCH8" t="s">
        <v>6984</v>
      </c>
      <c r="GCI8" t="s">
        <v>6984</v>
      </c>
      <c r="GCJ8" t="s">
        <v>6984</v>
      </c>
      <c r="GCK8" t="s">
        <v>6984</v>
      </c>
      <c r="GCL8" t="s">
        <v>6984</v>
      </c>
      <c r="GCM8" t="s">
        <v>6984</v>
      </c>
      <c r="GCN8" t="s">
        <v>6984</v>
      </c>
      <c r="GCO8" t="s">
        <v>6984</v>
      </c>
      <c r="GCP8" t="s">
        <v>6984</v>
      </c>
      <c r="GCQ8" t="s">
        <v>6984</v>
      </c>
      <c r="GCR8" t="s">
        <v>6984</v>
      </c>
      <c r="GCS8" t="s">
        <v>6984</v>
      </c>
      <c r="GCT8" t="s">
        <v>6984</v>
      </c>
      <c r="GCU8" t="s">
        <v>6984</v>
      </c>
      <c r="GCV8" t="s">
        <v>6984</v>
      </c>
      <c r="GCW8" t="s">
        <v>6984</v>
      </c>
      <c r="GCX8" t="s">
        <v>6984</v>
      </c>
      <c r="GCY8" t="s">
        <v>6984</v>
      </c>
      <c r="GCZ8" t="s">
        <v>6984</v>
      </c>
      <c r="GDA8" t="s">
        <v>6984</v>
      </c>
      <c r="GDB8" t="s">
        <v>6984</v>
      </c>
      <c r="GDC8" t="s">
        <v>6984</v>
      </c>
      <c r="GDD8" t="s">
        <v>6984</v>
      </c>
      <c r="GDE8" t="s">
        <v>6984</v>
      </c>
      <c r="GDF8" t="s">
        <v>6984</v>
      </c>
      <c r="GDG8" t="s">
        <v>6984</v>
      </c>
      <c r="GDH8" t="s">
        <v>6984</v>
      </c>
      <c r="GDI8" t="s">
        <v>6984</v>
      </c>
      <c r="GDJ8" t="s">
        <v>6984</v>
      </c>
      <c r="GDK8" t="s">
        <v>6984</v>
      </c>
      <c r="GDL8" t="s">
        <v>6984</v>
      </c>
      <c r="GDM8" t="s">
        <v>6984</v>
      </c>
      <c r="GDN8" t="s">
        <v>6984</v>
      </c>
      <c r="GDO8" t="s">
        <v>6984</v>
      </c>
      <c r="GDP8" t="s">
        <v>6984</v>
      </c>
      <c r="GDQ8" t="s">
        <v>6984</v>
      </c>
      <c r="GDR8" t="s">
        <v>6984</v>
      </c>
      <c r="GDS8" t="s">
        <v>6984</v>
      </c>
      <c r="GDT8" t="s">
        <v>6984</v>
      </c>
      <c r="GDU8" t="s">
        <v>6984</v>
      </c>
      <c r="GDV8" t="s">
        <v>6984</v>
      </c>
      <c r="GDW8" t="s">
        <v>6984</v>
      </c>
      <c r="GDX8" t="s">
        <v>6984</v>
      </c>
      <c r="GDY8" t="s">
        <v>6984</v>
      </c>
      <c r="GDZ8" t="s">
        <v>6984</v>
      </c>
      <c r="GEA8" t="s">
        <v>6984</v>
      </c>
      <c r="GEB8" t="s">
        <v>6984</v>
      </c>
      <c r="GEC8" t="s">
        <v>6984</v>
      </c>
      <c r="GED8" t="s">
        <v>6984</v>
      </c>
      <c r="GEE8" t="s">
        <v>6984</v>
      </c>
      <c r="GEF8" t="s">
        <v>6984</v>
      </c>
      <c r="GEG8" t="s">
        <v>6984</v>
      </c>
      <c r="GEH8" t="s">
        <v>6984</v>
      </c>
      <c r="GEI8" t="s">
        <v>6984</v>
      </c>
      <c r="GEJ8" t="s">
        <v>6984</v>
      </c>
      <c r="GEK8" t="s">
        <v>6984</v>
      </c>
      <c r="GEL8" t="s">
        <v>6984</v>
      </c>
      <c r="GEM8" t="s">
        <v>6984</v>
      </c>
      <c r="GEN8" t="s">
        <v>6984</v>
      </c>
      <c r="GEO8" t="s">
        <v>6984</v>
      </c>
      <c r="GEP8" t="s">
        <v>6984</v>
      </c>
      <c r="GEQ8" t="s">
        <v>6984</v>
      </c>
      <c r="GER8" t="s">
        <v>6984</v>
      </c>
      <c r="GES8" t="s">
        <v>6984</v>
      </c>
      <c r="GET8" t="s">
        <v>6984</v>
      </c>
      <c r="GEU8" t="s">
        <v>6984</v>
      </c>
      <c r="GEV8" t="s">
        <v>6984</v>
      </c>
      <c r="GEW8" t="s">
        <v>6984</v>
      </c>
      <c r="GEX8" t="s">
        <v>6984</v>
      </c>
      <c r="GEY8" t="s">
        <v>6984</v>
      </c>
      <c r="GEZ8" t="s">
        <v>6984</v>
      </c>
      <c r="GFA8" t="s">
        <v>6984</v>
      </c>
      <c r="GFB8" t="s">
        <v>6984</v>
      </c>
      <c r="GFC8" t="s">
        <v>6984</v>
      </c>
      <c r="GFD8" t="s">
        <v>6984</v>
      </c>
      <c r="GFE8" t="s">
        <v>6984</v>
      </c>
      <c r="GFF8" t="s">
        <v>6984</v>
      </c>
      <c r="GFG8" t="s">
        <v>6984</v>
      </c>
      <c r="GFH8" t="s">
        <v>6984</v>
      </c>
      <c r="GFI8" t="s">
        <v>6984</v>
      </c>
      <c r="GFJ8" t="s">
        <v>6984</v>
      </c>
      <c r="GFK8" t="s">
        <v>6984</v>
      </c>
      <c r="GFL8" t="s">
        <v>6984</v>
      </c>
      <c r="GFM8" t="s">
        <v>6984</v>
      </c>
      <c r="GFN8" t="s">
        <v>6984</v>
      </c>
      <c r="GFO8" t="s">
        <v>6984</v>
      </c>
      <c r="GFP8" t="s">
        <v>6984</v>
      </c>
      <c r="GFQ8" t="s">
        <v>6984</v>
      </c>
      <c r="GFR8" t="s">
        <v>6984</v>
      </c>
      <c r="GFS8" t="s">
        <v>6984</v>
      </c>
      <c r="GFT8" t="s">
        <v>6984</v>
      </c>
      <c r="GFU8" t="s">
        <v>6984</v>
      </c>
      <c r="GFV8" t="s">
        <v>6984</v>
      </c>
      <c r="GFW8" t="s">
        <v>6984</v>
      </c>
      <c r="GFX8" t="s">
        <v>6984</v>
      </c>
      <c r="GFY8" t="s">
        <v>6984</v>
      </c>
      <c r="GFZ8" t="s">
        <v>6984</v>
      </c>
      <c r="GGA8" t="s">
        <v>6984</v>
      </c>
      <c r="GGB8" t="s">
        <v>6984</v>
      </c>
      <c r="GGC8" t="s">
        <v>6984</v>
      </c>
      <c r="GGD8" t="s">
        <v>6984</v>
      </c>
      <c r="GGE8" t="s">
        <v>6984</v>
      </c>
      <c r="GGF8" t="s">
        <v>6984</v>
      </c>
      <c r="GGG8" t="s">
        <v>6984</v>
      </c>
      <c r="GGH8" t="s">
        <v>6984</v>
      </c>
      <c r="GGI8" t="s">
        <v>6984</v>
      </c>
      <c r="GGJ8" t="s">
        <v>6984</v>
      </c>
      <c r="GGK8" t="s">
        <v>6984</v>
      </c>
      <c r="GGL8" t="s">
        <v>6984</v>
      </c>
      <c r="GGM8" t="s">
        <v>6984</v>
      </c>
      <c r="GGN8" t="s">
        <v>6984</v>
      </c>
      <c r="GGO8" t="s">
        <v>6984</v>
      </c>
      <c r="GGP8" t="s">
        <v>6984</v>
      </c>
      <c r="GGQ8" t="s">
        <v>6984</v>
      </c>
      <c r="GGR8" t="s">
        <v>6984</v>
      </c>
      <c r="GGS8" t="s">
        <v>6984</v>
      </c>
      <c r="GGT8" t="s">
        <v>6984</v>
      </c>
      <c r="GGU8" t="s">
        <v>6984</v>
      </c>
      <c r="GGV8" t="s">
        <v>6984</v>
      </c>
      <c r="GGW8" t="s">
        <v>6984</v>
      </c>
      <c r="GGX8" t="s">
        <v>6984</v>
      </c>
      <c r="GGY8" t="s">
        <v>6984</v>
      </c>
      <c r="GGZ8" t="s">
        <v>6984</v>
      </c>
      <c r="GHA8" t="s">
        <v>6984</v>
      </c>
      <c r="GHB8" t="s">
        <v>6984</v>
      </c>
      <c r="GHC8" t="s">
        <v>6984</v>
      </c>
      <c r="GHD8" t="s">
        <v>6984</v>
      </c>
      <c r="GHE8" t="s">
        <v>6984</v>
      </c>
      <c r="GHF8" t="s">
        <v>6984</v>
      </c>
      <c r="GHG8" t="s">
        <v>6984</v>
      </c>
      <c r="GHH8" t="s">
        <v>6984</v>
      </c>
      <c r="GHI8" t="s">
        <v>6984</v>
      </c>
      <c r="GHJ8" t="s">
        <v>6984</v>
      </c>
      <c r="GHK8" t="s">
        <v>6984</v>
      </c>
      <c r="GHL8" t="s">
        <v>6984</v>
      </c>
      <c r="GHM8" t="s">
        <v>6984</v>
      </c>
      <c r="GHN8" t="s">
        <v>6984</v>
      </c>
      <c r="GHO8" t="s">
        <v>6984</v>
      </c>
      <c r="GHP8" t="s">
        <v>6984</v>
      </c>
      <c r="GHQ8" t="s">
        <v>6984</v>
      </c>
      <c r="GHR8" t="s">
        <v>6984</v>
      </c>
      <c r="GHS8" t="s">
        <v>6984</v>
      </c>
      <c r="GHT8" t="s">
        <v>6984</v>
      </c>
      <c r="GHU8" t="s">
        <v>6984</v>
      </c>
      <c r="GHV8" t="s">
        <v>6984</v>
      </c>
      <c r="GHW8" t="s">
        <v>6984</v>
      </c>
      <c r="GHX8" t="s">
        <v>6984</v>
      </c>
      <c r="GHY8" t="s">
        <v>6984</v>
      </c>
      <c r="GHZ8" t="s">
        <v>6984</v>
      </c>
      <c r="GIA8" t="s">
        <v>6984</v>
      </c>
      <c r="GIB8" t="s">
        <v>6984</v>
      </c>
      <c r="GIC8" t="s">
        <v>6984</v>
      </c>
      <c r="GID8" t="s">
        <v>6984</v>
      </c>
      <c r="GIE8" t="s">
        <v>6984</v>
      </c>
      <c r="GIF8" t="s">
        <v>6984</v>
      </c>
      <c r="GIG8" t="s">
        <v>6984</v>
      </c>
      <c r="GIH8" t="s">
        <v>6984</v>
      </c>
      <c r="GII8" t="s">
        <v>6984</v>
      </c>
      <c r="GIJ8" t="s">
        <v>6984</v>
      </c>
      <c r="GIK8" t="s">
        <v>6984</v>
      </c>
      <c r="GIL8" t="s">
        <v>6984</v>
      </c>
      <c r="GIM8" t="s">
        <v>6984</v>
      </c>
      <c r="GIN8" t="s">
        <v>6984</v>
      </c>
      <c r="GIO8" t="s">
        <v>6984</v>
      </c>
      <c r="GIP8" t="s">
        <v>6984</v>
      </c>
      <c r="GIQ8" t="s">
        <v>6984</v>
      </c>
      <c r="GIR8" t="s">
        <v>6984</v>
      </c>
      <c r="GIS8" t="s">
        <v>6984</v>
      </c>
      <c r="GIT8" t="s">
        <v>6984</v>
      </c>
      <c r="GIU8" t="s">
        <v>6984</v>
      </c>
      <c r="GIV8" t="s">
        <v>6984</v>
      </c>
      <c r="GIW8" t="s">
        <v>6984</v>
      </c>
      <c r="GIX8" t="s">
        <v>6984</v>
      </c>
      <c r="GIY8" t="s">
        <v>6984</v>
      </c>
      <c r="GIZ8" t="s">
        <v>6984</v>
      </c>
      <c r="GJA8" t="s">
        <v>6984</v>
      </c>
      <c r="GJB8" t="s">
        <v>6984</v>
      </c>
      <c r="GJC8" t="s">
        <v>6984</v>
      </c>
      <c r="GJD8" t="s">
        <v>6984</v>
      </c>
      <c r="GJE8" t="s">
        <v>6984</v>
      </c>
      <c r="GJF8" t="s">
        <v>6984</v>
      </c>
      <c r="GJG8" t="s">
        <v>6984</v>
      </c>
      <c r="GJH8" t="s">
        <v>6984</v>
      </c>
      <c r="GJI8" t="s">
        <v>6984</v>
      </c>
      <c r="GJJ8" t="s">
        <v>6984</v>
      </c>
      <c r="GJK8" t="s">
        <v>6984</v>
      </c>
      <c r="GJL8" t="s">
        <v>6984</v>
      </c>
      <c r="GJM8" t="s">
        <v>6984</v>
      </c>
      <c r="GJN8" t="s">
        <v>6984</v>
      </c>
      <c r="GJO8" t="s">
        <v>6984</v>
      </c>
      <c r="GJP8" t="s">
        <v>6984</v>
      </c>
      <c r="GJQ8" t="s">
        <v>6984</v>
      </c>
      <c r="GJR8" t="s">
        <v>6984</v>
      </c>
      <c r="GJS8" t="s">
        <v>6984</v>
      </c>
      <c r="GJT8" t="s">
        <v>6984</v>
      </c>
      <c r="GJU8" t="s">
        <v>6984</v>
      </c>
      <c r="GJV8" t="s">
        <v>6984</v>
      </c>
      <c r="GJW8" t="s">
        <v>6984</v>
      </c>
      <c r="GJX8" t="s">
        <v>6984</v>
      </c>
      <c r="GJY8" t="s">
        <v>6984</v>
      </c>
      <c r="GJZ8" t="s">
        <v>6984</v>
      </c>
      <c r="GKA8" t="s">
        <v>6984</v>
      </c>
      <c r="GKB8" t="s">
        <v>6984</v>
      </c>
      <c r="GKC8" t="s">
        <v>6984</v>
      </c>
      <c r="GKD8" t="s">
        <v>6984</v>
      </c>
      <c r="GKE8" t="s">
        <v>6984</v>
      </c>
      <c r="GKF8" t="s">
        <v>6984</v>
      </c>
      <c r="GKG8" t="s">
        <v>6984</v>
      </c>
      <c r="GKH8" t="s">
        <v>6984</v>
      </c>
      <c r="GKI8" t="s">
        <v>6984</v>
      </c>
      <c r="GKJ8" t="s">
        <v>6984</v>
      </c>
      <c r="GKK8" t="s">
        <v>6984</v>
      </c>
      <c r="GKL8" t="s">
        <v>6984</v>
      </c>
      <c r="GKM8" t="s">
        <v>6984</v>
      </c>
      <c r="GKN8" t="s">
        <v>6984</v>
      </c>
      <c r="GKO8" t="s">
        <v>6984</v>
      </c>
      <c r="GKP8" t="s">
        <v>6984</v>
      </c>
      <c r="GKQ8" t="s">
        <v>6984</v>
      </c>
      <c r="GKR8" t="s">
        <v>6984</v>
      </c>
      <c r="GKS8" t="s">
        <v>6984</v>
      </c>
      <c r="GKT8" t="s">
        <v>6984</v>
      </c>
      <c r="GKU8" t="s">
        <v>6984</v>
      </c>
      <c r="GKV8" t="s">
        <v>6984</v>
      </c>
      <c r="GKW8" t="s">
        <v>6984</v>
      </c>
      <c r="GKX8" t="s">
        <v>6984</v>
      </c>
      <c r="GKY8" t="s">
        <v>6984</v>
      </c>
      <c r="GKZ8" t="s">
        <v>6984</v>
      </c>
      <c r="GLA8" t="s">
        <v>6984</v>
      </c>
      <c r="GLB8" t="s">
        <v>6984</v>
      </c>
      <c r="GLC8" t="s">
        <v>6984</v>
      </c>
      <c r="GLD8" t="s">
        <v>6984</v>
      </c>
      <c r="GLE8" t="s">
        <v>6984</v>
      </c>
      <c r="GLF8" t="s">
        <v>6984</v>
      </c>
      <c r="GLG8" t="s">
        <v>6984</v>
      </c>
      <c r="GLH8" t="s">
        <v>6984</v>
      </c>
      <c r="GLI8" t="s">
        <v>6984</v>
      </c>
      <c r="GLJ8" t="s">
        <v>6984</v>
      </c>
      <c r="GLK8" t="s">
        <v>6984</v>
      </c>
      <c r="GLL8" t="s">
        <v>6984</v>
      </c>
      <c r="GLM8" t="s">
        <v>6984</v>
      </c>
      <c r="GLN8" t="s">
        <v>6984</v>
      </c>
      <c r="GLO8" t="s">
        <v>6984</v>
      </c>
      <c r="GLP8" t="s">
        <v>6984</v>
      </c>
      <c r="GLQ8" t="s">
        <v>6984</v>
      </c>
      <c r="GLR8" t="s">
        <v>6984</v>
      </c>
      <c r="GLS8" t="s">
        <v>6984</v>
      </c>
      <c r="GLT8" t="s">
        <v>6984</v>
      </c>
      <c r="GLU8" t="s">
        <v>6984</v>
      </c>
      <c r="GLV8" t="s">
        <v>6984</v>
      </c>
      <c r="GLW8" t="s">
        <v>6984</v>
      </c>
      <c r="GLX8" t="s">
        <v>6984</v>
      </c>
      <c r="GLY8" t="s">
        <v>6984</v>
      </c>
      <c r="GLZ8" t="s">
        <v>6984</v>
      </c>
      <c r="GMA8" t="s">
        <v>6984</v>
      </c>
      <c r="GMB8" t="s">
        <v>6984</v>
      </c>
      <c r="GMC8" t="s">
        <v>6984</v>
      </c>
      <c r="GMD8" t="s">
        <v>6984</v>
      </c>
      <c r="GME8" t="s">
        <v>6984</v>
      </c>
      <c r="GMF8" t="s">
        <v>6984</v>
      </c>
      <c r="GMG8" t="s">
        <v>6984</v>
      </c>
      <c r="GMH8" t="s">
        <v>6984</v>
      </c>
      <c r="GMI8" t="s">
        <v>6984</v>
      </c>
      <c r="GMJ8" t="s">
        <v>6984</v>
      </c>
      <c r="GMK8" t="s">
        <v>6984</v>
      </c>
      <c r="GML8" t="s">
        <v>6984</v>
      </c>
      <c r="GMM8" t="s">
        <v>6984</v>
      </c>
      <c r="GMN8" t="s">
        <v>6984</v>
      </c>
      <c r="GMO8" t="s">
        <v>6984</v>
      </c>
      <c r="GMP8" t="s">
        <v>6984</v>
      </c>
      <c r="GMQ8" t="s">
        <v>6984</v>
      </c>
      <c r="GMR8" t="s">
        <v>6984</v>
      </c>
      <c r="GMS8" t="s">
        <v>6984</v>
      </c>
      <c r="GMT8" t="s">
        <v>6984</v>
      </c>
      <c r="GMU8" t="s">
        <v>6984</v>
      </c>
      <c r="GMV8" t="s">
        <v>6984</v>
      </c>
      <c r="GMW8" t="s">
        <v>6984</v>
      </c>
      <c r="GMX8" t="s">
        <v>6984</v>
      </c>
      <c r="GMY8" t="s">
        <v>6984</v>
      </c>
      <c r="GMZ8" t="s">
        <v>6984</v>
      </c>
      <c r="GNA8" t="s">
        <v>6984</v>
      </c>
      <c r="GNB8" t="s">
        <v>6984</v>
      </c>
      <c r="GNC8" t="s">
        <v>6984</v>
      </c>
      <c r="GND8" t="s">
        <v>6984</v>
      </c>
      <c r="GNE8" t="s">
        <v>6984</v>
      </c>
      <c r="GNF8" t="s">
        <v>6984</v>
      </c>
      <c r="GNG8" t="s">
        <v>6984</v>
      </c>
      <c r="GNH8" t="s">
        <v>6984</v>
      </c>
      <c r="GNI8" t="s">
        <v>6984</v>
      </c>
      <c r="GNJ8" t="s">
        <v>6984</v>
      </c>
      <c r="GNK8" t="s">
        <v>6984</v>
      </c>
      <c r="GNL8" t="s">
        <v>6984</v>
      </c>
      <c r="GNM8" t="s">
        <v>6984</v>
      </c>
      <c r="GNN8" t="s">
        <v>6984</v>
      </c>
      <c r="GNO8" t="s">
        <v>6984</v>
      </c>
      <c r="GNP8" t="s">
        <v>6984</v>
      </c>
      <c r="GNQ8" t="s">
        <v>6984</v>
      </c>
      <c r="GNR8" t="s">
        <v>6984</v>
      </c>
      <c r="GNS8" t="s">
        <v>6984</v>
      </c>
      <c r="GNT8" t="s">
        <v>6984</v>
      </c>
      <c r="GNU8" t="s">
        <v>6984</v>
      </c>
      <c r="GNV8" t="s">
        <v>6984</v>
      </c>
      <c r="GNW8" t="s">
        <v>6984</v>
      </c>
      <c r="GNX8" t="s">
        <v>6984</v>
      </c>
      <c r="GNY8" t="s">
        <v>6984</v>
      </c>
      <c r="GNZ8" t="s">
        <v>6984</v>
      </c>
      <c r="GOA8" t="s">
        <v>6984</v>
      </c>
      <c r="GOB8" t="s">
        <v>6984</v>
      </c>
      <c r="GOC8" t="s">
        <v>6984</v>
      </c>
      <c r="GOD8" t="s">
        <v>6984</v>
      </c>
      <c r="GOE8" t="s">
        <v>6984</v>
      </c>
      <c r="GOF8" t="s">
        <v>6984</v>
      </c>
      <c r="GOG8" t="s">
        <v>6984</v>
      </c>
      <c r="GOH8" t="s">
        <v>6984</v>
      </c>
      <c r="GOI8" t="s">
        <v>6984</v>
      </c>
      <c r="GOJ8" t="s">
        <v>6984</v>
      </c>
      <c r="GOK8" t="s">
        <v>6984</v>
      </c>
      <c r="GOL8" t="s">
        <v>6984</v>
      </c>
      <c r="GOM8" t="s">
        <v>6984</v>
      </c>
      <c r="GON8" t="s">
        <v>6984</v>
      </c>
      <c r="GOO8" t="s">
        <v>6984</v>
      </c>
      <c r="GOP8" t="s">
        <v>6984</v>
      </c>
      <c r="GOQ8" t="s">
        <v>6984</v>
      </c>
      <c r="GOR8" t="s">
        <v>6984</v>
      </c>
      <c r="GOS8" t="s">
        <v>6984</v>
      </c>
      <c r="GOT8" t="s">
        <v>6984</v>
      </c>
      <c r="GOU8" t="s">
        <v>6984</v>
      </c>
      <c r="GOV8" t="s">
        <v>6984</v>
      </c>
      <c r="GOW8" t="s">
        <v>6984</v>
      </c>
      <c r="GOX8" t="s">
        <v>6984</v>
      </c>
      <c r="GOY8" t="s">
        <v>6984</v>
      </c>
      <c r="GOZ8" t="s">
        <v>6984</v>
      </c>
      <c r="GPA8" t="s">
        <v>6984</v>
      </c>
      <c r="GPB8" t="s">
        <v>6984</v>
      </c>
      <c r="GPC8" t="s">
        <v>6984</v>
      </c>
      <c r="GPD8" t="s">
        <v>6984</v>
      </c>
      <c r="GPE8" t="s">
        <v>6984</v>
      </c>
      <c r="GPF8" t="s">
        <v>6984</v>
      </c>
      <c r="GPG8" t="s">
        <v>6984</v>
      </c>
      <c r="GPH8" t="s">
        <v>6984</v>
      </c>
      <c r="GPI8" t="s">
        <v>6984</v>
      </c>
      <c r="GPJ8" t="s">
        <v>6984</v>
      </c>
      <c r="GPK8" t="s">
        <v>6984</v>
      </c>
      <c r="GPL8" t="s">
        <v>6984</v>
      </c>
      <c r="GPM8" t="s">
        <v>6984</v>
      </c>
      <c r="GPN8" t="s">
        <v>6984</v>
      </c>
      <c r="GPO8" t="s">
        <v>6984</v>
      </c>
      <c r="GPP8" t="s">
        <v>6984</v>
      </c>
      <c r="GPQ8" t="s">
        <v>6984</v>
      </c>
      <c r="GPR8" t="s">
        <v>6984</v>
      </c>
      <c r="GPS8" t="s">
        <v>6984</v>
      </c>
      <c r="GPT8" t="s">
        <v>6984</v>
      </c>
      <c r="GPU8" t="s">
        <v>6984</v>
      </c>
      <c r="GPV8" t="s">
        <v>6984</v>
      </c>
      <c r="GPW8" t="s">
        <v>6984</v>
      </c>
      <c r="GPX8" t="s">
        <v>6984</v>
      </c>
      <c r="GPY8" t="s">
        <v>6984</v>
      </c>
      <c r="GPZ8" t="s">
        <v>6984</v>
      </c>
      <c r="GQA8" t="s">
        <v>6984</v>
      </c>
      <c r="GQB8" t="s">
        <v>6984</v>
      </c>
      <c r="GQC8" t="s">
        <v>6984</v>
      </c>
      <c r="GQD8" t="s">
        <v>6984</v>
      </c>
      <c r="GQE8" t="s">
        <v>6984</v>
      </c>
      <c r="GQF8" t="s">
        <v>6984</v>
      </c>
      <c r="GQG8" t="s">
        <v>6984</v>
      </c>
      <c r="GQH8" t="s">
        <v>6984</v>
      </c>
      <c r="GQI8" t="s">
        <v>6984</v>
      </c>
      <c r="GQJ8" t="s">
        <v>6984</v>
      </c>
      <c r="GQK8" t="s">
        <v>6984</v>
      </c>
      <c r="GQL8" t="s">
        <v>6984</v>
      </c>
      <c r="GQM8" t="s">
        <v>6984</v>
      </c>
      <c r="GQN8" t="s">
        <v>6984</v>
      </c>
      <c r="GQO8" t="s">
        <v>6984</v>
      </c>
      <c r="GQP8" t="s">
        <v>6984</v>
      </c>
      <c r="GQQ8" t="s">
        <v>6984</v>
      </c>
      <c r="GQR8" t="s">
        <v>6984</v>
      </c>
      <c r="GQS8" t="s">
        <v>6984</v>
      </c>
      <c r="GQT8" t="s">
        <v>6984</v>
      </c>
      <c r="GQU8" t="s">
        <v>6984</v>
      </c>
      <c r="GQV8" t="s">
        <v>6984</v>
      </c>
      <c r="GQW8" t="s">
        <v>6984</v>
      </c>
      <c r="GQX8" t="s">
        <v>6984</v>
      </c>
      <c r="GQY8" t="s">
        <v>6984</v>
      </c>
      <c r="GQZ8" t="s">
        <v>6984</v>
      </c>
      <c r="GRA8" t="s">
        <v>6984</v>
      </c>
      <c r="GRB8" t="s">
        <v>6984</v>
      </c>
      <c r="GRC8" t="s">
        <v>6984</v>
      </c>
      <c r="GRD8" t="s">
        <v>6984</v>
      </c>
      <c r="GRE8" t="s">
        <v>6984</v>
      </c>
      <c r="GRF8" t="s">
        <v>6984</v>
      </c>
      <c r="GRG8" t="s">
        <v>6984</v>
      </c>
      <c r="GRH8" t="s">
        <v>6984</v>
      </c>
      <c r="GRI8" t="s">
        <v>6984</v>
      </c>
      <c r="GRJ8" t="s">
        <v>6984</v>
      </c>
      <c r="GRK8" t="s">
        <v>6984</v>
      </c>
      <c r="GRL8" t="s">
        <v>6984</v>
      </c>
      <c r="GRM8" t="s">
        <v>6984</v>
      </c>
      <c r="GRN8" t="s">
        <v>6984</v>
      </c>
      <c r="GRO8" t="s">
        <v>6984</v>
      </c>
      <c r="GRP8" t="s">
        <v>6984</v>
      </c>
      <c r="GRQ8" t="s">
        <v>6984</v>
      </c>
      <c r="GRR8" t="s">
        <v>6984</v>
      </c>
      <c r="GRS8" t="s">
        <v>6984</v>
      </c>
      <c r="GRT8" t="s">
        <v>6984</v>
      </c>
      <c r="GRU8" t="s">
        <v>6984</v>
      </c>
      <c r="GRV8" t="s">
        <v>6984</v>
      </c>
      <c r="GRW8" t="s">
        <v>6984</v>
      </c>
      <c r="GRX8" t="s">
        <v>6984</v>
      </c>
      <c r="GRY8" t="s">
        <v>6984</v>
      </c>
      <c r="GRZ8" t="s">
        <v>6984</v>
      </c>
      <c r="GSA8" t="s">
        <v>6984</v>
      </c>
      <c r="GSB8" t="s">
        <v>6984</v>
      </c>
      <c r="GSC8" t="s">
        <v>6984</v>
      </c>
      <c r="GSD8" t="s">
        <v>6984</v>
      </c>
      <c r="GSE8" t="s">
        <v>6984</v>
      </c>
      <c r="GSF8" t="s">
        <v>6984</v>
      </c>
      <c r="GSG8" t="s">
        <v>6984</v>
      </c>
      <c r="GSH8" t="s">
        <v>6984</v>
      </c>
      <c r="GSI8" t="s">
        <v>6984</v>
      </c>
      <c r="GSJ8" t="s">
        <v>6984</v>
      </c>
      <c r="GSK8" t="s">
        <v>6984</v>
      </c>
      <c r="GSL8" t="s">
        <v>6984</v>
      </c>
      <c r="GSM8" t="s">
        <v>6984</v>
      </c>
      <c r="GSN8" t="s">
        <v>6984</v>
      </c>
      <c r="GSO8" t="s">
        <v>6984</v>
      </c>
      <c r="GSP8" t="s">
        <v>6984</v>
      </c>
      <c r="GSQ8" t="s">
        <v>6984</v>
      </c>
      <c r="GSR8" t="s">
        <v>6984</v>
      </c>
      <c r="GSS8" t="s">
        <v>6984</v>
      </c>
      <c r="GST8" t="s">
        <v>6984</v>
      </c>
      <c r="GSU8" t="s">
        <v>6984</v>
      </c>
      <c r="GSV8" t="s">
        <v>6984</v>
      </c>
      <c r="GSW8" t="s">
        <v>6984</v>
      </c>
      <c r="GSX8" t="s">
        <v>6984</v>
      </c>
      <c r="GSY8" t="s">
        <v>6984</v>
      </c>
      <c r="GSZ8" t="s">
        <v>6984</v>
      </c>
      <c r="GTA8" t="s">
        <v>6984</v>
      </c>
      <c r="GTB8" t="s">
        <v>6984</v>
      </c>
      <c r="GTC8" t="s">
        <v>6984</v>
      </c>
      <c r="GTD8" t="s">
        <v>6984</v>
      </c>
      <c r="GTE8" t="s">
        <v>6984</v>
      </c>
      <c r="GTF8" t="s">
        <v>6984</v>
      </c>
      <c r="GTG8" t="s">
        <v>6984</v>
      </c>
      <c r="GTH8" t="s">
        <v>6984</v>
      </c>
      <c r="GTI8" t="s">
        <v>6984</v>
      </c>
      <c r="GTJ8" t="s">
        <v>6984</v>
      </c>
      <c r="GTK8" t="s">
        <v>6984</v>
      </c>
      <c r="GTL8" t="s">
        <v>6984</v>
      </c>
      <c r="GTM8" t="s">
        <v>6984</v>
      </c>
      <c r="GTN8" t="s">
        <v>6984</v>
      </c>
      <c r="GTO8" t="s">
        <v>6984</v>
      </c>
      <c r="GTP8" t="s">
        <v>6984</v>
      </c>
      <c r="GTQ8" t="s">
        <v>6984</v>
      </c>
      <c r="GTR8" t="s">
        <v>6984</v>
      </c>
      <c r="GTS8" t="s">
        <v>6984</v>
      </c>
      <c r="GTT8" t="s">
        <v>6984</v>
      </c>
      <c r="GTU8" t="s">
        <v>6984</v>
      </c>
      <c r="GTV8" t="s">
        <v>6984</v>
      </c>
      <c r="GTW8" t="s">
        <v>6984</v>
      </c>
      <c r="GTX8" t="s">
        <v>6984</v>
      </c>
      <c r="GTY8" t="s">
        <v>6984</v>
      </c>
      <c r="GTZ8" t="s">
        <v>6984</v>
      </c>
      <c r="GUA8" t="s">
        <v>6984</v>
      </c>
      <c r="GUB8" t="s">
        <v>6984</v>
      </c>
      <c r="GUC8" t="s">
        <v>6984</v>
      </c>
      <c r="GUD8" t="s">
        <v>6984</v>
      </c>
      <c r="GUE8" t="s">
        <v>6984</v>
      </c>
      <c r="GUF8" t="s">
        <v>6984</v>
      </c>
      <c r="GUG8" t="s">
        <v>6984</v>
      </c>
      <c r="GUH8" t="s">
        <v>6984</v>
      </c>
      <c r="GUI8" t="s">
        <v>6984</v>
      </c>
      <c r="GUJ8" t="s">
        <v>6984</v>
      </c>
      <c r="GUK8" t="s">
        <v>6984</v>
      </c>
      <c r="GUL8" t="s">
        <v>6984</v>
      </c>
      <c r="GUM8" t="s">
        <v>6984</v>
      </c>
      <c r="GUN8" t="s">
        <v>6984</v>
      </c>
      <c r="GUO8" t="s">
        <v>6984</v>
      </c>
      <c r="GUP8" t="s">
        <v>6984</v>
      </c>
      <c r="GUQ8" t="s">
        <v>6984</v>
      </c>
      <c r="GUR8" t="s">
        <v>6984</v>
      </c>
      <c r="GUS8" t="s">
        <v>6984</v>
      </c>
      <c r="GUT8" t="s">
        <v>6984</v>
      </c>
      <c r="GUU8" t="s">
        <v>6984</v>
      </c>
      <c r="GUV8" t="s">
        <v>6984</v>
      </c>
      <c r="GUW8" t="s">
        <v>6984</v>
      </c>
      <c r="GUX8" t="s">
        <v>6984</v>
      </c>
      <c r="GUY8" t="s">
        <v>6984</v>
      </c>
      <c r="GUZ8" t="s">
        <v>6984</v>
      </c>
      <c r="GVA8" t="s">
        <v>6984</v>
      </c>
      <c r="GVB8" t="s">
        <v>6984</v>
      </c>
      <c r="GVC8" t="s">
        <v>6984</v>
      </c>
      <c r="GVD8" t="s">
        <v>6984</v>
      </c>
      <c r="GVE8" t="s">
        <v>6984</v>
      </c>
      <c r="GVF8" t="s">
        <v>6984</v>
      </c>
      <c r="GVG8" t="s">
        <v>6984</v>
      </c>
      <c r="GVH8" t="s">
        <v>6984</v>
      </c>
      <c r="GVI8" t="s">
        <v>6984</v>
      </c>
      <c r="GVJ8" t="s">
        <v>6984</v>
      </c>
      <c r="GVK8" t="s">
        <v>6984</v>
      </c>
      <c r="GVL8" t="s">
        <v>6984</v>
      </c>
      <c r="GVM8" t="s">
        <v>6984</v>
      </c>
      <c r="GVN8" t="s">
        <v>6984</v>
      </c>
      <c r="GVO8" t="s">
        <v>6984</v>
      </c>
      <c r="GVP8" t="s">
        <v>6984</v>
      </c>
      <c r="GVQ8" t="s">
        <v>6984</v>
      </c>
      <c r="GVR8" t="s">
        <v>6984</v>
      </c>
      <c r="GVS8" t="s">
        <v>6984</v>
      </c>
      <c r="GVT8" t="s">
        <v>6984</v>
      </c>
      <c r="GVU8" t="s">
        <v>6984</v>
      </c>
      <c r="GVV8" t="s">
        <v>6984</v>
      </c>
      <c r="GVW8" t="s">
        <v>6984</v>
      </c>
      <c r="GVX8" t="s">
        <v>6984</v>
      </c>
      <c r="GVY8" t="s">
        <v>6984</v>
      </c>
      <c r="GVZ8" t="s">
        <v>6984</v>
      </c>
      <c r="GWA8" t="s">
        <v>6984</v>
      </c>
      <c r="GWB8" t="s">
        <v>6984</v>
      </c>
      <c r="GWC8" t="s">
        <v>6984</v>
      </c>
      <c r="GWD8" t="s">
        <v>6984</v>
      </c>
      <c r="GWE8" t="s">
        <v>6984</v>
      </c>
      <c r="GWF8" t="s">
        <v>6984</v>
      </c>
      <c r="GWG8" t="s">
        <v>6984</v>
      </c>
      <c r="GWH8" t="s">
        <v>6984</v>
      </c>
      <c r="GWI8" t="s">
        <v>6984</v>
      </c>
      <c r="GWJ8" t="s">
        <v>6984</v>
      </c>
      <c r="GWK8" t="s">
        <v>6984</v>
      </c>
      <c r="GWL8" t="s">
        <v>6984</v>
      </c>
      <c r="GWM8" t="s">
        <v>6984</v>
      </c>
      <c r="GWN8" t="s">
        <v>6984</v>
      </c>
      <c r="GWO8" t="s">
        <v>6984</v>
      </c>
      <c r="GWP8" t="s">
        <v>6984</v>
      </c>
      <c r="GWQ8" t="s">
        <v>6984</v>
      </c>
      <c r="GWR8" t="s">
        <v>6984</v>
      </c>
      <c r="GWS8" t="s">
        <v>6984</v>
      </c>
      <c r="GWT8" t="s">
        <v>6984</v>
      </c>
      <c r="GWU8" t="s">
        <v>6984</v>
      </c>
      <c r="GWV8" t="s">
        <v>6984</v>
      </c>
      <c r="GWW8" t="s">
        <v>6984</v>
      </c>
      <c r="GWX8" t="s">
        <v>6984</v>
      </c>
      <c r="GWY8" t="s">
        <v>6984</v>
      </c>
      <c r="GWZ8" t="s">
        <v>6984</v>
      </c>
      <c r="GXA8" t="s">
        <v>6984</v>
      </c>
      <c r="GXB8" t="s">
        <v>6984</v>
      </c>
      <c r="GXC8" t="s">
        <v>6984</v>
      </c>
      <c r="GXD8" t="s">
        <v>6984</v>
      </c>
      <c r="GXE8" t="s">
        <v>6984</v>
      </c>
      <c r="GXF8" t="s">
        <v>6984</v>
      </c>
      <c r="GXG8" t="s">
        <v>6984</v>
      </c>
      <c r="GXH8" t="s">
        <v>6984</v>
      </c>
      <c r="GXI8" t="s">
        <v>6984</v>
      </c>
      <c r="GXJ8" t="s">
        <v>6984</v>
      </c>
      <c r="GXK8" t="s">
        <v>6984</v>
      </c>
      <c r="GXL8" t="s">
        <v>6984</v>
      </c>
      <c r="GXM8" t="s">
        <v>6984</v>
      </c>
      <c r="GXN8" t="s">
        <v>6984</v>
      </c>
      <c r="GXO8" t="s">
        <v>6984</v>
      </c>
      <c r="GXP8" t="s">
        <v>6984</v>
      </c>
      <c r="GXQ8" t="s">
        <v>6984</v>
      </c>
      <c r="GXR8" t="s">
        <v>6984</v>
      </c>
      <c r="GXS8" t="s">
        <v>6984</v>
      </c>
      <c r="GXT8" t="s">
        <v>6984</v>
      </c>
      <c r="GXU8" t="s">
        <v>6984</v>
      </c>
      <c r="GXV8" t="s">
        <v>6984</v>
      </c>
      <c r="GXW8" t="s">
        <v>6984</v>
      </c>
      <c r="GXX8" t="s">
        <v>6984</v>
      </c>
      <c r="GXY8" t="s">
        <v>6984</v>
      </c>
      <c r="GXZ8" t="s">
        <v>6984</v>
      </c>
      <c r="GYA8" t="s">
        <v>6984</v>
      </c>
      <c r="GYB8" t="s">
        <v>6984</v>
      </c>
      <c r="GYC8" t="s">
        <v>6984</v>
      </c>
      <c r="GYD8" t="s">
        <v>6984</v>
      </c>
      <c r="GYE8" t="s">
        <v>6984</v>
      </c>
      <c r="GYF8" t="s">
        <v>6984</v>
      </c>
      <c r="GYG8" t="s">
        <v>6984</v>
      </c>
      <c r="GYH8" t="s">
        <v>6984</v>
      </c>
      <c r="GYI8" t="s">
        <v>6984</v>
      </c>
      <c r="GYJ8" t="s">
        <v>6984</v>
      </c>
      <c r="GYK8" t="s">
        <v>6984</v>
      </c>
      <c r="GYL8" t="s">
        <v>6984</v>
      </c>
      <c r="GYM8" t="s">
        <v>6984</v>
      </c>
      <c r="GYN8" t="s">
        <v>6984</v>
      </c>
      <c r="GYO8" t="s">
        <v>6984</v>
      </c>
      <c r="GYP8" t="s">
        <v>6984</v>
      </c>
      <c r="GYQ8" t="s">
        <v>6984</v>
      </c>
      <c r="GYR8" t="s">
        <v>6984</v>
      </c>
      <c r="GYS8" t="s">
        <v>6984</v>
      </c>
      <c r="GYT8" t="s">
        <v>6984</v>
      </c>
      <c r="GYU8" t="s">
        <v>6984</v>
      </c>
      <c r="GYV8" t="s">
        <v>6984</v>
      </c>
      <c r="GYW8" t="s">
        <v>6984</v>
      </c>
      <c r="GYX8" t="s">
        <v>6984</v>
      </c>
      <c r="GYY8" t="s">
        <v>6984</v>
      </c>
      <c r="GYZ8" t="s">
        <v>6984</v>
      </c>
      <c r="GZA8" t="s">
        <v>6984</v>
      </c>
      <c r="GZB8" t="s">
        <v>6984</v>
      </c>
      <c r="GZC8" t="s">
        <v>6984</v>
      </c>
      <c r="GZD8" t="s">
        <v>6984</v>
      </c>
      <c r="GZE8" t="s">
        <v>6984</v>
      </c>
      <c r="GZF8" t="s">
        <v>6984</v>
      </c>
      <c r="GZG8" t="s">
        <v>6984</v>
      </c>
      <c r="GZH8" t="s">
        <v>6984</v>
      </c>
      <c r="GZI8" t="s">
        <v>6984</v>
      </c>
      <c r="GZJ8" t="s">
        <v>6984</v>
      </c>
      <c r="GZK8" t="s">
        <v>6984</v>
      </c>
      <c r="GZL8" t="s">
        <v>6984</v>
      </c>
      <c r="GZM8" t="s">
        <v>6984</v>
      </c>
      <c r="GZN8" t="s">
        <v>6984</v>
      </c>
      <c r="GZO8" t="s">
        <v>6984</v>
      </c>
      <c r="GZP8" t="s">
        <v>6984</v>
      </c>
      <c r="GZQ8" t="s">
        <v>6984</v>
      </c>
      <c r="GZR8" t="s">
        <v>6984</v>
      </c>
      <c r="GZS8" t="s">
        <v>6984</v>
      </c>
      <c r="GZT8" t="s">
        <v>6984</v>
      </c>
      <c r="GZU8" t="s">
        <v>6984</v>
      </c>
      <c r="GZV8" t="s">
        <v>6984</v>
      </c>
      <c r="GZW8" t="s">
        <v>6984</v>
      </c>
      <c r="GZX8" t="s">
        <v>6984</v>
      </c>
      <c r="GZY8" t="s">
        <v>6984</v>
      </c>
      <c r="GZZ8" t="s">
        <v>6984</v>
      </c>
      <c r="HAA8" t="s">
        <v>6984</v>
      </c>
      <c r="HAB8" t="s">
        <v>6984</v>
      </c>
      <c r="HAC8" t="s">
        <v>6984</v>
      </c>
      <c r="HAD8" t="s">
        <v>6984</v>
      </c>
      <c r="HAE8" t="s">
        <v>6984</v>
      </c>
      <c r="HAF8" t="s">
        <v>6984</v>
      </c>
      <c r="HAG8" t="s">
        <v>6984</v>
      </c>
      <c r="HAH8" t="s">
        <v>6984</v>
      </c>
      <c r="HAI8" t="s">
        <v>6984</v>
      </c>
      <c r="HAJ8" t="s">
        <v>6984</v>
      </c>
      <c r="HAK8" t="s">
        <v>6984</v>
      </c>
      <c r="HAL8" t="s">
        <v>6984</v>
      </c>
      <c r="HAM8" t="s">
        <v>6984</v>
      </c>
      <c r="HAN8" t="s">
        <v>6984</v>
      </c>
      <c r="HAO8" t="s">
        <v>6984</v>
      </c>
      <c r="HAP8" t="s">
        <v>6984</v>
      </c>
      <c r="HAQ8" t="s">
        <v>6984</v>
      </c>
      <c r="HAR8" t="s">
        <v>6984</v>
      </c>
      <c r="HAS8" t="s">
        <v>6984</v>
      </c>
      <c r="HAT8" t="s">
        <v>6984</v>
      </c>
      <c r="HAU8" t="s">
        <v>6984</v>
      </c>
      <c r="HAV8" t="s">
        <v>6984</v>
      </c>
      <c r="HAW8" t="s">
        <v>6984</v>
      </c>
      <c r="HAX8" t="s">
        <v>6984</v>
      </c>
      <c r="HAY8" t="s">
        <v>6984</v>
      </c>
      <c r="HAZ8" t="s">
        <v>6984</v>
      </c>
      <c r="HBA8" t="s">
        <v>6984</v>
      </c>
      <c r="HBB8" t="s">
        <v>6984</v>
      </c>
      <c r="HBC8" t="s">
        <v>6984</v>
      </c>
      <c r="HBD8" t="s">
        <v>6984</v>
      </c>
      <c r="HBE8" t="s">
        <v>6984</v>
      </c>
      <c r="HBF8" t="s">
        <v>6984</v>
      </c>
      <c r="HBG8" t="s">
        <v>6984</v>
      </c>
      <c r="HBH8" t="s">
        <v>6984</v>
      </c>
      <c r="HBI8" t="s">
        <v>6984</v>
      </c>
      <c r="HBJ8" t="s">
        <v>6984</v>
      </c>
      <c r="HBK8" t="s">
        <v>6984</v>
      </c>
      <c r="HBL8" t="s">
        <v>6984</v>
      </c>
      <c r="HBM8" t="s">
        <v>6984</v>
      </c>
      <c r="HBN8" t="s">
        <v>6984</v>
      </c>
      <c r="HBO8" t="s">
        <v>6984</v>
      </c>
      <c r="HBP8" t="s">
        <v>6984</v>
      </c>
      <c r="HBQ8" t="s">
        <v>6984</v>
      </c>
      <c r="HBR8" t="s">
        <v>6984</v>
      </c>
      <c r="HBS8" t="s">
        <v>6984</v>
      </c>
      <c r="HBT8" t="s">
        <v>6984</v>
      </c>
      <c r="HBU8" t="s">
        <v>6984</v>
      </c>
      <c r="HBV8" t="s">
        <v>6984</v>
      </c>
      <c r="HBW8" t="s">
        <v>6984</v>
      </c>
      <c r="HBX8" t="s">
        <v>6984</v>
      </c>
      <c r="HBY8" t="s">
        <v>6984</v>
      </c>
      <c r="HBZ8" t="s">
        <v>6984</v>
      </c>
      <c r="HCA8" t="s">
        <v>6984</v>
      </c>
      <c r="HCB8" t="s">
        <v>6984</v>
      </c>
      <c r="HCC8" t="s">
        <v>6984</v>
      </c>
      <c r="HCD8" t="s">
        <v>6984</v>
      </c>
      <c r="HCE8" t="s">
        <v>6984</v>
      </c>
      <c r="HCF8" t="s">
        <v>6984</v>
      </c>
      <c r="HCG8" t="s">
        <v>6984</v>
      </c>
      <c r="HCH8" t="s">
        <v>6984</v>
      </c>
      <c r="HCI8" t="s">
        <v>6984</v>
      </c>
      <c r="HCJ8" t="s">
        <v>6984</v>
      </c>
      <c r="HCK8" t="s">
        <v>6984</v>
      </c>
      <c r="HCL8" t="s">
        <v>6984</v>
      </c>
      <c r="HCM8" t="s">
        <v>6984</v>
      </c>
      <c r="HCN8" t="s">
        <v>6984</v>
      </c>
      <c r="HCO8" t="s">
        <v>6984</v>
      </c>
      <c r="HCP8" t="s">
        <v>6984</v>
      </c>
      <c r="HCQ8" t="s">
        <v>6984</v>
      </c>
      <c r="HCR8" t="s">
        <v>6984</v>
      </c>
      <c r="HCS8" t="s">
        <v>6984</v>
      </c>
      <c r="HCT8" t="s">
        <v>6984</v>
      </c>
      <c r="HCU8" t="s">
        <v>6984</v>
      </c>
      <c r="HCV8" t="s">
        <v>6984</v>
      </c>
      <c r="HCW8" t="s">
        <v>6984</v>
      </c>
      <c r="HCX8" t="s">
        <v>6984</v>
      </c>
      <c r="HCY8" t="s">
        <v>6984</v>
      </c>
      <c r="HCZ8" t="s">
        <v>6984</v>
      </c>
      <c r="HDA8" t="s">
        <v>6984</v>
      </c>
      <c r="HDB8" t="s">
        <v>6984</v>
      </c>
      <c r="HDC8" t="s">
        <v>6984</v>
      </c>
      <c r="HDD8" t="s">
        <v>6984</v>
      </c>
      <c r="HDE8" t="s">
        <v>6984</v>
      </c>
      <c r="HDF8" t="s">
        <v>6984</v>
      </c>
      <c r="HDG8" t="s">
        <v>6984</v>
      </c>
      <c r="HDH8" t="s">
        <v>6984</v>
      </c>
      <c r="HDI8" t="s">
        <v>6984</v>
      </c>
      <c r="HDJ8" t="s">
        <v>6984</v>
      </c>
      <c r="HDK8" t="s">
        <v>6984</v>
      </c>
      <c r="HDL8" t="s">
        <v>6984</v>
      </c>
      <c r="HDM8" t="s">
        <v>6984</v>
      </c>
      <c r="HDN8" t="s">
        <v>6984</v>
      </c>
      <c r="HDO8" t="s">
        <v>6984</v>
      </c>
      <c r="HDP8" t="s">
        <v>6984</v>
      </c>
      <c r="HDQ8" t="s">
        <v>6984</v>
      </c>
      <c r="HDR8" t="s">
        <v>6984</v>
      </c>
      <c r="HDS8" t="s">
        <v>6984</v>
      </c>
      <c r="HDT8" t="s">
        <v>6984</v>
      </c>
      <c r="HDU8" t="s">
        <v>6984</v>
      </c>
      <c r="HDV8" t="s">
        <v>6984</v>
      </c>
      <c r="HDW8" t="s">
        <v>6984</v>
      </c>
      <c r="HDX8" t="s">
        <v>6984</v>
      </c>
      <c r="HDY8" t="s">
        <v>6984</v>
      </c>
      <c r="HDZ8" t="s">
        <v>6984</v>
      </c>
      <c r="HEA8" t="s">
        <v>6984</v>
      </c>
      <c r="HEB8" t="s">
        <v>6984</v>
      </c>
      <c r="HEC8" t="s">
        <v>6984</v>
      </c>
      <c r="HED8" t="s">
        <v>6984</v>
      </c>
      <c r="HEE8" t="s">
        <v>6984</v>
      </c>
      <c r="HEF8" t="s">
        <v>6984</v>
      </c>
      <c r="HEG8" t="s">
        <v>6984</v>
      </c>
      <c r="HEH8" t="s">
        <v>6984</v>
      </c>
      <c r="HEI8" t="s">
        <v>6984</v>
      </c>
      <c r="HEJ8" t="s">
        <v>6984</v>
      </c>
      <c r="HEK8" t="s">
        <v>6984</v>
      </c>
      <c r="HEL8" t="s">
        <v>6984</v>
      </c>
      <c r="HEM8" t="s">
        <v>6984</v>
      </c>
      <c r="HEN8" t="s">
        <v>6984</v>
      </c>
      <c r="HEO8" t="s">
        <v>6984</v>
      </c>
      <c r="HEP8" t="s">
        <v>6984</v>
      </c>
      <c r="HEQ8" t="s">
        <v>6984</v>
      </c>
      <c r="HER8" t="s">
        <v>6984</v>
      </c>
      <c r="HES8" t="s">
        <v>6984</v>
      </c>
      <c r="HET8" t="s">
        <v>6984</v>
      </c>
      <c r="HEU8" t="s">
        <v>6984</v>
      </c>
      <c r="HEV8" t="s">
        <v>6984</v>
      </c>
      <c r="HEW8" t="s">
        <v>6984</v>
      </c>
      <c r="HEX8" t="s">
        <v>6984</v>
      </c>
      <c r="HEY8" t="s">
        <v>6984</v>
      </c>
      <c r="HEZ8" t="s">
        <v>6984</v>
      </c>
      <c r="HFA8" t="s">
        <v>6984</v>
      </c>
      <c r="HFB8" t="s">
        <v>6984</v>
      </c>
      <c r="HFC8" t="s">
        <v>6984</v>
      </c>
      <c r="HFD8" t="s">
        <v>6984</v>
      </c>
      <c r="HFE8" t="s">
        <v>6984</v>
      </c>
      <c r="HFF8" t="s">
        <v>6984</v>
      </c>
      <c r="HFG8" t="s">
        <v>6984</v>
      </c>
      <c r="HFH8" t="s">
        <v>6984</v>
      </c>
      <c r="HFI8" t="s">
        <v>6984</v>
      </c>
      <c r="HFJ8" t="s">
        <v>6984</v>
      </c>
      <c r="HFK8" t="s">
        <v>6984</v>
      </c>
      <c r="HFL8" t="s">
        <v>6984</v>
      </c>
      <c r="HFM8" t="s">
        <v>6984</v>
      </c>
      <c r="HFN8" t="s">
        <v>6984</v>
      </c>
      <c r="HFO8" t="s">
        <v>6984</v>
      </c>
      <c r="HFP8" t="s">
        <v>6984</v>
      </c>
      <c r="HFQ8" t="s">
        <v>6984</v>
      </c>
      <c r="HFR8" t="s">
        <v>6984</v>
      </c>
      <c r="HFS8" t="s">
        <v>6984</v>
      </c>
      <c r="HFT8" t="s">
        <v>6984</v>
      </c>
      <c r="HFU8" t="s">
        <v>6984</v>
      </c>
      <c r="HFV8" t="s">
        <v>6984</v>
      </c>
      <c r="HFW8" t="s">
        <v>6984</v>
      </c>
      <c r="HFX8" t="s">
        <v>6984</v>
      </c>
      <c r="HFY8" t="s">
        <v>6984</v>
      </c>
      <c r="HFZ8" t="s">
        <v>6984</v>
      </c>
      <c r="HGA8" t="s">
        <v>6984</v>
      </c>
      <c r="HGB8" t="s">
        <v>6984</v>
      </c>
      <c r="HGC8" t="s">
        <v>6984</v>
      </c>
      <c r="HGD8" t="s">
        <v>6984</v>
      </c>
      <c r="HGE8" t="s">
        <v>6984</v>
      </c>
      <c r="HGF8" t="s">
        <v>6984</v>
      </c>
      <c r="HGG8" t="s">
        <v>6984</v>
      </c>
      <c r="HGH8" t="s">
        <v>6984</v>
      </c>
      <c r="HGI8" t="s">
        <v>6984</v>
      </c>
      <c r="HGJ8" t="s">
        <v>6984</v>
      </c>
      <c r="HGK8" t="s">
        <v>6984</v>
      </c>
      <c r="HGL8" t="s">
        <v>6984</v>
      </c>
      <c r="HGM8" t="s">
        <v>6984</v>
      </c>
      <c r="HGN8" t="s">
        <v>6984</v>
      </c>
      <c r="HGO8" t="s">
        <v>6984</v>
      </c>
      <c r="HGP8" t="s">
        <v>6984</v>
      </c>
      <c r="HGQ8" t="s">
        <v>6984</v>
      </c>
      <c r="HGR8" t="s">
        <v>6984</v>
      </c>
      <c r="HGS8" t="s">
        <v>6984</v>
      </c>
      <c r="HGT8" t="s">
        <v>6984</v>
      </c>
      <c r="HGU8" t="s">
        <v>6984</v>
      </c>
      <c r="HGV8" t="s">
        <v>6984</v>
      </c>
      <c r="HGW8" t="s">
        <v>6984</v>
      </c>
      <c r="HGX8" t="s">
        <v>6984</v>
      </c>
      <c r="HGY8" t="s">
        <v>6984</v>
      </c>
      <c r="HGZ8" t="s">
        <v>6984</v>
      </c>
      <c r="HHA8" t="s">
        <v>6984</v>
      </c>
      <c r="HHB8" t="s">
        <v>6984</v>
      </c>
      <c r="HHC8" t="s">
        <v>6984</v>
      </c>
      <c r="HHD8" t="s">
        <v>6984</v>
      </c>
      <c r="HHE8" t="s">
        <v>6984</v>
      </c>
      <c r="HHF8" t="s">
        <v>6984</v>
      </c>
      <c r="HHG8" t="s">
        <v>6984</v>
      </c>
      <c r="HHH8" t="s">
        <v>6984</v>
      </c>
      <c r="HHI8" t="s">
        <v>6984</v>
      </c>
      <c r="HHJ8" t="s">
        <v>6984</v>
      </c>
      <c r="HHK8" t="s">
        <v>6984</v>
      </c>
      <c r="HHL8" t="s">
        <v>6984</v>
      </c>
      <c r="HHM8" t="s">
        <v>6984</v>
      </c>
      <c r="HHN8" t="s">
        <v>6984</v>
      </c>
      <c r="HHO8" t="s">
        <v>6984</v>
      </c>
      <c r="HHP8" t="s">
        <v>6984</v>
      </c>
      <c r="HHQ8" t="s">
        <v>6984</v>
      </c>
      <c r="HHR8" t="s">
        <v>6984</v>
      </c>
      <c r="HHS8" t="s">
        <v>6984</v>
      </c>
      <c r="HHT8" t="s">
        <v>6984</v>
      </c>
      <c r="HHU8" t="s">
        <v>6984</v>
      </c>
      <c r="HHV8" t="s">
        <v>6984</v>
      </c>
      <c r="HHW8" t="s">
        <v>6984</v>
      </c>
      <c r="HHX8" t="s">
        <v>6984</v>
      </c>
      <c r="HHY8" t="s">
        <v>6984</v>
      </c>
      <c r="HHZ8" t="s">
        <v>6984</v>
      </c>
      <c r="HIA8" t="s">
        <v>6984</v>
      </c>
      <c r="HIB8" t="s">
        <v>6984</v>
      </c>
      <c r="HIC8" t="s">
        <v>6984</v>
      </c>
      <c r="HID8" t="s">
        <v>6984</v>
      </c>
      <c r="HIE8" t="s">
        <v>6984</v>
      </c>
      <c r="HIF8" t="s">
        <v>6984</v>
      </c>
      <c r="HIG8" t="s">
        <v>6984</v>
      </c>
      <c r="HIH8" t="s">
        <v>6984</v>
      </c>
      <c r="HII8" t="s">
        <v>6984</v>
      </c>
      <c r="HIJ8" t="s">
        <v>6984</v>
      </c>
      <c r="HIK8" t="s">
        <v>6984</v>
      </c>
      <c r="HIL8" t="s">
        <v>6984</v>
      </c>
      <c r="HIM8" t="s">
        <v>6984</v>
      </c>
      <c r="HIN8" t="s">
        <v>6984</v>
      </c>
      <c r="HIO8" t="s">
        <v>6984</v>
      </c>
      <c r="HIP8" t="s">
        <v>6984</v>
      </c>
      <c r="HIQ8" t="s">
        <v>6984</v>
      </c>
      <c r="HIR8" t="s">
        <v>6984</v>
      </c>
      <c r="HIS8" t="s">
        <v>6984</v>
      </c>
      <c r="HIT8" t="s">
        <v>6984</v>
      </c>
      <c r="HIU8" t="s">
        <v>6984</v>
      </c>
      <c r="HIV8" t="s">
        <v>6984</v>
      </c>
      <c r="HIW8" t="s">
        <v>6984</v>
      </c>
      <c r="HIX8" t="s">
        <v>6984</v>
      </c>
      <c r="HIY8" t="s">
        <v>6984</v>
      </c>
      <c r="HIZ8" t="s">
        <v>6984</v>
      </c>
      <c r="HJA8" t="s">
        <v>6984</v>
      </c>
      <c r="HJB8" t="s">
        <v>6984</v>
      </c>
      <c r="HJC8" t="s">
        <v>6984</v>
      </c>
      <c r="HJD8" t="s">
        <v>6984</v>
      </c>
      <c r="HJE8" t="s">
        <v>6984</v>
      </c>
      <c r="HJF8" t="s">
        <v>6984</v>
      </c>
      <c r="HJG8" t="s">
        <v>6984</v>
      </c>
      <c r="HJH8" t="s">
        <v>6984</v>
      </c>
      <c r="HJI8" t="s">
        <v>6984</v>
      </c>
      <c r="HJJ8" t="s">
        <v>6984</v>
      </c>
      <c r="HJK8" t="s">
        <v>6984</v>
      </c>
      <c r="HJL8" t="s">
        <v>6984</v>
      </c>
      <c r="HJM8" t="s">
        <v>6984</v>
      </c>
      <c r="HJN8" t="s">
        <v>6984</v>
      </c>
      <c r="HJO8" t="s">
        <v>6984</v>
      </c>
      <c r="HJP8" t="s">
        <v>6984</v>
      </c>
      <c r="HJQ8" t="s">
        <v>6984</v>
      </c>
      <c r="HJR8" t="s">
        <v>6984</v>
      </c>
      <c r="HJS8" t="s">
        <v>6984</v>
      </c>
      <c r="HJT8" t="s">
        <v>6984</v>
      </c>
      <c r="HJU8" t="s">
        <v>6984</v>
      </c>
      <c r="HJV8" t="s">
        <v>6984</v>
      </c>
      <c r="HJW8" t="s">
        <v>6984</v>
      </c>
      <c r="HJX8" t="s">
        <v>6984</v>
      </c>
      <c r="HJY8" t="s">
        <v>6984</v>
      </c>
      <c r="HJZ8" t="s">
        <v>6984</v>
      </c>
      <c r="HKA8" t="s">
        <v>6984</v>
      </c>
      <c r="HKB8" t="s">
        <v>6984</v>
      </c>
      <c r="HKC8" t="s">
        <v>6984</v>
      </c>
      <c r="HKD8" t="s">
        <v>6984</v>
      </c>
      <c r="HKE8" t="s">
        <v>6984</v>
      </c>
      <c r="HKF8" t="s">
        <v>6984</v>
      </c>
      <c r="HKG8" t="s">
        <v>6984</v>
      </c>
      <c r="HKH8" t="s">
        <v>6984</v>
      </c>
      <c r="HKI8" t="s">
        <v>6984</v>
      </c>
      <c r="HKJ8" t="s">
        <v>6984</v>
      </c>
      <c r="HKK8" t="s">
        <v>6984</v>
      </c>
      <c r="HKL8" t="s">
        <v>6984</v>
      </c>
      <c r="HKM8" t="s">
        <v>6984</v>
      </c>
      <c r="HKN8" t="s">
        <v>6984</v>
      </c>
      <c r="HKO8" t="s">
        <v>6984</v>
      </c>
      <c r="HKP8" t="s">
        <v>6984</v>
      </c>
      <c r="HKQ8" t="s">
        <v>6984</v>
      </c>
      <c r="HKR8" t="s">
        <v>6984</v>
      </c>
      <c r="HKS8" t="s">
        <v>6984</v>
      </c>
      <c r="HKT8" t="s">
        <v>6984</v>
      </c>
      <c r="HKU8" t="s">
        <v>6984</v>
      </c>
      <c r="HKV8" t="s">
        <v>6984</v>
      </c>
      <c r="HKW8" t="s">
        <v>6984</v>
      </c>
      <c r="HKX8" t="s">
        <v>6984</v>
      </c>
      <c r="HKY8" t="s">
        <v>6984</v>
      </c>
      <c r="HKZ8" t="s">
        <v>6984</v>
      </c>
      <c r="HLA8" t="s">
        <v>6984</v>
      </c>
      <c r="HLB8" t="s">
        <v>6984</v>
      </c>
      <c r="HLC8" t="s">
        <v>6984</v>
      </c>
      <c r="HLD8" t="s">
        <v>6984</v>
      </c>
      <c r="HLE8" t="s">
        <v>6984</v>
      </c>
      <c r="HLF8" t="s">
        <v>6984</v>
      </c>
      <c r="HLG8" t="s">
        <v>6984</v>
      </c>
      <c r="HLH8" t="s">
        <v>6984</v>
      </c>
      <c r="HLI8" t="s">
        <v>6984</v>
      </c>
      <c r="HLJ8" t="s">
        <v>6984</v>
      </c>
      <c r="HLK8" t="s">
        <v>6984</v>
      </c>
      <c r="HLL8" t="s">
        <v>6984</v>
      </c>
      <c r="HLM8" t="s">
        <v>6984</v>
      </c>
      <c r="HLN8" t="s">
        <v>6984</v>
      </c>
      <c r="HLO8" t="s">
        <v>6984</v>
      </c>
      <c r="HLP8" t="s">
        <v>6984</v>
      </c>
      <c r="HLQ8" t="s">
        <v>6984</v>
      </c>
      <c r="HLR8" t="s">
        <v>6984</v>
      </c>
      <c r="HLS8" t="s">
        <v>6984</v>
      </c>
      <c r="HLT8" t="s">
        <v>6984</v>
      </c>
      <c r="HLU8" t="s">
        <v>6984</v>
      </c>
      <c r="HLV8" t="s">
        <v>6984</v>
      </c>
      <c r="HLW8" t="s">
        <v>6984</v>
      </c>
      <c r="HLX8" t="s">
        <v>6984</v>
      </c>
      <c r="HLY8" t="s">
        <v>6984</v>
      </c>
      <c r="HLZ8" t="s">
        <v>6984</v>
      </c>
      <c r="HMA8" t="s">
        <v>6984</v>
      </c>
      <c r="HMB8" t="s">
        <v>6984</v>
      </c>
      <c r="HMC8" t="s">
        <v>6984</v>
      </c>
      <c r="HMD8" t="s">
        <v>6984</v>
      </c>
      <c r="HME8" t="s">
        <v>6984</v>
      </c>
      <c r="HMF8" t="s">
        <v>6984</v>
      </c>
      <c r="HMG8" t="s">
        <v>6984</v>
      </c>
      <c r="HMH8" t="s">
        <v>6984</v>
      </c>
      <c r="HMI8" t="s">
        <v>6984</v>
      </c>
      <c r="HMJ8" t="s">
        <v>6984</v>
      </c>
      <c r="HMK8" t="s">
        <v>6984</v>
      </c>
      <c r="HML8" t="s">
        <v>6984</v>
      </c>
      <c r="HMM8" t="s">
        <v>6984</v>
      </c>
      <c r="HMN8" t="s">
        <v>6984</v>
      </c>
      <c r="HMO8" t="s">
        <v>6984</v>
      </c>
      <c r="HMP8" t="s">
        <v>6984</v>
      </c>
      <c r="HMQ8" t="s">
        <v>6984</v>
      </c>
      <c r="HMR8" t="s">
        <v>6984</v>
      </c>
      <c r="HMS8" t="s">
        <v>6984</v>
      </c>
      <c r="HMT8" t="s">
        <v>6984</v>
      </c>
      <c r="HMU8" t="s">
        <v>6984</v>
      </c>
      <c r="HMV8" t="s">
        <v>6984</v>
      </c>
      <c r="HMW8" t="s">
        <v>6984</v>
      </c>
      <c r="HMX8" t="s">
        <v>6984</v>
      </c>
      <c r="HMY8" t="s">
        <v>6984</v>
      </c>
      <c r="HMZ8" t="s">
        <v>6984</v>
      </c>
      <c r="HNA8" t="s">
        <v>6984</v>
      </c>
      <c r="HNB8" t="s">
        <v>6984</v>
      </c>
      <c r="HNC8" t="s">
        <v>6984</v>
      </c>
      <c r="HND8" t="s">
        <v>6984</v>
      </c>
      <c r="HNE8" t="s">
        <v>6984</v>
      </c>
      <c r="HNF8" t="s">
        <v>6984</v>
      </c>
      <c r="HNG8" t="s">
        <v>6984</v>
      </c>
      <c r="HNH8" t="s">
        <v>6984</v>
      </c>
      <c r="HNI8" t="s">
        <v>6984</v>
      </c>
      <c r="HNJ8" t="s">
        <v>6984</v>
      </c>
      <c r="HNK8" t="s">
        <v>6984</v>
      </c>
      <c r="HNL8" t="s">
        <v>6984</v>
      </c>
      <c r="HNM8" t="s">
        <v>6984</v>
      </c>
      <c r="HNN8" t="s">
        <v>6984</v>
      </c>
      <c r="HNO8" t="s">
        <v>6984</v>
      </c>
      <c r="HNP8" t="s">
        <v>6984</v>
      </c>
      <c r="HNQ8" t="s">
        <v>6984</v>
      </c>
      <c r="HNR8" t="s">
        <v>6984</v>
      </c>
      <c r="HNS8" t="s">
        <v>6984</v>
      </c>
      <c r="HNT8" t="s">
        <v>6984</v>
      </c>
      <c r="HNU8" t="s">
        <v>6984</v>
      </c>
      <c r="HNV8" t="s">
        <v>6984</v>
      </c>
      <c r="HNW8" t="s">
        <v>6984</v>
      </c>
      <c r="HNX8" t="s">
        <v>6984</v>
      </c>
      <c r="HNY8" t="s">
        <v>6984</v>
      </c>
      <c r="HNZ8" t="s">
        <v>6984</v>
      </c>
      <c r="HOA8" t="s">
        <v>6984</v>
      </c>
      <c r="HOB8" t="s">
        <v>6984</v>
      </c>
      <c r="HOC8" t="s">
        <v>6984</v>
      </c>
      <c r="HOD8" t="s">
        <v>6984</v>
      </c>
      <c r="HOE8" t="s">
        <v>6984</v>
      </c>
      <c r="HOF8" t="s">
        <v>6984</v>
      </c>
      <c r="HOG8" t="s">
        <v>6984</v>
      </c>
      <c r="HOH8" t="s">
        <v>6984</v>
      </c>
      <c r="HOI8" t="s">
        <v>6984</v>
      </c>
      <c r="HOJ8" t="s">
        <v>6984</v>
      </c>
      <c r="HOK8" t="s">
        <v>6984</v>
      </c>
      <c r="HOL8" t="s">
        <v>6984</v>
      </c>
      <c r="HOM8" t="s">
        <v>6984</v>
      </c>
      <c r="HON8" t="s">
        <v>6984</v>
      </c>
      <c r="HOO8" t="s">
        <v>6984</v>
      </c>
      <c r="HOP8" t="s">
        <v>6984</v>
      </c>
      <c r="HOQ8" t="s">
        <v>6984</v>
      </c>
      <c r="HOR8" t="s">
        <v>6984</v>
      </c>
      <c r="HOS8" t="s">
        <v>6984</v>
      </c>
      <c r="HOT8" t="s">
        <v>6984</v>
      </c>
      <c r="HOU8" t="s">
        <v>6984</v>
      </c>
      <c r="HOV8" t="s">
        <v>6984</v>
      </c>
      <c r="HOW8" t="s">
        <v>6984</v>
      </c>
      <c r="HOX8" t="s">
        <v>6984</v>
      </c>
      <c r="HOY8" t="s">
        <v>6984</v>
      </c>
      <c r="HOZ8" t="s">
        <v>6984</v>
      </c>
      <c r="HPA8" t="s">
        <v>6984</v>
      </c>
      <c r="HPB8" t="s">
        <v>6984</v>
      </c>
      <c r="HPC8" t="s">
        <v>6984</v>
      </c>
      <c r="HPD8" t="s">
        <v>6984</v>
      </c>
      <c r="HPE8" t="s">
        <v>6984</v>
      </c>
      <c r="HPF8" t="s">
        <v>6984</v>
      </c>
      <c r="HPG8" t="s">
        <v>6984</v>
      </c>
      <c r="HPH8" t="s">
        <v>6984</v>
      </c>
      <c r="HPI8" t="s">
        <v>6984</v>
      </c>
      <c r="HPJ8" t="s">
        <v>6984</v>
      </c>
      <c r="HPK8" t="s">
        <v>6984</v>
      </c>
      <c r="HPL8" t="s">
        <v>6984</v>
      </c>
      <c r="HPM8" t="s">
        <v>6984</v>
      </c>
      <c r="HPN8" t="s">
        <v>6984</v>
      </c>
      <c r="HPO8" t="s">
        <v>6984</v>
      </c>
      <c r="HPP8" t="s">
        <v>6984</v>
      </c>
      <c r="HPQ8" t="s">
        <v>6984</v>
      </c>
      <c r="HPR8" t="s">
        <v>6984</v>
      </c>
      <c r="HPS8" t="s">
        <v>6984</v>
      </c>
      <c r="HPT8" t="s">
        <v>6984</v>
      </c>
      <c r="HPU8" t="s">
        <v>6984</v>
      </c>
      <c r="HPV8" t="s">
        <v>6984</v>
      </c>
      <c r="HPW8" t="s">
        <v>6984</v>
      </c>
      <c r="HPX8" t="s">
        <v>6984</v>
      </c>
      <c r="HPY8" t="s">
        <v>6984</v>
      </c>
      <c r="HPZ8" t="s">
        <v>6984</v>
      </c>
      <c r="HQA8" t="s">
        <v>6984</v>
      </c>
      <c r="HQB8" t="s">
        <v>6984</v>
      </c>
      <c r="HQC8" t="s">
        <v>6984</v>
      </c>
      <c r="HQD8" t="s">
        <v>6984</v>
      </c>
      <c r="HQE8" t="s">
        <v>6984</v>
      </c>
      <c r="HQF8" t="s">
        <v>6984</v>
      </c>
      <c r="HQG8" t="s">
        <v>6984</v>
      </c>
      <c r="HQH8" t="s">
        <v>6984</v>
      </c>
      <c r="HQI8" t="s">
        <v>6984</v>
      </c>
      <c r="HQJ8" t="s">
        <v>6984</v>
      </c>
      <c r="HQK8" t="s">
        <v>6984</v>
      </c>
      <c r="HQL8" t="s">
        <v>6984</v>
      </c>
      <c r="HQM8" t="s">
        <v>6984</v>
      </c>
      <c r="HQN8" t="s">
        <v>6984</v>
      </c>
      <c r="HQO8" t="s">
        <v>6984</v>
      </c>
      <c r="HQP8" t="s">
        <v>6984</v>
      </c>
      <c r="HQQ8" t="s">
        <v>6984</v>
      </c>
      <c r="HQR8" t="s">
        <v>6984</v>
      </c>
      <c r="HQS8" t="s">
        <v>6984</v>
      </c>
      <c r="HQT8" t="s">
        <v>6984</v>
      </c>
      <c r="HQU8" t="s">
        <v>6984</v>
      </c>
      <c r="HQV8" t="s">
        <v>6984</v>
      </c>
      <c r="HQW8" t="s">
        <v>6984</v>
      </c>
      <c r="HQX8" t="s">
        <v>6984</v>
      </c>
      <c r="HQY8" t="s">
        <v>6984</v>
      </c>
      <c r="HQZ8" t="s">
        <v>6984</v>
      </c>
      <c r="HRA8" t="s">
        <v>6984</v>
      </c>
      <c r="HRB8" t="s">
        <v>6984</v>
      </c>
      <c r="HRC8" t="s">
        <v>6984</v>
      </c>
      <c r="HRD8" t="s">
        <v>6984</v>
      </c>
      <c r="HRE8" t="s">
        <v>6984</v>
      </c>
      <c r="HRF8" t="s">
        <v>6984</v>
      </c>
      <c r="HRG8" t="s">
        <v>6984</v>
      </c>
      <c r="HRH8" t="s">
        <v>6984</v>
      </c>
      <c r="HRI8" t="s">
        <v>6984</v>
      </c>
      <c r="HRJ8" t="s">
        <v>6984</v>
      </c>
      <c r="HRK8" t="s">
        <v>6984</v>
      </c>
      <c r="HRL8" t="s">
        <v>6984</v>
      </c>
      <c r="HRM8" t="s">
        <v>6984</v>
      </c>
      <c r="HRN8" t="s">
        <v>6984</v>
      </c>
      <c r="HRO8" t="s">
        <v>6984</v>
      </c>
      <c r="HRP8" t="s">
        <v>6984</v>
      </c>
      <c r="HRQ8" t="s">
        <v>6984</v>
      </c>
      <c r="HRR8" t="s">
        <v>6984</v>
      </c>
      <c r="HRS8" t="s">
        <v>6984</v>
      </c>
      <c r="HRT8" t="s">
        <v>6984</v>
      </c>
      <c r="HRU8" t="s">
        <v>6984</v>
      </c>
      <c r="HRV8" t="s">
        <v>6984</v>
      </c>
      <c r="HRW8" t="s">
        <v>6984</v>
      </c>
      <c r="HRX8" t="s">
        <v>6984</v>
      </c>
      <c r="HRY8" t="s">
        <v>6984</v>
      </c>
      <c r="HRZ8" t="s">
        <v>6984</v>
      </c>
      <c r="HSA8" t="s">
        <v>6984</v>
      </c>
      <c r="HSB8" t="s">
        <v>6984</v>
      </c>
      <c r="HSC8" t="s">
        <v>6984</v>
      </c>
      <c r="HSD8" t="s">
        <v>6984</v>
      </c>
      <c r="HSE8" t="s">
        <v>6984</v>
      </c>
      <c r="HSF8" t="s">
        <v>6984</v>
      </c>
      <c r="HSG8" t="s">
        <v>6984</v>
      </c>
      <c r="HSH8" t="s">
        <v>6984</v>
      </c>
      <c r="HSI8" t="s">
        <v>6984</v>
      </c>
      <c r="HSJ8" t="s">
        <v>6984</v>
      </c>
      <c r="HSK8" t="s">
        <v>6984</v>
      </c>
      <c r="HSL8" t="s">
        <v>6984</v>
      </c>
      <c r="HSM8" t="s">
        <v>6984</v>
      </c>
      <c r="HSN8" t="s">
        <v>6984</v>
      </c>
      <c r="HSO8" t="s">
        <v>6984</v>
      </c>
      <c r="HSP8" t="s">
        <v>6984</v>
      </c>
      <c r="HSQ8" t="s">
        <v>6984</v>
      </c>
      <c r="HSR8" t="s">
        <v>6984</v>
      </c>
      <c r="HSS8" t="s">
        <v>6984</v>
      </c>
      <c r="HST8" t="s">
        <v>6984</v>
      </c>
      <c r="HSU8" t="s">
        <v>6984</v>
      </c>
      <c r="HSV8" t="s">
        <v>6984</v>
      </c>
      <c r="HSW8" t="s">
        <v>6984</v>
      </c>
      <c r="HSX8" t="s">
        <v>6984</v>
      </c>
      <c r="HSY8" t="s">
        <v>6984</v>
      </c>
      <c r="HSZ8" t="s">
        <v>6984</v>
      </c>
      <c r="HTA8" t="s">
        <v>6984</v>
      </c>
      <c r="HTB8" t="s">
        <v>6984</v>
      </c>
      <c r="HTC8" t="s">
        <v>6984</v>
      </c>
      <c r="HTD8" t="s">
        <v>6984</v>
      </c>
      <c r="HTE8" t="s">
        <v>6984</v>
      </c>
      <c r="HTF8" t="s">
        <v>6984</v>
      </c>
      <c r="HTG8" t="s">
        <v>6984</v>
      </c>
      <c r="HTH8" t="s">
        <v>6984</v>
      </c>
      <c r="HTI8" t="s">
        <v>6984</v>
      </c>
      <c r="HTJ8" t="s">
        <v>6984</v>
      </c>
      <c r="HTK8" t="s">
        <v>6984</v>
      </c>
      <c r="HTL8" t="s">
        <v>6984</v>
      </c>
      <c r="HTM8" t="s">
        <v>6984</v>
      </c>
      <c r="HTN8" t="s">
        <v>6984</v>
      </c>
      <c r="HTO8" t="s">
        <v>6984</v>
      </c>
      <c r="HTP8" t="s">
        <v>6984</v>
      </c>
      <c r="HTQ8" t="s">
        <v>6984</v>
      </c>
      <c r="HTR8" t="s">
        <v>6984</v>
      </c>
      <c r="HTS8" t="s">
        <v>6984</v>
      </c>
      <c r="HTT8" t="s">
        <v>6984</v>
      </c>
      <c r="HTU8" t="s">
        <v>6984</v>
      </c>
      <c r="HTV8" t="s">
        <v>6984</v>
      </c>
      <c r="HTW8" t="s">
        <v>6984</v>
      </c>
      <c r="HTX8" t="s">
        <v>6984</v>
      </c>
      <c r="HTY8" t="s">
        <v>6984</v>
      </c>
      <c r="HTZ8" t="s">
        <v>6984</v>
      </c>
      <c r="HUA8" t="s">
        <v>6984</v>
      </c>
      <c r="HUB8" t="s">
        <v>6984</v>
      </c>
      <c r="HUC8" t="s">
        <v>6984</v>
      </c>
      <c r="HUD8" t="s">
        <v>6984</v>
      </c>
      <c r="HUE8" t="s">
        <v>6984</v>
      </c>
      <c r="HUF8" t="s">
        <v>6984</v>
      </c>
      <c r="HUG8" t="s">
        <v>6984</v>
      </c>
      <c r="HUH8" t="s">
        <v>6984</v>
      </c>
      <c r="HUI8" t="s">
        <v>6984</v>
      </c>
      <c r="HUJ8" t="s">
        <v>6984</v>
      </c>
      <c r="HUK8" t="s">
        <v>6984</v>
      </c>
      <c r="HUL8" t="s">
        <v>6984</v>
      </c>
      <c r="HUM8" t="s">
        <v>6984</v>
      </c>
      <c r="HUN8" t="s">
        <v>6984</v>
      </c>
      <c r="HUO8" t="s">
        <v>6984</v>
      </c>
      <c r="HUP8" t="s">
        <v>6984</v>
      </c>
      <c r="HUQ8" t="s">
        <v>6984</v>
      </c>
      <c r="HUR8" t="s">
        <v>6984</v>
      </c>
      <c r="HUS8" t="s">
        <v>6984</v>
      </c>
      <c r="HUT8" t="s">
        <v>6984</v>
      </c>
      <c r="HUU8" t="s">
        <v>6984</v>
      </c>
      <c r="HUV8" t="s">
        <v>6984</v>
      </c>
      <c r="HUW8" t="s">
        <v>6984</v>
      </c>
      <c r="HUX8" t="s">
        <v>6984</v>
      </c>
      <c r="HUY8" t="s">
        <v>6984</v>
      </c>
      <c r="HUZ8" t="s">
        <v>6984</v>
      </c>
      <c r="HVA8" t="s">
        <v>6984</v>
      </c>
      <c r="HVB8" t="s">
        <v>6984</v>
      </c>
      <c r="HVC8" t="s">
        <v>6984</v>
      </c>
      <c r="HVD8" t="s">
        <v>6984</v>
      </c>
      <c r="HVE8" t="s">
        <v>6984</v>
      </c>
      <c r="HVF8" t="s">
        <v>6984</v>
      </c>
      <c r="HVG8" t="s">
        <v>6984</v>
      </c>
      <c r="HVH8" t="s">
        <v>6984</v>
      </c>
      <c r="HVI8" t="s">
        <v>6984</v>
      </c>
      <c r="HVJ8" t="s">
        <v>6984</v>
      </c>
      <c r="HVK8" t="s">
        <v>6984</v>
      </c>
      <c r="HVL8" t="s">
        <v>6984</v>
      </c>
      <c r="HVM8" t="s">
        <v>6984</v>
      </c>
      <c r="HVN8" t="s">
        <v>6984</v>
      </c>
      <c r="HVO8" t="s">
        <v>6984</v>
      </c>
      <c r="HVP8" t="s">
        <v>6984</v>
      </c>
      <c r="HVQ8" t="s">
        <v>6984</v>
      </c>
      <c r="HVR8" t="s">
        <v>6984</v>
      </c>
      <c r="HVS8" t="s">
        <v>6984</v>
      </c>
      <c r="HVT8" t="s">
        <v>6984</v>
      </c>
      <c r="HVU8" t="s">
        <v>6984</v>
      </c>
      <c r="HVV8" t="s">
        <v>6984</v>
      </c>
      <c r="HVW8" t="s">
        <v>6984</v>
      </c>
      <c r="HVX8" t="s">
        <v>6984</v>
      </c>
      <c r="HVY8" t="s">
        <v>6984</v>
      </c>
      <c r="HVZ8" t="s">
        <v>6984</v>
      </c>
      <c r="HWA8" t="s">
        <v>6984</v>
      </c>
      <c r="HWB8" t="s">
        <v>6984</v>
      </c>
      <c r="HWC8" t="s">
        <v>6984</v>
      </c>
      <c r="HWD8" t="s">
        <v>6984</v>
      </c>
      <c r="HWE8" t="s">
        <v>6984</v>
      </c>
      <c r="HWF8" t="s">
        <v>6984</v>
      </c>
      <c r="HWG8" t="s">
        <v>6984</v>
      </c>
      <c r="HWH8" t="s">
        <v>6984</v>
      </c>
      <c r="HWI8" t="s">
        <v>6984</v>
      </c>
      <c r="HWJ8" t="s">
        <v>6984</v>
      </c>
      <c r="HWK8" t="s">
        <v>6984</v>
      </c>
      <c r="HWL8" t="s">
        <v>6984</v>
      </c>
      <c r="HWM8" t="s">
        <v>6984</v>
      </c>
      <c r="HWN8" t="s">
        <v>6984</v>
      </c>
      <c r="HWO8" t="s">
        <v>6984</v>
      </c>
      <c r="HWP8" t="s">
        <v>6984</v>
      </c>
      <c r="HWQ8" t="s">
        <v>6984</v>
      </c>
      <c r="HWR8" t="s">
        <v>6984</v>
      </c>
      <c r="HWS8" t="s">
        <v>6984</v>
      </c>
      <c r="HWT8" t="s">
        <v>6984</v>
      </c>
      <c r="HWU8" t="s">
        <v>6984</v>
      </c>
      <c r="HWV8" t="s">
        <v>6984</v>
      </c>
      <c r="HWW8" t="s">
        <v>6984</v>
      </c>
      <c r="HWX8" t="s">
        <v>6984</v>
      </c>
      <c r="HWY8" t="s">
        <v>6984</v>
      </c>
      <c r="HWZ8" t="s">
        <v>6984</v>
      </c>
      <c r="HXA8" t="s">
        <v>6984</v>
      </c>
      <c r="HXB8" t="s">
        <v>6984</v>
      </c>
      <c r="HXC8" t="s">
        <v>6984</v>
      </c>
      <c r="HXD8" t="s">
        <v>6984</v>
      </c>
      <c r="HXE8" t="s">
        <v>6984</v>
      </c>
      <c r="HXF8" t="s">
        <v>6984</v>
      </c>
      <c r="HXG8" t="s">
        <v>6984</v>
      </c>
      <c r="HXH8" t="s">
        <v>6984</v>
      </c>
      <c r="HXI8" t="s">
        <v>6984</v>
      </c>
      <c r="HXJ8" t="s">
        <v>6984</v>
      </c>
      <c r="HXK8" t="s">
        <v>6984</v>
      </c>
      <c r="HXL8" t="s">
        <v>6984</v>
      </c>
      <c r="HXM8" t="s">
        <v>6984</v>
      </c>
      <c r="HXN8" t="s">
        <v>6984</v>
      </c>
      <c r="HXO8" t="s">
        <v>6984</v>
      </c>
      <c r="HXP8" t="s">
        <v>6984</v>
      </c>
      <c r="HXQ8" t="s">
        <v>6984</v>
      </c>
      <c r="HXR8" t="s">
        <v>6984</v>
      </c>
      <c r="HXS8" t="s">
        <v>6984</v>
      </c>
      <c r="HXT8" t="s">
        <v>6984</v>
      </c>
      <c r="HXU8" t="s">
        <v>6984</v>
      </c>
      <c r="HXV8" t="s">
        <v>6984</v>
      </c>
      <c r="HXW8" t="s">
        <v>6984</v>
      </c>
      <c r="HXX8" t="s">
        <v>6984</v>
      </c>
      <c r="HXY8" t="s">
        <v>6984</v>
      </c>
      <c r="HXZ8" t="s">
        <v>6984</v>
      </c>
      <c r="HYA8" t="s">
        <v>6984</v>
      </c>
      <c r="HYB8" t="s">
        <v>6984</v>
      </c>
      <c r="HYC8" t="s">
        <v>6984</v>
      </c>
      <c r="HYD8" t="s">
        <v>6984</v>
      </c>
      <c r="HYE8" t="s">
        <v>6984</v>
      </c>
      <c r="HYF8" t="s">
        <v>6984</v>
      </c>
      <c r="HYG8" t="s">
        <v>6984</v>
      </c>
      <c r="HYH8" t="s">
        <v>6984</v>
      </c>
      <c r="HYI8" t="s">
        <v>6984</v>
      </c>
      <c r="HYJ8" t="s">
        <v>6984</v>
      </c>
      <c r="HYK8" t="s">
        <v>6984</v>
      </c>
      <c r="HYL8" t="s">
        <v>6984</v>
      </c>
      <c r="HYM8" t="s">
        <v>6984</v>
      </c>
      <c r="HYN8" t="s">
        <v>6984</v>
      </c>
      <c r="HYO8" t="s">
        <v>6984</v>
      </c>
      <c r="HYP8" t="s">
        <v>6984</v>
      </c>
      <c r="HYQ8" t="s">
        <v>6984</v>
      </c>
      <c r="HYR8" t="s">
        <v>6984</v>
      </c>
      <c r="HYS8" t="s">
        <v>6984</v>
      </c>
      <c r="HYT8" t="s">
        <v>6984</v>
      </c>
      <c r="HYU8" t="s">
        <v>6984</v>
      </c>
      <c r="HYV8" t="s">
        <v>6984</v>
      </c>
      <c r="HYW8" t="s">
        <v>6984</v>
      </c>
      <c r="HYX8" t="s">
        <v>6984</v>
      </c>
      <c r="HYY8" t="s">
        <v>6984</v>
      </c>
      <c r="HYZ8" t="s">
        <v>6984</v>
      </c>
      <c r="HZA8" t="s">
        <v>6984</v>
      </c>
      <c r="HZB8" t="s">
        <v>6984</v>
      </c>
      <c r="HZC8" t="s">
        <v>6984</v>
      </c>
      <c r="HZD8" t="s">
        <v>6984</v>
      </c>
      <c r="HZE8" t="s">
        <v>6984</v>
      </c>
      <c r="HZF8" t="s">
        <v>6984</v>
      </c>
      <c r="HZG8" t="s">
        <v>6984</v>
      </c>
      <c r="HZH8" t="s">
        <v>6984</v>
      </c>
      <c r="HZI8" t="s">
        <v>6984</v>
      </c>
      <c r="HZJ8" t="s">
        <v>6984</v>
      </c>
      <c r="HZK8" t="s">
        <v>6984</v>
      </c>
      <c r="HZL8" t="s">
        <v>6984</v>
      </c>
      <c r="HZM8" t="s">
        <v>6984</v>
      </c>
      <c r="HZN8" t="s">
        <v>6984</v>
      </c>
      <c r="HZO8" t="s">
        <v>6984</v>
      </c>
      <c r="HZP8" t="s">
        <v>6984</v>
      </c>
      <c r="HZQ8" t="s">
        <v>6984</v>
      </c>
      <c r="HZR8" t="s">
        <v>6984</v>
      </c>
      <c r="HZS8" t="s">
        <v>6984</v>
      </c>
      <c r="HZT8" t="s">
        <v>6984</v>
      </c>
      <c r="HZU8" t="s">
        <v>6984</v>
      </c>
      <c r="HZV8" t="s">
        <v>6984</v>
      </c>
      <c r="HZW8" t="s">
        <v>6984</v>
      </c>
      <c r="HZX8" t="s">
        <v>6984</v>
      </c>
      <c r="HZY8" t="s">
        <v>6984</v>
      </c>
      <c r="HZZ8" t="s">
        <v>6984</v>
      </c>
      <c r="IAA8" t="s">
        <v>6984</v>
      </c>
      <c r="IAB8" t="s">
        <v>6984</v>
      </c>
      <c r="IAC8" t="s">
        <v>6984</v>
      </c>
      <c r="IAD8" t="s">
        <v>6984</v>
      </c>
      <c r="IAE8" t="s">
        <v>6984</v>
      </c>
      <c r="IAF8" t="s">
        <v>6984</v>
      </c>
      <c r="IAG8" t="s">
        <v>6984</v>
      </c>
      <c r="IAH8" t="s">
        <v>6984</v>
      </c>
      <c r="IAI8" t="s">
        <v>6984</v>
      </c>
      <c r="IAJ8" t="s">
        <v>6984</v>
      </c>
      <c r="IAK8" t="s">
        <v>6984</v>
      </c>
      <c r="IAL8" t="s">
        <v>6984</v>
      </c>
      <c r="IAM8" t="s">
        <v>6984</v>
      </c>
      <c r="IAN8" t="s">
        <v>6984</v>
      </c>
      <c r="IAO8" t="s">
        <v>6984</v>
      </c>
      <c r="IAP8" t="s">
        <v>6984</v>
      </c>
      <c r="IAQ8" t="s">
        <v>6984</v>
      </c>
      <c r="IAR8" t="s">
        <v>6984</v>
      </c>
      <c r="IAS8" t="s">
        <v>6984</v>
      </c>
      <c r="IAT8" t="s">
        <v>6984</v>
      </c>
      <c r="IAU8" t="s">
        <v>6984</v>
      </c>
      <c r="IAV8" t="s">
        <v>6984</v>
      </c>
      <c r="IAW8" t="s">
        <v>6984</v>
      </c>
      <c r="IAX8" t="s">
        <v>6984</v>
      </c>
      <c r="IAY8" t="s">
        <v>6984</v>
      </c>
      <c r="IAZ8" t="s">
        <v>6984</v>
      </c>
      <c r="IBA8" t="s">
        <v>6984</v>
      </c>
      <c r="IBB8" t="s">
        <v>6984</v>
      </c>
      <c r="IBC8" t="s">
        <v>6984</v>
      </c>
      <c r="IBD8" t="s">
        <v>6984</v>
      </c>
      <c r="IBE8" t="s">
        <v>6984</v>
      </c>
      <c r="IBF8" t="s">
        <v>6984</v>
      </c>
      <c r="IBG8" t="s">
        <v>6984</v>
      </c>
      <c r="IBH8" t="s">
        <v>6984</v>
      </c>
      <c r="IBI8" t="s">
        <v>6984</v>
      </c>
      <c r="IBJ8" t="s">
        <v>6984</v>
      </c>
      <c r="IBK8" t="s">
        <v>6984</v>
      </c>
      <c r="IBL8" t="s">
        <v>6984</v>
      </c>
      <c r="IBM8" t="s">
        <v>6984</v>
      </c>
      <c r="IBN8" t="s">
        <v>6984</v>
      </c>
      <c r="IBO8" t="s">
        <v>6984</v>
      </c>
      <c r="IBP8" t="s">
        <v>6984</v>
      </c>
      <c r="IBQ8" t="s">
        <v>6984</v>
      </c>
      <c r="IBR8" t="s">
        <v>6984</v>
      </c>
      <c r="IBS8" t="s">
        <v>6984</v>
      </c>
      <c r="IBT8" t="s">
        <v>6984</v>
      </c>
      <c r="IBU8" t="s">
        <v>6984</v>
      </c>
      <c r="IBV8" t="s">
        <v>6984</v>
      </c>
      <c r="IBW8" t="s">
        <v>6984</v>
      </c>
      <c r="IBX8" t="s">
        <v>6984</v>
      </c>
      <c r="IBY8" t="s">
        <v>6984</v>
      </c>
      <c r="IBZ8" t="s">
        <v>6984</v>
      </c>
      <c r="ICA8" t="s">
        <v>6984</v>
      </c>
      <c r="ICB8" t="s">
        <v>6984</v>
      </c>
      <c r="ICC8" t="s">
        <v>6984</v>
      </c>
      <c r="ICD8" t="s">
        <v>6984</v>
      </c>
      <c r="ICE8" t="s">
        <v>6984</v>
      </c>
      <c r="ICF8" t="s">
        <v>6984</v>
      </c>
      <c r="ICG8" t="s">
        <v>6984</v>
      </c>
      <c r="ICH8" t="s">
        <v>6984</v>
      </c>
      <c r="ICI8" t="s">
        <v>6984</v>
      </c>
      <c r="ICJ8" t="s">
        <v>6984</v>
      </c>
      <c r="ICK8" t="s">
        <v>6984</v>
      </c>
      <c r="ICL8" t="s">
        <v>6984</v>
      </c>
      <c r="ICM8" t="s">
        <v>6984</v>
      </c>
      <c r="ICN8" t="s">
        <v>6984</v>
      </c>
      <c r="ICO8" t="s">
        <v>6984</v>
      </c>
      <c r="ICP8" t="s">
        <v>6984</v>
      </c>
      <c r="ICQ8" t="s">
        <v>6984</v>
      </c>
      <c r="ICR8" t="s">
        <v>6984</v>
      </c>
      <c r="ICS8" t="s">
        <v>6984</v>
      </c>
      <c r="ICT8" t="s">
        <v>6984</v>
      </c>
      <c r="ICU8" t="s">
        <v>6984</v>
      </c>
      <c r="ICV8" t="s">
        <v>6984</v>
      </c>
      <c r="ICW8" t="s">
        <v>6984</v>
      </c>
      <c r="ICX8" t="s">
        <v>6984</v>
      </c>
      <c r="ICY8" t="s">
        <v>6984</v>
      </c>
      <c r="ICZ8" t="s">
        <v>6984</v>
      </c>
      <c r="IDA8" t="s">
        <v>6984</v>
      </c>
      <c r="IDB8" t="s">
        <v>6984</v>
      </c>
      <c r="IDC8" t="s">
        <v>6984</v>
      </c>
      <c r="IDD8" t="s">
        <v>6984</v>
      </c>
      <c r="IDE8" t="s">
        <v>6984</v>
      </c>
      <c r="IDF8" t="s">
        <v>6984</v>
      </c>
      <c r="IDG8" t="s">
        <v>6984</v>
      </c>
      <c r="IDH8" t="s">
        <v>6984</v>
      </c>
      <c r="IDI8" t="s">
        <v>6984</v>
      </c>
      <c r="IDJ8" t="s">
        <v>6984</v>
      </c>
      <c r="IDK8" t="s">
        <v>6984</v>
      </c>
      <c r="IDL8" t="s">
        <v>6984</v>
      </c>
      <c r="IDM8" t="s">
        <v>6984</v>
      </c>
      <c r="IDN8" t="s">
        <v>6984</v>
      </c>
      <c r="IDO8" t="s">
        <v>6984</v>
      </c>
      <c r="IDP8" t="s">
        <v>6984</v>
      </c>
      <c r="IDQ8" t="s">
        <v>6984</v>
      </c>
      <c r="IDR8" t="s">
        <v>6984</v>
      </c>
      <c r="IDS8" t="s">
        <v>6984</v>
      </c>
      <c r="IDT8" t="s">
        <v>6984</v>
      </c>
      <c r="IDU8" t="s">
        <v>6984</v>
      </c>
      <c r="IDV8" t="s">
        <v>6984</v>
      </c>
      <c r="IDW8" t="s">
        <v>6984</v>
      </c>
      <c r="IDX8" t="s">
        <v>6984</v>
      </c>
      <c r="IDY8" t="s">
        <v>6984</v>
      </c>
      <c r="IDZ8" t="s">
        <v>6984</v>
      </c>
      <c r="IEA8" t="s">
        <v>6984</v>
      </c>
      <c r="IEB8" t="s">
        <v>6984</v>
      </c>
      <c r="IEC8" t="s">
        <v>6984</v>
      </c>
      <c r="IED8" t="s">
        <v>6984</v>
      </c>
      <c r="IEE8" t="s">
        <v>6984</v>
      </c>
      <c r="IEF8" t="s">
        <v>6984</v>
      </c>
      <c r="IEG8" t="s">
        <v>6984</v>
      </c>
      <c r="IEH8" t="s">
        <v>6984</v>
      </c>
      <c r="IEI8" t="s">
        <v>6984</v>
      </c>
      <c r="IEJ8" t="s">
        <v>6984</v>
      </c>
      <c r="IEK8" t="s">
        <v>6984</v>
      </c>
      <c r="IEL8" t="s">
        <v>6984</v>
      </c>
      <c r="IEM8" t="s">
        <v>6984</v>
      </c>
      <c r="IEN8" t="s">
        <v>6984</v>
      </c>
      <c r="IEO8" t="s">
        <v>6984</v>
      </c>
      <c r="IEP8" t="s">
        <v>6984</v>
      </c>
      <c r="IEQ8" t="s">
        <v>6984</v>
      </c>
      <c r="IER8" t="s">
        <v>6984</v>
      </c>
      <c r="IES8" t="s">
        <v>6984</v>
      </c>
      <c r="IET8" t="s">
        <v>6984</v>
      </c>
      <c r="IEU8" t="s">
        <v>6984</v>
      </c>
      <c r="IEV8" t="s">
        <v>6984</v>
      </c>
      <c r="IEW8" t="s">
        <v>6984</v>
      </c>
      <c r="IEX8" t="s">
        <v>6984</v>
      </c>
      <c r="IEY8" t="s">
        <v>6984</v>
      </c>
      <c r="IEZ8" t="s">
        <v>6984</v>
      </c>
      <c r="IFA8" t="s">
        <v>6984</v>
      </c>
      <c r="IFB8" t="s">
        <v>6984</v>
      </c>
      <c r="IFC8" t="s">
        <v>6984</v>
      </c>
      <c r="IFD8" t="s">
        <v>6984</v>
      </c>
      <c r="IFE8" t="s">
        <v>6984</v>
      </c>
      <c r="IFF8" t="s">
        <v>6984</v>
      </c>
      <c r="IFG8" t="s">
        <v>6984</v>
      </c>
      <c r="IFH8" t="s">
        <v>6984</v>
      </c>
      <c r="IFI8" t="s">
        <v>6984</v>
      </c>
      <c r="IFJ8" t="s">
        <v>6984</v>
      </c>
      <c r="IFK8" t="s">
        <v>6984</v>
      </c>
      <c r="IFL8" t="s">
        <v>6984</v>
      </c>
      <c r="IFM8" t="s">
        <v>6984</v>
      </c>
      <c r="IFN8" t="s">
        <v>6984</v>
      </c>
      <c r="IFO8" t="s">
        <v>6984</v>
      </c>
      <c r="IFP8" t="s">
        <v>6984</v>
      </c>
      <c r="IFQ8" t="s">
        <v>6984</v>
      </c>
      <c r="IFR8" t="s">
        <v>6984</v>
      </c>
      <c r="IFS8" t="s">
        <v>6984</v>
      </c>
      <c r="IFT8" t="s">
        <v>6984</v>
      </c>
      <c r="IFU8" t="s">
        <v>6984</v>
      </c>
      <c r="IFV8" t="s">
        <v>6984</v>
      </c>
      <c r="IFW8" t="s">
        <v>6984</v>
      </c>
      <c r="IFX8" t="s">
        <v>6984</v>
      </c>
      <c r="IFY8" t="s">
        <v>6984</v>
      </c>
      <c r="IFZ8" t="s">
        <v>6984</v>
      </c>
      <c r="IGA8" t="s">
        <v>6984</v>
      </c>
      <c r="IGB8" t="s">
        <v>6984</v>
      </c>
      <c r="IGC8" t="s">
        <v>6984</v>
      </c>
      <c r="IGD8" t="s">
        <v>6984</v>
      </c>
      <c r="IGE8" t="s">
        <v>6984</v>
      </c>
      <c r="IGF8" t="s">
        <v>6984</v>
      </c>
      <c r="IGG8" t="s">
        <v>6984</v>
      </c>
      <c r="IGH8" t="s">
        <v>6984</v>
      </c>
      <c r="IGI8" t="s">
        <v>6984</v>
      </c>
      <c r="IGJ8" t="s">
        <v>6984</v>
      </c>
      <c r="IGK8" t="s">
        <v>6984</v>
      </c>
      <c r="IGL8" t="s">
        <v>6984</v>
      </c>
      <c r="IGM8" t="s">
        <v>6984</v>
      </c>
      <c r="IGN8" t="s">
        <v>6984</v>
      </c>
      <c r="IGO8" t="s">
        <v>6984</v>
      </c>
      <c r="IGP8" t="s">
        <v>6984</v>
      </c>
      <c r="IGQ8" t="s">
        <v>6984</v>
      </c>
      <c r="IGR8" t="s">
        <v>6984</v>
      </c>
      <c r="IGS8" t="s">
        <v>6984</v>
      </c>
      <c r="IGT8" t="s">
        <v>6984</v>
      </c>
      <c r="IGU8" t="s">
        <v>6984</v>
      </c>
      <c r="IGV8" t="s">
        <v>6984</v>
      </c>
      <c r="IGW8" t="s">
        <v>6984</v>
      </c>
      <c r="IGX8" t="s">
        <v>6984</v>
      </c>
      <c r="IGY8" t="s">
        <v>6984</v>
      </c>
      <c r="IGZ8" t="s">
        <v>6984</v>
      </c>
      <c r="IHA8" t="s">
        <v>6984</v>
      </c>
      <c r="IHB8" t="s">
        <v>6984</v>
      </c>
      <c r="IHC8" t="s">
        <v>6984</v>
      </c>
      <c r="IHD8" t="s">
        <v>6984</v>
      </c>
      <c r="IHE8" t="s">
        <v>6984</v>
      </c>
      <c r="IHF8" t="s">
        <v>6984</v>
      </c>
      <c r="IHG8" t="s">
        <v>6984</v>
      </c>
      <c r="IHH8" t="s">
        <v>6984</v>
      </c>
      <c r="IHI8" t="s">
        <v>6984</v>
      </c>
      <c r="IHJ8" t="s">
        <v>6984</v>
      </c>
      <c r="IHK8" t="s">
        <v>6984</v>
      </c>
      <c r="IHL8" t="s">
        <v>6984</v>
      </c>
      <c r="IHM8" t="s">
        <v>6984</v>
      </c>
      <c r="IHN8" t="s">
        <v>6984</v>
      </c>
      <c r="IHO8" t="s">
        <v>6984</v>
      </c>
      <c r="IHP8" t="s">
        <v>6984</v>
      </c>
      <c r="IHQ8" t="s">
        <v>6984</v>
      </c>
      <c r="IHR8" t="s">
        <v>6984</v>
      </c>
      <c r="IHS8" t="s">
        <v>6984</v>
      </c>
      <c r="IHT8" t="s">
        <v>6984</v>
      </c>
      <c r="IHU8" t="s">
        <v>6984</v>
      </c>
      <c r="IHV8" t="s">
        <v>6984</v>
      </c>
      <c r="IHW8" t="s">
        <v>6984</v>
      </c>
      <c r="IHX8" t="s">
        <v>6984</v>
      </c>
      <c r="IHY8" t="s">
        <v>6984</v>
      </c>
      <c r="IHZ8" t="s">
        <v>6984</v>
      </c>
      <c r="IIA8" t="s">
        <v>6984</v>
      </c>
      <c r="IIB8" t="s">
        <v>6984</v>
      </c>
      <c r="IIC8" t="s">
        <v>6984</v>
      </c>
      <c r="IID8" t="s">
        <v>6984</v>
      </c>
      <c r="IIE8" t="s">
        <v>6984</v>
      </c>
      <c r="IIF8" t="s">
        <v>6984</v>
      </c>
      <c r="IIG8" t="s">
        <v>6984</v>
      </c>
      <c r="IIH8" t="s">
        <v>6984</v>
      </c>
      <c r="III8" t="s">
        <v>6984</v>
      </c>
      <c r="IIJ8" t="s">
        <v>6984</v>
      </c>
      <c r="IIK8" t="s">
        <v>6984</v>
      </c>
      <c r="IIL8" t="s">
        <v>6984</v>
      </c>
      <c r="IIM8" t="s">
        <v>6984</v>
      </c>
      <c r="IIN8" t="s">
        <v>6984</v>
      </c>
      <c r="IIO8" t="s">
        <v>6984</v>
      </c>
      <c r="IIP8" t="s">
        <v>6984</v>
      </c>
      <c r="IIQ8" t="s">
        <v>6984</v>
      </c>
      <c r="IIR8" t="s">
        <v>6984</v>
      </c>
      <c r="IIS8" t="s">
        <v>6984</v>
      </c>
      <c r="IIT8" t="s">
        <v>6984</v>
      </c>
      <c r="IIU8" t="s">
        <v>6984</v>
      </c>
      <c r="IIV8" t="s">
        <v>6984</v>
      </c>
      <c r="IIW8" t="s">
        <v>6984</v>
      </c>
      <c r="IIX8" t="s">
        <v>6984</v>
      </c>
      <c r="IIY8" t="s">
        <v>6984</v>
      </c>
      <c r="IIZ8" t="s">
        <v>6984</v>
      </c>
      <c r="IJA8" t="s">
        <v>6984</v>
      </c>
      <c r="IJB8" t="s">
        <v>6984</v>
      </c>
      <c r="IJC8" t="s">
        <v>6984</v>
      </c>
      <c r="IJD8" t="s">
        <v>6984</v>
      </c>
      <c r="IJE8" t="s">
        <v>6984</v>
      </c>
      <c r="IJF8" t="s">
        <v>6984</v>
      </c>
      <c r="IJG8" t="s">
        <v>6984</v>
      </c>
      <c r="IJH8" t="s">
        <v>6984</v>
      </c>
      <c r="IJI8" t="s">
        <v>6984</v>
      </c>
      <c r="IJJ8" t="s">
        <v>6984</v>
      </c>
      <c r="IJK8" t="s">
        <v>6984</v>
      </c>
      <c r="IJL8" t="s">
        <v>6984</v>
      </c>
      <c r="IJM8" t="s">
        <v>6984</v>
      </c>
      <c r="IJN8" t="s">
        <v>6984</v>
      </c>
      <c r="IJO8" t="s">
        <v>6984</v>
      </c>
      <c r="IJP8" t="s">
        <v>6984</v>
      </c>
      <c r="IJQ8" t="s">
        <v>6984</v>
      </c>
      <c r="IJR8" t="s">
        <v>6984</v>
      </c>
      <c r="IJS8" t="s">
        <v>6984</v>
      </c>
      <c r="IJT8" t="s">
        <v>6984</v>
      </c>
      <c r="IJU8" t="s">
        <v>6984</v>
      </c>
      <c r="IJV8" t="s">
        <v>6984</v>
      </c>
      <c r="IJW8" t="s">
        <v>6984</v>
      </c>
      <c r="IJX8" t="s">
        <v>6984</v>
      </c>
      <c r="IJY8" t="s">
        <v>6984</v>
      </c>
      <c r="IJZ8" t="s">
        <v>6984</v>
      </c>
      <c r="IKA8" t="s">
        <v>6984</v>
      </c>
      <c r="IKB8" t="s">
        <v>6984</v>
      </c>
      <c r="IKC8" t="s">
        <v>6984</v>
      </c>
      <c r="IKD8" t="s">
        <v>6984</v>
      </c>
      <c r="IKE8" t="s">
        <v>6984</v>
      </c>
      <c r="IKF8" t="s">
        <v>6984</v>
      </c>
      <c r="IKG8" t="s">
        <v>6984</v>
      </c>
      <c r="IKH8" t="s">
        <v>6984</v>
      </c>
      <c r="IKI8" t="s">
        <v>6984</v>
      </c>
      <c r="IKJ8" t="s">
        <v>6984</v>
      </c>
      <c r="IKK8" t="s">
        <v>6984</v>
      </c>
      <c r="IKL8" t="s">
        <v>6984</v>
      </c>
      <c r="IKM8" t="s">
        <v>6984</v>
      </c>
      <c r="IKN8" t="s">
        <v>6984</v>
      </c>
      <c r="IKO8" t="s">
        <v>6984</v>
      </c>
      <c r="IKP8" t="s">
        <v>6984</v>
      </c>
      <c r="IKQ8" t="s">
        <v>6984</v>
      </c>
      <c r="IKR8" t="s">
        <v>6984</v>
      </c>
      <c r="IKS8" t="s">
        <v>6984</v>
      </c>
      <c r="IKT8" t="s">
        <v>6984</v>
      </c>
      <c r="IKU8" t="s">
        <v>6984</v>
      </c>
      <c r="IKV8" t="s">
        <v>6984</v>
      </c>
      <c r="IKW8" t="s">
        <v>6984</v>
      </c>
      <c r="IKX8" t="s">
        <v>6984</v>
      </c>
      <c r="IKY8" t="s">
        <v>6984</v>
      </c>
      <c r="IKZ8" t="s">
        <v>6984</v>
      </c>
      <c r="ILA8" t="s">
        <v>6984</v>
      </c>
      <c r="ILB8" t="s">
        <v>6984</v>
      </c>
      <c r="ILC8" t="s">
        <v>6984</v>
      </c>
      <c r="ILD8" t="s">
        <v>6984</v>
      </c>
      <c r="ILE8" t="s">
        <v>6984</v>
      </c>
      <c r="ILF8" t="s">
        <v>6984</v>
      </c>
      <c r="ILG8" t="s">
        <v>6984</v>
      </c>
      <c r="ILH8" t="s">
        <v>6984</v>
      </c>
      <c r="ILI8" t="s">
        <v>6984</v>
      </c>
      <c r="ILJ8" t="s">
        <v>6984</v>
      </c>
      <c r="ILK8" t="s">
        <v>6984</v>
      </c>
      <c r="ILL8" t="s">
        <v>6984</v>
      </c>
      <c r="ILM8" t="s">
        <v>6984</v>
      </c>
      <c r="ILN8" t="s">
        <v>6984</v>
      </c>
      <c r="ILO8" t="s">
        <v>6984</v>
      </c>
      <c r="ILP8" t="s">
        <v>6984</v>
      </c>
      <c r="ILQ8" t="s">
        <v>6984</v>
      </c>
      <c r="ILR8" t="s">
        <v>6984</v>
      </c>
      <c r="ILS8" t="s">
        <v>6984</v>
      </c>
      <c r="ILT8" t="s">
        <v>6984</v>
      </c>
      <c r="ILU8" t="s">
        <v>6984</v>
      </c>
      <c r="ILV8" t="s">
        <v>6984</v>
      </c>
      <c r="ILW8" t="s">
        <v>6984</v>
      </c>
      <c r="ILX8" t="s">
        <v>6984</v>
      </c>
      <c r="ILY8" t="s">
        <v>6984</v>
      </c>
      <c r="ILZ8" t="s">
        <v>6984</v>
      </c>
      <c r="IMA8" t="s">
        <v>6984</v>
      </c>
      <c r="IMB8" t="s">
        <v>6984</v>
      </c>
      <c r="IMC8" t="s">
        <v>6984</v>
      </c>
      <c r="IMD8" t="s">
        <v>6984</v>
      </c>
      <c r="IME8" t="s">
        <v>6984</v>
      </c>
      <c r="IMF8" t="s">
        <v>6984</v>
      </c>
      <c r="IMG8" t="s">
        <v>6984</v>
      </c>
      <c r="IMH8" t="s">
        <v>6984</v>
      </c>
      <c r="IMI8" t="s">
        <v>6984</v>
      </c>
      <c r="IMJ8" t="s">
        <v>6984</v>
      </c>
      <c r="IMK8" t="s">
        <v>6984</v>
      </c>
      <c r="IML8" t="s">
        <v>6984</v>
      </c>
      <c r="IMM8" t="s">
        <v>6984</v>
      </c>
      <c r="IMN8" t="s">
        <v>6984</v>
      </c>
      <c r="IMO8" t="s">
        <v>6984</v>
      </c>
      <c r="IMP8" t="s">
        <v>6984</v>
      </c>
      <c r="IMQ8" t="s">
        <v>6984</v>
      </c>
      <c r="IMR8" t="s">
        <v>6984</v>
      </c>
      <c r="IMS8" t="s">
        <v>6984</v>
      </c>
      <c r="IMT8" t="s">
        <v>6984</v>
      </c>
      <c r="IMU8" t="s">
        <v>6984</v>
      </c>
      <c r="IMV8" t="s">
        <v>6984</v>
      </c>
      <c r="IMW8" t="s">
        <v>6984</v>
      </c>
      <c r="IMX8" t="s">
        <v>6984</v>
      </c>
      <c r="IMY8" t="s">
        <v>6984</v>
      </c>
      <c r="IMZ8" t="s">
        <v>6984</v>
      </c>
      <c r="INA8" t="s">
        <v>6984</v>
      </c>
      <c r="INB8" t="s">
        <v>6984</v>
      </c>
      <c r="INC8" t="s">
        <v>6984</v>
      </c>
      <c r="IND8" t="s">
        <v>6984</v>
      </c>
      <c r="INE8" t="s">
        <v>6984</v>
      </c>
      <c r="INF8" t="s">
        <v>6984</v>
      </c>
      <c r="ING8" t="s">
        <v>6984</v>
      </c>
      <c r="INH8" t="s">
        <v>6984</v>
      </c>
      <c r="INI8" t="s">
        <v>6984</v>
      </c>
      <c r="INJ8" t="s">
        <v>6984</v>
      </c>
      <c r="INK8" t="s">
        <v>6984</v>
      </c>
      <c r="INL8" t="s">
        <v>6984</v>
      </c>
      <c r="INM8" t="s">
        <v>6984</v>
      </c>
      <c r="INN8" t="s">
        <v>6984</v>
      </c>
      <c r="INO8" t="s">
        <v>6984</v>
      </c>
      <c r="INP8" t="s">
        <v>6984</v>
      </c>
      <c r="INQ8" t="s">
        <v>6984</v>
      </c>
      <c r="INR8" t="s">
        <v>6984</v>
      </c>
      <c r="INS8" t="s">
        <v>6984</v>
      </c>
      <c r="INT8" t="s">
        <v>6984</v>
      </c>
      <c r="INU8" t="s">
        <v>6984</v>
      </c>
      <c r="INV8" t="s">
        <v>6984</v>
      </c>
      <c r="INW8" t="s">
        <v>6984</v>
      </c>
      <c r="INX8" t="s">
        <v>6984</v>
      </c>
      <c r="INY8" t="s">
        <v>6984</v>
      </c>
      <c r="INZ8" t="s">
        <v>6984</v>
      </c>
      <c r="IOA8" t="s">
        <v>6984</v>
      </c>
      <c r="IOB8" t="s">
        <v>6984</v>
      </c>
      <c r="IOC8" t="s">
        <v>6984</v>
      </c>
      <c r="IOD8" t="s">
        <v>6984</v>
      </c>
      <c r="IOE8" t="s">
        <v>6984</v>
      </c>
      <c r="IOF8" t="s">
        <v>6984</v>
      </c>
      <c r="IOG8" t="s">
        <v>6984</v>
      </c>
      <c r="IOH8" t="s">
        <v>6984</v>
      </c>
      <c r="IOI8" t="s">
        <v>6984</v>
      </c>
      <c r="IOJ8" t="s">
        <v>6984</v>
      </c>
      <c r="IOK8" t="s">
        <v>6984</v>
      </c>
      <c r="IOL8" t="s">
        <v>6984</v>
      </c>
      <c r="IOM8" t="s">
        <v>6984</v>
      </c>
      <c r="ION8" t="s">
        <v>6984</v>
      </c>
      <c r="IOO8" t="s">
        <v>6984</v>
      </c>
      <c r="IOP8" t="s">
        <v>6984</v>
      </c>
      <c r="IOQ8" t="s">
        <v>6984</v>
      </c>
      <c r="IOR8" t="s">
        <v>6984</v>
      </c>
      <c r="IOS8" t="s">
        <v>6984</v>
      </c>
      <c r="IOT8" t="s">
        <v>6984</v>
      </c>
      <c r="IOU8" t="s">
        <v>6984</v>
      </c>
      <c r="IOV8" t="s">
        <v>6984</v>
      </c>
      <c r="IOW8" t="s">
        <v>6984</v>
      </c>
      <c r="IOX8" t="s">
        <v>6984</v>
      </c>
      <c r="IOY8" t="s">
        <v>6984</v>
      </c>
      <c r="IOZ8" t="s">
        <v>6984</v>
      </c>
      <c r="IPA8" t="s">
        <v>6984</v>
      </c>
      <c r="IPB8" t="s">
        <v>6984</v>
      </c>
      <c r="IPC8" t="s">
        <v>6984</v>
      </c>
      <c r="IPD8" t="s">
        <v>6984</v>
      </c>
      <c r="IPE8" t="s">
        <v>6984</v>
      </c>
      <c r="IPF8" t="s">
        <v>6984</v>
      </c>
      <c r="IPG8" t="s">
        <v>6984</v>
      </c>
      <c r="IPH8" t="s">
        <v>6984</v>
      </c>
      <c r="IPI8" t="s">
        <v>6984</v>
      </c>
      <c r="IPJ8" t="s">
        <v>6984</v>
      </c>
      <c r="IPK8" t="s">
        <v>6984</v>
      </c>
      <c r="IPL8" t="s">
        <v>6984</v>
      </c>
      <c r="IPM8" t="s">
        <v>6984</v>
      </c>
      <c r="IPN8" t="s">
        <v>6984</v>
      </c>
      <c r="IPO8" t="s">
        <v>6984</v>
      </c>
      <c r="IPP8" t="s">
        <v>6984</v>
      </c>
      <c r="IPQ8" t="s">
        <v>6984</v>
      </c>
      <c r="IPR8" t="s">
        <v>6984</v>
      </c>
      <c r="IPS8" t="s">
        <v>6984</v>
      </c>
      <c r="IPT8" t="s">
        <v>6984</v>
      </c>
      <c r="IPU8" t="s">
        <v>6984</v>
      </c>
      <c r="IPV8" t="s">
        <v>6984</v>
      </c>
      <c r="IPW8" t="s">
        <v>6984</v>
      </c>
      <c r="IPX8" t="s">
        <v>6984</v>
      </c>
      <c r="IPY8" t="s">
        <v>6984</v>
      </c>
      <c r="IPZ8" t="s">
        <v>6984</v>
      </c>
      <c r="IQA8" t="s">
        <v>6984</v>
      </c>
      <c r="IQB8" t="s">
        <v>6984</v>
      </c>
      <c r="IQC8" t="s">
        <v>6984</v>
      </c>
      <c r="IQD8" t="s">
        <v>6984</v>
      </c>
      <c r="IQE8" t="s">
        <v>6984</v>
      </c>
      <c r="IQF8" t="s">
        <v>6984</v>
      </c>
      <c r="IQG8" t="s">
        <v>6984</v>
      </c>
      <c r="IQH8" t="s">
        <v>6984</v>
      </c>
      <c r="IQI8" t="s">
        <v>6984</v>
      </c>
      <c r="IQJ8" t="s">
        <v>6984</v>
      </c>
      <c r="IQK8" t="s">
        <v>6984</v>
      </c>
      <c r="IQL8" t="s">
        <v>6984</v>
      </c>
      <c r="IQM8" t="s">
        <v>6984</v>
      </c>
      <c r="IQN8" t="s">
        <v>6984</v>
      </c>
      <c r="IQO8" t="s">
        <v>6984</v>
      </c>
      <c r="IQP8" t="s">
        <v>6984</v>
      </c>
      <c r="IQQ8" t="s">
        <v>6984</v>
      </c>
      <c r="IQR8" t="s">
        <v>6984</v>
      </c>
      <c r="IQS8" t="s">
        <v>6984</v>
      </c>
      <c r="IQT8" t="s">
        <v>6984</v>
      </c>
      <c r="IQU8" t="s">
        <v>6984</v>
      </c>
      <c r="IQV8" t="s">
        <v>6984</v>
      </c>
      <c r="IQW8" t="s">
        <v>6984</v>
      </c>
      <c r="IQX8" t="s">
        <v>6984</v>
      </c>
      <c r="IQY8" t="s">
        <v>6984</v>
      </c>
      <c r="IQZ8" t="s">
        <v>6984</v>
      </c>
      <c r="IRA8" t="s">
        <v>6984</v>
      </c>
      <c r="IRB8" t="s">
        <v>6984</v>
      </c>
      <c r="IRC8" t="s">
        <v>6984</v>
      </c>
      <c r="IRD8" t="s">
        <v>6984</v>
      </c>
      <c r="IRE8" t="s">
        <v>6984</v>
      </c>
      <c r="IRF8" t="s">
        <v>6984</v>
      </c>
      <c r="IRG8" t="s">
        <v>6984</v>
      </c>
      <c r="IRH8" t="s">
        <v>6984</v>
      </c>
      <c r="IRI8" t="s">
        <v>6984</v>
      </c>
      <c r="IRJ8" t="s">
        <v>6984</v>
      </c>
      <c r="IRK8" t="s">
        <v>6984</v>
      </c>
      <c r="IRL8" t="s">
        <v>6984</v>
      </c>
      <c r="IRM8" t="s">
        <v>6984</v>
      </c>
      <c r="IRN8" t="s">
        <v>6984</v>
      </c>
      <c r="IRO8" t="s">
        <v>6984</v>
      </c>
      <c r="IRP8" t="s">
        <v>6984</v>
      </c>
      <c r="IRQ8" t="s">
        <v>6984</v>
      </c>
      <c r="IRR8" t="s">
        <v>6984</v>
      </c>
      <c r="IRS8" t="s">
        <v>6984</v>
      </c>
      <c r="IRT8" t="s">
        <v>6984</v>
      </c>
      <c r="IRU8" t="s">
        <v>6984</v>
      </c>
      <c r="IRV8" t="s">
        <v>6984</v>
      </c>
      <c r="IRW8" t="s">
        <v>6984</v>
      </c>
      <c r="IRX8" t="s">
        <v>6984</v>
      </c>
      <c r="IRY8" t="s">
        <v>6984</v>
      </c>
      <c r="IRZ8" t="s">
        <v>6984</v>
      </c>
      <c r="ISA8" t="s">
        <v>6984</v>
      </c>
      <c r="ISB8" t="s">
        <v>6984</v>
      </c>
      <c r="ISC8" t="s">
        <v>6984</v>
      </c>
      <c r="ISD8" t="s">
        <v>6984</v>
      </c>
      <c r="ISE8" t="s">
        <v>6984</v>
      </c>
      <c r="ISF8" t="s">
        <v>6984</v>
      </c>
      <c r="ISG8" t="s">
        <v>6984</v>
      </c>
      <c r="ISH8" t="s">
        <v>6984</v>
      </c>
      <c r="ISI8" t="s">
        <v>6984</v>
      </c>
      <c r="ISJ8" t="s">
        <v>6984</v>
      </c>
      <c r="ISK8" t="s">
        <v>6984</v>
      </c>
      <c r="ISL8" t="s">
        <v>6984</v>
      </c>
      <c r="ISM8" t="s">
        <v>6984</v>
      </c>
      <c r="ISN8" t="s">
        <v>6984</v>
      </c>
      <c r="ISO8" t="s">
        <v>6984</v>
      </c>
      <c r="ISP8" t="s">
        <v>6984</v>
      </c>
      <c r="ISQ8" t="s">
        <v>6984</v>
      </c>
      <c r="ISR8" t="s">
        <v>6984</v>
      </c>
      <c r="ISS8" t="s">
        <v>6984</v>
      </c>
      <c r="IST8" t="s">
        <v>6984</v>
      </c>
      <c r="ISU8" t="s">
        <v>6984</v>
      </c>
      <c r="ISV8" t="s">
        <v>6984</v>
      </c>
      <c r="ISW8" t="s">
        <v>6984</v>
      </c>
      <c r="ISX8" t="s">
        <v>6984</v>
      </c>
      <c r="ISY8" t="s">
        <v>6984</v>
      </c>
      <c r="ISZ8" t="s">
        <v>6984</v>
      </c>
      <c r="ITA8" t="s">
        <v>6984</v>
      </c>
      <c r="ITB8" t="s">
        <v>6984</v>
      </c>
      <c r="ITC8" t="s">
        <v>6984</v>
      </c>
      <c r="ITD8" t="s">
        <v>6984</v>
      </c>
      <c r="ITE8" t="s">
        <v>6984</v>
      </c>
      <c r="ITF8" t="s">
        <v>6984</v>
      </c>
      <c r="ITG8" t="s">
        <v>6984</v>
      </c>
      <c r="ITH8" t="s">
        <v>6984</v>
      </c>
      <c r="ITI8" t="s">
        <v>6984</v>
      </c>
      <c r="ITJ8" t="s">
        <v>6984</v>
      </c>
      <c r="ITK8" t="s">
        <v>6984</v>
      </c>
      <c r="ITL8" t="s">
        <v>6984</v>
      </c>
      <c r="ITM8" t="s">
        <v>6984</v>
      </c>
      <c r="ITN8" t="s">
        <v>6984</v>
      </c>
      <c r="ITO8" t="s">
        <v>6984</v>
      </c>
      <c r="ITP8" t="s">
        <v>6984</v>
      </c>
      <c r="ITQ8" t="s">
        <v>6984</v>
      </c>
      <c r="ITR8" t="s">
        <v>6984</v>
      </c>
      <c r="ITS8" t="s">
        <v>6984</v>
      </c>
      <c r="ITT8" t="s">
        <v>6984</v>
      </c>
      <c r="ITU8" t="s">
        <v>6984</v>
      </c>
      <c r="ITV8" t="s">
        <v>6984</v>
      </c>
      <c r="ITW8" t="s">
        <v>6984</v>
      </c>
      <c r="ITX8" t="s">
        <v>6984</v>
      </c>
      <c r="ITY8" t="s">
        <v>6984</v>
      </c>
      <c r="ITZ8" t="s">
        <v>6984</v>
      </c>
      <c r="IUA8" t="s">
        <v>6984</v>
      </c>
      <c r="IUB8" t="s">
        <v>6984</v>
      </c>
      <c r="IUC8" t="s">
        <v>6984</v>
      </c>
      <c r="IUD8" t="s">
        <v>6984</v>
      </c>
      <c r="IUE8" t="s">
        <v>6984</v>
      </c>
      <c r="IUF8" t="s">
        <v>6984</v>
      </c>
      <c r="IUG8" t="s">
        <v>6984</v>
      </c>
      <c r="IUH8" t="s">
        <v>6984</v>
      </c>
      <c r="IUI8" t="s">
        <v>6984</v>
      </c>
      <c r="IUJ8" t="s">
        <v>6984</v>
      </c>
      <c r="IUK8" t="s">
        <v>6984</v>
      </c>
      <c r="IUL8" t="s">
        <v>6984</v>
      </c>
      <c r="IUM8" t="s">
        <v>6984</v>
      </c>
      <c r="IUN8" t="s">
        <v>6984</v>
      </c>
      <c r="IUO8" t="s">
        <v>6984</v>
      </c>
      <c r="IUP8" t="s">
        <v>6984</v>
      </c>
      <c r="IUQ8" t="s">
        <v>6984</v>
      </c>
      <c r="IUR8" t="s">
        <v>6984</v>
      </c>
      <c r="IUS8" t="s">
        <v>6984</v>
      </c>
      <c r="IUT8" t="s">
        <v>6984</v>
      </c>
      <c r="IUU8" t="s">
        <v>6984</v>
      </c>
      <c r="IUV8" t="s">
        <v>6984</v>
      </c>
      <c r="IUW8" t="s">
        <v>6984</v>
      </c>
      <c r="IUX8" t="s">
        <v>6984</v>
      </c>
      <c r="IUY8" t="s">
        <v>6984</v>
      </c>
      <c r="IUZ8" t="s">
        <v>6984</v>
      </c>
      <c r="IVA8" t="s">
        <v>6984</v>
      </c>
      <c r="IVB8" t="s">
        <v>6984</v>
      </c>
      <c r="IVC8" t="s">
        <v>6984</v>
      </c>
      <c r="IVD8" t="s">
        <v>6984</v>
      </c>
      <c r="IVE8" t="s">
        <v>6984</v>
      </c>
      <c r="IVF8" t="s">
        <v>6984</v>
      </c>
      <c r="IVG8" t="s">
        <v>6984</v>
      </c>
      <c r="IVH8" t="s">
        <v>6984</v>
      </c>
      <c r="IVI8" t="s">
        <v>6984</v>
      </c>
      <c r="IVJ8" t="s">
        <v>6984</v>
      </c>
      <c r="IVK8" t="s">
        <v>6984</v>
      </c>
      <c r="IVL8" t="s">
        <v>6984</v>
      </c>
      <c r="IVM8" t="s">
        <v>6984</v>
      </c>
      <c r="IVN8" t="s">
        <v>6984</v>
      </c>
      <c r="IVO8" t="s">
        <v>6984</v>
      </c>
      <c r="IVP8" t="s">
        <v>6984</v>
      </c>
      <c r="IVQ8" t="s">
        <v>6984</v>
      </c>
      <c r="IVR8" t="s">
        <v>6984</v>
      </c>
      <c r="IVS8" t="s">
        <v>6984</v>
      </c>
      <c r="IVT8" t="s">
        <v>6984</v>
      </c>
      <c r="IVU8" t="s">
        <v>6984</v>
      </c>
      <c r="IVV8" t="s">
        <v>6984</v>
      </c>
      <c r="IVW8" t="s">
        <v>6984</v>
      </c>
      <c r="IVX8" t="s">
        <v>6984</v>
      </c>
      <c r="IVY8" t="s">
        <v>6984</v>
      </c>
      <c r="IVZ8" t="s">
        <v>6984</v>
      </c>
      <c r="IWA8" t="s">
        <v>6984</v>
      </c>
      <c r="IWB8" t="s">
        <v>6984</v>
      </c>
      <c r="IWC8" t="s">
        <v>6984</v>
      </c>
      <c r="IWD8" t="s">
        <v>6984</v>
      </c>
      <c r="IWE8" t="s">
        <v>6984</v>
      </c>
      <c r="IWF8" t="s">
        <v>6984</v>
      </c>
      <c r="IWG8" t="s">
        <v>6984</v>
      </c>
      <c r="IWH8" t="s">
        <v>6984</v>
      </c>
      <c r="IWI8" t="s">
        <v>6984</v>
      </c>
      <c r="IWJ8" t="s">
        <v>6984</v>
      </c>
      <c r="IWK8" t="s">
        <v>6984</v>
      </c>
      <c r="IWL8" t="s">
        <v>6984</v>
      </c>
      <c r="IWM8" t="s">
        <v>6984</v>
      </c>
      <c r="IWN8" t="s">
        <v>6984</v>
      </c>
      <c r="IWO8" t="s">
        <v>6984</v>
      </c>
      <c r="IWP8" t="s">
        <v>6984</v>
      </c>
      <c r="IWQ8" t="s">
        <v>6984</v>
      </c>
      <c r="IWR8" t="s">
        <v>6984</v>
      </c>
      <c r="IWS8" t="s">
        <v>6984</v>
      </c>
      <c r="IWT8" t="s">
        <v>6984</v>
      </c>
      <c r="IWU8" t="s">
        <v>6984</v>
      </c>
      <c r="IWV8" t="s">
        <v>6984</v>
      </c>
      <c r="IWW8" t="s">
        <v>6984</v>
      </c>
      <c r="IWX8" t="s">
        <v>6984</v>
      </c>
      <c r="IWY8" t="s">
        <v>6984</v>
      </c>
      <c r="IWZ8" t="s">
        <v>6984</v>
      </c>
      <c r="IXA8" t="s">
        <v>6984</v>
      </c>
      <c r="IXB8" t="s">
        <v>6984</v>
      </c>
      <c r="IXC8" t="s">
        <v>6984</v>
      </c>
      <c r="IXD8" t="s">
        <v>6984</v>
      </c>
      <c r="IXE8" t="s">
        <v>6984</v>
      </c>
      <c r="IXF8" t="s">
        <v>6984</v>
      </c>
      <c r="IXG8" t="s">
        <v>6984</v>
      </c>
      <c r="IXH8" t="s">
        <v>6984</v>
      </c>
      <c r="IXI8" t="s">
        <v>6984</v>
      </c>
      <c r="IXJ8" t="s">
        <v>6984</v>
      </c>
      <c r="IXK8" t="s">
        <v>6984</v>
      </c>
      <c r="IXL8" t="s">
        <v>6984</v>
      </c>
      <c r="IXM8" t="s">
        <v>6984</v>
      </c>
      <c r="IXN8" t="s">
        <v>6984</v>
      </c>
      <c r="IXO8" t="s">
        <v>6984</v>
      </c>
      <c r="IXP8" t="s">
        <v>6984</v>
      </c>
      <c r="IXQ8" t="s">
        <v>6984</v>
      </c>
      <c r="IXR8" t="s">
        <v>6984</v>
      </c>
      <c r="IXS8" t="s">
        <v>6984</v>
      </c>
      <c r="IXT8" t="s">
        <v>6984</v>
      </c>
      <c r="IXU8" t="s">
        <v>6984</v>
      </c>
      <c r="IXV8" t="s">
        <v>6984</v>
      </c>
      <c r="IXW8" t="s">
        <v>6984</v>
      </c>
      <c r="IXX8" t="s">
        <v>6984</v>
      </c>
      <c r="IXY8" t="s">
        <v>6984</v>
      </c>
      <c r="IXZ8" t="s">
        <v>6984</v>
      </c>
      <c r="IYA8" t="s">
        <v>6984</v>
      </c>
      <c r="IYB8" t="s">
        <v>6984</v>
      </c>
      <c r="IYC8" t="s">
        <v>6984</v>
      </c>
      <c r="IYD8" t="s">
        <v>6984</v>
      </c>
      <c r="IYE8" t="s">
        <v>6984</v>
      </c>
      <c r="IYF8" t="s">
        <v>6984</v>
      </c>
      <c r="IYG8" t="s">
        <v>6984</v>
      </c>
      <c r="IYH8" t="s">
        <v>6984</v>
      </c>
      <c r="IYI8" t="s">
        <v>6984</v>
      </c>
      <c r="IYJ8" t="s">
        <v>6984</v>
      </c>
      <c r="IYK8" t="s">
        <v>6984</v>
      </c>
      <c r="IYL8" t="s">
        <v>6984</v>
      </c>
      <c r="IYM8" t="s">
        <v>6984</v>
      </c>
      <c r="IYN8" t="s">
        <v>6984</v>
      </c>
      <c r="IYO8" t="s">
        <v>6984</v>
      </c>
      <c r="IYP8" t="s">
        <v>6984</v>
      </c>
      <c r="IYQ8" t="s">
        <v>6984</v>
      </c>
      <c r="IYR8" t="s">
        <v>6984</v>
      </c>
      <c r="IYS8" t="s">
        <v>6984</v>
      </c>
      <c r="IYT8" t="s">
        <v>6984</v>
      </c>
      <c r="IYU8" t="s">
        <v>6984</v>
      </c>
      <c r="IYV8" t="s">
        <v>6984</v>
      </c>
      <c r="IYW8" t="s">
        <v>6984</v>
      </c>
      <c r="IYX8" t="s">
        <v>6984</v>
      </c>
      <c r="IYY8" t="s">
        <v>6984</v>
      </c>
      <c r="IYZ8" t="s">
        <v>6984</v>
      </c>
      <c r="IZA8" t="s">
        <v>6984</v>
      </c>
      <c r="IZB8" t="s">
        <v>6984</v>
      </c>
      <c r="IZC8" t="s">
        <v>6984</v>
      </c>
      <c r="IZD8" t="s">
        <v>6984</v>
      </c>
      <c r="IZE8" t="s">
        <v>6984</v>
      </c>
      <c r="IZF8" t="s">
        <v>6984</v>
      </c>
      <c r="IZG8" t="s">
        <v>6984</v>
      </c>
      <c r="IZH8" t="s">
        <v>6984</v>
      </c>
      <c r="IZI8" t="s">
        <v>6984</v>
      </c>
      <c r="IZJ8" t="s">
        <v>6984</v>
      </c>
      <c r="IZK8" t="s">
        <v>6984</v>
      </c>
      <c r="IZL8" t="s">
        <v>6984</v>
      </c>
      <c r="IZM8" t="s">
        <v>6984</v>
      </c>
      <c r="IZN8" t="s">
        <v>6984</v>
      </c>
      <c r="IZO8" t="s">
        <v>6984</v>
      </c>
      <c r="IZP8" t="s">
        <v>6984</v>
      </c>
      <c r="IZQ8" t="s">
        <v>6984</v>
      </c>
      <c r="IZR8" t="s">
        <v>6984</v>
      </c>
      <c r="IZS8" t="s">
        <v>6984</v>
      </c>
      <c r="IZT8" t="s">
        <v>6984</v>
      </c>
      <c r="IZU8" t="s">
        <v>6984</v>
      </c>
      <c r="IZV8" t="s">
        <v>6984</v>
      </c>
      <c r="IZW8" t="s">
        <v>6984</v>
      </c>
      <c r="IZX8" t="s">
        <v>6984</v>
      </c>
      <c r="IZY8" t="s">
        <v>6984</v>
      </c>
      <c r="IZZ8" t="s">
        <v>6984</v>
      </c>
      <c r="JAA8" t="s">
        <v>6984</v>
      </c>
      <c r="JAB8" t="s">
        <v>6984</v>
      </c>
      <c r="JAC8" t="s">
        <v>6984</v>
      </c>
      <c r="JAD8" t="s">
        <v>6984</v>
      </c>
      <c r="JAE8" t="s">
        <v>6984</v>
      </c>
      <c r="JAF8" t="s">
        <v>6984</v>
      </c>
      <c r="JAG8" t="s">
        <v>6984</v>
      </c>
      <c r="JAH8" t="s">
        <v>6984</v>
      </c>
      <c r="JAI8" t="s">
        <v>6984</v>
      </c>
      <c r="JAJ8" t="s">
        <v>6984</v>
      </c>
      <c r="JAK8" t="s">
        <v>6984</v>
      </c>
      <c r="JAL8" t="s">
        <v>6984</v>
      </c>
      <c r="JAM8" t="s">
        <v>6984</v>
      </c>
      <c r="JAN8" t="s">
        <v>6984</v>
      </c>
      <c r="JAO8" t="s">
        <v>6984</v>
      </c>
      <c r="JAP8" t="s">
        <v>6984</v>
      </c>
      <c r="JAQ8" t="s">
        <v>6984</v>
      </c>
      <c r="JAR8" t="s">
        <v>6984</v>
      </c>
      <c r="JAS8" t="s">
        <v>6984</v>
      </c>
      <c r="JAT8" t="s">
        <v>6984</v>
      </c>
      <c r="JAU8" t="s">
        <v>6984</v>
      </c>
      <c r="JAV8" t="s">
        <v>6984</v>
      </c>
      <c r="JAW8" t="s">
        <v>6984</v>
      </c>
      <c r="JAX8" t="s">
        <v>6984</v>
      </c>
      <c r="JAY8" t="s">
        <v>6984</v>
      </c>
      <c r="JAZ8" t="s">
        <v>6984</v>
      </c>
      <c r="JBA8" t="s">
        <v>6984</v>
      </c>
      <c r="JBB8" t="s">
        <v>6984</v>
      </c>
      <c r="JBC8" t="s">
        <v>6984</v>
      </c>
      <c r="JBD8" t="s">
        <v>6984</v>
      </c>
      <c r="JBE8" t="s">
        <v>6984</v>
      </c>
      <c r="JBF8" t="s">
        <v>6984</v>
      </c>
      <c r="JBG8" t="s">
        <v>6984</v>
      </c>
      <c r="JBH8" t="s">
        <v>6984</v>
      </c>
      <c r="JBI8" t="s">
        <v>6984</v>
      </c>
      <c r="JBJ8" t="s">
        <v>6984</v>
      </c>
      <c r="JBK8" t="s">
        <v>6984</v>
      </c>
      <c r="JBL8" t="s">
        <v>6984</v>
      </c>
      <c r="JBM8" t="s">
        <v>6984</v>
      </c>
      <c r="JBN8" t="s">
        <v>6984</v>
      </c>
      <c r="JBO8" t="s">
        <v>6984</v>
      </c>
      <c r="JBP8" t="s">
        <v>6984</v>
      </c>
      <c r="JBQ8" t="s">
        <v>6984</v>
      </c>
      <c r="JBR8" t="s">
        <v>6984</v>
      </c>
      <c r="JBS8" t="s">
        <v>6984</v>
      </c>
      <c r="JBT8" t="s">
        <v>6984</v>
      </c>
      <c r="JBU8" t="s">
        <v>6984</v>
      </c>
      <c r="JBV8" t="s">
        <v>6984</v>
      </c>
      <c r="JBW8" t="s">
        <v>6984</v>
      </c>
      <c r="JBX8" t="s">
        <v>6984</v>
      </c>
      <c r="JBY8" t="s">
        <v>6984</v>
      </c>
      <c r="JBZ8" t="s">
        <v>6984</v>
      </c>
      <c r="JCA8" t="s">
        <v>6984</v>
      </c>
      <c r="JCB8" t="s">
        <v>6984</v>
      </c>
      <c r="JCC8" t="s">
        <v>6984</v>
      </c>
      <c r="JCD8" t="s">
        <v>6984</v>
      </c>
      <c r="JCE8" t="s">
        <v>6984</v>
      </c>
      <c r="JCF8" t="s">
        <v>6984</v>
      </c>
      <c r="JCG8" t="s">
        <v>6984</v>
      </c>
      <c r="JCH8" t="s">
        <v>6984</v>
      </c>
      <c r="JCI8" t="s">
        <v>6984</v>
      </c>
      <c r="JCJ8" t="s">
        <v>6984</v>
      </c>
      <c r="JCK8" t="s">
        <v>6984</v>
      </c>
      <c r="JCL8" t="s">
        <v>6984</v>
      </c>
      <c r="JCM8" t="s">
        <v>6984</v>
      </c>
      <c r="JCN8" t="s">
        <v>6984</v>
      </c>
      <c r="JCO8" t="s">
        <v>6984</v>
      </c>
      <c r="JCP8" t="s">
        <v>6984</v>
      </c>
      <c r="JCQ8" t="s">
        <v>6984</v>
      </c>
      <c r="JCR8" t="s">
        <v>6984</v>
      </c>
      <c r="JCS8" t="s">
        <v>6984</v>
      </c>
      <c r="JCT8" t="s">
        <v>6984</v>
      </c>
      <c r="JCU8" t="s">
        <v>6984</v>
      </c>
      <c r="JCV8" t="s">
        <v>6984</v>
      </c>
      <c r="JCW8" t="s">
        <v>6984</v>
      </c>
      <c r="JCX8" t="s">
        <v>6984</v>
      </c>
      <c r="JCY8" t="s">
        <v>6984</v>
      </c>
      <c r="JCZ8" t="s">
        <v>6984</v>
      </c>
      <c r="JDA8" t="s">
        <v>6984</v>
      </c>
      <c r="JDB8" t="s">
        <v>6984</v>
      </c>
      <c r="JDC8" t="s">
        <v>6984</v>
      </c>
      <c r="JDD8" t="s">
        <v>6984</v>
      </c>
      <c r="JDE8" t="s">
        <v>6984</v>
      </c>
      <c r="JDF8" t="s">
        <v>6984</v>
      </c>
      <c r="JDG8" t="s">
        <v>6984</v>
      </c>
      <c r="JDH8" t="s">
        <v>6984</v>
      </c>
      <c r="JDI8" t="s">
        <v>6984</v>
      </c>
      <c r="JDJ8" t="s">
        <v>6984</v>
      </c>
      <c r="JDK8" t="s">
        <v>6984</v>
      </c>
      <c r="JDL8" t="s">
        <v>6984</v>
      </c>
      <c r="JDM8" t="s">
        <v>6984</v>
      </c>
      <c r="JDN8" t="s">
        <v>6984</v>
      </c>
      <c r="JDO8" t="s">
        <v>6984</v>
      </c>
      <c r="JDP8" t="s">
        <v>6984</v>
      </c>
      <c r="JDQ8" t="s">
        <v>6984</v>
      </c>
      <c r="JDR8" t="s">
        <v>6984</v>
      </c>
      <c r="JDS8" t="s">
        <v>6984</v>
      </c>
      <c r="JDT8" t="s">
        <v>6984</v>
      </c>
      <c r="JDU8" t="s">
        <v>6984</v>
      </c>
      <c r="JDV8" t="s">
        <v>6984</v>
      </c>
      <c r="JDW8" t="s">
        <v>6984</v>
      </c>
      <c r="JDX8" t="s">
        <v>6984</v>
      </c>
      <c r="JDY8" t="s">
        <v>6984</v>
      </c>
      <c r="JDZ8" t="s">
        <v>6984</v>
      </c>
      <c r="JEA8" t="s">
        <v>6984</v>
      </c>
      <c r="JEB8" t="s">
        <v>6984</v>
      </c>
      <c r="JEC8" t="s">
        <v>6984</v>
      </c>
      <c r="JED8" t="s">
        <v>6984</v>
      </c>
      <c r="JEE8" t="s">
        <v>6984</v>
      </c>
      <c r="JEF8" t="s">
        <v>6984</v>
      </c>
      <c r="JEG8" t="s">
        <v>6984</v>
      </c>
      <c r="JEH8" t="s">
        <v>6984</v>
      </c>
      <c r="JEI8" t="s">
        <v>6984</v>
      </c>
      <c r="JEJ8" t="s">
        <v>6984</v>
      </c>
      <c r="JEK8" t="s">
        <v>6984</v>
      </c>
      <c r="JEL8" t="s">
        <v>6984</v>
      </c>
      <c r="JEM8" t="s">
        <v>6984</v>
      </c>
      <c r="JEN8" t="s">
        <v>6984</v>
      </c>
      <c r="JEO8" t="s">
        <v>6984</v>
      </c>
      <c r="JEP8" t="s">
        <v>6984</v>
      </c>
      <c r="JEQ8" t="s">
        <v>6984</v>
      </c>
      <c r="JER8" t="s">
        <v>6984</v>
      </c>
      <c r="JES8" t="s">
        <v>6984</v>
      </c>
      <c r="JET8" t="s">
        <v>6984</v>
      </c>
      <c r="JEU8" t="s">
        <v>6984</v>
      </c>
      <c r="JEV8" t="s">
        <v>6984</v>
      </c>
      <c r="JEW8" t="s">
        <v>6984</v>
      </c>
      <c r="JEX8" t="s">
        <v>6984</v>
      </c>
      <c r="JEY8" t="s">
        <v>6984</v>
      </c>
      <c r="JEZ8" t="s">
        <v>6984</v>
      </c>
      <c r="JFA8" t="s">
        <v>6984</v>
      </c>
      <c r="JFB8" t="s">
        <v>6984</v>
      </c>
      <c r="JFC8" t="s">
        <v>6984</v>
      </c>
      <c r="JFD8" t="s">
        <v>6984</v>
      </c>
      <c r="JFE8" t="s">
        <v>6984</v>
      </c>
      <c r="JFF8" t="s">
        <v>6984</v>
      </c>
      <c r="JFG8" t="s">
        <v>6984</v>
      </c>
      <c r="JFH8" t="s">
        <v>6984</v>
      </c>
      <c r="JFI8" t="s">
        <v>6984</v>
      </c>
      <c r="JFJ8" t="s">
        <v>6984</v>
      </c>
      <c r="JFK8" t="s">
        <v>6984</v>
      </c>
      <c r="JFL8" t="s">
        <v>6984</v>
      </c>
      <c r="JFM8" t="s">
        <v>6984</v>
      </c>
      <c r="JFN8" t="s">
        <v>6984</v>
      </c>
      <c r="JFO8" t="s">
        <v>6984</v>
      </c>
      <c r="JFP8" t="s">
        <v>6984</v>
      </c>
      <c r="JFQ8" t="s">
        <v>6984</v>
      </c>
      <c r="JFR8" t="s">
        <v>6984</v>
      </c>
      <c r="JFS8" t="s">
        <v>6984</v>
      </c>
      <c r="JFT8" t="s">
        <v>6984</v>
      </c>
      <c r="JFU8" t="s">
        <v>6984</v>
      </c>
      <c r="JFV8" t="s">
        <v>6984</v>
      </c>
      <c r="JFW8" t="s">
        <v>6984</v>
      </c>
      <c r="JFX8" t="s">
        <v>6984</v>
      </c>
      <c r="JFY8" t="s">
        <v>6984</v>
      </c>
      <c r="JFZ8" t="s">
        <v>6984</v>
      </c>
      <c r="JGA8" t="s">
        <v>6984</v>
      </c>
      <c r="JGB8" t="s">
        <v>6984</v>
      </c>
      <c r="JGC8" t="s">
        <v>6984</v>
      </c>
      <c r="JGD8" t="s">
        <v>6984</v>
      </c>
      <c r="JGE8" t="s">
        <v>6984</v>
      </c>
      <c r="JGF8" t="s">
        <v>6984</v>
      </c>
      <c r="JGG8" t="s">
        <v>6984</v>
      </c>
      <c r="JGH8" t="s">
        <v>6984</v>
      </c>
      <c r="JGI8" t="s">
        <v>6984</v>
      </c>
      <c r="JGJ8" t="s">
        <v>6984</v>
      </c>
      <c r="JGK8" t="s">
        <v>6984</v>
      </c>
      <c r="JGL8" t="s">
        <v>6984</v>
      </c>
      <c r="JGM8" t="s">
        <v>6984</v>
      </c>
      <c r="JGN8" t="s">
        <v>6984</v>
      </c>
      <c r="JGO8" t="s">
        <v>6984</v>
      </c>
      <c r="JGP8" t="s">
        <v>6984</v>
      </c>
      <c r="JGQ8" t="s">
        <v>6984</v>
      </c>
      <c r="JGR8" t="s">
        <v>6984</v>
      </c>
      <c r="JGS8" t="s">
        <v>6984</v>
      </c>
      <c r="JGT8" t="s">
        <v>6984</v>
      </c>
      <c r="JGU8" t="s">
        <v>6984</v>
      </c>
      <c r="JGV8" t="s">
        <v>6984</v>
      </c>
      <c r="JGW8" t="s">
        <v>6984</v>
      </c>
      <c r="JGX8" t="s">
        <v>6984</v>
      </c>
      <c r="JGY8" t="s">
        <v>6984</v>
      </c>
      <c r="JGZ8" t="s">
        <v>6984</v>
      </c>
      <c r="JHA8" t="s">
        <v>6984</v>
      </c>
      <c r="JHB8" t="s">
        <v>6984</v>
      </c>
      <c r="JHC8" t="s">
        <v>6984</v>
      </c>
      <c r="JHD8" t="s">
        <v>6984</v>
      </c>
      <c r="JHE8" t="s">
        <v>6984</v>
      </c>
      <c r="JHF8" t="s">
        <v>6984</v>
      </c>
      <c r="JHG8" t="s">
        <v>6984</v>
      </c>
      <c r="JHH8" t="s">
        <v>6984</v>
      </c>
      <c r="JHI8" t="s">
        <v>6984</v>
      </c>
      <c r="JHJ8" t="s">
        <v>6984</v>
      </c>
      <c r="JHK8" t="s">
        <v>6984</v>
      </c>
      <c r="JHL8" t="s">
        <v>6984</v>
      </c>
      <c r="JHM8" t="s">
        <v>6984</v>
      </c>
      <c r="JHN8" t="s">
        <v>6984</v>
      </c>
      <c r="JHO8" t="s">
        <v>6984</v>
      </c>
      <c r="JHP8" t="s">
        <v>6984</v>
      </c>
      <c r="JHQ8" t="s">
        <v>6984</v>
      </c>
      <c r="JHR8" t="s">
        <v>6984</v>
      </c>
      <c r="JHS8" t="s">
        <v>6984</v>
      </c>
      <c r="JHT8" t="s">
        <v>6984</v>
      </c>
      <c r="JHU8" t="s">
        <v>6984</v>
      </c>
      <c r="JHV8" t="s">
        <v>6984</v>
      </c>
      <c r="JHW8" t="s">
        <v>6984</v>
      </c>
      <c r="JHX8" t="s">
        <v>6984</v>
      </c>
      <c r="JHY8" t="s">
        <v>6984</v>
      </c>
      <c r="JHZ8" t="s">
        <v>6984</v>
      </c>
      <c r="JIA8" t="s">
        <v>6984</v>
      </c>
      <c r="JIB8" t="s">
        <v>6984</v>
      </c>
      <c r="JIC8" t="s">
        <v>6984</v>
      </c>
      <c r="JID8" t="s">
        <v>6984</v>
      </c>
      <c r="JIE8" t="s">
        <v>6984</v>
      </c>
      <c r="JIF8" t="s">
        <v>6984</v>
      </c>
      <c r="JIG8" t="s">
        <v>6984</v>
      </c>
      <c r="JIH8" t="s">
        <v>6984</v>
      </c>
      <c r="JII8" t="s">
        <v>6984</v>
      </c>
      <c r="JIJ8" t="s">
        <v>6984</v>
      </c>
      <c r="JIK8" t="s">
        <v>6984</v>
      </c>
      <c r="JIL8" t="s">
        <v>6984</v>
      </c>
      <c r="JIM8" t="s">
        <v>6984</v>
      </c>
      <c r="JIN8" t="s">
        <v>6984</v>
      </c>
      <c r="JIO8" t="s">
        <v>6984</v>
      </c>
      <c r="JIP8" t="s">
        <v>6984</v>
      </c>
      <c r="JIQ8" t="s">
        <v>6984</v>
      </c>
      <c r="JIR8" t="s">
        <v>6984</v>
      </c>
      <c r="JIS8" t="s">
        <v>6984</v>
      </c>
      <c r="JIT8" t="s">
        <v>6984</v>
      </c>
      <c r="JIU8" t="s">
        <v>6984</v>
      </c>
      <c r="JIV8" t="s">
        <v>6984</v>
      </c>
      <c r="JIW8" t="s">
        <v>6984</v>
      </c>
      <c r="JIX8" t="s">
        <v>6984</v>
      </c>
      <c r="JIY8" t="s">
        <v>6984</v>
      </c>
      <c r="JIZ8" t="s">
        <v>6984</v>
      </c>
      <c r="JJA8" t="s">
        <v>6984</v>
      </c>
    </row>
    <row r="9" spans="1:7021" x14ac:dyDescent="0.25">
      <c r="A9" t="s">
        <v>6990</v>
      </c>
      <c r="B9">
        <v>96.72</v>
      </c>
      <c r="C9">
        <v>96.72</v>
      </c>
      <c r="D9">
        <v>96.72</v>
      </c>
      <c r="E9">
        <v>96.66</v>
      </c>
      <c r="F9">
        <v>96.635000000000005</v>
      </c>
      <c r="G9">
        <v>96.64</v>
      </c>
      <c r="H9">
        <v>96.694999999999993</v>
      </c>
      <c r="I9">
        <v>96.64</v>
      </c>
      <c r="J9">
        <v>96.564999999999998</v>
      </c>
      <c r="K9">
        <v>96.58</v>
      </c>
      <c r="L9">
        <v>96.525000000000006</v>
      </c>
      <c r="M9">
        <v>96.674999999999997</v>
      </c>
      <c r="N9">
        <v>96.73</v>
      </c>
      <c r="O9">
        <v>96.635000000000005</v>
      </c>
      <c r="P9">
        <v>96.67</v>
      </c>
      <c r="Q9">
        <v>96.71</v>
      </c>
      <c r="R9">
        <v>96.69</v>
      </c>
      <c r="S9">
        <v>96.63</v>
      </c>
      <c r="T9">
        <v>96.685000000000002</v>
      </c>
      <c r="U9">
        <v>96.644999999999996</v>
      </c>
      <c r="V9">
        <v>96.644999999999996</v>
      </c>
      <c r="W9">
        <v>96.605000000000004</v>
      </c>
      <c r="X9">
        <v>96.584999999999994</v>
      </c>
      <c r="Y9">
        <v>96.64</v>
      </c>
      <c r="Z9">
        <v>96.614999999999995</v>
      </c>
      <c r="AA9">
        <v>96.6</v>
      </c>
      <c r="AB9">
        <v>96.61</v>
      </c>
      <c r="AC9">
        <v>96.5</v>
      </c>
      <c r="AD9">
        <v>96.55</v>
      </c>
      <c r="AE9">
        <v>96.564999999999998</v>
      </c>
      <c r="AF9">
        <v>96.74</v>
      </c>
      <c r="AG9">
        <v>96.724999999999994</v>
      </c>
      <c r="AH9">
        <v>96.885000000000005</v>
      </c>
      <c r="AI9">
        <v>96.875</v>
      </c>
      <c r="AJ9">
        <v>96.81</v>
      </c>
      <c r="AK9">
        <v>96.795000000000002</v>
      </c>
      <c r="AL9">
        <v>96.954999999999998</v>
      </c>
      <c r="AM9">
        <v>97.06</v>
      </c>
      <c r="AN9">
        <v>97.025000000000006</v>
      </c>
      <c r="AO9">
        <v>96.984999999999999</v>
      </c>
      <c r="AP9">
        <v>96.875</v>
      </c>
      <c r="AQ9">
        <v>96.84</v>
      </c>
      <c r="AR9">
        <v>96.75</v>
      </c>
      <c r="AS9">
        <v>96.844999999999999</v>
      </c>
      <c r="AT9">
        <v>96.924999999999997</v>
      </c>
      <c r="AU9">
        <v>96.844999999999999</v>
      </c>
      <c r="AV9">
        <v>96.844999999999999</v>
      </c>
      <c r="AW9">
        <v>96.834999999999994</v>
      </c>
      <c r="AX9">
        <v>96.765000000000001</v>
      </c>
      <c r="AY9">
        <v>96.745000000000005</v>
      </c>
      <c r="AZ9">
        <v>96.6</v>
      </c>
      <c r="BA9">
        <v>96.724999999999994</v>
      </c>
      <c r="BB9">
        <v>96.594999999999999</v>
      </c>
      <c r="BC9">
        <v>96.89</v>
      </c>
      <c r="BD9">
        <v>96.86</v>
      </c>
      <c r="BE9">
        <v>96.935000000000002</v>
      </c>
      <c r="BF9">
        <v>96.864999999999995</v>
      </c>
      <c r="BG9">
        <v>96.605000000000004</v>
      </c>
      <c r="BH9">
        <v>96.635000000000005</v>
      </c>
      <c r="BI9">
        <v>96.575000000000003</v>
      </c>
      <c r="BJ9">
        <v>96.584999999999994</v>
      </c>
      <c r="BK9">
        <v>96.47</v>
      </c>
      <c r="BL9">
        <v>96.454999999999998</v>
      </c>
      <c r="BM9">
        <v>96.484999999999999</v>
      </c>
      <c r="BN9">
        <v>96.44</v>
      </c>
      <c r="BO9">
        <v>96.54</v>
      </c>
      <c r="BP9">
        <v>96.52</v>
      </c>
      <c r="BQ9">
        <v>96.495000000000005</v>
      </c>
      <c r="BR9">
        <v>96.394999999999996</v>
      </c>
      <c r="BS9">
        <v>96.375</v>
      </c>
      <c r="BT9">
        <v>96.405000000000001</v>
      </c>
      <c r="BU9">
        <v>96.49</v>
      </c>
      <c r="BV9">
        <v>96.44</v>
      </c>
      <c r="BW9">
        <v>96.51</v>
      </c>
      <c r="BX9">
        <v>96.57</v>
      </c>
      <c r="BY9">
        <v>96.43</v>
      </c>
      <c r="BZ9">
        <v>96.46</v>
      </c>
      <c r="CA9">
        <v>96.444999999999993</v>
      </c>
      <c r="CB9">
        <v>96.484999999999999</v>
      </c>
      <c r="CC9">
        <v>96.45</v>
      </c>
      <c r="CD9">
        <v>96.435000000000002</v>
      </c>
      <c r="CE9">
        <v>96.334999999999994</v>
      </c>
      <c r="CF9">
        <v>96.355000000000004</v>
      </c>
      <c r="CG9">
        <v>96.314999999999998</v>
      </c>
      <c r="CH9">
        <v>96.21</v>
      </c>
      <c r="CI9">
        <v>96.165000000000006</v>
      </c>
      <c r="CJ9">
        <v>96.06</v>
      </c>
      <c r="CK9">
        <v>96.045000000000002</v>
      </c>
      <c r="CL9">
        <v>96.025000000000006</v>
      </c>
      <c r="CM9">
        <v>96.08</v>
      </c>
      <c r="CN9">
        <v>96.08</v>
      </c>
      <c r="CO9">
        <v>96.004999999999995</v>
      </c>
      <c r="CP9">
        <v>95.92</v>
      </c>
      <c r="CQ9">
        <v>96.034999999999997</v>
      </c>
      <c r="CR9">
        <v>96.07</v>
      </c>
      <c r="CS9">
        <v>96.055000000000007</v>
      </c>
      <c r="CT9">
        <v>96.14</v>
      </c>
      <c r="CU9">
        <v>96.174999999999997</v>
      </c>
      <c r="CV9">
        <v>96.12</v>
      </c>
      <c r="CW9">
        <v>96.06</v>
      </c>
      <c r="CX9">
        <v>96.08</v>
      </c>
      <c r="CY9">
        <v>96.13</v>
      </c>
      <c r="CZ9">
        <v>96.094999999999999</v>
      </c>
      <c r="DA9">
        <v>96.12</v>
      </c>
      <c r="DB9">
        <v>96.14</v>
      </c>
      <c r="DC9">
        <v>96.03</v>
      </c>
      <c r="DD9">
        <v>96.015000000000001</v>
      </c>
      <c r="DE9">
        <v>95.995000000000005</v>
      </c>
      <c r="DF9">
        <v>96.004999999999995</v>
      </c>
      <c r="DG9">
        <v>96.004999999999995</v>
      </c>
      <c r="DH9">
        <v>96.004999999999995</v>
      </c>
      <c r="DI9">
        <v>96.05</v>
      </c>
      <c r="DJ9">
        <v>96.01</v>
      </c>
      <c r="DK9">
        <v>95.87</v>
      </c>
      <c r="DL9">
        <v>95.834999999999994</v>
      </c>
      <c r="DM9">
        <v>95.85</v>
      </c>
      <c r="DN9">
        <v>96.04</v>
      </c>
      <c r="DO9">
        <v>95.995000000000005</v>
      </c>
      <c r="DP9">
        <v>95.974999999999994</v>
      </c>
      <c r="DQ9">
        <v>96.004999999999995</v>
      </c>
      <c r="DR9">
        <v>96.02</v>
      </c>
      <c r="DS9">
        <v>96.064999999999998</v>
      </c>
      <c r="DT9">
        <v>96.06</v>
      </c>
      <c r="DU9">
        <v>96.06</v>
      </c>
      <c r="DV9">
        <v>96.064999999999998</v>
      </c>
      <c r="DW9">
        <v>95.974999999999994</v>
      </c>
      <c r="DX9">
        <v>95.984999999999999</v>
      </c>
      <c r="DY9">
        <v>95.984999999999999</v>
      </c>
      <c r="DZ9">
        <v>95.984999999999999</v>
      </c>
      <c r="EA9">
        <v>95.97</v>
      </c>
      <c r="EB9">
        <v>96.025000000000006</v>
      </c>
      <c r="EC9">
        <v>95.995000000000005</v>
      </c>
      <c r="ED9">
        <v>95.995000000000005</v>
      </c>
      <c r="EE9">
        <v>96.13</v>
      </c>
      <c r="EF9">
        <v>96.125</v>
      </c>
      <c r="EG9">
        <v>96.144999999999996</v>
      </c>
      <c r="EH9">
        <v>96.204999999999998</v>
      </c>
      <c r="EI9">
        <v>96.25</v>
      </c>
      <c r="EJ9">
        <v>96.275000000000006</v>
      </c>
      <c r="EK9">
        <v>96.31</v>
      </c>
      <c r="EL9">
        <v>96.344999999999999</v>
      </c>
      <c r="EM9">
        <v>96.295000000000002</v>
      </c>
      <c r="EN9">
        <v>96.33</v>
      </c>
      <c r="EO9">
        <v>96.27</v>
      </c>
      <c r="EP9">
        <v>96.254999999999995</v>
      </c>
      <c r="EQ9">
        <v>96.284999999999997</v>
      </c>
      <c r="ER9">
        <v>96.245000000000005</v>
      </c>
      <c r="ES9">
        <v>96.245000000000005</v>
      </c>
      <c r="ET9">
        <v>96.174999999999997</v>
      </c>
      <c r="EU9">
        <v>96.2</v>
      </c>
      <c r="EV9">
        <v>96.09</v>
      </c>
      <c r="EW9">
        <v>96.1</v>
      </c>
      <c r="EX9">
        <v>96.144999999999996</v>
      </c>
      <c r="EY9">
        <v>96.194999999999993</v>
      </c>
      <c r="EZ9">
        <v>96.165000000000006</v>
      </c>
      <c r="FA9">
        <v>96.144999999999996</v>
      </c>
      <c r="FB9">
        <v>96.155000000000001</v>
      </c>
      <c r="FC9">
        <v>96.155000000000001</v>
      </c>
      <c r="FD9">
        <v>96.11</v>
      </c>
      <c r="FE9">
        <v>96.144999999999996</v>
      </c>
      <c r="FF9">
        <v>96.22</v>
      </c>
      <c r="FG9">
        <v>96.25</v>
      </c>
      <c r="FH9">
        <v>96.194999999999993</v>
      </c>
      <c r="FI9">
        <v>96.3</v>
      </c>
      <c r="FJ9">
        <v>96.34</v>
      </c>
      <c r="FK9">
        <v>96.325000000000003</v>
      </c>
      <c r="FL9">
        <v>96.364999999999995</v>
      </c>
      <c r="FM9">
        <v>96.385000000000005</v>
      </c>
      <c r="FN9">
        <v>96.444999999999993</v>
      </c>
      <c r="FO9">
        <v>96.42</v>
      </c>
      <c r="FP9">
        <v>96.47</v>
      </c>
      <c r="FQ9">
        <v>96.515000000000001</v>
      </c>
      <c r="FR9">
        <v>96.48</v>
      </c>
      <c r="FS9">
        <v>96.545000000000002</v>
      </c>
      <c r="FT9">
        <v>96.575000000000003</v>
      </c>
      <c r="FU9">
        <v>96.67</v>
      </c>
      <c r="FV9">
        <v>96.64</v>
      </c>
      <c r="FW9">
        <v>96.7</v>
      </c>
      <c r="FX9">
        <v>96.674999999999997</v>
      </c>
      <c r="FY9">
        <v>96.62</v>
      </c>
      <c r="FZ9">
        <v>96.68</v>
      </c>
      <c r="GA9">
        <v>96.61</v>
      </c>
      <c r="GB9">
        <v>96.6</v>
      </c>
      <c r="GC9">
        <v>96.644999999999996</v>
      </c>
      <c r="GD9">
        <v>96.625</v>
      </c>
      <c r="GE9">
        <v>96.715000000000003</v>
      </c>
      <c r="GF9">
        <v>96.96</v>
      </c>
      <c r="GG9">
        <v>97.04</v>
      </c>
      <c r="GH9">
        <v>97.08</v>
      </c>
      <c r="GI9">
        <v>97.025000000000006</v>
      </c>
      <c r="GJ9">
        <v>97.1</v>
      </c>
      <c r="GK9">
        <v>97.04</v>
      </c>
      <c r="GL9">
        <v>97.1</v>
      </c>
      <c r="GM9">
        <v>97.14</v>
      </c>
      <c r="GN9">
        <v>97.1</v>
      </c>
      <c r="GO9">
        <v>97.105000000000004</v>
      </c>
      <c r="GP9">
        <v>97.09</v>
      </c>
      <c r="GQ9">
        <v>97.094999999999999</v>
      </c>
      <c r="GR9">
        <v>97.13</v>
      </c>
      <c r="GS9">
        <v>97.18</v>
      </c>
      <c r="GT9">
        <v>97.18</v>
      </c>
      <c r="GU9">
        <v>97.144999999999996</v>
      </c>
      <c r="GV9">
        <v>97.17</v>
      </c>
      <c r="GW9">
        <v>97.2</v>
      </c>
      <c r="GX9">
        <v>97.13</v>
      </c>
      <c r="GY9">
        <v>97.15</v>
      </c>
      <c r="GZ9">
        <v>97.02</v>
      </c>
      <c r="HA9">
        <v>97</v>
      </c>
      <c r="HB9">
        <v>96.875</v>
      </c>
      <c r="HC9">
        <v>96.825000000000003</v>
      </c>
      <c r="HD9">
        <v>96.825000000000003</v>
      </c>
      <c r="HE9">
        <v>96.87</v>
      </c>
      <c r="HF9">
        <v>96.89</v>
      </c>
      <c r="HG9">
        <v>96.894999999999996</v>
      </c>
      <c r="HH9">
        <v>96.875</v>
      </c>
      <c r="HI9">
        <v>96.88</v>
      </c>
      <c r="HJ9">
        <v>96.78</v>
      </c>
      <c r="HK9">
        <v>96.88</v>
      </c>
      <c r="HL9">
        <v>96.795000000000002</v>
      </c>
      <c r="HM9">
        <v>96.72</v>
      </c>
      <c r="HN9">
        <v>96.715000000000003</v>
      </c>
      <c r="HO9">
        <v>96.685000000000002</v>
      </c>
      <c r="HP9">
        <v>96.875</v>
      </c>
      <c r="HQ9">
        <v>96.875</v>
      </c>
      <c r="HR9">
        <v>96.795000000000002</v>
      </c>
      <c r="HS9">
        <v>96.73</v>
      </c>
      <c r="HT9">
        <v>96.73</v>
      </c>
      <c r="HU9">
        <v>96.775000000000006</v>
      </c>
      <c r="HV9">
        <v>96.82</v>
      </c>
      <c r="HW9">
        <v>96.894999999999996</v>
      </c>
      <c r="HX9">
        <v>96.935000000000002</v>
      </c>
      <c r="HY9">
        <v>96.65</v>
      </c>
      <c r="HZ9">
        <v>96.44</v>
      </c>
      <c r="IA9">
        <v>96.415000000000006</v>
      </c>
      <c r="IB9">
        <v>96.375</v>
      </c>
      <c r="IC9">
        <v>96.364999999999995</v>
      </c>
      <c r="ID9">
        <v>96.314999999999998</v>
      </c>
      <c r="IE9">
        <v>96.344999999999999</v>
      </c>
      <c r="IF9">
        <v>96.314999999999998</v>
      </c>
      <c r="IG9">
        <v>96.27</v>
      </c>
      <c r="IH9">
        <v>96.29</v>
      </c>
      <c r="II9">
        <v>96.36</v>
      </c>
      <c r="IJ9">
        <v>96.4</v>
      </c>
      <c r="IK9">
        <v>96.37</v>
      </c>
      <c r="IL9">
        <v>96.364999999999995</v>
      </c>
      <c r="IM9">
        <v>96.364999999999995</v>
      </c>
      <c r="IN9">
        <v>96.325000000000003</v>
      </c>
      <c r="IO9">
        <v>96.165000000000006</v>
      </c>
      <c r="IP9">
        <v>96.155000000000001</v>
      </c>
      <c r="IQ9">
        <v>96.165000000000006</v>
      </c>
      <c r="IR9">
        <v>96.18</v>
      </c>
      <c r="IS9">
        <v>96.05</v>
      </c>
      <c r="IT9">
        <v>96.05</v>
      </c>
      <c r="IU9">
        <v>95.974999999999994</v>
      </c>
      <c r="IV9">
        <v>95.924999999999997</v>
      </c>
      <c r="IW9">
        <v>96.03</v>
      </c>
      <c r="IX9">
        <v>96.03</v>
      </c>
      <c r="IY9">
        <v>95.99</v>
      </c>
      <c r="IZ9">
        <v>96.08</v>
      </c>
      <c r="JA9">
        <v>96.084999999999994</v>
      </c>
      <c r="JB9">
        <v>96.09</v>
      </c>
      <c r="JC9">
        <v>96.09</v>
      </c>
      <c r="JD9">
        <v>95.974999999999994</v>
      </c>
      <c r="JE9">
        <v>95.974999999999994</v>
      </c>
      <c r="JF9">
        <v>95.894999999999996</v>
      </c>
      <c r="JG9">
        <v>95.995000000000005</v>
      </c>
      <c r="JH9">
        <v>95.98</v>
      </c>
      <c r="JI9">
        <v>95.885000000000005</v>
      </c>
      <c r="JJ9">
        <v>95.754999999999995</v>
      </c>
      <c r="JK9">
        <v>95.685000000000002</v>
      </c>
      <c r="JL9">
        <v>95.694999999999993</v>
      </c>
      <c r="JM9">
        <v>95.885000000000005</v>
      </c>
      <c r="JN9">
        <v>95.87</v>
      </c>
      <c r="JO9">
        <v>95.814999999999998</v>
      </c>
      <c r="JP9">
        <v>95.745000000000005</v>
      </c>
      <c r="JQ9">
        <v>95.635000000000005</v>
      </c>
      <c r="JR9">
        <v>95.58</v>
      </c>
      <c r="JS9">
        <v>95.51</v>
      </c>
      <c r="JT9">
        <v>95.555000000000007</v>
      </c>
      <c r="JU9">
        <v>95.584999999999994</v>
      </c>
      <c r="JV9">
        <v>95.584999999999994</v>
      </c>
      <c r="JW9">
        <v>95.6</v>
      </c>
      <c r="JX9">
        <v>95.685000000000002</v>
      </c>
      <c r="JY9">
        <v>95.754999999999995</v>
      </c>
      <c r="JZ9">
        <v>95.74</v>
      </c>
      <c r="KA9">
        <v>95.754999999999995</v>
      </c>
      <c r="KB9">
        <v>95.81</v>
      </c>
      <c r="KC9">
        <v>95.89</v>
      </c>
      <c r="KD9">
        <v>95.76</v>
      </c>
      <c r="KE9">
        <v>95.704999999999998</v>
      </c>
      <c r="KF9">
        <v>95.69</v>
      </c>
      <c r="KG9">
        <v>95.78</v>
      </c>
      <c r="KH9">
        <v>95.734999999999999</v>
      </c>
      <c r="KI9">
        <v>95.77</v>
      </c>
      <c r="KJ9">
        <v>95.775000000000006</v>
      </c>
      <c r="KK9">
        <v>95.79</v>
      </c>
      <c r="KL9">
        <v>95.67</v>
      </c>
      <c r="KM9">
        <v>95.58</v>
      </c>
      <c r="KN9">
        <v>95.444999999999993</v>
      </c>
      <c r="KO9">
        <v>95.54</v>
      </c>
      <c r="KP9">
        <v>95.504999999999995</v>
      </c>
      <c r="KQ9">
        <v>95.5</v>
      </c>
      <c r="KR9">
        <v>95.59</v>
      </c>
      <c r="KS9">
        <v>95.635000000000005</v>
      </c>
      <c r="KT9">
        <v>95.575000000000003</v>
      </c>
      <c r="KU9">
        <v>95.575000000000003</v>
      </c>
      <c r="KV9">
        <v>95.545000000000002</v>
      </c>
      <c r="KW9">
        <v>95.635000000000005</v>
      </c>
      <c r="KX9">
        <v>95.564999999999998</v>
      </c>
      <c r="KY9">
        <v>95.614999999999995</v>
      </c>
      <c r="KZ9">
        <v>95.694999999999993</v>
      </c>
      <c r="LA9">
        <v>95.6</v>
      </c>
      <c r="LB9">
        <v>95.6</v>
      </c>
      <c r="LC9">
        <v>95.894999999999996</v>
      </c>
      <c r="LD9">
        <v>95.844999999999999</v>
      </c>
      <c r="LE9">
        <v>95.935000000000002</v>
      </c>
      <c r="LF9">
        <v>96.05</v>
      </c>
      <c r="LG9">
        <v>96.015000000000001</v>
      </c>
      <c r="LH9">
        <v>95.995000000000005</v>
      </c>
      <c r="LI9">
        <v>95.984999999999999</v>
      </c>
      <c r="LJ9">
        <v>96.12</v>
      </c>
      <c r="LK9">
        <v>96.12</v>
      </c>
      <c r="LL9">
        <v>96.174999999999997</v>
      </c>
      <c r="LM9">
        <v>96.135000000000005</v>
      </c>
      <c r="LN9">
        <v>96.135000000000005</v>
      </c>
      <c r="LO9">
        <v>96.17</v>
      </c>
      <c r="LP9">
        <v>96.12</v>
      </c>
      <c r="LQ9">
        <v>96.15</v>
      </c>
      <c r="LR9">
        <v>95.894999999999996</v>
      </c>
      <c r="LS9">
        <v>95.834999999999994</v>
      </c>
      <c r="LT9">
        <v>95.864999999999995</v>
      </c>
      <c r="LU9">
        <v>95.915000000000006</v>
      </c>
      <c r="LV9">
        <v>96.034999999999997</v>
      </c>
      <c r="LW9">
        <v>96.07</v>
      </c>
      <c r="LX9">
        <v>96.165000000000006</v>
      </c>
      <c r="LY9">
        <v>96.21</v>
      </c>
      <c r="LZ9">
        <v>96.165000000000006</v>
      </c>
      <c r="MA9">
        <v>96.11</v>
      </c>
      <c r="MB9">
        <v>96.12</v>
      </c>
      <c r="MC9">
        <v>96.05</v>
      </c>
      <c r="MD9">
        <v>96.13</v>
      </c>
      <c r="ME9">
        <v>96.02</v>
      </c>
      <c r="MF9">
        <v>96.025000000000006</v>
      </c>
      <c r="MG9">
        <v>95.954999999999998</v>
      </c>
      <c r="MH9">
        <v>95.965000000000003</v>
      </c>
      <c r="MI9">
        <v>96.015000000000001</v>
      </c>
      <c r="MJ9">
        <v>95.984999999999999</v>
      </c>
      <c r="MK9">
        <v>96.06</v>
      </c>
      <c r="ML9">
        <v>96.12</v>
      </c>
      <c r="MM9">
        <v>96.07</v>
      </c>
      <c r="MN9">
        <v>96.07</v>
      </c>
      <c r="MO9">
        <v>96.17</v>
      </c>
      <c r="MP9">
        <v>96.155000000000001</v>
      </c>
      <c r="MQ9">
        <v>96.064999999999998</v>
      </c>
      <c r="MR9">
        <v>96.32</v>
      </c>
      <c r="MS9">
        <v>96.295000000000002</v>
      </c>
      <c r="MT9">
        <v>96.35</v>
      </c>
      <c r="MU9">
        <v>96.405000000000001</v>
      </c>
      <c r="MV9">
        <v>96.43</v>
      </c>
      <c r="MW9">
        <v>96.344999999999999</v>
      </c>
      <c r="MX9">
        <v>96.48</v>
      </c>
      <c r="MY9">
        <v>96.704999999999998</v>
      </c>
      <c r="MZ9">
        <v>96.655000000000001</v>
      </c>
      <c r="NA9">
        <v>96.49</v>
      </c>
      <c r="NB9">
        <v>96.555000000000007</v>
      </c>
      <c r="NC9">
        <v>96.484999999999999</v>
      </c>
      <c r="ND9">
        <v>96.564999999999998</v>
      </c>
      <c r="NE9">
        <v>96.49</v>
      </c>
      <c r="NF9">
        <v>96.52</v>
      </c>
      <c r="NG9">
        <v>96.534999999999997</v>
      </c>
      <c r="NH9">
        <v>96.49</v>
      </c>
      <c r="NI9">
        <v>96.545000000000002</v>
      </c>
      <c r="NJ9">
        <v>96.56</v>
      </c>
      <c r="NK9">
        <v>96.72</v>
      </c>
      <c r="NL9">
        <v>96.814999999999998</v>
      </c>
      <c r="NM9">
        <v>96.814999999999998</v>
      </c>
      <c r="NN9">
        <v>96.694999999999993</v>
      </c>
      <c r="NO9">
        <v>96.56</v>
      </c>
      <c r="NP9">
        <v>96.56</v>
      </c>
      <c r="NQ9">
        <v>96.59</v>
      </c>
      <c r="NR9">
        <v>96.555000000000007</v>
      </c>
      <c r="NS9">
        <v>96.58</v>
      </c>
      <c r="NT9">
        <v>96.694999999999993</v>
      </c>
      <c r="NU9">
        <v>96.674999999999997</v>
      </c>
      <c r="NV9">
        <v>96.79</v>
      </c>
      <c r="NW9">
        <v>96.79</v>
      </c>
      <c r="NX9">
        <v>96.75</v>
      </c>
      <c r="NY9">
        <v>96.795000000000002</v>
      </c>
      <c r="NZ9">
        <v>96.724999999999994</v>
      </c>
      <c r="OA9">
        <v>96.715000000000003</v>
      </c>
      <c r="OB9">
        <v>96.715000000000003</v>
      </c>
      <c r="OC9">
        <v>96.73</v>
      </c>
      <c r="OD9">
        <v>96.7</v>
      </c>
      <c r="OE9">
        <v>96.405000000000001</v>
      </c>
      <c r="OF9">
        <v>96.4</v>
      </c>
      <c r="OG9">
        <v>96.4</v>
      </c>
      <c r="OH9">
        <v>96.474999999999994</v>
      </c>
      <c r="OI9">
        <v>96.355000000000004</v>
      </c>
      <c r="OJ9">
        <v>96.06</v>
      </c>
      <c r="OK9">
        <v>96.064999999999998</v>
      </c>
      <c r="OL9">
        <v>96.06</v>
      </c>
      <c r="OM9">
        <v>96.265000000000001</v>
      </c>
      <c r="ON9">
        <v>96.234999999999999</v>
      </c>
      <c r="OO9">
        <v>96.29</v>
      </c>
      <c r="OP9">
        <v>96.19</v>
      </c>
      <c r="OQ9">
        <v>96.284999999999997</v>
      </c>
      <c r="OR9">
        <v>96.08</v>
      </c>
      <c r="OS9">
        <v>96.17</v>
      </c>
      <c r="OT9">
        <v>96.045000000000002</v>
      </c>
      <c r="OU9">
        <v>95.885000000000005</v>
      </c>
      <c r="OV9">
        <v>95.81</v>
      </c>
      <c r="OW9">
        <v>95.87</v>
      </c>
      <c r="OX9">
        <v>95.87</v>
      </c>
      <c r="OY9">
        <v>95.91</v>
      </c>
      <c r="OZ9">
        <v>95.864999999999995</v>
      </c>
      <c r="PA9">
        <v>95.864999999999995</v>
      </c>
      <c r="PB9">
        <v>95.944999999999993</v>
      </c>
      <c r="PC9">
        <v>95.84</v>
      </c>
      <c r="PD9">
        <v>95.97</v>
      </c>
      <c r="PE9">
        <v>95.685000000000002</v>
      </c>
      <c r="PF9">
        <v>95.655000000000001</v>
      </c>
      <c r="PG9">
        <v>95.72</v>
      </c>
      <c r="PH9">
        <v>95.83</v>
      </c>
      <c r="PI9">
        <v>95.844999999999999</v>
      </c>
      <c r="PJ9">
        <v>95.784999999999997</v>
      </c>
      <c r="PK9">
        <v>95.935000000000002</v>
      </c>
      <c r="PL9">
        <v>95.734999999999999</v>
      </c>
      <c r="PM9">
        <v>95.745000000000005</v>
      </c>
      <c r="PN9">
        <v>95.594999999999999</v>
      </c>
      <c r="PO9">
        <v>95.64</v>
      </c>
      <c r="PP9">
        <v>95.665000000000006</v>
      </c>
      <c r="PQ9">
        <v>95.62</v>
      </c>
      <c r="PR9">
        <v>95.504999999999995</v>
      </c>
      <c r="PS9">
        <v>95.575000000000003</v>
      </c>
      <c r="PT9">
        <v>95.65</v>
      </c>
      <c r="PU9">
        <v>95.575000000000003</v>
      </c>
      <c r="PV9">
        <v>95.44</v>
      </c>
      <c r="PW9">
        <v>95.405000000000001</v>
      </c>
      <c r="PX9">
        <v>95.435000000000002</v>
      </c>
      <c r="PY9">
        <v>95.6</v>
      </c>
      <c r="PZ9">
        <v>95.66</v>
      </c>
      <c r="QA9">
        <v>95.644999999999996</v>
      </c>
      <c r="QB9">
        <v>95.734999999999999</v>
      </c>
      <c r="QC9">
        <v>95.77</v>
      </c>
      <c r="QD9">
        <v>95.82</v>
      </c>
      <c r="QE9">
        <v>95.635000000000005</v>
      </c>
      <c r="QF9">
        <v>95.7</v>
      </c>
      <c r="QG9">
        <v>95.66</v>
      </c>
      <c r="QH9">
        <v>95.545000000000002</v>
      </c>
      <c r="QI9">
        <v>95.594999999999999</v>
      </c>
      <c r="QJ9">
        <v>95.694999999999993</v>
      </c>
      <c r="QK9">
        <v>95.66</v>
      </c>
      <c r="QL9">
        <v>95.555000000000007</v>
      </c>
      <c r="QM9">
        <v>95.63</v>
      </c>
      <c r="QN9">
        <v>95.625</v>
      </c>
      <c r="QO9">
        <v>95.64</v>
      </c>
      <c r="QP9">
        <v>95.594999999999999</v>
      </c>
      <c r="QQ9">
        <v>95.68</v>
      </c>
      <c r="QR9">
        <v>95.39</v>
      </c>
      <c r="QS9">
        <v>95.474999999999994</v>
      </c>
      <c r="QT9">
        <v>95.52</v>
      </c>
      <c r="QU9">
        <v>95.564999999999998</v>
      </c>
      <c r="QV9">
        <v>95.614999999999995</v>
      </c>
      <c r="QW9">
        <v>95.59</v>
      </c>
      <c r="QX9">
        <v>95.625</v>
      </c>
      <c r="QY9">
        <v>95.635000000000005</v>
      </c>
      <c r="QZ9">
        <v>95.694999999999993</v>
      </c>
      <c r="RA9">
        <v>95.59</v>
      </c>
      <c r="RB9">
        <v>95.674999999999997</v>
      </c>
      <c r="RC9">
        <v>95.814999999999998</v>
      </c>
      <c r="RD9">
        <v>95.814999999999998</v>
      </c>
      <c r="RE9">
        <v>95.83</v>
      </c>
      <c r="RF9">
        <v>95.805000000000007</v>
      </c>
      <c r="RG9">
        <v>95.795000000000002</v>
      </c>
      <c r="RH9">
        <v>95.644999999999996</v>
      </c>
      <c r="RI9">
        <v>95.644999999999996</v>
      </c>
      <c r="RJ9">
        <v>95.685000000000002</v>
      </c>
      <c r="RK9">
        <v>95.77</v>
      </c>
      <c r="RL9">
        <v>95.64</v>
      </c>
      <c r="RM9">
        <v>95.694999999999993</v>
      </c>
      <c r="RN9">
        <v>95.765000000000001</v>
      </c>
      <c r="RO9">
        <v>95.734999999999999</v>
      </c>
      <c r="RP9">
        <v>95.73</v>
      </c>
      <c r="RQ9">
        <v>95.765000000000001</v>
      </c>
      <c r="RR9">
        <v>95.765000000000001</v>
      </c>
      <c r="RS9">
        <v>95.855000000000004</v>
      </c>
      <c r="RT9">
        <v>95.97</v>
      </c>
      <c r="RU9">
        <v>96.02</v>
      </c>
      <c r="RV9">
        <v>96.07</v>
      </c>
      <c r="RW9">
        <v>96.06</v>
      </c>
      <c r="RX9">
        <v>96</v>
      </c>
      <c r="RY9">
        <v>95.87</v>
      </c>
      <c r="RZ9">
        <v>95.89</v>
      </c>
      <c r="SA9">
        <v>95.82</v>
      </c>
      <c r="SB9">
        <v>95.87</v>
      </c>
      <c r="SC9">
        <v>95.834999999999994</v>
      </c>
      <c r="SD9">
        <v>95.795000000000002</v>
      </c>
      <c r="SE9">
        <v>95.98</v>
      </c>
      <c r="SF9">
        <v>95.88</v>
      </c>
      <c r="SG9">
        <v>95.95</v>
      </c>
      <c r="SH9">
        <v>96.01</v>
      </c>
      <c r="SI9">
        <v>96.034999999999997</v>
      </c>
      <c r="SJ9">
        <v>96.155000000000001</v>
      </c>
      <c r="SK9">
        <v>96.16</v>
      </c>
      <c r="SL9">
        <v>96.18</v>
      </c>
      <c r="SM9">
        <v>96.165000000000006</v>
      </c>
      <c r="SN9">
        <v>96.37</v>
      </c>
      <c r="SO9">
        <v>96.155000000000001</v>
      </c>
      <c r="SP9">
        <v>95.94</v>
      </c>
      <c r="SQ9">
        <v>95.96</v>
      </c>
      <c r="SR9">
        <v>95.844999999999999</v>
      </c>
      <c r="SS9">
        <v>95.775000000000006</v>
      </c>
      <c r="ST9">
        <v>95.84</v>
      </c>
      <c r="SU9">
        <v>95.89</v>
      </c>
      <c r="SV9">
        <v>95.89</v>
      </c>
      <c r="SW9">
        <v>95.974999999999994</v>
      </c>
      <c r="SX9">
        <v>96.015000000000001</v>
      </c>
      <c r="SY9">
        <v>96.22</v>
      </c>
      <c r="SZ9">
        <v>96.144999999999996</v>
      </c>
      <c r="TA9">
        <v>96.265000000000001</v>
      </c>
      <c r="TB9">
        <v>96.224999999999994</v>
      </c>
      <c r="TC9">
        <v>96.15</v>
      </c>
      <c r="TD9">
        <v>96.295000000000002</v>
      </c>
      <c r="TE9">
        <v>95.965000000000003</v>
      </c>
      <c r="TF9">
        <v>95.93</v>
      </c>
      <c r="TG9">
        <v>95.93</v>
      </c>
      <c r="TH9">
        <v>96.034999999999997</v>
      </c>
      <c r="TI9">
        <v>95.974999999999994</v>
      </c>
      <c r="TJ9">
        <v>95.98</v>
      </c>
      <c r="TK9">
        <v>96.16</v>
      </c>
      <c r="TL9">
        <v>96.12</v>
      </c>
      <c r="TM9">
        <v>96.245000000000005</v>
      </c>
      <c r="TN9">
        <v>96.215000000000003</v>
      </c>
      <c r="TO9">
        <v>96.29</v>
      </c>
      <c r="TP9">
        <v>96.385000000000005</v>
      </c>
      <c r="TQ9">
        <v>96.33</v>
      </c>
      <c r="TR9">
        <v>96.56</v>
      </c>
      <c r="TS9">
        <v>96.484999999999999</v>
      </c>
      <c r="TT9">
        <v>96.38</v>
      </c>
      <c r="TU9">
        <v>96.19</v>
      </c>
      <c r="TV9">
        <v>96.19</v>
      </c>
      <c r="TW9">
        <v>96.305000000000007</v>
      </c>
      <c r="TX9">
        <v>96.504999999999995</v>
      </c>
      <c r="TY9">
        <v>96.55</v>
      </c>
      <c r="TZ9">
        <v>96.545000000000002</v>
      </c>
      <c r="UA9">
        <v>96.564999999999998</v>
      </c>
      <c r="UB9">
        <v>96.614999999999995</v>
      </c>
      <c r="UC9">
        <v>96.795000000000002</v>
      </c>
      <c r="UD9">
        <v>96.894999999999996</v>
      </c>
      <c r="UE9">
        <v>96.95</v>
      </c>
      <c r="UF9">
        <v>96.95</v>
      </c>
      <c r="UG9">
        <v>97.075000000000003</v>
      </c>
      <c r="UH9">
        <v>97.08</v>
      </c>
      <c r="UI9">
        <v>96.924999999999997</v>
      </c>
      <c r="UJ9">
        <v>96.91</v>
      </c>
      <c r="UK9">
        <v>96.99</v>
      </c>
      <c r="UL9">
        <v>97.22</v>
      </c>
      <c r="UM9">
        <v>96.99</v>
      </c>
      <c r="UN9">
        <v>96.915000000000006</v>
      </c>
      <c r="UO9">
        <v>96.72</v>
      </c>
      <c r="UP9">
        <v>96.81</v>
      </c>
      <c r="UQ9">
        <v>96.765000000000001</v>
      </c>
      <c r="UR9">
        <v>96.944999999999993</v>
      </c>
      <c r="US9">
        <v>97</v>
      </c>
      <c r="UT9">
        <v>96.73</v>
      </c>
      <c r="UU9">
        <v>96.665000000000006</v>
      </c>
      <c r="UV9">
        <v>96.67</v>
      </c>
      <c r="UW9">
        <v>96.525000000000006</v>
      </c>
      <c r="UX9">
        <v>96.614999999999995</v>
      </c>
      <c r="UY9">
        <v>96.62</v>
      </c>
      <c r="UZ9">
        <v>96.745000000000005</v>
      </c>
      <c r="VA9">
        <v>96.885000000000005</v>
      </c>
      <c r="VB9">
        <v>96.9</v>
      </c>
      <c r="VC9">
        <v>96.77</v>
      </c>
      <c r="VD9">
        <v>96.84</v>
      </c>
      <c r="VE9">
        <v>96.875</v>
      </c>
      <c r="VF9">
        <v>97.05</v>
      </c>
      <c r="VG9">
        <v>97.12</v>
      </c>
      <c r="VH9">
        <v>97.04</v>
      </c>
      <c r="VI9">
        <v>96.86</v>
      </c>
      <c r="VJ9">
        <v>96.71</v>
      </c>
      <c r="VK9">
        <v>96.644999999999996</v>
      </c>
      <c r="VL9">
        <v>96.67</v>
      </c>
      <c r="VM9">
        <v>96.71</v>
      </c>
      <c r="VN9">
        <v>96.82</v>
      </c>
      <c r="VO9">
        <v>97.055000000000007</v>
      </c>
      <c r="VP9">
        <v>97.034999999999997</v>
      </c>
      <c r="VQ9">
        <v>96.85</v>
      </c>
      <c r="VR9">
        <v>96.58</v>
      </c>
      <c r="VS9">
        <v>96.8</v>
      </c>
      <c r="VT9">
        <v>96.885000000000005</v>
      </c>
      <c r="VU9">
        <v>96.545000000000002</v>
      </c>
      <c r="VV9">
        <v>96.605000000000004</v>
      </c>
      <c r="VW9">
        <v>96.265000000000001</v>
      </c>
      <c r="VX9">
        <v>96.515000000000001</v>
      </c>
      <c r="VY9">
        <v>95.96</v>
      </c>
      <c r="VZ9">
        <v>95.484999999999999</v>
      </c>
      <c r="WA9">
        <v>95.265000000000001</v>
      </c>
      <c r="WB9">
        <v>95.284999999999997</v>
      </c>
      <c r="WC9">
        <v>95.39</v>
      </c>
      <c r="WD9">
        <v>95.405000000000001</v>
      </c>
      <c r="WE9">
        <v>95.33</v>
      </c>
      <c r="WF9">
        <v>95.364999999999995</v>
      </c>
      <c r="WG9">
        <v>95.484999999999999</v>
      </c>
      <c r="WH9">
        <v>95.504999999999995</v>
      </c>
      <c r="WI9">
        <v>95.51</v>
      </c>
      <c r="WJ9">
        <v>95.72</v>
      </c>
      <c r="WK9">
        <v>95.73</v>
      </c>
      <c r="WL9">
        <v>95.74</v>
      </c>
      <c r="WM9">
        <v>95.89</v>
      </c>
      <c r="WN9">
        <v>95.89</v>
      </c>
      <c r="WO9">
        <v>95.85</v>
      </c>
      <c r="WP9">
        <v>95.79</v>
      </c>
      <c r="WQ9">
        <v>95.844999999999999</v>
      </c>
      <c r="WR9">
        <v>96.05</v>
      </c>
      <c r="WS9">
        <v>96.07</v>
      </c>
      <c r="WT9">
        <v>96.1</v>
      </c>
      <c r="WU9">
        <v>96.21</v>
      </c>
      <c r="WV9">
        <v>96.19</v>
      </c>
      <c r="WW9">
        <v>96.224999999999994</v>
      </c>
      <c r="WX9">
        <v>96.43</v>
      </c>
      <c r="WY9">
        <v>96.69</v>
      </c>
      <c r="WZ9">
        <v>96.65</v>
      </c>
      <c r="XA9">
        <v>96.504999999999995</v>
      </c>
      <c r="XB9">
        <v>96.424999999999997</v>
      </c>
      <c r="XC9">
        <v>96.525000000000006</v>
      </c>
      <c r="XD9">
        <v>96.584999999999994</v>
      </c>
      <c r="XE9">
        <v>96.644999999999996</v>
      </c>
      <c r="XF9">
        <v>96.63</v>
      </c>
      <c r="XG9">
        <v>96.594999999999999</v>
      </c>
      <c r="XH9">
        <v>96.69</v>
      </c>
      <c r="XI9">
        <v>96.784999999999997</v>
      </c>
      <c r="XJ9">
        <v>96.834999999999994</v>
      </c>
      <c r="XK9">
        <v>96.655000000000001</v>
      </c>
      <c r="XL9">
        <v>96.584999999999994</v>
      </c>
      <c r="XM9">
        <v>96.584999999999994</v>
      </c>
      <c r="XN9">
        <v>96.704999999999998</v>
      </c>
      <c r="XO9">
        <v>96.6</v>
      </c>
      <c r="XP9">
        <v>96.525000000000006</v>
      </c>
      <c r="XQ9">
        <v>96.594999999999999</v>
      </c>
      <c r="XR9">
        <v>96.504999999999995</v>
      </c>
      <c r="XS9">
        <v>96.21</v>
      </c>
      <c r="XT9">
        <v>96.284999999999997</v>
      </c>
      <c r="XU9">
        <v>96.25</v>
      </c>
      <c r="XV9">
        <v>96.23</v>
      </c>
      <c r="XW9">
        <v>96.23</v>
      </c>
      <c r="XX9">
        <v>96.24</v>
      </c>
      <c r="XY9">
        <v>96.245000000000005</v>
      </c>
      <c r="XZ9">
        <v>96.254999999999995</v>
      </c>
      <c r="YA9">
        <v>96.35</v>
      </c>
      <c r="YB9">
        <v>96.35</v>
      </c>
      <c r="YC9">
        <v>96.435000000000002</v>
      </c>
      <c r="YD9">
        <v>96.49</v>
      </c>
      <c r="YE9">
        <v>96.075000000000003</v>
      </c>
      <c r="YF9">
        <v>96.12</v>
      </c>
      <c r="YG9">
        <v>96.2</v>
      </c>
      <c r="YH9">
        <v>96.144999999999996</v>
      </c>
      <c r="YI9">
        <v>96.155000000000001</v>
      </c>
      <c r="YJ9">
        <v>96.16</v>
      </c>
      <c r="YK9">
        <v>95.944999999999993</v>
      </c>
      <c r="YL9">
        <v>96.015000000000001</v>
      </c>
      <c r="YM9">
        <v>96.04</v>
      </c>
      <c r="YN9">
        <v>96.13</v>
      </c>
      <c r="YO9">
        <v>95.995000000000005</v>
      </c>
      <c r="YP9">
        <v>95.944999999999993</v>
      </c>
      <c r="YQ9">
        <v>96.114999999999995</v>
      </c>
      <c r="YR9">
        <v>96.12</v>
      </c>
      <c r="YS9">
        <v>96</v>
      </c>
      <c r="YT9">
        <v>95.844999999999999</v>
      </c>
      <c r="YU9">
        <v>95.85</v>
      </c>
      <c r="YV9">
        <v>95.844999999999999</v>
      </c>
      <c r="YW9">
        <v>95.86</v>
      </c>
      <c r="YX9">
        <v>95.86</v>
      </c>
      <c r="YY9">
        <v>95.855000000000004</v>
      </c>
      <c r="YZ9">
        <v>95.78</v>
      </c>
      <c r="ZA9">
        <v>95.81</v>
      </c>
      <c r="ZB9">
        <v>95.9</v>
      </c>
      <c r="ZC9">
        <v>96.05</v>
      </c>
      <c r="ZD9">
        <v>96.045000000000002</v>
      </c>
      <c r="ZE9">
        <v>95.924999999999997</v>
      </c>
      <c r="ZF9">
        <v>96</v>
      </c>
      <c r="ZG9">
        <v>95.995000000000005</v>
      </c>
      <c r="ZH9">
        <v>95.584999999999994</v>
      </c>
      <c r="ZI9">
        <v>95.5</v>
      </c>
      <c r="ZJ9">
        <v>95.415000000000006</v>
      </c>
      <c r="ZK9">
        <v>95.495000000000005</v>
      </c>
      <c r="ZL9">
        <v>95.43</v>
      </c>
      <c r="ZM9">
        <v>95.59</v>
      </c>
      <c r="ZN9">
        <v>95.674999999999997</v>
      </c>
      <c r="ZO9">
        <v>95.704999999999998</v>
      </c>
      <c r="ZP9">
        <v>95.795000000000002</v>
      </c>
      <c r="ZQ9">
        <v>95.935000000000002</v>
      </c>
      <c r="ZR9">
        <v>95.79</v>
      </c>
      <c r="ZS9">
        <v>95.71</v>
      </c>
      <c r="ZT9">
        <v>95.655000000000001</v>
      </c>
      <c r="ZU9">
        <v>95.625</v>
      </c>
      <c r="ZV9">
        <v>95.454999999999998</v>
      </c>
      <c r="ZW9">
        <v>95.584999999999994</v>
      </c>
      <c r="ZX9">
        <v>95.73</v>
      </c>
      <c r="ZY9">
        <v>95.71</v>
      </c>
      <c r="ZZ9">
        <v>95.644999999999996</v>
      </c>
      <c r="AAA9">
        <v>95.724999999999994</v>
      </c>
      <c r="AAB9">
        <v>95.885000000000005</v>
      </c>
      <c r="AAC9">
        <v>95.81</v>
      </c>
      <c r="AAD9">
        <v>95.784999999999997</v>
      </c>
      <c r="AAE9">
        <v>95.814999999999998</v>
      </c>
      <c r="AAF9">
        <v>95.905000000000001</v>
      </c>
      <c r="AAG9">
        <v>96.025000000000006</v>
      </c>
      <c r="AAH9">
        <v>96.135000000000005</v>
      </c>
      <c r="AAI9">
        <v>96.06</v>
      </c>
      <c r="AAJ9">
        <v>95.93</v>
      </c>
      <c r="AAK9">
        <v>95.98</v>
      </c>
      <c r="AAL9">
        <v>96.05</v>
      </c>
      <c r="AAM9">
        <v>95.765000000000001</v>
      </c>
      <c r="AAN9">
        <v>95.724999999999994</v>
      </c>
      <c r="AAO9">
        <v>95.855000000000004</v>
      </c>
      <c r="AAP9">
        <v>95.974999999999994</v>
      </c>
      <c r="AAQ9">
        <v>96.155000000000001</v>
      </c>
      <c r="AAR9">
        <v>95.974999999999994</v>
      </c>
      <c r="AAS9">
        <v>96</v>
      </c>
      <c r="AAT9">
        <v>96.1</v>
      </c>
      <c r="AAU9">
        <v>96.055000000000007</v>
      </c>
      <c r="AAV9">
        <v>96.19</v>
      </c>
      <c r="AAW9">
        <v>96.26</v>
      </c>
      <c r="AAX9">
        <v>96.435000000000002</v>
      </c>
      <c r="AAY9">
        <v>96.435000000000002</v>
      </c>
      <c r="AAZ9">
        <v>96.5</v>
      </c>
      <c r="ABA9">
        <v>96.545000000000002</v>
      </c>
      <c r="ABB9">
        <v>96.454999999999998</v>
      </c>
      <c r="ABC9">
        <v>96.584999999999994</v>
      </c>
      <c r="ABD9">
        <v>96.584999999999994</v>
      </c>
      <c r="ABE9">
        <v>96.444999999999993</v>
      </c>
      <c r="ABF9">
        <v>96.525000000000006</v>
      </c>
      <c r="ABG9">
        <v>96.504999999999995</v>
      </c>
      <c r="ABH9">
        <v>96.555000000000007</v>
      </c>
      <c r="ABI9">
        <v>96.61</v>
      </c>
      <c r="ABJ9">
        <v>96.65</v>
      </c>
      <c r="ABK9">
        <v>96.63</v>
      </c>
      <c r="ABL9">
        <v>96.68</v>
      </c>
      <c r="ABM9">
        <v>96.62</v>
      </c>
      <c r="ABN9">
        <v>96.745000000000005</v>
      </c>
      <c r="ABO9">
        <v>96.795000000000002</v>
      </c>
      <c r="ABP9">
        <v>96.754999999999995</v>
      </c>
      <c r="ABQ9">
        <v>96.855000000000004</v>
      </c>
      <c r="ABR9">
        <v>96.92</v>
      </c>
      <c r="ABS9">
        <v>96.844999999999999</v>
      </c>
      <c r="ABT9">
        <v>96.905000000000001</v>
      </c>
      <c r="ABU9">
        <v>96.965000000000003</v>
      </c>
      <c r="ABV9">
        <v>96.915000000000006</v>
      </c>
      <c r="ABW9">
        <v>97.01</v>
      </c>
      <c r="ABX9">
        <v>96.954999999999998</v>
      </c>
      <c r="ABY9">
        <v>97.18</v>
      </c>
      <c r="ABZ9">
        <v>97.055000000000007</v>
      </c>
      <c r="ACA9">
        <v>97.11</v>
      </c>
      <c r="ACB9">
        <v>97.334999999999994</v>
      </c>
      <c r="ACC9">
        <v>97.36</v>
      </c>
      <c r="ACD9">
        <v>97.37</v>
      </c>
      <c r="ACE9">
        <v>97.26</v>
      </c>
      <c r="ACF9">
        <v>97.204999999999998</v>
      </c>
      <c r="ACG9">
        <v>97.24</v>
      </c>
      <c r="ACH9">
        <v>97.295000000000002</v>
      </c>
      <c r="ACI9">
        <v>97.135000000000005</v>
      </c>
      <c r="ACJ9">
        <v>96.935000000000002</v>
      </c>
      <c r="ACK9">
        <v>96.935000000000002</v>
      </c>
      <c r="ACL9">
        <v>97.034999999999997</v>
      </c>
      <c r="ACM9">
        <v>97.064999999999998</v>
      </c>
      <c r="ACN9">
        <v>97.07</v>
      </c>
      <c r="ACO9">
        <v>97.12</v>
      </c>
      <c r="ACP9">
        <v>97.15</v>
      </c>
      <c r="ACQ9">
        <v>97.11</v>
      </c>
      <c r="ACR9">
        <v>97.02</v>
      </c>
      <c r="ACS9">
        <v>97.12</v>
      </c>
      <c r="ACT9">
        <v>97.204999999999998</v>
      </c>
      <c r="ACU9">
        <v>97.4</v>
      </c>
      <c r="ACV9">
        <v>97.334999999999994</v>
      </c>
      <c r="ACW9">
        <v>97.334999999999994</v>
      </c>
      <c r="ACX9">
        <v>97.165000000000006</v>
      </c>
      <c r="ACY9">
        <v>96.96</v>
      </c>
      <c r="ACZ9">
        <v>96.82</v>
      </c>
      <c r="ADA9">
        <v>96.82</v>
      </c>
      <c r="ADB9">
        <v>96.885000000000005</v>
      </c>
      <c r="ADC9">
        <v>96.92</v>
      </c>
      <c r="ADD9">
        <v>96.814999999999998</v>
      </c>
      <c r="ADE9">
        <v>96.614999999999995</v>
      </c>
      <c r="ADF9">
        <v>96.594999999999999</v>
      </c>
      <c r="ADG9">
        <v>96.594999999999999</v>
      </c>
      <c r="ADH9">
        <v>96.594999999999999</v>
      </c>
      <c r="ADI9">
        <v>96.525000000000006</v>
      </c>
      <c r="ADJ9">
        <v>96.174999999999997</v>
      </c>
      <c r="ADK9">
        <v>96.19</v>
      </c>
      <c r="ADL9">
        <v>96.46</v>
      </c>
      <c r="ADM9">
        <v>96.71</v>
      </c>
      <c r="ADN9">
        <v>96.795000000000002</v>
      </c>
      <c r="ADO9">
        <v>96.834999999999994</v>
      </c>
      <c r="ADP9">
        <v>96.805000000000007</v>
      </c>
      <c r="ADQ9">
        <v>96.89</v>
      </c>
      <c r="ADR9">
        <v>96.95</v>
      </c>
      <c r="ADS9">
        <v>96.93</v>
      </c>
      <c r="ADT9">
        <v>97.105000000000004</v>
      </c>
      <c r="ADU9">
        <v>97.165000000000006</v>
      </c>
      <c r="ADV9">
        <v>97.165000000000006</v>
      </c>
      <c r="ADW9">
        <v>97.194999999999993</v>
      </c>
      <c r="ADX9">
        <v>97.215000000000003</v>
      </c>
      <c r="ADY9">
        <v>97.204999999999998</v>
      </c>
      <c r="ADZ9">
        <v>97.045000000000002</v>
      </c>
      <c r="AEA9">
        <v>97.09</v>
      </c>
      <c r="AEB9">
        <v>97.02</v>
      </c>
      <c r="AEC9">
        <v>96.95</v>
      </c>
      <c r="AED9">
        <v>96.905000000000001</v>
      </c>
      <c r="AEE9">
        <v>97.084999999999994</v>
      </c>
      <c r="AEF9">
        <v>97.025000000000006</v>
      </c>
      <c r="AEG9">
        <v>97.105000000000004</v>
      </c>
      <c r="AEH9">
        <v>96.944999999999993</v>
      </c>
      <c r="AEI9">
        <v>96.924999999999997</v>
      </c>
      <c r="AEJ9">
        <v>96.885000000000005</v>
      </c>
      <c r="AEK9">
        <v>96.75</v>
      </c>
      <c r="AEL9">
        <v>96.704999999999998</v>
      </c>
      <c r="AEM9">
        <v>96.84</v>
      </c>
      <c r="AEN9">
        <v>96.674999999999997</v>
      </c>
      <c r="AEO9">
        <v>96.685000000000002</v>
      </c>
      <c r="AEP9">
        <v>96.75</v>
      </c>
      <c r="AEQ9">
        <v>96.805000000000007</v>
      </c>
      <c r="AER9">
        <v>96.91</v>
      </c>
      <c r="AES9">
        <v>96.944999999999993</v>
      </c>
      <c r="AET9">
        <v>96.82</v>
      </c>
      <c r="AEU9">
        <v>96.69</v>
      </c>
      <c r="AEV9">
        <v>96.665000000000006</v>
      </c>
      <c r="AEW9">
        <v>96.795000000000002</v>
      </c>
      <c r="AEX9">
        <v>96.775000000000006</v>
      </c>
      <c r="AEY9">
        <v>96.93</v>
      </c>
      <c r="AEZ9">
        <v>96.96</v>
      </c>
      <c r="AFA9">
        <v>96.96</v>
      </c>
      <c r="AFB9">
        <v>97.09</v>
      </c>
      <c r="AFC9">
        <v>97.045000000000002</v>
      </c>
      <c r="AFD9">
        <v>96.85</v>
      </c>
      <c r="AFE9">
        <v>96.79</v>
      </c>
      <c r="AFF9">
        <v>96.91</v>
      </c>
      <c r="AFG9">
        <v>96.85</v>
      </c>
      <c r="AFH9">
        <v>96.844999999999999</v>
      </c>
      <c r="AFI9">
        <v>96.95</v>
      </c>
      <c r="AFJ9">
        <v>96.95</v>
      </c>
      <c r="AFK9">
        <v>97.14</v>
      </c>
      <c r="AFL9">
        <v>97.094999999999999</v>
      </c>
      <c r="AFM9">
        <v>97.055000000000007</v>
      </c>
      <c r="AFN9">
        <v>97.045000000000002</v>
      </c>
      <c r="AFO9">
        <v>97.114999999999995</v>
      </c>
      <c r="AFP9">
        <v>97.325000000000003</v>
      </c>
      <c r="AFQ9">
        <v>97.344999999999999</v>
      </c>
      <c r="AFR9">
        <v>97.284999999999997</v>
      </c>
      <c r="AFS9">
        <v>97.29</v>
      </c>
      <c r="AFT9">
        <v>97.49</v>
      </c>
      <c r="AFU9">
        <v>97.504999999999995</v>
      </c>
      <c r="AFV9">
        <v>97.495000000000005</v>
      </c>
      <c r="AFW9">
        <v>97.685000000000002</v>
      </c>
      <c r="AFX9">
        <v>97.685000000000002</v>
      </c>
      <c r="AFY9">
        <v>97.82</v>
      </c>
      <c r="AFZ9">
        <v>97.87</v>
      </c>
      <c r="AGA9">
        <v>97.915000000000006</v>
      </c>
      <c r="AGB9">
        <v>98</v>
      </c>
      <c r="AGC9">
        <v>98.125</v>
      </c>
      <c r="AGD9">
        <v>98.174999999999997</v>
      </c>
      <c r="AGE9">
        <v>98.094999999999999</v>
      </c>
      <c r="AGF9">
        <v>98.12</v>
      </c>
      <c r="AGG9">
        <v>98.41</v>
      </c>
      <c r="AGH9">
        <v>98.18</v>
      </c>
      <c r="AGI9">
        <v>97.95</v>
      </c>
      <c r="AGJ9">
        <v>97.99</v>
      </c>
      <c r="AGK9">
        <v>97.95</v>
      </c>
      <c r="AGL9">
        <v>97.984999999999999</v>
      </c>
      <c r="AGM9">
        <v>98.08</v>
      </c>
      <c r="AGN9">
        <v>98.08</v>
      </c>
      <c r="AGO9">
        <v>98.055000000000007</v>
      </c>
      <c r="AGP9">
        <v>97.99</v>
      </c>
      <c r="AGQ9">
        <v>97.944999999999993</v>
      </c>
      <c r="AGR9">
        <v>97.93</v>
      </c>
      <c r="AGS9">
        <v>98.025000000000006</v>
      </c>
      <c r="AGT9">
        <v>97.95</v>
      </c>
      <c r="AGU9">
        <v>98.19</v>
      </c>
      <c r="AGV9">
        <v>98.194999999999993</v>
      </c>
      <c r="AGW9">
        <v>98.245000000000005</v>
      </c>
      <c r="AGX9">
        <v>98.22</v>
      </c>
      <c r="AGY9">
        <v>98.37</v>
      </c>
      <c r="AGZ9">
        <v>98.415000000000006</v>
      </c>
      <c r="AHA9">
        <v>98.42</v>
      </c>
      <c r="AHB9">
        <v>98.424999999999997</v>
      </c>
      <c r="AHC9">
        <v>98.394999999999996</v>
      </c>
      <c r="AHD9">
        <v>98.38</v>
      </c>
      <c r="AHE9">
        <v>98.51</v>
      </c>
      <c r="AHF9">
        <v>98.605000000000004</v>
      </c>
      <c r="AHG9">
        <v>98.65</v>
      </c>
      <c r="AHH9">
        <v>98.564999999999998</v>
      </c>
      <c r="AHI9">
        <v>98.48</v>
      </c>
      <c r="AHJ9">
        <v>98.515000000000001</v>
      </c>
      <c r="AHK9">
        <v>98.474999999999994</v>
      </c>
      <c r="AHL9">
        <v>98.56</v>
      </c>
      <c r="AHM9">
        <v>98.56</v>
      </c>
      <c r="AHN9">
        <v>98.655000000000001</v>
      </c>
      <c r="AHO9">
        <v>98.644999999999996</v>
      </c>
      <c r="AHP9">
        <v>98.644999999999996</v>
      </c>
      <c r="AHQ9">
        <v>98.62</v>
      </c>
      <c r="AHR9">
        <v>98.665000000000006</v>
      </c>
      <c r="AHS9">
        <v>98.674999999999997</v>
      </c>
      <c r="AHT9">
        <v>98.73</v>
      </c>
      <c r="AHU9">
        <v>98.81</v>
      </c>
      <c r="AHV9">
        <v>98.784999999999997</v>
      </c>
      <c r="AHW9">
        <v>98.864999999999995</v>
      </c>
      <c r="AHX9">
        <v>98.855000000000004</v>
      </c>
      <c r="AHY9">
        <v>98.83</v>
      </c>
      <c r="AHZ9">
        <v>98.84</v>
      </c>
      <c r="AIA9">
        <v>98.83</v>
      </c>
      <c r="AIB9">
        <v>98.855000000000004</v>
      </c>
      <c r="AIC9">
        <v>98.855000000000004</v>
      </c>
      <c r="AID9">
        <v>98.875</v>
      </c>
      <c r="AIE9">
        <v>98.875</v>
      </c>
      <c r="AIF9">
        <v>98.94</v>
      </c>
      <c r="AIG9">
        <v>98.91</v>
      </c>
      <c r="AIH9">
        <v>98.915000000000006</v>
      </c>
      <c r="AII9">
        <v>98.81</v>
      </c>
      <c r="AIJ9">
        <v>99.01</v>
      </c>
      <c r="AIK9">
        <v>99.045000000000002</v>
      </c>
      <c r="AIL9">
        <v>99.02</v>
      </c>
      <c r="AIM9">
        <v>98.98</v>
      </c>
      <c r="AIN9">
        <v>99</v>
      </c>
      <c r="AIO9">
        <v>98.97</v>
      </c>
      <c r="AIP9">
        <v>99.03</v>
      </c>
      <c r="AIQ9">
        <v>99.084999999999994</v>
      </c>
      <c r="AIR9">
        <v>99.034999999999997</v>
      </c>
      <c r="AIS9">
        <v>99.105000000000004</v>
      </c>
      <c r="AIT9">
        <v>99.144999999999996</v>
      </c>
      <c r="AIU9">
        <v>99.174999999999997</v>
      </c>
      <c r="AIV9">
        <v>99.18</v>
      </c>
      <c r="AIW9">
        <v>98.984999999999999</v>
      </c>
      <c r="AIX9">
        <v>98.984999999999999</v>
      </c>
      <c r="AIY9">
        <v>99.03</v>
      </c>
      <c r="AIZ9">
        <v>98.99</v>
      </c>
      <c r="AJA9">
        <v>99.1</v>
      </c>
      <c r="AJB9">
        <v>99.1</v>
      </c>
      <c r="AJC9">
        <v>99.084999999999994</v>
      </c>
      <c r="AJD9">
        <v>99.055000000000007</v>
      </c>
      <c r="AJE9">
        <v>99.055000000000007</v>
      </c>
      <c r="AJF9">
        <v>99.05</v>
      </c>
      <c r="AJG9">
        <v>99.04</v>
      </c>
      <c r="AJH9">
        <v>99.114999999999995</v>
      </c>
      <c r="AJI9">
        <v>99.275000000000006</v>
      </c>
      <c r="AJJ9">
        <v>99.24</v>
      </c>
      <c r="AJK9">
        <v>99.31</v>
      </c>
      <c r="AJL9">
        <v>99.27</v>
      </c>
      <c r="AJM9">
        <v>99.17</v>
      </c>
      <c r="AJN9">
        <v>99.2</v>
      </c>
      <c r="AJO9">
        <v>99.12</v>
      </c>
      <c r="AJP9">
        <v>99.125</v>
      </c>
      <c r="AJQ9">
        <v>99.15</v>
      </c>
      <c r="AJR9">
        <v>99.165000000000006</v>
      </c>
      <c r="AJS9">
        <v>99.2</v>
      </c>
      <c r="AJT9">
        <v>99.22</v>
      </c>
      <c r="AJU9">
        <v>99.17</v>
      </c>
      <c r="AJV9">
        <v>99.21</v>
      </c>
      <c r="AJW9">
        <v>99.3</v>
      </c>
      <c r="AJX9">
        <v>99.29</v>
      </c>
      <c r="AJY9">
        <v>99.25</v>
      </c>
      <c r="AJZ9">
        <v>99.284999999999997</v>
      </c>
      <c r="AKA9">
        <v>99.38</v>
      </c>
      <c r="AKB9">
        <v>99.35</v>
      </c>
      <c r="AKC9">
        <v>99.405000000000001</v>
      </c>
      <c r="AKD9">
        <v>99.42</v>
      </c>
      <c r="AKE9">
        <v>99.465000000000003</v>
      </c>
      <c r="AKF9">
        <v>99.495000000000005</v>
      </c>
      <c r="AKG9">
        <v>99.52</v>
      </c>
      <c r="AKH9">
        <v>99.54</v>
      </c>
      <c r="AKI9">
        <v>99.56</v>
      </c>
      <c r="AKJ9">
        <v>99.564999999999998</v>
      </c>
      <c r="AKK9">
        <v>99.525000000000006</v>
      </c>
      <c r="AKL9">
        <v>99.515000000000001</v>
      </c>
      <c r="AKM9">
        <v>99.495000000000005</v>
      </c>
      <c r="AKN9">
        <v>99.495000000000005</v>
      </c>
      <c r="AKO9">
        <v>99.51</v>
      </c>
      <c r="AKP9">
        <v>99.534999999999997</v>
      </c>
      <c r="AKQ9">
        <v>99.575000000000003</v>
      </c>
      <c r="AKR9">
        <v>99.625</v>
      </c>
      <c r="AKS9">
        <v>99.625</v>
      </c>
      <c r="AKT9">
        <v>99.605000000000004</v>
      </c>
      <c r="AKU9">
        <v>99.614999999999995</v>
      </c>
      <c r="AKV9">
        <v>99.63</v>
      </c>
      <c r="AKW9">
        <v>99.754999999999995</v>
      </c>
      <c r="AKX9">
        <v>99.75</v>
      </c>
      <c r="AKY9">
        <v>99.745000000000005</v>
      </c>
      <c r="AKZ9">
        <v>99.754999999999995</v>
      </c>
      <c r="ALA9">
        <v>99.75</v>
      </c>
      <c r="ALB9">
        <v>99.75</v>
      </c>
      <c r="ALC9">
        <v>99.765000000000001</v>
      </c>
      <c r="ALD9">
        <v>99.765000000000001</v>
      </c>
      <c r="ALE9">
        <v>99.754999999999995</v>
      </c>
      <c r="ALF9">
        <v>99.745000000000005</v>
      </c>
      <c r="ALG9">
        <v>99.75</v>
      </c>
      <c r="ALH9">
        <v>99.75</v>
      </c>
      <c r="ALI9">
        <v>99.74</v>
      </c>
      <c r="ALJ9">
        <v>99.71</v>
      </c>
      <c r="ALK9">
        <v>99.704999999999998</v>
      </c>
      <c r="ALL9">
        <v>99.71</v>
      </c>
      <c r="ALM9">
        <v>99.71</v>
      </c>
      <c r="ALN9">
        <v>99.704999999999998</v>
      </c>
      <c r="ALO9">
        <v>99.71</v>
      </c>
      <c r="ALP9">
        <v>99.71</v>
      </c>
      <c r="ALQ9">
        <v>99.71</v>
      </c>
      <c r="ALR9">
        <v>99.72</v>
      </c>
      <c r="ALS9">
        <v>99.704999999999998</v>
      </c>
      <c r="ALT9">
        <v>99.69</v>
      </c>
      <c r="ALU9">
        <v>99.7</v>
      </c>
      <c r="ALV9">
        <v>99.68</v>
      </c>
      <c r="ALW9">
        <v>99.704999999999998</v>
      </c>
      <c r="ALX9">
        <v>99.715000000000003</v>
      </c>
      <c r="ALY9">
        <v>99.734999999999999</v>
      </c>
      <c r="ALZ9">
        <v>99.77</v>
      </c>
      <c r="AMA9">
        <v>99.79</v>
      </c>
      <c r="AMB9">
        <v>99.784999999999997</v>
      </c>
      <c r="AMC9">
        <v>99.765000000000001</v>
      </c>
      <c r="AMD9">
        <v>99.745000000000005</v>
      </c>
      <c r="AME9">
        <v>99.73</v>
      </c>
      <c r="AMF9">
        <v>99.754999999999995</v>
      </c>
      <c r="AMG9">
        <v>99.74</v>
      </c>
      <c r="AMH9">
        <v>99.734999999999999</v>
      </c>
      <c r="AMI9">
        <v>99.74</v>
      </c>
      <c r="AMJ9">
        <v>99.734999999999999</v>
      </c>
      <c r="AMK9">
        <v>99.765000000000001</v>
      </c>
      <c r="AML9">
        <v>99.734999999999999</v>
      </c>
      <c r="AMM9">
        <v>99.685000000000002</v>
      </c>
      <c r="AMN9">
        <v>99.685000000000002</v>
      </c>
      <c r="AMO9">
        <v>99.68</v>
      </c>
      <c r="AMP9">
        <v>99.64</v>
      </c>
      <c r="AMQ9">
        <v>99.7</v>
      </c>
      <c r="AMR9">
        <v>99.715000000000003</v>
      </c>
      <c r="AMS9">
        <v>99.75</v>
      </c>
      <c r="AMT9">
        <v>99.71</v>
      </c>
      <c r="AMU9">
        <v>99.7</v>
      </c>
      <c r="AMV9">
        <v>99.674999999999997</v>
      </c>
      <c r="AMW9">
        <v>99.674999999999997</v>
      </c>
      <c r="AMX9">
        <v>99.635000000000005</v>
      </c>
      <c r="AMY9">
        <v>99.65</v>
      </c>
      <c r="AMZ9">
        <v>99.644999999999996</v>
      </c>
      <c r="ANA9">
        <v>99.65</v>
      </c>
      <c r="ANB9">
        <v>99.63</v>
      </c>
      <c r="ANC9">
        <v>99.64</v>
      </c>
      <c r="AND9">
        <v>99.65</v>
      </c>
      <c r="ANE9">
        <v>99.68</v>
      </c>
      <c r="ANF9">
        <v>99.655000000000001</v>
      </c>
      <c r="ANG9">
        <v>99.65</v>
      </c>
      <c r="ANH9">
        <v>99.7</v>
      </c>
      <c r="ANI9">
        <v>99.73</v>
      </c>
      <c r="ANJ9">
        <v>99.855000000000004</v>
      </c>
      <c r="ANK9">
        <v>99.855000000000004</v>
      </c>
      <c r="ANL9">
        <v>99.864999999999995</v>
      </c>
      <c r="ANM9">
        <v>99.87</v>
      </c>
      <c r="ANN9">
        <v>99.87</v>
      </c>
      <c r="ANO9">
        <v>99.864999999999995</v>
      </c>
      <c r="ANP9">
        <v>99.87</v>
      </c>
      <c r="ANQ9">
        <v>99.875</v>
      </c>
      <c r="ANR9">
        <v>99.86</v>
      </c>
      <c r="ANS9">
        <v>99.864999999999995</v>
      </c>
      <c r="ANT9">
        <v>99.864999999999995</v>
      </c>
      <c r="ANU9">
        <v>99.864999999999995</v>
      </c>
      <c r="ANV9">
        <v>99.864999999999995</v>
      </c>
      <c r="ANW9">
        <v>99.864999999999995</v>
      </c>
      <c r="ANX9">
        <v>99.864999999999995</v>
      </c>
      <c r="ANY9">
        <v>99.864999999999995</v>
      </c>
      <c r="ANZ9">
        <v>99.85</v>
      </c>
      <c r="AOA9">
        <v>99.844999999999999</v>
      </c>
      <c r="AOB9">
        <v>99.844999999999999</v>
      </c>
      <c r="AOC9">
        <v>99.83</v>
      </c>
      <c r="AOD9">
        <v>99.844999999999999</v>
      </c>
      <c r="AOE9">
        <v>99.844999999999999</v>
      </c>
      <c r="AOF9">
        <v>99.844999999999999</v>
      </c>
      <c r="AOG9">
        <v>99.84</v>
      </c>
      <c r="AOH9">
        <v>99.83</v>
      </c>
      <c r="AOI9">
        <v>99.85</v>
      </c>
      <c r="AOJ9">
        <v>99.864999999999995</v>
      </c>
      <c r="AOK9">
        <v>99.87</v>
      </c>
      <c r="AOL9">
        <v>99.85</v>
      </c>
      <c r="AOM9">
        <v>99.844999999999999</v>
      </c>
      <c r="AON9">
        <v>99.84</v>
      </c>
      <c r="AOO9">
        <v>99.834999999999994</v>
      </c>
      <c r="AOP9">
        <v>99.83</v>
      </c>
      <c r="AOQ9">
        <v>99.83</v>
      </c>
      <c r="AOR9">
        <v>99.825000000000003</v>
      </c>
      <c r="AOS9">
        <v>99.82</v>
      </c>
      <c r="AOT9">
        <v>99.825000000000003</v>
      </c>
      <c r="AOU9">
        <v>99.83</v>
      </c>
      <c r="AOV9">
        <v>99.834999999999994</v>
      </c>
      <c r="AOW9">
        <v>99.84</v>
      </c>
      <c r="AOX9">
        <v>99.844999999999999</v>
      </c>
      <c r="AOY9">
        <v>99.84</v>
      </c>
      <c r="AOZ9">
        <v>99.834999999999994</v>
      </c>
      <c r="APA9">
        <v>99.844999999999999</v>
      </c>
      <c r="APB9">
        <v>99.83</v>
      </c>
      <c r="APC9">
        <v>99.834999999999994</v>
      </c>
      <c r="APD9">
        <v>99.814999999999998</v>
      </c>
      <c r="APE9">
        <v>99.825000000000003</v>
      </c>
      <c r="APF9">
        <v>99.83</v>
      </c>
      <c r="APG9">
        <v>99.825000000000003</v>
      </c>
      <c r="APH9">
        <v>99.805000000000007</v>
      </c>
      <c r="API9">
        <v>99.784999999999997</v>
      </c>
      <c r="APJ9">
        <v>99.76</v>
      </c>
      <c r="APK9">
        <v>99.8</v>
      </c>
      <c r="APL9">
        <v>99.805000000000007</v>
      </c>
      <c r="APM9">
        <v>99.814999999999998</v>
      </c>
      <c r="APN9">
        <v>99.825000000000003</v>
      </c>
      <c r="APO9">
        <v>99.834999999999994</v>
      </c>
      <c r="APP9">
        <v>99.84</v>
      </c>
      <c r="APQ9">
        <v>99.834999999999994</v>
      </c>
      <c r="APR9">
        <v>99.83</v>
      </c>
      <c r="APS9">
        <v>99.83</v>
      </c>
      <c r="APT9">
        <v>99.825000000000003</v>
      </c>
      <c r="APU9">
        <v>99.82</v>
      </c>
      <c r="APV9">
        <v>99.844999999999999</v>
      </c>
      <c r="APW9">
        <v>99.885000000000005</v>
      </c>
      <c r="APX9">
        <v>99.88</v>
      </c>
      <c r="APY9">
        <v>99.88</v>
      </c>
      <c r="APZ9">
        <v>99.89</v>
      </c>
      <c r="AQA9">
        <v>99.89</v>
      </c>
      <c r="AQB9">
        <v>99.885000000000005</v>
      </c>
      <c r="AQC9">
        <v>99.885000000000005</v>
      </c>
      <c r="AQD9">
        <v>99.9</v>
      </c>
      <c r="AQE9">
        <v>99.894999999999996</v>
      </c>
      <c r="AQF9">
        <v>99.89</v>
      </c>
      <c r="AQG9">
        <v>99.9</v>
      </c>
      <c r="AQH9">
        <v>99.9</v>
      </c>
      <c r="AQI9">
        <v>99.885000000000005</v>
      </c>
      <c r="AQJ9">
        <v>99.88</v>
      </c>
      <c r="AQK9">
        <v>99.915000000000006</v>
      </c>
      <c r="AQL9">
        <v>99.915000000000006</v>
      </c>
      <c r="AQM9">
        <v>99.915000000000006</v>
      </c>
      <c r="AQN9">
        <v>99.915000000000006</v>
      </c>
      <c r="AQO9">
        <v>99.915000000000006</v>
      </c>
      <c r="AQP9">
        <v>99.915000000000006</v>
      </c>
      <c r="AQQ9">
        <v>99.905000000000001</v>
      </c>
      <c r="AQR9">
        <v>99.92</v>
      </c>
      <c r="AQS9">
        <v>99.92</v>
      </c>
      <c r="AQT9">
        <v>99.924999999999997</v>
      </c>
      <c r="AQU9">
        <v>99.924999999999997</v>
      </c>
      <c r="AQV9">
        <v>99.92</v>
      </c>
      <c r="AQW9">
        <v>99.92</v>
      </c>
      <c r="AQX9">
        <v>99.93</v>
      </c>
      <c r="AQY9">
        <v>99.93</v>
      </c>
      <c r="AQZ9">
        <v>99.924999999999997</v>
      </c>
      <c r="ARA9">
        <v>99.93</v>
      </c>
      <c r="ARB9">
        <v>99.935000000000002</v>
      </c>
      <c r="ARC9">
        <v>99.93</v>
      </c>
      <c r="ARD9">
        <v>99.924999999999997</v>
      </c>
      <c r="ARE9">
        <v>99.93</v>
      </c>
      <c r="ARF9">
        <v>99.93</v>
      </c>
      <c r="ARG9">
        <v>99.93</v>
      </c>
      <c r="ARH9">
        <v>99.924999999999997</v>
      </c>
      <c r="ARI9">
        <v>99.924999999999997</v>
      </c>
      <c r="ARJ9">
        <v>99.92</v>
      </c>
      <c r="ARK9">
        <v>99.92</v>
      </c>
      <c r="ARL9">
        <v>99.92</v>
      </c>
      <c r="ARM9">
        <v>99.92</v>
      </c>
      <c r="ARN9">
        <v>99.915000000000006</v>
      </c>
      <c r="ARO9">
        <v>99.905000000000001</v>
      </c>
      <c r="ARP9">
        <v>99.9</v>
      </c>
      <c r="ARQ9">
        <v>99.905000000000001</v>
      </c>
      <c r="ARR9">
        <v>99.905000000000001</v>
      </c>
      <c r="ARS9">
        <v>99.905000000000001</v>
      </c>
      <c r="ART9">
        <v>99.92</v>
      </c>
      <c r="ARU9">
        <v>99.93</v>
      </c>
      <c r="ARV9">
        <v>99.935000000000002</v>
      </c>
      <c r="ARW9">
        <v>99.93</v>
      </c>
      <c r="ARX9">
        <v>99.93</v>
      </c>
      <c r="ARY9">
        <v>99.92</v>
      </c>
      <c r="ARZ9">
        <v>99.92</v>
      </c>
      <c r="ASA9">
        <v>99.92</v>
      </c>
      <c r="ASB9">
        <v>99.924999999999997</v>
      </c>
      <c r="ASC9">
        <v>99.924999999999997</v>
      </c>
      <c r="ASD9">
        <v>99.924999999999997</v>
      </c>
      <c r="ASE9">
        <v>99.924999999999997</v>
      </c>
      <c r="ASF9">
        <v>99.924999999999997</v>
      </c>
      <c r="ASG9">
        <v>99.924999999999997</v>
      </c>
      <c r="ASH9">
        <v>99.924999999999997</v>
      </c>
      <c r="ASI9">
        <v>99.924999999999997</v>
      </c>
      <c r="ASJ9">
        <v>99.935000000000002</v>
      </c>
      <c r="ASK9">
        <v>99.93</v>
      </c>
      <c r="ASL9">
        <v>99.93</v>
      </c>
      <c r="ASM9">
        <v>99.92</v>
      </c>
      <c r="ASN9">
        <v>99.915000000000006</v>
      </c>
      <c r="ASO9">
        <v>99.915000000000006</v>
      </c>
      <c r="ASP9">
        <v>99.915000000000006</v>
      </c>
      <c r="ASQ9">
        <v>99.91</v>
      </c>
      <c r="ASR9">
        <v>99.905000000000001</v>
      </c>
      <c r="ASS9">
        <v>99.91</v>
      </c>
      <c r="AST9">
        <v>99.91</v>
      </c>
      <c r="ASU9">
        <v>99.92</v>
      </c>
      <c r="ASV9">
        <v>99.93</v>
      </c>
      <c r="ASW9">
        <v>99.924999999999997</v>
      </c>
      <c r="ASX9">
        <v>99.924999999999997</v>
      </c>
      <c r="ASY9">
        <v>99.924999999999997</v>
      </c>
      <c r="ASZ9">
        <v>99.924999999999997</v>
      </c>
      <c r="ATA9">
        <v>99.93</v>
      </c>
      <c r="ATB9">
        <v>99.924999999999997</v>
      </c>
      <c r="ATC9">
        <v>99.92</v>
      </c>
      <c r="ATD9">
        <v>99.924999999999997</v>
      </c>
      <c r="ATE9">
        <v>99.924999999999997</v>
      </c>
      <c r="ATF9">
        <v>99.924999999999997</v>
      </c>
      <c r="ATG9">
        <v>99.93</v>
      </c>
      <c r="ATH9">
        <v>99.924999999999997</v>
      </c>
      <c r="ATI9">
        <v>99.924999999999997</v>
      </c>
      <c r="ATJ9">
        <v>99.93</v>
      </c>
      <c r="ATK9">
        <v>99.96</v>
      </c>
      <c r="ATL9">
        <v>99.965000000000003</v>
      </c>
      <c r="ATM9">
        <v>99.98</v>
      </c>
      <c r="ATN9">
        <v>99.954999999999998</v>
      </c>
      <c r="ATO9">
        <v>99.965000000000003</v>
      </c>
      <c r="ATP9">
        <v>99.965000000000003</v>
      </c>
      <c r="ATQ9">
        <v>99.97</v>
      </c>
      <c r="ATR9">
        <v>99.97</v>
      </c>
      <c r="ATS9">
        <v>99.97</v>
      </c>
      <c r="ATT9">
        <v>99.97</v>
      </c>
      <c r="ATU9">
        <v>99.965000000000003</v>
      </c>
      <c r="ATV9">
        <v>99.96</v>
      </c>
      <c r="ATW9">
        <v>99.97</v>
      </c>
      <c r="ATX9">
        <v>99.97</v>
      </c>
      <c r="ATY9">
        <v>99.974999999999994</v>
      </c>
      <c r="ATZ9">
        <v>99.98</v>
      </c>
      <c r="AUA9">
        <v>99.974999999999994</v>
      </c>
      <c r="AUB9">
        <v>99.984999999999999</v>
      </c>
      <c r="AUC9">
        <v>99.984999999999999</v>
      </c>
      <c r="AUD9">
        <v>99.974999999999994</v>
      </c>
      <c r="AUE9">
        <v>99.974999999999994</v>
      </c>
      <c r="AUF9">
        <v>99.98</v>
      </c>
      <c r="AUG9">
        <v>99.98</v>
      </c>
      <c r="AUH9">
        <v>99.99</v>
      </c>
      <c r="AUI9">
        <v>99.99</v>
      </c>
      <c r="AUJ9">
        <v>100</v>
      </c>
      <c r="AUK9">
        <v>100</v>
      </c>
      <c r="AUL9">
        <v>100.01</v>
      </c>
      <c r="AUM9">
        <v>100.01</v>
      </c>
      <c r="AUN9">
        <v>100.01</v>
      </c>
      <c r="AUO9">
        <v>100.01</v>
      </c>
      <c r="AUP9">
        <v>100.01</v>
      </c>
      <c r="AUQ9">
        <v>100.01</v>
      </c>
      <c r="AUR9">
        <v>100.01</v>
      </c>
      <c r="AUS9">
        <v>100.005</v>
      </c>
      <c r="AUT9">
        <v>100</v>
      </c>
      <c r="AUU9">
        <v>100.01</v>
      </c>
      <c r="AUV9">
        <v>100.005</v>
      </c>
      <c r="AUW9">
        <v>99.98</v>
      </c>
      <c r="AUX9">
        <v>99.984999999999999</v>
      </c>
      <c r="AUY9">
        <v>99.99</v>
      </c>
      <c r="AUZ9">
        <v>99.97</v>
      </c>
      <c r="AVA9">
        <v>99.965000000000003</v>
      </c>
      <c r="AVB9">
        <v>99.97</v>
      </c>
      <c r="AVC9">
        <v>99.965000000000003</v>
      </c>
      <c r="AVD9">
        <v>99.965000000000003</v>
      </c>
      <c r="AVE9">
        <v>99.984999999999999</v>
      </c>
      <c r="AVF9">
        <v>99.974999999999994</v>
      </c>
      <c r="AVG9">
        <v>99.984999999999999</v>
      </c>
      <c r="AVH9">
        <v>99.98</v>
      </c>
      <c r="AVI9">
        <v>99.98</v>
      </c>
      <c r="AVJ9">
        <v>99.965000000000003</v>
      </c>
      <c r="AVK9">
        <v>99.97</v>
      </c>
      <c r="AVL9">
        <v>99.974999999999994</v>
      </c>
      <c r="AVM9">
        <v>99.984999999999999</v>
      </c>
      <c r="AVN9">
        <v>99.984999999999999</v>
      </c>
      <c r="AVO9">
        <v>99.99</v>
      </c>
      <c r="AVP9">
        <v>99.99</v>
      </c>
      <c r="AVQ9">
        <v>99.984999999999999</v>
      </c>
      <c r="AVR9">
        <v>99.974999999999994</v>
      </c>
      <c r="AVS9">
        <v>99.97</v>
      </c>
      <c r="AVT9">
        <v>99.97</v>
      </c>
      <c r="AVU9">
        <v>99.974999999999994</v>
      </c>
      <c r="AVV9">
        <v>99.974999999999994</v>
      </c>
      <c r="AVW9">
        <v>100</v>
      </c>
      <c r="AVX9">
        <v>100.01</v>
      </c>
      <c r="AVY9">
        <v>100.02500000000001</v>
      </c>
      <c r="AVZ9">
        <v>100.03</v>
      </c>
      <c r="AWA9">
        <v>100.04</v>
      </c>
      <c r="AWB9">
        <v>100.04</v>
      </c>
      <c r="AWC9">
        <v>100.045</v>
      </c>
      <c r="AWD9">
        <v>100.04</v>
      </c>
      <c r="AWE9">
        <v>100.035</v>
      </c>
      <c r="AWF9">
        <v>100.02500000000001</v>
      </c>
      <c r="AWG9">
        <v>100.02500000000001</v>
      </c>
      <c r="AWH9">
        <v>100.035</v>
      </c>
      <c r="AWI9">
        <v>100.04</v>
      </c>
      <c r="AWJ9">
        <v>100.04</v>
      </c>
      <c r="AWK9">
        <v>100.035</v>
      </c>
      <c r="AWL9">
        <v>100.03</v>
      </c>
      <c r="AWM9">
        <v>100.02500000000001</v>
      </c>
      <c r="AWN9">
        <v>100.03</v>
      </c>
      <c r="AWO9">
        <v>100.03</v>
      </c>
      <c r="AWP9">
        <v>100.035</v>
      </c>
      <c r="AWQ9">
        <v>100.035</v>
      </c>
      <c r="AWR9">
        <v>100.04</v>
      </c>
      <c r="AWS9">
        <v>100.045</v>
      </c>
      <c r="AWT9">
        <v>100.035</v>
      </c>
      <c r="AWU9">
        <v>100.03</v>
      </c>
      <c r="AWV9">
        <v>100.03</v>
      </c>
      <c r="AWW9">
        <v>100.03</v>
      </c>
      <c r="AWX9">
        <v>100.03</v>
      </c>
      <c r="AWY9">
        <v>100.02500000000001</v>
      </c>
      <c r="AWZ9">
        <v>100.04</v>
      </c>
      <c r="AXA9">
        <v>100.035</v>
      </c>
      <c r="AXB9">
        <v>100.02500000000001</v>
      </c>
      <c r="AXC9">
        <v>100.01</v>
      </c>
      <c r="AXD9">
        <v>100.015</v>
      </c>
      <c r="AXE9">
        <v>100.015</v>
      </c>
      <c r="AXF9">
        <v>100.01</v>
      </c>
      <c r="AXG9">
        <v>100</v>
      </c>
      <c r="AXH9">
        <v>99.99</v>
      </c>
      <c r="AXI9">
        <v>99.984999999999999</v>
      </c>
      <c r="AXJ9">
        <v>99.97</v>
      </c>
      <c r="AXK9">
        <v>99.98</v>
      </c>
      <c r="AXL9">
        <v>99.97</v>
      </c>
      <c r="AXM9">
        <v>99.99</v>
      </c>
      <c r="AXN9">
        <v>99.974999999999994</v>
      </c>
      <c r="AXO9">
        <v>99.95</v>
      </c>
      <c r="AXP9">
        <v>99.93</v>
      </c>
      <c r="AXQ9">
        <v>99.93</v>
      </c>
      <c r="AXR9">
        <v>99.96</v>
      </c>
      <c r="AXS9">
        <v>99.97</v>
      </c>
      <c r="AXT9">
        <v>100</v>
      </c>
      <c r="AXU9">
        <v>100.005</v>
      </c>
      <c r="AXV9">
        <v>99.995000000000005</v>
      </c>
      <c r="AXW9">
        <v>99.984999999999999</v>
      </c>
      <c r="AXX9">
        <v>99.984999999999999</v>
      </c>
      <c r="AXY9">
        <v>99.99</v>
      </c>
      <c r="AXZ9">
        <v>100</v>
      </c>
      <c r="AYA9">
        <v>100</v>
      </c>
      <c r="AYB9">
        <v>99.995000000000005</v>
      </c>
      <c r="AYC9">
        <v>99.995000000000005</v>
      </c>
      <c r="AYD9">
        <v>99.995000000000005</v>
      </c>
      <c r="AYE9">
        <v>99.995000000000005</v>
      </c>
      <c r="AYF9">
        <v>100.015</v>
      </c>
      <c r="AYG9">
        <v>100.01</v>
      </c>
      <c r="AYH9">
        <v>100</v>
      </c>
      <c r="AYI9">
        <v>99.995000000000005</v>
      </c>
      <c r="AYJ9">
        <v>99.99</v>
      </c>
      <c r="AYK9">
        <v>100.01</v>
      </c>
      <c r="AYL9">
        <v>100.02500000000001</v>
      </c>
      <c r="AYM9">
        <v>99.97</v>
      </c>
      <c r="AYN9">
        <v>99.95</v>
      </c>
      <c r="AYO9">
        <v>99.95</v>
      </c>
      <c r="AYP9">
        <v>99.935000000000002</v>
      </c>
      <c r="AYQ9">
        <v>99.94</v>
      </c>
      <c r="AYR9">
        <v>99.935000000000002</v>
      </c>
      <c r="AYS9">
        <v>99.924999999999997</v>
      </c>
      <c r="AYT9">
        <v>99.924999999999997</v>
      </c>
      <c r="AYU9">
        <v>99.93</v>
      </c>
      <c r="AYV9">
        <v>99.93</v>
      </c>
      <c r="AYW9">
        <v>99.924999999999997</v>
      </c>
      <c r="AYX9">
        <v>99.93</v>
      </c>
      <c r="AYY9">
        <v>99.92</v>
      </c>
      <c r="AYZ9">
        <v>99.915000000000006</v>
      </c>
      <c r="AZA9">
        <v>99.905000000000001</v>
      </c>
      <c r="AZB9">
        <v>99.905000000000001</v>
      </c>
      <c r="AZC9">
        <v>99.885000000000005</v>
      </c>
      <c r="AZD9">
        <v>99.88</v>
      </c>
      <c r="AZE9">
        <v>99.89</v>
      </c>
      <c r="AZF9">
        <v>99.89</v>
      </c>
      <c r="AZG9">
        <v>99.87</v>
      </c>
      <c r="AZH9">
        <v>99.864999999999995</v>
      </c>
      <c r="AZI9">
        <v>99.89</v>
      </c>
      <c r="AZJ9">
        <v>99.92</v>
      </c>
      <c r="AZK9">
        <v>99.92</v>
      </c>
      <c r="AZL9">
        <v>99.915000000000006</v>
      </c>
      <c r="AZM9">
        <v>99.905000000000001</v>
      </c>
      <c r="AZN9">
        <v>99.91</v>
      </c>
      <c r="AZO9">
        <v>99.9</v>
      </c>
      <c r="AZP9">
        <v>99.89</v>
      </c>
      <c r="AZQ9">
        <v>99.855000000000004</v>
      </c>
      <c r="AZR9">
        <v>99.84</v>
      </c>
      <c r="AZS9">
        <v>99.894999999999996</v>
      </c>
      <c r="AZT9">
        <v>99.85</v>
      </c>
      <c r="AZU9">
        <v>99.795000000000002</v>
      </c>
      <c r="AZV9">
        <v>99.734999999999999</v>
      </c>
      <c r="AZW9">
        <v>99.805000000000007</v>
      </c>
      <c r="AZX9">
        <v>99.85</v>
      </c>
      <c r="AZY9">
        <v>99.805000000000007</v>
      </c>
      <c r="AZZ9">
        <v>99.805000000000007</v>
      </c>
      <c r="BAA9">
        <v>99.734999999999999</v>
      </c>
      <c r="BAB9">
        <v>99.704999999999998</v>
      </c>
      <c r="BAC9">
        <v>99.8</v>
      </c>
      <c r="BAD9">
        <v>99.73</v>
      </c>
      <c r="BAE9">
        <v>99.65</v>
      </c>
      <c r="BAF9">
        <v>99.584999999999994</v>
      </c>
      <c r="BAG9">
        <v>99.504999999999995</v>
      </c>
      <c r="BAH9">
        <v>99.435000000000002</v>
      </c>
      <c r="BAI9">
        <v>99.43</v>
      </c>
      <c r="BAJ9">
        <v>99.22</v>
      </c>
      <c r="BAK9">
        <v>99.155000000000001</v>
      </c>
      <c r="BAL9">
        <v>99.114999999999995</v>
      </c>
      <c r="BAM9">
        <v>99.064999999999998</v>
      </c>
      <c r="BAN9">
        <v>98.97</v>
      </c>
      <c r="BAO9">
        <v>98.905000000000001</v>
      </c>
      <c r="BAP9">
        <v>98.864999999999995</v>
      </c>
      <c r="BAQ9">
        <v>98.89</v>
      </c>
      <c r="BAR9">
        <v>98.86</v>
      </c>
      <c r="BAS9">
        <v>98.86</v>
      </c>
      <c r="BAT9">
        <v>98.83</v>
      </c>
      <c r="BAU9">
        <v>98.825000000000003</v>
      </c>
      <c r="BAV9">
        <v>98.86</v>
      </c>
      <c r="BAW9">
        <v>98.89</v>
      </c>
      <c r="BAX9">
        <v>98.855000000000004</v>
      </c>
      <c r="BAY9">
        <v>98.805000000000007</v>
      </c>
      <c r="BAZ9">
        <v>98.825000000000003</v>
      </c>
      <c r="BBA9">
        <v>98.86</v>
      </c>
      <c r="BBB9">
        <v>98.944999999999993</v>
      </c>
      <c r="BBC9">
        <v>98.974999999999994</v>
      </c>
      <c r="BBD9">
        <v>98.92</v>
      </c>
      <c r="BBE9">
        <v>98.875</v>
      </c>
      <c r="BBF9">
        <v>98.83</v>
      </c>
      <c r="BBG9">
        <v>98.864999999999995</v>
      </c>
      <c r="BBH9">
        <v>98.79</v>
      </c>
      <c r="BBI9">
        <v>98.734999999999999</v>
      </c>
      <c r="BBJ9">
        <v>98.72</v>
      </c>
      <c r="BBK9">
        <v>98.704999999999998</v>
      </c>
      <c r="BBL9">
        <v>98.65</v>
      </c>
      <c r="BBM9">
        <v>98.65</v>
      </c>
      <c r="BBN9">
        <v>98.665000000000006</v>
      </c>
      <c r="BBO9">
        <v>98.674999999999997</v>
      </c>
      <c r="BBP9">
        <v>98.67</v>
      </c>
      <c r="BBQ9">
        <v>98.66</v>
      </c>
      <c r="BBR9">
        <v>98.665000000000006</v>
      </c>
      <c r="BBS9">
        <v>98.655000000000001</v>
      </c>
      <c r="BBT9">
        <v>98.65</v>
      </c>
      <c r="BBU9">
        <v>98.694999999999993</v>
      </c>
      <c r="BBV9">
        <v>98.7</v>
      </c>
      <c r="BBW9">
        <v>98.704999999999998</v>
      </c>
      <c r="BBX9">
        <v>98.625</v>
      </c>
      <c r="BBY9">
        <v>98.62</v>
      </c>
      <c r="BBZ9">
        <v>98.62</v>
      </c>
      <c r="BCA9">
        <v>98.625</v>
      </c>
      <c r="BCB9">
        <v>98.625</v>
      </c>
      <c r="BCC9">
        <v>98.59</v>
      </c>
      <c r="BCD9">
        <v>98.59</v>
      </c>
      <c r="BCE9">
        <v>98.59</v>
      </c>
      <c r="BCF9">
        <v>98.575000000000003</v>
      </c>
      <c r="BCG9">
        <v>98.61</v>
      </c>
      <c r="BCH9">
        <v>98.625</v>
      </c>
      <c r="BCI9">
        <v>98.6</v>
      </c>
      <c r="BCJ9">
        <v>98.625</v>
      </c>
      <c r="BCK9">
        <v>98.62</v>
      </c>
      <c r="BCL9">
        <v>98.685000000000002</v>
      </c>
      <c r="BCM9">
        <v>98.62</v>
      </c>
      <c r="BCN9">
        <v>98.69</v>
      </c>
      <c r="BCO9">
        <v>98.655000000000001</v>
      </c>
      <c r="BCP9">
        <v>98.68</v>
      </c>
      <c r="BCQ9">
        <v>98.685000000000002</v>
      </c>
      <c r="BCR9">
        <v>98.73</v>
      </c>
      <c r="BCS9">
        <v>98.74</v>
      </c>
      <c r="BCT9">
        <v>98.81</v>
      </c>
      <c r="BCU9">
        <v>98.694999999999993</v>
      </c>
      <c r="BCV9">
        <v>98.72</v>
      </c>
      <c r="BCW9">
        <v>98.704999999999998</v>
      </c>
      <c r="BCX9">
        <v>98.704999999999998</v>
      </c>
      <c r="BCY9">
        <v>98.745000000000005</v>
      </c>
      <c r="BCZ9">
        <v>98.734999999999999</v>
      </c>
      <c r="BDA9">
        <v>98.724999999999994</v>
      </c>
      <c r="BDB9">
        <v>98.754999999999995</v>
      </c>
      <c r="BDC9">
        <v>98.784999999999997</v>
      </c>
      <c r="BDD9">
        <v>98.75</v>
      </c>
      <c r="BDE9">
        <v>98.73</v>
      </c>
      <c r="BDF9">
        <v>98.71</v>
      </c>
      <c r="BDG9">
        <v>98.72</v>
      </c>
      <c r="BDH9">
        <v>98.67</v>
      </c>
      <c r="BDI9">
        <v>98.63</v>
      </c>
      <c r="BDJ9">
        <v>98.6</v>
      </c>
      <c r="BDK9">
        <v>98.61</v>
      </c>
      <c r="BDL9">
        <v>98.594999999999999</v>
      </c>
      <c r="BDM9">
        <v>98.69</v>
      </c>
      <c r="BDN9">
        <v>98.66</v>
      </c>
      <c r="BDO9">
        <v>98.704999999999998</v>
      </c>
      <c r="BDP9">
        <v>98.754999999999995</v>
      </c>
      <c r="BDQ9">
        <v>98.825000000000003</v>
      </c>
      <c r="BDR9">
        <v>98.704999999999998</v>
      </c>
      <c r="BDS9">
        <v>98.685000000000002</v>
      </c>
      <c r="BDT9">
        <v>98.69</v>
      </c>
      <c r="BDU9">
        <v>98.72</v>
      </c>
      <c r="BDV9">
        <v>98.775000000000006</v>
      </c>
      <c r="BDW9">
        <v>98.78</v>
      </c>
      <c r="BDX9">
        <v>98.76</v>
      </c>
      <c r="BDY9">
        <v>98.734999999999999</v>
      </c>
      <c r="BDZ9">
        <v>98.765000000000001</v>
      </c>
      <c r="BEA9">
        <v>98.74</v>
      </c>
      <c r="BEB9">
        <v>98.765000000000001</v>
      </c>
      <c r="BEC9">
        <v>98.72</v>
      </c>
      <c r="BED9">
        <v>98.76</v>
      </c>
      <c r="BEE9">
        <v>98.74</v>
      </c>
      <c r="BEF9">
        <v>98.875</v>
      </c>
      <c r="BEG9">
        <v>98.94</v>
      </c>
      <c r="BEH9">
        <v>99.004999999999995</v>
      </c>
      <c r="BEI9">
        <v>98.954999999999998</v>
      </c>
      <c r="BEJ9">
        <v>99.025000000000006</v>
      </c>
      <c r="BEK9">
        <v>99.034999999999997</v>
      </c>
      <c r="BEL9">
        <v>98.93</v>
      </c>
      <c r="BEM9">
        <v>98.855000000000004</v>
      </c>
      <c r="BEN9">
        <v>98.784999999999997</v>
      </c>
      <c r="BEO9">
        <v>98.795000000000002</v>
      </c>
      <c r="BEP9">
        <v>98.784999999999997</v>
      </c>
      <c r="BEQ9">
        <v>98.77</v>
      </c>
      <c r="BER9">
        <v>98.864999999999995</v>
      </c>
      <c r="BES9">
        <v>98.77</v>
      </c>
      <c r="BET9">
        <v>98.734999999999999</v>
      </c>
      <c r="BEU9">
        <v>98.75</v>
      </c>
      <c r="BEV9">
        <v>98.715000000000003</v>
      </c>
      <c r="BEW9">
        <v>98.685000000000002</v>
      </c>
      <c r="BEX9">
        <v>98.644999999999996</v>
      </c>
      <c r="BEY9">
        <v>98.584999999999994</v>
      </c>
      <c r="BEZ9">
        <v>98.665000000000006</v>
      </c>
      <c r="BFA9">
        <v>98.75</v>
      </c>
      <c r="BFB9">
        <v>98.77</v>
      </c>
      <c r="BFC9">
        <v>98.88</v>
      </c>
      <c r="BFD9">
        <v>98.944999999999993</v>
      </c>
      <c r="BFE9">
        <v>98.95</v>
      </c>
      <c r="BFF9">
        <v>99.075000000000003</v>
      </c>
      <c r="BFG9">
        <v>99.034999999999997</v>
      </c>
      <c r="BFH9">
        <v>98.954999999999998</v>
      </c>
      <c r="BFI9">
        <v>98.954999999999998</v>
      </c>
      <c r="BFJ9">
        <v>98.93</v>
      </c>
      <c r="BFK9">
        <v>98.974999999999994</v>
      </c>
      <c r="BFL9">
        <v>98.94</v>
      </c>
      <c r="BFM9">
        <v>98.91</v>
      </c>
      <c r="BFN9">
        <v>98.94</v>
      </c>
      <c r="BFO9">
        <v>98.84</v>
      </c>
      <c r="BFP9">
        <v>98.875</v>
      </c>
      <c r="BFQ9">
        <v>98.92</v>
      </c>
      <c r="BFR9">
        <v>98.88</v>
      </c>
      <c r="BFS9">
        <v>98.94</v>
      </c>
      <c r="BFT9">
        <v>98.935000000000002</v>
      </c>
      <c r="BFU9">
        <v>98.86</v>
      </c>
      <c r="BFV9">
        <v>98.775000000000006</v>
      </c>
      <c r="BFW9">
        <v>98.88</v>
      </c>
      <c r="BFX9">
        <v>98.81</v>
      </c>
      <c r="BFY9">
        <v>98.855000000000004</v>
      </c>
      <c r="BFZ9">
        <v>98.93</v>
      </c>
      <c r="BGA9">
        <v>98.85</v>
      </c>
      <c r="BGB9">
        <v>98.915000000000006</v>
      </c>
      <c r="BGC9">
        <v>98.694999999999993</v>
      </c>
      <c r="BGD9">
        <v>98.674999999999997</v>
      </c>
      <c r="BGE9">
        <v>98.484999999999999</v>
      </c>
      <c r="BGF9">
        <v>98.55</v>
      </c>
      <c r="BGG9">
        <v>98.56</v>
      </c>
      <c r="BGH9">
        <v>98.545000000000002</v>
      </c>
      <c r="BGI9">
        <v>98.58</v>
      </c>
      <c r="BGJ9">
        <v>98.605000000000004</v>
      </c>
      <c r="BGK9">
        <v>98.6</v>
      </c>
      <c r="BGL9">
        <v>98.63</v>
      </c>
      <c r="BGM9">
        <v>98.614999999999995</v>
      </c>
      <c r="BGN9">
        <v>98.665000000000006</v>
      </c>
      <c r="BGO9">
        <v>98.58</v>
      </c>
      <c r="BGP9">
        <v>98.53</v>
      </c>
      <c r="BGQ9">
        <v>98.56</v>
      </c>
      <c r="BGR9">
        <v>98.55</v>
      </c>
      <c r="BGS9">
        <v>98.53</v>
      </c>
      <c r="BGT9">
        <v>98.564999999999998</v>
      </c>
      <c r="BGU9">
        <v>98.51</v>
      </c>
      <c r="BGV9">
        <v>98.53</v>
      </c>
      <c r="BGW9">
        <v>98.525000000000006</v>
      </c>
      <c r="BGX9">
        <v>98.64</v>
      </c>
      <c r="BGY9">
        <v>98.64</v>
      </c>
      <c r="BGZ9">
        <v>98.635000000000005</v>
      </c>
      <c r="BHA9">
        <v>98.594999999999999</v>
      </c>
      <c r="BHB9">
        <v>98.65</v>
      </c>
      <c r="BHC9">
        <v>98.665000000000006</v>
      </c>
      <c r="BHD9">
        <v>98.635000000000005</v>
      </c>
      <c r="BHE9">
        <v>98.72</v>
      </c>
      <c r="BHF9">
        <v>98.7</v>
      </c>
      <c r="BHG9">
        <v>98.65</v>
      </c>
      <c r="BHH9">
        <v>98.704999999999998</v>
      </c>
      <c r="BHI9">
        <v>98.694999999999993</v>
      </c>
      <c r="BHJ9">
        <v>98.54</v>
      </c>
      <c r="BHK9">
        <v>98.545000000000002</v>
      </c>
      <c r="BHL9">
        <v>98.575000000000003</v>
      </c>
      <c r="BHM9">
        <v>98.58</v>
      </c>
      <c r="BHN9">
        <v>98.51</v>
      </c>
      <c r="BHO9">
        <v>98.46</v>
      </c>
      <c r="BHP9">
        <v>98.47</v>
      </c>
      <c r="BHQ9">
        <v>98.52</v>
      </c>
      <c r="BHR9">
        <v>98.51</v>
      </c>
      <c r="BHS9">
        <v>98.584999999999994</v>
      </c>
      <c r="BHT9">
        <v>98.555000000000007</v>
      </c>
      <c r="BHU9">
        <v>98.6</v>
      </c>
      <c r="BHV9">
        <v>98.48</v>
      </c>
      <c r="BHW9">
        <v>98.33</v>
      </c>
      <c r="BHX9">
        <v>98.334999999999994</v>
      </c>
      <c r="BHY9">
        <v>98.295000000000002</v>
      </c>
      <c r="BHZ9">
        <v>98.234999999999999</v>
      </c>
      <c r="BIA9">
        <v>98.234999999999999</v>
      </c>
      <c r="BIB9">
        <v>98.265000000000001</v>
      </c>
      <c r="BIC9">
        <v>98.13</v>
      </c>
      <c r="BID9">
        <v>98.1</v>
      </c>
      <c r="BIE9">
        <v>98.135000000000005</v>
      </c>
      <c r="BIF9">
        <v>98.155000000000001</v>
      </c>
      <c r="BIG9">
        <v>98.15</v>
      </c>
      <c r="BIH9">
        <v>98.194999999999993</v>
      </c>
      <c r="BII9">
        <v>98.14</v>
      </c>
      <c r="BIJ9">
        <v>98.144999999999996</v>
      </c>
      <c r="BIK9">
        <v>98.055000000000007</v>
      </c>
      <c r="BIL9">
        <v>98.04</v>
      </c>
      <c r="BIM9">
        <v>98.004999999999995</v>
      </c>
      <c r="BIN9">
        <v>98.025000000000006</v>
      </c>
      <c r="BIO9">
        <v>97.984999999999999</v>
      </c>
      <c r="BIP9">
        <v>97.944999999999993</v>
      </c>
      <c r="BIQ9">
        <v>97.94</v>
      </c>
      <c r="BIR9">
        <v>98.004999999999995</v>
      </c>
      <c r="BIS9">
        <v>98.045000000000002</v>
      </c>
      <c r="BIT9">
        <v>98.015000000000001</v>
      </c>
      <c r="BIU9">
        <v>98.02</v>
      </c>
      <c r="BIV9">
        <v>97.974999999999994</v>
      </c>
      <c r="BIW9">
        <v>97.99</v>
      </c>
      <c r="BIX9">
        <v>97.94</v>
      </c>
      <c r="BIY9">
        <v>97.92</v>
      </c>
      <c r="BIZ9">
        <v>97.91</v>
      </c>
      <c r="BJA9">
        <v>97.91</v>
      </c>
      <c r="BJB9">
        <v>97.89</v>
      </c>
      <c r="BJC9">
        <v>97.88</v>
      </c>
      <c r="BJD9">
        <v>97.91</v>
      </c>
      <c r="BJE9">
        <v>97.905000000000001</v>
      </c>
      <c r="BJF9">
        <v>97.974999999999994</v>
      </c>
      <c r="BJG9">
        <v>98.01</v>
      </c>
      <c r="BJH9">
        <v>97.98</v>
      </c>
      <c r="BJI9">
        <v>97.96</v>
      </c>
      <c r="BJJ9">
        <v>97.97</v>
      </c>
      <c r="BJK9">
        <v>97.98</v>
      </c>
      <c r="BJL9">
        <v>97.99</v>
      </c>
      <c r="BJM9">
        <v>98.01</v>
      </c>
      <c r="BJN9">
        <v>98</v>
      </c>
      <c r="BJO9">
        <v>98.08</v>
      </c>
      <c r="BJP9">
        <v>98.155000000000001</v>
      </c>
      <c r="BJQ9">
        <v>98.18</v>
      </c>
      <c r="BJR9">
        <v>98.12</v>
      </c>
      <c r="BJS9">
        <v>98.15</v>
      </c>
      <c r="BJT9">
        <v>98.03</v>
      </c>
      <c r="BJU9">
        <v>97.9</v>
      </c>
      <c r="BJV9">
        <v>97.885000000000005</v>
      </c>
      <c r="BJW9">
        <v>97.75</v>
      </c>
      <c r="BJX9">
        <v>97.765000000000001</v>
      </c>
      <c r="BJY9">
        <v>97.77</v>
      </c>
      <c r="BJZ9">
        <v>97.74</v>
      </c>
      <c r="BKA9">
        <v>97.745000000000005</v>
      </c>
      <c r="BKB9">
        <v>97.74</v>
      </c>
      <c r="BKC9">
        <v>97.715000000000003</v>
      </c>
      <c r="BKD9">
        <v>97.724999999999994</v>
      </c>
      <c r="BKE9">
        <v>97.715000000000003</v>
      </c>
      <c r="BKF9">
        <v>97.65</v>
      </c>
      <c r="BKG9">
        <v>97.614999999999995</v>
      </c>
      <c r="BKH9">
        <v>97.62</v>
      </c>
      <c r="BKI9">
        <v>97.61</v>
      </c>
      <c r="BKJ9">
        <v>97.68</v>
      </c>
      <c r="BKK9">
        <v>97.7</v>
      </c>
      <c r="BKL9">
        <v>97.72</v>
      </c>
      <c r="BKM9">
        <v>97.7</v>
      </c>
      <c r="BKN9">
        <v>97.704999999999998</v>
      </c>
      <c r="BKO9">
        <v>97.665000000000006</v>
      </c>
      <c r="BKP9">
        <v>97.7</v>
      </c>
      <c r="BKQ9">
        <v>97.694999999999993</v>
      </c>
      <c r="BKR9">
        <v>97.68</v>
      </c>
      <c r="BKS9">
        <v>97.68</v>
      </c>
      <c r="BKT9">
        <v>97.69</v>
      </c>
      <c r="BKU9">
        <v>97.65</v>
      </c>
      <c r="BKV9">
        <v>97.704999999999998</v>
      </c>
      <c r="BKW9">
        <v>97.734999999999999</v>
      </c>
      <c r="BKX9">
        <v>97.76</v>
      </c>
      <c r="BKY9">
        <v>97.734999999999999</v>
      </c>
      <c r="BKZ9">
        <v>97.69</v>
      </c>
      <c r="BLA9">
        <v>97.68</v>
      </c>
      <c r="BLB9">
        <v>97.68</v>
      </c>
      <c r="BLC9">
        <v>97.7</v>
      </c>
      <c r="BLD9">
        <v>97.724999999999994</v>
      </c>
      <c r="BLE9">
        <v>97.655000000000001</v>
      </c>
      <c r="BLF9">
        <v>97.61</v>
      </c>
      <c r="BLG9">
        <v>97.61</v>
      </c>
      <c r="BLH9">
        <v>97.6</v>
      </c>
      <c r="BLI9">
        <v>97.625</v>
      </c>
      <c r="BLJ9">
        <v>97.614999999999995</v>
      </c>
      <c r="BLK9">
        <v>97.62</v>
      </c>
      <c r="BLL9">
        <v>97.58</v>
      </c>
      <c r="BLM9">
        <v>97.58</v>
      </c>
      <c r="BLN9">
        <v>97.65</v>
      </c>
      <c r="BLO9">
        <v>97.68</v>
      </c>
      <c r="BLP9">
        <v>97.704999999999998</v>
      </c>
      <c r="BLQ9">
        <v>97.694999999999993</v>
      </c>
      <c r="BLR9">
        <v>97.7</v>
      </c>
      <c r="BLS9">
        <v>97.685000000000002</v>
      </c>
      <c r="BLT9">
        <v>97.69</v>
      </c>
      <c r="BLU9">
        <v>97.69</v>
      </c>
      <c r="BLV9">
        <v>97.76</v>
      </c>
      <c r="BLW9">
        <v>97.805000000000007</v>
      </c>
      <c r="BLX9">
        <v>97.87</v>
      </c>
      <c r="BLY9">
        <v>97.69</v>
      </c>
      <c r="BLZ9">
        <v>97.7</v>
      </c>
      <c r="BMA9">
        <v>97.7</v>
      </c>
      <c r="BMB9">
        <v>97.694999999999993</v>
      </c>
      <c r="BMC9">
        <v>97.685000000000002</v>
      </c>
      <c r="BMD9">
        <v>97.63</v>
      </c>
      <c r="BME9">
        <v>97.605000000000004</v>
      </c>
      <c r="BMF9">
        <v>97.605000000000004</v>
      </c>
      <c r="BMG9">
        <v>97.545000000000002</v>
      </c>
      <c r="BMH9">
        <v>97.51</v>
      </c>
      <c r="BMI9">
        <v>97.51</v>
      </c>
      <c r="BMJ9">
        <v>97.484999999999999</v>
      </c>
      <c r="BMK9">
        <v>97.44</v>
      </c>
      <c r="BML9">
        <v>97.405000000000001</v>
      </c>
      <c r="BMM9">
        <v>97.375</v>
      </c>
      <c r="BMN9">
        <v>97.38</v>
      </c>
      <c r="BMO9">
        <v>97.41</v>
      </c>
      <c r="BMP9">
        <v>97.45</v>
      </c>
      <c r="BMQ9">
        <v>97.42</v>
      </c>
      <c r="BMR9">
        <v>97.38</v>
      </c>
      <c r="BMS9">
        <v>97.28</v>
      </c>
      <c r="BMT9">
        <v>97.28</v>
      </c>
      <c r="BMU9">
        <v>97.254999999999995</v>
      </c>
      <c r="BMV9">
        <v>97.275000000000006</v>
      </c>
      <c r="BMW9">
        <v>97.27</v>
      </c>
      <c r="BMX9">
        <v>97.27</v>
      </c>
      <c r="BMY9">
        <v>97.23</v>
      </c>
      <c r="BMZ9">
        <v>97.22</v>
      </c>
      <c r="BNA9">
        <v>97.23</v>
      </c>
      <c r="BNB9">
        <v>97.23</v>
      </c>
      <c r="BNC9">
        <v>97.23</v>
      </c>
      <c r="BND9">
        <v>97.23</v>
      </c>
      <c r="BNE9">
        <v>97.234999999999999</v>
      </c>
      <c r="BNF9">
        <v>97.2</v>
      </c>
      <c r="BNG9">
        <v>97.15</v>
      </c>
      <c r="BNH9">
        <v>97.14</v>
      </c>
      <c r="BNI9">
        <v>97.09</v>
      </c>
      <c r="BNJ9">
        <v>97.07</v>
      </c>
      <c r="BNK9">
        <v>97.05</v>
      </c>
      <c r="BNL9">
        <v>97.034999999999997</v>
      </c>
      <c r="BNM9">
        <v>97.07</v>
      </c>
      <c r="BNN9">
        <v>97.08</v>
      </c>
      <c r="BNO9">
        <v>97.09</v>
      </c>
      <c r="BNP9">
        <v>97.094999999999999</v>
      </c>
      <c r="BNQ9">
        <v>97.13</v>
      </c>
      <c r="BNR9">
        <v>97.12</v>
      </c>
      <c r="BNS9">
        <v>97.155000000000001</v>
      </c>
      <c r="BNT9">
        <v>97.155000000000001</v>
      </c>
      <c r="BNU9">
        <v>97.16</v>
      </c>
      <c r="BNV9">
        <v>97.094999999999999</v>
      </c>
      <c r="BNW9">
        <v>97.094999999999999</v>
      </c>
      <c r="BNX9">
        <v>97.07</v>
      </c>
      <c r="BNY9">
        <v>97.04</v>
      </c>
      <c r="BNZ9">
        <v>97.034999999999997</v>
      </c>
      <c r="BOA9">
        <v>97.055000000000007</v>
      </c>
      <c r="BOB9">
        <v>97.045000000000002</v>
      </c>
      <c r="BOC9">
        <v>97.045000000000002</v>
      </c>
      <c r="BOD9">
        <v>97.05</v>
      </c>
      <c r="BOE9">
        <v>97.06</v>
      </c>
      <c r="BOF9">
        <v>97.045000000000002</v>
      </c>
      <c r="BOG9">
        <v>97</v>
      </c>
      <c r="BOH9">
        <v>96.99</v>
      </c>
      <c r="BOI9">
        <v>96.99</v>
      </c>
      <c r="BOJ9">
        <v>96.995000000000005</v>
      </c>
      <c r="BOK9">
        <v>97.02</v>
      </c>
      <c r="BOL9">
        <v>97.055000000000007</v>
      </c>
      <c r="BOM9">
        <v>97.1</v>
      </c>
      <c r="BON9">
        <v>97.09</v>
      </c>
      <c r="BOO9">
        <v>97.09</v>
      </c>
      <c r="BOP9">
        <v>97.07</v>
      </c>
      <c r="BOQ9">
        <v>97.07</v>
      </c>
      <c r="BOR9">
        <v>97.06</v>
      </c>
      <c r="BOS9">
        <v>97.075000000000003</v>
      </c>
      <c r="BOT9">
        <v>97.075000000000003</v>
      </c>
      <c r="BOU9">
        <v>97.064999999999998</v>
      </c>
      <c r="BOV9">
        <v>97.08</v>
      </c>
      <c r="BOW9">
        <v>97.114999999999995</v>
      </c>
      <c r="BOX9">
        <v>97.14</v>
      </c>
      <c r="BOY9">
        <v>97.144999999999996</v>
      </c>
      <c r="BOZ9">
        <v>97.18</v>
      </c>
      <c r="BPA9">
        <v>97.204999999999998</v>
      </c>
      <c r="BPB9">
        <v>97.204999999999998</v>
      </c>
      <c r="BPC9">
        <v>97.245000000000005</v>
      </c>
      <c r="BPD9">
        <v>97.245000000000005</v>
      </c>
      <c r="BPE9">
        <v>97.305000000000007</v>
      </c>
      <c r="BPF9">
        <v>97.29</v>
      </c>
      <c r="BPG9">
        <v>97.295000000000002</v>
      </c>
      <c r="BPH9">
        <v>97.314999999999998</v>
      </c>
      <c r="BPI9">
        <v>97.314999999999998</v>
      </c>
      <c r="BPJ9">
        <v>97.29</v>
      </c>
      <c r="BPK9">
        <v>97.28</v>
      </c>
      <c r="BPL9">
        <v>97.295000000000002</v>
      </c>
      <c r="BPM9">
        <v>97.31</v>
      </c>
      <c r="BPN9">
        <v>97.33</v>
      </c>
      <c r="BPO9">
        <v>97.334999999999994</v>
      </c>
      <c r="BPP9">
        <v>97.355000000000004</v>
      </c>
      <c r="BPQ9">
        <v>97.344999999999999</v>
      </c>
      <c r="BPR9">
        <v>97.355000000000004</v>
      </c>
      <c r="BPS9">
        <v>97.33</v>
      </c>
      <c r="BPT9">
        <v>97.325000000000003</v>
      </c>
      <c r="BPU9">
        <v>97.344999999999999</v>
      </c>
      <c r="BPV9">
        <v>97.31</v>
      </c>
      <c r="BPW9">
        <v>97.34</v>
      </c>
      <c r="BPX9">
        <v>97.35</v>
      </c>
      <c r="BPY9">
        <v>97.284999999999997</v>
      </c>
      <c r="BPZ9">
        <v>97.27</v>
      </c>
      <c r="BQA9">
        <v>97.265000000000001</v>
      </c>
      <c r="BQB9">
        <v>97.27</v>
      </c>
      <c r="BQC9">
        <v>97.26</v>
      </c>
      <c r="BQD9">
        <v>97.25</v>
      </c>
      <c r="BQE9">
        <v>97.25</v>
      </c>
      <c r="BQF9">
        <v>97.254999999999995</v>
      </c>
      <c r="BQG9">
        <v>97.254999999999995</v>
      </c>
      <c r="BQH9">
        <v>97.254999999999995</v>
      </c>
      <c r="BQI9">
        <v>97.25</v>
      </c>
      <c r="BQJ9">
        <v>97.29</v>
      </c>
      <c r="BQK9">
        <v>97.29</v>
      </c>
      <c r="BQL9">
        <v>97.3</v>
      </c>
      <c r="BQM9">
        <v>97.334999999999994</v>
      </c>
      <c r="BQN9">
        <v>97.34</v>
      </c>
      <c r="BQO9">
        <v>97.33</v>
      </c>
      <c r="BQP9">
        <v>97.334999999999994</v>
      </c>
      <c r="BQQ9">
        <v>97.36</v>
      </c>
      <c r="BQR9">
        <v>97.375</v>
      </c>
      <c r="BQS9">
        <v>97.37</v>
      </c>
      <c r="BQT9">
        <v>97.38</v>
      </c>
      <c r="BQU9">
        <v>97.38</v>
      </c>
      <c r="BQV9">
        <v>97.394999999999996</v>
      </c>
      <c r="BQW9">
        <v>97.405000000000001</v>
      </c>
      <c r="BQX9">
        <v>97.385000000000005</v>
      </c>
      <c r="BQY9">
        <v>97.405000000000001</v>
      </c>
      <c r="BQZ9">
        <v>97.405000000000001</v>
      </c>
      <c r="BRA9">
        <v>97.4</v>
      </c>
      <c r="BRB9">
        <v>97.4</v>
      </c>
      <c r="BRC9">
        <v>97.405000000000001</v>
      </c>
      <c r="BRD9">
        <v>97.405000000000001</v>
      </c>
      <c r="BRE9">
        <v>97.36</v>
      </c>
      <c r="BRF9">
        <v>97.344999999999999</v>
      </c>
      <c r="BRG9">
        <v>97.325000000000003</v>
      </c>
      <c r="BRH9">
        <v>97.325000000000003</v>
      </c>
      <c r="BRI9">
        <v>97.314999999999998</v>
      </c>
      <c r="BRJ9">
        <v>97.32</v>
      </c>
      <c r="BRK9">
        <v>97.29</v>
      </c>
      <c r="BRL9">
        <v>97.3</v>
      </c>
      <c r="BRM9">
        <v>97.284999999999997</v>
      </c>
      <c r="BRN9">
        <v>97.284999999999997</v>
      </c>
      <c r="BRO9">
        <v>97.32</v>
      </c>
      <c r="BRP9">
        <v>97.334999999999994</v>
      </c>
      <c r="BRQ9">
        <v>97.35</v>
      </c>
      <c r="BRR9">
        <v>97.314999999999998</v>
      </c>
      <c r="BRS9">
        <v>97.305000000000007</v>
      </c>
      <c r="BRT9">
        <v>97.344999999999999</v>
      </c>
      <c r="BRU9">
        <v>97.334999999999994</v>
      </c>
      <c r="BRV9">
        <v>97.385000000000005</v>
      </c>
      <c r="BRW9">
        <v>97.46</v>
      </c>
      <c r="BRX9">
        <v>97.465000000000003</v>
      </c>
      <c r="BRY9">
        <v>97.56</v>
      </c>
      <c r="BRZ9">
        <v>97.344999999999999</v>
      </c>
      <c r="BSA9">
        <v>97.344999999999999</v>
      </c>
      <c r="BSB9">
        <v>97.314999999999998</v>
      </c>
      <c r="BSC9">
        <v>97.284999999999997</v>
      </c>
      <c r="BSD9">
        <v>97.234999999999999</v>
      </c>
      <c r="BSE9">
        <v>97.224999999999994</v>
      </c>
      <c r="BSF9">
        <v>97.234999999999999</v>
      </c>
      <c r="BSG9">
        <v>97.21</v>
      </c>
      <c r="BSH9">
        <v>97.215000000000003</v>
      </c>
      <c r="BSI9">
        <v>97.224999999999994</v>
      </c>
      <c r="BSJ9">
        <v>97.254999999999995</v>
      </c>
      <c r="BSK9">
        <v>97.254999999999995</v>
      </c>
      <c r="BSL9">
        <v>97.27</v>
      </c>
      <c r="BSM9">
        <v>97.29</v>
      </c>
      <c r="BSN9">
        <v>97.314999999999998</v>
      </c>
      <c r="BSO9">
        <v>97.325000000000003</v>
      </c>
      <c r="BSP9">
        <v>97.32</v>
      </c>
      <c r="BSQ9" t="s">
        <v>6984</v>
      </c>
      <c r="BSR9" t="s">
        <v>6984</v>
      </c>
      <c r="BSS9" t="s">
        <v>6984</v>
      </c>
      <c r="BST9" t="s">
        <v>6984</v>
      </c>
      <c r="BSU9" t="s">
        <v>6984</v>
      </c>
      <c r="BSV9" t="s">
        <v>6984</v>
      </c>
      <c r="BSW9" t="s">
        <v>6984</v>
      </c>
      <c r="BSX9" t="s">
        <v>6984</v>
      </c>
      <c r="BSY9" t="s">
        <v>6984</v>
      </c>
      <c r="BSZ9" t="s">
        <v>6984</v>
      </c>
      <c r="BTA9" t="s">
        <v>6984</v>
      </c>
      <c r="BTB9" t="s">
        <v>6984</v>
      </c>
      <c r="BTC9" t="s">
        <v>6984</v>
      </c>
      <c r="BTD9" t="s">
        <v>6984</v>
      </c>
      <c r="BTE9" t="s">
        <v>6984</v>
      </c>
      <c r="BTF9" t="s">
        <v>6984</v>
      </c>
      <c r="BTG9" t="s">
        <v>6984</v>
      </c>
      <c r="BTH9" t="s">
        <v>6984</v>
      </c>
      <c r="BTI9" t="s">
        <v>6984</v>
      </c>
      <c r="BTJ9" t="s">
        <v>6984</v>
      </c>
      <c r="BTK9" t="s">
        <v>6984</v>
      </c>
      <c r="BTL9" t="s">
        <v>6984</v>
      </c>
      <c r="BTM9" t="s">
        <v>6984</v>
      </c>
      <c r="BTN9" t="s">
        <v>6984</v>
      </c>
      <c r="BTO9" t="s">
        <v>6984</v>
      </c>
      <c r="BTP9" t="s">
        <v>6984</v>
      </c>
      <c r="BTQ9" t="s">
        <v>6984</v>
      </c>
      <c r="BTR9" t="s">
        <v>6984</v>
      </c>
      <c r="BTS9" t="s">
        <v>6984</v>
      </c>
      <c r="BTT9" t="s">
        <v>6984</v>
      </c>
      <c r="BTU9" t="s">
        <v>6984</v>
      </c>
      <c r="BTV9" t="s">
        <v>6984</v>
      </c>
      <c r="BTW9" t="s">
        <v>6984</v>
      </c>
      <c r="BTX9" t="s">
        <v>6984</v>
      </c>
      <c r="BTY9" t="s">
        <v>6984</v>
      </c>
      <c r="BTZ9" t="s">
        <v>6984</v>
      </c>
      <c r="BUA9" t="s">
        <v>6984</v>
      </c>
      <c r="BUB9" t="s">
        <v>6984</v>
      </c>
      <c r="BUC9" t="s">
        <v>6984</v>
      </c>
      <c r="BUD9" t="s">
        <v>6984</v>
      </c>
      <c r="BUE9" t="s">
        <v>6984</v>
      </c>
      <c r="BUF9" t="s">
        <v>6984</v>
      </c>
      <c r="BUG9" t="s">
        <v>6984</v>
      </c>
      <c r="BUH9" t="s">
        <v>6984</v>
      </c>
      <c r="BUI9" t="s">
        <v>6984</v>
      </c>
      <c r="BUJ9" t="s">
        <v>6984</v>
      </c>
      <c r="BUK9" t="s">
        <v>6984</v>
      </c>
      <c r="BUL9" t="s">
        <v>6984</v>
      </c>
      <c r="BUM9" t="s">
        <v>6984</v>
      </c>
      <c r="BUN9" t="s">
        <v>6984</v>
      </c>
      <c r="BUO9" t="s">
        <v>6984</v>
      </c>
      <c r="BUP9" t="s">
        <v>6984</v>
      </c>
      <c r="BUQ9" t="s">
        <v>6984</v>
      </c>
      <c r="BUR9" t="s">
        <v>6984</v>
      </c>
      <c r="BUS9" t="s">
        <v>6984</v>
      </c>
      <c r="BUT9" t="s">
        <v>6984</v>
      </c>
      <c r="BUU9" t="s">
        <v>6984</v>
      </c>
      <c r="BUV9" t="s">
        <v>6984</v>
      </c>
      <c r="BUW9" t="s">
        <v>6984</v>
      </c>
      <c r="BUX9" t="s">
        <v>6984</v>
      </c>
      <c r="BUY9" t="s">
        <v>6984</v>
      </c>
      <c r="BUZ9" t="s">
        <v>6984</v>
      </c>
      <c r="BVA9" t="s">
        <v>6984</v>
      </c>
      <c r="BVB9" t="s">
        <v>6984</v>
      </c>
      <c r="BVC9" t="s">
        <v>6984</v>
      </c>
      <c r="BVD9" t="s">
        <v>6984</v>
      </c>
      <c r="BVE9" t="s">
        <v>6984</v>
      </c>
      <c r="BVF9" t="s">
        <v>6984</v>
      </c>
      <c r="BVG9" t="s">
        <v>6984</v>
      </c>
      <c r="BVH9" t="s">
        <v>6984</v>
      </c>
      <c r="BVI9" t="s">
        <v>6984</v>
      </c>
      <c r="BVJ9" t="s">
        <v>6984</v>
      </c>
      <c r="BVK9" t="s">
        <v>6984</v>
      </c>
      <c r="BVL9" t="s">
        <v>6984</v>
      </c>
      <c r="BVM9" t="s">
        <v>6984</v>
      </c>
      <c r="BVN9" t="s">
        <v>6984</v>
      </c>
      <c r="BVO9" t="s">
        <v>6984</v>
      </c>
      <c r="BVP9" t="s">
        <v>6984</v>
      </c>
      <c r="BVQ9" t="s">
        <v>6984</v>
      </c>
      <c r="BVR9" t="s">
        <v>6984</v>
      </c>
      <c r="BVS9" t="s">
        <v>6984</v>
      </c>
      <c r="BVT9" t="s">
        <v>6984</v>
      </c>
      <c r="BVU9" t="s">
        <v>6984</v>
      </c>
      <c r="BVV9" t="s">
        <v>6984</v>
      </c>
      <c r="BVW9" t="s">
        <v>6984</v>
      </c>
      <c r="BVX9" t="s">
        <v>6984</v>
      </c>
      <c r="BVY9" t="s">
        <v>6984</v>
      </c>
      <c r="BVZ9" t="s">
        <v>6984</v>
      </c>
      <c r="BWA9" t="s">
        <v>6984</v>
      </c>
      <c r="BWB9" t="s">
        <v>6984</v>
      </c>
      <c r="BWC9" t="s">
        <v>6984</v>
      </c>
      <c r="BWD9" t="s">
        <v>6984</v>
      </c>
      <c r="BWE9" t="s">
        <v>6984</v>
      </c>
      <c r="BWF9" t="s">
        <v>6984</v>
      </c>
      <c r="BWG9" t="s">
        <v>6984</v>
      </c>
      <c r="BWH9" t="s">
        <v>6984</v>
      </c>
      <c r="BWI9" t="s">
        <v>6984</v>
      </c>
      <c r="BWJ9" t="s">
        <v>6984</v>
      </c>
      <c r="BWK9" t="s">
        <v>6984</v>
      </c>
      <c r="BWL9" t="s">
        <v>6984</v>
      </c>
      <c r="BWM9" t="s">
        <v>6984</v>
      </c>
      <c r="BWN9" t="s">
        <v>6984</v>
      </c>
      <c r="BWO9" t="s">
        <v>6984</v>
      </c>
      <c r="BWP9" t="s">
        <v>6984</v>
      </c>
      <c r="BWQ9" t="s">
        <v>6984</v>
      </c>
      <c r="BWR9" t="s">
        <v>6984</v>
      </c>
      <c r="BWS9" t="s">
        <v>6984</v>
      </c>
      <c r="BWT9" t="s">
        <v>6984</v>
      </c>
      <c r="BWU9" t="s">
        <v>6984</v>
      </c>
      <c r="BWV9" t="s">
        <v>6984</v>
      </c>
      <c r="BWW9" t="s">
        <v>6984</v>
      </c>
      <c r="BWX9" t="s">
        <v>6984</v>
      </c>
      <c r="BWY9" t="s">
        <v>6984</v>
      </c>
      <c r="BWZ9" t="s">
        <v>6984</v>
      </c>
      <c r="BXA9" t="s">
        <v>6984</v>
      </c>
      <c r="BXB9" t="s">
        <v>6984</v>
      </c>
      <c r="BXC9" t="s">
        <v>6984</v>
      </c>
      <c r="BXD9" t="s">
        <v>6984</v>
      </c>
      <c r="BXE9" t="s">
        <v>6984</v>
      </c>
      <c r="BXF9" t="s">
        <v>6984</v>
      </c>
      <c r="BXG9" t="s">
        <v>6984</v>
      </c>
      <c r="BXH9" t="s">
        <v>6984</v>
      </c>
      <c r="BXI9" t="s">
        <v>6984</v>
      </c>
      <c r="BXJ9" t="s">
        <v>6984</v>
      </c>
      <c r="BXK9" t="s">
        <v>6984</v>
      </c>
      <c r="BXL9" t="s">
        <v>6984</v>
      </c>
      <c r="BXM9" t="s">
        <v>6984</v>
      </c>
      <c r="BXN9" t="s">
        <v>6984</v>
      </c>
      <c r="BXO9" t="s">
        <v>6984</v>
      </c>
      <c r="BXP9" t="s">
        <v>6984</v>
      </c>
      <c r="BXQ9" t="s">
        <v>6984</v>
      </c>
      <c r="BXR9" t="s">
        <v>6984</v>
      </c>
      <c r="BXS9" t="s">
        <v>6984</v>
      </c>
      <c r="BXT9" t="s">
        <v>6984</v>
      </c>
      <c r="BXU9" t="s">
        <v>6984</v>
      </c>
      <c r="BXV9" t="s">
        <v>6984</v>
      </c>
      <c r="BXW9" t="s">
        <v>6984</v>
      </c>
      <c r="BXX9" t="s">
        <v>6984</v>
      </c>
      <c r="BXY9" t="s">
        <v>6984</v>
      </c>
      <c r="BXZ9" t="s">
        <v>6984</v>
      </c>
      <c r="BYA9" t="s">
        <v>6984</v>
      </c>
      <c r="BYB9" t="s">
        <v>6984</v>
      </c>
      <c r="BYC9" t="s">
        <v>6984</v>
      </c>
      <c r="BYD9" t="s">
        <v>6984</v>
      </c>
      <c r="BYE9" t="s">
        <v>6984</v>
      </c>
      <c r="BYF9" t="s">
        <v>6984</v>
      </c>
      <c r="BYG9" t="s">
        <v>6984</v>
      </c>
      <c r="BYH9" t="s">
        <v>6984</v>
      </c>
      <c r="BYI9" t="s">
        <v>6984</v>
      </c>
      <c r="BYJ9" t="s">
        <v>6984</v>
      </c>
      <c r="BYK9" t="s">
        <v>6984</v>
      </c>
      <c r="BYL9" t="s">
        <v>6984</v>
      </c>
      <c r="BYM9" t="s">
        <v>6984</v>
      </c>
      <c r="BYN9" t="s">
        <v>6984</v>
      </c>
      <c r="BYO9" t="s">
        <v>6984</v>
      </c>
      <c r="BYP9" t="s">
        <v>6984</v>
      </c>
      <c r="BYQ9" t="s">
        <v>6984</v>
      </c>
      <c r="BYR9" t="s">
        <v>6984</v>
      </c>
      <c r="BYS9" t="s">
        <v>6984</v>
      </c>
      <c r="BYT9" t="s">
        <v>6984</v>
      </c>
      <c r="BYU9" t="s">
        <v>6984</v>
      </c>
      <c r="BYV9" t="s">
        <v>6984</v>
      </c>
      <c r="BYW9" t="s">
        <v>6984</v>
      </c>
      <c r="BYX9" t="s">
        <v>6984</v>
      </c>
      <c r="BYY9" t="s">
        <v>6984</v>
      </c>
      <c r="BYZ9" t="s">
        <v>6984</v>
      </c>
      <c r="BZA9" t="s">
        <v>6984</v>
      </c>
      <c r="BZB9" t="s">
        <v>6984</v>
      </c>
      <c r="BZC9" t="s">
        <v>6984</v>
      </c>
      <c r="BZD9" t="s">
        <v>6984</v>
      </c>
      <c r="BZE9" t="s">
        <v>6984</v>
      </c>
      <c r="BZF9" t="s">
        <v>6984</v>
      </c>
      <c r="BZG9" t="s">
        <v>6984</v>
      </c>
      <c r="BZH9" t="s">
        <v>6984</v>
      </c>
      <c r="BZI9" t="s">
        <v>6984</v>
      </c>
      <c r="BZJ9" t="s">
        <v>6984</v>
      </c>
      <c r="BZK9" t="s">
        <v>6984</v>
      </c>
      <c r="BZL9" t="s">
        <v>6984</v>
      </c>
      <c r="BZM9" t="s">
        <v>6984</v>
      </c>
      <c r="BZN9" t="s">
        <v>6984</v>
      </c>
      <c r="BZO9" t="s">
        <v>6984</v>
      </c>
      <c r="BZP9" t="s">
        <v>6984</v>
      </c>
      <c r="BZQ9" t="s">
        <v>6984</v>
      </c>
      <c r="BZR9" t="s">
        <v>6984</v>
      </c>
      <c r="BZS9" t="s">
        <v>6984</v>
      </c>
      <c r="BZT9" t="s">
        <v>6984</v>
      </c>
      <c r="BZU9" t="s">
        <v>6984</v>
      </c>
      <c r="BZV9" t="s">
        <v>6984</v>
      </c>
      <c r="BZW9" t="s">
        <v>6984</v>
      </c>
      <c r="BZX9" t="s">
        <v>6984</v>
      </c>
      <c r="BZY9" t="s">
        <v>6984</v>
      </c>
      <c r="BZZ9" t="s">
        <v>6984</v>
      </c>
      <c r="CAA9" t="s">
        <v>6984</v>
      </c>
      <c r="CAB9" t="s">
        <v>6984</v>
      </c>
      <c r="CAC9" t="s">
        <v>6984</v>
      </c>
      <c r="CAD9" t="s">
        <v>6984</v>
      </c>
      <c r="CAE9" t="s">
        <v>6984</v>
      </c>
      <c r="CAF9" t="s">
        <v>6984</v>
      </c>
      <c r="CAG9" t="s">
        <v>6984</v>
      </c>
      <c r="CAH9" t="s">
        <v>6984</v>
      </c>
      <c r="CAI9" t="s">
        <v>6984</v>
      </c>
      <c r="CAJ9" t="s">
        <v>6984</v>
      </c>
      <c r="CAK9" t="s">
        <v>6984</v>
      </c>
      <c r="CAL9" t="s">
        <v>6984</v>
      </c>
      <c r="CAM9" t="s">
        <v>6984</v>
      </c>
      <c r="CAN9" t="s">
        <v>6984</v>
      </c>
      <c r="CAO9" t="s">
        <v>6984</v>
      </c>
      <c r="CAP9" t="s">
        <v>6984</v>
      </c>
      <c r="CAQ9" t="s">
        <v>6984</v>
      </c>
      <c r="CAR9" t="s">
        <v>6984</v>
      </c>
      <c r="CAS9" t="s">
        <v>6984</v>
      </c>
      <c r="CAT9" t="s">
        <v>6984</v>
      </c>
      <c r="CAU9" t="s">
        <v>6984</v>
      </c>
      <c r="CAV9" t="s">
        <v>6984</v>
      </c>
      <c r="CAW9" t="s">
        <v>6984</v>
      </c>
      <c r="CAX9" t="s">
        <v>6984</v>
      </c>
      <c r="CAY9" t="s">
        <v>6984</v>
      </c>
      <c r="CAZ9" t="s">
        <v>6984</v>
      </c>
      <c r="CBA9" t="s">
        <v>6984</v>
      </c>
      <c r="CBB9" t="s">
        <v>6984</v>
      </c>
      <c r="CBC9" t="s">
        <v>6984</v>
      </c>
      <c r="CBD9" t="s">
        <v>6984</v>
      </c>
      <c r="CBE9" t="s">
        <v>6984</v>
      </c>
      <c r="CBF9" t="s">
        <v>6984</v>
      </c>
      <c r="CBG9" t="s">
        <v>6984</v>
      </c>
      <c r="CBH9" t="s">
        <v>6984</v>
      </c>
      <c r="CBI9" t="s">
        <v>6984</v>
      </c>
      <c r="CBJ9" t="s">
        <v>6984</v>
      </c>
      <c r="CBK9" t="s">
        <v>6984</v>
      </c>
      <c r="CBL9" t="s">
        <v>6984</v>
      </c>
      <c r="CBM9" t="s">
        <v>6984</v>
      </c>
      <c r="CBN9" t="s">
        <v>6984</v>
      </c>
      <c r="CBO9" t="s">
        <v>6984</v>
      </c>
      <c r="CBP9" t="s">
        <v>6984</v>
      </c>
      <c r="CBQ9" t="s">
        <v>6984</v>
      </c>
      <c r="CBR9" t="s">
        <v>6984</v>
      </c>
      <c r="CBS9" t="s">
        <v>6984</v>
      </c>
      <c r="CBT9" t="s">
        <v>6984</v>
      </c>
      <c r="CBU9" t="s">
        <v>6984</v>
      </c>
      <c r="CBV9" t="s">
        <v>6984</v>
      </c>
      <c r="CBW9" t="s">
        <v>6984</v>
      </c>
      <c r="CBX9" t="s">
        <v>6984</v>
      </c>
      <c r="CBY9" t="s">
        <v>6984</v>
      </c>
      <c r="CBZ9" t="s">
        <v>6984</v>
      </c>
      <c r="CCA9" t="s">
        <v>6984</v>
      </c>
      <c r="CCB9" t="s">
        <v>6984</v>
      </c>
      <c r="CCC9" t="s">
        <v>6984</v>
      </c>
      <c r="CCD9" t="s">
        <v>6984</v>
      </c>
      <c r="CCE9" t="s">
        <v>6984</v>
      </c>
      <c r="CCF9" t="s">
        <v>6984</v>
      </c>
      <c r="CCG9" t="s">
        <v>6984</v>
      </c>
      <c r="CCH9" t="s">
        <v>6984</v>
      </c>
      <c r="CCI9" t="s">
        <v>6984</v>
      </c>
      <c r="CCJ9" t="s">
        <v>6984</v>
      </c>
      <c r="CCK9" t="s">
        <v>6984</v>
      </c>
      <c r="CCL9" t="s">
        <v>6984</v>
      </c>
      <c r="CCM9" t="s">
        <v>6984</v>
      </c>
      <c r="CCN9" t="s">
        <v>6984</v>
      </c>
      <c r="CCO9" t="s">
        <v>6984</v>
      </c>
      <c r="CCP9" t="s">
        <v>6984</v>
      </c>
      <c r="CCQ9" t="s">
        <v>6984</v>
      </c>
      <c r="CCR9" t="s">
        <v>6984</v>
      </c>
      <c r="CCS9" t="s">
        <v>6984</v>
      </c>
      <c r="CCT9" t="s">
        <v>6984</v>
      </c>
      <c r="CCU9" t="s">
        <v>6984</v>
      </c>
      <c r="CCV9" t="s">
        <v>6984</v>
      </c>
      <c r="CCW9" t="s">
        <v>6984</v>
      </c>
      <c r="CCX9" t="s">
        <v>6984</v>
      </c>
      <c r="CCY9" t="s">
        <v>6984</v>
      </c>
      <c r="CCZ9" t="s">
        <v>6984</v>
      </c>
      <c r="CDA9" t="s">
        <v>6984</v>
      </c>
      <c r="CDB9" t="s">
        <v>6984</v>
      </c>
      <c r="CDC9" t="s">
        <v>6984</v>
      </c>
      <c r="CDD9" t="s">
        <v>6984</v>
      </c>
      <c r="CDE9" t="s">
        <v>6984</v>
      </c>
      <c r="CDF9" t="s">
        <v>6984</v>
      </c>
      <c r="CDG9" t="s">
        <v>6984</v>
      </c>
      <c r="CDH9" t="s">
        <v>6984</v>
      </c>
      <c r="CDI9" t="s">
        <v>6984</v>
      </c>
      <c r="CDJ9" t="s">
        <v>6984</v>
      </c>
      <c r="CDK9" t="s">
        <v>6984</v>
      </c>
      <c r="CDL9" t="s">
        <v>6984</v>
      </c>
      <c r="CDM9" t="s">
        <v>6984</v>
      </c>
      <c r="CDN9" t="s">
        <v>6984</v>
      </c>
      <c r="CDO9" t="s">
        <v>6984</v>
      </c>
      <c r="CDP9" t="s">
        <v>6984</v>
      </c>
      <c r="CDQ9" t="s">
        <v>6984</v>
      </c>
      <c r="CDR9" t="s">
        <v>6984</v>
      </c>
      <c r="CDS9" t="s">
        <v>6984</v>
      </c>
      <c r="CDT9" t="s">
        <v>6984</v>
      </c>
      <c r="CDU9" t="s">
        <v>6984</v>
      </c>
      <c r="CDV9" t="s">
        <v>6984</v>
      </c>
      <c r="CDW9" t="s">
        <v>6984</v>
      </c>
      <c r="CDX9" t="s">
        <v>6984</v>
      </c>
      <c r="CDY9" t="s">
        <v>6984</v>
      </c>
      <c r="CDZ9" t="s">
        <v>6984</v>
      </c>
      <c r="CEA9" t="s">
        <v>6984</v>
      </c>
      <c r="CEB9" t="s">
        <v>6984</v>
      </c>
      <c r="CEC9" t="s">
        <v>6984</v>
      </c>
      <c r="CED9" t="s">
        <v>6984</v>
      </c>
      <c r="CEE9" t="s">
        <v>6984</v>
      </c>
      <c r="CEF9" t="s">
        <v>6984</v>
      </c>
      <c r="CEG9" t="s">
        <v>6984</v>
      </c>
      <c r="CEH9" t="s">
        <v>6984</v>
      </c>
      <c r="CEI9" t="s">
        <v>6984</v>
      </c>
      <c r="CEJ9" t="s">
        <v>6984</v>
      </c>
      <c r="CEK9" t="s">
        <v>6984</v>
      </c>
      <c r="CEL9" t="s">
        <v>6984</v>
      </c>
      <c r="CEM9" t="s">
        <v>6984</v>
      </c>
      <c r="CEN9" t="s">
        <v>6984</v>
      </c>
      <c r="CEO9" t="s">
        <v>6984</v>
      </c>
      <c r="CEP9" t="s">
        <v>6984</v>
      </c>
      <c r="CEQ9" t="s">
        <v>6984</v>
      </c>
      <c r="CER9" t="s">
        <v>6984</v>
      </c>
      <c r="CES9" t="s">
        <v>6984</v>
      </c>
      <c r="CET9" t="s">
        <v>6984</v>
      </c>
      <c r="CEU9" t="s">
        <v>6984</v>
      </c>
      <c r="CEV9" t="s">
        <v>6984</v>
      </c>
      <c r="CEW9" t="s">
        <v>6984</v>
      </c>
      <c r="CEX9" t="s">
        <v>6984</v>
      </c>
      <c r="CEY9" t="s">
        <v>6984</v>
      </c>
      <c r="CEZ9" t="s">
        <v>6984</v>
      </c>
      <c r="CFA9" t="s">
        <v>6984</v>
      </c>
      <c r="CFB9" t="s">
        <v>6984</v>
      </c>
      <c r="CFC9" t="s">
        <v>6984</v>
      </c>
      <c r="CFD9" t="s">
        <v>6984</v>
      </c>
      <c r="CFE9" t="s">
        <v>6984</v>
      </c>
      <c r="CFF9" t="s">
        <v>6984</v>
      </c>
      <c r="CFG9" t="s">
        <v>6984</v>
      </c>
      <c r="CFH9" t="s">
        <v>6984</v>
      </c>
      <c r="CFI9" t="s">
        <v>6984</v>
      </c>
      <c r="CFJ9" t="s">
        <v>6984</v>
      </c>
      <c r="CFK9" t="s">
        <v>6984</v>
      </c>
      <c r="CFL9" t="s">
        <v>6984</v>
      </c>
      <c r="CFM9" t="s">
        <v>6984</v>
      </c>
      <c r="CFN9" t="s">
        <v>6984</v>
      </c>
      <c r="CFO9" t="s">
        <v>6984</v>
      </c>
      <c r="CFP9" t="s">
        <v>6984</v>
      </c>
      <c r="CFQ9" t="s">
        <v>6984</v>
      </c>
      <c r="CFR9" t="s">
        <v>6984</v>
      </c>
      <c r="CFS9" t="s">
        <v>6984</v>
      </c>
      <c r="CFT9" t="s">
        <v>6984</v>
      </c>
      <c r="CFU9" t="s">
        <v>6984</v>
      </c>
      <c r="CFV9" t="s">
        <v>6984</v>
      </c>
      <c r="CFW9" t="s">
        <v>6984</v>
      </c>
      <c r="CFX9" t="s">
        <v>6984</v>
      </c>
      <c r="CFY9" t="s">
        <v>6984</v>
      </c>
      <c r="CFZ9" t="s">
        <v>6984</v>
      </c>
      <c r="CGA9" t="s">
        <v>6984</v>
      </c>
      <c r="CGB9" t="s">
        <v>6984</v>
      </c>
      <c r="CGC9" t="s">
        <v>6984</v>
      </c>
      <c r="CGD9" t="s">
        <v>6984</v>
      </c>
      <c r="CGE9" t="s">
        <v>6984</v>
      </c>
      <c r="CGF9" t="s">
        <v>6984</v>
      </c>
      <c r="CGG9" t="s">
        <v>6984</v>
      </c>
      <c r="CGH9" t="s">
        <v>6984</v>
      </c>
      <c r="CGI9" t="s">
        <v>6984</v>
      </c>
      <c r="CGJ9" t="s">
        <v>6984</v>
      </c>
      <c r="CGK9" t="s">
        <v>6984</v>
      </c>
      <c r="CGL9" t="s">
        <v>6984</v>
      </c>
      <c r="CGM9" t="s">
        <v>6984</v>
      </c>
      <c r="CGN9" t="s">
        <v>6984</v>
      </c>
      <c r="CGO9" t="s">
        <v>6984</v>
      </c>
      <c r="CGP9" t="s">
        <v>6984</v>
      </c>
      <c r="CGQ9" t="s">
        <v>6984</v>
      </c>
      <c r="CGR9" t="s">
        <v>6984</v>
      </c>
      <c r="CGS9" t="s">
        <v>6984</v>
      </c>
      <c r="CGT9" t="s">
        <v>6984</v>
      </c>
      <c r="CGU9" t="s">
        <v>6984</v>
      </c>
      <c r="CGV9" t="s">
        <v>6984</v>
      </c>
      <c r="CGW9" t="s">
        <v>6984</v>
      </c>
      <c r="CGX9" t="s">
        <v>6984</v>
      </c>
      <c r="CGY9" t="s">
        <v>6984</v>
      </c>
      <c r="CGZ9" t="s">
        <v>6984</v>
      </c>
      <c r="CHA9" t="s">
        <v>6984</v>
      </c>
      <c r="CHB9" t="s">
        <v>6984</v>
      </c>
      <c r="CHC9" t="s">
        <v>6984</v>
      </c>
      <c r="CHD9" t="s">
        <v>6984</v>
      </c>
      <c r="CHE9" t="s">
        <v>6984</v>
      </c>
      <c r="CHF9" t="s">
        <v>6984</v>
      </c>
      <c r="CHG9" t="s">
        <v>6984</v>
      </c>
      <c r="CHH9" t="s">
        <v>6984</v>
      </c>
      <c r="CHI9" t="s">
        <v>6984</v>
      </c>
      <c r="CHJ9" t="s">
        <v>6984</v>
      </c>
      <c r="CHK9" t="s">
        <v>6984</v>
      </c>
      <c r="CHL9" t="s">
        <v>6984</v>
      </c>
      <c r="CHM9" t="s">
        <v>6984</v>
      </c>
      <c r="CHN9" t="s">
        <v>6984</v>
      </c>
      <c r="CHO9" t="s">
        <v>6984</v>
      </c>
      <c r="CHP9" t="s">
        <v>6984</v>
      </c>
      <c r="CHQ9" t="s">
        <v>6984</v>
      </c>
      <c r="CHR9" t="s">
        <v>6984</v>
      </c>
      <c r="CHS9" t="s">
        <v>6984</v>
      </c>
      <c r="CHT9" t="s">
        <v>6984</v>
      </c>
      <c r="CHU9" t="s">
        <v>6984</v>
      </c>
      <c r="CHV9" t="s">
        <v>6984</v>
      </c>
      <c r="CHW9" t="s">
        <v>6984</v>
      </c>
      <c r="CHX9" t="s">
        <v>6984</v>
      </c>
      <c r="CHY9" t="s">
        <v>6984</v>
      </c>
      <c r="CHZ9" t="s">
        <v>6984</v>
      </c>
      <c r="CIA9" t="s">
        <v>6984</v>
      </c>
      <c r="CIB9" t="s">
        <v>6984</v>
      </c>
      <c r="CIC9" t="s">
        <v>6984</v>
      </c>
      <c r="CID9" t="s">
        <v>6984</v>
      </c>
      <c r="CIE9" t="s">
        <v>6984</v>
      </c>
      <c r="CIF9" t="s">
        <v>6984</v>
      </c>
      <c r="CIG9" t="s">
        <v>6984</v>
      </c>
      <c r="CIH9" t="s">
        <v>6984</v>
      </c>
      <c r="CII9" t="s">
        <v>6984</v>
      </c>
      <c r="CIJ9" t="s">
        <v>6984</v>
      </c>
      <c r="CIK9" t="s">
        <v>6984</v>
      </c>
      <c r="CIL9" t="s">
        <v>6984</v>
      </c>
      <c r="CIM9" t="s">
        <v>6984</v>
      </c>
      <c r="CIN9" t="s">
        <v>6984</v>
      </c>
      <c r="CIO9" t="s">
        <v>6984</v>
      </c>
      <c r="CIP9" t="s">
        <v>6984</v>
      </c>
      <c r="CIQ9" t="s">
        <v>6984</v>
      </c>
      <c r="CIR9" t="s">
        <v>6984</v>
      </c>
      <c r="CIS9" t="s">
        <v>6984</v>
      </c>
      <c r="CIT9" t="s">
        <v>6984</v>
      </c>
      <c r="CIU9" t="s">
        <v>6984</v>
      </c>
      <c r="CIV9" t="s">
        <v>6984</v>
      </c>
      <c r="CIW9" t="s">
        <v>6984</v>
      </c>
      <c r="CIX9" t="s">
        <v>6984</v>
      </c>
      <c r="CIY9" t="s">
        <v>6984</v>
      </c>
      <c r="CIZ9" t="s">
        <v>6984</v>
      </c>
      <c r="CJA9" t="s">
        <v>6984</v>
      </c>
      <c r="CJB9" t="s">
        <v>6984</v>
      </c>
      <c r="CJC9" t="s">
        <v>6984</v>
      </c>
      <c r="CJD9" t="s">
        <v>6984</v>
      </c>
      <c r="CJE9" t="s">
        <v>6984</v>
      </c>
      <c r="CJF9" t="s">
        <v>6984</v>
      </c>
      <c r="CJG9" t="s">
        <v>6984</v>
      </c>
      <c r="CJH9" t="s">
        <v>6984</v>
      </c>
      <c r="CJI9" t="s">
        <v>6984</v>
      </c>
      <c r="CJJ9" t="s">
        <v>6984</v>
      </c>
      <c r="CJK9" t="s">
        <v>6984</v>
      </c>
      <c r="CJL9" t="s">
        <v>6984</v>
      </c>
      <c r="CJM9" t="s">
        <v>6984</v>
      </c>
      <c r="CJN9" t="s">
        <v>6984</v>
      </c>
      <c r="CJO9" t="s">
        <v>6984</v>
      </c>
      <c r="CJP9" t="s">
        <v>6984</v>
      </c>
      <c r="CJQ9" t="s">
        <v>6984</v>
      </c>
      <c r="CJR9" t="s">
        <v>6984</v>
      </c>
      <c r="CJS9" t="s">
        <v>6984</v>
      </c>
      <c r="CJT9" t="s">
        <v>6984</v>
      </c>
      <c r="CJU9" t="s">
        <v>6984</v>
      </c>
      <c r="CJV9" t="s">
        <v>6984</v>
      </c>
      <c r="CJW9" t="s">
        <v>6984</v>
      </c>
      <c r="CJX9" t="s">
        <v>6984</v>
      </c>
      <c r="CJY9" t="s">
        <v>6984</v>
      </c>
      <c r="CJZ9" t="s">
        <v>6984</v>
      </c>
      <c r="CKA9" t="s">
        <v>6984</v>
      </c>
      <c r="CKB9" t="s">
        <v>6984</v>
      </c>
      <c r="CKC9" t="s">
        <v>6984</v>
      </c>
      <c r="CKD9" t="s">
        <v>6984</v>
      </c>
      <c r="CKE9" t="s">
        <v>6984</v>
      </c>
      <c r="CKF9" t="s">
        <v>6984</v>
      </c>
      <c r="CKG9" t="s">
        <v>6984</v>
      </c>
      <c r="CKH9" t="s">
        <v>6984</v>
      </c>
      <c r="CKI9" t="s">
        <v>6984</v>
      </c>
      <c r="CKJ9" t="s">
        <v>6984</v>
      </c>
      <c r="CKK9" t="s">
        <v>6984</v>
      </c>
      <c r="CKL9" t="s">
        <v>6984</v>
      </c>
      <c r="CKM9" t="s">
        <v>6984</v>
      </c>
      <c r="CKN9" t="s">
        <v>6984</v>
      </c>
      <c r="CKO9" t="s">
        <v>6984</v>
      </c>
      <c r="CKP9" t="s">
        <v>6984</v>
      </c>
      <c r="CKQ9" t="s">
        <v>6984</v>
      </c>
      <c r="CKR9" t="s">
        <v>6984</v>
      </c>
      <c r="CKS9" t="s">
        <v>6984</v>
      </c>
      <c r="CKT9" t="s">
        <v>6984</v>
      </c>
      <c r="CKU9" t="s">
        <v>6984</v>
      </c>
      <c r="CKV9" t="s">
        <v>6984</v>
      </c>
      <c r="CKW9" t="s">
        <v>6984</v>
      </c>
      <c r="CKX9" t="s">
        <v>6984</v>
      </c>
      <c r="CKY9" t="s">
        <v>6984</v>
      </c>
      <c r="CKZ9" t="s">
        <v>6984</v>
      </c>
      <c r="CLA9" t="s">
        <v>6984</v>
      </c>
      <c r="CLB9" t="s">
        <v>6984</v>
      </c>
      <c r="CLC9" t="s">
        <v>6984</v>
      </c>
      <c r="CLD9" t="s">
        <v>6984</v>
      </c>
      <c r="CLE9" t="s">
        <v>6984</v>
      </c>
      <c r="CLF9" t="s">
        <v>6984</v>
      </c>
      <c r="CLG9" t="s">
        <v>6984</v>
      </c>
      <c r="CLH9" t="s">
        <v>6984</v>
      </c>
      <c r="CLI9" t="s">
        <v>6984</v>
      </c>
      <c r="CLJ9" t="s">
        <v>6984</v>
      </c>
      <c r="CLK9" t="s">
        <v>6984</v>
      </c>
      <c r="CLL9" t="s">
        <v>6984</v>
      </c>
      <c r="CLM9" t="s">
        <v>6984</v>
      </c>
      <c r="CLN9" t="s">
        <v>6984</v>
      </c>
      <c r="CLO9" t="s">
        <v>6984</v>
      </c>
      <c r="CLP9" t="s">
        <v>6984</v>
      </c>
      <c r="CLQ9" t="s">
        <v>6984</v>
      </c>
      <c r="CLR9" t="s">
        <v>6984</v>
      </c>
      <c r="CLS9" t="s">
        <v>6984</v>
      </c>
      <c r="CLT9" t="s">
        <v>6984</v>
      </c>
      <c r="CLU9" t="s">
        <v>6984</v>
      </c>
      <c r="CLV9" t="s">
        <v>6984</v>
      </c>
      <c r="CLW9" t="s">
        <v>6984</v>
      </c>
      <c r="CLX9" t="s">
        <v>6984</v>
      </c>
      <c r="CLY9" t="s">
        <v>6984</v>
      </c>
      <c r="CLZ9" t="s">
        <v>6984</v>
      </c>
      <c r="CMA9" t="s">
        <v>6984</v>
      </c>
      <c r="CMB9" t="s">
        <v>6984</v>
      </c>
      <c r="CMC9" t="s">
        <v>6984</v>
      </c>
      <c r="CMD9" t="s">
        <v>6984</v>
      </c>
      <c r="CME9" t="s">
        <v>6984</v>
      </c>
      <c r="CMF9" t="s">
        <v>6984</v>
      </c>
      <c r="CMG9" t="s">
        <v>6984</v>
      </c>
      <c r="CMH9" t="s">
        <v>6984</v>
      </c>
      <c r="CMI9" t="s">
        <v>6984</v>
      </c>
      <c r="CMJ9" t="s">
        <v>6984</v>
      </c>
      <c r="CMK9" t="s">
        <v>6984</v>
      </c>
      <c r="CML9" t="s">
        <v>6984</v>
      </c>
      <c r="CMM9" t="s">
        <v>6984</v>
      </c>
      <c r="CMN9" t="s">
        <v>6984</v>
      </c>
      <c r="CMO9" t="s">
        <v>6984</v>
      </c>
      <c r="CMP9" t="s">
        <v>6984</v>
      </c>
      <c r="CMQ9" t="s">
        <v>6984</v>
      </c>
      <c r="CMR9" t="s">
        <v>6984</v>
      </c>
      <c r="CMS9" t="s">
        <v>6984</v>
      </c>
      <c r="CMT9" t="s">
        <v>6984</v>
      </c>
      <c r="CMU9" t="s">
        <v>6984</v>
      </c>
      <c r="CMV9" t="s">
        <v>6984</v>
      </c>
      <c r="CMW9" t="s">
        <v>6984</v>
      </c>
      <c r="CMX9" t="s">
        <v>6984</v>
      </c>
      <c r="CMY9" t="s">
        <v>6984</v>
      </c>
      <c r="CMZ9" t="s">
        <v>6984</v>
      </c>
      <c r="CNA9" t="s">
        <v>6984</v>
      </c>
      <c r="CNB9" t="s">
        <v>6984</v>
      </c>
      <c r="CNC9" t="s">
        <v>6984</v>
      </c>
      <c r="CND9" t="s">
        <v>6984</v>
      </c>
      <c r="CNE9" t="s">
        <v>6984</v>
      </c>
      <c r="CNF9" t="s">
        <v>6984</v>
      </c>
      <c r="CNG9" t="s">
        <v>6984</v>
      </c>
      <c r="CNH9" t="s">
        <v>6984</v>
      </c>
      <c r="CNI9" t="s">
        <v>6984</v>
      </c>
      <c r="CNJ9" t="s">
        <v>6984</v>
      </c>
      <c r="CNK9" t="s">
        <v>6984</v>
      </c>
      <c r="CNL9" t="s">
        <v>6984</v>
      </c>
      <c r="CNM9" t="s">
        <v>6984</v>
      </c>
      <c r="CNN9" t="s">
        <v>6984</v>
      </c>
      <c r="CNO9" t="s">
        <v>6984</v>
      </c>
      <c r="CNP9" t="s">
        <v>6984</v>
      </c>
      <c r="CNQ9" t="s">
        <v>6984</v>
      </c>
      <c r="CNR9" t="s">
        <v>6984</v>
      </c>
      <c r="CNS9" t="s">
        <v>6984</v>
      </c>
      <c r="CNT9" t="s">
        <v>6984</v>
      </c>
      <c r="CNU9" t="s">
        <v>6984</v>
      </c>
      <c r="CNV9" t="s">
        <v>6984</v>
      </c>
      <c r="CNW9" t="s">
        <v>6984</v>
      </c>
      <c r="CNX9" t="s">
        <v>6984</v>
      </c>
      <c r="CNY9" t="s">
        <v>6984</v>
      </c>
      <c r="CNZ9" t="s">
        <v>6984</v>
      </c>
      <c r="COA9" t="s">
        <v>6984</v>
      </c>
      <c r="COB9" t="s">
        <v>6984</v>
      </c>
      <c r="COC9" t="s">
        <v>6984</v>
      </c>
      <c r="COD9" t="s">
        <v>6984</v>
      </c>
      <c r="COE9" t="s">
        <v>6984</v>
      </c>
      <c r="COF9" t="s">
        <v>6984</v>
      </c>
      <c r="COG9" t="s">
        <v>6984</v>
      </c>
      <c r="COH9" t="s">
        <v>6984</v>
      </c>
      <c r="COI9" t="s">
        <v>6984</v>
      </c>
      <c r="COJ9" t="s">
        <v>6984</v>
      </c>
      <c r="COK9" t="s">
        <v>6984</v>
      </c>
      <c r="COL9" t="s">
        <v>6984</v>
      </c>
      <c r="COM9" t="s">
        <v>6984</v>
      </c>
      <c r="CON9" t="s">
        <v>6984</v>
      </c>
      <c r="COO9" t="s">
        <v>6984</v>
      </c>
      <c r="COP9" t="s">
        <v>6984</v>
      </c>
      <c r="COQ9" t="s">
        <v>6984</v>
      </c>
      <c r="COR9" t="s">
        <v>6984</v>
      </c>
      <c r="COS9" t="s">
        <v>6984</v>
      </c>
      <c r="COT9" t="s">
        <v>6984</v>
      </c>
      <c r="COU9" t="s">
        <v>6984</v>
      </c>
      <c r="COV9" t="s">
        <v>6984</v>
      </c>
      <c r="COW9" t="s">
        <v>6984</v>
      </c>
      <c r="COX9" t="s">
        <v>6984</v>
      </c>
      <c r="COY9" t="s">
        <v>6984</v>
      </c>
      <c r="COZ9" t="s">
        <v>6984</v>
      </c>
      <c r="CPA9" t="s">
        <v>6984</v>
      </c>
      <c r="CPB9" t="s">
        <v>6984</v>
      </c>
      <c r="CPC9" t="s">
        <v>6984</v>
      </c>
      <c r="CPD9" t="s">
        <v>6984</v>
      </c>
      <c r="CPE9" t="s">
        <v>6984</v>
      </c>
      <c r="CPF9" t="s">
        <v>6984</v>
      </c>
      <c r="CPG9" t="s">
        <v>6984</v>
      </c>
      <c r="CPH9" t="s">
        <v>6984</v>
      </c>
      <c r="CPI9" t="s">
        <v>6984</v>
      </c>
      <c r="CPJ9" t="s">
        <v>6984</v>
      </c>
      <c r="CPK9" t="s">
        <v>6984</v>
      </c>
      <c r="CPL9" t="s">
        <v>6984</v>
      </c>
      <c r="CPM9" t="s">
        <v>6984</v>
      </c>
      <c r="CPN9" t="s">
        <v>6984</v>
      </c>
      <c r="CPO9" t="s">
        <v>6984</v>
      </c>
      <c r="CPP9" t="s">
        <v>6984</v>
      </c>
      <c r="CPQ9" t="s">
        <v>6984</v>
      </c>
      <c r="CPR9" t="s">
        <v>6984</v>
      </c>
      <c r="CPS9" t="s">
        <v>6984</v>
      </c>
      <c r="CPT9" t="s">
        <v>6984</v>
      </c>
      <c r="CPU9" t="s">
        <v>6984</v>
      </c>
      <c r="CPV9" t="s">
        <v>6984</v>
      </c>
      <c r="CPW9" t="s">
        <v>6984</v>
      </c>
      <c r="CPX9" t="s">
        <v>6984</v>
      </c>
      <c r="CPY9" t="s">
        <v>6984</v>
      </c>
      <c r="CPZ9" t="s">
        <v>6984</v>
      </c>
      <c r="CQA9" t="s">
        <v>6984</v>
      </c>
      <c r="CQB9" t="s">
        <v>6984</v>
      </c>
      <c r="CQC9" t="s">
        <v>6984</v>
      </c>
      <c r="CQD9" t="s">
        <v>6984</v>
      </c>
      <c r="CQE9" t="s">
        <v>6984</v>
      </c>
      <c r="CQF9" t="s">
        <v>6984</v>
      </c>
      <c r="CQG9" t="s">
        <v>6984</v>
      </c>
      <c r="CQH9" t="s">
        <v>6984</v>
      </c>
      <c r="CQI9" t="s">
        <v>6984</v>
      </c>
      <c r="CQJ9" t="s">
        <v>6984</v>
      </c>
      <c r="CQK9" t="s">
        <v>6984</v>
      </c>
      <c r="CQL9" t="s">
        <v>6984</v>
      </c>
      <c r="CQM9" t="s">
        <v>6984</v>
      </c>
      <c r="CQN9" t="s">
        <v>6984</v>
      </c>
      <c r="CQO9" t="s">
        <v>6984</v>
      </c>
      <c r="CQP9" t="s">
        <v>6984</v>
      </c>
      <c r="CQQ9" t="s">
        <v>6984</v>
      </c>
      <c r="CQR9" t="s">
        <v>6984</v>
      </c>
      <c r="CQS9" t="s">
        <v>6984</v>
      </c>
      <c r="CQT9" t="s">
        <v>6984</v>
      </c>
      <c r="CQU9" t="s">
        <v>6984</v>
      </c>
      <c r="CQV9" t="s">
        <v>6984</v>
      </c>
      <c r="CQW9" t="s">
        <v>6984</v>
      </c>
      <c r="CQX9" t="s">
        <v>6984</v>
      </c>
      <c r="CQY9" t="s">
        <v>6984</v>
      </c>
      <c r="CQZ9" t="s">
        <v>6984</v>
      </c>
      <c r="CRA9" t="s">
        <v>6984</v>
      </c>
      <c r="CRB9" t="s">
        <v>6984</v>
      </c>
      <c r="CRC9" t="s">
        <v>6984</v>
      </c>
      <c r="CRD9" t="s">
        <v>6984</v>
      </c>
      <c r="CRE9" t="s">
        <v>6984</v>
      </c>
      <c r="CRF9" t="s">
        <v>6984</v>
      </c>
      <c r="CRG9" t="s">
        <v>6984</v>
      </c>
      <c r="CRH9" t="s">
        <v>6984</v>
      </c>
      <c r="CRI9" t="s">
        <v>6984</v>
      </c>
      <c r="CRJ9" t="s">
        <v>6984</v>
      </c>
      <c r="CRK9" t="s">
        <v>6984</v>
      </c>
      <c r="CRL9" t="s">
        <v>6984</v>
      </c>
      <c r="CRM9" t="s">
        <v>6984</v>
      </c>
      <c r="CRN9" t="s">
        <v>6984</v>
      </c>
      <c r="CRO9" t="s">
        <v>6984</v>
      </c>
      <c r="CRP9" t="s">
        <v>6984</v>
      </c>
      <c r="CRQ9" t="s">
        <v>6984</v>
      </c>
      <c r="CRR9" t="s">
        <v>6984</v>
      </c>
      <c r="CRS9" t="s">
        <v>6984</v>
      </c>
      <c r="CRT9" t="s">
        <v>6984</v>
      </c>
      <c r="CRU9" t="s">
        <v>6984</v>
      </c>
      <c r="CRV9" t="s">
        <v>6984</v>
      </c>
      <c r="CRW9" t="s">
        <v>6984</v>
      </c>
      <c r="CRX9" t="s">
        <v>6984</v>
      </c>
      <c r="CRY9" t="s">
        <v>6984</v>
      </c>
      <c r="CRZ9" t="s">
        <v>6984</v>
      </c>
      <c r="CSA9" t="s">
        <v>6984</v>
      </c>
      <c r="CSB9" t="s">
        <v>6984</v>
      </c>
      <c r="CSC9" t="s">
        <v>6984</v>
      </c>
      <c r="CSD9" t="s">
        <v>6984</v>
      </c>
      <c r="CSE9" t="s">
        <v>6984</v>
      </c>
      <c r="CSF9" t="s">
        <v>6984</v>
      </c>
      <c r="CSG9" t="s">
        <v>6984</v>
      </c>
      <c r="CSH9" t="s">
        <v>6984</v>
      </c>
      <c r="CSI9" t="s">
        <v>6984</v>
      </c>
      <c r="CSJ9" t="s">
        <v>6984</v>
      </c>
      <c r="CSK9" t="s">
        <v>6984</v>
      </c>
      <c r="CSL9" t="s">
        <v>6984</v>
      </c>
      <c r="CSM9" t="s">
        <v>6984</v>
      </c>
      <c r="CSN9" t="s">
        <v>6984</v>
      </c>
      <c r="CSO9" t="s">
        <v>6984</v>
      </c>
      <c r="CSP9" t="s">
        <v>6984</v>
      </c>
      <c r="CSQ9" t="s">
        <v>6984</v>
      </c>
      <c r="CSR9" t="s">
        <v>6984</v>
      </c>
      <c r="CSS9" t="s">
        <v>6984</v>
      </c>
      <c r="CST9" t="s">
        <v>6984</v>
      </c>
      <c r="CSU9" t="s">
        <v>6984</v>
      </c>
      <c r="CSV9" t="s">
        <v>6984</v>
      </c>
      <c r="CSW9" t="s">
        <v>6984</v>
      </c>
      <c r="CSX9" t="s">
        <v>6984</v>
      </c>
      <c r="CSY9" t="s">
        <v>6984</v>
      </c>
      <c r="CSZ9" t="s">
        <v>6984</v>
      </c>
      <c r="CTA9" t="s">
        <v>6984</v>
      </c>
      <c r="CTB9" t="s">
        <v>6984</v>
      </c>
      <c r="CTC9" t="s">
        <v>6984</v>
      </c>
      <c r="CTD9" t="s">
        <v>6984</v>
      </c>
      <c r="CTE9" t="s">
        <v>6984</v>
      </c>
      <c r="CTF9" t="s">
        <v>6984</v>
      </c>
      <c r="CTG9" t="s">
        <v>6984</v>
      </c>
      <c r="CTH9" t="s">
        <v>6984</v>
      </c>
      <c r="CTI9" t="s">
        <v>6984</v>
      </c>
      <c r="CTJ9" t="s">
        <v>6984</v>
      </c>
      <c r="CTK9" t="s">
        <v>6984</v>
      </c>
      <c r="CTL9" t="s">
        <v>6984</v>
      </c>
      <c r="CTM9" t="s">
        <v>6984</v>
      </c>
      <c r="CTN9" t="s">
        <v>6984</v>
      </c>
      <c r="CTO9" t="s">
        <v>6984</v>
      </c>
      <c r="CTP9" t="s">
        <v>6984</v>
      </c>
      <c r="CTQ9" t="s">
        <v>6984</v>
      </c>
      <c r="CTR9" t="s">
        <v>6984</v>
      </c>
      <c r="CTS9" t="s">
        <v>6984</v>
      </c>
      <c r="CTT9" t="s">
        <v>6984</v>
      </c>
      <c r="CTU9" t="s">
        <v>6984</v>
      </c>
      <c r="CTV9" t="s">
        <v>6984</v>
      </c>
      <c r="CTW9" t="s">
        <v>6984</v>
      </c>
      <c r="CTX9" t="s">
        <v>6984</v>
      </c>
      <c r="CTY9" t="s">
        <v>6984</v>
      </c>
      <c r="CTZ9" t="s">
        <v>6984</v>
      </c>
      <c r="CUA9" t="s">
        <v>6984</v>
      </c>
      <c r="CUB9" t="s">
        <v>6984</v>
      </c>
      <c r="CUC9" t="s">
        <v>6984</v>
      </c>
      <c r="CUD9" t="s">
        <v>6984</v>
      </c>
      <c r="CUE9" t="s">
        <v>6984</v>
      </c>
      <c r="CUF9" t="s">
        <v>6984</v>
      </c>
      <c r="CUG9" t="s">
        <v>6984</v>
      </c>
      <c r="CUH9" t="s">
        <v>6984</v>
      </c>
      <c r="CUI9" t="s">
        <v>6984</v>
      </c>
      <c r="CUJ9" t="s">
        <v>6984</v>
      </c>
      <c r="CUK9" t="s">
        <v>6984</v>
      </c>
      <c r="CUL9" t="s">
        <v>6984</v>
      </c>
      <c r="CUM9" t="s">
        <v>6984</v>
      </c>
      <c r="CUN9" t="s">
        <v>6984</v>
      </c>
      <c r="CUO9" t="s">
        <v>6984</v>
      </c>
      <c r="CUP9" t="s">
        <v>6984</v>
      </c>
      <c r="CUQ9" t="s">
        <v>6984</v>
      </c>
      <c r="CUR9" t="s">
        <v>6984</v>
      </c>
      <c r="CUS9" t="s">
        <v>6984</v>
      </c>
      <c r="CUT9" t="s">
        <v>6984</v>
      </c>
      <c r="CUU9" t="s">
        <v>6984</v>
      </c>
      <c r="CUV9" t="s">
        <v>6984</v>
      </c>
      <c r="CUW9" t="s">
        <v>6984</v>
      </c>
      <c r="CUX9" t="s">
        <v>6984</v>
      </c>
      <c r="CUY9" t="s">
        <v>6984</v>
      </c>
      <c r="CUZ9" t="s">
        <v>6984</v>
      </c>
      <c r="CVA9" t="s">
        <v>6984</v>
      </c>
      <c r="CVB9" t="s">
        <v>6984</v>
      </c>
      <c r="CVC9" t="s">
        <v>6984</v>
      </c>
      <c r="CVD9" t="s">
        <v>6984</v>
      </c>
      <c r="CVE9" t="s">
        <v>6984</v>
      </c>
      <c r="CVF9" t="s">
        <v>6984</v>
      </c>
      <c r="CVG9" t="s">
        <v>6984</v>
      </c>
      <c r="CVH9" t="s">
        <v>6984</v>
      </c>
      <c r="CVI9" t="s">
        <v>6984</v>
      </c>
      <c r="CVJ9" t="s">
        <v>6984</v>
      </c>
      <c r="CVK9" t="s">
        <v>6984</v>
      </c>
      <c r="CVL9" t="s">
        <v>6984</v>
      </c>
      <c r="CVM9" t="s">
        <v>6984</v>
      </c>
      <c r="CVN9" t="s">
        <v>6984</v>
      </c>
      <c r="CVO9" t="s">
        <v>6984</v>
      </c>
      <c r="CVP9" t="s">
        <v>6984</v>
      </c>
      <c r="CVQ9" t="s">
        <v>6984</v>
      </c>
      <c r="CVR9" t="s">
        <v>6984</v>
      </c>
      <c r="CVS9" t="s">
        <v>6984</v>
      </c>
      <c r="CVT9" t="s">
        <v>6984</v>
      </c>
      <c r="CVU9" t="s">
        <v>6984</v>
      </c>
      <c r="CVV9" t="s">
        <v>6984</v>
      </c>
      <c r="CVW9" t="s">
        <v>6984</v>
      </c>
      <c r="CVX9" t="s">
        <v>6984</v>
      </c>
      <c r="CVY9" t="s">
        <v>6984</v>
      </c>
      <c r="CVZ9" t="s">
        <v>6984</v>
      </c>
      <c r="CWA9" t="s">
        <v>6984</v>
      </c>
      <c r="CWB9" t="s">
        <v>6984</v>
      </c>
      <c r="CWC9" t="s">
        <v>6984</v>
      </c>
      <c r="CWD9" t="s">
        <v>6984</v>
      </c>
      <c r="CWE9" t="s">
        <v>6984</v>
      </c>
      <c r="CWF9" t="s">
        <v>6984</v>
      </c>
      <c r="CWG9" t="s">
        <v>6984</v>
      </c>
      <c r="CWH9" t="s">
        <v>6984</v>
      </c>
      <c r="CWI9" t="s">
        <v>6984</v>
      </c>
      <c r="CWJ9" t="s">
        <v>6984</v>
      </c>
      <c r="CWK9" t="s">
        <v>6984</v>
      </c>
      <c r="CWL9" t="s">
        <v>6984</v>
      </c>
      <c r="CWM9" t="s">
        <v>6984</v>
      </c>
      <c r="CWN9" t="s">
        <v>6984</v>
      </c>
      <c r="CWO9" t="s">
        <v>6984</v>
      </c>
      <c r="CWP9" t="s">
        <v>6984</v>
      </c>
      <c r="CWQ9" t="s">
        <v>6984</v>
      </c>
      <c r="CWR9" t="s">
        <v>6984</v>
      </c>
      <c r="CWS9" t="s">
        <v>6984</v>
      </c>
      <c r="CWT9" t="s">
        <v>6984</v>
      </c>
      <c r="CWU9" t="s">
        <v>6984</v>
      </c>
      <c r="CWV9" t="s">
        <v>6984</v>
      </c>
      <c r="CWW9" t="s">
        <v>6984</v>
      </c>
      <c r="CWX9" t="s">
        <v>6984</v>
      </c>
      <c r="CWY9" t="s">
        <v>6984</v>
      </c>
      <c r="CWZ9" t="s">
        <v>6984</v>
      </c>
      <c r="CXA9" t="s">
        <v>6984</v>
      </c>
      <c r="CXB9" t="s">
        <v>6984</v>
      </c>
      <c r="CXC9" t="s">
        <v>6984</v>
      </c>
      <c r="CXD9" t="s">
        <v>6984</v>
      </c>
      <c r="CXE9" t="s">
        <v>6984</v>
      </c>
      <c r="CXF9" t="s">
        <v>6984</v>
      </c>
      <c r="CXG9" t="s">
        <v>6984</v>
      </c>
      <c r="CXH9" t="s">
        <v>6984</v>
      </c>
      <c r="CXI9" t="s">
        <v>6984</v>
      </c>
      <c r="CXJ9" t="s">
        <v>6984</v>
      </c>
      <c r="CXK9" t="s">
        <v>6984</v>
      </c>
      <c r="CXL9" t="s">
        <v>6984</v>
      </c>
      <c r="CXM9" t="s">
        <v>6984</v>
      </c>
      <c r="CXN9" t="s">
        <v>6984</v>
      </c>
      <c r="CXO9" t="s">
        <v>6984</v>
      </c>
      <c r="CXP9" t="s">
        <v>6984</v>
      </c>
      <c r="CXQ9" t="s">
        <v>6984</v>
      </c>
      <c r="CXR9" t="s">
        <v>6984</v>
      </c>
      <c r="CXS9" t="s">
        <v>6984</v>
      </c>
      <c r="CXT9" t="s">
        <v>6984</v>
      </c>
      <c r="CXU9" t="s">
        <v>6984</v>
      </c>
      <c r="CXV9" t="s">
        <v>6984</v>
      </c>
      <c r="CXW9" t="s">
        <v>6984</v>
      </c>
      <c r="CXX9" t="s">
        <v>6984</v>
      </c>
      <c r="CXY9" t="s">
        <v>6984</v>
      </c>
      <c r="CXZ9" t="s">
        <v>6984</v>
      </c>
      <c r="CYA9" t="s">
        <v>6984</v>
      </c>
      <c r="CYB9" t="s">
        <v>6984</v>
      </c>
      <c r="CYC9" t="s">
        <v>6984</v>
      </c>
      <c r="CYD9" t="s">
        <v>6984</v>
      </c>
      <c r="CYE9" t="s">
        <v>6984</v>
      </c>
      <c r="CYF9" t="s">
        <v>6984</v>
      </c>
      <c r="CYG9" t="s">
        <v>6984</v>
      </c>
      <c r="CYH9" t="s">
        <v>6984</v>
      </c>
      <c r="CYI9" t="s">
        <v>6984</v>
      </c>
      <c r="CYJ9" t="s">
        <v>6984</v>
      </c>
      <c r="CYK9" t="s">
        <v>6984</v>
      </c>
      <c r="CYL9" t="s">
        <v>6984</v>
      </c>
      <c r="CYM9" t="s">
        <v>6984</v>
      </c>
      <c r="CYN9" t="s">
        <v>6984</v>
      </c>
      <c r="CYO9" t="s">
        <v>6984</v>
      </c>
      <c r="CYP9" t="s">
        <v>6984</v>
      </c>
      <c r="CYQ9" t="s">
        <v>6984</v>
      </c>
      <c r="CYR9" t="s">
        <v>6984</v>
      </c>
      <c r="CYS9" t="s">
        <v>6984</v>
      </c>
      <c r="CYT9" t="s">
        <v>6984</v>
      </c>
      <c r="CYU9" t="s">
        <v>6984</v>
      </c>
      <c r="CYV9" t="s">
        <v>6984</v>
      </c>
      <c r="CYW9" t="s">
        <v>6984</v>
      </c>
      <c r="CYX9" t="s">
        <v>6984</v>
      </c>
      <c r="CYY9" t="s">
        <v>6984</v>
      </c>
      <c r="CYZ9" t="s">
        <v>6984</v>
      </c>
      <c r="CZA9" t="s">
        <v>6984</v>
      </c>
      <c r="CZB9" t="s">
        <v>6984</v>
      </c>
      <c r="CZC9" t="s">
        <v>6984</v>
      </c>
      <c r="CZD9" t="s">
        <v>6984</v>
      </c>
      <c r="CZE9" t="s">
        <v>6984</v>
      </c>
      <c r="CZF9" t="s">
        <v>6984</v>
      </c>
      <c r="CZG9" t="s">
        <v>6984</v>
      </c>
      <c r="CZH9" t="s">
        <v>6984</v>
      </c>
      <c r="CZI9" t="s">
        <v>6984</v>
      </c>
      <c r="CZJ9" t="s">
        <v>6984</v>
      </c>
      <c r="CZK9" t="s">
        <v>6984</v>
      </c>
      <c r="CZL9" t="s">
        <v>6984</v>
      </c>
      <c r="CZM9" t="s">
        <v>6984</v>
      </c>
      <c r="CZN9" t="s">
        <v>6984</v>
      </c>
      <c r="CZO9" t="s">
        <v>6984</v>
      </c>
      <c r="CZP9" t="s">
        <v>6984</v>
      </c>
      <c r="CZQ9" t="s">
        <v>6984</v>
      </c>
      <c r="CZR9" t="s">
        <v>6984</v>
      </c>
      <c r="CZS9" t="s">
        <v>6984</v>
      </c>
      <c r="CZT9" t="s">
        <v>6984</v>
      </c>
      <c r="CZU9" t="s">
        <v>6984</v>
      </c>
      <c r="CZV9" t="s">
        <v>6984</v>
      </c>
      <c r="CZW9" t="s">
        <v>6984</v>
      </c>
      <c r="CZX9" t="s">
        <v>6984</v>
      </c>
      <c r="CZY9" t="s">
        <v>6984</v>
      </c>
      <c r="CZZ9" t="s">
        <v>6984</v>
      </c>
      <c r="DAA9" t="s">
        <v>6984</v>
      </c>
      <c r="DAB9" t="s">
        <v>6984</v>
      </c>
      <c r="DAC9" t="s">
        <v>6984</v>
      </c>
      <c r="DAD9" t="s">
        <v>6984</v>
      </c>
      <c r="DAE9" t="s">
        <v>6984</v>
      </c>
      <c r="DAF9" t="s">
        <v>6984</v>
      </c>
      <c r="DAG9" t="s">
        <v>6984</v>
      </c>
      <c r="DAH9" t="s">
        <v>6984</v>
      </c>
      <c r="DAI9" t="s">
        <v>6984</v>
      </c>
      <c r="DAJ9" t="s">
        <v>6984</v>
      </c>
      <c r="DAK9" t="s">
        <v>6984</v>
      </c>
      <c r="DAL9" t="s">
        <v>6984</v>
      </c>
      <c r="DAM9" t="s">
        <v>6984</v>
      </c>
      <c r="DAN9" t="s">
        <v>6984</v>
      </c>
      <c r="DAO9" t="s">
        <v>6984</v>
      </c>
      <c r="DAP9" t="s">
        <v>6984</v>
      </c>
      <c r="DAQ9" t="s">
        <v>6984</v>
      </c>
      <c r="DAR9" t="s">
        <v>6984</v>
      </c>
      <c r="DAS9" t="s">
        <v>6984</v>
      </c>
      <c r="DAT9" t="s">
        <v>6984</v>
      </c>
      <c r="DAU9" t="s">
        <v>6984</v>
      </c>
      <c r="DAV9" t="s">
        <v>6984</v>
      </c>
      <c r="DAW9" t="s">
        <v>6984</v>
      </c>
      <c r="DAX9" t="s">
        <v>6984</v>
      </c>
      <c r="DAY9" t="s">
        <v>6984</v>
      </c>
      <c r="DAZ9" t="s">
        <v>6984</v>
      </c>
      <c r="DBA9" t="s">
        <v>6984</v>
      </c>
      <c r="DBB9" t="s">
        <v>6984</v>
      </c>
      <c r="DBC9" t="s">
        <v>6984</v>
      </c>
      <c r="DBD9" t="s">
        <v>6984</v>
      </c>
      <c r="DBE9" t="s">
        <v>6984</v>
      </c>
      <c r="DBF9" t="s">
        <v>6984</v>
      </c>
      <c r="DBG9" t="s">
        <v>6984</v>
      </c>
      <c r="DBH9" t="s">
        <v>6984</v>
      </c>
      <c r="DBI9" t="s">
        <v>6984</v>
      </c>
      <c r="DBJ9" t="s">
        <v>6984</v>
      </c>
      <c r="DBK9" t="s">
        <v>6984</v>
      </c>
      <c r="DBL9" t="s">
        <v>6984</v>
      </c>
      <c r="DBM9" t="s">
        <v>6984</v>
      </c>
      <c r="DBN9" t="s">
        <v>6984</v>
      </c>
      <c r="DBO9" t="s">
        <v>6984</v>
      </c>
      <c r="DBP9" t="s">
        <v>6984</v>
      </c>
      <c r="DBQ9" t="s">
        <v>6984</v>
      </c>
      <c r="DBR9" t="s">
        <v>6984</v>
      </c>
      <c r="DBS9" t="s">
        <v>6984</v>
      </c>
      <c r="DBT9" t="s">
        <v>6984</v>
      </c>
      <c r="DBU9" t="s">
        <v>6984</v>
      </c>
      <c r="DBV9" t="s">
        <v>6984</v>
      </c>
      <c r="DBW9" t="s">
        <v>6984</v>
      </c>
      <c r="DBX9" t="s">
        <v>6984</v>
      </c>
      <c r="DBY9" t="s">
        <v>6984</v>
      </c>
      <c r="DBZ9" t="s">
        <v>6984</v>
      </c>
      <c r="DCA9" t="s">
        <v>6984</v>
      </c>
      <c r="DCB9" t="s">
        <v>6984</v>
      </c>
      <c r="DCC9" t="s">
        <v>6984</v>
      </c>
      <c r="DCD9" t="s">
        <v>6984</v>
      </c>
      <c r="DCE9" t="s">
        <v>6984</v>
      </c>
      <c r="DCF9" t="s">
        <v>6984</v>
      </c>
      <c r="DCG9" t="s">
        <v>6984</v>
      </c>
      <c r="DCH9" t="s">
        <v>6984</v>
      </c>
      <c r="DCI9" t="s">
        <v>6984</v>
      </c>
      <c r="DCJ9" t="s">
        <v>6984</v>
      </c>
      <c r="DCK9" t="s">
        <v>6984</v>
      </c>
      <c r="DCL9" t="s">
        <v>6984</v>
      </c>
      <c r="DCM9" t="s">
        <v>6984</v>
      </c>
      <c r="DCN9" t="s">
        <v>6984</v>
      </c>
      <c r="DCO9" t="s">
        <v>6984</v>
      </c>
      <c r="DCP9" t="s">
        <v>6984</v>
      </c>
      <c r="DCQ9" t="s">
        <v>6984</v>
      </c>
      <c r="DCR9" t="s">
        <v>6984</v>
      </c>
      <c r="DCS9" t="s">
        <v>6984</v>
      </c>
      <c r="DCT9" t="s">
        <v>6984</v>
      </c>
      <c r="DCU9" t="s">
        <v>6984</v>
      </c>
      <c r="DCV9" t="s">
        <v>6984</v>
      </c>
      <c r="DCW9" t="s">
        <v>6984</v>
      </c>
      <c r="DCX9" t="s">
        <v>6984</v>
      </c>
      <c r="DCY9" t="s">
        <v>6984</v>
      </c>
      <c r="DCZ9" t="s">
        <v>6984</v>
      </c>
      <c r="DDA9" t="s">
        <v>6984</v>
      </c>
      <c r="DDB9" t="s">
        <v>6984</v>
      </c>
      <c r="DDC9" t="s">
        <v>6984</v>
      </c>
      <c r="DDD9" t="s">
        <v>6984</v>
      </c>
      <c r="DDE9" t="s">
        <v>6984</v>
      </c>
      <c r="DDF9" t="s">
        <v>6984</v>
      </c>
      <c r="DDG9" t="s">
        <v>6984</v>
      </c>
      <c r="DDH9" t="s">
        <v>6984</v>
      </c>
      <c r="DDI9" t="s">
        <v>6984</v>
      </c>
      <c r="DDJ9" t="s">
        <v>6984</v>
      </c>
      <c r="DDK9" t="s">
        <v>6984</v>
      </c>
      <c r="DDL9" t="s">
        <v>6984</v>
      </c>
      <c r="DDM9" t="s">
        <v>6984</v>
      </c>
      <c r="DDN9" t="s">
        <v>6984</v>
      </c>
      <c r="DDO9" t="s">
        <v>6984</v>
      </c>
      <c r="DDP9" t="s">
        <v>6984</v>
      </c>
      <c r="DDQ9" t="s">
        <v>6984</v>
      </c>
      <c r="DDR9" t="s">
        <v>6984</v>
      </c>
      <c r="DDS9" t="s">
        <v>6984</v>
      </c>
      <c r="DDT9" t="s">
        <v>6984</v>
      </c>
      <c r="DDU9" t="s">
        <v>6984</v>
      </c>
      <c r="DDV9" t="s">
        <v>6984</v>
      </c>
      <c r="DDW9" t="s">
        <v>6984</v>
      </c>
      <c r="DDX9" t="s">
        <v>6984</v>
      </c>
      <c r="DDY9" t="s">
        <v>6984</v>
      </c>
      <c r="DDZ9" t="s">
        <v>6984</v>
      </c>
      <c r="DEA9" t="s">
        <v>6984</v>
      </c>
      <c r="DEB9" t="s">
        <v>6984</v>
      </c>
      <c r="DEC9" t="s">
        <v>6984</v>
      </c>
      <c r="DED9" t="s">
        <v>6984</v>
      </c>
      <c r="DEE9" t="s">
        <v>6984</v>
      </c>
      <c r="DEF9" t="s">
        <v>6984</v>
      </c>
      <c r="DEG9" t="s">
        <v>6984</v>
      </c>
      <c r="DEH9" t="s">
        <v>6984</v>
      </c>
      <c r="DEI9" t="s">
        <v>6984</v>
      </c>
      <c r="DEJ9" t="s">
        <v>6984</v>
      </c>
      <c r="DEK9" t="s">
        <v>6984</v>
      </c>
      <c r="DEL9" t="s">
        <v>6984</v>
      </c>
      <c r="DEM9" t="s">
        <v>6984</v>
      </c>
      <c r="DEN9" t="s">
        <v>6984</v>
      </c>
      <c r="DEO9" t="s">
        <v>6984</v>
      </c>
      <c r="DEP9" t="s">
        <v>6984</v>
      </c>
      <c r="DEQ9" t="s">
        <v>6984</v>
      </c>
      <c r="DER9" t="s">
        <v>6984</v>
      </c>
      <c r="DES9" t="s">
        <v>6984</v>
      </c>
      <c r="DET9" t="s">
        <v>6984</v>
      </c>
      <c r="DEU9" t="s">
        <v>6984</v>
      </c>
      <c r="DEV9" t="s">
        <v>6984</v>
      </c>
      <c r="DEW9" t="s">
        <v>6984</v>
      </c>
      <c r="DEX9" t="s">
        <v>6984</v>
      </c>
      <c r="DEY9" t="s">
        <v>6984</v>
      </c>
      <c r="DEZ9" t="s">
        <v>6984</v>
      </c>
      <c r="DFA9" t="s">
        <v>6984</v>
      </c>
      <c r="DFB9" t="s">
        <v>6984</v>
      </c>
      <c r="DFC9" t="s">
        <v>6984</v>
      </c>
      <c r="DFD9" t="s">
        <v>6984</v>
      </c>
      <c r="DFE9" t="s">
        <v>6984</v>
      </c>
      <c r="DFF9" t="s">
        <v>6984</v>
      </c>
      <c r="DFG9" t="s">
        <v>6984</v>
      </c>
      <c r="DFH9" t="s">
        <v>6984</v>
      </c>
      <c r="DFI9" t="s">
        <v>6984</v>
      </c>
      <c r="DFJ9" t="s">
        <v>6984</v>
      </c>
      <c r="DFK9" t="s">
        <v>6984</v>
      </c>
      <c r="DFL9" t="s">
        <v>6984</v>
      </c>
      <c r="DFM9" t="s">
        <v>6984</v>
      </c>
      <c r="DFN9" t="s">
        <v>6984</v>
      </c>
      <c r="DFO9" t="s">
        <v>6984</v>
      </c>
      <c r="DFP9" t="s">
        <v>6984</v>
      </c>
      <c r="DFQ9" t="s">
        <v>6984</v>
      </c>
      <c r="DFR9" t="s">
        <v>6984</v>
      </c>
      <c r="DFS9" t="s">
        <v>6984</v>
      </c>
      <c r="DFT9" t="s">
        <v>6984</v>
      </c>
      <c r="DFU9" t="s">
        <v>6984</v>
      </c>
      <c r="DFV9" t="s">
        <v>6984</v>
      </c>
      <c r="DFW9" t="s">
        <v>6984</v>
      </c>
      <c r="DFX9" t="s">
        <v>6984</v>
      </c>
      <c r="DFY9" t="s">
        <v>6984</v>
      </c>
      <c r="DFZ9" t="s">
        <v>6984</v>
      </c>
      <c r="DGA9" t="s">
        <v>6984</v>
      </c>
      <c r="DGB9" t="s">
        <v>6984</v>
      </c>
      <c r="DGC9" t="s">
        <v>6984</v>
      </c>
      <c r="DGD9" t="s">
        <v>6984</v>
      </c>
      <c r="DGE9" t="s">
        <v>6984</v>
      </c>
      <c r="DGF9" t="s">
        <v>6984</v>
      </c>
      <c r="DGG9" t="s">
        <v>6984</v>
      </c>
      <c r="DGH9" t="s">
        <v>6984</v>
      </c>
      <c r="DGI9" t="s">
        <v>6984</v>
      </c>
      <c r="DGJ9" t="s">
        <v>6984</v>
      </c>
      <c r="DGK9" t="s">
        <v>6984</v>
      </c>
      <c r="DGL9" t="s">
        <v>6984</v>
      </c>
      <c r="DGM9" t="s">
        <v>6984</v>
      </c>
      <c r="DGN9" t="s">
        <v>6984</v>
      </c>
      <c r="DGO9" t="s">
        <v>6984</v>
      </c>
      <c r="DGP9" t="s">
        <v>6984</v>
      </c>
      <c r="DGQ9" t="s">
        <v>6984</v>
      </c>
      <c r="DGR9" t="s">
        <v>6984</v>
      </c>
      <c r="DGS9" t="s">
        <v>6984</v>
      </c>
      <c r="DGT9" t="s">
        <v>6984</v>
      </c>
      <c r="DGU9" t="s">
        <v>6984</v>
      </c>
      <c r="DGV9" t="s">
        <v>6984</v>
      </c>
      <c r="DGW9" t="s">
        <v>6984</v>
      </c>
      <c r="DGX9" t="s">
        <v>6984</v>
      </c>
      <c r="DGY9" t="s">
        <v>6984</v>
      </c>
      <c r="DGZ9" t="s">
        <v>6984</v>
      </c>
      <c r="DHA9" t="s">
        <v>6984</v>
      </c>
      <c r="DHB9" t="s">
        <v>6984</v>
      </c>
      <c r="DHC9" t="s">
        <v>6984</v>
      </c>
      <c r="DHD9" t="s">
        <v>6984</v>
      </c>
      <c r="DHE9" t="s">
        <v>6984</v>
      </c>
      <c r="DHF9" t="s">
        <v>6984</v>
      </c>
      <c r="DHG9" t="s">
        <v>6984</v>
      </c>
      <c r="DHH9" t="s">
        <v>6984</v>
      </c>
      <c r="DHI9" t="s">
        <v>6984</v>
      </c>
      <c r="DHJ9" t="s">
        <v>6984</v>
      </c>
      <c r="DHK9" t="s">
        <v>6984</v>
      </c>
      <c r="DHL9" t="s">
        <v>6984</v>
      </c>
      <c r="DHM9" t="s">
        <v>6984</v>
      </c>
      <c r="DHN9" t="s">
        <v>6984</v>
      </c>
      <c r="DHO9" t="s">
        <v>6984</v>
      </c>
      <c r="DHP9" t="s">
        <v>6984</v>
      </c>
      <c r="DHQ9" t="s">
        <v>6984</v>
      </c>
      <c r="DHR9" t="s">
        <v>6984</v>
      </c>
      <c r="DHS9" t="s">
        <v>6984</v>
      </c>
      <c r="DHT9" t="s">
        <v>6984</v>
      </c>
      <c r="DHU9" t="s">
        <v>6984</v>
      </c>
      <c r="DHV9" t="s">
        <v>6984</v>
      </c>
      <c r="DHW9" t="s">
        <v>6984</v>
      </c>
      <c r="DHX9" t="s">
        <v>6984</v>
      </c>
      <c r="DHY9" t="s">
        <v>6984</v>
      </c>
      <c r="DHZ9" t="s">
        <v>6984</v>
      </c>
      <c r="DIA9" t="s">
        <v>6984</v>
      </c>
      <c r="DIB9" t="s">
        <v>6984</v>
      </c>
      <c r="DIC9" t="s">
        <v>6984</v>
      </c>
      <c r="DID9" t="s">
        <v>6984</v>
      </c>
      <c r="DIE9" t="s">
        <v>6984</v>
      </c>
      <c r="DIF9" t="s">
        <v>6984</v>
      </c>
      <c r="DIG9" t="s">
        <v>6984</v>
      </c>
      <c r="DIH9" t="s">
        <v>6984</v>
      </c>
      <c r="DII9" t="s">
        <v>6984</v>
      </c>
      <c r="DIJ9" t="s">
        <v>6984</v>
      </c>
      <c r="DIK9" t="s">
        <v>6984</v>
      </c>
      <c r="DIL9" t="s">
        <v>6984</v>
      </c>
      <c r="DIM9" t="s">
        <v>6984</v>
      </c>
      <c r="DIN9" t="s">
        <v>6984</v>
      </c>
      <c r="DIO9" t="s">
        <v>6984</v>
      </c>
      <c r="DIP9" t="s">
        <v>6984</v>
      </c>
      <c r="DIQ9" t="s">
        <v>6984</v>
      </c>
      <c r="DIR9" t="s">
        <v>6984</v>
      </c>
      <c r="DIS9" t="s">
        <v>6984</v>
      </c>
      <c r="DIT9" t="s">
        <v>6984</v>
      </c>
      <c r="DIU9" t="s">
        <v>6984</v>
      </c>
      <c r="DIV9" t="s">
        <v>6984</v>
      </c>
      <c r="DIW9" t="s">
        <v>6984</v>
      </c>
      <c r="DIX9" t="s">
        <v>6984</v>
      </c>
      <c r="DIY9" t="s">
        <v>6984</v>
      </c>
      <c r="DIZ9" t="s">
        <v>6984</v>
      </c>
      <c r="DJA9" t="s">
        <v>6984</v>
      </c>
      <c r="DJB9" t="s">
        <v>6984</v>
      </c>
      <c r="DJC9" t="s">
        <v>6984</v>
      </c>
      <c r="DJD9" t="s">
        <v>6984</v>
      </c>
      <c r="DJE9" t="s">
        <v>6984</v>
      </c>
      <c r="DJF9" t="s">
        <v>6984</v>
      </c>
      <c r="DJG9" t="s">
        <v>6984</v>
      </c>
      <c r="DJH9" t="s">
        <v>6984</v>
      </c>
      <c r="DJI9" t="s">
        <v>6984</v>
      </c>
      <c r="DJJ9" t="s">
        <v>6984</v>
      </c>
      <c r="DJK9" t="s">
        <v>6984</v>
      </c>
      <c r="DJL9" t="s">
        <v>6984</v>
      </c>
      <c r="DJM9" t="s">
        <v>6984</v>
      </c>
      <c r="DJN9" t="s">
        <v>6984</v>
      </c>
      <c r="DJO9" t="s">
        <v>6984</v>
      </c>
      <c r="DJP9" t="s">
        <v>6984</v>
      </c>
      <c r="DJQ9" t="s">
        <v>6984</v>
      </c>
      <c r="DJR9" t="s">
        <v>6984</v>
      </c>
      <c r="DJS9" t="s">
        <v>6984</v>
      </c>
      <c r="DJT9" t="s">
        <v>6984</v>
      </c>
      <c r="DJU9" t="s">
        <v>6984</v>
      </c>
      <c r="DJV9" t="s">
        <v>6984</v>
      </c>
      <c r="DJW9" t="s">
        <v>6984</v>
      </c>
      <c r="DJX9" t="s">
        <v>6984</v>
      </c>
      <c r="DJY9" t="s">
        <v>6984</v>
      </c>
      <c r="DJZ9" t="s">
        <v>6984</v>
      </c>
      <c r="DKA9" t="s">
        <v>6984</v>
      </c>
      <c r="DKB9" t="s">
        <v>6984</v>
      </c>
      <c r="DKC9" t="s">
        <v>6984</v>
      </c>
      <c r="DKD9" t="s">
        <v>6984</v>
      </c>
      <c r="DKE9" t="s">
        <v>6984</v>
      </c>
      <c r="DKF9" t="s">
        <v>6984</v>
      </c>
      <c r="DKG9" t="s">
        <v>6984</v>
      </c>
      <c r="DKH9" t="s">
        <v>6984</v>
      </c>
      <c r="DKI9" t="s">
        <v>6984</v>
      </c>
      <c r="DKJ9" t="s">
        <v>6984</v>
      </c>
      <c r="DKK9" t="s">
        <v>6984</v>
      </c>
      <c r="DKL9" t="s">
        <v>6984</v>
      </c>
      <c r="DKM9" t="s">
        <v>6984</v>
      </c>
      <c r="DKN9" t="s">
        <v>6984</v>
      </c>
      <c r="DKO9" t="s">
        <v>6984</v>
      </c>
      <c r="DKP9" t="s">
        <v>6984</v>
      </c>
      <c r="DKQ9" t="s">
        <v>6984</v>
      </c>
      <c r="DKR9" t="s">
        <v>6984</v>
      </c>
      <c r="DKS9" t="s">
        <v>6984</v>
      </c>
      <c r="DKT9" t="s">
        <v>6984</v>
      </c>
      <c r="DKU9" t="s">
        <v>6984</v>
      </c>
      <c r="DKV9" t="s">
        <v>6984</v>
      </c>
      <c r="DKW9" t="s">
        <v>6984</v>
      </c>
      <c r="DKX9" t="s">
        <v>6984</v>
      </c>
      <c r="DKY9" t="s">
        <v>6984</v>
      </c>
      <c r="DKZ9" t="s">
        <v>6984</v>
      </c>
      <c r="DLA9" t="s">
        <v>6984</v>
      </c>
      <c r="DLB9" t="s">
        <v>6984</v>
      </c>
      <c r="DLC9" t="s">
        <v>6984</v>
      </c>
      <c r="DLD9" t="s">
        <v>6984</v>
      </c>
      <c r="DLE9" t="s">
        <v>6984</v>
      </c>
      <c r="DLF9" t="s">
        <v>6984</v>
      </c>
      <c r="DLG9" t="s">
        <v>6984</v>
      </c>
      <c r="DLH9" t="s">
        <v>6984</v>
      </c>
      <c r="DLI9" t="s">
        <v>6984</v>
      </c>
      <c r="DLJ9" t="s">
        <v>6984</v>
      </c>
      <c r="DLK9" t="s">
        <v>6984</v>
      </c>
      <c r="DLL9" t="s">
        <v>6984</v>
      </c>
      <c r="DLM9" t="s">
        <v>6984</v>
      </c>
      <c r="DLN9" t="s">
        <v>6984</v>
      </c>
      <c r="DLO9" t="s">
        <v>6984</v>
      </c>
      <c r="DLP9" t="s">
        <v>6984</v>
      </c>
      <c r="DLQ9" t="s">
        <v>6984</v>
      </c>
      <c r="DLR9" t="s">
        <v>6984</v>
      </c>
      <c r="DLS9" t="s">
        <v>6984</v>
      </c>
      <c r="DLT9" t="s">
        <v>6984</v>
      </c>
      <c r="DLU9" t="s">
        <v>6984</v>
      </c>
      <c r="DLV9" t="s">
        <v>6984</v>
      </c>
      <c r="DLW9" t="s">
        <v>6984</v>
      </c>
      <c r="DLX9" t="s">
        <v>6984</v>
      </c>
      <c r="DLY9" t="s">
        <v>6984</v>
      </c>
      <c r="DLZ9" t="s">
        <v>6984</v>
      </c>
      <c r="DMA9" t="s">
        <v>6984</v>
      </c>
      <c r="DMB9" t="s">
        <v>6984</v>
      </c>
      <c r="DMC9" t="s">
        <v>6984</v>
      </c>
      <c r="DMD9" t="s">
        <v>6984</v>
      </c>
      <c r="DME9" t="s">
        <v>6984</v>
      </c>
      <c r="DMF9" t="s">
        <v>6984</v>
      </c>
      <c r="DMG9" t="s">
        <v>6984</v>
      </c>
      <c r="DMH9" t="s">
        <v>6984</v>
      </c>
      <c r="DMI9" t="s">
        <v>6984</v>
      </c>
      <c r="DMJ9" t="s">
        <v>6984</v>
      </c>
      <c r="DMK9" t="s">
        <v>6984</v>
      </c>
      <c r="DML9" t="s">
        <v>6984</v>
      </c>
      <c r="DMM9" t="s">
        <v>6984</v>
      </c>
      <c r="DMN9" t="s">
        <v>6984</v>
      </c>
      <c r="DMO9" t="s">
        <v>6984</v>
      </c>
      <c r="DMP9" t="s">
        <v>6984</v>
      </c>
      <c r="DMQ9" t="s">
        <v>6984</v>
      </c>
      <c r="DMR9" t="s">
        <v>6984</v>
      </c>
      <c r="DMS9" t="s">
        <v>6984</v>
      </c>
      <c r="DMT9" t="s">
        <v>6984</v>
      </c>
      <c r="DMU9" t="s">
        <v>6984</v>
      </c>
      <c r="DMV9" t="s">
        <v>6984</v>
      </c>
      <c r="DMW9" t="s">
        <v>6984</v>
      </c>
      <c r="DMX9" t="s">
        <v>6984</v>
      </c>
      <c r="DMY9" t="s">
        <v>6984</v>
      </c>
      <c r="DMZ9" t="s">
        <v>6984</v>
      </c>
      <c r="DNA9" t="s">
        <v>6984</v>
      </c>
      <c r="DNB9" t="s">
        <v>6984</v>
      </c>
      <c r="DNC9" t="s">
        <v>6984</v>
      </c>
      <c r="DND9" t="s">
        <v>6984</v>
      </c>
      <c r="DNE9" t="s">
        <v>6984</v>
      </c>
      <c r="DNF9" t="s">
        <v>6984</v>
      </c>
      <c r="DNG9" t="s">
        <v>6984</v>
      </c>
      <c r="DNH9" t="s">
        <v>6984</v>
      </c>
      <c r="DNI9" t="s">
        <v>6984</v>
      </c>
      <c r="DNJ9" t="s">
        <v>6984</v>
      </c>
      <c r="DNK9" t="s">
        <v>6984</v>
      </c>
      <c r="DNL9" t="s">
        <v>6984</v>
      </c>
      <c r="DNM9" t="s">
        <v>6984</v>
      </c>
      <c r="DNN9" t="s">
        <v>6984</v>
      </c>
      <c r="DNO9" t="s">
        <v>6984</v>
      </c>
      <c r="DNP9" t="s">
        <v>6984</v>
      </c>
      <c r="DNQ9" t="s">
        <v>6984</v>
      </c>
      <c r="DNR9" t="s">
        <v>6984</v>
      </c>
      <c r="DNS9" t="s">
        <v>6984</v>
      </c>
      <c r="DNT9" t="s">
        <v>6984</v>
      </c>
      <c r="DNU9" t="s">
        <v>6984</v>
      </c>
      <c r="DNV9" t="s">
        <v>6984</v>
      </c>
      <c r="DNW9" t="s">
        <v>6984</v>
      </c>
      <c r="DNX9" t="s">
        <v>6984</v>
      </c>
      <c r="DNY9" t="s">
        <v>6984</v>
      </c>
      <c r="DNZ9" t="s">
        <v>6984</v>
      </c>
      <c r="DOA9" t="s">
        <v>6984</v>
      </c>
      <c r="DOB9" t="s">
        <v>6984</v>
      </c>
      <c r="DOC9" t="s">
        <v>6984</v>
      </c>
      <c r="DOD9" t="s">
        <v>6984</v>
      </c>
      <c r="DOE9" t="s">
        <v>6984</v>
      </c>
      <c r="DOF9" t="s">
        <v>6984</v>
      </c>
      <c r="DOG9" t="s">
        <v>6984</v>
      </c>
      <c r="DOH9" t="s">
        <v>6984</v>
      </c>
      <c r="DOI9" t="s">
        <v>6984</v>
      </c>
      <c r="DOJ9" t="s">
        <v>6984</v>
      </c>
      <c r="DOK9" t="s">
        <v>6984</v>
      </c>
      <c r="DOL9" t="s">
        <v>6984</v>
      </c>
      <c r="DOM9" t="s">
        <v>6984</v>
      </c>
      <c r="DON9" t="s">
        <v>6984</v>
      </c>
      <c r="DOO9" t="s">
        <v>6984</v>
      </c>
      <c r="DOP9" t="s">
        <v>6984</v>
      </c>
      <c r="DOQ9" t="s">
        <v>6984</v>
      </c>
      <c r="DOR9" t="s">
        <v>6984</v>
      </c>
      <c r="DOS9" t="s">
        <v>6984</v>
      </c>
      <c r="DOT9" t="s">
        <v>6984</v>
      </c>
      <c r="DOU9" t="s">
        <v>6984</v>
      </c>
      <c r="DOV9" t="s">
        <v>6984</v>
      </c>
      <c r="DOW9" t="s">
        <v>6984</v>
      </c>
      <c r="DOX9" t="s">
        <v>6984</v>
      </c>
      <c r="DOY9" t="s">
        <v>6984</v>
      </c>
      <c r="DOZ9" t="s">
        <v>6984</v>
      </c>
      <c r="DPA9" t="s">
        <v>6984</v>
      </c>
      <c r="DPB9" t="s">
        <v>6984</v>
      </c>
      <c r="DPC9" t="s">
        <v>6984</v>
      </c>
      <c r="DPD9" t="s">
        <v>6984</v>
      </c>
      <c r="DPE9" t="s">
        <v>6984</v>
      </c>
      <c r="DPF9" t="s">
        <v>6984</v>
      </c>
      <c r="DPG9" t="s">
        <v>6984</v>
      </c>
      <c r="DPH9" t="s">
        <v>6984</v>
      </c>
      <c r="DPI9" t="s">
        <v>6984</v>
      </c>
      <c r="DPJ9" t="s">
        <v>6984</v>
      </c>
      <c r="DPK9" t="s">
        <v>6984</v>
      </c>
      <c r="DPL9" t="s">
        <v>6984</v>
      </c>
      <c r="DPM9" t="s">
        <v>6984</v>
      </c>
      <c r="DPN9" t="s">
        <v>6984</v>
      </c>
      <c r="DPO9" t="s">
        <v>6984</v>
      </c>
      <c r="DPP9" t="s">
        <v>6984</v>
      </c>
      <c r="DPQ9" t="s">
        <v>6984</v>
      </c>
      <c r="DPR9" t="s">
        <v>6984</v>
      </c>
      <c r="DPS9" t="s">
        <v>6984</v>
      </c>
      <c r="DPT9" t="s">
        <v>6984</v>
      </c>
      <c r="DPU9" t="s">
        <v>6984</v>
      </c>
      <c r="DPV9" t="s">
        <v>6984</v>
      </c>
      <c r="DPW9" t="s">
        <v>6984</v>
      </c>
      <c r="DPX9" t="s">
        <v>6984</v>
      </c>
      <c r="DPY9" t="s">
        <v>6984</v>
      </c>
      <c r="DPZ9" t="s">
        <v>6984</v>
      </c>
      <c r="DQA9" t="s">
        <v>6984</v>
      </c>
      <c r="DQB9" t="s">
        <v>6984</v>
      </c>
      <c r="DQC9" t="s">
        <v>6984</v>
      </c>
      <c r="DQD9" t="s">
        <v>6984</v>
      </c>
      <c r="DQE9" t="s">
        <v>6984</v>
      </c>
      <c r="DQF9" t="s">
        <v>6984</v>
      </c>
      <c r="DQG9" t="s">
        <v>6984</v>
      </c>
      <c r="DQH9" t="s">
        <v>6984</v>
      </c>
      <c r="DQI9" t="s">
        <v>6984</v>
      </c>
      <c r="DQJ9" t="s">
        <v>6984</v>
      </c>
      <c r="DQK9" t="s">
        <v>6984</v>
      </c>
      <c r="DQL9" t="s">
        <v>6984</v>
      </c>
      <c r="DQM9" t="s">
        <v>6984</v>
      </c>
      <c r="DQN9" t="s">
        <v>6984</v>
      </c>
      <c r="DQO9" t="s">
        <v>6984</v>
      </c>
      <c r="DQP9" t="s">
        <v>6984</v>
      </c>
      <c r="DQQ9" t="s">
        <v>6984</v>
      </c>
      <c r="DQR9" t="s">
        <v>6984</v>
      </c>
      <c r="DQS9" t="s">
        <v>6984</v>
      </c>
      <c r="DQT9" t="s">
        <v>6984</v>
      </c>
      <c r="DQU9" t="s">
        <v>6984</v>
      </c>
      <c r="DQV9" t="s">
        <v>6984</v>
      </c>
      <c r="DQW9" t="s">
        <v>6984</v>
      </c>
      <c r="DQX9" t="s">
        <v>6984</v>
      </c>
      <c r="DQY9" t="s">
        <v>6984</v>
      </c>
      <c r="DQZ9" t="s">
        <v>6984</v>
      </c>
      <c r="DRA9" t="s">
        <v>6984</v>
      </c>
      <c r="DRB9" t="s">
        <v>6984</v>
      </c>
      <c r="DRC9" t="s">
        <v>6984</v>
      </c>
      <c r="DRD9" t="s">
        <v>6984</v>
      </c>
      <c r="DRE9" t="s">
        <v>6984</v>
      </c>
      <c r="DRF9" t="s">
        <v>6984</v>
      </c>
      <c r="DRG9" t="s">
        <v>6984</v>
      </c>
      <c r="DRH9" t="s">
        <v>6984</v>
      </c>
      <c r="DRI9" t="s">
        <v>6984</v>
      </c>
      <c r="DRJ9" t="s">
        <v>6984</v>
      </c>
      <c r="DRK9" t="s">
        <v>6984</v>
      </c>
      <c r="DRL9" t="s">
        <v>6984</v>
      </c>
      <c r="DRM9" t="s">
        <v>6984</v>
      </c>
      <c r="DRN9" t="s">
        <v>6984</v>
      </c>
      <c r="DRO9" t="s">
        <v>6984</v>
      </c>
      <c r="DRP9" t="s">
        <v>6984</v>
      </c>
      <c r="DRQ9" t="s">
        <v>6984</v>
      </c>
      <c r="DRR9" t="s">
        <v>6984</v>
      </c>
      <c r="DRS9" t="s">
        <v>6984</v>
      </c>
      <c r="DRT9" t="s">
        <v>6984</v>
      </c>
      <c r="DRU9" t="s">
        <v>6984</v>
      </c>
      <c r="DRV9" t="s">
        <v>6984</v>
      </c>
      <c r="DRW9" t="s">
        <v>6984</v>
      </c>
      <c r="DRX9" t="s">
        <v>6984</v>
      </c>
      <c r="DRY9" t="s">
        <v>6984</v>
      </c>
      <c r="DRZ9" t="s">
        <v>6984</v>
      </c>
      <c r="DSA9" t="s">
        <v>6984</v>
      </c>
      <c r="DSB9" t="s">
        <v>6984</v>
      </c>
      <c r="DSC9" t="s">
        <v>6984</v>
      </c>
      <c r="DSD9" t="s">
        <v>6984</v>
      </c>
      <c r="DSE9" t="s">
        <v>6984</v>
      </c>
      <c r="DSF9" t="s">
        <v>6984</v>
      </c>
      <c r="DSG9" t="s">
        <v>6984</v>
      </c>
      <c r="DSH9" t="s">
        <v>6984</v>
      </c>
      <c r="DSI9" t="s">
        <v>6984</v>
      </c>
      <c r="DSJ9" t="s">
        <v>6984</v>
      </c>
      <c r="DSK9" t="s">
        <v>6984</v>
      </c>
      <c r="DSL9" t="s">
        <v>6984</v>
      </c>
      <c r="DSM9" t="s">
        <v>6984</v>
      </c>
      <c r="DSN9" t="s">
        <v>6984</v>
      </c>
      <c r="DSO9" t="s">
        <v>6984</v>
      </c>
      <c r="DSP9" t="s">
        <v>6984</v>
      </c>
      <c r="DSQ9" t="s">
        <v>6984</v>
      </c>
      <c r="DSR9" t="s">
        <v>6984</v>
      </c>
      <c r="DSS9" t="s">
        <v>6984</v>
      </c>
      <c r="DST9" t="s">
        <v>6984</v>
      </c>
      <c r="DSU9" t="s">
        <v>6984</v>
      </c>
      <c r="DSV9" t="s">
        <v>6984</v>
      </c>
      <c r="DSW9" t="s">
        <v>6984</v>
      </c>
      <c r="DSX9" t="s">
        <v>6984</v>
      </c>
      <c r="DSY9" t="s">
        <v>6984</v>
      </c>
      <c r="DSZ9" t="s">
        <v>6984</v>
      </c>
      <c r="DTA9" t="s">
        <v>6984</v>
      </c>
      <c r="DTB9" t="s">
        <v>6984</v>
      </c>
      <c r="DTC9" t="s">
        <v>6984</v>
      </c>
      <c r="DTD9" t="s">
        <v>6984</v>
      </c>
      <c r="DTE9" t="s">
        <v>6984</v>
      </c>
      <c r="DTF9" t="s">
        <v>6984</v>
      </c>
      <c r="DTG9" t="s">
        <v>6984</v>
      </c>
      <c r="DTH9" t="s">
        <v>6984</v>
      </c>
      <c r="DTI9" t="s">
        <v>6984</v>
      </c>
      <c r="DTJ9" t="s">
        <v>6984</v>
      </c>
      <c r="DTK9" t="s">
        <v>6984</v>
      </c>
      <c r="DTL9" t="s">
        <v>6984</v>
      </c>
      <c r="DTM9" t="s">
        <v>6984</v>
      </c>
      <c r="DTN9" t="s">
        <v>6984</v>
      </c>
      <c r="DTO9" t="s">
        <v>6984</v>
      </c>
      <c r="DTP9" t="s">
        <v>6984</v>
      </c>
      <c r="DTQ9" t="s">
        <v>6984</v>
      </c>
      <c r="DTR9" t="s">
        <v>6984</v>
      </c>
      <c r="DTS9" t="s">
        <v>6984</v>
      </c>
      <c r="DTT9" t="s">
        <v>6984</v>
      </c>
      <c r="DTU9" t="s">
        <v>6984</v>
      </c>
      <c r="DTV9" t="s">
        <v>6984</v>
      </c>
      <c r="DTW9" t="s">
        <v>6984</v>
      </c>
      <c r="DTX9" t="s">
        <v>6984</v>
      </c>
      <c r="DTY9" t="s">
        <v>6984</v>
      </c>
      <c r="DTZ9" t="s">
        <v>6984</v>
      </c>
      <c r="DUA9" t="s">
        <v>6984</v>
      </c>
      <c r="DUB9" t="s">
        <v>6984</v>
      </c>
      <c r="DUC9" t="s">
        <v>6984</v>
      </c>
      <c r="DUD9" t="s">
        <v>6984</v>
      </c>
      <c r="DUE9" t="s">
        <v>6984</v>
      </c>
      <c r="DUF9" t="s">
        <v>6984</v>
      </c>
      <c r="DUG9" t="s">
        <v>6984</v>
      </c>
      <c r="DUH9" t="s">
        <v>6984</v>
      </c>
      <c r="DUI9" t="s">
        <v>6984</v>
      </c>
      <c r="DUJ9" t="s">
        <v>6984</v>
      </c>
      <c r="DUK9" t="s">
        <v>6984</v>
      </c>
      <c r="DUL9" t="s">
        <v>6984</v>
      </c>
      <c r="DUM9" t="s">
        <v>6984</v>
      </c>
      <c r="DUN9" t="s">
        <v>6984</v>
      </c>
      <c r="DUO9" t="s">
        <v>6984</v>
      </c>
      <c r="DUP9" t="s">
        <v>6984</v>
      </c>
      <c r="DUQ9" t="s">
        <v>6984</v>
      </c>
      <c r="DUR9" t="s">
        <v>6984</v>
      </c>
      <c r="DUS9" t="s">
        <v>6984</v>
      </c>
      <c r="DUT9" t="s">
        <v>6984</v>
      </c>
      <c r="DUU9" t="s">
        <v>6984</v>
      </c>
      <c r="DUV9" t="s">
        <v>6984</v>
      </c>
      <c r="DUW9" t="s">
        <v>6984</v>
      </c>
      <c r="DUX9" t="s">
        <v>6984</v>
      </c>
      <c r="DUY9" t="s">
        <v>6984</v>
      </c>
      <c r="DUZ9" t="s">
        <v>6984</v>
      </c>
      <c r="DVA9" t="s">
        <v>6984</v>
      </c>
      <c r="DVB9" t="s">
        <v>6984</v>
      </c>
      <c r="DVC9" t="s">
        <v>6984</v>
      </c>
      <c r="DVD9" t="s">
        <v>6984</v>
      </c>
      <c r="DVE9" t="s">
        <v>6984</v>
      </c>
      <c r="DVF9" t="s">
        <v>6984</v>
      </c>
      <c r="DVG9" t="s">
        <v>6984</v>
      </c>
      <c r="DVH9" t="s">
        <v>6984</v>
      </c>
      <c r="DVI9" t="s">
        <v>6984</v>
      </c>
      <c r="DVJ9" t="s">
        <v>6984</v>
      </c>
      <c r="DVK9" t="s">
        <v>6984</v>
      </c>
      <c r="DVL9" t="s">
        <v>6984</v>
      </c>
      <c r="DVM9" t="s">
        <v>6984</v>
      </c>
      <c r="DVN9" t="s">
        <v>6984</v>
      </c>
      <c r="DVO9" t="s">
        <v>6984</v>
      </c>
      <c r="DVP9" t="s">
        <v>6984</v>
      </c>
      <c r="DVQ9" t="s">
        <v>6984</v>
      </c>
      <c r="DVR9" t="s">
        <v>6984</v>
      </c>
      <c r="DVS9" t="s">
        <v>6984</v>
      </c>
      <c r="DVT9" t="s">
        <v>6984</v>
      </c>
      <c r="DVU9" t="s">
        <v>6984</v>
      </c>
      <c r="DVV9" t="s">
        <v>6984</v>
      </c>
      <c r="DVW9" t="s">
        <v>6984</v>
      </c>
      <c r="DVX9" t="s">
        <v>6984</v>
      </c>
      <c r="DVY9" t="s">
        <v>6984</v>
      </c>
      <c r="DVZ9" t="s">
        <v>6984</v>
      </c>
      <c r="DWA9" t="s">
        <v>6984</v>
      </c>
      <c r="DWB9" t="s">
        <v>6984</v>
      </c>
      <c r="DWC9" t="s">
        <v>6984</v>
      </c>
      <c r="DWD9" t="s">
        <v>6984</v>
      </c>
      <c r="DWE9" t="s">
        <v>6984</v>
      </c>
      <c r="DWF9" t="s">
        <v>6984</v>
      </c>
      <c r="DWG9" t="s">
        <v>6984</v>
      </c>
      <c r="DWH9" t="s">
        <v>6984</v>
      </c>
      <c r="DWI9" t="s">
        <v>6984</v>
      </c>
      <c r="DWJ9" t="s">
        <v>6984</v>
      </c>
      <c r="DWK9" t="s">
        <v>6984</v>
      </c>
      <c r="DWL9" t="s">
        <v>6984</v>
      </c>
      <c r="DWM9" t="s">
        <v>6984</v>
      </c>
      <c r="DWN9" t="s">
        <v>6984</v>
      </c>
      <c r="DWO9" t="s">
        <v>6984</v>
      </c>
      <c r="DWP9" t="s">
        <v>6984</v>
      </c>
      <c r="DWQ9" t="s">
        <v>6984</v>
      </c>
      <c r="DWR9" t="s">
        <v>6984</v>
      </c>
      <c r="DWS9" t="s">
        <v>6984</v>
      </c>
      <c r="DWT9" t="s">
        <v>6984</v>
      </c>
      <c r="DWU9" t="s">
        <v>6984</v>
      </c>
      <c r="DWV9" t="s">
        <v>6984</v>
      </c>
      <c r="DWW9" t="s">
        <v>6984</v>
      </c>
      <c r="DWX9" t="s">
        <v>6984</v>
      </c>
      <c r="DWY9" t="s">
        <v>6984</v>
      </c>
      <c r="DWZ9" t="s">
        <v>6984</v>
      </c>
      <c r="DXA9" t="s">
        <v>6984</v>
      </c>
      <c r="DXB9" t="s">
        <v>6984</v>
      </c>
      <c r="DXC9" t="s">
        <v>6984</v>
      </c>
      <c r="DXD9" t="s">
        <v>6984</v>
      </c>
      <c r="DXE9" t="s">
        <v>6984</v>
      </c>
      <c r="DXF9" t="s">
        <v>6984</v>
      </c>
      <c r="DXG9" t="s">
        <v>6984</v>
      </c>
      <c r="DXH9" t="s">
        <v>6984</v>
      </c>
      <c r="DXI9" t="s">
        <v>6984</v>
      </c>
      <c r="DXJ9" t="s">
        <v>6984</v>
      </c>
      <c r="DXK9" t="s">
        <v>6984</v>
      </c>
      <c r="DXL9" t="s">
        <v>6984</v>
      </c>
      <c r="DXM9" t="s">
        <v>6984</v>
      </c>
      <c r="DXN9" t="s">
        <v>6984</v>
      </c>
      <c r="DXO9" t="s">
        <v>6984</v>
      </c>
      <c r="DXP9" t="s">
        <v>6984</v>
      </c>
      <c r="DXQ9" t="s">
        <v>6984</v>
      </c>
      <c r="DXR9" t="s">
        <v>6984</v>
      </c>
      <c r="DXS9" t="s">
        <v>6984</v>
      </c>
      <c r="DXT9" t="s">
        <v>6984</v>
      </c>
      <c r="DXU9" t="s">
        <v>6984</v>
      </c>
      <c r="DXV9" t="s">
        <v>6984</v>
      </c>
      <c r="DXW9" t="s">
        <v>6984</v>
      </c>
      <c r="DXX9" t="s">
        <v>6984</v>
      </c>
      <c r="DXY9" t="s">
        <v>6984</v>
      </c>
      <c r="DXZ9" t="s">
        <v>6984</v>
      </c>
      <c r="DYA9" t="s">
        <v>6984</v>
      </c>
      <c r="DYB9" t="s">
        <v>6984</v>
      </c>
      <c r="DYC9" t="s">
        <v>6984</v>
      </c>
      <c r="DYD9" t="s">
        <v>6984</v>
      </c>
      <c r="DYE9" t="s">
        <v>6984</v>
      </c>
      <c r="DYF9" t="s">
        <v>6984</v>
      </c>
      <c r="DYG9" t="s">
        <v>6984</v>
      </c>
      <c r="DYH9" t="s">
        <v>6984</v>
      </c>
      <c r="DYI9" t="s">
        <v>6984</v>
      </c>
      <c r="DYJ9" t="s">
        <v>6984</v>
      </c>
      <c r="DYK9" t="s">
        <v>6984</v>
      </c>
      <c r="DYL9" t="s">
        <v>6984</v>
      </c>
      <c r="DYM9" t="s">
        <v>6984</v>
      </c>
      <c r="DYN9" t="s">
        <v>6984</v>
      </c>
      <c r="DYO9" t="s">
        <v>6984</v>
      </c>
      <c r="DYP9" t="s">
        <v>6984</v>
      </c>
      <c r="DYQ9" t="s">
        <v>6984</v>
      </c>
      <c r="DYR9" t="s">
        <v>6984</v>
      </c>
      <c r="DYS9" t="s">
        <v>6984</v>
      </c>
      <c r="DYT9" t="s">
        <v>6984</v>
      </c>
      <c r="DYU9" t="s">
        <v>6984</v>
      </c>
      <c r="DYV9" t="s">
        <v>6984</v>
      </c>
      <c r="DYW9" t="s">
        <v>6984</v>
      </c>
      <c r="DYX9" t="s">
        <v>6984</v>
      </c>
      <c r="DYY9" t="s">
        <v>6984</v>
      </c>
      <c r="DYZ9" t="s">
        <v>6984</v>
      </c>
      <c r="DZA9" t="s">
        <v>6984</v>
      </c>
      <c r="DZB9" t="s">
        <v>6984</v>
      </c>
      <c r="DZC9" t="s">
        <v>6984</v>
      </c>
      <c r="DZD9" t="s">
        <v>6984</v>
      </c>
      <c r="DZE9" t="s">
        <v>6984</v>
      </c>
      <c r="DZF9" t="s">
        <v>6984</v>
      </c>
      <c r="DZG9" t="s">
        <v>6984</v>
      </c>
      <c r="DZH9" t="s">
        <v>6984</v>
      </c>
      <c r="DZI9" t="s">
        <v>6984</v>
      </c>
      <c r="DZJ9" t="s">
        <v>6984</v>
      </c>
      <c r="DZK9" t="s">
        <v>6984</v>
      </c>
      <c r="DZL9" t="s">
        <v>6984</v>
      </c>
      <c r="DZM9" t="s">
        <v>6984</v>
      </c>
      <c r="DZN9" t="s">
        <v>6984</v>
      </c>
      <c r="DZO9" t="s">
        <v>6984</v>
      </c>
      <c r="DZP9" t="s">
        <v>6984</v>
      </c>
      <c r="DZQ9" t="s">
        <v>6984</v>
      </c>
      <c r="DZR9" t="s">
        <v>6984</v>
      </c>
      <c r="DZS9" t="s">
        <v>6984</v>
      </c>
      <c r="DZT9" t="s">
        <v>6984</v>
      </c>
      <c r="DZU9" t="s">
        <v>6984</v>
      </c>
      <c r="DZV9" t="s">
        <v>6984</v>
      </c>
      <c r="DZW9" t="s">
        <v>6984</v>
      </c>
      <c r="DZX9" t="s">
        <v>6984</v>
      </c>
      <c r="DZY9" t="s">
        <v>6984</v>
      </c>
      <c r="DZZ9" t="s">
        <v>6984</v>
      </c>
      <c r="EAA9" t="s">
        <v>6984</v>
      </c>
      <c r="EAB9" t="s">
        <v>6984</v>
      </c>
      <c r="EAC9" t="s">
        <v>6984</v>
      </c>
      <c r="EAD9" t="s">
        <v>6984</v>
      </c>
      <c r="EAE9" t="s">
        <v>6984</v>
      </c>
      <c r="EAF9" t="s">
        <v>6984</v>
      </c>
      <c r="EAG9" t="s">
        <v>6984</v>
      </c>
      <c r="EAH9" t="s">
        <v>6984</v>
      </c>
      <c r="EAI9" t="s">
        <v>6984</v>
      </c>
      <c r="EAJ9" t="s">
        <v>6984</v>
      </c>
      <c r="EAK9" t="s">
        <v>6984</v>
      </c>
      <c r="EAL9" t="s">
        <v>6984</v>
      </c>
      <c r="EAM9" t="s">
        <v>6984</v>
      </c>
      <c r="EAN9" t="s">
        <v>6984</v>
      </c>
      <c r="EAO9" t="s">
        <v>6984</v>
      </c>
      <c r="EAP9" t="s">
        <v>6984</v>
      </c>
      <c r="EAQ9" t="s">
        <v>6984</v>
      </c>
      <c r="EAR9" t="s">
        <v>6984</v>
      </c>
      <c r="EAS9" t="s">
        <v>6984</v>
      </c>
      <c r="EAT9" t="s">
        <v>6984</v>
      </c>
      <c r="EAU9" t="s">
        <v>6984</v>
      </c>
      <c r="EAV9" t="s">
        <v>6984</v>
      </c>
      <c r="EAW9" t="s">
        <v>6984</v>
      </c>
      <c r="EAX9" t="s">
        <v>6984</v>
      </c>
      <c r="EAY9" t="s">
        <v>6984</v>
      </c>
      <c r="EAZ9" t="s">
        <v>6984</v>
      </c>
      <c r="EBA9" t="s">
        <v>6984</v>
      </c>
      <c r="EBB9" t="s">
        <v>6984</v>
      </c>
      <c r="EBC9" t="s">
        <v>6984</v>
      </c>
      <c r="EBD9" t="s">
        <v>6984</v>
      </c>
      <c r="EBE9" t="s">
        <v>6984</v>
      </c>
      <c r="EBF9" t="s">
        <v>6984</v>
      </c>
      <c r="EBG9" t="s">
        <v>6984</v>
      </c>
      <c r="EBH9" t="s">
        <v>6984</v>
      </c>
      <c r="EBI9" t="s">
        <v>6984</v>
      </c>
      <c r="EBJ9" t="s">
        <v>6984</v>
      </c>
      <c r="EBK9" t="s">
        <v>6984</v>
      </c>
      <c r="EBL9" t="s">
        <v>6984</v>
      </c>
      <c r="EBM9" t="s">
        <v>6984</v>
      </c>
      <c r="EBN9" t="s">
        <v>6984</v>
      </c>
      <c r="EBO9" t="s">
        <v>6984</v>
      </c>
      <c r="EBP9" t="s">
        <v>6984</v>
      </c>
      <c r="EBQ9" t="s">
        <v>6984</v>
      </c>
      <c r="EBR9" t="s">
        <v>6984</v>
      </c>
      <c r="EBS9" t="s">
        <v>6984</v>
      </c>
      <c r="EBT9" t="s">
        <v>6984</v>
      </c>
      <c r="EBU9" t="s">
        <v>6984</v>
      </c>
      <c r="EBV9" t="s">
        <v>6984</v>
      </c>
      <c r="EBW9" t="s">
        <v>6984</v>
      </c>
      <c r="EBX9" t="s">
        <v>6984</v>
      </c>
      <c r="EBY9" t="s">
        <v>6984</v>
      </c>
      <c r="EBZ9" t="s">
        <v>6984</v>
      </c>
      <c r="ECA9" t="s">
        <v>6984</v>
      </c>
      <c r="ECB9" t="s">
        <v>6984</v>
      </c>
      <c r="ECC9" t="s">
        <v>6984</v>
      </c>
      <c r="ECD9" t="s">
        <v>6984</v>
      </c>
      <c r="ECE9" t="s">
        <v>6984</v>
      </c>
      <c r="ECF9" t="s">
        <v>6984</v>
      </c>
      <c r="ECG9" t="s">
        <v>6984</v>
      </c>
      <c r="ECH9" t="s">
        <v>6984</v>
      </c>
      <c r="ECI9" t="s">
        <v>6984</v>
      </c>
      <c r="ECJ9" t="s">
        <v>6984</v>
      </c>
      <c r="ECK9" t="s">
        <v>6984</v>
      </c>
      <c r="ECL9" t="s">
        <v>6984</v>
      </c>
      <c r="ECM9" t="s">
        <v>6984</v>
      </c>
      <c r="ECN9" t="s">
        <v>6984</v>
      </c>
      <c r="ECO9" t="s">
        <v>6984</v>
      </c>
      <c r="ECP9" t="s">
        <v>6984</v>
      </c>
      <c r="ECQ9" t="s">
        <v>6984</v>
      </c>
      <c r="ECR9" t="s">
        <v>6984</v>
      </c>
      <c r="ECS9" t="s">
        <v>6984</v>
      </c>
      <c r="ECT9" t="s">
        <v>6984</v>
      </c>
      <c r="ECU9" t="s">
        <v>6984</v>
      </c>
      <c r="ECV9" t="s">
        <v>6984</v>
      </c>
      <c r="ECW9" t="s">
        <v>6984</v>
      </c>
      <c r="ECX9" t="s">
        <v>6984</v>
      </c>
      <c r="ECY9" t="s">
        <v>6984</v>
      </c>
      <c r="ECZ9" t="s">
        <v>6984</v>
      </c>
      <c r="EDA9" t="s">
        <v>6984</v>
      </c>
      <c r="EDB9" t="s">
        <v>6984</v>
      </c>
      <c r="EDC9" t="s">
        <v>6984</v>
      </c>
      <c r="EDD9" t="s">
        <v>6984</v>
      </c>
      <c r="EDE9" t="s">
        <v>6984</v>
      </c>
      <c r="EDF9" t="s">
        <v>6984</v>
      </c>
      <c r="EDG9" t="s">
        <v>6984</v>
      </c>
      <c r="EDH9" t="s">
        <v>6984</v>
      </c>
      <c r="EDI9" t="s">
        <v>6984</v>
      </c>
      <c r="EDJ9" t="s">
        <v>6984</v>
      </c>
      <c r="EDK9" t="s">
        <v>6984</v>
      </c>
      <c r="EDL9" t="s">
        <v>6984</v>
      </c>
      <c r="EDM9" t="s">
        <v>6984</v>
      </c>
      <c r="EDN9" t="s">
        <v>6984</v>
      </c>
      <c r="EDO9" t="s">
        <v>6984</v>
      </c>
      <c r="EDP9" t="s">
        <v>6984</v>
      </c>
      <c r="EDQ9" t="s">
        <v>6984</v>
      </c>
      <c r="EDR9" t="s">
        <v>6984</v>
      </c>
      <c r="EDS9" t="s">
        <v>6984</v>
      </c>
      <c r="EDT9" t="s">
        <v>6984</v>
      </c>
      <c r="EDU9" t="s">
        <v>6984</v>
      </c>
      <c r="EDV9" t="s">
        <v>6984</v>
      </c>
      <c r="EDW9" t="s">
        <v>6984</v>
      </c>
      <c r="EDX9" t="s">
        <v>6984</v>
      </c>
      <c r="EDY9" t="s">
        <v>6984</v>
      </c>
      <c r="EDZ9" t="s">
        <v>6984</v>
      </c>
      <c r="EEA9" t="s">
        <v>6984</v>
      </c>
      <c r="EEB9" t="s">
        <v>6984</v>
      </c>
      <c r="EEC9" t="s">
        <v>6984</v>
      </c>
      <c r="EED9" t="s">
        <v>6984</v>
      </c>
      <c r="EEE9" t="s">
        <v>6984</v>
      </c>
      <c r="EEF9" t="s">
        <v>6984</v>
      </c>
      <c r="EEG9" t="s">
        <v>6984</v>
      </c>
      <c r="EEH9" t="s">
        <v>6984</v>
      </c>
      <c r="EEI9" t="s">
        <v>6984</v>
      </c>
      <c r="EEJ9" t="s">
        <v>6984</v>
      </c>
      <c r="EEK9" t="s">
        <v>6984</v>
      </c>
      <c r="EEL9" t="s">
        <v>6984</v>
      </c>
      <c r="EEM9" t="s">
        <v>6984</v>
      </c>
      <c r="EEN9" t="s">
        <v>6984</v>
      </c>
      <c r="EEO9" t="s">
        <v>6984</v>
      </c>
      <c r="EEP9" t="s">
        <v>6984</v>
      </c>
      <c r="EEQ9" t="s">
        <v>6984</v>
      </c>
      <c r="EER9" t="s">
        <v>6984</v>
      </c>
      <c r="EES9" t="s">
        <v>6984</v>
      </c>
      <c r="EET9" t="s">
        <v>6984</v>
      </c>
      <c r="EEU9" t="s">
        <v>6984</v>
      </c>
      <c r="EEV9" t="s">
        <v>6984</v>
      </c>
      <c r="EEW9" t="s">
        <v>6984</v>
      </c>
      <c r="EEX9" t="s">
        <v>6984</v>
      </c>
      <c r="EEY9" t="s">
        <v>6984</v>
      </c>
      <c r="EEZ9" t="s">
        <v>6984</v>
      </c>
      <c r="EFA9" t="s">
        <v>6984</v>
      </c>
      <c r="EFB9" t="s">
        <v>6984</v>
      </c>
      <c r="EFC9" t="s">
        <v>6984</v>
      </c>
      <c r="EFD9" t="s">
        <v>6984</v>
      </c>
      <c r="EFE9" t="s">
        <v>6984</v>
      </c>
      <c r="EFF9" t="s">
        <v>6984</v>
      </c>
      <c r="EFG9" t="s">
        <v>6984</v>
      </c>
      <c r="EFH9" t="s">
        <v>6984</v>
      </c>
      <c r="EFI9" t="s">
        <v>6984</v>
      </c>
      <c r="EFJ9" t="s">
        <v>6984</v>
      </c>
      <c r="EFK9" t="s">
        <v>6984</v>
      </c>
      <c r="EFL9" t="s">
        <v>6984</v>
      </c>
      <c r="EFM9" t="s">
        <v>6984</v>
      </c>
      <c r="EFN9" t="s">
        <v>6984</v>
      </c>
      <c r="EFO9" t="s">
        <v>6984</v>
      </c>
      <c r="EFP9" t="s">
        <v>6984</v>
      </c>
      <c r="EFQ9" t="s">
        <v>6984</v>
      </c>
      <c r="EFR9" t="s">
        <v>6984</v>
      </c>
      <c r="EFS9" t="s">
        <v>6984</v>
      </c>
      <c r="EFT9" t="s">
        <v>6984</v>
      </c>
      <c r="EFU9" t="s">
        <v>6984</v>
      </c>
      <c r="EFV9" t="s">
        <v>6984</v>
      </c>
      <c r="EFW9" t="s">
        <v>6984</v>
      </c>
      <c r="EFX9" t="s">
        <v>6984</v>
      </c>
      <c r="EFY9" t="s">
        <v>6984</v>
      </c>
      <c r="EFZ9" t="s">
        <v>6984</v>
      </c>
      <c r="EGA9" t="s">
        <v>6984</v>
      </c>
      <c r="EGB9" t="s">
        <v>6984</v>
      </c>
      <c r="EGC9" t="s">
        <v>6984</v>
      </c>
      <c r="EGD9" t="s">
        <v>6984</v>
      </c>
      <c r="EGE9" t="s">
        <v>6984</v>
      </c>
      <c r="EGF9" t="s">
        <v>6984</v>
      </c>
      <c r="EGG9" t="s">
        <v>6984</v>
      </c>
      <c r="EGH9" t="s">
        <v>6984</v>
      </c>
      <c r="EGI9" t="s">
        <v>6984</v>
      </c>
      <c r="EGJ9" t="s">
        <v>6984</v>
      </c>
      <c r="EGK9" t="s">
        <v>6984</v>
      </c>
      <c r="EGL9" t="s">
        <v>6984</v>
      </c>
      <c r="EGM9" t="s">
        <v>6984</v>
      </c>
      <c r="EGN9" t="s">
        <v>6984</v>
      </c>
      <c r="EGO9" t="s">
        <v>6984</v>
      </c>
      <c r="EGP9" t="s">
        <v>6984</v>
      </c>
      <c r="EGQ9" t="s">
        <v>6984</v>
      </c>
      <c r="EGR9" t="s">
        <v>6984</v>
      </c>
      <c r="EGS9" t="s">
        <v>6984</v>
      </c>
      <c r="EGT9" t="s">
        <v>6984</v>
      </c>
      <c r="EGU9" t="s">
        <v>6984</v>
      </c>
      <c r="EGV9" t="s">
        <v>6984</v>
      </c>
      <c r="EGW9" t="s">
        <v>6984</v>
      </c>
      <c r="EGX9" t="s">
        <v>6984</v>
      </c>
      <c r="EGY9" t="s">
        <v>6984</v>
      </c>
      <c r="EGZ9" t="s">
        <v>6984</v>
      </c>
      <c r="EHA9" t="s">
        <v>6984</v>
      </c>
      <c r="EHB9" t="s">
        <v>6984</v>
      </c>
      <c r="EHC9" t="s">
        <v>6984</v>
      </c>
      <c r="EHD9" t="s">
        <v>6984</v>
      </c>
      <c r="EHE9" t="s">
        <v>6984</v>
      </c>
      <c r="EHF9" t="s">
        <v>6984</v>
      </c>
      <c r="EHG9" t="s">
        <v>6984</v>
      </c>
      <c r="EHH9" t="s">
        <v>6984</v>
      </c>
      <c r="EHI9" t="s">
        <v>6984</v>
      </c>
      <c r="EHJ9" t="s">
        <v>6984</v>
      </c>
      <c r="EHK9" t="s">
        <v>6984</v>
      </c>
      <c r="EHL9" t="s">
        <v>6984</v>
      </c>
      <c r="EHM9" t="s">
        <v>6984</v>
      </c>
      <c r="EHN9" t="s">
        <v>6984</v>
      </c>
      <c r="EHO9" t="s">
        <v>6984</v>
      </c>
      <c r="EHP9" t="s">
        <v>6984</v>
      </c>
      <c r="EHQ9" t="s">
        <v>6984</v>
      </c>
      <c r="EHR9" t="s">
        <v>6984</v>
      </c>
      <c r="EHS9" t="s">
        <v>6984</v>
      </c>
      <c r="EHT9" t="s">
        <v>6984</v>
      </c>
      <c r="EHU9" t="s">
        <v>6984</v>
      </c>
      <c r="EHV9" t="s">
        <v>6984</v>
      </c>
      <c r="EHW9" t="s">
        <v>6984</v>
      </c>
      <c r="EHX9" t="s">
        <v>6984</v>
      </c>
      <c r="EHY9" t="s">
        <v>6984</v>
      </c>
      <c r="EHZ9" t="s">
        <v>6984</v>
      </c>
      <c r="EIA9" t="s">
        <v>6984</v>
      </c>
      <c r="EIB9" t="s">
        <v>6984</v>
      </c>
      <c r="EIC9" t="s">
        <v>6984</v>
      </c>
      <c r="EID9" t="s">
        <v>6984</v>
      </c>
      <c r="EIE9" t="s">
        <v>6984</v>
      </c>
      <c r="EIF9" t="s">
        <v>6984</v>
      </c>
      <c r="EIG9" t="s">
        <v>6984</v>
      </c>
      <c r="EIH9" t="s">
        <v>6984</v>
      </c>
      <c r="EII9" t="s">
        <v>6984</v>
      </c>
      <c r="EIJ9" t="s">
        <v>6984</v>
      </c>
      <c r="EIK9" t="s">
        <v>6984</v>
      </c>
      <c r="EIL9" t="s">
        <v>6984</v>
      </c>
      <c r="EIM9" t="s">
        <v>6984</v>
      </c>
      <c r="EIN9" t="s">
        <v>6984</v>
      </c>
      <c r="EIO9" t="s">
        <v>6984</v>
      </c>
      <c r="EIP9" t="s">
        <v>6984</v>
      </c>
      <c r="EIQ9" t="s">
        <v>6984</v>
      </c>
      <c r="EIR9" t="s">
        <v>6984</v>
      </c>
      <c r="EIS9" t="s">
        <v>6984</v>
      </c>
      <c r="EIT9" t="s">
        <v>6984</v>
      </c>
      <c r="EIU9" t="s">
        <v>6984</v>
      </c>
      <c r="EIV9" t="s">
        <v>6984</v>
      </c>
      <c r="EIW9" t="s">
        <v>6984</v>
      </c>
      <c r="EIX9" t="s">
        <v>6984</v>
      </c>
      <c r="EIY9" t="s">
        <v>6984</v>
      </c>
      <c r="EIZ9" t="s">
        <v>6984</v>
      </c>
      <c r="EJA9" t="s">
        <v>6984</v>
      </c>
      <c r="EJB9" t="s">
        <v>6984</v>
      </c>
      <c r="EJC9" t="s">
        <v>6984</v>
      </c>
      <c r="EJD9" t="s">
        <v>6984</v>
      </c>
      <c r="EJE9" t="s">
        <v>6984</v>
      </c>
      <c r="EJF9" t="s">
        <v>6984</v>
      </c>
      <c r="EJG9" t="s">
        <v>6984</v>
      </c>
      <c r="EJH9" t="s">
        <v>6984</v>
      </c>
      <c r="EJI9" t="s">
        <v>6984</v>
      </c>
      <c r="EJJ9" t="s">
        <v>6984</v>
      </c>
      <c r="EJK9" t="s">
        <v>6984</v>
      </c>
      <c r="EJL9" t="s">
        <v>6984</v>
      </c>
      <c r="EJM9" t="s">
        <v>6984</v>
      </c>
      <c r="EJN9" t="s">
        <v>6984</v>
      </c>
      <c r="EJO9" t="s">
        <v>6984</v>
      </c>
      <c r="EJP9" t="s">
        <v>6984</v>
      </c>
      <c r="EJQ9" t="s">
        <v>6984</v>
      </c>
      <c r="EJR9" t="s">
        <v>6984</v>
      </c>
      <c r="EJS9" t="s">
        <v>6984</v>
      </c>
      <c r="EJT9" t="s">
        <v>6984</v>
      </c>
      <c r="EJU9" t="s">
        <v>6984</v>
      </c>
      <c r="EJV9" t="s">
        <v>6984</v>
      </c>
      <c r="EJW9" t="s">
        <v>6984</v>
      </c>
      <c r="EJX9" t="s">
        <v>6984</v>
      </c>
      <c r="EJY9" t="s">
        <v>6984</v>
      </c>
      <c r="EJZ9" t="s">
        <v>6984</v>
      </c>
      <c r="EKA9" t="s">
        <v>6984</v>
      </c>
      <c r="EKB9" t="s">
        <v>6984</v>
      </c>
      <c r="EKC9" t="s">
        <v>6984</v>
      </c>
      <c r="EKD9" t="s">
        <v>6984</v>
      </c>
      <c r="EKE9" t="s">
        <v>6984</v>
      </c>
      <c r="EKF9" t="s">
        <v>6984</v>
      </c>
      <c r="EKG9" t="s">
        <v>6984</v>
      </c>
      <c r="EKH9" t="s">
        <v>6984</v>
      </c>
      <c r="EKI9" t="s">
        <v>6984</v>
      </c>
      <c r="EKJ9" t="s">
        <v>6984</v>
      </c>
      <c r="EKK9" t="s">
        <v>6984</v>
      </c>
      <c r="EKL9" t="s">
        <v>6984</v>
      </c>
      <c r="EKM9" t="s">
        <v>6984</v>
      </c>
      <c r="EKN9" t="s">
        <v>6984</v>
      </c>
      <c r="EKO9" t="s">
        <v>6984</v>
      </c>
      <c r="EKP9" t="s">
        <v>6984</v>
      </c>
      <c r="EKQ9" t="s">
        <v>6984</v>
      </c>
      <c r="EKR9" t="s">
        <v>6984</v>
      </c>
      <c r="EKS9" t="s">
        <v>6984</v>
      </c>
      <c r="EKT9" t="s">
        <v>6984</v>
      </c>
      <c r="EKU9" t="s">
        <v>6984</v>
      </c>
      <c r="EKV9" t="s">
        <v>6984</v>
      </c>
      <c r="EKW9" t="s">
        <v>6984</v>
      </c>
      <c r="EKX9" t="s">
        <v>6984</v>
      </c>
      <c r="EKY9" t="s">
        <v>6984</v>
      </c>
      <c r="EKZ9" t="s">
        <v>6984</v>
      </c>
      <c r="ELA9" t="s">
        <v>6984</v>
      </c>
      <c r="ELB9" t="s">
        <v>6984</v>
      </c>
      <c r="ELC9" t="s">
        <v>6984</v>
      </c>
      <c r="ELD9" t="s">
        <v>6984</v>
      </c>
      <c r="ELE9" t="s">
        <v>6984</v>
      </c>
      <c r="ELF9" t="s">
        <v>6984</v>
      </c>
      <c r="ELG9" t="s">
        <v>6984</v>
      </c>
      <c r="ELH9" t="s">
        <v>6984</v>
      </c>
      <c r="ELI9" t="s">
        <v>6984</v>
      </c>
      <c r="ELJ9" t="s">
        <v>6984</v>
      </c>
      <c r="ELK9" t="s">
        <v>6984</v>
      </c>
      <c r="ELL9" t="s">
        <v>6984</v>
      </c>
      <c r="ELM9" t="s">
        <v>6984</v>
      </c>
      <c r="ELN9" t="s">
        <v>6984</v>
      </c>
      <c r="ELO9" t="s">
        <v>6984</v>
      </c>
      <c r="ELP9" t="s">
        <v>6984</v>
      </c>
      <c r="ELQ9" t="s">
        <v>6984</v>
      </c>
      <c r="ELR9" t="s">
        <v>6984</v>
      </c>
      <c r="ELS9" t="s">
        <v>6984</v>
      </c>
      <c r="ELT9" t="s">
        <v>6984</v>
      </c>
      <c r="ELU9" t="s">
        <v>6984</v>
      </c>
      <c r="ELV9" t="s">
        <v>6984</v>
      </c>
      <c r="ELW9" t="s">
        <v>6984</v>
      </c>
      <c r="ELX9" t="s">
        <v>6984</v>
      </c>
      <c r="ELY9" t="s">
        <v>6984</v>
      </c>
      <c r="ELZ9" t="s">
        <v>6984</v>
      </c>
      <c r="EMA9" t="s">
        <v>6984</v>
      </c>
      <c r="EMB9" t="s">
        <v>6984</v>
      </c>
      <c r="EMC9" t="s">
        <v>6984</v>
      </c>
      <c r="EMD9" t="s">
        <v>6984</v>
      </c>
      <c r="EME9" t="s">
        <v>6984</v>
      </c>
      <c r="EMF9" t="s">
        <v>6984</v>
      </c>
      <c r="EMG9" t="s">
        <v>6984</v>
      </c>
      <c r="EMH9" t="s">
        <v>6984</v>
      </c>
      <c r="EMI9" t="s">
        <v>6984</v>
      </c>
      <c r="EMJ9" t="s">
        <v>6984</v>
      </c>
      <c r="EMK9" t="s">
        <v>6984</v>
      </c>
      <c r="EML9" t="s">
        <v>6984</v>
      </c>
      <c r="EMM9" t="s">
        <v>6984</v>
      </c>
      <c r="EMN9" t="s">
        <v>6984</v>
      </c>
      <c r="EMO9" t="s">
        <v>6984</v>
      </c>
      <c r="EMP9" t="s">
        <v>6984</v>
      </c>
      <c r="EMQ9" t="s">
        <v>6984</v>
      </c>
      <c r="EMR9" t="s">
        <v>6984</v>
      </c>
      <c r="EMS9" t="s">
        <v>6984</v>
      </c>
      <c r="EMT9" t="s">
        <v>6984</v>
      </c>
      <c r="EMU9" t="s">
        <v>6984</v>
      </c>
      <c r="EMV9" t="s">
        <v>6984</v>
      </c>
      <c r="EMW9" t="s">
        <v>6984</v>
      </c>
      <c r="EMX9" t="s">
        <v>6984</v>
      </c>
      <c r="EMY9" t="s">
        <v>6984</v>
      </c>
      <c r="EMZ9" t="s">
        <v>6984</v>
      </c>
      <c r="ENA9" t="s">
        <v>6984</v>
      </c>
      <c r="ENB9" t="s">
        <v>6984</v>
      </c>
      <c r="ENC9" t="s">
        <v>6984</v>
      </c>
      <c r="END9" t="s">
        <v>6984</v>
      </c>
      <c r="ENE9" t="s">
        <v>6984</v>
      </c>
      <c r="ENF9" t="s">
        <v>6984</v>
      </c>
      <c r="ENG9" t="s">
        <v>6984</v>
      </c>
      <c r="ENH9" t="s">
        <v>6984</v>
      </c>
      <c r="ENI9" t="s">
        <v>6984</v>
      </c>
      <c r="ENJ9" t="s">
        <v>6984</v>
      </c>
      <c r="ENK9" t="s">
        <v>6984</v>
      </c>
      <c r="ENL9" t="s">
        <v>6984</v>
      </c>
      <c r="ENM9" t="s">
        <v>6984</v>
      </c>
      <c r="ENN9" t="s">
        <v>6984</v>
      </c>
      <c r="ENO9" t="s">
        <v>6984</v>
      </c>
      <c r="ENP9" t="s">
        <v>6984</v>
      </c>
      <c r="ENQ9" t="s">
        <v>6984</v>
      </c>
      <c r="ENR9" t="s">
        <v>6984</v>
      </c>
      <c r="ENS9" t="s">
        <v>6984</v>
      </c>
      <c r="ENT9" t="s">
        <v>6984</v>
      </c>
      <c r="ENU9" t="s">
        <v>6984</v>
      </c>
      <c r="ENV9" t="s">
        <v>6984</v>
      </c>
      <c r="ENW9" t="s">
        <v>6984</v>
      </c>
      <c r="ENX9" t="s">
        <v>6984</v>
      </c>
      <c r="ENY9" t="s">
        <v>6984</v>
      </c>
      <c r="ENZ9" t="s">
        <v>6984</v>
      </c>
      <c r="EOA9" t="s">
        <v>6984</v>
      </c>
      <c r="EOB9" t="s">
        <v>6984</v>
      </c>
      <c r="EOC9" t="s">
        <v>6984</v>
      </c>
      <c r="EOD9" t="s">
        <v>6984</v>
      </c>
      <c r="EOE9" t="s">
        <v>6984</v>
      </c>
      <c r="EOF9" t="s">
        <v>6984</v>
      </c>
      <c r="EOG9" t="s">
        <v>6984</v>
      </c>
      <c r="EOH9" t="s">
        <v>6984</v>
      </c>
      <c r="EOI9" t="s">
        <v>6984</v>
      </c>
      <c r="EOJ9" t="s">
        <v>6984</v>
      </c>
      <c r="EOK9" t="s">
        <v>6984</v>
      </c>
      <c r="EOL9" t="s">
        <v>6984</v>
      </c>
      <c r="EOM9" t="s">
        <v>6984</v>
      </c>
      <c r="EON9" t="s">
        <v>6984</v>
      </c>
      <c r="EOO9" t="s">
        <v>6984</v>
      </c>
      <c r="EOP9" t="s">
        <v>6984</v>
      </c>
      <c r="EOQ9" t="s">
        <v>6984</v>
      </c>
      <c r="EOR9" t="s">
        <v>6984</v>
      </c>
      <c r="EOS9" t="s">
        <v>6984</v>
      </c>
      <c r="EOT9" t="s">
        <v>6984</v>
      </c>
      <c r="EOU9" t="s">
        <v>6984</v>
      </c>
      <c r="EOV9" t="s">
        <v>6984</v>
      </c>
      <c r="EOW9" t="s">
        <v>6984</v>
      </c>
      <c r="EOX9" t="s">
        <v>6984</v>
      </c>
      <c r="EOY9" t="s">
        <v>6984</v>
      </c>
      <c r="EOZ9" t="s">
        <v>6984</v>
      </c>
      <c r="EPA9" t="s">
        <v>6984</v>
      </c>
      <c r="EPB9" t="s">
        <v>6984</v>
      </c>
      <c r="EPC9" t="s">
        <v>6984</v>
      </c>
      <c r="EPD9" t="s">
        <v>6984</v>
      </c>
      <c r="EPE9" t="s">
        <v>6984</v>
      </c>
      <c r="EPF9" t="s">
        <v>6984</v>
      </c>
      <c r="EPG9" t="s">
        <v>6984</v>
      </c>
      <c r="EPH9" t="s">
        <v>6984</v>
      </c>
      <c r="EPI9" t="s">
        <v>6984</v>
      </c>
      <c r="EPJ9" t="s">
        <v>6984</v>
      </c>
      <c r="EPK9" t="s">
        <v>6984</v>
      </c>
      <c r="EPL9" t="s">
        <v>6984</v>
      </c>
      <c r="EPM9" t="s">
        <v>6984</v>
      </c>
      <c r="EPN9" t="s">
        <v>6984</v>
      </c>
      <c r="EPO9" t="s">
        <v>6984</v>
      </c>
      <c r="EPP9" t="s">
        <v>6984</v>
      </c>
      <c r="EPQ9" t="s">
        <v>6984</v>
      </c>
      <c r="EPR9" t="s">
        <v>6984</v>
      </c>
      <c r="EPS9" t="s">
        <v>6984</v>
      </c>
      <c r="EPT9" t="s">
        <v>6984</v>
      </c>
      <c r="EPU9" t="s">
        <v>6984</v>
      </c>
      <c r="EPV9" t="s">
        <v>6984</v>
      </c>
      <c r="EPW9" t="s">
        <v>6984</v>
      </c>
      <c r="EPX9" t="s">
        <v>6984</v>
      </c>
      <c r="EPY9" t="s">
        <v>6984</v>
      </c>
      <c r="EPZ9" t="s">
        <v>6984</v>
      </c>
      <c r="EQA9" t="s">
        <v>6984</v>
      </c>
      <c r="EQB9" t="s">
        <v>6984</v>
      </c>
      <c r="EQC9" t="s">
        <v>6984</v>
      </c>
      <c r="EQD9" t="s">
        <v>6984</v>
      </c>
      <c r="EQE9" t="s">
        <v>6984</v>
      </c>
      <c r="EQF9" t="s">
        <v>6984</v>
      </c>
      <c r="EQG9" t="s">
        <v>6984</v>
      </c>
      <c r="EQH9" t="s">
        <v>6984</v>
      </c>
      <c r="EQI9" t="s">
        <v>6984</v>
      </c>
      <c r="EQJ9" t="s">
        <v>6984</v>
      </c>
      <c r="EQK9" t="s">
        <v>6984</v>
      </c>
      <c r="EQL9" t="s">
        <v>6984</v>
      </c>
      <c r="EQM9" t="s">
        <v>6984</v>
      </c>
      <c r="EQN9" t="s">
        <v>6984</v>
      </c>
      <c r="EQO9" t="s">
        <v>6984</v>
      </c>
      <c r="EQP9" t="s">
        <v>6984</v>
      </c>
      <c r="EQQ9" t="s">
        <v>6984</v>
      </c>
      <c r="EQR9" t="s">
        <v>6984</v>
      </c>
      <c r="EQS9" t="s">
        <v>6984</v>
      </c>
      <c r="EQT9" t="s">
        <v>6984</v>
      </c>
      <c r="EQU9" t="s">
        <v>6984</v>
      </c>
      <c r="EQV9" t="s">
        <v>6984</v>
      </c>
      <c r="EQW9" t="s">
        <v>6984</v>
      </c>
      <c r="EQX9" t="s">
        <v>6984</v>
      </c>
      <c r="EQY9" t="s">
        <v>6984</v>
      </c>
      <c r="EQZ9" t="s">
        <v>6984</v>
      </c>
      <c r="ERA9" t="s">
        <v>6984</v>
      </c>
      <c r="ERB9" t="s">
        <v>6984</v>
      </c>
      <c r="ERC9" t="s">
        <v>6984</v>
      </c>
      <c r="ERD9" t="s">
        <v>6984</v>
      </c>
      <c r="ERE9" t="s">
        <v>6984</v>
      </c>
      <c r="ERF9" t="s">
        <v>6984</v>
      </c>
      <c r="ERG9" t="s">
        <v>6984</v>
      </c>
      <c r="ERH9" t="s">
        <v>6984</v>
      </c>
      <c r="ERI9" t="s">
        <v>6984</v>
      </c>
      <c r="ERJ9" t="s">
        <v>6984</v>
      </c>
      <c r="ERK9" t="s">
        <v>6984</v>
      </c>
      <c r="ERL9" t="s">
        <v>6984</v>
      </c>
      <c r="ERM9" t="s">
        <v>6984</v>
      </c>
      <c r="ERN9" t="s">
        <v>6984</v>
      </c>
      <c r="ERO9" t="s">
        <v>6984</v>
      </c>
      <c r="ERP9" t="s">
        <v>6984</v>
      </c>
      <c r="ERQ9" t="s">
        <v>6984</v>
      </c>
      <c r="ERR9" t="s">
        <v>6984</v>
      </c>
      <c r="ERS9" t="s">
        <v>6984</v>
      </c>
      <c r="ERT9" t="s">
        <v>6984</v>
      </c>
      <c r="ERU9" t="s">
        <v>6984</v>
      </c>
      <c r="ERV9" t="s">
        <v>6984</v>
      </c>
      <c r="ERW9" t="s">
        <v>6984</v>
      </c>
      <c r="ERX9" t="s">
        <v>6984</v>
      </c>
      <c r="ERY9" t="s">
        <v>6984</v>
      </c>
      <c r="ERZ9" t="s">
        <v>6984</v>
      </c>
      <c r="ESA9" t="s">
        <v>6984</v>
      </c>
      <c r="ESB9" t="s">
        <v>6984</v>
      </c>
      <c r="ESC9" t="s">
        <v>6984</v>
      </c>
      <c r="ESD9" t="s">
        <v>6984</v>
      </c>
      <c r="ESE9" t="s">
        <v>6984</v>
      </c>
      <c r="ESF9" t="s">
        <v>6984</v>
      </c>
      <c r="ESG9" t="s">
        <v>6984</v>
      </c>
      <c r="ESH9" t="s">
        <v>6984</v>
      </c>
      <c r="ESI9" t="s">
        <v>6984</v>
      </c>
      <c r="ESJ9" t="s">
        <v>6984</v>
      </c>
      <c r="ESK9" t="s">
        <v>6984</v>
      </c>
      <c r="ESL9" t="s">
        <v>6984</v>
      </c>
      <c r="ESM9" t="s">
        <v>6984</v>
      </c>
      <c r="ESN9" t="s">
        <v>6984</v>
      </c>
      <c r="ESO9" t="s">
        <v>6984</v>
      </c>
      <c r="ESP9" t="s">
        <v>6984</v>
      </c>
      <c r="ESQ9" t="s">
        <v>6984</v>
      </c>
      <c r="ESR9" t="s">
        <v>6984</v>
      </c>
      <c r="ESS9" t="s">
        <v>6984</v>
      </c>
      <c r="EST9" t="s">
        <v>6984</v>
      </c>
      <c r="ESU9" t="s">
        <v>6984</v>
      </c>
      <c r="ESV9" t="s">
        <v>6984</v>
      </c>
      <c r="ESW9" t="s">
        <v>6984</v>
      </c>
      <c r="ESX9" t="s">
        <v>6984</v>
      </c>
      <c r="ESY9" t="s">
        <v>6984</v>
      </c>
      <c r="ESZ9" t="s">
        <v>6984</v>
      </c>
      <c r="ETA9" t="s">
        <v>6984</v>
      </c>
      <c r="ETB9" t="s">
        <v>6984</v>
      </c>
      <c r="ETC9" t="s">
        <v>6984</v>
      </c>
      <c r="ETD9" t="s">
        <v>6984</v>
      </c>
      <c r="ETE9" t="s">
        <v>6984</v>
      </c>
      <c r="ETF9" t="s">
        <v>6984</v>
      </c>
      <c r="ETG9" t="s">
        <v>6984</v>
      </c>
      <c r="ETH9" t="s">
        <v>6984</v>
      </c>
      <c r="ETI9" t="s">
        <v>6984</v>
      </c>
      <c r="ETJ9" t="s">
        <v>6984</v>
      </c>
      <c r="ETK9" t="s">
        <v>6984</v>
      </c>
      <c r="ETL9" t="s">
        <v>6984</v>
      </c>
      <c r="ETM9" t="s">
        <v>6984</v>
      </c>
      <c r="ETN9" t="s">
        <v>6984</v>
      </c>
      <c r="ETO9" t="s">
        <v>6984</v>
      </c>
      <c r="ETP9" t="s">
        <v>6984</v>
      </c>
      <c r="ETQ9" t="s">
        <v>6984</v>
      </c>
      <c r="ETR9" t="s">
        <v>6984</v>
      </c>
      <c r="ETS9" t="s">
        <v>6984</v>
      </c>
      <c r="ETT9" t="s">
        <v>6984</v>
      </c>
      <c r="ETU9" t="s">
        <v>6984</v>
      </c>
      <c r="ETV9" t="s">
        <v>6984</v>
      </c>
      <c r="ETW9" t="s">
        <v>6984</v>
      </c>
      <c r="ETX9" t="s">
        <v>6984</v>
      </c>
      <c r="ETY9" t="s">
        <v>6984</v>
      </c>
      <c r="ETZ9" t="s">
        <v>6984</v>
      </c>
      <c r="EUA9" t="s">
        <v>6984</v>
      </c>
      <c r="EUB9" t="s">
        <v>6984</v>
      </c>
      <c r="EUC9" t="s">
        <v>6984</v>
      </c>
      <c r="EUD9" t="s">
        <v>6984</v>
      </c>
      <c r="EUE9" t="s">
        <v>6984</v>
      </c>
      <c r="EUF9" t="s">
        <v>6984</v>
      </c>
      <c r="EUG9" t="s">
        <v>6984</v>
      </c>
      <c r="EUH9" t="s">
        <v>6984</v>
      </c>
      <c r="EUI9" t="s">
        <v>6984</v>
      </c>
      <c r="EUJ9" t="s">
        <v>6984</v>
      </c>
      <c r="EUK9" t="s">
        <v>6984</v>
      </c>
      <c r="EUL9" t="s">
        <v>6984</v>
      </c>
      <c r="EUM9" t="s">
        <v>6984</v>
      </c>
      <c r="EUN9" t="s">
        <v>6984</v>
      </c>
      <c r="EUO9" t="s">
        <v>6984</v>
      </c>
      <c r="EUP9" t="s">
        <v>6984</v>
      </c>
      <c r="EUQ9" t="s">
        <v>6984</v>
      </c>
      <c r="EUR9" t="s">
        <v>6984</v>
      </c>
      <c r="EUS9" t="s">
        <v>6984</v>
      </c>
      <c r="EUT9" t="s">
        <v>6984</v>
      </c>
      <c r="EUU9" t="s">
        <v>6984</v>
      </c>
      <c r="EUV9" t="s">
        <v>6984</v>
      </c>
      <c r="EUW9" t="s">
        <v>6984</v>
      </c>
      <c r="EUX9" t="s">
        <v>6984</v>
      </c>
      <c r="EUY9" t="s">
        <v>6984</v>
      </c>
      <c r="EUZ9" t="s">
        <v>6984</v>
      </c>
      <c r="EVA9" t="s">
        <v>6984</v>
      </c>
      <c r="EVB9" t="s">
        <v>6984</v>
      </c>
      <c r="EVC9" t="s">
        <v>6984</v>
      </c>
      <c r="EVD9" t="s">
        <v>6984</v>
      </c>
      <c r="EVE9" t="s">
        <v>6984</v>
      </c>
      <c r="EVF9" t="s">
        <v>6984</v>
      </c>
      <c r="EVG9" t="s">
        <v>6984</v>
      </c>
      <c r="EVH9" t="s">
        <v>6984</v>
      </c>
      <c r="EVI9" t="s">
        <v>6984</v>
      </c>
      <c r="EVJ9" t="s">
        <v>6984</v>
      </c>
      <c r="EVK9" t="s">
        <v>6984</v>
      </c>
      <c r="EVL9" t="s">
        <v>6984</v>
      </c>
      <c r="EVM9" t="s">
        <v>6984</v>
      </c>
      <c r="EVN9" t="s">
        <v>6984</v>
      </c>
      <c r="EVO9" t="s">
        <v>6984</v>
      </c>
      <c r="EVP9" t="s">
        <v>6984</v>
      </c>
      <c r="EVQ9" t="s">
        <v>6984</v>
      </c>
      <c r="EVR9" t="s">
        <v>6984</v>
      </c>
      <c r="EVS9" t="s">
        <v>6984</v>
      </c>
      <c r="EVT9" t="s">
        <v>6984</v>
      </c>
      <c r="EVU9" t="s">
        <v>6984</v>
      </c>
      <c r="EVV9" t="s">
        <v>6984</v>
      </c>
      <c r="EVW9" t="s">
        <v>6984</v>
      </c>
      <c r="EVX9" t="s">
        <v>6984</v>
      </c>
      <c r="EVY9" t="s">
        <v>6984</v>
      </c>
      <c r="EVZ9" t="s">
        <v>6984</v>
      </c>
      <c r="EWA9" t="s">
        <v>6984</v>
      </c>
      <c r="EWB9" t="s">
        <v>6984</v>
      </c>
      <c r="EWC9" t="s">
        <v>6984</v>
      </c>
      <c r="EWD9" t="s">
        <v>6984</v>
      </c>
      <c r="EWE9" t="s">
        <v>6984</v>
      </c>
      <c r="EWF9" t="s">
        <v>6984</v>
      </c>
      <c r="EWG9" t="s">
        <v>6984</v>
      </c>
      <c r="EWH9" t="s">
        <v>6984</v>
      </c>
      <c r="EWI9" t="s">
        <v>6984</v>
      </c>
      <c r="EWJ9" t="s">
        <v>6984</v>
      </c>
      <c r="EWK9" t="s">
        <v>6984</v>
      </c>
      <c r="EWL9" t="s">
        <v>6984</v>
      </c>
      <c r="EWM9" t="s">
        <v>6984</v>
      </c>
      <c r="EWN9" t="s">
        <v>6984</v>
      </c>
      <c r="EWO9" t="s">
        <v>6984</v>
      </c>
      <c r="EWP9" t="s">
        <v>6984</v>
      </c>
      <c r="EWQ9" t="s">
        <v>6984</v>
      </c>
      <c r="EWR9" t="s">
        <v>6984</v>
      </c>
      <c r="EWS9" t="s">
        <v>6984</v>
      </c>
      <c r="EWT9" t="s">
        <v>6984</v>
      </c>
      <c r="EWU9" t="s">
        <v>6984</v>
      </c>
      <c r="EWV9" t="s">
        <v>6984</v>
      </c>
      <c r="EWW9" t="s">
        <v>6984</v>
      </c>
      <c r="EWX9" t="s">
        <v>6984</v>
      </c>
      <c r="EWY9" t="s">
        <v>6984</v>
      </c>
      <c r="EWZ9" t="s">
        <v>6984</v>
      </c>
      <c r="EXA9" t="s">
        <v>6984</v>
      </c>
      <c r="EXB9" t="s">
        <v>6984</v>
      </c>
      <c r="EXC9" t="s">
        <v>6984</v>
      </c>
      <c r="EXD9" t="s">
        <v>6984</v>
      </c>
      <c r="EXE9" t="s">
        <v>6984</v>
      </c>
      <c r="EXF9" t="s">
        <v>6984</v>
      </c>
      <c r="EXG9" t="s">
        <v>6984</v>
      </c>
      <c r="EXH9" t="s">
        <v>6984</v>
      </c>
      <c r="EXI9" t="s">
        <v>6984</v>
      </c>
      <c r="EXJ9" t="s">
        <v>6984</v>
      </c>
      <c r="EXK9" t="s">
        <v>6984</v>
      </c>
      <c r="EXL9" t="s">
        <v>6984</v>
      </c>
      <c r="EXM9" t="s">
        <v>6984</v>
      </c>
      <c r="EXN9" t="s">
        <v>6984</v>
      </c>
      <c r="EXO9" t="s">
        <v>6984</v>
      </c>
      <c r="EXP9" t="s">
        <v>6984</v>
      </c>
      <c r="EXQ9" t="s">
        <v>6984</v>
      </c>
      <c r="EXR9" t="s">
        <v>6984</v>
      </c>
      <c r="EXS9" t="s">
        <v>6984</v>
      </c>
      <c r="EXT9" t="s">
        <v>6984</v>
      </c>
      <c r="EXU9" t="s">
        <v>6984</v>
      </c>
      <c r="EXV9" t="s">
        <v>6984</v>
      </c>
      <c r="EXW9" t="s">
        <v>6984</v>
      </c>
      <c r="EXX9" t="s">
        <v>6984</v>
      </c>
      <c r="EXY9" t="s">
        <v>6984</v>
      </c>
      <c r="EXZ9" t="s">
        <v>6984</v>
      </c>
      <c r="EYA9" t="s">
        <v>6984</v>
      </c>
      <c r="EYB9" t="s">
        <v>6984</v>
      </c>
      <c r="EYC9" t="s">
        <v>6984</v>
      </c>
      <c r="EYD9" t="s">
        <v>6984</v>
      </c>
      <c r="EYE9" t="s">
        <v>6984</v>
      </c>
      <c r="EYF9" t="s">
        <v>6984</v>
      </c>
      <c r="EYG9" t="s">
        <v>6984</v>
      </c>
      <c r="EYH9" t="s">
        <v>6984</v>
      </c>
      <c r="EYI9" t="s">
        <v>6984</v>
      </c>
      <c r="EYJ9" t="s">
        <v>6984</v>
      </c>
      <c r="EYK9" t="s">
        <v>6984</v>
      </c>
      <c r="EYL9" t="s">
        <v>6984</v>
      </c>
      <c r="EYM9" t="s">
        <v>6984</v>
      </c>
      <c r="EYN9" t="s">
        <v>6984</v>
      </c>
      <c r="EYO9" t="s">
        <v>6984</v>
      </c>
      <c r="EYP9" t="s">
        <v>6984</v>
      </c>
      <c r="EYQ9" t="s">
        <v>6984</v>
      </c>
      <c r="EYR9" t="s">
        <v>6984</v>
      </c>
      <c r="EYS9" t="s">
        <v>6984</v>
      </c>
      <c r="EYT9" t="s">
        <v>6984</v>
      </c>
      <c r="EYU9" t="s">
        <v>6984</v>
      </c>
      <c r="EYV9" t="s">
        <v>6984</v>
      </c>
      <c r="EYW9" t="s">
        <v>6984</v>
      </c>
      <c r="EYX9" t="s">
        <v>6984</v>
      </c>
      <c r="EYY9" t="s">
        <v>6984</v>
      </c>
      <c r="EYZ9" t="s">
        <v>6984</v>
      </c>
      <c r="EZA9" t="s">
        <v>6984</v>
      </c>
      <c r="EZB9" t="s">
        <v>6984</v>
      </c>
      <c r="EZC9" t="s">
        <v>6984</v>
      </c>
      <c r="EZD9" t="s">
        <v>6984</v>
      </c>
      <c r="EZE9" t="s">
        <v>6984</v>
      </c>
      <c r="EZF9" t="s">
        <v>6984</v>
      </c>
      <c r="EZG9" t="s">
        <v>6984</v>
      </c>
      <c r="EZH9" t="s">
        <v>6984</v>
      </c>
      <c r="EZI9" t="s">
        <v>6984</v>
      </c>
      <c r="EZJ9" t="s">
        <v>6984</v>
      </c>
      <c r="EZK9" t="s">
        <v>6984</v>
      </c>
      <c r="EZL9" t="s">
        <v>6984</v>
      </c>
      <c r="EZM9" t="s">
        <v>6984</v>
      </c>
      <c r="EZN9" t="s">
        <v>6984</v>
      </c>
      <c r="EZO9" t="s">
        <v>6984</v>
      </c>
      <c r="EZP9" t="s">
        <v>6984</v>
      </c>
      <c r="EZQ9" t="s">
        <v>6984</v>
      </c>
      <c r="EZR9" t="s">
        <v>6984</v>
      </c>
      <c r="EZS9" t="s">
        <v>6984</v>
      </c>
      <c r="EZT9" t="s">
        <v>6984</v>
      </c>
      <c r="EZU9" t="s">
        <v>6984</v>
      </c>
      <c r="EZV9" t="s">
        <v>6984</v>
      </c>
      <c r="EZW9" t="s">
        <v>6984</v>
      </c>
      <c r="EZX9" t="s">
        <v>6984</v>
      </c>
      <c r="EZY9" t="s">
        <v>6984</v>
      </c>
      <c r="EZZ9" t="s">
        <v>6984</v>
      </c>
      <c r="FAA9" t="s">
        <v>6984</v>
      </c>
      <c r="FAB9" t="s">
        <v>6984</v>
      </c>
      <c r="FAC9" t="s">
        <v>6984</v>
      </c>
      <c r="FAD9" t="s">
        <v>6984</v>
      </c>
      <c r="FAE9" t="s">
        <v>6984</v>
      </c>
      <c r="FAF9" t="s">
        <v>6984</v>
      </c>
      <c r="FAG9" t="s">
        <v>6984</v>
      </c>
      <c r="FAH9" t="s">
        <v>6984</v>
      </c>
      <c r="FAI9" t="s">
        <v>6984</v>
      </c>
      <c r="FAJ9" t="s">
        <v>6984</v>
      </c>
      <c r="FAK9" t="s">
        <v>6984</v>
      </c>
      <c r="FAL9" t="s">
        <v>6984</v>
      </c>
      <c r="FAM9" t="s">
        <v>6984</v>
      </c>
      <c r="FAN9" t="s">
        <v>6984</v>
      </c>
      <c r="FAO9" t="s">
        <v>6984</v>
      </c>
      <c r="FAP9" t="s">
        <v>6984</v>
      </c>
      <c r="FAQ9" t="s">
        <v>6984</v>
      </c>
      <c r="FAR9" t="s">
        <v>6984</v>
      </c>
      <c r="FAS9" t="s">
        <v>6984</v>
      </c>
      <c r="FAT9" t="s">
        <v>6984</v>
      </c>
      <c r="FAU9" t="s">
        <v>6984</v>
      </c>
      <c r="FAV9" t="s">
        <v>6984</v>
      </c>
      <c r="FAW9" t="s">
        <v>6984</v>
      </c>
      <c r="FAX9" t="s">
        <v>6984</v>
      </c>
      <c r="FAY9" t="s">
        <v>6984</v>
      </c>
      <c r="FAZ9" t="s">
        <v>6984</v>
      </c>
      <c r="FBA9" t="s">
        <v>6984</v>
      </c>
      <c r="FBB9" t="s">
        <v>6984</v>
      </c>
      <c r="FBC9" t="s">
        <v>6984</v>
      </c>
      <c r="FBD9" t="s">
        <v>6984</v>
      </c>
      <c r="FBE9" t="s">
        <v>6984</v>
      </c>
      <c r="FBF9" t="s">
        <v>6984</v>
      </c>
      <c r="FBG9" t="s">
        <v>6984</v>
      </c>
      <c r="FBH9" t="s">
        <v>6984</v>
      </c>
      <c r="FBI9" t="s">
        <v>6984</v>
      </c>
      <c r="FBJ9" t="s">
        <v>6984</v>
      </c>
      <c r="FBK9" t="s">
        <v>6984</v>
      </c>
      <c r="FBL9" t="s">
        <v>6984</v>
      </c>
      <c r="FBM9" t="s">
        <v>6984</v>
      </c>
      <c r="FBN9" t="s">
        <v>6984</v>
      </c>
      <c r="FBO9" t="s">
        <v>6984</v>
      </c>
      <c r="FBP9" t="s">
        <v>6984</v>
      </c>
      <c r="FBQ9" t="s">
        <v>6984</v>
      </c>
      <c r="FBR9" t="s">
        <v>6984</v>
      </c>
      <c r="FBS9" t="s">
        <v>6984</v>
      </c>
      <c r="FBT9" t="s">
        <v>6984</v>
      </c>
      <c r="FBU9" t="s">
        <v>6984</v>
      </c>
      <c r="FBV9" t="s">
        <v>6984</v>
      </c>
      <c r="FBW9" t="s">
        <v>6984</v>
      </c>
      <c r="FBX9" t="s">
        <v>6984</v>
      </c>
      <c r="FBY9" t="s">
        <v>6984</v>
      </c>
      <c r="FBZ9" t="s">
        <v>6984</v>
      </c>
      <c r="FCA9" t="s">
        <v>6984</v>
      </c>
      <c r="FCB9" t="s">
        <v>6984</v>
      </c>
      <c r="FCC9" t="s">
        <v>6984</v>
      </c>
      <c r="FCD9" t="s">
        <v>6984</v>
      </c>
      <c r="FCE9" t="s">
        <v>6984</v>
      </c>
      <c r="FCF9" t="s">
        <v>6984</v>
      </c>
      <c r="FCG9" t="s">
        <v>6984</v>
      </c>
      <c r="FCH9" t="s">
        <v>6984</v>
      </c>
      <c r="FCI9" t="s">
        <v>6984</v>
      </c>
      <c r="FCJ9" t="s">
        <v>6984</v>
      </c>
      <c r="FCK9" t="s">
        <v>6984</v>
      </c>
      <c r="FCL9" t="s">
        <v>6984</v>
      </c>
      <c r="FCM9" t="s">
        <v>6984</v>
      </c>
      <c r="FCN9" t="s">
        <v>6984</v>
      </c>
      <c r="FCO9" t="s">
        <v>6984</v>
      </c>
      <c r="FCP9" t="s">
        <v>6984</v>
      </c>
      <c r="FCQ9" t="s">
        <v>6984</v>
      </c>
      <c r="FCR9" t="s">
        <v>6984</v>
      </c>
      <c r="FCS9" t="s">
        <v>6984</v>
      </c>
      <c r="FCT9" t="s">
        <v>6984</v>
      </c>
      <c r="FCU9" t="s">
        <v>6984</v>
      </c>
      <c r="FCV9" t="s">
        <v>6984</v>
      </c>
      <c r="FCW9" t="s">
        <v>6984</v>
      </c>
      <c r="FCX9" t="s">
        <v>6984</v>
      </c>
      <c r="FCY9" t="s">
        <v>6984</v>
      </c>
      <c r="FCZ9" t="s">
        <v>6984</v>
      </c>
      <c r="FDA9" t="s">
        <v>6984</v>
      </c>
      <c r="FDB9" t="s">
        <v>6984</v>
      </c>
      <c r="FDC9" t="s">
        <v>6984</v>
      </c>
      <c r="FDD9" t="s">
        <v>6984</v>
      </c>
      <c r="FDE9" t="s">
        <v>6984</v>
      </c>
      <c r="FDF9" t="s">
        <v>6984</v>
      </c>
      <c r="FDG9" t="s">
        <v>6984</v>
      </c>
      <c r="FDH9" t="s">
        <v>6984</v>
      </c>
      <c r="FDI9" t="s">
        <v>6984</v>
      </c>
      <c r="FDJ9" t="s">
        <v>6984</v>
      </c>
      <c r="FDK9" t="s">
        <v>6984</v>
      </c>
      <c r="FDL9" t="s">
        <v>6984</v>
      </c>
      <c r="FDM9" t="s">
        <v>6984</v>
      </c>
      <c r="FDN9" t="s">
        <v>6984</v>
      </c>
      <c r="FDO9" t="s">
        <v>6984</v>
      </c>
      <c r="FDP9" t="s">
        <v>6984</v>
      </c>
      <c r="FDQ9" t="s">
        <v>6984</v>
      </c>
      <c r="FDR9" t="s">
        <v>6984</v>
      </c>
      <c r="FDS9" t="s">
        <v>6984</v>
      </c>
      <c r="FDT9" t="s">
        <v>6984</v>
      </c>
      <c r="FDU9" t="s">
        <v>6984</v>
      </c>
      <c r="FDV9" t="s">
        <v>6984</v>
      </c>
      <c r="FDW9" t="s">
        <v>6984</v>
      </c>
      <c r="FDX9" t="s">
        <v>6984</v>
      </c>
      <c r="FDY9" t="s">
        <v>6984</v>
      </c>
      <c r="FDZ9" t="s">
        <v>6984</v>
      </c>
      <c r="FEA9" t="s">
        <v>6984</v>
      </c>
      <c r="FEB9" t="s">
        <v>6984</v>
      </c>
      <c r="FEC9" t="s">
        <v>6984</v>
      </c>
      <c r="FED9" t="s">
        <v>6984</v>
      </c>
      <c r="FEE9" t="s">
        <v>6984</v>
      </c>
      <c r="FEF9" t="s">
        <v>6984</v>
      </c>
      <c r="FEG9" t="s">
        <v>6984</v>
      </c>
      <c r="FEH9" t="s">
        <v>6984</v>
      </c>
      <c r="FEI9" t="s">
        <v>6984</v>
      </c>
      <c r="FEJ9" t="s">
        <v>6984</v>
      </c>
      <c r="FEK9" t="s">
        <v>6984</v>
      </c>
      <c r="FEL9" t="s">
        <v>6984</v>
      </c>
      <c r="FEM9" t="s">
        <v>6984</v>
      </c>
      <c r="FEN9" t="s">
        <v>6984</v>
      </c>
      <c r="FEO9" t="s">
        <v>6984</v>
      </c>
      <c r="FEP9" t="s">
        <v>6984</v>
      </c>
      <c r="FEQ9" t="s">
        <v>6984</v>
      </c>
      <c r="FER9" t="s">
        <v>6984</v>
      </c>
      <c r="FES9" t="s">
        <v>6984</v>
      </c>
      <c r="FET9" t="s">
        <v>6984</v>
      </c>
      <c r="FEU9" t="s">
        <v>6984</v>
      </c>
      <c r="FEV9" t="s">
        <v>6984</v>
      </c>
      <c r="FEW9" t="s">
        <v>6984</v>
      </c>
      <c r="FEX9" t="s">
        <v>6984</v>
      </c>
      <c r="FEY9" t="s">
        <v>6984</v>
      </c>
      <c r="FEZ9" t="s">
        <v>6984</v>
      </c>
      <c r="FFA9" t="s">
        <v>6984</v>
      </c>
      <c r="FFB9" t="s">
        <v>6984</v>
      </c>
      <c r="FFC9" t="s">
        <v>6984</v>
      </c>
      <c r="FFD9" t="s">
        <v>6984</v>
      </c>
      <c r="FFE9" t="s">
        <v>6984</v>
      </c>
      <c r="FFF9" t="s">
        <v>6984</v>
      </c>
      <c r="FFG9" t="s">
        <v>6984</v>
      </c>
      <c r="FFH9" t="s">
        <v>6984</v>
      </c>
      <c r="FFI9" t="s">
        <v>6984</v>
      </c>
      <c r="FFJ9" t="s">
        <v>6984</v>
      </c>
      <c r="FFK9" t="s">
        <v>6984</v>
      </c>
      <c r="FFL9" t="s">
        <v>6984</v>
      </c>
      <c r="FFM9" t="s">
        <v>6984</v>
      </c>
      <c r="FFN9" t="s">
        <v>6984</v>
      </c>
      <c r="FFO9" t="s">
        <v>6984</v>
      </c>
      <c r="FFP9" t="s">
        <v>6984</v>
      </c>
      <c r="FFQ9" t="s">
        <v>6984</v>
      </c>
      <c r="FFR9" t="s">
        <v>6984</v>
      </c>
      <c r="FFS9" t="s">
        <v>6984</v>
      </c>
      <c r="FFT9" t="s">
        <v>6984</v>
      </c>
      <c r="FFU9" t="s">
        <v>6984</v>
      </c>
      <c r="FFV9" t="s">
        <v>6984</v>
      </c>
      <c r="FFW9" t="s">
        <v>6984</v>
      </c>
      <c r="FFX9" t="s">
        <v>6984</v>
      </c>
      <c r="FFY9" t="s">
        <v>6984</v>
      </c>
      <c r="FFZ9" t="s">
        <v>6984</v>
      </c>
      <c r="FGA9" t="s">
        <v>6984</v>
      </c>
      <c r="FGB9" t="s">
        <v>6984</v>
      </c>
      <c r="FGC9" t="s">
        <v>6984</v>
      </c>
      <c r="FGD9" t="s">
        <v>6984</v>
      </c>
      <c r="FGE9" t="s">
        <v>6984</v>
      </c>
      <c r="FGF9" t="s">
        <v>6984</v>
      </c>
      <c r="FGG9" t="s">
        <v>6984</v>
      </c>
      <c r="FGH9" t="s">
        <v>6984</v>
      </c>
      <c r="FGI9" t="s">
        <v>6984</v>
      </c>
      <c r="FGJ9" t="s">
        <v>6984</v>
      </c>
      <c r="FGK9" t="s">
        <v>6984</v>
      </c>
      <c r="FGL9" t="s">
        <v>6984</v>
      </c>
      <c r="FGM9" t="s">
        <v>6984</v>
      </c>
      <c r="FGN9" t="s">
        <v>6984</v>
      </c>
      <c r="FGO9" t="s">
        <v>6984</v>
      </c>
      <c r="FGP9" t="s">
        <v>6984</v>
      </c>
      <c r="FGQ9" t="s">
        <v>6984</v>
      </c>
      <c r="FGR9" t="s">
        <v>6984</v>
      </c>
      <c r="FGS9" t="s">
        <v>6984</v>
      </c>
      <c r="FGT9" t="s">
        <v>6984</v>
      </c>
      <c r="FGU9" t="s">
        <v>6984</v>
      </c>
      <c r="FGV9" t="s">
        <v>6984</v>
      </c>
      <c r="FGW9" t="s">
        <v>6984</v>
      </c>
      <c r="FGX9" t="s">
        <v>6984</v>
      </c>
      <c r="FGY9" t="s">
        <v>6984</v>
      </c>
      <c r="FGZ9" t="s">
        <v>6984</v>
      </c>
      <c r="FHA9" t="s">
        <v>6984</v>
      </c>
      <c r="FHB9" t="s">
        <v>6984</v>
      </c>
      <c r="FHC9" t="s">
        <v>6984</v>
      </c>
      <c r="FHD9" t="s">
        <v>6984</v>
      </c>
      <c r="FHE9" t="s">
        <v>6984</v>
      </c>
      <c r="FHF9" t="s">
        <v>6984</v>
      </c>
      <c r="FHG9" t="s">
        <v>6984</v>
      </c>
      <c r="FHH9" t="s">
        <v>6984</v>
      </c>
      <c r="FHI9" t="s">
        <v>6984</v>
      </c>
      <c r="FHJ9" t="s">
        <v>6984</v>
      </c>
      <c r="FHK9" t="s">
        <v>6984</v>
      </c>
      <c r="FHL9" t="s">
        <v>6984</v>
      </c>
      <c r="FHM9" t="s">
        <v>6984</v>
      </c>
      <c r="FHN9" t="s">
        <v>6984</v>
      </c>
      <c r="FHO9" t="s">
        <v>6984</v>
      </c>
      <c r="FHP9" t="s">
        <v>6984</v>
      </c>
      <c r="FHQ9" t="s">
        <v>6984</v>
      </c>
      <c r="FHR9" t="s">
        <v>6984</v>
      </c>
      <c r="FHS9" t="s">
        <v>6984</v>
      </c>
      <c r="FHT9" t="s">
        <v>6984</v>
      </c>
      <c r="FHU9" t="s">
        <v>6984</v>
      </c>
      <c r="FHV9" t="s">
        <v>6984</v>
      </c>
      <c r="FHW9" t="s">
        <v>6984</v>
      </c>
      <c r="FHX9" t="s">
        <v>6984</v>
      </c>
      <c r="FHY9" t="s">
        <v>6984</v>
      </c>
      <c r="FHZ9" t="s">
        <v>6984</v>
      </c>
      <c r="FIA9" t="s">
        <v>6984</v>
      </c>
      <c r="FIB9" t="s">
        <v>6984</v>
      </c>
      <c r="FIC9" t="s">
        <v>6984</v>
      </c>
      <c r="FID9" t="s">
        <v>6984</v>
      </c>
      <c r="FIE9" t="s">
        <v>6984</v>
      </c>
      <c r="FIF9" t="s">
        <v>6984</v>
      </c>
      <c r="FIG9" t="s">
        <v>6984</v>
      </c>
      <c r="FIH9" t="s">
        <v>6984</v>
      </c>
      <c r="FII9" t="s">
        <v>6984</v>
      </c>
      <c r="FIJ9" t="s">
        <v>6984</v>
      </c>
      <c r="FIK9" t="s">
        <v>6984</v>
      </c>
      <c r="FIL9" t="s">
        <v>6984</v>
      </c>
      <c r="FIM9" t="s">
        <v>6984</v>
      </c>
      <c r="FIN9" t="s">
        <v>6984</v>
      </c>
      <c r="FIO9" t="s">
        <v>6984</v>
      </c>
      <c r="FIP9" t="s">
        <v>6984</v>
      </c>
      <c r="FIQ9" t="s">
        <v>6984</v>
      </c>
      <c r="FIR9" t="s">
        <v>6984</v>
      </c>
      <c r="FIS9" t="s">
        <v>6984</v>
      </c>
      <c r="FIT9" t="s">
        <v>6984</v>
      </c>
      <c r="FIU9" t="s">
        <v>6984</v>
      </c>
      <c r="FIV9" t="s">
        <v>6984</v>
      </c>
      <c r="FIW9" t="s">
        <v>6984</v>
      </c>
      <c r="FIX9" t="s">
        <v>6984</v>
      </c>
      <c r="FIY9" t="s">
        <v>6984</v>
      </c>
      <c r="FIZ9" t="s">
        <v>6984</v>
      </c>
      <c r="FJA9" t="s">
        <v>6984</v>
      </c>
      <c r="FJB9" t="s">
        <v>6984</v>
      </c>
      <c r="FJC9" t="s">
        <v>6984</v>
      </c>
      <c r="FJD9" t="s">
        <v>6984</v>
      </c>
      <c r="FJE9" t="s">
        <v>6984</v>
      </c>
      <c r="FJF9" t="s">
        <v>6984</v>
      </c>
      <c r="FJG9" t="s">
        <v>6984</v>
      </c>
      <c r="FJH9" t="s">
        <v>6984</v>
      </c>
      <c r="FJI9" t="s">
        <v>6984</v>
      </c>
      <c r="FJJ9" t="s">
        <v>6984</v>
      </c>
      <c r="FJK9" t="s">
        <v>6984</v>
      </c>
      <c r="FJL9" t="s">
        <v>6984</v>
      </c>
      <c r="FJM9" t="s">
        <v>6984</v>
      </c>
      <c r="FJN9" t="s">
        <v>6984</v>
      </c>
      <c r="FJO9" t="s">
        <v>6984</v>
      </c>
      <c r="FJP9" t="s">
        <v>6984</v>
      </c>
      <c r="FJQ9" t="s">
        <v>6984</v>
      </c>
      <c r="FJR9" t="s">
        <v>6984</v>
      </c>
      <c r="FJS9" t="s">
        <v>6984</v>
      </c>
      <c r="FJT9" t="s">
        <v>6984</v>
      </c>
      <c r="FJU9" t="s">
        <v>6984</v>
      </c>
      <c r="FJV9" t="s">
        <v>6984</v>
      </c>
      <c r="FJW9" t="s">
        <v>6984</v>
      </c>
      <c r="FJX9" t="s">
        <v>6984</v>
      </c>
      <c r="FJY9" t="s">
        <v>6984</v>
      </c>
      <c r="FJZ9" t="s">
        <v>6984</v>
      </c>
      <c r="FKA9" t="s">
        <v>6984</v>
      </c>
      <c r="FKB9" t="s">
        <v>6984</v>
      </c>
      <c r="FKC9" t="s">
        <v>6984</v>
      </c>
      <c r="FKD9" t="s">
        <v>6984</v>
      </c>
      <c r="FKE9" t="s">
        <v>6984</v>
      </c>
      <c r="FKF9" t="s">
        <v>6984</v>
      </c>
      <c r="FKG9" t="s">
        <v>6984</v>
      </c>
      <c r="FKH9" t="s">
        <v>6984</v>
      </c>
      <c r="FKI9" t="s">
        <v>6984</v>
      </c>
      <c r="FKJ9" t="s">
        <v>6984</v>
      </c>
      <c r="FKK9" t="s">
        <v>6984</v>
      </c>
      <c r="FKL9" t="s">
        <v>6984</v>
      </c>
      <c r="FKM9" t="s">
        <v>6984</v>
      </c>
      <c r="FKN9" t="s">
        <v>6984</v>
      </c>
      <c r="FKO9" t="s">
        <v>6984</v>
      </c>
      <c r="FKP9" t="s">
        <v>6984</v>
      </c>
      <c r="FKQ9" t="s">
        <v>6984</v>
      </c>
      <c r="FKR9" t="s">
        <v>6984</v>
      </c>
      <c r="FKS9" t="s">
        <v>6984</v>
      </c>
      <c r="FKT9" t="s">
        <v>6984</v>
      </c>
      <c r="FKU9" t="s">
        <v>6984</v>
      </c>
      <c r="FKV9" t="s">
        <v>6984</v>
      </c>
      <c r="FKW9" t="s">
        <v>6984</v>
      </c>
      <c r="FKX9" t="s">
        <v>6984</v>
      </c>
      <c r="FKY9" t="s">
        <v>6984</v>
      </c>
      <c r="FKZ9" t="s">
        <v>6984</v>
      </c>
      <c r="FLA9" t="s">
        <v>6984</v>
      </c>
      <c r="FLB9" t="s">
        <v>6984</v>
      </c>
      <c r="FLC9" t="s">
        <v>6984</v>
      </c>
      <c r="FLD9" t="s">
        <v>6984</v>
      </c>
      <c r="FLE9" t="s">
        <v>6984</v>
      </c>
      <c r="FLF9" t="s">
        <v>6984</v>
      </c>
      <c r="FLG9" t="s">
        <v>6984</v>
      </c>
      <c r="FLH9" t="s">
        <v>6984</v>
      </c>
      <c r="FLI9" t="s">
        <v>6984</v>
      </c>
      <c r="FLJ9" t="s">
        <v>6984</v>
      </c>
      <c r="FLK9" t="s">
        <v>6984</v>
      </c>
      <c r="FLL9" t="s">
        <v>6984</v>
      </c>
      <c r="FLM9" t="s">
        <v>6984</v>
      </c>
      <c r="FLN9" t="s">
        <v>6984</v>
      </c>
      <c r="FLO9" t="s">
        <v>6984</v>
      </c>
      <c r="FLP9" t="s">
        <v>6984</v>
      </c>
      <c r="FLQ9" t="s">
        <v>6984</v>
      </c>
      <c r="FLR9" t="s">
        <v>6984</v>
      </c>
      <c r="FLS9" t="s">
        <v>6984</v>
      </c>
      <c r="FLT9" t="s">
        <v>6984</v>
      </c>
      <c r="FLU9" t="s">
        <v>6984</v>
      </c>
      <c r="FLV9" t="s">
        <v>6984</v>
      </c>
      <c r="FLW9" t="s">
        <v>6984</v>
      </c>
      <c r="FLX9" t="s">
        <v>6984</v>
      </c>
      <c r="FLY9" t="s">
        <v>6984</v>
      </c>
      <c r="FLZ9" t="s">
        <v>6984</v>
      </c>
      <c r="FMA9" t="s">
        <v>6984</v>
      </c>
      <c r="FMB9" t="s">
        <v>6984</v>
      </c>
      <c r="FMC9" t="s">
        <v>6984</v>
      </c>
      <c r="FMD9" t="s">
        <v>6984</v>
      </c>
      <c r="FME9" t="s">
        <v>6984</v>
      </c>
      <c r="FMF9" t="s">
        <v>6984</v>
      </c>
      <c r="FMG9" t="s">
        <v>6984</v>
      </c>
      <c r="FMH9" t="s">
        <v>6984</v>
      </c>
      <c r="FMI9" t="s">
        <v>6984</v>
      </c>
      <c r="FMJ9" t="s">
        <v>6984</v>
      </c>
      <c r="FMK9" t="s">
        <v>6984</v>
      </c>
      <c r="FML9" t="s">
        <v>6984</v>
      </c>
      <c r="FMM9" t="s">
        <v>6984</v>
      </c>
      <c r="FMN9" t="s">
        <v>6984</v>
      </c>
      <c r="FMO9" t="s">
        <v>6984</v>
      </c>
      <c r="FMP9" t="s">
        <v>6984</v>
      </c>
      <c r="FMQ9" t="s">
        <v>6984</v>
      </c>
      <c r="FMR9" t="s">
        <v>6984</v>
      </c>
      <c r="FMS9" t="s">
        <v>6984</v>
      </c>
      <c r="FMT9" t="s">
        <v>6984</v>
      </c>
      <c r="FMU9" t="s">
        <v>6984</v>
      </c>
      <c r="FMV9" t="s">
        <v>6984</v>
      </c>
      <c r="FMW9" t="s">
        <v>6984</v>
      </c>
      <c r="FMX9" t="s">
        <v>6984</v>
      </c>
      <c r="FMY9" t="s">
        <v>6984</v>
      </c>
      <c r="FMZ9" t="s">
        <v>6984</v>
      </c>
      <c r="FNA9" t="s">
        <v>6984</v>
      </c>
      <c r="FNB9" t="s">
        <v>6984</v>
      </c>
      <c r="FNC9" t="s">
        <v>6984</v>
      </c>
      <c r="FND9" t="s">
        <v>6984</v>
      </c>
      <c r="FNE9" t="s">
        <v>6984</v>
      </c>
      <c r="FNF9" t="s">
        <v>6984</v>
      </c>
      <c r="FNG9" t="s">
        <v>6984</v>
      </c>
      <c r="FNH9" t="s">
        <v>6984</v>
      </c>
      <c r="FNI9" t="s">
        <v>6984</v>
      </c>
      <c r="FNJ9" t="s">
        <v>6984</v>
      </c>
      <c r="FNK9" t="s">
        <v>6984</v>
      </c>
      <c r="FNL9" t="s">
        <v>6984</v>
      </c>
      <c r="FNM9" t="s">
        <v>6984</v>
      </c>
      <c r="FNN9" t="s">
        <v>6984</v>
      </c>
      <c r="FNO9" t="s">
        <v>6984</v>
      </c>
      <c r="FNP9" t="s">
        <v>6984</v>
      </c>
      <c r="FNQ9" t="s">
        <v>6984</v>
      </c>
      <c r="FNR9" t="s">
        <v>6984</v>
      </c>
      <c r="FNS9" t="s">
        <v>6984</v>
      </c>
      <c r="FNT9" t="s">
        <v>6984</v>
      </c>
      <c r="FNU9" t="s">
        <v>6984</v>
      </c>
      <c r="FNV9" t="s">
        <v>6984</v>
      </c>
      <c r="FNW9" t="s">
        <v>6984</v>
      </c>
      <c r="FNX9" t="s">
        <v>6984</v>
      </c>
      <c r="FNY9" t="s">
        <v>6984</v>
      </c>
      <c r="FNZ9" t="s">
        <v>6984</v>
      </c>
      <c r="FOA9" t="s">
        <v>6984</v>
      </c>
      <c r="FOB9" t="s">
        <v>6984</v>
      </c>
      <c r="FOC9" t="s">
        <v>6984</v>
      </c>
      <c r="FOD9" t="s">
        <v>6984</v>
      </c>
      <c r="FOE9" t="s">
        <v>6984</v>
      </c>
      <c r="FOF9" t="s">
        <v>6984</v>
      </c>
      <c r="FOG9" t="s">
        <v>6984</v>
      </c>
      <c r="FOH9" t="s">
        <v>6984</v>
      </c>
      <c r="FOI9" t="s">
        <v>6984</v>
      </c>
      <c r="FOJ9" t="s">
        <v>6984</v>
      </c>
      <c r="FOK9" t="s">
        <v>6984</v>
      </c>
      <c r="FOL9" t="s">
        <v>6984</v>
      </c>
      <c r="FOM9" t="s">
        <v>6984</v>
      </c>
      <c r="FON9" t="s">
        <v>6984</v>
      </c>
      <c r="FOO9" t="s">
        <v>6984</v>
      </c>
      <c r="FOP9" t="s">
        <v>6984</v>
      </c>
      <c r="FOQ9" t="s">
        <v>6984</v>
      </c>
      <c r="FOR9" t="s">
        <v>6984</v>
      </c>
      <c r="FOS9" t="s">
        <v>6984</v>
      </c>
      <c r="FOT9" t="s">
        <v>6984</v>
      </c>
      <c r="FOU9" t="s">
        <v>6984</v>
      </c>
      <c r="FOV9" t="s">
        <v>6984</v>
      </c>
      <c r="FOW9" t="s">
        <v>6984</v>
      </c>
      <c r="FOX9" t="s">
        <v>6984</v>
      </c>
      <c r="FOY9" t="s">
        <v>6984</v>
      </c>
      <c r="FOZ9" t="s">
        <v>6984</v>
      </c>
      <c r="FPA9" t="s">
        <v>6984</v>
      </c>
      <c r="FPB9" t="s">
        <v>6984</v>
      </c>
      <c r="FPC9" t="s">
        <v>6984</v>
      </c>
      <c r="FPD9" t="s">
        <v>6984</v>
      </c>
      <c r="FPE9" t="s">
        <v>6984</v>
      </c>
      <c r="FPF9" t="s">
        <v>6984</v>
      </c>
      <c r="FPG9" t="s">
        <v>6984</v>
      </c>
      <c r="FPH9" t="s">
        <v>6984</v>
      </c>
      <c r="FPI9" t="s">
        <v>6984</v>
      </c>
      <c r="FPJ9" t="s">
        <v>6984</v>
      </c>
      <c r="FPK9" t="s">
        <v>6984</v>
      </c>
      <c r="FPL9" t="s">
        <v>6984</v>
      </c>
      <c r="FPM9" t="s">
        <v>6984</v>
      </c>
      <c r="FPN9" t="s">
        <v>6984</v>
      </c>
      <c r="FPO9" t="s">
        <v>6984</v>
      </c>
      <c r="FPP9" t="s">
        <v>6984</v>
      </c>
      <c r="FPQ9" t="s">
        <v>6984</v>
      </c>
      <c r="FPR9" t="s">
        <v>6984</v>
      </c>
      <c r="FPS9" t="s">
        <v>6984</v>
      </c>
      <c r="FPT9" t="s">
        <v>6984</v>
      </c>
      <c r="FPU9" t="s">
        <v>6984</v>
      </c>
      <c r="FPV9" t="s">
        <v>6984</v>
      </c>
      <c r="FPW9" t="s">
        <v>6984</v>
      </c>
      <c r="FPX9" t="s">
        <v>6984</v>
      </c>
      <c r="FPY9" t="s">
        <v>6984</v>
      </c>
      <c r="FPZ9" t="s">
        <v>6984</v>
      </c>
      <c r="FQA9" t="s">
        <v>6984</v>
      </c>
      <c r="FQB9" t="s">
        <v>6984</v>
      </c>
      <c r="FQC9" t="s">
        <v>6984</v>
      </c>
      <c r="FQD9" t="s">
        <v>6984</v>
      </c>
      <c r="FQE9" t="s">
        <v>6984</v>
      </c>
      <c r="FQF9" t="s">
        <v>6984</v>
      </c>
      <c r="FQG9" t="s">
        <v>6984</v>
      </c>
      <c r="FQH9" t="s">
        <v>6984</v>
      </c>
      <c r="FQI9" t="s">
        <v>6984</v>
      </c>
      <c r="FQJ9" t="s">
        <v>6984</v>
      </c>
      <c r="FQK9" t="s">
        <v>6984</v>
      </c>
      <c r="FQL9" t="s">
        <v>6984</v>
      </c>
      <c r="FQM9" t="s">
        <v>6984</v>
      </c>
      <c r="FQN9" t="s">
        <v>6984</v>
      </c>
      <c r="FQO9" t="s">
        <v>6984</v>
      </c>
      <c r="FQP9" t="s">
        <v>6984</v>
      </c>
      <c r="FQQ9" t="s">
        <v>6984</v>
      </c>
      <c r="FQR9" t="s">
        <v>6984</v>
      </c>
      <c r="FQS9" t="s">
        <v>6984</v>
      </c>
      <c r="FQT9" t="s">
        <v>6984</v>
      </c>
      <c r="FQU9" t="s">
        <v>6984</v>
      </c>
      <c r="FQV9" t="s">
        <v>6984</v>
      </c>
      <c r="FQW9" t="s">
        <v>6984</v>
      </c>
      <c r="FQX9" t="s">
        <v>6984</v>
      </c>
      <c r="FQY9" t="s">
        <v>6984</v>
      </c>
      <c r="FQZ9" t="s">
        <v>6984</v>
      </c>
      <c r="FRA9" t="s">
        <v>6984</v>
      </c>
      <c r="FRB9" t="s">
        <v>6984</v>
      </c>
      <c r="FRC9" t="s">
        <v>6984</v>
      </c>
      <c r="FRD9" t="s">
        <v>6984</v>
      </c>
      <c r="FRE9" t="s">
        <v>6984</v>
      </c>
      <c r="FRF9" t="s">
        <v>6984</v>
      </c>
      <c r="FRG9" t="s">
        <v>6984</v>
      </c>
      <c r="FRH9" t="s">
        <v>6984</v>
      </c>
      <c r="FRI9" t="s">
        <v>6984</v>
      </c>
      <c r="FRJ9" t="s">
        <v>6984</v>
      </c>
      <c r="FRK9" t="s">
        <v>6984</v>
      </c>
      <c r="FRL9" t="s">
        <v>6984</v>
      </c>
      <c r="FRM9" t="s">
        <v>6984</v>
      </c>
      <c r="FRN9" t="s">
        <v>6984</v>
      </c>
      <c r="FRO9" t="s">
        <v>6984</v>
      </c>
      <c r="FRP9" t="s">
        <v>6984</v>
      </c>
      <c r="FRQ9" t="s">
        <v>6984</v>
      </c>
      <c r="FRR9" t="s">
        <v>6984</v>
      </c>
      <c r="FRS9" t="s">
        <v>6984</v>
      </c>
      <c r="FRT9" t="s">
        <v>6984</v>
      </c>
      <c r="FRU9" t="s">
        <v>6984</v>
      </c>
      <c r="FRV9" t="s">
        <v>6984</v>
      </c>
      <c r="FRW9" t="s">
        <v>6984</v>
      </c>
      <c r="FRX9" t="s">
        <v>6984</v>
      </c>
      <c r="FRY9" t="s">
        <v>6984</v>
      </c>
      <c r="FRZ9" t="s">
        <v>6984</v>
      </c>
      <c r="FSA9" t="s">
        <v>6984</v>
      </c>
      <c r="FSB9" t="s">
        <v>6984</v>
      </c>
      <c r="FSC9" t="s">
        <v>6984</v>
      </c>
      <c r="FSD9" t="s">
        <v>6984</v>
      </c>
      <c r="FSE9" t="s">
        <v>6984</v>
      </c>
      <c r="FSF9" t="s">
        <v>6984</v>
      </c>
      <c r="FSG9" t="s">
        <v>6984</v>
      </c>
      <c r="FSH9" t="s">
        <v>6984</v>
      </c>
      <c r="FSI9" t="s">
        <v>6984</v>
      </c>
      <c r="FSJ9" t="s">
        <v>6984</v>
      </c>
      <c r="FSK9" t="s">
        <v>6984</v>
      </c>
      <c r="FSL9" t="s">
        <v>6984</v>
      </c>
      <c r="FSM9" t="s">
        <v>6984</v>
      </c>
      <c r="FSN9" t="s">
        <v>6984</v>
      </c>
      <c r="FSO9" t="s">
        <v>6984</v>
      </c>
      <c r="FSP9" t="s">
        <v>6984</v>
      </c>
      <c r="FSQ9" t="s">
        <v>6984</v>
      </c>
      <c r="FSR9" t="s">
        <v>6984</v>
      </c>
      <c r="FSS9" t="s">
        <v>6984</v>
      </c>
      <c r="FST9" t="s">
        <v>6984</v>
      </c>
      <c r="FSU9" t="s">
        <v>6984</v>
      </c>
      <c r="FSV9" t="s">
        <v>6984</v>
      </c>
      <c r="FSW9" t="s">
        <v>6984</v>
      </c>
      <c r="FSX9" t="s">
        <v>6984</v>
      </c>
      <c r="FSY9" t="s">
        <v>6984</v>
      </c>
      <c r="FSZ9" t="s">
        <v>6984</v>
      </c>
      <c r="FTA9" t="s">
        <v>6984</v>
      </c>
      <c r="FTB9" t="s">
        <v>6984</v>
      </c>
      <c r="FTC9" t="s">
        <v>6984</v>
      </c>
      <c r="FTD9" t="s">
        <v>6984</v>
      </c>
      <c r="FTE9" t="s">
        <v>6984</v>
      </c>
      <c r="FTF9" t="s">
        <v>6984</v>
      </c>
      <c r="FTG9" t="s">
        <v>6984</v>
      </c>
      <c r="FTH9" t="s">
        <v>6984</v>
      </c>
      <c r="FTI9" t="s">
        <v>6984</v>
      </c>
      <c r="FTJ9" t="s">
        <v>6984</v>
      </c>
      <c r="FTK9" t="s">
        <v>6984</v>
      </c>
      <c r="FTL9" t="s">
        <v>6984</v>
      </c>
      <c r="FTM9" t="s">
        <v>6984</v>
      </c>
      <c r="FTN9" t="s">
        <v>6984</v>
      </c>
      <c r="FTO9" t="s">
        <v>6984</v>
      </c>
      <c r="FTP9" t="s">
        <v>6984</v>
      </c>
      <c r="FTQ9" t="s">
        <v>6984</v>
      </c>
      <c r="FTR9" t="s">
        <v>6984</v>
      </c>
      <c r="FTS9" t="s">
        <v>6984</v>
      </c>
      <c r="FTT9" t="s">
        <v>6984</v>
      </c>
      <c r="FTU9" t="s">
        <v>6984</v>
      </c>
      <c r="FTV9" t="s">
        <v>6984</v>
      </c>
      <c r="FTW9" t="s">
        <v>6984</v>
      </c>
      <c r="FTX9" t="s">
        <v>6984</v>
      </c>
      <c r="FTY9" t="s">
        <v>6984</v>
      </c>
      <c r="FTZ9" t="s">
        <v>6984</v>
      </c>
      <c r="FUA9" t="s">
        <v>6984</v>
      </c>
      <c r="FUB9" t="s">
        <v>6984</v>
      </c>
      <c r="FUC9" t="s">
        <v>6984</v>
      </c>
      <c r="FUD9" t="s">
        <v>6984</v>
      </c>
      <c r="FUE9" t="s">
        <v>6984</v>
      </c>
      <c r="FUF9" t="s">
        <v>6984</v>
      </c>
      <c r="FUG9" t="s">
        <v>6984</v>
      </c>
      <c r="FUH9" t="s">
        <v>6984</v>
      </c>
      <c r="FUI9" t="s">
        <v>6984</v>
      </c>
      <c r="FUJ9" t="s">
        <v>6984</v>
      </c>
      <c r="FUK9" t="s">
        <v>6984</v>
      </c>
      <c r="FUL9" t="s">
        <v>6984</v>
      </c>
      <c r="FUM9" t="s">
        <v>6984</v>
      </c>
      <c r="FUN9" t="s">
        <v>6984</v>
      </c>
      <c r="FUO9" t="s">
        <v>6984</v>
      </c>
      <c r="FUP9" t="s">
        <v>6984</v>
      </c>
      <c r="FUQ9" t="s">
        <v>6984</v>
      </c>
      <c r="FUR9" t="s">
        <v>6984</v>
      </c>
      <c r="FUS9" t="s">
        <v>6984</v>
      </c>
      <c r="FUT9" t="s">
        <v>6984</v>
      </c>
      <c r="FUU9" t="s">
        <v>6984</v>
      </c>
      <c r="FUV9" t="s">
        <v>6984</v>
      </c>
      <c r="FUW9" t="s">
        <v>6984</v>
      </c>
      <c r="FUX9" t="s">
        <v>6984</v>
      </c>
      <c r="FUY9" t="s">
        <v>6984</v>
      </c>
      <c r="FUZ9" t="s">
        <v>6984</v>
      </c>
      <c r="FVA9" t="s">
        <v>6984</v>
      </c>
      <c r="FVB9" t="s">
        <v>6984</v>
      </c>
      <c r="FVC9" t="s">
        <v>6984</v>
      </c>
      <c r="FVD9" t="s">
        <v>6984</v>
      </c>
      <c r="FVE9" t="s">
        <v>6984</v>
      </c>
      <c r="FVF9" t="s">
        <v>6984</v>
      </c>
      <c r="FVG9" t="s">
        <v>6984</v>
      </c>
      <c r="FVH9" t="s">
        <v>6984</v>
      </c>
      <c r="FVI9" t="s">
        <v>6984</v>
      </c>
      <c r="FVJ9" t="s">
        <v>6984</v>
      </c>
      <c r="FVK9" t="s">
        <v>6984</v>
      </c>
      <c r="FVL9" t="s">
        <v>6984</v>
      </c>
      <c r="FVM9" t="s">
        <v>6984</v>
      </c>
      <c r="FVN9" t="s">
        <v>6984</v>
      </c>
      <c r="FVO9" t="s">
        <v>6984</v>
      </c>
      <c r="FVP9" t="s">
        <v>6984</v>
      </c>
      <c r="FVQ9" t="s">
        <v>6984</v>
      </c>
      <c r="FVR9" t="s">
        <v>6984</v>
      </c>
      <c r="FVS9" t="s">
        <v>6984</v>
      </c>
      <c r="FVT9" t="s">
        <v>6984</v>
      </c>
      <c r="FVU9" t="s">
        <v>6984</v>
      </c>
      <c r="FVV9" t="s">
        <v>6984</v>
      </c>
      <c r="FVW9" t="s">
        <v>6984</v>
      </c>
      <c r="FVX9" t="s">
        <v>6984</v>
      </c>
      <c r="FVY9" t="s">
        <v>6984</v>
      </c>
      <c r="FVZ9" t="s">
        <v>6984</v>
      </c>
      <c r="FWA9" t="s">
        <v>6984</v>
      </c>
      <c r="FWB9" t="s">
        <v>6984</v>
      </c>
      <c r="FWC9" t="s">
        <v>6984</v>
      </c>
      <c r="FWD9" t="s">
        <v>6984</v>
      </c>
      <c r="FWE9" t="s">
        <v>6984</v>
      </c>
      <c r="FWF9" t="s">
        <v>6984</v>
      </c>
      <c r="FWG9" t="s">
        <v>6984</v>
      </c>
      <c r="FWH9" t="s">
        <v>6984</v>
      </c>
      <c r="FWI9" t="s">
        <v>6984</v>
      </c>
      <c r="FWJ9" t="s">
        <v>6984</v>
      </c>
      <c r="FWK9" t="s">
        <v>6984</v>
      </c>
      <c r="FWL9" t="s">
        <v>6984</v>
      </c>
      <c r="FWM9" t="s">
        <v>6984</v>
      </c>
      <c r="FWN9" t="s">
        <v>6984</v>
      </c>
      <c r="FWO9" t="s">
        <v>6984</v>
      </c>
      <c r="FWP9" t="s">
        <v>6984</v>
      </c>
      <c r="FWQ9" t="s">
        <v>6984</v>
      </c>
      <c r="FWR9" t="s">
        <v>6984</v>
      </c>
      <c r="FWS9" t="s">
        <v>6984</v>
      </c>
      <c r="FWT9" t="s">
        <v>6984</v>
      </c>
      <c r="FWU9" t="s">
        <v>6984</v>
      </c>
      <c r="FWV9" t="s">
        <v>6984</v>
      </c>
      <c r="FWW9" t="s">
        <v>6984</v>
      </c>
      <c r="FWX9" t="s">
        <v>6984</v>
      </c>
      <c r="FWY9" t="s">
        <v>6984</v>
      </c>
      <c r="FWZ9" t="s">
        <v>6984</v>
      </c>
      <c r="FXA9" t="s">
        <v>6984</v>
      </c>
      <c r="FXB9" t="s">
        <v>6984</v>
      </c>
      <c r="FXC9" t="s">
        <v>6984</v>
      </c>
      <c r="FXD9" t="s">
        <v>6984</v>
      </c>
      <c r="FXE9" t="s">
        <v>6984</v>
      </c>
      <c r="FXF9" t="s">
        <v>6984</v>
      </c>
      <c r="FXG9" t="s">
        <v>6984</v>
      </c>
      <c r="FXH9" t="s">
        <v>6984</v>
      </c>
      <c r="FXI9" t="s">
        <v>6984</v>
      </c>
      <c r="FXJ9" t="s">
        <v>6984</v>
      </c>
      <c r="FXK9" t="s">
        <v>6984</v>
      </c>
      <c r="FXL9" t="s">
        <v>6984</v>
      </c>
      <c r="FXM9" t="s">
        <v>6984</v>
      </c>
      <c r="FXN9" t="s">
        <v>6984</v>
      </c>
      <c r="FXO9" t="s">
        <v>6984</v>
      </c>
      <c r="FXP9" t="s">
        <v>6984</v>
      </c>
      <c r="FXQ9" t="s">
        <v>6984</v>
      </c>
      <c r="FXR9" t="s">
        <v>6984</v>
      </c>
      <c r="FXS9" t="s">
        <v>6984</v>
      </c>
      <c r="FXT9" t="s">
        <v>6984</v>
      </c>
      <c r="FXU9" t="s">
        <v>6984</v>
      </c>
      <c r="FXV9" t="s">
        <v>6984</v>
      </c>
      <c r="FXW9" t="s">
        <v>6984</v>
      </c>
      <c r="FXX9" t="s">
        <v>6984</v>
      </c>
      <c r="FXY9" t="s">
        <v>6984</v>
      </c>
      <c r="FXZ9" t="s">
        <v>6984</v>
      </c>
      <c r="FYA9" t="s">
        <v>6984</v>
      </c>
      <c r="FYB9" t="s">
        <v>6984</v>
      </c>
      <c r="FYC9" t="s">
        <v>6984</v>
      </c>
      <c r="FYD9" t="s">
        <v>6984</v>
      </c>
      <c r="FYE9" t="s">
        <v>6984</v>
      </c>
      <c r="FYF9" t="s">
        <v>6984</v>
      </c>
      <c r="FYG9" t="s">
        <v>6984</v>
      </c>
      <c r="FYH9" t="s">
        <v>6984</v>
      </c>
      <c r="FYI9" t="s">
        <v>6984</v>
      </c>
      <c r="FYJ9" t="s">
        <v>6984</v>
      </c>
      <c r="FYK9" t="s">
        <v>6984</v>
      </c>
      <c r="FYL9" t="s">
        <v>6984</v>
      </c>
      <c r="FYM9" t="s">
        <v>6984</v>
      </c>
      <c r="FYN9" t="s">
        <v>6984</v>
      </c>
      <c r="FYO9" t="s">
        <v>6984</v>
      </c>
      <c r="FYP9" t="s">
        <v>6984</v>
      </c>
      <c r="FYQ9" t="s">
        <v>6984</v>
      </c>
      <c r="FYR9" t="s">
        <v>6984</v>
      </c>
      <c r="FYS9" t="s">
        <v>6984</v>
      </c>
      <c r="FYT9" t="s">
        <v>6984</v>
      </c>
      <c r="FYU9" t="s">
        <v>6984</v>
      </c>
      <c r="FYV9" t="s">
        <v>6984</v>
      </c>
      <c r="FYW9" t="s">
        <v>6984</v>
      </c>
      <c r="FYX9" t="s">
        <v>6984</v>
      </c>
      <c r="FYY9" t="s">
        <v>6984</v>
      </c>
      <c r="FYZ9" t="s">
        <v>6984</v>
      </c>
      <c r="FZA9" t="s">
        <v>6984</v>
      </c>
      <c r="FZB9" t="s">
        <v>6984</v>
      </c>
      <c r="FZC9" t="s">
        <v>6984</v>
      </c>
      <c r="FZD9" t="s">
        <v>6984</v>
      </c>
      <c r="FZE9" t="s">
        <v>6984</v>
      </c>
      <c r="FZF9" t="s">
        <v>6984</v>
      </c>
      <c r="FZG9" t="s">
        <v>6984</v>
      </c>
      <c r="FZH9" t="s">
        <v>6984</v>
      </c>
      <c r="FZI9" t="s">
        <v>6984</v>
      </c>
      <c r="FZJ9" t="s">
        <v>6984</v>
      </c>
      <c r="FZK9" t="s">
        <v>6984</v>
      </c>
      <c r="FZL9" t="s">
        <v>6984</v>
      </c>
      <c r="FZM9" t="s">
        <v>6984</v>
      </c>
      <c r="FZN9" t="s">
        <v>6984</v>
      </c>
      <c r="FZO9" t="s">
        <v>6984</v>
      </c>
      <c r="FZP9" t="s">
        <v>6984</v>
      </c>
      <c r="FZQ9" t="s">
        <v>6984</v>
      </c>
      <c r="FZR9" t="s">
        <v>6984</v>
      </c>
      <c r="FZS9" t="s">
        <v>6984</v>
      </c>
      <c r="FZT9" t="s">
        <v>6984</v>
      </c>
      <c r="FZU9" t="s">
        <v>6984</v>
      </c>
      <c r="FZV9" t="s">
        <v>6984</v>
      </c>
      <c r="FZW9" t="s">
        <v>6984</v>
      </c>
      <c r="FZX9" t="s">
        <v>6984</v>
      </c>
      <c r="FZY9" t="s">
        <v>6984</v>
      </c>
      <c r="FZZ9" t="s">
        <v>6984</v>
      </c>
      <c r="GAA9" t="s">
        <v>6984</v>
      </c>
      <c r="GAB9" t="s">
        <v>6984</v>
      </c>
      <c r="GAC9" t="s">
        <v>6984</v>
      </c>
      <c r="GAD9" t="s">
        <v>6984</v>
      </c>
      <c r="GAE9" t="s">
        <v>6984</v>
      </c>
      <c r="GAF9" t="s">
        <v>6984</v>
      </c>
      <c r="GAG9" t="s">
        <v>6984</v>
      </c>
      <c r="GAH9" t="s">
        <v>6984</v>
      </c>
      <c r="GAI9" t="s">
        <v>6984</v>
      </c>
      <c r="GAJ9" t="s">
        <v>6984</v>
      </c>
      <c r="GAK9" t="s">
        <v>6984</v>
      </c>
      <c r="GAL9" t="s">
        <v>6984</v>
      </c>
      <c r="GAM9" t="s">
        <v>6984</v>
      </c>
      <c r="GAN9" t="s">
        <v>6984</v>
      </c>
      <c r="GAO9" t="s">
        <v>6984</v>
      </c>
      <c r="GAP9" t="s">
        <v>6984</v>
      </c>
      <c r="GAQ9" t="s">
        <v>6984</v>
      </c>
      <c r="GAR9" t="s">
        <v>6984</v>
      </c>
      <c r="GAS9" t="s">
        <v>6984</v>
      </c>
      <c r="GAT9" t="s">
        <v>6984</v>
      </c>
      <c r="GAU9" t="s">
        <v>6984</v>
      </c>
      <c r="GAV9" t="s">
        <v>6984</v>
      </c>
      <c r="GAW9" t="s">
        <v>6984</v>
      </c>
      <c r="GAX9" t="s">
        <v>6984</v>
      </c>
      <c r="GAY9" t="s">
        <v>6984</v>
      </c>
      <c r="GAZ9" t="s">
        <v>6984</v>
      </c>
      <c r="GBA9" t="s">
        <v>6984</v>
      </c>
      <c r="GBB9" t="s">
        <v>6984</v>
      </c>
      <c r="GBC9" t="s">
        <v>6984</v>
      </c>
      <c r="GBD9" t="s">
        <v>6984</v>
      </c>
      <c r="GBE9" t="s">
        <v>6984</v>
      </c>
      <c r="GBF9" t="s">
        <v>6984</v>
      </c>
      <c r="GBG9" t="s">
        <v>6984</v>
      </c>
      <c r="GBH9" t="s">
        <v>6984</v>
      </c>
      <c r="GBI9" t="s">
        <v>6984</v>
      </c>
      <c r="GBJ9" t="s">
        <v>6984</v>
      </c>
      <c r="GBK9" t="s">
        <v>6984</v>
      </c>
      <c r="GBL9" t="s">
        <v>6984</v>
      </c>
      <c r="GBM9" t="s">
        <v>6984</v>
      </c>
      <c r="GBN9" t="s">
        <v>6984</v>
      </c>
      <c r="GBO9" t="s">
        <v>6984</v>
      </c>
      <c r="GBP9" t="s">
        <v>6984</v>
      </c>
      <c r="GBQ9" t="s">
        <v>6984</v>
      </c>
      <c r="GBR9" t="s">
        <v>6984</v>
      </c>
      <c r="GBS9" t="s">
        <v>6984</v>
      </c>
      <c r="GBT9" t="s">
        <v>6984</v>
      </c>
      <c r="GBU9" t="s">
        <v>6984</v>
      </c>
      <c r="GBV9" t="s">
        <v>6984</v>
      </c>
      <c r="GBW9" t="s">
        <v>6984</v>
      </c>
      <c r="GBX9" t="s">
        <v>6984</v>
      </c>
      <c r="GBY9" t="s">
        <v>6984</v>
      </c>
      <c r="GBZ9" t="s">
        <v>6984</v>
      </c>
      <c r="GCA9" t="s">
        <v>6984</v>
      </c>
      <c r="GCB9" t="s">
        <v>6984</v>
      </c>
      <c r="GCC9" t="s">
        <v>6984</v>
      </c>
      <c r="GCD9" t="s">
        <v>6984</v>
      </c>
      <c r="GCE9" t="s">
        <v>6984</v>
      </c>
      <c r="GCF9" t="s">
        <v>6984</v>
      </c>
      <c r="GCG9" t="s">
        <v>6984</v>
      </c>
      <c r="GCH9" t="s">
        <v>6984</v>
      </c>
      <c r="GCI9" t="s">
        <v>6984</v>
      </c>
      <c r="GCJ9" t="s">
        <v>6984</v>
      </c>
      <c r="GCK9" t="s">
        <v>6984</v>
      </c>
      <c r="GCL9" t="s">
        <v>6984</v>
      </c>
      <c r="GCM9" t="s">
        <v>6984</v>
      </c>
      <c r="GCN9" t="s">
        <v>6984</v>
      </c>
      <c r="GCO9" t="s">
        <v>6984</v>
      </c>
      <c r="GCP9" t="s">
        <v>6984</v>
      </c>
      <c r="GCQ9" t="s">
        <v>6984</v>
      </c>
      <c r="GCR9" t="s">
        <v>6984</v>
      </c>
      <c r="GCS9" t="s">
        <v>6984</v>
      </c>
      <c r="GCT9" t="s">
        <v>6984</v>
      </c>
      <c r="GCU9" t="s">
        <v>6984</v>
      </c>
      <c r="GCV9" t="s">
        <v>6984</v>
      </c>
      <c r="GCW9" t="s">
        <v>6984</v>
      </c>
      <c r="GCX9" t="s">
        <v>6984</v>
      </c>
      <c r="GCY9" t="s">
        <v>6984</v>
      </c>
      <c r="GCZ9" t="s">
        <v>6984</v>
      </c>
      <c r="GDA9" t="s">
        <v>6984</v>
      </c>
      <c r="GDB9" t="s">
        <v>6984</v>
      </c>
      <c r="GDC9" t="s">
        <v>6984</v>
      </c>
      <c r="GDD9" t="s">
        <v>6984</v>
      </c>
      <c r="GDE9" t="s">
        <v>6984</v>
      </c>
      <c r="GDF9" t="s">
        <v>6984</v>
      </c>
      <c r="GDG9" t="s">
        <v>6984</v>
      </c>
      <c r="GDH9" t="s">
        <v>6984</v>
      </c>
      <c r="GDI9" t="s">
        <v>6984</v>
      </c>
      <c r="GDJ9" t="s">
        <v>6984</v>
      </c>
      <c r="GDK9" t="s">
        <v>6984</v>
      </c>
      <c r="GDL9" t="s">
        <v>6984</v>
      </c>
      <c r="GDM9" t="s">
        <v>6984</v>
      </c>
      <c r="GDN9" t="s">
        <v>6984</v>
      </c>
      <c r="GDO9" t="s">
        <v>6984</v>
      </c>
      <c r="GDP9" t="s">
        <v>6984</v>
      </c>
      <c r="GDQ9" t="s">
        <v>6984</v>
      </c>
      <c r="GDR9" t="s">
        <v>6984</v>
      </c>
      <c r="GDS9" t="s">
        <v>6984</v>
      </c>
      <c r="GDT9" t="s">
        <v>6984</v>
      </c>
      <c r="GDU9" t="s">
        <v>6984</v>
      </c>
      <c r="GDV9" t="s">
        <v>6984</v>
      </c>
      <c r="GDW9" t="s">
        <v>6984</v>
      </c>
      <c r="GDX9" t="s">
        <v>6984</v>
      </c>
      <c r="GDY9" t="s">
        <v>6984</v>
      </c>
      <c r="GDZ9" t="s">
        <v>6984</v>
      </c>
      <c r="GEA9" t="s">
        <v>6984</v>
      </c>
      <c r="GEB9" t="s">
        <v>6984</v>
      </c>
      <c r="GEC9" t="s">
        <v>6984</v>
      </c>
      <c r="GED9" t="s">
        <v>6984</v>
      </c>
      <c r="GEE9" t="s">
        <v>6984</v>
      </c>
      <c r="GEF9" t="s">
        <v>6984</v>
      </c>
      <c r="GEG9" t="s">
        <v>6984</v>
      </c>
      <c r="GEH9" t="s">
        <v>6984</v>
      </c>
      <c r="GEI9" t="s">
        <v>6984</v>
      </c>
      <c r="GEJ9" t="s">
        <v>6984</v>
      </c>
      <c r="GEK9" t="s">
        <v>6984</v>
      </c>
      <c r="GEL9" t="s">
        <v>6984</v>
      </c>
      <c r="GEM9" t="s">
        <v>6984</v>
      </c>
      <c r="GEN9" t="s">
        <v>6984</v>
      </c>
      <c r="GEO9" t="s">
        <v>6984</v>
      </c>
      <c r="GEP9" t="s">
        <v>6984</v>
      </c>
      <c r="GEQ9" t="s">
        <v>6984</v>
      </c>
      <c r="GER9" t="s">
        <v>6984</v>
      </c>
      <c r="GES9" t="s">
        <v>6984</v>
      </c>
      <c r="GET9" t="s">
        <v>6984</v>
      </c>
      <c r="GEU9" t="s">
        <v>6984</v>
      </c>
      <c r="GEV9" t="s">
        <v>6984</v>
      </c>
      <c r="GEW9" t="s">
        <v>6984</v>
      </c>
      <c r="GEX9" t="s">
        <v>6984</v>
      </c>
      <c r="GEY9" t="s">
        <v>6984</v>
      </c>
      <c r="GEZ9" t="s">
        <v>6984</v>
      </c>
      <c r="GFA9" t="s">
        <v>6984</v>
      </c>
      <c r="GFB9" t="s">
        <v>6984</v>
      </c>
      <c r="GFC9" t="s">
        <v>6984</v>
      </c>
      <c r="GFD9" t="s">
        <v>6984</v>
      </c>
      <c r="GFE9" t="s">
        <v>6984</v>
      </c>
      <c r="GFF9" t="s">
        <v>6984</v>
      </c>
      <c r="GFG9" t="s">
        <v>6984</v>
      </c>
      <c r="GFH9" t="s">
        <v>6984</v>
      </c>
      <c r="GFI9" t="s">
        <v>6984</v>
      </c>
      <c r="GFJ9" t="s">
        <v>6984</v>
      </c>
      <c r="GFK9" t="s">
        <v>6984</v>
      </c>
      <c r="GFL9" t="s">
        <v>6984</v>
      </c>
      <c r="GFM9" t="s">
        <v>6984</v>
      </c>
      <c r="GFN9" t="s">
        <v>6984</v>
      </c>
      <c r="GFO9" t="s">
        <v>6984</v>
      </c>
      <c r="GFP9" t="s">
        <v>6984</v>
      </c>
      <c r="GFQ9" t="s">
        <v>6984</v>
      </c>
      <c r="GFR9" t="s">
        <v>6984</v>
      </c>
      <c r="GFS9" t="s">
        <v>6984</v>
      </c>
      <c r="GFT9" t="s">
        <v>6984</v>
      </c>
      <c r="GFU9" t="s">
        <v>6984</v>
      </c>
      <c r="GFV9" t="s">
        <v>6984</v>
      </c>
      <c r="GFW9" t="s">
        <v>6984</v>
      </c>
      <c r="GFX9" t="s">
        <v>6984</v>
      </c>
      <c r="GFY9" t="s">
        <v>6984</v>
      </c>
      <c r="GFZ9" t="s">
        <v>6984</v>
      </c>
      <c r="GGA9" t="s">
        <v>6984</v>
      </c>
      <c r="GGB9" t="s">
        <v>6984</v>
      </c>
      <c r="GGC9" t="s">
        <v>6984</v>
      </c>
      <c r="GGD9" t="s">
        <v>6984</v>
      </c>
      <c r="GGE9" t="s">
        <v>6984</v>
      </c>
      <c r="GGF9" t="s">
        <v>6984</v>
      </c>
      <c r="GGG9" t="s">
        <v>6984</v>
      </c>
      <c r="GGH9" t="s">
        <v>6984</v>
      </c>
      <c r="GGI9" t="s">
        <v>6984</v>
      </c>
      <c r="GGJ9" t="s">
        <v>6984</v>
      </c>
      <c r="GGK9" t="s">
        <v>6984</v>
      </c>
      <c r="GGL9" t="s">
        <v>6984</v>
      </c>
      <c r="GGM9" t="s">
        <v>6984</v>
      </c>
      <c r="GGN9" t="s">
        <v>6984</v>
      </c>
      <c r="GGO9" t="s">
        <v>6984</v>
      </c>
      <c r="GGP9" t="s">
        <v>6984</v>
      </c>
      <c r="GGQ9" t="s">
        <v>6984</v>
      </c>
      <c r="GGR9" t="s">
        <v>6984</v>
      </c>
      <c r="GGS9" t="s">
        <v>6984</v>
      </c>
      <c r="GGT9" t="s">
        <v>6984</v>
      </c>
      <c r="GGU9" t="s">
        <v>6984</v>
      </c>
      <c r="GGV9" t="s">
        <v>6984</v>
      </c>
      <c r="GGW9" t="s">
        <v>6984</v>
      </c>
      <c r="GGX9" t="s">
        <v>6984</v>
      </c>
      <c r="GGY9" t="s">
        <v>6984</v>
      </c>
      <c r="GGZ9" t="s">
        <v>6984</v>
      </c>
      <c r="GHA9" t="s">
        <v>6984</v>
      </c>
      <c r="GHB9" t="s">
        <v>6984</v>
      </c>
      <c r="GHC9" t="s">
        <v>6984</v>
      </c>
      <c r="GHD9" t="s">
        <v>6984</v>
      </c>
      <c r="GHE9" t="s">
        <v>6984</v>
      </c>
      <c r="GHF9" t="s">
        <v>6984</v>
      </c>
      <c r="GHG9" t="s">
        <v>6984</v>
      </c>
      <c r="GHH9" t="s">
        <v>6984</v>
      </c>
      <c r="GHI9" t="s">
        <v>6984</v>
      </c>
      <c r="GHJ9" t="s">
        <v>6984</v>
      </c>
      <c r="GHK9" t="s">
        <v>6984</v>
      </c>
      <c r="GHL9" t="s">
        <v>6984</v>
      </c>
      <c r="GHM9" t="s">
        <v>6984</v>
      </c>
      <c r="GHN9" t="s">
        <v>6984</v>
      </c>
      <c r="GHO9" t="s">
        <v>6984</v>
      </c>
      <c r="GHP9" t="s">
        <v>6984</v>
      </c>
      <c r="GHQ9" t="s">
        <v>6984</v>
      </c>
      <c r="GHR9" t="s">
        <v>6984</v>
      </c>
      <c r="GHS9" t="s">
        <v>6984</v>
      </c>
      <c r="GHT9" t="s">
        <v>6984</v>
      </c>
      <c r="GHU9" t="s">
        <v>6984</v>
      </c>
      <c r="GHV9" t="s">
        <v>6984</v>
      </c>
      <c r="GHW9" t="s">
        <v>6984</v>
      </c>
      <c r="GHX9" t="s">
        <v>6984</v>
      </c>
      <c r="GHY9" t="s">
        <v>6984</v>
      </c>
      <c r="GHZ9" t="s">
        <v>6984</v>
      </c>
      <c r="GIA9" t="s">
        <v>6984</v>
      </c>
      <c r="GIB9" t="s">
        <v>6984</v>
      </c>
      <c r="GIC9" t="s">
        <v>6984</v>
      </c>
      <c r="GID9" t="s">
        <v>6984</v>
      </c>
      <c r="GIE9" t="s">
        <v>6984</v>
      </c>
      <c r="GIF9" t="s">
        <v>6984</v>
      </c>
      <c r="GIG9" t="s">
        <v>6984</v>
      </c>
      <c r="GIH9" t="s">
        <v>6984</v>
      </c>
      <c r="GII9" t="s">
        <v>6984</v>
      </c>
      <c r="GIJ9" t="s">
        <v>6984</v>
      </c>
      <c r="GIK9" t="s">
        <v>6984</v>
      </c>
      <c r="GIL9" t="s">
        <v>6984</v>
      </c>
      <c r="GIM9" t="s">
        <v>6984</v>
      </c>
      <c r="GIN9" t="s">
        <v>6984</v>
      </c>
      <c r="GIO9" t="s">
        <v>6984</v>
      </c>
      <c r="GIP9" t="s">
        <v>6984</v>
      </c>
      <c r="GIQ9" t="s">
        <v>6984</v>
      </c>
      <c r="GIR9" t="s">
        <v>6984</v>
      </c>
      <c r="GIS9" t="s">
        <v>6984</v>
      </c>
      <c r="GIT9" t="s">
        <v>6984</v>
      </c>
      <c r="GIU9" t="s">
        <v>6984</v>
      </c>
      <c r="GIV9" t="s">
        <v>6984</v>
      </c>
      <c r="GIW9" t="s">
        <v>6984</v>
      </c>
      <c r="GIX9" t="s">
        <v>6984</v>
      </c>
      <c r="GIY9" t="s">
        <v>6984</v>
      </c>
      <c r="GIZ9" t="s">
        <v>6984</v>
      </c>
      <c r="GJA9" t="s">
        <v>6984</v>
      </c>
      <c r="GJB9" t="s">
        <v>6984</v>
      </c>
      <c r="GJC9" t="s">
        <v>6984</v>
      </c>
      <c r="GJD9" t="s">
        <v>6984</v>
      </c>
      <c r="GJE9" t="s">
        <v>6984</v>
      </c>
      <c r="GJF9" t="s">
        <v>6984</v>
      </c>
      <c r="GJG9" t="s">
        <v>6984</v>
      </c>
      <c r="GJH9" t="s">
        <v>6984</v>
      </c>
      <c r="GJI9" t="s">
        <v>6984</v>
      </c>
      <c r="GJJ9" t="s">
        <v>6984</v>
      </c>
      <c r="GJK9" t="s">
        <v>6984</v>
      </c>
      <c r="GJL9" t="s">
        <v>6984</v>
      </c>
      <c r="GJM9" t="s">
        <v>6984</v>
      </c>
      <c r="GJN9" t="s">
        <v>6984</v>
      </c>
      <c r="GJO9" t="s">
        <v>6984</v>
      </c>
      <c r="GJP9" t="s">
        <v>6984</v>
      </c>
      <c r="GJQ9" t="s">
        <v>6984</v>
      </c>
      <c r="GJR9" t="s">
        <v>6984</v>
      </c>
      <c r="GJS9" t="s">
        <v>6984</v>
      </c>
      <c r="GJT9" t="s">
        <v>6984</v>
      </c>
      <c r="GJU9" t="s">
        <v>6984</v>
      </c>
      <c r="GJV9" t="s">
        <v>6984</v>
      </c>
      <c r="GJW9" t="s">
        <v>6984</v>
      </c>
      <c r="GJX9" t="s">
        <v>6984</v>
      </c>
      <c r="GJY9" t="s">
        <v>6984</v>
      </c>
      <c r="GJZ9" t="s">
        <v>6984</v>
      </c>
      <c r="GKA9" t="s">
        <v>6984</v>
      </c>
      <c r="GKB9" t="s">
        <v>6984</v>
      </c>
      <c r="GKC9" t="s">
        <v>6984</v>
      </c>
      <c r="GKD9" t="s">
        <v>6984</v>
      </c>
      <c r="GKE9" t="s">
        <v>6984</v>
      </c>
      <c r="GKF9" t="s">
        <v>6984</v>
      </c>
      <c r="GKG9" t="s">
        <v>6984</v>
      </c>
      <c r="GKH9" t="s">
        <v>6984</v>
      </c>
      <c r="GKI9" t="s">
        <v>6984</v>
      </c>
      <c r="GKJ9" t="s">
        <v>6984</v>
      </c>
      <c r="GKK9" t="s">
        <v>6984</v>
      </c>
      <c r="GKL9" t="s">
        <v>6984</v>
      </c>
      <c r="GKM9" t="s">
        <v>6984</v>
      </c>
      <c r="GKN9" t="s">
        <v>6984</v>
      </c>
      <c r="GKO9" t="s">
        <v>6984</v>
      </c>
      <c r="GKP9" t="s">
        <v>6984</v>
      </c>
      <c r="GKQ9" t="s">
        <v>6984</v>
      </c>
      <c r="GKR9" t="s">
        <v>6984</v>
      </c>
      <c r="GKS9" t="s">
        <v>6984</v>
      </c>
      <c r="GKT9" t="s">
        <v>6984</v>
      </c>
      <c r="GKU9" t="s">
        <v>6984</v>
      </c>
      <c r="GKV9" t="s">
        <v>6984</v>
      </c>
      <c r="GKW9" t="s">
        <v>6984</v>
      </c>
      <c r="GKX9" t="s">
        <v>6984</v>
      </c>
      <c r="GKY9" t="s">
        <v>6984</v>
      </c>
      <c r="GKZ9" t="s">
        <v>6984</v>
      </c>
      <c r="GLA9" t="s">
        <v>6984</v>
      </c>
      <c r="GLB9" t="s">
        <v>6984</v>
      </c>
      <c r="GLC9" t="s">
        <v>6984</v>
      </c>
      <c r="GLD9" t="s">
        <v>6984</v>
      </c>
      <c r="GLE9" t="s">
        <v>6984</v>
      </c>
      <c r="GLF9" t="s">
        <v>6984</v>
      </c>
      <c r="GLG9" t="s">
        <v>6984</v>
      </c>
      <c r="GLH9" t="s">
        <v>6984</v>
      </c>
      <c r="GLI9" t="s">
        <v>6984</v>
      </c>
      <c r="GLJ9" t="s">
        <v>6984</v>
      </c>
      <c r="GLK9" t="s">
        <v>6984</v>
      </c>
      <c r="GLL9" t="s">
        <v>6984</v>
      </c>
      <c r="GLM9" t="s">
        <v>6984</v>
      </c>
      <c r="GLN9" t="s">
        <v>6984</v>
      </c>
      <c r="GLO9" t="s">
        <v>6984</v>
      </c>
      <c r="GLP9" t="s">
        <v>6984</v>
      </c>
      <c r="GLQ9" t="s">
        <v>6984</v>
      </c>
      <c r="GLR9" t="s">
        <v>6984</v>
      </c>
      <c r="GLS9" t="s">
        <v>6984</v>
      </c>
      <c r="GLT9" t="s">
        <v>6984</v>
      </c>
      <c r="GLU9" t="s">
        <v>6984</v>
      </c>
      <c r="GLV9" t="s">
        <v>6984</v>
      </c>
      <c r="GLW9" t="s">
        <v>6984</v>
      </c>
      <c r="GLX9" t="s">
        <v>6984</v>
      </c>
      <c r="GLY9" t="s">
        <v>6984</v>
      </c>
      <c r="GLZ9" t="s">
        <v>6984</v>
      </c>
      <c r="GMA9" t="s">
        <v>6984</v>
      </c>
      <c r="GMB9" t="s">
        <v>6984</v>
      </c>
      <c r="GMC9" t="s">
        <v>6984</v>
      </c>
      <c r="GMD9" t="s">
        <v>6984</v>
      </c>
      <c r="GME9" t="s">
        <v>6984</v>
      </c>
      <c r="GMF9" t="s">
        <v>6984</v>
      </c>
      <c r="GMG9" t="s">
        <v>6984</v>
      </c>
      <c r="GMH9" t="s">
        <v>6984</v>
      </c>
      <c r="GMI9" t="s">
        <v>6984</v>
      </c>
      <c r="GMJ9" t="s">
        <v>6984</v>
      </c>
      <c r="GMK9" t="s">
        <v>6984</v>
      </c>
      <c r="GML9" t="s">
        <v>6984</v>
      </c>
      <c r="GMM9" t="s">
        <v>6984</v>
      </c>
      <c r="GMN9" t="s">
        <v>6984</v>
      </c>
      <c r="GMO9" t="s">
        <v>6984</v>
      </c>
      <c r="GMP9" t="s">
        <v>6984</v>
      </c>
      <c r="GMQ9" t="s">
        <v>6984</v>
      </c>
      <c r="GMR9" t="s">
        <v>6984</v>
      </c>
      <c r="GMS9" t="s">
        <v>6984</v>
      </c>
      <c r="GMT9" t="s">
        <v>6984</v>
      </c>
      <c r="GMU9" t="s">
        <v>6984</v>
      </c>
      <c r="GMV9" t="s">
        <v>6984</v>
      </c>
      <c r="GMW9" t="s">
        <v>6984</v>
      </c>
      <c r="GMX9" t="s">
        <v>6984</v>
      </c>
      <c r="GMY9" t="s">
        <v>6984</v>
      </c>
      <c r="GMZ9" t="s">
        <v>6984</v>
      </c>
      <c r="GNA9" t="s">
        <v>6984</v>
      </c>
      <c r="GNB9" t="s">
        <v>6984</v>
      </c>
      <c r="GNC9" t="s">
        <v>6984</v>
      </c>
      <c r="GND9" t="s">
        <v>6984</v>
      </c>
      <c r="GNE9" t="s">
        <v>6984</v>
      </c>
      <c r="GNF9" t="s">
        <v>6984</v>
      </c>
      <c r="GNG9" t="s">
        <v>6984</v>
      </c>
      <c r="GNH9" t="s">
        <v>6984</v>
      </c>
      <c r="GNI9" t="s">
        <v>6984</v>
      </c>
      <c r="GNJ9" t="s">
        <v>6984</v>
      </c>
      <c r="GNK9" t="s">
        <v>6984</v>
      </c>
      <c r="GNL9" t="s">
        <v>6984</v>
      </c>
      <c r="GNM9" t="s">
        <v>6984</v>
      </c>
      <c r="GNN9" t="s">
        <v>6984</v>
      </c>
      <c r="GNO9" t="s">
        <v>6984</v>
      </c>
      <c r="GNP9" t="s">
        <v>6984</v>
      </c>
      <c r="GNQ9" t="s">
        <v>6984</v>
      </c>
      <c r="GNR9" t="s">
        <v>6984</v>
      </c>
      <c r="GNS9" t="s">
        <v>6984</v>
      </c>
      <c r="GNT9" t="s">
        <v>6984</v>
      </c>
      <c r="GNU9" t="s">
        <v>6984</v>
      </c>
      <c r="GNV9" t="s">
        <v>6984</v>
      </c>
      <c r="GNW9" t="s">
        <v>6984</v>
      </c>
      <c r="GNX9" t="s">
        <v>6984</v>
      </c>
      <c r="GNY9" t="s">
        <v>6984</v>
      </c>
      <c r="GNZ9" t="s">
        <v>6984</v>
      </c>
      <c r="GOA9" t="s">
        <v>6984</v>
      </c>
      <c r="GOB9" t="s">
        <v>6984</v>
      </c>
      <c r="GOC9" t="s">
        <v>6984</v>
      </c>
      <c r="GOD9" t="s">
        <v>6984</v>
      </c>
      <c r="GOE9" t="s">
        <v>6984</v>
      </c>
      <c r="GOF9" t="s">
        <v>6984</v>
      </c>
      <c r="GOG9" t="s">
        <v>6984</v>
      </c>
      <c r="GOH9" t="s">
        <v>6984</v>
      </c>
      <c r="GOI9" t="s">
        <v>6984</v>
      </c>
      <c r="GOJ9" t="s">
        <v>6984</v>
      </c>
      <c r="GOK9" t="s">
        <v>6984</v>
      </c>
      <c r="GOL9" t="s">
        <v>6984</v>
      </c>
      <c r="GOM9" t="s">
        <v>6984</v>
      </c>
      <c r="GON9" t="s">
        <v>6984</v>
      </c>
      <c r="GOO9" t="s">
        <v>6984</v>
      </c>
      <c r="GOP9" t="s">
        <v>6984</v>
      </c>
      <c r="GOQ9" t="s">
        <v>6984</v>
      </c>
      <c r="GOR9" t="s">
        <v>6984</v>
      </c>
      <c r="GOS9" t="s">
        <v>6984</v>
      </c>
      <c r="GOT9" t="s">
        <v>6984</v>
      </c>
      <c r="GOU9" t="s">
        <v>6984</v>
      </c>
      <c r="GOV9" t="s">
        <v>6984</v>
      </c>
      <c r="GOW9" t="s">
        <v>6984</v>
      </c>
      <c r="GOX9" t="s">
        <v>6984</v>
      </c>
      <c r="GOY9" t="s">
        <v>6984</v>
      </c>
      <c r="GOZ9" t="s">
        <v>6984</v>
      </c>
      <c r="GPA9" t="s">
        <v>6984</v>
      </c>
      <c r="GPB9" t="s">
        <v>6984</v>
      </c>
      <c r="GPC9" t="s">
        <v>6984</v>
      </c>
      <c r="GPD9" t="s">
        <v>6984</v>
      </c>
      <c r="GPE9" t="s">
        <v>6984</v>
      </c>
      <c r="GPF9" t="s">
        <v>6984</v>
      </c>
      <c r="GPG9" t="s">
        <v>6984</v>
      </c>
      <c r="GPH9" t="s">
        <v>6984</v>
      </c>
      <c r="GPI9" t="s">
        <v>6984</v>
      </c>
      <c r="GPJ9" t="s">
        <v>6984</v>
      </c>
      <c r="GPK9" t="s">
        <v>6984</v>
      </c>
      <c r="GPL9" t="s">
        <v>6984</v>
      </c>
      <c r="GPM9" t="s">
        <v>6984</v>
      </c>
      <c r="GPN9" t="s">
        <v>6984</v>
      </c>
      <c r="GPO9" t="s">
        <v>6984</v>
      </c>
      <c r="GPP9" t="s">
        <v>6984</v>
      </c>
      <c r="GPQ9" t="s">
        <v>6984</v>
      </c>
      <c r="GPR9" t="s">
        <v>6984</v>
      </c>
      <c r="GPS9" t="s">
        <v>6984</v>
      </c>
      <c r="GPT9" t="s">
        <v>6984</v>
      </c>
      <c r="GPU9" t="s">
        <v>6984</v>
      </c>
      <c r="GPV9" t="s">
        <v>6984</v>
      </c>
      <c r="GPW9" t="s">
        <v>6984</v>
      </c>
      <c r="GPX9" t="s">
        <v>6984</v>
      </c>
      <c r="GPY9" t="s">
        <v>6984</v>
      </c>
      <c r="GPZ9" t="s">
        <v>6984</v>
      </c>
      <c r="GQA9" t="s">
        <v>6984</v>
      </c>
      <c r="GQB9" t="s">
        <v>6984</v>
      </c>
      <c r="GQC9" t="s">
        <v>6984</v>
      </c>
      <c r="GQD9" t="s">
        <v>6984</v>
      </c>
      <c r="GQE9" t="s">
        <v>6984</v>
      </c>
      <c r="GQF9" t="s">
        <v>6984</v>
      </c>
      <c r="GQG9" t="s">
        <v>6984</v>
      </c>
      <c r="GQH9" t="s">
        <v>6984</v>
      </c>
      <c r="GQI9" t="s">
        <v>6984</v>
      </c>
      <c r="GQJ9" t="s">
        <v>6984</v>
      </c>
      <c r="GQK9" t="s">
        <v>6984</v>
      </c>
      <c r="GQL9" t="s">
        <v>6984</v>
      </c>
      <c r="GQM9" t="s">
        <v>6984</v>
      </c>
      <c r="GQN9" t="s">
        <v>6984</v>
      </c>
      <c r="GQO9" t="s">
        <v>6984</v>
      </c>
      <c r="GQP9" t="s">
        <v>6984</v>
      </c>
      <c r="GQQ9" t="s">
        <v>6984</v>
      </c>
      <c r="GQR9" t="s">
        <v>6984</v>
      </c>
      <c r="GQS9" t="s">
        <v>6984</v>
      </c>
      <c r="GQT9" t="s">
        <v>6984</v>
      </c>
      <c r="GQU9" t="s">
        <v>6984</v>
      </c>
      <c r="GQV9" t="s">
        <v>6984</v>
      </c>
      <c r="GQW9" t="s">
        <v>6984</v>
      </c>
      <c r="GQX9" t="s">
        <v>6984</v>
      </c>
      <c r="GQY9" t="s">
        <v>6984</v>
      </c>
      <c r="GQZ9" t="s">
        <v>6984</v>
      </c>
      <c r="GRA9" t="s">
        <v>6984</v>
      </c>
      <c r="GRB9" t="s">
        <v>6984</v>
      </c>
      <c r="GRC9" t="s">
        <v>6984</v>
      </c>
      <c r="GRD9" t="s">
        <v>6984</v>
      </c>
      <c r="GRE9" t="s">
        <v>6984</v>
      </c>
      <c r="GRF9" t="s">
        <v>6984</v>
      </c>
      <c r="GRG9" t="s">
        <v>6984</v>
      </c>
      <c r="GRH9" t="s">
        <v>6984</v>
      </c>
      <c r="GRI9" t="s">
        <v>6984</v>
      </c>
      <c r="GRJ9" t="s">
        <v>6984</v>
      </c>
      <c r="GRK9" t="s">
        <v>6984</v>
      </c>
      <c r="GRL9" t="s">
        <v>6984</v>
      </c>
      <c r="GRM9" t="s">
        <v>6984</v>
      </c>
      <c r="GRN9" t="s">
        <v>6984</v>
      </c>
      <c r="GRO9" t="s">
        <v>6984</v>
      </c>
      <c r="GRP9" t="s">
        <v>6984</v>
      </c>
      <c r="GRQ9" t="s">
        <v>6984</v>
      </c>
      <c r="GRR9" t="s">
        <v>6984</v>
      </c>
      <c r="GRS9" t="s">
        <v>6984</v>
      </c>
      <c r="GRT9" t="s">
        <v>6984</v>
      </c>
      <c r="GRU9" t="s">
        <v>6984</v>
      </c>
      <c r="GRV9" t="s">
        <v>6984</v>
      </c>
      <c r="GRW9" t="s">
        <v>6984</v>
      </c>
      <c r="GRX9" t="s">
        <v>6984</v>
      </c>
      <c r="GRY9" t="s">
        <v>6984</v>
      </c>
      <c r="GRZ9" t="s">
        <v>6984</v>
      </c>
      <c r="GSA9" t="s">
        <v>6984</v>
      </c>
      <c r="GSB9" t="s">
        <v>6984</v>
      </c>
      <c r="GSC9" t="s">
        <v>6984</v>
      </c>
      <c r="GSD9" t="s">
        <v>6984</v>
      </c>
      <c r="GSE9" t="s">
        <v>6984</v>
      </c>
      <c r="GSF9" t="s">
        <v>6984</v>
      </c>
      <c r="GSG9" t="s">
        <v>6984</v>
      </c>
      <c r="GSH9" t="s">
        <v>6984</v>
      </c>
      <c r="GSI9" t="s">
        <v>6984</v>
      </c>
      <c r="GSJ9" t="s">
        <v>6984</v>
      </c>
      <c r="GSK9" t="s">
        <v>6984</v>
      </c>
      <c r="GSL9" t="s">
        <v>6984</v>
      </c>
      <c r="GSM9" t="s">
        <v>6984</v>
      </c>
      <c r="GSN9" t="s">
        <v>6984</v>
      </c>
      <c r="GSO9" t="s">
        <v>6984</v>
      </c>
      <c r="GSP9" t="s">
        <v>6984</v>
      </c>
      <c r="GSQ9" t="s">
        <v>6984</v>
      </c>
      <c r="GSR9" t="s">
        <v>6984</v>
      </c>
      <c r="GSS9" t="s">
        <v>6984</v>
      </c>
      <c r="GST9" t="s">
        <v>6984</v>
      </c>
      <c r="GSU9" t="s">
        <v>6984</v>
      </c>
      <c r="GSV9" t="s">
        <v>6984</v>
      </c>
      <c r="GSW9" t="s">
        <v>6984</v>
      </c>
      <c r="GSX9" t="s">
        <v>6984</v>
      </c>
      <c r="GSY9" t="s">
        <v>6984</v>
      </c>
      <c r="GSZ9" t="s">
        <v>6984</v>
      </c>
      <c r="GTA9" t="s">
        <v>6984</v>
      </c>
      <c r="GTB9" t="s">
        <v>6984</v>
      </c>
      <c r="GTC9" t="s">
        <v>6984</v>
      </c>
      <c r="GTD9" t="s">
        <v>6984</v>
      </c>
      <c r="GTE9" t="s">
        <v>6984</v>
      </c>
      <c r="GTF9" t="s">
        <v>6984</v>
      </c>
      <c r="GTG9" t="s">
        <v>6984</v>
      </c>
      <c r="GTH9" t="s">
        <v>6984</v>
      </c>
      <c r="GTI9" t="s">
        <v>6984</v>
      </c>
      <c r="GTJ9" t="s">
        <v>6984</v>
      </c>
      <c r="GTK9" t="s">
        <v>6984</v>
      </c>
      <c r="GTL9" t="s">
        <v>6984</v>
      </c>
      <c r="GTM9" t="s">
        <v>6984</v>
      </c>
      <c r="GTN9" t="s">
        <v>6984</v>
      </c>
      <c r="GTO9" t="s">
        <v>6984</v>
      </c>
      <c r="GTP9" t="s">
        <v>6984</v>
      </c>
      <c r="GTQ9" t="s">
        <v>6984</v>
      </c>
      <c r="GTR9" t="s">
        <v>6984</v>
      </c>
      <c r="GTS9" t="s">
        <v>6984</v>
      </c>
      <c r="GTT9" t="s">
        <v>6984</v>
      </c>
      <c r="GTU9" t="s">
        <v>6984</v>
      </c>
      <c r="GTV9" t="s">
        <v>6984</v>
      </c>
      <c r="GTW9" t="s">
        <v>6984</v>
      </c>
      <c r="GTX9" t="s">
        <v>6984</v>
      </c>
      <c r="GTY9" t="s">
        <v>6984</v>
      </c>
      <c r="GTZ9" t="s">
        <v>6984</v>
      </c>
      <c r="GUA9" t="s">
        <v>6984</v>
      </c>
      <c r="GUB9" t="s">
        <v>6984</v>
      </c>
      <c r="GUC9" t="s">
        <v>6984</v>
      </c>
      <c r="GUD9" t="s">
        <v>6984</v>
      </c>
      <c r="GUE9" t="s">
        <v>6984</v>
      </c>
      <c r="GUF9" t="s">
        <v>6984</v>
      </c>
      <c r="GUG9" t="s">
        <v>6984</v>
      </c>
      <c r="GUH9" t="s">
        <v>6984</v>
      </c>
      <c r="GUI9" t="s">
        <v>6984</v>
      </c>
      <c r="GUJ9" t="s">
        <v>6984</v>
      </c>
      <c r="GUK9" t="s">
        <v>6984</v>
      </c>
      <c r="GUL9" t="s">
        <v>6984</v>
      </c>
      <c r="GUM9" t="s">
        <v>6984</v>
      </c>
      <c r="GUN9" t="s">
        <v>6984</v>
      </c>
      <c r="GUO9" t="s">
        <v>6984</v>
      </c>
      <c r="GUP9" t="s">
        <v>6984</v>
      </c>
      <c r="GUQ9" t="s">
        <v>6984</v>
      </c>
      <c r="GUR9" t="s">
        <v>6984</v>
      </c>
      <c r="GUS9" t="s">
        <v>6984</v>
      </c>
      <c r="GUT9" t="s">
        <v>6984</v>
      </c>
      <c r="GUU9" t="s">
        <v>6984</v>
      </c>
      <c r="GUV9" t="s">
        <v>6984</v>
      </c>
      <c r="GUW9" t="s">
        <v>6984</v>
      </c>
      <c r="GUX9" t="s">
        <v>6984</v>
      </c>
      <c r="GUY9" t="s">
        <v>6984</v>
      </c>
      <c r="GUZ9" t="s">
        <v>6984</v>
      </c>
      <c r="GVA9" t="s">
        <v>6984</v>
      </c>
      <c r="GVB9" t="s">
        <v>6984</v>
      </c>
      <c r="GVC9" t="s">
        <v>6984</v>
      </c>
      <c r="GVD9" t="s">
        <v>6984</v>
      </c>
      <c r="GVE9" t="s">
        <v>6984</v>
      </c>
      <c r="GVF9" t="s">
        <v>6984</v>
      </c>
      <c r="GVG9" t="s">
        <v>6984</v>
      </c>
      <c r="GVH9" t="s">
        <v>6984</v>
      </c>
      <c r="GVI9" t="s">
        <v>6984</v>
      </c>
      <c r="GVJ9" t="s">
        <v>6984</v>
      </c>
      <c r="GVK9" t="s">
        <v>6984</v>
      </c>
      <c r="GVL9" t="s">
        <v>6984</v>
      </c>
      <c r="GVM9" t="s">
        <v>6984</v>
      </c>
      <c r="GVN9" t="s">
        <v>6984</v>
      </c>
      <c r="GVO9" t="s">
        <v>6984</v>
      </c>
      <c r="GVP9" t="s">
        <v>6984</v>
      </c>
      <c r="GVQ9" t="s">
        <v>6984</v>
      </c>
      <c r="GVR9" t="s">
        <v>6984</v>
      </c>
      <c r="GVS9" t="s">
        <v>6984</v>
      </c>
      <c r="GVT9" t="s">
        <v>6984</v>
      </c>
      <c r="GVU9" t="s">
        <v>6984</v>
      </c>
      <c r="GVV9" t="s">
        <v>6984</v>
      </c>
      <c r="GVW9" t="s">
        <v>6984</v>
      </c>
      <c r="GVX9" t="s">
        <v>6984</v>
      </c>
      <c r="GVY9" t="s">
        <v>6984</v>
      </c>
      <c r="GVZ9" t="s">
        <v>6984</v>
      </c>
      <c r="GWA9" t="s">
        <v>6984</v>
      </c>
      <c r="GWB9" t="s">
        <v>6984</v>
      </c>
      <c r="GWC9" t="s">
        <v>6984</v>
      </c>
      <c r="GWD9" t="s">
        <v>6984</v>
      </c>
      <c r="GWE9" t="s">
        <v>6984</v>
      </c>
      <c r="GWF9" t="s">
        <v>6984</v>
      </c>
      <c r="GWG9" t="s">
        <v>6984</v>
      </c>
      <c r="GWH9" t="s">
        <v>6984</v>
      </c>
      <c r="GWI9" t="s">
        <v>6984</v>
      </c>
      <c r="GWJ9" t="s">
        <v>6984</v>
      </c>
      <c r="GWK9" t="s">
        <v>6984</v>
      </c>
      <c r="GWL9" t="s">
        <v>6984</v>
      </c>
      <c r="GWM9" t="s">
        <v>6984</v>
      </c>
      <c r="GWN9" t="s">
        <v>6984</v>
      </c>
      <c r="GWO9" t="s">
        <v>6984</v>
      </c>
      <c r="GWP9" t="s">
        <v>6984</v>
      </c>
      <c r="GWQ9" t="s">
        <v>6984</v>
      </c>
      <c r="GWR9" t="s">
        <v>6984</v>
      </c>
      <c r="GWS9" t="s">
        <v>6984</v>
      </c>
      <c r="GWT9" t="s">
        <v>6984</v>
      </c>
      <c r="GWU9" t="s">
        <v>6984</v>
      </c>
      <c r="GWV9" t="s">
        <v>6984</v>
      </c>
      <c r="GWW9" t="s">
        <v>6984</v>
      </c>
      <c r="GWX9" t="s">
        <v>6984</v>
      </c>
      <c r="GWY9" t="s">
        <v>6984</v>
      </c>
      <c r="GWZ9" t="s">
        <v>6984</v>
      </c>
      <c r="GXA9" t="s">
        <v>6984</v>
      </c>
      <c r="GXB9" t="s">
        <v>6984</v>
      </c>
      <c r="GXC9" t="s">
        <v>6984</v>
      </c>
      <c r="GXD9" t="s">
        <v>6984</v>
      </c>
      <c r="GXE9" t="s">
        <v>6984</v>
      </c>
      <c r="GXF9" t="s">
        <v>6984</v>
      </c>
      <c r="GXG9" t="s">
        <v>6984</v>
      </c>
      <c r="GXH9" t="s">
        <v>6984</v>
      </c>
      <c r="GXI9" t="s">
        <v>6984</v>
      </c>
      <c r="GXJ9" t="s">
        <v>6984</v>
      </c>
      <c r="GXK9" t="s">
        <v>6984</v>
      </c>
      <c r="GXL9" t="s">
        <v>6984</v>
      </c>
      <c r="GXM9" t="s">
        <v>6984</v>
      </c>
      <c r="GXN9" t="s">
        <v>6984</v>
      </c>
      <c r="GXO9" t="s">
        <v>6984</v>
      </c>
      <c r="GXP9" t="s">
        <v>6984</v>
      </c>
      <c r="GXQ9" t="s">
        <v>6984</v>
      </c>
      <c r="GXR9" t="s">
        <v>6984</v>
      </c>
      <c r="GXS9" t="s">
        <v>6984</v>
      </c>
      <c r="GXT9" t="s">
        <v>6984</v>
      </c>
      <c r="GXU9" t="s">
        <v>6984</v>
      </c>
      <c r="GXV9" t="s">
        <v>6984</v>
      </c>
      <c r="GXW9" t="s">
        <v>6984</v>
      </c>
      <c r="GXX9" t="s">
        <v>6984</v>
      </c>
      <c r="GXY9" t="s">
        <v>6984</v>
      </c>
      <c r="GXZ9" t="s">
        <v>6984</v>
      </c>
      <c r="GYA9" t="s">
        <v>6984</v>
      </c>
      <c r="GYB9" t="s">
        <v>6984</v>
      </c>
      <c r="GYC9" t="s">
        <v>6984</v>
      </c>
      <c r="GYD9" t="s">
        <v>6984</v>
      </c>
      <c r="GYE9" t="s">
        <v>6984</v>
      </c>
      <c r="GYF9" t="s">
        <v>6984</v>
      </c>
      <c r="GYG9" t="s">
        <v>6984</v>
      </c>
      <c r="GYH9" t="s">
        <v>6984</v>
      </c>
      <c r="GYI9" t="s">
        <v>6984</v>
      </c>
      <c r="GYJ9" t="s">
        <v>6984</v>
      </c>
      <c r="GYK9" t="s">
        <v>6984</v>
      </c>
      <c r="GYL9" t="s">
        <v>6984</v>
      </c>
      <c r="GYM9" t="s">
        <v>6984</v>
      </c>
      <c r="GYN9" t="s">
        <v>6984</v>
      </c>
      <c r="GYO9" t="s">
        <v>6984</v>
      </c>
      <c r="GYP9" t="s">
        <v>6984</v>
      </c>
      <c r="GYQ9" t="s">
        <v>6984</v>
      </c>
      <c r="GYR9" t="s">
        <v>6984</v>
      </c>
      <c r="GYS9" t="s">
        <v>6984</v>
      </c>
      <c r="GYT9" t="s">
        <v>6984</v>
      </c>
      <c r="GYU9" t="s">
        <v>6984</v>
      </c>
      <c r="GYV9" t="s">
        <v>6984</v>
      </c>
      <c r="GYW9" t="s">
        <v>6984</v>
      </c>
      <c r="GYX9" t="s">
        <v>6984</v>
      </c>
      <c r="GYY9" t="s">
        <v>6984</v>
      </c>
      <c r="GYZ9" t="s">
        <v>6984</v>
      </c>
      <c r="GZA9" t="s">
        <v>6984</v>
      </c>
      <c r="GZB9" t="s">
        <v>6984</v>
      </c>
      <c r="GZC9" t="s">
        <v>6984</v>
      </c>
      <c r="GZD9" t="s">
        <v>6984</v>
      </c>
      <c r="GZE9" t="s">
        <v>6984</v>
      </c>
      <c r="GZF9" t="s">
        <v>6984</v>
      </c>
      <c r="GZG9" t="s">
        <v>6984</v>
      </c>
      <c r="GZH9" t="s">
        <v>6984</v>
      </c>
      <c r="GZI9" t="s">
        <v>6984</v>
      </c>
      <c r="GZJ9" t="s">
        <v>6984</v>
      </c>
      <c r="GZK9" t="s">
        <v>6984</v>
      </c>
      <c r="GZL9" t="s">
        <v>6984</v>
      </c>
      <c r="GZM9" t="s">
        <v>6984</v>
      </c>
      <c r="GZN9" t="s">
        <v>6984</v>
      </c>
      <c r="GZO9" t="s">
        <v>6984</v>
      </c>
      <c r="GZP9" t="s">
        <v>6984</v>
      </c>
      <c r="GZQ9" t="s">
        <v>6984</v>
      </c>
      <c r="GZR9" t="s">
        <v>6984</v>
      </c>
      <c r="GZS9" t="s">
        <v>6984</v>
      </c>
      <c r="GZT9" t="s">
        <v>6984</v>
      </c>
      <c r="GZU9" t="s">
        <v>6984</v>
      </c>
      <c r="GZV9" t="s">
        <v>6984</v>
      </c>
      <c r="GZW9" t="s">
        <v>6984</v>
      </c>
      <c r="GZX9" t="s">
        <v>6984</v>
      </c>
      <c r="GZY9" t="s">
        <v>6984</v>
      </c>
      <c r="GZZ9" t="s">
        <v>6984</v>
      </c>
      <c r="HAA9" t="s">
        <v>6984</v>
      </c>
      <c r="HAB9" t="s">
        <v>6984</v>
      </c>
      <c r="HAC9" t="s">
        <v>6984</v>
      </c>
      <c r="HAD9" t="s">
        <v>6984</v>
      </c>
      <c r="HAE9" t="s">
        <v>6984</v>
      </c>
      <c r="HAF9" t="s">
        <v>6984</v>
      </c>
      <c r="HAG9" t="s">
        <v>6984</v>
      </c>
      <c r="HAH9" t="s">
        <v>6984</v>
      </c>
      <c r="HAI9" t="s">
        <v>6984</v>
      </c>
      <c r="HAJ9" t="s">
        <v>6984</v>
      </c>
      <c r="HAK9" t="s">
        <v>6984</v>
      </c>
      <c r="HAL9" t="s">
        <v>6984</v>
      </c>
      <c r="HAM9" t="s">
        <v>6984</v>
      </c>
      <c r="HAN9" t="s">
        <v>6984</v>
      </c>
      <c r="HAO9" t="s">
        <v>6984</v>
      </c>
      <c r="HAP9" t="s">
        <v>6984</v>
      </c>
      <c r="HAQ9" t="s">
        <v>6984</v>
      </c>
      <c r="HAR9" t="s">
        <v>6984</v>
      </c>
      <c r="HAS9" t="s">
        <v>6984</v>
      </c>
      <c r="HAT9" t="s">
        <v>6984</v>
      </c>
      <c r="HAU9" t="s">
        <v>6984</v>
      </c>
      <c r="HAV9" t="s">
        <v>6984</v>
      </c>
      <c r="HAW9" t="s">
        <v>6984</v>
      </c>
      <c r="HAX9" t="s">
        <v>6984</v>
      </c>
      <c r="HAY9" t="s">
        <v>6984</v>
      </c>
      <c r="HAZ9" t="s">
        <v>6984</v>
      </c>
      <c r="HBA9" t="s">
        <v>6984</v>
      </c>
      <c r="HBB9" t="s">
        <v>6984</v>
      </c>
      <c r="HBC9" t="s">
        <v>6984</v>
      </c>
      <c r="HBD9" t="s">
        <v>6984</v>
      </c>
      <c r="HBE9" t="s">
        <v>6984</v>
      </c>
      <c r="HBF9" t="s">
        <v>6984</v>
      </c>
      <c r="HBG9" t="s">
        <v>6984</v>
      </c>
      <c r="HBH9" t="s">
        <v>6984</v>
      </c>
      <c r="HBI9" t="s">
        <v>6984</v>
      </c>
      <c r="HBJ9" t="s">
        <v>6984</v>
      </c>
      <c r="HBK9" t="s">
        <v>6984</v>
      </c>
      <c r="HBL9" t="s">
        <v>6984</v>
      </c>
      <c r="HBM9" t="s">
        <v>6984</v>
      </c>
      <c r="HBN9" t="s">
        <v>6984</v>
      </c>
      <c r="HBO9" t="s">
        <v>6984</v>
      </c>
      <c r="HBP9" t="s">
        <v>6984</v>
      </c>
      <c r="HBQ9" t="s">
        <v>6984</v>
      </c>
      <c r="HBR9" t="s">
        <v>6984</v>
      </c>
      <c r="HBS9" t="s">
        <v>6984</v>
      </c>
      <c r="HBT9" t="s">
        <v>6984</v>
      </c>
      <c r="HBU9" t="s">
        <v>6984</v>
      </c>
      <c r="HBV9" t="s">
        <v>6984</v>
      </c>
      <c r="HBW9" t="s">
        <v>6984</v>
      </c>
      <c r="HBX9" t="s">
        <v>6984</v>
      </c>
      <c r="HBY9" t="s">
        <v>6984</v>
      </c>
      <c r="HBZ9" t="s">
        <v>6984</v>
      </c>
      <c r="HCA9" t="s">
        <v>6984</v>
      </c>
      <c r="HCB9" t="s">
        <v>6984</v>
      </c>
      <c r="HCC9" t="s">
        <v>6984</v>
      </c>
      <c r="HCD9" t="s">
        <v>6984</v>
      </c>
      <c r="HCE9" t="s">
        <v>6984</v>
      </c>
      <c r="HCF9" t="s">
        <v>6984</v>
      </c>
      <c r="HCG9" t="s">
        <v>6984</v>
      </c>
      <c r="HCH9" t="s">
        <v>6984</v>
      </c>
      <c r="HCI9" t="s">
        <v>6984</v>
      </c>
      <c r="HCJ9" t="s">
        <v>6984</v>
      </c>
      <c r="HCK9" t="s">
        <v>6984</v>
      </c>
      <c r="HCL9" t="s">
        <v>6984</v>
      </c>
      <c r="HCM9" t="s">
        <v>6984</v>
      </c>
      <c r="HCN9" t="s">
        <v>6984</v>
      </c>
      <c r="HCO9" t="s">
        <v>6984</v>
      </c>
      <c r="HCP9" t="s">
        <v>6984</v>
      </c>
      <c r="HCQ9" t="s">
        <v>6984</v>
      </c>
      <c r="HCR9" t="s">
        <v>6984</v>
      </c>
      <c r="HCS9" t="s">
        <v>6984</v>
      </c>
      <c r="HCT9" t="s">
        <v>6984</v>
      </c>
      <c r="HCU9" t="s">
        <v>6984</v>
      </c>
      <c r="HCV9" t="s">
        <v>6984</v>
      </c>
      <c r="HCW9" t="s">
        <v>6984</v>
      </c>
      <c r="HCX9" t="s">
        <v>6984</v>
      </c>
      <c r="HCY9" t="s">
        <v>6984</v>
      </c>
      <c r="HCZ9" t="s">
        <v>6984</v>
      </c>
      <c r="HDA9" t="s">
        <v>6984</v>
      </c>
      <c r="HDB9" t="s">
        <v>6984</v>
      </c>
      <c r="HDC9" t="s">
        <v>6984</v>
      </c>
      <c r="HDD9" t="s">
        <v>6984</v>
      </c>
      <c r="HDE9" t="s">
        <v>6984</v>
      </c>
      <c r="HDF9" t="s">
        <v>6984</v>
      </c>
      <c r="HDG9" t="s">
        <v>6984</v>
      </c>
      <c r="HDH9" t="s">
        <v>6984</v>
      </c>
      <c r="HDI9" t="s">
        <v>6984</v>
      </c>
      <c r="HDJ9" t="s">
        <v>6984</v>
      </c>
      <c r="HDK9" t="s">
        <v>6984</v>
      </c>
      <c r="HDL9" t="s">
        <v>6984</v>
      </c>
      <c r="HDM9" t="s">
        <v>6984</v>
      </c>
      <c r="HDN9" t="s">
        <v>6984</v>
      </c>
      <c r="HDO9" t="s">
        <v>6984</v>
      </c>
      <c r="HDP9" t="s">
        <v>6984</v>
      </c>
      <c r="HDQ9" t="s">
        <v>6984</v>
      </c>
      <c r="HDR9" t="s">
        <v>6984</v>
      </c>
      <c r="HDS9" t="s">
        <v>6984</v>
      </c>
      <c r="HDT9" t="s">
        <v>6984</v>
      </c>
      <c r="HDU9" t="s">
        <v>6984</v>
      </c>
      <c r="HDV9" t="s">
        <v>6984</v>
      </c>
      <c r="HDW9" t="s">
        <v>6984</v>
      </c>
      <c r="HDX9" t="s">
        <v>6984</v>
      </c>
      <c r="HDY9" t="s">
        <v>6984</v>
      </c>
      <c r="HDZ9" t="s">
        <v>6984</v>
      </c>
      <c r="HEA9" t="s">
        <v>6984</v>
      </c>
      <c r="HEB9" t="s">
        <v>6984</v>
      </c>
      <c r="HEC9" t="s">
        <v>6984</v>
      </c>
      <c r="HED9" t="s">
        <v>6984</v>
      </c>
      <c r="HEE9" t="s">
        <v>6984</v>
      </c>
      <c r="HEF9" t="s">
        <v>6984</v>
      </c>
      <c r="HEG9" t="s">
        <v>6984</v>
      </c>
      <c r="HEH9" t="s">
        <v>6984</v>
      </c>
      <c r="HEI9" t="s">
        <v>6984</v>
      </c>
      <c r="HEJ9" t="s">
        <v>6984</v>
      </c>
      <c r="HEK9" t="s">
        <v>6984</v>
      </c>
      <c r="HEL9" t="s">
        <v>6984</v>
      </c>
      <c r="HEM9" t="s">
        <v>6984</v>
      </c>
      <c r="HEN9" t="s">
        <v>6984</v>
      </c>
      <c r="HEO9" t="s">
        <v>6984</v>
      </c>
      <c r="HEP9" t="s">
        <v>6984</v>
      </c>
      <c r="HEQ9" t="s">
        <v>6984</v>
      </c>
      <c r="HER9" t="s">
        <v>6984</v>
      </c>
      <c r="HES9" t="s">
        <v>6984</v>
      </c>
      <c r="HET9" t="s">
        <v>6984</v>
      </c>
      <c r="HEU9" t="s">
        <v>6984</v>
      </c>
      <c r="HEV9" t="s">
        <v>6984</v>
      </c>
      <c r="HEW9" t="s">
        <v>6984</v>
      </c>
      <c r="HEX9" t="s">
        <v>6984</v>
      </c>
      <c r="HEY9" t="s">
        <v>6984</v>
      </c>
      <c r="HEZ9" t="s">
        <v>6984</v>
      </c>
      <c r="HFA9" t="s">
        <v>6984</v>
      </c>
      <c r="HFB9" t="s">
        <v>6984</v>
      </c>
      <c r="HFC9" t="s">
        <v>6984</v>
      </c>
      <c r="HFD9" t="s">
        <v>6984</v>
      </c>
      <c r="HFE9" t="s">
        <v>6984</v>
      </c>
      <c r="HFF9" t="s">
        <v>6984</v>
      </c>
      <c r="HFG9" t="s">
        <v>6984</v>
      </c>
      <c r="HFH9" t="s">
        <v>6984</v>
      </c>
      <c r="HFI9" t="s">
        <v>6984</v>
      </c>
      <c r="HFJ9" t="s">
        <v>6984</v>
      </c>
      <c r="HFK9" t="s">
        <v>6984</v>
      </c>
      <c r="HFL9" t="s">
        <v>6984</v>
      </c>
      <c r="HFM9" t="s">
        <v>6984</v>
      </c>
      <c r="HFN9" t="s">
        <v>6984</v>
      </c>
      <c r="HFO9" t="s">
        <v>6984</v>
      </c>
      <c r="HFP9" t="s">
        <v>6984</v>
      </c>
      <c r="HFQ9" t="s">
        <v>6984</v>
      </c>
      <c r="HFR9" t="s">
        <v>6984</v>
      </c>
      <c r="HFS9" t="s">
        <v>6984</v>
      </c>
      <c r="HFT9" t="s">
        <v>6984</v>
      </c>
      <c r="HFU9" t="s">
        <v>6984</v>
      </c>
      <c r="HFV9" t="s">
        <v>6984</v>
      </c>
      <c r="HFW9" t="s">
        <v>6984</v>
      </c>
      <c r="HFX9" t="s">
        <v>6984</v>
      </c>
      <c r="HFY9" t="s">
        <v>6984</v>
      </c>
      <c r="HFZ9" t="s">
        <v>6984</v>
      </c>
      <c r="HGA9" t="s">
        <v>6984</v>
      </c>
      <c r="HGB9" t="s">
        <v>6984</v>
      </c>
      <c r="HGC9" t="s">
        <v>6984</v>
      </c>
      <c r="HGD9" t="s">
        <v>6984</v>
      </c>
      <c r="HGE9" t="s">
        <v>6984</v>
      </c>
      <c r="HGF9" t="s">
        <v>6984</v>
      </c>
      <c r="HGG9" t="s">
        <v>6984</v>
      </c>
      <c r="HGH9" t="s">
        <v>6984</v>
      </c>
      <c r="HGI9" t="s">
        <v>6984</v>
      </c>
      <c r="HGJ9" t="s">
        <v>6984</v>
      </c>
      <c r="HGK9" t="s">
        <v>6984</v>
      </c>
      <c r="HGL9" t="s">
        <v>6984</v>
      </c>
      <c r="HGM9" t="s">
        <v>6984</v>
      </c>
      <c r="HGN9" t="s">
        <v>6984</v>
      </c>
      <c r="HGO9" t="s">
        <v>6984</v>
      </c>
      <c r="HGP9" t="s">
        <v>6984</v>
      </c>
      <c r="HGQ9" t="s">
        <v>6984</v>
      </c>
      <c r="HGR9" t="s">
        <v>6984</v>
      </c>
      <c r="HGS9" t="s">
        <v>6984</v>
      </c>
      <c r="HGT9" t="s">
        <v>6984</v>
      </c>
      <c r="HGU9" t="s">
        <v>6984</v>
      </c>
      <c r="HGV9" t="s">
        <v>6984</v>
      </c>
      <c r="HGW9" t="s">
        <v>6984</v>
      </c>
      <c r="HGX9" t="s">
        <v>6984</v>
      </c>
      <c r="HGY9" t="s">
        <v>6984</v>
      </c>
      <c r="HGZ9" t="s">
        <v>6984</v>
      </c>
      <c r="HHA9" t="s">
        <v>6984</v>
      </c>
      <c r="HHB9" t="s">
        <v>6984</v>
      </c>
      <c r="HHC9" t="s">
        <v>6984</v>
      </c>
      <c r="HHD9" t="s">
        <v>6984</v>
      </c>
      <c r="HHE9" t="s">
        <v>6984</v>
      </c>
      <c r="HHF9" t="s">
        <v>6984</v>
      </c>
      <c r="HHG9" t="s">
        <v>6984</v>
      </c>
      <c r="HHH9" t="s">
        <v>6984</v>
      </c>
      <c r="HHI9" t="s">
        <v>6984</v>
      </c>
      <c r="HHJ9" t="s">
        <v>6984</v>
      </c>
      <c r="HHK9" t="s">
        <v>6984</v>
      </c>
      <c r="HHL9" t="s">
        <v>6984</v>
      </c>
      <c r="HHM9" t="s">
        <v>6984</v>
      </c>
      <c r="HHN9" t="s">
        <v>6984</v>
      </c>
      <c r="HHO9" t="s">
        <v>6984</v>
      </c>
      <c r="HHP9" t="s">
        <v>6984</v>
      </c>
      <c r="HHQ9" t="s">
        <v>6984</v>
      </c>
      <c r="HHR9" t="s">
        <v>6984</v>
      </c>
      <c r="HHS9" t="s">
        <v>6984</v>
      </c>
      <c r="HHT9" t="s">
        <v>6984</v>
      </c>
      <c r="HHU9" t="s">
        <v>6984</v>
      </c>
      <c r="HHV9" t="s">
        <v>6984</v>
      </c>
      <c r="HHW9" t="s">
        <v>6984</v>
      </c>
      <c r="HHX9" t="s">
        <v>6984</v>
      </c>
      <c r="HHY9" t="s">
        <v>6984</v>
      </c>
      <c r="HHZ9" t="s">
        <v>6984</v>
      </c>
      <c r="HIA9" t="s">
        <v>6984</v>
      </c>
      <c r="HIB9" t="s">
        <v>6984</v>
      </c>
      <c r="HIC9" t="s">
        <v>6984</v>
      </c>
      <c r="HID9" t="s">
        <v>6984</v>
      </c>
      <c r="HIE9" t="s">
        <v>6984</v>
      </c>
      <c r="HIF9" t="s">
        <v>6984</v>
      </c>
      <c r="HIG9" t="s">
        <v>6984</v>
      </c>
      <c r="HIH9" t="s">
        <v>6984</v>
      </c>
      <c r="HII9" t="s">
        <v>6984</v>
      </c>
      <c r="HIJ9" t="s">
        <v>6984</v>
      </c>
      <c r="HIK9" t="s">
        <v>6984</v>
      </c>
      <c r="HIL9" t="s">
        <v>6984</v>
      </c>
      <c r="HIM9" t="s">
        <v>6984</v>
      </c>
      <c r="HIN9" t="s">
        <v>6984</v>
      </c>
      <c r="HIO9" t="s">
        <v>6984</v>
      </c>
      <c r="HIP9" t="s">
        <v>6984</v>
      </c>
      <c r="HIQ9" t="s">
        <v>6984</v>
      </c>
      <c r="HIR9" t="s">
        <v>6984</v>
      </c>
      <c r="HIS9" t="s">
        <v>6984</v>
      </c>
      <c r="HIT9" t="s">
        <v>6984</v>
      </c>
      <c r="HIU9" t="s">
        <v>6984</v>
      </c>
      <c r="HIV9" t="s">
        <v>6984</v>
      </c>
      <c r="HIW9" t="s">
        <v>6984</v>
      </c>
      <c r="HIX9" t="s">
        <v>6984</v>
      </c>
      <c r="HIY9" t="s">
        <v>6984</v>
      </c>
      <c r="HIZ9" t="s">
        <v>6984</v>
      </c>
      <c r="HJA9" t="s">
        <v>6984</v>
      </c>
      <c r="HJB9" t="s">
        <v>6984</v>
      </c>
      <c r="HJC9" t="s">
        <v>6984</v>
      </c>
      <c r="HJD9" t="s">
        <v>6984</v>
      </c>
      <c r="HJE9" t="s">
        <v>6984</v>
      </c>
      <c r="HJF9" t="s">
        <v>6984</v>
      </c>
      <c r="HJG9" t="s">
        <v>6984</v>
      </c>
      <c r="HJH9" t="s">
        <v>6984</v>
      </c>
      <c r="HJI9" t="s">
        <v>6984</v>
      </c>
      <c r="HJJ9" t="s">
        <v>6984</v>
      </c>
      <c r="HJK9" t="s">
        <v>6984</v>
      </c>
      <c r="HJL9" t="s">
        <v>6984</v>
      </c>
      <c r="HJM9" t="s">
        <v>6984</v>
      </c>
      <c r="HJN9" t="s">
        <v>6984</v>
      </c>
      <c r="HJO9" t="s">
        <v>6984</v>
      </c>
      <c r="HJP9" t="s">
        <v>6984</v>
      </c>
      <c r="HJQ9" t="s">
        <v>6984</v>
      </c>
      <c r="HJR9" t="s">
        <v>6984</v>
      </c>
      <c r="HJS9" t="s">
        <v>6984</v>
      </c>
      <c r="HJT9" t="s">
        <v>6984</v>
      </c>
      <c r="HJU9" t="s">
        <v>6984</v>
      </c>
      <c r="HJV9" t="s">
        <v>6984</v>
      </c>
      <c r="HJW9" t="s">
        <v>6984</v>
      </c>
      <c r="HJX9" t="s">
        <v>6984</v>
      </c>
      <c r="HJY9" t="s">
        <v>6984</v>
      </c>
      <c r="HJZ9" t="s">
        <v>6984</v>
      </c>
      <c r="HKA9" t="s">
        <v>6984</v>
      </c>
      <c r="HKB9" t="s">
        <v>6984</v>
      </c>
      <c r="HKC9" t="s">
        <v>6984</v>
      </c>
      <c r="HKD9" t="s">
        <v>6984</v>
      </c>
      <c r="HKE9" t="s">
        <v>6984</v>
      </c>
      <c r="HKF9" t="s">
        <v>6984</v>
      </c>
      <c r="HKG9" t="s">
        <v>6984</v>
      </c>
      <c r="HKH9" t="s">
        <v>6984</v>
      </c>
      <c r="HKI9" t="s">
        <v>6984</v>
      </c>
      <c r="HKJ9" t="s">
        <v>6984</v>
      </c>
      <c r="HKK9" t="s">
        <v>6984</v>
      </c>
      <c r="HKL9" t="s">
        <v>6984</v>
      </c>
      <c r="HKM9" t="s">
        <v>6984</v>
      </c>
      <c r="HKN9" t="s">
        <v>6984</v>
      </c>
      <c r="HKO9" t="s">
        <v>6984</v>
      </c>
      <c r="HKP9" t="s">
        <v>6984</v>
      </c>
      <c r="HKQ9" t="s">
        <v>6984</v>
      </c>
      <c r="HKR9" t="s">
        <v>6984</v>
      </c>
      <c r="HKS9" t="s">
        <v>6984</v>
      </c>
      <c r="HKT9" t="s">
        <v>6984</v>
      </c>
      <c r="HKU9" t="s">
        <v>6984</v>
      </c>
      <c r="HKV9" t="s">
        <v>6984</v>
      </c>
      <c r="HKW9" t="s">
        <v>6984</v>
      </c>
      <c r="HKX9" t="s">
        <v>6984</v>
      </c>
      <c r="HKY9" t="s">
        <v>6984</v>
      </c>
      <c r="HKZ9" t="s">
        <v>6984</v>
      </c>
      <c r="HLA9" t="s">
        <v>6984</v>
      </c>
      <c r="HLB9" t="s">
        <v>6984</v>
      </c>
      <c r="HLC9" t="s">
        <v>6984</v>
      </c>
      <c r="HLD9" t="s">
        <v>6984</v>
      </c>
      <c r="HLE9" t="s">
        <v>6984</v>
      </c>
      <c r="HLF9" t="s">
        <v>6984</v>
      </c>
      <c r="HLG9" t="s">
        <v>6984</v>
      </c>
      <c r="HLH9" t="s">
        <v>6984</v>
      </c>
      <c r="HLI9" t="s">
        <v>6984</v>
      </c>
      <c r="HLJ9" t="s">
        <v>6984</v>
      </c>
      <c r="HLK9" t="s">
        <v>6984</v>
      </c>
      <c r="HLL9" t="s">
        <v>6984</v>
      </c>
      <c r="HLM9" t="s">
        <v>6984</v>
      </c>
      <c r="HLN9" t="s">
        <v>6984</v>
      </c>
      <c r="HLO9" t="s">
        <v>6984</v>
      </c>
      <c r="HLP9" t="s">
        <v>6984</v>
      </c>
      <c r="HLQ9" t="s">
        <v>6984</v>
      </c>
      <c r="HLR9" t="s">
        <v>6984</v>
      </c>
      <c r="HLS9" t="s">
        <v>6984</v>
      </c>
      <c r="HLT9" t="s">
        <v>6984</v>
      </c>
      <c r="HLU9" t="s">
        <v>6984</v>
      </c>
      <c r="HLV9" t="s">
        <v>6984</v>
      </c>
      <c r="HLW9" t="s">
        <v>6984</v>
      </c>
      <c r="HLX9" t="s">
        <v>6984</v>
      </c>
      <c r="HLY9" t="s">
        <v>6984</v>
      </c>
      <c r="HLZ9" t="s">
        <v>6984</v>
      </c>
      <c r="HMA9" t="s">
        <v>6984</v>
      </c>
      <c r="HMB9" t="s">
        <v>6984</v>
      </c>
      <c r="HMC9" t="s">
        <v>6984</v>
      </c>
      <c r="HMD9" t="s">
        <v>6984</v>
      </c>
      <c r="HME9" t="s">
        <v>6984</v>
      </c>
      <c r="HMF9" t="s">
        <v>6984</v>
      </c>
      <c r="HMG9" t="s">
        <v>6984</v>
      </c>
      <c r="HMH9" t="s">
        <v>6984</v>
      </c>
      <c r="HMI9" t="s">
        <v>6984</v>
      </c>
      <c r="HMJ9" t="s">
        <v>6984</v>
      </c>
      <c r="HMK9" t="s">
        <v>6984</v>
      </c>
      <c r="HML9" t="s">
        <v>6984</v>
      </c>
      <c r="HMM9" t="s">
        <v>6984</v>
      </c>
      <c r="HMN9" t="s">
        <v>6984</v>
      </c>
      <c r="HMO9" t="s">
        <v>6984</v>
      </c>
      <c r="HMP9" t="s">
        <v>6984</v>
      </c>
      <c r="HMQ9" t="s">
        <v>6984</v>
      </c>
      <c r="HMR9" t="s">
        <v>6984</v>
      </c>
      <c r="HMS9" t="s">
        <v>6984</v>
      </c>
      <c r="HMT9" t="s">
        <v>6984</v>
      </c>
      <c r="HMU9" t="s">
        <v>6984</v>
      </c>
      <c r="HMV9" t="s">
        <v>6984</v>
      </c>
      <c r="HMW9" t="s">
        <v>6984</v>
      </c>
      <c r="HMX9" t="s">
        <v>6984</v>
      </c>
      <c r="HMY9" t="s">
        <v>6984</v>
      </c>
      <c r="HMZ9" t="s">
        <v>6984</v>
      </c>
      <c r="HNA9" t="s">
        <v>6984</v>
      </c>
      <c r="HNB9" t="s">
        <v>6984</v>
      </c>
      <c r="HNC9" t="s">
        <v>6984</v>
      </c>
      <c r="HND9" t="s">
        <v>6984</v>
      </c>
      <c r="HNE9" t="s">
        <v>6984</v>
      </c>
      <c r="HNF9" t="s">
        <v>6984</v>
      </c>
      <c r="HNG9" t="s">
        <v>6984</v>
      </c>
      <c r="HNH9" t="s">
        <v>6984</v>
      </c>
      <c r="HNI9" t="s">
        <v>6984</v>
      </c>
      <c r="HNJ9" t="s">
        <v>6984</v>
      </c>
      <c r="HNK9" t="s">
        <v>6984</v>
      </c>
      <c r="HNL9" t="s">
        <v>6984</v>
      </c>
      <c r="HNM9" t="s">
        <v>6984</v>
      </c>
      <c r="HNN9" t="s">
        <v>6984</v>
      </c>
      <c r="HNO9" t="s">
        <v>6984</v>
      </c>
      <c r="HNP9" t="s">
        <v>6984</v>
      </c>
      <c r="HNQ9" t="s">
        <v>6984</v>
      </c>
      <c r="HNR9" t="s">
        <v>6984</v>
      </c>
      <c r="HNS9" t="s">
        <v>6984</v>
      </c>
      <c r="HNT9" t="s">
        <v>6984</v>
      </c>
      <c r="HNU9" t="s">
        <v>6984</v>
      </c>
      <c r="HNV9" t="s">
        <v>6984</v>
      </c>
      <c r="HNW9" t="s">
        <v>6984</v>
      </c>
      <c r="HNX9" t="s">
        <v>6984</v>
      </c>
      <c r="HNY9" t="s">
        <v>6984</v>
      </c>
      <c r="HNZ9" t="s">
        <v>6984</v>
      </c>
      <c r="HOA9" t="s">
        <v>6984</v>
      </c>
      <c r="HOB9" t="s">
        <v>6984</v>
      </c>
      <c r="HOC9" t="s">
        <v>6984</v>
      </c>
      <c r="HOD9" t="s">
        <v>6984</v>
      </c>
      <c r="HOE9" t="s">
        <v>6984</v>
      </c>
      <c r="HOF9" t="s">
        <v>6984</v>
      </c>
      <c r="HOG9" t="s">
        <v>6984</v>
      </c>
      <c r="HOH9" t="s">
        <v>6984</v>
      </c>
      <c r="HOI9" t="s">
        <v>6984</v>
      </c>
      <c r="HOJ9" t="s">
        <v>6984</v>
      </c>
      <c r="HOK9" t="s">
        <v>6984</v>
      </c>
      <c r="HOL9" t="s">
        <v>6984</v>
      </c>
      <c r="HOM9" t="s">
        <v>6984</v>
      </c>
      <c r="HON9" t="s">
        <v>6984</v>
      </c>
      <c r="HOO9" t="s">
        <v>6984</v>
      </c>
      <c r="HOP9" t="s">
        <v>6984</v>
      </c>
      <c r="HOQ9" t="s">
        <v>6984</v>
      </c>
      <c r="HOR9" t="s">
        <v>6984</v>
      </c>
      <c r="HOS9" t="s">
        <v>6984</v>
      </c>
      <c r="HOT9" t="s">
        <v>6984</v>
      </c>
      <c r="HOU9" t="s">
        <v>6984</v>
      </c>
      <c r="HOV9" t="s">
        <v>6984</v>
      </c>
      <c r="HOW9" t="s">
        <v>6984</v>
      </c>
      <c r="HOX9" t="s">
        <v>6984</v>
      </c>
      <c r="HOY9" t="s">
        <v>6984</v>
      </c>
      <c r="HOZ9" t="s">
        <v>6984</v>
      </c>
      <c r="HPA9" t="s">
        <v>6984</v>
      </c>
      <c r="HPB9" t="s">
        <v>6984</v>
      </c>
      <c r="HPC9" t="s">
        <v>6984</v>
      </c>
      <c r="HPD9" t="s">
        <v>6984</v>
      </c>
      <c r="HPE9" t="s">
        <v>6984</v>
      </c>
      <c r="HPF9" t="s">
        <v>6984</v>
      </c>
      <c r="HPG9" t="s">
        <v>6984</v>
      </c>
      <c r="HPH9" t="s">
        <v>6984</v>
      </c>
      <c r="HPI9" t="s">
        <v>6984</v>
      </c>
      <c r="HPJ9" t="s">
        <v>6984</v>
      </c>
      <c r="HPK9" t="s">
        <v>6984</v>
      </c>
      <c r="HPL9" t="s">
        <v>6984</v>
      </c>
      <c r="HPM9" t="s">
        <v>6984</v>
      </c>
      <c r="HPN9" t="s">
        <v>6984</v>
      </c>
      <c r="HPO9" t="s">
        <v>6984</v>
      </c>
      <c r="HPP9" t="s">
        <v>6984</v>
      </c>
      <c r="HPQ9" t="s">
        <v>6984</v>
      </c>
      <c r="HPR9" t="s">
        <v>6984</v>
      </c>
      <c r="HPS9" t="s">
        <v>6984</v>
      </c>
      <c r="HPT9" t="s">
        <v>6984</v>
      </c>
      <c r="HPU9" t="s">
        <v>6984</v>
      </c>
      <c r="HPV9" t="s">
        <v>6984</v>
      </c>
      <c r="HPW9" t="s">
        <v>6984</v>
      </c>
      <c r="HPX9" t="s">
        <v>6984</v>
      </c>
      <c r="HPY9" t="s">
        <v>6984</v>
      </c>
      <c r="HPZ9" t="s">
        <v>6984</v>
      </c>
      <c r="HQA9" t="s">
        <v>6984</v>
      </c>
      <c r="HQB9" t="s">
        <v>6984</v>
      </c>
      <c r="HQC9" t="s">
        <v>6984</v>
      </c>
      <c r="HQD9" t="s">
        <v>6984</v>
      </c>
      <c r="HQE9" t="s">
        <v>6984</v>
      </c>
      <c r="HQF9" t="s">
        <v>6984</v>
      </c>
      <c r="HQG9" t="s">
        <v>6984</v>
      </c>
      <c r="HQH9" t="s">
        <v>6984</v>
      </c>
      <c r="HQI9" t="s">
        <v>6984</v>
      </c>
      <c r="HQJ9" t="s">
        <v>6984</v>
      </c>
      <c r="HQK9" t="s">
        <v>6984</v>
      </c>
      <c r="HQL9" t="s">
        <v>6984</v>
      </c>
      <c r="HQM9" t="s">
        <v>6984</v>
      </c>
      <c r="HQN9" t="s">
        <v>6984</v>
      </c>
      <c r="HQO9" t="s">
        <v>6984</v>
      </c>
      <c r="HQP9" t="s">
        <v>6984</v>
      </c>
      <c r="HQQ9" t="s">
        <v>6984</v>
      </c>
      <c r="HQR9" t="s">
        <v>6984</v>
      </c>
      <c r="HQS9" t="s">
        <v>6984</v>
      </c>
      <c r="HQT9" t="s">
        <v>6984</v>
      </c>
      <c r="HQU9" t="s">
        <v>6984</v>
      </c>
      <c r="HQV9" t="s">
        <v>6984</v>
      </c>
      <c r="HQW9" t="s">
        <v>6984</v>
      </c>
      <c r="HQX9" t="s">
        <v>6984</v>
      </c>
      <c r="HQY9" t="s">
        <v>6984</v>
      </c>
      <c r="HQZ9" t="s">
        <v>6984</v>
      </c>
      <c r="HRA9" t="s">
        <v>6984</v>
      </c>
      <c r="HRB9" t="s">
        <v>6984</v>
      </c>
      <c r="HRC9" t="s">
        <v>6984</v>
      </c>
      <c r="HRD9" t="s">
        <v>6984</v>
      </c>
      <c r="HRE9" t="s">
        <v>6984</v>
      </c>
      <c r="HRF9" t="s">
        <v>6984</v>
      </c>
      <c r="HRG9" t="s">
        <v>6984</v>
      </c>
      <c r="HRH9" t="s">
        <v>6984</v>
      </c>
      <c r="HRI9" t="s">
        <v>6984</v>
      </c>
      <c r="HRJ9" t="s">
        <v>6984</v>
      </c>
      <c r="HRK9" t="s">
        <v>6984</v>
      </c>
      <c r="HRL9" t="s">
        <v>6984</v>
      </c>
      <c r="HRM9" t="s">
        <v>6984</v>
      </c>
      <c r="HRN9" t="s">
        <v>6984</v>
      </c>
      <c r="HRO9" t="s">
        <v>6984</v>
      </c>
      <c r="HRP9" t="s">
        <v>6984</v>
      </c>
      <c r="HRQ9" t="s">
        <v>6984</v>
      </c>
      <c r="HRR9" t="s">
        <v>6984</v>
      </c>
      <c r="HRS9" t="s">
        <v>6984</v>
      </c>
      <c r="HRT9" t="s">
        <v>6984</v>
      </c>
      <c r="HRU9" t="s">
        <v>6984</v>
      </c>
      <c r="HRV9" t="s">
        <v>6984</v>
      </c>
      <c r="HRW9" t="s">
        <v>6984</v>
      </c>
      <c r="HRX9" t="s">
        <v>6984</v>
      </c>
      <c r="HRY9" t="s">
        <v>6984</v>
      </c>
      <c r="HRZ9" t="s">
        <v>6984</v>
      </c>
      <c r="HSA9" t="s">
        <v>6984</v>
      </c>
      <c r="HSB9" t="s">
        <v>6984</v>
      </c>
      <c r="HSC9" t="s">
        <v>6984</v>
      </c>
      <c r="HSD9" t="s">
        <v>6984</v>
      </c>
      <c r="HSE9" t="s">
        <v>6984</v>
      </c>
      <c r="HSF9" t="s">
        <v>6984</v>
      </c>
      <c r="HSG9" t="s">
        <v>6984</v>
      </c>
      <c r="HSH9" t="s">
        <v>6984</v>
      </c>
      <c r="HSI9" t="s">
        <v>6984</v>
      </c>
      <c r="HSJ9" t="s">
        <v>6984</v>
      </c>
      <c r="HSK9" t="s">
        <v>6984</v>
      </c>
      <c r="HSL9" t="s">
        <v>6984</v>
      </c>
      <c r="HSM9" t="s">
        <v>6984</v>
      </c>
      <c r="HSN9" t="s">
        <v>6984</v>
      </c>
      <c r="HSO9" t="s">
        <v>6984</v>
      </c>
      <c r="HSP9" t="s">
        <v>6984</v>
      </c>
      <c r="HSQ9" t="s">
        <v>6984</v>
      </c>
      <c r="HSR9" t="s">
        <v>6984</v>
      </c>
      <c r="HSS9" t="s">
        <v>6984</v>
      </c>
      <c r="HST9" t="s">
        <v>6984</v>
      </c>
      <c r="HSU9" t="s">
        <v>6984</v>
      </c>
      <c r="HSV9" t="s">
        <v>6984</v>
      </c>
      <c r="HSW9" t="s">
        <v>6984</v>
      </c>
      <c r="HSX9" t="s">
        <v>6984</v>
      </c>
      <c r="HSY9" t="s">
        <v>6984</v>
      </c>
      <c r="HSZ9" t="s">
        <v>6984</v>
      </c>
      <c r="HTA9" t="s">
        <v>6984</v>
      </c>
      <c r="HTB9" t="s">
        <v>6984</v>
      </c>
      <c r="HTC9" t="s">
        <v>6984</v>
      </c>
      <c r="HTD9" t="s">
        <v>6984</v>
      </c>
      <c r="HTE9" t="s">
        <v>6984</v>
      </c>
      <c r="HTF9" t="s">
        <v>6984</v>
      </c>
      <c r="HTG9" t="s">
        <v>6984</v>
      </c>
      <c r="HTH9" t="s">
        <v>6984</v>
      </c>
      <c r="HTI9" t="s">
        <v>6984</v>
      </c>
      <c r="HTJ9" t="s">
        <v>6984</v>
      </c>
      <c r="HTK9" t="s">
        <v>6984</v>
      </c>
      <c r="HTL9" t="s">
        <v>6984</v>
      </c>
      <c r="HTM9" t="s">
        <v>6984</v>
      </c>
      <c r="HTN9" t="s">
        <v>6984</v>
      </c>
      <c r="HTO9" t="s">
        <v>6984</v>
      </c>
      <c r="HTP9" t="s">
        <v>6984</v>
      </c>
      <c r="HTQ9" t="s">
        <v>6984</v>
      </c>
      <c r="HTR9" t="s">
        <v>6984</v>
      </c>
      <c r="HTS9" t="s">
        <v>6984</v>
      </c>
      <c r="HTT9" t="s">
        <v>6984</v>
      </c>
      <c r="HTU9" t="s">
        <v>6984</v>
      </c>
      <c r="HTV9" t="s">
        <v>6984</v>
      </c>
      <c r="HTW9" t="s">
        <v>6984</v>
      </c>
      <c r="HTX9" t="s">
        <v>6984</v>
      </c>
      <c r="HTY9" t="s">
        <v>6984</v>
      </c>
      <c r="HTZ9" t="s">
        <v>6984</v>
      </c>
      <c r="HUA9" t="s">
        <v>6984</v>
      </c>
      <c r="HUB9" t="s">
        <v>6984</v>
      </c>
      <c r="HUC9" t="s">
        <v>6984</v>
      </c>
      <c r="HUD9" t="s">
        <v>6984</v>
      </c>
      <c r="HUE9" t="s">
        <v>6984</v>
      </c>
      <c r="HUF9" t="s">
        <v>6984</v>
      </c>
      <c r="HUG9" t="s">
        <v>6984</v>
      </c>
      <c r="HUH9" t="s">
        <v>6984</v>
      </c>
      <c r="HUI9" t="s">
        <v>6984</v>
      </c>
      <c r="HUJ9" t="s">
        <v>6984</v>
      </c>
      <c r="HUK9" t="s">
        <v>6984</v>
      </c>
      <c r="HUL9" t="s">
        <v>6984</v>
      </c>
      <c r="HUM9" t="s">
        <v>6984</v>
      </c>
      <c r="HUN9" t="s">
        <v>6984</v>
      </c>
      <c r="HUO9" t="s">
        <v>6984</v>
      </c>
      <c r="HUP9" t="s">
        <v>6984</v>
      </c>
      <c r="HUQ9" t="s">
        <v>6984</v>
      </c>
      <c r="HUR9" t="s">
        <v>6984</v>
      </c>
      <c r="HUS9" t="s">
        <v>6984</v>
      </c>
      <c r="HUT9" t="s">
        <v>6984</v>
      </c>
      <c r="HUU9" t="s">
        <v>6984</v>
      </c>
      <c r="HUV9" t="s">
        <v>6984</v>
      </c>
      <c r="HUW9" t="s">
        <v>6984</v>
      </c>
      <c r="HUX9" t="s">
        <v>6984</v>
      </c>
      <c r="HUY9" t="s">
        <v>6984</v>
      </c>
      <c r="HUZ9" t="s">
        <v>6984</v>
      </c>
      <c r="HVA9" t="s">
        <v>6984</v>
      </c>
      <c r="HVB9" t="s">
        <v>6984</v>
      </c>
      <c r="HVC9" t="s">
        <v>6984</v>
      </c>
      <c r="HVD9" t="s">
        <v>6984</v>
      </c>
      <c r="HVE9" t="s">
        <v>6984</v>
      </c>
      <c r="HVF9" t="s">
        <v>6984</v>
      </c>
      <c r="HVG9" t="s">
        <v>6984</v>
      </c>
      <c r="HVH9" t="s">
        <v>6984</v>
      </c>
      <c r="HVI9" t="s">
        <v>6984</v>
      </c>
      <c r="HVJ9" t="s">
        <v>6984</v>
      </c>
      <c r="HVK9" t="s">
        <v>6984</v>
      </c>
      <c r="HVL9" t="s">
        <v>6984</v>
      </c>
      <c r="HVM9" t="s">
        <v>6984</v>
      </c>
      <c r="HVN9" t="s">
        <v>6984</v>
      </c>
      <c r="HVO9" t="s">
        <v>6984</v>
      </c>
      <c r="HVP9" t="s">
        <v>6984</v>
      </c>
      <c r="HVQ9" t="s">
        <v>6984</v>
      </c>
      <c r="HVR9" t="s">
        <v>6984</v>
      </c>
      <c r="HVS9" t="s">
        <v>6984</v>
      </c>
      <c r="HVT9" t="s">
        <v>6984</v>
      </c>
      <c r="HVU9" t="s">
        <v>6984</v>
      </c>
      <c r="HVV9" t="s">
        <v>6984</v>
      </c>
      <c r="HVW9" t="s">
        <v>6984</v>
      </c>
      <c r="HVX9" t="s">
        <v>6984</v>
      </c>
      <c r="HVY9" t="s">
        <v>6984</v>
      </c>
      <c r="HVZ9" t="s">
        <v>6984</v>
      </c>
      <c r="HWA9" t="s">
        <v>6984</v>
      </c>
      <c r="HWB9" t="s">
        <v>6984</v>
      </c>
      <c r="HWC9" t="s">
        <v>6984</v>
      </c>
      <c r="HWD9" t="s">
        <v>6984</v>
      </c>
      <c r="HWE9" t="s">
        <v>6984</v>
      </c>
      <c r="HWF9" t="s">
        <v>6984</v>
      </c>
      <c r="HWG9" t="s">
        <v>6984</v>
      </c>
      <c r="HWH9" t="s">
        <v>6984</v>
      </c>
      <c r="HWI9" t="s">
        <v>6984</v>
      </c>
      <c r="HWJ9" t="s">
        <v>6984</v>
      </c>
      <c r="HWK9" t="s">
        <v>6984</v>
      </c>
      <c r="HWL9" t="s">
        <v>6984</v>
      </c>
      <c r="HWM9" t="s">
        <v>6984</v>
      </c>
      <c r="HWN9" t="s">
        <v>6984</v>
      </c>
      <c r="HWO9" t="s">
        <v>6984</v>
      </c>
      <c r="HWP9" t="s">
        <v>6984</v>
      </c>
      <c r="HWQ9" t="s">
        <v>6984</v>
      </c>
      <c r="HWR9" t="s">
        <v>6984</v>
      </c>
      <c r="HWS9" t="s">
        <v>6984</v>
      </c>
      <c r="HWT9" t="s">
        <v>6984</v>
      </c>
      <c r="HWU9" t="s">
        <v>6984</v>
      </c>
      <c r="HWV9" t="s">
        <v>6984</v>
      </c>
      <c r="HWW9" t="s">
        <v>6984</v>
      </c>
      <c r="HWX9" t="s">
        <v>6984</v>
      </c>
      <c r="HWY9" t="s">
        <v>6984</v>
      </c>
      <c r="HWZ9" t="s">
        <v>6984</v>
      </c>
      <c r="HXA9" t="s">
        <v>6984</v>
      </c>
      <c r="HXB9" t="s">
        <v>6984</v>
      </c>
      <c r="HXC9" t="s">
        <v>6984</v>
      </c>
      <c r="HXD9" t="s">
        <v>6984</v>
      </c>
      <c r="HXE9" t="s">
        <v>6984</v>
      </c>
      <c r="HXF9" t="s">
        <v>6984</v>
      </c>
      <c r="HXG9" t="s">
        <v>6984</v>
      </c>
      <c r="HXH9" t="s">
        <v>6984</v>
      </c>
      <c r="HXI9" t="s">
        <v>6984</v>
      </c>
      <c r="HXJ9" t="s">
        <v>6984</v>
      </c>
      <c r="HXK9" t="s">
        <v>6984</v>
      </c>
      <c r="HXL9" t="s">
        <v>6984</v>
      </c>
      <c r="HXM9" t="s">
        <v>6984</v>
      </c>
      <c r="HXN9" t="s">
        <v>6984</v>
      </c>
      <c r="HXO9" t="s">
        <v>6984</v>
      </c>
      <c r="HXP9" t="s">
        <v>6984</v>
      </c>
      <c r="HXQ9" t="s">
        <v>6984</v>
      </c>
      <c r="HXR9" t="s">
        <v>6984</v>
      </c>
      <c r="HXS9" t="s">
        <v>6984</v>
      </c>
      <c r="HXT9" t="s">
        <v>6984</v>
      </c>
      <c r="HXU9" t="s">
        <v>6984</v>
      </c>
      <c r="HXV9" t="s">
        <v>6984</v>
      </c>
      <c r="HXW9" t="s">
        <v>6984</v>
      </c>
      <c r="HXX9" t="s">
        <v>6984</v>
      </c>
      <c r="HXY9" t="s">
        <v>6984</v>
      </c>
      <c r="HXZ9" t="s">
        <v>6984</v>
      </c>
      <c r="HYA9" t="s">
        <v>6984</v>
      </c>
      <c r="HYB9" t="s">
        <v>6984</v>
      </c>
      <c r="HYC9" t="s">
        <v>6984</v>
      </c>
      <c r="HYD9" t="s">
        <v>6984</v>
      </c>
      <c r="HYE9" t="s">
        <v>6984</v>
      </c>
      <c r="HYF9" t="s">
        <v>6984</v>
      </c>
      <c r="HYG9" t="s">
        <v>6984</v>
      </c>
      <c r="HYH9" t="s">
        <v>6984</v>
      </c>
      <c r="HYI9" t="s">
        <v>6984</v>
      </c>
      <c r="HYJ9" t="s">
        <v>6984</v>
      </c>
      <c r="HYK9" t="s">
        <v>6984</v>
      </c>
      <c r="HYL9" t="s">
        <v>6984</v>
      </c>
      <c r="HYM9" t="s">
        <v>6984</v>
      </c>
      <c r="HYN9" t="s">
        <v>6984</v>
      </c>
      <c r="HYO9" t="s">
        <v>6984</v>
      </c>
      <c r="HYP9" t="s">
        <v>6984</v>
      </c>
      <c r="HYQ9" t="s">
        <v>6984</v>
      </c>
      <c r="HYR9" t="s">
        <v>6984</v>
      </c>
      <c r="HYS9" t="s">
        <v>6984</v>
      </c>
      <c r="HYT9" t="s">
        <v>6984</v>
      </c>
      <c r="HYU9" t="s">
        <v>6984</v>
      </c>
      <c r="HYV9" t="s">
        <v>6984</v>
      </c>
      <c r="HYW9" t="s">
        <v>6984</v>
      </c>
      <c r="HYX9" t="s">
        <v>6984</v>
      </c>
      <c r="HYY9" t="s">
        <v>6984</v>
      </c>
      <c r="HYZ9" t="s">
        <v>6984</v>
      </c>
      <c r="HZA9" t="s">
        <v>6984</v>
      </c>
      <c r="HZB9" t="s">
        <v>6984</v>
      </c>
      <c r="HZC9" t="s">
        <v>6984</v>
      </c>
      <c r="HZD9" t="s">
        <v>6984</v>
      </c>
      <c r="HZE9" t="s">
        <v>6984</v>
      </c>
      <c r="HZF9" t="s">
        <v>6984</v>
      </c>
      <c r="HZG9" t="s">
        <v>6984</v>
      </c>
      <c r="HZH9" t="s">
        <v>6984</v>
      </c>
      <c r="HZI9" t="s">
        <v>6984</v>
      </c>
      <c r="HZJ9" t="s">
        <v>6984</v>
      </c>
      <c r="HZK9" t="s">
        <v>6984</v>
      </c>
      <c r="HZL9" t="s">
        <v>6984</v>
      </c>
      <c r="HZM9" t="s">
        <v>6984</v>
      </c>
      <c r="HZN9" t="s">
        <v>6984</v>
      </c>
      <c r="HZO9" t="s">
        <v>6984</v>
      </c>
      <c r="HZP9" t="s">
        <v>6984</v>
      </c>
      <c r="HZQ9" t="s">
        <v>6984</v>
      </c>
      <c r="HZR9" t="s">
        <v>6984</v>
      </c>
      <c r="HZS9" t="s">
        <v>6984</v>
      </c>
      <c r="HZT9" t="s">
        <v>6984</v>
      </c>
      <c r="HZU9" t="s">
        <v>6984</v>
      </c>
      <c r="HZV9" t="s">
        <v>6984</v>
      </c>
      <c r="HZW9" t="s">
        <v>6984</v>
      </c>
      <c r="HZX9" t="s">
        <v>6984</v>
      </c>
      <c r="HZY9" t="s">
        <v>6984</v>
      </c>
      <c r="HZZ9" t="s">
        <v>6984</v>
      </c>
      <c r="IAA9" t="s">
        <v>6984</v>
      </c>
      <c r="IAB9" t="s">
        <v>6984</v>
      </c>
      <c r="IAC9" t="s">
        <v>6984</v>
      </c>
      <c r="IAD9" t="s">
        <v>6984</v>
      </c>
      <c r="IAE9" t="s">
        <v>6984</v>
      </c>
      <c r="IAF9" t="s">
        <v>6984</v>
      </c>
      <c r="IAG9" t="s">
        <v>6984</v>
      </c>
      <c r="IAH9" t="s">
        <v>6984</v>
      </c>
      <c r="IAI9" t="s">
        <v>6984</v>
      </c>
      <c r="IAJ9" t="s">
        <v>6984</v>
      </c>
      <c r="IAK9" t="s">
        <v>6984</v>
      </c>
      <c r="IAL9" t="s">
        <v>6984</v>
      </c>
      <c r="IAM9" t="s">
        <v>6984</v>
      </c>
      <c r="IAN9" t="s">
        <v>6984</v>
      </c>
      <c r="IAO9" t="s">
        <v>6984</v>
      </c>
      <c r="IAP9" t="s">
        <v>6984</v>
      </c>
      <c r="IAQ9" t="s">
        <v>6984</v>
      </c>
      <c r="IAR9" t="s">
        <v>6984</v>
      </c>
      <c r="IAS9" t="s">
        <v>6984</v>
      </c>
      <c r="IAT9" t="s">
        <v>6984</v>
      </c>
      <c r="IAU9" t="s">
        <v>6984</v>
      </c>
      <c r="IAV9" t="s">
        <v>6984</v>
      </c>
      <c r="IAW9" t="s">
        <v>6984</v>
      </c>
      <c r="IAX9" t="s">
        <v>6984</v>
      </c>
      <c r="IAY9" t="s">
        <v>6984</v>
      </c>
      <c r="IAZ9" t="s">
        <v>6984</v>
      </c>
      <c r="IBA9" t="s">
        <v>6984</v>
      </c>
      <c r="IBB9" t="s">
        <v>6984</v>
      </c>
      <c r="IBC9" t="s">
        <v>6984</v>
      </c>
      <c r="IBD9" t="s">
        <v>6984</v>
      </c>
      <c r="IBE9" t="s">
        <v>6984</v>
      </c>
      <c r="IBF9" t="s">
        <v>6984</v>
      </c>
      <c r="IBG9" t="s">
        <v>6984</v>
      </c>
      <c r="IBH9" t="s">
        <v>6984</v>
      </c>
      <c r="IBI9" t="s">
        <v>6984</v>
      </c>
      <c r="IBJ9" t="s">
        <v>6984</v>
      </c>
      <c r="IBK9" t="s">
        <v>6984</v>
      </c>
      <c r="IBL9" t="s">
        <v>6984</v>
      </c>
      <c r="IBM9" t="s">
        <v>6984</v>
      </c>
      <c r="IBN9" t="s">
        <v>6984</v>
      </c>
      <c r="IBO9" t="s">
        <v>6984</v>
      </c>
      <c r="IBP9" t="s">
        <v>6984</v>
      </c>
      <c r="IBQ9" t="s">
        <v>6984</v>
      </c>
      <c r="IBR9" t="s">
        <v>6984</v>
      </c>
      <c r="IBS9" t="s">
        <v>6984</v>
      </c>
      <c r="IBT9" t="s">
        <v>6984</v>
      </c>
      <c r="IBU9" t="s">
        <v>6984</v>
      </c>
      <c r="IBV9" t="s">
        <v>6984</v>
      </c>
      <c r="IBW9" t="s">
        <v>6984</v>
      </c>
      <c r="IBX9" t="s">
        <v>6984</v>
      </c>
      <c r="IBY9" t="s">
        <v>6984</v>
      </c>
      <c r="IBZ9" t="s">
        <v>6984</v>
      </c>
      <c r="ICA9" t="s">
        <v>6984</v>
      </c>
      <c r="ICB9" t="s">
        <v>6984</v>
      </c>
      <c r="ICC9" t="s">
        <v>6984</v>
      </c>
      <c r="ICD9" t="s">
        <v>6984</v>
      </c>
      <c r="ICE9" t="s">
        <v>6984</v>
      </c>
      <c r="ICF9" t="s">
        <v>6984</v>
      </c>
      <c r="ICG9" t="s">
        <v>6984</v>
      </c>
      <c r="ICH9" t="s">
        <v>6984</v>
      </c>
      <c r="ICI9" t="s">
        <v>6984</v>
      </c>
      <c r="ICJ9" t="s">
        <v>6984</v>
      </c>
      <c r="ICK9" t="s">
        <v>6984</v>
      </c>
      <c r="ICL9" t="s">
        <v>6984</v>
      </c>
      <c r="ICM9" t="s">
        <v>6984</v>
      </c>
      <c r="ICN9" t="s">
        <v>6984</v>
      </c>
      <c r="ICO9" t="s">
        <v>6984</v>
      </c>
      <c r="ICP9" t="s">
        <v>6984</v>
      </c>
      <c r="ICQ9" t="s">
        <v>6984</v>
      </c>
      <c r="ICR9" t="s">
        <v>6984</v>
      </c>
      <c r="ICS9" t="s">
        <v>6984</v>
      </c>
      <c r="ICT9" t="s">
        <v>6984</v>
      </c>
      <c r="ICU9" t="s">
        <v>6984</v>
      </c>
      <c r="ICV9" t="s">
        <v>6984</v>
      </c>
      <c r="ICW9" t="s">
        <v>6984</v>
      </c>
      <c r="ICX9" t="s">
        <v>6984</v>
      </c>
      <c r="ICY9" t="s">
        <v>6984</v>
      </c>
      <c r="ICZ9" t="s">
        <v>6984</v>
      </c>
      <c r="IDA9" t="s">
        <v>6984</v>
      </c>
      <c r="IDB9" t="s">
        <v>6984</v>
      </c>
      <c r="IDC9" t="s">
        <v>6984</v>
      </c>
      <c r="IDD9" t="s">
        <v>6984</v>
      </c>
      <c r="IDE9" t="s">
        <v>6984</v>
      </c>
      <c r="IDF9" t="s">
        <v>6984</v>
      </c>
      <c r="IDG9" t="s">
        <v>6984</v>
      </c>
      <c r="IDH9" t="s">
        <v>6984</v>
      </c>
      <c r="IDI9" t="s">
        <v>6984</v>
      </c>
      <c r="IDJ9" t="s">
        <v>6984</v>
      </c>
      <c r="IDK9" t="s">
        <v>6984</v>
      </c>
      <c r="IDL9" t="s">
        <v>6984</v>
      </c>
      <c r="IDM9" t="s">
        <v>6984</v>
      </c>
      <c r="IDN9" t="s">
        <v>6984</v>
      </c>
      <c r="IDO9" t="s">
        <v>6984</v>
      </c>
      <c r="IDP9" t="s">
        <v>6984</v>
      </c>
      <c r="IDQ9" t="s">
        <v>6984</v>
      </c>
      <c r="IDR9" t="s">
        <v>6984</v>
      </c>
      <c r="IDS9" t="s">
        <v>6984</v>
      </c>
      <c r="IDT9" t="s">
        <v>6984</v>
      </c>
      <c r="IDU9" t="s">
        <v>6984</v>
      </c>
      <c r="IDV9" t="s">
        <v>6984</v>
      </c>
      <c r="IDW9" t="s">
        <v>6984</v>
      </c>
      <c r="IDX9" t="s">
        <v>6984</v>
      </c>
      <c r="IDY9" t="s">
        <v>6984</v>
      </c>
      <c r="IDZ9" t="s">
        <v>6984</v>
      </c>
      <c r="IEA9" t="s">
        <v>6984</v>
      </c>
      <c r="IEB9" t="s">
        <v>6984</v>
      </c>
      <c r="IEC9" t="s">
        <v>6984</v>
      </c>
      <c r="IED9" t="s">
        <v>6984</v>
      </c>
      <c r="IEE9" t="s">
        <v>6984</v>
      </c>
      <c r="IEF9" t="s">
        <v>6984</v>
      </c>
      <c r="IEG9" t="s">
        <v>6984</v>
      </c>
      <c r="IEH9" t="s">
        <v>6984</v>
      </c>
      <c r="IEI9" t="s">
        <v>6984</v>
      </c>
      <c r="IEJ9" t="s">
        <v>6984</v>
      </c>
      <c r="IEK9" t="s">
        <v>6984</v>
      </c>
      <c r="IEL9" t="s">
        <v>6984</v>
      </c>
      <c r="IEM9" t="s">
        <v>6984</v>
      </c>
      <c r="IEN9" t="s">
        <v>6984</v>
      </c>
      <c r="IEO9" t="s">
        <v>6984</v>
      </c>
      <c r="IEP9" t="s">
        <v>6984</v>
      </c>
      <c r="IEQ9" t="s">
        <v>6984</v>
      </c>
      <c r="IER9" t="s">
        <v>6984</v>
      </c>
      <c r="IES9" t="s">
        <v>6984</v>
      </c>
      <c r="IET9" t="s">
        <v>6984</v>
      </c>
      <c r="IEU9" t="s">
        <v>6984</v>
      </c>
      <c r="IEV9" t="s">
        <v>6984</v>
      </c>
      <c r="IEW9" t="s">
        <v>6984</v>
      </c>
      <c r="IEX9" t="s">
        <v>6984</v>
      </c>
      <c r="IEY9" t="s">
        <v>6984</v>
      </c>
      <c r="IEZ9" t="s">
        <v>6984</v>
      </c>
      <c r="IFA9" t="s">
        <v>6984</v>
      </c>
      <c r="IFB9" t="s">
        <v>6984</v>
      </c>
      <c r="IFC9" t="s">
        <v>6984</v>
      </c>
      <c r="IFD9" t="s">
        <v>6984</v>
      </c>
      <c r="IFE9" t="s">
        <v>6984</v>
      </c>
      <c r="IFF9" t="s">
        <v>6984</v>
      </c>
      <c r="IFG9" t="s">
        <v>6984</v>
      </c>
      <c r="IFH9" t="s">
        <v>6984</v>
      </c>
      <c r="IFI9" t="s">
        <v>6984</v>
      </c>
      <c r="IFJ9" t="s">
        <v>6984</v>
      </c>
      <c r="IFK9" t="s">
        <v>6984</v>
      </c>
      <c r="IFL9" t="s">
        <v>6984</v>
      </c>
      <c r="IFM9" t="s">
        <v>6984</v>
      </c>
      <c r="IFN9" t="s">
        <v>6984</v>
      </c>
      <c r="IFO9" t="s">
        <v>6984</v>
      </c>
      <c r="IFP9" t="s">
        <v>6984</v>
      </c>
      <c r="IFQ9" t="s">
        <v>6984</v>
      </c>
      <c r="IFR9" t="s">
        <v>6984</v>
      </c>
      <c r="IFS9" t="s">
        <v>6984</v>
      </c>
      <c r="IFT9" t="s">
        <v>6984</v>
      </c>
      <c r="IFU9" t="s">
        <v>6984</v>
      </c>
      <c r="IFV9" t="s">
        <v>6984</v>
      </c>
      <c r="IFW9" t="s">
        <v>6984</v>
      </c>
      <c r="IFX9" t="s">
        <v>6984</v>
      </c>
      <c r="IFY9" t="s">
        <v>6984</v>
      </c>
      <c r="IFZ9" t="s">
        <v>6984</v>
      </c>
      <c r="IGA9" t="s">
        <v>6984</v>
      </c>
      <c r="IGB9" t="s">
        <v>6984</v>
      </c>
      <c r="IGC9" t="s">
        <v>6984</v>
      </c>
      <c r="IGD9" t="s">
        <v>6984</v>
      </c>
      <c r="IGE9" t="s">
        <v>6984</v>
      </c>
      <c r="IGF9" t="s">
        <v>6984</v>
      </c>
      <c r="IGG9" t="s">
        <v>6984</v>
      </c>
      <c r="IGH9" t="s">
        <v>6984</v>
      </c>
      <c r="IGI9" t="s">
        <v>6984</v>
      </c>
      <c r="IGJ9" t="s">
        <v>6984</v>
      </c>
      <c r="IGK9" t="s">
        <v>6984</v>
      </c>
      <c r="IGL9" t="s">
        <v>6984</v>
      </c>
      <c r="IGM9" t="s">
        <v>6984</v>
      </c>
      <c r="IGN9" t="s">
        <v>6984</v>
      </c>
      <c r="IGO9" t="s">
        <v>6984</v>
      </c>
      <c r="IGP9" t="s">
        <v>6984</v>
      </c>
      <c r="IGQ9" t="s">
        <v>6984</v>
      </c>
      <c r="IGR9" t="s">
        <v>6984</v>
      </c>
      <c r="IGS9" t="s">
        <v>6984</v>
      </c>
      <c r="IGT9" t="s">
        <v>6984</v>
      </c>
      <c r="IGU9" t="s">
        <v>6984</v>
      </c>
      <c r="IGV9" t="s">
        <v>6984</v>
      </c>
      <c r="IGW9" t="s">
        <v>6984</v>
      </c>
      <c r="IGX9" t="s">
        <v>6984</v>
      </c>
      <c r="IGY9" t="s">
        <v>6984</v>
      </c>
      <c r="IGZ9" t="s">
        <v>6984</v>
      </c>
      <c r="IHA9" t="s">
        <v>6984</v>
      </c>
      <c r="IHB9" t="s">
        <v>6984</v>
      </c>
      <c r="IHC9" t="s">
        <v>6984</v>
      </c>
      <c r="IHD9" t="s">
        <v>6984</v>
      </c>
      <c r="IHE9" t="s">
        <v>6984</v>
      </c>
      <c r="IHF9" t="s">
        <v>6984</v>
      </c>
      <c r="IHG9" t="s">
        <v>6984</v>
      </c>
      <c r="IHH9" t="s">
        <v>6984</v>
      </c>
      <c r="IHI9" t="s">
        <v>6984</v>
      </c>
      <c r="IHJ9" t="s">
        <v>6984</v>
      </c>
      <c r="IHK9" t="s">
        <v>6984</v>
      </c>
      <c r="IHL9" t="s">
        <v>6984</v>
      </c>
      <c r="IHM9" t="s">
        <v>6984</v>
      </c>
      <c r="IHN9" t="s">
        <v>6984</v>
      </c>
      <c r="IHO9" t="s">
        <v>6984</v>
      </c>
      <c r="IHP9" t="s">
        <v>6984</v>
      </c>
      <c r="IHQ9" t="s">
        <v>6984</v>
      </c>
      <c r="IHR9" t="s">
        <v>6984</v>
      </c>
      <c r="IHS9" t="s">
        <v>6984</v>
      </c>
      <c r="IHT9" t="s">
        <v>6984</v>
      </c>
      <c r="IHU9" t="s">
        <v>6984</v>
      </c>
      <c r="IHV9" t="s">
        <v>6984</v>
      </c>
      <c r="IHW9" t="s">
        <v>6984</v>
      </c>
      <c r="IHX9" t="s">
        <v>6984</v>
      </c>
      <c r="IHY9" t="s">
        <v>6984</v>
      </c>
      <c r="IHZ9" t="s">
        <v>6984</v>
      </c>
      <c r="IIA9" t="s">
        <v>6984</v>
      </c>
      <c r="IIB9" t="s">
        <v>6984</v>
      </c>
      <c r="IIC9" t="s">
        <v>6984</v>
      </c>
      <c r="IID9" t="s">
        <v>6984</v>
      </c>
      <c r="IIE9" t="s">
        <v>6984</v>
      </c>
      <c r="IIF9" t="s">
        <v>6984</v>
      </c>
      <c r="IIG9" t="s">
        <v>6984</v>
      </c>
      <c r="IIH9" t="s">
        <v>6984</v>
      </c>
      <c r="III9" t="s">
        <v>6984</v>
      </c>
      <c r="IIJ9" t="s">
        <v>6984</v>
      </c>
      <c r="IIK9" t="s">
        <v>6984</v>
      </c>
      <c r="IIL9" t="s">
        <v>6984</v>
      </c>
      <c r="IIM9" t="s">
        <v>6984</v>
      </c>
      <c r="IIN9" t="s">
        <v>6984</v>
      </c>
      <c r="IIO9" t="s">
        <v>6984</v>
      </c>
      <c r="IIP9" t="s">
        <v>6984</v>
      </c>
      <c r="IIQ9" t="s">
        <v>6984</v>
      </c>
      <c r="IIR9" t="s">
        <v>6984</v>
      </c>
      <c r="IIS9" t="s">
        <v>6984</v>
      </c>
      <c r="IIT9" t="s">
        <v>6984</v>
      </c>
      <c r="IIU9" t="s">
        <v>6984</v>
      </c>
      <c r="IIV9" t="s">
        <v>6984</v>
      </c>
      <c r="IIW9" t="s">
        <v>6984</v>
      </c>
      <c r="IIX9" t="s">
        <v>6984</v>
      </c>
      <c r="IIY9" t="s">
        <v>6984</v>
      </c>
      <c r="IIZ9" t="s">
        <v>6984</v>
      </c>
      <c r="IJA9" t="s">
        <v>6984</v>
      </c>
      <c r="IJB9" t="s">
        <v>6984</v>
      </c>
      <c r="IJC9" t="s">
        <v>6984</v>
      </c>
      <c r="IJD9" t="s">
        <v>6984</v>
      </c>
      <c r="IJE9" t="s">
        <v>6984</v>
      </c>
      <c r="IJF9" t="s">
        <v>6984</v>
      </c>
      <c r="IJG9" t="s">
        <v>6984</v>
      </c>
      <c r="IJH9" t="s">
        <v>6984</v>
      </c>
      <c r="IJI9" t="s">
        <v>6984</v>
      </c>
      <c r="IJJ9" t="s">
        <v>6984</v>
      </c>
      <c r="IJK9" t="s">
        <v>6984</v>
      </c>
      <c r="IJL9" t="s">
        <v>6984</v>
      </c>
      <c r="IJM9" t="s">
        <v>6984</v>
      </c>
      <c r="IJN9" t="s">
        <v>6984</v>
      </c>
      <c r="IJO9" t="s">
        <v>6984</v>
      </c>
      <c r="IJP9" t="s">
        <v>6984</v>
      </c>
      <c r="IJQ9" t="s">
        <v>6984</v>
      </c>
      <c r="IJR9" t="s">
        <v>6984</v>
      </c>
      <c r="IJS9" t="s">
        <v>6984</v>
      </c>
      <c r="IJT9" t="s">
        <v>6984</v>
      </c>
      <c r="IJU9" t="s">
        <v>6984</v>
      </c>
      <c r="IJV9" t="s">
        <v>6984</v>
      </c>
      <c r="IJW9" t="s">
        <v>6984</v>
      </c>
      <c r="IJX9" t="s">
        <v>6984</v>
      </c>
      <c r="IJY9" t="s">
        <v>6984</v>
      </c>
      <c r="IJZ9" t="s">
        <v>6984</v>
      </c>
      <c r="IKA9" t="s">
        <v>6984</v>
      </c>
      <c r="IKB9" t="s">
        <v>6984</v>
      </c>
      <c r="IKC9" t="s">
        <v>6984</v>
      </c>
      <c r="IKD9" t="s">
        <v>6984</v>
      </c>
      <c r="IKE9" t="s">
        <v>6984</v>
      </c>
      <c r="IKF9" t="s">
        <v>6984</v>
      </c>
      <c r="IKG9" t="s">
        <v>6984</v>
      </c>
      <c r="IKH9" t="s">
        <v>6984</v>
      </c>
      <c r="IKI9" t="s">
        <v>6984</v>
      </c>
      <c r="IKJ9" t="s">
        <v>6984</v>
      </c>
      <c r="IKK9" t="s">
        <v>6984</v>
      </c>
      <c r="IKL9" t="s">
        <v>6984</v>
      </c>
      <c r="IKM9" t="s">
        <v>6984</v>
      </c>
      <c r="IKN9" t="s">
        <v>6984</v>
      </c>
      <c r="IKO9" t="s">
        <v>6984</v>
      </c>
      <c r="IKP9" t="s">
        <v>6984</v>
      </c>
      <c r="IKQ9" t="s">
        <v>6984</v>
      </c>
      <c r="IKR9" t="s">
        <v>6984</v>
      </c>
      <c r="IKS9" t="s">
        <v>6984</v>
      </c>
      <c r="IKT9" t="s">
        <v>6984</v>
      </c>
      <c r="IKU9" t="s">
        <v>6984</v>
      </c>
      <c r="IKV9" t="s">
        <v>6984</v>
      </c>
      <c r="IKW9" t="s">
        <v>6984</v>
      </c>
      <c r="IKX9" t="s">
        <v>6984</v>
      </c>
      <c r="IKY9" t="s">
        <v>6984</v>
      </c>
      <c r="IKZ9" t="s">
        <v>6984</v>
      </c>
      <c r="ILA9" t="s">
        <v>6984</v>
      </c>
      <c r="ILB9" t="s">
        <v>6984</v>
      </c>
      <c r="ILC9" t="s">
        <v>6984</v>
      </c>
      <c r="ILD9" t="s">
        <v>6984</v>
      </c>
      <c r="ILE9" t="s">
        <v>6984</v>
      </c>
      <c r="ILF9" t="s">
        <v>6984</v>
      </c>
      <c r="ILG9" t="s">
        <v>6984</v>
      </c>
      <c r="ILH9" t="s">
        <v>6984</v>
      </c>
      <c r="ILI9" t="s">
        <v>6984</v>
      </c>
      <c r="ILJ9" t="s">
        <v>6984</v>
      </c>
      <c r="ILK9" t="s">
        <v>6984</v>
      </c>
      <c r="ILL9" t="s">
        <v>6984</v>
      </c>
      <c r="ILM9" t="s">
        <v>6984</v>
      </c>
      <c r="ILN9" t="s">
        <v>6984</v>
      </c>
      <c r="ILO9" t="s">
        <v>6984</v>
      </c>
      <c r="ILP9" t="s">
        <v>6984</v>
      </c>
      <c r="ILQ9" t="s">
        <v>6984</v>
      </c>
      <c r="ILR9" t="s">
        <v>6984</v>
      </c>
      <c r="ILS9" t="s">
        <v>6984</v>
      </c>
      <c r="ILT9" t="s">
        <v>6984</v>
      </c>
      <c r="ILU9" t="s">
        <v>6984</v>
      </c>
      <c r="ILV9" t="s">
        <v>6984</v>
      </c>
      <c r="ILW9" t="s">
        <v>6984</v>
      </c>
      <c r="ILX9" t="s">
        <v>6984</v>
      </c>
      <c r="ILY9" t="s">
        <v>6984</v>
      </c>
      <c r="ILZ9" t="s">
        <v>6984</v>
      </c>
      <c r="IMA9" t="s">
        <v>6984</v>
      </c>
      <c r="IMB9" t="s">
        <v>6984</v>
      </c>
      <c r="IMC9" t="s">
        <v>6984</v>
      </c>
      <c r="IMD9" t="s">
        <v>6984</v>
      </c>
      <c r="IME9" t="s">
        <v>6984</v>
      </c>
      <c r="IMF9" t="s">
        <v>6984</v>
      </c>
      <c r="IMG9" t="s">
        <v>6984</v>
      </c>
      <c r="IMH9" t="s">
        <v>6984</v>
      </c>
      <c r="IMI9" t="s">
        <v>6984</v>
      </c>
      <c r="IMJ9" t="s">
        <v>6984</v>
      </c>
      <c r="IMK9" t="s">
        <v>6984</v>
      </c>
      <c r="IML9" t="s">
        <v>6984</v>
      </c>
      <c r="IMM9" t="s">
        <v>6984</v>
      </c>
      <c r="IMN9" t="s">
        <v>6984</v>
      </c>
      <c r="IMO9" t="s">
        <v>6984</v>
      </c>
      <c r="IMP9" t="s">
        <v>6984</v>
      </c>
      <c r="IMQ9" t="s">
        <v>6984</v>
      </c>
      <c r="IMR9" t="s">
        <v>6984</v>
      </c>
      <c r="IMS9" t="s">
        <v>6984</v>
      </c>
      <c r="IMT9" t="s">
        <v>6984</v>
      </c>
      <c r="IMU9" t="s">
        <v>6984</v>
      </c>
      <c r="IMV9" t="s">
        <v>6984</v>
      </c>
      <c r="IMW9" t="s">
        <v>6984</v>
      </c>
      <c r="IMX9" t="s">
        <v>6984</v>
      </c>
      <c r="IMY9" t="s">
        <v>6984</v>
      </c>
      <c r="IMZ9" t="s">
        <v>6984</v>
      </c>
      <c r="INA9" t="s">
        <v>6984</v>
      </c>
      <c r="INB9" t="s">
        <v>6984</v>
      </c>
      <c r="INC9" t="s">
        <v>6984</v>
      </c>
      <c r="IND9" t="s">
        <v>6984</v>
      </c>
      <c r="INE9" t="s">
        <v>6984</v>
      </c>
      <c r="INF9" t="s">
        <v>6984</v>
      </c>
      <c r="ING9" t="s">
        <v>6984</v>
      </c>
      <c r="INH9" t="s">
        <v>6984</v>
      </c>
      <c r="INI9" t="s">
        <v>6984</v>
      </c>
      <c r="INJ9" t="s">
        <v>6984</v>
      </c>
      <c r="INK9" t="s">
        <v>6984</v>
      </c>
      <c r="INL9" t="s">
        <v>6984</v>
      </c>
      <c r="INM9" t="s">
        <v>6984</v>
      </c>
      <c r="INN9" t="s">
        <v>6984</v>
      </c>
      <c r="INO9" t="s">
        <v>6984</v>
      </c>
      <c r="INP9" t="s">
        <v>6984</v>
      </c>
      <c r="INQ9" t="s">
        <v>6984</v>
      </c>
      <c r="INR9" t="s">
        <v>6984</v>
      </c>
      <c r="INS9" t="s">
        <v>6984</v>
      </c>
      <c r="INT9" t="s">
        <v>6984</v>
      </c>
      <c r="INU9" t="s">
        <v>6984</v>
      </c>
      <c r="INV9" t="s">
        <v>6984</v>
      </c>
      <c r="INW9" t="s">
        <v>6984</v>
      </c>
      <c r="INX9" t="s">
        <v>6984</v>
      </c>
      <c r="INY9" t="s">
        <v>6984</v>
      </c>
      <c r="INZ9" t="s">
        <v>6984</v>
      </c>
      <c r="IOA9" t="s">
        <v>6984</v>
      </c>
      <c r="IOB9" t="s">
        <v>6984</v>
      </c>
      <c r="IOC9" t="s">
        <v>6984</v>
      </c>
      <c r="IOD9" t="s">
        <v>6984</v>
      </c>
      <c r="IOE9" t="s">
        <v>6984</v>
      </c>
      <c r="IOF9" t="s">
        <v>6984</v>
      </c>
      <c r="IOG9" t="s">
        <v>6984</v>
      </c>
      <c r="IOH9" t="s">
        <v>6984</v>
      </c>
      <c r="IOI9" t="s">
        <v>6984</v>
      </c>
      <c r="IOJ9" t="s">
        <v>6984</v>
      </c>
      <c r="IOK9" t="s">
        <v>6984</v>
      </c>
      <c r="IOL9" t="s">
        <v>6984</v>
      </c>
      <c r="IOM9" t="s">
        <v>6984</v>
      </c>
      <c r="ION9" t="s">
        <v>6984</v>
      </c>
      <c r="IOO9" t="s">
        <v>6984</v>
      </c>
      <c r="IOP9" t="s">
        <v>6984</v>
      </c>
      <c r="IOQ9" t="s">
        <v>6984</v>
      </c>
      <c r="IOR9" t="s">
        <v>6984</v>
      </c>
      <c r="IOS9" t="s">
        <v>6984</v>
      </c>
      <c r="IOT9" t="s">
        <v>6984</v>
      </c>
      <c r="IOU9" t="s">
        <v>6984</v>
      </c>
      <c r="IOV9" t="s">
        <v>6984</v>
      </c>
      <c r="IOW9" t="s">
        <v>6984</v>
      </c>
      <c r="IOX9" t="s">
        <v>6984</v>
      </c>
      <c r="IOY9" t="s">
        <v>6984</v>
      </c>
      <c r="IOZ9" t="s">
        <v>6984</v>
      </c>
      <c r="IPA9" t="s">
        <v>6984</v>
      </c>
      <c r="IPB9" t="s">
        <v>6984</v>
      </c>
      <c r="IPC9" t="s">
        <v>6984</v>
      </c>
      <c r="IPD9" t="s">
        <v>6984</v>
      </c>
      <c r="IPE9" t="s">
        <v>6984</v>
      </c>
      <c r="IPF9" t="s">
        <v>6984</v>
      </c>
      <c r="IPG9" t="s">
        <v>6984</v>
      </c>
      <c r="IPH9" t="s">
        <v>6984</v>
      </c>
      <c r="IPI9" t="s">
        <v>6984</v>
      </c>
      <c r="IPJ9" t="s">
        <v>6984</v>
      </c>
      <c r="IPK9" t="s">
        <v>6984</v>
      </c>
      <c r="IPL9" t="s">
        <v>6984</v>
      </c>
      <c r="IPM9" t="s">
        <v>6984</v>
      </c>
      <c r="IPN9" t="s">
        <v>6984</v>
      </c>
      <c r="IPO9" t="s">
        <v>6984</v>
      </c>
      <c r="IPP9" t="s">
        <v>6984</v>
      </c>
      <c r="IPQ9" t="s">
        <v>6984</v>
      </c>
      <c r="IPR9" t="s">
        <v>6984</v>
      </c>
      <c r="IPS9" t="s">
        <v>6984</v>
      </c>
      <c r="IPT9" t="s">
        <v>6984</v>
      </c>
      <c r="IPU9" t="s">
        <v>6984</v>
      </c>
      <c r="IPV9" t="s">
        <v>6984</v>
      </c>
      <c r="IPW9" t="s">
        <v>6984</v>
      </c>
      <c r="IPX9" t="s">
        <v>6984</v>
      </c>
      <c r="IPY9" t="s">
        <v>6984</v>
      </c>
      <c r="IPZ9" t="s">
        <v>6984</v>
      </c>
      <c r="IQA9" t="s">
        <v>6984</v>
      </c>
      <c r="IQB9" t="s">
        <v>6984</v>
      </c>
      <c r="IQC9" t="s">
        <v>6984</v>
      </c>
      <c r="IQD9" t="s">
        <v>6984</v>
      </c>
      <c r="IQE9" t="s">
        <v>6984</v>
      </c>
      <c r="IQF9" t="s">
        <v>6984</v>
      </c>
      <c r="IQG9" t="s">
        <v>6984</v>
      </c>
      <c r="IQH9" t="s">
        <v>6984</v>
      </c>
      <c r="IQI9" t="s">
        <v>6984</v>
      </c>
      <c r="IQJ9" t="s">
        <v>6984</v>
      </c>
      <c r="IQK9" t="s">
        <v>6984</v>
      </c>
      <c r="IQL9" t="s">
        <v>6984</v>
      </c>
      <c r="IQM9" t="s">
        <v>6984</v>
      </c>
      <c r="IQN9" t="s">
        <v>6984</v>
      </c>
      <c r="IQO9" t="s">
        <v>6984</v>
      </c>
      <c r="IQP9" t="s">
        <v>6984</v>
      </c>
      <c r="IQQ9" t="s">
        <v>6984</v>
      </c>
      <c r="IQR9" t="s">
        <v>6984</v>
      </c>
      <c r="IQS9" t="s">
        <v>6984</v>
      </c>
      <c r="IQT9" t="s">
        <v>6984</v>
      </c>
      <c r="IQU9" t="s">
        <v>6984</v>
      </c>
      <c r="IQV9" t="s">
        <v>6984</v>
      </c>
      <c r="IQW9" t="s">
        <v>6984</v>
      </c>
      <c r="IQX9" t="s">
        <v>6984</v>
      </c>
      <c r="IQY9" t="s">
        <v>6984</v>
      </c>
      <c r="IQZ9" t="s">
        <v>6984</v>
      </c>
      <c r="IRA9" t="s">
        <v>6984</v>
      </c>
      <c r="IRB9" t="s">
        <v>6984</v>
      </c>
      <c r="IRC9" t="s">
        <v>6984</v>
      </c>
      <c r="IRD9" t="s">
        <v>6984</v>
      </c>
      <c r="IRE9" t="s">
        <v>6984</v>
      </c>
      <c r="IRF9" t="s">
        <v>6984</v>
      </c>
      <c r="IRG9" t="s">
        <v>6984</v>
      </c>
      <c r="IRH9" t="s">
        <v>6984</v>
      </c>
      <c r="IRI9" t="s">
        <v>6984</v>
      </c>
      <c r="IRJ9" t="s">
        <v>6984</v>
      </c>
      <c r="IRK9" t="s">
        <v>6984</v>
      </c>
      <c r="IRL9" t="s">
        <v>6984</v>
      </c>
      <c r="IRM9" t="s">
        <v>6984</v>
      </c>
      <c r="IRN9" t="s">
        <v>6984</v>
      </c>
      <c r="IRO9" t="s">
        <v>6984</v>
      </c>
      <c r="IRP9" t="s">
        <v>6984</v>
      </c>
      <c r="IRQ9" t="s">
        <v>6984</v>
      </c>
      <c r="IRR9" t="s">
        <v>6984</v>
      </c>
      <c r="IRS9" t="s">
        <v>6984</v>
      </c>
      <c r="IRT9" t="s">
        <v>6984</v>
      </c>
      <c r="IRU9" t="s">
        <v>6984</v>
      </c>
      <c r="IRV9" t="s">
        <v>6984</v>
      </c>
      <c r="IRW9" t="s">
        <v>6984</v>
      </c>
      <c r="IRX9" t="s">
        <v>6984</v>
      </c>
      <c r="IRY9" t="s">
        <v>6984</v>
      </c>
      <c r="IRZ9" t="s">
        <v>6984</v>
      </c>
      <c r="ISA9" t="s">
        <v>6984</v>
      </c>
      <c r="ISB9" t="s">
        <v>6984</v>
      </c>
      <c r="ISC9" t="s">
        <v>6984</v>
      </c>
      <c r="ISD9" t="s">
        <v>6984</v>
      </c>
      <c r="ISE9" t="s">
        <v>6984</v>
      </c>
      <c r="ISF9" t="s">
        <v>6984</v>
      </c>
      <c r="ISG9" t="s">
        <v>6984</v>
      </c>
      <c r="ISH9" t="s">
        <v>6984</v>
      </c>
      <c r="ISI9" t="s">
        <v>6984</v>
      </c>
      <c r="ISJ9" t="s">
        <v>6984</v>
      </c>
      <c r="ISK9" t="s">
        <v>6984</v>
      </c>
      <c r="ISL9" t="s">
        <v>6984</v>
      </c>
      <c r="ISM9" t="s">
        <v>6984</v>
      </c>
      <c r="ISN9" t="s">
        <v>6984</v>
      </c>
      <c r="ISO9" t="s">
        <v>6984</v>
      </c>
      <c r="ISP9" t="s">
        <v>6984</v>
      </c>
      <c r="ISQ9" t="s">
        <v>6984</v>
      </c>
      <c r="ISR9" t="s">
        <v>6984</v>
      </c>
      <c r="ISS9" t="s">
        <v>6984</v>
      </c>
      <c r="IST9" t="s">
        <v>6984</v>
      </c>
      <c r="ISU9" t="s">
        <v>6984</v>
      </c>
      <c r="ISV9" t="s">
        <v>6984</v>
      </c>
      <c r="ISW9" t="s">
        <v>6984</v>
      </c>
      <c r="ISX9" t="s">
        <v>6984</v>
      </c>
      <c r="ISY9" t="s">
        <v>6984</v>
      </c>
      <c r="ISZ9" t="s">
        <v>6984</v>
      </c>
      <c r="ITA9" t="s">
        <v>6984</v>
      </c>
      <c r="ITB9" t="s">
        <v>6984</v>
      </c>
      <c r="ITC9" t="s">
        <v>6984</v>
      </c>
      <c r="ITD9" t="s">
        <v>6984</v>
      </c>
      <c r="ITE9" t="s">
        <v>6984</v>
      </c>
      <c r="ITF9" t="s">
        <v>6984</v>
      </c>
      <c r="ITG9" t="s">
        <v>6984</v>
      </c>
      <c r="ITH9" t="s">
        <v>6984</v>
      </c>
      <c r="ITI9" t="s">
        <v>6984</v>
      </c>
      <c r="ITJ9" t="s">
        <v>6984</v>
      </c>
      <c r="ITK9" t="s">
        <v>6984</v>
      </c>
      <c r="ITL9" t="s">
        <v>6984</v>
      </c>
      <c r="ITM9" t="s">
        <v>6984</v>
      </c>
      <c r="ITN9" t="s">
        <v>6984</v>
      </c>
      <c r="ITO9" t="s">
        <v>6984</v>
      </c>
      <c r="ITP9" t="s">
        <v>6984</v>
      </c>
      <c r="ITQ9" t="s">
        <v>6984</v>
      </c>
      <c r="ITR9" t="s">
        <v>6984</v>
      </c>
      <c r="ITS9" t="s">
        <v>6984</v>
      </c>
      <c r="ITT9" t="s">
        <v>6984</v>
      </c>
      <c r="ITU9" t="s">
        <v>6984</v>
      </c>
      <c r="ITV9" t="s">
        <v>6984</v>
      </c>
      <c r="ITW9" t="s">
        <v>6984</v>
      </c>
      <c r="ITX9" t="s">
        <v>6984</v>
      </c>
      <c r="ITY9" t="s">
        <v>6984</v>
      </c>
      <c r="ITZ9" t="s">
        <v>6984</v>
      </c>
      <c r="IUA9" t="s">
        <v>6984</v>
      </c>
      <c r="IUB9" t="s">
        <v>6984</v>
      </c>
      <c r="IUC9" t="s">
        <v>6984</v>
      </c>
      <c r="IUD9" t="s">
        <v>6984</v>
      </c>
      <c r="IUE9" t="s">
        <v>6984</v>
      </c>
      <c r="IUF9" t="s">
        <v>6984</v>
      </c>
      <c r="IUG9" t="s">
        <v>6984</v>
      </c>
      <c r="IUH9" t="s">
        <v>6984</v>
      </c>
      <c r="IUI9" t="s">
        <v>6984</v>
      </c>
      <c r="IUJ9" t="s">
        <v>6984</v>
      </c>
      <c r="IUK9" t="s">
        <v>6984</v>
      </c>
      <c r="IUL9" t="s">
        <v>6984</v>
      </c>
      <c r="IUM9" t="s">
        <v>6984</v>
      </c>
      <c r="IUN9" t="s">
        <v>6984</v>
      </c>
      <c r="IUO9" t="s">
        <v>6984</v>
      </c>
      <c r="IUP9" t="s">
        <v>6984</v>
      </c>
      <c r="IUQ9" t="s">
        <v>6984</v>
      </c>
      <c r="IUR9" t="s">
        <v>6984</v>
      </c>
      <c r="IUS9" t="s">
        <v>6984</v>
      </c>
      <c r="IUT9" t="s">
        <v>6984</v>
      </c>
      <c r="IUU9" t="s">
        <v>6984</v>
      </c>
      <c r="IUV9" t="s">
        <v>6984</v>
      </c>
      <c r="IUW9" t="s">
        <v>6984</v>
      </c>
      <c r="IUX9" t="s">
        <v>6984</v>
      </c>
      <c r="IUY9" t="s">
        <v>6984</v>
      </c>
      <c r="IUZ9" t="s">
        <v>6984</v>
      </c>
      <c r="IVA9" t="s">
        <v>6984</v>
      </c>
      <c r="IVB9" t="s">
        <v>6984</v>
      </c>
      <c r="IVC9" t="s">
        <v>6984</v>
      </c>
      <c r="IVD9" t="s">
        <v>6984</v>
      </c>
      <c r="IVE9" t="s">
        <v>6984</v>
      </c>
      <c r="IVF9" t="s">
        <v>6984</v>
      </c>
      <c r="IVG9" t="s">
        <v>6984</v>
      </c>
      <c r="IVH9" t="s">
        <v>6984</v>
      </c>
      <c r="IVI9" t="s">
        <v>6984</v>
      </c>
      <c r="IVJ9" t="s">
        <v>6984</v>
      </c>
      <c r="IVK9" t="s">
        <v>6984</v>
      </c>
      <c r="IVL9" t="s">
        <v>6984</v>
      </c>
      <c r="IVM9" t="s">
        <v>6984</v>
      </c>
      <c r="IVN9" t="s">
        <v>6984</v>
      </c>
      <c r="IVO9" t="s">
        <v>6984</v>
      </c>
      <c r="IVP9" t="s">
        <v>6984</v>
      </c>
      <c r="IVQ9" t="s">
        <v>6984</v>
      </c>
      <c r="IVR9" t="s">
        <v>6984</v>
      </c>
      <c r="IVS9" t="s">
        <v>6984</v>
      </c>
      <c r="IVT9" t="s">
        <v>6984</v>
      </c>
      <c r="IVU9" t="s">
        <v>6984</v>
      </c>
      <c r="IVV9" t="s">
        <v>6984</v>
      </c>
      <c r="IVW9" t="s">
        <v>6984</v>
      </c>
      <c r="IVX9" t="s">
        <v>6984</v>
      </c>
      <c r="IVY9" t="s">
        <v>6984</v>
      </c>
      <c r="IVZ9" t="s">
        <v>6984</v>
      </c>
      <c r="IWA9" t="s">
        <v>6984</v>
      </c>
      <c r="IWB9" t="s">
        <v>6984</v>
      </c>
      <c r="IWC9" t="s">
        <v>6984</v>
      </c>
      <c r="IWD9" t="s">
        <v>6984</v>
      </c>
      <c r="IWE9" t="s">
        <v>6984</v>
      </c>
      <c r="IWF9" t="s">
        <v>6984</v>
      </c>
      <c r="IWG9" t="s">
        <v>6984</v>
      </c>
      <c r="IWH9" t="s">
        <v>6984</v>
      </c>
      <c r="IWI9" t="s">
        <v>6984</v>
      </c>
      <c r="IWJ9" t="s">
        <v>6984</v>
      </c>
      <c r="IWK9" t="s">
        <v>6984</v>
      </c>
      <c r="IWL9" t="s">
        <v>6984</v>
      </c>
      <c r="IWM9" t="s">
        <v>6984</v>
      </c>
      <c r="IWN9" t="s">
        <v>6984</v>
      </c>
      <c r="IWO9" t="s">
        <v>6984</v>
      </c>
      <c r="IWP9" t="s">
        <v>6984</v>
      </c>
      <c r="IWQ9" t="s">
        <v>6984</v>
      </c>
      <c r="IWR9" t="s">
        <v>6984</v>
      </c>
      <c r="IWS9" t="s">
        <v>6984</v>
      </c>
      <c r="IWT9" t="s">
        <v>6984</v>
      </c>
      <c r="IWU9" t="s">
        <v>6984</v>
      </c>
      <c r="IWV9" t="s">
        <v>6984</v>
      </c>
      <c r="IWW9" t="s">
        <v>6984</v>
      </c>
      <c r="IWX9" t="s">
        <v>6984</v>
      </c>
      <c r="IWY9" t="s">
        <v>6984</v>
      </c>
      <c r="IWZ9" t="s">
        <v>6984</v>
      </c>
      <c r="IXA9" t="s">
        <v>6984</v>
      </c>
      <c r="IXB9" t="s">
        <v>6984</v>
      </c>
      <c r="IXC9" t="s">
        <v>6984</v>
      </c>
      <c r="IXD9" t="s">
        <v>6984</v>
      </c>
      <c r="IXE9" t="s">
        <v>6984</v>
      </c>
      <c r="IXF9" t="s">
        <v>6984</v>
      </c>
      <c r="IXG9" t="s">
        <v>6984</v>
      </c>
      <c r="IXH9" t="s">
        <v>6984</v>
      </c>
      <c r="IXI9" t="s">
        <v>6984</v>
      </c>
      <c r="IXJ9" t="s">
        <v>6984</v>
      </c>
      <c r="IXK9" t="s">
        <v>6984</v>
      </c>
      <c r="IXL9" t="s">
        <v>6984</v>
      </c>
      <c r="IXM9" t="s">
        <v>6984</v>
      </c>
      <c r="IXN9" t="s">
        <v>6984</v>
      </c>
      <c r="IXO9" t="s">
        <v>6984</v>
      </c>
      <c r="IXP9" t="s">
        <v>6984</v>
      </c>
      <c r="IXQ9" t="s">
        <v>6984</v>
      </c>
      <c r="IXR9" t="s">
        <v>6984</v>
      </c>
      <c r="IXS9" t="s">
        <v>6984</v>
      </c>
      <c r="IXT9" t="s">
        <v>6984</v>
      </c>
      <c r="IXU9" t="s">
        <v>6984</v>
      </c>
      <c r="IXV9" t="s">
        <v>6984</v>
      </c>
      <c r="IXW9" t="s">
        <v>6984</v>
      </c>
      <c r="IXX9" t="s">
        <v>6984</v>
      </c>
      <c r="IXY9" t="s">
        <v>6984</v>
      </c>
      <c r="IXZ9" t="s">
        <v>6984</v>
      </c>
      <c r="IYA9" t="s">
        <v>6984</v>
      </c>
      <c r="IYB9" t="s">
        <v>6984</v>
      </c>
      <c r="IYC9" t="s">
        <v>6984</v>
      </c>
      <c r="IYD9" t="s">
        <v>6984</v>
      </c>
      <c r="IYE9" t="s">
        <v>6984</v>
      </c>
      <c r="IYF9" t="s">
        <v>6984</v>
      </c>
      <c r="IYG9" t="s">
        <v>6984</v>
      </c>
      <c r="IYH9" t="s">
        <v>6984</v>
      </c>
      <c r="IYI9" t="s">
        <v>6984</v>
      </c>
      <c r="IYJ9" t="s">
        <v>6984</v>
      </c>
      <c r="IYK9" t="s">
        <v>6984</v>
      </c>
      <c r="IYL9" t="s">
        <v>6984</v>
      </c>
      <c r="IYM9" t="s">
        <v>6984</v>
      </c>
      <c r="IYN9" t="s">
        <v>6984</v>
      </c>
      <c r="IYO9" t="s">
        <v>6984</v>
      </c>
      <c r="IYP9" t="s">
        <v>6984</v>
      </c>
      <c r="IYQ9" t="s">
        <v>6984</v>
      </c>
      <c r="IYR9" t="s">
        <v>6984</v>
      </c>
      <c r="IYS9" t="s">
        <v>6984</v>
      </c>
      <c r="IYT9" t="s">
        <v>6984</v>
      </c>
      <c r="IYU9" t="s">
        <v>6984</v>
      </c>
      <c r="IYV9" t="s">
        <v>6984</v>
      </c>
      <c r="IYW9" t="s">
        <v>6984</v>
      </c>
      <c r="IYX9" t="s">
        <v>6984</v>
      </c>
      <c r="IYY9" t="s">
        <v>6984</v>
      </c>
      <c r="IYZ9" t="s">
        <v>6984</v>
      </c>
      <c r="IZA9" t="s">
        <v>6984</v>
      </c>
      <c r="IZB9" t="s">
        <v>6984</v>
      </c>
      <c r="IZC9" t="s">
        <v>6984</v>
      </c>
      <c r="IZD9" t="s">
        <v>6984</v>
      </c>
      <c r="IZE9" t="s">
        <v>6984</v>
      </c>
      <c r="IZF9" t="s">
        <v>6984</v>
      </c>
      <c r="IZG9" t="s">
        <v>6984</v>
      </c>
      <c r="IZH9" t="s">
        <v>6984</v>
      </c>
      <c r="IZI9" t="s">
        <v>6984</v>
      </c>
      <c r="IZJ9" t="s">
        <v>6984</v>
      </c>
      <c r="IZK9" t="s">
        <v>6984</v>
      </c>
      <c r="IZL9" t="s">
        <v>6984</v>
      </c>
      <c r="IZM9" t="s">
        <v>6984</v>
      </c>
      <c r="IZN9" t="s">
        <v>6984</v>
      </c>
      <c r="IZO9" t="s">
        <v>6984</v>
      </c>
      <c r="IZP9" t="s">
        <v>6984</v>
      </c>
      <c r="IZQ9" t="s">
        <v>6984</v>
      </c>
      <c r="IZR9" t="s">
        <v>6984</v>
      </c>
      <c r="IZS9" t="s">
        <v>6984</v>
      </c>
      <c r="IZT9" t="s">
        <v>6984</v>
      </c>
      <c r="IZU9" t="s">
        <v>6984</v>
      </c>
      <c r="IZV9" t="s">
        <v>6984</v>
      </c>
      <c r="IZW9" t="s">
        <v>6984</v>
      </c>
      <c r="IZX9" t="s">
        <v>6984</v>
      </c>
      <c r="IZY9" t="s">
        <v>6984</v>
      </c>
      <c r="IZZ9" t="s">
        <v>6984</v>
      </c>
      <c r="JAA9" t="s">
        <v>6984</v>
      </c>
      <c r="JAB9" t="s">
        <v>6984</v>
      </c>
      <c r="JAC9" t="s">
        <v>6984</v>
      </c>
      <c r="JAD9" t="s">
        <v>6984</v>
      </c>
      <c r="JAE9" t="s">
        <v>6984</v>
      </c>
      <c r="JAF9" t="s">
        <v>6984</v>
      </c>
      <c r="JAG9" t="s">
        <v>6984</v>
      </c>
      <c r="JAH9" t="s">
        <v>6984</v>
      </c>
      <c r="JAI9" t="s">
        <v>6984</v>
      </c>
      <c r="JAJ9" t="s">
        <v>6984</v>
      </c>
      <c r="JAK9" t="s">
        <v>6984</v>
      </c>
      <c r="JAL9" t="s">
        <v>6984</v>
      </c>
      <c r="JAM9" t="s">
        <v>6984</v>
      </c>
      <c r="JAN9" t="s">
        <v>6984</v>
      </c>
      <c r="JAO9" t="s">
        <v>6984</v>
      </c>
      <c r="JAP9" t="s">
        <v>6984</v>
      </c>
      <c r="JAQ9" t="s">
        <v>6984</v>
      </c>
      <c r="JAR9" t="s">
        <v>6984</v>
      </c>
      <c r="JAS9" t="s">
        <v>6984</v>
      </c>
      <c r="JAT9" t="s">
        <v>6984</v>
      </c>
      <c r="JAU9" t="s">
        <v>6984</v>
      </c>
      <c r="JAV9" t="s">
        <v>6984</v>
      </c>
      <c r="JAW9" t="s">
        <v>6984</v>
      </c>
      <c r="JAX9" t="s">
        <v>6984</v>
      </c>
      <c r="JAY9" t="s">
        <v>6984</v>
      </c>
      <c r="JAZ9" t="s">
        <v>6984</v>
      </c>
      <c r="JBA9" t="s">
        <v>6984</v>
      </c>
      <c r="JBB9" t="s">
        <v>6984</v>
      </c>
      <c r="JBC9" t="s">
        <v>6984</v>
      </c>
      <c r="JBD9" t="s">
        <v>6984</v>
      </c>
      <c r="JBE9" t="s">
        <v>6984</v>
      </c>
      <c r="JBF9" t="s">
        <v>6984</v>
      </c>
      <c r="JBG9" t="s">
        <v>6984</v>
      </c>
      <c r="JBH9" t="s">
        <v>6984</v>
      </c>
      <c r="JBI9" t="s">
        <v>6984</v>
      </c>
      <c r="JBJ9" t="s">
        <v>6984</v>
      </c>
      <c r="JBK9" t="s">
        <v>6984</v>
      </c>
      <c r="JBL9" t="s">
        <v>6984</v>
      </c>
      <c r="JBM9" t="s">
        <v>6984</v>
      </c>
      <c r="JBN9" t="s">
        <v>6984</v>
      </c>
      <c r="JBO9" t="s">
        <v>6984</v>
      </c>
      <c r="JBP9" t="s">
        <v>6984</v>
      </c>
      <c r="JBQ9" t="s">
        <v>6984</v>
      </c>
      <c r="JBR9" t="s">
        <v>6984</v>
      </c>
      <c r="JBS9" t="s">
        <v>6984</v>
      </c>
      <c r="JBT9" t="s">
        <v>6984</v>
      </c>
      <c r="JBU9" t="s">
        <v>6984</v>
      </c>
      <c r="JBV9" t="s">
        <v>6984</v>
      </c>
      <c r="JBW9" t="s">
        <v>6984</v>
      </c>
      <c r="JBX9" t="s">
        <v>6984</v>
      </c>
      <c r="JBY9" t="s">
        <v>6984</v>
      </c>
      <c r="JBZ9" t="s">
        <v>6984</v>
      </c>
      <c r="JCA9" t="s">
        <v>6984</v>
      </c>
      <c r="JCB9" t="s">
        <v>6984</v>
      </c>
      <c r="JCC9" t="s">
        <v>6984</v>
      </c>
      <c r="JCD9" t="s">
        <v>6984</v>
      </c>
      <c r="JCE9" t="s">
        <v>6984</v>
      </c>
      <c r="JCF9" t="s">
        <v>6984</v>
      </c>
      <c r="JCG9" t="s">
        <v>6984</v>
      </c>
      <c r="JCH9" t="s">
        <v>6984</v>
      </c>
      <c r="JCI9" t="s">
        <v>6984</v>
      </c>
      <c r="JCJ9" t="s">
        <v>6984</v>
      </c>
      <c r="JCK9" t="s">
        <v>6984</v>
      </c>
      <c r="JCL9" t="s">
        <v>6984</v>
      </c>
      <c r="JCM9" t="s">
        <v>6984</v>
      </c>
      <c r="JCN9" t="s">
        <v>6984</v>
      </c>
      <c r="JCO9" t="s">
        <v>6984</v>
      </c>
      <c r="JCP9" t="s">
        <v>6984</v>
      </c>
      <c r="JCQ9" t="s">
        <v>6984</v>
      </c>
      <c r="JCR9" t="s">
        <v>6984</v>
      </c>
      <c r="JCS9" t="s">
        <v>6984</v>
      </c>
      <c r="JCT9" t="s">
        <v>6984</v>
      </c>
      <c r="JCU9" t="s">
        <v>6984</v>
      </c>
      <c r="JCV9" t="s">
        <v>6984</v>
      </c>
      <c r="JCW9" t="s">
        <v>6984</v>
      </c>
      <c r="JCX9" t="s">
        <v>6984</v>
      </c>
      <c r="JCY9" t="s">
        <v>6984</v>
      </c>
      <c r="JCZ9" t="s">
        <v>6984</v>
      </c>
      <c r="JDA9" t="s">
        <v>6984</v>
      </c>
      <c r="JDB9" t="s">
        <v>6984</v>
      </c>
      <c r="JDC9" t="s">
        <v>6984</v>
      </c>
      <c r="JDD9" t="s">
        <v>6984</v>
      </c>
      <c r="JDE9" t="s">
        <v>6984</v>
      </c>
      <c r="JDF9" t="s">
        <v>6984</v>
      </c>
      <c r="JDG9" t="s">
        <v>6984</v>
      </c>
      <c r="JDH9" t="s">
        <v>6984</v>
      </c>
      <c r="JDI9" t="s">
        <v>6984</v>
      </c>
      <c r="JDJ9" t="s">
        <v>6984</v>
      </c>
      <c r="JDK9" t="s">
        <v>6984</v>
      </c>
      <c r="JDL9" t="s">
        <v>6984</v>
      </c>
      <c r="JDM9" t="s">
        <v>6984</v>
      </c>
      <c r="JDN9" t="s">
        <v>6984</v>
      </c>
      <c r="JDO9" t="s">
        <v>6984</v>
      </c>
      <c r="JDP9" t="s">
        <v>6984</v>
      </c>
      <c r="JDQ9" t="s">
        <v>6984</v>
      </c>
      <c r="JDR9" t="s">
        <v>6984</v>
      </c>
      <c r="JDS9" t="s">
        <v>6984</v>
      </c>
      <c r="JDT9" t="s">
        <v>6984</v>
      </c>
      <c r="JDU9" t="s">
        <v>6984</v>
      </c>
      <c r="JDV9" t="s">
        <v>6984</v>
      </c>
      <c r="JDW9" t="s">
        <v>6984</v>
      </c>
      <c r="JDX9" t="s">
        <v>6984</v>
      </c>
      <c r="JDY9" t="s">
        <v>6984</v>
      </c>
      <c r="JDZ9" t="s">
        <v>6984</v>
      </c>
      <c r="JEA9" t="s">
        <v>6984</v>
      </c>
      <c r="JEB9" t="s">
        <v>6984</v>
      </c>
      <c r="JEC9" t="s">
        <v>6984</v>
      </c>
      <c r="JED9" t="s">
        <v>6984</v>
      </c>
      <c r="JEE9" t="s">
        <v>6984</v>
      </c>
      <c r="JEF9" t="s">
        <v>6984</v>
      </c>
      <c r="JEG9" t="s">
        <v>6984</v>
      </c>
      <c r="JEH9" t="s">
        <v>6984</v>
      </c>
      <c r="JEI9" t="s">
        <v>6984</v>
      </c>
      <c r="JEJ9" t="s">
        <v>6984</v>
      </c>
      <c r="JEK9" t="s">
        <v>6984</v>
      </c>
      <c r="JEL9" t="s">
        <v>6984</v>
      </c>
      <c r="JEM9" t="s">
        <v>6984</v>
      </c>
      <c r="JEN9" t="s">
        <v>6984</v>
      </c>
      <c r="JEO9" t="s">
        <v>6984</v>
      </c>
      <c r="JEP9" t="s">
        <v>6984</v>
      </c>
      <c r="JEQ9" t="s">
        <v>6984</v>
      </c>
      <c r="JER9" t="s">
        <v>6984</v>
      </c>
      <c r="JES9" t="s">
        <v>6984</v>
      </c>
      <c r="JET9" t="s">
        <v>6984</v>
      </c>
      <c r="JEU9" t="s">
        <v>6984</v>
      </c>
      <c r="JEV9" t="s">
        <v>6984</v>
      </c>
      <c r="JEW9" t="s">
        <v>6984</v>
      </c>
      <c r="JEX9" t="s">
        <v>6984</v>
      </c>
      <c r="JEY9" t="s">
        <v>6984</v>
      </c>
      <c r="JEZ9" t="s">
        <v>6984</v>
      </c>
      <c r="JFA9" t="s">
        <v>6984</v>
      </c>
      <c r="JFB9" t="s">
        <v>6984</v>
      </c>
      <c r="JFC9" t="s">
        <v>6984</v>
      </c>
      <c r="JFD9" t="s">
        <v>6984</v>
      </c>
      <c r="JFE9" t="s">
        <v>6984</v>
      </c>
      <c r="JFF9" t="s">
        <v>6984</v>
      </c>
      <c r="JFG9" t="s">
        <v>6984</v>
      </c>
      <c r="JFH9" t="s">
        <v>6984</v>
      </c>
      <c r="JFI9" t="s">
        <v>6984</v>
      </c>
      <c r="JFJ9" t="s">
        <v>6984</v>
      </c>
      <c r="JFK9" t="s">
        <v>6984</v>
      </c>
      <c r="JFL9" t="s">
        <v>6984</v>
      </c>
      <c r="JFM9" t="s">
        <v>6984</v>
      </c>
      <c r="JFN9" t="s">
        <v>6984</v>
      </c>
      <c r="JFO9" t="s">
        <v>6984</v>
      </c>
      <c r="JFP9" t="s">
        <v>6984</v>
      </c>
      <c r="JFQ9" t="s">
        <v>6984</v>
      </c>
      <c r="JFR9" t="s">
        <v>6984</v>
      </c>
      <c r="JFS9" t="s">
        <v>6984</v>
      </c>
      <c r="JFT9" t="s">
        <v>6984</v>
      </c>
      <c r="JFU9" t="s">
        <v>6984</v>
      </c>
      <c r="JFV9" t="s">
        <v>6984</v>
      </c>
      <c r="JFW9" t="s">
        <v>6984</v>
      </c>
      <c r="JFX9" t="s">
        <v>6984</v>
      </c>
      <c r="JFY9" t="s">
        <v>6984</v>
      </c>
      <c r="JFZ9" t="s">
        <v>6984</v>
      </c>
      <c r="JGA9" t="s">
        <v>6984</v>
      </c>
      <c r="JGB9" t="s">
        <v>6984</v>
      </c>
      <c r="JGC9" t="s">
        <v>6984</v>
      </c>
      <c r="JGD9" t="s">
        <v>6984</v>
      </c>
      <c r="JGE9" t="s">
        <v>6984</v>
      </c>
      <c r="JGF9" t="s">
        <v>6984</v>
      </c>
      <c r="JGG9" t="s">
        <v>6984</v>
      </c>
      <c r="JGH9" t="s">
        <v>6984</v>
      </c>
      <c r="JGI9" t="s">
        <v>6984</v>
      </c>
      <c r="JGJ9" t="s">
        <v>6984</v>
      </c>
      <c r="JGK9" t="s">
        <v>6984</v>
      </c>
      <c r="JGL9" t="s">
        <v>6984</v>
      </c>
      <c r="JGM9" t="s">
        <v>6984</v>
      </c>
      <c r="JGN9" t="s">
        <v>6984</v>
      </c>
      <c r="JGO9" t="s">
        <v>6984</v>
      </c>
      <c r="JGP9" t="s">
        <v>6984</v>
      </c>
      <c r="JGQ9" t="s">
        <v>6984</v>
      </c>
      <c r="JGR9" t="s">
        <v>6984</v>
      </c>
      <c r="JGS9" t="s">
        <v>6984</v>
      </c>
      <c r="JGT9" t="s">
        <v>6984</v>
      </c>
      <c r="JGU9" t="s">
        <v>6984</v>
      </c>
      <c r="JGV9" t="s">
        <v>6984</v>
      </c>
      <c r="JGW9" t="s">
        <v>6984</v>
      </c>
      <c r="JGX9" t="s">
        <v>6984</v>
      </c>
      <c r="JGY9" t="s">
        <v>6984</v>
      </c>
      <c r="JGZ9" t="s">
        <v>6984</v>
      </c>
      <c r="JHA9" t="s">
        <v>6984</v>
      </c>
      <c r="JHB9" t="s">
        <v>6984</v>
      </c>
      <c r="JHC9" t="s">
        <v>6984</v>
      </c>
      <c r="JHD9" t="s">
        <v>6984</v>
      </c>
      <c r="JHE9" t="s">
        <v>6984</v>
      </c>
      <c r="JHF9" t="s">
        <v>6984</v>
      </c>
      <c r="JHG9" t="s">
        <v>6984</v>
      </c>
      <c r="JHH9" t="s">
        <v>6984</v>
      </c>
      <c r="JHI9" t="s">
        <v>6984</v>
      </c>
      <c r="JHJ9" t="s">
        <v>6984</v>
      </c>
      <c r="JHK9" t="s">
        <v>6984</v>
      </c>
      <c r="JHL9" t="s">
        <v>6984</v>
      </c>
      <c r="JHM9" t="s">
        <v>6984</v>
      </c>
      <c r="JHN9" t="s">
        <v>6984</v>
      </c>
      <c r="JHO9" t="s">
        <v>6984</v>
      </c>
      <c r="JHP9" t="s">
        <v>6984</v>
      </c>
      <c r="JHQ9" t="s">
        <v>6984</v>
      </c>
      <c r="JHR9" t="s">
        <v>6984</v>
      </c>
      <c r="JHS9" t="s">
        <v>6984</v>
      </c>
      <c r="JHT9" t="s">
        <v>6984</v>
      </c>
      <c r="JHU9" t="s">
        <v>6984</v>
      </c>
      <c r="JHV9" t="s">
        <v>6984</v>
      </c>
      <c r="JHW9" t="s">
        <v>6984</v>
      </c>
      <c r="JHX9" t="s">
        <v>6984</v>
      </c>
      <c r="JHY9" t="s">
        <v>6984</v>
      </c>
      <c r="JHZ9" t="s">
        <v>6984</v>
      </c>
      <c r="JIA9" t="s">
        <v>6984</v>
      </c>
      <c r="JIB9" t="s">
        <v>6984</v>
      </c>
      <c r="JIC9" t="s">
        <v>6984</v>
      </c>
      <c r="JID9" t="s">
        <v>6984</v>
      </c>
      <c r="JIE9" t="s">
        <v>6984</v>
      </c>
      <c r="JIF9" t="s">
        <v>6984</v>
      </c>
      <c r="JIG9" t="s">
        <v>6984</v>
      </c>
      <c r="JIH9" t="s">
        <v>6984</v>
      </c>
      <c r="JII9" t="s">
        <v>6984</v>
      </c>
      <c r="JIJ9" t="s">
        <v>6984</v>
      </c>
      <c r="JIK9" t="s">
        <v>6984</v>
      </c>
      <c r="JIL9" t="s">
        <v>6984</v>
      </c>
      <c r="JIM9" t="s">
        <v>6984</v>
      </c>
      <c r="JIN9" t="s">
        <v>6984</v>
      </c>
      <c r="JIO9" t="s">
        <v>6984</v>
      </c>
      <c r="JIP9" t="s">
        <v>6984</v>
      </c>
      <c r="JIQ9" t="s">
        <v>6984</v>
      </c>
      <c r="JIR9" t="s">
        <v>6984</v>
      </c>
      <c r="JIS9" t="s">
        <v>6984</v>
      </c>
      <c r="JIT9" t="s">
        <v>6984</v>
      </c>
      <c r="JIU9" t="s">
        <v>6984</v>
      </c>
      <c r="JIV9" t="s">
        <v>6984</v>
      </c>
      <c r="JIW9" t="s">
        <v>6984</v>
      </c>
      <c r="JIX9" t="s">
        <v>6984</v>
      </c>
      <c r="JIY9" t="s">
        <v>6984</v>
      </c>
      <c r="JIZ9" t="s">
        <v>6984</v>
      </c>
      <c r="JJA9" t="s">
        <v>6984</v>
      </c>
    </row>
    <row r="10" spans="1:7021" x14ac:dyDescent="0.25">
      <c r="A10" t="s">
        <v>6991</v>
      </c>
      <c r="B10">
        <v>96.72</v>
      </c>
      <c r="C10">
        <v>96.72</v>
      </c>
      <c r="D10">
        <v>96.72</v>
      </c>
      <c r="E10">
        <v>96.72</v>
      </c>
      <c r="F10">
        <v>96.68</v>
      </c>
      <c r="G10">
        <v>96.68</v>
      </c>
      <c r="H10">
        <v>96.74</v>
      </c>
      <c r="I10">
        <v>96.685000000000002</v>
      </c>
      <c r="J10">
        <v>96.61</v>
      </c>
      <c r="K10">
        <v>96.625</v>
      </c>
      <c r="L10">
        <v>96.564999999999998</v>
      </c>
      <c r="M10">
        <v>96.715000000000003</v>
      </c>
      <c r="N10">
        <v>96.775000000000006</v>
      </c>
      <c r="O10">
        <v>96.685000000000002</v>
      </c>
      <c r="P10">
        <v>96.715000000000003</v>
      </c>
      <c r="Q10">
        <v>96.76</v>
      </c>
      <c r="R10">
        <v>96.74</v>
      </c>
      <c r="S10">
        <v>96.685000000000002</v>
      </c>
      <c r="T10">
        <v>96.74</v>
      </c>
      <c r="U10">
        <v>96.685000000000002</v>
      </c>
      <c r="V10">
        <v>96.685000000000002</v>
      </c>
      <c r="W10">
        <v>96.635000000000005</v>
      </c>
      <c r="X10">
        <v>96.605000000000004</v>
      </c>
      <c r="Y10">
        <v>96.665000000000006</v>
      </c>
      <c r="Z10">
        <v>96.64</v>
      </c>
      <c r="AA10">
        <v>96.63</v>
      </c>
      <c r="AB10">
        <v>96.625</v>
      </c>
      <c r="AC10">
        <v>96.515000000000001</v>
      </c>
      <c r="AD10">
        <v>96.555000000000007</v>
      </c>
      <c r="AE10">
        <v>96.57</v>
      </c>
      <c r="AF10">
        <v>96.745000000000005</v>
      </c>
      <c r="AG10">
        <v>96.73</v>
      </c>
      <c r="AH10">
        <v>96.89</v>
      </c>
      <c r="AI10">
        <v>96.875</v>
      </c>
      <c r="AJ10">
        <v>96.81</v>
      </c>
      <c r="AK10">
        <v>96.795000000000002</v>
      </c>
      <c r="AL10">
        <v>96.944999999999993</v>
      </c>
      <c r="AM10">
        <v>97.04</v>
      </c>
      <c r="AN10">
        <v>97.004999999999995</v>
      </c>
      <c r="AO10">
        <v>96.965000000000003</v>
      </c>
      <c r="AP10">
        <v>96.855000000000004</v>
      </c>
      <c r="AQ10">
        <v>96.82</v>
      </c>
      <c r="AR10">
        <v>96.73</v>
      </c>
      <c r="AS10">
        <v>96.82</v>
      </c>
      <c r="AT10">
        <v>96.89</v>
      </c>
      <c r="AU10">
        <v>96.825000000000003</v>
      </c>
      <c r="AV10">
        <v>96.825000000000003</v>
      </c>
      <c r="AW10">
        <v>96.82</v>
      </c>
      <c r="AX10">
        <v>96.75</v>
      </c>
      <c r="AY10">
        <v>96.73</v>
      </c>
      <c r="AZ10">
        <v>96.58</v>
      </c>
      <c r="BA10">
        <v>96.71</v>
      </c>
      <c r="BB10">
        <v>96.59</v>
      </c>
      <c r="BC10">
        <v>96.864999999999995</v>
      </c>
      <c r="BD10">
        <v>96.844999999999999</v>
      </c>
      <c r="BE10">
        <v>96.924999999999997</v>
      </c>
      <c r="BF10">
        <v>96.86</v>
      </c>
      <c r="BG10">
        <v>96.6</v>
      </c>
      <c r="BH10">
        <v>96.63</v>
      </c>
      <c r="BI10">
        <v>96.564999999999998</v>
      </c>
      <c r="BJ10">
        <v>96.58</v>
      </c>
      <c r="BK10">
        <v>96.465000000000003</v>
      </c>
      <c r="BL10">
        <v>96.454999999999998</v>
      </c>
      <c r="BM10">
        <v>96.48</v>
      </c>
      <c r="BN10">
        <v>96.435000000000002</v>
      </c>
      <c r="BO10">
        <v>96.53</v>
      </c>
      <c r="BP10">
        <v>96.515000000000001</v>
      </c>
      <c r="BQ10">
        <v>96.484999999999999</v>
      </c>
      <c r="BR10">
        <v>96.415000000000006</v>
      </c>
      <c r="BS10">
        <v>96.39</v>
      </c>
      <c r="BT10">
        <v>96.415000000000006</v>
      </c>
      <c r="BU10">
        <v>96.495000000000005</v>
      </c>
      <c r="BV10">
        <v>96.444999999999993</v>
      </c>
      <c r="BW10">
        <v>96.504999999999995</v>
      </c>
      <c r="BX10">
        <v>96.564999999999998</v>
      </c>
      <c r="BY10">
        <v>96.424999999999997</v>
      </c>
      <c r="BZ10">
        <v>96.454999999999998</v>
      </c>
      <c r="CA10">
        <v>96.444999999999993</v>
      </c>
      <c r="CB10">
        <v>96.495000000000005</v>
      </c>
      <c r="CC10">
        <v>96.465000000000003</v>
      </c>
      <c r="CD10">
        <v>96.444999999999993</v>
      </c>
      <c r="CE10">
        <v>96.355000000000004</v>
      </c>
      <c r="CF10">
        <v>96.375</v>
      </c>
      <c r="CG10">
        <v>96.33</v>
      </c>
      <c r="CH10">
        <v>96.215000000000003</v>
      </c>
      <c r="CI10">
        <v>96.174999999999997</v>
      </c>
      <c r="CJ10">
        <v>96.07</v>
      </c>
      <c r="CK10">
        <v>96.05</v>
      </c>
      <c r="CL10">
        <v>96.03</v>
      </c>
      <c r="CM10">
        <v>96.084999999999994</v>
      </c>
      <c r="CN10">
        <v>96.084999999999994</v>
      </c>
      <c r="CO10">
        <v>96.01</v>
      </c>
      <c r="CP10">
        <v>95.92</v>
      </c>
      <c r="CQ10">
        <v>96.04</v>
      </c>
      <c r="CR10">
        <v>96.075000000000003</v>
      </c>
      <c r="CS10">
        <v>96.064999999999998</v>
      </c>
      <c r="CT10">
        <v>96.144999999999996</v>
      </c>
      <c r="CU10">
        <v>96.18</v>
      </c>
      <c r="CV10">
        <v>96.12</v>
      </c>
      <c r="CW10">
        <v>96.055000000000007</v>
      </c>
      <c r="CX10">
        <v>96.07</v>
      </c>
      <c r="CY10">
        <v>96.12</v>
      </c>
      <c r="CZ10">
        <v>96.084999999999994</v>
      </c>
      <c r="DA10">
        <v>96.105000000000004</v>
      </c>
      <c r="DB10">
        <v>96.125</v>
      </c>
      <c r="DC10">
        <v>96.01</v>
      </c>
      <c r="DD10">
        <v>96</v>
      </c>
      <c r="DE10">
        <v>95.98</v>
      </c>
      <c r="DF10">
        <v>95.995000000000005</v>
      </c>
      <c r="DG10">
        <v>95.995000000000005</v>
      </c>
      <c r="DH10">
        <v>95.995000000000005</v>
      </c>
      <c r="DI10">
        <v>96.034999999999997</v>
      </c>
      <c r="DJ10">
        <v>95.99</v>
      </c>
      <c r="DK10">
        <v>95.84</v>
      </c>
      <c r="DL10">
        <v>95.805000000000007</v>
      </c>
      <c r="DM10">
        <v>95.825000000000003</v>
      </c>
      <c r="DN10">
        <v>96.015000000000001</v>
      </c>
      <c r="DO10">
        <v>95.97</v>
      </c>
      <c r="DP10">
        <v>95.954999999999998</v>
      </c>
      <c r="DQ10">
        <v>95.99</v>
      </c>
      <c r="DR10">
        <v>96.015000000000001</v>
      </c>
      <c r="DS10">
        <v>96.06</v>
      </c>
      <c r="DT10">
        <v>96.05</v>
      </c>
      <c r="DU10">
        <v>96.05</v>
      </c>
      <c r="DV10">
        <v>96.06</v>
      </c>
      <c r="DW10">
        <v>95.965000000000003</v>
      </c>
      <c r="DX10">
        <v>95.984999999999999</v>
      </c>
      <c r="DY10">
        <v>95.98</v>
      </c>
      <c r="DZ10">
        <v>95.98</v>
      </c>
      <c r="EA10">
        <v>95.97</v>
      </c>
      <c r="EB10">
        <v>96.03</v>
      </c>
      <c r="EC10">
        <v>95.99</v>
      </c>
      <c r="ED10">
        <v>96.01</v>
      </c>
      <c r="EE10">
        <v>96.144999999999996</v>
      </c>
      <c r="EF10">
        <v>96.135000000000005</v>
      </c>
      <c r="EG10">
        <v>96.16</v>
      </c>
      <c r="EH10">
        <v>96.224999999999994</v>
      </c>
      <c r="EI10">
        <v>96.27</v>
      </c>
      <c r="EJ10">
        <v>96.305000000000007</v>
      </c>
      <c r="EK10">
        <v>96.34</v>
      </c>
      <c r="EL10">
        <v>96.375</v>
      </c>
      <c r="EM10">
        <v>96.334999999999994</v>
      </c>
      <c r="EN10">
        <v>96.364999999999995</v>
      </c>
      <c r="EO10">
        <v>96.31</v>
      </c>
      <c r="EP10">
        <v>96.31</v>
      </c>
      <c r="EQ10">
        <v>96.334999999999994</v>
      </c>
      <c r="ER10">
        <v>96.29</v>
      </c>
      <c r="ES10">
        <v>96.29</v>
      </c>
      <c r="ET10">
        <v>96.215000000000003</v>
      </c>
      <c r="EU10">
        <v>96.245000000000005</v>
      </c>
      <c r="EV10">
        <v>96.125</v>
      </c>
      <c r="EW10">
        <v>96.13</v>
      </c>
      <c r="EX10">
        <v>96.17</v>
      </c>
      <c r="EY10">
        <v>96.215000000000003</v>
      </c>
      <c r="EZ10">
        <v>96.18</v>
      </c>
      <c r="FA10">
        <v>96.165000000000006</v>
      </c>
      <c r="FB10">
        <v>96.17</v>
      </c>
      <c r="FC10">
        <v>96.165000000000006</v>
      </c>
      <c r="FD10">
        <v>96.135000000000005</v>
      </c>
      <c r="FE10">
        <v>96.165000000000006</v>
      </c>
      <c r="FF10">
        <v>96.24</v>
      </c>
      <c r="FG10">
        <v>96.265000000000001</v>
      </c>
      <c r="FH10">
        <v>96.204999999999998</v>
      </c>
      <c r="FI10">
        <v>96.314999999999998</v>
      </c>
      <c r="FJ10">
        <v>96.344999999999999</v>
      </c>
      <c r="FK10">
        <v>96.325000000000003</v>
      </c>
      <c r="FL10">
        <v>96.364999999999995</v>
      </c>
      <c r="FM10">
        <v>96.385000000000005</v>
      </c>
      <c r="FN10">
        <v>96.444999999999993</v>
      </c>
      <c r="FO10">
        <v>96.42</v>
      </c>
      <c r="FP10">
        <v>96.474999999999994</v>
      </c>
      <c r="FQ10">
        <v>96.515000000000001</v>
      </c>
      <c r="FR10">
        <v>96.48</v>
      </c>
      <c r="FS10">
        <v>96.55</v>
      </c>
      <c r="FT10">
        <v>96.584999999999994</v>
      </c>
      <c r="FU10">
        <v>96.685000000000002</v>
      </c>
      <c r="FV10">
        <v>96.655000000000001</v>
      </c>
      <c r="FW10">
        <v>96.715000000000003</v>
      </c>
      <c r="FX10">
        <v>96.69</v>
      </c>
      <c r="FY10">
        <v>96.63</v>
      </c>
      <c r="FZ10">
        <v>96.69</v>
      </c>
      <c r="GA10">
        <v>96.625</v>
      </c>
      <c r="GB10">
        <v>96.62</v>
      </c>
      <c r="GC10">
        <v>96.66</v>
      </c>
      <c r="GD10">
        <v>96.644999999999996</v>
      </c>
      <c r="GE10">
        <v>96.73</v>
      </c>
      <c r="GF10">
        <v>96.96</v>
      </c>
      <c r="GG10">
        <v>97.04</v>
      </c>
      <c r="GH10">
        <v>97.08</v>
      </c>
      <c r="GI10">
        <v>97.02</v>
      </c>
      <c r="GJ10">
        <v>97.084999999999994</v>
      </c>
      <c r="GK10">
        <v>97.025000000000006</v>
      </c>
      <c r="GL10">
        <v>97.08</v>
      </c>
      <c r="GM10">
        <v>97.12</v>
      </c>
      <c r="GN10">
        <v>97.08</v>
      </c>
      <c r="GO10">
        <v>97.09</v>
      </c>
      <c r="GP10">
        <v>97.084999999999994</v>
      </c>
      <c r="GQ10">
        <v>97.09</v>
      </c>
      <c r="GR10">
        <v>97.144999999999996</v>
      </c>
      <c r="GS10">
        <v>97.194999999999993</v>
      </c>
      <c r="GT10">
        <v>97.2</v>
      </c>
      <c r="GU10">
        <v>97.18</v>
      </c>
      <c r="GV10">
        <v>97.204999999999998</v>
      </c>
      <c r="GW10">
        <v>97.23</v>
      </c>
      <c r="GX10">
        <v>97.165000000000006</v>
      </c>
      <c r="GY10">
        <v>97.18</v>
      </c>
      <c r="GZ10">
        <v>97.064999999999998</v>
      </c>
      <c r="HA10">
        <v>97.045000000000002</v>
      </c>
      <c r="HB10">
        <v>96.935000000000002</v>
      </c>
      <c r="HC10">
        <v>96.88</v>
      </c>
      <c r="HD10">
        <v>96.88</v>
      </c>
      <c r="HE10">
        <v>96.93</v>
      </c>
      <c r="HF10">
        <v>96.95</v>
      </c>
      <c r="HG10">
        <v>96.954999999999998</v>
      </c>
      <c r="HH10">
        <v>96.94</v>
      </c>
      <c r="HI10">
        <v>96.94</v>
      </c>
      <c r="HJ10">
        <v>96.844999999999999</v>
      </c>
      <c r="HK10">
        <v>96.94</v>
      </c>
      <c r="HL10">
        <v>96.86</v>
      </c>
      <c r="HM10">
        <v>96.784999999999997</v>
      </c>
      <c r="HN10">
        <v>96.78</v>
      </c>
      <c r="HO10">
        <v>96.75</v>
      </c>
      <c r="HP10">
        <v>96.93</v>
      </c>
      <c r="HQ10">
        <v>96.924999999999997</v>
      </c>
      <c r="HR10">
        <v>96.85</v>
      </c>
      <c r="HS10">
        <v>96.78</v>
      </c>
      <c r="HT10">
        <v>96.77</v>
      </c>
      <c r="HU10">
        <v>96.81</v>
      </c>
      <c r="HV10">
        <v>96.875</v>
      </c>
      <c r="HW10">
        <v>96.94</v>
      </c>
      <c r="HX10">
        <v>96.974999999999994</v>
      </c>
      <c r="HY10">
        <v>96.72</v>
      </c>
      <c r="HZ10">
        <v>96.53</v>
      </c>
      <c r="IA10">
        <v>96.504999999999995</v>
      </c>
      <c r="IB10">
        <v>96.465000000000003</v>
      </c>
      <c r="IC10">
        <v>96.454999999999998</v>
      </c>
      <c r="ID10">
        <v>96.4</v>
      </c>
      <c r="IE10">
        <v>96.424999999999997</v>
      </c>
      <c r="IF10">
        <v>96.4</v>
      </c>
      <c r="IG10">
        <v>96.355000000000004</v>
      </c>
      <c r="IH10">
        <v>96.375</v>
      </c>
      <c r="II10">
        <v>96.45</v>
      </c>
      <c r="IJ10">
        <v>96.49</v>
      </c>
      <c r="IK10">
        <v>96.46</v>
      </c>
      <c r="IL10">
        <v>96.45</v>
      </c>
      <c r="IM10">
        <v>96.454999999999998</v>
      </c>
      <c r="IN10">
        <v>96.42</v>
      </c>
      <c r="IO10">
        <v>96.265000000000001</v>
      </c>
      <c r="IP10">
        <v>96.254999999999995</v>
      </c>
      <c r="IQ10">
        <v>96.265000000000001</v>
      </c>
      <c r="IR10">
        <v>96.28</v>
      </c>
      <c r="IS10">
        <v>96.155000000000001</v>
      </c>
      <c r="IT10">
        <v>96.155000000000001</v>
      </c>
      <c r="IU10">
        <v>96.07</v>
      </c>
      <c r="IV10">
        <v>96.02</v>
      </c>
      <c r="IW10">
        <v>96.135000000000005</v>
      </c>
      <c r="IX10">
        <v>96.14</v>
      </c>
      <c r="IY10">
        <v>96.105000000000004</v>
      </c>
      <c r="IZ10">
        <v>96.194999999999993</v>
      </c>
      <c r="JA10">
        <v>96.2</v>
      </c>
      <c r="JB10">
        <v>96.2</v>
      </c>
      <c r="JC10">
        <v>96.2</v>
      </c>
      <c r="JD10">
        <v>96.13</v>
      </c>
      <c r="JE10">
        <v>96.13</v>
      </c>
      <c r="JF10">
        <v>96.05</v>
      </c>
      <c r="JG10">
        <v>96.15</v>
      </c>
      <c r="JH10">
        <v>96.135000000000005</v>
      </c>
      <c r="JI10">
        <v>96.04</v>
      </c>
      <c r="JJ10">
        <v>95.9</v>
      </c>
      <c r="JK10">
        <v>95.825000000000003</v>
      </c>
      <c r="JL10">
        <v>95.844999999999999</v>
      </c>
      <c r="JM10">
        <v>96.03</v>
      </c>
      <c r="JN10">
        <v>96.015000000000001</v>
      </c>
      <c r="JO10">
        <v>95.965000000000003</v>
      </c>
      <c r="JP10">
        <v>95.894999999999996</v>
      </c>
      <c r="JQ10">
        <v>95.784999999999997</v>
      </c>
      <c r="JR10">
        <v>95.724999999999994</v>
      </c>
      <c r="JS10">
        <v>95.655000000000001</v>
      </c>
      <c r="JT10">
        <v>95.704999999999998</v>
      </c>
      <c r="JU10">
        <v>95.74</v>
      </c>
      <c r="JV10">
        <v>95.74</v>
      </c>
      <c r="JW10">
        <v>95.75</v>
      </c>
      <c r="JX10">
        <v>95.83</v>
      </c>
      <c r="JY10">
        <v>95.894999999999996</v>
      </c>
      <c r="JZ10">
        <v>95.88</v>
      </c>
      <c r="KA10">
        <v>95.89</v>
      </c>
      <c r="KB10">
        <v>95.95</v>
      </c>
      <c r="KC10">
        <v>96.02</v>
      </c>
      <c r="KD10">
        <v>95.89</v>
      </c>
      <c r="KE10">
        <v>95.83</v>
      </c>
      <c r="KF10">
        <v>95.81</v>
      </c>
      <c r="KG10">
        <v>95.9</v>
      </c>
      <c r="KH10">
        <v>95.855000000000004</v>
      </c>
      <c r="KI10">
        <v>95.89</v>
      </c>
      <c r="KJ10">
        <v>95.89</v>
      </c>
      <c r="KK10">
        <v>95.9</v>
      </c>
      <c r="KL10">
        <v>95.784999999999997</v>
      </c>
      <c r="KM10">
        <v>95.704999999999998</v>
      </c>
      <c r="KN10">
        <v>95.57</v>
      </c>
      <c r="KO10">
        <v>95.665000000000006</v>
      </c>
      <c r="KP10">
        <v>95.625</v>
      </c>
      <c r="KQ10">
        <v>95.61</v>
      </c>
      <c r="KR10">
        <v>95.694999999999993</v>
      </c>
      <c r="KS10">
        <v>95.74</v>
      </c>
      <c r="KT10">
        <v>95.685000000000002</v>
      </c>
      <c r="KU10">
        <v>95.685000000000002</v>
      </c>
      <c r="KV10">
        <v>95.655000000000001</v>
      </c>
      <c r="KW10">
        <v>95.745000000000005</v>
      </c>
      <c r="KX10">
        <v>95.665000000000006</v>
      </c>
      <c r="KY10">
        <v>95.724999999999994</v>
      </c>
      <c r="KZ10">
        <v>95.814999999999998</v>
      </c>
      <c r="LA10">
        <v>95.715000000000003</v>
      </c>
      <c r="LB10">
        <v>95.71</v>
      </c>
      <c r="LC10">
        <v>96.004999999999995</v>
      </c>
      <c r="LD10">
        <v>95.954999999999998</v>
      </c>
      <c r="LE10">
        <v>96.05</v>
      </c>
      <c r="LF10">
        <v>96.16</v>
      </c>
      <c r="LG10">
        <v>96.125</v>
      </c>
      <c r="LH10">
        <v>96.105000000000004</v>
      </c>
      <c r="LI10">
        <v>96.105000000000004</v>
      </c>
      <c r="LJ10">
        <v>96.245000000000005</v>
      </c>
      <c r="LK10">
        <v>96.245000000000005</v>
      </c>
      <c r="LL10">
        <v>96.29</v>
      </c>
      <c r="LM10">
        <v>96.25</v>
      </c>
      <c r="LN10">
        <v>96.24</v>
      </c>
      <c r="LO10">
        <v>96.28</v>
      </c>
      <c r="LP10">
        <v>96.224999999999994</v>
      </c>
      <c r="LQ10">
        <v>96.24</v>
      </c>
      <c r="LR10">
        <v>96.064999999999998</v>
      </c>
      <c r="LS10">
        <v>95.995000000000005</v>
      </c>
      <c r="LT10">
        <v>96.025000000000006</v>
      </c>
      <c r="LU10">
        <v>96.08</v>
      </c>
      <c r="LV10">
        <v>96.22</v>
      </c>
      <c r="LW10">
        <v>96.254999999999995</v>
      </c>
      <c r="LX10">
        <v>96.344999999999999</v>
      </c>
      <c r="LY10">
        <v>96.39</v>
      </c>
      <c r="LZ10">
        <v>96.344999999999999</v>
      </c>
      <c r="MA10">
        <v>96.295000000000002</v>
      </c>
      <c r="MB10">
        <v>96.3</v>
      </c>
      <c r="MC10">
        <v>96.224999999999994</v>
      </c>
      <c r="MD10">
        <v>96.3</v>
      </c>
      <c r="ME10">
        <v>96.19</v>
      </c>
      <c r="MF10">
        <v>96.194999999999993</v>
      </c>
      <c r="MG10">
        <v>96.125</v>
      </c>
      <c r="MH10">
        <v>96.13</v>
      </c>
      <c r="MI10">
        <v>96.18</v>
      </c>
      <c r="MJ10">
        <v>96.15</v>
      </c>
      <c r="MK10">
        <v>96.21</v>
      </c>
      <c r="ML10">
        <v>96.27</v>
      </c>
      <c r="MM10">
        <v>96.215000000000003</v>
      </c>
      <c r="MN10">
        <v>96.215000000000003</v>
      </c>
      <c r="MO10">
        <v>96.31</v>
      </c>
      <c r="MP10">
        <v>96.29</v>
      </c>
      <c r="MQ10">
        <v>96.2</v>
      </c>
      <c r="MR10">
        <v>96.45</v>
      </c>
      <c r="MS10">
        <v>96.42</v>
      </c>
      <c r="MT10">
        <v>96.47</v>
      </c>
      <c r="MU10">
        <v>96.53</v>
      </c>
      <c r="MV10">
        <v>96.555000000000007</v>
      </c>
      <c r="MW10">
        <v>96.47</v>
      </c>
      <c r="MX10">
        <v>96.61</v>
      </c>
      <c r="MY10">
        <v>96.825000000000003</v>
      </c>
      <c r="MZ10">
        <v>96.765000000000001</v>
      </c>
      <c r="NA10">
        <v>96.61</v>
      </c>
      <c r="NB10">
        <v>96.66</v>
      </c>
      <c r="NC10">
        <v>96.584999999999994</v>
      </c>
      <c r="ND10">
        <v>96.66</v>
      </c>
      <c r="NE10">
        <v>96.584999999999994</v>
      </c>
      <c r="NF10">
        <v>96.62</v>
      </c>
      <c r="NG10">
        <v>96.64</v>
      </c>
      <c r="NH10">
        <v>96.584999999999994</v>
      </c>
      <c r="NI10">
        <v>96.63</v>
      </c>
      <c r="NJ10">
        <v>96.65</v>
      </c>
      <c r="NK10">
        <v>96.795000000000002</v>
      </c>
      <c r="NL10">
        <v>96.885000000000005</v>
      </c>
      <c r="NM10">
        <v>96.885000000000005</v>
      </c>
      <c r="NN10">
        <v>96.79</v>
      </c>
      <c r="NO10">
        <v>96.67</v>
      </c>
      <c r="NP10">
        <v>96.674999999999997</v>
      </c>
      <c r="NQ10">
        <v>96.7</v>
      </c>
      <c r="NR10">
        <v>96.665000000000006</v>
      </c>
      <c r="NS10">
        <v>96.694999999999993</v>
      </c>
      <c r="NT10">
        <v>96.81</v>
      </c>
      <c r="NU10">
        <v>96.78</v>
      </c>
      <c r="NV10">
        <v>96.9</v>
      </c>
      <c r="NW10">
        <v>96.9</v>
      </c>
      <c r="NX10">
        <v>96.86</v>
      </c>
      <c r="NY10">
        <v>96.905000000000001</v>
      </c>
      <c r="NZ10">
        <v>96.83</v>
      </c>
      <c r="OA10">
        <v>96.814999999999998</v>
      </c>
      <c r="OB10">
        <v>96.814999999999998</v>
      </c>
      <c r="OC10">
        <v>96.83</v>
      </c>
      <c r="OD10">
        <v>96.805000000000007</v>
      </c>
      <c r="OE10">
        <v>96.61</v>
      </c>
      <c r="OF10">
        <v>96.605000000000004</v>
      </c>
      <c r="OG10">
        <v>96.62</v>
      </c>
      <c r="OH10">
        <v>96.674999999999997</v>
      </c>
      <c r="OI10">
        <v>96.545000000000002</v>
      </c>
      <c r="OJ10">
        <v>96.28</v>
      </c>
      <c r="OK10">
        <v>96.27</v>
      </c>
      <c r="OL10">
        <v>96.28</v>
      </c>
      <c r="OM10">
        <v>96.474999999999994</v>
      </c>
      <c r="ON10">
        <v>96.45</v>
      </c>
      <c r="OO10">
        <v>96.484999999999999</v>
      </c>
      <c r="OP10">
        <v>96.375</v>
      </c>
      <c r="OQ10">
        <v>96.46</v>
      </c>
      <c r="OR10">
        <v>96.28</v>
      </c>
      <c r="OS10">
        <v>96.37</v>
      </c>
      <c r="OT10">
        <v>96.27</v>
      </c>
      <c r="OU10">
        <v>96.114999999999995</v>
      </c>
      <c r="OV10">
        <v>96.03</v>
      </c>
      <c r="OW10">
        <v>96.09</v>
      </c>
      <c r="OX10">
        <v>96.09</v>
      </c>
      <c r="OY10">
        <v>96.125</v>
      </c>
      <c r="OZ10">
        <v>96.07</v>
      </c>
      <c r="PA10">
        <v>96.06</v>
      </c>
      <c r="PB10">
        <v>96.135000000000005</v>
      </c>
      <c r="PC10">
        <v>96.02</v>
      </c>
      <c r="PD10">
        <v>96.15</v>
      </c>
      <c r="PE10">
        <v>95.86</v>
      </c>
      <c r="PF10">
        <v>95.84</v>
      </c>
      <c r="PG10">
        <v>95.9</v>
      </c>
      <c r="PH10">
        <v>96.015000000000001</v>
      </c>
      <c r="PI10">
        <v>96.02</v>
      </c>
      <c r="PJ10">
        <v>95.95</v>
      </c>
      <c r="PK10">
        <v>96.1</v>
      </c>
      <c r="PL10">
        <v>95.9</v>
      </c>
      <c r="PM10">
        <v>95.91</v>
      </c>
      <c r="PN10">
        <v>95.76</v>
      </c>
      <c r="PO10">
        <v>95.795000000000002</v>
      </c>
      <c r="PP10">
        <v>95.814999999999998</v>
      </c>
      <c r="PQ10">
        <v>95.76</v>
      </c>
      <c r="PR10">
        <v>95.63</v>
      </c>
      <c r="PS10">
        <v>95.71</v>
      </c>
      <c r="PT10">
        <v>95.795000000000002</v>
      </c>
      <c r="PU10">
        <v>95.704999999999998</v>
      </c>
      <c r="PV10">
        <v>95.555000000000007</v>
      </c>
      <c r="PW10">
        <v>95.534999999999997</v>
      </c>
      <c r="PX10">
        <v>95.58</v>
      </c>
      <c r="PY10">
        <v>95.77</v>
      </c>
      <c r="PZ10">
        <v>95.834999999999994</v>
      </c>
      <c r="QA10">
        <v>95.81</v>
      </c>
      <c r="QB10">
        <v>95.905000000000001</v>
      </c>
      <c r="QC10">
        <v>95.924999999999997</v>
      </c>
      <c r="QD10">
        <v>95.974999999999994</v>
      </c>
      <c r="QE10">
        <v>95.795000000000002</v>
      </c>
      <c r="QF10">
        <v>95.86</v>
      </c>
      <c r="QG10">
        <v>95.82</v>
      </c>
      <c r="QH10">
        <v>95.72</v>
      </c>
      <c r="QI10">
        <v>95.784999999999997</v>
      </c>
      <c r="QJ10">
        <v>95.885000000000005</v>
      </c>
      <c r="QK10">
        <v>95.84</v>
      </c>
      <c r="QL10">
        <v>95.75</v>
      </c>
      <c r="QM10">
        <v>95.83</v>
      </c>
      <c r="QN10">
        <v>95.825000000000003</v>
      </c>
      <c r="QO10">
        <v>95.844999999999999</v>
      </c>
      <c r="QP10">
        <v>95.795000000000002</v>
      </c>
      <c r="QQ10">
        <v>95.894999999999996</v>
      </c>
      <c r="QR10">
        <v>95.674999999999997</v>
      </c>
      <c r="QS10">
        <v>95.765000000000001</v>
      </c>
      <c r="QT10">
        <v>95.805000000000007</v>
      </c>
      <c r="QU10">
        <v>95.85</v>
      </c>
      <c r="QV10">
        <v>95.894999999999996</v>
      </c>
      <c r="QW10">
        <v>95.87</v>
      </c>
      <c r="QX10">
        <v>95.9</v>
      </c>
      <c r="QY10">
        <v>95.915000000000006</v>
      </c>
      <c r="QZ10">
        <v>95.97</v>
      </c>
      <c r="RA10">
        <v>95.864999999999995</v>
      </c>
      <c r="RB10">
        <v>95.954999999999998</v>
      </c>
      <c r="RC10">
        <v>96.084999999999994</v>
      </c>
      <c r="RD10">
        <v>96.084999999999994</v>
      </c>
      <c r="RE10">
        <v>96.1</v>
      </c>
      <c r="RF10">
        <v>96.08</v>
      </c>
      <c r="RG10">
        <v>96.075000000000003</v>
      </c>
      <c r="RH10">
        <v>95.935000000000002</v>
      </c>
      <c r="RI10">
        <v>95.91</v>
      </c>
      <c r="RJ10">
        <v>95.93</v>
      </c>
      <c r="RK10">
        <v>95.984999999999999</v>
      </c>
      <c r="RL10">
        <v>95.855000000000004</v>
      </c>
      <c r="RM10">
        <v>95.905000000000001</v>
      </c>
      <c r="RN10">
        <v>95.98</v>
      </c>
      <c r="RO10">
        <v>95.94</v>
      </c>
      <c r="RP10">
        <v>95.95</v>
      </c>
      <c r="RQ10">
        <v>95.984999999999999</v>
      </c>
      <c r="RR10">
        <v>95.995000000000005</v>
      </c>
      <c r="RS10">
        <v>96.075000000000003</v>
      </c>
      <c r="RT10">
        <v>96.204999999999998</v>
      </c>
      <c r="RU10">
        <v>96.265000000000001</v>
      </c>
      <c r="RV10">
        <v>96.314999999999998</v>
      </c>
      <c r="RW10">
        <v>96.295000000000002</v>
      </c>
      <c r="RX10">
        <v>96.24</v>
      </c>
      <c r="RY10">
        <v>96.1</v>
      </c>
      <c r="RZ10">
        <v>96.135000000000005</v>
      </c>
      <c r="SA10">
        <v>96.07</v>
      </c>
      <c r="SB10">
        <v>96.13</v>
      </c>
      <c r="SC10">
        <v>96.094999999999999</v>
      </c>
      <c r="SD10">
        <v>96.045000000000002</v>
      </c>
      <c r="SE10">
        <v>96.23</v>
      </c>
      <c r="SF10">
        <v>96.114999999999995</v>
      </c>
      <c r="SG10">
        <v>96.194999999999993</v>
      </c>
      <c r="SH10">
        <v>96.26</v>
      </c>
      <c r="SI10">
        <v>96.275000000000006</v>
      </c>
      <c r="SJ10">
        <v>96.41</v>
      </c>
      <c r="SK10">
        <v>96.405000000000001</v>
      </c>
      <c r="SL10">
        <v>96.415000000000006</v>
      </c>
      <c r="SM10">
        <v>96.39</v>
      </c>
      <c r="SN10">
        <v>96.59</v>
      </c>
      <c r="SO10">
        <v>96.37</v>
      </c>
      <c r="SP10">
        <v>96.16</v>
      </c>
      <c r="SQ10">
        <v>96.165000000000006</v>
      </c>
      <c r="SR10">
        <v>96.045000000000002</v>
      </c>
      <c r="SS10">
        <v>95.984999999999999</v>
      </c>
      <c r="ST10">
        <v>96.07</v>
      </c>
      <c r="SU10">
        <v>96.125</v>
      </c>
      <c r="SV10">
        <v>96.125</v>
      </c>
      <c r="SW10">
        <v>96.21</v>
      </c>
      <c r="SX10">
        <v>96.245000000000005</v>
      </c>
      <c r="SY10">
        <v>96.454999999999998</v>
      </c>
      <c r="SZ10">
        <v>96.38</v>
      </c>
      <c r="TA10">
        <v>96.49</v>
      </c>
      <c r="TB10">
        <v>96.435000000000002</v>
      </c>
      <c r="TC10">
        <v>96.375</v>
      </c>
      <c r="TD10">
        <v>96.504999999999995</v>
      </c>
      <c r="TE10">
        <v>96.28</v>
      </c>
      <c r="TF10">
        <v>96.24</v>
      </c>
      <c r="TG10">
        <v>96.24</v>
      </c>
      <c r="TH10">
        <v>96.35</v>
      </c>
      <c r="TI10">
        <v>96.284999999999997</v>
      </c>
      <c r="TJ10">
        <v>96.275000000000006</v>
      </c>
      <c r="TK10">
        <v>96.45</v>
      </c>
      <c r="TL10">
        <v>96.42</v>
      </c>
      <c r="TM10">
        <v>96.53</v>
      </c>
      <c r="TN10">
        <v>96.495000000000005</v>
      </c>
      <c r="TO10">
        <v>96.564999999999998</v>
      </c>
      <c r="TP10">
        <v>96.644999999999996</v>
      </c>
      <c r="TQ10">
        <v>96.605000000000004</v>
      </c>
      <c r="TR10">
        <v>96.82</v>
      </c>
      <c r="TS10">
        <v>96.754999999999995</v>
      </c>
      <c r="TT10">
        <v>96.66</v>
      </c>
      <c r="TU10">
        <v>96.47</v>
      </c>
      <c r="TV10">
        <v>96.47</v>
      </c>
      <c r="TW10">
        <v>96.57</v>
      </c>
      <c r="TX10">
        <v>96.75</v>
      </c>
      <c r="TY10">
        <v>96.77</v>
      </c>
      <c r="TZ10">
        <v>96.75</v>
      </c>
      <c r="UA10">
        <v>96.765000000000001</v>
      </c>
      <c r="UB10">
        <v>96.825000000000003</v>
      </c>
      <c r="UC10">
        <v>96.995000000000005</v>
      </c>
      <c r="UD10">
        <v>97.08</v>
      </c>
      <c r="UE10">
        <v>97.12</v>
      </c>
      <c r="UF10">
        <v>97.114999999999995</v>
      </c>
      <c r="UG10">
        <v>97.234999999999999</v>
      </c>
      <c r="UH10">
        <v>97.23</v>
      </c>
      <c r="UI10">
        <v>97.084999999999994</v>
      </c>
      <c r="UJ10">
        <v>97.064999999999998</v>
      </c>
      <c r="UK10">
        <v>97.14</v>
      </c>
      <c r="UL10">
        <v>97.344999999999999</v>
      </c>
      <c r="UM10">
        <v>97.16</v>
      </c>
      <c r="UN10">
        <v>97.094999999999999</v>
      </c>
      <c r="UO10">
        <v>96.9</v>
      </c>
      <c r="UP10">
        <v>96.99</v>
      </c>
      <c r="UQ10">
        <v>96.93</v>
      </c>
      <c r="UR10">
        <v>97.094999999999999</v>
      </c>
      <c r="US10">
        <v>97.16</v>
      </c>
      <c r="UT10">
        <v>96.905000000000001</v>
      </c>
      <c r="UU10">
        <v>96.844999999999999</v>
      </c>
      <c r="UV10">
        <v>96.85</v>
      </c>
      <c r="UW10">
        <v>96.72</v>
      </c>
      <c r="UX10">
        <v>96.8</v>
      </c>
      <c r="UY10">
        <v>96.795000000000002</v>
      </c>
      <c r="UZ10">
        <v>96.91</v>
      </c>
      <c r="VA10">
        <v>97.04</v>
      </c>
      <c r="VB10">
        <v>97.064999999999998</v>
      </c>
      <c r="VC10">
        <v>96.93</v>
      </c>
      <c r="VD10">
        <v>97.004999999999995</v>
      </c>
      <c r="VE10">
        <v>97.04</v>
      </c>
      <c r="VF10">
        <v>97.204999999999998</v>
      </c>
      <c r="VG10">
        <v>97.254999999999995</v>
      </c>
      <c r="VH10">
        <v>97.18</v>
      </c>
      <c r="VI10">
        <v>97.02</v>
      </c>
      <c r="VJ10">
        <v>96.875</v>
      </c>
      <c r="VK10">
        <v>96.805000000000007</v>
      </c>
      <c r="VL10">
        <v>96.814999999999998</v>
      </c>
      <c r="VM10">
        <v>96.844999999999999</v>
      </c>
      <c r="VN10">
        <v>96.94</v>
      </c>
      <c r="VO10">
        <v>97.135000000000005</v>
      </c>
      <c r="VP10">
        <v>97.114999999999995</v>
      </c>
      <c r="VQ10">
        <v>96.944999999999993</v>
      </c>
      <c r="VR10">
        <v>96.694999999999993</v>
      </c>
      <c r="VS10">
        <v>96.86</v>
      </c>
      <c r="VT10">
        <v>96.954999999999998</v>
      </c>
      <c r="VU10">
        <v>96.625</v>
      </c>
      <c r="VV10">
        <v>96.69</v>
      </c>
      <c r="VW10">
        <v>96.44</v>
      </c>
      <c r="VX10">
        <v>96.65</v>
      </c>
      <c r="VY10">
        <v>96.284999999999997</v>
      </c>
      <c r="VZ10">
        <v>95.915000000000006</v>
      </c>
      <c r="WA10">
        <v>95.69</v>
      </c>
      <c r="WB10">
        <v>95.694999999999993</v>
      </c>
      <c r="WC10">
        <v>95.78</v>
      </c>
      <c r="WD10">
        <v>95.79</v>
      </c>
      <c r="WE10">
        <v>95.69</v>
      </c>
      <c r="WF10">
        <v>95.76</v>
      </c>
      <c r="WG10">
        <v>95.885000000000005</v>
      </c>
      <c r="WH10">
        <v>95.915000000000006</v>
      </c>
      <c r="WI10">
        <v>95.9</v>
      </c>
      <c r="WJ10">
        <v>96.114999999999995</v>
      </c>
      <c r="WK10">
        <v>96.094999999999999</v>
      </c>
      <c r="WL10">
        <v>96.08</v>
      </c>
      <c r="WM10">
        <v>96.224999999999994</v>
      </c>
      <c r="WN10">
        <v>96.224999999999994</v>
      </c>
      <c r="WO10">
        <v>96.174999999999997</v>
      </c>
      <c r="WP10">
        <v>96.14</v>
      </c>
      <c r="WQ10">
        <v>96.204999999999998</v>
      </c>
      <c r="WR10">
        <v>96.394999999999996</v>
      </c>
      <c r="WS10">
        <v>96.424999999999997</v>
      </c>
      <c r="WT10">
        <v>96.44</v>
      </c>
      <c r="WU10">
        <v>96.555000000000007</v>
      </c>
      <c r="WV10">
        <v>96.525000000000006</v>
      </c>
      <c r="WW10">
        <v>96.55</v>
      </c>
      <c r="WX10">
        <v>96.754999999999995</v>
      </c>
      <c r="WY10">
        <v>96.995000000000005</v>
      </c>
      <c r="WZ10">
        <v>96.96</v>
      </c>
      <c r="XA10">
        <v>96.81</v>
      </c>
      <c r="XB10">
        <v>96.72</v>
      </c>
      <c r="XC10">
        <v>96.82</v>
      </c>
      <c r="XD10">
        <v>96.875</v>
      </c>
      <c r="XE10">
        <v>96.94</v>
      </c>
      <c r="XF10">
        <v>96.935000000000002</v>
      </c>
      <c r="XG10">
        <v>96.89</v>
      </c>
      <c r="XH10">
        <v>96.98</v>
      </c>
      <c r="XI10">
        <v>97.084999999999994</v>
      </c>
      <c r="XJ10">
        <v>97.13</v>
      </c>
      <c r="XK10">
        <v>96.95</v>
      </c>
      <c r="XL10">
        <v>96.89</v>
      </c>
      <c r="XM10">
        <v>96.89</v>
      </c>
      <c r="XN10">
        <v>97</v>
      </c>
      <c r="XO10">
        <v>96.9</v>
      </c>
      <c r="XP10">
        <v>96.814999999999998</v>
      </c>
      <c r="XQ10">
        <v>96.894999999999996</v>
      </c>
      <c r="XR10">
        <v>96.814999999999998</v>
      </c>
      <c r="XS10">
        <v>96.51</v>
      </c>
      <c r="XT10">
        <v>96.58</v>
      </c>
      <c r="XU10">
        <v>96.52</v>
      </c>
      <c r="XV10">
        <v>96.5</v>
      </c>
      <c r="XW10">
        <v>96.5</v>
      </c>
      <c r="XX10">
        <v>96.484999999999999</v>
      </c>
      <c r="XY10">
        <v>96.49</v>
      </c>
      <c r="XZ10">
        <v>96.5</v>
      </c>
      <c r="YA10">
        <v>96.594999999999999</v>
      </c>
      <c r="YB10">
        <v>96.594999999999999</v>
      </c>
      <c r="YC10">
        <v>96.685000000000002</v>
      </c>
      <c r="YD10">
        <v>96.74</v>
      </c>
      <c r="YE10">
        <v>96.454999999999998</v>
      </c>
      <c r="YF10">
        <v>96.515000000000001</v>
      </c>
      <c r="YG10">
        <v>96.6</v>
      </c>
      <c r="YH10">
        <v>96.555000000000007</v>
      </c>
      <c r="YI10">
        <v>96.56</v>
      </c>
      <c r="YJ10">
        <v>96.56</v>
      </c>
      <c r="YK10">
        <v>96.355000000000004</v>
      </c>
      <c r="YL10">
        <v>96.435000000000002</v>
      </c>
      <c r="YM10">
        <v>96.46</v>
      </c>
      <c r="YN10">
        <v>96.555000000000007</v>
      </c>
      <c r="YO10">
        <v>96.42</v>
      </c>
      <c r="YP10">
        <v>96.38</v>
      </c>
      <c r="YQ10">
        <v>96.545000000000002</v>
      </c>
      <c r="YR10">
        <v>96.525000000000006</v>
      </c>
      <c r="YS10">
        <v>96.385000000000005</v>
      </c>
      <c r="YT10">
        <v>96.224999999999994</v>
      </c>
      <c r="YU10">
        <v>96.23</v>
      </c>
      <c r="YV10">
        <v>96.224999999999994</v>
      </c>
      <c r="YW10">
        <v>96.25</v>
      </c>
      <c r="YX10">
        <v>96.25</v>
      </c>
      <c r="YY10">
        <v>96.24</v>
      </c>
      <c r="YZ10">
        <v>96.12</v>
      </c>
      <c r="ZA10">
        <v>96.135000000000005</v>
      </c>
      <c r="ZB10">
        <v>96.224999999999994</v>
      </c>
      <c r="ZC10">
        <v>96.375</v>
      </c>
      <c r="ZD10">
        <v>96.34</v>
      </c>
      <c r="ZE10">
        <v>96.194999999999993</v>
      </c>
      <c r="ZF10">
        <v>96.26</v>
      </c>
      <c r="ZG10">
        <v>96.234999999999999</v>
      </c>
      <c r="ZH10">
        <v>95.814999999999998</v>
      </c>
      <c r="ZI10">
        <v>95.724999999999994</v>
      </c>
      <c r="ZJ10">
        <v>95.64</v>
      </c>
      <c r="ZK10">
        <v>95.72</v>
      </c>
      <c r="ZL10">
        <v>95.66</v>
      </c>
      <c r="ZM10">
        <v>95.814999999999998</v>
      </c>
      <c r="ZN10">
        <v>95.885000000000005</v>
      </c>
      <c r="ZO10">
        <v>95.91</v>
      </c>
      <c r="ZP10">
        <v>95.99</v>
      </c>
      <c r="ZQ10">
        <v>96.125</v>
      </c>
      <c r="ZR10">
        <v>95.984999999999999</v>
      </c>
      <c r="ZS10">
        <v>95.91</v>
      </c>
      <c r="ZT10">
        <v>95.85</v>
      </c>
      <c r="ZU10">
        <v>95.814999999999998</v>
      </c>
      <c r="ZV10">
        <v>95.65</v>
      </c>
      <c r="ZW10">
        <v>95.784999999999997</v>
      </c>
      <c r="ZX10">
        <v>95.94</v>
      </c>
      <c r="ZY10">
        <v>95.92</v>
      </c>
      <c r="ZZ10">
        <v>95.86</v>
      </c>
      <c r="AAA10">
        <v>95.935000000000002</v>
      </c>
      <c r="AAB10">
        <v>96.055000000000007</v>
      </c>
      <c r="AAC10">
        <v>95.974999999999994</v>
      </c>
      <c r="AAD10">
        <v>95.97</v>
      </c>
      <c r="AAE10">
        <v>95.995000000000005</v>
      </c>
      <c r="AAF10">
        <v>96.08</v>
      </c>
      <c r="AAG10">
        <v>96.19</v>
      </c>
      <c r="AAH10">
        <v>96.314999999999998</v>
      </c>
      <c r="AAI10">
        <v>96.23</v>
      </c>
      <c r="AAJ10">
        <v>96.09</v>
      </c>
      <c r="AAK10">
        <v>96.155000000000001</v>
      </c>
      <c r="AAL10">
        <v>96.23</v>
      </c>
      <c r="AAM10">
        <v>95.935000000000002</v>
      </c>
      <c r="AAN10">
        <v>95.91</v>
      </c>
      <c r="AAO10">
        <v>96.06</v>
      </c>
      <c r="AAP10">
        <v>96.17</v>
      </c>
      <c r="AAQ10">
        <v>96.35</v>
      </c>
      <c r="AAR10">
        <v>96.19</v>
      </c>
      <c r="AAS10">
        <v>96.23</v>
      </c>
      <c r="AAT10">
        <v>96.325000000000003</v>
      </c>
      <c r="AAU10">
        <v>96.275000000000006</v>
      </c>
      <c r="AAV10">
        <v>96.41</v>
      </c>
      <c r="AAW10">
        <v>96.47</v>
      </c>
      <c r="AAX10">
        <v>96.625</v>
      </c>
      <c r="AAY10">
        <v>96.625</v>
      </c>
      <c r="AAZ10">
        <v>96.685000000000002</v>
      </c>
      <c r="ABA10">
        <v>96.724999999999994</v>
      </c>
      <c r="ABB10">
        <v>96.63</v>
      </c>
      <c r="ABC10">
        <v>96.76</v>
      </c>
      <c r="ABD10">
        <v>96.76</v>
      </c>
      <c r="ABE10">
        <v>96.635000000000005</v>
      </c>
      <c r="ABF10">
        <v>96.72</v>
      </c>
      <c r="ABG10">
        <v>96.7</v>
      </c>
      <c r="ABH10">
        <v>96.74</v>
      </c>
      <c r="ABI10">
        <v>96.79</v>
      </c>
      <c r="ABJ10">
        <v>96.825000000000003</v>
      </c>
      <c r="ABK10">
        <v>96.795000000000002</v>
      </c>
      <c r="ABL10">
        <v>96.84</v>
      </c>
      <c r="ABM10">
        <v>96.79</v>
      </c>
      <c r="ABN10">
        <v>96.905000000000001</v>
      </c>
      <c r="ABO10">
        <v>96.965000000000003</v>
      </c>
      <c r="ABP10">
        <v>96.935000000000002</v>
      </c>
      <c r="ABQ10">
        <v>97.05</v>
      </c>
      <c r="ABR10">
        <v>97.125</v>
      </c>
      <c r="ABS10">
        <v>97.045000000000002</v>
      </c>
      <c r="ABT10">
        <v>97.094999999999999</v>
      </c>
      <c r="ABU10">
        <v>97.15</v>
      </c>
      <c r="ABV10">
        <v>97.09</v>
      </c>
      <c r="ABW10">
        <v>97.194999999999993</v>
      </c>
      <c r="ABX10">
        <v>97.12</v>
      </c>
      <c r="ABY10">
        <v>97.34</v>
      </c>
      <c r="ABZ10">
        <v>97.21</v>
      </c>
      <c r="ACA10">
        <v>97.254999999999995</v>
      </c>
      <c r="ACB10">
        <v>97.495000000000005</v>
      </c>
      <c r="ACC10">
        <v>97.5</v>
      </c>
      <c r="ACD10">
        <v>97.495000000000005</v>
      </c>
      <c r="ACE10">
        <v>97.39</v>
      </c>
      <c r="ACF10">
        <v>97.334999999999994</v>
      </c>
      <c r="ACG10">
        <v>97.37</v>
      </c>
      <c r="ACH10">
        <v>97.415000000000006</v>
      </c>
      <c r="ACI10">
        <v>97.254999999999995</v>
      </c>
      <c r="ACJ10">
        <v>97.05</v>
      </c>
      <c r="ACK10">
        <v>97.055000000000007</v>
      </c>
      <c r="ACL10">
        <v>97.155000000000001</v>
      </c>
      <c r="ACM10">
        <v>97.185000000000002</v>
      </c>
      <c r="ACN10">
        <v>97.204999999999998</v>
      </c>
      <c r="ACO10">
        <v>97.26</v>
      </c>
      <c r="ACP10">
        <v>97.265000000000001</v>
      </c>
      <c r="ACQ10">
        <v>97.234999999999999</v>
      </c>
      <c r="ACR10">
        <v>97.155000000000001</v>
      </c>
      <c r="ACS10">
        <v>97.254999999999995</v>
      </c>
      <c r="ACT10">
        <v>97.33</v>
      </c>
      <c r="ACU10">
        <v>97.53</v>
      </c>
      <c r="ACV10">
        <v>97.46</v>
      </c>
      <c r="ACW10">
        <v>97.46</v>
      </c>
      <c r="ACX10">
        <v>97.28</v>
      </c>
      <c r="ACY10">
        <v>97.07</v>
      </c>
      <c r="ACZ10">
        <v>96.915000000000006</v>
      </c>
      <c r="ADA10">
        <v>96.91</v>
      </c>
      <c r="ADB10">
        <v>96.984999999999999</v>
      </c>
      <c r="ADC10">
        <v>97.034999999999997</v>
      </c>
      <c r="ADD10">
        <v>96.92</v>
      </c>
      <c r="ADE10">
        <v>96.71</v>
      </c>
      <c r="ADF10">
        <v>96.694999999999993</v>
      </c>
      <c r="ADG10">
        <v>96.694999999999993</v>
      </c>
      <c r="ADH10">
        <v>96.685000000000002</v>
      </c>
      <c r="ADI10">
        <v>96.614999999999995</v>
      </c>
      <c r="ADJ10">
        <v>96.32</v>
      </c>
      <c r="ADK10">
        <v>96.344999999999999</v>
      </c>
      <c r="ADL10">
        <v>96.59</v>
      </c>
      <c r="ADM10">
        <v>96.83</v>
      </c>
      <c r="ADN10">
        <v>96.9</v>
      </c>
      <c r="ADO10">
        <v>96.935000000000002</v>
      </c>
      <c r="ADP10">
        <v>96.905000000000001</v>
      </c>
      <c r="ADQ10">
        <v>97.004999999999995</v>
      </c>
      <c r="ADR10">
        <v>97.06</v>
      </c>
      <c r="ADS10">
        <v>97.03</v>
      </c>
      <c r="ADT10">
        <v>97.2</v>
      </c>
      <c r="ADU10">
        <v>97.254999999999995</v>
      </c>
      <c r="ADV10">
        <v>97.254999999999995</v>
      </c>
      <c r="ADW10">
        <v>97.29</v>
      </c>
      <c r="ADX10">
        <v>97.305000000000007</v>
      </c>
      <c r="ADY10">
        <v>97.29</v>
      </c>
      <c r="ADZ10">
        <v>97.15</v>
      </c>
      <c r="AEA10">
        <v>97.21</v>
      </c>
      <c r="AEB10">
        <v>97.125</v>
      </c>
      <c r="AEC10">
        <v>97.045000000000002</v>
      </c>
      <c r="AED10">
        <v>97</v>
      </c>
      <c r="AEE10">
        <v>97.174999999999997</v>
      </c>
      <c r="AEF10">
        <v>97.1</v>
      </c>
      <c r="AEG10">
        <v>97.18</v>
      </c>
      <c r="AEH10">
        <v>97.03</v>
      </c>
      <c r="AEI10">
        <v>97.004999999999995</v>
      </c>
      <c r="AEJ10">
        <v>96.974999999999994</v>
      </c>
      <c r="AEK10">
        <v>96.85</v>
      </c>
      <c r="AEL10">
        <v>96.814999999999998</v>
      </c>
      <c r="AEM10">
        <v>96.94</v>
      </c>
      <c r="AEN10">
        <v>96.79</v>
      </c>
      <c r="AEO10">
        <v>96.79</v>
      </c>
      <c r="AEP10">
        <v>96.87</v>
      </c>
      <c r="AEQ10">
        <v>96.91</v>
      </c>
      <c r="AER10">
        <v>97.01</v>
      </c>
      <c r="AES10">
        <v>97.04</v>
      </c>
      <c r="AET10">
        <v>96.92</v>
      </c>
      <c r="AEU10">
        <v>96.805000000000007</v>
      </c>
      <c r="AEV10">
        <v>96.77</v>
      </c>
      <c r="AEW10">
        <v>96.9</v>
      </c>
      <c r="AEX10">
        <v>96.88</v>
      </c>
      <c r="AEY10">
        <v>97.03</v>
      </c>
      <c r="AEZ10">
        <v>97.055000000000007</v>
      </c>
      <c r="AFA10">
        <v>97.055000000000007</v>
      </c>
      <c r="AFB10">
        <v>97.19</v>
      </c>
      <c r="AFC10">
        <v>97.135000000000005</v>
      </c>
      <c r="AFD10">
        <v>96.944999999999993</v>
      </c>
      <c r="AFE10">
        <v>96.894999999999996</v>
      </c>
      <c r="AFF10">
        <v>97.02</v>
      </c>
      <c r="AFG10">
        <v>96.954999999999998</v>
      </c>
      <c r="AFH10">
        <v>96.95</v>
      </c>
      <c r="AFI10">
        <v>97.05</v>
      </c>
      <c r="AFJ10">
        <v>97.045000000000002</v>
      </c>
      <c r="AFK10">
        <v>97.23</v>
      </c>
      <c r="AFL10">
        <v>97.19</v>
      </c>
      <c r="AFM10">
        <v>97.144999999999996</v>
      </c>
      <c r="AFN10">
        <v>97.12</v>
      </c>
      <c r="AFO10">
        <v>97.18</v>
      </c>
      <c r="AFP10">
        <v>97.39</v>
      </c>
      <c r="AFQ10">
        <v>97.405000000000001</v>
      </c>
      <c r="AFR10">
        <v>97.34</v>
      </c>
      <c r="AFS10">
        <v>97.35</v>
      </c>
      <c r="AFT10">
        <v>97.545000000000002</v>
      </c>
      <c r="AFU10">
        <v>97.55</v>
      </c>
      <c r="AFV10">
        <v>97.545000000000002</v>
      </c>
      <c r="AFW10">
        <v>97.64</v>
      </c>
      <c r="AFX10">
        <v>97.66</v>
      </c>
      <c r="AFY10">
        <v>97.814999999999998</v>
      </c>
      <c r="AFZ10">
        <v>97.86</v>
      </c>
      <c r="AGA10">
        <v>97.905000000000001</v>
      </c>
      <c r="AGB10">
        <v>97.99</v>
      </c>
      <c r="AGC10">
        <v>98.114999999999995</v>
      </c>
      <c r="AGD10">
        <v>98.174999999999997</v>
      </c>
      <c r="AGE10">
        <v>98.07</v>
      </c>
      <c r="AGF10">
        <v>98.094999999999999</v>
      </c>
      <c r="AGG10">
        <v>98.364999999999995</v>
      </c>
      <c r="AGH10">
        <v>98.125</v>
      </c>
      <c r="AGI10">
        <v>97.91</v>
      </c>
      <c r="AGJ10">
        <v>97.96</v>
      </c>
      <c r="AGK10">
        <v>97.93</v>
      </c>
      <c r="AGL10">
        <v>97.965000000000003</v>
      </c>
      <c r="AGM10">
        <v>98.03</v>
      </c>
      <c r="AGN10">
        <v>98.03</v>
      </c>
      <c r="AGO10">
        <v>98.01</v>
      </c>
      <c r="AGP10">
        <v>97.94</v>
      </c>
      <c r="AGQ10">
        <v>97.9</v>
      </c>
      <c r="AGR10">
        <v>97.91</v>
      </c>
      <c r="AGS10">
        <v>97.99</v>
      </c>
      <c r="AGT10">
        <v>97.915000000000006</v>
      </c>
      <c r="AGU10">
        <v>98.13</v>
      </c>
      <c r="AGV10">
        <v>98.125</v>
      </c>
      <c r="AGW10">
        <v>98.185000000000002</v>
      </c>
      <c r="AGX10">
        <v>98.17</v>
      </c>
      <c r="AGY10">
        <v>98.314999999999998</v>
      </c>
      <c r="AGZ10">
        <v>98.36</v>
      </c>
      <c r="AHA10">
        <v>98.36</v>
      </c>
      <c r="AHB10">
        <v>98.37</v>
      </c>
      <c r="AHC10">
        <v>98.34</v>
      </c>
      <c r="AHD10">
        <v>98.31</v>
      </c>
      <c r="AHE10">
        <v>98.4</v>
      </c>
      <c r="AHF10">
        <v>98.5</v>
      </c>
      <c r="AHG10">
        <v>98.55</v>
      </c>
      <c r="AHH10">
        <v>98.454999999999998</v>
      </c>
      <c r="AHI10">
        <v>98.364999999999995</v>
      </c>
      <c r="AHJ10">
        <v>98.39</v>
      </c>
      <c r="AHK10">
        <v>98.35</v>
      </c>
      <c r="AHL10">
        <v>98.424999999999997</v>
      </c>
      <c r="AHM10">
        <v>98.424999999999997</v>
      </c>
      <c r="AHN10">
        <v>98.53</v>
      </c>
      <c r="AHO10">
        <v>98.51</v>
      </c>
      <c r="AHP10">
        <v>98.49</v>
      </c>
      <c r="AHQ10">
        <v>98.46</v>
      </c>
      <c r="AHR10">
        <v>98.51</v>
      </c>
      <c r="AHS10">
        <v>98.54</v>
      </c>
      <c r="AHT10">
        <v>98.59</v>
      </c>
      <c r="AHU10">
        <v>98.68</v>
      </c>
      <c r="AHV10">
        <v>98.65</v>
      </c>
      <c r="AHW10">
        <v>98.75</v>
      </c>
      <c r="AHX10">
        <v>98.734999999999999</v>
      </c>
      <c r="AHY10">
        <v>98.71</v>
      </c>
      <c r="AHZ10">
        <v>98.724999999999994</v>
      </c>
      <c r="AIA10">
        <v>98.71</v>
      </c>
      <c r="AIB10">
        <v>98.73</v>
      </c>
      <c r="AIC10">
        <v>98.73</v>
      </c>
      <c r="AID10">
        <v>98.745000000000005</v>
      </c>
      <c r="AIE10">
        <v>98.734999999999999</v>
      </c>
      <c r="AIF10">
        <v>98.81</v>
      </c>
      <c r="AIG10">
        <v>98.79</v>
      </c>
      <c r="AIH10">
        <v>98.805000000000007</v>
      </c>
      <c r="AII10">
        <v>98.69</v>
      </c>
      <c r="AIJ10">
        <v>98.844999999999999</v>
      </c>
      <c r="AIK10">
        <v>98.87</v>
      </c>
      <c r="AIL10">
        <v>98.83</v>
      </c>
      <c r="AIM10">
        <v>98.784999999999997</v>
      </c>
      <c r="AIN10">
        <v>98.8</v>
      </c>
      <c r="AIO10">
        <v>98.765000000000001</v>
      </c>
      <c r="AIP10">
        <v>98.83</v>
      </c>
      <c r="AIQ10">
        <v>98.894999999999996</v>
      </c>
      <c r="AIR10">
        <v>98.84</v>
      </c>
      <c r="AIS10">
        <v>98.91</v>
      </c>
      <c r="AIT10">
        <v>98.95</v>
      </c>
      <c r="AIU10">
        <v>98.974999999999994</v>
      </c>
      <c r="AIV10">
        <v>98.98</v>
      </c>
      <c r="AIW10">
        <v>98.775000000000006</v>
      </c>
      <c r="AIX10">
        <v>98.775000000000006</v>
      </c>
      <c r="AIY10">
        <v>98.82</v>
      </c>
      <c r="AIZ10">
        <v>98.784999999999997</v>
      </c>
      <c r="AJA10">
        <v>98.915000000000006</v>
      </c>
      <c r="AJB10">
        <v>98.91</v>
      </c>
      <c r="AJC10">
        <v>98.885000000000005</v>
      </c>
      <c r="AJD10">
        <v>98.855000000000004</v>
      </c>
      <c r="AJE10">
        <v>98.86</v>
      </c>
      <c r="AJF10">
        <v>98.86</v>
      </c>
      <c r="AJG10">
        <v>98.844999999999999</v>
      </c>
      <c r="AJH10">
        <v>98.92</v>
      </c>
      <c r="AJI10">
        <v>99.1</v>
      </c>
      <c r="AJJ10">
        <v>99.064999999999998</v>
      </c>
      <c r="AJK10">
        <v>99.15</v>
      </c>
      <c r="AJL10">
        <v>99.094999999999999</v>
      </c>
      <c r="AJM10">
        <v>98.98</v>
      </c>
      <c r="AJN10">
        <v>99.025000000000006</v>
      </c>
      <c r="AJO10">
        <v>98.94</v>
      </c>
      <c r="AJP10">
        <v>98.95</v>
      </c>
      <c r="AJQ10">
        <v>98.974999999999994</v>
      </c>
      <c r="AJR10">
        <v>98.995000000000005</v>
      </c>
      <c r="AJS10">
        <v>99.02</v>
      </c>
      <c r="AJT10">
        <v>99.04</v>
      </c>
      <c r="AJU10">
        <v>98.99</v>
      </c>
      <c r="AJV10">
        <v>99.025000000000006</v>
      </c>
      <c r="AJW10">
        <v>99.12</v>
      </c>
      <c r="AJX10">
        <v>99.105000000000004</v>
      </c>
      <c r="AJY10">
        <v>99.064999999999998</v>
      </c>
      <c r="AJZ10">
        <v>99.114999999999995</v>
      </c>
      <c r="AKA10">
        <v>99.215000000000003</v>
      </c>
      <c r="AKB10">
        <v>99.174999999999997</v>
      </c>
      <c r="AKC10">
        <v>99.24</v>
      </c>
      <c r="AKD10">
        <v>99.26</v>
      </c>
      <c r="AKE10">
        <v>99.31</v>
      </c>
      <c r="AKF10">
        <v>99.344999999999999</v>
      </c>
      <c r="AKG10">
        <v>99.375</v>
      </c>
      <c r="AKH10">
        <v>99.4</v>
      </c>
      <c r="AKI10">
        <v>99.424999999999997</v>
      </c>
      <c r="AKJ10">
        <v>99.435000000000002</v>
      </c>
      <c r="AKK10">
        <v>99.385000000000005</v>
      </c>
      <c r="AKL10">
        <v>99.37</v>
      </c>
      <c r="AKM10">
        <v>99.344999999999999</v>
      </c>
      <c r="AKN10">
        <v>99.344999999999999</v>
      </c>
      <c r="AKO10">
        <v>99.36</v>
      </c>
      <c r="AKP10">
        <v>99.385000000000005</v>
      </c>
      <c r="AKQ10">
        <v>99.435000000000002</v>
      </c>
      <c r="AKR10">
        <v>99.495000000000005</v>
      </c>
      <c r="AKS10">
        <v>99.495000000000005</v>
      </c>
      <c r="AKT10">
        <v>99.465000000000003</v>
      </c>
      <c r="AKU10">
        <v>99.48</v>
      </c>
      <c r="AKV10">
        <v>99.504999999999995</v>
      </c>
      <c r="AKW10">
        <v>99.64</v>
      </c>
      <c r="AKX10">
        <v>99.63</v>
      </c>
      <c r="AKY10">
        <v>99.625</v>
      </c>
      <c r="AKZ10">
        <v>99.64</v>
      </c>
      <c r="ALA10">
        <v>99.635000000000005</v>
      </c>
      <c r="ALB10">
        <v>99.635000000000005</v>
      </c>
      <c r="ALC10">
        <v>99.655000000000001</v>
      </c>
      <c r="ALD10">
        <v>99.655000000000001</v>
      </c>
      <c r="ALE10">
        <v>99.644999999999996</v>
      </c>
      <c r="ALF10">
        <v>99.635000000000005</v>
      </c>
      <c r="ALG10">
        <v>99.64</v>
      </c>
      <c r="ALH10">
        <v>99.635000000000005</v>
      </c>
      <c r="ALI10">
        <v>99.614999999999995</v>
      </c>
      <c r="ALJ10">
        <v>99.584999999999994</v>
      </c>
      <c r="ALK10">
        <v>99.584999999999994</v>
      </c>
      <c r="ALL10">
        <v>99.594999999999999</v>
      </c>
      <c r="ALM10">
        <v>99.6</v>
      </c>
      <c r="ALN10">
        <v>99.59</v>
      </c>
      <c r="ALO10">
        <v>99.594999999999999</v>
      </c>
      <c r="ALP10">
        <v>99.594999999999999</v>
      </c>
      <c r="ALQ10">
        <v>99.594999999999999</v>
      </c>
      <c r="ALR10">
        <v>99.61</v>
      </c>
      <c r="ALS10">
        <v>99.59</v>
      </c>
      <c r="ALT10">
        <v>99.564999999999998</v>
      </c>
      <c r="ALU10">
        <v>99.58</v>
      </c>
      <c r="ALV10">
        <v>99.55</v>
      </c>
      <c r="ALW10">
        <v>99.58</v>
      </c>
      <c r="ALX10">
        <v>99.594999999999999</v>
      </c>
      <c r="ALY10">
        <v>99.635000000000005</v>
      </c>
      <c r="ALZ10">
        <v>99.674999999999997</v>
      </c>
      <c r="AMA10">
        <v>99.71</v>
      </c>
      <c r="AMB10">
        <v>99.704999999999998</v>
      </c>
      <c r="AMC10">
        <v>99.67</v>
      </c>
      <c r="AMD10">
        <v>99.644999999999996</v>
      </c>
      <c r="AME10">
        <v>99.625</v>
      </c>
      <c r="AMF10">
        <v>99.665000000000006</v>
      </c>
      <c r="AMG10">
        <v>99.644999999999996</v>
      </c>
      <c r="AMH10">
        <v>99.644999999999996</v>
      </c>
      <c r="AMI10">
        <v>99.655000000000001</v>
      </c>
      <c r="AMJ10">
        <v>99.64</v>
      </c>
      <c r="AMK10">
        <v>99.685000000000002</v>
      </c>
      <c r="AML10">
        <v>99.65</v>
      </c>
      <c r="AMM10">
        <v>99.564999999999998</v>
      </c>
      <c r="AMN10">
        <v>99.564999999999998</v>
      </c>
      <c r="AMO10">
        <v>99.56</v>
      </c>
      <c r="AMP10">
        <v>99.52</v>
      </c>
      <c r="AMQ10">
        <v>99.594999999999999</v>
      </c>
      <c r="AMR10">
        <v>99.61</v>
      </c>
      <c r="AMS10">
        <v>99.655000000000001</v>
      </c>
      <c r="AMT10">
        <v>99.6</v>
      </c>
      <c r="AMU10">
        <v>99.584999999999994</v>
      </c>
      <c r="AMV10">
        <v>99.55</v>
      </c>
      <c r="AMW10">
        <v>99.55</v>
      </c>
      <c r="AMX10">
        <v>99.504999999999995</v>
      </c>
      <c r="AMY10">
        <v>99.525000000000006</v>
      </c>
      <c r="AMZ10">
        <v>99.52</v>
      </c>
      <c r="ANA10">
        <v>99.525000000000006</v>
      </c>
      <c r="ANB10">
        <v>99.504999999999995</v>
      </c>
      <c r="ANC10">
        <v>99.52</v>
      </c>
      <c r="AND10">
        <v>99.53</v>
      </c>
      <c r="ANE10">
        <v>99.564999999999998</v>
      </c>
      <c r="ANF10">
        <v>99.534999999999997</v>
      </c>
      <c r="ANG10">
        <v>99.53</v>
      </c>
      <c r="ANH10">
        <v>99.584999999999994</v>
      </c>
      <c r="ANI10">
        <v>99.625</v>
      </c>
      <c r="ANJ10">
        <v>99.784999999999997</v>
      </c>
      <c r="ANK10">
        <v>99.784999999999997</v>
      </c>
      <c r="ANL10">
        <v>99.8</v>
      </c>
      <c r="ANM10">
        <v>99.81</v>
      </c>
      <c r="ANN10">
        <v>99.81</v>
      </c>
      <c r="ANO10">
        <v>99.8</v>
      </c>
      <c r="ANP10">
        <v>99.8</v>
      </c>
      <c r="ANQ10">
        <v>99.8</v>
      </c>
      <c r="ANR10">
        <v>99.78</v>
      </c>
      <c r="ANS10">
        <v>99.79</v>
      </c>
      <c r="ANT10">
        <v>99.784999999999997</v>
      </c>
      <c r="ANU10">
        <v>99.79</v>
      </c>
      <c r="ANV10">
        <v>99.79</v>
      </c>
      <c r="ANW10">
        <v>99.79</v>
      </c>
      <c r="ANX10">
        <v>99.795000000000002</v>
      </c>
      <c r="ANY10">
        <v>99.795000000000002</v>
      </c>
      <c r="ANZ10">
        <v>99.775000000000006</v>
      </c>
      <c r="AOA10">
        <v>99.77</v>
      </c>
      <c r="AOB10">
        <v>99.77</v>
      </c>
      <c r="AOC10">
        <v>99.745000000000005</v>
      </c>
      <c r="AOD10">
        <v>99.765000000000001</v>
      </c>
      <c r="AOE10">
        <v>99.765000000000001</v>
      </c>
      <c r="AOF10">
        <v>99.765000000000001</v>
      </c>
      <c r="AOG10">
        <v>99.765000000000001</v>
      </c>
      <c r="AOH10">
        <v>99.75</v>
      </c>
      <c r="AOI10">
        <v>99.784999999999997</v>
      </c>
      <c r="AOJ10">
        <v>99.8</v>
      </c>
      <c r="AOK10">
        <v>99.81</v>
      </c>
      <c r="AOL10">
        <v>99.775000000000006</v>
      </c>
      <c r="AOM10">
        <v>99.77</v>
      </c>
      <c r="AON10">
        <v>99.765000000000001</v>
      </c>
      <c r="AOO10">
        <v>99.76</v>
      </c>
      <c r="AOP10">
        <v>99.75</v>
      </c>
      <c r="AOQ10">
        <v>99.75</v>
      </c>
      <c r="AOR10">
        <v>99.75</v>
      </c>
      <c r="AOS10">
        <v>99.74</v>
      </c>
      <c r="AOT10">
        <v>99.75</v>
      </c>
      <c r="AOU10">
        <v>99.754999999999995</v>
      </c>
      <c r="AOV10">
        <v>99.765000000000001</v>
      </c>
      <c r="AOW10">
        <v>99.77</v>
      </c>
      <c r="AOX10">
        <v>99.78</v>
      </c>
      <c r="AOY10">
        <v>99.77</v>
      </c>
      <c r="AOZ10">
        <v>99.76</v>
      </c>
      <c r="APA10">
        <v>99.775000000000006</v>
      </c>
      <c r="APB10">
        <v>99.75</v>
      </c>
      <c r="APC10">
        <v>99.76</v>
      </c>
      <c r="APD10">
        <v>99.724999999999994</v>
      </c>
      <c r="APE10">
        <v>99.74</v>
      </c>
      <c r="APF10">
        <v>99.75</v>
      </c>
      <c r="APG10">
        <v>99.74</v>
      </c>
      <c r="APH10">
        <v>99.71</v>
      </c>
      <c r="API10">
        <v>99.68</v>
      </c>
      <c r="APJ10">
        <v>99.655000000000001</v>
      </c>
      <c r="APK10">
        <v>99.71</v>
      </c>
      <c r="APL10">
        <v>99.71</v>
      </c>
      <c r="APM10">
        <v>99.724999999999994</v>
      </c>
      <c r="APN10">
        <v>99.734999999999999</v>
      </c>
      <c r="APO10">
        <v>99.754999999999995</v>
      </c>
      <c r="APP10">
        <v>99.765000000000001</v>
      </c>
      <c r="APQ10">
        <v>99.754999999999995</v>
      </c>
      <c r="APR10">
        <v>99.745000000000005</v>
      </c>
      <c r="APS10">
        <v>99.74</v>
      </c>
      <c r="APT10">
        <v>99.734999999999999</v>
      </c>
      <c r="APU10">
        <v>99.74</v>
      </c>
      <c r="APV10">
        <v>99.775000000000006</v>
      </c>
      <c r="APW10">
        <v>99.83</v>
      </c>
      <c r="APX10">
        <v>99.825000000000003</v>
      </c>
      <c r="APY10">
        <v>99.82</v>
      </c>
      <c r="APZ10">
        <v>99.84</v>
      </c>
      <c r="AQA10">
        <v>99.834999999999994</v>
      </c>
      <c r="AQB10">
        <v>99.825000000000003</v>
      </c>
      <c r="AQC10">
        <v>99.82</v>
      </c>
      <c r="AQD10">
        <v>99.844999999999999</v>
      </c>
      <c r="AQE10">
        <v>99.84</v>
      </c>
      <c r="AQF10">
        <v>99.84</v>
      </c>
      <c r="AQG10">
        <v>99.855000000000004</v>
      </c>
      <c r="AQH10">
        <v>99.855000000000004</v>
      </c>
      <c r="AQI10">
        <v>99.83</v>
      </c>
      <c r="AQJ10">
        <v>99.825000000000003</v>
      </c>
      <c r="AQK10">
        <v>99.885000000000005</v>
      </c>
      <c r="AQL10">
        <v>99.885000000000005</v>
      </c>
      <c r="AQM10">
        <v>99.885000000000005</v>
      </c>
      <c r="AQN10">
        <v>99.885000000000005</v>
      </c>
      <c r="AQO10">
        <v>99.89</v>
      </c>
      <c r="AQP10">
        <v>99.89</v>
      </c>
      <c r="AQQ10">
        <v>99.88</v>
      </c>
      <c r="AQR10">
        <v>99.9</v>
      </c>
      <c r="AQS10">
        <v>99.9</v>
      </c>
      <c r="AQT10">
        <v>99.905000000000001</v>
      </c>
      <c r="AQU10">
        <v>99.905000000000001</v>
      </c>
      <c r="AQV10">
        <v>99.9</v>
      </c>
      <c r="AQW10">
        <v>99.9</v>
      </c>
      <c r="AQX10">
        <v>99.91</v>
      </c>
      <c r="AQY10">
        <v>99.91</v>
      </c>
      <c r="AQZ10">
        <v>99.91</v>
      </c>
      <c r="ARA10">
        <v>99.915000000000006</v>
      </c>
      <c r="ARB10">
        <v>99.92</v>
      </c>
      <c r="ARC10">
        <v>99.915000000000006</v>
      </c>
      <c r="ARD10">
        <v>99.91</v>
      </c>
      <c r="ARE10">
        <v>99.915000000000006</v>
      </c>
      <c r="ARF10">
        <v>99.915000000000006</v>
      </c>
      <c r="ARG10">
        <v>99.915000000000006</v>
      </c>
      <c r="ARH10">
        <v>99.91</v>
      </c>
      <c r="ARI10">
        <v>99.91</v>
      </c>
      <c r="ARJ10">
        <v>99.905000000000001</v>
      </c>
      <c r="ARK10">
        <v>99.905000000000001</v>
      </c>
      <c r="ARL10">
        <v>99.905000000000001</v>
      </c>
      <c r="ARM10">
        <v>99.905000000000001</v>
      </c>
      <c r="ARN10">
        <v>99.9</v>
      </c>
      <c r="ARO10">
        <v>99.885000000000005</v>
      </c>
      <c r="ARP10">
        <v>99.88</v>
      </c>
      <c r="ARQ10">
        <v>99.88</v>
      </c>
      <c r="ARR10">
        <v>99.88</v>
      </c>
      <c r="ARS10">
        <v>99.89</v>
      </c>
      <c r="ART10">
        <v>99.91</v>
      </c>
      <c r="ARU10">
        <v>99.92</v>
      </c>
      <c r="ARV10">
        <v>99.924999999999997</v>
      </c>
      <c r="ARW10">
        <v>99.915000000000006</v>
      </c>
      <c r="ARX10">
        <v>99.915000000000006</v>
      </c>
      <c r="ARY10">
        <v>99.905000000000001</v>
      </c>
      <c r="ARZ10">
        <v>99.905000000000001</v>
      </c>
      <c r="ASA10">
        <v>99.905000000000001</v>
      </c>
      <c r="ASB10">
        <v>99.91</v>
      </c>
      <c r="ASC10">
        <v>99.91</v>
      </c>
      <c r="ASD10">
        <v>99.91</v>
      </c>
      <c r="ASE10">
        <v>99.915000000000006</v>
      </c>
      <c r="ASF10">
        <v>99.91</v>
      </c>
      <c r="ASG10">
        <v>99.91</v>
      </c>
      <c r="ASH10">
        <v>99.91</v>
      </c>
      <c r="ASI10">
        <v>99.91</v>
      </c>
      <c r="ASJ10">
        <v>99.924999999999997</v>
      </c>
      <c r="ASK10">
        <v>99.924999999999997</v>
      </c>
      <c r="ASL10">
        <v>99.92</v>
      </c>
      <c r="ASM10">
        <v>99.91</v>
      </c>
      <c r="ASN10">
        <v>99.905000000000001</v>
      </c>
      <c r="ASO10">
        <v>99.905000000000001</v>
      </c>
      <c r="ASP10">
        <v>99.905000000000001</v>
      </c>
      <c r="ASQ10">
        <v>99.894999999999996</v>
      </c>
      <c r="ASR10">
        <v>99.894999999999996</v>
      </c>
      <c r="ASS10">
        <v>99.9</v>
      </c>
      <c r="AST10">
        <v>99.9</v>
      </c>
      <c r="ASU10">
        <v>99.915000000000006</v>
      </c>
      <c r="ASV10">
        <v>99.924999999999997</v>
      </c>
      <c r="ASW10">
        <v>99.92</v>
      </c>
      <c r="ASX10">
        <v>99.92</v>
      </c>
      <c r="ASY10">
        <v>99.915000000000006</v>
      </c>
      <c r="ASZ10">
        <v>99.915000000000006</v>
      </c>
      <c r="ATA10">
        <v>99.92</v>
      </c>
      <c r="ATB10">
        <v>99.92</v>
      </c>
      <c r="ATC10">
        <v>99.915000000000006</v>
      </c>
      <c r="ATD10">
        <v>99.92</v>
      </c>
      <c r="ATE10">
        <v>99.915000000000006</v>
      </c>
      <c r="ATF10">
        <v>99.915000000000006</v>
      </c>
      <c r="ATG10">
        <v>99.92</v>
      </c>
      <c r="ATH10">
        <v>99.915000000000006</v>
      </c>
      <c r="ATI10">
        <v>99.915000000000006</v>
      </c>
      <c r="ATJ10">
        <v>99.92</v>
      </c>
      <c r="ATK10">
        <v>99.954999999999998</v>
      </c>
      <c r="ATL10">
        <v>99.96</v>
      </c>
      <c r="ATM10">
        <v>99.98</v>
      </c>
      <c r="ATN10">
        <v>99.95</v>
      </c>
      <c r="ATO10">
        <v>99.96</v>
      </c>
      <c r="ATP10">
        <v>99.954999999999998</v>
      </c>
      <c r="ATQ10">
        <v>99.96</v>
      </c>
      <c r="ATR10">
        <v>99.965000000000003</v>
      </c>
      <c r="ATS10">
        <v>99.965000000000003</v>
      </c>
      <c r="ATT10">
        <v>99.965000000000003</v>
      </c>
      <c r="ATU10">
        <v>99.954999999999998</v>
      </c>
      <c r="ATV10">
        <v>99.95</v>
      </c>
      <c r="ATW10">
        <v>99.96</v>
      </c>
      <c r="ATX10">
        <v>99.96</v>
      </c>
      <c r="ATY10">
        <v>99.965000000000003</v>
      </c>
      <c r="ATZ10">
        <v>99.97</v>
      </c>
      <c r="AUA10">
        <v>99.97</v>
      </c>
      <c r="AUB10">
        <v>99.98</v>
      </c>
      <c r="AUC10">
        <v>99.974999999999994</v>
      </c>
      <c r="AUD10">
        <v>99.965000000000003</v>
      </c>
      <c r="AUE10">
        <v>99.965000000000003</v>
      </c>
      <c r="AUF10">
        <v>99.97</v>
      </c>
      <c r="AUG10">
        <v>99.97</v>
      </c>
      <c r="AUH10">
        <v>99.98</v>
      </c>
      <c r="AUI10">
        <v>99.98</v>
      </c>
      <c r="AUJ10">
        <v>99.995000000000005</v>
      </c>
      <c r="AUK10">
        <v>99.995000000000005</v>
      </c>
      <c r="AUL10">
        <v>100</v>
      </c>
      <c r="AUM10">
        <v>100.005</v>
      </c>
      <c r="AUN10">
        <v>100.005</v>
      </c>
      <c r="AUO10">
        <v>100.01</v>
      </c>
      <c r="AUP10">
        <v>100.01</v>
      </c>
      <c r="AUQ10">
        <v>100.015</v>
      </c>
      <c r="AUR10">
        <v>100.015</v>
      </c>
      <c r="AUS10">
        <v>100.005</v>
      </c>
      <c r="AUT10">
        <v>100</v>
      </c>
      <c r="AUU10">
        <v>100.01</v>
      </c>
      <c r="AUV10">
        <v>100.005</v>
      </c>
      <c r="AUW10">
        <v>100.01</v>
      </c>
      <c r="AUX10">
        <v>100.015</v>
      </c>
      <c r="AUY10">
        <v>100.02</v>
      </c>
      <c r="AUZ10">
        <v>100</v>
      </c>
      <c r="AVA10">
        <v>99.995000000000005</v>
      </c>
      <c r="AVB10">
        <v>100</v>
      </c>
      <c r="AVC10">
        <v>99.99</v>
      </c>
      <c r="AVD10">
        <v>99.99</v>
      </c>
      <c r="AVE10">
        <v>100.015</v>
      </c>
      <c r="AVF10">
        <v>100.005</v>
      </c>
      <c r="AVG10">
        <v>100.015</v>
      </c>
      <c r="AVH10">
        <v>100.01</v>
      </c>
      <c r="AVI10">
        <v>100.01</v>
      </c>
      <c r="AVJ10">
        <v>99.99</v>
      </c>
      <c r="AVK10">
        <v>100</v>
      </c>
      <c r="AVL10">
        <v>100.005</v>
      </c>
      <c r="AVM10">
        <v>100.015</v>
      </c>
      <c r="AVN10">
        <v>100.015</v>
      </c>
      <c r="AVO10">
        <v>100.02500000000001</v>
      </c>
      <c r="AVP10">
        <v>100.02500000000001</v>
      </c>
      <c r="AVQ10">
        <v>100.015</v>
      </c>
      <c r="AVR10">
        <v>100.005</v>
      </c>
      <c r="AVS10">
        <v>99.995000000000005</v>
      </c>
      <c r="AVT10">
        <v>99.995000000000005</v>
      </c>
      <c r="AVU10">
        <v>100</v>
      </c>
      <c r="AVV10">
        <v>100</v>
      </c>
      <c r="AVW10">
        <v>100.03</v>
      </c>
      <c r="AVX10">
        <v>100.04</v>
      </c>
      <c r="AVY10">
        <v>100.06</v>
      </c>
      <c r="AVZ10">
        <v>100.065</v>
      </c>
      <c r="AWA10">
        <v>100.075</v>
      </c>
      <c r="AWB10">
        <v>100.07</v>
      </c>
      <c r="AWC10">
        <v>100.065</v>
      </c>
      <c r="AWD10">
        <v>100.06</v>
      </c>
      <c r="AWE10">
        <v>100.05</v>
      </c>
      <c r="AWF10">
        <v>100.04</v>
      </c>
      <c r="AWG10">
        <v>100.035</v>
      </c>
      <c r="AWH10">
        <v>100.045</v>
      </c>
      <c r="AWI10">
        <v>100.05</v>
      </c>
      <c r="AWJ10">
        <v>100.05</v>
      </c>
      <c r="AWK10">
        <v>100.045</v>
      </c>
      <c r="AWL10">
        <v>100.04</v>
      </c>
      <c r="AWM10">
        <v>100.035</v>
      </c>
      <c r="AWN10">
        <v>100.035</v>
      </c>
      <c r="AWO10">
        <v>100.035</v>
      </c>
      <c r="AWP10">
        <v>100.045</v>
      </c>
      <c r="AWQ10">
        <v>100.045</v>
      </c>
      <c r="AWR10">
        <v>100.05</v>
      </c>
      <c r="AWS10">
        <v>100.05500000000001</v>
      </c>
      <c r="AWT10">
        <v>100.04</v>
      </c>
      <c r="AWU10">
        <v>100.035</v>
      </c>
      <c r="AWV10">
        <v>100.035</v>
      </c>
      <c r="AWW10">
        <v>100.035</v>
      </c>
      <c r="AWX10">
        <v>100.035</v>
      </c>
      <c r="AWY10">
        <v>100.03</v>
      </c>
      <c r="AWZ10">
        <v>100.045</v>
      </c>
      <c r="AXA10">
        <v>100.045</v>
      </c>
      <c r="AXB10">
        <v>100.035</v>
      </c>
      <c r="AXC10">
        <v>100.015</v>
      </c>
      <c r="AXD10">
        <v>100.015</v>
      </c>
      <c r="AXE10">
        <v>100.015</v>
      </c>
      <c r="AXF10">
        <v>100.01</v>
      </c>
      <c r="AXG10">
        <v>100</v>
      </c>
      <c r="AXH10">
        <v>99.99</v>
      </c>
      <c r="AXI10">
        <v>99.984999999999999</v>
      </c>
      <c r="AXJ10">
        <v>99.974999999999994</v>
      </c>
      <c r="AXK10">
        <v>99.984999999999999</v>
      </c>
      <c r="AXL10">
        <v>99.97</v>
      </c>
      <c r="AXM10">
        <v>99.984999999999999</v>
      </c>
      <c r="AXN10">
        <v>99.97</v>
      </c>
      <c r="AXO10">
        <v>99.94</v>
      </c>
      <c r="AXP10">
        <v>99.915000000000006</v>
      </c>
      <c r="AXQ10">
        <v>99.915000000000006</v>
      </c>
      <c r="AXR10">
        <v>99.954999999999998</v>
      </c>
      <c r="AXS10">
        <v>99.965000000000003</v>
      </c>
      <c r="AXT10">
        <v>100</v>
      </c>
      <c r="AXU10">
        <v>100.005</v>
      </c>
      <c r="AXV10">
        <v>99.995000000000005</v>
      </c>
      <c r="AXW10">
        <v>99.974999999999994</v>
      </c>
      <c r="AXX10">
        <v>99.98</v>
      </c>
      <c r="AXY10">
        <v>99.984999999999999</v>
      </c>
      <c r="AXZ10">
        <v>99.995000000000005</v>
      </c>
      <c r="AYA10">
        <v>99.995000000000005</v>
      </c>
      <c r="AYB10">
        <v>99.99</v>
      </c>
      <c r="AYC10">
        <v>99.99</v>
      </c>
      <c r="AYD10">
        <v>99.99</v>
      </c>
      <c r="AYE10">
        <v>99.99</v>
      </c>
      <c r="AYF10">
        <v>100.015</v>
      </c>
      <c r="AYG10">
        <v>100.01</v>
      </c>
      <c r="AYH10">
        <v>100</v>
      </c>
      <c r="AYI10">
        <v>99.99</v>
      </c>
      <c r="AYJ10">
        <v>99.984999999999999</v>
      </c>
      <c r="AYK10">
        <v>100.005</v>
      </c>
      <c r="AYL10">
        <v>100.015</v>
      </c>
      <c r="AYM10">
        <v>99.96</v>
      </c>
      <c r="AYN10">
        <v>99.94</v>
      </c>
      <c r="AYO10">
        <v>99.94</v>
      </c>
      <c r="AYP10">
        <v>99.924999999999997</v>
      </c>
      <c r="AYQ10">
        <v>99.93</v>
      </c>
      <c r="AYR10">
        <v>99.924999999999997</v>
      </c>
      <c r="AYS10">
        <v>99.915000000000006</v>
      </c>
      <c r="AYT10">
        <v>99.915000000000006</v>
      </c>
      <c r="AYU10">
        <v>99.924999999999997</v>
      </c>
      <c r="AYV10">
        <v>99.924999999999997</v>
      </c>
      <c r="AYW10">
        <v>99.92</v>
      </c>
      <c r="AYX10">
        <v>99.93</v>
      </c>
      <c r="AYY10">
        <v>99.92</v>
      </c>
      <c r="AYZ10">
        <v>99.91</v>
      </c>
      <c r="AZA10">
        <v>99.9</v>
      </c>
      <c r="AZB10">
        <v>99.9</v>
      </c>
      <c r="AZC10">
        <v>99.88</v>
      </c>
      <c r="AZD10">
        <v>99.864999999999995</v>
      </c>
      <c r="AZE10">
        <v>99.875</v>
      </c>
      <c r="AZF10">
        <v>99.875</v>
      </c>
      <c r="AZG10">
        <v>99.855000000000004</v>
      </c>
      <c r="AZH10">
        <v>99.844999999999999</v>
      </c>
      <c r="AZI10">
        <v>99.87</v>
      </c>
      <c r="AZJ10">
        <v>99.924999999999997</v>
      </c>
      <c r="AZK10">
        <v>99.924999999999997</v>
      </c>
      <c r="AZL10">
        <v>99.924999999999997</v>
      </c>
      <c r="AZM10">
        <v>99.91</v>
      </c>
      <c r="AZN10">
        <v>99.93</v>
      </c>
      <c r="AZO10">
        <v>99.905000000000001</v>
      </c>
      <c r="AZP10">
        <v>99.894999999999996</v>
      </c>
      <c r="AZQ10">
        <v>99.864999999999995</v>
      </c>
      <c r="AZR10">
        <v>99.855000000000004</v>
      </c>
      <c r="AZS10">
        <v>99.92</v>
      </c>
      <c r="AZT10">
        <v>99.85</v>
      </c>
      <c r="AZU10">
        <v>99.795000000000002</v>
      </c>
      <c r="AZV10">
        <v>99.715000000000003</v>
      </c>
      <c r="AZW10">
        <v>99.82</v>
      </c>
      <c r="AZX10">
        <v>99.875</v>
      </c>
      <c r="AZY10">
        <v>99.8</v>
      </c>
      <c r="AZZ10">
        <v>99.8</v>
      </c>
      <c r="BAA10">
        <v>99.73</v>
      </c>
      <c r="BAB10">
        <v>99.704999999999998</v>
      </c>
      <c r="BAC10">
        <v>99.8</v>
      </c>
      <c r="BAD10">
        <v>99.724999999999994</v>
      </c>
      <c r="BAE10">
        <v>99.644999999999996</v>
      </c>
      <c r="BAF10">
        <v>99.584999999999994</v>
      </c>
      <c r="BAG10">
        <v>99.51</v>
      </c>
      <c r="BAH10">
        <v>99.44</v>
      </c>
      <c r="BAI10">
        <v>99.44</v>
      </c>
      <c r="BAJ10">
        <v>99.234999999999999</v>
      </c>
      <c r="BAK10">
        <v>99.174999999999997</v>
      </c>
      <c r="BAL10">
        <v>99.144999999999996</v>
      </c>
      <c r="BAM10">
        <v>99.094999999999999</v>
      </c>
      <c r="BAN10">
        <v>98.99</v>
      </c>
      <c r="BAO10">
        <v>98.924999999999997</v>
      </c>
      <c r="BAP10">
        <v>98.88</v>
      </c>
      <c r="BAQ10">
        <v>98.905000000000001</v>
      </c>
      <c r="BAR10">
        <v>98.875</v>
      </c>
      <c r="BAS10">
        <v>98.875</v>
      </c>
      <c r="BAT10">
        <v>98.844999999999999</v>
      </c>
      <c r="BAU10">
        <v>98.844999999999999</v>
      </c>
      <c r="BAV10">
        <v>98.88</v>
      </c>
      <c r="BAW10">
        <v>98.91</v>
      </c>
      <c r="BAX10">
        <v>98.88</v>
      </c>
      <c r="BAY10">
        <v>98.825000000000003</v>
      </c>
      <c r="BAZ10">
        <v>98.844999999999999</v>
      </c>
      <c r="BBA10">
        <v>98.885000000000005</v>
      </c>
      <c r="BBB10">
        <v>98.97</v>
      </c>
      <c r="BBC10">
        <v>98.995000000000005</v>
      </c>
      <c r="BBD10">
        <v>98.94</v>
      </c>
      <c r="BBE10">
        <v>98.894999999999996</v>
      </c>
      <c r="BBF10">
        <v>98.844999999999999</v>
      </c>
      <c r="BBG10">
        <v>98.88</v>
      </c>
      <c r="BBH10">
        <v>98.805000000000007</v>
      </c>
      <c r="BBI10">
        <v>98.745000000000005</v>
      </c>
      <c r="BBJ10">
        <v>98.724999999999994</v>
      </c>
      <c r="BBK10">
        <v>98.71</v>
      </c>
      <c r="BBL10">
        <v>98.655000000000001</v>
      </c>
      <c r="BBM10">
        <v>98.655000000000001</v>
      </c>
      <c r="BBN10">
        <v>98.67</v>
      </c>
      <c r="BBO10">
        <v>98.68</v>
      </c>
      <c r="BBP10">
        <v>98.674999999999997</v>
      </c>
      <c r="BBQ10">
        <v>98.66</v>
      </c>
      <c r="BBR10">
        <v>98.67</v>
      </c>
      <c r="BBS10">
        <v>98.655000000000001</v>
      </c>
      <c r="BBT10">
        <v>98.65</v>
      </c>
      <c r="BBU10">
        <v>98.694999999999993</v>
      </c>
      <c r="BBV10">
        <v>98.704999999999998</v>
      </c>
      <c r="BBW10">
        <v>98.71</v>
      </c>
      <c r="BBX10">
        <v>98.625</v>
      </c>
      <c r="BBY10">
        <v>98.62</v>
      </c>
      <c r="BBZ10">
        <v>98.62</v>
      </c>
      <c r="BCA10">
        <v>98.625</v>
      </c>
      <c r="BCB10">
        <v>98.625</v>
      </c>
      <c r="BCC10">
        <v>98.584999999999994</v>
      </c>
      <c r="BCD10">
        <v>98.584999999999994</v>
      </c>
      <c r="BCE10">
        <v>98.584999999999994</v>
      </c>
      <c r="BCF10">
        <v>98.564999999999998</v>
      </c>
      <c r="BCG10">
        <v>98.6</v>
      </c>
      <c r="BCH10">
        <v>98.614999999999995</v>
      </c>
      <c r="BCI10">
        <v>98.59</v>
      </c>
      <c r="BCJ10">
        <v>98.614999999999995</v>
      </c>
      <c r="BCK10">
        <v>98.61</v>
      </c>
      <c r="BCL10">
        <v>98.68</v>
      </c>
      <c r="BCM10">
        <v>98.61</v>
      </c>
      <c r="BCN10">
        <v>98.69</v>
      </c>
      <c r="BCO10">
        <v>98.65</v>
      </c>
      <c r="BCP10">
        <v>98.67</v>
      </c>
      <c r="BCQ10">
        <v>98.674999999999997</v>
      </c>
      <c r="BCR10">
        <v>98.73</v>
      </c>
      <c r="BCS10">
        <v>98.74</v>
      </c>
      <c r="BCT10">
        <v>98.814999999999998</v>
      </c>
      <c r="BCU10">
        <v>98.694999999999993</v>
      </c>
      <c r="BCV10">
        <v>98.724999999999994</v>
      </c>
      <c r="BCW10">
        <v>98.715000000000003</v>
      </c>
      <c r="BCX10">
        <v>98.715000000000003</v>
      </c>
      <c r="BCY10">
        <v>98.754999999999995</v>
      </c>
      <c r="BCZ10">
        <v>98.745000000000005</v>
      </c>
      <c r="BDA10">
        <v>98.73</v>
      </c>
      <c r="BDB10">
        <v>98.76</v>
      </c>
      <c r="BDC10">
        <v>98.79</v>
      </c>
      <c r="BDD10">
        <v>98.754999999999995</v>
      </c>
      <c r="BDE10">
        <v>98.73</v>
      </c>
      <c r="BDF10">
        <v>98.704999999999998</v>
      </c>
      <c r="BDG10">
        <v>98.715000000000003</v>
      </c>
      <c r="BDH10">
        <v>98.665000000000006</v>
      </c>
      <c r="BDI10">
        <v>98.62</v>
      </c>
      <c r="BDJ10">
        <v>98.584999999999994</v>
      </c>
      <c r="BDK10">
        <v>98.594999999999999</v>
      </c>
      <c r="BDL10">
        <v>98.58</v>
      </c>
      <c r="BDM10">
        <v>98.685000000000002</v>
      </c>
      <c r="BDN10">
        <v>98.655000000000001</v>
      </c>
      <c r="BDO10">
        <v>98.704999999999998</v>
      </c>
      <c r="BDP10">
        <v>98.754999999999995</v>
      </c>
      <c r="BDQ10">
        <v>98.83</v>
      </c>
      <c r="BDR10">
        <v>98.704999999999998</v>
      </c>
      <c r="BDS10">
        <v>98.685000000000002</v>
      </c>
      <c r="BDT10">
        <v>98.69</v>
      </c>
      <c r="BDU10">
        <v>98.72</v>
      </c>
      <c r="BDV10">
        <v>98.77</v>
      </c>
      <c r="BDW10">
        <v>98.78</v>
      </c>
      <c r="BDX10">
        <v>98.76</v>
      </c>
      <c r="BDY10">
        <v>98.734999999999999</v>
      </c>
      <c r="BDZ10">
        <v>98.77</v>
      </c>
      <c r="BEA10">
        <v>98.745000000000005</v>
      </c>
      <c r="BEB10">
        <v>98.77</v>
      </c>
      <c r="BEC10">
        <v>98.73</v>
      </c>
      <c r="BED10">
        <v>98.775000000000006</v>
      </c>
      <c r="BEE10">
        <v>98.754999999999995</v>
      </c>
      <c r="BEF10">
        <v>98.89</v>
      </c>
      <c r="BEG10">
        <v>98.954999999999998</v>
      </c>
      <c r="BEH10">
        <v>99.015000000000001</v>
      </c>
      <c r="BEI10">
        <v>98.965000000000003</v>
      </c>
      <c r="BEJ10">
        <v>99.034999999999997</v>
      </c>
      <c r="BEK10">
        <v>99.045000000000002</v>
      </c>
      <c r="BEL10">
        <v>98.944999999999993</v>
      </c>
      <c r="BEM10">
        <v>98.87</v>
      </c>
      <c r="BEN10">
        <v>98.8</v>
      </c>
      <c r="BEO10">
        <v>98.81</v>
      </c>
      <c r="BEP10">
        <v>98.8</v>
      </c>
      <c r="BEQ10">
        <v>98.784999999999997</v>
      </c>
      <c r="BER10">
        <v>98.885000000000005</v>
      </c>
      <c r="BES10">
        <v>98.79</v>
      </c>
      <c r="BET10">
        <v>98.75</v>
      </c>
      <c r="BEU10">
        <v>98.765000000000001</v>
      </c>
      <c r="BEV10">
        <v>98.73</v>
      </c>
      <c r="BEW10">
        <v>98.724999999999994</v>
      </c>
      <c r="BEX10">
        <v>98.685000000000002</v>
      </c>
      <c r="BEY10">
        <v>98.625</v>
      </c>
      <c r="BEZ10">
        <v>98.715000000000003</v>
      </c>
      <c r="BFA10">
        <v>98.8</v>
      </c>
      <c r="BFB10">
        <v>98.825000000000003</v>
      </c>
      <c r="BFC10">
        <v>98.93</v>
      </c>
      <c r="BFD10">
        <v>99</v>
      </c>
      <c r="BFE10">
        <v>99.004999999999995</v>
      </c>
      <c r="BFF10">
        <v>99.135000000000005</v>
      </c>
      <c r="BFG10">
        <v>99.094999999999999</v>
      </c>
      <c r="BFH10">
        <v>99.015000000000001</v>
      </c>
      <c r="BFI10">
        <v>99.015000000000001</v>
      </c>
      <c r="BFJ10">
        <v>98.99</v>
      </c>
      <c r="BFK10">
        <v>99.03</v>
      </c>
      <c r="BFL10">
        <v>98.99</v>
      </c>
      <c r="BFM10">
        <v>98.95</v>
      </c>
      <c r="BFN10">
        <v>98.98</v>
      </c>
      <c r="BFO10">
        <v>98.875</v>
      </c>
      <c r="BFP10">
        <v>98.91</v>
      </c>
      <c r="BFQ10">
        <v>98.95</v>
      </c>
      <c r="BFR10">
        <v>98.91</v>
      </c>
      <c r="BFS10">
        <v>98.97</v>
      </c>
      <c r="BFT10">
        <v>98.965000000000003</v>
      </c>
      <c r="BFU10">
        <v>98.89</v>
      </c>
      <c r="BFV10">
        <v>98.805000000000007</v>
      </c>
      <c r="BFW10">
        <v>98.91</v>
      </c>
      <c r="BFX10">
        <v>98.834999999999994</v>
      </c>
      <c r="BFY10">
        <v>98.88</v>
      </c>
      <c r="BFZ10">
        <v>98.954999999999998</v>
      </c>
      <c r="BGA10">
        <v>98.87</v>
      </c>
      <c r="BGB10">
        <v>98.935000000000002</v>
      </c>
      <c r="BGC10">
        <v>98.715000000000003</v>
      </c>
      <c r="BGD10">
        <v>98.694999999999993</v>
      </c>
      <c r="BGE10">
        <v>98.504999999999995</v>
      </c>
      <c r="BGF10">
        <v>98.564999999999998</v>
      </c>
      <c r="BGG10">
        <v>98.575000000000003</v>
      </c>
      <c r="BGH10">
        <v>98.56</v>
      </c>
      <c r="BGI10">
        <v>98.59</v>
      </c>
      <c r="BGJ10">
        <v>98.614999999999995</v>
      </c>
      <c r="BGK10">
        <v>98.61</v>
      </c>
      <c r="BGL10">
        <v>98.64</v>
      </c>
      <c r="BGM10">
        <v>98.62</v>
      </c>
      <c r="BGN10">
        <v>98.67</v>
      </c>
      <c r="BGO10">
        <v>98.584999999999994</v>
      </c>
      <c r="BGP10">
        <v>98.534999999999997</v>
      </c>
      <c r="BGQ10">
        <v>98.564999999999998</v>
      </c>
      <c r="BGR10">
        <v>98.555000000000007</v>
      </c>
      <c r="BGS10">
        <v>98.534999999999997</v>
      </c>
      <c r="BGT10">
        <v>98.575000000000003</v>
      </c>
      <c r="BGU10">
        <v>98.53</v>
      </c>
      <c r="BGV10">
        <v>98.55</v>
      </c>
      <c r="BGW10">
        <v>98.545000000000002</v>
      </c>
      <c r="BGX10">
        <v>98.65</v>
      </c>
      <c r="BGY10">
        <v>98.65</v>
      </c>
      <c r="BGZ10">
        <v>98.644999999999996</v>
      </c>
      <c r="BHA10">
        <v>98.6</v>
      </c>
      <c r="BHB10">
        <v>98.655000000000001</v>
      </c>
      <c r="BHC10">
        <v>98.67</v>
      </c>
      <c r="BHD10">
        <v>98.64</v>
      </c>
      <c r="BHE10">
        <v>98.724999999999994</v>
      </c>
      <c r="BHF10">
        <v>98.7</v>
      </c>
      <c r="BHG10">
        <v>98.65</v>
      </c>
      <c r="BHH10">
        <v>98.704999999999998</v>
      </c>
      <c r="BHI10">
        <v>98.704999999999998</v>
      </c>
      <c r="BHJ10">
        <v>98.575000000000003</v>
      </c>
      <c r="BHK10">
        <v>98.58</v>
      </c>
      <c r="BHL10">
        <v>98.61</v>
      </c>
      <c r="BHM10">
        <v>98.614999999999995</v>
      </c>
      <c r="BHN10">
        <v>98.545000000000002</v>
      </c>
      <c r="BHO10">
        <v>98.495000000000005</v>
      </c>
      <c r="BHP10">
        <v>98.5</v>
      </c>
      <c r="BHQ10">
        <v>98.55</v>
      </c>
      <c r="BHR10">
        <v>98.54</v>
      </c>
      <c r="BHS10">
        <v>98.614999999999995</v>
      </c>
      <c r="BHT10">
        <v>98.59</v>
      </c>
      <c r="BHU10">
        <v>98.635000000000005</v>
      </c>
      <c r="BHV10">
        <v>98.52</v>
      </c>
      <c r="BHW10">
        <v>98.37</v>
      </c>
      <c r="BHX10">
        <v>98.375</v>
      </c>
      <c r="BHY10">
        <v>98.334999999999994</v>
      </c>
      <c r="BHZ10">
        <v>98.27</v>
      </c>
      <c r="BIA10">
        <v>98.27</v>
      </c>
      <c r="BIB10">
        <v>98.3</v>
      </c>
      <c r="BIC10">
        <v>98.165000000000006</v>
      </c>
      <c r="BID10">
        <v>98.135000000000005</v>
      </c>
      <c r="BIE10">
        <v>98.165000000000006</v>
      </c>
      <c r="BIF10">
        <v>98.19</v>
      </c>
      <c r="BIG10">
        <v>98.185000000000002</v>
      </c>
      <c r="BIH10">
        <v>98.23</v>
      </c>
      <c r="BII10">
        <v>98.174999999999997</v>
      </c>
      <c r="BIJ10">
        <v>98.18</v>
      </c>
      <c r="BIK10">
        <v>98.094999999999999</v>
      </c>
      <c r="BIL10">
        <v>98.08</v>
      </c>
      <c r="BIM10">
        <v>98.045000000000002</v>
      </c>
      <c r="BIN10">
        <v>98.07</v>
      </c>
      <c r="BIO10">
        <v>98.025000000000006</v>
      </c>
      <c r="BIP10">
        <v>97.984999999999999</v>
      </c>
      <c r="BIQ10">
        <v>97.98</v>
      </c>
      <c r="BIR10">
        <v>98.045000000000002</v>
      </c>
      <c r="BIS10">
        <v>98.084999999999994</v>
      </c>
      <c r="BIT10">
        <v>98.055000000000007</v>
      </c>
      <c r="BIU10">
        <v>98.06</v>
      </c>
      <c r="BIV10">
        <v>98.015000000000001</v>
      </c>
      <c r="BIW10">
        <v>98.03</v>
      </c>
      <c r="BIX10">
        <v>97.974999999999994</v>
      </c>
      <c r="BIY10">
        <v>97.954999999999998</v>
      </c>
      <c r="BIZ10">
        <v>97.95</v>
      </c>
      <c r="BJA10">
        <v>97.95</v>
      </c>
      <c r="BJB10">
        <v>97.93</v>
      </c>
      <c r="BJC10">
        <v>97.92</v>
      </c>
      <c r="BJD10">
        <v>97.95</v>
      </c>
      <c r="BJE10">
        <v>97.944999999999993</v>
      </c>
      <c r="BJF10">
        <v>98.02</v>
      </c>
      <c r="BJG10">
        <v>98.055000000000007</v>
      </c>
      <c r="BJH10">
        <v>98.02</v>
      </c>
      <c r="BJI10">
        <v>97.995000000000005</v>
      </c>
      <c r="BJJ10">
        <v>98.004999999999995</v>
      </c>
      <c r="BJK10">
        <v>98.015000000000001</v>
      </c>
      <c r="BJL10">
        <v>98.025000000000006</v>
      </c>
      <c r="BJM10">
        <v>98.045000000000002</v>
      </c>
      <c r="BJN10">
        <v>98.034999999999997</v>
      </c>
      <c r="BJO10">
        <v>98.114999999999995</v>
      </c>
      <c r="BJP10">
        <v>98.19</v>
      </c>
      <c r="BJQ10">
        <v>98.22</v>
      </c>
      <c r="BJR10">
        <v>98.16</v>
      </c>
      <c r="BJS10">
        <v>98.19</v>
      </c>
      <c r="BJT10">
        <v>98.07</v>
      </c>
      <c r="BJU10">
        <v>97.944999999999993</v>
      </c>
      <c r="BJV10">
        <v>97.924999999999997</v>
      </c>
      <c r="BJW10">
        <v>97.8</v>
      </c>
      <c r="BJX10">
        <v>97.814999999999998</v>
      </c>
      <c r="BJY10">
        <v>97.82</v>
      </c>
      <c r="BJZ10">
        <v>97.79</v>
      </c>
      <c r="BKA10">
        <v>97.795000000000002</v>
      </c>
      <c r="BKB10">
        <v>97.79</v>
      </c>
      <c r="BKC10">
        <v>97.76</v>
      </c>
      <c r="BKD10">
        <v>97.77</v>
      </c>
      <c r="BKE10">
        <v>97.76</v>
      </c>
      <c r="BKF10">
        <v>97.69</v>
      </c>
      <c r="BKG10">
        <v>97.655000000000001</v>
      </c>
      <c r="BKH10">
        <v>97.66</v>
      </c>
      <c r="BKI10">
        <v>97.65</v>
      </c>
      <c r="BKJ10">
        <v>97.72</v>
      </c>
      <c r="BKK10">
        <v>97.74</v>
      </c>
      <c r="BKL10">
        <v>97.765000000000001</v>
      </c>
      <c r="BKM10">
        <v>97.74</v>
      </c>
      <c r="BKN10">
        <v>97.745000000000005</v>
      </c>
      <c r="BKO10">
        <v>97.7</v>
      </c>
      <c r="BKP10">
        <v>97.74</v>
      </c>
      <c r="BKQ10">
        <v>97.734999999999999</v>
      </c>
      <c r="BKR10">
        <v>97.72</v>
      </c>
      <c r="BKS10">
        <v>97.72</v>
      </c>
      <c r="BKT10">
        <v>97.73</v>
      </c>
      <c r="BKU10">
        <v>97.69</v>
      </c>
      <c r="BKV10">
        <v>97.75</v>
      </c>
      <c r="BKW10">
        <v>97.78</v>
      </c>
      <c r="BKX10">
        <v>97.805000000000007</v>
      </c>
      <c r="BKY10">
        <v>97.775000000000006</v>
      </c>
      <c r="BKZ10">
        <v>97.724999999999994</v>
      </c>
      <c r="BLA10">
        <v>97.715000000000003</v>
      </c>
      <c r="BLB10">
        <v>97.71</v>
      </c>
      <c r="BLC10">
        <v>97.73</v>
      </c>
      <c r="BLD10">
        <v>97.754999999999995</v>
      </c>
      <c r="BLE10">
        <v>97.685000000000002</v>
      </c>
      <c r="BLF10">
        <v>97.64</v>
      </c>
      <c r="BLG10">
        <v>97.635000000000005</v>
      </c>
      <c r="BLH10">
        <v>97.625</v>
      </c>
      <c r="BLI10">
        <v>97.65</v>
      </c>
      <c r="BLJ10">
        <v>97.64</v>
      </c>
      <c r="BLK10">
        <v>97.644999999999996</v>
      </c>
      <c r="BLL10">
        <v>97.605000000000004</v>
      </c>
      <c r="BLM10">
        <v>97.605000000000004</v>
      </c>
      <c r="BLN10">
        <v>97.674999999999997</v>
      </c>
      <c r="BLO10">
        <v>97.704999999999998</v>
      </c>
      <c r="BLP10">
        <v>97.73</v>
      </c>
      <c r="BLQ10">
        <v>97.72</v>
      </c>
      <c r="BLR10">
        <v>97.724999999999994</v>
      </c>
      <c r="BLS10">
        <v>97.71</v>
      </c>
      <c r="BLT10">
        <v>97.715000000000003</v>
      </c>
      <c r="BLU10">
        <v>97.71</v>
      </c>
      <c r="BLV10">
        <v>97.78</v>
      </c>
      <c r="BLW10">
        <v>97.825000000000003</v>
      </c>
      <c r="BLX10">
        <v>97.89</v>
      </c>
      <c r="BLY10">
        <v>97.704999999999998</v>
      </c>
      <c r="BLZ10">
        <v>97.715000000000003</v>
      </c>
      <c r="BMA10">
        <v>97.715000000000003</v>
      </c>
      <c r="BMB10">
        <v>97.71</v>
      </c>
      <c r="BMC10">
        <v>97.7</v>
      </c>
      <c r="BMD10">
        <v>97.644999999999996</v>
      </c>
      <c r="BME10">
        <v>97.62</v>
      </c>
      <c r="BMF10">
        <v>97.62</v>
      </c>
      <c r="BMG10">
        <v>97.56</v>
      </c>
      <c r="BMH10">
        <v>97.525000000000006</v>
      </c>
      <c r="BMI10">
        <v>97.52</v>
      </c>
      <c r="BMJ10">
        <v>97.504999999999995</v>
      </c>
      <c r="BMK10">
        <v>97.46</v>
      </c>
      <c r="BML10">
        <v>97.424999999999997</v>
      </c>
      <c r="BMM10">
        <v>97.394999999999996</v>
      </c>
      <c r="BMN10">
        <v>97.4</v>
      </c>
      <c r="BMO10">
        <v>97.43</v>
      </c>
      <c r="BMP10">
        <v>97.47</v>
      </c>
      <c r="BMQ10">
        <v>97.435000000000002</v>
      </c>
      <c r="BMR10">
        <v>97.394999999999996</v>
      </c>
      <c r="BMS10">
        <v>97.29</v>
      </c>
      <c r="BMT10">
        <v>97.29</v>
      </c>
      <c r="BMU10">
        <v>97.265000000000001</v>
      </c>
      <c r="BMV10">
        <v>97.284999999999997</v>
      </c>
      <c r="BMW10">
        <v>97.28</v>
      </c>
      <c r="BMX10">
        <v>97.275000000000006</v>
      </c>
      <c r="BMY10">
        <v>97.234999999999999</v>
      </c>
      <c r="BMZ10">
        <v>97.224999999999994</v>
      </c>
      <c r="BNA10">
        <v>97.234999999999999</v>
      </c>
      <c r="BNB10">
        <v>97.234999999999999</v>
      </c>
      <c r="BNC10">
        <v>97.234999999999999</v>
      </c>
      <c r="BND10">
        <v>97.234999999999999</v>
      </c>
      <c r="BNE10">
        <v>97.24</v>
      </c>
      <c r="BNF10">
        <v>97.204999999999998</v>
      </c>
      <c r="BNG10">
        <v>97.155000000000001</v>
      </c>
      <c r="BNH10">
        <v>97.144999999999996</v>
      </c>
      <c r="BNI10">
        <v>97.09</v>
      </c>
      <c r="BNJ10">
        <v>97.07</v>
      </c>
      <c r="BNK10">
        <v>97.05</v>
      </c>
      <c r="BNL10">
        <v>97.034999999999997</v>
      </c>
      <c r="BNM10">
        <v>97.07</v>
      </c>
      <c r="BNN10">
        <v>97.08</v>
      </c>
      <c r="BNO10">
        <v>97.09</v>
      </c>
      <c r="BNP10">
        <v>97.094999999999999</v>
      </c>
      <c r="BNQ10">
        <v>97.135000000000005</v>
      </c>
      <c r="BNR10">
        <v>97.125</v>
      </c>
      <c r="BNS10">
        <v>97.16</v>
      </c>
      <c r="BNT10">
        <v>97.16</v>
      </c>
      <c r="BNU10">
        <v>97.165000000000006</v>
      </c>
      <c r="BNV10">
        <v>97.094999999999999</v>
      </c>
      <c r="BNW10">
        <v>97.094999999999999</v>
      </c>
      <c r="BNX10">
        <v>97.07</v>
      </c>
      <c r="BNY10">
        <v>97.034999999999997</v>
      </c>
      <c r="BNZ10">
        <v>97.03</v>
      </c>
      <c r="BOA10">
        <v>97.05</v>
      </c>
      <c r="BOB10">
        <v>97.04</v>
      </c>
      <c r="BOC10">
        <v>97.04</v>
      </c>
      <c r="BOD10">
        <v>97.045000000000002</v>
      </c>
      <c r="BOE10">
        <v>97.055000000000007</v>
      </c>
      <c r="BOF10">
        <v>97.04</v>
      </c>
      <c r="BOG10">
        <v>96.99</v>
      </c>
      <c r="BOH10">
        <v>96.98</v>
      </c>
      <c r="BOI10">
        <v>96.984999999999999</v>
      </c>
      <c r="BOJ10">
        <v>96.99</v>
      </c>
      <c r="BOK10">
        <v>97.015000000000001</v>
      </c>
      <c r="BOL10">
        <v>97.05</v>
      </c>
      <c r="BOM10">
        <v>97.094999999999999</v>
      </c>
      <c r="BON10">
        <v>97.084999999999994</v>
      </c>
      <c r="BOO10">
        <v>97.09</v>
      </c>
      <c r="BOP10">
        <v>97.07</v>
      </c>
      <c r="BOQ10">
        <v>97.07</v>
      </c>
      <c r="BOR10">
        <v>97.06</v>
      </c>
      <c r="BOS10">
        <v>97.075000000000003</v>
      </c>
      <c r="BOT10">
        <v>97.075000000000003</v>
      </c>
      <c r="BOU10">
        <v>97.064999999999998</v>
      </c>
      <c r="BOV10">
        <v>97.084999999999994</v>
      </c>
      <c r="BOW10">
        <v>97.105000000000004</v>
      </c>
      <c r="BOX10">
        <v>97.135000000000005</v>
      </c>
      <c r="BOY10">
        <v>97.14</v>
      </c>
      <c r="BOZ10">
        <v>97.174999999999997</v>
      </c>
      <c r="BPA10">
        <v>97.2</v>
      </c>
      <c r="BPB10">
        <v>97.2</v>
      </c>
      <c r="BPC10">
        <v>97.245000000000005</v>
      </c>
      <c r="BPD10">
        <v>97.245000000000005</v>
      </c>
      <c r="BPE10">
        <v>97.305000000000007</v>
      </c>
      <c r="BPF10">
        <v>97.29</v>
      </c>
      <c r="BPG10">
        <v>97.295000000000002</v>
      </c>
      <c r="BPH10">
        <v>97.314999999999998</v>
      </c>
      <c r="BPI10">
        <v>97.314999999999998</v>
      </c>
      <c r="BPJ10">
        <v>97.29</v>
      </c>
      <c r="BPK10">
        <v>97.28</v>
      </c>
      <c r="BPL10">
        <v>97.295000000000002</v>
      </c>
      <c r="BPM10">
        <v>97.31</v>
      </c>
      <c r="BPN10">
        <v>97.33</v>
      </c>
      <c r="BPO10">
        <v>97.33</v>
      </c>
      <c r="BPP10">
        <v>97.35</v>
      </c>
      <c r="BPQ10">
        <v>97.34</v>
      </c>
      <c r="BPR10">
        <v>97.35</v>
      </c>
      <c r="BPS10">
        <v>97.325000000000003</v>
      </c>
      <c r="BPT10">
        <v>97.32</v>
      </c>
      <c r="BPU10">
        <v>97.34</v>
      </c>
      <c r="BPV10">
        <v>97.305000000000007</v>
      </c>
      <c r="BPW10">
        <v>97.334999999999994</v>
      </c>
      <c r="BPX10">
        <v>97.34</v>
      </c>
      <c r="BPY10">
        <v>97.275000000000006</v>
      </c>
      <c r="BPZ10">
        <v>97.26</v>
      </c>
      <c r="BQA10">
        <v>97.254999999999995</v>
      </c>
      <c r="BQB10">
        <v>97.26</v>
      </c>
      <c r="BQC10">
        <v>97.25</v>
      </c>
      <c r="BQD10">
        <v>97.24</v>
      </c>
      <c r="BQE10">
        <v>97.24</v>
      </c>
      <c r="BQF10">
        <v>97.245000000000005</v>
      </c>
      <c r="BQG10">
        <v>97.245000000000005</v>
      </c>
      <c r="BQH10">
        <v>97.245000000000005</v>
      </c>
      <c r="BQI10">
        <v>97.24</v>
      </c>
      <c r="BQJ10">
        <v>97.284999999999997</v>
      </c>
      <c r="BQK10">
        <v>97.284999999999997</v>
      </c>
      <c r="BQL10">
        <v>97.295000000000002</v>
      </c>
      <c r="BQM10">
        <v>97.33</v>
      </c>
      <c r="BQN10">
        <v>97.334999999999994</v>
      </c>
      <c r="BQO10">
        <v>97.32</v>
      </c>
      <c r="BQP10">
        <v>97.325000000000003</v>
      </c>
      <c r="BQQ10">
        <v>97.35</v>
      </c>
      <c r="BQR10">
        <v>97.364999999999995</v>
      </c>
      <c r="BQS10">
        <v>97.355000000000004</v>
      </c>
      <c r="BQT10">
        <v>97.364999999999995</v>
      </c>
      <c r="BQU10">
        <v>97.36</v>
      </c>
      <c r="BQV10">
        <v>97.375</v>
      </c>
      <c r="BQW10">
        <v>97.385000000000005</v>
      </c>
      <c r="BQX10">
        <v>97.364999999999995</v>
      </c>
      <c r="BQY10">
        <v>97.385000000000005</v>
      </c>
      <c r="BQZ10">
        <v>97.385000000000005</v>
      </c>
      <c r="BRA10">
        <v>97.38</v>
      </c>
      <c r="BRB10">
        <v>97.38</v>
      </c>
      <c r="BRC10">
        <v>97.385000000000005</v>
      </c>
      <c r="BRD10">
        <v>97.38</v>
      </c>
      <c r="BRE10">
        <v>97.334999999999994</v>
      </c>
      <c r="BRF10">
        <v>97.32</v>
      </c>
      <c r="BRG10">
        <v>97.295000000000002</v>
      </c>
      <c r="BRH10">
        <v>97.295000000000002</v>
      </c>
      <c r="BRI10">
        <v>97.284999999999997</v>
      </c>
      <c r="BRJ10">
        <v>97.29</v>
      </c>
      <c r="BRK10">
        <v>97.26</v>
      </c>
      <c r="BRL10">
        <v>97.27</v>
      </c>
      <c r="BRM10">
        <v>97.254999999999995</v>
      </c>
      <c r="BRN10">
        <v>97.254999999999995</v>
      </c>
      <c r="BRO10">
        <v>97.29</v>
      </c>
      <c r="BRP10">
        <v>97.305000000000007</v>
      </c>
      <c r="BRQ10">
        <v>97.32</v>
      </c>
      <c r="BRR10">
        <v>97.284999999999997</v>
      </c>
      <c r="BRS10">
        <v>97.275000000000006</v>
      </c>
      <c r="BRT10">
        <v>97.314999999999998</v>
      </c>
      <c r="BRU10">
        <v>97.305000000000007</v>
      </c>
      <c r="BRV10">
        <v>97.35</v>
      </c>
      <c r="BRW10">
        <v>97.424999999999997</v>
      </c>
      <c r="BRX10">
        <v>97.42</v>
      </c>
      <c r="BRY10">
        <v>97.515000000000001</v>
      </c>
      <c r="BRZ10">
        <v>97.3</v>
      </c>
      <c r="BSA10">
        <v>97.3</v>
      </c>
      <c r="BSB10">
        <v>97.27</v>
      </c>
      <c r="BSC10">
        <v>97.24</v>
      </c>
      <c r="BSD10">
        <v>97.19</v>
      </c>
      <c r="BSE10">
        <v>97.18</v>
      </c>
      <c r="BSF10">
        <v>97.194999999999993</v>
      </c>
      <c r="BSG10">
        <v>97.17</v>
      </c>
      <c r="BSH10">
        <v>97.18</v>
      </c>
      <c r="BSI10">
        <v>97.19</v>
      </c>
      <c r="BSJ10">
        <v>97.22</v>
      </c>
      <c r="BSK10">
        <v>97.22</v>
      </c>
      <c r="BSL10">
        <v>97.234999999999999</v>
      </c>
      <c r="BSM10">
        <v>97.254999999999995</v>
      </c>
      <c r="BSN10">
        <v>97.28</v>
      </c>
      <c r="BSO10">
        <v>97.29</v>
      </c>
      <c r="BSP10">
        <v>97.3</v>
      </c>
      <c r="BSQ10" t="s">
        <v>6984</v>
      </c>
      <c r="BSR10" t="s">
        <v>6984</v>
      </c>
      <c r="BSS10" t="s">
        <v>6984</v>
      </c>
      <c r="BST10" t="s">
        <v>6984</v>
      </c>
      <c r="BSU10" t="s">
        <v>6984</v>
      </c>
      <c r="BSV10" t="s">
        <v>6984</v>
      </c>
      <c r="BSW10" t="s">
        <v>6984</v>
      </c>
      <c r="BSX10" t="s">
        <v>6984</v>
      </c>
      <c r="BSY10" t="s">
        <v>6984</v>
      </c>
      <c r="BSZ10" t="s">
        <v>6984</v>
      </c>
      <c r="BTA10" t="s">
        <v>6984</v>
      </c>
      <c r="BTB10" t="s">
        <v>6984</v>
      </c>
      <c r="BTC10" t="s">
        <v>6984</v>
      </c>
      <c r="BTD10" t="s">
        <v>6984</v>
      </c>
      <c r="BTE10" t="s">
        <v>6984</v>
      </c>
      <c r="BTF10" t="s">
        <v>6984</v>
      </c>
      <c r="BTG10" t="s">
        <v>6984</v>
      </c>
      <c r="BTH10" t="s">
        <v>6984</v>
      </c>
      <c r="BTI10" t="s">
        <v>6984</v>
      </c>
      <c r="BTJ10" t="s">
        <v>6984</v>
      </c>
      <c r="BTK10" t="s">
        <v>6984</v>
      </c>
      <c r="BTL10" t="s">
        <v>6984</v>
      </c>
      <c r="BTM10" t="s">
        <v>6984</v>
      </c>
      <c r="BTN10" t="s">
        <v>6984</v>
      </c>
      <c r="BTO10" t="s">
        <v>6984</v>
      </c>
      <c r="BTP10" t="s">
        <v>6984</v>
      </c>
      <c r="BTQ10" t="s">
        <v>6984</v>
      </c>
      <c r="BTR10" t="s">
        <v>6984</v>
      </c>
      <c r="BTS10" t="s">
        <v>6984</v>
      </c>
      <c r="BTT10" t="s">
        <v>6984</v>
      </c>
      <c r="BTU10" t="s">
        <v>6984</v>
      </c>
      <c r="BTV10" t="s">
        <v>6984</v>
      </c>
      <c r="BTW10" t="s">
        <v>6984</v>
      </c>
      <c r="BTX10" t="s">
        <v>6984</v>
      </c>
      <c r="BTY10" t="s">
        <v>6984</v>
      </c>
      <c r="BTZ10" t="s">
        <v>6984</v>
      </c>
      <c r="BUA10" t="s">
        <v>6984</v>
      </c>
      <c r="BUB10" t="s">
        <v>6984</v>
      </c>
      <c r="BUC10" t="s">
        <v>6984</v>
      </c>
      <c r="BUD10" t="s">
        <v>6984</v>
      </c>
      <c r="BUE10" t="s">
        <v>6984</v>
      </c>
      <c r="BUF10" t="s">
        <v>6984</v>
      </c>
      <c r="BUG10" t="s">
        <v>6984</v>
      </c>
      <c r="BUH10" t="s">
        <v>6984</v>
      </c>
      <c r="BUI10" t="s">
        <v>6984</v>
      </c>
      <c r="BUJ10" t="s">
        <v>6984</v>
      </c>
      <c r="BUK10" t="s">
        <v>6984</v>
      </c>
      <c r="BUL10" t="s">
        <v>6984</v>
      </c>
      <c r="BUM10" t="s">
        <v>6984</v>
      </c>
      <c r="BUN10" t="s">
        <v>6984</v>
      </c>
      <c r="BUO10" t="s">
        <v>6984</v>
      </c>
      <c r="BUP10" t="s">
        <v>6984</v>
      </c>
      <c r="BUQ10" t="s">
        <v>6984</v>
      </c>
      <c r="BUR10" t="s">
        <v>6984</v>
      </c>
      <c r="BUS10" t="s">
        <v>6984</v>
      </c>
      <c r="BUT10" t="s">
        <v>6984</v>
      </c>
      <c r="BUU10" t="s">
        <v>6984</v>
      </c>
      <c r="BUV10" t="s">
        <v>6984</v>
      </c>
      <c r="BUW10" t="s">
        <v>6984</v>
      </c>
      <c r="BUX10" t="s">
        <v>6984</v>
      </c>
      <c r="BUY10" t="s">
        <v>6984</v>
      </c>
      <c r="BUZ10" t="s">
        <v>6984</v>
      </c>
      <c r="BVA10" t="s">
        <v>6984</v>
      </c>
      <c r="BVB10" t="s">
        <v>6984</v>
      </c>
      <c r="BVC10" t="s">
        <v>6984</v>
      </c>
      <c r="BVD10" t="s">
        <v>6984</v>
      </c>
      <c r="BVE10" t="s">
        <v>6984</v>
      </c>
      <c r="BVF10" t="s">
        <v>6984</v>
      </c>
      <c r="BVG10" t="s">
        <v>6984</v>
      </c>
      <c r="BVH10" t="s">
        <v>6984</v>
      </c>
      <c r="BVI10" t="s">
        <v>6984</v>
      </c>
      <c r="BVJ10" t="s">
        <v>6984</v>
      </c>
      <c r="BVK10" t="s">
        <v>6984</v>
      </c>
      <c r="BVL10" t="s">
        <v>6984</v>
      </c>
      <c r="BVM10" t="s">
        <v>6984</v>
      </c>
      <c r="BVN10" t="s">
        <v>6984</v>
      </c>
      <c r="BVO10" t="s">
        <v>6984</v>
      </c>
      <c r="BVP10" t="s">
        <v>6984</v>
      </c>
      <c r="BVQ10" t="s">
        <v>6984</v>
      </c>
      <c r="BVR10" t="s">
        <v>6984</v>
      </c>
      <c r="BVS10" t="s">
        <v>6984</v>
      </c>
      <c r="BVT10" t="s">
        <v>6984</v>
      </c>
      <c r="BVU10" t="s">
        <v>6984</v>
      </c>
      <c r="BVV10" t="s">
        <v>6984</v>
      </c>
      <c r="BVW10" t="s">
        <v>6984</v>
      </c>
      <c r="BVX10" t="s">
        <v>6984</v>
      </c>
      <c r="BVY10" t="s">
        <v>6984</v>
      </c>
      <c r="BVZ10" t="s">
        <v>6984</v>
      </c>
      <c r="BWA10" t="s">
        <v>6984</v>
      </c>
      <c r="BWB10" t="s">
        <v>6984</v>
      </c>
      <c r="BWC10" t="s">
        <v>6984</v>
      </c>
      <c r="BWD10" t="s">
        <v>6984</v>
      </c>
      <c r="BWE10" t="s">
        <v>6984</v>
      </c>
      <c r="BWF10" t="s">
        <v>6984</v>
      </c>
      <c r="BWG10" t="s">
        <v>6984</v>
      </c>
      <c r="BWH10" t="s">
        <v>6984</v>
      </c>
      <c r="BWI10" t="s">
        <v>6984</v>
      </c>
      <c r="BWJ10" t="s">
        <v>6984</v>
      </c>
      <c r="BWK10" t="s">
        <v>6984</v>
      </c>
      <c r="BWL10" t="s">
        <v>6984</v>
      </c>
      <c r="BWM10" t="s">
        <v>6984</v>
      </c>
      <c r="BWN10" t="s">
        <v>6984</v>
      </c>
      <c r="BWO10" t="s">
        <v>6984</v>
      </c>
      <c r="BWP10" t="s">
        <v>6984</v>
      </c>
      <c r="BWQ10" t="s">
        <v>6984</v>
      </c>
      <c r="BWR10" t="s">
        <v>6984</v>
      </c>
      <c r="BWS10" t="s">
        <v>6984</v>
      </c>
      <c r="BWT10" t="s">
        <v>6984</v>
      </c>
      <c r="BWU10" t="s">
        <v>6984</v>
      </c>
      <c r="BWV10" t="s">
        <v>6984</v>
      </c>
      <c r="BWW10" t="s">
        <v>6984</v>
      </c>
      <c r="BWX10" t="s">
        <v>6984</v>
      </c>
      <c r="BWY10" t="s">
        <v>6984</v>
      </c>
      <c r="BWZ10" t="s">
        <v>6984</v>
      </c>
      <c r="BXA10" t="s">
        <v>6984</v>
      </c>
      <c r="BXB10" t="s">
        <v>6984</v>
      </c>
      <c r="BXC10" t="s">
        <v>6984</v>
      </c>
      <c r="BXD10" t="s">
        <v>6984</v>
      </c>
      <c r="BXE10" t="s">
        <v>6984</v>
      </c>
      <c r="BXF10" t="s">
        <v>6984</v>
      </c>
      <c r="BXG10" t="s">
        <v>6984</v>
      </c>
      <c r="BXH10" t="s">
        <v>6984</v>
      </c>
      <c r="BXI10" t="s">
        <v>6984</v>
      </c>
      <c r="BXJ10" t="s">
        <v>6984</v>
      </c>
      <c r="BXK10" t="s">
        <v>6984</v>
      </c>
      <c r="BXL10" t="s">
        <v>6984</v>
      </c>
      <c r="BXM10" t="s">
        <v>6984</v>
      </c>
      <c r="BXN10" t="s">
        <v>6984</v>
      </c>
      <c r="BXO10" t="s">
        <v>6984</v>
      </c>
      <c r="BXP10" t="s">
        <v>6984</v>
      </c>
      <c r="BXQ10" t="s">
        <v>6984</v>
      </c>
      <c r="BXR10" t="s">
        <v>6984</v>
      </c>
      <c r="BXS10" t="s">
        <v>6984</v>
      </c>
      <c r="BXT10" t="s">
        <v>6984</v>
      </c>
      <c r="BXU10" t="s">
        <v>6984</v>
      </c>
      <c r="BXV10" t="s">
        <v>6984</v>
      </c>
      <c r="BXW10" t="s">
        <v>6984</v>
      </c>
      <c r="BXX10" t="s">
        <v>6984</v>
      </c>
      <c r="BXY10" t="s">
        <v>6984</v>
      </c>
      <c r="BXZ10" t="s">
        <v>6984</v>
      </c>
      <c r="BYA10" t="s">
        <v>6984</v>
      </c>
      <c r="BYB10" t="s">
        <v>6984</v>
      </c>
      <c r="BYC10" t="s">
        <v>6984</v>
      </c>
      <c r="BYD10" t="s">
        <v>6984</v>
      </c>
      <c r="BYE10" t="s">
        <v>6984</v>
      </c>
      <c r="BYF10" t="s">
        <v>6984</v>
      </c>
      <c r="BYG10" t="s">
        <v>6984</v>
      </c>
      <c r="BYH10" t="s">
        <v>6984</v>
      </c>
      <c r="BYI10" t="s">
        <v>6984</v>
      </c>
      <c r="BYJ10" t="s">
        <v>6984</v>
      </c>
      <c r="BYK10" t="s">
        <v>6984</v>
      </c>
      <c r="BYL10" t="s">
        <v>6984</v>
      </c>
      <c r="BYM10" t="s">
        <v>6984</v>
      </c>
      <c r="BYN10" t="s">
        <v>6984</v>
      </c>
      <c r="BYO10" t="s">
        <v>6984</v>
      </c>
      <c r="BYP10" t="s">
        <v>6984</v>
      </c>
      <c r="BYQ10" t="s">
        <v>6984</v>
      </c>
      <c r="BYR10" t="s">
        <v>6984</v>
      </c>
      <c r="BYS10" t="s">
        <v>6984</v>
      </c>
      <c r="BYT10" t="s">
        <v>6984</v>
      </c>
      <c r="BYU10" t="s">
        <v>6984</v>
      </c>
      <c r="BYV10" t="s">
        <v>6984</v>
      </c>
      <c r="BYW10" t="s">
        <v>6984</v>
      </c>
      <c r="BYX10" t="s">
        <v>6984</v>
      </c>
      <c r="BYY10" t="s">
        <v>6984</v>
      </c>
      <c r="BYZ10" t="s">
        <v>6984</v>
      </c>
      <c r="BZA10" t="s">
        <v>6984</v>
      </c>
      <c r="BZB10" t="s">
        <v>6984</v>
      </c>
      <c r="BZC10" t="s">
        <v>6984</v>
      </c>
      <c r="BZD10" t="s">
        <v>6984</v>
      </c>
      <c r="BZE10" t="s">
        <v>6984</v>
      </c>
      <c r="BZF10" t="s">
        <v>6984</v>
      </c>
      <c r="BZG10" t="s">
        <v>6984</v>
      </c>
      <c r="BZH10" t="s">
        <v>6984</v>
      </c>
      <c r="BZI10" t="s">
        <v>6984</v>
      </c>
      <c r="BZJ10" t="s">
        <v>6984</v>
      </c>
      <c r="BZK10" t="s">
        <v>6984</v>
      </c>
      <c r="BZL10" t="s">
        <v>6984</v>
      </c>
      <c r="BZM10" t="s">
        <v>6984</v>
      </c>
      <c r="BZN10" t="s">
        <v>6984</v>
      </c>
      <c r="BZO10" t="s">
        <v>6984</v>
      </c>
      <c r="BZP10" t="s">
        <v>6984</v>
      </c>
      <c r="BZQ10" t="s">
        <v>6984</v>
      </c>
      <c r="BZR10" t="s">
        <v>6984</v>
      </c>
      <c r="BZS10" t="s">
        <v>6984</v>
      </c>
      <c r="BZT10" t="s">
        <v>6984</v>
      </c>
      <c r="BZU10" t="s">
        <v>6984</v>
      </c>
      <c r="BZV10" t="s">
        <v>6984</v>
      </c>
      <c r="BZW10" t="s">
        <v>6984</v>
      </c>
      <c r="BZX10" t="s">
        <v>6984</v>
      </c>
      <c r="BZY10" t="s">
        <v>6984</v>
      </c>
      <c r="BZZ10" t="s">
        <v>6984</v>
      </c>
      <c r="CAA10" t="s">
        <v>6984</v>
      </c>
      <c r="CAB10" t="s">
        <v>6984</v>
      </c>
      <c r="CAC10" t="s">
        <v>6984</v>
      </c>
      <c r="CAD10" t="s">
        <v>6984</v>
      </c>
      <c r="CAE10" t="s">
        <v>6984</v>
      </c>
      <c r="CAF10" t="s">
        <v>6984</v>
      </c>
      <c r="CAG10" t="s">
        <v>6984</v>
      </c>
      <c r="CAH10" t="s">
        <v>6984</v>
      </c>
      <c r="CAI10" t="s">
        <v>6984</v>
      </c>
      <c r="CAJ10" t="s">
        <v>6984</v>
      </c>
      <c r="CAK10" t="s">
        <v>6984</v>
      </c>
      <c r="CAL10" t="s">
        <v>6984</v>
      </c>
      <c r="CAM10" t="s">
        <v>6984</v>
      </c>
      <c r="CAN10" t="s">
        <v>6984</v>
      </c>
      <c r="CAO10" t="s">
        <v>6984</v>
      </c>
      <c r="CAP10" t="s">
        <v>6984</v>
      </c>
      <c r="CAQ10" t="s">
        <v>6984</v>
      </c>
      <c r="CAR10" t="s">
        <v>6984</v>
      </c>
      <c r="CAS10" t="s">
        <v>6984</v>
      </c>
      <c r="CAT10" t="s">
        <v>6984</v>
      </c>
      <c r="CAU10" t="s">
        <v>6984</v>
      </c>
      <c r="CAV10" t="s">
        <v>6984</v>
      </c>
      <c r="CAW10" t="s">
        <v>6984</v>
      </c>
      <c r="CAX10" t="s">
        <v>6984</v>
      </c>
      <c r="CAY10" t="s">
        <v>6984</v>
      </c>
      <c r="CAZ10" t="s">
        <v>6984</v>
      </c>
      <c r="CBA10" t="s">
        <v>6984</v>
      </c>
      <c r="CBB10" t="s">
        <v>6984</v>
      </c>
      <c r="CBC10" t="s">
        <v>6984</v>
      </c>
      <c r="CBD10" t="s">
        <v>6984</v>
      </c>
      <c r="CBE10" t="s">
        <v>6984</v>
      </c>
      <c r="CBF10" t="s">
        <v>6984</v>
      </c>
      <c r="CBG10" t="s">
        <v>6984</v>
      </c>
      <c r="CBH10" t="s">
        <v>6984</v>
      </c>
      <c r="CBI10" t="s">
        <v>6984</v>
      </c>
      <c r="CBJ10" t="s">
        <v>6984</v>
      </c>
      <c r="CBK10" t="s">
        <v>6984</v>
      </c>
      <c r="CBL10" t="s">
        <v>6984</v>
      </c>
      <c r="CBM10" t="s">
        <v>6984</v>
      </c>
      <c r="CBN10" t="s">
        <v>6984</v>
      </c>
      <c r="CBO10" t="s">
        <v>6984</v>
      </c>
      <c r="CBP10" t="s">
        <v>6984</v>
      </c>
      <c r="CBQ10" t="s">
        <v>6984</v>
      </c>
      <c r="CBR10" t="s">
        <v>6984</v>
      </c>
      <c r="CBS10" t="s">
        <v>6984</v>
      </c>
      <c r="CBT10" t="s">
        <v>6984</v>
      </c>
      <c r="CBU10" t="s">
        <v>6984</v>
      </c>
      <c r="CBV10" t="s">
        <v>6984</v>
      </c>
      <c r="CBW10" t="s">
        <v>6984</v>
      </c>
      <c r="CBX10" t="s">
        <v>6984</v>
      </c>
      <c r="CBY10" t="s">
        <v>6984</v>
      </c>
      <c r="CBZ10" t="s">
        <v>6984</v>
      </c>
      <c r="CCA10" t="s">
        <v>6984</v>
      </c>
      <c r="CCB10" t="s">
        <v>6984</v>
      </c>
      <c r="CCC10" t="s">
        <v>6984</v>
      </c>
      <c r="CCD10" t="s">
        <v>6984</v>
      </c>
      <c r="CCE10" t="s">
        <v>6984</v>
      </c>
      <c r="CCF10" t="s">
        <v>6984</v>
      </c>
      <c r="CCG10" t="s">
        <v>6984</v>
      </c>
      <c r="CCH10" t="s">
        <v>6984</v>
      </c>
      <c r="CCI10" t="s">
        <v>6984</v>
      </c>
      <c r="CCJ10" t="s">
        <v>6984</v>
      </c>
      <c r="CCK10" t="s">
        <v>6984</v>
      </c>
      <c r="CCL10" t="s">
        <v>6984</v>
      </c>
      <c r="CCM10" t="s">
        <v>6984</v>
      </c>
      <c r="CCN10" t="s">
        <v>6984</v>
      </c>
      <c r="CCO10" t="s">
        <v>6984</v>
      </c>
      <c r="CCP10" t="s">
        <v>6984</v>
      </c>
      <c r="CCQ10" t="s">
        <v>6984</v>
      </c>
      <c r="CCR10" t="s">
        <v>6984</v>
      </c>
      <c r="CCS10" t="s">
        <v>6984</v>
      </c>
      <c r="CCT10" t="s">
        <v>6984</v>
      </c>
      <c r="CCU10" t="s">
        <v>6984</v>
      </c>
      <c r="CCV10" t="s">
        <v>6984</v>
      </c>
      <c r="CCW10" t="s">
        <v>6984</v>
      </c>
      <c r="CCX10" t="s">
        <v>6984</v>
      </c>
      <c r="CCY10" t="s">
        <v>6984</v>
      </c>
      <c r="CCZ10" t="s">
        <v>6984</v>
      </c>
      <c r="CDA10" t="s">
        <v>6984</v>
      </c>
      <c r="CDB10" t="s">
        <v>6984</v>
      </c>
      <c r="CDC10" t="s">
        <v>6984</v>
      </c>
      <c r="CDD10" t="s">
        <v>6984</v>
      </c>
      <c r="CDE10" t="s">
        <v>6984</v>
      </c>
      <c r="CDF10" t="s">
        <v>6984</v>
      </c>
      <c r="CDG10" t="s">
        <v>6984</v>
      </c>
      <c r="CDH10" t="s">
        <v>6984</v>
      </c>
      <c r="CDI10" t="s">
        <v>6984</v>
      </c>
      <c r="CDJ10" t="s">
        <v>6984</v>
      </c>
      <c r="CDK10" t="s">
        <v>6984</v>
      </c>
      <c r="CDL10" t="s">
        <v>6984</v>
      </c>
      <c r="CDM10" t="s">
        <v>6984</v>
      </c>
      <c r="CDN10" t="s">
        <v>6984</v>
      </c>
      <c r="CDO10" t="s">
        <v>6984</v>
      </c>
      <c r="CDP10" t="s">
        <v>6984</v>
      </c>
      <c r="CDQ10" t="s">
        <v>6984</v>
      </c>
      <c r="CDR10" t="s">
        <v>6984</v>
      </c>
      <c r="CDS10" t="s">
        <v>6984</v>
      </c>
      <c r="CDT10" t="s">
        <v>6984</v>
      </c>
      <c r="CDU10" t="s">
        <v>6984</v>
      </c>
      <c r="CDV10" t="s">
        <v>6984</v>
      </c>
      <c r="CDW10" t="s">
        <v>6984</v>
      </c>
      <c r="CDX10" t="s">
        <v>6984</v>
      </c>
      <c r="CDY10" t="s">
        <v>6984</v>
      </c>
      <c r="CDZ10" t="s">
        <v>6984</v>
      </c>
      <c r="CEA10" t="s">
        <v>6984</v>
      </c>
      <c r="CEB10" t="s">
        <v>6984</v>
      </c>
      <c r="CEC10" t="s">
        <v>6984</v>
      </c>
      <c r="CED10" t="s">
        <v>6984</v>
      </c>
      <c r="CEE10" t="s">
        <v>6984</v>
      </c>
      <c r="CEF10" t="s">
        <v>6984</v>
      </c>
      <c r="CEG10" t="s">
        <v>6984</v>
      </c>
      <c r="CEH10" t="s">
        <v>6984</v>
      </c>
      <c r="CEI10" t="s">
        <v>6984</v>
      </c>
      <c r="CEJ10" t="s">
        <v>6984</v>
      </c>
      <c r="CEK10" t="s">
        <v>6984</v>
      </c>
      <c r="CEL10" t="s">
        <v>6984</v>
      </c>
      <c r="CEM10" t="s">
        <v>6984</v>
      </c>
      <c r="CEN10" t="s">
        <v>6984</v>
      </c>
      <c r="CEO10" t="s">
        <v>6984</v>
      </c>
      <c r="CEP10" t="s">
        <v>6984</v>
      </c>
      <c r="CEQ10" t="s">
        <v>6984</v>
      </c>
      <c r="CER10" t="s">
        <v>6984</v>
      </c>
      <c r="CES10" t="s">
        <v>6984</v>
      </c>
      <c r="CET10" t="s">
        <v>6984</v>
      </c>
      <c r="CEU10" t="s">
        <v>6984</v>
      </c>
      <c r="CEV10" t="s">
        <v>6984</v>
      </c>
      <c r="CEW10" t="s">
        <v>6984</v>
      </c>
      <c r="CEX10" t="s">
        <v>6984</v>
      </c>
      <c r="CEY10" t="s">
        <v>6984</v>
      </c>
      <c r="CEZ10" t="s">
        <v>6984</v>
      </c>
      <c r="CFA10" t="s">
        <v>6984</v>
      </c>
      <c r="CFB10" t="s">
        <v>6984</v>
      </c>
      <c r="CFC10" t="s">
        <v>6984</v>
      </c>
      <c r="CFD10" t="s">
        <v>6984</v>
      </c>
      <c r="CFE10" t="s">
        <v>6984</v>
      </c>
      <c r="CFF10" t="s">
        <v>6984</v>
      </c>
      <c r="CFG10" t="s">
        <v>6984</v>
      </c>
      <c r="CFH10" t="s">
        <v>6984</v>
      </c>
      <c r="CFI10" t="s">
        <v>6984</v>
      </c>
      <c r="CFJ10" t="s">
        <v>6984</v>
      </c>
      <c r="CFK10" t="s">
        <v>6984</v>
      </c>
      <c r="CFL10" t="s">
        <v>6984</v>
      </c>
      <c r="CFM10" t="s">
        <v>6984</v>
      </c>
      <c r="CFN10" t="s">
        <v>6984</v>
      </c>
      <c r="CFO10" t="s">
        <v>6984</v>
      </c>
      <c r="CFP10" t="s">
        <v>6984</v>
      </c>
      <c r="CFQ10" t="s">
        <v>6984</v>
      </c>
      <c r="CFR10" t="s">
        <v>6984</v>
      </c>
      <c r="CFS10" t="s">
        <v>6984</v>
      </c>
      <c r="CFT10" t="s">
        <v>6984</v>
      </c>
      <c r="CFU10" t="s">
        <v>6984</v>
      </c>
      <c r="CFV10" t="s">
        <v>6984</v>
      </c>
      <c r="CFW10" t="s">
        <v>6984</v>
      </c>
      <c r="CFX10" t="s">
        <v>6984</v>
      </c>
      <c r="CFY10" t="s">
        <v>6984</v>
      </c>
      <c r="CFZ10" t="s">
        <v>6984</v>
      </c>
      <c r="CGA10" t="s">
        <v>6984</v>
      </c>
      <c r="CGB10" t="s">
        <v>6984</v>
      </c>
      <c r="CGC10" t="s">
        <v>6984</v>
      </c>
      <c r="CGD10" t="s">
        <v>6984</v>
      </c>
      <c r="CGE10" t="s">
        <v>6984</v>
      </c>
      <c r="CGF10" t="s">
        <v>6984</v>
      </c>
      <c r="CGG10" t="s">
        <v>6984</v>
      </c>
      <c r="CGH10" t="s">
        <v>6984</v>
      </c>
      <c r="CGI10" t="s">
        <v>6984</v>
      </c>
      <c r="CGJ10" t="s">
        <v>6984</v>
      </c>
      <c r="CGK10" t="s">
        <v>6984</v>
      </c>
      <c r="CGL10" t="s">
        <v>6984</v>
      </c>
      <c r="CGM10" t="s">
        <v>6984</v>
      </c>
      <c r="CGN10" t="s">
        <v>6984</v>
      </c>
      <c r="CGO10" t="s">
        <v>6984</v>
      </c>
      <c r="CGP10" t="s">
        <v>6984</v>
      </c>
      <c r="CGQ10" t="s">
        <v>6984</v>
      </c>
      <c r="CGR10" t="s">
        <v>6984</v>
      </c>
      <c r="CGS10" t="s">
        <v>6984</v>
      </c>
      <c r="CGT10" t="s">
        <v>6984</v>
      </c>
      <c r="CGU10" t="s">
        <v>6984</v>
      </c>
      <c r="CGV10" t="s">
        <v>6984</v>
      </c>
      <c r="CGW10" t="s">
        <v>6984</v>
      </c>
      <c r="CGX10" t="s">
        <v>6984</v>
      </c>
      <c r="CGY10" t="s">
        <v>6984</v>
      </c>
      <c r="CGZ10" t="s">
        <v>6984</v>
      </c>
      <c r="CHA10" t="s">
        <v>6984</v>
      </c>
      <c r="CHB10" t="s">
        <v>6984</v>
      </c>
      <c r="CHC10" t="s">
        <v>6984</v>
      </c>
      <c r="CHD10" t="s">
        <v>6984</v>
      </c>
      <c r="CHE10" t="s">
        <v>6984</v>
      </c>
      <c r="CHF10" t="s">
        <v>6984</v>
      </c>
      <c r="CHG10" t="s">
        <v>6984</v>
      </c>
      <c r="CHH10" t="s">
        <v>6984</v>
      </c>
      <c r="CHI10" t="s">
        <v>6984</v>
      </c>
      <c r="CHJ10" t="s">
        <v>6984</v>
      </c>
      <c r="CHK10" t="s">
        <v>6984</v>
      </c>
      <c r="CHL10" t="s">
        <v>6984</v>
      </c>
      <c r="CHM10" t="s">
        <v>6984</v>
      </c>
      <c r="CHN10" t="s">
        <v>6984</v>
      </c>
      <c r="CHO10" t="s">
        <v>6984</v>
      </c>
      <c r="CHP10" t="s">
        <v>6984</v>
      </c>
      <c r="CHQ10" t="s">
        <v>6984</v>
      </c>
      <c r="CHR10" t="s">
        <v>6984</v>
      </c>
      <c r="CHS10" t="s">
        <v>6984</v>
      </c>
      <c r="CHT10" t="s">
        <v>6984</v>
      </c>
      <c r="CHU10" t="s">
        <v>6984</v>
      </c>
      <c r="CHV10" t="s">
        <v>6984</v>
      </c>
      <c r="CHW10" t="s">
        <v>6984</v>
      </c>
      <c r="CHX10" t="s">
        <v>6984</v>
      </c>
      <c r="CHY10" t="s">
        <v>6984</v>
      </c>
      <c r="CHZ10" t="s">
        <v>6984</v>
      </c>
      <c r="CIA10" t="s">
        <v>6984</v>
      </c>
      <c r="CIB10" t="s">
        <v>6984</v>
      </c>
      <c r="CIC10" t="s">
        <v>6984</v>
      </c>
      <c r="CID10" t="s">
        <v>6984</v>
      </c>
      <c r="CIE10" t="s">
        <v>6984</v>
      </c>
      <c r="CIF10" t="s">
        <v>6984</v>
      </c>
      <c r="CIG10" t="s">
        <v>6984</v>
      </c>
      <c r="CIH10" t="s">
        <v>6984</v>
      </c>
      <c r="CII10" t="s">
        <v>6984</v>
      </c>
      <c r="CIJ10" t="s">
        <v>6984</v>
      </c>
      <c r="CIK10" t="s">
        <v>6984</v>
      </c>
      <c r="CIL10" t="s">
        <v>6984</v>
      </c>
      <c r="CIM10" t="s">
        <v>6984</v>
      </c>
      <c r="CIN10" t="s">
        <v>6984</v>
      </c>
      <c r="CIO10" t="s">
        <v>6984</v>
      </c>
      <c r="CIP10" t="s">
        <v>6984</v>
      </c>
      <c r="CIQ10" t="s">
        <v>6984</v>
      </c>
      <c r="CIR10" t="s">
        <v>6984</v>
      </c>
      <c r="CIS10" t="s">
        <v>6984</v>
      </c>
      <c r="CIT10" t="s">
        <v>6984</v>
      </c>
      <c r="CIU10" t="s">
        <v>6984</v>
      </c>
      <c r="CIV10" t="s">
        <v>6984</v>
      </c>
      <c r="CIW10" t="s">
        <v>6984</v>
      </c>
      <c r="CIX10" t="s">
        <v>6984</v>
      </c>
      <c r="CIY10" t="s">
        <v>6984</v>
      </c>
      <c r="CIZ10" t="s">
        <v>6984</v>
      </c>
      <c r="CJA10" t="s">
        <v>6984</v>
      </c>
      <c r="CJB10" t="s">
        <v>6984</v>
      </c>
      <c r="CJC10" t="s">
        <v>6984</v>
      </c>
      <c r="CJD10" t="s">
        <v>6984</v>
      </c>
      <c r="CJE10" t="s">
        <v>6984</v>
      </c>
      <c r="CJF10" t="s">
        <v>6984</v>
      </c>
      <c r="CJG10" t="s">
        <v>6984</v>
      </c>
      <c r="CJH10" t="s">
        <v>6984</v>
      </c>
      <c r="CJI10" t="s">
        <v>6984</v>
      </c>
      <c r="CJJ10" t="s">
        <v>6984</v>
      </c>
      <c r="CJK10" t="s">
        <v>6984</v>
      </c>
      <c r="CJL10" t="s">
        <v>6984</v>
      </c>
      <c r="CJM10" t="s">
        <v>6984</v>
      </c>
      <c r="CJN10" t="s">
        <v>6984</v>
      </c>
      <c r="CJO10" t="s">
        <v>6984</v>
      </c>
      <c r="CJP10" t="s">
        <v>6984</v>
      </c>
      <c r="CJQ10" t="s">
        <v>6984</v>
      </c>
      <c r="CJR10" t="s">
        <v>6984</v>
      </c>
      <c r="CJS10" t="s">
        <v>6984</v>
      </c>
      <c r="CJT10" t="s">
        <v>6984</v>
      </c>
      <c r="CJU10" t="s">
        <v>6984</v>
      </c>
      <c r="CJV10" t="s">
        <v>6984</v>
      </c>
      <c r="CJW10" t="s">
        <v>6984</v>
      </c>
      <c r="CJX10" t="s">
        <v>6984</v>
      </c>
      <c r="CJY10" t="s">
        <v>6984</v>
      </c>
      <c r="CJZ10" t="s">
        <v>6984</v>
      </c>
      <c r="CKA10" t="s">
        <v>6984</v>
      </c>
      <c r="CKB10" t="s">
        <v>6984</v>
      </c>
      <c r="CKC10" t="s">
        <v>6984</v>
      </c>
      <c r="CKD10" t="s">
        <v>6984</v>
      </c>
      <c r="CKE10" t="s">
        <v>6984</v>
      </c>
      <c r="CKF10" t="s">
        <v>6984</v>
      </c>
      <c r="CKG10" t="s">
        <v>6984</v>
      </c>
      <c r="CKH10" t="s">
        <v>6984</v>
      </c>
      <c r="CKI10" t="s">
        <v>6984</v>
      </c>
      <c r="CKJ10" t="s">
        <v>6984</v>
      </c>
      <c r="CKK10" t="s">
        <v>6984</v>
      </c>
      <c r="CKL10" t="s">
        <v>6984</v>
      </c>
      <c r="CKM10" t="s">
        <v>6984</v>
      </c>
      <c r="CKN10" t="s">
        <v>6984</v>
      </c>
      <c r="CKO10" t="s">
        <v>6984</v>
      </c>
      <c r="CKP10" t="s">
        <v>6984</v>
      </c>
      <c r="CKQ10" t="s">
        <v>6984</v>
      </c>
      <c r="CKR10" t="s">
        <v>6984</v>
      </c>
      <c r="CKS10" t="s">
        <v>6984</v>
      </c>
      <c r="CKT10" t="s">
        <v>6984</v>
      </c>
      <c r="CKU10" t="s">
        <v>6984</v>
      </c>
      <c r="CKV10" t="s">
        <v>6984</v>
      </c>
      <c r="CKW10" t="s">
        <v>6984</v>
      </c>
      <c r="CKX10" t="s">
        <v>6984</v>
      </c>
      <c r="CKY10" t="s">
        <v>6984</v>
      </c>
      <c r="CKZ10" t="s">
        <v>6984</v>
      </c>
      <c r="CLA10" t="s">
        <v>6984</v>
      </c>
      <c r="CLB10" t="s">
        <v>6984</v>
      </c>
      <c r="CLC10" t="s">
        <v>6984</v>
      </c>
      <c r="CLD10" t="s">
        <v>6984</v>
      </c>
      <c r="CLE10" t="s">
        <v>6984</v>
      </c>
      <c r="CLF10" t="s">
        <v>6984</v>
      </c>
      <c r="CLG10" t="s">
        <v>6984</v>
      </c>
      <c r="CLH10" t="s">
        <v>6984</v>
      </c>
      <c r="CLI10" t="s">
        <v>6984</v>
      </c>
      <c r="CLJ10" t="s">
        <v>6984</v>
      </c>
      <c r="CLK10" t="s">
        <v>6984</v>
      </c>
      <c r="CLL10" t="s">
        <v>6984</v>
      </c>
      <c r="CLM10" t="s">
        <v>6984</v>
      </c>
      <c r="CLN10" t="s">
        <v>6984</v>
      </c>
      <c r="CLO10" t="s">
        <v>6984</v>
      </c>
      <c r="CLP10" t="s">
        <v>6984</v>
      </c>
      <c r="CLQ10" t="s">
        <v>6984</v>
      </c>
      <c r="CLR10" t="s">
        <v>6984</v>
      </c>
      <c r="CLS10" t="s">
        <v>6984</v>
      </c>
      <c r="CLT10" t="s">
        <v>6984</v>
      </c>
      <c r="CLU10" t="s">
        <v>6984</v>
      </c>
      <c r="CLV10" t="s">
        <v>6984</v>
      </c>
      <c r="CLW10" t="s">
        <v>6984</v>
      </c>
      <c r="CLX10" t="s">
        <v>6984</v>
      </c>
      <c r="CLY10" t="s">
        <v>6984</v>
      </c>
      <c r="CLZ10" t="s">
        <v>6984</v>
      </c>
      <c r="CMA10" t="s">
        <v>6984</v>
      </c>
      <c r="CMB10" t="s">
        <v>6984</v>
      </c>
      <c r="CMC10" t="s">
        <v>6984</v>
      </c>
      <c r="CMD10" t="s">
        <v>6984</v>
      </c>
      <c r="CME10" t="s">
        <v>6984</v>
      </c>
      <c r="CMF10" t="s">
        <v>6984</v>
      </c>
      <c r="CMG10" t="s">
        <v>6984</v>
      </c>
      <c r="CMH10" t="s">
        <v>6984</v>
      </c>
      <c r="CMI10" t="s">
        <v>6984</v>
      </c>
      <c r="CMJ10" t="s">
        <v>6984</v>
      </c>
      <c r="CMK10" t="s">
        <v>6984</v>
      </c>
      <c r="CML10" t="s">
        <v>6984</v>
      </c>
      <c r="CMM10" t="s">
        <v>6984</v>
      </c>
      <c r="CMN10" t="s">
        <v>6984</v>
      </c>
      <c r="CMO10" t="s">
        <v>6984</v>
      </c>
      <c r="CMP10" t="s">
        <v>6984</v>
      </c>
      <c r="CMQ10" t="s">
        <v>6984</v>
      </c>
      <c r="CMR10" t="s">
        <v>6984</v>
      </c>
      <c r="CMS10" t="s">
        <v>6984</v>
      </c>
      <c r="CMT10" t="s">
        <v>6984</v>
      </c>
      <c r="CMU10" t="s">
        <v>6984</v>
      </c>
      <c r="CMV10" t="s">
        <v>6984</v>
      </c>
      <c r="CMW10" t="s">
        <v>6984</v>
      </c>
      <c r="CMX10" t="s">
        <v>6984</v>
      </c>
      <c r="CMY10" t="s">
        <v>6984</v>
      </c>
      <c r="CMZ10" t="s">
        <v>6984</v>
      </c>
      <c r="CNA10" t="s">
        <v>6984</v>
      </c>
      <c r="CNB10" t="s">
        <v>6984</v>
      </c>
      <c r="CNC10" t="s">
        <v>6984</v>
      </c>
      <c r="CND10" t="s">
        <v>6984</v>
      </c>
      <c r="CNE10" t="s">
        <v>6984</v>
      </c>
      <c r="CNF10" t="s">
        <v>6984</v>
      </c>
      <c r="CNG10" t="s">
        <v>6984</v>
      </c>
      <c r="CNH10" t="s">
        <v>6984</v>
      </c>
      <c r="CNI10" t="s">
        <v>6984</v>
      </c>
      <c r="CNJ10" t="s">
        <v>6984</v>
      </c>
      <c r="CNK10" t="s">
        <v>6984</v>
      </c>
      <c r="CNL10" t="s">
        <v>6984</v>
      </c>
      <c r="CNM10" t="s">
        <v>6984</v>
      </c>
      <c r="CNN10" t="s">
        <v>6984</v>
      </c>
      <c r="CNO10" t="s">
        <v>6984</v>
      </c>
      <c r="CNP10" t="s">
        <v>6984</v>
      </c>
      <c r="CNQ10" t="s">
        <v>6984</v>
      </c>
      <c r="CNR10" t="s">
        <v>6984</v>
      </c>
      <c r="CNS10" t="s">
        <v>6984</v>
      </c>
      <c r="CNT10" t="s">
        <v>6984</v>
      </c>
      <c r="CNU10" t="s">
        <v>6984</v>
      </c>
      <c r="CNV10" t="s">
        <v>6984</v>
      </c>
      <c r="CNW10" t="s">
        <v>6984</v>
      </c>
      <c r="CNX10" t="s">
        <v>6984</v>
      </c>
      <c r="CNY10" t="s">
        <v>6984</v>
      </c>
      <c r="CNZ10" t="s">
        <v>6984</v>
      </c>
      <c r="COA10" t="s">
        <v>6984</v>
      </c>
      <c r="COB10" t="s">
        <v>6984</v>
      </c>
      <c r="COC10" t="s">
        <v>6984</v>
      </c>
      <c r="COD10" t="s">
        <v>6984</v>
      </c>
      <c r="COE10" t="s">
        <v>6984</v>
      </c>
      <c r="COF10" t="s">
        <v>6984</v>
      </c>
      <c r="COG10" t="s">
        <v>6984</v>
      </c>
      <c r="COH10" t="s">
        <v>6984</v>
      </c>
      <c r="COI10" t="s">
        <v>6984</v>
      </c>
      <c r="COJ10" t="s">
        <v>6984</v>
      </c>
      <c r="COK10" t="s">
        <v>6984</v>
      </c>
      <c r="COL10" t="s">
        <v>6984</v>
      </c>
      <c r="COM10" t="s">
        <v>6984</v>
      </c>
      <c r="CON10" t="s">
        <v>6984</v>
      </c>
      <c r="COO10" t="s">
        <v>6984</v>
      </c>
      <c r="COP10" t="s">
        <v>6984</v>
      </c>
      <c r="COQ10" t="s">
        <v>6984</v>
      </c>
      <c r="COR10" t="s">
        <v>6984</v>
      </c>
      <c r="COS10" t="s">
        <v>6984</v>
      </c>
      <c r="COT10" t="s">
        <v>6984</v>
      </c>
      <c r="COU10" t="s">
        <v>6984</v>
      </c>
      <c r="COV10" t="s">
        <v>6984</v>
      </c>
      <c r="COW10" t="s">
        <v>6984</v>
      </c>
      <c r="COX10" t="s">
        <v>6984</v>
      </c>
      <c r="COY10" t="s">
        <v>6984</v>
      </c>
      <c r="COZ10" t="s">
        <v>6984</v>
      </c>
      <c r="CPA10" t="s">
        <v>6984</v>
      </c>
      <c r="CPB10" t="s">
        <v>6984</v>
      </c>
      <c r="CPC10" t="s">
        <v>6984</v>
      </c>
      <c r="CPD10" t="s">
        <v>6984</v>
      </c>
      <c r="CPE10" t="s">
        <v>6984</v>
      </c>
      <c r="CPF10" t="s">
        <v>6984</v>
      </c>
      <c r="CPG10" t="s">
        <v>6984</v>
      </c>
      <c r="CPH10" t="s">
        <v>6984</v>
      </c>
      <c r="CPI10" t="s">
        <v>6984</v>
      </c>
      <c r="CPJ10" t="s">
        <v>6984</v>
      </c>
      <c r="CPK10" t="s">
        <v>6984</v>
      </c>
      <c r="CPL10" t="s">
        <v>6984</v>
      </c>
      <c r="CPM10" t="s">
        <v>6984</v>
      </c>
      <c r="CPN10" t="s">
        <v>6984</v>
      </c>
      <c r="CPO10" t="s">
        <v>6984</v>
      </c>
      <c r="CPP10" t="s">
        <v>6984</v>
      </c>
      <c r="CPQ10" t="s">
        <v>6984</v>
      </c>
      <c r="CPR10" t="s">
        <v>6984</v>
      </c>
      <c r="CPS10" t="s">
        <v>6984</v>
      </c>
      <c r="CPT10" t="s">
        <v>6984</v>
      </c>
      <c r="CPU10" t="s">
        <v>6984</v>
      </c>
      <c r="CPV10" t="s">
        <v>6984</v>
      </c>
      <c r="CPW10" t="s">
        <v>6984</v>
      </c>
      <c r="CPX10" t="s">
        <v>6984</v>
      </c>
      <c r="CPY10" t="s">
        <v>6984</v>
      </c>
      <c r="CPZ10" t="s">
        <v>6984</v>
      </c>
      <c r="CQA10" t="s">
        <v>6984</v>
      </c>
      <c r="CQB10" t="s">
        <v>6984</v>
      </c>
      <c r="CQC10" t="s">
        <v>6984</v>
      </c>
      <c r="CQD10" t="s">
        <v>6984</v>
      </c>
      <c r="CQE10" t="s">
        <v>6984</v>
      </c>
      <c r="CQF10" t="s">
        <v>6984</v>
      </c>
      <c r="CQG10" t="s">
        <v>6984</v>
      </c>
      <c r="CQH10" t="s">
        <v>6984</v>
      </c>
      <c r="CQI10" t="s">
        <v>6984</v>
      </c>
      <c r="CQJ10" t="s">
        <v>6984</v>
      </c>
      <c r="CQK10" t="s">
        <v>6984</v>
      </c>
      <c r="CQL10" t="s">
        <v>6984</v>
      </c>
      <c r="CQM10" t="s">
        <v>6984</v>
      </c>
      <c r="CQN10" t="s">
        <v>6984</v>
      </c>
      <c r="CQO10" t="s">
        <v>6984</v>
      </c>
      <c r="CQP10" t="s">
        <v>6984</v>
      </c>
      <c r="CQQ10" t="s">
        <v>6984</v>
      </c>
      <c r="CQR10" t="s">
        <v>6984</v>
      </c>
      <c r="CQS10" t="s">
        <v>6984</v>
      </c>
      <c r="CQT10" t="s">
        <v>6984</v>
      </c>
      <c r="CQU10" t="s">
        <v>6984</v>
      </c>
      <c r="CQV10" t="s">
        <v>6984</v>
      </c>
      <c r="CQW10" t="s">
        <v>6984</v>
      </c>
      <c r="CQX10" t="s">
        <v>6984</v>
      </c>
      <c r="CQY10" t="s">
        <v>6984</v>
      </c>
      <c r="CQZ10" t="s">
        <v>6984</v>
      </c>
      <c r="CRA10" t="s">
        <v>6984</v>
      </c>
      <c r="CRB10" t="s">
        <v>6984</v>
      </c>
      <c r="CRC10" t="s">
        <v>6984</v>
      </c>
      <c r="CRD10" t="s">
        <v>6984</v>
      </c>
      <c r="CRE10" t="s">
        <v>6984</v>
      </c>
      <c r="CRF10" t="s">
        <v>6984</v>
      </c>
      <c r="CRG10" t="s">
        <v>6984</v>
      </c>
      <c r="CRH10" t="s">
        <v>6984</v>
      </c>
      <c r="CRI10" t="s">
        <v>6984</v>
      </c>
      <c r="CRJ10" t="s">
        <v>6984</v>
      </c>
      <c r="CRK10" t="s">
        <v>6984</v>
      </c>
      <c r="CRL10" t="s">
        <v>6984</v>
      </c>
      <c r="CRM10" t="s">
        <v>6984</v>
      </c>
      <c r="CRN10" t="s">
        <v>6984</v>
      </c>
      <c r="CRO10" t="s">
        <v>6984</v>
      </c>
      <c r="CRP10" t="s">
        <v>6984</v>
      </c>
      <c r="CRQ10" t="s">
        <v>6984</v>
      </c>
      <c r="CRR10" t="s">
        <v>6984</v>
      </c>
      <c r="CRS10" t="s">
        <v>6984</v>
      </c>
      <c r="CRT10" t="s">
        <v>6984</v>
      </c>
      <c r="CRU10" t="s">
        <v>6984</v>
      </c>
      <c r="CRV10" t="s">
        <v>6984</v>
      </c>
      <c r="CRW10" t="s">
        <v>6984</v>
      </c>
      <c r="CRX10" t="s">
        <v>6984</v>
      </c>
      <c r="CRY10" t="s">
        <v>6984</v>
      </c>
      <c r="CRZ10" t="s">
        <v>6984</v>
      </c>
      <c r="CSA10" t="s">
        <v>6984</v>
      </c>
      <c r="CSB10" t="s">
        <v>6984</v>
      </c>
      <c r="CSC10" t="s">
        <v>6984</v>
      </c>
      <c r="CSD10" t="s">
        <v>6984</v>
      </c>
      <c r="CSE10" t="s">
        <v>6984</v>
      </c>
      <c r="CSF10" t="s">
        <v>6984</v>
      </c>
      <c r="CSG10" t="s">
        <v>6984</v>
      </c>
      <c r="CSH10" t="s">
        <v>6984</v>
      </c>
      <c r="CSI10" t="s">
        <v>6984</v>
      </c>
      <c r="CSJ10" t="s">
        <v>6984</v>
      </c>
      <c r="CSK10" t="s">
        <v>6984</v>
      </c>
      <c r="CSL10" t="s">
        <v>6984</v>
      </c>
      <c r="CSM10" t="s">
        <v>6984</v>
      </c>
      <c r="CSN10" t="s">
        <v>6984</v>
      </c>
      <c r="CSO10" t="s">
        <v>6984</v>
      </c>
      <c r="CSP10" t="s">
        <v>6984</v>
      </c>
      <c r="CSQ10" t="s">
        <v>6984</v>
      </c>
      <c r="CSR10" t="s">
        <v>6984</v>
      </c>
      <c r="CSS10" t="s">
        <v>6984</v>
      </c>
      <c r="CST10" t="s">
        <v>6984</v>
      </c>
      <c r="CSU10" t="s">
        <v>6984</v>
      </c>
      <c r="CSV10" t="s">
        <v>6984</v>
      </c>
      <c r="CSW10" t="s">
        <v>6984</v>
      </c>
      <c r="CSX10" t="s">
        <v>6984</v>
      </c>
      <c r="CSY10" t="s">
        <v>6984</v>
      </c>
      <c r="CSZ10" t="s">
        <v>6984</v>
      </c>
      <c r="CTA10" t="s">
        <v>6984</v>
      </c>
      <c r="CTB10" t="s">
        <v>6984</v>
      </c>
      <c r="CTC10" t="s">
        <v>6984</v>
      </c>
      <c r="CTD10" t="s">
        <v>6984</v>
      </c>
      <c r="CTE10" t="s">
        <v>6984</v>
      </c>
      <c r="CTF10" t="s">
        <v>6984</v>
      </c>
      <c r="CTG10" t="s">
        <v>6984</v>
      </c>
      <c r="CTH10" t="s">
        <v>6984</v>
      </c>
      <c r="CTI10" t="s">
        <v>6984</v>
      </c>
      <c r="CTJ10" t="s">
        <v>6984</v>
      </c>
      <c r="CTK10" t="s">
        <v>6984</v>
      </c>
      <c r="CTL10" t="s">
        <v>6984</v>
      </c>
      <c r="CTM10" t="s">
        <v>6984</v>
      </c>
      <c r="CTN10" t="s">
        <v>6984</v>
      </c>
      <c r="CTO10" t="s">
        <v>6984</v>
      </c>
      <c r="CTP10" t="s">
        <v>6984</v>
      </c>
      <c r="CTQ10" t="s">
        <v>6984</v>
      </c>
      <c r="CTR10" t="s">
        <v>6984</v>
      </c>
      <c r="CTS10" t="s">
        <v>6984</v>
      </c>
      <c r="CTT10" t="s">
        <v>6984</v>
      </c>
      <c r="CTU10" t="s">
        <v>6984</v>
      </c>
      <c r="CTV10" t="s">
        <v>6984</v>
      </c>
      <c r="CTW10" t="s">
        <v>6984</v>
      </c>
      <c r="CTX10" t="s">
        <v>6984</v>
      </c>
      <c r="CTY10" t="s">
        <v>6984</v>
      </c>
      <c r="CTZ10" t="s">
        <v>6984</v>
      </c>
      <c r="CUA10" t="s">
        <v>6984</v>
      </c>
      <c r="CUB10" t="s">
        <v>6984</v>
      </c>
      <c r="CUC10" t="s">
        <v>6984</v>
      </c>
      <c r="CUD10" t="s">
        <v>6984</v>
      </c>
      <c r="CUE10" t="s">
        <v>6984</v>
      </c>
      <c r="CUF10" t="s">
        <v>6984</v>
      </c>
      <c r="CUG10" t="s">
        <v>6984</v>
      </c>
      <c r="CUH10" t="s">
        <v>6984</v>
      </c>
      <c r="CUI10" t="s">
        <v>6984</v>
      </c>
      <c r="CUJ10" t="s">
        <v>6984</v>
      </c>
      <c r="CUK10" t="s">
        <v>6984</v>
      </c>
      <c r="CUL10" t="s">
        <v>6984</v>
      </c>
      <c r="CUM10" t="s">
        <v>6984</v>
      </c>
      <c r="CUN10" t="s">
        <v>6984</v>
      </c>
      <c r="CUO10" t="s">
        <v>6984</v>
      </c>
      <c r="CUP10" t="s">
        <v>6984</v>
      </c>
      <c r="CUQ10" t="s">
        <v>6984</v>
      </c>
      <c r="CUR10" t="s">
        <v>6984</v>
      </c>
      <c r="CUS10" t="s">
        <v>6984</v>
      </c>
      <c r="CUT10" t="s">
        <v>6984</v>
      </c>
      <c r="CUU10" t="s">
        <v>6984</v>
      </c>
      <c r="CUV10" t="s">
        <v>6984</v>
      </c>
      <c r="CUW10" t="s">
        <v>6984</v>
      </c>
      <c r="CUX10" t="s">
        <v>6984</v>
      </c>
      <c r="CUY10" t="s">
        <v>6984</v>
      </c>
      <c r="CUZ10" t="s">
        <v>6984</v>
      </c>
      <c r="CVA10" t="s">
        <v>6984</v>
      </c>
      <c r="CVB10" t="s">
        <v>6984</v>
      </c>
      <c r="CVC10" t="s">
        <v>6984</v>
      </c>
      <c r="CVD10" t="s">
        <v>6984</v>
      </c>
      <c r="CVE10" t="s">
        <v>6984</v>
      </c>
      <c r="CVF10" t="s">
        <v>6984</v>
      </c>
      <c r="CVG10" t="s">
        <v>6984</v>
      </c>
      <c r="CVH10" t="s">
        <v>6984</v>
      </c>
      <c r="CVI10" t="s">
        <v>6984</v>
      </c>
      <c r="CVJ10" t="s">
        <v>6984</v>
      </c>
      <c r="CVK10" t="s">
        <v>6984</v>
      </c>
      <c r="CVL10" t="s">
        <v>6984</v>
      </c>
      <c r="CVM10" t="s">
        <v>6984</v>
      </c>
      <c r="CVN10" t="s">
        <v>6984</v>
      </c>
      <c r="CVO10" t="s">
        <v>6984</v>
      </c>
      <c r="CVP10" t="s">
        <v>6984</v>
      </c>
      <c r="CVQ10" t="s">
        <v>6984</v>
      </c>
      <c r="CVR10" t="s">
        <v>6984</v>
      </c>
      <c r="CVS10" t="s">
        <v>6984</v>
      </c>
      <c r="CVT10" t="s">
        <v>6984</v>
      </c>
      <c r="CVU10" t="s">
        <v>6984</v>
      </c>
      <c r="CVV10" t="s">
        <v>6984</v>
      </c>
      <c r="CVW10" t="s">
        <v>6984</v>
      </c>
      <c r="CVX10" t="s">
        <v>6984</v>
      </c>
      <c r="CVY10" t="s">
        <v>6984</v>
      </c>
      <c r="CVZ10" t="s">
        <v>6984</v>
      </c>
      <c r="CWA10" t="s">
        <v>6984</v>
      </c>
      <c r="CWB10" t="s">
        <v>6984</v>
      </c>
      <c r="CWC10" t="s">
        <v>6984</v>
      </c>
      <c r="CWD10" t="s">
        <v>6984</v>
      </c>
      <c r="CWE10" t="s">
        <v>6984</v>
      </c>
      <c r="CWF10" t="s">
        <v>6984</v>
      </c>
      <c r="CWG10" t="s">
        <v>6984</v>
      </c>
      <c r="CWH10" t="s">
        <v>6984</v>
      </c>
      <c r="CWI10" t="s">
        <v>6984</v>
      </c>
      <c r="CWJ10" t="s">
        <v>6984</v>
      </c>
      <c r="CWK10" t="s">
        <v>6984</v>
      </c>
      <c r="CWL10" t="s">
        <v>6984</v>
      </c>
      <c r="CWM10" t="s">
        <v>6984</v>
      </c>
      <c r="CWN10" t="s">
        <v>6984</v>
      </c>
      <c r="CWO10" t="s">
        <v>6984</v>
      </c>
      <c r="CWP10" t="s">
        <v>6984</v>
      </c>
      <c r="CWQ10" t="s">
        <v>6984</v>
      </c>
      <c r="CWR10" t="s">
        <v>6984</v>
      </c>
      <c r="CWS10" t="s">
        <v>6984</v>
      </c>
      <c r="CWT10" t="s">
        <v>6984</v>
      </c>
      <c r="CWU10" t="s">
        <v>6984</v>
      </c>
      <c r="CWV10" t="s">
        <v>6984</v>
      </c>
      <c r="CWW10" t="s">
        <v>6984</v>
      </c>
      <c r="CWX10" t="s">
        <v>6984</v>
      </c>
      <c r="CWY10" t="s">
        <v>6984</v>
      </c>
      <c r="CWZ10" t="s">
        <v>6984</v>
      </c>
      <c r="CXA10" t="s">
        <v>6984</v>
      </c>
      <c r="CXB10" t="s">
        <v>6984</v>
      </c>
      <c r="CXC10" t="s">
        <v>6984</v>
      </c>
      <c r="CXD10" t="s">
        <v>6984</v>
      </c>
      <c r="CXE10" t="s">
        <v>6984</v>
      </c>
      <c r="CXF10" t="s">
        <v>6984</v>
      </c>
      <c r="CXG10" t="s">
        <v>6984</v>
      </c>
      <c r="CXH10" t="s">
        <v>6984</v>
      </c>
      <c r="CXI10" t="s">
        <v>6984</v>
      </c>
      <c r="CXJ10" t="s">
        <v>6984</v>
      </c>
      <c r="CXK10" t="s">
        <v>6984</v>
      </c>
      <c r="CXL10" t="s">
        <v>6984</v>
      </c>
      <c r="CXM10" t="s">
        <v>6984</v>
      </c>
      <c r="CXN10" t="s">
        <v>6984</v>
      </c>
      <c r="CXO10" t="s">
        <v>6984</v>
      </c>
      <c r="CXP10" t="s">
        <v>6984</v>
      </c>
      <c r="CXQ10" t="s">
        <v>6984</v>
      </c>
      <c r="CXR10" t="s">
        <v>6984</v>
      </c>
      <c r="CXS10" t="s">
        <v>6984</v>
      </c>
      <c r="CXT10" t="s">
        <v>6984</v>
      </c>
      <c r="CXU10" t="s">
        <v>6984</v>
      </c>
      <c r="CXV10" t="s">
        <v>6984</v>
      </c>
      <c r="CXW10" t="s">
        <v>6984</v>
      </c>
      <c r="CXX10" t="s">
        <v>6984</v>
      </c>
      <c r="CXY10" t="s">
        <v>6984</v>
      </c>
      <c r="CXZ10" t="s">
        <v>6984</v>
      </c>
      <c r="CYA10" t="s">
        <v>6984</v>
      </c>
      <c r="CYB10" t="s">
        <v>6984</v>
      </c>
      <c r="CYC10" t="s">
        <v>6984</v>
      </c>
      <c r="CYD10" t="s">
        <v>6984</v>
      </c>
      <c r="CYE10" t="s">
        <v>6984</v>
      </c>
      <c r="CYF10" t="s">
        <v>6984</v>
      </c>
      <c r="CYG10" t="s">
        <v>6984</v>
      </c>
      <c r="CYH10" t="s">
        <v>6984</v>
      </c>
      <c r="CYI10" t="s">
        <v>6984</v>
      </c>
      <c r="CYJ10" t="s">
        <v>6984</v>
      </c>
      <c r="CYK10" t="s">
        <v>6984</v>
      </c>
      <c r="CYL10" t="s">
        <v>6984</v>
      </c>
      <c r="CYM10" t="s">
        <v>6984</v>
      </c>
      <c r="CYN10" t="s">
        <v>6984</v>
      </c>
      <c r="CYO10" t="s">
        <v>6984</v>
      </c>
      <c r="CYP10" t="s">
        <v>6984</v>
      </c>
      <c r="CYQ10" t="s">
        <v>6984</v>
      </c>
      <c r="CYR10" t="s">
        <v>6984</v>
      </c>
      <c r="CYS10" t="s">
        <v>6984</v>
      </c>
      <c r="CYT10" t="s">
        <v>6984</v>
      </c>
      <c r="CYU10" t="s">
        <v>6984</v>
      </c>
      <c r="CYV10" t="s">
        <v>6984</v>
      </c>
      <c r="CYW10" t="s">
        <v>6984</v>
      </c>
      <c r="CYX10" t="s">
        <v>6984</v>
      </c>
      <c r="CYY10" t="s">
        <v>6984</v>
      </c>
      <c r="CYZ10" t="s">
        <v>6984</v>
      </c>
      <c r="CZA10" t="s">
        <v>6984</v>
      </c>
      <c r="CZB10" t="s">
        <v>6984</v>
      </c>
      <c r="CZC10" t="s">
        <v>6984</v>
      </c>
      <c r="CZD10" t="s">
        <v>6984</v>
      </c>
      <c r="CZE10" t="s">
        <v>6984</v>
      </c>
      <c r="CZF10" t="s">
        <v>6984</v>
      </c>
      <c r="CZG10" t="s">
        <v>6984</v>
      </c>
      <c r="CZH10" t="s">
        <v>6984</v>
      </c>
      <c r="CZI10" t="s">
        <v>6984</v>
      </c>
      <c r="CZJ10" t="s">
        <v>6984</v>
      </c>
      <c r="CZK10" t="s">
        <v>6984</v>
      </c>
      <c r="CZL10" t="s">
        <v>6984</v>
      </c>
      <c r="CZM10" t="s">
        <v>6984</v>
      </c>
      <c r="CZN10" t="s">
        <v>6984</v>
      </c>
      <c r="CZO10" t="s">
        <v>6984</v>
      </c>
      <c r="CZP10" t="s">
        <v>6984</v>
      </c>
      <c r="CZQ10" t="s">
        <v>6984</v>
      </c>
      <c r="CZR10" t="s">
        <v>6984</v>
      </c>
      <c r="CZS10" t="s">
        <v>6984</v>
      </c>
      <c r="CZT10" t="s">
        <v>6984</v>
      </c>
      <c r="CZU10" t="s">
        <v>6984</v>
      </c>
      <c r="CZV10" t="s">
        <v>6984</v>
      </c>
      <c r="CZW10" t="s">
        <v>6984</v>
      </c>
      <c r="CZX10" t="s">
        <v>6984</v>
      </c>
      <c r="CZY10" t="s">
        <v>6984</v>
      </c>
      <c r="CZZ10" t="s">
        <v>6984</v>
      </c>
      <c r="DAA10" t="s">
        <v>6984</v>
      </c>
      <c r="DAB10" t="s">
        <v>6984</v>
      </c>
      <c r="DAC10" t="s">
        <v>6984</v>
      </c>
      <c r="DAD10" t="s">
        <v>6984</v>
      </c>
      <c r="DAE10" t="s">
        <v>6984</v>
      </c>
      <c r="DAF10" t="s">
        <v>6984</v>
      </c>
      <c r="DAG10" t="s">
        <v>6984</v>
      </c>
      <c r="DAH10" t="s">
        <v>6984</v>
      </c>
      <c r="DAI10" t="s">
        <v>6984</v>
      </c>
      <c r="DAJ10" t="s">
        <v>6984</v>
      </c>
      <c r="DAK10" t="s">
        <v>6984</v>
      </c>
      <c r="DAL10" t="s">
        <v>6984</v>
      </c>
      <c r="DAM10" t="s">
        <v>6984</v>
      </c>
      <c r="DAN10" t="s">
        <v>6984</v>
      </c>
      <c r="DAO10" t="s">
        <v>6984</v>
      </c>
      <c r="DAP10" t="s">
        <v>6984</v>
      </c>
      <c r="DAQ10" t="s">
        <v>6984</v>
      </c>
      <c r="DAR10" t="s">
        <v>6984</v>
      </c>
      <c r="DAS10" t="s">
        <v>6984</v>
      </c>
      <c r="DAT10" t="s">
        <v>6984</v>
      </c>
      <c r="DAU10" t="s">
        <v>6984</v>
      </c>
      <c r="DAV10" t="s">
        <v>6984</v>
      </c>
      <c r="DAW10" t="s">
        <v>6984</v>
      </c>
      <c r="DAX10" t="s">
        <v>6984</v>
      </c>
      <c r="DAY10" t="s">
        <v>6984</v>
      </c>
      <c r="DAZ10" t="s">
        <v>6984</v>
      </c>
      <c r="DBA10" t="s">
        <v>6984</v>
      </c>
      <c r="DBB10" t="s">
        <v>6984</v>
      </c>
      <c r="DBC10" t="s">
        <v>6984</v>
      </c>
      <c r="DBD10" t="s">
        <v>6984</v>
      </c>
      <c r="DBE10" t="s">
        <v>6984</v>
      </c>
      <c r="DBF10" t="s">
        <v>6984</v>
      </c>
      <c r="DBG10" t="s">
        <v>6984</v>
      </c>
      <c r="DBH10" t="s">
        <v>6984</v>
      </c>
      <c r="DBI10" t="s">
        <v>6984</v>
      </c>
      <c r="DBJ10" t="s">
        <v>6984</v>
      </c>
      <c r="DBK10" t="s">
        <v>6984</v>
      </c>
      <c r="DBL10" t="s">
        <v>6984</v>
      </c>
      <c r="DBM10" t="s">
        <v>6984</v>
      </c>
      <c r="DBN10" t="s">
        <v>6984</v>
      </c>
      <c r="DBO10" t="s">
        <v>6984</v>
      </c>
      <c r="DBP10" t="s">
        <v>6984</v>
      </c>
      <c r="DBQ10" t="s">
        <v>6984</v>
      </c>
      <c r="DBR10" t="s">
        <v>6984</v>
      </c>
      <c r="DBS10" t="s">
        <v>6984</v>
      </c>
      <c r="DBT10" t="s">
        <v>6984</v>
      </c>
      <c r="DBU10" t="s">
        <v>6984</v>
      </c>
      <c r="DBV10" t="s">
        <v>6984</v>
      </c>
      <c r="DBW10" t="s">
        <v>6984</v>
      </c>
      <c r="DBX10" t="s">
        <v>6984</v>
      </c>
      <c r="DBY10" t="s">
        <v>6984</v>
      </c>
      <c r="DBZ10" t="s">
        <v>6984</v>
      </c>
      <c r="DCA10" t="s">
        <v>6984</v>
      </c>
      <c r="DCB10" t="s">
        <v>6984</v>
      </c>
      <c r="DCC10" t="s">
        <v>6984</v>
      </c>
      <c r="DCD10" t="s">
        <v>6984</v>
      </c>
      <c r="DCE10" t="s">
        <v>6984</v>
      </c>
      <c r="DCF10" t="s">
        <v>6984</v>
      </c>
      <c r="DCG10" t="s">
        <v>6984</v>
      </c>
      <c r="DCH10" t="s">
        <v>6984</v>
      </c>
      <c r="DCI10" t="s">
        <v>6984</v>
      </c>
      <c r="DCJ10" t="s">
        <v>6984</v>
      </c>
      <c r="DCK10" t="s">
        <v>6984</v>
      </c>
      <c r="DCL10" t="s">
        <v>6984</v>
      </c>
      <c r="DCM10" t="s">
        <v>6984</v>
      </c>
      <c r="DCN10" t="s">
        <v>6984</v>
      </c>
      <c r="DCO10" t="s">
        <v>6984</v>
      </c>
      <c r="DCP10" t="s">
        <v>6984</v>
      </c>
      <c r="DCQ10" t="s">
        <v>6984</v>
      </c>
      <c r="DCR10" t="s">
        <v>6984</v>
      </c>
      <c r="DCS10" t="s">
        <v>6984</v>
      </c>
      <c r="DCT10" t="s">
        <v>6984</v>
      </c>
      <c r="DCU10" t="s">
        <v>6984</v>
      </c>
      <c r="DCV10" t="s">
        <v>6984</v>
      </c>
      <c r="DCW10" t="s">
        <v>6984</v>
      </c>
      <c r="DCX10" t="s">
        <v>6984</v>
      </c>
      <c r="DCY10" t="s">
        <v>6984</v>
      </c>
      <c r="DCZ10" t="s">
        <v>6984</v>
      </c>
      <c r="DDA10" t="s">
        <v>6984</v>
      </c>
      <c r="DDB10" t="s">
        <v>6984</v>
      </c>
      <c r="DDC10" t="s">
        <v>6984</v>
      </c>
      <c r="DDD10" t="s">
        <v>6984</v>
      </c>
      <c r="DDE10" t="s">
        <v>6984</v>
      </c>
      <c r="DDF10" t="s">
        <v>6984</v>
      </c>
      <c r="DDG10" t="s">
        <v>6984</v>
      </c>
      <c r="DDH10" t="s">
        <v>6984</v>
      </c>
      <c r="DDI10" t="s">
        <v>6984</v>
      </c>
      <c r="DDJ10" t="s">
        <v>6984</v>
      </c>
      <c r="DDK10" t="s">
        <v>6984</v>
      </c>
      <c r="DDL10" t="s">
        <v>6984</v>
      </c>
      <c r="DDM10" t="s">
        <v>6984</v>
      </c>
      <c r="DDN10" t="s">
        <v>6984</v>
      </c>
      <c r="DDO10" t="s">
        <v>6984</v>
      </c>
      <c r="DDP10" t="s">
        <v>6984</v>
      </c>
      <c r="DDQ10" t="s">
        <v>6984</v>
      </c>
      <c r="DDR10" t="s">
        <v>6984</v>
      </c>
      <c r="DDS10" t="s">
        <v>6984</v>
      </c>
      <c r="DDT10" t="s">
        <v>6984</v>
      </c>
      <c r="DDU10" t="s">
        <v>6984</v>
      </c>
      <c r="DDV10" t="s">
        <v>6984</v>
      </c>
      <c r="DDW10" t="s">
        <v>6984</v>
      </c>
      <c r="DDX10" t="s">
        <v>6984</v>
      </c>
      <c r="DDY10" t="s">
        <v>6984</v>
      </c>
      <c r="DDZ10" t="s">
        <v>6984</v>
      </c>
      <c r="DEA10" t="s">
        <v>6984</v>
      </c>
      <c r="DEB10" t="s">
        <v>6984</v>
      </c>
      <c r="DEC10" t="s">
        <v>6984</v>
      </c>
      <c r="DED10" t="s">
        <v>6984</v>
      </c>
      <c r="DEE10" t="s">
        <v>6984</v>
      </c>
      <c r="DEF10" t="s">
        <v>6984</v>
      </c>
      <c r="DEG10" t="s">
        <v>6984</v>
      </c>
      <c r="DEH10" t="s">
        <v>6984</v>
      </c>
      <c r="DEI10" t="s">
        <v>6984</v>
      </c>
      <c r="DEJ10" t="s">
        <v>6984</v>
      </c>
      <c r="DEK10" t="s">
        <v>6984</v>
      </c>
      <c r="DEL10" t="s">
        <v>6984</v>
      </c>
      <c r="DEM10" t="s">
        <v>6984</v>
      </c>
      <c r="DEN10" t="s">
        <v>6984</v>
      </c>
      <c r="DEO10" t="s">
        <v>6984</v>
      </c>
      <c r="DEP10" t="s">
        <v>6984</v>
      </c>
      <c r="DEQ10" t="s">
        <v>6984</v>
      </c>
      <c r="DER10" t="s">
        <v>6984</v>
      </c>
      <c r="DES10" t="s">
        <v>6984</v>
      </c>
      <c r="DET10" t="s">
        <v>6984</v>
      </c>
      <c r="DEU10" t="s">
        <v>6984</v>
      </c>
      <c r="DEV10" t="s">
        <v>6984</v>
      </c>
      <c r="DEW10" t="s">
        <v>6984</v>
      </c>
      <c r="DEX10" t="s">
        <v>6984</v>
      </c>
      <c r="DEY10" t="s">
        <v>6984</v>
      </c>
      <c r="DEZ10" t="s">
        <v>6984</v>
      </c>
      <c r="DFA10" t="s">
        <v>6984</v>
      </c>
      <c r="DFB10" t="s">
        <v>6984</v>
      </c>
      <c r="DFC10" t="s">
        <v>6984</v>
      </c>
      <c r="DFD10" t="s">
        <v>6984</v>
      </c>
      <c r="DFE10" t="s">
        <v>6984</v>
      </c>
      <c r="DFF10" t="s">
        <v>6984</v>
      </c>
      <c r="DFG10" t="s">
        <v>6984</v>
      </c>
      <c r="DFH10" t="s">
        <v>6984</v>
      </c>
      <c r="DFI10" t="s">
        <v>6984</v>
      </c>
      <c r="DFJ10" t="s">
        <v>6984</v>
      </c>
      <c r="DFK10" t="s">
        <v>6984</v>
      </c>
      <c r="DFL10" t="s">
        <v>6984</v>
      </c>
      <c r="DFM10" t="s">
        <v>6984</v>
      </c>
      <c r="DFN10" t="s">
        <v>6984</v>
      </c>
      <c r="DFO10" t="s">
        <v>6984</v>
      </c>
      <c r="DFP10" t="s">
        <v>6984</v>
      </c>
      <c r="DFQ10" t="s">
        <v>6984</v>
      </c>
      <c r="DFR10" t="s">
        <v>6984</v>
      </c>
      <c r="DFS10" t="s">
        <v>6984</v>
      </c>
      <c r="DFT10" t="s">
        <v>6984</v>
      </c>
      <c r="DFU10" t="s">
        <v>6984</v>
      </c>
      <c r="DFV10" t="s">
        <v>6984</v>
      </c>
      <c r="DFW10" t="s">
        <v>6984</v>
      </c>
      <c r="DFX10" t="s">
        <v>6984</v>
      </c>
      <c r="DFY10" t="s">
        <v>6984</v>
      </c>
      <c r="DFZ10" t="s">
        <v>6984</v>
      </c>
      <c r="DGA10" t="s">
        <v>6984</v>
      </c>
      <c r="DGB10" t="s">
        <v>6984</v>
      </c>
      <c r="DGC10" t="s">
        <v>6984</v>
      </c>
      <c r="DGD10" t="s">
        <v>6984</v>
      </c>
      <c r="DGE10" t="s">
        <v>6984</v>
      </c>
      <c r="DGF10" t="s">
        <v>6984</v>
      </c>
      <c r="DGG10" t="s">
        <v>6984</v>
      </c>
      <c r="DGH10" t="s">
        <v>6984</v>
      </c>
      <c r="DGI10" t="s">
        <v>6984</v>
      </c>
      <c r="DGJ10" t="s">
        <v>6984</v>
      </c>
      <c r="DGK10" t="s">
        <v>6984</v>
      </c>
      <c r="DGL10" t="s">
        <v>6984</v>
      </c>
      <c r="DGM10" t="s">
        <v>6984</v>
      </c>
      <c r="DGN10" t="s">
        <v>6984</v>
      </c>
      <c r="DGO10" t="s">
        <v>6984</v>
      </c>
      <c r="DGP10" t="s">
        <v>6984</v>
      </c>
      <c r="DGQ10" t="s">
        <v>6984</v>
      </c>
      <c r="DGR10" t="s">
        <v>6984</v>
      </c>
      <c r="DGS10" t="s">
        <v>6984</v>
      </c>
      <c r="DGT10" t="s">
        <v>6984</v>
      </c>
      <c r="DGU10" t="s">
        <v>6984</v>
      </c>
      <c r="DGV10" t="s">
        <v>6984</v>
      </c>
      <c r="DGW10" t="s">
        <v>6984</v>
      </c>
      <c r="DGX10" t="s">
        <v>6984</v>
      </c>
      <c r="DGY10" t="s">
        <v>6984</v>
      </c>
      <c r="DGZ10" t="s">
        <v>6984</v>
      </c>
      <c r="DHA10" t="s">
        <v>6984</v>
      </c>
      <c r="DHB10" t="s">
        <v>6984</v>
      </c>
      <c r="DHC10" t="s">
        <v>6984</v>
      </c>
      <c r="DHD10" t="s">
        <v>6984</v>
      </c>
      <c r="DHE10" t="s">
        <v>6984</v>
      </c>
      <c r="DHF10" t="s">
        <v>6984</v>
      </c>
      <c r="DHG10" t="s">
        <v>6984</v>
      </c>
      <c r="DHH10" t="s">
        <v>6984</v>
      </c>
      <c r="DHI10" t="s">
        <v>6984</v>
      </c>
      <c r="DHJ10" t="s">
        <v>6984</v>
      </c>
      <c r="DHK10" t="s">
        <v>6984</v>
      </c>
      <c r="DHL10" t="s">
        <v>6984</v>
      </c>
      <c r="DHM10" t="s">
        <v>6984</v>
      </c>
      <c r="DHN10" t="s">
        <v>6984</v>
      </c>
      <c r="DHO10" t="s">
        <v>6984</v>
      </c>
      <c r="DHP10" t="s">
        <v>6984</v>
      </c>
      <c r="DHQ10" t="s">
        <v>6984</v>
      </c>
      <c r="DHR10" t="s">
        <v>6984</v>
      </c>
      <c r="DHS10" t="s">
        <v>6984</v>
      </c>
      <c r="DHT10" t="s">
        <v>6984</v>
      </c>
      <c r="DHU10" t="s">
        <v>6984</v>
      </c>
      <c r="DHV10" t="s">
        <v>6984</v>
      </c>
      <c r="DHW10" t="s">
        <v>6984</v>
      </c>
      <c r="DHX10" t="s">
        <v>6984</v>
      </c>
      <c r="DHY10" t="s">
        <v>6984</v>
      </c>
      <c r="DHZ10" t="s">
        <v>6984</v>
      </c>
      <c r="DIA10" t="s">
        <v>6984</v>
      </c>
      <c r="DIB10" t="s">
        <v>6984</v>
      </c>
      <c r="DIC10" t="s">
        <v>6984</v>
      </c>
      <c r="DID10" t="s">
        <v>6984</v>
      </c>
      <c r="DIE10" t="s">
        <v>6984</v>
      </c>
      <c r="DIF10" t="s">
        <v>6984</v>
      </c>
      <c r="DIG10" t="s">
        <v>6984</v>
      </c>
      <c r="DIH10" t="s">
        <v>6984</v>
      </c>
      <c r="DII10" t="s">
        <v>6984</v>
      </c>
      <c r="DIJ10" t="s">
        <v>6984</v>
      </c>
      <c r="DIK10" t="s">
        <v>6984</v>
      </c>
      <c r="DIL10" t="s">
        <v>6984</v>
      </c>
      <c r="DIM10" t="s">
        <v>6984</v>
      </c>
      <c r="DIN10" t="s">
        <v>6984</v>
      </c>
      <c r="DIO10" t="s">
        <v>6984</v>
      </c>
      <c r="DIP10" t="s">
        <v>6984</v>
      </c>
      <c r="DIQ10" t="s">
        <v>6984</v>
      </c>
      <c r="DIR10" t="s">
        <v>6984</v>
      </c>
      <c r="DIS10" t="s">
        <v>6984</v>
      </c>
      <c r="DIT10" t="s">
        <v>6984</v>
      </c>
      <c r="DIU10" t="s">
        <v>6984</v>
      </c>
      <c r="DIV10" t="s">
        <v>6984</v>
      </c>
      <c r="DIW10" t="s">
        <v>6984</v>
      </c>
      <c r="DIX10" t="s">
        <v>6984</v>
      </c>
      <c r="DIY10" t="s">
        <v>6984</v>
      </c>
      <c r="DIZ10" t="s">
        <v>6984</v>
      </c>
      <c r="DJA10" t="s">
        <v>6984</v>
      </c>
      <c r="DJB10" t="s">
        <v>6984</v>
      </c>
      <c r="DJC10" t="s">
        <v>6984</v>
      </c>
      <c r="DJD10" t="s">
        <v>6984</v>
      </c>
      <c r="DJE10" t="s">
        <v>6984</v>
      </c>
      <c r="DJF10" t="s">
        <v>6984</v>
      </c>
      <c r="DJG10" t="s">
        <v>6984</v>
      </c>
      <c r="DJH10" t="s">
        <v>6984</v>
      </c>
      <c r="DJI10" t="s">
        <v>6984</v>
      </c>
      <c r="DJJ10" t="s">
        <v>6984</v>
      </c>
      <c r="DJK10" t="s">
        <v>6984</v>
      </c>
      <c r="DJL10" t="s">
        <v>6984</v>
      </c>
      <c r="DJM10" t="s">
        <v>6984</v>
      </c>
      <c r="DJN10" t="s">
        <v>6984</v>
      </c>
      <c r="DJO10" t="s">
        <v>6984</v>
      </c>
      <c r="DJP10" t="s">
        <v>6984</v>
      </c>
      <c r="DJQ10" t="s">
        <v>6984</v>
      </c>
      <c r="DJR10" t="s">
        <v>6984</v>
      </c>
      <c r="DJS10" t="s">
        <v>6984</v>
      </c>
      <c r="DJT10" t="s">
        <v>6984</v>
      </c>
      <c r="DJU10" t="s">
        <v>6984</v>
      </c>
      <c r="DJV10" t="s">
        <v>6984</v>
      </c>
      <c r="DJW10" t="s">
        <v>6984</v>
      </c>
      <c r="DJX10" t="s">
        <v>6984</v>
      </c>
      <c r="DJY10" t="s">
        <v>6984</v>
      </c>
      <c r="DJZ10" t="s">
        <v>6984</v>
      </c>
      <c r="DKA10" t="s">
        <v>6984</v>
      </c>
      <c r="DKB10" t="s">
        <v>6984</v>
      </c>
      <c r="DKC10" t="s">
        <v>6984</v>
      </c>
      <c r="DKD10" t="s">
        <v>6984</v>
      </c>
      <c r="DKE10" t="s">
        <v>6984</v>
      </c>
      <c r="DKF10" t="s">
        <v>6984</v>
      </c>
      <c r="DKG10" t="s">
        <v>6984</v>
      </c>
      <c r="DKH10" t="s">
        <v>6984</v>
      </c>
      <c r="DKI10" t="s">
        <v>6984</v>
      </c>
      <c r="DKJ10" t="s">
        <v>6984</v>
      </c>
      <c r="DKK10" t="s">
        <v>6984</v>
      </c>
      <c r="DKL10" t="s">
        <v>6984</v>
      </c>
      <c r="DKM10" t="s">
        <v>6984</v>
      </c>
      <c r="DKN10" t="s">
        <v>6984</v>
      </c>
      <c r="DKO10" t="s">
        <v>6984</v>
      </c>
      <c r="DKP10" t="s">
        <v>6984</v>
      </c>
      <c r="DKQ10" t="s">
        <v>6984</v>
      </c>
      <c r="DKR10" t="s">
        <v>6984</v>
      </c>
      <c r="DKS10" t="s">
        <v>6984</v>
      </c>
      <c r="DKT10" t="s">
        <v>6984</v>
      </c>
      <c r="DKU10" t="s">
        <v>6984</v>
      </c>
      <c r="DKV10" t="s">
        <v>6984</v>
      </c>
      <c r="DKW10" t="s">
        <v>6984</v>
      </c>
      <c r="DKX10" t="s">
        <v>6984</v>
      </c>
      <c r="DKY10" t="s">
        <v>6984</v>
      </c>
      <c r="DKZ10" t="s">
        <v>6984</v>
      </c>
      <c r="DLA10" t="s">
        <v>6984</v>
      </c>
      <c r="DLB10" t="s">
        <v>6984</v>
      </c>
      <c r="DLC10" t="s">
        <v>6984</v>
      </c>
      <c r="DLD10" t="s">
        <v>6984</v>
      </c>
      <c r="DLE10" t="s">
        <v>6984</v>
      </c>
      <c r="DLF10" t="s">
        <v>6984</v>
      </c>
      <c r="DLG10" t="s">
        <v>6984</v>
      </c>
      <c r="DLH10" t="s">
        <v>6984</v>
      </c>
      <c r="DLI10" t="s">
        <v>6984</v>
      </c>
      <c r="DLJ10" t="s">
        <v>6984</v>
      </c>
      <c r="DLK10" t="s">
        <v>6984</v>
      </c>
      <c r="DLL10" t="s">
        <v>6984</v>
      </c>
      <c r="DLM10" t="s">
        <v>6984</v>
      </c>
      <c r="DLN10" t="s">
        <v>6984</v>
      </c>
      <c r="DLO10" t="s">
        <v>6984</v>
      </c>
      <c r="DLP10" t="s">
        <v>6984</v>
      </c>
      <c r="DLQ10" t="s">
        <v>6984</v>
      </c>
      <c r="DLR10" t="s">
        <v>6984</v>
      </c>
      <c r="DLS10" t="s">
        <v>6984</v>
      </c>
      <c r="DLT10" t="s">
        <v>6984</v>
      </c>
      <c r="DLU10" t="s">
        <v>6984</v>
      </c>
      <c r="DLV10" t="s">
        <v>6984</v>
      </c>
      <c r="DLW10" t="s">
        <v>6984</v>
      </c>
      <c r="DLX10" t="s">
        <v>6984</v>
      </c>
      <c r="DLY10" t="s">
        <v>6984</v>
      </c>
      <c r="DLZ10" t="s">
        <v>6984</v>
      </c>
      <c r="DMA10" t="s">
        <v>6984</v>
      </c>
      <c r="DMB10" t="s">
        <v>6984</v>
      </c>
      <c r="DMC10" t="s">
        <v>6984</v>
      </c>
      <c r="DMD10" t="s">
        <v>6984</v>
      </c>
      <c r="DME10" t="s">
        <v>6984</v>
      </c>
      <c r="DMF10" t="s">
        <v>6984</v>
      </c>
      <c r="DMG10" t="s">
        <v>6984</v>
      </c>
      <c r="DMH10" t="s">
        <v>6984</v>
      </c>
      <c r="DMI10" t="s">
        <v>6984</v>
      </c>
      <c r="DMJ10" t="s">
        <v>6984</v>
      </c>
      <c r="DMK10" t="s">
        <v>6984</v>
      </c>
      <c r="DML10" t="s">
        <v>6984</v>
      </c>
      <c r="DMM10" t="s">
        <v>6984</v>
      </c>
      <c r="DMN10" t="s">
        <v>6984</v>
      </c>
      <c r="DMO10" t="s">
        <v>6984</v>
      </c>
      <c r="DMP10" t="s">
        <v>6984</v>
      </c>
      <c r="DMQ10" t="s">
        <v>6984</v>
      </c>
      <c r="DMR10" t="s">
        <v>6984</v>
      </c>
      <c r="DMS10" t="s">
        <v>6984</v>
      </c>
      <c r="DMT10" t="s">
        <v>6984</v>
      </c>
      <c r="DMU10" t="s">
        <v>6984</v>
      </c>
      <c r="DMV10" t="s">
        <v>6984</v>
      </c>
      <c r="DMW10" t="s">
        <v>6984</v>
      </c>
      <c r="DMX10" t="s">
        <v>6984</v>
      </c>
      <c r="DMY10" t="s">
        <v>6984</v>
      </c>
      <c r="DMZ10" t="s">
        <v>6984</v>
      </c>
      <c r="DNA10" t="s">
        <v>6984</v>
      </c>
      <c r="DNB10" t="s">
        <v>6984</v>
      </c>
      <c r="DNC10" t="s">
        <v>6984</v>
      </c>
      <c r="DND10" t="s">
        <v>6984</v>
      </c>
      <c r="DNE10" t="s">
        <v>6984</v>
      </c>
      <c r="DNF10" t="s">
        <v>6984</v>
      </c>
      <c r="DNG10" t="s">
        <v>6984</v>
      </c>
      <c r="DNH10" t="s">
        <v>6984</v>
      </c>
      <c r="DNI10" t="s">
        <v>6984</v>
      </c>
      <c r="DNJ10" t="s">
        <v>6984</v>
      </c>
      <c r="DNK10" t="s">
        <v>6984</v>
      </c>
      <c r="DNL10" t="s">
        <v>6984</v>
      </c>
      <c r="DNM10" t="s">
        <v>6984</v>
      </c>
      <c r="DNN10" t="s">
        <v>6984</v>
      </c>
      <c r="DNO10" t="s">
        <v>6984</v>
      </c>
      <c r="DNP10" t="s">
        <v>6984</v>
      </c>
      <c r="DNQ10" t="s">
        <v>6984</v>
      </c>
      <c r="DNR10" t="s">
        <v>6984</v>
      </c>
      <c r="DNS10" t="s">
        <v>6984</v>
      </c>
      <c r="DNT10" t="s">
        <v>6984</v>
      </c>
      <c r="DNU10" t="s">
        <v>6984</v>
      </c>
      <c r="DNV10" t="s">
        <v>6984</v>
      </c>
      <c r="DNW10" t="s">
        <v>6984</v>
      </c>
      <c r="DNX10" t="s">
        <v>6984</v>
      </c>
      <c r="DNY10" t="s">
        <v>6984</v>
      </c>
      <c r="DNZ10" t="s">
        <v>6984</v>
      </c>
      <c r="DOA10" t="s">
        <v>6984</v>
      </c>
      <c r="DOB10" t="s">
        <v>6984</v>
      </c>
      <c r="DOC10" t="s">
        <v>6984</v>
      </c>
      <c r="DOD10" t="s">
        <v>6984</v>
      </c>
      <c r="DOE10" t="s">
        <v>6984</v>
      </c>
      <c r="DOF10" t="s">
        <v>6984</v>
      </c>
      <c r="DOG10" t="s">
        <v>6984</v>
      </c>
      <c r="DOH10" t="s">
        <v>6984</v>
      </c>
      <c r="DOI10" t="s">
        <v>6984</v>
      </c>
      <c r="DOJ10" t="s">
        <v>6984</v>
      </c>
      <c r="DOK10" t="s">
        <v>6984</v>
      </c>
      <c r="DOL10" t="s">
        <v>6984</v>
      </c>
      <c r="DOM10" t="s">
        <v>6984</v>
      </c>
      <c r="DON10" t="s">
        <v>6984</v>
      </c>
      <c r="DOO10" t="s">
        <v>6984</v>
      </c>
      <c r="DOP10" t="s">
        <v>6984</v>
      </c>
      <c r="DOQ10" t="s">
        <v>6984</v>
      </c>
      <c r="DOR10" t="s">
        <v>6984</v>
      </c>
      <c r="DOS10" t="s">
        <v>6984</v>
      </c>
      <c r="DOT10" t="s">
        <v>6984</v>
      </c>
      <c r="DOU10" t="s">
        <v>6984</v>
      </c>
      <c r="DOV10" t="s">
        <v>6984</v>
      </c>
      <c r="DOW10" t="s">
        <v>6984</v>
      </c>
      <c r="DOX10" t="s">
        <v>6984</v>
      </c>
      <c r="DOY10" t="s">
        <v>6984</v>
      </c>
      <c r="DOZ10" t="s">
        <v>6984</v>
      </c>
      <c r="DPA10" t="s">
        <v>6984</v>
      </c>
      <c r="DPB10" t="s">
        <v>6984</v>
      </c>
      <c r="DPC10" t="s">
        <v>6984</v>
      </c>
      <c r="DPD10" t="s">
        <v>6984</v>
      </c>
      <c r="DPE10" t="s">
        <v>6984</v>
      </c>
      <c r="DPF10" t="s">
        <v>6984</v>
      </c>
      <c r="DPG10" t="s">
        <v>6984</v>
      </c>
      <c r="DPH10" t="s">
        <v>6984</v>
      </c>
      <c r="DPI10" t="s">
        <v>6984</v>
      </c>
      <c r="DPJ10" t="s">
        <v>6984</v>
      </c>
      <c r="DPK10" t="s">
        <v>6984</v>
      </c>
      <c r="DPL10" t="s">
        <v>6984</v>
      </c>
      <c r="DPM10" t="s">
        <v>6984</v>
      </c>
      <c r="DPN10" t="s">
        <v>6984</v>
      </c>
      <c r="DPO10" t="s">
        <v>6984</v>
      </c>
      <c r="DPP10" t="s">
        <v>6984</v>
      </c>
      <c r="DPQ10" t="s">
        <v>6984</v>
      </c>
      <c r="DPR10" t="s">
        <v>6984</v>
      </c>
      <c r="DPS10" t="s">
        <v>6984</v>
      </c>
      <c r="DPT10" t="s">
        <v>6984</v>
      </c>
      <c r="DPU10" t="s">
        <v>6984</v>
      </c>
      <c r="DPV10" t="s">
        <v>6984</v>
      </c>
      <c r="DPW10" t="s">
        <v>6984</v>
      </c>
      <c r="DPX10" t="s">
        <v>6984</v>
      </c>
      <c r="DPY10" t="s">
        <v>6984</v>
      </c>
      <c r="DPZ10" t="s">
        <v>6984</v>
      </c>
      <c r="DQA10" t="s">
        <v>6984</v>
      </c>
      <c r="DQB10" t="s">
        <v>6984</v>
      </c>
      <c r="DQC10" t="s">
        <v>6984</v>
      </c>
      <c r="DQD10" t="s">
        <v>6984</v>
      </c>
      <c r="DQE10" t="s">
        <v>6984</v>
      </c>
      <c r="DQF10" t="s">
        <v>6984</v>
      </c>
      <c r="DQG10" t="s">
        <v>6984</v>
      </c>
      <c r="DQH10" t="s">
        <v>6984</v>
      </c>
      <c r="DQI10" t="s">
        <v>6984</v>
      </c>
      <c r="DQJ10" t="s">
        <v>6984</v>
      </c>
      <c r="DQK10" t="s">
        <v>6984</v>
      </c>
      <c r="DQL10" t="s">
        <v>6984</v>
      </c>
      <c r="DQM10" t="s">
        <v>6984</v>
      </c>
      <c r="DQN10" t="s">
        <v>6984</v>
      </c>
      <c r="DQO10" t="s">
        <v>6984</v>
      </c>
      <c r="DQP10" t="s">
        <v>6984</v>
      </c>
      <c r="DQQ10" t="s">
        <v>6984</v>
      </c>
      <c r="DQR10" t="s">
        <v>6984</v>
      </c>
      <c r="DQS10" t="s">
        <v>6984</v>
      </c>
      <c r="DQT10" t="s">
        <v>6984</v>
      </c>
      <c r="DQU10" t="s">
        <v>6984</v>
      </c>
      <c r="DQV10" t="s">
        <v>6984</v>
      </c>
      <c r="DQW10" t="s">
        <v>6984</v>
      </c>
      <c r="DQX10" t="s">
        <v>6984</v>
      </c>
      <c r="DQY10" t="s">
        <v>6984</v>
      </c>
      <c r="DQZ10" t="s">
        <v>6984</v>
      </c>
      <c r="DRA10" t="s">
        <v>6984</v>
      </c>
      <c r="DRB10" t="s">
        <v>6984</v>
      </c>
      <c r="DRC10" t="s">
        <v>6984</v>
      </c>
      <c r="DRD10" t="s">
        <v>6984</v>
      </c>
      <c r="DRE10" t="s">
        <v>6984</v>
      </c>
      <c r="DRF10" t="s">
        <v>6984</v>
      </c>
      <c r="DRG10" t="s">
        <v>6984</v>
      </c>
      <c r="DRH10" t="s">
        <v>6984</v>
      </c>
      <c r="DRI10" t="s">
        <v>6984</v>
      </c>
      <c r="DRJ10" t="s">
        <v>6984</v>
      </c>
      <c r="DRK10" t="s">
        <v>6984</v>
      </c>
      <c r="DRL10" t="s">
        <v>6984</v>
      </c>
      <c r="DRM10" t="s">
        <v>6984</v>
      </c>
      <c r="DRN10" t="s">
        <v>6984</v>
      </c>
      <c r="DRO10" t="s">
        <v>6984</v>
      </c>
      <c r="DRP10" t="s">
        <v>6984</v>
      </c>
      <c r="DRQ10" t="s">
        <v>6984</v>
      </c>
      <c r="DRR10" t="s">
        <v>6984</v>
      </c>
      <c r="DRS10" t="s">
        <v>6984</v>
      </c>
      <c r="DRT10" t="s">
        <v>6984</v>
      </c>
      <c r="DRU10" t="s">
        <v>6984</v>
      </c>
      <c r="DRV10" t="s">
        <v>6984</v>
      </c>
      <c r="DRW10" t="s">
        <v>6984</v>
      </c>
      <c r="DRX10" t="s">
        <v>6984</v>
      </c>
      <c r="DRY10" t="s">
        <v>6984</v>
      </c>
      <c r="DRZ10" t="s">
        <v>6984</v>
      </c>
      <c r="DSA10" t="s">
        <v>6984</v>
      </c>
      <c r="DSB10" t="s">
        <v>6984</v>
      </c>
      <c r="DSC10" t="s">
        <v>6984</v>
      </c>
      <c r="DSD10" t="s">
        <v>6984</v>
      </c>
      <c r="DSE10" t="s">
        <v>6984</v>
      </c>
      <c r="DSF10" t="s">
        <v>6984</v>
      </c>
      <c r="DSG10" t="s">
        <v>6984</v>
      </c>
      <c r="DSH10" t="s">
        <v>6984</v>
      </c>
      <c r="DSI10" t="s">
        <v>6984</v>
      </c>
      <c r="DSJ10" t="s">
        <v>6984</v>
      </c>
      <c r="DSK10" t="s">
        <v>6984</v>
      </c>
      <c r="DSL10" t="s">
        <v>6984</v>
      </c>
      <c r="DSM10" t="s">
        <v>6984</v>
      </c>
      <c r="DSN10" t="s">
        <v>6984</v>
      </c>
      <c r="DSO10" t="s">
        <v>6984</v>
      </c>
      <c r="DSP10" t="s">
        <v>6984</v>
      </c>
      <c r="DSQ10" t="s">
        <v>6984</v>
      </c>
      <c r="DSR10" t="s">
        <v>6984</v>
      </c>
      <c r="DSS10" t="s">
        <v>6984</v>
      </c>
      <c r="DST10" t="s">
        <v>6984</v>
      </c>
      <c r="DSU10" t="s">
        <v>6984</v>
      </c>
      <c r="DSV10" t="s">
        <v>6984</v>
      </c>
      <c r="DSW10" t="s">
        <v>6984</v>
      </c>
      <c r="DSX10" t="s">
        <v>6984</v>
      </c>
      <c r="DSY10" t="s">
        <v>6984</v>
      </c>
      <c r="DSZ10" t="s">
        <v>6984</v>
      </c>
      <c r="DTA10" t="s">
        <v>6984</v>
      </c>
      <c r="DTB10" t="s">
        <v>6984</v>
      </c>
      <c r="DTC10" t="s">
        <v>6984</v>
      </c>
      <c r="DTD10" t="s">
        <v>6984</v>
      </c>
      <c r="DTE10" t="s">
        <v>6984</v>
      </c>
      <c r="DTF10" t="s">
        <v>6984</v>
      </c>
      <c r="DTG10" t="s">
        <v>6984</v>
      </c>
      <c r="DTH10" t="s">
        <v>6984</v>
      </c>
      <c r="DTI10" t="s">
        <v>6984</v>
      </c>
      <c r="DTJ10" t="s">
        <v>6984</v>
      </c>
      <c r="DTK10" t="s">
        <v>6984</v>
      </c>
      <c r="DTL10" t="s">
        <v>6984</v>
      </c>
      <c r="DTM10" t="s">
        <v>6984</v>
      </c>
      <c r="DTN10" t="s">
        <v>6984</v>
      </c>
      <c r="DTO10" t="s">
        <v>6984</v>
      </c>
      <c r="DTP10" t="s">
        <v>6984</v>
      </c>
      <c r="DTQ10" t="s">
        <v>6984</v>
      </c>
      <c r="DTR10" t="s">
        <v>6984</v>
      </c>
      <c r="DTS10" t="s">
        <v>6984</v>
      </c>
      <c r="DTT10" t="s">
        <v>6984</v>
      </c>
      <c r="DTU10" t="s">
        <v>6984</v>
      </c>
      <c r="DTV10" t="s">
        <v>6984</v>
      </c>
      <c r="DTW10" t="s">
        <v>6984</v>
      </c>
      <c r="DTX10" t="s">
        <v>6984</v>
      </c>
      <c r="DTY10" t="s">
        <v>6984</v>
      </c>
      <c r="DTZ10" t="s">
        <v>6984</v>
      </c>
      <c r="DUA10" t="s">
        <v>6984</v>
      </c>
      <c r="DUB10" t="s">
        <v>6984</v>
      </c>
      <c r="DUC10" t="s">
        <v>6984</v>
      </c>
      <c r="DUD10" t="s">
        <v>6984</v>
      </c>
      <c r="DUE10" t="s">
        <v>6984</v>
      </c>
      <c r="DUF10" t="s">
        <v>6984</v>
      </c>
      <c r="DUG10" t="s">
        <v>6984</v>
      </c>
      <c r="DUH10" t="s">
        <v>6984</v>
      </c>
      <c r="DUI10" t="s">
        <v>6984</v>
      </c>
      <c r="DUJ10" t="s">
        <v>6984</v>
      </c>
      <c r="DUK10" t="s">
        <v>6984</v>
      </c>
      <c r="DUL10" t="s">
        <v>6984</v>
      </c>
      <c r="DUM10" t="s">
        <v>6984</v>
      </c>
      <c r="DUN10" t="s">
        <v>6984</v>
      </c>
      <c r="DUO10" t="s">
        <v>6984</v>
      </c>
      <c r="DUP10" t="s">
        <v>6984</v>
      </c>
      <c r="DUQ10" t="s">
        <v>6984</v>
      </c>
      <c r="DUR10" t="s">
        <v>6984</v>
      </c>
      <c r="DUS10" t="s">
        <v>6984</v>
      </c>
      <c r="DUT10" t="s">
        <v>6984</v>
      </c>
      <c r="DUU10" t="s">
        <v>6984</v>
      </c>
      <c r="DUV10" t="s">
        <v>6984</v>
      </c>
      <c r="DUW10" t="s">
        <v>6984</v>
      </c>
      <c r="DUX10" t="s">
        <v>6984</v>
      </c>
      <c r="DUY10" t="s">
        <v>6984</v>
      </c>
      <c r="DUZ10" t="s">
        <v>6984</v>
      </c>
      <c r="DVA10" t="s">
        <v>6984</v>
      </c>
      <c r="DVB10" t="s">
        <v>6984</v>
      </c>
      <c r="DVC10" t="s">
        <v>6984</v>
      </c>
      <c r="DVD10" t="s">
        <v>6984</v>
      </c>
      <c r="DVE10" t="s">
        <v>6984</v>
      </c>
      <c r="DVF10" t="s">
        <v>6984</v>
      </c>
      <c r="DVG10" t="s">
        <v>6984</v>
      </c>
      <c r="DVH10" t="s">
        <v>6984</v>
      </c>
      <c r="DVI10" t="s">
        <v>6984</v>
      </c>
      <c r="DVJ10" t="s">
        <v>6984</v>
      </c>
      <c r="DVK10" t="s">
        <v>6984</v>
      </c>
      <c r="DVL10" t="s">
        <v>6984</v>
      </c>
      <c r="DVM10" t="s">
        <v>6984</v>
      </c>
      <c r="DVN10" t="s">
        <v>6984</v>
      </c>
      <c r="DVO10" t="s">
        <v>6984</v>
      </c>
      <c r="DVP10" t="s">
        <v>6984</v>
      </c>
      <c r="DVQ10" t="s">
        <v>6984</v>
      </c>
      <c r="DVR10" t="s">
        <v>6984</v>
      </c>
      <c r="DVS10" t="s">
        <v>6984</v>
      </c>
      <c r="DVT10" t="s">
        <v>6984</v>
      </c>
      <c r="DVU10" t="s">
        <v>6984</v>
      </c>
      <c r="DVV10" t="s">
        <v>6984</v>
      </c>
      <c r="DVW10" t="s">
        <v>6984</v>
      </c>
      <c r="DVX10" t="s">
        <v>6984</v>
      </c>
      <c r="DVY10" t="s">
        <v>6984</v>
      </c>
      <c r="DVZ10" t="s">
        <v>6984</v>
      </c>
      <c r="DWA10" t="s">
        <v>6984</v>
      </c>
      <c r="DWB10" t="s">
        <v>6984</v>
      </c>
      <c r="DWC10" t="s">
        <v>6984</v>
      </c>
      <c r="DWD10" t="s">
        <v>6984</v>
      </c>
      <c r="DWE10" t="s">
        <v>6984</v>
      </c>
      <c r="DWF10" t="s">
        <v>6984</v>
      </c>
      <c r="DWG10" t="s">
        <v>6984</v>
      </c>
      <c r="DWH10" t="s">
        <v>6984</v>
      </c>
      <c r="DWI10" t="s">
        <v>6984</v>
      </c>
      <c r="DWJ10" t="s">
        <v>6984</v>
      </c>
      <c r="DWK10" t="s">
        <v>6984</v>
      </c>
      <c r="DWL10" t="s">
        <v>6984</v>
      </c>
      <c r="DWM10" t="s">
        <v>6984</v>
      </c>
      <c r="DWN10" t="s">
        <v>6984</v>
      </c>
      <c r="DWO10" t="s">
        <v>6984</v>
      </c>
      <c r="DWP10" t="s">
        <v>6984</v>
      </c>
      <c r="DWQ10" t="s">
        <v>6984</v>
      </c>
      <c r="DWR10" t="s">
        <v>6984</v>
      </c>
      <c r="DWS10" t="s">
        <v>6984</v>
      </c>
      <c r="DWT10" t="s">
        <v>6984</v>
      </c>
      <c r="DWU10" t="s">
        <v>6984</v>
      </c>
      <c r="DWV10" t="s">
        <v>6984</v>
      </c>
      <c r="DWW10" t="s">
        <v>6984</v>
      </c>
      <c r="DWX10" t="s">
        <v>6984</v>
      </c>
      <c r="DWY10" t="s">
        <v>6984</v>
      </c>
      <c r="DWZ10" t="s">
        <v>6984</v>
      </c>
      <c r="DXA10" t="s">
        <v>6984</v>
      </c>
      <c r="DXB10" t="s">
        <v>6984</v>
      </c>
      <c r="DXC10" t="s">
        <v>6984</v>
      </c>
      <c r="DXD10" t="s">
        <v>6984</v>
      </c>
      <c r="DXE10" t="s">
        <v>6984</v>
      </c>
      <c r="DXF10" t="s">
        <v>6984</v>
      </c>
      <c r="DXG10" t="s">
        <v>6984</v>
      </c>
      <c r="DXH10" t="s">
        <v>6984</v>
      </c>
      <c r="DXI10" t="s">
        <v>6984</v>
      </c>
      <c r="DXJ10" t="s">
        <v>6984</v>
      </c>
      <c r="DXK10" t="s">
        <v>6984</v>
      </c>
      <c r="DXL10" t="s">
        <v>6984</v>
      </c>
      <c r="DXM10" t="s">
        <v>6984</v>
      </c>
      <c r="DXN10" t="s">
        <v>6984</v>
      </c>
      <c r="DXO10" t="s">
        <v>6984</v>
      </c>
      <c r="DXP10" t="s">
        <v>6984</v>
      </c>
      <c r="DXQ10" t="s">
        <v>6984</v>
      </c>
      <c r="DXR10" t="s">
        <v>6984</v>
      </c>
      <c r="DXS10" t="s">
        <v>6984</v>
      </c>
      <c r="DXT10" t="s">
        <v>6984</v>
      </c>
      <c r="DXU10" t="s">
        <v>6984</v>
      </c>
      <c r="DXV10" t="s">
        <v>6984</v>
      </c>
      <c r="DXW10" t="s">
        <v>6984</v>
      </c>
      <c r="DXX10" t="s">
        <v>6984</v>
      </c>
      <c r="DXY10" t="s">
        <v>6984</v>
      </c>
      <c r="DXZ10" t="s">
        <v>6984</v>
      </c>
      <c r="DYA10" t="s">
        <v>6984</v>
      </c>
      <c r="DYB10" t="s">
        <v>6984</v>
      </c>
      <c r="DYC10" t="s">
        <v>6984</v>
      </c>
      <c r="DYD10" t="s">
        <v>6984</v>
      </c>
      <c r="DYE10" t="s">
        <v>6984</v>
      </c>
      <c r="DYF10" t="s">
        <v>6984</v>
      </c>
      <c r="DYG10" t="s">
        <v>6984</v>
      </c>
      <c r="DYH10" t="s">
        <v>6984</v>
      </c>
      <c r="DYI10" t="s">
        <v>6984</v>
      </c>
      <c r="DYJ10" t="s">
        <v>6984</v>
      </c>
      <c r="DYK10" t="s">
        <v>6984</v>
      </c>
      <c r="DYL10" t="s">
        <v>6984</v>
      </c>
      <c r="DYM10" t="s">
        <v>6984</v>
      </c>
      <c r="DYN10" t="s">
        <v>6984</v>
      </c>
      <c r="DYO10" t="s">
        <v>6984</v>
      </c>
      <c r="DYP10" t="s">
        <v>6984</v>
      </c>
      <c r="DYQ10" t="s">
        <v>6984</v>
      </c>
      <c r="DYR10" t="s">
        <v>6984</v>
      </c>
      <c r="DYS10" t="s">
        <v>6984</v>
      </c>
      <c r="DYT10" t="s">
        <v>6984</v>
      </c>
      <c r="DYU10" t="s">
        <v>6984</v>
      </c>
      <c r="DYV10" t="s">
        <v>6984</v>
      </c>
      <c r="DYW10" t="s">
        <v>6984</v>
      </c>
      <c r="DYX10" t="s">
        <v>6984</v>
      </c>
      <c r="DYY10" t="s">
        <v>6984</v>
      </c>
      <c r="DYZ10" t="s">
        <v>6984</v>
      </c>
      <c r="DZA10" t="s">
        <v>6984</v>
      </c>
      <c r="DZB10" t="s">
        <v>6984</v>
      </c>
      <c r="DZC10" t="s">
        <v>6984</v>
      </c>
      <c r="DZD10" t="s">
        <v>6984</v>
      </c>
      <c r="DZE10" t="s">
        <v>6984</v>
      </c>
      <c r="DZF10" t="s">
        <v>6984</v>
      </c>
      <c r="DZG10" t="s">
        <v>6984</v>
      </c>
      <c r="DZH10" t="s">
        <v>6984</v>
      </c>
      <c r="DZI10" t="s">
        <v>6984</v>
      </c>
      <c r="DZJ10" t="s">
        <v>6984</v>
      </c>
      <c r="DZK10" t="s">
        <v>6984</v>
      </c>
      <c r="DZL10" t="s">
        <v>6984</v>
      </c>
      <c r="DZM10" t="s">
        <v>6984</v>
      </c>
      <c r="DZN10" t="s">
        <v>6984</v>
      </c>
      <c r="DZO10" t="s">
        <v>6984</v>
      </c>
      <c r="DZP10" t="s">
        <v>6984</v>
      </c>
      <c r="DZQ10" t="s">
        <v>6984</v>
      </c>
      <c r="DZR10" t="s">
        <v>6984</v>
      </c>
      <c r="DZS10" t="s">
        <v>6984</v>
      </c>
      <c r="DZT10" t="s">
        <v>6984</v>
      </c>
      <c r="DZU10" t="s">
        <v>6984</v>
      </c>
      <c r="DZV10" t="s">
        <v>6984</v>
      </c>
      <c r="DZW10" t="s">
        <v>6984</v>
      </c>
      <c r="DZX10" t="s">
        <v>6984</v>
      </c>
      <c r="DZY10" t="s">
        <v>6984</v>
      </c>
      <c r="DZZ10" t="s">
        <v>6984</v>
      </c>
      <c r="EAA10" t="s">
        <v>6984</v>
      </c>
      <c r="EAB10" t="s">
        <v>6984</v>
      </c>
      <c r="EAC10" t="s">
        <v>6984</v>
      </c>
      <c r="EAD10" t="s">
        <v>6984</v>
      </c>
      <c r="EAE10" t="s">
        <v>6984</v>
      </c>
      <c r="EAF10" t="s">
        <v>6984</v>
      </c>
      <c r="EAG10" t="s">
        <v>6984</v>
      </c>
      <c r="EAH10" t="s">
        <v>6984</v>
      </c>
      <c r="EAI10" t="s">
        <v>6984</v>
      </c>
      <c r="EAJ10" t="s">
        <v>6984</v>
      </c>
      <c r="EAK10" t="s">
        <v>6984</v>
      </c>
      <c r="EAL10" t="s">
        <v>6984</v>
      </c>
      <c r="EAM10" t="s">
        <v>6984</v>
      </c>
      <c r="EAN10" t="s">
        <v>6984</v>
      </c>
      <c r="EAO10" t="s">
        <v>6984</v>
      </c>
      <c r="EAP10" t="s">
        <v>6984</v>
      </c>
      <c r="EAQ10" t="s">
        <v>6984</v>
      </c>
      <c r="EAR10" t="s">
        <v>6984</v>
      </c>
      <c r="EAS10" t="s">
        <v>6984</v>
      </c>
      <c r="EAT10" t="s">
        <v>6984</v>
      </c>
      <c r="EAU10" t="s">
        <v>6984</v>
      </c>
      <c r="EAV10" t="s">
        <v>6984</v>
      </c>
      <c r="EAW10" t="s">
        <v>6984</v>
      </c>
      <c r="EAX10" t="s">
        <v>6984</v>
      </c>
      <c r="EAY10" t="s">
        <v>6984</v>
      </c>
      <c r="EAZ10" t="s">
        <v>6984</v>
      </c>
      <c r="EBA10" t="s">
        <v>6984</v>
      </c>
      <c r="EBB10" t="s">
        <v>6984</v>
      </c>
      <c r="EBC10" t="s">
        <v>6984</v>
      </c>
      <c r="EBD10" t="s">
        <v>6984</v>
      </c>
      <c r="EBE10" t="s">
        <v>6984</v>
      </c>
      <c r="EBF10" t="s">
        <v>6984</v>
      </c>
      <c r="EBG10" t="s">
        <v>6984</v>
      </c>
      <c r="EBH10" t="s">
        <v>6984</v>
      </c>
      <c r="EBI10" t="s">
        <v>6984</v>
      </c>
      <c r="EBJ10" t="s">
        <v>6984</v>
      </c>
      <c r="EBK10" t="s">
        <v>6984</v>
      </c>
      <c r="EBL10" t="s">
        <v>6984</v>
      </c>
      <c r="EBM10" t="s">
        <v>6984</v>
      </c>
      <c r="EBN10" t="s">
        <v>6984</v>
      </c>
      <c r="EBO10" t="s">
        <v>6984</v>
      </c>
      <c r="EBP10" t="s">
        <v>6984</v>
      </c>
      <c r="EBQ10" t="s">
        <v>6984</v>
      </c>
      <c r="EBR10" t="s">
        <v>6984</v>
      </c>
      <c r="EBS10" t="s">
        <v>6984</v>
      </c>
      <c r="EBT10" t="s">
        <v>6984</v>
      </c>
      <c r="EBU10" t="s">
        <v>6984</v>
      </c>
      <c r="EBV10" t="s">
        <v>6984</v>
      </c>
      <c r="EBW10" t="s">
        <v>6984</v>
      </c>
      <c r="EBX10" t="s">
        <v>6984</v>
      </c>
      <c r="EBY10" t="s">
        <v>6984</v>
      </c>
      <c r="EBZ10" t="s">
        <v>6984</v>
      </c>
      <c r="ECA10" t="s">
        <v>6984</v>
      </c>
      <c r="ECB10" t="s">
        <v>6984</v>
      </c>
      <c r="ECC10" t="s">
        <v>6984</v>
      </c>
      <c r="ECD10" t="s">
        <v>6984</v>
      </c>
      <c r="ECE10" t="s">
        <v>6984</v>
      </c>
      <c r="ECF10" t="s">
        <v>6984</v>
      </c>
      <c r="ECG10" t="s">
        <v>6984</v>
      </c>
      <c r="ECH10" t="s">
        <v>6984</v>
      </c>
      <c r="ECI10" t="s">
        <v>6984</v>
      </c>
      <c r="ECJ10" t="s">
        <v>6984</v>
      </c>
      <c r="ECK10" t="s">
        <v>6984</v>
      </c>
      <c r="ECL10" t="s">
        <v>6984</v>
      </c>
      <c r="ECM10" t="s">
        <v>6984</v>
      </c>
      <c r="ECN10" t="s">
        <v>6984</v>
      </c>
      <c r="ECO10" t="s">
        <v>6984</v>
      </c>
      <c r="ECP10" t="s">
        <v>6984</v>
      </c>
      <c r="ECQ10" t="s">
        <v>6984</v>
      </c>
      <c r="ECR10" t="s">
        <v>6984</v>
      </c>
      <c r="ECS10" t="s">
        <v>6984</v>
      </c>
      <c r="ECT10" t="s">
        <v>6984</v>
      </c>
      <c r="ECU10" t="s">
        <v>6984</v>
      </c>
      <c r="ECV10" t="s">
        <v>6984</v>
      </c>
      <c r="ECW10" t="s">
        <v>6984</v>
      </c>
      <c r="ECX10" t="s">
        <v>6984</v>
      </c>
      <c r="ECY10" t="s">
        <v>6984</v>
      </c>
      <c r="ECZ10" t="s">
        <v>6984</v>
      </c>
      <c r="EDA10" t="s">
        <v>6984</v>
      </c>
      <c r="EDB10" t="s">
        <v>6984</v>
      </c>
      <c r="EDC10" t="s">
        <v>6984</v>
      </c>
      <c r="EDD10" t="s">
        <v>6984</v>
      </c>
      <c r="EDE10" t="s">
        <v>6984</v>
      </c>
      <c r="EDF10" t="s">
        <v>6984</v>
      </c>
      <c r="EDG10" t="s">
        <v>6984</v>
      </c>
      <c r="EDH10" t="s">
        <v>6984</v>
      </c>
      <c r="EDI10" t="s">
        <v>6984</v>
      </c>
      <c r="EDJ10" t="s">
        <v>6984</v>
      </c>
      <c r="EDK10" t="s">
        <v>6984</v>
      </c>
      <c r="EDL10" t="s">
        <v>6984</v>
      </c>
      <c r="EDM10" t="s">
        <v>6984</v>
      </c>
      <c r="EDN10" t="s">
        <v>6984</v>
      </c>
      <c r="EDO10" t="s">
        <v>6984</v>
      </c>
      <c r="EDP10" t="s">
        <v>6984</v>
      </c>
      <c r="EDQ10" t="s">
        <v>6984</v>
      </c>
      <c r="EDR10" t="s">
        <v>6984</v>
      </c>
      <c r="EDS10" t="s">
        <v>6984</v>
      </c>
      <c r="EDT10" t="s">
        <v>6984</v>
      </c>
      <c r="EDU10" t="s">
        <v>6984</v>
      </c>
      <c r="EDV10" t="s">
        <v>6984</v>
      </c>
      <c r="EDW10" t="s">
        <v>6984</v>
      </c>
      <c r="EDX10" t="s">
        <v>6984</v>
      </c>
      <c r="EDY10" t="s">
        <v>6984</v>
      </c>
      <c r="EDZ10" t="s">
        <v>6984</v>
      </c>
      <c r="EEA10" t="s">
        <v>6984</v>
      </c>
      <c r="EEB10" t="s">
        <v>6984</v>
      </c>
      <c r="EEC10" t="s">
        <v>6984</v>
      </c>
      <c r="EED10" t="s">
        <v>6984</v>
      </c>
      <c r="EEE10" t="s">
        <v>6984</v>
      </c>
      <c r="EEF10" t="s">
        <v>6984</v>
      </c>
      <c r="EEG10" t="s">
        <v>6984</v>
      </c>
      <c r="EEH10" t="s">
        <v>6984</v>
      </c>
      <c r="EEI10" t="s">
        <v>6984</v>
      </c>
      <c r="EEJ10" t="s">
        <v>6984</v>
      </c>
      <c r="EEK10" t="s">
        <v>6984</v>
      </c>
      <c r="EEL10" t="s">
        <v>6984</v>
      </c>
      <c r="EEM10" t="s">
        <v>6984</v>
      </c>
      <c r="EEN10" t="s">
        <v>6984</v>
      </c>
      <c r="EEO10" t="s">
        <v>6984</v>
      </c>
      <c r="EEP10" t="s">
        <v>6984</v>
      </c>
      <c r="EEQ10" t="s">
        <v>6984</v>
      </c>
      <c r="EER10" t="s">
        <v>6984</v>
      </c>
      <c r="EES10" t="s">
        <v>6984</v>
      </c>
      <c r="EET10" t="s">
        <v>6984</v>
      </c>
      <c r="EEU10" t="s">
        <v>6984</v>
      </c>
      <c r="EEV10" t="s">
        <v>6984</v>
      </c>
      <c r="EEW10" t="s">
        <v>6984</v>
      </c>
      <c r="EEX10" t="s">
        <v>6984</v>
      </c>
      <c r="EEY10" t="s">
        <v>6984</v>
      </c>
      <c r="EEZ10" t="s">
        <v>6984</v>
      </c>
      <c r="EFA10" t="s">
        <v>6984</v>
      </c>
      <c r="EFB10" t="s">
        <v>6984</v>
      </c>
      <c r="EFC10" t="s">
        <v>6984</v>
      </c>
      <c r="EFD10" t="s">
        <v>6984</v>
      </c>
      <c r="EFE10" t="s">
        <v>6984</v>
      </c>
      <c r="EFF10" t="s">
        <v>6984</v>
      </c>
      <c r="EFG10" t="s">
        <v>6984</v>
      </c>
      <c r="EFH10" t="s">
        <v>6984</v>
      </c>
      <c r="EFI10" t="s">
        <v>6984</v>
      </c>
      <c r="EFJ10" t="s">
        <v>6984</v>
      </c>
      <c r="EFK10" t="s">
        <v>6984</v>
      </c>
      <c r="EFL10" t="s">
        <v>6984</v>
      </c>
      <c r="EFM10" t="s">
        <v>6984</v>
      </c>
      <c r="EFN10" t="s">
        <v>6984</v>
      </c>
      <c r="EFO10" t="s">
        <v>6984</v>
      </c>
      <c r="EFP10" t="s">
        <v>6984</v>
      </c>
      <c r="EFQ10" t="s">
        <v>6984</v>
      </c>
      <c r="EFR10" t="s">
        <v>6984</v>
      </c>
      <c r="EFS10" t="s">
        <v>6984</v>
      </c>
      <c r="EFT10" t="s">
        <v>6984</v>
      </c>
      <c r="EFU10" t="s">
        <v>6984</v>
      </c>
      <c r="EFV10" t="s">
        <v>6984</v>
      </c>
      <c r="EFW10" t="s">
        <v>6984</v>
      </c>
      <c r="EFX10" t="s">
        <v>6984</v>
      </c>
      <c r="EFY10" t="s">
        <v>6984</v>
      </c>
      <c r="EFZ10" t="s">
        <v>6984</v>
      </c>
      <c r="EGA10" t="s">
        <v>6984</v>
      </c>
      <c r="EGB10" t="s">
        <v>6984</v>
      </c>
      <c r="EGC10" t="s">
        <v>6984</v>
      </c>
      <c r="EGD10" t="s">
        <v>6984</v>
      </c>
      <c r="EGE10" t="s">
        <v>6984</v>
      </c>
      <c r="EGF10" t="s">
        <v>6984</v>
      </c>
      <c r="EGG10" t="s">
        <v>6984</v>
      </c>
      <c r="EGH10" t="s">
        <v>6984</v>
      </c>
      <c r="EGI10" t="s">
        <v>6984</v>
      </c>
      <c r="EGJ10" t="s">
        <v>6984</v>
      </c>
      <c r="EGK10" t="s">
        <v>6984</v>
      </c>
      <c r="EGL10" t="s">
        <v>6984</v>
      </c>
      <c r="EGM10" t="s">
        <v>6984</v>
      </c>
      <c r="EGN10" t="s">
        <v>6984</v>
      </c>
      <c r="EGO10" t="s">
        <v>6984</v>
      </c>
      <c r="EGP10" t="s">
        <v>6984</v>
      </c>
      <c r="EGQ10" t="s">
        <v>6984</v>
      </c>
      <c r="EGR10" t="s">
        <v>6984</v>
      </c>
      <c r="EGS10" t="s">
        <v>6984</v>
      </c>
      <c r="EGT10" t="s">
        <v>6984</v>
      </c>
      <c r="EGU10" t="s">
        <v>6984</v>
      </c>
      <c r="EGV10" t="s">
        <v>6984</v>
      </c>
      <c r="EGW10" t="s">
        <v>6984</v>
      </c>
      <c r="EGX10" t="s">
        <v>6984</v>
      </c>
      <c r="EGY10" t="s">
        <v>6984</v>
      </c>
      <c r="EGZ10" t="s">
        <v>6984</v>
      </c>
      <c r="EHA10" t="s">
        <v>6984</v>
      </c>
      <c r="EHB10" t="s">
        <v>6984</v>
      </c>
      <c r="EHC10" t="s">
        <v>6984</v>
      </c>
      <c r="EHD10" t="s">
        <v>6984</v>
      </c>
      <c r="EHE10" t="s">
        <v>6984</v>
      </c>
      <c r="EHF10" t="s">
        <v>6984</v>
      </c>
      <c r="EHG10" t="s">
        <v>6984</v>
      </c>
      <c r="EHH10" t="s">
        <v>6984</v>
      </c>
      <c r="EHI10" t="s">
        <v>6984</v>
      </c>
      <c r="EHJ10" t="s">
        <v>6984</v>
      </c>
      <c r="EHK10" t="s">
        <v>6984</v>
      </c>
      <c r="EHL10" t="s">
        <v>6984</v>
      </c>
      <c r="EHM10" t="s">
        <v>6984</v>
      </c>
      <c r="EHN10" t="s">
        <v>6984</v>
      </c>
      <c r="EHO10" t="s">
        <v>6984</v>
      </c>
      <c r="EHP10" t="s">
        <v>6984</v>
      </c>
      <c r="EHQ10" t="s">
        <v>6984</v>
      </c>
      <c r="EHR10" t="s">
        <v>6984</v>
      </c>
      <c r="EHS10" t="s">
        <v>6984</v>
      </c>
      <c r="EHT10" t="s">
        <v>6984</v>
      </c>
      <c r="EHU10" t="s">
        <v>6984</v>
      </c>
      <c r="EHV10" t="s">
        <v>6984</v>
      </c>
      <c r="EHW10" t="s">
        <v>6984</v>
      </c>
      <c r="EHX10" t="s">
        <v>6984</v>
      </c>
      <c r="EHY10" t="s">
        <v>6984</v>
      </c>
      <c r="EHZ10" t="s">
        <v>6984</v>
      </c>
      <c r="EIA10" t="s">
        <v>6984</v>
      </c>
      <c r="EIB10" t="s">
        <v>6984</v>
      </c>
      <c r="EIC10" t="s">
        <v>6984</v>
      </c>
      <c r="EID10" t="s">
        <v>6984</v>
      </c>
      <c r="EIE10" t="s">
        <v>6984</v>
      </c>
      <c r="EIF10" t="s">
        <v>6984</v>
      </c>
      <c r="EIG10" t="s">
        <v>6984</v>
      </c>
      <c r="EIH10" t="s">
        <v>6984</v>
      </c>
      <c r="EII10" t="s">
        <v>6984</v>
      </c>
      <c r="EIJ10" t="s">
        <v>6984</v>
      </c>
      <c r="EIK10" t="s">
        <v>6984</v>
      </c>
      <c r="EIL10" t="s">
        <v>6984</v>
      </c>
      <c r="EIM10" t="s">
        <v>6984</v>
      </c>
      <c r="EIN10" t="s">
        <v>6984</v>
      </c>
      <c r="EIO10" t="s">
        <v>6984</v>
      </c>
      <c r="EIP10" t="s">
        <v>6984</v>
      </c>
      <c r="EIQ10" t="s">
        <v>6984</v>
      </c>
      <c r="EIR10" t="s">
        <v>6984</v>
      </c>
      <c r="EIS10" t="s">
        <v>6984</v>
      </c>
      <c r="EIT10" t="s">
        <v>6984</v>
      </c>
      <c r="EIU10" t="s">
        <v>6984</v>
      </c>
      <c r="EIV10" t="s">
        <v>6984</v>
      </c>
      <c r="EIW10" t="s">
        <v>6984</v>
      </c>
      <c r="EIX10" t="s">
        <v>6984</v>
      </c>
      <c r="EIY10" t="s">
        <v>6984</v>
      </c>
      <c r="EIZ10" t="s">
        <v>6984</v>
      </c>
      <c r="EJA10" t="s">
        <v>6984</v>
      </c>
      <c r="EJB10" t="s">
        <v>6984</v>
      </c>
      <c r="EJC10" t="s">
        <v>6984</v>
      </c>
      <c r="EJD10" t="s">
        <v>6984</v>
      </c>
      <c r="EJE10" t="s">
        <v>6984</v>
      </c>
      <c r="EJF10" t="s">
        <v>6984</v>
      </c>
      <c r="EJG10" t="s">
        <v>6984</v>
      </c>
      <c r="EJH10" t="s">
        <v>6984</v>
      </c>
      <c r="EJI10" t="s">
        <v>6984</v>
      </c>
      <c r="EJJ10" t="s">
        <v>6984</v>
      </c>
      <c r="EJK10" t="s">
        <v>6984</v>
      </c>
      <c r="EJL10" t="s">
        <v>6984</v>
      </c>
      <c r="EJM10" t="s">
        <v>6984</v>
      </c>
      <c r="EJN10" t="s">
        <v>6984</v>
      </c>
      <c r="EJO10" t="s">
        <v>6984</v>
      </c>
      <c r="EJP10" t="s">
        <v>6984</v>
      </c>
      <c r="EJQ10" t="s">
        <v>6984</v>
      </c>
      <c r="EJR10" t="s">
        <v>6984</v>
      </c>
      <c r="EJS10" t="s">
        <v>6984</v>
      </c>
      <c r="EJT10" t="s">
        <v>6984</v>
      </c>
      <c r="EJU10" t="s">
        <v>6984</v>
      </c>
      <c r="EJV10" t="s">
        <v>6984</v>
      </c>
      <c r="EJW10" t="s">
        <v>6984</v>
      </c>
      <c r="EJX10" t="s">
        <v>6984</v>
      </c>
      <c r="EJY10" t="s">
        <v>6984</v>
      </c>
      <c r="EJZ10" t="s">
        <v>6984</v>
      </c>
      <c r="EKA10" t="s">
        <v>6984</v>
      </c>
      <c r="EKB10" t="s">
        <v>6984</v>
      </c>
      <c r="EKC10" t="s">
        <v>6984</v>
      </c>
      <c r="EKD10" t="s">
        <v>6984</v>
      </c>
      <c r="EKE10" t="s">
        <v>6984</v>
      </c>
      <c r="EKF10" t="s">
        <v>6984</v>
      </c>
      <c r="EKG10" t="s">
        <v>6984</v>
      </c>
      <c r="EKH10" t="s">
        <v>6984</v>
      </c>
      <c r="EKI10" t="s">
        <v>6984</v>
      </c>
      <c r="EKJ10" t="s">
        <v>6984</v>
      </c>
      <c r="EKK10" t="s">
        <v>6984</v>
      </c>
      <c r="EKL10" t="s">
        <v>6984</v>
      </c>
      <c r="EKM10" t="s">
        <v>6984</v>
      </c>
      <c r="EKN10" t="s">
        <v>6984</v>
      </c>
      <c r="EKO10" t="s">
        <v>6984</v>
      </c>
      <c r="EKP10" t="s">
        <v>6984</v>
      </c>
      <c r="EKQ10" t="s">
        <v>6984</v>
      </c>
      <c r="EKR10" t="s">
        <v>6984</v>
      </c>
      <c r="EKS10" t="s">
        <v>6984</v>
      </c>
      <c r="EKT10" t="s">
        <v>6984</v>
      </c>
      <c r="EKU10" t="s">
        <v>6984</v>
      </c>
      <c r="EKV10" t="s">
        <v>6984</v>
      </c>
      <c r="EKW10" t="s">
        <v>6984</v>
      </c>
      <c r="EKX10" t="s">
        <v>6984</v>
      </c>
      <c r="EKY10" t="s">
        <v>6984</v>
      </c>
      <c r="EKZ10" t="s">
        <v>6984</v>
      </c>
      <c r="ELA10" t="s">
        <v>6984</v>
      </c>
      <c r="ELB10" t="s">
        <v>6984</v>
      </c>
      <c r="ELC10" t="s">
        <v>6984</v>
      </c>
      <c r="ELD10" t="s">
        <v>6984</v>
      </c>
      <c r="ELE10" t="s">
        <v>6984</v>
      </c>
      <c r="ELF10" t="s">
        <v>6984</v>
      </c>
      <c r="ELG10" t="s">
        <v>6984</v>
      </c>
      <c r="ELH10" t="s">
        <v>6984</v>
      </c>
      <c r="ELI10" t="s">
        <v>6984</v>
      </c>
      <c r="ELJ10" t="s">
        <v>6984</v>
      </c>
      <c r="ELK10" t="s">
        <v>6984</v>
      </c>
      <c r="ELL10" t="s">
        <v>6984</v>
      </c>
      <c r="ELM10" t="s">
        <v>6984</v>
      </c>
      <c r="ELN10" t="s">
        <v>6984</v>
      </c>
      <c r="ELO10" t="s">
        <v>6984</v>
      </c>
      <c r="ELP10" t="s">
        <v>6984</v>
      </c>
      <c r="ELQ10" t="s">
        <v>6984</v>
      </c>
      <c r="ELR10" t="s">
        <v>6984</v>
      </c>
      <c r="ELS10" t="s">
        <v>6984</v>
      </c>
      <c r="ELT10" t="s">
        <v>6984</v>
      </c>
      <c r="ELU10" t="s">
        <v>6984</v>
      </c>
      <c r="ELV10" t="s">
        <v>6984</v>
      </c>
      <c r="ELW10" t="s">
        <v>6984</v>
      </c>
      <c r="ELX10" t="s">
        <v>6984</v>
      </c>
      <c r="ELY10" t="s">
        <v>6984</v>
      </c>
      <c r="ELZ10" t="s">
        <v>6984</v>
      </c>
      <c r="EMA10" t="s">
        <v>6984</v>
      </c>
      <c r="EMB10" t="s">
        <v>6984</v>
      </c>
      <c r="EMC10" t="s">
        <v>6984</v>
      </c>
      <c r="EMD10" t="s">
        <v>6984</v>
      </c>
      <c r="EME10" t="s">
        <v>6984</v>
      </c>
      <c r="EMF10" t="s">
        <v>6984</v>
      </c>
      <c r="EMG10" t="s">
        <v>6984</v>
      </c>
      <c r="EMH10" t="s">
        <v>6984</v>
      </c>
      <c r="EMI10" t="s">
        <v>6984</v>
      </c>
      <c r="EMJ10" t="s">
        <v>6984</v>
      </c>
      <c r="EMK10" t="s">
        <v>6984</v>
      </c>
      <c r="EML10" t="s">
        <v>6984</v>
      </c>
      <c r="EMM10" t="s">
        <v>6984</v>
      </c>
      <c r="EMN10" t="s">
        <v>6984</v>
      </c>
      <c r="EMO10" t="s">
        <v>6984</v>
      </c>
      <c r="EMP10" t="s">
        <v>6984</v>
      </c>
      <c r="EMQ10" t="s">
        <v>6984</v>
      </c>
      <c r="EMR10" t="s">
        <v>6984</v>
      </c>
      <c r="EMS10" t="s">
        <v>6984</v>
      </c>
      <c r="EMT10" t="s">
        <v>6984</v>
      </c>
      <c r="EMU10" t="s">
        <v>6984</v>
      </c>
      <c r="EMV10" t="s">
        <v>6984</v>
      </c>
      <c r="EMW10" t="s">
        <v>6984</v>
      </c>
      <c r="EMX10" t="s">
        <v>6984</v>
      </c>
      <c r="EMY10" t="s">
        <v>6984</v>
      </c>
      <c r="EMZ10" t="s">
        <v>6984</v>
      </c>
      <c r="ENA10" t="s">
        <v>6984</v>
      </c>
      <c r="ENB10" t="s">
        <v>6984</v>
      </c>
      <c r="ENC10" t="s">
        <v>6984</v>
      </c>
      <c r="END10" t="s">
        <v>6984</v>
      </c>
      <c r="ENE10" t="s">
        <v>6984</v>
      </c>
      <c r="ENF10" t="s">
        <v>6984</v>
      </c>
      <c r="ENG10" t="s">
        <v>6984</v>
      </c>
      <c r="ENH10" t="s">
        <v>6984</v>
      </c>
      <c r="ENI10" t="s">
        <v>6984</v>
      </c>
      <c r="ENJ10" t="s">
        <v>6984</v>
      </c>
      <c r="ENK10" t="s">
        <v>6984</v>
      </c>
      <c r="ENL10" t="s">
        <v>6984</v>
      </c>
      <c r="ENM10" t="s">
        <v>6984</v>
      </c>
      <c r="ENN10" t="s">
        <v>6984</v>
      </c>
      <c r="ENO10" t="s">
        <v>6984</v>
      </c>
      <c r="ENP10" t="s">
        <v>6984</v>
      </c>
      <c r="ENQ10" t="s">
        <v>6984</v>
      </c>
      <c r="ENR10" t="s">
        <v>6984</v>
      </c>
      <c r="ENS10" t="s">
        <v>6984</v>
      </c>
      <c r="ENT10" t="s">
        <v>6984</v>
      </c>
      <c r="ENU10" t="s">
        <v>6984</v>
      </c>
      <c r="ENV10" t="s">
        <v>6984</v>
      </c>
      <c r="ENW10" t="s">
        <v>6984</v>
      </c>
      <c r="ENX10" t="s">
        <v>6984</v>
      </c>
      <c r="ENY10" t="s">
        <v>6984</v>
      </c>
      <c r="ENZ10" t="s">
        <v>6984</v>
      </c>
      <c r="EOA10" t="s">
        <v>6984</v>
      </c>
      <c r="EOB10" t="s">
        <v>6984</v>
      </c>
      <c r="EOC10" t="s">
        <v>6984</v>
      </c>
      <c r="EOD10" t="s">
        <v>6984</v>
      </c>
      <c r="EOE10" t="s">
        <v>6984</v>
      </c>
      <c r="EOF10" t="s">
        <v>6984</v>
      </c>
      <c r="EOG10" t="s">
        <v>6984</v>
      </c>
      <c r="EOH10" t="s">
        <v>6984</v>
      </c>
      <c r="EOI10" t="s">
        <v>6984</v>
      </c>
      <c r="EOJ10" t="s">
        <v>6984</v>
      </c>
      <c r="EOK10" t="s">
        <v>6984</v>
      </c>
      <c r="EOL10" t="s">
        <v>6984</v>
      </c>
      <c r="EOM10" t="s">
        <v>6984</v>
      </c>
      <c r="EON10" t="s">
        <v>6984</v>
      </c>
      <c r="EOO10" t="s">
        <v>6984</v>
      </c>
      <c r="EOP10" t="s">
        <v>6984</v>
      </c>
      <c r="EOQ10" t="s">
        <v>6984</v>
      </c>
      <c r="EOR10" t="s">
        <v>6984</v>
      </c>
      <c r="EOS10" t="s">
        <v>6984</v>
      </c>
      <c r="EOT10" t="s">
        <v>6984</v>
      </c>
      <c r="EOU10" t="s">
        <v>6984</v>
      </c>
      <c r="EOV10" t="s">
        <v>6984</v>
      </c>
      <c r="EOW10" t="s">
        <v>6984</v>
      </c>
      <c r="EOX10" t="s">
        <v>6984</v>
      </c>
      <c r="EOY10" t="s">
        <v>6984</v>
      </c>
      <c r="EOZ10" t="s">
        <v>6984</v>
      </c>
      <c r="EPA10" t="s">
        <v>6984</v>
      </c>
      <c r="EPB10" t="s">
        <v>6984</v>
      </c>
      <c r="EPC10" t="s">
        <v>6984</v>
      </c>
      <c r="EPD10" t="s">
        <v>6984</v>
      </c>
      <c r="EPE10" t="s">
        <v>6984</v>
      </c>
      <c r="EPF10" t="s">
        <v>6984</v>
      </c>
      <c r="EPG10" t="s">
        <v>6984</v>
      </c>
      <c r="EPH10" t="s">
        <v>6984</v>
      </c>
      <c r="EPI10" t="s">
        <v>6984</v>
      </c>
      <c r="EPJ10" t="s">
        <v>6984</v>
      </c>
      <c r="EPK10" t="s">
        <v>6984</v>
      </c>
      <c r="EPL10" t="s">
        <v>6984</v>
      </c>
      <c r="EPM10" t="s">
        <v>6984</v>
      </c>
      <c r="EPN10" t="s">
        <v>6984</v>
      </c>
      <c r="EPO10" t="s">
        <v>6984</v>
      </c>
      <c r="EPP10" t="s">
        <v>6984</v>
      </c>
      <c r="EPQ10" t="s">
        <v>6984</v>
      </c>
      <c r="EPR10" t="s">
        <v>6984</v>
      </c>
      <c r="EPS10" t="s">
        <v>6984</v>
      </c>
      <c r="EPT10" t="s">
        <v>6984</v>
      </c>
      <c r="EPU10" t="s">
        <v>6984</v>
      </c>
      <c r="EPV10" t="s">
        <v>6984</v>
      </c>
      <c r="EPW10" t="s">
        <v>6984</v>
      </c>
      <c r="EPX10" t="s">
        <v>6984</v>
      </c>
      <c r="EPY10" t="s">
        <v>6984</v>
      </c>
      <c r="EPZ10" t="s">
        <v>6984</v>
      </c>
      <c r="EQA10" t="s">
        <v>6984</v>
      </c>
      <c r="EQB10" t="s">
        <v>6984</v>
      </c>
      <c r="EQC10" t="s">
        <v>6984</v>
      </c>
      <c r="EQD10" t="s">
        <v>6984</v>
      </c>
      <c r="EQE10" t="s">
        <v>6984</v>
      </c>
      <c r="EQF10" t="s">
        <v>6984</v>
      </c>
      <c r="EQG10" t="s">
        <v>6984</v>
      </c>
      <c r="EQH10" t="s">
        <v>6984</v>
      </c>
      <c r="EQI10" t="s">
        <v>6984</v>
      </c>
      <c r="EQJ10" t="s">
        <v>6984</v>
      </c>
      <c r="EQK10" t="s">
        <v>6984</v>
      </c>
      <c r="EQL10" t="s">
        <v>6984</v>
      </c>
      <c r="EQM10" t="s">
        <v>6984</v>
      </c>
      <c r="EQN10" t="s">
        <v>6984</v>
      </c>
      <c r="EQO10" t="s">
        <v>6984</v>
      </c>
      <c r="EQP10" t="s">
        <v>6984</v>
      </c>
      <c r="EQQ10" t="s">
        <v>6984</v>
      </c>
      <c r="EQR10" t="s">
        <v>6984</v>
      </c>
      <c r="EQS10" t="s">
        <v>6984</v>
      </c>
      <c r="EQT10" t="s">
        <v>6984</v>
      </c>
      <c r="EQU10" t="s">
        <v>6984</v>
      </c>
      <c r="EQV10" t="s">
        <v>6984</v>
      </c>
      <c r="EQW10" t="s">
        <v>6984</v>
      </c>
      <c r="EQX10" t="s">
        <v>6984</v>
      </c>
      <c r="EQY10" t="s">
        <v>6984</v>
      </c>
      <c r="EQZ10" t="s">
        <v>6984</v>
      </c>
      <c r="ERA10" t="s">
        <v>6984</v>
      </c>
      <c r="ERB10" t="s">
        <v>6984</v>
      </c>
      <c r="ERC10" t="s">
        <v>6984</v>
      </c>
      <c r="ERD10" t="s">
        <v>6984</v>
      </c>
      <c r="ERE10" t="s">
        <v>6984</v>
      </c>
      <c r="ERF10" t="s">
        <v>6984</v>
      </c>
      <c r="ERG10" t="s">
        <v>6984</v>
      </c>
      <c r="ERH10" t="s">
        <v>6984</v>
      </c>
      <c r="ERI10" t="s">
        <v>6984</v>
      </c>
      <c r="ERJ10" t="s">
        <v>6984</v>
      </c>
      <c r="ERK10" t="s">
        <v>6984</v>
      </c>
      <c r="ERL10" t="s">
        <v>6984</v>
      </c>
      <c r="ERM10" t="s">
        <v>6984</v>
      </c>
      <c r="ERN10" t="s">
        <v>6984</v>
      </c>
      <c r="ERO10" t="s">
        <v>6984</v>
      </c>
      <c r="ERP10" t="s">
        <v>6984</v>
      </c>
      <c r="ERQ10" t="s">
        <v>6984</v>
      </c>
      <c r="ERR10" t="s">
        <v>6984</v>
      </c>
      <c r="ERS10" t="s">
        <v>6984</v>
      </c>
      <c r="ERT10" t="s">
        <v>6984</v>
      </c>
      <c r="ERU10" t="s">
        <v>6984</v>
      </c>
      <c r="ERV10" t="s">
        <v>6984</v>
      </c>
      <c r="ERW10" t="s">
        <v>6984</v>
      </c>
      <c r="ERX10" t="s">
        <v>6984</v>
      </c>
      <c r="ERY10" t="s">
        <v>6984</v>
      </c>
      <c r="ERZ10" t="s">
        <v>6984</v>
      </c>
      <c r="ESA10" t="s">
        <v>6984</v>
      </c>
      <c r="ESB10" t="s">
        <v>6984</v>
      </c>
      <c r="ESC10" t="s">
        <v>6984</v>
      </c>
      <c r="ESD10" t="s">
        <v>6984</v>
      </c>
      <c r="ESE10" t="s">
        <v>6984</v>
      </c>
      <c r="ESF10" t="s">
        <v>6984</v>
      </c>
      <c r="ESG10" t="s">
        <v>6984</v>
      </c>
      <c r="ESH10" t="s">
        <v>6984</v>
      </c>
      <c r="ESI10" t="s">
        <v>6984</v>
      </c>
      <c r="ESJ10" t="s">
        <v>6984</v>
      </c>
      <c r="ESK10" t="s">
        <v>6984</v>
      </c>
      <c r="ESL10" t="s">
        <v>6984</v>
      </c>
      <c r="ESM10" t="s">
        <v>6984</v>
      </c>
      <c r="ESN10" t="s">
        <v>6984</v>
      </c>
      <c r="ESO10" t="s">
        <v>6984</v>
      </c>
      <c r="ESP10" t="s">
        <v>6984</v>
      </c>
      <c r="ESQ10" t="s">
        <v>6984</v>
      </c>
      <c r="ESR10" t="s">
        <v>6984</v>
      </c>
      <c r="ESS10" t="s">
        <v>6984</v>
      </c>
      <c r="EST10" t="s">
        <v>6984</v>
      </c>
      <c r="ESU10" t="s">
        <v>6984</v>
      </c>
      <c r="ESV10" t="s">
        <v>6984</v>
      </c>
      <c r="ESW10" t="s">
        <v>6984</v>
      </c>
      <c r="ESX10" t="s">
        <v>6984</v>
      </c>
      <c r="ESY10" t="s">
        <v>6984</v>
      </c>
      <c r="ESZ10" t="s">
        <v>6984</v>
      </c>
      <c r="ETA10" t="s">
        <v>6984</v>
      </c>
      <c r="ETB10" t="s">
        <v>6984</v>
      </c>
      <c r="ETC10" t="s">
        <v>6984</v>
      </c>
      <c r="ETD10" t="s">
        <v>6984</v>
      </c>
      <c r="ETE10" t="s">
        <v>6984</v>
      </c>
      <c r="ETF10" t="s">
        <v>6984</v>
      </c>
      <c r="ETG10" t="s">
        <v>6984</v>
      </c>
      <c r="ETH10" t="s">
        <v>6984</v>
      </c>
      <c r="ETI10" t="s">
        <v>6984</v>
      </c>
      <c r="ETJ10" t="s">
        <v>6984</v>
      </c>
      <c r="ETK10" t="s">
        <v>6984</v>
      </c>
      <c r="ETL10" t="s">
        <v>6984</v>
      </c>
      <c r="ETM10" t="s">
        <v>6984</v>
      </c>
      <c r="ETN10" t="s">
        <v>6984</v>
      </c>
      <c r="ETO10" t="s">
        <v>6984</v>
      </c>
      <c r="ETP10" t="s">
        <v>6984</v>
      </c>
      <c r="ETQ10" t="s">
        <v>6984</v>
      </c>
      <c r="ETR10" t="s">
        <v>6984</v>
      </c>
      <c r="ETS10" t="s">
        <v>6984</v>
      </c>
      <c r="ETT10" t="s">
        <v>6984</v>
      </c>
      <c r="ETU10" t="s">
        <v>6984</v>
      </c>
      <c r="ETV10" t="s">
        <v>6984</v>
      </c>
      <c r="ETW10" t="s">
        <v>6984</v>
      </c>
      <c r="ETX10" t="s">
        <v>6984</v>
      </c>
      <c r="ETY10" t="s">
        <v>6984</v>
      </c>
      <c r="ETZ10" t="s">
        <v>6984</v>
      </c>
      <c r="EUA10" t="s">
        <v>6984</v>
      </c>
      <c r="EUB10" t="s">
        <v>6984</v>
      </c>
      <c r="EUC10" t="s">
        <v>6984</v>
      </c>
      <c r="EUD10" t="s">
        <v>6984</v>
      </c>
      <c r="EUE10" t="s">
        <v>6984</v>
      </c>
      <c r="EUF10" t="s">
        <v>6984</v>
      </c>
      <c r="EUG10" t="s">
        <v>6984</v>
      </c>
      <c r="EUH10" t="s">
        <v>6984</v>
      </c>
      <c r="EUI10" t="s">
        <v>6984</v>
      </c>
      <c r="EUJ10" t="s">
        <v>6984</v>
      </c>
      <c r="EUK10" t="s">
        <v>6984</v>
      </c>
      <c r="EUL10" t="s">
        <v>6984</v>
      </c>
      <c r="EUM10" t="s">
        <v>6984</v>
      </c>
      <c r="EUN10" t="s">
        <v>6984</v>
      </c>
      <c r="EUO10" t="s">
        <v>6984</v>
      </c>
      <c r="EUP10" t="s">
        <v>6984</v>
      </c>
      <c r="EUQ10" t="s">
        <v>6984</v>
      </c>
      <c r="EUR10" t="s">
        <v>6984</v>
      </c>
      <c r="EUS10" t="s">
        <v>6984</v>
      </c>
      <c r="EUT10" t="s">
        <v>6984</v>
      </c>
      <c r="EUU10" t="s">
        <v>6984</v>
      </c>
      <c r="EUV10" t="s">
        <v>6984</v>
      </c>
      <c r="EUW10" t="s">
        <v>6984</v>
      </c>
      <c r="EUX10" t="s">
        <v>6984</v>
      </c>
      <c r="EUY10" t="s">
        <v>6984</v>
      </c>
      <c r="EUZ10" t="s">
        <v>6984</v>
      </c>
      <c r="EVA10" t="s">
        <v>6984</v>
      </c>
      <c r="EVB10" t="s">
        <v>6984</v>
      </c>
      <c r="EVC10" t="s">
        <v>6984</v>
      </c>
      <c r="EVD10" t="s">
        <v>6984</v>
      </c>
      <c r="EVE10" t="s">
        <v>6984</v>
      </c>
      <c r="EVF10" t="s">
        <v>6984</v>
      </c>
      <c r="EVG10" t="s">
        <v>6984</v>
      </c>
      <c r="EVH10" t="s">
        <v>6984</v>
      </c>
      <c r="EVI10" t="s">
        <v>6984</v>
      </c>
      <c r="EVJ10" t="s">
        <v>6984</v>
      </c>
      <c r="EVK10" t="s">
        <v>6984</v>
      </c>
      <c r="EVL10" t="s">
        <v>6984</v>
      </c>
      <c r="EVM10" t="s">
        <v>6984</v>
      </c>
      <c r="EVN10" t="s">
        <v>6984</v>
      </c>
      <c r="EVO10" t="s">
        <v>6984</v>
      </c>
      <c r="EVP10" t="s">
        <v>6984</v>
      </c>
      <c r="EVQ10" t="s">
        <v>6984</v>
      </c>
      <c r="EVR10" t="s">
        <v>6984</v>
      </c>
      <c r="EVS10" t="s">
        <v>6984</v>
      </c>
      <c r="EVT10" t="s">
        <v>6984</v>
      </c>
      <c r="EVU10" t="s">
        <v>6984</v>
      </c>
      <c r="EVV10" t="s">
        <v>6984</v>
      </c>
      <c r="EVW10" t="s">
        <v>6984</v>
      </c>
      <c r="EVX10" t="s">
        <v>6984</v>
      </c>
      <c r="EVY10" t="s">
        <v>6984</v>
      </c>
      <c r="EVZ10" t="s">
        <v>6984</v>
      </c>
      <c r="EWA10" t="s">
        <v>6984</v>
      </c>
      <c r="EWB10" t="s">
        <v>6984</v>
      </c>
      <c r="EWC10" t="s">
        <v>6984</v>
      </c>
      <c r="EWD10" t="s">
        <v>6984</v>
      </c>
      <c r="EWE10" t="s">
        <v>6984</v>
      </c>
      <c r="EWF10" t="s">
        <v>6984</v>
      </c>
      <c r="EWG10" t="s">
        <v>6984</v>
      </c>
      <c r="EWH10" t="s">
        <v>6984</v>
      </c>
      <c r="EWI10" t="s">
        <v>6984</v>
      </c>
      <c r="EWJ10" t="s">
        <v>6984</v>
      </c>
      <c r="EWK10" t="s">
        <v>6984</v>
      </c>
      <c r="EWL10" t="s">
        <v>6984</v>
      </c>
      <c r="EWM10" t="s">
        <v>6984</v>
      </c>
      <c r="EWN10" t="s">
        <v>6984</v>
      </c>
      <c r="EWO10" t="s">
        <v>6984</v>
      </c>
      <c r="EWP10" t="s">
        <v>6984</v>
      </c>
      <c r="EWQ10" t="s">
        <v>6984</v>
      </c>
      <c r="EWR10" t="s">
        <v>6984</v>
      </c>
      <c r="EWS10" t="s">
        <v>6984</v>
      </c>
      <c r="EWT10" t="s">
        <v>6984</v>
      </c>
      <c r="EWU10" t="s">
        <v>6984</v>
      </c>
      <c r="EWV10" t="s">
        <v>6984</v>
      </c>
      <c r="EWW10" t="s">
        <v>6984</v>
      </c>
      <c r="EWX10" t="s">
        <v>6984</v>
      </c>
      <c r="EWY10" t="s">
        <v>6984</v>
      </c>
      <c r="EWZ10" t="s">
        <v>6984</v>
      </c>
      <c r="EXA10" t="s">
        <v>6984</v>
      </c>
      <c r="EXB10" t="s">
        <v>6984</v>
      </c>
      <c r="EXC10" t="s">
        <v>6984</v>
      </c>
      <c r="EXD10" t="s">
        <v>6984</v>
      </c>
      <c r="EXE10" t="s">
        <v>6984</v>
      </c>
      <c r="EXF10" t="s">
        <v>6984</v>
      </c>
      <c r="EXG10" t="s">
        <v>6984</v>
      </c>
      <c r="EXH10" t="s">
        <v>6984</v>
      </c>
      <c r="EXI10" t="s">
        <v>6984</v>
      </c>
      <c r="EXJ10" t="s">
        <v>6984</v>
      </c>
      <c r="EXK10" t="s">
        <v>6984</v>
      </c>
      <c r="EXL10" t="s">
        <v>6984</v>
      </c>
      <c r="EXM10" t="s">
        <v>6984</v>
      </c>
      <c r="EXN10" t="s">
        <v>6984</v>
      </c>
      <c r="EXO10" t="s">
        <v>6984</v>
      </c>
      <c r="EXP10" t="s">
        <v>6984</v>
      </c>
      <c r="EXQ10" t="s">
        <v>6984</v>
      </c>
      <c r="EXR10" t="s">
        <v>6984</v>
      </c>
      <c r="EXS10" t="s">
        <v>6984</v>
      </c>
      <c r="EXT10" t="s">
        <v>6984</v>
      </c>
      <c r="EXU10" t="s">
        <v>6984</v>
      </c>
      <c r="EXV10" t="s">
        <v>6984</v>
      </c>
      <c r="EXW10" t="s">
        <v>6984</v>
      </c>
      <c r="EXX10" t="s">
        <v>6984</v>
      </c>
      <c r="EXY10" t="s">
        <v>6984</v>
      </c>
      <c r="EXZ10" t="s">
        <v>6984</v>
      </c>
      <c r="EYA10" t="s">
        <v>6984</v>
      </c>
      <c r="EYB10" t="s">
        <v>6984</v>
      </c>
      <c r="EYC10" t="s">
        <v>6984</v>
      </c>
      <c r="EYD10" t="s">
        <v>6984</v>
      </c>
      <c r="EYE10" t="s">
        <v>6984</v>
      </c>
      <c r="EYF10" t="s">
        <v>6984</v>
      </c>
      <c r="EYG10" t="s">
        <v>6984</v>
      </c>
      <c r="EYH10" t="s">
        <v>6984</v>
      </c>
      <c r="EYI10" t="s">
        <v>6984</v>
      </c>
      <c r="EYJ10" t="s">
        <v>6984</v>
      </c>
      <c r="EYK10" t="s">
        <v>6984</v>
      </c>
      <c r="EYL10" t="s">
        <v>6984</v>
      </c>
      <c r="EYM10" t="s">
        <v>6984</v>
      </c>
      <c r="EYN10" t="s">
        <v>6984</v>
      </c>
      <c r="EYO10" t="s">
        <v>6984</v>
      </c>
      <c r="EYP10" t="s">
        <v>6984</v>
      </c>
      <c r="EYQ10" t="s">
        <v>6984</v>
      </c>
      <c r="EYR10" t="s">
        <v>6984</v>
      </c>
      <c r="EYS10" t="s">
        <v>6984</v>
      </c>
      <c r="EYT10" t="s">
        <v>6984</v>
      </c>
      <c r="EYU10" t="s">
        <v>6984</v>
      </c>
      <c r="EYV10" t="s">
        <v>6984</v>
      </c>
      <c r="EYW10" t="s">
        <v>6984</v>
      </c>
      <c r="EYX10" t="s">
        <v>6984</v>
      </c>
      <c r="EYY10" t="s">
        <v>6984</v>
      </c>
      <c r="EYZ10" t="s">
        <v>6984</v>
      </c>
      <c r="EZA10" t="s">
        <v>6984</v>
      </c>
      <c r="EZB10" t="s">
        <v>6984</v>
      </c>
      <c r="EZC10" t="s">
        <v>6984</v>
      </c>
      <c r="EZD10" t="s">
        <v>6984</v>
      </c>
      <c r="EZE10" t="s">
        <v>6984</v>
      </c>
      <c r="EZF10" t="s">
        <v>6984</v>
      </c>
      <c r="EZG10" t="s">
        <v>6984</v>
      </c>
      <c r="EZH10" t="s">
        <v>6984</v>
      </c>
      <c r="EZI10" t="s">
        <v>6984</v>
      </c>
      <c r="EZJ10" t="s">
        <v>6984</v>
      </c>
      <c r="EZK10" t="s">
        <v>6984</v>
      </c>
      <c r="EZL10" t="s">
        <v>6984</v>
      </c>
      <c r="EZM10" t="s">
        <v>6984</v>
      </c>
      <c r="EZN10" t="s">
        <v>6984</v>
      </c>
      <c r="EZO10" t="s">
        <v>6984</v>
      </c>
      <c r="EZP10" t="s">
        <v>6984</v>
      </c>
      <c r="EZQ10" t="s">
        <v>6984</v>
      </c>
      <c r="EZR10" t="s">
        <v>6984</v>
      </c>
      <c r="EZS10" t="s">
        <v>6984</v>
      </c>
      <c r="EZT10" t="s">
        <v>6984</v>
      </c>
      <c r="EZU10" t="s">
        <v>6984</v>
      </c>
      <c r="EZV10" t="s">
        <v>6984</v>
      </c>
      <c r="EZW10" t="s">
        <v>6984</v>
      </c>
      <c r="EZX10" t="s">
        <v>6984</v>
      </c>
      <c r="EZY10" t="s">
        <v>6984</v>
      </c>
      <c r="EZZ10" t="s">
        <v>6984</v>
      </c>
      <c r="FAA10" t="s">
        <v>6984</v>
      </c>
      <c r="FAB10" t="s">
        <v>6984</v>
      </c>
      <c r="FAC10" t="s">
        <v>6984</v>
      </c>
      <c r="FAD10" t="s">
        <v>6984</v>
      </c>
      <c r="FAE10" t="s">
        <v>6984</v>
      </c>
      <c r="FAF10" t="s">
        <v>6984</v>
      </c>
      <c r="FAG10" t="s">
        <v>6984</v>
      </c>
      <c r="FAH10" t="s">
        <v>6984</v>
      </c>
      <c r="FAI10" t="s">
        <v>6984</v>
      </c>
      <c r="FAJ10" t="s">
        <v>6984</v>
      </c>
      <c r="FAK10" t="s">
        <v>6984</v>
      </c>
      <c r="FAL10" t="s">
        <v>6984</v>
      </c>
      <c r="FAM10" t="s">
        <v>6984</v>
      </c>
      <c r="FAN10" t="s">
        <v>6984</v>
      </c>
      <c r="FAO10" t="s">
        <v>6984</v>
      </c>
      <c r="FAP10" t="s">
        <v>6984</v>
      </c>
      <c r="FAQ10" t="s">
        <v>6984</v>
      </c>
      <c r="FAR10" t="s">
        <v>6984</v>
      </c>
      <c r="FAS10" t="s">
        <v>6984</v>
      </c>
      <c r="FAT10" t="s">
        <v>6984</v>
      </c>
      <c r="FAU10" t="s">
        <v>6984</v>
      </c>
      <c r="FAV10" t="s">
        <v>6984</v>
      </c>
      <c r="FAW10" t="s">
        <v>6984</v>
      </c>
      <c r="FAX10" t="s">
        <v>6984</v>
      </c>
      <c r="FAY10" t="s">
        <v>6984</v>
      </c>
      <c r="FAZ10" t="s">
        <v>6984</v>
      </c>
      <c r="FBA10" t="s">
        <v>6984</v>
      </c>
      <c r="FBB10" t="s">
        <v>6984</v>
      </c>
      <c r="FBC10" t="s">
        <v>6984</v>
      </c>
      <c r="FBD10" t="s">
        <v>6984</v>
      </c>
      <c r="FBE10" t="s">
        <v>6984</v>
      </c>
      <c r="FBF10" t="s">
        <v>6984</v>
      </c>
      <c r="FBG10" t="s">
        <v>6984</v>
      </c>
      <c r="FBH10" t="s">
        <v>6984</v>
      </c>
      <c r="FBI10" t="s">
        <v>6984</v>
      </c>
      <c r="FBJ10" t="s">
        <v>6984</v>
      </c>
      <c r="FBK10" t="s">
        <v>6984</v>
      </c>
      <c r="FBL10" t="s">
        <v>6984</v>
      </c>
      <c r="FBM10" t="s">
        <v>6984</v>
      </c>
      <c r="FBN10" t="s">
        <v>6984</v>
      </c>
      <c r="FBO10" t="s">
        <v>6984</v>
      </c>
      <c r="FBP10" t="s">
        <v>6984</v>
      </c>
      <c r="FBQ10" t="s">
        <v>6984</v>
      </c>
      <c r="FBR10" t="s">
        <v>6984</v>
      </c>
      <c r="FBS10" t="s">
        <v>6984</v>
      </c>
      <c r="FBT10" t="s">
        <v>6984</v>
      </c>
      <c r="FBU10" t="s">
        <v>6984</v>
      </c>
      <c r="FBV10" t="s">
        <v>6984</v>
      </c>
      <c r="FBW10" t="s">
        <v>6984</v>
      </c>
      <c r="FBX10" t="s">
        <v>6984</v>
      </c>
      <c r="FBY10" t="s">
        <v>6984</v>
      </c>
      <c r="FBZ10" t="s">
        <v>6984</v>
      </c>
      <c r="FCA10" t="s">
        <v>6984</v>
      </c>
      <c r="FCB10" t="s">
        <v>6984</v>
      </c>
      <c r="FCC10" t="s">
        <v>6984</v>
      </c>
      <c r="FCD10" t="s">
        <v>6984</v>
      </c>
      <c r="FCE10" t="s">
        <v>6984</v>
      </c>
      <c r="FCF10" t="s">
        <v>6984</v>
      </c>
      <c r="FCG10" t="s">
        <v>6984</v>
      </c>
      <c r="FCH10" t="s">
        <v>6984</v>
      </c>
      <c r="FCI10" t="s">
        <v>6984</v>
      </c>
      <c r="FCJ10" t="s">
        <v>6984</v>
      </c>
      <c r="FCK10" t="s">
        <v>6984</v>
      </c>
      <c r="FCL10" t="s">
        <v>6984</v>
      </c>
      <c r="FCM10" t="s">
        <v>6984</v>
      </c>
      <c r="FCN10" t="s">
        <v>6984</v>
      </c>
      <c r="FCO10" t="s">
        <v>6984</v>
      </c>
      <c r="FCP10" t="s">
        <v>6984</v>
      </c>
      <c r="FCQ10" t="s">
        <v>6984</v>
      </c>
      <c r="FCR10" t="s">
        <v>6984</v>
      </c>
      <c r="FCS10" t="s">
        <v>6984</v>
      </c>
      <c r="FCT10" t="s">
        <v>6984</v>
      </c>
      <c r="FCU10" t="s">
        <v>6984</v>
      </c>
      <c r="FCV10" t="s">
        <v>6984</v>
      </c>
      <c r="FCW10" t="s">
        <v>6984</v>
      </c>
      <c r="FCX10" t="s">
        <v>6984</v>
      </c>
      <c r="FCY10" t="s">
        <v>6984</v>
      </c>
      <c r="FCZ10" t="s">
        <v>6984</v>
      </c>
      <c r="FDA10" t="s">
        <v>6984</v>
      </c>
      <c r="FDB10" t="s">
        <v>6984</v>
      </c>
      <c r="FDC10" t="s">
        <v>6984</v>
      </c>
      <c r="FDD10" t="s">
        <v>6984</v>
      </c>
      <c r="FDE10" t="s">
        <v>6984</v>
      </c>
      <c r="FDF10" t="s">
        <v>6984</v>
      </c>
      <c r="FDG10" t="s">
        <v>6984</v>
      </c>
      <c r="FDH10" t="s">
        <v>6984</v>
      </c>
      <c r="FDI10" t="s">
        <v>6984</v>
      </c>
      <c r="FDJ10" t="s">
        <v>6984</v>
      </c>
      <c r="FDK10" t="s">
        <v>6984</v>
      </c>
      <c r="FDL10" t="s">
        <v>6984</v>
      </c>
      <c r="FDM10" t="s">
        <v>6984</v>
      </c>
      <c r="FDN10" t="s">
        <v>6984</v>
      </c>
      <c r="FDO10" t="s">
        <v>6984</v>
      </c>
      <c r="FDP10" t="s">
        <v>6984</v>
      </c>
      <c r="FDQ10" t="s">
        <v>6984</v>
      </c>
      <c r="FDR10" t="s">
        <v>6984</v>
      </c>
      <c r="FDS10" t="s">
        <v>6984</v>
      </c>
      <c r="FDT10" t="s">
        <v>6984</v>
      </c>
      <c r="FDU10" t="s">
        <v>6984</v>
      </c>
      <c r="FDV10" t="s">
        <v>6984</v>
      </c>
      <c r="FDW10" t="s">
        <v>6984</v>
      </c>
      <c r="FDX10" t="s">
        <v>6984</v>
      </c>
      <c r="FDY10" t="s">
        <v>6984</v>
      </c>
      <c r="FDZ10" t="s">
        <v>6984</v>
      </c>
      <c r="FEA10" t="s">
        <v>6984</v>
      </c>
      <c r="FEB10" t="s">
        <v>6984</v>
      </c>
      <c r="FEC10" t="s">
        <v>6984</v>
      </c>
      <c r="FED10" t="s">
        <v>6984</v>
      </c>
      <c r="FEE10" t="s">
        <v>6984</v>
      </c>
      <c r="FEF10" t="s">
        <v>6984</v>
      </c>
      <c r="FEG10" t="s">
        <v>6984</v>
      </c>
      <c r="FEH10" t="s">
        <v>6984</v>
      </c>
      <c r="FEI10" t="s">
        <v>6984</v>
      </c>
      <c r="FEJ10" t="s">
        <v>6984</v>
      </c>
      <c r="FEK10" t="s">
        <v>6984</v>
      </c>
      <c r="FEL10" t="s">
        <v>6984</v>
      </c>
      <c r="FEM10" t="s">
        <v>6984</v>
      </c>
      <c r="FEN10" t="s">
        <v>6984</v>
      </c>
      <c r="FEO10" t="s">
        <v>6984</v>
      </c>
      <c r="FEP10" t="s">
        <v>6984</v>
      </c>
      <c r="FEQ10" t="s">
        <v>6984</v>
      </c>
      <c r="FER10" t="s">
        <v>6984</v>
      </c>
      <c r="FES10" t="s">
        <v>6984</v>
      </c>
      <c r="FET10" t="s">
        <v>6984</v>
      </c>
      <c r="FEU10" t="s">
        <v>6984</v>
      </c>
      <c r="FEV10" t="s">
        <v>6984</v>
      </c>
      <c r="FEW10" t="s">
        <v>6984</v>
      </c>
      <c r="FEX10" t="s">
        <v>6984</v>
      </c>
      <c r="FEY10" t="s">
        <v>6984</v>
      </c>
      <c r="FEZ10" t="s">
        <v>6984</v>
      </c>
      <c r="FFA10" t="s">
        <v>6984</v>
      </c>
      <c r="FFB10" t="s">
        <v>6984</v>
      </c>
      <c r="FFC10" t="s">
        <v>6984</v>
      </c>
      <c r="FFD10" t="s">
        <v>6984</v>
      </c>
      <c r="FFE10" t="s">
        <v>6984</v>
      </c>
      <c r="FFF10" t="s">
        <v>6984</v>
      </c>
      <c r="FFG10" t="s">
        <v>6984</v>
      </c>
      <c r="FFH10" t="s">
        <v>6984</v>
      </c>
      <c r="FFI10" t="s">
        <v>6984</v>
      </c>
      <c r="FFJ10" t="s">
        <v>6984</v>
      </c>
      <c r="FFK10" t="s">
        <v>6984</v>
      </c>
      <c r="FFL10" t="s">
        <v>6984</v>
      </c>
      <c r="FFM10" t="s">
        <v>6984</v>
      </c>
      <c r="FFN10" t="s">
        <v>6984</v>
      </c>
      <c r="FFO10" t="s">
        <v>6984</v>
      </c>
      <c r="FFP10" t="s">
        <v>6984</v>
      </c>
      <c r="FFQ10" t="s">
        <v>6984</v>
      </c>
      <c r="FFR10" t="s">
        <v>6984</v>
      </c>
      <c r="FFS10" t="s">
        <v>6984</v>
      </c>
      <c r="FFT10" t="s">
        <v>6984</v>
      </c>
      <c r="FFU10" t="s">
        <v>6984</v>
      </c>
      <c r="FFV10" t="s">
        <v>6984</v>
      </c>
      <c r="FFW10" t="s">
        <v>6984</v>
      </c>
      <c r="FFX10" t="s">
        <v>6984</v>
      </c>
      <c r="FFY10" t="s">
        <v>6984</v>
      </c>
      <c r="FFZ10" t="s">
        <v>6984</v>
      </c>
      <c r="FGA10" t="s">
        <v>6984</v>
      </c>
      <c r="FGB10" t="s">
        <v>6984</v>
      </c>
      <c r="FGC10" t="s">
        <v>6984</v>
      </c>
      <c r="FGD10" t="s">
        <v>6984</v>
      </c>
      <c r="FGE10" t="s">
        <v>6984</v>
      </c>
      <c r="FGF10" t="s">
        <v>6984</v>
      </c>
      <c r="FGG10" t="s">
        <v>6984</v>
      </c>
      <c r="FGH10" t="s">
        <v>6984</v>
      </c>
      <c r="FGI10" t="s">
        <v>6984</v>
      </c>
      <c r="FGJ10" t="s">
        <v>6984</v>
      </c>
      <c r="FGK10" t="s">
        <v>6984</v>
      </c>
      <c r="FGL10" t="s">
        <v>6984</v>
      </c>
      <c r="FGM10" t="s">
        <v>6984</v>
      </c>
      <c r="FGN10" t="s">
        <v>6984</v>
      </c>
      <c r="FGO10" t="s">
        <v>6984</v>
      </c>
      <c r="FGP10" t="s">
        <v>6984</v>
      </c>
      <c r="FGQ10" t="s">
        <v>6984</v>
      </c>
      <c r="FGR10" t="s">
        <v>6984</v>
      </c>
      <c r="FGS10" t="s">
        <v>6984</v>
      </c>
      <c r="FGT10" t="s">
        <v>6984</v>
      </c>
      <c r="FGU10" t="s">
        <v>6984</v>
      </c>
      <c r="FGV10" t="s">
        <v>6984</v>
      </c>
      <c r="FGW10" t="s">
        <v>6984</v>
      </c>
      <c r="FGX10" t="s">
        <v>6984</v>
      </c>
      <c r="FGY10" t="s">
        <v>6984</v>
      </c>
      <c r="FGZ10" t="s">
        <v>6984</v>
      </c>
      <c r="FHA10" t="s">
        <v>6984</v>
      </c>
      <c r="FHB10" t="s">
        <v>6984</v>
      </c>
      <c r="FHC10" t="s">
        <v>6984</v>
      </c>
      <c r="FHD10" t="s">
        <v>6984</v>
      </c>
      <c r="FHE10" t="s">
        <v>6984</v>
      </c>
      <c r="FHF10" t="s">
        <v>6984</v>
      </c>
      <c r="FHG10" t="s">
        <v>6984</v>
      </c>
      <c r="FHH10" t="s">
        <v>6984</v>
      </c>
      <c r="FHI10" t="s">
        <v>6984</v>
      </c>
      <c r="FHJ10" t="s">
        <v>6984</v>
      </c>
      <c r="FHK10" t="s">
        <v>6984</v>
      </c>
      <c r="FHL10" t="s">
        <v>6984</v>
      </c>
      <c r="FHM10" t="s">
        <v>6984</v>
      </c>
      <c r="FHN10" t="s">
        <v>6984</v>
      </c>
      <c r="FHO10" t="s">
        <v>6984</v>
      </c>
      <c r="FHP10" t="s">
        <v>6984</v>
      </c>
      <c r="FHQ10" t="s">
        <v>6984</v>
      </c>
      <c r="FHR10" t="s">
        <v>6984</v>
      </c>
      <c r="FHS10" t="s">
        <v>6984</v>
      </c>
      <c r="FHT10" t="s">
        <v>6984</v>
      </c>
      <c r="FHU10" t="s">
        <v>6984</v>
      </c>
      <c r="FHV10" t="s">
        <v>6984</v>
      </c>
      <c r="FHW10" t="s">
        <v>6984</v>
      </c>
      <c r="FHX10" t="s">
        <v>6984</v>
      </c>
      <c r="FHY10" t="s">
        <v>6984</v>
      </c>
      <c r="FHZ10" t="s">
        <v>6984</v>
      </c>
      <c r="FIA10" t="s">
        <v>6984</v>
      </c>
      <c r="FIB10" t="s">
        <v>6984</v>
      </c>
      <c r="FIC10" t="s">
        <v>6984</v>
      </c>
      <c r="FID10" t="s">
        <v>6984</v>
      </c>
      <c r="FIE10" t="s">
        <v>6984</v>
      </c>
      <c r="FIF10" t="s">
        <v>6984</v>
      </c>
      <c r="FIG10" t="s">
        <v>6984</v>
      </c>
      <c r="FIH10" t="s">
        <v>6984</v>
      </c>
      <c r="FII10" t="s">
        <v>6984</v>
      </c>
      <c r="FIJ10" t="s">
        <v>6984</v>
      </c>
      <c r="FIK10" t="s">
        <v>6984</v>
      </c>
      <c r="FIL10" t="s">
        <v>6984</v>
      </c>
      <c r="FIM10" t="s">
        <v>6984</v>
      </c>
      <c r="FIN10" t="s">
        <v>6984</v>
      </c>
      <c r="FIO10" t="s">
        <v>6984</v>
      </c>
      <c r="FIP10" t="s">
        <v>6984</v>
      </c>
      <c r="FIQ10" t="s">
        <v>6984</v>
      </c>
      <c r="FIR10" t="s">
        <v>6984</v>
      </c>
      <c r="FIS10" t="s">
        <v>6984</v>
      </c>
      <c r="FIT10" t="s">
        <v>6984</v>
      </c>
      <c r="FIU10" t="s">
        <v>6984</v>
      </c>
      <c r="FIV10" t="s">
        <v>6984</v>
      </c>
      <c r="FIW10" t="s">
        <v>6984</v>
      </c>
      <c r="FIX10" t="s">
        <v>6984</v>
      </c>
      <c r="FIY10" t="s">
        <v>6984</v>
      </c>
      <c r="FIZ10" t="s">
        <v>6984</v>
      </c>
      <c r="FJA10" t="s">
        <v>6984</v>
      </c>
      <c r="FJB10" t="s">
        <v>6984</v>
      </c>
      <c r="FJC10" t="s">
        <v>6984</v>
      </c>
      <c r="FJD10" t="s">
        <v>6984</v>
      </c>
      <c r="FJE10" t="s">
        <v>6984</v>
      </c>
      <c r="FJF10" t="s">
        <v>6984</v>
      </c>
      <c r="FJG10" t="s">
        <v>6984</v>
      </c>
      <c r="FJH10" t="s">
        <v>6984</v>
      </c>
      <c r="FJI10" t="s">
        <v>6984</v>
      </c>
      <c r="FJJ10" t="s">
        <v>6984</v>
      </c>
      <c r="FJK10" t="s">
        <v>6984</v>
      </c>
      <c r="FJL10" t="s">
        <v>6984</v>
      </c>
      <c r="FJM10" t="s">
        <v>6984</v>
      </c>
      <c r="FJN10" t="s">
        <v>6984</v>
      </c>
      <c r="FJO10" t="s">
        <v>6984</v>
      </c>
      <c r="FJP10" t="s">
        <v>6984</v>
      </c>
      <c r="FJQ10" t="s">
        <v>6984</v>
      </c>
      <c r="FJR10" t="s">
        <v>6984</v>
      </c>
      <c r="FJS10" t="s">
        <v>6984</v>
      </c>
      <c r="FJT10" t="s">
        <v>6984</v>
      </c>
      <c r="FJU10" t="s">
        <v>6984</v>
      </c>
      <c r="FJV10" t="s">
        <v>6984</v>
      </c>
      <c r="FJW10" t="s">
        <v>6984</v>
      </c>
      <c r="FJX10" t="s">
        <v>6984</v>
      </c>
      <c r="FJY10" t="s">
        <v>6984</v>
      </c>
      <c r="FJZ10" t="s">
        <v>6984</v>
      </c>
      <c r="FKA10" t="s">
        <v>6984</v>
      </c>
      <c r="FKB10" t="s">
        <v>6984</v>
      </c>
      <c r="FKC10" t="s">
        <v>6984</v>
      </c>
      <c r="FKD10" t="s">
        <v>6984</v>
      </c>
      <c r="FKE10" t="s">
        <v>6984</v>
      </c>
      <c r="FKF10" t="s">
        <v>6984</v>
      </c>
      <c r="FKG10" t="s">
        <v>6984</v>
      </c>
      <c r="FKH10" t="s">
        <v>6984</v>
      </c>
      <c r="FKI10" t="s">
        <v>6984</v>
      </c>
      <c r="FKJ10" t="s">
        <v>6984</v>
      </c>
      <c r="FKK10" t="s">
        <v>6984</v>
      </c>
      <c r="FKL10" t="s">
        <v>6984</v>
      </c>
      <c r="FKM10" t="s">
        <v>6984</v>
      </c>
      <c r="FKN10" t="s">
        <v>6984</v>
      </c>
      <c r="FKO10" t="s">
        <v>6984</v>
      </c>
      <c r="FKP10" t="s">
        <v>6984</v>
      </c>
      <c r="FKQ10" t="s">
        <v>6984</v>
      </c>
      <c r="FKR10" t="s">
        <v>6984</v>
      </c>
      <c r="FKS10" t="s">
        <v>6984</v>
      </c>
      <c r="FKT10" t="s">
        <v>6984</v>
      </c>
      <c r="FKU10" t="s">
        <v>6984</v>
      </c>
      <c r="FKV10" t="s">
        <v>6984</v>
      </c>
      <c r="FKW10" t="s">
        <v>6984</v>
      </c>
      <c r="FKX10" t="s">
        <v>6984</v>
      </c>
      <c r="FKY10" t="s">
        <v>6984</v>
      </c>
      <c r="FKZ10" t="s">
        <v>6984</v>
      </c>
      <c r="FLA10" t="s">
        <v>6984</v>
      </c>
      <c r="FLB10" t="s">
        <v>6984</v>
      </c>
      <c r="FLC10" t="s">
        <v>6984</v>
      </c>
      <c r="FLD10" t="s">
        <v>6984</v>
      </c>
      <c r="FLE10" t="s">
        <v>6984</v>
      </c>
      <c r="FLF10" t="s">
        <v>6984</v>
      </c>
      <c r="FLG10" t="s">
        <v>6984</v>
      </c>
      <c r="FLH10" t="s">
        <v>6984</v>
      </c>
      <c r="FLI10" t="s">
        <v>6984</v>
      </c>
      <c r="FLJ10" t="s">
        <v>6984</v>
      </c>
      <c r="FLK10" t="s">
        <v>6984</v>
      </c>
      <c r="FLL10" t="s">
        <v>6984</v>
      </c>
      <c r="FLM10" t="s">
        <v>6984</v>
      </c>
      <c r="FLN10" t="s">
        <v>6984</v>
      </c>
      <c r="FLO10" t="s">
        <v>6984</v>
      </c>
      <c r="FLP10" t="s">
        <v>6984</v>
      </c>
      <c r="FLQ10" t="s">
        <v>6984</v>
      </c>
      <c r="FLR10" t="s">
        <v>6984</v>
      </c>
      <c r="FLS10" t="s">
        <v>6984</v>
      </c>
      <c r="FLT10" t="s">
        <v>6984</v>
      </c>
      <c r="FLU10" t="s">
        <v>6984</v>
      </c>
      <c r="FLV10" t="s">
        <v>6984</v>
      </c>
      <c r="FLW10" t="s">
        <v>6984</v>
      </c>
      <c r="FLX10" t="s">
        <v>6984</v>
      </c>
      <c r="FLY10" t="s">
        <v>6984</v>
      </c>
      <c r="FLZ10" t="s">
        <v>6984</v>
      </c>
      <c r="FMA10" t="s">
        <v>6984</v>
      </c>
      <c r="FMB10" t="s">
        <v>6984</v>
      </c>
      <c r="FMC10" t="s">
        <v>6984</v>
      </c>
      <c r="FMD10" t="s">
        <v>6984</v>
      </c>
      <c r="FME10" t="s">
        <v>6984</v>
      </c>
      <c r="FMF10" t="s">
        <v>6984</v>
      </c>
      <c r="FMG10" t="s">
        <v>6984</v>
      </c>
      <c r="FMH10" t="s">
        <v>6984</v>
      </c>
      <c r="FMI10" t="s">
        <v>6984</v>
      </c>
      <c r="FMJ10" t="s">
        <v>6984</v>
      </c>
      <c r="FMK10" t="s">
        <v>6984</v>
      </c>
      <c r="FML10" t="s">
        <v>6984</v>
      </c>
      <c r="FMM10" t="s">
        <v>6984</v>
      </c>
      <c r="FMN10" t="s">
        <v>6984</v>
      </c>
      <c r="FMO10" t="s">
        <v>6984</v>
      </c>
      <c r="FMP10" t="s">
        <v>6984</v>
      </c>
      <c r="FMQ10" t="s">
        <v>6984</v>
      </c>
      <c r="FMR10" t="s">
        <v>6984</v>
      </c>
      <c r="FMS10" t="s">
        <v>6984</v>
      </c>
      <c r="FMT10" t="s">
        <v>6984</v>
      </c>
      <c r="FMU10" t="s">
        <v>6984</v>
      </c>
      <c r="FMV10" t="s">
        <v>6984</v>
      </c>
      <c r="FMW10" t="s">
        <v>6984</v>
      </c>
      <c r="FMX10" t="s">
        <v>6984</v>
      </c>
      <c r="FMY10" t="s">
        <v>6984</v>
      </c>
      <c r="FMZ10" t="s">
        <v>6984</v>
      </c>
      <c r="FNA10" t="s">
        <v>6984</v>
      </c>
      <c r="FNB10" t="s">
        <v>6984</v>
      </c>
      <c r="FNC10" t="s">
        <v>6984</v>
      </c>
      <c r="FND10" t="s">
        <v>6984</v>
      </c>
      <c r="FNE10" t="s">
        <v>6984</v>
      </c>
      <c r="FNF10" t="s">
        <v>6984</v>
      </c>
      <c r="FNG10" t="s">
        <v>6984</v>
      </c>
      <c r="FNH10" t="s">
        <v>6984</v>
      </c>
      <c r="FNI10" t="s">
        <v>6984</v>
      </c>
      <c r="FNJ10" t="s">
        <v>6984</v>
      </c>
      <c r="FNK10" t="s">
        <v>6984</v>
      </c>
      <c r="FNL10" t="s">
        <v>6984</v>
      </c>
      <c r="FNM10" t="s">
        <v>6984</v>
      </c>
      <c r="FNN10" t="s">
        <v>6984</v>
      </c>
      <c r="FNO10" t="s">
        <v>6984</v>
      </c>
      <c r="FNP10" t="s">
        <v>6984</v>
      </c>
      <c r="FNQ10" t="s">
        <v>6984</v>
      </c>
      <c r="FNR10" t="s">
        <v>6984</v>
      </c>
      <c r="FNS10" t="s">
        <v>6984</v>
      </c>
      <c r="FNT10" t="s">
        <v>6984</v>
      </c>
      <c r="FNU10" t="s">
        <v>6984</v>
      </c>
      <c r="FNV10" t="s">
        <v>6984</v>
      </c>
      <c r="FNW10" t="s">
        <v>6984</v>
      </c>
      <c r="FNX10" t="s">
        <v>6984</v>
      </c>
      <c r="FNY10" t="s">
        <v>6984</v>
      </c>
      <c r="FNZ10" t="s">
        <v>6984</v>
      </c>
      <c r="FOA10" t="s">
        <v>6984</v>
      </c>
      <c r="FOB10" t="s">
        <v>6984</v>
      </c>
      <c r="FOC10" t="s">
        <v>6984</v>
      </c>
      <c r="FOD10" t="s">
        <v>6984</v>
      </c>
      <c r="FOE10" t="s">
        <v>6984</v>
      </c>
      <c r="FOF10" t="s">
        <v>6984</v>
      </c>
      <c r="FOG10" t="s">
        <v>6984</v>
      </c>
      <c r="FOH10" t="s">
        <v>6984</v>
      </c>
      <c r="FOI10" t="s">
        <v>6984</v>
      </c>
      <c r="FOJ10" t="s">
        <v>6984</v>
      </c>
      <c r="FOK10" t="s">
        <v>6984</v>
      </c>
      <c r="FOL10" t="s">
        <v>6984</v>
      </c>
      <c r="FOM10" t="s">
        <v>6984</v>
      </c>
      <c r="FON10" t="s">
        <v>6984</v>
      </c>
      <c r="FOO10" t="s">
        <v>6984</v>
      </c>
      <c r="FOP10" t="s">
        <v>6984</v>
      </c>
      <c r="FOQ10" t="s">
        <v>6984</v>
      </c>
      <c r="FOR10" t="s">
        <v>6984</v>
      </c>
      <c r="FOS10" t="s">
        <v>6984</v>
      </c>
      <c r="FOT10" t="s">
        <v>6984</v>
      </c>
      <c r="FOU10" t="s">
        <v>6984</v>
      </c>
      <c r="FOV10" t="s">
        <v>6984</v>
      </c>
      <c r="FOW10" t="s">
        <v>6984</v>
      </c>
      <c r="FOX10" t="s">
        <v>6984</v>
      </c>
      <c r="FOY10" t="s">
        <v>6984</v>
      </c>
      <c r="FOZ10" t="s">
        <v>6984</v>
      </c>
      <c r="FPA10" t="s">
        <v>6984</v>
      </c>
      <c r="FPB10" t="s">
        <v>6984</v>
      </c>
      <c r="FPC10" t="s">
        <v>6984</v>
      </c>
      <c r="FPD10" t="s">
        <v>6984</v>
      </c>
      <c r="FPE10" t="s">
        <v>6984</v>
      </c>
      <c r="FPF10" t="s">
        <v>6984</v>
      </c>
      <c r="FPG10" t="s">
        <v>6984</v>
      </c>
      <c r="FPH10" t="s">
        <v>6984</v>
      </c>
      <c r="FPI10" t="s">
        <v>6984</v>
      </c>
      <c r="FPJ10" t="s">
        <v>6984</v>
      </c>
      <c r="FPK10" t="s">
        <v>6984</v>
      </c>
      <c r="FPL10" t="s">
        <v>6984</v>
      </c>
      <c r="FPM10" t="s">
        <v>6984</v>
      </c>
      <c r="FPN10" t="s">
        <v>6984</v>
      </c>
      <c r="FPO10" t="s">
        <v>6984</v>
      </c>
      <c r="FPP10" t="s">
        <v>6984</v>
      </c>
      <c r="FPQ10" t="s">
        <v>6984</v>
      </c>
      <c r="FPR10" t="s">
        <v>6984</v>
      </c>
      <c r="FPS10" t="s">
        <v>6984</v>
      </c>
      <c r="FPT10" t="s">
        <v>6984</v>
      </c>
      <c r="FPU10" t="s">
        <v>6984</v>
      </c>
      <c r="FPV10" t="s">
        <v>6984</v>
      </c>
      <c r="FPW10" t="s">
        <v>6984</v>
      </c>
      <c r="FPX10" t="s">
        <v>6984</v>
      </c>
      <c r="FPY10" t="s">
        <v>6984</v>
      </c>
      <c r="FPZ10" t="s">
        <v>6984</v>
      </c>
      <c r="FQA10" t="s">
        <v>6984</v>
      </c>
      <c r="FQB10" t="s">
        <v>6984</v>
      </c>
      <c r="FQC10" t="s">
        <v>6984</v>
      </c>
      <c r="FQD10" t="s">
        <v>6984</v>
      </c>
      <c r="FQE10" t="s">
        <v>6984</v>
      </c>
      <c r="FQF10" t="s">
        <v>6984</v>
      </c>
      <c r="FQG10" t="s">
        <v>6984</v>
      </c>
      <c r="FQH10" t="s">
        <v>6984</v>
      </c>
      <c r="FQI10" t="s">
        <v>6984</v>
      </c>
      <c r="FQJ10" t="s">
        <v>6984</v>
      </c>
      <c r="FQK10" t="s">
        <v>6984</v>
      </c>
      <c r="FQL10" t="s">
        <v>6984</v>
      </c>
      <c r="FQM10" t="s">
        <v>6984</v>
      </c>
      <c r="FQN10" t="s">
        <v>6984</v>
      </c>
      <c r="FQO10" t="s">
        <v>6984</v>
      </c>
      <c r="FQP10" t="s">
        <v>6984</v>
      </c>
      <c r="FQQ10" t="s">
        <v>6984</v>
      </c>
      <c r="FQR10" t="s">
        <v>6984</v>
      </c>
      <c r="FQS10" t="s">
        <v>6984</v>
      </c>
      <c r="FQT10" t="s">
        <v>6984</v>
      </c>
      <c r="FQU10" t="s">
        <v>6984</v>
      </c>
      <c r="FQV10" t="s">
        <v>6984</v>
      </c>
      <c r="FQW10" t="s">
        <v>6984</v>
      </c>
      <c r="FQX10" t="s">
        <v>6984</v>
      </c>
      <c r="FQY10" t="s">
        <v>6984</v>
      </c>
      <c r="FQZ10" t="s">
        <v>6984</v>
      </c>
      <c r="FRA10" t="s">
        <v>6984</v>
      </c>
      <c r="FRB10" t="s">
        <v>6984</v>
      </c>
      <c r="FRC10" t="s">
        <v>6984</v>
      </c>
      <c r="FRD10" t="s">
        <v>6984</v>
      </c>
      <c r="FRE10" t="s">
        <v>6984</v>
      </c>
      <c r="FRF10" t="s">
        <v>6984</v>
      </c>
      <c r="FRG10" t="s">
        <v>6984</v>
      </c>
      <c r="FRH10" t="s">
        <v>6984</v>
      </c>
      <c r="FRI10" t="s">
        <v>6984</v>
      </c>
      <c r="FRJ10" t="s">
        <v>6984</v>
      </c>
      <c r="FRK10" t="s">
        <v>6984</v>
      </c>
      <c r="FRL10" t="s">
        <v>6984</v>
      </c>
      <c r="FRM10" t="s">
        <v>6984</v>
      </c>
      <c r="FRN10" t="s">
        <v>6984</v>
      </c>
      <c r="FRO10" t="s">
        <v>6984</v>
      </c>
      <c r="FRP10" t="s">
        <v>6984</v>
      </c>
      <c r="FRQ10" t="s">
        <v>6984</v>
      </c>
      <c r="FRR10" t="s">
        <v>6984</v>
      </c>
      <c r="FRS10" t="s">
        <v>6984</v>
      </c>
      <c r="FRT10" t="s">
        <v>6984</v>
      </c>
      <c r="FRU10" t="s">
        <v>6984</v>
      </c>
      <c r="FRV10" t="s">
        <v>6984</v>
      </c>
      <c r="FRW10" t="s">
        <v>6984</v>
      </c>
      <c r="FRX10" t="s">
        <v>6984</v>
      </c>
      <c r="FRY10" t="s">
        <v>6984</v>
      </c>
      <c r="FRZ10" t="s">
        <v>6984</v>
      </c>
      <c r="FSA10" t="s">
        <v>6984</v>
      </c>
      <c r="FSB10" t="s">
        <v>6984</v>
      </c>
      <c r="FSC10" t="s">
        <v>6984</v>
      </c>
      <c r="FSD10" t="s">
        <v>6984</v>
      </c>
      <c r="FSE10" t="s">
        <v>6984</v>
      </c>
      <c r="FSF10" t="s">
        <v>6984</v>
      </c>
      <c r="FSG10" t="s">
        <v>6984</v>
      </c>
      <c r="FSH10" t="s">
        <v>6984</v>
      </c>
      <c r="FSI10" t="s">
        <v>6984</v>
      </c>
      <c r="FSJ10" t="s">
        <v>6984</v>
      </c>
      <c r="FSK10" t="s">
        <v>6984</v>
      </c>
      <c r="FSL10" t="s">
        <v>6984</v>
      </c>
      <c r="FSM10" t="s">
        <v>6984</v>
      </c>
      <c r="FSN10" t="s">
        <v>6984</v>
      </c>
      <c r="FSO10" t="s">
        <v>6984</v>
      </c>
      <c r="FSP10" t="s">
        <v>6984</v>
      </c>
      <c r="FSQ10" t="s">
        <v>6984</v>
      </c>
      <c r="FSR10" t="s">
        <v>6984</v>
      </c>
      <c r="FSS10" t="s">
        <v>6984</v>
      </c>
      <c r="FST10" t="s">
        <v>6984</v>
      </c>
      <c r="FSU10" t="s">
        <v>6984</v>
      </c>
      <c r="FSV10" t="s">
        <v>6984</v>
      </c>
      <c r="FSW10" t="s">
        <v>6984</v>
      </c>
      <c r="FSX10" t="s">
        <v>6984</v>
      </c>
      <c r="FSY10" t="s">
        <v>6984</v>
      </c>
      <c r="FSZ10" t="s">
        <v>6984</v>
      </c>
      <c r="FTA10" t="s">
        <v>6984</v>
      </c>
      <c r="FTB10" t="s">
        <v>6984</v>
      </c>
      <c r="FTC10" t="s">
        <v>6984</v>
      </c>
      <c r="FTD10" t="s">
        <v>6984</v>
      </c>
      <c r="FTE10" t="s">
        <v>6984</v>
      </c>
      <c r="FTF10" t="s">
        <v>6984</v>
      </c>
      <c r="FTG10" t="s">
        <v>6984</v>
      </c>
      <c r="FTH10" t="s">
        <v>6984</v>
      </c>
      <c r="FTI10" t="s">
        <v>6984</v>
      </c>
      <c r="FTJ10" t="s">
        <v>6984</v>
      </c>
      <c r="FTK10" t="s">
        <v>6984</v>
      </c>
      <c r="FTL10" t="s">
        <v>6984</v>
      </c>
      <c r="FTM10" t="s">
        <v>6984</v>
      </c>
      <c r="FTN10" t="s">
        <v>6984</v>
      </c>
      <c r="FTO10" t="s">
        <v>6984</v>
      </c>
      <c r="FTP10" t="s">
        <v>6984</v>
      </c>
      <c r="FTQ10" t="s">
        <v>6984</v>
      </c>
      <c r="FTR10" t="s">
        <v>6984</v>
      </c>
      <c r="FTS10" t="s">
        <v>6984</v>
      </c>
      <c r="FTT10" t="s">
        <v>6984</v>
      </c>
      <c r="FTU10" t="s">
        <v>6984</v>
      </c>
      <c r="FTV10" t="s">
        <v>6984</v>
      </c>
      <c r="FTW10" t="s">
        <v>6984</v>
      </c>
      <c r="FTX10" t="s">
        <v>6984</v>
      </c>
      <c r="FTY10" t="s">
        <v>6984</v>
      </c>
      <c r="FTZ10" t="s">
        <v>6984</v>
      </c>
      <c r="FUA10" t="s">
        <v>6984</v>
      </c>
      <c r="FUB10" t="s">
        <v>6984</v>
      </c>
      <c r="FUC10" t="s">
        <v>6984</v>
      </c>
      <c r="FUD10" t="s">
        <v>6984</v>
      </c>
      <c r="FUE10" t="s">
        <v>6984</v>
      </c>
      <c r="FUF10" t="s">
        <v>6984</v>
      </c>
      <c r="FUG10" t="s">
        <v>6984</v>
      </c>
      <c r="FUH10" t="s">
        <v>6984</v>
      </c>
      <c r="FUI10" t="s">
        <v>6984</v>
      </c>
      <c r="FUJ10" t="s">
        <v>6984</v>
      </c>
      <c r="FUK10" t="s">
        <v>6984</v>
      </c>
      <c r="FUL10" t="s">
        <v>6984</v>
      </c>
      <c r="FUM10" t="s">
        <v>6984</v>
      </c>
      <c r="FUN10" t="s">
        <v>6984</v>
      </c>
      <c r="FUO10" t="s">
        <v>6984</v>
      </c>
      <c r="FUP10" t="s">
        <v>6984</v>
      </c>
      <c r="FUQ10" t="s">
        <v>6984</v>
      </c>
      <c r="FUR10" t="s">
        <v>6984</v>
      </c>
      <c r="FUS10" t="s">
        <v>6984</v>
      </c>
      <c r="FUT10" t="s">
        <v>6984</v>
      </c>
      <c r="FUU10" t="s">
        <v>6984</v>
      </c>
      <c r="FUV10" t="s">
        <v>6984</v>
      </c>
      <c r="FUW10" t="s">
        <v>6984</v>
      </c>
      <c r="FUX10" t="s">
        <v>6984</v>
      </c>
      <c r="FUY10" t="s">
        <v>6984</v>
      </c>
      <c r="FUZ10" t="s">
        <v>6984</v>
      </c>
      <c r="FVA10" t="s">
        <v>6984</v>
      </c>
      <c r="FVB10" t="s">
        <v>6984</v>
      </c>
      <c r="FVC10" t="s">
        <v>6984</v>
      </c>
      <c r="FVD10" t="s">
        <v>6984</v>
      </c>
      <c r="FVE10" t="s">
        <v>6984</v>
      </c>
      <c r="FVF10" t="s">
        <v>6984</v>
      </c>
      <c r="FVG10" t="s">
        <v>6984</v>
      </c>
      <c r="FVH10" t="s">
        <v>6984</v>
      </c>
      <c r="FVI10" t="s">
        <v>6984</v>
      </c>
      <c r="FVJ10" t="s">
        <v>6984</v>
      </c>
      <c r="FVK10" t="s">
        <v>6984</v>
      </c>
      <c r="FVL10" t="s">
        <v>6984</v>
      </c>
      <c r="FVM10" t="s">
        <v>6984</v>
      </c>
      <c r="FVN10" t="s">
        <v>6984</v>
      </c>
      <c r="FVO10" t="s">
        <v>6984</v>
      </c>
      <c r="FVP10" t="s">
        <v>6984</v>
      </c>
      <c r="FVQ10" t="s">
        <v>6984</v>
      </c>
      <c r="FVR10" t="s">
        <v>6984</v>
      </c>
      <c r="FVS10" t="s">
        <v>6984</v>
      </c>
      <c r="FVT10" t="s">
        <v>6984</v>
      </c>
      <c r="FVU10" t="s">
        <v>6984</v>
      </c>
      <c r="FVV10" t="s">
        <v>6984</v>
      </c>
      <c r="FVW10" t="s">
        <v>6984</v>
      </c>
      <c r="FVX10" t="s">
        <v>6984</v>
      </c>
      <c r="FVY10" t="s">
        <v>6984</v>
      </c>
      <c r="FVZ10" t="s">
        <v>6984</v>
      </c>
      <c r="FWA10" t="s">
        <v>6984</v>
      </c>
      <c r="FWB10" t="s">
        <v>6984</v>
      </c>
      <c r="FWC10" t="s">
        <v>6984</v>
      </c>
      <c r="FWD10" t="s">
        <v>6984</v>
      </c>
      <c r="FWE10" t="s">
        <v>6984</v>
      </c>
      <c r="FWF10" t="s">
        <v>6984</v>
      </c>
      <c r="FWG10" t="s">
        <v>6984</v>
      </c>
      <c r="FWH10" t="s">
        <v>6984</v>
      </c>
      <c r="FWI10" t="s">
        <v>6984</v>
      </c>
      <c r="FWJ10" t="s">
        <v>6984</v>
      </c>
      <c r="FWK10" t="s">
        <v>6984</v>
      </c>
      <c r="FWL10" t="s">
        <v>6984</v>
      </c>
      <c r="FWM10" t="s">
        <v>6984</v>
      </c>
      <c r="FWN10" t="s">
        <v>6984</v>
      </c>
      <c r="FWO10" t="s">
        <v>6984</v>
      </c>
      <c r="FWP10" t="s">
        <v>6984</v>
      </c>
      <c r="FWQ10" t="s">
        <v>6984</v>
      </c>
      <c r="FWR10" t="s">
        <v>6984</v>
      </c>
      <c r="FWS10" t="s">
        <v>6984</v>
      </c>
      <c r="FWT10" t="s">
        <v>6984</v>
      </c>
      <c r="FWU10" t="s">
        <v>6984</v>
      </c>
      <c r="FWV10" t="s">
        <v>6984</v>
      </c>
      <c r="FWW10" t="s">
        <v>6984</v>
      </c>
      <c r="FWX10" t="s">
        <v>6984</v>
      </c>
      <c r="FWY10" t="s">
        <v>6984</v>
      </c>
      <c r="FWZ10" t="s">
        <v>6984</v>
      </c>
      <c r="FXA10" t="s">
        <v>6984</v>
      </c>
      <c r="FXB10" t="s">
        <v>6984</v>
      </c>
      <c r="FXC10" t="s">
        <v>6984</v>
      </c>
      <c r="FXD10" t="s">
        <v>6984</v>
      </c>
      <c r="FXE10" t="s">
        <v>6984</v>
      </c>
      <c r="FXF10" t="s">
        <v>6984</v>
      </c>
      <c r="FXG10" t="s">
        <v>6984</v>
      </c>
      <c r="FXH10" t="s">
        <v>6984</v>
      </c>
      <c r="FXI10" t="s">
        <v>6984</v>
      </c>
      <c r="FXJ10" t="s">
        <v>6984</v>
      </c>
      <c r="FXK10" t="s">
        <v>6984</v>
      </c>
      <c r="FXL10" t="s">
        <v>6984</v>
      </c>
      <c r="FXM10" t="s">
        <v>6984</v>
      </c>
      <c r="FXN10" t="s">
        <v>6984</v>
      </c>
      <c r="FXO10" t="s">
        <v>6984</v>
      </c>
      <c r="FXP10" t="s">
        <v>6984</v>
      </c>
      <c r="FXQ10" t="s">
        <v>6984</v>
      </c>
      <c r="FXR10" t="s">
        <v>6984</v>
      </c>
      <c r="FXS10" t="s">
        <v>6984</v>
      </c>
      <c r="FXT10" t="s">
        <v>6984</v>
      </c>
      <c r="FXU10" t="s">
        <v>6984</v>
      </c>
      <c r="FXV10" t="s">
        <v>6984</v>
      </c>
      <c r="FXW10" t="s">
        <v>6984</v>
      </c>
      <c r="FXX10" t="s">
        <v>6984</v>
      </c>
      <c r="FXY10" t="s">
        <v>6984</v>
      </c>
      <c r="FXZ10" t="s">
        <v>6984</v>
      </c>
      <c r="FYA10" t="s">
        <v>6984</v>
      </c>
      <c r="FYB10" t="s">
        <v>6984</v>
      </c>
      <c r="FYC10" t="s">
        <v>6984</v>
      </c>
      <c r="FYD10" t="s">
        <v>6984</v>
      </c>
      <c r="FYE10" t="s">
        <v>6984</v>
      </c>
      <c r="FYF10" t="s">
        <v>6984</v>
      </c>
      <c r="FYG10" t="s">
        <v>6984</v>
      </c>
      <c r="FYH10" t="s">
        <v>6984</v>
      </c>
      <c r="FYI10" t="s">
        <v>6984</v>
      </c>
      <c r="FYJ10" t="s">
        <v>6984</v>
      </c>
      <c r="FYK10" t="s">
        <v>6984</v>
      </c>
      <c r="FYL10" t="s">
        <v>6984</v>
      </c>
      <c r="FYM10" t="s">
        <v>6984</v>
      </c>
      <c r="FYN10" t="s">
        <v>6984</v>
      </c>
      <c r="FYO10" t="s">
        <v>6984</v>
      </c>
      <c r="FYP10" t="s">
        <v>6984</v>
      </c>
      <c r="FYQ10" t="s">
        <v>6984</v>
      </c>
      <c r="FYR10" t="s">
        <v>6984</v>
      </c>
      <c r="FYS10" t="s">
        <v>6984</v>
      </c>
      <c r="FYT10" t="s">
        <v>6984</v>
      </c>
      <c r="FYU10" t="s">
        <v>6984</v>
      </c>
      <c r="FYV10" t="s">
        <v>6984</v>
      </c>
      <c r="FYW10" t="s">
        <v>6984</v>
      </c>
      <c r="FYX10" t="s">
        <v>6984</v>
      </c>
      <c r="FYY10" t="s">
        <v>6984</v>
      </c>
      <c r="FYZ10" t="s">
        <v>6984</v>
      </c>
      <c r="FZA10" t="s">
        <v>6984</v>
      </c>
      <c r="FZB10" t="s">
        <v>6984</v>
      </c>
      <c r="FZC10" t="s">
        <v>6984</v>
      </c>
      <c r="FZD10" t="s">
        <v>6984</v>
      </c>
      <c r="FZE10" t="s">
        <v>6984</v>
      </c>
      <c r="FZF10" t="s">
        <v>6984</v>
      </c>
      <c r="FZG10" t="s">
        <v>6984</v>
      </c>
      <c r="FZH10" t="s">
        <v>6984</v>
      </c>
      <c r="FZI10" t="s">
        <v>6984</v>
      </c>
      <c r="FZJ10" t="s">
        <v>6984</v>
      </c>
      <c r="FZK10" t="s">
        <v>6984</v>
      </c>
      <c r="FZL10" t="s">
        <v>6984</v>
      </c>
      <c r="FZM10" t="s">
        <v>6984</v>
      </c>
      <c r="FZN10" t="s">
        <v>6984</v>
      </c>
      <c r="FZO10" t="s">
        <v>6984</v>
      </c>
      <c r="FZP10" t="s">
        <v>6984</v>
      </c>
      <c r="FZQ10" t="s">
        <v>6984</v>
      </c>
      <c r="FZR10" t="s">
        <v>6984</v>
      </c>
      <c r="FZS10" t="s">
        <v>6984</v>
      </c>
      <c r="FZT10" t="s">
        <v>6984</v>
      </c>
      <c r="FZU10" t="s">
        <v>6984</v>
      </c>
      <c r="FZV10" t="s">
        <v>6984</v>
      </c>
      <c r="FZW10" t="s">
        <v>6984</v>
      </c>
      <c r="FZX10" t="s">
        <v>6984</v>
      </c>
      <c r="FZY10" t="s">
        <v>6984</v>
      </c>
      <c r="FZZ10" t="s">
        <v>6984</v>
      </c>
      <c r="GAA10" t="s">
        <v>6984</v>
      </c>
      <c r="GAB10" t="s">
        <v>6984</v>
      </c>
      <c r="GAC10" t="s">
        <v>6984</v>
      </c>
      <c r="GAD10" t="s">
        <v>6984</v>
      </c>
      <c r="GAE10" t="s">
        <v>6984</v>
      </c>
      <c r="GAF10" t="s">
        <v>6984</v>
      </c>
      <c r="GAG10" t="s">
        <v>6984</v>
      </c>
      <c r="GAH10" t="s">
        <v>6984</v>
      </c>
      <c r="GAI10" t="s">
        <v>6984</v>
      </c>
      <c r="GAJ10" t="s">
        <v>6984</v>
      </c>
      <c r="GAK10" t="s">
        <v>6984</v>
      </c>
      <c r="GAL10" t="s">
        <v>6984</v>
      </c>
      <c r="GAM10" t="s">
        <v>6984</v>
      </c>
      <c r="GAN10" t="s">
        <v>6984</v>
      </c>
      <c r="GAO10" t="s">
        <v>6984</v>
      </c>
      <c r="GAP10" t="s">
        <v>6984</v>
      </c>
      <c r="GAQ10" t="s">
        <v>6984</v>
      </c>
      <c r="GAR10" t="s">
        <v>6984</v>
      </c>
      <c r="GAS10" t="s">
        <v>6984</v>
      </c>
      <c r="GAT10" t="s">
        <v>6984</v>
      </c>
      <c r="GAU10" t="s">
        <v>6984</v>
      </c>
      <c r="GAV10" t="s">
        <v>6984</v>
      </c>
      <c r="GAW10" t="s">
        <v>6984</v>
      </c>
      <c r="GAX10" t="s">
        <v>6984</v>
      </c>
      <c r="GAY10" t="s">
        <v>6984</v>
      </c>
      <c r="GAZ10" t="s">
        <v>6984</v>
      </c>
      <c r="GBA10" t="s">
        <v>6984</v>
      </c>
      <c r="GBB10" t="s">
        <v>6984</v>
      </c>
      <c r="GBC10" t="s">
        <v>6984</v>
      </c>
      <c r="GBD10" t="s">
        <v>6984</v>
      </c>
      <c r="GBE10" t="s">
        <v>6984</v>
      </c>
      <c r="GBF10" t="s">
        <v>6984</v>
      </c>
      <c r="GBG10" t="s">
        <v>6984</v>
      </c>
      <c r="GBH10" t="s">
        <v>6984</v>
      </c>
      <c r="GBI10" t="s">
        <v>6984</v>
      </c>
      <c r="GBJ10" t="s">
        <v>6984</v>
      </c>
      <c r="GBK10" t="s">
        <v>6984</v>
      </c>
      <c r="GBL10" t="s">
        <v>6984</v>
      </c>
      <c r="GBM10" t="s">
        <v>6984</v>
      </c>
      <c r="GBN10" t="s">
        <v>6984</v>
      </c>
      <c r="GBO10" t="s">
        <v>6984</v>
      </c>
      <c r="GBP10" t="s">
        <v>6984</v>
      </c>
      <c r="GBQ10" t="s">
        <v>6984</v>
      </c>
      <c r="GBR10" t="s">
        <v>6984</v>
      </c>
      <c r="GBS10" t="s">
        <v>6984</v>
      </c>
      <c r="GBT10" t="s">
        <v>6984</v>
      </c>
      <c r="GBU10" t="s">
        <v>6984</v>
      </c>
      <c r="GBV10" t="s">
        <v>6984</v>
      </c>
      <c r="GBW10" t="s">
        <v>6984</v>
      </c>
      <c r="GBX10" t="s">
        <v>6984</v>
      </c>
      <c r="GBY10" t="s">
        <v>6984</v>
      </c>
      <c r="GBZ10" t="s">
        <v>6984</v>
      </c>
      <c r="GCA10" t="s">
        <v>6984</v>
      </c>
      <c r="GCB10" t="s">
        <v>6984</v>
      </c>
      <c r="GCC10" t="s">
        <v>6984</v>
      </c>
      <c r="GCD10" t="s">
        <v>6984</v>
      </c>
      <c r="GCE10" t="s">
        <v>6984</v>
      </c>
      <c r="GCF10" t="s">
        <v>6984</v>
      </c>
      <c r="GCG10" t="s">
        <v>6984</v>
      </c>
      <c r="GCH10" t="s">
        <v>6984</v>
      </c>
      <c r="GCI10" t="s">
        <v>6984</v>
      </c>
      <c r="GCJ10" t="s">
        <v>6984</v>
      </c>
      <c r="GCK10" t="s">
        <v>6984</v>
      </c>
      <c r="GCL10" t="s">
        <v>6984</v>
      </c>
      <c r="GCM10" t="s">
        <v>6984</v>
      </c>
      <c r="GCN10" t="s">
        <v>6984</v>
      </c>
      <c r="GCO10" t="s">
        <v>6984</v>
      </c>
      <c r="GCP10" t="s">
        <v>6984</v>
      </c>
      <c r="GCQ10" t="s">
        <v>6984</v>
      </c>
      <c r="GCR10" t="s">
        <v>6984</v>
      </c>
      <c r="GCS10" t="s">
        <v>6984</v>
      </c>
      <c r="GCT10" t="s">
        <v>6984</v>
      </c>
      <c r="GCU10" t="s">
        <v>6984</v>
      </c>
      <c r="GCV10" t="s">
        <v>6984</v>
      </c>
      <c r="GCW10" t="s">
        <v>6984</v>
      </c>
      <c r="GCX10" t="s">
        <v>6984</v>
      </c>
      <c r="GCY10" t="s">
        <v>6984</v>
      </c>
      <c r="GCZ10" t="s">
        <v>6984</v>
      </c>
      <c r="GDA10" t="s">
        <v>6984</v>
      </c>
      <c r="GDB10" t="s">
        <v>6984</v>
      </c>
      <c r="GDC10" t="s">
        <v>6984</v>
      </c>
      <c r="GDD10" t="s">
        <v>6984</v>
      </c>
      <c r="GDE10" t="s">
        <v>6984</v>
      </c>
      <c r="GDF10" t="s">
        <v>6984</v>
      </c>
      <c r="GDG10" t="s">
        <v>6984</v>
      </c>
      <c r="GDH10" t="s">
        <v>6984</v>
      </c>
      <c r="GDI10" t="s">
        <v>6984</v>
      </c>
      <c r="GDJ10" t="s">
        <v>6984</v>
      </c>
      <c r="GDK10" t="s">
        <v>6984</v>
      </c>
      <c r="GDL10" t="s">
        <v>6984</v>
      </c>
      <c r="GDM10" t="s">
        <v>6984</v>
      </c>
      <c r="GDN10" t="s">
        <v>6984</v>
      </c>
      <c r="GDO10" t="s">
        <v>6984</v>
      </c>
      <c r="GDP10" t="s">
        <v>6984</v>
      </c>
      <c r="GDQ10" t="s">
        <v>6984</v>
      </c>
      <c r="GDR10" t="s">
        <v>6984</v>
      </c>
      <c r="GDS10" t="s">
        <v>6984</v>
      </c>
      <c r="GDT10" t="s">
        <v>6984</v>
      </c>
      <c r="GDU10" t="s">
        <v>6984</v>
      </c>
      <c r="GDV10" t="s">
        <v>6984</v>
      </c>
      <c r="GDW10" t="s">
        <v>6984</v>
      </c>
      <c r="GDX10" t="s">
        <v>6984</v>
      </c>
      <c r="GDY10" t="s">
        <v>6984</v>
      </c>
      <c r="GDZ10" t="s">
        <v>6984</v>
      </c>
      <c r="GEA10" t="s">
        <v>6984</v>
      </c>
      <c r="GEB10" t="s">
        <v>6984</v>
      </c>
      <c r="GEC10" t="s">
        <v>6984</v>
      </c>
      <c r="GED10" t="s">
        <v>6984</v>
      </c>
      <c r="GEE10" t="s">
        <v>6984</v>
      </c>
      <c r="GEF10" t="s">
        <v>6984</v>
      </c>
      <c r="GEG10" t="s">
        <v>6984</v>
      </c>
      <c r="GEH10" t="s">
        <v>6984</v>
      </c>
      <c r="GEI10" t="s">
        <v>6984</v>
      </c>
      <c r="GEJ10" t="s">
        <v>6984</v>
      </c>
      <c r="GEK10" t="s">
        <v>6984</v>
      </c>
      <c r="GEL10" t="s">
        <v>6984</v>
      </c>
      <c r="GEM10" t="s">
        <v>6984</v>
      </c>
      <c r="GEN10" t="s">
        <v>6984</v>
      </c>
      <c r="GEO10" t="s">
        <v>6984</v>
      </c>
      <c r="GEP10" t="s">
        <v>6984</v>
      </c>
      <c r="GEQ10" t="s">
        <v>6984</v>
      </c>
      <c r="GER10" t="s">
        <v>6984</v>
      </c>
      <c r="GES10" t="s">
        <v>6984</v>
      </c>
      <c r="GET10" t="s">
        <v>6984</v>
      </c>
      <c r="GEU10" t="s">
        <v>6984</v>
      </c>
      <c r="GEV10" t="s">
        <v>6984</v>
      </c>
      <c r="GEW10" t="s">
        <v>6984</v>
      </c>
      <c r="GEX10" t="s">
        <v>6984</v>
      </c>
      <c r="GEY10" t="s">
        <v>6984</v>
      </c>
      <c r="GEZ10" t="s">
        <v>6984</v>
      </c>
      <c r="GFA10" t="s">
        <v>6984</v>
      </c>
      <c r="GFB10" t="s">
        <v>6984</v>
      </c>
      <c r="GFC10" t="s">
        <v>6984</v>
      </c>
      <c r="GFD10" t="s">
        <v>6984</v>
      </c>
      <c r="GFE10" t="s">
        <v>6984</v>
      </c>
      <c r="GFF10" t="s">
        <v>6984</v>
      </c>
      <c r="GFG10" t="s">
        <v>6984</v>
      </c>
      <c r="GFH10" t="s">
        <v>6984</v>
      </c>
      <c r="GFI10" t="s">
        <v>6984</v>
      </c>
      <c r="GFJ10" t="s">
        <v>6984</v>
      </c>
      <c r="GFK10" t="s">
        <v>6984</v>
      </c>
      <c r="GFL10" t="s">
        <v>6984</v>
      </c>
      <c r="GFM10" t="s">
        <v>6984</v>
      </c>
      <c r="GFN10" t="s">
        <v>6984</v>
      </c>
      <c r="GFO10" t="s">
        <v>6984</v>
      </c>
      <c r="GFP10" t="s">
        <v>6984</v>
      </c>
      <c r="GFQ10" t="s">
        <v>6984</v>
      </c>
      <c r="GFR10" t="s">
        <v>6984</v>
      </c>
      <c r="GFS10" t="s">
        <v>6984</v>
      </c>
      <c r="GFT10" t="s">
        <v>6984</v>
      </c>
      <c r="GFU10" t="s">
        <v>6984</v>
      </c>
      <c r="GFV10" t="s">
        <v>6984</v>
      </c>
      <c r="GFW10" t="s">
        <v>6984</v>
      </c>
      <c r="GFX10" t="s">
        <v>6984</v>
      </c>
      <c r="GFY10" t="s">
        <v>6984</v>
      </c>
      <c r="GFZ10" t="s">
        <v>6984</v>
      </c>
      <c r="GGA10" t="s">
        <v>6984</v>
      </c>
      <c r="GGB10" t="s">
        <v>6984</v>
      </c>
      <c r="GGC10" t="s">
        <v>6984</v>
      </c>
      <c r="GGD10" t="s">
        <v>6984</v>
      </c>
      <c r="GGE10" t="s">
        <v>6984</v>
      </c>
      <c r="GGF10" t="s">
        <v>6984</v>
      </c>
      <c r="GGG10" t="s">
        <v>6984</v>
      </c>
      <c r="GGH10" t="s">
        <v>6984</v>
      </c>
      <c r="GGI10" t="s">
        <v>6984</v>
      </c>
      <c r="GGJ10" t="s">
        <v>6984</v>
      </c>
      <c r="GGK10" t="s">
        <v>6984</v>
      </c>
      <c r="GGL10" t="s">
        <v>6984</v>
      </c>
      <c r="GGM10" t="s">
        <v>6984</v>
      </c>
      <c r="GGN10" t="s">
        <v>6984</v>
      </c>
      <c r="GGO10" t="s">
        <v>6984</v>
      </c>
      <c r="GGP10" t="s">
        <v>6984</v>
      </c>
      <c r="GGQ10" t="s">
        <v>6984</v>
      </c>
      <c r="GGR10" t="s">
        <v>6984</v>
      </c>
      <c r="GGS10" t="s">
        <v>6984</v>
      </c>
      <c r="GGT10" t="s">
        <v>6984</v>
      </c>
      <c r="GGU10" t="s">
        <v>6984</v>
      </c>
      <c r="GGV10" t="s">
        <v>6984</v>
      </c>
      <c r="GGW10" t="s">
        <v>6984</v>
      </c>
      <c r="GGX10" t="s">
        <v>6984</v>
      </c>
      <c r="GGY10" t="s">
        <v>6984</v>
      </c>
      <c r="GGZ10" t="s">
        <v>6984</v>
      </c>
      <c r="GHA10" t="s">
        <v>6984</v>
      </c>
      <c r="GHB10" t="s">
        <v>6984</v>
      </c>
      <c r="GHC10" t="s">
        <v>6984</v>
      </c>
      <c r="GHD10" t="s">
        <v>6984</v>
      </c>
      <c r="GHE10" t="s">
        <v>6984</v>
      </c>
      <c r="GHF10" t="s">
        <v>6984</v>
      </c>
      <c r="GHG10" t="s">
        <v>6984</v>
      </c>
      <c r="GHH10" t="s">
        <v>6984</v>
      </c>
      <c r="GHI10" t="s">
        <v>6984</v>
      </c>
      <c r="GHJ10" t="s">
        <v>6984</v>
      </c>
      <c r="GHK10" t="s">
        <v>6984</v>
      </c>
      <c r="GHL10" t="s">
        <v>6984</v>
      </c>
      <c r="GHM10" t="s">
        <v>6984</v>
      </c>
      <c r="GHN10" t="s">
        <v>6984</v>
      </c>
      <c r="GHO10" t="s">
        <v>6984</v>
      </c>
      <c r="GHP10" t="s">
        <v>6984</v>
      </c>
      <c r="GHQ10" t="s">
        <v>6984</v>
      </c>
      <c r="GHR10" t="s">
        <v>6984</v>
      </c>
      <c r="GHS10" t="s">
        <v>6984</v>
      </c>
      <c r="GHT10" t="s">
        <v>6984</v>
      </c>
      <c r="GHU10" t="s">
        <v>6984</v>
      </c>
      <c r="GHV10" t="s">
        <v>6984</v>
      </c>
      <c r="GHW10" t="s">
        <v>6984</v>
      </c>
      <c r="GHX10" t="s">
        <v>6984</v>
      </c>
      <c r="GHY10" t="s">
        <v>6984</v>
      </c>
      <c r="GHZ10" t="s">
        <v>6984</v>
      </c>
      <c r="GIA10" t="s">
        <v>6984</v>
      </c>
      <c r="GIB10" t="s">
        <v>6984</v>
      </c>
      <c r="GIC10" t="s">
        <v>6984</v>
      </c>
      <c r="GID10" t="s">
        <v>6984</v>
      </c>
      <c r="GIE10" t="s">
        <v>6984</v>
      </c>
      <c r="GIF10" t="s">
        <v>6984</v>
      </c>
      <c r="GIG10" t="s">
        <v>6984</v>
      </c>
      <c r="GIH10" t="s">
        <v>6984</v>
      </c>
      <c r="GII10" t="s">
        <v>6984</v>
      </c>
      <c r="GIJ10" t="s">
        <v>6984</v>
      </c>
      <c r="GIK10" t="s">
        <v>6984</v>
      </c>
      <c r="GIL10" t="s">
        <v>6984</v>
      </c>
      <c r="GIM10" t="s">
        <v>6984</v>
      </c>
      <c r="GIN10" t="s">
        <v>6984</v>
      </c>
      <c r="GIO10" t="s">
        <v>6984</v>
      </c>
      <c r="GIP10" t="s">
        <v>6984</v>
      </c>
      <c r="GIQ10" t="s">
        <v>6984</v>
      </c>
      <c r="GIR10" t="s">
        <v>6984</v>
      </c>
      <c r="GIS10" t="s">
        <v>6984</v>
      </c>
      <c r="GIT10" t="s">
        <v>6984</v>
      </c>
      <c r="GIU10" t="s">
        <v>6984</v>
      </c>
      <c r="GIV10" t="s">
        <v>6984</v>
      </c>
      <c r="GIW10" t="s">
        <v>6984</v>
      </c>
      <c r="GIX10" t="s">
        <v>6984</v>
      </c>
      <c r="GIY10" t="s">
        <v>6984</v>
      </c>
      <c r="GIZ10" t="s">
        <v>6984</v>
      </c>
      <c r="GJA10" t="s">
        <v>6984</v>
      </c>
      <c r="GJB10" t="s">
        <v>6984</v>
      </c>
      <c r="GJC10" t="s">
        <v>6984</v>
      </c>
      <c r="GJD10" t="s">
        <v>6984</v>
      </c>
      <c r="GJE10" t="s">
        <v>6984</v>
      </c>
      <c r="GJF10" t="s">
        <v>6984</v>
      </c>
      <c r="GJG10" t="s">
        <v>6984</v>
      </c>
      <c r="GJH10" t="s">
        <v>6984</v>
      </c>
      <c r="GJI10" t="s">
        <v>6984</v>
      </c>
      <c r="GJJ10" t="s">
        <v>6984</v>
      </c>
      <c r="GJK10" t="s">
        <v>6984</v>
      </c>
      <c r="GJL10" t="s">
        <v>6984</v>
      </c>
      <c r="GJM10" t="s">
        <v>6984</v>
      </c>
      <c r="GJN10" t="s">
        <v>6984</v>
      </c>
      <c r="GJO10" t="s">
        <v>6984</v>
      </c>
      <c r="GJP10" t="s">
        <v>6984</v>
      </c>
      <c r="GJQ10" t="s">
        <v>6984</v>
      </c>
      <c r="GJR10" t="s">
        <v>6984</v>
      </c>
      <c r="GJS10" t="s">
        <v>6984</v>
      </c>
      <c r="GJT10" t="s">
        <v>6984</v>
      </c>
      <c r="GJU10" t="s">
        <v>6984</v>
      </c>
      <c r="GJV10" t="s">
        <v>6984</v>
      </c>
      <c r="GJW10" t="s">
        <v>6984</v>
      </c>
      <c r="GJX10" t="s">
        <v>6984</v>
      </c>
      <c r="GJY10" t="s">
        <v>6984</v>
      </c>
      <c r="GJZ10" t="s">
        <v>6984</v>
      </c>
      <c r="GKA10" t="s">
        <v>6984</v>
      </c>
      <c r="GKB10" t="s">
        <v>6984</v>
      </c>
      <c r="GKC10" t="s">
        <v>6984</v>
      </c>
      <c r="GKD10" t="s">
        <v>6984</v>
      </c>
      <c r="GKE10" t="s">
        <v>6984</v>
      </c>
      <c r="GKF10" t="s">
        <v>6984</v>
      </c>
      <c r="GKG10" t="s">
        <v>6984</v>
      </c>
      <c r="GKH10" t="s">
        <v>6984</v>
      </c>
      <c r="GKI10" t="s">
        <v>6984</v>
      </c>
      <c r="GKJ10" t="s">
        <v>6984</v>
      </c>
      <c r="GKK10" t="s">
        <v>6984</v>
      </c>
      <c r="GKL10" t="s">
        <v>6984</v>
      </c>
      <c r="GKM10" t="s">
        <v>6984</v>
      </c>
      <c r="GKN10" t="s">
        <v>6984</v>
      </c>
      <c r="GKO10" t="s">
        <v>6984</v>
      </c>
      <c r="GKP10" t="s">
        <v>6984</v>
      </c>
      <c r="GKQ10" t="s">
        <v>6984</v>
      </c>
      <c r="GKR10" t="s">
        <v>6984</v>
      </c>
      <c r="GKS10" t="s">
        <v>6984</v>
      </c>
      <c r="GKT10" t="s">
        <v>6984</v>
      </c>
      <c r="GKU10" t="s">
        <v>6984</v>
      </c>
      <c r="GKV10" t="s">
        <v>6984</v>
      </c>
      <c r="GKW10" t="s">
        <v>6984</v>
      </c>
      <c r="GKX10" t="s">
        <v>6984</v>
      </c>
      <c r="GKY10" t="s">
        <v>6984</v>
      </c>
      <c r="GKZ10" t="s">
        <v>6984</v>
      </c>
      <c r="GLA10" t="s">
        <v>6984</v>
      </c>
      <c r="GLB10" t="s">
        <v>6984</v>
      </c>
      <c r="GLC10" t="s">
        <v>6984</v>
      </c>
      <c r="GLD10" t="s">
        <v>6984</v>
      </c>
      <c r="GLE10" t="s">
        <v>6984</v>
      </c>
      <c r="GLF10" t="s">
        <v>6984</v>
      </c>
      <c r="GLG10" t="s">
        <v>6984</v>
      </c>
      <c r="GLH10" t="s">
        <v>6984</v>
      </c>
      <c r="GLI10" t="s">
        <v>6984</v>
      </c>
      <c r="GLJ10" t="s">
        <v>6984</v>
      </c>
      <c r="GLK10" t="s">
        <v>6984</v>
      </c>
      <c r="GLL10" t="s">
        <v>6984</v>
      </c>
      <c r="GLM10" t="s">
        <v>6984</v>
      </c>
      <c r="GLN10" t="s">
        <v>6984</v>
      </c>
      <c r="GLO10" t="s">
        <v>6984</v>
      </c>
      <c r="GLP10" t="s">
        <v>6984</v>
      </c>
      <c r="GLQ10" t="s">
        <v>6984</v>
      </c>
      <c r="GLR10" t="s">
        <v>6984</v>
      </c>
      <c r="GLS10" t="s">
        <v>6984</v>
      </c>
      <c r="GLT10" t="s">
        <v>6984</v>
      </c>
      <c r="GLU10" t="s">
        <v>6984</v>
      </c>
      <c r="GLV10" t="s">
        <v>6984</v>
      </c>
      <c r="GLW10" t="s">
        <v>6984</v>
      </c>
      <c r="GLX10" t="s">
        <v>6984</v>
      </c>
      <c r="GLY10" t="s">
        <v>6984</v>
      </c>
      <c r="GLZ10" t="s">
        <v>6984</v>
      </c>
      <c r="GMA10" t="s">
        <v>6984</v>
      </c>
      <c r="GMB10" t="s">
        <v>6984</v>
      </c>
      <c r="GMC10" t="s">
        <v>6984</v>
      </c>
      <c r="GMD10" t="s">
        <v>6984</v>
      </c>
      <c r="GME10" t="s">
        <v>6984</v>
      </c>
      <c r="GMF10" t="s">
        <v>6984</v>
      </c>
      <c r="GMG10" t="s">
        <v>6984</v>
      </c>
      <c r="GMH10" t="s">
        <v>6984</v>
      </c>
      <c r="GMI10" t="s">
        <v>6984</v>
      </c>
      <c r="GMJ10" t="s">
        <v>6984</v>
      </c>
      <c r="GMK10" t="s">
        <v>6984</v>
      </c>
      <c r="GML10" t="s">
        <v>6984</v>
      </c>
      <c r="GMM10" t="s">
        <v>6984</v>
      </c>
      <c r="GMN10" t="s">
        <v>6984</v>
      </c>
      <c r="GMO10" t="s">
        <v>6984</v>
      </c>
      <c r="GMP10" t="s">
        <v>6984</v>
      </c>
      <c r="GMQ10" t="s">
        <v>6984</v>
      </c>
      <c r="GMR10" t="s">
        <v>6984</v>
      </c>
      <c r="GMS10" t="s">
        <v>6984</v>
      </c>
      <c r="GMT10" t="s">
        <v>6984</v>
      </c>
      <c r="GMU10" t="s">
        <v>6984</v>
      </c>
      <c r="GMV10" t="s">
        <v>6984</v>
      </c>
      <c r="GMW10" t="s">
        <v>6984</v>
      </c>
      <c r="GMX10" t="s">
        <v>6984</v>
      </c>
      <c r="GMY10" t="s">
        <v>6984</v>
      </c>
      <c r="GMZ10" t="s">
        <v>6984</v>
      </c>
      <c r="GNA10" t="s">
        <v>6984</v>
      </c>
      <c r="GNB10" t="s">
        <v>6984</v>
      </c>
      <c r="GNC10" t="s">
        <v>6984</v>
      </c>
      <c r="GND10" t="s">
        <v>6984</v>
      </c>
      <c r="GNE10" t="s">
        <v>6984</v>
      </c>
      <c r="GNF10" t="s">
        <v>6984</v>
      </c>
      <c r="GNG10" t="s">
        <v>6984</v>
      </c>
      <c r="GNH10" t="s">
        <v>6984</v>
      </c>
      <c r="GNI10" t="s">
        <v>6984</v>
      </c>
      <c r="GNJ10" t="s">
        <v>6984</v>
      </c>
      <c r="GNK10" t="s">
        <v>6984</v>
      </c>
      <c r="GNL10" t="s">
        <v>6984</v>
      </c>
      <c r="GNM10" t="s">
        <v>6984</v>
      </c>
      <c r="GNN10" t="s">
        <v>6984</v>
      </c>
      <c r="GNO10" t="s">
        <v>6984</v>
      </c>
      <c r="GNP10" t="s">
        <v>6984</v>
      </c>
      <c r="GNQ10" t="s">
        <v>6984</v>
      </c>
      <c r="GNR10" t="s">
        <v>6984</v>
      </c>
      <c r="GNS10" t="s">
        <v>6984</v>
      </c>
      <c r="GNT10" t="s">
        <v>6984</v>
      </c>
      <c r="GNU10" t="s">
        <v>6984</v>
      </c>
      <c r="GNV10" t="s">
        <v>6984</v>
      </c>
      <c r="GNW10" t="s">
        <v>6984</v>
      </c>
      <c r="GNX10" t="s">
        <v>6984</v>
      </c>
      <c r="GNY10" t="s">
        <v>6984</v>
      </c>
      <c r="GNZ10" t="s">
        <v>6984</v>
      </c>
      <c r="GOA10" t="s">
        <v>6984</v>
      </c>
      <c r="GOB10" t="s">
        <v>6984</v>
      </c>
      <c r="GOC10" t="s">
        <v>6984</v>
      </c>
      <c r="GOD10" t="s">
        <v>6984</v>
      </c>
      <c r="GOE10" t="s">
        <v>6984</v>
      </c>
      <c r="GOF10" t="s">
        <v>6984</v>
      </c>
      <c r="GOG10" t="s">
        <v>6984</v>
      </c>
      <c r="GOH10" t="s">
        <v>6984</v>
      </c>
      <c r="GOI10" t="s">
        <v>6984</v>
      </c>
      <c r="GOJ10" t="s">
        <v>6984</v>
      </c>
      <c r="GOK10" t="s">
        <v>6984</v>
      </c>
      <c r="GOL10" t="s">
        <v>6984</v>
      </c>
      <c r="GOM10" t="s">
        <v>6984</v>
      </c>
      <c r="GON10" t="s">
        <v>6984</v>
      </c>
      <c r="GOO10" t="s">
        <v>6984</v>
      </c>
      <c r="GOP10" t="s">
        <v>6984</v>
      </c>
      <c r="GOQ10" t="s">
        <v>6984</v>
      </c>
      <c r="GOR10" t="s">
        <v>6984</v>
      </c>
      <c r="GOS10" t="s">
        <v>6984</v>
      </c>
      <c r="GOT10" t="s">
        <v>6984</v>
      </c>
      <c r="GOU10" t="s">
        <v>6984</v>
      </c>
      <c r="GOV10" t="s">
        <v>6984</v>
      </c>
      <c r="GOW10" t="s">
        <v>6984</v>
      </c>
      <c r="GOX10" t="s">
        <v>6984</v>
      </c>
      <c r="GOY10" t="s">
        <v>6984</v>
      </c>
      <c r="GOZ10" t="s">
        <v>6984</v>
      </c>
      <c r="GPA10" t="s">
        <v>6984</v>
      </c>
      <c r="GPB10" t="s">
        <v>6984</v>
      </c>
      <c r="GPC10" t="s">
        <v>6984</v>
      </c>
      <c r="GPD10" t="s">
        <v>6984</v>
      </c>
      <c r="GPE10" t="s">
        <v>6984</v>
      </c>
      <c r="GPF10" t="s">
        <v>6984</v>
      </c>
      <c r="GPG10" t="s">
        <v>6984</v>
      </c>
      <c r="GPH10" t="s">
        <v>6984</v>
      </c>
      <c r="GPI10" t="s">
        <v>6984</v>
      </c>
      <c r="GPJ10" t="s">
        <v>6984</v>
      </c>
      <c r="GPK10" t="s">
        <v>6984</v>
      </c>
      <c r="GPL10" t="s">
        <v>6984</v>
      </c>
      <c r="GPM10" t="s">
        <v>6984</v>
      </c>
      <c r="GPN10" t="s">
        <v>6984</v>
      </c>
      <c r="GPO10" t="s">
        <v>6984</v>
      </c>
      <c r="GPP10" t="s">
        <v>6984</v>
      </c>
      <c r="GPQ10" t="s">
        <v>6984</v>
      </c>
      <c r="GPR10" t="s">
        <v>6984</v>
      </c>
      <c r="GPS10" t="s">
        <v>6984</v>
      </c>
      <c r="GPT10" t="s">
        <v>6984</v>
      </c>
      <c r="GPU10" t="s">
        <v>6984</v>
      </c>
      <c r="GPV10" t="s">
        <v>6984</v>
      </c>
      <c r="GPW10" t="s">
        <v>6984</v>
      </c>
      <c r="GPX10" t="s">
        <v>6984</v>
      </c>
      <c r="GPY10" t="s">
        <v>6984</v>
      </c>
      <c r="GPZ10" t="s">
        <v>6984</v>
      </c>
      <c r="GQA10" t="s">
        <v>6984</v>
      </c>
      <c r="GQB10" t="s">
        <v>6984</v>
      </c>
      <c r="GQC10" t="s">
        <v>6984</v>
      </c>
      <c r="GQD10" t="s">
        <v>6984</v>
      </c>
      <c r="GQE10" t="s">
        <v>6984</v>
      </c>
      <c r="GQF10" t="s">
        <v>6984</v>
      </c>
      <c r="GQG10" t="s">
        <v>6984</v>
      </c>
      <c r="GQH10" t="s">
        <v>6984</v>
      </c>
      <c r="GQI10" t="s">
        <v>6984</v>
      </c>
      <c r="GQJ10" t="s">
        <v>6984</v>
      </c>
      <c r="GQK10" t="s">
        <v>6984</v>
      </c>
      <c r="GQL10" t="s">
        <v>6984</v>
      </c>
      <c r="GQM10" t="s">
        <v>6984</v>
      </c>
      <c r="GQN10" t="s">
        <v>6984</v>
      </c>
      <c r="GQO10" t="s">
        <v>6984</v>
      </c>
      <c r="GQP10" t="s">
        <v>6984</v>
      </c>
      <c r="GQQ10" t="s">
        <v>6984</v>
      </c>
      <c r="GQR10" t="s">
        <v>6984</v>
      </c>
      <c r="GQS10" t="s">
        <v>6984</v>
      </c>
      <c r="GQT10" t="s">
        <v>6984</v>
      </c>
      <c r="GQU10" t="s">
        <v>6984</v>
      </c>
      <c r="GQV10" t="s">
        <v>6984</v>
      </c>
      <c r="GQW10" t="s">
        <v>6984</v>
      </c>
      <c r="GQX10" t="s">
        <v>6984</v>
      </c>
      <c r="GQY10" t="s">
        <v>6984</v>
      </c>
      <c r="GQZ10" t="s">
        <v>6984</v>
      </c>
      <c r="GRA10" t="s">
        <v>6984</v>
      </c>
      <c r="GRB10" t="s">
        <v>6984</v>
      </c>
      <c r="GRC10" t="s">
        <v>6984</v>
      </c>
      <c r="GRD10" t="s">
        <v>6984</v>
      </c>
      <c r="GRE10" t="s">
        <v>6984</v>
      </c>
      <c r="GRF10" t="s">
        <v>6984</v>
      </c>
      <c r="GRG10" t="s">
        <v>6984</v>
      </c>
      <c r="GRH10" t="s">
        <v>6984</v>
      </c>
      <c r="GRI10" t="s">
        <v>6984</v>
      </c>
      <c r="GRJ10" t="s">
        <v>6984</v>
      </c>
      <c r="GRK10" t="s">
        <v>6984</v>
      </c>
      <c r="GRL10" t="s">
        <v>6984</v>
      </c>
      <c r="GRM10" t="s">
        <v>6984</v>
      </c>
      <c r="GRN10" t="s">
        <v>6984</v>
      </c>
      <c r="GRO10" t="s">
        <v>6984</v>
      </c>
      <c r="GRP10" t="s">
        <v>6984</v>
      </c>
      <c r="GRQ10" t="s">
        <v>6984</v>
      </c>
      <c r="GRR10" t="s">
        <v>6984</v>
      </c>
      <c r="GRS10" t="s">
        <v>6984</v>
      </c>
      <c r="GRT10" t="s">
        <v>6984</v>
      </c>
      <c r="GRU10" t="s">
        <v>6984</v>
      </c>
      <c r="GRV10" t="s">
        <v>6984</v>
      </c>
      <c r="GRW10" t="s">
        <v>6984</v>
      </c>
      <c r="GRX10" t="s">
        <v>6984</v>
      </c>
      <c r="GRY10" t="s">
        <v>6984</v>
      </c>
      <c r="GRZ10" t="s">
        <v>6984</v>
      </c>
      <c r="GSA10" t="s">
        <v>6984</v>
      </c>
      <c r="GSB10" t="s">
        <v>6984</v>
      </c>
      <c r="GSC10" t="s">
        <v>6984</v>
      </c>
      <c r="GSD10" t="s">
        <v>6984</v>
      </c>
      <c r="GSE10" t="s">
        <v>6984</v>
      </c>
      <c r="GSF10" t="s">
        <v>6984</v>
      </c>
      <c r="GSG10" t="s">
        <v>6984</v>
      </c>
      <c r="GSH10" t="s">
        <v>6984</v>
      </c>
      <c r="GSI10" t="s">
        <v>6984</v>
      </c>
      <c r="GSJ10" t="s">
        <v>6984</v>
      </c>
      <c r="GSK10" t="s">
        <v>6984</v>
      </c>
      <c r="GSL10" t="s">
        <v>6984</v>
      </c>
      <c r="GSM10" t="s">
        <v>6984</v>
      </c>
      <c r="GSN10" t="s">
        <v>6984</v>
      </c>
      <c r="GSO10" t="s">
        <v>6984</v>
      </c>
      <c r="GSP10" t="s">
        <v>6984</v>
      </c>
      <c r="GSQ10" t="s">
        <v>6984</v>
      </c>
      <c r="GSR10" t="s">
        <v>6984</v>
      </c>
      <c r="GSS10" t="s">
        <v>6984</v>
      </c>
      <c r="GST10" t="s">
        <v>6984</v>
      </c>
      <c r="GSU10" t="s">
        <v>6984</v>
      </c>
      <c r="GSV10" t="s">
        <v>6984</v>
      </c>
      <c r="GSW10" t="s">
        <v>6984</v>
      </c>
      <c r="GSX10" t="s">
        <v>6984</v>
      </c>
      <c r="GSY10" t="s">
        <v>6984</v>
      </c>
      <c r="GSZ10" t="s">
        <v>6984</v>
      </c>
      <c r="GTA10" t="s">
        <v>6984</v>
      </c>
      <c r="GTB10" t="s">
        <v>6984</v>
      </c>
      <c r="GTC10" t="s">
        <v>6984</v>
      </c>
      <c r="GTD10" t="s">
        <v>6984</v>
      </c>
      <c r="GTE10" t="s">
        <v>6984</v>
      </c>
      <c r="GTF10" t="s">
        <v>6984</v>
      </c>
      <c r="GTG10" t="s">
        <v>6984</v>
      </c>
      <c r="GTH10" t="s">
        <v>6984</v>
      </c>
      <c r="GTI10" t="s">
        <v>6984</v>
      </c>
      <c r="GTJ10" t="s">
        <v>6984</v>
      </c>
      <c r="GTK10" t="s">
        <v>6984</v>
      </c>
      <c r="GTL10" t="s">
        <v>6984</v>
      </c>
      <c r="GTM10" t="s">
        <v>6984</v>
      </c>
      <c r="GTN10" t="s">
        <v>6984</v>
      </c>
      <c r="GTO10" t="s">
        <v>6984</v>
      </c>
      <c r="GTP10" t="s">
        <v>6984</v>
      </c>
      <c r="GTQ10" t="s">
        <v>6984</v>
      </c>
      <c r="GTR10" t="s">
        <v>6984</v>
      </c>
      <c r="GTS10" t="s">
        <v>6984</v>
      </c>
      <c r="GTT10" t="s">
        <v>6984</v>
      </c>
      <c r="GTU10" t="s">
        <v>6984</v>
      </c>
      <c r="GTV10" t="s">
        <v>6984</v>
      </c>
      <c r="GTW10" t="s">
        <v>6984</v>
      </c>
      <c r="GTX10" t="s">
        <v>6984</v>
      </c>
      <c r="GTY10" t="s">
        <v>6984</v>
      </c>
      <c r="GTZ10" t="s">
        <v>6984</v>
      </c>
      <c r="GUA10" t="s">
        <v>6984</v>
      </c>
      <c r="GUB10" t="s">
        <v>6984</v>
      </c>
      <c r="GUC10" t="s">
        <v>6984</v>
      </c>
      <c r="GUD10" t="s">
        <v>6984</v>
      </c>
      <c r="GUE10" t="s">
        <v>6984</v>
      </c>
      <c r="GUF10" t="s">
        <v>6984</v>
      </c>
      <c r="GUG10" t="s">
        <v>6984</v>
      </c>
      <c r="GUH10" t="s">
        <v>6984</v>
      </c>
      <c r="GUI10" t="s">
        <v>6984</v>
      </c>
      <c r="GUJ10" t="s">
        <v>6984</v>
      </c>
      <c r="GUK10" t="s">
        <v>6984</v>
      </c>
      <c r="GUL10" t="s">
        <v>6984</v>
      </c>
      <c r="GUM10" t="s">
        <v>6984</v>
      </c>
      <c r="GUN10" t="s">
        <v>6984</v>
      </c>
      <c r="GUO10" t="s">
        <v>6984</v>
      </c>
      <c r="GUP10" t="s">
        <v>6984</v>
      </c>
      <c r="GUQ10" t="s">
        <v>6984</v>
      </c>
      <c r="GUR10" t="s">
        <v>6984</v>
      </c>
      <c r="GUS10" t="s">
        <v>6984</v>
      </c>
      <c r="GUT10" t="s">
        <v>6984</v>
      </c>
      <c r="GUU10" t="s">
        <v>6984</v>
      </c>
      <c r="GUV10" t="s">
        <v>6984</v>
      </c>
      <c r="GUW10" t="s">
        <v>6984</v>
      </c>
      <c r="GUX10" t="s">
        <v>6984</v>
      </c>
      <c r="GUY10" t="s">
        <v>6984</v>
      </c>
      <c r="GUZ10" t="s">
        <v>6984</v>
      </c>
      <c r="GVA10" t="s">
        <v>6984</v>
      </c>
      <c r="GVB10" t="s">
        <v>6984</v>
      </c>
      <c r="GVC10" t="s">
        <v>6984</v>
      </c>
      <c r="GVD10" t="s">
        <v>6984</v>
      </c>
      <c r="GVE10" t="s">
        <v>6984</v>
      </c>
      <c r="GVF10" t="s">
        <v>6984</v>
      </c>
      <c r="GVG10" t="s">
        <v>6984</v>
      </c>
      <c r="GVH10" t="s">
        <v>6984</v>
      </c>
      <c r="GVI10" t="s">
        <v>6984</v>
      </c>
      <c r="GVJ10" t="s">
        <v>6984</v>
      </c>
      <c r="GVK10" t="s">
        <v>6984</v>
      </c>
      <c r="GVL10" t="s">
        <v>6984</v>
      </c>
      <c r="GVM10" t="s">
        <v>6984</v>
      </c>
      <c r="GVN10" t="s">
        <v>6984</v>
      </c>
      <c r="GVO10" t="s">
        <v>6984</v>
      </c>
      <c r="GVP10" t="s">
        <v>6984</v>
      </c>
      <c r="GVQ10" t="s">
        <v>6984</v>
      </c>
      <c r="GVR10" t="s">
        <v>6984</v>
      </c>
      <c r="GVS10" t="s">
        <v>6984</v>
      </c>
      <c r="GVT10" t="s">
        <v>6984</v>
      </c>
      <c r="GVU10" t="s">
        <v>6984</v>
      </c>
      <c r="GVV10" t="s">
        <v>6984</v>
      </c>
      <c r="GVW10" t="s">
        <v>6984</v>
      </c>
      <c r="GVX10" t="s">
        <v>6984</v>
      </c>
      <c r="GVY10" t="s">
        <v>6984</v>
      </c>
      <c r="GVZ10" t="s">
        <v>6984</v>
      </c>
      <c r="GWA10" t="s">
        <v>6984</v>
      </c>
      <c r="GWB10" t="s">
        <v>6984</v>
      </c>
      <c r="GWC10" t="s">
        <v>6984</v>
      </c>
      <c r="GWD10" t="s">
        <v>6984</v>
      </c>
      <c r="GWE10" t="s">
        <v>6984</v>
      </c>
      <c r="GWF10" t="s">
        <v>6984</v>
      </c>
      <c r="GWG10" t="s">
        <v>6984</v>
      </c>
      <c r="GWH10" t="s">
        <v>6984</v>
      </c>
      <c r="GWI10" t="s">
        <v>6984</v>
      </c>
      <c r="GWJ10" t="s">
        <v>6984</v>
      </c>
      <c r="GWK10" t="s">
        <v>6984</v>
      </c>
      <c r="GWL10" t="s">
        <v>6984</v>
      </c>
      <c r="GWM10" t="s">
        <v>6984</v>
      </c>
      <c r="GWN10" t="s">
        <v>6984</v>
      </c>
      <c r="GWO10" t="s">
        <v>6984</v>
      </c>
      <c r="GWP10" t="s">
        <v>6984</v>
      </c>
      <c r="GWQ10" t="s">
        <v>6984</v>
      </c>
      <c r="GWR10" t="s">
        <v>6984</v>
      </c>
      <c r="GWS10" t="s">
        <v>6984</v>
      </c>
      <c r="GWT10" t="s">
        <v>6984</v>
      </c>
      <c r="GWU10" t="s">
        <v>6984</v>
      </c>
      <c r="GWV10" t="s">
        <v>6984</v>
      </c>
      <c r="GWW10" t="s">
        <v>6984</v>
      </c>
      <c r="GWX10" t="s">
        <v>6984</v>
      </c>
      <c r="GWY10" t="s">
        <v>6984</v>
      </c>
      <c r="GWZ10" t="s">
        <v>6984</v>
      </c>
      <c r="GXA10" t="s">
        <v>6984</v>
      </c>
      <c r="GXB10" t="s">
        <v>6984</v>
      </c>
      <c r="GXC10" t="s">
        <v>6984</v>
      </c>
      <c r="GXD10" t="s">
        <v>6984</v>
      </c>
      <c r="GXE10" t="s">
        <v>6984</v>
      </c>
      <c r="GXF10" t="s">
        <v>6984</v>
      </c>
      <c r="GXG10" t="s">
        <v>6984</v>
      </c>
      <c r="GXH10" t="s">
        <v>6984</v>
      </c>
      <c r="GXI10" t="s">
        <v>6984</v>
      </c>
      <c r="GXJ10" t="s">
        <v>6984</v>
      </c>
      <c r="GXK10" t="s">
        <v>6984</v>
      </c>
      <c r="GXL10" t="s">
        <v>6984</v>
      </c>
      <c r="GXM10" t="s">
        <v>6984</v>
      </c>
      <c r="GXN10" t="s">
        <v>6984</v>
      </c>
      <c r="GXO10" t="s">
        <v>6984</v>
      </c>
      <c r="GXP10" t="s">
        <v>6984</v>
      </c>
      <c r="GXQ10" t="s">
        <v>6984</v>
      </c>
      <c r="GXR10" t="s">
        <v>6984</v>
      </c>
      <c r="GXS10" t="s">
        <v>6984</v>
      </c>
      <c r="GXT10" t="s">
        <v>6984</v>
      </c>
      <c r="GXU10" t="s">
        <v>6984</v>
      </c>
      <c r="GXV10" t="s">
        <v>6984</v>
      </c>
      <c r="GXW10" t="s">
        <v>6984</v>
      </c>
      <c r="GXX10" t="s">
        <v>6984</v>
      </c>
      <c r="GXY10" t="s">
        <v>6984</v>
      </c>
      <c r="GXZ10" t="s">
        <v>6984</v>
      </c>
      <c r="GYA10" t="s">
        <v>6984</v>
      </c>
      <c r="GYB10" t="s">
        <v>6984</v>
      </c>
      <c r="GYC10" t="s">
        <v>6984</v>
      </c>
      <c r="GYD10" t="s">
        <v>6984</v>
      </c>
      <c r="GYE10" t="s">
        <v>6984</v>
      </c>
      <c r="GYF10" t="s">
        <v>6984</v>
      </c>
      <c r="GYG10" t="s">
        <v>6984</v>
      </c>
      <c r="GYH10" t="s">
        <v>6984</v>
      </c>
      <c r="GYI10" t="s">
        <v>6984</v>
      </c>
      <c r="GYJ10" t="s">
        <v>6984</v>
      </c>
      <c r="GYK10" t="s">
        <v>6984</v>
      </c>
      <c r="GYL10" t="s">
        <v>6984</v>
      </c>
      <c r="GYM10" t="s">
        <v>6984</v>
      </c>
      <c r="GYN10" t="s">
        <v>6984</v>
      </c>
      <c r="GYO10" t="s">
        <v>6984</v>
      </c>
      <c r="GYP10" t="s">
        <v>6984</v>
      </c>
      <c r="GYQ10" t="s">
        <v>6984</v>
      </c>
      <c r="GYR10" t="s">
        <v>6984</v>
      </c>
      <c r="GYS10" t="s">
        <v>6984</v>
      </c>
      <c r="GYT10" t="s">
        <v>6984</v>
      </c>
      <c r="GYU10" t="s">
        <v>6984</v>
      </c>
      <c r="GYV10" t="s">
        <v>6984</v>
      </c>
      <c r="GYW10" t="s">
        <v>6984</v>
      </c>
      <c r="GYX10" t="s">
        <v>6984</v>
      </c>
      <c r="GYY10" t="s">
        <v>6984</v>
      </c>
      <c r="GYZ10" t="s">
        <v>6984</v>
      </c>
      <c r="GZA10" t="s">
        <v>6984</v>
      </c>
      <c r="GZB10" t="s">
        <v>6984</v>
      </c>
      <c r="GZC10" t="s">
        <v>6984</v>
      </c>
      <c r="GZD10" t="s">
        <v>6984</v>
      </c>
      <c r="GZE10" t="s">
        <v>6984</v>
      </c>
      <c r="GZF10" t="s">
        <v>6984</v>
      </c>
      <c r="GZG10" t="s">
        <v>6984</v>
      </c>
      <c r="GZH10" t="s">
        <v>6984</v>
      </c>
      <c r="GZI10" t="s">
        <v>6984</v>
      </c>
      <c r="GZJ10" t="s">
        <v>6984</v>
      </c>
      <c r="GZK10" t="s">
        <v>6984</v>
      </c>
      <c r="GZL10" t="s">
        <v>6984</v>
      </c>
      <c r="GZM10" t="s">
        <v>6984</v>
      </c>
      <c r="GZN10" t="s">
        <v>6984</v>
      </c>
      <c r="GZO10" t="s">
        <v>6984</v>
      </c>
      <c r="GZP10" t="s">
        <v>6984</v>
      </c>
      <c r="GZQ10" t="s">
        <v>6984</v>
      </c>
      <c r="GZR10" t="s">
        <v>6984</v>
      </c>
      <c r="GZS10" t="s">
        <v>6984</v>
      </c>
      <c r="GZT10" t="s">
        <v>6984</v>
      </c>
      <c r="GZU10" t="s">
        <v>6984</v>
      </c>
      <c r="GZV10" t="s">
        <v>6984</v>
      </c>
      <c r="GZW10" t="s">
        <v>6984</v>
      </c>
      <c r="GZX10" t="s">
        <v>6984</v>
      </c>
      <c r="GZY10" t="s">
        <v>6984</v>
      </c>
      <c r="GZZ10" t="s">
        <v>6984</v>
      </c>
      <c r="HAA10" t="s">
        <v>6984</v>
      </c>
      <c r="HAB10" t="s">
        <v>6984</v>
      </c>
      <c r="HAC10" t="s">
        <v>6984</v>
      </c>
      <c r="HAD10" t="s">
        <v>6984</v>
      </c>
      <c r="HAE10" t="s">
        <v>6984</v>
      </c>
      <c r="HAF10" t="s">
        <v>6984</v>
      </c>
      <c r="HAG10" t="s">
        <v>6984</v>
      </c>
      <c r="HAH10" t="s">
        <v>6984</v>
      </c>
      <c r="HAI10" t="s">
        <v>6984</v>
      </c>
      <c r="HAJ10" t="s">
        <v>6984</v>
      </c>
      <c r="HAK10" t="s">
        <v>6984</v>
      </c>
      <c r="HAL10" t="s">
        <v>6984</v>
      </c>
      <c r="HAM10" t="s">
        <v>6984</v>
      </c>
      <c r="HAN10" t="s">
        <v>6984</v>
      </c>
      <c r="HAO10" t="s">
        <v>6984</v>
      </c>
      <c r="HAP10" t="s">
        <v>6984</v>
      </c>
      <c r="HAQ10" t="s">
        <v>6984</v>
      </c>
      <c r="HAR10" t="s">
        <v>6984</v>
      </c>
      <c r="HAS10" t="s">
        <v>6984</v>
      </c>
      <c r="HAT10" t="s">
        <v>6984</v>
      </c>
      <c r="HAU10" t="s">
        <v>6984</v>
      </c>
      <c r="HAV10" t="s">
        <v>6984</v>
      </c>
      <c r="HAW10" t="s">
        <v>6984</v>
      </c>
      <c r="HAX10" t="s">
        <v>6984</v>
      </c>
      <c r="HAY10" t="s">
        <v>6984</v>
      </c>
      <c r="HAZ10" t="s">
        <v>6984</v>
      </c>
      <c r="HBA10" t="s">
        <v>6984</v>
      </c>
      <c r="HBB10" t="s">
        <v>6984</v>
      </c>
      <c r="HBC10" t="s">
        <v>6984</v>
      </c>
      <c r="HBD10" t="s">
        <v>6984</v>
      </c>
      <c r="HBE10" t="s">
        <v>6984</v>
      </c>
      <c r="HBF10" t="s">
        <v>6984</v>
      </c>
      <c r="HBG10" t="s">
        <v>6984</v>
      </c>
      <c r="HBH10" t="s">
        <v>6984</v>
      </c>
      <c r="HBI10" t="s">
        <v>6984</v>
      </c>
      <c r="HBJ10" t="s">
        <v>6984</v>
      </c>
      <c r="HBK10" t="s">
        <v>6984</v>
      </c>
      <c r="HBL10" t="s">
        <v>6984</v>
      </c>
      <c r="HBM10" t="s">
        <v>6984</v>
      </c>
      <c r="HBN10" t="s">
        <v>6984</v>
      </c>
      <c r="HBO10" t="s">
        <v>6984</v>
      </c>
      <c r="HBP10" t="s">
        <v>6984</v>
      </c>
      <c r="HBQ10" t="s">
        <v>6984</v>
      </c>
      <c r="HBR10" t="s">
        <v>6984</v>
      </c>
      <c r="HBS10" t="s">
        <v>6984</v>
      </c>
      <c r="HBT10" t="s">
        <v>6984</v>
      </c>
      <c r="HBU10" t="s">
        <v>6984</v>
      </c>
      <c r="HBV10" t="s">
        <v>6984</v>
      </c>
      <c r="HBW10" t="s">
        <v>6984</v>
      </c>
      <c r="HBX10" t="s">
        <v>6984</v>
      </c>
      <c r="HBY10" t="s">
        <v>6984</v>
      </c>
      <c r="HBZ10" t="s">
        <v>6984</v>
      </c>
      <c r="HCA10" t="s">
        <v>6984</v>
      </c>
      <c r="HCB10" t="s">
        <v>6984</v>
      </c>
      <c r="HCC10" t="s">
        <v>6984</v>
      </c>
      <c r="HCD10" t="s">
        <v>6984</v>
      </c>
      <c r="HCE10" t="s">
        <v>6984</v>
      </c>
      <c r="HCF10" t="s">
        <v>6984</v>
      </c>
      <c r="HCG10" t="s">
        <v>6984</v>
      </c>
      <c r="HCH10" t="s">
        <v>6984</v>
      </c>
      <c r="HCI10" t="s">
        <v>6984</v>
      </c>
      <c r="HCJ10" t="s">
        <v>6984</v>
      </c>
      <c r="HCK10" t="s">
        <v>6984</v>
      </c>
      <c r="HCL10" t="s">
        <v>6984</v>
      </c>
      <c r="HCM10" t="s">
        <v>6984</v>
      </c>
      <c r="HCN10" t="s">
        <v>6984</v>
      </c>
      <c r="HCO10" t="s">
        <v>6984</v>
      </c>
      <c r="HCP10" t="s">
        <v>6984</v>
      </c>
      <c r="HCQ10" t="s">
        <v>6984</v>
      </c>
      <c r="HCR10" t="s">
        <v>6984</v>
      </c>
      <c r="HCS10" t="s">
        <v>6984</v>
      </c>
      <c r="HCT10" t="s">
        <v>6984</v>
      </c>
      <c r="HCU10" t="s">
        <v>6984</v>
      </c>
      <c r="HCV10" t="s">
        <v>6984</v>
      </c>
      <c r="HCW10" t="s">
        <v>6984</v>
      </c>
      <c r="HCX10" t="s">
        <v>6984</v>
      </c>
      <c r="HCY10" t="s">
        <v>6984</v>
      </c>
      <c r="HCZ10" t="s">
        <v>6984</v>
      </c>
      <c r="HDA10" t="s">
        <v>6984</v>
      </c>
      <c r="HDB10" t="s">
        <v>6984</v>
      </c>
      <c r="HDC10" t="s">
        <v>6984</v>
      </c>
      <c r="HDD10" t="s">
        <v>6984</v>
      </c>
      <c r="HDE10" t="s">
        <v>6984</v>
      </c>
      <c r="HDF10" t="s">
        <v>6984</v>
      </c>
      <c r="HDG10" t="s">
        <v>6984</v>
      </c>
      <c r="HDH10" t="s">
        <v>6984</v>
      </c>
      <c r="HDI10" t="s">
        <v>6984</v>
      </c>
      <c r="HDJ10" t="s">
        <v>6984</v>
      </c>
      <c r="HDK10" t="s">
        <v>6984</v>
      </c>
      <c r="HDL10" t="s">
        <v>6984</v>
      </c>
      <c r="HDM10" t="s">
        <v>6984</v>
      </c>
      <c r="HDN10" t="s">
        <v>6984</v>
      </c>
      <c r="HDO10" t="s">
        <v>6984</v>
      </c>
      <c r="HDP10" t="s">
        <v>6984</v>
      </c>
      <c r="HDQ10" t="s">
        <v>6984</v>
      </c>
      <c r="HDR10" t="s">
        <v>6984</v>
      </c>
      <c r="HDS10" t="s">
        <v>6984</v>
      </c>
      <c r="HDT10" t="s">
        <v>6984</v>
      </c>
      <c r="HDU10" t="s">
        <v>6984</v>
      </c>
      <c r="HDV10" t="s">
        <v>6984</v>
      </c>
      <c r="HDW10" t="s">
        <v>6984</v>
      </c>
      <c r="HDX10" t="s">
        <v>6984</v>
      </c>
      <c r="HDY10" t="s">
        <v>6984</v>
      </c>
      <c r="HDZ10" t="s">
        <v>6984</v>
      </c>
      <c r="HEA10" t="s">
        <v>6984</v>
      </c>
      <c r="HEB10" t="s">
        <v>6984</v>
      </c>
      <c r="HEC10" t="s">
        <v>6984</v>
      </c>
      <c r="HED10" t="s">
        <v>6984</v>
      </c>
      <c r="HEE10" t="s">
        <v>6984</v>
      </c>
      <c r="HEF10" t="s">
        <v>6984</v>
      </c>
      <c r="HEG10" t="s">
        <v>6984</v>
      </c>
      <c r="HEH10" t="s">
        <v>6984</v>
      </c>
      <c r="HEI10" t="s">
        <v>6984</v>
      </c>
      <c r="HEJ10" t="s">
        <v>6984</v>
      </c>
      <c r="HEK10" t="s">
        <v>6984</v>
      </c>
      <c r="HEL10" t="s">
        <v>6984</v>
      </c>
      <c r="HEM10" t="s">
        <v>6984</v>
      </c>
      <c r="HEN10" t="s">
        <v>6984</v>
      </c>
      <c r="HEO10" t="s">
        <v>6984</v>
      </c>
      <c r="HEP10" t="s">
        <v>6984</v>
      </c>
      <c r="HEQ10" t="s">
        <v>6984</v>
      </c>
      <c r="HER10" t="s">
        <v>6984</v>
      </c>
      <c r="HES10" t="s">
        <v>6984</v>
      </c>
      <c r="HET10" t="s">
        <v>6984</v>
      </c>
      <c r="HEU10" t="s">
        <v>6984</v>
      </c>
      <c r="HEV10" t="s">
        <v>6984</v>
      </c>
      <c r="HEW10" t="s">
        <v>6984</v>
      </c>
      <c r="HEX10" t="s">
        <v>6984</v>
      </c>
      <c r="HEY10" t="s">
        <v>6984</v>
      </c>
      <c r="HEZ10" t="s">
        <v>6984</v>
      </c>
      <c r="HFA10" t="s">
        <v>6984</v>
      </c>
      <c r="HFB10" t="s">
        <v>6984</v>
      </c>
      <c r="HFC10" t="s">
        <v>6984</v>
      </c>
      <c r="HFD10" t="s">
        <v>6984</v>
      </c>
      <c r="HFE10" t="s">
        <v>6984</v>
      </c>
      <c r="HFF10" t="s">
        <v>6984</v>
      </c>
      <c r="HFG10" t="s">
        <v>6984</v>
      </c>
      <c r="HFH10" t="s">
        <v>6984</v>
      </c>
      <c r="HFI10" t="s">
        <v>6984</v>
      </c>
      <c r="HFJ10" t="s">
        <v>6984</v>
      </c>
      <c r="HFK10" t="s">
        <v>6984</v>
      </c>
      <c r="HFL10" t="s">
        <v>6984</v>
      </c>
      <c r="HFM10" t="s">
        <v>6984</v>
      </c>
      <c r="HFN10" t="s">
        <v>6984</v>
      </c>
      <c r="HFO10" t="s">
        <v>6984</v>
      </c>
      <c r="HFP10" t="s">
        <v>6984</v>
      </c>
      <c r="HFQ10" t="s">
        <v>6984</v>
      </c>
      <c r="HFR10" t="s">
        <v>6984</v>
      </c>
      <c r="HFS10" t="s">
        <v>6984</v>
      </c>
      <c r="HFT10" t="s">
        <v>6984</v>
      </c>
      <c r="HFU10" t="s">
        <v>6984</v>
      </c>
      <c r="HFV10" t="s">
        <v>6984</v>
      </c>
      <c r="HFW10" t="s">
        <v>6984</v>
      </c>
      <c r="HFX10" t="s">
        <v>6984</v>
      </c>
      <c r="HFY10" t="s">
        <v>6984</v>
      </c>
      <c r="HFZ10" t="s">
        <v>6984</v>
      </c>
      <c r="HGA10" t="s">
        <v>6984</v>
      </c>
      <c r="HGB10" t="s">
        <v>6984</v>
      </c>
      <c r="HGC10" t="s">
        <v>6984</v>
      </c>
      <c r="HGD10" t="s">
        <v>6984</v>
      </c>
      <c r="HGE10" t="s">
        <v>6984</v>
      </c>
      <c r="HGF10" t="s">
        <v>6984</v>
      </c>
      <c r="HGG10" t="s">
        <v>6984</v>
      </c>
      <c r="HGH10" t="s">
        <v>6984</v>
      </c>
      <c r="HGI10" t="s">
        <v>6984</v>
      </c>
      <c r="HGJ10" t="s">
        <v>6984</v>
      </c>
      <c r="HGK10" t="s">
        <v>6984</v>
      </c>
      <c r="HGL10" t="s">
        <v>6984</v>
      </c>
      <c r="HGM10" t="s">
        <v>6984</v>
      </c>
      <c r="HGN10" t="s">
        <v>6984</v>
      </c>
      <c r="HGO10" t="s">
        <v>6984</v>
      </c>
      <c r="HGP10" t="s">
        <v>6984</v>
      </c>
      <c r="HGQ10" t="s">
        <v>6984</v>
      </c>
      <c r="HGR10" t="s">
        <v>6984</v>
      </c>
      <c r="HGS10" t="s">
        <v>6984</v>
      </c>
      <c r="HGT10" t="s">
        <v>6984</v>
      </c>
      <c r="HGU10" t="s">
        <v>6984</v>
      </c>
      <c r="HGV10" t="s">
        <v>6984</v>
      </c>
      <c r="HGW10" t="s">
        <v>6984</v>
      </c>
      <c r="HGX10" t="s">
        <v>6984</v>
      </c>
      <c r="HGY10" t="s">
        <v>6984</v>
      </c>
      <c r="HGZ10" t="s">
        <v>6984</v>
      </c>
      <c r="HHA10" t="s">
        <v>6984</v>
      </c>
      <c r="HHB10" t="s">
        <v>6984</v>
      </c>
      <c r="HHC10" t="s">
        <v>6984</v>
      </c>
      <c r="HHD10" t="s">
        <v>6984</v>
      </c>
      <c r="HHE10" t="s">
        <v>6984</v>
      </c>
      <c r="HHF10" t="s">
        <v>6984</v>
      </c>
      <c r="HHG10" t="s">
        <v>6984</v>
      </c>
      <c r="HHH10" t="s">
        <v>6984</v>
      </c>
      <c r="HHI10" t="s">
        <v>6984</v>
      </c>
      <c r="HHJ10" t="s">
        <v>6984</v>
      </c>
      <c r="HHK10" t="s">
        <v>6984</v>
      </c>
      <c r="HHL10" t="s">
        <v>6984</v>
      </c>
      <c r="HHM10" t="s">
        <v>6984</v>
      </c>
      <c r="HHN10" t="s">
        <v>6984</v>
      </c>
      <c r="HHO10" t="s">
        <v>6984</v>
      </c>
      <c r="HHP10" t="s">
        <v>6984</v>
      </c>
      <c r="HHQ10" t="s">
        <v>6984</v>
      </c>
      <c r="HHR10" t="s">
        <v>6984</v>
      </c>
      <c r="HHS10" t="s">
        <v>6984</v>
      </c>
      <c r="HHT10" t="s">
        <v>6984</v>
      </c>
      <c r="HHU10" t="s">
        <v>6984</v>
      </c>
      <c r="HHV10" t="s">
        <v>6984</v>
      </c>
      <c r="HHW10" t="s">
        <v>6984</v>
      </c>
      <c r="HHX10" t="s">
        <v>6984</v>
      </c>
      <c r="HHY10" t="s">
        <v>6984</v>
      </c>
      <c r="HHZ10" t="s">
        <v>6984</v>
      </c>
      <c r="HIA10" t="s">
        <v>6984</v>
      </c>
      <c r="HIB10" t="s">
        <v>6984</v>
      </c>
      <c r="HIC10" t="s">
        <v>6984</v>
      </c>
      <c r="HID10" t="s">
        <v>6984</v>
      </c>
      <c r="HIE10" t="s">
        <v>6984</v>
      </c>
      <c r="HIF10" t="s">
        <v>6984</v>
      </c>
      <c r="HIG10" t="s">
        <v>6984</v>
      </c>
      <c r="HIH10" t="s">
        <v>6984</v>
      </c>
      <c r="HII10" t="s">
        <v>6984</v>
      </c>
      <c r="HIJ10" t="s">
        <v>6984</v>
      </c>
      <c r="HIK10" t="s">
        <v>6984</v>
      </c>
      <c r="HIL10" t="s">
        <v>6984</v>
      </c>
      <c r="HIM10" t="s">
        <v>6984</v>
      </c>
      <c r="HIN10" t="s">
        <v>6984</v>
      </c>
      <c r="HIO10" t="s">
        <v>6984</v>
      </c>
      <c r="HIP10" t="s">
        <v>6984</v>
      </c>
      <c r="HIQ10" t="s">
        <v>6984</v>
      </c>
      <c r="HIR10" t="s">
        <v>6984</v>
      </c>
      <c r="HIS10" t="s">
        <v>6984</v>
      </c>
      <c r="HIT10" t="s">
        <v>6984</v>
      </c>
      <c r="HIU10" t="s">
        <v>6984</v>
      </c>
      <c r="HIV10" t="s">
        <v>6984</v>
      </c>
      <c r="HIW10" t="s">
        <v>6984</v>
      </c>
      <c r="HIX10" t="s">
        <v>6984</v>
      </c>
      <c r="HIY10" t="s">
        <v>6984</v>
      </c>
      <c r="HIZ10" t="s">
        <v>6984</v>
      </c>
      <c r="HJA10" t="s">
        <v>6984</v>
      </c>
      <c r="HJB10" t="s">
        <v>6984</v>
      </c>
      <c r="HJC10" t="s">
        <v>6984</v>
      </c>
      <c r="HJD10" t="s">
        <v>6984</v>
      </c>
      <c r="HJE10" t="s">
        <v>6984</v>
      </c>
      <c r="HJF10" t="s">
        <v>6984</v>
      </c>
      <c r="HJG10" t="s">
        <v>6984</v>
      </c>
      <c r="HJH10" t="s">
        <v>6984</v>
      </c>
      <c r="HJI10" t="s">
        <v>6984</v>
      </c>
      <c r="HJJ10" t="s">
        <v>6984</v>
      </c>
      <c r="HJK10" t="s">
        <v>6984</v>
      </c>
      <c r="HJL10" t="s">
        <v>6984</v>
      </c>
      <c r="HJM10" t="s">
        <v>6984</v>
      </c>
      <c r="HJN10" t="s">
        <v>6984</v>
      </c>
      <c r="HJO10" t="s">
        <v>6984</v>
      </c>
      <c r="HJP10" t="s">
        <v>6984</v>
      </c>
      <c r="HJQ10" t="s">
        <v>6984</v>
      </c>
      <c r="HJR10" t="s">
        <v>6984</v>
      </c>
      <c r="HJS10" t="s">
        <v>6984</v>
      </c>
      <c r="HJT10" t="s">
        <v>6984</v>
      </c>
      <c r="HJU10" t="s">
        <v>6984</v>
      </c>
      <c r="HJV10" t="s">
        <v>6984</v>
      </c>
      <c r="HJW10" t="s">
        <v>6984</v>
      </c>
      <c r="HJX10" t="s">
        <v>6984</v>
      </c>
      <c r="HJY10" t="s">
        <v>6984</v>
      </c>
      <c r="HJZ10" t="s">
        <v>6984</v>
      </c>
      <c r="HKA10" t="s">
        <v>6984</v>
      </c>
      <c r="HKB10" t="s">
        <v>6984</v>
      </c>
      <c r="HKC10" t="s">
        <v>6984</v>
      </c>
      <c r="HKD10" t="s">
        <v>6984</v>
      </c>
      <c r="HKE10" t="s">
        <v>6984</v>
      </c>
      <c r="HKF10" t="s">
        <v>6984</v>
      </c>
      <c r="HKG10" t="s">
        <v>6984</v>
      </c>
      <c r="HKH10" t="s">
        <v>6984</v>
      </c>
      <c r="HKI10" t="s">
        <v>6984</v>
      </c>
      <c r="HKJ10" t="s">
        <v>6984</v>
      </c>
      <c r="HKK10" t="s">
        <v>6984</v>
      </c>
      <c r="HKL10" t="s">
        <v>6984</v>
      </c>
      <c r="HKM10" t="s">
        <v>6984</v>
      </c>
      <c r="HKN10" t="s">
        <v>6984</v>
      </c>
      <c r="HKO10" t="s">
        <v>6984</v>
      </c>
      <c r="HKP10" t="s">
        <v>6984</v>
      </c>
      <c r="HKQ10" t="s">
        <v>6984</v>
      </c>
      <c r="HKR10" t="s">
        <v>6984</v>
      </c>
      <c r="HKS10" t="s">
        <v>6984</v>
      </c>
      <c r="HKT10" t="s">
        <v>6984</v>
      </c>
      <c r="HKU10" t="s">
        <v>6984</v>
      </c>
      <c r="HKV10" t="s">
        <v>6984</v>
      </c>
      <c r="HKW10" t="s">
        <v>6984</v>
      </c>
      <c r="HKX10" t="s">
        <v>6984</v>
      </c>
      <c r="HKY10" t="s">
        <v>6984</v>
      </c>
      <c r="HKZ10" t="s">
        <v>6984</v>
      </c>
      <c r="HLA10" t="s">
        <v>6984</v>
      </c>
      <c r="HLB10" t="s">
        <v>6984</v>
      </c>
      <c r="HLC10" t="s">
        <v>6984</v>
      </c>
      <c r="HLD10" t="s">
        <v>6984</v>
      </c>
      <c r="HLE10" t="s">
        <v>6984</v>
      </c>
      <c r="HLF10" t="s">
        <v>6984</v>
      </c>
      <c r="HLG10" t="s">
        <v>6984</v>
      </c>
      <c r="HLH10" t="s">
        <v>6984</v>
      </c>
      <c r="HLI10" t="s">
        <v>6984</v>
      </c>
      <c r="HLJ10" t="s">
        <v>6984</v>
      </c>
      <c r="HLK10" t="s">
        <v>6984</v>
      </c>
      <c r="HLL10" t="s">
        <v>6984</v>
      </c>
      <c r="HLM10" t="s">
        <v>6984</v>
      </c>
      <c r="HLN10" t="s">
        <v>6984</v>
      </c>
      <c r="HLO10" t="s">
        <v>6984</v>
      </c>
      <c r="HLP10" t="s">
        <v>6984</v>
      </c>
      <c r="HLQ10" t="s">
        <v>6984</v>
      </c>
      <c r="HLR10" t="s">
        <v>6984</v>
      </c>
      <c r="HLS10" t="s">
        <v>6984</v>
      </c>
      <c r="HLT10" t="s">
        <v>6984</v>
      </c>
      <c r="HLU10" t="s">
        <v>6984</v>
      </c>
      <c r="HLV10" t="s">
        <v>6984</v>
      </c>
      <c r="HLW10" t="s">
        <v>6984</v>
      </c>
      <c r="HLX10" t="s">
        <v>6984</v>
      </c>
      <c r="HLY10" t="s">
        <v>6984</v>
      </c>
      <c r="HLZ10" t="s">
        <v>6984</v>
      </c>
      <c r="HMA10" t="s">
        <v>6984</v>
      </c>
      <c r="HMB10" t="s">
        <v>6984</v>
      </c>
      <c r="HMC10" t="s">
        <v>6984</v>
      </c>
      <c r="HMD10" t="s">
        <v>6984</v>
      </c>
      <c r="HME10" t="s">
        <v>6984</v>
      </c>
      <c r="HMF10" t="s">
        <v>6984</v>
      </c>
      <c r="HMG10" t="s">
        <v>6984</v>
      </c>
      <c r="HMH10" t="s">
        <v>6984</v>
      </c>
      <c r="HMI10" t="s">
        <v>6984</v>
      </c>
      <c r="HMJ10" t="s">
        <v>6984</v>
      </c>
      <c r="HMK10" t="s">
        <v>6984</v>
      </c>
      <c r="HML10" t="s">
        <v>6984</v>
      </c>
      <c r="HMM10" t="s">
        <v>6984</v>
      </c>
      <c r="HMN10" t="s">
        <v>6984</v>
      </c>
      <c r="HMO10" t="s">
        <v>6984</v>
      </c>
      <c r="HMP10" t="s">
        <v>6984</v>
      </c>
      <c r="HMQ10" t="s">
        <v>6984</v>
      </c>
      <c r="HMR10" t="s">
        <v>6984</v>
      </c>
      <c r="HMS10" t="s">
        <v>6984</v>
      </c>
      <c r="HMT10" t="s">
        <v>6984</v>
      </c>
      <c r="HMU10" t="s">
        <v>6984</v>
      </c>
      <c r="HMV10" t="s">
        <v>6984</v>
      </c>
      <c r="HMW10" t="s">
        <v>6984</v>
      </c>
      <c r="HMX10" t="s">
        <v>6984</v>
      </c>
      <c r="HMY10" t="s">
        <v>6984</v>
      </c>
      <c r="HMZ10" t="s">
        <v>6984</v>
      </c>
      <c r="HNA10" t="s">
        <v>6984</v>
      </c>
      <c r="HNB10" t="s">
        <v>6984</v>
      </c>
      <c r="HNC10" t="s">
        <v>6984</v>
      </c>
      <c r="HND10" t="s">
        <v>6984</v>
      </c>
      <c r="HNE10" t="s">
        <v>6984</v>
      </c>
      <c r="HNF10" t="s">
        <v>6984</v>
      </c>
      <c r="HNG10" t="s">
        <v>6984</v>
      </c>
      <c r="HNH10" t="s">
        <v>6984</v>
      </c>
      <c r="HNI10" t="s">
        <v>6984</v>
      </c>
      <c r="HNJ10" t="s">
        <v>6984</v>
      </c>
      <c r="HNK10" t="s">
        <v>6984</v>
      </c>
      <c r="HNL10" t="s">
        <v>6984</v>
      </c>
      <c r="HNM10" t="s">
        <v>6984</v>
      </c>
      <c r="HNN10" t="s">
        <v>6984</v>
      </c>
      <c r="HNO10" t="s">
        <v>6984</v>
      </c>
      <c r="HNP10" t="s">
        <v>6984</v>
      </c>
      <c r="HNQ10" t="s">
        <v>6984</v>
      </c>
      <c r="HNR10" t="s">
        <v>6984</v>
      </c>
      <c r="HNS10" t="s">
        <v>6984</v>
      </c>
      <c r="HNT10" t="s">
        <v>6984</v>
      </c>
      <c r="HNU10" t="s">
        <v>6984</v>
      </c>
      <c r="HNV10" t="s">
        <v>6984</v>
      </c>
      <c r="HNW10" t="s">
        <v>6984</v>
      </c>
      <c r="HNX10" t="s">
        <v>6984</v>
      </c>
      <c r="HNY10" t="s">
        <v>6984</v>
      </c>
      <c r="HNZ10" t="s">
        <v>6984</v>
      </c>
      <c r="HOA10" t="s">
        <v>6984</v>
      </c>
      <c r="HOB10" t="s">
        <v>6984</v>
      </c>
      <c r="HOC10" t="s">
        <v>6984</v>
      </c>
      <c r="HOD10" t="s">
        <v>6984</v>
      </c>
      <c r="HOE10" t="s">
        <v>6984</v>
      </c>
      <c r="HOF10" t="s">
        <v>6984</v>
      </c>
      <c r="HOG10" t="s">
        <v>6984</v>
      </c>
      <c r="HOH10" t="s">
        <v>6984</v>
      </c>
      <c r="HOI10" t="s">
        <v>6984</v>
      </c>
      <c r="HOJ10" t="s">
        <v>6984</v>
      </c>
      <c r="HOK10" t="s">
        <v>6984</v>
      </c>
      <c r="HOL10" t="s">
        <v>6984</v>
      </c>
      <c r="HOM10" t="s">
        <v>6984</v>
      </c>
      <c r="HON10" t="s">
        <v>6984</v>
      </c>
      <c r="HOO10" t="s">
        <v>6984</v>
      </c>
      <c r="HOP10" t="s">
        <v>6984</v>
      </c>
      <c r="HOQ10" t="s">
        <v>6984</v>
      </c>
      <c r="HOR10" t="s">
        <v>6984</v>
      </c>
      <c r="HOS10" t="s">
        <v>6984</v>
      </c>
      <c r="HOT10" t="s">
        <v>6984</v>
      </c>
      <c r="HOU10" t="s">
        <v>6984</v>
      </c>
      <c r="HOV10" t="s">
        <v>6984</v>
      </c>
      <c r="HOW10" t="s">
        <v>6984</v>
      </c>
      <c r="HOX10" t="s">
        <v>6984</v>
      </c>
      <c r="HOY10" t="s">
        <v>6984</v>
      </c>
      <c r="HOZ10" t="s">
        <v>6984</v>
      </c>
      <c r="HPA10" t="s">
        <v>6984</v>
      </c>
      <c r="HPB10" t="s">
        <v>6984</v>
      </c>
      <c r="HPC10" t="s">
        <v>6984</v>
      </c>
      <c r="HPD10" t="s">
        <v>6984</v>
      </c>
      <c r="HPE10" t="s">
        <v>6984</v>
      </c>
      <c r="HPF10" t="s">
        <v>6984</v>
      </c>
      <c r="HPG10" t="s">
        <v>6984</v>
      </c>
      <c r="HPH10" t="s">
        <v>6984</v>
      </c>
      <c r="HPI10" t="s">
        <v>6984</v>
      </c>
      <c r="HPJ10" t="s">
        <v>6984</v>
      </c>
      <c r="HPK10" t="s">
        <v>6984</v>
      </c>
      <c r="HPL10" t="s">
        <v>6984</v>
      </c>
      <c r="HPM10" t="s">
        <v>6984</v>
      </c>
      <c r="HPN10" t="s">
        <v>6984</v>
      </c>
      <c r="HPO10" t="s">
        <v>6984</v>
      </c>
      <c r="HPP10" t="s">
        <v>6984</v>
      </c>
      <c r="HPQ10" t="s">
        <v>6984</v>
      </c>
      <c r="HPR10" t="s">
        <v>6984</v>
      </c>
      <c r="HPS10" t="s">
        <v>6984</v>
      </c>
      <c r="HPT10" t="s">
        <v>6984</v>
      </c>
      <c r="HPU10" t="s">
        <v>6984</v>
      </c>
      <c r="HPV10" t="s">
        <v>6984</v>
      </c>
      <c r="HPW10" t="s">
        <v>6984</v>
      </c>
      <c r="HPX10" t="s">
        <v>6984</v>
      </c>
      <c r="HPY10" t="s">
        <v>6984</v>
      </c>
      <c r="HPZ10" t="s">
        <v>6984</v>
      </c>
      <c r="HQA10" t="s">
        <v>6984</v>
      </c>
      <c r="HQB10" t="s">
        <v>6984</v>
      </c>
      <c r="HQC10" t="s">
        <v>6984</v>
      </c>
      <c r="HQD10" t="s">
        <v>6984</v>
      </c>
      <c r="HQE10" t="s">
        <v>6984</v>
      </c>
      <c r="HQF10" t="s">
        <v>6984</v>
      </c>
      <c r="HQG10" t="s">
        <v>6984</v>
      </c>
      <c r="HQH10" t="s">
        <v>6984</v>
      </c>
      <c r="HQI10" t="s">
        <v>6984</v>
      </c>
      <c r="HQJ10" t="s">
        <v>6984</v>
      </c>
      <c r="HQK10" t="s">
        <v>6984</v>
      </c>
      <c r="HQL10" t="s">
        <v>6984</v>
      </c>
      <c r="HQM10" t="s">
        <v>6984</v>
      </c>
      <c r="HQN10" t="s">
        <v>6984</v>
      </c>
      <c r="HQO10" t="s">
        <v>6984</v>
      </c>
      <c r="HQP10" t="s">
        <v>6984</v>
      </c>
      <c r="HQQ10" t="s">
        <v>6984</v>
      </c>
      <c r="HQR10" t="s">
        <v>6984</v>
      </c>
      <c r="HQS10" t="s">
        <v>6984</v>
      </c>
      <c r="HQT10" t="s">
        <v>6984</v>
      </c>
      <c r="HQU10" t="s">
        <v>6984</v>
      </c>
      <c r="HQV10" t="s">
        <v>6984</v>
      </c>
      <c r="HQW10" t="s">
        <v>6984</v>
      </c>
      <c r="HQX10" t="s">
        <v>6984</v>
      </c>
      <c r="HQY10" t="s">
        <v>6984</v>
      </c>
      <c r="HQZ10" t="s">
        <v>6984</v>
      </c>
      <c r="HRA10" t="s">
        <v>6984</v>
      </c>
      <c r="HRB10" t="s">
        <v>6984</v>
      </c>
      <c r="HRC10" t="s">
        <v>6984</v>
      </c>
      <c r="HRD10" t="s">
        <v>6984</v>
      </c>
      <c r="HRE10" t="s">
        <v>6984</v>
      </c>
      <c r="HRF10" t="s">
        <v>6984</v>
      </c>
      <c r="HRG10" t="s">
        <v>6984</v>
      </c>
      <c r="HRH10" t="s">
        <v>6984</v>
      </c>
      <c r="HRI10" t="s">
        <v>6984</v>
      </c>
      <c r="HRJ10" t="s">
        <v>6984</v>
      </c>
      <c r="HRK10" t="s">
        <v>6984</v>
      </c>
      <c r="HRL10" t="s">
        <v>6984</v>
      </c>
      <c r="HRM10" t="s">
        <v>6984</v>
      </c>
      <c r="HRN10" t="s">
        <v>6984</v>
      </c>
      <c r="HRO10" t="s">
        <v>6984</v>
      </c>
      <c r="HRP10" t="s">
        <v>6984</v>
      </c>
      <c r="HRQ10" t="s">
        <v>6984</v>
      </c>
      <c r="HRR10" t="s">
        <v>6984</v>
      </c>
      <c r="HRS10" t="s">
        <v>6984</v>
      </c>
      <c r="HRT10" t="s">
        <v>6984</v>
      </c>
      <c r="HRU10" t="s">
        <v>6984</v>
      </c>
      <c r="HRV10" t="s">
        <v>6984</v>
      </c>
      <c r="HRW10" t="s">
        <v>6984</v>
      </c>
      <c r="HRX10" t="s">
        <v>6984</v>
      </c>
      <c r="HRY10" t="s">
        <v>6984</v>
      </c>
      <c r="HRZ10" t="s">
        <v>6984</v>
      </c>
      <c r="HSA10" t="s">
        <v>6984</v>
      </c>
      <c r="HSB10" t="s">
        <v>6984</v>
      </c>
      <c r="HSC10" t="s">
        <v>6984</v>
      </c>
      <c r="HSD10" t="s">
        <v>6984</v>
      </c>
      <c r="HSE10" t="s">
        <v>6984</v>
      </c>
      <c r="HSF10" t="s">
        <v>6984</v>
      </c>
      <c r="HSG10" t="s">
        <v>6984</v>
      </c>
      <c r="HSH10" t="s">
        <v>6984</v>
      </c>
      <c r="HSI10" t="s">
        <v>6984</v>
      </c>
      <c r="HSJ10" t="s">
        <v>6984</v>
      </c>
      <c r="HSK10" t="s">
        <v>6984</v>
      </c>
      <c r="HSL10" t="s">
        <v>6984</v>
      </c>
      <c r="HSM10" t="s">
        <v>6984</v>
      </c>
      <c r="HSN10" t="s">
        <v>6984</v>
      </c>
      <c r="HSO10" t="s">
        <v>6984</v>
      </c>
      <c r="HSP10" t="s">
        <v>6984</v>
      </c>
      <c r="HSQ10" t="s">
        <v>6984</v>
      </c>
      <c r="HSR10" t="s">
        <v>6984</v>
      </c>
      <c r="HSS10" t="s">
        <v>6984</v>
      </c>
      <c r="HST10" t="s">
        <v>6984</v>
      </c>
      <c r="HSU10" t="s">
        <v>6984</v>
      </c>
      <c r="HSV10" t="s">
        <v>6984</v>
      </c>
      <c r="HSW10" t="s">
        <v>6984</v>
      </c>
      <c r="HSX10" t="s">
        <v>6984</v>
      </c>
      <c r="HSY10" t="s">
        <v>6984</v>
      </c>
      <c r="HSZ10" t="s">
        <v>6984</v>
      </c>
      <c r="HTA10" t="s">
        <v>6984</v>
      </c>
      <c r="HTB10" t="s">
        <v>6984</v>
      </c>
      <c r="HTC10" t="s">
        <v>6984</v>
      </c>
      <c r="HTD10" t="s">
        <v>6984</v>
      </c>
      <c r="HTE10" t="s">
        <v>6984</v>
      </c>
      <c r="HTF10" t="s">
        <v>6984</v>
      </c>
      <c r="HTG10" t="s">
        <v>6984</v>
      </c>
      <c r="HTH10" t="s">
        <v>6984</v>
      </c>
      <c r="HTI10" t="s">
        <v>6984</v>
      </c>
      <c r="HTJ10" t="s">
        <v>6984</v>
      </c>
      <c r="HTK10" t="s">
        <v>6984</v>
      </c>
      <c r="HTL10" t="s">
        <v>6984</v>
      </c>
      <c r="HTM10" t="s">
        <v>6984</v>
      </c>
      <c r="HTN10" t="s">
        <v>6984</v>
      </c>
      <c r="HTO10" t="s">
        <v>6984</v>
      </c>
      <c r="HTP10" t="s">
        <v>6984</v>
      </c>
      <c r="HTQ10" t="s">
        <v>6984</v>
      </c>
      <c r="HTR10" t="s">
        <v>6984</v>
      </c>
      <c r="HTS10" t="s">
        <v>6984</v>
      </c>
      <c r="HTT10" t="s">
        <v>6984</v>
      </c>
      <c r="HTU10" t="s">
        <v>6984</v>
      </c>
      <c r="HTV10" t="s">
        <v>6984</v>
      </c>
      <c r="HTW10" t="s">
        <v>6984</v>
      </c>
      <c r="HTX10" t="s">
        <v>6984</v>
      </c>
      <c r="HTY10" t="s">
        <v>6984</v>
      </c>
      <c r="HTZ10" t="s">
        <v>6984</v>
      </c>
      <c r="HUA10" t="s">
        <v>6984</v>
      </c>
      <c r="HUB10" t="s">
        <v>6984</v>
      </c>
      <c r="HUC10" t="s">
        <v>6984</v>
      </c>
      <c r="HUD10" t="s">
        <v>6984</v>
      </c>
      <c r="HUE10" t="s">
        <v>6984</v>
      </c>
      <c r="HUF10" t="s">
        <v>6984</v>
      </c>
      <c r="HUG10" t="s">
        <v>6984</v>
      </c>
      <c r="HUH10" t="s">
        <v>6984</v>
      </c>
      <c r="HUI10" t="s">
        <v>6984</v>
      </c>
      <c r="HUJ10" t="s">
        <v>6984</v>
      </c>
      <c r="HUK10" t="s">
        <v>6984</v>
      </c>
      <c r="HUL10" t="s">
        <v>6984</v>
      </c>
      <c r="HUM10" t="s">
        <v>6984</v>
      </c>
      <c r="HUN10" t="s">
        <v>6984</v>
      </c>
      <c r="HUO10" t="s">
        <v>6984</v>
      </c>
      <c r="HUP10" t="s">
        <v>6984</v>
      </c>
      <c r="HUQ10" t="s">
        <v>6984</v>
      </c>
      <c r="HUR10" t="s">
        <v>6984</v>
      </c>
      <c r="HUS10" t="s">
        <v>6984</v>
      </c>
      <c r="HUT10" t="s">
        <v>6984</v>
      </c>
      <c r="HUU10" t="s">
        <v>6984</v>
      </c>
      <c r="HUV10" t="s">
        <v>6984</v>
      </c>
      <c r="HUW10" t="s">
        <v>6984</v>
      </c>
      <c r="HUX10" t="s">
        <v>6984</v>
      </c>
      <c r="HUY10" t="s">
        <v>6984</v>
      </c>
      <c r="HUZ10" t="s">
        <v>6984</v>
      </c>
      <c r="HVA10" t="s">
        <v>6984</v>
      </c>
      <c r="HVB10" t="s">
        <v>6984</v>
      </c>
      <c r="HVC10" t="s">
        <v>6984</v>
      </c>
      <c r="HVD10" t="s">
        <v>6984</v>
      </c>
      <c r="HVE10" t="s">
        <v>6984</v>
      </c>
      <c r="HVF10" t="s">
        <v>6984</v>
      </c>
      <c r="HVG10" t="s">
        <v>6984</v>
      </c>
      <c r="HVH10" t="s">
        <v>6984</v>
      </c>
      <c r="HVI10" t="s">
        <v>6984</v>
      </c>
      <c r="HVJ10" t="s">
        <v>6984</v>
      </c>
      <c r="HVK10" t="s">
        <v>6984</v>
      </c>
      <c r="HVL10" t="s">
        <v>6984</v>
      </c>
      <c r="HVM10" t="s">
        <v>6984</v>
      </c>
      <c r="HVN10" t="s">
        <v>6984</v>
      </c>
      <c r="HVO10" t="s">
        <v>6984</v>
      </c>
      <c r="HVP10" t="s">
        <v>6984</v>
      </c>
      <c r="HVQ10" t="s">
        <v>6984</v>
      </c>
      <c r="HVR10" t="s">
        <v>6984</v>
      </c>
      <c r="HVS10" t="s">
        <v>6984</v>
      </c>
      <c r="HVT10" t="s">
        <v>6984</v>
      </c>
      <c r="HVU10" t="s">
        <v>6984</v>
      </c>
      <c r="HVV10" t="s">
        <v>6984</v>
      </c>
      <c r="HVW10" t="s">
        <v>6984</v>
      </c>
      <c r="HVX10" t="s">
        <v>6984</v>
      </c>
      <c r="HVY10" t="s">
        <v>6984</v>
      </c>
      <c r="HVZ10" t="s">
        <v>6984</v>
      </c>
      <c r="HWA10" t="s">
        <v>6984</v>
      </c>
      <c r="HWB10" t="s">
        <v>6984</v>
      </c>
      <c r="HWC10" t="s">
        <v>6984</v>
      </c>
      <c r="HWD10" t="s">
        <v>6984</v>
      </c>
      <c r="HWE10" t="s">
        <v>6984</v>
      </c>
      <c r="HWF10" t="s">
        <v>6984</v>
      </c>
      <c r="HWG10" t="s">
        <v>6984</v>
      </c>
      <c r="HWH10" t="s">
        <v>6984</v>
      </c>
      <c r="HWI10" t="s">
        <v>6984</v>
      </c>
      <c r="HWJ10" t="s">
        <v>6984</v>
      </c>
      <c r="HWK10" t="s">
        <v>6984</v>
      </c>
      <c r="HWL10" t="s">
        <v>6984</v>
      </c>
      <c r="HWM10" t="s">
        <v>6984</v>
      </c>
      <c r="HWN10" t="s">
        <v>6984</v>
      </c>
      <c r="HWO10" t="s">
        <v>6984</v>
      </c>
      <c r="HWP10" t="s">
        <v>6984</v>
      </c>
      <c r="HWQ10" t="s">
        <v>6984</v>
      </c>
      <c r="HWR10" t="s">
        <v>6984</v>
      </c>
      <c r="HWS10" t="s">
        <v>6984</v>
      </c>
      <c r="HWT10" t="s">
        <v>6984</v>
      </c>
      <c r="HWU10" t="s">
        <v>6984</v>
      </c>
      <c r="HWV10" t="s">
        <v>6984</v>
      </c>
      <c r="HWW10" t="s">
        <v>6984</v>
      </c>
      <c r="HWX10" t="s">
        <v>6984</v>
      </c>
      <c r="HWY10" t="s">
        <v>6984</v>
      </c>
      <c r="HWZ10" t="s">
        <v>6984</v>
      </c>
      <c r="HXA10" t="s">
        <v>6984</v>
      </c>
      <c r="HXB10" t="s">
        <v>6984</v>
      </c>
      <c r="HXC10" t="s">
        <v>6984</v>
      </c>
      <c r="HXD10" t="s">
        <v>6984</v>
      </c>
      <c r="HXE10" t="s">
        <v>6984</v>
      </c>
      <c r="HXF10" t="s">
        <v>6984</v>
      </c>
      <c r="HXG10" t="s">
        <v>6984</v>
      </c>
      <c r="HXH10" t="s">
        <v>6984</v>
      </c>
      <c r="HXI10" t="s">
        <v>6984</v>
      </c>
      <c r="HXJ10" t="s">
        <v>6984</v>
      </c>
      <c r="HXK10" t="s">
        <v>6984</v>
      </c>
      <c r="HXL10" t="s">
        <v>6984</v>
      </c>
      <c r="HXM10" t="s">
        <v>6984</v>
      </c>
      <c r="HXN10" t="s">
        <v>6984</v>
      </c>
      <c r="HXO10" t="s">
        <v>6984</v>
      </c>
      <c r="HXP10" t="s">
        <v>6984</v>
      </c>
      <c r="HXQ10" t="s">
        <v>6984</v>
      </c>
      <c r="HXR10" t="s">
        <v>6984</v>
      </c>
      <c r="HXS10" t="s">
        <v>6984</v>
      </c>
      <c r="HXT10" t="s">
        <v>6984</v>
      </c>
      <c r="HXU10" t="s">
        <v>6984</v>
      </c>
      <c r="HXV10" t="s">
        <v>6984</v>
      </c>
      <c r="HXW10" t="s">
        <v>6984</v>
      </c>
      <c r="HXX10" t="s">
        <v>6984</v>
      </c>
      <c r="HXY10" t="s">
        <v>6984</v>
      </c>
      <c r="HXZ10" t="s">
        <v>6984</v>
      </c>
      <c r="HYA10" t="s">
        <v>6984</v>
      </c>
      <c r="HYB10" t="s">
        <v>6984</v>
      </c>
      <c r="HYC10" t="s">
        <v>6984</v>
      </c>
      <c r="HYD10" t="s">
        <v>6984</v>
      </c>
      <c r="HYE10" t="s">
        <v>6984</v>
      </c>
      <c r="HYF10" t="s">
        <v>6984</v>
      </c>
      <c r="HYG10" t="s">
        <v>6984</v>
      </c>
      <c r="HYH10" t="s">
        <v>6984</v>
      </c>
      <c r="HYI10" t="s">
        <v>6984</v>
      </c>
      <c r="HYJ10" t="s">
        <v>6984</v>
      </c>
      <c r="HYK10" t="s">
        <v>6984</v>
      </c>
      <c r="HYL10" t="s">
        <v>6984</v>
      </c>
      <c r="HYM10" t="s">
        <v>6984</v>
      </c>
      <c r="HYN10" t="s">
        <v>6984</v>
      </c>
      <c r="HYO10" t="s">
        <v>6984</v>
      </c>
      <c r="HYP10" t="s">
        <v>6984</v>
      </c>
      <c r="HYQ10" t="s">
        <v>6984</v>
      </c>
      <c r="HYR10" t="s">
        <v>6984</v>
      </c>
      <c r="HYS10" t="s">
        <v>6984</v>
      </c>
      <c r="HYT10" t="s">
        <v>6984</v>
      </c>
      <c r="HYU10" t="s">
        <v>6984</v>
      </c>
      <c r="HYV10" t="s">
        <v>6984</v>
      </c>
      <c r="HYW10" t="s">
        <v>6984</v>
      </c>
      <c r="HYX10" t="s">
        <v>6984</v>
      </c>
      <c r="HYY10" t="s">
        <v>6984</v>
      </c>
      <c r="HYZ10" t="s">
        <v>6984</v>
      </c>
      <c r="HZA10" t="s">
        <v>6984</v>
      </c>
      <c r="HZB10" t="s">
        <v>6984</v>
      </c>
      <c r="HZC10" t="s">
        <v>6984</v>
      </c>
      <c r="HZD10" t="s">
        <v>6984</v>
      </c>
      <c r="HZE10" t="s">
        <v>6984</v>
      </c>
      <c r="HZF10" t="s">
        <v>6984</v>
      </c>
      <c r="HZG10" t="s">
        <v>6984</v>
      </c>
      <c r="HZH10" t="s">
        <v>6984</v>
      </c>
      <c r="HZI10" t="s">
        <v>6984</v>
      </c>
      <c r="HZJ10" t="s">
        <v>6984</v>
      </c>
      <c r="HZK10" t="s">
        <v>6984</v>
      </c>
      <c r="HZL10" t="s">
        <v>6984</v>
      </c>
      <c r="HZM10" t="s">
        <v>6984</v>
      </c>
      <c r="HZN10" t="s">
        <v>6984</v>
      </c>
      <c r="HZO10" t="s">
        <v>6984</v>
      </c>
      <c r="HZP10" t="s">
        <v>6984</v>
      </c>
      <c r="HZQ10" t="s">
        <v>6984</v>
      </c>
      <c r="HZR10" t="s">
        <v>6984</v>
      </c>
      <c r="HZS10" t="s">
        <v>6984</v>
      </c>
      <c r="HZT10" t="s">
        <v>6984</v>
      </c>
      <c r="HZU10" t="s">
        <v>6984</v>
      </c>
      <c r="HZV10" t="s">
        <v>6984</v>
      </c>
      <c r="HZW10" t="s">
        <v>6984</v>
      </c>
      <c r="HZX10" t="s">
        <v>6984</v>
      </c>
      <c r="HZY10" t="s">
        <v>6984</v>
      </c>
      <c r="HZZ10" t="s">
        <v>6984</v>
      </c>
      <c r="IAA10" t="s">
        <v>6984</v>
      </c>
      <c r="IAB10" t="s">
        <v>6984</v>
      </c>
      <c r="IAC10" t="s">
        <v>6984</v>
      </c>
      <c r="IAD10" t="s">
        <v>6984</v>
      </c>
      <c r="IAE10" t="s">
        <v>6984</v>
      </c>
      <c r="IAF10" t="s">
        <v>6984</v>
      </c>
      <c r="IAG10" t="s">
        <v>6984</v>
      </c>
      <c r="IAH10" t="s">
        <v>6984</v>
      </c>
      <c r="IAI10" t="s">
        <v>6984</v>
      </c>
      <c r="IAJ10" t="s">
        <v>6984</v>
      </c>
      <c r="IAK10" t="s">
        <v>6984</v>
      </c>
      <c r="IAL10" t="s">
        <v>6984</v>
      </c>
      <c r="IAM10" t="s">
        <v>6984</v>
      </c>
      <c r="IAN10" t="s">
        <v>6984</v>
      </c>
      <c r="IAO10" t="s">
        <v>6984</v>
      </c>
      <c r="IAP10" t="s">
        <v>6984</v>
      </c>
      <c r="IAQ10" t="s">
        <v>6984</v>
      </c>
      <c r="IAR10" t="s">
        <v>6984</v>
      </c>
      <c r="IAS10" t="s">
        <v>6984</v>
      </c>
      <c r="IAT10" t="s">
        <v>6984</v>
      </c>
      <c r="IAU10" t="s">
        <v>6984</v>
      </c>
      <c r="IAV10" t="s">
        <v>6984</v>
      </c>
      <c r="IAW10" t="s">
        <v>6984</v>
      </c>
      <c r="IAX10" t="s">
        <v>6984</v>
      </c>
      <c r="IAY10" t="s">
        <v>6984</v>
      </c>
      <c r="IAZ10" t="s">
        <v>6984</v>
      </c>
      <c r="IBA10" t="s">
        <v>6984</v>
      </c>
      <c r="IBB10" t="s">
        <v>6984</v>
      </c>
      <c r="IBC10" t="s">
        <v>6984</v>
      </c>
      <c r="IBD10" t="s">
        <v>6984</v>
      </c>
      <c r="IBE10" t="s">
        <v>6984</v>
      </c>
      <c r="IBF10" t="s">
        <v>6984</v>
      </c>
      <c r="IBG10" t="s">
        <v>6984</v>
      </c>
      <c r="IBH10" t="s">
        <v>6984</v>
      </c>
      <c r="IBI10" t="s">
        <v>6984</v>
      </c>
      <c r="IBJ10" t="s">
        <v>6984</v>
      </c>
      <c r="IBK10" t="s">
        <v>6984</v>
      </c>
      <c r="IBL10" t="s">
        <v>6984</v>
      </c>
      <c r="IBM10" t="s">
        <v>6984</v>
      </c>
      <c r="IBN10" t="s">
        <v>6984</v>
      </c>
      <c r="IBO10" t="s">
        <v>6984</v>
      </c>
      <c r="IBP10" t="s">
        <v>6984</v>
      </c>
      <c r="IBQ10" t="s">
        <v>6984</v>
      </c>
      <c r="IBR10" t="s">
        <v>6984</v>
      </c>
      <c r="IBS10" t="s">
        <v>6984</v>
      </c>
      <c r="IBT10" t="s">
        <v>6984</v>
      </c>
      <c r="IBU10" t="s">
        <v>6984</v>
      </c>
      <c r="IBV10" t="s">
        <v>6984</v>
      </c>
      <c r="IBW10" t="s">
        <v>6984</v>
      </c>
      <c r="IBX10" t="s">
        <v>6984</v>
      </c>
      <c r="IBY10" t="s">
        <v>6984</v>
      </c>
      <c r="IBZ10" t="s">
        <v>6984</v>
      </c>
      <c r="ICA10" t="s">
        <v>6984</v>
      </c>
      <c r="ICB10" t="s">
        <v>6984</v>
      </c>
      <c r="ICC10" t="s">
        <v>6984</v>
      </c>
      <c r="ICD10" t="s">
        <v>6984</v>
      </c>
      <c r="ICE10" t="s">
        <v>6984</v>
      </c>
      <c r="ICF10" t="s">
        <v>6984</v>
      </c>
      <c r="ICG10" t="s">
        <v>6984</v>
      </c>
      <c r="ICH10" t="s">
        <v>6984</v>
      </c>
      <c r="ICI10" t="s">
        <v>6984</v>
      </c>
      <c r="ICJ10" t="s">
        <v>6984</v>
      </c>
      <c r="ICK10" t="s">
        <v>6984</v>
      </c>
      <c r="ICL10" t="s">
        <v>6984</v>
      </c>
      <c r="ICM10" t="s">
        <v>6984</v>
      </c>
      <c r="ICN10" t="s">
        <v>6984</v>
      </c>
      <c r="ICO10" t="s">
        <v>6984</v>
      </c>
      <c r="ICP10" t="s">
        <v>6984</v>
      </c>
      <c r="ICQ10" t="s">
        <v>6984</v>
      </c>
      <c r="ICR10" t="s">
        <v>6984</v>
      </c>
      <c r="ICS10" t="s">
        <v>6984</v>
      </c>
      <c r="ICT10" t="s">
        <v>6984</v>
      </c>
      <c r="ICU10" t="s">
        <v>6984</v>
      </c>
      <c r="ICV10" t="s">
        <v>6984</v>
      </c>
      <c r="ICW10" t="s">
        <v>6984</v>
      </c>
      <c r="ICX10" t="s">
        <v>6984</v>
      </c>
      <c r="ICY10" t="s">
        <v>6984</v>
      </c>
      <c r="ICZ10" t="s">
        <v>6984</v>
      </c>
      <c r="IDA10" t="s">
        <v>6984</v>
      </c>
      <c r="IDB10" t="s">
        <v>6984</v>
      </c>
      <c r="IDC10" t="s">
        <v>6984</v>
      </c>
      <c r="IDD10" t="s">
        <v>6984</v>
      </c>
      <c r="IDE10" t="s">
        <v>6984</v>
      </c>
      <c r="IDF10" t="s">
        <v>6984</v>
      </c>
      <c r="IDG10" t="s">
        <v>6984</v>
      </c>
      <c r="IDH10" t="s">
        <v>6984</v>
      </c>
      <c r="IDI10" t="s">
        <v>6984</v>
      </c>
      <c r="IDJ10" t="s">
        <v>6984</v>
      </c>
      <c r="IDK10" t="s">
        <v>6984</v>
      </c>
      <c r="IDL10" t="s">
        <v>6984</v>
      </c>
      <c r="IDM10" t="s">
        <v>6984</v>
      </c>
      <c r="IDN10" t="s">
        <v>6984</v>
      </c>
      <c r="IDO10" t="s">
        <v>6984</v>
      </c>
      <c r="IDP10" t="s">
        <v>6984</v>
      </c>
      <c r="IDQ10" t="s">
        <v>6984</v>
      </c>
      <c r="IDR10" t="s">
        <v>6984</v>
      </c>
      <c r="IDS10" t="s">
        <v>6984</v>
      </c>
      <c r="IDT10" t="s">
        <v>6984</v>
      </c>
      <c r="IDU10" t="s">
        <v>6984</v>
      </c>
      <c r="IDV10" t="s">
        <v>6984</v>
      </c>
      <c r="IDW10" t="s">
        <v>6984</v>
      </c>
      <c r="IDX10" t="s">
        <v>6984</v>
      </c>
      <c r="IDY10" t="s">
        <v>6984</v>
      </c>
      <c r="IDZ10" t="s">
        <v>6984</v>
      </c>
      <c r="IEA10" t="s">
        <v>6984</v>
      </c>
      <c r="IEB10" t="s">
        <v>6984</v>
      </c>
      <c r="IEC10" t="s">
        <v>6984</v>
      </c>
      <c r="IED10" t="s">
        <v>6984</v>
      </c>
      <c r="IEE10" t="s">
        <v>6984</v>
      </c>
      <c r="IEF10" t="s">
        <v>6984</v>
      </c>
      <c r="IEG10" t="s">
        <v>6984</v>
      </c>
      <c r="IEH10" t="s">
        <v>6984</v>
      </c>
      <c r="IEI10" t="s">
        <v>6984</v>
      </c>
      <c r="IEJ10" t="s">
        <v>6984</v>
      </c>
      <c r="IEK10" t="s">
        <v>6984</v>
      </c>
      <c r="IEL10" t="s">
        <v>6984</v>
      </c>
      <c r="IEM10" t="s">
        <v>6984</v>
      </c>
      <c r="IEN10" t="s">
        <v>6984</v>
      </c>
      <c r="IEO10" t="s">
        <v>6984</v>
      </c>
      <c r="IEP10" t="s">
        <v>6984</v>
      </c>
      <c r="IEQ10" t="s">
        <v>6984</v>
      </c>
      <c r="IER10" t="s">
        <v>6984</v>
      </c>
      <c r="IES10" t="s">
        <v>6984</v>
      </c>
      <c r="IET10" t="s">
        <v>6984</v>
      </c>
      <c r="IEU10" t="s">
        <v>6984</v>
      </c>
      <c r="IEV10" t="s">
        <v>6984</v>
      </c>
      <c r="IEW10" t="s">
        <v>6984</v>
      </c>
      <c r="IEX10" t="s">
        <v>6984</v>
      </c>
      <c r="IEY10" t="s">
        <v>6984</v>
      </c>
      <c r="IEZ10" t="s">
        <v>6984</v>
      </c>
      <c r="IFA10" t="s">
        <v>6984</v>
      </c>
      <c r="IFB10" t="s">
        <v>6984</v>
      </c>
      <c r="IFC10" t="s">
        <v>6984</v>
      </c>
      <c r="IFD10" t="s">
        <v>6984</v>
      </c>
      <c r="IFE10" t="s">
        <v>6984</v>
      </c>
      <c r="IFF10" t="s">
        <v>6984</v>
      </c>
      <c r="IFG10" t="s">
        <v>6984</v>
      </c>
      <c r="IFH10" t="s">
        <v>6984</v>
      </c>
      <c r="IFI10" t="s">
        <v>6984</v>
      </c>
      <c r="IFJ10" t="s">
        <v>6984</v>
      </c>
      <c r="IFK10" t="s">
        <v>6984</v>
      </c>
      <c r="IFL10" t="s">
        <v>6984</v>
      </c>
      <c r="IFM10" t="s">
        <v>6984</v>
      </c>
      <c r="IFN10" t="s">
        <v>6984</v>
      </c>
      <c r="IFO10" t="s">
        <v>6984</v>
      </c>
      <c r="IFP10" t="s">
        <v>6984</v>
      </c>
      <c r="IFQ10" t="s">
        <v>6984</v>
      </c>
      <c r="IFR10" t="s">
        <v>6984</v>
      </c>
      <c r="IFS10" t="s">
        <v>6984</v>
      </c>
      <c r="IFT10" t="s">
        <v>6984</v>
      </c>
      <c r="IFU10" t="s">
        <v>6984</v>
      </c>
      <c r="IFV10" t="s">
        <v>6984</v>
      </c>
      <c r="IFW10" t="s">
        <v>6984</v>
      </c>
      <c r="IFX10" t="s">
        <v>6984</v>
      </c>
      <c r="IFY10" t="s">
        <v>6984</v>
      </c>
      <c r="IFZ10" t="s">
        <v>6984</v>
      </c>
      <c r="IGA10" t="s">
        <v>6984</v>
      </c>
      <c r="IGB10" t="s">
        <v>6984</v>
      </c>
      <c r="IGC10" t="s">
        <v>6984</v>
      </c>
      <c r="IGD10" t="s">
        <v>6984</v>
      </c>
      <c r="IGE10" t="s">
        <v>6984</v>
      </c>
      <c r="IGF10" t="s">
        <v>6984</v>
      </c>
      <c r="IGG10" t="s">
        <v>6984</v>
      </c>
      <c r="IGH10" t="s">
        <v>6984</v>
      </c>
      <c r="IGI10" t="s">
        <v>6984</v>
      </c>
      <c r="IGJ10" t="s">
        <v>6984</v>
      </c>
      <c r="IGK10" t="s">
        <v>6984</v>
      </c>
      <c r="IGL10" t="s">
        <v>6984</v>
      </c>
      <c r="IGM10" t="s">
        <v>6984</v>
      </c>
      <c r="IGN10" t="s">
        <v>6984</v>
      </c>
      <c r="IGO10" t="s">
        <v>6984</v>
      </c>
      <c r="IGP10" t="s">
        <v>6984</v>
      </c>
      <c r="IGQ10" t="s">
        <v>6984</v>
      </c>
      <c r="IGR10" t="s">
        <v>6984</v>
      </c>
      <c r="IGS10" t="s">
        <v>6984</v>
      </c>
      <c r="IGT10" t="s">
        <v>6984</v>
      </c>
      <c r="IGU10" t="s">
        <v>6984</v>
      </c>
      <c r="IGV10" t="s">
        <v>6984</v>
      </c>
      <c r="IGW10" t="s">
        <v>6984</v>
      </c>
      <c r="IGX10" t="s">
        <v>6984</v>
      </c>
      <c r="IGY10" t="s">
        <v>6984</v>
      </c>
      <c r="IGZ10" t="s">
        <v>6984</v>
      </c>
      <c r="IHA10" t="s">
        <v>6984</v>
      </c>
      <c r="IHB10" t="s">
        <v>6984</v>
      </c>
      <c r="IHC10" t="s">
        <v>6984</v>
      </c>
      <c r="IHD10" t="s">
        <v>6984</v>
      </c>
      <c r="IHE10" t="s">
        <v>6984</v>
      </c>
      <c r="IHF10" t="s">
        <v>6984</v>
      </c>
      <c r="IHG10" t="s">
        <v>6984</v>
      </c>
      <c r="IHH10" t="s">
        <v>6984</v>
      </c>
      <c r="IHI10" t="s">
        <v>6984</v>
      </c>
      <c r="IHJ10" t="s">
        <v>6984</v>
      </c>
      <c r="IHK10" t="s">
        <v>6984</v>
      </c>
      <c r="IHL10" t="s">
        <v>6984</v>
      </c>
      <c r="IHM10" t="s">
        <v>6984</v>
      </c>
      <c r="IHN10" t="s">
        <v>6984</v>
      </c>
      <c r="IHO10" t="s">
        <v>6984</v>
      </c>
      <c r="IHP10" t="s">
        <v>6984</v>
      </c>
      <c r="IHQ10" t="s">
        <v>6984</v>
      </c>
      <c r="IHR10" t="s">
        <v>6984</v>
      </c>
      <c r="IHS10" t="s">
        <v>6984</v>
      </c>
      <c r="IHT10" t="s">
        <v>6984</v>
      </c>
      <c r="IHU10" t="s">
        <v>6984</v>
      </c>
      <c r="IHV10" t="s">
        <v>6984</v>
      </c>
      <c r="IHW10" t="s">
        <v>6984</v>
      </c>
      <c r="IHX10" t="s">
        <v>6984</v>
      </c>
      <c r="IHY10" t="s">
        <v>6984</v>
      </c>
      <c r="IHZ10" t="s">
        <v>6984</v>
      </c>
      <c r="IIA10" t="s">
        <v>6984</v>
      </c>
      <c r="IIB10" t="s">
        <v>6984</v>
      </c>
      <c r="IIC10" t="s">
        <v>6984</v>
      </c>
      <c r="IID10" t="s">
        <v>6984</v>
      </c>
      <c r="IIE10" t="s">
        <v>6984</v>
      </c>
      <c r="IIF10" t="s">
        <v>6984</v>
      </c>
      <c r="IIG10" t="s">
        <v>6984</v>
      </c>
      <c r="IIH10" t="s">
        <v>6984</v>
      </c>
      <c r="III10" t="s">
        <v>6984</v>
      </c>
      <c r="IIJ10" t="s">
        <v>6984</v>
      </c>
      <c r="IIK10" t="s">
        <v>6984</v>
      </c>
      <c r="IIL10" t="s">
        <v>6984</v>
      </c>
      <c r="IIM10" t="s">
        <v>6984</v>
      </c>
      <c r="IIN10" t="s">
        <v>6984</v>
      </c>
      <c r="IIO10" t="s">
        <v>6984</v>
      </c>
      <c r="IIP10" t="s">
        <v>6984</v>
      </c>
      <c r="IIQ10" t="s">
        <v>6984</v>
      </c>
      <c r="IIR10" t="s">
        <v>6984</v>
      </c>
      <c r="IIS10" t="s">
        <v>6984</v>
      </c>
      <c r="IIT10" t="s">
        <v>6984</v>
      </c>
      <c r="IIU10" t="s">
        <v>6984</v>
      </c>
      <c r="IIV10" t="s">
        <v>6984</v>
      </c>
      <c r="IIW10" t="s">
        <v>6984</v>
      </c>
      <c r="IIX10" t="s">
        <v>6984</v>
      </c>
      <c r="IIY10" t="s">
        <v>6984</v>
      </c>
      <c r="IIZ10" t="s">
        <v>6984</v>
      </c>
      <c r="IJA10" t="s">
        <v>6984</v>
      </c>
      <c r="IJB10" t="s">
        <v>6984</v>
      </c>
      <c r="IJC10" t="s">
        <v>6984</v>
      </c>
      <c r="IJD10" t="s">
        <v>6984</v>
      </c>
      <c r="IJE10" t="s">
        <v>6984</v>
      </c>
      <c r="IJF10" t="s">
        <v>6984</v>
      </c>
      <c r="IJG10" t="s">
        <v>6984</v>
      </c>
      <c r="IJH10" t="s">
        <v>6984</v>
      </c>
      <c r="IJI10" t="s">
        <v>6984</v>
      </c>
      <c r="IJJ10" t="s">
        <v>6984</v>
      </c>
      <c r="IJK10" t="s">
        <v>6984</v>
      </c>
      <c r="IJL10" t="s">
        <v>6984</v>
      </c>
      <c r="IJM10" t="s">
        <v>6984</v>
      </c>
      <c r="IJN10" t="s">
        <v>6984</v>
      </c>
      <c r="IJO10" t="s">
        <v>6984</v>
      </c>
      <c r="IJP10" t="s">
        <v>6984</v>
      </c>
      <c r="IJQ10" t="s">
        <v>6984</v>
      </c>
      <c r="IJR10" t="s">
        <v>6984</v>
      </c>
      <c r="IJS10" t="s">
        <v>6984</v>
      </c>
      <c r="IJT10" t="s">
        <v>6984</v>
      </c>
      <c r="IJU10" t="s">
        <v>6984</v>
      </c>
      <c r="IJV10" t="s">
        <v>6984</v>
      </c>
      <c r="IJW10" t="s">
        <v>6984</v>
      </c>
      <c r="IJX10" t="s">
        <v>6984</v>
      </c>
      <c r="IJY10" t="s">
        <v>6984</v>
      </c>
      <c r="IJZ10" t="s">
        <v>6984</v>
      </c>
      <c r="IKA10" t="s">
        <v>6984</v>
      </c>
      <c r="IKB10" t="s">
        <v>6984</v>
      </c>
      <c r="IKC10" t="s">
        <v>6984</v>
      </c>
      <c r="IKD10" t="s">
        <v>6984</v>
      </c>
      <c r="IKE10" t="s">
        <v>6984</v>
      </c>
      <c r="IKF10" t="s">
        <v>6984</v>
      </c>
      <c r="IKG10" t="s">
        <v>6984</v>
      </c>
      <c r="IKH10" t="s">
        <v>6984</v>
      </c>
      <c r="IKI10" t="s">
        <v>6984</v>
      </c>
      <c r="IKJ10" t="s">
        <v>6984</v>
      </c>
      <c r="IKK10" t="s">
        <v>6984</v>
      </c>
      <c r="IKL10" t="s">
        <v>6984</v>
      </c>
      <c r="IKM10" t="s">
        <v>6984</v>
      </c>
      <c r="IKN10" t="s">
        <v>6984</v>
      </c>
      <c r="IKO10" t="s">
        <v>6984</v>
      </c>
      <c r="IKP10" t="s">
        <v>6984</v>
      </c>
      <c r="IKQ10" t="s">
        <v>6984</v>
      </c>
      <c r="IKR10" t="s">
        <v>6984</v>
      </c>
      <c r="IKS10" t="s">
        <v>6984</v>
      </c>
      <c r="IKT10" t="s">
        <v>6984</v>
      </c>
      <c r="IKU10" t="s">
        <v>6984</v>
      </c>
      <c r="IKV10" t="s">
        <v>6984</v>
      </c>
      <c r="IKW10" t="s">
        <v>6984</v>
      </c>
      <c r="IKX10" t="s">
        <v>6984</v>
      </c>
      <c r="IKY10" t="s">
        <v>6984</v>
      </c>
      <c r="IKZ10" t="s">
        <v>6984</v>
      </c>
      <c r="ILA10" t="s">
        <v>6984</v>
      </c>
      <c r="ILB10" t="s">
        <v>6984</v>
      </c>
      <c r="ILC10" t="s">
        <v>6984</v>
      </c>
      <c r="ILD10" t="s">
        <v>6984</v>
      </c>
      <c r="ILE10" t="s">
        <v>6984</v>
      </c>
      <c r="ILF10" t="s">
        <v>6984</v>
      </c>
      <c r="ILG10" t="s">
        <v>6984</v>
      </c>
      <c r="ILH10" t="s">
        <v>6984</v>
      </c>
      <c r="ILI10" t="s">
        <v>6984</v>
      </c>
      <c r="ILJ10" t="s">
        <v>6984</v>
      </c>
      <c r="ILK10" t="s">
        <v>6984</v>
      </c>
      <c r="ILL10" t="s">
        <v>6984</v>
      </c>
      <c r="ILM10" t="s">
        <v>6984</v>
      </c>
      <c r="ILN10" t="s">
        <v>6984</v>
      </c>
      <c r="ILO10" t="s">
        <v>6984</v>
      </c>
      <c r="ILP10" t="s">
        <v>6984</v>
      </c>
      <c r="ILQ10" t="s">
        <v>6984</v>
      </c>
      <c r="ILR10" t="s">
        <v>6984</v>
      </c>
      <c r="ILS10" t="s">
        <v>6984</v>
      </c>
      <c r="ILT10" t="s">
        <v>6984</v>
      </c>
      <c r="ILU10" t="s">
        <v>6984</v>
      </c>
      <c r="ILV10" t="s">
        <v>6984</v>
      </c>
      <c r="ILW10" t="s">
        <v>6984</v>
      </c>
      <c r="ILX10" t="s">
        <v>6984</v>
      </c>
      <c r="ILY10" t="s">
        <v>6984</v>
      </c>
      <c r="ILZ10" t="s">
        <v>6984</v>
      </c>
      <c r="IMA10" t="s">
        <v>6984</v>
      </c>
      <c r="IMB10" t="s">
        <v>6984</v>
      </c>
      <c r="IMC10" t="s">
        <v>6984</v>
      </c>
      <c r="IMD10" t="s">
        <v>6984</v>
      </c>
      <c r="IME10" t="s">
        <v>6984</v>
      </c>
      <c r="IMF10" t="s">
        <v>6984</v>
      </c>
      <c r="IMG10" t="s">
        <v>6984</v>
      </c>
      <c r="IMH10" t="s">
        <v>6984</v>
      </c>
      <c r="IMI10" t="s">
        <v>6984</v>
      </c>
      <c r="IMJ10" t="s">
        <v>6984</v>
      </c>
      <c r="IMK10" t="s">
        <v>6984</v>
      </c>
      <c r="IML10" t="s">
        <v>6984</v>
      </c>
      <c r="IMM10" t="s">
        <v>6984</v>
      </c>
      <c r="IMN10" t="s">
        <v>6984</v>
      </c>
      <c r="IMO10" t="s">
        <v>6984</v>
      </c>
      <c r="IMP10" t="s">
        <v>6984</v>
      </c>
      <c r="IMQ10" t="s">
        <v>6984</v>
      </c>
      <c r="IMR10" t="s">
        <v>6984</v>
      </c>
      <c r="IMS10" t="s">
        <v>6984</v>
      </c>
      <c r="IMT10" t="s">
        <v>6984</v>
      </c>
      <c r="IMU10" t="s">
        <v>6984</v>
      </c>
      <c r="IMV10" t="s">
        <v>6984</v>
      </c>
      <c r="IMW10" t="s">
        <v>6984</v>
      </c>
      <c r="IMX10" t="s">
        <v>6984</v>
      </c>
      <c r="IMY10" t="s">
        <v>6984</v>
      </c>
      <c r="IMZ10" t="s">
        <v>6984</v>
      </c>
      <c r="INA10" t="s">
        <v>6984</v>
      </c>
      <c r="INB10" t="s">
        <v>6984</v>
      </c>
      <c r="INC10" t="s">
        <v>6984</v>
      </c>
      <c r="IND10" t="s">
        <v>6984</v>
      </c>
      <c r="INE10" t="s">
        <v>6984</v>
      </c>
      <c r="INF10" t="s">
        <v>6984</v>
      </c>
      <c r="ING10" t="s">
        <v>6984</v>
      </c>
      <c r="INH10" t="s">
        <v>6984</v>
      </c>
      <c r="INI10" t="s">
        <v>6984</v>
      </c>
      <c r="INJ10" t="s">
        <v>6984</v>
      </c>
      <c r="INK10" t="s">
        <v>6984</v>
      </c>
      <c r="INL10" t="s">
        <v>6984</v>
      </c>
      <c r="INM10" t="s">
        <v>6984</v>
      </c>
      <c r="INN10" t="s">
        <v>6984</v>
      </c>
      <c r="INO10" t="s">
        <v>6984</v>
      </c>
      <c r="INP10" t="s">
        <v>6984</v>
      </c>
      <c r="INQ10" t="s">
        <v>6984</v>
      </c>
      <c r="INR10" t="s">
        <v>6984</v>
      </c>
      <c r="INS10" t="s">
        <v>6984</v>
      </c>
      <c r="INT10" t="s">
        <v>6984</v>
      </c>
      <c r="INU10" t="s">
        <v>6984</v>
      </c>
      <c r="INV10" t="s">
        <v>6984</v>
      </c>
      <c r="INW10" t="s">
        <v>6984</v>
      </c>
      <c r="INX10" t="s">
        <v>6984</v>
      </c>
      <c r="INY10" t="s">
        <v>6984</v>
      </c>
      <c r="INZ10" t="s">
        <v>6984</v>
      </c>
      <c r="IOA10" t="s">
        <v>6984</v>
      </c>
      <c r="IOB10" t="s">
        <v>6984</v>
      </c>
      <c r="IOC10" t="s">
        <v>6984</v>
      </c>
      <c r="IOD10" t="s">
        <v>6984</v>
      </c>
      <c r="IOE10" t="s">
        <v>6984</v>
      </c>
      <c r="IOF10" t="s">
        <v>6984</v>
      </c>
      <c r="IOG10" t="s">
        <v>6984</v>
      </c>
      <c r="IOH10" t="s">
        <v>6984</v>
      </c>
      <c r="IOI10" t="s">
        <v>6984</v>
      </c>
      <c r="IOJ10" t="s">
        <v>6984</v>
      </c>
      <c r="IOK10" t="s">
        <v>6984</v>
      </c>
      <c r="IOL10" t="s">
        <v>6984</v>
      </c>
      <c r="IOM10" t="s">
        <v>6984</v>
      </c>
      <c r="ION10" t="s">
        <v>6984</v>
      </c>
      <c r="IOO10" t="s">
        <v>6984</v>
      </c>
      <c r="IOP10" t="s">
        <v>6984</v>
      </c>
      <c r="IOQ10" t="s">
        <v>6984</v>
      </c>
      <c r="IOR10" t="s">
        <v>6984</v>
      </c>
      <c r="IOS10" t="s">
        <v>6984</v>
      </c>
      <c r="IOT10" t="s">
        <v>6984</v>
      </c>
      <c r="IOU10" t="s">
        <v>6984</v>
      </c>
      <c r="IOV10" t="s">
        <v>6984</v>
      </c>
      <c r="IOW10" t="s">
        <v>6984</v>
      </c>
      <c r="IOX10" t="s">
        <v>6984</v>
      </c>
      <c r="IOY10" t="s">
        <v>6984</v>
      </c>
      <c r="IOZ10" t="s">
        <v>6984</v>
      </c>
      <c r="IPA10" t="s">
        <v>6984</v>
      </c>
      <c r="IPB10" t="s">
        <v>6984</v>
      </c>
      <c r="IPC10" t="s">
        <v>6984</v>
      </c>
      <c r="IPD10" t="s">
        <v>6984</v>
      </c>
      <c r="IPE10" t="s">
        <v>6984</v>
      </c>
      <c r="IPF10" t="s">
        <v>6984</v>
      </c>
      <c r="IPG10" t="s">
        <v>6984</v>
      </c>
      <c r="IPH10" t="s">
        <v>6984</v>
      </c>
      <c r="IPI10" t="s">
        <v>6984</v>
      </c>
      <c r="IPJ10" t="s">
        <v>6984</v>
      </c>
      <c r="IPK10" t="s">
        <v>6984</v>
      </c>
      <c r="IPL10" t="s">
        <v>6984</v>
      </c>
      <c r="IPM10" t="s">
        <v>6984</v>
      </c>
      <c r="IPN10" t="s">
        <v>6984</v>
      </c>
      <c r="IPO10" t="s">
        <v>6984</v>
      </c>
      <c r="IPP10" t="s">
        <v>6984</v>
      </c>
      <c r="IPQ10" t="s">
        <v>6984</v>
      </c>
      <c r="IPR10" t="s">
        <v>6984</v>
      </c>
      <c r="IPS10" t="s">
        <v>6984</v>
      </c>
      <c r="IPT10" t="s">
        <v>6984</v>
      </c>
      <c r="IPU10" t="s">
        <v>6984</v>
      </c>
      <c r="IPV10" t="s">
        <v>6984</v>
      </c>
      <c r="IPW10" t="s">
        <v>6984</v>
      </c>
      <c r="IPX10" t="s">
        <v>6984</v>
      </c>
      <c r="IPY10" t="s">
        <v>6984</v>
      </c>
      <c r="IPZ10" t="s">
        <v>6984</v>
      </c>
      <c r="IQA10" t="s">
        <v>6984</v>
      </c>
      <c r="IQB10" t="s">
        <v>6984</v>
      </c>
      <c r="IQC10" t="s">
        <v>6984</v>
      </c>
      <c r="IQD10" t="s">
        <v>6984</v>
      </c>
      <c r="IQE10" t="s">
        <v>6984</v>
      </c>
      <c r="IQF10" t="s">
        <v>6984</v>
      </c>
      <c r="IQG10" t="s">
        <v>6984</v>
      </c>
      <c r="IQH10" t="s">
        <v>6984</v>
      </c>
      <c r="IQI10" t="s">
        <v>6984</v>
      </c>
      <c r="IQJ10" t="s">
        <v>6984</v>
      </c>
      <c r="IQK10" t="s">
        <v>6984</v>
      </c>
      <c r="IQL10" t="s">
        <v>6984</v>
      </c>
      <c r="IQM10" t="s">
        <v>6984</v>
      </c>
      <c r="IQN10" t="s">
        <v>6984</v>
      </c>
      <c r="IQO10" t="s">
        <v>6984</v>
      </c>
      <c r="IQP10" t="s">
        <v>6984</v>
      </c>
      <c r="IQQ10" t="s">
        <v>6984</v>
      </c>
      <c r="IQR10" t="s">
        <v>6984</v>
      </c>
      <c r="IQS10" t="s">
        <v>6984</v>
      </c>
      <c r="IQT10" t="s">
        <v>6984</v>
      </c>
      <c r="IQU10" t="s">
        <v>6984</v>
      </c>
      <c r="IQV10" t="s">
        <v>6984</v>
      </c>
      <c r="IQW10" t="s">
        <v>6984</v>
      </c>
      <c r="IQX10" t="s">
        <v>6984</v>
      </c>
      <c r="IQY10" t="s">
        <v>6984</v>
      </c>
      <c r="IQZ10" t="s">
        <v>6984</v>
      </c>
      <c r="IRA10" t="s">
        <v>6984</v>
      </c>
      <c r="IRB10" t="s">
        <v>6984</v>
      </c>
      <c r="IRC10" t="s">
        <v>6984</v>
      </c>
      <c r="IRD10" t="s">
        <v>6984</v>
      </c>
      <c r="IRE10" t="s">
        <v>6984</v>
      </c>
      <c r="IRF10" t="s">
        <v>6984</v>
      </c>
      <c r="IRG10" t="s">
        <v>6984</v>
      </c>
      <c r="IRH10" t="s">
        <v>6984</v>
      </c>
      <c r="IRI10" t="s">
        <v>6984</v>
      </c>
      <c r="IRJ10" t="s">
        <v>6984</v>
      </c>
      <c r="IRK10" t="s">
        <v>6984</v>
      </c>
      <c r="IRL10" t="s">
        <v>6984</v>
      </c>
      <c r="IRM10" t="s">
        <v>6984</v>
      </c>
      <c r="IRN10" t="s">
        <v>6984</v>
      </c>
      <c r="IRO10" t="s">
        <v>6984</v>
      </c>
      <c r="IRP10" t="s">
        <v>6984</v>
      </c>
      <c r="IRQ10" t="s">
        <v>6984</v>
      </c>
      <c r="IRR10" t="s">
        <v>6984</v>
      </c>
      <c r="IRS10" t="s">
        <v>6984</v>
      </c>
      <c r="IRT10" t="s">
        <v>6984</v>
      </c>
      <c r="IRU10" t="s">
        <v>6984</v>
      </c>
      <c r="IRV10" t="s">
        <v>6984</v>
      </c>
      <c r="IRW10" t="s">
        <v>6984</v>
      </c>
      <c r="IRX10" t="s">
        <v>6984</v>
      </c>
      <c r="IRY10" t="s">
        <v>6984</v>
      </c>
      <c r="IRZ10" t="s">
        <v>6984</v>
      </c>
      <c r="ISA10" t="s">
        <v>6984</v>
      </c>
      <c r="ISB10" t="s">
        <v>6984</v>
      </c>
      <c r="ISC10" t="s">
        <v>6984</v>
      </c>
      <c r="ISD10" t="s">
        <v>6984</v>
      </c>
      <c r="ISE10" t="s">
        <v>6984</v>
      </c>
      <c r="ISF10" t="s">
        <v>6984</v>
      </c>
      <c r="ISG10" t="s">
        <v>6984</v>
      </c>
      <c r="ISH10" t="s">
        <v>6984</v>
      </c>
      <c r="ISI10" t="s">
        <v>6984</v>
      </c>
      <c r="ISJ10" t="s">
        <v>6984</v>
      </c>
      <c r="ISK10" t="s">
        <v>6984</v>
      </c>
      <c r="ISL10" t="s">
        <v>6984</v>
      </c>
      <c r="ISM10" t="s">
        <v>6984</v>
      </c>
      <c r="ISN10" t="s">
        <v>6984</v>
      </c>
      <c r="ISO10" t="s">
        <v>6984</v>
      </c>
      <c r="ISP10" t="s">
        <v>6984</v>
      </c>
      <c r="ISQ10" t="s">
        <v>6984</v>
      </c>
      <c r="ISR10" t="s">
        <v>6984</v>
      </c>
      <c r="ISS10" t="s">
        <v>6984</v>
      </c>
      <c r="IST10" t="s">
        <v>6984</v>
      </c>
      <c r="ISU10" t="s">
        <v>6984</v>
      </c>
      <c r="ISV10" t="s">
        <v>6984</v>
      </c>
      <c r="ISW10" t="s">
        <v>6984</v>
      </c>
      <c r="ISX10" t="s">
        <v>6984</v>
      </c>
      <c r="ISY10" t="s">
        <v>6984</v>
      </c>
      <c r="ISZ10" t="s">
        <v>6984</v>
      </c>
      <c r="ITA10" t="s">
        <v>6984</v>
      </c>
      <c r="ITB10" t="s">
        <v>6984</v>
      </c>
      <c r="ITC10" t="s">
        <v>6984</v>
      </c>
      <c r="ITD10" t="s">
        <v>6984</v>
      </c>
      <c r="ITE10" t="s">
        <v>6984</v>
      </c>
      <c r="ITF10" t="s">
        <v>6984</v>
      </c>
      <c r="ITG10" t="s">
        <v>6984</v>
      </c>
      <c r="ITH10" t="s">
        <v>6984</v>
      </c>
      <c r="ITI10" t="s">
        <v>6984</v>
      </c>
      <c r="ITJ10" t="s">
        <v>6984</v>
      </c>
      <c r="ITK10" t="s">
        <v>6984</v>
      </c>
      <c r="ITL10" t="s">
        <v>6984</v>
      </c>
      <c r="ITM10" t="s">
        <v>6984</v>
      </c>
      <c r="ITN10" t="s">
        <v>6984</v>
      </c>
      <c r="ITO10" t="s">
        <v>6984</v>
      </c>
      <c r="ITP10" t="s">
        <v>6984</v>
      </c>
      <c r="ITQ10" t="s">
        <v>6984</v>
      </c>
      <c r="ITR10" t="s">
        <v>6984</v>
      </c>
      <c r="ITS10" t="s">
        <v>6984</v>
      </c>
      <c r="ITT10" t="s">
        <v>6984</v>
      </c>
      <c r="ITU10" t="s">
        <v>6984</v>
      </c>
      <c r="ITV10" t="s">
        <v>6984</v>
      </c>
      <c r="ITW10" t="s">
        <v>6984</v>
      </c>
      <c r="ITX10" t="s">
        <v>6984</v>
      </c>
      <c r="ITY10" t="s">
        <v>6984</v>
      </c>
      <c r="ITZ10" t="s">
        <v>6984</v>
      </c>
      <c r="IUA10" t="s">
        <v>6984</v>
      </c>
      <c r="IUB10" t="s">
        <v>6984</v>
      </c>
      <c r="IUC10" t="s">
        <v>6984</v>
      </c>
      <c r="IUD10" t="s">
        <v>6984</v>
      </c>
      <c r="IUE10" t="s">
        <v>6984</v>
      </c>
      <c r="IUF10" t="s">
        <v>6984</v>
      </c>
      <c r="IUG10" t="s">
        <v>6984</v>
      </c>
      <c r="IUH10" t="s">
        <v>6984</v>
      </c>
      <c r="IUI10" t="s">
        <v>6984</v>
      </c>
      <c r="IUJ10" t="s">
        <v>6984</v>
      </c>
      <c r="IUK10" t="s">
        <v>6984</v>
      </c>
      <c r="IUL10" t="s">
        <v>6984</v>
      </c>
      <c r="IUM10" t="s">
        <v>6984</v>
      </c>
      <c r="IUN10" t="s">
        <v>6984</v>
      </c>
      <c r="IUO10" t="s">
        <v>6984</v>
      </c>
      <c r="IUP10" t="s">
        <v>6984</v>
      </c>
      <c r="IUQ10" t="s">
        <v>6984</v>
      </c>
      <c r="IUR10" t="s">
        <v>6984</v>
      </c>
      <c r="IUS10" t="s">
        <v>6984</v>
      </c>
      <c r="IUT10" t="s">
        <v>6984</v>
      </c>
      <c r="IUU10" t="s">
        <v>6984</v>
      </c>
      <c r="IUV10" t="s">
        <v>6984</v>
      </c>
      <c r="IUW10" t="s">
        <v>6984</v>
      </c>
      <c r="IUX10" t="s">
        <v>6984</v>
      </c>
      <c r="IUY10" t="s">
        <v>6984</v>
      </c>
      <c r="IUZ10" t="s">
        <v>6984</v>
      </c>
      <c r="IVA10" t="s">
        <v>6984</v>
      </c>
      <c r="IVB10" t="s">
        <v>6984</v>
      </c>
      <c r="IVC10" t="s">
        <v>6984</v>
      </c>
      <c r="IVD10" t="s">
        <v>6984</v>
      </c>
      <c r="IVE10" t="s">
        <v>6984</v>
      </c>
      <c r="IVF10" t="s">
        <v>6984</v>
      </c>
      <c r="IVG10" t="s">
        <v>6984</v>
      </c>
      <c r="IVH10" t="s">
        <v>6984</v>
      </c>
      <c r="IVI10" t="s">
        <v>6984</v>
      </c>
      <c r="IVJ10" t="s">
        <v>6984</v>
      </c>
      <c r="IVK10" t="s">
        <v>6984</v>
      </c>
      <c r="IVL10" t="s">
        <v>6984</v>
      </c>
      <c r="IVM10" t="s">
        <v>6984</v>
      </c>
      <c r="IVN10" t="s">
        <v>6984</v>
      </c>
      <c r="IVO10" t="s">
        <v>6984</v>
      </c>
      <c r="IVP10" t="s">
        <v>6984</v>
      </c>
      <c r="IVQ10" t="s">
        <v>6984</v>
      </c>
      <c r="IVR10" t="s">
        <v>6984</v>
      </c>
      <c r="IVS10" t="s">
        <v>6984</v>
      </c>
      <c r="IVT10" t="s">
        <v>6984</v>
      </c>
      <c r="IVU10" t="s">
        <v>6984</v>
      </c>
      <c r="IVV10" t="s">
        <v>6984</v>
      </c>
      <c r="IVW10" t="s">
        <v>6984</v>
      </c>
      <c r="IVX10" t="s">
        <v>6984</v>
      </c>
      <c r="IVY10" t="s">
        <v>6984</v>
      </c>
      <c r="IVZ10" t="s">
        <v>6984</v>
      </c>
      <c r="IWA10" t="s">
        <v>6984</v>
      </c>
      <c r="IWB10" t="s">
        <v>6984</v>
      </c>
      <c r="IWC10" t="s">
        <v>6984</v>
      </c>
      <c r="IWD10" t="s">
        <v>6984</v>
      </c>
      <c r="IWE10" t="s">
        <v>6984</v>
      </c>
      <c r="IWF10" t="s">
        <v>6984</v>
      </c>
      <c r="IWG10" t="s">
        <v>6984</v>
      </c>
      <c r="IWH10" t="s">
        <v>6984</v>
      </c>
      <c r="IWI10" t="s">
        <v>6984</v>
      </c>
      <c r="IWJ10" t="s">
        <v>6984</v>
      </c>
      <c r="IWK10" t="s">
        <v>6984</v>
      </c>
      <c r="IWL10" t="s">
        <v>6984</v>
      </c>
      <c r="IWM10" t="s">
        <v>6984</v>
      </c>
      <c r="IWN10" t="s">
        <v>6984</v>
      </c>
      <c r="IWO10" t="s">
        <v>6984</v>
      </c>
      <c r="IWP10" t="s">
        <v>6984</v>
      </c>
      <c r="IWQ10" t="s">
        <v>6984</v>
      </c>
      <c r="IWR10" t="s">
        <v>6984</v>
      </c>
      <c r="IWS10" t="s">
        <v>6984</v>
      </c>
      <c r="IWT10" t="s">
        <v>6984</v>
      </c>
      <c r="IWU10" t="s">
        <v>6984</v>
      </c>
      <c r="IWV10" t="s">
        <v>6984</v>
      </c>
      <c r="IWW10" t="s">
        <v>6984</v>
      </c>
      <c r="IWX10" t="s">
        <v>6984</v>
      </c>
      <c r="IWY10" t="s">
        <v>6984</v>
      </c>
      <c r="IWZ10" t="s">
        <v>6984</v>
      </c>
      <c r="IXA10" t="s">
        <v>6984</v>
      </c>
      <c r="IXB10" t="s">
        <v>6984</v>
      </c>
      <c r="IXC10" t="s">
        <v>6984</v>
      </c>
      <c r="IXD10" t="s">
        <v>6984</v>
      </c>
      <c r="IXE10" t="s">
        <v>6984</v>
      </c>
      <c r="IXF10" t="s">
        <v>6984</v>
      </c>
      <c r="IXG10" t="s">
        <v>6984</v>
      </c>
      <c r="IXH10" t="s">
        <v>6984</v>
      </c>
      <c r="IXI10" t="s">
        <v>6984</v>
      </c>
      <c r="IXJ10" t="s">
        <v>6984</v>
      </c>
      <c r="IXK10" t="s">
        <v>6984</v>
      </c>
      <c r="IXL10" t="s">
        <v>6984</v>
      </c>
      <c r="IXM10" t="s">
        <v>6984</v>
      </c>
      <c r="IXN10" t="s">
        <v>6984</v>
      </c>
      <c r="IXO10" t="s">
        <v>6984</v>
      </c>
      <c r="IXP10" t="s">
        <v>6984</v>
      </c>
      <c r="IXQ10" t="s">
        <v>6984</v>
      </c>
      <c r="IXR10" t="s">
        <v>6984</v>
      </c>
      <c r="IXS10" t="s">
        <v>6984</v>
      </c>
      <c r="IXT10" t="s">
        <v>6984</v>
      </c>
      <c r="IXU10" t="s">
        <v>6984</v>
      </c>
      <c r="IXV10" t="s">
        <v>6984</v>
      </c>
      <c r="IXW10" t="s">
        <v>6984</v>
      </c>
      <c r="IXX10" t="s">
        <v>6984</v>
      </c>
      <c r="IXY10" t="s">
        <v>6984</v>
      </c>
      <c r="IXZ10" t="s">
        <v>6984</v>
      </c>
      <c r="IYA10" t="s">
        <v>6984</v>
      </c>
      <c r="IYB10" t="s">
        <v>6984</v>
      </c>
      <c r="IYC10" t="s">
        <v>6984</v>
      </c>
      <c r="IYD10" t="s">
        <v>6984</v>
      </c>
      <c r="IYE10" t="s">
        <v>6984</v>
      </c>
      <c r="IYF10" t="s">
        <v>6984</v>
      </c>
      <c r="IYG10" t="s">
        <v>6984</v>
      </c>
      <c r="IYH10" t="s">
        <v>6984</v>
      </c>
      <c r="IYI10" t="s">
        <v>6984</v>
      </c>
      <c r="IYJ10" t="s">
        <v>6984</v>
      </c>
      <c r="IYK10" t="s">
        <v>6984</v>
      </c>
      <c r="IYL10" t="s">
        <v>6984</v>
      </c>
      <c r="IYM10" t="s">
        <v>6984</v>
      </c>
      <c r="IYN10" t="s">
        <v>6984</v>
      </c>
      <c r="IYO10" t="s">
        <v>6984</v>
      </c>
      <c r="IYP10" t="s">
        <v>6984</v>
      </c>
      <c r="IYQ10" t="s">
        <v>6984</v>
      </c>
      <c r="IYR10" t="s">
        <v>6984</v>
      </c>
      <c r="IYS10" t="s">
        <v>6984</v>
      </c>
      <c r="IYT10" t="s">
        <v>6984</v>
      </c>
      <c r="IYU10" t="s">
        <v>6984</v>
      </c>
      <c r="IYV10" t="s">
        <v>6984</v>
      </c>
      <c r="IYW10" t="s">
        <v>6984</v>
      </c>
      <c r="IYX10" t="s">
        <v>6984</v>
      </c>
      <c r="IYY10" t="s">
        <v>6984</v>
      </c>
      <c r="IYZ10" t="s">
        <v>6984</v>
      </c>
      <c r="IZA10" t="s">
        <v>6984</v>
      </c>
      <c r="IZB10" t="s">
        <v>6984</v>
      </c>
      <c r="IZC10" t="s">
        <v>6984</v>
      </c>
      <c r="IZD10" t="s">
        <v>6984</v>
      </c>
      <c r="IZE10" t="s">
        <v>6984</v>
      </c>
      <c r="IZF10" t="s">
        <v>6984</v>
      </c>
      <c r="IZG10" t="s">
        <v>6984</v>
      </c>
      <c r="IZH10" t="s">
        <v>6984</v>
      </c>
      <c r="IZI10" t="s">
        <v>6984</v>
      </c>
      <c r="IZJ10" t="s">
        <v>6984</v>
      </c>
      <c r="IZK10" t="s">
        <v>6984</v>
      </c>
      <c r="IZL10" t="s">
        <v>6984</v>
      </c>
      <c r="IZM10" t="s">
        <v>6984</v>
      </c>
      <c r="IZN10" t="s">
        <v>6984</v>
      </c>
      <c r="IZO10" t="s">
        <v>6984</v>
      </c>
      <c r="IZP10" t="s">
        <v>6984</v>
      </c>
      <c r="IZQ10" t="s">
        <v>6984</v>
      </c>
      <c r="IZR10" t="s">
        <v>6984</v>
      </c>
      <c r="IZS10" t="s">
        <v>6984</v>
      </c>
      <c r="IZT10" t="s">
        <v>6984</v>
      </c>
      <c r="IZU10" t="s">
        <v>6984</v>
      </c>
      <c r="IZV10" t="s">
        <v>6984</v>
      </c>
      <c r="IZW10" t="s">
        <v>6984</v>
      </c>
      <c r="IZX10" t="s">
        <v>6984</v>
      </c>
      <c r="IZY10" t="s">
        <v>6984</v>
      </c>
      <c r="IZZ10" t="s">
        <v>6984</v>
      </c>
      <c r="JAA10" t="s">
        <v>6984</v>
      </c>
      <c r="JAB10" t="s">
        <v>6984</v>
      </c>
      <c r="JAC10" t="s">
        <v>6984</v>
      </c>
      <c r="JAD10" t="s">
        <v>6984</v>
      </c>
      <c r="JAE10" t="s">
        <v>6984</v>
      </c>
      <c r="JAF10" t="s">
        <v>6984</v>
      </c>
      <c r="JAG10" t="s">
        <v>6984</v>
      </c>
      <c r="JAH10" t="s">
        <v>6984</v>
      </c>
      <c r="JAI10" t="s">
        <v>6984</v>
      </c>
      <c r="JAJ10" t="s">
        <v>6984</v>
      </c>
      <c r="JAK10" t="s">
        <v>6984</v>
      </c>
      <c r="JAL10" t="s">
        <v>6984</v>
      </c>
      <c r="JAM10" t="s">
        <v>6984</v>
      </c>
      <c r="JAN10" t="s">
        <v>6984</v>
      </c>
      <c r="JAO10" t="s">
        <v>6984</v>
      </c>
      <c r="JAP10" t="s">
        <v>6984</v>
      </c>
      <c r="JAQ10" t="s">
        <v>6984</v>
      </c>
      <c r="JAR10" t="s">
        <v>6984</v>
      </c>
      <c r="JAS10" t="s">
        <v>6984</v>
      </c>
      <c r="JAT10" t="s">
        <v>6984</v>
      </c>
      <c r="JAU10" t="s">
        <v>6984</v>
      </c>
      <c r="JAV10" t="s">
        <v>6984</v>
      </c>
      <c r="JAW10" t="s">
        <v>6984</v>
      </c>
      <c r="JAX10" t="s">
        <v>6984</v>
      </c>
      <c r="JAY10" t="s">
        <v>6984</v>
      </c>
      <c r="JAZ10" t="s">
        <v>6984</v>
      </c>
      <c r="JBA10" t="s">
        <v>6984</v>
      </c>
      <c r="JBB10" t="s">
        <v>6984</v>
      </c>
      <c r="JBC10" t="s">
        <v>6984</v>
      </c>
      <c r="JBD10" t="s">
        <v>6984</v>
      </c>
      <c r="JBE10" t="s">
        <v>6984</v>
      </c>
      <c r="JBF10" t="s">
        <v>6984</v>
      </c>
      <c r="JBG10" t="s">
        <v>6984</v>
      </c>
      <c r="JBH10" t="s">
        <v>6984</v>
      </c>
      <c r="JBI10" t="s">
        <v>6984</v>
      </c>
      <c r="JBJ10" t="s">
        <v>6984</v>
      </c>
      <c r="JBK10" t="s">
        <v>6984</v>
      </c>
      <c r="JBL10" t="s">
        <v>6984</v>
      </c>
      <c r="JBM10" t="s">
        <v>6984</v>
      </c>
      <c r="JBN10" t="s">
        <v>6984</v>
      </c>
      <c r="JBO10" t="s">
        <v>6984</v>
      </c>
      <c r="JBP10" t="s">
        <v>6984</v>
      </c>
      <c r="JBQ10" t="s">
        <v>6984</v>
      </c>
      <c r="JBR10" t="s">
        <v>6984</v>
      </c>
      <c r="JBS10" t="s">
        <v>6984</v>
      </c>
      <c r="JBT10" t="s">
        <v>6984</v>
      </c>
      <c r="JBU10" t="s">
        <v>6984</v>
      </c>
      <c r="JBV10" t="s">
        <v>6984</v>
      </c>
      <c r="JBW10" t="s">
        <v>6984</v>
      </c>
      <c r="JBX10" t="s">
        <v>6984</v>
      </c>
      <c r="JBY10" t="s">
        <v>6984</v>
      </c>
      <c r="JBZ10" t="s">
        <v>6984</v>
      </c>
      <c r="JCA10" t="s">
        <v>6984</v>
      </c>
      <c r="JCB10" t="s">
        <v>6984</v>
      </c>
      <c r="JCC10" t="s">
        <v>6984</v>
      </c>
      <c r="JCD10" t="s">
        <v>6984</v>
      </c>
      <c r="JCE10" t="s">
        <v>6984</v>
      </c>
      <c r="JCF10" t="s">
        <v>6984</v>
      </c>
      <c r="JCG10" t="s">
        <v>6984</v>
      </c>
      <c r="JCH10" t="s">
        <v>6984</v>
      </c>
      <c r="JCI10" t="s">
        <v>6984</v>
      </c>
      <c r="JCJ10" t="s">
        <v>6984</v>
      </c>
      <c r="JCK10" t="s">
        <v>6984</v>
      </c>
      <c r="JCL10" t="s">
        <v>6984</v>
      </c>
      <c r="JCM10" t="s">
        <v>6984</v>
      </c>
      <c r="JCN10" t="s">
        <v>6984</v>
      </c>
      <c r="JCO10" t="s">
        <v>6984</v>
      </c>
      <c r="JCP10" t="s">
        <v>6984</v>
      </c>
      <c r="JCQ10" t="s">
        <v>6984</v>
      </c>
      <c r="JCR10" t="s">
        <v>6984</v>
      </c>
      <c r="JCS10" t="s">
        <v>6984</v>
      </c>
      <c r="JCT10" t="s">
        <v>6984</v>
      </c>
      <c r="JCU10" t="s">
        <v>6984</v>
      </c>
      <c r="JCV10" t="s">
        <v>6984</v>
      </c>
      <c r="JCW10" t="s">
        <v>6984</v>
      </c>
      <c r="JCX10" t="s">
        <v>6984</v>
      </c>
      <c r="JCY10" t="s">
        <v>6984</v>
      </c>
      <c r="JCZ10" t="s">
        <v>6984</v>
      </c>
      <c r="JDA10" t="s">
        <v>6984</v>
      </c>
      <c r="JDB10" t="s">
        <v>6984</v>
      </c>
      <c r="JDC10" t="s">
        <v>6984</v>
      </c>
      <c r="JDD10" t="s">
        <v>6984</v>
      </c>
      <c r="JDE10" t="s">
        <v>6984</v>
      </c>
      <c r="JDF10" t="s">
        <v>6984</v>
      </c>
      <c r="JDG10" t="s">
        <v>6984</v>
      </c>
      <c r="JDH10" t="s">
        <v>6984</v>
      </c>
      <c r="JDI10" t="s">
        <v>6984</v>
      </c>
      <c r="JDJ10" t="s">
        <v>6984</v>
      </c>
      <c r="JDK10" t="s">
        <v>6984</v>
      </c>
      <c r="JDL10" t="s">
        <v>6984</v>
      </c>
      <c r="JDM10" t="s">
        <v>6984</v>
      </c>
      <c r="JDN10" t="s">
        <v>6984</v>
      </c>
      <c r="JDO10" t="s">
        <v>6984</v>
      </c>
      <c r="JDP10" t="s">
        <v>6984</v>
      </c>
      <c r="JDQ10" t="s">
        <v>6984</v>
      </c>
      <c r="JDR10" t="s">
        <v>6984</v>
      </c>
      <c r="JDS10" t="s">
        <v>6984</v>
      </c>
      <c r="JDT10" t="s">
        <v>6984</v>
      </c>
      <c r="JDU10" t="s">
        <v>6984</v>
      </c>
      <c r="JDV10" t="s">
        <v>6984</v>
      </c>
      <c r="JDW10" t="s">
        <v>6984</v>
      </c>
      <c r="JDX10" t="s">
        <v>6984</v>
      </c>
      <c r="JDY10" t="s">
        <v>6984</v>
      </c>
      <c r="JDZ10" t="s">
        <v>6984</v>
      </c>
      <c r="JEA10" t="s">
        <v>6984</v>
      </c>
      <c r="JEB10" t="s">
        <v>6984</v>
      </c>
      <c r="JEC10" t="s">
        <v>6984</v>
      </c>
      <c r="JED10" t="s">
        <v>6984</v>
      </c>
      <c r="JEE10" t="s">
        <v>6984</v>
      </c>
      <c r="JEF10" t="s">
        <v>6984</v>
      </c>
      <c r="JEG10" t="s">
        <v>6984</v>
      </c>
      <c r="JEH10" t="s">
        <v>6984</v>
      </c>
      <c r="JEI10" t="s">
        <v>6984</v>
      </c>
      <c r="JEJ10" t="s">
        <v>6984</v>
      </c>
      <c r="JEK10" t="s">
        <v>6984</v>
      </c>
      <c r="JEL10" t="s">
        <v>6984</v>
      </c>
      <c r="JEM10" t="s">
        <v>6984</v>
      </c>
      <c r="JEN10" t="s">
        <v>6984</v>
      </c>
      <c r="JEO10" t="s">
        <v>6984</v>
      </c>
      <c r="JEP10" t="s">
        <v>6984</v>
      </c>
      <c r="JEQ10" t="s">
        <v>6984</v>
      </c>
      <c r="JER10" t="s">
        <v>6984</v>
      </c>
      <c r="JES10" t="s">
        <v>6984</v>
      </c>
      <c r="JET10" t="s">
        <v>6984</v>
      </c>
      <c r="JEU10" t="s">
        <v>6984</v>
      </c>
      <c r="JEV10" t="s">
        <v>6984</v>
      </c>
      <c r="JEW10" t="s">
        <v>6984</v>
      </c>
      <c r="JEX10" t="s">
        <v>6984</v>
      </c>
      <c r="JEY10" t="s">
        <v>6984</v>
      </c>
      <c r="JEZ10" t="s">
        <v>6984</v>
      </c>
      <c r="JFA10" t="s">
        <v>6984</v>
      </c>
      <c r="JFB10" t="s">
        <v>6984</v>
      </c>
      <c r="JFC10" t="s">
        <v>6984</v>
      </c>
      <c r="JFD10" t="s">
        <v>6984</v>
      </c>
      <c r="JFE10" t="s">
        <v>6984</v>
      </c>
      <c r="JFF10" t="s">
        <v>6984</v>
      </c>
      <c r="JFG10" t="s">
        <v>6984</v>
      </c>
      <c r="JFH10" t="s">
        <v>6984</v>
      </c>
      <c r="JFI10" t="s">
        <v>6984</v>
      </c>
      <c r="JFJ10" t="s">
        <v>6984</v>
      </c>
      <c r="JFK10" t="s">
        <v>6984</v>
      </c>
      <c r="JFL10" t="s">
        <v>6984</v>
      </c>
      <c r="JFM10" t="s">
        <v>6984</v>
      </c>
      <c r="JFN10" t="s">
        <v>6984</v>
      </c>
      <c r="JFO10" t="s">
        <v>6984</v>
      </c>
      <c r="JFP10" t="s">
        <v>6984</v>
      </c>
      <c r="JFQ10" t="s">
        <v>6984</v>
      </c>
      <c r="JFR10" t="s">
        <v>6984</v>
      </c>
      <c r="JFS10" t="s">
        <v>6984</v>
      </c>
      <c r="JFT10" t="s">
        <v>6984</v>
      </c>
      <c r="JFU10" t="s">
        <v>6984</v>
      </c>
      <c r="JFV10" t="s">
        <v>6984</v>
      </c>
      <c r="JFW10" t="s">
        <v>6984</v>
      </c>
      <c r="JFX10" t="s">
        <v>6984</v>
      </c>
      <c r="JFY10" t="s">
        <v>6984</v>
      </c>
      <c r="JFZ10" t="s">
        <v>6984</v>
      </c>
      <c r="JGA10" t="s">
        <v>6984</v>
      </c>
      <c r="JGB10" t="s">
        <v>6984</v>
      </c>
      <c r="JGC10" t="s">
        <v>6984</v>
      </c>
      <c r="JGD10" t="s">
        <v>6984</v>
      </c>
      <c r="JGE10" t="s">
        <v>6984</v>
      </c>
      <c r="JGF10" t="s">
        <v>6984</v>
      </c>
      <c r="JGG10" t="s">
        <v>6984</v>
      </c>
      <c r="JGH10" t="s">
        <v>6984</v>
      </c>
      <c r="JGI10" t="s">
        <v>6984</v>
      </c>
      <c r="JGJ10" t="s">
        <v>6984</v>
      </c>
      <c r="JGK10" t="s">
        <v>6984</v>
      </c>
      <c r="JGL10" t="s">
        <v>6984</v>
      </c>
      <c r="JGM10" t="s">
        <v>6984</v>
      </c>
      <c r="JGN10" t="s">
        <v>6984</v>
      </c>
      <c r="JGO10" t="s">
        <v>6984</v>
      </c>
      <c r="JGP10" t="s">
        <v>6984</v>
      </c>
      <c r="JGQ10" t="s">
        <v>6984</v>
      </c>
      <c r="JGR10" t="s">
        <v>6984</v>
      </c>
      <c r="JGS10" t="s">
        <v>6984</v>
      </c>
      <c r="JGT10" t="s">
        <v>6984</v>
      </c>
      <c r="JGU10" t="s">
        <v>6984</v>
      </c>
      <c r="JGV10" t="s">
        <v>6984</v>
      </c>
      <c r="JGW10" t="s">
        <v>6984</v>
      </c>
      <c r="JGX10" t="s">
        <v>6984</v>
      </c>
      <c r="JGY10" t="s">
        <v>6984</v>
      </c>
      <c r="JGZ10" t="s">
        <v>6984</v>
      </c>
      <c r="JHA10" t="s">
        <v>6984</v>
      </c>
      <c r="JHB10" t="s">
        <v>6984</v>
      </c>
      <c r="JHC10" t="s">
        <v>6984</v>
      </c>
      <c r="JHD10" t="s">
        <v>6984</v>
      </c>
      <c r="JHE10" t="s">
        <v>6984</v>
      </c>
      <c r="JHF10" t="s">
        <v>6984</v>
      </c>
      <c r="JHG10" t="s">
        <v>6984</v>
      </c>
      <c r="JHH10" t="s">
        <v>6984</v>
      </c>
      <c r="JHI10" t="s">
        <v>6984</v>
      </c>
      <c r="JHJ10" t="s">
        <v>6984</v>
      </c>
      <c r="JHK10" t="s">
        <v>6984</v>
      </c>
      <c r="JHL10" t="s">
        <v>6984</v>
      </c>
      <c r="JHM10" t="s">
        <v>6984</v>
      </c>
      <c r="JHN10" t="s">
        <v>6984</v>
      </c>
      <c r="JHO10" t="s">
        <v>6984</v>
      </c>
      <c r="JHP10" t="s">
        <v>6984</v>
      </c>
      <c r="JHQ10" t="s">
        <v>6984</v>
      </c>
      <c r="JHR10" t="s">
        <v>6984</v>
      </c>
      <c r="JHS10" t="s">
        <v>6984</v>
      </c>
      <c r="JHT10" t="s">
        <v>6984</v>
      </c>
      <c r="JHU10" t="s">
        <v>6984</v>
      </c>
      <c r="JHV10" t="s">
        <v>6984</v>
      </c>
      <c r="JHW10" t="s">
        <v>6984</v>
      </c>
      <c r="JHX10" t="s">
        <v>6984</v>
      </c>
      <c r="JHY10" t="s">
        <v>6984</v>
      </c>
      <c r="JHZ10" t="s">
        <v>6984</v>
      </c>
      <c r="JIA10" t="s">
        <v>6984</v>
      </c>
      <c r="JIB10" t="s">
        <v>6984</v>
      </c>
      <c r="JIC10" t="s">
        <v>6984</v>
      </c>
      <c r="JID10" t="s">
        <v>6984</v>
      </c>
      <c r="JIE10" t="s">
        <v>6984</v>
      </c>
      <c r="JIF10" t="s">
        <v>6984</v>
      </c>
      <c r="JIG10" t="s">
        <v>6984</v>
      </c>
      <c r="JIH10" t="s">
        <v>6984</v>
      </c>
      <c r="JII10" t="s">
        <v>6984</v>
      </c>
      <c r="JIJ10" t="s">
        <v>6984</v>
      </c>
      <c r="JIK10" t="s">
        <v>6984</v>
      </c>
      <c r="JIL10" t="s">
        <v>6984</v>
      </c>
      <c r="JIM10" t="s">
        <v>6984</v>
      </c>
      <c r="JIN10" t="s">
        <v>6984</v>
      </c>
      <c r="JIO10" t="s">
        <v>6984</v>
      </c>
      <c r="JIP10" t="s">
        <v>6984</v>
      </c>
      <c r="JIQ10" t="s">
        <v>6984</v>
      </c>
      <c r="JIR10" t="s">
        <v>6984</v>
      </c>
      <c r="JIS10" t="s">
        <v>6984</v>
      </c>
      <c r="JIT10" t="s">
        <v>6984</v>
      </c>
      <c r="JIU10" t="s">
        <v>6984</v>
      </c>
      <c r="JIV10" t="s">
        <v>6984</v>
      </c>
      <c r="JIW10" t="s">
        <v>6984</v>
      </c>
      <c r="JIX10" t="s">
        <v>6984</v>
      </c>
      <c r="JIY10" t="s">
        <v>6984</v>
      </c>
      <c r="JIZ10" t="s">
        <v>6984</v>
      </c>
      <c r="JJA10" t="s">
        <v>6984</v>
      </c>
    </row>
    <row r="11" spans="1:7021" x14ac:dyDescent="0.25">
      <c r="A11" t="s">
        <v>6992</v>
      </c>
      <c r="B11">
        <v>96.68</v>
      </c>
      <c r="C11">
        <v>96.68</v>
      </c>
      <c r="D11">
        <v>96.68</v>
      </c>
      <c r="E11">
        <v>96.72</v>
      </c>
      <c r="F11">
        <v>96.674999999999997</v>
      </c>
      <c r="G11">
        <v>96.674999999999997</v>
      </c>
      <c r="H11">
        <v>96.734999999999999</v>
      </c>
      <c r="I11">
        <v>96.68</v>
      </c>
      <c r="J11">
        <v>96.605000000000004</v>
      </c>
      <c r="K11">
        <v>96.614999999999995</v>
      </c>
      <c r="L11">
        <v>96.555000000000007</v>
      </c>
      <c r="M11">
        <v>96.71</v>
      </c>
      <c r="N11">
        <v>96.775000000000006</v>
      </c>
      <c r="O11">
        <v>96.685000000000002</v>
      </c>
      <c r="P11">
        <v>96.71</v>
      </c>
      <c r="Q11">
        <v>96.754999999999995</v>
      </c>
      <c r="R11">
        <v>96.74</v>
      </c>
      <c r="S11">
        <v>96.68</v>
      </c>
      <c r="T11">
        <v>96.734999999999999</v>
      </c>
      <c r="U11">
        <v>96.67</v>
      </c>
      <c r="V11">
        <v>96.67</v>
      </c>
      <c r="W11">
        <v>96.62</v>
      </c>
      <c r="X11">
        <v>96.58</v>
      </c>
      <c r="Y11">
        <v>96.644999999999996</v>
      </c>
      <c r="Z11">
        <v>96.62</v>
      </c>
      <c r="AA11">
        <v>96.61</v>
      </c>
      <c r="AB11">
        <v>96.594999999999999</v>
      </c>
      <c r="AC11">
        <v>96.49</v>
      </c>
      <c r="AD11">
        <v>96.525000000000006</v>
      </c>
      <c r="AE11">
        <v>96.54</v>
      </c>
      <c r="AF11">
        <v>96.704999999999998</v>
      </c>
      <c r="AG11">
        <v>96.694999999999993</v>
      </c>
      <c r="AH11">
        <v>96.855000000000004</v>
      </c>
      <c r="AI11">
        <v>96.84</v>
      </c>
      <c r="AJ11">
        <v>96.78</v>
      </c>
      <c r="AK11">
        <v>96.765000000000001</v>
      </c>
      <c r="AL11">
        <v>96.91</v>
      </c>
      <c r="AM11">
        <v>96.99</v>
      </c>
      <c r="AN11">
        <v>96.954999999999998</v>
      </c>
      <c r="AO11">
        <v>96.91</v>
      </c>
      <c r="AP11">
        <v>96.81</v>
      </c>
      <c r="AQ11">
        <v>96.77</v>
      </c>
      <c r="AR11">
        <v>96.68</v>
      </c>
      <c r="AS11">
        <v>96.765000000000001</v>
      </c>
      <c r="AT11">
        <v>96.82</v>
      </c>
      <c r="AU11">
        <v>96.775000000000006</v>
      </c>
      <c r="AV11">
        <v>96.775000000000006</v>
      </c>
      <c r="AW11">
        <v>96.775000000000006</v>
      </c>
      <c r="AX11">
        <v>96.704999999999998</v>
      </c>
      <c r="AY11">
        <v>96.68</v>
      </c>
      <c r="AZ11">
        <v>96.525000000000006</v>
      </c>
      <c r="BA11">
        <v>96.66</v>
      </c>
      <c r="BB11">
        <v>96.545000000000002</v>
      </c>
      <c r="BC11">
        <v>96.8</v>
      </c>
      <c r="BD11">
        <v>96.8</v>
      </c>
      <c r="BE11">
        <v>96.89</v>
      </c>
      <c r="BF11">
        <v>96.83</v>
      </c>
      <c r="BG11">
        <v>96.58</v>
      </c>
      <c r="BH11">
        <v>96.61</v>
      </c>
      <c r="BI11">
        <v>96.545000000000002</v>
      </c>
      <c r="BJ11">
        <v>96.56</v>
      </c>
      <c r="BK11">
        <v>96.44</v>
      </c>
      <c r="BL11">
        <v>96.435000000000002</v>
      </c>
      <c r="BM11">
        <v>96.46</v>
      </c>
      <c r="BN11">
        <v>96.415000000000006</v>
      </c>
      <c r="BO11">
        <v>96.504999999999995</v>
      </c>
      <c r="BP11">
        <v>96.49</v>
      </c>
      <c r="BQ11">
        <v>96.465000000000003</v>
      </c>
      <c r="BR11">
        <v>96.415000000000006</v>
      </c>
      <c r="BS11">
        <v>96.385000000000005</v>
      </c>
      <c r="BT11">
        <v>96.41</v>
      </c>
      <c r="BU11">
        <v>96.48</v>
      </c>
      <c r="BV11">
        <v>96.43</v>
      </c>
      <c r="BW11">
        <v>96.484999999999999</v>
      </c>
      <c r="BX11">
        <v>96.545000000000002</v>
      </c>
      <c r="BY11">
        <v>96.405000000000001</v>
      </c>
      <c r="BZ11">
        <v>96.435000000000002</v>
      </c>
      <c r="CA11">
        <v>96.43</v>
      </c>
      <c r="CB11">
        <v>96.484999999999999</v>
      </c>
      <c r="CC11">
        <v>96.465000000000003</v>
      </c>
      <c r="CD11">
        <v>96.44</v>
      </c>
      <c r="CE11">
        <v>96.355000000000004</v>
      </c>
      <c r="CF11">
        <v>96.38</v>
      </c>
      <c r="CG11">
        <v>96.33</v>
      </c>
      <c r="CH11">
        <v>96.21</v>
      </c>
      <c r="CI11">
        <v>96.17</v>
      </c>
      <c r="CJ11">
        <v>96.07</v>
      </c>
      <c r="CK11">
        <v>96.045000000000002</v>
      </c>
      <c r="CL11">
        <v>96.025000000000006</v>
      </c>
      <c r="CM11">
        <v>96.08</v>
      </c>
      <c r="CN11">
        <v>96.08</v>
      </c>
      <c r="CO11">
        <v>96.004999999999995</v>
      </c>
      <c r="CP11">
        <v>95.91</v>
      </c>
      <c r="CQ11">
        <v>96.034999999999997</v>
      </c>
      <c r="CR11">
        <v>96.075000000000003</v>
      </c>
      <c r="CS11">
        <v>96.064999999999998</v>
      </c>
      <c r="CT11">
        <v>96.14</v>
      </c>
      <c r="CU11">
        <v>96.18</v>
      </c>
      <c r="CV11">
        <v>96.11</v>
      </c>
      <c r="CW11">
        <v>96.045000000000002</v>
      </c>
      <c r="CX11">
        <v>96.05</v>
      </c>
      <c r="CY11">
        <v>96.105000000000004</v>
      </c>
      <c r="CZ11">
        <v>96.064999999999998</v>
      </c>
      <c r="DA11">
        <v>96.08</v>
      </c>
      <c r="DB11">
        <v>96.1</v>
      </c>
      <c r="DC11">
        <v>95.99</v>
      </c>
      <c r="DD11">
        <v>95.98</v>
      </c>
      <c r="DE11">
        <v>95.965000000000003</v>
      </c>
      <c r="DF11">
        <v>95.984999999999999</v>
      </c>
      <c r="DG11">
        <v>95.98</v>
      </c>
      <c r="DH11">
        <v>95.98</v>
      </c>
      <c r="DI11">
        <v>96.015000000000001</v>
      </c>
      <c r="DJ11">
        <v>95.965000000000003</v>
      </c>
      <c r="DK11">
        <v>95.805000000000007</v>
      </c>
      <c r="DL11">
        <v>95.775000000000006</v>
      </c>
      <c r="DM11">
        <v>95.795000000000002</v>
      </c>
      <c r="DN11">
        <v>95.98</v>
      </c>
      <c r="DO11">
        <v>95.944999999999993</v>
      </c>
      <c r="DP11">
        <v>95.935000000000002</v>
      </c>
      <c r="DQ11">
        <v>95.974999999999994</v>
      </c>
      <c r="DR11">
        <v>96.004999999999995</v>
      </c>
      <c r="DS11">
        <v>96.045000000000002</v>
      </c>
      <c r="DT11">
        <v>96.034999999999997</v>
      </c>
      <c r="DU11">
        <v>96.034999999999997</v>
      </c>
      <c r="DV11">
        <v>96.05</v>
      </c>
      <c r="DW11">
        <v>95.954999999999998</v>
      </c>
      <c r="DX11">
        <v>95.98</v>
      </c>
      <c r="DY11">
        <v>95.97</v>
      </c>
      <c r="DZ11">
        <v>95.97</v>
      </c>
      <c r="EA11">
        <v>95.96</v>
      </c>
      <c r="EB11">
        <v>96.025000000000006</v>
      </c>
      <c r="EC11">
        <v>95.98</v>
      </c>
      <c r="ED11">
        <v>96.015000000000001</v>
      </c>
      <c r="EE11">
        <v>96.155000000000001</v>
      </c>
      <c r="EF11">
        <v>96.144999999999996</v>
      </c>
      <c r="EG11">
        <v>96.17</v>
      </c>
      <c r="EH11">
        <v>96.24</v>
      </c>
      <c r="EI11">
        <v>96.284999999999997</v>
      </c>
      <c r="EJ11">
        <v>96.33</v>
      </c>
      <c r="EK11">
        <v>96.36</v>
      </c>
      <c r="EL11">
        <v>96.394999999999996</v>
      </c>
      <c r="EM11">
        <v>96.355000000000004</v>
      </c>
      <c r="EN11">
        <v>96.385000000000005</v>
      </c>
      <c r="EO11">
        <v>96.33</v>
      </c>
      <c r="EP11">
        <v>96.344999999999999</v>
      </c>
      <c r="EQ11">
        <v>96.364999999999995</v>
      </c>
      <c r="ER11">
        <v>96.32</v>
      </c>
      <c r="ES11">
        <v>96.32</v>
      </c>
      <c r="ET11">
        <v>96.24</v>
      </c>
      <c r="EU11">
        <v>96.27</v>
      </c>
      <c r="EV11">
        <v>96.15</v>
      </c>
      <c r="EW11">
        <v>96.144999999999996</v>
      </c>
      <c r="EX11">
        <v>96.185000000000002</v>
      </c>
      <c r="EY11">
        <v>96.224999999999994</v>
      </c>
      <c r="EZ11">
        <v>96.19</v>
      </c>
      <c r="FA11">
        <v>96.174999999999997</v>
      </c>
      <c r="FB11">
        <v>96.174999999999997</v>
      </c>
      <c r="FC11">
        <v>96.165000000000006</v>
      </c>
      <c r="FD11">
        <v>96.144999999999996</v>
      </c>
      <c r="FE11">
        <v>96.174999999999997</v>
      </c>
      <c r="FF11">
        <v>96.25</v>
      </c>
      <c r="FG11">
        <v>96.265000000000001</v>
      </c>
      <c r="FH11">
        <v>96.2</v>
      </c>
      <c r="FI11">
        <v>96.314999999999998</v>
      </c>
      <c r="FJ11">
        <v>96.334999999999994</v>
      </c>
      <c r="FK11">
        <v>96.31</v>
      </c>
      <c r="FL11">
        <v>96.35</v>
      </c>
      <c r="FM11">
        <v>96.37</v>
      </c>
      <c r="FN11">
        <v>96.424999999999997</v>
      </c>
      <c r="FO11">
        <v>96.405000000000001</v>
      </c>
      <c r="FP11">
        <v>96.46</v>
      </c>
      <c r="FQ11">
        <v>96.495000000000005</v>
      </c>
      <c r="FR11">
        <v>96.46</v>
      </c>
      <c r="FS11">
        <v>96.534999999999997</v>
      </c>
      <c r="FT11">
        <v>96.57</v>
      </c>
      <c r="FU11">
        <v>96.674999999999997</v>
      </c>
      <c r="FV11">
        <v>96.644999999999996</v>
      </c>
      <c r="FW11">
        <v>96.704999999999998</v>
      </c>
      <c r="FX11">
        <v>96.685000000000002</v>
      </c>
      <c r="FY11">
        <v>96.62</v>
      </c>
      <c r="FZ11">
        <v>96.68</v>
      </c>
      <c r="GA11">
        <v>96.62</v>
      </c>
      <c r="GB11">
        <v>96.62</v>
      </c>
      <c r="GC11">
        <v>96.655000000000001</v>
      </c>
      <c r="GD11">
        <v>96.644999999999996</v>
      </c>
      <c r="GE11">
        <v>96.72</v>
      </c>
      <c r="GF11">
        <v>96.94</v>
      </c>
      <c r="GG11">
        <v>97.02</v>
      </c>
      <c r="GH11">
        <v>97.06</v>
      </c>
      <c r="GI11">
        <v>96.995000000000005</v>
      </c>
      <c r="GJ11">
        <v>97.05</v>
      </c>
      <c r="GK11">
        <v>96.995000000000005</v>
      </c>
      <c r="GL11">
        <v>97.04</v>
      </c>
      <c r="GM11">
        <v>97.084999999999994</v>
      </c>
      <c r="GN11">
        <v>97.05</v>
      </c>
      <c r="GO11">
        <v>97.064999999999998</v>
      </c>
      <c r="GP11">
        <v>97.06</v>
      </c>
      <c r="GQ11">
        <v>97.075000000000003</v>
      </c>
      <c r="GR11">
        <v>97.144999999999996</v>
      </c>
      <c r="GS11">
        <v>97.19</v>
      </c>
      <c r="GT11">
        <v>97.194999999999993</v>
      </c>
      <c r="GU11">
        <v>97.185000000000002</v>
      </c>
      <c r="GV11">
        <v>97.21</v>
      </c>
      <c r="GW11">
        <v>97.23</v>
      </c>
      <c r="GX11">
        <v>97.165000000000006</v>
      </c>
      <c r="GY11">
        <v>97.174999999999997</v>
      </c>
      <c r="GZ11">
        <v>97.08</v>
      </c>
      <c r="HA11">
        <v>97.06</v>
      </c>
      <c r="HB11">
        <v>96.96</v>
      </c>
      <c r="HC11">
        <v>96.905000000000001</v>
      </c>
      <c r="HD11">
        <v>96.905000000000001</v>
      </c>
      <c r="HE11">
        <v>96.954999999999998</v>
      </c>
      <c r="HF11">
        <v>96.974999999999994</v>
      </c>
      <c r="HG11">
        <v>96.98</v>
      </c>
      <c r="HH11">
        <v>96.97</v>
      </c>
      <c r="HI11">
        <v>96.97</v>
      </c>
      <c r="HJ11">
        <v>96.88</v>
      </c>
      <c r="HK11">
        <v>96.97</v>
      </c>
      <c r="HL11">
        <v>96.894999999999996</v>
      </c>
      <c r="HM11">
        <v>96.825000000000003</v>
      </c>
      <c r="HN11">
        <v>96.814999999999998</v>
      </c>
      <c r="HO11">
        <v>96.79</v>
      </c>
      <c r="HP11">
        <v>96.954999999999998</v>
      </c>
      <c r="HQ11">
        <v>96.94</v>
      </c>
      <c r="HR11">
        <v>96.87</v>
      </c>
      <c r="HS11">
        <v>96.805000000000007</v>
      </c>
      <c r="HT11">
        <v>96.784999999999997</v>
      </c>
      <c r="HU11">
        <v>96.82</v>
      </c>
      <c r="HV11">
        <v>96.894999999999996</v>
      </c>
      <c r="HW11">
        <v>96.96</v>
      </c>
      <c r="HX11">
        <v>96.99</v>
      </c>
      <c r="HY11">
        <v>96.76</v>
      </c>
      <c r="HZ11">
        <v>96.584999999999994</v>
      </c>
      <c r="IA11">
        <v>96.56</v>
      </c>
      <c r="IB11">
        <v>96.52</v>
      </c>
      <c r="IC11">
        <v>96.51</v>
      </c>
      <c r="ID11">
        <v>96.45</v>
      </c>
      <c r="IE11">
        <v>96.465000000000003</v>
      </c>
      <c r="IF11">
        <v>96.45</v>
      </c>
      <c r="IG11">
        <v>96.41</v>
      </c>
      <c r="IH11">
        <v>96.424999999999997</v>
      </c>
      <c r="II11">
        <v>96.5</v>
      </c>
      <c r="IJ11">
        <v>96.545000000000002</v>
      </c>
      <c r="IK11">
        <v>96.515000000000001</v>
      </c>
      <c r="IL11">
        <v>96.495000000000005</v>
      </c>
      <c r="IM11">
        <v>96.504999999999995</v>
      </c>
      <c r="IN11">
        <v>96.474999999999994</v>
      </c>
      <c r="IO11">
        <v>96.33</v>
      </c>
      <c r="IP11">
        <v>96.32</v>
      </c>
      <c r="IQ11">
        <v>96.33</v>
      </c>
      <c r="IR11">
        <v>96.34</v>
      </c>
      <c r="IS11">
        <v>96.224999999999994</v>
      </c>
      <c r="IT11">
        <v>96.224999999999994</v>
      </c>
      <c r="IU11">
        <v>96.135000000000005</v>
      </c>
      <c r="IV11">
        <v>96.08</v>
      </c>
      <c r="IW11">
        <v>96.204999999999998</v>
      </c>
      <c r="IX11">
        <v>96.22</v>
      </c>
      <c r="IY11">
        <v>96.185000000000002</v>
      </c>
      <c r="IZ11">
        <v>96.275000000000006</v>
      </c>
      <c r="JA11">
        <v>96.28</v>
      </c>
      <c r="JB11">
        <v>96.28</v>
      </c>
      <c r="JC11">
        <v>96.275000000000006</v>
      </c>
      <c r="JD11">
        <v>96.245000000000005</v>
      </c>
      <c r="JE11">
        <v>96.245000000000005</v>
      </c>
      <c r="JF11">
        <v>96.165000000000006</v>
      </c>
      <c r="JG11">
        <v>96.26</v>
      </c>
      <c r="JH11">
        <v>96.245000000000005</v>
      </c>
      <c r="JI11">
        <v>96.155000000000001</v>
      </c>
      <c r="JJ11">
        <v>96.01</v>
      </c>
      <c r="JK11">
        <v>95.93</v>
      </c>
      <c r="JL11">
        <v>95.96</v>
      </c>
      <c r="JM11">
        <v>96.14</v>
      </c>
      <c r="JN11">
        <v>96.125</v>
      </c>
      <c r="JO11">
        <v>96.08</v>
      </c>
      <c r="JP11">
        <v>96.004999999999995</v>
      </c>
      <c r="JQ11">
        <v>95.894999999999996</v>
      </c>
      <c r="JR11">
        <v>95.834999999999994</v>
      </c>
      <c r="JS11">
        <v>95.76</v>
      </c>
      <c r="JT11">
        <v>95.82</v>
      </c>
      <c r="JU11">
        <v>95.86</v>
      </c>
      <c r="JV11">
        <v>95.86</v>
      </c>
      <c r="JW11">
        <v>95.864999999999995</v>
      </c>
      <c r="JX11">
        <v>95.94</v>
      </c>
      <c r="JY11">
        <v>96</v>
      </c>
      <c r="JZ11">
        <v>95.984999999999999</v>
      </c>
      <c r="KA11">
        <v>95.99</v>
      </c>
      <c r="KB11">
        <v>96.05</v>
      </c>
      <c r="KC11">
        <v>96.114999999999995</v>
      </c>
      <c r="KD11">
        <v>95.98</v>
      </c>
      <c r="KE11">
        <v>95.924999999999997</v>
      </c>
      <c r="KF11">
        <v>95.9</v>
      </c>
      <c r="KG11">
        <v>95.98</v>
      </c>
      <c r="KH11">
        <v>95.935000000000002</v>
      </c>
      <c r="KI11">
        <v>95.974999999999994</v>
      </c>
      <c r="KJ11">
        <v>95.97</v>
      </c>
      <c r="KK11">
        <v>95.97</v>
      </c>
      <c r="KL11">
        <v>95.864999999999995</v>
      </c>
      <c r="KM11">
        <v>95.79</v>
      </c>
      <c r="KN11">
        <v>95.665000000000006</v>
      </c>
      <c r="KO11">
        <v>95.754999999999995</v>
      </c>
      <c r="KP11">
        <v>95.71</v>
      </c>
      <c r="KQ11">
        <v>95.685000000000002</v>
      </c>
      <c r="KR11">
        <v>95.765000000000001</v>
      </c>
      <c r="KS11">
        <v>95.81</v>
      </c>
      <c r="KT11">
        <v>95.76</v>
      </c>
      <c r="KU11">
        <v>95.76</v>
      </c>
      <c r="KV11">
        <v>95.73</v>
      </c>
      <c r="KW11">
        <v>95.82</v>
      </c>
      <c r="KX11">
        <v>95.74</v>
      </c>
      <c r="KY11">
        <v>95.795000000000002</v>
      </c>
      <c r="KZ11">
        <v>95.894999999999996</v>
      </c>
      <c r="LA11">
        <v>95.795000000000002</v>
      </c>
      <c r="LB11">
        <v>95.79</v>
      </c>
      <c r="LC11">
        <v>96.08</v>
      </c>
      <c r="LD11">
        <v>96.03</v>
      </c>
      <c r="LE11">
        <v>96.125</v>
      </c>
      <c r="LF11">
        <v>96.224999999999994</v>
      </c>
      <c r="LG11">
        <v>96.19</v>
      </c>
      <c r="LH11">
        <v>96.17</v>
      </c>
      <c r="LI11">
        <v>96.18</v>
      </c>
      <c r="LJ11">
        <v>96.325000000000003</v>
      </c>
      <c r="LK11">
        <v>96.325000000000003</v>
      </c>
      <c r="LL11">
        <v>96.36</v>
      </c>
      <c r="LM11">
        <v>96.314999999999998</v>
      </c>
      <c r="LN11">
        <v>96.3</v>
      </c>
      <c r="LO11">
        <v>96.34</v>
      </c>
      <c r="LP11">
        <v>96.28</v>
      </c>
      <c r="LQ11">
        <v>96.29</v>
      </c>
      <c r="LR11">
        <v>96.17</v>
      </c>
      <c r="LS11">
        <v>96.1</v>
      </c>
      <c r="LT11">
        <v>96.13</v>
      </c>
      <c r="LU11">
        <v>96.19</v>
      </c>
      <c r="LV11">
        <v>96.334999999999994</v>
      </c>
      <c r="LW11">
        <v>96.37</v>
      </c>
      <c r="LX11">
        <v>96.454999999999998</v>
      </c>
      <c r="LY11">
        <v>96.495000000000005</v>
      </c>
      <c r="LZ11">
        <v>96.454999999999998</v>
      </c>
      <c r="MA11">
        <v>96.41</v>
      </c>
      <c r="MB11">
        <v>96.405000000000001</v>
      </c>
      <c r="MC11">
        <v>96.33</v>
      </c>
      <c r="MD11">
        <v>96.394999999999996</v>
      </c>
      <c r="ME11">
        <v>96.284999999999997</v>
      </c>
      <c r="MF11">
        <v>96.29</v>
      </c>
      <c r="MG11">
        <v>96.23</v>
      </c>
      <c r="MH11">
        <v>96.23</v>
      </c>
      <c r="MI11">
        <v>96.28</v>
      </c>
      <c r="MJ11">
        <v>96.245000000000005</v>
      </c>
      <c r="MK11">
        <v>96.295000000000002</v>
      </c>
      <c r="ML11">
        <v>96.35</v>
      </c>
      <c r="MM11">
        <v>96.295000000000002</v>
      </c>
      <c r="MN11">
        <v>96.295000000000002</v>
      </c>
      <c r="MO11">
        <v>96.38</v>
      </c>
      <c r="MP11">
        <v>96.355000000000004</v>
      </c>
      <c r="MQ11">
        <v>96.27</v>
      </c>
      <c r="MR11">
        <v>96.51</v>
      </c>
      <c r="MS11">
        <v>96.474999999999994</v>
      </c>
      <c r="MT11">
        <v>96.52</v>
      </c>
      <c r="MU11">
        <v>96.584999999999994</v>
      </c>
      <c r="MV11">
        <v>96.61</v>
      </c>
      <c r="MW11">
        <v>96.525000000000006</v>
      </c>
      <c r="MX11">
        <v>96.665000000000006</v>
      </c>
      <c r="MY11">
        <v>96.87</v>
      </c>
      <c r="MZ11">
        <v>96.8</v>
      </c>
      <c r="NA11">
        <v>96.655000000000001</v>
      </c>
      <c r="NB11">
        <v>96.694999999999993</v>
      </c>
      <c r="NC11">
        <v>96.614999999999995</v>
      </c>
      <c r="ND11">
        <v>96.68</v>
      </c>
      <c r="NE11">
        <v>96.61</v>
      </c>
      <c r="NF11">
        <v>96.65</v>
      </c>
      <c r="NG11">
        <v>96.67</v>
      </c>
      <c r="NH11">
        <v>96.61</v>
      </c>
      <c r="NI11">
        <v>96.644999999999996</v>
      </c>
      <c r="NJ11">
        <v>96.67</v>
      </c>
      <c r="NK11">
        <v>96.8</v>
      </c>
      <c r="NL11">
        <v>96.89</v>
      </c>
      <c r="NM11">
        <v>96.89</v>
      </c>
      <c r="NN11">
        <v>96.814999999999998</v>
      </c>
      <c r="NO11">
        <v>96.704999999999998</v>
      </c>
      <c r="NP11">
        <v>96.71</v>
      </c>
      <c r="NQ11">
        <v>96.734999999999999</v>
      </c>
      <c r="NR11">
        <v>96.7</v>
      </c>
      <c r="NS11">
        <v>96.734999999999999</v>
      </c>
      <c r="NT11">
        <v>96.85</v>
      </c>
      <c r="NU11">
        <v>96.814999999999998</v>
      </c>
      <c r="NV11">
        <v>96.935000000000002</v>
      </c>
      <c r="NW11">
        <v>96.935000000000002</v>
      </c>
      <c r="NX11">
        <v>96.9</v>
      </c>
      <c r="NY11">
        <v>96.944999999999993</v>
      </c>
      <c r="NZ11">
        <v>96.864999999999995</v>
      </c>
      <c r="OA11">
        <v>96.844999999999999</v>
      </c>
      <c r="OB11">
        <v>96.844999999999999</v>
      </c>
      <c r="OC11">
        <v>96.86</v>
      </c>
      <c r="OD11">
        <v>96.84</v>
      </c>
      <c r="OE11">
        <v>96.72</v>
      </c>
      <c r="OF11">
        <v>96.715000000000003</v>
      </c>
      <c r="OG11">
        <v>96.74</v>
      </c>
      <c r="OH11">
        <v>96.775000000000006</v>
      </c>
      <c r="OI11">
        <v>96.65</v>
      </c>
      <c r="OJ11">
        <v>96.415000000000006</v>
      </c>
      <c r="OK11">
        <v>96.394999999999996</v>
      </c>
      <c r="OL11">
        <v>96.405000000000001</v>
      </c>
      <c r="OM11">
        <v>96.59</v>
      </c>
      <c r="ON11">
        <v>96.57</v>
      </c>
      <c r="OO11">
        <v>96.584999999999994</v>
      </c>
      <c r="OP11">
        <v>96.474999999999994</v>
      </c>
      <c r="OQ11">
        <v>96.545000000000002</v>
      </c>
      <c r="OR11">
        <v>96.39</v>
      </c>
      <c r="OS11">
        <v>96.474999999999994</v>
      </c>
      <c r="OT11">
        <v>96.405000000000001</v>
      </c>
      <c r="OU11">
        <v>96.25</v>
      </c>
      <c r="OV11">
        <v>96.16</v>
      </c>
      <c r="OW11">
        <v>96.22</v>
      </c>
      <c r="OX11">
        <v>96.22</v>
      </c>
      <c r="OY11">
        <v>96.245000000000005</v>
      </c>
      <c r="OZ11">
        <v>96.194999999999993</v>
      </c>
      <c r="PA11">
        <v>96.174999999999997</v>
      </c>
      <c r="PB11">
        <v>96.234999999999999</v>
      </c>
      <c r="PC11">
        <v>96.114999999999995</v>
      </c>
      <c r="PD11">
        <v>96.24</v>
      </c>
      <c r="PE11">
        <v>95.954999999999998</v>
      </c>
      <c r="PF11">
        <v>95.944999999999993</v>
      </c>
      <c r="PG11">
        <v>96</v>
      </c>
      <c r="PH11">
        <v>96.11</v>
      </c>
      <c r="PI11">
        <v>96.11</v>
      </c>
      <c r="PJ11">
        <v>96.04</v>
      </c>
      <c r="PK11">
        <v>96.18</v>
      </c>
      <c r="PL11">
        <v>95.984999999999999</v>
      </c>
      <c r="PM11">
        <v>95.98</v>
      </c>
      <c r="PN11">
        <v>95.84</v>
      </c>
      <c r="PO11">
        <v>95.87</v>
      </c>
      <c r="PP11">
        <v>95.885000000000005</v>
      </c>
      <c r="PQ11">
        <v>95.825000000000003</v>
      </c>
      <c r="PR11">
        <v>95.69</v>
      </c>
      <c r="PS11">
        <v>95.78</v>
      </c>
      <c r="PT11">
        <v>95.855000000000004</v>
      </c>
      <c r="PU11">
        <v>95.754999999999995</v>
      </c>
      <c r="PV11">
        <v>95.605000000000004</v>
      </c>
      <c r="PW11">
        <v>95.605000000000004</v>
      </c>
      <c r="PX11">
        <v>95.665000000000006</v>
      </c>
      <c r="PY11">
        <v>95.855000000000004</v>
      </c>
      <c r="PZ11">
        <v>95.924999999999997</v>
      </c>
      <c r="QA11">
        <v>95.89</v>
      </c>
      <c r="QB11">
        <v>95.99</v>
      </c>
      <c r="QC11">
        <v>96</v>
      </c>
      <c r="QD11">
        <v>96.045000000000002</v>
      </c>
      <c r="QE11">
        <v>95.87</v>
      </c>
      <c r="QF11">
        <v>95.935000000000002</v>
      </c>
      <c r="QG11">
        <v>95.89</v>
      </c>
      <c r="QH11">
        <v>95.805000000000007</v>
      </c>
      <c r="QI11">
        <v>95.885000000000005</v>
      </c>
      <c r="QJ11">
        <v>95.995000000000005</v>
      </c>
      <c r="QK11">
        <v>95.94</v>
      </c>
      <c r="QL11">
        <v>95.864999999999995</v>
      </c>
      <c r="QM11">
        <v>95.944999999999993</v>
      </c>
      <c r="QN11">
        <v>95.944999999999993</v>
      </c>
      <c r="QO11">
        <v>95.97</v>
      </c>
      <c r="QP11">
        <v>95.915000000000006</v>
      </c>
      <c r="QQ11">
        <v>96.015000000000001</v>
      </c>
      <c r="QR11">
        <v>95.88</v>
      </c>
      <c r="QS11">
        <v>95.97</v>
      </c>
      <c r="QT11">
        <v>96</v>
      </c>
      <c r="QU11">
        <v>96.04</v>
      </c>
      <c r="QV11">
        <v>96.08</v>
      </c>
      <c r="QW11">
        <v>96.055000000000007</v>
      </c>
      <c r="QX11">
        <v>96.08</v>
      </c>
      <c r="QY11">
        <v>96.094999999999999</v>
      </c>
      <c r="QZ11">
        <v>96.14</v>
      </c>
      <c r="RA11">
        <v>96.04</v>
      </c>
      <c r="RB11">
        <v>96.135000000000005</v>
      </c>
      <c r="RC11">
        <v>96.25</v>
      </c>
      <c r="RD11">
        <v>96.25</v>
      </c>
      <c r="RE11">
        <v>96.275000000000006</v>
      </c>
      <c r="RF11">
        <v>96.254999999999995</v>
      </c>
      <c r="RG11">
        <v>96.245000000000005</v>
      </c>
      <c r="RH11">
        <v>96.114999999999995</v>
      </c>
      <c r="RI11">
        <v>96.075000000000003</v>
      </c>
      <c r="RJ11">
        <v>96.084999999999994</v>
      </c>
      <c r="RK11">
        <v>96.12</v>
      </c>
      <c r="RL11">
        <v>95.99</v>
      </c>
      <c r="RM11">
        <v>96.03</v>
      </c>
      <c r="RN11">
        <v>96.11</v>
      </c>
      <c r="RO11">
        <v>96.06</v>
      </c>
      <c r="RP11">
        <v>96.09</v>
      </c>
      <c r="RQ11">
        <v>96.125</v>
      </c>
      <c r="RR11">
        <v>96.14</v>
      </c>
      <c r="RS11">
        <v>96.215000000000003</v>
      </c>
      <c r="RT11">
        <v>96.35</v>
      </c>
      <c r="RU11">
        <v>96.42</v>
      </c>
      <c r="RV11">
        <v>96.465000000000003</v>
      </c>
      <c r="RW11">
        <v>96.44</v>
      </c>
      <c r="RX11">
        <v>96.39</v>
      </c>
      <c r="RY11">
        <v>96.245000000000005</v>
      </c>
      <c r="RZ11">
        <v>96.3</v>
      </c>
      <c r="SA11">
        <v>96.234999999999999</v>
      </c>
      <c r="SB11">
        <v>96.3</v>
      </c>
      <c r="SC11">
        <v>96.26</v>
      </c>
      <c r="SD11">
        <v>96.204999999999998</v>
      </c>
      <c r="SE11">
        <v>96.39</v>
      </c>
      <c r="SF11">
        <v>96.265000000000001</v>
      </c>
      <c r="SG11">
        <v>96.35</v>
      </c>
      <c r="SH11">
        <v>96.41</v>
      </c>
      <c r="SI11">
        <v>96.424999999999997</v>
      </c>
      <c r="SJ11">
        <v>96.575000000000003</v>
      </c>
      <c r="SK11">
        <v>96.555000000000007</v>
      </c>
      <c r="SL11">
        <v>96.56</v>
      </c>
      <c r="SM11">
        <v>96.525000000000006</v>
      </c>
      <c r="SN11">
        <v>96.704999999999998</v>
      </c>
      <c r="SO11">
        <v>96.484999999999999</v>
      </c>
      <c r="SP11">
        <v>96.28</v>
      </c>
      <c r="SQ11">
        <v>96.275000000000006</v>
      </c>
      <c r="SR11">
        <v>96.144999999999996</v>
      </c>
      <c r="SS11">
        <v>96.1</v>
      </c>
      <c r="ST11">
        <v>96.21</v>
      </c>
      <c r="SU11">
        <v>96.275000000000006</v>
      </c>
      <c r="SV11">
        <v>96.275000000000006</v>
      </c>
      <c r="SW11">
        <v>96.36</v>
      </c>
      <c r="SX11">
        <v>96.385000000000005</v>
      </c>
      <c r="SY11">
        <v>96.594999999999999</v>
      </c>
      <c r="SZ11">
        <v>96.52</v>
      </c>
      <c r="TA11">
        <v>96.625</v>
      </c>
      <c r="TB11">
        <v>96.56</v>
      </c>
      <c r="TC11">
        <v>96.51</v>
      </c>
      <c r="TD11">
        <v>96.625</v>
      </c>
      <c r="TE11">
        <v>96.49</v>
      </c>
      <c r="TF11">
        <v>96.44</v>
      </c>
      <c r="TG11">
        <v>96.44</v>
      </c>
      <c r="TH11">
        <v>96.555000000000007</v>
      </c>
      <c r="TI11">
        <v>96.48</v>
      </c>
      <c r="TJ11">
        <v>96.465000000000003</v>
      </c>
      <c r="TK11">
        <v>96.635000000000005</v>
      </c>
      <c r="TL11">
        <v>96.614999999999995</v>
      </c>
      <c r="TM11">
        <v>96.71</v>
      </c>
      <c r="TN11">
        <v>96.67</v>
      </c>
      <c r="TO11">
        <v>96.73</v>
      </c>
      <c r="TP11">
        <v>96.79</v>
      </c>
      <c r="TQ11">
        <v>96.76</v>
      </c>
      <c r="TR11">
        <v>96.954999999999998</v>
      </c>
      <c r="TS11">
        <v>96.905000000000001</v>
      </c>
      <c r="TT11">
        <v>96.82</v>
      </c>
      <c r="TU11">
        <v>96.635000000000005</v>
      </c>
      <c r="TV11">
        <v>96.635000000000005</v>
      </c>
      <c r="TW11">
        <v>96.724999999999994</v>
      </c>
      <c r="TX11">
        <v>96.89</v>
      </c>
      <c r="TY11">
        <v>96.89</v>
      </c>
      <c r="TZ11">
        <v>96.86</v>
      </c>
      <c r="UA11">
        <v>96.875</v>
      </c>
      <c r="UB11">
        <v>96.94</v>
      </c>
      <c r="UC11">
        <v>97.094999999999999</v>
      </c>
      <c r="UD11">
        <v>97.17</v>
      </c>
      <c r="UE11">
        <v>97.204999999999998</v>
      </c>
      <c r="UF11">
        <v>97.194999999999993</v>
      </c>
      <c r="UG11">
        <v>97.31</v>
      </c>
      <c r="UH11">
        <v>97.295000000000002</v>
      </c>
      <c r="UI11">
        <v>97.155000000000001</v>
      </c>
      <c r="UJ11">
        <v>97.14</v>
      </c>
      <c r="UK11">
        <v>97.21</v>
      </c>
      <c r="UL11">
        <v>97.394999999999996</v>
      </c>
      <c r="UM11">
        <v>97.24</v>
      </c>
      <c r="UN11">
        <v>97.18</v>
      </c>
      <c r="UO11">
        <v>96.995000000000005</v>
      </c>
      <c r="UP11">
        <v>97.08</v>
      </c>
      <c r="UQ11">
        <v>97.015000000000001</v>
      </c>
      <c r="UR11">
        <v>97.165000000000006</v>
      </c>
      <c r="US11">
        <v>97.23</v>
      </c>
      <c r="UT11">
        <v>96.995000000000005</v>
      </c>
      <c r="UU11">
        <v>96.935000000000002</v>
      </c>
      <c r="UV11">
        <v>96.944999999999993</v>
      </c>
      <c r="UW11">
        <v>96.825000000000003</v>
      </c>
      <c r="UX11">
        <v>96.89</v>
      </c>
      <c r="UY11">
        <v>96.875</v>
      </c>
      <c r="UZ11">
        <v>96.984999999999999</v>
      </c>
      <c r="VA11">
        <v>97.105000000000004</v>
      </c>
      <c r="VB11">
        <v>97.135000000000005</v>
      </c>
      <c r="VC11">
        <v>97.01</v>
      </c>
      <c r="VD11">
        <v>97.08</v>
      </c>
      <c r="VE11">
        <v>97.12</v>
      </c>
      <c r="VF11">
        <v>97.275000000000006</v>
      </c>
      <c r="VG11">
        <v>97.31</v>
      </c>
      <c r="VH11">
        <v>97.245000000000005</v>
      </c>
      <c r="VI11">
        <v>97.1</v>
      </c>
      <c r="VJ11">
        <v>96.965000000000003</v>
      </c>
      <c r="VK11">
        <v>96.894999999999996</v>
      </c>
      <c r="VL11">
        <v>96.885000000000005</v>
      </c>
      <c r="VM11">
        <v>96.91</v>
      </c>
      <c r="VN11">
        <v>96.99</v>
      </c>
      <c r="VO11">
        <v>97.155000000000001</v>
      </c>
      <c r="VP11">
        <v>97.144999999999996</v>
      </c>
      <c r="VQ11">
        <v>96.98</v>
      </c>
      <c r="VR11">
        <v>96.745000000000005</v>
      </c>
      <c r="VS11">
        <v>96.875</v>
      </c>
      <c r="VT11">
        <v>96.97</v>
      </c>
      <c r="VU11">
        <v>96.644999999999996</v>
      </c>
      <c r="VV11">
        <v>96.71</v>
      </c>
      <c r="VW11">
        <v>96.534999999999997</v>
      </c>
      <c r="VX11">
        <v>96.694999999999993</v>
      </c>
      <c r="VY11">
        <v>96.495000000000005</v>
      </c>
      <c r="VZ11">
        <v>96.22</v>
      </c>
      <c r="WA11">
        <v>96.01</v>
      </c>
      <c r="WB11">
        <v>96</v>
      </c>
      <c r="WC11">
        <v>96.07</v>
      </c>
      <c r="WD11">
        <v>96.075000000000003</v>
      </c>
      <c r="WE11">
        <v>95.965000000000003</v>
      </c>
      <c r="WF11">
        <v>96.055000000000007</v>
      </c>
      <c r="WG11">
        <v>96.18</v>
      </c>
      <c r="WH11">
        <v>96.204999999999998</v>
      </c>
      <c r="WI11">
        <v>96.17</v>
      </c>
      <c r="WJ11">
        <v>96.375</v>
      </c>
      <c r="WK11">
        <v>96.325000000000003</v>
      </c>
      <c r="WL11">
        <v>96.284999999999997</v>
      </c>
      <c r="WM11">
        <v>96.42</v>
      </c>
      <c r="WN11">
        <v>96.42</v>
      </c>
      <c r="WO11">
        <v>96.37</v>
      </c>
      <c r="WP11">
        <v>96.35</v>
      </c>
      <c r="WQ11">
        <v>96.415000000000006</v>
      </c>
      <c r="WR11">
        <v>96.584999999999994</v>
      </c>
      <c r="WS11">
        <v>96.62</v>
      </c>
      <c r="WT11">
        <v>96.63</v>
      </c>
      <c r="WU11">
        <v>96.74</v>
      </c>
      <c r="WV11">
        <v>96.704999999999998</v>
      </c>
      <c r="WW11">
        <v>96.73</v>
      </c>
      <c r="WX11">
        <v>96.924999999999997</v>
      </c>
      <c r="WY11">
        <v>97.15</v>
      </c>
      <c r="WZ11">
        <v>97.135000000000005</v>
      </c>
      <c r="XA11">
        <v>96.98</v>
      </c>
      <c r="XB11">
        <v>96.885000000000005</v>
      </c>
      <c r="XC11">
        <v>96.98</v>
      </c>
      <c r="XD11">
        <v>97.025000000000006</v>
      </c>
      <c r="XE11">
        <v>97.09</v>
      </c>
      <c r="XF11">
        <v>97.094999999999999</v>
      </c>
      <c r="XG11">
        <v>97.04</v>
      </c>
      <c r="XH11">
        <v>97.125</v>
      </c>
      <c r="XI11">
        <v>97.224999999999994</v>
      </c>
      <c r="XJ11">
        <v>97.27</v>
      </c>
      <c r="XK11">
        <v>97.09</v>
      </c>
      <c r="XL11">
        <v>97.045000000000002</v>
      </c>
      <c r="XM11">
        <v>97.045000000000002</v>
      </c>
      <c r="XN11">
        <v>97.14</v>
      </c>
      <c r="XO11">
        <v>97.045000000000002</v>
      </c>
      <c r="XP11">
        <v>96.96</v>
      </c>
      <c r="XQ11">
        <v>97.05</v>
      </c>
      <c r="XR11">
        <v>96.99</v>
      </c>
      <c r="XS11">
        <v>96.7</v>
      </c>
      <c r="XT11">
        <v>96.76</v>
      </c>
      <c r="XU11">
        <v>96.685000000000002</v>
      </c>
      <c r="XV11">
        <v>96.66</v>
      </c>
      <c r="XW11">
        <v>96.66</v>
      </c>
      <c r="XX11">
        <v>96.625</v>
      </c>
      <c r="XY11">
        <v>96.625</v>
      </c>
      <c r="XZ11">
        <v>96.635000000000005</v>
      </c>
      <c r="YA11">
        <v>96.73</v>
      </c>
      <c r="YB11">
        <v>96.73</v>
      </c>
      <c r="YC11">
        <v>96.825000000000003</v>
      </c>
      <c r="YD11">
        <v>96.87</v>
      </c>
      <c r="YE11">
        <v>96.72</v>
      </c>
      <c r="YF11">
        <v>96.784999999999997</v>
      </c>
      <c r="YG11">
        <v>96.875</v>
      </c>
      <c r="YH11">
        <v>96.844999999999999</v>
      </c>
      <c r="YI11">
        <v>96.834999999999994</v>
      </c>
      <c r="YJ11">
        <v>96.834999999999994</v>
      </c>
      <c r="YK11">
        <v>96.65</v>
      </c>
      <c r="YL11">
        <v>96.734999999999999</v>
      </c>
      <c r="YM11">
        <v>96.77</v>
      </c>
      <c r="YN11">
        <v>96.864999999999995</v>
      </c>
      <c r="YO11">
        <v>96.74</v>
      </c>
      <c r="YP11">
        <v>96.7</v>
      </c>
      <c r="YQ11">
        <v>96.844999999999999</v>
      </c>
      <c r="YR11">
        <v>96.814999999999998</v>
      </c>
      <c r="YS11">
        <v>96.66</v>
      </c>
      <c r="YT11">
        <v>96.5</v>
      </c>
      <c r="YU11">
        <v>96.504999999999995</v>
      </c>
      <c r="YV11">
        <v>96.504999999999995</v>
      </c>
      <c r="YW11">
        <v>96.52</v>
      </c>
      <c r="YX11">
        <v>96.52</v>
      </c>
      <c r="YY11">
        <v>96.5</v>
      </c>
      <c r="YZ11">
        <v>96.355000000000004</v>
      </c>
      <c r="ZA11">
        <v>96.36</v>
      </c>
      <c r="ZB11">
        <v>96.454999999999998</v>
      </c>
      <c r="ZC11">
        <v>96.59</v>
      </c>
      <c r="ZD11">
        <v>96.53</v>
      </c>
      <c r="ZE11">
        <v>96.375</v>
      </c>
      <c r="ZF11">
        <v>96.435000000000002</v>
      </c>
      <c r="ZG11">
        <v>96.394999999999996</v>
      </c>
      <c r="ZH11">
        <v>95.984999999999999</v>
      </c>
      <c r="ZI11">
        <v>95.9</v>
      </c>
      <c r="ZJ11">
        <v>95.814999999999998</v>
      </c>
      <c r="ZK11">
        <v>95.885000000000005</v>
      </c>
      <c r="ZL11">
        <v>95.834999999999994</v>
      </c>
      <c r="ZM11">
        <v>95.974999999999994</v>
      </c>
      <c r="ZN11">
        <v>96.03</v>
      </c>
      <c r="ZO11">
        <v>96.05</v>
      </c>
      <c r="ZP11">
        <v>96.12</v>
      </c>
      <c r="ZQ11">
        <v>96.25</v>
      </c>
      <c r="ZR11">
        <v>96.12</v>
      </c>
      <c r="ZS11">
        <v>96.05</v>
      </c>
      <c r="ZT11">
        <v>95.984999999999999</v>
      </c>
      <c r="ZU11">
        <v>95.944999999999993</v>
      </c>
      <c r="ZV11">
        <v>95.795000000000002</v>
      </c>
      <c r="ZW11">
        <v>95.93</v>
      </c>
      <c r="ZX11">
        <v>96.09</v>
      </c>
      <c r="ZY11">
        <v>96.07</v>
      </c>
      <c r="ZZ11">
        <v>96.015000000000001</v>
      </c>
      <c r="AAA11">
        <v>96.084999999999994</v>
      </c>
      <c r="AAB11">
        <v>96.174999999999997</v>
      </c>
      <c r="AAC11">
        <v>96.094999999999999</v>
      </c>
      <c r="AAD11">
        <v>96.1</v>
      </c>
      <c r="AAE11">
        <v>96.13</v>
      </c>
      <c r="AAF11">
        <v>96.21</v>
      </c>
      <c r="AAG11">
        <v>96.305000000000007</v>
      </c>
      <c r="AAH11">
        <v>96.44</v>
      </c>
      <c r="AAI11">
        <v>96.35</v>
      </c>
      <c r="AAJ11">
        <v>96.21</v>
      </c>
      <c r="AAK11">
        <v>96.28</v>
      </c>
      <c r="AAL11">
        <v>96.355000000000004</v>
      </c>
      <c r="AAM11">
        <v>96.06</v>
      </c>
      <c r="AAN11">
        <v>96.045000000000002</v>
      </c>
      <c r="AAO11">
        <v>96.215000000000003</v>
      </c>
      <c r="AAP11">
        <v>96.314999999999998</v>
      </c>
      <c r="AAQ11">
        <v>96.495000000000005</v>
      </c>
      <c r="AAR11">
        <v>96.364999999999995</v>
      </c>
      <c r="AAS11">
        <v>96.42</v>
      </c>
      <c r="AAT11">
        <v>96.51</v>
      </c>
      <c r="AAU11">
        <v>96.45</v>
      </c>
      <c r="AAV11">
        <v>96.575000000000003</v>
      </c>
      <c r="AAW11">
        <v>96.62</v>
      </c>
      <c r="AAX11">
        <v>96.765000000000001</v>
      </c>
      <c r="AAY11">
        <v>96.77</v>
      </c>
      <c r="AAZ11">
        <v>96.825000000000003</v>
      </c>
      <c r="ABA11">
        <v>96.86</v>
      </c>
      <c r="ABB11">
        <v>96.765000000000001</v>
      </c>
      <c r="ABC11">
        <v>96.894999999999996</v>
      </c>
      <c r="ABD11">
        <v>96.894999999999996</v>
      </c>
      <c r="ABE11">
        <v>96.78</v>
      </c>
      <c r="ABF11">
        <v>96.875</v>
      </c>
      <c r="ABG11">
        <v>96.85</v>
      </c>
      <c r="ABH11">
        <v>96.88</v>
      </c>
      <c r="ABI11">
        <v>96.924999999999997</v>
      </c>
      <c r="ABJ11">
        <v>96.96</v>
      </c>
      <c r="ABK11">
        <v>96.92</v>
      </c>
      <c r="ABL11">
        <v>96.965000000000003</v>
      </c>
      <c r="ABM11">
        <v>96.93</v>
      </c>
      <c r="ABN11">
        <v>97.04</v>
      </c>
      <c r="ABO11">
        <v>97.11</v>
      </c>
      <c r="ABP11">
        <v>97.084999999999994</v>
      </c>
      <c r="ABQ11">
        <v>97.215000000000003</v>
      </c>
      <c r="ABR11">
        <v>97.3</v>
      </c>
      <c r="ABS11">
        <v>97.215000000000003</v>
      </c>
      <c r="ABT11">
        <v>97.254999999999995</v>
      </c>
      <c r="ABU11">
        <v>97.31</v>
      </c>
      <c r="ABV11">
        <v>97.24</v>
      </c>
      <c r="ABW11">
        <v>97.35</v>
      </c>
      <c r="ABX11">
        <v>97.265000000000001</v>
      </c>
      <c r="ABY11">
        <v>97.484999999999999</v>
      </c>
      <c r="ABZ11">
        <v>97.344999999999999</v>
      </c>
      <c r="ACA11">
        <v>97.39</v>
      </c>
      <c r="ACB11">
        <v>97.64</v>
      </c>
      <c r="ACC11">
        <v>97.625</v>
      </c>
      <c r="ACD11">
        <v>97.61</v>
      </c>
      <c r="ACE11">
        <v>97.515000000000001</v>
      </c>
      <c r="ACF11">
        <v>97.454999999999998</v>
      </c>
      <c r="ACG11">
        <v>97.49</v>
      </c>
      <c r="ACH11">
        <v>97.52</v>
      </c>
      <c r="ACI11">
        <v>97.36</v>
      </c>
      <c r="ACJ11">
        <v>97.155000000000001</v>
      </c>
      <c r="ACK11">
        <v>97.165000000000006</v>
      </c>
      <c r="ACL11">
        <v>97.265000000000001</v>
      </c>
      <c r="ACM11">
        <v>97.3</v>
      </c>
      <c r="ACN11">
        <v>97.325000000000003</v>
      </c>
      <c r="ACO11">
        <v>97.38</v>
      </c>
      <c r="ACP11">
        <v>97.364999999999995</v>
      </c>
      <c r="ACQ11">
        <v>97.334999999999994</v>
      </c>
      <c r="ACR11">
        <v>97.254999999999995</v>
      </c>
      <c r="ACS11">
        <v>97.35</v>
      </c>
      <c r="ACT11">
        <v>97.424999999999997</v>
      </c>
      <c r="ACU11">
        <v>97.625</v>
      </c>
      <c r="ACV11">
        <v>97.55</v>
      </c>
      <c r="ACW11">
        <v>97.55</v>
      </c>
      <c r="ACX11">
        <v>97.37</v>
      </c>
      <c r="ACY11">
        <v>97.16</v>
      </c>
      <c r="ACZ11">
        <v>96.995000000000005</v>
      </c>
      <c r="ADA11">
        <v>96.99</v>
      </c>
      <c r="ADB11">
        <v>97.075000000000003</v>
      </c>
      <c r="ADC11">
        <v>97.135000000000005</v>
      </c>
      <c r="ADD11">
        <v>97.015000000000001</v>
      </c>
      <c r="ADE11">
        <v>96.8</v>
      </c>
      <c r="ADF11">
        <v>96.784999999999997</v>
      </c>
      <c r="ADG11">
        <v>96.784999999999997</v>
      </c>
      <c r="ADH11">
        <v>96.765000000000001</v>
      </c>
      <c r="ADI11">
        <v>96.69</v>
      </c>
      <c r="ADJ11">
        <v>96.415000000000006</v>
      </c>
      <c r="ADK11">
        <v>96.454999999999998</v>
      </c>
      <c r="ADL11">
        <v>96.694999999999993</v>
      </c>
      <c r="ADM11">
        <v>96.92</v>
      </c>
      <c r="ADN11">
        <v>96.98</v>
      </c>
      <c r="ADO11">
        <v>97.015000000000001</v>
      </c>
      <c r="ADP11">
        <v>96.98</v>
      </c>
      <c r="ADQ11">
        <v>97.09</v>
      </c>
      <c r="ADR11">
        <v>97.14</v>
      </c>
      <c r="ADS11">
        <v>97.105000000000004</v>
      </c>
      <c r="ADT11">
        <v>97.265000000000001</v>
      </c>
      <c r="ADU11">
        <v>97.314999999999998</v>
      </c>
      <c r="ADV11">
        <v>97.314999999999998</v>
      </c>
      <c r="ADW11">
        <v>97.355000000000004</v>
      </c>
      <c r="ADX11">
        <v>97.375</v>
      </c>
      <c r="ADY11">
        <v>97.364999999999995</v>
      </c>
      <c r="ADZ11">
        <v>97.24</v>
      </c>
      <c r="AEA11">
        <v>97.314999999999998</v>
      </c>
      <c r="AEB11">
        <v>97.224999999999994</v>
      </c>
      <c r="AEC11">
        <v>97.14</v>
      </c>
      <c r="AED11">
        <v>97.09</v>
      </c>
      <c r="AEE11">
        <v>97.26</v>
      </c>
      <c r="AEF11">
        <v>97.17</v>
      </c>
      <c r="AEG11">
        <v>97.254999999999995</v>
      </c>
      <c r="AEH11">
        <v>97.114999999999995</v>
      </c>
      <c r="AEI11">
        <v>97.08</v>
      </c>
      <c r="AEJ11">
        <v>97.05</v>
      </c>
      <c r="AEK11">
        <v>96.93</v>
      </c>
      <c r="AEL11">
        <v>96.905000000000001</v>
      </c>
      <c r="AEM11">
        <v>97.025000000000006</v>
      </c>
      <c r="AEN11">
        <v>96.89</v>
      </c>
      <c r="AEO11">
        <v>96.88</v>
      </c>
      <c r="AEP11">
        <v>96.974999999999994</v>
      </c>
      <c r="AEQ11">
        <v>97.004999999999995</v>
      </c>
      <c r="AER11">
        <v>97.11</v>
      </c>
      <c r="AES11">
        <v>97.135000000000005</v>
      </c>
      <c r="AET11">
        <v>97.025000000000006</v>
      </c>
      <c r="AEU11">
        <v>96.924999999999997</v>
      </c>
      <c r="AEV11">
        <v>96.89</v>
      </c>
      <c r="AEW11">
        <v>97.02</v>
      </c>
      <c r="AEX11">
        <v>96.995000000000005</v>
      </c>
      <c r="AEY11">
        <v>97.14</v>
      </c>
      <c r="AEZ11">
        <v>97.16</v>
      </c>
      <c r="AFA11">
        <v>97.16</v>
      </c>
      <c r="AFB11">
        <v>97.3</v>
      </c>
      <c r="AFC11">
        <v>97.24</v>
      </c>
      <c r="AFD11">
        <v>97.055000000000007</v>
      </c>
      <c r="AFE11">
        <v>97.025000000000006</v>
      </c>
      <c r="AFF11">
        <v>97.14</v>
      </c>
      <c r="AFG11">
        <v>97.075000000000003</v>
      </c>
      <c r="AFH11">
        <v>97.07</v>
      </c>
      <c r="AFI11">
        <v>97.17</v>
      </c>
      <c r="AFJ11">
        <v>97.155000000000001</v>
      </c>
      <c r="AFK11">
        <v>97.334999999999994</v>
      </c>
      <c r="AFL11">
        <v>97.295000000000002</v>
      </c>
      <c r="AFM11">
        <v>97.254999999999995</v>
      </c>
      <c r="AFN11">
        <v>97.22</v>
      </c>
      <c r="AFO11">
        <v>97.27</v>
      </c>
      <c r="AFP11">
        <v>97.49</v>
      </c>
      <c r="AFQ11">
        <v>97.51</v>
      </c>
      <c r="AFR11">
        <v>97.44</v>
      </c>
      <c r="AFS11">
        <v>97.46</v>
      </c>
      <c r="AFT11">
        <v>97.66</v>
      </c>
      <c r="AFU11">
        <v>97.66</v>
      </c>
      <c r="AFV11">
        <v>97.644999999999996</v>
      </c>
      <c r="AFW11">
        <v>97.68</v>
      </c>
      <c r="AFX11">
        <v>97.704999999999998</v>
      </c>
      <c r="AFY11">
        <v>97.864999999999995</v>
      </c>
      <c r="AFZ11">
        <v>97.9</v>
      </c>
      <c r="AGA11">
        <v>97.94</v>
      </c>
      <c r="AGB11">
        <v>98.03</v>
      </c>
      <c r="AGC11">
        <v>98.15</v>
      </c>
      <c r="AGD11">
        <v>98.22</v>
      </c>
      <c r="AGE11">
        <v>98.09</v>
      </c>
      <c r="AGF11">
        <v>98.11</v>
      </c>
      <c r="AGG11">
        <v>98.35</v>
      </c>
      <c r="AGH11">
        <v>98.114999999999995</v>
      </c>
      <c r="AGI11">
        <v>97.915000000000006</v>
      </c>
      <c r="AGJ11">
        <v>97.954999999999998</v>
      </c>
      <c r="AGK11">
        <v>97.935000000000002</v>
      </c>
      <c r="AGL11">
        <v>97.97</v>
      </c>
      <c r="AGM11">
        <v>98.025000000000006</v>
      </c>
      <c r="AGN11">
        <v>98.025000000000006</v>
      </c>
      <c r="AGO11">
        <v>98</v>
      </c>
      <c r="AGP11">
        <v>97.924999999999997</v>
      </c>
      <c r="AGQ11">
        <v>97.89</v>
      </c>
      <c r="AGR11">
        <v>97.9</v>
      </c>
      <c r="AGS11">
        <v>97.984999999999999</v>
      </c>
      <c r="AGT11">
        <v>97.91</v>
      </c>
      <c r="AGU11">
        <v>98.094999999999999</v>
      </c>
      <c r="AGV11">
        <v>98.094999999999999</v>
      </c>
      <c r="AGW11">
        <v>98.15</v>
      </c>
      <c r="AGX11">
        <v>98.13</v>
      </c>
      <c r="AGY11">
        <v>98.27</v>
      </c>
      <c r="AGZ11">
        <v>98.314999999999998</v>
      </c>
      <c r="AHA11">
        <v>98.314999999999998</v>
      </c>
      <c r="AHB11">
        <v>98.32</v>
      </c>
      <c r="AHC11">
        <v>98.295000000000002</v>
      </c>
      <c r="AHD11">
        <v>98.254999999999995</v>
      </c>
      <c r="AHE11">
        <v>98.314999999999998</v>
      </c>
      <c r="AHF11">
        <v>98.41</v>
      </c>
      <c r="AHG11">
        <v>98.46</v>
      </c>
      <c r="AHH11">
        <v>98.37</v>
      </c>
      <c r="AHI11">
        <v>98.28</v>
      </c>
      <c r="AHJ11">
        <v>98.3</v>
      </c>
      <c r="AHK11">
        <v>98.26</v>
      </c>
      <c r="AHL11">
        <v>98.334999999999994</v>
      </c>
      <c r="AHM11">
        <v>98.334999999999994</v>
      </c>
      <c r="AHN11">
        <v>98.44</v>
      </c>
      <c r="AHO11">
        <v>98.415000000000006</v>
      </c>
      <c r="AHP11">
        <v>98.39</v>
      </c>
      <c r="AHQ11">
        <v>98.355000000000004</v>
      </c>
      <c r="AHR11">
        <v>98.41</v>
      </c>
      <c r="AHS11">
        <v>98.454999999999998</v>
      </c>
      <c r="AHT11">
        <v>98.504999999999995</v>
      </c>
      <c r="AHU11">
        <v>98.584999999999994</v>
      </c>
      <c r="AHV11">
        <v>98.564999999999998</v>
      </c>
      <c r="AHW11">
        <v>98.67</v>
      </c>
      <c r="AHX11">
        <v>98.655000000000001</v>
      </c>
      <c r="AHY11">
        <v>98.63</v>
      </c>
      <c r="AHZ11">
        <v>98.65</v>
      </c>
      <c r="AIA11">
        <v>98.63</v>
      </c>
      <c r="AIB11">
        <v>98.65</v>
      </c>
      <c r="AIC11">
        <v>98.65</v>
      </c>
      <c r="AID11">
        <v>98.665000000000006</v>
      </c>
      <c r="AIE11">
        <v>98.655000000000001</v>
      </c>
      <c r="AIF11">
        <v>98.734999999999999</v>
      </c>
      <c r="AIG11">
        <v>98.72</v>
      </c>
      <c r="AIH11">
        <v>98.74</v>
      </c>
      <c r="AII11">
        <v>98.62</v>
      </c>
      <c r="AIJ11">
        <v>98.715000000000003</v>
      </c>
      <c r="AIK11">
        <v>98.74</v>
      </c>
      <c r="AIL11">
        <v>98.68</v>
      </c>
      <c r="AIM11">
        <v>98.64</v>
      </c>
      <c r="AIN11">
        <v>98.64</v>
      </c>
      <c r="AIO11">
        <v>98.614999999999995</v>
      </c>
      <c r="AIP11">
        <v>98.674999999999997</v>
      </c>
      <c r="AIQ11">
        <v>98.75</v>
      </c>
      <c r="AIR11">
        <v>98.69</v>
      </c>
      <c r="AIS11">
        <v>98.754999999999995</v>
      </c>
      <c r="AIT11">
        <v>98.784999999999997</v>
      </c>
      <c r="AIU11">
        <v>98.79</v>
      </c>
      <c r="AIV11">
        <v>98.795000000000002</v>
      </c>
      <c r="AIW11">
        <v>98.584999999999994</v>
      </c>
      <c r="AIX11">
        <v>98.584999999999994</v>
      </c>
      <c r="AIY11">
        <v>98.635000000000005</v>
      </c>
      <c r="AIZ11">
        <v>98.62</v>
      </c>
      <c r="AJA11">
        <v>98.765000000000001</v>
      </c>
      <c r="AJB11">
        <v>98.765000000000001</v>
      </c>
      <c r="AJC11">
        <v>98.745000000000005</v>
      </c>
      <c r="AJD11">
        <v>98.704999999999998</v>
      </c>
      <c r="AJE11">
        <v>98.715000000000003</v>
      </c>
      <c r="AJF11">
        <v>98.724999999999994</v>
      </c>
      <c r="AJG11">
        <v>98.704999999999998</v>
      </c>
      <c r="AJH11">
        <v>98.78</v>
      </c>
      <c r="AJI11">
        <v>98.965000000000003</v>
      </c>
      <c r="AJJ11">
        <v>98.924999999999997</v>
      </c>
      <c r="AJK11">
        <v>99.025000000000006</v>
      </c>
      <c r="AJL11">
        <v>98.954999999999998</v>
      </c>
      <c r="AJM11">
        <v>98.84</v>
      </c>
      <c r="AJN11">
        <v>98.89</v>
      </c>
      <c r="AJO11">
        <v>98.805000000000007</v>
      </c>
      <c r="AJP11">
        <v>98.844999999999999</v>
      </c>
      <c r="AJQ11">
        <v>98.87</v>
      </c>
      <c r="AJR11">
        <v>98.88</v>
      </c>
      <c r="AJS11">
        <v>98.89</v>
      </c>
      <c r="AJT11">
        <v>98.9</v>
      </c>
      <c r="AJU11">
        <v>98.855000000000004</v>
      </c>
      <c r="AJV11">
        <v>98.88</v>
      </c>
      <c r="AJW11">
        <v>98.974999999999994</v>
      </c>
      <c r="AJX11">
        <v>98.95</v>
      </c>
      <c r="AJY11">
        <v>98.91</v>
      </c>
      <c r="AJZ11">
        <v>98.974999999999994</v>
      </c>
      <c r="AKA11">
        <v>99.08</v>
      </c>
      <c r="AKB11">
        <v>99.034999999999997</v>
      </c>
      <c r="AKC11">
        <v>99.094999999999999</v>
      </c>
      <c r="AKD11">
        <v>99.11</v>
      </c>
      <c r="AKE11">
        <v>99.165000000000006</v>
      </c>
      <c r="AKF11">
        <v>99.21</v>
      </c>
      <c r="AKG11">
        <v>99.245000000000005</v>
      </c>
      <c r="AKH11">
        <v>99.265000000000001</v>
      </c>
      <c r="AKI11">
        <v>99.3</v>
      </c>
      <c r="AKJ11">
        <v>99.3</v>
      </c>
      <c r="AKK11">
        <v>99.25</v>
      </c>
      <c r="AKL11">
        <v>99.234999999999999</v>
      </c>
      <c r="AKM11">
        <v>99.2</v>
      </c>
      <c r="AKN11">
        <v>99.204999999999998</v>
      </c>
      <c r="AKO11">
        <v>99.22</v>
      </c>
      <c r="AKP11">
        <v>99.234999999999999</v>
      </c>
      <c r="AKQ11">
        <v>99.284999999999997</v>
      </c>
      <c r="AKR11">
        <v>99.36</v>
      </c>
      <c r="AKS11">
        <v>99.36</v>
      </c>
      <c r="AKT11">
        <v>99.314999999999998</v>
      </c>
      <c r="AKU11">
        <v>99.34</v>
      </c>
      <c r="AKV11">
        <v>99.375</v>
      </c>
      <c r="AKW11">
        <v>99.52</v>
      </c>
      <c r="AKX11">
        <v>99.51</v>
      </c>
      <c r="AKY11">
        <v>99.5</v>
      </c>
      <c r="AKZ11">
        <v>99.515000000000001</v>
      </c>
      <c r="ALA11">
        <v>99.51</v>
      </c>
      <c r="ALB11">
        <v>99.51</v>
      </c>
      <c r="ALC11">
        <v>99.54</v>
      </c>
      <c r="ALD11">
        <v>99.54</v>
      </c>
      <c r="ALE11">
        <v>99.525000000000006</v>
      </c>
      <c r="ALF11">
        <v>99.515000000000001</v>
      </c>
      <c r="ALG11">
        <v>99.525000000000006</v>
      </c>
      <c r="ALH11">
        <v>99.515000000000001</v>
      </c>
      <c r="ALI11">
        <v>99.484999999999999</v>
      </c>
      <c r="ALJ11">
        <v>99.454999999999998</v>
      </c>
      <c r="ALK11">
        <v>99.46</v>
      </c>
      <c r="ALL11">
        <v>99.474999999999994</v>
      </c>
      <c r="ALM11">
        <v>99.484999999999999</v>
      </c>
      <c r="ALN11">
        <v>99.47</v>
      </c>
      <c r="ALO11">
        <v>99.48</v>
      </c>
      <c r="ALP11">
        <v>99.474999999999994</v>
      </c>
      <c r="ALQ11">
        <v>99.48</v>
      </c>
      <c r="ALR11">
        <v>99.5</v>
      </c>
      <c r="ALS11">
        <v>99.47</v>
      </c>
      <c r="ALT11">
        <v>99.44</v>
      </c>
      <c r="ALU11">
        <v>99.454999999999998</v>
      </c>
      <c r="ALV11">
        <v>99.42</v>
      </c>
      <c r="ALW11">
        <v>99.454999999999998</v>
      </c>
      <c r="ALX11">
        <v>99.474999999999994</v>
      </c>
      <c r="ALY11">
        <v>99.525000000000006</v>
      </c>
      <c r="ALZ11">
        <v>99.58</v>
      </c>
      <c r="AMA11">
        <v>99.62</v>
      </c>
      <c r="AMB11">
        <v>99.614999999999995</v>
      </c>
      <c r="AMC11">
        <v>99.564999999999998</v>
      </c>
      <c r="AMD11">
        <v>99.534999999999997</v>
      </c>
      <c r="AME11">
        <v>99.515000000000001</v>
      </c>
      <c r="AMF11">
        <v>99.564999999999998</v>
      </c>
      <c r="AMG11">
        <v>99.545000000000002</v>
      </c>
      <c r="AMH11">
        <v>99.55</v>
      </c>
      <c r="AMI11">
        <v>99.56</v>
      </c>
      <c r="AMJ11">
        <v>99.54</v>
      </c>
      <c r="AMK11">
        <v>99.6</v>
      </c>
      <c r="AML11">
        <v>99.564999999999998</v>
      </c>
      <c r="AMM11">
        <v>99.444999999999993</v>
      </c>
      <c r="AMN11">
        <v>99.444999999999993</v>
      </c>
      <c r="AMO11">
        <v>99.44</v>
      </c>
      <c r="AMP11">
        <v>99.4</v>
      </c>
      <c r="AMQ11">
        <v>99.48</v>
      </c>
      <c r="AMR11">
        <v>99.495000000000005</v>
      </c>
      <c r="AMS11">
        <v>99.55</v>
      </c>
      <c r="AMT11">
        <v>99.48</v>
      </c>
      <c r="AMU11">
        <v>99.465000000000003</v>
      </c>
      <c r="AMV11">
        <v>99.42</v>
      </c>
      <c r="AMW11">
        <v>99.42</v>
      </c>
      <c r="AMX11">
        <v>99.37</v>
      </c>
      <c r="AMY11">
        <v>99.394999999999996</v>
      </c>
      <c r="AMZ11">
        <v>99.39</v>
      </c>
      <c r="ANA11">
        <v>99.394999999999996</v>
      </c>
      <c r="ANB11">
        <v>99.375</v>
      </c>
      <c r="ANC11">
        <v>99.394999999999996</v>
      </c>
      <c r="AND11">
        <v>99.405000000000001</v>
      </c>
      <c r="ANE11">
        <v>99.44</v>
      </c>
      <c r="ANF11">
        <v>99.41</v>
      </c>
      <c r="ANG11">
        <v>99.394999999999996</v>
      </c>
      <c r="ANH11">
        <v>99.444999999999993</v>
      </c>
      <c r="ANI11">
        <v>99.495000000000005</v>
      </c>
      <c r="ANJ11">
        <v>99.7</v>
      </c>
      <c r="ANK11">
        <v>99.704999999999998</v>
      </c>
      <c r="ANL11">
        <v>99.72</v>
      </c>
      <c r="ANM11">
        <v>99.734999999999999</v>
      </c>
      <c r="ANN11">
        <v>99.73</v>
      </c>
      <c r="ANO11">
        <v>99.715000000000003</v>
      </c>
      <c r="ANP11">
        <v>99.71</v>
      </c>
      <c r="ANQ11">
        <v>99.71</v>
      </c>
      <c r="ANR11">
        <v>99.685000000000002</v>
      </c>
      <c r="ANS11">
        <v>99.704999999999998</v>
      </c>
      <c r="ANT11">
        <v>99.7</v>
      </c>
      <c r="ANU11">
        <v>99.704999999999998</v>
      </c>
      <c r="ANV11">
        <v>99.704999999999998</v>
      </c>
      <c r="ANW11">
        <v>99.704999999999998</v>
      </c>
      <c r="ANX11">
        <v>99.715000000000003</v>
      </c>
      <c r="ANY11">
        <v>99.71</v>
      </c>
      <c r="ANZ11">
        <v>99.685000000000002</v>
      </c>
      <c r="AOA11">
        <v>99.674999999999997</v>
      </c>
      <c r="AOB11">
        <v>99.674999999999997</v>
      </c>
      <c r="AOC11">
        <v>99.644999999999996</v>
      </c>
      <c r="AOD11">
        <v>99.67</v>
      </c>
      <c r="AOE11">
        <v>99.67</v>
      </c>
      <c r="AOF11">
        <v>99.67</v>
      </c>
      <c r="AOG11">
        <v>99.67</v>
      </c>
      <c r="AOH11">
        <v>99.65</v>
      </c>
      <c r="AOI11">
        <v>99.7</v>
      </c>
      <c r="AOJ11">
        <v>99.72</v>
      </c>
      <c r="AOK11">
        <v>99.73</v>
      </c>
      <c r="AOL11">
        <v>99.68</v>
      </c>
      <c r="AOM11">
        <v>99.674999999999997</v>
      </c>
      <c r="AON11">
        <v>99.67</v>
      </c>
      <c r="AOO11">
        <v>99.66</v>
      </c>
      <c r="AOP11">
        <v>99.644999999999996</v>
      </c>
      <c r="AOQ11">
        <v>99.644999999999996</v>
      </c>
      <c r="AOR11">
        <v>99.644999999999996</v>
      </c>
      <c r="AOS11">
        <v>99.63</v>
      </c>
      <c r="AOT11">
        <v>99.644999999999996</v>
      </c>
      <c r="AOU11">
        <v>99.655000000000001</v>
      </c>
      <c r="AOV11">
        <v>99.67</v>
      </c>
      <c r="AOW11">
        <v>99.674999999999997</v>
      </c>
      <c r="AOX11">
        <v>99.685000000000002</v>
      </c>
      <c r="AOY11">
        <v>99.67</v>
      </c>
      <c r="AOZ11">
        <v>99.655000000000001</v>
      </c>
      <c r="APA11">
        <v>99.674999999999997</v>
      </c>
      <c r="APB11">
        <v>99.635000000000005</v>
      </c>
      <c r="APC11">
        <v>99.65</v>
      </c>
      <c r="APD11">
        <v>99.6</v>
      </c>
      <c r="APE11">
        <v>99.625</v>
      </c>
      <c r="APF11">
        <v>99.64</v>
      </c>
      <c r="APG11">
        <v>99.62</v>
      </c>
      <c r="APH11">
        <v>99.59</v>
      </c>
      <c r="API11">
        <v>99.545000000000002</v>
      </c>
      <c r="APJ11">
        <v>99.515000000000001</v>
      </c>
      <c r="APK11">
        <v>99.584999999999994</v>
      </c>
      <c r="APL11">
        <v>99.58</v>
      </c>
      <c r="APM11">
        <v>99.594999999999999</v>
      </c>
      <c r="APN11">
        <v>99.605000000000004</v>
      </c>
      <c r="APO11">
        <v>99.644999999999996</v>
      </c>
      <c r="APP11">
        <v>99.66</v>
      </c>
      <c r="APQ11">
        <v>99.65</v>
      </c>
      <c r="APR11">
        <v>99.64</v>
      </c>
      <c r="APS11">
        <v>99.625</v>
      </c>
      <c r="APT11">
        <v>99.614999999999995</v>
      </c>
      <c r="APU11">
        <v>99.63</v>
      </c>
      <c r="APV11">
        <v>99.67</v>
      </c>
      <c r="APW11">
        <v>99.745000000000005</v>
      </c>
      <c r="APX11">
        <v>99.74</v>
      </c>
      <c r="APY11">
        <v>99.724999999999994</v>
      </c>
      <c r="APZ11">
        <v>99.754999999999995</v>
      </c>
      <c r="AQA11">
        <v>99.75</v>
      </c>
      <c r="AQB11">
        <v>99.73</v>
      </c>
      <c r="AQC11">
        <v>99.72</v>
      </c>
      <c r="AQD11">
        <v>99.745000000000005</v>
      </c>
      <c r="AQE11">
        <v>99.74</v>
      </c>
      <c r="AQF11">
        <v>99.754999999999995</v>
      </c>
      <c r="AQG11">
        <v>99.78</v>
      </c>
      <c r="AQH11">
        <v>99.78</v>
      </c>
      <c r="AQI11">
        <v>99.745000000000005</v>
      </c>
      <c r="AQJ11">
        <v>99.74</v>
      </c>
      <c r="AQK11">
        <v>99.834999999999994</v>
      </c>
      <c r="AQL11">
        <v>99.844999999999999</v>
      </c>
      <c r="AQM11">
        <v>99.84</v>
      </c>
      <c r="AQN11">
        <v>99.84</v>
      </c>
      <c r="AQO11">
        <v>99.85</v>
      </c>
      <c r="AQP11">
        <v>99.85</v>
      </c>
      <c r="AQQ11">
        <v>99.84</v>
      </c>
      <c r="AQR11">
        <v>99.864999999999995</v>
      </c>
      <c r="AQS11">
        <v>99.864999999999995</v>
      </c>
      <c r="AQT11">
        <v>99.875</v>
      </c>
      <c r="AQU11">
        <v>99.875</v>
      </c>
      <c r="AQV11">
        <v>99.87</v>
      </c>
      <c r="AQW11">
        <v>99.864999999999995</v>
      </c>
      <c r="AQX11">
        <v>99.875</v>
      </c>
      <c r="AQY11">
        <v>99.875</v>
      </c>
      <c r="AQZ11">
        <v>99.875</v>
      </c>
      <c r="ARA11">
        <v>99.885000000000005</v>
      </c>
      <c r="ARB11">
        <v>99.89</v>
      </c>
      <c r="ARC11">
        <v>99.885000000000005</v>
      </c>
      <c r="ARD11">
        <v>99.88</v>
      </c>
      <c r="ARE11">
        <v>99.89</v>
      </c>
      <c r="ARF11">
        <v>99.89</v>
      </c>
      <c r="ARG11">
        <v>99.894999999999996</v>
      </c>
      <c r="ARH11">
        <v>99.89</v>
      </c>
      <c r="ARI11">
        <v>99.885000000000005</v>
      </c>
      <c r="ARJ11">
        <v>99.885000000000005</v>
      </c>
      <c r="ARK11">
        <v>99.885000000000005</v>
      </c>
      <c r="ARL11">
        <v>99.88</v>
      </c>
      <c r="ARM11">
        <v>99.88</v>
      </c>
      <c r="ARN11">
        <v>99.875</v>
      </c>
      <c r="ARO11">
        <v>99.855000000000004</v>
      </c>
      <c r="ARP11">
        <v>99.84</v>
      </c>
      <c r="ARQ11">
        <v>99.84</v>
      </c>
      <c r="ARR11">
        <v>99.844999999999999</v>
      </c>
      <c r="ARS11">
        <v>99.864999999999995</v>
      </c>
      <c r="ART11">
        <v>99.885000000000005</v>
      </c>
      <c r="ARU11">
        <v>99.9</v>
      </c>
      <c r="ARV11">
        <v>99.905000000000001</v>
      </c>
      <c r="ARW11">
        <v>99.894999999999996</v>
      </c>
      <c r="ARX11">
        <v>99.894999999999996</v>
      </c>
      <c r="ARY11">
        <v>99.885000000000005</v>
      </c>
      <c r="ARZ11">
        <v>99.88</v>
      </c>
      <c r="ASA11">
        <v>99.88</v>
      </c>
      <c r="ASB11">
        <v>99.885000000000005</v>
      </c>
      <c r="ASC11">
        <v>99.885000000000005</v>
      </c>
      <c r="ASD11">
        <v>99.885000000000005</v>
      </c>
      <c r="ASE11">
        <v>99.89</v>
      </c>
      <c r="ASF11">
        <v>99.885000000000005</v>
      </c>
      <c r="ASG11">
        <v>99.885000000000005</v>
      </c>
      <c r="ASH11">
        <v>99.885000000000005</v>
      </c>
      <c r="ASI11">
        <v>99.885000000000005</v>
      </c>
      <c r="ASJ11">
        <v>99.91</v>
      </c>
      <c r="ASK11">
        <v>99.91</v>
      </c>
      <c r="ASL11">
        <v>99.905000000000001</v>
      </c>
      <c r="ASM11">
        <v>99.894999999999996</v>
      </c>
      <c r="ASN11">
        <v>99.89</v>
      </c>
      <c r="ASO11">
        <v>99.89</v>
      </c>
      <c r="ASP11">
        <v>99.89</v>
      </c>
      <c r="ASQ11">
        <v>99.88</v>
      </c>
      <c r="ASR11">
        <v>99.885000000000005</v>
      </c>
      <c r="ASS11">
        <v>99.89</v>
      </c>
      <c r="AST11">
        <v>99.89</v>
      </c>
      <c r="ASU11">
        <v>99.905000000000001</v>
      </c>
      <c r="ASV11">
        <v>99.91</v>
      </c>
      <c r="ASW11">
        <v>99.905000000000001</v>
      </c>
      <c r="ASX11">
        <v>99.905000000000001</v>
      </c>
      <c r="ASY11">
        <v>99.9</v>
      </c>
      <c r="ASZ11">
        <v>99.894999999999996</v>
      </c>
      <c r="ATA11">
        <v>99.905000000000001</v>
      </c>
      <c r="ATB11">
        <v>99.905000000000001</v>
      </c>
      <c r="ATC11">
        <v>99.9</v>
      </c>
      <c r="ATD11">
        <v>99.905000000000001</v>
      </c>
      <c r="ATE11">
        <v>99.9</v>
      </c>
      <c r="ATF11">
        <v>99.9</v>
      </c>
      <c r="ATG11">
        <v>99.905000000000001</v>
      </c>
      <c r="ATH11">
        <v>99.894999999999996</v>
      </c>
      <c r="ATI11">
        <v>99.894999999999996</v>
      </c>
      <c r="ATJ11">
        <v>99.905000000000001</v>
      </c>
      <c r="ATK11">
        <v>99.944999999999993</v>
      </c>
      <c r="ATL11">
        <v>99.95</v>
      </c>
      <c r="ATM11">
        <v>99.97</v>
      </c>
      <c r="ATN11">
        <v>99.94</v>
      </c>
      <c r="ATO11">
        <v>99.95</v>
      </c>
      <c r="ATP11">
        <v>99.944999999999993</v>
      </c>
      <c r="ATQ11">
        <v>99.95</v>
      </c>
      <c r="ATR11">
        <v>99.96</v>
      </c>
      <c r="ATS11">
        <v>99.96</v>
      </c>
      <c r="ATT11">
        <v>99.954999999999998</v>
      </c>
      <c r="ATU11">
        <v>99.944999999999993</v>
      </c>
      <c r="ATV11">
        <v>99.935000000000002</v>
      </c>
      <c r="ATW11">
        <v>99.944999999999993</v>
      </c>
      <c r="ATX11">
        <v>99.944999999999993</v>
      </c>
      <c r="ATY11">
        <v>99.954999999999998</v>
      </c>
      <c r="ATZ11">
        <v>99.96</v>
      </c>
      <c r="AUA11">
        <v>99.954999999999998</v>
      </c>
      <c r="AUB11">
        <v>99.965000000000003</v>
      </c>
      <c r="AUC11">
        <v>99.96</v>
      </c>
      <c r="AUD11">
        <v>99.95</v>
      </c>
      <c r="AUE11">
        <v>99.944999999999993</v>
      </c>
      <c r="AUF11">
        <v>99.954999999999998</v>
      </c>
      <c r="AUG11">
        <v>99.95</v>
      </c>
      <c r="AUH11">
        <v>99.97</v>
      </c>
      <c r="AUI11">
        <v>99.97</v>
      </c>
      <c r="AUJ11">
        <v>99.984999999999999</v>
      </c>
      <c r="AUK11">
        <v>99.984999999999999</v>
      </c>
      <c r="AUL11">
        <v>99.984999999999999</v>
      </c>
      <c r="AUM11">
        <v>99.99</v>
      </c>
      <c r="AUN11">
        <v>99.99</v>
      </c>
      <c r="AUO11">
        <v>100</v>
      </c>
      <c r="AUP11">
        <v>100</v>
      </c>
      <c r="AUQ11">
        <v>100.005</v>
      </c>
      <c r="AUR11">
        <v>100.005</v>
      </c>
      <c r="AUS11">
        <v>99.995000000000005</v>
      </c>
      <c r="AUT11">
        <v>99.984999999999999</v>
      </c>
      <c r="AUU11">
        <v>100</v>
      </c>
      <c r="AUV11">
        <v>99.995000000000005</v>
      </c>
      <c r="AUW11">
        <v>100.01</v>
      </c>
      <c r="AUX11">
        <v>100.015</v>
      </c>
      <c r="AUY11">
        <v>100.02</v>
      </c>
      <c r="AUZ11">
        <v>100</v>
      </c>
      <c r="AVA11">
        <v>99.995000000000005</v>
      </c>
      <c r="AVB11">
        <v>100</v>
      </c>
      <c r="AVC11">
        <v>99.99</v>
      </c>
      <c r="AVD11">
        <v>99.99</v>
      </c>
      <c r="AVE11">
        <v>100.015</v>
      </c>
      <c r="AVF11">
        <v>100.005</v>
      </c>
      <c r="AVG11">
        <v>100.015</v>
      </c>
      <c r="AVH11">
        <v>100.01</v>
      </c>
      <c r="AVI11">
        <v>100.005</v>
      </c>
      <c r="AVJ11">
        <v>99.984999999999999</v>
      </c>
      <c r="AVK11">
        <v>99.995000000000005</v>
      </c>
      <c r="AVL11">
        <v>100</v>
      </c>
      <c r="AVM11">
        <v>100.01</v>
      </c>
      <c r="AVN11">
        <v>100.01</v>
      </c>
      <c r="AVO11">
        <v>100.02</v>
      </c>
      <c r="AVP11">
        <v>100.02</v>
      </c>
      <c r="AVQ11">
        <v>100.01</v>
      </c>
      <c r="AVR11">
        <v>100</v>
      </c>
      <c r="AVS11">
        <v>99.99</v>
      </c>
      <c r="AVT11">
        <v>99.99</v>
      </c>
      <c r="AVU11">
        <v>99.995000000000005</v>
      </c>
      <c r="AVV11">
        <v>99.995000000000005</v>
      </c>
      <c r="AVW11">
        <v>100.02500000000001</v>
      </c>
      <c r="AVX11">
        <v>100.035</v>
      </c>
      <c r="AVY11">
        <v>100.05500000000001</v>
      </c>
      <c r="AVZ11">
        <v>100.06</v>
      </c>
      <c r="AWA11">
        <v>100.07</v>
      </c>
      <c r="AWB11">
        <v>100.065</v>
      </c>
      <c r="AWC11">
        <v>100.06</v>
      </c>
      <c r="AWD11">
        <v>100.05500000000001</v>
      </c>
      <c r="AWE11">
        <v>100.04</v>
      </c>
      <c r="AWF11">
        <v>100.03</v>
      </c>
      <c r="AWG11">
        <v>100.02500000000001</v>
      </c>
      <c r="AWH11">
        <v>100.035</v>
      </c>
      <c r="AWI11">
        <v>100.04</v>
      </c>
      <c r="AWJ11">
        <v>100.04</v>
      </c>
      <c r="AWK11">
        <v>100.035</v>
      </c>
      <c r="AWL11">
        <v>100.03</v>
      </c>
      <c r="AWM11">
        <v>100.02500000000001</v>
      </c>
      <c r="AWN11">
        <v>100.02500000000001</v>
      </c>
      <c r="AWO11">
        <v>100.02</v>
      </c>
      <c r="AWP11">
        <v>100.03</v>
      </c>
      <c r="AWQ11">
        <v>100.03</v>
      </c>
      <c r="AWR11">
        <v>100.03</v>
      </c>
      <c r="AWS11">
        <v>100.045</v>
      </c>
      <c r="AWT11">
        <v>100.03</v>
      </c>
      <c r="AWU11">
        <v>100.02500000000001</v>
      </c>
      <c r="AWV11">
        <v>100.02</v>
      </c>
      <c r="AWW11">
        <v>100.02</v>
      </c>
      <c r="AWX11">
        <v>100.02</v>
      </c>
      <c r="AWY11">
        <v>100.01</v>
      </c>
      <c r="AWZ11">
        <v>100.03</v>
      </c>
      <c r="AXA11">
        <v>100.03</v>
      </c>
      <c r="AXB11">
        <v>100.02</v>
      </c>
      <c r="AXC11">
        <v>100</v>
      </c>
      <c r="AXD11">
        <v>100</v>
      </c>
      <c r="AXE11">
        <v>100</v>
      </c>
      <c r="AXF11">
        <v>99.995000000000005</v>
      </c>
      <c r="AXG11">
        <v>99.984999999999999</v>
      </c>
      <c r="AXH11">
        <v>99.97</v>
      </c>
      <c r="AXI11">
        <v>99.965000000000003</v>
      </c>
      <c r="AXJ11">
        <v>99.97</v>
      </c>
      <c r="AXK11">
        <v>99.98</v>
      </c>
      <c r="AXL11">
        <v>99.97</v>
      </c>
      <c r="AXM11">
        <v>99.98</v>
      </c>
      <c r="AXN11">
        <v>99.965000000000003</v>
      </c>
      <c r="AXO11">
        <v>99.924999999999997</v>
      </c>
      <c r="AXP11">
        <v>99.894999999999996</v>
      </c>
      <c r="AXQ11">
        <v>99.894999999999996</v>
      </c>
      <c r="AXR11">
        <v>99.944999999999993</v>
      </c>
      <c r="AXS11">
        <v>99.954999999999998</v>
      </c>
      <c r="AXT11">
        <v>99.99</v>
      </c>
      <c r="AXU11">
        <v>99.995000000000005</v>
      </c>
      <c r="AXV11">
        <v>99.984999999999999</v>
      </c>
      <c r="AXW11">
        <v>99.965000000000003</v>
      </c>
      <c r="AXX11">
        <v>99.965000000000003</v>
      </c>
      <c r="AXY11">
        <v>99.97</v>
      </c>
      <c r="AXZ11">
        <v>99.974999999999994</v>
      </c>
      <c r="AYA11">
        <v>99.974999999999994</v>
      </c>
      <c r="AYB11">
        <v>99.97</v>
      </c>
      <c r="AYC11">
        <v>99.97</v>
      </c>
      <c r="AYD11">
        <v>99.97</v>
      </c>
      <c r="AYE11">
        <v>99.97</v>
      </c>
      <c r="AYF11">
        <v>100</v>
      </c>
      <c r="AYG11">
        <v>99.99</v>
      </c>
      <c r="AYH11">
        <v>99.98</v>
      </c>
      <c r="AYI11">
        <v>99.965000000000003</v>
      </c>
      <c r="AYJ11">
        <v>99.96</v>
      </c>
      <c r="AYK11">
        <v>99.98</v>
      </c>
      <c r="AYL11">
        <v>99.99</v>
      </c>
      <c r="AYM11">
        <v>99.935000000000002</v>
      </c>
      <c r="AYN11">
        <v>99.915000000000006</v>
      </c>
      <c r="AYO11">
        <v>99.915000000000006</v>
      </c>
      <c r="AYP11">
        <v>99.9</v>
      </c>
      <c r="AYQ11">
        <v>99.905000000000001</v>
      </c>
      <c r="AYR11">
        <v>99.9</v>
      </c>
      <c r="AYS11">
        <v>99.89</v>
      </c>
      <c r="AYT11">
        <v>99.89</v>
      </c>
      <c r="AYU11">
        <v>99.9</v>
      </c>
      <c r="AYV11">
        <v>99.9</v>
      </c>
      <c r="AYW11">
        <v>99.894999999999996</v>
      </c>
      <c r="AYX11">
        <v>99.905000000000001</v>
      </c>
      <c r="AYY11">
        <v>99.89</v>
      </c>
      <c r="AYZ11">
        <v>99.88</v>
      </c>
      <c r="AZA11">
        <v>99.864999999999995</v>
      </c>
      <c r="AZB11">
        <v>99.864999999999995</v>
      </c>
      <c r="AZC11">
        <v>99.84</v>
      </c>
      <c r="AZD11">
        <v>99.825000000000003</v>
      </c>
      <c r="AZE11">
        <v>99.834999999999994</v>
      </c>
      <c r="AZF11">
        <v>99.834999999999994</v>
      </c>
      <c r="AZG11">
        <v>99.814999999999998</v>
      </c>
      <c r="AZH11">
        <v>99.8</v>
      </c>
      <c r="AZI11">
        <v>99.834999999999994</v>
      </c>
      <c r="AZJ11">
        <v>99.894999999999996</v>
      </c>
      <c r="AZK11">
        <v>99.89</v>
      </c>
      <c r="AZL11">
        <v>99.905000000000001</v>
      </c>
      <c r="AZM11">
        <v>99.88</v>
      </c>
      <c r="AZN11">
        <v>99.91</v>
      </c>
      <c r="AZO11">
        <v>99.875</v>
      </c>
      <c r="AZP11">
        <v>99.86</v>
      </c>
      <c r="AZQ11">
        <v>99.83</v>
      </c>
      <c r="AZR11">
        <v>99.825000000000003</v>
      </c>
      <c r="AZS11">
        <v>99.894999999999996</v>
      </c>
      <c r="AZT11">
        <v>99.814999999999998</v>
      </c>
      <c r="AZU11">
        <v>99.754999999999995</v>
      </c>
      <c r="AZV11">
        <v>99.65</v>
      </c>
      <c r="AZW11">
        <v>99.814999999999998</v>
      </c>
      <c r="AZX11">
        <v>99.87</v>
      </c>
      <c r="AZY11">
        <v>99.795000000000002</v>
      </c>
      <c r="AZZ11">
        <v>99.8</v>
      </c>
      <c r="BAA11">
        <v>99.73</v>
      </c>
      <c r="BAB11">
        <v>99.71</v>
      </c>
      <c r="BAC11">
        <v>99.805000000000007</v>
      </c>
      <c r="BAD11">
        <v>99.73</v>
      </c>
      <c r="BAE11">
        <v>99.644999999999996</v>
      </c>
      <c r="BAF11">
        <v>99.584999999999994</v>
      </c>
      <c r="BAG11">
        <v>99.52</v>
      </c>
      <c r="BAH11">
        <v>99.45</v>
      </c>
      <c r="BAI11">
        <v>99.45</v>
      </c>
      <c r="BAJ11">
        <v>99.245000000000005</v>
      </c>
      <c r="BAK11">
        <v>99.18</v>
      </c>
      <c r="BAL11">
        <v>99.16</v>
      </c>
      <c r="BAM11">
        <v>99.105000000000004</v>
      </c>
      <c r="BAN11">
        <v>98.995000000000005</v>
      </c>
      <c r="BAO11">
        <v>98.93</v>
      </c>
      <c r="BAP11">
        <v>98.885000000000005</v>
      </c>
      <c r="BAQ11">
        <v>98.91</v>
      </c>
      <c r="BAR11">
        <v>98.88</v>
      </c>
      <c r="BAS11">
        <v>98.88</v>
      </c>
      <c r="BAT11">
        <v>98.844999999999999</v>
      </c>
      <c r="BAU11">
        <v>98.844999999999999</v>
      </c>
      <c r="BAV11">
        <v>98.885000000000005</v>
      </c>
      <c r="BAW11">
        <v>98.915000000000006</v>
      </c>
      <c r="BAX11">
        <v>98.88</v>
      </c>
      <c r="BAY11">
        <v>98.825000000000003</v>
      </c>
      <c r="BAZ11">
        <v>98.844999999999999</v>
      </c>
      <c r="BBA11">
        <v>98.885000000000005</v>
      </c>
      <c r="BBB11">
        <v>98.97</v>
      </c>
      <c r="BBC11">
        <v>98.995000000000005</v>
      </c>
      <c r="BBD11">
        <v>98.94</v>
      </c>
      <c r="BBE11">
        <v>98.894999999999996</v>
      </c>
      <c r="BBF11">
        <v>98.844999999999999</v>
      </c>
      <c r="BBG11">
        <v>98.88</v>
      </c>
      <c r="BBH11">
        <v>98.795000000000002</v>
      </c>
      <c r="BBI11">
        <v>98.734999999999999</v>
      </c>
      <c r="BBJ11">
        <v>98.715000000000003</v>
      </c>
      <c r="BBK11">
        <v>98.7</v>
      </c>
      <c r="BBL11">
        <v>98.644999999999996</v>
      </c>
      <c r="BBM11">
        <v>98.644999999999996</v>
      </c>
      <c r="BBN11">
        <v>98.66</v>
      </c>
      <c r="BBO11">
        <v>98.67</v>
      </c>
      <c r="BBP11">
        <v>98.66</v>
      </c>
      <c r="BBQ11">
        <v>98.644999999999996</v>
      </c>
      <c r="BBR11">
        <v>98.655000000000001</v>
      </c>
      <c r="BBS11">
        <v>98.64</v>
      </c>
      <c r="BBT11">
        <v>98.635000000000005</v>
      </c>
      <c r="BBU11">
        <v>98.68</v>
      </c>
      <c r="BBV11">
        <v>98.69</v>
      </c>
      <c r="BBW11">
        <v>98.694999999999993</v>
      </c>
      <c r="BBX11">
        <v>98.61</v>
      </c>
      <c r="BBY11">
        <v>98.605000000000004</v>
      </c>
      <c r="BBZ11">
        <v>98.605000000000004</v>
      </c>
      <c r="BCA11">
        <v>98.61</v>
      </c>
      <c r="BCB11">
        <v>98.61</v>
      </c>
      <c r="BCC11">
        <v>98.57</v>
      </c>
      <c r="BCD11">
        <v>98.57</v>
      </c>
      <c r="BCE11">
        <v>98.57</v>
      </c>
      <c r="BCF11">
        <v>98.55</v>
      </c>
      <c r="BCG11">
        <v>98.59</v>
      </c>
      <c r="BCH11">
        <v>98.605000000000004</v>
      </c>
      <c r="BCI11">
        <v>98.58</v>
      </c>
      <c r="BCJ11">
        <v>98.605000000000004</v>
      </c>
      <c r="BCK11">
        <v>98.605000000000004</v>
      </c>
      <c r="BCL11">
        <v>98.68</v>
      </c>
      <c r="BCM11">
        <v>98.6</v>
      </c>
      <c r="BCN11">
        <v>98.685000000000002</v>
      </c>
      <c r="BCO11">
        <v>98.644999999999996</v>
      </c>
      <c r="BCP11">
        <v>98.66</v>
      </c>
      <c r="BCQ11">
        <v>98.665000000000006</v>
      </c>
      <c r="BCR11">
        <v>98.724999999999994</v>
      </c>
      <c r="BCS11">
        <v>98.74</v>
      </c>
      <c r="BCT11">
        <v>98.814999999999998</v>
      </c>
      <c r="BCU11">
        <v>98.694999999999993</v>
      </c>
      <c r="BCV11">
        <v>98.73</v>
      </c>
      <c r="BCW11">
        <v>98.72</v>
      </c>
      <c r="BCX11">
        <v>98.72</v>
      </c>
      <c r="BCY11">
        <v>98.76</v>
      </c>
      <c r="BCZ11">
        <v>98.75</v>
      </c>
      <c r="BDA11">
        <v>98.734999999999999</v>
      </c>
      <c r="BDB11">
        <v>98.754999999999995</v>
      </c>
      <c r="BDC11">
        <v>98.784999999999997</v>
      </c>
      <c r="BDD11">
        <v>98.75</v>
      </c>
      <c r="BDE11">
        <v>98.724999999999994</v>
      </c>
      <c r="BDF11">
        <v>98.7</v>
      </c>
      <c r="BDG11">
        <v>98.71</v>
      </c>
      <c r="BDH11">
        <v>98.66</v>
      </c>
      <c r="BDI11">
        <v>98.61</v>
      </c>
      <c r="BDJ11">
        <v>98.575000000000003</v>
      </c>
      <c r="BDK11">
        <v>98.584999999999994</v>
      </c>
      <c r="BDL11">
        <v>98.57</v>
      </c>
      <c r="BDM11">
        <v>98.674999999999997</v>
      </c>
      <c r="BDN11">
        <v>98.644999999999996</v>
      </c>
      <c r="BDO11">
        <v>98.704999999999998</v>
      </c>
      <c r="BDP11">
        <v>98.754999999999995</v>
      </c>
      <c r="BDQ11">
        <v>98.825000000000003</v>
      </c>
      <c r="BDR11">
        <v>98.7</v>
      </c>
      <c r="BDS11">
        <v>98.68</v>
      </c>
      <c r="BDT11">
        <v>98.685000000000002</v>
      </c>
      <c r="BDU11">
        <v>98.715000000000003</v>
      </c>
      <c r="BDV11">
        <v>98.76</v>
      </c>
      <c r="BDW11">
        <v>98.77</v>
      </c>
      <c r="BDX11">
        <v>98.75</v>
      </c>
      <c r="BDY11">
        <v>98.724999999999994</v>
      </c>
      <c r="BDZ11">
        <v>98.765000000000001</v>
      </c>
      <c r="BEA11">
        <v>98.745000000000005</v>
      </c>
      <c r="BEB11">
        <v>98.77</v>
      </c>
      <c r="BEC11">
        <v>98.73</v>
      </c>
      <c r="BED11">
        <v>98.78</v>
      </c>
      <c r="BEE11">
        <v>98.76</v>
      </c>
      <c r="BEF11">
        <v>98.89</v>
      </c>
      <c r="BEG11">
        <v>98.954999999999998</v>
      </c>
      <c r="BEH11">
        <v>99.015000000000001</v>
      </c>
      <c r="BEI11">
        <v>98.965000000000003</v>
      </c>
      <c r="BEJ11">
        <v>99.034999999999997</v>
      </c>
      <c r="BEK11">
        <v>99.045000000000002</v>
      </c>
      <c r="BEL11">
        <v>98.944999999999993</v>
      </c>
      <c r="BEM11">
        <v>98.87</v>
      </c>
      <c r="BEN11">
        <v>98.8</v>
      </c>
      <c r="BEO11">
        <v>98.81</v>
      </c>
      <c r="BEP11">
        <v>98.8</v>
      </c>
      <c r="BEQ11">
        <v>98.784999999999997</v>
      </c>
      <c r="BER11">
        <v>98.885000000000005</v>
      </c>
      <c r="BES11">
        <v>98.79</v>
      </c>
      <c r="BET11">
        <v>98.75</v>
      </c>
      <c r="BEU11">
        <v>98.765000000000001</v>
      </c>
      <c r="BEV11">
        <v>98.73</v>
      </c>
      <c r="BEW11">
        <v>98.734999999999999</v>
      </c>
      <c r="BEX11">
        <v>98.694999999999993</v>
      </c>
      <c r="BEY11">
        <v>98.635000000000005</v>
      </c>
      <c r="BEZ11">
        <v>98.73</v>
      </c>
      <c r="BFA11">
        <v>98.814999999999998</v>
      </c>
      <c r="BFB11">
        <v>98.84</v>
      </c>
      <c r="BFC11">
        <v>98.944999999999993</v>
      </c>
      <c r="BFD11">
        <v>99.02</v>
      </c>
      <c r="BFE11">
        <v>99.025000000000006</v>
      </c>
      <c r="BFF11">
        <v>99.155000000000001</v>
      </c>
      <c r="BFG11">
        <v>99.114999999999995</v>
      </c>
      <c r="BFH11">
        <v>99.034999999999997</v>
      </c>
      <c r="BFI11">
        <v>99.034999999999997</v>
      </c>
      <c r="BFJ11">
        <v>99.01</v>
      </c>
      <c r="BFK11">
        <v>99.05</v>
      </c>
      <c r="BFL11">
        <v>99.004999999999995</v>
      </c>
      <c r="BFM11">
        <v>98.96</v>
      </c>
      <c r="BFN11">
        <v>98.984999999999999</v>
      </c>
      <c r="BFO11">
        <v>98.88</v>
      </c>
      <c r="BFP11">
        <v>98.91</v>
      </c>
      <c r="BFQ11">
        <v>98.944999999999993</v>
      </c>
      <c r="BFR11">
        <v>98.905000000000001</v>
      </c>
      <c r="BFS11">
        <v>98.965000000000003</v>
      </c>
      <c r="BFT11">
        <v>98.96</v>
      </c>
      <c r="BFU11">
        <v>98.89</v>
      </c>
      <c r="BFV11">
        <v>98.805000000000007</v>
      </c>
      <c r="BFW11">
        <v>98.91</v>
      </c>
      <c r="BFX11">
        <v>98.83</v>
      </c>
      <c r="BFY11">
        <v>98.875</v>
      </c>
      <c r="BFZ11">
        <v>98.95</v>
      </c>
      <c r="BGA11">
        <v>98.86</v>
      </c>
      <c r="BGB11">
        <v>98.924999999999997</v>
      </c>
      <c r="BGC11">
        <v>98.71</v>
      </c>
      <c r="BGD11">
        <v>98.69</v>
      </c>
      <c r="BGE11">
        <v>98.5</v>
      </c>
      <c r="BGF11">
        <v>98.55</v>
      </c>
      <c r="BGG11">
        <v>98.56</v>
      </c>
      <c r="BGH11">
        <v>98.545000000000002</v>
      </c>
      <c r="BGI11">
        <v>98.57</v>
      </c>
      <c r="BGJ11">
        <v>98.594999999999999</v>
      </c>
      <c r="BGK11">
        <v>98.59</v>
      </c>
      <c r="BGL11">
        <v>98.62</v>
      </c>
      <c r="BGM11">
        <v>98.6</v>
      </c>
      <c r="BGN11">
        <v>98.65</v>
      </c>
      <c r="BGO11">
        <v>98.564999999999998</v>
      </c>
      <c r="BGP11">
        <v>98.51</v>
      </c>
      <c r="BGQ11">
        <v>98.54</v>
      </c>
      <c r="BGR11">
        <v>98.53</v>
      </c>
      <c r="BGS11">
        <v>98.515000000000001</v>
      </c>
      <c r="BGT11">
        <v>98.56</v>
      </c>
      <c r="BGU11">
        <v>98.52</v>
      </c>
      <c r="BGV11">
        <v>98.54</v>
      </c>
      <c r="BGW11">
        <v>98.534999999999997</v>
      </c>
      <c r="BGX11">
        <v>98.63</v>
      </c>
      <c r="BGY11">
        <v>98.63</v>
      </c>
      <c r="BGZ11">
        <v>98.625</v>
      </c>
      <c r="BHA11">
        <v>98.575000000000003</v>
      </c>
      <c r="BHB11">
        <v>98.625</v>
      </c>
      <c r="BHC11">
        <v>98.64</v>
      </c>
      <c r="BHD11">
        <v>98.61</v>
      </c>
      <c r="BHE11">
        <v>98.694999999999993</v>
      </c>
      <c r="BHF11">
        <v>98.67</v>
      </c>
      <c r="BHG11">
        <v>98.62</v>
      </c>
      <c r="BHH11">
        <v>98.674999999999997</v>
      </c>
      <c r="BHI11">
        <v>98.68</v>
      </c>
      <c r="BHJ11">
        <v>98.59</v>
      </c>
      <c r="BHK11">
        <v>98.594999999999999</v>
      </c>
      <c r="BHL11">
        <v>98.62</v>
      </c>
      <c r="BHM11">
        <v>98.625</v>
      </c>
      <c r="BHN11">
        <v>98.555000000000007</v>
      </c>
      <c r="BHO11">
        <v>98.504999999999995</v>
      </c>
      <c r="BHP11">
        <v>98.504999999999995</v>
      </c>
      <c r="BHQ11">
        <v>98.555000000000007</v>
      </c>
      <c r="BHR11">
        <v>98.54</v>
      </c>
      <c r="BHS11">
        <v>98.614999999999995</v>
      </c>
      <c r="BHT11">
        <v>98.594999999999999</v>
      </c>
      <c r="BHU11">
        <v>98.64</v>
      </c>
      <c r="BHV11">
        <v>98.534999999999997</v>
      </c>
      <c r="BHW11">
        <v>98.39</v>
      </c>
      <c r="BHX11">
        <v>98.394999999999996</v>
      </c>
      <c r="BHY11">
        <v>98.355000000000004</v>
      </c>
      <c r="BHZ11">
        <v>98.29</v>
      </c>
      <c r="BIA11">
        <v>98.29</v>
      </c>
      <c r="BIB11">
        <v>98.32</v>
      </c>
      <c r="BIC11">
        <v>98.185000000000002</v>
      </c>
      <c r="BID11">
        <v>98.15</v>
      </c>
      <c r="BIE11">
        <v>98.18</v>
      </c>
      <c r="BIF11">
        <v>98.204999999999998</v>
      </c>
      <c r="BIG11">
        <v>98.2</v>
      </c>
      <c r="BIH11">
        <v>98.245000000000005</v>
      </c>
      <c r="BII11">
        <v>98.19</v>
      </c>
      <c r="BIJ11">
        <v>98.2</v>
      </c>
      <c r="BIK11">
        <v>98.114999999999995</v>
      </c>
      <c r="BIL11">
        <v>98.1</v>
      </c>
      <c r="BIM11">
        <v>98.064999999999998</v>
      </c>
      <c r="BIN11">
        <v>98.094999999999999</v>
      </c>
      <c r="BIO11">
        <v>98.045000000000002</v>
      </c>
      <c r="BIP11">
        <v>98.004999999999995</v>
      </c>
      <c r="BIQ11">
        <v>98</v>
      </c>
      <c r="BIR11">
        <v>98.06</v>
      </c>
      <c r="BIS11">
        <v>98.1</v>
      </c>
      <c r="BIT11">
        <v>98.07</v>
      </c>
      <c r="BIU11">
        <v>98.075000000000003</v>
      </c>
      <c r="BIV11">
        <v>98.03</v>
      </c>
      <c r="BIW11">
        <v>98.045000000000002</v>
      </c>
      <c r="BIX11">
        <v>97.99</v>
      </c>
      <c r="BIY11">
        <v>97.97</v>
      </c>
      <c r="BIZ11">
        <v>97.97</v>
      </c>
      <c r="BJA11">
        <v>97.97</v>
      </c>
      <c r="BJB11">
        <v>97.944999999999993</v>
      </c>
      <c r="BJC11">
        <v>97.94</v>
      </c>
      <c r="BJD11">
        <v>97.97</v>
      </c>
      <c r="BJE11">
        <v>97.965000000000003</v>
      </c>
      <c r="BJF11">
        <v>98.04</v>
      </c>
      <c r="BJG11">
        <v>98.075000000000003</v>
      </c>
      <c r="BJH11">
        <v>98.04</v>
      </c>
      <c r="BJI11">
        <v>98.01</v>
      </c>
      <c r="BJJ11">
        <v>98.02</v>
      </c>
      <c r="BJK11">
        <v>98.03</v>
      </c>
      <c r="BJL11">
        <v>98.04</v>
      </c>
      <c r="BJM11">
        <v>98.06</v>
      </c>
      <c r="BJN11">
        <v>98.05</v>
      </c>
      <c r="BJO11">
        <v>98.13</v>
      </c>
      <c r="BJP11">
        <v>98.204999999999998</v>
      </c>
      <c r="BJQ11">
        <v>98.24</v>
      </c>
      <c r="BJR11">
        <v>98.185000000000002</v>
      </c>
      <c r="BJS11">
        <v>98.215000000000003</v>
      </c>
      <c r="BJT11">
        <v>98.1</v>
      </c>
      <c r="BJU11">
        <v>97.98</v>
      </c>
      <c r="BJV11">
        <v>97.96</v>
      </c>
      <c r="BJW11">
        <v>97.834999999999994</v>
      </c>
      <c r="BJX11">
        <v>97.85</v>
      </c>
      <c r="BJY11">
        <v>97.855000000000004</v>
      </c>
      <c r="BJZ11">
        <v>97.825000000000003</v>
      </c>
      <c r="BKA11">
        <v>97.83</v>
      </c>
      <c r="BKB11">
        <v>97.82</v>
      </c>
      <c r="BKC11">
        <v>97.79</v>
      </c>
      <c r="BKD11">
        <v>97.8</v>
      </c>
      <c r="BKE11">
        <v>97.784999999999997</v>
      </c>
      <c r="BKF11">
        <v>97.715000000000003</v>
      </c>
      <c r="BKG11">
        <v>97.68</v>
      </c>
      <c r="BKH11">
        <v>97.685000000000002</v>
      </c>
      <c r="BKI11">
        <v>97.674999999999997</v>
      </c>
      <c r="BKJ11">
        <v>97.745000000000005</v>
      </c>
      <c r="BKK11">
        <v>97.765000000000001</v>
      </c>
      <c r="BKL11">
        <v>97.79</v>
      </c>
      <c r="BKM11">
        <v>97.76</v>
      </c>
      <c r="BKN11">
        <v>97.765000000000001</v>
      </c>
      <c r="BKO11">
        <v>97.72</v>
      </c>
      <c r="BKP11">
        <v>97.76</v>
      </c>
      <c r="BKQ11">
        <v>97.754999999999995</v>
      </c>
      <c r="BKR11">
        <v>97.74</v>
      </c>
      <c r="BKS11">
        <v>97.74</v>
      </c>
      <c r="BKT11">
        <v>97.75</v>
      </c>
      <c r="BKU11">
        <v>97.71</v>
      </c>
      <c r="BKV11">
        <v>97.77</v>
      </c>
      <c r="BKW11">
        <v>97.8</v>
      </c>
      <c r="BKX11">
        <v>97.825000000000003</v>
      </c>
      <c r="BKY11">
        <v>97.795000000000002</v>
      </c>
      <c r="BKZ11">
        <v>97.74</v>
      </c>
      <c r="BLA11">
        <v>97.73</v>
      </c>
      <c r="BLB11">
        <v>97.724999999999994</v>
      </c>
      <c r="BLC11">
        <v>97.745000000000005</v>
      </c>
      <c r="BLD11">
        <v>97.77</v>
      </c>
      <c r="BLE11">
        <v>97.7</v>
      </c>
      <c r="BLF11">
        <v>97.65</v>
      </c>
      <c r="BLG11">
        <v>97.644999999999996</v>
      </c>
      <c r="BLH11">
        <v>97.635000000000005</v>
      </c>
      <c r="BLI11">
        <v>97.66</v>
      </c>
      <c r="BLJ11">
        <v>97.644999999999996</v>
      </c>
      <c r="BLK11">
        <v>97.65</v>
      </c>
      <c r="BLL11">
        <v>97.61</v>
      </c>
      <c r="BLM11">
        <v>97.61</v>
      </c>
      <c r="BLN11">
        <v>97.68</v>
      </c>
      <c r="BLO11">
        <v>97.71</v>
      </c>
      <c r="BLP11">
        <v>97.734999999999999</v>
      </c>
      <c r="BLQ11">
        <v>97.724999999999994</v>
      </c>
      <c r="BLR11">
        <v>97.73</v>
      </c>
      <c r="BLS11">
        <v>97.715000000000003</v>
      </c>
      <c r="BLT11">
        <v>97.72</v>
      </c>
      <c r="BLU11">
        <v>97.71</v>
      </c>
      <c r="BLV11">
        <v>97.78</v>
      </c>
      <c r="BLW11">
        <v>97.825000000000003</v>
      </c>
      <c r="BLX11">
        <v>97.89</v>
      </c>
      <c r="BLY11">
        <v>97.704999999999998</v>
      </c>
      <c r="BLZ11">
        <v>97.715000000000003</v>
      </c>
      <c r="BMA11">
        <v>97.715000000000003</v>
      </c>
      <c r="BMB11">
        <v>97.71</v>
      </c>
      <c r="BMC11">
        <v>97.7</v>
      </c>
      <c r="BMD11">
        <v>97.644999999999996</v>
      </c>
      <c r="BME11">
        <v>97.62</v>
      </c>
      <c r="BMF11">
        <v>97.62</v>
      </c>
      <c r="BMG11">
        <v>97.56</v>
      </c>
      <c r="BMH11">
        <v>97.525000000000006</v>
      </c>
      <c r="BMI11">
        <v>97.515000000000001</v>
      </c>
      <c r="BMJ11">
        <v>97.515000000000001</v>
      </c>
      <c r="BMK11">
        <v>97.465000000000003</v>
      </c>
      <c r="BML11">
        <v>97.43</v>
      </c>
      <c r="BMM11">
        <v>97.4</v>
      </c>
      <c r="BMN11">
        <v>97.405000000000001</v>
      </c>
      <c r="BMO11">
        <v>97.44</v>
      </c>
      <c r="BMP11">
        <v>97.48</v>
      </c>
      <c r="BMQ11">
        <v>97.444999999999993</v>
      </c>
      <c r="BMR11">
        <v>97.405000000000001</v>
      </c>
      <c r="BMS11">
        <v>97.3</v>
      </c>
      <c r="BMT11">
        <v>97.3</v>
      </c>
      <c r="BMU11">
        <v>97.27</v>
      </c>
      <c r="BMV11">
        <v>97.29</v>
      </c>
      <c r="BMW11">
        <v>97.284999999999997</v>
      </c>
      <c r="BMX11">
        <v>97.28</v>
      </c>
      <c r="BMY11">
        <v>97.245000000000005</v>
      </c>
      <c r="BMZ11">
        <v>97.23</v>
      </c>
      <c r="BNA11">
        <v>97.24</v>
      </c>
      <c r="BNB11">
        <v>97.24</v>
      </c>
      <c r="BNC11">
        <v>97.24</v>
      </c>
      <c r="BND11">
        <v>97.24</v>
      </c>
      <c r="BNE11">
        <v>97.245000000000005</v>
      </c>
      <c r="BNF11">
        <v>97.21</v>
      </c>
      <c r="BNG11">
        <v>97.16</v>
      </c>
      <c r="BNH11">
        <v>97.15</v>
      </c>
      <c r="BNI11">
        <v>97.094999999999999</v>
      </c>
      <c r="BNJ11">
        <v>97.075000000000003</v>
      </c>
      <c r="BNK11">
        <v>97.055000000000007</v>
      </c>
      <c r="BNL11">
        <v>97.04</v>
      </c>
      <c r="BNM11">
        <v>97.075000000000003</v>
      </c>
      <c r="BNN11">
        <v>97.084999999999994</v>
      </c>
      <c r="BNO11">
        <v>97.094999999999999</v>
      </c>
      <c r="BNP11">
        <v>97.1</v>
      </c>
      <c r="BNQ11">
        <v>97.144999999999996</v>
      </c>
      <c r="BNR11">
        <v>97.135000000000005</v>
      </c>
      <c r="BNS11">
        <v>97.17</v>
      </c>
      <c r="BNT11">
        <v>97.17</v>
      </c>
      <c r="BNU11">
        <v>97.174999999999997</v>
      </c>
      <c r="BNV11">
        <v>97.105000000000004</v>
      </c>
      <c r="BNW11">
        <v>97.105000000000004</v>
      </c>
      <c r="BNX11">
        <v>97.075000000000003</v>
      </c>
      <c r="BNY11">
        <v>97.04</v>
      </c>
      <c r="BNZ11">
        <v>97.034999999999997</v>
      </c>
      <c r="BOA11">
        <v>97.055000000000007</v>
      </c>
      <c r="BOB11">
        <v>97.045000000000002</v>
      </c>
      <c r="BOC11">
        <v>97.045000000000002</v>
      </c>
      <c r="BOD11">
        <v>97.05</v>
      </c>
      <c r="BOE11">
        <v>97.06</v>
      </c>
      <c r="BOF11">
        <v>97.04</v>
      </c>
      <c r="BOG11">
        <v>96.99</v>
      </c>
      <c r="BOH11">
        <v>96.98</v>
      </c>
      <c r="BOI11">
        <v>96.984999999999999</v>
      </c>
      <c r="BOJ11">
        <v>96.99</v>
      </c>
      <c r="BOK11">
        <v>97.015000000000001</v>
      </c>
      <c r="BOL11">
        <v>97.05</v>
      </c>
      <c r="BOM11">
        <v>97.1</v>
      </c>
      <c r="BON11">
        <v>97.09</v>
      </c>
      <c r="BOO11">
        <v>97.094999999999999</v>
      </c>
      <c r="BOP11">
        <v>97.075000000000003</v>
      </c>
      <c r="BOQ11">
        <v>97.075000000000003</v>
      </c>
      <c r="BOR11">
        <v>97.064999999999998</v>
      </c>
      <c r="BOS11">
        <v>97.08</v>
      </c>
      <c r="BOT11">
        <v>97.084999999999994</v>
      </c>
      <c r="BOU11">
        <v>97.075000000000003</v>
      </c>
      <c r="BOV11">
        <v>97.094999999999999</v>
      </c>
      <c r="BOW11">
        <v>97.11</v>
      </c>
      <c r="BOX11">
        <v>97.14</v>
      </c>
      <c r="BOY11">
        <v>97.144999999999996</v>
      </c>
      <c r="BOZ11">
        <v>97.18</v>
      </c>
      <c r="BPA11">
        <v>97.204999999999998</v>
      </c>
      <c r="BPB11">
        <v>97.204999999999998</v>
      </c>
      <c r="BPC11">
        <v>97.254999999999995</v>
      </c>
      <c r="BPD11">
        <v>97.254999999999995</v>
      </c>
      <c r="BPE11">
        <v>97.314999999999998</v>
      </c>
      <c r="BPF11">
        <v>97.3</v>
      </c>
      <c r="BPG11">
        <v>97.305000000000007</v>
      </c>
      <c r="BPH11">
        <v>97.325000000000003</v>
      </c>
      <c r="BPI11">
        <v>97.325000000000003</v>
      </c>
      <c r="BPJ11">
        <v>97.295000000000002</v>
      </c>
      <c r="BPK11">
        <v>97.284999999999997</v>
      </c>
      <c r="BPL11">
        <v>97.3</v>
      </c>
      <c r="BPM11">
        <v>97.314999999999998</v>
      </c>
      <c r="BPN11">
        <v>97.334999999999994</v>
      </c>
      <c r="BPO11">
        <v>97.334999999999994</v>
      </c>
      <c r="BPP11">
        <v>97.355000000000004</v>
      </c>
      <c r="BPQ11">
        <v>97.344999999999999</v>
      </c>
      <c r="BPR11">
        <v>97.355000000000004</v>
      </c>
      <c r="BPS11">
        <v>97.33</v>
      </c>
      <c r="BPT11">
        <v>97.325000000000003</v>
      </c>
      <c r="BPU11">
        <v>97.344999999999999</v>
      </c>
      <c r="BPV11">
        <v>97.31</v>
      </c>
      <c r="BPW11">
        <v>97.334999999999994</v>
      </c>
      <c r="BPX11">
        <v>97.34</v>
      </c>
      <c r="BPY11">
        <v>97.275000000000006</v>
      </c>
      <c r="BPZ11">
        <v>97.26</v>
      </c>
      <c r="BQA11">
        <v>97.254999999999995</v>
      </c>
      <c r="BQB11">
        <v>97.26</v>
      </c>
      <c r="BQC11">
        <v>97.25</v>
      </c>
      <c r="BQD11">
        <v>97.24</v>
      </c>
      <c r="BQE11">
        <v>97.245000000000005</v>
      </c>
      <c r="BQF11">
        <v>97.25</v>
      </c>
      <c r="BQG11">
        <v>97.25</v>
      </c>
      <c r="BQH11">
        <v>97.25</v>
      </c>
      <c r="BQI11">
        <v>97.245000000000005</v>
      </c>
      <c r="BQJ11">
        <v>97.29</v>
      </c>
      <c r="BQK11">
        <v>97.29</v>
      </c>
      <c r="BQL11">
        <v>97.3</v>
      </c>
      <c r="BQM11">
        <v>97.334999999999994</v>
      </c>
      <c r="BQN11">
        <v>97.34</v>
      </c>
      <c r="BQO11">
        <v>97.325000000000003</v>
      </c>
      <c r="BQP11">
        <v>97.33</v>
      </c>
      <c r="BQQ11">
        <v>97.355000000000004</v>
      </c>
      <c r="BQR11">
        <v>97.37</v>
      </c>
      <c r="BQS11">
        <v>97.355000000000004</v>
      </c>
      <c r="BQT11">
        <v>97.364999999999995</v>
      </c>
      <c r="BQU11">
        <v>97.36</v>
      </c>
      <c r="BQV11">
        <v>97.37</v>
      </c>
      <c r="BQW11">
        <v>97.38</v>
      </c>
      <c r="BQX11">
        <v>97.36</v>
      </c>
      <c r="BQY11">
        <v>97.38</v>
      </c>
      <c r="BQZ11">
        <v>97.38</v>
      </c>
      <c r="BRA11">
        <v>97.375</v>
      </c>
      <c r="BRB11">
        <v>97.375</v>
      </c>
      <c r="BRC11">
        <v>97.38</v>
      </c>
      <c r="BRD11">
        <v>97.375</v>
      </c>
      <c r="BRE11">
        <v>97.33</v>
      </c>
      <c r="BRF11">
        <v>97.314999999999998</v>
      </c>
      <c r="BRG11">
        <v>97.284999999999997</v>
      </c>
      <c r="BRH11">
        <v>97.284999999999997</v>
      </c>
      <c r="BRI11">
        <v>97.275000000000006</v>
      </c>
      <c r="BRJ11">
        <v>97.28</v>
      </c>
      <c r="BRK11">
        <v>97.25</v>
      </c>
      <c r="BRL11">
        <v>97.26</v>
      </c>
      <c r="BRM11">
        <v>97.245000000000005</v>
      </c>
      <c r="BRN11">
        <v>97.245000000000005</v>
      </c>
      <c r="BRO11">
        <v>97.28</v>
      </c>
      <c r="BRP11">
        <v>97.295000000000002</v>
      </c>
      <c r="BRQ11">
        <v>97.305000000000007</v>
      </c>
      <c r="BRR11">
        <v>97.27</v>
      </c>
      <c r="BRS11">
        <v>97.26</v>
      </c>
      <c r="BRT11">
        <v>97.3</v>
      </c>
      <c r="BRU11">
        <v>97.28</v>
      </c>
      <c r="BRV11">
        <v>97.32</v>
      </c>
      <c r="BRW11">
        <v>97.39</v>
      </c>
      <c r="BRX11">
        <v>97.385000000000005</v>
      </c>
      <c r="BRY11">
        <v>97.48</v>
      </c>
      <c r="BRZ11">
        <v>97.265000000000001</v>
      </c>
      <c r="BSA11">
        <v>97.265000000000001</v>
      </c>
      <c r="BSB11">
        <v>97.234999999999999</v>
      </c>
      <c r="BSC11">
        <v>97.204999999999998</v>
      </c>
      <c r="BSD11">
        <v>97.155000000000001</v>
      </c>
      <c r="BSE11">
        <v>97.144999999999996</v>
      </c>
      <c r="BSF11">
        <v>97.16</v>
      </c>
      <c r="BSG11">
        <v>97.135000000000005</v>
      </c>
      <c r="BSH11">
        <v>97.15</v>
      </c>
      <c r="BSI11">
        <v>97.16</v>
      </c>
      <c r="BSJ11">
        <v>97.19</v>
      </c>
      <c r="BSK11">
        <v>97.194999999999993</v>
      </c>
      <c r="BSL11">
        <v>97.21</v>
      </c>
      <c r="BSM11">
        <v>97.23</v>
      </c>
      <c r="BSN11">
        <v>97.254999999999995</v>
      </c>
      <c r="BSO11">
        <v>97.265000000000001</v>
      </c>
      <c r="BSP11">
        <v>97.29</v>
      </c>
      <c r="BSQ11" t="s">
        <v>6984</v>
      </c>
      <c r="BSR11" t="s">
        <v>6984</v>
      </c>
      <c r="BSS11" t="s">
        <v>6984</v>
      </c>
      <c r="BST11" t="s">
        <v>6984</v>
      </c>
      <c r="BSU11" t="s">
        <v>6984</v>
      </c>
      <c r="BSV11" t="s">
        <v>6984</v>
      </c>
      <c r="BSW11" t="s">
        <v>6984</v>
      </c>
      <c r="BSX11" t="s">
        <v>6984</v>
      </c>
      <c r="BSY11" t="s">
        <v>6984</v>
      </c>
      <c r="BSZ11" t="s">
        <v>6984</v>
      </c>
      <c r="BTA11" t="s">
        <v>6984</v>
      </c>
      <c r="BTB11" t="s">
        <v>6984</v>
      </c>
      <c r="BTC11" t="s">
        <v>6984</v>
      </c>
      <c r="BTD11" t="s">
        <v>6984</v>
      </c>
      <c r="BTE11" t="s">
        <v>6984</v>
      </c>
      <c r="BTF11" t="s">
        <v>6984</v>
      </c>
      <c r="BTG11" t="s">
        <v>6984</v>
      </c>
      <c r="BTH11" t="s">
        <v>6984</v>
      </c>
      <c r="BTI11" t="s">
        <v>6984</v>
      </c>
      <c r="BTJ11" t="s">
        <v>6984</v>
      </c>
      <c r="BTK11" t="s">
        <v>6984</v>
      </c>
      <c r="BTL11" t="s">
        <v>6984</v>
      </c>
      <c r="BTM11" t="s">
        <v>6984</v>
      </c>
      <c r="BTN11" t="s">
        <v>6984</v>
      </c>
      <c r="BTO11" t="s">
        <v>6984</v>
      </c>
      <c r="BTP11" t="s">
        <v>6984</v>
      </c>
      <c r="BTQ11" t="s">
        <v>6984</v>
      </c>
      <c r="BTR11" t="s">
        <v>6984</v>
      </c>
      <c r="BTS11" t="s">
        <v>6984</v>
      </c>
      <c r="BTT11" t="s">
        <v>6984</v>
      </c>
      <c r="BTU11" t="s">
        <v>6984</v>
      </c>
      <c r="BTV11" t="s">
        <v>6984</v>
      </c>
      <c r="BTW11" t="s">
        <v>6984</v>
      </c>
      <c r="BTX11" t="s">
        <v>6984</v>
      </c>
      <c r="BTY11" t="s">
        <v>6984</v>
      </c>
      <c r="BTZ11" t="s">
        <v>6984</v>
      </c>
      <c r="BUA11" t="s">
        <v>6984</v>
      </c>
      <c r="BUB11" t="s">
        <v>6984</v>
      </c>
      <c r="BUC11" t="s">
        <v>6984</v>
      </c>
      <c r="BUD11" t="s">
        <v>6984</v>
      </c>
      <c r="BUE11" t="s">
        <v>6984</v>
      </c>
      <c r="BUF11" t="s">
        <v>6984</v>
      </c>
      <c r="BUG11" t="s">
        <v>6984</v>
      </c>
      <c r="BUH11" t="s">
        <v>6984</v>
      </c>
      <c r="BUI11" t="s">
        <v>6984</v>
      </c>
      <c r="BUJ11" t="s">
        <v>6984</v>
      </c>
      <c r="BUK11" t="s">
        <v>6984</v>
      </c>
      <c r="BUL11" t="s">
        <v>6984</v>
      </c>
      <c r="BUM11" t="s">
        <v>6984</v>
      </c>
      <c r="BUN11" t="s">
        <v>6984</v>
      </c>
      <c r="BUO11" t="s">
        <v>6984</v>
      </c>
      <c r="BUP11" t="s">
        <v>6984</v>
      </c>
      <c r="BUQ11" t="s">
        <v>6984</v>
      </c>
      <c r="BUR11" t="s">
        <v>6984</v>
      </c>
      <c r="BUS11" t="s">
        <v>6984</v>
      </c>
      <c r="BUT11" t="s">
        <v>6984</v>
      </c>
      <c r="BUU11" t="s">
        <v>6984</v>
      </c>
      <c r="BUV11" t="s">
        <v>6984</v>
      </c>
      <c r="BUW11" t="s">
        <v>6984</v>
      </c>
      <c r="BUX11" t="s">
        <v>6984</v>
      </c>
      <c r="BUY11" t="s">
        <v>6984</v>
      </c>
      <c r="BUZ11" t="s">
        <v>6984</v>
      </c>
      <c r="BVA11" t="s">
        <v>6984</v>
      </c>
      <c r="BVB11" t="s">
        <v>6984</v>
      </c>
      <c r="BVC11" t="s">
        <v>6984</v>
      </c>
      <c r="BVD11" t="s">
        <v>6984</v>
      </c>
      <c r="BVE11" t="s">
        <v>6984</v>
      </c>
      <c r="BVF11" t="s">
        <v>6984</v>
      </c>
      <c r="BVG11" t="s">
        <v>6984</v>
      </c>
      <c r="BVH11" t="s">
        <v>6984</v>
      </c>
      <c r="BVI11" t="s">
        <v>6984</v>
      </c>
      <c r="BVJ11" t="s">
        <v>6984</v>
      </c>
      <c r="BVK11" t="s">
        <v>6984</v>
      </c>
      <c r="BVL11" t="s">
        <v>6984</v>
      </c>
      <c r="BVM11" t="s">
        <v>6984</v>
      </c>
      <c r="BVN11" t="s">
        <v>6984</v>
      </c>
      <c r="BVO11" t="s">
        <v>6984</v>
      </c>
      <c r="BVP11" t="s">
        <v>6984</v>
      </c>
      <c r="BVQ11" t="s">
        <v>6984</v>
      </c>
      <c r="BVR11" t="s">
        <v>6984</v>
      </c>
      <c r="BVS11" t="s">
        <v>6984</v>
      </c>
      <c r="BVT11" t="s">
        <v>6984</v>
      </c>
      <c r="BVU11" t="s">
        <v>6984</v>
      </c>
      <c r="BVV11" t="s">
        <v>6984</v>
      </c>
      <c r="BVW11" t="s">
        <v>6984</v>
      </c>
      <c r="BVX11" t="s">
        <v>6984</v>
      </c>
      <c r="BVY11" t="s">
        <v>6984</v>
      </c>
      <c r="BVZ11" t="s">
        <v>6984</v>
      </c>
      <c r="BWA11" t="s">
        <v>6984</v>
      </c>
      <c r="BWB11" t="s">
        <v>6984</v>
      </c>
      <c r="BWC11" t="s">
        <v>6984</v>
      </c>
      <c r="BWD11" t="s">
        <v>6984</v>
      </c>
      <c r="BWE11" t="s">
        <v>6984</v>
      </c>
      <c r="BWF11" t="s">
        <v>6984</v>
      </c>
      <c r="BWG11" t="s">
        <v>6984</v>
      </c>
      <c r="BWH11" t="s">
        <v>6984</v>
      </c>
      <c r="BWI11" t="s">
        <v>6984</v>
      </c>
      <c r="BWJ11" t="s">
        <v>6984</v>
      </c>
      <c r="BWK11" t="s">
        <v>6984</v>
      </c>
      <c r="BWL11" t="s">
        <v>6984</v>
      </c>
      <c r="BWM11" t="s">
        <v>6984</v>
      </c>
      <c r="BWN11" t="s">
        <v>6984</v>
      </c>
      <c r="BWO11" t="s">
        <v>6984</v>
      </c>
      <c r="BWP11" t="s">
        <v>6984</v>
      </c>
      <c r="BWQ11" t="s">
        <v>6984</v>
      </c>
      <c r="BWR11" t="s">
        <v>6984</v>
      </c>
      <c r="BWS11" t="s">
        <v>6984</v>
      </c>
      <c r="BWT11" t="s">
        <v>6984</v>
      </c>
      <c r="BWU11" t="s">
        <v>6984</v>
      </c>
      <c r="BWV11" t="s">
        <v>6984</v>
      </c>
      <c r="BWW11" t="s">
        <v>6984</v>
      </c>
      <c r="BWX11" t="s">
        <v>6984</v>
      </c>
      <c r="BWY11" t="s">
        <v>6984</v>
      </c>
      <c r="BWZ11" t="s">
        <v>6984</v>
      </c>
      <c r="BXA11" t="s">
        <v>6984</v>
      </c>
      <c r="BXB11" t="s">
        <v>6984</v>
      </c>
      <c r="BXC11" t="s">
        <v>6984</v>
      </c>
      <c r="BXD11" t="s">
        <v>6984</v>
      </c>
      <c r="BXE11" t="s">
        <v>6984</v>
      </c>
      <c r="BXF11" t="s">
        <v>6984</v>
      </c>
      <c r="BXG11" t="s">
        <v>6984</v>
      </c>
      <c r="BXH11" t="s">
        <v>6984</v>
      </c>
      <c r="BXI11" t="s">
        <v>6984</v>
      </c>
      <c r="BXJ11" t="s">
        <v>6984</v>
      </c>
      <c r="BXK11" t="s">
        <v>6984</v>
      </c>
      <c r="BXL11" t="s">
        <v>6984</v>
      </c>
      <c r="BXM11" t="s">
        <v>6984</v>
      </c>
      <c r="BXN11" t="s">
        <v>6984</v>
      </c>
      <c r="BXO11" t="s">
        <v>6984</v>
      </c>
      <c r="BXP11" t="s">
        <v>6984</v>
      </c>
      <c r="BXQ11" t="s">
        <v>6984</v>
      </c>
      <c r="BXR11" t="s">
        <v>6984</v>
      </c>
      <c r="BXS11" t="s">
        <v>6984</v>
      </c>
      <c r="BXT11" t="s">
        <v>6984</v>
      </c>
      <c r="BXU11" t="s">
        <v>6984</v>
      </c>
      <c r="BXV11" t="s">
        <v>6984</v>
      </c>
      <c r="BXW11" t="s">
        <v>6984</v>
      </c>
      <c r="BXX11" t="s">
        <v>6984</v>
      </c>
      <c r="BXY11" t="s">
        <v>6984</v>
      </c>
      <c r="BXZ11" t="s">
        <v>6984</v>
      </c>
      <c r="BYA11" t="s">
        <v>6984</v>
      </c>
      <c r="BYB11" t="s">
        <v>6984</v>
      </c>
      <c r="BYC11" t="s">
        <v>6984</v>
      </c>
      <c r="BYD11" t="s">
        <v>6984</v>
      </c>
      <c r="BYE11" t="s">
        <v>6984</v>
      </c>
      <c r="BYF11" t="s">
        <v>6984</v>
      </c>
      <c r="BYG11" t="s">
        <v>6984</v>
      </c>
      <c r="BYH11" t="s">
        <v>6984</v>
      </c>
      <c r="BYI11" t="s">
        <v>6984</v>
      </c>
      <c r="BYJ11" t="s">
        <v>6984</v>
      </c>
      <c r="BYK11" t="s">
        <v>6984</v>
      </c>
      <c r="BYL11" t="s">
        <v>6984</v>
      </c>
      <c r="BYM11" t="s">
        <v>6984</v>
      </c>
      <c r="BYN11" t="s">
        <v>6984</v>
      </c>
      <c r="BYO11" t="s">
        <v>6984</v>
      </c>
      <c r="BYP11" t="s">
        <v>6984</v>
      </c>
      <c r="BYQ11" t="s">
        <v>6984</v>
      </c>
      <c r="BYR11" t="s">
        <v>6984</v>
      </c>
      <c r="BYS11" t="s">
        <v>6984</v>
      </c>
      <c r="BYT11" t="s">
        <v>6984</v>
      </c>
      <c r="BYU11" t="s">
        <v>6984</v>
      </c>
      <c r="BYV11" t="s">
        <v>6984</v>
      </c>
      <c r="BYW11" t="s">
        <v>6984</v>
      </c>
      <c r="BYX11" t="s">
        <v>6984</v>
      </c>
      <c r="BYY11" t="s">
        <v>6984</v>
      </c>
      <c r="BYZ11" t="s">
        <v>6984</v>
      </c>
      <c r="BZA11" t="s">
        <v>6984</v>
      </c>
      <c r="BZB11" t="s">
        <v>6984</v>
      </c>
      <c r="BZC11" t="s">
        <v>6984</v>
      </c>
      <c r="BZD11" t="s">
        <v>6984</v>
      </c>
      <c r="BZE11" t="s">
        <v>6984</v>
      </c>
      <c r="BZF11" t="s">
        <v>6984</v>
      </c>
      <c r="BZG11" t="s">
        <v>6984</v>
      </c>
      <c r="BZH11" t="s">
        <v>6984</v>
      </c>
      <c r="BZI11" t="s">
        <v>6984</v>
      </c>
      <c r="BZJ11" t="s">
        <v>6984</v>
      </c>
      <c r="BZK11" t="s">
        <v>6984</v>
      </c>
      <c r="BZL11" t="s">
        <v>6984</v>
      </c>
      <c r="BZM11" t="s">
        <v>6984</v>
      </c>
      <c r="BZN11" t="s">
        <v>6984</v>
      </c>
      <c r="BZO11" t="s">
        <v>6984</v>
      </c>
      <c r="BZP11" t="s">
        <v>6984</v>
      </c>
      <c r="BZQ11" t="s">
        <v>6984</v>
      </c>
      <c r="BZR11" t="s">
        <v>6984</v>
      </c>
      <c r="BZS11" t="s">
        <v>6984</v>
      </c>
      <c r="BZT11" t="s">
        <v>6984</v>
      </c>
      <c r="BZU11" t="s">
        <v>6984</v>
      </c>
      <c r="BZV11" t="s">
        <v>6984</v>
      </c>
      <c r="BZW11" t="s">
        <v>6984</v>
      </c>
      <c r="BZX11" t="s">
        <v>6984</v>
      </c>
      <c r="BZY11" t="s">
        <v>6984</v>
      </c>
      <c r="BZZ11" t="s">
        <v>6984</v>
      </c>
      <c r="CAA11" t="s">
        <v>6984</v>
      </c>
      <c r="CAB11" t="s">
        <v>6984</v>
      </c>
      <c r="CAC11" t="s">
        <v>6984</v>
      </c>
      <c r="CAD11" t="s">
        <v>6984</v>
      </c>
      <c r="CAE11" t="s">
        <v>6984</v>
      </c>
      <c r="CAF11" t="s">
        <v>6984</v>
      </c>
      <c r="CAG11" t="s">
        <v>6984</v>
      </c>
      <c r="CAH11" t="s">
        <v>6984</v>
      </c>
      <c r="CAI11" t="s">
        <v>6984</v>
      </c>
      <c r="CAJ11" t="s">
        <v>6984</v>
      </c>
      <c r="CAK11" t="s">
        <v>6984</v>
      </c>
      <c r="CAL11" t="s">
        <v>6984</v>
      </c>
      <c r="CAM11" t="s">
        <v>6984</v>
      </c>
      <c r="CAN11" t="s">
        <v>6984</v>
      </c>
      <c r="CAO11" t="s">
        <v>6984</v>
      </c>
      <c r="CAP11" t="s">
        <v>6984</v>
      </c>
      <c r="CAQ11" t="s">
        <v>6984</v>
      </c>
      <c r="CAR11" t="s">
        <v>6984</v>
      </c>
      <c r="CAS11" t="s">
        <v>6984</v>
      </c>
      <c r="CAT11" t="s">
        <v>6984</v>
      </c>
      <c r="CAU11" t="s">
        <v>6984</v>
      </c>
      <c r="CAV11" t="s">
        <v>6984</v>
      </c>
      <c r="CAW11" t="s">
        <v>6984</v>
      </c>
      <c r="CAX11" t="s">
        <v>6984</v>
      </c>
      <c r="CAY11" t="s">
        <v>6984</v>
      </c>
      <c r="CAZ11" t="s">
        <v>6984</v>
      </c>
      <c r="CBA11" t="s">
        <v>6984</v>
      </c>
      <c r="CBB11" t="s">
        <v>6984</v>
      </c>
      <c r="CBC11" t="s">
        <v>6984</v>
      </c>
      <c r="CBD11" t="s">
        <v>6984</v>
      </c>
      <c r="CBE11" t="s">
        <v>6984</v>
      </c>
      <c r="CBF11" t="s">
        <v>6984</v>
      </c>
      <c r="CBG11" t="s">
        <v>6984</v>
      </c>
      <c r="CBH11" t="s">
        <v>6984</v>
      </c>
      <c r="CBI11" t="s">
        <v>6984</v>
      </c>
      <c r="CBJ11" t="s">
        <v>6984</v>
      </c>
      <c r="CBK11" t="s">
        <v>6984</v>
      </c>
      <c r="CBL11" t="s">
        <v>6984</v>
      </c>
      <c r="CBM11" t="s">
        <v>6984</v>
      </c>
      <c r="CBN11" t="s">
        <v>6984</v>
      </c>
      <c r="CBO11" t="s">
        <v>6984</v>
      </c>
      <c r="CBP11" t="s">
        <v>6984</v>
      </c>
      <c r="CBQ11" t="s">
        <v>6984</v>
      </c>
      <c r="CBR11" t="s">
        <v>6984</v>
      </c>
      <c r="CBS11" t="s">
        <v>6984</v>
      </c>
      <c r="CBT11" t="s">
        <v>6984</v>
      </c>
      <c r="CBU11" t="s">
        <v>6984</v>
      </c>
      <c r="CBV11" t="s">
        <v>6984</v>
      </c>
      <c r="CBW11" t="s">
        <v>6984</v>
      </c>
      <c r="CBX11" t="s">
        <v>6984</v>
      </c>
      <c r="CBY11" t="s">
        <v>6984</v>
      </c>
      <c r="CBZ11" t="s">
        <v>6984</v>
      </c>
      <c r="CCA11" t="s">
        <v>6984</v>
      </c>
      <c r="CCB11" t="s">
        <v>6984</v>
      </c>
      <c r="CCC11" t="s">
        <v>6984</v>
      </c>
      <c r="CCD11" t="s">
        <v>6984</v>
      </c>
      <c r="CCE11" t="s">
        <v>6984</v>
      </c>
      <c r="CCF11" t="s">
        <v>6984</v>
      </c>
      <c r="CCG11" t="s">
        <v>6984</v>
      </c>
      <c r="CCH11" t="s">
        <v>6984</v>
      </c>
      <c r="CCI11" t="s">
        <v>6984</v>
      </c>
      <c r="CCJ11" t="s">
        <v>6984</v>
      </c>
      <c r="CCK11" t="s">
        <v>6984</v>
      </c>
      <c r="CCL11" t="s">
        <v>6984</v>
      </c>
      <c r="CCM11" t="s">
        <v>6984</v>
      </c>
      <c r="CCN11" t="s">
        <v>6984</v>
      </c>
      <c r="CCO11" t="s">
        <v>6984</v>
      </c>
      <c r="CCP11" t="s">
        <v>6984</v>
      </c>
      <c r="CCQ11" t="s">
        <v>6984</v>
      </c>
      <c r="CCR11" t="s">
        <v>6984</v>
      </c>
      <c r="CCS11" t="s">
        <v>6984</v>
      </c>
      <c r="CCT11" t="s">
        <v>6984</v>
      </c>
      <c r="CCU11" t="s">
        <v>6984</v>
      </c>
      <c r="CCV11" t="s">
        <v>6984</v>
      </c>
      <c r="CCW11" t="s">
        <v>6984</v>
      </c>
      <c r="CCX11" t="s">
        <v>6984</v>
      </c>
      <c r="CCY11" t="s">
        <v>6984</v>
      </c>
      <c r="CCZ11" t="s">
        <v>6984</v>
      </c>
      <c r="CDA11" t="s">
        <v>6984</v>
      </c>
      <c r="CDB11" t="s">
        <v>6984</v>
      </c>
      <c r="CDC11" t="s">
        <v>6984</v>
      </c>
      <c r="CDD11" t="s">
        <v>6984</v>
      </c>
      <c r="CDE11" t="s">
        <v>6984</v>
      </c>
      <c r="CDF11" t="s">
        <v>6984</v>
      </c>
      <c r="CDG11" t="s">
        <v>6984</v>
      </c>
      <c r="CDH11" t="s">
        <v>6984</v>
      </c>
      <c r="CDI11" t="s">
        <v>6984</v>
      </c>
      <c r="CDJ11" t="s">
        <v>6984</v>
      </c>
      <c r="CDK11" t="s">
        <v>6984</v>
      </c>
      <c r="CDL11" t="s">
        <v>6984</v>
      </c>
      <c r="CDM11" t="s">
        <v>6984</v>
      </c>
      <c r="CDN11" t="s">
        <v>6984</v>
      </c>
      <c r="CDO11" t="s">
        <v>6984</v>
      </c>
      <c r="CDP11" t="s">
        <v>6984</v>
      </c>
      <c r="CDQ11" t="s">
        <v>6984</v>
      </c>
      <c r="CDR11" t="s">
        <v>6984</v>
      </c>
      <c r="CDS11" t="s">
        <v>6984</v>
      </c>
      <c r="CDT11" t="s">
        <v>6984</v>
      </c>
      <c r="CDU11" t="s">
        <v>6984</v>
      </c>
      <c r="CDV11" t="s">
        <v>6984</v>
      </c>
      <c r="CDW11" t="s">
        <v>6984</v>
      </c>
      <c r="CDX11" t="s">
        <v>6984</v>
      </c>
      <c r="CDY11" t="s">
        <v>6984</v>
      </c>
      <c r="CDZ11" t="s">
        <v>6984</v>
      </c>
      <c r="CEA11" t="s">
        <v>6984</v>
      </c>
      <c r="CEB11" t="s">
        <v>6984</v>
      </c>
      <c r="CEC11" t="s">
        <v>6984</v>
      </c>
      <c r="CED11" t="s">
        <v>6984</v>
      </c>
      <c r="CEE11" t="s">
        <v>6984</v>
      </c>
      <c r="CEF11" t="s">
        <v>6984</v>
      </c>
      <c r="CEG11" t="s">
        <v>6984</v>
      </c>
      <c r="CEH11" t="s">
        <v>6984</v>
      </c>
      <c r="CEI11" t="s">
        <v>6984</v>
      </c>
      <c r="CEJ11" t="s">
        <v>6984</v>
      </c>
      <c r="CEK11" t="s">
        <v>6984</v>
      </c>
      <c r="CEL11" t="s">
        <v>6984</v>
      </c>
      <c r="CEM11" t="s">
        <v>6984</v>
      </c>
      <c r="CEN11" t="s">
        <v>6984</v>
      </c>
      <c r="CEO11" t="s">
        <v>6984</v>
      </c>
      <c r="CEP11" t="s">
        <v>6984</v>
      </c>
      <c r="CEQ11" t="s">
        <v>6984</v>
      </c>
      <c r="CER11" t="s">
        <v>6984</v>
      </c>
      <c r="CES11" t="s">
        <v>6984</v>
      </c>
      <c r="CET11" t="s">
        <v>6984</v>
      </c>
      <c r="CEU11" t="s">
        <v>6984</v>
      </c>
      <c r="CEV11" t="s">
        <v>6984</v>
      </c>
      <c r="CEW11" t="s">
        <v>6984</v>
      </c>
      <c r="CEX11" t="s">
        <v>6984</v>
      </c>
      <c r="CEY11" t="s">
        <v>6984</v>
      </c>
      <c r="CEZ11" t="s">
        <v>6984</v>
      </c>
      <c r="CFA11" t="s">
        <v>6984</v>
      </c>
      <c r="CFB11" t="s">
        <v>6984</v>
      </c>
      <c r="CFC11" t="s">
        <v>6984</v>
      </c>
      <c r="CFD11" t="s">
        <v>6984</v>
      </c>
      <c r="CFE11" t="s">
        <v>6984</v>
      </c>
      <c r="CFF11" t="s">
        <v>6984</v>
      </c>
      <c r="CFG11" t="s">
        <v>6984</v>
      </c>
      <c r="CFH11" t="s">
        <v>6984</v>
      </c>
      <c r="CFI11" t="s">
        <v>6984</v>
      </c>
      <c r="CFJ11" t="s">
        <v>6984</v>
      </c>
      <c r="CFK11" t="s">
        <v>6984</v>
      </c>
      <c r="CFL11" t="s">
        <v>6984</v>
      </c>
      <c r="CFM11" t="s">
        <v>6984</v>
      </c>
      <c r="CFN11" t="s">
        <v>6984</v>
      </c>
      <c r="CFO11" t="s">
        <v>6984</v>
      </c>
      <c r="CFP11" t="s">
        <v>6984</v>
      </c>
      <c r="CFQ11" t="s">
        <v>6984</v>
      </c>
      <c r="CFR11" t="s">
        <v>6984</v>
      </c>
      <c r="CFS11" t="s">
        <v>6984</v>
      </c>
      <c r="CFT11" t="s">
        <v>6984</v>
      </c>
      <c r="CFU11" t="s">
        <v>6984</v>
      </c>
      <c r="CFV11" t="s">
        <v>6984</v>
      </c>
      <c r="CFW11" t="s">
        <v>6984</v>
      </c>
      <c r="CFX11" t="s">
        <v>6984</v>
      </c>
      <c r="CFY11" t="s">
        <v>6984</v>
      </c>
      <c r="CFZ11" t="s">
        <v>6984</v>
      </c>
      <c r="CGA11" t="s">
        <v>6984</v>
      </c>
      <c r="CGB11" t="s">
        <v>6984</v>
      </c>
      <c r="CGC11" t="s">
        <v>6984</v>
      </c>
      <c r="CGD11" t="s">
        <v>6984</v>
      </c>
      <c r="CGE11" t="s">
        <v>6984</v>
      </c>
      <c r="CGF11" t="s">
        <v>6984</v>
      </c>
      <c r="CGG11" t="s">
        <v>6984</v>
      </c>
      <c r="CGH11" t="s">
        <v>6984</v>
      </c>
      <c r="CGI11" t="s">
        <v>6984</v>
      </c>
      <c r="CGJ11" t="s">
        <v>6984</v>
      </c>
      <c r="CGK11" t="s">
        <v>6984</v>
      </c>
      <c r="CGL11" t="s">
        <v>6984</v>
      </c>
      <c r="CGM11" t="s">
        <v>6984</v>
      </c>
      <c r="CGN11" t="s">
        <v>6984</v>
      </c>
      <c r="CGO11" t="s">
        <v>6984</v>
      </c>
      <c r="CGP11" t="s">
        <v>6984</v>
      </c>
      <c r="CGQ11" t="s">
        <v>6984</v>
      </c>
      <c r="CGR11" t="s">
        <v>6984</v>
      </c>
      <c r="CGS11" t="s">
        <v>6984</v>
      </c>
      <c r="CGT11" t="s">
        <v>6984</v>
      </c>
      <c r="CGU11" t="s">
        <v>6984</v>
      </c>
      <c r="CGV11" t="s">
        <v>6984</v>
      </c>
      <c r="CGW11" t="s">
        <v>6984</v>
      </c>
      <c r="CGX11" t="s">
        <v>6984</v>
      </c>
      <c r="CGY11" t="s">
        <v>6984</v>
      </c>
      <c r="CGZ11" t="s">
        <v>6984</v>
      </c>
      <c r="CHA11" t="s">
        <v>6984</v>
      </c>
      <c r="CHB11" t="s">
        <v>6984</v>
      </c>
      <c r="CHC11" t="s">
        <v>6984</v>
      </c>
      <c r="CHD11" t="s">
        <v>6984</v>
      </c>
      <c r="CHE11" t="s">
        <v>6984</v>
      </c>
      <c r="CHF11" t="s">
        <v>6984</v>
      </c>
      <c r="CHG11" t="s">
        <v>6984</v>
      </c>
      <c r="CHH11" t="s">
        <v>6984</v>
      </c>
      <c r="CHI11" t="s">
        <v>6984</v>
      </c>
      <c r="CHJ11" t="s">
        <v>6984</v>
      </c>
      <c r="CHK11" t="s">
        <v>6984</v>
      </c>
      <c r="CHL11" t="s">
        <v>6984</v>
      </c>
      <c r="CHM11" t="s">
        <v>6984</v>
      </c>
      <c r="CHN11" t="s">
        <v>6984</v>
      </c>
      <c r="CHO11" t="s">
        <v>6984</v>
      </c>
      <c r="CHP11" t="s">
        <v>6984</v>
      </c>
      <c r="CHQ11" t="s">
        <v>6984</v>
      </c>
      <c r="CHR11" t="s">
        <v>6984</v>
      </c>
      <c r="CHS11" t="s">
        <v>6984</v>
      </c>
      <c r="CHT11" t="s">
        <v>6984</v>
      </c>
      <c r="CHU11" t="s">
        <v>6984</v>
      </c>
      <c r="CHV11" t="s">
        <v>6984</v>
      </c>
      <c r="CHW11" t="s">
        <v>6984</v>
      </c>
      <c r="CHX11" t="s">
        <v>6984</v>
      </c>
      <c r="CHY11" t="s">
        <v>6984</v>
      </c>
      <c r="CHZ11" t="s">
        <v>6984</v>
      </c>
      <c r="CIA11" t="s">
        <v>6984</v>
      </c>
      <c r="CIB11" t="s">
        <v>6984</v>
      </c>
      <c r="CIC11" t="s">
        <v>6984</v>
      </c>
      <c r="CID11" t="s">
        <v>6984</v>
      </c>
      <c r="CIE11" t="s">
        <v>6984</v>
      </c>
      <c r="CIF11" t="s">
        <v>6984</v>
      </c>
      <c r="CIG11" t="s">
        <v>6984</v>
      </c>
      <c r="CIH11" t="s">
        <v>6984</v>
      </c>
      <c r="CII11" t="s">
        <v>6984</v>
      </c>
      <c r="CIJ11" t="s">
        <v>6984</v>
      </c>
      <c r="CIK11" t="s">
        <v>6984</v>
      </c>
      <c r="CIL11" t="s">
        <v>6984</v>
      </c>
      <c r="CIM11" t="s">
        <v>6984</v>
      </c>
      <c r="CIN11" t="s">
        <v>6984</v>
      </c>
      <c r="CIO11" t="s">
        <v>6984</v>
      </c>
      <c r="CIP11" t="s">
        <v>6984</v>
      </c>
      <c r="CIQ11" t="s">
        <v>6984</v>
      </c>
      <c r="CIR11" t="s">
        <v>6984</v>
      </c>
      <c r="CIS11" t="s">
        <v>6984</v>
      </c>
      <c r="CIT11" t="s">
        <v>6984</v>
      </c>
      <c r="CIU11" t="s">
        <v>6984</v>
      </c>
      <c r="CIV11" t="s">
        <v>6984</v>
      </c>
      <c r="CIW11" t="s">
        <v>6984</v>
      </c>
      <c r="CIX11" t="s">
        <v>6984</v>
      </c>
      <c r="CIY11" t="s">
        <v>6984</v>
      </c>
      <c r="CIZ11" t="s">
        <v>6984</v>
      </c>
      <c r="CJA11" t="s">
        <v>6984</v>
      </c>
      <c r="CJB11" t="s">
        <v>6984</v>
      </c>
      <c r="CJC11" t="s">
        <v>6984</v>
      </c>
      <c r="CJD11" t="s">
        <v>6984</v>
      </c>
      <c r="CJE11" t="s">
        <v>6984</v>
      </c>
      <c r="CJF11" t="s">
        <v>6984</v>
      </c>
      <c r="CJG11" t="s">
        <v>6984</v>
      </c>
      <c r="CJH11" t="s">
        <v>6984</v>
      </c>
      <c r="CJI11" t="s">
        <v>6984</v>
      </c>
      <c r="CJJ11" t="s">
        <v>6984</v>
      </c>
      <c r="CJK11" t="s">
        <v>6984</v>
      </c>
      <c r="CJL11" t="s">
        <v>6984</v>
      </c>
      <c r="CJM11" t="s">
        <v>6984</v>
      </c>
      <c r="CJN11" t="s">
        <v>6984</v>
      </c>
      <c r="CJO11" t="s">
        <v>6984</v>
      </c>
      <c r="CJP11" t="s">
        <v>6984</v>
      </c>
      <c r="CJQ11" t="s">
        <v>6984</v>
      </c>
      <c r="CJR11" t="s">
        <v>6984</v>
      </c>
      <c r="CJS11" t="s">
        <v>6984</v>
      </c>
      <c r="CJT11" t="s">
        <v>6984</v>
      </c>
      <c r="CJU11" t="s">
        <v>6984</v>
      </c>
      <c r="CJV11" t="s">
        <v>6984</v>
      </c>
      <c r="CJW11" t="s">
        <v>6984</v>
      </c>
      <c r="CJX11" t="s">
        <v>6984</v>
      </c>
      <c r="CJY11" t="s">
        <v>6984</v>
      </c>
      <c r="CJZ11" t="s">
        <v>6984</v>
      </c>
      <c r="CKA11" t="s">
        <v>6984</v>
      </c>
      <c r="CKB11" t="s">
        <v>6984</v>
      </c>
      <c r="CKC11" t="s">
        <v>6984</v>
      </c>
      <c r="CKD11" t="s">
        <v>6984</v>
      </c>
      <c r="CKE11" t="s">
        <v>6984</v>
      </c>
      <c r="CKF11" t="s">
        <v>6984</v>
      </c>
      <c r="CKG11" t="s">
        <v>6984</v>
      </c>
      <c r="CKH11" t="s">
        <v>6984</v>
      </c>
      <c r="CKI11" t="s">
        <v>6984</v>
      </c>
      <c r="CKJ11" t="s">
        <v>6984</v>
      </c>
      <c r="CKK11" t="s">
        <v>6984</v>
      </c>
      <c r="CKL11" t="s">
        <v>6984</v>
      </c>
      <c r="CKM11" t="s">
        <v>6984</v>
      </c>
      <c r="CKN11" t="s">
        <v>6984</v>
      </c>
      <c r="CKO11" t="s">
        <v>6984</v>
      </c>
      <c r="CKP11" t="s">
        <v>6984</v>
      </c>
      <c r="CKQ11" t="s">
        <v>6984</v>
      </c>
      <c r="CKR11" t="s">
        <v>6984</v>
      </c>
      <c r="CKS11" t="s">
        <v>6984</v>
      </c>
      <c r="CKT11" t="s">
        <v>6984</v>
      </c>
      <c r="CKU11" t="s">
        <v>6984</v>
      </c>
      <c r="CKV11" t="s">
        <v>6984</v>
      </c>
      <c r="CKW11" t="s">
        <v>6984</v>
      </c>
      <c r="CKX11" t="s">
        <v>6984</v>
      </c>
      <c r="CKY11" t="s">
        <v>6984</v>
      </c>
      <c r="CKZ11" t="s">
        <v>6984</v>
      </c>
      <c r="CLA11" t="s">
        <v>6984</v>
      </c>
      <c r="CLB11" t="s">
        <v>6984</v>
      </c>
      <c r="CLC11" t="s">
        <v>6984</v>
      </c>
      <c r="CLD11" t="s">
        <v>6984</v>
      </c>
      <c r="CLE11" t="s">
        <v>6984</v>
      </c>
      <c r="CLF11" t="s">
        <v>6984</v>
      </c>
      <c r="CLG11" t="s">
        <v>6984</v>
      </c>
      <c r="CLH11" t="s">
        <v>6984</v>
      </c>
      <c r="CLI11" t="s">
        <v>6984</v>
      </c>
      <c r="CLJ11" t="s">
        <v>6984</v>
      </c>
      <c r="CLK11" t="s">
        <v>6984</v>
      </c>
      <c r="CLL11" t="s">
        <v>6984</v>
      </c>
      <c r="CLM11" t="s">
        <v>6984</v>
      </c>
      <c r="CLN11" t="s">
        <v>6984</v>
      </c>
      <c r="CLO11" t="s">
        <v>6984</v>
      </c>
      <c r="CLP11" t="s">
        <v>6984</v>
      </c>
      <c r="CLQ11" t="s">
        <v>6984</v>
      </c>
      <c r="CLR11" t="s">
        <v>6984</v>
      </c>
      <c r="CLS11" t="s">
        <v>6984</v>
      </c>
      <c r="CLT11" t="s">
        <v>6984</v>
      </c>
      <c r="CLU11" t="s">
        <v>6984</v>
      </c>
      <c r="CLV11" t="s">
        <v>6984</v>
      </c>
      <c r="CLW11" t="s">
        <v>6984</v>
      </c>
      <c r="CLX11" t="s">
        <v>6984</v>
      </c>
      <c r="CLY11" t="s">
        <v>6984</v>
      </c>
      <c r="CLZ11" t="s">
        <v>6984</v>
      </c>
      <c r="CMA11" t="s">
        <v>6984</v>
      </c>
      <c r="CMB11" t="s">
        <v>6984</v>
      </c>
      <c r="CMC11" t="s">
        <v>6984</v>
      </c>
      <c r="CMD11" t="s">
        <v>6984</v>
      </c>
      <c r="CME11" t="s">
        <v>6984</v>
      </c>
      <c r="CMF11" t="s">
        <v>6984</v>
      </c>
      <c r="CMG11" t="s">
        <v>6984</v>
      </c>
      <c r="CMH11" t="s">
        <v>6984</v>
      </c>
      <c r="CMI11" t="s">
        <v>6984</v>
      </c>
      <c r="CMJ11" t="s">
        <v>6984</v>
      </c>
      <c r="CMK11" t="s">
        <v>6984</v>
      </c>
      <c r="CML11" t="s">
        <v>6984</v>
      </c>
      <c r="CMM11" t="s">
        <v>6984</v>
      </c>
      <c r="CMN11" t="s">
        <v>6984</v>
      </c>
      <c r="CMO11" t="s">
        <v>6984</v>
      </c>
      <c r="CMP11" t="s">
        <v>6984</v>
      </c>
      <c r="CMQ11" t="s">
        <v>6984</v>
      </c>
      <c r="CMR11" t="s">
        <v>6984</v>
      </c>
      <c r="CMS11" t="s">
        <v>6984</v>
      </c>
      <c r="CMT11" t="s">
        <v>6984</v>
      </c>
      <c r="CMU11" t="s">
        <v>6984</v>
      </c>
      <c r="CMV11" t="s">
        <v>6984</v>
      </c>
      <c r="CMW11" t="s">
        <v>6984</v>
      </c>
      <c r="CMX11" t="s">
        <v>6984</v>
      </c>
      <c r="CMY11" t="s">
        <v>6984</v>
      </c>
      <c r="CMZ11" t="s">
        <v>6984</v>
      </c>
      <c r="CNA11" t="s">
        <v>6984</v>
      </c>
      <c r="CNB11" t="s">
        <v>6984</v>
      </c>
      <c r="CNC11" t="s">
        <v>6984</v>
      </c>
      <c r="CND11" t="s">
        <v>6984</v>
      </c>
      <c r="CNE11" t="s">
        <v>6984</v>
      </c>
      <c r="CNF11" t="s">
        <v>6984</v>
      </c>
      <c r="CNG11" t="s">
        <v>6984</v>
      </c>
      <c r="CNH11" t="s">
        <v>6984</v>
      </c>
      <c r="CNI11" t="s">
        <v>6984</v>
      </c>
      <c r="CNJ11" t="s">
        <v>6984</v>
      </c>
      <c r="CNK11" t="s">
        <v>6984</v>
      </c>
      <c r="CNL11" t="s">
        <v>6984</v>
      </c>
      <c r="CNM11" t="s">
        <v>6984</v>
      </c>
      <c r="CNN11" t="s">
        <v>6984</v>
      </c>
      <c r="CNO11" t="s">
        <v>6984</v>
      </c>
      <c r="CNP11" t="s">
        <v>6984</v>
      </c>
      <c r="CNQ11" t="s">
        <v>6984</v>
      </c>
      <c r="CNR11" t="s">
        <v>6984</v>
      </c>
      <c r="CNS11" t="s">
        <v>6984</v>
      </c>
      <c r="CNT11" t="s">
        <v>6984</v>
      </c>
      <c r="CNU11" t="s">
        <v>6984</v>
      </c>
      <c r="CNV11" t="s">
        <v>6984</v>
      </c>
      <c r="CNW11" t="s">
        <v>6984</v>
      </c>
      <c r="CNX11" t="s">
        <v>6984</v>
      </c>
      <c r="CNY11" t="s">
        <v>6984</v>
      </c>
      <c r="CNZ11" t="s">
        <v>6984</v>
      </c>
      <c r="COA11" t="s">
        <v>6984</v>
      </c>
      <c r="COB11" t="s">
        <v>6984</v>
      </c>
      <c r="COC11" t="s">
        <v>6984</v>
      </c>
      <c r="COD11" t="s">
        <v>6984</v>
      </c>
      <c r="COE11" t="s">
        <v>6984</v>
      </c>
      <c r="COF11" t="s">
        <v>6984</v>
      </c>
      <c r="COG11" t="s">
        <v>6984</v>
      </c>
      <c r="COH11" t="s">
        <v>6984</v>
      </c>
      <c r="COI11" t="s">
        <v>6984</v>
      </c>
      <c r="COJ11" t="s">
        <v>6984</v>
      </c>
      <c r="COK11" t="s">
        <v>6984</v>
      </c>
      <c r="COL11" t="s">
        <v>6984</v>
      </c>
      <c r="COM11" t="s">
        <v>6984</v>
      </c>
      <c r="CON11" t="s">
        <v>6984</v>
      </c>
      <c r="COO11" t="s">
        <v>6984</v>
      </c>
      <c r="COP11" t="s">
        <v>6984</v>
      </c>
      <c r="COQ11" t="s">
        <v>6984</v>
      </c>
      <c r="COR11" t="s">
        <v>6984</v>
      </c>
      <c r="COS11" t="s">
        <v>6984</v>
      </c>
      <c r="COT11" t="s">
        <v>6984</v>
      </c>
      <c r="COU11" t="s">
        <v>6984</v>
      </c>
      <c r="COV11" t="s">
        <v>6984</v>
      </c>
      <c r="COW11" t="s">
        <v>6984</v>
      </c>
      <c r="COX11" t="s">
        <v>6984</v>
      </c>
      <c r="COY11" t="s">
        <v>6984</v>
      </c>
      <c r="COZ11" t="s">
        <v>6984</v>
      </c>
      <c r="CPA11" t="s">
        <v>6984</v>
      </c>
      <c r="CPB11" t="s">
        <v>6984</v>
      </c>
      <c r="CPC11" t="s">
        <v>6984</v>
      </c>
      <c r="CPD11" t="s">
        <v>6984</v>
      </c>
      <c r="CPE11" t="s">
        <v>6984</v>
      </c>
      <c r="CPF11" t="s">
        <v>6984</v>
      </c>
      <c r="CPG11" t="s">
        <v>6984</v>
      </c>
      <c r="CPH11" t="s">
        <v>6984</v>
      </c>
      <c r="CPI11" t="s">
        <v>6984</v>
      </c>
      <c r="CPJ11" t="s">
        <v>6984</v>
      </c>
      <c r="CPK11" t="s">
        <v>6984</v>
      </c>
      <c r="CPL11" t="s">
        <v>6984</v>
      </c>
      <c r="CPM11" t="s">
        <v>6984</v>
      </c>
      <c r="CPN11" t="s">
        <v>6984</v>
      </c>
      <c r="CPO11" t="s">
        <v>6984</v>
      </c>
      <c r="CPP11" t="s">
        <v>6984</v>
      </c>
      <c r="CPQ11" t="s">
        <v>6984</v>
      </c>
      <c r="CPR11" t="s">
        <v>6984</v>
      </c>
      <c r="CPS11" t="s">
        <v>6984</v>
      </c>
      <c r="CPT11" t="s">
        <v>6984</v>
      </c>
      <c r="CPU11" t="s">
        <v>6984</v>
      </c>
      <c r="CPV11" t="s">
        <v>6984</v>
      </c>
      <c r="CPW11" t="s">
        <v>6984</v>
      </c>
      <c r="CPX11" t="s">
        <v>6984</v>
      </c>
      <c r="CPY11" t="s">
        <v>6984</v>
      </c>
      <c r="CPZ11" t="s">
        <v>6984</v>
      </c>
      <c r="CQA11" t="s">
        <v>6984</v>
      </c>
      <c r="CQB11" t="s">
        <v>6984</v>
      </c>
      <c r="CQC11" t="s">
        <v>6984</v>
      </c>
      <c r="CQD11" t="s">
        <v>6984</v>
      </c>
      <c r="CQE11" t="s">
        <v>6984</v>
      </c>
      <c r="CQF11" t="s">
        <v>6984</v>
      </c>
      <c r="CQG11" t="s">
        <v>6984</v>
      </c>
      <c r="CQH11" t="s">
        <v>6984</v>
      </c>
      <c r="CQI11" t="s">
        <v>6984</v>
      </c>
      <c r="CQJ11" t="s">
        <v>6984</v>
      </c>
      <c r="CQK11" t="s">
        <v>6984</v>
      </c>
      <c r="CQL11" t="s">
        <v>6984</v>
      </c>
      <c r="CQM11" t="s">
        <v>6984</v>
      </c>
      <c r="CQN11" t="s">
        <v>6984</v>
      </c>
      <c r="CQO11" t="s">
        <v>6984</v>
      </c>
      <c r="CQP11" t="s">
        <v>6984</v>
      </c>
      <c r="CQQ11" t="s">
        <v>6984</v>
      </c>
      <c r="CQR11" t="s">
        <v>6984</v>
      </c>
      <c r="CQS11" t="s">
        <v>6984</v>
      </c>
      <c r="CQT11" t="s">
        <v>6984</v>
      </c>
      <c r="CQU11" t="s">
        <v>6984</v>
      </c>
      <c r="CQV11" t="s">
        <v>6984</v>
      </c>
      <c r="CQW11" t="s">
        <v>6984</v>
      </c>
      <c r="CQX11" t="s">
        <v>6984</v>
      </c>
      <c r="CQY11" t="s">
        <v>6984</v>
      </c>
      <c r="CQZ11" t="s">
        <v>6984</v>
      </c>
      <c r="CRA11" t="s">
        <v>6984</v>
      </c>
      <c r="CRB11" t="s">
        <v>6984</v>
      </c>
      <c r="CRC11" t="s">
        <v>6984</v>
      </c>
      <c r="CRD11" t="s">
        <v>6984</v>
      </c>
      <c r="CRE11" t="s">
        <v>6984</v>
      </c>
      <c r="CRF11" t="s">
        <v>6984</v>
      </c>
      <c r="CRG11" t="s">
        <v>6984</v>
      </c>
      <c r="CRH11" t="s">
        <v>6984</v>
      </c>
      <c r="CRI11" t="s">
        <v>6984</v>
      </c>
      <c r="CRJ11" t="s">
        <v>6984</v>
      </c>
      <c r="CRK11" t="s">
        <v>6984</v>
      </c>
      <c r="CRL11" t="s">
        <v>6984</v>
      </c>
      <c r="CRM11" t="s">
        <v>6984</v>
      </c>
      <c r="CRN11" t="s">
        <v>6984</v>
      </c>
      <c r="CRO11" t="s">
        <v>6984</v>
      </c>
      <c r="CRP11" t="s">
        <v>6984</v>
      </c>
      <c r="CRQ11" t="s">
        <v>6984</v>
      </c>
      <c r="CRR11" t="s">
        <v>6984</v>
      </c>
      <c r="CRS11" t="s">
        <v>6984</v>
      </c>
      <c r="CRT11" t="s">
        <v>6984</v>
      </c>
      <c r="CRU11" t="s">
        <v>6984</v>
      </c>
      <c r="CRV11" t="s">
        <v>6984</v>
      </c>
      <c r="CRW11" t="s">
        <v>6984</v>
      </c>
      <c r="CRX11" t="s">
        <v>6984</v>
      </c>
      <c r="CRY11" t="s">
        <v>6984</v>
      </c>
      <c r="CRZ11" t="s">
        <v>6984</v>
      </c>
      <c r="CSA11" t="s">
        <v>6984</v>
      </c>
      <c r="CSB11" t="s">
        <v>6984</v>
      </c>
      <c r="CSC11" t="s">
        <v>6984</v>
      </c>
      <c r="CSD11" t="s">
        <v>6984</v>
      </c>
      <c r="CSE11" t="s">
        <v>6984</v>
      </c>
      <c r="CSF11" t="s">
        <v>6984</v>
      </c>
      <c r="CSG11" t="s">
        <v>6984</v>
      </c>
      <c r="CSH11" t="s">
        <v>6984</v>
      </c>
      <c r="CSI11" t="s">
        <v>6984</v>
      </c>
      <c r="CSJ11" t="s">
        <v>6984</v>
      </c>
      <c r="CSK11" t="s">
        <v>6984</v>
      </c>
      <c r="CSL11" t="s">
        <v>6984</v>
      </c>
      <c r="CSM11" t="s">
        <v>6984</v>
      </c>
      <c r="CSN11" t="s">
        <v>6984</v>
      </c>
      <c r="CSO11" t="s">
        <v>6984</v>
      </c>
      <c r="CSP11" t="s">
        <v>6984</v>
      </c>
      <c r="CSQ11" t="s">
        <v>6984</v>
      </c>
      <c r="CSR11" t="s">
        <v>6984</v>
      </c>
      <c r="CSS11" t="s">
        <v>6984</v>
      </c>
      <c r="CST11" t="s">
        <v>6984</v>
      </c>
      <c r="CSU11" t="s">
        <v>6984</v>
      </c>
      <c r="CSV11" t="s">
        <v>6984</v>
      </c>
      <c r="CSW11" t="s">
        <v>6984</v>
      </c>
      <c r="CSX11" t="s">
        <v>6984</v>
      </c>
      <c r="CSY11" t="s">
        <v>6984</v>
      </c>
      <c r="CSZ11" t="s">
        <v>6984</v>
      </c>
      <c r="CTA11" t="s">
        <v>6984</v>
      </c>
      <c r="CTB11" t="s">
        <v>6984</v>
      </c>
      <c r="CTC11" t="s">
        <v>6984</v>
      </c>
      <c r="CTD11" t="s">
        <v>6984</v>
      </c>
      <c r="CTE11" t="s">
        <v>6984</v>
      </c>
      <c r="CTF11" t="s">
        <v>6984</v>
      </c>
      <c r="CTG11" t="s">
        <v>6984</v>
      </c>
      <c r="CTH11" t="s">
        <v>6984</v>
      </c>
      <c r="CTI11" t="s">
        <v>6984</v>
      </c>
      <c r="CTJ11" t="s">
        <v>6984</v>
      </c>
      <c r="CTK11" t="s">
        <v>6984</v>
      </c>
      <c r="CTL11" t="s">
        <v>6984</v>
      </c>
      <c r="CTM11" t="s">
        <v>6984</v>
      </c>
      <c r="CTN11" t="s">
        <v>6984</v>
      </c>
      <c r="CTO11" t="s">
        <v>6984</v>
      </c>
      <c r="CTP11" t="s">
        <v>6984</v>
      </c>
      <c r="CTQ11" t="s">
        <v>6984</v>
      </c>
      <c r="CTR11" t="s">
        <v>6984</v>
      </c>
      <c r="CTS11" t="s">
        <v>6984</v>
      </c>
      <c r="CTT11" t="s">
        <v>6984</v>
      </c>
      <c r="CTU11" t="s">
        <v>6984</v>
      </c>
      <c r="CTV11" t="s">
        <v>6984</v>
      </c>
      <c r="CTW11" t="s">
        <v>6984</v>
      </c>
      <c r="CTX11" t="s">
        <v>6984</v>
      </c>
      <c r="CTY11" t="s">
        <v>6984</v>
      </c>
      <c r="CTZ11" t="s">
        <v>6984</v>
      </c>
      <c r="CUA11" t="s">
        <v>6984</v>
      </c>
      <c r="CUB11" t="s">
        <v>6984</v>
      </c>
      <c r="CUC11" t="s">
        <v>6984</v>
      </c>
      <c r="CUD11" t="s">
        <v>6984</v>
      </c>
      <c r="CUE11" t="s">
        <v>6984</v>
      </c>
      <c r="CUF11" t="s">
        <v>6984</v>
      </c>
      <c r="CUG11" t="s">
        <v>6984</v>
      </c>
      <c r="CUH11" t="s">
        <v>6984</v>
      </c>
      <c r="CUI11" t="s">
        <v>6984</v>
      </c>
      <c r="CUJ11" t="s">
        <v>6984</v>
      </c>
      <c r="CUK11" t="s">
        <v>6984</v>
      </c>
      <c r="CUL11" t="s">
        <v>6984</v>
      </c>
      <c r="CUM11" t="s">
        <v>6984</v>
      </c>
      <c r="CUN11" t="s">
        <v>6984</v>
      </c>
      <c r="CUO11" t="s">
        <v>6984</v>
      </c>
      <c r="CUP11" t="s">
        <v>6984</v>
      </c>
      <c r="CUQ11" t="s">
        <v>6984</v>
      </c>
      <c r="CUR11" t="s">
        <v>6984</v>
      </c>
      <c r="CUS11" t="s">
        <v>6984</v>
      </c>
      <c r="CUT11" t="s">
        <v>6984</v>
      </c>
      <c r="CUU11" t="s">
        <v>6984</v>
      </c>
      <c r="CUV11" t="s">
        <v>6984</v>
      </c>
      <c r="CUW11" t="s">
        <v>6984</v>
      </c>
      <c r="CUX11" t="s">
        <v>6984</v>
      </c>
      <c r="CUY11" t="s">
        <v>6984</v>
      </c>
      <c r="CUZ11" t="s">
        <v>6984</v>
      </c>
      <c r="CVA11" t="s">
        <v>6984</v>
      </c>
      <c r="CVB11" t="s">
        <v>6984</v>
      </c>
      <c r="CVC11" t="s">
        <v>6984</v>
      </c>
      <c r="CVD11" t="s">
        <v>6984</v>
      </c>
      <c r="CVE11" t="s">
        <v>6984</v>
      </c>
      <c r="CVF11" t="s">
        <v>6984</v>
      </c>
      <c r="CVG11" t="s">
        <v>6984</v>
      </c>
      <c r="CVH11" t="s">
        <v>6984</v>
      </c>
      <c r="CVI11" t="s">
        <v>6984</v>
      </c>
      <c r="CVJ11" t="s">
        <v>6984</v>
      </c>
      <c r="CVK11" t="s">
        <v>6984</v>
      </c>
      <c r="CVL11" t="s">
        <v>6984</v>
      </c>
      <c r="CVM11" t="s">
        <v>6984</v>
      </c>
      <c r="CVN11" t="s">
        <v>6984</v>
      </c>
      <c r="CVO11" t="s">
        <v>6984</v>
      </c>
      <c r="CVP11" t="s">
        <v>6984</v>
      </c>
      <c r="CVQ11" t="s">
        <v>6984</v>
      </c>
      <c r="CVR11" t="s">
        <v>6984</v>
      </c>
      <c r="CVS11" t="s">
        <v>6984</v>
      </c>
      <c r="CVT11" t="s">
        <v>6984</v>
      </c>
      <c r="CVU11" t="s">
        <v>6984</v>
      </c>
      <c r="CVV11" t="s">
        <v>6984</v>
      </c>
      <c r="CVW11" t="s">
        <v>6984</v>
      </c>
      <c r="CVX11" t="s">
        <v>6984</v>
      </c>
      <c r="CVY11" t="s">
        <v>6984</v>
      </c>
      <c r="CVZ11" t="s">
        <v>6984</v>
      </c>
      <c r="CWA11" t="s">
        <v>6984</v>
      </c>
      <c r="CWB11" t="s">
        <v>6984</v>
      </c>
      <c r="CWC11" t="s">
        <v>6984</v>
      </c>
      <c r="CWD11" t="s">
        <v>6984</v>
      </c>
      <c r="CWE11" t="s">
        <v>6984</v>
      </c>
      <c r="CWF11" t="s">
        <v>6984</v>
      </c>
      <c r="CWG11" t="s">
        <v>6984</v>
      </c>
      <c r="CWH11" t="s">
        <v>6984</v>
      </c>
      <c r="CWI11" t="s">
        <v>6984</v>
      </c>
      <c r="CWJ11" t="s">
        <v>6984</v>
      </c>
      <c r="CWK11" t="s">
        <v>6984</v>
      </c>
      <c r="CWL11" t="s">
        <v>6984</v>
      </c>
      <c r="CWM11" t="s">
        <v>6984</v>
      </c>
      <c r="CWN11" t="s">
        <v>6984</v>
      </c>
      <c r="CWO11" t="s">
        <v>6984</v>
      </c>
      <c r="CWP11" t="s">
        <v>6984</v>
      </c>
      <c r="CWQ11" t="s">
        <v>6984</v>
      </c>
      <c r="CWR11" t="s">
        <v>6984</v>
      </c>
      <c r="CWS11" t="s">
        <v>6984</v>
      </c>
      <c r="CWT11" t="s">
        <v>6984</v>
      </c>
      <c r="CWU11" t="s">
        <v>6984</v>
      </c>
      <c r="CWV11" t="s">
        <v>6984</v>
      </c>
      <c r="CWW11" t="s">
        <v>6984</v>
      </c>
      <c r="CWX11" t="s">
        <v>6984</v>
      </c>
      <c r="CWY11" t="s">
        <v>6984</v>
      </c>
      <c r="CWZ11" t="s">
        <v>6984</v>
      </c>
      <c r="CXA11" t="s">
        <v>6984</v>
      </c>
      <c r="CXB11" t="s">
        <v>6984</v>
      </c>
      <c r="CXC11" t="s">
        <v>6984</v>
      </c>
      <c r="CXD11" t="s">
        <v>6984</v>
      </c>
      <c r="CXE11" t="s">
        <v>6984</v>
      </c>
      <c r="CXF11" t="s">
        <v>6984</v>
      </c>
      <c r="CXG11" t="s">
        <v>6984</v>
      </c>
      <c r="CXH11" t="s">
        <v>6984</v>
      </c>
      <c r="CXI11" t="s">
        <v>6984</v>
      </c>
      <c r="CXJ11" t="s">
        <v>6984</v>
      </c>
      <c r="CXK11" t="s">
        <v>6984</v>
      </c>
      <c r="CXL11" t="s">
        <v>6984</v>
      </c>
      <c r="CXM11" t="s">
        <v>6984</v>
      </c>
      <c r="CXN11" t="s">
        <v>6984</v>
      </c>
      <c r="CXO11" t="s">
        <v>6984</v>
      </c>
      <c r="CXP11" t="s">
        <v>6984</v>
      </c>
      <c r="CXQ11" t="s">
        <v>6984</v>
      </c>
      <c r="CXR11" t="s">
        <v>6984</v>
      </c>
      <c r="CXS11" t="s">
        <v>6984</v>
      </c>
      <c r="CXT11" t="s">
        <v>6984</v>
      </c>
      <c r="CXU11" t="s">
        <v>6984</v>
      </c>
      <c r="CXV11" t="s">
        <v>6984</v>
      </c>
      <c r="CXW11" t="s">
        <v>6984</v>
      </c>
      <c r="CXX11" t="s">
        <v>6984</v>
      </c>
      <c r="CXY11" t="s">
        <v>6984</v>
      </c>
      <c r="CXZ11" t="s">
        <v>6984</v>
      </c>
      <c r="CYA11" t="s">
        <v>6984</v>
      </c>
      <c r="CYB11" t="s">
        <v>6984</v>
      </c>
      <c r="CYC11" t="s">
        <v>6984</v>
      </c>
      <c r="CYD11" t="s">
        <v>6984</v>
      </c>
      <c r="CYE11" t="s">
        <v>6984</v>
      </c>
      <c r="CYF11" t="s">
        <v>6984</v>
      </c>
      <c r="CYG11" t="s">
        <v>6984</v>
      </c>
      <c r="CYH11" t="s">
        <v>6984</v>
      </c>
      <c r="CYI11" t="s">
        <v>6984</v>
      </c>
      <c r="CYJ11" t="s">
        <v>6984</v>
      </c>
      <c r="CYK11" t="s">
        <v>6984</v>
      </c>
      <c r="CYL11" t="s">
        <v>6984</v>
      </c>
      <c r="CYM11" t="s">
        <v>6984</v>
      </c>
      <c r="CYN11" t="s">
        <v>6984</v>
      </c>
      <c r="CYO11" t="s">
        <v>6984</v>
      </c>
      <c r="CYP11" t="s">
        <v>6984</v>
      </c>
      <c r="CYQ11" t="s">
        <v>6984</v>
      </c>
      <c r="CYR11" t="s">
        <v>6984</v>
      </c>
      <c r="CYS11" t="s">
        <v>6984</v>
      </c>
      <c r="CYT11" t="s">
        <v>6984</v>
      </c>
      <c r="CYU11" t="s">
        <v>6984</v>
      </c>
      <c r="CYV11" t="s">
        <v>6984</v>
      </c>
      <c r="CYW11" t="s">
        <v>6984</v>
      </c>
      <c r="CYX11" t="s">
        <v>6984</v>
      </c>
      <c r="CYY11" t="s">
        <v>6984</v>
      </c>
      <c r="CYZ11" t="s">
        <v>6984</v>
      </c>
      <c r="CZA11" t="s">
        <v>6984</v>
      </c>
      <c r="CZB11" t="s">
        <v>6984</v>
      </c>
      <c r="CZC11" t="s">
        <v>6984</v>
      </c>
      <c r="CZD11" t="s">
        <v>6984</v>
      </c>
      <c r="CZE11" t="s">
        <v>6984</v>
      </c>
      <c r="CZF11" t="s">
        <v>6984</v>
      </c>
      <c r="CZG11" t="s">
        <v>6984</v>
      </c>
      <c r="CZH11" t="s">
        <v>6984</v>
      </c>
      <c r="CZI11" t="s">
        <v>6984</v>
      </c>
      <c r="CZJ11" t="s">
        <v>6984</v>
      </c>
      <c r="CZK11" t="s">
        <v>6984</v>
      </c>
      <c r="CZL11" t="s">
        <v>6984</v>
      </c>
      <c r="CZM11" t="s">
        <v>6984</v>
      </c>
      <c r="CZN11" t="s">
        <v>6984</v>
      </c>
      <c r="CZO11" t="s">
        <v>6984</v>
      </c>
      <c r="CZP11" t="s">
        <v>6984</v>
      </c>
      <c r="CZQ11" t="s">
        <v>6984</v>
      </c>
      <c r="CZR11" t="s">
        <v>6984</v>
      </c>
      <c r="CZS11" t="s">
        <v>6984</v>
      </c>
      <c r="CZT11" t="s">
        <v>6984</v>
      </c>
      <c r="CZU11" t="s">
        <v>6984</v>
      </c>
      <c r="CZV11" t="s">
        <v>6984</v>
      </c>
      <c r="CZW11" t="s">
        <v>6984</v>
      </c>
      <c r="CZX11" t="s">
        <v>6984</v>
      </c>
      <c r="CZY11" t="s">
        <v>6984</v>
      </c>
      <c r="CZZ11" t="s">
        <v>6984</v>
      </c>
      <c r="DAA11" t="s">
        <v>6984</v>
      </c>
      <c r="DAB11" t="s">
        <v>6984</v>
      </c>
      <c r="DAC11" t="s">
        <v>6984</v>
      </c>
      <c r="DAD11" t="s">
        <v>6984</v>
      </c>
      <c r="DAE11" t="s">
        <v>6984</v>
      </c>
      <c r="DAF11" t="s">
        <v>6984</v>
      </c>
      <c r="DAG11" t="s">
        <v>6984</v>
      </c>
      <c r="DAH11" t="s">
        <v>6984</v>
      </c>
      <c r="DAI11" t="s">
        <v>6984</v>
      </c>
      <c r="DAJ11" t="s">
        <v>6984</v>
      </c>
      <c r="DAK11" t="s">
        <v>6984</v>
      </c>
      <c r="DAL11" t="s">
        <v>6984</v>
      </c>
      <c r="DAM11" t="s">
        <v>6984</v>
      </c>
      <c r="DAN11" t="s">
        <v>6984</v>
      </c>
      <c r="DAO11" t="s">
        <v>6984</v>
      </c>
      <c r="DAP11" t="s">
        <v>6984</v>
      </c>
      <c r="DAQ11" t="s">
        <v>6984</v>
      </c>
      <c r="DAR11" t="s">
        <v>6984</v>
      </c>
      <c r="DAS11" t="s">
        <v>6984</v>
      </c>
      <c r="DAT11" t="s">
        <v>6984</v>
      </c>
      <c r="DAU11" t="s">
        <v>6984</v>
      </c>
      <c r="DAV11" t="s">
        <v>6984</v>
      </c>
      <c r="DAW11" t="s">
        <v>6984</v>
      </c>
      <c r="DAX11" t="s">
        <v>6984</v>
      </c>
      <c r="DAY11" t="s">
        <v>6984</v>
      </c>
      <c r="DAZ11" t="s">
        <v>6984</v>
      </c>
      <c r="DBA11" t="s">
        <v>6984</v>
      </c>
      <c r="DBB11" t="s">
        <v>6984</v>
      </c>
      <c r="DBC11" t="s">
        <v>6984</v>
      </c>
      <c r="DBD11" t="s">
        <v>6984</v>
      </c>
      <c r="DBE11" t="s">
        <v>6984</v>
      </c>
      <c r="DBF11" t="s">
        <v>6984</v>
      </c>
      <c r="DBG11" t="s">
        <v>6984</v>
      </c>
      <c r="DBH11" t="s">
        <v>6984</v>
      </c>
      <c r="DBI11" t="s">
        <v>6984</v>
      </c>
      <c r="DBJ11" t="s">
        <v>6984</v>
      </c>
      <c r="DBK11" t="s">
        <v>6984</v>
      </c>
      <c r="DBL11" t="s">
        <v>6984</v>
      </c>
      <c r="DBM11" t="s">
        <v>6984</v>
      </c>
      <c r="DBN11" t="s">
        <v>6984</v>
      </c>
      <c r="DBO11" t="s">
        <v>6984</v>
      </c>
      <c r="DBP11" t="s">
        <v>6984</v>
      </c>
      <c r="DBQ11" t="s">
        <v>6984</v>
      </c>
      <c r="DBR11" t="s">
        <v>6984</v>
      </c>
      <c r="DBS11" t="s">
        <v>6984</v>
      </c>
      <c r="DBT11" t="s">
        <v>6984</v>
      </c>
      <c r="DBU11" t="s">
        <v>6984</v>
      </c>
      <c r="DBV11" t="s">
        <v>6984</v>
      </c>
      <c r="DBW11" t="s">
        <v>6984</v>
      </c>
      <c r="DBX11" t="s">
        <v>6984</v>
      </c>
      <c r="DBY11" t="s">
        <v>6984</v>
      </c>
      <c r="DBZ11" t="s">
        <v>6984</v>
      </c>
      <c r="DCA11" t="s">
        <v>6984</v>
      </c>
      <c r="DCB11" t="s">
        <v>6984</v>
      </c>
      <c r="DCC11" t="s">
        <v>6984</v>
      </c>
      <c r="DCD11" t="s">
        <v>6984</v>
      </c>
      <c r="DCE11" t="s">
        <v>6984</v>
      </c>
      <c r="DCF11" t="s">
        <v>6984</v>
      </c>
      <c r="DCG11" t="s">
        <v>6984</v>
      </c>
      <c r="DCH11" t="s">
        <v>6984</v>
      </c>
      <c r="DCI11" t="s">
        <v>6984</v>
      </c>
      <c r="DCJ11" t="s">
        <v>6984</v>
      </c>
      <c r="DCK11" t="s">
        <v>6984</v>
      </c>
      <c r="DCL11" t="s">
        <v>6984</v>
      </c>
      <c r="DCM11" t="s">
        <v>6984</v>
      </c>
      <c r="DCN11" t="s">
        <v>6984</v>
      </c>
      <c r="DCO11" t="s">
        <v>6984</v>
      </c>
      <c r="DCP11" t="s">
        <v>6984</v>
      </c>
      <c r="DCQ11" t="s">
        <v>6984</v>
      </c>
      <c r="DCR11" t="s">
        <v>6984</v>
      </c>
      <c r="DCS11" t="s">
        <v>6984</v>
      </c>
      <c r="DCT11" t="s">
        <v>6984</v>
      </c>
      <c r="DCU11" t="s">
        <v>6984</v>
      </c>
      <c r="DCV11" t="s">
        <v>6984</v>
      </c>
      <c r="DCW11" t="s">
        <v>6984</v>
      </c>
      <c r="DCX11" t="s">
        <v>6984</v>
      </c>
      <c r="DCY11" t="s">
        <v>6984</v>
      </c>
      <c r="DCZ11" t="s">
        <v>6984</v>
      </c>
      <c r="DDA11" t="s">
        <v>6984</v>
      </c>
      <c r="DDB11" t="s">
        <v>6984</v>
      </c>
      <c r="DDC11" t="s">
        <v>6984</v>
      </c>
      <c r="DDD11" t="s">
        <v>6984</v>
      </c>
      <c r="DDE11" t="s">
        <v>6984</v>
      </c>
      <c r="DDF11" t="s">
        <v>6984</v>
      </c>
      <c r="DDG11" t="s">
        <v>6984</v>
      </c>
      <c r="DDH11" t="s">
        <v>6984</v>
      </c>
      <c r="DDI11" t="s">
        <v>6984</v>
      </c>
      <c r="DDJ11" t="s">
        <v>6984</v>
      </c>
      <c r="DDK11" t="s">
        <v>6984</v>
      </c>
      <c r="DDL11" t="s">
        <v>6984</v>
      </c>
      <c r="DDM11" t="s">
        <v>6984</v>
      </c>
      <c r="DDN11" t="s">
        <v>6984</v>
      </c>
      <c r="DDO11" t="s">
        <v>6984</v>
      </c>
      <c r="DDP11" t="s">
        <v>6984</v>
      </c>
      <c r="DDQ11" t="s">
        <v>6984</v>
      </c>
      <c r="DDR11" t="s">
        <v>6984</v>
      </c>
      <c r="DDS11" t="s">
        <v>6984</v>
      </c>
      <c r="DDT11" t="s">
        <v>6984</v>
      </c>
      <c r="DDU11" t="s">
        <v>6984</v>
      </c>
      <c r="DDV11" t="s">
        <v>6984</v>
      </c>
      <c r="DDW11" t="s">
        <v>6984</v>
      </c>
      <c r="DDX11" t="s">
        <v>6984</v>
      </c>
      <c r="DDY11" t="s">
        <v>6984</v>
      </c>
      <c r="DDZ11" t="s">
        <v>6984</v>
      </c>
      <c r="DEA11" t="s">
        <v>6984</v>
      </c>
      <c r="DEB11" t="s">
        <v>6984</v>
      </c>
      <c r="DEC11" t="s">
        <v>6984</v>
      </c>
      <c r="DED11" t="s">
        <v>6984</v>
      </c>
      <c r="DEE11" t="s">
        <v>6984</v>
      </c>
      <c r="DEF11" t="s">
        <v>6984</v>
      </c>
      <c r="DEG11" t="s">
        <v>6984</v>
      </c>
      <c r="DEH11" t="s">
        <v>6984</v>
      </c>
      <c r="DEI11" t="s">
        <v>6984</v>
      </c>
      <c r="DEJ11" t="s">
        <v>6984</v>
      </c>
      <c r="DEK11" t="s">
        <v>6984</v>
      </c>
      <c r="DEL11" t="s">
        <v>6984</v>
      </c>
      <c r="DEM11" t="s">
        <v>6984</v>
      </c>
      <c r="DEN11" t="s">
        <v>6984</v>
      </c>
      <c r="DEO11" t="s">
        <v>6984</v>
      </c>
      <c r="DEP11" t="s">
        <v>6984</v>
      </c>
      <c r="DEQ11" t="s">
        <v>6984</v>
      </c>
      <c r="DER11" t="s">
        <v>6984</v>
      </c>
      <c r="DES11" t="s">
        <v>6984</v>
      </c>
      <c r="DET11" t="s">
        <v>6984</v>
      </c>
      <c r="DEU11" t="s">
        <v>6984</v>
      </c>
      <c r="DEV11" t="s">
        <v>6984</v>
      </c>
      <c r="DEW11" t="s">
        <v>6984</v>
      </c>
      <c r="DEX11" t="s">
        <v>6984</v>
      </c>
      <c r="DEY11" t="s">
        <v>6984</v>
      </c>
      <c r="DEZ11" t="s">
        <v>6984</v>
      </c>
      <c r="DFA11" t="s">
        <v>6984</v>
      </c>
      <c r="DFB11" t="s">
        <v>6984</v>
      </c>
      <c r="DFC11" t="s">
        <v>6984</v>
      </c>
      <c r="DFD11" t="s">
        <v>6984</v>
      </c>
      <c r="DFE11" t="s">
        <v>6984</v>
      </c>
      <c r="DFF11" t="s">
        <v>6984</v>
      </c>
      <c r="DFG11" t="s">
        <v>6984</v>
      </c>
      <c r="DFH11" t="s">
        <v>6984</v>
      </c>
      <c r="DFI11" t="s">
        <v>6984</v>
      </c>
      <c r="DFJ11" t="s">
        <v>6984</v>
      </c>
      <c r="DFK11" t="s">
        <v>6984</v>
      </c>
      <c r="DFL11" t="s">
        <v>6984</v>
      </c>
      <c r="DFM11" t="s">
        <v>6984</v>
      </c>
      <c r="DFN11" t="s">
        <v>6984</v>
      </c>
      <c r="DFO11" t="s">
        <v>6984</v>
      </c>
      <c r="DFP11" t="s">
        <v>6984</v>
      </c>
      <c r="DFQ11" t="s">
        <v>6984</v>
      </c>
      <c r="DFR11" t="s">
        <v>6984</v>
      </c>
      <c r="DFS11" t="s">
        <v>6984</v>
      </c>
      <c r="DFT11" t="s">
        <v>6984</v>
      </c>
      <c r="DFU11" t="s">
        <v>6984</v>
      </c>
      <c r="DFV11" t="s">
        <v>6984</v>
      </c>
      <c r="DFW11" t="s">
        <v>6984</v>
      </c>
      <c r="DFX11" t="s">
        <v>6984</v>
      </c>
      <c r="DFY11" t="s">
        <v>6984</v>
      </c>
      <c r="DFZ11" t="s">
        <v>6984</v>
      </c>
      <c r="DGA11" t="s">
        <v>6984</v>
      </c>
      <c r="DGB11" t="s">
        <v>6984</v>
      </c>
      <c r="DGC11" t="s">
        <v>6984</v>
      </c>
      <c r="DGD11" t="s">
        <v>6984</v>
      </c>
      <c r="DGE11" t="s">
        <v>6984</v>
      </c>
      <c r="DGF11" t="s">
        <v>6984</v>
      </c>
      <c r="DGG11" t="s">
        <v>6984</v>
      </c>
      <c r="DGH11" t="s">
        <v>6984</v>
      </c>
      <c r="DGI11" t="s">
        <v>6984</v>
      </c>
      <c r="DGJ11" t="s">
        <v>6984</v>
      </c>
      <c r="DGK11" t="s">
        <v>6984</v>
      </c>
      <c r="DGL11" t="s">
        <v>6984</v>
      </c>
      <c r="DGM11" t="s">
        <v>6984</v>
      </c>
      <c r="DGN11" t="s">
        <v>6984</v>
      </c>
      <c r="DGO11" t="s">
        <v>6984</v>
      </c>
      <c r="DGP11" t="s">
        <v>6984</v>
      </c>
      <c r="DGQ11" t="s">
        <v>6984</v>
      </c>
      <c r="DGR11" t="s">
        <v>6984</v>
      </c>
      <c r="DGS11" t="s">
        <v>6984</v>
      </c>
      <c r="DGT11" t="s">
        <v>6984</v>
      </c>
      <c r="DGU11" t="s">
        <v>6984</v>
      </c>
      <c r="DGV11" t="s">
        <v>6984</v>
      </c>
      <c r="DGW11" t="s">
        <v>6984</v>
      </c>
      <c r="DGX11" t="s">
        <v>6984</v>
      </c>
      <c r="DGY11" t="s">
        <v>6984</v>
      </c>
      <c r="DGZ11" t="s">
        <v>6984</v>
      </c>
      <c r="DHA11" t="s">
        <v>6984</v>
      </c>
      <c r="DHB11" t="s">
        <v>6984</v>
      </c>
      <c r="DHC11" t="s">
        <v>6984</v>
      </c>
      <c r="DHD11" t="s">
        <v>6984</v>
      </c>
      <c r="DHE11" t="s">
        <v>6984</v>
      </c>
      <c r="DHF11" t="s">
        <v>6984</v>
      </c>
      <c r="DHG11" t="s">
        <v>6984</v>
      </c>
      <c r="DHH11" t="s">
        <v>6984</v>
      </c>
      <c r="DHI11" t="s">
        <v>6984</v>
      </c>
      <c r="DHJ11" t="s">
        <v>6984</v>
      </c>
      <c r="DHK11" t="s">
        <v>6984</v>
      </c>
      <c r="DHL11" t="s">
        <v>6984</v>
      </c>
      <c r="DHM11" t="s">
        <v>6984</v>
      </c>
      <c r="DHN11" t="s">
        <v>6984</v>
      </c>
      <c r="DHO11" t="s">
        <v>6984</v>
      </c>
      <c r="DHP11" t="s">
        <v>6984</v>
      </c>
      <c r="DHQ11" t="s">
        <v>6984</v>
      </c>
      <c r="DHR11" t="s">
        <v>6984</v>
      </c>
      <c r="DHS11" t="s">
        <v>6984</v>
      </c>
      <c r="DHT11" t="s">
        <v>6984</v>
      </c>
      <c r="DHU11" t="s">
        <v>6984</v>
      </c>
      <c r="DHV11" t="s">
        <v>6984</v>
      </c>
      <c r="DHW11" t="s">
        <v>6984</v>
      </c>
      <c r="DHX11" t="s">
        <v>6984</v>
      </c>
      <c r="DHY11" t="s">
        <v>6984</v>
      </c>
      <c r="DHZ11" t="s">
        <v>6984</v>
      </c>
      <c r="DIA11" t="s">
        <v>6984</v>
      </c>
      <c r="DIB11" t="s">
        <v>6984</v>
      </c>
      <c r="DIC11" t="s">
        <v>6984</v>
      </c>
      <c r="DID11" t="s">
        <v>6984</v>
      </c>
      <c r="DIE11" t="s">
        <v>6984</v>
      </c>
      <c r="DIF11" t="s">
        <v>6984</v>
      </c>
      <c r="DIG11" t="s">
        <v>6984</v>
      </c>
      <c r="DIH11" t="s">
        <v>6984</v>
      </c>
      <c r="DII11" t="s">
        <v>6984</v>
      </c>
      <c r="DIJ11" t="s">
        <v>6984</v>
      </c>
      <c r="DIK11" t="s">
        <v>6984</v>
      </c>
      <c r="DIL11" t="s">
        <v>6984</v>
      </c>
      <c r="DIM11" t="s">
        <v>6984</v>
      </c>
      <c r="DIN11" t="s">
        <v>6984</v>
      </c>
      <c r="DIO11" t="s">
        <v>6984</v>
      </c>
      <c r="DIP11" t="s">
        <v>6984</v>
      </c>
      <c r="DIQ11" t="s">
        <v>6984</v>
      </c>
      <c r="DIR11" t="s">
        <v>6984</v>
      </c>
      <c r="DIS11" t="s">
        <v>6984</v>
      </c>
      <c r="DIT11" t="s">
        <v>6984</v>
      </c>
      <c r="DIU11" t="s">
        <v>6984</v>
      </c>
      <c r="DIV11" t="s">
        <v>6984</v>
      </c>
      <c r="DIW11" t="s">
        <v>6984</v>
      </c>
      <c r="DIX11" t="s">
        <v>6984</v>
      </c>
      <c r="DIY11" t="s">
        <v>6984</v>
      </c>
      <c r="DIZ11" t="s">
        <v>6984</v>
      </c>
      <c r="DJA11" t="s">
        <v>6984</v>
      </c>
      <c r="DJB11" t="s">
        <v>6984</v>
      </c>
      <c r="DJC11" t="s">
        <v>6984</v>
      </c>
      <c r="DJD11" t="s">
        <v>6984</v>
      </c>
      <c r="DJE11" t="s">
        <v>6984</v>
      </c>
      <c r="DJF11" t="s">
        <v>6984</v>
      </c>
      <c r="DJG11" t="s">
        <v>6984</v>
      </c>
      <c r="DJH11" t="s">
        <v>6984</v>
      </c>
      <c r="DJI11" t="s">
        <v>6984</v>
      </c>
      <c r="DJJ11" t="s">
        <v>6984</v>
      </c>
      <c r="DJK11" t="s">
        <v>6984</v>
      </c>
      <c r="DJL11" t="s">
        <v>6984</v>
      </c>
      <c r="DJM11" t="s">
        <v>6984</v>
      </c>
      <c r="DJN11" t="s">
        <v>6984</v>
      </c>
      <c r="DJO11" t="s">
        <v>6984</v>
      </c>
      <c r="DJP11" t="s">
        <v>6984</v>
      </c>
      <c r="DJQ11" t="s">
        <v>6984</v>
      </c>
      <c r="DJR11" t="s">
        <v>6984</v>
      </c>
      <c r="DJS11" t="s">
        <v>6984</v>
      </c>
      <c r="DJT11" t="s">
        <v>6984</v>
      </c>
      <c r="DJU11" t="s">
        <v>6984</v>
      </c>
      <c r="DJV11" t="s">
        <v>6984</v>
      </c>
      <c r="DJW11" t="s">
        <v>6984</v>
      </c>
      <c r="DJX11" t="s">
        <v>6984</v>
      </c>
      <c r="DJY11" t="s">
        <v>6984</v>
      </c>
      <c r="DJZ11" t="s">
        <v>6984</v>
      </c>
      <c r="DKA11" t="s">
        <v>6984</v>
      </c>
      <c r="DKB11" t="s">
        <v>6984</v>
      </c>
      <c r="DKC11" t="s">
        <v>6984</v>
      </c>
      <c r="DKD11" t="s">
        <v>6984</v>
      </c>
      <c r="DKE11" t="s">
        <v>6984</v>
      </c>
      <c r="DKF11" t="s">
        <v>6984</v>
      </c>
      <c r="DKG11" t="s">
        <v>6984</v>
      </c>
      <c r="DKH11" t="s">
        <v>6984</v>
      </c>
      <c r="DKI11" t="s">
        <v>6984</v>
      </c>
      <c r="DKJ11" t="s">
        <v>6984</v>
      </c>
      <c r="DKK11" t="s">
        <v>6984</v>
      </c>
      <c r="DKL11" t="s">
        <v>6984</v>
      </c>
      <c r="DKM11" t="s">
        <v>6984</v>
      </c>
      <c r="DKN11" t="s">
        <v>6984</v>
      </c>
      <c r="DKO11" t="s">
        <v>6984</v>
      </c>
      <c r="DKP11" t="s">
        <v>6984</v>
      </c>
      <c r="DKQ11" t="s">
        <v>6984</v>
      </c>
      <c r="DKR11" t="s">
        <v>6984</v>
      </c>
      <c r="DKS11" t="s">
        <v>6984</v>
      </c>
      <c r="DKT11" t="s">
        <v>6984</v>
      </c>
      <c r="DKU11" t="s">
        <v>6984</v>
      </c>
      <c r="DKV11" t="s">
        <v>6984</v>
      </c>
      <c r="DKW11" t="s">
        <v>6984</v>
      </c>
      <c r="DKX11" t="s">
        <v>6984</v>
      </c>
      <c r="DKY11" t="s">
        <v>6984</v>
      </c>
      <c r="DKZ11" t="s">
        <v>6984</v>
      </c>
      <c r="DLA11" t="s">
        <v>6984</v>
      </c>
      <c r="DLB11" t="s">
        <v>6984</v>
      </c>
      <c r="DLC11" t="s">
        <v>6984</v>
      </c>
      <c r="DLD11" t="s">
        <v>6984</v>
      </c>
      <c r="DLE11" t="s">
        <v>6984</v>
      </c>
      <c r="DLF11" t="s">
        <v>6984</v>
      </c>
      <c r="DLG11" t="s">
        <v>6984</v>
      </c>
      <c r="DLH11" t="s">
        <v>6984</v>
      </c>
      <c r="DLI11" t="s">
        <v>6984</v>
      </c>
      <c r="DLJ11" t="s">
        <v>6984</v>
      </c>
      <c r="DLK11" t="s">
        <v>6984</v>
      </c>
      <c r="DLL11" t="s">
        <v>6984</v>
      </c>
      <c r="DLM11" t="s">
        <v>6984</v>
      </c>
      <c r="DLN11" t="s">
        <v>6984</v>
      </c>
      <c r="DLO11" t="s">
        <v>6984</v>
      </c>
      <c r="DLP11" t="s">
        <v>6984</v>
      </c>
      <c r="DLQ11" t="s">
        <v>6984</v>
      </c>
      <c r="DLR11" t="s">
        <v>6984</v>
      </c>
      <c r="DLS11" t="s">
        <v>6984</v>
      </c>
      <c r="DLT11" t="s">
        <v>6984</v>
      </c>
      <c r="DLU11" t="s">
        <v>6984</v>
      </c>
      <c r="DLV11" t="s">
        <v>6984</v>
      </c>
      <c r="DLW11" t="s">
        <v>6984</v>
      </c>
      <c r="DLX11" t="s">
        <v>6984</v>
      </c>
      <c r="DLY11" t="s">
        <v>6984</v>
      </c>
      <c r="DLZ11" t="s">
        <v>6984</v>
      </c>
      <c r="DMA11" t="s">
        <v>6984</v>
      </c>
      <c r="DMB11" t="s">
        <v>6984</v>
      </c>
      <c r="DMC11" t="s">
        <v>6984</v>
      </c>
      <c r="DMD11" t="s">
        <v>6984</v>
      </c>
      <c r="DME11" t="s">
        <v>6984</v>
      </c>
      <c r="DMF11" t="s">
        <v>6984</v>
      </c>
      <c r="DMG11" t="s">
        <v>6984</v>
      </c>
      <c r="DMH11" t="s">
        <v>6984</v>
      </c>
      <c r="DMI11" t="s">
        <v>6984</v>
      </c>
      <c r="DMJ11" t="s">
        <v>6984</v>
      </c>
      <c r="DMK11" t="s">
        <v>6984</v>
      </c>
      <c r="DML11" t="s">
        <v>6984</v>
      </c>
      <c r="DMM11" t="s">
        <v>6984</v>
      </c>
      <c r="DMN11" t="s">
        <v>6984</v>
      </c>
      <c r="DMO11" t="s">
        <v>6984</v>
      </c>
      <c r="DMP11" t="s">
        <v>6984</v>
      </c>
      <c r="DMQ11" t="s">
        <v>6984</v>
      </c>
      <c r="DMR11" t="s">
        <v>6984</v>
      </c>
      <c r="DMS11" t="s">
        <v>6984</v>
      </c>
      <c r="DMT11" t="s">
        <v>6984</v>
      </c>
      <c r="DMU11" t="s">
        <v>6984</v>
      </c>
      <c r="DMV11" t="s">
        <v>6984</v>
      </c>
      <c r="DMW11" t="s">
        <v>6984</v>
      </c>
      <c r="DMX11" t="s">
        <v>6984</v>
      </c>
      <c r="DMY11" t="s">
        <v>6984</v>
      </c>
      <c r="DMZ11" t="s">
        <v>6984</v>
      </c>
      <c r="DNA11" t="s">
        <v>6984</v>
      </c>
      <c r="DNB11" t="s">
        <v>6984</v>
      </c>
      <c r="DNC11" t="s">
        <v>6984</v>
      </c>
      <c r="DND11" t="s">
        <v>6984</v>
      </c>
      <c r="DNE11" t="s">
        <v>6984</v>
      </c>
      <c r="DNF11" t="s">
        <v>6984</v>
      </c>
      <c r="DNG11" t="s">
        <v>6984</v>
      </c>
      <c r="DNH11" t="s">
        <v>6984</v>
      </c>
      <c r="DNI11" t="s">
        <v>6984</v>
      </c>
      <c r="DNJ11" t="s">
        <v>6984</v>
      </c>
      <c r="DNK11" t="s">
        <v>6984</v>
      </c>
      <c r="DNL11" t="s">
        <v>6984</v>
      </c>
      <c r="DNM11" t="s">
        <v>6984</v>
      </c>
      <c r="DNN11" t="s">
        <v>6984</v>
      </c>
      <c r="DNO11" t="s">
        <v>6984</v>
      </c>
      <c r="DNP11" t="s">
        <v>6984</v>
      </c>
      <c r="DNQ11" t="s">
        <v>6984</v>
      </c>
      <c r="DNR11" t="s">
        <v>6984</v>
      </c>
      <c r="DNS11" t="s">
        <v>6984</v>
      </c>
      <c r="DNT11" t="s">
        <v>6984</v>
      </c>
      <c r="DNU11" t="s">
        <v>6984</v>
      </c>
      <c r="DNV11" t="s">
        <v>6984</v>
      </c>
      <c r="DNW11" t="s">
        <v>6984</v>
      </c>
      <c r="DNX11" t="s">
        <v>6984</v>
      </c>
      <c r="DNY11" t="s">
        <v>6984</v>
      </c>
      <c r="DNZ11" t="s">
        <v>6984</v>
      </c>
      <c r="DOA11" t="s">
        <v>6984</v>
      </c>
      <c r="DOB11" t="s">
        <v>6984</v>
      </c>
      <c r="DOC11" t="s">
        <v>6984</v>
      </c>
      <c r="DOD11" t="s">
        <v>6984</v>
      </c>
      <c r="DOE11" t="s">
        <v>6984</v>
      </c>
      <c r="DOF11" t="s">
        <v>6984</v>
      </c>
      <c r="DOG11" t="s">
        <v>6984</v>
      </c>
      <c r="DOH11" t="s">
        <v>6984</v>
      </c>
      <c r="DOI11" t="s">
        <v>6984</v>
      </c>
      <c r="DOJ11" t="s">
        <v>6984</v>
      </c>
      <c r="DOK11" t="s">
        <v>6984</v>
      </c>
      <c r="DOL11" t="s">
        <v>6984</v>
      </c>
      <c r="DOM11" t="s">
        <v>6984</v>
      </c>
      <c r="DON11" t="s">
        <v>6984</v>
      </c>
      <c r="DOO11" t="s">
        <v>6984</v>
      </c>
      <c r="DOP11" t="s">
        <v>6984</v>
      </c>
      <c r="DOQ11" t="s">
        <v>6984</v>
      </c>
      <c r="DOR11" t="s">
        <v>6984</v>
      </c>
      <c r="DOS11" t="s">
        <v>6984</v>
      </c>
      <c r="DOT11" t="s">
        <v>6984</v>
      </c>
      <c r="DOU11" t="s">
        <v>6984</v>
      </c>
      <c r="DOV11" t="s">
        <v>6984</v>
      </c>
      <c r="DOW11" t="s">
        <v>6984</v>
      </c>
      <c r="DOX11" t="s">
        <v>6984</v>
      </c>
      <c r="DOY11" t="s">
        <v>6984</v>
      </c>
      <c r="DOZ11" t="s">
        <v>6984</v>
      </c>
      <c r="DPA11" t="s">
        <v>6984</v>
      </c>
      <c r="DPB11" t="s">
        <v>6984</v>
      </c>
      <c r="DPC11" t="s">
        <v>6984</v>
      </c>
      <c r="DPD11" t="s">
        <v>6984</v>
      </c>
      <c r="DPE11" t="s">
        <v>6984</v>
      </c>
      <c r="DPF11" t="s">
        <v>6984</v>
      </c>
      <c r="DPG11" t="s">
        <v>6984</v>
      </c>
      <c r="DPH11" t="s">
        <v>6984</v>
      </c>
      <c r="DPI11" t="s">
        <v>6984</v>
      </c>
      <c r="DPJ11" t="s">
        <v>6984</v>
      </c>
      <c r="DPK11" t="s">
        <v>6984</v>
      </c>
      <c r="DPL11" t="s">
        <v>6984</v>
      </c>
      <c r="DPM11" t="s">
        <v>6984</v>
      </c>
      <c r="DPN11" t="s">
        <v>6984</v>
      </c>
      <c r="DPO11" t="s">
        <v>6984</v>
      </c>
      <c r="DPP11" t="s">
        <v>6984</v>
      </c>
      <c r="DPQ11" t="s">
        <v>6984</v>
      </c>
      <c r="DPR11" t="s">
        <v>6984</v>
      </c>
      <c r="DPS11" t="s">
        <v>6984</v>
      </c>
      <c r="DPT11" t="s">
        <v>6984</v>
      </c>
      <c r="DPU11" t="s">
        <v>6984</v>
      </c>
      <c r="DPV11" t="s">
        <v>6984</v>
      </c>
      <c r="DPW11" t="s">
        <v>6984</v>
      </c>
      <c r="DPX11" t="s">
        <v>6984</v>
      </c>
      <c r="DPY11" t="s">
        <v>6984</v>
      </c>
      <c r="DPZ11" t="s">
        <v>6984</v>
      </c>
      <c r="DQA11" t="s">
        <v>6984</v>
      </c>
      <c r="DQB11" t="s">
        <v>6984</v>
      </c>
      <c r="DQC11" t="s">
        <v>6984</v>
      </c>
      <c r="DQD11" t="s">
        <v>6984</v>
      </c>
      <c r="DQE11" t="s">
        <v>6984</v>
      </c>
      <c r="DQF11" t="s">
        <v>6984</v>
      </c>
      <c r="DQG11" t="s">
        <v>6984</v>
      </c>
      <c r="DQH11" t="s">
        <v>6984</v>
      </c>
      <c r="DQI11" t="s">
        <v>6984</v>
      </c>
      <c r="DQJ11" t="s">
        <v>6984</v>
      </c>
      <c r="DQK11" t="s">
        <v>6984</v>
      </c>
      <c r="DQL11" t="s">
        <v>6984</v>
      </c>
      <c r="DQM11" t="s">
        <v>6984</v>
      </c>
      <c r="DQN11" t="s">
        <v>6984</v>
      </c>
      <c r="DQO11" t="s">
        <v>6984</v>
      </c>
      <c r="DQP11" t="s">
        <v>6984</v>
      </c>
      <c r="DQQ11" t="s">
        <v>6984</v>
      </c>
      <c r="DQR11" t="s">
        <v>6984</v>
      </c>
      <c r="DQS11" t="s">
        <v>6984</v>
      </c>
      <c r="DQT11" t="s">
        <v>6984</v>
      </c>
      <c r="DQU11" t="s">
        <v>6984</v>
      </c>
      <c r="DQV11" t="s">
        <v>6984</v>
      </c>
      <c r="DQW11" t="s">
        <v>6984</v>
      </c>
      <c r="DQX11" t="s">
        <v>6984</v>
      </c>
      <c r="DQY11" t="s">
        <v>6984</v>
      </c>
      <c r="DQZ11" t="s">
        <v>6984</v>
      </c>
      <c r="DRA11" t="s">
        <v>6984</v>
      </c>
      <c r="DRB11" t="s">
        <v>6984</v>
      </c>
      <c r="DRC11" t="s">
        <v>6984</v>
      </c>
      <c r="DRD11" t="s">
        <v>6984</v>
      </c>
      <c r="DRE11" t="s">
        <v>6984</v>
      </c>
      <c r="DRF11" t="s">
        <v>6984</v>
      </c>
      <c r="DRG11" t="s">
        <v>6984</v>
      </c>
      <c r="DRH11" t="s">
        <v>6984</v>
      </c>
      <c r="DRI11" t="s">
        <v>6984</v>
      </c>
      <c r="DRJ11" t="s">
        <v>6984</v>
      </c>
      <c r="DRK11" t="s">
        <v>6984</v>
      </c>
      <c r="DRL11" t="s">
        <v>6984</v>
      </c>
      <c r="DRM11" t="s">
        <v>6984</v>
      </c>
      <c r="DRN11" t="s">
        <v>6984</v>
      </c>
      <c r="DRO11" t="s">
        <v>6984</v>
      </c>
      <c r="DRP11" t="s">
        <v>6984</v>
      </c>
      <c r="DRQ11" t="s">
        <v>6984</v>
      </c>
      <c r="DRR11" t="s">
        <v>6984</v>
      </c>
      <c r="DRS11" t="s">
        <v>6984</v>
      </c>
      <c r="DRT11" t="s">
        <v>6984</v>
      </c>
      <c r="DRU11" t="s">
        <v>6984</v>
      </c>
      <c r="DRV11" t="s">
        <v>6984</v>
      </c>
      <c r="DRW11" t="s">
        <v>6984</v>
      </c>
      <c r="DRX11" t="s">
        <v>6984</v>
      </c>
      <c r="DRY11" t="s">
        <v>6984</v>
      </c>
      <c r="DRZ11" t="s">
        <v>6984</v>
      </c>
      <c r="DSA11" t="s">
        <v>6984</v>
      </c>
      <c r="DSB11" t="s">
        <v>6984</v>
      </c>
      <c r="DSC11" t="s">
        <v>6984</v>
      </c>
      <c r="DSD11" t="s">
        <v>6984</v>
      </c>
      <c r="DSE11" t="s">
        <v>6984</v>
      </c>
      <c r="DSF11" t="s">
        <v>6984</v>
      </c>
      <c r="DSG11" t="s">
        <v>6984</v>
      </c>
      <c r="DSH11" t="s">
        <v>6984</v>
      </c>
      <c r="DSI11" t="s">
        <v>6984</v>
      </c>
      <c r="DSJ11" t="s">
        <v>6984</v>
      </c>
      <c r="DSK11" t="s">
        <v>6984</v>
      </c>
      <c r="DSL11" t="s">
        <v>6984</v>
      </c>
      <c r="DSM11" t="s">
        <v>6984</v>
      </c>
      <c r="DSN11" t="s">
        <v>6984</v>
      </c>
      <c r="DSO11" t="s">
        <v>6984</v>
      </c>
      <c r="DSP11" t="s">
        <v>6984</v>
      </c>
      <c r="DSQ11" t="s">
        <v>6984</v>
      </c>
      <c r="DSR11" t="s">
        <v>6984</v>
      </c>
      <c r="DSS11" t="s">
        <v>6984</v>
      </c>
      <c r="DST11" t="s">
        <v>6984</v>
      </c>
      <c r="DSU11" t="s">
        <v>6984</v>
      </c>
      <c r="DSV11" t="s">
        <v>6984</v>
      </c>
      <c r="DSW11" t="s">
        <v>6984</v>
      </c>
      <c r="DSX11" t="s">
        <v>6984</v>
      </c>
      <c r="DSY11" t="s">
        <v>6984</v>
      </c>
      <c r="DSZ11" t="s">
        <v>6984</v>
      </c>
      <c r="DTA11" t="s">
        <v>6984</v>
      </c>
      <c r="DTB11" t="s">
        <v>6984</v>
      </c>
      <c r="DTC11" t="s">
        <v>6984</v>
      </c>
      <c r="DTD11" t="s">
        <v>6984</v>
      </c>
      <c r="DTE11" t="s">
        <v>6984</v>
      </c>
      <c r="DTF11" t="s">
        <v>6984</v>
      </c>
      <c r="DTG11" t="s">
        <v>6984</v>
      </c>
      <c r="DTH11" t="s">
        <v>6984</v>
      </c>
      <c r="DTI11" t="s">
        <v>6984</v>
      </c>
      <c r="DTJ11" t="s">
        <v>6984</v>
      </c>
      <c r="DTK11" t="s">
        <v>6984</v>
      </c>
      <c r="DTL11" t="s">
        <v>6984</v>
      </c>
      <c r="DTM11" t="s">
        <v>6984</v>
      </c>
      <c r="DTN11" t="s">
        <v>6984</v>
      </c>
      <c r="DTO11" t="s">
        <v>6984</v>
      </c>
      <c r="DTP11" t="s">
        <v>6984</v>
      </c>
      <c r="DTQ11" t="s">
        <v>6984</v>
      </c>
      <c r="DTR11" t="s">
        <v>6984</v>
      </c>
      <c r="DTS11" t="s">
        <v>6984</v>
      </c>
      <c r="DTT11" t="s">
        <v>6984</v>
      </c>
      <c r="DTU11" t="s">
        <v>6984</v>
      </c>
      <c r="DTV11" t="s">
        <v>6984</v>
      </c>
      <c r="DTW11" t="s">
        <v>6984</v>
      </c>
      <c r="DTX11" t="s">
        <v>6984</v>
      </c>
      <c r="DTY11" t="s">
        <v>6984</v>
      </c>
      <c r="DTZ11" t="s">
        <v>6984</v>
      </c>
      <c r="DUA11" t="s">
        <v>6984</v>
      </c>
      <c r="DUB11" t="s">
        <v>6984</v>
      </c>
      <c r="DUC11" t="s">
        <v>6984</v>
      </c>
      <c r="DUD11" t="s">
        <v>6984</v>
      </c>
      <c r="DUE11" t="s">
        <v>6984</v>
      </c>
      <c r="DUF11" t="s">
        <v>6984</v>
      </c>
      <c r="DUG11" t="s">
        <v>6984</v>
      </c>
      <c r="DUH11" t="s">
        <v>6984</v>
      </c>
      <c r="DUI11" t="s">
        <v>6984</v>
      </c>
      <c r="DUJ11" t="s">
        <v>6984</v>
      </c>
      <c r="DUK11" t="s">
        <v>6984</v>
      </c>
      <c r="DUL11" t="s">
        <v>6984</v>
      </c>
      <c r="DUM11" t="s">
        <v>6984</v>
      </c>
      <c r="DUN11" t="s">
        <v>6984</v>
      </c>
      <c r="DUO11" t="s">
        <v>6984</v>
      </c>
      <c r="DUP11" t="s">
        <v>6984</v>
      </c>
      <c r="DUQ11" t="s">
        <v>6984</v>
      </c>
      <c r="DUR11" t="s">
        <v>6984</v>
      </c>
      <c r="DUS11" t="s">
        <v>6984</v>
      </c>
      <c r="DUT11" t="s">
        <v>6984</v>
      </c>
      <c r="DUU11" t="s">
        <v>6984</v>
      </c>
      <c r="DUV11" t="s">
        <v>6984</v>
      </c>
      <c r="DUW11" t="s">
        <v>6984</v>
      </c>
      <c r="DUX11" t="s">
        <v>6984</v>
      </c>
      <c r="DUY11" t="s">
        <v>6984</v>
      </c>
      <c r="DUZ11" t="s">
        <v>6984</v>
      </c>
      <c r="DVA11" t="s">
        <v>6984</v>
      </c>
      <c r="DVB11" t="s">
        <v>6984</v>
      </c>
      <c r="DVC11" t="s">
        <v>6984</v>
      </c>
      <c r="DVD11" t="s">
        <v>6984</v>
      </c>
      <c r="DVE11" t="s">
        <v>6984</v>
      </c>
      <c r="DVF11" t="s">
        <v>6984</v>
      </c>
      <c r="DVG11" t="s">
        <v>6984</v>
      </c>
      <c r="DVH11" t="s">
        <v>6984</v>
      </c>
      <c r="DVI11" t="s">
        <v>6984</v>
      </c>
      <c r="DVJ11" t="s">
        <v>6984</v>
      </c>
      <c r="DVK11" t="s">
        <v>6984</v>
      </c>
      <c r="DVL11" t="s">
        <v>6984</v>
      </c>
      <c r="DVM11" t="s">
        <v>6984</v>
      </c>
      <c r="DVN11" t="s">
        <v>6984</v>
      </c>
      <c r="DVO11" t="s">
        <v>6984</v>
      </c>
      <c r="DVP11" t="s">
        <v>6984</v>
      </c>
      <c r="DVQ11" t="s">
        <v>6984</v>
      </c>
      <c r="DVR11" t="s">
        <v>6984</v>
      </c>
      <c r="DVS11" t="s">
        <v>6984</v>
      </c>
      <c r="DVT11" t="s">
        <v>6984</v>
      </c>
      <c r="DVU11" t="s">
        <v>6984</v>
      </c>
      <c r="DVV11" t="s">
        <v>6984</v>
      </c>
      <c r="DVW11" t="s">
        <v>6984</v>
      </c>
      <c r="DVX11" t="s">
        <v>6984</v>
      </c>
      <c r="DVY11" t="s">
        <v>6984</v>
      </c>
      <c r="DVZ11" t="s">
        <v>6984</v>
      </c>
      <c r="DWA11" t="s">
        <v>6984</v>
      </c>
      <c r="DWB11" t="s">
        <v>6984</v>
      </c>
      <c r="DWC11" t="s">
        <v>6984</v>
      </c>
      <c r="DWD11" t="s">
        <v>6984</v>
      </c>
      <c r="DWE11" t="s">
        <v>6984</v>
      </c>
      <c r="DWF11" t="s">
        <v>6984</v>
      </c>
      <c r="DWG11" t="s">
        <v>6984</v>
      </c>
      <c r="DWH11" t="s">
        <v>6984</v>
      </c>
      <c r="DWI11" t="s">
        <v>6984</v>
      </c>
      <c r="DWJ11" t="s">
        <v>6984</v>
      </c>
      <c r="DWK11" t="s">
        <v>6984</v>
      </c>
      <c r="DWL11" t="s">
        <v>6984</v>
      </c>
      <c r="DWM11" t="s">
        <v>6984</v>
      </c>
      <c r="DWN11" t="s">
        <v>6984</v>
      </c>
      <c r="DWO11" t="s">
        <v>6984</v>
      </c>
      <c r="DWP11" t="s">
        <v>6984</v>
      </c>
      <c r="DWQ11" t="s">
        <v>6984</v>
      </c>
      <c r="DWR11" t="s">
        <v>6984</v>
      </c>
      <c r="DWS11" t="s">
        <v>6984</v>
      </c>
      <c r="DWT11" t="s">
        <v>6984</v>
      </c>
      <c r="DWU11" t="s">
        <v>6984</v>
      </c>
      <c r="DWV11" t="s">
        <v>6984</v>
      </c>
      <c r="DWW11" t="s">
        <v>6984</v>
      </c>
      <c r="DWX11" t="s">
        <v>6984</v>
      </c>
      <c r="DWY11" t="s">
        <v>6984</v>
      </c>
      <c r="DWZ11" t="s">
        <v>6984</v>
      </c>
      <c r="DXA11" t="s">
        <v>6984</v>
      </c>
      <c r="DXB11" t="s">
        <v>6984</v>
      </c>
      <c r="DXC11" t="s">
        <v>6984</v>
      </c>
      <c r="DXD11" t="s">
        <v>6984</v>
      </c>
      <c r="DXE11" t="s">
        <v>6984</v>
      </c>
      <c r="DXF11" t="s">
        <v>6984</v>
      </c>
      <c r="DXG11" t="s">
        <v>6984</v>
      </c>
      <c r="DXH11" t="s">
        <v>6984</v>
      </c>
      <c r="DXI11" t="s">
        <v>6984</v>
      </c>
      <c r="DXJ11" t="s">
        <v>6984</v>
      </c>
      <c r="DXK11" t="s">
        <v>6984</v>
      </c>
      <c r="DXL11" t="s">
        <v>6984</v>
      </c>
      <c r="DXM11" t="s">
        <v>6984</v>
      </c>
      <c r="DXN11" t="s">
        <v>6984</v>
      </c>
      <c r="DXO11" t="s">
        <v>6984</v>
      </c>
      <c r="DXP11" t="s">
        <v>6984</v>
      </c>
      <c r="DXQ11" t="s">
        <v>6984</v>
      </c>
      <c r="DXR11" t="s">
        <v>6984</v>
      </c>
      <c r="DXS11" t="s">
        <v>6984</v>
      </c>
      <c r="DXT11" t="s">
        <v>6984</v>
      </c>
      <c r="DXU11" t="s">
        <v>6984</v>
      </c>
      <c r="DXV11" t="s">
        <v>6984</v>
      </c>
      <c r="DXW11" t="s">
        <v>6984</v>
      </c>
      <c r="DXX11" t="s">
        <v>6984</v>
      </c>
      <c r="DXY11" t="s">
        <v>6984</v>
      </c>
      <c r="DXZ11" t="s">
        <v>6984</v>
      </c>
      <c r="DYA11" t="s">
        <v>6984</v>
      </c>
      <c r="DYB11" t="s">
        <v>6984</v>
      </c>
      <c r="DYC11" t="s">
        <v>6984</v>
      </c>
      <c r="DYD11" t="s">
        <v>6984</v>
      </c>
      <c r="DYE11" t="s">
        <v>6984</v>
      </c>
      <c r="DYF11" t="s">
        <v>6984</v>
      </c>
      <c r="DYG11" t="s">
        <v>6984</v>
      </c>
      <c r="DYH11" t="s">
        <v>6984</v>
      </c>
      <c r="DYI11" t="s">
        <v>6984</v>
      </c>
      <c r="DYJ11" t="s">
        <v>6984</v>
      </c>
      <c r="DYK11" t="s">
        <v>6984</v>
      </c>
      <c r="DYL11" t="s">
        <v>6984</v>
      </c>
      <c r="DYM11" t="s">
        <v>6984</v>
      </c>
      <c r="DYN11" t="s">
        <v>6984</v>
      </c>
      <c r="DYO11" t="s">
        <v>6984</v>
      </c>
      <c r="DYP11" t="s">
        <v>6984</v>
      </c>
      <c r="DYQ11" t="s">
        <v>6984</v>
      </c>
      <c r="DYR11" t="s">
        <v>6984</v>
      </c>
      <c r="DYS11" t="s">
        <v>6984</v>
      </c>
      <c r="DYT11" t="s">
        <v>6984</v>
      </c>
      <c r="DYU11" t="s">
        <v>6984</v>
      </c>
      <c r="DYV11" t="s">
        <v>6984</v>
      </c>
      <c r="DYW11" t="s">
        <v>6984</v>
      </c>
      <c r="DYX11" t="s">
        <v>6984</v>
      </c>
      <c r="DYY11" t="s">
        <v>6984</v>
      </c>
      <c r="DYZ11" t="s">
        <v>6984</v>
      </c>
      <c r="DZA11" t="s">
        <v>6984</v>
      </c>
      <c r="DZB11" t="s">
        <v>6984</v>
      </c>
      <c r="DZC11" t="s">
        <v>6984</v>
      </c>
      <c r="DZD11" t="s">
        <v>6984</v>
      </c>
      <c r="DZE11" t="s">
        <v>6984</v>
      </c>
      <c r="DZF11" t="s">
        <v>6984</v>
      </c>
      <c r="DZG11" t="s">
        <v>6984</v>
      </c>
      <c r="DZH11" t="s">
        <v>6984</v>
      </c>
      <c r="DZI11" t="s">
        <v>6984</v>
      </c>
      <c r="DZJ11" t="s">
        <v>6984</v>
      </c>
      <c r="DZK11" t="s">
        <v>6984</v>
      </c>
      <c r="DZL11" t="s">
        <v>6984</v>
      </c>
      <c r="DZM11" t="s">
        <v>6984</v>
      </c>
      <c r="DZN11" t="s">
        <v>6984</v>
      </c>
      <c r="DZO11" t="s">
        <v>6984</v>
      </c>
      <c r="DZP11" t="s">
        <v>6984</v>
      </c>
      <c r="DZQ11" t="s">
        <v>6984</v>
      </c>
      <c r="DZR11" t="s">
        <v>6984</v>
      </c>
      <c r="DZS11" t="s">
        <v>6984</v>
      </c>
      <c r="DZT11" t="s">
        <v>6984</v>
      </c>
      <c r="DZU11" t="s">
        <v>6984</v>
      </c>
      <c r="DZV11" t="s">
        <v>6984</v>
      </c>
      <c r="DZW11" t="s">
        <v>6984</v>
      </c>
      <c r="DZX11" t="s">
        <v>6984</v>
      </c>
      <c r="DZY11" t="s">
        <v>6984</v>
      </c>
      <c r="DZZ11" t="s">
        <v>6984</v>
      </c>
      <c r="EAA11" t="s">
        <v>6984</v>
      </c>
      <c r="EAB11" t="s">
        <v>6984</v>
      </c>
      <c r="EAC11" t="s">
        <v>6984</v>
      </c>
      <c r="EAD11" t="s">
        <v>6984</v>
      </c>
      <c r="EAE11" t="s">
        <v>6984</v>
      </c>
      <c r="EAF11" t="s">
        <v>6984</v>
      </c>
      <c r="EAG11" t="s">
        <v>6984</v>
      </c>
      <c r="EAH11" t="s">
        <v>6984</v>
      </c>
      <c r="EAI11" t="s">
        <v>6984</v>
      </c>
      <c r="EAJ11" t="s">
        <v>6984</v>
      </c>
      <c r="EAK11" t="s">
        <v>6984</v>
      </c>
      <c r="EAL11" t="s">
        <v>6984</v>
      </c>
      <c r="EAM11" t="s">
        <v>6984</v>
      </c>
      <c r="EAN11" t="s">
        <v>6984</v>
      </c>
      <c r="EAO11" t="s">
        <v>6984</v>
      </c>
      <c r="EAP11" t="s">
        <v>6984</v>
      </c>
      <c r="EAQ11" t="s">
        <v>6984</v>
      </c>
      <c r="EAR11" t="s">
        <v>6984</v>
      </c>
      <c r="EAS11" t="s">
        <v>6984</v>
      </c>
      <c r="EAT11" t="s">
        <v>6984</v>
      </c>
      <c r="EAU11" t="s">
        <v>6984</v>
      </c>
      <c r="EAV11" t="s">
        <v>6984</v>
      </c>
      <c r="EAW11" t="s">
        <v>6984</v>
      </c>
      <c r="EAX11" t="s">
        <v>6984</v>
      </c>
      <c r="EAY11" t="s">
        <v>6984</v>
      </c>
      <c r="EAZ11" t="s">
        <v>6984</v>
      </c>
      <c r="EBA11" t="s">
        <v>6984</v>
      </c>
      <c r="EBB11" t="s">
        <v>6984</v>
      </c>
      <c r="EBC11" t="s">
        <v>6984</v>
      </c>
      <c r="EBD11" t="s">
        <v>6984</v>
      </c>
      <c r="EBE11" t="s">
        <v>6984</v>
      </c>
      <c r="EBF11" t="s">
        <v>6984</v>
      </c>
      <c r="EBG11" t="s">
        <v>6984</v>
      </c>
      <c r="EBH11" t="s">
        <v>6984</v>
      </c>
      <c r="EBI11" t="s">
        <v>6984</v>
      </c>
      <c r="EBJ11" t="s">
        <v>6984</v>
      </c>
      <c r="EBK11" t="s">
        <v>6984</v>
      </c>
      <c r="EBL11" t="s">
        <v>6984</v>
      </c>
      <c r="EBM11" t="s">
        <v>6984</v>
      </c>
      <c r="EBN11" t="s">
        <v>6984</v>
      </c>
      <c r="EBO11" t="s">
        <v>6984</v>
      </c>
      <c r="EBP11" t="s">
        <v>6984</v>
      </c>
      <c r="EBQ11" t="s">
        <v>6984</v>
      </c>
      <c r="EBR11" t="s">
        <v>6984</v>
      </c>
      <c r="EBS11" t="s">
        <v>6984</v>
      </c>
      <c r="EBT11" t="s">
        <v>6984</v>
      </c>
      <c r="EBU11" t="s">
        <v>6984</v>
      </c>
      <c r="EBV11" t="s">
        <v>6984</v>
      </c>
      <c r="EBW11" t="s">
        <v>6984</v>
      </c>
      <c r="EBX11" t="s">
        <v>6984</v>
      </c>
      <c r="EBY11" t="s">
        <v>6984</v>
      </c>
      <c r="EBZ11" t="s">
        <v>6984</v>
      </c>
      <c r="ECA11" t="s">
        <v>6984</v>
      </c>
      <c r="ECB11" t="s">
        <v>6984</v>
      </c>
      <c r="ECC11" t="s">
        <v>6984</v>
      </c>
      <c r="ECD11" t="s">
        <v>6984</v>
      </c>
      <c r="ECE11" t="s">
        <v>6984</v>
      </c>
      <c r="ECF11" t="s">
        <v>6984</v>
      </c>
      <c r="ECG11" t="s">
        <v>6984</v>
      </c>
      <c r="ECH11" t="s">
        <v>6984</v>
      </c>
      <c r="ECI11" t="s">
        <v>6984</v>
      </c>
      <c r="ECJ11" t="s">
        <v>6984</v>
      </c>
      <c r="ECK11" t="s">
        <v>6984</v>
      </c>
      <c r="ECL11" t="s">
        <v>6984</v>
      </c>
      <c r="ECM11" t="s">
        <v>6984</v>
      </c>
      <c r="ECN11" t="s">
        <v>6984</v>
      </c>
      <c r="ECO11" t="s">
        <v>6984</v>
      </c>
      <c r="ECP11" t="s">
        <v>6984</v>
      </c>
      <c r="ECQ11" t="s">
        <v>6984</v>
      </c>
      <c r="ECR11" t="s">
        <v>6984</v>
      </c>
      <c r="ECS11" t="s">
        <v>6984</v>
      </c>
      <c r="ECT11" t="s">
        <v>6984</v>
      </c>
      <c r="ECU11" t="s">
        <v>6984</v>
      </c>
      <c r="ECV11" t="s">
        <v>6984</v>
      </c>
      <c r="ECW11" t="s">
        <v>6984</v>
      </c>
      <c r="ECX11" t="s">
        <v>6984</v>
      </c>
      <c r="ECY11" t="s">
        <v>6984</v>
      </c>
      <c r="ECZ11" t="s">
        <v>6984</v>
      </c>
      <c r="EDA11" t="s">
        <v>6984</v>
      </c>
      <c r="EDB11" t="s">
        <v>6984</v>
      </c>
      <c r="EDC11" t="s">
        <v>6984</v>
      </c>
      <c r="EDD11" t="s">
        <v>6984</v>
      </c>
      <c r="EDE11" t="s">
        <v>6984</v>
      </c>
      <c r="EDF11" t="s">
        <v>6984</v>
      </c>
      <c r="EDG11" t="s">
        <v>6984</v>
      </c>
      <c r="EDH11" t="s">
        <v>6984</v>
      </c>
      <c r="EDI11" t="s">
        <v>6984</v>
      </c>
      <c r="EDJ11" t="s">
        <v>6984</v>
      </c>
      <c r="EDK11" t="s">
        <v>6984</v>
      </c>
      <c r="EDL11" t="s">
        <v>6984</v>
      </c>
      <c r="EDM11" t="s">
        <v>6984</v>
      </c>
      <c r="EDN11" t="s">
        <v>6984</v>
      </c>
      <c r="EDO11" t="s">
        <v>6984</v>
      </c>
      <c r="EDP11" t="s">
        <v>6984</v>
      </c>
      <c r="EDQ11" t="s">
        <v>6984</v>
      </c>
      <c r="EDR11" t="s">
        <v>6984</v>
      </c>
      <c r="EDS11" t="s">
        <v>6984</v>
      </c>
      <c r="EDT11" t="s">
        <v>6984</v>
      </c>
      <c r="EDU11" t="s">
        <v>6984</v>
      </c>
      <c r="EDV11" t="s">
        <v>6984</v>
      </c>
      <c r="EDW11" t="s">
        <v>6984</v>
      </c>
      <c r="EDX11" t="s">
        <v>6984</v>
      </c>
      <c r="EDY11" t="s">
        <v>6984</v>
      </c>
      <c r="EDZ11" t="s">
        <v>6984</v>
      </c>
      <c r="EEA11" t="s">
        <v>6984</v>
      </c>
      <c r="EEB11" t="s">
        <v>6984</v>
      </c>
      <c r="EEC11" t="s">
        <v>6984</v>
      </c>
      <c r="EED11" t="s">
        <v>6984</v>
      </c>
      <c r="EEE11" t="s">
        <v>6984</v>
      </c>
      <c r="EEF11" t="s">
        <v>6984</v>
      </c>
      <c r="EEG11" t="s">
        <v>6984</v>
      </c>
      <c r="EEH11" t="s">
        <v>6984</v>
      </c>
      <c r="EEI11" t="s">
        <v>6984</v>
      </c>
      <c r="EEJ11" t="s">
        <v>6984</v>
      </c>
      <c r="EEK11" t="s">
        <v>6984</v>
      </c>
      <c r="EEL11" t="s">
        <v>6984</v>
      </c>
      <c r="EEM11" t="s">
        <v>6984</v>
      </c>
      <c r="EEN11" t="s">
        <v>6984</v>
      </c>
      <c r="EEO11" t="s">
        <v>6984</v>
      </c>
      <c r="EEP11" t="s">
        <v>6984</v>
      </c>
      <c r="EEQ11" t="s">
        <v>6984</v>
      </c>
      <c r="EER11" t="s">
        <v>6984</v>
      </c>
      <c r="EES11" t="s">
        <v>6984</v>
      </c>
      <c r="EET11" t="s">
        <v>6984</v>
      </c>
      <c r="EEU11" t="s">
        <v>6984</v>
      </c>
      <c r="EEV11" t="s">
        <v>6984</v>
      </c>
      <c r="EEW11" t="s">
        <v>6984</v>
      </c>
      <c r="EEX11" t="s">
        <v>6984</v>
      </c>
      <c r="EEY11" t="s">
        <v>6984</v>
      </c>
      <c r="EEZ11" t="s">
        <v>6984</v>
      </c>
      <c r="EFA11" t="s">
        <v>6984</v>
      </c>
      <c r="EFB11" t="s">
        <v>6984</v>
      </c>
      <c r="EFC11" t="s">
        <v>6984</v>
      </c>
      <c r="EFD11" t="s">
        <v>6984</v>
      </c>
      <c r="EFE11" t="s">
        <v>6984</v>
      </c>
      <c r="EFF11" t="s">
        <v>6984</v>
      </c>
      <c r="EFG11" t="s">
        <v>6984</v>
      </c>
      <c r="EFH11" t="s">
        <v>6984</v>
      </c>
      <c r="EFI11" t="s">
        <v>6984</v>
      </c>
      <c r="EFJ11" t="s">
        <v>6984</v>
      </c>
      <c r="EFK11" t="s">
        <v>6984</v>
      </c>
      <c r="EFL11" t="s">
        <v>6984</v>
      </c>
      <c r="EFM11" t="s">
        <v>6984</v>
      </c>
      <c r="EFN11" t="s">
        <v>6984</v>
      </c>
      <c r="EFO11" t="s">
        <v>6984</v>
      </c>
      <c r="EFP11" t="s">
        <v>6984</v>
      </c>
      <c r="EFQ11" t="s">
        <v>6984</v>
      </c>
      <c r="EFR11" t="s">
        <v>6984</v>
      </c>
      <c r="EFS11" t="s">
        <v>6984</v>
      </c>
      <c r="EFT11" t="s">
        <v>6984</v>
      </c>
      <c r="EFU11" t="s">
        <v>6984</v>
      </c>
      <c r="EFV11" t="s">
        <v>6984</v>
      </c>
      <c r="EFW11" t="s">
        <v>6984</v>
      </c>
      <c r="EFX11" t="s">
        <v>6984</v>
      </c>
      <c r="EFY11" t="s">
        <v>6984</v>
      </c>
      <c r="EFZ11" t="s">
        <v>6984</v>
      </c>
      <c r="EGA11" t="s">
        <v>6984</v>
      </c>
      <c r="EGB11" t="s">
        <v>6984</v>
      </c>
      <c r="EGC11" t="s">
        <v>6984</v>
      </c>
      <c r="EGD11" t="s">
        <v>6984</v>
      </c>
      <c r="EGE11" t="s">
        <v>6984</v>
      </c>
      <c r="EGF11" t="s">
        <v>6984</v>
      </c>
      <c r="EGG11" t="s">
        <v>6984</v>
      </c>
      <c r="EGH11" t="s">
        <v>6984</v>
      </c>
      <c r="EGI11" t="s">
        <v>6984</v>
      </c>
      <c r="EGJ11" t="s">
        <v>6984</v>
      </c>
      <c r="EGK11" t="s">
        <v>6984</v>
      </c>
      <c r="EGL11" t="s">
        <v>6984</v>
      </c>
      <c r="EGM11" t="s">
        <v>6984</v>
      </c>
      <c r="EGN11" t="s">
        <v>6984</v>
      </c>
      <c r="EGO11" t="s">
        <v>6984</v>
      </c>
      <c r="EGP11" t="s">
        <v>6984</v>
      </c>
      <c r="EGQ11" t="s">
        <v>6984</v>
      </c>
      <c r="EGR11" t="s">
        <v>6984</v>
      </c>
      <c r="EGS11" t="s">
        <v>6984</v>
      </c>
      <c r="EGT11" t="s">
        <v>6984</v>
      </c>
      <c r="EGU11" t="s">
        <v>6984</v>
      </c>
      <c r="EGV11" t="s">
        <v>6984</v>
      </c>
      <c r="EGW11" t="s">
        <v>6984</v>
      </c>
      <c r="EGX11" t="s">
        <v>6984</v>
      </c>
      <c r="EGY11" t="s">
        <v>6984</v>
      </c>
      <c r="EGZ11" t="s">
        <v>6984</v>
      </c>
      <c r="EHA11" t="s">
        <v>6984</v>
      </c>
      <c r="EHB11" t="s">
        <v>6984</v>
      </c>
      <c r="EHC11" t="s">
        <v>6984</v>
      </c>
      <c r="EHD11" t="s">
        <v>6984</v>
      </c>
      <c r="EHE11" t="s">
        <v>6984</v>
      </c>
      <c r="EHF11" t="s">
        <v>6984</v>
      </c>
      <c r="EHG11" t="s">
        <v>6984</v>
      </c>
      <c r="EHH11" t="s">
        <v>6984</v>
      </c>
      <c r="EHI11" t="s">
        <v>6984</v>
      </c>
      <c r="EHJ11" t="s">
        <v>6984</v>
      </c>
      <c r="EHK11" t="s">
        <v>6984</v>
      </c>
      <c r="EHL11" t="s">
        <v>6984</v>
      </c>
      <c r="EHM11" t="s">
        <v>6984</v>
      </c>
      <c r="EHN11" t="s">
        <v>6984</v>
      </c>
      <c r="EHO11" t="s">
        <v>6984</v>
      </c>
      <c r="EHP11" t="s">
        <v>6984</v>
      </c>
      <c r="EHQ11" t="s">
        <v>6984</v>
      </c>
      <c r="EHR11" t="s">
        <v>6984</v>
      </c>
      <c r="EHS11" t="s">
        <v>6984</v>
      </c>
      <c r="EHT11" t="s">
        <v>6984</v>
      </c>
      <c r="EHU11" t="s">
        <v>6984</v>
      </c>
      <c r="EHV11" t="s">
        <v>6984</v>
      </c>
      <c r="EHW11" t="s">
        <v>6984</v>
      </c>
      <c r="EHX11" t="s">
        <v>6984</v>
      </c>
      <c r="EHY11" t="s">
        <v>6984</v>
      </c>
      <c r="EHZ11" t="s">
        <v>6984</v>
      </c>
      <c r="EIA11" t="s">
        <v>6984</v>
      </c>
      <c r="EIB11" t="s">
        <v>6984</v>
      </c>
      <c r="EIC11" t="s">
        <v>6984</v>
      </c>
      <c r="EID11" t="s">
        <v>6984</v>
      </c>
      <c r="EIE11" t="s">
        <v>6984</v>
      </c>
      <c r="EIF11" t="s">
        <v>6984</v>
      </c>
      <c r="EIG11" t="s">
        <v>6984</v>
      </c>
      <c r="EIH11" t="s">
        <v>6984</v>
      </c>
      <c r="EII11" t="s">
        <v>6984</v>
      </c>
      <c r="EIJ11" t="s">
        <v>6984</v>
      </c>
      <c r="EIK11" t="s">
        <v>6984</v>
      </c>
      <c r="EIL11" t="s">
        <v>6984</v>
      </c>
      <c r="EIM11" t="s">
        <v>6984</v>
      </c>
      <c r="EIN11" t="s">
        <v>6984</v>
      </c>
      <c r="EIO11" t="s">
        <v>6984</v>
      </c>
      <c r="EIP11" t="s">
        <v>6984</v>
      </c>
      <c r="EIQ11" t="s">
        <v>6984</v>
      </c>
      <c r="EIR11" t="s">
        <v>6984</v>
      </c>
      <c r="EIS11" t="s">
        <v>6984</v>
      </c>
      <c r="EIT11" t="s">
        <v>6984</v>
      </c>
      <c r="EIU11" t="s">
        <v>6984</v>
      </c>
      <c r="EIV11" t="s">
        <v>6984</v>
      </c>
      <c r="EIW11" t="s">
        <v>6984</v>
      </c>
      <c r="EIX11" t="s">
        <v>6984</v>
      </c>
      <c r="EIY11" t="s">
        <v>6984</v>
      </c>
      <c r="EIZ11" t="s">
        <v>6984</v>
      </c>
      <c r="EJA11" t="s">
        <v>6984</v>
      </c>
      <c r="EJB11" t="s">
        <v>6984</v>
      </c>
      <c r="EJC11" t="s">
        <v>6984</v>
      </c>
      <c r="EJD11" t="s">
        <v>6984</v>
      </c>
      <c r="EJE11" t="s">
        <v>6984</v>
      </c>
      <c r="EJF11" t="s">
        <v>6984</v>
      </c>
      <c r="EJG11" t="s">
        <v>6984</v>
      </c>
      <c r="EJH11" t="s">
        <v>6984</v>
      </c>
      <c r="EJI11" t="s">
        <v>6984</v>
      </c>
      <c r="EJJ11" t="s">
        <v>6984</v>
      </c>
      <c r="EJK11" t="s">
        <v>6984</v>
      </c>
      <c r="EJL11" t="s">
        <v>6984</v>
      </c>
      <c r="EJM11" t="s">
        <v>6984</v>
      </c>
      <c r="EJN11" t="s">
        <v>6984</v>
      </c>
      <c r="EJO11" t="s">
        <v>6984</v>
      </c>
      <c r="EJP11" t="s">
        <v>6984</v>
      </c>
      <c r="EJQ11" t="s">
        <v>6984</v>
      </c>
      <c r="EJR11" t="s">
        <v>6984</v>
      </c>
      <c r="EJS11" t="s">
        <v>6984</v>
      </c>
      <c r="EJT11" t="s">
        <v>6984</v>
      </c>
      <c r="EJU11" t="s">
        <v>6984</v>
      </c>
      <c r="EJV11" t="s">
        <v>6984</v>
      </c>
      <c r="EJW11" t="s">
        <v>6984</v>
      </c>
      <c r="EJX11" t="s">
        <v>6984</v>
      </c>
      <c r="EJY11" t="s">
        <v>6984</v>
      </c>
      <c r="EJZ11" t="s">
        <v>6984</v>
      </c>
      <c r="EKA11" t="s">
        <v>6984</v>
      </c>
      <c r="EKB11" t="s">
        <v>6984</v>
      </c>
      <c r="EKC11" t="s">
        <v>6984</v>
      </c>
      <c r="EKD11" t="s">
        <v>6984</v>
      </c>
      <c r="EKE11" t="s">
        <v>6984</v>
      </c>
      <c r="EKF11" t="s">
        <v>6984</v>
      </c>
      <c r="EKG11" t="s">
        <v>6984</v>
      </c>
      <c r="EKH11" t="s">
        <v>6984</v>
      </c>
      <c r="EKI11" t="s">
        <v>6984</v>
      </c>
      <c r="EKJ11" t="s">
        <v>6984</v>
      </c>
      <c r="EKK11" t="s">
        <v>6984</v>
      </c>
      <c r="EKL11" t="s">
        <v>6984</v>
      </c>
      <c r="EKM11" t="s">
        <v>6984</v>
      </c>
      <c r="EKN11" t="s">
        <v>6984</v>
      </c>
      <c r="EKO11" t="s">
        <v>6984</v>
      </c>
      <c r="EKP11" t="s">
        <v>6984</v>
      </c>
      <c r="EKQ11" t="s">
        <v>6984</v>
      </c>
      <c r="EKR11" t="s">
        <v>6984</v>
      </c>
      <c r="EKS11" t="s">
        <v>6984</v>
      </c>
      <c r="EKT11" t="s">
        <v>6984</v>
      </c>
      <c r="EKU11" t="s">
        <v>6984</v>
      </c>
      <c r="EKV11" t="s">
        <v>6984</v>
      </c>
      <c r="EKW11" t="s">
        <v>6984</v>
      </c>
      <c r="EKX11" t="s">
        <v>6984</v>
      </c>
      <c r="EKY11" t="s">
        <v>6984</v>
      </c>
      <c r="EKZ11" t="s">
        <v>6984</v>
      </c>
      <c r="ELA11" t="s">
        <v>6984</v>
      </c>
      <c r="ELB11" t="s">
        <v>6984</v>
      </c>
      <c r="ELC11" t="s">
        <v>6984</v>
      </c>
      <c r="ELD11" t="s">
        <v>6984</v>
      </c>
      <c r="ELE11" t="s">
        <v>6984</v>
      </c>
      <c r="ELF11" t="s">
        <v>6984</v>
      </c>
      <c r="ELG11" t="s">
        <v>6984</v>
      </c>
      <c r="ELH11" t="s">
        <v>6984</v>
      </c>
      <c r="ELI11" t="s">
        <v>6984</v>
      </c>
      <c r="ELJ11" t="s">
        <v>6984</v>
      </c>
      <c r="ELK11" t="s">
        <v>6984</v>
      </c>
      <c r="ELL11" t="s">
        <v>6984</v>
      </c>
      <c r="ELM11" t="s">
        <v>6984</v>
      </c>
      <c r="ELN11" t="s">
        <v>6984</v>
      </c>
      <c r="ELO11" t="s">
        <v>6984</v>
      </c>
      <c r="ELP11" t="s">
        <v>6984</v>
      </c>
      <c r="ELQ11" t="s">
        <v>6984</v>
      </c>
      <c r="ELR11" t="s">
        <v>6984</v>
      </c>
      <c r="ELS11" t="s">
        <v>6984</v>
      </c>
      <c r="ELT11" t="s">
        <v>6984</v>
      </c>
      <c r="ELU11" t="s">
        <v>6984</v>
      </c>
      <c r="ELV11" t="s">
        <v>6984</v>
      </c>
      <c r="ELW11" t="s">
        <v>6984</v>
      </c>
      <c r="ELX11" t="s">
        <v>6984</v>
      </c>
      <c r="ELY11" t="s">
        <v>6984</v>
      </c>
      <c r="ELZ11" t="s">
        <v>6984</v>
      </c>
      <c r="EMA11" t="s">
        <v>6984</v>
      </c>
      <c r="EMB11" t="s">
        <v>6984</v>
      </c>
      <c r="EMC11" t="s">
        <v>6984</v>
      </c>
      <c r="EMD11" t="s">
        <v>6984</v>
      </c>
      <c r="EME11" t="s">
        <v>6984</v>
      </c>
      <c r="EMF11" t="s">
        <v>6984</v>
      </c>
      <c r="EMG11" t="s">
        <v>6984</v>
      </c>
      <c r="EMH11" t="s">
        <v>6984</v>
      </c>
      <c r="EMI11" t="s">
        <v>6984</v>
      </c>
      <c r="EMJ11" t="s">
        <v>6984</v>
      </c>
      <c r="EMK11" t="s">
        <v>6984</v>
      </c>
      <c r="EML11" t="s">
        <v>6984</v>
      </c>
      <c r="EMM11" t="s">
        <v>6984</v>
      </c>
      <c r="EMN11" t="s">
        <v>6984</v>
      </c>
      <c r="EMO11" t="s">
        <v>6984</v>
      </c>
      <c r="EMP11" t="s">
        <v>6984</v>
      </c>
      <c r="EMQ11" t="s">
        <v>6984</v>
      </c>
      <c r="EMR11" t="s">
        <v>6984</v>
      </c>
      <c r="EMS11" t="s">
        <v>6984</v>
      </c>
      <c r="EMT11" t="s">
        <v>6984</v>
      </c>
      <c r="EMU11" t="s">
        <v>6984</v>
      </c>
      <c r="EMV11" t="s">
        <v>6984</v>
      </c>
      <c r="EMW11" t="s">
        <v>6984</v>
      </c>
      <c r="EMX11" t="s">
        <v>6984</v>
      </c>
      <c r="EMY11" t="s">
        <v>6984</v>
      </c>
      <c r="EMZ11" t="s">
        <v>6984</v>
      </c>
      <c r="ENA11" t="s">
        <v>6984</v>
      </c>
      <c r="ENB11" t="s">
        <v>6984</v>
      </c>
      <c r="ENC11" t="s">
        <v>6984</v>
      </c>
      <c r="END11" t="s">
        <v>6984</v>
      </c>
      <c r="ENE11" t="s">
        <v>6984</v>
      </c>
      <c r="ENF11" t="s">
        <v>6984</v>
      </c>
      <c r="ENG11" t="s">
        <v>6984</v>
      </c>
      <c r="ENH11" t="s">
        <v>6984</v>
      </c>
      <c r="ENI11" t="s">
        <v>6984</v>
      </c>
      <c r="ENJ11" t="s">
        <v>6984</v>
      </c>
      <c r="ENK11" t="s">
        <v>6984</v>
      </c>
      <c r="ENL11" t="s">
        <v>6984</v>
      </c>
      <c r="ENM11" t="s">
        <v>6984</v>
      </c>
      <c r="ENN11" t="s">
        <v>6984</v>
      </c>
      <c r="ENO11" t="s">
        <v>6984</v>
      </c>
      <c r="ENP11" t="s">
        <v>6984</v>
      </c>
      <c r="ENQ11" t="s">
        <v>6984</v>
      </c>
      <c r="ENR11" t="s">
        <v>6984</v>
      </c>
      <c r="ENS11" t="s">
        <v>6984</v>
      </c>
      <c r="ENT11" t="s">
        <v>6984</v>
      </c>
      <c r="ENU11" t="s">
        <v>6984</v>
      </c>
      <c r="ENV11" t="s">
        <v>6984</v>
      </c>
      <c r="ENW11" t="s">
        <v>6984</v>
      </c>
      <c r="ENX11" t="s">
        <v>6984</v>
      </c>
      <c r="ENY11" t="s">
        <v>6984</v>
      </c>
      <c r="ENZ11" t="s">
        <v>6984</v>
      </c>
      <c r="EOA11" t="s">
        <v>6984</v>
      </c>
      <c r="EOB11" t="s">
        <v>6984</v>
      </c>
      <c r="EOC11" t="s">
        <v>6984</v>
      </c>
      <c r="EOD11" t="s">
        <v>6984</v>
      </c>
      <c r="EOE11" t="s">
        <v>6984</v>
      </c>
      <c r="EOF11" t="s">
        <v>6984</v>
      </c>
      <c r="EOG11" t="s">
        <v>6984</v>
      </c>
      <c r="EOH11" t="s">
        <v>6984</v>
      </c>
      <c r="EOI11" t="s">
        <v>6984</v>
      </c>
      <c r="EOJ11" t="s">
        <v>6984</v>
      </c>
      <c r="EOK11" t="s">
        <v>6984</v>
      </c>
      <c r="EOL11" t="s">
        <v>6984</v>
      </c>
      <c r="EOM11" t="s">
        <v>6984</v>
      </c>
      <c r="EON11" t="s">
        <v>6984</v>
      </c>
      <c r="EOO11" t="s">
        <v>6984</v>
      </c>
      <c r="EOP11" t="s">
        <v>6984</v>
      </c>
      <c r="EOQ11" t="s">
        <v>6984</v>
      </c>
      <c r="EOR11" t="s">
        <v>6984</v>
      </c>
      <c r="EOS11" t="s">
        <v>6984</v>
      </c>
      <c r="EOT11" t="s">
        <v>6984</v>
      </c>
      <c r="EOU11" t="s">
        <v>6984</v>
      </c>
      <c r="EOV11" t="s">
        <v>6984</v>
      </c>
      <c r="EOW11" t="s">
        <v>6984</v>
      </c>
      <c r="EOX11" t="s">
        <v>6984</v>
      </c>
      <c r="EOY11" t="s">
        <v>6984</v>
      </c>
      <c r="EOZ11" t="s">
        <v>6984</v>
      </c>
      <c r="EPA11" t="s">
        <v>6984</v>
      </c>
      <c r="EPB11" t="s">
        <v>6984</v>
      </c>
      <c r="EPC11" t="s">
        <v>6984</v>
      </c>
      <c r="EPD11" t="s">
        <v>6984</v>
      </c>
      <c r="EPE11" t="s">
        <v>6984</v>
      </c>
      <c r="EPF11" t="s">
        <v>6984</v>
      </c>
      <c r="EPG11" t="s">
        <v>6984</v>
      </c>
      <c r="EPH11" t="s">
        <v>6984</v>
      </c>
      <c r="EPI11" t="s">
        <v>6984</v>
      </c>
      <c r="EPJ11" t="s">
        <v>6984</v>
      </c>
      <c r="EPK11" t="s">
        <v>6984</v>
      </c>
      <c r="EPL11" t="s">
        <v>6984</v>
      </c>
      <c r="EPM11" t="s">
        <v>6984</v>
      </c>
      <c r="EPN11" t="s">
        <v>6984</v>
      </c>
      <c r="EPO11" t="s">
        <v>6984</v>
      </c>
      <c r="EPP11" t="s">
        <v>6984</v>
      </c>
      <c r="EPQ11" t="s">
        <v>6984</v>
      </c>
      <c r="EPR11" t="s">
        <v>6984</v>
      </c>
      <c r="EPS11" t="s">
        <v>6984</v>
      </c>
      <c r="EPT11" t="s">
        <v>6984</v>
      </c>
      <c r="EPU11" t="s">
        <v>6984</v>
      </c>
      <c r="EPV11" t="s">
        <v>6984</v>
      </c>
      <c r="EPW11" t="s">
        <v>6984</v>
      </c>
      <c r="EPX11" t="s">
        <v>6984</v>
      </c>
      <c r="EPY11" t="s">
        <v>6984</v>
      </c>
      <c r="EPZ11" t="s">
        <v>6984</v>
      </c>
      <c r="EQA11" t="s">
        <v>6984</v>
      </c>
      <c r="EQB11" t="s">
        <v>6984</v>
      </c>
      <c r="EQC11" t="s">
        <v>6984</v>
      </c>
      <c r="EQD11" t="s">
        <v>6984</v>
      </c>
      <c r="EQE11" t="s">
        <v>6984</v>
      </c>
      <c r="EQF11" t="s">
        <v>6984</v>
      </c>
      <c r="EQG11" t="s">
        <v>6984</v>
      </c>
      <c r="EQH11" t="s">
        <v>6984</v>
      </c>
      <c r="EQI11" t="s">
        <v>6984</v>
      </c>
      <c r="EQJ11" t="s">
        <v>6984</v>
      </c>
      <c r="EQK11" t="s">
        <v>6984</v>
      </c>
      <c r="EQL11" t="s">
        <v>6984</v>
      </c>
      <c r="EQM11" t="s">
        <v>6984</v>
      </c>
      <c r="EQN11" t="s">
        <v>6984</v>
      </c>
      <c r="EQO11" t="s">
        <v>6984</v>
      </c>
      <c r="EQP11" t="s">
        <v>6984</v>
      </c>
      <c r="EQQ11" t="s">
        <v>6984</v>
      </c>
      <c r="EQR11" t="s">
        <v>6984</v>
      </c>
      <c r="EQS11" t="s">
        <v>6984</v>
      </c>
      <c r="EQT11" t="s">
        <v>6984</v>
      </c>
      <c r="EQU11" t="s">
        <v>6984</v>
      </c>
      <c r="EQV11" t="s">
        <v>6984</v>
      </c>
      <c r="EQW11" t="s">
        <v>6984</v>
      </c>
      <c r="EQX11" t="s">
        <v>6984</v>
      </c>
      <c r="EQY11" t="s">
        <v>6984</v>
      </c>
      <c r="EQZ11" t="s">
        <v>6984</v>
      </c>
      <c r="ERA11" t="s">
        <v>6984</v>
      </c>
      <c r="ERB11" t="s">
        <v>6984</v>
      </c>
      <c r="ERC11" t="s">
        <v>6984</v>
      </c>
      <c r="ERD11" t="s">
        <v>6984</v>
      </c>
      <c r="ERE11" t="s">
        <v>6984</v>
      </c>
      <c r="ERF11" t="s">
        <v>6984</v>
      </c>
      <c r="ERG11" t="s">
        <v>6984</v>
      </c>
      <c r="ERH11" t="s">
        <v>6984</v>
      </c>
      <c r="ERI11" t="s">
        <v>6984</v>
      </c>
      <c r="ERJ11" t="s">
        <v>6984</v>
      </c>
      <c r="ERK11" t="s">
        <v>6984</v>
      </c>
      <c r="ERL11" t="s">
        <v>6984</v>
      </c>
      <c r="ERM11" t="s">
        <v>6984</v>
      </c>
      <c r="ERN11" t="s">
        <v>6984</v>
      </c>
      <c r="ERO11" t="s">
        <v>6984</v>
      </c>
      <c r="ERP11" t="s">
        <v>6984</v>
      </c>
      <c r="ERQ11" t="s">
        <v>6984</v>
      </c>
      <c r="ERR11" t="s">
        <v>6984</v>
      </c>
      <c r="ERS11" t="s">
        <v>6984</v>
      </c>
      <c r="ERT11" t="s">
        <v>6984</v>
      </c>
      <c r="ERU11" t="s">
        <v>6984</v>
      </c>
      <c r="ERV11" t="s">
        <v>6984</v>
      </c>
      <c r="ERW11" t="s">
        <v>6984</v>
      </c>
      <c r="ERX11" t="s">
        <v>6984</v>
      </c>
      <c r="ERY11" t="s">
        <v>6984</v>
      </c>
      <c r="ERZ11" t="s">
        <v>6984</v>
      </c>
      <c r="ESA11" t="s">
        <v>6984</v>
      </c>
      <c r="ESB11" t="s">
        <v>6984</v>
      </c>
      <c r="ESC11" t="s">
        <v>6984</v>
      </c>
      <c r="ESD11" t="s">
        <v>6984</v>
      </c>
      <c r="ESE11" t="s">
        <v>6984</v>
      </c>
      <c r="ESF11" t="s">
        <v>6984</v>
      </c>
      <c r="ESG11" t="s">
        <v>6984</v>
      </c>
      <c r="ESH11" t="s">
        <v>6984</v>
      </c>
      <c r="ESI11" t="s">
        <v>6984</v>
      </c>
      <c r="ESJ11" t="s">
        <v>6984</v>
      </c>
      <c r="ESK11" t="s">
        <v>6984</v>
      </c>
      <c r="ESL11" t="s">
        <v>6984</v>
      </c>
      <c r="ESM11" t="s">
        <v>6984</v>
      </c>
      <c r="ESN11" t="s">
        <v>6984</v>
      </c>
      <c r="ESO11" t="s">
        <v>6984</v>
      </c>
      <c r="ESP11" t="s">
        <v>6984</v>
      </c>
      <c r="ESQ11" t="s">
        <v>6984</v>
      </c>
      <c r="ESR11" t="s">
        <v>6984</v>
      </c>
      <c r="ESS11" t="s">
        <v>6984</v>
      </c>
      <c r="EST11" t="s">
        <v>6984</v>
      </c>
      <c r="ESU11" t="s">
        <v>6984</v>
      </c>
      <c r="ESV11" t="s">
        <v>6984</v>
      </c>
      <c r="ESW11" t="s">
        <v>6984</v>
      </c>
      <c r="ESX11" t="s">
        <v>6984</v>
      </c>
      <c r="ESY11" t="s">
        <v>6984</v>
      </c>
      <c r="ESZ11" t="s">
        <v>6984</v>
      </c>
      <c r="ETA11" t="s">
        <v>6984</v>
      </c>
      <c r="ETB11" t="s">
        <v>6984</v>
      </c>
      <c r="ETC11" t="s">
        <v>6984</v>
      </c>
      <c r="ETD11" t="s">
        <v>6984</v>
      </c>
      <c r="ETE11" t="s">
        <v>6984</v>
      </c>
      <c r="ETF11" t="s">
        <v>6984</v>
      </c>
      <c r="ETG11" t="s">
        <v>6984</v>
      </c>
      <c r="ETH11" t="s">
        <v>6984</v>
      </c>
      <c r="ETI11" t="s">
        <v>6984</v>
      </c>
      <c r="ETJ11" t="s">
        <v>6984</v>
      </c>
      <c r="ETK11" t="s">
        <v>6984</v>
      </c>
      <c r="ETL11" t="s">
        <v>6984</v>
      </c>
      <c r="ETM11" t="s">
        <v>6984</v>
      </c>
      <c r="ETN11" t="s">
        <v>6984</v>
      </c>
      <c r="ETO11" t="s">
        <v>6984</v>
      </c>
      <c r="ETP11" t="s">
        <v>6984</v>
      </c>
      <c r="ETQ11" t="s">
        <v>6984</v>
      </c>
      <c r="ETR11" t="s">
        <v>6984</v>
      </c>
      <c r="ETS11" t="s">
        <v>6984</v>
      </c>
      <c r="ETT11" t="s">
        <v>6984</v>
      </c>
      <c r="ETU11" t="s">
        <v>6984</v>
      </c>
      <c r="ETV11" t="s">
        <v>6984</v>
      </c>
      <c r="ETW11" t="s">
        <v>6984</v>
      </c>
      <c r="ETX11" t="s">
        <v>6984</v>
      </c>
      <c r="ETY11" t="s">
        <v>6984</v>
      </c>
      <c r="ETZ11" t="s">
        <v>6984</v>
      </c>
      <c r="EUA11" t="s">
        <v>6984</v>
      </c>
      <c r="EUB11" t="s">
        <v>6984</v>
      </c>
      <c r="EUC11" t="s">
        <v>6984</v>
      </c>
      <c r="EUD11" t="s">
        <v>6984</v>
      </c>
      <c r="EUE11" t="s">
        <v>6984</v>
      </c>
      <c r="EUF11" t="s">
        <v>6984</v>
      </c>
      <c r="EUG11" t="s">
        <v>6984</v>
      </c>
      <c r="EUH11" t="s">
        <v>6984</v>
      </c>
      <c r="EUI11" t="s">
        <v>6984</v>
      </c>
      <c r="EUJ11" t="s">
        <v>6984</v>
      </c>
      <c r="EUK11" t="s">
        <v>6984</v>
      </c>
      <c r="EUL11" t="s">
        <v>6984</v>
      </c>
      <c r="EUM11" t="s">
        <v>6984</v>
      </c>
      <c r="EUN11" t="s">
        <v>6984</v>
      </c>
      <c r="EUO11" t="s">
        <v>6984</v>
      </c>
      <c r="EUP11" t="s">
        <v>6984</v>
      </c>
      <c r="EUQ11" t="s">
        <v>6984</v>
      </c>
      <c r="EUR11" t="s">
        <v>6984</v>
      </c>
      <c r="EUS11" t="s">
        <v>6984</v>
      </c>
      <c r="EUT11" t="s">
        <v>6984</v>
      </c>
      <c r="EUU11" t="s">
        <v>6984</v>
      </c>
      <c r="EUV11" t="s">
        <v>6984</v>
      </c>
      <c r="EUW11" t="s">
        <v>6984</v>
      </c>
      <c r="EUX11" t="s">
        <v>6984</v>
      </c>
      <c r="EUY11" t="s">
        <v>6984</v>
      </c>
      <c r="EUZ11" t="s">
        <v>6984</v>
      </c>
      <c r="EVA11" t="s">
        <v>6984</v>
      </c>
      <c r="EVB11" t="s">
        <v>6984</v>
      </c>
      <c r="EVC11" t="s">
        <v>6984</v>
      </c>
      <c r="EVD11" t="s">
        <v>6984</v>
      </c>
      <c r="EVE11" t="s">
        <v>6984</v>
      </c>
      <c r="EVF11" t="s">
        <v>6984</v>
      </c>
      <c r="EVG11" t="s">
        <v>6984</v>
      </c>
      <c r="EVH11" t="s">
        <v>6984</v>
      </c>
      <c r="EVI11" t="s">
        <v>6984</v>
      </c>
      <c r="EVJ11" t="s">
        <v>6984</v>
      </c>
      <c r="EVK11" t="s">
        <v>6984</v>
      </c>
      <c r="EVL11" t="s">
        <v>6984</v>
      </c>
      <c r="EVM11" t="s">
        <v>6984</v>
      </c>
      <c r="EVN11" t="s">
        <v>6984</v>
      </c>
      <c r="EVO11" t="s">
        <v>6984</v>
      </c>
      <c r="EVP11" t="s">
        <v>6984</v>
      </c>
      <c r="EVQ11" t="s">
        <v>6984</v>
      </c>
      <c r="EVR11" t="s">
        <v>6984</v>
      </c>
      <c r="EVS11" t="s">
        <v>6984</v>
      </c>
      <c r="EVT11" t="s">
        <v>6984</v>
      </c>
      <c r="EVU11" t="s">
        <v>6984</v>
      </c>
      <c r="EVV11" t="s">
        <v>6984</v>
      </c>
      <c r="EVW11" t="s">
        <v>6984</v>
      </c>
      <c r="EVX11" t="s">
        <v>6984</v>
      </c>
      <c r="EVY11" t="s">
        <v>6984</v>
      </c>
      <c r="EVZ11" t="s">
        <v>6984</v>
      </c>
      <c r="EWA11" t="s">
        <v>6984</v>
      </c>
      <c r="EWB11" t="s">
        <v>6984</v>
      </c>
      <c r="EWC11" t="s">
        <v>6984</v>
      </c>
      <c r="EWD11" t="s">
        <v>6984</v>
      </c>
      <c r="EWE11" t="s">
        <v>6984</v>
      </c>
      <c r="EWF11" t="s">
        <v>6984</v>
      </c>
      <c r="EWG11" t="s">
        <v>6984</v>
      </c>
      <c r="EWH11" t="s">
        <v>6984</v>
      </c>
      <c r="EWI11" t="s">
        <v>6984</v>
      </c>
      <c r="EWJ11" t="s">
        <v>6984</v>
      </c>
      <c r="EWK11" t="s">
        <v>6984</v>
      </c>
      <c r="EWL11" t="s">
        <v>6984</v>
      </c>
      <c r="EWM11" t="s">
        <v>6984</v>
      </c>
      <c r="EWN11" t="s">
        <v>6984</v>
      </c>
      <c r="EWO11" t="s">
        <v>6984</v>
      </c>
      <c r="EWP11" t="s">
        <v>6984</v>
      </c>
      <c r="EWQ11" t="s">
        <v>6984</v>
      </c>
      <c r="EWR11" t="s">
        <v>6984</v>
      </c>
      <c r="EWS11" t="s">
        <v>6984</v>
      </c>
      <c r="EWT11" t="s">
        <v>6984</v>
      </c>
      <c r="EWU11" t="s">
        <v>6984</v>
      </c>
      <c r="EWV11" t="s">
        <v>6984</v>
      </c>
      <c r="EWW11" t="s">
        <v>6984</v>
      </c>
      <c r="EWX11" t="s">
        <v>6984</v>
      </c>
      <c r="EWY11" t="s">
        <v>6984</v>
      </c>
      <c r="EWZ11" t="s">
        <v>6984</v>
      </c>
      <c r="EXA11" t="s">
        <v>6984</v>
      </c>
      <c r="EXB11" t="s">
        <v>6984</v>
      </c>
      <c r="EXC11" t="s">
        <v>6984</v>
      </c>
      <c r="EXD11" t="s">
        <v>6984</v>
      </c>
      <c r="EXE11" t="s">
        <v>6984</v>
      </c>
      <c r="EXF11" t="s">
        <v>6984</v>
      </c>
      <c r="EXG11" t="s">
        <v>6984</v>
      </c>
      <c r="EXH11" t="s">
        <v>6984</v>
      </c>
      <c r="EXI11" t="s">
        <v>6984</v>
      </c>
      <c r="EXJ11" t="s">
        <v>6984</v>
      </c>
      <c r="EXK11" t="s">
        <v>6984</v>
      </c>
      <c r="EXL11" t="s">
        <v>6984</v>
      </c>
      <c r="EXM11" t="s">
        <v>6984</v>
      </c>
      <c r="EXN11" t="s">
        <v>6984</v>
      </c>
      <c r="EXO11" t="s">
        <v>6984</v>
      </c>
      <c r="EXP11" t="s">
        <v>6984</v>
      </c>
      <c r="EXQ11" t="s">
        <v>6984</v>
      </c>
      <c r="EXR11" t="s">
        <v>6984</v>
      </c>
      <c r="EXS11" t="s">
        <v>6984</v>
      </c>
      <c r="EXT11" t="s">
        <v>6984</v>
      </c>
      <c r="EXU11" t="s">
        <v>6984</v>
      </c>
      <c r="EXV11" t="s">
        <v>6984</v>
      </c>
      <c r="EXW11" t="s">
        <v>6984</v>
      </c>
      <c r="EXX11" t="s">
        <v>6984</v>
      </c>
      <c r="EXY11" t="s">
        <v>6984</v>
      </c>
      <c r="EXZ11" t="s">
        <v>6984</v>
      </c>
      <c r="EYA11" t="s">
        <v>6984</v>
      </c>
      <c r="EYB11" t="s">
        <v>6984</v>
      </c>
      <c r="EYC11" t="s">
        <v>6984</v>
      </c>
      <c r="EYD11" t="s">
        <v>6984</v>
      </c>
      <c r="EYE11" t="s">
        <v>6984</v>
      </c>
      <c r="EYF11" t="s">
        <v>6984</v>
      </c>
      <c r="EYG11" t="s">
        <v>6984</v>
      </c>
      <c r="EYH11" t="s">
        <v>6984</v>
      </c>
      <c r="EYI11" t="s">
        <v>6984</v>
      </c>
      <c r="EYJ11" t="s">
        <v>6984</v>
      </c>
      <c r="EYK11" t="s">
        <v>6984</v>
      </c>
      <c r="EYL11" t="s">
        <v>6984</v>
      </c>
      <c r="EYM11" t="s">
        <v>6984</v>
      </c>
      <c r="EYN11" t="s">
        <v>6984</v>
      </c>
      <c r="EYO11" t="s">
        <v>6984</v>
      </c>
      <c r="EYP11" t="s">
        <v>6984</v>
      </c>
      <c r="EYQ11" t="s">
        <v>6984</v>
      </c>
      <c r="EYR11" t="s">
        <v>6984</v>
      </c>
      <c r="EYS11" t="s">
        <v>6984</v>
      </c>
      <c r="EYT11" t="s">
        <v>6984</v>
      </c>
      <c r="EYU11" t="s">
        <v>6984</v>
      </c>
      <c r="EYV11" t="s">
        <v>6984</v>
      </c>
      <c r="EYW11" t="s">
        <v>6984</v>
      </c>
      <c r="EYX11" t="s">
        <v>6984</v>
      </c>
      <c r="EYY11" t="s">
        <v>6984</v>
      </c>
      <c r="EYZ11" t="s">
        <v>6984</v>
      </c>
      <c r="EZA11" t="s">
        <v>6984</v>
      </c>
      <c r="EZB11" t="s">
        <v>6984</v>
      </c>
      <c r="EZC11" t="s">
        <v>6984</v>
      </c>
      <c r="EZD11" t="s">
        <v>6984</v>
      </c>
      <c r="EZE11" t="s">
        <v>6984</v>
      </c>
      <c r="EZF11" t="s">
        <v>6984</v>
      </c>
      <c r="EZG11" t="s">
        <v>6984</v>
      </c>
      <c r="EZH11" t="s">
        <v>6984</v>
      </c>
      <c r="EZI11" t="s">
        <v>6984</v>
      </c>
      <c r="EZJ11" t="s">
        <v>6984</v>
      </c>
      <c r="EZK11" t="s">
        <v>6984</v>
      </c>
      <c r="EZL11" t="s">
        <v>6984</v>
      </c>
      <c r="EZM11" t="s">
        <v>6984</v>
      </c>
      <c r="EZN11" t="s">
        <v>6984</v>
      </c>
      <c r="EZO11" t="s">
        <v>6984</v>
      </c>
      <c r="EZP11" t="s">
        <v>6984</v>
      </c>
      <c r="EZQ11" t="s">
        <v>6984</v>
      </c>
      <c r="EZR11" t="s">
        <v>6984</v>
      </c>
      <c r="EZS11" t="s">
        <v>6984</v>
      </c>
      <c r="EZT11" t="s">
        <v>6984</v>
      </c>
      <c r="EZU11" t="s">
        <v>6984</v>
      </c>
      <c r="EZV11" t="s">
        <v>6984</v>
      </c>
      <c r="EZW11" t="s">
        <v>6984</v>
      </c>
      <c r="EZX11" t="s">
        <v>6984</v>
      </c>
      <c r="EZY11" t="s">
        <v>6984</v>
      </c>
      <c r="EZZ11" t="s">
        <v>6984</v>
      </c>
      <c r="FAA11" t="s">
        <v>6984</v>
      </c>
      <c r="FAB11" t="s">
        <v>6984</v>
      </c>
      <c r="FAC11" t="s">
        <v>6984</v>
      </c>
      <c r="FAD11" t="s">
        <v>6984</v>
      </c>
      <c r="FAE11" t="s">
        <v>6984</v>
      </c>
      <c r="FAF11" t="s">
        <v>6984</v>
      </c>
      <c r="FAG11" t="s">
        <v>6984</v>
      </c>
      <c r="FAH11" t="s">
        <v>6984</v>
      </c>
      <c r="FAI11" t="s">
        <v>6984</v>
      </c>
      <c r="FAJ11" t="s">
        <v>6984</v>
      </c>
      <c r="FAK11" t="s">
        <v>6984</v>
      </c>
      <c r="FAL11" t="s">
        <v>6984</v>
      </c>
      <c r="FAM11" t="s">
        <v>6984</v>
      </c>
      <c r="FAN11" t="s">
        <v>6984</v>
      </c>
      <c r="FAO11" t="s">
        <v>6984</v>
      </c>
      <c r="FAP11" t="s">
        <v>6984</v>
      </c>
      <c r="FAQ11" t="s">
        <v>6984</v>
      </c>
      <c r="FAR11" t="s">
        <v>6984</v>
      </c>
      <c r="FAS11" t="s">
        <v>6984</v>
      </c>
      <c r="FAT11" t="s">
        <v>6984</v>
      </c>
      <c r="FAU11" t="s">
        <v>6984</v>
      </c>
      <c r="FAV11" t="s">
        <v>6984</v>
      </c>
      <c r="FAW11" t="s">
        <v>6984</v>
      </c>
      <c r="FAX11" t="s">
        <v>6984</v>
      </c>
      <c r="FAY11" t="s">
        <v>6984</v>
      </c>
      <c r="FAZ11" t="s">
        <v>6984</v>
      </c>
      <c r="FBA11" t="s">
        <v>6984</v>
      </c>
      <c r="FBB11" t="s">
        <v>6984</v>
      </c>
      <c r="FBC11" t="s">
        <v>6984</v>
      </c>
      <c r="FBD11" t="s">
        <v>6984</v>
      </c>
      <c r="FBE11" t="s">
        <v>6984</v>
      </c>
      <c r="FBF11" t="s">
        <v>6984</v>
      </c>
      <c r="FBG11" t="s">
        <v>6984</v>
      </c>
      <c r="FBH11" t="s">
        <v>6984</v>
      </c>
      <c r="FBI11" t="s">
        <v>6984</v>
      </c>
      <c r="FBJ11" t="s">
        <v>6984</v>
      </c>
      <c r="FBK11" t="s">
        <v>6984</v>
      </c>
      <c r="FBL11" t="s">
        <v>6984</v>
      </c>
      <c r="FBM11" t="s">
        <v>6984</v>
      </c>
      <c r="FBN11" t="s">
        <v>6984</v>
      </c>
      <c r="FBO11" t="s">
        <v>6984</v>
      </c>
      <c r="FBP11" t="s">
        <v>6984</v>
      </c>
      <c r="FBQ11" t="s">
        <v>6984</v>
      </c>
      <c r="FBR11" t="s">
        <v>6984</v>
      </c>
      <c r="FBS11" t="s">
        <v>6984</v>
      </c>
      <c r="FBT11" t="s">
        <v>6984</v>
      </c>
      <c r="FBU11" t="s">
        <v>6984</v>
      </c>
      <c r="FBV11" t="s">
        <v>6984</v>
      </c>
      <c r="FBW11" t="s">
        <v>6984</v>
      </c>
      <c r="FBX11" t="s">
        <v>6984</v>
      </c>
      <c r="FBY11" t="s">
        <v>6984</v>
      </c>
      <c r="FBZ11" t="s">
        <v>6984</v>
      </c>
      <c r="FCA11" t="s">
        <v>6984</v>
      </c>
      <c r="FCB11" t="s">
        <v>6984</v>
      </c>
      <c r="FCC11" t="s">
        <v>6984</v>
      </c>
      <c r="FCD11" t="s">
        <v>6984</v>
      </c>
      <c r="FCE11" t="s">
        <v>6984</v>
      </c>
      <c r="FCF11" t="s">
        <v>6984</v>
      </c>
      <c r="FCG11" t="s">
        <v>6984</v>
      </c>
      <c r="FCH11" t="s">
        <v>6984</v>
      </c>
      <c r="FCI11" t="s">
        <v>6984</v>
      </c>
      <c r="FCJ11" t="s">
        <v>6984</v>
      </c>
      <c r="FCK11" t="s">
        <v>6984</v>
      </c>
      <c r="FCL11" t="s">
        <v>6984</v>
      </c>
      <c r="FCM11" t="s">
        <v>6984</v>
      </c>
      <c r="FCN11" t="s">
        <v>6984</v>
      </c>
      <c r="FCO11" t="s">
        <v>6984</v>
      </c>
      <c r="FCP11" t="s">
        <v>6984</v>
      </c>
      <c r="FCQ11" t="s">
        <v>6984</v>
      </c>
      <c r="FCR11" t="s">
        <v>6984</v>
      </c>
      <c r="FCS11" t="s">
        <v>6984</v>
      </c>
      <c r="FCT11" t="s">
        <v>6984</v>
      </c>
      <c r="FCU11" t="s">
        <v>6984</v>
      </c>
      <c r="FCV11" t="s">
        <v>6984</v>
      </c>
      <c r="FCW11" t="s">
        <v>6984</v>
      </c>
      <c r="FCX11" t="s">
        <v>6984</v>
      </c>
      <c r="FCY11" t="s">
        <v>6984</v>
      </c>
      <c r="FCZ11" t="s">
        <v>6984</v>
      </c>
      <c r="FDA11" t="s">
        <v>6984</v>
      </c>
      <c r="FDB11" t="s">
        <v>6984</v>
      </c>
      <c r="FDC11" t="s">
        <v>6984</v>
      </c>
      <c r="FDD11" t="s">
        <v>6984</v>
      </c>
      <c r="FDE11" t="s">
        <v>6984</v>
      </c>
      <c r="FDF11" t="s">
        <v>6984</v>
      </c>
      <c r="FDG11" t="s">
        <v>6984</v>
      </c>
      <c r="FDH11" t="s">
        <v>6984</v>
      </c>
      <c r="FDI11" t="s">
        <v>6984</v>
      </c>
      <c r="FDJ11" t="s">
        <v>6984</v>
      </c>
      <c r="FDK11" t="s">
        <v>6984</v>
      </c>
      <c r="FDL11" t="s">
        <v>6984</v>
      </c>
      <c r="FDM11" t="s">
        <v>6984</v>
      </c>
      <c r="FDN11" t="s">
        <v>6984</v>
      </c>
      <c r="FDO11" t="s">
        <v>6984</v>
      </c>
      <c r="FDP11" t="s">
        <v>6984</v>
      </c>
      <c r="FDQ11" t="s">
        <v>6984</v>
      </c>
      <c r="FDR11" t="s">
        <v>6984</v>
      </c>
      <c r="FDS11" t="s">
        <v>6984</v>
      </c>
      <c r="FDT11" t="s">
        <v>6984</v>
      </c>
      <c r="FDU11" t="s">
        <v>6984</v>
      </c>
      <c r="FDV11" t="s">
        <v>6984</v>
      </c>
      <c r="FDW11" t="s">
        <v>6984</v>
      </c>
      <c r="FDX11" t="s">
        <v>6984</v>
      </c>
      <c r="FDY11" t="s">
        <v>6984</v>
      </c>
      <c r="FDZ11" t="s">
        <v>6984</v>
      </c>
      <c r="FEA11" t="s">
        <v>6984</v>
      </c>
      <c r="FEB11" t="s">
        <v>6984</v>
      </c>
      <c r="FEC11" t="s">
        <v>6984</v>
      </c>
      <c r="FED11" t="s">
        <v>6984</v>
      </c>
      <c r="FEE11" t="s">
        <v>6984</v>
      </c>
      <c r="FEF11" t="s">
        <v>6984</v>
      </c>
      <c r="FEG11" t="s">
        <v>6984</v>
      </c>
      <c r="FEH11" t="s">
        <v>6984</v>
      </c>
      <c r="FEI11" t="s">
        <v>6984</v>
      </c>
      <c r="FEJ11" t="s">
        <v>6984</v>
      </c>
      <c r="FEK11" t="s">
        <v>6984</v>
      </c>
      <c r="FEL11" t="s">
        <v>6984</v>
      </c>
      <c r="FEM11" t="s">
        <v>6984</v>
      </c>
      <c r="FEN11" t="s">
        <v>6984</v>
      </c>
      <c r="FEO11" t="s">
        <v>6984</v>
      </c>
      <c r="FEP11" t="s">
        <v>6984</v>
      </c>
      <c r="FEQ11" t="s">
        <v>6984</v>
      </c>
      <c r="FER11" t="s">
        <v>6984</v>
      </c>
      <c r="FES11" t="s">
        <v>6984</v>
      </c>
      <c r="FET11" t="s">
        <v>6984</v>
      </c>
      <c r="FEU11" t="s">
        <v>6984</v>
      </c>
      <c r="FEV11" t="s">
        <v>6984</v>
      </c>
      <c r="FEW11" t="s">
        <v>6984</v>
      </c>
      <c r="FEX11" t="s">
        <v>6984</v>
      </c>
      <c r="FEY11" t="s">
        <v>6984</v>
      </c>
      <c r="FEZ11" t="s">
        <v>6984</v>
      </c>
      <c r="FFA11" t="s">
        <v>6984</v>
      </c>
      <c r="FFB11" t="s">
        <v>6984</v>
      </c>
      <c r="FFC11" t="s">
        <v>6984</v>
      </c>
      <c r="FFD11" t="s">
        <v>6984</v>
      </c>
      <c r="FFE11" t="s">
        <v>6984</v>
      </c>
      <c r="FFF11" t="s">
        <v>6984</v>
      </c>
      <c r="FFG11" t="s">
        <v>6984</v>
      </c>
      <c r="FFH11" t="s">
        <v>6984</v>
      </c>
      <c r="FFI11" t="s">
        <v>6984</v>
      </c>
      <c r="FFJ11" t="s">
        <v>6984</v>
      </c>
      <c r="FFK11" t="s">
        <v>6984</v>
      </c>
      <c r="FFL11" t="s">
        <v>6984</v>
      </c>
      <c r="FFM11" t="s">
        <v>6984</v>
      </c>
      <c r="FFN11" t="s">
        <v>6984</v>
      </c>
      <c r="FFO11" t="s">
        <v>6984</v>
      </c>
      <c r="FFP11" t="s">
        <v>6984</v>
      </c>
      <c r="FFQ11" t="s">
        <v>6984</v>
      </c>
      <c r="FFR11" t="s">
        <v>6984</v>
      </c>
      <c r="FFS11" t="s">
        <v>6984</v>
      </c>
      <c r="FFT11" t="s">
        <v>6984</v>
      </c>
      <c r="FFU11" t="s">
        <v>6984</v>
      </c>
      <c r="FFV11" t="s">
        <v>6984</v>
      </c>
      <c r="FFW11" t="s">
        <v>6984</v>
      </c>
      <c r="FFX11" t="s">
        <v>6984</v>
      </c>
      <c r="FFY11" t="s">
        <v>6984</v>
      </c>
      <c r="FFZ11" t="s">
        <v>6984</v>
      </c>
      <c r="FGA11" t="s">
        <v>6984</v>
      </c>
      <c r="FGB11" t="s">
        <v>6984</v>
      </c>
      <c r="FGC11" t="s">
        <v>6984</v>
      </c>
      <c r="FGD11" t="s">
        <v>6984</v>
      </c>
      <c r="FGE11" t="s">
        <v>6984</v>
      </c>
      <c r="FGF11" t="s">
        <v>6984</v>
      </c>
      <c r="FGG11" t="s">
        <v>6984</v>
      </c>
      <c r="FGH11" t="s">
        <v>6984</v>
      </c>
      <c r="FGI11" t="s">
        <v>6984</v>
      </c>
      <c r="FGJ11" t="s">
        <v>6984</v>
      </c>
      <c r="FGK11" t="s">
        <v>6984</v>
      </c>
      <c r="FGL11" t="s">
        <v>6984</v>
      </c>
      <c r="FGM11" t="s">
        <v>6984</v>
      </c>
      <c r="FGN11" t="s">
        <v>6984</v>
      </c>
      <c r="FGO11" t="s">
        <v>6984</v>
      </c>
      <c r="FGP11" t="s">
        <v>6984</v>
      </c>
      <c r="FGQ11" t="s">
        <v>6984</v>
      </c>
      <c r="FGR11" t="s">
        <v>6984</v>
      </c>
      <c r="FGS11" t="s">
        <v>6984</v>
      </c>
      <c r="FGT11" t="s">
        <v>6984</v>
      </c>
      <c r="FGU11" t="s">
        <v>6984</v>
      </c>
      <c r="FGV11" t="s">
        <v>6984</v>
      </c>
      <c r="FGW11" t="s">
        <v>6984</v>
      </c>
      <c r="FGX11" t="s">
        <v>6984</v>
      </c>
      <c r="FGY11" t="s">
        <v>6984</v>
      </c>
      <c r="FGZ11" t="s">
        <v>6984</v>
      </c>
      <c r="FHA11" t="s">
        <v>6984</v>
      </c>
      <c r="FHB11" t="s">
        <v>6984</v>
      </c>
      <c r="FHC11" t="s">
        <v>6984</v>
      </c>
      <c r="FHD11" t="s">
        <v>6984</v>
      </c>
      <c r="FHE11" t="s">
        <v>6984</v>
      </c>
      <c r="FHF11" t="s">
        <v>6984</v>
      </c>
      <c r="FHG11" t="s">
        <v>6984</v>
      </c>
      <c r="FHH11" t="s">
        <v>6984</v>
      </c>
      <c r="FHI11" t="s">
        <v>6984</v>
      </c>
      <c r="FHJ11" t="s">
        <v>6984</v>
      </c>
      <c r="FHK11" t="s">
        <v>6984</v>
      </c>
      <c r="FHL11" t="s">
        <v>6984</v>
      </c>
      <c r="FHM11" t="s">
        <v>6984</v>
      </c>
      <c r="FHN11" t="s">
        <v>6984</v>
      </c>
      <c r="FHO11" t="s">
        <v>6984</v>
      </c>
      <c r="FHP11" t="s">
        <v>6984</v>
      </c>
      <c r="FHQ11" t="s">
        <v>6984</v>
      </c>
      <c r="FHR11" t="s">
        <v>6984</v>
      </c>
      <c r="FHS11" t="s">
        <v>6984</v>
      </c>
      <c r="FHT11" t="s">
        <v>6984</v>
      </c>
      <c r="FHU11" t="s">
        <v>6984</v>
      </c>
      <c r="FHV11" t="s">
        <v>6984</v>
      </c>
      <c r="FHW11" t="s">
        <v>6984</v>
      </c>
      <c r="FHX11" t="s">
        <v>6984</v>
      </c>
      <c r="FHY11" t="s">
        <v>6984</v>
      </c>
      <c r="FHZ11" t="s">
        <v>6984</v>
      </c>
      <c r="FIA11" t="s">
        <v>6984</v>
      </c>
      <c r="FIB11" t="s">
        <v>6984</v>
      </c>
      <c r="FIC11" t="s">
        <v>6984</v>
      </c>
      <c r="FID11" t="s">
        <v>6984</v>
      </c>
      <c r="FIE11" t="s">
        <v>6984</v>
      </c>
      <c r="FIF11" t="s">
        <v>6984</v>
      </c>
      <c r="FIG11" t="s">
        <v>6984</v>
      </c>
      <c r="FIH11" t="s">
        <v>6984</v>
      </c>
      <c r="FII11" t="s">
        <v>6984</v>
      </c>
      <c r="FIJ11" t="s">
        <v>6984</v>
      </c>
      <c r="FIK11" t="s">
        <v>6984</v>
      </c>
      <c r="FIL11" t="s">
        <v>6984</v>
      </c>
      <c r="FIM11" t="s">
        <v>6984</v>
      </c>
      <c r="FIN11" t="s">
        <v>6984</v>
      </c>
      <c r="FIO11" t="s">
        <v>6984</v>
      </c>
      <c r="FIP11" t="s">
        <v>6984</v>
      </c>
      <c r="FIQ11" t="s">
        <v>6984</v>
      </c>
      <c r="FIR11" t="s">
        <v>6984</v>
      </c>
      <c r="FIS11" t="s">
        <v>6984</v>
      </c>
      <c r="FIT11" t="s">
        <v>6984</v>
      </c>
      <c r="FIU11" t="s">
        <v>6984</v>
      </c>
      <c r="FIV11" t="s">
        <v>6984</v>
      </c>
      <c r="FIW11" t="s">
        <v>6984</v>
      </c>
      <c r="FIX11" t="s">
        <v>6984</v>
      </c>
      <c r="FIY11" t="s">
        <v>6984</v>
      </c>
      <c r="FIZ11" t="s">
        <v>6984</v>
      </c>
      <c r="FJA11" t="s">
        <v>6984</v>
      </c>
      <c r="FJB11" t="s">
        <v>6984</v>
      </c>
      <c r="FJC11" t="s">
        <v>6984</v>
      </c>
      <c r="FJD11" t="s">
        <v>6984</v>
      </c>
      <c r="FJE11" t="s">
        <v>6984</v>
      </c>
      <c r="FJF11" t="s">
        <v>6984</v>
      </c>
      <c r="FJG11" t="s">
        <v>6984</v>
      </c>
      <c r="FJH11" t="s">
        <v>6984</v>
      </c>
      <c r="FJI11" t="s">
        <v>6984</v>
      </c>
      <c r="FJJ11" t="s">
        <v>6984</v>
      </c>
      <c r="FJK11" t="s">
        <v>6984</v>
      </c>
      <c r="FJL11" t="s">
        <v>6984</v>
      </c>
      <c r="FJM11" t="s">
        <v>6984</v>
      </c>
      <c r="FJN11" t="s">
        <v>6984</v>
      </c>
      <c r="FJO11" t="s">
        <v>6984</v>
      </c>
      <c r="FJP11" t="s">
        <v>6984</v>
      </c>
      <c r="FJQ11" t="s">
        <v>6984</v>
      </c>
      <c r="FJR11" t="s">
        <v>6984</v>
      </c>
      <c r="FJS11" t="s">
        <v>6984</v>
      </c>
      <c r="FJT11" t="s">
        <v>6984</v>
      </c>
      <c r="FJU11" t="s">
        <v>6984</v>
      </c>
      <c r="FJV11" t="s">
        <v>6984</v>
      </c>
      <c r="FJW11" t="s">
        <v>6984</v>
      </c>
      <c r="FJX11" t="s">
        <v>6984</v>
      </c>
      <c r="FJY11" t="s">
        <v>6984</v>
      </c>
      <c r="FJZ11" t="s">
        <v>6984</v>
      </c>
      <c r="FKA11" t="s">
        <v>6984</v>
      </c>
      <c r="FKB11" t="s">
        <v>6984</v>
      </c>
      <c r="FKC11" t="s">
        <v>6984</v>
      </c>
      <c r="FKD11" t="s">
        <v>6984</v>
      </c>
      <c r="FKE11" t="s">
        <v>6984</v>
      </c>
      <c r="FKF11" t="s">
        <v>6984</v>
      </c>
      <c r="FKG11" t="s">
        <v>6984</v>
      </c>
      <c r="FKH11" t="s">
        <v>6984</v>
      </c>
      <c r="FKI11" t="s">
        <v>6984</v>
      </c>
      <c r="FKJ11" t="s">
        <v>6984</v>
      </c>
      <c r="FKK11" t="s">
        <v>6984</v>
      </c>
      <c r="FKL11" t="s">
        <v>6984</v>
      </c>
      <c r="FKM11" t="s">
        <v>6984</v>
      </c>
      <c r="FKN11" t="s">
        <v>6984</v>
      </c>
      <c r="FKO11" t="s">
        <v>6984</v>
      </c>
      <c r="FKP11" t="s">
        <v>6984</v>
      </c>
      <c r="FKQ11" t="s">
        <v>6984</v>
      </c>
      <c r="FKR11" t="s">
        <v>6984</v>
      </c>
      <c r="FKS11" t="s">
        <v>6984</v>
      </c>
      <c r="FKT11" t="s">
        <v>6984</v>
      </c>
      <c r="FKU11" t="s">
        <v>6984</v>
      </c>
      <c r="FKV11" t="s">
        <v>6984</v>
      </c>
      <c r="FKW11" t="s">
        <v>6984</v>
      </c>
      <c r="FKX11" t="s">
        <v>6984</v>
      </c>
      <c r="FKY11" t="s">
        <v>6984</v>
      </c>
      <c r="FKZ11" t="s">
        <v>6984</v>
      </c>
      <c r="FLA11" t="s">
        <v>6984</v>
      </c>
      <c r="FLB11" t="s">
        <v>6984</v>
      </c>
      <c r="FLC11" t="s">
        <v>6984</v>
      </c>
      <c r="FLD11" t="s">
        <v>6984</v>
      </c>
      <c r="FLE11" t="s">
        <v>6984</v>
      </c>
      <c r="FLF11" t="s">
        <v>6984</v>
      </c>
      <c r="FLG11" t="s">
        <v>6984</v>
      </c>
      <c r="FLH11" t="s">
        <v>6984</v>
      </c>
      <c r="FLI11" t="s">
        <v>6984</v>
      </c>
      <c r="FLJ11" t="s">
        <v>6984</v>
      </c>
      <c r="FLK11" t="s">
        <v>6984</v>
      </c>
      <c r="FLL11" t="s">
        <v>6984</v>
      </c>
      <c r="FLM11" t="s">
        <v>6984</v>
      </c>
      <c r="FLN11" t="s">
        <v>6984</v>
      </c>
      <c r="FLO11" t="s">
        <v>6984</v>
      </c>
      <c r="FLP11" t="s">
        <v>6984</v>
      </c>
      <c r="FLQ11" t="s">
        <v>6984</v>
      </c>
      <c r="FLR11" t="s">
        <v>6984</v>
      </c>
      <c r="FLS11" t="s">
        <v>6984</v>
      </c>
      <c r="FLT11" t="s">
        <v>6984</v>
      </c>
      <c r="FLU11" t="s">
        <v>6984</v>
      </c>
      <c r="FLV11" t="s">
        <v>6984</v>
      </c>
      <c r="FLW11" t="s">
        <v>6984</v>
      </c>
      <c r="FLX11" t="s">
        <v>6984</v>
      </c>
      <c r="FLY11" t="s">
        <v>6984</v>
      </c>
      <c r="FLZ11" t="s">
        <v>6984</v>
      </c>
      <c r="FMA11" t="s">
        <v>6984</v>
      </c>
      <c r="FMB11" t="s">
        <v>6984</v>
      </c>
      <c r="FMC11" t="s">
        <v>6984</v>
      </c>
      <c r="FMD11" t="s">
        <v>6984</v>
      </c>
      <c r="FME11" t="s">
        <v>6984</v>
      </c>
      <c r="FMF11" t="s">
        <v>6984</v>
      </c>
      <c r="FMG11" t="s">
        <v>6984</v>
      </c>
      <c r="FMH11" t="s">
        <v>6984</v>
      </c>
      <c r="FMI11" t="s">
        <v>6984</v>
      </c>
      <c r="FMJ11" t="s">
        <v>6984</v>
      </c>
      <c r="FMK11" t="s">
        <v>6984</v>
      </c>
      <c r="FML11" t="s">
        <v>6984</v>
      </c>
      <c r="FMM11" t="s">
        <v>6984</v>
      </c>
      <c r="FMN11" t="s">
        <v>6984</v>
      </c>
      <c r="FMO11" t="s">
        <v>6984</v>
      </c>
      <c r="FMP11" t="s">
        <v>6984</v>
      </c>
      <c r="FMQ11" t="s">
        <v>6984</v>
      </c>
      <c r="FMR11" t="s">
        <v>6984</v>
      </c>
      <c r="FMS11" t="s">
        <v>6984</v>
      </c>
      <c r="FMT11" t="s">
        <v>6984</v>
      </c>
      <c r="FMU11" t="s">
        <v>6984</v>
      </c>
      <c r="FMV11" t="s">
        <v>6984</v>
      </c>
      <c r="FMW11" t="s">
        <v>6984</v>
      </c>
      <c r="FMX11" t="s">
        <v>6984</v>
      </c>
      <c r="FMY11" t="s">
        <v>6984</v>
      </c>
      <c r="FMZ11" t="s">
        <v>6984</v>
      </c>
      <c r="FNA11" t="s">
        <v>6984</v>
      </c>
      <c r="FNB11" t="s">
        <v>6984</v>
      </c>
      <c r="FNC11" t="s">
        <v>6984</v>
      </c>
      <c r="FND11" t="s">
        <v>6984</v>
      </c>
      <c r="FNE11" t="s">
        <v>6984</v>
      </c>
      <c r="FNF11" t="s">
        <v>6984</v>
      </c>
      <c r="FNG11" t="s">
        <v>6984</v>
      </c>
      <c r="FNH11" t="s">
        <v>6984</v>
      </c>
      <c r="FNI11" t="s">
        <v>6984</v>
      </c>
      <c r="FNJ11" t="s">
        <v>6984</v>
      </c>
      <c r="FNK11" t="s">
        <v>6984</v>
      </c>
      <c r="FNL11" t="s">
        <v>6984</v>
      </c>
      <c r="FNM11" t="s">
        <v>6984</v>
      </c>
      <c r="FNN11" t="s">
        <v>6984</v>
      </c>
      <c r="FNO11" t="s">
        <v>6984</v>
      </c>
      <c r="FNP11" t="s">
        <v>6984</v>
      </c>
      <c r="FNQ11" t="s">
        <v>6984</v>
      </c>
      <c r="FNR11" t="s">
        <v>6984</v>
      </c>
      <c r="FNS11" t="s">
        <v>6984</v>
      </c>
      <c r="FNT11" t="s">
        <v>6984</v>
      </c>
      <c r="FNU11" t="s">
        <v>6984</v>
      </c>
      <c r="FNV11" t="s">
        <v>6984</v>
      </c>
      <c r="FNW11" t="s">
        <v>6984</v>
      </c>
      <c r="FNX11" t="s">
        <v>6984</v>
      </c>
      <c r="FNY11" t="s">
        <v>6984</v>
      </c>
      <c r="FNZ11" t="s">
        <v>6984</v>
      </c>
      <c r="FOA11" t="s">
        <v>6984</v>
      </c>
      <c r="FOB11" t="s">
        <v>6984</v>
      </c>
      <c r="FOC11" t="s">
        <v>6984</v>
      </c>
      <c r="FOD11" t="s">
        <v>6984</v>
      </c>
      <c r="FOE11" t="s">
        <v>6984</v>
      </c>
      <c r="FOF11" t="s">
        <v>6984</v>
      </c>
      <c r="FOG11" t="s">
        <v>6984</v>
      </c>
      <c r="FOH11" t="s">
        <v>6984</v>
      </c>
      <c r="FOI11" t="s">
        <v>6984</v>
      </c>
      <c r="FOJ11" t="s">
        <v>6984</v>
      </c>
      <c r="FOK11" t="s">
        <v>6984</v>
      </c>
      <c r="FOL11" t="s">
        <v>6984</v>
      </c>
      <c r="FOM11" t="s">
        <v>6984</v>
      </c>
      <c r="FON11" t="s">
        <v>6984</v>
      </c>
      <c r="FOO11" t="s">
        <v>6984</v>
      </c>
      <c r="FOP11" t="s">
        <v>6984</v>
      </c>
      <c r="FOQ11" t="s">
        <v>6984</v>
      </c>
      <c r="FOR11" t="s">
        <v>6984</v>
      </c>
      <c r="FOS11" t="s">
        <v>6984</v>
      </c>
      <c r="FOT11" t="s">
        <v>6984</v>
      </c>
      <c r="FOU11" t="s">
        <v>6984</v>
      </c>
      <c r="FOV11" t="s">
        <v>6984</v>
      </c>
      <c r="FOW11" t="s">
        <v>6984</v>
      </c>
      <c r="FOX11" t="s">
        <v>6984</v>
      </c>
      <c r="FOY11" t="s">
        <v>6984</v>
      </c>
      <c r="FOZ11" t="s">
        <v>6984</v>
      </c>
      <c r="FPA11" t="s">
        <v>6984</v>
      </c>
      <c r="FPB11" t="s">
        <v>6984</v>
      </c>
      <c r="FPC11" t="s">
        <v>6984</v>
      </c>
      <c r="FPD11" t="s">
        <v>6984</v>
      </c>
      <c r="FPE11" t="s">
        <v>6984</v>
      </c>
      <c r="FPF11" t="s">
        <v>6984</v>
      </c>
      <c r="FPG11" t="s">
        <v>6984</v>
      </c>
      <c r="FPH11" t="s">
        <v>6984</v>
      </c>
      <c r="FPI11" t="s">
        <v>6984</v>
      </c>
      <c r="FPJ11" t="s">
        <v>6984</v>
      </c>
      <c r="FPK11" t="s">
        <v>6984</v>
      </c>
      <c r="FPL11" t="s">
        <v>6984</v>
      </c>
      <c r="FPM11" t="s">
        <v>6984</v>
      </c>
      <c r="FPN11" t="s">
        <v>6984</v>
      </c>
      <c r="FPO11" t="s">
        <v>6984</v>
      </c>
      <c r="FPP11" t="s">
        <v>6984</v>
      </c>
      <c r="FPQ11" t="s">
        <v>6984</v>
      </c>
      <c r="FPR11" t="s">
        <v>6984</v>
      </c>
      <c r="FPS11" t="s">
        <v>6984</v>
      </c>
      <c r="FPT11" t="s">
        <v>6984</v>
      </c>
      <c r="FPU11" t="s">
        <v>6984</v>
      </c>
      <c r="FPV11" t="s">
        <v>6984</v>
      </c>
      <c r="FPW11" t="s">
        <v>6984</v>
      </c>
      <c r="FPX11" t="s">
        <v>6984</v>
      </c>
      <c r="FPY11" t="s">
        <v>6984</v>
      </c>
      <c r="FPZ11" t="s">
        <v>6984</v>
      </c>
      <c r="FQA11" t="s">
        <v>6984</v>
      </c>
      <c r="FQB11" t="s">
        <v>6984</v>
      </c>
      <c r="FQC11" t="s">
        <v>6984</v>
      </c>
      <c r="FQD11" t="s">
        <v>6984</v>
      </c>
      <c r="FQE11" t="s">
        <v>6984</v>
      </c>
      <c r="FQF11" t="s">
        <v>6984</v>
      </c>
      <c r="FQG11" t="s">
        <v>6984</v>
      </c>
      <c r="FQH11" t="s">
        <v>6984</v>
      </c>
      <c r="FQI11" t="s">
        <v>6984</v>
      </c>
      <c r="FQJ11" t="s">
        <v>6984</v>
      </c>
      <c r="FQK11" t="s">
        <v>6984</v>
      </c>
      <c r="FQL11" t="s">
        <v>6984</v>
      </c>
      <c r="FQM11" t="s">
        <v>6984</v>
      </c>
      <c r="FQN11" t="s">
        <v>6984</v>
      </c>
      <c r="FQO11" t="s">
        <v>6984</v>
      </c>
      <c r="FQP11" t="s">
        <v>6984</v>
      </c>
      <c r="FQQ11" t="s">
        <v>6984</v>
      </c>
      <c r="FQR11" t="s">
        <v>6984</v>
      </c>
      <c r="FQS11" t="s">
        <v>6984</v>
      </c>
      <c r="FQT11" t="s">
        <v>6984</v>
      </c>
      <c r="FQU11" t="s">
        <v>6984</v>
      </c>
      <c r="FQV11" t="s">
        <v>6984</v>
      </c>
      <c r="FQW11" t="s">
        <v>6984</v>
      </c>
      <c r="FQX11" t="s">
        <v>6984</v>
      </c>
      <c r="FQY11" t="s">
        <v>6984</v>
      </c>
      <c r="FQZ11" t="s">
        <v>6984</v>
      </c>
      <c r="FRA11" t="s">
        <v>6984</v>
      </c>
      <c r="FRB11" t="s">
        <v>6984</v>
      </c>
      <c r="FRC11" t="s">
        <v>6984</v>
      </c>
      <c r="FRD11" t="s">
        <v>6984</v>
      </c>
      <c r="FRE11" t="s">
        <v>6984</v>
      </c>
      <c r="FRF11" t="s">
        <v>6984</v>
      </c>
      <c r="FRG11" t="s">
        <v>6984</v>
      </c>
      <c r="FRH11" t="s">
        <v>6984</v>
      </c>
      <c r="FRI11" t="s">
        <v>6984</v>
      </c>
      <c r="FRJ11" t="s">
        <v>6984</v>
      </c>
      <c r="FRK11" t="s">
        <v>6984</v>
      </c>
      <c r="FRL11" t="s">
        <v>6984</v>
      </c>
      <c r="FRM11" t="s">
        <v>6984</v>
      </c>
      <c r="FRN11" t="s">
        <v>6984</v>
      </c>
      <c r="FRO11" t="s">
        <v>6984</v>
      </c>
      <c r="FRP11" t="s">
        <v>6984</v>
      </c>
      <c r="FRQ11" t="s">
        <v>6984</v>
      </c>
      <c r="FRR11" t="s">
        <v>6984</v>
      </c>
      <c r="FRS11" t="s">
        <v>6984</v>
      </c>
      <c r="FRT11" t="s">
        <v>6984</v>
      </c>
      <c r="FRU11" t="s">
        <v>6984</v>
      </c>
      <c r="FRV11" t="s">
        <v>6984</v>
      </c>
      <c r="FRW11" t="s">
        <v>6984</v>
      </c>
      <c r="FRX11" t="s">
        <v>6984</v>
      </c>
      <c r="FRY11" t="s">
        <v>6984</v>
      </c>
      <c r="FRZ11" t="s">
        <v>6984</v>
      </c>
      <c r="FSA11" t="s">
        <v>6984</v>
      </c>
      <c r="FSB11" t="s">
        <v>6984</v>
      </c>
      <c r="FSC11" t="s">
        <v>6984</v>
      </c>
      <c r="FSD11" t="s">
        <v>6984</v>
      </c>
      <c r="FSE11" t="s">
        <v>6984</v>
      </c>
      <c r="FSF11" t="s">
        <v>6984</v>
      </c>
      <c r="FSG11" t="s">
        <v>6984</v>
      </c>
      <c r="FSH11" t="s">
        <v>6984</v>
      </c>
      <c r="FSI11" t="s">
        <v>6984</v>
      </c>
      <c r="FSJ11" t="s">
        <v>6984</v>
      </c>
      <c r="FSK11" t="s">
        <v>6984</v>
      </c>
      <c r="FSL11" t="s">
        <v>6984</v>
      </c>
      <c r="FSM11" t="s">
        <v>6984</v>
      </c>
      <c r="FSN11" t="s">
        <v>6984</v>
      </c>
      <c r="FSO11" t="s">
        <v>6984</v>
      </c>
      <c r="FSP11" t="s">
        <v>6984</v>
      </c>
      <c r="FSQ11" t="s">
        <v>6984</v>
      </c>
      <c r="FSR11" t="s">
        <v>6984</v>
      </c>
      <c r="FSS11" t="s">
        <v>6984</v>
      </c>
      <c r="FST11" t="s">
        <v>6984</v>
      </c>
      <c r="FSU11" t="s">
        <v>6984</v>
      </c>
      <c r="FSV11" t="s">
        <v>6984</v>
      </c>
      <c r="FSW11" t="s">
        <v>6984</v>
      </c>
      <c r="FSX11" t="s">
        <v>6984</v>
      </c>
      <c r="FSY11" t="s">
        <v>6984</v>
      </c>
      <c r="FSZ11" t="s">
        <v>6984</v>
      </c>
      <c r="FTA11" t="s">
        <v>6984</v>
      </c>
      <c r="FTB11" t="s">
        <v>6984</v>
      </c>
      <c r="FTC11" t="s">
        <v>6984</v>
      </c>
      <c r="FTD11" t="s">
        <v>6984</v>
      </c>
      <c r="FTE11" t="s">
        <v>6984</v>
      </c>
      <c r="FTF11" t="s">
        <v>6984</v>
      </c>
      <c r="FTG11" t="s">
        <v>6984</v>
      </c>
      <c r="FTH11" t="s">
        <v>6984</v>
      </c>
      <c r="FTI11" t="s">
        <v>6984</v>
      </c>
      <c r="FTJ11" t="s">
        <v>6984</v>
      </c>
      <c r="FTK11" t="s">
        <v>6984</v>
      </c>
      <c r="FTL11" t="s">
        <v>6984</v>
      </c>
      <c r="FTM11" t="s">
        <v>6984</v>
      </c>
      <c r="FTN11" t="s">
        <v>6984</v>
      </c>
      <c r="FTO11" t="s">
        <v>6984</v>
      </c>
      <c r="FTP11" t="s">
        <v>6984</v>
      </c>
      <c r="FTQ11" t="s">
        <v>6984</v>
      </c>
      <c r="FTR11" t="s">
        <v>6984</v>
      </c>
      <c r="FTS11" t="s">
        <v>6984</v>
      </c>
      <c r="FTT11" t="s">
        <v>6984</v>
      </c>
      <c r="FTU11" t="s">
        <v>6984</v>
      </c>
      <c r="FTV11" t="s">
        <v>6984</v>
      </c>
      <c r="FTW11" t="s">
        <v>6984</v>
      </c>
      <c r="FTX11" t="s">
        <v>6984</v>
      </c>
      <c r="FTY11" t="s">
        <v>6984</v>
      </c>
      <c r="FTZ11" t="s">
        <v>6984</v>
      </c>
      <c r="FUA11" t="s">
        <v>6984</v>
      </c>
      <c r="FUB11" t="s">
        <v>6984</v>
      </c>
      <c r="FUC11" t="s">
        <v>6984</v>
      </c>
      <c r="FUD11" t="s">
        <v>6984</v>
      </c>
      <c r="FUE11" t="s">
        <v>6984</v>
      </c>
      <c r="FUF11" t="s">
        <v>6984</v>
      </c>
      <c r="FUG11" t="s">
        <v>6984</v>
      </c>
      <c r="FUH11" t="s">
        <v>6984</v>
      </c>
      <c r="FUI11" t="s">
        <v>6984</v>
      </c>
      <c r="FUJ11" t="s">
        <v>6984</v>
      </c>
      <c r="FUK11" t="s">
        <v>6984</v>
      </c>
      <c r="FUL11" t="s">
        <v>6984</v>
      </c>
      <c r="FUM11" t="s">
        <v>6984</v>
      </c>
      <c r="FUN11" t="s">
        <v>6984</v>
      </c>
      <c r="FUO11" t="s">
        <v>6984</v>
      </c>
      <c r="FUP11" t="s">
        <v>6984</v>
      </c>
      <c r="FUQ11" t="s">
        <v>6984</v>
      </c>
      <c r="FUR11" t="s">
        <v>6984</v>
      </c>
      <c r="FUS11" t="s">
        <v>6984</v>
      </c>
      <c r="FUT11" t="s">
        <v>6984</v>
      </c>
      <c r="FUU11" t="s">
        <v>6984</v>
      </c>
      <c r="FUV11" t="s">
        <v>6984</v>
      </c>
      <c r="FUW11" t="s">
        <v>6984</v>
      </c>
      <c r="FUX11" t="s">
        <v>6984</v>
      </c>
      <c r="FUY11" t="s">
        <v>6984</v>
      </c>
      <c r="FUZ11" t="s">
        <v>6984</v>
      </c>
      <c r="FVA11" t="s">
        <v>6984</v>
      </c>
      <c r="FVB11" t="s">
        <v>6984</v>
      </c>
      <c r="FVC11" t="s">
        <v>6984</v>
      </c>
      <c r="FVD11" t="s">
        <v>6984</v>
      </c>
      <c r="FVE11" t="s">
        <v>6984</v>
      </c>
      <c r="FVF11" t="s">
        <v>6984</v>
      </c>
      <c r="FVG11" t="s">
        <v>6984</v>
      </c>
      <c r="FVH11" t="s">
        <v>6984</v>
      </c>
      <c r="FVI11" t="s">
        <v>6984</v>
      </c>
      <c r="FVJ11" t="s">
        <v>6984</v>
      </c>
      <c r="FVK11" t="s">
        <v>6984</v>
      </c>
      <c r="FVL11" t="s">
        <v>6984</v>
      </c>
      <c r="FVM11" t="s">
        <v>6984</v>
      </c>
      <c r="FVN11" t="s">
        <v>6984</v>
      </c>
      <c r="FVO11" t="s">
        <v>6984</v>
      </c>
      <c r="FVP11" t="s">
        <v>6984</v>
      </c>
      <c r="FVQ11" t="s">
        <v>6984</v>
      </c>
      <c r="FVR11" t="s">
        <v>6984</v>
      </c>
      <c r="FVS11" t="s">
        <v>6984</v>
      </c>
      <c r="FVT11" t="s">
        <v>6984</v>
      </c>
      <c r="FVU11" t="s">
        <v>6984</v>
      </c>
      <c r="FVV11" t="s">
        <v>6984</v>
      </c>
      <c r="FVW11" t="s">
        <v>6984</v>
      </c>
      <c r="FVX11" t="s">
        <v>6984</v>
      </c>
      <c r="FVY11" t="s">
        <v>6984</v>
      </c>
      <c r="FVZ11" t="s">
        <v>6984</v>
      </c>
      <c r="FWA11" t="s">
        <v>6984</v>
      </c>
      <c r="FWB11" t="s">
        <v>6984</v>
      </c>
      <c r="FWC11" t="s">
        <v>6984</v>
      </c>
      <c r="FWD11" t="s">
        <v>6984</v>
      </c>
      <c r="FWE11" t="s">
        <v>6984</v>
      </c>
      <c r="FWF11" t="s">
        <v>6984</v>
      </c>
      <c r="FWG11" t="s">
        <v>6984</v>
      </c>
      <c r="FWH11" t="s">
        <v>6984</v>
      </c>
      <c r="FWI11" t="s">
        <v>6984</v>
      </c>
      <c r="FWJ11" t="s">
        <v>6984</v>
      </c>
      <c r="FWK11" t="s">
        <v>6984</v>
      </c>
      <c r="FWL11" t="s">
        <v>6984</v>
      </c>
      <c r="FWM11" t="s">
        <v>6984</v>
      </c>
      <c r="FWN11" t="s">
        <v>6984</v>
      </c>
      <c r="FWO11" t="s">
        <v>6984</v>
      </c>
      <c r="FWP11" t="s">
        <v>6984</v>
      </c>
      <c r="FWQ11" t="s">
        <v>6984</v>
      </c>
      <c r="FWR11" t="s">
        <v>6984</v>
      </c>
      <c r="FWS11" t="s">
        <v>6984</v>
      </c>
      <c r="FWT11" t="s">
        <v>6984</v>
      </c>
      <c r="FWU11" t="s">
        <v>6984</v>
      </c>
      <c r="FWV11" t="s">
        <v>6984</v>
      </c>
      <c r="FWW11" t="s">
        <v>6984</v>
      </c>
      <c r="FWX11" t="s">
        <v>6984</v>
      </c>
      <c r="FWY11" t="s">
        <v>6984</v>
      </c>
      <c r="FWZ11" t="s">
        <v>6984</v>
      </c>
      <c r="FXA11" t="s">
        <v>6984</v>
      </c>
      <c r="FXB11" t="s">
        <v>6984</v>
      </c>
      <c r="FXC11" t="s">
        <v>6984</v>
      </c>
      <c r="FXD11" t="s">
        <v>6984</v>
      </c>
      <c r="FXE11" t="s">
        <v>6984</v>
      </c>
      <c r="FXF11" t="s">
        <v>6984</v>
      </c>
      <c r="FXG11" t="s">
        <v>6984</v>
      </c>
      <c r="FXH11" t="s">
        <v>6984</v>
      </c>
      <c r="FXI11" t="s">
        <v>6984</v>
      </c>
      <c r="FXJ11" t="s">
        <v>6984</v>
      </c>
      <c r="FXK11" t="s">
        <v>6984</v>
      </c>
      <c r="FXL11" t="s">
        <v>6984</v>
      </c>
      <c r="FXM11" t="s">
        <v>6984</v>
      </c>
      <c r="FXN11" t="s">
        <v>6984</v>
      </c>
      <c r="FXO11" t="s">
        <v>6984</v>
      </c>
      <c r="FXP11" t="s">
        <v>6984</v>
      </c>
      <c r="FXQ11" t="s">
        <v>6984</v>
      </c>
      <c r="FXR11" t="s">
        <v>6984</v>
      </c>
      <c r="FXS11" t="s">
        <v>6984</v>
      </c>
      <c r="FXT11" t="s">
        <v>6984</v>
      </c>
      <c r="FXU11" t="s">
        <v>6984</v>
      </c>
      <c r="FXV11" t="s">
        <v>6984</v>
      </c>
      <c r="FXW11" t="s">
        <v>6984</v>
      </c>
      <c r="FXX11" t="s">
        <v>6984</v>
      </c>
      <c r="FXY11" t="s">
        <v>6984</v>
      </c>
      <c r="FXZ11" t="s">
        <v>6984</v>
      </c>
      <c r="FYA11" t="s">
        <v>6984</v>
      </c>
      <c r="FYB11" t="s">
        <v>6984</v>
      </c>
      <c r="FYC11" t="s">
        <v>6984</v>
      </c>
      <c r="FYD11" t="s">
        <v>6984</v>
      </c>
      <c r="FYE11" t="s">
        <v>6984</v>
      </c>
      <c r="FYF11" t="s">
        <v>6984</v>
      </c>
      <c r="FYG11" t="s">
        <v>6984</v>
      </c>
      <c r="FYH11" t="s">
        <v>6984</v>
      </c>
      <c r="FYI11" t="s">
        <v>6984</v>
      </c>
      <c r="FYJ11" t="s">
        <v>6984</v>
      </c>
      <c r="FYK11" t="s">
        <v>6984</v>
      </c>
      <c r="FYL11" t="s">
        <v>6984</v>
      </c>
      <c r="FYM11" t="s">
        <v>6984</v>
      </c>
      <c r="FYN11" t="s">
        <v>6984</v>
      </c>
      <c r="FYO11" t="s">
        <v>6984</v>
      </c>
      <c r="FYP11" t="s">
        <v>6984</v>
      </c>
      <c r="FYQ11" t="s">
        <v>6984</v>
      </c>
      <c r="FYR11" t="s">
        <v>6984</v>
      </c>
      <c r="FYS11" t="s">
        <v>6984</v>
      </c>
      <c r="FYT11" t="s">
        <v>6984</v>
      </c>
      <c r="FYU11" t="s">
        <v>6984</v>
      </c>
      <c r="FYV11" t="s">
        <v>6984</v>
      </c>
      <c r="FYW11" t="s">
        <v>6984</v>
      </c>
      <c r="FYX11" t="s">
        <v>6984</v>
      </c>
      <c r="FYY11" t="s">
        <v>6984</v>
      </c>
      <c r="FYZ11" t="s">
        <v>6984</v>
      </c>
      <c r="FZA11" t="s">
        <v>6984</v>
      </c>
      <c r="FZB11" t="s">
        <v>6984</v>
      </c>
      <c r="FZC11" t="s">
        <v>6984</v>
      </c>
      <c r="FZD11" t="s">
        <v>6984</v>
      </c>
      <c r="FZE11" t="s">
        <v>6984</v>
      </c>
      <c r="FZF11" t="s">
        <v>6984</v>
      </c>
      <c r="FZG11" t="s">
        <v>6984</v>
      </c>
      <c r="FZH11" t="s">
        <v>6984</v>
      </c>
      <c r="FZI11" t="s">
        <v>6984</v>
      </c>
      <c r="FZJ11" t="s">
        <v>6984</v>
      </c>
      <c r="FZK11" t="s">
        <v>6984</v>
      </c>
      <c r="FZL11" t="s">
        <v>6984</v>
      </c>
      <c r="FZM11" t="s">
        <v>6984</v>
      </c>
      <c r="FZN11" t="s">
        <v>6984</v>
      </c>
      <c r="FZO11" t="s">
        <v>6984</v>
      </c>
      <c r="FZP11" t="s">
        <v>6984</v>
      </c>
      <c r="FZQ11" t="s">
        <v>6984</v>
      </c>
      <c r="FZR11" t="s">
        <v>6984</v>
      </c>
      <c r="FZS11" t="s">
        <v>6984</v>
      </c>
      <c r="FZT11" t="s">
        <v>6984</v>
      </c>
      <c r="FZU11" t="s">
        <v>6984</v>
      </c>
      <c r="FZV11" t="s">
        <v>6984</v>
      </c>
      <c r="FZW11" t="s">
        <v>6984</v>
      </c>
      <c r="FZX11" t="s">
        <v>6984</v>
      </c>
      <c r="FZY11" t="s">
        <v>6984</v>
      </c>
      <c r="FZZ11" t="s">
        <v>6984</v>
      </c>
      <c r="GAA11" t="s">
        <v>6984</v>
      </c>
      <c r="GAB11" t="s">
        <v>6984</v>
      </c>
      <c r="GAC11" t="s">
        <v>6984</v>
      </c>
      <c r="GAD11" t="s">
        <v>6984</v>
      </c>
      <c r="GAE11" t="s">
        <v>6984</v>
      </c>
      <c r="GAF11" t="s">
        <v>6984</v>
      </c>
      <c r="GAG11" t="s">
        <v>6984</v>
      </c>
      <c r="GAH11" t="s">
        <v>6984</v>
      </c>
      <c r="GAI11" t="s">
        <v>6984</v>
      </c>
      <c r="GAJ11" t="s">
        <v>6984</v>
      </c>
      <c r="GAK11" t="s">
        <v>6984</v>
      </c>
      <c r="GAL11" t="s">
        <v>6984</v>
      </c>
      <c r="GAM11" t="s">
        <v>6984</v>
      </c>
      <c r="GAN11" t="s">
        <v>6984</v>
      </c>
      <c r="GAO11" t="s">
        <v>6984</v>
      </c>
      <c r="GAP11" t="s">
        <v>6984</v>
      </c>
      <c r="GAQ11" t="s">
        <v>6984</v>
      </c>
      <c r="GAR11" t="s">
        <v>6984</v>
      </c>
      <c r="GAS11" t="s">
        <v>6984</v>
      </c>
      <c r="GAT11" t="s">
        <v>6984</v>
      </c>
      <c r="GAU11" t="s">
        <v>6984</v>
      </c>
      <c r="GAV11" t="s">
        <v>6984</v>
      </c>
      <c r="GAW11" t="s">
        <v>6984</v>
      </c>
      <c r="GAX11" t="s">
        <v>6984</v>
      </c>
      <c r="GAY11" t="s">
        <v>6984</v>
      </c>
      <c r="GAZ11" t="s">
        <v>6984</v>
      </c>
      <c r="GBA11" t="s">
        <v>6984</v>
      </c>
      <c r="GBB11" t="s">
        <v>6984</v>
      </c>
      <c r="GBC11" t="s">
        <v>6984</v>
      </c>
      <c r="GBD11" t="s">
        <v>6984</v>
      </c>
      <c r="GBE11" t="s">
        <v>6984</v>
      </c>
      <c r="GBF11" t="s">
        <v>6984</v>
      </c>
      <c r="GBG11" t="s">
        <v>6984</v>
      </c>
      <c r="GBH11" t="s">
        <v>6984</v>
      </c>
      <c r="GBI11" t="s">
        <v>6984</v>
      </c>
      <c r="GBJ11" t="s">
        <v>6984</v>
      </c>
      <c r="GBK11" t="s">
        <v>6984</v>
      </c>
      <c r="GBL11" t="s">
        <v>6984</v>
      </c>
      <c r="GBM11" t="s">
        <v>6984</v>
      </c>
      <c r="GBN11" t="s">
        <v>6984</v>
      </c>
      <c r="GBO11" t="s">
        <v>6984</v>
      </c>
      <c r="GBP11" t="s">
        <v>6984</v>
      </c>
      <c r="GBQ11" t="s">
        <v>6984</v>
      </c>
      <c r="GBR11" t="s">
        <v>6984</v>
      </c>
      <c r="GBS11" t="s">
        <v>6984</v>
      </c>
      <c r="GBT11" t="s">
        <v>6984</v>
      </c>
      <c r="GBU11" t="s">
        <v>6984</v>
      </c>
      <c r="GBV11" t="s">
        <v>6984</v>
      </c>
      <c r="GBW11" t="s">
        <v>6984</v>
      </c>
      <c r="GBX11" t="s">
        <v>6984</v>
      </c>
      <c r="GBY11" t="s">
        <v>6984</v>
      </c>
      <c r="GBZ11" t="s">
        <v>6984</v>
      </c>
      <c r="GCA11" t="s">
        <v>6984</v>
      </c>
      <c r="GCB11" t="s">
        <v>6984</v>
      </c>
      <c r="GCC11" t="s">
        <v>6984</v>
      </c>
      <c r="GCD11" t="s">
        <v>6984</v>
      </c>
      <c r="GCE11" t="s">
        <v>6984</v>
      </c>
      <c r="GCF11" t="s">
        <v>6984</v>
      </c>
      <c r="GCG11" t="s">
        <v>6984</v>
      </c>
      <c r="GCH11" t="s">
        <v>6984</v>
      </c>
      <c r="GCI11" t="s">
        <v>6984</v>
      </c>
      <c r="GCJ11" t="s">
        <v>6984</v>
      </c>
      <c r="GCK11" t="s">
        <v>6984</v>
      </c>
      <c r="GCL11" t="s">
        <v>6984</v>
      </c>
      <c r="GCM11" t="s">
        <v>6984</v>
      </c>
      <c r="GCN11" t="s">
        <v>6984</v>
      </c>
      <c r="GCO11" t="s">
        <v>6984</v>
      </c>
      <c r="GCP11" t="s">
        <v>6984</v>
      </c>
      <c r="GCQ11" t="s">
        <v>6984</v>
      </c>
      <c r="GCR11" t="s">
        <v>6984</v>
      </c>
      <c r="GCS11" t="s">
        <v>6984</v>
      </c>
      <c r="GCT11" t="s">
        <v>6984</v>
      </c>
      <c r="GCU11" t="s">
        <v>6984</v>
      </c>
      <c r="GCV11" t="s">
        <v>6984</v>
      </c>
      <c r="GCW11" t="s">
        <v>6984</v>
      </c>
      <c r="GCX11" t="s">
        <v>6984</v>
      </c>
      <c r="GCY11" t="s">
        <v>6984</v>
      </c>
      <c r="GCZ11" t="s">
        <v>6984</v>
      </c>
      <c r="GDA11" t="s">
        <v>6984</v>
      </c>
      <c r="GDB11" t="s">
        <v>6984</v>
      </c>
      <c r="GDC11" t="s">
        <v>6984</v>
      </c>
      <c r="GDD11" t="s">
        <v>6984</v>
      </c>
      <c r="GDE11" t="s">
        <v>6984</v>
      </c>
      <c r="GDF11" t="s">
        <v>6984</v>
      </c>
      <c r="GDG11" t="s">
        <v>6984</v>
      </c>
      <c r="GDH11" t="s">
        <v>6984</v>
      </c>
      <c r="GDI11" t="s">
        <v>6984</v>
      </c>
      <c r="GDJ11" t="s">
        <v>6984</v>
      </c>
      <c r="GDK11" t="s">
        <v>6984</v>
      </c>
      <c r="GDL11" t="s">
        <v>6984</v>
      </c>
      <c r="GDM11" t="s">
        <v>6984</v>
      </c>
      <c r="GDN11" t="s">
        <v>6984</v>
      </c>
      <c r="GDO11" t="s">
        <v>6984</v>
      </c>
      <c r="GDP11" t="s">
        <v>6984</v>
      </c>
      <c r="GDQ11" t="s">
        <v>6984</v>
      </c>
      <c r="GDR11" t="s">
        <v>6984</v>
      </c>
      <c r="GDS11" t="s">
        <v>6984</v>
      </c>
      <c r="GDT11" t="s">
        <v>6984</v>
      </c>
      <c r="GDU11" t="s">
        <v>6984</v>
      </c>
      <c r="GDV11" t="s">
        <v>6984</v>
      </c>
      <c r="GDW11" t="s">
        <v>6984</v>
      </c>
      <c r="GDX11" t="s">
        <v>6984</v>
      </c>
      <c r="GDY11" t="s">
        <v>6984</v>
      </c>
      <c r="GDZ11" t="s">
        <v>6984</v>
      </c>
      <c r="GEA11" t="s">
        <v>6984</v>
      </c>
      <c r="GEB11" t="s">
        <v>6984</v>
      </c>
      <c r="GEC11" t="s">
        <v>6984</v>
      </c>
      <c r="GED11" t="s">
        <v>6984</v>
      </c>
      <c r="GEE11" t="s">
        <v>6984</v>
      </c>
      <c r="GEF11" t="s">
        <v>6984</v>
      </c>
      <c r="GEG11" t="s">
        <v>6984</v>
      </c>
      <c r="GEH11" t="s">
        <v>6984</v>
      </c>
      <c r="GEI11" t="s">
        <v>6984</v>
      </c>
      <c r="GEJ11" t="s">
        <v>6984</v>
      </c>
      <c r="GEK11" t="s">
        <v>6984</v>
      </c>
      <c r="GEL11" t="s">
        <v>6984</v>
      </c>
      <c r="GEM11" t="s">
        <v>6984</v>
      </c>
      <c r="GEN11" t="s">
        <v>6984</v>
      </c>
      <c r="GEO11" t="s">
        <v>6984</v>
      </c>
      <c r="GEP11" t="s">
        <v>6984</v>
      </c>
      <c r="GEQ11" t="s">
        <v>6984</v>
      </c>
      <c r="GER11" t="s">
        <v>6984</v>
      </c>
      <c r="GES11" t="s">
        <v>6984</v>
      </c>
      <c r="GET11" t="s">
        <v>6984</v>
      </c>
      <c r="GEU11" t="s">
        <v>6984</v>
      </c>
      <c r="GEV11" t="s">
        <v>6984</v>
      </c>
      <c r="GEW11" t="s">
        <v>6984</v>
      </c>
      <c r="GEX11" t="s">
        <v>6984</v>
      </c>
      <c r="GEY11" t="s">
        <v>6984</v>
      </c>
      <c r="GEZ11" t="s">
        <v>6984</v>
      </c>
      <c r="GFA11" t="s">
        <v>6984</v>
      </c>
      <c r="GFB11" t="s">
        <v>6984</v>
      </c>
      <c r="GFC11" t="s">
        <v>6984</v>
      </c>
      <c r="GFD11" t="s">
        <v>6984</v>
      </c>
      <c r="GFE11" t="s">
        <v>6984</v>
      </c>
      <c r="GFF11" t="s">
        <v>6984</v>
      </c>
      <c r="GFG11" t="s">
        <v>6984</v>
      </c>
      <c r="GFH11" t="s">
        <v>6984</v>
      </c>
      <c r="GFI11" t="s">
        <v>6984</v>
      </c>
      <c r="GFJ11" t="s">
        <v>6984</v>
      </c>
      <c r="GFK11" t="s">
        <v>6984</v>
      </c>
      <c r="GFL11" t="s">
        <v>6984</v>
      </c>
      <c r="GFM11" t="s">
        <v>6984</v>
      </c>
      <c r="GFN11" t="s">
        <v>6984</v>
      </c>
      <c r="GFO11" t="s">
        <v>6984</v>
      </c>
      <c r="GFP11" t="s">
        <v>6984</v>
      </c>
      <c r="GFQ11" t="s">
        <v>6984</v>
      </c>
      <c r="GFR11" t="s">
        <v>6984</v>
      </c>
      <c r="GFS11" t="s">
        <v>6984</v>
      </c>
      <c r="GFT11" t="s">
        <v>6984</v>
      </c>
      <c r="GFU11" t="s">
        <v>6984</v>
      </c>
      <c r="GFV11" t="s">
        <v>6984</v>
      </c>
      <c r="GFW11" t="s">
        <v>6984</v>
      </c>
      <c r="GFX11" t="s">
        <v>6984</v>
      </c>
      <c r="GFY11" t="s">
        <v>6984</v>
      </c>
      <c r="GFZ11" t="s">
        <v>6984</v>
      </c>
      <c r="GGA11" t="s">
        <v>6984</v>
      </c>
      <c r="GGB11" t="s">
        <v>6984</v>
      </c>
      <c r="GGC11" t="s">
        <v>6984</v>
      </c>
      <c r="GGD11" t="s">
        <v>6984</v>
      </c>
      <c r="GGE11" t="s">
        <v>6984</v>
      </c>
      <c r="GGF11" t="s">
        <v>6984</v>
      </c>
      <c r="GGG11" t="s">
        <v>6984</v>
      </c>
      <c r="GGH11" t="s">
        <v>6984</v>
      </c>
      <c r="GGI11" t="s">
        <v>6984</v>
      </c>
      <c r="GGJ11" t="s">
        <v>6984</v>
      </c>
      <c r="GGK11" t="s">
        <v>6984</v>
      </c>
      <c r="GGL11" t="s">
        <v>6984</v>
      </c>
      <c r="GGM11" t="s">
        <v>6984</v>
      </c>
      <c r="GGN11" t="s">
        <v>6984</v>
      </c>
      <c r="GGO11" t="s">
        <v>6984</v>
      </c>
      <c r="GGP11" t="s">
        <v>6984</v>
      </c>
      <c r="GGQ11" t="s">
        <v>6984</v>
      </c>
      <c r="GGR11" t="s">
        <v>6984</v>
      </c>
      <c r="GGS11" t="s">
        <v>6984</v>
      </c>
      <c r="GGT11" t="s">
        <v>6984</v>
      </c>
      <c r="GGU11" t="s">
        <v>6984</v>
      </c>
      <c r="GGV11" t="s">
        <v>6984</v>
      </c>
      <c r="GGW11" t="s">
        <v>6984</v>
      </c>
      <c r="GGX11" t="s">
        <v>6984</v>
      </c>
      <c r="GGY11" t="s">
        <v>6984</v>
      </c>
      <c r="GGZ11" t="s">
        <v>6984</v>
      </c>
      <c r="GHA11" t="s">
        <v>6984</v>
      </c>
      <c r="GHB11" t="s">
        <v>6984</v>
      </c>
      <c r="GHC11" t="s">
        <v>6984</v>
      </c>
      <c r="GHD11" t="s">
        <v>6984</v>
      </c>
      <c r="GHE11" t="s">
        <v>6984</v>
      </c>
      <c r="GHF11" t="s">
        <v>6984</v>
      </c>
      <c r="GHG11" t="s">
        <v>6984</v>
      </c>
      <c r="GHH11" t="s">
        <v>6984</v>
      </c>
      <c r="GHI11" t="s">
        <v>6984</v>
      </c>
      <c r="GHJ11" t="s">
        <v>6984</v>
      </c>
      <c r="GHK11" t="s">
        <v>6984</v>
      </c>
      <c r="GHL11" t="s">
        <v>6984</v>
      </c>
      <c r="GHM11" t="s">
        <v>6984</v>
      </c>
      <c r="GHN11" t="s">
        <v>6984</v>
      </c>
      <c r="GHO11" t="s">
        <v>6984</v>
      </c>
      <c r="GHP11" t="s">
        <v>6984</v>
      </c>
      <c r="GHQ11" t="s">
        <v>6984</v>
      </c>
      <c r="GHR11" t="s">
        <v>6984</v>
      </c>
      <c r="GHS11" t="s">
        <v>6984</v>
      </c>
      <c r="GHT11" t="s">
        <v>6984</v>
      </c>
      <c r="GHU11" t="s">
        <v>6984</v>
      </c>
      <c r="GHV11" t="s">
        <v>6984</v>
      </c>
      <c r="GHW11" t="s">
        <v>6984</v>
      </c>
      <c r="GHX11" t="s">
        <v>6984</v>
      </c>
      <c r="GHY11" t="s">
        <v>6984</v>
      </c>
      <c r="GHZ11" t="s">
        <v>6984</v>
      </c>
      <c r="GIA11" t="s">
        <v>6984</v>
      </c>
      <c r="GIB11" t="s">
        <v>6984</v>
      </c>
      <c r="GIC11" t="s">
        <v>6984</v>
      </c>
      <c r="GID11" t="s">
        <v>6984</v>
      </c>
      <c r="GIE11" t="s">
        <v>6984</v>
      </c>
      <c r="GIF11" t="s">
        <v>6984</v>
      </c>
      <c r="GIG11" t="s">
        <v>6984</v>
      </c>
      <c r="GIH11" t="s">
        <v>6984</v>
      </c>
      <c r="GII11" t="s">
        <v>6984</v>
      </c>
      <c r="GIJ11" t="s">
        <v>6984</v>
      </c>
      <c r="GIK11" t="s">
        <v>6984</v>
      </c>
      <c r="GIL11" t="s">
        <v>6984</v>
      </c>
      <c r="GIM11" t="s">
        <v>6984</v>
      </c>
      <c r="GIN11" t="s">
        <v>6984</v>
      </c>
      <c r="GIO11" t="s">
        <v>6984</v>
      </c>
      <c r="GIP11" t="s">
        <v>6984</v>
      </c>
      <c r="GIQ11" t="s">
        <v>6984</v>
      </c>
      <c r="GIR11" t="s">
        <v>6984</v>
      </c>
      <c r="GIS11" t="s">
        <v>6984</v>
      </c>
      <c r="GIT11" t="s">
        <v>6984</v>
      </c>
      <c r="GIU11" t="s">
        <v>6984</v>
      </c>
      <c r="GIV11" t="s">
        <v>6984</v>
      </c>
      <c r="GIW11" t="s">
        <v>6984</v>
      </c>
      <c r="GIX11" t="s">
        <v>6984</v>
      </c>
      <c r="GIY11" t="s">
        <v>6984</v>
      </c>
      <c r="GIZ11" t="s">
        <v>6984</v>
      </c>
      <c r="GJA11" t="s">
        <v>6984</v>
      </c>
      <c r="GJB11" t="s">
        <v>6984</v>
      </c>
      <c r="GJC11" t="s">
        <v>6984</v>
      </c>
      <c r="GJD11" t="s">
        <v>6984</v>
      </c>
      <c r="GJE11" t="s">
        <v>6984</v>
      </c>
      <c r="GJF11" t="s">
        <v>6984</v>
      </c>
      <c r="GJG11" t="s">
        <v>6984</v>
      </c>
      <c r="GJH11" t="s">
        <v>6984</v>
      </c>
      <c r="GJI11" t="s">
        <v>6984</v>
      </c>
      <c r="GJJ11" t="s">
        <v>6984</v>
      </c>
      <c r="GJK11" t="s">
        <v>6984</v>
      </c>
      <c r="GJL11" t="s">
        <v>6984</v>
      </c>
      <c r="GJM11" t="s">
        <v>6984</v>
      </c>
      <c r="GJN11" t="s">
        <v>6984</v>
      </c>
      <c r="GJO11" t="s">
        <v>6984</v>
      </c>
      <c r="GJP11" t="s">
        <v>6984</v>
      </c>
      <c r="GJQ11" t="s">
        <v>6984</v>
      </c>
      <c r="GJR11" t="s">
        <v>6984</v>
      </c>
      <c r="GJS11" t="s">
        <v>6984</v>
      </c>
      <c r="GJT11" t="s">
        <v>6984</v>
      </c>
      <c r="GJU11" t="s">
        <v>6984</v>
      </c>
      <c r="GJV11" t="s">
        <v>6984</v>
      </c>
      <c r="GJW11" t="s">
        <v>6984</v>
      </c>
      <c r="GJX11" t="s">
        <v>6984</v>
      </c>
      <c r="GJY11" t="s">
        <v>6984</v>
      </c>
      <c r="GJZ11" t="s">
        <v>6984</v>
      </c>
      <c r="GKA11" t="s">
        <v>6984</v>
      </c>
      <c r="GKB11" t="s">
        <v>6984</v>
      </c>
      <c r="GKC11" t="s">
        <v>6984</v>
      </c>
      <c r="GKD11" t="s">
        <v>6984</v>
      </c>
      <c r="GKE11" t="s">
        <v>6984</v>
      </c>
      <c r="GKF11" t="s">
        <v>6984</v>
      </c>
      <c r="GKG11" t="s">
        <v>6984</v>
      </c>
      <c r="GKH11" t="s">
        <v>6984</v>
      </c>
      <c r="GKI11" t="s">
        <v>6984</v>
      </c>
      <c r="GKJ11" t="s">
        <v>6984</v>
      </c>
      <c r="GKK11" t="s">
        <v>6984</v>
      </c>
      <c r="GKL11" t="s">
        <v>6984</v>
      </c>
      <c r="GKM11" t="s">
        <v>6984</v>
      </c>
      <c r="GKN11" t="s">
        <v>6984</v>
      </c>
      <c r="GKO11" t="s">
        <v>6984</v>
      </c>
      <c r="GKP11" t="s">
        <v>6984</v>
      </c>
      <c r="GKQ11" t="s">
        <v>6984</v>
      </c>
      <c r="GKR11" t="s">
        <v>6984</v>
      </c>
      <c r="GKS11" t="s">
        <v>6984</v>
      </c>
      <c r="GKT11" t="s">
        <v>6984</v>
      </c>
      <c r="GKU11" t="s">
        <v>6984</v>
      </c>
      <c r="GKV11" t="s">
        <v>6984</v>
      </c>
      <c r="GKW11" t="s">
        <v>6984</v>
      </c>
      <c r="GKX11" t="s">
        <v>6984</v>
      </c>
      <c r="GKY11" t="s">
        <v>6984</v>
      </c>
      <c r="GKZ11" t="s">
        <v>6984</v>
      </c>
      <c r="GLA11" t="s">
        <v>6984</v>
      </c>
      <c r="GLB11" t="s">
        <v>6984</v>
      </c>
      <c r="GLC11" t="s">
        <v>6984</v>
      </c>
      <c r="GLD11" t="s">
        <v>6984</v>
      </c>
      <c r="GLE11" t="s">
        <v>6984</v>
      </c>
      <c r="GLF11" t="s">
        <v>6984</v>
      </c>
      <c r="GLG11" t="s">
        <v>6984</v>
      </c>
      <c r="GLH11" t="s">
        <v>6984</v>
      </c>
      <c r="GLI11" t="s">
        <v>6984</v>
      </c>
      <c r="GLJ11" t="s">
        <v>6984</v>
      </c>
      <c r="GLK11" t="s">
        <v>6984</v>
      </c>
      <c r="GLL11" t="s">
        <v>6984</v>
      </c>
      <c r="GLM11" t="s">
        <v>6984</v>
      </c>
      <c r="GLN11" t="s">
        <v>6984</v>
      </c>
      <c r="GLO11" t="s">
        <v>6984</v>
      </c>
      <c r="GLP11" t="s">
        <v>6984</v>
      </c>
      <c r="GLQ11" t="s">
        <v>6984</v>
      </c>
      <c r="GLR11" t="s">
        <v>6984</v>
      </c>
      <c r="GLS11" t="s">
        <v>6984</v>
      </c>
      <c r="GLT11" t="s">
        <v>6984</v>
      </c>
      <c r="GLU11" t="s">
        <v>6984</v>
      </c>
      <c r="GLV11" t="s">
        <v>6984</v>
      </c>
      <c r="GLW11" t="s">
        <v>6984</v>
      </c>
      <c r="GLX11" t="s">
        <v>6984</v>
      </c>
      <c r="GLY11" t="s">
        <v>6984</v>
      </c>
      <c r="GLZ11" t="s">
        <v>6984</v>
      </c>
      <c r="GMA11" t="s">
        <v>6984</v>
      </c>
      <c r="GMB11" t="s">
        <v>6984</v>
      </c>
      <c r="GMC11" t="s">
        <v>6984</v>
      </c>
      <c r="GMD11" t="s">
        <v>6984</v>
      </c>
      <c r="GME11" t="s">
        <v>6984</v>
      </c>
      <c r="GMF11" t="s">
        <v>6984</v>
      </c>
      <c r="GMG11" t="s">
        <v>6984</v>
      </c>
      <c r="GMH11" t="s">
        <v>6984</v>
      </c>
      <c r="GMI11" t="s">
        <v>6984</v>
      </c>
      <c r="GMJ11" t="s">
        <v>6984</v>
      </c>
      <c r="GMK11" t="s">
        <v>6984</v>
      </c>
      <c r="GML11" t="s">
        <v>6984</v>
      </c>
      <c r="GMM11" t="s">
        <v>6984</v>
      </c>
      <c r="GMN11" t="s">
        <v>6984</v>
      </c>
      <c r="GMO11" t="s">
        <v>6984</v>
      </c>
      <c r="GMP11" t="s">
        <v>6984</v>
      </c>
      <c r="GMQ11" t="s">
        <v>6984</v>
      </c>
      <c r="GMR11" t="s">
        <v>6984</v>
      </c>
      <c r="GMS11" t="s">
        <v>6984</v>
      </c>
      <c r="GMT11" t="s">
        <v>6984</v>
      </c>
      <c r="GMU11" t="s">
        <v>6984</v>
      </c>
      <c r="GMV11" t="s">
        <v>6984</v>
      </c>
      <c r="GMW11" t="s">
        <v>6984</v>
      </c>
      <c r="GMX11" t="s">
        <v>6984</v>
      </c>
      <c r="GMY11" t="s">
        <v>6984</v>
      </c>
      <c r="GMZ11" t="s">
        <v>6984</v>
      </c>
      <c r="GNA11" t="s">
        <v>6984</v>
      </c>
      <c r="GNB11" t="s">
        <v>6984</v>
      </c>
      <c r="GNC11" t="s">
        <v>6984</v>
      </c>
      <c r="GND11" t="s">
        <v>6984</v>
      </c>
      <c r="GNE11" t="s">
        <v>6984</v>
      </c>
      <c r="GNF11" t="s">
        <v>6984</v>
      </c>
      <c r="GNG11" t="s">
        <v>6984</v>
      </c>
      <c r="GNH11" t="s">
        <v>6984</v>
      </c>
      <c r="GNI11" t="s">
        <v>6984</v>
      </c>
      <c r="GNJ11" t="s">
        <v>6984</v>
      </c>
      <c r="GNK11" t="s">
        <v>6984</v>
      </c>
      <c r="GNL11" t="s">
        <v>6984</v>
      </c>
      <c r="GNM11" t="s">
        <v>6984</v>
      </c>
      <c r="GNN11" t="s">
        <v>6984</v>
      </c>
      <c r="GNO11" t="s">
        <v>6984</v>
      </c>
      <c r="GNP11" t="s">
        <v>6984</v>
      </c>
      <c r="GNQ11" t="s">
        <v>6984</v>
      </c>
      <c r="GNR11" t="s">
        <v>6984</v>
      </c>
      <c r="GNS11" t="s">
        <v>6984</v>
      </c>
      <c r="GNT11" t="s">
        <v>6984</v>
      </c>
      <c r="GNU11" t="s">
        <v>6984</v>
      </c>
      <c r="GNV11" t="s">
        <v>6984</v>
      </c>
      <c r="GNW11" t="s">
        <v>6984</v>
      </c>
      <c r="GNX11" t="s">
        <v>6984</v>
      </c>
      <c r="GNY11" t="s">
        <v>6984</v>
      </c>
      <c r="GNZ11" t="s">
        <v>6984</v>
      </c>
      <c r="GOA11" t="s">
        <v>6984</v>
      </c>
      <c r="GOB11" t="s">
        <v>6984</v>
      </c>
      <c r="GOC11" t="s">
        <v>6984</v>
      </c>
      <c r="GOD11" t="s">
        <v>6984</v>
      </c>
      <c r="GOE11" t="s">
        <v>6984</v>
      </c>
      <c r="GOF11" t="s">
        <v>6984</v>
      </c>
      <c r="GOG11" t="s">
        <v>6984</v>
      </c>
      <c r="GOH11" t="s">
        <v>6984</v>
      </c>
      <c r="GOI11" t="s">
        <v>6984</v>
      </c>
      <c r="GOJ11" t="s">
        <v>6984</v>
      </c>
      <c r="GOK11" t="s">
        <v>6984</v>
      </c>
      <c r="GOL11" t="s">
        <v>6984</v>
      </c>
      <c r="GOM11" t="s">
        <v>6984</v>
      </c>
      <c r="GON11" t="s">
        <v>6984</v>
      </c>
      <c r="GOO11" t="s">
        <v>6984</v>
      </c>
      <c r="GOP11" t="s">
        <v>6984</v>
      </c>
      <c r="GOQ11" t="s">
        <v>6984</v>
      </c>
      <c r="GOR11" t="s">
        <v>6984</v>
      </c>
      <c r="GOS11" t="s">
        <v>6984</v>
      </c>
      <c r="GOT11" t="s">
        <v>6984</v>
      </c>
      <c r="GOU11" t="s">
        <v>6984</v>
      </c>
      <c r="GOV11" t="s">
        <v>6984</v>
      </c>
      <c r="GOW11" t="s">
        <v>6984</v>
      </c>
      <c r="GOX11" t="s">
        <v>6984</v>
      </c>
      <c r="GOY11" t="s">
        <v>6984</v>
      </c>
      <c r="GOZ11" t="s">
        <v>6984</v>
      </c>
      <c r="GPA11" t="s">
        <v>6984</v>
      </c>
      <c r="GPB11" t="s">
        <v>6984</v>
      </c>
      <c r="GPC11" t="s">
        <v>6984</v>
      </c>
      <c r="GPD11" t="s">
        <v>6984</v>
      </c>
      <c r="GPE11" t="s">
        <v>6984</v>
      </c>
      <c r="GPF11" t="s">
        <v>6984</v>
      </c>
      <c r="GPG11" t="s">
        <v>6984</v>
      </c>
      <c r="GPH11" t="s">
        <v>6984</v>
      </c>
      <c r="GPI11" t="s">
        <v>6984</v>
      </c>
      <c r="GPJ11" t="s">
        <v>6984</v>
      </c>
      <c r="GPK11" t="s">
        <v>6984</v>
      </c>
      <c r="GPL11" t="s">
        <v>6984</v>
      </c>
      <c r="GPM11" t="s">
        <v>6984</v>
      </c>
      <c r="GPN11" t="s">
        <v>6984</v>
      </c>
      <c r="GPO11" t="s">
        <v>6984</v>
      </c>
      <c r="GPP11" t="s">
        <v>6984</v>
      </c>
      <c r="GPQ11" t="s">
        <v>6984</v>
      </c>
      <c r="GPR11" t="s">
        <v>6984</v>
      </c>
      <c r="GPS11" t="s">
        <v>6984</v>
      </c>
      <c r="GPT11" t="s">
        <v>6984</v>
      </c>
      <c r="GPU11" t="s">
        <v>6984</v>
      </c>
      <c r="GPV11" t="s">
        <v>6984</v>
      </c>
      <c r="GPW11" t="s">
        <v>6984</v>
      </c>
      <c r="GPX11" t="s">
        <v>6984</v>
      </c>
      <c r="GPY11" t="s">
        <v>6984</v>
      </c>
      <c r="GPZ11" t="s">
        <v>6984</v>
      </c>
      <c r="GQA11" t="s">
        <v>6984</v>
      </c>
      <c r="GQB11" t="s">
        <v>6984</v>
      </c>
      <c r="GQC11" t="s">
        <v>6984</v>
      </c>
      <c r="GQD11" t="s">
        <v>6984</v>
      </c>
      <c r="GQE11" t="s">
        <v>6984</v>
      </c>
      <c r="GQF11" t="s">
        <v>6984</v>
      </c>
      <c r="GQG11" t="s">
        <v>6984</v>
      </c>
      <c r="GQH11" t="s">
        <v>6984</v>
      </c>
      <c r="GQI11" t="s">
        <v>6984</v>
      </c>
      <c r="GQJ11" t="s">
        <v>6984</v>
      </c>
      <c r="GQK11" t="s">
        <v>6984</v>
      </c>
      <c r="GQL11" t="s">
        <v>6984</v>
      </c>
      <c r="GQM11" t="s">
        <v>6984</v>
      </c>
      <c r="GQN11" t="s">
        <v>6984</v>
      </c>
      <c r="GQO11" t="s">
        <v>6984</v>
      </c>
      <c r="GQP11" t="s">
        <v>6984</v>
      </c>
      <c r="GQQ11" t="s">
        <v>6984</v>
      </c>
      <c r="GQR11" t="s">
        <v>6984</v>
      </c>
      <c r="GQS11" t="s">
        <v>6984</v>
      </c>
      <c r="GQT11" t="s">
        <v>6984</v>
      </c>
      <c r="GQU11" t="s">
        <v>6984</v>
      </c>
      <c r="GQV11" t="s">
        <v>6984</v>
      </c>
      <c r="GQW11" t="s">
        <v>6984</v>
      </c>
      <c r="GQX11" t="s">
        <v>6984</v>
      </c>
      <c r="GQY11" t="s">
        <v>6984</v>
      </c>
      <c r="GQZ11" t="s">
        <v>6984</v>
      </c>
      <c r="GRA11" t="s">
        <v>6984</v>
      </c>
      <c r="GRB11" t="s">
        <v>6984</v>
      </c>
      <c r="GRC11" t="s">
        <v>6984</v>
      </c>
      <c r="GRD11" t="s">
        <v>6984</v>
      </c>
      <c r="GRE11" t="s">
        <v>6984</v>
      </c>
      <c r="GRF11" t="s">
        <v>6984</v>
      </c>
      <c r="GRG11" t="s">
        <v>6984</v>
      </c>
      <c r="GRH11" t="s">
        <v>6984</v>
      </c>
      <c r="GRI11" t="s">
        <v>6984</v>
      </c>
      <c r="GRJ11" t="s">
        <v>6984</v>
      </c>
      <c r="GRK11" t="s">
        <v>6984</v>
      </c>
      <c r="GRL11" t="s">
        <v>6984</v>
      </c>
      <c r="GRM11" t="s">
        <v>6984</v>
      </c>
      <c r="GRN11" t="s">
        <v>6984</v>
      </c>
      <c r="GRO11" t="s">
        <v>6984</v>
      </c>
      <c r="GRP11" t="s">
        <v>6984</v>
      </c>
      <c r="GRQ11" t="s">
        <v>6984</v>
      </c>
      <c r="GRR11" t="s">
        <v>6984</v>
      </c>
      <c r="GRS11" t="s">
        <v>6984</v>
      </c>
      <c r="GRT11" t="s">
        <v>6984</v>
      </c>
      <c r="GRU11" t="s">
        <v>6984</v>
      </c>
      <c r="GRV11" t="s">
        <v>6984</v>
      </c>
      <c r="GRW11" t="s">
        <v>6984</v>
      </c>
      <c r="GRX11" t="s">
        <v>6984</v>
      </c>
      <c r="GRY11" t="s">
        <v>6984</v>
      </c>
      <c r="GRZ11" t="s">
        <v>6984</v>
      </c>
      <c r="GSA11" t="s">
        <v>6984</v>
      </c>
      <c r="GSB11" t="s">
        <v>6984</v>
      </c>
      <c r="GSC11" t="s">
        <v>6984</v>
      </c>
      <c r="GSD11" t="s">
        <v>6984</v>
      </c>
      <c r="GSE11" t="s">
        <v>6984</v>
      </c>
      <c r="GSF11" t="s">
        <v>6984</v>
      </c>
      <c r="GSG11" t="s">
        <v>6984</v>
      </c>
      <c r="GSH11" t="s">
        <v>6984</v>
      </c>
      <c r="GSI11" t="s">
        <v>6984</v>
      </c>
      <c r="GSJ11" t="s">
        <v>6984</v>
      </c>
      <c r="GSK11" t="s">
        <v>6984</v>
      </c>
      <c r="GSL11" t="s">
        <v>6984</v>
      </c>
      <c r="GSM11" t="s">
        <v>6984</v>
      </c>
      <c r="GSN11" t="s">
        <v>6984</v>
      </c>
      <c r="GSO11" t="s">
        <v>6984</v>
      </c>
      <c r="GSP11" t="s">
        <v>6984</v>
      </c>
      <c r="GSQ11" t="s">
        <v>6984</v>
      </c>
      <c r="GSR11" t="s">
        <v>6984</v>
      </c>
      <c r="GSS11" t="s">
        <v>6984</v>
      </c>
      <c r="GST11" t="s">
        <v>6984</v>
      </c>
      <c r="GSU11" t="s">
        <v>6984</v>
      </c>
      <c r="GSV11" t="s">
        <v>6984</v>
      </c>
      <c r="GSW11" t="s">
        <v>6984</v>
      </c>
      <c r="GSX11" t="s">
        <v>6984</v>
      </c>
      <c r="GSY11" t="s">
        <v>6984</v>
      </c>
      <c r="GSZ11" t="s">
        <v>6984</v>
      </c>
      <c r="GTA11" t="s">
        <v>6984</v>
      </c>
      <c r="GTB11" t="s">
        <v>6984</v>
      </c>
      <c r="GTC11" t="s">
        <v>6984</v>
      </c>
      <c r="GTD11" t="s">
        <v>6984</v>
      </c>
      <c r="GTE11" t="s">
        <v>6984</v>
      </c>
      <c r="GTF11" t="s">
        <v>6984</v>
      </c>
      <c r="GTG11" t="s">
        <v>6984</v>
      </c>
      <c r="GTH11" t="s">
        <v>6984</v>
      </c>
      <c r="GTI11" t="s">
        <v>6984</v>
      </c>
      <c r="GTJ11" t="s">
        <v>6984</v>
      </c>
      <c r="GTK11" t="s">
        <v>6984</v>
      </c>
      <c r="GTL11" t="s">
        <v>6984</v>
      </c>
      <c r="GTM11" t="s">
        <v>6984</v>
      </c>
      <c r="GTN11" t="s">
        <v>6984</v>
      </c>
      <c r="GTO11" t="s">
        <v>6984</v>
      </c>
      <c r="GTP11" t="s">
        <v>6984</v>
      </c>
      <c r="GTQ11" t="s">
        <v>6984</v>
      </c>
      <c r="GTR11" t="s">
        <v>6984</v>
      </c>
      <c r="GTS11" t="s">
        <v>6984</v>
      </c>
      <c r="GTT11" t="s">
        <v>6984</v>
      </c>
      <c r="GTU11" t="s">
        <v>6984</v>
      </c>
      <c r="GTV11" t="s">
        <v>6984</v>
      </c>
      <c r="GTW11" t="s">
        <v>6984</v>
      </c>
      <c r="GTX11" t="s">
        <v>6984</v>
      </c>
      <c r="GTY11" t="s">
        <v>6984</v>
      </c>
      <c r="GTZ11" t="s">
        <v>6984</v>
      </c>
      <c r="GUA11" t="s">
        <v>6984</v>
      </c>
      <c r="GUB11" t="s">
        <v>6984</v>
      </c>
      <c r="GUC11" t="s">
        <v>6984</v>
      </c>
      <c r="GUD11" t="s">
        <v>6984</v>
      </c>
      <c r="GUE11" t="s">
        <v>6984</v>
      </c>
      <c r="GUF11" t="s">
        <v>6984</v>
      </c>
      <c r="GUG11" t="s">
        <v>6984</v>
      </c>
      <c r="GUH11" t="s">
        <v>6984</v>
      </c>
      <c r="GUI11" t="s">
        <v>6984</v>
      </c>
      <c r="GUJ11" t="s">
        <v>6984</v>
      </c>
      <c r="GUK11" t="s">
        <v>6984</v>
      </c>
      <c r="GUL11" t="s">
        <v>6984</v>
      </c>
      <c r="GUM11" t="s">
        <v>6984</v>
      </c>
      <c r="GUN11" t="s">
        <v>6984</v>
      </c>
      <c r="GUO11" t="s">
        <v>6984</v>
      </c>
      <c r="GUP11" t="s">
        <v>6984</v>
      </c>
      <c r="GUQ11" t="s">
        <v>6984</v>
      </c>
      <c r="GUR11" t="s">
        <v>6984</v>
      </c>
      <c r="GUS11" t="s">
        <v>6984</v>
      </c>
      <c r="GUT11" t="s">
        <v>6984</v>
      </c>
      <c r="GUU11" t="s">
        <v>6984</v>
      </c>
      <c r="GUV11" t="s">
        <v>6984</v>
      </c>
      <c r="GUW11" t="s">
        <v>6984</v>
      </c>
      <c r="GUX11" t="s">
        <v>6984</v>
      </c>
      <c r="GUY11" t="s">
        <v>6984</v>
      </c>
      <c r="GUZ11" t="s">
        <v>6984</v>
      </c>
      <c r="GVA11" t="s">
        <v>6984</v>
      </c>
      <c r="GVB11" t="s">
        <v>6984</v>
      </c>
      <c r="GVC11" t="s">
        <v>6984</v>
      </c>
      <c r="GVD11" t="s">
        <v>6984</v>
      </c>
      <c r="GVE11" t="s">
        <v>6984</v>
      </c>
      <c r="GVF11" t="s">
        <v>6984</v>
      </c>
      <c r="GVG11" t="s">
        <v>6984</v>
      </c>
      <c r="GVH11" t="s">
        <v>6984</v>
      </c>
      <c r="GVI11" t="s">
        <v>6984</v>
      </c>
      <c r="GVJ11" t="s">
        <v>6984</v>
      </c>
      <c r="GVK11" t="s">
        <v>6984</v>
      </c>
      <c r="GVL11" t="s">
        <v>6984</v>
      </c>
      <c r="GVM11" t="s">
        <v>6984</v>
      </c>
      <c r="GVN11" t="s">
        <v>6984</v>
      </c>
      <c r="GVO11" t="s">
        <v>6984</v>
      </c>
      <c r="GVP11" t="s">
        <v>6984</v>
      </c>
      <c r="GVQ11" t="s">
        <v>6984</v>
      </c>
      <c r="GVR11" t="s">
        <v>6984</v>
      </c>
      <c r="GVS11" t="s">
        <v>6984</v>
      </c>
      <c r="GVT11" t="s">
        <v>6984</v>
      </c>
      <c r="GVU11" t="s">
        <v>6984</v>
      </c>
      <c r="GVV11" t="s">
        <v>6984</v>
      </c>
      <c r="GVW11" t="s">
        <v>6984</v>
      </c>
      <c r="GVX11" t="s">
        <v>6984</v>
      </c>
      <c r="GVY11" t="s">
        <v>6984</v>
      </c>
      <c r="GVZ11" t="s">
        <v>6984</v>
      </c>
      <c r="GWA11" t="s">
        <v>6984</v>
      </c>
      <c r="GWB11" t="s">
        <v>6984</v>
      </c>
      <c r="GWC11" t="s">
        <v>6984</v>
      </c>
      <c r="GWD11" t="s">
        <v>6984</v>
      </c>
      <c r="GWE11" t="s">
        <v>6984</v>
      </c>
      <c r="GWF11" t="s">
        <v>6984</v>
      </c>
      <c r="GWG11" t="s">
        <v>6984</v>
      </c>
      <c r="GWH11" t="s">
        <v>6984</v>
      </c>
      <c r="GWI11" t="s">
        <v>6984</v>
      </c>
      <c r="GWJ11" t="s">
        <v>6984</v>
      </c>
      <c r="GWK11" t="s">
        <v>6984</v>
      </c>
      <c r="GWL11" t="s">
        <v>6984</v>
      </c>
      <c r="GWM11" t="s">
        <v>6984</v>
      </c>
      <c r="GWN11" t="s">
        <v>6984</v>
      </c>
      <c r="GWO11" t="s">
        <v>6984</v>
      </c>
      <c r="GWP11" t="s">
        <v>6984</v>
      </c>
      <c r="GWQ11" t="s">
        <v>6984</v>
      </c>
      <c r="GWR11" t="s">
        <v>6984</v>
      </c>
      <c r="GWS11" t="s">
        <v>6984</v>
      </c>
      <c r="GWT11" t="s">
        <v>6984</v>
      </c>
      <c r="GWU11" t="s">
        <v>6984</v>
      </c>
      <c r="GWV11" t="s">
        <v>6984</v>
      </c>
      <c r="GWW11" t="s">
        <v>6984</v>
      </c>
      <c r="GWX11" t="s">
        <v>6984</v>
      </c>
      <c r="GWY11" t="s">
        <v>6984</v>
      </c>
      <c r="GWZ11" t="s">
        <v>6984</v>
      </c>
      <c r="GXA11" t="s">
        <v>6984</v>
      </c>
      <c r="GXB11" t="s">
        <v>6984</v>
      </c>
      <c r="GXC11" t="s">
        <v>6984</v>
      </c>
      <c r="GXD11" t="s">
        <v>6984</v>
      </c>
      <c r="GXE11" t="s">
        <v>6984</v>
      </c>
      <c r="GXF11" t="s">
        <v>6984</v>
      </c>
      <c r="GXG11" t="s">
        <v>6984</v>
      </c>
      <c r="GXH11" t="s">
        <v>6984</v>
      </c>
      <c r="GXI11" t="s">
        <v>6984</v>
      </c>
      <c r="GXJ11" t="s">
        <v>6984</v>
      </c>
      <c r="GXK11" t="s">
        <v>6984</v>
      </c>
      <c r="GXL11" t="s">
        <v>6984</v>
      </c>
      <c r="GXM11" t="s">
        <v>6984</v>
      </c>
      <c r="GXN11" t="s">
        <v>6984</v>
      </c>
      <c r="GXO11" t="s">
        <v>6984</v>
      </c>
      <c r="GXP11" t="s">
        <v>6984</v>
      </c>
      <c r="GXQ11" t="s">
        <v>6984</v>
      </c>
      <c r="GXR11" t="s">
        <v>6984</v>
      </c>
      <c r="GXS11" t="s">
        <v>6984</v>
      </c>
      <c r="GXT11" t="s">
        <v>6984</v>
      </c>
      <c r="GXU11" t="s">
        <v>6984</v>
      </c>
      <c r="GXV11" t="s">
        <v>6984</v>
      </c>
      <c r="GXW11" t="s">
        <v>6984</v>
      </c>
      <c r="GXX11" t="s">
        <v>6984</v>
      </c>
      <c r="GXY11" t="s">
        <v>6984</v>
      </c>
      <c r="GXZ11" t="s">
        <v>6984</v>
      </c>
      <c r="GYA11" t="s">
        <v>6984</v>
      </c>
      <c r="GYB11" t="s">
        <v>6984</v>
      </c>
      <c r="GYC11" t="s">
        <v>6984</v>
      </c>
      <c r="GYD11" t="s">
        <v>6984</v>
      </c>
      <c r="GYE11" t="s">
        <v>6984</v>
      </c>
      <c r="GYF11" t="s">
        <v>6984</v>
      </c>
      <c r="GYG11" t="s">
        <v>6984</v>
      </c>
      <c r="GYH11" t="s">
        <v>6984</v>
      </c>
      <c r="GYI11" t="s">
        <v>6984</v>
      </c>
      <c r="GYJ11" t="s">
        <v>6984</v>
      </c>
      <c r="GYK11" t="s">
        <v>6984</v>
      </c>
      <c r="GYL11" t="s">
        <v>6984</v>
      </c>
      <c r="GYM11" t="s">
        <v>6984</v>
      </c>
      <c r="GYN11" t="s">
        <v>6984</v>
      </c>
      <c r="GYO11" t="s">
        <v>6984</v>
      </c>
      <c r="GYP11" t="s">
        <v>6984</v>
      </c>
      <c r="GYQ11" t="s">
        <v>6984</v>
      </c>
      <c r="GYR11" t="s">
        <v>6984</v>
      </c>
      <c r="GYS11" t="s">
        <v>6984</v>
      </c>
      <c r="GYT11" t="s">
        <v>6984</v>
      </c>
      <c r="GYU11" t="s">
        <v>6984</v>
      </c>
      <c r="GYV11" t="s">
        <v>6984</v>
      </c>
      <c r="GYW11" t="s">
        <v>6984</v>
      </c>
      <c r="GYX11" t="s">
        <v>6984</v>
      </c>
      <c r="GYY11" t="s">
        <v>6984</v>
      </c>
      <c r="GYZ11" t="s">
        <v>6984</v>
      </c>
      <c r="GZA11" t="s">
        <v>6984</v>
      </c>
      <c r="GZB11" t="s">
        <v>6984</v>
      </c>
      <c r="GZC11" t="s">
        <v>6984</v>
      </c>
      <c r="GZD11" t="s">
        <v>6984</v>
      </c>
      <c r="GZE11" t="s">
        <v>6984</v>
      </c>
      <c r="GZF11" t="s">
        <v>6984</v>
      </c>
      <c r="GZG11" t="s">
        <v>6984</v>
      </c>
      <c r="GZH11" t="s">
        <v>6984</v>
      </c>
      <c r="GZI11" t="s">
        <v>6984</v>
      </c>
      <c r="GZJ11" t="s">
        <v>6984</v>
      </c>
      <c r="GZK11" t="s">
        <v>6984</v>
      </c>
      <c r="GZL11" t="s">
        <v>6984</v>
      </c>
      <c r="GZM11" t="s">
        <v>6984</v>
      </c>
      <c r="GZN11" t="s">
        <v>6984</v>
      </c>
      <c r="GZO11" t="s">
        <v>6984</v>
      </c>
      <c r="GZP11" t="s">
        <v>6984</v>
      </c>
      <c r="GZQ11" t="s">
        <v>6984</v>
      </c>
      <c r="GZR11" t="s">
        <v>6984</v>
      </c>
      <c r="GZS11" t="s">
        <v>6984</v>
      </c>
      <c r="GZT11" t="s">
        <v>6984</v>
      </c>
      <c r="GZU11" t="s">
        <v>6984</v>
      </c>
      <c r="GZV11" t="s">
        <v>6984</v>
      </c>
      <c r="GZW11" t="s">
        <v>6984</v>
      </c>
      <c r="GZX11" t="s">
        <v>6984</v>
      </c>
      <c r="GZY11" t="s">
        <v>6984</v>
      </c>
      <c r="GZZ11" t="s">
        <v>6984</v>
      </c>
      <c r="HAA11" t="s">
        <v>6984</v>
      </c>
      <c r="HAB11" t="s">
        <v>6984</v>
      </c>
      <c r="HAC11" t="s">
        <v>6984</v>
      </c>
      <c r="HAD11" t="s">
        <v>6984</v>
      </c>
      <c r="HAE11" t="s">
        <v>6984</v>
      </c>
      <c r="HAF11" t="s">
        <v>6984</v>
      </c>
      <c r="HAG11" t="s">
        <v>6984</v>
      </c>
      <c r="HAH11" t="s">
        <v>6984</v>
      </c>
      <c r="HAI11" t="s">
        <v>6984</v>
      </c>
      <c r="HAJ11" t="s">
        <v>6984</v>
      </c>
      <c r="HAK11" t="s">
        <v>6984</v>
      </c>
      <c r="HAL11" t="s">
        <v>6984</v>
      </c>
      <c r="HAM11" t="s">
        <v>6984</v>
      </c>
      <c r="HAN11" t="s">
        <v>6984</v>
      </c>
      <c r="HAO11" t="s">
        <v>6984</v>
      </c>
      <c r="HAP11" t="s">
        <v>6984</v>
      </c>
      <c r="HAQ11" t="s">
        <v>6984</v>
      </c>
      <c r="HAR11" t="s">
        <v>6984</v>
      </c>
      <c r="HAS11" t="s">
        <v>6984</v>
      </c>
      <c r="HAT11" t="s">
        <v>6984</v>
      </c>
      <c r="HAU11" t="s">
        <v>6984</v>
      </c>
      <c r="HAV11" t="s">
        <v>6984</v>
      </c>
      <c r="HAW11" t="s">
        <v>6984</v>
      </c>
      <c r="HAX11" t="s">
        <v>6984</v>
      </c>
      <c r="HAY11" t="s">
        <v>6984</v>
      </c>
      <c r="HAZ11" t="s">
        <v>6984</v>
      </c>
      <c r="HBA11" t="s">
        <v>6984</v>
      </c>
      <c r="HBB11" t="s">
        <v>6984</v>
      </c>
      <c r="HBC11" t="s">
        <v>6984</v>
      </c>
      <c r="HBD11" t="s">
        <v>6984</v>
      </c>
      <c r="HBE11" t="s">
        <v>6984</v>
      </c>
      <c r="HBF11" t="s">
        <v>6984</v>
      </c>
      <c r="HBG11" t="s">
        <v>6984</v>
      </c>
      <c r="HBH11" t="s">
        <v>6984</v>
      </c>
      <c r="HBI11" t="s">
        <v>6984</v>
      </c>
      <c r="HBJ11" t="s">
        <v>6984</v>
      </c>
      <c r="HBK11" t="s">
        <v>6984</v>
      </c>
      <c r="HBL11" t="s">
        <v>6984</v>
      </c>
      <c r="HBM11" t="s">
        <v>6984</v>
      </c>
      <c r="HBN11" t="s">
        <v>6984</v>
      </c>
      <c r="HBO11" t="s">
        <v>6984</v>
      </c>
      <c r="HBP11" t="s">
        <v>6984</v>
      </c>
      <c r="HBQ11" t="s">
        <v>6984</v>
      </c>
      <c r="HBR11" t="s">
        <v>6984</v>
      </c>
      <c r="HBS11" t="s">
        <v>6984</v>
      </c>
      <c r="HBT11" t="s">
        <v>6984</v>
      </c>
      <c r="HBU11" t="s">
        <v>6984</v>
      </c>
      <c r="HBV11" t="s">
        <v>6984</v>
      </c>
      <c r="HBW11" t="s">
        <v>6984</v>
      </c>
      <c r="HBX11" t="s">
        <v>6984</v>
      </c>
      <c r="HBY11" t="s">
        <v>6984</v>
      </c>
      <c r="HBZ11" t="s">
        <v>6984</v>
      </c>
      <c r="HCA11" t="s">
        <v>6984</v>
      </c>
      <c r="HCB11" t="s">
        <v>6984</v>
      </c>
      <c r="HCC11" t="s">
        <v>6984</v>
      </c>
      <c r="HCD11" t="s">
        <v>6984</v>
      </c>
      <c r="HCE11" t="s">
        <v>6984</v>
      </c>
      <c r="HCF11" t="s">
        <v>6984</v>
      </c>
      <c r="HCG11" t="s">
        <v>6984</v>
      </c>
      <c r="HCH11" t="s">
        <v>6984</v>
      </c>
      <c r="HCI11" t="s">
        <v>6984</v>
      </c>
      <c r="HCJ11" t="s">
        <v>6984</v>
      </c>
      <c r="HCK11" t="s">
        <v>6984</v>
      </c>
      <c r="HCL11" t="s">
        <v>6984</v>
      </c>
      <c r="HCM11" t="s">
        <v>6984</v>
      </c>
      <c r="HCN11" t="s">
        <v>6984</v>
      </c>
      <c r="HCO11" t="s">
        <v>6984</v>
      </c>
      <c r="HCP11" t="s">
        <v>6984</v>
      </c>
      <c r="HCQ11" t="s">
        <v>6984</v>
      </c>
      <c r="HCR11" t="s">
        <v>6984</v>
      </c>
      <c r="HCS11" t="s">
        <v>6984</v>
      </c>
      <c r="HCT11" t="s">
        <v>6984</v>
      </c>
      <c r="HCU11" t="s">
        <v>6984</v>
      </c>
      <c r="HCV11" t="s">
        <v>6984</v>
      </c>
      <c r="HCW11" t="s">
        <v>6984</v>
      </c>
      <c r="HCX11" t="s">
        <v>6984</v>
      </c>
      <c r="HCY11" t="s">
        <v>6984</v>
      </c>
      <c r="HCZ11" t="s">
        <v>6984</v>
      </c>
      <c r="HDA11" t="s">
        <v>6984</v>
      </c>
      <c r="HDB11" t="s">
        <v>6984</v>
      </c>
      <c r="HDC11" t="s">
        <v>6984</v>
      </c>
      <c r="HDD11" t="s">
        <v>6984</v>
      </c>
      <c r="HDE11" t="s">
        <v>6984</v>
      </c>
      <c r="HDF11" t="s">
        <v>6984</v>
      </c>
      <c r="HDG11" t="s">
        <v>6984</v>
      </c>
      <c r="HDH11" t="s">
        <v>6984</v>
      </c>
      <c r="HDI11" t="s">
        <v>6984</v>
      </c>
      <c r="HDJ11" t="s">
        <v>6984</v>
      </c>
      <c r="HDK11" t="s">
        <v>6984</v>
      </c>
      <c r="HDL11" t="s">
        <v>6984</v>
      </c>
      <c r="HDM11" t="s">
        <v>6984</v>
      </c>
      <c r="HDN11" t="s">
        <v>6984</v>
      </c>
      <c r="HDO11" t="s">
        <v>6984</v>
      </c>
      <c r="HDP11" t="s">
        <v>6984</v>
      </c>
      <c r="HDQ11" t="s">
        <v>6984</v>
      </c>
      <c r="HDR11" t="s">
        <v>6984</v>
      </c>
      <c r="HDS11" t="s">
        <v>6984</v>
      </c>
      <c r="HDT11" t="s">
        <v>6984</v>
      </c>
      <c r="HDU11" t="s">
        <v>6984</v>
      </c>
      <c r="HDV11" t="s">
        <v>6984</v>
      </c>
      <c r="HDW11" t="s">
        <v>6984</v>
      </c>
      <c r="HDX11" t="s">
        <v>6984</v>
      </c>
      <c r="HDY11" t="s">
        <v>6984</v>
      </c>
      <c r="HDZ11" t="s">
        <v>6984</v>
      </c>
      <c r="HEA11" t="s">
        <v>6984</v>
      </c>
      <c r="HEB11" t="s">
        <v>6984</v>
      </c>
      <c r="HEC11" t="s">
        <v>6984</v>
      </c>
      <c r="HED11" t="s">
        <v>6984</v>
      </c>
      <c r="HEE11" t="s">
        <v>6984</v>
      </c>
      <c r="HEF11" t="s">
        <v>6984</v>
      </c>
      <c r="HEG11" t="s">
        <v>6984</v>
      </c>
      <c r="HEH11" t="s">
        <v>6984</v>
      </c>
      <c r="HEI11" t="s">
        <v>6984</v>
      </c>
      <c r="HEJ11" t="s">
        <v>6984</v>
      </c>
      <c r="HEK11" t="s">
        <v>6984</v>
      </c>
      <c r="HEL11" t="s">
        <v>6984</v>
      </c>
      <c r="HEM11" t="s">
        <v>6984</v>
      </c>
      <c r="HEN11" t="s">
        <v>6984</v>
      </c>
      <c r="HEO11" t="s">
        <v>6984</v>
      </c>
      <c r="HEP11" t="s">
        <v>6984</v>
      </c>
      <c r="HEQ11" t="s">
        <v>6984</v>
      </c>
      <c r="HER11" t="s">
        <v>6984</v>
      </c>
      <c r="HES11" t="s">
        <v>6984</v>
      </c>
      <c r="HET11" t="s">
        <v>6984</v>
      </c>
      <c r="HEU11" t="s">
        <v>6984</v>
      </c>
      <c r="HEV11" t="s">
        <v>6984</v>
      </c>
      <c r="HEW11" t="s">
        <v>6984</v>
      </c>
      <c r="HEX11" t="s">
        <v>6984</v>
      </c>
      <c r="HEY11" t="s">
        <v>6984</v>
      </c>
      <c r="HEZ11" t="s">
        <v>6984</v>
      </c>
      <c r="HFA11" t="s">
        <v>6984</v>
      </c>
      <c r="HFB11" t="s">
        <v>6984</v>
      </c>
      <c r="HFC11" t="s">
        <v>6984</v>
      </c>
      <c r="HFD11" t="s">
        <v>6984</v>
      </c>
      <c r="HFE11" t="s">
        <v>6984</v>
      </c>
      <c r="HFF11" t="s">
        <v>6984</v>
      </c>
      <c r="HFG11" t="s">
        <v>6984</v>
      </c>
      <c r="HFH11" t="s">
        <v>6984</v>
      </c>
      <c r="HFI11" t="s">
        <v>6984</v>
      </c>
      <c r="HFJ11" t="s">
        <v>6984</v>
      </c>
      <c r="HFK11" t="s">
        <v>6984</v>
      </c>
      <c r="HFL11" t="s">
        <v>6984</v>
      </c>
      <c r="HFM11" t="s">
        <v>6984</v>
      </c>
      <c r="HFN11" t="s">
        <v>6984</v>
      </c>
      <c r="HFO11" t="s">
        <v>6984</v>
      </c>
      <c r="HFP11" t="s">
        <v>6984</v>
      </c>
      <c r="HFQ11" t="s">
        <v>6984</v>
      </c>
      <c r="HFR11" t="s">
        <v>6984</v>
      </c>
      <c r="HFS11" t="s">
        <v>6984</v>
      </c>
      <c r="HFT11" t="s">
        <v>6984</v>
      </c>
      <c r="HFU11" t="s">
        <v>6984</v>
      </c>
      <c r="HFV11" t="s">
        <v>6984</v>
      </c>
      <c r="HFW11" t="s">
        <v>6984</v>
      </c>
      <c r="HFX11" t="s">
        <v>6984</v>
      </c>
      <c r="HFY11" t="s">
        <v>6984</v>
      </c>
      <c r="HFZ11" t="s">
        <v>6984</v>
      </c>
      <c r="HGA11" t="s">
        <v>6984</v>
      </c>
      <c r="HGB11" t="s">
        <v>6984</v>
      </c>
      <c r="HGC11" t="s">
        <v>6984</v>
      </c>
      <c r="HGD11" t="s">
        <v>6984</v>
      </c>
      <c r="HGE11" t="s">
        <v>6984</v>
      </c>
      <c r="HGF11" t="s">
        <v>6984</v>
      </c>
      <c r="HGG11" t="s">
        <v>6984</v>
      </c>
      <c r="HGH11" t="s">
        <v>6984</v>
      </c>
      <c r="HGI11" t="s">
        <v>6984</v>
      </c>
      <c r="HGJ11" t="s">
        <v>6984</v>
      </c>
      <c r="HGK11" t="s">
        <v>6984</v>
      </c>
      <c r="HGL11" t="s">
        <v>6984</v>
      </c>
      <c r="HGM11" t="s">
        <v>6984</v>
      </c>
      <c r="HGN11" t="s">
        <v>6984</v>
      </c>
      <c r="HGO11" t="s">
        <v>6984</v>
      </c>
      <c r="HGP11" t="s">
        <v>6984</v>
      </c>
      <c r="HGQ11" t="s">
        <v>6984</v>
      </c>
      <c r="HGR11" t="s">
        <v>6984</v>
      </c>
      <c r="HGS11" t="s">
        <v>6984</v>
      </c>
      <c r="HGT11" t="s">
        <v>6984</v>
      </c>
      <c r="HGU11" t="s">
        <v>6984</v>
      </c>
      <c r="HGV11" t="s">
        <v>6984</v>
      </c>
      <c r="HGW11" t="s">
        <v>6984</v>
      </c>
      <c r="HGX11" t="s">
        <v>6984</v>
      </c>
      <c r="HGY11" t="s">
        <v>6984</v>
      </c>
      <c r="HGZ11" t="s">
        <v>6984</v>
      </c>
      <c r="HHA11" t="s">
        <v>6984</v>
      </c>
      <c r="HHB11" t="s">
        <v>6984</v>
      </c>
      <c r="HHC11" t="s">
        <v>6984</v>
      </c>
      <c r="HHD11" t="s">
        <v>6984</v>
      </c>
      <c r="HHE11" t="s">
        <v>6984</v>
      </c>
      <c r="HHF11" t="s">
        <v>6984</v>
      </c>
      <c r="HHG11" t="s">
        <v>6984</v>
      </c>
      <c r="HHH11" t="s">
        <v>6984</v>
      </c>
      <c r="HHI11" t="s">
        <v>6984</v>
      </c>
      <c r="HHJ11" t="s">
        <v>6984</v>
      </c>
      <c r="HHK11" t="s">
        <v>6984</v>
      </c>
      <c r="HHL11" t="s">
        <v>6984</v>
      </c>
      <c r="HHM11" t="s">
        <v>6984</v>
      </c>
      <c r="HHN11" t="s">
        <v>6984</v>
      </c>
      <c r="HHO11" t="s">
        <v>6984</v>
      </c>
      <c r="HHP11" t="s">
        <v>6984</v>
      </c>
      <c r="HHQ11" t="s">
        <v>6984</v>
      </c>
      <c r="HHR11" t="s">
        <v>6984</v>
      </c>
      <c r="HHS11" t="s">
        <v>6984</v>
      </c>
      <c r="HHT11" t="s">
        <v>6984</v>
      </c>
      <c r="HHU11" t="s">
        <v>6984</v>
      </c>
      <c r="HHV11" t="s">
        <v>6984</v>
      </c>
      <c r="HHW11" t="s">
        <v>6984</v>
      </c>
      <c r="HHX11" t="s">
        <v>6984</v>
      </c>
      <c r="HHY11" t="s">
        <v>6984</v>
      </c>
      <c r="HHZ11" t="s">
        <v>6984</v>
      </c>
      <c r="HIA11" t="s">
        <v>6984</v>
      </c>
      <c r="HIB11" t="s">
        <v>6984</v>
      </c>
      <c r="HIC11" t="s">
        <v>6984</v>
      </c>
      <c r="HID11" t="s">
        <v>6984</v>
      </c>
      <c r="HIE11" t="s">
        <v>6984</v>
      </c>
      <c r="HIF11" t="s">
        <v>6984</v>
      </c>
      <c r="HIG11" t="s">
        <v>6984</v>
      </c>
      <c r="HIH11" t="s">
        <v>6984</v>
      </c>
      <c r="HII11" t="s">
        <v>6984</v>
      </c>
      <c r="HIJ11" t="s">
        <v>6984</v>
      </c>
      <c r="HIK11" t="s">
        <v>6984</v>
      </c>
      <c r="HIL11" t="s">
        <v>6984</v>
      </c>
      <c r="HIM11" t="s">
        <v>6984</v>
      </c>
      <c r="HIN11" t="s">
        <v>6984</v>
      </c>
      <c r="HIO11" t="s">
        <v>6984</v>
      </c>
      <c r="HIP11" t="s">
        <v>6984</v>
      </c>
      <c r="HIQ11" t="s">
        <v>6984</v>
      </c>
      <c r="HIR11" t="s">
        <v>6984</v>
      </c>
      <c r="HIS11" t="s">
        <v>6984</v>
      </c>
      <c r="HIT11" t="s">
        <v>6984</v>
      </c>
      <c r="HIU11" t="s">
        <v>6984</v>
      </c>
      <c r="HIV11" t="s">
        <v>6984</v>
      </c>
      <c r="HIW11" t="s">
        <v>6984</v>
      </c>
      <c r="HIX11" t="s">
        <v>6984</v>
      </c>
      <c r="HIY11" t="s">
        <v>6984</v>
      </c>
      <c r="HIZ11" t="s">
        <v>6984</v>
      </c>
      <c r="HJA11" t="s">
        <v>6984</v>
      </c>
      <c r="HJB11" t="s">
        <v>6984</v>
      </c>
      <c r="HJC11" t="s">
        <v>6984</v>
      </c>
      <c r="HJD11" t="s">
        <v>6984</v>
      </c>
      <c r="HJE11" t="s">
        <v>6984</v>
      </c>
      <c r="HJF11" t="s">
        <v>6984</v>
      </c>
      <c r="HJG11" t="s">
        <v>6984</v>
      </c>
      <c r="HJH11" t="s">
        <v>6984</v>
      </c>
      <c r="HJI11" t="s">
        <v>6984</v>
      </c>
      <c r="HJJ11" t="s">
        <v>6984</v>
      </c>
      <c r="HJK11" t="s">
        <v>6984</v>
      </c>
      <c r="HJL11" t="s">
        <v>6984</v>
      </c>
      <c r="HJM11" t="s">
        <v>6984</v>
      </c>
      <c r="HJN11" t="s">
        <v>6984</v>
      </c>
      <c r="HJO11" t="s">
        <v>6984</v>
      </c>
      <c r="HJP11" t="s">
        <v>6984</v>
      </c>
      <c r="HJQ11" t="s">
        <v>6984</v>
      </c>
      <c r="HJR11" t="s">
        <v>6984</v>
      </c>
      <c r="HJS11" t="s">
        <v>6984</v>
      </c>
      <c r="HJT11" t="s">
        <v>6984</v>
      </c>
      <c r="HJU11" t="s">
        <v>6984</v>
      </c>
      <c r="HJV11" t="s">
        <v>6984</v>
      </c>
      <c r="HJW11" t="s">
        <v>6984</v>
      </c>
      <c r="HJX11" t="s">
        <v>6984</v>
      </c>
      <c r="HJY11" t="s">
        <v>6984</v>
      </c>
      <c r="HJZ11" t="s">
        <v>6984</v>
      </c>
      <c r="HKA11" t="s">
        <v>6984</v>
      </c>
      <c r="HKB11" t="s">
        <v>6984</v>
      </c>
      <c r="HKC11" t="s">
        <v>6984</v>
      </c>
      <c r="HKD11" t="s">
        <v>6984</v>
      </c>
      <c r="HKE11" t="s">
        <v>6984</v>
      </c>
      <c r="HKF11" t="s">
        <v>6984</v>
      </c>
      <c r="HKG11" t="s">
        <v>6984</v>
      </c>
      <c r="HKH11" t="s">
        <v>6984</v>
      </c>
      <c r="HKI11" t="s">
        <v>6984</v>
      </c>
      <c r="HKJ11" t="s">
        <v>6984</v>
      </c>
      <c r="HKK11" t="s">
        <v>6984</v>
      </c>
      <c r="HKL11" t="s">
        <v>6984</v>
      </c>
      <c r="HKM11" t="s">
        <v>6984</v>
      </c>
      <c r="HKN11" t="s">
        <v>6984</v>
      </c>
      <c r="HKO11" t="s">
        <v>6984</v>
      </c>
      <c r="HKP11" t="s">
        <v>6984</v>
      </c>
      <c r="HKQ11" t="s">
        <v>6984</v>
      </c>
      <c r="HKR11" t="s">
        <v>6984</v>
      </c>
      <c r="HKS11" t="s">
        <v>6984</v>
      </c>
      <c r="HKT11" t="s">
        <v>6984</v>
      </c>
      <c r="HKU11" t="s">
        <v>6984</v>
      </c>
      <c r="HKV11" t="s">
        <v>6984</v>
      </c>
      <c r="HKW11" t="s">
        <v>6984</v>
      </c>
      <c r="HKX11" t="s">
        <v>6984</v>
      </c>
      <c r="HKY11" t="s">
        <v>6984</v>
      </c>
      <c r="HKZ11" t="s">
        <v>6984</v>
      </c>
      <c r="HLA11" t="s">
        <v>6984</v>
      </c>
      <c r="HLB11" t="s">
        <v>6984</v>
      </c>
      <c r="HLC11" t="s">
        <v>6984</v>
      </c>
      <c r="HLD11" t="s">
        <v>6984</v>
      </c>
      <c r="HLE11" t="s">
        <v>6984</v>
      </c>
      <c r="HLF11" t="s">
        <v>6984</v>
      </c>
      <c r="HLG11" t="s">
        <v>6984</v>
      </c>
      <c r="HLH11" t="s">
        <v>6984</v>
      </c>
      <c r="HLI11" t="s">
        <v>6984</v>
      </c>
      <c r="HLJ11" t="s">
        <v>6984</v>
      </c>
      <c r="HLK11" t="s">
        <v>6984</v>
      </c>
      <c r="HLL11" t="s">
        <v>6984</v>
      </c>
      <c r="HLM11" t="s">
        <v>6984</v>
      </c>
      <c r="HLN11" t="s">
        <v>6984</v>
      </c>
      <c r="HLO11" t="s">
        <v>6984</v>
      </c>
      <c r="HLP11" t="s">
        <v>6984</v>
      </c>
      <c r="HLQ11" t="s">
        <v>6984</v>
      </c>
      <c r="HLR11" t="s">
        <v>6984</v>
      </c>
      <c r="HLS11" t="s">
        <v>6984</v>
      </c>
      <c r="HLT11" t="s">
        <v>6984</v>
      </c>
      <c r="HLU11" t="s">
        <v>6984</v>
      </c>
      <c r="HLV11" t="s">
        <v>6984</v>
      </c>
      <c r="HLW11" t="s">
        <v>6984</v>
      </c>
      <c r="HLX11" t="s">
        <v>6984</v>
      </c>
      <c r="HLY11" t="s">
        <v>6984</v>
      </c>
      <c r="HLZ11" t="s">
        <v>6984</v>
      </c>
      <c r="HMA11" t="s">
        <v>6984</v>
      </c>
      <c r="HMB11" t="s">
        <v>6984</v>
      </c>
      <c r="HMC11" t="s">
        <v>6984</v>
      </c>
      <c r="HMD11" t="s">
        <v>6984</v>
      </c>
      <c r="HME11" t="s">
        <v>6984</v>
      </c>
      <c r="HMF11" t="s">
        <v>6984</v>
      </c>
      <c r="HMG11" t="s">
        <v>6984</v>
      </c>
      <c r="HMH11" t="s">
        <v>6984</v>
      </c>
      <c r="HMI11" t="s">
        <v>6984</v>
      </c>
      <c r="HMJ11" t="s">
        <v>6984</v>
      </c>
      <c r="HMK11" t="s">
        <v>6984</v>
      </c>
      <c r="HML11" t="s">
        <v>6984</v>
      </c>
      <c r="HMM11" t="s">
        <v>6984</v>
      </c>
      <c r="HMN11" t="s">
        <v>6984</v>
      </c>
      <c r="HMO11" t="s">
        <v>6984</v>
      </c>
      <c r="HMP11" t="s">
        <v>6984</v>
      </c>
      <c r="HMQ11" t="s">
        <v>6984</v>
      </c>
      <c r="HMR11" t="s">
        <v>6984</v>
      </c>
      <c r="HMS11" t="s">
        <v>6984</v>
      </c>
      <c r="HMT11" t="s">
        <v>6984</v>
      </c>
      <c r="HMU11" t="s">
        <v>6984</v>
      </c>
      <c r="HMV11" t="s">
        <v>6984</v>
      </c>
      <c r="HMW11" t="s">
        <v>6984</v>
      </c>
      <c r="HMX11" t="s">
        <v>6984</v>
      </c>
      <c r="HMY11" t="s">
        <v>6984</v>
      </c>
      <c r="HMZ11" t="s">
        <v>6984</v>
      </c>
      <c r="HNA11" t="s">
        <v>6984</v>
      </c>
      <c r="HNB11" t="s">
        <v>6984</v>
      </c>
      <c r="HNC11" t="s">
        <v>6984</v>
      </c>
      <c r="HND11" t="s">
        <v>6984</v>
      </c>
      <c r="HNE11" t="s">
        <v>6984</v>
      </c>
      <c r="HNF11" t="s">
        <v>6984</v>
      </c>
      <c r="HNG11" t="s">
        <v>6984</v>
      </c>
      <c r="HNH11" t="s">
        <v>6984</v>
      </c>
      <c r="HNI11" t="s">
        <v>6984</v>
      </c>
      <c r="HNJ11" t="s">
        <v>6984</v>
      </c>
      <c r="HNK11" t="s">
        <v>6984</v>
      </c>
      <c r="HNL11" t="s">
        <v>6984</v>
      </c>
      <c r="HNM11" t="s">
        <v>6984</v>
      </c>
      <c r="HNN11" t="s">
        <v>6984</v>
      </c>
      <c r="HNO11" t="s">
        <v>6984</v>
      </c>
      <c r="HNP11" t="s">
        <v>6984</v>
      </c>
      <c r="HNQ11" t="s">
        <v>6984</v>
      </c>
      <c r="HNR11" t="s">
        <v>6984</v>
      </c>
      <c r="HNS11" t="s">
        <v>6984</v>
      </c>
      <c r="HNT11" t="s">
        <v>6984</v>
      </c>
      <c r="HNU11" t="s">
        <v>6984</v>
      </c>
      <c r="HNV11" t="s">
        <v>6984</v>
      </c>
      <c r="HNW11" t="s">
        <v>6984</v>
      </c>
      <c r="HNX11" t="s">
        <v>6984</v>
      </c>
      <c r="HNY11" t="s">
        <v>6984</v>
      </c>
      <c r="HNZ11" t="s">
        <v>6984</v>
      </c>
      <c r="HOA11" t="s">
        <v>6984</v>
      </c>
      <c r="HOB11" t="s">
        <v>6984</v>
      </c>
      <c r="HOC11" t="s">
        <v>6984</v>
      </c>
      <c r="HOD11" t="s">
        <v>6984</v>
      </c>
      <c r="HOE11" t="s">
        <v>6984</v>
      </c>
      <c r="HOF11" t="s">
        <v>6984</v>
      </c>
      <c r="HOG11" t="s">
        <v>6984</v>
      </c>
      <c r="HOH11" t="s">
        <v>6984</v>
      </c>
      <c r="HOI11" t="s">
        <v>6984</v>
      </c>
      <c r="HOJ11" t="s">
        <v>6984</v>
      </c>
      <c r="HOK11" t="s">
        <v>6984</v>
      </c>
      <c r="HOL11" t="s">
        <v>6984</v>
      </c>
      <c r="HOM11" t="s">
        <v>6984</v>
      </c>
      <c r="HON11" t="s">
        <v>6984</v>
      </c>
      <c r="HOO11" t="s">
        <v>6984</v>
      </c>
      <c r="HOP11" t="s">
        <v>6984</v>
      </c>
      <c r="HOQ11" t="s">
        <v>6984</v>
      </c>
      <c r="HOR11" t="s">
        <v>6984</v>
      </c>
      <c r="HOS11" t="s">
        <v>6984</v>
      </c>
      <c r="HOT11" t="s">
        <v>6984</v>
      </c>
      <c r="HOU11" t="s">
        <v>6984</v>
      </c>
      <c r="HOV11" t="s">
        <v>6984</v>
      </c>
      <c r="HOW11" t="s">
        <v>6984</v>
      </c>
      <c r="HOX11" t="s">
        <v>6984</v>
      </c>
      <c r="HOY11" t="s">
        <v>6984</v>
      </c>
      <c r="HOZ11" t="s">
        <v>6984</v>
      </c>
      <c r="HPA11" t="s">
        <v>6984</v>
      </c>
      <c r="HPB11" t="s">
        <v>6984</v>
      </c>
      <c r="HPC11" t="s">
        <v>6984</v>
      </c>
      <c r="HPD11" t="s">
        <v>6984</v>
      </c>
      <c r="HPE11" t="s">
        <v>6984</v>
      </c>
      <c r="HPF11" t="s">
        <v>6984</v>
      </c>
      <c r="HPG11" t="s">
        <v>6984</v>
      </c>
      <c r="HPH11" t="s">
        <v>6984</v>
      </c>
      <c r="HPI11" t="s">
        <v>6984</v>
      </c>
      <c r="HPJ11" t="s">
        <v>6984</v>
      </c>
      <c r="HPK11" t="s">
        <v>6984</v>
      </c>
      <c r="HPL11" t="s">
        <v>6984</v>
      </c>
      <c r="HPM11" t="s">
        <v>6984</v>
      </c>
      <c r="HPN11" t="s">
        <v>6984</v>
      </c>
      <c r="HPO11" t="s">
        <v>6984</v>
      </c>
      <c r="HPP11" t="s">
        <v>6984</v>
      </c>
      <c r="HPQ11" t="s">
        <v>6984</v>
      </c>
      <c r="HPR11" t="s">
        <v>6984</v>
      </c>
      <c r="HPS11" t="s">
        <v>6984</v>
      </c>
      <c r="HPT11" t="s">
        <v>6984</v>
      </c>
      <c r="HPU11" t="s">
        <v>6984</v>
      </c>
      <c r="HPV11" t="s">
        <v>6984</v>
      </c>
      <c r="HPW11" t="s">
        <v>6984</v>
      </c>
      <c r="HPX11" t="s">
        <v>6984</v>
      </c>
      <c r="HPY11" t="s">
        <v>6984</v>
      </c>
      <c r="HPZ11" t="s">
        <v>6984</v>
      </c>
      <c r="HQA11" t="s">
        <v>6984</v>
      </c>
      <c r="HQB11" t="s">
        <v>6984</v>
      </c>
      <c r="HQC11" t="s">
        <v>6984</v>
      </c>
      <c r="HQD11" t="s">
        <v>6984</v>
      </c>
      <c r="HQE11" t="s">
        <v>6984</v>
      </c>
      <c r="HQF11" t="s">
        <v>6984</v>
      </c>
      <c r="HQG11" t="s">
        <v>6984</v>
      </c>
      <c r="HQH11" t="s">
        <v>6984</v>
      </c>
      <c r="HQI11" t="s">
        <v>6984</v>
      </c>
      <c r="HQJ11" t="s">
        <v>6984</v>
      </c>
      <c r="HQK11" t="s">
        <v>6984</v>
      </c>
      <c r="HQL11" t="s">
        <v>6984</v>
      </c>
      <c r="HQM11" t="s">
        <v>6984</v>
      </c>
      <c r="HQN11" t="s">
        <v>6984</v>
      </c>
      <c r="HQO11" t="s">
        <v>6984</v>
      </c>
      <c r="HQP11" t="s">
        <v>6984</v>
      </c>
      <c r="HQQ11" t="s">
        <v>6984</v>
      </c>
      <c r="HQR11" t="s">
        <v>6984</v>
      </c>
      <c r="HQS11" t="s">
        <v>6984</v>
      </c>
      <c r="HQT11" t="s">
        <v>6984</v>
      </c>
      <c r="HQU11" t="s">
        <v>6984</v>
      </c>
      <c r="HQV11" t="s">
        <v>6984</v>
      </c>
      <c r="HQW11" t="s">
        <v>6984</v>
      </c>
      <c r="HQX11" t="s">
        <v>6984</v>
      </c>
      <c r="HQY11" t="s">
        <v>6984</v>
      </c>
      <c r="HQZ11" t="s">
        <v>6984</v>
      </c>
      <c r="HRA11" t="s">
        <v>6984</v>
      </c>
      <c r="HRB11" t="s">
        <v>6984</v>
      </c>
      <c r="HRC11" t="s">
        <v>6984</v>
      </c>
      <c r="HRD11" t="s">
        <v>6984</v>
      </c>
      <c r="HRE11" t="s">
        <v>6984</v>
      </c>
      <c r="HRF11" t="s">
        <v>6984</v>
      </c>
      <c r="HRG11" t="s">
        <v>6984</v>
      </c>
      <c r="HRH11" t="s">
        <v>6984</v>
      </c>
      <c r="HRI11" t="s">
        <v>6984</v>
      </c>
      <c r="HRJ11" t="s">
        <v>6984</v>
      </c>
      <c r="HRK11" t="s">
        <v>6984</v>
      </c>
      <c r="HRL11" t="s">
        <v>6984</v>
      </c>
      <c r="HRM11" t="s">
        <v>6984</v>
      </c>
      <c r="HRN11" t="s">
        <v>6984</v>
      </c>
      <c r="HRO11" t="s">
        <v>6984</v>
      </c>
      <c r="HRP11" t="s">
        <v>6984</v>
      </c>
      <c r="HRQ11" t="s">
        <v>6984</v>
      </c>
      <c r="HRR11" t="s">
        <v>6984</v>
      </c>
      <c r="HRS11" t="s">
        <v>6984</v>
      </c>
      <c r="HRT11" t="s">
        <v>6984</v>
      </c>
      <c r="HRU11" t="s">
        <v>6984</v>
      </c>
      <c r="HRV11" t="s">
        <v>6984</v>
      </c>
      <c r="HRW11" t="s">
        <v>6984</v>
      </c>
      <c r="HRX11" t="s">
        <v>6984</v>
      </c>
      <c r="HRY11" t="s">
        <v>6984</v>
      </c>
      <c r="HRZ11" t="s">
        <v>6984</v>
      </c>
      <c r="HSA11" t="s">
        <v>6984</v>
      </c>
      <c r="HSB11" t="s">
        <v>6984</v>
      </c>
      <c r="HSC11" t="s">
        <v>6984</v>
      </c>
      <c r="HSD11" t="s">
        <v>6984</v>
      </c>
      <c r="HSE11" t="s">
        <v>6984</v>
      </c>
      <c r="HSF11" t="s">
        <v>6984</v>
      </c>
      <c r="HSG11" t="s">
        <v>6984</v>
      </c>
      <c r="HSH11" t="s">
        <v>6984</v>
      </c>
      <c r="HSI11" t="s">
        <v>6984</v>
      </c>
      <c r="HSJ11" t="s">
        <v>6984</v>
      </c>
      <c r="HSK11" t="s">
        <v>6984</v>
      </c>
      <c r="HSL11" t="s">
        <v>6984</v>
      </c>
      <c r="HSM11" t="s">
        <v>6984</v>
      </c>
      <c r="HSN11" t="s">
        <v>6984</v>
      </c>
      <c r="HSO11" t="s">
        <v>6984</v>
      </c>
      <c r="HSP11" t="s">
        <v>6984</v>
      </c>
      <c r="HSQ11" t="s">
        <v>6984</v>
      </c>
      <c r="HSR11" t="s">
        <v>6984</v>
      </c>
      <c r="HSS11" t="s">
        <v>6984</v>
      </c>
      <c r="HST11" t="s">
        <v>6984</v>
      </c>
      <c r="HSU11" t="s">
        <v>6984</v>
      </c>
      <c r="HSV11" t="s">
        <v>6984</v>
      </c>
      <c r="HSW11" t="s">
        <v>6984</v>
      </c>
      <c r="HSX11" t="s">
        <v>6984</v>
      </c>
      <c r="HSY11" t="s">
        <v>6984</v>
      </c>
      <c r="HSZ11" t="s">
        <v>6984</v>
      </c>
      <c r="HTA11" t="s">
        <v>6984</v>
      </c>
      <c r="HTB11" t="s">
        <v>6984</v>
      </c>
      <c r="HTC11" t="s">
        <v>6984</v>
      </c>
      <c r="HTD11" t="s">
        <v>6984</v>
      </c>
      <c r="HTE11" t="s">
        <v>6984</v>
      </c>
      <c r="HTF11" t="s">
        <v>6984</v>
      </c>
      <c r="HTG11" t="s">
        <v>6984</v>
      </c>
      <c r="HTH11" t="s">
        <v>6984</v>
      </c>
      <c r="HTI11" t="s">
        <v>6984</v>
      </c>
      <c r="HTJ11" t="s">
        <v>6984</v>
      </c>
      <c r="HTK11" t="s">
        <v>6984</v>
      </c>
      <c r="HTL11" t="s">
        <v>6984</v>
      </c>
      <c r="HTM11" t="s">
        <v>6984</v>
      </c>
      <c r="HTN11" t="s">
        <v>6984</v>
      </c>
      <c r="HTO11" t="s">
        <v>6984</v>
      </c>
      <c r="HTP11" t="s">
        <v>6984</v>
      </c>
      <c r="HTQ11" t="s">
        <v>6984</v>
      </c>
      <c r="HTR11" t="s">
        <v>6984</v>
      </c>
      <c r="HTS11" t="s">
        <v>6984</v>
      </c>
      <c r="HTT11" t="s">
        <v>6984</v>
      </c>
      <c r="HTU11" t="s">
        <v>6984</v>
      </c>
      <c r="HTV11" t="s">
        <v>6984</v>
      </c>
      <c r="HTW11" t="s">
        <v>6984</v>
      </c>
      <c r="HTX11" t="s">
        <v>6984</v>
      </c>
      <c r="HTY11" t="s">
        <v>6984</v>
      </c>
      <c r="HTZ11" t="s">
        <v>6984</v>
      </c>
      <c r="HUA11" t="s">
        <v>6984</v>
      </c>
      <c r="HUB11" t="s">
        <v>6984</v>
      </c>
      <c r="HUC11" t="s">
        <v>6984</v>
      </c>
      <c r="HUD11" t="s">
        <v>6984</v>
      </c>
      <c r="HUE11" t="s">
        <v>6984</v>
      </c>
      <c r="HUF11" t="s">
        <v>6984</v>
      </c>
      <c r="HUG11" t="s">
        <v>6984</v>
      </c>
      <c r="HUH11" t="s">
        <v>6984</v>
      </c>
      <c r="HUI11" t="s">
        <v>6984</v>
      </c>
      <c r="HUJ11" t="s">
        <v>6984</v>
      </c>
      <c r="HUK11" t="s">
        <v>6984</v>
      </c>
      <c r="HUL11" t="s">
        <v>6984</v>
      </c>
      <c r="HUM11" t="s">
        <v>6984</v>
      </c>
      <c r="HUN11" t="s">
        <v>6984</v>
      </c>
      <c r="HUO11" t="s">
        <v>6984</v>
      </c>
      <c r="HUP11" t="s">
        <v>6984</v>
      </c>
      <c r="HUQ11" t="s">
        <v>6984</v>
      </c>
      <c r="HUR11" t="s">
        <v>6984</v>
      </c>
      <c r="HUS11" t="s">
        <v>6984</v>
      </c>
      <c r="HUT11" t="s">
        <v>6984</v>
      </c>
      <c r="HUU11" t="s">
        <v>6984</v>
      </c>
      <c r="HUV11" t="s">
        <v>6984</v>
      </c>
      <c r="HUW11" t="s">
        <v>6984</v>
      </c>
      <c r="HUX11" t="s">
        <v>6984</v>
      </c>
      <c r="HUY11" t="s">
        <v>6984</v>
      </c>
      <c r="HUZ11" t="s">
        <v>6984</v>
      </c>
      <c r="HVA11" t="s">
        <v>6984</v>
      </c>
      <c r="HVB11" t="s">
        <v>6984</v>
      </c>
      <c r="HVC11" t="s">
        <v>6984</v>
      </c>
      <c r="HVD11" t="s">
        <v>6984</v>
      </c>
      <c r="HVE11" t="s">
        <v>6984</v>
      </c>
      <c r="HVF11" t="s">
        <v>6984</v>
      </c>
      <c r="HVG11" t="s">
        <v>6984</v>
      </c>
      <c r="HVH11" t="s">
        <v>6984</v>
      </c>
      <c r="HVI11" t="s">
        <v>6984</v>
      </c>
      <c r="HVJ11" t="s">
        <v>6984</v>
      </c>
      <c r="HVK11" t="s">
        <v>6984</v>
      </c>
      <c r="HVL11" t="s">
        <v>6984</v>
      </c>
      <c r="HVM11" t="s">
        <v>6984</v>
      </c>
      <c r="HVN11" t="s">
        <v>6984</v>
      </c>
      <c r="HVO11" t="s">
        <v>6984</v>
      </c>
      <c r="HVP11" t="s">
        <v>6984</v>
      </c>
      <c r="HVQ11" t="s">
        <v>6984</v>
      </c>
      <c r="HVR11" t="s">
        <v>6984</v>
      </c>
      <c r="HVS11" t="s">
        <v>6984</v>
      </c>
      <c r="HVT11" t="s">
        <v>6984</v>
      </c>
      <c r="HVU11" t="s">
        <v>6984</v>
      </c>
      <c r="HVV11" t="s">
        <v>6984</v>
      </c>
      <c r="HVW11" t="s">
        <v>6984</v>
      </c>
      <c r="HVX11" t="s">
        <v>6984</v>
      </c>
      <c r="HVY11" t="s">
        <v>6984</v>
      </c>
      <c r="HVZ11" t="s">
        <v>6984</v>
      </c>
      <c r="HWA11" t="s">
        <v>6984</v>
      </c>
      <c r="HWB11" t="s">
        <v>6984</v>
      </c>
      <c r="HWC11" t="s">
        <v>6984</v>
      </c>
      <c r="HWD11" t="s">
        <v>6984</v>
      </c>
      <c r="HWE11" t="s">
        <v>6984</v>
      </c>
      <c r="HWF11" t="s">
        <v>6984</v>
      </c>
      <c r="HWG11" t="s">
        <v>6984</v>
      </c>
      <c r="HWH11" t="s">
        <v>6984</v>
      </c>
      <c r="HWI11" t="s">
        <v>6984</v>
      </c>
      <c r="HWJ11" t="s">
        <v>6984</v>
      </c>
      <c r="HWK11" t="s">
        <v>6984</v>
      </c>
      <c r="HWL11" t="s">
        <v>6984</v>
      </c>
      <c r="HWM11" t="s">
        <v>6984</v>
      </c>
      <c r="HWN11" t="s">
        <v>6984</v>
      </c>
      <c r="HWO11" t="s">
        <v>6984</v>
      </c>
      <c r="HWP11" t="s">
        <v>6984</v>
      </c>
      <c r="HWQ11" t="s">
        <v>6984</v>
      </c>
      <c r="HWR11" t="s">
        <v>6984</v>
      </c>
      <c r="HWS11" t="s">
        <v>6984</v>
      </c>
      <c r="HWT11" t="s">
        <v>6984</v>
      </c>
      <c r="HWU11" t="s">
        <v>6984</v>
      </c>
      <c r="HWV11" t="s">
        <v>6984</v>
      </c>
      <c r="HWW11" t="s">
        <v>6984</v>
      </c>
      <c r="HWX11" t="s">
        <v>6984</v>
      </c>
      <c r="HWY11" t="s">
        <v>6984</v>
      </c>
      <c r="HWZ11" t="s">
        <v>6984</v>
      </c>
      <c r="HXA11" t="s">
        <v>6984</v>
      </c>
      <c r="HXB11" t="s">
        <v>6984</v>
      </c>
      <c r="HXC11" t="s">
        <v>6984</v>
      </c>
      <c r="HXD11" t="s">
        <v>6984</v>
      </c>
      <c r="HXE11" t="s">
        <v>6984</v>
      </c>
      <c r="HXF11" t="s">
        <v>6984</v>
      </c>
      <c r="HXG11" t="s">
        <v>6984</v>
      </c>
      <c r="HXH11" t="s">
        <v>6984</v>
      </c>
      <c r="HXI11" t="s">
        <v>6984</v>
      </c>
      <c r="HXJ11" t="s">
        <v>6984</v>
      </c>
      <c r="HXK11" t="s">
        <v>6984</v>
      </c>
      <c r="HXL11" t="s">
        <v>6984</v>
      </c>
      <c r="HXM11" t="s">
        <v>6984</v>
      </c>
      <c r="HXN11" t="s">
        <v>6984</v>
      </c>
      <c r="HXO11" t="s">
        <v>6984</v>
      </c>
      <c r="HXP11" t="s">
        <v>6984</v>
      </c>
      <c r="HXQ11" t="s">
        <v>6984</v>
      </c>
      <c r="HXR11" t="s">
        <v>6984</v>
      </c>
      <c r="HXS11" t="s">
        <v>6984</v>
      </c>
      <c r="HXT11" t="s">
        <v>6984</v>
      </c>
      <c r="HXU11" t="s">
        <v>6984</v>
      </c>
      <c r="HXV11" t="s">
        <v>6984</v>
      </c>
      <c r="HXW11" t="s">
        <v>6984</v>
      </c>
      <c r="HXX11" t="s">
        <v>6984</v>
      </c>
      <c r="HXY11" t="s">
        <v>6984</v>
      </c>
      <c r="HXZ11" t="s">
        <v>6984</v>
      </c>
      <c r="HYA11" t="s">
        <v>6984</v>
      </c>
      <c r="HYB11" t="s">
        <v>6984</v>
      </c>
      <c r="HYC11" t="s">
        <v>6984</v>
      </c>
      <c r="HYD11" t="s">
        <v>6984</v>
      </c>
      <c r="HYE11" t="s">
        <v>6984</v>
      </c>
      <c r="HYF11" t="s">
        <v>6984</v>
      </c>
      <c r="HYG11" t="s">
        <v>6984</v>
      </c>
      <c r="HYH11" t="s">
        <v>6984</v>
      </c>
      <c r="HYI11" t="s">
        <v>6984</v>
      </c>
      <c r="HYJ11" t="s">
        <v>6984</v>
      </c>
      <c r="HYK11" t="s">
        <v>6984</v>
      </c>
      <c r="HYL11" t="s">
        <v>6984</v>
      </c>
      <c r="HYM11" t="s">
        <v>6984</v>
      </c>
      <c r="HYN11" t="s">
        <v>6984</v>
      </c>
      <c r="HYO11" t="s">
        <v>6984</v>
      </c>
      <c r="HYP11" t="s">
        <v>6984</v>
      </c>
      <c r="HYQ11" t="s">
        <v>6984</v>
      </c>
      <c r="HYR11" t="s">
        <v>6984</v>
      </c>
      <c r="HYS11" t="s">
        <v>6984</v>
      </c>
      <c r="HYT11" t="s">
        <v>6984</v>
      </c>
      <c r="HYU11" t="s">
        <v>6984</v>
      </c>
      <c r="HYV11" t="s">
        <v>6984</v>
      </c>
      <c r="HYW11" t="s">
        <v>6984</v>
      </c>
      <c r="HYX11" t="s">
        <v>6984</v>
      </c>
      <c r="HYY11" t="s">
        <v>6984</v>
      </c>
      <c r="HYZ11" t="s">
        <v>6984</v>
      </c>
      <c r="HZA11" t="s">
        <v>6984</v>
      </c>
      <c r="HZB11" t="s">
        <v>6984</v>
      </c>
      <c r="HZC11" t="s">
        <v>6984</v>
      </c>
      <c r="HZD11" t="s">
        <v>6984</v>
      </c>
      <c r="HZE11" t="s">
        <v>6984</v>
      </c>
      <c r="HZF11" t="s">
        <v>6984</v>
      </c>
      <c r="HZG11" t="s">
        <v>6984</v>
      </c>
      <c r="HZH11" t="s">
        <v>6984</v>
      </c>
      <c r="HZI11" t="s">
        <v>6984</v>
      </c>
      <c r="HZJ11" t="s">
        <v>6984</v>
      </c>
      <c r="HZK11" t="s">
        <v>6984</v>
      </c>
      <c r="HZL11" t="s">
        <v>6984</v>
      </c>
      <c r="HZM11" t="s">
        <v>6984</v>
      </c>
      <c r="HZN11" t="s">
        <v>6984</v>
      </c>
      <c r="HZO11" t="s">
        <v>6984</v>
      </c>
      <c r="HZP11" t="s">
        <v>6984</v>
      </c>
      <c r="HZQ11" t="s">
        <v>6984</v>
      </c>
      <c r="HZR11" t="s">
        <v>6984</v>
      </c>
      <c r="HZS11" t="s">
        <v>6984</v>
      </c>
      <c r="HZT11" t="s">
        <v>6984</v>
      </c>
      <c r="HZU11" t="s">
        <v>6984</v>
      </c>
      <c r="HZV11" t="s">
        <v>6984</v>
      </c>
      <c r="HZW11" t="s">
        <v>6984</v>
      </c>
      <c r="HZX11" t="s">
        <v>6984</v>
      </c>
      <c r="HZY11" t="s">
        <v>6984</v>
      </c>
      <c r="HZZ11" t="s">
        <v>6984</v>
      </c>
      <c r="IAA11" t="s">
        <v>6984</v>
      </c>
      <c r="IAB11" t="s">
        <v>6984</v>
      </c>
      <c r="IAC11" t="s">
        <v>6984</v>
      </c>
      <c r="IAD11" t="s">
        <v>6984</v>
      </c>
      <c r="IAE11" t="s">
        <v>6984</v>
      </c>
      <c r="IAF11" t="s">
        <v>6984</v>
      </c>
      <c r="IAG11" t="s">
        <v>6984</v>
      </c>
      <c r="IAH11" t="s">
        <v>6984</v>
      </c>
      <c r="IAI11" t="s">
        <v>6984</v>
      </c>
      <c r="IAJ11" t="s">
        <v>6984</v>
      </c>
      <c r="IAK11" t="s">
        <v>6984</v>
      </c>
      <c r="IAL11" t="s">
        <v>6984</v>
      </c>
      <c r="IAM11" t="s">
        <v>6984</v>
      </c>
      <c r="IAN11" t="s">
        <v>6984</v>
      </c>
      <c r="IAO11" t="s">
        <v>6984</v>
      </c>
      <c r="IAP11" t="s">
        <v>6984</v>
      </c>
      <c r="IAQ11" t="s">
        <v>6984</v>
      </c>
      <c r="IAR11" t="s">
        <v>6984</v>
      </c>
      <c r="IAS11" t="s">
        <v>6984</v>
      </c>
      <c r="IAT11" t="s">
        <v>6984</v>
      </c>
      <c r="IAU11" t="s">
        <v>6984</v>
      </c>
      <c r="IAV11" t="s">
        <v>6984</v>
      </c>
      <c r="IAW11" t="s">
        <v>6984</v>
      </c>
      <c r="IAX11" t="s">
        <v>6984</v>
      </c>
      <c r="IAY11" t="s">
        <v>6984</v>
      </c>
      <c r="IAZ11" t="s">
        <v>6984</v>
      </c>
      <c r="IBA11" t="s">
        <v>6984</v>
      </c>
      <c r="IBB11" t="s">
        <v>6984</v>
      </c>
      <c r="IBC11" t="s">
        <v>6984</v>
      </c>
      <c r="IBD11" t="s">
        <v>6984</v>
      </c>
      <c r="IBE11" t="s">
        <v>6984</v>
      </c>
      <c r="IBF11" t="s">
        <v>6984</v>
      </c>
      <c r="IBG11" t="s">
        <v>6984</v>
      </c>
      <c r="IBH11" t="s">
        <v>6984</v>
      </c>
      <c r="IBI11" t="s">
        <v>6984</v>
      </c>
      <c r="IBJ11" t="s">
        <v>6984</v>
      </c>
      <c r="IBK11" t="s">
        <v>6984</v>
      </c>
      <c r="IBL11" t="s">
        <v>6984</v>
      </c>
      <c r="IBM11" t="s">
        <v>6984</v>
      </c>
      <c r="IBN11" t="s">
        <v>6984</v>
      </c>
      <c r="IBO11" t="s">
        <v>6984</v>
      </c>
      <c r="IBP11" t="s">
        <v>6984</v>
      </c>
      <c r="IBQ11" t="s">
        <v>6984</v>
      </c>
      <c r="IBR11" t="s">
        <v>6984</v>
      </c>
      <c r="IBS11" t="s">
        <v>6984</v>
      </c>
      <c r="IBT11" t="s">
        <v>6984</v>
      </c>
      <c r="IBU11" t="s">
        <v>6984</v>
      </c>
      <c r="IBV11" t="s">
        <v>6984</v>
      </c>
      <c r="IBW11" t="s">
        <v>6984</v>
      </c>
      <c r="IBX11" t="s">
        <v>6984</v>
      </c>
      <c r="IBY11" t="s">
        <v>6984</v>
      </c>
      <c r="IBZ11" t="s">
        <v>6984</v>
      </c>
      <c r="ICA11" t="s">
        <v>6984</v>
      </c>
      <c r="ICB11" t="s">
        <v>6984</v>
      </c>
      <c r="ICC11" t="s">
        <v>6984</v>
      </c>
      <c r="ICD11" t="s">
        <v>6984</v>
      </c>
      <c r="ICE11" t="s">
        <v>6984</v>
      </c>
      <c r="ICF11" t="s">
        <v>6984</v>
      </c>
      <c r="ICG11" t="s">
        <v>6984</v>
      </c>
      <c r="ICH11" t="s">
        <v>6984</v>
      </c>
      <c r="ICI11" t="s">
        <v>6984</v>
      </c>
      <c r="ICJ11" t="s">
        <v>6984</v>
      </c>
      <c r="ICK11" t="s">
        <v>6984</v>
      </c>
      <c r="ICL11" t="s">
        <v>6984</v>
      </c>
      <c r="ICM11" t="s">
        <v>6984</v>
      </c>
      <c r="ICN11" t="s">
        <v>6984</v>
      </c>
      <c r="ICO11" t="s">
        <v>6984</v>
      </c>
      <c r="ICP11" t="s">
        <v>6984</v>
      </c>
      <c r="ICQ11" t="s">
        <v>6984</v>
      </c>
      <c r="ICR11" t="s">
        <v>6984</v>
      </c>
      <c r="ICS11" t="s">
        <v>6984</v>
      </c>
      <c r="ICT11" t="s">
        <v>6984</v>
      </c>
      <c r="ICU11" t="s">
        <v>6984</v>
      </c>
      <c r="ICV11" t="s">
        <v>6984</v>
      </c>
      <c r="ICW11" t="s">
        <v>6984</v>
      </c>
      <c r="ICX11" t="s">
        <v>6984</v>
      </c>
      <c r="ICY11" t="s">
        <v>6984</v>
      </c>
      <c r="ICZ11" t="s">
        <v>6984</v>
      </c>
      <c r="IDA11" t="s">
        <v>6984</v>
      </c>
      <c r="IDB11" t="s">
        <v>6984</v>
      </c>
      <c r="IDC11" t="s">
        <v>6984</v>
      </c>
      <c r="IDD11" t="s">
        <v>6984</v>
      </c>
      <c r="IDE11" t="s">
        <v>6984</v>
      </c>
      <c r="IDF11" t="s">
        <v>6984</v>
      </c>
      <c r="IDG11" t="s">
        <v>6984</v>
      </c>
      <c r="IDH11" t="s">
        <v>6984</v>
      </c>
      <c r="IDI11" t="s">
        <v>6984</v>
      </c>
      <c r="IDJ11" t="s">
        <v>6984</v>
      </c>
      <c r="IDK11" t="s">
        <v>6984</v>
      </c>
      <c r="IDL11" t="s">
        <v>6984</v>
      </c>
      <c r="IDM11" t="s">
        <v>6984</v>
      </c>
      <c r="IDN11" t="s">
        <v>6984</v>
      </c>
      <c r="IDO11" t="s">
        <v>6984</v>
      </c>
      <c r="IDP11" t="s">
        <v>6984</v>
      </c>
      <c r="IDQ11" t="s">
        <v>6984</v>
      </c>
      <c r="IDR11" t="s">
        <v>6984</v>
      </c>
      <c r="IDS11" t="s">
        <v>6984</v>
      </c>
      <c r="IDT11" t="s">
        <v>6984</v>
      </c>
      <c r="IDU11" t="s">
        <v>6984</v>
      </c>
      <c r="IDV11" t="s">
        <v>6984</v>
      </c>
      <c r="IDW11" t="s">
        <v>6984</v>
      </c>
      <c r="IDX11" t="s">
        <v>6984</v>
      </c>
      <c r="IDY11" t="s">
        <v>6984</v>
      </c>
      <c r="IDZ11" t="s">
        <v>6984</v>
      </c>
      <c r="IEA11" t="s">
        <v>6984</v>
      </c>
      <c r="IEB11" t="s">
        <v>6984</v>
      </c>
      <c r="IEC11" t="s">
        <v>6984</v>
      </c>
      <c r="IED11" t="s">
        <v>6984</v>
      </c>
      <c r="IEE11" t="s">
        <v>6984</v>
      </c>
      <c r="IEF11" t="s">
        <v>6984</v>
      </c>
      <c r="IEG11" t="s">
        <v>6984</v>
      </c>
      <c r="IEH11" t="s">
        <v>6984</v>
      </c>
      <c r="IEI11" t="s">
        <v>6984</v>
      </c>
      <c r="IEJ11" t="s">
        <v>6984</v>
      </c>
      <c r="IEK11" t="s">
        <v>6984</v>
      </c>
      <c r="IEL11" t="s">
        <v>6984</v>
      </c>
      <c r="IEM11" t="s">
        <v>6984</v>
      </c>
      <c r="IEN11" t="s">
        <v>6984</v>
      </c>
      <c r="IEO11" t="s">
        <v>6984</v>
      </c>
      <c r="IEP11" t="s">
        <v>6984</v>
      </c>
      <c r="IEQ11" t="s">
        <v>6984</v>
      </c>
      <c r="IER11" t="s">
        <v>6984</v>
      </c>
      <c r="IES11" t="s">
        <v>6984</v>
      </c>
      <c r="IET11" t="s">
        <v>6984</v>
      </c>
      <c r="IEU11" t="s">
        <v>6984</v>
      </c>
      <c r="IEV11" t="s">
        <v>6984</v>
      </c>
      <c r="IEW11" t="s">
        <v>6984</v>
      </c>
      <c r="IEX11" t="s">
        <v>6984</v>
      </c>
      <c r="IEY11" t="s">
        <v>6984</v>
      </c>
      <c r="IEZ11" t="s">
        <v>6984</v>
      </c>
      <c r="IFA11" t="s">
        <v>6984</v>
      </c>
      <c r="IFB11" t="s">
        <v>6984</v>
      </c>
      <c r="IFC11" t="s">
        <v>6984</v>
      </c>
      <c r="IFD11" t="s">
        <v>6984</v>
      </c>
      <c r="IFE11" t="s">
        <v>6984</v>
      </c>
      <c r="IFF11" t="s">
        <v>6984</v>
      </c>
      <c r="IFG11" t="s">
        <v>6984</v>
      </c>
      <c r="IFH11" t="s">
        <v>6984</v>
      </c>
      <c r="IFI11" t="s">
        <v>6984</v>
      </c>
      <c r="IFJ11" t="s">
        <v>6984</v>
      </c>
      <c r="IFK11" t="s">
        <v>6984</v>
      </c>
      <c r="IFL11" t="s">
        <v>6984</v>
      </c>
      <c r="IFM11" t="s">
        <v>6984</v>
      </c>
      <c r="IFN11" t="s">
        <v>6984</v>
      </c>
      <c r="IFO11" t="s">
        <v>6984</v>
      </c>
      <c r="IFP11" t="s">
        <v>6984</v>
      </c>
      <c r="IFQ11" t="s">
        <v>6984</v>
      </c>
      <c r="IFR11" t="s">
        <v>6984</v>
      </c>
      <c r="IFS11" t="s">
        <v>6984</v>
      </c>
      <c r="IFT11" t="s">
        <v>6984</v>
      </c>
      <c r="IFU11" t="s">
        <v>6984</v>
      </c>
      <c r="IFV11" t="s">
        <v>6984</v>
      </c>
      <c r="IFW11" t="s">
        <v>6984</v>
      </c>
      <c r="IFX11" t="s">
        <v>6984</v>
      </c>
      <c r="IFY11" t="s">
        <v>6984</v>
      </c>
      <c r="IFZ11" t="s">
        <v>6984</v>
      </c>
      <c r="IGA11" t="s">
        <v>6984</v>
      </c>
      <c r="IGB11" t="s">
        <v>6984</v>
      </c>
      <c r="IGC11" t="s">
        <v>6984</v>
      </c>
      <c r="IGD11" t="s">
        <v>6984</v>
      </c>
      <c r="IGE11" t="s">
        <v>6984</v>
      </c>
      <c r="IGF11" t="s">
        <v>6984</v>
      </c>
      <c r="IGG11" t="s">
        <v>6984</v>
      </c>
      <c r="IGH11" t="s">
        <v>6984</v>
      </c>
      <c r="IGI11" t="s">
        <v>6984</v>
      </c>
      <c r="IGJ11" t="s">
        <v>6984</v>
      </c>
      <c r="IGK11" t="s">
        <v>6984</v>
      </c>
      <c r="IGL11" t="s">
        <v>6984</v>
      </c>
      <c r="IGM11" t="s">
        <v>6984</v>
      </c>
      <c r="IGN11" t="s">
        <v>6984</v>
      </c>
      <c r="IGO11" t="s">
        <v>6984</v>
      </c>
      <c r="IGP11" t="s">
        <v>6984</v>
      </c>
      <c r="IGQ11" t="s">
        <v>6984</v>
      </c>
      <c r="IGR11" t="s">
        <v>6984</v>
      </c>
      <c r="IGS11" t="s">
        <v>6984</v>
      </c>
      <c r="IGT11" t="s">
        <v>6984</v>
      </c>
      <c r="IGU11" t="s">
        <v>6984</v>
      </c>
      <c r="IGV11" t="s">
        <v>6984</v>
      </c>
      <c r="IGW11" t="s">
        <v>6984</v>
      </c>
      <c r="IGX11" t="s">
        <v>6984</v>
      </c>
      <c r="IGY11" t="s">
        <v>6984</v>
      </c>
      <c r="IGZ11" t="s">
        <v>6984</v>
      </c>
      <c r="IHA11" t="s">
        <v>6984</v>
      </c>
      <c r="IHB11" t="s">
        <v>6984</v>
      </c>
      <c r="IHC11" t="s">
        <v>6984</v>
      </c>
      <c r="IHD11" t="s">
        <v>6984</v>
      </c>
      <c r="IHE11" t="s">
        <v>6984</v>
      </c>
      <c r="IHF11" t="s">
        <v>6984</v>
      </c>
      <c r="IHG11" t="s">
        <v>6984</v>
      </c>
      <c r="IHH11" t="s">
        <v>6984</v>
      </c>
      <c r="IHI11" t="s">
        <v>6984</v>
      </c>
      <c r="IHJ11" t="s">
        <v>6984</v>
      </c>
      <c r="IHK11" t="s">
        <v>6984</v>
      </c>
      <c r="IHL11" t="s">
        <v>6984</v>
      </c>
      <c r="IHM11" t="s">
        <v>6984</v>
      </c>
      <c r="IHN11" t="s">
        <v>6984</v>
      </c>
      <c r="IHO11" t="s">
        <v>6984</v>
      </c>
      <c r="IHP11" t="s">
        <v>6984</v>
      </c>
      <c r="IHQ11" t="s">
        <v>6984</v>
      </c>
      <c r="IHR11" t="s">
        <v>6984</v>
      </c>
      <c r="IHS11" t="s">
        <v>6984</v>
      </c>
      <c r="IHT11" t="s">
        <v>6984</v>
      </c>
      <c r="IHU11" t="s">
        <v>6984</v>
      </c>
      <c r="IHV11" t="s">
        <v>6984</v>
      </c>
      <c r="IHW11" t="s">
        <v>6984</v>
      </c>
      <c r="IHX11" t="s">
        <v>6984</v>
      </c>
      <c r="IHY11" t="s">
        <v>6984</v>
      </c>
      <c r="IHZ11" t="s">
        <v>6984</v>
      </c>
      <c r="IIA11" t="s">
        <v>6984</v>
      </c>
      <c r="IIB11" t="s">
        <v>6984</v>
      </c>
      <c r="IIC11" t="s">
        <v>6984</v>
      </c>
      <c r="IID11" t="s">
        <v>6984</v>
      </c>
      <c r="IIE11" t="s">
        <v>6984</v>
      </c>
      <c r="IIF11" t="s">
        <v>6984</v>
      </c>
      <c r="IIG11" t="s">
        <v>6984</v>
      </c>
      <c r="IIH11" t="s">
        <v>6984</v>
      </c>
      <c r="III11" t="s">
        <v>6984</v>
      </c>
      <c r="IIJ11" t="s">
        <v>6984</v>
      </c>
      <c r="IIK11" t="s">
        <v>6984</v>
      </c>
      <c r="IIL11" t="s">
        <v>6984</v>
      </c>
      <c r="IIM11" t="s">
        <v>6984</v>
      </c>
      <c r="IIN11" t="s">
        <v>6984</v>
      </c>
      <c r="IIO11" t="s">
        <v>6984</v>
      </c>
      <c r="IIP11" t="s">
        <v>6984</v>
      </c>
      <c r="IIQ11" t="s">
        <v>6984</v>
      </c>
      <c r="IIR11" t="s">
        <v>6984</v>
      </c>
      <c r="IIS11" t="s">
        <v>6984</v>
      </c>
      <c r="IIT11" t="s">
        <v>6984</v>
      </c>
      <c r="IIU11" t="s">
        <v>6984</v>
      </c>
      <c r="IIV11" t="s">
        <v>6984</v>
      </c>
      <c r="IIW11" t="s">
        <v>6984</v>
      </c>
      <c r="IIX11" t="s">
        <v>6984</v>
      </c>
      <c r="IIY11" t="s">
        <v>6984</v>
      </c>
      <c r="IIZ11" t="s">
        <v>6984</v>
      </c>
      <c r="IJA11" t="s">
        <v>6984</v>
      </c>
      <c r="IJB11" t="s">
        <v>6984</v>
      </c>
      <c r="IJC11" t="s">
        <v>6984</v>
      </c>
      <c r="IJD11" t="s">
        <v>6984</v>
      </c>
      <c r="IJE11" t="s">
        <v>6984</v>
      </c>
      <c r="IJF11" t="s">
        <v>6984</v>
      </c>
      <c r="IJG11" t="s">
        <v>6984</v>
      </c>
      <c r="IJH11" t="s">
        <v>6984</v>
      </c>
      <c r="IJI11" t="s">
        <v>6984</v>
      </c>
      <c r="IJJ11" t="s">
        <v>6984</v>
      </c>
      <c r="IJK11" t="s">
        <v>6984</v>
      </c>
      <c r="IJL11" t="s">
        <v>6984</v>
      </c>
      <c r="IJM11" t="s">
        <v>6984</v>
      </c>
      <c r="IJN11" t="s">
        <v>6984</v>
      </c>
      <c r="IJO11" t="s">
        <v>6984</v>
      </c>
      <c r="IJP11" t="s">
        <v>6984</v>
      </c>
      <c r="IJQ11" t="s">
        <v>6984</v>
      </c>
      <c r="IJR11" t="s">
        <v>6984</v>
      </c>
      <c r="IJS11" t="s">
        <v>6984</v>
      </c>
      <c r="IJT11" t="s">
        <v>6984</v>
      </c>
      <c r="IJU11" t="s">
        <v>6984</v>
      </c>
      <c r="IJV11" t="s">
        <v>6984</v>
      </c>
      <c r="IJW11" t="s">
        <v>6984</v>
      </c>
      <c r="IJX11" t="s">
        <v>6984</v>
      </c>
      <c r="IJY11" t="s">
        <v>6984</v>
      </c>
      <c r="IJZ11" t="s">
        <v>6984</v>
      </c>
      <c r="IKA11" t="s">
        <v>6984</v>
      </c>
      <c r="IKB11" t="s">
        <v>6984</v>
      </c>
      <c r="IKC11" t="s">
        <v>6984</v>
      </c>
      <c r="IKD11" t="s">
        <v>6984</v>
      </c>
      <c r="IKE11" t="s">
        <v>6984</v>
      </c>
      <c r="IKF11" t="s">
        <v>6984</v>
      </c>
      <c r="IKG11" t="s">
        <v>6984</v>
      </c>
      <c r="IKH11" t="s">
        <v>6984</v>
      </c>
      <c r="IKI11" t="s">
        <v>6984</v>
      </c>
      <c r="IKJ11" t="s">
        <v>6984</v>
      </c>
      <c r="IKK11" t="s">
        <v>6984</v>
      </c>
      <c r="IKL11" t="s">
        <v>6984</v>
      </c>
      <c r="IKM11" t="s">
        <v>6984</v>
      </c>
      <c r="IKN11" t="s">
        <v>6984</v>
      </c>
      <c r="IKO11" t="s">
        <v>6984</v>
      </c>
      <c r="IKP11" t="s">
        <v>6984</v>
      </c>
      <c r="IKQ11" t="s">
        <v>6984</v>
      </c>
      <c r="IKR11" t="s">
        <v>6984</v>
      </c>
      <c r="IKS11" t="s">
        <v>6984</v>
      </c>
      <c r="IKT11" t="s">
        <v>6984</v>
      </c>
      <c r="IKU11" t="s">
        <v>6984</v>
      </c>
      <c r="IKV11" t="s">
        <v>6984</v>
      </c>
      <c r="IKW11" t="s">
        <v>6984</v>
      </c>
      <c r="IKX11" t="s">
        <v>6984</v>
      </c>
      <c r="IKY11" t="s">
        <v>6984</v>
      </c>
      <c r="IKZ11" t="s">
        <v>6984</v>
      </c>
      <c r="ILA11" t="s">
        <v>6984</v>
      </c>
      <c r="ILB11" t="s">
        <v>6984</v>
      </c>
      <c r="ILC11" t="s">
        <v>6984</v>
      </c>
      <c r="ILD11" t="s">
        <v>6984</v>
      </c>
      <c r="ILE11" t="s">
        <v>6984</v>
      </c>
      <c r="ILF11" t="s">
        <v>6984</v>
      </c>
      <c r="ILG11" t="s">
        <v>6984</v>
      </c>
      <c r="ILH11" t="s">
        <v>6984</v>
      </c>
      <c r="ILI11" t="s">
        <v>6984</v>
      </c>
      <c r="ILJ11" t="s">
        <v>6984</v>
      </c>
      <c r="ILK11" t="s">
        <v>6984</v>
      </c>
      <c r="ILL11" t="s">
        <v>6984</v>
      </c>
      <c r="ILM11" t="s">
        <v>6984</v>
      </c>
      <c r="ILN11" t="s">
        <v>6984</v>
      </c>
      <c r="ILO11" t="s">
        <v>6984</v>
      </c>
      <c r="ILP11" t="s">
        <v>6984</v>
      </c>
      <c r="ILQ11" t="s">
        <v>6984</v>
      </c>
      <c r="ILR11" t="s">
        <v>6984</v>
      </c>
      <c r="ILS11" t="s">
        <v>6984</v>
      </c>
      <c r="ILT11" t="s">
        <v>6984</v>
      </c>
      <c r="ILU11" t="s">
        <v>6984</v>
      </c>
      <c r="ILV11" t="s">
        <v>6984</v>
      </c>
      <c r="ILW11" t="s">
        <v>6984</v>
      </c>
      <c r="ILX11" t="s">
        <v>6984</v>
      </c>
      <c r="ILY11" t="s">
        <v>6984</v>
      </c>
      <c r="ILZ11" t="s">
        <v>6984</v>
      </c>
      <c r="IMA11" t="s">
        <v>6984</v>
      </c>
      <c r="IMB11" t="s">
        <v>6984</v>
      </c>
      <c r="IMC11" t="s">
        <v>6984</v>
      </c>
      <c r="IMD11" t="s">
        <v>6984</v>
      </c>
      <c r="IME11" t="s">
        <v>6984</v>
      </c>
      <c r="IMF11" t="s">
        <v>6984</v>
      </c>
      <c r="IMG11" t="s">
        <v>6984</v>
      </c>
      <c r="IMH11" t="s">
        <v>6984</v>
      </c>
      <c r="IMI11" t="s">
        <v>6984</v>
      </c>
      <c r="IMJ11" t="s">
        <v>6984</v>
      </c>
      <c r="IMK11" t="s">
        <v>6984</v>
      </c>
      <c r="IML11" t="s">
        <v>6984</v>
      </c>
      <c r="IMM11" t="s">
        <v>6984</v>
      </c>
      <c r="IMN11" t="s">
        <v>6984</v>
      </c>
      <c r="IMO11" t="s">
        <v>6984</v>
      </c>
      <c r="IMP11" t="s">
        <v>6984</v>
      </c>
      <c r="IMQ11" t="s">
        <v>6984</v>
      </c>
      <c r="IMR11" t="s">
        <v>6984</v>
      </c>
      <c r="IMS11" t="s">
        <v>6984</v>
      </c>
      <c r="IMT11" t="s">
        <v>6984</v>
      </c>
      <c r="IMU11" t="s">
        <v>6984</v>
      </c>
      <c r="IMV11" t="s">
        <v>6984</v>
      </c>
      <c r="IMW11" t="s">
        <v>6984</v>
      </c>
      <c r="IMX11" t="s">
        <v>6984</v>
      </c>
      <c r="IMY11" t="s">
        <v>6984</v>
      </c>
      <c r="IMZ11" t="s">
        <v>6984</v>
      </c>
      <c r="INA11" t="s">
        <v>6984</v>
      </c>
      <c r="INB11" t="s">
        <v>6984</v>
      </c>
      <c r="INC11" t="s">
        <v>6984</v>
      </c>
      <c r="IND11" t="s">
        <v>6984</v>
      </c>
      <c r="INE11" t="s">
        <v>6984</v>
      </c>
      <c r="INF11" t="s">
        <v>6984</v>
      </c>
      <c r="ING11" t="s">
        <v>6984</v>
      </c>
      <c r="INH11" t="s">
        <v>6984</v>
      </c>
      <c r="INI11" t="s">
        <v>6984</v>
      </c>
      <c r="INJ11" t="s">
        <v>6984</v>
      </c>
      <c r="INK11" t="s">
        <v>6984</v>
      </c>
      <c r="INL11" t="s">
        <v>6984</v>
      </c>
      <c r="INM11" t="s">
        <v>6984</v>
      </c>
      <c r="INN11" t="s">
        <v>6984</v>
      </c>
      <c r="INO11" t="s">
        <v>6984</v>
      </c>
      <c r="INP11" t="s">
        <v>6984</v>
      </c>
      <c r="INQ11" t="s">
        <v>6984</v>
      </c>
      <c r="INR11" t="s">
        <v>6984</v>
      </c>
      <c r="INS11" t="s">
        <v>6984</v>
      </c>
      <c r="INT11" t="s">
        <v>6984</v>
      </c>
      <c r="INU11" t="s">
        <v>6984</v>
      </c>
      <c r="INV11" t="s">
        <v>6984</v>
      </c>
      <c r="INW11" t="s">
        <v>6984</v>
      </c>
      <c r="INX11" t="s">
        <v>6984</v>
      </c>
      <c r="INY11" t="s">
        <v>6984</v>
      </c>
      <c r="INZ11" t="s">
        <v>6984</v>
      </c>
      <c r="IOA11" t="s">
        <v>6984</v>
      </c>
      <c r="IOB11" t="s">
        <v>6984</v>
      </c>
      <c r="IOC11" t="s">
        <v>6984</v>
      </c>
      <c r="IOD11" t="s">
        <v>6984</v>
      </c>
      <c r="IOE11" t="s">
        <v>6984</v>
      </c>
      <c r="IOF11" t="s">
        <v>6984</v>
      </c>
      <c r="IOG11" t="s">
        <v>6984</v>
      </c>
      <c r="IOH11" t="s">
        <v>6984</v>
      </c>
      <c r="IOI11" t="s">
        <v>6984</v>
      </c>
      <c r="IOJ11" t="s">
        <v>6984</v>
      </c>
      <c r="IOK11" t="s">
        <v>6984</v>
      </c>
      <c r="IOL11" t="s">
        <v>6984</v>
      </c>
      <c r="IOM11" t="s">
        <v>6984</v>
      </c>
      <c r="ION11" t="s">
        <v>6984</v>
      </c>
      <c r="IOO11" t="s">
        <v>6984</v>
      </c>
      <c r="IOP11" t="s">
        <v>6984</v>
      </c>
      <c r="IOQ11" t="s">
        <v>6984</v>
      </c>
      <c r="IOR11" t="s">
        <v>6984</v>
      </c>
      <c r="IOS11" t="s">
        <v>6984</v>
      </c>
      <c r="IOT11" t="s">
        <v>6984</v>
      </c>
      <c r="IOU11" t="s">
        <v>6984</v>
      </c>
      <c r="IOV11" t="s">
        <v>6984</v>
      </c>
      <c r="IOW11" t="s">
        <v>6984</v>
      </c>
      <c r="IOX11" t="s">
        <v>6984</v>
      </c>
      <c r="IOY11" t="s">
        <v>6984</v>
      </c>
      <c r="IOZ11" t="s">
        <v>6984</v>
      </c>
      <c r="IPA11" t="s">
        <v>6984</v>
      </c>
      <c r="IPB11" t="s">
        <v>6984</v>
      </c>
      <c r="IPC11" t="s">
        <v>6984</v>
      </c>
      <c r="IPD11" t="s">
        <v>6984</v>
      </c>
      <c r="IPE11" t="s">
        <v>6984</v>
      </c>
      <c r="IPF11" t="s">
        <v>6984</v>
      </c>
      <c r="IPG11" t="s">
        <v>6984</v>
      </c>
      <c r="IPH11" t="s">
        <v>6984</v>
      </c>
      <c r="IPI11" t="s">
        <v>6984</v>
      </c>
      <c r="IPJ11" t="s">
        <v>6984</v>
      </c>
      <c r="IPK11" t="s">
        <v>6984</v>
      </c>
      <c r="IPL11" t="s">
        <v>6984</v>
      </c>
      <c r="IPM11" t="s">
        <v>6984</v>
      </c>
      <c r="IPN11" t="s">
        <v>6984</v>
      </c>
      <c r="IPO11" t="s">
        <v>6984</v>
      </c>
      <c r="IPP11" t="s">
        <v>6984</v>
      </c>
      <c r="IPQ11" t="s">
        <v>6984</v>
      </c>
      <c r="IPR11" t="s">
        <v>6984</v>
      </c>
      <c r="IPS11" t="s">
        <v>6984</v>
      </c>
      <c r="IPT11" t="s">
        <v>6984</v>
      </c>
      <c r="IPU11" t="s">
        <v>6984</v>
      </c>
      <c r="IPV11" t="s">
        <v>6984</v>
      </c>
      <c r="IPW11" t="s">
        <v>6984</v>
      </c>
      <c r="IPX11" t="s">
        <v>6984</v>
      </c>
      <c r="IPY11" t="s">
        <v>6984</v>
      </c>
      <c r="IPZ11" t="s">
        <v>6984</v>
      </c>
      <c r="IQA11" t="s">
        <v>6984</v>
      </c>
      <c r="IQB11" t="s">
        <v>6984</v>
      </c>
      <c r="IQC11" t="s">
        <v>6984</v>
      </c>
      <c r="IQD11" t="s">
        <v>6984</v>
      </c>
      <c r="IQE11" t="s">
        <v>6984</v>
      </c>
      <c r="IQF11" t="s">
        <v>6984</v>
      </c>
      <c r="IQG11" t="s">
        <v>6984</v>
      </c>
      <c r="IQH11" t="s">
        <v>6984</v>
      </c>
      <c r="IQI11" t="s">
        <v>6984</v>
      </c>
      <c r="IQJ11" t="s">
        <v>6984</v>
      </c>
      <c r="IQK11" t="s">
        <v>6984</v>
      </c>
      <c r="IQL11" t="s">
        <v>6984</v>
      </c>
      <c r="IQM11" t="s">
        <v>6984</v>
      </c>
      <c r="IQN11" t="s">
        <v>6984</v>
      </c>
      <c r="IQO11" t="s">
        <v>6984</v>
      </c>
      <c r="IQP11" t="s">
        <v>6984</v>
      </c>
      <c r="IQQ11" t="s">
        <v>6984</v>
      </c>
      <c r="IQR11" t="s">
        <v>6984</v>
      </c>
      <c r="IQS11" t="s">
        <v>6984</v>
      </c>
      <c r="IQT11" t="s">
        <v>6984</v>
      </c>
      <c r="IQU11" t="s">
        <v>6984</v>
      </c>
      <c r="IQV11" t="s">
        <v>6984</v>
      </c>
      <c r="IQW11" t="s">
        <v>6984</v>
      </c>
      <c r="IQX11" t="s">
        <v>6984</v>
      </c>
      <c r="IQY11" t="s">
        <v>6984</v>
      </c>
      <c r="IQZ11" t="s">
        <v>6984</v>
      </c>
      <c r="IRA11" t="s">
        <v>6984</v>
      </c>
      <c r="IRB11" t="s">
        <v>6984</v>
      </c>
      <c r="IRC11" t="s">
        <v>6984</v>
      </c>
      <c r="IRD11" t="s">
        <v>6984</v>
      </c>
      <c r="IRE11" t="s">
        <v>6984</v>
      </c>
      <c r="IRF11" t="s">
        <v>6984</v>
      </c>
      <c r="IRG11" t="s">
        <v>6984</v>
      </c>
      <c r="IRH11" t="s">
        <v>6984</v>
      </c>
      <c r="IRI11" t="s">
        <v>6984</v>
      </c>
      <c r="IRJ11" t="s">
        <v>6984</v>
      </c>
      <c r="IRK11" t="s">
        <v>6984</v>
      </c>
      <c r="IRL11" t="s">
        <v>6984</v>
      </c>
      <c r="IRM11" t="s">
        <v>6984</v>
      </c>
      <c r="IRN11" t="s">
        <v>6984</v>
      </c>
      <c r="IRO11" t="s">
        <v>6984</v>
      </c>
      <c r="IRP11" t="s">
        <v>6984</v>
      </c>
      <c r="IRQ11" t="s">
        <v>6984</v>
      </c>
      <c r="IRR11" t="s">
        <v>6984</v>
      </c>
      <c r="IRS11" t="s">
        <v>6984</v>
      </c>
      <c r="IRT11" t="s">
        <v>6984</v>
      </c>
      <c r="IRU11" t="s">
        <v>6984</v>
      </c>
      <c r="IRV11" t="s">
        <v>6984</v>
      </c>
      <c r="IRW11" t="s">
        <v>6984</v>
      </c>
      <c r="IRX11" t="s">
        <v>6984</v>
      </c>
      <c r="IRY11" t="s">
        <v>6984</v>
      </c>
      <c r="IRZ11" t="s">
        <v>6984</v>
      </c>
      <c r="ISA11" t="s">
        <v>6984</v>
      </c>
      <c r="ISB11" t="s">
        <v>6984</v>
      </c>
      <c r="ISC11" t="s">
        <v>6984</v>
      </c>
      <c r="ISD11" t="s">
        <v>6984</v>
      </c>
      <c r="ISE11" t="s">
        <v>6984</v>
      </c>
      <c r="ISF11" t="s">
        <v>6984</v>
      </c>
      <c r="ISG11" t="s">
        <v>6984</v>
      </c>
      <c r="ISH11" t="s">
        <v>6984</v>
      </c>
      <c r="ISI11" t="s">
        <v>6984</v>
      </c>
      <c r="ISJ11" t="s">
        <v>6984</v>
      </c>
      <c r="ISK11" t="s">
        <v>6984</v>
      </c>
      <c r="ISL11" t="s">
        <v>6984</v>
      </c>
      <c r="ISM11" t="s">
        <v>6984</v>
      </c>
      <c r="ISN11" t="s">
        <v>6984</v>
      </c>
      <c r="ISO11" t="s">
        <v>6984</v>
      </c>
      <c r="ISP11" t="s">
        <v>6984</v>
      </c>
      <c r="ISQ11" t="s">
        <v>6984</v>
      </c>
      <c r="ISR11" t="s">
        <v>6984</v>
      </c>
      <c r="ISS11" t="s">
        <v>6984</v>
      </c>
      <c r="IST11" t="s">
        <v>6984</v>
      </c>
      <c r="ISU11" t="s">
        <v>6984</v>
      </c>
      <c r="ISV11" t="s">
        <v>6984</v>
      </c>
      <c r="ISW11" t="s">
        <v>6984</v>
      </c>
      <c r="ISX11" t="s">
        <v>6984</v>
      </c>
      <c r="ISY11" t="s">
        <v>6984</v>
      </c>
      <c r="ISZ11" t="s">
        <v>6984</v>
      </c>
      <c r="ITA11" t="s">
        <v>6984</v>
      </c>
      <c r="ITB11" t="s">
        <v>6984</v>
      </c>
      <c r="ITC11" t="s">
        <v>6984</v>
      </c>
      <c r="ITD11" t="s">
        <v>6984</v>
      </c>
      <c r="ITE11" t="s">
        <v>6984</v>
      </c>
      <c r="ITF11" t="s">
        <v>6984</v>
      </c>
      <c r="ITG11" t="s">
        <v>6984</v>
      </c>
      <c r="ITH11" t="s">
        <v>6984</v>
      </c>
      <c r="ITI11" t="s">
        <v>6984</v>
      </c>
      <c r="ITJ11" t="s">
        <v>6984</v>
      </c>
      <c r="ITK11" t="s">
        <v>6984</v>
      </c>
      <c r="ITL11" t="s">
        <v>6984</v>
      </c>
      <c r="ITM11" t="s">
        <v>6984</v>
      </c>
      <c r="ITN11" t="s">
        <v>6984</v>
      </c>
      <c r="ITO11" t="s">
        <v>6984</v>
      </c>
      <c r="ITP11" t="s">
        <v>6984</v>
      </c>
      <c r="ITQ11" t="s">
        <v>6984</v>
      </c>
      <c r="ITR11" t="s">
        <v>6984</v>
      </c>
      <c r="ITS11" t="s">
        <v>6984</v>
      </c>
      <c r="ITT11" t="s">
        <v>6984</v>
      </c>
      <c r="ITU11" t="s">
        <v>6984</v>
      </c>
      <c r="ITV11" t="s">
        <v>6984</v>
      </c>
      <c r="ITW11" t="s">
        <v>6984</v>
      </c>
      <c r="ITX11" t="s">
        <v>6984</v>
      </c>
      <c r="ITY11" t="s">
        <v>6984</v>
      </c>
      <c r="ITZ11" t="s">
        <v>6984</v>
      </c>
      <c r="IUA11" t="s">
        <v>6984</v>
      </c>
      <c r="IUB11" t="s">
        <v>6984</v>
      </c>
      <c r="IUC11" t="s">
        <v>6984</v>
      </c>
      <c r="IUD11" t="s">
        <v>6984</v>
      </c>
      <c r="IUE11" t="s">
        <v>6984</v>
      </c>
      <c r="IUF11" t="s">
        <v>6984</v>
      </c>
      <c r="IUG11" t="s">
        <v>6984</v>
      </c>
      <c r="IUH11" t="s">
        <v>6984</v>
      </c>
      <c r="IUI11" t="s">
        <v>6984</v>
      </c>
      <c r="IUJ11" t="s">
        <v>6984</v>
      </c>
      <c r="IUK11" t="s">
        <v>6984</v>
      </c>
      <c r="IUL11" t="s">
        <v>6984</v>
      </c>
      <c r="IUM11" t="s">
        <v>6984</v>
      </c>
      <c r="IUN11" t="s">
        <v>6984</v>
      </c>
      <c r="IUO11" t="s">
        <v>6984</v>
      </c>
      <c r="IUP11" t="s">
        <v>6984</v>
      </c>
      <c r="IUQ11" t="s">
        <v>6984</v>
      </c>
      <c r="IUR11" t="s">
        <v>6984</v>
      </c>
      <c r="IUS11" t="s">
        <v>6984</v>
      </c>
      <c r="IUT11" t="s">
        <v>6984</v>
      </c>
      <c r="IUU11" t="s">
        <v>6984</v>
      </c>
      <c r="IUV11" t="s">
        <v>6984</v>
      </c>
      <c r="IUW11" t="s">
        <v>6984</v>
      </c>
      <c r="IUX11" t="s">
        <v>6984</v>
      </c>
      <c r="IUY11" t="s">
        <v>6984</v>
      </c>
      <c r="IUZ11" t="s">
        <v>6984</v>
      </c>
      <c r="IVA11" t="s">
        <v>6984</v>
      </c>
      <c r="IVB11" t="s">
        <v>6984</v>
      </c>
      <c r="IVC11" t="s">
        <v>6984</v>
      </c>
      <c r="IVD11" t="s">
        <v>6984</v>
      </c>
      <c r="IVE11" t="s">
        <v>6984</v>
      </c>
      <c r="IVF11" t="s">
        <v>6984</v>
      </c>
      <c r="IVG11" t="s">
        <v>6984</v>
      </c>
      <c r="IVH11" t="s">
        <v>6984</v>
      </c>
      <c r="IVI11" t="s">
        <v>6984</v>
      </c>
      <c r="IVJ11" t="s">
        <v>6984</v>
      </c>
      <c r="IVK11" t="s">
        <v>6984</v>
      </c>
      <c r="IVL11" t="s">
        <v>6984</v>
      </c>
      <c r="IVM11" t="s">
        <v>6984</v>
      </c>
      <c r="IVN11" t="s">
        <v>6984</v>
      </c>
      <c r="IVO11" t="s">
        <v>6984</v>
      </c>
      <c r="IVP11" t="s">
        <v>6984</v>
      </c>
      <c r="IVQ11" t="s">
        <v>6984</v>
      </c>
      <c r="IVR11" t="s">
        <v>6984</v>
      </c>
      <c r="IVS11" t="s">
        <v>6984</v>
      </c>
      <c r="IVT11" t="s">
        <v>6984</v>
      </c>
      <c r="IVU11" t="s">
        <v>6984</v>
      </c>
      <c r="IVV11" t="s">
        <v>6984</v>
      </c>
      <c r="IVW11" t="s">
        <v>6984</v>
      </c>
      <c r="IVX11" t="s">
        <v>6984</v>
      </c>
      <c r="IVY11" t="s">
        <v>6984</v>
      </c>
      <c r="IVZ11" t="s">
        <v>6984</v>
      </c>
      <c r="IWA11" t="s">
        <v>6984</v>
      </c>
      <c r="IWB11" t="s">
        <v>6984</v>
      </c>
      <c r="IWC11" t="s">
        <v>6984</v>
      </c>
      <c r="IWD11" t="s">
        <v>6984</v>
      </c>
      <c r="IWE11" t="s">
        <v>6984</v>
      </c>
      <c r="IWF11" t="s">
        <v>6984</v>
      </c>
      <c r="IWG11" t="s">
        <v>6984</v>
      </c>
      <c r="IWH11" t="s">
        <v>6984</v>
      </c>
      <c r="IWI11" t="s">
        <v>6984</v>
      </c>
      <c r="IWJ11" t="s">
        <v>6984</v>
      </c>
      <c r="IWK11" t="s">
        <v>6984</v>
      </c>
      <c r="IWL11" t="s">
        <v>6984</v>
      </c>
      <c r="IWM11" t="s">
        <v>6984</v>
      </c>
      <c r="IWN11" t="s">
        <v>6984</v>
      </c>
      <c r="IWO11" t="s">
        <v>6984</v>
      </c>
      <c r="IWP11" t="s">
        <v>6984</v>
      </c>
      <c r="IWQ11" t="s">
        <v>6984</v>
      </c>
      <c r="IWR11" t="s">
        <v>6984</v>
      </c>
      <c r="IWS11" t="s">
        <v>6984</v>
      </c>
      <c r="IWT11" t="s">
        <v>6984</v>
      </c>
      <c r="IWU11" t="s">
        <v>6984</v>
      </c>
      <c r="IWV11" t="s">
        <v>6984</v>
      </c>
      <c r="IWW11" t="s">
        <v>6984</v>
      </c>
      <c r="IWX11" t="s">
        <v>6984</v>
      </c>
      <c r="IWY11" t="s">
        <v>6984</v>
      </c>
      <c r="IWZ11" t="s">
        <v>6984</v>
      </c>
      <c r="IXA11" t="s">
        <v>6984</v>
      </c>
      <c r="IXB11" t="s">
        <v>6984</v>
      </c>
      <c r="IXC11" t="s">
        <v>6984</v>
      </c>
      <c r="IXD11" t="s">
        <v>6984</v>
      </c>
      <c r="IXE11" t="s">
        <v>6984</v>
      </c>
      <c r="IXF11" t="s">
        <v>6984</v>
      </c>
      <c r="IXG11" t="s">
        <v>6984</v>
      </c>
      <c r="IXH11" t="s">
        <v>6984</v>
      </c>
      <c r="IXI11" t="s">
        <v>6984</v>
      </c>
      <c r="IXJ11" t="s">
        <v>6984</v>
      </c>
      <c r="IXK11" t="s">
        <v>6984</v>
      </c>
      <c r="IXL11" t="s">
        <v>6984</v>
      </c>
      <c r="IXM11" t="s">
        <v>6984</v>
      </c>
      <c r="IXN11" t="s">
        <v>6984</v>
      </c>
      <c r="IXO11" t="s">
        <v>6984</v>
      </c>
      <c r="IXP11" t="s">
        <v>6984</v>
      </c>
      <c r="IXQ11" t="s">
        <v>6984</v>
      </c>
      <c r="IXR11" t="s">
        <v>6984</v>
      </c>
      <c r="IXS11" t="s">
        <v>6984</v>
      </c>
      <c r="IXT11" t="s">
        <v>6984</v>
      </c>
      <c r="IXU11" t="s">
        <v>6984</v>
      </c>
      <c r="IXV11" t="s">
        <v>6984</v>
      </c>
      <c r="IXW11" t="s">
        <v>6984</v>
      </c>
      <c r="IXX11" t="s">
        <v>6984</v>
      </c>
      <c r="IXY11" t="s">
        <v>6984</v>
      </c>
      <c r="IXZ11" t="s">
        <v>6984</v>
      </c>
      <c r="IYA11" t="s">
        <v>6984</v>
      </c>
      <c r="IYB11" t="s">
        <v>6984</v>
      </c>
      <c r="IYC11" t="s">
        <v>6984</v>
      </c>
      <c r="IYD11" t="s">
        <v>6984</v>
      </c>
      <c r="IYE11" t="s">
        <v>6984</v>
      </c>
      <c r="IYF11" t="s">
        <v>6984</v>
      </c>
      <c r="IYG11" t="s">
        <v>6984</v>
      </c>
      <c r="IYH11" t="s">
        <v>6984</v>
      </c>
      <c r="IYI11" t="s">
        <v>6984</v>
      </c>
      <c r="IYJ11" t="s">
        <v>6984</v>
      </c>
      <c r="IYK11" t="s">
        <v>6984</v>
      </c>
      <c r="IYL11" t="s">
        <v>6984</v>
      </c>
      <c r="IYM11" t="s">
        <v>6984</v>
      </c>
      <c r="IYN11" t="s">
        <v>6984</v>
      </c>
      <c r="IYO11" t="s">
        <v>6984</v>
      </c>
      <c r="IYP11" t="s">
        <v>6984</v>
      </c>
      <c r="IYQ11" t="s">
        <v>6984</v>
      </c>
      <c r="IYR11" t="s">
        <v>6984</v>
      </c>
      <c r="IYS11" t="s">
        <v>6984</v>
      </c>
      <c r="IYT11" t="s">
        <v>6984</v>
      </c>
      <c r="IYU11" t="s">
        <v>6984</v>
      </c>
      <c r="IYV11" t="s">
        <v>6984</v>
      </c>
      <c r="IYW11" t="s">
        <v>6984</v>
      </c>
      <c r="IYX11" t="s">
        <v>6984</v>
      </c>
      <c r="IYY11" t="s">
        <v>6984</v>
      </c>
      <c r="IYZ11" t="s">
        <v>6984</v>
      </c>
      <c r="IZA11" t="s">
        <v>6984</v>
      </c>
      <c r="IZB11" t="s">
        <v>6984</v>
      </c>
      <c r="IZC11" t="s">
        <v>6984</v>
      </c>
      <c r="IZD11" t="s">
        <v>6984</v>
      </c>
      <c r="IZE11" t="s">
        <v>6984</v>
      </c>
      <c r="IZF11" t="s">
        <v>6984</v>
      </c>
      <c r="IZG11" t="s">
        <v>6984</v>
      </c>
      <c r="IZH11" t="s">
        <v>6984</v>
      </c>
      <c r="IZI11" t="s">
        <v>6984</v>
      </c>
      <c r="IZJ11" t="s">
        <v>6984</v>
      </c>
      <c r="IZK11" t="s">
        <v>6984</v>
      </c>
      <c r="IZL11" t="s">
        <v>6984</v>
      </c>
      <c r="IZM11" t="s">
        <v>6984</v>
      </c>
      <c r="IZN11" t="s">
        <v>6984</v>
      </c>
      <c r="IZO11" t="s">
        <v>6984</v>
      </c>
      <c r="IZP11" t="s">
        <v>6984</v>
      </c>
      <c r="IZQ11" t="s">
        <v>6984</v>
      </c>
      <c r="IZR11" t="s">
        <v>6984</v>
      </c>
      <c r="IZS11" t="s">
        <v>6984</v>
      </c>
      <c r="IZT11" t="s">
        <v>6984</v>
      </c>
      <c r="IZU11" t="s">
        <v>6984</v>
      </c>
      <c r="IZV11" t="s">
        <v>6984</v>
      </c>
      <c r="IZW11" t="s">
        <v>6984</v>
      </c>
      <c r="IZX11" t="s">
        <v>6984</v>
      </c>
      <c r="IZY11" t="s">
        <v>6984</v>
      </c>
      <c r="IZZ11" t="s">
        <v>6984</v>
      </c>
      <c r="JAA11" t="s">
        <v>6984</v>
      </c>
      <c r="JAB11" t="s">
        <v>6984</v>
      </c>
      <c r="JAC11" t="s">
        <v>6984</v>
      </c>
      <c r="JAD11" t="s">
        <v>6984</v>
      </c>
      <c r="JAE11" t="s">
        <v>6984</v>
      </c>
      <c r="JAF11" t="s">
        <v>6984</v>
      </c>
      <c r="JAG11" t="s">
        <v>6984</v>
      </c>
      <c r="JAH11" t="s">
        <v>6984</v>
      </c>
      <c r="JAI11" t="s">
        <v>6984</v>
      </c>
      <c r="JAJ11" t="s">
        <v>6984</v>
      </c>
      <c r="JAK11" t="s">
        <v>6984</v>
      </c>
      <c r="JAL11" t="s">
        <v>6984</v>
      </c>
      <c r="JAM11" t="s">
        <v>6984</v>
      </c>
      <c r="JAN11" t="s">
        <v>6984</v>
      </c>
      <c r="JAO11" t="s">
        <v>6984</v>
      </c>
      <c r="JAP11" t="s">
        <v>6984</v>
      </c>
      <c r="JAQ11" t="s">
        <v>6984</v>
      </c>
      <c r="JAR11" t="s">
        <v>6984</v>
      </c>
      <c r="JAS11" t="s">
        <v>6984</v>
      </c>
      <c r="JAT11" t="s">
        <v>6984</v>
      </c>
      <c r="JAU11" t="s">
        <v>6984</v>
      </c>
      <c r="JAV11" t="s">
        <v>6984</v>
      </c>
      <c r="JAW11" t="s">
        <v>6984</v>
      </c>
      <c r="JAX11" t="s">
        <v>6984</v>
      </c>
      <c r="JAY11" t="s">
        <v>6984</v>
      </c>
      <c r="JAZ11" t="s">
        <v>6984</v>
      </c>
      <c r="JBA11" t="s">
        <v>6984</v>
      </c>
      <c r="JBB11" t="s">
        <v>6984</v>
      </c>
      <c r="JBC11" t="s">
        <v>6984</v>
      </c>
      <c r="JBD11" t="s">
        <v>6984</v>
      </c>
      <c r="JBE11" t="s">
        <v>6984</v>
      </c>
      <c r="JBF11" t="s">
        <v>6984</v>
      </c>
      <c r="JBG11" t="s">
        <v>6984</v>
      </c>
      <c r="JBH11" t="s">
        <v>6984</v>
      </c>
      <c r="JBI11" t="s">
        <v>6984</v>
      </c>
      <c r="JBJ11" t="s">
        <v>6984</v>
      </c>
      <c r="JBK11" t="s">
        <v>6984</v>
      </c>
      <c r="JBL11" t="s">
        <v>6984</v>
      </c>
      <c r="JBM11" t="s">
        <v>6984</v>
      </c>
      <c r="JBN11" t="s">
        <v>6984</v>
      </c>
      <c r="JBO11" t="s">
        <v>6984</v>
      </c>
      <c r="JBP11" t="s">
        <v>6984</v>
      </c>
      <c r="JBQ11" t="s">
        <v>6984</v>
      </c>
      <c r="JBR11" t="s">
        <v>6984</v>
      </c>
      <c r="JBS11" t="s">
        <v>6984</v>
      </c>
      <c r="JBT11" t="s">
        <v>6984</v>
      </c>
      <c r="JBU11" t="s">
        <v>6984</v>
      </c>
      <c r="JBV11" t="s">
        <v>6984</v>
      </c>
      <c r="JBW11" t="s">
        <v>6984</v>
      </c>
      <c r="JBX11" t="s">
        <v>6984</v>
      </c>
      <c r="JBY11" t="s">
        <v>6984</v>
      </c>
      <c r="JBZ11" t="s">
        <v>6984</v>
      </c>
      <c r="JCA11" t="s">
        <v>6984</v>
      </c>
      <c r="JCB11" t="s">
        <v>6984</v>
      </c>
      <c r="JCC11" t="s">
        <v>6984</v>
      </c>
      <c r="JCD11" t="s">
        <v>6984</v>
      </c>
      <c r="JCE11" t="s">
        <v>6984</v>
      </c>
      <c r="JCF11" t="s">
        <v>6984</v>
      </c>
      <c r="JCG11" t="s">
        <v>6984</v>
      </c>
      <c r="JCH11" t="s">
        <v>6984</v>
      </c>
      <c r="JCI11" t="s">
        <v>6984</v>
      </c>
      <c r="JCJ11" t="s">
        <v>6984</v>
      </c>
      <c r="JCK11" t="s">
        <v>6984</v>
      </c>
      <c r="JCL11" t="s">
        <v>6984</v>
      </c>
      <c r="JCM11" t="s">
        <v>6984</v>
      </c>
      <c r="JCN11" t="s">
        <v>6984</v>
      </c>
      <c r="JCO11" t="s">
        <v>6984</v>
      </c>
      <c r="JCP11" t="s">
        <v>6984</v>
      </c>
      <c r="JCQ11" t="s">
        <v>6984</v>
      </c>
      <c r="JCR11" t="s">
        <v>6984</v>
      </c>
      <c r="JCS11" t="s">
        <v>6984</v>
      </c>
      <c r="JCT11" t="s">
        <v>6984</v>
      </c>
      <c r="JCU11" t="s">
        <v>6984</v>
      </c>
      <c r="JCV11" t="s">
        <v>6984</v>
      </c>
      <c r="JCW11" t="s">
        <v>6984</v>
      </c>
      <c r="JCX11" t="s">
        <v>6984</v>
      </c>
      <c r="JCY11" t="s">
        <v>6984</v>
      </c>
      <c r="JCZ11" t="s">
        <v>6984</v>
      </c>
      <c r="JDA11" t="s">
        <v>6984</v>
      </c>
      <c r="JDB11" t="s">
        <v>6984</v>
      </c>
      <c r="JDC11" t="s">
        <v>6984</v>
      </c>
      <c r="JDD11" t="s">
        <v>6984</v>
      </c>
      <c r="JDE11" t="s">
        <v>6984</v>
      </c>
      <c r="JDF11" t="s">
        <v>6984</v>
      </c>
      <c r="JDG11" t="s">
        <v>6984</v>
      </c>
      <c r="JDH11" t="s">
        <v>6984</v>
      </c>
      <c r="JDI11" t="s">
        <v>6984</v>
      </c>
      <c r="JDJ11" t="s">
        <v>6984</v>
      </c>
      <c r="JDK11" t="s">
        <v>6984</v>
      </c>
      <c r="JDL11" t="s">
        <v>6984</v>
      </c>
      <c r="JDM11" t="s">
        <v>6984</v>
      </c>
      <c r="JDN11" t="s">
        <v>6984</v>
      </c>
      <c r="JDO11" t="s">
        <v>6984</v>
      </c>
      <c r="JDP11" t="s">
        <v>6984</v>
      </c>
      <c r="JDQ11" t="s">
        <v>6984</v>
      </c>
      <c r="JDR11" t="s">
        <v>6984</v>
      </c>
      <c r="JDS11" t="s">
        <v>6984</v>
      </c>
      <c r="JDT11" t="s">
        <v>6984</v>
      </c>
      <c r="JDU11" t="s">
        <v>6984</v>
      </c>
      <c r="JDV11" t="s">
        <v>6984</v>
      </c>
      <c r="JDW11" t="s">
        <v>6984</v>
      </c>
      <c r="JDX11" t="s">
        <v>6984</v>
      </c>
      <c r="JDY11" t="s">
        <v>6984</v>
      </c>
      <c r="JDZ11" t="s">
        <v>6984</v>
      </c>
      <c r="JEA11" t="s">
        <v>6984</v>
      </c>
      <c r="JEB11" t="s">
        <v>6984</v>
      </c>
      <c r="JEC11" t="s">
        <v>6984</v>
      </c>
      <c r="JED11" t="s">
        <v>6984</v>
      </c>
      <c r="JEE11" t="s">
        <v>6984</v>
      </c>
      <c r="JEF11" t="s">
        <v>6984</v>
      </c>
      <c r="JEG11" t="s">
        <v>6984</v>
      </c>
      <c r="JEH11" t="s">
        <v>6984</v>
      </c>
      <c r="JEI11" t="s">
        <v>6984</v>
      </c>
      <c r="JEJ11" t="s">
        <v>6984</v>
      </c>
      <c r="JEK11" t="s">
        <v>6984</v>
      </c>
      <c r="JEL11" t="s">
        <v>6984</v>
      </c>
      <c r="JEM11" t="s">
        <v>6984</v>
      </c>
      <c r="JEN11" t="s">
        <v>6984</v>
      </c>
      <c r="JEO11" t="s">
        <v>6984</v>
      </c>
      <c r="JEP11" t="s">
        <v>6984</v>
      </c>
      <c r="JEQ11" t="s">
        <v>6984</v>
      </c>
      <c r="JER11" t="s">
        <v>6984</v>
      </c>
      <c r="JES11" t="s">
        <v>6984</v>
      </c>
      <c r="JET11" t="s">
        <v>6984</v>
      </c>
      <c r="JEU11" t="s">
        <v>6984</v>
      </c>
      <c r="JEV11" t="s">
        <v>6984</v>
      </c>
      <c r="JEW11" t="s">
        <v>6984</v>
      </c>
      <c r="JEX11" t="s">
        <v>6984</v>
      </c>
      <c r="JEY11" t="s">
        <v>6984</v>
      </c>
      <c r="JEZ11" t="s">
        <v>6984</v>
      </c>
      <c r="JFA11" t="s">
        <v>6984</v>
      </c>
      <c r="JFB11" t="s">
        <v>6984</v>
      </c>
      <c r="JFC11" t="s">
        <v>6984</v>
      </c>
      <c r="JFD11" t="s">
        <v>6984</v>
      </c>
      <c r="JFE11" t="s">
        <v>6984</v>
      </c>
      <c r="JFF11" t="s">
        <v>6984</v>
      </c>
      <c r="JFG11" t="s">
        <v>6984</v>
      </c>
      <c r="JFH11" t="s">
        <v>6984</v>
      </c>
      <c r="JFI11" t="s">
        <v>6984</v>
      </c>
      <c r="JFJ11" t="s">
        <v>6984</v>
      </c>
      <c r="JFK11" t="s">
        <v>6984</v>
      </c>
      <c r="JFL11" t="s">
        <v>6984</v>
      </c>
      <c r="JFM11" t="s">
        <v>6984</v>
      </c>
      <c r="JFN11" t="s">
        <v>6984</v>
      </c>
      <c r="JFO11" t="s">
        <v>6984</v>
      </c>
      <c r="JFP11" t="s">
        <v>6984</v>
      </c>
      <c r="JFQ11" t="s">
        <v>6984</v>
      </c>
      <c r="JFR11" t="s">
        <v>6984</v>
      </c>
      <c r="JFS11" t="s">
        <v>6984</v>
      </c>
      <c r="JFT11" t="s">
        <v>6984</v>
      </c>
      <c r="JFU11" t="s">
        <v>6984</v>
      </c>
      <c r="JFV11" t="s">
        <v>6984</v>
      </c>
      <c r="JFW11" t="s">
        <v>6984</v>
      </c>
      <c r="JFX11" t="s">
        <v>6984</v>
      </c>
      <c r="JFY11" t="s">
        <v>6984</v>
      </c>
      <c r="JFZ11" t="s">
        <v>6984</v>
      </c>
      <c r="JGA11" t="s">
        <v>6984</v>
      </c>
      <c r="JGB11" t="s">
        <v>6984</v>
      </c>
      <c r="JGC11" t="s">
        <v>6984</v>
      </c>
      <c r="JGD11" t="s">
        <v>6984</v>
      </c>
      <c r="JGE11" t="s">
        <v>6984</v>
      </c>
      <c r="JGF11" t="s">
        <v>6984</v>
      </c>
      <c r="JGG11" t="s">
        <v>6984</v>
      </c>
      <c r="JGH11" t="s">
        <v>6984</v>
      </c>
      <c r="JGI11" t="s">
        <v>6984</v>
      </c>
      <c r="JGJ11" t="s">
        <v>6984</v>
      </c>
      <c r="JGK11" t="s">
        <v>6984</v>
      </c>
      <c r="JGL11" t="s">
        <v>6984</v>
      </c>
      <c r="JGM11" t="s">
        <v>6984</v>
      </c>
      <c r="JGN11" t="s">
        <v>6984</v>
      </c>
      <c r="JGO11" t="s">
        <v>6984</v>
      </c>
      <c r="JGP11" t="s">
        <v>6984</v>
      </c>
      <c r="JGQ11" t="s">
        <v>6984</v>
      </c>
      <c r="JGR11" t="s">
        <v>6984</v>
      </c>
      <c r="JGS11" t="s">
        <v>6984</v>
      </c>
      <c r="JGT11" t="s">
        <v>6984</v>
      </c>
      <c r="JGU11" t="s">
        <v>6984</v>
      </c>
      <c r="JGV11" t="s">
        <v>6984</v>
      </c>
      <c r="JGW11" t="s">
        <v>6984</v>
      </c>
      <c r="JGX11" t="s">
        <v>6984</v>
      </c>
      <c r="JGY11" t="s">
        <v>6984</v>
      </c>
      <c r="JGZ11" t="s">
        <v>6984</v>
      </c>
      <c r="JHA11" t="s">
        <v>6984</v>
      </c>
      <c r="JHB11" t="s">
        <v>6984</v>
      </c>
      <c r="JHC11" t="s">
        <v>6984</v>
      </c>
      <c r="JHD11" t="s">
        <v>6984</v>
      </c>
      <c r="JHE11" t="s">
        <v>6984</v>
      </c>
      <c r="JHF11" t="s">
        <v>6984</v>
      </c>
      <c r="JHG11" t="s">
        <v>6984</v>
      </c>
      <c r="JHH11" t="s">
        <v>6984</v>
      </c>
      <c r="JHI11" t="s">
        <v>6984</v>
      </c>
      <c r="JHJ11" t="s">
        <v>6984</v>
      </c>
      <c r="JHK11" t="s">
        <v>6984</v>
      </c>
      <c r="JHL11" t="s">
        <v>6984</v>
      </c>
      <c r="JHM11" t="s">
        <v>6984</v>
      </c>
      <c r="JHN11" t="s">
        <v>6984</v>
      </c>
      <c r="JHO11" t="s">
        <v>6984</v>
      </c>
      <c r="JHP11" t="s">
        <v>6984</v>
      </c>
      <c r="JHQ11" t="s">
        <v>6984</v>
      </c>
      <c r="JHR11" t="s">
        <v>6984</v>
      </c>
      <c r="JHS11" t="s">
        <v>6984</v>
      </c>
      <c r="JHT11" t="s">
        <v>6984</v>
      </c>
      <c r="JHU11" t="s">
        <v>6984</v>
      </c>
      <c r="JHV11" t="s">
        <v>6984</v>
      </c>
      <c r="JHW11" t="s">
        <v>6984</v>
      </c>
      <c r="JHX11" t="s">
        <v>6984</v>
      </c>
      <c r="JHY11" t="s">
        <v>6984</v>
      </c>
      <c r="JHZ11" t="s">
        <v>6984</v>
      </c>
      <c r="JIA11" t="s">
        <v>6984</v>
      </c>
      <c r="JIB11" t="s">
        <v>6984</v>
      </c>
      <c r="JIC11" t="s">
        <v>6984</v>
      </c>
      <c r="JID11" t="s">
        <v>6984</v>
      </c>
      <c r="JIE11" t="s">
        <v>6984</v>
      </c>
      <c r="JIF11" t="s">
        <v>6984</v>
      </c>
      <c r="JIG11" t="s">
        <v>6984</v>
      </c>
      <c r="JIH11" t="s">
        <v>6984</v>
      </c>
      <c r="JII11" t="s">
        <v>6984</v>
      </c>
      <c r="JIJ11" t="s">
        <v>6984</v>
      </c>
      <c r="JIK11" t="s">
        <v>6984</v>
      </c>
      <c r="JIL11" t="s">
        <v>6984</v>
      </c>
      <c r="JIM11" t="s">
        <v>6984</v>
      </c>
      <c r="JIN11" t="s">
        <v>6984</v>
      </c>
      <c r="JIO11" t="s">
        <v>6984</v>
      </c>
      <c r="JIP11" t="s">
        <v>6984</v>
      </c>
      <c r="JIQ11" t="s">
        <v>6984</v>
      </c>
      <c r="JIR11" t="s">
        <v>6984</v>
      </c>
      <c r="JIS11" t="s">
        <v>6984</v>
      </c>
      <c r="JIT11" t="s">
        <v>6984</v>
      </c>
      <c r="JIU11" t="s">
        <v>6984</v>
      </c>
      <c r="JIV11" t="s">
        <v>6984</v>
      </c>
      <c r="JIW11" t="s">
        <v>6984</v>
      </c>
      <c r="JIX11" t="s">
        <v>6984</v>
      </c>
      <c r="JIY11" t="s">
        <v>6984</v>
      </c>
      <c r="JIZ11" t="s">
        <v>6984</v>
      </c>
      <c r="JJA11" t="s">
        <v>6984</v>
      </c>
    </row>
    <row r="12" spans="1:7021" x14ac:dyDescent="0.25">
      <c r="A12" t="s">
        <v>6993</v>
      </c>
      <c r="B12">
        <v>96.625</v>
      </c>
      <c r="C12">
        <v>96.625</v>
      </c>
      <c r="D12">
        <v>96.625</v>
      </c>
      <c r="E12">
        <v>96.68</v>
      </c>
      <c r="F12">
        <v>96.63</v>
      </c>
      <c r="G12">
        <v>96.63</v>
      </c>
      <c r="H12">
        <v>96.69</v>
      </c>
      <c r="I12">
        <v>96.64</v>
      </c>
      <c r="J12">
        <v>96.564999999999998</v>
      </c>
      <c r="K12">
        <v>96.564999999999998</v>
      </c>
      <c r="L12">
        <v>96.515000000000001</v>
      </c>
      <c r="M12">
        <v>96.665000000000006</v>
      </c>
      <c r="N12">
        <v>96.73</v>
      </c>
      <c r="O12">
        <v>96.644999999999996</v>
      </c>
      <c r="P12">
        <v>96.665000000000006</v>
      </c>
      <c r="Q12">
        <v>96.71</v>
      </c>
      <c r="R12">
        <v>96.694999999999993</v>
      </c>
      <c r="S12">
        <v>96.635000000000005</v>
      </c>
      <c r="T12">
        <v>96.685000000000002</v>
      </c>
      <c r="U12">
        <v>96.61</v>
      </c>
      <c r="V12">
        <v>96.61</v>
      </c>
      <c r="W12">
        <v>96.564999999999998</v>
      </c>
      <c r="X12">
        <v>96.52</v>
      </c>
      <c r="Y12">
        <v>96.594999999999999</v>
      </c>
      <c r="Z12">
        <v>96.57</v>
      </c>
      <c r="AA12">
        <v>96.56</v>
      </c>
      <c r="AB12">
        <v>96.54</v>
      </c>
      <c r="AC12">
        <v>96.44</v>
      </c>
      <c r="AD12">
        <v>96.474999999999994</v>
      </c>
      <c r="AE12">
        <v>96.49</v>
      </c>
      <c r="AF12">
        <v>96.644999999999996</v>
      </c>
      <c r="AG12">
        <v>96.64</v>
      </c>
      <c r="AH12">
        <v>96.795000000000002</v>
      </c>
      <c r="AI12">
        <v>96.78</v>
      </c>
      <c r="AJ12">
        <v>96.724999999999994</v>
      </c>
      <c r="AK12">
        <v>96.715000000000003</v>
      </c>
      <c r="AL12">
        <v>96.85</v>
      </c>
      <c r="AM12">
        <v>96.92</v>
      </c>
      <c r="AN12">
        <v>96.88</v>
      </c>
      <c r="AO12">
        <v>96.84</v>
      </c>
      <c r="AP12">
        <v>96.75</v>
      </c>
      <c r="AQ12">
        <v>96.704999999999998</v>
      </c>
      <c r="AR12">
        <v>96.614999999999995</v>
      </c>
      <c r="AS12">
        <v>96.69</v>
      </c>
      <c r="AT12">
        <v>96.73</v>
      </c>
      <c r="AU12">
        <v>96.704999999999998</v>
      </c>
      <c r="AV12">
        <v>96.704999999999998</v>
      </c>
      <c r="AW12">
        <v>96.71</v>
      </c>
      <c r="AX12">
        <v>96.64</v>
      </c>
      <c r="AY12">
        <v>96.61</v>
      </c>
      <c r="AZ12">
        <v>96.45</v>
      </c>
      <c r="BA12">
        <v>96.59</v>
      </c>
      <c r="BB12">
        <v>96.48</v>
      </c>
      <c r="BC12">
        <v>96.724999999999994</v>
      </c>
      <c r="BD12">
        <v>96.74</v>
      </c>
      <c r="BE12">
        <v>96.844999999999999</v>
      </c>
      <c r="BF12">
        <v>96.79</v>
      </c>
      <c r="BG12">
        <v>96.55</v>
      </c>
      <c r="BH12">
        <v>96.584999999999994</v>
      </c>
      <c r="BI12">
        <v>96.515000000000001</v>
      </c>
      <c r="BJ12">
        <v>96.53</v>
      </c>
      <c r="BK12">
        <v>96.41</v>
      </c>
      <c r="BL12">
        <v>96.41</v>
      </c>
      <c r="BM12">
        <v>96.43</v>
      </c>
      <c r="BN12">
        <v>96.385000000000005</v>
      </c>
      <c r="BO12">
        <v>96.47</v>
      </c>
      <c r="BP12">
        <v>96.46</v>
      </c>
      <c r="BQ12">
        <v>96.435000000000002</v>
      </c>
      <c r="BR12">
        <v>96.405000000000001</v>
      </c>
      <c r="BS12">
        <v>96.37</v>
      </c>
      <c r="BT12">
        <v>96.39</v>
      </c>
      <c r="BU12">
        <v>96.454999999999998</v>
      </c>
      <c r="BV12">
        <v>96.4</v>
      </c>
      <c r="BW12">
        <v>96.45</v>
      </c>
      <c r="BX12">
        <v>96.51</v>
      </c>
      <c r="BY12">
        <v>96.37</v>
      </c>
      <c r="BZ12">
        <v>96.405000000000001</v>
      </c>
      <c r="CA12">
        <v>96.4</v>
      </c>
      <c r="CB12">
        <v>96.465000000000003</v>
      </c>
      <c r="CC12">
        <v>96.46</v>
      </c>
      <c r="CD12">
        <v>96.43</v>
      </c>
      <c r="CE12">
        <v>96.35</v>
      </c>
      <c r="CF12">
        <v>96.38</v>
      </c>
      <c r="CG12">
        <v>96.32</v>
      </c>
      <c r="CH12">
        <v>96.194999999999993</v>
      </c>
      <c r="CI12">
        <v>96.155000000000001</v>
      </c>
      <c r="CJ12">
        <v>96.06</v>
      </c>
      <c r="CK12">
        <v>96.03</v>
      </c>
      <c r="CL12">
        <v>96.01</v>
      </c>
      <c r="CM12">
        <v>96.07</v>
      </c>
      <c r="CN12">
        <v>96.07</v>
      </c>
      <c r="CO12">
        <v>95.995000000000005</v>
      </c>
      <c r="CP12">
        <v>95.89</v>
      </c>
      <c r="CQ12">
        <v>96.025000000000006</v>
      </c>
      <c r="CR12">
        <v>96.064999999999998</v>
      </c>
      <c r="CS12">
        <v>96.055000000000007</v>
      </c>
      <c r="CT12">
        <v>96.13</v>
      </c>
      <c r="CU12">
        <v>96.174999999999997</v>
      </c>
      <c r="CV12">
        <v>96.094999999999999</v>
      </c>
      <c r="CW12">
        <v>96.034999999999997</v>
      </c>
      <c r="CX12">
        <v>96.03</v>
      </c>
      <c r="CY12">
        <v>96.084999999999994</v>
      </c>
      <c r="CZ12">
        <v>96.045000000000002</v>
      </c>
      <c r="DA12">
        <v>96.055000000000007</v>
      </c>
      <c r="DB12">
        <v>96.075000000000003</v>
      </c>
      <c r="DC12">
        <v>95.965000000000003</v>
      </c>
      <c r="DD12">
        <v>95.954999999999998</v>
      </c>
      <c r="DE12">
        <v>95.95</v>
      </c>
      <c r="DF12">
        <v>95.97</v>
      </c>
      <c r="DG12">
        <v>95.96</v>
      </c>
      <c r="DH12">
        <v>95.96</v>
      </c>
      <c r="DI12">
        <v>95.99</v>
      </c>
      <c r="DJ12">
        <v>95.94</v>
      </c>
      <c r="DK12">
        <v>95.775000000000006</v>
      </c>
      <c r="DL12">
        <v>95.75</v>
      </c>
      <c r="DM12">
        <v>95.775000000000006</v>
      </c>
      <c r="DN12">
        <v>95.95</v>
      </c>
      <c r="DO12">
        <v>95.92</v>
      </c>
      <c r="DP12">
        <v>95.915000000000006</v>
      </c>
      <c r="DQ12">
        <v>95.96</v>
      </c>
      <c r="DR12">
        <v>95.995000000000005</v>
      </c>
      <c r="DS12">
        <v>96.034999999999997</v>
      </c>
      <c r="DT12">
        <v>96.025000000000006</v>
      </c>
      <c r="DU12">
        <v>96.025000000000006</v>
      </c>
      <c r="DV12">
        <v>96.04</v>
      </c>
      <c r="DW12">
        <v>95.95</v>
      </c>
      <c r="DX12">
        <v>95.98</v>
      </c>
      <c r="DY12">
        <v>95.965000000000003</v>
      </c>
      <c r="DZ12">
        <v>95.965000000000003</v>
      </c>
      <c r="EA12">
        <v>95.954999999999998</v>
      </c>
      <c r="EB12">
        <v>96.025000000000006</v>
      </c>
      <c r="EC12">
        <v>95.974999999999994</v>
      </c>
      <c r="ED12">
        <v>96.03</v>
      </c>
      <c r="EE12">
        <v>96.16</v>
      </c>
      <c r="EF12">
        <v>96.144999999999996</v>
      </c>
      <c r="EG12">
        <v>96.17</v>
      </c>
      <c r="EH12">
        <v>96.24</v>
      </c>
      <c r="EI12">
        <v>96.29</v>
      </c>
      <c r="EJ12">
        <v>96.34</v>
      </c>
      <c r="EK12">
        <v>96.364999999999995</v>
      </c>
      <c r="EL12">
        <v>96.4</v>
      </c>
      <c r="EM12">
        <v>96.36</v>
      </c>
      <c r="EN12">
        <v>96.385000000000005</v>
      </c>
      <c r="EO12">
        <v>96.334999999999994</v>
      </c>
      <c r="EP12">
        <v>96.36</v>
      </c>
      <c r="EQ12">
        <v>96.375</v>
      </c>
      <c r="ER12">
        <v>96.33</v>
      </c>
      <c r="ES12">
        <v>96.33</v>
      </c>
      <c r="ET12">
        <v>96.25</v>
      </c>
      <c r="EU12">
        <v>96.284999999999997</v>
      </c>
      <c r="EV12">
        <v>96.16</v>
      </c>
      <c r="EW12">
        <v>96.15</v>
      </c>
      <c r="EX12">
        <v>96.19</v>
      </c>
      <c r="EY12">
        <v>96.22</v>
      </c>
      <c r="EZ12">
        <v>96.185000000000002</v>
      </c>
      <c r="FA12">
        <v>96.17</v>
      </c>
      <c r="FB12">
        <v>96.17</v>
      </c>
      <c r="FC12">
        <v>96.155000000000001</v>
      </c>
      <c r="FD12">
        <v>96.144999999999996</v>
      </c>
      <c r="FE12">
        <v>96.18</v>
      </c>
      <c r="FF12">
        <v>96.254999999999995</v>
      </c>
      <c r="FG12">
        <v>96.26</v>
      </c>
      <c r="FH12">
        <v>96.19</v>
      </c>
      <c r="FI12">
        <v>96.31</v>
      </c>
      <c r="FJ12">
        <v>96.32</v>
      </c>
      <c r="FK12">
        <v>96.29</v>
      </c>
      <c r="FL12">
        <v>96.33</v>
      </c>
      <c r="FM12">
        <v>96.355000000000004</v>
      </c>
      <c r="FN12">
        <v>96.4</v>
      </c>
      <c r="FO12">
        <v>96.385000000000005</v>
      </c>
      <c r="FP12">
        <v>96.44</v>
      </c>
      <c r="FQ12">
        <v>96.47</v>
      </c>
      <c r="FR12">
        <v>96.435000000000002</v>
      </c>
      <c r="FS12">
        <v>96.51</v>
      </c>
      <c r="FT12">
        <v>96.545000000000002</v>
      </c>
      <c r="FU12">
        <v>96.655000000000001</v>
      </c>
      <c r="FV12">
        <v>96.63</v>
      </c>
      <c r="FW12">
        <v>96.69</v>
      </c>
      <c r="FX12">
        <v>96.67</v>
      </c>
      <c r="FY12">
        <v>96.605000000000004</v>
      </c>
      <c r="FZ12">
        <v>96.66</v>
      </c>
      <c r="GA12">
        <v>96.605000000000004</v>
      </c>
      <c r="GB12">
        <v>96.61</v>
      </c>
      <c r="GC12">
        <v>96.644999999999996</v>
      </c>
      <c r="GD12">
        <v>96.64</v>
      </c>
      <c r="GE12">
        <v>96.704999999999998</v>
      </c>
      <c r="GF12">
        <v>96.91</v>
      </c>
      <c r="GG12">
        <v>96.99</v>
      </c>
      <c r="GH12">
        <v>97.025000000000006</v>
      </c>
      <c r="GI12">
        <v>96.96</v>
      </c>
      <c r="GJ12">
        <v>97.01</v>
      </c>
      <c r="GK12">
        <v>96.96</v>
      </c>
      <c r="GL12">
        <v>96.995000000000005</v>
      </c>
      <c r="GM12">
        <v>97.04</v>
      </c>
      <c r="GN12">
        <v>97.015000000000001</v>
      </c>
      <c r="GO12">
        <v>97.03</v>
      </c>
      <c r="GP12">
        <v>97.025000000000006</v>
      </c>
      <c r="GQ12">
        <v>97.055000000000007</v>
      </c>
      <c r="GR12">
        <v>97.135000000000005</v>
      </c>
      <c r="GS12">
        <v>97.17</v>
      </c>
      <c r="GT12">
        <v>97.174999999999997</v>
      </c>
      <c r="GU12">
        <v>97.165000000000006</v>
      </c>
      <c r="GV12">
        <v>97.194999999999993</v>
      </c>
      <c r="GW12">
        <v>97.204999999999998</v>
      </c>
      <c r="GX12">
        <v>97.144999999999996</v>
      </c>
      <c r="GY12">
        <v>97.15</v>
      </c>
      <c r="GZ12">
        <v>97.07</v>
      </c>
      <c r="HA12">
        <v>97.055000000000007</v>
      </c>
      <c r="HB12">
        <v>96.965000000000003</v>
      </c>
      <c r="HC12">
        <v>96.905000000000001</v>
      </c>
      <c r="HD12">
        <v>96.905000000000001</v>
      </c>
      <c r="HE12">
        <v>96.954999999999998</v>
      </c>
      <c r="HF12">
        <v>96.974999999999994</v>
      </c>
      <c r="HG12">
        <v>96.974999999999994</v>
      </c>
      <c r="HH12">
        <v>96.97</v>
      </c>
      <c r="HI12">
        <v>96.97</v>
      </c>
      <c r="HJ12">
        <v>96.885000000000005</v>
      </c>
      <c r="HK12">
        <v>96.97</v>
      </c>
      <c r="HL12">
        <v>96.905000000000001</v>
      </c>
      <c r="HM12">
        <v>96.84</v>
      </c>
      <c r="HN12">
        <v>96.825000000000003</v>
      </c>
      <c r="HO12">
        <v>96.8</v>
      </c>
      <c r="HP12">
        <v>96.954999999999998</v>
      </c>
      <c r="HQ12">
        <v>96.935000000000002</v>
      </c>
      <c r="HR12">
        <v>96.87</v>
      </c>
      <c r="HS12">
        <v>96.805000000000007</v>
      </c>
      <c r="HT12">
        <v>96.78</v>
      </c>
      <c r="HU12">
        <v>96.814999999999998</v>
      </c>
      <c r="HV12">
        <v>96.89</v>
      </c>
      <c r="HW12">
        <v>96.965000000000003</v>
      </c>
      <c r="HX12">
        <v>96.99</v>
      </c>
      <c r="HY12">
        <v>96.775000000000006</v>
      </c>
      <c r="HZ12">
        <v>96.614999999999995</v>
      </c>
      <c r="IA12">
        <v>96.584999999999994</v>
      </c>
      <c r="IB12">
        <v>96.55</v>
      </c>
      <c r="IC12">
        <v>96.534999999999997</v>
      </c>
      <c r="ID12">
        <v>96.474999999999994</v>
      </c>
      <c r="IE12">
        <v>96.48</v>
      </c>
      <c r="IF12">
        <v>96.474999999999994</v>
      </c>
      <c r="IG12">
        <v>96.44</v>
      </c>
      <c r="IH12">
        <v>96.45</v>
      </c>
      <c r="II12">
        <v>96.525000000000006</v>
      </c>
      <c r="IJ12">
        <v>96.57</v>
      </c>
      <c r="IK12">
        <v>96.54</v>
      </c>
      <c r="IL12">
        <v>96.51</v>
      </c>
      <c r="IM12">
        <v>96.53</v>
      </c>
      <c r="IN12">
        <v>96.504999999999995</v>
      </c>
      <c r="IO12">
        <v>96.364999999999995</v>
      </c>
      <c r="IP12">
        <v>96.355000000000004</v>
      </c>
      <c r="IQ12">
        <v>96.37</v>
      </c>
      <c r="IR12">
        <v>96.38</v>
      </c>
      <c r="IS12">
        <v>96.27</v>
      </c>
      <c r="IT12">
        <v>96.27</v>
      </c>
      <c r="IU12">
        <v>96.174999999999997</v>
      </c>
      <c r="IV12">
        <v>96.12</v>
      </c>
      <c r="IW12">
        <v>96.254999999999995</v>
      </c>
      <c r="IX12">
        <v>96.275000000000006</v>
      </c>
      <c r="IY12">
        <v>96.24</v>
      </c>
      <c r="IZ12">
        <v>96.33</v>
      </c>
      <c r="JA12">
        <v>96.334999999999994</v>
      </c>
      <c r="JB12">
        <v>96.33</v>
      </c>
      <c r="JC12">
        <v>96.325000000000003</v>
      </c>
      <c r="JD12">
        <v>96.32</v>
      </c>
      <c r="JE12">
        <v>96.32</v>
      </c>
      <c r="JF12">
        <v>96.245000000000005</v>
      </c>
      <c r="JG12">
        <v>96.334999999999994</v>
      </c>
      <c r="JH12">
        <v>96.314999999999998</v>
      </c>
      <c r="JI12">
        <v>96.23</v>
      </c>
      <c r="JJ12">
        <v>96.084999999999994</v>
      </c>
      <c r="JK12">
        <v>96.004999999999995</v>
      </c>
      <c r="JL12">
        <v>96.045000000000002</v>
      </c>
      <c r="JM12">
        <v>96.22</v>
      </c>
      <c r="JN12">
        <v>96.2</v>
      </c>
      <c r="JO12">
        <v>96.16</v>
      </c>
      <c r="JP12">
        <v>96.08</v>
      </c>
      <c r="JQ12">
        <v>95.97</v>
      </c>
      <c r="JR12">
        <v>95.91</v>
      </c>
      <c r="JS12">
        <v>95.83</v>
      </c>
      <c r="JT12">
        <v>95.9</v>
      </c>
      <c r="JU12">
        <v>95.944999999999993</v>
      </c>
      <c r="JV12">
        <v>95.944999999999993</v>
      </c>
      <c r="JW12">
        <v>95.95</v>
      </c>
      <c r="JX12">
        <v>96.02</v>
      </c>
      <c r="JY12">
        <v>96.07</v>
      </c>
      <c r="JZ12">
        <v>96.05</v>
      </c>
      <c r="KA12">
        <v>96.055000000000007</v>
      </c>
      <c r="KB12">
        <v>96.114999999999995</v>
      </c>
      <c r="KC12">
        <v>96.17</v>
      </c>
      <c r="KD12">
        <v>96.04</v>
      </c>
      <c r="KE12">
        <v>95.984999999999999</v>
      </c>
      <c r="KF12">
        <v>95.954999999999998</v>
      </c>
      <c r="KG12">
        <v>96.03</v>
      </c>
      <c r="KH12">
        <v>95.984999999999999</v>
      </c>
      <c r="KI12">
        <v>96.025000000000006</v>
      </c>
      <c r="KJ12">
        <v>96.015000000000001</v>
      </c>
      <c r="KK12">
        <v>96.015000000000001</v>
      </c>
      <c r="KL12">
        <v>95.91</v>
      </c>
      <c r="KM12">
        <v>95.85</v>
      </c>
      <c r="KN12">
        <v>95.73</v>
      </c>
      <c r="KO12">
        <v>95.82</v>
      </c>
      <c r="KP12">
        <v>95.765000000000001</v>
      </c>
      <c r="KQ12">
        <v>95.734999999999999</v>
      </c>
      <c r="KR12">
        <v>95.81</v>
      </c>
      <c r="KS12">
        <v>95.86</v>
      </c>
      <c r="KT12">
        <v>95.814999999999998</v>
      </c>
      <c r="KU12">
        <v>95.814999999999998</v>
      </c>
      <c r="KV12">
        <v>95.784999999999997</v>
      </c>
      <c r="KW12">
        <v>95.875</v>
      </c>
      <c r="KX12">
        <v>95.79</v>
      </c>
      <c r="KY12">
        <v>95.84</v>
      </c>
      <c r="KZ12">
        <v>95.954999999999998</v>
      </c>
      <c r="LA12">
        <v>95.85</v>
      </c>
      <c r="LB12">
        <v>95.855000000000004</v>
      </c>
      <c r="LC12">
        <v>96.135000000000005</v>
      </c>
      <c r="LD12">
        <v>96.08</v>
      </c>
      <c r="LE12">
        <v>96.174999999999997</v>
      </c>
      <c r="LF12">
        <v>96.265000000000001</v>
      </c>
      <c r="LG12">
        <v>96.224999999999994</v>
      </c>
      <c r="LH12">
        <v>96.204999999999998</v>
      </c>
      <c r="LI12">
        <v>96.22</v>
      </c>
      <c r="LJ12">
        <v>96.375</v>
      </c>
      <c r="LK12">
        <v>96.375</v>
      </c>
      <c r="LL12">
        <v>96.394999999999996</v>
      </c>
      <c r="LM12">
        <v>96.35</v>
      </c>
      <c r="LN12">
        <v>96.33</v>
      </c>
      <c r="LO12">
        <v>96.37</v>
      </c>
      <c r="LP12">
        <v>96.305000000000007</v>
      </c>
      <c r="LQ12">
        <v>96.314999999999998</v>
      </c>
      <c r="LR12">
        <v>96.23</v>
      </c>
      <c r="LS12">
        <v>96.16</v>
      </c>
      <c r="LT12">
        <v>96.194999999999993</v>
      </c>
      <c r="LU12">
        <v>96.25</v>
      </c>
      <c r="LV12">
        <v>96.4</v>
      </c>
      <c r="LW12">
        <v>96.43</v>
      </c>
      <c r="LX12">
        <v>96.51</v>
      </c>
      <c r="LY12">
        <v>96.545000000000002</v>
      </c>
      <c r="LZ12">
        <v>96.515000000000001</v>
      </c>
      <c r="MA12">
        <v>96.47</v>
      </c>
      <c r="MB12">
        <v>96.46</v>
      </c>
      <c r="MC12">
        <v>96.38</v>
      </c>
      <c r="MD12">
        <v>96.435000000000002</v>
      </c>
      <c r="ME12">
        <v>96.33</v>
      </c>
      <c r="MF12">
        <v>96.33</v>
      </c>
      <c r="MG12">
        <v>96.28</v>
      </c>
      <c r="MH12">
        <v>96.28</v>
      </c>
      <c r="MI12">
        <v>96.32</v>
      </c>
      <c r="MJ12">
        <v>96.28</v>
      </c>
      <c r="MK12">
        <v>96.314999999999998</v>
      </c>
      <c r="ML12">
        <v>96.364999999999995</v>
      </c>
      <c r="MM12">
        <v>96.314999999999998</v>
      </c>
      <c r="MN12">
        <v>96.314999999999998</v>
      </c>
      <c r="MO12">
        <v>96.394999999999996</v>
      </c>
      <c r="MP12">
        <v>96.364999999999995</v>
      </c>
      <c r="MQ12">
        <v>96.284999999999997</v>
      </c>
      <c r="MR12">
        <v>96.515000000000001</v>
      </c>
      <c r="MS12">
        <v>96.474999999999994</v>
      </c>
      <c r="MT12">
        <v>96.52</v>
      </c>
      <c r="MU12">
        <v>96.59</v>
      </c>
      <c r="MV12">
        <v>96.614999999999995</v>
      </c>
      <c r="MW12">
        <v>96.53</v>
      </c>
      <c r="MX12">
        <v>96.665000000000006</v>
      </c>
      <c r="MY12">
        <v>96.864999999999995</v>
      </c>
      <c r="MZ12">
        <v>96.784999999999997</v>
      </c>
      <c r="NA12">
        <v>96.655000000000001</v>
      </c>
      <c r="NB12">
        <v>96.68</v>
      </c>
      <c r="NC12">
        <v>96.6</v>
      </c>
      <c r="ND12">
        <v>96.655000000000001</v>
      </c>
      <c r="NE12">
        <v>96.59</v>
      </c>
      <c r="NF12">
        <v>96.63</v>
      </c>
      <c r="NG12">
        <v>96.655000000000001</v>
      </c>
      <c r="NH12">
        <v>96.59</v>
      </c>
      <c r="NI12">
        <v>96.62</v>
      </c>
      <c r="NJ12">
        <v>96.65</v>
      </c>
      <c r="NK12">
        <v>96.76</v>
      </c>
      <c r="NL12">
        <v>96.855000000000004</v>
      </c>
      <c r="NM12">
        <v>96.855000000000004</v>
      </c>
      <c r="NN12">
        <v>96.8</v>
      </c>
      <c r="NO12">
        <v>96.7</v>
      </c>
      <c r="NP12">
        <v>96.704999999999998</v>
      </c>
      <c r="NQ12">
        <v>96.724999999999994</v>
      </c>
      <c r="NR12">
        <v>96.694999999999993</v>
      </c>
      <c r="NS12">
        <v>96.73</v>
      </c>
      <c r="NT12">
        <v>96.844999999999999</v>
      </c>
      <c r="NU12">
        <v>96.81</v>
      </c>
      <c r="NV12">
        <v>96.93</v>
      </c>
      <c r="NW12">
        <v>96.93</v>
      </c>
      <c r="NX12">
        <v>96.9</v>
      </c>
      <c r="NY12">
        <v>96.944999999999993</v>
      </c>
      <c r="NZ12">
        <v>96.86</v>
      </c>
      <c r="OA12">
        <v>96.834999999999994</v>
      </c>
      <c r="OB12">
        <v>96.834999999999994</v>
      </c>
      <c r="OC12">
        <v>96.85</v>
      </c>
      <c r="OD12">
        <v>96.834999999999994</v>
      </c>
      <c r="OE12">
        <v>96.76</v>
      </c>
      <c r="OF12">
        <v>96.75</v>
      </c>
      <c r="OG12">
        <v>96.78</v>
      </c>
      <c r="OH12">
        <v>96.8</v>
      </c>
      <c r="OI12">
        <v>96.685000000000002</v>
      </c>
      <c r="OJ12">
        <v>96.474999999999994</v>
      </c>
      <c r="OK12">
        <v>96.44</v>
      </c>
      <c r="OL12">
        <v>96.454999999999998</v>
      </c>
      <c r="OM12">
        <v>96.625</v>
      </c>
      <c r="ON12">
        <v>96.614999999999995</v>
      </c>
      <c r="OO12">
        <v>96.614999999999995</v>
      </c>
      <c r="OP12">
        <v>96.5</v>
      </c>
      <c r="OQ12">
        <v>96.56</v>
      </c>
      <c r="OR12">
        <v>96.42</v>
      </c>
      <c r="OS12">
        <v>96.504999999999995</v>
      </c>
      <c r="OT12">
        <v>96.45</v>
      </c>
      <c r="OU12">
        <v>96.305000000000007</v>
      </c>
      <c r="OV12">
        <v>96.204999999999998</v>
      </c>
      <c r="OW12">
        <v>96.265000000000001</v>
      </c>
      <c r="OX12">
        <v>96.265000000000001</v>
      </c>
      <c r="OY12">
        <v>96.29</v>
      </c>
      <c r="OZ12">
        <v>96.245000000000005</v>
      </c>
      <c r="PA12">
        <v>96.22</v>
      </c>
      <c r="PB12">
        <v>96.27</v>
      </c>
      <c r="PC12">
        <v>96.144999999999996</v>
      </c>
      <c r="PD12">
        <v>96.265000000000001</v>
      </c>
      <c r="PE12">
        <v>95.984999999999999</v>
      </c>
      <c r="PF12">
        <v>95.98</v>
      </c>
      <c r="PG12">
        <v>96.03</v>
      </c>
      <c r="PH12">
        <v>96.14</v>
      </c>
      <c r="PI12">
        <v>96.14</v>
      </c>
      <c r="PJ12">
        <v>96.064999999999998</v>
      </c>
      <c r="PK12">
        <v>96.194999999999993</v>
      </c>
      <c r="PL12">
        <v>96.015000000000001</v>
      </c>
      <c r="PM12">
        <v>95.99</v>
      </c>
      <c r="PN12">
        <v>95.86</v>
      </c>
      <c r="PO12">
        <v>95.88</v>
      </c>
      <c r="PP12">
        <v>95.9</v>
      </c>
      <c r="PQ12">
        <v>95.84</v>
      </c>
      <c r="PR12">
        <v>95.7</v>
      </c>
      <c r="PS12">
        <v>95.795000000000002</v>
      </c>
      <c r="PT12">
        <v>95.86</v>
      </c>
      <c r="PU12">
        <v>95.754999999999995</v>
      </c>
      <c r="PV12">
        <v>95.605000000000004</v>
      </c>
      <c r="PW12">
        <v>95.63</v>
      </c>
      <c r="PX12">
        <v>95.704999999999998</v>
      </c>
      <c r="PY12">
        <v>95.89</v>
      </c>
      <c r="PZ12">
        <v>95.965000000000003</v>
      </c>
      <c r="QA12">
        <v>95.92</v>
      </c>
      <c r="QB12">
        <v>96.025000000000006</v>
      </c>
      <c r="QC12">
        <v>96.02</v>
      </c>
      <c r="QD12">
        <v>96.064999999999998</v>
      </c>
      <c r="QE12">
        <v>95.89</v>
      </c>
      <c r="QF12">
        <v>95.954999999999998</v>
      </c>
      <c r="QG12">
        <v>95.91</v>
      </c>
      <c r="QH12">
        <v>95.834999999999994</v>
      </c>
      <c r="QI12">
        <v>95.93</v>
      </c>
      <c r="QJ12">
        <v>96.045000000000002</v>
      </c>
      <c r="QK12">
        <v>95.984999999999999</v>
      </c>
      <c r="QL12">
        <v>95.92</v>
      </c>
      <c r="QM12">
        <v>96</v>
      </c>
      <c r="QN12">
        <v>96</v>
      </c>
      <c r="QO12">
        <v>96.034999999999997</v>
      </c>
      <c r="QP12">
        <v>95.98</v>
      </c>
      <c r="QQ12">
        <v>96.08</v>
      </c>
      <c r="QR12">
        <v>95.995000000000005</v>
      </c>
      <c r="QS12">
        <v>96.084999999999994</v>
      </c>
      <c r="QT12">
        <v>96.105000000000004</v>
      </c>
      <c r="QU12">
        <v>96.144999999999996</v>
      </c>
      <c r="QV12">
        <v>96.18</v>
      </c>
      <c r="QW12">
        <v>96.15</v>
      </c>
      <c r="QX12">
        <v>96.17</v>
      </c>
      <c r="QY12">
        <v>96.185000000000002</v>
      </c>
      <c r="QZ12">
        <v>96.22</v>
      </c>
      <c r="RA12">
        <v>96.135000000000005</v>
      </c>
      <c r="RB12">
        <v>96.224999999999994</v>
      </c>
      <c r="RC12">
        <v>96.33</v>
      </c>
      <c r="RD12">
        <v>96.33</v>
      </c>
      <c r="RE12">
        <v>96.364999999999995</v>
      </c>
      <c r="RF12">
        <v>96.34</v>
      </c>
      <c r="RG12">
        <v>96.33</v>
      </c>
      <c r="RH12">
        <v>96.204999999999998</v>
      </c>
      <c r="RI12">
        <v>96.16</v>
      </c>
      <c r="RJ12">
        <v>96.16</v>
      </c>
      <c r="RK12">
        <v>96.185000000000002</v>
      </c>
      <c r="RL12">
        <v>96.05</v>
      </c>
      <c r="RM12">
        <v>96.084999999999994</v>
      </c>
      <c r="RN12">
        <v>96.17</v>
      </c>
      <c r="RO12">
        <v>96.11</v>
      </c>
      <c r="RP12">
        <v>96.155000000000001</v>
      </c>
      <c r="RQ12">
        <v>96.19</v>
      </c>
      <c r="RR12">
        <v>96.215000000000003</v>
      </c>
      <c r="RS12">
        <v>96.28</v>
      </c>
      <c r="RT12">
        <v>96.42</v>
      </c>
      <c r="RU12">
        <v>96.495000000000005</v>
      </c>
      <c r="RV12">
        <v>96.53</v>
      </c>
      <c r="RW12">
        <v>96.5</v>
      </c>
      <c r="RX12">
        <v>96.454999999999998</v>
      </c>
      <c r="RY12">
        <v>96.31</v>
      </c>
      <c r="RZ12">
        <v>96.38</v>
      </c>
      <c r="SA12">
        <v>96.325000000000003</v>
      </c>
      <c r="SB12">
        <v>96.4</v>
      </c>
      <c r="SC12">
        <v>96.36</v>
      </c>
      <c r="SD12">
        <v>96.3</v>
      </c>
      <c r="SE12">
        <v>96.484999999999999</v>
      </c>
      <c r="SF12">
        <v>96.36</v>
      </c>
      <c r="SG12">
        <v>96.444999999999993</v>
      </c>
      <c r="SH12">
        <v>96.504999999999995</v>
      </c>
      <c r="SI12">
        <v>96.515000000000001</v>
      </c>
      <c r="SJ12">
        <v>96.674999999999997</v>
      </c>
      <c r="SK12">
        <v>96.644999999999996</v>
      </c>
      <c r="SL12">
        <v>96.64</v>
      </c>
      <c r="SM12">
        <v>96.6</v>
      </c>
      <c r="SN12">
        <v>96.754999999999995</v>
      </c>
      <c r="SO12">
        <v>96.55</v>
      </c>
      <c r="SP12">
        <v>96.35</v>
      </c>
      <c r="SQ12">
        <v>96.334999999999994</v>
      </c>
      <c r="SR12">
        <v>96.204999999999998</v>
      </c>
      <c r="SS12">
        <v>96.17</v>
      </c>
      <c r="ST12">
        <v>96.295000000000002</v>
      </c>
      <c r="SU12">
        <v>96.375</v>
      </c>
      <c r="SV12">
        <v>96.375</v>
      </c>
      <c r="SW12">
        <v>96.46</v>
      </c>
      <c r="SX12">
        <v>96.474999999999994</v>
      </c>
      <c r="SY12">
        <v>96.674999999999997</v>
      </c>
      <c r="SZ12">
        <v>96.605000000000004</v>
      </c>
      <c r="TA12">
        <v>96.7</v>
      </c>
      <c r="TB12">
        <v>96.64</v>
      </c>
      <c r="TC12">
        <v>96.594999999999999</v>
      </c>
      <c r="TD12">
        <v>96.694999999999993</v>
      </c>
      <c r="TE12">
        <v>96.61</v>
      </c>
      <c r="TF12">
        <v>96.56</v>
      </c>
      <c r="TG12">
        <v>96.56</v>
      </c>
      <c r="TH12">
        <v>96.67</v>
      </c>
      <c r="TI12">
        <v>96.584999999999994</v>
      </c>
      <c r="TJ12">
        <v>96.564999999999998</v>
      </c>
      <c r="TK12">
        <v>96.724999999999994</v>
      </c>
      <c r="TL12">
        <v>96.715000000000003</v>
      </c>
      <c r="TM12">
        <v>96.805000000000007</v>
      </c>
      <c r="TN12">
        <v>96.754999999999995</v>
      </c>
      <c r="TO12">
        <v>96.814999999999998</v>
      </c>
      <c r="TP12">
        <v>96.855000000000004</v>
      </c>
      <c r="TQ12">
        <v>96.825000000000003</v>
      </c>
      <c r="TR12">
        <v>97.004999999999995</v>
      </c>
      <c r="TS12">
        <v>96.96</v>
      </c>
      <c r="TT12">
        <v>96.88</v>
      </c>
      <c r="TU12">
        <v>96.7</v>
      </c>
      <c r="TV12">
        <v>96.7</v>
      </c>
      <c r="TW12">
        <v>96.784999999999997</v>
      </c>
      <c r="TX12">
        <v>96.935000000000002</v>
      </c>
      <c r="TY12">
        <v>96.924999999999997</v>
      </c>
      <c r="TZ12">
        <v>96.89</v>
      </c>
      <c r="UA12">
        <v>96.905000000000001</v>
      </c>
      <c r="UB12">
        <v>96.98</v>
      </c>
      <c r="UC12">
        <v>97.12</v>
      </c>
      <c r="UD12">
        <v>97.185000000000002</v>
      </c>
      <c r="UE12">
        <v>97.22</v>
      </c>
      <c r="UF12">
        <v>97.21</v>
      </c>
      <c r="UG12">
        <v>97.314999999999998</v>
      </c>
      <c r="UH12">
        <v>97.3</v>
      </c>
      <c r="UI12">
        <v>97.17</v>
      </c>
      <c r="UJ12">
        <v>97.16</v>
      </c>
      <c r="UK12">
        <v>97.224999999999994</v>
      </c>
      <c r="UL12">
        <v>97.39</v>
      </c>
      <c r="UM12">
        <v>97.265000000000001</v>
      </c>
      <c r="UN12">
        <v>97.21</v>
      </c>
      <c r="UO12">
        <v>97.034999999999997</v>
      </c>
      <c r="UP12">
        <v>97.12</v>
      </c>
      <c r="UQ12">
        <v>97.055000000000007</v>
      </c>
      <c r="UR12">
        <v>97.194999999999993</v>
      </c>
      <c r="US12">
        <v>97.25</v>
      </c>
      <c r="UT12">
        <v>97.04</v>
      </c>
      <c r="UU12">
        <v>96.98</v>
      </c>
      <c r="UV12">
        <v>96.995000000000005</v>
      </c>
      <c r="UW12">
        <v>96.885000000000005</v>
      </c>
      <c r="UX12">
        <v>96.935000000000002</v>
      </c>
      <c r="UY12">
        <v>96.915000000000006</v>
      </c>
      <c r="UZ12">
        <v>97.01</v>
      </c>
      <c r="VA12">
        <v>97.125</v>
      </c>
      <c r="VB12">
        <v>97.155000000000001</v>
      </c>
      <c r="VC12">
        <v>97.05</v>
      </c>
      <c r="VD12">
        <v>97.11</v>
      </c>
      <c r="VE12">
        <v>97.155000000000001</v>
      </c>
      <c r="VF12">
        <v>97.295000000000002</v>
      </c>
      <c r="VG12">
        <v>97.314999999999998</v>
      </c>
      <c r="VH12">
        <v>97.27</v>
      </c>
      <c r="VI12">
        <v>97.125</v>
      </c>
      <c r="VJ12">
        <v>97.01</v>
      </c>
      <c r="VK12">
        <v>96.944999999999993</v>
      </c>
      <c r="VL12">
        <v>96.92</v>
      </c>
      <c r="VM12">
        <v>96.935000000000002</v>
      </c>
      <c r="VN12">
        <v>97.004999999999995</v>
      </c>
      <c r="VO12">
        <v>97.15</v>
      </c>
      <c r="VP12">
        <v>97.144999999999996</v>
      </c>
      <c r="VQ12">
        <v>96.98</v>
      </c>
      <c r="VR12">
        <v>96.76</v>
      </c>
      <c r="VS12">
        <v>96.864999999999995</v>
      </c>
      <c r="VT12">
        <v>96.94</v>
      </c>
      <c r="VU12">
        <v>96.644999999999996</v>
      </c>
      <c r="VV12">
        <v>96.704999999999998</v>
      </c>
      <c r="VW12">
        <v>96.575000000000003</v>
      </c>
      <c r="VX12">
        <v>96.704999999999998</v>
      </c>
      <c r="VY12">
        <v>96.61</v>
      </c>
      <c r="VZ12">
        <v>96.394999999999996</v>
      </c>
      <c r="WA12">
        <v>96.21</v>
      </c>
      <c r="WB12">
        <v>96.194999999999993</v>
      </c>
      <c r="WC12">
        <v>96.25</v>
      </c>
      <c r="WD12">
        <v>96.25</v>
      </c>
      <c r="WE12">
        <v>96.15</v>
      </c>
      <c r="WF12">
        <v>96.24</v>
      </c>
      <c r="WG12">
        <v>96.36</v>
      </c>
      <c r="WH12">
        <v>96.37</v>
      </c>
      <c r="WI12">
        <v>96.32</v>
      </c>
      <c r="WJ12">
        <v>96.504999999999995</v>
      </c>
      <c r="WK12">
        <v>96.444999999999993</v>
      </c>
      <c r="WL12">
        <v>96.405000000000001</v>
      </c>
      <c r="WM12">
        <v>96.54</v>
      </c>
      <c r="WN12">
        <v>96.54</v>
      </c>
      <c r="WO12">
        <v>96.495000000000005</v>
      </c>
      <c r="WP12">
        <v>96.49</v>
      </c>
      <c r="WQ12">
        <v>96.55</v>
      </c>
      <c r="WR12">
        <v>96.7</v>
      </c>
      <c r="WS12">
        <v>96.734999999999999</v>
      </c>
      <c r="WT12">
        <v>96.75</v>
      </c>
      <c r="WU12">
        <v>96.855000000000004</v>
      </c>
      <c r="WV12">
        <v>96.825000000000003</v>
      </c>
      <c r="WW12">
        <v>96.844999999999999</v>
      </c>
      <c r="WX12">
        <v>97.025000000000006</v>
      </c>
      <c r="WY12">
        <v>97.234999999999999</v>
      </c>
      <c r="WZ12">
        <v>97.23</v>
      </c>
      <c r="XA12">
        <v>97.075000000000003</v>
      </c>
      <c r="XB12">
        <v>96.984999999999999</v>
      </c>
      <c r="XC12">
        <v>97.07</v>
      </c>
      <c r="XD12">
        <v>97.11</v>
      </c>
      <c r="XE12">
        <v>97.165000000000006</v>
      </c>
      <c r="XF12">
        <v>97.17</v>
      </c>
      <c r="XG12">
        <v>97.114999999999995</v>
      </c>
      <c r="XH12">
        <v>97.2</v>
      </c>
      <c r="XI12">
        <v>97.295000000000002</v>
      </c>
      <c r="XJ12">
        <v>97.34</v>
      </c>
      <c r="XK12">
        <v>97.16</v>
      </c>
      <c r="XL12">
        <v>97.135000000000005</v>
      </c>
      <c r="XM12">
        <v>97.135000000000005</v>
      </c>
      <c r="XN12">
        <v>97.21</v>
      </c>
      <c r="XO12">
        <v>97.105000000000004</v>
      </c>
      <c r="XP12">
        <v>97.03</v>
      </c>
      <c r="XQ12">
        <v>97.125</v>
      </c>
      <c r="XR12">
        <v>97.075000000000003</v>
      </c>
      <c r="XS12">
        <v>96.814999999999998</v>
      </c>
      <c r="XT12">
        <v>96.86</v>
      </c>
      <c r="XU12">
        <v>96.78</v>
      </c>
      <c r="XV12">
        <v>96.745000000000005</v>
      </c>
      <c r="XW12">
        <v>96.745000000000005</v>
      </c>
      <c r="XX12">
        <v>96.704999999999998</v>
      </c>
      <c r="XY12">
        <v>96.694999999999993</v>
      </c>
      <c r="XZ12">
        <v>96.71</v>
      </c>
      <c r="YA12">
        <v>96.805000000000007</v>
      </c>
      <c r="YB12">
        <v>96.805000000000007</v>
      </c>
      <c r="YC12">
        <v>96.905000000000001</v>
      </c>
      <c r="YD12">
        <v>96.935000000000002</v>
      </c>
      <c r="YE12">
        <v>96.864999999999995</v>
      </c>
      <c r="YF12">
        <v>96.93</v>
      </c>
      <c r="YG12">
        <v>97.02</v>
      </c>
      <c r="YH12">
        <v>97</v>
      </c>
      <c r="YI12">
        <v>96.98</v>
      </c>
      <c r="YJ12">
        <v>96.974999999999994</v>
      </c>
      <c r="YK12">
        <v>96.82</v>
      </c>
      <c r="YL12">
        <v>96.9</v>
      </c>
      <c r="YM12">
        <v>96.944999999999993</v>
      </c>
      <c r="YN12">
        <v>97.045000000000002</v>
      </c>
      <c r="YO12">
        <v>96.93</v>
      </c>
      <c r="YP12">
        <v>96.89</v>
      </c>
      <c r="YQ12">
        <v>97.025000000000006</v>
      </c>
      <c r="YR12">
        <v>96.99</v>
      </c>
      <c r="YS12">
        <v>96.83</v>
      </c>
      <c r="YT12">
        <v>96.674999999999997</v>
      </c>
      <c r="YU12">
        <v>96.68</v>
      </c>
      <c r="YV12">
        <v>96.685000000000002</v>
      </c>
      <c r="YW12">
        <v>96.69</v>
      </c>
      <c r="YX12">
        <v>96.69</v>
      </c>
      <c r="YY12">
        <v>96.65</v>
      </c>
      <c r="YZ12">
        <v>96.504999999999995</v>
      </c>
      <c r="ZA12">
        <v>96.52</v>
      </c>
      <c r="ZB12">
        <v>96.62</v>
      </c>
      <c r="ZC12">
        <v>96.74</v>
      </c>
      <c r="ZD12">
        <v>96.66</v>
      </c>
      <c r="ZE12">
        <v>96.51</v>
      </c>
      <c r="ZF12">
        <v>96.564999999999998</v>
      </c>
      <c r="ZG12">
        <v>96.52</v>
      </c>
      <c r="ZH12">
        <v>96.13</v>
      </c>
      <c r="ZI12">
        <v>96.05</v>
      </c>
      <c r="ZJ12">
        <v>95.97</v>
      </c>
      <c r="ZK12">
        <v>96.025000000000006</v>
      </c>
      <c r="ZL12">
        <v>95.984999999999999</v>
      </c>
      <c r="ZM12">
        <v>96.11</v>
      </c>
      <c r="ZN12">
        <v>96.15</v>
      </c>
      <c r="ZO12">
        <v>96.17</v>
      </c>
      <c r="ZP12">
        <v>96.224999999999994</v>
      </c>
      <c r="ZQ12">
        <v>96.355000000000004</v>
      </c>
      <c r="ZR12">
        <v>96.234999999999999</v>
      </c>
      <c r="ZS12">
        <v>96.165000000000006</v>
      </c>
      <c r="ZT12">
        <v>96.094999999999999</v>
      </c>
      <c r="ZU12">
        <v>96.055000000000007</v>
      </c>
      <c r="ZV12">
        <v>95.92</v>
      </c>
      <c r="ZW12">
        <v>96.055000000000007</v>
      </c>
      <c r="ZX12">
        <v>96.215000000000003</v>
      </c>
      <c r="ZY12">
        <v>96.2</v>
      </c>
      <c r="ZZ12">
        <v>96.15</v>
      </c>
      <c r="AAA12">
        <v>96.21</v>
      </c>
      <c r="AAB12">
        <v>96.275000000000006</v>
      </c>
      <c r="AAC12">
        <v>96.2</v>
      </c>
      <c r="AAD12">
        <v>96.215000000000003</v>
      </c>
      <c r="AAE12">
        <v>96.245000000000005</v>
      </c>
      <c r="AAF12">
        <v>96.32</v>
      </c>
      <c r="AAG12">
        <v>96.4</v>
      </c>
      <c r="AAH12">
        <v>96.545000000000002</v>
      </c>
      <c r="AAI12">
        <v>96.454999999999998</v>
      </c>
      <c r="AAJ12">
        <v>96.314999999999998</v>
      </c>
      <c r="AAK12">
        <v>96.39</v>
      </c>
      <c r="AAL12">
        <v>96.45</v>
      </c>
      <c r="AAM12">
        <v>96.16</v>
      </c>
      <c r="AAN12">
        <v>96.155000000000001</v>
      </c>
      <c r="AAO12">
        <v>96.344999999999999</v>
      </c>
      <c r="AAP12">
        <v>96.43</v>
      </c>
      <c r="AAQ12">
        <v>96.614999999999995</v>
      </c>
      <c r="AAR12">
        <v>96.49</v>
      </c>
      <c r="AAS12">
        <v>96.555000000000007</v>
      </c>
      <c r="AAT12">
        <v>96.644999999999996</v>
      </c>
      <c r="AAU12">
        <v>96.58</v>
      </c>
      <c r="AAV12">
        <v>96.69</v>
      </c>
      <c r="AAW12">
        <v>96.72</v>
      </c>
      <c r="AAX12">
        <v>96.855000000000004</v>
      </c>
      <c r="AAY12">
        <v>96.86</v>
      </c>
      <c r="AAZ12">
        <v>96.915000000000006</v>
      </c>
      <c r="ABA12">
        <v>96.95</v>
      </c>
      <c r="ABB12">
        <v>96.85</v>
      </c>
      <c r="ABC12">
        <v>96.974999999999994</v>
      </c>
      <c r="ABD12">
        <v>96.974999999999994</v>
      </c>
      <c r="ABE12">
        <v>96.87</v>
      </c>
      <c r="ABF12">
        <v>96.974999999999994</v>
      </c>
      <c r="ABG12">
        <v>96.944999999999993</v>
      </c>
      <c r="ABH12">
        <v>96.965000000000003</v>
      </c>
      <c r="ABI12">
        <v>97.02</v>
      </c>
      <c r="ABJ12">
        <v>97.055000000000007</v>
      </c>
      <c r="ABK12">
        <v>97.015000000000001</v>
      </c>
      <c r="ABL12">
        <v>97.06</v>
      </c>
      <c r="ABM12">
        <v>97.04</v>
      </c>
      <c r="ABN12">
        <v>97.14</v>
      </c>
      <c r="ABO12">
        <v>97.224999999999994</v>
      </c>
      <c r="ABP12">
        <v>97.204999999999998</v>
      </c>
      <c r="ABQ12">
        <v>97.34</v>
      </c>
      <c r="ABR12">
        <v>97.424999999999997</v>
      </c>
      <c r="ABS12">
        <v>97.34</v>
      </c>
      <c r="ABT12">
        <v>97.364999999999995</v>
      </c>
      <c r="ABU12">
        <v>97.42</v>
      </c>
      <c r="ABV12">
        <v>97.35</v>
      </c>
      <c r="ABW12">
        <v>97.46</v>
      </c>
      <c r="ABX12">
        <v>97.364999999999995</v>
      </c>
      <c r="ABY12">
        <v>97.584999999999994</v>
      </c>
      <c r="ABZ12">
        <v>97.444999999999993</v>
      </c>
      <c r="ACA12">
        <v>97.484999999999999</v>
      </c>
      <c r="ACB12">
        <v>97.74</v>
      </c>
      <c r="ACC12">
        <v>97.715000000000003</v>
      </c>
      <c r="ACD12">
        <v>97.694999999999993</v>
      </c>
      <c r="ACE12">
        <v>97.605000000000004</v>
      </c>
      <c r="ACF12">
        <v>97.54</v>
      </c>
      <c r="ACG12">
        <v>97.564999999999998</v>
      </c>
      <c r="ACH12">
        <v>97.59</v>
      </c>
      <c r="ACI12">
        <v>97.43</v>
      </c>
      <c r="ACJ12">
        <v>97.224999999999994</v>
      </c>
      <c r="ACK12">
        <v>97.24</v>
      </c>
      <c r="ACL12">
        <v>97.334999999999994</v>
      </c>
      <c r="ACM12">
        <v>97.375</v>
      </c>
      <c r="ACN12">
        <v>97.4</v>
      </c>
      <c r="ACO12">
        <v>97.454999999999998</v>
      </c>
      <c r="ACP12">
        <v>97.42</v>
      </c>
      <c r="ACQ12">
        <v>97.385000000000005</v>
      </c>
      <c r="ACR12">
        <v>97.3</v>
      </c>
      <c r="ACS12">
        <v>97.394999999999996</v>
      </c>
      <c r="ACT12">
        <v>97.474999999999994</v>
      </c>
      <c r="ACU12">
        <v>97.665000000000006</v>
      </c>
      <c r="ACV12">
        <v>97.584999999999994</v>
      </c>
      <c r="ACW12">
        <v>97.584999999999994</v>
      </c>
      <c r="ACX12">
        <v>97.415000000000006</v>
      </c>
      <c r="ACY12">
        <v>97.21</v>
      </c>
      <c r="ACZ12">
        <v>97.04</v>
      </c>
      <c r="ADA12">
        <v>97.04</v>
      </c>
      <c r="ADB12">
        <v>97.13</v>
      </c>
      <c r="ADC12">
        <v>97.194999999999993</v>
      </c>
      <c r="ADD12">
        <v>97.075000000000003</v>
      </c>
      <c r="ADE12">
        <v>96.864999999999995</v>
      </c>
      <c r="ADF12">
        <v>96.855000000000004</v>
      </c>
      <c r="ADG12">
        <v>96.855000000000004</v>
      </c>
      <c r="ADH12">
        <v>96.825000000000003</v>
      </c>
      <c r="ADI12">
        <v>96.745000000000005</v>
      </c>
      <c r="ADJ12">
        <v>96.5</v>
      </c>
      <c r="ADK12">
        <v>96.555000000000007</v>
      </c>
      <c r="ADL12">
        <v>96.784999999999997</v>
      </c>
      <c r="ADM12">
        <v>97</v>
      </c>
      <c r="ADN12">
        <v>97.05</v>
      </c>
      <c r="ADO12">
        <v>97.084999999999994</v>
      </c>
      <c r="ADP12">
        <v>97.05</v>
      </c>
      <c r="ADQ12">
        <v>97.165000000000006</v>
      </c>
      <c r="ADR12">
        <v>97.215000000000003</v>
      </c>
      <c r="ADS12">
        <v>97.174999999999997</v>
      </c>
      <c r="ADT12">
        <v>97.325000000000003</v>
      </c>
      <c r="ADU12">
        <v>97.375</v>
      </c>
      <c r="ADV12">
        <v>97.375</v>
      </c>
      <c r="ADW12">
        <v>97.41</v>
      </c>
      <c r="ADX12">
        <v>97.43</v>
      </c>
      <c r="ADY12">
        <v>97.415000000000006</v>
      </c>
      <c r="ADZ12">
        <v>97.29</v>
      </c>
      <c r="AEA12">
        <v>97.37</v>
      </c>
      <c r="AEB12">
        <v>97.284999999999997</v>
      </c>
      <c r="AEC12">
        <v>97.2</v>
      </c>
      <c r="AED12">
        <v>97.15</v>
      </c>
      <c r="AEE12">
        <v>97.314999999999998</v>
      </c>
      <c r="AEF12">
        <v>97.215000000000003</v>
      </c>
      <c r="AEG12">
        <v>97.3</v>
      </c>
      <c r="AEH12">
        <v>97.165000000000006</v>
      </c>
      <c r="AEI12">
        <v>97.12</v>
      </c>
      <c r="AEJ12">
        <v>97.084999999999994</v>
      </c>
      <c r="AEK12">
        <v>96.974999999999994</v>
      </c>
      <c r="AEL12">
        <v>96.96</v>
      </c>
      <c r="AEM12">
        <v>97.08</v>
      </c>
      <c r="AEN12">
        <v>96.954999999999998</v>
      </c>
      <c r="AEO12">
        <v>96.935000000000002</v>
      </c>
      <c r="AEP12">
        <v>97.04</v>
      </c>
      <c r="AEQ12">
        <v>97.06</v>
      </c>
      <c r="AER12">
        <v>97.165000000000006</v>
      </c>
      <c r="AES12">
        <v>97.19</v>
      </c>
      <c r="AET12">
        <v>97.084999999999994</v>
      </c>
      <c r="AEU12">
        <v>97</v>
      </c>
      <c r="AEV12">
        <v>96.954999999999998</v>
      </c>
      <c r="AEW12">
        <v>97.084999999999994</v>
      </c>
      <c r="AEX12">
        <v>97.06</v>
      </c>
      <c r="AEY12">
        <v>97.2</v>
      </c>
      <c r="AEZ12">
        <v>97.224999999999994</v>
      </c>
      <c r="AFA12">
        <v>97.224999999999994</v>
      </c>
      <c r="AFB12">
        <v>97.36</v>
      </c>
      <c r="AFC12">
        <v>97.31</v>
      </c>
      <c r="AFD12">
        <v>97.13</v>
      </c>
      <c r="AFE12">
        <v>97.12</v>
      </c>
      <c r="AFF12">
        <v>97.224999999999994</v>
      </c>
      <c r="AFG12">
        <v>97.174999999999997</v>
      </c>
      <c r="AFH12">
        <v>97.165000000000006</v>
      </c>
      <c r="AFI12">
        <v>97.27</v>
      </c>
      <c r="AFJ12">
        <v>97.25</v>
      </c>
      <c r="AFK12">
        <v>97.424999999999997</v>
      </c>
      <c r="AFL12">
        <v>97.38</v>
      </c>
      <c r="AFM12">
        <v>97.35</v>
      </c>
      <c r="AFN12">
        <v>97.305000000000007</v>
      </c>
      <c r="AFO12">
        <v>97.34</v>
      </c>
      <c r="AFP12">
        <v>97.58</v>
      </c>
      <c r="AFQ12">
        <v>97.6</v>
      </c>
      <c r="AFR12">
        <v>97.53</v>
      </c>
      <c r="AFS12">
        <v>97.564999999999998</v>
      </c>
      <c r="AFT12">
        <v>97.765000000000001</v>
      </c>
      <c r="AFU12">
        <v>97.754999999999995</v>
      </c>
      <c r="AFV12">
        <v>97.734999999999999</v>
      </c>
      <c r="AFW12">
        <v>97.77</v>
      </c>
      <c r="AFX12">
        <v>97.8</v>
      </c>
      <c r="AFY12">
        <v>97.96</v>
      </c>
      <c r="AFZ12">
        <v>97.995000000000005</v>
      </c>
      <c r="AGA12">
        <v>98.04</v>
      </c>
      <c r="AGB12">
        <v>98.135000000000005</v>
      </c>
      <c r="AGC12">
        <v>98.254999999999995</v>
      </c>
      <c r="AGD12">
        <v>98.334999999999994</v>
      </c>
      <c r="AGE12">
        <v>98.185000000000002</v>
      </c>
      <c r="AGF12">
        <v>98.19</v>
      </c>
      <c r="AGG12">
        <v>98.42</v>
      </c>
      <c r="AGH12">
        <v>98.174999999999997</v>
      </c>
      <c r="AGI12">
        <v>97.98</v>
      </c>
      <c r="AGJ12">
        <v>98.015000000000001</v>
      </c>
      <c r="AGK12">
        <v>97.995000000000005</v>
      </c>
      <c r="AGL12">
        <v>98.034999999999997</v>
      </c>
      <c r="AGM12">
        <v>98.075000000000003</v>
      </c>
      <c r="AGN12">
        <v>98.075000000000003</v>
      </c>
      <c r="AGO12">
        <v>98.045000000000002</v>
      </c>
      <c r="AGP12">
        <v>97.97</v>
      </c>
      <c r="AGQ12">
        <v>97.94</v>
      </c>
      <c r="AGR12">
        <v>97.95</v>
      </c>
      <c r="AGS12">
        <v>98.034999999999997</v>
      </c>
      <c r="AGT12">
        <v>97.94</v>
      </c>
      <c r="AGU12">
        <v>98.09</v>
      </c>
      <c r="AGV12">
        <v>98.09</v>
      </c>
      <c r="AGW12">
        <v>98.144999999999996</v>
      </c>
      <c r="AGX12">
        <v>98.13</v>
      </c>
      <c r="AGY12">
        <v>98.265000000000001</v>
      </c>
      <c r="AGZ12">
        <v>98.314999999999998</v>
      </c>
      <c r="AHA12">
        <v>98.31</v>
      </c>
      <c r="AHB12">
        <v>98.314999999999998</v>
      </c>
      <c r="AHC12">
        <v>98.284999999999997</v>
      </c>
      <c r="AHD12">
        <v>98.245000000000005</v>
      </c>
      <c r="AHE12">
        <v>98.275000000000006</v>
      </c>
      <c r="AHF12">
        <v>98.364999999999995</v>
      </c>
      <c r="AHG12">
        <v>98.415000000000006</v>
      </c>
      <c r="AHH12">
        <v>98.33</v>
      </c>
      <c r="AHI12">
        <v>98.24</v>
      </c>
      <c r="AHJ12">
        <v>98.254999999999995</v>
      </c>
      <c r="AHK12">
        <v>98.215000000000003</v>
      </c>
      <c r="AHL12">
        <v>98.3</v>
      </c>
      <c r="AHM12">
        <v>98.3</v>
      </c>
      <c r="AHN12">
        <v>98.4</v>
      </c>
      <c r="AHO12">
        <v>98.37</v>
      </c>
      <c r="AHP12">
        <v>98.34</v>
      </c>
      <c r="AHQ12">
        <v>98.3</v>
      </c>
      <c r="AHR12">
        <v>98.35</v>
      </c>
      <c r="AHS12">
        <v>98.405000000000001</v>
      </c>
      <c r="AHT12">
        <v>98.46</v>
      </c>
      <c r="AHU12">
        <v>98.534999999999997</v>
      </c>
      <c r="AHV12">
        <v>98.53</v>
      </c>
      <c r="AHW12">
        <v>98.64</v>
      </c>
      <c r="AHX12">
        <v>98.625</v>
      </c>
      <c r="AHY12">
        <v>98.605000000000004</v>
      </c>
      <c r="AHZ12">
        <v>98.63</v>
      </c>
      <c r="AIA12">
        <v>98.61</v>
      </c>
      <c r="AIB12">
        <v>98.625</v>
      </c>
      <c r="AIC12">
        <v>98.625</v>
      </c>
      <c r="AID12">
        <v>98.64</v>
      </c>
      <c r="AIE12">
        <v>98.635000000000005</v>
      </c>
      <c r="AIF12">
        <v>98.704999999999998</v>
      </c>
      <c r="AIG12">
        <v>98.694999999999993</v>
      </c>
      <c r="AIH12">
        <v>98.715000000000003</v>
      </c>
      <c r="AII12">
        <v>98.59</v>
      </c>
      <c r="AIJ12">
        <v>98.63</v>
      </c>
      <c r="AIK12">
        <v>98.644999999999996</v>
      </c>
      <c r="AIL12">
        <v>98.59</v>
      </c>
      <c r="AIM12">
        <v>98.555000000000007</v>
      </c>
      <c r="AIN12">
        <v>98.55</v>
      </c>
      <c r="AIO12">
        <v>98.54</v>
      </c>
      <c r="AIP12">
        <v>98.594999999999999</v>
      </c>
      <c r="AIQ12">
        <v>98.674999999999997</v>
      </c>
      <c r="AIR12">
        <v>98.614999999999995</v>
      </c>
      <c r="AIS12">
        <v>98.674999999999997</v>
      </c>
      <c r="AIT12">
        <v>98.7</v>
      </c>
      <c r="AIU12">
        <v>98.69</v>
      </c>
      <c r="AIV12">
        <v>98.694999999999993</v>
      </c>
      <c r="AIW12">
        <v>98.484999999999999</v>
      </c>
      <c r="AIX12">
        <v>98.484999999999999</v>
      </c>
      <c r="AIY12">
        <v>98.53</v>
      </c>
      <c r="AIZ12">
        <v>98.53</v>
      </c>
      <c r="AJA12">
        <v>98.674999999999997</v>
      </c>
      <c r="AJB12">
        <v>98.674999999999997</v>
      </c>
      <c r="AJC12">
        <v>98.655000000000001</v>
      </c>
      <c r="AJD12">
        <v>98.614999999999995</v>
      </c>
      <c r="AJE12">
        <v>98.635000000000005</v>
      </c>
      <c r="AJF12">
        <v>98.65</v>
      </c>
      <c r="AJG12">
        <v>98.64</v>
      </c>
      <c r="AJH12">
        <v>98.704999999999998</v>
      </c>
      <c r="AJI12">
        <v>98.885000000000005</v>
      </c>
      <c r="AJJ12">
        <v>98.84</v>
      </c>
      <c r="AJK12">
        <v>98.935000000000002</v>
      </c>
      <c r="AJL12">
        <v>98.864999999999995</v>
      </c>
      <c r="AJM12">
        <v>98.76</v>
      </c>
      <c r="AJN12">
        <v>98.805000000000007</v>
      </c>
      <c r="AJO12">
        <v>98.74</v>
      </c>
      <c r="AJP12">
        <v>98.78</v>
      </c>
      <c r="AJQ12">
        <v>98.795000000000002</v>
      </c>
      <c r="AJR12">
        <v>98.805000000000007</v>
      </c>
      <c r="AJS12">
        <v>98.79</v>
      </c>
      <c r="AJT12">
        <v>98.8</v>
      </c>
      <c r="AJU12">
        <v>98.76</v>
      </c>
      <c r="AJV12">
        <v>98.77</v>
      </c>
      <c r="AJW12">
        <v>98.864999999999995</v>
      </c>
      <c r="AJX12">
        <v>98.84</v>
      </c>
      <c r="AJY12">
        <v>98.805000000000007</v>
      </c>
      <c r="AJZ12">
        <v>98.87</v>
      </c>
      <c r="AKA12">
        <v>98.97</v>
      </c>
      <c r="AKB12">
        <v>98.92</v>
      </c>
      <c r="AKC12">
        <v>98.965000000000003</v>
      </c>
      <c r="AKD12">
        <v>98.974999999999994</v>
      </c>
      <c r="AKE12">
        <v>99.025000000000006</v>
      </c>
      <c r="AKF12">
        <v>99.075000000000003</v>
      </c>
      <c r="AKG12">
        <v>99.114999999999995</v>
      </c>
      <c r="AKH12">
        <v>99.13</v>
      </c>
      <c r="AKI12">
        <v>99.17</v>
      </c>
      <c r="AKJ12">
        <v>99.17</v>
      </c>
      <c r="AKK12">
        <v>99.114999999999995</v>
      </c>
      <c r="AKL12">
        <v>99.1</v>
      </c>
      <c r="AKM12">
        <v>99.06</v>
      </c>
      <c r="AKN12">
        <v>99.07</v>
      </c>
      <c r="AKO12">
        <v>99.084999999999994</v>
      </c>
      <c r="AKP12">
        <v>99.1</v>
      </c>
      <c r="AKQ12">
        <v>99.15</v>
      </c>
      <c r="AKR12">
        <v>99.23</v>
      </c>
      <c r="AKS12">
        <v>99.23</v>
      </c>
      <c r="AKT12">
        <v>99.18</v>
      </c>
      <c r="AKU12">
        <v>99.215000000000003</v>
      </c>
      <c r="AKV12">
        <v>99.25</v>
      </c>
      <c r="AKW12">
        <v>99.39</v>
      </c>
      <c r="AKX12">
        <v>99.38</v>
      </c>
      <c r="AKY12">
        <v>99.375</v>
      </c>
      <c r="AKZ12">
        <v>99.39</v>
      </c>
      <c r="ALA12">
        <v>99.38</v>
      </c>
      <c r="ALB12">
        <v>99.375</v>
      </c>
      <c r="ALC12">
        <v>99.415000000000006</v>
      </c>
      <c r="ALD12">
        <v>99.415000000000006</v>
      </c>
      <c r="ALE12">
        <v>99.41</v>
      </c>
      <c r="ALF12">
        <v>99.4</v>
      </c>
      <c r="ALG12">
        <v>99.41</v>
      </c>
      <c r="ALH12">
        <v>99.405000000000001</v>
      </c>
      <c r="ALI12">
        <v>99.364999999999995</v>
      </c>
      <c r="ALJ12">
        <v>99.325000000000003</v>
      </c>
      <c r="ALK12">
        <v>99.33</v>
      </c>
      <c r="ALL12">
        <v>99.36</v>
      </c>
      <c r="ALM12">
        <v>99.38</v>
      </c>
      <c r="ALN12">
        <v>99.36</v>
      </c>
      <c r="ALO12">
        <v>99.37</v>
      </c>
      <c r="ALP12">
        <v>99.364999999999995</v>
      </c>
      <c r="ALQ12">
        <v>99.375</v>
      </c>
      <c r="ALR12">
        <v>99.4</v>
      </c>
      <c r="ALS12">
        <v>99.355000000000004</v>
      </c>
      <c r="ALT12">
        <v>99.32</v>
      </c>
      <c r="ALU12">
        <v>99.334999999999994</v>
      </c>
      <c r="ALV12">
        <v>99.305000000000007</v>
      </c>
      <c r="ALW12">
        <v>99.334999999999994</v>
      </c>
      <c r="ALX12">
        <v>99.364999999999995</v>
      </c>
      <c r="ALY12">
        <v>99.42</v>
      </c>
      <c r="ALZ12">
        <v>99.48</v>
      </c>
      <c r="AMA12">
        <v>99.53</v>
      </c>
      <c r="AMB12">
        <v>99.52</v>
      </c>
      <c r="AMC12">
        <v>99.46</v>
      </c>
      <c r="AMD12">
        <v>99.424999999999997</v>
      </c>
      <c r="AME12">
        <v>99.405000000000001</v>
      </c>
      <c r="AMF12">
        <v>99.47</v>
      </c>
      <c r="AMG12">
        <v>99.444999999999993</v>
      </c>
      <c r="AMH12">
        <v>99.454999999999998</v>
      </c>
      <c r="AMI12">
        <v>99.46</v>
      </c>
      <c r="AMJ12">
        <v>99.444999999999993</v>
      </c>
      <c r="AMK12">
        <v>99.51</v>
      </c>
      <c r="AML12">
        <v>99.48</v>
      </c>
      <c r="AMM12">
        <v>99.34</v>
      </c>
      <c r="AMN12">
        <v>99.334999999999994</v>
      </c>
      <c r="AMO12">
        <v>99.33</v>
      </c>
      <c r="AMP12">
        <v>99.284999999999997</v>
      </c>
      <c r="AMQ12">
        <v>99.364999999999995</v>
      </c>
      <c r="AMR12">
        <v>99.37</v>
      </c>
      <c r="AMS12">
        <v>99.435000000000002</v>
      </c>
      <c r="AMT12">
        <v>99.355000000000004</v>
      </c>
      <c r="AMU12">
        <v>99.34</v>
      </c>
      <c r="AMV12">
        <v>99.284999999999997</v>
      </c>
      <c r="AMW12">
        <v>99.284999999999997</v>
      </c>
      <c r="AMX12">
        <v>99.224999999999994</v>
      </c>
      <c r="AMY12">
        <v>99.26</v>
      </c>
      <c r="AMZ12">
        <v>99.25</v>
      </c>
      <c r="ANA12">
        <v>99.254999999999995</v>
      </c>
      <c r="ANB12">
        <v>99.23</v>
      </c>
      <c r="ANC12">
        <v>99.254999999999995</v>
      </c>
      <c r="AND12">
        <v>99.265000000000001</v>
      </c>
      <c r="ANE12">
        <v>99.31</v>
      </c>
      <c r="ANF12">
        <v>99.284999999999997</v>
      </c>
      <c r="ANG12">
        <v>99.26</v>
      </c>
      <c r="ANH12">
        <v>99.295000000000002</v>
      </c>
      <c r="ANI12">
        <v>99.35</v>
      </c>
      <c r="ANJ12">
        <v>99.59</v>
      </c>
      <c r="ANK12">
        <v>99.594999999999999</v>
      </c>
      <c r="ANL12">
        <v>99.614999999999995</v>
      </c>
      <c r="ANM12">
        <v>99.635000000000005</v>
      </c>
      <c r="ANN12">
        <v>99.625</v>
      </c>
      <c r="ANO12">
        <v>99.605000000000004</v>
      </c>
      <c r="ANP12">
        <v>99.594999999999999</v>
      </c>
      <c r="ANQ12">
        <v>99.6</v>
      </c>
      <c r="ANR12">
        <v>99.564999999999998</v>
      </c>
      <c r="ANS12">
        <v>99.59</v>
      </c>
      <c r="ANT12">
        <v>99.58</v>
      </c>
      <c r="ANU12">
        <v>99.59</v>
      </c>
      <c r="ANV12">
        <v>99.59</v>
      </c>
      <c r="ANW12">
        <v>99.584999999999994</v>
      </c>
      <c r="ANX12">
        <v>99.605000000000004</v>
      </c>
      <c r="ANY12">
        <v>99.6</v>
      </c>
      <c r="ANZ12">
        <v>99.57</v>
      </c>
      <c r="AOA12">
        <v>99.555000000000007</v>
      </c>
      <c r="AOB12">
        <v>99.56</v>
      </c>
      <c r="AOC12">
        <v>99.525000000000006</v>
      </c>
      <c r="AOD12">
        <v>99.56</v>
      </c>
      <c r="AOE12">
        <v>99.56</v>
      </c>
      <c r="AOF12">
        <v>99.56</v>
      </c>
      <c r="AOG12">
        <v>99.555000000000007</v>
      </c>
      <c r="AOH12">
        <v>99.53</v>
      </c>
      <c r="AOI12">
        <v>99.594999999999999</v>
      </c>
      <c r="AOJ12">
        <v>99.614999999999995</v>
      </c>
      <c r="AOK12">
        <v>99.62</v>
      </c>
      <c r="AOL12">
        <v>99.564999999999998</v>
      </c>
      <c r="AOM12">
        <v>99.56</v>
      </c>
      <c r="AON12">
        <v>99.55</v>
      </c>
      <c r="AOO12">
        <v>99.534999999999997</v>
      </c>
      <c r="AOP12">
        <v>99.515000000000001</v>
      </c>
      <c r="AOQ12">
        <v>99.51</v>
      </c>
      <c r="AOR12">
        <v>99.51</v>
      </c>
      <c r="AOS12">
        <v>99.49</v>
      </c>
      <c r="AOT12">
        <v>99.51</v>
      </c>
      <c r="AOU12">
        <v>99.52</v>
      </c>
      <c r="AOV12">
        <v>99.545000000000002</v>
      </c>
      <c r="AOW12">
        <v>99.55</v>
      </c>
      <c r="AOX12">
        <v>99.56</v>
      </c>
      <c r="AOY12">
        <v>99.54</v>
      </c>
      <c r="AOZ12">
        <v>99.525000000000006</v>
      </c>
      <c r="APA12">
        <v>99.545000000000002</v>
      </c>
      <c r="APB12">
        <v>99.49</v>
      </c>
      <c r="APC12">
        <v>99.51</v>
      </c>
      <c r="APD12">
        <v>99.444999999999993</v>
      </c>
      <c r="APE12">
        <v>99.474999999999994</v>
      </c>
      <c r="APF12">
        <v>99.495000000000005</v>
      </c>
      <c r="APG12">
        <v>99.48</v>
      </c>
      <c r="APH12">
        <v>99.45</v>
      </c>
      <c r="API12">
        <v>99.38</v>
      </c>
      <c r="APJ12">
        <v>99.344999999999999</v>
      </c>
      <c r="APK12">
        <v>99.424999999999997</v>
      </c>
      <c r="APL12">
        <v>99.415000000000006</v>
      </c>
      <c r="APM12">
        <v>99.435000000000002</v>
      </c>
      <c r="APN12">
        <v>99.444999999999993</v>
      </c>
      <c r="APO12">
        <v>99.5</v>
      </c>
      <c r="APP12">
        <v>99.53</v>
      </c>
      <c r="APQ12">
        <v>99.515000000000001</v>
      </c>
      <c r="APR12">
        <v>99.5</v>
      </c>
      <c r="APS12">
        <v>99.484999999999999</v>
      </c>
      <c r="APT12">
        <v>99.47</v>
      </c>
      <c r="APU12">
        <v>99.49</v>
      </c>
      <c r="APV12">
        <v>99.534999999999997</v>
      </c>
      <c r="APW12">
        <v>99.63</v>
      </c>
      <c r="APX12">
        <v>99.62</v>
      </c>
      <c r="APY12">
        <v>99.6</v>
      </c>
      <c r="APZ12">
        <v>99.64</v>
      </c>
      <c r="AQA12">
        <v>99.64</v>
      </c>
      <c r="AQB12">
        <v>99.61</v>
      </c>
      <c r="AQC12">
        <v>99.59</v>
      </c>
      <c r="AQD12">
        <v>99.62</v>
      </c>
      <c r="AQE12">
        <v>99.61</v>
      </c>
      <c r="AQF12">
        <v>99.644999999999996</v>
      </c>
      <c r="AQG12">
        <v>99.68</v>
      </c>
      <c r="AQH12">
        <v>99.674999999999997</v>
      </c>
      <c r="AQI12">
        <v>99.62</v>
      </c>
      <c r="AQJ12">
        <v>99.614999999999995</v>
      </c>
      <c r="AQK12">
        <v>99.75</v>
      </c>
      <c r="AQL12">
        <v>99.765000000000001</v>
      </c>
      <c r="AQM12">
        <v>99.754999999999995</v>
      </c>
      <c r="AQN12">
        <v>99.77</v>
      </c>
      <c r="AQO12">
        <v>99.784999999999997</v>
      </c>
      <c r="AQP12">
        <v>99.79</v>
      </c>
      <c r="AQQ12">
        <v>99.78</v>
      </c>
      <c r="AQR12">
        <v>99.82</v>
      </c>
      <c r="AQS12">
        <v>99.82</v>
      </c>
      <c r="AQT12">
        <v>99.83</v>
      </c>
      <c r="AQU12">
        <v>99.834999999999994</v>
      </c>
      <c r="AQV12">
        <v>99.825000000000003</v>
      </c>
      <c r="AQW12">
        <v>99.82</v>
      </c>
      <c r="AQX12">
        <v>99.83</v>
      </c>
      <c r="AQY12">
        <v>99.834999999999994</v>
      </c>
      <c r="AQZ12">
        <v>99.834999999999994</v>
      </c>
      <c r="ARA12">
        <v>99.85</v>
      </c>
      <c r="ARB12">
        <v>99.855000000000004</v>
      </c>
      <c r="ARC12">
        <v>99.85</v>
      </c>
      <c r="ARD12">
        <v>99.844999999999999</v>
      </c>
      <c r="ARE12">
        <v>99.86</v>
      </c>
      <c r="ARF12">
        <v>99.855000000000004</v>
      </c>
      <c r="ARG12">
        <v>99.86</v>
      </c>
      <c r="ARH12">
        <v>99.85</v>
      </c>
      <c r="ARI12">
        <v>99.844999999999999</v>
      </c>
      <c r="ARJ12">
        <v>99.85</v>
      </c>
      <c r="ARK12">
        <v>99.85</v>
      </c>
      <c r="ARL12">
        <v>99.84</v>
      </c>
      <c r="ARM12">
        <v>99.84</v>
      </c>
      <c r="ARN12">
        <v>99.83</v>
      </c>
      <c r="ARO12">
        <v>99.81</v>
      </c>
      <c r="ARP12">
        <v>99.784999999999997</v>
      </c>
      <c r="ARQ12">
        <v>99.784999999999997</v>
      </c>
      <c r="ARR12">
        <v>99.79</v>
      </c>
      <c r="ARS12">
        <v>99.82</v>
      </c>
      <c r="ART12">
        <v>99.844999999999999</v>
      </c>
      <c r="ARU12">
        <v>99.864999999999995</v>
      </c>
      <c r="ARV12">
        <v>99.87</v>
      </c>
      <c r="ARW12">
        <v>99.86</v>
      </c>
      <c r="ARX12">
        <v>99.86</v>
      </c>
      <c r="ARY12">
        <v>99.85</v>
      </c>
      <c r="ARZ12">
        <v>99.844999999999999</v>
      </c>
      <c r="ASA12">
        <v>99.85</v>
      </c>
      <c r="ASB12">
        <v>99.855000000000004</v>
      </c>
      <c r="ASC12">
        <v>99.855000000000004</v>
      </c>
      <c r="ASD12">
        <v>99.855000000000004</v>
      </c>
      <c r="ASE12">
        <v>99.86</v>
      </c>
      <c r="ASF12">
        <v>99.855000000000004</v>
      </c>
      <c r="ASG12">
        <v>99.855000000000004</v>
      </c>
      <c r="ASH12">
        <v>99.855000000000004</v>
      </c>
      <c r="ASI12">
        <v>99.864999999999995</v>
      </c>
      <c r="ASJ12">
        <v>99.885000000000005</v>
      </c>
      <c r="ASK12">
        <v>99.885000000000005</v>
      </c>
      <c r="ASL12">
        <v>99.88</v>
      </c>
      <c r="ASM12">
        <v>99.87</v>
      </c>
      <c r="ASN12">
        <v>99.864999999999995</v>
      </c>
      <c r="ASO12">
        <v>99.87</v>
      </c>
      <c r="ASP12">
        <v>99.87</v>
      </c>
      <c r="ASQ12">
        <v>99.855000000000004</v>
      </c>
      <c r="ASR12">
        <v>99.86</v>
      </c>
      <c r="ASS12">
        <v>99.86</v>
      </c>
      <c r="AST12">
        <v>99.86</v>
      </c>
      <c r="ASU12">
        <v>99.88</v>
      </c>
      <c r="ASV12">
        <v>99.885000000000005</v>
      </c>
      <c r="ASW12">
        <v>99.88</v>
      </c>
      <c r="ASX12">
        <v>99.88</v>
      </c>
      <c r="ASY12">
        <v>99.875</v>
      </c>
      <c r="ASZ12">
        <v>99.87</v>
      </c>
      <c r="ATA12">
        <v>99.885000000000005</v>
      </c>
      <c r="ATB12">
        <v>99.88</v>
      </c>
      <c r="ATC12">
        <v>99.88</v>
      </c>
      <c r="ATD12">
        <v>99.885000000000005</v>
      </c>
      <c r="ATE12">
        <v>99.875</v>
      </c>
      <c r="ATF12">
        <v>99.875</v>
      </c>
      <c r="ATG12">
        <v>99.88</v>
      </c>
      <c r="ATH12">
        <v>99.864999999999995</v>
      </c>
      <c r="ATI12">
        <v>99.864999999999995</v>
      </c>
      <c r="ATJ12">
        <v>99.875</v>
      </c>
      <c r="ATK12">
        <v>99.92</v>
      </c>
      <c r="ATL12">
        <v>99.924999999999997</v>
      </c>
      <c r="ATM12">
        <v>99.944999999999993</v>
      </c>
      <c r="ATN12">
        <v>99.915000000000006</v>
      </c>
      <c r="ATO12">
        <v>99.924999999999997</v>
      </c>
      <c r="ATP12">
        <v>99.92</v>
      </c>
      <c r="ATQ12">
        <v>99.924999999999997</v>
      </c>
      <c r="ATR12">
        <v>99.935000000000002</v>
      </c>
      <c r="ATS12">
        <v>99.935000000000002</v>
      </c>
      <c r="ATT12">
        <v>99.93</v>
      </c>
      <c r="ATU12">
        <v>99.92</v>
      </c>
      <c r="ATV12">
        <v>99.91</v>
      </c>
      <c r="ATW12">
        <v>99.92</v>
      </c>
      <c r="ATX12">
        <v>99.92</v>
      </c>
      <c r="ATY12">
        <v>99.93</v>
      </c>
      <c r="ATZ12">
        <v>99.94</v>
      </c>
      <c r="AUA12">
        <v>99.935000000000002</v>
      </c>
      <c r="AUB12">
        <v>99.94</v>
      </c>
      <c r="AUC12">
        <v>99.935000000000002</v>
      </c>
      <c r="AUD12">
        <v>99.92</v>
      </c>
      <c r="AUE12">
        <v>99.915000000000006</v>
      </c>
      <c r="AUF12">
        <v>99.924999999999997</v>
      </c>
      <c r="AUG12">
        <v>99.92</v>
      </c>
      <c r="AUH12">
        <v>99.944999999999993</v>
      </c>
      <c r="AUI12">
        <v>99.944999999999993</v>
      </c>
      <c r="AUJ12">
        <v>99.965000000000003</v>
      </c>
      <c r="AUK12">
        <v>99.965000000000003</v>
      </c>
      <c r="AUL12">
        <v>99.965000000000003</v>
      </c>
      <c r="AUM12">
        <v>99.97</v>
      </c>
      <c r="AUN12">
        <v>99.97</v>
      </c>
      <c r="AUO12">
        <v>99.98</v>
      </c>
      <c r="AUP12">
        <v>99.98</v>
      </c>
      <c r="AUQ12">
        <v>99.984999999999999</v>
      </c>
      <c r="AUR12">
        <v>99.984999999999999</v>
      </c>
      <c r="AUS12">
        <v>99.974999999999994</v>
      </c>
      <c r="AUT12">
        <v>99.965000000000003</v>
      </c>
      <c r="AUU12">
        <v>99.98</v>
      </c>
      <c r="AUV12">
        <v>99.974999999999994</v>
      </c>
      <c r="AUW12">
        <v>100.005</v>
      </c>
      <c r="AUX12">
        <v>100.01</v>
      </c>
      <c r="AUY12">
        <v>100.015</v>
      </c>
      <c r="AUZ12">
        <v>99.99</v>
      </c>
      <c r="AVA12">
        <v>99.984999999999999</v>
      </c>
      <c r="AVB12">
        <v>99.99</v>
      </c>
      <c r="AVC12">
        <v>99.98</v>
      </c>
      <c r="AVD12">
        <v>99.98</v>
      </c>
      <c r="AVE12">
        <v>100.01</v>
      </c>
      <c r="AVF12">
        <v>100</v>
      </c>
      <c r="AVG12">
        <v>100.01</v>
      </c>
      <c r="AVH12">
        <v>100.005</v>
      </c>
      <c r="AVI12">
        <v>100</v>
      </c>
      <c r="AVJ12">
        <v>99.98</v>
      </c>
      <c r="AVK12">
        <v>99.99</v>
      </c>
      <c r="AVL12">
        <v>99.995000000000005</v>
      </c>
      <c r="AVM12">
        <v>100.005</v>
      </c>
      <c r="AVN12">
        <v>100</v>
      </c>
      <c r="AVO12">
        <v>100.01</v>
      </c>
      <c r="AVP12">
        <v>100.01</v>
      </c>
      <c r="AVQ12">
        <v>100</v>
      </c>
      <c r="AVR12">
        <v>99.984999999999999</v>
      </c>
      <c r="AVS12">
        <v>99.974999999999994</v>
      </c>
      <c r="AVT12">
        <v>99.974999999999994</v>
      </c>
      <c r="AVU12">
        <v>99.98</v>
      </c>
      <c r="AVV12">
        <v>99.98</v>
      </c>
      <c r="AVW12">
        <v>100.015</v>
      </c>
      <c r="AVX12">
        <v>100.02500000000001</v>
      </c>
      <c r="AVY12">
        <v>100.045</v>
      </c>
      <c r="AVZ12">
        <v>100.05</v>
      </c>
      <c r="AWA12">
        <v>100.06</v>
      </c>
      <c r="AWB12">
        <v>100.05</v>
      </c>
      <c r="AWC12">
        <v>100.045</v>
      </c>
      <c r="AWD12">
        <v>100.04</v>
      </c>
      <c r="AWE12">
        <v>100.02</v>
      </c>
      <c r="AWF12">
        <v>100.01</v>
      </c>
      <c r="AWG12">
        <v>100.005</v>
      </c>
      <c r="AWH12">
        <v>100.015</v>
      </c>
      <c r="AWI12">
        <v>100.02</v>
      </c>
      <c r="AWJ12">
        <v>100.02</v>
      </c>
      <c r="AWK12">
        <v>100.015</v>
      </c>
      <c r="AWL12">
        <v>100.01</v>
      </c>
      <c r="AWM12">
        <v>100.005</v>
      </c>
      <c r="AWN12">
        <v>100.005</v>
      </c>
      <c r="AWO12">
        <v>100</v>
      </c>
      <c r="AWP12">
        <v>100.01</v>
      </c>
      <c r="AWQ12">
        <v>100.01</v>
      </c>
      <c r="AWR12">
        <v>100.01</v>
      </c>
      <c r="AWS12">
        <v>100.02500000000001</v>
      </c>
      <c r="AWT12">
        <v>100.01</v>
      </c>
      <c r="AWU12">
        <v>100.005</v>
      </c>
      <c r="AWV12">
        <v>100</v>
      </c>
      <c r="AWW12">
        <v>100</v>
      </c>
      <c r="AWX12">
        <v>100</v>
      </c>
      <c r="AWY12">
        <v>99.99</v>
      </c>
      <c r="AWZ12">
        <v>100.01</v>
      </c>
      <c r="AXA12">
        <v>100.01</v>
      </c>
      <c r="AXB12">
        <v>100</v>
      </c>
      <c r="AXC12">
        <v>99.98</v>
      </c>
      <c r="AXD12">
        <v>99.98</v>
      </c>
      <c r="AXE12">
        <v>99.98</v>
      </c>
      <c r="AXF12">
        <v>99.974999999999994</v>
      </c>
      <c r="AXG12">
        <v>99.965000000000003</v>
      </c>
      <c r="AXH12">
        <v>99.944999999999993</v>
      </c>
      <c r="AXI12">
        <v>99.94</v>
      </c>
      <c r="AXJ12">
        <v>99.944999999999993</v>
      </c>
      <c r="AXK12">
        <v>99.96</v>
      </c>
      <c r="AXL12">
        <v>99.95</v>
      </c>
      <c r="AXM12">
        <v>99.96</v>
      </c>
      <c r="AXN12">
        <v>99.94</v>
      </c>
      <c r="AXO12">
        <v>99.89</v>
      </c>
      <c r="AXP12">
        <v>99.855000000000004</v>
      </c>
      <c r="AXQ12">
        <v>99.85</v>
      </c>
      <c r="AXR12">
        <v>99.915000000000006</v>
      </c>
      <c r="AXS12">
        <v>99.924999999999997</v>
      </c>
      <c r="AXT12">
        <v>99.96</v>
      </c>
      <c r="AXU12">
        <v>99.965000000000003</v>
      </c>
      <c r="AXV12">
        <v>99.954999999999998</v>
      </c>
      <c r="AXW12">
        <v>99.935000000000002</v>
      </c>
      <c r="AXX12">
        <v>99.94</v>
      </c>
      <c r="AXY12">
        <v>99.944999999999993</v>
      </c>
      <c r="AXZ12">
        <v>99.95</v>
      </c>
      <c r="AYA12">
        <v>99.95</v>
      </c>
      <c r="AYB12">
        <v>99.944999999999993</v>
      </c>
      <c r="AYC12">
        <v>99.944999999999993</v>
      </c>
      <c r="AYD12">
        <v>99.944999999999993</v>
      </c>
      <c r="AYE12">
        <v>99.944999999999993</v>
      </c>
      <c r="AYF12">
        <v>99.98</v>
      </c>
      <c r="AYG12">
        <v>99.97</v>
      </c>
      <c r="AYH12">
        <v>99.96</v>
      </c>
      <c r="AYI12">
        <v>99.94</v>
      </c>
      <c r="AYJ12">
        <v>99.935000000000002</v>
      </c>
      <c r="AYK12">
        <v>99.954999999999998</v>
      </c>
      <c r="AYL12">
        <v>99.965000000000003</v>
      </c>
      <c r="AYM12">
        <v>99.91</v>
      </c>
      <c r="AYN12">
        <v>99.89</v>
      </c>
      <c r="AYO12">
        <v>99.89</v>
      </c>
      <c r="AYP12">
        <v>99.875</v>
      </c>
      <c r="AYQ12">
        <v>99.88</v>
      </c>
      <c r="AYR12">
        <v>99.87</v>
      </c>
      <c r="AYS12">
        <v>99.855000000000004</v>
      </c>
      <c r="AYT12">
        <v>99.85</v>
      </c>
      <c r="AYU12">
        <v>99.86</v>
      </c>
      <c r="AYV12">
        <v>99.86</v>
      </c>
      <c r="AYW12">
        <v>99.855000000000004</v>
      </c>
      <c r="AYX12">
        <v>99.864999999999995</v>
      </c>
      <c r="AYY12">
        <v>99.844999999999999</v>
      </c>
      <c r="AYZ12">
        <v>99.834999999999994</v>
      </c>
      <c r="AZA12">
        <v>99.82</v>
      </c>
      <c r="AZB12">
        <v>99.82</v>
      </c>
      <c r="AZC12">
        <v>99.79</v>
      </c>
      <c r="AZD12">
        <v>99.775000000000006</v>
      </c>
      <c r="AZE12">
        <v>99.784999999999997</v>
      </c>
      <c r="AZF12">
        <v>99.784999999999997</v>
      </c>
      <c r="AZG12">
        <v>99.765000000000001</v>
      </c>
      <c r="AZH12">
        <v>99.75</v>
      </c>
      <c r="AZI12">
        <v>99.795000000000002</v>
      </c>
      <c r="AZJ12">
        <v>99.855000000000004</v>
      </c>
      <c r="AZK12">
        <v>99.85</v>
      </c>
      <c r="AZL12">
        <v>99.864999999999995</v>
      </c>
      <c r="AZM12">
        <v>99.84</v>
      </c>
      <c r="AZN12">
        <v>99.87</v>
      </c>
      <c r="AZO12">
        <v>99.825000000000003</v>
      </c>
      <c r="AZP12">
        <v>99.805000000000007</v>
      </c>
      <c r="AZQ12">
        <v>99.775000000000006</v>
      </c>
      <c r="AZR12">
        <v>99.77</v>
      </c>
      <c r="AZS12">
        <v>99.83</v>
      </c>
      <c r="AZT12">
        <v>99.75</v>
      </c>
      <c r="AZU12">
        <v>99.69</v>
      </c>
      <c r="AZV12">
        <v>99.584999999999994</v>
      </c>
      <c r="AZW12">
        <v>99.754999999999995</v>
      </c>
      <c r="AZX12">
        <v>99.805000000000007</v>
      </c>
      <c r="AZY12">
        <v>99.73</v>
      </c>
      <c r="AZZ12">
        <v>99.745000000000005</v>
      </c>
      <c r="BAA12">
        <v>99.674999999999997</v>
      </c>
      <c r="BAB12">
        <v>99.655000000000001</v>
      </c>
      <c r="BAC12">
        <v>99.765000000000001</v>
      </c>
      <c r="BAD12">
        <v>99.69</v>
      </c>
      <c r="BAE12">
        <v>99.605000000000004</v>
      </c>
      <c r="BAF12">
        <v>99.55</v>
      </c>
      <c r="BAG12">
        <v>99.484999999999999</v>
      </c>
      <c r="BAH12">
        <v>99.415000000000006</v>
      </c>
      <c r="BAI12">
        <v>99.415000000000006</v>
      </c>
      <c r="BAJ12">
        <v>99.21</v>
      </c>
      <c r="BAK12">
        <v>99.144999999999996</v>
      </c>
      <c r="BAL12">
        <v>99.155000000000001</v>
      </c>
      <c r="BAM12">
        <v>99.1</v>
      </c>
      <c r="BAN12">
        <v>98.99</v>
      </c>
      <c r="BAO12">
        <v>98.924999999999997</v>
      </c>
      <c r="BAP12">
        <v>98.88</v>
      </c>
      <c r="BAQ12">
        <v>98.905000000000001</v>
      </c>
      <c r="BAR12">
        <v>98.875</v>
      </c>
      <c r="BAS12">
        <v>98.875</v>
      </c>
      <c r="BAT12">
        <v>98.84</v>
      </c>
      <c r="BAU12">
        <v>98.84</v>
      </c>
      <c r="BAV12">
        <v>98.88</v>
      </c>
      <c r="BAW12">
        <v>98.91</v>
      </c>
      <c r="BAX12">
        <v>98.875</v>
      </c>
      <c r="BAY12">
        <v>98.82</v>
      </c>
      <c r="BAZ12">
        <v>98.84</v>
      </c>
      <c r="BBA12">
        <v>98.88</v>
      </c>
      <c r="BBB12">
        <v>98.965000000000003</v>
      </c>
      <c r="BBC12">
        <v>98.98</v>
      </c>
      <c r="BBD12">
        <v>98.924999999999997</v>
      </c>
      <c r="BBE12">
        <v>98.88</v>
      </c>
      <c r="BBF12">
        <v>98.83</v>
      </c>
      <c r="BBG12">
        <v>98.864999999999995</v>
      </c>
      <c r="BBH12">
        <v>98.78</v>
      </c>
      <c r="BBI12">
        <v>98.724999999999994</v>
      </c>
      <c r="BBJ12">
        <v>98.704999999999998</v>
      </c>
      <c r="BBK12">
        <v>98.69</v>
      </c>
      <c r="BBL12">
        <v>98.635000000000005</v>
      </c>
      <c r="BBM12">
        <v>98.635000000000005</v>
      </c>
      <c r="BBN12">
        <v>98.65</v>
      </c>
      <c r="BBO12">
        <v>98.66</v>
      </c>
      <c r="BBP12">
        <v>98.65</v>
      </c>
      <c r="BBQ12">
        <v>98.635000000000005</v>
      </c>
      <c r="BBR12">
        <v>98.64</v>
      </c>
      <c r="BBS12">
        <v>98.625</v>
      </c>
      <c r="BBT12">
        <v>98.62</v>
      </c>
      <c r="BBU12">
        <v>98.665000000000006</v>
      </c>
      <c r="BBV12">
        <v>98.674999999999997</v>
      </c>
      <c r="BBW12">
        <v>98.68</v>
      </c>
      <c r="BBX12">
        <v>98.59</v>
      </c>
      <c r="BBY12">
        <v>98.58</v>
      </c>
      <c r="BBZ12">
        <v>98.58</v>
      </c>
      <c r="BCA12">
        <v>98.584999999999994</v>
      </c>
      <c r="BCB12">
        <v>98.584999999999994</v>
      </c>
      <c r="BCC12">
        <v>98.545000000000002</v>
      </c>
      <c r="BCD12">
        <v>98.545000000000002</v>
      </c>
      <c r="BCE12">
        <v>98.545000000000002</v>
      </c>
      <c r="BCF12">
        <v>98.525000000000006</v>
      </c>
      <c r="BCG12">
        <v>98.564999999999998</v>
      </c>
      <c r="BCH12">
        <v>98.58</v>
      </c>
      <c r="BCI12">
        <v>98.555000000000007</v>
      </c>
      <c r="BCJ12">
        <v>98.594999999999999</v>
      </c>
      <c r="BCK12">
        <v>98.594999999999999</v>
      </c>
      <c r="BCL12">
        <v>98.67</v>
      </c>
      <c r="BCM12">
        <v>98.59</v>
      </c>
      <c r="BCN12">
        <v>98.674999999999997</v>
      </c>
      <c r="BCO12">
        <v>98.635000000000005</v>
      </c>
      <c r="BCP12">
        <v>98.65</v>
      </c>
      <c r="BCQ12">
        <v>98.66</v>
      </c>
      <c r="BCR12">
        <v>98.72</v>
      </c>
      <c r="BCS12">
        <v>98.734999999999999</v>
      </c>
      <c r="BCT12">
        <v>98.81</v>
      </c>
      <c r="BCU12">
        <v>98.69</v>
      </c>
      <c r="BCV12">
        <v>98.724999999999994</v>
      </c>
      <c r="BCW12">
        <v>98.715000000000003</v>
      </c>
      <c r="BCX12">
        <v>98.715000000000003</v>
      </c>
      <c r="BCY12">
        <v>98.754999999999995</v>
      </c>
      <c r="BCZ12">
        <v>98.745000000000005</v>
      </c>
      <c r="BDA12">
        <v>98.73</v>
      </c>
      <c r="BDB12">
        <v>98.75</v>
      </c>
      <c r="BDC12">
        <v>98.78</v>
      </c>
      <c r="BDD12">
        <v>98.745000000000005</v>
      </c>
      <c r="BDE12">
        <v>98.72</v>
      </c>
      <c r="BDF12">
        <v>98.694999999999993</v>
      </c>
      <c r="BDG12">
        <v>98.704999999999998</v>
      </c>
      <c r="BDH12">
        <v>98.655000000000001</v>
      </c>
      <c r="BDI12">
        <v>98.605000000000004</v>
      </c>
      <c r="BDJ12">
        <v>98.57</v>
      </c>
      <c r="BDK12">
        <v>98.58</v>
      </c>
      <c r="BDL12">
        <v>98.564999999999998</v>
      </c>
      <c r="BDM12">
        <v>98.674999999999997</v>
      </c>
      <c r="BDN12">
        <v>98.644999999999996</v>
      </c>
      <c r="BDO12">
        <v>98.704999999999998</v>
      </c>
      <c r="BDP12">
        <v>98.754999999999995</v>
      </c>
      <c r="BDQ12">
        <v>98.825000000000003</v>
      </c>
      <c r="BDR12">
        <v>98.7</v>
      </c>
      <c r="BDS12">
        <v>98.68</v>
      </c>
      <c r="BDT12">
        <v>98.685000000000002</v>
      </c>
      <c r="BDU12">
        <v>98.715000000000003</v>
      </c>
      <c r="BDV12">
        <v>98.76</v>
      </c>
      <c r="BDW12">
        <v>98.77</v>
      </c>
      <c r="BDX12">
        <v>98.75</v>
      </c>
      <c r="BDY12">
        <v>98.724999999999994</v>
      </c>
      <c r="BDZ12">
        <v>98.76</v>
      </c>
      <c r="BEA12">
        <v>98.734999999999999</v>
      </c>
      <c r="BEB12">
        <v>98.76</v>
      </c>
      <c r="BEC12">
        <v>98.72</v>
      </c>
      <c r="BED12">
        <v>98.77</v>
      </c>
      <c r="BEE12">
        <v>98.75</v>
      </c>
      <c r="BEF12">
        <v>98.88</v>
      </c>
      <c r="BEG12">
        <v>98.944999999999993</v>
      </c>
      <c r="BEH12">
        <v>99</v>
      </c>
      <c r="BEI12">
        <v>98.95</v>
      </c>
      <c r="BEJ12">
        <v>99.02</v>
      </c>
      <c r="BEK12">
        <v>99.03</v>
      </c>
      <c r="BEL12">
        <v>98.93</v>
      </c>
      <c r="BEM12">
        <v>98.855000000000004</v>
      </c>
      <c r="BEN12">
        <v>98.784999999999997</v>
      </c>
      <c r="BEO12">
        <v>98.795000000000002</v>
      </c>
      <c r="BEP12">
        <v>98.784999999999997</v>
      </c>
      <c r="BEQ12">
        <v>98.77</v>
      </c>
      <c r="BER12">
        <v>98.87</v>
      </c>
      <c r="BES12">
        <v>98.775000000000006</v>
      </c>
      <c r="BET12">
        <v>98.734999999999999</v>
      </c>
      <c r="BEU12">
        <v>98.75</v>
      </c>
      <c r="BEV12">
        <v>98.715000000000003</v>
      </c>
      <c r="BEW12">
        <v>98.734999999999999</v>
      </c>
      <c r="BEX12">
        <v>98.694999999999993</v>
      </c>
      <c r="BEY12">
        <v>98.635000000000005</v>
      </c>
      <c r="BEZ12">
        <v>98.73</v>
      </c>
      <c r="BFA12">
        <v>98.814999999999998</v>
      </c>
      <c r="BFB12">
        <v>98.84</v>
      </c>
      <c r="BFC12">
        <v>98.94</v>
      </c>
      <c r="BFD12">
        <v>99.015000000000001</v>
      </c>
      <c r="BFE12">
        <v>99.02</v>
      </c>
      <c r="BFF12">
        <v>99.15</v>
      </c>
      <c r="BFG12">
        <v>99.11</v>
      </c>
      <c r="BFH12">
        <v>99.03</v>
      </c>
      <c r="BFI12">
        <v>99.03</v>
      </c>
      <c r="BFJ12">
        <v>99.004999999999995</v>
      </c>
      <c r="BFK12">
        <v>99.045000000000002</v>
      </c>
      <c r="BFL12">
        <v>99</v>
      </c>
      <c r="BFM12">
        <v>98.954999999999998</v>
      </c>
      <c r="BFN12">
        <v>98.98</v>
      </c>
      <c r="BFO12">
        <v>98.875</v>
      </c>
      <c r="BFP12">
        <v>98.905000000000001</v>
      </c>
      <c r="BFQ12">
        <v>98.94</v>
      </c>
      <c r="BFR12">
        <v>98.9</v>
      </c>
      <c r="BFS12">
        <v>98.96</v>
      </c>
      <c r="BFT12">
        <v>98.954999999999998</v>
      </c>
      <c r="BFU12">
        <v>98.885000000000005</v>
      </c>
      <c r="BFV12">
        <v>98.8</v>
      </c>
      <c r="BFW12">
        <v>98.905000000000001</v>
      </c>
      <c r="BFX12">
        <v>98.825000000000003</v>
      </c>
      <c r="BFY12">
        <v>98.87</v>
      </c>
      <c r="BFZ12">
        <v>98.944999999999993</v>
      </c>
      <c r="BGA12">
        <v>98.85</v>
      </c>
      <c r="BGB12">
        <v>98.915000000000006</v>
      </c>
      <c r="BGC12">
        <v>98.7</v>
      </c>
      <c r="BGD12">
        <v>98.68</v>
      </c>
      <c r="BGE12">
        <v>98.49</v>
      </c>
      <c r="BGF12">
        <v>98.534999999999997</v>
      </c>
      <c r="BGG12">
        <v>98.545000000000002</v>
      </c>
      <c r="BGH12">
        <v>98.525000000000006</v>
      </c>
      <c r="BGI12">
        <v>98.55</v>
      </c>
      <c r="BGJ12">
        <v>98.575000000000003</v>
      </c>
      <c r="BGK12">
        <v>98.57</v>
      </c>
      <c r="BGL12">
        <v>98.6</v>
      </c>
      <c r="BGM12">
        <v>98.58</v>
      </c>
      <c r="BGN12">
        <v>98.63</v>
      </c>
      <c r="BGO12">
        <v>98.545000000000002</v>
      </c>
      <c r="BGP12">
        <v>98.49</v>
      </c>
      <c r="BGQ12">
        <v>98.52</v>
      </c>
      <c r="BGR12">
        <v>98.515000000000001</v>
      </c>
      <c r="BGS12">
        <v>98.5</v>
      </c>
      <c r="BGT12">
        <v>98.55</v>
      </c>
      <c r="BGU12">
        <v>98.51</v>
      </c>
      <c r="BGV12">
        <v>98.53</v>
      </c>
      <c r="BGW12">
        <v>98.525000000000006</v>
      </c>
      <c r="BGX12">
        <v>98.61</v>
      </c>
      <c r="BGY12">
        <v>98.61</v>
      </c>
      <c r="BGZ12">
        <v>98.605000000000004</v>
      </c>
      <c r="BHA12">
        <v>98.555000000000007</v>
      </c>
      <c r="BHB12">
        <v>98.6</v>
      </c>
      <c r="BHC12">
        <v>98.614999999999995</v>
      </c>
      <c r="BHD12">
        <v>98.584999999999994</v>
      </c>
      <c r="BHE12">
        <v>98.67</v>
      </c>
      <c r="BHF12">
        <v>98.644999999999996</v>
      </c>
      <c r="BHG12">
        <v>98.594999999999999</v>
      </c>
      <c r="BHH12">
        <v>98.65</v>
      </c>
      <c r="BHI12">
        <v>98.655000000000001</v>
      </c>
      <c r="BHJ12">
        <v>98.57</v>
      </c>
      <c r="BHK12">
        <v>98.57</v>
      </c>
      <c r="BHL12">
        <v>98.59</v>
      </c>
      <c r="BHM12">
        <v>98.594999999999999</v>
      </c>
      <c r="BHN12">
        <v>98.525000000000006</v>
      </c>
      <c r="BHO12">
        <v>98.474999999999994</v>
      </c>
      <c r="BHP12">
        <v>98.474999999999994</v>
      </c>
      <c r="BHQ12">
        <v>98.52</v>
      </c>
      <c r="BHR12">
        <v>98.504999999999995</v>
      </c>
      <c r="BHS12">
        <v>98.58</v>
      </c>
      <c r="BHT12">
        <v>98.56</v>
      </c>
      <c r="BHU12">
        <v>98.605000000000004</v>
      </c>
      <c r="BHV12">
        <v>98.51</v>
      </c>
      <c r="BHW12">
        <v>98.37</v>
      </c>
      <c r="BHX12">
        <v>98.375</v>
      </c>
      <c r="BHY12">
        <v>98.34</v>
      </c>
      <c r="BHZ12">
        <v>98.28</v>
      </c>
      <c r="BIA12">
        <v>98.28</v>
      </c>
      <c r="BIB12">
        <v>98.31</v>
      </c>
      <c r="BIC12">
        <v>98.174999999999997</v>
      </c>
      <c r="BID12">
        <v>98.14</v>
      </c>
      <c r="BIE12">
        <v>98.17</v>
      </c>
      <c r="BIF12">
        <v>98.194999999999993</v>
      </c>
      <c r="BIG12">
        <v>98.185000000000002</v>
      </c>
      <c r="BIH12">
        <v>98.23</v>
      </c>
      <c r="BII12">
        <v>98.18</v>
      </c>
      <c r="BIJ12">
        <v>98.19</v>
      </c>
      <c r="BIK12">
        <v>98.114999999999995</v>
      </c>
      <c r="BIL12">
        <v>98.1</v>
      </c>
      <c r="BIM12">
        <v>98.064999999999998</v>
      </c>
      <c r="BIN12">
        <v>98.094999999999999</v>
      </c>
      <c r="BIO12">
        <v>98.04</v>
      </c>
      <c r="BIP12">
        <v>98</v>
      </c>
      <c r="BIQ12">
        <v>97.995000000000005</v>
      </c>
      <c r="BIR12">
        <v>98.055000000000007</v>
      </c>
      <c r="BIS12">
        <v>98.094999999999999</v>
      </c>
      <c r="BIT12">
        <v>98.07</v>
      </c>
      <c r="BIU12">
        <v>98.075000000000003</v>
      </c>
      <c r="BIV12">
        <v>98.025000000000006</v>
      </c>
      <c r="BIW12">
        <v>98.04</v>
      </c>
      <c r="BIX12">
        <v>97.984999999999999</v>
      </c>
      <c r="BIY12">
        <v>97.965000000000003</v>
      </c>
      <c r="BIZ12">
        <v>97.965000000000003</v>
      </c>
      <c r="BJA12">
        <v>97.965000000000003</v>
      </c>
      <c r="BJB12">
        <v>97.94</v>
      </c>
      <c r="BJC12">
        <v>97.935000000000002</v>
      </c>
      <c r="BJD12">
        <v>97.965000000000003</v>
      </c>
      <c r="BJE12">
        <v>97.96</v>
      </c>
      <c r="BJF12">
        <v>98.034999999999997</v>
      </c>
      <c r="BJG12">
        <v>98.07</v>
      </c>
      <c r="BJH12">
        <v>98.034999999999997</v>
      </c>
      <c r="BJI12">
        <v>98</v>
      </c>
      <c r="BJJ12">
        <v>98.01</v>
      </c>
      <c r="BJK12">
        <v>98.02</v>
      </c>
      <c r="BJL12">
        <v>98.03</v>
      </c>
      <c r="BJM12">
        <v>98.05</v>
      </c>
      <c r="BJN12">
        <v>98.04</v>
      </c>
      <c r="BJO12">
        <v>98.12</v>
      </c>
      <c r="BJP12">
        <v>98.194999999999993</v>
      </c>
      <c r="BJQ12">
        <v>98.23</v>
      </c>
      <c r="BJR12">
        <v>98.18</v>
      </c>
      <c r="BJS12">
        <v>98.21</v>
      </c>
      <c r="BJT12">
        <v>98.105000000000004</v>
      </c>
      <c r="BJU12">
        <v>97.99</v>
      </c>
      <c r="BJV12">
        <v>97.97</v>
      </c>
      <c r="BJW12">
        <v>97.864999999999995</v>
      </c>
      <c r="BJX12">
        <v>97.88</v>
      </c>
      <c r="BJY12">
        <v>97.885000000000005</v>
      </c>
      <c r="BJZ12">
        <v>97.855000000000004</v>
      </c>
      <c r="BKA12">
        <v>97.86</v>
      </c>
      <c r="BKB12">
        <v>97.844999999999999</v>
      </c>
      <c r="BKC12">
        <v>97.814999999999998</v>
      </c>
      <c r="BKD12">
        <v>97.825000000000003</v>
      </c>
      <c r="BKE12">
        <v>97.81</v>
      </c>
      <c r="BKF12">
        <v>97.734999999999999</v>
      </c>
      <c r="BKG12">
        <v>97.7</v>
      </c>
      <c r="BKH12">
        <v>97.704999999999998</v>
      </c>
      <c r="BKI12">
        <v>97.694999999999993</v>
      </c>
      <c r="BKJ12">
        <v>97.765000000000001</v>
      </c>
      <c r="BKK12">
        <v>97.784999999999997</v>
      </c>
      <c r="BKL12">
        <v>97.81</v>
      </c>
      <c r="BKM12">
        <v>97.78</v>
      </c>
      <c r="BKN12">
        <v>97.784999999999997</v>
      </c>
      <c r="BKO12">
        <v>97.74</v>
      </c>
      <c r="BKP12">
        <v>97.78</v>
      </c>
      <c r="BKQ12">
        <v>97.775000000000006</v>
      </c>
      <c r="BKR12">
        <v>97.76</v>
      </c>
      <c r="BKS12">
        <v>97.76</v>
      </c>
      <c r="BKT12">
        <v>97.77</v>
      </c>
      <c r="BKU12">
        <v>97.73</v>
      </c>
      <c r="BKV12">
        <v>97.79</v>
      </c>
      <c r="BKW12">
        <v>97.82</v>
      </c>
      <c r="BKX12">
        <v>97.844999999999999</v>
      </c>
      <c r="BKY12">
        <v>97.81</v>
      </c>
      <c r="BKZ12">
        <v>97.754999999999995</v>
      </c>
      <c r="BLA12">
        <v>97.745000000000005</v>
      </c>
      <c r="BLB12">
        <v>97.74</v>
      </c>
      <c r="BLC12">
        <v>97.76</v>
      </c>
      <c r="BLD12">
        <v>97.784999999999997</v>
      </c>
      <c r="BLE12">
        <v>97.715000000000003</v>
      </c>
      <c r="BLF12">
        <v>97.665000000000006</v>
      </c>
      <c r="BLG12">
        <v>97.66</v>
      </c>
      <c r="BLH12">
        <v>97.65</v>
      </c>
      <c r="BLI12">
        <v>97.674999999999997</v>
      </c>
      <c r="BLJ12">
        <v>97.66</v>
      </c>
      <c r="BLK12">
        <v>97.665000000000006</v>
      </c>
      <c r="BLL12">
        <v>97.62</v>
      </c>
      <c r="BLM12">
        <v>97.62</v>
      </c>
      <c r="BLN12">
        <v>97.69</v>
      </c>
      <c r="BLO12">
        <v>97.72</v>
      </c>
      <c r="BLP12">
        <v>97.745000000000005</v>
      </c>
      <c r="BLQ12">
        <v>97.734999999999999</v>
      </c>
      <c r="BLR12">
        <v>97.74</v>
      </c>
      <c r="BLS12">
        <v>97.724999999999994</v>
      </c>
      <c r="BLT12">
        <v>97.73</v>
      </c>
      <c r="BLU12">
        <v>97.72</v>
      </c>
      <c r="BLV12">
        <v>97.79</v>
      </c>
      <c r="BLW12">
        <v>97.834999999999994</v>
      </c>
      <c r="BLX12">
        <v>97.9</v>
      </c>
      <c r="BLY12">
        <v>97.715000000000003</v>
      </c>
      <c r="BLZ12">
        <v>97.724999999999994</v>
      </c>
      <c r="BMA12">
        <v>97.724999999999994</v>
      </c>
      <c r="BMB12">
        <v>97.72</v>
      </c>
      <c r="BMC12">
        <v>97.71</v>
      </c>
      <c r="BMD12">
        <v>97.655000000000001</v>
      </c>
      <c r="BME12">
        <v>97.63</v>
      </c>
      <c r="BMF12">
        <v>97.63</v>
      </c>
      <c r="BMG12">
        <v>97.57</v>
      </c>
      <c r="BMH12">
        <v>97.534999999999997</v>
      </c>
      <c r="BMI12">
        <v>97.525000000000006</v>
      </c>
      <c r="BMJ12">
        <v>97.51</v>
      </c>
      <c r="BMK12">
        <v>97.46</v>
      </c>
      <c r="BML12">
        <v>97.424999999999997</v>
      </c>
      <c r="BMM12">
        <v>97.394999999999996</v>
      </c>
      <c r="BMN12">
        <v>97.4</v>
      </c>
      <c r="BMO12">
        <v>97.435000000000002</v>
      </c>
      <c r="BMP12">
        <v>97.474999999999994</v>
      </c>
      <c r="BMQ12">
        <v>97.44</v>
      </c>
      <c r="BMR12">
        <v>97.4</v>
      </c>
      <c r="BMS12">
        <v>97.295000000000002</v>
      </c>
      <c r="BMT12">
        <v>97.295000000000002</v>
      </c>
      <c r="BMU12">
        <v>97.265000000000001</v>
      </c>
      <c r="BMV12">
        <v>97.284999999999997</v>
      </c>
      <c r="BMW12">
        <v>97.28</v>
      </c>
      <c r="BMX12">
        <v>97.275000000000006</v>
      </c>
      <c r="BMY12">
        <v>97.24</v>
      </c>
      <c r="BMZ12">
        <v>97.224999999999994</v>
      </c>
      <c r="BNA12">
        <v>97.234999999999999</v>
      </c>
      <c r="BNB12">
        <v>97.234999999999999</v>
      </c>
      <c r="BNC12">
        <v>97.234999999999999</v>
      </c>
      <c r="BND12">
        <v>97.24</v>
      </c>
      <c r="BNE12">
        <v>97.245000000000005</v>
      </c>
      <c r="BNF12">
        <v>97.21</v>
      </c>
      <c r="BNG12">
        <v>97.16</v>
      </c>
      <c r="BNH12">
        <v>97.15</v>
      </c>
      <c r="BNI12">
        <v>97.094999999999999</v>
      </c>
      <c r="BNJ12">
        <v>97.075000000000003</v>
      </c>
      <c r="BNK12">
        <v>97.055000000000007</v>
      </c>
      <c r="BNL12">
        <v>97.04</v>
      </c>
      <c r="BNM12">
        <v>97.075000000000003</v>
      </c>
      <c r="BNN12">
        <v>97.084999999999994</v>
      </c>
      <c r="BNO12">
        <v>97.094999999999999</v>
      </c>
      <c r="BNP12">
        <v>97.1</v>
      </c>
      <c r="BNQ12">
        <v>97.144999999999996</v>
      </c>
      <c r="BNR12">
        <v>97.135000000000005</v>
      </c>
      <c r="BNS12">
        <v>97.17</v>
      </c>
      <c r="BNT12">
        <v>97.17</v>
      </c>
      <c r="BNU12">
        <v>97.174999999999997</v>
      </c>
      <c r="BNV12">
        <v>97.105000000000004</v>
      </c>
      <c r="BNW12">
        <v>97.105000000000004</v>
      </c>
      <c r="BNX12">
        <v>97.075000000000003</v>
      </c>
      <c r="BNY12">
        <v>97.04</v>
      </c>
      <c r="BNZ12">
        <v>97.034999999999997</v>
      </c>
      <c r="BOA12">
        <v>97.055000000000007</v>
      </c>
      <c r="BOB12">
        <v>97.045000000000002</v>
      </c>
      <c r="BOC12">
        <v>97.045000000000002</v>
      </c>
      <c r="BOD12">
        <v>97.05</v>
      </c>
      <c r="BOE12">
        <v>97.06</v>
      </c>
      <c r="BOF12">
        <v>97.04</v>
      </c>
      <c r="BOG12">
        <v>96.99</v>
      </c>
      <c r="BOH12">
        <v>96.98</v>
      </c>
      <c r="BOI12">
        <v>96.984999999999999</v>
      </c>
      <c r="BOJ12">
        <v>96.99</v>
      </c>
      <c r="BOK12">
        <v>97.015000000000001</v>
      </c>
      <c r="BOL12">
        <v>97.05</v>
      </c>
      <c r="BOM12">
        <v>97.1</v>
      </c>
      <c r="BON12">
        <v>97.09</v>
      </c>
      <c r="BOO12">
        <v>97.09</v>
      </c>
      <c r="BOP12">
        <v>97.07</v>
      </c>
      <c r="BOQ12">
        <v>97.07</v>
      </c>
      <c r="BOR12">
        <v>97.06</v>
      </c>
      <c r="BOS12">
        <v>97.075000000000003</v>
      </c>
      <c r="BOT12">
        <v>97.08</v>
      </c>
      <c r="BOU12">
        <v>97.07</v>
      </c>
      <c r="BOV12">
        <v>97.09</v>
      </c>
      <c r="BOW12">
        <v>97.12</v>
      </c>
      <c r="BOX12">
        <v>97.15</v>
      </c>
      <c r="BOY12">
        <v>97.15</v>
      </c>
      <c r="BOZ12">
        <v>97.185000000000002</v>
      </c>
      <c r="BPA12">
        <v>97.21</v>
      </c>
      <c r="BPB12">
        <v>97.21</v>
      </c>
      <c r="BPC12">
        <v>97.26</v>
      </c>
      <c r="BPD12">
        <v>97.26</v>
      </c>
      <c r="BPE12">
        <v>97.32</v>
      </c>
      <c r="BPF12">
        <v>97.305000000000007</v>
      </c>
      <c r="BPG12">
        <v>97.31</v>
      </c>
      <c r="BPH12">
        <v>97.33</v>
      </c>
      <c r="BPI12">
        <v>97.33</v>
      </c>
      <c r="BPJ12">
        <v>97.3</v>
      </c>
      <c r="BPK12">
        <v>97.29</v>
      </c>
      <c r="BPL12">
        <v>97.305000000000007</v>
      </c>
      <c r="BPM12">
        <v>97.32</v>
      </c>
      <c r="BPN12">
        <v>97.34</v>
      </c>
      <c r="BPO12">
        <v>97.34</v>
      </c>
      <c r="BPP12">
        <v>97.36</v>
      </c>
      <c r="BPQ12">
        <v>97.35</v>
      </c>
      <c r="BPR12">
        <v>97.36</v>
      </c>
      <c r="BPS12">
        <v>97.334999999999994</v>
      </c>
      <c r="BPT12">
        <v>97.33</v>
      </c>
      <c r="BPU12">
        <v>97.35</v>
      </c>
      <c r="BPV12">
        <v>97.314999999999998</v>
      </c>
      <c r="BPW12">
        <v>97.34</v>
      </c>
      <c r="BPX12">
        <v>97.344999999999999</v>
      </c>
      <c r="BPY12">
        <v>97.28</v>
      </c>
      <c r="BPZ12">
        <v>97.265000000000001</v>
      </c>
      <c r="BQA12">
        <v>97.26</v>
      </c>
      <c r="BQB12">
        <v>97.265000000000001</v>
      </c>
      <c r="BQC12">
        <v>97.254999999999995</v>
      </c>
      <c r="BQD12">
        <v>97.245000000000005</v>
      </c>
      <c r="BQE12">
        <v>97.254999999999995</v>
      </c>
      <c r="BQF12">
        <v>97.26</v>
      </c>
      <c r="BQG12">
        <v>97.26</v>
      </c>
      <c r="BQH12">
        <v>97.26</v>
      </c>
      <c r="BQI12">
        <v>97.254999999999995</v>
      </c>
      <c r="BQJ12">
        <v>97.3</v>
      </c>
      <c r="BQK12">
        <v>97.3</v>
      </c>
      <c r="BQL12">
        <v>97.31</v>
      </c>
      <c r="BQM12">
        <v>97.344999999999999</v>
      </c>
      <c r="BQN12">
        <v>97.35</v>
      </c>
      <c r="BQO12">
        <v>97.334999999999994</v>
      </c>
      <c r="BQP12">
        <v>97.34</v>
      </c>
      <c r="BQQ12">
        <v>97.364999999999995</v>
      </c>
      <c r="BQR12">
        <v>97.375</v>
      </c>
      <c r="BQS12">
        <v>97.36</v>
      </c>
      <c r="BQT12">
        <v>97.364999999999995</v>
      </c>
      <c r="BQU12">
        <v>97.36</v>
      </c>
      <c r="BQV12">
        <v>97.37</v>
      </c>
      <c r="BQW12">
        <v>97.38</v>
      </c>
      <c r="BQX12">
        <v>97.36</v>
      </c>
      <c r="BQY12">
        <v>97.375</v>
      </c>
      <c r="BQZ12">
        <v>97.375</v>
      </c>
      <c r="BRA12">
        <v>97.37</v>
      </c>
      <c r="BRB12">
        <v>97.37</v>
      </c>
      <c r="BRC12">
        <v>97.375</v>
      </c>
      <c r="BRD12">
        <v>97.37</v>
      </c>
      <c r="BRE12">
        <v>97.325000000000003</v>
      </c>
      <c r="BRF12">
        <v>97.31</v>
      </c>
      <c r="BRG12">
        <v>97.28</v>
      </c>
      <c r="BRH12">
        <v>97.28</v>
      </c>
      <c r="BRI12">
        <v>97.27</v>
      </c>
      <c r="BRJ12">
        <v>97.275000000000006</v>
      </c>
      <c r="BRK12">
        <v>97.245000000000005</v>
      </c>
      <c r="BRL12">
        <v>97.254999999999995</v>
      </c>
      <c r="BRM12">
        <v>97.24</v>
      </c>
      <c r="BRN12">
        <v>97.24</v>
      </c>
      <c r="BRO12">
        <v>97.275000000000006</v>
      </c>
      <c r="BRP12">
        <v>97.29</v>
      </c>
      <c r="BRQ12">
        <v>97.3</v>
      </c>
      <c r="BRR12">
        <v>97.265000000000001</v>
      </c>
      <c r="BRS12">
        <v>97.254999999999995</v>
      </c>
      <c r="BRT12">
        <v>97.295000000000002</v>
      </c>
      <c r="BRU12">
        <v>97.275000000000006</v>
      </c>
      <c r="BRV12">
        <v>97.314999999999998</v>
      </c>
      <c r="BRW12">
        <v>97.385000000000005</v>
      </c>
      <c r="BRX12">
        <v>97.38</v>
      </c>
      <c r="BRY12">
        <v>97.474999999999994</v>
      </c>
      <c r="BRZ12">
        <v>97.26</v>
      </c>
      <c r="BSA12">
        <v>97.26</v>
      </c>
      <c r="BSB12">
        <v>97.23</v>
      </c>
      <c r="BSC12">
        <v>97.2</v>
      </c>
      <c r="BSD12">
        <v>97.15</v>
      </c>
      <c r="BSE12">
        <v>97.14</v>
      </c>
      <c r="BSF12">
        <v>97.155000000000001</v>
      </c>
      <c r="BSG12">
        <v>97.13</v>
      </c>
      <c r="BSH12">
        <v>97.144999999999996</v>
      </c>
      <c r="BSI12">
        <v>97.155000000000001</v>
      </c>
      <c r="BSJ12">
        <v>97.185000000000002</v>
      </c>
      <c r="BSK12">
        <v>97.19</v>
      </c>
      <c r="BSL12">
        <v>97.204999999999998</v>
      </c>
      <c r="BSM12">
        <v>97.224999999999994</v>
      </c>
      <c r="BSN12">
        <v>97.25</v>
      </c>
      <c r="BSO12">
        <v>97.26</v>
      </c>
      <c r="BSP12">
        <v>97.284999999999997</v>
      </c>
      <c r="BSQ12" t="s">
        <v>6984</v>
      </c>
      <c r="BSR12" t="s">
        <v>6984</v>
      </c>
      <c r="BSS12" t="s">
        <v>6984</v>
      </c>
      <c r="BST12" t="s">
        <v>6984</v>
      </c>
      <c r="BSU12" t="s">
        <v>6984</v>
      </c>
      <c r="BSV12" t="s">
        <v>6984</v>
      </c>
      <c r="BSW12" t="s">
        <v>6984</v>
      </c>
      <c r="BSX12" t="s">
        <v>6984</v>
      </c>
      <c r="BSY12" t="s">
        <v>6984</v>
      </c>
      <c r="BSZ12" t="s">
        <v>6984</v>
      </c>
      <c r="BTA12" t="s">
        <v>6984</v>
      </c>
      <c r="BTB12" t="s">
        <v>6984</v>
      </c>
      <c r="BTC12" t="s">
        <v>6984</v>
      </c>
      <c r="BTD12" t="s">
        <v>6984</v>
      </c>
      <c r="BTE12" t="s">
        <v>6984</v>
      </c>
      <c r="BTF12" t="s">
        <v>6984</v>
      </c>
      <c r="BTG12" t="s">
        <v>6984</v>
      </c>
      <c r="BTH12" t="s">
        <v>6984</v>
      </c>
      <c r="BTI12" t="s">
        <v>6984</v>
      </c>
      <c r="BTJ12" t="s">
        <v>6984</v>
      </c>
      <c r="BTK12" t="s">
        <v>6984</v>
      </c>
      <c r="BTL12" t="s">
        <v>6984</v>
      </c>
      <c r="BTM12" t="s">
        <v>6984</v>
      </c>
      <c r="BTN12" t="s">
        <v>6984</v>
      </c>
      <c r="BTO12" t="s">
        <v>6984</v>
      </c>
      <c r="BTP12" t="s">
        <v>6984</v>
      </c>
      <c r="BTQ12" t="s">
        <v>6984</v>
      </c>
      <c r="BTR12" t="s">
        <v>6984</v>
      </c>
      <c r="BTS12" t="s">
        <v>6984</v>
      </c>
      <c r="BTT12" t="s">
        <v>6984</v>
      </c>
      <c r="BTU12" t="s">
        <v>6984</v>
      </c>
      <c r="BTV12" t="s">
        <v>6984</v>
      </c>
      <c r="BTW12" t="s">
        <v>6984</v>
      </c>
      <c r="BTX12" t="s">
        <v>6984</v>
      </c>
      <c r="BTY12" t="s">
        <v>6984</v>
      </c>
      <c r="BTZ12" t="s">
        <v>6984</v>
      </c>
      <c r="BUA12" t="s">
        <v>6984</v>
      </c>
      <c r="BUB12" t="s">
        <v>6984</v>
      </c>
      <c r="BUC12" t="s">
        <v>6984</v>
      </c>
      <c r="BUD12" t="s">
        <v>6984</v>
      </c>
      <c r="BUE12" t="s">
        <v>6984</v>
      </c>
      <c r="BUF12" t="s">
        <v>6984</v>
      </c>
      <c r="BUG12" t="s">
        <v>6984</v>
      </c>
      <c r="BUH12" t="s">
        <v>6984</v>
      </c>
      <c r="BUI12" t="s">
        <v>6984</v>
      </c>
      <c r="BUJ12" t="s">
        <v>6984</v>
      </c>
      <c r="BUK12" t="s">
        <v>6984</v>
      </c>
      <c r="BUL12" t="s">
        <v>6984</v>
      </c>
      <c r="BUM12" t="s">
        <v>6984</v>
      </c>
      <c r="BUN12" t="s">
        <v>6984</v>
      </c>
      <c r="BUO12" t="s">
        <v>6984</v>
      </c>
      <c r="BUP12" t="s">
        <v>6984</v>
      </c>
      <c r="BUQ12" t="s">
        <v>6984</v>
      </c>
      <c r="BUR12" t="s">
        <v>6984</v>
      </c>
      <c r="BUS12" t="s">
        <v>6984</v>
      </c>
      <c r="BUT12" t="s">
        <v>6984</v>
      </c>
      <c r="BUU12" t="s">
        <v>6984</v>
      </c>
      <c r="BUV12" t="s">
        <v>6984</v>
      </c>
      <c r="BUW12" t="s">
        <v>6984</v>
      </c>
      <c r="BUX12" t="s">
        <v>6984</v>
      </c>
      <c r="BUY12" t="s">
        <v>6984</v>
      </c>
      <c r="BUZ12" t="s">
        <v>6984</v>
      </c>
      <c r="BVA12" t="s">
        <v>6984</v>
      </c>
      <c r="BVB12" t="s">
        <v>6984</v>
      </c>
      <c r="BVC12" t="s">
        <v>6984</v>
      </c>
      <c r="BVD12" t="s">
        <v>6984</v>
      </c>
      <c r="BVE12" t="s">
        <v>6984</v>
      </c>
      <c r="BVF12" t="s">
        <v>6984</v>
      </c>
      <c r="BVG12" t="s">
        <v>6984</v>
      </c>
      <c r="BVH12" t="s">
        <v>6984</v>
      </c>
      <c r="BVI12" t="s">
        <v>6984</v>
      </c>
      <c r="BVJ12" t="s">
        <v>6984</v>
      </c>
      <c r="BVK12" t="s">
        <v>6984</v>
      </c>
      <c r="BVL12" t="s">
        <v>6984</v>
      </c>
      <c r="BVM12" t="s">
        <v>6984</v>
      </c>
      <c r="BVN12" t="s">
        <v>6984</v>
      </c>
      <c r="BVO12" t="s">
        <v>6984</v>
      </c>
      <c r="BVP12" t="s">
        <v>6984</v>
      </c>
      <c r="BVQ12" t="s">
        <v>6984</v>
      </c>
      <c r="BVR12" t="s">
        <v>6984</v>
      </c>
      <c r="BVS12" t="s">
        <v>6984</v>
      </c>
      <c r="BVT12" t="s">
        <v>6984</v>
      </c>
      <c r="BVU12" t="s">
        <v>6984</v>
      </c>
      <c r="BVV12" t="s">
        <v>6984</v>
      </c>
      <c r="BVW12" t="s">
        <v>6984</v>
      </c>
      <c r="BVX12" t="s">
        <v>6984</v>
      </c>
      <c r="BVY12" t="s">
        <v>6984</v>
      </c>
      <c r="BVZ12" t="s">
        <v>6984</v>
      </c>
      <c r="BWA12" t="s">
        <v>6984</v>
      </c>
      <c r="BWB12" t="s">
        <v>6984</v>
      </c>
      <c r="BWC12" t="s">
        <v>6984</v>
      </c>
      <c r="BWD12" t="s">
        <v>6984</v>
      </c>
      <c r="BWE12" t="s">
        <v>6984</v>
      </c>
      <c r="BWF12" t="s">
        <v>6984</v>
      </c>
      <c r="BWG12" t="s">
        <v>6984</v>
      </c>
      <c r="BWH12" t="s">
        <v>6984</v>
      </c>
      <c r="BWI12" t="s">
        <v>6984</v>
      </c>
      <c r="BWJ12" t="s">
        <v>6984</v>
      </c>
      <c r="BWK12" t="s">
        <v>6984</v>
      </c>
      <c r="BWL12" t="s">
        <v>6984</v>
      </c>
      <c r="BWM12" t="s">
        <v>6984</v>
      </c>
      <c r="BWN12" t="s">
        <v>6984</v>
      </c>
      <c r="BWO12" t="s">
        <v>6984</v>
      </c>
      <c r="BWP12" t="s">
        <v>6984</v>
      </c>
      <c r="BWQ12" t="s">
        <v>6984</v>
      </c>
      <c r="BWR12" t="s">
        <v>6984</v>
      </c>
      <c r="BWS12" t="s">
        <v>6984</v>
      </c>
      <c r="BWT12" t="s">
        <v>6984</v>
      </c>
      <c r="BWU12" t="s">
        <v>6984</v>
      </c>
      <c r="BWV12" t="s">
        <v>6984</v>
      </c>
      <c r="BWW12" t="s">
        <v>6984</v>
      </c>
      <c r="BWX12" t="s">
        <v>6984</v>
      </c>
      <c r="BWY12" t="s">
        <v>6984</v>
      </c>
      <c r="BWZ12" t="s">
        <v>6984</v>
      </c>
      <c r="BXA12" t="s">
        <v>6984</v>
      </c>
      <c r="BXB12" t="s">
        <v>6984</v>
      </c>
      <c r="BXC12" t="s">
        <v>6984</v>
      </c>
      <c r="BXD12" t="s">
        <v>6984</v>
      </c>
      <c r="BXE12" t="s">
        <v>6984</v>
      </c>
      <c r="BXF12" t="s">
        <v>6984</v>
      </c>
      <c r="BXG12" t="s">
        <v>6984</v>
      </c>
      <c r="BXH12" t="s">
        <v>6984</v>
      </c>
      <c r="BXI12" t="s">
        <v>6984</v>
      </c>
      <c r="BXJ12" t="s">
        <v>6984</v>
      </c>
      <c r="BXK12" t="s">
        <v>6984</v>
      </c>
      <c r="BXL12" t="s">
        <v>6984</v>
      </c>
      <c r="BXM12" t="s">
        <v>6984</v>
      </c>
      <c r="BXN12" t="s">
        <v>6984</v>
      </c>
      <c r="BXO12" t="s">
        <v>6984</v>
      </c>
      <c r="BXP12" t="s">
        <v>6984</v>
      </c>
      <c r="BXQ12" t="s">
        <v>6984</v>
      </c>
      <c r="BXR12" t="s">
        <v>6984</v>
      </c>
      <c r="BXS12" t="s">
        <v>6984</v>
      </c>
      <c r="BXT12" t="s">
        <v>6984</v>
      </c>
      <c r="BXU12" t="s">
        <v>6984</v>
      </c>
      <c r="BXV12" t="s">
        <v>6984</v>
      </c>
      <c r="BXW12" t="s">
        <v>6984</v>
      </c>
      <c r="BXX12" t="s">
        <v>6984</v>
      </c>
      <c r="BXY12" t="s">
        <v>6984</v>
      </c>
      <c r="BXZ12" t="s">
        <v>6984</v>
      </c>
      <c r="BYA12" t="s">
        <v>6984</v>
      </c>
      <c r="BYB12" t="s">
        <v>6984</v>
      </c>
      <c r="BYC12" t="s">
        <v>6984</v>
      </c>
      <c r="BYD12" t="s">
        <v>6984</v>
      </c>
      <c r="BYE12" t="s">
        <v>6984</v>
      </c>
      <c r="BYF12" t="s">
        <v>6984</v>
      </c>
      <c r="BYG12" t="s">
        <v>6984</v>
      </c>
      <c r="BYH12" t="s">
        <v>6984</v>
      </c>
      <c r="BYI12" t="s">
        <v>6984</v>
      </c>
      <c r="BYJ12" t="s">
        <v>6984</v>
      </c>
      <c r="BYK12" t="s">
        <v>6984</v>
      </c>
      <c r="BYL12" t="s">
        <v>6984</v>
      </c>
      <c r="BYM12" t="s">
        <v>6984</v>
      </c>
      <c r="BYN12" t="s">
        <v>6984</v>
      </c>
      <c r="BYO12" t="s">
        <v>6984</v>
      </c>
      <c r="BYP12" t="s">
        <v>6984</v>
      </c>
      <c r="BYQ12" t="s">
        <v>6984</v>
      </c>
      <c r="BYR12" t="s">
        <v>6984</v>
      </c>
      <c r="BYS12" t="s">
        <v>6984</v>
      </c>
      <c r="BYT12" t="s">
        <v>6984</v>
      </c>
      <c r="BYU12" t="s">
        <v>6984</v>
      </c>
      <c r="BYV12" t="s">
        <v>6984</v>
      </c>
      <c r="BYW12" t="s">
        <v>6984</v>
      </c>
      <c r="BYX12" t="s">
        <v>6984</v>
      </c>
      <c r="BYY12" t="s">
        <v>6984</v>
      </c>
      <c r="BYZ12" t="s">
        <v>6984</v>
      </c>
      <c r="BZA12" t="s">
        <v>6984</v>
      </c>
      <c r="BZB12" t="s">
        <v>6984</v>
      </c>
      <c r="BZC12" t="s">
        <v>6984</v>
      </c>
      <c r="BZD12" t="s">
        <v>6984</v>
      </c>
      <c r="BZE12" t="s">
        <v>6984</v>
      </c>
      <c r="BZF12" t="s">
        <v>6984</v>
      </c>
      <c r="BZG12" t="s">
        <v>6984</v>
      </c>
      <c r="BZH12" t="s">
        <v>6984</v>
      </c>
      <c r="BZI12" t="s">
        <v>6984</v>
      </c>
      <c r="BZJ12" t="s">
        <v>6984</v>
      </c>
      <c r="BZK12" t="s">
        <v>6984</v>
      </c>
      <c r="BZL12" t="s">
        <v>6984</v>
      </c>
      <c r="BZM12" t="s">
        <v>6984</v>
      </c>
      <c r="BZN12" t="s">
        <v>6984</v>
      </c>
      <c r="BZO12" t="s">
        <v>6984</v>
      </c>
      <c r="BZP12" t="s">
        <v>6984</v>
      </c>
      <c r="BZQ12" t="s">
        <v>6984</v>
      </c>
      <c r="BZR12" t="s">
        <v>6984</v>
      </c>
      <c r="BZS12" t="s">
        <v>6984</v>
      </c>
      <c r="BZT12" t="s">
        <v>6984</v>
      </c>
      <c r="BZU12" t="s">
        <v>6984</v>
      </c>
      <c r="BZV12" t="s">
        <v>6984</v>
      </c>
      <c r="BZW12" t="s">
        <v>6984</v>
      </c>
      <c r="BZX12" t="s">
        <v>6984</v>
      </c>
      <c r="BZY12" t="s">
        <v>6984</v>
      </c>
      <c r="BZZ12" t="s">
        <v>6984</v>
      </c>
      <c r="CAA12" t="s">
        <v>6984</v>
      </c>
      <c r="CAB12" t="s">
        <v>6984</v>
      </c>
      <c r="CAC12" t="s">
        <v>6984</v>
      </c>
      <c r="CAD12" t="s">
        <v>6984</v>
      </c>
      <c r="CAE12" t="s">
        <v>6984</v>
      </c>
      <c r="CAF12" t="s">
        <v>6984</v>
      </c>
      <c r="CAG12" t="s">
        <v>6984</v>
      </c>
      <c r="CAH12" t="s">
        <v>6984</v>
      </c>
      <c r="CAI12" t="s">
        <v>6984</v>
      </c>
      <c r="CAJ12" t="s">
        <v>6984</v>
      </c>
      <c r="CAK12" t="s">
        <v>6984</v>
      </c>
      <c r="CAL12" t="s">
        <v>6984</v>
      </c>
      <c r="CAM12" t="s">
        <v>6984</v>
      </c>
      <c r="CAN12" t="s">
        <v>6984</v>
      </c>
      <c r="CAO12" t="s">
        <v>6984</v>
      </c>
      <c r="CAP12" t="s">
        <v>6984</v>
      </c>
      <c r="CAQ12" t="s">
        <v>6984</v>
      </c>
      <c r="CAR12" t="s">
        <v>6984</v>
      </c>
      <c r="CAS12" t="s">
        <v>6984</v>
      </c>
      <c r="CAT12" t="s">
        <v>6984</v>
      </c>
      <c r="CAU12" t="s">
        <v>6984</v>
      </c>
      <c r="CAV12" t="s">
        <v>6984</v>
      </c>
      <c r="CAW12" t="s">
        <v>6984</v>
      </c>
      <c r="CAX12" t="s">
        <v>6984</v>
      </c>
      <c r="CAY12" t="s">
        <v>6984</v>
      </c>
      <c r="CAZ12" t="s">
        <v>6984</v>
      </c>
      <c r="CBA12" t="s">
        <v>6984</v>
      </c>
      <c r="CBB12" t="s">
        <v>6984</v>
      </c>
      <c r="CBC12" t="s">
        <v>6984</v>
      </c>
      <c r="CBD12" t="s">
        <v>6984</v>
      </c>
      <c r="CBE12" t="s">
        <v>6984</v>
      </c>
      <c r="CBF12" t="s">
        <v>6984</v>
      </c>
      <c r="CBG12" t="s">
        <v>6984</v>
      </c>
      <c r="CBH12" t="s">
        <v>6984</v>
      </c>
      <c r="CBI12" t="s">
        <v>6984</v>
      </c>
      <c r="CBJ12" t="s">
        <v>6984</v>
      </c>
      <c r="CBK12" t="s">
        <v>6984</v>
      </c>
      <c r="CBL12" t="s">
        <v>6984</v>
      </c>
      <c r="CBM12" t="s">
        <v>6984</v>
      </c>
      <c r="CBN12" t="s">
        <v>6984</v>
      </c>
      <c r="CBO12" t="s">
        <v>6984</v>
      </c>
      <c r="CBP12" t="s">
        <v>6984</v>
      </c>
      <c r="CBQ12" t="s">
        <v>6984</v>
      </c>
      <c r="CBR12" t="s">
        <v>6984</v>
      </c>
      <c r="CBS12" t="s">
        <v>6984</v>
      </c>
      <c r="CBT12" t="s">
        <v>6984</v>
      </c>
      <c r="CBU12" t="s">
        <v>6984</v>
      </c>
      <c r="CBV12" t="s">
        <v>6984</v>
      </c>
      <c r="CBW12" t="s">
        <v>6984</v>
      </c>
      <c r="CBX12" t="s">
        <v>6984</v>
      </c>
      <c r="CBY12" t="s">
        <v>6984</v>
      </c>
      <c r="CBZ12" t="s">
        <v>6984</v>
      </c>
      <c r="CCA12" t="s">
        <v>6984</v>
      </c>
      <c r="CCB12" t="s">
        <v>6984</v>
      </c>
      <c r="CCC12" t="s">
        <v>6984</v>
      </c>
      <c r="CCD12" t="s">
        <v>6984</v>
      </c>
      <c r="CCE12" t="s">
        <v>6984</v>
      </c>
      <c r="CCF12" t="s">
        <v>6984</v>
      </c>
      <c r="CCG12" t="s">
        <v>6984</v>
      </c>
      <c r="CCH12" t="s">
        <v>6984</v>
      </c>
      <c r="CCI12" t="s">
        <v>6984</v>
      </c>
      <c r="CCJ12" t="s">
        <v>6984</v>
      </c>
      <c r="CCK12" t="s">
        <v>6984</v>
      </c>
      <c r="CCL12" t="s">
        <v>6984</v>
      </c>
      <c r="CCM12" t="s">
        <v>6984</v>
      </c>
      <c r="CCN12" t="s">
        <v>6984</v>
      </c>
      <c r="CCO12" t="s">
        <v>6984</v>
      </c>
      <c r="CCP12" t="s">
        <v>6984</v>
      </c>
      <c r="CCQ12" t="s">
        <v>6984</v>
      </c>
      <c r="CCR12" t="s">
        <v>6984</v>
      </c>
      <c r="CCS12" t="s">
        <v>6984</v>
      </c>
      <c r="CCT12" t="s">
        <v>6984</v>
      </c>
      <c r="CCU12" t="s">
        <v>6984</v>
      </c>
      <c r="CCV12" t="s">
        <v>6984</v>
      </c>
      <c r="CCW12" t="s">
        <v>6984</v>
      </c>
      <c r="CCX12" t="s">
        <v>6984</v>
      </c>
      <c r="CCY12" t="s">
        <v>6984</v>
      </c>
      <c r="CCZ12" t="s">
        <v>6984</v>
      </c>
      <c r="CDA12" t="s">
        <v>6984</v>
      </c>
      <c r="CDB12" t="s">
        <v>6984</v>
      </c>
      <c r="CDC12" t="s">
        <v>6984</v>
      </c>
      <c r="CDD12" t="s">
        <v>6984</v>
      </c>
      <c r="CDE12" t="s">
        <v>6984</v>
      </c>
      <c r="CDF12" t="s">
        <v>6984</v>
      </c>
      <c r="CDG12" t="s">
        <v>6984</v>
      </c>
      <c r="CDH12" t="s">
        <v>6984</v>
      </c>
      <c r="CDI12" t="s">
        <v>6984</v>
      </c>
      <c r="CDJ12" t="s">
        <v>6984</v>
      </c>
      <c r="CDK12" t="s">
        <v>6984</v>
      </c>
      <c r="CDL12" t="s">
        <v>6984</v>
      </c>
      <c r="CDM12" t="s">
        <v>6984</v>
      </c>
      <c r="CDN12" t="s">
        <v>6984</v>
      </c>
      <c r="CDO12" t="s">
        <v>6984</v>
      </c>
      <c r="CDP12" t="s">
        <v>6984</v>
      </c>
      <c r="CDQ12" t="s">
        <v>6984</v>
      </c>
      <c r="CDR12" t="s">
        <v>6984</v>
      </c>
      <c r="CDS12" t="s">
        <v>6984</v>
      </c>
      <c r="CDT12" t="s">
        <v>6984</v>
      </c>
      <c r="CDU12" t="s">
        <v>6984</v>
      </c>
      <c r="CDV12" t="s">
        <v>6984</v>
      </c>
      <c r="CDW12" t="s">
        <v>6984</v>
      </c>
      <c r="CDX12" t="s">
        <v>6984</v>
      </c>
      <c r="CDY12" t="s">
        <v>6984</v>
      </c>
      <c r="CDZ12" t="s">
        <v>6984</v>
      </c>
      <c r="CEA12" t="s">
        <v>6984</v>
      </c>
      <c r="CEB12" t="s">
        <v>6984</v>
      </c>
      <c r="CEC12" t="s">
        <v>6984</v>
      </c>
      <c r="CED12" t="s">
        <v>6984</v>
      </c>
      <c r="CEE12" t="s">
        <v>6984</v>
      </c>
      <c r="CEF12" t="s">
        <v>6984</v>
      </c>
      <c r="CEG12" t="s">
        <v>6984</v>
      </c>
      <c r="CEH12" t="s">
        <v>6984</v>
      </c>
      <c r="CEI12" t="s">
        <v>6984</v>
      </c>
      <c r="CEJ12" t="s">
        <v>6984</v>
      </c>
      <c r="CEK12" t="s">
        <v>6984</v>
      </c>
      <c r="CEL12" t="s">
        <v>6984</v>
      </c>
      <c r="CEM12" t="s">
        <v>6984</v>
      </c>
      <c r="CEN12" t="s">
        <v>6984</v>
      </c>
      <c r="CEO12" t="s">
        <v>6984</v>
      </c>
      <c r="CEP12" t="s">
        <v>6984</v>
      </c>
      <c r="CEQ12" t="s">
        <v>6984</v>
      </c>
      <c r="CER12" t="s">
        <v>6984</v>
      </c>
      <c r="CES12" t="s">
        <v>6984</v>
      </c>
      <c r="CET12" t="s">
        <v>6984</v>
      </c>
      <c r="CEU12" t="s">
        <v>6984</v>
      </c>
      <c r="CEV12" t="s">
        <v>6984</v>
      </c>
      <c r="CEW12" t="s">
        <v>6984</v>
      </c>
      <c r="CEX12" t="s">
        <v>6984</v>
      </c>
      <c r="CEY12" t="s">
        <v>6984</v>
      </c>
      <c r="CEZ12" t="s">
        <v>6984</v>
      </c>
      <c r="CFA12" t="s">
        <v>6984</v>
      </c>
      <c r="CFB12" t="s">
        <v>6984</v>
      </c>
      <c r="CFC12" t="s">
        <v>6984</v>
      </c>
      <c r="CFD12" t="s">
        <v>6984</v>
      </c>
      <c r="CFE12" t="s">
        <v>6984</v>
      </c>
      <c r="CFF12" t="s">
        <v>6984</v>
      </c>
      <c r="CFG12" t="s">
        <v>6984</v>
      </c>
      <c r="CFH12" t="s">
        <v>6984</v>
      </c>
      <c r="CFI12" t="s">
        <v>6984</v>
      </c>
      <c r="CFJ12" t="s">
        <v>6984</v>
      </c>
      <c r="CFK12" t="s">
        <v>6984</v>
      </c>
      <c r="CFL12" t="s">
        <v>6984</v>
      </c>
      <c r="CFM12" t="s">
        <v>6984</v>
      </c>
      <c r="CFN12" t="s">
        <v>6984</v>
      </c>
      <c r="CFO12" t="s">
        <v>6984</v>
      </c>
      <c r="CFP12" t="s">
        <v>6984</v>
      </c>
      <c r="CFQ12" t="s">
        <v>6984</v>
      </c>
      <c r="CFR12" t="s">
        <v>6984</v>
      </c>
      <c r="CFS12" t="s">
        <v>6984</v>
      </c>
      <c r="CFT12" t="s">
        <v>6984</v>
      </c>
      <c r="CFU12" t="s">
        <v>6984</v>
      </c>
      <c r="CFV12" t="s">
        <v>6984</v>
      </c>
      <c r="CFW12" t="s">
        <v>6984</v>
      </c>
      <c r="CFX12" t="s">
        <v>6984</v>
      </c>
      <c r="CFY12" t="s">
        <v>6984</v>
      </c>
      <c r="CFZ12" t="s">
        <v>6984</v>
      </c>
      <c r="CGA12" t="s">
        <v>6984</v>
      </c>
      <c r="CGB12" t="s">
        <v>6984</v>
      </c>
      <c r="CGC12" t="s">
        <v>6984</v>
      </c>
      <c r="CGD12" t="s">
        <v>6984</v>
      </c>
      <c r="CGE12" t="s">
        <v>6984</v>
      </c>
      <c r="CGF12" t="s">
        <v>6984</v>
      </c>
      <c r="CGG12" t="s">
        <v>6984</v>
      </c>
      <c r="CGH12" t="s">
        <v>6984</v>
      </c>
      <c r="CGI12" t="s">
        <v>6984</v>
      </c>
      <c r="CGJ12" t="s">
        <v>6984</v>
      </c>
      <c r="CGK12" t="s">
        <v>6984</v>
      </c>
      <c r="CGL12" t="s">
        <v>6984</v>
      </c>
      <c r="CGM12" t="s">
        <v>6984</v>
      </c>
      <c r="CGN12" t="s">
        <v>6984</v>
      </c>
      <c r="CGO12" t="s">
        <v>6984</v>
      </c>
      <c r="CGP12" t="s">
        <v>6984</v>
      </c>
      <c r="CGQ12" t="s">
        <v>6984</v>
      </c>
      <c r="CGR12" t="s">
        <v>6984</v>
      </c>
      <c r="CGS12" t="s">
        <v>6984</v>
      </c>
      <c r="CGT12" t="s">
        <v>6984</v>
      </c>
      <c r="CGU12" t="s">
        <v>6984</v>
      </c>
      <c r="CGV12" t="s">
        <v>6984</v>
      </c>
      <c r="CGW12" t="s">
        <v>6984</v>
      </c>
      <c r="CGX12" t="s">
        <v>6984</v>
      </c>
      <c r="CGY12" t="s">
        <v>6984</v>
      </c>
      <c r="CGZ12" t="s">
        <v>6984</v>
      </c>
      <c r="CHA12" t="s">
        <v>6984</v>
      </c>
      <c r="CHB12" t="s">
        <v>6984</v>
      </c>
      <c r="CHC12" t="s">
        <v>6984</v>
      </c>
      <c r="CHD12" t="s">
        <v>6984</v>
      </c>
      <c r="CHE12" t="s">
        <v>6984</v>
      </c>
      <c r="CHF12" t="s">
        <v>6984</v>
      </c>
      <c r="CHG12" t="s">
        <v>6984</v>
      </c>
      <c r="CHH12" t="s">
        <v>6984</v>
      </c>
      <c r="CHI12" t="s">
        <v>6984</v>
      </c>
      <c r="CHJ12" t="s">
        <v>6984</v>
      </c>
      <c r="CHK12" t="s">
        <v>6984</v>
      </c>
      <c r="CHL12" t="s">
        <v>6984</v>
      </c>
      <c r="CHM12" t="s">
        <v>6984</v>
      </c>
      <c r="CHN12" t="s">
        <v>6984</v>
      </c>
      <c r="CHO12" t="s">
        <v>6984</v>
      </c>
      <c r="CHP12" t="s">
        <v>6984</v>
      </c>
      <c r="CHQ12" t="s">
        <v>6984</v>
      </c>
      <c r="CHR12" t="s">
        <v>6984</v>
      </c>
      <c r="CHS12" t="s">
        <v>6984</v>
      </c>
      <c r="CHT12" t="s">
        <v>6984</v>
      </c>
      <c r="CHU12" t="s">
        <v>6984</v>
      </c>
      <c r="CHV12" t="s">
        <v>6984</v>
      </c>
      <c r="CHW12" t="s">
        <v>6984</v>
      </c>
      <c r="CHX12" t="s">
        <v>6984</v>
      </c>
      <c r="CHY12" t="s">
        <v>6984</v>
      </c>
      <c r="CHZ12" t="s">
        <v>6984</v>
      </c>
      <c r="CIA12" t="s">
        <v>6984</v>
      </c>
      <c r="CIB12" t="s">
        <v>6984</v>
      </c>
      <c r="CIC12" t="s">
        <v>6984</v>
      </c>
      <c r="CID12" t="s">
        <v>6984</v>
      </c>
      <c r="CIE12" t="s">
        <v>6984</v>
      </c>
      <c r="CIF12" t="s">
        <v>6984</v>
      </c>
      <c r="CIG12" t="s">
        <v>6984</v>
      </c>
      <c r="CIH12" t="s">
        <v>6984</v>
      </c>
      <c r="CII12" t="s">
        <v>6984</v>
      </c>
      <c r="CIJ12" t="s">
        <v>6984</v>
      </c>
      <c r="CIK12" t="s">
        <v>6984</v>
      </c>
      <c r="CIL12" t="s">
        <v>6984</v>
      </c>
      <c r="CIM12" t="s">
        <v>6984</v>
      </c>
      <c r="CIN12" t="s">
        <v>6984</v>
      </c>
      <c r="CIO12" t="s">
        <v>6984</v>
      </c>
      <c r="CIP12" t="s">
        <v>6984</v>
      </c>
      <c r="CIQ12" t="s">
        <v>6984</v>
      </c>
      <c r="CIR12" t="s">
        <v>6984</v>
      </c>
      <c r="CIS12" t="s">
        <v>6984</v>
      </c>
      <c r="CIT12" t="s">
        <v>6984</v>
      </c>
      <c r="CIU12" t="s">
        <v>6984</v>
      </c>
      <c r="CIV12" t="s">
        <v>6984</v>
      </c>
      <c r="CIW12" t="s">
        <v>6984</v>
      </c>
      <c r="CIX12" t="s">
        <v>6984</v>
      </c>
      <c r="CIY12" t="s">
        <v>6984</v>
      </c>
      <c r="CIZ12" t="s">
        <v>6984</v>
      </c>
      <c r="CJA12" t="s">
        <v>6984</v>
      </c>
      <c r="CJB12" t="s">
        <v>6984</v>
      </c>
      <c r="CJC12" t="s">
        <v>6984</v>
      </c>
      <c r="CJD12" t="s">
        <v>6984</v>
      </c>
      <c r="CJE12" t="s">
        <v>6984</v>
      </c>
      <c r="CJF12" t="s">
        <v>6984</v>
      </c>
      <c r="CJG12" t="s">
        <v>6984</v>
      </c>
      <c r="CJH12" t="s">
        <v>6984</v>
      </c>
      <c r="CJI12" t="s">
        <v>6984</v>
      </c>
      <c r="CJJ12" t="s">
        <v>6984</v>
      </c>
      <c r="CJK12" t="s">
        <v>6984</v>
      </c>
      <c r="CJL12" t="s">
        <v>6984</v>
      </c>
      <c r="CJM12" t="s">
        <v>6984</v>
      </c>
      <c r="CJN12" t="s">
        <v>6984</v>
      </c>
      <c r="CJO12" t="s">
        <v>6984</v>
      </c>
      <c r="CJP12" t="s">
        <v>6984</v>
      </c>
      <c r="CJQ12" t="s">
        <v>6984</v>
      </c>
      <c r="CJR12" t="s">
        <v>6984</v>
      </c>
      <c r="CJS12" t="s">
        <v>6984</v>
      </c>
      <c r="CJT12" t="s">
        <v>6984</v>
      </c>
      <c r="CJU12" t="s">
        <v>6984</v>
      </c>
      <c r="CJV12" t="s">
        <v>6984</v>
      </c>
      <c r="CJW12" t="s">
        <v>6984</v>
      </c>
      <c r="CJX12" t="s">
        <v>6984</v>
      </c>
      <c r="CJY12" t="s">
        <v>6984</v>
      </c>
      <c r="CJZ12" t="s">
        <v>6984</v>
      </c>
      <c r="CKA12" t="s">
        <v>6984</v>
      </c>
      <c r="CKB12" t="s">
        <v>6984</v>
      </c>
      <c r="CKC12" t="s">
        <v>6984</v>
      </c>
      <c r="CKD12" t="s">
        <v>6984</v>
      </c>
      <c r="CKE12" t="s">
        <v>6984</v>
      </c>
      <c r="CKF12" t="s">
        <v>6984</v>
      </c>
      <c r="CKG12" t="s">
        <v>6984</v>
      </c>
      <c r="CKH12" t="s">
        <v>6984</v>
      </c>
      <c r="CKI12" t="s">
        <v>6984</v>
      </c>
      <c r="CKJ12" t="s">
        <v>6984</v>
      </c>
      <c r="CKK12" t="s">
        <v>6984</v>
      </c>
      <c r="CKL12" t="s">
        <v>6984</v>
      </c>
      <c r="CKM12" t="s">
        <v>6984</v>
      </c>
      <c r="CKN12" t="s">
        <v>6984</v>
      </c>
      <c r="CKO12" t="s">
        <v>6984</v>
      </c>
      <c r="CKP12" t="s">
        <v>6984</v>
      </c>
      <c r="CKQ12" t="s">
        <v>6984</v>
      </c>
      <c r="CKR12" t="s">
        <v>6984</v>
      </c>
      <c r="CKS12" t="s">
        <v>6984</v>
      </c>
      <c r="CKT12" t="s">
        <v>6984</v>
      </c>
      <c r="CKU12" t="s">
        <v>6984</v>
      </c>
      <c r="CKV12" t="s">
        <v>6984</v>
      </c>
      <c r="CKW12" t="s">
        <v>6984</v>
      </c>
      <c r="CKX12" t="s">
        <v>6984</v>
      </c>
      <c r="CKY12" t="s">
        <v>6984</v>
      </c>
      <c r="CKZ12" t="s">
        <v>6984</v>
      </c>
      <c r="CLA12" t="s">
        <v>6984</v>
      </c>
      <c r="CLB12" t="s">
        <v>6984</v>
      </c>
      <c r="CLC12" t="s">
        <v>6984</v>
      </c>
      <c r="CLD12" t="s">
        <v>6984</v>
      </c>
      <c r="CLE12" t="s">
        <v>6984</v>
      </c>
      <c r="CLF12" t="s">
        <v>6984</v>
      </c>
      <c r="CLG12" t="s">
        <v>6984</v>
      </c>
      <c r="CLH12" t="s">
        <v>6984</v>
      </c>
      <c r="CLI12" t="s">
        <v>6984</v>
      </c>
      <c r="CLJ12" t="s">
        <v>6984</v>
      </c>
      <c r="CLK12" t="s">
        <v>6984</v>
      </c>
      <c r="CLL12" t="s">
        <v>6984</v>
      </c>
      <c r="CLM12" t="s">
        <v>6984</v>
      </c>
      <c r="CLN12" t="s">
        <v>6984</v>
      </c>
      <c r="CLO12" t="s">
        <v>6984</v>
      </c>
      <c r="CLP12" t="s">
        <v>6984</v>
      </c>
      <c r="CLQ12" t="s">
        <v>6984</v>
      </c>
      <c r="CLR12" t="s">
        <v>6984</v>
      </c>
      <c r="CLS12" t="s">
        <v>6984</v>
      </c>
      <c r="CLT12" t="s">
        <v>6984</v>
      </c>
      <c r="CLU12" t="s">
        <v>6984</v>
      </c>
      <c r="CLV12" t="s">
        <v>6984</v>
      </c>
      <c r="CLW12" t="s">
        <v>6984</v>
      </c>
      <c r="CLX12" t="s">
        <v>6984</v>
      </c>
      <c r="CLY12" t="s">
        <v>6984</v>
      </c>
      <c r="CLZ12" t="s">
        <v>6984</v>
      </c>
      <c r="CMA12" t="s">
        <v>6984</v>
      </c>
      <c r="CMB12" t="s">
        <v>6984</v>
      </c>
      <c r="CMC12" t="s">
        <v>6984</v>
      </c>
      <c r="CMD12" t="s">
        <v>6984</v>
      </c>
      <c r="CME12" t="s">
        <v>6984</v>
      </c>
      <c r="CMF12" t="s">
        <v>6984</v>
      </c>
      <c r="CMG12" t="s">
        <v>6984</v>
      </c>
      <c r="CMH12" t="s">
        <v>6984</v>
      </c>
      <c r="CMI12" t="s">
        <v>6984</v>
      </c>
      <c r="CMJ12" t="s">
        <v>6984</v>
      </c>
      <c r="CMK12" t="s">
        <v>6984</v>
      </c>
      <c r="CML12" t="s">
        <v>6984</v>
      </c>
      <c r="CMM12" t="s">
        <v>6984</v>
      </c>
      <c r="CMN12" t="s">
        <v>6984</v>
      </c>
      <c r="CMO12" t="s">
        <v>6984</v>
      </c>
      <c r="CMP12" t="s">
        <v>6984</v>
      </c>
      <c r="CMQ12" t="s">
        <v>6984</v>
      </c>
      <c r="CMR12" t="s">
        <v>6984</v>
      </c>
      <c r="CMS12" t="s">
        <v>6984</v>
      </c>
      <c r="CMT12" t="s">
        <v>6984</v>
      </c>
      <c r="CMU12" t="s">
        <v>6984</v>
      </c>
      <c r="CMV12" t="s">
        <v>6984</v>
      </c>
      <c r="CMW12" t="s">
        <v>6984</v>
      </c>
      <c r="CMX12" t="s">
        <v>6984</v>
      </c>
      <c r="CMY12" t="s">
        <v>6984</v>
      </c>
      <c r="CMZ12" t="s">
        <v>6984</v>
      </c>
      <c r="CNA12" t="s">
        <v>6984</v>
      </c>
      <c r="CNB12" t="s">
        <v>6984</v>
      </c>
      <c r="CNC12" t="s">
        <v>6984</v>
      </c>
      <c r="CND12" t="s">
        <v>6984</v>
      </c>
      <c r="CNE12" t="s">
        <v>6984</v>
      </c>
      <c r="CNF12" t="s">
        <v>6984</v>
      </c>
      <c r="CNG12" t="s">
        <v>6984</v>
      </c>
      <c r="CNH12" t="s">
        <v>6984</v>
      </c>
      <c r="CNI12" t="s">
        <v>6984</v>
      </c>
      <c r="CNJ12" t="s">
        <v>6984</v>
      </c>
      <c r="CNK12" t="s">
        <v>6984</v>
      </c>
      <c r="CNL12" t="s">
        <v>6984</v>
      </c>
      <c r="CNM12" t="s">
        <v>6984</v>
      </c>
      <c r="CNN12" t="s">
        <v>6984</v>
      </c>
      <c r="CNO12" t="s">
        <v>6984</v>
      </c>
      <c r="CNP12" t="s">
        <v>6984</v>
      </c>
      <c r="CNQ12" t="s">
        <v>6984</v>
      </c>
      <c r="CNR12" t="s">
        <v>6984</v>
      </c>
      <c r="CNS12" t="s">
        <v>6984</v>
      </c>
      <c r="CNT12" t="s">
        <v>6984</v>
      </c>
      <c r="CNU12" t="s">
        <v>6984</v>
      </c>
      <c r="CNV12" t="s">
        <v>6984</v>
      </c>
      <c r="CNW12" t="s">
        <v>6984</v>
      </c>
      <c r="CNX12" t="s">
        <v>6984</v>
      </c>
      <c r="CNY12" t="s">
        <v>6984</v>
      </c>
      <c r="CNZ12" t="s">
        <v>6984</v>
      </c>
      <c r="COA12" t="s">
        <v>6984</v>
      </c>
      <c r="COB12" t="s">
        <v>6984</v>
      </c>
      <c r="COC12" t="s">
        <v>6984</v>
      </c>
      <c r="COD12" t="s">
        <v>6984</v>
      </c>
      <c r="COE12" t="s">
        <v>6984</v>
      </c>
      <c r="COF12" t="s">
        <v>6984</v>
      </c>
      <c r="COG12" t="s">
        <v>6984</v>
      </c>
      <c r="COH12" t="s">
        <v>6984</v>
      </c>
      <c r="COI12" t="s">
        <v>6984</v>
      </c>
      <c r="COJ12" t="s">
        <v>6984</v>
      </c>
      <c r="COK12" t="s">
        <v>6984</v>
      </c>
      <c r="COL12" t="s">
        <v>6984</v>
      </c>
      <c r="COM12" t="s">
        <v>6984</v>
      </c>
      <c r="CON12" t="s">
        <v>6984</v>
      </c>
      <c r="COO12" t="s">
        <v>6984</v>
      </c>
      <c r="COP12" t="s">
        <v>6984</v>
      </c>
      <c r="COQ12" t="s">
        <v>6984</v>
      </c>
      <c r="COR12" t="s">
        <v>6984</v>
      </c>
      <c r="COS12" t="s">
        <v>6984</v>
      </c>
      <c r="COT12" t="s">
        <v>6984</v>
      </c>
      <c r="COU12" t="s">
        <v>6984</v>
      </c>
      <c r="COV12" t="s">
        <v>6984</v>
      </c>
      <c r="COW12" t="s">
        <v>6984</v>
      </c>
      <c r="COX12" t="s">
        <v>6984</v>
      </c>
      <c r="COY12" t="s">
        <v>6984</v>
      </c>
      <c r="COZ12" t="s">
        <v>6984</v>
      </c>
      <c r="CPA12" t="s">
        <v>6984</v>
      </c>
      <c r="CPB12" t="s">
        <v>6984</v>
      </c>
      <c r="CPC12" t="s">
        <v>6984</v>
      </c>
      <c r="CPD12" t="s">
        <v>6984</v>
      </c>
      <c r="CPE12" t="s">
        <v>6984</v>
      </c>
      <c r="CPF12" t="s">
        <v>6984</v>
      </c>
      <c r="CPG12" t="s">
        <v>6984</v>
      </c>
      <c r="CPH12" t="s">
        <v>6984</v>
      </c>
      <c r="CPI12" t="s">
        <v>6984</v>
      </c>
      <c r="CPJ12" t="s">
        <v>6984</v>
      </c>
      <c r="CPK12" t="s">
        <v>6984</v>
      </c>
      <c r="CPL12" t="s">
        <v>6984</v>
      </c>
      <c r="CPM12" t="s">
        <v>6984</v>
      </c>
      <c r="CPN12" t="s">
        <v>6984</v>
      </c>
      <c r="CPO12" t="s">
        <v>6984</v>
      </c>
      <c r="CPP12" t="s">
        <v>6984</v>
      </c>
      <c r="CPQ12" t="s">
        <v>6984</v>
      </c>
      <c r="CPR12" t="s">
        <v>6984</v>
      </c>
      <c r="CPS12" t="s">
        <v>6984</v>
      </c>
      <c r="CPT12" t="s">
        <v>6984</v>
      </c>
      <c r="CPU12" t="s">
        <v>6984</v>
      </c>
      <c r="CPV12" t="s">
        <v>6984</v>
      </c>
      <c r="CPW12" t="s">
        <v>6984</v>
      </c>
      <c r="CPX12" t="s">
        <v>6984</v>
      </c>
      <c r="CPY12" t="s">
        <v>6984</v>
      </c>
      <c r="CPZ12" t="s">
        <v>6984</v>
      </c>
      <c r="CQA12" t="s">
        <v>6984</v>
      </c>
      <c r="CQB12" t="s">
        <v>6984</v>
      </c>
      <c r="CQC12" t="s">
        <v>6984</v>
      </c>
      <c r="CQD12" t="s">
        <v>6984</v>
      </c>
      <c r="CQE12" t="s">
        <v>6984</v>
      </c>
      <c r="CQF12" t="s">
        <v>6984</v>
      </c>
      <c r="CQG12" t="s">
        <v>6984</v>
      </c>
      <c r="CQH12" t="s">
        <v>6984</v>
      </c>
      <c r="CQI12" t="s">
        <v>6984</v>
      </c>
      <c r="CQJ12" t="s">
        <v>6984</v>
      </c>
      <c r="CQK12" t="s">
        <v>6984</v>
      </c>
      <c r="CQL12" t="s">
        <v>6984</v>
      </c>
      <c r="CQM12" t="s">
        <v>6984</v>
      </c>
      <c r="CQN12" t="s">
        <v>6984</v>
      </c>
      <c r="CQO12" t="s">
        <v>6984</v>
      </c>
      <c r="CQP12" t="s">
        <v>6984</v>
      </c>
      <c r="CQQ12" t="s">
        <v>6984</v>
      </c>
      <c r="CQR12" t="s">
        <v>6984</v>
      </c>
      <c r="CQS12" t="s">
        <v>6984</v>
      </c>
      <c r="CQT12" t="s">
        <v>6984</v>
      </c>
      <c r="CQU12" t="s">
        <v>6984</v>
      </c>
      <c r="CQV12" t="s">
        <v>6984</v>
      </c>
      <c r="CQW12" t="s">
        <v>6984</v>
      </c>
      <c r="CQX12" t="s">
        <v>6984</v>
      </c>
      <c r="CQY12" t="s">
        <v>6984</v>
      </c>
      <c r="CQZ12" t="s">
        <v>6984</v>
      </c>
      <c r="CRA12" t="s">
        <v>6984</v>
      </c>
      <c r="CRB12" t="s">
        <v>6984</v>
      </c>
      <c r="CRC12" t="s">
        <v>6984</v>
      </c>
      <c r="CRD12" t="s">
        <v>6984</v>
      </c>
      <c r="CRE12" t="s">
        <v>6984</v>
      </c>
      <c r="CRF12" t="s">
        <v>6984</v>
      </c>
      <c r="CRG12" t="s">
        <v>6984</v>
      </c>
      <c r="CRH12" t="s">
        <v>6984</v>
      </c>
      <c r="CRI12" t="s">
        <v>6984</v>
      </c>
      <c r="CRJ12" t="s">
        <v>6984</v>
      </c>
      <c r="CRK12" t="s">
        <v>6984</v>
      </c>
      <c r="CRL12" t="s">
        <v>6984</v>
      </c>
      <c r="CRM12" t="s">
        <v>6984</v>
      </c>
      <c r="CRN12" t="s">
        <v>6984</v>
      </c>
      <c r="CRO12" t="s">
        <v>6984</v>
      </c>
      <c r="CRP12" t="s">
        <v>6984</v>
      </c>
      <c r="CRQ12" t="s">
        <v>6984</v>
      </c>
      <c r="CRR12" t="s">
        <v>6984</v>
      </c>
      <c r="CRS12" t="s">
        <v>6984</v>
      </c>
      <c r="CRT12" t="s">
        <v>6984</v>
      </c>
      <c r="CRU12" t="s">
        <v>6984</v>
      </c>
      <c r="CRV12" t="s">
        <v>6984</v>
      </c>
      <c r="CRW12" t="s">
        <v>6984</v>
      </c>
      <c r="CRX12" t="s">
        <v>6984</v>
      </c>
      <c r="CRY12" t="s">
        <v>6984</v>
      </c>
      <c r="CRZ12" t="s">
        <v>6984</v>
      </c>
      <c r="CSA12" t="s">
        <v>6984</v>
      </c>
      <c r="CSB12" t="s">
        <v>6984</v>
      </c>
      <c r="CSC12" t="s">
        <v>6984</v>
      </c>
      <c r="CSD12" t="s">
        <v>6984</v>
      </c>
      <c r="CSE12" t="s">
        <v>6984</v>
      </c>
      <c r="CSF12" t="s">
        <v>6984</v>
      </c>
      <c r="CSG12" t="s">
        <v>6984</v>
      </c>
      <c r="CSH12" t="s">
        <v>6984</v>
      </c>
      <c r="CSI12" t="s">
        <v>6984</v>
      </c>
      <c r="CSJ12" t="s">
        <v>6984</v>
      </c>
      <c r="CSK12" t="s">
        <v>6984</v>
      </c>
      <c r="CSL12" t="s">
        <v>6984</v>
      </c>
      <c r="CSM12" t="s">
        <v>6984</v>
      </c>
      <c r="CSN12" t="s">
        <v>6984</v>
      </c>
      <c r="CSO12" t="s">
        <v>6984</v>
      </c>
      <c r="CSP12" t="s">
        <v>6984</v>
      </c>
      <c r="CSQ12" t="s">
        <v>6984</v>
      </c>
      <c r="CSR12" t="s">
        <v>6984</v>
      </c>
      <c r="CSS12" t="s">
        <v>6984</v>
      </c>
      <c r="CST12" t="s">
        <v>6984</v>
      </c>
      <c r="CSU12" t="s">
        <v>6984</v>
      </c>
      <c r="CSV12" t="s">
        <v>6984</v>
      </c>
      <c r="CSW12" t="s">
        <v>6984</v>
      </c>
      <c r="CSX12" t="s">
        <v>6984</v>
      </c>
      <c r="CSY12" t="s">
        <v>6984</v>
      </c>
      <c r="CSZ12" t="s">
        <v>6984</v>
      </c>
      <c r="CTA12" t="s">
        <v>6984</v>
      </c>
      <c r="CTB12" t="s">
        <v>6984</v>
      </c>
      <c r="CTC12" t="s">
        <v>6984</v>
      </c>
      <c r="CTD12" t="s">
        <v>6984</v>
      </c>
      <c r="CTE12" t="s">
        <v>6984</v>
      </c>
      <c r="CTF12" t="s">
        <v>6984</v>
      </c>
      <c r="CTG12" t="s">
        <v>6984</v>
      </c>
      <c r="CTH12" t="s">
        <v>6984</v>
      </c>
      <c r="CTI12" t="s">
        <v>6984</v>
      </c>
      <c r="CTJ12" t="s">
        <v>6984</v>
      </c>
      <c r="CTK12" t="s">
        <v>6984</v>
      </c>
      <c r="CTL12" t="s">
        <v>6984</v>
      </c>
      <c r="CTM12" t="s">
        <v>6984</v>
      </c>
      <c r="CTN12" t="s">
        <v>6984</v>
      </c>
      <c r="CTO12" t="s">
        <v>6984</v>
      </c>
      <c r="CTP12" t="s">
        <v>6984</v>
      </c>
      <c r="CTQ12" t="s">
        <v>6984</v>
      </c>
      <c r="CTR12" t="s">
        <v>6984</v>
      </c>
      <c r="CTS12" t="s">
        <v>6984</v>
      </c>
      <c r="CTT12" t="s">
        <v>6984</v>
      </c>
      <c r="CTU12" t="s">
        <v>6984</v>
      </c>
      <c r="CTV12" t="s">
        <v>6984</v>
      </c>
      <c r="CTW12" t="s">
        <v>6984</v>
      </c>
      <c r="CTX12" t="s">
        <v>6984</v>
      </c>
      <c r="CTY12" t="s">
        <v>6984</v>
      </c>
      <c r="CTZ12" t="s">
        <v>6984</v>
      </c>
      <c r="CUA12" t="s">
        <v>6984</v>
      </c>
      <c r="CUB12" t="s">
        <v>6984</v>
      </c>
      <c r="CUC12" t="s">
        <v>6984</v>
      </c>
      <c r="CUD12" t="s">
        <v>6984</v>
      </c>
      <c r="CUE12" t="s">
        <v>6984</v>
      </c>
      <c r="CUF12" t="s">
        <v>6984</v>
      </c>
      <c r="CUG12" t="s">
        <v>6984</v>
      </c>
      <c r="CUH12" t="s">
        <v>6984</v>
      </c>
      <c r="CUI12" t="s">
        <v>6984</v>
      </c>
      <c r="CUJ12" t="s">
        <v>6984</v>
      </c>
      <c r="CUK12" t="s">
        <v>6984</v>
      </c>
      <c r="CUL12" t="s">
        <v>6984</v>
      </c>
      <c r="CUM12" t="s">
        <v>6984</v>
      </c>
      <c r="CUN12" t="s">
        <v>6984</v>
      </c>
      <c r="CUO12" t="s">
        <v>6984</v>
      </c>
      <c r="CUP12" t="s">
        <v>6984</v>
      </c>
      <c r="CUQ12" t="s">
        <v>6984</v>
      </c>
      <c r="CUR12" t="s">
        <v>6984</v>
      </c>
      <c r="CUS12" t="s">
        <v>6984</v>
      </c>
      <c r="CUT12" t="s">
        <v>6984</v>
      </c>
      <c r="CUU12" t="s">
        <v>6984</v>
      </c>
      <c r="CUV12" t="s">
        <v>6984</v>
      </c>
      <c r="CUW12" t="s">
        <v>6984</v>
      </c>
      <c r="CUX12" t="s">
        <v>6984</v>
      </c>
      <c r="CUY12" t="s">
        <v>6984</v>
      </c>
      <c r="CUZ12" t="s">
        <v>6984</v>
      </c>
      <c r="CVA12" t="s">
        <v>6984</v>
      </c>
      <c r="CVB12" t="s">
        <v>6984</v>
      </c>
      <c r="CVC12" t="s">
        <v>6984</v>
      </c>
      <c r="CVD12" t="s">
        <v>6984</v>
      </c>
      <c r="CVE12" t="s">
        <v>6984</v>
      </c>
      <c r="CVF12" t="s">
        <v>6984</v>
      </c>
      <c r="CVG12" t="s">
        <v>6984</v>
      </c>
      <c r="CVH12" t="s">
        <v>6984</v>
      </c>
      <c r="CVI12" t="s">
        <v>6984</v>
      </c>
      <c r="CVJ12" t="s">
        <v>6984</v>
      </c>
      <c r="CVK12" t="s">
        <v>6984</v>
      </c>
      <c r="CVL12" t="s">
        <v>6984</v>
      </c>
      <c r="CVM12" t="s">
        <v>6984</v>
      </c>
      <c r="CVN12" t="s">
        <v>6984</v>
      </c>
      <c r="CVO12" t="s">
        <v>6984</v>
      </c>
      <c r="CVP12" t="s">
        <v>6984</v>
      </c>
      <c r="CVQ12" t="s">
        <v>6984</v>
      </c>
      <c r="CVR12" t="s">
        <v>6984</v>
      </c>
      <c r="CVS12" t="s">
        <v>6984</v>
      </c>
      <c r="CVT12" t="s">
        <v>6984</v>
      </c>
      <c r="CVU12" t="s">
        <v>6984</v>
      </c>
      <c r="CVV12" t="s">
        <v>6984</v>
      </c>
      <c r="CVW12" t="s">
        <v>6984</v>
      </c>
      <c r="CVX12" t="s">
        <v>6984</v>
      </c>
      <c r="CVY12" t="s">
        <v>6984</v>
      </c>
      <c r="CVZ12" t="s">
        <v>6984</v>
      </c>
      <c r="CWA12" t="s">
        <v>6984</v>
      </c>
      <c r="CWB12" t="s">
        <v>6984</v>
      </c>
      <c r="CWC12" t="s">
        <v>6984</v>
      </c>
      <c r="CWD12" t="s">
        <v>6984</v>
      </c>
      <c r="CWE12" t="s">
        <v>6984</v>
      </c>
      <c r="CWF12" t="s">
        <v>6984</v>
      </c>
      <c r="CWG12" t="s">
        <v>6984</v>
      </c>
      <c r="CWH12" t="s">
        <v>6984</v>
      </c>
      <c r="CWI12" t="s">
        <v>6984</v>
      </c>
      <c r="CWJ12" t="s">
        <v>6984</v>
      </c>
      <c r="CWK12" t="s">
        <v>6984</v>
      </c>
      <c r="CWL12" t="s">
        <v>6984</v>
      </c>
      <c r="CWM12" t="s">
        <v>6984</v>
      </c>
      <c r="CWN12" t="s">
        <v>6984</v>
      </c>
      <c r="CWO12" t="s">
        <v>6984</v>
      </c>
      <c r="CWP12" t="s">
        <v>6984</v>
      </c>
      <c r="CWQ12" t="s">
        <v>6984</v>
      </c>
      <c r="CWR12" t="s">
        <v>6984</v>
      </c>
      <c r="CWS12" t="s">
        <v>6984</v>
      </c>
      <c r="CWT12" t="s">
        <v>6984</v>
      </c>
      <c r="CWU12" t="s">
        <v>6984</v>
      </c>
      <c r="CWV12" t="s">
        <v>6984</v>
      </c>
      <c r="CWW12" t="s">
        <v>6984</v>
      </c>
      <c r="CWX12" t="s">
        <v>6984</v>
      </c>
      <c r="CWY12" t="s">
        <v>6984</v>
      </c>
      <c r="CWZ12" t="s">
        <v>6984</v>
      </c>
      <c r="CXA12" t="s">
        <v>6984</v>
      </c>
      <c r="CXB12" t="s">
        <v>6984</v>
      </c>
      <c r="CXC12" t="s">
        <v>6984</v>
      </c>
      <c r="CXD12" t="s">
        <v>6984</v>
      </c>
      <c r="CXE12" t="s">
        <v>6984</v>
      </c>
      <c r="CXF12" t="s">
        <v>6984</v>
      </c>
      <c r="CXG12" t="s">
        <v>6984</v>
      </c>
      <c r="CXH12" t="s">
        <v>6984</v>
      </c>
      <c r="CXI12" t="s">
        <v>6984</v>
      </c>
      <c r="CXJ12" t="s">
        <v>6984</v>
      </c>
      <c r="CXK12" t="s">
        <v>6984</v>
      </c>
      <c r="CXL12" t="s">
        <v>6984</v>
      </c>
      <c r="CXM12" t="s">
        <v>6984</v>
      </c>
      <c r="CXN12" t="s">
        <v>6984</v>
      </c>
      <c r="CXO12" t="s">
        <v>6984</v>
      </c>
      <c r="CXP12" t="s">
        <v>6984</v>
      </c>
      <c r="CXQ12" t="s">
        <v>6984</v>
      </c>
      <c r="CXR12" t="s">
        <v>6984</v>
      </c>
      <c r="CXS12" t="s">
        <v>6984</v>
      </c>
      <c r="CXT12" t="s">
        <v>6984</v>
      </c>
      <c r="CXU12" t="s">
        <v>6984</v>
      </c>
      <c r="CXV12" t="s">
        <v>6984</v>
      </c>
      <c r="CXW12" t="s">
        <v>6984</v>
      </c>
      <c r="CXX12" t="s">
        <v>6984</v>
      </c>
      <c r="CXY12" t="s">
        <v>6984</v>
      </c>
      <c r="CXZ12" t="s">
        <v>6984</v>
      </c>
      <c r="CYA12" t="s">
        <v>6984</v>
      </c>
      <c r="CYB12" t="s">
        <v>6984</v>
      </c>
      <c r="CYC12" t="s">
        <v>6984</v>
      </c>
      <c r="CYD12" t="s">
        <v>6984</v>
      </c>
      <c r="CYE12" t="s">
        <v>6984</v>
      </c>
      <c r="CYF12" t="s">
        <v>6984</v>
      </c>
      <c r="CYG12" t="s">
        <v>6984</v>
      </c>
      <c r="CYH12" t="s">
        <v>6984</v>
      </c>
      <c r="CYI12" t="s">
        <v>6984</v>
      </c>
      <c r="CYJ12" t="s">
        <v>6984</v>
      </c>
      <c r="CYK12" t="s">
        <v>6984</v>
      </c>
      <c r="CYL12" t="s">
        <v>6984</v>
      </c>
      <c r="CYM12" t="s">
        <v>6984</v>
      </c>
      <c r="CYN12" t="s">
        <v>6984</v>
      </c>
      <c r="CYO12" t="s">
        <v>6984</v>
      </c>
      <c r="CYP12" t="s">
        <v>6984</v>
      </c>
      <c r="CYQ12" t="s">
        <v>6984</v>
      </c>
      <c r="CYR12" t="s">
        <v>6984</v>
      </c>
      <c r="CYS12" t="s">
        <v>6984</v>
      </c>
      <c r="CYT12" t="s">
        <v>6984</v>
      </c>
      <c r="CYU12" t="s">
        <v>6984</v>
      </c>
      <c r="CYV12" t="s">
        <v>6984</v>
      </c>
      <c r="CYW12" t="s">
        <v>6984</v>
      </c>
      <c r="CYX12" t="s">
        <v>6984</v>
      </c>
      <c r="CYY12" t="s">
        <v>6984</v>
      </c>
      <c r="CYZ12" t="s">
        <v>6984</v>
      </c>
      <c r="CZA12" t="s">
        <v>6984</v>
      </c>
      <c r="CZB12" t="s">
        <v>6984</v>
      </c>
      <c r="CZC12" t="s">
        <v>6984</v>
      </c>
      <c r="CZD12" t="s">
        <v>6984</v>
      </c>
      <c r="CZE12" t="s">
        <v>6984</v>
      </c>
      <c r="CZF12" t="s">
        <v>6984</v>
      </c>
      <c r="CZG12" t="s">
        <v>6984</v>
      </c>
      <c r="CZH12" t="s">
        <v>6984</v>
      </c>
      <c r="CZI12" t="s">
        <v>6984</v>
      </c>
      <c r="CZJ12" t="s">
        <v>6984</v>
      </c>
      <c r="CZK12" t="s">
        <v>6984</v>
      </c>
      <c r="CZL12" t="s">
        <v>6984</v>
      </c>
      <c r="CZM12" t="s">
        <v>6984</v>
      </c>
      <c r="CZN12" t="s">
        <v>6984</v>
      </c>
      <c r="CZO12" t="s">
        <v>6984</v>
      </c>
      <c r="CZP12" t="s">
        <v>6984</v>
      </c>
      <c r="CZQ12" t="s">
        <v>6984</v>
      </c>
      <c r="CZR12" t="s">
        <v>6984</v>
      </c>
      <c r="CZS12" t="s">
        <v>6984</v>
      </c>
      <c r="CZT12" t="s">
        <v>6984</v>
      </c>
      <c r="CZU12" t="s">
        <v>6984</v>
      </c>
      <c r="CZV12" t="s">
        <v>6984</v>
      </c>
      <c r="CZW12" t="s">
        <v>6984</v>
      </c>
      <c r="CZX12" t="s">
        <v>6984</v>
      </c>
      <c r="CZY12" t="s">
        <v>6984</v>
      </c>
      <c r="CZZ12" t="s">
        <v>6984</v>
      </c>
      <c r="DAA12" t="s">
        <v>6984</v>
      </c>
      <c r="DAB12" t="s">
        <v>6984</v>
      </c>
      <c r="DAC12" t="s">
        <v>6984</v>
      </c>
      <c r="DAD12" t="s">
        <v>6984</v>
      </c>
      <c r="DAE12" t="s">
        <v>6984</v>
      </c>
      <c r="DAF12" t="s">
        <v>6984</v>
      </c>
      <c r="DAG12" t="s">
        <v>6984</v>
      </c>
      <c r="DAH12" t="s">
        <v>6984</v>
      </c>
      <c r="DAI12" t="s">
        <v>6984</v>
      </c>
      <c r="DAJ12" t="s">
        <v>6984</v>
      </c>
      <c r="DAK12" t="s">
        <v>6984</v>
      </c>
      <c r="DAL12" t="s">
        <v>6984</v>
      </c>
      <c r="DAM12" t="s">
        <v>6984</v>
      </c>
      <c r="DAN12" t="s">
        <v>6984</v>
      </c>
      <c r="DAO12" t="s">
        <v>6984</v>
      </c>
      <c r="DAP12" t="s">
        <v>6984</v>
      </c>
      <c r="DAQ12" t="s">
        <v>6984</v>
      </c>
      <c r="DAR12" t="s">
        <v>6984</v>
      </c>
      <c r="DAS12" t="s">
        <v>6984</v>
      </c>
      <c r="DAT12" t="s">
        <v>6984</v>
      </c>
      <c r="DAU12" t="s">
        <v>6984</v>
      </c>
      <c r="DAV12" t="s">
        <v>6984</v>
      </c>
      <c r="DAW12" t="s">
        <v>6984</v>
      </c>
      <c r="DAX12" t="s">
        <v>6984</v>
      </c>
      <c r="DAY12" t="s">
        <v>6984</v>
      </c>
      <c r="DAZ12" t="s">
        <v>6984</v>
      </c>
      <c r="DBA12" t="s">
        <v>6984</v>
      </c>
      <c r="DBB12" t="s">
        <v>6984</v>
      </c>
      <c r="DBC12" t="s">
        <v>6984</v>
      </c>
      <c r="DBD12" t="s">
        <v>6984</v>
      </c>
      <c r="DBE12" t="s">
        <v>6984</v>
      </c>
      <c r="DBF12" t="s">
        <v>6984</v>
      </c>
      <c r="DBG12" t="s">
        <v>6984</v>
      </c>
      <c r="DBH12" t="s">
        <v>6984</v>
      </c>
      <c r="DBI12" t="s">
        <v>6984</v>
      </c>
      <c r="DBJ12" t="s">
        <v>6984</v>
      </c>
      <c r="DBK12" t="s">
        <v>6984</v>
      </c>
      <c r="DBL12" t="s">
        <v>6984</v>
      </c>
      <c r="DBM12" t="s">
        <v>6984</v>
      </c>
      <c r="DBN12" t="s">
        <v>6984</v>
      </c>
      <c r="DBO12" t="s">
        <v>6984</v>
      </c>
      <c r="DBP12" t="s">
        <v>6984</v>
      </c>
      <c r="DBQ12" t="s">
        <v>6984</v>
      </c>
      <c r="DBR12" t="s">
        <v>6984</v>
      </c>
      <c r="DBS12" t="s">
        <v>6984</v>
      </c>
      <c r="DBT12" t="s">
        <v>6984</v>
      </c>
      <c r="DBU12" t="s">
        <v>6984</v>
      </c>
      <c r="DBV12" t="s">
        <v>6984</v>
      </c>
      <c r="DBW12" t="s">
        <v>6984</v>
      </c>
      <c r="DBX12" t="s">
        <v>6984</v>
      </c>
      <c r="DBY12" t="s">
        <v>6984</v>
      </c>
      <c r="DBZ12" t="s">
        <v>6984</v>
      </c>
      <c r="DCA12" t="s">
        <v>6984</v>
      </c>
      <c r="DCB12" t="s">
        <v>6984</v>
      </c>
      <c r="DCC12" t="s">
        <v>6984</v>
      </c>
      <c r="DCD12" t="s">
        <v>6984</v>
      </c>
      <c r="DCE12" t="s">
        <v>6984</v>
      </c>
      <c r="DCF12" t="s">
        <v>6984</v>
      </c>
      <c r="DCG12" t="s">
        <v>6984</v>
      </c>
      <c r="DCH12" t="s">
        <v>6984</v>
      </c>
      <c r="DCI12" t="s">
        <v>6984</v>
      </c>
      <c r="DCJ12" t="s">
        <v>6984</v>
      </c>
      <c r="DCK12" t="s">
        <v>6984</v>
      </c>
      <c r="DCL12" t="s">
        <v>6984</v>
      </c>
      <c r="DCM12" t="s">
        <v>6984</v>
      </c>
      <c r="DCN12" t="s">
        <v>6984</v>
      </c>
      <c r="DCO12" t="s">
        <v>6984</v>
      </c>
      <c r="DCP12" t="s">
        <v>6984</v>
      </c>
      <c r="DCQ12" t="s">
        <v>6984</v>
      </c>
      <c r="DCR12" t="s">
        <v>6984</v>
      </c>
      <c r="DCS12" t="s">
        <v>6984</v>
      </c>
      <c r="DCT12" t="s">
        <v>6984</v>
      </c>
      <c r="DCU12" t="s">
        <v>6984</v>
      </c>
      <c r="DCV12" t="s">
        <v>6984</v>
      </c>
      <c r="DCW12" t="s">
        <v>6984</v>
      </c>
      <c r="DCX12" t="s">
        <v>6984</v>
      </c>
      <c r="DCY12" t="s">
        <v>6984</v>
      </c>
      <c r="DCZ12" t="s">
        <v>6984</v>
      </c>
      <c r="DDA12" t="s">
        <v>6984</v>
      </c>
      <c r="DDB12" t="s">
        <v>6984</v>
      </c>
      <c r="DDC12" t="s">
        <v>6984</v>
      </c>
      <c r="DDD12" t="s">
        <v>6984</v>
      </c>
      <c r="DDE12" t="s">
        <v>6984</v>
      </c>
      <c r="DDF12" t="s">
        <v>6984</v>
      </c>
      <c r="DDG12" t="s">
        <v>6984</v>
      </c>
      <c r="DDH12" t="s">
        <v>6984</v>
      </c>
      <c r="DDI12" t="s">
        <v>6984</v>
      </c>
      <c r="DDJ12" t="s">
        <v>6984</v>
      </c>
      <c r="DDK12" t="s">
        <v>6984</v>
      </c>
      <c r="DDL12" t="s">
        <v>6984</v>
      </c>
      <c r="DDM12" t="s">
        <v>6984</v>
      </c>
      <c r="DDN12" t="s">
        <v>6984</v>
      </c>
      <c r="DDO12" t="s">
        <v>6984</v>
      </c>
      <c r="DDP12" t="s">
        <v>6984</v>
      </c>
      <c r="DDQ12" t="s">
        <v>6984</v>
      </c>
      <c r="DDR12" t="s">
        <v>6984</v>
      </c>
      <c r="DDS12" t="s">
        <v>6984</v>
      </c>
      <c r="DDT12" t="s">
        <v>6984</v>
      </c>
      <c r="DDU12" t="s">
        <v>6984</v>
      </c>
      <c r="DDV12" t="s">
        <v>6984</v>
      </c>
      <c r="DDW12" t="s">
        <v>6984</v>
      </c>
      <c r="DDX12" t="s">
        <v>6984</v>
      </c>
      <c r="DDY12" t="s">
        <v>6984</v>
      </c>
      <c r="DDZ12" t="s">
        <v>6984</v>
      </c>
      <c r="DEA12" t="s">
        <v>6984</v>
      </c>
      <c r="DEB12" t="s">
        <v>6984</v>
      </c>
      <c r="DEC12" t="s">
        <v>6984</v>
      </c>
      <c r="DED12" t="s">
        <v>6984</v>
      </c>
      <c r="DEE12" t="s">
        <v>6984</v>
      </c>
      <c r="DEF12" t="s">
        <v>6984</v>
      </c>
      <c r="DEG12" t="s">
        <v>6984</v>
      </c>
      <c r="DEH12" t="s">
        <v>6984</v>
      </c>
      <c r="DEI12" t="s">
        <v>6984</v>
      </c>
      <c r="DEJ12" t="s">
        <v>6984</v>
      </c>
      <c r="DEK12" t="s">
        <v>6984</v>
      </c>
      <c r="DEL12" t="s">
        <v>6984</v>
      </c>
      <c r="DEM12" t="s">
        <v>6984</v>
      </c>
      <c r="DEN12" t="s">
        <v>6984</v>
      </c>
      <c r="DEO12" t="s">
        <v>6984</v>
      </c>
      <c r="DEP12" t="s">
        <v>6984</v>
      </c>
      <c r="DEQ12" t="s">
        <v>6984</v>
      </c>
      <c r="DER12" t="s">
        <v>6984</v>
      </c>
      <c r="DES12" t="s">
        <v>6984</v>
      </c>
      <c r="DET12" t="s">
        <v>6984</v>
      </c>
      <c r="DEU12" t="s">
        <v>6984</v>
      </c>
      <c r="DEV12" t="s">
        <v>6984</v>
      </c>
      <c r="DEW12" t="s">
        <v>6984</v>
      </c>
      <c r="DEX12" t="s">
        <v>6984</v>
      </c>
      <c r="DEY12" t="s">
        <v>6984</v>
      </c>
      <c r="DEZ12" t="s">
        <v>6984</v>
      </c>
      <c r="DFA12" t="s">
        <v>6984</v>
      </c>
      <c r="DFB12" t="s">
        <v>6984</v>
      </c>
      <c r="DFC12" t="s">
        <v>6984</v>
      </c>
      <c r="DFD12" t="s">
        <v>6984</v>
      </c>
      <c r="DFE12" t="s">
        <v>6984</v>
      </c>
      <c r="DFF12" t="s">
        <v>6984</v>
      </c>
      <c r="DFG12" t="s">
        <v>6984</v>
      </c>
      <c r="DFH12" t="s">
        <v>6984</v>
      </c>
      <c r="DFI12" t="s">
        <v>6984</v>
      </c>
      <c r="DFJ12" t="s">
        <v>6984</v>
      </c>
      <c r="DFK12" t="s">
        <v>6984</v>
      </c>
      <c r="DFL12" t="s">
        <v>6984</v>
      </c>
      <c r="DFM12" t="s">
        <v>6984</v>
      </c>
      <c r="DFN12" t="s">
        <v>6984</v>
      </c>
      <c r="DFO12" t="s">
        <v>6984</v>
      </c>
      <c r="DFP12" t="s">
        <v>6984</v>
      </c>
      <c r="DFQ12" t="s">
        <v>6984</v>
      </c>
      <c r="DFR12" t="s">
        <v>6984</v>
      </c>
      <c r="DFS12" t="s">
        <v>6984</v>
      </c>
      <c r="DFT12" t="s">
        <v>6984</v>
      </c>
      <c r="DFU12" t="s">
        <v>6984</v>
      </c>
      <c r="DFV12" t="s">
        <v>6984</v>
      </c>
      <c r="DFW12" t="s">
        <v>6984</v>
      </c>
      <c r="DFX12" t="s">
        <v>6984</v>
      </c>
      <c r="DFY12" t="s">
        <v>6984</v>
      </c>
      <c r="DFZ12" t="s">
        <v>6984</v>
      </c>
      <c r="DGA12" t="s">
        <v>6984</v>
      </c>
      <c r="DGB12" t="s">
        <v>6984</v>
      </c>
      <c r="DGC12" t="s">
        <v>6984</v>
      </c>
      <c r="DGD12" t="s">
        <v>6984</v>
      </c>
      <c r="DGE12" t="s">
        <v>6984</v>
      </c>
      <c r="DGF12" t="s">
        <v>6984</v>
      </c>
      <c r="DGG12" t="s">
        <v>6984</v>
      </c>
      <c r="DGH12" t="s">
        <v>6984</v>
      </c>
      <c r="DGI12" t="s">
        <v>6984</v>
      </c>
      <c r="DGJ12" t="s">
        <v>6984</v>
      </c>
      <c r="DGK12" t="s">
        <v>6984</v>
      </c>
      <c r="DGL12" t="s">
        <v>6984</v>
      </c>
      <c r="DGM12" t="s">
        <v>6984</v>
      </c>
      <c r="DGN12" t="s">
        <v>6984</v>
      </c>
      <c r="DGO12" t="s">
        <v>6984</v>
      </c>
      <c r="DGP12" t="s">
        <v>6984</v>
      </c>
      <c r="DGQ12" t="s">
        <v>6984</v>
      </c>
      <c r="DGR12" t="s">
        <v>6984</v>
      </c>
      <c r="DGS12" t="s">
        <v>6984</v>
      </c>
      <c r="DGT12" t="s">
        <v>6984</v>
      </c>
      <c r="DGU12" t="s">
        <v>6984</v>
      </c>
      <c r="DGV12" t="s">
        <v>6984</v>
      </c>
      <c r="DGW12" t="s">
        <v>6984</v>
      </c>
      <c r="DGX12" t="s">
        <v>6984</v>
      </c>
      <c r="DGY12" t="s">
        <v>6984</v>
      </c>
      <c r="DGZ12" t="s">
        <v>6984</v>
      </c>
      <c r="DHA12" t="s">
        <v>6984</v>
      </c>
      <c r="DHB12" t="s">
        <v>6984</v>
      </c>
      <c r="DHC12" t="s">
        <v>6984</v>
      </c>
      <c r="DHD12" t="s">
        <v>6984</v>
      </c>
      <c r="DHE12" t="s">
        <v>6984</v>
      </c>
      <c r="DHF12" t="s">
        <v>6984</v>
      </c>
      <c r="DHG12" t="s">
        <v>6984</v>
      </c>
      <c r="DHH12" t="s">
        <v>6984</v>
      </c>
      <c r="DHI12" t="s">
        <v>6984</v>
      </c>
      <c r="DHJ12" t="s">
        <v>6984</v>
      </c>
      <c r="DHK12" t="s">
        <v>6984</v>
      </c>
      <c r="DHL12" t="s">
        <v>6984</v>
      </c>
      <c r="DHM12" t="s">
        <v>6984</v>
      </c>
      <c r="DHN12" t="s">
        <v>6984</v>
      </c>
      <c r="DHO12" t="s">
        <v>6984</v>
      </c>
      <c r="DHP12" t="s">
        <v>6984</v>
      </c>
      <c r="DHQ12" t="s">
        <v>6984</v>
      </c>
      <c r="DHR12" t="s">
        <v>6984</v>
      </c>
      <c r="DHS12" t="s">
        <v>6984</v>
      </c>
      <c r="DHT12" t="s">
        <v>6984</v>
      </c>
      <c r="DHU12" t="s">
        <v>6984</v>
      </c>
      <c r="DHV12" t="s">
        <v>6984</v>
      </c>
      <c r="DHW12" t="s">
        <v>6984</v>
      </c>
      <c r="DHX12" t="s">
        <v>6984</v>
      </c>
      <c r="DHY12" t="s">
        <v>6984</v>
      </c>
      <c r="DHZ12" t="s">
        <v>6984</v>
      </c>
      <c r="DIA12" t="s">
        <v>6984</v>
      </c>
      <c r="DIB12" t="s">
        <v>6984</v>
      </c>
      <c r="DIC12" t="s">
        <v>6984</v>
      </c>
      <c r="DID12" t="s">
        <v>6984</v>
      </c>
      <c r="DIE12" t="s">
        <v>6984</v>
      </c>
      <c r="DIF12" t="s">
        <v>6984</v>
      </c>
      <c r="DIG12" t="s">
        <v>6984</v>
      </c>
      <c r="DIH12" t="s">
        <v>6984</v>
      </c>
      <c r="DII12" t="s">
        <v>6984</v>
      </c>
      <c r="DIJ12" t="s">
        <v>6984</v>
      </c>
      <c r="DIK12" t="s">
        <v>6984</v>
      </c>
      <c r="DIL12" t="s">
        <v>6984</v>
      </c>
      <c r="DIM12" t="s">
        <v>6984</v>
      </c>
      <c r="DIN12" t="s">
        <v>6984</v>
      </c>
      <c r="DIO12" t="s">
        <v>6984</v>
      </c>
      <c r="DIP12" t="s">
        <v>6984</v>
      </c>
      <c r="DIQ12" t="s">
        <v>6984</v>
      </c>
      <c r="DIR12" t="s">
        <v>6984</v>
      </c>
      <c r="DIS12" t="s">
        <v>6984</v>
      </c>
      <c r="DIT12" t="s">
        <v>6984</v>
      </c>
      <c r="DIU12" t="s">
        <v>6984</v>
      </c>
      <c r="DIV12" t="s">
        <v>6984</v>
      </c>
      <c r="DIW12" t="s">
        <v>6984</v>
      </c>
      <c r="DIX12" t="s">
        <v>6984</v>
      </c>
      <c r="DIY12" t="s">
        <v>6984</v>
      </c>
      <c r="DIZ12" t="s">
        <v>6984</v>
      </c>
      <c r="DJA12" t="s">
        <v>6984</v>
      </c>
      <c r="DJB12" t="s">
        <v>6984</v>
      </c>
      <c r="DJC12" t="s">
        <v>6984</v>
      </c>
      <c r="DJD12" t="s">
        <v>6984</v>
      </c>
      <c r="DJE12" t="s">
        <v>6984</v>
      </c>
      <c r="DJF12" t="s">
        <v>6984</v>
      </c>
      <c r="DJG12" t="s">
        <v>6984</v>
      </c>
      <c r="DJH12" t="s">
        <v>6984</v>
      </c>
      <c r="DJI12" t="s">
        <v>6984</v>
      </c>
      <c r="DJJ12" t="s">
        <v>6984</v>
      </c>
      <c r="DJK12" t="s">
        <v>6984</v>
      </c>
      <c r="DJL12" t="s">
        <v>6984</v>
      </c>
      <c r="DJM12" t="s">
        <v>6984</v>
      </c>
      <c r="DJN12" t="s">
        <v>6984</v>
      </c>
      <c r="DJO12" t="s">
        <v>6984</v>
      </c>
      <c r="DJP12" t="s">
        <v>6984</v>
      </c>
      <c r="DJQ12" t="s">
        <v>6984</v>
      </c>
      <c r="DJR12" t="s">
        <v>6984</v>
      </c>
      <c r="DJS12" t="s">
        <v>6984</v>
      </c>
      <c r="DJT12" t="s">
        <v>6984</v>
      </c>
      <c r="DJU12" t="s">
        <v>6984</v>
      </c>
      <c r="DJV12" t="s">
        <v>6984</v>
      </c>
      <c r="DJW12" t="s">
        <v>6984</v>
      </c>
      <c r="DJX12" t="s">
        <v>6984</v>
      </c>
      <c r="DJY12" t="s">
        <v>6984</v>
      </c>
      <c r="DJZ12" t="s">
        <v>6984</v>
      </c>
      <c r="DKA12" t="s">
        <v>6984</v>
      </c>
      <c r="DKB12" t="s">
        <v>6984</v>
      </c>
      <c r="DKC12" t="s">
        <v>6984</v>
      </c>
      <c r="DKD12" t="s">
        <v>6984</v>
      </c>
      <c r="DKE12" t="s">
        <v>6984</v>
      </c>
      <c r="DKF12" t="s">
        <v>6984</v>
      </c>
      <c r="DKG12" t="s">
        <v>6984</v>
      </c>
      <c r="DKH12" t="s">
        <v>6984</v>
      </c>
      <c r="DKI12" t="s">
        <v>6984</v>
      </c>
      <c r="DKJ12" t="s">
        <v>6984</v>
      </c>
      <c r="DKK12" t="s">
        <v>6984</v>
      </c>
      <c r="DKL12" t="s">
        <v>6984</v>
      </c>
      <c r="DKM12" t="s">
        <v>6984</v>
      </c>
      <c r="DKN12" t="s">
        <v>6984</v>
      </c>
      <c r="DKO12" t="s">
        <v>6984</v>
      </c>
      <c r="DKP12" t="s">
        <v>6984</v>
      </c>
      <c r="DKQ12" t="s">
        <v>6984</v>
      </c>
      <c r="DKR12" t="s">
        <v>6984</v>
      </c>
      <c r="DKS12" t="s">
        <v>6984</v>
      </c>
      <c r="DKT12" t="s">
        <v>6984</v>
      </c>
      <c r="DKU12" t="s">
        <v>6984</v>
      </c>
      <c r="DKV12" t="s">
        <v>6984</v>
      </c>
      <c r="DKW12" t="s">
        <v>6984</v>
      </c>
      <c r="DKX12" t="s">
        <v>6984</v>
      </c>
      <c r="DKY12" t="s">
        <v>6984</v>
      </c>
      <c r="DKZ12" t="s">
        <v>6984</v>
      </c>
      <c r="DLA12" t="s">
        <v>6984</v>
      </c>
      <c r="DLB12" t="s">
        <v>6984</v>
      </c>
      <c r="DLC12" t="s">
        <v>6984</v>
      </c>
      <c r="DLD12" t="s">
        <v>6984</v>
      </c>
      <c r="DLE12" t="s">
        <v>6984</v>
      </c>
      <c r="DLF12" t="s">
        <v>6984</v>
      </c>
      <c r="DLG12" t="s">
        <v>6984</v>
      </c>
      <c r="DLH12" t="s">
        <v>6984</v>
      </c>
      <c r="DLI12" t="s">
        <v>6984</v>
      </c>
      <c r="DLJ12" t="s">
        <v>6984</v>
      </c>
      <c r="DLK12" t="s">
        <v>6984</v>
      </c>
      <c r="DLL12" t="s">
        <v>6984</v>
      </c>
      <c r="DLM12" t="s">
        <v>6984</v>
      </c>
      <c r="DLN12" t="s">
        <v>6984</v>
      </c>
      <c r="DLO12" t="s">
        <v>6984</v>
      </c>
      <c r="DLP12" t="s">
        <v>6984</v>
      </c>
      <c r="DLQ12" t="s">
        <v>6984</v>
      </c>
      <c r="DLR12" t="s">
        <v>6984</v>
      </c>
      <c r="DLS12" t="s">
        <v>6984</v>
      </c>
      <c r="DLT12" t="s">
        <v>6984</v>
      </c>
      <c r="DLU12" t="s">
        <v>6984</v>
      </c>
      <c r="DLV12" t="s">
        <v>6984</v>
      </c>
      <c r="DLW12" t="s">
        <v>6984</v>
      </c>
      <c r="DLX12" t="s">
        <v>6984</v>
      </c>
      <c r="DLY12" t="s">
        <v>6984</v>
      </c>
      <c r="DLZ12" t="s">
        <v>6984</v>
      </c>
      <c r="DMA12" t="s">
        <v>6984</v>
      </c>
      <c r="DMB12" t="s">
        <v>6984</v>
      </c>
      <c r="DMC12" t="s">
        <v>6984</v>
      </c>
      <c r="DMD12" t="s">
        <v>6984</v>
      </c>
      <c r="DME12" t="s">
        <v>6984</v>
      </c>
      <c r="DMF12" t="s">
        <v>6984</v>
      </c>
      <c r="DMG12" t="s">
        <v>6984</v>
      </c>
      <c r="DMH12" t="s">
        <v>6984</v>
      </c>
      <c r="DMI12" t="s">
        <v>6984</v>
      </c>
      <c r="DMJ12" t="s">
        <v>6984</v>
      </c>
      <c r="DMK12" t="s">
        <v>6984</v>
      </c>
      <c r="DML12" t="s">
        <v>6984</v>
      </c>
      <c r="DMM12" t="s">
        <v>6984</v>
      </c>
      <c r="DMN12" t="s">
        <v>6984</v>
      </c>
      <c r="DMO12" t="s">
        <v>6984</v>
      </c>
      <c r="DMP12" t="s">
        <v>6984</v>
      </c>
      <c r="DMQ12" t="s">
        <v>6984</v>
      </c>
      <c r="DMR12" t="s">
        <v>6984</v>
      </c>
      <c r="DMS12" t="s">
        <v>6984</v>
      </c>
      <c r="DMT12" t="s">
        <v>6984</v>
      </c>
      <c r="DMU12" t="s">
        <v>6984</v>
      </c>
      <c r="DMV12" t="s">
        <v>6984</v>
      </c>
      <c r="DMW12" t="s">
        <v>6984</v>
      </c>
      <c r="DMX12" t="s">
        <v>6984</v>
      </c>
      <c r="DMY12" t="s">
        <v>6984</v>
      </c>
      <c r="DMZ12" t="s">
        <v>6984</v>
      </c>
      <c r="DNA12" t="s">
        <v>6984</v>
      </c>
      <c r="DNB12" t="s">
        <v>6984</v>
      </c>
      <c r="DNC12" t="s">
        <v>6984</v>
      </c>
      <c r="DND12" t="s">
        <v>6984</v>
      </c>
      <c r="DNE12" t="s">
        <v>6984</v>
      </c>
      <c r="DNF12" t="s">
        <v>6984</v>
      </c>
      <c r="DNG12" t="s">
        <v>6984</v>
      </c>
      <c r="DNH12" t="s">
        <v>6984</v>
      </c>
      <c r="DNI12" t="s">
        <v>6984</v>
      </c>
      <c r="DNJ12" t="s">
        <v>6984</v>
      </c>
      <c r="DNK12" t="s">
        <v>6984</v>
      </c>
      <c r="DNL12" t="s">
        <v>6984</v>
      </c>
      <c r="DNM12" t="s">
        <v>6984</v>
      </c>
      <c r="DNN12" t="s">
        <v>6984</v>
      </c>
      <c r="DNO12" t="s">
        <v>6984</v>
      </c>
      <c r="DNP12" t="s">
        <v>6984</v>
      </c>
      <c r="DNQ12" t="s">
        <v>6984</v>
      </c>
      <c r="DNR12" t="s">
        <v>6984</v>
      </c>
      <c r="DNS12" t="s">
        <v>6984</v>
      </c>
      <c r="DNT12" t="s">
        <v>6984</v>
      </c>
      <c r="DNU12" t="s">
        <v>6984</v>
      </c>
      <c r="DNV12" t="s">
        <v>6984</v>
      </c>
      <c r="DNW12" t="s">
        <v>6984</v>
      </c>
      <c r="DNX12" t="s">
        <v>6984</v>
      </c>
      <c r="DNY12" t="s">
        <v>6984</v>
      </c>
      <c r="DNZ12" t="s">
        <v>6984</v>
      </c>
      <c r="DOA12" t="s">
        <v>6984</v>
      </c>
      <c r="DOB12" t="s">
        <v>6984</v>
      </c>
      <c r="DOC12" t="s">
        <v>6984</v>
      </c>
      <c r="DOD12" t="s">
        <v>6984</v>
      </c>
      <c r="DOE12" t="s">
        <v>6984</v>
      </c>
      <c r="DOF12" t="s">
        <v>6984</v>
      </c>
      <c r="DOG12" t="s">
        <v>6984</v>
      </c>
      <c r="DOH12" t="s">
        <v>6984</v>
      </c>
      <c r="DOI12" t="s">
        <v>6984</v>
      </c>
      <c r="DOJ12" t="s">
        <v>6984</v>
      </c>
      <c r="DOK12" t="s">
        <v>6984</v>
      </c>
      <c r="DOL12" t="s">
        <v>6984</v>
      </c>
      <c r="DOM12" t="s">
        <v>6984</v>
      </c>
      <c r="DON12" t="s">
        <v>6984</v>
      </c>
      <c r="DOO12" t="s">
        <v>6984</v>
      </c>
      <c r="DOP12" t="s">
        <v>6984</v>
      </c>
      <c r="DOQ12" t="s">
        <v>6984</v>
      </c>
      <c r="DOR12" t="s">
        <v>6984</v>
      </c>
      <c r="DOS12" t="s">
        <v>6984</v>
      </c>
      <c r="DOT12" t="s">
        <v>6984</v>
      </c>
      <c r="DOU12" t="s">
        <v>6984</v>
      </c>
      <c r="DOV12" t="s">
        <v>6984</v>
      </c>
      <c r="DOW12" t="s">
        <v>6984</v>
      </c>
      <c r="DOX12" t="s">
        <v>6984</v>
      </c>
      <c r="DOY12" t="s">
        <v>6984</v>
      </c>
      <c r="DOZ12" t="s">
        <v>6984</v>
      </c>
      <c r="DPA12" t="s">
        <v>6984</v>
      </c>
      <c r="DPB12" t="s">
        <v>6984</v>
      </c>
      <c r="DPC12" t="s">
        <v>6984</v>
      </c>
      <c r="DPD12" t="s">
        <v>6984</v>
      </c>
      <c r="DPE12" t="s">
        <v>6984</v>
      </c>
      <c r="DPF12" t="s">
        <v>6984</v>
      </c>
      <c r="DPG12" t="s">
        <v>6984</v>
      </c>
      <c r="DPH12" t="s">
        <v>6984</v>
      </c>
      <c r="DPI12" t="s">
        <v>6984</v>
      </c>
      <c r="DPJ12" t="s">
        <v>6984</v>
      </c>
      <c r="DPK12" t="s">
        <v>6984</v>
      </c>
      <c r="DPL12" t="s">
        <v>6984</v>
      </c>
      <c r="DPM12" t="s">
        <v>6984</v>
      </c>
      <c r="DPN12" t="s">
        <v>6984</v>
      </c>
      <c r="DPO12" t="s">
        <v>6984</v>
      </c>
      <c r="DPP12" t="s">
        <v>6984</v>
      </c>
      <c r="DPQ12" t="s">
        <v>6984</v>
      </c>
      <c r="DPR12" t="s">
        <v>6984</v>
      </c>
      <c r="DPS12" t="s">
        <v>6984</v>
      </c>
      <c r="DPT12" t="s">
        <v>6984</v>
      </c>
      <c r="DPU12" t="s">
        <v>6984</v>
      </c>
      <c r="DPV12" t="s">
        <v>6984</v>
      </c>
      <c r="DPW12" t="s">
        <v>6984</v>
      </c>
      <c r="DPX12" t="s">
        <v>6984</v>
      </c>
      <c r="DPY12" t="s">
        <v>6984</v>
      </c>
      <c r="DPZ12" t="s">
        <v>6984</v>
      </c>
      <c r="DQA12" t="s">
        <v>6984</v>
      </c>
      <c r="DQB12" t="s">
        <v>6984</v>
      </c>
      <c r="DQC12" t="s">
        <v>6984</v>
      </c>
      <c r="DQD12" t="s">
        <v>6984</v>
      </c>
      <c r="DQE12" t="s">
        <v>6984</v>
      </c>
      <c r="DQF12" t="s">
        <v>6984</v>
      </c>
      <c r="DQG12" t="s">
        <v>6984</v>
      </c>
      <c r="DQH12" t="s">
        <v>6984</v>
      </c>
      <c r="DQI12" t="s">
        <v>6984</v>
      </c>
      <c r="DQJ12" t="s">
        <v>6984</v>
      </c>
      <c r="DQK12" t="s">
        <v>6984</v>
      </c>
      <c r="DQL12" t="s">
        <v>6984</v>
      </c>
      <c r="DQM12" t="s">
        <v>6984</v>
      </c>
      <c r="DQN12" t="s">
        <v>6984</v>
      </c>
      <c r="DQO12" t="s">
        <v>6984</v>
      </c>
      <c r="DQP12" t="s">
        <v>6984</v>
      </c>
      <c r="DQQ12" t="s">
        <v>6984</v>
      </c>
      <c r="DQR12" t="s">
        <v>6984</v>
      </c>
      <c r="DQS12" t="s">
        <v>6984</v>
      </c>
      <c r="DQT12" t="s">
        <v>6984</v>
      </c>
      <c r="DQU12" t="s">
        <v>6984</v>
      </c>
      <c r="DQV12" t="s">
        <v>6984</v>
      </c>
      <c r="DQW12" t="s">
        <v>6984</v>
      </c>
      <c r="DQX12" t="s">
        <v>6984</v>
      </c>
      <c r="DQY12" t="s">
        <v>6984</v>
      </c>
      <c r="DQZ12" t="s">
        <v>6984</v>
      </c>
      <c r="DRA12" t="s">
        <v>6984</v>
      </c>
      <c r="DRB12" t="s">
        <v>6984</v>
      </c>
      <c r="DRC12" t="s">
        <v>6984</v>
      </c>
      <c r="DRD12" t="s">
        <v>6984</v>
      </c>
      <c r="DRE12" t="s">
        <v>6984</v>
      </c>
      <c r="DRF12" t="s">
        <v>6984</v>
      </c>
      <c r="DRG12" t="s">
        <v>6984</v>
      </c>
      <c r="DRH12" t="s">
        <v>6984</v>
      </c>
      <c r="DRI12" t="s">
        <v>6984</v>
      </c>
      <c r="DRJ12" t="s">
        <v>6984</v>
      </c>
      <c r="DRK12" t="s">
        <v>6984</v>
      </c>
      <c r="DRL12" t="s">
        <v>6984</v>
      </c>
      <c r="DRM12" t="s">
        <v>6984</v>
      </c>
      <c r="DRN12" t="s">
        <v>6984</v>
      </c>
      <c r="DRO12" t="s">
        <v>6984</v>
      </c>
      <c r="DRP12" t="s">
        <v>6984</v>
      </c>
      <c r="DRQ12" t="s">
        <v>6984</v>
      </c>
      <c r="DRR12" t="s">
        <v>6984</v>
      </c>
      <c r="DRS12" t="s">
        <v>6984</v>
      </c>
      <c r="DRT12" t="s">
        <v>6984</v>
      </c>
      <c r="DRU12" t="s">
        <v>6984</v>
      </c>
      <c r="DRV12" t="s">
        <v>6984</v>
      </c>
      <c r="DRW12" t="s">
        <v>6984</v>
      </c>
      <c r="DRX12" t="s">
        <v>6984</v>
      </c>
      <c r="DRY12" t="s">
        <v>6984</v>
      </c>
      <c r="DRZ12" t="s">
        <v>6984</v>
      </c>
      <c r="DSA12" t="s">
        <v>6984</v>
      </c>
      <c r="DSB12" t="s">
        <v>6984</v>
      </c>
      <c r="DSC12" t="s">
        <v>6984</v>
      </c>
      <c r="DSD12" t="s">
        <v>6984</v>
      </c>
      <c r="DSE12" t="s">
        <v>6984</v>
      </c>
      <c r="DSF12" t="s">
        <v>6984</v>
      </c>
      <c r="DSG12" t="s">
        <v>6984</v>
      </c>
      <c r="DSH12" t="s">
        <v>6984</v>
      </c>
      <c r="DSI12" t="s">
        <v>6984</v>
      </c>
      <c r="DSJ12" t="s">
        <v>6984</v>
      </c>
      <c r="DSK12" t="s">
        <v>6984</v>
      </c>
      <c r="DSL12" t="s">
        <v>6984</v>
      </c>
      <c r="DSM12" t="s">
        <v>6984</v>
      </c>
      <c r="DSN12" t="s">
        <v>6984</v>
      </c>
      <c r="DSO12" t="s">
        <v>6984</v>
      </c>
      <c r="DSP12" t="s">
        <v>6984</v>
      </c>
      <c r="DSQ12" t="s">
        <v>6984</v>
      </c>
      <c r="DSR12" t="s">
        <v>6984</v>
      </c>
      <c r="DSS12" t="s">
        <v>6984</v>
      </c>
      <c r="DST12" t="s">
        <v>6984</v>
      </c>
      <c r="DSU12" t="s">
        <v>6984</v>
      </c>
      <c r="DSV12" t="s">
        <v>6984</v>
      </c>
      <c r="DSW12" t="s">
        <v>6984</v>
      </c>
      <c r="DSX12" t="s">
        <v>6984</v>
      </c>
      <c r="DSY12" t="s">
        <v>6984</v>
      </c>
      <c r="DSZ12" t="s">
        <v>6984</v>
      </c>
      <c r="DTA12" t="s">
        <v>6984</v>
      </c>
      <c r="DTB12" t="s">
        <v>6984</v>
      </c>
      <c r="DTC12" t="s">
        <v>6984</v>
      </c>
      <c r="DTD12" t="s">
        <v>6984</v>
      </c>
      <c r="DTE12" t="s">
        <v>6984</v>
      </c>
      <c r="DTF12" t="s">
        <v>6984</v>
      </c>
      <c r="DTG12" t="s">
        <v>6984</v>
      </c>
      <c r="DTH12" t="s">
        <v>6984</v>
      </c>
      <c r="DTI12" t="s">
        <v>6984</v>
      </c>
      <c r="DTJ12" t="s">
        <v>6984</v>
      </c>
      <c r="DTK12" t="s">
        <v>6984</v>
      </c>
      <c r="DTL12" t="s">
        <v>6984</v>
      </c>
      <c r="DTM12" t="s">
        <v>6984</v>
      </c>
      <c r="DTN12" t="s">
        <v>6984</v>
      </c>
      <c r="DTO12" t="s">
        <v>6984</v>
      </c>
      <c r="DTP12" t="s">
        <v>6984</v>
      </c>
      <c r="DTQ12" t="s">
        <v>6984</v>
      </c>
      <c r="DTR12" t="s">
        <v>6984</v>
      </c>
      <c r="DTS12" t="s">
        <v>6984</v>
      </c>
      <c r="DTT12" t="s">
        <v>6984</v>
      </c>
      <c r="DTU12" t="s">
        <v>6984</v>
      </c>
      <c r="DTV12" t="s">
        <v>6984</v>
      </c>
      <c r="DTW12" t="s">
        <v>6984</v>
      </c>
      <c r="DTX12" t="s">
        <v>6984</v>
      </c>
      <c r="DTY12" t="s">
        <v>6984</v>
      </c>
      <c r="DTZ12" t="s">
        <v>6984</v>
      </c>
      <c r="DUA12" t="s">
        <v>6984</v>
      </c>
      <c r="DUB12" t="s">
        <v>6984</v>
      </c>
      <c r="DUC12" t="s">
        <v>6984</v>
      </c>
      <c r="DUD12" t="s">
        <v>6984</v>
      </c>
      <c r="DUE12" t="s">
        <v>6984</v>
      </c>
      <c r="DUF12" t="s">
        <v>6984</v>
      </c>
      <c r="DUG12" t="s">
        <v>6984</v>
      </c>
      <c r="DUH12" t="s">
        <v>6984</v>
      </c>
      <c r="DUI12" t="s">
        <v>6984</v>
      </c>
      <c r="DUJ12" t="s">
        <v>6984</v>
      </c>
      <c r="DUK12" t="s">
        <v>6984</v>
      </c>
      <c r="DUL12" t="s">
        <v>6984</v>
      </c>
      <c r="DUM12" t="s">
        <v>6984</v>
      </c>
      <c r="DUN12" t="s">
        <v>6984</v>
      </c>
      <c r="DUO12" t="s">
        <v>6984</v>
      </c>
      <c r="DUP12" t="s">
        <v>6984</v>
      </c>
      <c r="DUQ12" t="s">
        <v>6984</v>
      </c>
      <c r="DUR12" t="s">
        <v>6984</v>
      </c>
      <c r="DUS12" t="s">
        <v>6984</v>
      </c>
      <c r="DUT12" t="s">
        <v>6984</v>
      </c>
      <c r="DUU12" t="s">
        <v>6984</v>
      </c>
      <c r="DUV12" t="s">
        <v>6984</v>
      </c>
      <c r="DUW12" t="s">
        <v>6984</v>
      </c>
      <c r="DUX12" t="s">
        <v>6984</v>
      </c>
      <c r="DUY12" t="s">
        <v>6984</v>
      </c>
      <c r="DUZ12" t="s">
        <v>6984</v>
      </c>
      <c r="DVA12" t="s">
        <v>6984</v>
      </c>
      <c r="DVB12" t="s">
        <v>6984</v>
      </c>
      <c r="DVC12" t="s">
        <v>6984</v>
      </c>
      <c r="DVD12" t="s">
        <v>6984</v>
      </c>
      <c r="DVE12" t="s">
        <v>6984</v>
      </c>
      <c r="DVF12" t="s">
        <v>6984</v>
      </c>
      <c r="DVG12" t="s">
        <v>6984</v>
      </c>
      <c r="DVH12" t="s">
        <v>6984</v>
      </c>
      <c r="DVI12" t="s">
        <v>6984</v>
      </c>
      <c r="DVJ12" t="s">
        <v>6984</v>
      </c>
      <c r="DVK12" t="s">
        <v>6984</v>
      </c>
      <c r="DVL12" t="s">
        <v>6984</v>
      </c>
      <c r="DVM12" t="s">
        <v>6984</v>
      </c>
      <c r="DVN12" t="s">
        <v>6984</v>
      </c>
      <c r="DVO12" t="s">
        <v>6984</v>
      </c>
      <c r="DVP12" t="s">
        <v>6984</v>
      </c>
      <c r="DVQ12" t="s">
        <v>6984</v>
      </c>
      <c r="DVR12" t="s">
        <v>6984</v>
      </c>
      <c r="DVS12" t="s">
        <v>6984</v>
      </c>
      <c r="DVT12" t="s">
        <v>6984</v>
      </c>
      <c r="DVU12" t="s">
        <v>6984</v>
      </c>
      <c r="DVV12" t="s">
        <v>6984</v>
      </c>
      <c r="DVW12" t="s">
        <v>6984</v>
      </c>
      <c r="DVX12" t="s">
        <v>6984</v>
      </c>
      <c r="DVY12" t="s">
        <v>6984</v>
      </c>
      <c r="DVZ12" t="s">
        <v>6984</v>
      </c>
      <c r="DWA12" t="s">
        <v>6984</v>
      </c>
      <c r="DWB12" t="s">
        <v>6984</v>
      </c>
      <c r="DWC12" t="s">
        <v>6984</v>
      </c>
      <c r="DWD12" t="s">
        <v>6984</v>
      </c>
      <c r="DWE12" t="s">
        <v>6984</v>
      </c>
      <c r="DWF12" t="s">
        <v>6984</v>
      </c>
      <c r="DWG12" t="s">
        <v>6984</v>
      </c>
      <c r="DWH12" t="s">
        <v>6984</v>
      </c>
      <c r="DWI12" t="s">
        <v>6984</v>
      </c>
      <c r="DWJ12" t="s">
        <v>6984</v>
      </c>
      <c r="DWK12" t="s">
        <v>6984</v>
      </c>
      <c r="DWL12" t="s">
        <v>6984</v>
      </c>
      <c r="DWM12" t="s">
        <v>6984</v>
      </c>
      <c r="DWN12" t="s">
        <v>6984</v>
      </c>
      <c r="DWO12" t="s">
        <v>6984</v>
      </c>
      <c r="DWP12" t="s">
        <v>6984</v>
      </c>
      <c r="DWQ12" t="s">
        <v>6984</v>
      </c>
      <c r="DWR12" t="s">
        <v>6984</v>
      </c>
      <c r="DWS12" t="s">
        <v>6984</v>
      </c>
      <c r="DWT12" t="s">
        <v>6984</v>
      </c>
      <c r="DWU12" t="s">
        <v>6984</v>
      </c>
      <c r="DWV12" t="s">
        <v>6984</v>
      </c>
      <c r="DWW12" t="s">
        <v>6984</v>
      </c>
      <c r="DWX12" t="s">
        <v>6984</v>
      </c>
      <c r="DWY12" t="s">
        <v>6984</v>
      </c>
      <c r="DWZ12" t="s">
        <v>6984</v>
      </c>
      <c r="DXA12" t="s">
        <v>6984</v>
      </c>
      <c r="DXB12" t="s">
        <v>6984</v>
      </c>
      <c r="DXC12" t="s">
        <v>6984</v>
      </c>
      <c r="DXD12" t="s">
        <v>6984</v>
      </c>
      <c r="DXE12" t="s">
        <v>6984</v>
      </c>
      <c r="DXF12" t="s">
        <v>6984</v>
      </c>
      <c r="DXG12" t="s">
        <v>6984</v>
      </c>
      <c r="DXH12" t="s">
        <v>6984</v>
      </c>
      <c r="DXI12" t="s">
        <v>6984</v>
      </c>
      <c r="DXJ12" t="s">
        <v>6984</v>
      </c>
      <c r="DXK12" t="s">
        <v>6984</v>
      </c>
      <c r="DXL12" t="s">
        <v>6984</v>
      </c>
      <c r="DXM12" t="s">
        <v>6984</v>
      </c>
      <c r="DXN12" t="s">
        <v>6984</v>
      </c>
      <c r="DXO12" t="s">
        <v>6984</v>
      </c>
      <c r="DXP12" t="s">
        <v>6984</v>
      </c>
      <c r="DXQ12" t="s">
        <v>6984</v>
      </c>
      <c r="DXR12" t="s">
        <v>6984</v>
      </c>
      <c r="DXS12" t="s">
        <v>6984</v>
      </c>
      <c r="DXT12" t="s">
        <v>6984</v>
      </c>
      <c r="DXU12" t="s">
        <v>6984</v>
      </c>
      <c r="DXV12" t="s">
        <v>6984</v>
      </c>
      <c r="DXW12" t="s">
        <v>6984</v>
      </c>
      <c r="DXX12" t="s">
        <v>6984</v>
      </c>
      <c r="DXY12" t="s">
        <v>6984</v>
      </c>
      <c r="DXZ12" t="s">
        <v>6984</v>
      </c>
      <c r="DYA12" t="s">
        <v>6984</v>
      </c>
      <c r="DYB12" t="s">
        <v>6984</v>
      </c>
      <c r="DYC12" t="s">
        <v>6984</v>
      </c>
      <c r="DYD12" t="s">
        <v>6984</v>
      </c>
      <c r="DYE12" t="s">
        <v>6984</v>
      </c>
      <c r="DYF12" t="s">
        <v>6984</v>
      </c>
      <c r="DYG12" t="s">
        <v>6984</v>
      </c>
      <c r="DYH12" t="s">
        <v>6984</v>
      </c>
      <c r="DYI12" t="s">
        <v>6984</v>
      </c>
      <c r="DYJ12" t="s">
        <v>6984</v>
      </c>
      <c r="DYK12" t="s">
        <v>6984</v>
      </c>
      <c r="DYL12" t="s">
        <v>6984</v>
      </c>
      <c r="DYM12" t="s">
        <v>6984</v>
      </c>
      <c r="DYN12" t="s">
        <v>6984</v>
      </c>
      <c r="DYO12" t="s">
        <v>6984</v>
      </c>
      <c r="DYP12" t="s">
        <v>6984</v>
      </c>
      <c r="DYQ12" t="s">
        <v>6984</v>
      </c>
      <c r="DYR12" t="s">
        <v>6984</v>
      </c>
      <c r="DYS12" t="s">
        <v>6984</v>
      </c>
      <c r="DYT12" t="s">
        <v>6984</v>
      </c>
      <c r="DYU12" t="s">
        <v>6984</v>
      </c>
      <c r="DYV12" t="s">
        <v>6984</v>
      </c>
      <c r="DYW12" t="s">
        <v>6984</v>
      </c>
      <c r="DYX12" t="s">
        <v>6984</v>
      </c>
      <c r="DYY12" t="s">
        <v>6984</v>
      </c>
      <c r="DYZ12" t="s">
        <v>6984</v>
      </c>
      <c r="DZA12" t="s">
        <v>6984</v>
      </c>
      <c r="DZB12" t="s">
        <v>6984</v>
      </c>
      <c r="DZC12" t="s">
        <v>6984</v>
      </c>
      <c r="DZD12" t="s">
        <v>6984</v>
      </c>
      <c r="DZE12" t="s">
        <v>6984</v>
      </c>
      <c r="DZF12" t="s">
        <v>6984</v>
      </c>
      <c r="DZG12" t="s">
        <v>6984</v>
      </c>
      <c r="DZH12" t="s">
        <v>6984</v>
      </c>
      <c r="DZI12" t="s">
        <v>6984</v>
      </c>
      <c r="DZJ12" t="s">
        <v>6984</v>
      </c>
      <c r="DZK12" t="s">
        <v>6984</v>
      </c>
      <c r="DZL12" t="s">
        <v>6984</v>
      </c>
      <c r="DZM12" t="s">
        <v>6984</v>
      </c>
      <c r="DZN12" t="s">
        <v>6984</v>
      </c>
      <c r="DZO12" t="s">
        <v>6984</v>
      </c>
      <c r="DZP12" t="s">
        <v>6984</v>
      </c>
      <c r="DZQ12" t="s">
        <v>6984</v>
      </c>
      <c r="DZR12" t="s">
        <v>6984</v>
      </c>
      <c r="DZS12" t="s">
        <v>6984</v>
      </c>
      <c r="DZT12" t="s">
        <v>6984</v>
      </c>
      <c r="DZU12" t="s">
        <v>6984</v>
      </c>
      <c r="DZV12" t="s">
        <v>6984</v>
      </c>
      <c r="DZW12" t="s">
        <v>6984</v>
      </c>
      <c r="DZX12" t="s">
        <v>6984</v>
      </c>
      <c r="DZY12" t="s">
        <v>6984</v>
      </c>
      <c r="DZZ12" t="s">
        <v>6984</v>
      </c>
      <c r="EAA12" t="s">
        <v>6984</v>
      </c>
      <c r="EAB12" t="s">
        <v>6984</v>
      </c>
      <c r="EAC12" t="s">
        <v>6984</v>
      </c>
      <c r="EAD12" t="s">
        <v>6984</v>
      </c>
      <c r="EAE12" t="s">
        <v>6984</v>
      </c>
      <c r="EAF12" t="s">
        <v>6984</v>
      </c>
      <c r="EAG12" t="s">
        <v>6984</v>
      </c>
      <c r="EAH12" t="s">
        <v>6984</v>
      </c>
      <c r="EAI12" t="s">
        <v>6984</v>
      </c>
      <c r="EAJ12" t="s">
        <v>6984</v>
      </c>
      <c r="EAK12" t="s">
        <v>6984</v>
      </c>
      <c r="EAL12" t="s">
        <v>6984</v>
      </c>
      <c r="EAM12" t="s">
        <v>6984</v>
      </c>
      <c r="EAN12" t="s">
        <v>6984</v>
      </c>
      <c r="EAO12" t="s">
        <v>6984</v>
      </c>
      <c r="EAP12" t="s">
        <v>6984</v>
      </c>
      <c r="EAQ12" t="s">
        <v>6984</v>
      </c>
      <c r="EAR12" t="s">
        <v>6984</v>
      </c>
      <c r="EAS12" t="s">
        <v>6984</v>
      </c>
      <c r="EAT12" t="s">
        <v>6984</v>
      </c>
      <c r="EAU12" t="s">
        <v>6984</v>
      </c>
      <c r="EAV12" t="s">
        <v>6984</v>
      </c>
      <c r="EAW12" t="s">
        <v>6984</v>
      </c>
      <c r="EAX12" t="s">
        <v>6984</v>
      </c>
      <c r="EAY12" t="s">
        <v>6984</v>
      </c>
      <c r="EAZ12" t="s">
        <v>6984</v>
      </c>
      <c r="EBA12" t="s">
        <v>6984</v>
      </c>
      <c r="EBB12" t="s">
        <v>6984</v>
      </c>
      <c r="EBC12" t="s">
        <v>6984</v>
      </c>
      <c r="EBD12" t="s">
        <v>6984</v>
      </c>
      <c r="EBE12" t="s">
        <v>6984</v>
      </c>
      <c r="EBF12" t="s">
        <v>6984</v>
      </c>
      <c r="EBG12" t="s">
        <v>6984</v>
      </c>
      <c r="EBH12" t="s">
        <v>6984</v>
      </c>
      <c r="EBI12" t="s">
        <v>6984</v>
      </c>
      <c r="EBJ12" t="s">
        <v>6984</v>
      </c>
      <c r="EBK12" t="s">
        <v>6984</v>
      </c>
      <c r="EBL12" t="s">
        <v>6984</v>
      </c>
      <c r="EBM12" t="s">
        <v>6984</v>
      </c>
      <c r="EBN12" t="s">
        <v>6984</v>
      </c>
      <c r="EBO12" t="s">
        <v>6984</v>
      </c>
      <c r="EBP12" t="s">
        <v>6984</v>
      </c>
      <c r="EBQ12" t="s">
        <v>6984</v>
      </c>
      <c r="EBR12" t="s">
        <v>6984</v>
      </c>
      <c r="EBS12" t="s">
        <v>6984</v>
      </c>
      <c r="EBT12" t="s">
        <v>6984</v>
      </c>
      <c r="EBU12" t="s">
        <v>6984</v>
      </c>
      <c r="EBV12" t="s">
        <v>6984</v>
      </c>
      <c r="EBW12" t="s">
        <v>6984</v>
      </c>
      <c r="EBX12" t="s">
        <v>6984</v>
      </c>
      <c r="EBY12" t="s">
        <v>6984</v>
      </c>
      <c r="EBZ12" t="s">
        <v>6984</v>
      </c>
      <c r="ECA12" t="s">
        <v>6984</v>
      </c>
      <c r="ECB12" t="s">
        <v>6984</v>
      </c>
      <c r="ECC12" t="s">
        <v>6984</v>
      </c>
      <c r="ECD12" t="s">
        <v>6984</v>
      </c>
      <c r="ECE12" t="s">
        <v>6984</v>
      </c>
      <c r="ECF12" t="s">
        <v>6984</v>
      </c>
      <c r="ECG12" t="s">
        <v>6984</v>
      </c>
      <c r="ECH12" t="s">
        <v>6984</v>
      </c>
      <c r="ECI12" t="s">
        <v>6984</v>
      </c>
      <c r="ECJ12" t="s">
        <v>6984</v>
      </c>
      <c r="ECK12" t="s">
        <v>6984</v>
      </c>
      <c r="ECL12" t="s">
        <v>6984</v>
      </c>
      <c r="ECM12" t="s">
        <v>6984</v>
      </c>
      <c r="ECN12" t="s">
        <v>6984</v>
      </c>
      <c r="ECO12" t="s">
        <v>6984</v>
      </c>
      <c r="ECP12" t="s">
        <v>6984</v>
      </c>
      <c r="ECQ12" t="s">
        <v>6984</v>
      </c>
      <c r="ECR12" t="s">
        <v>6984</v>
      </c>
      <c r="ECS12" t="s">
        <v>6984</v>
      </c>
      <c r="ECT12" t="s">
        <v>6984</v>
      </c>
      <c r="ECU12" t="s">
        <v>6984</v>
      </c>
      <c r="ECV12" t="s">
        <v>6984</v>
      </c>
      <c r="ECW12" t="s">
        <v>6984</v>
      </c>
      <c r="ECX12" t="s">
        <v>6984</v>
      </c>
      <c r="ECY12" t="s">
        <v>6984</v>
      </c>
      <c r="ECZ12" t="s">
        <v>6984</v>
      </c>
      <c r="EDA12" t="s">
        <v>6984</v>
      </c>
      <c r="EDB12" t="s">
        <v>6984</v>
      </c>
      <c r="EDC12" t="s">
        <v>6984</v>
      </c>
      <c r="EDD12" t="s">
        <v>6984</v>
      </c>
      <c r="EDE12" t="s">
        <v>6984</v>
      </c>
      <c r="EDF12" t="s">
        <v>6984</v>
      </c>
      <c r="EDG12" t="s">
        <v>6984</v>
      </c>
      <c r="EDH12" t="s">
        <v>6984</v>
      </c>
      <c r="EDI12" t="s">
        <v>6984</v>
      </c>
      <c r="EDJ12" t="s">
        <v>6984</v>
      </c>
      <c r="EDK12" t="s">
        <v>6984</v>
      </c>
      <c r="EDL12" t="s">
        <v>6984</v>
      </c>
      <c r="EDM12" t="s">
        <v>6984</v>
      </c>
      <c r="EDN12" t="s">
        <v>6984</v>
      </c>
      <c r="EDO12" t="s">
        <v>6984</v>
      </c>
      <c r="EDP12" t="s">
        <v>6984</v>
      </c>
      <c r="EDQ12" t="s">
        <v>6984</v>
      </c>
      <c r="EDR12" t="s">
        <v>6984</v>
      </c>
      <c r="EDS12" t="s">
        <v>6984</v>
      </c>
      <c r="EDT12" t="s">
        <v>6984</v>
      </c>
      <c r="EDU12" t="s">
        <v>6984</v>
      </c>
      <c r="EDV12" t="s">
        <v>6984</v>
      </c>
      <c r="EDW12" t="s">
        <v>6984</v>
      </c>
      <c r="EDX12" t="s">
        <v>6984</v>
      </c>
      <c r="EDY12" t="s">
        <v>6984</v>
      </c>
      <c r="EDZ12" t="s">
        <v>6984</v>
      </c>
      <c r="EEA12" t="s">
        <v>6984</v>
      </c>
      <c r="EEB12" t="s">
        <v>6984</v>
      </c>
      <c r="EEC12" t="s">
        <v>6984</v>
      </c>
      <c r="EED12" t="s">
        <v>6984</v>
      </c>
      <c r="EEE12" t="s">
        <v>6984</v>
      </c>
      <c r="EEF12" t="s">
        <v>6984</v>
      </c>
      <c r="EEG12" t="s">
        <v>6984</v>
      </c>
      <c r="EEH12" t="s">
        <v>6984</v>
      </c>
      <c r="EEI12" t="s">
        <v>6984</v>
      </c>
      <c r="EEJ12" t="s">
        <v>6984</v>
      </c>
      <c r="EEK12" t="s">
        <v>6984</v>
      </c>
      <c r="EEL12" t="s">
        <v>6984</v>
      </c>
      <c r="EEM12" t="s">
        <v>6984</v>
      </c>
      <c r="EEN12" t="s">
        <v>6984</v>
      </c>
      <c r="EEO12" t="s">
        <v>6984</v>
      </c>
      <c r="EEP12" t="s">
        <v>6984</v>
      </c>
      <c r="EEQ12" t="s">
        <v>6984</v>
      </c>
      <c r="EER12" t="s">
        <v>6984</v>
      </c>
      <c r="EES12" t="s">
        <v>6984</v>
      </c>
      <c r="EET12" t="s">
        <v>6984</v>
      </c>
      <c r="EEU12" t="s">
        <v>6984</v>
      </c>
      <c r="EEV12" t="s">
        <v>6984</v>
      </c>
      <c r="EEW12" t="s">
        <v>6984</v>
      </c>
      <c r="EEX12" t="s">
        <v>6984</v>
      </c>
      <c r="EEY12" t="s">
        <v>6984</v>
      </c>
      <c r="EEZ12" t="s">
        <v>6984</v>
      </c>
      <c r="EFA12" t="s">
        <v>6984</v>
      </c>
      <c r="EFB12" t="s">
        <v>6984</v>
      </c>
      <c r="EFC12" t="s">
        <v>6984</v>
      </c>
      <c r="EFD12" t="s">
        <v>6984</v>
      </c>
      <c r="EFE12" t="s">
        <v>6984</v>
      </c>
      <c r="EFF12" t="s">
        <v>6984</v>
      </c>
      <c r="EFG12" t="s">
        <v>6984</v>
      </c>
      <c r="EFH12" t="s">
        <v>6984</v>
      </c>
      <c r="EFI12" t="s">
        <v>6984</v>
      </c>
      <c r="EFJ12" t="s">
        <v>6984</v>
      </c>
      <c r="EFK12" t="s">
        <v>6984</v>
      </c>
      <c r="EFL12" t="s">
        <v>6984</v>
      </c>
      <c r="EFM12" t="s">
        <v>6984</v>
      </c>
      <c r="EFN12" t="s">
        <v>6984</v>
      </c>
      <c r="EFO12" t="s">
        <v>6984</v>
      </c>
      <c r="EFP12" t="s">
        <v>6984</v>
      </c>
      <c r="EFQ12" t="s">
        <v>6984</v>
      </c>
      <c r="EFR12" t="s">
        <v>6984</v>
      </c>
      <c r="EFS12" t="s">
        <v>6984</v>
      </c>
      <c r="EFT12" t="s">
        <v>6984</v>
      </c>
      <c r="EFU12" t="s">
        <v>6984</v>
      </c>
      <c r="EFV12" t="s">
        <v>6984</v>
      </c>
      <c r="EFW12" t="s">
        <v>6984</v>
      </c>
      <c r="EFX12" t="s">
        <v>6984</v>
      </c>
      <c r="EFY12" t="s">
        <v>6984</v>
      </c>
      <c r="EFZ12" t="s">
        <v>6984</v>
      </c>
      <c r="EGA12" t="s">
        <v>6984</v>
      </c>
      <c r="EGB12" t="s">
        <v>6984</v>
      </c>
      <c r="EGC12" t="s">
        <v>6984</v>
      </c>
      <c r="EGD12" t="s">
        <v>6984</v>
      </c>
      <c r="EGE12" t="s">
        <v>6984</v>
      </c>
      <c r="EGF12" t="s">
        <v>6984</v>
      </c>
      <c r="EGG12" t="s">
        <v>6984</v>
      </c>
      <c r="EGH12" t="s">
        <v>6984</v>
      </c>
      <c r="EGI12" t="s">
        <v>6984</v>
      </c>
      <c r="EGJ12" t="s">
        <v>6984</v>
      </c>
      <c r="EGK12" t="s">
        <v>6984</v>
      </c>
      <c r="EGL12" t="s">
        <v>6984</v>
      </c>
      <c r="EGM12" t="s">
        <v>6984</v>
      </c>
      <c r="EGN12" t="s">
        <v>6984</v>
      </c>
      <c r="EGO12" t="s">
        <v>6984</v>
      </c>
      <c r="EGP12" t="s">
        <v>6984</v>
      </c>
      <c r="EGQ12" t="s">
        <v>6984</v>
      </c>
      <c r="EGR12" t="s">
        <v>6984</v>
      </c>
      <c r="EGS12" t="s">
        <v>6984</v>
      </c>
      <c r="EGT12" t="s">
        <v>6984</v>
      </c>
      <c r="EGU12" t="s">
        <v>6984</v>
      </c>
      <c r="EGV12" t="s">
        <v>6984</v>
      </c>
      <c r="EGW12" t="s">
        <v>6984</v>
      </c>
      <c r="EGX12" t="s">
        <v>6984</v>
      </c>
      <c r="EGY12" t="s">
        <v>6984</v>
      </c>
      <c r="EGZ12" t="s">
        <v>6984</v>
      </c>
      <c r="EHA12" t="s">
        <v>6984</v>
      </c>
      <c r="EHB12" t="s">
        <v>6984</v>
      </c>
      <c r="EHC12" t="s">
        <v>6984</v>
      </c>
      <c r="EHD12" t="s">
        <v>6984</v>
      </c>
      <c r="EHE12" t="s">
        <v>6984</v>
      </c>
      <c r="EHF12" t="s">
        <v>6984</v>
      </c>
      <c r="EHG12" t="s">
        <v>6984</v>
      </c>
      <c r="EHH12" t="s">
        <v>6984</v>
      </c>
      <c r="EHI12" t="s">
        <v>6984</v>
      </c>
      <c r="EHJ12" t="s">
        <v>6984</v>
      </c>
      <c r="EHK12" t="s">
        <v>6984</v>
      </c>
      <c r="EHL12" t="s">
        <v>6984</v>
      </c>
      <c r="EHM12" t="s">
        <v>6984</v>
      </c>
      <c r="EHN12" t="s">
        <v>6984</v>
      </c>
      <c r="EHO12" t="s">
        <v>6984</v>
      </c>
      <c r="EHP12" t="s">
        <v>6984</v>
      </c>
      <c r="EHQ12" t="s">
        <v>6984</v>
      </c>
      <c r="EHR12" t="s">
        <v>6984</v>
      </c>
      <c r="EHS12" t="s">
        <v>6984</v>
      </c>
      <c r="EHT12" t="s">
        <v>6984</v>
      </c>
      <c r="EHU12" t="s">
        <v>6984</v>
      </c>
      <c r="EHV12" t="s">
        <v>6984</v>
      </c>
      <c r="EHW12" t="s">
        <v>6984</v>
      </c>
      <c r="EHX12" t="s">
        <v>6984</v>
      </c>
      <c r="EHY12" t="s">
        <v>6984</v>
      </c>
      <c r="EHZ12" t="s">
        <v>6984</v>
      </c>
      <c r="EIA12" t="s">
        <v>6984</v>
      </c>
      <c r="EIB12" t="s">
        <v>6984</v>
      </c>
      <c r="EIC12" t="s">
        <v>6984</v>
      </c>
      <c r="EID12" t="s">
        <v>6984</v>
      </c>
      <c r="EIE12" t="s">
        <v>6984</v>
      </c>
      <c r="EIF12" t="s">
        <v>6984</v>
      </c>
      <c r="EIG12" t="s">
        <v>6984</v>
      </c>
      <c r="EIH12" t="s">
        <v>6984</v>
      </c>
      <c r="EII12" t="s">
        <v>6984</v>
      </c>
      <c r="EIJ12" t="s">
        <v>6984</v>
      </c>
      <c r="EIK12" t="s">
        <v>6984</v>
      </c>
      <c r="EIL12" t="s">
        <v>6984</v>
      </c>
      <c r="EIM12" t="s">
        <v>6984</v>
      </c>
      <c r="EIN12" t="s">
        <v>6984</v>
      </c>
      <c r="EIO12" t="s">
        <v>6984</v>
      </c>
      <c r="EIP12" t="s">
        <v>6984</v>
      </c>
      <c r="EIQ12" t="s">
        <v>6984</v>
      </c>
      <c r="EIR12" t="s">
        <v>6984</v>
      </c>
      <c r="EIS12" t="s">
        <v>6984</v>
      </c>
      <c r="EIT12" t="s">
        <v>6984</v>
      </c>
      <c r="EIU12" t="s">
        <v>6984</v>
      </c>
      <c r="EIV12" t="s">
        <v>6984</v>
      </c>
      <c r="EIW12" t="s">
        <v>6984</v>
      </c>
      <c r="EIX12" t="s">
        <v>6984</v>
      </c>
      <c r="EIY12" t="s">
        <v>6984</v>
      </c>
      <c r="EIZ12" t="s">
        <v>6984</v>
      </c>
      <c r="EJA12" t="s">
        <v>6984</v>
      </c>
      <c r="EJB12" t="s">
        <v>6984</v>
      </c>
      <c r="EJC12" t="s">
        <v>6984</v>
      </c>
      <c r="EJD12" t="s">
        <v>6984</v>
      </c>
      <c r="EJE12" t="s">
        <v>6984</v>
      </c>
      <c r="EJF12" t="s">
        <v>6984</v>
      </c>
      <c r="EJG12" t="s">
        <v>6984</v>
      </c>
      <c r="EJH12" t="s">
        <v>6984</v>
      </c>
      <c r="EJI12" t="s">
        <v>6984</v>
      </c>
      <c r="EJJ12" t="s">
        <v>6984</v>
      </c>
      <c r="EJK12" t="s">
        <v>6984</v>
      </c>
      <c r="EJL12" t="s">
        <v>6984</v>
      </c>
      <c r="EJM12" t="s">
        <v>6984</v>
      </c>
      <c r="EJN12" t="s">
        <v>6984</v>
      </c>
      <c r="EJO12" t="s">
        <v>6984</v>
      </c>
      <c r="EJP12" t="s">
        <v>6984</v>
      </c>
      <c r="EJQ12" t="s">
        <v>6984</v>
      </c>
      <c r="EJR12" t="s">
        <v>6984</v>
      </c>
      <c r="EJS12" t="s">
        <v>6984</v>
      </c>
      <c r="EJT12" t="s">
        <v>6984</v>
      </c>
      <c r="EJU12" t="s">
        <v>6984</v>
      </c>
      <c r="EJV12" t="s">
        <v>6984</v>
      </c>
      <c r="EJW12" t="s">
        <v>6984</v>
      </c>
      <c r="EJX12" t="s">
        <v>6984</v>
      </c>
      <c r="EJY12" t="s">
        <v>6984</v>
      </c>
      <c r="EJZ12" t="s">
        <v>6984</v>
      </c>
      <c r="EKA12" t="s">
        <v>6984</v>
      </c>
      <c r="EKB12" t="s">
        <v>6984</v>
      </c>
      <c r="EKC12" t="s">
        <v>6984</v>
      </c>
      <c r="EKD12" t="s">
        <v>6984</v>
      </c>
      <c r="EKE12" t="s">
        <v>6984</v>
      </c>
      <c r="EKF12" t="s">
        <v>6984</v>
      </c>
      <c r="EKG12" t="s">
        <v>6984</v>
      </c>
      <c r="EKH12" t="s">
        <v>6984</v>
      </c>
      <c r="EKI12" t="s">
        <v>6984</v>
      </c>
      <c r="EKJ12" t="s">
        <v>6984</v>
      </c>
      <c r="EKK12" t="s">
        <v>6984</v>
      </c>
      <c r="EKL12" t="s">
        <v>6984</v>
      </c>
      <c r="EKM12" t="s">
        <v>6984</v>
      </c>
      <c r="EKN12" t="s">
        <v>6984</v>
      </c>
      <c r="EKO12" t="s">
        <v>6984</v>
      </c>
      <c r="EKP12" t="s">
        <v>6984</v>
      </c>
      <c r="EKQ12" t="s">
        <v>6984</v>
      </c>
      <c r="EKR12" t="s">
        <v>6984</v>
      </c>
      <c r="EKS12" t="s">
        <v>6984</v>
      </c>
      <c r="EKT12" t="s">
        <v>6984</v>
      </c>
      <c r="EKU12" t="s">
        <v>6984</v>
      </c>
      <c r="EKV12" t="s">
        <v>6984</v>
      </c>
      <c r="EKW12" t="s">
        <v>6984</v>
      </c>
      <c r="EKX12" t="s">
        <v>6984</v>
      </c>
      <c r="EKY12" t="s">
        <v>6984</v>
      </c>
      <c r="EKZ12" t="s">
        <v>6984</v>
      </c>
      <c r="ELA12" t="s">
        <v>6984</v>
      </c>
      <c r="ELB12" t="s">
        <v>6984</v>
      </c>
      <c r="ELC12" t="s">
        <v>6984</v>
      </c>
      <c r="ELD12" t="s">
        <v>6984</v>
      </c>
      <c r="ELE12" t="s">
        <v>6984</v>
      </c>
      <c r="ELF12" t="s">
        <v>6984</v>
      </c>
      <c r="ELG12" t="s">
        <v>6984</v>
      </c>
      <c r="ELH12" t="s">
        <v>6984</v>
      </c>
      <c r="ELI12" t="s">
        <v>6984</v>
      </c>
      <c r="ELJ12" t="s">
        <v>6984</v>
      </c>
      <c r="ELK12" t="s">
        <v>6984</v>
      </c>
      <c r="ELL12" t="s">
        <v>6984</v>
      </c>
      <c r="ELM12" t="s">
        <v>6984</v>
      </c>
      <c r="ELN12" t="s">
        <v>6984</v>
      </c>
      <c r="ELO12" t="s">
        <v>6984</v>
      </c>
      <c r="ELP12" t="s">
        <v>6984</v>
      </c>
      <c r="ELQ12" t="s">
        <v>6984</v>
      </c>
      <c r="ELR12" t="s">
        <v>6984</v>
      </c>
      <c r="ELS12" t="s">
        <v>6984</v>
      </c>
      <c r="ELT12" t="s">
        <v>6984</v>
      </c>
      <c r="ELU12" t="s">
        <v>6984</v>
      </c>
      <c r="ELV12" t="s">
        <v>6984</v>
      </c>
      <c r="ELW12" t="s">
        <v>6984</v>
      </c>
      <c r="ELX12" t="s">
        <v>6984</v>
      </c>
      <c r="ELY12" t="s">
        <v>6984</v>
      </c>
      <c r="ELZ12" t="s">
        <v>6984</v>
      </c>
      <c r="EMA12" t="s">
        <v>6984</v>
      </c>
      <c r="EMB12" t="s">
        <v>6984</v>
      </c>
      <c r="EMC12" t="s">
        <v>6984</v>
      </c>
      <c r="EMD12" t="s">
        <v>6984</v>
      </c>
      <c r="EME12" t="s">
        <v>6984</v>
      </c>
      <c r="EMF12" t="s">
        <v>6984</v>
      </c>
      <c r="EMG12" t="s">
        <v>6984</v>
      </c>
      <c r="EMH12" t="s">
        <v>6984</v>
      </c>
      <c r="EMI12" t="s">
        <v>6984</v>
      </c>
      <c r="EMJ12" t="s">
        <v>6984</v>
      </c>
      <c r="EMK12" t="s">
        <v>6984</v>
      </c>
      <c r="EML12" t="s">
        <v>6984</v>
      </c>
      <c r="EMM12" t="s">
        <v>6984</v>
      </c>
      <c r="EMN12" t="s">
        <v>6984</v>
      </c>
      <c r="EMO12" t="s">
        <v>6984</v>
      </c>
      <c r="EMP12" t="s">
        <v>6984</v>
      </c>
      <c r="EMQ12" t="s">
        <v>6984</v>
      </c>
      <c r="EMR12" t="s">
        <v>6984</v>
      </c>
      <c r="EMS12" t="s">
        <v>6984</v>
      </c>
      <c r="EMT12" t="s">
        <v>6984</v>
      </c>
      <c r="EMU12" t="s">
        <v>6984</v>
      </c>
      <c r="EMV12" t="s">
        <v>6984</v>
      </c>
      <c r="EMW12" t="s">
        <v>6984</v>
      </c>
      <c r="EMX12" t="s">
        <v>6984</v>
      </c>
      <c r="EMY12" t="s">
        <v>6984</v>
      </c>
      <c r="EMZ12" t="s">
        <v>6984</v>
      </c>
      <c r="ENA12" t="s">
        <v>6984</v>
      </c>
      <c r="ENB12" t="s">
        <v>6984</v>
      </c>
      <c r="ENC12" t="s">
        <v>6984</v>
      </c>
      <c r="END12" t="s">
        <v>6984</v>
      </c>
      <c r="ENE12" t="s">
        <v>6984</v>
      </c>
      <c r="ENF12" t="s">
        <v>6984</v>
      </c>
      <c r="ENG12" t="s">
        <v>6984</v>
      </c>
      <c r="ENH12" t="s">
        <v>6984</v>
      </c>
      <c r="ENI12" t="s">
        <v>6984</v>
      </c>
      <c r="ENJ12" t="s">
        <v>6984</v>
      </c>
      <c r="ENK12" t="s">
        <v>6984</v>
      </c>
      <c r="ENL12" t="s">
        <v>6984</v>
      </c>
      <c r="ENM12" t="s">
        <v>6984</v>
      </c>
      <c r="ENN12" t="s">
        <v>6984</v>
      </c>
      <c r="ENO12" t="s">
        <v>6984</v>
      </c>
      <c r="ENP12" t="s">
        <v>6984</v>
      </c>
      <c r="ENQ12" t="s">
        <v>6984</v>
      </c>
      <c r="ENR12" t="s">
        <v>6984</v>
      </c>
      <c r="ENS12" t="s">
        <v>6984</v>
      </c>
      <c r="ENT12" t="s">
        <v>6984</v>
      </c>
      <c r="ENU12" t="s">
        <v>6984</v>
      </c>
      <c r="ENV12" t="s">
        <v>6984</v>
      </c>
      <c r="ENW12" t="s">
        <v>6984</v>
      </c>
      <c r="ENX12" t="s">
        <v>6984</v>
      </c>
      <c r="ENY12" t="s">
        <v>6984</v>
      </c>
      <c r="ENZ12" t="s">
        <v>6984</v>
      </c>
      <c r="EOA12" t="s">
        <v>6984</v>
      </c>
      <c r="EOB12" t="s">
        <v>6984</v>
      </c>
      <c r="EOC12" t="s">
        <v>6984</v>
      </c>
      <c r="EOD12" t="s">
        <v>6984</v>
      </c>
      <c r="EOE12" t="s">
        <v>6984</v>
      </c>
      <c r="EOF12" t="s">
        <v>6984</v>
      </c>
      <c r="EOG12" t="s">
        <v>6984</v>
      </c>
      <c r="EOH12" t="s">
        <v>6984</v>
      </c>
      <c r="EOI12" t="s">
        <v>6984</v>
      </c>
      <c r="EOJ12" t="s">
        <v>6984</v>
      </c>
      <c r="EOK12" t="s">
        <v>6984</v>
      </c>
      <c r="EOL12" t="s">
        <v>6984</v>
      </c>
      <c r="EOM12" t="s">
        <v>6984</v>
      </c>
      <c r="EON12" t="s">
        <v>6984</v>
      </c>
      <c r="EOO12" t="s">
        <v>6984</v>
      </c>
      <c r="EOP12" t="s">
        <v>6984</v>
      </c>
      <c r="EOQ12" t="s">
        <v>6984</v>
      </c>
      <c r="EOR12" t="s">
        <v>6984</v>
      </c>
      <c r="EOS12" t="s">
        <v>6984</v>
      </c>
      <c r="EOT12" t="s">
        <v>6984</v>
      </c>
      <c r="EOU12" t="s">
        <v>6984</v>
      </c>
      <c r="EOV12" t="s">
        <v>6984</v>
      </c>
      <c r="EOW12" t="s">
        <v>6984</v>
      </c>
      <c r="EOX12" t="s">
        <v>6984</v>
      </c>
      <c r="EOY12" t="s">
        <v>6984</v>
      </c>
      <c r="EOZ12" t="s">
        <v>6984</v>
      </c>
      <c r="EPA12" t="s">
        <v>6984</v>
      </c>
      <c r="EPB12" t="s">
        <v>6984</v>
      </c>
      <c r="EPC12" t="s">
        <v>6984</v>
      </c>
      <c r="EPD12" t="s">
        <v>6984</v>
      </c>
      <c r="EPE12" t="s">
        <v>6984</v>
      </c>
      <c r="EPF12" t="s">
        <v>6984</v>
      </c>
      <c r="EPG12" t="s">
        <v>6984</v>
      </c>
      <c r="EPH12" t="s">
        <v>6984</v>
      </c>
      <c r="EPI12" t="s">
        <v>6984</v>
      </c>
      <c r="EPJ12" t="s">
        <v>6984</v>
      </c>
      <c r="EPK12" t="s">
        <v>6984</v>
      </c>
      <c r="EPL12" t="s">
        <v>6984</v>
      </c>
      <c r="EPM12" t="s">
        <v>6984</v>
      </c>
      <c r="EPN12" t="s">
        <v>6984</v>
      </c>
      <c r="EPO12" t="s">
        <v>6984</v>
      </c>
      <c r="EPP12" t="s">
        <v>6984</v>
      </c>
      <c r="EPQ12" t="s">
        <v>6984</v>
      </c>
      <c r="EPR12" t="s">
        <v>6984</v>
      </c>
      <c r="EPS12" t="s">
        <v>6984</v>
      </c>
      <c r="EPT12" t="s">
        <v>6984</v>
      </c>
      <c r="EPU12" t="s">
        <v>6984</v>
      </c>
      <c r="EPV12" t="s">
        <v>6984</v>
      </c>
      <c r="EPW12" t="s">
        <v>6984</v>
      </c>
      <c r="EPX12" t="s">
        <v>6984</v>
      </c>
      <c r="EPY12" t="s">
        <v>6984</v>
      </c>
      <c r="EPZ12" t="s">
        <v>6984</v>
      </c>
      <c r="EQA12" t="s">
        <v>6984</v>
      </c>
      <c r="EQB12" t="s">
        <v>6984</v>
      </c>
      <c r="EQC12" t="s">
        <v>6984</v>
      </c>
      <c r="EQD12" t="s">
        <v>6984</v>
      </c>
      <c r="EQE12" t="s">
        <v>6984</v>
      </c>
      <c r="EQF12" t="s">
        <v>6984</v>
      </c>
      <c r="EQG12" t="s">
        <v>6984</v>
      </c>
      <c r="EQH12" t="s">
        <v>6984</v>
      </c>
      <c r="EQI12" t="s">
        <v>6984</v>
      </c>
      <c r="EQJ12" t="s">
        <v>6984</v>
      </c>
      <c r="EQK12" t="s">
        <v>6984</v>
      </c>
      <c r="EQL12" t="s">
        <v>6984</v>
      </c>
      <c r="EQM12" t="s">
        <v>6984</v>
      </c>
      <c r="EQN12" t="s">
        <v>6984</v>
      </c>
      <c r="EQO12" t="s">
        <v>6984</v>
      </c>
      <c r="EQP12" t="s">
        <v>6984</v>
      </c>
      <c r="EQQ12" t="s">
        <v>6984</v>
      </c>
      <c r="EQR12" t="s">
        <v>6984</v>
      </c>
      <c r="EQS12" t="s">
        <v>6984</v>
      </c>
      <c r="EQT12" t="s">
        <v>6984</v>
      </c>
      <c r="EQU12" t="s">
        <v>6984</v>
      </c>
      <c r="EQV12" t="s">
        <v>6984</v>
      </c>
      <c r="EQW12" t="s">
        <v>6984</v>
      </c>
      <c r="EQX12" t="s">
        <v>6984</v>
      </c>
      <c r="EQY12" t="s">
        <v>6984</v>
      </c>
      <c r="EQZ12" t="s">
        <v>6984</v>
      </c>
      <c r="ERA12" t="s">
        <v>6984</v>
      </c>
      <c r="ERB12" t="s">
        <v>6984</v>
      </c>
      <c r="ERC12" t="s">
        <v>6984</v>
      </c>
      <c r="ERD12" t="s">
        <v>6984</v>
      </c>
      <c r="ERE12" t="s">
        <v>6984</v>
      </c>
      <c r="ERF12" t="s">
        <v>6984</v>
      </c>
      <c r="ERG12" t="s">
        <v>6984</v>
      </c>
      <c r="ERH12" t="s">
        <v>6984</v>
      </c>
      <c r="ERI12" t="s">
        <v>6984</v>
      </c>
      <c r="ERJ12" t="s">
        <v>6984</v>
      </c>
      <c r="ERK12" t="s">
        <v>6984</v>
      </c>
      <c r="ERL12" t="s">
        <v>6984</v>
      </c>
      <c r="ERM12" t="s">
        <v>6984</v>
      </c>
      <c r="ERN12" t="s">
        <v>6984</v>
      </c>
      <c r="ERO12" t="s">
        <v>6984</v>
      </c>
      <c r="ERP12" t="s">
        <v>6984</v>
      </c>
      <c r="ERQ12" t="s">
        <v>6984</v>
      </c>
      <c r="ERR12" t="s">
        <v>6984</v>
      </c>
      <c r="ERS12" t="s">
        <v>6984</v>
      </c>
      <c r="ERT12" t="s">
        <v>6984</v>
      </c>
      <c r="ERU12" t="s">
        <v>6984</v>
      </c>
      <c r="ERV12" t="s">
        <v>6984</v>
      </c>
      <c r="ERW12" t="s">
        <v>6984</v>
      </c>
      <c r="ERX12" t="s">
        <v>6984</v>
      </c>
      <c r="ERY12" t="s">
        <v>6984</v>
      </c>
      <c r="ERZ12" t="s">
        <v>6984</v>
      </c>
      <c r="ESA12" t="s">
        <v>6984</v>
      </c>
      <c r="ESB12" t="s">
        <v>6984</v>
      </c>
      <c r="ESC12" t="s">
        <v>6984</v>
      </c>
      <c r="ESD12" t="s">
        <v>6984</v>
      </c>
      <c r="ESE12" t="s">
        <v>6984</v>
      </c>
      <c r="ESF12" t="s">
        <v>6984</v>
      </c>
      <c r="ESG12" t="s">
        <v>6984</v>
      </c>
      <c r="ESH12" t="s">
        <v>6984</v>
      </c>
      <c r="ESI12" t="s">
        <v>6984</v>
      </c>
      <c r="ESJ12" t="s">
        <v>6984</v>
      </c>
      <c r="ESK12" t="s">
        <v>6984</v>
      </c>
      <c r="ESL12" t="s">
        <v>6984</v>
      </c>
      <c r="ESM12" t="s">
        <v>6984</v>
      </c>
      <c r="ESN12" t="s">
        <v>6984</v>
      </c>
      <c r="ESO12" t="s">
        <v>6984</v>
      </c>
      <c r="ESP12" t="s">
        <v>6984</v>
      </c>
      <c r="ESQ12" t="s">
        <v>6984</v>
      </c>
      <c r="ESR12" t="s">
        <v>6984</v>
      </c>
      <c r="ESS12" t="s">
        <v>6984</v>
      </c>
      <c r="EST12" t="s">
        <v>6984</v>
      </c>
      <c r="ESU12" t="s">
        <v>6984</v>
      </c>
      <c r="ESV12" t="s">
        <v>6984</v>
      </c>
      <c r="ESW12" t="s">
        <v>6984</v>
      </c>
      <c r="ESX12" t="s">
        <v>6984</v>
      </c>
      <c r="ESY12" t="s">
        <v>6984</v>
      </c>
      <c r="ESZ12" t="s">
        <v>6984</v>
      </c>
      <c r="ETA12" t="s">
        <v>6984</v>
      </c>
      <c r="ETB12" t="s">
        <v>6984</v>
      </c>
      <c r="ETC12" t="s">
        <v>6984</v>
      </c>
      <c r="ETD12" t="s">
        <v>6984</v>
      </c>
      <c r="ETE12" t="s">
        <v>6984</v>
      </c>
      <c r="ETF12" t="s">
        <v>6984</v>
      </c>
      <c r="ETG12" t="s">
        <v>6984</v>
      </c>
      <c r="ETH12" t="s">
        <v>6984</v>
      </c>
      <c r="ETI12" t="s">
        <v>6984</v>
      </c>
      <c r="ETJ12" t="s">
        <v>6984</v>
      </c>
      <c r="ETK12" t="s">
        <v>6984</v>
      </c>
      <c r="ETL12" t="s">
        <v>6984</v>
      </c>
      <c r="ETM12" t="s">
        <v>6984</v>
      </c>
      <c r="ETN12" t="s">
        <v>6984</v>
      </c>
      <c r="ETO12" t="s">
        <v>6984</v>
      </c>
      <c r="ETP12" t="s">
        <v>6984</v>
      </c>
      <c r="ETQ12" t="s">
        <v>6984</v>
      </c>
      <c r="ETR12" t="s">
        <v>6984</v>
      </c>
      <c r="ETS12" t="s">
        <v>6984</v>
      </c>
      <c r="ETT12" t="s">
        <v>6984</v>
      </c>
      <c r="ETU12" t="s">
        <v>6984</v>
      </c>
      <c r="ETV12" t="s">
        <v>6984</v>
      </c>
      <c r="ETW12" t="s">
        <v>6984</v>
      </c>
      <c r="ETX12" t="s">
        <v>6984</v>
      </c>
      <c r="ETY12" t="s">
        <v>6984</v>
      </c>
      <c r="ETZ12" t="s">
        <v>6984</v>
      </c>
      <c r="EUA12" t="s">
        <v>6984</v>
      </c>
      <c r="EUB12" t="s">
        <v>6984</v>
      </c>
      <c r="EUC12" t="s">
        <v>6984</v>
      </c>
      <c r="EUD12" t="s">
        <v>6984</v>
      </c>
      <c r="EUE12" t="s">
        <v>6984</v>
      </c>
      <c r="EUF12" t="s">
        <v>6984</v>
      </c>
      <c r="EUG12" t="s">
        <v>6984</v>
      </c>
      <c r="EUH12" t="s">
        <v>6984</v>
      </c>
      <c r="EUI12" t="s">
        <v>6984</v>
      </c>
      <c r="EUJ12" t="s">
        <v>6984</v>
      </c>
      <c r="EUK12" t="s">
        <v>6984</v>
      </c>
      <c r="EUL12" t="s">
        <v>6984</v>
      </c>
      <c r="EUM12" t="s">
        <v>6984</v>
      </c>
      <c r="EUN12" t="s">
        <v>6984</v>
      </c>
      <c r="EUO12" t="s">
        <v>6984</v>
      </c>
      <c r="EUP12" t="s">
        <v>6984</v>
      </c>
      <c r="EUQ12" t="s">
        <v>6984</v>
      </c>
      <c r="EUR12" t="s">
        <v>6984</v>
      </c>
      <c r="EUS12" t="s">
        <v>6984</v>
      </c>
      <c r="EUT12" t="s">
        <v>6984</v>
      </c>
      <c r="EUU12" t="s">
        <v>6984</v>
      </c>
      <c r="EUV12" t="s">
        <v>6984</v>
      </c>
      <c r="EUW12" t="s">
        <v>6984</v>
      </c>
      <c r="EUX12" t="s">
        <v>6984</v>
      </c>
      <c r="EUY12" t="s">
        <v>6984</v>
      </c>
      <c r="EUZ12" t="s">
        <v>6984</v>
      </c>
      <c r="EVA12" t="s">
        <v>6984</v>
      </c>
      <c r="EVB12" t="s">
        <v>6984</v>
      </c>
      <c r="EVC12" t="s">
        <v>6984</v>
      </c>
      <c r="EVD12" t="s">
        <v>6984</v>
      </c>
      <c r="EVE12" t="s">
        <v>6984</v>
      </c>
      <c r="EVF12" t="s">
        <v>6984</v>
      </c>
      <c r="EVG12" t="s">
        <v>6984</v>
      </c>
      <c r="EVH12" t="s">
        <v>6984</v>
      </c>
      <c r="EVI12" t="s">
        <v>6984</v>
      </c>
      <c r="EVJ12" t="s">
        <v>6984</v>
      </c>
      <c r="EVK12" t="s">
        <v>6984</v>
      </c>
      <c r="EVL12" t="s">
        <v>6984</v>
      </c>
      <c r="EVM12" t="s">
        <v>6984</v>
      </c>
      <c r="EVN12" t="s">
        <v>6984</v>
      </c>
      <c r="EVO12" t="s">
        <v>6984</v>
      </c>
      <c r="EVP12" t="s">
        <v>6984</v>
      </c>
      <c r="EVQ12" t="s">
        <v>6984</v>
      </c>
      <c r="EVR12" t="s">
        <v>6984</v>
      </c>
      <c r="EVS12" t="s">
        <v>6984</v>
      </c>
      <c r="EVT12" t="s">
        <v>6984</v>
      </c>
      <c r="EVU12" t="s">
        <v>6984</v>
      </c>
      <c r="EVV12" t="s">
        <v>6984</v>
      </c>
      <c r="EVW12" t="s">
        <v>6984</v>
      </c>
      <c r="EVX12" t="s">
        <v>6984</v>
      </c>
      <c r="EVY12" t="s">
        <v>6984</v>
      </c>
      <c r="EVZ12" t="s">
        <v>6984</v>
      </c>
      <c r="EWA12" t="s">
        <v>6984</v>
      </c>
      <c r="EWB12" t="s">
        <v>6984</v>
      </c>
      <c r="EWC12" t="s">
        <v>6984</v>
      </c>
      <c r="EWD12" t="s">
        <v>6984</v>
      </c>
      <c r="EWE12" t="s">
        <v>6984</v>
      </c>
      <c r="EWF12" t="s">
        <v>6984</v>
      </c>
      <c r="EWG12" t="s">
        <v>6984</v>
      </c>
      <c r="EWH12" t="s">
        <v>6984</v>
      </c>
      <c r="EWI12" t="s">
        <v>6984</v>
      </c>
      <c r="EWJ12" t="s">
        <v>6984</v>
      </c>
      <c r="EWK12" t="s">
        <v>6984</v>
      </c>
      <c r="EWL12" t="s">
        <v>6984</v>
      </c>
      <c r="EWM12" t="s">
        <v>6984</v>
      </c>
      <c r="EWN12" t="s">
        <v>6984</v>
      </c>
      <c r="EWO12" t="s">
        <v>6984</v>
      </c>
      <c r="EWP12" t="s">
        <v>6984</v>
      </c>
      <c r="EWQ12" t="s">
        <v>6984</v>
      </c>
      <c r="EWR12" t="s">
        <v>6984</v>
      </c>
      <c r="EWS12" t="s">
        <v>6984</v>
      </c>
      <c r="EWT12" t="s">
        <v>6984</v>
      </c>
      <c r="EWU12" t="s">
        <v>6984</v>
      </c>
      <c r="EWV12" t="s">
        <v>6984</v>
      </c>
      <c r="EWW12" t="s">
        <v>6984</v>
      </c>
      <c r="EWX12" t="s">
        <v>6984</v>
      </c>
      <c r="EWY12" t="s">
        <v>6984</v>
      </c>
      <c r="EWZ12" t="s">
        <v>6984</v>
      </c>
      <c r="EXA12" t="s">
        <v>6984</v>
      </c>
      <c r="EXB12" t="s">
        <v>6984</v>
      </c>
      <c r="EXC12" t="s">
        <v>6984</v>
      </c>
      <c r="EXD12" t="s">
        <v>6984</v>
      </c>
      <c r="EXE12" t="s">
        <v>6984</v>
      </c>
      <c r="EXF12" t="s">
        <v>6984</v>
      </c>
      <c r="EXG12" t="s">
        <v>6984</v>
      </c>
      <c r="EXH12" t="s">
        <v>6984</v>
      </c>
      <c r="EXI12" t="s">
        <v>6984</v>
      </c>
      <c r="EXJ12" t="s">
        <v>6984</v>
      </c>
      <c r="EXK12" t="s">
        <v>6984</v>
      </c>
      <c r="EXL12" t="s">
        <v>6984</v>
      </c>
      <c r="EXM12" t="s">
        <v>6984</v>
      </c>
      <c r="EXN12" t="s">
        <v>6984</v>
      </c>
      <c r="EXO12" t="s">
        <v>6984</v>
      </c>
      <c r="EXP12" t="s">
        <v>6984</v>
      </c>
      <c r="EXQ12" t="s">
        <v>6984</v>
      </c>
      <c r="EXR12" t="s">
        <v>6984</v>
      </c>
      <c r="EXS12" t="s">
        <v>6984</v>
      </c>
      <c r="EXT12" t="s">
        <v>6984</v>
      </c>
      <c r="EXU12" t="s">
        <v>6984</v>
      </c>
      <c r="EXV12" t="s">
        <v>6984</v>
      </c>
      <c r="EXW12" t="s">
        <v>6984</v>
      </c>
      <c r="EXX12" t="s">
        <v>6984</v>
      </c>
      <c r="EXY12" t="s">
        <v>6984</v>
      </c>
      <c r="EXZ12" t="s">
        <v>6984</v>
      </c>
      <c r="EYA12" t="s">
        <v>6984</v>
      </c>
      <c r="EYB12" t="s">
        <v>6984</v>
      </c>
      <c r="EYC12" t="s">
        <v>6984</v>
      </c>
      <c r="EYD12" t="s">
        <v>6984</v>
      </c>
      <c r="EYE12" t="s">
        <v>6984</v>
      </c>
      <c r="EYF12" t="s">
        <v>6984</v>
      </c>
      <c r="EYG12" t="s">
        <v>6984</v>
      </c>
      <c r="EYH12" t="s">
        <v>6984</v>
      </c>
      <c r="EYI12" t="s">
        <v>6984</v>
      </c>
      <c r="EYJ12" t="s">
        <v>6984</v>
      </c>
      <c r="EYK12" t="s">
        <v>6984</v>
      </c>
      <c r="EYL12" t="s">
        <v>6984</v>
      </c>
      <c r="EYM12" t="s">
        <v>6984</v>
      </c>
      <c r="EYN12" t="s">
        <v>6984</v>
      </c>
      <c r="EYO12" t="s">
        <v>6984</v>
      </c>
      <c r="EYP12" t="s">
        <v>6984</v>
      </c>
      <c r="EYQ12" t="s">
        <v>6984</v>
      </c>
      <c r="EYR12" t="s">
        <v>6984</v>
      </c>
      <c r="EYS12" t="s">
        <v>6984</v>
      </c>
      <c r="EYT12" t="s">
        <v>6984</v>
      </c>
      <c r="EYU12" t="s">
        <v>6984</v>
      </c>
      <c r="EYV12" t="s">
        <v>6984</v>
      </c>
      <c r="EYW12" t="s">
        <v>6984</v>
      </c>
      <c r="EYX12" t="s">
        <v>6984</v>
      </c>
      <c r="EYY12" t="s">
        <v>6984</v>
      </c>
      <c r="EYZ12" t="s">
        <v>6984</v>
      </c>
      <c r="EZA12" t="s">
        <v>6984</v>
      </c>
      <c r="EZB12" t="s">
        <v>6984</v>
      </c>
      <c r="EZC12" t="s">
        <v>6984</v>
      </c>
      <c r="EZD12" t="s">
        <v>6984</v>
      </c>
      <c r="EZE12" t="s">
        <v>6984</v>
      </c>
      <c r="EZF12" t="s">
        <v>6984</v>
      </c>
      <c r="EZG12" t="s">
        <v>6984</v>
      </c>
      <c r="EZH12" t="s">
        <v>6984</v>
      </c>
      <c r="EZI12" t="s">
        <v>6984</v>
      </c>
      <c r="EZJ12" t="s">
        <v>6984</v>
      </c>
      <c r="EZK12" t="s">
        <v>6984</v>
      </c>
      <c r="EZL12" t="s">
        <v>6984</v>
      </c>
      <c r="EZM12" t="s">
        <v>6984</v>
      </c>
      <c r="EZN12" t="s">
        <v>6984</v>
      </c>
      <c r="EZO12" t="s">
        <v>6984</v>
      </c>
      <c r="EZP12" t="s">
        <v>6984</v>
      </c>
      <c r="EZQ12" t="s">
        <v>6984</v>
      </c>
      <c r="EZR12" t="s">
        <v>6984</v>
      </c>
      <c r="EZS12" t="s">
        <v>6984</v>
      </c>
      <c r="EZT12" t="s">
        <v>6984</v>
      </c>
      <c r="EZU12" t="s">
        <v>6984</v>
      </c>
      <c r="EZV12" t="s">
        <v>6984</v>
      </c>
      <c r="EZW12" t="s">
        <v>6984</v>
      </c>
      <c r="EZX12" t="s">
        <v>6984</v>
      </c>
      <c r="EZY12" t="s">
        <v>6984</v>
      </c>
      <c r="EZZ12" t="s">
        <v>6984</v>
      </c>
      <c r="FAA12" t="s">
        <v>6984</v>
      </c>
      <c r="FAB12" t="s">
        <v>6984</v>
      </c>
      <c r="FAC12" t="s">
        <v>6984</v>
      </c>
      <c r="FAD12" t="s">
        <v>6984</v>
      </c>
      <c r="FAE12" t="s">
        <v>6984</v>
      </c>
      <c r="FAF12" t="s">
        <v>6984</v>
      </c>
      <c r="FAG12" t="s">
        <v>6984</v>
      </c>
      <c r="FAH12" t="s">
        <v>6984</v>
      </c>
      <c r="FAI12" t="s">
        <v>6984</v>
      </c>
      <c r="FAJ12" t="s">
        <v>6984</v>
      </c>
      <c r="FAK12" t="s">
        <v>6984</v>
      </c>
      <c r="FAL12" t="s">
        <v>6984</v>
      </c>
      <c r="FAM12" t="s">
        <v>6984</v>
      </c>
      <c r="FAN12" t="s">
        <v>6984</v>
      </c>
      <c r="FAO12" t="s">
        <v>6984</v>
      </c>
      <c r="FAP12" t="s">
        <v>6984</v>
      </c>
      <c r="FAQ12" t="s">
        <v>6984</v>
      </c>
      <c r="FAR12" t="s">
        <v>6984</v>
      </c>
      <c r="FAS12" t="s">
        <v>6984</v>
      </c>
      <c r="FAT12" t="s">
        <v>6984</v>
      </c>
      <c r="FAU12" t="s">
        <v>6984</v>
      </c>
      <c r="FAV12" t="s">
        <v>6984</v>
      </c>
      <c r="FAW12" t="s">
        <v>6984</v>
      </c>
      <c r="FAX12" t="s">
        <v>6984</v>
      </c>
      <c r="FAY12" t="s">
        <v>6984</v>
      </c>
      <c r="FAZ12" t="s">
        <v>6984</v>
      </c>
      <c r="FBA12" t="s">
        <v>6984</v>
      </c>
      <c r="FBB12" t="s">
        <v>6984</v>
      </c>
      <c r="FBC12" t="s">
        <v>6984</v>
      </c>
      <c r="FBD12" t="s">
        <v>6984</v>
      </c>
      <c r="FBE12" t="s">
        <v>6984</v>
      </c>
      <c r="FBF12" t="s">
        <v>6984</v>
      </c>
      <c r="FBG12" t="s">
        <v>6984</v>
      </c>
      <c r="FBH12" t="s">
        <v>6984</v>
      </c>
      <c r="FBI12" t="s">
        <v>6984</v>
      </c>
      <c r="FBJ12" t="s">
        <v>6984</v>
      </c>
      <c r="FBK12" t="s">
        <v>6984</v>
      </c>
      <c r="FBL12" t="s">
        <v>6984</v>
      </c>
      <c r="FBM12" t="s">
        <v>6984</v>
      </c>
      <c r="FBN12" t="s">
        <v>6984</v>
      </c>
      <c r="FBO12" t="s">
        <v>6984</v>
      </c>
      <c r="FBP12" t="s">
        <v>6984</v>
      </c>
      <c r="FBQ12" t="s">
        <v>6984</v>
      </c>
      <c r="FBR12" t="s">
        <v>6984</v>
      </c>
      <c r="FBS12" t="s">
        <v>6984</v>
      </c>
      <c r="FBT12" t="s">
        <v>6984</v>
      </c>
      <c r="FBU12" t="s">
        <v>6984</v>
      </c>
      <c r="FBV12" t="s">
        <v>6984</v>
      </c>
      <c r="FBW12" t="s">
        <v>6984</v>
      </c>
      <c r="FBX12" t="s">
        <v>6984</v>
      </c>
      <c r="FBY12" t="s">
        <v>6984</v>
      </c>
      <c r="FBZ12" t="s">
        <v>6984</v>
      </c>
      <c r="FCA12" t="s">
        <v>6984</v>
      </c>
      <c r="FCB12" t="s">
        <v>6984</v>
      </c>
      <c r="FCC12" t="s">
        <v>6984</v>
      </c>
      <c r="FCD12" t="s">
        <v>6984</v>
      </c>
      <c r="FCE12" t="s">
        <v>6984</v>
      </c>
      <c r="FCF12" t="s">
        <v>6984</v>
      </c>
      <c r="FCG12" t="s">
        <v>6984</v>
      </c>
      <c r="FCH12" t="s">
        <v>6984</v>
      </c>
      <c r="FCI12" t="s">
        <v>6984</v>
      </c>
      <c r="FCJ12" t="s">
        <v>6984</v>
      </c>
      <c r="FCK12" t="s">
        <v>6984</v>
      </c>
      <c r="FCL12" t="s">
        <v>6984</v>
      </c>
      <c r="FCM12" t="s">
        <v>6984</v>
      </c>
      <c r="FCN12" t="s">
        <v>6984</v>
      </c>
      <c r="FCO12" t="s">
        <v>6984</v>
      </c>
      <c r="FCP12" t="s">
        <v>6984</v>
      </c>
      <c r="FCQ12" t="s">
        <v>6984</v>
      </c>
      <c r="FCR12" t="s">
        <v>6984</v>
      </c>
      <c r="FCS12" t="s">
        <v>6984</v>
      </c>
      <c r="FCT12" t="s">
        <v>6984</v>
      </c>
      <c r="FCU12" t="s">
        <v>6984</v>
      </c>
      <c r="FCV12" t="s">
        <v>6984</v>
      </c>
      <c r="FCW12" t="s">
        <v>6984</v>
      </c>
      <c r="FCX12" t="s">
        <v>6984</v>
      </c>
      <c r="FCY12" t="s">
        <v>6984</v>
      </c>
      <c r="FCZ12" t="s">
        <v>6984</v>
      </c>
      <c r="FDA12" t="s">
        <v>6984</v>
      </c>
      <c r="FDB12" t="s">
        <v>6984</v>
      </c>
      <c r="FDC12" t="s">
        <v>6984</v>
      </c>
      <c r="FDD12" t="s">
        <v>6984</v>
      </c>
      <c r="FDE12" t="s">
        <v>6984</v>
      </c>
      <c r="FDF12" t="s">
        <v>6984</v>
      </c>
      <c r="FDG12" t="s">
        <v>6984</v>
      </c>
      <c r="FDH12" t="s">
        <v>6984</v>
      </c>
      <c r="FDI12" t="s">
        <v>6984</v>
      </c>
      <c r="FDJ12" t="s">
        <v>6984</v>
      </c>
      <c r="FDK12" t="s">
        <v>6984</v>
      </c>
      <c r="FDL12" t="s">
        <v>6984</v>
      </c>
      <c r="FDM12" t="s">
        <v>6984</v>
      </c>
      <c r="FDN12" t="s">
        <v>6984</v>
      </c>
      <c r="FDO12" t="s">
        <v>6984</v>
      </c>
      <c r="FDP12" t="s">
        <v>6984</v>
      </c>
      <c r="FDQ12" t="s">
        <v>6984</v>
      </c>
      <c r="FDR12" t="s">
        <v>6984</v>
      </c>
      <c r="FDS12" t="s">
        <v>6984</v>
      </c>
      <c r="FDT12" t="s">
        <v>6984</v>
      </c>
      <c r="FDU12" t="s">
        <v>6984</v>
      </c>
      <c r="FDV12" t="s">
        <v>6984</v>
      </c>
      <c r="FDW12" t="s">
        <v>6984</v>
      </c>
      <c r="FDX12" t="s">
        <v>6984</v>
      </c>
      <c r="FDY12" t="s">
        <v>6984</v>
      </c>
      <c r="FDZ12" t="s">
        <v>6984</v>
      </c>
      <c r="FEA12" t="s">
        <v>6984</v>
      </c>
      <c r="FEB12" t="s">
        <v>6984</v>
      </c>
      <c r="FEC12" t="s">
        <v>6984</v>
      </c>
      <c r="FED12" t="s">
        <v>6984</v>
      </c>
      <c r="FEE12" t="s">
        <v>6984</v>
      </c>
      <c r="FEF12" t="s">
        <v>6984</v>
      </c>
      <c r="FEG12" t="s">
        <v>6984</v>
      </c>
      <c r="FEH12" t="s">
        <v>6984</v>
      </c>
      <c r="FEI12" t="s">
        <v>6984</v>
      </c>
      <c r="FEJ12" t="s">
        <v>6984</v>
      </c>
      <c r="FEK12" t="s">
        <v>6984</v>
      </c>
      <c r="FEL12" t="s">
        <v>6984</v>
      </c>
      <c r="FEM12" t="s">
        <v>6984</v>
      </c>
      <c r="FEN12" t="s">
        <v>6984</v>
      </c>
      <c r="FEO12" t="s">
        <v>6984</v>
      </c>
      <c r="FEP12" t="s">
        <v>6984</v>
      </c>
      <c r="FEQ12" t="s">
        <v>6984</v>
      </c>
      <c r="FER12" t="s">
        <v>6984</v>
      </c>
      <c r="FES12" t="s">
        <v>6984</v>
      </c>
      <c r="FET12" t="s">
        <v>6984</v>
      </c>
      <c r="FEU12" t="s">
        <v>6984</v>
      </c>
      <c r="FEV12" t="s">
        <v>6984</v>
      </c>
      <c r="FEW12" t="s">
        <v>6984</v>
      </c>
      <c r="FEX12" t="s">
        <v>6984</v>
      </c>
      <c r="FEY12" t="s">
        <v>6984</v>
      </c>
      <c r="FEZ12" t="s">
        <v>6984</v>
      </c>
      <c r="FFA12" t="s">
        <v>6984</v>
      </c>
      <c r="FFB12" t="s">
        <v>6984</v>
      </c>
      <c r="FFC12" t="s">
        <v>6984</v>
      </c>
      <c r="FFD12" t="s">
        <v>6984</v>
      </c>
      <c r="FFE12" t="s">
        <v>6984</v>
      </c>
      <c r="FFF12" t="s">
        <v>6984</v>
      </c>
      <c r="FFG12" t="s">
        <v>6984</v>
      </c>
      <c r="FFH12" t="s">
        <v>6984</v>
      </c>
      <c r="FFI12" t="s">
        <v>6984</v>
      </c>
      <c r="FFJ12" t="s">
        <v>6984</v>
      </c>
      <c r="FFK12" t="s">
        <v>6984</v>
      </c>
      <c r="FFL12" t="s">
        <v>6984</v>
      </c>
      <c r="FFM12" t="s">
        <v>6984</v>
      </c>
      <c r="FFN12" t="s">
        <v>6984</v>
      </c>
      <c r="FFO12" t="s">
        <v>6984</v>
      </c>
      <c r="FFP12" t="s">
        <v>6984</v>
      </c>
      <c r="FFQ12" t="s">
        <v>6984</v>
      </c>
      <c r="FFR12" t="s">
        <v>6984</v>
      </c>
      <c r="FFS12" t="s">
        <v>6984</v>
      </c>
      <c r="FFT12" t="s">
        <v>6984</v>
      </c>
      <c r="FFU12" t="s">
        <v>6984</v>
      </c>
      <c r="FFV12" t="s">
        <v>6984</v>
      </c>
      <c r="FFW12" t="s">
        <v>6984</v>
      </c>
      <c r="FFX12" t="s">
        <v>6984</v>
      </c>
      <c r="FFY12" t="s">
        <v>6984</v>
      </c>
      <c r="FFZ12" t="s">
        <v>6984</v>
      </c>
      <c r="FGA12" t="s">
        <v>6984</v>
      </c>
      <c r="FGB12" t="s">
        <v>6984</v>
      </c>
      <c r="FGC12" t="s">
        <v>6984</v>
      </c>
      <c r="FGD12" t="s">
        <v>6984</v>
      </c>
      <c r="FGE12" t="s">
        <v>6984</v>
      </c>
      <c r="FGF12" t="s">
        <v>6984</v>
      </c>
      <c r="FGG12" t="s">
        <v>6984</v>
      </c>
      <c r="FGH12" t="s">
        <v>6984</v>
      </c>
      <c r="FGI12" t="s">
        <v>6984</v>
      </c>
      <c r="FGJ12" t="s">
        <v>6984</v>
      </c>
      <c r="FGK12" t="s">
        <v>6984</v>
      </c>
      <c r="FGL12" t="s">
        <v>6984</v>
      </c>
      <c r="FGM12" t="s">
        <v>6984</v>
      </c>
      <c r="FGN12" t="s">
        <v>6984</v>
      </c>
      <c r="FGO12" t="s">
        <v>6984</v>
      </c>
      <c r="FGP12" t="s">
        <v>6984</v>
      </c>
      <c r="FGQ12" t="s">
        <v>6984</v>
      </c>
      <c r="FGR12" t="s">
        <v>6984</v>
      </c>
      <c r="FGS12" t="s">
        <v>6984</v>
      </c>
      <c r="FGT12" t="s">
        <v>6984</v>
      </c>
      <c r="FGU12" t="s">
        <v>6984</v>
      </c>
      <c r="FGV12" t="s">
        <v>6984</v>
      </c>
      <c r="FGW12" t="s">
        <v>6984</v>
      </c>
      <c r="FGX12" t="s">
        <v>6984</v>
      </c>
      <c r="FGY12" t="s">
        <v>6984</v>
      </c>
      <c r="FGZ12" t="s">
        <v>6984</v>
      </c>
      <c r="FHA12" t="s">
        <v>6984</v>
      </c>
      <c r="FHB12" t="s">
        <v>6984</v>
      </c>
      <c r="FHC12" t="s">
        <v>6984</v>
      </c>
      <c r="FHD12" t="s">
        <v>6984</v>
      </c>
      <c r="FHE12" t="s">
        <v>6984</v>
      </c>
      <c r="FHF12" t="s">
        <v>6984</v>
      </c>
      <c r="FHG12" t="s">
        <v>6984</v>
      </c>
      <c r="FHH12" t="s">
        <v>6984</v>
      </c>
      <c r="FHI12" t="s">
        <v>6984</v>
      </c>
      <c r="FHJ12" t="s">
        <v>6984</v>
      </c>
      <c r="FHK12" t="s">
        <v>6984</v>
      </c>
      <c r="FHL12" t="s">
        <v>6984</v>
      </c>
      <c r="FHM12" t="s">
        <v>6984</v>
      </c>
      <c r="FHN12" t="s">
        <v>6984</v>
      </c>
      <c r="FHO12" t="s">
        <v>6984</v>
      </c>
      <c r="FHP12" t="s">
        <v>6984</v>
      </c>
      <c r="FHQ12" t="s">
        <v>6984</v>
      </c>
      <c r="FHR12" t="s">
        <v>6984</v>
      </c>
      <c r="FHS12" t="s">
        <v>6984</v>
      </c>
      <c r="FHT12" t="s">
        <v>6984</v>
      </c>
      <c r="FHU12" t="s">
        <v>6984</v>
      </c>
      <c r="FHV12" t="s">
        <v>6984</v>
      </c>
      <c r="FHW12" t="s">
        <v>6984</v>
      </c>
      <c r="FHX12" t="s">
        <v>6984</v>
      </c>
      <c r="FHY12" t="s">
        <v>6984</v>
      </c>
      <c r="FHZ12" t="s">
        <v>6984</v>
      </c>
      <c r="FIA12" t="s">
        <v>6984</v>
      </c>
      <c r="FIB12" t="s">
        <v>6984</v>
      </c>
      <c r="FIC12" t="s">
        <v>6984</v>
      </c>
      <c r="FID12" t="s">
        <v>6984</v>
      </c>
      <c r="FIE12" t="s">
        <v>6984</v>
      </c>
      <c r="FIF12" t="s">
        <v>6984</v>
      </c>
      <c r="FIG12" t="s">
        <v>6984</v>
      </c>
      <c r="FIH12" t="s">
        <v>6984</v>
      </c>
      <c r="FII12" t="s">
        <v>6984</v>
      </c>
      <c r="FIJ12" t="s">
        <v>6984</v>
      </c>
      <c r="FIK12" t="s">
        <v>6984</v>
      </c>
      <c r="FIL12" t="s">
        <v>6984</v>
      </c>
      <c r="FIM12" t="s">
        <v>6984</v>
      </c>
      <c r="FIN12" t="s">
        <v>6984</v>
      </c>
      <c r="FIO12" t="s">
        <v>6984</v>
      </c>
      <c r="FIP12" t="s">
        <v>6984</v>
      </c>
      <c r="FIQ12" t="s">
        <v>6984</v>
      </c>
      <c r="FIR12" t="s">
        <v>6984</v>
      </c>
      <c r="FIS12" t="s">
        <v>6984</v>
      </c>
      <c r="FIT12" t="s">
        <v>6984</v>
      </c>
      <c r="FIU12" t="s">
        <v>6984</v>
      </c>
      <c r="FIV12" t="s">
        <v>6984</v>
      </c>
      <c r="FIW12" t="s">
        <v>6984</v>
      </c>
      <c r="FIX12" t="s">
        <v>6984</v>
      </c>
      <c r="FIY12" t="s">
        <v>6984</v>
      </c>
      <c r="FIZ12" t="s">
        <v>6984</v>
      </c>
      <c r="FJA12" t="s">
        <v>6984</v>
      </c>
      <c r="FJB12" t="s">
        <v>6984</v>
      </c>
      <c r="FJC12" t="s">
        <v>6984</v>
      </c>
      <c r="FJD12" t="s">
        <v>6984</v>
      </c>
      <c r="FJE12" t="s">
        <v>6984</v>
      </c>
      <c r="FJF12" t="s">
        <v>6984</v>
      </c>
      <c r="FJG12" t="s">
        <v>6984</v>
      </c>
      <c r="FJH12" t="s">
        <v>6984</v>
      </c>
      <c r="FJI12" t="s">
        <v>6984</v>
      </c>
      <c r="FJJ12" t="s">
        <v>6984</v>
      </c>
      <c r="FJK12" t="s">
        <v>6984</v>
      </c>
      <c r="FJL12" t="s">
        <v>6984</v>
      </c>
      <c r="FJM12" t="s">
        <v>6984</v>
      </c>
      <c r="FJN12" t="s">
        <v>6984</v>
      </c>
      <c r="FJO12" t="s">
        <v>6984</v>
      </c>
      <c r="FJP12" t="s">
        <v>6984</v>
      </c>
      <c r="FJQ12" t="s">
        <v>6984</v>
      </c>
      <c r="FJR12" t="s">
        <v>6984</v>
      </c>
      <c r="FJS12" t="s">
        <v>6984</v>
      </c>
      <c r="FJT12" t="s">
        <v>6984</v>
      </c>
      <c r="FJU12" t="s">
        <v>6984</v>
      </c>
      <c r="FJV12" t="s">
        <v>6984</v>
      </c>
      <c r="FJW12" t="s">
        <v>6984</v>
      </c>
      <c r="FJX12" t="s">
        <v>6984</v>
      </c>
      <c r="FJY12" t="s">
        <v>6984</v>
      </c>
      <c r="FJZ12" t="s">
        <v>6984</v>
      </c>
      <c r="FKA12" t="s">
        <v>6984</v>
      </c>
      <c r="FKB12" t="s">
        <v>6984</v>
      </c>
      <c r="FKC12" t="s">
        <v>6984</v>
      </c>
      <c r="FKD12" t="s">
        <v>6984</v>
      </c>
      <c r="FKE12" t="s">
        <v>6984</v>
      </c>
      <c r="FKF12" t="s">
        <v>6984</v>
      </c>
      <c r="FKG12" t="s">
        <v>6984</v>
      </c>
      <c r="FKH12" t="s">
        <v>6984</v>
      </c>
      <c r="FKI12" t="s">
        <v>6984</v>
      </c>
      <c r="FKJ12" t="s">
        <v>6984</v>
      </c>
      <c r="FKK12" t="s">
        <v>6984</v>
      </c>
      <c r="FKL12" t="s">
        <v>6984</v>
      </c>
      <c r="FKM12" t="s">
        <v>6984</v>
      </c>
      <c r="FKN12" t="s">
        <v>6984</v>
      </c>
      <c r="FKO12" t="s">
        <v>6984</v>
      </c>
      <c r="FKP12" t="s">
        <v>6984</v>
      </c>
      <c r="FKQ12" t="s">
        <v>6984</v>
      </c>
      <c r="FKR12" t="s">
        <v>6984</v>
      </c>
      <c r="FKS12" t="s">
        <v>6984</v>
      </c>
      <c r="FKT12" t="s">
        <v>6984</v>
      </c>
      <c r="FKU12" t="s">
        <v>6984</v>
      </c>
      <c r="FKV12" t="s">
        <v>6984</v>
      </c>
      <c r="FKW12" t="s">
        <v>6984</v>
      </c>
      <c r="FKX12" t="s">
        <v>6984</v>
      </c>
      <c r="FKY12" t="s">
        <v>6984</v>
      </c>
      <c r="FKZ12" t="s">
        <v>6984</v>
      </c>
      <c r="FLA12" t="s">
        <v>6984</v>
      </c>
      <c r="FLB12" t="s">
        <v>6984</v>
      </c>
      <c r="FLC12" t="s">
        <v>6984</v>
      </c>
      <c r="FLD12" t="s">
        <v>6984</v>
      </c>
      <c r="FLE12" t="s">
        <v>6984</v>
      </c>
      <c r="FLF12" t="s">
        <v>6984</v>
      </c>
      <c r="FLG12" t="s">
        <v>6984</v>
      </c>
      <c r="FLH12" t="s">
        <v>6984</v>
      </c>
      <c r="FLI12" t="s">
        <v>6984</v>
      </c>
      <c r="FLJ12" t="s">
        <v>6984</v>
      </c>
      <c r="FLK12" t="s">
        <v>6984</v>
      </c>
      <c r="FLL12" t="s">
        <v>6984</v>
      </c>
      <c r="FLM12" t="s">
        <v>6984</v>
      </c>
      <c r="FLN12" t="s">
        <v>6984</v>
      </c>
      <c r="FLO12" t="s">
        <v>6984</v>
      </c>
      <c r="FLP12" t="s">
        <v>6984</v>
      </c>
      <c r="FLQ12" t="s">
        <v>6984</v>
      </c>
      <c r="FLR12" t="s">
        <v>6984</v>
      </c>
      <c r="FLS12" t="s">
        <v>6984</v>
      </c>
      <c r="FLT12" t="s">
        <v>6984</v>
      </c>
      <c r="FLU12" t="s">
        <v>6984</v>
      </c>
      <c r="FLV12" t="s">
        <v>6984</v>
      </c>
      <c r="FLW12" t="s">
        <v>6984</v>
      </c>
      <c r="FLX12" t="s">
        <v>6984</v>
      </c>
      <c r="FLY12" t="s">
        <v>6984</v>
      </c>
      <c r="FLZ12" t="s">
        <v>6984</v>
      </c>
      <c r="FMA12" t="s">
        <v>6984</v>
      </c>
      <c r="FMB12" t="s">
        <v>6984</v>
      </c>
      <c r="FMC12" t="s">
        <v>6984</v>
      </c>
      <c r="FMD12" t="s">
        <v>6984</v>
      </c>
      <c r="FME12" t="s">
        <v>6984</v>
      </c>
      <c r="FMF12" t="s">
        <v>6984</v>
      </c>
      <c r="FMG12" t="s">
        <v>6984</v>
      </c>
      <c r="FMH12" t="s">
        <v>6984</v>
      </c>
      <c r="FMI12" t="s">
        <v>6984</v>
      </c>
      <c r="FMJ12" t="s">
        <v>6984</v>
      </c>
      <c r="FMK12" t="s">
        <v>6984</v>
      </c>
      <c r="FML12" t="s">
        <v>6984</v>
      </c>
      <c r="FMM12" t="s">
        <v>6984</v>
      </c>
      <c r="FMN12" t="s">
        <v>6984</v>
      </c>
      <c r="FMO12" t="s">
        <v>6984</v>
      </c>
      <c r="FMP12" t="s">
        <v>6984</v>
      </c>
      <c r="FMQ12" t="s">
        <v>6984</v>
      </c>
      <c r="FMR12" t="s">
        <v>6984</v>
      </c>
      <c r="FMS12" t="s">
        <v>6984</v>
      </c>
      <c r="FMT12" t="s">
        <v>6984</v>
      </c>
      <c r="FMU12" t="s">
        <v>6984</v>
      </c>
      <c r="FMV12" t="s">
        <v>6984</v>
      </c>
      <c r="FMW12" t="s">
        <v>6984</v>
      </c>
      <c r="FMX12" t="s">
        <v>6984</v>
      </c>
      <c r="FMY12" t="s">
        <v>6984</v>
      </c>
      <c r="FMZ12" t="s">
        <v>6984</v>
      </c>
      <c r="FNA12" t="s">
        <v>6984</v>
      </c>
      <c r="FNB12" t="s">
        <v>6984</v>
      </c>
      <c r="FNC12" t="s">
        <v>6984</v>
      </c>
      <c r="FND12" t="s">
        <v>6984</v>
      </c>
      <c r="FNE12" t="s">
        <v>6984</v>
      </c>
      <c r="FNF12" t="s">
        <v>6984</v>
      </c>
      <c r="FNG12" t="s">
        <v>6984</v>
      </c>
      <c r="FNH12" t="s">
        <v>6984</v>
      </c>
      <c r="FNI12" t="s">
        <v>6984</v>
      </c>
      <c r="FNJ12" t="s">
        <v>6984</v>
      </c>
      <c r="FNK12" t="s">
        <v>6984</v>
      </c>
      <c r="FNL12" t="s">
        <v>6984</v>
      </c>
      <c r="FNM12" t="s">
        <v>6984</v>
      </c>
      <c r="FNN12" t="s">
        <v>6984</v>
      </c>
      <c r="FNO12" t="s">
        <v>6984</v>
      </c>
      <c r="FNP12" t="s">
        <v>6984</v>
      </c>
      <c r="FNQ12" t="s">
        <v>6984</v>
      </c>
      <c r="FNR12" t="s">
        <v>6984</v>
      </c>
      <c r="FNS12" t="s">
        <v>6984</v>
      </c>
      <c r="FNT12" t="s">
        <v>6984</v>
      </c>
      <c r="FNU12" t="s">
        <v>6984</v>
      </c>
      <c r="FNV12" t="s">
        <v>6984</v>
      </c>
      <c r="FNW12" t="s">
        <v>6984</v>
      </c>
      <c r="FNX12" t="s">
        <v>6984</v>
      </c>
      <c r="FNY12" t="s">
        <v>6984</v>
      </c>
      <c r="FNZ12" t="s">
        <v>6984</v>
      </c>
      <c r="FOA12" t="s">
        <v>6984</v>
      </c>
      <c r="FOB12" t="s">
        <v>6984</v>
      </c>
      <c r="FOC12" t="s">
        <v>6984</v>
      </c>
      <c r="FOD12" t="s">
        <v>6984</v>
      </c>
      <c r="FOE12" t="s">
        <v>6984</v>
      </c>
      <c r="FOF12" t="s">
        <v>6984</v>
      </c>
      <c r="FOG12" t="s">
        <v>6984</v>
      </c>
      <c r="FOH12" t="s">
        <v>6984</v>
      </c>
      <c r="FOI12" t="s">
        <v>6984</v>
      </c>
      <c r="FOJ12" t="s">
        <v>6984</v>
      </c>
      <c r="FOK12" t="s">
        <v>6984</v>
      </c>
      <c r="FOL12" t="s">
        <v>6984</v>
      </c>
      <c r="FOM12" t="s">
        <v>6984</v>
      </c>
      <c r="FON12" t="s">
        <v>6984</v>
      </c>
      <c r="FOO12" t="s">
        <v>6984</v>
      </c>
      <c r="FOP12" t="s">
        <v>6984</v>
      </c>
      <c r="FOQ12" t="s">
        <v>6984</v>
      </c>
      <c r="FOR12" t="s">
        <v>6984</v>
      </c>
      <c r="FOS12" t="s">
        <v>6984</v>
      </c>
      <c r="FOT12" t="s">
        <v>6984</v>
      </c>
      <c r="FOU12" t="s">
        <v>6984</v>
      </c>
      <c r="FOV12" t="s">
        <v>6984</v>
      </c>
      <c r="FOW12" t="s">
        <v>6984</v>
      </c>
      <c r="FOX12" t="s">
        <v>6984</v>
      </c>
      <c r="FOY12" t="s">
        <v>6984</v>
      </c>
      <c r="FOZ12" t="s">
        <v>6984</v>
      </c>
      <c r="FPA12" t="s">
        <v>6984</v>
      </c>
      <c r="FPB12" t="s">
        <v>6984</v>
      </c>
      <c r="FPC12" t="s">
        <v>6984</v>
      </c>
      <c r="FPD12" t="s">
        <v>6984</v>
      </c>
      <c r="FPE12" t="s">
        <v>6984</v>
      </c>
      <c r="FPF12" t="s">
        <v>6984</v>
      </c>
      <c r="FPG12" t="s">
        <v>6984</v>
      </c>
      <c r="FPH12" t="s">
        <v>6984</v>
      </c>
      <c r="FPI12" t="s">
        <v>6984</v>
      </c>
      <c r="FPJ12" t="s">
        <v>6984</v>
      </c>
      <c r="FPK12" t="s">
        <v>6984</v>
      </c>
      <c r="FPL12" t="s">
        <v>6984</v>
      </c>
      <c r="FPM12" t="s">
        <v>6984</v>
      </c>
      <c r="FPN12" t="s">
        <v>6984</v>
      </c>
      <c r="FPO12" t="s">
        <v>6984</v>
      </c>
      <c r="FPP12" t="s">
        <v>6984</v>
      </c>
      <c r="FPQ12" t="s">
        <v>6984</v>
      </c>
      <c r="FPR12" t="s">
        <v>6984</v>
      </c>
      <c r="FPS12" t="s">
        <v>6984</v>
      </c>
      <c r="FPT12" t="s">
        <v>6984</v>
      </c>
      <c r="FPU12" t="s">
        <v>6984</v>
      </c>
      <c r="FPV12" t="s">
        <v>6984</v>
      </c>
      <c r="FPW12" t="s">
        <v>6984</v>
      </c>
      <c r="FPX12" t="s">
        <v>6984</v>
      </c>
      <c r="FPY12" t="s">
        <v>6984</v>
      </c>
      <c r="FPZ12" t="s">
        <v>6984</v>
      </c>
      <c r="FQA12" t="s">
        <v>6984</v>
      </c>
      <c r="FQB12" t="s">
        <v>6984</v>
      </c>
      <c r="FQC12" t="s">
        <v>6984</v>
      </c>
      <c r="FQD12" t="s">
        <v>6984</v>
      </c>
      <c r="FQE12" t="s">
        <v>6984</v>
      </c>
      <c r="FQF12" t="s">
        <v>6984</v>
      </c>
      <c r="FQG12" t="s">
        <v>6984</v>
      </c>
      <c r="FQH12" t="s">
        <v>6984</v>
      </c>
      <c r="FQI12" t="s">
        <v>6984</v>
      </c>
      <c r="FQJ12" t="s">
        <v>6984</v>
      </c>
      <c r="FQK12" t="s">
        <v>6984</v>
      </c>
      <c r="FQL12" t="s">
        <v>6984</v>
      </c>
      <c r="FQM12" t="s">
        <v>6984</v>
      </c>
      <c r="FQN12" t="s">
        <v>6984</v>
      </c>
      <c r="FQO12" t="s">
        <v>6984</v>
      </c>
      <c r="FQP12" t="s">
        <v>6984</v>
      </c>
      <c r="FQQ12" t="s">
        <v>6984</v>
      </c>
      <c r="FQR12" t="s">
        <v>6984</v>
      </c>
      <c r="FQS12" t="s">
        <v>6984</v>
      </c>
      <c r="FQT12" t="s">
        <v>6984</v>
      </c>
      <c r="FQU12" t="s">
        <v>6984</v>
      </c>
      <c r="FQV12" t="s">
        <v>6984</v>
      </c>
      <c r="FQW12" t="s">
        <v>6984</v>
      </c>
      <c r="FQX12" t="s">
        <v>6984</v>
      </c>
      <c r="FQY12" t="s">
        <v>6984</v>
      </c>
      <c r="FQZ12" t="s">
        <v>6984</v>
      </c>
      <c r="FRA12" t="s">
        <v>6984</v>
      </c>
      <c r="FRB12" t="s">
        <v>6984</v>
      </c>
      <c r="FRC12" t="s">
        <v>6984</v>
      </c>
      <c r="FRD12" t="s">
        <v>6984</v>
      </c>
      <c r="FRE12" t="s">
        <v>6984</v>
      </c>
      <c r="FRF12" t="s">
        <v>6984</v>
      </c>
      <c r="FRG12" t="s">
        <v>6984</v>
      </c>
      <c r="FRH12" t="s">
        <v>6984</v>
      </c>
      <c r="FRI12" t="s">
        <v>6984</v>
      </c>
      <c r="FRJ12" t="s">
        <v>6984</v>
      </c>
      <c r="FRK12" t="s">
        <v>6984</v>
      </c>
      <c r="FRL12" t="s">
        <v>6984</v>
      </c>
      <c r="FRM12" t="s">
        <v>6984</v>
      </c>
      <c r="FRN12" t="s">
        <v>6984</v>
      </c>
      <c r="FRO12" t="s">
        <v>6984</v>
      </c>
      <c r="FRP12" t="s">
        <v>6984</v>
      </c>
      <c r="FRQ12" t="s">
        <v>6984</v>
      </c>
      <c r="FRR12" t="s">
        <v>6984</v>
      </c>
      <c r="FRS12" t="s">
        <v>6984</v>
      </c>
      <c r="FRT12" t="s">
        <v>6984</v>
      </c>
      <c r="FRU12" t="s">
        <v>6984</v>
      </c>
      <c r="FRV12" t="s">
        <v>6984</v>
      </c>
      <c r="FRW12" t="s">
        <v>6984</v>
      </c>
      <c r="FRX12" t="s">
        <v>6984</v>
      </c>
      <c r="FRY12" t="s">
        <v>6984</v>
      </c>
      <c r="FRZ12" t="s">
        <v>6984</v>
      </c>
      <c r="FSA12" t="s">
        <v>6984</v>
      </c>
      <c r="FSB12" t="s">
        <v>6984</v>
      </c>
      <c r="FSC12" t="s">
        <v>6984</v>
      </c>
      <c r="FSD12" t="s">
        <v>6984</v>
      </c>
      <c r="FSE12" t="s">
        <v>6984</v>
      </c>
      <c r="FSF12" t="s">
        <v>6984</v>
      </c>
      <c r="FSG12" t="s">
        <v>6984</v>
      </c>
      <c r="FSH12" t="s">
        <v>6984</v>
      </c>
      <c r="FSI12" t="s">
        <v>6984</v>
      </c>
      <c r="FSJ12" t="s">
        <v>6984</v>
      </c>
      <c r="FSK12" t="s">
        <v>6984</v>
      </c>
      <c r="FSL12" t="s">
        <v>6984</v>
      </c>
      <c r="FSM12" t="s">
        <v>6984</v>
      </c>
      <c r="FSN12" t="s">
        <v>6984</v>
      </c>
      <c r="FSO12" t="s">
        <v>6984</v>
      </c>
      <c r="FSP12" t="s">
        <v>6984</v>
      </c>
      <c r="FSQ12" t="s">
        <v>6984</v>
      </c>
      <c r="FSR12" t="s">
        <v>6984</v>
      </c>
      <c r="FSS12" t="s">
        <v>6984</v>
      </c>
      <c r="FST12" t="s">
        <v>6984</v>
      </c>
      <c r="FSU12" t="s">
        <v>6984</v>
      </c>
      <c r="FSV12" t="s">
        <v>6984</v>
      </c>
      <c r="FSW12" t="s">
        <v>6984</v>
      </c>
      <c r="FSX12" t="s">
        <v>6984</v>
      </c>
      <c r="FSY12" t="s">
        <v>6984</v>
      </c>
      <c r="FSZ12" t="s">
        <v>6984</v>
      </c>
      <c r="FTA12" t="s">
        <v>6984</v>
      </c>
      <c r="FTB12" t="s">
        <v>6984</v>
      </c>
      <c r="FTC12" t="s">
        <v>6984</v>
      </c>
      <c r="FTD12" t="s">
        <v>6984</v>
      </c>
      <c r="FTE12" t="s">
        <v>6984</v>
      </c>
      <c r="FTF12" t="s">
        <v>6984</v>
      </c>
      <c r="FTG12" t="s">
        <v>6984</v>
      </c>
      <c r="FTH12" t="s">
        <v>6984</v>
      </c>
      <c r="FTI12" t="s">
        <v>6984</v>
      </c>
      <c r="FTJ12" t="s">
        <v>6984</v>
      </c>
      <c r="FTK12" t="s">
        <v>6984</v>
      </c>
      <c r="FTL12" t="s">
        <v>6984</v>
      </c>
      <c r="FTM12" t="s">
        <v>6984</v>
      </c>
      <c r="FTN12" t="s">
        <v>6984</v>
      </c>
      <c r="FTO12" t="s">
        <v>6984</v>
      </c>
      <c r="FTP12" t="s">
        <v>6984</v>
      </c>
      <c r="FTQ12" t="s">
        <v>6984</v>
      </c>
      <c r="FTR12" t="s">
        <v>6984</v>
      </c>
      <c r="FTS12" t="s">
        <v>6984</v>
      </c>
      <c r="FTT12" t="s">
        <v>6984</v>
      </c>
      <c r="FTU12" t="s">
        <v>6984</v>
      </c>
      <c r="FTV12" t="s">
        <v>6984</v>
      </c>
      <c r="FTW12" t="s">
        <v>6984</v>
      </c>
      <c r="FTX12" t="s">
        <v>6984</v>
      </c>
      <c r="FTY12" t="s">
        <v>6984</v>
      </c>
      <c r="FTZ12" t="s">
        <v>6984</v>
      </c>
      <c r="FUA12" t="s">
        <v>6984</v>
      </c>
      <c r="FUB12" t="s">
        <v>6984</v>
      </c>
      <c r="FUC12" t="s">
        <v>6984</v>
      </c>
      <c r="FUD12" t="s">
        <v>6984</v>
      </c>
      <c r="FUE12" t="s">
        <v>6984</v>
      </c>
      <c r="FUF12" t="s">
        <v>6984</v>
      </c>
      <c r="FUG12" t="s">
        <v>6984</v>
      </c>
      <c r="FUH12" t="s">
        <v>6984</v>
      </c>
      <c r="FUI12" t="s">
        <v>6984</v>
      </c>
      <c r="FUJ12" t="s">
        <v>6984</v>
      </c>
      <c r="FUK12" t="s">
        <v>6984</v>
      </c>
      <c r="FUL12" t="s">
        <v>6984</v>
      </c>
      <c r="FUM12" t="s">
        <v>6984</v>
      </c>
      <c r="FUN12" t="s">
        <v>6984</v>
      </c>
      <c r="FUO12" t="s">
        <v>6984</v>
      </c>
      <c r="FUP12" t="s">
        <v>6984</v>
      </c>
      <c r="FUQ12" t="s">
        <v>6984</v>
      </c>
      <c r="FUR12" t="s">
        <v>6984</v>
      </c>
      <c r="FUS12" t="s">
        <v>6984</v>
      </c>
      <c r="FUT12" t="s">
        <v>6984</v>
      </c>
      <c r="FUU12" t="s">
        <v>6984</v>
      </c>
      <c r="FUV12" t="s">
        <v>6984</v>
      </c>
      <c r="FUW12" t="s">
        <v>6984</v>
      </c>
      <c r="FUX12" t="s">
        <v>6984</v>
      </c>
      <c r="FUY12" t="s">
        <v>6984</v>
      </c>
      <c r="FUZ12" t="s">
        <v>6984</v>
      </c>
      <c r="FVA12" t="s">
        <v>6984</v>
      </c>
      <c r="FVB12" t="s">
        <v>6984</v>
      </c>
      <c r="FVC12" t="s">
        <v>6984</v>
      </c>
      <c r="FVD12" t="s">
        <v>6984</v>
      </c>
      <c r="FVE12" t="s">
        <v>6984</v>
      </c>
      <c r="FVF12" t="s">
        <v>6984</v>
      </c>
      <c r="FVG12" t="s">
        <v>6984</v>
      </c>
      <c r="FVH12" t="s">
        <v>6984</v>
      </c>
      <c r="FVI12" t="s">
        <v>6984</v>
      </c>
      <c r="FVJ12" t="s">
        <v>6984</v>
      </c>
      <c r="FVK12" t="s">
        <v>6984</v>
      </c>
      <c r="FVL12" t="s">
        <v>6984</v>
      </c>
      <c r="FVM12" t="s">
        <v>6984</v>
      </c>
      <c r="FVN12" t="s">
        <v>6984</v>
      </c>
      <c r="FVO12" t="s">
        <v>6984</v>
      </c>
      <c r="FVP12" t="s">
        <v>6984</v>
      </c>
      <c r="FVQ12" t="s">
        <v>6984</v>
      </c>
      <c r="FVR12" t="s">
        <v>6984</v>
      </c>
      <c r="FVS12" t="s">
        <v>6984</v>
      </c>
      <c r="FVT12" t="s">
        <v>6984</v>
      </c>
      <c r="FVU12" t="s">
        <v>6984</v>
      </c>
      <c r="FVV12" t="s">
        <v>6984</v>
      </c>
      <c r="FVW12" t="s">
        <v>6984</v>
      </c>
      <c r="FVX12" t="s">
        <v>6984</v>
      </c>
      <c r="FVY12" t="s">
        <v>6984</v>
      </c>
      <c r="FVZ12" t="s">
        <v>6984</v>
      </c>
      <c r="FWA12" t="s">
        <v>6984</v>
      </c>
      <c r="FWB12" t="s">
        <v>6984</v>
      </c>
      <c r="FWC12" t="s">
        <v>6984</v>
      </c>
      <c r="FWD12" t="s">
        <v>6984</v>
      </c>
      <c r="FWE12" t="s">
        <v>6984</v>
      </c>
      <c r="FWF12" t="s">
        <v>6984</v>
      </c>
      <c r="FWG12" t="s">
        <v>6984</v>
      </c>
      <c r="FWH12" t="s">
        <v>6984</v>
      </c>
      <c r="FWI12" t="s">
        <v>6984</v>
      </c>
      <c r="FWJ12" t="s">
        <v>6984</v>
      </c>
      <c r="FWK12" t="s">
        <v>6984</v>
      </c>
      <c r="FWL12" t="s">
        <v>6984</v>
      </c>
      <c r="FWM12" t="s">
        <v>6984</v>
      </c>
      <c r="FWN12" t="s">
        <v>6984</v>
      </c>
      <c r="FWO12" t="s">
        <v>6984</v>
      </c>
      <c r="FWP12" t="s">
        <v>6984</v>
      </c>
      <c r="FWQ12" t="s">
        <v>6984</v>
      </c>
      <c r="FWR12" t="s">
        <v>6984</v>
      </c>
      <c r="FWS12" t="s">
        <v>6984</v>
      </c>
      <c r="FWT12" t="s">
        <v>6984</v>
      </c>
      <c r="FWU12" t="s">
        <v>6984</v>
      </c>
      <c r="FWV12" t="s">
        <v>6984</v>
      </c>
      <c r="FWW12" t="s">
        <v>6984</v>
      </c>
      <c r="FWX12" t="s">
        <v>6984</v>
      </c>
      <c r="FWY12" t="s">
        <v>6984</v>
      </c>
      <c r="FWZ12" t="s">
        <v>6984</v>
      </c>
      <c r="FXA12" t="s">
        <v>6984</v>
      </c>
      <c r="FXB12" t="s">
        <v>6984</v>
      </c>
      <c r="FXC12" t="s">
        <v>6984</v>
      </c>
      <c r="FXD12" t="s">
        <v>6984</v>
      </c>
      <c r="FXE12" t="s">
        <v>6984</v>
      </c>
      <c r="FXF12" t="s">
        <v>6984</v>
      </c>
      <c r="FXG12" t="s">
        <v>6984</v>
      </c>
      <c r="FXH12" t="s">
        <v>6984</v>
      </c>
      <c r="FXI12" t="s">
        <v>6984</v>
      </c>
      <c r="FXJ12" t="s">
        <v>6984</v>
      </c>
      <c r="FXK12" t="s">
        <v>6984</v>
      </c>
      <c r="FXL12" t="s">
        <v>6984</v>
      </c>
      <c r="FXM12" t="s">
        <v>6984</v>
      </c>
      <c r="FXN12" t="s">
        <v>6984</v>
      </c>
      <c r="FXO12" t="s">
        <v>6984</v>
      </c>
      <c r="FXP12" t="s">
        <v>6984</v>
      </c>
      <c r="FXQ12" t="s">
        <v>6984</v>
      </c>
      <c r="FXR12" t="s">
        <v>6984</v>
      </c>
      <c r="FXS12" t="s">
        <v>6984</v>
      </c>
      <c r="FXT12" t="s">
        <v>6984</v>
      </c>
      <c r="FXU12" t="s">
        <v>6984</v>
      </c>
      <c r="FXV12" t="s">
        <v>6984</v>
      </c>
      <c r="FXW12" t="s">
        <v>6984</v>
      </c>
      <c r="FXX12" t="s">
        <v>6984</v>
      </c>
      <c r="FXY12" t="s">
        <v>6984</v>
      </c>
      <c r="FXZ12" t="s">
        <v>6984</v>
      </c>
      <c r="FYA12" t="s">
        <v>6984</v>
      </c>
      <c r="FYB12" t="s">
        <v>6984</v>
      </c>
      <c r="FYC12" t="s">
        <v>6984</v>
      </c>
      <c r="FYD12" t="s">
        <v>6984</v>
      </c>
      <c r="FYE12" t="s">
        <v>6984</v>
      </c>
      <c r="FYF12" t="s">
        <v>6984</v>
      </c>
      <c r="FYG12" t="s">
        <v>6984</v>
      </c>
      <c r="FYH12" t="s">
        <v>6984</v>
      </c>
      <c r="FYI12" t="s">
        <v>6984</v>
      </c>
      <c r="FYJ12" t="s">
        <v>6984</v>
      </c>
      <c r="FYK12" t="s">
        <v>6984</v>
      </c>
      <c r="FYL12" t="s">
        <v>6984</v>
      </c>
      <c r="FYM12" t="s">
        <v>6984</v>
      </c>
      <c r="FYN12" t="s">
        <v>6984</v>
      </c>
      <c r="FYO12" t="s">
        <v>6984</v>
      </c>
      <c r="FYP12" t="s">
        <v>6984</v>
      </c>
      <c r="FYQ12" t="s">
        <v>6984</v>
      </c>
      <c r="FYR12" t="s">
        <v>6984</v>
      </c>
      <c r="FYS12" t="s">
        <v>6984</v>
      </c>
      <c r="FYT12" t="s">
        <v>6984</v>
      </c>
      <c r="FYU12" t="s">
        <v>6984</v>
      </c>
      <c r="FYV12" t="s">
        <v>6984</v>
      </c>
      <c r="FYW12" t="s">
        <v>6984</v>
      </c>
      <c r="FYX12" t="s">
        <v>6984</v>
      </c>
      <c r="FYY12" t="s">
        <v>6984</v>
      </c>
      <c r="FYZ12" t="s">
        <v>6984</v>
      </c>
      <c r="FZA12" t="s">
        <v>6984</v>
      </c>
      <c r="FZB12" t="s">
        <v>6984</v>
      </c>
      <c r="FZC12" t="s">
        <v>6984</v>
      </c>
      <c r="FZD12" t="s">
        <v>6984</v>
      </c>
      <c r="FZE12" t="s">
        <v>6984</v>
      </c>
      <c r="FZF12" t="s">
        <v>6984</v>
      </c>
      <c r="FZG12" t="s">
        <v>6984</v>
      </c>
      <c r="FZH12" t="s">
        <v>6984</v>
      </c>
      <c r="FZI12" t="s">
        <v>6984</v>
      </c>
      <c r="FZJ12" t="s">
        <v>6984</v>
      </c>
      <c r="FZK12" t="s">
        <v>6984</v>
      </c>
      <c r="FZL12" t="s">
        <v>6984</v>
      </c>
      <c r="FZM12" t="s">
        <v>6984</v>
      </c>
      <c r="FZN12" t="s">
        <v>6984</v>
      </c>
      <c r="FZO12" t="s">
        <v>6984</v>
      </c>
      <c r="FZP12" t="s">
        <v>6984</v>
      </c>
      <c r="FZQ12" t="s">
        <v>6984</v>
      </c>
      <c r="FZR12" t="s">
        <v>6984</v>
      </c>
      <c r="FZS12" t="s">
        <v>6984</v>
      </c>
      <c r="FZT12" t="s">
        <v>6984</v>
      </c>
      <c r="FZU12" t="s">
        <v>6984</v>
      </c>
      <c r="FZV12" t="s">
        <v>6984</v>
      </c>
      <c r="FZW12" t="s">
        <v>6984</v>
      </c>
      <c r="FZX12" t="s">
        <v>6984</v>
      </c>
      <c r="FZY12" t="s">
        <v>6984</v>
      </c>
      <c r="FZZ12" t="s">
        <v>6984</v>
      </c>
      <c r="GAA12" t="s">
        <v>6984</v>
      </c>
      <c r="GAB12" t="s">
        <v>6984</v>
      </c>
      <c r="GAC12" t="s">
        <v>6984</v>
      </c>
      <c r="GAD12" t="s">
        <v>6984</v>
      </c>
      <c r="GAE12" t="s">
        <v>6984</v>
      </c>
      <c r="GAF12" t="s">
        <v>6984</v>
      </c>
      <c r="GAG12" t="s">
        <v>6984</v>
      </c>
      <c r="GAH12" t="s">
        <v>6984</v>
      </c>
      <c r="GAI12" t="s">
        <v>6984</v>
      </c>
      <c r="GAJ12" t="s">
        <v>6984</v>
      </c>
      <c r="GAK12" t="s">
        <v>6984</v>
      </c>
      <c r="GAL12" t="s">
        <v>6984</v>
      </c>
      <c r="GAM12" t="s">
        <v>6984</v>
      </c>
      <c r="GAN12" t="s">
        <v>6984</v>
      </c>
      <c r="GAO12" t="s">
        <v>6984</v>
      </c>
      <c r="GAP12" t="s">
        <v>6984</v>
      </c>
      <c r="GAQ12" t="s">
        <v>6984</v>
      </c>
      <c r="GAR12" t="s">
        <v>6984</v>
      </c>
      <c r="GAS12" t="s">
        <v>6984</v>
      </c>
      <c r="GAT12" t="s">
        <v>6984</v>
      </c>
      <c r="GAU12" t="s">
        <v>6984</v>
      </c>
      <c r="GAV12" t="s">
        <v>6984</v>
      </c>
      <c r="GAW12" t="s">
        <v>6984</v>
      </c>
      <c r="GAX12" t="s">
        <v>6984</v>
      </c>
      <c r="GAY12" t="s">
        <v>6984</v>
      </c>
      <c r="GAZ12" t="s">
        <v>6984</v>
      </c>
      <c r="GBA12" t="s">
        <v>6984</v>
      </c>
      <c r="GBB12" t="s">
        <v>6984</v>
      </c>
      <c r="GBC12" t="s">
        <v>6984</v>
      </c>
      <c r="GBD12" t="s">
        <v>6984</v>
      </c>
      <c r="GBE12" t="s">
        <v>6984</v>
      </c>
      <c r="GBF12" t="s">
        <v>6984</v>
      </c>
      <c r="GBG12" t="s">
        <v>6984</v>
      </c>
      <c r="GBH12" t="s">
        <v>6984</v>
      </c>
      <c r="GBI12" t="s">
        <v>6984</v>
      </c>
      <c r="GBJ12" t="s">
        <v>6984</v>
      </c>
      <c r="GBK12" t="s">
        <v>6984</v>
      </c>
      <c r="GBL12" t="s">
        <v>6984</v>
      </c>
      <c r="GBM12" t="s">
        <v>6984</v>
      </c>
      <c r="GBN12" t="s">
        <v>6984</v>
      </c>
      <c r="GBO12" t="s">
        <v>6984</v>
      </c>
      <c r="GBP12" t="s">
        <v>6984</v>
      </c>
      <c r="GBQ12" t="s">
        <v>6984</v>
      </c>
      <c r="GBR12" t="s">
        <v>6984</v>
      </c>
      <c r="GBS12" t="s">
        <v>6984</v>
      </c>
      <c r="GBT12" t="s">
        <v>6984</v>
      </c>
      <c r="GBU12" t="s">
        <v>6984</v>
      </c>
      <c r="GBV12" t="s">
        <v>6984</v>
      </c>
      <c r="GBW12" t="s">
        <v>6984</v>
      </c>
      <c r="GBX12" t="s">
        <v>6984</v>
      </c>
      <c r="GBY12" t="s">
        <v>6984</v>
      </c>
      <c r="GBZ12" t="s">
        <v>6984</v>
      </c>
      <c r="GCA12" t="s">
        <v>6984</v>
      </c>
      <c r="GCB12" t="s">
        <v>6984</v>
      </c>
      <c r="GCC12" t="s">
        <v>6984</v>
      </c>
      <c r="GCD12" t="s">
        <v>6984</v>
      </c>
      <c r="GCE12" t="s">
        <v>6984</v>
      </c>
      <c r="GCF12" t="s">
        <v>6984</v>
      </c>
      <c r="GCG12" t="s">
        <v>6984</v>
      </c>
      <c r="GCH12" t="s">
        <v>6984</v>
      </c>
      <c r="GCI12" t="s">
        <v>6984</v>
      </c>
      <c r="GCJ12" t="s">
        <v>6984</v>
      </c>
      <c r="GCK12" t="s">
        <v>6984</v>
      </c>
      <c r="GCL12" t="s">
        <v>6984</v>
      </c>
      <c r="GCM12" t="s">
        <v>6984</v>
      </c>
      <c r="GCN12" t="s">
        <v>6984</v>
      </c>
      <c r="GCO12" t="s">
        <v>6984</v>
      </c>
      <c r="GCP12" t="s">
        <v>6984</v>
      </c>
      <c r="GCQ12" t="s">
        <v>6984</v>
      </c>
      <c r="GCR12" t="s">
        <v>6984</v>
      </c>
      <c r="GCS12" t="s">
        <v>6984</v>
      </c>
      <c r="GCT12" t="s">
        <v>6984</v>
      </c>
      <c r="GCU12" t="s">
        <v>6984</v>
      </c>
      <c r="GCV12" t="s">
        <v>6984</v>
      </c>
      <c r="GCW12" t="s">
        <v>6984</v>
      </c>
      <c r="GCX12" t="s">
        <v>6984</v>
      </c>
      <c r="GCY12" t="s">
        <v>6984</v>
      </c>
      <c r="GCZ12" t="s">
        <v>6984</v>
      </c>
      <c r="GDA12" t="s">
        <v>6984</v>
      </c>
      <c r="GDB12" t="s">
        <v>6984</v>
      </c>
      <c r="GDC12" t="s">
        <v>6984</v>
      </c>
      <c r="GDD12" t="s">
        <v>6984</v>
      </c>
      <c r="GDE12" t="s">
        <v>6984</v>
      </c>
      <c r="GDF12" t="s">
        <v>6984</v>
      </c>
      <c r="GDG12" t="s">
        <v>6984</v>
      </c>
      <c r="GDH12" t="s">
        <v>6984</v>
      </c>
      <c r="GDI12" t="s">
        <v>6984</v>
      </c>
      <c r="GDJ12" t="s">
        <v>6984</v>
      </c>
      <c r="GDK12" t="s">
        <v>6984</v>
      </c>
      <c r="GDL12" t="s">
        <v>6984</v>
      </c>
      <c r="GDM12" t="s">
        <v>6984</v>
      </c>
      <c r="GDN12" t="s">
        <v>6984</v>
      </c>
      <c r="GDO12" t="s">
        <v>6984</v>
      </c>
      <c r="GDP12" t="s">
        <v>6984</v>
      </c>
      <c r="GDQ12" t="s">
        <v>6984</v>
      </c>
      <c r="GDR12" t="s">
        <v>6984</v>
      </c>
      <c r="GDS12" t="s">
        <v>6984</v>
      </c>
      <c r="GDT12" t="s">
        <v>6984</v>
      </c>
      <c r="GDU12" t="s">
        <v>6984</v>
      </c>
      <c r="GDV12" t="s">
        <v>6984</v>
      </c>
      <c r="GDW12" t="s">
        <v>6984</v>
      </c>
      <c r="GDX12" t="s">
        <v>6984</v>
      </c>
      <c r="GDY12" t="s">
        <v>6984</v>
      </c>
      <c r="GDZ12" t="s">
        <v>6984</v>
      </c>
      <c r="GEA12" t="s">
        <v>6984</v>
      </c>
      <c r="GEB12" t="s">
        <v>6984</v>
      </c>
      <c r="GEC12" t="s">
        <v>6984</v>
      </c>
      <c r="GED12" t="s">
        <v>6984</v>
      </c>
      <c r="GEE12" t="s">
        <v>6984</v>
      </c>
      <c r="GEF12" t="s">
        <v>6984</v>
      </c>
      <c r="GEG12" t="s">
        <v>6984</v>
      </c>
      <c r="GEH12" t="s">
        <v>6984</v>
      </c>
      <c r="GEI12" t="s">
        <v>6984</v>
      </c>
      <c r="GEJ12" t="s">
        <v>6984</v>
      </c>
      <c r="GEK12" t="s">
        <v>6984</v>
      </c>
      <c r="GEL12" t="s">
        <v>6984</v>
      </c>
      <c r="GEM12" t="s">
        <v>6984</v>
      </c>
      <c r="GEN12" t="s">
        <v>6984</v>
      </c>
      <c r="GEO12" t="s">
        <v>6984</v>
      </c>
      <c r="GEP12" t="s">
        <v>6984</v>
      </c>
      <c r="GEQ12" t="s">
        <v>6984</v>
      </c>
      <c r="GER12" t="s">
        <v>6984</v>
      </c>
      <c r="GES12" t="s">
        <v>6984</v>
      </c>
      <c r="GET12" t="s">
        <v>6984</v>
      </c>
      <c r="GEU12" t="s">
        <v>6984</v>
      </c>
      <c r="GEV12" t="s">
        <v>6984</v>
      </c>
      <c r="GEW12" t="s">
        <v>6984</v>
      </c>
      <c r="GEX12" t="s">
        <v>6984</v>
      </c>
      <c r="GEY12" t="s">
        <v>6984</v>
      </c>
      <c r="GEZ12" t="s">
        <v>6984</v>
      </c>
      <c r="GFA12" t="s">
        <v>6984</v>
      </c>
      <c r="GFB12" t="s">
        <v>6984</v>
      </c>
      <c r="GFC12" t="s">
        <v>6984</v>
      </c>
      <c r="GFD12" t="s">
        <v>6984</v>
      </c>
      <c r="GFE12" t="s">
        <v>6984</v>
      </c>
      <c r="GFF12" t="s">
        <v>6984</v>
      </c>
      <c r="GFG12" t="s">
        <v>6984</v>
      </c>
      <c r="GFH12" t="s">
        <v>6984</v>
      </c>
      <c r="GFI12" t="s">
        <v>6984</v>
      </c>
      <c r="GFJ12" t="s">
        <v>6984</v>
      </c>
      <c r="GFK12" t="s">
        <v>6984</v>
      </c>
      <c r="GFL12" t="s">
        <v>6984</v>
      </c>
      <c r="GFM12" t="s">
        <v>6984</v>
      </c>
      <c r="GFN12" t="s">
        <v>6984</v>
      </c>
      <c r="GFO12" t="s">
        <v>6984</v>
      </c>
      <c r="GFP12" t="s">
        <v>6984</v>
      </c>
      <c r="GFQ12" t="s">
        <v>6984</v>
      </c>
      <c r="GFR12" t="s">
        <v>6984</v>
      </c>
      <c r="GFS12" t="s">
        <v>6984</v>
      </c>
      <c r="GFT12" t="s">
        <v>6984</v>
      </c>
      <c r="GFU12" t="s">
        <v>6984</v>
      </c>
      <c r="GFV12" t="s">
        <v>6984</v>
      </c>
      <c r="GFW12" t="s">
        <v>6984</v>
      </c>
      <c r="GFX12" t="s">
        <v>6984</v>
      </c>
      <c r="GFY12" t="s">
        <v>6984</v>
      </c>
      <c r="GFZ12" t="s">
        <v>6984</v>
      </c>
      <c r="GGA12" t="s">
        <v>6984</v>
      </c>
      <c r="GGB12" t="s">
        <v>6984</v>
      </c>
      <c r="GGC12" t="s">
        <v>6984</v>
      </c>
      <c r="GGD12" t="s">
        <v>6984</v>
      </c>
      <c r="GGE12" t="s">
        <v>6984</v>
      </c>
      <c r="GGF12" t="s">
        <v>6984</v>
      </c>
      <c r="GGG12" t="s">
        <v>6984</v>
      </c>
      <c r="GGH12" t="s">
        <v>6984</v>
      </c>
      <c r="GGI12" t="s">
        <v>6984</v>
      </c>
      <c r="GGJ12" t="s">
        <v>6984</v>
      </c>
      <c r="GGK12" t="s">
        <v>6984</v>
      </c>
      <c r="GGL12" t="s">
        <v>6984</v>
      </c>
      <c r="GGM12" t="s">
        <v>6984</v>
      </c>
      <c r="GGN12" t="s">
        <v>6984</v>
      </c>
      <c r="GGO12" t="s">
        <v>6984</v>
      </c>
      <c r="GGP12" t="s">
        <v>6984</v>
      </c>
      <c r="GGQ12" t="s">
        <v>6984</v>
      </c>
      <c r="GGR12" t="s">
        <v>6984</v>
      </c>
      <c r="GGS12" t="s">
        <v>6984</v>
      </c>
      <c r="GGT12" t="s">
        <v>6984</v>
      </c>
      <c r="GGU12" t="s">
        <v>6984</v>
      </c>
      <c r="GGV12" t="s">
        <v>6984</v>
      </c>
      <c r="GGW12" t="s">
        <v>6984</v>
      </c>
      <c r="GGX12" t="s">
        <v>6984</v>
      </c>
      <c r="GGY12" t="s">
        <v>6984</v>
      </c>
      <c r="GGZ12" t="s">
        <v>6984</v>
      </c>
      <c r="GHA12" t="s">
        <v>6984</v>
      </c>
      <c r="GHB12" t="s">
        <v>6984</v>
      </c>
      <c r="GHC12" t="s">
        <v>6984</v>
      </c>
      <c r="GHD12" t="s">
        <v>6984</v>
      </c>
      <c r="GHE12" t="s">
        <v>6984</v>
      </c>
      <c r="GHF12" t="s">
        <v>6984</v>
      </c>
      <c r="GHG12" t="s">
        <v>6984</v>
      </c>
      <c r="GHH12" t="s">
        <v>6984</v>
      </c>
      <c r="GHI12" t="s">
        <v>6984</v>
      </c>
      <c r="GHJ12" t="s">
        <v>6984</v>
      </c>
      <c r="GHK12" t="s">
        <v>6984</v>
      </c>
      <c r="GHL12" t="s">
        <v>6984</v>
      </c>
      <c r="GHM12" t="s">
        <v>6984</v>
      </c>
      <c r="GHN12" t="s">
        <v>6984</v>
      </c>
      <c r="GHO12" t="s">
        <v>6984</v>
      </c>
      <c r="GHP12" t="s">
        <v>6984</v>
      </c>
      <c r="GHQ12" t="s">
        <v>6984</v>
      </c>
      <c r="GHR12" t="s">
        <v>6984</v>
      </c>
      <c r="GHS12" t="s">
        <v>6984</v>
      </c>
      <c r="GHT12" t="s">
        <v>6984</v>
      </c>
      <c r="GHU12" t="s">
        <v>6984</v>
      </c>
      <c r="GHV12" t="s">
        <v>6984</v>
      </c>
      <c r="GHW12" t="s">
        <v>6984</v>
      </c>
      <c r="GHX12" t="s">
        <v>6984</v>
      </c>
      <c r="GHY12" t="s">
        <v>6984</v>
      </c>
      <c r="GHZ12" t="s">
        <v>6984</v>
      </c>
      <c r="GIA12" t="s">
        <v>6984</v>
      </c>
      <c r="GIB12" t="s">
        <v>6984</v>
      </c>
      <c r="GIC12" t="s">
        <v>6984</v>
      </c>
      <c r="GID12" t="s">
        <v>6984</v>
      </c>
      <c r="GIE12" t="s">
        <v>6984</v>
      </c>
      <c r="GIF12" t="s">
        <v>6984</v>
      </c>
      <c r="GIG12" t="s">
        <v>6984</v>
      </c>
      <c r="GIH12" t="s">
        <v>6984</v>
      </c>
      <c r="GII12" t="s">
        <v>6984</v>
      </c>
      <c r="GIJ12" t="s">
        <v>6984</v>
      </c>
      <c r="GIK12" t="s">
        <v>6984</v>
      </c>
      <c r="GIL12" t="s">
        <v>6984</v>
      </c>
      <c r="GIM12" t="s">
        <v>6984</v>
      </c>
      <c r="GIN12" t="s">
        <v>6984</v>
      </c>
      <c r="GIO12" t="s">
        <v>6984</v>
      </c>
      <c r="GIP12" t="s">
        <v>6984</v>
      </c>
      <c r="GIQ12" t="s">
        <v>6984</v>
      </c>
      <c r="GIR12" t="s">
        <v>6984</v>
      </c>
      <c r="GIS12" t="s">
        <v>6984</v>
      </c>
      <c r="GIT12" t="s">
        <v>6984</v>
      </c>
      <c r="GIU12" t="s">
        <v>6984</v>
      </c>
      <c r="GIV12" t="s">
        <v>6984</v>
      </c>
      <c r="GIW12" t="s">
        <v>6984</v>
      </c>
      <c r="GIX12" t="s">
        <v>6984</v>
      </c>
      <c r="GIY12" t="s">
        <v>6984</v>
      </c>
      <c r="GIZ12" t="s">
        <v>6984</v>
      </c>
      <c r="GJA12" t="s">
        <v>6984</v>
      </c>
      <c r="GJB12" t="s">
        <v>6984</v>
      </c>
      <c r="GJC12" t="s">
        <v>6984</v>
      </c>
      <c r="GJD12" t="s">
        <v>6984</v>
      </c>
      <c r="GJE12" t="s">
        <v>6984</v>
      </c>
      <c r="GJF12" t="s">
        <v>6984</v>
      </c>
      <c r="GJG12" t="s">
        <v>6984</v>
      </c>
      <c r="GJH12" t="s">
        <v>6984</v>
      </c>
      <c r="GJI12" t="s">
        <v>6984</v>
      </c>
      <c r="GJJ12" t="s">
        <v>6984</v>
      </c>
      <c r="GJK12" t="s">
        <v>6984</v>
      </c>
      <c r="GJL12" t="s">
        <v>6984</v>
      </c>
      <c r="GJM12" t="s">
        <v>6984</v>
      </c>
      <c r="GJN12" t="s">
        <v>6984</v>
      </c>
      <c r="GJO12" t="s">
        <v>6984</v>
      </c>
      <c r="GJP12" t="s">
        <v>6984</v>
      </c>
      <c r="GJQ12" t="s">
        <v>6984</v>
      </c>
      <c r="GJR12" t="s">
        <v>6984</v>
      </c>
      <c r="GJS12" t="s">
        <v>6984</v>
      </c>
      <c r="GJT12" t="s">
        <v>6984</v>
      </c>
      <c r="GJU12" t="s">
        <v>6984</v>
      </c>
      <c r="GJV12" t="s">
        <v>6984</v>
      </c>
      <c r="GJW12" t="s">
        <v>6984</v>
      </c>
      <c r="GJX12" t="s">
        <v>6984</v>
      </c>
      <c r="GJY12" t="s">
        <v>6984</v>
      </c>
      <c r="GJZ12" t="s">
        <v>6984</v>
      </c>
      <c r="GKA12" t="s">
        <v>6984</v>
      </c>
      <c r="GKB12" t="s">
        <v>6984</v>
      </c>
      <c r="GKC12" t="s">
        <v>6984</v>
      </c>
      <c r="GKD12" t="s">
        <v>6984</v>
      </c>
      <c r="GKE12" t="s">
        <v>6984</v>
      </c>
      <c r="GKF12" t="s">
        <v>6984</v>
      </c>
      <c r="GKG12" t="s">
        <v>6984</v>
      </c>
      <c r="GKH12" t="s">
        <v>6984</v>
      </c>
      <c r="GKI12" t="s">
        <v>6984</v>
      </c>
      <c r="GKJ12" t="s">
        <v>6984</v>
      </c>
      <c r="GKK12" t="s">
        <v>6984</v>
      </c>
      <c r="GKL12" t="s">
        <v>6984</v>
      </c>
      <c r="GKM12" t="s">
        <v>6984</v>
      </c>
      <c r="GKN12" t="s">
        <v>6984</v>
      </c>
      <c r="GKO12" t="s">
        <v>6984</v>
      </c>
      <c r="GKP12" t="s">
        <v>6984</v>
      </c>
      <c r="GKQ12" t="s">
        <v>6984</v>
      </c>
      <c r="GKR12" t="s">
        <v>6984</v>
      </c>
      <c r="GKS12" t="s">
        <v>6984</v>
      </c>
      <c r="GKT12" t="s">
        <v>6984</v>
      </c>
      <c r="GKU12" t="s">
        <v>6984</v>
      </c>
      <c r="GKV12" t="s">
        <v>6984</v>
      </c>
      <c r="GKW12" t="s">
        <v>6984</v>
      </c>
      <c r="GKX12" t="s">
        <v>6984</v>
      </c>
      <c r="GKY12" t="s">
        <v>6984</v>
      </c>
      <c r="GKZ12" t="s">
        <v>6984</v>
      </c>
      <c r="GLA12" t="s">
        <v>6984</v>
      </c>
      <c r="GLB12" t="s">
        <v>6984</v>
      </c>
      <c r="GLC12" t="s">
        <v>6984</v>
      </c>
      <c r="GLD12" t="s">
        <v>6984</v>
      </c>
      <c r="GLE12" t="s">
        <v>6984</v>
      </c>
      <c r="GLF12" t="s">
        <v>6984</v>
      </c>
      <c r="GLG12" t="s">
        <v>6984</v>
      </c>
      <c r="GLH12" t="s">
        <v>6984</v>
      </c>
      <c r="GLI12" t="s">
        <v>6984</v>
      </c>
      <c r="GLJ12" t="s">
        <v>6984</v>
      </c>
      <c r="GLK12" t="s">
        <v>6984</v>
      </c>
      <c r="GLL12" t="s">
        <v>6984</v>
      </c>
      <c r="GLM12" t="s">
        <v>6984</v>
      </c>
      <c r="GLN12" t="s">
        <v>6984</v>
      </c>
      <c r="GLO12" t="s">
        <v>6984</v>
      </c>
      <c r="GLP12" t="s">
        <v>6984</v>
      </c>
      <c r="GLQ12" t="s">
        <v>6984</v>
      </c>
      <c r="GLR12" t="s">
        <v>6984</v>
      </c>
      <c r="GLS12" t="s">
        <v>6984</v>
      </c>
      <c r="GLT12" t="s">
        <v>6984</v>
      </c>
      <c r="GLU12" t="s">
        <v>6984</v>
      </c>
      <c r="GLV12" t="s">
        <v>6984</v>
      </c>
      <c r="GLW12" t="s">
        <v>6984</v>
      </c>
      <c r="GLX12" t="s">
        <v>6984</v>
      </c>
      <c r="GLY12" t="s">
        <v>6984</v>
      </c>
      <c r="GLZ12" t="s">
        <v>6984</v>
      </c>
      <c r="GMA12" t="s">
        <v>6984</v>
      </c>
      <c r="GMB12" t="s">
        <v>6984</v>
      </c>
      <c r="GMC12" t="s">
        <v>6984</v>
      </c>
      <c r="GMD12" t="s">
        <v>6984</v>
      </c>
      <c r="GME12" t="s">
        <v>6984</v>
      </c>
      <c r="GMF12" t="s">
        <v>6984</v>
      </c>
      <c r="GMG12" t="s">
        <v>6984</v>
      </c>
      <c r="GMH12" t="s">
        <v>6984</v>
      </c>
      <c r="GMI12" t="s">
        <v>6984</v>
      </c>
      <c r="GMJ12" t="s">
        <v>6984</v>
      </c>
      <c r="GMK12" t="s">
        <v>6984</v>
      </c>
      <c r="GML12" t="s">
        <v>6984</v>
      </c>
      <c r="GMM12" t="s">
        <v>6984</v>
      </c>
      <c r="GMN12" t="s">
        <v>6984</v>
      </c>
      <c r="GMO12" t="s">
        <v>6984</v>
      </c>
      <c r="GMP12" t="s">
        <v>6984</v>
      </c>
      <c r="GMQ12" t="s">
        <v>6984</v>
      </c>
      <c r="GMR12" t="s">
        <v>6984</v>
      </c>
      <c r="GMS12" t="s">
        <v>6984</v>
      </c>
      <c r="GMT12" t="s">
        <v>6984</v>
      </c>
      <c r="GMU12" t="s">
        <v>6984</v>
      </c>
      <c r="GMV12" t="s">
        <v>6984</v>
      </c>
      <c r="GMW12" t="s">
        <v>6984</v>
      </c>
      <c r="GMX12" t="s">
        <v>6984</v>
      </c>
      <c r="GMY12" t="s">
        <v>6984</v>
      </c>
      <c r="GMZ12" t="s">
        <v>6984</v>
      </c>
      <c r="GNA12" t="s">
        <v>6984</v>
      </c>
      <c r="GNB12" t="s">
        <v>6984</v>
      </c>
      <c r="GNC12" t="s">
        <v>6984</v>
      </c>
      <c r="GND12" t="s">
        <v>6984</v>
      </c>
      <c r="GNE12" t="s">
        <v>6984</v>
      </c>
      <c r="GNF12" t="s">
        <v>6984</v>
      </c>
      <c r="GNG12" t="s">
        <v>6984</v>
      </c>
      <c r="GNH12" t="s">
        <v>6984</v>
      </c>
      <c r="GNI12" t="s">
        <v>6984</v>
      </c>
      <c r="GNJ12" t="s">
        <v>6984</v>
      </c>
      <c r="GNK12" t="s">
        <v>6984</v>
      </c>
      <c r="GNL12" t="s">
        <v>6984</v>
      </c>
      <c r="GNM12" t="s">
        <v>6984</v>
      </c>
      <c r="GNN12" t="s">
        <v>6984</v>
      </c>
      <c r="GNO12" t="s">
        <v>6984</v>
      </c>
      <c r="GNP12" t="s">
        <v>6984</v>
      </c>
      <c r="GNQ12" t="s">
        <v>6984</v>
      </c>
      <c r="GNR12" t="s">
        <v>6984</v>
      </c>
      <c r="GNS12" t="s">
        <v>6984</v>
      </c>
      <c r="GNT12" t="s">
        <v>6984</v>
      </c>
      <c r="GNU12" t="s">
        <v>6984</v>
      </c>
      <c r="GNV12" t="s">
        <v>6984</v>
      </c>
      <c r="GNW12" t="s">
        <v>6984</v>
      </c>
      <c r="GNX12" t="s">
        <v>6984</v>
      </c>
      <c r="GNY12" t="s">
        <v>6984</v>
      </c>
      <c r="GNZ12" t="s">
        <v>6984</v>
      </c>
      <c r="GOA12" t="s">
        <v>6984</v>
      </c>
      <c r="GOB12" t="s">
        <v>6984</v>
      </c>
      <c r="GOC12" t="s">
        <v>6984</v>
      </c>
      <c r="GOD12" t="s">
        <v>6984</v>
      </c>
      <c r="GOE12" t="s">
        <v>6984</v>
      </c>
      <c r="GOF12" t="s">
        <v>6984</v>
      </c>
      <c r="GOG12" t="s">
        <v>6984</v>
      </c>
      <c r="GOH12" t="s">
        <v>6984</v>
      </c>
      <c r="GOI12" t="s">
        <v>6984</v>
      </c>
      <c r="GOJ12" t="s">
        <v>6984</v>
      </c>
      <c r="GOK12" t="s">
        <v>6984</v>
      </c>
      <c r="GOL12" t="s">
        <v>6984</v>
      </c>
      <c r="GOM12" t="s">
        <v>6984</v>
      </c>
      <c r="GON12" t="s">
        <v>6984</v>
      </c>
      <c r="GOO12" t="s">
        <v>6984</v>
      </c>
      <c r="GOP12" t="s">
        <v>6984</v>
      </c>
      <c r="GOQ12" t="s">
        <v>6984</v>
      </c>
      <c r="GOR12" t="s">
        <v>6984</v>
      </c>
      <c r="GOS12" t="s">
        <v>6984</v>
      </c>
      <c r="GOT12" t="s">
        <v>6984</v>
      </c>
      <c r="GOU12" t="s">
        <v>6984</v>
      </c>
      <c r="GOV12" t="s">
        <v>6984</v>
      </c>
      <c r="GOW12" t="s">
        <v>6984</v>
      </c>
      <c r="GOX12" t="s">
        <v>6984</v>
      </c>
      <c r="GOY12" t="s">
        <v>6984</v>
      </c>
      <c r="GOZ12" t="s">
        <v>6984</v>
      </c>
      <c r="GPA12" t="s">
        <v>6984</v>
      </c>
      <c r="GPB12" t="s">
        <v>6984</v>
      </c>
      <c r="GPC12" t="s">
        <v>6984</v>
      </c>
      <c r="GPD12" t="s">
        <v>6984</v>
      </c>
      <c r="GPE12" t="s">
        <v>6984</v>
      </c>
      <c r="GPF12" t="s">
        <v>6984</v>
      </c>
      <c r="GPG12" t="s">
        <v>6984</v>
      </c>
      <c r="GPH12" t="s">
        <v>6984</v>
      </c>
      <c r="GPI12" t="s">
        <v>6984</v>
      </c>
      <c r="GPJ12" t="s">
        <v>6984</v>
      </c>
      <c r="GPK12" t="s">
        <v>6984</v>
      </c>
      <c r="GPL12" t="s">
        <v>6984</v>
      </c>
      <c r="GPM12" t="s">
        <v>6984</v>
      </c>
      <c r="GPN12" t="s">
        <v>6984</v>
      </c>
      <c r="GPO12" t="s">
        <v>6984</v>
      </c>
      <c r="GPP12" t="s">
        <v>6984</v>
      </c>
      <c r="GPQ12" t="s">
        <v>6984</v>
      </c>
      <c r="GPR12" t="s">
        <v>6984</v>
      </c>
      <c r="GPS12" t="s">
        <v>6984</v>
      </c>
      <c r="GPT12" t="s">
        <v>6984</v>
      </c>
      <c r="GPU12" t="s">
        <v>6984</v>
      </c>
      <c r="GPV12" t="s">
        <v>6984</v>
      </c>
      <c r="GPW12" t="s">
        <v>6984</v>
      </c>
      <c r="GPX12" t="s">
        <v>6984</v>
      </c>
      <c r="GPY12" t="s">
        <v>6984</v>
      </c>
      <c r="GPZ12" t="s">
        <v>6984</v>
      </c>
      <c r="GQA12" t="s">
        <v>6984</v>
      </c>
      <c r="GQB12" t="s">
        <v>6984</v>
      </c>
      <c r="GQC12" t="s">
        <v>6984</v>
      </c>
      <c r="GQD12" t="s">
        <v>6984</v>
      </c>
      <c r="GQE12" t="s">
        <v>6984</v>
      </c>
      <c r="GQF12" t="s">
        <v>6984</v>
      </c>
      <c r="GQG12" t="s">
        <v>6984</v>
      </c>
      <c r="GQH12" t="s">
        <v>6984</v>
      </c>
      <c r="GQI12" t="s">
        <v>6984</v>
      </c>
      <c r="GQJ12" t="s">
        <v>6984</v>
      </c>
      <c r="GQK12" t="s">
        <v>6984</v>
      </c>
      <c r="GQL12" t="s">
        <v>6984</v>
      </c>
      <c r="GQM12" t="s">
        <v>6984</v>
      </c>
      <c r="GQN12" t="s">
        <v>6984</v>
      </c>
      <c r="GQO12" t="s">
        <v>6984</v>
      </c>
      <c r="GQP12" t="s">
        <v>6984</v>
      </c>
      <c r="GQQ12" t="s">
        <v>6984</v>
      </c>
      <c r="GQR12" t="s">
        <v>6984</v>
      </c>
      <c r="GQS12" t="s">
        <v>6984</v>
      </c>
      <c r="GQT12" t="s">
        <v>6984</v>
      </c>
      <c r="GQU12" t="s">
        <v>6984</v>
      </c>
      <c r="GQV12" t="s">
        <v>6984</v>
      </c>
      <c r="GQW12" t="s">
        <v>6984</v>
      </c>
      <c r="GQX12" t="s">
        <v>6984</v>
      </c>
      <c r="GQY12" t="s">
        <v>6984</v>
      </c>
      <c r="GQZ12" t="s">
        <v>6984</v>
      </c>
      <c r="GRA12" t="s">
        <v>6984</v>
      </c>
      <c r="GRB12" t="s">
        <v>6984</v>
      </c>
      <c r="GRC12" t="s">
        <v>6984</v>
      </c>
      <c r="GRD12" t="s">
        <v>6984</v>
      </c>
      <c r="GRE12" t="s">
        <v>6984</v>
      </c>
      <c r="GRF12" t="s">
        <v>6984</v>
      </c>
      <c r="GRG12" t="s">
        <v>6984</v>
      </c>
      <c r="GRH12" t="s">
        <v>6984</v>
      </c>
      <c r="GRI12" t="s">
        <v>6984</v>
      </c>
      <c r="GRJ12" t="s">
        <v>6984</v>
      </c>
      <c r="GRK12" t="s">
        <v>6984</v>
      </c>
      <c r="GRL12" t="s">
        <v>6984</v>
      </c>
      <c r="GRM12" t="s">
        <v>6984</v>
      </c>
      <c r="GRN12" t="s">
        <v>6984</v>
      </c>
      <c r="GRO12" t="s">
        <v>6984</v>
      </c>
      <c r="GRP12" t="s">
        <v>6984</v>
      </c>
      <c r="GRQ12" t="s">
        <v>6984</v>
      </c>
      <c r="GRR12" t="s">
        <v>6984</v>
      </c>
      <c r="GRS12" t="s">
        <v>6984</v>
      </c>
      <c r="GRT12" t="s">
        <v>6984</v>
      </c>
      <c r="GRU12" t="s">
        <v>6984</v>
      </c>
      <c r="GRV12" t="s">
        <v>6984</v>
      </c>
      <c r="GRW12" t="s">
        <v>6984</v>
      </c>
      <c r="GRX12" t="s">
        <v>6984</v>
      </c>
      <c r="GRY12" t="s">
        <v>6984</v>
      </c>
      <c r="GRZ12" t="s">
        <v>6984</v>
      </c>
      <c r="GSA12" t="s">
        <v>6984</v>
      </c>
      <c r="GSB12" t="s">
        <v>6984</v>
      </c>
      <c r="GSC12" t="s">
        <v>6984</v>
      </c>
      <c r="GSD12" t="s">
        <v>6984</v>
      </c>
      <c r="GSE12" t="s">
        <v>6984</v>
      </c>
      <c r="GSF12" t="s">
        <v>6984</v>
      </c>
      <c r="GSG12" t="s">
        <v>6984</v>
      </c>
      <c r="GSH12" t="s">
        <v>6984</v>
      </c>
      <c r="GSI12" t="s">
        <v>6984</v>
      </c>
      <c r="GSJ12" t="s">
        <v>6984</v>
      </c>
      <c r="GSK12" t="s">
        <v>6984</v>
      </c>
      <c r="GSL12" t="s">
        <v>6984</v>
      </c>
      <c r="GSM12" t="s">
        <v>6984</v>
      </c>
      <c r="GSN12" t="s">
        <v>6984</v>
      </c>
      <c r="GSO12" t="s">
        <v>6984</v>
      </c>
      <c r="GSP12" t="s">
        <v>6984</v>
      </c>
      <c r="GSQ12" t="s">
        <v>6984</v>
      </c>
      <c r="GSR12" t="s">
        <v>6984</v>
      </c>
      <c r="GSS12" t="s">
        <v>6984</v>
      </c>
      <c r="GST12" t="s">
        <v>6984</v>
      </c>
      <c r="GSU12" t="s">
        <v>6984</v>
      </c>
      <c r="GSV12" t="s">
        <v>6984</v>
      </c>
      <c r="GSW12" t="s">
        <v>6984</v>
      </c>
      <c r="GSX12" t="s">
        <v>6984</v>
      </c>
      <c r="GSY12" t="s">
        <v>6984</v>
      </c>
      <c r="GSZ12" t="s">
        <v>6984</v>
      </c>
      <c r="GTA12" t="s">
        <v>6984</v>
      </c>
      <c r="GTB12" t="s">
        <v>6984</v>
      </c>
      <c r="GTC12" t="s">
        <v>6984</v>
      </c>
      <c r="GTD12" t="s">
        <v>6984</v>
      </c>
      <c r="GTE12" t="s">
        <v>6984</v>
      </c>
      <c r="GTF12" t="s">
        <v>6984</v>
      </c>
      <c r="GTG12" t="s">
        <v>6984</v>
      </c>
      <c r="GTH12" t="s">
        <v>6984</v>
      </c>
      <c r="GTI12" t="s">
        <v>6984</v>
      </c>
      <c r="GTJ12" t="s">
        <v>6984</v>
      </c>
      <c r="GTK12" t="s">
        <v>6984</v>
      </c>
      <c r="GTL12" t="s">
        <v>6984</v>
      </c>
      <c r="GTM12" t="s">
        <v>6984</v>
      </c>
      <c r="GTN12" t="s">
        <v>6984</v>
      </c>
      <c r="GTO12" t="s">
        <v>6984</v>
      </c>
      <c r="GTP12" t="s">
        <v>6984</v>
      </c>
      <c r="GTQ12" t="s">
        <v>6984</v>
      </c>
      <c r="GTR12" t="s">
        <v>6984</v>
      </c>
      <c r="GTS12" t="s">
        <v>6984</v>
      </c>
      <c r="GTT12" t="s">
        <v>6984</v>
      </c>
      <c r="GTU12" t="s">
        <v>6984</v>
      </c>
      <c r="GTV12" t="s">
        <v>6984</v>
      </c>
      <c r="GTW12" t="s">
        <v>6984</v>
      </c>
      <c r="GTX12" t="s">
        <v>6984</v>
      </c>
      <c r="GTY12" t="s">
        <v>6984</v>
      </c>
      <c r="GTZ12" t="s">
        <v>6984</v>
      </c>
      <c r="GUA12" t="s">
        <v>6984</v>
      </c>
      <c r="GUB12" t="s">
        <v>6984</v>
      </c>
      <c r="GUC12" t="s">
        <v>6984</v>
      </c>
      <c r="GUD12" t="s">
        <v>6984</v>
      </c>
      <c r="GUE12" t="s">
        <v>6984</v>
      </c>
      <c r="GUF12" t="s">
        <v>6984</v>
      </c>
      <c r="GUG12" t="s">
        <v>6984</v>
      </c>
      <c r="GUH12" t="s">
        <v>6984</v>
      </c>
      <c r="GUI12" t="s">
        <v>6984</v>
      </c>
      <c r="GUJ12" t="s">
        <v>6984</v>
      </c>
      <c r="GUK12" t="s">
        <v>6984</v>
      </c>
      <c r="GUL12" t="s">
        <v>6984</v>
      </c>
      <c r="GUM12" t="s">
        <v>6984</v>
      </c>
      <c r="GUN12" t="s">
        <v>6984</v>
      </c>
      <c r="GUO12" t="s">
        <v>6984</v>
      </c>
      <c r="GUP12" t="s">
        <v>6984</v>
      </c>
      <c r="GUQ12" t="s">
        <v>6984</v>
      </c>
      <c r="GUR12" t="s">
        <v>6984</v>
      </c>
      <c r="GUS12" t="s">
        <v>6984</v>
      </c>
      <c r="GUT12" t="s">
        <v>6984</v>
      </c>
      <c r="GUU12" t="s">
        <v>6984</v>
      </c>
      <c r="GUV12" t="s">
        <v>6984</v>
      </c>
      <c r="GUW12" t="s">
        <v>6984</v>
      </c>
      <c r="GUX12" t="s">
        <v>6984</v>
      </c>
      <c r="GUY12" t="s">
        <v>6984</v>
      </c>
      <c r="GUZ12" t="s">
        <v>6984</v>
      </c>
      <c r="GVA12" t="s">
        <v>6984</v>
      </c>
      <c r="GVB12" t="s">
        <v>6984</v>
      </c>
      <c r="GVC12" t="s">
        <v>6984</v>
      </c>
      <c r="GVD12" t="s">
        <v>6984</v>
      </c>
      <c r="GVE12" t="s">
        <v>6984</v>
      </c>
      <c r="GVF12" t="s">
        <v>6984</v>
      </c>
      <c r="GVG12" t="s">
        <v>6984</v>
      </c>
      <c r="GVH12" t="s">
        <v>6984</v>
      </c>
      <c r="GVI12" t="s">
        <v>6984</v>
      </c>
      <c r="GVJ12" t="s">
        <v>6984</v>
      </c>
      <c r="GVK12" t="s">
        <v>6984</v>
      </c>
      <c r="GVL12" t="s">
        <v>6984</v>
      </c>
      <c r="GVM12" t="s">
        <v>6984</v>
      </c>
      <c r="GVN12" t="s">
        <v>6984</v>
      </c>
      <c r="GVO12" t="s">
        <v>6984</v>
      </c>
      <c r="GVP12" t="s">
        <v>6984</v>
      </c>
      <c r="GVQ12" t="s">
        <v>6984</v>
      </c>
      <c r="GVR12" t="s">
        <v>6984</v>
      </c>
      <c r="GVS12" t="s">
        <v>6984</v>
      </c>
      <c r="GVT12" t="s">
        <v>6984</v>
      </c>
      <c r="GVU12" t="s">
        <v>6984</v>
      </c>
      <c r="GVV12" t="s">
        <v>6984</v>
      </c>
      <c r="GVW12" t="s">
        <v>6984</v>
      </c>
      <c r="GVX12" t="s">
        <v>6984</v>
      </c>
      <c r="GVY12" t="s">
        <v>6984</v>
      </c>
      <c r="GVZ12" t="s">
        <v>6984</v>
      </c>
      <c r="GWA12" t="s">
        <v>6984</v>
      </c>
      <c r="GWB12" t="s">
        <v>6984</v>
      </c>
      <c r="GWC12" t="s">
        <v>6984</v>
      </c>
      <c r="GWD12" t="s">
        <v>6984</v>
      </c>
      <c r="GWE12" t="s">
        <v>6984</v>
      </c>
      <c r="GWF12" t="s">
        <v>6984</v>
      </c>
      <c r="GWG12" t="s">
        <v>6984</v>
      </c>
      <c r="GWH12" t="s">
        <v>6984</v>
      </c>
      <c r="GWI12" t="s">
        <v>6984</v>
      </c>
      <c r="GWJ12" t="s">
        <v>6984</v>
      </c>
      <c r="GWK12" t="s">
        <v>6984</v>
      </c>
      <c r="GWL12" t="s">
        <v>6984</v>
      </c>
      <c r="GWM12" t="s">
        <v>6984</v>
      </c>
      <c r="GWN12" t="s">
        <v>6984</v>
      </c>
      <c r="GWO12" t="s">
        <v>6984</v>
      </c>
      <c r="GWP12" t="s">
        <v>6984</v>
      </c>
      <c r="GWQ12" t="s">
        <v>6984</v>
      </c>
      <c r="GWR12" t="s">
        <v>6984</v>
      </c>
      <c r="GWS12" t="s">
        <v>6984</v>
      </c>
      <c r="GWT12" t="s">
        <v>6984</v>
      </c>
      <c r="GWU12" t="s">
        <v>6984</v>
      </c>
      <c r="GWV12" t="s">
        <v>6984</v>
      </c>
      <c r="GWW12" t="s">
        <v>6984</v>
      </c>
      <c r="GWX12" t="s">
        <v>6984</v>
      </c>
      <c r="GWY12" t="s">
        <v>6984</v>
      </c>
      <c r="GWZ12" t="s">
        <v>6984</v>
      </c>
      <c r="GXA12" t="s">
        <v>6984</v>
      </c>
      <c r="GXB12" t="s">
        <v>6984</v>
      </c>
      <c r="GXC12" t="s">
        <v>6984</v>
      </c>
      <c r="GXD12" t="s">
        <v>6984</v>
      </c>
      <c r="GXE12" t="s">
        <v>6984</v>
      </c>
      <c r="GXF12" t="s">
        <v>6984</v>
      </c>
      <c r="GXG12" t="s">
        <v>6984</v>
      </c>
      <c r="GXH12" t="s">
        <v>6984</v>
      </c>
      <c r="GXI12" t="s">
        <v>6984</v>
      </c>
      <c r="GXJ12" t="s">
        <v>6984</v>
      </c>
      <c r="GXK12" t="s">
        <v>6984</v>
      </c>
      <c r="GXL12" t="s">
        <v>6984</v>
      </c>
      <c r="GXM12" t="s">
        <v>6984</v>
      </c>
      <c r="GXN12" t="s">
        <v>6984</v>
      </c>
      <c r="GXO12" t="s">
        <v>6984</v>
      </c>
      <c r="GXP12" t="s">
        <v>6984</v>
      </c>
      <c r="GXQ12" t="s">
        <v>6984</v>
      </c>
      <c r="GXR12" t="s">
        <v>6984</v>
      </c>
      <c r="GXS12" t="s">
        <v>6984</v>
      </c>
      <c r="GXT12" t="s">
        <v>6984</v>
      </c>
      <c r="GXU12" t="s">
        <v>6984</v>
      </c>
      <c r="GXV12" t="s">
        <v>6984</v>
      </c>
      <c r="GXW12" t="s">
        <v>6984</v>
      </c>
      <c r="GXX12" t="s">
        <v>6984</v>
      </c>
      <c r="GXY12" t="s">
        <v>6984</v>
      </c>
      <c r="GXZ12" t="s">
        <v>6984</v>
      </c>
      <c r="GYA12" t="s">
        <v>6984</v>
      </c>
      <c r="GYB12" t="s">
        <v>6984</v>
      </c>
      <c r="GYC12" t="s">
        <v>6984</v>
      </c>
      <c r="GYD12" t="s">
        <v>6984</v>
      </c>
      <c r="GYE12" t="s">
        <v>6984</v>
      </c>
      <c r="GYF12" t="s">
        <v>6984</v>
      </c>
      <c r="GYG12" t="s">
        <v>6984</v>
      </c>
      <c r="GYH12" t="s">
        <v>6984</v>
      </c>
      <c r="GYI12" t="s">
        <v>6984</v>
      </c>
      <c r="GYJ12" t="s">
        <v>6984</v>
      </c>
      <c r="GYK12" t="s">
        <v>6984</v>
      </c>
      <c r="GYL12" t="s">
        <v>6984</v>
      </c>
      <c r="GYM12" t="s">
        <v>6984</v>
      </c>
      <c r="GYN12" t="s">
        <v>6984</v>
      </c>
      <c r="GYO12" t="s">
        <v>6984</v>
      </c>
      <c r="GYP12" t="s">
        <v>6984</v>
      </c>
      <c r="GYQ12" t="s">
        <v>6984</v>
      </c>
      <c r="GYR12" t="s">
        <v>6984</v>
      </c>
      <c r="GYS12" t="s">
        <v>6984</v>
      </c>
      <c r="GYT12" t="s">
        <v>6984</v>
      </c>
      <c r="GYU12" t="s">
        <v>6984</v>
      </c>
      <c r="GYV12" t="s">
        <v>6984</v>
      </c>
      <c r="GYW12" t="s">
        <v>6984</v>
      </c>
      <c r="GYX12" t="s">
        <v>6984</v>
      </c>
      <c r="GYY12" t="s">
        <v>6984</v>
      </c>
      <c r="GYZ12" t="s">
        <v>6984</v>
      </c>
      <c r="GZA12" t="s">
        <v>6984</v>
      </c>
      <c r="GZB12" t="s">
        <v>6984</v>
      </c>
      <c r="GZC12" t="s">
        <v>6984</v>
      </c>
      <c r="GZD12" t="s">
        <v>6984</v>
      </c>
      <c r="GZE12" t="s">
        <v>6984</v>
      </c>
      <c r="GZF12" t="s">
        <v>6984</v>
      </c>
      <c r="GZG12" t="s">
        <v>6984</v>
      </c>
      <c r="GZH12" t="s">
        <v>6984</v>
      </c>
      <c r="GZI12" t="s">
        <v>6984</v>
      </c>
      <c r="GZJ12" t="s">
        <v>6984</v>
      </c>
      <c r="GZK12" t="s">
        <v>6984</v>
      </c>
      <c r="GZL12" t="s">
        <v>6984</v>
      </c>
      <c r="GZM12" t="s">
        <v>6984</v>
      </c>
      <c r="GZN12" t="s">
        <v>6984</v>
      </c>
      <c r="GZO12" t="s">
        <v>6984</v>
      </c>
      <c r="GZP12" t="s">
        <v>6984</v>
      </c>
      <c r="GZQ12" t="s">
        <v>6984</v>
      </c>
      <c r="GZR12" t="s">
        <v>6984</v>
      </c>
      <c r="GZS12" t="s">
        <v>6984</v>
      </c>
      <c r="GZT12" t="s">
        <v>6984</v>
      </c>
      <c r="GZU12" t="s">
        <v>6984</v>
      </c>
      <c r="GZV12" t="s">
        <v>6984</v>
      </c>
      <c r="GZW12" t="s">
        <v>6984</v>
      </c>
      <c r="GZX12" t="s">
        <v>6984</v>
      </c>
      <c r="GZY12" t="s">
        <v>6984</v>
      </c>
      <c r="GZZ12" t="s">
        <v>6984</v>
      </c>
      <c r="HAA12" t="s">
        <v>6984</v>
      </c>
      <c r="HAB12" t="s">
        <v>6984</v>
      </c>
      <c r="HAC12" t="s">
        <v>6984</v>
      </c>
      <c r="HAD12" t="s">
        <v>6984</v>
      </c>
      <c r="HAE12" t="s">
        <v>6984</v>
      </c>
      <c r="HAF12" t="s">
        <v>6984</v>
      </c>
      <c r="HAG12" t="s">
        <v>6984</v>
      </c>
      <c r="HAH12" t="s">
        <v>6984</v>
      </c>
      <c r="HAI12" t="s">
        <v>6984</v>
      </c>
      <c r="HAJ12" t="s">
        <v>6984</v>
      </c>
      <c r="HAK12" t="s">
        <v>6984</v>
      </c>
      <c r="HAL12" t="s">
        <v>6984</v>
      </c>
      <c r="HAM12" t="s">
        <v>6984</v>
      </c>
      <c r="HAN12" t="s">
        <v>6984</v>
      </c>
      <c r="HAO12" t="s">
        <v>6984</v>
      </c>
      <c r="HAP12" t="s">
        <v>6984</v>
      </c>
      <c r="HAQ12" t="s">
        <v>6984</v>
      </c>
      <c r="HAR12" t="s">
        <v>6984</v>
      </c>
      <c r="HAS12" t="s">
        <v>6984</v>
      </c>
      <c r="HAT12" t="s">
        <v>6984</v>
      </c>
      <c r="HAU12" t="s">
        <v>6984</v>
      </c>
      <c r="HAV12" t="s">
        <v>6984</v>
      </c>
      <c r="HAW12" t="s">
        <v>6984</v>
      </c>
      <c r="HAX12" t="s">
        <v>6984</v>
      </c>
      <c r="HAY12" t="s">
        <v>6984</v>
      </c>
      <c r="HAZ12" t="s">
        <v>6984</v>
      </c>
      <c r="HBA12" t="s">
        <v>6984</v>
      </c>
      <c r="HBB12" t="s">
        <v>6984</v>
      </c>
      <c r="HBC12" t="s">
        <v>6984</v>
      </c>
      <c r="HBD12" t="s">
        <v>6984</v>
      </c>
      <c r="HBE12" t="s">
        <v>6984</v>
      </c>
      <c r="HBF12" t="s">
        <v>6984</v>
      </c>
      <c r="HBG12" t="s">
        <v>6984</v>
      </c>
      <c r="HBH12" t="s">
        <v>6984</v>
      </c>
      <c r="HBI12" t="s">
        <v>6984</v>
      </c>
      <c r="HBJ12" t="s">
        <v>6984</v>
      </c>
      <c r="HBK12" t="s">
        <v>6984</v>
      </c>
      <c r="HBL12" t="s">
        <v>6984</v>
      </c>
      <c r="HBM12" t="s">
        <v>6984</v>
      </c>
      <c r="HBN12" t="s">
        <v>6984</v>
      </c>
      <c r="HBO12" t="s">
        <v>6984</v>
      </c>
      <c r="HBP12" t="s">
        <v>6984</v>
      </c>
      <c r="HBQ12" t="s">
        <v>6984</v>
      </c>
      <c r="HBR12" t="s">
        <v>6984</v>
      </c>
      <c r="HBS12" t="s">
        <v>6984</v>
      </c>
      <c r="HBT12" t="s">
        <v>6984</v>
      </c>
      <c r="HBU12" t="s">
        <v>6984</v>
      </c>
      <c r="HBV12" t="s">
        <v>6984</v>
      </c>
      <c r="HBW12" t="s">
        <v>6984</v>
      </c>
      <c r="HBX12" t="s">
        <v>6984</v>
      </c>
      <c r="HBY12" t="s">
        <v>6984</v>
      </c>
      <c r="HBZ12" t="s">
        <v>6984</v>
      </c>
      <c r="HCA12" t="s">
        <v>6984</v>
      </c>
      <c r="HCB12" t="s">
        <v>6984</v>
      </c>
      <c r="HCC12" t="s">
        <v>6984</v>
      </c>
      <c r="HCD12" t="s">
        <v>6984</v>
      </c>
      <c r="HCE12" t="s">
        <v>6984</v>
      </c>
      <c r="HCF12" t="s">
        <v>6984</v>
      </c>
      <c r="HCG12" t="s">
        <v>6984</v>
      </c>
      <c r="HCH12" t="s">
        <v>6984</v>
      </c>
      <c r="HCI12" t="s">
        <v>6984</v>
      </c>
      <c r="HCJ12" t="s">
        <v>6984</v>
      </c>
      <c r="HCK12" t="s">
        <v>6984</v>
      </c>
      <c r="HCL12" t="s">
        <v>6984</v>
      </c>
      <c r="HCM12" t="s">
        <v>6984</v>
      </c>
      <c r="HCN12" t="s">
        <v>6984</v>
      </c>
      <c r="HCO12" t="s">
        <v>6984</v>
      </c>
      <c r="HCP12" t="s">
        <v>6984</v>
      </c>
      <c r="HCQ12" t="s">
        <v>6984</v>
      </c>
      <c r="HCR12" t="s">
        <v>6984</v>
      </c>
      <c r="HCS12" t="s">
        <v>6984</v>
      </c>
      <c r="HCT12" t="s">
        <v>6984</v>
      </c>
      <c r="HCU12" t="s">
        <v>6984</v>
      </c>
      <c r="HCV12" t="s">
        <v>6984</v>
      </c>
      <c r="HCW12" t="s">
        <v>6984</v>
      </c>
      <c r="HCX12" t="s">
        <v>6984</v>
      </c>
      <c r="HCY12" t="s">
        <v>6984</v>
      </c>
      <c r="HCZ12" t="s">
        <v>6984</v>
      </c>
      <c r="HDA12" t="s">
        <v>6984</v>
      </c>
      <c r="HDB12" t="s">
        <v>6984</v>
      </c>
      <c r="HDC12" t="s">
        <v>6984</v>
      </c>
      <c r="HDD12" t="s">
        <v>6984</v>
      </c>
      <c r="HDE12" t="s">
        <v>6984</v>
      </c>
      <c r="HDF12" t="s">
        <v>6984</v>
      </c>
      <c r="HDG12" t="s">
        <v>6984</v>
      </c>
      <c r="HDH12" t="s">
        <v>6984</v>
      </c>
      <c r="HDI12" t="s">
        <v>6984</v>
      </c>
      <c r="HDJ12" t="s">
        <v>6984</v>
      </c>
      <c r="HDK12" t="s">
        <v>6984</v>
      </c>
      <c r="HDL12" t="s">
        <v>6984</v>
      </c>
      <c r="HDM12" t="s">
        <v>6984</v>
      </c>
      <c r="HDN12" t="s">
        <v>6984</v>
      </c>
      <c r="HDO12" t="s">
        <v>6984</v>
      </c>
      <c r="HDP12" t="s">
        <v>6984</v>
      </c>
      <c r="HDQ12" t="s">
        <v>6984</v>
      </c>
      <c r="HDR12" t="s">
        <v>6984</v>
      </c>
      <c r="HDS12" t="s">
        <v>6984</v>
      </c>
      <c r="HDT12" t="s">
        <v>6984</v>
      </c>
      <c r="HDU12" t="s">
        <v>6984</v>
      </c>
      <c r="HDV12" t="s">
        <v>6984</v>
      </c>
      <c r="HDW12" t="s">
        <v>6984</v>
      </c>
      <c r="HDX12" t="s">
        <v>6984</v>
      </c>
      <c r="HDY12" t="s">
        <v>6984</v>
      </c>
      <c r="HDZ12" t="s">
        <v>6984</v>
      </c>
      <c r="HEA12" t="s">
        <v>6984</v>
      </c>
      <c r="HEB12" t="s">
        <v>6984</v>
      </c>
      <c r="HEC12" t="s">
        <v>6984</v>
      </c>
      <c r="HED12" t="s">
        <v>6984</v>
      </c>
      <c r="HEE12" t="s">
        <v>6984</v>
      </c>
      <c r="HEF12" t="s">
        <v>6984</v>
      </c>
      <c r="HEG12" t="s">
        <v>6984</v>
      </c>
      <c r="HEH12" t="s">
        <v>6984</v>
      </c>
      <c r="HEI12" t="s">
        <v>6984</v>
      </c>
      <c r="HEJ12" t="s">
        <v>6984</v>
      </c>
      <c r="HEK12" t="s">
        <v>6984</v>
      </c>
      <c r="HEL12" t="s">
        <v>6984</v>
      </c>
      <c r="HEM12" t="s">
        <v>6984</v>
      </c>
      <c r="HEN12" t="s">
        <v>6984</v>
      </c>
      <c r="HEO12" t="s">
        <v>6984</v>
      </c>
      <c r="HEP12" t="s">
        <v>6984</v>
      </c>
      <c r="HEQ12" t="s">
        <v>6984</v>
      </c>
      <c r="HER12" t="s">
        <v>6984</v>
      </c>
      <c r="HES12" t="s">
        <v>6984</v>
      </c>
      <c r="HET12" t="s">
        <v>6984</v>
      </c>
      <c r="HEU12" t="s">
        <v>6984</v>
      </c>
      <c r="HEV12" t="s">
        <v>6984</v>
      </c>
      <c r="HEW12" t="s">
        <v>6984</v>
      </c>
      <c r="HEX12" t="s">
        <v>6984</v>
      </c>
      <c r="HEY12" t="s">
        <v>6984</v>
      </c>
      <c r="HEZ12" t="s">
        <v>6984</v>
      </c>
      <c r="HFA12" t="s">
        <v>6984</v>
      </c>
      <c r="HFB12" t="s">
        <v>6984</v>
      </c>
      <c r="HFC12" t="s">
        <v>6984</v>
      </c>
      <c r="HFD12" t="s">
        <v>6984</v>
      </c>
      <c r="HFE12" t="s">
        <v>6984</v>
      </c>
      <c r="HFF12" t="s">
        <v>6984</v>
      </c>
      <c r="HFG12" t="s">
        <v>6984</v>
      </c>
      <c r="HFH12" t="s">
        <v>6984</v>
      </c>
      <c r="HFI12" t="s">
        <v>6984</v>
      </c>
      <c r="HFJ12" t="s">
        <v>6984</v>
      </c>
      <c r="HFK12" t="s">
        <v>6984</v>
      </c>
      <c r="HFL12" t="s">
        <v>6984</v>
      </c>
      <c r="HFM12" t="s">
        <v>6984</v>
      </c>
      <c r="HFN12" t="s">
        <v>6984</v>
      </c>
      <c r="HFO12" t="s">
        <v>6984</v>
      </c>
      <c r="HFP12" t="s">
        <v>6984</v>
      </c>
      <c r="HFQ12" t="s">
        <v>6984</v>
      </c>
      <c r="HFR12" t="s">
        <v>6984</v>
      </c>
      <c r="HFS12" t="s">
        <v>6984</v>
      </c>
      <c r="HFT12" t="s">
        <v>6984</v>
      </c>
      <c r="HFU12" t="s">
        <v>6984</v>
      </c>
      <c r="HFV12" t="s">
        <v>6984</v>
      </c>
      <c r="HFW12" t="s">
        <v>6984</v>
      </c>
      <c r="HFX12" t="s">
        <v>6984</v>
      </c>
      <c r="HFY12" t="s">
        <v>6984</v>
      </c>
      <c r="HFZ12" t="s">
        <v>6984</v>
      </c>
      <c r="HGA12" t="s">
        <v>6984</v>
      </c>
      <c r="HGB12" t="s">
        <v>6984</v>
      </c>
      <c r="HGC12" t="s">
        <v>6984</v>
      </c>
      <c r="HGD12" t="s">
        <v>6984</v>
      </c>
      <c r="HGE12" t="s">
        <v>6984</v>
      </c>
      <c r="HGF12" t="s">
        <v>6984</v>
      </c>
      <c r="HGG12" t="s">
        <v>6984</v>
      </c>
      <c r="HGH12" t="s">
        <v>6984</v>
      </c>
      <c r="HGI12" t="s">
        <v>6984</v>
      </c>
      <c r="HGJ12" t="s">
        <v>6984</v>
      </c>
      <c r="HGK12" t="s">
        <v>6984</v>
      </c>
      <c r="HGL12" t="s">
        <v>6984</v>
      </c>
      <c r="HGM12" t="s">
        <v>6984</v>
      </c>
      <c r="HGN12" t="s">
        <v>6984</v>
      </c>
      <c r="HGO12" t="s">
        <v>6984</v>
      </c>
      <c r="HGP12" t="s">
        <v>6984</v>
      </c>
      <c r="HGQ12" t="s">
        <v>6984</v>
      </c>
      <c r="HGR12" t="s">
        <v>6984</v>
      </c>
      <c r="HGS12" t="s">
        <v>6984</v>
      </c>
      <c r="HGT12" t="s">
        <v>6984</v>
      </c>
      <c r="HGU12" t="s">
        <v>6984</v>
      </c>
      <c r="HGV12" t="s">
        <v>6984</v>
      </c>
      <c r="HGW12" t="s">
        <v>6984</v>
      </c>
      <c r="HGX12" t="s">
        <v>6984</v>
      </c>
      <c r="HGY12" t="s">
        <v>6984</v>
      </c>
      <c r="HGZ12" t="s">
        <v>6984</v>
      </c>
      <c r="HHA12" t="s">
        <v>6984</v>
      </c>
      <c r="HHB12" t="s">
        <v>6984</v>
      </c>
      <c r="HHC12" t="s">
        <v>6984</v>
      </c>
      <c r="HHD12" t="s">
        <v>6984</v>
      </c>
      <c r="HHE12" t="s">
        <v>6984</v>
      </c>
      <c r="HHF12" t="s">
        <v>6984</v>
      </c>
      <c r="HHG12" t="s">
        <v>6984</v>
      </c>
      <c r="HHH12" t="s">
        <v>6984</v>
      </c>
      <c r="HHI12" t="s">
        <v>6984</v>
      </c>
      <c r="HHJ12" t="s">
        <v>6984</v>
      </c>
      <c r="HHK12" t="s">
        <v>6984</v>
      </c>
      <c r="HHL12" t="s">
        <v>6984</v>
      </c>
      <c r="HHM12" t="s">
        <v>6984</v>
      </c>
      <c r="HHN12" t="s">
        <v>6984</v>
      </c>
      <c r="HHO12" t="s">
        <v>6984</v>
      </c>
      <c r="HHP12" t="s">
        <v>6984</v>
      </c>
      <c r="HHQ12" t="s">
        <v>6984</v>
      </c>
      <c r="HHR12" t="s">
        <v>6984</v>
      </c>
      <c r="HHS12" t="s">
        <v>6984</v>
      </c>
      <c r="HHT12" t="s">
        <v>6984</v>
      </c>
      <c r="HHU12" t="s">
        <v>6984</v>
      </c>
      <c r="HHV12" t="s">
        <v>6984</v>
      </c>
      <c r="HHW12" t="s">
        <v>6984</v>
      </c>
      <c r="HHX12" t="s">
        <v>6984</v>
      </c>
      <c r="HHY12" t="s">
        <v>6984</v>
      </c>
      <c r="HHZ12" t="s">
        <v>6984</v>
      </c>
      <c r="HIA12" t="s">
        <v>6984</v>
      </c>
      <c r="HIB12" t="s">
        <v>6984</v>
      </c>
      <c r="HIC12" t="s">
        <v>6984</v>
      </c>
      <c r="HID12" t="s">
        <v>6984</v>
      </c>
      <c r="HIE12" t="s">
        <v>6984</v>
      </c>
      <c r="HIF12" t="s">
        <v>6984</v>
      </c>
      <c r="HIG12" t="s">
        <v>6984</v>
      </c>
      <c r="HIH12" t="s">
        <v>6984</v>
      </c>
      <c r="HII12" t="s">
        <v>6984</v>
      </c>
      <c r="HIJ12" t="s">
        <v>6984</v>
      </c>
      <c r="HIK12" t="s">
        <v>6984</v>
      </c>
      <c r="HIL12" t="s">
        <v>6984</v>
      </c>
      <c r="HIM12" t="s">
        <v>6984</v>
      </c>
      <c r="HIN12" t="s">
        <v>6984</v>
      </c>
      <c r="HIO12" t="s">
        <v>6984</v>
      </c>
      <c r="HIP12" t="s">
        <v>6984</v>
      </c>
      <c r="HIQ12" t="s">
        <v>6984</v>
      </c>
      <c r="HIR12" t="s">
        <v>6984</v>
      </c>
      <c r="HIS12" t="s">
        <v>6984</v>
      </c>
      <c r="HIT12" t="s">
        <v>6984</v>
      </c>
      <c r="HIU12" t="s">
        <v>6984</v>
      </c>
      <c r="HIV12" t="s">
        <v>6984</v>
      </c>
      <c r="HIW12" t="s">
        <v>6984</v>
      </c>
      <c r="HIX12" t="s">
        <v>6984</v>
      </c>
      <c r="HIY12" t="s">
        <v>6984</v>
      </c>
      <c r="HIZ12" t="s">
        <v>6984</v>
      </c>
      <c r="HJA12" t="s">
        <v>6984</v>
      </c>
      <c r="HJB12" t="s">
        <v>6984</v>
      </c>
      <c r="HJC12" t="s">
        <v>6984</v>
      </c>
      <c r="HJD12" t="s">
        <v>6984</v>
      </c>
      <c r="HJE12" t="s">
        <v>6984</v>
      </c>
      <c r="HJF12" t="s">
        <v>6984</v>
      </c>
      <c r="HJG12" t="s">
        <v>6984</v>
      </c>
      <c r="HJH12" t="s">
        <v>6984</v>
      </c>
      <c r="HJI12" t="s">
        <v>6984</v>
      </c>
      <c r="HJJ12" t="s">
        <v>6984</v>
      </c>
      <c r="HJK12" t="s">
        <v>6984</v>
      </c>
      <c r="HJL12" t="s">
        <v>6984</v>
      </c>
      <c r="HJM12" t="s">
        <v>6984</v>
      </c>
      <c r="HJN12" t="s">
        <v>6984</v>
      </c>
      <c r="HJO12" t="s">
        <v>6984</v>
      </c>
      <c r="HJP12" t="s">
        <v>6984</v>
      </c>
      <c r="HJQ12" t="s">
        <v>6984</v>
      </c>
      <c r="HJR12" t="s">
        <v>6984</v>
      </c>
      <c r="HJS12" t="s">
        <v>6984</v>
      </c>
      <c r="HJT12" t="s">
        <v>6984</v>
      </c>
      <c r="HJU12" t="s">
        <v>6984</v>
      </c>
      <c r="HJV12" t="s">
        <v>6984</v>
      </c>
      <c r="HJW12" t="s">
        <v>6984</v>
      </c>
      <c r="HJX12" t="s">
        <v>6984</v>
      </c>
      <c r="HJY12" t="s">
        <v>6984</v>
      </c>
      <c r="HJZ12" t="s">
        <v>6984</v>
      </c>
      <c r="HKA12" t="s">
        <v>6984</v>
      </c>
      <c r="HKB12" t="s">
        <v>6984</v>
      </c>
      <c r="HKC12" t="s">
        <v>6984</v>
      </c>
      <c r="HKD12" t="s">
        <v>6984</v>
      </c>
      <c r="HKE12" t="s">
        <v>6984</v>
      </c>
      <c r="HKF12" t="s">
        <v>6984</v>
      </c>
      <c r="HKG12" t="s">
        <v>6984</v>
      </c>
      <c r="HKH12" t="s">
        <v>6984</v>
      </c>
      <c r="HKI12" t="s">
        <v>6984</v>
      </c>
      <c r="HKJ12" t="s">
        <v>6984</v>
      </c>
      <c r="HKK12" t="s">
        <v>6984</v>
      </c>
      <c r="HKL12" t="s">
        <v>6984</v>
      </c>
      <c r="HKM12" t="s">
        <v>6984</v>
      </c>
      <c r="HKN12" t="s">
        <v>6984</v>
      </c>
      <c r="HKO12" t="s">
        <v>6984</v>
      </c>
      <c r="HKP12" t="s">
        <v>6984</v>
      </c>
      <c r="HKQ12" t="s">
        <v>6984</v>
      </c>
      <c r="HKR12" t="s">
        <v>6984</v>
      </c>
      <c r="HKS12" t="s">
        <v>6984</v>
      </c>
      <c r="HKT12" t="s">
        <v>6984</v>
      </c>
      <c r="HKU12" t="s">
        <v>6984</v>
      </c>
      <c r="HKV12" t="s">
        <v>6984</v>
      </c>
      <c r="HKW12" t="s">
        <v>6984</v>
      </c>
      <c r="HKX12" t="s">
        <v>6984</v>
      </c>
      <c r="HKY12" t="s">
        <v>6984</v>
      </c>
      <c r="HKZ12" t="s">
        <v>6984</v>
      </c>
      <c r="HLA12" t="s">
        <v>6984</v>
      </c>
      <c r="HLB12" t="s">
        <v>6984</v>
      </c>
      <c r="HLC12" t="s">
        <v>6984</v>
      </c>
      <c r="HLD12" t="s">
        <v>6984</v>
      </c>
      <c r="HLE12" t="s">
        <v>6984</v>
      </c>
      <c r="HLF12" t="s">
        <v>6984</v>
      </c>
      <c r="HLG12" t="s">
        <v>6984</v>
      </c>
      <c r="HLH12" t="s">
        <v>6984</v>
      </c>
      <c r="HLI12" t="s">
        <v>6984</v>
      </c>
      <c r="HLJ12" t="s">
        <v>6984</v>
      </c>
      <c r="HLK12" t="s">
        <v>6984</v>
      </c>
      <c r="HLL12" t="s">
        <v>6984</v>
      </c>
      <c r="HLM12" t="s">
        <v>6984</v>
      </c>
      <c r="HLN12" t="s">
        <v>6984</v>
      </c>
      <c r="HLO12" t="s">
        <v>6984</v>
      </c>
      <c r="HLP12" t="s">
        <v>6984</v>
      </c>
      <c r="HLQ12" t="s">
        <v>6984</v>
      </c>
      <c r="HLR12" t="s">
        <v>6984</v>
      </c>
      <c r="HLS12" t="s">
        <v>6984</v>
      </c>
      <c r="HLT12" t="s">
        <v>6984</v>
      </c>
      <c r="HLU12" t="s">
        <v>6984</v>
      </c>
      <c r="HLV12" t="s">
        <v>6984</v>
      </c>
      <c r="HLW12" t="s">
        <v>6984</v>
      </c>
      <c r="HLX12" t="s">
        <v>6984</v>
      </c>
      <c r="HLY12" t="s">
        <v>6984</v>
      </c>
      <c r="HLZ12" t="s">
        <v>6984</v>
      </c>
      <c r="HMA12" t="s">
        <v>6984</v>
      </c>
      <c r="HMB12" t="s">
        <v>6984</v>
      </c>
      <c r="HMC12" t="s">
        <v>6984</v>
      </c>
      <c r="HMD12" t="s">
        <v>6984</v>
      </c>
      <c r="HME12" t="s">
        <v>6984</v>
      </c>
      <c r="HMF12" t="s">
        <v>6984</v>
      </c>
      <c r="HMG12" t="s">
        <v>6984</v>
      </c>
      <c r="HMH12" t="s">
        <v>6984</v>
      </c>
      <c r="HMI12" t="s">
        <v>6984</v>
      </c>
      <c r="HMJ12" t="s">
        <v>6984</v>
      </c>
      <c r="HMK12" t="s">
        <v>6984</v>
      </c>
      <c r="HML12" t="s">
        <v>6984</v>
      </c>
      <c r="HMM12" t="s">
        <v>6984</v>
      </c>
      <c r="HMN12" t="s">
        <v>6984</v>
      </c>
      <c r="HMO12" t="s">
        <v>6984</v>
      </c>
      <c r="HMP12" t="s">
        <v>6984</v>
      </c>
      <c r="HMQ12" t="s">
        <v>6984</v>
      </c>
      <c r="HMR12" t="s">
        <v>6984</v>
      </c>
      <c r="HMS12" t="s">
        <v>6984</v>
      </c>
      <c r="HMT12" t="s">
        <v>6984</v>
      </c>
      <c r="HMU12" t="s">
        <v>6984</v>
      </c>
      <c r="HMV12" t="s">
        <v>6984</v>
      </c>
      <c r="HMW12" t="s">
        <v>6984</v>
      </c>
      <c r="HMX12" t="s">
        <v>6984</v>
      </c>
      <c r="HMY12" t="s">
        <v>6984</v>
      </c>
      <c r="HMZ12" t="s">
        <v>6984</v>
      </c>
      <c r="HNA12" t="s">
        <v>6984</v>
      </c>
      <c r="HNB12" t="s">
        <v>6984</v>
      </c>
      <c r="HNC12" t="s">
        <v>6984</v>
      </c>
      <c r="HND12" t="s">
        <v>6984</v>
      </c>
      <c r="HNE12" t="s">
        <v>6984</v>
      </c>
      <c r="HNF12" t="s">
        <v>6984</v>
      </c>
      <c r="HNG12" t="s">
        <v>6984</v>
      </c>
      <c r="HNH12" t="s">
        <v>6984</v>
      </c>
      <c r="HNI12" t="s">
        <v>6984</v>
      </c>
      <c r="HNJ12" t="s">
        <v>6984</v>
      </c>
      <c r="HNK12" t="s">
        <v>6984</v>
      </c>
      <c r="HNL12" t="s">
        <v>6984</v>
      </c>
      <c r="HNM12" t="s">
        <v>6984</v>
      </c>
      <c r="HNN12" t="s">
        <v>6984</v>
      </c>
      <c r="HNO12" t="s">
        <v>6984</v>
      </c>
      <c r="HNP12" t="s">
        <v>6984</v>
      </c>
      <c r="HNQ12" t="s">
        <v>6984</v>
      </c>
      <c r="HNR12" t="s">
        <v>6984</v>
      </c>
      <c r="HNS12" t="s">
        <v>6984</v>
      </c>
      <c r="HNT12" t="s">
        <v>6984</v>
      </c>
      <c r="HNU12" t="s">
        <v>6984</v>
      </c>
      <c r="HNV12" t="s">
        <v>6984</v>
      </c>
      <c r="HNW12" t="s">
        <v>6984</v>
      </c>
      <c r="HNX12" t="s">
        <v>6984</v>
      </c>
      <c r="HNY12" t="s">
        <v>6984</v>
      </c>
      <c r="HNZ12" t="s">
        <v>6984</v>
      </c>
      <c r="HOA12" t="s">
        <v>6984</v>
      </c>
      <c r="HOB12" t="s">
        <v>6984</v>
      </c>
      <c r="HOC12" t="s">
        <v>6984</v>
      </c>
      <c r="HOD12" t="s">
        <v>6984</v>
      </c>
      <c r="HOE12" t="s">
        <v>6984</v>
      </c>
      <c r="HOF12" t="s">
        <v>6984</v>
      </c>
      <c r="HOG12" t="s">
        <v>6984</v>
      </c>
      <c r="HOH12" t="s">
        <v>6984</v>
      </c>
      <c r="HOI12" t="s">
        <v>6984</v>
      </c>
      <c r="HOJ12" t="s">
        <v>6984</v>
      </c>
      <c r="HOK12" t="s">
        <v>6984</v>
      </c>
      <c r="HOL12" t="s">
        <v>6984</v>
      </c>
      <c r="HOM12" t="s">
        <v>6984</v>
      </c>
      <c r="HON12" t="s">
        <v>6984</v>
      </c>
      <c r="HOO12" t="s">
        <v>6984</v>
      </c>
      <c r="HOP12" t="s">
        <v>6984</v>
      </c>
      <c r="HOQ12" t="s">
        <v>6984</v>
      </c>
      <c r="HOR12" t="s">
        <v>6984</v>
      </c>
      <c r="HOS12" t="s">
        <v>6984</v>
      </c>
      <c r="HOT12" t="s">
        <v>6984</v>
      </c>
      <c r="HOU12" t="s">
        <v>6984</v>
      </c>
      <c r="HOV12" t="s">
        <v>6984</v>
      </c>
      <c r="HOW12" t="s">
        <v>6984</v>
      </c>
      <c r="HOX12" t="s">
        <v>6984</v>
      </c>
      <c r="HOY12" t="s">
        <v>6984</v>
      </c>
      <c r="HOZ12" t="s">
        <v>6984</v>
      </c>
      <c r="HPA12" t="s">
        <v>6984</v>
      </c>
      <c r="HPB12" t="s">
        <v>6984</v>
      </c>
      <c r="HPC12" t="s">
        <v>6984</v>
      </c>
      <c r="HPD12" t="s">
        <v>6984</v>
      </c>
      <c r="HPE12" t="s">
        <v>6984</v>
      </c>
      <c r="HPF12" t="s">
        <v>6984</v>
      </c>
      <c r="HPG12" t="s">
        <v>6984</v>
      </c>
      <c r="HPH12" t="s">
        <v>6984</v>
      </c>
      <c r="HPI12" t="s">
        <v>6984</v>
      </c>
      <c r="HPJ12" t="s">
        <v>6984</v>
      </c>
      <c r="HPK12" t="s">
        <v>6984</v>
      </c>
      <c r="HPL12" t="s">
        <v>6984</v>
      </c>
      <c r="HPM12" t="s">
        <v>6984</v>
      </c>
      <c r="HPN12" t="s">
        <v>6984</v>
      </c>
      <c r="HPO12" t="s">
        <v>6984</v>
      </c>
      <c r="HPP12" t="s">
        <v>6984</v>
      </c>
      <c r="HPQ12" t="s">
        <v>6984</v>
      </c>
      <c r="HPR12" t="s">
        <v>6984</v>
      </c>
      <c r="HPS12" t="s">
        <v>6984</v>
      </c>
      <c r="HPT12" t="s">
        <v>6984</v>
      </c>
      <c r="HPU12" t="s">
        <v>6984</v>
      </c>
      <c r="HPV12" t="s">
        <v>6984</v>
      </c>
      <c r="HPW12" t="s">
        <v>6984</v>
      </c>
      <c r="HPX12" t="s">
        <v>6984</v>
      </c>
      <c r="HPY12" t="s">
        <v>6984</v>
      </c>
      <c r="HPZ12" t="s">
        <v>6984</v>
      </c>
      <c r="HQA12" t="s">
        <v>6984</v>
      </c>
      <c r="HQB12" t="s">
        <v>6984</v>
      </c>
      <c r="HQC12" t="s">
        <v>6984</v>
      </c>
      <c r="HQD12" t="s">
        <v>6984</v>
      </c>
      <c r="HQE12" t="s">
        <v>6984</v>
      </c>
      <c r="HQF12" t="s">
        <v>6984</v>
      </c>
      <c r="HQG12" t="s">
        <v>6984</v>
      </c>
      <c r="HQH12" t="s">
        <v>6984</v>
      </c>
      <c r="HQI12" t="s">
        <v>6984</v>
      </c>
      <c r="HQJ12" t="s">
        <v>6984</v>
      </c>
      <c r="HQK12" t="s">
        <v>6984</v>
      </c>
      <c r="HQL12" t="s">
        <v>6984</v>
      </c>
      <c r="HQM12" t="s">
        <v>6984</v>
      </c>
      <c r="HQN12" t="s">
        <v>6984</v>
      </c>
      <c r="HQO12" t="s">
        <v>6984</v>
      </c>
      <c r="HQP12" t="s">
        <v>6984</v>
      </c>
      <c r="HQQ12" t="s">
        <v>6984</v>
      </c>
      <c r="HQR12" t="s">
        <v>6984</v>
      </c>
      <c r="HQS12" t="s">
        <v>6984</v>
      </c>
      <c r="HQT12" t="s">
        <v>6984</v>
      </c>
      <c r="HQU12" t="s">
        <v>6984</v>
      </c>
      <c r="HQV12" t="s">
        <v>6984</v>
      </c>
      <c r="HQW12" t="s">
        <v>6984</v>
      </c>
      <c r="HQX12" t="s">
        <v>6984</v>
      </c>
      <c r="HQY12" t="s">
        <v>6984</v>
      </c>
      <c r="HQZ12" t="s">
        <v>6984</v>
      </c>
      <c r="HRA12" t="s">
        <v>6984</v>
      </c>
      <c r="HRB12" t="s">
        <v>6984</v>
      </c>
      <c r="HRC12" t="s">
        <v>6984</v>
      </c>
      <c r="HRD12" t="s">
        <v>6984</v>
      </c>
      <c r="HRE12" t="s">
        <v>6984</v>
      </c>
      <c r="HRF12" t="s">
        <v>6984</v>
      </c>
      <c r="HRG12" t="s">
        <v>6984</v>
      </c>
      <c r="HRH12" t="s">
        <v>6984</v>
      </c>
      <c r="HRI12" t="s">
        <v>6984</v>
      </c>
      <c r="HRJ12" t="s">
        <v>6984</v>
      </c>
      <c r="HRK12" t="s">
        <v>6984</v>
      </c>
      <c r="HRL12" t="s">
        <v>6984</v>
      </c>
      <c r="HRM12" t="s">
        <v>6984</v>
      </c>
      <c r="HRN12" t="s">
        <v>6984</v>
      </c>
      <c r="HRO12" t="s">
        <v>6984</v>
      </c>
      <c r="HRP12" t="s">
        <v>6984</v>
      </c>
      <c r="HRQ12" t="s">
        <v>6984</v>
      </c>
      <c r="HRR12" t="s">
        <v>6984</v>
      </c>
      <c r="HRS12" t="s">
        <v>6984</v>
      </c>
      <c r="HRT12" t="s">
        <v>6984</v>
      </c>
      <c r="HRU12" t="s">
        <v>6984</v>
      </c>
      <c r="HRV12" t="s">
        <v>6984</v>
      </c>
      <c r="HRW12" t="s">
        <v>6984</v>
      </c>
      <c r="HRX12" t="s">
        <v>6984</v>
      </c>
      <c r="HRY12" t="s">
        <v>6984</v>
      </c>
      <c r="HRZ12" t="s">
        <v>6984</v>
      </c>
      <c r="HSA12" t="s">
        <v>6984</v>
      </c>
      <c r="HSB12" t="s">
        <v>6984</v>
      </c>
      <c r="HSC12" t="s">
        <v>6984</v>
      </c>
      <c r="HSD12" t="s">
        <v>6984</v>
      </c>
      <c r="HSE12" t="s">
        <v>6984</v>
      </c>
      <c r="HSF12" t="s">
        <v>6984</v>
      </c>
      <c r="HSG12" t="s">
        <v>6984</v>
      </c>
      <c r="HSH12" t="s">
        <v>6984</v>
      </c>
      <c r="HSI12" t="s">
        <v>6984</v>
      </c>
      <c r="HSJ12" t="s">
        <v>6984</v>
      </c>
      <c r="HSK12" t="s">
        <v>6984</v>
      </c>
      <c r="HSL12" t="s">
        <v>6984</v>
      </c>
      <c r="HSM12" t="s">
        <v>6984</v>
      </c>
      <c r="HSN12" t="s">
        <v>6984</v>
      </c>
      <c r="HSO12" t="s">
        <v>6984</v>
      </c>
      <c r="HSP12" t="s">
        <v>6984</v>
      </c>
      <c r="HSQ12" t="s">
        <v>6984</v>
      </c>
      <c r="HSR12" t="s">
        <v>6984</v>
      </c>
      <c r="HSS12" t="s">
        <v>6984</v>
      </c>
      <c r="HST12" t="s">
        <v>6984</v>
      </c>
      <c r="HSU12" t="s">
        <v>6984</v>
      </c>
      <c r="HSV12" t="s">
        <v>6984</v>
      </c>
      <c r="HSW12" t="s">
        <v>6984</v>
      </c>
      <c r="HSX12" t="s">
        <v>6984</v>
      </c>
      <c r="HSY12" t="s">
        <v>6984</v>
      </c>
      <c r="HSZ12" t="s">
        <v>6984</v>
      </c>
      <c r="HTA12" t="s">
        <v>6984</v>
      </c>
      <c r="HTB12" t="s">
        <v>6984</v>
      </c>
      <c r="HTC12" t="s">
        <v>6984</v>
      </c>
      <c r="HTD12" t="s">
        <v>6984</v>
      </c>
      <c r="HTE12" t="s">
        <v>6984</v>
      </c>
      <c r="HTF12" t="s">
        <v>6984</v>
      </c>
      <c r="HTG12" t="s">
        <v>6984</v>
      </c>
      <c r="HTH12" t="s">
        <v>6984</v>
      </c>
      <c r="HTI12" t="s">
        <v>6984</v>
      </c>
      <c r="HTJ12" t="s">
        <v>6984</v>
      </c>
      <c r="HTK12" t="s">
        <v>6984</v>
      </c>
      <c r="HTL12" t="s">
        <v>6984</v>
      </c>
      <c r="HTM12" t="s">
        <v>6984</v>
      </c>
      <c r="HTN12" t="s">
        <v>6984</v>
      </c>
      <c r="HTO12" t="s">
        <v>6984</v>
      </c>
      <c r="HTP12" t="s">
        <v>6984</v>
      </c>
      <c r="HTQ12" t="s">
        <v>6984</v>
      </c>
      <c r="HTR12" t="s">
        <v>6984</v>
      </c>
      <c r="HTS12" t="s">
        <v>6984</v>
      </c>
      <c r="HTT12" t="s">
        <v>6984</v>
      </c>
      <c r="HTU12" t="s">
        <v>6984</v>
      </c>
      <c r="HTV12" t="s">
        <v>6984</v>
      </c>
      <c r="HTW12" t="s">
        <v>6984</v>
      </c>
      <c r="HTX12" t="s">
        <v>6984</v>
      </c>
      <c r="HTY12" t="s">
        <v>6984</v>
      </c>
      <c r="HTZ12" t="s">
        <v>6984</v>
      </c>
      <c r="HUA12" t="s">
        <v>6984</v>
      </c>
      <c r="HUB12" t="s">
        <v>6984</v>
      </c>
      <c r="HUC12" t="s">
        <v>6984</v>
      </c>
      <c r="HUD12" t="s">
        <v>6984</v>
      </c>
      <c r="HUE12" t="s">
        <v>6984</v>
      </c>
      <c r="HUF12" t="s">
        <v>6984</v>
      </c>
      <c r="HUG12" t="s">
        <v>6984</v>
      </c>
      <c r="HUH12" t="s">
        <v>6984</v>
      </c>
      <c r="HUI12" t="s">
        <v>6984</v>
      </c>
      <c r="HUJ12" t="s">
        <v>6984</v>
      </c>
      <c r="HUK12" t="s">
        <v>6984</v>
      </c>
      <c r="HUL12" t="s">
        <v>6984</v>
      </c>
      <c r="HUM12" t="s">
        <v>6984</v>
      </c>
      <c r="HUN12" t="s">
        <v>6984</v>
      </c>
      <c r="HUO12" t="s">
        <v>6984</v>
      </c>
      <c r="HUP12" t="s">
        <v>6984</v>
      </c>
      <c r="HUQ12" t="s">
        <v>6984</v>
      </c>
      <c r="HUR12" t="s">
        <v>6984</v>
      </c>
      <c r="HUS12" t="s">
        <v>6984</v>
      </c>
      <c r="HUT12" t="s">
        <v>6984</v>
      </c>
      <c r="HUU12" t="s">
        <v>6984</v>
      </c>
      <c r="HUV12" t="s">
        <v>6984</v>
      </c>
      <c r="HUW12" t="s">
        <v>6984</v>
      </c>
      <c r="HUX12" t="s">
        <v>6984</v>
      </c>
      <c r="HUY12" t="s">
        <v>6984</v>
      </c>
      <c r="HUZ12" t="s">
        <v>6984</v>
      </c>
      <c r="HVA12" t="s">
        <v>6984</v>
      </c>
      <c r="HVB12" t="s">
        <v>6984</v>
      </c>
      <c r="HVC12" t="s">
        <v>6984</v>
      </c>
      <c r="HVD12" t="s">
        <v>6984</v>
      </c>
      <c r="HVE12" t="s">
        <v>6984</v>
      </c>
      <c r="HVF12" t="s">
        <v>6984</v>
      </c>
      <c r="HVG12" t="s">
        <v>6984</v>
      </c>
      <c r="HVH12" t="s">
        <v>6984</v>
      </c>
      <c r="HVI12" t="s">
        <v>6984</v>
      </c>
      <c r="HVJ12" t="s">
        <v>6984</v>
      </c>
      <c r="HVK12" t="s">
        <v>6984</v>
      </c>
      <c r="HVL12" t="s">
        <v>6984</v>
      </c>
      <c r="HVM12" t="s">
        <v>6984</v>
      </c>
      <c r="HVN12" t="s">
        <v>6984</v>
      </c>
      <c r="HVO12" t="s">
        <v>6984</v>
      </c>
      <c r="HVP12" t="s">
        <v>6984</v>
      </c>
      <c r="HVQ12" t="s">
        <v>6984</v>
      </c>
      <c r="HVR12" t="s">
        <v>6984</v>
      </c>
      <c r="HVS12" t="s">
        <v>6984</v>
      </c>
      <c r="HVT12" t="s">
        <v>6984</v>
      </c>
      <c r="HVU12" t="s">
        <v>6984</v>
      </c>
      <c r="HVV12" t="s">
        <v>6984</v>
      </c>
      <c r="HVW12" t="s">
        <v>6984</v>
      </c>
      <c r="HVX12" t="s">
        <v>6984</v>
      </c>
      <c r="HVY12" t="s">
        <v>6984</v>
      </c>
      <c r="HVZ12" t="s">
        <v>6984</v>
      </c>
      <c r="HWA12" t="s">
        <v>6984</v>
      </c>
      <c r="HWB12" t="s">
        <v>6984</v>
      </c>
      <c r="HWC12" t="s">
        <v>6984</v>
      </c>
      <c r="HWD12" t="s">
        <v>6984</v>
      </c>
      <c r="HWE12" t="s">
        <v>6984</v>
      </c>
      <c r="HWF12" t="s">
        <v>6984</v>
      </c>
      <c r="HWG12" t="s">
        <v>6984</v>
      </c>
      <c r="HWH12" t="s">
        <v>6984</v>
      </c>
      <c r="HWI12" t="s">
        <v>6984</v>
      </c>
      <c r="HWJ12" t="s">
        <v>6984</v>
      </c>
      <c r="HWK12" t="s">
        <v>6984</v>
      </c>
      <c r="HWL12" t="s">
        <v>6984</v>
      </c>
      <c r="HWM12" t="s">
        <v>6984</v>
      </c>
      <c r="HWN12" t="s">
        <v>6984</v>
      </c>
      <c r="HWO12" t="s">
        <v>6984</v>
      </c>
      <c r="HWP12" t="s">
        <v>6984</v>
      </c>
      <c r="HWQ12" t="s">
        <v>6984</v>
      </c>
      <c r="HWR12" t="s">
        <v>6984</v>
      </c>
      <c r="HWS12" t="s">
        <v>6984</v>
      </c>
      <c r="HWT12" t="s">
        <v>6984</v>
      </c>
      <c r="HWU12" t="s">
        <v>6984</v>
      </c>
      <c r="HWV12" t="s">
        <v>6984</v>
      </c>
      <c r="HWW12" t="s">
        <v>6984</v>
      </c>
      <c r="HWX12" t="s">
        <v>6984</v>
      </c>
      <c r="HWY12" t="s">
        <v>6984</v>
      </c>
      <c r="HWZ12" t="s">
        <v>6984</v>
      </c>
      <c r="HXA12" t="s">
        <v>6984</v>
      </c>
      <c r="HXB12" t="s">
        <v>6984</v>
      </c>
      <c r="HXC12" t="s">
        <v>6984</v>
      </c>
      <c r="HXD12" t="s">
        <v>6984</v>
      </c>
      <c r="HXE12" t="s">
        <v>6984</v>
      </c>
      <c r="HXF12" t="s">
        <v>6984</v>
      </c>
      <c r="HXG12" t="s">
        <v>6984</v>
      </c>
      <c r="HXH12" t="s">
        <v>6984</v>
      </c>
      <c r="HXI12" t="s">
        <v>6984</v>
      </c>
      <c r="HXJ12" t="s">
        <v>6984</v>
      </c>
      <c r="HXK12" t="s">
        <v>6984</v>
      </c>
      <c r="HXL12" t="s">
        <v>6984</v>
      </c>
      <c r="HXM12" t="s">
        <v>6984</v>
      </c>
      <c r="HXN12" t="s">
        <v>6984</v>
      </c>
      <c r="HXO12" t="s">
        <v>6984</v>
      </c>
      <c r="HXP12" t="s">
        <v>6984</v>
      </c>
      <c r="HXQ12" t="s">
        <v>6984</v>
      </c>
      <c r="HXR12" t="s">
        <v>6984</v>
      </c>
      <c r="HXS12" t="s">
        <v>6984</v>
      </c>
      <c r="HXT12" t="s">
        <v>6984</v>
      </c>
      <c r="HXU12" t="s">
        <v>6984</v>
      </c>
      <c r="HXV12" t="s">
        <v>6984</v>
      </c>
      <c r="HXW12" t="s">
        <v>6984</v>
      </c>
      <c r="HXX12" t="s">
        <v>6984</v>
      </c>
      <c r="HXY12" t="s">
        <v>6984</v>
      </c>
      <c r="HXZ12" t="s">
        <v>6984</v>
      </c>
      <c r="HYA12" t="s">
        <v>6984</v>
      </c>
      <c r="HYB12" t="s">
        <v>6984</v>
      </c>
      <c r="HYC12" t="s">
        <v>6984</v>
      </c>
      <c r="HYD12" t="s">
        <v>6984</v>
      </c>
      <c r="HYE12" t="s">
        <v>6984</v>
      </c>
      <c r="HYF12" t="s">
        <v>6984</v>
      </c>
      <c r="HYG12" t="s">
        <v>6984</v>
      </c>
      <c r="HYH12" t="s">
        <v>6984</v>
      </c>
      <c r="HYI12" t="s">
        <v>6984</v>
      </c>
      <c r="HYJ12" t="s">
        <v>6984</v>
      </c>
      <c r="HYK12" t="s">
        <v>6984</v>
      </c>
      <c r="HYL12" t="s">
        <v>6984</v>
      </c>
      <c r="HYM12" t="s">
        <v>6984</v>
      </c>
      <c r="HYN12" t="s">
        <v>6984</v>
      </c>
      <c r="HYO12" t="s">
        <v>6984</v>
      </c>
      <c r="HYP12" t="s">
        <v>6984</v>
      </c>
      <c r="HYQ12" t="s">
        <v>6984</v>
      </c>
      <c r="HYR12" t="s">
        <v>6984</v>
      </c>
      <c r="HYS12" t="s">
        <v>6984</v>
      </c>
      <c r="HYT12" t="s">
        <v>6984</v>
      </c>
      <c r="HYU12" t="s">
        <v>6984</v>
      </c>
      <c r="HYV12" t="s">
        <v>6984</v>
      </c>
      <c r="HYW12" t="s">
        <v>6984</v>
      </c>
      <c r="HYX12" t="s">
        <v>6984</v>
      </c>
      <c r="HYY12" t="s">
        <v>6984</v>
      </c>
      <c r="HYZ12" t="s">
        <v>6984</v>
      </c>
      <c r="HZA12" t="s">
        <v>6984</v>
      </c>
      <c r="HZB12" t="s">
        <v>6984</v>
      </c>
      <c r="HZC12" t="s">
        <v>6984</v>
      </c>
      <c r="HZD12" t="s">
        <v>6984</v>
      </c>
      <c r="HZE12" t="s">
        <v>6984</v>
      </c>
      <c r="HZF12" t="s">
        <v>6984</v>
      </c>
      <c r="HZG12" t="s">
        <v>6984</v>
      </c>
      <c r="HZH12" t="s">
        <v>6984</v>
      </c>
      <c r="HZI12" t="s">
        <v>6984</v>
      </c>
      <c r="HZJ12" t="s">
        <v>6984</v>
      </c>
      <c r="HZK12" t="s">
        <v>6984</v>
      </c>
      <c r="HZL12" t="s">
        <v>6984</v>
      </c>
      <c r="HZM12" t="s">
        <v>6984</v>
      </c>
      <c r="HZN12" t="s">
        <v>6984</v>
      </c>
      <c r="HZO12" t="s">
        <v>6984</v>
      </c>
      <c r="HZP12" t="s">
        <v>6984</v>
      </c>
      <c r="HZQ12" t="s">
        <v>6984</v>
      </c>
      <c r="HZR12" t="s">
        <v>6984</v>
      </c>
      <c r="HZS12" t="s">
        <v>6984</v>
      </c>
      <c r="HZT12" t="s">
        <v>6984</v>
      </c>
      <c r="HZU12" t="s">
        <v>6984</v>
      </c>
      <c r="HZV12" t="s">
        <v>6984</v>
      </c>
      <c r="HZW12" t="s">
        <v>6984</v>
      </c>
      <c r="HZX12" t="s">
        <v>6984</v>
      </c>
      <c r="HZY12" t="s">
        <v>6984</v>
      </c>
      <c r="HZZ12" t="s">
        <v>6984</v>
      </c>
      <c r="IAA12" t="s">
        <v>6984</v>
      </c>
      <c r="IAB12" t="s">
        <v>6984</v>
      </c>
      <c r="IAC12" t="s">
        <v>6984</v>
      </c>
      <c r="IAD12" t="s">
        <v>6984</v>
      </c>
      <c r="IAE12" t="s">
        <v>6984</v>
      </c>
      <c r="IAF12" t="s">
        <v>6984</v>
      </c>
      <c r="IAG12" t="s">
        <v>6984</v>
      </c>
      <c r="IAH12" t="s">
        <v>6984</v>
      </c>
      <c r="IAI12" t="s">
        <v>6984</v>
      </c>
      <c r="IAJ12" t="s">
        <v>6984</v>
      </c>
      <c r="IAK12" t="s">
        <v>6984</v>
      </c>
      <c r="IAL12" t="s">
        <v>6984</v>
      </c>
      <c r="IAM12" t="s">
        <v>6984</v>
      </c>
      <c r="IAN12" t="s">
        <v>6984</v>
      </c>
      <c r="IAO12" t="s">
        <v>6984</v>
      </c>
      <c r="IAP12" t="s">
        <v>6984</v>
      </c>
      <c r="IAQ12" t="s">
        <v>6984</v>
      </c>
      <c r="IAR12" t="s">
        <v>6984</v>
      </c>
      <c r="IAS12" t="s">
        <v>6984</v>
      </c>
      <c r="IAT12" t="s">
        <v>6984</v>
      </c>
      <c r="IAU12" t="s">
        <v>6984</v>
      </c>
      <c r="IAV12" t="s">
        <v>6984</v>
      </c>
      <c r="IAW12" t="s">
        <v>6984</v>
      </c>
      <c r="IAX12" t="s">
        <v>6984</v>
      </c>
      <c r="IAY12" t="s">
        <v>6984</v>
      </c>
      <c r="IAZ12" t="s">
        <v>6984</v>
      </c>
      <c r="IBA12" t="s">
        <v>6984</v>
      </c>
      <c r="IBB12" t="s">
        <v>6984</v>
      </c>
      <c r="IBC12" t="s">
        <v>6984</v>
      </c>
      <c r="IBD12" t="s">
        <v>6984</v>
      </c>
      <c r="IBE12" t="s">
        <v>6984</v>
      </c>
      <c r="IBF12" t="s">
        <v>6984</v>
      </c>
      <c r="IBG12" t="s">
        <v>6984</v>
      </c>
      <c r="IBH12" t="s">
        <v>6984</v>
      </c>
      <c r="IBI12" t="s">
        <v>6984</v>
      </c>
      <c r="IBJ12" t="s">
        <v>6984</v>
      </c>
      <c r="IBK12" t="s">
        <v>6984</v>
      </c>
      <c r="IBL12" t="s">
        <v>6984</v>
      </c>
      <c r="IBM12" t="s">
        <v>6984</v>
      </c>
      <c r="IBN12" t="s">
        <v>6984</v>
      </c>
      <c r="IBO12" t="s">
        <v>6984</v>
      </c>
      <c r="IBP12" t="s">
        <v>6984</v>
      </c>
      <c r="IBQ12" t="s">
        <v>6984</v>
      </c>
      <c r="IBR12" t="s">
        <v>6984</v>
      </c>
      <c r="IBS12" t="s">
        <v>6984</v>
      </c>
      <c r="IBT12" t="s">
        <v>6984</v>
      </c>
      <c r="IBU12" t="s">
        <v>6984</v>
      </c>
      <c r="IBV12" t="s">
        <v>6984</v>
      </c>
      <c r="IBW12" t="s">
        <v>6984</v>
      </c>
      <c r="IBX12" t="s">
        <v>6984</v>
      </c>
      <c r="IBY12" t="s">
        <v>6984</v>
      </c>
      <c r="IBZ12" t="s">
        <v>6984</v>
      </c>
      <c r="ICA12" t="s">
        <v>6984</v>
      </c>
      <c r="ICB12" t="s">
        <v>6984</v>
      </c>
      <c r="ICC12" t="s">
        <v>6984</v>
      </c>
      <c r="ICD12" t="s">
        <v>6984</v>
      </c>
      <c r="ICE12" t="s">
        <v>6984</v>
      </c>
      <c r="ICF12" t="s">
        <v>6984</v>
      </c>
      <c r="ICG12" t="s">
        <v>6984</v>
      </c>
      <c r="ICH12" t="s">
        <v>6984</v>
      </c>
      <c r="ICI12" t="s">
        <v>6984</v>
      </c>
      <c r="ICJ12" t="s">
        <v>6984</v>
      </c>
      <c r="ICK12" t="s">
        <v>6984</v>
      </c>
      <c r="ICL12" t="s">
        <v>6984</v>
      </c>
      <c r="ICM12" t="s">
        <v>6984</v>
      </c>
      <c r="ICN12" t="s">
        <v>6984</v>
      </c>
      <c r="ICO12" t="s">
        <v>6984</v>
      </c>
      <c r="ICP12" t="s">
        <v>6984</v>
      </c>
      <c r="ICQ12" t="s">
        <v>6984</v>
      </c>
      <c r="ICR12" t="s">
        <v>6984</v>
      </c>
      <c r="ICS12" t="s">
        <v>6984</v>
      </c>
      <c r="ICT12" t="s">
        <v>6984</v>
      </c>
      <c r="ICU12" t="s">
        <v>6984</v>
      </c>
      <c r="ICV12" t="s">
        <v>6984</v>
      </c>
      <c r="ICW12" t="s">
        <v>6984</v>
      </c>
      <c r="ICX12" t="s">
        <v>6984</v>
      </c>
      <c r="ICY12" t="s">
        <v>6984</v>
      </c>
      <c r="ICZ12" t="s">
        <v>6984</v>
      </c>
      <c r="IDA12" t="s">
        <v>6984</v>
      </c>
      <c r="IDB12" t="s">
        <v>6984</v>
      </c>
      <c r="IDC12" t="s">
        <v>6984</v>
      </c>
      <c r="IDD12" t="s">
        <v>6984</v>
      </c>
      <c r="IDE12" t="s">
        <v>6984</v>
      </c>
      <c r="IDF12" t="s">
        <v>6984</v>
      </c>
      <c r="IDG12" t="s">
        <v>6984</v>
      </c>
      <c r="IDH12" t="s">
        <v>6984</v>
      </c>
      <c r="IDI12" t="s">
        <v>6984</v>
      </c>
      <c r="IDJ12" t="s">
        <v>6984</v>
      </c>
      <c r="IDK12" t="s">
        <v>6984</v>
      </c>
      <c r="IDL12" t="s">
        <v>6984</v>
      </c>
      <c r="IDM12" t="s">
        <v>6984</v>
      </c>
      <c r="IDN12" t="s">
        <v>6984</v>
      </c>
      <c r="IDO12" t="s">
        <v>6984</v>
      </c>
      <c r="IDP12" t="s">
        <v>6984</v>
      </c>
      <c r="IDQ12" t="s">
        <v>6984</v>
      </c>
      <c r="IDR12" t="s">
        <v>6984</v>
      </c>
      <c r="IDS12" t="s">
        <v>6984</v>
      </c>
      <c r="IDT12" t="s">
        <v>6984</v>
      </c>
      <c r="IDU12" t="s">
        <v>6984</v>
      </c>
      <c r="IDV12" t="s">
        <v>6984</v>
      </c>
      <c r="IDW12" t="s">
        <v>6984</v>
      </c>
      <c r="IDX12" t="s">
        <v>6984</v>
      </c>
      <c r="IDY12" t="s">
        <v>6984</v>
      </c>
      <c r="IDZ12" t="s">
        <v>6984</v>
      </c>
      <c r="IEA12" t="s">
        <v>6984</v>
      </c>
      <c r="IEB12" t="s">
        <v>6984</v>
      </c>
      <c r="IEC12" t="s">
        <v>6984</v>
      </c>
      <c r="IED12" t="s">
        <v>6984</v>
      </c>
      <c r="IEE12" t="s">
        <v>6984</v>
      </c>
      <c r="IEF12" t="s">
        <v>6984</v>
      </c>
      <c r="IEG12" t="s">
        <v>6984</v>
      </c>
      <c r="IEH12" t="s">
        <v>6984</v>
      </c>
      <c r="IEI12" t="s">
        <v>6984</v>
      </c>
      <c r="IEJ12" t="s">
        <v>6984</v>
      </c>
      <c r="IEK12" t="s">
        <v>6984</v>
      </c>
      <c r="IEL12" t="s">
        <v>6984</v>
      </c>
      <c r="IEM12" t="s">
        <v>6984</v>
      </c>
      <c r="IEN12" t="s">
        <v>6984</v>
      </c>
      <c r="IEO12" t="s">
        <v>6984</v>
      </c>
      <c r="IEP12" t="s">
        <v>6984</v>
      </c>
      <c r="IEQ12" t="s">
        <v>6984</v>
      </c>
      <c r="IER12" t="s">
        <v>6984</v>
      </c>
      <c r="IES12" t="s">
        <v>6984</v>
      </c>
      <c r="IET12" t="s">
        <v>6984</v>
      </c>
      <c r="IEU12" t="s">
        <v>6984</v>
      </c>
      <c r="IEV12" t="s">
        <v>6984</v>
      </c>
      <c r="IEW12" t="s">
        <v>6984</v>
      </c>
      <c r="IEX12" t="s">
        <v>6984</v>
      </c>
      <c r="IEY12" t="s">
        <v>6984</v>
      </c>
      <c r="IEZ12" t="s">
        <v>6984</v>
      </c>
      <c r="IFA12" t="s">
        <v>6984</v>
      </c>
      <c r="IFB12" t="s">
        <v>6984</v>
      </c>
      <c r="IFC12" t="s">
        <v>6984</v>
      </c>
      <c r="IFD12" t="s">
        <v>6984</v>
      </c>
      <c r="IFE12" t="s">
        <v>6984</v>
      </c>
      <c r="IFF12" t="s">
        <v>6984</v>
      </c>
      <c r="IFG12" t="s">
        <v>6984</v>
      </c>
      <c r="IFH12" t="s">
        <v>6984</v>
      </c>
      <c r="IFI12" t="s">
        <v>6984</v>
      </c>
      <c r="IFJ12" t="s">
        <v>6984</v>
      </c>
      <c r="IFK12" t="s">
        <v>6984</v>
      </c>
      <c r="IFL12" t="s">
        <v>6984</v>
      </c>
      <c r="IFM12" t="s">
        <v>6984</v>
      </c>
      <c r="IFN12" t="s">
        <v>6984</v>
      </c>
      <c r="IFO12" t="s">
        <v>6984</v>
      </c>
      <c r="IFP12" t="s">
        <v>6984</v>
      </c>
      <c r="IFQ12" t="s">
        <v>6984</v>
      </c>
      <c r="IFR12" t="s">
        <v>6984</v>
      </c>
      <c r="IFS12" t="s">
        <v>6984</v>
      </c>
      <c r="IFT12" t="s">
        <v>6984</v>
      </c>
      <c r="IFU12" t="s">
        <v>6984</v>
      </c>
      <c r="IFV12" t="s">
        <v>6984</v>
      </c>
      <c r="IFW12" t="s">
        <v>6984</v>
      </c>
      <c r="IFX12" t="s">
        <v>6984</v>
      </c>
      <c r="IFY12" t="s">
        <v>6984</v>
      </c>
      <c r="IFZ12" t="s">
        <v>6984</v>
      </c>
      <c r="IGA12" t="s">
        <v>6984</v>
      </c>
      <c r="IGB12" t="s">
        <v>6984</v>
      </c>
      <c r="IGC12" t="s">
        <v>6984</v>
      </c>
      <c r="IGD12" t="s">
        <v>6984</v>
      </c>
      <c r="IGE12" t="s">
        <v>6984</v>
      </c>
      <c r="IGF12" t="s">
        <v>6984</v>
      </c>
      <c r="IGG12" t="s">
        <v>6984</v>
      </c>
      <c r="IGH12" t="s">
        <v>6984</v>
      </c>
      <c r="IGI12" t="s">
        <v>6984</v>
      </c>
      <c r="IGJ12" t="s">
        <v>6984</v>
      </c>
      <c r="IGK12" t="s">
        <v>6984</v>
      </c>
      <c r="IGL12" t="s">
        <v>6984</v>
      </c>
      <c r="IGM12" t="s">
        <v>6984</v>
      </c>
      <c r="IGN12" t="s">
        <v>6984</v>
      </c>
      <c r="IGO12" t="s">
        <v>6984</v>
      </c>
      <c r="IGP12" t="s">
        <v>6984</v>
      </c>
      <c r="IGQ12" t="s">
        <v>6984</v>
      </c>
      <c r="IGR12" t="s">
        <v>6984</v>
      </c>
      <c r="IGS12" t="s">
        <v>6984</v>
      </c>
      <c r="IGT12" t="s">
        <v>6984</v>
      </c>
      <c r="IGU12" t="s">
        <v>6984</v>
      </c>
      <c r="IGV12" t="s">
        <v>6984</v>
      </c>
      <c r="IGW12" t="s">
        <v>6984</v>
      </c>
      <c r="IGX12" t="s">
        <v>6984</v>
      </c>
      <c r="IGY12" t="s">
        <v>6984</v>
      </c>
      <c r="IGZ12" t="s">
        <v>6984</v>
      </c>
      <c r="IHA12" t="s">
        <v>6984</v>
      </c>
      <c r="IHB12" t="s">
        <v>6984</v>
      </c>
      <c r="IHC12" t="s">
        <v>6984</v>
      </c>
      <c r="IHD12" t="s">
        <v>6984</v>
      </c>
      <c r="IHE12" t="s">
        <v>6984</v>
      </c>
      <c r="IHF12" t="s">
        <v>6984</v>
      </c>
      <c r="IHG12" t="s">
        <v>6984</v>
      </c>
      <c r="IHH12" t="s">
        <v>6984</v>
      </c>
      <c r="IHI12" t="s">
        <v>6984</v>
      </c>
      <c r="IHJ12" t="s">
        <v>6984</v>
      </c>
      <c r="IHK12" t="s">
        <v>6984</v>
      </c>
      <c r="IHL12" t="s">
        <v>6984</v>
      </c>
      <c r="IHM12" t="s">
        <v>6984</v>
      </c>
      <c r="IHN12" t="s">
        <v>6984</v>
      </c>
      <c r="IHO12" t="s">
        <v>6984</v>
      </c>
      <c r="IHP12" t="s">
        <v>6984</v>
      </c>
      <c r="IHQ12" t="s">
        <v>6984</v>
      </c>
      <c r="IHR12" t="s">
        <v>6984</v>
      </c>
      <c r="IHS12" t="s">
        <v>6984</v>
      </c>
      <c r="IHT12" t="s">
        <v>6984</v>
      </c>
      <c r="IHU12" t="s">
        <v>6984</v>
      </c>
      <c r="IHV12" t="s">
        <v>6984</v>
      </c>
      <c r="IHW12" t="s">
        <v>6984</v>
      </c>
      <c r="IHX12" t="s">
        <v>6984</v>
      </c>
      <c r="IHY12" t="s">
        <v>6984</v>
      </c>
      <c r="IHZ12" t="s">
        <v>6984</v>
      </c>
      <c r="IIA12" t="s">
        <v>6984</v>
      </c>
      <c r="IIB12" t="s">
        <v>6984</v>
      </c>
      <c r="IIC12" t="s">
        <v>6984</v>
      </c>
      <c r="IID12" t="s">
        <v>6984</v>
      </c>
      <c r="IIE12" t="s">
        <v>6984</v>
      </c>
      <c r="IIF12" t="s">
        <v>6984</v>
      </c>
      <c r="IIG12" t="s">
        <v>6984</v>
      </c>
      <c r="IIH12" t="s">
        <v>6984</v>
      </c>
      <c r="III12" t="s">
        <v>6984</v>
      </c>
      <c r="IIJ12" t="s">
        <v>6984</v>
      </c>
      <c r="IIK12" t="s">
        <v>6984</v>
      </c>
      <c r="IIL12" t="s">
        <v>6984</v>
      </c>
      <c r="IIM12" t="s">
        <v>6984</v>
      </c>
      <c r="IIN12" t="s">
        <v>6984</v>
      </c>
      <c r="IIO12" t="s">
        <v>6984</v>
      </c>
      <c r="IIP12" t="s">
        <v>6984</v>
      </c>
      <c r="IIQ12" t="s">
        <v>6984</v>
      </c>
      <c r="IIR12" t="s">
        <v>6984</v>
      </c>
      <c r="IIS12" t="s">
        <v>6984</v>
      </c>
      <c r="IIT12" t="s">
        <v>6984</v>
      </c>
      <c r="IIU12" t="s">
        <v>6984</v>
      </c>
      <c r="IIV12" t="s">
        <v>6984</v>
      </c>
      <c r="IIW12" t="s">
        <v>6984</v>
      </c>
      <c r="IIX12" t="s">
        <v>6984</v>
      </c>
      <c r="IIY12" t="s">
        <v>6984</v>
      </c>
      <c r="IIZ12" t="s">
        <v>6984</v>
      </c>
      <c r="IJA12" t="s">
        <v>6984</v>
      </c>
      <c r="IJB12" t="s">
        <v>6984</v>
      </c>
      <c r="IJC12" t="s">
        <v>6984</v>
      </c>
      <c r="IJD12" t="s">
        <v>6984</v>
      </c>
      <c r="IJE12" t="s">
        <v>6984</v>
      </c>
      <c r="IJF12" t="s">
        <v>6984</v>
      </c>
      <c r="IJG12" t="s">
        <v>6984</v>
      </c>
      <c r="IJH12" t="s">
        <v>6984</v>
      </c>
      <c r="IJI12" t="s">
        <v>6984</v>
      </c>
      <c r="IJJ12" t="s">
        <v>6984</v>
      </c>
      <c r="IJK12" t="s">
        <v>6984</v>
      </c>
      <c r="IJL12" t="s">
        <v>6984</v>
      </c>
      <c r="IJM12" t="s">
        <v>6984</v>
      </c>
      <c r="IJN12" t="s">
        <v>6984</v>
      </c>
      <c r="IJO12" t="s">
        <v>6984</v>
      </c>
      <c r="IJP12" t="s">
        <v>6984</v>
      </c>
      <c r="IJQ12" t="s">
        <v>6984</v>
      </c>
      <c r="IJR12" t="s">
        <v>6984</v>
      </c>
      <c r="IJS12" t="s">
        <v>6984</v>
      </c>
      <c r="IJT12" t="s">
        <v>6984</v>
      </c>
      <c r="IJU12" t="s">
        <v>6984</v>
      </c>
      <c r="IJV12" t="s">
        <v>6984</v>
      </c>
      <c r="IJW12" t="s">
        <v>6984</v>
      </c>
      <c r="IJX12" t="s">
        <v>6984</v>
      </c>
      <c r="IJY12" t="s">
        <v>6984</v>
      </c>
      <c r="IJZ12" t="s">
        <v>6984</v>
      </c>
      <c r="IKA12" t="s">
        <v>6984</v>
      </c>
      <c r="IKB12" t="s">
        <v>6984</v>
      </c>
      <c r="IKC12" t="s">
        <v>6984</v>
      </c>
      <c r="IKD12" t="s">
        <v>6984</v>
      </c>
      <c r="IKE12" t="s">
        <v>6984</v>
      </c>
      <c r="IKF12" t="s">
        <v>6984</v>
      </c>
      <c r="IKG12" t="s">
        <v>6984</v>
      </c>
      <c r="IKH12" t="s">
        <v>6984</v>
      </c>
      <c r="IKI12" t="s">
        <v>6984</v>
      </c>
      <c r="IKJ12" t="s">
        <v>6984</v>
      </c>
      <c r="IKK12" t="s">
        <v>6984</v>
      </c>
      <c r="IKL12" t="s">
        <v>6984</v>
      </c>
      <c r="IKM12" t="s">
        <v>6984</v>
      </c>
      <c r="IKN12" t="s">
        <v>6984</v>
      </c>
      <c r="IKO12" t="s">
        <v>6984</v>
      </c>
      <c r="IKP12" t="s">
        <v>6984</v>
      </c>
      <c r="IKQ12" t="s">
        <v>6984</v>
      </c>
      <c r="IKR12" t="s">
        <v>6984</v>
      </c>
      <c r="IKS12" t="s">
        <v>6984</v>
      </c>
      <c r="IKT12" t="s">
        <v>6984</v>
      </c>
      <c r="IKU12" t="s">
        <v>6984</v>
      </c>
      <c r="IKV12" t="s">
        <v>6984</v>
      </c>
      <c r="IKW12" t="s">
        <v>6984</v>
      </c>
      <c r="IKX12" t="s">
        <v>6984</v>
      </c>
      <c r="IKY12" t="s">
        <v>6984</v>
      </c>
      <c r="IKZ12" t="s">
        <v>6984</v>
      </c>
      <c r="ILA12" t="s">
        <v>6984</v>
      </c>
      <c r="ILB12" t="s">
        <v>6984</v>
      </c>
      <c r="ILC12" t="s">
        <v>6984</v>
      </c>
      <c r="ILD12" t="s">
        <v>6984</v>
      </c>
      <c r="ILE12" t="s">
        <v>6984</v>
      </c>
      <c r="ILF12" t="s">
        <v>6984</v>
      </c>
      <c r="ILG12" t="s">
        <v>6984</v>
      </c>
      <c r="ILH12" t="s">
        <v>6984</v>
      </c>
      <c r="ILI12" t="s">
        <v>6984</v>
      </c>
      <c r="ILJ12" t="s">
        <v>6984</v>
      </c>
      <c r="ILK12" t="s">
        <v>6984</v>
      </c>
      <c r="ILL12" t="s">
        <v>6984</v>
      </c>
      <c r="ILM12" t="s">
        <v>6984</v>
      </c>
      <c r="ILN12" t="s">
        <v>6984</v>
      </c>
      <c r="ILO12" t="s">
        <v>6984</v>
      </c>
      <c r="ILP12" t="s">
        <v>6984</v>
      </c>
      <c r="ILQ12" t="s">
        <v>6984</v>
      </c>
      <c r="ILR12" t="s">
        <v>6984</v>
      </c>
      <c r="ILS12" t="s">
        <v>6984</v>
      </c>
      <c r="ILT12" t="s">
        <v>6984</v>
      </c>
      <c r="ILU12" t="s">
        <v>6984</v>
      </c>
      <c r="ILV12" t="s">
        <v>6984</v>
      </c>
      <c r="ILW12" t="s">
        <v>6984</v>
      </c>
      <c r="ILX12" t="s">
        <v>6984</v>
      </c>
      <c r="ILY12" t="s">
        <v>6984</v>
      </c>
      <c r="ILZ12" t="s">
        <v>6984</v>
      </c>
      <c r="IMA12" t="s">
        <v>6984</v>
      </c>
      <c r="IMB12" t="s">
        <v>6984</v>
      </c>
      <c r="IMC12" t="s">
        <v>6984</v>
      </c>
      <c r="IMD12" t="s">
        <v>6984</v>
      </c>
      <c r="IME12" t="s">
        <v>6984</v>
      </c>
      <c r="IMF12" t="s">
        <v>6984</v>
      </c>
      <c r="IMG12" t="s">
        <v>6984</v>
      </c>
      <c r="IMH12" t="s">
        <v>6984</v>
      </c>
      <c r="IMI12" t="s">
        <v>6984</v>
      </c>
      <c r="IMJ12" t="s">
        <v>6984</v>
      </c>
      <c r="IMK12" t="s">
        <v>6984</v>
      </c>
      <c r="IML12" t="s">
        <v>6984</v>
      </c>
      <c r="IMM12" t="s">
        <v>6984</v>
      </c>
      <c r="IMN12" t="s">
        <v>6984</v>
      </c>
      <c r="IMO12" t="s">
        <v>6984</v>
      </c>
      <c r="IMP12" t="s">
        <v>6984</v>
      </c>
      <c r="IMQ12" t="s">
        <v>6984</v>
      </c>
      <c r="IMR12" t="s">
        <v>6984</v>
      </c>
      <c r="IMS12" t="s">
        <v>6984</v>
      </c>
      <c r="IMT12" t="s">
        <v>6984</v>
      </c>
      <c r="IMU12" t="s">
        <v>6984</v>
      </c>
      <c r="IMV12" t="s">
        <v>6984</v>
      </c>
      <c r="IMW12" t="s">
        <v>6984</v>
      </c>
      <c r="IMX12" t="s">
        <v>6984</v>
      </c>
      <c r="IMY12" t="s">
        <v>6984</v>
      </c>
      <c r="IMZ12" t="s">
        <v>6984</v>
      </c>
      <c r="INA12" t="s">
        <v>6984</v>
      </c>
      <c r="INB12" t="s">
        <v>6984</v>
      </c>
      <c r="INC12" t="s">
        <v>6984</v>
      </c>
      <c r="IND12" t="s">
        <v>6984</v>
      </c>
      <c r="INE12" t="s">
        <v>6984</v>
      </c>
      <c r="INF12" t="s">
        <v>6984</v>
      </c>
      <c r="ING12" t="s">
        <v>6984</v>
      </c>
      <c r="INH12" t="s">
        <v>6984</v>
      </c>
      <c r="INI12" t="s">
        <v>6984</v>
      </c>
      <c r="INJ12" t="s">
        <v>6984</v>
      </c>
      <c r="INK12" t="s">
        <v>6984</v>
      </c>
      <c r="INL12" t="s">
        <v>6984</v>
      </c>
      <c r="INM12" t="s">
        <v>6984</v>
      </c>
      <c r="INN12" t="s">
        <v>6984</v>
      </c>
      <c r="INO12" t="s">
        <v>6984</v>
      </c>
      <c r="INP12" t="s">
        <v>6984</v>
      </c>
      <c r="INQ12" t="s">
        <v>6984</v>
      </c>
      <c r="INR12" t="s">
        <v>6984</v>
      </c>
      <c r="INS12" t="s">
        <v>6984</v>
      </c>
      <c r="INT12" t="s">
        <v>6984</v>
      </c>
      <c r="INU12" t="s">
        <v>6984</v>
      </c>
      <c r="INV12" t="s">
        <v>6984</v>
      </c>
      <c r="INW12" t="s">
        <v>6984</v>
      </c>
      <c r="INX12" t="s">
        <v>6984</v>
      </c>
      <c r="INY12" t="s">
        <v>6984</v>
      </c>
      <c r="INZ12" t="s">
        <v>6984</v>
      </c>
      <c r="IOA12" t="s">
        <v>6984</v>
      </c>
      <c r="IOB12" t="s">
        <v>6984</v>
      </c>
      <c r="IOC12" t="s">
        <v>6984</v>
      </c>
      <c r="IOD12" t="s">
        <v>6984</v>
      </c>
      <c r="IOE12" t="s">
        <v>6984</v>
      </c>
      <c r="IOF12" t="s">
        <v>6984</v>
      </c>
      <c r="IOG12" t="s">
        <v>6984</v>
      </c>
      <c r="IOH12" t="s">
        <v>6984</v>
      </c>
      <c r="IOI12" t="s">
        <v>6984</v>
      </c>
      <c r="IOJ12" t="s">
        <v>6984</v>
      </c>
      <c r="IOK12" t="s">
        <v>6984</v>
      </c>
      <c r="IOL12" t="s">
        <v>6984</v>
      </c>
      <c r="IOM12" t="s">
        <v>6984</v>
      </c>
      <c r="ION12" t="s">
        <v>6984</v>
      </c>
      <c r="IOO12" t="s">
        <v>6984</v>
      </c>
      <c r="IOP12" t="s">
        <v>6984</v>
      </c>
      <c r="IOQ12" t="s">
        <v>6984</v>
      </c>
      <c r="IOR12" t="s">
        <v>6984</v>
      </c>
      <c r="IOS12" t="s">
        <v>6984</v>
      </c>
      <c r="IOT12" t="s">
        <v>6984</v>
      </c>
      <c r="IOU12" t="s">
        <v>6984</v>
      </c>
      <c r="IOV12" t="s">
        <v>6984</v>
      </c>
      <c r="IOW12" t="s">
        <v>6984</v>
      </c>
      <c r="IOX12" t="s">
        <v>6984</v>
      </c>
      <c r="IOY12" t="s">
        <v>6984</v>
      </c>
      <c r="IOZ12" t="s">
        <v>6984</v>
      </c>
      <c r="IPA12" t="s">
        <v>6984</v>
      </c>
      <c r="IPB12" t="s">
        <v>6984</v>
      </c>
      <c r="IPC12" t="s">
        <v>6984</v>
      </c>
      <c r="IPD12" t="s">
        <v>6984</v>
      </c>
      <c r="IPE12" t="s">
        <v>6984</v>
      </c>
      <c r="IPF12" t="s">
        <v>6984</v>
      </c>
      <c r="IPG12" t="s">
        <v>6984</v>
      </c>
      <c r="IPH12" t="s">
        <v>6984</v>
      </c>
      <c r="IPI12" t="s">
        <v>6984</v>
      </c>
      <c r="IPJ12" t="s">
        <v>6984</v>
      </c>
      <c r="IPK12" t="s">
        <v>6984</v>
      </c>
      <c r="IPL12" t="s">
        <v>6984</v>
      </c>
      <c r="IPM12" t="s">
        <v>6984</v>
      </c>
      <c r="IPN12" t="s">
        <v>6984</v>
      </c>
      <c r="IPO12" t="s">
        <v>6984</v>
      </c>
      <c r="IPP12" t="s">
        <v>6984</v>
      </c>
      <c r="IPQ12" t="s">
        <v>6984</v>
      </c>
      <c r="IPR12" t="s">
        <v>6984</v>
      </c>
      <c r="IPS12" t="s">
        <v>6984</v>
      </c>
      <c r="IPT12" t="s">
        <v>6984</v>
      </c>
      <c r="IPU12" t="s">
        <v>6984</v>
      </c>
      <c r="IPV12" t="s">
        <v>6984</v>
      </c>
      <c r="IPW12" t="s">
        <v>6984</v>
      </c>
      <c r="IPX12" t="s">
        <v>6984</v>
      </c>
      <c r="IPY12" t="s">
        <v>6984</v>
      </c>
      <c r="IPZ12" t="s">
        <v>6984</v>
      </c>
      <c r="IQA12" t="s">
        <v>6984</v>
      </c>
      <c r="IQB12" t="s">
        <v>6984</v>
      </c>
      <c r="IQC12" t="s">
        <v>6984</v>
      </c>
      <c r="IQD12" t="s">
        <v>6984</v>
      </c>
      <c r="IQE12" t="s">
        <v>6984</v>
      </c>
      <c r="IQF12" t="s">
        <v>6984</v>
      </c>
      <c r="IQG12" t="s">
        <v>6984</v>
      </c>
      <c r="IQH12" t="s">
        <v>6984</v>
      </c>
      <c r="IQI12" t="s">
        <v>6984</v>
      </c>
      <c r="IQJ12" t="s">
        <v>6984</v>
      </c>
      <c r="IQK12" t="s">
        <v>6984</v>
      </c>
      <c r="IQL12" t="s">
        <v>6984</v>
      </c>
      <c r="IQM12" t="s">
        <v>6984</v>
      </c>
      <c r="IQN12" t="s">
        <v>6984</v>
      </c>
      <c r="IQO12" t="s">
        <v>6984</v>
      </c>
      <c r="IQP12" t="s">
        <v>6984</v>
      </c>
      <c r="IQQ12" t="s">
        <v>6984</v>
      </c>
      <c r="IQR12" t="s">
        <v>6984</v>
      </c>
      <c r="IQS12" t="s">
        <v>6984</v>
      </c>
      <c r="IQT12" t="s">
        <v>6984</v>
      </c>
      <c r="IQU12" t="s">
        <v>6984</v>
      </c>
      <c r="IQV12" t="s">
        <v>6984</v>
      </c>
      <c r="IQW12" t="s">
        <v>6984</v>
      </c>
      <c r="IQX12" t="s">
        <v>6984</v>
      </c>
      <c r="IQY12" t="s">
        <v>6984</v>
      </c>
      <c r="IQZ12" t="s">
        <v>6984</v>
      </c>
      <c r="IRA12" t="s">
        <v>6984</v>
      </c>
      <c r="IRB12" t="s">
        <v>6984</v>
      </c>
      <c r="IRC12" t="s">
        <v>6984</v>
      </c>
      <c r="IRD12" t="s">
        <v>6984</v>
      </c>
      <c r="IRE12" t="s">
        <v>6984</v>
      </c>
      <c r="IRF12" t="s">
        <v>6984</v>
      </c>
      <c r="IRG12" t="s">
        <v>6984</v>
      </c>
      <c r="IRH12" t="s">
        <v>6984</v>
      </c>
      <c r="IRI12" t="s">
        <v>6984</v>
      </c>
      <c r="IRJ12" t="s">
        <v>6984</v>
      </c>
      <c r="IRK12" t="s">
        <v>6984</v>
      </c>
      <c r="IRL12" t="s">
        <v>6984</v>
      </c>
      <c r="IRM12" t="s">
        <v>6984</v>
      </c>
      <c r="IRN12" t="s">
        <v>6984</v>
      </c>
      <c r="IRO12" t="s">
        <v>6984</v>
      </c>
      <c r="IRP12" t="s">
        <v>6984</v>
      </c>
      <c r="IRQ12" t="s">
        <v>6984</v>
      </c>
      <c r="IRR12" t="s">
        <v>6984</v>
      </c>
      <c r="IRS12" t="s">
        <v>6984</v>
      </c>
      <c r="IRT12" t="s">
        <v>6984</v>
      </c>
      <c r="IRU12" t="s">
        <v>6984</v>
      </c>
      <c r="IRV12" t="s">
        <v>6984</v>
      </c>
      <c r="IRW12" t="s">
        <v>6984</v>
      </c>
      <c r="IRX12" t="s">
        <v>6984</v>
      </c>
      <c r="IRY12" t="s">
        <v>6984</v>
      </c>
      <c r="IRZ12" t="s">
        <v>6984</v>
      </c>
      <c r="ISA12" t="s">
        <v>6984</v>
      </c>
      <c r="ISB12" t="s">
        <v>6984</v>
      </c>
      <c r="ISC12" t="s">
        <v>6984</v>
      </c>
      <c r="ISD12" t="s">
        <v>6984</v>
      </c>
      <c r="ISE12" t="s">
        <v>6984</v>
      </c>
      <c r="ISF12" t="s">
        <v>6984</v>
      </c>
      <c r="ISG12" t="s">
        <v>6984</v>
      </c>
      <c r="ISH12" t="s">
        <v>6984</v>
      </c>
      <c r="ISI12" t="s">
        <v>6984</v>
      </c>
      <c r="ISJ12" t="s">
        <v>6984</v>
      </c>
      <c r="ISK12" t="s">
        <v>6984</v>
      </c>
      <c r="ISL12" t="s">
        <v>6984</v>
      </c>
      <c r="ISM12" t="s">
        <v>6984</v>
      </c>
      <c r="ISN12" t="s">
        <v>6984</v>
      </c>
      <c r="ISO12" t="s">
        <v>6984</v>
      </c>
      <c r="ISP12" t="s">
        <v>6984</v>
      </c>
      <c r="ISQ12" t="s">
        <v>6984</v>
      </c>
      <c r="ISR12" t="s">
        <v>6984</v>
      </c>
      <c r="ISS12" t="s">
        <v>6984</v>
      </c>
      <c r="IST12" t="s">
        <v>6984</v>
      </c>
      <c r="ISU12" t="s">
        <v>6984</v>
      </c>
      <c r="ISV12" t="s">
        <v>6984</v>
      </c>
      <c r="ISW12" t="s">
        <v>6984</v>
      </c>
      <c r="ISX12" t="s">
        <v>6984</v>
      </c>
      <c r="ISY12" t="s">
        <v>6984</v>
      </c>
      <c r="ISZ12" t="s">
        <v>6984</v>
      </c>
      <c r="ITA12" t="s">
        <v>6984</v>
      </c>
      <c r="ITB12" t="s">
        <v>6984</v>
      </c>
      <c r="ITC12" t="s">
        <v>6984</v>
      </c>
      <c r="ITD12" t="s">
        <v>6984</v>
      </c>
      <c r="ITE12" t="s">
        <v>6984</v>
      </c>
      <c r="ITF12" t="s">
        <v>6984</v>
      </c>
      <c r="ITG12" t="s">
        <v>6984</v>
      </c>
      <c r="ITH12" t="s">
        <v>6984</v>
      </c>
      <c r="ITI12" t="s">
        <v>6984</v>
      </c>
      <c r="ITJ12" t="s">
        <v>6984</v>
      </c>
      <c r="ITK12" t="s">
        <v>6984</v>
      </c>
      <c r="ITL12" t="s">
        <v>6984</v>
      </c>
      <c r="ITM12" t="s">
        <v>6984</v>
      </c>
      <c r="ITN12" t="s">
        <v>6984</v>
      </c>
      <c r="ITO12" t="s">
        <v>6984</v>
      </c>
      <c r="ITP12" t="s">
        <v>6984</v>
      </c>
      <c r="ITQ12" t="s">
        <v>6984</v>
      </c>
      <c r="ITR12" t="s">
        <v>6984</v>
      </c>
      <c r="ITS12" t="s">
        <v>6984</v>
      </c>
      <c r="ITT12" t="s">
        <v>6984</v>
      </c>
      <c r="ITU12" t="s">
        <v>6984</v>
      </c>
      <c r="ITV12" t="s">
        <v>6984</v>
      </c>
      <c r="ITW12" t="s">
        <v>6984</v>
      </c>
      <c r="ITX12" t="s">
        <v>6984</v>
      </c>
      <c r="ITY12" t="s">
        <v>6984</v>
      </c>
      <c r="ITZ12" t="s">
        <v>6984</v>
      </c>
      <c r="IUA12" t="s">
        <v>6984</v>
      </c>
      <c r="IUB12" t="s">
        <v>6984</v>
      </c>
      <c r="IUC12" t="s">
        <v>6984</v>
      </c>
      <c r="IUD12" t="s">
        <v>6984</v>
      </c>
      <c r="IUE12" t="s">
        <v>6984</v>
      </c>
      <c r="IUF12" t="s">
        <v>6984</v>
      </c>
      <c r="IUG12" t="s">
        <v>6984</v>
      </c>
      <c r="IUH12" t="s">
        <v>6984</v>
      </c>
      <c r="IUI12" t="s">
        <v>6984</v>
      </c>
      <c r="IUJ12" t="s">
        <v>6984</v>
      </c>
      <c r="IUK12" t="s">
        <v>6984</v>
      </c>
      <c r="IUL12" t="s">
        <v>6984</v>
      </c>
      <c r="IUM12" t="s">
        <v>6984</v>
      </c>
      <c r="IUN12" t="s">
        <v>6984</v>
      </c>
      <c r="IUO12" t="s">
        <v>6984</v>
      </c>
      <c r="IUP12" t="s">
        <v>6984</v>
      </c>
      <c r="IUQ12" t="s">
        <v>6984</v>
      </c>
      <c r="IUR12" t="s">
        <v>6984</v>
      </c>
      <c r="IUS12" t="s">
        <v>6984</v>
      </c>
      <c r="IUT12" t="s">
        <v>6984</v>
      </c>
      <c r="IUU12" t="s">
        <v>6984</v>
      </c>
      <c r="IUV12" t="s">
        <v>6984</v>
      </c>
      <c r="IUW12" t="s">
        <v>6984</v>
      </c>
      <c r="IUX12" t="s">
        <v>6984</v>
      </c>
      <c r="IUY12" t="s">
        <v>6984</v>
      </c>
      <c r="IUZ12" t="s">
        <v>6984</v>
      </c>
      <c r="IVA12" t="s">
        <v>6984</v>
      </c>
      <c r="IVB12" t="s">
        <v>6984</v>
      </c>
      <c r="IVC12" t="s">
        <v>6984</v>
      </c>
      <c r="IVD12" t="s">
        <v>6984</v>
      </c>
      <c r="IVE12" t="s">
        <v>6984</v>
      </c>
      <c r="IVF12" t="s">
        <v>6984</v>
      </c>
      <c r="IVG12" t="s">
        <v>6984</v>
      </c>
      <c r="IVH12" t="s">
        <v>6984</v>
      </c>
      <c r="IVI12" t="s">
        <v>6984</v>
      </c>
      <c r="IVJ12" t="s">
        <v>6984</v>
      </c>
      <c r="IVK12" t="s">
        <v>6984</v>
      </c>
      <c r="IVL12" t="s">
        <v>6984</v>
      </c>
      <c r="IVM12" t="s">
        <v>6984</v>
      </c>
      <c r="IVN12" t="s">
        <v>6984</v>
      </c>
      <c r="IVO12" t="s">
        <v>6984</v>
      </c>
      <c r="IVP12" t="s">
        <v>6984</v>
      </c>
      <c r="IVQ12" t="s">
        <v>6984</v>
      </c>
      <c r="IVR12" t="s">
        <v>6984</v>
      </c>
      <c r="IVS12" t="s">
        <v>6984</v>
      </c>
      <c r="IVT12" t="s">
        <v>6984</v>
      </c>
      <c r="IVU12" t="s">
        <v>6984</v>
      </c>
      <c r="IVV12" t="s">
        <v>6984</v>
      </c>
      <c r="IVW12" t="s">
        <v>6984</v>
      </c>
      <c r="IVX12" t="s">
        <v>6984</v>
      </c>
      <c r="IVY12" t="s">
        <v>6984</v>
      </c>
      <c r="IVZ12" t="s">
        <v>6984</v>
      </c>
      <c r="IWA12" t="s">
        <v>6984</v>
      </c>
      <c r="IWB12" t="s">
        <v>6984</v>
      </c>
      <c r="IWC12" t="s">
        <v>6984</v>
      </c>
      <c r="IWD12" t="s">
        <v>6984</v>
      </c>
      <c r="IWE12" t="s">
        <v>6984</v>
      </c>
      <c r="IWF12" t="s">
        <v>6984</v>
      </c>
      <c r="IWG12" t="s">
        <v>6984</v>
      </c>
      <c r="IWH12" t="s">
        <v>6984</v>
      </c>
      <c r="IWI12" t="s">
        <v>6984</v>
      </c>
      <c r="IWJ12" t="s">
        <v>6984</v>
      </c>
      <c r="IWK12" t="s">
        <v>6984</v>
      </c>
      <c r="IWL12" t="s">
        <v>6984</v>
      </c>
      <c r="IWM12" t="s">
        <v>6984</v>
      </c>
      <c r="IWN12" t="s">
        <v>6984</v>
      </c>
      <c r="IWO12" t="s">
        <v>6984</v>
      </c>
      <c r="IWP12" t="s">
        <v>6984</v>
      </c>
      <c r="IWQ12" t="s">
        <v>6984</v>
      </c>
      <c r="IWR12" t="s">
        <v>6984</v>
      </c>
      <c r="IWS12" t="s">
        <v>6984</v>
      </c>
      <c r="IWT12" t="s">
        <v>6984</v>
      </c>
      <c r="IWU12" t="s">
        <v>6984</v>
      </c>
      <c r="IWV12" t="s">
        <v>6984</v>
      </c>
      <c r="IWW12" t="s">
        <v>6984</v>
      </c>
      <c r="IWX12" t="s">
        <v>6984</v>
      </c>
      <c r="IWY12" t="s">
        <v>6984</v>
      </c>
      <c r="IWZ12" t="s">
        <v>6984</v>
      </c>
      <c r="IXA12" t="s">
        <v>6984</v>
      </c>
      <c r="IXB12" t="s">
        <v>6984</v>
      </c>
      <c r="IXC12" t="s">
        <v>6984</v>
      </c>
      <c r="IXD12" t="s">
        <v>6984</v>
      </c>
      <c r="IXE12" t="s">
        <v>6984</v>
      </c>
      <c r="IXF12" t="s">
        <v>6984</v>
      </c>
      <c r="IXG12" t="s">
        <v>6984</v>
      </c>
      <c r="IXH12" t="s">
        <v>6984</v>
      </c>
      <c r="IXI12" t="s">
        <v>6984</v>
      </c>
      <c r="IXJ12" t="s">
        <v>6984</v>
      </c>
      <c r="IXK12" t="s">
        <v>6984</v>
      </c>
      <c r="IXL12" t="s">
        <v>6984</v>
      </c>
      <c r="IXM12" t="s">
        <v>6984</v>
      </c>
      <c r="IXN12" t="s">
        <v>6984</v>
      </c>
      <c r="IXO12" t="s">
        <v>6984</v>
      </c>
      <c r="IXP12" t="s">
        <v>6984</v>
      </c>
      <c r="IXQ12" t="s">
        <v>6984</v>
      </c>
      <c r="IXR12" t="s">
        <v>6984</v>
      </c>
      <c r="IXS12" t="s">
        <v>6984</v>
      </c>
      <c r="IXT12" t="s">
        <v>6984</v>
      </c>
      <c r="IXU12" t="s">
        <v>6984</v>
      </c>
      <c r="IXV12" t="s">
        <v>6984</v>
      </c>
      <c r="IXW12" t="s">
        <v>6984</v>
      </c>
      <c r="IXX12" t="s">
        <v>6984</v>
      </c>
      <c r="IXY12" t="s">
        <v>6984</v>
      </c>
      <c r="IXZ12" t="s">
        <v>6984</v>
      </c>
      <c r="IYA12" t="s">
        <v>6984</v>
      </c>
      <c r="IYB12" t="s">
        <v>6984</v>
      </c>
      <c r="IYC12" t="s">
        <v>6984</v>
      </c>
      <c r="IYD12" t="s">
        <v>6984</v>
      </c>
      <c r="IYE12" t="s">
        <v>6984</v>
      </c>
      <c r="IYF12" t="s">
        <v>6984</v>
      </c>
      <c r="IYG12" t="s">
        <v>6984</v>
      </c>
      <c r="IYH12" t="s">
        <v>6984</v>
      </c>
      <c r="IYI12" t="s">
        <v>6984</v>
      </c>
      <c r="IYJ12" t="s">
        <v>6984</v>
      </c>
      <c r="IYK12" t="s">
        <v>6984</v>
      </c>
      <c r="IYL12" t="s">
        <v>6984</v>
      </c>
      <c r="IYM12" t="s">
        <v>6984</v>
      </c>
      <c r="IYN12" t="s">
        <v>6984</v>
      </c>
      <c r="IYO12" t="s">
        <v>6984</v>
      </c>
      <c r="IYP12" t="s">
        <v>6984</v>
      </c>
      <c r="IYQ12" t="s">
        <v>6984</v>
      </c>
      <c r="IYR12" t="s">
        <v>6984</v>
      </c>
      <c r="IYS12" t="s">
        <v>6984</v>
      </c>
      <c r="IYT12" t="s">
        <v>6984</v>
      </c>
      <c r="IYU12" t="s">
        <v>6984</v>
      </c>
      <c r="IYV12" t="s">
        <v>6984</v>
      </c>
      <c r="IYW12" t="s">
        <v>6984</v>
      </c>
      <c r="IYX12" t="s">
        <v>6984</v>
      </c>
      <c r="IYY12" t="s">
        <v>6984</v>
      </c>
      <c r="IYZ12" t="s">
        <v>6984</v>
      </c>
      <c r="IZA12" t="s">
        <v>6984</v>
      </c>
      <c r="IZB12" t="s">
        <v>6984</v>
      </c>
      <c r="IZC12" t="s">
        <v>6984</v>
      </c>
      <c r="IZD12" t="s">
        <v>6984</v>
      </c>
      <c r="IZE12" t="s">
        <v>6984</v>
      </c>
      <c r="IZF12" t="s">
        <v>6984</v>
      </c>
      <c r="IZG12" t="s">
        <v>6984</v>
      </c>
      <c r="IZH12" t="s">
        <v>6984</v>
      </c>
      <c r="IZI12" t="s">
        <v>6984</v>
      </c>
      <c r="IZJ12" t="s">
        <v>6984</v>
      </c>
      <c r="IZK12" t="s">
        <v>6984</v>
      </c>
      <c r="IZL12" t="s">
        <v>6984</v>
      </c>
      <c r="IZM12" t="s">
        <v>6984</v>
      </c>
      <c r="IZN12" t="s">
        <v>6984</v>
      </c>
      <c r="IZO12" t="s">
        <v>6984</v>
      </c>
      <c r="IZP12" t="s">
        <v>6984</v>
      </c>
      <c r="IZQ12" t="s">
        <v>6984</v>
      </c>
      <c r="IZR12" t="s">
        <v>6984</v>
      </c>
      <c r="IZS12" t="s">
        <v>6984</v>
      </c>
      <c r="IZT12" t="s">
        <v>6984</v>
      </c>
      <c r="IZU12" t="s">
        <v>6984</v>
      </c>
      <c r="IZV12" t="s">
        <v>6984</v>
      </c>
      <c r="IZW12" t="s">
        <v>6984</v>
      </c>
      <c r="IZX12" t="s">
        <v>6984</v>
      </c>
      <c r="IZY12" t="s">
        <v>6984</v>
      </c>
      <c r="IZZ12" t="s">
        <v>6984</v>
      </c>
      <c r="JAA12" t="s">
        <v>6984</v>
      </c>
      <c r="JAB12" t="s">
        <v>6984</v>
      </c>
      <c r="JAC12" t="s">
        <v>6984</v>
      </c>
      <c r="JAD12" t="s">
        <v>6984</v>
      </c>
      <c r="JAE12" t="s">
        <v>6984</v>
      </c>
      <c r="JAF12" t="s">
        <v>6984</v>
      </c>
      <c r="JAG12" t="s">
        <v>6984</v>
      </c>
      <c r="JAH12" t="s">
        <v>6984</v>
      </c>
      <c r="JAI12" t="s">
        <v>6984</v>
      </c>
      <c r="JAJ12" t="s">
        <v>6984</v>
      </c>
      <c r="JAK12" t="s">
        <v>6984</v>
      </c>
      <c r="JAL12" t="s">
        <v>6984</v>
      </c>
      <c r="JAM12" t="s">
        <v>6984</v>
      </c>
      <c r="JAN12" t="s">
        <v>6984</v>
      </c>
      <c r="JAO12" t="s">
        <v>6984</v>
      </c>
      <c r="JAP12" t="s">
        <v>6984</v>
      </c>
      <c r="JAQ12" t="s">
        <v>6984</v>
      </c>
      <c r="JAR12" t="s">
        <v>6984</v>
      </c>
      <c r="JAS12" t="s">
        <v>6984</v>
      </c>
      <c r="JAT12" t="s">
        <v>6984</v>
      </c>
      <c r="JAU12" t="s">
        <v>6984</v>
      </c>
      <c r="JAV12" t="s">
        <v>6984</v>
      </c>
      <c r="JAW12" t="s">
        <v>6984</v>
      </c>
      <c r="JAX12" t="s">
        <v>6984</v>
      </c>
      <c r="JAY12" t="s">
        <v>6984</v>
      </c>
      <c r="JAZ12" t="s">
        <v>6984</v>
      </c>
      <c r="JBA12" t="s">
        <v>6984</v>
      </c>
      <c r="JBB12" t="s">
        <v>6984</v>
      </c>
      <c r="JBC12" t="s">
        <v>6984</v>
      </c>
      <c r="JBD12" t="s">
        <v>6984</v>
      </c>
      <c r="JBE12" t="s">
        <v>6984</v>
      </c>
      <c r="JBF12" t="s">
        <v>6984</v>
      </c>
      <c r="JBG12" t="s">
        <v>6984</v>
      </c>
      <c r="JBH12" t="s">
        <v>6984</v>
      </c>
      <c r="JBI12" t="s">
        <v>6984</v>
      </c>
      <c r="JBJ12" t="s">
        <v>6984</v>
      </c>
      <c r="JBK12" t="s">
        <v>6984</v>
      </c>
      <c r="JBL12" t="s">
        <v>6984</v>
      </c>
      <c r="JBM12" t="s">
        <v>6984</v>
      </c>
      <c r="JBN12" t="s">
        <v>6984</v>
      </c>
      <c r="JBO12" t="s">
        <v>6984</v>
      </c>
      <c r="JBP12" t="s">
        <v>6984</v>
      </c>
      <c r="JBQ12" t="s">
        <v>6984</v>
      </c>
      <c r="JBR12" t="s">
        <v>6984</v>
      </c>
      <c r="JBS12" t="s">
        <v>6984</v>
      </c>
      <c r="JBT12" t="s">
        <v>6984</v>
      </c>
      <c r="JBU12" t="s">
        <v>6984</v>
      </c>
      <c r="JBV12" t="s">
        <v>6984</v>
      </c>
      <c r="JBW12" t="s">
        <v>6984</v>
      </c>
      <c r="JBX12" t="s">
        <v>6984</v>
      </c>
      <c r="JBY12" t="s">
        <v>6984</v>
      </c>
      <c r="JBZ12" t="s">
        <v>6984</v>
      </c>
      <c r="JCA12" t="s">
        <v>6984</v>
      </c>
      <c r="JCB12" t="s">
        <v>6984</v>
      </c>
      <c r="JCC12" t="s">
        <v>6984</v>
      </c>
      <c r="JCD12" t="s">
        <v>6984</v>
      </c>
      <c r="JCE12" t="s">
        <v>6984</v>
      </c>
      <c r="JCF12" t="s">
        <v>6984</v>
      </c>
      <c r="JCG12" t="s">
        <v>6984</v>
      </c>
      <c r="JCH12" t="s">
        <v>6984</v>
      </c>
      <c r="JCI12" t="s">
        <v>6984</v>
      </c>
      <c r="JCJ12" t="s">
        <v>6984</v>
      </c>
      <c r="JCK12" t="s">
        <v>6984</v>
      </c>
      <c r="JCL12" t="s">
        <v>6984</v>
      </c>
      <c r="JCM12" t="s">
        <v>6984</v>
      </c>
      <c r="JCN12" t="s">
        <v>6984</v>
      </c>
      <c r="JCO12" t="s">
        <v>6984</v>
      </c>
      <c r="JCP12" t="s">
        <v>6984</v>
      </c>
      <c r="JCQ12" t="s">
        <v>6984</v>
      </c>
      <c r="JCR12" t="s">
        <v>6984</v>
      </c>
      <c r="JCS12" t="s">
        <v>6984</v>
      </c>
      <c r="JCT12" t="s">
        <v>6984</v>
      </c>
      <c r="JCU12" t="s">
        <v>6984</v>
      </c>
      <c r="JCV12" t="s">
        <v>6984</v>
      </c>
      <c r="JCW12" t="s">
        <v>6984</v>
      </c>
      <c r="JCX12" t="s">
        <v>6984</v>
      </c>
      <c r="JCY12" t="s">
        <v>6984</v>
      </c>
      <c r="JCZ12" t="s">
        <v>6984</v>
      </c>
      <c r="JDA12" t="s">
        <v>6984</v>
      </c>
      <c r="JDB12" t="s">
        <v>6984</v>
      </c>
      <c r="JDC12" t="s">
        <v>6984</v>
      </c>
      <c r="JDD12" t="s">
        <v>6984</v>
      </c>
      <c r="JDE12" t="s">
        <v>6984</v>
      </c>
      <c r="JDF12" t="s">
        <v>6984</v>
      </c>
      <c r="JDG12" t="s">
        <v>6984</v>
      </c>
      <c r="JDH12" t="s">
        <v>6984</v>
      </c>
      <c r="JDI12" t="s">
        <v>6984</v>
      </c>
      <c r="JDJ12" t="s">
        <v>6984</v>
      </c>
      <c r="JDK12" t="s">
        <v>6984</v>
      </c>
      <c r="JDL12" t="s">
        <v>6984</v>
      </c>
      <c r="JDM12" t="s">
        <v>6984</v>
      </c>
      <c r="JDN12" t="s">
        <v>6984</v>
      </c>
      <c r="JDO12" t="s">
        <v>6984</v>
      </c>
      <c r="JDP12" t="s">
        <v>6984</v>
      </c>
      <c r="JDQ12" t="s">
        <v>6984</v>
      </c>
      <c r="JDR12" t="s">
        <v>6984</v>
      </c>
      <c r="JDS12" t="s">
        <v>6984</v>
      </c>
      <c r="JDT12" t="s">
        <v>6984</v>
      </c>
      <c r="JDU12" t="s">
        <v>6984</v>
      </c>
      <c r="JDV12" t="s">
        <v>6984</v>
      </c>
      <c r="JDW12" t="s">
        <v>6984</v>
      </c>
      <c r="JDX12" t="s">
        <v>6984</v>
      </c>
      <c r="JDY12" t="s">
        <v>6984</v>
      </c>
      <c r="JDZ12" t="s">
        <v>6984</v>
      </c>
      <c r="JEA12" t="s">
        <v>6984</v>
      </c>
      <c r="JEB12" t="s">
        <v>6984</v>
      </c>
      <c r="JEC12" t="s">
        <v>6984</v>
      </c>
      <c r="JED12" t="s">
        <v>6984</v>
      </c>
      <c r="JEE12" t="s">
        <v>6984</v>
      </c>
      <c r="JEF12" t="s">
        <v>6984</v>
      </c>
      <c r="JEG12" t="s">
        <v>6984</v>
      </c>
      <c r="JEH12" t="s">
        <v>6984</v>
      </c>
      <c r="JEI12" t="s">
        <v>6984</v>
      </c>
      <c r="JEJ12" t="s">
        <v>6984</v>
      </c>
      <c r="JEK12" t="s">
        <v>6984</v>
      </c>
      <c r="JEL12" t="s">
        <v>6984</v>
      </c>
      <c r="JEM12" t="s">
        <v>6984</v>
      </c>
      <c r="JEN12" t="s">
        <v>6984</v>
      </c>
      <c r="JEO12" t="s">
        <v>6984</v>
      </c>
      <c r="JEP12" t="s">
        <v>6984</v>
      </c>
      <c r="JEQ12" t="s">
        <v>6984</v>
      </c>
      <c r="JER12" t="s">
        <v>6984</v>
      </c>
      <c r="JES12" t="s">
        <v>6984</v>
      </c>
      <c r="JET12" t="s">
        <v>6984</v>
      </c>
      <c r="JEU12" t="s">
        <v>6984</v>
      </c>
      <c r="JEV12" t="s">
        <v>6984</v>
      </c>
      <c r="JEW12" t="s">
        <v>6984</v>
      </c>
      <c r="JEX12" t="s">
        <v>6984</v>
      </c>
      <c r="JEY12" t="s">
        <v>6984</v>
      </c>
      <c r="JEZ12" t="s">
        <v>6984</v>
      </c>
      <c r="JFA12" t="s">
        <v>6984</v>
      </c>
      <c r="JFB12" t="s">
        <v>6984</v>
      </c>
      <c r="JFC12" t="s">
        <v>6984</v>
      </c>
      <c r="JFD12" t="s">
        <v>6984</v>
      </c>
      <c r="JFE12" t="s">
        <v>6984</v>
      </c>
      <c r="JFF12" t="s">
        <v>6984</v>
      </c>
      <c r="JFG12" t="s">
        <v>6984</v>
      </c>
      <c r="JFH12" t="s">
        <v>6984</v>
      </c>
      <c r="JFI12" t="s">
        <v>6984</v>
      </c>
      <c r="JFJ12" t="s">
        <v>6984</v>
      </c>
      <c r="JFK12" t="s">
        <v>6984</v>
      </c>
      <c r="JFL12" t="s">
        <v>6984</v>
      </c>
      <c r="JFM12" t="s">
        <v>6984</v>
      </c>
      <c r="JFN12" t="s">
        <v>6984</v>
      </c>
      <c r="JFO12" t="s">
        <v>6984</v>
      </c>
      <c r="JFP12" t="s">
        <v>6984</v>
      </c>
      <c r="JFQ12" t="s">
        <v>6984</v>
      </c>
      <c r="JFR12" t="s">
        <v>6984</v>
      </c>
      <c r="JFS12" t="s">
        <v>6984</v>
      </c>
      <c r="JFT12" t="s">
        <v>6984</v>
      </c>
      <c r="JFU12" t="s">
        <v>6984</v>
      </c>
      <c r="JFV12" t="s">
        <v>6984</v>
      </c>
      <c r="JFW12" t="s">
        <v>6984</v>
      </c>
      <c r="JFX12" t="s">
        <v>6984</v>
      </c>
      <c r="JFY12" t="s">
        <v>6984</v>
      </c>
      <c r="JFZ12" t="s">
        <v>6984</v>
      </c>
      <c r="JGA12" t="s">
        <v>6984</v>
      </c>
      <c r="JGB12" t="s">
        <v>6984</v>
      </c>
      <c r="JGC12" t="s">
        <v>6984</v>
      </c>
      <c r="JGD12" t="s">
        <v>6984</v>
      </c>
      <c r="JGE12" t="s">
        <v>6984</v>
      </c>
      <c r="JGF12" t="s">
        <v>6984</v>
      </c>
      <c r="JGG12" t="s">
        <v>6984</v>
      </c>
      <c r="JGH12" t="s">
        <v>6984</v>
      </c>
      <c r="JGI12" t="s">
        <v>6984</v>
      </c>
      <c r="JGJ12" t="s">
        <v>6984</v>
      </c>
      <c r="JGK12" t="s">
        <v>6984</v>
      </c>
      <c r="JGL12" t="s">
        <v>6984</v>
      </c>
      <c r="JGM12" t="s">
        <v>6984</v>
      </c>
      <c r="JGN12" t="s">
        <v>6984</v>
      </c>
      <c r="JGO12" t="s">
        <v>6984</v>
      </c>
      <c r="JGP12" t="s">
        <v>6984</v>
      </c>
      <c r="JGQ12" t="s">
        <v>6984</v>
      </c>
      <c r="JGR12" t="s">
        <v>6984</v>
      </c>
      <c r="JGS12" t="s">
        <v>6984</v>
      </c>
      <c r="JGT12" t="s">
        <v>6984</v>
      </c>
      <c r="JGU12" t="s">
        <v>6984</v>
      </c>
      <c r="JGV12" t="s">
        <v>6984</v>
      </c>
      <c r="JGW12" t="s">
        <v>6984</v>
      </c>
      <c r="JGX12" t="s">
        <v>6984</v>
      </c>
      <c r="JGY12" t="s">
        <v>6984</v>
      </c>
      <c r="JGZ12" t="s">
        <v>6984</v>
      </c>
      <c r="JHA12" t="s">
        <v>6984</v>
      </c>
      <c r="JHB12" t="s">
        <v>6984</v>
      </c>
      <c r="JHC12" t="s">
        <v>6984</v>
      </c>
      <c r="JHD12" t="s">
        <v>6984</v>
      </c>
      <c r="JHE12" t="s">
        <v>6984</v>
      </c>
      <c r="JHF12" t="s">
        <v>6984</v>
      </c>
      <c r="JHG12" t="s">
        <v>6984</v>
      </c>
      <c r="JHH12" t="s">
        <v>6984</v>
      </c>
      <c r="JHI12" t="s">
        <v>6984</v>
      </c>
      <c r="JHJ12" t="s">
        <v>6984</v>
      </c>
      <c r="JHK12" t="s">
        <v>6984</v>
      </c>
      <c r="JHL12" t="s">
        <v>6984</v>
      </c>
      <c r="JHM12" t="s">
        <v>6984</v>
      </c>
      <c r="JHN12" t="s">
        <v>6984</v>
      </c>
      <c r="JHO12" t="s">
        <v>6984</v>
      </c>
      <c r="JHP12" t="s">
        <v>6984</v>
      </c>
      <c r="JHQ12" t="s">
        <v>6984</v>
      </c>
      <c r="JHR12" t="s">
        <v>6984</v>
      </c>
      <c r="JHS12" t="s">
        <v>6984</v>
      </c>
      <c r="JHT12" t="s">
        <v>6984</v>
      </c>
      <c r="JHU12" t="s">
        <v>6984</v>
      </c>
      <c r="JHV12" t="s">
        <v>6984</v>
      </c>
      <c r="JHW12" t="s">
        <v>6984</v>
      </c>
      <c r="JHX12" t="s">
        <v>6984</v>
      </c>
      <c r="JHY12" t="s">
        <v>6984</v>
      </c>
      <c r="JHZ12" t="s">
        <v>6984</v>
      </c>
      <c r="JIA12" t="s">
        <v>6984</v>
      </c>
      <c r="JIB12" t="s">
        <v>6984</v>
      </c>
      <c r="JIC12" t="s">
        <v>6984</v>
      </c>
      <c r="JID12" t="s">
        <v>6984</v>
      </c>
      <c r="JIE12" t="s">
        <v>6984</v>
      </c>
      <c r="JIF12" t="s">
        <v>6984</v>
      </c>
      <c r="JIG12" t="s">
        <v>6984</v>
      </c>
      <c r="JIH12" t="s">
        <v>6984</v>
      </c>
      <c r="JII12" t="s">
        <v>6984</v>
      </c>
      <c r="JIJ12" t="s">
        <v>6984</v>
      </c>
      <c r="JIK12" t="s">
        <v>6984</v>
      </c>
      <c r="JIL12" t="s">
        <v>6984</v>
      </c>
      <c r="JIM12" t="s">
        <v>6984</v>
      </c>
      <c r="JIN12" t="s">
        <v>6984</v>
      </c>
      <c r="JIO12" t="s">
        <v>6984</v>
      </c>
      <c r="JIP12" t="s">
        <v>6984</v>
      </c>
      <c r="JIQ12" t="s">
        <v>6984</v>
      </c>
      <c r="JIR12" t="s">
        <v>6984</v>
      </c>
      <c r="JIS12" t="s">
        <v>6984</v>
      </c>
      <c r="JIT12" t="s">
        <v>6984</v>
      </c>
      <c r="JIU12" t="s">
        <v>6984</v>
      </c>
      <c r="JIV12" t="s">
        <v>6984</v>
      </c>
      <c r="JIW12" t="s">
        <v>6984</v>
      </c>
      <c r="JIX12" t="s">
        <v>6984</v>
      </c>
      <c r="JIY12" t="s">
        <v>6984</v>
      </c>
      <c r="JIZ12" t="s">
        <v>6984</v>
      </c>
      <c r="JJA12" t="s">
        <v>6984</v>
      </c>
    </row>
    <row r="13" spans="1:7021" x14ac:dyDescent="0.25">
      <c r="A13" t="s">
        <v>6994</v>
      </c>
      <c r="B13">
        <v>96.564999999999998</v>
      </c>
      <c r="C13">
        <v>96.564999999999998</v>
      </c>
      <c r="D13">
        <v>96.564999999999998</v>
      </c>
      <c r="E13">
        <v>96.625</v>
      </c>
      <c r="F13">
        <v>96.57</v>
      </c>
      <c r="G13">
        <v>96.575000000000003</v>
      </c>
      <c r="H13">
        <v>96.63</v>
      </c>
      <c r="I13">
        <v>96.58</v>
      </c>
      <c r="J13">
        <v>96.504999999999995</v>
      </c>
      <c r="K13">
        <v>96.504999999999995</v>
      </c>
      <c r="L13">
        <v>96.46</v>
      </c>
      <c r="M13">
        <v>96.605000000000004</v>
      </c>
      <c r="N13">
        <v>96.67</v>
      </c>
      <c r="O13">
        <v>96.584999999999994</v>
      </c>
      <c r="P13">
        <v>96.605000000000004</v>
      </c>
      <c r="Q13">
        <v>96.65</v>
      </c>
      <c r="R13">
        <v>96.63</v>
      </c>
      <c r="S13">
        <v>96.575000000000003</v>
      </c>
      <c r="T13">
        <v>96.62</v>
      </c>
      <c r="U13">
        <v>96.54</v>
      </c>
      <c r="V13">
        <v>96.54</v>
      </c>
      <c r="W13">
        <v>96.495000000000005</v>
      </c>
      <c r="X13">
        <v>96.45</v>
      </c>
      <c r="Y13">
        <v>96.534999999999997</v>
      </c>
      <c r="Z13">
        <v>96.51</v>
      </c>
      <c r="AA13">
        <v>96.504999999999995</v>
      </c>
      <c r="AB13">
        <v>96.484999999999999</v>
      </c>
      <c r="AC13">
        <v>96.385000000000005</v>
      </c>
      <c r="AD13">
        <v>96.42</v>
      </c>
      <c r="AE13">
        <v>96.435000000000002</v>
      </c>
      <c r="AF13">
        <v>96.584999999999994</v>
      </c>
      <c r="AG13">
        <v>96.58</v>
      </c>
      <c r="AH13">
        <v>96.734999999999999</v>
      </c>
      <c r="AI13">
        <v>96.715000000000003</v>
      </c>
      <c r="AJ13">
        <v>96.66</v>
      </c>
      <c r="AK13">
        <v>96.655000000000001</v>
      </c>
      <c r="AL13">
        <v>96.784999999999997</v>
      </c>
      <c r="AM13">
        <v>96.844999999999999</v>
      </c>
      <c r="AN13">
        <v>96.805000000000007</v>
      </c>
      <c r="AO13">
        <v>96.765000000000001</v>
      </c>
      <c r="AP13">
        <v>96.685000000000002</v>
      </c>
      <c r="AQ13">
        <v>96.64</v>
      </c>
      <c r="AR13">
        <v>96.555000000000007</v>
      </c>
      <c r="AS13">
        <v>96.614999999999995</v>
      </c>
      <c r="AT13">
        <v>96.644999999999996</v>
      </c>
      <c r="AU13">
        <v>96.635000000000005</v>
      </c>
      <c r="AV13">
        <v>96.635000000000005</v>
      </c>
      <c r="AW13">
        <v>96.644999999999996</v>
      </c>
      <c r="AX13">
        <v>96.57</v>
      </c>
      <c r="AY13">
        <v>96.54</v>
      </c>
      <c r="AZ13">
        <v>96.38</v>
      </c>
      <c r="BA13">
        <v>96.52</v>
      </c>
      <c r="BB13">
        <v>96.415000000000006</v>
      </c>
      <c r="BC13">
        <v>96.65</v>
      </c>
      <c r="BD13">
        <v>96.685000000000002</v>
      </c>
      <c r="BE13">
        <v>96.805000000000007</v>
      </c>
      <c r="BF13">
        <v>96.75</v>
      </c>
      <c r="BG13">
        <v>96.515000000000001</v>
      </c>
      <c r="BH13">
        <v>96.56</v>
      </c>
      <c r="BI13">
        <v>96.484999999999999</v>
      </c>
      <c r="BJ13">
        <v>96.495000000000005</v>
      </c>
      <c r="BK13">
        <v>96.375</v>
      </c>
      <c r="BL13">
        <v>96.38</v>
      </c>
      <c r="BM13">
        <v>96.4</v>
      </c>
      <c r="BN13">
        <v>96.35</v>
      </c>
      <c r="BO13">
        <v>96.435000000000002</v>
      </c>
      <c r="BP13">
        <v>96.424999999999997</v>
      </c>
      <c r="BQ13">
        <v>96.405000000000001</v>
      </c>
      <c r="BR13">
        <v>96.385000000000005</v>
      </c>
      <c r="BS13">
        <v>96.35</v>
      </c>
      <c r="BT13">
        <v>96.364999999999995</v>
      </c>
      <c r="BU13">
        <v>96.424999999999997</v>
      </c>
      <c r="BV13">
        <v>96.37</v>
      </c>
      <c r="BW13">
        <v>96.41</v>
      </c>
      <c r="BX13">
        <v>96.474999999999994</v>
      </c>
      <c r="BY13">
        <v>96.334999999999994</v>
      </c>
      <c r="BZ13">
        <v>96.37</v>
      </c>
      <c r="CA13">
        <v>96.364999999999995</v>
      </c>
      <c r="CB13">
        <v>96.44</v>
      </c>
      <c r="CC13">
        <v>96.45</v>
      </c>
      <c r="CD13">
        <v>96.415000000000006</v>
      </c>
      <c r="CE13">
        <v>96.34</v>
      </c>
      <c r="CF13">
        <v>96.37</v>
      </c>
      <c r="CG13">
        <v>96.305000000000007</v>
      </c>
      <c r="CH13">
        <v>96.174999999999997</v>
      </c>
      <c r="CI13">
        <v>96.135000000000005</v>
      </c>
      <c r="CJ13">
        <v>96.045000000000002</v>
      </c>
      <c r="CK13">
        <v>96.01</v>
      </c>
      <c r="CL13">
        <v>95.99</v>
      </c>
      <c r="CM13">
        <v>96.055000000000007</v>
      </c>
      <c r="CN13">
        <v>96.055000000000007</v>
      </c>
      <c r="CO13">
        <v>95.98</v>
      </c>
      <c r="CP13">
        <v>95.87</v>
      </c>
      <c r="CQ13">
        <v>96.01</v>
      </c>
      <c r="CR13">
        <v>96.055000000000007</v>
      </c>
      <c r="CS13">
        <v>96.045000000000002</v>
      </c>
      <c r="CT13">
        <v>96.114999999999995</v>
      </c>
      <c r="CU13">
        <v>96.165000000000006</v>
      </c>
      <c r="CV13">
        <v>96.075000000000003</v>
      </c>
      <c r="CW13">
        <v>96.02</v>
      </c>
      <c r="CX13">
        <v>96.01</v>
      </c>
      <c r="CY13">
        <v>96.064999999999998</v>
      </c>
      <c r="CZ13">
        <v>96.025000000000006</v>
      </c>
      <c r="DA13">
        <v>96.034999999999997</v>
      </c>
      <c r="DB13">
        <v>96.055000000000007</v>
      </c>
      <c r="DC13">
        <v>95.944999999999993</v>
      </c>
      <c r="DD13">
        <v>95.935000000000002</v>
      </c>
      <c r="DE13">
        <v>95.935000000000002</v>
      </c>
      <c r="DF13">
        <v>95.96</v>
      </c>
      <c r="DG13">
        <v>95.944999999999993</v>
      </c>
      <c r="DH13">
        <v>95.944999999999993</v>
      </c>
      <c r="DI13">
        <v>95.97</v>
      </c>
      <c r="DJ13">
        <v>95.915000000000006</v>
      </c>
      <c r="DK13">
        <v>95.75</v>
      </c>
      <c r="DL13">
        <v>95.73</v>
      </c>
      <c r="DM13">
        <v>95.754999999999995</v>
      </c>
      <c r="DN13">
        <v>95.924999999999997</v>
      </c>
      <c r="DO13">
        <v>95.894999999999996</v>
      </c>
      <c r="DP13">
        <v>95.89</v>
      </c>
      <c r="DQ13">
        <v>95.944999999999993</v>
      </c>
      <c r="DR13">
        <v>95.984999999999999</v>
      </c>
      <c r="DS13">
        <v>96.02</v>
      </c>
      <c r="DT13">
        <v>96.01</v>
      </c>
      <c r="DU13">
        <v>96.01</v>
      </c>
      <c r="DV13">
        <v>96.03</v>
      </c>
      <c r="DW13">
        <v>95.94</v>
      </c>
      <c r="DX13">
        <v>95.974999999999994</v>
      </c>
      <c r="DY13">
        <v>95.96</v>
      </c>
      <c r="DZ13">
        <v>95.96</v>
      </c>
      <c r="EA13">
        <v>95.95</v>
      </c>
      <c r="EB13">
        <v>96.025000000000006</v>
      </c>
      <c r="EC13">
        <v>95.97</v>
      </c>
      <c r="ED13">
        <v>96.04</v>
      </c>
      <c r="EE13">
        <v>96.165000000000006</v>
      </c>
      <c r="EF13">
        <v>96.15</v>
      </c>
      <c r="EG13">
        <v>96.174999999999997</v>
      </c>
      <c r="EH13">
        <v>96.245000000000005</v>
      </c>
      <c r="EI13">
        <v>96.295000000000002</v>
      </c>
      <c r="EJ13">
        <v>96.35</v>
      </c>
      <c r="EK13">
        <v>96.375</v>
      </c>
      <c r="EL13">
        <v>96.41</v>
      </c>
      <c r="EM13">
        <v>96.375</v>
      </c>
      <c r="EN13">
        <v>96.39</v>
      </c>
      <c r="EO13">
        <v>96.35</v>
      </c>
      <c r="EP13">
        <v>96.38</v>
      </c>
      <c r="EQ13">
        <v>96.39</v>
      </c>
      <c r="ER13">
        <v>96.344999999999999</v>
      </c>
      <c r="ES13">
        <v>96.344999999999999</v>
      </c>
      <c r="ET13">
        <v>96.265000000000001</v>
      </c>
      <c r="EU13">
        <v>96.3</v>
      </c>
      <c r="EV13">
        <v>96.174999999999997</v>
      </c>
      <c r="EW13">
        <v>96.155000000000001</v>
      </c>
      <c r="EX13">
        <v>96.194999999999993</v>
      </c>
      <c r="EY13">
        <v>96.224999999999994</v>
      </c>
      <c r="EZ13">
        <v>96.19</v>
      </c>
      <c r="FA13">
        <v>96.174999999999997</v>
      </c>
      <c r="FB13">
        <v>96.17</v>
      </c>
      <c r="FC13">
        <v>96.155000000000001</v>
      </c>
      <c r="FD13">
        <v>96.155000000000001</v>
      </c>
      <c r="FE13">
        <v>96.19</v>
      </c>
      <c r="FF13">
        <v>96.265000000000001</v>
      </c>
      <c r="FG13">
        <v>96.26</v>
      </c>
      <c r="FH13">
        <v>96.19</v>
      </c>
      <c r="FI13">
        <v>96.31</v>
      </c>
      <c r="FJ13">
        <v>96.314999999999998</v>
      </c>
      <c r="FK13">
        <v>96.284999999999997</v>
      </c>
      <c r="FL13">
        <v>96.325000000000003</v>
      </c>
      <c r="FM13">
        <v>96.35</v>
      </c>
      <c r="FN13">
        <v>96.39</v>
      </c>
      <c r="FO13">
        <v>96.375</v>
      </c>
      <c r="FP13">
        <v>96.43</v>
      </c>
      <c r="FQ13">
        <v>96.46</v>
      </c>
      <c r="FR13">
        <v>96.42</v>
      </c>
      <c r="FS13">
        <v>96.495000000000005</v>
      </c>
      <c r="FT13">
        <v>96.53</v>
      </c>
      <c r="FU13">
        <v>96.64</v>
      </c>
      <c r="FV13">
        <v>96.614999999999995</v>
      </c>
      <c r="FW13">
        <v>96.674999999999997</v>
      </c>
      <c r="FX13">
        <v>96.66</v>
      </c>
      <c r="FY13">
        <v>96.59</v>
      </c>
      <c r="FZ13">
        <v>96.644999999999996</v>
      </c>
      <c r="GA13">
        <v>96.594999999999999</v>
      </c>
      <c r="GB13">
        <v>96.605000000000004</v>
      </c>
      <c r="GC13">
        <v>96.64</v>
      </c>
      <c r="GD13">
        <v>96.64</v>
      </c>
      <c r="GE13">
        <v>96.7</v>
      </c>
      <c r="GF13">
        <v>96.88</v>
      </c>
      <c r="GG13">
        <v>96.96</v>
      </c>
      <c r="GH13">
        <v>96.995000000000005</v>
      </c>
      <c r="GI13">
        <v>96.93</v>
      </c>
      <c r="GJ13">
        <v>96.98</v>
      </c>
      <c r="GK13">
        <v>96.93</v>
      </c>
      <c r="GL13">
        <v>96.96</v>
      </c>
      <c r="GM13">
        <v>97</v>
      </c>
      <c r="GN13">
        <v>96.98</v>
      </c>
      <c r="GO13">
        <v>96.995000000000005</v>
      </c>
      <c r="GP13">
        <v>96.995000000000005</v>
      </c>
      <c r="GQ13">
        <v>97.03</v>
      </c>
      <c r="GR13">
        <v>97.114999999999995</v>
      </c>
      <c r="GS13">
        <v>97.14</v>
      </c>
      <c r="GT13">
        <v>97.144999999999996</v>
      </c>
      <c r="GU13">
        <v>97.14</v>
      </c>
      <c r="GV13">
        <v>97.17</v>
      </c>
      <c r="GW13">
        <v>97.174999999999997</v>
      </c>
      <c r="GX13">
        <v>97.12</v>
      </c>
      <c r="GY13">
        <v>97.114999999999995</v>
      </c>
      <c r="GZ13">
        <v>97.055000000000007</v>
      </c>
      <c r="HA13">
        <v>97.034999999999997</v>
      </c>
      <c r="HB13">
        <v>96.954999999999998</v>
      </c>
      <c r="HC13">
        <v>96.89</v>
      </c>
      <c r="HD13">
        <v>96.89</v>
      </c>
      <c r="HE13">
        <v>96.94</v>
      </c>
      <c r="HF13">
        <v>96.96</v>
      </c>
      <c r="HG13">
        <v>96.96</v>
      </c>
      <c r="HH13">
        <v>96.954999999999998</v>
      </c>
      <c r="HI13">
        <v>96.96</v>
      </c>
      <c r="HJ13">
        <v>96.875</v>
      </c>
      <c r="HK13">
        <v>96.96</v>
      </c>
      <c r="HL13">
        <v>96.905000000000001</v>
      </c>
      <c r="HM13">
        <v>96.84</v>
      </c>
      <c r="HN13">
        <v>96.825000000000003</v>
      </c>
      <c r="HO13">
        <v>96.8</v>
      </c>
      <c r="HP13">
        <v>96.944999999999993</v>
      </c>
      <c r="HQ13">
        <v>96.92</v>
      </c>
      <c r="HR13">
        <v>96.86</v>
      </c>
      <c r="HS13">
        <v>96.8</v>
      </c>
      <c r="HT13">
        <v>96.77</v>
      </c>
      <c r="HU13">
        <v>96.805000000000007</v>
      </c>
      <c r="HV13">
        <v>96.88</v>
      </c>
      <c r="HW13">
        <v>96.96</v>
      </c>
      <c r="HX13">
        <v>96.984999999999999</v>
      </c>
      <c r="HY13">
        <v>96.775000000000006</v>
      </c>
      <c r="HZ13">
        <v>96.63</v>
      </c>
      <c r="IA13">
        <v>96.6</v>
      </c>
      <c r="IB13">
        <v>96.564999999999998</v>
      </c>
      <c r="IC13">
        <v>96.55</v>
      </c>
      <c r="ID13">
        <v>96.484999999999999</v>
      </c>
      <c r="IE13">
        <v>96.484999999999999</v>
      </c>
      <c r="IF13">
        <v>96.484999999999999</v>
      </c>
      <c r="IG13">
        <v>96.454999999999998</v>
      </c>
      <c r="IH13">
        <v>96.465000000000003</v>
      </c>
      <c r="II13">
        <v>96.534999999999997</v>
      </c>
      <c r="IJ13">
        <v>96.584999999999994</v>
      </c>
      <c r="IK13">
        <v>96.55</v>
      </c>
      <c r="IL13">
        <v>96.515000000000001</v>
      </c>
      <c r="IM13">
        <v>96.54</v>
      </c>
      <c r="IN13">
        <v>96.52</v>
      </c>
      <c r="IO13">
        <v>96.39</v>
      </c>
      <c r="IP13">
        <v>96.38</v>
      </c>
      <c r="IQ13">
        <v>96.4</v>
      </c>
      <c r="IR13">
        <v>96.405000000000001</v>
      </c>
      <c r="IS13">
        <v>96.3</v>
      </c>
      <c r="IT13">
        <v>96.3</v>
      </c>
      <c r="IU13">
        <v>96.2</v>
      </c>
      <c r="IV13">
        <v>96.144999999999996</v>
      </c>
      <c r="IW13">
        <v>96.29</v>
      </c>
      <c r="IX13">
        <v>96.314999999999998</v>
      </c>
      <c r="IY13">
        <v>96.28</v>
      </c>
      <c r="IZ13">
        <v>96.37</v>
      </c>
      <c r="JA13">
        <v>96.37</v>
      </c>
      <c r="JB13">
        <v>96.36</v>
      </c>
      <c r="JC13">
        <v>96.36</v>
      </c>
      <c r="JD13">
        <v>96.37</v>
      </c>
      <c r="JE13">
        <v>96.37</v>
      </c>
      <c r="JF13">
        <v>96.295000000000002</v>
      </c>
      <c r="JG13">
        <v>96.38</v>
      </c>
      <c r="JH13">
        <v>96.36</v>
      </c>
      <c r="JI13">
        <v>96.275000000000006</v>
      </c>
      <c r="JJ13">
        <v>96.135000000000005</v>
      </c>
      <c r="JK13">
        <v>96.06</v>
      </c>
      <c r="JL13">
        <v>96.105000000000004</v>
      </c>
      <c r="JM13">
        <v>96.275000000000006</v>
      </c>
      <c r="JN13">
        <v>96.254999999999995</v>
      </c>
      <c r="JO13">
        <v>96.215000000000003</v>
      </c>
      <c r="JP13">
        <v>96.135000000000005</v>
      </c>
      <c r="JQ13">
        <v>96.02</v>
      </c>
      <c r="JR13">
        <v>95.96</v>
      </c>
      <c r="JS13">
        <v>95.88</v>
      </c>
      <c r="JT13">
        <v>95.954999999999998</v>
      </c>
      <c r="JU13">
        <v>96.004999999999995</v>
      </c>
      <c r="JV13">
        <v>96.004999999999995</v>
      </c>
      <c r="JW13">
        <v>96.01</v>
      </c>
      <c r="JX13">
        <v>96.08</v>
      </c>
      <c r="JY13">
        <v>96.12</v>
      </c>
      <c r="JZ13">
        <v>96.094999999999999</v>
      </c>
      <c r="KA13">
        <v>96.1</v>
      </c>
      <c r="KB13">
        <v>96.16</v>
      </c>
      <c r="KC13">
        <v>96.204999999999998</v>
      </c>
      <c r="KD13">
        <v>96.08</v>
      </c>
      <c r="KE13">
        <v>96.025000000000006</v>
      </c>
      <c r="KF13">
        <v>95.995000000000005</v>
      </c>
      <c r="KG13">
        <v>96.06</v>
      </c>
      <c r="KH13">
        <v>96.02</v>
      </c>
      <c r="KI13">
        <v>96.06</v>
      </c>
      <c r="KJ13">
        <v>96.05</v>
      </c>
      <c r="KK13">
        <v>96.045000000000002</v>
      </c>
      <c r="KL13">
        <v>95.944999999999993</v>
      </c>
      <c r="KM13">
        <v>95.894999999999996</v>
      </c>
      <c r="KN13">
        <v>95.78</v>
      </c>
      <c r="KO13">
        <v>95.864999999999995</v>
      </c>
      <c r="KP13">
        <v>95.805000000000007</v>
      </c>
      <c r="KQ13">
        <v>95.775000000000006</v>
      </c>
      <c r="KR13">
        <v>95.84</v>
      </c>
      <c r="KS13">
        <v>95.894999999999996</v>
      </c>
      <c r="KT13">
        <v>95.855000000000004</v>
      </c>
      <c r="KU13">
        <v>95.86</v>
      </c>
      <c r="KV13">
        <v>95.83</v>
      </c>
      <c r="KW13">
        <v>95.915000000000006</v>
      </c>
      <c r="KX13">
        <v>95.83</v>
      </c>
      <c r="KY13">
        <v>95.88</v>
      </c>
      <c r="KZ13">
        <v>96</v>
      </c>
      <c r="LA13">
        <v>95.9</v>
      </c>
      <c r="LB13">
        <v>95.905000000000001</v>
      </c>
      <c r="LC13">
        <v>96.174999999999997</v>
      </c>
      <c r="LD13">
        <v>96.12</v>
      </c>
      <c r="LE13">
        <v>96.21</v>
      </c>
      <c r="LF13">
        <v>96.29</v>
      </c>
      <c r="LG13">
        <v>96.25</v>
      </c>
      <c r="LH13">
        <v>96.23</v>
      </c>
      <c r="LI13">
        <v>96.25</v>
      </c>
      <c r="LJ13">
        <v>96.405000000000001</v>
      </c>
      <c r="LK13">
        <v>96.405000000000001</v>
      </c>
      <c r="LL13">
        <v>96.415000000000006</v>
      </c>
      <c r="LM13">
        <v>96.37</v>
      </c>
      <c r="LN13">
        <v>96.344999999999999</v>
      </c>
      <c r="LO13">
        <v>96.385000000000005</v>
      </c>
      <c r="LP13">
        <v>96.32</v>
      </c>
      <c r="LQ13">
        <v>96.33</v>
      </c>
      <c r="LR13">
        <v>96.26</v>
      </c>
      <c r="LS13">
        <v>96.194999999999993</v>
      </c>
      <c r="LT13">
        <v>96.23</v>
      </c>
      <c r="LU13">
        <v>96.28</v>
      </c>
      <c r="LV13">
        <v>96.43</v>
      </c>
      <c r="LW13">
        <v>96.454999999999998</v>
      </c>
      <c r="LX13">
        <v>96.53</v>
      </c>
      <c r="LY13">
        <v>96.56</v>
      </c>
      <c r="LZ13">
        <v>96.534999999999997</v>
      </c>
      <c r="MA13">
        <v>96.495000000000005</v>
      </c>
      <c r="MB13">
        <v>96.48</v>
      </c>
      <c r="MC13">
        <v>96.4</v>
      </c>
      <c r="MD13">
        <v>96.444999999999993</v>
      </c>
      <c r="ME13">
        <v>96.34</v>
      </c>
      <c r="MF13">
        <v>96.34</v>
      </c>
      <c r="MG13">
        <v>96.295000000000002</v>
      </c>
      <c r="MH13">
        <v>96.295000000000002</v>
      </c>
      <c r="MI13">
        <v>96.33</v>
      </c>
      <c r="MJ13">
        <v>96.28</v>
      </c>
      <c r="MK13">
        <v>96.305000000000007</v>
      </c>
      <c r="ML13">
        <v>96.355000000000004</v>
      </c>
      <c r="MM13">
        <v>96.31</v>
      </c>
      <c r="MN13">
        <v>96.31</v>
      </c>
      <c r="MO13">
        <v>96.38</v>
      </c>
      <c r="MP13">
        <v>96.35</v>
      </c>
      <c r="MQ13">
        <v>96.275000000000006</v>
      </c>
      <c r="MR13">
        <v>96.495000000000005</v>
      </c>
      <c r="MS13">
        <v>96.454999999999998</v>
      </c>
      <c r="MT13">
        <v>96.495000000000005</v>
      </c>
      <c r="MU13">
        <v>96.57</v>
      </c>
      <c r="MV13">
        <v>96.594999999999999</v>
      </c>
      <c r="MW13">
        <v>96.504999999999995</v>
      </c>
      <c r="MX13">
        <v>96.644999999999996</v>
      </c>
      <c r="MY13">
        <v>96.84</v>
      </c>
      <c r="MZ13">
        <v>96.754999999999995</v>
      </c>
      <c r="NA13">
        <v>96.635000000000005</v>
      </c>
      <c r="NB13">
        <v>96.65</v>
      </c>
      <c r="NC13">
        <v>96.57</v>
      </c>
      <c r="ND13">
        <v>96.614999999999995</v>
      </c>
      <c r="NE13">
        <v>96.555000000000007</v>
      </c>
      <c r="NF13">
        <v>96.594999999999999</v>
      </c>
      <c r="NG13">
        <v>96.625</v>
      </c>
      <c r="NH13">
        <v>96.56</v>
      </c>
      <c r="NI13">
        <v>96.58</v>
      </c>
      <c r="NJ13">
        <v>96.62</v>
      </c>
      <c r="NK13">
        <v>96.715000000000003</v>
      </c>
      <c r="NL13">
        <v>96.814999999999998</v>
      </c>
      <c r="NM13">
        <v>96.814999999999998</v>
      </c>
      <c r="NN13">
        <v>96.775000000000006</v>
      </c>
      <c r="NO13">
        <v>96.68</v>
      </c>
      <c r="NP13">
        <v>96.685000000000002</v>
      </c>
      <c r="NQ13">
        <v>96.704999999999998</v>
      </c>
      <c r="NR13">
        <v>96.68</v>
      </c>
      <c r="NS13">
        <v>96.715000000000003</v>
      </c>
      <c r="NT13">
        <v>96.83</v>
      </c>
      <c r="NU13">
        <v>96.795000000000002</v>
      </c>
      <c r="NV13">
        <v>96.91</v>
      </c>
      <c r="NW13">
        <v>96.91</v>
      </c>
      <c r="NX13">
        <v>96.885000000000005</v>
      </c>
      <c r="NY13">
        <v>96.93</v>
      </c>
      <c r="NZ13">
        <v>96.84</v>
      </c>
      <c r="OA13">
        <v>96.814999999999998</v>
      </c>
      <c r="OB13">
        <v>96.814999999999998</v>
      </c>
      <c r="OC13">
        <v>96.83</v>
      </c>
      <c r="OD13">
        <v>96.82</v>
      </c>
      <c r="OE13">
        <v>96.76</v>
      </c>
      <c r="OF13">
        <v>96.745000000000005</v>
      </c>
      <c r="OG13">
        <v>96.775000000000006</v>
      </c>
      <c r="OH13">
        <v>96.784999999999997</v>
      </c>
      <c r="OI13">
        <v>96.68</v>
      </c>
      <c r="OJ13">
        <v>96.484999999999999</v>
      </c>
      <c r="OK13">
        <v>96.444999999999993</v>
      </c>
      <c r="OL13">
        <v>96.46</v>
      </c>
      <c r="OM13">
        <v>96.62</v>
      </c>
      <c r="ON13">
        <v>96.614999999999995</v>
      </c>
      <c r="OO13">
        <v>96.6</v>
      </c>
      <c r="OP13">
        <v>96.484999999999999</v>
      </c>
      <c r="OQ13">
        <v>96.545000000000002</v>
      </c>
      <c r="OR13">
        <v>96.41</v>
      </c>
      <c r="OS13">
        <v>96.495000000000005</v>
      </c>
      <c r="OT13">
        <v>96.45</v>
      </c>
      <c r="OU13">
        <v>96.31</v>
      </c>
      <c r="OV13">
        <v>96.204999999999998</v>
      </c>
      <c r="OW13">
        <v>96.27</v>
      </c>
      <c r="OX13">
        <v>96.27</v>
      </c>
      <c r="OY13">
        <v>96.29</v>
      </c>
      <c r="OZ13">
        <v>96.254999999999995</v>
      </c>
      <c r="PA13">
        <v>96.224999999999994</v>
      </c>
      <c r="PB13">
        <v>96.265000000000001</v>
      </c>
      <c r="PC13">
        <v>96.14</v>
      </c>
      <c r="PD13">
        <v>96.26</v>
      </c>
      <c r="PE13">
        <v>95.99</v>
      </c>
      <c r="PF13">
        <v>95.99</v>
      </c>
      <c r="PG13">
        <v>96.034999999999997</v>
      </c>
      <c r="PH13">
        <v>96.15</v>
      </c>
      <c r="PI13">
        <v>96.14</v>
      </c>
      <c r="PJ13">
        <v>96.064999999999998</v>
      </c>
      <c r="PK13">
        <v>96.19</v>
      </c>
      <c r="PL13">
        <v>96.02</v>
      </c>
      <c r="PM13">
        <v>95.974999999999994</v>
      </c>
      <c r="PN13">
        <v>95.85</v>
      </c>
      <c r="PO13">
        <v>95.864999999999995</v>
      </c>
      <c r="PP13">
        <v>95.88</v>
      </c>
      <c r="PQ13">
        <v>95.825000000000003</v>
      </c>
      <c r="PR13">
        <v>95.685000000000002</v>
      </c>
      <c r="PS13">
        <v>95.79</v>
      </c>
      <c r="PT13">
        <v>95.84</v>
      </c>
      <c r="PU13">
        <v>95.734999999999999</v>
      </c>
      <c r="PV13">
        <v>95.594999999999999</v>
      </c>
      <c r="PW13">
        <v>95.64</v>
      </c>
      <c r="PX13">
        <v>95.72</v>
      </c>
      <c r="PY13">
        <v>95.905000000000001</v>
      </c>
      <c r="PZ13">
        <v>95.984999999999999</v>
      </c>
      <c r="QA13">
        <v>95.924999999999997</v>
      </c>
      <c r="QB13">
        <v>96.03</v>
      </c>
      <c r="QC13">
        <v>96.015000000000001</v>
      </c>
      <c r="QD13">
        <v>96.06</v>
      </c>
      <c r="QE13">
        <v>95.885000000000005</v>
      </c>
      <c r="QF13">
        <v>95.95</v>
      </c>
      <c r="QG13">
        <v>95.905000000000001</v>
      </c>
      <c r="QH13">
        <v>95.834999999999994</v>
      </c>
      <c r="QI13">
        <v>95.94</v>
      </c>
      <c r="QJ13">
        <v>96.06</v>
      </c>
      <c r="QK13">
        <v>96</v>
      </c>
      <c r="QL13">
        <v>95.944999999999993</v>
      </c>
      <c r="QM13">
        <v>96.025000000000006</v>
      </c>
      <c r="QN13">
        <v>96.025000000000006</v>
      </c>
      <c r="QO13">
        <v>96.07</v>
      </c>
      <c r="QP13">
        <v>96.01</v>
      </c>
      <c r="QQ13">
        <v>96.125</v>
      </c>
      <c r="QR13">
        <v>96.06</v>
      </c>
      <c r="QS13">
        <v>96.144999999999996</v>
      </c>
      <c r="QT13">
        <v>96.155000000000001</v>
      </c>
      <c r="QU13">
        <v>96.194999999999993</v>
      </c>
      <c r="QV13">
        <v>96.224999999999994</v>
      </c>
      <c r="QW13">
        <v>96.194999999999993</v>
      </c>
      <c r="QX13">
        <v>96.21</v>
      </c>
      <c r="QY13">
        <v>96.224999999999994</v>
      </c>
      <c r="QZ13">
        <v>96.25</v>
      </c>
      <c r="RA13">
        <v>96.18</v>
      </c>
      <c r="RB13">
        <v>96.27</v>
      </c>
      <c r="RC13">
        <v>96.36</v>
      </c>
      <c r="RD13">
        <v>96.36</v>
      </c>
      <c r="RE13">
        <v>96.405000000000001</v>
      </c>
      <c r="RF13">
        <v>96.375</v>
      </c>
      <c r="RG13">
        <v>96.364999999999995</v>
      </c>
      <c r="RH13">
        <v>96.24</v>
      </c>
      <c r="RI13">
        <v>96.194999999999993</v>
      </c>
      <c r="RJ13">
        <v>96.19</v>
      </c>
      <c r="RK13">
        <v>96.22</v>
      </c>
      <c r="RL13">
        <v>96.08</v>
      </c>
      <c r="RM13">
        <v>96.11</v>
      </c>
      <c r="RN13">
        <v>96.194999999999993</v>
      </c>
      <c r="RO13">
        <v>96.13</v>
      </c>
      <c r="RP13">
        <v>96.19</v>
      </c>
      <c r="RQ13">
        <v>96.22</v>
      </c>
      <c r="RR13">
        <v>96.254999999999995</v>
      </c>
      <c r="RS13">
        <v>96.314999999999998</v>
      </c>
      <c r="RT13">
        <v>96.454999999999998</v>
      </c>
      <c r="RU13">
        <v>96.534999999999997</v>
      </c>
      <c r="RV13">
        <v>96.564999999999998</v>
      </c>
      <c r="RW13">
        <v>96.525000000000006</v>
      </c>
      <c r="RX13">
        <v>96.49</v>
      </c>
      <c r="RY13">
        <v>96.34</v>
      </c>
      <c r="RZ13">
        <v>96.424999999999997</v>
      </c>
      <c r="SA13">
        <v>96.385000000000005</v>
      </c>
      <c r="SB13">
        <v>96.47</v>
      </c>
      <c r="SC13">
        <v>96.435000000000002</v>
      </c>
      <c r="SD13">
        <v>96.37</v>
      </c>
      <c r="SE13">
        <v>96.56</v>
      </c>
      <c r="SF13">
        <v>96.43</v>
      </c>
      <c r="SG13">
        <v>96.52</v>
      </c>
      <c r="SH13">
        <v>96.57</v>
      </c>
      <c r="SI13">
        <v>96.58</v>
      </c>
      <c r="SJ13">
        <v>96.745000000000005</v>
      </c>
      <c r="SK13">
        <v>96.71</v>
      </c>
      <c r="SL13">
        <v>96.694999999999993</v>
      </c>
      <c r="SM13">
        <v>96.65</v>
      </c>
      <c r="SN13">
        <v>96.784999999999997</v>
      </c>
      <c r="SO13">
        <v>96.605000000000004</v>
      </c>
      <c r="SP13">
        <v>96.405000000000001</v>
      </c>
      <c r="SQ13">
        <v>96.38</v>
      </c>
      <c r="SR13">
        <v>96.25</v>
      </c>
      <c r="SS13">
        <v>96.224999999999994</v>
      </c>
      <c r="ST13">
        <v>96.364999999999995</v>
      </c>
      <c r="SU13">
        <v>96.454999999999998</v>
      </c>
      <c r="SV13">
        <v>96.454999999999998</v>
      </c>
      <c r="SW13">
        <v>96.534999999999997</v>
      </c>
      <c r="SX13">
        <v>96.545000000000002</v>
      </c>
      <c r="SY13">
        <v>96.734999999999999</v>
      </c>
      <c r="SZ13">
        <v>96.67</v>
      </c>
      <c r="TA13">
        <v>96.754999999999995</v>
      </c>
      <c r="TB13">
        <v>96.7</v>
      </c>
      <c r="TC13">
        <v>96.66</v>
      </c>
      <c r="TD13">
        <v>96.754999999999995</v>
      </c>
      <c r="TE13">
        <v>96.68</v>
      </c>
      <c r="TF13">
        <v>96.635000000000005</v>
      </c>
      <c r="TG13">
        <v>96.635000000000005</v>
      </c>
      <c r="TH13">
        <v>96.74</v>
      </c>
      <c r="TI13">
        <v>96.644999999999996</v>
      </c>
      <c r="TJ13">
        <v>96.625</v>
      </c>
      <c r="TK13">
        <v>96.77</v>
      </c>
      <c r="TL13">
        <v>96.765000000000001</v>
      </c>
      <c r="TM13">
        <v>96.844999999999999</v>
      </c>
      <c r="TN13">
        <v>96.784999999999997</v>
      </c>
      <c r="TO13">
        <v>96.85</v>
      </c>
      <c r="TP13">
        <v>96.875</v>
      </c>
      <c r="TQ13">
        <v>96.85</v>
      </c>
      <c r="TR13">
        <v>97.015000000000001</v>
      </c>
      <c r="TS13">
        <v>96.974999999999994</v>
      </c>
      <c r="TT13">
        <v>96.89</v>
      </c>
      <c r="TU13">
        <v>96.71</v>
      </c>
      <c r="TV13">
        <v>96.71</v>
      </c>
      <c r="TW13">
        <v>96.784999999999997</v>
      </c>
      <c r="TX13">
        <v>96.924999999999997</v>
      </c>
      <c r="TY13">
        <v>96.92</v>
      </c>
      <c r="TZ13">
        <v>96.894999999999996</v>
      </c>
      <c r="UA13">
        <v>96.915000000000006</v>
      </c>
      <c r="UB13">
        <v>96.995000000000005</v>
      </c>
      <c r="UC13">
        <v>97.12</v>
      </c>
      <c r="UD13">
        <v>97.185000000000002</v>
      </c>
      <c r="UE13">
        <v>97.22</v>
      </c>
      <c r="UF13">
        <v>97.215000000000003</v>
      </c>
      <c r="UG13">
        <v>97.314999999999998</v>
      </c>
      <c r="UH13">
        <v>97.295000000000002</v>
      </c>
      <c r="UI13">
        <v>97.174999999999997</v>
      </c>
      <c r="UJ13">
        <v>97.165000000000006</v>
      </c>
      <c r="UK13">
        <v>97.23</v>
      </c>
      <c r="UL13">
        <v>97.38</v>
      </c>
      <c r="UM13">
        <v>97.27</v>
      </c>
      <c r="UN13">
        <v>97.224999999999994</v>
      </c>
      <c r="UO13">
        <v>97.05</v>
      </c>
      <c r="UP13">
        <v>97.14</v>
      </c>
      <c r="UQ13">
        <v>97.075000000000003</v>
      </c>
      <c r="UR13">
        <v>97.204999999999998</v>
      </c>
      <c r="US13">
        <v>97.254999999999995</v>
      </c>
      <c r="UT13">
        <v>97.064999999999998</v>
      </c>
      <c r="UU13">
        <v>97.004999999999995</v>
      </c>
      <c r="UV13">
        <v>97.025000000000006</v>
      </c>
      <c r="UW13">
        <v>96.924999999999997</v>
      </c>
      <c r="UX13">
        <v>96.965000000000003</v>
      </c>
      <c r="UY13">
        <v>96.94</v>
      </c>
      <c r="UZ13">
        <v>97.03</v>
      </c>
      <c r="VA13">
        <v>97.14</v>
      </c>
      <c r="VB13">
        <v>97.17</v>
      </c>
      <c r="VC13">
        <v>97.08</v>
      </c>
      <c r="VD13">
        <v>97.13</v>
      </c>
      <c r="VE13">
        <v>97.174999999999997</v>
      </c>
      <c r="VF13">
        <v>97.305000000000007</v>
      </c>
      <c r="VG13">
        <v>97.31</v>
      </c>
      <c r="VH13">
        <v>97.28</v>
      </c>
      <c r="VI13">
        <v>97.14</v>
      </c>
      <c r="VJ13">
        <v>97.04</v>
      </c>
      <c r="VK13">
        <v>96.974999999999994</v>
      </c>
      <c r="VL13">
        <v>96.94</v>
      </c>
      <c r="VM13">
        <v>96.944999999999993</v>
      </c>
      <c r="VN13">
        <v>97</v>
      </c>
      <c r="VO13">
        <v>97.14</v>
      </c>
      <c r="VP13">
        <v>97.135000000000005</v>
      </c>
      <c r="VQ13">
        <v>96.97</v>
      </c>
      <c r="VR13">
        <v>96.754999999999995</v>
      </c>
      <c r="VS13">
        <v>96.85</v>
      </c>
      <c r="VT13">
        <v>96.93</v>
      </c>
      <c r="VU13">
        <v>96.66</v>
      </c>
      <c r="VV13">
        <v>96.724999999999994</v>
      </c>
      <c r="VW13">
        <v>96.584999999999994</v>
      </c>
      <c r="VX13">
        <v>96.72</v>
      </c>
      <c r="VY13">
        <v>96.68</v>
      </c>
      <c r="VZ13">
        <v>96.484999999999999</v>
      </c>
      <c r="WA13">
        <v>96.325000000000003</v>
      </c>
      <c r="WB13">
        <v>96.314999999999998</v>
      </c>
      <c r="WC13">
        <v>96.35</v>
      </c>
      <c r="WD13">
        <v>96.35</v>
      </c>
      <c r="WE13">
        <v>96.26</v>
      </c>
      <c r="WF13">
        <v>96.344999999999999</v>
      </c>
      <c r="WG13">
        <v>96.465000000000003</v>
      </c>
      <c r="WH13">
        <v>96.465000000000003</v>
      </c>
      <c r="WI13">
        <v>96.41</v>
      </c>
      <c r="WJ13">
        <v>96.57</v>
      </c>
      <c r="WK13">
        <v>96.52</v>
      </c>
      <c r="WL13">
        <v>96.484999999999999</v>
      </c>
      <c r="WM13">
        <v>96.63</v>
      </c>
      <c r="WN13">
        <v>96.63</v>
      </c>
      <c r="WO13">
        <v>96.584999999999994</v>
      </c>
      <c r="WP13">
        <v>96.59</v>
      </c>
      <c r="WQ13">
        <v>96.65</v>
      </c>
      <c r="WR13">
        <v>96.78</v>
      </c>
      <c r="WS13">
        <v>96.805000000000007</v>
      </c>
      <c r="WT13">
        <v>96.834999999999994</v>
      </c>
      <c r="WU13">
        <v>96.93</v>
      </c>
      <c r="WV13">
        <v>96.9</v>
      </c>
      <c r="WW13">
        <v>96.92</v>
      </c>
      <c r="WX13">
        <v>97.075000000000003</v>
      </c>
      <c r="WY13">
        <v>97.28</v>
      </c>
      <c r="WZ13">
        <v>97.28</v>
      </c>
      <c r="XA13">
        <v>97.125</v>
      </c>
      <c r="XB13">
        <v>97.04</v>
      </c>
      <c r="XC13">
        <v>97.12</v>
      </c>
      <c r="XD13">
        <v>97.16</v>
      </c>
      <c r="XE13">
        <v>97.21</v>
      </c>
      <c r="XF13">
        <v>97.215000000000003</v>
      </c>
      <c r="XG13">
        <v>97.155000000000001</v>
      </c>
      <c r="XH13">
        <v>97.24</v>
      </c>
      <c r="XI13">
        <v>97.334999999999994</v>
      </c>
      <c r="XJ13">
        <v>97.38</v>
      </c>
      <c r="XK13">
        <v>97.2</v>
      </c>
      <c r="XL13">
        <v>97.185000000000002</v>
      </c>
      <c r="XM13">
        <v>97.185000000000002</v>
      </c>
      <c r="XN13">
        <v>97.25</v>
      </c>
      <c r="XO13">
        <v>97.135000000000005</v>
      </c>
      <c r="XP13">
        <v>97.064999999999998</v>
      </c>
      <c r="XQ13">
        <v>97.16</v>
      </c>
      <c r="XR13">
        <v>97.12</v>
      </c>
      <c r="XS13">
        <v>96.88</v>
      </c>
      <c r="XT13">
        <v>96.915000000000006</v>
      </c>
      <c r="XU13">
        <v>96.83</v>
      </c>
      <c r="XV13">
        <v>96.79</v>
      </c>
      <c r="XW13">
        <v>96.79</v>
      </c>
      <c r="XX13">
        <v>96.75</v>
      </c>
      <c r="XY13">
        <v>96.73</v>
      </c>
      <c r="XZ13">
        <v>96.75</v>
      </c>
      <c r="YA13">
        <v>96.85</v>
      </c>
      <c r="YB13">
        <v>96.85</v>
      </c>
      <c r="YC13">
        <v>96.944999999999993</v>
      </c>
      <c r="YD13">
        <v>96.97</v>
      </c>
      <c r="YE13">
        <v>96.94</v>
      </c>
      <c r="YF13">
        <v>97.004999999999995</v>
      </c>
      <c r="YG13">
        <v>97.094999999999999</v>
      </c>
      <c r="YH13">
        <v>97.084999999999994</v>
      </c>
      <c r="YI13">
        <v>97.06</v>
      </c>
      <c r="YJ13">
        <v>97.05</v>
      </c>
      <c r="YK13">
        <v>96.915000000000006</v>
      </c>
      <c r="YL13">
        <v>96.984999999999999</v>
      </c>
      <c r="YM13">
        <v>97.045000000000002</v>
      </c>
      <c r="YN13">
        <v>97.144999999999996</v>
      </c>
      <c r="YO13">
        <v>97.04</v>
      </c>
      <c r="YP13">
        <v>96.995000000000005</v>
      </c>
      <c r="YQ13">
        <v>97.13</v>
      </c>
      <c r="YR13">
        <v>97.08</v>
      </c>
      <c r="YS13">
        <v>96.915000000000006</v>
      </c>
      <c r="YT13">
        <v>96.775000000000006</v>
      </c>
      <c r="YU13">
        <v>96.78</v>
      </c>
      <c r="YV13">
        <v>96.79</v>
      </c>
      <c r="YW13">
        <v>96.784999999999997</v>
      </c>
      <c r="YX13">
        <v>96.784999999999997</v>
      </c>
      <c r="YY13">
        <v>96.745000000000005</v>
      </c>
      <c r="YZ13">
        <v>96.62</v>
      </c>
      <c r="ZA13">
        <v>96.64</v>
      </c>
      <c r="ZB13">
        <v>96.74</v>
      </c>
      <c r="ZC13">
        <v>96.84</v>
      </c>
      <c r="ZD13">
        <v>96.75</v>
      </c>
      <c r="ZE13">
        <v>96.614999999999995</v>
      </c>
      <c r="ZF13">
        <v>96.665000000000006</v>
      </c>
      <c r="ZG13">
        <v>96.62</v>
      </c>
      <c r="ZH13">
        <v>96.245000000000005</v>
      </c>
      <c r="ZI13">
        <v>96.174999999999997</v>
      </c>
      <c r="ZJ13">
        <v>96.094999999999999</v>
      </c>
      <c r="ZK13">
        <v>96.144999999999996</v>
      </c>
      <c r="ZL13">
        <v>96.114999999999995</v>
      </c>
      <c r="ZM13">
        <v>96.22</v>
      </c>
      <c r="ZN13">
        <v>96.25</v>
      </c>
      <c r="ZO13">
        <v>96.265000000000001</v>
      </c>
      <c r="ZP13">
        <v>96.305000000000007</v>
      </c>
      <c r="ZQ13">
        <v>96.435000000000002</v>
      </c>
      <c r="ZR13">
        <v>96.325000000000003</v>
      </c>
      <c r="ZS13">
        <v>96.254999999999995</v>
      </c>
      <c r="ZT13">
        <v>96.17</v>
      </c>
      <c r="ZU13">
        <v>96.144999999999996</v>
      </c>
      <c r="ZV13">
        <v>96.025000000000006</v>
      </c>
      <c r="ZW13">
        <v>96.16</v>
      </c>
      <c r="ZX13">
        <v>96.32</v>
      </c>
      <c r="ZY13">
        <v>96.305000000000007</v>
      </c>
      <c r="ZZ13">
        <v>96.26</v>
      </c>
      <c r="AAA13">
        <v>96.314999999999998</v>
      </c>
      <c r="AAB13">
        <v>96.35</v>
      </c>
      <c r="AAC13">
        <v>96.275000000000006</v>
      </c>
      <c r="AAD13">
        <v>96.29</v>
      </c>
      <c r="AAE13">
        <v>96.325000000000003</v>
      </c>
      <c r="AAF13">
        <v>96.394999999999996</v>
      </c>
      <c r="AAG13">
        <v>96.47</v>
      </c>
      <c r="AAH13">
        <v>96.625</v>
      </c>
      <c r="AAI13">
        <v>96.53</v>
      </c>
      <c r="AAJ13">
        <v>96.38</v>
      </c>
      <c r="AAK13">
        <v>96.46</v>
      </c>
      <c r="AAL13">
        <v>96.504999999999995</v>
      </c>
      <c r="AAM13">
        <v>96.224999999999994</v>
      </c>
      <c r="AAN13">
        <v>96.234999999999999</v>
      </c>
      <c r="AAO13">
        <v>96.44</v>
      </c>
      <c r="AAP13">
        <v>96.515000000000001</v>
      </c>
      <c r="AAQ13">
        <v>96.71</v>
      </c>
      <c r="AAR13">
        <v>96.59</v>
      </c>
      <c r="AAS13">
        <v>96.665000000000006</v>
      </c>
      <c r="AAT13">
        <v>96.75</v>
      </c>
      <c r="AAU13">
        <v>96.685000000000002</v>
      </c>
      <c r="AAV13">
        <v>96.78</v>
      </c>
      <c r="AAW13">
        <v>96.8</v>
      </c>
      <c r="AAX13">
        <v>96.924999999999997</v>
      </c>
      <c r="AAY13">
        <v>96.93</v>
      </c>
      <c r="AAZ13">
        <v>96.984999999999999</v>
      </c>
      <c r="ABA13">
        <v>97.015000000000001</v>
      </c>
      <c r="ABB13">
        <v>96.91</v>
      </c>
      <c r="ABC13">
        <v>97.034999999999997</v>
      </c>
      <c r="ABD13">
        <v>97.034999999999997</v>
      </c>
      <c r="ABE13">
        <v>96.935000000000002</v>
      </c>
      <c r="ABF13">
        <v>97.045000000000002</v>
      </c>
      <c r="ABG13">
        <v>97.02</v>
      </c>
      <c r="ABH13">
        <v>97.03</v>
      </c>
      <c r="ABI13">
        <v>97.094999999999999</v>
      </c>
      <c r="ABJ13">
        <v>97.14</v>
      </c>
      <c r="ABK13">
        <v>97.1</v>
      </c>
      <c r="ABL13">
        <v>97.144999999999996</v>
      </c>
      <c r="ABM13">
        <v>97.14</v>
      </c>
      <c r="ABN13">
        <v>97.23</v>
      </c>
      <c r="ABO13">
        <v>97.32</v>
      </c>
      <c r="ABP13">
        <v>97.305000000000007</v>
      </c>
      <c r="ABQ13">
        <v>97.44</v>
      </c>
      <c r="ABR13">
        <v>97.515000000000001</v>
      </c>
      <c r="ABS13">
        <v>97.43</v>
      </c>
      <c r="ABT13">
        <v>97.444999999999993</v>
      </c>
      <c r="ABU13">
        <v>97.5</v>
      </c>
      <c r="ABV13">
        <v>97.435000000000002</v>
      </c>
      <c r="ABW13">
        <v>97.54</v>
      </c>
      <c r="ABX13">
        <v>97.44</v>
      </c>
      <c r="ABY13">
        <v>97.655000000000001</v>
      </c>
      <c r="ABZ13">
        <v>97.52</v>
      </c>
      <c r="ACA13">
        <v>97.55</v>
      </c>
      <c r="ACB13">
        <v>97.805000000000007</v>
      </c>
      <c r="ACC13">
        <v>97.78</v>
      </c>
      <c r="ACD13">
        <v>97.75</v>
      </c>
      <c r="ACE13">
        <v>97.674999999999997</v>
      </c>
      <c r="ACF13">
        <v>97.594999999999999</v>
      </c>
      <c r="ACG13">
        <v>97.61</v>
      </c>
      <c r="ACH13">
        <v>97.635000000000005</v>
      </c>
      <c r="ACI13">
        <v>97.474999999999994</v>
      </c>
      <c r="ACJ13">
        <v>97.275000000000006</v>
      </c>
      <c r="ACK13">
        <v>97.295000000000002</v>
      </c>
      <c r="ACL13">
        <v>97.38</v>
      </c>
      <c r="ACM13">
        <v>97.42</v>
      </c>
      <c r="ACN13">
        <v>97.444999999999993</v>
      </c>
      <c r="ACO13">
        <v>97.49</v>
      </c>
      <c r="ACP13">
        <v>97.44</v>
      </c>
      <c r="ACQ13">
        <v>97.4</v>
      </c>
      <c r="ACR13">
        <v>97.305000000000007</v>
      </c>
      <c r="ACS13">
        <v>97.4</v>
      </c>
      <c r="ACT13">
        <v>97.484999999999999</v>
      </c>
      <c r="ACU13">
        <v>97.665000000000006</v>
      </c>
      <c r="ACV13">
        <v>97.584999999999994</v>
      </c>
      <c r="ACW13">
        <v>97.584999999999994</v>
      </c>
      <c r="ACX13">
        <v>97.424999999999997</v>
      </c>
      <c r="ACY13">
        <v>97.224999999999994</v>
      </c>
      <c r="ACZ13">
        <v>97.06</v>
      </c>
      <c r="ADA13">
        <v>97.064999999999998</v>
      </c>
      <c r="ADB13">
        <v>97.155000000000001</v>
      </c>
      <c r="ADC13">
        <v>97.22</v>
      </c>
      <c r="ADD13">
        <v>97.105000000000004</v>
      </c>
      <c r="ADE13">
        <v>96.905000000000001</v>
      </c>
      <c r="ADF13">
        <v>96.91</v>
      </c>
      <c r="ADG13">
        <v>96.91</v>
      </c>
      <c r="ADH13">
        <v>96.875</v>
      </c>
      <c r="ADI13">
        <v>96.784999999999997</v>
      </c>
      <c r="ADJ13">
        <v>96.57</v>
      </c>
      <c r="ADK13">
        <v>96.63</v>
      </c>
      <c r="ADL13">
        <v>96.85</v>
      </c>
      <c r="ADM13">
        <v>97.05</v>
      </c>
      <c r="ADN13">
        <v>97.094999999999999</v>
      </c>
      <c r="ADO13">
        <v>97.13</v>
      </c>
      <c r="ADP13">
        <v>97.09</v>
      </c>
      <c r="ADQ13">
        <v>97.204999999999998</v>
      </c>
      <c r="ADR13">
        <v>97.254999999999995</v>
      </c>
      <c r="ADS13">
        <v>97.215000000000003</v>
      </c>
      <c r="ADT13">
        <v>97.36</v>
      </c>
      <c r="ADU13">
        <v>97.405000000000001</v>
      </c>
      <c r="ADV13">
        <v>97.405000000000001</v>
      </c>
      <c r="ADW13">
        <v>97.44</v>
      </c>
      <c r="ADX13">
        <v>97.46</v>
      </c>
      <c r="ADY13">
        <v>97.435000000000002</v>
      </c>
      <c r="ADZ13">
        <v>97.31</v>
      </c>
      <c r="AEA13">
        <v>97.394999999999996</v>
      </c>
      <c r="AEB13">
        <v>97.31</v>
      </c>
      <c r="AEC13">
        <v>97.23</v>
      </c>
      <c r="AED13">
        <v>97.18</v>
      </c>
      <c r="AEE13">
        <v>97.34</v>
      </c>
      <c r="AEF13">
        <v>97.23</v>
      </c>
      <c r="AEG13">
        <v>97.32</v>
      </c>
      <c r="AEH13">
        <v>97.194999999999993</v>
      </c>
      <c r="AEI13">
        <v>97.14</v>
      </c>
      <c r="AEJ13">
        <v>97.094999999999999</v>
      </c>
      <c r="AEK13">
        <v>96.995000000000005</v>
      </c>
      <c r="AEL13">
        <v>96.995000000000005</v>
      </c>
      <c r="AEM13">
        <v>97.11</v>
      </c>
      <c r="AEN13">
        <v>96.995000000000005</v>
      </c>
      <c r="AEO13">
        <v>96.97</v>
      </c>
      <c r="AEP13">
        <v>97.08</v>
      </c>
      <c r="AEQ13">
        <v>97.09</v>
      </c>
      <c r="AER13">
        <v>97.194999999999993</v>
      </c>
      <c r="AES13">
        <v>97.22</v>
      </c>
      <c r="AET13">
        <v>97.125</v>
      </c>
      <c r="AEU13">
        <v>97.055000000000007</v>
      </c>
      <c r="AEV13">
        <v>96.995000000000005</v>
      </c>
      <c r="AEW13">
        <v>97.12</v>
      </c>
      <c r="AEX13">
        <v>97.094999999999999</v>
      </c>
      <c r="AEY13">
        <v>97.224999999999994</v>
      </c>
      <c r="AEZ13">
        <v>97.25</v>
      </c>
      <c r="AFA13">
        <v>97.25</v>
      </c>
      <c r="AFB13">
        <v>97.38</v>
      </c>
      <c r="AFC13">
        <v>97.34</v>
      </c>
      <c r="AFD13">
        <v>97.17</v>
      </c>
      <c r="AFE13">
        <v>97.18</v>
      </c>
      <c r="AFF13">
        <v>97.28</v>
      </c>
      <c r="AFG13">
        <v>97.24</v>
      </c>
      <c r="AFH13">
        <v>97.234999999999999</v>
      </c>
      <c r="AFI13">
        <v>97.344999999999999</v>
      </c>
      <c r="AFJ13">
        <v>97.325000000000003</v>
      </c>
      <c r="AFK13">
        <v>97.495000000000005</v>
      </c>
      <c r="AFL13">
        <v>97.444999999999993</v>
      </c>
      <c r="AFM13">
        <v>97.415000000000006</v>
      </c>
      <c r="AFN13">
        <v>97.36</v>
      </c>
      <c r="AFO13">
        <v>97.38</v>
      </c>
      <c r="AFP13">
        <v>97.625</v>
      </c>
      <c r="AFQ13">
        <v>97.655000000000001</v>
      </c>
      <c r="AFR13">
        <v>97.584999999999994</v>
      </c>
      <c r="AFS13">
        <v>97.63</v>
      </c>
      <c r="AFT13">
        <v>97.83</v>
      </c>
      <c r="AFU13">
        <v>97.81</v>
      </c>
      <c r="AFV13">
        <v>97.78</v>
      </c>
      <c r="AFW13">
        <v>97.844999999999999</v>
      </c>
      <c r="AFX13">
        <v>97.875</v>
      </c>
      <c r="AFY13">
        <v>98.03</v>
      </c>
      <c r="AFZ13">
        <v>98.064999999999998</v>
      </c>
      <c r="AGA13">
        <v>98.12</v>
      </c>
      <c r="AGB13">
        <v>98.215000000000003</v>
      </c>
      <c r="AGC13">
        <v>98.34</v>
      </c>
      <c r="AGD13">
        <v>98.415000000000006</v>
      </c>
      <c r="AGE13">
        <v>98.26</v>
      </c>
      <c r="AGF13">
        <v>98.25</v>
      </c>
      <c r="AGG13">
        <v>98.465000000000003</v>
      </c>
      <c r="AGH13">
        <v>98.224999999999994</v>
      </c>
      <c r="AGI13">
        <v>98.04</v>
      </c>
      <c r="AGJ13">
        <v>98.075000000000003</v>
      </c>
      <c r="AGK13">
        <v>98.06</v>
      </c>
      <c r="AGL13">
        <v>98.1</v>
      </c>
      <c r="AGM13">
        <v>98.125</v>
      </c>
      <c r="AGN13">
        <v>98.125</v>
      </c>
      <c r="AGO13">
        <v>98.094999999999999</v>
      </c>
      <c r="AGP13">
        <v>98.02</v>
      </c>
      <c r="AGQ13">
        <v>98</v>
      </c>
      <c r="AGR13">
        <v>98.01</v>
      </c>
      <c r="AGS13">
        <v>98.09</v>
      </c>
      <c r="AGT13">
        <v>97.97</v>
      </c>
      <c r="AGU13">
        <v>98.094999999999999</v>
      </c>
      <c r="AGV13">
        <v>98.094999999999999</v>
      </c>
      <c r="AGW13">
        <v>98.15</v>
      </c>
      <c r="AGX13">
        <v>98.13</v>
      </c>
      <c r="AGY13">
        <v>98.265000000000001</v>
      </c>
      <c r="AGZ13">
        <v>98.325000000000003</v>
      </c>
      <c r="AHA13">
        <v>98.31</v>
      </c>
      <c r="AHB13">
        <v>98.31</v>
      </c>
      <c r="AHC13">
        <v>98.28</v>
      </c>
      <c r="AHD13">
        <v>98.24</v>
      </c>
      <c r="AHE13">
        <v>98.245000000000005</v>
      </c>
      <c r="AHF13">
        <v>98.334999999999994</v>
      </c>
      <c r="AHG13">
        <v>98.385000000000005</v>
      </c>
      <c r="AHH13">
        <v>98.305000000000007</v>
      </c>
      <c r="AHI13">
        <v>98.22</v>
      </c>
      <c r="AHJ13">
        <v>98.23</v>
      </c>
      <c r="AHK13">
        <v>98.185000000000002</v>
      </c>
      <c r="AHL13">
        <v>98.28</v>
      </c>
      <c r="AHM13">
        <v>98.28</v>
      </c>
      <c r="AHN13">
        <v>98.38</v>
      </c>
      <c r="AHO13">
        <v>98.344999999999999</v>
      </c>
      <c r="AHP13">
        <v>98.314999999999998</v>
      </c>
      <c r="AHQ13">
        <v>98.26</v>
      </c>
      <c r="AHR13">
        <v>98.31</v>
      </c>
      <c r="AHS13">
        <v>98.37</v>
      </c>
      <c r="AHT13">
        <v>98.424999999999997</v>
      </c>
      <c r="AHU13">
        <v>98.49</v>
      </c>
      <c r="AHV13">
        <v>98.495000000000005</v>
      </c>
      <c r="AHW13">
        <v>98.614999999999995</v>
      </c>
      <c r="AHX13">
        <v>98.6</v>
      </c>
      <c r="AHY13">
        <v>98.58</v>
      </c>
      <c r="AHZ13">
        <v>98.61</v>
      </c>
      <c r="AIA13">
        <v>98.594999999999999</v>
      </c>
      <c r="AIB13">
        <v>98.605000000000004</v>
      </c>
      <c r="AIC13">
        <v>98.605000000000004</v>
      </c>
      <c r="AID13">
        <v>98.62</v>
      </c>
      <c r="AIE13">
        <v>98.614999999999995</v>
      </c>
      <c r="AIF13">
        <v>98.685000000000002</v>
      </c>
      <c r="AIG13">
        <v>98.674999999999997</v>
      </c>
      <c r="AIH13">
        <v>98.694999999999993</v>
      </c>
      <c r="AII13">
        <v>98.57</v>
      </c>
      <c r="AIJ13">
        <v>98.594999999999999</v>
      </c>
      <c r="AIK13">
        <v>98.605000000000004</v>
      </c>
      <c r="AIL13">
        <v>98.55</v>
      </c>
      <c r="AIM13">
        <v>98.53</v>
      </c>
      <c r="AIN13">
        <v>98.52</v>
      </c>
      <c r="AIO13">
        <v>98.52</v>
      </c>
      <c r="AIP13">
        <v>98.575000000000003</v>
      </c>
      <c r="AIQ13">
        <v>98.665000000000006</v>
      </c>
      <c r="AIR13">
        <v>98.59</v>
      </c>
      <c r="AIS13">
        <v>98.644999999999996</v>
      </c>
      <c r="AIT13">
        <v>98.655000000000001</v>
      </c>
      <c r="AIU13">
        <v>98.63</v>
      </c>
      <c r="AIV13">
        <v>98.63</v>
      </c>
      <c r="AIW13">
        <v>98.43</v>
      </c>
      <c r="AIX13">
        <v>98.43</v>
      </c>
      <c r="AIY13">
        <v>98.465000000000003</v>
      </c>
      <c r="AIZ13">
        <v>98.48</v>
      </c>
      <c r="AJA13">
        <v>98.62</v>
      </c>
      <c r="AJB13">
        <v>98.62</v>
      </c>
      <c r="AJC13">
        <v>98.594999999999999</v>
      </c>
      <c r="AJD13">
        <v>98.555000000000007</v>
      </c>
      <c r="AJE13">
        <v>98.58</v>
      </c>
      <c r="AJF13">
        <v>98.6</v>
      </c>
      <c r="AJG13">
        <v>98.594999999999999</v>
      </c>
      <c r="AJH13">
        <v>98.65</v>
      </c>
      <c r="AJI13">
        <v>98.83</v>
      </c>
      <c r="AJJ13">
        <v>98.78</v>
      </c>
      <c r="AJK13">
        <v>98.87</v>
      </c>
      <c r="AJL13">
        <v>98.8</v>
      </c>
      <c r="AJM13">
        <v>98.7</v>
      </c>
      <c r="AJN13">
        <v>98.745000000000005</v>
      </c>
      <c r="AJO13">
        <v>98.69</v>
      </c>
      <c r="AJP13">
        <v>98.73</v>
      </c>
      <c r="AJQ13">
        <v>98.734999999999999</v>
      </c>
      <c r="AJR13">
        <v>98.745000000000005</v>
      </c>
      <c r="AJS13">
        <v>98.704999999999998</v>
      </c>
      <c r="AJT13">
        <v>98.71</v>
      </c>
      <c r="AJU13">
        <v>98.68</v>
      </c>
      <c r="AJV13">
        <v>98.68</v>
      </c>
      <c r="AJW13">
        <v>98.77</v>
      </c>
      <c r="AJX13">
        <v>98.745000000000005</v>
      </c>
      <c r="AJY13">
        <v>98.715000000000003</v>
      </c>
      <c r="AJZ13">
        <v>98.78</v>
      </c>
      <c r="AKA13">
        <v>98.87</v>
      </c>
      <c r="AKB13">
        <v>98.814999999999998</v>
      </c>
      <c r="AKC13">
        <v>98.85</v>
      </c>
      <c r="AKD13">
        <v>98.855000000000004</v>
      </c>
      <c r="AKE13">
        <v>98.9</v>
      </c>
      <c r="AKF13">
        <v>98.95</v>
      </c>
      <c r="AKG13">
        <v>98.99</v>
      </c>
      <c r="AKH13">
        <v>99.004999999999995</v>
      </c>
      <c r="AKI13">
        <v>99.05</v>
      </c>
      <c r="AKJ13">
        <v>99.05</v>
      </c>
      <c r="AKK13">
        <v>98.984999999999999</v>
      </c>
      <c r="AKL13">
        <v>98.97</v>
      </c>
      <c r="AKM13">
        <v>98.93</v>
      </c>
      <c r="AKN13">
        <v>98.944999999999993</v>
      </c>
      <c r="AKO13">
        <v>98.96</v>
      </c>
      <c r="AKP13">
        <v>98.974999999999994</v>
      </c>
      <c r="AKQ13">
        <v>99.03</v>
      </c>
      <c r="AKR13">
        <v>99.11</v>
      </c>
      <c r="AKS13">
        <v>99.114999999999995</v>
      </c>
      <c r="AKT13">
        <v>99.06</v>
      </c>
      <c r="AKU13">
        <v>99.1</v>
      </c>
      <c r="AKV13">
        <v>99.14</v>
      </c>
      <c r="AKW13">
        <v>99.27</v>
      </c>
      <c r="AKX13">
        <v>99.26</v>
      </c>
      <c r="AKY13">
        <v>99.25</v>
      </c>
      <c r="AKZ13">
        <v>99.275000000000006</v>
      </c>
      <c r="ALA13">
        <v>99.26</v>
      </c>
      <c r="ALB13">
        <v>99.25</v>
      </c>
      <c r="ALC13">
        <v>99.295000000000002</v>
      </c>
      <c r="ALD13">
        <v>99.295000000000002</v>
      </c>
      <c r="ALE13">
        <v>99.295000000000002</v>
      </c>
      <c r="ALF13">
        <v>99.284999999999997</v>
      </c>
      <c r="ALG13">
        <v>99.295000000000002</v>
      </c>
      <c r="ALH13">
        <v>99.29</v>
      </c>
      <c r="ALI13">
        <v>99.25</v>
      </c>
      <c r="ALJ13">
        <v>99.204999999999998</v>
      </c>
      <c r="ALK13">
        <v>99.21</v>
      </c>
      <c r="ALL13">
        <v>99.25</v>
      </c>
      <c r="ALM13">
        <v>99.275000000000006</v>
      </c>
      <c r="ALN13">
        <v>99.26</v>
      </c>
      <c r="ALO13">
        <v>99.27</v>
      </c>
      <c r="ALP13">
        <v>99.265000000000001</v>
      </c>
      <c r="ALQ13">
        <v>99.28</v>
      </c>
      <c r="ALR13">
        <v>99.3</v>
      </c>
      <c r="ALS13">
        <v>99.25</v>
      </c>
      <c r="ALT13">
        <v>99.204999999999998</v>
      </c>
      <c r="ALU13">
        <v>99.22</v>
      </c>
      <c r="ALV13">
        <v>99.194999999999993</v>
      </c>
      <c r="ALW13">
        <v>99.224999999999994</v>
      </c>
      <c r="ALX13">
        <v>99.265000000000001</v>
      </c>
      <c r="ALY13">
        <v>99.32</v>
      </c>
      <c r="ALZ13">
        <v>99.38</v>
      </c>
      <c r="AMA13">
        <v>99.435000000000002</v>
      </c>
      <c r="AMB13">
        <v>99.42</v>
      </c>
      <c r="AMC13">
        <v>99.355000000000004</v>
      </c>
      <c r="AMD13">
        <v>99.32</v>
      </c>
      <c r="AME13">
        <v>99.305000000000007</v>
      </c>
      <c r="AMF13">
        <v>99.37</v>
      </c>
      <c r="AMG13">
        <v>99.34</v>
      </c>
      <c r="AMH13">
        <v>99.35</v>
      </c>
      <c r="AMI13">
        <v>99.36</v>
      </c>
      <c r="AMJ13">
        <v>99.344999999999999</v>
      </c>
      <c r="AMK13">
        <v>99.415000000000006</v>
      </c>
      <c r="AML13">
        <v>99.39</v>
      </c>
      <c r="AMM13">
        <v>99.224999999999994</v>
      </c>
      <c r="AMN13">
        <v>99.224999999999994</v>
      </c>
      <c r="AMO13">
        <v>99.215000000000003</v>
      </c>
      <c r="AMP13">
        <v>99.17</v>
      </c>
      <c r="AMQ13">
        <v>99.25</v>
      </c>
      <c r="AMR13">
        <v>99.254999999999995</v>
      </c>
      <c r="AMS13">
        <v>99.32</v>
      </c>
      <c r="AMT13">
        <v>99.24</v>
      </c>
      <c r="AMU13">
        <v>99.215000000000003</v>
      </c>
      <c r="AMV13">
        <v>99.15</v>
      </c>
      <c r="AMW13">
        <v>99.15</v>
      </c>
      <c r="AMX13">
        <v>99.09</v>
      </c>
      <c r="AMY13">
        <v>99.135000000000005</v>
      </c>
      <c r="AMZ13">
        <v>99.12</v>
      </c>
      <c r="ANA13">
        <v>99.125</v>
      </c>
      <c r="ANB13">
        <v>99.094999999999999</v>
      </c>
      <c r="ANC13">
        <v>99.12</v>
      </c>
      <c r="AND13">
        <v>99.135000000000005</v>
      </c>
      <c r="ANE13">
        <v>99.18</v>
      </c>
      <c r="ANF13">
        <v>99.16</v>
      </c>
      <c r="ANG13">
        <v>99.14</v>
      </c>
      <c r="ANH13">
        <v>99.16</v>
      </c>
      <c r="ANI13">
        <v>99.2</v>
      </c>
      <c r="ANJ13">
        <v>99.46</v>
      </c>
      <c r="ANK13">
        <v>99.465000000000003</v>
      </c>
      <c r="ANL13">
        <v>99.495000000000005</v>
      </c>
      <c r="ANM13">
        <v>99.52</v>
      </c>
      <c r="ANN13">
        <v>99.51</v>
      </c>
      <c r="ANO13">
        <v>99.48</v>
      </c>
      <c r="ANP13">
        <v>99.454999999999998</v>
      </c>
      <c r="ANQ13">
        <v>99.465000000000003</v>
      </c>
      <c r="ANR13">
        <v>99.42</v>
      </c>
      <c r="ANS13">
        <v>99.465000000000003</v>
      </c>
      <c r="ANT13">
        <v>99.44</v>
      </c>
      <c r="ANU13">
        <v>99.454999999999998</v>
      </c>
      <c r="ANV13">
        <v>99.454999999999998</v>
      </c>
      <c r="ANW13">
        <v>99.45</v>
      </c>
      <c r="ANX13">
        <v>99.474999999999994</v>
      </c>
      <c r="ANY13">
        <v>99.48</v>
      </c>
      <c r="ANZ13">
        <v>99.44</v>
      </c>
      <c r="AOA13">
        <v>99.415000000000006</v>
      </c>
      <c r="AOB13">
        <v>99.424999999999997</v>
      </c>
      <c r="AOC13">
        <v>99.385000000000005</v>
      </c>
      <c r="AOD13">
        <v>99.42</v>
      </c>
      <c r="AOE13">
        <v>99.42</v>
      </c>
      <c r="AOF13">
        <v>99.42</v>
      </c>
      <c r="AOG13">
        <v>99.415000000000006</v>
      </c>
      <c r="AOH13">
        <v>99.38</v>
      </c>
      <c r="AOI13">
        <v>99.465000000000003</v>
      </c>
      <c r="AOJ13">
        <v>99.484999999999999</v>
      </c>
      <c r="AOK13">
        <v>99.484999999999999</v>
      </c>
      <c r="AOL13">
        <v>99.424999999999997</v>
      </c>
      <c r="AOM13">
        <v>99.415000000000006</v>
      </c>
      <c r="AON13">
        <v>99.405000000000001</v>
      </c>
      <c r="AOO13">
        <v>99.385000000000005</v>
      </c>
      <c r="AOP13">
        <v>99.36</v>
      </c>
      <c r="AOQ13">
        <v>99.355000000000004</v>
      </c>
      <c r="AOR13">
        <v>99.35</v>
      </c>
      <c r="AOS13">
        <v>99.334999999999994</v>
      </c>
      <c r="AOT13">
        <v>99.36</v>
      </c>
      <c r="AOU13">
        <v>99.37</v>
      </c>
      <c r="AOV13">
        <v>99.394999999999996</v>
      </c>
      <c r="AOW13">
        <v>99.394999999999996</v>
      </c>
      <c r="AOX13">
        <v>99.415000000000006</v>
      </c>
      <c r="AOY13">
        <v>99.39</v>
      </c>
      <c r="AOZ13">
        <v>99.375</v>
      </c>
      <c r="APA13">
        <v>99.4</v>
      </c>
      <c r="APB13">
        <v>99.33</v>
      </c>
      <c r="APC13">
        <v>99.35</v>
      </c>
      <c r="APD13">
        <v>99.275000000000006</v>
      </c>
      <c r="APE13">
        <v>99.31</v>
      </c>
      <c r="APF13">
        <v>99.334999999999994</v>
      </c>
      <c r="APG13">
        <v>99.32</v>
      </c>
      <c r="APH13">
        <v>99.284999999999997</v>
      </c>
      <c r="API13">
        <v>99.194999999999993</v>
      </c>
      <c r="APJ13">
        <v>99.16</v>
      </c>
      <c r="APK13">
        <v>99.254999999999995</v>
      </c>
      <c r="APL13">
        <v>99.234999999999999</v>
      </c>
      <c r="APM13">
        <v>99.26</v>
      </c>
      <c r="APN13">
        <v>99.28</v>
      </c>
      <c r="APO13">
        <v>99.344999999999999</v>
      </c>
      <c r="APP13">
        <v>99.385000000000005</v>
      </c>
      <c r="APQ13">
        <v>99.37</v>
      </c>
      <c r="APR13">
        <v>99.35</v>
      </c>
      <c r="APS13">
        <v>99.334999999999994</v>
      </c>
      <c r="APT13">
        <v>99.32</v>
      </c>
      <c r="APU13">
        <v>99.344999999999999</v>
      </c>
      <c r="APV13">
        <v>99.4</v>
      </c>
      <c r="APW13">
        <v>99.484999999999999</v>
      </c>
      <c r="APX13">
        <v>99.47</v>
      </c>
      <c r="APY13">
        <v>99.454999999999998</v>
      </c>
      <c r="APZ13">
        <v>99.5</v>
      </c>
      <c r="AQA13">
        <v>99.504999999999995</v>
      </c>
      <c r="AQB13">
        <v>99.46</v>
      </c>
      <c r="AQC13">
        <v>99.43</v>
      </c>
      <c r="AQD13">
        <v>99.47</v>
      </c>
      <c r="AQE13">
        <v>99.454999999999998</v>
      </c>
      <c r="AQF13">
        <v>99.504999999999995</v>
      </c>
      <c r="AQG13">
        <v>99.555000000000007</v>
      </c>
      <c r="AQH13">
        <v>99.53</v>
      </c>
      <c r="AQI13">
        <v>99.46</v>
      </c>
      <c r="AQJ13">
        <v>99.465000000000003</v>
      </c>
      <c r="AQK13">
        <v>99.635000000000005</v>
      </c>
      <c r="AQL13">
        <v>99.655000000000001</v>
      </c>
      <c r="AQM13">
        <v>99.65</v>
      </c>
      <c r="AQN13">
        <v>99.674999999999997</v>
      </c>
      <c r="AQO13">
        <v>99.694999999999993</v>
      </c>
      <c r="AQP13">
        <v>99.69</v>
      </c>
      <c r="AQQ13">
        <v>99.69</v>
      </c>
      <c r="AQR13">
        <v>99.745000000000005</v>
      </c>
      <c r="AQS13">
        <v>99.745000000000005</v>
      </c>
      <c r="AQT13">
        <v>99.76</v>
      </c>
      <c r="AQU13">
        <v>99.77</v>
      </c>
      <c r="AQV13">
        <v>99.754999999999995</v>
      </c>
      <c r="AQW13">
        <v>99.745000000000005</v>
      </c>
      <c r="AQX13">
        <v>99.76</v>
      </c>
      <c r="AQY13">
        <v>99.765000000000001</v>
      </c>
      <c r="AQZ13">
        <v>99.765000000000001</v>
      </c>
      <c r="ARA13">
        <v>99.78</v>
      </c>
      <c r="ARB13">
        <v>99.79</v>
      </c>
      <c r="ARC13">
        <v>99.784999999999997</v>
      </c>
      <c r="ARD13">
        <v>99.784999999999997</v>
      </c>
      <c r="ARE13">
        <v>99.805000000000007</v>
      </c>
      <c r="ARF13">
        <v>99.795000000000002</v>
      </c>
      <c r="ARG13">
        <v>99.8</v>
      </c>
      <c r="ARH13">
        <v>99.784999999999997</v>
      </c>
      <c r="ARI13">
        <v>99.78</v>
      </c>
      <c r="ARJ13">
        <v>99.784999999999997</v>
      </c>
      <c r="ARK13">
        <v>99.784999999999997</v>
      </c>
      <c r="ARL13">
        <v>99.775000000000006</v>
      </c>
      <c r="ARM13">
        <v>99.775000000000006</v>
      </c>
      <c r="ARN13">
        <v>99.765000000000001</v>
      </c>
      <c r="ARO13">
        <v>99.745000000000005</v>
      </c>
      <c r="ARP13">
        <v>99.72</v>
      </c>
      <c r="ARQ13">
        <v>99.72</v>
      </c>
      <c r="ARR13">
        <v>99.724999999999994</v>
      </c>
      <c r="ARS13">
        <v>99.76</v>
      </c>
      <c r="ART13">
        <v>99.8</v>
      </c>
      <c r="ARU13">
        <v>99.83</v>
      </c>
      <c r="ARV13">
        <v>99.834999999999994</v>
      </c>
      <c r="ARW13">
        <v>99.825000000000003</v>
      </c>
      <c r="ARX13">
        <v>99.825000000000003</v>
      </c>
      <c r="ARY13">
        <v>99.814999999999998</v>
      </c>
      <c r="ARZ13">
        <v>99.81</v>
      </c>
      <c r="ASA13">
        <v>99.814999999999998</v>
      </c>
      <c r="ASB13">
        <v>99.82</v>
      </c>
      <c r="ASC13">
        <v>99.82</v>
      </c>
      <c r="ASD13">
        <v>99.82</v>
      </c>
      <c r="ASE13">
        <v>99.825000000000003</v>
      </c>
      <c r="ASF13">
        <v>99.82</v>
      </c>
      <c r="ASG13">
        <v>99.82</v>
      </c>
      <c r="ASH13">
        <v>99.82</v>
      </c>
      <c r="ASI13">
        <v>99.83</v>
      </c>
      <c r="ASJ13">
        <v>99.87</v>
      </c>
      <c r="ASK13">
        <v>99.87</v>
      </c>
      <c r="ASL13">
        <v>99.87</v>
      </c>
      <c r="ASM13">
        <v>99.855000000000004</v>
      </c>
      <c r="ASN13">
        <v>99.844999999999999</v>
      </c>
      <c r="ASO13">
        <v>99.85</v>
      </c>
      <c r="ASP13">
        <v>99.85</v>
      </c>
      <c r="ASQ13">
        <v>99.834999999999994</v>
      </c>
      <c r="ASR13">
        <v>99.84</v>
      </c>
      <c r="ASS13">
        <v>99.84</v>
      </c>
      <c r="AST13">
        <v>99.84</v>
      </c>
      <c r="ASU13">
        <v>99.86</v>
      </c>
      <c r="ASV13">
        <v>99.864999999999995</v>
      </c>
      <c r="ASW13">
        <v>99.86</v>
      </c>
      <c r="ASX13">
        <v>99.86</v>
      </c>
      <c r="ASY13">
        <v>99.855000000000004</v>
      </c>
      <c r="ASZ13">
        <v>99.85</v>
      </c>
      <c r="ATA13">
        <v>99.864999999999995</v>
      </c>
      <c r="ATB13">
        <v>99.86</v>
      </c>
      <c r="ATC13">
        <v>99.86</v>
      </c>
      <c r="ATD13">
        <v>99.864999999999995</v>
      </c>
      <c r="ATE13">
        <v>99.855000000000004</v>
      </c>
      <c r="ATF13">
        <v>99.855000000000004</v>
      </c>
      <c r="ATG13">
        <v>99.85</v>
      </c>
      <c r="ATH13">
        <v>99.834999999999994</v>
      </c>
      <c r="ATI13">
        <v>99.834999999999994</v>
      </c>
      <c r="ATJ13">
        <v>99.855000000000004</v>
      </c>
      <c r="ATK13">
        <v>99.9</v>
      </c>
      <c r="ATL13">
        <v>99.905000000000001</v>
      </c>
      <c r="ATM13">
        <v>99.924999999999997</v>
      </c>
      <c r="ATN13">
        <v>99.894999999999996</v>
      </c>
      <c r="ATO13">
        <v>99.905000000000001</v>
      </c>
      <c r="ATP13">
        <v>99.9</v>
      </c>
      <c r="ATQ13">
        <v>99.905000000000001</v>
      </c>
      <c r="ATR13">
        <v>99.915000000000006</v>
      </c>
      <c r="ATS13">
        <v>99.915000000000006</v>
      </c>
      <c r="ATT13">
        <v>99.91</v>
      </c>
      <c r="ATU13">
        <v>99.9</v>
      </c>
      <c r="ATV13">
        <v>99.89</v>
      </c>
      <c r="ATW13">
        <v>99.91</v>
      </c>
      <c r="ATX13">
        <v>99.91</v>
      </c>
      <c r="ATY13">
        <v>99.92</v>
      </c>
      <c r="ATZ13">
        <v>99.93</v>
      </c>
      <c r="AUA13">
        <v>99.924999999999997</v>
      </c>
      <c r="AUB13">
        <v>99.93</v>
      </c>
      <c r="AUC13">
        <v>99.924999999999997</v>
      </c>
      <c r="AUD13">
        <v>99.91</v>
      </c>
      <c r="AUE13">
        <v>99.905000000000001</v>
      </c>
      <c r="AUF13">
        <v>99.92</v>
      </c>
      <c r="AUG13">
        <v>99.915000000000006</v>
      </c>
      <c r="AUH13">
        <v>99.94</v>
      </c>
      <c r="AUI13">
        <v>99.94</v>
      </c>
      <c r="AUJ13">
        <v>99.96</v>
      </c>
      <c r="AUK13">
        <v>99.96</v>
      </c>
      <c r="AUL13">
        <v>99.96</v>
      </c>
      <c r="AUM13">
        <v>99.965000000000003</v>
      </c>
      <c r="AUN13">
        <v>99.965000000000003</v>
      </c>
      <c r="AUO13">
        <v>99.974999999999994</v>
      </c>
      <c r="AUP13">
        <v>99.974999999999994</v>
      </c>
      <c r="AUQ13">
        <v>99.98</v>
      </c>
      <c r="AUR13">
        <v>99.98</v>
      </c>
      <c r="AUS13">
        <v>99.97</v>
      </c>
      <c r="AUT13">
        <v>99.95</v>
      </c>
      <c r="AUU13">
        <v>99.965000000000003</v>
      </c>
      <c r="AUV13">
        <v>99.96</v>
      </c>
      <c r="AUW13">
        <v>99.995000000000005</v>
      </c>
      <c r="AUX13">
        <v>100</v>
      </c>
      <c r="AUY13">
        <v>99.99</v>
      </c>
      <c r="AUZ13">
        <v>99.965000000000003</v>
      </c>
      <c r="AVA13">
        <v>99.96</v>
      </c>
      <c r="AVB13">
        <v>99.965000000000003</v>
      </c>
      <c r="AVC13">
        <v>99.954999999999998</v>
      </c>
      <c r="AVD13">
        <v>99.954999999999998</v>
      </c>
      <c r="AVE13">
        <v>99.984999999999999</v>
      </c>
      <c r="AVF13">
        <v>99.974999999999994</v>
      </c>
      <c r="AVG13">
        <v>99.984999999999999</v>
      </c>
      <c r="AVH13">
        <v>99.98</v>
      </c>
      <c r="AVI13">
        <v>99.974999999999994</v>
      </c>
      <c r="AVJ13">
        <v>99.954999999999998</v>
      </c>
      <c r="AVK13">
        <v>99.965000000000003</v>
      </c>
      <c r="AVL13">
        <v>99.97</v>
      </c>
      <c r="AVM13">
        <v>99.98</v>
      </c>
      <c r="AVN13">
        <v>99.974999999999994</v>
      </c>
      <c r="AVO13">
        <v>99.984999999999999</v>
      </c>
      <c r="AVP13">
        <v>99.984999999999999</v>
      </c>
      <c r="AVQ13">
        <v>99.974999999999994</v>
      </c>
      <c r="AVR13">
        <v>99.96</v>
      </c>
      <c r="AVS13">
        <v>99.95</v>
      </c>
      <c r="AVT13">
        <v>99.95</v>
      </c>
      <c r="AVU13">
        <v>99.954999999999998</v>
      </c>
      <c r="AVV13">
        <v>99.954999999999998</v>
      </c>
      <c r="AVW13">
        <v>99.99</v>
      </c>
      <c r="AVX13">
        <v>100</v>
      </c>
      <c r="AVY13">
        <v>100.02</v>
      </c>
      <c r="AVZ13">
        <v>100.02500000000001</v>
      </c>
      <c r="AWA13">
        <v>100.035</v>
      </c>
      <c r="AWB13">
        <v>100.02500000000001</v>
      </c>
      <c r="AWC13">
        <v>100.02</v>
      </c>
      <c r="AWD13">
        <v>100.015</v>
      </c>
      <c r="AWE13">
        <v>99.995000000000005</v>
      </c>
      <c r="AWF13">
        <v>99.984999999999999</v>
      </c>
      <c r="AWG13">
        <v>99.98</v>
      </c>
      <c r="AWH13">
        <v>99.99</v>
      </c>
      <c r="AWI13">
        <v>99.995000000000005</v>
      </c>
      <c r="AWJ13">
        <v>99.995000000000005</v>
      </c>
      <c r="AWK13">
        <v>99.99</v>
      </c>
      <c r="AWL13">
        <v>99.984999999999999</v>
      </c>
      <c r="AWM13">
        <v>99.98</v>
      </c>
      <c r="AWN13">
        <v>99.98</v>
      </c>
      <c r="AWO13">
        <v>99.974999999999994</v>
      </c>
      <c r="AWP13">
        <v>99.984999999999999</v>
      </c>
      <c r="AWQ13">
        <v>99.984999999999999</v>
      </c>
      <c r="AWR13">
        <v>99.984999999999999</v>
      </c>
      <c r="AWS13">
        <v>100</v>
      </c>
      <c r="AWT13">
        <v>99.984999999999999</v>
      </c>
      <c r="AWU13">
        <v>99.98</v>
      </c>
      <c r="AWV13">
        <v>99.974999999999994</v>
      </c>
      <c r="AWW13">
        <v>99.974999999999994</v>
      </c>
      <c r="AWX13">
        <v>99.974999999999994</v>
      </c>
      <c r="AWY13">
        <v>99.965000000000003</v>
      </c>
      <c r="AWZ13">
        <v>99.984999999999999</v>
      </c>
      <c r="AXA13">
        <v>99.984999999999999</v>
      </c>
      <c r="AXB13">
        <v>99.974999999999994</v>
      </c>
      <c r="AXC13">
        <v>99.954999999999998</v>
      </c>
      <c r="AXD13">
        <v>99.954999999999998</v>
      </c>
      <c r="AXE13">
        <v>99.954999999999998</v>
      </c>
      <c r="AXF13">
        <v>99.95</v>
      </c>
      <c r="AXG13">
        <v>99.94</v>
      </c>
      <c r="AXH13">
        <v>99.92</v>
      </c>
      <c r="AXI13">
        <v>99.915000000000006</v>
      </c>
      <c r="AXJ13">
        <v>99.92</v>
      </c>
      <c r="AXK13">
        <v>99.935000000000002</v>
      </c>
      <c r="AXL13">
        <v>99.924999999999997</v>
      </c>
      <c r="AXM13">
        <v>99.935000000000002</v>
      </c>
      <c r="AXN13">
        <v>99.91</v>
      </c>
      <c r="AXO13">
        <v>99.86</v>
      </c>
      <c r="AXP13">
        <v>99.825000000000003</v>
      </c>
      <c r="AXQ13">
        <v>99.82</v>
      </c>
      <c r="AXR13">
        <v>99.885000000000005</v>
      </c>
      <c r="AXS13">
        <v>99.9</v>
      </c>
      <c r="AXT13">
        <v>99.935000000000002</v>
      </c>
      <c r="AXU13">
        <v>99.94</v>
      </c>
      <c r="AXV13">
        <v>99.93</v>
      </c>
      <c r="AXW13">
        <v>99.91</v>
      </c>
      <c r="AXX13">
        <v>99.915000000000006</v>
      </c>
      <c r="AXY13">
        <v>99.92</v>
      </c>
      <c r="AXZ13">
        <v>99.924999999999997</v>
      </c>
      <c r="AYA13">
        <v>99.924999999999997</v>
      </c>
      <c r="AYB13">
        <v>99.92</v>
      </c>
      <c r="AYC13">
        <v>99.92</v>
      </c>
      <c r="AYD13">
        <v>99.92</v>
      </c>
      <c r="AYE13">
        <v>99.92</v>
      </c>
      <c r="AYF13">
        <v>99.965000000000003</v>
      </c>
      <c r="AYG13">
        <v>99.94</v>
      </c>
      <c r="AYH13">
        <v>99.93</v>
      </c>
      <c r="AYI13">
        <v>99.91</v>
      </c>
      <c r="AYJ13">
        <v>99.905000000000001</v>
      </c>
      <c r="AYK13">
        <v>99.924999999999997</v>
      </c>
      <c r="AYL13">
        <v>99.935000000000002</v>
      </c>
      <c r="AYM13">
        <v>99.88</v>
      </c>
      <c r="AYN13">
        <v>99.86</v>
      </c>
      <c r="AYO13">
        <v>99.86</v>
      </c>
      <c r="AYP13">
        <v>99.844999999999999</v>
      </c>
      <c r="AYQ13">
        <v>99.85</v>
      </c>
      <c r="AYR13">
        <v>99.84</v>
      </c>
      <c r="AYS13">
        <v>99.825000000000003</v>
      </c>
      <c r="AYT13">
        <v>99.82</v>
      </c>
      <c r="AYU13">
        <v>99.83</v>
      </c>
      <c r="AYV13">
        <v>99.83</v>
      </c>
      <c r="AYW13">
        <v>99.825000000000003</v>
      </c>
      <c r="AYX13">
        <v>99.834999999999994</v>
      </c>
      <c r="AYY13">
        <v>99.814999999999998</v>
      </c>
      <c r="AYZ13">
        <v>99.805000000000007</v>
      </c>
      <c r="AZA13">
        <v>99.79</v>
      </c>
      <c r="AZB13">
        <v>99.78</v>
      </c>
      <c r="AZC13">
        <v>99.75</v>
      </c>
      <c r="AZD13">
        <v>99.734999999999999</v>
      </c>
      <c r="AZE13">
        <v>99.745000000000005</v>
      </c>
      <c r="AZF13">
        <v>99.745000000000005</v>
      </c>
      <c r="AZG13">
        <v>99.724999999999994</v>
      </c>
      <c r="AZH13">
        <v>99.71</v>
      </c>
      <c r="AZI13">
        <v>99.754999999999995</v>
      </c>
      <c r="AZJ13">
        <v>99.814999999999998</v>
      </c>
      <c r="AZK13">
        <v>99.81</v>
      </c>
      <c r="AZL13">
        <v>99.825000000000003</v>
      </c>
      <c r="AZM13">
        <v>99.8</v>
      </c>
      <c r="AZN13">
        <v>99.83</v>
      </c>
      <c r="AZO13">
        <v>99.784999999999997</v>
      </c>
      <c r="AZP13">
        <v>99.765000000000001</v>
      </c>
      <c r="AZQ13">
        <v>99.734999999999999</v>
      </c>
      <c r="AZR13">
        <v>99.73</v>
      </c>
      <c r="AZS13">
        <v>99.79</v>
      </c>
      <c r="AZT13">
        <v>99.71</v>
      </c>
      <c r="AZU13">
        <v>99.65</v>
      </c>
      <c r="AZV13">
        <v>99.545000000000002</v>
      </c>
      <c r="AZW13">
        <v>99.69</v>
      </c>
      <c r="AZX13">
        <v>99.74</v>
      </c>
      <c r="AZY13">
        <v>99.665000000000006</v>
      </c>
      <c r="AZZ13">
        <v>99.694999999999993</v>
      </c>
      <c r="BAA13">
        <v>99.625</v>
      </c>
      <c r="BAB13">
        <v>99.61</v>
      </c>
      <c r="BAC13">
        <v>99.73</v>
      </c>
      <c r="BAD13">
        <v>99.655000000000001</v>
      </c>
      <c r="BAE13">
        <v>99.57</v>
      </c>
      <c r="BAF13">
        <v>99.52</v>
      </c>
      <c r="BAG13">
        <v>99.454999999999998</v>
      </c>
      <c r="BAH13">
        <v>99.385000000000005</v>
      </c>
      <c r="BAI13">
        <v>99.385000000000005</v>
      </c>
      <c r="BAJ13">
        <v>99.185000000000002</v>
      </c>
      <c r="BAK13">
        <v>99.125</v>
      </c>
      <c r="BAL13">
        <v>99.135000000000005</v>
      </c>
      <c r="BAM13">
        <v>99.08</v>
      </c>
      <c r="BAN13">
        <v>98.97</v>
      </c>
      <c r="BAO13">
        <v>98.905000000000001</v>
      </c>
      <c r="BAP13">
        <v>98.86</v>
      </c>
      <c r="BAQ13">
        <v>98.885000000000005</v>
      </c>
      <c r="BAR13">
        <v>98.855000000000004</v>
      </c>
      <c r="BAS13">
        <v>98.855000000000004</v>
      </c>
      <c r="BAT13">
        <v>98.82</v>
      </c>
      <c r="BAU13">
        <v>98.82</v>
      </c>
      <c r="BAV13">
        <v>98.86</v>
      </c>
      <c r="BAW13">
        <v>98.89</v>
      </c>
      <c r="BAX13">
        <v>98.855000000000004</v>
      </c>
      <c r="BAY13">
        <v>98.8</v>
      </c>
      <c r="BAZ13">
        <v>98.82</v>
      </c>
      <c r="BBA13">
        <v>98.86</v>
      </c>
      <c r="BBB13">
        <v>98.944999999999993</v>
      </c>
      <c r="BBC13">
        <v>98.96</v>
      </c>
      <c r="BBD13">
        <v>98.905000000000001</v>
      </c>
      <c r="BBE13">
        <v>98.86</v>
      </c>
      <c r="BBF13">
        <v>98.81</v>
      </c>
      <c r="BBG13">
        <v>98.844999999999999</v>
      </c>
      <c r="BBH13">
        <v>98.76</v>
      </c>
      <c r="BBI13">
        <v>98.704999999999998</v>
      </c>
      <c r="BBJ13">
        <v>98.685000000000002</v>
      </c>
      <c r="BBK13">
        <v>98.67</v>
      </c>
      <c r="BBL13">
        <v>98.614999999999995</v>
      </c>
      <c r="BBM13">
        <v>98.614999999999995</v>
      </c>
      <c r="BBN13">
        <v>98.63</v>
      </c>
      <c r="BBO13">
        <v>98.64</v>
      </c>
      <c r="BBP13">
        <v>98.63</v>
      </c>
      <c r="BBQ13">
        <v>98.614999999999995</v>
      </c>
      <c r="BBR13">
        <v>98.62</v>
      </c>
      <c r="BBS13">
        <v>98.605000000000004</v>
      </c>
      <c r="BBT13">
        <v>98.6</v>
      </c>
      <c r="BBU13">
        <v>98.644999999999996</v>
      </c>
      <c r="BBV13">
        <v>98.655000000000001</v>
      </c>
      <c r="BBW13">
        <v>98.66</v>
      </c>
      <c r="BBX13">
        <v>98.57</v>
      </c>
      <c r="BBY13">
        <v>98.56</v>
      </c>
      <c r="BBZ13">
        <v>98.56</v>
      </c>
      <c r="BCA13">
        <v>98.564999999999998</v>
      </c>
      <c r="BCB13">
        <v>98.564999999999998</v>
      </c>
      <c r="BCC13">
        <v>98.525000000000006</v>
      </c>
      <c r="BCD13">
        <v>98.525000000000006</v>
      </c>
      <c r="BCE13">
        <v>98.525000000000006</v>
      </c>
      <c r="BCF13">
        <v>98.504999999999995</v>
      </c>
      <c r="BCG13">
        <v>98.545000000000002</v>
      </c>
      <c r="BCH13">
        <v>98.56</v>
      </c>
      <c r="BCI13">
        <v>98.54</v>
      </c>
      <c r="BCJ13">
        <v>98.575000000000003</v>
      </c>
      <c r="BCK13">
        <v>98.584999999999994</v>
      </c>
      <c r="BCL13">
        <v>98.66</v>
      </c>
      <c r="BCM13">
        <v>98.58</v>
      </c>
      <c r="BCN13">
        <v>98.665000000000006</v>
      </c>
      <c r="BCO13">
        <v>98.625</v>
      </c>
      <c r="BCP13">
        <v>98.64</v>
      </c>
      <c r="BCQ13">
        <v>98.65</v>
      </c>
      <c r="BCR13">
        <v>98.71</v>
      </c>
      <c r="BCS13">
        <v>98.724999999999994</v>
      </c>
      <c r="BCT13">
        <v>98.8</v>
      </c>
      <c r="BCU13">
        <v>98.68</v>
      </c>
      <c r="BCV13">
        <v>98.715000000000003</v>
      </c>
      <c r="BCW13">
        <v>98.704999999999998</v>
      </c>
      <c r="BCX13">
        <v>98.704999999999998</v>
      </c>
      <c r="BCY13">
        <v>98.745000000000005</v>
      </c>
      <c r="BCZ13">
        <v>98.734999999999999</v>
      </c>
      <c r="BDA13">
        <v>98.72</v>
      </c>
      <c r="BDB13">
        <v>98.74</v>
      </c>
      <c r="BDC13">
        <v>98.77</v>
      </c>
      <c r="BDD13">
        <v>98.734999999999999</v>
      </c>
      <c r="BDE13">
        <v>98.71</v>
      </c>
      <c r="BDF13">
        <v>98.685000000000002</v>
      </c>
      <c r="BDG13">
        <v>98.694999999999993</v>
      </c>
      <c r="BDH13">
        <v>98.644999999999996</v>
      </c>
      <c r="BDI13">
        <v>98.594999999999999</v>
      </c>
      <c r="BDJ13">
        <v>98.564999999999998</v>
      </c>
      <c r="BDK13">
        <v>98.575000000000003</v>
      </c>
      <c r="BDL13">
        <v>98.56</v>
      </c>
      <c r="BDM13">
        <v>98.67</v>
      </c>
      <c r="BDN13">
        <v>98.644999999999996</v>
      </c>
      <c r="BDO13">
        <v>98.704999999999998</v>
      </c>
      <c r="BDP13">
        <v>98.754999999999995</v>
      </c>
      <c r="BDQ13">
        <v>98.825000000000003</v>
      </c>
      <c r="BDR13">
        <v>98.7</v>
      </c>
      <c r="BDS13">
        <v>98.68</v>
      </c>
      <c r="BDT13">
        <v>98.685000000000002</v>
      </c>
      <c r="BDU13">
        <v>98.715000000000003</v>
      </c>
      <c r="BDV13">
        <v>98.76</v>
      </c>
      <c r="BDW13">
        <v>98.77</v>
      </c>
      <c r="BDX13">
        <v>98.75</v>
      </c>
      <c r="BDY13">
        <v>98.724999999999994</v>
      </c>
      <c r="BDZ13">
        <v>98.765000000000001</v>
      </c>
      <c r="BEA13">
        <v>98.74</v>
      </c>
      <c r="BEB13">
        <v>98.765000000000001</v>
      </c>
      <c r="BEC13">
        <v>98.724999999999994</v>
      </c>
      <c r="BED13">
        <v>98.78</v>
      </c>
      <c r="BEE13">
        <v>98.76</v>
      </c>
      <c r="BEF13">
        <v>98.89</v>
      </c>
      <c r="BEG13">
        <v>98.954999999999998</v>
      </c>
      <c r="BEH13">
        <v>99.01</v>
      </c>
      <c r="BEI13">
        <v>98.98</v>
      </c>
      <c r="BEJ13">
        <v>99.05</v>
      </c>
      <c r="BEK13">
        <v>99.06</v>
      </c>
      <c r="BEL13">
        <v>98.96</v>
      </c>
      <c r="BEM13">
        <v>98.885000000000005</v>
      </c>
      <c r="BEN13">
        <v>98.814999999999998</v>
      </c>
      <c r="BEO13">
        <v>98.825000000000003</v>
      </c>
      <c r="BEP13">
        <v>98.814999999999998</v>
      </c>
      <c r="BEQ13">
        <v>98.8</v>
      </c>
      <c r="BER13">
        <v>98.9</v>
      </c>
      <c r="BES13">
        <v>98.805000000000007</v>
      </c>
      <c r="BET13">
        <v>98.765000000000001</v>
      </c>
      <c r="BEU13">
        <v>98.78</v>
      </c>
      <c r="BEV13">
        <v>98.745000000000005</v>
      </c>
      <c r="BEW13">
        <v>98.72</v>
      </c>
      <c r="BEX13">
        <v>98.68</v>
      </c>
      <c r="BEY13">
        <v>98.62</v>
      </c>
      <c r="BEZ13">
        <v>98.715000000000003</v>
      </c>
      <c r="BFA13">
        <v>98.8</v>
      </c>
      <c r="BFB13">
        <v>98.825000000000003</v>
      </c>
      <c r="BFC13">
        <v>98.924999999999997</v>
      </c>
      <c r="BFD13">
        <v>99</v>
      </c>
      <c r="BFE13">
        <v>99.004999999999995</v>
      </c>
      <c r="BFF13">
        <v>99.135000000000005</v>
      </c>
      <c r="BFG13">
        <v>99.094999999999999</v>
      </c>
      <c r="BFH13">
        <v>99.015000000000001</v>
      </c>
      <c r="BFI13">
        <v>99.015000000000001</v>
      </c>
      <c r="BFJ13">
        <v>98.99</v>
      </c>
      <c r="BFK13">
        <v>99.03</v>
      </c>
      <c r="BFL13">
        <v>98.984999999999999</v>
      </c>
      <c r="BFM13">
        <v>98.94</v>
      </c>
      <c r="BFN13">
        <v>98.965000000000003</v>
      </c>
      <c r="BFO13">
        <v>98.86</v>
      </c>
      <c r="BFP13">
        <v>98.89</v>
      </c>
      <c r="BFQ13">
        <v>98.924999999999997</v>
      </c>
      <c r="BFR13">
        <v>98.885000000000005</v>
      </c>
      <c r="BFS13">
        <v>98.944999999999993</v>
      </c>
      <c r="BFT13">
        <v>98.94</v>
      </c>
      <c r="BFU13">
        <v>98.87</v>
      </c>
      <c r="BFV13">
        <v>98.784999999999997</v>
      </c>
      <c r="BFW13">
        <v>98.89</v>
      </c>
      <c r="BFX13">
        <v>98.81</v>
      </c>
      <c r="BFY13">
        <v>98.855000000000004</v>
      </c>
      <c r="BFZ13">
        <v>98.93</v>
      </c>
      <c r="BGA13">
        <v>98.834999999999994</v>
      </c>
      <c r="BGB13">
        <v>98.9</v>
      </c>
      <c r="BGC13">
        <v>98.685000000000002</v>
      </c>
      <c r="BGD13">
        <v>98.665000000000006</v>
      </c>
      <c r="BGE13">
        <v>98.474999999999994</v>
      </c>
      <c r="BGF13">
        <v>98.52</v>
      </c>
      <c r="BGG13">
        <v>98.53</v>
      </c>
      <c r="BGH13">
        <v>98.51</v>
      </c>
      <c r="BGI13">
        <v>98.534999999999997</v>
      </c>
      <c r="BGJ13">
        <v>98.56</v>
      </c>
      <c r="BGK13">
        <v>98.555000000000007</v>
      </c>
      <c r="BGL13">
        <v>98.584999999999994</v>
      </c>
      <c r="BGM13">
        <v>98.564999999999998</v>
      </c>
      <c r="BGN13">
        <v>98.614999999999995</v>
      </c>
      <c r="BGO13">
        <v>98.53</v>
      </c>
      <c r="BGP13">
        <v>98.474999999999994</v>
      </c>
      <c r="BGQ13">
        <v>98.504999999999995</v>
      </c>
      <c r="BGR13">
        <v>98.5</v>
      </c>
      <c r="BGS13">
        <v>98.484999999999999</v>
      </c>
      <c r="BGT13">
        <v>98.534999999999997</v>
      </c>
      <c r="BGU13">
        <v>98.495000000000005</v>
      </c>
      <c r="BGV13">
        <v>98.515000000000001</v>
      </c>
      <c r="BGW13">
        <v>98.51</v>
      </c>
      <c r="BGX13">
        <v>98.594999999999999</v>
      </c>
      <c r="BGY13">
        <v>98.594999999999999</v>
      </c>
      <c r="BGZ13">
        <v>98.59</v>
      </c>
      <c r="BHA13">
        <v>98.54</v>
      </c>
      <c r="BHB13">
        <v>98.584999999999994</v>
      </c>
      <c r="BHC13">
        <v>98.6</v>
      </c>
      <c r="BHD13">
        <v>98.57</v>
      </c>
      <c r="BHE13">
        <v>98.655000000000001</v>
      </c>
      <c r="BHF13">
        <v>98.63</v>
      </c>
      <c r="BHG13">
        <v>98.58</v>
      </c>
      <c r="BHH13">
        <v>98.635000000000005</v>
      </c>
      <c r="BHI13">
        <v>98.64</v>
      </c>
      <c r="BHJ13">
        <v>98.545000000000002</v>
      </c>
      <c r="BHK13">
        <v>98.545000000000002</v>
      </c>
      <c r="BHL13">
        <v>98.564999999999998</v>
      </c>
      <c r="BHM13">
        <v>98.57</v>
      </c>
      <c r="BHN13">
        <v>98.5</v>
      </c>
      <c r="BHO13">
        <v>98.45</v>
      </c>
      <c r="BHP13">
        <v>98.444999999999993</v>
      </c>
      <c r="BHQ13">
        <v>98.484999999999999</v>
      </c>
      <c r="BHR13">
        <v>98.47</v>
      </c>
      <c r="BHS13">
        <v>98.545000000000002</v>
      </c>
      <c r="BHT13">
        <v>98.525000000000006</v>
      </c>
      <c r="BHU13">
        <v>98.57</v>
      </c>
      <c r="BHV13">
        <v>98.5</v>
      </c>
      <c r="BHW13">
        <v>98.36</v>
      </c>
      <c r="BHX13">
        <v>98.364999999999995</v>
      </c>
      <c r="BHY13">
        <v>98.33</v>
      </c>
      <c r="BHZ13">
        <v>98.275000000000006</v>
      </c>
      <c r="BIA13">
        <v>98.275000000000006</v>
      </c>
      <c r="BIB13">
        <v>98.305000000000007</v>
      </c>
      <c r="BIC13">
        <v>98.17</v>
      </c>
      <c r="BID13">
        <v>98.135000000000005</v>
      </c>
      <c r="BIE13">
        <v>98.165000000000006</v>
      </c>
      <c r="BIF13">
        <v>98.19</v>
      </c>
      <c r="BIG13">
        <v>98.18</v>
      </c>
      <c r="BIH13">
        <v>98.224999999999994</v>
      </c>
      <c r="BII13">
        <v>98.174999999999997</v>
      </c>
      <c r="BIJ13">
        <v>98.185000000000002</v>
      </c>
      <c r="BIK13">
        <v>98.11</v>
      </c>
      <c r="BIL13">
        <v>98.094999999999999</v>
      </c>
      <c r="BIM13">
        <v>98.06</v>
      </c>
      <c r="BIN13">
        <v>98.09</v>
      </c>
      <c r="BIO13">
        <v>98.034999999999997</v>
      </c>
      <c r="BIP13">
        <v>97.995000000000005</v>
      </c>
      <c r="BIQ13">
        <v>97.99</v>
      </c>
      <c r="BIR13">
        <v>98.05</v>
      </c>
      <c r="BIS13">
        <v>98.09</v>
      </c>
      <c r="BIT13">
        <v>98.064999999999998</v>
      </c>
      <c r="BIU13">
        <v>98.07</v>
      </c>
      <c r="BIV13">
        <v>98.02</v>
      </c>
      <c r="BIW13">
        <v>98.034999999999997</v>
      </c>
      <c r="BIX13">
        <v>97.98</v>
      </c>
      <c r="BIY13">
        <v>97.96</v>
      </c>
      <c r="BIZ13">
        <v>97.96</v>
      </c>
      <c r="BJA13">
        <v>97.96</v>
      </c>
      <c r="BJB13">
        <v>97.935000000000002</v>
      </c>
      <c r="BJC13">
        <v>97.93</v>
      </c>
      <c r="BJD13">
        <v>97.96</v>
      </c>
      <c r="BJE13">
        <v>97.954999999999998</v>
      </c>
      <c r="BJF13">
        <v>98.03</v>
      </c>
      <c r="BJG13">
        <v>98.064999999999998</v>
      </c>
      <c r="BJH13">
        <v>98.03</v>
      </c>
      <c r="BJI13">
        <v>97.995000000000005</v>
      </c>
      <c r="BJJ13">
        <v>98.004999999999995</v>
      </c>
      <c r="BJK13">
        <v>98.015000000000001</v>
      </c>
      <c r="BJL13">
        <v>98.025000000000006</v>
      </c>
      <c r="BJM13">
        <v>98.045000000000002</v>
      </c>
      <c r="BJN13">
        <v>98.034999999999997</v>
      </c>
      <c r="BJO13">
        <v>98.114999999999995</v>
      </c>
      <c r="BJP13">
        <v>98.19</v>
      </c>
      <c r="BJQ13">
        <v>98.224999999999994</v>
      </c>
      <c r="BJR13">
        <v>98.174999999999997</v>
      </c>
      <c r="BJS13">
        <v>98.204999999999998</v>
      </c>
      <c r="BJT13">
        <v>98.1</v>
      </c>
      <c r="BJU13">
        <v>97.984999999999999</v>
      </c>
      <c r="BJV13">
        <v>97.965000000000003</v>
      </c>
      <c r="BJW13">
        <v>97.875</v>
      </c>
      <c r="BJX13">
        <v>97.89</v>
      </c>
      <c r="BJY13">
        <v>97.894999999999996</v>
      </c>
      <c r="BJZ13">
        <v>97.864999999999995</v>
      </c>
      <c r="BKA13">
        <v>97.87</v>
      </c>
      <c r="BKB13">
        <v>97.85</v>
      </c>
      <c r="BKC13">
        <v>97.82</v>
      </c>
      <c r="BKD13">
        <v>97.83</v>
      </c>
      <c r="BKE13">
        <v>97.814999999999998</v>
      </c>
      <c r="BKF13">
        <v>97.74</v>
      </c>
      <c r="BKG13">
        <v>97.704999999999998</v>
      </c>
      <c r="BKH13">
        <v>97.71</v>
      </c>
      <c r="BKI13">
        <v>97.7</v>
      </c>
      <c r="BKJ13">
        <v>97.77</v>
      </c>
      <c r="BKK13">
        <v>97.79</v>
      </c>
      <c r="BKL13">
        <v>97.814999999999998</v>
      </c>
      <c r="BKM13">
        <v>97.784999999999997</v>
      </c>
      <c r="BKN13">
        <v>97.79</v>
      </c>
      <c r="BKO13">
        <v>97.745000000000005</v>
      </c>
      <c r="BKP13">
        <v>97.784999999999997</v>
      </c>
      <c r="BKQ13">
        <v>97.78</v>
      </c>
      <c r="BKR13">
        <v>97.765000000000001</v>
      </c>
      <c r="BKS13">
        <v>97.765000000000001</v>
      </c>
      <c r="BKT13">
        <v>97.77</v>
      </c>
      <c r="BKU13">
        <v>97.73</v>
      </c>
      <c r="BKV13">
        <v>97.79</v>
      </c>
      <c r="BKW13">
        <v>97.82</v>
      </c>
      <c r="BKX13">
        <v>97.844999999999999</v>
      </c>
      <c r="BKY13">
        <v>97.81</v>
      </c>
      <c r="BKZ13">
        <v>97.754999999999995</v>
      </c>
      <c r="BLA13">
        <v>97.745000000000005</v>
      </c>
      <c r="BLB13">
        <v>97.74</v>
      </c>
      <c r="BLC13">
        <v>97.76</v>
      </c>
      <c r="BLD13">
        <v>97.784999999999997</v>
      </c>
      <c r="BLE13">
        <v>97.715000000000003</v>
      </c>
      <c r="BLF13">
        <v>97.665000000000006</v>
      </c>
      <c r="BLG13">
        <v>97.66</v>
      </c>
      <c r="BLH13">
        <v>97.65</v>
      </c>
      <c r="BLI13">
        <v>97.674999999999997</v>
      </c>
      <c r="BLJ13">
        <v>97.66</v>
      </c>
      <c r="BLK13">
        <v>97.665000000000006</v>
      </c>
      <c r="BLL13">
        <v>97.62</v>
      </c>
      <c r="BLM13">
        <v>97.62</v>
      </c>
      <c r="BLN13">
        <v>97.69</v>
      </c>
      <c r="BLO13">
        <v>97.72</v>
      </c>
      <c r="BLP13">
        <v>97.745000000000005</v>
      </c>
      <c r="BLQ13">
        <v>97.734999999999999</v>
      </c>
      <c r="BLR13">
        <v>97.74</v>
      </c>
      <c r="BLS13">
        <v>97.724999999999994</v>
      </c>
      <c r="BLT13">
        <v>97.73</v>
      </c>
      <c r="BLU13">
        <v>97.72</v>
      </c>
      <c r="BLV13">
        <v>97.79</v>
      </c>
      <c r="BLW13">
        <v>97.834999999999994</v>
      </c>
      <c r="BLX13">
        <v>97.9</v>
      </c>
      <c r="BLY13">
        <v>97.715000000000003</v>
      </c>
      <c r="BLZ13">
        <v>97.724999999999994</v>
      </c>
      <c r="BMA13">
        <v>97.724999999999994</v>
      </c>
      <c r="BMB13">
        <v>97.72</v>
      </c>
      <c r="BMC13">
        <v>97.71</v>
      </c>
      <c r="BMD13">
        <v>97.655000000000001</v>
      </c>
      <c r="BME13">
        <v>97.63</v>
      </c>
      <c r="BMF13">
        <v>97.63</v>
      </c>
      <c r="BMG13">
        <v>97.57</v>
      </c>
      <c r="BMH13">
        <v>97.534999999999997</v>
      </c>
      <c r="BMI13">
        <v>97.525000000000006</v>
      </c>
      <c r="BMJ13">
        <v>97.52</v>
      </c>
      <c r="BMK13">
        <v>97.47</v>
      </c>
      <c r="BML13">
        <v>97.435000000000002</v>
      </c>
      <c r="BMM13">
        <v>97.405000000000001</v>
      </c>
      <c r="BMN13">
        <v>97.41</v>
      </c>
      <c r="BMO13">
        <v>97.444999999999993</v>
      </c>
      <c r="BMP13">
        <v>97.484999999999999</v>
      </c>
      <c r="BMQ13">
        <v>97.45</v>
      </c>
      <c r="BMR13">
        <v>97.41</v>
      </c>
      <c r="BMS13">
        <v>97.305000000000007</v>
      </c>
      <c r="BMT13">
        <v>97.305000000000007</v>
      </c>
      <c r="BMU13">
        <v>97.275000000000006</v>
      </c>
      <c r="BMV13">
        <v>97.295000000000002</v>
      </c>
      <c r="BMW13">
        <v>97.29</v>
      </c>
      <c r="BMX13">
        <v>97.284999999999997</v>
      </c>
      <c r="BMY13">
        <v>97.25</v>
      </c>
      <c r="BMZ13">
        <v>97.234999999999999</v>
      </c>
      <c r="BNA13">
        <v>97.245000000000005</v>
      </c>
      <c r="BNB13">
        <v>97.245000000000005</v>
      </c>
      <c r="BNC13">
        <v>97.245000000000005</v>
      </c>
      <c r="BND13">
        <v>97.254999999999995</v>
      </c>
      <c r="BNE13">
        <v>97.26</v>
      </c>
      <c r="BNF13">
        <v>97.224999999999994</v>
      </c>
      <c r="BNG13">
        <v>97.174999999999997</v>
      </c>
      <c r="BNH13">
        <v>97.165000000000006</v>
      </c>
      <c r="BNI13">
        <v>97.11</v>
      </c>
      <c r="BNJ13">
        <v>97.09</v>
      </c>
      <c r="BNK13">
        <v>97.07</v>
      </c>
      <c r="BNL13">
        <v>97.055000000000007</v>
      </c>
      <c r="BNM13">
        <v>97.09</v>
      </c>
      <c r="BNN13">
        <v>97.1</v>
      </c>
      <c r="BNO13">
        <v>97.11</v>
      </c>
      <c r="BNP13">
        <v>97.114999999999995</v>
      </c>
      <c r="BNQ13">
        <v>97.155000000000001</v>
      </c>
      <c r="BNR13">
        <v>97.144999999999996</v>
      </c>
      <c r="BNS13">
        <v>97.174999999999997</v>
      </c>
      <c r="BNT13">
        <v>97.174999999999997</v>
      </c>
      <c r="BNU13">
        <v>97.18</v>
      </c>
      <c r="BNV13">
        <v>97.11</v>
      </c>
      <c r="BNW13">
        <v>97.11</v>
      </c>
      <c r="BNX13">
        <v>97.08</v>
      </c>
      <c r="BNY13">
        <v>97.045000000000002</v>
      </c>
      <c r="BNZ13">
        <v>97.04</v>
      </c>
      <c r="BOA13">
        <v>97.06</v>
      </c>
      <c r="BOB13">
        <v>97.05</v>
      </c>
      <c r="BOC13">
        <v>97.05</v>
      </c>
      <c r="BOD13">
        <v>97.055000000000007</v>
      </c>
      <c r="BOE13">
        <v>97.064999999999998</v>
      </c>
      <c r="BOF13">
        <v>97.045000000000002</v>
      </c>
      <c r="BOG13">
        <v>96.995000000000005</v>
      </c>
      <c r="BOH13">
        <v>96.984999999999999</v>
      </c>
      <c r="BOI13">
        <v>96.99</v>
      </c>
      <c r="BOJ13">
        <v>96.995000000000005</v>
      </c>
      <c r="BOK13">
        <v>97.02</v>
      </c>
      <c r="BOL13">
        <v>97.055000000000007</v>
      </c>
      <c r="BOM13">
        <v>97.105000000000004</v>
      </c>
      <c r="BON13">
        <v>97.094999999999999</v>
      </c>
      <c r="BOO13">
        <v>97.094999999999999</v>
      </c>
      <c r="BOP13">
        <v>97.075000000000003</v>
      </c>
      <c r="BOQ13">
        <v>97.075000000000003</v>
      </c>
      <c r="BOR13">
        <v>97.064999999999998</v>
      </c>
      <c r="BOS13">
        <v>97.08</v>
      </c>
      <c r="BOT13">
        <v>97.084999999999994</v>
      </c>
      <c r="BOU13">
        <v>97.075000000000003</v>
      </c>
      <c r="BOV13">
        <v>97.094999999999999</v>
      </c>
      <c r="BOW13">
        <v>97.114999999999995</v>
      </c>
      <c r="BOX13">
        <v>97.144999999999996</v>
      </c>
      <c r="BOY13">
        <v>97.144999999999996</v>
      </c>
      <c r="BOZ13">
        <v>97.18</v>
      </c>
      <c r="BPA13">
        <v>97.204999999999998</v>
      </c>
      <c r="BPB13">
        <v>97.204999999999998</v>
      </c>
      <c r="BPC13">
        <v>97.254999999999995</v>
      </c>
      <c r="BPD13">
        <v>97.254999999999995</v>
      </c>
      <c r="BPE13">
        <v>97.314999999999998</v>
      </c>
      <c r="BPF13">
        <v>97.3</v>
      </c>
      <c r="BPG13">
        <v>97.305000000000007</v>
      </c>
      <c r="BPH13">
        <v>97.325000000000003</v>
      </c>
      <c r="BPI13">
        <v>97.325000000000003</v>
      </c>
      <c r="BPJ13">
        <v>97.29</v>
      </c>
      <c r="BPK13">
        <v>97.28</v>
      </c>
      <c r="BPL13">
        <v>97.295000000000002</v>
      </c>
      <c r="BPM13">
        <v>97.31</v>
      </c>
      <c r="BPN13">
        <v>97.33</v>
      </c>
      <c r="BPO13">
        <v>97.33</v>
      </c>
      <c r="BPP13">
        <v>97.35</v>
      </c>
      <c r="BPQ13">
        <v>97.34</v>
      </c>
      <c r="BPR13">
        <v>97.35</v>
      </c>
      <c r="BPS13">
        <v>97.325000000000003</v>
      </c>
      <c r="BPT13">
        <v>97.32</v>
      </c>
      <c r="BPU13">
        <v>97.34</v>
      </c>
      <c r="BPV13">
        <v>97.305000000000007</v>
      </c>
      <c r="BPW13">
        <v>97.33</v>
      </c>
      <c r="BPX13">
        <v>97.334999999999994</v>
      </c>
      <c r="BPY13">
        <v>97.27</v>
      </c>
      <c r="BPZ13">
        <v>97.254999999999995</v>
      </c>
      <c r="BQA13">
        <v>97.25</v>
      </c>
      <c r="BQB13">
        <v>97.254999999999995</v>
      </c>
      <c r="BQC13">
        <v>97.245000000000005</v>
      </c>
      <c r="BQD13">
        <v>97.234999999999999</v>
      </c>
      <c r="BQE13">
        <v>97.245000000000005</v>
      </c>
      <c r="BQF13">
        <v>97.25</v>
      </c>
      <c r="BQG13">
        <v>97.25</v>
      </c>
      <c r="BQH13">
        <v>97.24</v>
      </c>
      <c r="BQI13">
        <v>97.234999999999999</v>
      </c>
      <c r="BQJ13">
        <v>97.28</v>
      </c>
      <c r="BQK13">
        <v>97.28</v>
      </c>
      <c r="BQL13">
        <v>97.29</v>
      </c>
      <c r="BQM13">
        <v>97.325000000000003</v>
      </c>
      <c r="BQN13">
        <v>97.33</v>
      </c>
      <c r="BQO13">
        <v>97.314999999999998</v>
      </c>
      <c r="BQP13">
        <v>97.32</v>
      </c>
      <c r="BQQ13">
        <v>97.344999999999999</v>
      </c>
      <c r="BQR13">
        <v>97.355000000000004</v>
      </c>
      <c r="BQS13">
        <v>97.34</v>
      </c>
      <c r="BQT13">
        <v>97.344999999999999</v>
      </c>
      <c r="BQU13">
        <v>97.34</v>
      </c>
      <c r="BQV13">
        <v>97.35</v>
      </c>
      <c r="BQW13">
        <v>97.36</v>
      </c>
      <c r="BQX13">
        <v>97.34</v>
      </c>
      <c r="BQY13">
        <v>97.355000000000004</v>
      </c>
      <c r="BQZ13">
        <v>97.355000000000004</v>
      </c>
      <c r="BRA13">
        <v>97.35</v>
      </c>
      <c r="BRB13">
        <v>97.35</v>
      </c>
      <c r="BRC13">
        <v>97.355000000000004</v>
      </c>
      <c r="BRD13">
        <v>97.35</v>
      </c>
      <c r="BRE13">
        <v>97.305000000000007</v>
      </c>
      <c r="BRF13">
        <v>97.29</v>
      </c>
      <c r="BRG13">
        <v>97.26</v>
      </c>
      <c r="BRH13">
        <v>97.26</v>
      </c>
      <c r="BRI13">
        <v>97.25</v>
      </c>
      <c r="BRJ13">
        <v>97.254999999999995</v>
      </c>
      <c r="BRK13">
        <v>97.224999999999994</v>
      </c>
      <c r="BRL13">
        <v>97.234999999999999</v>
      </c>
      <c r="BRM13">
        <v>97.22</v>
      </c>
      <c r="BRN13">
        <v>97.22</v>
      </c>
      <c r="BRO13">
        <v>97.254999999999995</v>
      </c>
      <c r="BRP13">
        <v>97.27</v>
      </c>
      <c r="BRQ13">
        <v>97.28</v>
      </c>
      <c r="BRR13">
        <v>97.245000000000005</v>
      </c>
      <c r="BRS13">
        <v>97.234999999999999</v>
      </c>
      <c r="BRT13">
        <v>97.275000000000006</v>
      </c>
      <c r="BRU13">
        <v>97.254999999999995</v>
      </c>
      <c r="BRV13">
        <v>97.295000000000002</v>
      </c>
      <c r="BRW13">
        <v>97.364999999999995</v>
      </c>
      <c r="BRX13">
        <v>97.36</v>
      </c>
      <c r="BRY13">
        <v>97.454999999999998</v>
      </c>
      <c r="BRZ13">
        <v>97.24</v>
      </c>
      <c r="BSA13">
        <v>97.24</v>
      </c>
      <c r="BSB13">
        <v>97.21</v>
      </c>
      <c r="BSC13">
        <v>97.18</v>
      </c>
      <c r="BSD13">
        <v>97.13</v>
      </c>
      <c r="BSE13">
        <v>97.12</v>
      </c>
      <c r="BSF13">
        <v>97.135000000000005</v>
      </c>
      <c r="BSG13">
        <v>97.11</v>
      </c>
      <c r="BSH13">
        <v>97.125</v>
      </c>
      <c r="BSI13">
        <v>97.135000000000005</v>
      </c>
      <c r="BSJ13">
        <v>97.165000000000006</v>
      </c>
      <c r="BSK13">
        <v>97.17</v>
      </c>
      <c r="BSL13">
        <v>97.185000000000002</v>
      </c>
      <c r="BSM13">
        <v>97.204999999999998</v>
      </c>
      <c r="BSN13">
        <v>97.23</v>
      </c>
      <c r="BSO13">
        <v>97.24</v>
      </c>
      <c r="BSP13">
        <v>97.265000000000001</v>
      </c>
      <c r="BSQ13" t="s">
        <v>6984</v>
      </c>
      <c r="BSR13" t="s">
        <v>6984</v>
      </c>
      <c r="BSS13" t="s">
        <v>6984</v>
      </c>
      <c r="BST13" t="s">
        <v>6984</v>
      </c>
      <c r="BSU13" t="s">
        <v>6984</v>
      </c>
      <c r="BSV13" t="s">
        <v>6984</v>
      </c>
      <c r="BSW13" t="s">
        <v>6984</v>
      </c>
      <c r="BSX13" t="s">
        <v>6984</v>
      </c>
      <c r="BSY13" t="s">
        <v>6984</v>
      </c>
      <c r="BSZ13" t="s">
        <v>6984</v>
      </c>
      <c r="BTA13" t="s">
        <v>6984</v>
      </c>
      <c r="BTB13" t="s">
        <v>6984</v>
      </c>
      <c r="BTC13" t="s">
        <v>6984</v>
      </c>
      <c r="BTD13" t="s">
        <v>6984</v>
      </c>
      <c r="BTE13" t="s">
        <v>6984</v>
      </c>
      <c r="BTF13" t="s">
        <v>6984</v>
      </c>
      <c r="BTG13" t="s">
        <v>6984</v>
      </c>
      <c r="BTH13" t="s">
        <v>6984</v>
      </c>
      <c r="BTI13" t="s">
        <v>6984</v>
      </c>
      <c r="BTJ13" t="s">
        <v>6984</v>
      </c>
      <c r="BTK13" t="s">
        <v>6984</v>
      </c>
      <c r="BTL13" t="s">
        <v>6984</v>
      </c>
      <c r="BTM13" t="s">
        <v>6984</v>
      </c>
      <c r="BTN13" t="s">
        <v>6984</v>
      </c>
      <c r="BTO13" t="s">
        <v>6984</v>
      </c>
      <c r="BTP13" t="s">
        <v>6984</v>
      </c>
      <c r="BTQ13" t="s">
        <v>6984</v>
      </c>
      <c r="BTR13" t="s">
        <v>6984</v>
      </c>
      <c r="BTS13" t="s">
        <v>6984</v>
      </c>
      <c r="BTT13" t="s">
        <v>6984</v>
      </c>
      <c r="BTU13" t="s">
        <v>6984</v>
      </c>
      <c r="BTV13" t="s">
        <v>6984</v>
      </c>
      <c r="BTW13" t="s">
        <v>6984</v>
      </c>
      <c r="BTX13" t="s">
        <v>6984</v>
      </c>
      <c r="BTY13" t="s">
        <v>6984</v>
      </c>
      <c r="BTZ13" t="s">
        <v>6984</v>
      </c>
      <c r="BUA13" t="s">
        <v>6984</v>
      </c>
      <c r="BUB13" t="s">
        <v>6984</v>
      </c>
      <c r="BUC13" t="s">
        <v>6984</v>
      </c>
      <c r="BUD13" t="s">
        <v>6984</v>
      </c>
      <c r="BUE13" t="s">
        <v>6984</v>
      </c>
      <c r="BUF13" t="s">
        <v>6984</v>
      </c>
      <c r="BUG13" t="s">
        <v>6984</v>
      </c>
      <c r="BUH13" t="s">
        <v>6984</v>
      </c>
      <c r="BUI13" t="s">
        <v>6984</v>
      </c>
      <c r="BUJ13" t="s">
        <v>6984</v>
      </c>
      <c r="BUK13" t="s">
        <v>6984</v>
      </c>
      <c r="BUL13" t="s">
        <v>6984</v>
      </c>
      <c r="BUM13" t="s">
        <v>6984</v>
      </c>
      <c r="BUN13" t="s">
        <v>6984</v>
      </c>
      <c r="BUO13" t="s">
        <v>6984</v>
      </c>
      <c r="BUP13" t="s">
        <v>6984</v>
      </c>
      <c r="BUQ13" t="s">
        <v>6984</v>
      </c>
      <c r="BUR13" t="s">
        <v>6984</v>
      </c>
      <c r="BUS13" t="s">
        <v>6984</v>
      </c>
      <c r="BUT13" t="s">
        <v>6984</v>
      </c>
      <c r="BUU13" t="s">
        <v>6984</v>
      </c>
      <c r="BUV13" t="s">
        <v>6984</v>
      </c>
      <c r="BUW13" t="s">
        <v>6984</v>
      </c>
      <c r="BUX13" t="s">
        <v>6984</v>
      </c>
      <c r="BUY13" t="s">
        <v>6984</v>
      </c>
      <c r="BUZ13" t="s">
        <v>6984</v>
      </c>
      <c r="BVA13" t="s">
        <v>6984</v>
      </c>
      <c r="BVB13" t="s">
        <v>6984</v>
      </c>
      <c r="BVC13" t="s">
        <v>6984</v>
      </c>
      <c r="BVD13" t="s">
        <v>6984</v>
      </c>
      <c r="BVE13" t="s">
        <v>6984</v>
      </c>
      <c r="BVF13" t="s">
        <v>6984</v>
      </c>
      <c r="BVG13" t="s">
        <v>6984</v>
      </c>
      <c r="BVH13" t="s">
        <v>6984</v>
      </c>
      <c r="BVI13" t="s">
        <v>6984</v>
      </c>
      <c r="BVJ13" t="s">
        <v>6984</v>
      </c>
      <c r="BVK13" t="s">
        <v>6984</v>
      </c>
      <c r="BVL13" t="s">
        <v>6984</v>
      </c>
      <c r="BVM13" t="s">
        <v>6984</v>
      </c>
      <c r="BVN13" t="s">
        <v>6984</v>
      </c>
      <c r="BVO13" t="s">
        <v>6984</v>
      </c>
      <c r="BVP13" t="s">
        <v>6984</v>
      </c>
      <c r="BVQ13" t="s">
        <v>6984</v>
      </c>
      <c r="BVR13" t="s">
        <v>6984</v>
      </c>
      <c r="BVS13" t="s">
        <v>6984</v>
      </c>
      <c r="BVT13" t="s">
        <v>6984</v>
      </c>
      <c r="BVU13" t="s">
        <v>6984</v>
      </c>
      <c r="BVV13" t="s">
        <v>6984</v>
      </c>
      <c r="BVW13" t="s">
        <v>6984</v>
      </c>
      <c r="BVX13" t="s">
        <v>6984</v>
      </c>
      <c r="BVY13" t="s">
        <v>6984</v>
      </c>
      <c r="BVZ13" t="s">
        <v>6984</v>
      </c>
      <c r="BWA13" t="s">
        <v>6984</v>
      </c>
      <c r="BWB13" t="s">
        <v>6984</v>
      </c>
      <c r="BWC13" t="s">
        <v>6984</v>
      </c>
      <c r="BWD13" t="s">
        <v>6984</v>
      </c>
      <c r="BWE13" t="s">
        <v>6984</v>
      </c>
      <c r="BWF13" t="s">
        <v>6984</v>
      </c>
      <c r="BWG13" t="s">
        <v>6984</v>
      </c>
      <c r="BWH13" t="s">
        <v>6984</v>
      </c>
      <c r="BWI13" t="s">
        <v>6984</v>
      </c>
      <c r="BWJ13" t="s">
        <v>6984</v>
      </c>
      <c r="BWK13" t="s">
        <v>6984</v>
      </c>
      <c r="BWL13" t="s">
        <v>6984</v>
      </c>
      <c r="BWM13" t="s">
        <v>6984</v>
      </c>
      <c r="BWN13" t="s">
        <v>6984</v>
      </c>
      <c r="BWO13" t="s">
        <v>6984</v>
      </c>
      <c r="BWP13" t="s">
        <v>6984</v>
      </c>
      <c r="BWQ13" t="s">
        <v>6984</v>
      </c>
      <c r="BWR13" t="s">
        <v>6984</v>
      </c>
      <c r="BWS13" t="s">
        <v>6984</v>
      </c>
      <c r="BWT13" t="s">
        <v>6984</v>
      </c>
      <c r="BWU13" t="s">
        <v>6984</v>
      </c>
      <c r="BWV13" t="s">
        <v>6984</v>
      </c>
      <c r="BWW13" t="s">
        <v>6984</v>
      </c>
      <c r="BWX13" t="s">
        <v>6984</v>
      </c>
      <c r="BWY13" t="s">
        <v>6984</v>
      </c>
      <c r="BWZ13" t="s">
        <v>6984</v>
      </c>
      <c r="BXA13" t="s">
        <v>6984</v>
      </c>
      <c r="BXB13" t="s">
        <v>6984</v>
      </c>
      <c r="BXC13" t="s">
        <v>6984</v>
      </c>
      <c r="BXD13" t="s">
        <v>6984</v>
      </c>
      <c r="BXE13" t="s">
        <v>6984</v>
      </c>
      <c r="BXF13" t="s">
        <v>6984</v>
      </c>
      <c r="BXG13" t="s">
        <v>6984</v>
      </c>
      <c r="BXH13" t="s">
        <v>6984</v>
      </c>
      <c r="BXI13" t="s">
        <v>6984</v>
      </c>
      <c r="BXJ13" t="s">
        <v>6984</v>
      </c>
      <c r="BXK13" t="s">
        <v>6984</v>
      </c>
      <c r="BXL13" t="s">
        <v>6984</v>
      </c>
      <c r="BXM13" t="s">
        <v>6984</v>
      </c>
      <c r="BXN13" t="s">
        <v>6984</v>
      </c>
      <c r="BXO13" t="s">
        <v>6984</v>
      </c>
      <c r="BXP13" t="s">
        <v>6984</v>
      </c>
      <c r="BXQ13" t="s">
        <v>6984</v>
      </c>
      <c r="BXR13" t="s">
        <v>6984</v>
      </c>
      <c r="BXS13" t="s">
        <v>6984</v>
      </c>
      <c r="BXT13" t="s">
        <v>6984</v>
      </c>
      <c r="BXU13" t="s">
        <v>6984</v>
      </c>
      <c r="BXV13" t="s">
        <v>6984</v>
      </c>
      <c r="BXW13" t="s">
        <v>6984</v>
      </c>
      <c r="BXX13" t="s">
        <v>6984</v>
      </c>
      <c r="BXY13" t="s">
        <v>6984</v>
      </c>
      <c r="BXZ13" t="s">
        <v>6984</v>
      </c>
      <c r="BYA13" t="s">
        <v>6984</v>
      </c>
      <c r="BYB13" t="s">
        <v>6984</v>
      </c>
      <c r="BYC13" t="s">
        <v>6984</v>
      </c>
      <c r="BYD13" t="s">
        <v>6984</v>
      </c>
      <c r="BYE13" t="s">
        <v>6984</v>
      </c>
      <c r="BYF13" t="s">
        <v>6984</v>
      </c>
      <c r="BYG13" t="s">
        <v>6984</v>
      </c>
      <c r="BYH13" t="s">
        <v>6984</v>
      </c>
      <c r="BYI13" t="s">
        <v>6984</v>
      </c>
      <c r="BYJ13" t="s">
        <v>6984</v>
      </c>
      <c r="BYK13" t="s">
        <v>6984</v>
      </c>
      <c r="BYL13" t="s">
        <v>6984</v>
      </c>
      <c r="BYM13" t="s">
        <v>6984</v>
      </c>
      <c r="BYN13" t="s">
        <v>6984</v>
      </c>
      <c r="BYO13" t="s">
        <v>6984</v>
      </c>
      <c r="BYP13" t="s">
        <v>6984</v>
      </c>
      <c r="BYQ13" t="s">
        <v>6984</v>
      </c>
      <c r="BYR13" t="s">
        <v>6984</v>
      </c>
      <c r="BYS13" t="s">
        <v>6984</v>
      </c>
      <c r="BYT13" t="s">
        <v>6984</v>
      </c>
      <c r="BYU13" t="s">
        <v>6984</v>
      </c>
      <c r="BYV13" t="s">
        <v>6984</v>
      </c>
      <c r="BYW13" t="s">
        <v>6984</v>
      </c>
      <c r="BYX13" t="s">
        <v>6984</v>
      </c>
      <c r="BYY13" t="s">
        <v>6984</v>
      </c>
      <c r="BYZ13" t="s">
        <v>6984</v>
      </c>
      <c r="BZA13" t="s">
        <v>6984</v>
      </c>
      <c r="BZB13" t="s">
        <v>6984</v>
      </c>
      <c r="BZC13" t="s">
        <v>6984</v>
      </c>
      <c r="BZD13" t="s">
        <v>6984</v>
      </c>
      <c r="BZE13" t="s">
        <v>6984</v>
      </c>
      <c r="BZF13" t="s">
        <v>6984</v>
      </c>
      <c r="BZG13" t="s">
        <v>6984</v>
      </c>
      <c r="BZH13" t="s">
        <v>6984</v>
      </c>
      <c r="BZI13" t="s">
        <v>6984</v>
      </c>
      <c r="BZJ13" t="s">
        <v>6984</v>
      </c>
      <c r="BZK13" t="s">
        <v>6984</v>
      </c>
      <c r="BZL13" t="s">
        <v>6984</v>
      </c>
      <c r="BZM13" t="s">
        <v>6984</v>
      </c>
      <c r="BZN13" t="s">
        <v>6984</v>
      </c>
      <c r="BZO13" t="s">
        <v>6984</v>
      </c>
      <c r="BZP13" t="s">
        <v>6984</v>
      </c>
      <c r="BZQ13" t="s">
        <v>6984</v>
      </c>
      <c r="BZR13" t="s">
        <v>6984</v>
      </c>
      <c r="BZS13" t="s">
        <v>6984</v>
      </c>
      <c r="BZT13" t="s">
        <v>6984</v>
      </c>
      <c r="BZU13" t="s">
        <v>6984</v>
      </c>
      <c r="BZV13" t="s">
        <v>6984</v>
      </c>
      <c r="BZW13" t="s">
        <v>6984</v>
      </c>
      <c r="BZX13" t="s">
        <v>6984</v>
      </c>
      <c r="BZY13" t="s">
        <v>6984</v>
      </c>
      <c r="BZZ13" t="s">
        <v>6984</v>
      </c>
      <c r="CAA13" t="s">
        <v>6984</v>
      </c>
      <c r="CAB13" t="s">
        <v>6984</v>
      </c>
      <c r="CAC13" t="s">
        <v>6984</v>
      </c>
      <c r="CAD13" t="s">
        <v>6984</v>
      </c>
      <c r="CAE13" t="s">
        <v>6984</v>
      </c>
      <c r="CAF13" t="s">
        <v>6984</v>
      </c>
      <c r="CAG13" t="s">
        <v>6984</v>
      </c>
      <c r="CAH13" t="s">
        <v>6984</v>
      </c>
      <c r="CAI13" t="s">
        <v>6984</v>
      </c>
      <c r="CAJ13" t="s">
        <v>6984</v>
      </c>
      <c r="CAK13" t="s">
        <v>6984</v>
      </c>
      <c r="CAL13" t="s">
        <v>6984</v>
      </c>
      <c r="CAM13" t="s">
        <v>6984</v>
      </c>
      <c r="CAN13" t="s">
        <v>6984</v>
      </c>
      <c r="CAO13" t="s">
        <v>6984</v>
      </c>
      <c r="CAP13" t="s">
        <v>6984</v>
      </c>
      <c r="CAQ13" t="s">
        <v>6984</v>
      </c>
      <c r="CAR13" t="s">
        <v>6984</v>
      </c>
      <c r="CAS13" t="s">
        <v>6984</v>
      </c>
      <c r="CAT13" t="s">
        <v>6984</v>
      </c>
      <c r="CAU13" t="s">
        <v>6984</v>
      </c>
      <c r="CAV13" t="s">
        <v>6984</v>
      </c>
      <c r="CAW13" t="s">
        <v>6984</v>
      </c>
      <c r="CAX13" t="s">
        <v>6984</v>
      </c>
      <c r="CAY13" t="s">
        <v>6984</v>
      </c>
      <c r="CAZ13" t="s">
        <v>6984</v>
      </c>
      <c r="CBA13" t="s">
        <v>6984</v>
      </c>
      <c r="CBB13" t="s">
        <v>6984</v>
      </c>
      <c r="CBC13" t="s">
        <v>6984</v>
      </c>
      <c r="CBD13" t="s">
        <v>6984</v>
      </c>
      <c r="CBE13" t="s">
        <v>6984</v>
      </c>
      <c r="CBF13" t="s">
        <v>6984</v>
      </c>
      <c r="CBG13" t="s">
        <v>6984</v>
      </c>
      <c r="CBH13" t="s">
        <v>6984</v>
      </c>
      <c r="CBI13" t="s">
        <v>6984</v>
      </c>
      <c r="CBJ13" t="s">
        <v>6984</v>
      </c>
      <c r="CBK13" t="s">
        <v>6984</v>
      </c>
      <c r="CBL13" t="s">
        <v>6984</v>
      </c>
      <c r="CBM13" t="s">
        <v>6984</v>
      </c>
      <c r="CBN13" t="s">
        <v>6984</v>
      </c>
      <c r="CBO13" t="s">
        <v>6984</v>
      </c>
      <c r="CBP13" t="s">
        <v>6984</v>
      </c>
      <c r="CBQ13" t="s">
        <v>6984</v>
      </c>
      <c r="CBR13" t="s">
        <v>6984</v>
      </c>
      <c r="CBS13" t="s">
        <v>6984</v>
      </c>
      <c r="CBT13" t="s">
        <v>6984</v>
      </c>
      <c r="CBU13" t="s">
        <v>6984</v>
      </c>
      <c r="CBV13" t="s">
        <v>6984</v>
      </c>
      <c r="CBW13" t="s">
        <v>6984</v>
      </c>
      <c r="CBX13" t="s">
        <v>6984</v>
      </c>
      <c r="CBY13" t="s">
        <v>6984</v>
      </c>
      <c r="CBZ13" t="s">
        <v>6984</v>
      </c>
      <c r="CCA13" t="s">
        <v>6984</v>
      </c>
      <c r="CCB13" t="s">
        <v>6984</v>
      </c>
      <c r="CCC13" t="s">
        <v>6984</v>
      </c>
      <c r="CCD13" t="s">
        <v>6984</v>
      </c>
      <c r="CCE13" t="s">
        <v>6984</v>
      </c>
      <c r="CCF13" t="s">
        <v>6984</v>
      </c>
      <c r="CCG13" t="s">
        <v>6984</v>
      </c>
      <c r="CCH13" t="s">
        <v>6984</v>
      </c>
      <c r="CCI13" t="s">
        <v>6984</v>
      </c>
      <c r="CCJ13" t="s">
        <v>6984</v>
      </c>
      <c r="CCK13" t="s">
        <v>6984</v>
      </c>
      <c r="CCL13" t="s">
        <v>6984</v>
      </c>
      <c r="CCM13" t="s">
        <v>6984</v>
      </c>
      <c r="CCN13" t="s">
        <v>6984</v>
      </c>
      <c r="CCO13" t="s">
        <v>6984</v>
      </c>
      <c r="CCP13" t="s">
        <v>6984</v>
      </c>
      <c r="CCQ13" t="s">
        <v>6984</v>
      </c>
      <c r="CCR13" t="s">
        <v>6984</v>
      </c>
      <c r="CCS13" t="s">
        <v>6984</v>
      </c>
      <c r="CCT13" t="s">
        <v>6984</v>
      </c>
      <c r="CCU13" t="s">
        <v>6984</v>
      </c>
      <c r="CCV13" t="s">
        <v>6984</v>
      </c>
      <c r="CCW13" t="s">
        <v>6984</v>
      </c>
      <c r="CCX13" t="s">
        <v>6984</v>
      </c>
      <c r="CCY13" t="s">
        <v>6984</v>
      </c>
      <c r="CCZ13" t="s">
        <v>6984</v>
      </c>
      <c r="CDA13" t="s">
        <v>6984</v>
      </c>
      <c r="CDB13" t="s">
        <v>6984</v>
      </c>
      <c r="CDC13" t="s">
        <v>6984</v>
      </c>
      <c r="CDD13" t="s">
        <v>6984</v>
      </c>
      <c r="CDE13" t="s">
        <v>6984</v>
      </c>
      <c r="CDF13" t="s">
        <v>6984</v>
      </c>
      <c r="CDG13" t="s">
        <v>6984</v>
      </c>
      <c r="CDH13" t="s">
        <v>6984</v>
      </c>
      <c r="CDI13" t="s">
        <v>6984</v>
      </c>
      <c r="CDJ13" t="s">
        <v>6984</v>
      </c>
      <c r="CDK13" t="s">
        <v>6984</v>
      </c>
      <c r="CDL13" t="s">
        <v>6984</v>
      </c>
      <c r="CDM13" t="s">
        <v>6984</v>
      </c>
      <c r="CDN13" t="s">
        <v>6984</v>
      </c>
      <c r="CDO13" t="s">
        <v>6984</v>
      </c>
      <c r="CDP13" t="s">
        <v>6984</v>
      </c>
      <c r="CDQ13" t="s">
        <v>6984</v>
      </c>
      <c r="CDR13" t="s">
        <v>6984</v>
      </c>
      <c r="CDS13" t="s">
        <v>6984</v>
      </c>
      <c r="CDT13" t="s">
        <v>6984</v>
      </c>
      <c r="CDU13" t="s">
        <v>6984</v>
      </c>
      <c r="CDV13" t="s">
        <v>6984</v>
      </c>
      <c r="CDW13" t="s">
        <v>6984</v>
      </c>
      <c r="CDX13" t="s">
        <v>6984</v>
      </c>
      <c r="CDY13" t="s">
        <v>6984</v>
      </c>
      <c r="CDZ13" t="s">
        <v>6984</v>
      </c>
      <c r="CEA13" t="s">
        <v>6984</v>
      </c>
      <c r="CEB13" t="s">
        <v>6984</v>
      </c>
      <c r="CEC13" t="s">
        <v>6984</v>
      </c>
      <c r="CED13" t="s">
        <v>6984</v>
      </c>
      <c r="CEE13" t="s">
        <v>6984</v>
      </c>
      <c r="CEF13" t="s">
        <v>6984</v>
      </c>
      <c r="CEG13" t="s">
        <v>6984</v>
      </c>
      <c r="CEH13" t="s">
        <v>6984</v>
      </c>
      <c r="CEI13" t="s">
        <v>6984</v>
      </c>
      <c r="CEJ13" t="s">
        <v>6984</v>
      </c>
      <c r="CEK13" t="s">
        <v>6984</v>
      </c>
      <c r="CEL13" t="s">
        <v>6984</v>
      </c>
      <c r="CEM13" t="s">
        <v>6984</v>
      </c>
      <c r="CEN13" t="s">
        <v>6984</v>
      </c>
      <c r="CEO13" t="s">
        <v>6984</v>
      </c>
      <c r="CEP13" t="s">
        <v>6984</v>
      </c>
      <c r="CEQ13" t="s">
        <v>6984</v>
      </c>
      <c r="CER13" t="s">
        <v>6984</v>
      </c>
      <c r="CES13" t="s">
        <v>6984</v>
      </c>
      <c r="CET13" t="s">
        <v>6984</v>
      </c>
      <c r="CEU13" t="s">
        <v>6984</v>
      </c>
      <c r="CEV13" t="s">
        <v>6984</v>
      </c>
      <c r="CEW13" t="s">
        <v>6984</v>
      </c>
      <c r="CEX13" t="s">
        <v>6984</v>
      </c>
      <c r="CEY13" t="s">
        <v>6984</v>
      </c>
      <c r="CEZ13" t="s">
        <v>6984</v>
      </c>
      <c r="CFA13" t="s">
        <v>6984</v>
      </c>
      <c r="CFB13" t="s">
        <v>6984</v>
      </c>
      <c r="CFC13" t="s">
        <v>6984</v>
      </c>
      <c r="CFD13" t="s">
        <v>6984</v>
      </c>
      <c r="CFE13" t="s">
        <v>6984</v>
      </c>
      <c r="CFF13" t="s">
        <v>6984</v>
      </c>
      <c r="CFG13" t="s">
        <v>6984</v>
      </c>
      <c r="CFH13" t="s">
        <v>6984</v>
      </c>
      <c r="CFI13" t="s">
        <v>6984</v>
      </c>
      <c r="CFJ13" t="s">
        <v>6984</v>
      </c>
      <c r="CFK13" t="s">
        <v>6984</v>
      </c>
      <c r="CFL13" t="s">
        <v>6984</v>
      </c>
      <c r="CFM13" t="s">
        <v>6984</v>
      </c>
      <c r="CFN13" t="s">
        <v>6984</v>
      </c>
      <c r="CFO13" t="s">
        <v>6984</v>
      </c>
      <c r="CFP13" t="s">
        <v>6984</v>
      </c>
      <c r="CFQ13" t="s">
        <v>6984</v>
      </c>
      <c r="CFR13" t="s">
        <v>6984</v>
      </c>
      <c r="CFS13" t="s">
        <v>6984</v>
      </c>
      <c r="CFT13" t="s">
        <v>6984</v>
      </c>
      <c r="CFU13" t="s">
        <v>6984</v>
      </c>
      <c r="CFV13" t="s">
        <v>6984</v>
      </c>
      <c r="CFW13" t="s">
        <v>6984</v>
      </c>
      <c r="CFX13" t="s">
        <v>6984</v>
      </c>
      <c r="CFY13" t="s">
        <v>6984</v>
      </c>
      <c r="CFZ13" t="s">
        <v>6984</v>
      </c>
      <c r="CGA13" t="s">
        <v>6984</v>
      </c>
      <c r="CGB13" t="s">
        <v>6984</v>
      </c>
      <c r="CGC13" t="s">
        <v>6984</v>
      </c>
      <c r="CGD13" t="s">
        <v>6984</v>
      </c>
      <c r="CGE13" t="s">
        <v>6984</v>
      </c>
      <c r="CGF13" t="s">
        <v>6984</v>
      </c>
      <c r="CGG13" t="s">
        <v>6984</v>
      </c>
      <c r="CGH13" t="s">
        <v>6984</v>
      </c>
      <c r="CGI13" t="s">
        <v>6984</v>
      </c>
      <c r="CGJ13" t="s">
        <v>6984</v>
      </c>
      <c r="CGK13" t="s">
        <v>6984</v>
      </c>
      <c r="CGL13" t="s">
        <v>6984</v>
      </c>
      <c r="CGM13" t="s">
        <v>6984</v>
      </c>
      <c r="CGN13" t="s">
        <v>6984</v>
      </c>
      <c r="CGO13" t="s">
        <v>6984</v>
      </c>
      <c r="CGP13" t="s">
        <v>6984</v>
      </c>
      <c r="CGQ13" t="s">
        <v>6984</v>
      </c>
      <c r="CGR13" t="s">
        <v>6984</v>
      </c>
      <c r="CGS13" t="s">
        <v>6984</v>
      </c>
      <c r="CGT13" t="s">
        <v>6984</v>
      </c>
      <c r="CGU13" t="s">
        <v>6984</v>
      </c>
      <c r="CGV13" t="s">
        <v>6984</v>
      </c>
      <c r="CGW13" t="s">
        <v>6984</v>
      </c>
      <c r="CGX13" t="s">
        <v>6984</v>
      </c>
      <c r="CGY13" t="s">
        <v>6984</v>
      </c>
      <c r="CGZ13" t="s">
        <v>6984</v>
      </c>
      <c r="CHA13" t="s">
        <v>6984</v>
      </c>
      <c r="CHB13" t="s">
        <v>6984</v>
      </c>
      <c r="CHC13" t="s">
        <v>6984</v>
      </c>
      <c r="CHD13" t="s">
        <v>6984</v>
      </c>
      <c r="CHE13" t="s">
        <v>6984</v>
      </c>
      <c r="CHF13" t="s">
        <v>6984</v>
      </c>
      <c r="CHG13" t="s">
        <v>6984</v>
      </c>
      <c r="CHH13" t="s">
        <v>6984</v>
      </c>
      <c r="CHI13" t="s">
        <v>6984</v>
      </c>
      <c r="CHJ13" t="s">
        <v>6984</v>
      </c>
      <c r="CHK13" t="s">
        <v>6984</v>
      </c>
      <c r="CHL13" t="s">
        <v>6984</v>
      </c>
      <c r="CHM13" t="s">
        <v>6984</v>
      </c>
      <c r="CHN13" t="s">
        <v>6984</v>
      </c>
      <c r="CHO13" t="s">
        <v>6984</v>
      </c>
      <c r="CHP13" t="s">
        <v>6984</v>
      </c>
      <c r="CHQ13" t="s">
        <v>6984</v>
      </c>
      <c r="CHR13" t="s">
        <v>6984</v>
      </c>
      <c r="CHS13" t="s">
        <v>6984</v>
      </c>
      <c r="CHT13" t="s">
        <v>6984</v>
      </c>
      <c r="CHU13" t="s">
        <v>6984</v>
      </c>
      <c r="CHV13" t="s">
        <v>6984</v>
      </c>
      <c r="CHW13" t="s">
        <v>6984</v>
      </c>
      <c r="CHX13" t="s">
        <v>6984</v>
      </c>
      <c r="CHY13" t="s">
        <v>6984</v>
      </c>
      <c r="CHZ13" t="s">
        <v>6984</v>
      </c>
      <c r="CIA13" t="s">
        <v>6984</v>
      </c>
      <c r="CIB13" t="s">
        <v>6984</v>
      </c>
      <c r="CIC13" t="s">
        <v>6984</v>
      </c>
      <c r="CID13" t="s">
        <v>6984</v>
      </c>
      <c r="CIE13" t="s">
        <v>6984</v>
      </c>
      <c r="CIF13" t="s">
        <v>6984</v>
      </c>
      <c r="CIG13" t="s">
        <v>6984</v>
      </c>
      <c r="CIH13" t="s">
        <v>6984</v>
      </c>
      <c r="CII13" t="s">
        <v>6984</v>
      </c>
      <c r="CIJ13" t="s">
        <v>6984</v>
      </c>
      <c r="CIK13" t="s">
        <v>6984</v>
      </c>
      <c r="CIL13" t="s">
        <v>6984</v>
      </c>
      <c r="CIM13" t="s">
        <v>6984</v>
      </c>
      <c r="CIN13" t="s">
        <v>6984</v>
      </c>
      <c r="CIO13" t="s">
        <v>6984</v>
      </c>
      <c r="CIP13" t="s">
        <v>6984</v>
      </c>
      <c r="CIQ13" t="s">
        <v>6984</v>
      </c>
      <c r="CIR13" t="s">
        <v>6984</v>
      </c>
      <c r="CIS13" t="s">
        <v>6984</v>
      </c>
      <c r="CIT13" t="s">
        <v>6984</v>
      </c>
      <c r="CIU13" t="s">
        <v>6984</v>
      </c>
      <c r="CIV13" t="s">
        <v>6984</v>
      </c>
      <c r="CIW13" t="s">
        <v>6984</v>
      </c>
      <c r="CIX13" t="s">
        <v>6984</v>
      </c>
      <c r="CIY13" t="s">
        <v>6984</v>
      </c>
      <c r="CIZ13" t="s">
        <v>6984</v>
      </c>
      <c r="CJA13" t="s">
        <v>6984</v>
      </c>
      <c r="CJB13" t="s">
        <v>6984</v>
      </c>
      <c r="CJC13" t="s">
        <v>6984</v>
      </c>
      <c r="CJD13" t="s">
        <v>6984</v>
      </c>
      <c r="CJE13" t="s">
        <v>6984</v>
      </c>
      <c r="CJF13" t="s">
        <v>6984</v>
      </c>
      <c r="CJG13" t="s">
        <v>6984</v>
      </c>
      <c r="CJH13" t="s">
        <v>6984</v>
      </c>
      <c r="CJI13" t="s">
        <v>6984</v>
      </c>
      <c r="CJJ13" t="s">
        <v>6984</v>
      </c>
      <c r="CJK13" t="s">
        <v>6984</v>
      </c>
      <c r="CJL13" t="s">
        <v>6984</v>
      </c>
      <c r="CJM13" t="s">
        <v>6984</v>
      </c>
      <c r="CJN13" t="s">
        <v>6984</v>
      </c>
      <c r="CJO13" t="s">
        <v>6984</v>
      </c>
      <c r="CJP13" t="s">
        <v>6984</v>
      </c>
      <c r="CJQ13" t="s">
        <v>6984</v>
      </c>
      <c r="CJR13" t="s">
        <v>6984</v>
      </c>
      <c r="CJS13" t="s">
        <v>6984</v>
      </c>
      <c r="CJT13" t="s">
        <v>6984</v>
      </c>
      <c r="CJU13" t="s">
        <v>6984</v>
      </c>
      <c r="CJV13" t="s">
        <v>6984</v>
      </c>
      <c r="CJW13" t="s">
        <v>6984</v>
      </c>
      <c r="CJX13" t="s">
        <v>6984</v>
      </c>
      <c r="CJY13" t="s">
        <v>6984</v>
      </c>
      <c r="CJZ13" t="s">
        <v>6984</v>
      </c>
      <c r="CKA13" t="s">
        <v>6984</v>
      </c>
      <c r="CKB13" t="s">
        <v>6984</v>
      </c>
      <c r="CKC13" t="s">
        <v>6984</v>
      </c>
      <c r="CKD13" t="s">
        <v>6984</v>
      </c>
      <c r="CKE13" t="s">
        <v>6984</v>
      </c>
      <c r="CKF13" t="s">
        <v>6984</v>
      </c>
      <c r="CKG13" t="s">
        <v>6984</v>
      </c>
      <c r="CKH13" t="s">
        <v>6984</v>
      </c>
      <c r="CKI13" t="s">
        <v>6984</v>
      </c>
      <c r="CKJ13" t="s">
        <v>6984</v>
      </c>
      <c r="CKK13" t="s">
        <v>6984</v>
      </c>
      <c r="CKL13" t="s">
        <v>6984</v>
      </c>
      <c r="CKM13" t="s">
        <v>6984</v>
      </c>
      <c r="CKN13" t="s">
        <v>6984</v>
      </c>
      <c r="CKO13" t="s">
        <v>6984</v>
      </c>
      <c r="CKP13" t="s">
        <v>6984</v>
      </c>
      <c r="CKQ13" t="s">
        <v>6984</v>
      </c>
      <c r="CKR13" t="s">
        <v>6984</v>
      </c>
      <c r="CKS13" t="s">
        <v>6984</v>
      </c>
      <c r="CKT13" t="s">
        <v>6984</v>
      </c>
      <c r="CKU13" t="s">
        <v>6984</v>
      </c>
      <c r="CKV13" t="s">
        <v>6984</v>
      </c>
      <c r="CKW13" t="s">
        <v>6984</v>
      </c>
      <c r="CKX13" t="s">
        <v>6984</v>
      </c>
      <c r="CKY13" t="s">
        <v>6984</v>
      </c>
      <c r="CKZ13" t="s">
        <v>6984</v>
      </c>
      <c r="CLA13" t="s">
        <v>6984</v>
      </c>
      <c r="CLB13" t="s">
        <v>6984</v>
      </c>
      <c r="CLC13" t="s">
        <v>6984</v>
      </c>
      <c r="CLD13" t="s">
        <v>6984</v>
      </c>
      <c r="CLE13" t="s">
        <v>6984</v>
      </c>
      <c r="CLF13" t="s">
        <v>6984</v>
      </c>
      <c r="CLG13" t="s">
        <v>6984</v>
      </c>
      <c r="CLH13" t="s">
        <v>6984</v>
      </c>
      <c r="CLI13" t="s">
        <v>6984</v>
      </c>
      <c r="CLJ13" t="s">
        <v>6984</v>
      </c>
      <c r="CLK13" t="s">
        <v>6984</v>
      </c>
      <c r="CLL13" t="s">
        <v>6984</v>
      </c>
      <c r="CLM13" t="s">
        <v>6984</v>
      </c>
      <c r="CLN13" t="s">
        <v>6984</v>
      </c>
      <c r="CLO13" t="s">
        <v>6984</v>
      </c>
      <c r="CLP13" t="s">
        <v>6984</v>
      </c>
      <c r="CLQ13" t="s">
        <v>6984</v>
      </c>
      <c r="CLR13" t="s">
        <v>6984</v>
      </c>
      <c r="CLS13" t="s">
        <v>6984</v>
      </c>
      <c r="CLT13" t="s">
        <v>6984</v>
      </c>
      <c r="CLU13" t="s">
        <v>6984</v>
      </c>
      <c r="CLV13" t="s">
        <v>6984</v>
      </c>
      <c r="CLW13" t="s">
        <v>6984</v>
      </c>
      <c r="CLX13" t="s">
        <v>6984</v>
      </c>
      <c r="CLY13" t="s">
        <v>6984</v>
      </c>
      <c r="CLZ13" t="s">
        <v>6984</v>
      </c>
      <c r="CMA13" t="s">
        <v>6984</v>
      </c>
      <c r="CMB13" t="s">
        <v>6984</v>
      </c>
      <c r="CMC13" t="s">
        <v>6984</v>
      </c>
      <c r="CMD13" t="s">
        <v>6984</v>
      </c>
      <c r="CME13" t="s">
        <v>6984</v>
      </c>
      <c r="CMF13" t="s">
        <v>6984</v>
      </c>
      <c r="CMG13" t="s">
        <v>6984</v>
      </c>
      <c r="CMH13" t="s">
        <v>6984</v>
      </c>
      <c r="CMI13" t="s">
        <v>6984</v>
      </c>
      <c r="CMJ13" t="s">
        <v>6984</v>
      </c>
      <c r="CMK13" t="s">
        <v>6984</v>
      </c>
      <c r="CML13" t="s">
        <v>6984</v>
      </c>
      <c r="CMM13" t="s">
        <v>6984</v>
      </c>
      <c r="CMN13" t="s">
        <v>6984</v>
      </c>
      <c r="CMO13" t="s">
        <v>6984</v>
      </c>
      <c r="CMP13" t="s">
        <v>6984</v>
      </c>
      <c r="CMQ13" t="s">
        <v>6984</v>
      </c>
      <c r="CMR13" t="s">
        <v>6984</v>
      </c>
      <c r="CMS13" t="s">
        <v>6984</v>
      </c>
      <c r="CMT13" t="s">
        <v>6984</v>
      </c>
      <c r="CMU13" t="s">
        <v>6984</v>
      </c>
      <c r="CMV13" t="s">
        <v>6984</v>
      </c>
      <c r="CMW13" t="s">
        <v>6984</v>
      </c>
      <c r="CMX13" t="s">
        <v>6984</v>
      </c>
      <c r="CMY13" t="s">
        <v>6984</v>
      </c>
      <c r="CMZ13" t="s">
        <v>6984</v>
      </c>
      <c r="CNA13" t="s">
        <v>6984</v>
      </c>
      <c r="CNB13" t="s">
        <v>6984</v>
      </c>
      <c r="CNC13" t="s">
        <v>6984</v>
      </c>
      <c r="CND13" t="s">
        <v>6984</v>
      </c>
      <c r="CNE13" t="s">
        <v>6984</v>
      </c>
      <c r="CNF13" t="s">
        <v>6984</v>
      </c>
      <c r="CNG13" t="s">
        <v>6984</v>
      </c>
      <c r="CNH13" t="s">
        <v>6984</v>
      </c>
      <c r="CNI13" t="s">
        <v>6984</v>
      </c>
      <c r="CNJ13" t="s">
        <v>6984</v>
      </c>
      <c r="CNK13" t="s">
        <v>6984</v>
      </c>
      <c r="CNL13" t="s">
        <v>6984</v>
      </c>
      <c r="CNM13" t="s">
        <v>6984</v>
      </c>
      <c r="CNN13" t="s">
        <v>6984</v>
      </c>
      <c r="CNO13" t="s">
        <v>6984</v>
      </c>
      <c r="CNP13" t="s">
        <v>6984</v>
      </c>
      <c r="CNQ13" t="s">
        <v>6984</v>
      </c>
      <c r="CNR13" t="s">
        <v>6984</v>
      </c>
      <c r="CNS13" t="s">
        <v>6984</v>
      </c>
      <c r="CNT13" t="s">
        <v>6984</v>
      </c>
      <c r="CNU13" t="s">
        <v>6984</v>
      </c>
      <c r="CNV13" t="s">
        <v>6984</v>
      </c>
      <c r="CNW13" t="s">
        <v>6984</v>
      </c>
      <c r="CNX13" t="s">
        <v>6984</v>
      </c>
      <c r="CNY13" t="s">
        <v>6984</v>
      </c>
      <c r="CNZ13" t="s">
        <v>6984</v>
      </c>
      <c r="COA13" t="s">
        <v>6984</v>
      </c>
      <c r="COB13" t="s">
        <v>6984</v>
      </c>
      <c r="COC13" t="s">
        <v>6984</v>
      </c>
      <c r="COD13" t="s">
        <v>6984</v>
      </c>
      <c r="COE13" t="s">
        <v>6984</v>
      </c>
      <c r="COF13" t="s">
        <v>6984</v>
      </c>
      <c r="COG13" t="s">
        <v>6984</v>
      </c>
      <c r="COH13" t="s">
        <v>6984</v>
      </c>
      <c r="COI13" t="s">
        <v>6984</v>
      </c>
      <c r="COJ13" t="s">
        <v>6984</v>
      </c>
      <c r="COK13" t="s">
        <v>6984</v>
      </c>
      <c r="COL13" t="s">
        <v>6984</v>
      </c>
      <c r="COM13" t="s">
        <v>6984</v>
      </c>
      <c r="CON13" t="s">
        <v>6984</v>
      </c>
      <c r="COO13" t="s">
        <v>6984</v>
      </c>
      <c r="COP13" t="s">
        <v>6984</v>
      </c>
      <c r="COQ13" t="s">
        <v>6984</v>
      </c>
      <c r="COR13" t="s">
        <v>6984</v>
      </c>
      <c r="COS13" t="s">
        <v>6984</v>
      </c>
      <c r="COT13" t="s">
        <v>6984</v>
      </c>
      <c r="COU13" t="s">
        <v>6984</v>
      </c>
      <c r="COV13" t="s">
        <v>6984</v>
      </c>
      <c r="COW13" t="s">
        <v>6984</v>
      </c>
      <c r="COX13" t="s">
        <v>6984</v>
      </c>
      <c r="COY13" t="s">
        <v>6984</v>
      </c>
      <c r="COZ13" t="s">
        <v>6984</v>
      </c>
      <c r="CPA13" t="s">
        <v>6984</v>
      </c>
      <c r="CPB13" t="s">
        <v>6984</v>
      </c>
      <c r="CPC13" t="s">
        <v>6984</v>
      </c>
      <c r="CPD13" t="s">
        <v>6984</v>
      </c>
      <c r="CPE13" t="s">
        <v>6984</v>
      </c>
      <c r="CPF13" t="s">
        <v>6984</v>
      </c>
      <c r="CPG13" t="s">
        <v>6984</v>
      </c>
      <c r="CPH13" t="s">
        <v>6984</v>
      </c>
      <c r="CPI13" t="s">
        <v>6984</v>
      </c>
      <c r="CPJ13" t="s">
        <v>6984</v>
      </c>
      <c r="CPK13" t="s">
        <v>6984</v>
      </c>
      <c r="CPL13" t="s">
        <v>6984</v>
      </c>
      <c r="CPM13" t="s">
        <v>6984</v>
      </c>
      <c r="CPN13" t="s">
        <v>6984</v>
      </c>
      <c r="CPO13" t="s">
        <v>6984</v>
      </c>
      <c r="CPP13" t="s">
        <v>6984</v>
      </c>
      <c r="CPQ13" t="s">
        <v>6984</v>
      </c>
      <c r="CPR13" t="s">
        <v>6984</v>
      </c>
      <c r="CPS13" t="s">
        <v>6984</v>
      </c>
      <c r="CPT13" t="s">
        <v>6984</v>
      </c>
      <c r="CPU13" t="s">
        <v>6984</v>
      </c>
      <c r="CPV13" t="s">
        <v>6984</v>
      </c>
      <c r="CPW13" t="s">
        <v>6984</v>
      </c>
      <c r="CPX13" t="s">
        <v>6984</v>
      </c>
      <c r="CPY13" t="s">
        <v>6984</v>
      </c>
      <c r="CPZ13" t="s">
        <v>6984</v>
      </c>
      <c r="CQA13" t="s">
        <v>6984</v>
      </c>
      <c r="CQB13" t="s">
        <v>6984</v>
      </c>
      <c r="CQC13" t="s">
        <v>6984</v>
      </c>
      <c r="CQD13" t="s">
        <v>6984</v>
      </c>
      <c r="CQE13" t="s">
        <v>6984</v>
      </c>
      <c r="CQF13" t="s">
        <v>6984</v>
      </c>
      <c r="CQG13" t="s">
        <v>6984</v>
      </c>
      <c r="CQH13" t="s">
        <v>6984</v>
      </c>
      <c r="CQI13" t="s">
        <v>6984</v>
      </c>
      <c r="CQJ13" t="s">
        <v>6984</v>
      </c>
      <c r="CQK13" t="s">
        <v>6984</v>
      </c>
      <c r="CQL13" t="s">
        <v>6984</v>
      </c>
      <c r="CQM13" t="s">
        <v>6984</v>
      </c>
      <c r="CQN13" t="s">
        <v>6984</v>
      </c>
      <c r="CQO13" t="s">
        <v>6984</v>
      </c>
      <c r="CQP13" t="s">
        <v>6984</v>
      </c>
      <c r="CQQ13" t="s">
        <v>6984</v>
      </c>
      <c r="CQR13" t="s">
        <v>6984</v>
      </c>
      <c r="CQS13" t="s">
        <v>6984</v>
      </c>
      <c r="CQT13" t="s">
        <v>6984</v>
      </c>
      <c r="CQU13" t="s">
        <v>6984</v>
      </c>
      <c r="CQV13" t="s">
        <v>6984</v>
      </c>
      <c r="CQW13" t="s">
        <v>6984</v>
      </c>
      <c r="CQX13" t="s">
        <v>6984</v>
      </c>
      <c r="CQY13" t="s">
        <v>6984</v>
      </c>
      <c r="CQZ13" t="s">
        <v>6984</v>
      </c>
      <c r="CRA13" t="s">
        <v>6984</v>
      </c>
      <c r="CRB13" t="s">
        <v>6984</v>
      </c>
      <c r="CRC13" t="s">
        <v>6984</v>
      </c>
      <c r="CRD13" t="s">
        <v>6984</v>
      </c>
      <c r="CRE13" t="s">
        <v>6984</v>
      </c>
      <c r="CRF13" t="s">
        <v>6984</v>
      </c>
      <c r="CRG13" t="s">
        <v>6984</v>
      </c>
      <c r="CRH13" t="s">
        <v>6984</v>
      </c>
      <c r="CRI13" t="s">
        <v>6984</v>
      </c>
      <c r="CRJ13" t="s">
        <v>6984</v>
      </c>
      <c r="CRK13" t="s">
        <v>6984</v>
      </c>
      <c r="CRL13" t="s">
        <v>6984</v>
      </c>
      <c r="CRM13" t="s">
        <v>6984</v>
      </c>
      <c r="CRN13" t="s">
        <v>6984</v>
      </c>
      <c r="CRO13" t="s">
        <v>6984</v>
      </c>
      <c r="CRP13" t="s">
        <v>6984</v>
      </c>
      <c r="CRQ13" t="s">
        <v>6984</v>
      </c>
      <c r="CRR13" t="s">
        <v>6984</v>
      </c>
      <c r="CRS13" t="s">
        <v>6984</v>
      </c>
      <c r="CRT13" t="s">
        <v>6984</v>
      </c>
      <c r="CRU13" t="s">
        <v>6984</v>
      </c>
      <c r="CRV13" t="s">
        <v>6984</v>
      </c>
      <c r="CRW13" t="s">
        <v>6984</v>
      </c>
      <c r="CRX13" t="s">
        <v>6984</v>
      </c>
      <c r="CRY13" t="s">
        <v>6984</v>
      </c>
      <c r="CRZ13" t="s">
        <v>6984</v>
      </c>
      <c r="CSA13" t="s">
        <v>6984</v>
      </c>
      <c r="CSB13" t="s">
        <v>6984</v>
      </c>
      <c r="CSC13" t="s">
        <v>6984</v>
      </c>
      <c r="CSD13" t="s">
        <v>6984</v>
      </c>
      <c r="CSE13" t="s">
        <v>6984</v>
      </c>
      <c r="CSF13" t="s">
        <v>6984</v>
      </c>
      <c r="CSG13" t="s">
        <v>6984</v>
      </c>
      <c r="CSH13" t="s">
        <v>6984</v>
      </c>
      <c r="CSI13" t="s">
        <v>6984</v>
      </c>
      <c r="CSJ13" t="s">
        <v>6984</v>
      </c>
      <c r="CSK13" t="s">
        <v>6984</v>
      </c>
      <c r="CSL13" t="s">
        <v>6984</v>
      </c>
      <c r="CSM13" t="s">
        <v>6984</v>
      </c>
      <c r="CSN13" t="s">
        <v>6984</v>
      </c>
      <c r="CSO13" t="s">
        <v>6984</v>
      </c>
      <c r="CSP13" t="s">
        <v>6984</v>
      </c>
      <c r="CSQ13" t="s">
        <v>6984</v>
      </c>
      <c r="CSR13" t="s">
        <v>6984</v>
      </c>
      <c r="CSS13" t="s">
        <v>6984</v>
      </c>
      <c r="CST13" t="s">
        <v>6984</v>
      </c>
      <c r="CSU13" t="s">
        <v>6984</v>
      </c>
      <c r="CSV13" t="s">
        <v>6984</v>
      </c>
      <c r="CSW13" t="s">
        <v>6984</v>
      </c>
      <c r="CSX13" t="s">
        <v>6984</v>
      </c>
      <c r="CSY13" t="s">
        <v>6984</v>
      </c>
      <c r="CSZ13" t="s">
        <v>6984</v>
      </c>
      <c r="CTA13" t="s">
        <v>6984</v>
      </c>
      <c r="CTB13" t="s">
        <v>6984</v>
      </c>
      <c r="CTC13" t="s">
        <v>6984</v>
      </c>
      <c r="CTD13" t="s">
        <v>6984</v>
      </c>
      <c r="CTE13" t="s">
        <v>6984</v>
      </c>
      <c r="CTF13" t="s">
        <v>6984</v>
      </c>
      <c r="CTG13" t="s">
        <v>6984</v>
      </c>
      <c r="CTH13" t="s">
        <v>6984</v>
      </c>
      <c r="CTI13" t="s">
        <v>6984</v>
      </c>
      <c r="CTJ13" t="s">
        <v>6984</v>
      </c>
      <c r="CTK13" t="s">
        <v>6984</v>
      </c>
      <c r="CTL13" t="s">
        <v>6984</v>
      </c>
      <c r="CTM13" t="s">
        <v>6984</v>
      </c>
      <c r="CTN13" t="s">
        <v>6984</v>
      </c>
      <c r="CTO13" t="s">
        <v>6984</v>
      </c>
      <c r="CTP13" t="s">
        <v>6984</v>
      </c>
      <c r="CTQ13" t="s">
        <v>6984</v>
      </c>
      <c r="CTR13" t="s">
        <v>6984</v>
      </c>
      <c r="CTS13" t="s">
        <v>6984</v>
      </c>
      <c r="CTT13" t="s">
        <v>6984</v>
      </c>
      <c r="CTU13" t="s">
        <v>6984</v>
      </c>
      <c r="CTV13" t="s">
        <v>6984</v>
      </c>
      <c r="CTW13" t="s">
        <v>6984</v>
      </c>
      <c r="CTX13" t="s">
        <v>6984</v>
      </c>
      <c r="CTY13" t="s">
        <v>6984</v>
      </c>
      <c r="CTZ13" t="s">
        <v>6984</v>
      </c>
      <c r="CUA13" t="s">
        <v>6984</v>
      </c>
      <c r="CUB13" t="s">
        <v>6984</v>
      </c>
      <c r="CUC13" t="s">
        <v>6984</v>
      </c>
      <c r="CUD13" t="s">
        <v>6984</v>
      </c>
      <c r="CUE13" t="s">
        <v>6984</v>
      </c>
      <c r="CUF13" t="s">
        <v>6984</v>
      </c>
      <c r="CUG13" t="s">
        <v>6984</v>
      </c>
      <c r="CUH13" t="s">
        <v>6984</v>
      </c>
      <c r="CUI13" t="s">
        <v>6984</v>
      </c>
      <c r="CUJ13" t="s">
        <v>6984</v>
      </c>
      <c r="CUK13" t="s">
        <v>6984</v>
      </c>
      <c r="CUL13" t="s">
        <v>6984</v>
      </c>
      <c r="CUM13" t="s">
        <v>6984</v>
      </c>
      <c r="CUN13" t="s">
        <v>6984</v>
      </c>
      <c r="CUO13" t="s">
        <v>6984</v>
      </c>
      <c r="CUP13" t="s">
        <v>6984</v>
      </c>
      <c r="CUQ13" t="s">
        <v>6984</v>
      </c>
      <c r="CUR13" t="s">
        <v>6984</v>
      </c>
      <c r="CUS13" t="s">
        <v>6984</v>
      </c>
      <c r="CUT13" t="s">
        <v>6984</v>
      </c>
      <c r="CUU13" t="s">
        <v>6984</v>
      </c>
      <c r="CUV13" t="s">
        <v>6984</v>
      </c>
      <c r="CUW13" t="s">
        <v>6984</v>
      </c>
      <c r="CUX13" t="s">
        <v>6984</v>
      </c>
      <c r="CUY13" t="s">
        <v>6984</v>
      </c>
      <c r="CUZ13" t="s">
        <v>6984</v>
      </c>
      <c r="CVA13" t="s">
        <v>6984</v>
      </c>
      <c r="CVB13" t="s">
        <v>6984</v>
      </c>
      <c r="CVC13" t="s">
        <v>6984</v>
      </c>
      <c r="CVD13" t="s">
        <v>6984</v>
      </c>
      <c r="CVE13" t="s">
        <v>6984</v>
      </c>
      <c r="CVF13" t="s">
        <v>6984</v>
      </c>
      <c r="CVG13" t="s">
        <v>6984</v>
      </c>
      <c r="CVH13" t="s">
        <v>6984</v>
      </c>
      <c r="CVI13" t="s">
        <v>6984</v>
      </c>
      <c r="CVJ13" t="s">
        <v>6984</v>
      </c>
      <c r="CVK13" t="s">
        <v>6984</v>
      </c>
      <c r="CVL13" t="s">
        <v>6984</v>
      </c>
      <c r="CVM13" t="s">
        <v>6984</v>
      </c>
      <c r="CVN13" t="s">
        <v>6984</v>
      </c>
      <c r="CVO13" t="s">
        <v>6984</v>
      </c>
      <c r="CVP13" t="s">
        <v>6984</v>
      </c>
      <c r="CVQ13" t="s">
        <v>6984</v>
      </c>
      <c r="CVR13" t="s">
        <v>6984</v>
      </c>
      <c r="CVS13" t="s">
        <v>6984</v>
      </c>
      <c r="CVT13" t="s">
        <v>6984</v>
      </c>
      <c r="CVU13" t="s">
        <v>6984</v>
      </c>
      <c r="CVV13" t="s">
        <v>6984</v>
      </c>
      <c r="CVW13" t="s">
        <v>6984</v>
      </c>
      <c r="CVX13" t="s">
        <v>6984</v>
      </c>
      <c r="CVY13" t="s">
        <v>6984</v>
      </c>
      <c r="CVZ13" t="s">
        <v>6984</v>
      </c>
      <c r="CWA13" t="s">
        <v>6984</v>
      </c>
      <c r="CWB13" t="s">
        <v>6984</v>
      </c>
      <c r="CWC13" t="s">
        <v>6984</v>
      </c>
      <c r="CWD13" t="s">
        <v>6984</v>
      </c>
      <c r="CWE13" t="s">
        <v>6984</v>
      </c>
      <c r="CWF13" t="s">
        <v>6984</v>
      </c>
      <c r="CWG13" t="s">
        <v>6984</v>
      </c>
      <c r="CWH13" t="s">
        <v>6984</v>
      </c>
      <c r="CWI13" t="s">
        <v>6984</v>
      </c>
      <c r="CWJ13" t="s">
        <v>6984</v>
      </c>
      <c r="CWK13" t="s">
        <v>6984</v>
      </c>
      <c r="CWL13" t="s">
        <v>6984</v>
      </c>
      <c r="CWM13" t="s">
        <v>6984</v>
      </c>
      <c r="CWN13" t="s">
        <v>6984</v>
      </c>
      <c r="CWO13" t="s">
        <v>6984</v>
      </c>
      <c r="CWP13" t="s">
        <v>6984</v>
      </c>
      <c r="CWQ13" t="s">
        <v>6984</v>
      </c>
      <c r="CWR13" t="s">
        <v>6984</v>
      </c>
      <c r="CWS13" t="s">
        <v>6984</v>
      </c>
      <c r="CWT13" t="s">
        <v>6984</v>
      </c>
      <c r="CWU13" t="s">
        <v>6984</v>
      </c>
      <c r="CWV13" t="s">
        <v>6984</v>
      </c>
      <c r="CWW13" t="s">
        <v>6984</v>
      </c>
      <c r="CWX13" t="s">
        <v>6984</v>
      </c>
      <c r="CWY13" t="s">
        <v>6984</v>
      </c>
      <c r="CWZ13" t="s">
        <v>6984</v>
      </c>
      <c r="CXA13" t="s">
        <v>6984</v>
      </c>
      <c r="CXB13" t="s">
        <v>6984</v>
      </c>
      <c r="CXC13" t="s">
        <v>6984</v>
      </c>
      <c r="CXD13" t="s">
        <v>6984</v>
      </c>
      <c r="CXE13" t="s">
        <v>6984</v>
      </c>
      <c r="CXF13" t="s">
        <v>6984</v>
      </c>
      <c r="CXG13" t="s">
        <v>6984</v>
      </c>
      <c r="CXH13" t="s">
        <v>6984</v>
      </c>
      <c r="CXI13" t="s">
        <v>6984</v>
      </c>
      <c r="CXJ13" t="s">
        <v>6984</v>
      </c>
      <c r="CXK13" t="s">
        <v>6984</v>
      </c>
      <c r="CXL13" t="s">
        <v>6984</v>
      </c>
      <c r="CXM13" t="s">
        <v>6984</v>
      </c>
      <c r="CXN13" t="s">
        <v>6984</v>
      </c>
      <c r="CXO13" t="s">
        <v>6984</v>
      </c>
      <c r="CXP13" t="s">
        <v>6984</v>
      </c>
      <c r="CXQ13" t="s">
        <v>6984</v>
      </c>
      <c r="CXR13" t="s">
        <v>6984</v>
      </c>
      <c r="CXS13" t="s">
        <v>6984</v>
      </c>
      <c r="CXT13" t="s">
        <v>6984</v>
      </c>
      <c r="CXU13" t="s">
        <v>6984</v>
      </c>
      <c r="CXV13" t="s">
        <v>6984</v>
      </c>
      <c r="CXW13" t="s">
        <v>6984</v>
      </c>
      <c r="CXX13" t="s">
        <v>6984</v>
      </c>
      <c r="CXY13" t="s">
        <v>6984</v>
      </c>
      <c r="CXZ13" t="s">
        <v>6984</v>
      </c>
      <c r="CYA13" t="s">
        <v>6984</v>
      </c>
      <c r="CYB13" t="s">
        <v>6984</v>
      </c>
      <c r="CYC13" t="s">
        <v>6984</v>
      </c>
      <c r="CYD13" t="s">
        <v>6984</v>
      </c>
      <c r="CYE13" t="s">
        <v>6984</v>
      </c>
      <c r="CYF13" t="s">
        <v>6984</v>
      </c>
      <c r="CYG13" t="s">
        <v>6984</v>
      </c>
      <c r="CYH13" t="s">
        <v>6984</v>
      </c>
      <c r="CYI13" t="s">
        <v>6984</v>
      </c>
      <c r="CYJ13" t="s">
        <v>6984</v>
      </c>
      <c r="CYK13" t="s">
        <v>6984</v>
      </c>
      <c r="CYL13" t="s">
        <v>6984</v>
      </c>
      <c r="CYM13" t="s">
        <v>6984</v>
      </c>
      <c r="CYN13" t="s">
        <v>6984</v>
      </c>
      <c r="CYO13" t="s">
        <v>6984</v>
      </c>
      <c r="CYP13" t="s">
        <v>6984</v>
      </c>
      <c r="CYQ13" t="s">
        <v>6984</v>
      </c>
      <c r="CYR13" t="s">
        <v>6984</v>
      </c>
      <c r="CYS13" t="s">
        <v>6984</v>
      </c>
      <c r="CYT13" t="s">
        <v>6984</v>
      </c>
      <c r="CYU13" t="s">
        <v>6984</v>
      </c>
      <c r="CYV13" t="s">
        <v>6984</v>
      </c>
      <c r="CYW13" t="s">
        <v>6984</v>
      </c>
      <c r="CYX13" t="s">
        <v>6984</v>
      </c>
      <c r="CYY13" t="s">
        <v>6984</v>
      </c>
      <c r="CYZ13" t="s">
        <v>6984</v>
      </c>
      <c r="CZA13" t="s">
        <v>6984</v>
      </c>
      <c r="CZB13" t="s">
        <v>6984</v>
      </c>
      <c r="CZC13" t="s">
        <v>6984</v>
      </c>
      <c r="CZD13" t="s">
        <v>6984</v>
      </c>
      <c r="CZE13" t="s">
        <v>6984</v>
      </c>
      <c r="CZF13" t="s">
        <v>6984</v>
      </c>
      <c r="CZG13" t="s">
        <v>6984</v>
      </c>
      <c r="CZH13" t="s">
        <v>6984</v>
      </c>
      <c r="CZI13" t="s">
        <v>6984</v>
      </c>
      <c r="CZJ13" t="s">
        <v>6984</v>
      </c>
      <c r="CZK13" t="s">
        <v>6984</v>
      </c>
      <c r="CZL13" t="s">
        <v>6984</v>
      </c>
      <c r="CZM13" t="s">
        <v>6984</v>
      </c>
      <c r="CZN13" t="s">
        <v>6984</v>
      </c>
      <c r="CZO13" t="s">
        <v>6984</v>
      </c>
      <c r="CZP13" t="s">
        <v>6984</v>
      </c>
      <c r="CZQ13" t="s">
        <v>6984</v>
      </c>
      <c r="CZR13" t="s">
        <v>6984</v>
      </c>
      <c r="CZS13" t="s">
        <v>6984</v>
      </c>
      <c r="CZT13" t="s">
        <v>6984</v>
      </c>
      <c r="CZU13" t="s">
        <v>6984</v>
      </c>
      <c r="CZV13" t="s">
        <v>6984</v>
      </c>
      <c r="CZW13" t="s">
        <v>6984</v>
      </c>
      <c r="CZX13" t="s">
        <v>6984</v>
      </c>
      <c r="CZY13" t="s">
        <v>6984</v>
      </c>
      <c r="CZZ13" t="s">
        <v>6984</v>
      </c>
      <c r="DAA13" t="s">
        <v>6984</v>
      </c>
      <c r="DAB13" t="s">
        <v>6984</v>
      </c>
      <c r="DAC13" t="s">
        <v>6984</v>
      </c>
      <c r="DAD13" t="s">
        <v>6984</v>
      </c>
      <c r="DAE13" t="s">
        <v>6984</v>
      </c>
      <c r="DAF13" t="s">
        <v>6984</v>
      </c>
      <c r="DAG13" t="s">
        <v>6984</v>
      </c>
      <c r="DAH13" t="s">
        <v>6984</v>
      </c>
      <c r="DAI13" t="s">
        <v>6984</v>
      </c>
      <c r="DAJ13" t="s">
        <v>6984</v>
      </c>
      <c r="DAK13" t="s">
        <v>6984</v>
      </c>
      <c r="DAL13" t="s">
        <v>6984</v>
      </c>
      <c r="DAM13" t="s">
        <v>6984</v>
      </c>
      <c r="DAN13" t="s">
        <v>6984</v>
      </c>
      <c r="DAO13" t="s">
        <v>6984</v>
      </c>
      <c r="DAP13" t="s">
        <v>6984</v>
      </c>
      <c r="DAQ13" t="s">
        <v>6984</v>
      </c>
      <c r="DAR13" t="s">
        <v>6984</v>
      </c>
      <c r="DAS13" t="s">
        <v>6984</v>
      </c>
      <c r="DAT13" t="s">
        <v>6984</v>
      </c>
      <c r="DAU13" t="s">
        <v>6984</v>
      </c>
      <c r="DAV13" t="s">
        <v>6984</v>
      </c>
      <c r="DAW13" t="s">
        <v>6984</v>
      </c>
      <c r="DAX13" t="s">
        <v>6984</v>
      </c>
      <c r="DAY13" t="s">
        <v>6984</v>
      </c>
      <c r="DAZ13" t="s">
        <v>6984</v>
      </c>
      <c r="DBA13" t="s">
        <v>6984</v>
      </c>
      <c r="DBB13" t="s">
        <v>6984</v>
      </c>
      <c r="DBC13" t="s">
        <v>6984</v>
      </c>
      <c r="DBD13" t="s">
        <v>6984</v>
      </c>
      <c r="DBE13" t="s">
        <v>6984</v>
      </c>
      <c r="DBF13" t="s">
        <v>6984</v>
      </c>
      <c r="DBG13" t="s">
        <v>6984</v>
      </c>
      <c r="DBH13" t="s">
        <v>6984</v>
      </c>
      <c r="DBI13" t="s">
        <v>6984</v>
      </c>
      <c r="DBJ13" t="s">
        <v>6984</v>
      </c>
      <c r="DBK13" t="s">
        <v>6984</v>
      </c>
      <c r="DBL13" t="s">
        <v>6984</v>
      </c>
      <c r="DBM13" t="s">
        <v>6984</v>
      </c>
      <c r="DBN13" t="s">
        <v>6984</v>
      </c>
      <c r="DBO13" t="s">
        <v>6984</v>
      </c>
      <c r="DBP13" t="s">
        <v>6984</v>
      </c>
      <c r="DBQ13" t="s">
        <v>6984</v>
      </c>
      <c r="DBR13" t="s">
        <v>6984</v>
      </c>
      <c r="DBS13" t="s">
        <v>6984</v>
      </c>
      <c r="DBT13" t="s">
        <v>6984</v>
      </c>
      <c r="DBU13" t="s">
        <v>6984</v>
      </c>
      <c r="DBV13" t="s">
        <v>6984</v>
      </c>
      <c r="DBW13" t="s">
        <v>6984</v>
      </c>
      <c r="DBX13" t="s">
        <v>6984</v>
      </c>
      <c r="DBY13" t="s">
        <v>6984</v>
      </c>
      <c r="DBZ13" t="s">
        <v>6984</v>
      </c>
      <c r="DCA13" t="s">
        <v>6984</v>
      </c>
      <c r="DCB13" t="s">
        <v>6984</v>
      </c>
      <c r="DCC13" t="s">
        <v>6984</v>
      </c>
      <c r="DCD13" t="s">
        <v>6984</v>
      </c>
      <c r="DCE13" t="s">
        <v>6984</v>
      </c>
      <c r="DCF13" t="s">
        <v>6984</v>
      </c>
      <c r="DCG13" t="s">
        <v>6984</v>
      </c>
      <c r="DCH13" t="s">
        <v>6984</v>
      </c>
      <c r="DCI13" t="s">
        <v>6984</v>
      </c>
      <c r="DCJ13" t="s">
        <v>6984</v>
      </c>
      <c r="DCK13" t="s">
        <v>6984</v>
      </c>
      <c r="DCL13" t="s">
        <v>6984</v>
      </c>
      <c r="DCM13" t="s">
        <v>6984</v>
      </c>
      <c r="DCN13" t="s">
        <v>6984</v>
      </c>
      <c r="DCO13" t="s">
        <v>6984</v>
      </c>
      <c r="DCP13" t="s">
        <v>6984</v>
      </c>
      <c r="DCQ13" t="s">
        <v>6984</v>
      </c>
      <c r="DCR13" t="s">
        <v>6984</v>
      </c>
      <c r="DCS13" t="s">
        <v>6984</v>
      </c>
      <c r="DCT13" t="s">
        <v>6984</v>
      </c>
      <c r="DCU13" t="s">
        <v>6984</v>
      </c>
      <c r="DCV13" t="s">
        <v>6984</v>
      </c>
      <c r="DCW13" t="s">
        <v>6984</v>
      </c>
      <c r="DCX13" t="s">
        <v>6984</v>
      </c>
      <c r="DCY13" t="s">
        <v>6984</v>
      </c>
      <c r="DCZ13" t="s">
        <v>6984</v>
      </c>
      <c r="DDA13" t="s">
        <v>6984</v>
      </c>
      <c r="DDB13" t="s">
        <v>6984</v>
      </c>
      <c r="DDC13" t="s">
        <v>6984</v>
      </c>
      <c r="DDD13" t="s">
        <v>6984</v>
      </c>
      <c r="DDE13" t="s">
        <v>6984</v>
      </c>
      <c r="DDF13" t="s">
        <v>6984</v>
      </c>
      <c r="DDG13" t="s">
        <v>6984</v>
      </c>
      <c r="DDH13" t="s">
        <v>6984</v>
      </c>
      <c r="DDI13" t="s">
        <v>6984</v>
      </c>
      <c r="DDJ13" t="s">
        <v>6984</v>
      </c>
      <c r="DDK13" t="s">
        <v>6984</v>
      </c>
      <c r="DDL13" t="s">
        <v>6984</v>
      </c>
      <c r="DDM13" t="s">
        <v>6984</v>
      </c>
      <c r="DDN13" t="s">
        <v>6984</v>
      </c>
      <c r="DDO13" t="s">
        <v>6984</v>
      </c>
      <c r="DDP13" t="s">
        <v>6984</v>
      </c>
      <c r="DDQ13" t="s">
        <v>6984</v>
      </c>
      <c r="DDR13" t="s">
        <v>6984</v>
      </c>
      <c r="DDS13" t="s">
        <v>6984</v>
      </c>
      <c r="DDT13" t="s">
        <v>6984</v>
      </c>
      <c r="DDU13" t="s">
        <v>6984</v>
      </c>
      <c r="DDV13" t="s">
        <v>6984</v>
      </c>
      <c r="DDW13" t="s">
        <v>6984</v>
      </c>
      <c r="DDX13" t="s">
        <v>6984</v>
      </c>
      <c r="DDY13" t="s">
        <v>6984</v>
      </c>
      <c r="DDZ13" t="s">
        <v>6984</v>
      </c>
      <c r="DEA13" t="s">
        <v>6984</v>
      </c>
      <c r="DEB13" t="s">
        <v>6984</v>
      </c>
      <c r="DEC13" t="s">
        <v>6984</v>
      </c>
      <c r="DED13" t="s">
        <v>6984</v>
      </c>
      <c r="DEE13" t="s">
        <v>6984</v>
      </c>
      <c r="DEF13" t="s">
        <v>6984</v>
      </c>
      <c r="DEG13" t="s">
        <v>6984</v>
      </c>
      <c r="DEH13" t="s">
        <v>6984</v>
      </c>
      <c r="DEI13" t="s">
        <v>6984</v>
      </c>
      <c r="DEJ13" t="s">
        <v>6984</v>
      </c>
      <c r="DEK13" t="s">
        <v>6984</v>
      </c>
      <c r="DEL13" t="s">
        <v>6984</v>
      </c>
      <c r="DEM13" t="s">
        <v>6984</v>
      </c>
      <c r="DEN13" t="s">
        <v>6984</v>
      </c>
      <c r="DEO13" t="s">
        <v>6984</v>
      </c>
      <c r="DEP13" t="s">
        <v>6984</v>
      </c>
      <c r="DEQ13" t="s">
        <v>6984</v>
      </c>
      <c r="DER13" t="s">
        <v>6984</v>
      </c>
      <c r="DES13" t="s">
        <v>6984</v>
      </c>
      <c r="DET13" t="s">
        <v>6984</v>
      </c>
      <c r="DEU13" t="s">
        <v>6984</v>
      </c>
      <c r="DEV13" t="s">
        <v>6984</v>
      </c>
      <c r="DEW13" t="s">
        <v>6984</v>
      </c>
      <c r="DEX13" t="s">
        <v>6984</v>
      </c>
      <c r="DEY13" t="s">
        <v>6984</v>
      </c>
      <c r="DEZ13" t="s">
        <v>6984</v>
      </c>
      <c r="DFA13" t="s">
        <v>6984</v>
      </c>
      <c r="DFB13" t="s">
        <v>6984</v>
      </c>
      <c r="DFC13" t="s">
        <v>6984</v>
      </c>
      <c r="DFD13" t="s">
        <v>6984</v>
      </c>
      <c r="DFE13" t="s">
        <v>6984</v>
      </c>
      <c r="DFF13" t="s">
        <v>6984</v>
      </c>
      <c r="DFG13" t="s">
        <v>6984</v>
      </c>
      <c r="DFH13" t="s">
        <v>6984</v>
      </c>
      <c r="DFI13" t="s">
        <v>6984</v>
      </c>
      <c r="DFJ13" t="s">
        <v>6984</v>
      </c>
      <c r="DFK13" t="s">
        <v>6984</v>
      </c>
      <c r="DFL13" t="s">
        <v>6984</v>
      </c>
      <c r="DFM13" t="s">
        <v>6984</v>
      </c>
      <c r="DFN13" t="s">
        <v>6984</v>
      </c>
      <c r="DFO13" t="s">
        <v>6984</v>
      </c>
      <c r="DFP13" t="s">
        <v>6984</v>
      </c>
      <c r="DFQ13" t="s">
        <v>6984</v>
      </c>
      <c r="DFR13" t="s">
        <v>6984</v>
      </c>
      <c r="DFS13" t="s">
        <v>6984</v>
      </c>
      <c r="DFT13" t="s">
        <v>6984</v>
      </c>
      <c r="DFU13" t="s">
        <v>6984</v>
      </c>
      <c r="DFV13" t="s">
        <v>6984</v>
      </c>
      <c r="DFW13" t="s">
        <v>6984</v>
      </c>
      <c r="DFX13" t="s">
        <v>6984</v>
      </c>
      <c r="DFY13" t="s">
        <v>6984</v>
      </c>
      <c r="DFZ13" t="s">
        <v>6984</v>
      </c>
      <c r="DGA13" t="s">
        <v>6984</v>
      </c>
      <c r="DGB13" t="s">
        <v>6984</v>
      </c>
      <c r="DGC13" t="s">
        <v>6984</v>
      </c>
      <c r="DGD13" t="s">
        <v>6984</v>
      </c>
      <c r="DGE13" t="s">
        <v>6984</v>
      </c>
      <c r="DGF13" t="s">
        <v>6984</v>
      </c>
      <c r="DGG13" t="s">
        <v>6984</v>
      </c>
      <c r="DGH13" t="s">
        <v>6984</v>
      </c>
      <c r="DGI13" t="s">
        <v>6984</v>
      </c>
      <c r="DGJ13" t="s">
        <v>6984</v>
      </c>
      <c r="DGK13" t="s">
        <v>6984</v>
      </c>
      <c r="DGL13" t="s">
        <v>6984</v>
      </c>
      <c r="DGM13" t="s">
        <v>6984</v>
      </c>
      <c r="DGN13" t="s">
        <v>6984</v>
      </c>
      <c r="DGO13" t="s">
        <v>6984</v>
      </c>
      <c r="DGP13" t="s">
        <v>6984</v>
      </c>
      <c r="DGQ13" t="s">
        <v>6984</v>
      </c>
      <c r="DGR13" t="s">
        <v>6984</v>
      </c>
      <c r="DGS13" t="s">
        <v>6984</v>
      </c>
      <c r="DGT13" t="s">
        <v>6984</v>
      </c>
      <c r="DGU13" t="s">
        <v>6984</v>
      </c>
      <c r="DGV13" t="s">
        <v>6984</v>
      </c>
      <c r="DGW13" t="s">
        <v>6984</v>
      </c>
      <c r="DGX13" t="s">
        <v>6984</v>
      </c>
      <c r="DGY13" t="s">
        <v>6984</v>
      </c>
      <c r="DGZ13" t="s">
        <v>6984</v>
      </c>
      <c r="DHA13" t="s">
        <v>6984</v>
      </c>
      <c r="DHB13" t="s">
        <v>6984</v>
      </c>
      <c r="DHC13" t="s">
        <v>6984</v>
      </c>
      <c r="DHD13" t="s">
        <v>6984</v>
      </c>
      <c r="DHE13" t="s">
        <v>6984</v>
      </c>
      <c r="DHF13" t="s">
        <v>6984</v>
      </c>
      <c r="DHG13" t="s">
        <v>6984</v>
      </c>
      <c r="DHH13" t="s">
        <v>6984</v>
      </c>
      <c r="DHI13" t="s">
        <v>6984</v>
      </c>
      <c r="DHJ13" t="s">
        <v>6984</v>
      </c>
      <c r="DHK13" t="s">
        <v>6984</v>
      </c>
      <c r="DHL13" t="s">
        <v>6984</v>
      </c>
      <c r="DHM13" t="s">
        <v>6984</v>
      </c>
      <c r="DHN13" t="s">
        <v>6984</v>
      </c>
      <c r="DHO13" t="s">
        <v>6984</v>
      </c>
      <c r="DHP13" t="s">
        <v>6984</v>
      </c>
      <c r="DHQ13" t="s">
        <v>6984</v>
      </c>
      <c r="DHR13" t="s">
        <v>6984</v>
      </c>
      <c r="DHS13" t="s">
        <v>6984</v>
      </c>
      <c r="DHT13" t="s">
        <v>6984</v>
      </c>
      <c r="DHU13" t="s">
        <v>6984</v>
      </c>
      <c r="DHV13" t="s">
        <v>6984</v>
      </c>
      <c r="DHW13" t="s">
        <v>6984</v>
      </c>
      <c r="DHX13" t="s">
        <v>6984</v>
      </c>
      <c r="DHY13" t="s">
        <v>6984</v>
      </c>
      <c r="DHZ13" t="s">
        <v>6984</v>
      </c>
      <c r="DIA13" t="s">
        <v>6984</v>
      </c>
      <c r="DIB13" t="s">
        <v>6984</v>
      </c>
      <c r="DIC13" t="s">
        <v>6984</v>
      </c>
      <c r="DID13" t="s">
        <v>6984</v>
      </c>
      <c r="DIE13" t="s">
        <v>6984</v>
      </c>
      <c r="DIF13" t="s">
        <v>6984</v>
      </c>
      <c r="DIG13" t="s">
        <v>6984</v>
      </c>
      <c r="DIH13" t="s">
        <v>6984</v>
      </c>
      <c r="DII13" t="s">
        <v>6984</v>
      </c>
      <c r="DIJ13" t="s">
        <v>6984</v>
      </c>
      <c r="DIK13" t="s">
        <v>6984</v>
      </c>
      <c r="DIL13" t="s">
        <v>6984</v>
      </c>
      <c r="DIM13" t="s">
        <v>6984</v>
      </c>
      <c r="DIN13" t="s">
        <v>6984</v>
      </c>
      <c r="DIO13" t="s">
        <v>6984</v>
      </c>
      <c r="DIP13" t="s">
        <v>6984</v>
      </c>
      <c r="DIQ13" t="s">
        <v>6984</v>
      </c>
      <c r="DIR13" t="s">
        <v>6984</v>
      </c>
      <c r="DIS13" t="s">
        <v>6984</v>
      </c>
      <c r="DIT13" t="s">
        <v>6984</v>
      </c>
      <c r="DIU13" t="s">
        <v>6984</v>
      </c>
      <c r="DIV13" t="s">
        <v>6984</v>
      </c>
      <c r="DIW13" t="s">
        <v>6984</v>
      </c>
      <c r="DIX13" t="s">
        <v>6984</v>
      </c>
      <c r="DIY13" t="s">
        <v>6984</v>
      </c>
      <c r="DIZ13" t="s">
        <v>6984</v>
      </c>
      <c r="DJA13" t="s">
        <v>6984</v>
      </c>
      <c r="DJB13" t="s">
        <v>6984</v>
      </c>
      <c r="DJC13" t="s">
        <v>6984</v>
      </c>
      <c r="DJD13" t="s">
        <v>6984</v>
      </c>
      <c r="DJE13" t="s">
        <v>6984</v>
      </c>
      <c r="DJF13" t="s">
        <v>6984</v>
      </c>
      <c r="DJG13" t="s">
        <v>6984</v>
      </c>
      <c r="DJH13" t="s">
        <v>6984</v>
      </c>
      <c r="DJI13" t="s">
        <v>6984</v>
      </c>
      <c r="DJJ13" t="s">
        <v>6984</v>
      </c>
      <c r="DJK13" t="s">
        <v>6984</v>
      </c>
      <c r="DJL13" t="s">
        <v>6984</v>
      </c>
      <c r="DJM13" t="s">
        <v>6984</v>
      </c>
      <c r="DJN13" t="s">
        <v>6984</v>
      </c>
      <c r="DJO13" t="s">
        <v>6984</v>
      </c>
      <c r="DJP13" t="s">
        <v>6984</v>
      </c>
      <c r="DJQ13" t="s">
        <v>6984</v>
      </c>
      <c r="DJR13" t="s">
        <v>6984</v>
      </c>
      <c r="DJS13" t="s">
        <v>6984</v>
      </c>
      <c r="DJT13" t="s">
        <v>6984</v>
      </c>
      <c r="DJU13" t="s">
        <v>6984</v>
      </c>
      <c r="DJV13" t="s">
        <v>6984</v>
      </c>
      <c r="DJW13" t="s">
        <v>6984</v>
      </c>
      <c r="DJX13" t="s">
        <v>6984</v>
      </c>
      <c r="DJY13" t="s">
        <v>6984</v>
      </c>
      <c r="DJZ13" t="s">
        <v>6984</v>
      </c>
      <c r="DKA13" t="s">
        <v>6984</v>
      </c>
      <c r="DKB13" t="s">
        <v>6984</v>
      </c>
      <c r="DKC13" t="s">
        <v>6984</v>
      </c>
      <c r="DKD13" t="s">
        <v>6984</v>
      </c>
      <c r="DKE13" t="s">
        <v>6984</v>
      </c>
      <c r="DKF13" t="s">
        <v>6984</v>
      </c>
      <c r="DKG13" t="s">
        <v>6984</v>
      </c>
      <c r="DKH13" t="s">
        <v>6984</v>
      </c>
      <c r="DKI13" t="s">
        <v>6984</v>
      </c>
      <c r="DKJ13" t="s">
        <v>6984</v>
      </c>
      <c r="DKK13" t="s">
        <v>6984</v>
      </c>
      <c r="DKL13" t="s">
        <v>6984</v>
      </c>
      <c r="DKM13" t="s">
        <v>6984</v>
      </c>
      <c r="DKN13" t="s">
        <v>6984</v>
      </c>
      <c r="DKO13" t="s">
        <v>6984</v>
      </c>
      <c r="DKP13" t="s">
        <v>6984</v>
      </c>
      <c r="DKQ13" t="s">
        <v>6984</v>
      </c>
      <c r="DKR13" t="s">
        <v>6984</v>
      </c>
      <c r="DKS13" t="s">
        <v>6984</v>
      </c>
      <c r="DKT13" t="s">
        <v>6984</v>
      </c>
      <c r="DKU13" t="s">
        <v>6984</v>
      </c>
      <c r="DKV13" t="s">
        <v>6984</v>
      </c>
      <c r="DKW13" t="s">
        <v>6984</v>
      </c>
      <c r="DKX13" t="s">
        <v>6984</v>
      </c>
      <c r="DKY13" t="s">
        <v>6984</v>
      </c>
      <c r="DKZ13" t="s">
        <v>6984</v>
      </c>
      <c r="DLA13" t="s">
        <v>6984</v>
      </c>
      <c r="DLB13" t="s">
        <v>6984</v>
      </c>
      <c r="DLC13" t="s">
        <v>6984</v>
      </c>
      <c r="DLD13" t="s">
        <v>6984</v>
      </c>
      <c r="DLE13" t="s">
        <v>6984</v>
      </c>
      <c r="DLF13" t="s">
        <v>6984</v>
      </c>
      <c r="DLG13" t="s">
        <v>6984</v>
      </c>
      <c r="DLH13" t="s">
        <v>6984</v>
      </c>
      <c r="DLI13" t="s">
        <v>6984</v>
      </c>
      <c r="DLJ13" t="s">
        <v>6984</v>
      </c>
      <c r="DLK13" t="s">
        <v>6984</v>
      </c>
      <c r="DLL13" t="s">
        <v>6984</v>
      </c>
      <c r="DLM13" t="s">
        <v>6984</v>
      </c>
      <c r="DLN13" t="s">
        <v>6984</v>
      </c>
      <c r="DLO13" t="s">
        <v>6984</v>
      </c>
      <c r="DLP13" t="s">
        <v>6984</v>
      </c>
      <c r="DLQ13" t="s">
        <v>6984</v>
      </c>
      <c r="DLR13" t="s">
        <v>6984</v>
      </c>
      <c r="DLS13" t="s">
        <v>6984</v>
      </c>
      <c r="DLT13" t="s">
        <v>6984</v>
      </c>
      <c r="DLU13" t="s">
        <v>6984</v>
      </c>
      <c r="DLV13" t="s">
        <v>6984</v>
      </c>
      <c r="DLW13" t="s">
        <v>6984</v>
      </c>
      <c r="DLX13" t="s">
        <v>6984</v>
      </c>
      <c r="DLY13" t="s">
        <v>6984</v>
      </c>
      <c r="DLZ13" t="s">
        <v>6984</v>
      </c>
      <c r="DMA13" t="s">
        <v>6984</v>
      </c>
      <c r="DMB13" t="s">
        <v>6984</v>
      </c>
      <c r="DMC13" t="s">
        <v>6984</v>
      </c>
      <c r="DMD13" t="s">
        <v>6984</v>
      </c>
      <c r="DME13" t="s">
        <v>6984</v>
      </c>
      <c r="DMF13" t="s">
        <v>6984</v>
      </c>
      <c r="DMG13" t="s">
        <v>6984</v>
      </c>
      <c r="DMH13" t="s">
        <v>6984</v>
      </c>
      <c r="DMI13" t="s">
        <v>6984</v>
      </c>
      <c r="DMJ13" t="s">
        <v>6984</v>
      </c>
      <c r="DMK13" t="s">
        <v>6984</v>
      </c>
      <c r="DML13" t="s">
        <v>6984</v>
      </c>
      <c r="DMM13" t="s">
        <v>6984</v>
      </c>
      <c r="DMN13" t="s">
        <v>6984</v>
      </c>
      <c r="DMO13" t="s">
        <v>6984</v>
      </c>
      <c r="DMP13" t="s">
        <v>6984</v>
      </c>
      <c r="DMQ13" t="s">
        <v>6984</v>
      </c>
      <c r="DMR13" t="s">
        <v>6984</v>
      </c>
      <c r="DMS13" t="s">
        <v>6984</v>
      </c>
      <c r="DMT13" t="s">
        <v>6984</v>
      </c>
      <c r="DMU13" t="s">
        <v>6984</v>
      </c>
      <c r="DMV13" t="s">
        <v>6984</v>
      </c>
      <c r="DMW13" t="s">
        <v>6984</v>
      </c>
      <c r="DMX13" t="s">
        <v>6984</v>
      </c>
      <c r="DMY13" t="s">
        <v>6984</v>
      </c>
      <c r="DMZ13" t="s">
        <v>6984</v>
      </c>
      <c r="DNA13" t="s">
        <v>6984</v>
      </c>
      <c r="DNB13" t="s">
        <v>6984</v>
      </c>
      <c r="DNC13" t="s">
        <v>6984</v>
      </c>
      <c r="DND13" t="s">
        <v>6984</v>
      </c>
      <c r="DNE13" t="s">
        <v>6984</v>
      </c>
      <c r="DNF13" t="s">
        <v>6984</v>
      </c>
      <c r="DNG13" t="s">
        <v>6984</v>
      </c>
      <c r="DNH13" t="s">
        <v>6984</v>
      </c>
      <c r="DNI13" t="s">
        <v>6984</v>
      </c>
      <c r="DNJ13" t="s">
        <v>6984</v>
      </c>
      <c r="DNK13" t="s">
        <v>6984</v>
      </c>
      <c r="DNL13" t="s">
        <v>6984</v>
      </c>
      <c r="DNM13" t="s">
        <v>6984</v>
      </c>
      <c r="DNN13" t="s">
        <v>6984</v>
      </c>
      <c r="DNO13" t="s">
        <v>6984</v>
      </c>
      <c r="DNP13" t="s">
        <v>6984</v>
      </c>
      <c r="DNQ13" t="s">
        <v>6984</v>
      </c>
      <c r="DNR13" t="s">
        <v>6984</v>
      </c>
      <c r="DNS13" t="s">
        <v>6984</v>
      </c>
      <c r="DNT13" t="s">
        <v>6984</v>
      </c>
      <c r="DNU13" t="s">
        <v>6984</v>
      </c>
      <c r="DNV13" t="s">
        <v>6984</v>
      </c>
      <c r="DNW13" t="s">
        <v>6984</v>
      </c>
      <c r="DNX13" t="s">
        <v>6984</v>
      </c>
      <c r="DNY13" t="s">
        <v>6984</v>
      </c>
      <c r="DNZ13" t="s">
        <v>6984</v>
      </c>
      <c r="DOA13" t="s">
        <v>6984</v>
      </c>
      <c r="DOB13" t="s">
        <v>6984</v>
      </c>
      <c r="DOC13" t="s">
        <v>6984</v>
      </c>
      <c r="DOD13" t="s">
        <v>6984</v>
      </c>
      <c r="DOE13" t="s">
        <v>6984</v>
      </c>
      <c r="DOF13" t="s">
        <v>6984</v>
      </c>
      <c r="DOG13" t="s">
        <v>6984</v>
      </c>
      <c r="DOH13" t="s">
        <v>6984</v>
      </c>
      <c r="DOI13" t="s">
        <v>6984</v>
      </c>
      <c r="DOJ13" t="s">
        <v>6984</v>
      </c>
      <c r="DOK13" t="s">
        <v>6984</v>
      </c>
      <c r="DOL13" t="s">
        <v>6984</v>
      </c>
      <c r="DOM13" t="s">
        <v>6984</v>
      </c>
      <c r="DON13" t="s">
        <v>6984</v>
      </c>
      <c r="DOO13" t="s">
        <v>6984</v>
      </c>
      <c r="DOP13" t="s">
        <v>6984</v>
      </c>
      <c r="DOQ13" t="s">
        <v>6984</v>
      </c>
      <c r="DOR13" t="s">
        <v>6984</v>
      </c>
      <c r="DOS13" t="s">
        <v>6984</v>
      </c>
      <c r="DOT13" t="s">
        <v>6984</v>
      </c>
      <c r="DOU13" t="s">
        <v>6984</v>
      </c>
      <c r="DOV13" t="s">
        <v>6984</v>
      </c>
      <c r="DOW13" t="s">
        <v>6984</v>
      </c>
      <c r="DOX13" t="s">
        <v>6984</v>
      </c>
      <c r="DOY13" t="s">
        <v>6984</v>
      </c>
      <c r="DOZ13" t="s">
        <v>6984</v>
      </c>
      <c r="DPA13" t="s">
        <v>6984</v>
      </c>
      <c r="DPB13" t="s">
        <v>6984</v>
      </c>
      <c r="DPC13" t="s">
        <v>6984</v>
      </c>
      <c r="DPD13" t="s">
        <v>6984</v>
      </c>
      <c r="DPE13" t="s">
        <v>6984</v>
      </c>
      <c r="DPF13" t="s">
        <v>6984</v>
      </c>
      <c r="DPG13" t="s">
        <v>6984</v>
      </c>
      <c r="DPH13" t="s">
        <v>6984</v>
      </c>
      <c r="DPI13" t="s">
        <v>6984</v>
      </c>
      <c r="DPJ13" t="s">
        <v>6984</v>
      </c>
      <c r="DPK13" t="s">
        <v>6984</v>
      </c>
      <c r="DPL13" t="s">
        <v>6984</v>
      </c>
      <c r="DPM13" t="s">
        <v>6984</v>
      </c>
      <c r="DPN13" t="s">
        <v>6984</v>
      </c>
      <c r="DPO13" t="s">
        <v>6984</v>
      </c>
      <c r="DPP13" t="s">
        <v>6984</v>
      </c>
      <c r="DPQ13" t="s">
        <v>6984</v>
      </c>
      <c r="DPR13" t="s">
        <v>6984</v>
      </c>
      <c r="DPS13" t="s">
        <v>6984</v>
      </c>
      <c r="DPT13" t="s">
        <v>6984</v>
      </c>
      <c r="DPU13" t="s">
        <v>6984</v>
      </c>
      <c r="DPV13" t="s">
        <v>6984</v>
      </c>
      <c r="DPW13" t="s">
        <v>6984</v>
      </c>
      <c r="DPX13" t="s">
        <v>6984</v>
      </c>
      <c r="DPY13" t="s">
        <v>6984</v>
      </c>
      <c r="DPZ13" t="s">
        <v>6984</v>
      </c>
      <c r="DQA13" t="s">
        <v>6984</v>
      </c>
      <c r="DQB13" t="s">
        <v>6984</v>
      </c>
      <c r="DQC13" t="s">
        <v>6984</v>
      </c>
      <c r="DQD13" t="s">
        <v>6984</v>
      </c>
      <c r="DQE13" t="s">
        <v>6984</v>
      </c>
      <c r="DQF13" t="s">
        <v>6984</v>
      </c>
      <c r="DQG13" t="s">
        <v>6984</v>
      </c>
      <c r="DQH13" t="s">
        <v>6984</v>
      </c>
      <c r="DQI13" t="s">
        <v>6984</v>
      </c>
      <c r="DQJ13" t="s">
        <v>6984</v>
      </c>
      <c r="DQK13" t="s">
        <v>6984</v>
      </c>
      <c r="DQL13" t="s">
        <v>6984</v>
      </c>
      <c r="DQM13" t="s">
        <v>6984</v>
      </c>
      <c r="DQN13" t="s">
        <v>6984</v>
      </c>
      <c r="DQO13" t="s">
        <v>6984</v>
      </c>
      <c r="DQP13" t="s">
        <v>6984</v>
      </c>
      <c r="DQQ13" t="s">
        <v>6984</v>
      </c>
      <c r="DQR13" t="s">
        <v>6984</v>
      </c>
      <c r="DQS13" t="s">
        <v>6984</v>
      </c>
      <c r="DQT13" t="s">
        <v>6984</v>
      </c>
      <c r="DQU13" t="s">
        <v>6984</v>
      </c>
      <c r="DQV13" t="s">
        <v>6984</v>
      </c>
      <c r="DQW13" t="s">
        <v>6984</v>
      </c>
      <c r="DQX13" t="s">
        <v>6984</v>
      </c>
      <c r="DQY13" t="s">
        <v>6984</v>
      </c>
      <c r="DQZ13" t="s">
        <v>6984</v>
      </c>
      <c r="DRA13" t="s">
        <v>6984</v>
      </c>
      <c r="DRB13" t="s">
        <v>6984</v>
      </c>
      <c r="DRC13" t="s">
        <v>6984</v>
      </c>
      <c r="DRD13" t="s">
        <v>6984</v>
      </c>
      <c r="DRE13" t="s">
        <v>6984</v>
      </c>
      <c r="DRF13" t="s">
        <v>6984</v>
      </c>
      <c r="DRG13" t="s">
        <v>6984</v>
      </c>
      <c r="DRH13" t="s">
        <v>6984</v>
      </c>
      <c r="DRI13" t="s">
        <v>6984</v>
      </c>
      <c r="DRJ13" t="s">
        <v>6984</v>
      </c>
      <c r="DRK13" t="s">
        <v>6984</v>
      </c>
      <c r="DRL13" t="s">
        <v>6984</v>
      </c>
      <c r="DRM13" t="s">
        <v>6984</v>
      </c>
      <c r="DRN13" t="s">
        <v>6984</v>
      </c>
      <c r="DRO13" t="s">
        <v>6984</v>
      </c>
      <c r="DRP13" t="s">
        <v>6984</v>
      </c>
      <c r="DRQ13" t="s">
        <v>6984</v>
      </c>
      <c r="DRR13" t="s">
        <v>6984</v>
      </c>
      <c r="DRS13" t="s">
        <v>6984</v>
      </c>
      <c r="DRT13" t="s">
        <v>6984</v>
      </c>
      <c r="DRU13" t="s">
        <v>6984</v>
      </c>
      <c r="DRV13" t="s">
        <v>6984</v>
      </c>
      <c r="DRW13" t="s">
        <v>6984</v>
      </c>
      <c r="DRX13" t="s">
        <v>6984</v>
      </c>
      <c r="DRY13" t="s">
        <v>6984</v>
      </c>
      <c r="DRZ13" t="s">
        <v>6984</v>
      </c>
      <c r="DSA13" t="s">
        <v>6984</v>
      </c>
      <c r="DSB13" t="s">
        <v>6984</v>
      </c>
      <c r="DSC13" t="s">
        <v>6984</v>
      </c>
      <c r="DSD13" t="s">
        <v>6984</v>
      </c>
      <c r="DSE13" t="s">
        <v>6984</v>
      </c>
      <c r="DSF13" t="s">
        <v>6984</v>
      </c>
      <c r="DSG13" t="s">
        <v>6984</v>
      </c>
      <c r="DSH13" t="s">
        <v>6984</v>
      </c>
      <c r="DSI13" t="s">
        <v>6984</v>
      </c>
      <c r="DSJ13" t="s">
        <v>6984</v>
      </c>
      <c r="DSK13" t="s">
        <v>6984</v>
      </c>
      <c r="DSL13" t="s">
        <v>6984</v>
      </c>
      <c r="DSM13" t="s">
        <v>6984</v>
      </c>
      <c r="DSN13" t="s">
        <v>6984</v>
      </c>
      <c r="DSO13" t="s">
        <v>6984</v>
      </c>
      <c r="DSP13" t="s">
        <v>6984</v>
      </c>
      <c r="DSQ13" t="s">
        <v>6984</v>
      </c>
      <c r="DSR13" t="s">
        <v>6984</v>
      </c>
      <c r="DSS13" t="s">
        <v>6984</v>
      </c>
      <c r="DST13" t="s">
        <v>6984</v>
      </c>
      <c r="DSU13" t="s">
        <v>6984</v>
      </c>
      <c r="DSV13" t="s">
        <v>6984</v>
      </c>
      <c r="DSW13" t="s">
        <v>6984</v>
      </c>
      <c r="DSX13" t="s">
        <v>6984</v>
      </c>
      <c r="DSY13" t="s">
        <v>6984</v>
      </c>
      <c r="DSZ13" t="s">
        <v>6984</v>
      </c>
      <c r="DTA13" t="s">
        <v>6984</v>
      </c>
      <c r="DTB13" t="s">
        <v>6984</v>
      </c>
      <c r="DTC13" t="s">
        <v>6984</v>
      </c>
      <c r="DTD13" t="s">
        <v>6984</v>
      </c>
      <c r="DTE13" t="s">
        <v>6984</v>
      </c>
      <c r="DTF13" t="s">
        <v>6984</v>
      </c>
      <c r="DTG13" t="s">
        <v>6984</v>
      </c>
      <c r="DTH13" t="s">
        <v>6984</v>
      </c>
      <c r="DTI13" t="s">
        <v>6984</v>
      </c>
      <c r="DTJ13" t="s">
        <v>6984</v>
      </c>
      <c r="DTK13" t="s">
        <v>6984</v>
      </c>
      <c r="DTL13" t="s">
        <v>6984</v>
      </c>
      <c r="DTM13" t="s">
        <v>6984</v>
      </c>
      <c r="DTN13" t="s">
        <v>6984</v>
      </c>
      <c r="DTO13" t="s">
        <v>6984</v>
      </c>
      <c r="DTP13" t="s">
        <v>6984</v>
      </c>
      <c r="DTQ13" t="s">
        <v>6984</v>
      </c>
      <c r="DTR13" t="s">
        <v>6984</v>
      </c>
      <c r="DTS13" t="s">
        <v>6984</v>
      </c>
      <c r="DTT13" t="s">
        <v>6984</v>
      </c>
      <c r="DTU13" t="s">
        <v>6984</v>
      </c>
      <c r="DTV13" t="s">
        <v>6984</v>
      </c>
      <c r="DTW13" t="s">
        <v>6984</v>
      </c>
      <c r="DTX13" t="s">
        <v>6984</v>
      </c>
      <c r="DTY13" t="s">
        <v>6984</v>
      </c>
      <c r="DTZ13" t="s">
        <v>6984</v>
      </c>
      <c r="DUA13" t="s">
        <v>6984</v>
      </c>
      <c r="DUB13" t="s">
        <v>6984</v>
      </c>
      <c r="DUC13" t="s">
        <v>6984</v>
      </c>
      <c r="DUD13" t="s">
        <v>6984</v>
      </c>
      <c r="DUE13" t="s">
        <v>6984</v>
      </c>
      <c r="DUF13" t="s">
        <v>6984</v>
      </c>
      <c r="DUG13" t="s">
        <v>6984</v>
      </c>
      <c r="DUH13" t="s">
        <v>6984</v>
      </c>
      <c r="DUI13" t="s">
        <v>6984</v>
      </c>
      <c r="DUJ13" t="s">
        <v>6984</v>
      </c>
      <c r="DUK13" t="s">
        <v>6984</v>
      </c>
      <c r="DUL13" t="s">
        <v>6984</v>
      </c>
      <c r="DUM13" t="s">
        <v>6984</v>
      </c>
      <c r="DUN13" t="s">
        <v>6984</v>
      </c>
      <c r="DUO13" t="s">
        <v>6984</v>
      </c>
      <c r="DUP13" t="s">
        <v>6984</v>
      </c>
      <c r="DUQ13" t="s">
        <v>6984</v>
      </c>
      <c r="DUR13" t="s">
        <v>6984</v>
      </c>
      <c r="DUS13" t="s">
        <v>6984</v>
      </c>
      <c r="DUT13" t="s">
        <v>6984</v>
      </c>
      <c r="DUU13" t="s">
        <v>6984</v>
      </c>
      <c r="DUV13" t="s">
        <v>6984</v>
      </c>
      <c r="DUW13" t="s">
        <v>6984</v>
      </c>
      <c r="DUX13" t="s">
        <v>6984</v>
      </c>
      <c r="DUY13" t="s">
        <v>6984</v>
      </c>
      <c r="DUZ13" t="s">
        <v>6984</v>
      </c>
      <c r="DVA13" t="s">
        <v>6984</v>
      </c>
      <c r="DVB13" t="s">
        <v>6984</v>
      </c>
      <c r="DVC13" t="s">
        <v>6984</v>
      </c>
      <c r="DVD13" t="s">
        <v>6984</v>
      </c>
      <c r="DVE13" t="s">
        <v>6984</v>
      </c>
      <c r="DVF13" t="s">
        <v>6984</v>
      </c>
      <c r="DVG13" t="s">
        <v>6984</v>
      </c>
      <c r="DVH13" t="s">
        <v>6984</v>
      </c>
      <c r="DVI13" t="s">
        <v>6984</v>
      </c>
      <c r="DVJ13" t="s">
        <v>6984</v>
      </c>
      <c r="DVK13" t="s">
        <v>6984</v>
      </c>
      <c r="DVL13" t="s">
        <v>6984</v>
      </c>
      <c r="DVM13" t="s">
        <v>6984</v>
      </c>
      <c r="DVN13" t="s">
        <v>6984</v>
      </c>
      <c r="DVO13" t="s">
        <v>6984</v>
      </c>
      <c r="DVP13" t="s">
        <v>6984</v>
      </c>
      <c r="DVQ13" t="s">
        <v>6984</v>
      </c>
      <c r="DVR13" t="s">
        <v>6984</v>
      </c>
      <c r="DVS13" t="s">
        <v>6984</v>
      </c>
      <c r="DVT13" t="s">
        <v>6984</v>
      </c>
      <c r="DVU13" t="s">
        <v>6984</v>
      </c>
      <c r="DVV13" t="s">
        <v>6984</v>
      </c>
      <c r="DVW13" t="s">
        <v>6984</v>
      </c>
      <c r="DVX13" t="s">
        <v>6984</v>
      </c>
      <c r="DVY13" t="s">
        <v>6984</v>
      </c>
      <c r="DVZ13" t="s">
        <v>6984</v>
      </c>
      <c r="DWA13" t="s">
        <v>6984</v>
      </c>
      <c r="DWB13" t="s">
        <v>6984</v>
      </c>
      <c r="DWC13" t="s">
        <v>6984</v>
      </c>
      <c r="DWD13" t="s">
        <v>6984</v>
      </c>
      <c r="DWE13" t="s">
        <v>6984</v>
      </c>
      <c r="DWF13" t="s">
        <v>6984</v>
      </c>
      <c r="DWG13" t="s">
        <v>6984</v>
      </c>
      <c r="DWH13" t="s">
        <v>6984</v>
      </c>
      <c r="DWI13" t="s">
        <v>6984</v>
      </c>
      <c r="DWJ13" t="s">
        <v>6984</v>
      </c>
      <c r="DWK13" t="s">
        <v>6984</v>
      </c>
      <c r="DWL13" t="s">
        <v>6984</v>
      </c>
      <c r="DWM13" t="s">
        <v>6984</v>
      </c>
      <c r="DWN13" t="s">
        <v>6984</v>
      </c>
      <c r="DWO13" t="s">
        <v>6984</v>
      </c>
      <c r="DWP13" t="s">
        <v>6984</v>
      </c>
      <c r="DWQ13" t="s">
        <v>6984</v>
      </c>
      <c r="DWR13" t="s">
        <v>6984</v>
      </c>
      <c r="DWS13" t="s">
        <v>6984</v>
      </c>
      <c r="DWT13" t="s">
        <v>6984</v>
      </c>
      <c r="DWU13" t="s">
        <v>6984</v>
      </c>
      <c r="DWV13" t="s">
        <v>6984</v>
      </c>
      <c r="DWW13" t="s">
        <v>6984</v>
      </c>
      <c r="DWX13" t="s">
        <v>6984</v>
      </c>
      <c r="DWY13" t="s">
        <v>6984</v>
      </c>
      <c r="DWZ13" t="s">
        <v>6984</v>
      </c>
      <c r="DXA13" t="s">
        <v>6984</v>
      </c>
      <c r="DXB13" t="s">
        <v>6984</v>
      </c>
      <c r="DXC13" t="s">
        <v>6984</v>
      </c>
      <c r="DXD13" t="s">
        <v>6984</v>
      </c>
      <c r="DXE13" t="s">
        <v>6984</v>
      </c>
      <c r="DXF13" t="s">
        <v>6984</v>
      </c>
      <c r="DXG13" t="s">
        <v>6984</v>
      </c>
      <c r="DXH13" t="s">
        <v>6984</v>
      </c>
      <c r="DXI13" t="s">
        <v>6984</v>
      </c>
      <c r="DXJ13" t="s">
        <v>6984</v>
      </c>
      <c r="DXK13" t="s">
        <v>6984</v>
      </c>
      <c r="DXL13" t="s">
        <v>6984</v>
      </c>
      <c r="DXM13" t="s">
        <v>6984</v>
      </c>
      <c r="DXN13" t="s">
        <v>6984</v>
      </c>
      <c r="DXO13" t="s">
        <v>6984</v>
      </c>
      <c r="DXP13" t="s">
        <v>6984</v>
      </c>
      <c r="DXQ13" t="s">
        <v>6984</v>
      </c>
      <c r="DXR13" t="s">
        <v>6984</v>
      </c>
      <c r="DXS13" t="s">
        <v>6984</v>
      </c>
      <c r="DXT13" t="s">
        <v>6984</v>
      </c>
      <c r="DXU13" t="s">
        <v>6984</v>
      </c>
      <c r="DXV13" t="s">
        <v>6984</v>
      </c>
      <c r="DXW13" t="s">
        <v>6984</v>
      </c>
      <c r="DXX13" t="s">
        <v>6984</v>
      </c>
      <c r="DXY13" t="s">
        <v>6984</v>
      </c>
      <c r="DXZ13" t="s">
        <v>6984</v>
      </c>
      <c r="DYA13" t="s">
        <v>6984</v>
      </c>
      <c r="DYB13" t="s">
        <v>6984</v>
      </c>
      <c r="DYC13" t="s">
        <v>6984</v>
      </c>
      <c r="DYD13" t="s">
        <v>6984</v>
      </c>
      <c r="DYE13" t="s">
        <v>6984</v>
      </c>
      <c r="DYF13" t="s">
        <v>6984</v>
      </c>
      <c r="DYG13" t="s">
        <v>6984</v>
      </c>
      <c r="DYH13" t="s">
        <v>6984</v>
      </c>
      <c r="DYI13" t="s">
        <v>6984</v>
      </c>
      <c r="DYJ13" t="s">
        <v>6984</v>
      </c>
      <c r="DYK13" t="s">
        <v>6984</v>
      </c>
      <c r="DYL13" t="s">
        <v>6984</v>
      </c>
      <c r="DYM13" t="s">
        <v>6984</v>
      </c>
      <c r="DYN13" t="s">
        <v>6984</v>
      </c>
      <c r="DYO13" t="s">
        <v>6984</v>
      </c>
      <c r="DYP13" t="s">
        <v>6984</v>
      </c>
      <c r="DYQ13" t="s">
        <v>6984</v>
      </c>
      <c r="DYR13" t="s">
        <v>6984</v>
      </c>
      <c r="DYS13" t="s">
        <v>6984</v>
      </c>
      <c r="DYT13" t="s">
        <v>6984</v>
      </c>
      <c r="DYU13" t="s">
        <v>6984</v>
      </c>
      <c r="DYV13" t="s">
        <v>6984</v>
      </c>
      <c r="DYW13" t="s">
        <v>6984</v>
      </c>
      <c r="DYX13" t="s">
        <v>6984</v>
      </c>
      <c r="DYY13" t="s">
        <v>6984</v>
      </c>
      <c r="DYZ13" t="s">
        <v>6984</v>
      </c>
      <c r="DZA13" t="s">
        <v>6984</v>
      </c>
      <c r="DZB13" t="s">
        <v>6984</v>
      </c>
      <c r="DZC13" t="s">
        <v>6984</v>
      </c>
      <c r="DZD13" t="s">
        <v>6984</v>
      </c>
      <c r="DZE13" t="s">
        <v>6984</v>
      </c>
      <c r="DZF13" t="s">
        <v>6984</v>
      </c>
      <c r="DZG13" t="s">
        <v>6984</v>
      </c>
      <c r="DZH13" t="s">
        <v>6984</v>
      </c>
      <c r="DZI13" t="s">
        <v>6984</v>
      </c>
      <c r="DZJ13" t="s">
        <v>6984</v>
      </c>
      <c r="DZK13" t="s">
        <v>6984</v>
      </c>
      <c r="DZL13" t="s">
        <v>6984</v>
      </c>
      <c r="DZM13" t="s">
        <v>6984</v>
      </c>
      <c r="DZN13" t="s">
        <v>6984</v>
      </c>
      <c r="DZO13" t="s">
        <v>6984</v>
      </c>
      <c r="DZP13" t="s">
        <v>6984</v>
      </c>
      <c r="DZQ13" t="s">
        <v>6984</v>
      </c>
      <c r="DZR13" t="s">
        <v>6984</v>
      </c>
      <c r="DZS13" t="s">
        <v>6984</v>
      </c>
      <c r="DZT13" t="s">
        <v>6984</v>
      </c>
      <c r="DZU13" t="s">
        <v>6984</v>
      </c>
      <c r="DZV13" t="s">
        <v>6984</v>
      </c>
      <c r="DZW13" t="s">
        <v>6984</v>
      </c>
      <c r="DZX13" t="s">
        <v>6984</v>
      </c>
      <c r="DZY13" t="s">
        <v>6984</v>
      </c>
      <c r="DZZ13" t="s">
        <v>6984</v>
      </c>
      <c r="EAA13" t="s">
        <v>6984</v>
      </c>
      <c r="EAB13" t="s">
        <v>6984</v>
      </c>
      <c r="EAC13" t="s">
        <v>6984</v>
      </c>
      <c r="EAD13" t="s">
        <v>6984</v>
      </c>
      <c r="EAE13" t="s">
        <v>6984</v>
      </c>
      <c r="EAF13" t="s">
        <v>6984</v>
      </c>
      <c r="EAG13" t="s">
        <v>6984</v>
      </c>
      <c r="EAH13" t="s">
        <v>6984</v>
      </c>
      <c r="EAI13" t="s">
        <v>6984</v>
      </c>
      <c r="EAJ13" t="s">
        <v>6984</v>
      </c>
      <c r="EAK13" t="s">
        <v>6984</v>
      </c>
      <c r="EAL13" t="s">
        <v>6984</v>
      </c>
      <c r="EAM13" t="s">
        <v>6984</v>
      </c>
      <c r="EAN13" t="s">
        <v>6984</v>
      </c>
      <c r="EAO13" t="s">
        <v>6984</v>
      </c>
      <c r="EAP13" t="s">
        <v>6984</v>
      </c>
      <c r="EAQ13" t="s">
        <v>6984</v>
      </c>
      <c r="EAR13" t="s">
        <v>6984</v>
      </c>
      <c r="EAS13" t="s">
        <v>6984</v>
      </c>
      <c r="EAT13" t="s">
        <v>6984</v>
      </c>
      <c r="EAU13" t="s">
        <v>6984</v>
      </c>
      <c r="EAV13" t="s">
        <v>6984</v>
      </c>
      <c r="EAW13" t="s">
        <v>6984</v>
      </c>
      <c r="EAX13" t="s">
        <v>6984</v>
      </c>
      <c r="EAY13" t="s">
        <v>6984</v>
      </c>
      <c r="EAZ13" t="s">
        <v>6984</v>
      </c>
      <c r="EBA13" t="s">
        <v>6984</v>
      </c>
      <c r="EBB13" t="s">
        <v>6984</v>
      </c>
      <c r="EBC13" t="s">
        <v>6984</v>
      </c>
      <c r="EBD13" t="s">
        <v>6984</v>
      </c>
      <c r="EBE13" t="s">
        <v>6984</v>
      </c>
      <c r="EBF13" t="s">
        <v>6984</v>
      </c>
      <c r="EBG13" t="s">
        <v>6984</v>
      </c>
      <c r="EBH13" t="s">
        <v>6984</v>
      </c>
      <c r="EBI13" t="s">
        <v>6984</v>
      </c>
      <c r="EBJ13" t="s">
        <v>6984</v>
      </c>
      <c r="EBK13" t="s">
        <v>6984</v>
      </c>
      <c r="EBL13" t="s">
        <v>6984</v>
      </c>
      <c r="EBM13" t="s">
        <v>6984</v>
      </c>
      <c r="EBN13" t="s">
        <v>6984</v>
      </c>
      <c r="EBO13" t="s">
        <v>6984</v>
      </c>
      <c r="EBP13" t="s">
        <v>6984</v>
      </c>
      <c r="EBQ13" t="s">
        <v>6984</v>
      </c>
      <c r="EBR13" t="s">
        <v>6984</v>
      </c>
      <c r="EBS13" t="s">
        <v>6984</v>
      </c>
      <c r="EBT13" t="s">
        <v>6984</v>
      </c>
      <c r="EBU13" t="s">
        <v>6984</v>
      </c>
      <c r="EBV13" t="s">
        <v>6984</v>
      </c>
      <c r="EBW13" t="s">
        <v>6984</v>
      </c>
      <c r="EBX13" t="s">
        <v>6984</v>
      </c>
      <c r="EBY13" t="s">
        <v>6984</v>
      </c>
      <c r="EBZ13" t="s">
        <v>6984</v>
      </c>
      <c r="ECA13" t="s">
        <v>6984</v>
      </c>
      <c r="ECB13" t="s">
        <v>6984</v>
      </c>
      <c r="ECC13" t="s">
        <v>6984</v>
      </c>
      <c r="ECD13" t="s">
        <v>6984</v>
      </c>
      <c r="ECE13" t="s">
        <v>6984</v>
      </c>
      <c r="ECF13" t="s">
        <v>6984</v>
      </c>
      <c r="ECG13" t="s">
        <v>6984</v>
      </c>
      <c r="ECH13" t="s">
        <v>6984</v>
      </c>
      <c r="ECI13" t="s">
        <v>6984</v>
      </c>
      <c r="ECJ13" t="s">
        <v>6984</v>
      </c>
      <c r="ECK13" t="s">
        <v>6984</v>
      </c>
      <c r="ECL13" t="s">
        <v>6984</v>
      </c>
      <c r="ECM13" t="s">
        <v>6984</v>
      </c>
      <c r="ECN13" t="s">
        <v>6984</v>
      </c>
      <c r="ECO13" t="s">
        <v>6984</v>
      </c>
      <c r="ECP13" t="s">
        <v>6984</v>
      </c>
      <c r="ECQ13" t="s">
        <v>6984</v>
      </c>
      <c r="ECR13" t="s">
        <v>6984</v>
      </c>
      <c r="ECS13" t="s">
        <v>6984</v>
      </c>
      <c r="ECT13" t="s">
        <v>6984</v>
      </c>
      <c r="ECU13" t="s">
        <v>6984</v>
      </c>
      <c r="ECV13" t="s">
        <v>6984</v>
      </c>
      <c r="ECW13" t="s">
        <v>6984</v>
      </c>
      <c r="ECX13" t="s">
        <v>6984</v>
      </c>
      <c r="ECY13" t="s">
        <v>6984</v>
      </c>
      <c r="ECZ13" t="s">
        <v>6984</v>
      </c>
      <c r="EDA13" t="s">
        <v>6984</v>
      </c>
      <c r="EDB13" t="s">
        <v>6984</v>
      </c>
      <c r="EDC13" t="s">
        <v>6984</v>
      </c>
      <c r="EDD13" t="s">
        <v>6984</v>
      </c>
      <c r="EDE13" t="s">
        <v>6984</v>
      </c>
      <c r="EDF13" t="s">
        <v>6984</v>
      </c>
      <c r="EDG13" t="s">
        <v>6984</v>
      </c>
      <c r="EDH13" t="s">
        <v>6984</v>
      </c>
      <c r="EDI13" t="s">
        <v>6984</v>
      </c>
      <c r="EDJ13" t="s">
        <v>6984</v>
      </c>
      <c r="EDK13" t="s">
        <v>6984</v>
      </c>
      <c r="EDL13" t="s">
        <v>6984</v>
      </c>
      <c r="EDM13" t="s">
        <v>6984</v>
      </c>
      <c r="EDN13" t="s">
        <v>6984</v>
      </c>
      <c r="EDO13" t="s">
        <v>6984</v>
      </c>
      <c r="EDP13" t="s">
        <v>6984</v>
      </c>
      <c r="EDQ13" t="s">
        <v>6984</v>
      </c>
      <c r="EDR13" t="s">
        <v>6984</v>
      </c>
      <c r="EDS13" t="s">
        <v>6984</v>
      </c>
      <c r="EDT13" t="s">
        <v>6984</v>
      </c>
      <c r="EDU13" t="s">
        <v>6984</v>
      </c>
      <c r="EDV13" t="s">
        <v>6984</v>
      </c>
      <c r="EDW13" t="s">
        <v>6984</v>
      </c>
      <c r="EDX13" t="s">
        <v>6984</v>
      </c>
      <c r="EDY13" t="s">
        <v>6984</v>
      </c>
      <c r="EDZ13" t="s">
        <v>6984</v>
      </c>
      <c r="EEA13" t="s">
        <v>6984</v>
      </c>
      <c r="EEB13" t="s">
        <v>6984</v>
      </c>
      <c r="EEC13" t="s">
        <v>6984</v>
      </c>
      <c r="EED13" t="s">
        <v>6984</v>
      </c>
      <c r="EEE13" t="s">
        <v>6984</v>
      </c>
      <c r="EEF13" t="s">
        <v>6984</v>
      </c>
      <c r="EEG13" t="s">
        <v>6984</v>
      </c>
      <c r="EEH13" t="s">
        <v>6984</v>
      </c>
      <c r="EEI13" t="s">
        <v>6984</v>
      </c>
      <c r="EEJ13" t="s">
        <v>6984</v>
      </c>
      <c r="EEK13" t="s">
        <v>6984</v>
      </c>
      <c r="EEL13" t="s">
        <v>6984</v>
      </c>
      <c r="EEM13" t="s">
        <v>6984</v>
      </c>
      <c r="EEN13" t="s">
        <v>6984</v>
      </c>
      <c r="EEO13" t="s">
        <v>6984</v>
      </c>
      <c r="EEP13" t="s">
        <v>6984</v>
      </c>
      <c r="EEQ13" t="s">
        <v>6984</v>
      </c>
      <c r="EER13" t="s">
        <v>6984</v>
      </c>
      <c r="EES13" t="s">
        <v>6984</v>
      </c>
      <c r="EET13" t="s">
        <v>6984</v>
      </c>
      <c r="EEU13" t="s">
        <v>6984</v>
      </c>
      <c r="EEV13" t="s">
        <v>6984</v>
      </c>
      <c r="EEW13" t="s">
        <v>6984</v>
      </c>
      <c r="EEX13" t="s">
        <v>6984</v>
      </c>
      <c r="EEY13" t="s">
        <v>6984</v>
      </c>
      <c r="EEZ13" t="s">
        <v>6984</v>
      </c>
      <c r="EFA13" t="s">
        <v>6984</v>
      </c>
      <c r="EFB13" t="s">
        <v>6984</v>
      </c>
      <c r="EFC13" t="s">
        <v>6984</v>
      </c>
      <c r="EFD13" t="s">
        <v>6984</v>
      </c>
      <c r="EFE13" t="s">
        <v>6984</v>
      </c>
      <c r="EFF13" t="s">
        <v>6984</v>
      </c>
      <c r="EFG13" t="s">
        <v>6984</v>
      </c>
      <c r="EFH13" t="s">
        <v>6984</v>
      </c>
      <c r="EFI13" t="s">
        <v>6984</v>
      </c>
      <c r="EFJ13" t="s">
        <v>6984</v>
      </c>
      <c r="EFK13" t="s">
        <v>6984</v>
      </c>
      <c r="EFL13" t="s">
        <v>6984</v>
      </c>
      <c r="EFM13" t="s">
        <v>6984</v>
      </c>
      <c r="EFN13" t="s">
        <v>6984</v>
      </c>
      <c r="EFO13" t="s">
        <v>6984</v>
      </c>
      <c r="EFP13" t="s">
        <v>6984</v>
      </c>
      <c r="EFQ13" t="s">
        <v>6984</v>
      </c>
      <c r="EFR13" t="s">
        <v>6984</v>
      </c>
      <c r="EFS13" t="s">
        <v>6984</v>
      </c>
      <c r="EFT13" t="s">
        <v>6984</v>
      </c>
      <c r="EFU13" t="s">
        <v>6984</v>
      </c>
      <c r="EFV13" t="s">
        <v>6984</v>
      </c>
      <c r="EFW13" t="s">
        <v>6984</v>
      </c>
      <c r="EFX13" t="s">
        <v>6984</v>
      </c>
      <c r="EFY13" t="s">
        <v>6984</v>
      </c>
      <c r="EFZ13" t="s">
        <v>6984</v>
      </c>
      <c r="EGA13" t="s">
        <v>6984</v>
      </c>
      <c r="EGB13" t="s">
        <v>6984</v>
      </c>
      <c r="EGC13" t="s">
        <v>6984</v>
      </c>
      <c r="EGD13" t="s">
        <v>6984</v>
      </c>
      <c r="EGE13" t="s">
        <v>6984</v>
      </c>
      <c r="EGF13" t="s">
        <v>6984</v>
      </c>
      <c r="EGG13" t="s">
        <v>6984</v>
      </c>
      <c r="EGH13" t="s">
        <v>6984</v>
      </c>
      <c r="EGI13" t="s">
        <v>6984</v>
      </c>
      <c r="EGJ13" t="s">
        <v>6984</v>
      </c>
      <c r="EGK13" t="s">
        <v>6984</v>
      </c>
      <c r="EGL13" t="s">
        <v>6984</v>
      </c>
      <c r="EGM13" t="s">
        <v>6984</v>
      </c>
      <c r="EGN13" t="s">
        <v>6984</v>
      </c>
      <c r="EGO13" t="s">
        <v>6984</v>
      </c>
      <c r="EGP13" t="s">
        <v>6984</v>
      </c>
      <c r="EGQ13" t="s">
        <v>6984</v>
      </c>
      <c r="EGR13" t="s">
        <v>6984</v>
      </c>
      <c r="EGS13" t="s">
        <v>6984</v>
      </c>
      <c r="EGT13" t="s">
        <v>6984</v>
      </c>
      <c r="EGU13" t="s">
        <v>6984</v>
      </c>
      <c r="EGV13" t="s">
        <v>6984</v>
      </c>
      <c r="EGW13" t="s">
        <v>6984</v>
      </c>
      <c r="EGX13" t="s">
        <v>6984</v>
      </c>
      <c r="EGY13" t="s">
        <v>6984</v>
      </c>
      <c r="EGZ13" t="s">
        <v>6984</v>
      </c>
      <c r="EHA13" t="s">
        <v>6984</v>
      </c>
      <c r="EHB13" t="s">
        <v>6984</v>
      </c>
      <c r="EHC13" t="s">
        <v>6984</v>
      </c>
      <c r="EHD13" t="s">
        <v>6984</v>
      </c>
      <c r="EHE13" t="s">
        <v>6984</v>
      </c>
      <c r="EHF13" t="s">
        <v>6984</v>
      </c>
      <c r="EHG13" t="s">
        <v>6984</v>
      </c>
      <c r="EHH13" t="s">
        <v>6984</v>
      </c>
      <c r="EHI13" t="s">
        <v>6984</v>
      </c>
      <c r="EHJ13" t="s">
        <v>6984</v>
      </c>
      <c r="EHK13" t="s">
        <v>6984</v>
      </c>
      <c r="EHL13" t="s">
        <v>6984</v>
      </c>
      <c r="EHM13" t="s">
        <v>6984</v>
      </c>
      <c r="EHN13" t="s">
        <v>6984</v>
      </c>
      <c r="EHO13" t="s">
        <v>6984</v>
      </c>
      <c r="EHP13" t="s">
        <v>6984</v>
      </c>
      <c r="EHQ13" t="s">
        <v>6984</v>
      </c>
      <c r="EHR13" t="s">
        <v>6984</v>
      </c>
      <c r="EHS13" t="s">
        <v>6984</v>
      </c>
      <c r="EHT13" t="s">
        <v>6984</v>
      </c>
      <c r="EHU13" t="s">
        <v>6984</v>
      </c>
      <c r="EHV13" t="s">
        <v>6984</v>
      </c>
      <c r="EHW13" t="s">
        <v>6984</v>
      </c>
      <c r="EHX13" t="s">
        <v>6984</v>
      </c>
      <c r="EHY13" t="s">
        <v>6984</v>
      </c>
      <c r="EHZ13" t="s">
        <v>6984</v>
      </c>
      <c r="EIA13" t="s">
        <v>6984</v>
      </c>
      <c r="EIB13" t="s">
        <v>6984</v>
      </c>
      <c r="EIC13" t="s">
        <v>6984</v>
      </c>
      <c r="EID13" t="s">
        <v>6984</v>
      </c>
      <c r="EIE13" t="s">
        <v>6984</v>
      </c>
      <c r="EIF13" t="s">
        <v>6984</v>
      </c>
      <c r="EIG13" t="s">
        <v>6984</v>
      </c>
      <c r="EIH13" t="s">
        <v>6984</v>
      </c>
      <c r="EII13" t="s">
        <v>6984</v>
      </c>
      <c r="EIJ13" t="s">
        <v>6984</v>
      </c>
      <c r="EIK13" t="s">
        <v>6984</v>
      </c>
      <c r="EIL13" t="s">
        <v>6984</v>
      </c>
      <c r="EIM13" t="s">
        <v>6984</v>
      </c>
      <c r="EIN13" t="s">
        <v>6984</v>
      </c>
      <c r="EIO13" t="s">
        <v>6984</v>
      </c>
      <c r="EIP13" t="s">
        <v>6984</v>
      </c>
      <c r="EIQ13" t="s">
        <v>6984</v>
      </c>
      <c r="EIR13" t="s">
        <v>6984</v>
      </c>
      <c r="EIS13" t="s">
        <v>6984</v>
      </c>
      <c r="EIT13" t="s">
        <v>6984</v>
      </c>
      <c r="EIU13" t="s">
        <v>6984</v>
      </c>
      <c r="EIV13" t="s">
        <v>6984</v>
      </c>
      <c r="EIW13" t="s">
        <v>6984</v>
      </c>
      <c r="EIX13" t="s">
        <v>6984</v>
      </c>
      <c r="EIY13" t="s">
        <v>6984</v>
      </c>
      <c r="EIZ13" t="s">
        <v>6984</v>
      </c>
      <c r="EJA13" t="s">
        <v>6984</v>
      </c>
      <c r="EJB13" t="s">
        <v>6984</v>
      </c>
      <c r="EJC13" t="s">
        <v>6984</v>
      </c>
      <c r="EJD13" t="s">
        <v>6984</v>
      </c>
      <c r="EJE13" t="s">
        <v>6984</v>
      </c>
      <c r="EJF13" t="s">
        <v>6984</v>
      </c>
      <c r="EJG13" t="s">
        <v>6984</v>
      </c>
      <c r="EJH13" t="s">
        <v>6984</v>
      </c>
      <c r="EJI13" t="s">
        <v>6984</v>
      </c>
      <c r="EJJ13" t="s">
        <v>6984</v>
      </c>
      <c r="EJK13" t="s">
        <v>6984</v>
      </c>
      <c r="EJL13" t="s">
        <v>6984</v>
      </c>
      <c r="EJM13" t="s">
        <v>6984</v>
      </c>
      <c r="EJN13" t="s">
        <v>6984</v>
      </c>
      <c r="EJO13" t="s">
        <v>6984</v>
      </c>
      <c r="EJP13" t="s">
        <v>6984</v>
      </c>
      <c r="EJQ13" t="s">
        <v>6984</v>
      </c>
      <c r="EJR13" t="s">
        <v>6984</v>
      </c>
      <c r="EJS13" t="s">
        <v>6984</v>
      </c>
      <c r="EJT13" t="s">
        <v>6984</v>
      </c>
      <c r="EJU13" t="s">
        <v>6984</v>
      </c>
      <c r="EJV13" t="s">
        <v>6984</v>
      </c>
      <c r="EJW13" t="s">
        <v>6984</v>
      </c>
      <c r="EJX13" t="s">
        <v>6984</v>
      </c>
      <c r="EJY13" t="s">
        <v>6984</v>
      </c>
      <c r="EJZ13" t="s">
        <v>6984</v>
      </c>
      <c r="EKA13" t="s">
        <v>6984</v>
      </c>
      <c r="EKB13" t="s">
        <v>6984</v>
      </c>
      <c r="EKC13" t="s">
        <v>6984</v>
      </c>
      <c r="EKD13" t="s">
        <v>6984</v>
      </c>
      <c r="EKE13" t="s">
        <v>6984</v>
      </c>
      <c r="EKF13" t="s">
        <v>6984</v>
      </c>
      <c r="EKG13" t="s">
        <v>6984</v>
      </c>
      <c r="EKH13" t="s">
        <v>6984</v>
      </c>
      <c r="EKI13" t="s">
        <v>6984</v>
      </c>
      <c r="EKJ13" t="s">
        <v>6984</v>
      </c>
      <c r="EKK13" t="s">
        <v>6984</v>
      </c>
      <c r="EKL13" t="s">
        <v>6984</v>
      </c>
      <c r="EKM13" t="s">
        <v>6984</v>
      </c>
      <c r="EKN13" t="s">
        <v>6984</v>
      </c>
      <c r="EKO13" t="s">
        <v>6984</v>
      </c>
      <c r="EKP13" t="s">
        <v>6984</v>
      </c>
      <c r="EKQ13" t="s">
        <v>6984</v>
      </c>
      <c r="EKR13" t="s">
        <v>6984</v>
      </c>
      <c r="EKS13" t="s">
        <v>6984</v>
      </c>
      <c r="EKT13" t="s">
        <v>6984</v>
      </c>
      <c r="EKU13" t="s">
        <v>6984</v>
      </c>
      <c r="EKV13" t="s">
        <v>6984</v>
      </c>
      <c r="EKW13" t="s">
        <v>6984</v>
      </c>
      <c r="EKX13" t="s">
        <v>6984</v>
      </c>
      <c r="EKY13" t="s">
        <v>6984</v>
      </c>
      <c r="EKZ13" t="s">
        <v>6984</v>
      </c>
      <c r="ELA13" t="s">
        <v>6984</v>
      </c>
      <c r="ELB13" t="s">
        <v>6984</v>
      </c>
      <c r="ELC13" t="s">
        <v>6984</v>
      </c>
      <c r="ELD13" t="s">
        <v>6984</v>
      </c>
      <c r="ELE13" t="s">
        <v>6984</v>
      </c>
      <c r="ELF13" t="s">
        <v>6984</v>
      </c>
      <c r="ELG13" t="s">
        <v>6984</v>
      </c>
      <c r="ELH13" t="s">
        <v>6984</v>
      </c>
      <c r="ELI13" t="s">
        <v>6984</v>
      </c>
      <c r="ELJ13" t="s">
        <v>6984</v>
      </c>
      <c r="ELK13" t="s">
        <v>6984</v>
      </c>
      <c r="ELL13" t="s">
        <v>6984</v>
      </c>
      <c r="ELM13" t="s">
        <v>6984</v>
      </c>
      <c r="ELN13" t="s">
        <v>6984</v>
      </c>
      <c r="ELO13" t="s">
        <v>6984</v>
      </c>
      <c r="ELP13" t="s">
        <v>6984</v>
      </c>
      <c r="ELQ13" t="s">
        <v>6984</v>
      </c>
      <c r="ELR13" t="s">
        <v>6984</v>
      </c>
      <c r="ELS13" t="s">
        <v>6984</v>
      </c>
      <c r="ELT13" t="s">
        <v>6984</v>
      </c>
      <c r="ELU13" t="s">
        <v>6984</v>
      </c>
      <c r="ELV13" t="s">
        <v>6984</v>
      </c>
      <c r="ELW13" t="s">
        <v>6984</v>
      </c>
      <c r="ELX13" t="s">
        <v>6984</v>
      </c>
      <c r="ELY13" t="s">
        <v>6984</v>
      </c>
      <c r="ELZ13" t="s">
        <v>6984</v>
      </c>
      <c r="EMA13" t="s">
        <v>6984</v>
      </c>
      <c r="EMB13" t="s">
        <v>6984</v>
      </c>
      <c r="EMC13" t="s">
        <v>6984</v>
      </c>
      <c r="EMD13" t="s">
        <v>6984</v>
      </c>
      <c r="EME13" t="s">
        <v>6984</v>
      </c>
      <c r="EMF13" t="s">
        <v>6984</v>
      </c>
      <c r="EMG13" t="s">
        <v>6984</v>
      </c>
      <c r="EMH13" t="s">
        <v>6984</v>
      </c>
      <c r="EMI13" t="s">
        <v>6984</v>
      </c>
      <c r="EMJ13" t="s">
        <v>6984</v>
      </c>
      <c r="EMK13" t="s">
        <v>6984</v>
      </c>
      <c r="EML13" t="s">
        <v>6984</v>
      </c>
      <c r="EMM13" t="s">
        <v>6984</v>
      </c>
      <c r="EMN13" t="s">
        <v>6984</v>
      </c>
      <c r="EMO13" t="s">
        <v>6984</v>
      </c>
      <c r="EMP13" t="s">
        <v>6984</v>
      </c>
      <c r="EMQ13" t="s">
        <v>6984</v>
      </c>
      <c r="EMR13" t="s">
        <v>6984</v>
      </c>
      <c r="EMS13" t="s">
        <v>6984</v>
      </c>
      <c r="EMT13" t="s">
        <v>6984</v>
      </c>
      <c r="EMU13" t="s">
        <v>6984</v>
      </c>
      <c r="EMV13" t="s">
        <v>6984</v>
      </c>
      <c r="EMW13" t="s">
        <v>6984</v>
      </c>
      <c r="EMX13" t="s">
        <v>6984</v>
      </c>
      <c r="EMY13" t="s">
        <v>6984</v>
      </c>
      <c r="EMZ13" t="s">
        <v>6984</v>
      </c>
      <c r="ENA13" t="s">
        <v>6984</v>
      </c>
      <c r="ENB13" t="s">
        <v>6984</v>
      </c>
      <c r="ENC13" t="s">
        <v>6984</v>
      </c>
      <c r="END13" t="s">
        <v>6984</v>
      </c>
      <c r="ENE13" t="s">
        <v>6984</v>
      </c>
      <c r="ENF13" t="s">
        <v>6984</v>
      </c>
      <c r="ENG13" t="s">
        <v>6984</v>
      </c>
      <c r="ENH13" t="s">
        <v>6984</v>
      </c>
      <c r="ENI13" t="s">
        <v>6984</v>
      </c>
      <c r="ENJ13" t="s">
        <v>6984</v>
      </c>
      <c r="ENK13" t="s">
        <v>6984</v>
      </c>
      <c r="ENL13" t="s">
        <v>6984</v>
      </c>
      <c r="ENM13" t="s">
        <v>6984</v>
      </c>
      <c r="ENN13" t="s">
        <v>6984</v>
      </c>
      <c r="ENO13" t="s">
        <v>6984</v>
      </c>
      <c r="ENP13" t="s">
        <v>6984</v>
      </c>
      <c r="ENQ13" t="s">
        <v>6984</v>
      </c>
      <c r="ENR13" t="s">
        <v>6984</v>
      </c>
      <c r="ENS13" t="s">
        <v>6984</v>
      </c>
      <c r="ENT13" t="s">
        <v>6984</v>
      </c>
      <c r="ENU13" t="s">
        <v>6984</v>
      </c>
      <c r="ENV13" t="s">
        <v>6984</v>
      </c>
      <c r="ENW13" t="s">
        <v>6984</v>
      </c>
      <c r="ENX13" t="s">
        <v>6984</v>
      </c>
      <c r="ENY13" t="s">
        <v>6984</v>
      </c>
      <c r="ENZ13" t="s">
        <v>6984</v>
      </c>
      <c r="EOA13" t="s">
        <v>6984</v>
      </c>
      <c r="EOB13" t="s">
        <v>6984</v>
      </c>
      <c r="EOC13" t="s">
        <v>6984</v>
      </c>
      <c r="EOD13" t="s">
        <v>6984</v>
      </c>
      <c r="EOE13" t="s">
        <v>6984</v>
      </c>
      <c r="EOF13" t="s">
        <v>6984</v>
      </c>
      <c r="EOG13" t="s">
        <v>6984</v>
      </c>
      <c r="EOH13" t="s">
        <v>6984</v>
      </c>
      <c r="EOI13" t="s">
        <v>6984</v>
      </c>
      <c r="EOJ13" t="s">
        <v>6984</v>
      </c>
      <c r="EOK13" t="s">
        <v>6984</v>
      </c>
      <c r="EOL13" t="s">
        <v>6984</v>
      </c>
      <c r="EOM13" t="s">
        <v>6984</v>
      </c>
      <c r="EON13" t="s">
        <v>6984</v>
      </c>
      <c r="EOO13" t="s">
        <v>6984</v>
      </c>
      <c r="EOP13" t="s">
        <v>6984</v>
      </c>
      <c r="EOQ13" t="s">
        <v>6984</v>
      </c>
      <c r="EOR13" t="s">
        <v>6984</v>
      </c>
      <c r="EOS13" t="s">
        <v>6984</v>
      </c>
      <c r="EOT13" t="s">
        <v>6984</v>
      </c>
      <c r="EOU13" t="s">
        <v>6984</v>
      </c>
      <c r="EOV13" t="s">
        <v>6984</v>
      </c>
      <c r="EOW13" t="s">
        <v>6984</v>
      </c>
      <c r="EOX13" t="s">
        <v>6984</v>
      </c>
      <c r="EOY13" t="s">
        <v>6984</v>
      </c>
      <c r="EOZ13" t="s">
        <v>6984</v>
      </c>
      <c r="EPA13" t="s">
        <v>6984</v>
      </c>
      <c r="EPB13" t="s">
        <v>6984</v>
      </c>
      <c r="EPC13" t="s">
        <v>6984</v>
      </c>
      <c r="EPD13" t="s">
        <v>6984</v>
      </c>
      <c r="EPE13" t="s">
        <v>6984</v>
      </c>
      <c r="EPF13" t="s">
        <v>6984</v>
      </c>
      <c r="EPG13" t="s">
        <v>6984</v>
      </c>
      <c r="EPH13" t="s">
        <v>6984</v>
      </c>
      <c r="EPI13" t="s">
        <v>6984</v>
      </c>
      <c r="EPJ13" t="s">
        <v>6984</v>
      </c>
      <c r="EPK13" t="s">
        <v>6984</v>
      </c>
      <c r="EPL13" t="s">
        <v>6984</v>
      </c>
      <c r="EPM13" t="s">
        <v>6984</v>
      </c>
      <c r="EPN13" t="s">
        <v>6984</v>
      </c>
      <c r="EPO13" t="s">
        <v>6984</v>
      </c>
      <c r="EPP13" t="s">
        <v>6984</v>
      </c>
      <c r="EPQ13" t="s">
        <v>6984</v>
      </c>
      <c r="EPR13" t="s">
        <v>6984</v>
      </c>
      <c r="EPS13" t="s">
        <v>6984</v>
      </c>
      <c r="EPT13" t="s">
        <v>6984</v>
      </c>
      <c r="EPU13" t="s">
        <v>6984</v>
      </c>
      <c r="EPV13" t="s">
        <v>6984</v>
      </c>
      <c r="EPW13" t="s">
        <v>6984</v>
      </c>
      <c r="EPX13" t="s">
        <v>6984</v>
      </c>
      <c r="EPY13" t="s">
        <v>6984</v>
      </c>
      <c r="EPZ13" t="s">
        <v>6984</v>
      </c>
      <c r="EQA13" t="s">
        <v>6984</v>
      </c>
      <c r="EQB13" t="s">
        <v>6984</v>
      </c>
      <c r="EQC13" t="s">
        <v>6984</v>
      </c>
      <c r="EQD13" t="s">
        <v>6984</v>
      </c>
      <c r="EQE13" t="s">
        <v>6984</v>
      </c>
      <c r="EQF13" t="s">
        <v>6984</v>
      </c>
      <c r="EQG13" t="s">
        <v>6984</v>
      </c>
      <c r="EQH13" t="s">
        <v>6984</v>
      </c>
      <c r="EQI13" t="s">
        <v>6984</v>
      </c>
      <c r="EQJ13" t="s">
        <v>6984</v>
      </c>
      <c r="EQK13" t="s">
        <v>6984</v>
      </c>
      <c r="EQL13" t="s">
        <v>6984</v>
      </c>
      <c r="EQM13" t="s">
        <v>6984</v>
      </c>
      <c r="EQN13" t="s">
        <v>6984</v>
      </c>
      <c r="EQO13" t="s">
        <v>6984</v>
      </c>
      <c r="EQP13" t="s">
        <v>6984</v>
      </c>
      <c r="EQQ13" t="s">
        <v>6984</v>
      </c>
      <c r="EQR13" t="s">
        <v>6984</v>
      </c>
      <c r="EQS13" t="s">
        <v>6984</v>
      </c>
      <c r="EQT13" t="s">
        <v>6984</v>
      </c>
      <c r="EQU13" t="s">
        <v>6984</v>
      </c>
      <c r="EQV13" t="s">
        <v>6984</v>
      </c>
      <c r="EQW13" t="s">
        <v>6984</v>
      </c>
      <c r="EQX13" t="s">
        <v>6984</v>
      </c>
      <c r="EQY13" t="s">
        <v>6984</v>
      </c>
      <c r="EQZ13" t="s">
        <v>6984</v>
      </c>
      <c r="ERA13" t="s">
        <v>6984</v>
      </c>
      <c r="ERB13" t="s">
        <v>6984</v>
      </c>
      <c r="ERC13" t="s">
        <v>6984</v>
      </c>
      <c r="ERD13" t="s">
        <v>6984</v>
      </c>
      <c r="ERE13" t="s">
        <v>6984</v>
      </c>
      <c r="ERF13" t="s">
        <v>6984</v>
      </c>
      <c r="ERG13" t="s">
        <v>6984</v>
      </c>
      <c r="ERH13" t="s">
        <v>6984</v>
      </c>
      <c r="ERI13" t="s">
        <v>6984</v>
      </c>
      <c r="ERJ13" t="s">
        <v>6984</v>
      </c>
      <c r="ERK13" t="s">
        <v>6984</v>
      </c>
      <c r="ERL13" t="s">
        <v>6984</v>
      </c>
      <c r="ERM13" t="s">
        <v>6984</v>
      </c>
      <c r="ERN13" t="s">
        <v>6984</v>
      </c>
      <c r="ERO13" t="s">
        <v>6984</v>
      </c>
      <c r="ERP13" t="s">
        <v>6984</v>
      </c>
      <c r="ERQ13" t="s">
        <v>6984</v>
      </c>
      <c r="ERR13" t="s">
        <v>6984</v>
      </c>
      <c r="ERS13" t="s">
        <v>6984</v>
      </c>
      <c r="ERT13" t="s">
        <v>6984</v>
      </c>
      <c r="ERU13" t="s">
        <v>6984</v>
      </c>
      <c r="ERV13" t="s">
        <v>6984</v>
      </c>
      <c r="ERW13" t="s">
        <v>6984</v>
      </c>
      <c r="ERX13" t="s">
        <v>6984</v>
      </c>
      <c r="ERY13" t="s">
        <v>6984</v>
      </c>
      <c r="ERZ13" t="s">
        <v>6984</v>
      </c>
      <c r="ESA13" t="s">
        <v>6984</v>
      </c>
      <c r="ESB13" t="s">
        <v>6984</v>
      </c>
      <c r="ESC13" t="s">
        <v>6984</v>
      </c>
      <c r="ESD13" t="s">
        <v>6984</v>
      </c>
      <c r="ESE13" t="s">
        <v>6984</v>
      </c>
      <c r="ESF13" t="s">
        <v>6984</v>
      </c>
      <c r="ESG13" t="s">
        <v>6984</v>
      </c>
      <c r="ESH13" t="s">
        <v>6984</v>
      </c>
      <c r="ESI13" t="s">
        <v>6984</v>
      </c>
      <c r="ESJ13" t="s">
        <v>6984</v>
      </c>
      <c r="ESK13" t="s">
        <v>6984</v>
      </c>
      <c r="ESL13" t="s">
        <v>6984</v>
      </c>
      <c r="ESM13" t="s">
        <v>6984</v>
      </c>
      <c r="ESN13" t="s">
        <v>6984</v>
      </c>
      <c r="ESO13" t="s">
        <v>6984</v>
      </c>
      <c r="ESP13" t="s">
        <v>6984</v>
      </c>
      <c r="ESQ13" t="s">
        <v>6984</v>
      </c>
      <c r="ESR13" t="s">
        <v>6984</v>
      </c>
      <c r="ESS13" t="s">
        <v>6984</v>
      </c>
      <c r="EST13" t="s">
        <v>6984</v>
      </c>
      <c r="ESU13" t="s">
        <v>6984</v>
      </c>
      <c r="ESV13" t="s">
        <v>6984</v>
      </c>
      <c r="ESW13" t="s">
        <v>6984</v>
      </c>
      <c r="ESX13" t="s">
        <v>6984</v>
      </c>
      <c r="ESY13" t="s">
        <v>6984</v>
      </c>
      <c r="ESZ13" t="s">
        <v>6984</v>
      </c>
      <c r="ETA13" t="s">
        <v>6984</v>
      </c>
      <c r="ETB13" t="s">
        <v>6984</v>
      </c>
      <c r="ETC13" t="s">
        <v>6984</v>
      </c>
      <c r="ETD13" t="s">
        <v>6984</v>
      </c>
      <c r="ETE13" t="s">
        <v>6984</v>
      </c>
      <c r="ETF13" t="s">
        <v>6984</v>
      </c>
      <c r="ETG13" t="s">
        <v>6984</v>
      </c>
      <c r="ETH13" t="s">
        <v>6984</v>
      </c>
      <c r="ETI13" t="s">
        <v>6984</v>
      </c>
      <c r="ETJ13" t="s">
        <v>6984</v>
      </c>
      <c r="ETK13" t="s">
        <v>6984</v>
      </c>
      <c r="ETL13" t="s">
        <v>6984</v>
      </c>
      <c r="ETM13" t="s">
        <v>6984</v>
      </c>
      <c r="ETN13" t="s">
        <v>6984</v>
      </c>
      <c r="ETO13" t="s">
        <v>6984</v>
      </c>
      <c r="ETP13" t="s">
        <v>6984</v>
      </c>
      <c r="ETQ13" t="s">
        <v>6984</v>
      </c>
      <c r="ETR13" t="s">
        <v>6984</v>
      </c>
      <c r="ETS13" t="s">
        <v>6984</v>
      </c>
      <c r="ETT13" t="s">
        <v>6984</v>
      </c>
      <c r="ETU13" t="s">
        <v>6984</v>
      </c>
      <c r="ETV13" t="s">
        <v>6984</v>
      </c>
      <c r="ETW13" t="s">
        <v>6984</v>
      </c>
      <c r="ETX13" t="s">
        <v>6984</v>
      </c>
      <c r="ETY13" t="s">
        <v>6984</v>
      </c>
      <c r="ETZ13" t="s">
        <v>6984</v>
      </c>
      <c r="EUA13" t="s">
        <v>6984</v>
      </c>
      <c r="EUB13" t="s">
        <v>6984</v>
      </c>
      <c r="EUC13" t="s">
        <v>6984</v>
      </c>
      <c r="EUD13" t="s">
        <v>6984</v>
      </c>
      <c r="EUE13" t="s">
        <v>6984</v>
      </c>
      <c r="EUF13" t="s">
        <v>6984</v>
      </c>
      <c r="EUG13" t="s">
        <v>6984</v>
      </c>
      <c r="EUH13" t="s">
        <v>6984</v>
      </c>
      <c r="EUI13" t="s">
        <v>6984</v>
      </c>
      <c r="EUJ13" t="s">
        <v>6984</v>
      </c>
      <c r="EUK13" t="s">
        <v>6984</v>
      </c>
      <c r="EUL13" t="s">
        <v>6984</v>
      </c>
      <c r="EUM13" t="s">
        <v>6984</v>
      </c>
      <c r="EUN13" t="s">
        <v>6984</v>
      </c>
      <c r="EUO13" t="s">
        <v>6984</v>
      </c>
      <c r="EUP13" t="s">
        <v>6984</v>
      </c>
      <c r="EUQ13" t="s">
        <v>6984</v>
      </c>
      <c r="EUR13" t="s">
        <v>6984</v>
      </c>
      <c r="EUS13" t="s">
        <v>6984</v>
      </c>
      <c r="EUT13" t="s">
        <v>6984</v>
      </c>
      <c r="EUU13" t="s">
        <v>6984</v>
      </c>
      <c r="EUV13" t="s">
        <v>6984</v>
      </c>
      <c r="EUW13" t="s">
        <v>6984</v>
      </c>
      <c r="EUX13" t="s">
        <v>6984</v>
      </c>
      <c r="EUY13" t="s">
        <v>6984</v>
      </c>
      <c r="EUZ13" t="s">
        <v>6984</v>
      </c>
      <c r="EVA13" t="s">
        <v>6984</v>
      </c>
      <c r="EVB13" t="s">
        <v>6984</v>
      </c>
      <c r="EVC13" t="s">
        <v>6984</v>
      </c>
      <c r="EVD13" t="s">
        <v>6984</v>
      </c>
      <c r="EVE13" t="s">
        <v>6984</v>
      </c>
      <c r="EVF13" t="s">
        <v>6984</v>
      </c>
      <c r="EVG13" t="s">
        <v>6984</v>
      </c>
      <c r="EVH13" t="s">
        <v>6984</v>
      </c>
      <c r="EVI13" t="s">
        <v>6984</v>
      </c>
      <c r="EVJ13" t="s">
        <v>6984</v>
      </c>
      <c r="EVK13" t="s">
        <v>6984</v>
      </c>
      <c r="EVL13" t="s">
        <v>6984</v>
      </c>
      <c r="EVM13" t="s">
        <v>6984</v>
      </c>
      <c r="EVN13" t="s">
        <v>6984</v>
      </c>
      <c r="EVO13" t="s">
        <v>6984</v>
      </c>
      <c r="EVP13" t="s">
        <v>6984</v>
      </c>
      <c r="EVQ13" t="s">
        <v>6984</v>
      </c>
      <c r="EVR13" t="s">
        <v>6984</v>
      </c>
      <c r="EVS13" t="s">
        <v>6984</v>
      </c>
      <c r="EVT13" t="s">
        <v>6984</v>
      </c>
      <c r="EVU13" t="s">
        <v>6984</v>
      </c>
      <c r="EVV13" t="s">
        <v>6984</v>
      </c>
      <c r="EVW13" t="s">
        <v>6984</v>
      </c>
      <c r="EVX13" t="s">
        <v>6984</v>
      </c>
      <c r="EVY13" t="s">
        <v>6984</v>
      </c>
      <c r="EVZ13" t="s">
        <v>6984</v>
      </c>
      <c r="EWA13" t="s">
        <v>6984</v>
      </c>
      <c r="EWB13" t="s">
        <v>6984</v>
      </c>
      <c r="EWC13" t="s">
        <v>6984</v>
      </c>
      <c r="EWD13" t="s">
        <v>6984</v>
      </c>
      <c r="EWE13" t="s">
        <v>6984</v>
      </c>
      <c r="EWF13" t="s">
        <v>6984</v>
      </c>
      <c r="EWG13" t="s">
        <v>6984</v>
      </c>
      <c r="EWH13" t="s">
        <v>6984</v>
      </c>
      <c r="EWI13" t="s">
        <v>6984</v>
      </c>
      <c r="EWJ13" t="s">
        <v>6984</v>
      </c>
      <c r="EWK13" t="s">
        <v>6984</v>
      </c>
      <c r="EWL13" t="s">
        <v>6984</v>
      </c>
      <c r="EWM13" t="s">
        <v>6984</v>
      </c>
      <c r="EWN13" t="s">
        <v>6984</v>
      </c>
      <c r="EWO13" t="s">
        <v>6984</v>
      </c>
      <c r="EWP13" t="s">
        <v>6984</v>
      </c>
      <c r="EWQ13" t="s">
        <v>6984</v>
      </c>
      <c r="EWR13" t="s">
        <v>6984</v>
      </c>
      <c r="EWS13" t="s">
        <v>6984</v>
      </c>
      <c r="EWT13" t="s">
        <v>6984</v>
      </c>
      <c r="EWU13" t="s">
        <v>6984</v>
      </c>
      <c r="EWV13" t="s">
        <v>6984</v>
      </c>
      <c r="EWW13" t="s">
        <v>6984</v>
      </c>
      <c r="EWX13" t="s">
        <v>6984</v>
      </c>
      <c r="EWY13" t="s">
        <v>6984</v>
      </c>
      <c r="EWZ13" t="s">
        <v>6984</v>
      </c>
      <c r="EXA13" t="s">
        <v>6984</v>
      </c>
      <c r="EXB13" t="s">
        <v>6984</v>
      </c>
      <c r="EXC13" t="s">
        <v>6984</v>
      </c>
      <c r="EXD13" t="s">
        <v>6984</v>
      </c>
      <c r="EXE13" t="s">
        <v>6984</v>
      </c>
      <c r="EXF13" t="s">
        <v>6984</v>
      </c>
      <c r="EXG13" t="s">
        <v>6984</v>
      </c>
      <c r="EXH13" t="s">
        <v>6984</v>
      </c>
      <c r="EXI13" t="s">
        <v>6984</v>
      </c>
      <c r="EXJ13" t="s">
        <v>6984</v>
      </c>
      <c r="EXK13" t="s">
        <v>6984</v>
      </c>
      <c r="EXL13" t="s">
        <v>6984</v>
      </c>
      <c r="EXM13" t="s">
        <v>6984</v>
      </c>
      <c r="EXN13" t="s">
        <v>6984</v>
      </c>
      <c r="EXO13" t="s">
        <v>6984</v>
      </c>
      <c r="EXP13" t="s">
        <v>6984</v>
      </c>
      <c r="EXQ13" t="s">
        <v>6984</v>
      </c>
      <c r="EXR13" t="s">
        <v>6984</v>
      </c>
      <c r="EXS13" t="s">
        <v>6984</v>
      </c>
      <c r="EXT13" t="s">
        <v>6984</v>
      </c>
      <c r="EXU13" t="s">
        <v>6984</v>
      </c>
      <c r="EXV13" t="s">
        <v>6984</v>
      </c>
      <c r="EXW13" t="s">
        <v>6984</v>
      </c>
      <c r="EXX13" t="s">
        <v>6984</v>
      </c>
      <c r="EXY13" t="s">
        <v>6984</v>
      </c>
      <c r="EXZ13" t="s">
        <v>6984</v>
      </c>
      <c r="EYA13" t="s">
        <v>6984</v>
      </c>
      <c r="EYB13" t="s">
        <v>6984</v>
      </c>
      <c r="EYC13" t="s">
        <v>6984</v>
      </c>
      <c r="EYD13" t="s">
        <v>6984</v>
      </c>
      <c r="EYE13" t="s">
        <v>6984</v>
      </c>
      <c r="EYF13" t="s">
        <v>6984</v>
      </c>
      <c r="EYG13" t="s">
        <v>6984</v>
      </c>
      <c r="EYH13" t="s">
        <v>6984</v>
      </c>
      <c r="EYI13" t="s">
        <v>6984</v>
      </c>
      <c r="EYJ13" t="s">
        <v>6984</v>
      </c>
      <c r="EYK13" t="s">
        <v>6984</v>
      </c>
      <c r="EYL13" t="s">
        <v>6984</v>
      </c>
      <c r="EYM13" t="s">
        <v>6984</v>
      </c>
      <c r="EYN13" t="s">
        <v>6984</v>
      </c>
      <c r="EYO13" t="s">
        <v>6984</v>
      </c>
      <c r="EYP13" t="s">
        <v>6984</v>
      </c>
      <c r="EYQ13" t="s">
        <v>6984</v>
      </c>
      <c r="EYR13" t="s">
        <v>6984</v>
      </c>
      <c r="EYS13" t="s">
        <v>6984</v>
      </c>
      <c r="EYT13" t="s">
        <v>6984</v>
      </c>
      <c r="EYU13" t="s">
        <v>6984</v>
      </c>
      <c r="EYV13" t="s">
        <v>6984</v>
      </c>
      <c r="EYW13" t="s">
        <v>6984</v>
      </c>
      <c r="EYX13" t="s">
        <v>6984</v>
      </c>
      <c r="EYY13" t="s">
        <v>6984</v>
      </c>
      <c r="EYZ13" t="s">
        <v>6984</v>
      </c>
      <c r="EZA13" t="s">
        <v>6984</v>
      </c>
      <c r="EZB13" t="s">
        <v>6984</v>
      </c>
      <c r="EZC13" t="s">
        <v>6984</v>
      </c>
      <c r="EZD13" t="s">
        <v>6984</v>
      </c>
      <c r="EZE13" t="s">
        <v>6984</v>
      </c>
      <c r="EZF13" t="s">
        <v>6984</v>
      </c>
      <c r="EZG13" t="s">
        <v>6984</v>
      </c>
      <c r="EZH13" t="s">
        <v>6984</v>
      </c>
      <c r="EZI13" t="s">
        <v>6984</v>
      </c>
      <c r="EZJ13" t="s">
        <v>6984</v>
      </c>
      <c r="EZK13" t="s">
        <v>6984</v>
      </c>
      <c r="EZL13" t="s">
        <v>6984</v>
      </c>
      <c r="EZM13" t="s">
        <v>6984</v>
      </c>
      <c r="EZN13" t="s">
        <v>6984</v>
      </c>
      <c r="EZO13" t="s">
        <v>6984</v>
      </c>
      <c r="EZP13" t="s">
        <v>6984</v>
      </c>
      <c r="EZQ13" t="s">
        <v>6984</v>
      </c>
      <c r="EZR13" t="s">
        <v>6984</v>
      </c>
      <c r="EZS13" t="s">
        <v>6984</v>
      </c>
      <c r="EZT13" t="s">
        <v>6984</v>
      </c>
      <c r="EZU13" t="s">
        <v>6984</v>
      </c>
      <c r="EZV13" t="s">
        <v>6984</v>
      </c>
      <c r="EZW13" t="s">
        <v>6984</v>
      </c>
      <c r="EZX13" t="s">
        <v>6984</v>
      </c>
      <c r="EZY13" t="s">
        <v>6984</v>
      </c>
      <c r="EZZ13" t="s">
        <v>6984</v>
      </c>
      <c r="FAA13" t="s">
        <v>6984</v>
      </c>
      <c r="FAB13" t="s">
        <v>6984</v>
      </c>
      <c r="FAC13" t="s">
        <v>6984</v>
      </c>
      <c r="FAD13" t="s">
        <v>6984</v>
      </c>
      <c r="FAE13" t="s">
        <v>6984</v>
      </c>
      <c r="FAF13" t="s">
        <v>6984</v>
      </c>
      <c r="FAG13" t="s">
        <v>6984</v>
      </c>
      <c r="FAH13" t="s">
        <v>6984</v>
      </c>
      <c r="FAI13" t="s">
        <v>6984</v>
      </c>
      <c r="FAJ13" t="s">
        <v>6984</v>
      </c>
      <c r="FAK13" t="s">
        <v>6984</v>
      </c>
      <c r="FAL13" t="s">
        <v>6984</v>
      </c>
      <c r="FAM13" t="s">
        <v>6984</v>
      </c>
      <c r="FAN13" t="s">
        <v>6984</v>
      </c>
      <c r="FAO13" t="s">
        <v>6984</v>
      </c>
      <c r="FAP13" t="s">
        <v>6984</v>
      </c>
      <c r="FAQ13" t="s">
        <v>6984</v>
      </c>
      <c r="FAR13" t="s">
        <v>6984</v>
      </c>
      <c r="FAS13" t="s">
        <v>6984</v>
      </c>
      <c r="FAT13" t="s">
        <v>6984</v>
      </c>
      <c r="FAU13" t="s">
        <v>6984</v>
      </c>
      <c r="FAV13" t="s">
        <v>6984</v>
      </c>
      <c r="FAW13" t="s">
        <v>6984</v>
      </c>
      <c r="FAX13" t="s">
        <v>6984</v>
      </c>
      <c r="FAY13" t="s">
        <v>6984</v>
      </c>
      <c r="FAZ13" t="s">
        <v>6984</v>
      </c>
      <c r="FBA13" t="s">
        <v>6984</v>
      </c>
      <c r="FBB13" t="s">
        <v>6984</v>
      </c>
      <c r="FBC13" t="s">
        <v>6984</v>
      </c>
      <c r="FBD13" t="s">
        <v>6984</v>
      </c>
      <c r="FBE13" t="s">
        <v>6984</v>
      </c>
      <c r="FBF13" t="s">
        <v>6984</v>
      </c>
      <c r="FBG13" t="s">
        <v>6984</v>
      </c>
      <c r="FBH13" t="s">
        <v>6984</v>
      </c>
      <c r="FBI13" t="s">
        <v>6984</v>
      </c>
      <c r="FBJ13" t="s">
        <v>6984</v>
      </c>
      <c r="FBK13" t="s">
        <v>6984</v>
      </c>
      <c r="FBL13" t="s">
        <v>6984</v>
      </c>
      <c r="FBM13" t="s">
        <v>6984</v>
      </c>
      <c r="FBN13" t="s">
        <v>6984</v>
      </c>
      <c r="FBO13" t="s">
        <v>6984</v>
      </c>
      <c r="FBP13" t="s">
        <v>6984</v>
      </c>
      <c r="FBQ13" t="s">
        <v>6984</v>
      </c>
      <c r="FBR13" t="s">
        <v>6984</v>
      </c>
      <c r="FBS13" t="s">
        <v>6984</v>
      </c>
      <c r="FBT13" t="s">
        <v>6984</v>
      </c>
      <c r="FBU13" t="s">
        <v>6984</v>
      </c>
      <c r="FBV13" t="s">
        <v>6984</v>
      </c>
      <c r="FBW13" t="s">
        <v>6984</v>
      </c>
      <c r="FBX13" t="s">
        <v>6984</v>
      </c>
      <c r="FBY13" t="s">
        <v>6984</v>
      </c>
      <c r="FBZ13" t="s">
        <v>6984</v>
      </c>
      <c r="FCA13" t="s">
        <v>6984</v>
      </c>
      <c r="FCB13" t="s">
        <v>6984</v>
      </c>
      <c r="FCC13" t="s">
        <v>6984</v>
      </c>
      <c r="FCD13" t="s">
        <v>6984</v>
      </c>
      <c r="FCE13" t="s">
        <v>6984</v>
      </c>
      <c r="FCF13" t="s">
        <v>6984</v>
      </c>
      <c r="FCG13" t="s">
        <v>6984</v>
      </c>
      <c r="FCH13" t="s">
        <v>6984</v>
      </c>
      <c r="FCI13" t="s">
        <v>6984</v>
      </c>
      <c r="FCJ13" t="s">
        <v>6984</v>
      </c>
      <c r="FCK13" t="s">
        <v>6984</v>
      </c>
      <c r="FCL13" t="s">
        <v>6984</v>
      </c>
      <c r="FCM13" t="s">
        <v>6984</v>
      </c>
      <c r="FCN13" t="s">
        <v>6984</v>
      </c>
      <c r="FCO13" t="s">
        <v>6984</v>
      </c>
      <c r="FCP13" t="s">
        <v>6984</v>
      </c>
      <c r="FCQ13" t="s">
        <v>6984</v>
      </c>
      <c r="FCR13" t="s">
        <v>6984</v>
      </c>
      <c r="FCS13" t="s">
        <v>6984</v>
      </c>
      <c r="FCT13" t="s">
        <v>6984</v>
      </c>
      <c r="FCU13" t="s">
        <v>6984</v>
      </c>
      <c r="FCV13" t="s">
        <v>6984</v>
      </c>
      <c r="FCW13" t="s">
        <v>6984</v>
      </c>
      <c r="FCX13" t="s">
        <v>6984</v>
      </c>
      <c r="FCY13" t="s">
        <v>6984</v>
      </c>
      <c r="FCZ13" t="s">
        <v>6984</v>
      </c>
      <c r="FDA13" t="s">
        <v>6984</v>
      </c>
      <c r="FDB13" t="s">
        <v>6984</v>
      </c>
      <c r="FDC13" t="s">
        <v>6984</v>
      </c>
      <c r="FDD13" t="s">
        <v>6984</v>
      </c>
      <c r="FDE13" t="s">
        <v>6984</v>
      </c>
      <c r="FDF13" t="s">
        <v>6984</v>
      </c>
      <c r="FDG13" t="s">
        <v>6984</v>
      </c>
      <c r="FDH13" t="s">
        <v>6984</v>
      </c>
      <c r="FDI13" t="s">
        <v>6984</v>
      </c>
      <c r="FDJ13" t="s">
        <v>6984</v>
      </c>
      <c r="FDK13" t="s">
        <v>6984</v>
      </c>
      <c r="FDL13" t="s">
        <v>6984</v>
      </c>
      <c r="FDM13" t="s">
        <v>6984</v>
      </c>
      <c r="FDN13" t="s">
        <v>6984</v>
      </c>
      <c r="FDO13" t="s">
        <v>6984</v>
      </c>
      <c r="FDP13" t="s">
        <v>6984</v>
      </c>
      <c r="FDQ13" t="s">
        <v>6984</v>
      </c>
      <c r="FDR13" t="s">
        <v>6984</v>
      </c>
      <c r="FDS13" t="s">
        <v>6984</v>
      </c>
      <c r="FDT13" t="s">
        <v>6984</v>
      </c>
      <c r="FDU13" t="s">
        <v>6984</v>
      </c>
      <c r="FDV13" t="s">
        <v>6984</v>
      </c>
      <c r="FDW13" t="s">
        <v>6984</v>
      </c>
      <c r="FDX13" t="s">
        <v>6984</v>
      </c>
      <c r="FDY13" t="s">
        <v>6984</v>
      </c>
      <c r="FDZ13" t="s">
        <v>6984</v>
      </c>
      <c r="FEA13" t="s">
        <v>6984</v>
      </c>
      <c r="FEB13" t="s">
        <v>6984</v>
      </c>
      <c r="FEC13" t="s">
        <v>6984</v>
      </c>
      <c r="FED13" t="s">
        <v>6984</v>
      </c>
      <c r="FEE13" t="s">
        <v>6984</v>
      </c>
      <c r="FEF13" t="s">
        <v>6984</v>
      </c>
      <c r="FEG13" t="s">
        <v>6984</v>
      </c>
      <c r="FEH13" t="s">
        <v>6984</v>
      </c>
      <c r="FEI13" t="s">
        <v>6984</v>
      </c>
      <c r="FEJ13" t="s">
        <v>6984</v>
      </c>
      <c r="FEK13" t="s">
        <v>6984</v>
      </c>
      <c r="FEL13" t="s">
        <v>6984</v>
      </c>
      <c r="FEM13" t="s">
        <v>6984</v>
      </c>
      <c r="FEN13" t="s">
        <v>6984</v>
      </c>
      <c r="FEO13" t="s">
        <v>6984</v>
      </c>
      <c r="FEP13" t="s">
        <v>6984</v>
      </c>
      <c r="FEQ13" t="s">
        <v>6984</v>
      </c>
      <c r="FER13" t="s">
        <v>6984</v>
      </c>
      <c r="FES13" t="s">
        <v>6984</v>
      </c>
      <c r="FET13" t="s">
        <v>6984</v>
      </c>
      <c r="FEU13" t="s">
        <v>6984</v>
      </c>
      <c r="FEV13" t="s">
        <v>6984</v>
      </c>
      <c r="FEW13" t="s">
        <v>6984</v>
      </c>
      <c r="FEX13" t="s">
        <v>6984</v>
      </c>
      <c r="FEY13" t="s">
        <v>6984</v>
      </c>
      <c r="FEZ13" t="s">
        <v>6984</v>
      </c>
      <c r="FFA13" t="s">
        <v>6984</v>
      </c>
      <c r="FFB13" t="s">
        <v>6984</v>
      </c>
      <c r="FFC13" t="s">
        <v>6984</v>
      </c>
      <c r="FFD13" t="s">
        <v>6984</v>
      </c>
      <c r="FFE13" t="s">
        <v>6984</v>
      </c>
      <c r="FFF13" t="s">
        <v>6984</v>
      </c>
      <c r="FFG13" t="s">
        <v>6984</v>
      </c>
      <c r="FFH13" t="s">
        <v>6984</v>
      </c>
      <c r="FFI13" t="s">
        <v>6984</v>
      </c>
      <c r="FFJ13" t="s">
        <v>6984</v>
      </c>
      <c r="FFK13" t="s">
        <v>6984</v>
      </c>
      <c r="FFL13" t="s">
        <v>6984</v>
      </c>
      <c r="FFM13" t="s">
        <v>6984</v>
      </c>
      <c r="FFN13" t="s">
        <v>6984</v>
      </c>
      <c r="FFO13" t="s">
        <v>6984</v>
      </c>
      <c r="FFP13" t="s">
        <v>6984</v>
      </c>
      <c r="FFQ13" t="s">
        <v>6984</v>
      </c>
      <c r="FFR13" t="s">
        <v>6984</v>
      </c>
      <c r="FFS13" t="s">
        <v>6984</v>
      </c>
      <c r="FFT13" t="s">
        <v>6984</v>
      </c>
      <c r="FFU13" t="s">
        <v>6984</v>
      </c>
      <c r="FFV13" t="s">
        <v>6984</v>
      </c>
      <c r="FFW13" t="s">
        <v>6984</v>
      </c>
      <c r="FFX13" t="s">
        <v>6984</v>
      </c>
      <c r="FFY13" t="s">
        <v>6984</v>
      </c>
      <c r="FFZ13" t="s">
        <v>6984</v>
      </c>
      <c r="FGA13" t="s">
        <v>6984</v>
      </c>
      <c r="FGB13" t="s">
        <v>6984</v>
      </c>
      <c r="FGC13" t="s">
        <v>6984</v>
      </c>
      <c r="FGD13" t="s">
        <v>6984</v>
      </c>
      <c r="FGE13" t="s">
        <v>6984</v>
      </c>
      <c r="FGF13" t="s">
        <v>6984</v>
      </c>
      <c r="FGG13" t="s">
        <v>6984</v>
      </c>
      <c r="FGH13" t="s">
        <v>6984</v>
      </c>
      <c r="FGI13" t="s">
        <v>6984</v>
      </c>
      <c r="FGJ13" t="s">
        <v>6984</v>
      </c>
      <c r="FGK13" t="s">
        <v>6984</v>
      </c>
      <c r="FGL13" t="s">
        <v>6984</v>
      </c>
      <c r="FGM13" t="s">
        <v>6984</v>
      </c>
      <c r="FGN13" t="s">
        <v>6984</v>
      </c>
      <c r="FGO13" t="s">
        <v>6984</v>
      </c>
      <c r="FGP13" t="s">
        <v>6984</v>
      </c>
      <c r="FGQ13" t="s">
        <v>6984</v>
      </c>
      <c r="FGR13" t="s">
        <v>6984</v>
      </c>
      <c r="FGS13" t="s">
        <v>6984</v>
      </c>
      <c r="FGT13" t="s">
        <v>6984</v>
      </c>
      <c r="FGU13" t="s">
        <v>6984</v>
      </c>
      <c r="FGV13" t="s">
        <v>6984</v>
      </c>
      <c r="FGW13" t="s">
        <v>6984</v>
      </c>
      <c r="FGX13" t="s">
        <v>6984</v>
      </c>
      <c r="FGY13" t="s">
        <v>6984</v>
      </c>
      <c r="FGZ13" t="s">
        <v>6984</v>
      </c>
      <c r="FHA13" t="s">
        <v>6984</v>
      </c>
      <c r="FHB13" t="s">
        <v>6984</v>
      </c>
      <c r="FHC13" t="s">
        <v>6984</v>
      </c>
      <c r="FHD13" t="s">
        <v>6984</v>
      </c>
      <c r="FHE13" t="s">
        <v>6984</v>
      </c>
      <c r="FHF13" t="s">
        <v>6984</v>
      </c>
      <c r="FHG13" t="s">
        <v>6984</v>
      </c>
      <c r="FHH13" t="s">
        <v>6984</v>
      </c>
      <c r="FHI13" t="s">
        <v>6984</v>
      </c>
      <c r="FHJ13" t="s">
        <v>6984</v>
      </c>
      <c r="FHK13" t="s">
        <v>6984</v>
      </c>
      <c r="FHL13" t="s">
        <v>6984</v>
      </c>
      <c r="FHM13" t="s">
        <v>6984</v>
      </c>
      <c r="FHN13" t="s">
        <v>6984</v>
      </c>
      <c r="FHO13" t="s">
        <v>6984</v>
      </c>
      <c r="FHP13" t="s">
        <v>6984</v>
      </c>
      <c r="FHQ13" t="s">
        <v>6984</v>
      </c>
      <c r="FHR13" t="s">
        <v>6984</v>
      </c>
      <c r="FHS13" t="s">
        <v>6984</v>
      </c>
      <c r="FHT13" t="s">
        <v>6984</v>
      </c>
      <c r="FHU13" t="s">
        <v>6984</v>
      </c>
      <c r="FHV13" t="s">
        <v>6984</v>
      </c>
      <c r="FHW13" t="s">
        <v>6984</v>
      </c>
      <c r="FHX13" t="s">
        <v>6984</v>
      </c>
      <c r="FHY13" t="s">
        <v>6984</v>
      </c>
      <c r="FHZ13" t="s">
        <v>6984</v>
      </c>
      <c r="FIA13" t="s">
        <v>6984</v>
      </c>
      <c r="FIB13" t="s">
        <v>6984</v>
      </c>
      <c r="FIC13" t="s">
        <v>6984</v>
      </c>
      <c r="FID13" t="s">
        <v>6984</v>
      </c>
      <c r="FIE13" t="s">
        <v>6984</v>
      </c>
      <c r="FIF13" t="s">
        <v>6984</v>
      </c>
      <c r="FIG13" t="s">
        <v>6984</v>
      </c>
      <c r="FIH13" t="s">
        <v>6984</v>
      </c>
      <c r="FII13" t="s">
        <v>6984</v>
      </c>
      <c r="FIJ13" t="s">
        <v>6984</v>
      </c>
      <c r="FIK13" t="s">
        <v>6984</v>
      </c>
      <c r="FIL13" t="s">
        <v>6984</v>
      </c>
      <c r="FIM13" t="s">
        <v>6984</v>
      </c>
      <c r="FIN13" t="s">
        <v>6984</v>
      </c>
      <c r="FIO13" t="s">
        <v>6984</v>
      </c>
      <c r="FIP13" t="s">
        <v>6984</v>
      </c>
      <c r="FIQ13" t="s">
        <v>6984</v>
      </c>
      <c r="FIR13" t="s">
        <v>6984</v>
      </c>
      <c r="FIS13" t="s">
        <v>6984</v>
      </c>
      <c r="FIT13" t="s">
        <v>6984</v>
      </c>
      <c r="FIU13" t="s">
        <v>6984</v>
      </c>
      <c r="FIV13" t="s">
        <v>6984</v>
      </c>
      <c r="FIW13" t="s">
        <v>6984</v>
      </c>
      <c r="FIX13" t="s">
        <v>6984</v>
      </c>
      <c r="FIY13" t="s">
        <v>6984</v>
      </c>
      <c r="FIZ13" t="s">
        <v>6984</v>
      </c>
      <c r="FJA13" t="s">
        <v>6984</v>
      </c>
      <c r="FJB13" t="s">
        <v>6984</v>
      </c>
      <c r="FJC13" t="s">
        <v>6984</v>
      </c>
      <c r="FJD13" t="s">
        <v>6984</v>
      </c>
      <c r="FJE13" t="s">
        <v>6984</v>
      </c>
      <c r="FJF13" t="s">
        <v>6984</v>
      </c>
      <c r="FJG13" t="s">
        <v>6984</v>
      </c>
      <c r="FJH13" t="s">
        <v>6984</v>
      </c>
      <c r="FJI13" t="s">
        <v>6984</v>
      </c>
      <c r="FJJ13" t="s">
        <v>6984</v>
      </c>
      <c r="FJK13" t="s">
        <v>6984</v>
      </c>
      <c r="FJL13" t="s">
        <v>6984</v>
      </c>
      <c r="FJM13" t="s">
        <v>6984</v>
      </c>
      <c r="FJN13" t="s">
        <v>6984</v>
      </c>
      <c r="FJO13" t="s">
        <v>6984</v>
      </c>
      <c r="FJP13" t="s">
        <v>6984</v>
      </c>
      <c r="FJQ13" t="s">
        <v>6984</v>
      </c>
      <c r="FJR13" t="s">
        <v>6984</v>
      </c>
      <c r="FJS13" t="s">
        <v>6984</v>
      </c>
      <c r="FJT13" t="s">
        <v>6984</v>
      </c>
      <c r="FJU13" t="s">
        <v>6984</v>
      </c>
      <c r="FJV13" t="s">
        <v>6984</v>
      </c>
      <c r="FJW13" t="s">
        <v>6984</v>
      </c>
      <c r="FJX13" t="s">
        <v>6984</v>
      </c>
      <c r="FJY13" t="s">
        <v>6984</v>
      </c>
      <c r="FJZ13" t="s">
        <v>6984</v>
      </c>
      <c r="FKA13" t="s">
        <v>6984</v>
      </c>
      <c r="FKB13" t="s">
        <v>6984</v>
      </c>
      <c r="FKC13" t="s">
        <v>6984</v>
      </c>
      <c r="FKD13" t="s">
        <v>6984</v>
      </c>
      <c r="FKE13" t="s">
        <v>6984</v>
      </c>
      <c r="FKF13" t="s">
        <v>6984</v>
      </c>
      <c r="FKG13" t="s">
        <v>6984</v>
      </c>
      <c r="FKH13" t="s">
        <v>6984</v>
      </c>
      <c r="FKI13" t="s">
        <v>6984</v>
      </c>
      <c r="FKJ13" t="s">
        <v>6984</v>
      </c>
      <c r="FKK13" t="s">
        <v>6984</v>
      </c>
      <c r="FKL13" t="s">
        <v>6984</v>
      </c>
      <c r="FKM13" t="s">
        <v>6984</v>
      </c>
      <c r="FKN13" t="s">
        <v>6984</v>
      </c>
      <c r="FKO13" t="s">
        <v>6984</v>
      </c>
      <c r="FKP13" t="s">
        <v>6984</v>
      </c>
      <c r="FKQ13" t="s">
        <v>6984</v>
      </c>
      <c r="FKR13" t="s">
        <v>6984</v>
      </c>
      <c r="FKS13" t="s">
        <v>6984</v>
      </c>
      <c r="FKT13" t="s">
        <v>6984</v>
      </c>
      <c r="FKU13" t="s">
        <v>6984</v>
      </c>
      <c r="FKV13" t="s">
        <v>6984</v>
      </c>
      <c r="FKW13" t="s">
        <v>6984</v>
      </c>
      <c r="FKX13" t="s">
        <v>6984</v>
      </c>
      <c r="FKY13" t="s">
        <v>6984</v>
      </c>
      <c r="FKZ13" t="s">
        <v>6984</v>
      </c>
      <c r="FLA13" t="s">
        <v>6984</v>
      </c>
      <c r="FLB13" t="s">
        <v>6984</v>
      </c>
      <c r="FLC13" t="s">
        <v>6984</v>
      </c>
      <c r="FLD13" t="s">
        <v>6984</v>
      </c>
      <c r="FLE13" t="s">
        <v>6984</v>
      </c>
      <c r="FLF13" t="s">
        <v>6984</v>
      </c>
      <c r="FLG13" t="s">
        <v>6984</v>
      </c>
      <c r="FLH13" t="s">
        <v>6984</v>
      </c>
      <c r="FLI13" t="s">
        <v>6984</v>
      </c>
      <c r="FLJ13" t="s">
        <v>6984</v>
      </c>
      <c r="FLK13" t="s">
        <v>6984</v>
      </c>
      <c r="FLL13" t="s">
        <v>6984</v>
      </c>
      <c r="FLM13" t="s">
        <v>6984</v>
      </c>
      <c r="FLN13" t="s">
        <v>6984</v>
      </c>
      <c r="FLO13" t="s">
        <v>6984</v>
      </c>
      <c r="FLP13" t="s">
        <v>6984</v>
      </c>
      <c r="FLQ13" t="s">
        <v>6984</v>
      </c>
      <c r="FLR13" t="s">
        <v>6984</v>
      </c>
      <c r="FLS13" t="s">
        <v>6984</v>
      </c>
      <c r="FLT13" t="s">
        <v>6984</v>
      </c>
      <c r="FLU13" t="s">
        <v>6984</v>
      </c>
      <c r="FLV13" t="s">
        <v>6984</v>
      </c>
      <c r="FLW13" t="s">
        <v>6984</v>
      </c>
      <c r="FLX13" t="s">
        <v>6984</v>
      </c>
      <c r="FLY13" t="s">
        <v>6984</v>
      </c>
      <c r="FLZ13" t="s">
        <v>6984</v>
      </c>
      <c r="FMA13" t="s">
        <v>6984</v>
      </c>
      <c r="FMB13" t="s">
        <v>6984</v>
      </c>
      <c r="FMC13" t="s">
        <v>6984</v>
      </c>
      <c r="FMD13" t="s">
        <v>6984</v>
      </c>
      <c r="FME13" t="s">
        <v>6984</v>
      </c>
      <c r="FMF13" t="s">
        <v>6984</v>
      </c>
      <c r="FMG13" t="s">
        <v>6984</v>
      </c>
      <c r="FMH13" t="s">
        <v>6984</v>
      </c>
      <c r="FMI13" t="s">
        <v>6984</v>
      </c>
      <c r="FMJ13" t="s">
        <v>6984</v>
      </c>
      <c r="FMK13" t="s">
        <v>6984</v>
      </c>
      <c r="FML13" t="s">
        <v>6984</v>
      </c>
      <c r="FMM13" t="s">
        <v>6984</v>
      </c>
      <c r="FMN13" t="s">
        <v>6984</v>
      </c>
      <c r="FMO13" t="s">
        <v>6984</v>
      </c>
      <c r="FMP13" t="s">
        <v>6984</v>
      </c>
      <c r="FMQ13" t="s">
        <v>6984</v>
      </c>
      <c r="FMR13" t="s">
        <v>6984</v>
      </c>
      <c r="FMS13" t="s">
        <v>6984</v>
      </c>
      <c r="FMT13" t="s">
        <v>6984</v>
      </c>
      <c r="FMU13" t="s">
        <v>6984</v>
      </c>
      <c r="FMV13" t="s">
        <v>6984</v>
      </c>
      <c r="FMW13" t="s">
        <v>6984</v>
      </c>
      <c r="FMX13" t="s">
        <v>6984</v>
      </c>
      <c r="FMY13" t="s">
        <v>6984</v>
      </c>
      <c r="FMZ13" t="s">
        <v>6984</v>
      </c>
      <c r="FNA13" t="s">
        <v>6984</v>
      </c>
      <c r="FNB13" t="s">
        <v>6984</v>
      </c>
      <c r="FNC13" t="s">
        <v>6984</v>
      </c>
      <c r="FND13" t="s">
        <v>6984</v>
      </c>
      <c r="FNE13" t="s">
        <v>6984</v>
      </c>
      <c r="FNF13" t="s">
        <v>6984</v>
      </c>
      <c r="FNG13" t="s">
        <v>6984</v>
      </c>
      <c r="FNH13" t="s">
        <v>6984</v>
      </c>
      <c r="FNI13" t="s">
        <v>6984</v>
      </c>
      <c r="FNJ13" t="s">
        <v>6984</v>
      </c>
      <c r="FNK13" t="s">
        <v>6984</v>
      </c>
      <c r="FNL13" t="s">
        <v>6984</v>
      </c>
      <c r="FNM13" t="s">
        <v>6984</v>
      </c>
      <c r="FNN13" t="s">
        <v>6984</v>
      </c>
      <c r="FNO13" t="s">
        <v>6984</v>
      </c>
      <c r="FNP13" t="s">
        <v>6984</v>
      </c>
      <c r="FNQ13" t="s">
        <v>6984</v>
      </c>
      <c r="FNR13" t="s">
        <v>6984</v>
      </c>
      <c r="FNS13" t="s">
        <v>6984</v>
      </c>
      <c r="FNT13" t="s">
        <v>6984</v>
      </c>
      <c r="FNU13" t="s">
        <v>6984</v>
      </c>
      <c r="FNV13" t="s">
        <v>6984</v>
      </c>
      <c r="FNW13" t="s">
        <v>6984</v>
      </c>
      <c r="FNX13" t="s">
        <v>6984</v>
      </c>
      <c r="FNY13" t="s">
        <v>6984</v>
      </c>
      <c r="FNZ13" t="s">
        <v>6984</v>
      </c>
      <c r="FOA13" t="s">
        <v>6984</v>
      </c>
      <c r="FOB13" t="s">
        <v>6984</v>
      </c>
      <c r="FOC13" t="s">
        <v>6984</v>
      </c>
      <c r="FOD13" t="s">
        <v>6984</v>
      </c>
      <c r="FOE13" t="s">
        <v>6984</v>
      </c>
      <c r="FOF13" t="s">
        <v>6984</v>
      </c>
      <c r="FOG13" t="s">
        <v>6984</v>
      </c>
      <c r="FOH13" t="s">
        <v>6984</v>
      </c>
      <c r="FOI13" t="s">
        <v>6984</v>
      </c>
      <c r="FOJ13" t="s">
        <v>6984</v>
      </c>
      <c r="FOK13" t="s">
        <v>6984</v>
      </c>
      <c r="FOL13" t="s">
        <v>6984</v>
      </c>
      <c r="FOM13" t="s">
        <v>6984</v>
      </c>
      <c r="FON13" t="s">
        <v>6984</v>
      </c>
      <c r="FOO13" t="s">
        <v>6984</v>
      </c>
      <c r="FOP13" t="s">
        <v>6984</v>
      </c>
      <c r="FOQ13" t="s">
        <v>6984</v>
      </c>
      <c r="FOR13" t="s">
        <v>6984</v>
      </c>
      <c r="FOS13" t="s">
        <v>6984</v>
      </c>
      <c r="FOT13" t="s">
        <v>6984</v>
      </c>
      <c r="FOU13" t="s">
        <v>6984</v>
      </c>
      <c r="FOV13" t="s">
        <v>6984</v>
      </c>
      <c r="FOW13" t="s">
        <v>6984</v>
      </c>
      <c r="FOX13" t="s">
        <v>6984</v>
      </c>
      <c r="FOY13" t="s">
        <v>6984</v>
      </c>
      <c r="FOZ13" t="s">
        <v>6984</v>
      </c>
      <c r="FPA13" t="s">
        <v>6984</v>
      </c>
      <c r="FPB13" t="s">
        <v>6984</v>
      </c>
      <c r="FPC13" t="s">
        <v>6984</v>
      </c>
      <c r="FPD13" t="s">
        <v>6984</v>
      </c>
      <c r="FPE13" t="s">
        <v>6984</v>
      </c>
      <c r="FPF13" t="s">
        <v>6984</v>
      </c>
      <c r="FPG13" t="s">
        <v>6984</v>
      </c>
      <c r="FPH13" t="s">
        <v>6984</v>
      </c>
      <c r="FPI13" t="s">
        <v>6984</v>
      </c>
      <c r="FPJ13" t="s">
        <v>6984</v>
      </c>
      <c r="FPK13" t="s">
        <v>6984</v>
      </c>
      <c r="FPL13" t="s">
        <v>6984</v>
      </c>
      <c r="FPM13" t="s">
        <v>6984</v>
      </c>
      <c r="FPN13" t="s">
        <v>6984</v>
      </c>
      <c r="FPO13" t="s">
        <v>6984</v>
      </c>
      <c r="FPP13" t="s">
        <v>6984</v>
      </c>
      <c r="FPQ13" t="s">
        <v>6984</v>
      </c>
      <c r="FPR13" t="s">
        <v>6984</v>
      </c>
      <c r="FPS13" t="s">
        <v>6984</v>
      </c>
      <c r="FPT13" t="s">
        <v>6984</v>
      </c>
      <c r="FPU13" t="s">
        <v>6984</v>
      </c>
      <c r="FPV13" t="s">
        <v>6984</v>
      </c>
      <c r="FPW13" t="s">
        <v>6984</v>
      </c>
      <c r="FPX13" t="s">
        <v>6984</v>
      </c>
      <c r="FPY13" t="s">
        <v>6984</v>
      </c>
      <c r="FPZ13" t="s">
        <v>6984</v>
      </c>
      <c r="FQA13" t="s">
        <v>6984</v>
      </c>
      <c r="FQB13" t="s">
        <v>6984</v>
      </c>
      <c r="FQC13" t="s">
        <v>6984</v>
      </c>
      <c r="FQD13" t="s">
        <v>6984</v>
      </c>
      <c r="FQE13" t="s">
        <v>6984</v>
      </c>
      <c r="FQF13" t="s">
        <v>6984</v>
      </c>
      <c r="FQG13" t="s">
        <v>6984</v>
      </c>
      <c r="FQH13" t="s">
        <v>6984</v>
      </c>
      <c r="FQI13" t="s">
        <v>6984</v>
      </c>
      <c r="FQJ13" t="s">
        <v>6984</v>
      </c>
      <c r="FQK13" t="s">
        <v>6984</v>
      </c>
      <c r="FQL13" t="s">
        <v>6984</v>
      </c>
      <c r="FQM13" t="s">
        <v>6984</v>
      </c>
      <c r="FQN13" t="s">
        <v>6984</v>
      </c>
      <c r="FQO13" t="s">
        <v>6984</v>
      </c>
      <c r="FQP13" t="s">
        <v>6984</v>
      </c>
      <c r="FQQ13" t="s">
        <v>6984</v>
      </c>
      <c r="FQR13" t="s">
        <v>6984</v>
      </c>
      <c r="FQS13" t="s">
        <v>6984</v>
      </c>
      <c r="FQT13" t="s">
        <v>6984</v>
      </c>
      <c r="FQU13" t="s">
        <v>6984</v>
      </c>
      <c r="FQV13" t="s">
        <v>6984</v>
      </c>
      <c r="FQW13" t="s">
        <v>6984</v>
      </c>
      <c r="FQX13" t="s">
        <v>6984</v>
      </c>
      <c r="FQY13" t="s">
        <v>6984</v>
      </c>
      <c r="FQZ13" t="s">
        <v>6984</v>
      </c>
      <c r="FRA13" t="s">
        <v>6984</v>
      </c>
      <c r="FRB13" t="s">
        <v>6984</v>
      </c>
      <c r="FRC13" t="s">
        <v>6984</v>
      </c>
      <c r="FRD13" t="s">
        <v>6984</v>
      </c>
      <c r="FRE13" t="s">
        <v>6984</v>
      </c>
      <c r="FRF13" t="s">
        <v>6984</v>
      </c>
      <c r="FRG13" t="s">
        <v>6984</v>
      </c>
      <c r="FRH13" t="s">
        <v>6984</v>
      </c>
      <c r="FRI13" t="s">
        <v>6984</v>
      </c>
      <c r="FRJ13" t="s">
        <v>6984</v>
      </c>
      <c r="FRK13" t="s">
        <v>6984</v>
      </c>
      <c r="FRL13" t="s">
        <v>6984</v>
      </c>
      <c r="FRM13" t="s">
        <v>6984</v>
      </c>
      <c r="FRN13" t="s">
        <v>6984</v>
      </c>
      <c r="FRO13" t="s">
        <v>6984</v>
      </c>
      <c r="FRP13" t="s">
        <v>6984</v>
      </c>
      <c r="FRQ13" t="s">
        <v>6984</v>
      </c>
      <c r="FRR13" t="s">
        <v>6984</v>
      </c>
      <c r="FRS13" t="s">
        <v>6984</v>
      </c>
      <c r="FRT13" t="s">
        <v>6984</v>
      </c>
      <c r="FRU13" t="s">
        <v>6984</v>
      </c>
      <c r="FRV13" t="s">
        <v>6984</v>
      </c>
      <c r="FRW13" t="s">
        <v>6984</v>
      </c>
      <c r="FRX13" t="s">
        <v>6984</v>
      </c>
      <c r="FRY13" t="s">
        <v>6984</v>
      </c>
      <c r="FRZ13" t="s">
        <v>6984</v>
      </c>
      <c r="FSA13" t="s">
        <v>6984</v>
      </c>
      <c r="FSB13" t="s">
        <v>6984</v>
      </c>
      <c r="FSC13" t="s">
        <v>6984</v>
      </c>
      <c r="FSD13" t="s">
        <v>6984</v>
      </c>
      <c r="FSE13" t="s">
        <v>6984</v>
      </c>
      <c r="FSF13" t="s">
        <v>6984</v>
      </c>
      <c r="FSG13" t="s">
        <v>6984</v>
      </c>
      <c r="FSH13" t="s">
        <v>6984</v>
      </c>
      <c r="FSI13" t="s">
        <v>6984</v>
      </c>
      <c r="FSJ13" t="s">
        <v>6984</v>
      </c>
      <c r="FSK13" t="s">
        <v>6984</v>
      </c>
      <c r="FSL13" t="s">
        <v>6984</v>
      </c>
      <c r="FSM13" t="s">
        <v>6984</v>
      </c>
      <c r="FSN13" t="s">
        <v>6984</v>
      </c>
      <c r="FSO13" t="s">
        <v>6984</v>
      </c>
      <c r="FSP13" t="s">
        <v>6984</v>
      </c>
      <c r="FSQ13" t="s">
        <v>6984</v>
      </c>
      <c r="FSR13" t="s">
        <v>6984</v>
      </c>
      <c r="FSS13" t="s">
        <v>6984</v>
      </c>
      <c r="FST13" t="s">
        <v>6984</v>
      </c>
      <c r="FSU13" t="s">
        <v>6984</v>
      </c>
      <c r="FSV13" t="s">
        <v>6984</v>
      </c>
      <c r="FSW13" t="s">
        <v>6984</v>
      </c>
      <c r="FSX13" t="s">
        <v>6984</v>
      </c>
      <c r="FSY13" t="s">
        <v>6984</v>
      </c>
      <c r="FSZ13" t="s">
        <v>6984</v>
      </c>
      <c r="FTA13" t="s">
        <v>6984</v>
      </c>
      <c r="FTB13" t="s">
        <v>6984</v>
      </c>
      <c r="FTC13" t="s">
        <v>6984</v>
      </c>
      <c r="FTD13" t="s">
        <v>6984</v>
      </c>
      <c r="FTE13" t="s">
        <v>6984</v>
      </c>
      <c r="FTF13" t="s">
        <v>6984</v>
      </c>
      <c r="FTG13" t="s">
        <v>6984</v>
      </c>
      <c r="FTH13" t="s">
        <v>6984</v>
      </c>
      <c r="FTI13" t="s">
        <v>6984</v>
      </c>
      <c r="FTJ13" t="s">
        <v>6984</v>
      </c>
      <c r="FTK13" t="s">
        <v>6984</v>
      </c>
      <c r="FTL13" t="s">
        <v>6984</v>
      </c>
      <c r="FTM13" t="s">
        <v>6984</v>
      </c>
      <c r="FTN13" t="s">
        <v>6984</v>
      </c>
      <c r="FTO13" t="s">
        <v>6984</v>
      </c>
      <c r="FTP13" t="s">
        <v>6984</v>
      </c>
      <c r="FTQ13" t="s">
        <v>6984</v>
      </c>
      <c r="FTR13" t="s">
        <v>6984</v>
      </c>
      <c r="FTS13" t="s">
        <v>6984</v>
      </c>
      <c r="FTT13" t="s">
        <v>6984</v>
      </c>
      <c r="FTU13" t="s">
        <v>6984</v>
      </c>
      <c r="FTV13" t="s">
        <v>6984</v>
      </c>
      <c r="FTW13" t="s">
        <v>6984</v>
      </c>
      <c r="FTX13" t="s">
        <v>6984</v>
      </c>
      <c r="FTY13" t="s">
        <v>6984</v>
      </c>
      <c r="FTZ13" t="s">
        <v>6984</v>
      </c>
      <c r="FUA13" t="s">
        <v>6984</v>
      </c>
      <c r="FUB13" t="s">
        <v>6984</v>
      </c>
      <c r="FUC13" t="s">
        <v>6984</v>
      </c>
      <c r="FUD13" t="s">
        <v>6984</v>
      </c>
      <c r="FUE13" t="s">
        <v>6984</v>
      </c>
      <c r="FUF13" t="s">
        <v>6984</v>
      </c>
      <c r="FUG13" t="s">
        <v>6984</v>
      </c>
      <c r="FUH13" t="s">
        <v>6984</v>
      </c>
      <c r="FUI13" t="s">
        <v>6984</v>
      </c>
      <c r="FUJ13" t="s">
        <v>6984</v>
      </c>
      <c r="FUK13" t="s">
        <v>6984</v>
      </c>
      <c r="FUL13" t="s">
        <v>6984</v>
      </c>
      <c r="FUM13" t="s">
        <v>6984</v>
      </c>
      <c r="FUN13" t="s">
        <v>6984</v>
      </c>
      <c r="FUO13" t="s">
        <v>6984</v>
      </c>
      <c r="FUP13" t="s">
        <v>6984</v>
      </c>
      <c r="FUQ13" t="s">
        <v>6984</v>
      </c>
      <c r="FUR13" t="s">
        <v>6984</v>
      </c>
      <c r="FUS13" t="s">
        <v>6984</v>
      </c>
      <c r="FUT13" t="s">
        <v>6984</v>
      </c>
      <c r="FUU13" t="s">
        <v>6984</v>
      </c>
      <c r="FUV13" t="s">
        <v>6984</v>
      </c>
      <c r="FUW13" t="s">
        <v>6984</v>
      </c>
      <c r="FUX13" t="s">
        <v>6984</v>
      </c>
      <c r="FUY13" t="s">
        <v>6984</v>
      </c>
      <c r="FUZ13" t="s">
        <v>6984</v>
      </c>
      <c r="FVA13" t="s">
        <v>6984</v>
      </c>
      <c r="FVB13" t="s">
        <v>6984</v>
      </c>
      <c r="FVC13" t="s">
        <v>6984</v>
      </c>
      <c r="FVD13" t="s">
        <v>6984</v>
      </c>
      <c r="FVE13" t="s">
        <v>6984</v>
      </c>
      <c r="FVF13" t="s">
        <v>6984</v>
      </c>
      <c r="FVG13" t="s">
        <v>6984</v>
      </c>
      <c r="FVH13" t="s">
        <v>6984</v>
      </c>
      <c r="FVI13" t="s">
        <v>6984</v>
      </c>
      <c r="FVJ13" t="s">
        <v>6984</v>
      </c>
      <c r="FVK13" t="s">
        <v>6984</v>
      </c>
      <c r="FVL13" t="s">
        <v>6984</v>
      </c>
      <c r="FVM13" t="s">
        <v>6984</v>
      </c>
      <c r="FVN13" t="s">
        <v>6984</v>
      </c>
      <c r="FVO13" t="s">
        <v>6984</v>
      </c>
      <c r="FVP13" t="s">
        <v>6984</v>
      </c>
      <c r="FVQ13" t="s">
        <v>6984</v>
      </c>
      <c r="FVR13" t="s">
        <v>6984</v>
      </c>
      <c r="FVS13" t="s">
        <v>6984</v>
      </c>
      <c r="FVT13" t="s">
        <v>6984</v>
      </c>
      <c r="FVU13" t="s">
        <v>6984</v>
      </c>
      <c r="FVV13" t="s">
        <v>6984</v>
      </c>
      <c r="FVW13" t="s">
        <v>6984</v>
      </c>
      <c r="FVX13" t="s">
        <v>6984</v>
      </c>
      <c r="FVY13" t="s">
        <v>6984</v>
      </c>
      <c r="FVZ13" t="s">
        <v>6984</v>
      </c>
      <c r="FWA13" t="s">
        <v>6984</v>
      </c>
      <c r="FWB13" t="s">
        <v>6984</v>
      </c>
      <c r="FWC13" t="s">
        <v>6984</v>
      </c>
      <c r="FWD13" t="s">
        <v>6984</v>
      </c>
      <c r="FWE13" t="s">
        <v>6984</v>
      </c>
      <c r="FWF13" t="s">
        <v>6984</v>
      </c>
      <c r="FWG13" t="s">
        <v>6984</v>
      </c>
      <c r="FWH13" t="s">
        <v>6984</v>
      </c>
      <c r="FWI13" t="s">
        <v>6984</v>
      </c>
      <c r="FWJ13" t="s">
        <v>6984</v>
      </c>
      <c r="FWK13" t="s">
        <v>6984</v>
      </c>
      <c r="FWL13" t="s">
        <v>6984</v>
      </c>
      <c r="FWM13" t="s">
        <v>6984</v>
      </c>
      <c r="FWN13" t="s">
        <v>6984</v>
      </c>
      <c r="FWO13" t="s">
        <v>6984</v>
      </c>
      <c r="FWP13" t="s">
        <v>6984</v>
      </c>
      <c r="FWQ13" t="s">
        <v>6984</v>
      </c>
      <c r="FWR13" t="s">
        <v>6984</v>
      </c>
      <c r="FWS13" t="s">
        <v>6984</v>
      </c>
      <c r="FWT13" t="s">
        <v>6984</v>
      </c>
      <c r="FWU13" t="s">
        <v>6984</v>
      </c>
      <c r="FWV13" t="s">
        <v>6984</v>
      </c>
      <c r="FWW13" t="s">
        <v>6984</v>
      </c>
      <c r="FWX13" t="s">
        <v>6984</v>
      </c>
      <c r="FWY13" t="s">
        <v>6984</v>
      </c>
      <c r="FWZ13" t="s">
        <v>6984</v>
      </c>
      <c r="FXA13" t="s">
        <v>6984</v>
      </c>
      <c r="FXB13" t="s">
        <v>6984</v>
      </c>
      <c r="FXC13" t="s">
        <v>6984</v>
      </c>
      <c r="FXD13" t="s">
        <v>6984</v>
      </c>
      <c r="FXE13" t="s">
        <v>6984</v>
      </c>
      <c r="FXF13" t="s">
        <v>6984</v>
      </c>
      <c r="FXG13" t="s">
        <v>6984</v>
      </c>
      <c r="FXH13" t="s">
        <v>6984</v>
      </c>
      <c r="FXI13" t="s">
        <v>6984</v>
      </c>
      <c r="FXJ13" t="s">
        <v>6984</v>
      </c>
      <c r="FXK13" t="s">
        <v>6984</v>
      </c>
      <c r="FXL13" t="s">
        <v>6984</v>
      </c>
      <c r="FXM13" t="s">
        <v>6984</v>
      </c>
      <c r="FXN13" t="s">
        <v>6984</v>
      </c>
      <c r="FXO13" t="s">
        <v>6984</v>
      </c>
      <c r="FXP13" t="s">
        <v>6984</v>
      </c>
      <c r="FXQ13" t="s">
        <v>6984</v>
      </c>
      <c r="FXR13" t="s">
        <v>6984</v>
      </c>
      <c r="FXS13" t="s">
        <v>6984</v>
      </c>
      <c r="FXT13" t="s">
        <v>6984</v>
      </c>
      <c r="FXU13" t="s">
        <v>6984</v>
      </c>
      <c r="FXV13" t="s">
        <v>6984</v>
      </c>
      <c r="FXW13" t="s">
        <v>6984</v>
      </c>
      <c r="FXX13" t="s">
        <v>6984</v>
      </c>
      <c r="FXY13" t="s">
        <v>6984</v>
      </c>
      <c r="FXZ13" t="s">
        <v>6984</v>
      </c>
      <c r="FYA13" t="s">
        <v>6984</v>
      </c>
      <c r="FYB13" t="s">
        <v>6984</v>
      </c>
      <c r="FYC13" t="s">
        <v>6984</v>
      </c>
      <c r="FYD13" t="s">
        <v>6984</v>
      </c>
      <c r="FYE13" t="s">
        <v>6984</v>
      </c>
      <c r="FYF13" t="s">
        <v>6984</v>
      </c>
      <c r="FYG13" t="s">
        <v>6984</v>
      </c>
      <c r="FYH13" t="s">
        <v>6984</v>
      </c>
      <c r="FYI13" t="s">
        <v>6984</v>
      </c>
      <c r="FYJ13" t="s">
        <v>6984</v>
      </c>
      <c r="FYK13" t="s">
        <v>6984</v>
      </c>
      <c r="FYL13" t="s">
        <v>6984</v>
      </c>
      <c r="FYM13" t="s">
        <v>6984</v>
      </c>
      <c r="FYN13" t="s">
        <v>6984</v>
      </c>
      <c r="FYO13" t="s">
        <v>6984</v>
      </c>
      <c r="FYP13" t="s">
        <v>6984</v>
      </c>
      <c r="FYQ13" t="s">
        <v>6984</v>
      </c>
      <c r="FYR13" t="s">
        <v>6984</v>
      </c>
      <c r="FYS13" t="s">
        <v>6984</v>
      </c>
      <c r="FYT13" t="s">
        <v>6984</v>
      </c>
      <c r="FYU13" t="s">
        <v>6984</v>
      </c>
      <c r="FYV13" t="s">
        <v>6984</v>
      </c>
      <c r="FYW13" t="s">
        <v>6984</v>
      </c>
      <c r="FYX13" t="s">
        <v>6984</v>
      </c>
      <c r="FYY13" t="s">
        <v>6984</v>
      </c>
      <c r="FYZ13" t="s">
        <v>6984</v>
      </c>
      <c r="FZA13" t="s">
        <v>6984</v>
      </c>
      <c r="FZB13" t="s">
        <v>6984</v>
      </c>
      <c r="FZC13" t="s">
        <v>6984</v>
      </c>
      <c r="FZD13" t="s">
        <v>6984</v>
      </c>
      <c r="FZE13" t="s">
        <v>6984</v>
      </c>
      <c r="FZF13" t="s">
        <v>6984</v>
      </c>
      <c r="FZG13" t="s">
        <v>6984</v>
      </c>
      <c r="FZH13" t="s">
        <v>6984</v>
      </c>
      <c r="FZI13" t="s">
        <v>6984</v>
      </c>
      <c r="FZJ13" t="s">
        <v>6984</v>
      </c>
      <c r="FZK13" t="s">
        <v>6984</v>
      </c>
      <c r="FZL13" t="s">
        <v>6984</v>
      </c>
      <c r="FZM13" t="s">
        <v>6984</v>
      </c>
      <c r="FZN13" t="s">
        <v>6984</v>
      </c>
      <c r="FZO13" t="s">
        <v>6984</v>
      </c>
      <c r="FZP13" t="s">
        <v>6984</v>
      </c>
      <c r="FZQ13" t="s">
        <v>6984</v>
      </c>
      <c r="FZR13" t="s">
        <v>6984</v>
      </c>
      <c r="FZS13" t="s">
        <v>6984</v>
      </c>
      <c r="FZT13" t="s">
        <v>6984</v>
      </c>
      <c r="FZU13" t="s">
        <v>6984</v>
      </c>
      <c r="FZV13" t="s">
        <v>6984</v>
      </c>
      <c r="FZW13" t="s">
        <v>6984</v>
      </c>
      <c r="FZX13" t="s">
        <v>6984</v>
      </c>
      <c r="FZY13" t="s">
        <v>6984</v>
      </c>
      <c r="FZZ13" t="s">
        <v>6984</v>
      </c>
      <c r="GAA13" t="s">
        <v>6984</v>
      </c>
      <c r="GAB13" t="s">
        <v>6984</v>
      </c>
      <c r="GAC13" t="s">
        <v>6984</v>
      </c>
      <c r="GAD13" t="s">
        <v>6984</v>
      </c>
      <c r="GAE13" t="s">
        <v>6984</v>
      </c>
      <c r="GAF13" t="s">
        <v>6984</v>
      </c>
      <c r="GAG13" t="s">
        <v>6984</v>
      </c>
      <c r="GAH13" t="s">
        <v>6984</v>
      </c>
      <c r="GAI13" t="s">
        <v>6984</v>
      </c>
      <c r="GAJ13" t="s">
        <v>6984</v>
      </c>
      <c r="GAK13" t="s">
        <v>6984</v>
      </c>
      <c r="GAL13" t="s">
        <v>6984</v>
      </c>
      <c r="GAM13" t="s">
        <v>6984</v>
      </c>
      <c r="GAN13" t="s">
        <v>6984</v>
      </c>
      <c r="GAO13" t="s">
        <v>6984</v>
      </c>
      <c r="GAP13" t="s">
        <v>6984</v>
      </c>
      <c r="GAQ13" t="s">
        <v>6984</v>
      </c>
      <c r="GAR13" t="s">
        <v>6984</v>
      </c>
      <c r="GAS13" t="s">
        <v>6984</v>
      </c>
      <c r="GAT13" t="s">
        <v>6984</v>
      </c>
      <c r="GAU13" t="s">
        <v>6984</v>
      </c>
      <c r="GAV13" t="s">
        <v>6984</v>
      </c>
      <c r="GAW13" t="s">
        <v>6984</v>
      </c>
      <c r="GAX13" t="s">
        <v>6984</v>
      </c>
      <c r="GAY13" t="s">
        <v>6984</v>
      </c>
      <c r="GAZ13" t="s">
        <v>6984</v>
      </c>
      <c r="GBA13" t="s">
        <v>6984</v>
      </c>
      <c r="GBB13" t="s">
        <v>6984</v>
      </c>
      <c r="GBC13" t="s">
        <v>6984</v>
      </c>
      <c r="GBD13" t="s">
        <v>6984</v>
      </c>
      <c r="GBE13" t="s">
        <v>6984</v>
      </c>
      <c r="GBF13" t="s">
        <v>6984</v>
      </c>
      <c r="GBG13" t="s">
        <v>6984</v>
      </c>
      <c r="GBH13" t="s">
        <v>6984</v>
      </c>
      <c r="GBI13" t="s">
        <v>6984</v>
      </c>
      <c r="GBJ13" t="s">
        <v>6984</v>
      </c>
      <c r="GBK13" t="s">
        <v>6984</v>
      </c>
      <c r="GBL13" t="s">
        <v>6984</v>
      </c>
      <c r="GBM13" t="s">
        <v>6984</v>
      </c>
      <c r="GBN13" t="s">
        <v>6984</v>
      </c>
      <c r="GBO13" t="s">
        <v>6984</v>
      </c>
      <c r="GBP13" t="s">
        <v>6984</v>
      </c>
      <c r="GBQ13" t="s">
        <v>6984</v>
      </c>
      <c r="GBR13" t="s">
        <v>6984</v>
      </c>
      <c r="GBS13" t="s">
        <v>6984</v>
      </c>
      <c r="GBT13" t="s">
        <v>6984</v>
      </c>
      <c r="GBU13" t="s">
        <v>6984</v>
      </c>
      <c r="GBV13" t="s">
        <v>6984</v>
      </c>
      <c r="GBW13" t="s">
        <v>6984</v>
      </c>
      <c r="GBX13" t="s">
        <v>6984</v>
      </c>
      <c r="GBY13" t="s">
        <v>6984</v>
      </c>
      <c r="GBZ13" t="s">
        <v>6984</v>
      </c>
      <c r="GCA13" t="s">
        <v>6984</v>
      </c>
      <c r="GCB13" t="s">
        <v>6984</v>
      </c>
      <c r="GCC13" t="s">
        <v>6984</v>
      </c>
      <c r="GCD13" t="s">
        <v>6984</v>
      </c>
      <c r="GCE13" t="s">
        <v>6984</v>
      </c>
      <c r="GCF13" t="s">
        <v>6984</v>
      </c>
      <c r="GCG13" t="s">
        <v>6984</v>
      </c>
      <c r="GCH13" t="s">
        <v>6984</v>
      </c>
      <c r="GCI13" t="s">
        <v>6984</v>
      </c>
      <c r="GCJ13" t="s">
        <v>6984</v>
      </c>
      <c r="GCK13" t="s">
        <v>6984</v>
      </c>
      <c r="GCL13" t="s">
        <v>6984</v>
      </c>
      <c r="GCM13" t="s">
        <v>6984</v>
      </c>
      <c r="GCN13" t="s">
        <v>6984</v>
      </c>
      <c r="GCO13" t="s">
        <v>6984</v>
      </c>
      <c r="GCP13" t="s">
        <v>6984</v>
      </c>
      <c r="GCQ13" t="s">
        <v>6984</v>
      </c>
      <c r="GCR13" t="s">
        <v>6984</v>
      </c>
      <c r="GCS13" t="s">
        <v>6984</v>
      </c>
      <c r="GCT13" t="s">
        <v>6984</v>
      </c>
      <c r="GCU13" t="s">
        <v>6984</v>
      </c>
      <c r="GCV13" t="s">
        <v>6984</v>
      </c>
      <c r="GCW13" t="s">
        <v>6984</v>
      </c>
      <c r="GCX13" t="s">
        <v>6984</v>
      </c>
      <c r="GCY13" t="s">
        <v>6984</v>
      </c>
      <c r="GCZ13" t="s">
        <v>6984</v>
      </c>
      <c r="GDA13" t="s">
        <v>6984</v>
      </c>
      <c r="GDB13" t="s">
        <v>6984</v>
      </c>
      <c r="GDC13" t="s">
        <v>6984</v>
      </c>
      <c r="GDD13" t="s">
        <v>6984</v>
      </c>
      <c r="GDE13" t="s">
        <v>6984</v>
      </c>
      <c r="GDF13" t="s">
        <v>6984</v>
      </c>
      <c r="GDG13" t="s">
        <v>6984</v>
      </c>
      <c r="GDH13" t="s">
        <v>6984</v>
      </c>
      <c r="GDI13" t="s">
        <v>6984</v>
      </c>
      <c r="GDJ13" t="s">
        <v>6984</v>
      </c>
      <c r="GDK13" t="s">
        <v>6984</v>
      </c>
      <c r="GDL13" t="s">
        <v>6984</v>
      </c>
      <c r="GDM13" t="s">
        <v>6984</v>
      </c>
      <c r="GDN13" t="s">
        <v>6984</v>
      </c>
      <c r="GDO13" t="s">
        <v>6984</v>
      </c>
      <c r="GDP13" t="s">
        <v>6984</v>
      </c>
      <c r="GDQ13" t="s">
        <v>6984</v>
      </c>
      <c r="GDR13" t="s">
        <v>6984</v>
      </c>
      <c r="GDS13" t="s">
        <v>6984</v>
      </c>
      <c r="GDT13" t="s">
        <v>6984</v>
      </c>
      <c r="GDU13" t="s">
        <v>6984</v>
      </c>
      <c r="GDV13" t="s">
        <v>6984</v>
      </c>
      <c r="GDW13" t="s">
        <v>6984</v>
      </c>
      <c r="GDX13" t="s">
        <v>6984</v>
      </c>
      <c r="GDY13" t="s">
        <v>6984</v>
      </c>
      <c r="GDZ13" t="s">
        <v>6984</v>
      </c>
      <c r="GEA13" t="s">
        <v>6984</v>
      </c>
      <c r="GEB13" t="s">
        <v>6984</v>
      </c>
      <c r="GEC13" t="s">
        <v>6984</v>
      </c>
      <c r="GED13" t="s">
        <v>6984</v>
      </c>
      <c r="GEE13" t="s">
        <v>6984</v>
      </c>
      <c r="GEF13" t="s">
        <v>6984</v>
      </c>
      <c r="GEG13" t="s">
        <v>6984</v>
      </c>
      <c r="GEH13" t="s">
        <v>6984</v>
      </c>
      <c r="GEI13" t="s">
        <v>6984</v>
      </c>
      <c r="GEJ13" t="s">
        <v>6984</v>
      </c>
      <c r="GEK13" t="s">
        <v>6984</v>
      </c>
      <c r="GEL13" t="s">
        <v>6984</v>
      </c>
      <c r="GEM13" t="s">
        <v>6984</v>
      </c>
      <c r="GEN13" t="s">
        <v>6984</v>
      </c>
      <c r="GEO13" t="s">
        <v>6984</v>
      </c>
      <c r="GEP13" t="s">
        <v>6984</v>
      </c>
      <c r="GEQ13" t="s">
        <v>6984</v>
      </c>
      <c r="GER13" t="s">
        <v>6984</v>
      </c>
      <c r="GES13" t="s">
        <v>6984</v>
      </c>
      <c r="GET13" t="s">
        <v>6984</v>
      </c>
      <c r="GEU13" t="s">
        <v>6984</v>
      </c>
      <c r="GEV13" t="s">
        <v>6984</v>
      </c>
      <c r="GEW13" t="s">
        <v>6984</v>
      </c>
      <c r="GEX13" t="s">
        <v>6984</v>
      </c>
      <c r="GEY13" t="s">
        <v>6984</v>
      </c>
      <c r="GEZ13" t="s">
        <v>6984</v>
      </c>
      <c r="GFA13" t="s">
        <v>6984</v>
      </c>
      <c r="GFB13" t="s">
        <v>6984</v>
      </c>
      <c r="GFC13" t="s">
        <v>6984</v>
      </c>
      <c r="GFD13" t="s">
        <v>6984</v>
      </c>
      <c r="GFE13" t="s">
        <v>6984</v>
      </c>
      <c r="GFF13" t="s">
        <v>6984</v>
      </c>
      <c r="GFG13" t="s">
        <v>6984</v>
      </c>
      <c r="GFH13" t="s">
        <v>6984</v>
      </c>
      <c r="GFI13" t="s">
        <v>6984</v>
      </c>
      <c r="GFJ13" t="s">
        <v>6984</v>
      </c>
      <c r="GFK13" t="s">
        <v>6984</v>
      </c>
      <c r="GFL13" t="s">
        <v>6984</v>
      </c>
      <c r="GFM13" t="s">
        <v>6984</v>
      </c>
      <c r="GFN13" t="s">
        <v>6984</v>
      </c>
      <c r="GFO13" t="s">
        <v>6984</v>
      </c>
      <c r="GFP13" t="s">
        <v>6984</v>
      </c>
      <c r="GFQ13" t="s">
        <v>6984</v>
      </c>
      <c r="GFR13" t="s">
        <v>6984</v>
      </c>
      <c r="GFS13" t="s">
        <v>6984</v>
      </c>
      <c r="GFT13" t="s">
        <v>6984</v>
      </c>
      <c r="GFU13" t="s">
        <v>6984</v>
      </c>
      <c r="GFV13" t="s">
        <v>6984</v>
      </c>
      <c r="GFW13" t="s">
        <v>6984</v>
      </c>
      <c r="GFX13" t="s">
        <v>6984</v>
      </c>
      <c r="GFY13" t="s">
        <v>6984</v>
      </c>
      <c r="GFZ13" t="s">
        <v>6984</v>
      </c>
      <c r="GGA13" t="s">
        <v>6984</v>
      </c>
      <c r="GGB13" t="s">
        <v>6984</v>
      </c>
      <c r="GGC13" t="s">
        <v>6984</v>
      </c>
      <c r="GGD13" t="s">
        <v>6984</v>
      </c>
      <c r="GGE13" t="s">
        <v>6984</v>
      </c>
      <c r="GGF13" t="s">
        <v>6984</v>
      </c>
      <c r="GGG13" t="s">
        <v>6984</v>
      </c>
      <c r="GGH13" t="s">
        <v>6984</v>
      </c>
      <c r="GGI13" t="s">
        <v>6984</v>
      </c>
      <c r="GGJ13" t="s">
        <v>6984</v>
      </c>
      <c r="GGK13" t="s">
        <v>6984</v>
      </c>
      <c r="GGL13" t="s">
        <v>6984</v>
      </c>
      <c r="GGM13" t="s">
        <v>6984</v>
      </c>
      <c r="GGN13" t="s">
        <v>6984</v>
      </c>
      <c r="GGO13" t="s">
        <v>6984</v>
      </c>
      <c r="GGP13" t="s">
        <v>6984</v>
      </c>
      <c r="GGQ13" t="s">
        <v>6984</v>
      </c>
      <c r="GGR13" t="s">
        <v>6984</v>
      </c>
      <c r="GGS13" t="s">
        <v>6984</v>
      </c>
      <c r="GGT13" t="s">
        <v>6984</v>
      </c>
      <c r="GGU13" t="s">
        <v>6984</v>
      </c>
      <c r="GGV13" t="s">
        <v>6984</v>
      </c>
      <c r="GGW13" t="s">
        <v>6984</v>
      </c>
      <c r="GGX13" t="s">
        <v>6984</v>
      </c>
      <c r="GGY13" t="s">
        <v>6984</v>
      </c>
      <c r="GGZ13" t="s">
        <v>6984</v>
      </c>
      <c r="GHA13" t="s">
        <v>6984</v>
      </c>
      <c r="GHB13" t="s">
        <v>6984</v>
      </c>
      <c r="GHC13" t="s">
        <v>6984</v>
      </c>
      <c r="GHD13" t="s">
        <v>6984</v>
      </c>
      <c r="GHE13" t="s">
        <v>6984</v>
      </c>
      <c r="GHF13" t="s">
        <v>6984</v>
      </c>
      <c r="GHG13" t="s">
        <v>6984</v>
      </c>
      <c r="GHH13" t="s">
        <v>6984</v>
      </c>
      <c r="GHI13" t="s">
        <v>6984</v>
      </c>
      <c r="GHJ13" t="s">
        <v>6984</v>
      </c>
      <c r="GHK13" t="s">
        <v>6984</v>
      </c>
      <c r="GHL13" t="s">
        <v>6984</v>
      </c>
      <c r="GHM13" t="s">
        <v>6984</v>
      </c>
      <c r="GHN13" t="s">
        <v>6984</v>
      </c>
      <c r="GHO13" t="s">
        <v>6984</v>
      </c>
      <c r="GHP13" t="s">
        <v>6984</v>
      </c>
      <c r="GHQ13" t="s">
        <v>6984</v>
      </c>
      <c r="GHR13" t="s">
        <v>6984</v>
      </c>
      <c r="GHS13" t="s">
        <v>6984</v>
      </c>
      <c r="GHT13" t="s">
        <v>6984</v>
      </c>
      <c r="GHU13" t="s">
        <v>6984</v>
      </c>
      <c r="GHV13" t="s">
        <v>6984</v>
      </c>
      <c r="GHW13" t="s">
        <v>6984</v>
      </c>
      <c r="GHX13" t="s">
        <v>6984</v>
      </c>
      <c r="GHY13" t="s">
        <v>6984</v>
      </c>
      <c r="GHZ13" t="s">
        <v>6984</v>
      </c>
      <c r="GIA13" t="s">
        <v>6984</v>
      </c>
      <c r="GIB13" t="s">
        <v>6984</v>
      </c>
      <c r="GIC13" t="s">
        <v>6984</v>
      </c>
      <c r="GID13" t="s">
        <v>6984</v>
      </c>
      <c r="GIE13" t="s">
        <v>6984</v>
      </c>
      <c r="GIF13" t="s">
        <v>6984</v>
      </c>
      <c r="GIG13" t="s">
        <v>6984</v>
      </c>
      <c r="GIH13" t="s">
        <v>6984</v>
      </c>
      <c r="GII13" t="s">
        <v>6984</v>
      </c>
      <c r="GIJ13" t="s">
        <v>6984</v>
      </c>
      <c r="GIK13" t="s">
        <v>6984</v>
      </c>
      <c r="GIL13" t="s">
        <v>6984</v>
      </c>
      <c r="GIM13" t="s">
        <v>6984</v>
      </c>
      <c r="GIN13" t="s">
        <v>6984</v>
      </c>
      <c r="GIO13" t="s">
        <v>6984</v>
      </c>
      <c r="GIP13" t="s">
        <v>6984</v>
      </c>
      <c r="GIQ13" t="s">
        <v>6984</v>
      </c>
      <c r="GIR13" t="s">
        <v>6984</v>
      </c>
      <c r="GIS13" t="s">
        <v>6984</v>
      </c>
      <c r="GIT13" t="s">
        <v>6984</v>
      </c>
      <c r="GIU13" t="s">
        <v>6984</v>
      </c>
      <c r="GIV13" t="s">
        <v>6984</v>
      </c>
      <c r="GIW13" t="s">
        <v>6984</v>
      </c>
      <c r="GIX13" t="s">
        <v>6984</v>
      </c>
      <c r="GIY13" t="s">
        <v>6984</v>
      </c>
      <c r="GIZ13" t="s">
        <v>6984</v>
      </c>
      <c r="GJA13" t="s">
        <v>6984</v>
      </c>
      <c r="GJB13" t="s">
        <v>6984</v>
      </c>
      <c r="GJC13" t="s">
        <v>6984</v>
      </c>
      <c r="GJD13" t="s">
        <v>6984</v>
      </c>
      <c r="GJE13" t="s">
        <v>6984</v>
      </c>
      <c r="GJF13" t="s">
        <v>6984</v>
      </c>
      <c r="GJG13" t="s">
        <v>6984</v>
      </c>
      <c r="GJH13" t="s">
        <v>6984</v>
      </c>
      <c r="GJI13" t="s">
        <v>6984</v>
      </c>
      <c r="GJJ13" t="s">
        <v>6984</v>
      </c>
      <c r="GJK13" t="s">
        <v>6984</v>
      </c>
      <c r="GJL13" t="s">
        <v>6984</v>
      </c>
      <c r="GJM13" t="s">
        <v>6984</v>
      </c>
      <c r="GJN13" t="s">
        <v>6984</v>
      </c>
      <c r="GJO13" t="s">
        <v>6984</v>
      </c>
      <c r="GJP13" t="s">
        <v>6984</v>
      </c>
      <c r="GJQ13" t="s">
        <v>6984</v>
      </c>
      <c r="GJR13" t="s">
        <v>6984</v>
      </c>
      <c r="GJS13" t="s">
        <v>6984</v>
      </c>
      <c r="GJT13" t="s">
        <v>6984</v>
      </c>
      <c r="GJU13" t="s">
        <v>6984</v>
      </c>
      <c r="GJV13" t="s">
        <v>6984</v>
      </c>
      <c r="GJW13" t="s">
        <v>6984</v>
      </c>
      <c r="GJX13" t="s">
        <v>6984</v>
      </c>
      <c r="GJY13" t="s">
        <v>6984</v>
      </c>
      <c r="GJZ13" t="s">
        <v>6984</v>
      </c>
      <c r="GKA13" t="s">
        <v>6984</v>
      </c>
      <c r="GKB13" t="s">
        <v>6984</v>
      </c>
      <c r="GKC13" t="s">
        <v>6984</v>
      </c>
      <c r="GKD13" t="s">
        <v>6984</v>
      </c>
      <c r="GKE13" t="s">
        <v>6984</v>
      </c>
      <c r="GKF13" t="s">
        <v>6984</v>
      </c>
      <c r="GKG13" t="s">
        <v>6984</v>
      </c>
      <c r="GKH13" t="s">
        <v>6984</v>
      </c>
      <c r="GKI13" t="s">
        <v>6984</v>
      </c>
      <c r="GKJ13" t="s">
        <v>6984</v>
      </c>
      <c r="GKK13" t="s">
        <v>6984</v>
      </c>
      <c r="GKL13" t="s">
        <v>6984</v>
      </c>
      <c r="GKM13" t="s">
        <v>6984</v>
      </c>
      <c r="GKN13" t="s">
        <v>6984</v>
      </c>
      <c r="GKO13" t="s">
        <v>6984</v>
      </c>
      <c r="GKP13" t="s">
        <v>6984</v>
      </c>
      <c r="GKQ13" t="s">
        <v>6984</v>
      </c>
      <c r="GKR13" t="s">
        <v>6984</v>
      </c>
      <c r="GKS13" t="s">
        <v>6984</v>
      </c>
      <c r="GKT13" t="s">
        <v>6984</v>
      </c>
      <c r="GKU13" t="s">
        <v>6984</v>
      </c>
      <c r="GKV13" t="s">
        <v>6984</v>
      </c>
      <c r="GKW13" t="s">
        <v>6984</v>
      </c>
      <c r="GKX13" t="s">
        <v>6984</v>
      </c>
      <c r="GKY13" t="s">
        <v>6984</v>
      </c>
      <c r="GKZ13" t="s">
        <v>6984</v>
      </c>
      <c r="GLA13" t="s">
        <v>6984</v>
      </c>
      <c r="GLB13" t="s">
        <v>6984</v>
      </c>
      <c r="GLC13" t="s">
        <v>6984</v>
      </c>
      <c r="GLD13" t="s">
        <v>6984</v>
      </c>
      <c r="GLE13" t="s">
        <v>6984</v>
      </c>
      <c r="GLF13" t="s">
        <v>6984</v>
      </c>
      <c r="GLG13" t="s">
        <v>6984</v>
      </c>
      <c r="GLH13" t="s">
        <v>6984</v>
      </c>
      <c r="GLI13" t="s">
        <v>6984</v>
      </c>
      <c r="GLJ13" t="s">
        <v>6984</v>
      </c>
      <c r="GLK13" t="s">
        <v>6984</v>
      </c>
      <c r="GLL13" t="s">
        <v>6984</v>
      </c>
      <c r="GLM13" t="s">
        <v>6984</v>
      </c>
      <c r="GLN13" t="s">
        <v>6984</v>
      </c>
      <c r="GLO13" t="s">
        <v>6984</v>
      </c>
      <c r="GLP13" t="s">
        <v>6984</v>
      </c>
      <c r="GLQ13" t="s">
        <v>6984</v>
      </c>
      <c r="GLR13" t="s">
        <v>6984</v>
      </c>
      <c r="GLS13" t="s">
        <v>6984</v>
      </c>
      <c r="GLT13" t="s">
        <v>6984</v>
      </c>
      <c r="GLU13" t="s">
        <v>6984</v>
      </c>
      <c r="GLV13" t="s">
        <v>6984</v>
      </c>
      <c r="GLW13" t="s">
        <v>6984</v>
      </c>
      <c r="GLX13" t="s">
        <v>6984</v>
      </c>
      <c r="GLY13" t="s">
        <v>6984</v>
      </c>
      <c r="GLZ13" t="s">
        <v>6984</v>
      </c>
      <c r="GMA13" t="s">
        <v>6984</v>
      </c>
      <c r="GMB13" t="s">
        <v>6984</v>
      </c>
      <c r="GMC13" t="s">
        <v>6984</v>
      </c>
      <c r="GMD13" t="s">
        <v>6984</v>
      </c>
      <c r="GME13" t="s">
        <v>6984</v>
      </c>
      <c r="GMF13" t="s">
        <v>6984</v>
      </c>
      <c r="GMG13" t="s">
        <v>6984</v>
      </c>
      <c r="GMH13" t="s">
        <v>6984</v>
      </c>
      <c r="GMI13" t="s">
        <v>6984</v>
      </c>
      <c r="GMJ13" t="s">
        <v>6984</v>
      </c>
      <c r="GMK13" t="s">
        <v>6984</v>
      </c>
      <c r="GML13" t="s">
        <v>6984</v>
      </c>
      <c r="GMM13" t="s">
        <v>6984</v>
      </c>
      <c r="GMN13" t="s">
        <v>6984</v>
      </c>
      <c r="GMO13" t="s">
        <v>6984</v>
      </c>
      <c r="GMP13" t="s">
        <v>6984</v>
      </c>
      <c r="GMQ13" t="s">
        <v>6984</v>
      </c>
      <c r="GMR13" t="s">
        <v>6984</v>
      </c>
      <c r="GMS13" t="s">
        <v>6984</v>
      </c>
      <c r="GMT13" t="s">
        <v>6984</v>
      </c>
      <c r="GMU13" t="s">
        <v>6984</v>
      </c>
      <c r="GMV13" t="s">
        <v>6984</v>
      </c>
      <c r="GMW13" t="s">
        <v>6984</v>
      </c>
      <c r="GMX13" t="s">
        <v>6984</v>
      </c>
      <c r="GMY13" t="s">
        <v>6984</v>
      </c>
      <c r="GMZ13" t="s">
        <v>6984</v>
      </c>
      <c r="GNA13" t="s">
        <v>6984</v>
      </c>
      <c r="GNB13" t="s">
        <v>6984</v>
      </c>
      <c r="GNC13" t="s">
        <v>6984</v>
      </c>
      <c r="GND13" t="s">
        <v>6984</v>
      </c>
      <c r="GNE13" t="s">
        <v>6984</v>
      </c>
      <c r="GNF13" t="s">
        <v>6984</v>
      </c>
      <c r="GNG13" t="s">
        <v>6984</v>
      </c>
      <c r="GNH13" t="s">
        <v>6984</v>
      </c>
      <c r="GNI13" t="s">
        <v>6984</v>
      </c>
      <c r="GNJ13" t="s">
        <v>6984</v>
      </c>
      <c r="GNK13" t="s">
        <v>6984</v>
      </c>
      <c r="GNL13" t="s">
        <v>6984</v>
      </c>
      <c r="GNM13" t="s">
        <v>6984</v>
      </c>
      <c r="GNN13" t="s">
        <v>6984</v>
      </c>
      <c r="GNO13" t="s">
        <v>6984</v>
      </c>
      <c r="GNP13" t="s">
        <v>6984</v>
      </c>
      <c r="GNQ13" t="s">
        <v>6984</v>
      </c>
      <c r="GNR13" t="s">
        <v>6984</v>
      </c>
      <c r="GNS13" t="s">
        <v>6984</v>
      </c>
      <c r="GNT13" t="s">
        <v>6984</v>
      </c>
      <c r="GNU13" t="s">
        <v>6984</v>
      </c>
      <c r="GNV13" t="s">
        <v>6984</v>
      </c>
      <c r="GNW13" t="s">
        <v>6984</v>
      </c>
      <c r="GNX13" t="s">
        <v>6984</v>
      </c>
      <c r="GNY13" t="s">
        <v>6984</v>
      </c>
      <c r="GNZ13" t="s">
        <v>6984</v>
      </c>
      <c r="GOA13" t="s">
        <v>6984</v>
      </c>
      <c r="GOB13" t="s">
        <v>6984</v>
      </c>
      <c r="GOC13" t="s">
        <v>6984</v>
      </c>
      <c r="GOD13" t="s">
        <v>6984</v>
      </c>
      <c r="GOE13" t="s">
        <v>6984</v>
      </c>
      <c r="GOF13" t="s">
        <v>6984</v>
      </c>
      <c r="GOG13" t="s">
        <v>6984</v>
      </c>
      <c r="GOH13" t="s">
        <v>6984</v>
      </c>
      <c r="GOI13" t="s">
        <v>6984</v>
      </c>
      <c r="GOJ13" t="s">
        <v>6984</v>
      </c>
      <c r="GOK13" t="s">
        <v>6984</v>
      </c>
      <c r="GOL13" t="s">
        <v>6984</v>
      </c>
      <c r="GOM13" t="s">
        <v>6984</v>
      </c>
      <c r="GON13" t="s">
        <v>6984</v>
      </c>
      <c r="GOO13" t="s">
        <v>6984</v>
      </c>
      <c r="GOP13" t="s">
        <v>6984</v>
      </c>
      <c r="GOQ13" t="s">
        <v>6984</v>
      </c>
      <c r="GOR13" t="s">
        <v>6984</v>
      </c>
      <c r="GOS13" t="s">
        <v>6984</v>
      </c>
      <c r="GOT13" t="s">
        <v>6984</v>
      </c>
      <c r="GOU13" t="s">
        <v>6984</v>
      </c>
      <c r="GOV13" t="s">
        <v>6984</v>
      </c>
      <c r="GOW13" t="s">
        <v>6984</v>
      </c>
      <c r="GOX13" t="s">
        <v>6984</v>
      </c>
      <c r="GOY13" t="s">
        <v>6984</v>
      </c>
      <c r="GOZ13" t="s">
        <v>6984</v>
      </c>
      <c r="GPA13" t="s">
        <v>6984</v>
      </c>
      <c r="GPB13" t="s">
        <v>6984</v>
      </c>
      <c r="GPC13" t="s">
        <v>6984</v>
      </c>
      <c r="GPD13" t="s">
        <v>6984</v>
      </c>
      <c r="GPE13" t="s">
        <v>6984</v>
      </c>
      <c r="GPF13" t="s">
        <v>6984</v>
      </c>
      <c r="GPG13" t="s">
        <v>6984</v>
      </c>
      <c r="GPH13" t="s">
        <v>6984</v>
      </c>
      <c r="GPI13" t="s">
        <v>6984</v>
      </c>
      <c r="GPJ13" t="s">
        <v>6984</v>
      </c>
      <c r="GPK13" t="s">
        <v>6984</v>
      </c>
      <c r="GPL13" t="s">
        <v>6984</v>
      </c>
      <c r="GPM13" t="s">
        <v>6984</v>
      </c>
      <c r="GPN13" t="s">
        <v>6984</v>
      </c>
      <c r="GPO13" t="s">
        <v>6984</v>
      </c>
      <c r="GPP13" t="s">
        <v>6984</v>
      </c>
      <c r="GPQ13" t="s">
        <v>6984</v>
      </c>
      <c r="GPR13" t="s">
        <v>6984</v>
      </c>
      <c r="GPS13" t="s">
        <v>6984</v>
      </c>
      <c r="GPT13" t="s">
        <v>6984</v>
      </c>
      <c r="GPU13" t="s">
        <v>6984</v>
      </c>
      <c r="GPV13" t="s">
        <v>6984</v>
      </c>
      <c r="GPW13" t="s">
        <v>6984</v>
      </c>
      <c r="GPX13" t="s">
        <v>6984</v>
      </c>
      <c r="GPY13" t="s">
        <v>6984</v>
      </c>
      <c r="GPZ13" t="s">
        <v>6984</v>
      </c>
      <c r="GQA13" t="s">
        <v>6984</v>
      </c>
      <c r="GQB13" t="s">
        <v>6984</v>
      </c>
      <c r="GQC13" t="s">
        <v>6984</v>
      </c>
      <c r="GQD13" t="s">
        <v>6984</v>
      </c>
      <c r="GQE13" t="s">
        <v>6984</v>
      </c>
      <c r="GQF13" t="s">
        <v>6984</v>
      </c>
      <c r="GQG13" t="s">
        <v>6984</v>
      </c>
      <c r="GQH13" t="s">
        <v>6984</v>
      </c>
      <c r="GQI13" t="s">
        <v>6984</v>
      </c>
      <c r="GQJ13" t="s">
        <v>6984</v>
      </c>
      <c r="GQK13" t="s">
        <v>6984</v>
      </c>
      <c r="GQL13" t="s">
        <v>6984</v>
      </c>
      <c r="GQM13" t="s">
        <v>6984</v>
      </c>
      <c r="GQN13" t="s">
        <v>6984</v>
      </c>
      <c r="GQO13" t="s">
        <v>6984</v>
      </c>
      <c r="GQP13" t="s">
        <v>6984</v>
      </c>
      <c r="GQQ13" t="s">
        <v>6984</v>
      </c>
      <c r="GQR13" t="s">
        <v>6984</v>
      </c>
      <c r="GQS13" t="s">
        <v>6984</v>
      </c>
      <c r="GQT13" t="s">
        <v>6984</v>
      </c>
      <c r="GQU13" t="s">
        <v>6984</v>
      </c>
      <c r="GQV13" t="s">
        <v>6984</v>
      </c>
      <c r="GQW13" t="s">
        <v>6984</v>
      </c>
      <c r="GQX13" t="s">
        <v>6984</v>
      </c>
      <c r="GQY13" t="s">
        <v>6984</v>
      </c>
      <c r="GQZ13" t="s">
        <v>6984</v>
      </c>
      <c r="GRA13" t="s">
        <v>6984</v>
      </c>
      <c r="GRB13" t="s">
        <v>6984</v>
      </c>
      <c r="GRC13" t="s">
        <v>6984</v>
      </c>
      <c r="GRD13" t="s">
        <v>6984</v>
      </c>
      <c r="GRE13" t="s">
        <v>6984</v>
      </c>
      <c r="GRF13" t="s">
        <v>6984</v>
      </c>
      <c r="GRG13" t="s">
        <v>6984</v>
      </c>
      <c r="GRH13" t="s">
        <v>6984</v>
      </c>
      <c r="GRI13" t="s">
        <v>6984</v>
      </c>
      <c r="GRJ13" t="s">
        <v>6984</v>
      </c>
      <c r="GRK13" t="s">
        <v>6984</v>
      </c>
      <c r="GRL13" t="s">
        <v>6984</v>
      </c>
      <c r="GRM13" t="s">
        <v>6984</v>
      </c>
      <c r="GRN13" t="s">
        <v>6984</v>
      </c>
      <c r="GRO13" t="s">
        <v>6984</v>
      </c>
      <c r="GRP13" t="s">
        <v>6984</v>
      </c>
      <c r="GRQ13" t="s">
        <v>6984</v>
      </c>
      <c r="GRR13" t="s">
        <v>6984</v>
      </c>
      <c r="GRS13" t="s">
        <v>6984</v>
      </c>
      <c r="GRT13" t="s">
        <v>6984</v>
      </c>
      <c r="GRU13" t="s">
        <v>6984</v>
      </c>
      <c r="GRV13" t="s">
        <v>6984</v>
      </c>
      <c r="GRW13" t="s">
        <v>6984</v>
      </c>
      <c r="GRX13" t="s">
        <v>6984</v>
      </c>
      <c r="GRY13" t="s">
        <v>6984</v>
      </c>
      <c r="GRZ13" t="s">
        <v>6984</v>
      </c>
      <c r="GSA13" t="s">
        <v>6984</v>
      </c>
      <c r="GSB13" t="s">
        <v>6984</v>
      </c>
      <c r="GSC13" t="s">
        <v>6984</v>
      </c>
      <c r="GSD13" t="s">
        <v>6984</v>
      </c>
      <c r="GSE13" t="s">
        <v>6984</v>
      </c>
      <c r="GSF13" t="s">
        <v>6984</v>
      </c>
      <c r="GSG13" t="s">
        <v>6984</v>
      </c>
      <c r="GSH13" t="s">
        <v>6984</v>
      </c>
      <c r="GSI13" t="s">
        <v>6984</v>
      </c>
      <c r="GSJ13" t="s">
        <v>6984</v>
      </c>
      <c r="GSK13" t="s">
        <v>6984</v>
      </c>
      <c r="GSL13" t="s">
        <v>6984</v>
      </c>
      <c r="GSM13" t="s">
        <v>6984</v>
      </c>
      <c r="GSN13" t="s">
        <v>6984</v>
      </c>
      <c r="GSO13" t="s">
        <v>6984</v>
      </c>
      <c r="GSP13" t="s">
        <v>6984</v>
      </c>
      <c r="GSQ13" t="s">
        <v>6984</v>
      </c>
      <c r="GSR13" t="s">
        <v>6984</v>
      </c>
      <c r="GSS13" t="s">
        <v>6984</v>
      </c>
      <c r="GST13" t="s">
        <v>6984</v>
      </c>
      <c r="GSU13" t="s">
        <v>6984</v>
      </c>
      <c r="GSV13" t="s">
        <v>6984</v>
      </c>
      <c r="GSW13" t="s">
        <v>6984</v>
      </c>
      <c r="GSX13" t="s">
        <v>6984</v>
      </c>
      <c r="GSY13" t="s">
        <v>6984</v>
      </c>
      <c r="GSZ13" t="s">
        <v>6984</v>
      </c>
      <c r="GTA13" t="s">
        <v>6984</v>
      </c>
      <c r="GTB13" t="s">
        <v>6984</v>
      </c>
      <c r="GTC13" t="s">
        <v>6984</v>
      </c>
      <c r="GTD13" t="s">
        <v>6984</v>
      </c>
      <c r="GTE13" t="s">
        <v>6984</v>
      </c>
      <c r="GTF13" t="s">
        <v>6984</v>
      </c>
      <c r="GTG13" t="s">
        <v>6984</v>
      </c>
      <c r="GTH13" t="s">
        <v>6984</v>
      </c>
      <c r="GTI13" t="s">
        <v>6984</v>
      </c>
      <c r="GTJ13" t="s">
        <v>6984</v>
      </c>
      <c r="GTK13" t="s">
        <v>6984</v>
      </c>
      <c r="GTL13" t="s">
        <v>6984</v>
      </c>
      <c r="GTM13" t="s">
        <v>6984</v>
      </c>
      <c r="GTN13" t="s">
        <v>6984</v>
      </c>
      <c r="GTO13" t="s">
        <v>6984</v>
      </c>
      <c r="GTP13" t="s">
        <v>6984</v>
      </c>
      <c r="GTQ13" t="s">
        <v>6984</v>
      </c>
      <c r="GTR13" t="s">
        <v>6984</v>
      </c>
      <c r="GTS13" t="s">
        <v>6984</v>
      </c>
      <c r="GTT13" t="s">
        <v>6984</v>
      </c>
      <c r="GTU13" t="s">
        <v>6984</v>
      </c>
      <c r="GTV13" t="s">
        <v>6984</v>
      </c>
      <c r="GTW13" t="s">
        <v>6984</v>
      </c>
      <c r="GTX13" t="s">
        <v>6984</v>
      </c>
      <c r="GTY13" t="s">
        <v>6984</v>
      </c>
      <c r="GTZ13" t="s">
        <v>6984</v>
      </c>
      <c r="GUA13" t="s">
        <v>6984</v>
      </c>
      <c r="GUB13" t="s">
        <v>6984</v>
      </c>
      <c r="GUC13" t="s">
        <v>6984</v>
      </c>
      <c r="GUD13" t="s">
        <v>6984</v>
      </c>
      <c r="GUE13" t="s">
        <v>6984</v>
      </c>
      <c r="GUF13" t="s">
        <v>6984</v>
      </c>
      <c r="GUG13" t="s">
        <v>6984</v>
      </c>
      <c r="GUH13" t="s">
        <v>6984</v>
      </c>
      <c r="GUI13" t="s">
        <v>6984</v>
      </c>
      <c r="GUJ13" t="s">
        <v>6984</v>
      </c>
      <c r="GUK13" t="s">
        <v>6984</v>
      </c>
      <c r="GUL13" t="s">
        <v>6984</v>
      </c>
      <c r="GUM13" t="s">
        <v>6984</v>
      </c>
      <c r="GUN13" t="s">
        <v>6984</v>
      </c>
      <c r="GUO13" t="s">
        <v>6984</v>
      </c>
      <c r="GUP13" t="s">
        <v>6984</v>
      </c>
      <c r="GUQ13" t="s">
        <v>6984</v>
      </c>
      <c r="GUR13" t="s">
        <v>6984</v>
      </c>
      <c r="GUS13" t="s">
        <v>6984</v>
      </c>
      <c r="GUT13" t="s">
        <v>6984</v>
      </c>
      <c r="GUU13" t="s">
        <v>6984</v>
      </c>
      <c r="GUV13" t="s">
        <v>6984</v>
      </c>
      <c r="GUW13" t="s">
        <v>6984</v>
      </c>
      <c r="GUX13" t="s">
        <v>6984</v>
      </c>
      <c r="GUY13" t="s">
        <v>6984</v>
      </c>
      <c r="GUZ13" t="s">
        <v>6984</v>
      </c>
      <c r="GVA13" t="s">
        <v>6984</v>
      </c>
      <c r="GVB13" t="s">
        <v>6984</v>
      </c>
      <c r="GVC13" t="s">
        <v>6984</v>
      </c>
      <c r="GVD13" t="s">
        <v>6984</v>
      </c>
      <c r="GVE13" t="s">
        <v>6984</v>
      </c>
      <c r="GVF13" t="s">
        <v>6984</v>
      </c>
      <c r="GVG13" t="s">
        <v>6984</v>
      </c>
      <c r="GVH13" t="s">
        <v>6984</v>
      </c>
      <c r="GVI13" t="s">
        <v>6984</v>
      </c>
      <c r="GVJ13" t="s">
        <v>6984</v>
      </c>
      <c r="GVK13" t="s">
        <v>6984</v>
      </c>
      <c r="GVL13" t="s">
        <v>6984</v>
      </c>
      <c r="GVM13" t="s">
        <v>6984</v>
      </c>
      <c r="GVN13" t="s">
        <v>6984</v>
      </c>
      <c r="GVO13" t="s">
        <v>6984</v>
      </c>
      <c r="GVP13" t="s">
        <v>6984</v>
      </c>
      <c r="GVQ13" t="s">
        <v>6984</v>
      </c>
      <c r="GVR13" t="s">
        <v>6984</v>
      </c>
      <c r="GVS13" t="s">
        <v>6984</v>
      </c>
      <c r="GVT13" t="s">
        <v>6984</v>
      </c>
      <c r="GVU13" t="s">
        <v>6984</v>
      </c>
      <c r="GVV13" t="s">
        <v>6984</v>
      </c>
      <c r="GVW13" t="s">
        <v>6984</v>
      </c>
      <c r="GVX13" t="s">
        <v>6984</v>
      </c>
      <c r="GVY13" t="s">
        <v>6984</v>
      </c>
      <c r="GVZ13" t="s">
        <v>6984</v>
      </c>
      <c r="GWA13" t="s">
        <v>6984</v>
      </c>
      <c r="GWB13" t="s">
        <v>6984</v>
      </c>
      <c r="GWC13" t="s">
        <v>6984</v>
      </c>
      <c r="GWD13" t="s">
        <v>6984</v>
      </c>
      <c r="GWE13" t="s">
        <v>6984</v>
      </c>
      <c r="GWF13" t="s">
        <v>6984</v>
      </c>
      <c r="GWG13" t="s">
        <v>6984</v>
      </c>
      <c r="GWH13" t="s">
        <v>6984</v>
      </c>
      <c r="GWI13" t="s">
        <v>6984</v>
      </c>
      <c r="GWJ13" t="s">
        <v>6984</v>
      </c>
      <c r="GWK13" t="s">
        <v>6984</v>
      </c>
      <c r="GWL13" t="s">
        <v>6984</v>
      </c>
      <c r="GWM13" t="s">
        <v>6984</v>
      </c>
      <c r="GWN13" t="s">
        <v>6984</v>
      </c>
      <c r="GWO13" t="s">
        <v>6984</v>
      </c>
      <c r="GWP13" t="s">
        <v>6984</v>
      </c>
      <c r="GWQ13" t="s">
        <v>6984</v>
      </c>
      <c r="GWR13" t="s">
        <v>6984</v>
      </c>
      <c r="GWS13" t="s">
        <v>6984</v>
      </c>
      <c r="GWT13" t="s">
        <v>6984</v>
      </c>
      <c r="GWU13" t="s">
        <v>6984</v>
      </c>
      <c r="GWV13" t="s">
        <v>6984</v>
      </c>
      <c r="GWW13" t="s">
        <v>6984</v>
      </c>
      <c r="GWX13" t="s">
        <v>6984</v>
      </c>
      <c r="GWY13" t="s">
        <v>6984</v>
      </c>
      <c r="GWZ13" t="s">
        <v>6984</v>
      </c>
      <c r="GXA13" t="s">
        <v>6984</v>
      </c>
      <c r="GXB13" t="s">
        <v>6984</v>
      </c>
      <c r="GXC13" t="s">
        <v>6984</v>
      </c>
      <c r="GXD13" t="s">
        <v>6984</v>
      </c>
      <c r="GXE13" t="s">
        <v>6984</v>
      </c>
      <c r="GXF13" t="s">
        <v>6984</v>
      </c>
      <c r="GXG13" t="s">
        <v>6984</v>
      </c>
      <c r="GXH13" t="s">
        <v>6984</v>
      </c>
      <c r="GXI13" t="s">
        <v>6984</v>
      </c>
      <c r="GXJ13" t="s">
        <v>6984</v>
      </c>
      <c r="GXK13" t="s">
        <v>6984</v>
      </c>
      <c r="GXL13" t="s">
        <v>6984</v>
      </c>
      <c r="GXM13" t="s">
        <v>6984</v>
      </c>
      <c r="GXN13" t="s">
        <v>6984</v>
      </c>
      <c r="GXO13" t="s">
        <v>6984</v>
      </c>
      <c r="GXP13" t="s">
        <v>6984</v>
      </c>
      <c r="GXQ13" t="s">
        <v>6984</v>
      </c>
      <c r="GXR13" t="s">
        <v>6984</v>
      </c>
      <c r="GXS13" t="s">
        <v>6984</v>
      </c>
      <c r="GXT13" t="s">
        <v>6984</v>
      </c>
      <c r="GXU13" t="s">
        <v>6984</v>
      </c>
      <c r="GXV13" t="s">
        <v>6984</v>
      </c>
      <c r="GXW13" t="s">
        <v>6984</v>
      </c>
      <c r="GXX13" t="s">
        <v>6984</v>
      </c>
      <c r="GXY13" t="s">
        <v>6984</v>
      </c>
      <c r="GXZ13" t="s">
        <v>6984</v>
      </c>
      <c r="GYA13" t="s">
        <v>6984</v>
      </c>
      <c r="GYB13" t="s">
        <v>6984</v>
      </c>
      <c r="GYC13" t="s">
        <v>6984</v>
      </c>
      <c r="GYD13" t="s">
        <v>6984</v>
      </c>
      <c r="GYE13" t="s">
        <v>6984</v>
      </c>
      <c r="GYF13" t="s">
        <v>6984</v>
      </c>
      <c r="GYG13" t="s">
        <v>6984</v>
      </c>
      <c r="GYH13" t="s">
        <v>6984</v>
      </c>
      <c r="GYI13" t="s">
        <v>6984</v>
      </c>
      <c r="GYJ13" t="s">
        <v>6984</v>
      </c>
      <c r="GYK13" t="s">
        <v>6984</v>
      </c>
      <c r="GYL13" t="s">
        <v>6984</v>
      </c>
      <c r="GYM13" t="s">
        <v>6984</v>
      </c>
      <c r="GYN13" t="s">
        <v>6984</v>
      </c>
      <c r="GYO13" t="s">
        <v>6984</v>
      </c>
      <c r="GYP13" t="s">
        <v>6984</v>
      </c>
      <c r="GYQ13" t="s">
        <v>6984</v>
      </c>
      <c r="GYR13" t="s">
        <v>6984</v>
      </c>
      <c r="GYS13" t="s">
        <v>6984</v>
      </c>
      <c r="GYT13" t="s">
        <v>6984</v>
      </c>
      <c r="GYU13" t="s">
        <v>6984</v>
      </c>
      <c r="GYV13" t="s">
        <v>6984</v>
      </c>
      <c r="GYW13" t="s">
        <v>6984</v>
      </c>
      <c r="GYX13" t="s">
        <v>6984</v>
      </c>
      <c r="GYY13" t="s">
        <v>6984</v>
      </c>
      <c r="GYZ13" t="s">
        <v>6984</v>
      </c>
      <c r="GZA13" t="s">
        <v>6984</v>
      </c>
      <c r="GZB13" t="s">
        <v>6984</v>
      </c>
      <c r="GZC13" t="s">
        <v>6984</v>
      </c>
      <c r="GZD13" t="s">
        <v>6984</v>
      </c>
      <c r="GZE13" t="s">
        <v>6984</v>
      </c>
      <c r="GZF13" t="s">
        <v>6984</v>
      </c>
      <c r="GZG13" t="s">
        <v>6984</v>
      </c>
      <c r="GZH13" t="s">
        <v>6984</v>
      </c>
      <c r="GZI13" t="s">
        <v>6984</v>
      </c>
      <c r="GZJ13" t="s">
        <v>6984</v>
      </c>
      <c r="GZK13" t="s">
        <v>6984</v>
      </c>
      <c r="GZL13" t="s">
        <v>6984</v>
      </c>
      <c r="GZM13" t="s">
        <v>6984</v>
      </c>
      <c r="GZN13" t="s">
        <v>6984</v>
      </c>
      <c r="GZO13" t="s">
        <v>6984</v>
      </c>
      <c r="GZP13" t="s">
        <v>6984</v>
      </c>
      <c r="GZQ13" t="s">
        <v>6984</v>
      </c>
      <c r="GZR13" t="s">
        <v>6984</v>
      </c>
      <c r="GZS13" t="s">
        <v>6984</v>
      </c>
      <c r="GZT13" t="s">
        <v>6984</v>
      </c>
      <c r="GZU13" t="s">
        <v>6984</v>
      </c>
      <c r="GZV13" t="s">
        <v>6984</v>
      </c>
      <c r="GZW13" t="s">
        <v>6984</v>
      </c>
      <c r="GZX13" t="s">
        <v>6984</v>
      </c>
      <c r="GZY13" t="s">
        <v>6984</v>
      </c>
      <c r="GZZ13" t="s">
        <v>6984</v>
      </c>
      <c r="HAA13" t="s">
        <v>6984</v>
      </c>
      <c r="HAB13" t="s">
        <v>6984</v>
      </c>
      <c r="HAC13" t="s">
        <v>6984</v>
      </c>
      <c r="HAD13" t="s">
        <v>6984</v>
      </c>
      <c r="HAE13" t="s">
        <v>6984</v>
      </c>
      <c r="HAF13" t="s">
        <v>6984</v>
      </c>
      <c r="HAG13" t="s">
        <v>6984</v>
      </c>
      <c r="HAH13" t="s">
        <v>6984</v>
      </c>
      <c r="HAI13" t="s">
        <v>6984</v>
      </c>
      <c r="HAJ13" t="s">
        <v>6984</v>
      </c>
      <c r="HAK13" t="s">
        <v>6984</v>
      </c>
      <c r="HAL13" t="s">
        <v>6984</v>
      </c>
      <c r="HAM13" t="s">
        <v>6984</v>
      </c>
      <c r="HAN13" t="s">
        <v>6984</v>
      </c>
      <c r="HAO13" t="s">
        <v>6984</v>
      </c>
      <c r="HAP13" t="s">
        <v>6984</v>
      </c>
      <c r="HAQ13" t="s">
        <v>6984</v>
      </c>
      <c r="HAR13" t="s">
        <v>6984</v>
      </c>
      <c r="HAS13" t="s">
        <v>6984</v>
      </c>
      <c r="HAT13" t="s">
        <v>6984</v>
      </c>
      <c r="HAU13" t="s">
        <v>6984</v>
      </c>
      <c r="HAV13" t="s">
        <v>6984</v>
      </c>
      <c r="HAW13" t="s">
        <v>6984</v>
      </c>
      <c r="HAX13" t="s">
        <v>6984</v>
      </c>
      <c r="HAY13" t="s">
        <v>6984</v>
      </c>
      <c r="HAZ13" t="s">
        <v>6984</v>
      </c>
      <c r="HBA13" t="s">
        <v>6984</v>
      </c>
      <c r="HBB13" t="s">
        <v>6984</v>
      </c>
      <c r="HBC13" t="s">
        <v>6984</v>
      </c>
      <c r="HBD13" t="s">
        <v>6984</v>
      </c>
      <c r="HBE13" t="s">
        <v>6984</v>
      </c>
      <c r="HBF13" t="s">
        <v>6984</v>
      </c>
      <c r="HBG13" t="s">
        <v>6984</v>
      </c>
      <c r="HBH13" t="s">
        <v>6984</v>
      </c>
      <c r="HBI13" t="s">
        <v>6984</v>
      </c>
      <c r="HBJ13" t="s">
        <v>6984</v>
      </c>
      <c r="HBK13" t="s">
        <v>6984</v>
      </c>
      <c r="HBL13" t="s">
        <v>6984</v>
      </c>
      <c r="HBM13" t="s">
        <v>6984</v>
      </c>
      <c r="HBN13" t="s">
        <v>6984</v>
      </c>
      <c r="HBO13" t="s">
        <v>6984</v>
      </c>
      <c r="HBP13" t="s">
        <v>6984</v>
      </c>
      <c r="HBQ13" t="s">
        <v>6984</v>
      </c>
      <c r="HBR13" t="s">
        <v>6984</v>
      </c>
      <c r="HBS13" t="s">
        <v>6984</v>
      </c>
      <c r="HBT13" t="s">
        <v>6984</v>
      </c>
      <c r="HBU13" t="s">
        <v>6984</v>
      </c>
      <c r="HBV13" t="s">
        <v>6984</v>
      </c>
      <c r="HBW13" t="s">
        <v>6984</v>
      </c>
      <c r="HBX13" t="s">
        <v>6984</v>
      </c>
      <c r="HBY13" t="s">
        <v>6984</v>
      </c>
      <c r="HBZ13" t="s">
        <v>6984</v>
      </c>
      <c r="HCA13" t="s">
        <v>6984</v>
      </c>
      <c r="HCB13" t="s">
        <v>6984</v>
      </c>
      <c r="HCC13" t="s">
        <v>6984</v>
      </c>
      <c r="HCD13" t="s">
        <v>6984</v>
      </c>
      <c r="HCE13" t="s">
        <v>6984</v>
      </c>
      <c r="HCF13" t="s">
        <v>6984</v>
      </c>
      <c r="HCG13" t="s">
        <v>6984</v>
      </c>
      <c r="HCH13" t="s">
        <v>6984</v>
      </c>
      <c r="HCI13" t="s">
        <v>6984</v>
      </c>
      <c r="HCJ13" t="s">
        <v>6984</v>
      </c>
      <c r="HCK13" t="s">
        <v>6984</v>
      </c>
      <c r="HCL13" t="s">
        <v>6984</v>
      </c>
      <c r="HCM13" t="s">
        <v>6984</v>
      </c>
      <c r="HCN13" t="s">
        <v>6984</v>
      </c>
      <c r="HCO13" t="s">
        <v>6984</v>
      </c>
      <c r="HCP13" t="s">
        <v>6984</v>
      </c>
      <c r="HCQ13" t="s">
        <v>6984</v>
      </c>
      <c r="HCR13" t="s">
        <v>6984</v>
      </c>
      <c r="HCS13" t="s">
        <v>6984</v>
      </c>
      <c r="HCT13" t="s">
        <v>6984</v>
      </c>
      <c r="HCU13" t="s">
        <v>6984</v>
      </c>
      <c r="HCV13" t="s">
        <v>6984</v>
      </c>
      <c r="HCW13" t="s">
        <v>6984</v>
      </c>
      <c r="HCX13" t="s">
        <v>6984</v>
      </c>
      <c r="HCY13" t="s">
        <v>6984</v>
      </c>
      <c r="HCZ13" t="s">
        <v>6984</v>
      </c>
      <c r="HDA13" t="s">
        <v>6984</v>
      </c>
      <c r="HDB13" t="s">
        <v>6984</v>
      </c>
      <c r="HDC13" t="s">
        <v>6984</v>
      </c>
      <c r="HDD13" t="s">
        <v>6984</v>
      </c>
      <c r="HDE13" t="s">
        <v>6984</v>
      </c>
      <c r="HDF13" t="s">
        <v>6984</v>
      </c>
      <c r="HDG13" t="s">
        <v>6984</v>
      </c>
      <c r="HDH13" t="s">
        <v>6984</v>
      </c>
      <c r="HDI13" t="s">
        <v>6984</v>
      </c>
      <c r="HDJ13" t="s">
        <v>6984</v>
      </c>
      <c r="HDK13" t="s">
        <v>6984</v>
      </c>
      <c r="HDL13" t="s">
        <v>6984</v>
      </c>
      <c r="HDM13" t="s">
        <v>6984</v>
      </c>
      <c r="HDN13" t="s">
        <v>6984</v>
      </c>
      <c r="HDO13" t="s">
        <v>6984</v>
      </c>
      <c r="HDP13" t="s">
        <v>6984</v>
      </c>
      <c r="HDQ13" t="s">
        <v>6984</v>
      </c>
      <c r="HDR13" t="s">
        <v>6984</v>
      </c>
      <c r="HDS13" t="s">
        <v>6984</v>
      </c>
      <c r="HDT13" t="s">
        <v>6984</v>
      </c>
      <c r="HDU13" t="s">
        <v>6984</v>
      </c>
      <c r="HDV13" t="s">
        <v>6984</v>
      </c>
      <c r="HDW13" t="s">
        <v>6984</v>
      </c>
      <c r="HDX13" t="s">
        <v>6984</v>
      </c>
      <c r="HDY13" t="s">
        <v>6984</v>
      </c>
      <c r="HDZ13" t="s">
        <v>6984</v>
      </c>
      <c r="HEA13" t="s">
        <v>6984</v>
      </c>
      <c r="HEB13" t="s">
        <v>6984</v>
      </c>
      <c r="HEC13" t="s">
        <v>6984</v>
      </c>
      <c r="HED13" t="s">
        <v>6984</v>
      </c>
      <c r="HEE13" t="s">
        <v>6984</v>
      </c>
      <c r="HEF13" t="s">
        <v>6984</v>
      </c>
      <c r="HEG13" t="s">
        <v>6984</v>
      </c>
      <c r="HEH13" t="s">
        <v>6984</v>
      </c>
      <c r="HEI13" t="s">
        <v>6984</v>
      </c>
      <c r="HEJ13" t="s">
        <v>6984</v>
      </c>
      <c r="HEK13" t="s">
        <v>6984</v>
      </c>
      <c r="HEL13" t="s">
        <v>6984</v>
      </c>
      <c r="HEM13" t="s">
        <v>6984</v>
      </c>
      <c r="HEN13" t="s">
        <v>6984</v>
      </c>
      <c r="HEO13" t="s">
        <v>6984</v>
      </c>
      <c r="HEP13" t="s">
        <v>6984</v>
      </c>
      <c r="HEQ13" t="s">
        <v>6984</v>
      </c>
      <c r="HER13" t="s">
        <v>6984</v>
      </c>
      <c r="HES13" t="s">
        <v>6984</v>
      </c>
      <c r="HET13" t="s">
        <v>6984</v>
      </c>
      <c r="HEU13" t="s">
        <v>6984</v>
      </c>
      <c r="HEV13" t="s">
        <v>6984</v>
      </c>
      <c r="HEW13" t="s">
        <v>6984</v>
      </c>
      <c r="HEX13" t="s">
        <v>6984</v>
      </c>
      <c r="HEY13" t="s">
        <v>6984</v>
      </c>
      <c r="HEZ13" t="s">
        <v>6984</v>
      </c>
      <c r="HFA13" t="s">
        <v>6984</v>
      </c>
      <c r="HFB13" t="s">
        <v>6984</v>
      </c>
      <c r="HFC13" t="s">
        <v>6984</v>
      </c>
      <c r="HFD13" t="s">
        <v>6984</v>
      </c>
      <c r="HFE13" t="s">
        <v>6984</v>
      </c>
      <c r="HFF13" t="s">
        <v>6984</v>
      </c>
      <c r="HFG13" t="s">
        <v>6984</v>
      </c>
      <c r="HFH13" t="s">
        <v>6984</v>
      </c>
      <c r="HFI13" t="s">
        <v>6984</v>
      </c>
      <c r="HFJ13" t="s">
        <v>6984</v>
      </c>
      <c r="HFK13" t="s">
        <v>6984</v>
      </c>
      <c r="HFL13" t="s">
        <v>6984</v>
      </c>
      <c r="HFM13" t="s">
        <v>6984</v>
      </c>
      <c r="HFN13" t="s">
        <v>6984</v>
      </c>
      <c r="HFO13" t="s">
        <v>6984</v>
      </c>
      <c r="HFP13" t="s">
        <v>6984</v>
      </c>
      <c r="HFQ13" t="s">
        <v>6984</v>
      </c>
      <c r="HFR13" t="s">
        <v>6984</v>
      </c>
      <c r="HFS13" t="s">
        <v>6984</v>
      </c>
      <c r="HFT13" t="s">
        <v>6984</v>
      </c>
      <c r="HFU13" t="s">
        <v>6984</v>
      </c>
      <c r="HFV13" t="s">
        <v>6984</v>
      </c>
      <c r="HFW13" t="s">
        <v>6984</v>
      </c>
      <c r="HFX13" t="s">
        <v>6984</v>
      </c>
      <c r="HFY13" t="s">
        <v>6984</v>
      </c>
      <c r="HFZ13" t="s">
        <v>6984</v>
      </c>
      <c r="HGA13" t="s">
        <v>6984</v>
      </c>
      <c r="HGB13" t="s">
        <v>6984</v>
      </c>
      <c r="HGC13" t="s">
        <v>6984</v>
      </c>
      <c r="HGD13" t="s">
        <v>6984</v>
      </c>
      <c r="HGE13" t="s">
        <v>6984</v>
      </c>
      <c r="HGF13" t="s">
        <v>6984</v>
      </c>
      <c r="HGG13" t="s">
        <v>6984</v>
      </c>
      <c r="HGH13" t="s">
        <v>6984</v>
      </c>
      <c r="HGI13" t="s">
        <v>6984</v>
      </c>
      <c r="HGJ13" t="s">
        <v>6984</v>
      </c>
      <c r="HGK13" t="s">
        <v>6984</v>
      </c>
      <c r="HGL13" t="s">
        <v>6984</v>
      </c>
      <c r="HGM13" t="s">
        <v>6984</v>
      </c>
      <c r="HGN13" t="s">
        <v>6984</v>
      </c>
      <c r="HGO13" t="s">
        <v>6984</v>
      </c>
      <c r="HGP13" t="s">
        <v>6984</v>
      </c>
      <c r="HGQ13" t="s">
        <v>6984</v>
      </c>
      <c r="HGR13" t="s">
        <v>6984</v>
      </c>
      <c r="HGS13" t="s">
        <v>6984</v>
      </c>
      <c r="HGT13" t="s">
        <v>6984</v>
      </c>
      <c r="HGU13" t="s">
        <v>6984</v>
      </c>
      <c r="HGV13" t="s">
        <v>6984</v>
      </c>
      <c r="HGW13" t="s">
        <v>6984</v>
      </c>
      <c r="HGX13" t="s">
        <v>6984</v>
      </c>
      <c r="HGY13" t="s">
        <v>6984</v>
      </c>
      <c r="HGZ13" t="s">
        <v>6984</v>
      </c>
      <c r="HHA13" t="s">
        <v>6984</v>
      </c>
      <c r="HHB13" t="s">
        <v>6984</v>
      </c>
      <c r="HHC13" t="s">
        <v>6984</v>
      </c>
      <c r="HHD13" t="s">
        <v>6984</v>
      </c>
      <c r="HHE13" t="s">
        <v>6984</v>
      </c>
      <c r="HHF13" t="s">
        <v>6984</v>
      </c>
      <c r="HHG13" t="s">
        <v>6984</v>
      </c>
      <c r="HHH13" t="s">
        <v>6984</v>
      </c>
      <c r="HHI13" t="s">
        <v>6984</v>
      </c>
      <c r="HHJ13" t="s">
        <v>6984</v>
      </c>
      <c r="HHK13" t="s">
        <v>6984</v>
      </c>
      <c r="HHL13" t="s">
        <v>6984</v>
      </c>
      <c r="HHM13" t="s">
        <v>6984</v>
      </c>
      <c r="HHN13" t="s">
        <v>6984</v>
      </c>
      <c r="HHO13" t="s">
        <v>6984</v>
      </c>
      <c r="HHP13" t="s">
        <v>6984</v>
      </c>
      <c r="HHQ13" t="s">
        <v>6984</v>
      </c>
      <c r="HHR13" t="s">
        <v>6984</v>
      </c>
      <c r="HHS13" t="s">
        <v>6984</v>
      </c>
      <c r="HHT13" t="s">
        <v>6984</v>
      </c>
      <c r="HHU13" t="s">
        <v>6984</v>
      </c>
      <c r="HHV13" t="s">
        <v>6984</v>
      </c>
      <c r="HHW13" t="s">
        <v>6984</v>
      </c>
      <c r="HHX13" t="s">
        <v>6984</v>
      </c>
      <c r="HHY13" t="s">
        <v>6984</v>
      </c>
      <c r="HHZ13" t="s">
        <v>6984</v>
      </c>
      <c r="HIA13" t="s">
        <v>6984</v>
      </c>
      <c r="HIB13" t="s">
        <v>6984</v>
      </c>
      <c r="HIC13" t="s">
        <v>6984</v>
      </c>
      <c r="HID13" t="s">
        <v>6984</v>
      </c>
      <c r="HIE13" t="s">
        <v>6984</v>
      </c>
      <c r="HIF13" t="s">
        <v>6984</v>
      </c>
      <c r="HIG13" t="s">
        <v>6984</v>
      </c>
      <c r="HIH13" t="s">
        <v>6984</v>
      </c>
      <c r="HII13" t="s">
        <v>6984</v>
      </c>
      <c r="HIJ13" t="s">
        <v>6984</v>
      </c>
      <c r="HIK13" t="s">
        <v>6984</v>
      </c>
      <c r="HIL13" t="s">
        <v>6984</v>
      </c>
      <c r="HIM13" t="s">
        <v>6984</v>
      </c>
      <c r="HIN13" t="s">
        <v>6984</v>
      </c>
      <c r="HIO13" t="s">
        <v>6984</v>
      </c>
      <c r="HIP13" t="s">
        <v>6984</v>
      </c>
      <c r="HIQ13" t="s">
        <v>6984</v>
      </c>
      <c r="HIR13" t="s">
        <v>6984</v>
      </c>
      <c r="HIS13" t="s">
        <v>6984</v>
      </c>
      <c r="HIT13" t="s">
        <v>6984</v>
      </c>
      <c r="HIU13" t="s">
        <v>6984</v>
      </c>
      <c r="HIV13" t="s">
        <v>6984</v>
      </c>
      <c r="HIW13" t="s">
        <v>6984</v>
      </c>
      <c r="HIX13" t="s">
        <v>6984</v>
      </c>
      <c r="HIY13" t="s">
        <v>6984</v>
      </c>
      <c r="HIZ13" t="s">
        <v>6984</v>
      </c>
      <c r="HJA13" t="s">
        <v>6984</v>
      </c>
      <c r="HJB13" t="s">
        <v>6984</v>
      </c>
      <c r="HJC13" t="s">
        <v>6984</v>
      </c>
      <c r="HJD13" t="s">
        <v>6984</v>
      </c>
      <c r="HJE13" t="s">
        <v>6984</v>
      </c>
      <c r="HJF13" t="s">
        <v>6984</v>
      </c>
      <c r="HJG13" t="s">
        <v>6984</v>
      </c>
      <c r="HJH13" t="s">
        <v>6984</v>
      </c>
      <c r="HJI13" t="s">
        <v>6984</v>
      </c>
      <c r="HJJ13" t="s">
        <v>6984</v>
      </c>
      <c r="HJK13" t="s">
        <v>6984</v>
      </c>
      <c r="HJL13" t="s">
        <v>6984</v>
      </c>
      <c r="HJM13" t="s">
        <v>6984</v>
      </c>
      <c r="HJN13" t="s">
        <v>6984</v>
      </c>
      <c r="HJO13" t="s">
        <v>6984</v>
      </c>
      <c r="HJP13" t="s">
        <v>6984</v>
      </c>
      <c r="HJQ13" t="s">
        <v>6984</v>
      </c>
      <c r="HJR13" t="s">
        <v>6984</v>
      </c>
      <c r="HJS13" t="s">
        <v>6984</v>
      </c>
      <c r="HJT13" t="s">
        <v>6984</v>
      </c>
      <c r="HJU13" t="s">
        <v>6984</v>
      </c>
      <c r="HJV13" t="s">
        <v>6984</v>
      </c>
      <c r="HJW13" t="s">
        <v>6984</v>
      </c>
      <c r="HJX13" t="s">
        <v>6984</v>
      </c>
      <c r="HJY13" t="s">
        <v>6984</v>
      </c>
      <c r="HJZ13" t="s">
        <v>6984</v>
      </c>
      <c r="HKA13" t="s">
        <v>6984</v>
      </c>
      <c r="HKB13" t="s">
        <v>6984</v>
      </c>
      <c r="HKC13" t="s">
        <v>6984</v>
      </c>
      <c r="HKD13" t="s">
        <v>6984</v>
      </c>
      <c r="HKE13" t="s">
        <v>6984</v>
      </c>
      <c r="HKF13" t="s">
        <v>6984</v>
      </c>
      <c r="HKG13" t="s">
        <v>6984</v>
      </c>
      <c r="HKH13" t="s">
        <v>6984</v>
      </c>
      <c r="HKI13" t="s">
        <v>6984</v>
      </c>
      <c r="HKJ13" t="s">
        <v>6984</v>
      </c>
      <c r="HKK13" t="s">
        <v>6984</v>
      </c>
      <c r="HKL13" t="s">
        <v>6984</v>
      </c>
      <c r="HKM13" t="s">
        <v>6984</v>
      </c>
      <c r="HKN13" t="s">
        <v>6984</v>
      </c>
      <c r="HKO13" t="s">
        <v>6984</v>
      </c>
      <c r="HKP13" t="s">
        <v>6984</v>
      </c>
      <c r="HKQ13" t="s">
        <v>6984</v>
      </c>
      <c r="HKR13" t="s">
        <v>6984</v>
      </c>
      <c r="HKS13" t="s">
        <v>6984</v>
      </c>
      <c r="HKT13" t="s">
        <v>6984</v>
      </c>
      <c r="HKU13" t="s">
        <v>6984</v>
      </c>
      <c r="HKV13" t="s">
        <v>6984</v>
      </c>
      <c r="HKW13" t="s">
        <v>6984</v>
      </c>
      <c r="HKX13" t="s">
        <v>6984</v>
      </c>
      <c r="HKY13" t="s">
        <v>6984</v>
      </c>
      <c r="HKZ13" t="s">
        <v>6984</v>
      </c>
      <c r="HLA13" t="s">
        <v>6984</v>
      </c>
      <c r="HLB13" t="s">
        <v>6984</v>
      </c>
      <c r="HLC13" t="s">
        <v>6984</v>
      </c>
      <c r="HLD13" t="s">
        <v>6984</v>
      </c>
      <c r="HLE13" t="s">
        <v>6984</v>
      </c>
      <c r="HLF13" t="s">
        <v>6984</v>
      </c>
      <c r="HLG13" t="s">
        <v>6984</v>
      </c>
      <c r="HLH13" t="s">
        <v>6984</v>
      </c>
      <c r="HLI13" t="s">
        <v>6984</v>
      </c>
      <c r="HLJ13" t="s">
        <v>6984</v>
      </c>
      <c r="HLK13" t="s">
        <v>6984</v>
      </c>
      <c r="HLL13" t="s">
        <v>6984</v>
      </c>
      <c r="HLM13" t="s">
        <v>6984</v>
      </c>
      <c r="HLN13" t="s">
        <v>6984</v>
      </c>
      <c r="HLO13" t="s">
        <v>6984</v>
      </c>
      <c r="HLP13" t="s">
        <v>6984</v>
      </c>
      <c r="HLQ13" t="s">
        <v>6984</v>
      </c>
      <c r="HLR13" t="s">
        <v>6984</v>
      </c>
      <c r="HLS13" t="s">
        <v>6984</v>
      </c>
      <c r="HLT13" t="s">
        <v>6984</v>
      </c>
      <c r="HLU13" t="s">
        <v>6984</v>
      </c>
      <c r="HLV13" t="s">
        <v>6984</v>
      </c>
      <c r="HLW13" t="s">
        <v>6984</v>
      </c>
      <c r="HLX13" t="s">
        <v>6984</v>
      </c>
      <c r="HLY13" t="s">
        <v>6984</v>
      </c>
      <c r="HLZ13" t="s">
        <v>6984</v>
      </c>
      <c r="HMA13" t="s">
        <v>6984</v>
      </c>
      <c r="HMB13" t="s">
        <v>6984</v>
      </c>
      <c r="HMC13" t="s">
        <v>6984</v>
      </c>
      <c r="HMD13" t="s">
        <v>6984</v>
      </c>
      <c r="HME13" t="s">
        <v>6984</v>
      </c>
      <c r="HMF13" t="s">
        <v>6984</v>
      </c>
      <c r="HMG13" t="s">
        <v>6984</v>
      </c>
      <c r="HMH13" t="s">
        <v>6984</v>
      </c>
      <c r="HMI13" t="s">
        <v>6984</v>
      </c>
      <c r="HMJ13" t="s">
        <v>6984</v>
      </c>
      <c r="HMK13" t="s">
        <v>6984</v>
      </c>
      <c r="HML13" t="s">
        <v>6984</v>
      </c>
      <c r="HMM13" t="s">
        <v>6984</v>
      </c>
      <c r="HMN13" t="s">
        <v>6984</v>
      </c>
      <c r="HMO13" t="s">
        <v>6984</v>
      </c>
      <c r="HMP13" t="s">
        <v>6984</v>
      </c>
      <c r="HMQ13" t="s">
        <v>6984</v>
      </c>
      <c r="HMR13" t="s">
        <v>6984</v>
      </c>
      <c r="HMS13" t="s">
        <v>6984</v>
      </c>
      <c r="HMT13" t="s">
        <v>6984</v>
      </c>
      <c r="HMU13" t="s">
        <v>6984</v>
      </c>
      <c r="HMV13" t="s">
        <v>6984</v>
      </c>
      <c r="HMW13" t="s">
        <v>6984</v>
      </c>
      <c r="HMX13" t="s">
        <v>6984</v>
      </c>
      <c r="HMY13" t="s">
        <v>6984</v>
      </c>
      <c r="HMZ13" t="s">
        <v>6984</v>
      </c>
      <c r="HNA13" t="s">
        <v>6984</v>
      </c>
      <c r="HNB13" t="s">
        <v>6984</v>
      </c>
      <c r="HNC13" t="s">
        <v>6984</v>
      </c>
      <c r="HND13" t="s">
        <v>6984</v>
      </c>
      <c r="HNE13" t="s">
        <v>6984</v>
      </c>
      <c r="HNF13" t="s">
        <v>6984</v>
      </c>
      <c r="HNG13" t="s">
        <v>6984</v>
      </c>
      <c r="HNH13" t="s">
        <v>6984</v>
      </c>
      <c r="HNI13" t="s">
        <v>6984</v>
      </c>
      <c r="HNJ13" t="s">
        <v>6984</v>
      </c>
      <c r="HNK13" t="s">
        <v>6984</v>
      </c>
      <c r="HNL13" t="s">
        <v>6984</v>
      </c>
      <c r="HNM13" t="s">
        <v>6984</v>
      </c>
      <c r="HNN13" t="s">
        <v>6984</v>
      </c>
      <c r="HNO13" t="s">
        <v>6984</v>
      </c>
      <c r="HNP13" t="s">
        <v>6984</v>
      </c>
      <c r="HNQ13" t="s">
        <v>6984</v>
      </c>
      <c r="HNR13" t="s">
        <v>6984</v>
      </c>
      <c r="HNS13" t="s">
        <v>6984</v>
      </c>
      <c r="HNT13" t="s">
        <v>6984</v>
      </c>
      <c r="HNU13" t="s">
        <v>6984</v>
      </c>
      <c r="HNV13" t="s">
        <v>6984</v>
      </c>
      <c r="HNW13" t="s">
        <v>6984</v>
      </c>
      <c r="HNX13" t="s">
        <v>6984</v>
      </c>
      <c r="HNY13" t="s">
        <v>6984</v>
      </c>
      <c r="HNZ13" t="s">
        <v>6984</v>
      </c>
      <c r="HOA13" t="s">
        <v>6984</v>
      </c>
      <c r="HOB13" t="s">
        <v>6984</v>
      </c>
      <c r="HOC13" t="s">
        <v>6984</v>
      </c>
      <c r="HOD13" t="s">
        <v>6984</v>
      </c>
      <c r="HOE13" t="s">
        <v>6984</v>
      </c>
      <c r="HOF13" t="s">
        <v>6984</v>
      </c>
      <c r="HOG13" t="s">
        <v>6984</v>
      </c>
      <c r="HOH13" t="s">
        <v>6984</v>
      </c>
      <c r="HOI13" t="s">
        <v>6984</v>
      </c>
      <c r="HOJ13" t="s">
        <v>6984</v>
      </c>
      <c r="HOK13" t="s">
        <v>6984</v>
      </c>
      <c r="HOL13" t="s">
        <v>6984</v>
      </c>
      <c r="HOM13" t="s">
        <v>6984</v>
      </c>
      <c r="HON13" t="s">
        <v>6984</v>
      </c>
      <c r="HOO13" t="s">
        <v>6984</v>
      </c>
      <c r="HOP13" t="s">
        <v>6984</v>
      </c>
      <c r="HOQ13" t="s">
        <v>6984</v>
      </c>
      <c r="HOR13" t="s">
        <v>6984</v>
      </c>
      <c r="HOS13" t="s">
        <v>6984</v>
      </c>
      <c r="HOT13" t="s">
        <v>6984</v>
      </c>
      <c r="HOU13" t="s">
        <v>6984</v>
      </c>
      <c r="HOV13" t="s">
        <v>6984</v>
      </c>
      <c r="HOW13" t="s">
        <v>6984</v>
      </c>
      <c r="HOX13" t="s">
        <v>6984</v>
      </c>
      <c r="HOY13" t="s">
        <v>6984</v>
      </c>
      <c r="HOZ13" t="s">
        <v>6984</v>
      </c>
      <c r="HPA13" t="s">
        <v>6984</v>
      </c>
      <c r="HPB13" t="s">
        <v>6984</v>
      </c>
      <c r="HPC13" t="s">
        <v>6984</v>
      </c>
      <c r="HPD13" t="s">
        <v>6984</v>
      </c>
      <c r="HPE13" t="s">
        <v>6984</v>
      </c>
      <c r="HPF13" t="s">
        <v>6984</v>
      </c>
      <c r="HPG13" t="s">
        <v>6984</v>
      </c>
      <c r="HPH13" t="s">
        <v>6984</v>
      </c>
      <c r="HPI13" t="s">
        <v>6984</v>
      </c>
      <c r="HPJ13" t="s">
        <v>6984</v>
      </c>
      <c r="HPK13" t="s">
        <v>6984</v>
      </c>
      <c r="HPL13" t="s">
        <v>6984</v>
      </c>
      <c r="HPM13" t="s">
        <v>6984</v>
      </c>
      <c r="HPN13" t="s">
        <v>6984</v>
      </c>
      <c r="HPO13" t="s">
        <v>6984</v>
      </c>
      <c r="HPP13" t="s">
        <v>6984</v>
      </c>
      <c r="HPQ13" t="s">
        <v>6984</v>
      </c>
      <c r="HPR13" t="s">
        <v>6984</v>
      </c>
      <c r="HPS13" t="s">
        <v>6984</v>
      </c>
      <c r="HPT13" t="s">
        <v>6984</v>
      </c>
      <c r="HPU13" t="s">
        <v>6984</v>
      </c>
      <c r="HPV13" t="s">
        <v>6984</v>
      </c>
      <c r="HPW13" t="s">
        <v>6984</v>
      </c>
      <c r="HPX13" t="s">
        <v>6984</v>
      </c>
      <c r="HPY13" t="s">
        <v>6984</v>
      </c>
      <c r="HPZ13" t="s">
        <v>6984</v>
      </c>
      <c r="HQA13" t="s">
        <v>6984</v>
      </c>
      <c r="HQB13" t="s">
        <v>6984</v>
      </c>
      <c r="HQC13" t="s">
        <v>6984</v>
      </c>
      <c r="HQD13" t="s">
        <v>6984</v>
      </c>
      <c r="HQE13" t="s">
        <v>6984</v>
      </c>
      <c r="HQF13" t="s">
        <v>6984</v>
      </c>
      <c r="HQG13" t="s">
        <v>6984</v>
      </c>
      <c r="HQH13" t="s">
        <v>6984</v>
      </c>
      <c r="HQI13" t="s">
        <v>6984</v>
      </c>
      <c r="HQJ13" t="s">
        <v>6984</v>
      </c>
      <c r="HQK13" t="s">
        <v>6984</v>
      </c>
      <c r="HQL13" t="s">
        <v>6984</v>
      </c>
      <c r="HQM13" t="s">
        <v>6984</v>
      </c>
      <c r="HQN13" t="s">
        <v>6984</v>
      </c>
      <c r="HQO13" t="s">
        <v>6984</v>
      </c>
      <c r="HQP13" t="s">
        <v>6984</v>
      </c>
      <c r="HQQ13" t="s">
        <v>6984</v>
      </c>
      <c r="HQR13" t="s">
        <v>6984</v>
      </c>
      <c r="HQS13" t="s">
        <v>6984</v>
      </c>
      <c r="HQT13" t="s">
        <v>6984</v>
      </c>
      <c r="HQU13" t="s">
        <v>6984</v>
      </c>
      <c r="HQV13" t="s">
        <v>6984</v>
      </c>
      <c r="HQW13" t="s">
        <v>6984</v>
      </c>
      <c r="HQX13" t="s">
        <v>6984</v>
      </c>
      <c r="HQY13" t="s">
        <v>6984</v>
      </c>
      <c r="HQZ13" t="s">
        <v>6984</v>
      </c>
      <c r="HRA13" t="s">
        <v>6984</v>
      </c>
      <c r="HRB13" t="s">
        <v>6984</v>
      </c>
      <c r="HRC13" t="s">
        <v>6984</v>
      </c>
      <c r="HRD13" t="s">
        <v>6984</v>
      </c>
      <c r="HRE13" t="s">
        <v>6984</v>
      </c>
      <c r="HRF13" t="s">
        <v>6984</v>
      </c>
      <c r="HRG13" t="s">
        <v>6984</v>
      </c>
      <c r="HRH13" t="s">
        <v>6984</v>
      </c>
      <c r="HRI13" t="s">
        <v>6984</v>
      </c>
      <c r="HRJ13" t="s">
        <v>6984</v>
      </c>
      <c r="HRK13" t="s">
        <v>6984</v>
      </c>
      <c r="HRL13" t="s">
        <v>6984</v>
      </c>
      <c r="HRM13" t="s">
        <v>6984</v>
      </c>
      <c r="HRN13" t="s">
        <v>6984</v>
      </c>
      <c r="HRO13" t="s">
        <v>6984</v>
      </c>
      <c r="HRP13" t="s">
        <v>6984</v>
      </c>
      <c r="HRQ13" t="s">
        <v>6984</v>
      </c>
      <c r="HRR13" t="s">
        <v>6984</v>
      </c>
      <c r="HRS13" t="s">
        <v>6984</v>
      </c>
      <c r="HRT13" t="s">
        <v>6984</v>
      </c>
      <c r="HRU13" t="s">
        <v>6984</v>
      </c>
      <c r="HRV13" t="s">
        <v>6984</v>
      </c>
      <c r="HRW13" t="s">
        <v>6984</v>
      </c>
      <c r="HRX13" t="s">
        <v>6984</v>
      </c>
      <c r="HRY13" t="s">
        <v>6984</v>
      </c>
      <c r="HRZ13" t="s">
        <v>6984</v>
      </c>
      <c r="HSA13" t="s">
        <v>6984</v>
      </c>
      <c r="HSB13" t="s">
        <v>6984</v>
      </c>
      <c r="HSC13" t="s">
        <v>6984</v>
      </c>
      <c r="HSD13" t="s">
        <v>6984</v>
      </c>
      <c r="HSE13" t="s">
        <v>6984</v>
      </c>
      <c r="HSF13" t="s">
        <v>6984</v>
      </c>
      <c r="HSG13" t="s">
        <v>6984</v>
      </c>
      <c r="HSH13" t="s">
        <v>6984</v>
      </c>
      <c r="HSI13" t="s">
        <v>6984</v>
      </c>
      <c r="HSJ13" t="s">
        <v>6984</v>
      </c>
      <c r="HSK13" t="s">
        <v>6984</v>
      </c>
      <c r="HSL13" t="s">
        <v>6984</v>
      </c>
      <c r="HSM13" t="s">
        <v>6984</v>
      </c>
      <c r="HSN13" t="s">
        <v>6984</v>
      </c>
      <c r="HSO13" t="s">
        <v>6984</v>
      </c>
      <c r="HSP13" t="s">
        <v>6984</v>
      </c>
      <c r="HSQ13" t="s">
        <v>6984</v>
      </c>
      <c r="HSR13" t="s">
        <v>6984</v>
      </c>
      <c r="HSS13" t="s">
        <v>6984</v>
      </c>
      <c r="HST13" t="s">
        <v>6984</v>
      </c>
      <c r="HSU13" t="s">
        <v>6984</v>
      </c>
      <c r="HSV13" t="s">
        <v>6984</v>
      </c>
      <c r="HSW13" t="s">
        <v>6984</v>
      </c>
      <c r="HSX13" t="s">
        <v>6984</v>
      </c>
      <c r="HSY13" t="s">
        <v>6984</v>
      </c>
      <c r="HSZ13" t="s">
        <v>6984</v>
      </c>
      <c r="HTA13" t="s">
        <v>6984</v>
      </c>
      <c r="HTB13" t="s">
        <v>6984</v>
      </c>
      <c r="HTC13" t="s">
        <v>6984</v>
      </c>
      <c r="HTD13" t="s">
        <v>6984</v>
      </c>
      <c r="HTE13" t="s">
        <v>6984</v>
      </c>
      <c r="HTF13" t="s">
        <v>6984</v>
      </c>
      <c r="HTG13" t="s">
        <v>6984</v>
      </c>
      <c r="HTH13" t="s">
        <v>6984</v>
      </c>
      <c r="HTI13" t="s">
        <v>6984</v>
      </c>
      <c r="HTJ13" t="s">
        <v>6984</v>
      </c>
      <c r="HTK13" t="s">
        <v>6984</v>
      </c>
      <c r="HTL13" t="s">
        <v>6984</v>
      </c>
      <c r="HTM13" t="s">
        <v>6984</v>
      </c>
      <c r="HTN13" t="s">
        <v>6984</v>
      </c>
      <c r="HTO13" t="s">
        <v>6984</v>
      </c>
      <c r="HTP13" t="s">
        <v>6984</v>
      </c>
      <c r="HTQ13" t="s">
        <v>6984</v>
      </c>
      <c r="HTR13" t="s">
        <v>6984</v>
      </c>
      <c r="HTS13" t="s">
        <v>6984</v>
      </c>
      <c r="HTT13" t="s">
        <v>6984</v>
      </c>
      <c r="HTU13" t="s">
        <v>6984</v>
      </c>
      <c r="HTV13" t="s">
        <v>6984</v>
      </c>
      <c r="HTW13" t="s">
        <v>6984</v>
      </c>
      <c r="HTX13" t="s">
        <v>6984</v>
      </c>
      <c r="HTY13" t="s">
        <v>6984</v>
      </c>
      <c r="HTZ13" t="s">
        <v>6984</v>
      </c>
      <c r="HUA13" t="s">
        <v>6984</v>
      </c>
      <c r="HUB13" t="s">
        <v>6984</v>
      </c>
      <c r="HUC13" t="s">
        <v>6984</v>
      </c>
      <c r="HUD13" t="s">
        <v>6984</v>
      </c>
      <c r="HUE13" t="s">
        <v>6984</v>
      </c>
      <c r="HUF13" t="s">
        <v>6984</v>
      </c>
      <c r="HUG13" t="s">
        <v>6984</v>
      </c>
      <c r="HUH13" t="s">
        <v>6984</v>
      </c>
      <c r="HUI13" t="s">
        <v>6984</v>
      </c>
      <c r="HUJ13" t="s">
        <v>6984</v>
      </c>
      <c r="HUK13" t="s">
        <v>6984</v>
      </c>
      <c r="HUL13" t="s">
        <v>6984</v>
      </c>
      <c r="HUM13" t="s">
        <v>6984</v>
      </c>
      <c r="HUN13" t="s">
        <v>6984</v>
      </c>
      <c r="HUO13" t="s">
        <v>6984</v>
      </c>
      <c r="HUP13" t="s">
        <v>6984</v>
      </c>
      <c r="HUQ13" t="s">
        <v>6984</v>
      </c>
      <c r="HUR13" t="s">
        <v>6984</v>
      </c>
      <c r="HUS13" t="s">
        <v>6984</v>
      </c>
      <c r="HUT13" t="s">
        <v>6984</v>
      </c>
      <c r="HUU13" t="s">
        <v>6984</v>
      </c>
      <c r="HUV13" t="s">
        <v>6984</v>
      </c>
      <c r="HUW13" t="s">
        <v>6984</v>
      </c>
      <c r="HUX13" t="s">
        <v>6984</v>
      </c>
      <c r="HUY13" t="s">
        <v>6984</v>
      </c>
      <c r="HUZ13" t="s">
        <v>6984</v>
      </c>
      <c r="HVA13" t="s">
        <v>6984</v>
      </c>
      <c r="HVB13" t="s">
        <v>6984</v>
      </c>
      <c r="HVC13" t="s">
        <v>6984</v>
      </c>
      <c r="HVD13" t="s">
        <v>6984</v>
      </c>
      <c r="HVE13" t="s">
        <v>6984</v>
      </c>
      <c r="HVF13" t="s">
        <v>6984</v>
      </c>
      <c r="HVG13" t="s">
        <v>6984</v>
      </c>
      <c r="HVH13" t="s">
        <v>6984</v>
      </c>
      <c r="HVI13" t="s">
        <v>6984</v>
      </c>
      <c r="HVJ13" t="s">
        <v>6984</v>
      </c>
      <c r="HVK13" t="s">
        <v>6984</v>
      </c>
      <c r="HVL13" t="s">
        <v>6984</v>
      </c>
      <c r="HVM13" t="s">
        <v>6984</v>
      </c>
      <c r="HVN13" t="s">
        <v>6984</v>
      </c>
      <c r="HVO13" t="s">
        <v>6984</v>
      </c>
      <c r="HVP13" t="s">
        <v>6984</v>
      </c>
      <c r="HVQ13" t="s">
        <v>6984</v>
      </c>
      <c r="HVR13" t="s">
        <v>6984</v>
      </c>
      <c r="HVS13" t="s">
        <v>6984</v>
      </c>
      <c r="HVT13" t="s">
        <v>6984</v>
      </c>
      <c r="HVU13" t="s">
        <v>6984</v>
      </c>
      <c r="HVV13" t="s">
        <v>6984</v>
      </c>
      <c r="HVW13" t="s">
        <v>6984</v>
      </c>
      <c r="HVX13" t="s">
        <v>6984</v>
      </c>
      <c r="HVY13" t="s">
        <v>6984</v>
      </c>
      <c r="HVZ13" t="s">
        <v>6984</v>
      </c>
      <c r="HWA13" t="s">
        <v>6984</v>
      </c>
      <c r="HWB13" t="s">
        <v>6984</v>
      </c>
      <c r="HWC13" t="s">
        <v>6984</v>
      </c>
      <c r="HWD13" t="s">
        <v>6984</v>
      </c>
      <c r="HWE13" t="s">
        <v>6984</v>
      </c>
      <c r="HWF13" t="s">
        <v>6984</v>
      </c>
      <c r="HWG13" t="s">
        <v>6984</v>
      </c>
      <c r="HWH13" t="s">
        <v>6984</v>
      </c>
      <c r="HWI13" t="s">
        <v>6984</v>
      </c>
      <c r="HWJ13" t="s">
        <v>6984</v>
      </c>
      <c r="HWK13" t="s">
        <v>6984</v>
      </c>
      <c r="HWL13" t="s">
        <v>6984</v>
      </c>
      <c r="HWM13" t="s">
        <v>6984</v>
      </c>
      <c r="HWN13" t="s">
        <v>6984</v>
      </c>
      <c r="HWO13" t="s">
        <v>6984</v>
      </c>
      <c r="HWP13" t="s">
        <v>6984</v>
      </c>
      <c r="HWQ13" t="s">
        <v>6984</v>
      </c>
      <c r="HWR13" t="s">
        <v>6984</v>
      </c>
      <c r="HWS13" t="s">
        <v>6984</v>
      </c>
      <c r="HWT13" t="s">
        <v>6984</v>
      </c>
      <c r="HWU13" t="s">
        <v>6984</v>
      </c>
      <c r="HWV13" t="s">
        <v>6984</v>
      </c>
      <c r="HWW13" t="s">
        <v>6984</v>
      </c>
      <c r="HWX13" t="s">
        <v>6984</v>
      </c>
      <c r="HWY13" t="s">
        <v>6984</v>
      </c>
      <c r="HWZ13" t="s">
        <v>6984</v>
      </c>
      <c r="HXA13" t="s">
        <v>6984</v>
      </c>
      <c r="HXB13" t="s">
        <v>6984</v>
      </c>
      <c r="HXC13" t="s">
        <v>6984</v>
      </c>
      <c r="HXD13" t="s">
        <v>6984</v>
      </c>
      <c r="HXE13" t="s">
        <v>6984</v>
      </c>
      <c r="HXF13" t="s">
        <v>6984</v>
      </c>
      <c r="HXG13" t="s">
        <v>6984</v>
      </c>
      <c r="HXH13" t="s">
        <v>6984</v>
      </c>
      <c r="HXI13" t="s">
        <v>6984</v>
      </c>
      <c r="HXJ13" t="s">
        <v>6984</v>
      </c>
      <c r="HXK13" t="s">
        <v>6984</v>
      </c>
      <c r="HXL13" t="s">
        <v>6984</v>
      </c>
      <c r="HXM13" t="s">
        <v>6984</v>
      </c>
      <c r="HXN13" t="s">
        <v>6984</v>
      </c>
      <c r="HXO13" t="s">
        <v>6984</v>
      </c>
      <c r="HXP13" t="s">
        <v>6984</v>
      </c>
      <c r="HXQ13" t="s">
        <v>6984</v>
      </c>
      <c r="HXR13" t="s">
        <v>6984</v>
      </c>
      <c r="HXS13" t="s">
        <v>6984</v>
      </c>
      <c r="HXT13" t="s">
        <v>6984</v>
      </c>
      <c r="HXU13" t="s">
        <v>6984</v>
      </c>
      <c r="HXV13" t="s">
        <v>6984</v>
      </c>
      <c r="HXW13" t="s">
        <v>6984</v>
      </c>
      <c r="HXX13" t="s">
        <v>6984</v>
      </c>
      <c r="HXY13" t="s">
        <v>6984</v>
      </c>
      <c r="HXZ13" t="s">
        <v>6984</v>
      </c>
      <c r="HYA13" t="s">
        <v>6984</v>
      </c>
      <c r="HYB13" t="s">
        <v>6984</v>
      </c>
      <c r="HYC13" t="s">
        <v>6984</v>
      </c>
      <c r="HYD13" t="s">
        <v>6984</v>
      </c>
      <c r="HYE13" t="s">
        <v>6984</v>
      </c>
      <c r="HYF13" t="s">
        <v>6984</v>
      </c>
      <c r="HYG13" t="s">
        <v>6984</v>
      </c>
      <c r="HYH13" t="s">
        <v>6984</v>
      </c>
      <c r="HYI13" t="s">
        <v>6984</v>
      </c>
      <c r="HYJ13" t="s">
        <v>6984</v>
      </c>
      <c r="HYK13" t="s">
        <v>6984</v>
      </c>
      <c r="HYL13" t="s">
        <v>6984</v>
      </c>
      <c r="HYM13" t="s">
        <v>6984</v>
      </c>
      <c r="HYN13" t="s">
        <v>6984</v>
      </c>
      <c r="HYO13" t="s">
        <v>6984</v>
      </c>
      <c r="HYP13" t="s">
        <v>6984</v>
      </c>
      <c r="HYQ13" t="s">
        <v>6984</v>
      </c>
      <c r="HYR13" t="s">
        <v>6984</v>
      </c>
      <c r="HYS13" t="s">
        <v>6984</v>
      </c>
      <c r="HYT13" t="s">
        <v>6984</v>
      </c>
      <c r="HYU13" t="s">
        <v>6984</v>
      </c>
      <c r="HYV13" t="s">
        <v>6984</v>
      </c>
      <c r="HYW13" t="s">
        <v>6984</v>
      </c>
      <c r="HYX13" t="s">
        <v>6984</v>
      </c>
      <c r="HYY13" t="s">
        <v>6984</v>
      </c>
      <c r="HYZ13" t="s">
        <v>6984</v>
      </c>
      <c r="HZA13" t="s">
        <v>6984</v>
      </c>
      <c r="HZB13" t="s">
        <v>6984</v>
      </c>
      <c r="HZC13" t="s">
        <v>6984</v>
      </c>
      <c r="HZD13" t="s">
        <v>6984</v>
      </c>
      <c r="HZE13" t="s">
        <v>6984</v>
      </c>
      <c r="HZF13" t="s">
        <v>6984</v>
      </c>
      <c r="HZG13" t="s">
        <v>6984</v>
      </c>
      <c r="HZH13" t="s">
        <v>6984</v>
      </c>
      <c r="HZI13" t="s">
        <v>6984</v>
      </c>
      <c r="HZJ13" t="s">
        <v>6984</v>
      </c>
      <c r="HZK13" t="s">
        <v>6984</v>
      </c>
      <c r="HZL13" t="s">
        <v>6984</v>
      </c>
      <c r="HZM13" t="s">
        <v>6984</v>
      </c>
      <c r="HZN13" t="s">
        <v>6984</v>
      </c>
      <c r="HZO13" t="s">
        <v>6984</v>
      </c>
      <c r="HZP13" t="s">
        <v>6984</v>
      </c>
      <c r="HZQ13" t="s">
        <v>6984</v>
      </c>
      <c r="HZR13" t="s">
        <v>6984</v>
      </c>
      <c r="HZS13" t="s">
        <v>6984</v>
      </c>
      <c r="HZT13" t="s">
        <v>6984</v>
      </c>
      <c r="HZU13" t="s">
        <v>6984</v>
      </c>
      <c r="HZV13" t="s">
        <v>6984</v>
      </c>
      <c r="HZW13" t="s">
        <v>6984</v>
      </c>
      <c r="HZX13" t="s">
        <v>6984</v>
      </c>
      <c r="HZY13" t="s">
        <v>6984</v>
      </c>
      <c r="HZZ13" t="s">
        <v>6984</v>
      </c>
      <c r="IAA13" t="s">
        <v>6984</v>
      </c>
      <c r="IAB13" t="s">
        <v>6984</v>
      </c>
      <c r="IAC13" t="s">
        <v>6984</v>
      </c>
      <c r="IAD13" t="s">
        <v>6984</v>
      </c>
      <c r="IAE13" t="s">
        <v>6984</v>
      </c>
      <c r="IAF13" t="s">
        <v>6984</v>
      </c>
      <c r="IAG13" t="s">
        <v>6984</v>
      </c>
      <c r="IAH13" t="s">
        <v>6984</v>
      </c>
      <c r="IAI13" t="s">
        <v>6984</v>
      </c>
      <c r="IAJ13" t="s">
        <v>6984</v>
      </c>
      <c r="IAK13" t="s">
        <v>6984</v>
      </c>
      <c r="IAL13" t="s">
        <v>6984</v>
      </c>
      <c r="IAM13" t="s">
        <v>6984</v>
      </c>
      <c r="IAN13" t="s">
        <v>6984</v>
      </c>
      <c r="IAO13" t="s">
        <v>6984</v>
      </c>
      <c r="IAP13" t="s">
        <v>6984</v>
      </c>
      <c r="IAQ13" t="s">
        <v>6984</v>
      </c>
      <c r="IAR13" t="s">
        <v>6984</v>
      </c>
      <c r="IAS13" t="s">
        <v>6984</v>
      </c>
      <c r="IAT13" t="s">
        <v>6984</v>
      </c>
      <c r="IAU13" t="s">
        <v>6984</v>
      </c>
      <c r="IAV13" t="s">
        <v>6984</v>
      </c>
      <c r="IAW13" t="s">
        <v>6984</v>
      </c>
      <c r="IAX13" t="s">
        <v>6984</v>
      </c>
      <c r="IAY13" t="s">
        <v>6984</v>
      </c>
      <c r="IAZ13" t="s">
        <v>6984</v>
      </c>
      <c r="IBA13" t="s">
        <v>6984</v>
      </c>
      <c r="IBB13" t="s">
        <v>6984</v>
      </c>
      <c r="IBC13" t="s">
        <v>6984</v>
      </c>
      <c r="IBD13" t="s">
        <v>6984</v>
      </c>
      <c r="IBE13" t="s">
        <v>6984</v>
      </c>
      <c r="IBF13" t="s">
        <v>6984</v>
      </c>
      <c r="IBG13" t="s">
        <v>6984</v>
      </c>
      <c r="IBH13" t="s">
        <v>6984</v>
      </c>
      <c r="IBI13" t="s">
        <v>6984</v>
      </c>
      <c r="IBJ13" t="s">
        <v>6984</v>
      </c>
      <c r="IBK13" t="s">
        <v>6984</v>
      </c>
      <c r="IBL13" t="s">
        <v>6984</v>
      </c>
      <c r="IBM13" t="s">
        <v>6984</v>
      </c>
      <c r="IBN13" t="s">
        <v>6984</v>
      </c>
      <c r="IBO13" t="s">
        <v>6984</v>
      </c>
      <c r="IBP13" t="s">
        <v>6984</v>
      </c>
      <c r="IBQ13" t="s">
        <v>6984</v>
      </c>
      <c r="IBR13" t="s">
        <v>6984</v>
      </c>
      <c r="IBS13" t="s">
        <v>6984</v>
      </c>
      <c r="IBT13" t="s">
        <v>6984</v>
      </c>
      <c r="IBU13" t="s">
        <v>6984</v>
      </c>
      <c r="IBV13" t="s">
        <v>6984</v>
      </c>
      <c r="IBW13" t="s">
        <v>6984</v>
      </c>
      <c r="IBX13" t="s">
        <v>6984</v>
      </c>
      <c r="IBY13" t="s">
        <v>6984</v>
      </c>
      <c r="IBZ13" t="s">
        <v>6984</v>
      </c>
      <c r="ICA13" t="s">
        <v>6984</v>
      </c>
      <c r="ICB13" t="s">
        <v>6984</v>
      </c>
      <c r="ICC13" t="s">
        <v>6984</v>
      </c>
      <c r="ICD13" t="s">
        <v>6984</v>
      </c>
      <c r="ICE13" t="s">
        <v>6984</v>
      </c>
      <c r="ICF13" t="s">
        <v>6984</v>
      </c>
      <c r="ICG13" t="s">
        <v>6984</v>
      </c>
      <c r="ICH13" t="s">
        <v>6984</v>
      </c>
      <c r="ICI13" t="s">
        <v>6984</v>
      </c>
      <c r="ICJ13" t="s">
        <v>6984</v>
      </c>
      <c r="ICK13" t="s">
        <v>6984</v>
      </c>
      <c r="ICL13" t="s">
        <v>6984</v>
      </c>
      <c r="ICM13" t="s">
        <v>6984</v>
      </c>
      <c r="ICN13" t="s">
        <v>6984</v>
      </c>
      <c r="ICO13" t="s">
        <v>6984</v>
      </c>
      <c r="ICP13" t="s">
        <v>6984</v>
      </c>
      <c r="ICQ13" t="s">
        <v>6984</v>
      </c>
      <c r="ICR13" t="s">
        <v>6984</v>
      </c>
      <c r="ICS13" t="s">
        <v>6984</v>
      </c>
      <c r="ICT13" t="s">
        <v>6984</v>
      </c>
      <c r="ICU13" t="s">
        <v>6984</v>
      </c>
      <c r="ICV13" t="s">
        <v>6984</v>
      </c>
      <c r="ICW13" t="s">
        <v>6984</v>
      </c>
      <c r="ICX13" t="s">
        <v>6984</v>
      </c>
      <c r="ICY13" t="s">
        <v>6984</v>
      </c>
      <c r="ICZ13" t="s">
        <v>6984</v>
      </c>
      <c r="IDA13" t="s">
        <v>6984</v>
      </c>
      <c r="IDB13" t="s">
        <v>6984</v>
      </c>
      <c r="IDC13" t="s">
        <v>6984</v>
      </c>
      <c r="IDD13" t="s">
        <v>6984</v>
      </c>
      <c r="IDE13" t="s">
        <v>6984</v>
      </c>
      <c r="IDF13" t="s">
        <v>6984</v>
      </c>
      <c r="IDG13" t="s">
        <v>6984</v>
      </c>
      <c r="IDH13" t="s">
        <v>6984</v>
      </c>
      <c r="IDI13" t="s">
        <v>6984</v>
      </c>
      <c r="IDJ13" t="s">
        <v>6984</v>
      </c>
      <c r="IDK13" t="s">
        <v>6984</v>
      </c>
      <c r="IDL13" t="s">
        <v>6984</v>
      </c>
      <c r="IDM13" t="s">
        <v>6984</v>
      </c>
      <c r="IDN13" t="s">
        <v>6984</v>
      </c>
      <c r="IDO13" t="s">
        <v>6984</v>
      </c>
      <c r="IDP13" t="s">
        <v>6984</v>
      </c>
      <c r="IDQ13" t="s">
        <v>6984</v>
      </c>
      <c r="IDR13" t="s">
        <v>6984</v>
      </c>
      <c r="IDS13" t="s">
        <v>6984</v>
      </c>
      <c r="IDT13" t="s">
        <v>6984</v>
      </c>
      <c r="IDU13" t="s">
        <v>6984</v>
      </c>
      <c r="IDV13" t="s">
        <v>6984</v>
      </c>
      <c r="IDW13" t="s">
        <v>6984</v>
      </c>
      <c r="IDX13" t="s">
        <v>6984</v>
      </c>
      <c r="IDY13" t="s">
        <v>6984</v>
      </c>
      <c r="IDZ13" t="s">
        <v>6984</v>
      </c>
      <c r="IEA13" t="s">
        <v>6984</v>
      </c>
      <c r="IEB13" t="s">
        <v>6984</v>
      </c>
      <c r="IEC13" t="s">
        <v>6984</v>
      </c>
      <c r="IED13" t="s">
        <v>6984</v>
      </c>
      <c r="IEE13" t="s">
        <v>6984</v>
      </c>
      <c r="IEF13" t="s">
        <v>6984</v>
      </c>
      <c r="IEG13" t="s">
        <v>6984</v>
      </c>
      <c r="IEH13" t="s">
        <v>6984</v>
      </c>
      <c r="IEI13" t="s">
        <v>6984</v>
      </c>
      <c r="IEJ13" t="s">
        <v>6984</v>
      </c>
      <c r="IEK13" t="s">
        <v>6984</v>
      </c>
      <c r="IEL13" t="s">
        <v>6984</v>
      </c>
      <c r="IEM13" t="s">
        <v>6984</v>
      </c>
      <c r="IEN13" t="s">
        <v>6984</v>
      </c>
      <c r="IEO13" t="s">
        <v>6984</v>
      </c>
      <c r="IEP13" t="s">
        <v>6984</v>
      </c>
      <c r="IEQ13" t="s">
        <v>6984</v>
      </c>
      <c r="IER13" t="s">
        <v>6984</v>
      </c>
      <c r="IES13" t="s">
        <v>6984</v>
      </c>
      <c r="IET13" t="s">
        <v>6984</v>
      </c>
      <c r="IEU13" t="s">
        <v>6984</v>
      </c>
      <c r="IEV13" t="s">
        <v>6984</v>
      </c>
      <c r="IEW13" t="s">
        <v>6984</v>
      </c>
      <c r="IEX13" t="s">
        <v>6984</v>
      </c>
      <c r="IEY13" t="s">
        <v>6984</v>
      </c>
      <c r="IEZ13" t="s">
        <v>6984</v>
      </c>
      <c r="IFA13" t="s">
        <v>6984</v>
      </c>
      <c r="IFB13" t="s">
        <v>6984</v>
      </c>
      <c r="IFC13" t="s">
        <v>6984</v>
      </c>
      <c r="IFD13" t="s">
        <v>6984</v>
      </c>
      <c r="IFE13" t="s">
        <v>6984</v>
      </c>
      <c r="IFF13" t="s">
        <v>6984</v>
      </c>
      <c r="IFG13" t="s">
        <v>6984</v>
      </c>
      <c r="IFH13" t="s">
        <v>6984</v>
      </c>
      <c r="IFI13" t="s">
        <v>6984</v>
      </c>
      <c r="IFJ13" t="s">
        <v>6984</v>
      </c>
      <c r="IFK13" t="s">
        <v>6984</v>
      </c>
      <c r="IFL13" t="s">
        <v>6984</v>
      </c>
      <c r="IFM13" t="s">
        <v>6984</v>
      </c>
      <c r="IFN13" t="s">
        <v>6984</v>
      </c>
      <c r="IFO13" t="s">
        <v>6984</v>
      </c>
      <c r="IFP13" t="s">
        <v>6984</v>
      </c>
      <c r="IFQ13" t="s">
        <v>6984</v>
      </c>
      <c r="IFR13" t="s">
        <v>6984</v>
      </c>
      <c r="IFS13" t="s">
        <v>6984</v>
      </c>
      <c r="IFT13" t="s">
        <v>6984</v>
      </c>
      <c r="IFU13" t="s">
        <v>6984</v>
      </c>
      <c r="IFV13" t="s">
        <v>6984</v>
      </c>
      <c r="IFW13" t="s">
        <v>6984</v>
      </c>
      <c r="IFX13" t="s">
        <v>6984</v>
      </c>
      <c r="IFY13" t="s">
        <v>6984</v>
      </c>
      <c r="IFZ13" t="s">
        <v>6984</v>
      </c>
      <c r="IGA13" t="s">
        <v>6984</v>
      </c>
      <c r="IGB13" t="s">
        <v>6984</v>
      </c>
      <c r="IGC13" t="s">
        <v>6984</v>
      </c>
      <c r="IGD13" t="s">
        <v>6984</v>
      </c>
      <c r="IGE13" t="s">
        <v>6984</v>
      </c>
      <c r="IGF13" t="s">
        <v>6984</v>
      </c>
      <c r="IGG13" t="s">
        <v>6984</v>
      </c>
      <c r="IGH13" t="s">
        <v>6984</v>
      </c>
      <c r="IGI13" t="s">
        <v>6984</v>
      </c>
      <c r="IGJ13" t="s">
        <v>6984</v>
      </c>
      <c r="IGK13" t="s">
        <v>6984</v>
      </c>
      <c r="IGL13" t="s">
        <v>6984</v>
      </c>
      <c r="IGM13" t="s">
        <v>6984</v>
      </c>
      <c r="IGN13" t="s">
        <v>6984</v>
      </c>
      <c r="IGO13" t="s">
        <v>6984</v>
      </c>
      <c r="IGP13" t="s">
        <v>6984</v>
      </c>
      <c r="IGQ13" t="s">
        <v>6984</v>
      </c>
      <c r="IGR13" t="s">
        <v>6984</v>
      </c>
      <c r="IGS13" t="s">
        <v>6984</v>
      </c>
      <c r="IGT13" t="s">
        <v>6984</v>
      </c>
      <c r="IGU13" t="s">
        <v>6984</v>
      </c>
      <c r="IGV13" t="s">
        <v>6984</v>
      </c>
      <c r="IGW13" t="s">
        <v>6984</v>
      </c>
      <c r="IGX13" t="s">
        <v>6984</v>
      </c>
      <c r="IGY13" t="s">
        <v>6984</v>
      </c>
      <c r="IGZ13" t="s">
        <v>6984</v>
      </c>
      <c r="IHA13" t="s">
        <v>6984</v>
      </c>
      <c r="IHB13" t="s">
        <v>6984</v>
      </c>
      <c r="IHC13" t="s">
        <v>6984</v>
      </c>
      <c r="IHD13" t="s">
        <v>6984</v>
      </c>
      <c r="IHE13" t="s">
        <v>6984</v>
      </c>
      <c r="IHF13" t="s">
        <v>6984</v>
      </c>
      <c r="IHG13" t="s">
        <v>6984</v>
      </c>
      <c r="IHH13" t="s">
        <v>6984</v>
      </c>
      <c r="IHI13" t="s">
        <v>6984</v>
      </c>
      <c r="IHJ13" t="s">
        <v>6984</v>
      </c>
      <c r="IHK13" t="s">
        <v>6984</v>
      </c>
      <c r="IHL13" t="s">
        <v>6984</v>
      </c>
      <c r="IHM13" t="s">
        <v>6984</v>
      </c>
      <c r="IHN13" t="s">
        <v>6984</v>
      </c>
      <c r="IHO13" t="s">
        <v>6984</v>
      </c>
      <c r="IHP13" t="s">
        <v>6984</v>
      </c>
      <c r="IHQ13" t="s">
        <v>6984</v>
      </c>
      <c r="IHR13" t="s">
        <v>6984</v>
      </c>
      <c r="IHS13" t="s">
        <v>6984</v>
      </c>
      <c r="IHT13" t="s">
        <v>6984</v>
      </c>
      <c r="IHU13" t="s">
        <v>6984</v>
      </c>
      <c r="IHV13" t="s">
        <v>6984</v>
      </c>
      <c r="IHW13" t="s">
        <v>6984</v>
      </c>
      <c r="IHX13" t="s">
        <v>6984</v>
      </c>
      <c r="IHY13" t="s">
        <v>6984</v>
      </c>
      <c r="IHZ13" t="s">
        <v>6984</v>
      </c>
      <c r="IIA13" t="s">
        <v>6984</v>
      </c>
      <c r="IIB13" t="s">
        <v>6984</v>
      </c>
      <c r="IIC13" t="s">
        <v>6984</v>
      </c>
      <c r="IID13" t="s">
        <v>6984</v>
      </c>
      <c r="IIE13" t="s">
        <v>6984</v>
      </c>
      <c r="IIF13" t="s">
        <v>6984</v>
      </c>
      <c r="IIG13" t="s">
        <v>6984</v>
      </c>
      <c r="IIH13" t="s">
        <v>6984</v>
      </c>
      <c r="III13" t="s">
        <v>6984</v>
      </c>
      <c r="IIJ13" t="s">
        <v>6984</v>
      </c>
      <c r="IIK13" t="s">
        <v>6984</v>
      </c>
      <c r="IIL13" t="s">
        <v>6984</v>
      </c>
      <c r="IIM13" t="s">
        <v>6984</v>
      </c>
      <c r="IIN13" t="s">
        <v>6984</v>
      </c>
      <c r="IIO13" t="s">
        <v>6984</v>
      </c>
      <c r="IIP13" t="s">
        <v>6984</v>
      </c>
      <c r="IIQ13" t="s">
        <v>6984</v>
      </c>
      <c r="IIR13" t="s">
        <v>6984</v>
      </c>
      <c r="IIS13" t="s">
        <v>6984</v>
      </c>
      <c r="IIT13" t="s">
        <v>6984</v>
      </c>
      <c r="IIU13" t="s">
        <v>6984</v>
      </c>
      <c r="IIV13" t="s">
        <v>6984</v>
      </c>
      <c r="IIW13" t="s">
        <v>6984</v>
      </c>
      <c r="IIX13" t="s">
        <v>6984</v>
      </c>
      <c r="IIY13" t="s">
        <v>6984</v>
      </c>
      <c r="IIZ13" t="s">
        <v>6984</v>
      </c>
      <c r="IJA13" t="s">
        <v>6984</v>
      </c>
      <c r="IJB13" t="s">
        <v>6984</v>
      </c>
      <c r="IJC13" t="s">
        <v>6984</v>
      </c>
      <c r="IJD13" t="s">
        <v>6984</v>
      </c>
      <c r="IJE13" t="s">
        <v>6984</v>
      </c>
      <c r="IJF13" t="s">
        <v>6984</v>
      </c>
      <c r="IJG13" t="s">
        <v>6984</v>
      </c>
      <c r="IJH13" t="s">
        <v>6984</v>
      </c>
      <c r="IJI13" t="s">
        <v>6984</v>
      </c>
      <c r="IJJ13" t="s">
        <v>6984</v>
      </c>
      <c r="IJK13" t="s">
        <v>6984</v>
      </c>
      <c r="IJL13" t="s">
        <v>6984</v>
      </c>
      <c r="IJM13" t="s">
        <v>6984</v>
      </c>
      <c r="IJN13" t="s">
        <v>6984</v>
      </c>
      <c r="IJO13" t="s">
        <v>6984</v>
      </c>
      <c r="IJP13" t="s">
        <v>6984</v>
      </c>
      <c r="IJQ13" t="s">
        <v>6984</v>
      </c>
      <c r="IJR13" t="s">
        <v>6984</v>
      </c>
      <c r="IJS13" t="s">
        <v>6984</v>
      </c>
      <c r="IJT13" t="s">
        <v>6984</v>
      </c>
      <c r="IJU13" t="s">
        <v>6984</v>
      </c>
      <c r="IJV13" t="s">
        <v>6984</v>
      </c>
      <c r="IJW13" t="s">
        <v>6984</v>
      </c>
      <c r="IJX13" t="s">
        <v>6984</v>
      </c>
      <c r="IJY13" t="s">
        <v>6984</v>
      </c>
      <c r="IJZ13" t="s">
        <v>6984</v>
      </c>
      <c r="IKA13" t="s">
        <v>6984</v>
      </c>
      <c r="IKB13" t="s">
        <v>6984</v>
      </c>
      <c r="IKC13" t="s">
        <v>6984</v>
      </c>
      <c r="IKD13" t="s">
        <v>6984</v>
      </c>
      <c r="IKE13" t="s">
        <v>6984</v>
      </c>
      <c r="IKF13" t="s">
        <v>6984</v>
      </c>
      <c r="IKG13" t="s">
        <v>6984</v>
      </c>
      <c r="IKH13" t="s">
        <v>6984</v>
      </c>
      <c r="IKI13" t="s">
        <v>6984</v>
      </c>
      <c r="IKJ13" t="s">
        <v>6984</v>
      </c>
      <c r="IKK13" t="s">
        <v>6984</v>
      </c>
      <c r="IKL13" t="s">
        <v>6984</v>
      </c>
      <c r="IKM13" t="s">
        <v>6984</v>
      </c>
      <c r="IKN13" t="s">
        <v>6984</v>
      </c>
      <c r="IKO13" t="s">
        <v>6984</v>
      </c>
      <c r="IKP13" t="s">
        <v>6984</v>
      </c>
      <c r="IKQ13" t="s">
        <v>6984</v>
      </c>
      <c r="IKR13" t="s">
        <v>6984</v>
      </c>
      <c r="IKS13" t="s">
        <v>6984</v>
      </c>
      <c r="IKT13" t="s">
        <v>6984</v>
      </c>
      <c r="IKU13" t="s">
        <v>6984</v>
      </c>
      <c r="IKV13" t="s">
        <v>6984</v>
      </c>
      <c r="IKW13" t="s">
        <v>6984</v>
      </c>
      <c r="IKX13" t="s">
        <v>6984</v>
      </c>
      <c r="IKY13" t="s">
        <v>6984</v>
      </c>
      <c r="IKZ13" t="s">
        <v>6984</v>
      </c>
      <c r="ILA13" t="s">
        <v>6984</v>
      </c>
      <c r="ILB13" t="s">
        <v>6984</v>
      </c>
      <c r="ILC13" t="s">
        <v>6984</v>
      </c>
      <c r="ILD13" t="s">
        <v>6984</v>
      </c>
      <c r="ILE13" t="s">
        <v>6984</v>
      </c>
      <c r="ILF13" t="s">
        <v>6984</v>
      </c>
      <c r="ILG13" t="s">
        <v>6984</v>
      </c>
      <c r="ILH13" t="s">
        <v>6984</v>
      </c>
      <c r="ILI13" t="s">
        <v>6984</v>
      </c>
      <c r="ILJ13" t="s">
        <v>6984</v>
      </c>
      <c r="ILK13" t="s">
        <v>6984</v>
      </c>
      <c r="ILL13" t="s">
        <v>6984</v>
      </c>
      <c r="ILM13" t="s">
        <v>6984</v>
      </c>
      <c r="ILN13" t="s">
        <v>6984</v>
      </c>
      <c r="ILO13" t="s">
        <v>6984</v>
      </c>
      <c r="ILP13" t="s">
        <v>6984</v>
      </c>
      <c r="ILQ13" t="s">
        <v>6984</v>
      </c>
      <c r="ILR13" t="s">
        <v>6984</v>
      </c>
      <c r="ILS13" t="s">
        <v>6984</v>
      </c>
      <c r="ILT13" t="s">
        <v>6984</v>
      </c>
      <c r="ILU13" t="s">
        <v>6984</v>
      </c>
      <c r="ILV13" t="s">
        <v>6984</v>
      </c>
      <c r="ILW13" t="s">
        <v>6984</v>
      </c>
      <c r="ILX13" t="s">
        <v>6984</v>
      </c>
      <c r="ILY13" t="s">
        <v>6984</v>
      </c>
      <c r="ILZ13" t="s">
        <v>6984</v>
      </c>
      <c r="IMA13" t="s">
        <v>6984</v>
      </c>
      <c r="IMB13" t="s">
        <v>6984</v>
      </c>
      <c r="IMC13" t="s">
        <v>6984</v>
      </c>
      <c r="IMD13" t="s">
        <v>6984</v>
      </c>
      <c r="IME13" t="s">
        <v>6984</v>
      </c>
      <c r="IMF13" t="s">
        <v>6984</v>
      </c>
      <c r="IMG13" t="s">
        <v>6984</v>
      </c>
      <c r="IMH13" t="s">
        <v>6984</v>
      </c>
      <c r="IMI13" t="s">
        <v>6984</v>
      </c>
      <c r="IMJ13" t="s">
        <v>6984</v>
      </c>
      <c r="IMK13" t="s">
        <v>6984</v>
      </c>
      <c r="IML13" t="s">
        <v>6984</v>
      </c>
      <c r="IMM13" t="s">
        <v>6984</v>
      </c>
      <c r="IMN13" t="s">
        <v>6984</v>
      </c>
      <c r="IMO13" t="s">
        <v>6984</v>
      </c>
      <c r="IMP13" t="s">
        <v>6984</v>
      </c>
      <c r="IMQ13" t="s">
        <v>6984</v>
      </c>
      <c r="IMR13" t="s">
        <v>6984</v>
      </c>
      <c r="IMS13" t="s">
        <v>6984</v>
      </c>
      <c r="IMT13" t="s">
        <v>6984</v>
      </c>
      <c r="IMU13" t="s">
        <v>6984</v>
      </c>
      <c r="IMV13" t="s">
        <v>6984</v>
      </c>
      <c r="IMW13" t="s">
        <v>6984</v>
      </c>
      <c r="IMX13" t="s">
        <v>6984</v>
      </c>
      <c r="IMY13" t="s">
        <v>6984</v>
      </c>
      <c r="IMZ13" t="s">
        <v>6984</v>
      </c>
      <c r="INA13" t="s">
        <v>6984</v>
      </c>
      <c r="INB13" t="s">
        <v>6984</v>
      </c>
      <c r="INC13" t="s">
        <v>6984</v>
      </c>
      <c r="IND13" t="s">
        <v>6984</v>
      </c>
      <c r="INE13" t="s">
        <v>6984</v>
      </c>
      <c r="INF13" t="s">
        <v>6984</v>
      </c>
      <c r="ING13" t="s">
        <v>6984</v>
      </c>
      <c r="INH13" t="s">
        <v>6984</v>
      </c>
      <c r="INI13" t="s">
        <v>6984</v>
      </c>
      <c r="INJ13" t="s">
        <v>6984</v>
      </c>
      <c r="INK13" t="s">
        <v>6984</v>
      </c>
      <c r="INL13" t="s">
        <v>6984</v>
      </c>
      <c r="INM13" t="s">
        <v>6984</v>
      </c>
      <c r="INN13" t="s">
        <v>6984</v>
      </c>
      <c r="INO13" t="s">
        <v>6984</v>
      </c>
      <c r="INP13" t="s">
        <v>6984</v>
      </c>
      <c r="INQ13" t="s">
        <v>6984</v>
      </c>
      <c r="INR13" t="s">
        <v>6984</v>
      </c>
      <c r="INS13" t="s">
        <v>6984</v>
      </c>
      <c r="INT13" t="s">
        <v>6984</v>
      </c>
      <c r="INU13" t="s">
        <v>6984</v>
      </c>
      <c r="INV13" t="s">
        <v>6984</v>
      </c>
      <c r="INW13" t="s">
        <v>6984</v>
      </c>
      <c r="INX13" t="s">
        <v>6984</v>
      </c>
      <c r="INY13" t="s">
        <v>6984</v>
      </c>
      <c r="INZ13" t="s">
        <v>6984</v>
      </c>
      <c r="IOA13" t="s">
        <v>6984</v>
      </c>
      <c r="IOB13" t="s">
        <v>6984</v>
      </c>
      <c r="IOC13" t="s">
        <v>6984</v>
      </c>
      <c r="IOD13" t="s">
        <v>6984</v>
      </c>
      <c r="IOE13" t="s">
        <v>6984</v>
      </c>
      <c r="IOF13" t="s">
        <v>6984</v>
      </c>
      <c r="IOG13" t="s">
        <v>6984</v>
      </c>
      <c r="IOH13" t="s">
        <v>6984</v>
      </c>
      <c r="IOI13" t="s">
        <v>6984</v>
      </c>
      <c r="IOJ13" t="s">
        <v>6984</v>
      </c>
      <c r="IOK13" t="s">
        <v>6984</v>
      </c>
      <c r="IOL13" t="s">
        <v>6984</v>
      </c>
      <c r="IOM13" t="s">
        <v>6984</v>
      </c>
      <c r="ION13" t="s">
        <v>6984</v>
      </c>
      <c r="IOO13" t="s">
        <v>6984</v>
      </c>
      <c r="IOP13" t="s">
        <v>6984</v>
      </c>
      <c r="IOQ13" t="s">
        <v>6984</v>
      </c>
      <c r="IOR13" t="s">
        <v>6984</v>
      </c>
      <c r="IOS13" t="s">
        <v>6984</v>
      </c>
      <c r="IOT13" t="s">
        <v>6984</v>
      </c>
      <c r="IOU13" t="s">
        <v>6984</v>
      </c>
      <c r="IOV13" t="s">
        <v>6984</v>
      </c>
      <c r="IOW13" t="s">
        <v>6984</v>
      </c>
      <c r="IOX13" t="s">
        <v>6984</v>
      </c>
      <c r="IOY13" t="s">
        <v>6984</v>
      </c>
      <c r="IOZ13" t="s">
        <v>6984</v>
      </c>
      <c r="IPA13" t="s">
        <v>6984</v>
      </c>
      <c r="IPB13" t="s">
        <v>6984</v>
      </c>
      <c r="IPC13" t="s">
        <v>6984</v>
      </c>
      <c r="IPD13" t="s">
        <v>6984</v>
      </c>
      <c r="IPE13" t="s">
        <v>6984</v>
      </c>
      <c r="IPF13" t="s">
        <v>6984</v>
      </c>
      <c r="IPG13" t="s">
        <v>6984</v>
      </c>
      <c r="IPH13" t="s">
        <v>6984</v>
      </c>
      <c r="IPI13" t="s">
        <v>6984</v>
      </c>
      <c r="IPJ13" t="s">
        <v>6984</v>
      </c>
      <c r="IPK13" t="s">
        <v>6984</v>
      </c>
      <c r="IPL13" t="s">
        <v>6984</v>
      </c>
      <c r="IPM13" t="s">
        <v>6984</v>
      </c>
      <c r="IPN13" t="s">
        <v>6984</v>
      </c>
      <c r="IPO13" t="s">
        <v>6984</v>
      </c>
      <c r="IPP13" t="s">
        <v>6984</v>
      </c>
      <c r="IPQ13" t="s">
        <v>6984</v>
      </c>
      <c r="IPR13" t="s">
        <v>6984</v>
      </c>
      <c r="IPS13" t="s">
        <v>6984</v>
      </c>
      <c r="IPT13" t="s">
        <v>6984</v>
      </c>
      <c r="IPU13" t="s">
        <v>6984</v>
      </c>
      <c r="IPV13" t="s">
        <v>6984</v>
      </c>
      <c r="IPW13" t="s">
        <v>6984</v>
      </c>
      <c r="IPX13" t="s">
        <v>6984</v>
      </c>
      <c r="IPY13" t="s">
        <v>6984</v>
      </c>
      <c r="IPZ13" t="s">
        <v>6984</v>
      </c>
      <c r="IQA13" t="s">
        <v>6984</v>
      </c>
      <c r="IQB13" t="s">
        <v>6984</v>
      </c>
      <c r="IQC13" t="s">
        <v>6984</v>
      </c>
      <c r="IQD13" t="s">
        <v>6984</v>
      </c>
      <c r="IQE13" t="s">
        <v>6984</v>
      </c>
      <c r="IQF13" t="s">
        <v>6984</v>
      </c>
      <c r="IQG13" t="s">
        <v>6984</v>
      </c>
      <c r="IQH13" t="s">
        <v>6984</v>
      </c>
      <c r="IQI13" t="s">
        <v>6984</v>
      </c>
      <c r="IQJ13" t="s">
        <v>6984</v>
      </c>
      <c r="IQK13" t="s">
        <v>6984</v>
      </c>
      <c r="IQL13" t="s">
        <v>6984</v>
      </c>
      <c r="IQM13" t="s">
        <v>6984</v>
      </c>
      <c r="IQN13" t="s">
        <v>6984</v>
      </c>
      <c r="IQO13" t="s">
        <v>6984</v>
      </c>
      <c r="IQP13" t="s">
        <v>6984</v>
      </c>
      <c r="IQQ13" t="s">
        <v>6984</v>
      </c>
      <c r="IQR13" t="s">
        <v>6984</v>
      </c>
      <c r="IQS13" t="s">
        <v>6984</v>
      </c>
      <c r="IQT13" t="s">
        <v>6984</v>
      </c>
      <c r="IQU13" t="s">
        <v>6984</v>
      </c>
      <c r="IQV13" t="s">
        <v>6984</v>
      </c>
      <c r="IQW13" t="s">
        <v>6984</v>
      </c>
      <c r="IQX13" t="s">
        <v>6984</v>
      </c>
      <c r="IQY13" t="s">
        <v>6984</v>
      </c>
      <c r="IQZ13" t="s">
        <v>6984</v>
      </c>
      <c r="IRA13" t="s">
        <v>6984</v>
      </c>
      <c r="IRB13" t="s">
        <v>6984</v>
      </c>
      <c r="IRC13" t="s">
        <v>6984</v>
      </c>
      <c r="IRD13" t="s">
        <v>6984</v>
      </c>
      <c r="IRE13" t="s">
        <v>6984</v>
      </c>
      <c r="IRF13" t="s">
        <v>6984</v>
      </c>
      <c r="IRG13" t="s">
        <v>6984</v>
      </c>
      <c r="IRH13" t="s">
        <v>6984</v>
      </c>
      <c r="IRI13" t="s">
        <v>6984</v>
      </c>
      <c r="IRJ13" t="s">
        <v>6984</v>
      </c>
      <c r="IRK13" t="s">
        <v>6984</v>
      </c>
      <c r="IRL13" t="s">
        <v>6984</v>
      </c>
      <c r="IRM13" t="s">
        <v>6984</v>
      </c>
      <c r="IRN13" t="s">
        <v>6984</v>
      </c>
      <c r="IRO13" t="s">
        <v>6984</v>
      </c>
      <c r="IRP13" t="s">
        <v>6984</v>
      </c>
      <c r="IRQ13" t="s">
        <v>6984</v>
      </c>
      <c r="IRR13" t="s">
        <v>6984</v>
      </c>
      <c r="IRS13" t="s">
        <v>6984</v>
      </c>
      <c r="IRT13" t="s">
        <v>6984</v>
      </c>
      <c r="IRU13" t="s">
        <v>6984</v>
      </c>
      <c r="IRV13" t="s">
        <v>6984</v>
      </c>
      <c r="IRW13" t="s">
        <v>6984</v>
      </c>
      <c r="IRX13" t="s">
        <v>6984</v>
      </c>
      <c r="IRY13" t="s">
        <v>6984</v>
      </c>
      <c r="IRZ13" t="s">
        <v>6984</v>
      </c>
      <c r="ISA13" t="s">
        <v>6984</v>
      </c>
      <c r="ISB13" t="s">
        <v>6984</v>
      </c>
      <c r="ISC13" t="s">
        <v>6984</v>
      </c>
      <c r="ISD13" t="s">
        <v>6984</v>
      </c>
      <c r="ISE13" t="s">
        <v>6984</v>
      </c>
      <c r="ISF13" t="s">
        <v>6984</v>
      </c>
      <c r="ISG13" t="s">
        <v>6984</v>
      </c>
      <c r="ISH13" t="s">
        <v>6984</v>
      </c>
      <c r="ISI13" t="s">
        <v>6984</v>
      </c>
      <c r="ISJ13" t="s">
        <v>6984</v>
      </c>
      <c r="ISK13" t="s">
        <v>6984</v>
      </c>
      <c r="ISL13" t="s">
        <v>6984</v>
      </c>
      <c r="ISM13" t="s">
        <v>6984</v>
      </c>
      <c r="ISN13" t="s">
        <v>6984</v>
      </c>
      <c r="ISO13" t="s">
        <v>6984</v>
      </c>
      <c r="ISP13" t="s">
        <v>6984</v>
      </c>
      <c r="ISQ13" t="s">
        <v>6984</v>
      </c>
      <c r="ISR13" t="s">
        <v>6984</v>
      </c>
      <c r="ISS13" t="s">
        <v>6984</v>
      </c>
      <c r="IST13" t="s">
        <v>6984</v>
      </c>
      <c r="ISU13" t="s">
        <v>6984</v>
      </c>
      <c r="ISV13" t="s">
        <v>6984</v>
      </c>
      <c r="ISW13" t="s">
        <v>6984</v>
      </c>
      <c r="ISX13" t="s">
        <v>6984</v>
      </c>
      <c r="ISY13" t="s">
        <v>6984</v>
      </c>
      <c r="ISZ13" t="s">
        <v>6984</v>
      </c>
      <c r="ITA13" t="s">
        <v>6984</v>
      </c>
      <c r="ITB13" t="s">
        <v>6984</v>
      </c>
      <c r="ITC13" t="s">
        <v>6984</v>
      </c>
      <c r="ITD13" t="s">
        <v>6984</v>
      </c>
      <c r="ITE13" t="s">
        <v>6984</v>
      </c>
      <c r="ITF13" t="s">
        <v>6984</v>
      </c>
      <c r="ITG13" t="s">
        <v>6984</v>
      </c>
      <c r="ITH13" t="s">
        <v>6984</v>
      </c>
      <c r="ITI13" t="s">
        <v>6984</v>
      </c>
      <c r="ITJ13" t="s">
        <v>6984</v>
      </c>
      <c r="ITK13" t="s">
        <v>6984</v>
      </c>
      <c r="ITL13" t="s">
        <v>6984</v>
      </c>
      <c r="ITM13" t="s">
        <v>6984</v>
      </c>
      <c r="ITN13" t="s">
        <v>6984</v>
      </c>
      <c r="ITO13" t="s">
        <v>6984</v>
      </c>
      <c r="ITP13" t="s">
        <v>6984</v>
      </c>
      <c r="ITQ13" t="s">
        <v>6984</v>
      </c>
      <c r="ITR13" t="s">
        <v>6984</v>
      </c>
      <c r="ITS13" t="s">
        <v>6984</v>
      </c>
      <c r="ITT13" t="s">
        <v>6984</v>
      </c>
      <c r="ITU13" t="s">
        <v>6984</v>
      </c>
      <c r="ITV13" t="s">
        <v>6984</v>
      </c>
      <c r="ITW13" t="s">
        <v>6984</v>
      </c>
      <c r="ITX13" t="s">
        <v>6984</v>
      </c>
      <c r="ITY13" t="s">
        <v>6984</v>
      </c>
      <c r="ITZ13" t="s">
        <v>6984</v>
      </c>
      <c r="IUA13" t="s">
        <v>6984</v>
      </c>
      <c r="IUB13" t="s">
        <v>6984</v>
      </c>
      <c r="IUC13" t="s">
        <v>6984</v>
      </c>
      <c r="IUD13" t="s">
        <v>6984</v>
      </c>
      <c r="IUE13" t="s">
        <v>6984</v>
      </c>
      <c r="IUF13" t="s">
        <v>6984</v>
      </c>
      <c r="IUG13" t="s">
        <v>6984</v>
      </c>
      <c r="IUH13" t="s">
        <v>6984</v>
      </c>
      <c r="IUI13" t="s">
        <v>6984</v>
      </c>
      <c r="IUJ13" t="s">
        <v>6984</v>
      </c>
      <c r="IUK13" t="s">
        <v>6984</v>
      </c>
      <c r="IUL13" t="s">
        <v>6984</v>
      </c>
      <c r="IUM13" t="s">
        <v>6984</v>
      </c>
      <c r="IUN13" t="s">
        <v>6984</v>
      </c>
      <c r="IUO13" t="s">
        <v>6984</v>
      </c>
      <c r="IUP13" t="s">
        <v>6984</v>
      </c>
      <c r="IUQ13" t="s">
        <v>6984</v>
      </c>
      <c r="IUR13" t="s">
        <v>6984</v>
      </c>
      <c r="IUS13" t="s">
        <v>6984</v>
      </c>
      <c r="IUT13" t="s">
        <v>6984</v>
      </c>
      <c r="IUU13" t="s">
        <v>6984</v>
      </c>
      <c r="IUV13" t="s">
        <v>6984</v>
      </c>
      <c r="IUW13" t="s">
        <v>6984</v>
      </c>
      <c r="IUX13" t="s">
        <v>6984</v>
      </c>
      <c r="IUY13" t="s">
        <v>6984</v>
      </c>
      <c r="IUZ13" t="s">
        <v>6984</v>
      </c>
      <c r="IVA13" t="s">
        <v>6984</v>
      </c>
      <c r="IVB13" t="s">
        <v>6984</v>
      </c>
      <c r="IVC13" t="s">
        <v>6984</v>
      </c>
      <c r="IVD13" t="s">
        <v>6984</v>
      </c>
      <c r="IVE13" t="s">
        <v>6984</v>
      </c>
      <c r="IVF13" t="s">
        <v>6984</v>
      </c>
      <c r="IVG13" t="s">
        <v>6984</v>
      </c>
      <c r="IVH13" t="s">
        <v>6984</v>
      </c>
      <c r="IVI13" t="s">
        <v>6984</v>
      </c>
      <c r="IVJ13" t="s">
        <v>6984</v>
      </c>
      <c r="IVK13" t="s">
        <v>6984</v>
      </c>
      <c r="IVL13" t="s">
        <v>6984</v>
      </c>
      <c r="IVM13" t="s">
        <v>6984</v>
      </c>
      <c r="IVN13" t="s">
        <v>6984</v>
      </c>
      <c r="IVO13" t="s">
        <v>6984</v>
      </c>
      <c r="IVP13" t="s">
        <v>6984</v>
      </c>
      <c r="IVQ13" t="s">
        <v>6984</v>
      </c>
      <c r="IVR13" t="s">
        <v>6984</v>
      </c>
      <c r="IVS13" t="s">
        <v>6984</v>
      </c>
      <c r="IVT13" t="s">
        <v>6984</v>
      </c>
      <c r="IVU13" t="s">
        <v>6984</v>
      </c>
      <c r="IVV13" t="s">
        <v>6984</v>
      </c>
      <c r="IVW13" t="s">
        <v>6984</v>
      </c>
      <c r="IVX13" t="s">
        <v>6984</v>
      </c>
      <c r="IVY13" t="s">
        <v>6984</v>
      </c>
      <c r="IVZ13" t="s">
        <v>6984</v>
      </c>
      <c r="IWA13" t="s">
        <v>6984</v>
      </c>
      <c r="IWB13" t="s">
        <v>6984</v>
      </c>
      <c r="IWC13" t="s">
        <v>6984</v>
      </c>
      <c r="IWD13" t="s">
        <v>6984</v>
      </c>
      <c r="IWE13" t="s">
        <v>6984</v>
      </c>
      <c r="IWF13" t="s">
        <v>6984</v>
      </c>
      <c r="IWG13" t="s">
        <v>6984</v>
      </c>
      <c r="IWH13" t="s">
        <v>6984</v>
      </c>
      <c r="IWI13" t="s">
        <v>6984</v>
      </c>
      <c r="IWJ13" t="s">
        <v>6984</v>
      </c>
      <c r="IWK13" t="s">
        <v>6984</v>
      </c>
      <c r="IWL13" t="s">
        <v>6984</v>
      </c>
      <c r="IWM13" t="s">
        <v>6984</v>
      </c>
      <c r="IWN13" t="s">
        <v>6984</v>
      </c>
      <c r="IWO13" t="s">
        <v>6984</v>
      </c>
      <c r="IWP13" t="s">
        <v>6984</v>
      </c>
      <c r="IWQ13" t="s">
        <v>6984</v>
      </c>
      <c r="IWR13" t="s">
        <v>6984</v>
      </c>
      <c r="IWS13" t="s">
        <v>6984</v>
      </c>
      <c r="IWT13" t="s">
        <v>6984</v>
      </c>
      <c r="IWU13" t="s">
        <v>6984</v>
      </c>
      <c r="IWV13" t="s">
        <v>6984</v>
      </c>
      <c r="IWW13" t="s">
        <v>6984</v>
      </c>
      <c r="IWX13" t="s">
        <v>6984</v>
      </c>
      <c r="IWY13" t="s">
        <v>6984</v>
      </c>
      <c r="IWZ13" t="s">
        <v>6984</v>
      </c>
      <c r="IXA13" t="s">
        <v>6984</v>
      </c>
      <c r="IXB13" t="s">
        <v>6984</v>
      </c>
      <c r="IXC13" t="s">
        <v>6984</v>
      </c>
      <c r="IXD13" t="s">
        <v>6984</v>
      </c>
      <c r="IXE13" t="s">
        <v>6984</v>
      </c>
      <c r="IXF13" t="s">
        <v>6984</v>
      </c>
      <c r="IXG13" t="s">
        <v>6984</v>
      </c>
      <c r="IXH13" t="s">
        <v>6984</v>
      </c>
      <c r="IXI13" t="s">
        <v>6984</v>
      </c>
      <c r="IXJ13" t="s">
        <v>6984</v>
      </c>
      <c r="IXK13" t="s">
        <v>6984</v>
      </c>
      <c r="IXL13" t="s">
        <v>6984</v>
      </c>
      <c r="IXM13" t="s">
        <v>6984</v>
      </c>
      <c r="IXN13" t="s">
        <v>6984</v>
      </c>
      <c r="IXO13" t="s">
        <v>6984</v>
      </c>
      <c r="IXP13" t="s">
        <v>6984</v>
      </c>
      <c r="IXQ13" t="s">
        <v>6984</v>
      </c>
      <c r="IXR13" t="s">
        <v>6984</v>
      </c>
      <c r="IXS13" t="s">
        <v>6984</v>
      </c>
      <c r="IXT13" t="s">
        <v>6984</v>
      </c>
      <c r="IXU13" t="s">
        <v>6984</v>
      </c>
      <c r="IXV13" t="s">
        <v>6984</v>
      </c>
      <c r="IXW13" t="s">
        <v>6984</v>
      </c>
      <c r="IXX13" t="s">
        <v>6984</v>
      </c>
      <c r="IXY13" t="s">
        <v>6984</v>
      </c>
      <c r="IXZ13" t="s">
        <v>6984</v>
      </c>
      <c r="IYA13" t="s">
        <v>6984</v>
      </c>
      <c r="IYB13" t="s">
        <v>6984</v>
      </c>
      <c r="IYC13" t="s">
        <v>6984</v>
      </c>
      <c r="IYD13" t="s">
        <v>6984</v>
      </c>
      <c r="IYE13" t="s">
        <v>6984</v>
      </c>
      <c r="IYF13" t="s">
        <v>6984</v>
      </c>
      <c r="IYG13" t="s">
        <v>6984</v>
      </c>
      <c r="IYH13" t="s">
        <v>6984</v>
      </c>
      <c r="IYI13" t="s">
        <v>6984</v>
      </c>
      <c r="IYJ13" t="s">
        <v>6984</v>
      </c>
      <c r="IYK13" t="s">
        <v>6984</v>
      </c>
      <c r="IYL13" t="s">
        <v>6984</v>
      </c>
      <c r="IYM13" t="s">
        <v>6984</v>
      </c>
      <c r="IYN13" t="s">
        <v>6984</v>
      </c>
      <c r="IYO13" t="s">
        <v>6984</v>
      </c>
      <c r="IYP13" t="s">
        <v>6984</v>
      </c>
      <c r="IYQ13" t="s">
        <v>6984</v>
      </c>
      <c r="IYR13" t="s">
        <v>6984</v>
      </c>
      <c r="IYS13" t="s">
        <v>6984</v>
      </c>
      <c r="IYT13" t="s">
        <v>6984</v>
      </c>
      <c r="IYU13" t="s">
        <v>6984</v>
      </c>
      <c r="IYV13" t="s">
        <v>6984</v>
      </c>
      <c r="IYW13" t="s">
        <v>6984</v>
      </c>
      <c r="IYX13" t="s">
        <v>6984</v>
      </c>
      <c r="IYY13" t="s">
        <v>6984</v>
      </c>
      <c r="IYZ13" t="s">
        <v>6984</v>
      </c>
      <c r="IZA13" t="s">
        <v>6984</v>
      </c>
      <c r="IZB13" t="s">
        <v>6984</v>
      </c>
      <c r="IZC13" t="s">
        <v>6984</v>
      </c>
      <c r="IZD13" t="s">
        <v>6984</v>
      </c>
      <c r="IZE13" t="s">
        <v>6984</v>
      </c>
      <c r="IZF13" t="s">
        <v>6984</v>
      </c>
      <c r="IZG13" t="s">
        <v>6984</v>
      </c>
      <c r="IZH13" t="s">
        <v>6984</v>
      </c>
      <c r="IZI13" t="s">
        <v>6984</v>
      </c>
      <c r="IZJ13" t="s">
        <v>6984</v>
      </c>
      <c r="IZK13" t="s">
        <v>6984</v>
      </c>
      <c r="IZL13" t="s">
        <v>6984</v>
      </c>
      <c r="IZM13" t="s">
        <v>6984</v>
      </c>
      <c r="IZN13" t="s">
        <v>6984</v>
      </c>
      <c r="IZO13" t="s">
        <v>6984</v>
      </c>
      <c r="IZP13" t="s">
        <v>6984</v>
      </c>
      <c r="IZQ13" t="s">
        <v>6984</v>
      </c>
      <c r="IZR13" t="s">
        <v>6984</v>
      </c>
      <c r="IZS13" t="s">
        <v>6984</v>
      </c>
      <c r="IZT13" t="s">
        <v>6984</v>
      </c>
      <c r="IZU13" t="s">
        <v>6984</v>
      </c>
      <c r="IZV13" t="s">
        <v>6984</v>
      </c>
      <c r="IZW13" t="s">
        <v>6984</v>
      </c>
      <c r="IZX13" t="s">
        <v>6984</v>
      </c>
      <c r="IZY13" t="s">
        <v>6984</v>
      </c>
      <c r="IZZ13" t="s">
        <v>6984</v>
      </c>
      <c r="JAA13" t="s">
        <v>6984</v>
      </c>
      <c r="JAB13" t="s">
        <v>6984</v>
      </c>
      <c r="JAC13" t="s">
        <v>6984</v>
      </c>
      <c r="JAD13" t="s">
        <v>6984</v>
      </c>
      <c r="JAE13" t="s">
        <v>6984</v>
      </c>
      <c r="JAF13" t="s">
        <v>6984</v>
      </c>
      <c r="JAG13" t="s">
        <v>6984</v>
      </c>
      <c r="JAH13" t="s">
        <v>6984</v>
      </c>
      <c r="JAI13" t="s">
        <v>6984</v>
      </c>
      <c r="JAJ13" t="s">
        <v>6984</v>
      </c>
      <c r="JAK13" t="s">
        <v>6984</v>
      </c>
      <c r="JAL13" t="s">
        <v>6984</v>
      </c>
      <c r="JAM13" t="s">
        <v>6984</v>
      </c>
      <c r="JAN13" t="s">
        <v>6984</v>
      </c>
      <c r="JAO13" t="s">
        <v>6984</v>
      </c>
      <c r="JAP13" t="s">
        <v>6984</v>
      </c>
      <c r="JAQ13" t="s">
        <v>6984</v>
      </c>
      <c r="JAR13" t="s">
        <v>6984</v>
      </c>
      <c r="JAS13" t="s">
        <v>6984</v>
      </c>
      <c r="JAT13" t="s">
        <v>6984</v>
      </c>
      <c r="JAU13" t="s">
        <v>6984</v>
      </c>
      <c r="JAV13" t="s">
        <v>6984</v>
      </c>
      <c r="JAW13" t="s">
        <v>6984</v>
      </c>
      <c r="JAX13" t="s">
        <v>6984</v>
      </c>
      <c r="JAY13" t="s">
        <v>6984</v>
      </c>
      <c r="JAZ13" t="s">
        <v>6984</v>
      </c>
      <c r="JBA13" t="s">
        <v>6984</v>
      </c>
      <c r="JBB13" t="s">
        <v>6984</v>
      </c>
      <c r="JBC13" t="s">
        <v>6984</v>
      </c>
      <c r="JBD13" t="s">
        <v>6984</v>
      </c>
      <c r="JBE13" t="s">
        <v>6984</v>
      </c>
      <c r="JBF13" t="s">
        <v>6984</v>
      </c>
      <c r="JBG13" t="s">
        <v>6984</v>
      </c>
      <c r="JBH13" t="s">
        <v>6984</v>
      </c>
      <c r="JBI13" t="s">
        <v>6984</v>
      </c>
      <c r="JBJ13" t="s">
        <v>6984</v>
      </c>
      <c r="JBK13" t="s">
        <v>6984</v>
      </c>
      <c r="JBL13" t="s">
        <v>6984</v>
      </c>
      <c r="JBM13" t="s">
        <v>6984</v>
      </c>
      <c r="JBN13" t="s">
        <v>6984</v>
      </c>
      <c r="JBO13" t="s">
        <v>6984</v>
      </c>
      <c r="JBP13" t="s">
        <v>6984</v>
      </c>
      <c r="JBQ13" t="s">
        <v>6984</v>
      </c>
      <c r="JBR13" t="s">
        <v>6984</v>
      </c>
      <c r="JBS13" t="s">
        <v>6984</v>
      </c>
      <c r="JBT13" t="s">
        <v>6984</v>
      </c>
      <c r="JBU13" t="s">
        <v>6984</v>
      </c>
      <c r="JBV13" t="s">
        <v>6984</v>
      </c>
      <c r="JBW13" t="s">
        <v>6984</v>
      </c>
      <c r="JBX13" t="s">
        <v>6984</v>
      </c>
      <c r="JBY13" t="s">
        <v>6984</v>
      </c>
      <c r="JBZ13" t="s">
        <v>6984</v>
      </c>
      <c r="JCA13" t="s">
        <v>6984</v>
      </c>
      <c r="JCB13" t="s">
        <v>6984</v>
      </c>
      <c r="JCC13" t="s">
        <v>6984</v>
      </c>
      <c r="JCD13" t="s">
        <v>6984</v>
      </c>
      <c r="JCE13" t="s">
        <v>6984</v>
      </c>
      <c r="JCF13" t="s">
        <v>6984</v>
      </c>
      <c r="JCG13" t="s">
        <v>6984</v>
      </c>
      <c r="JCH13" t="s">
        <v>6984</v>
      </c>
      <c r="JCI13" t="s">
        <v>6984</v>
      </c>
      <c r="JCJ13" t="s">
        <v>6984</v>
      </c>
      <c r="JCK13" t="s">
        <v>6984</v>
      </c>
      <c r="JCL13" t="s">
        <v>6984</v>
      </c>
      <c r="JCM13" t="s">
        <v>6984</v>
      </c>
      <c r="JCN13" t="s">
        <v>6984</v>
      </c>
      <c r="JCO13" t="s">
        <v>6984</v>
      </c>
      <c r="JCP13" t="s">
        <v>6984</v>
      </c>
      <c r="JCQ13" t="s">
        <v>6984</v>
      </c>
      <c r="JCR13" t="s">
        <v>6984</v>
      </c>
      <c r="JCS13" t="s">
        <v>6984</v>
      </c>
      <c r="JCT13" t="s">
        <v>6984</v>
      </c>
      <c r="JCU13" t="s">
        <v>6984</v>
      </c>
      <c r="JCV13" t="s">
        <v>6984</v>
      </c>
      <c r="JCW13" t="s">
        <v>6984</v>
      </c>
      <c r="JCX13" t="s">
        <v>6984</v>
      </c>
      <c r="JCY13" t="s">
        <v>6984</v>
      </c>
      <c r="JCZ13" t="s">
        <v>6984</v>
      </c>
      <c r="JDA13" t="s">
        <v>6984</v>
      </c>
      <c r="JDB13" t="s">
        <v>6984</v>
      </c>
      <c r="JDC13" t="s">
        <v>6984</v>
      </c>
      <c r="JDD13" t="s">
        <v>6984</v>
      </c>
      <c r="JDE13" t="s">
        <v>6984</v>
      </c>
      <c r="JDF13" t="s">
        <v>6984</v>
      </c>
      <c r="JDG13" t="s">
        <v>6984</v>
      </c>
      <c r="JDH13" t="s">
        <v>6984</v>
      </c>
      <c r="JDI13" t="s">
        <v>6984</v>
      </c>
      <c r="JDJ13" t="s">
        <v>6984</v>
      </c>
      <c r="JDK13" t="s">
        <v>6984</v>
      </c>
      <c r="JDL13" t="s">
        <v>6984</v>
      </c>
      <c r="JDM13" t="s">
        <v>6984</v>
      </c>
      <c r="JDN13" t="s">
        <v>6984</v>
      </c>
      <c r="JDO13" t="s">
        <v>6984</v>
      </c>
      <c r="JDP13" t="s">
        <v>6984</v>
      </c>
      <c r="JDQ13" t="s">
        <v>6984</v>
      </c>
      <c r="JDR13" t="s">
        <v>6984</v>
      </c>
      <c r="JDS13" t="s">
        <v>6984</v>
      </c>
      <c r="JDT13" t="s">
        <v>6984</v>
      </c>
      <c r="JDU13" t="s">
        <v>6984</v>
      </c>
      <c r="JDV13" t="s">
        <v>6984</v>
      </c>
      <c r="JDW13" t="s">
        <v>6984</v>
      </c>
      <c r="JDX13" t="s">
        <v>6984</v>
      </c>
      <c r="JDY13" t="s">
        <v>6984</v>
      </c>
      <c r="JDZ13" t="s">
        <v>6984</v>
      </c>
      <c r="JEA13" t="s">
        <v>6984</v>
      </c>
      <c r="JEB13" t="s">
        <v>6984</v>
      </c>
      <c r="JEC13" t="s">
        <v>6984</v>
      </c>
      <c r="JED13" t="s">
        <v>6984</v>
      </c>
      <c r="JEE13" t="s">
        <v>6984</v>
      </c>
      <c r="JEF13" t="s">
        <v>6984</v>
      </c>
      <c r="JEG13" t="s">
        <v>6984</v>
      </c>
      <c r="JEH13" t="s">
        <v>6984</v>
      </c>
      <c r="JEI13" t="s">
        <v>6984</v>
      </c>
      <c r="JEJ13" t="s">
        <v>6984</v>
      </c>
      <c r="JEK13" t="s">
        <v>6984</v>
      </c>
      <c r="JEL13" t="s">
        <v>6984</v>
      </c>
      <c r="JEM13" t="s">
        <v>6984</v>
      </c>
      <c r="JEN13" t="s">
        <v>6984</v>
      </c>
      <c r="JEO13" t="s">
        <v>6984</v>
      </c>
      <c r="JEP13" t="s">
        <v>6984</v>
      </c>
      <c r="JEQ13" t="s">
        <v>6984</v>
      </c>
      <c r="JER13" t="s">
        <v>6984</v>
      </c>
      <c r="JES13" t="s">
        <v>6984</v>
      </c>
      <c r="JET13" t="s">
        <v>6984</v>
      </c>
      <c r="JEU13" t="s">
        <v>6984</v>
      </c>
      <c r="JEV13" t="s">
        <v>6984</v>
      </c>
      <c r="JEW13" t="s">
        <v>6984</v>
      </c>
      <c r="JEX13" t="s">
        <v>6984</v>
      </c>
      <c r="JEY13" t="s">
        <v>6984</v>
      </c>
      <c r="JEZ13" t="s">
        <v>6984</v>
      </c>
      <c r="JFA13" t="s">
        <v>6984</v>
      </c>
      <c r="JFB13" t="s">
        <v>6984</v>
      </c>
      <c r="JFC13" t="s">
        <v>6984</v>
      </c>
      <c r="JFD13" t="s">
        <v>6984</v>
      </c>
      <c r="JFE13" t="s">
        <v>6984</v>
      </c>
      <c r="JFF13" t="s">
        <v>6984</v>
      </c>
      <c r="JFG13" t="s">
        <v>6984</v>
      </c>
      <c r="JFH13" t="s">
        <v>6984</v>
      </c>
      <c r="JFI13" t="s">
        <v>6984</v>
      </c>
      <c r="JFJ13" t="s">
        <v>6984</v>
      </c>
      <c r="JFK13" t="s">
        <v>6984</v>
      </c>
      <c r="JFL13" t="s">
        <v>6984</v>
      </c>
      <c r="JFM13" t="s">
        <v>6984</v>
      </c>
      <c r="JFN13" t="s">
        <v>6984</v>
      </c>
      <c r="JFO13" t="s">
        <v>6984</v>
      </c>
      <c r="JFP13" t="s">
        <v>6984</v>
      </c>
      <c r="JFQ13" t="s">
        <v>6984</v>
      </c>
      <c r="JFR13" t="s">
        <v>6984</v>
      </c>
      <c r="JFS13" t="s">
        <v>6984</v>
      </c>
      <c r="JFT13" t="s">
        <v>6984</v>
      </c>
      <c r="JFU13" t="s">
        <v>6984</v>
      </c>
      <c r="JFV13" t="s">
        <v>6984</v>
      </c>
      <c r="JFW13" t="s">
        <v>6984</v>
      </c>
      <c r="JFX13" t="s">
        <v>6984</v>
      </c>
      <c r="JFY13" t="s">
        <v>6984</v>
      </c>
      <c r="JFZ13" t="s">
        <v>6984</v>
      </c>
      <c r="JGA13" t="s">
        <v>6984</v>
      </c>
      <c r="JGB13" t="s">
        <v>6984</v>
      </c>
      <c r="JGC13" t="s">
        <v>6984</v>
      </c>
      <c r="JGD13" t="s">
        <v>6984</v>
      </c>
      <c r="JGE13" t="s">
        <v>6984</v>
      </c>
      <c r="JGF13" t="s">
        <v>6984</v>
      </c>
      <c r="JGG13" t="s">
        <v>6984</v>
      </c>
      <c r="JGH13" t="s">
        <v>6984</v>
      </c>
      <c r="JGI13" t="s">
        <v>6984</v>
      </c>
      <c r="JGJ13" t="s">
        <v>6984</v>
      </c>
      <c r="JGK13" t="s">
        <v>6984</v>
      </c>
      <c r="JGL13" t="s">
        <v>6984</v>
      </c>
      <c r="JGM13" t="s">
        <v>6984</v>
      </c>
      <c r="JGN13" t="s">
        <v>6984</v>
      </c>
      <c r="JGO13" t="s">
        <v>6984</v>
      </c>
      <c r="JGP13" t="s">
        <v>6984</v>
      </c>
      <c r="JGQ13" t="s">
        <v>6984</v>
      </c>
      <c r="JGR13" t="s">
        <v>6984</v>
      </c>
      <c r="JGS13" t="s">
        <v>6984</v>
      </c>
      <c r="JGT13" t="s">
        <v>6984</v>
      </c>
      <c r="JGU13" t="s">
        <v>6984</v>
      </c>
      <c r="JGV13" t="s">
        <v>6984</v>
      </c>
      <c r="JGW13" t="s">
        <v>6984</v>
      </c>
      <c r="JGX13" t="s">
        <v>6984</v>
      </c>
      <c r="JGY13" t="s">
        <v>6984</v>
      </c>
      <c r="JGZ13" t="s">
        <v>6984</v>
      </c>
      <c r="JHA13" t="s">
        <v>6984</v>
      </c>
      <c r="JHB13" t="s">
        <v>6984</v>
      </c>
      <c r="JHC13" t="s">
        <v>6984</v>
      </c>
      <c r="JHD13" t="s">
        <v>6984</v>
      </c>
      <c r="JHE13" t="s">
        <v>6984</v>
      </c>
      <c r="JHF13" t="s">
        <v>6984</v>
      </c>
      <c r="JHG13" t="s">
        <v>6984</v>
      </c>
      <c r="JHH13" t="s">
        <v>6984</v>
      </c>
      <c r="JHI13" t="s">
        <v>6984</v>
      </c>
      <c r="JHJ13" t="s">
        <v>6984</v>
      </c>
      <c r="JHK13" t="s">
        <v>6984</v>
      </c>
      <c r="JHL13" t="s">
        <v>6984</v>
      </c>
      <c r="JHM13" t="s">
        <v>6984</v>
      </c>
      <c r="JHN13" t="s">
        <v>6984</v>
      </c>
      <c r="JHO13" t="s">
        <v>6984</v>
      </c>
      <c r="JHP13" t="s">
        <v>6984</v>
      </c>
      <c r="JHQ13" t="s">
        <v>6984</v>
      </c>
      <c r="JHR13" t="s">
        <v>6984</v>
      </c>
      <c r="JHS13" t="s">
        <v>6984</v>
      </c>
      <c r="JHT13" t="s">
        <v>6984</v>
      </c>
      <c r="JHU13" t="s">
        <v>6984</v>
      </c>
      <c r="JHV13" t="s">
        <v>6984</v>
      </c>
      <c r="JHW13" t="s">
        <v>6984</v>
      </c>
      <c r="JHX13" t="s">
        <v>6984</v>
      </c>
      <c r="JHY13" t="s">
        <v>6984</v>
      </c>
      <c r="JHZ13" t="s">
        <v>6984</v>
      </c>
      <c r="JIA13" t="s">
        <v>6984</v>
      </c>
      <c r="JIB13" t="s">
        <v>6984</v>
      </c>
      <c r="JIC13" t="s">
        <v>6984</v>
      </c>
      <c r="JID13" t="s">
        <v>6984</v>
      </c>
      <c r="JIE13" t="s">
        <v>6984</v>
      </c>
      <c r="JIF13" t="s">
        <v>6984</v>
      </c>
      <c r="JIG13" t="s">
        <v>6984</v>
      </c>
      <c r="JIH13" t="s">
        <v>6984</v>
      </c>
      <c r="JII13" t="s">
        <v>6984</v>
      </c>
      <c r="JIJ13" t="s">
        <v>6984</v>
      </c>
      <c r="JIK13" t="s">
        <v>6984</v>
      </c>
      <c r="JIL13" t="s">
        <v>6984</v>
      </c>
      <c r="JIM13" t="s">
        <v>6984</v>
      </c>
      <c r="JIN13" t="s">
        <v>6984</v>
      </c>
      <c r="JIO13" t="s">
        <v>6984</v>
      </c>
      <c r="JIP13" t="s">
        <v>6984</v>
      </c>
      <c r="JIQ13" t="s">
        <v>6984</v>
      </c>
      <c r="JIR13" t="s">
        <v>6984</v>
      </c>
      <c r="JIS13" t="s">
        <v>6984</v>
      </c>
      <c r="JIT13" t="s">
        <v>6984</v>
      </c>
      <c r="JIU13" t="s">
        <v>6984</v>
      </c>
      <c r="JIV13" t="s">
        <v>6984</v>
      </c>
      <c r="JIW13" t="s">
        <v>6984</v>
      </c>
      <c r="JIX13" t="s">
        <v>6984</v>
      </c>
      <c r="JIY13" t="s">
        <v>6984</v>
      </c>
      <c r="JIZ13" t="s">
        <v>6984</v>
      </c>
      <c r="JJA13" t="s">
        <v>6984</v>
      </c>
    </row>
    <row r="14" spans="1:7021" x14ac:dyDescent="0.25">
      <c r="A14" t="s">
        <v>6995</v>
      </c>
      <c r="B14">
        <v>96.515000000000001</v>
      </c>
      <c r="C14">
        <v>96.515000000000001</v>
      </c>
      <c r="D14">
        <v>96.515000000000001</v>
      </c>
      <c r="E14">
        <v>96.57</v>
      </c>
      <c r="F14">
        <v>96.51</v>
      </c>
      <c r="G14">
        <v>96.52</v>
      </c>
      <c r="H14">
        <v>96.57</v>
      </c>
      <c r="I14">
        <v>96.52</v>
      </c>
      <c r="J14">
        <v>96.444999999999993</v>
      </c>
      <c r="K14">
        <v>96.44</v>
      </c>
      <c r="L14">
        <v>96.4</v>
      </c>
      <c r="M14">
        <v>96.54</v>
      </c>
      <c r="N14">
        <v>96.605000000000004</v>
      </c>
      <c r="O14">
        <v>96.52</v>
      </c>
      <c r="P14">
        <v>96.54</v>
      </c>
      <c r="Q14">
        <v>96.584999999999994</v>
      </c>
      <c r="R14">
        <v>96.564999999999998</v>
      </c>
      <c r="S14">
        <v>96.515000000000001</v>
      </c>
      <c r="T14">
        <v>96.555000000000007</v>
      </c>
      <c r="U14">
        <v>96.474999999999994</v>
      </c>
      <c r="V14">
        <v>96.474999999999994</v>
      </c>
      <c r="W14">
        <v>96.435000000000002</v>
      </c>
      <c r="X14">
        <v>96.39</v>
      </c>
      <c r="Y14">
        <v>96.48</v>
      </c>
      <c r="Z14">
        <v>96.454999999999998</v>
      </c>
      <c r="AA14">
        <v>96.454999999999998</v>
      </c>
      <c r="AB14">
        <v>96.435000000000002</v>
      </c>
      <c r="AC14">
        <v>96.34</v>
      </c>
      <c r="AD14">
        <v>96.375</v>
      </c>
      <c r="AE14">
        <v>96.39</v>
      </c>
      <c r="AF14">
        <v>96.53</v>
      </c>
      <c r="AG14">
        <v>96.525000000000006</v>
      </c>
      <c r="AH14">
        <v>96.68</v>
      </c>
      <c r="AI14">
        <v>96.65</v>
      </c>
      <c r="AJ14">
        <v>96.6</v>
      </c>
      <c r="AK14">
        <v>96.6</v>
      </c>
      <c r="AL14">
        <v>96.72</v>
      </c>
      <c r="AM14">
        <v>96.775000000000006</v>
      </c>
      <c r="AN14">
        <v>96.74</v>
      </c>
      <c r="AO14">
        <v>96.7</v>
      </c>
      <c r="AP14">
        <v>96.625</v>
      </c>
      <c r="AQ14">
        <v>96.58</v>
      </c>
      <c r="AR14">
        <v>96.495000000000005</v>
      </c>
      <c r="AS14">
        <v>96.55</v>
      </c>
      <c r="AT14">
        <v>96.564999999999998</v>
      </c>
      <c r="AU14">
        <v>96.57</v>
      </c>
      <c r="AV14">
        <v>96.57</v>
      </c>
      <c r="AW14">
        <v>96.584999999999994</v>
      </c>
      <c r="AX14">
        <v>96.51</v>
      </c>
      <c r="AY14">
        <v>96.48</v>
      </c>
      <c r="AZ14">
        <v>96.314999999999998</v>
      </c>
      <c r="BA14">
        <v>96.454999999999998</v>
      </c>
      <c r="BB14">
        <v>96.355000000000004</v>
      </c>
      <c r="BC14">
        <v>96.584999999999994</v>
      </c>
      <c r="BD14">
        <v>96.635000000000005</v>
      </c>
      <c r="BE14">
        <v>96.765000000000001</v>
      </c>
      <c r="BF14">
        <v>96.71</v>
      </c>
      <c r="BG14">
        <v>96.484999999999999</v>
      </c>
      <c r="BH14">
        <v>96.53</v>
      </c>
      <c r="BI14">
        <v>96.45</v>
      </c>
      <c r="BJ14">
        <v>96.454999999999998</v>
      </c>
      <c r="BK14">
        <v>96.334999999999994</v>
      </c>
      <c r="BL14">
        <v>96.35</v>
      </c>
      <c r="BM14">
        <v>96.364999999999995</v>
      </c>
      <c r="BN14">
        <v>96.314999999999998</v>
      </c>
      <c r="BO14">
        <v>96.4</v>
      </c>
      <c r="BP14">
        <v>96.394999999999996</v>
      </c>
      <c r="BQ14">
        <v>96.375</v>
      </c>
      <c r="BR14">
        <v>96.364999999999995</v>
      </c>
      <c r="BS14">
        <v>96.325000000000003</v>
      </c>
      <c r="BT14">
        <v>96.34</v>
      </c>
      <c r="BU14">
        <v>96.394999999999996</v>
      </c>
      <c r="BV14">
        <v>96.34</v>
      </c>
      <c r="BW14">
        <v>96.375</v>
      </c>
      <c r="BX14">
        <v>96.444999999999993</v>
      </c>
      <c r="BY14">
        <v>96.3</v>
      </c>
      <c r="BZ14">
        <v>96.334999999999994</v>
      </c>
      <c r="CA14">
        <v>96.334999999999994</v>
      </c>
      <c r="CB14">
        <v>96.42</v>
      </c>
      <c r="CC14">
        <v>96.435000000000002</v>
      </c>
      <c r="CD14">
        <v>96.4</v>
      </c>
      <c r="CE14">
        <v>96.33</v>
      </c>
      <c r="CF14">
        <v>96.36</v>
      </c>
      <c r="CG14">
        <v>96.29</v>
      </c>
      <c r="CH14">
        <v>96.155000000000001</v>
      </c>
      <c r="CI14">
        <v>96.12</v>
      </c>
      <c r="CJ14">
        <v>96.03</v>
      </c>
      <c r="CK14">
        <v>95.995000000000005</v>
      </c>
      <c r="CL14">
        <v>95.974999999999994</v>
      </c>
      <c r="CM14">
        <v>96.045000000000002</v>
      </c>
      <c r="CN14">
        <v>96.045000000000002</v>
      </c>
      <c r="CO14">
        <v>95.97</v>
      </c>
      <c r="CP14">
        <v>95.855000000000004</v>
      </c>
      <c r="CQ14">
        <v>96</v>
      </c>
      <c r="CR14">
        <v>96.045000000000002</v>
      </c>
      <c r="CS14">
        <v>96.04</v>
      </c>
      <c r="CT14">
        <v>96.105000000000004</v>
      </c>
      <c r="CU14">
        <v>96.155000000000001</v>
      </c>
      <c r="CV14">
        <v>96.06</v>
      </c>
      <c r="CW14">
        <v>96.01</v>
      </c>
      <c r="CX14">
        <v>95.99</v>
      </c>
      <c r="CY14">
        <v>96.05</v>
      </c>
      <c r="CZ14">
        <v>96.004999999999995</v>
      </c>
      <c r="DA14">
        <v>96.02</v>
      </c>
      <c r="DB14">
        <v>96.034999999999997</v>
      </c>
      <c r="DC14">
        <v>95.93</v>
      </c>
      <c r="DD14">
        <v>95.92</v>
      </c>
      <c r="DE14">
        <v>95.924999999999997</v>
      </c>
      <c r="DF14">
        <v>95.95</v>
      </c>
      <c r="DG14">
        <v>95.93</v>
      </c>
      <c r="DH14">
        <v>95.93</v>
      </c>
      <c r="DI14">
        <v>95.95</v>
      </c>
      <c r="DJ14">
        <v>95.894999999999996</v>
      </c>
      <c r="DK14">
        <v>95.724999999999994</v>
      </c>
      <c r="DL14">
        <v>95.71</v>
      </c>
      <c r="DM14">
        <v>95.74</v>
      </c>
      <c r="DN14">
        <v>95.9</v>
      </c>
      <c r="DO14">
        <v>95.87</v>
      </c>
      <c r="DP14">
        <v>95.87</v>
      </c>
      <c r="DQ14">
        <v>95.93</v>
      </c>
      <c r="DR14">
        <v>95.98</v>
      </c>
      <c r="DS14">
        <v>96.01</v>
      </c>
      <c r="DT14">
        <v>96</v>
      </c>
      <c r="DU14">
        <v>96</v>
      </c>
      <c r="DV14">
        <v>96.025000000000006</v>
      </c>
      <c r="DW14">
        <v>95.93</v>
      </c>
      <c r="DX14">
        <v>95.974999999999994</v>
      </c>
      <c r="DY14">
        <v>95.96</v>
      </c>
      <c r="DZ14">
        <v>95.96</v>
      </c>
      <c r="EA14">
        <v>95.944999999999993</v>
      </c>
      <c r="EB14">
        <v>96.03</v>
      </c>
      <c r="EC14">
        <v>95.97</v>
      </c>
      <c r="ED14">
        <v>96.05</v>
      </c>
      <c r="EE14">
        <v>96.17</v>
      </c>
      <c r="EF14">
        <v>96.155000000000001</v>
      </c>
      <c r="EG14">
        <v>96.18</v>
      </c>
      <c r="EH14">
        <v>96.25</v>
      </c>
      <c r="EI14">
        <v>96.3</v>
      </c>
      <c r="EJ14">
        <v>96.36</v>
      </c>
      <c r="EK14">
        <v>96.385000000000005</v>
      </c>
      <c r="EL14">
        <v>96.42</v>
      </c>
      <c r="EM14">
        <v>96.385000000000005</v>
      </c>
      <c r="EN14">
        <v>96.394999999999996</v>
      </c>
      <c r="EO14">
        <v>96.36</v>
      </c>
      <c r="EP14">
        <v>96.39</v>
      </c>
      <c r="EQ14">
        <v>96.4</v>
      </c>
      <c r="ER14">
        <v>96.36</v>
      </c>
      <c r="ES14">
        <v>96.36</v>
      </c>
      <c r="ET14">
        <v>96.275000000000006</v>
      </c>
      <c r="EU14">
        <v>96.314999999999998</v>
      </c>
      <c r="EV14">
        <v>96.185000000000002</v>
      </c>
      <c r="EW14">
        <v>96.165000000000006</v>
      </c>
      <c r="EX14">
        <v>96.204999999999998</v>
      </c>
      <c r="EY14">
        <v>96.23</v>
      </c>
      <c r="EZ14">
        <v>96.194999999999993</v>
      </c>
      <c r="FA14">
        <v>96.18</v>
      </c>
      <c r="FB14">
        <v>96.174999999999997</v>
      </c>
      <c r="FC14">
        <v>96.16</v>
      </c>
      <c r="FD14">
        <v>96.165000000000006</v>
      </c>
      <c r="FE14">
        <v>96.204999999999998</v>
      </c>
      <c r="FF14">
        <v>96.275000000000006</v>
      </c>
      <c r="FG14">
        <v>96.265000000000001</v>
      </c>
      <c r="FH14">
        <v>96.19</v>
      </c>
      <c r="FI14">
        <v>96.314999999999998</v>
      </c>
      <c r="FJ14">
        <v>96.31</v>
      </c>
      <c r="FK14">
        <v>96.284999999999997</v>
      </c>
      <c r="FL14">
        <v>96.32</v>
      </c>
      <c r="FM14">
        <v>96.344999999999999</v>
      </c>
      <c r="FN14">
        <v>96.38</v>
      </c>
      <c r="FO14">
        <v>96.37</v>
      </c>
      <c r="FP14">
        <v>96.42</v>
      </c>
      <c r="FQ14">
        <v>96.45</v>
      </c>
      <c r="FR14">
        <v>96.41</v>
      </c>
      <c r="FS14">
        <v>96.474999999999994</v>
      </c>
      <c r="FT14">
        <v>96.51</v>
      </c>
      <c r="FU14">
        <v>96.625</v>
      </c>
      <c r="FV14">
        <v>96.594999999999999</v>
      </c>
      <c r="FW14">
        <v>96.66</v>
      </c>
      <c r="FX14">
        <v>96.644999999999996</v>
      </c>
      <c r="FY14">
        <v>96.57</v>
      </c>
      <c r="FZ14">
        <v>96.625</v>
      </c>
      <c r="GA14">
        <v>96.584999999999994</v>
      </c>
      <c r="GB14">
        <v>96.594999999999999</v>
      </c>
      <c r="GC14">
        <v>96.635000000000005</v>
      </c>
      <c r="GD14">
        <v>96.64</v>
      </c>
      <c r="GE14">
        <v>96.69</v>
      </c>
      <c r="GF14">
        <v>96.855000000000004</v>
      </c>
      <c r="GG14">
        <v>96.935000000000002</v>
      </c>
      <c r="GH14">
        <v>96.97</v>
      </c>
      <c r="GI14">
        <v>96.9</v>
      </c>
      <c r="GJ14">
        <v>96.95</v>
      </c>
      <c r="GK14">
        <v>96.905000000000001</v>
      </c>
      <c r="GL14">
        <v>96.924999999999997</v>
      </c>
      <c r="GM14">
        <v>96.965000000000003</v>
      </c>
      <c r="GN14">
        <v>96.95</v>
      </c>
      <c r="GO14">
        <v>96.965000000000003</v>
      </c>
      <c r="GP14">
        <v>96.965000000000003</v>
      </c>
      <c r="GQ14">
        <v>97.004999999999995</v>
      </c>
      <c r="GR14">
        <v>97.09</v>
      </c>
      <c r="GS14">
        <v>97.114999999999995</v>
      </c>
      <c r="GT14">
        <v>97.12</v>
      </c>
      <c r="GU14">
        <v>97.11</v>
      </c>
      <c r="GV14">
        <v>97.144999999999996</v>
      </c>
      <c r="GW14">
        <v>97.15</v>
      </c>
      <c r="GX14">
        <v>97.09</v>
      </c>
      <c r="GY14">
        <v>97.084999999999994</v>
      </c>
      <c r="GZ14">
        <v>97.034999999999997</v>
      </c>
      <c r="HA14">
        <v>97.01</v>
      </c>
      <c r="HB14">
        <v>96.935000000000002</v>
      </c>
      <c r="HC14">
        <v>96.864999999999995</v>
      </c>
      <c r="HD14">
        <v>96.864999999999995</v>
      </c>
      <c r="HE14">
        <v>96.915000000000006</v>
      </c>
      <c r="HF14">
        <v>96.935000000000002</v>
      </c>
      <c r="HG14">
        <v>96.94</v>
      </c>
      <c r="HH14">
        <v>96.94</v>
      </c>
      <c r="HI14">
        <v>96.944999999999993</v>
      </c>
      <c r="HJ14">
        <v>96.864999999999995</v>
      </c>
      <c r="HK14">
        <v>96.95</v>
      </c>
      <c r="HL14">
        <v>96.9</v>
      </c>
      <c r="HM14">
        <v>96.834999999999994</v>
      </c>
      <c r="HN14">
        <v>96.82</v>
      </c>
      <c r="HO14">
        <v>96.795000000000002</v>
      </c>
      <c r="HP14">
        <v>96.93</v>
      </c>
      <c r="HQ14">
        <v>96.905000000000001</v>
      </c>
      <c r="HR14">
        <v>96.85</v>
      </c>
      <c r="HS14">
        <v>96.79</v>
      </c>
      <c r="HT14">
        <v>96.75</v>
      </c>
      <c r="HU14">
        <v>96.784999999999997</v>
      </c>
      <c r="HV14">
        <v>96.864999999999995</v>
      </c>
      <c r="HW14">
        <v>96.944999999999993</v>
      </c>
      <c r="HX14">
        <v>96.974999999999994</v>
      </c>
      <c r="HY14">
        <v>96.77</v>
      </c>
      <c r="HZ14">
        <v>96.635000000000005</v>
      </c>
      <c r="IA14">
        <v>96.605000000000004</v>
      </c>
      <c r="IB14">
        <v>96.57</v>
      </c>
      <c r="IC14">
        <v>96.555000000000007</v>
      </c>
      <c r="ID14">
        <v>96.49</v>
      </c>
      <c r="IE14">
        <v>96.484999999999999</v>
      </c>
      <c r="IF14">
        <v>96.49</v>
      </c>
      <c r="IG14">
        <v>96.46</v>
      </c>
      <c r="IH14">
        <v>96.47</v>
      </c>
      <c r="II14">
        <v>96.54</v>
      </c>
      <c r="IJ14">
        <v>96.584999999999994</v>
      </c>
      <c r="IK14">
        <v>96.555000000000007</v>
      </c>
      <c r="IL14">
        <v>96.515000000000001</v>
      </c>
      <c r="IM14">
        <v>96.54</v>
      </c>
      <c r="IN14">
        <v>96.53</v>
      </c>
      <c r="IO14">
        <v>96.405000000000001</v>
      </c>
      <c r="IP14">
        <v>96.39</v>
      </c>
      <c r="IQ14">
        <v>96.415000000000006</v>
      </c>
      <c r="IR14">
        <v>96.42</v>
      </c>
      <c r="IS14">
        <v>96.32</v>
      </c>
      <c r="IT14">
        <v>96.32</v>
      </c>
      <c r="IU14">
        <v>96.215000000000003</v>
      </c>
      <c r="IV14">
        <v>96.16</v>
      </c>
      <c r="IW14">
        <v>96.31</v>
      </c>
      <c r="IX14">
        <v>96.34</v>
      </c>
      <c r="IY14">
        <v>96.31</v>
      </c>
      <c r="IZ14">
        <v>96.4</v>
      </c>
      <c r="JA14">
        <v>96.394999999999996</v>
      </c>
      <c r="JB14">
        <v>96.38</v>
      </c>
      <c r="JC14">
        <v>96.385000000000005</v>
      </c>
      <c r="JD14">
        <v>96.405000000000001</v>
      </c>
      <c r="JE14">
        <v>96.405000000000001</v>
      </c>
      <c r="JF14">
        <v>96.33</v>
      </c>
      <c r="JG14">
        <v>96.41</v>
      </c>
      <c r="JH14">
        <v>96.39</v>
      </c>
      <c r="JI14">
        <v>96.305000000000007</v>
      </c>
      <c r="JJ14">
        <v>96.174999999999997</v>
      </c>
      <c r="JK14">
        <v>96.1</v>
      </c>
      <c r="JL14">
        <v>96.15</v>
      </c>
      <c r="JM14">
        <v>96.314999999999998</v>
      </c>
      <c r="JN14">
        <v>96.29</v>
      </c>
      <c r="JO14">
        <v>96.254999999999995</v>
      </c>
      <c r="JP14">
        <v>96.174999999999997</v>
      </c>
      <c r="JQ14">
        <v>96.055000000000007</v>
      </c>
      <c r="JR14">
        <v>96</v>
      </c>
      <c r="JS14">
        <v>95.92</v>
      </c>
      <c r="JT14">
        <v>95.995000000000005</v>
      </c>
      <c r="JU14">
        <v>96.055000000000007</v>
      </c>
      <c r="JV14">
        <v>96.055000000000007</v>
      </c>
      <c r="JW14">
        <v>96.06</v>
      </c>
      <c r="JX14">
        <v>96.125</v>
      </c>
      <c r="JY14">
        <v>96.155000000000001</v>
      </c>
      <c r="JZ14">
        <v>96.13</v>
      </c>
      <c r="KA14">
        <v>96.135000000000005</v>
      </c>
      <c r="KB14">
        <v>96.194999999999993</v>
      </c>
      <c r="KC14">
        <v>96.234999999999999</v>
      </c>
      <c r="KD14">
        <v>96.11</v>
      </c>
      <c r="KE14">
        <v>96.06</v>
      </c>
      <c r="KF14">
        <v>96.03</v>
      </c>
      <c r="KG14">
        <v>96.09</v>
      </c>
      <c r="KH14">
        <v>96.055000000000007</v>
      </c>
      <c r="KI14">
        <v>96.094999999999999</v>
      </c>
      <c r="KJ14">
        <v>96.08</v>
      </c>
      <c r="KK14">
        <v>96.075000000000003</v>
      </c>
      <c r="KL14">
        <v>95.974999999999994</v>
      </c>
      <c r="KM14">
        <v>95.935000000000002</v>
      </c>
      <c r="KN14">
        <v>95.82</v>
      </c>
      <c r="KO14">
        <v>95.905000000000001</v>
      </c>
      <c r="KP14">
        <v>95.84</v>
      </c>
      <c r="KQ14">
        <v>95.805000000000007</v>
      </c>
      <c r="KR14">
        <v>95.87</v>
      </c>
      <c r="KS14">
        <v>95.924999999999997</v>
      </c>
      <c r="KT14">
        <v>95.89</v>
      </c>
      <c r="KU14">
        <v>95.894999999999996</v>
      </c>
      <c r="KV14">
        <v>95.87</v>
      </c>
      <c r="KW14">
        <v>95.95</v>
      </c>
      <c r="KX14">
        <v>95.864999999999995</v>
      </c>
      <c r="KY14">
        <v>95.91</v>
      </c>
      <c r="KZ14">
        <v>96.034999999999997</v>
      </c>
      <c r="LA14">
        <v>95.94</v>
      </c>
      <c r="LB14">
        <v>95.944999999999993</v>
      </c>
      <c r="LC14">
        <v>96.204999999999998</v>
      </c>
      <c r="LD14">
        <v>96.15</v>
      </c>
      <c r="LE14">
        <v>96.23</v>
      </c>
      <c r="LF14">
        <v>96.305000000000007</v>
      </c>
      <c r="LG14">
        <v>96.265000000000001</v>
      </c>
      <c r="LH14">
        <v>96.245000000000005</v>
      </c>
      <c r="LI14">
        <v>96.27</v>
      </c>
      <c r="LJ14">
        <v>96.424999999999997</v>
      </c>
      <c r="LK14">
        <v>96.424999999999997</v>
      </c>
      <c r="LL14">
        <v>96.424999999999997</v>
      </c>
      <c r="LM14">
        <v>96.38</v>
      </c>
      <c r="LN14">
        <v>96.355000000000004</v>
      </c>
      <c r="LO14">
        <v>96.39</v>
      </c>
      <c r="LP14">
        <v>96.33</v>
      </c>
      <c r="LQ14">
        <v>96.334999999999994</v>
      </c>
      <c r="LR14">
        <v>96.28</v>
      </c>
      <c r="LS14">
        <v>96.22</v>
      </c>
      <c r="LT14">
        <v>96.254999999999995</v>
      </c>
      <c r="LU14">
        <v>96.295000000000002</v>
      </c>
      <c r="LV14">
        <v>96.444999999999993</v>
      </c>
      <c r="LW14">
        <v>96.47</v>
      </c>
      <c r="LX14">
        <v>96.54</v>
      </c>
      <c r="LY14">
        <v>96.564999999999998</v>
      </c>
      <c r="LZ14">
        <v>96.545000000000002</v>
      </c>
      <c r="MA14">
        <v>96.51</v>
      </c>
      <c r="MB14">
        <v>96.49</v>
      </c>
      <c r="MC14">
        <v>96.405000000000001</v>
      </c>
      <c r="MD14">
        <v>96.444999999999993</v>
      </c>
      <c r="ME14">
        <v>96.344999999999999</v>
      </c>
      <c r="MF14">
        <v>96.34</v>
      </c>
      <c r="MG14">
        <v>96.3</v>
      </c>
      <c r="MH14">
        <v>96.305000000000007</v>
      </c>
      <c r="MI14">
        <v>96.33</v>
      </c>
      <c r="MJ14">
        <v>96.275000000000006</v>
      </c>
      <c r="MK14">
        <v>96.29</v>
      </c>
      <c r="ML14">
        <v>96.34</v>
      </c>
      <c r="MM14">
        <v>96.3</v>
      </c>
      <c r="MN14">
        <v>96.3</v>
      </c>
      <c r="MO14">
        <v>96.37</v>
      </c>
      <c r="MP14">
        <v>96.334999999999994</v>
      </c>
      <c r="MQ14">
        <v>96.265000000000001</v>
      </c>
      <c r="MR14">
        <v>96.48</v>
      </c>
      <c r="MS14">
        <v>96.44</v>
      </c>
      <c r="MT14">
        <v>96.474999999999994</v>
      </c>
      <c r="MU14">
        <v>96.55</v>
      </c>
      <c r="MV14">
        <v>96.58</v>
      </c>
      <c r="MW14">
        <v>96.484999999999999</v>
      </c>
      <c r="MX14">
        <v>96.625</v>
      </c>
      <c r="MY14">
        <v>96.82</v>
      </c>
      <c r="MZ14">
        <v>96.73</v>
      </c>
      <c r="NA14">
        <v>96.62</v>
      </c>
      <c r="NB14">
        <v>96.62</v>
      </c>
      <c r="NC14">
        <v>96.54</v>
      </c>
      <c r="ND14">
        <v>96.58</v>
      </c>
      <c r="NE14">
        <v>96.52</v>
      </c>
      <c r="NF14">
        <v>96.564999999999998</v>
      </c>
      <c r="NG14">
        <v>96.6</v>
      </c>
      <c r="NH14">
        <v>96.534999999999997</v>
      </c>
      <c r="NI14">
        <v>96.55</v>
      </c>
      <c r="NJ14">
        <v>96.594999999999999</v>
      </c>
      <c r="NK14">
        <v>96.674999999999997</v>
      </c>
      <c r="NL14">
        <v>96.78</v>
      </c>
      <c r="NM14">
        <v>96.78</v>
      </c>
      <c r="NN14">
        <v>96.754999999999995</v>
      </c>
      <c r="NO14">
        <v>96.66</v>
      </c>
      <c r="NP14">
        <v>96.67</v>
      </c>
      <c r="NQ14">
        <v>96.685000000000002</v>
      </c>
      <c r="NR14">
        <v>96.665000000000006</v>
      </c>
      <c r="NS14">
        <v>96.704999999999998</v>
      </c>
      <c r="NT14">
        <v>96.814999999999998</v>
      </c>
      <c r="NU14">
        <v>96.78</v>
      </c>
      <c r="NV14">
        <v>96.89</v>
      </c>
      <c r="NW14">
        <v>96.89</v>
      </c>
      <c r="NX14">
        <v>96.87</v>
      </c>
      <c r="NY14">
        <v>96.92</v>
      </c>
      <c r="NZ14">
        <v>96.825000000000003</v>
      </c>
      <c r="OA14">
        <v>96.795000000000002</v>
      </c>
      <c r="OB14">
        <v>96.795000000000002</v>
      </c>
      <c r="OC14">
        <v>96.81</v>
      </c>
      <c r="OD14">
        <v>96.81</v>
      </c>
      <c r="OE14">
        <v>96.75</v>
      </c>
      <c r="OF14">
        <v>96.73</v>
      </c>
      <c r="OG14">
        <v>96.76</v>
      </c>
      <c r="OH14">
        <v>96.765000000000001</v>
      </c>
      <c r="OI14">
        <v>96.665000000000006</v>
      </c>
      <c r="OJ14">
        <v>96.484999999999999</v>
      </c>
      <c r="OK14">
        <v>96.435000000000002</v>
      </c>
      <c r="OL14">
        <v>96.454999999999998</v>
      </c>
      <c r="OM14">
        <v>96.61</v>
      </c>
      <c r="ON14">
        <v>96.605000000000004</v>
      </c>
      <c r="OO14">
        <v>96.58</v>
      </c>
      <c r="OP14">
        <v>96.465000000000003</v>
      </c>
      <c r="OQ14">
        <v>96.52</v>
      </c>
      <c r="OR14">
        <v>96.39</v>
      </c>
      <c r="OS14">
        <v>96.48</v>
      </c>
      <c r="OT14">
        <v>96.435000000000002</v>
      </c>
      <c r="OU14">
        <v>96.3</v>
      </c>
      <c r="OV14">
        <v>96.2</v>
      </c>
      <c r="OW14">
        <v>96.26</v>
      </c>
      <c r="OX14">
        <v>96.26</v>
      </c>
      <c r="OY14">
        <v>96.284999999999997</v>
      </c>
      <c r="OZ14">
        <v>96.254999999999995</v>
      </c>
      <c r="PA14">
        <v>96.224999999999994</v>
      </c>
      <c r="PB14">
        <v>96.254999999999995</v>
      </c>
      <c r="PC14">
        <v>96.135000000000005</v>
      </c>
      <c r="PD14">
        <v>96.245000000000005</v>
      </c>
      <c r="PE14">
        <v>95.99</v>
      </c>
      <c r="PF14">
        <v>95.995000000000005</v>
      </c>
      <c r="PG14">
        <v>96.034999999999997</v>
      </c>
      <c r="PH14">
        <v>96.15</v>
      </c>
      <c r="PI14">
        <v>96.135000000000005</v>
      </c>
      <c r="PJ14">
        <v>96.055000000000007</v>
      </c>
      <c r="PK14">
        <v>96.18</v>
      </c>
      <c r="PL14">
        <v>96.015000000000001</v>
      </c>
      <c r="PM14">
        <v>95.95</v>
      </c>
      <c r="PN14">
        <v>95.834999999999994</v>
      </c>
      <c r="PO14">
        <v>95.844999999999999</v>
      </c>
      <c r="PP14">
        <v>95.86</v>
      </c>
      <c r="PQ14">
        <v>95.81</v>
      </c>
      <c r="PR14">
        <v>95.67</v>
      </c>
      <c r="PS14">
        <v>95.78</v>
      </c>
      <c r="PT14">
        <v>95.82</v>
      </c>
      <c r="PU14">
        <v>95.71</v>
      </c>
      <c r="PV14">
        <v>95.58</v>
      </c>
      <c r="PW14">
        <v>95.644999999999996</v>
      </c>
      <c r="PX14">
        <v>95.724999999999994</v>
      </c>
      <c r="PY14">
        <v>95.91</v>
      </c>
      <c r="PZ14">
        <v>95.995000000000005</v>
      </c>
      <c r="QA14">
        <v>95.924999999999997</v>
      </c>
      <c r="QB14">
        <v>96.03</v>
      </c>
      <c r="QC14">
        <v>96.004999999999995</v>
      </c>
      <c r="QD14">
        <v>96.05</v>
      </c>
      <c r="QE14">
        <v>95.875</v>
      </c>
      <c r="QF14">
        <v>95.94</v>
      </c>
      <c r="QG14">
        <v>95.894999999999996</v>
      </c>
      <c r="QH14">
        <v>95.83</v>
      </c>
      <c r="QI14">
        <v>95.94</v>
      </c>
      <c r="QJ14">
        <v>96.064999999999998</v>
      </c>
      <c r="QK14">
        <v>96.004999999999995</v>
      </c>
      <c r="QL14">
        <v>95.96</v>
      </c>
      <c r="QM14">
        <v>96.04</v>
      </c>
      <c r="QN14">
        <v>96.04</v>
      </c>
      <c r="QO14">
        <v>96.09</v>
      </c>
      <c r="QP14">
        <v>96.034999999999997</v>
      </c>
      <c r="QQ14">
        <v>96.16</v>
      </c>
      <c r="QR14">
        <v>96.105000000000004</v>
      </c>
      <c r="QS14">
        <v>96.185000000000002</v>
      </c>
      <c r="QT14">
        <v>96.19</v>
      </c>
      <c r="QU14">
        <v>96.224999999999994</v>
      </c>
      <c r="QV14">
        <v>96.254999999999995</v>
      </c>
      <c r="QW14">
        <v>96.224999999999994</v>
      </c>
      <c r="QX14">
        <v>96.234999999999999</v>
      </c>
      <c r="QY14">
        <v>96.25</v>
      </c>
      <c r="QZ14">
        <v>96.265000000000001</v>
      </c>
      <c r="RA14">
        <v>96.21</v>
      </c>
      <c r="RB14">
        <v>96.3</v>
      </c>
      <c r="RC14">
        <v>96.375</v>
      </c>
      <c r="RD14">
        <v>96.375</v>
      </c>
      <c r="RE14">
        <v>96.43</v>
      </c>
      <c r="RF14">
        <v>96.4</v>
      </c>
      <c r="RG14">
        <v>96.385000000000005</v>
      </c>
      <c r="RH14">
        <v>96.26</v>
      </c>
      <c r="RI14">
        <v>96.215000000000003</v>
      </c>
      <c r="RJ14">
        <v>96.215000000000003</v>
      </c>
      <c r="RK14">
        <v>96.245000000000005</v>
      </c>
      <c r="RL14">
        <v>96.105000000000004</v>
      </c>
      <c r="RM14">
        <v>96.13</v>
      </c>
      <c r="RN14">
        <v>96.215000000000003</v>
      </c>
      <c r="RO14">
        <v>96.144999999999996</v>
      </c>
      <c r="RP14">
        <v>96.215000000000003</v>
      </c>
      <c r="RQ14">
        <v>96.245000000000005</v>
      </c>
      <c r="RR14">
        <v>96.29</v>
      </c>
      <c r="RS14">
        <v>96.34</v>
      </c>
      <c r="RT14">
        <v>96.48</v>
      </c>
      <c r="RU14">
        <v>96.57</v>
      </c>
      <c r="RV14">
        <v>96.594999999999999</v>
      </c>
      <c r="RW14">
        <v>96.545000000000002</v>
      </c>
      <c r="RX14">
        <v>96.515000000000001</v>
      </c>
      <c r="RY14">
        <v>96.36</v>
      </c>
      <c r="RZ14">
        <v>96.454999999999998</v>
      </c>
      <c r="SA14">
        <v>96.435000000000002</v>
      </c>
      <c r="SB14">
        <v>96.52</v>
      </c>
      <c r="SC14">
        <v>96.495000000000005</v>
      </c>
      <c r="SD14">
        <v>96.43</v>
      </c>
      <c r="SE14">
        <v>96.62</v>
      </c>
      <c r="SF14">
        <v>96.49</v>
      </c>
      <c r="SG14">
        <v>96.575000000000003</v>
      </c>
      <c r="SH14">
        <v>96.62</v>
      </c>
      <c r="SI14">
        <v>96.63</v>
      </c>
      <c r="SJ14">
        <v>96.795000000000002</v>
      </c>
      <c r="SK14">
        <v>96.754999999999995</v>
      </c>
      <c r="SL14">
        <v>96.734999999999999</v>
      </c>
      <c r="SM14">
        <v>96.69</v>
      </c>
      <c r="SN14">
        <v>96.805000000000007</v>
      </c>
      <c r="SO14">
        <v>96.644999999999996</v>
      </c>
      <c r="SP14">
        <v>96.45</v>
      </c>
      <c r="SQ14">
        <v>96.415000000000006</v>
      </c>
      <c r="SR14">
        <v>96.284999999999997</v>
      </c>
      <c r="SS14">
        <v>96.27</v>
      </c>
      <c r="ST14">
        <v>96.42</v>
      </c>
      <c r="SU14">
        <v>96.515000000000001</v>
      </c>
      <c r="SV14">
        <v>96.515000000000001</v>
      </c>
      <c r="SW14">
        <v>96.584999999999994</v>
      </c>
      <c r="SX14">
        <v>96.594999999999999</v>
      </c>
      <c r="SY14">
        <v>96.775000000000006</v>
      </c>
      <c r="SZ14">
        <v>96.71</v>
      </c>
      <c r="TA14">
        <v>96.784999999999997</v>
      </c>
      <c r="TB14">
        <v>96.74</v>
      </c>
      <c r="TC14">
        <v>96.7</v>
      </c>
      <c r="TD14">
        <v>96.79</v>
      </c>
      <c r="TE14">
        <v>96.74</v>
      </c>
      <c r="TF14">
        <v>96.7</v>
      </c>
      <c r="TG14">
        <v>96.7</v>
      </c>
      <c r="TH14">
        <v>96.795000000000002</v>
      </c>
      <c r="TI14">
        <v>96.7</v>
      </c>
      <c r="TJ14">
        <v>96.674999999999997</v>
      </c>
      <c r="TK14">
        <v>96.81</v>
      </c>
      <c r="TL14">
        <v>96.805000000000007</v>
      </c>
      <c r="TM14">
        <v>96.875</v>
      </c>
      <c r="TN14">
        <v>96.805000000000007</v>
      </c>
      <c r="TO14">
        <v>96.875</v>
      </c>
      <c r="TP14">
        <v>96.89</v>
      </c>
      <c r="TQ14">
        <v>96.864999999999995</v>
      </c>
      <c r="TR14">
        <v>97.02</v>
      </c>
      <c r="TS14">
        <v>96.98</v>
      </c>
      <c r="TT14">
        <v>96.89</v>
      </c>
      <c r="TU14">
        <v>96.715000000000003</v>
      </c>
      <c r="TV14">
        <v>96.715000000000003</v>
      </c>
      <c r="TW14">
        <v>96.78</v>
      </c>
      <c r="TX14">
        <v>96.91</v>
      </c>
      <c r="TY14">
        <v>96.915000000000006</v>
      </c>
      <c r="TZ14">
        <v>96.894999999999996</v>
      </c>
      <c r="UA14">
        <v>96.924999999999997</v>
      </c>
      <c r="UB14">
        <v>97.004999999999995</v>
      </c>
      <c r="UC14">
        <v>97.12</v>
      </c>
      <c r="UD14">
        <v>97.18</v>
      </c>
      <c r="UE14">
        <v>97.22</v>
      </c>
      <c r="UF14">
        <v>97.22</v>
      </c>
      <c r="UG14">
        <v>97.314999999999998</v>
      </c>
      <c r="UH14">
        <v>97.284999999999997</v>
      </c>
      <c r="UI14">
        <v>97.174999999999997</v>
      </c>
      <c r="UJ14">
        <v>97.165000000000006</v>
      </c>
      <c r="UK14">
        <v>97.224999999999994</v>
      </c>
      <c r="UL14">
        <v>97.364999999999995</v>
      </c>
      <c r="UM14">
        <v>97.265000000000001</v>
      </c>
      <c r="UN14">
        <v>97.224999999999994</v>
      </c>
      <c r="UO14">
        <v>97.055000000000007</v>
      </c>
      <c r="UP14">
        <v>97.15</v>
      </c>
      <c r="UQ14">
        <v>97.084999999999994</v>
      </c>
      <c r="UR14">
        <v>97.21</v>
      </c>
      <c r="US14">
        <v>97.25</v>
      </c>
      <c r="UT14">
        <v>97.08</v>
      </c>
      <c r="UU14">
        <v>97.02</v>
      </c>
      <c r="UV14">
        <v>97.045000000000002</v>
      </c>
      <c r="UW14">
        <v>96.96</v>
      </c>
      <c r="UX14">
        <v>96.99</v>
      </c>
      <c r="UY14">
        <v>96.965000000000003</v>
      </c>
      <c r="UZ14">
        <v>97.05</v>
      </c>
      <c r="VA14">
        <v>97.15</v>
      </c>
      <c r="VB14">
        <v>97.19</v>
      </c>
      <c r="VC14">
        <v>97.105000000000004</v>
      </c>
      <c r="VD14">
        <v>97.144999999999996</v>
      </c>
      <c r="VE14">
        <v>97.194999999999993</v>
      </c>
      <c r="VF14">
        <v>97.314999999999998</v>
      </c>
      <c r="VG14">
        <v>97.305000000000007</v>
      </c>
      <c r="VH14">
        <v>97.284999999999997</v>
      </c>
      <c r="VI14">
        <v>97.155000000000001</v>
      </c>
      <c r="VJ14">
        <v>97.064999999999998</v>
      </c>
      <c r="VK14">
        <v>97</v>
      </c>
      <c r="VL14">
        <v>96.954999999999998</v>
      </c>
      <c r="VM14">
        <v>96.954999999999998</v>
      </c>
      <c r="VN14">
        <v>97.004999999999995</v>
      </c>
      <c r="VO14">
        <v>97.135000000000005</v>
      </c>
      <c r="VP14">
        <v>97.13</v>
      </c>
      <c r="VQ14">
        <v>96.97</v>
      </c>
      <c r="VR14">
        <v>96.77</v>
      </c>
      <c r="VS14">
        <v>96.86</v>
      </c>
      <c r="VT14">
        <v>96.95</v>
      </c>
      <c r="VU14">
        <v>96.694999999999993</v>
      </c>
      <c r="VV14">
        <v>96.775000000000006</v>
      </c>
      <c r="VW14">
        <v>96.614999999999995</v>
      </c>
      <c r="VX14">
        <v>96.75</v>
      </c>
      <c r="VY14">
        <v>96.734999999999999</v>
      </c>
      <c r="VZ14">
        <v>96.55</v>
      </c>
      <c r="WA14">
        <v>96.41</v>
      </c>
      <c r="WB14">
        <v>96.41</v>
      </c>
      <c r="WC14">
        <v>96.424999999999997</v>
      </c>
      <c r="WD14">
        <v>96.42</v>
      </c>
      <c r="WE14">
        <v>96.334999999999994</v>
      </c>
      <c r="WF14">
        <v>96.424999999999997</v>
      </c>
      <c r="WG14">
        <v>96.54</v>
      </c>
      <c r="WH14">
        <v>96.534999999999997</v>
      </c>
      <c r="WI14">
        <v>96.474999999999994</v>
      </c>
      <c r="WJ14">
        <v>96.614999999999995</v>
      </c>
      <c r="WK14">
        <v>96.57</v>
      </c>
      <c r="WL14">
        <v>96.545000000000002</v>
      </c>
      <c r="WM14">
        <v>96.694999999999993</v>
      </c>
      <c r="WN14">
        <v>96.694999999999993</v>
      </c>
      <c r="WO14">
        <v>96.655000000000001</v>
      </c>
      <c r="WP14">
        <v>96.67</v>
      </c>
      <c r="WQ14">
        <v>96.73</v>
      </c>
      <c r="WR14">
        <v>96.84</v>
      </c>
      <c r="WS14">
        <v>96.855000000000004</v>
      </c>
      <c r="WT14">
        <v>96.894999999999996</v>
      </c>
      <c r="WU14">
        <v>96.98</v>
      </c>
      <c r="WV14">
        <v>96.944999999999993</v>
      </c>
      <c r="WW14">
        <v>96.97</v>
      </c>
      <c r="WX14">
        <v>97.105000000000004</v>
      </c>
      <c r="WY14">
        <v>97.305000000000007</v>
      </c>
      <c r="WZ14">
        <v>97.31</v>
      </c>
      <c r="XA14">
        <v>97.15</v>
      </c>
      <c r="XB14">
        <v>97.07</v>
      </c>
      <c r="XC14">
        <v>97.144999999999996</v>
      </c>
      <c r="XD14">
        <v>97.185000000000002</v>
      </c>
      <c r="XE14">
        <v>97.234999999999999</v>
      </c>
      <c r="XF14">
        <v>97.24</v>
      </c>
      <c r="XG14">
        <v>97.18</v>
      </c>
      <c r="XH14">
        <v>97.254999999999995</v>
      </c>
      <c r="XI14">
        <v>97.355000000000004</v>
      </c>
      <c r="XJ14">
        <v>97.4</v>
      </c>
      <c r="XK14">
        <v>97.22</v>
      </c>
      <c r="XL14">
        <v>97.215000000000003</v>
      </c>
      <c r="XM14">
        <v>97.215000000000003</v>
      </c>
      <c r="XN14">
        <v>97.275000000000006</v>
      </c>
      <c r="XO14">
        <v>97.15</v>
      </c>
      <c r="XP14">
        <v>97.084999999999994</v>
      </c>
      <c r="XQ14">
        <v>97.18</v>
      </c>
      <c r="XR14">
        <v>97.144999999999996</v>
      </c>
      <c r="XS14">
        <v>96.924999999999997</v>
      </c>
      <c r="XT14">
        <v>96.95</v>
      </c>
      <c r="XU14">
        <v>96.855000000000004</v>
      </c>
      <c r="XV14">
        <v>96.814999999999998</v>
      </c>
      <c r="XW14">
        <v>96.814999999999998</v>
      </c>
      <c r="XX14">
        <v>96.775000000000006</v>
      </c>
      <c r="XY14">
        <v>96.745000000000005</v>
      </c>
      <c r="XZ14">
        <v>96.775000000000006</v>
      </c>
      <c r="YA14">
        <v>96.875</v>
      </c>
      <c r="YB14">
        <v>96.875</v>
      </c>
      <c r="YC14">
        <v>96.965000000000003</v>
      </c>
      <c r="YD14">
        <v>96.984999999999999</v>
      </c>
      <c r="YE14">
        <v>96.98</v>
      </c>
      <c r="YF14">
        <v>97.05</v>
      </c>
      <c r="YG14">
        <v>97.135000000000005</v>
      </c>
      <c r="YH14">
        <v>97.135000000000005</v>
      </c>
      <c r="YI14">
        <v>97.105000000000004</v>
      </c>
      <c r="YJ14">
        <v>97.094999999999999</v>
      </c>
      <c r="YK14">
        <v>96.97</v>
      </c>
      <c r="YL14">
        <v>97.034999999999997</v>
      </c>
      <c r="YM14">
        <v>97.1</v>
      </c>
      <c r="YN14">
        <v>97.21</v>
      </c>
      <c r="YO14">
        <v>97.1</v>
      </c>
      <c r="YP14">
        <v>97.05</v>
      </c>
      <c r="YQ14">
        <v>97.185000000000002</v>
      </c>
      <c r="YR14">
        <v>97.125</v>
      </c>
      <c r="YS14">
        <v>96.96</v>
      </c>
      <c r="YT14">
        <v>96.84</v>
      </c>
      <c r="YU14">
        <v>96.844999999999999</v>
      </c>
      <c r="YV14">
        <v>96.85</v>
      </c>
      <c r="YW14">
        <v>96.84</v>
      </c>
      <c r="YX14">
        <v>96.84</v>
      </c>
      <c r="YY14">
        <v>96.805000000000007</v>
      </c>
      <c r="YZ14">
        <v>96.7</v>
      </c>
      <c r="ZA14">
        <v>96.724999999999994</v>
      </c>
      <c r="ZB14">
        <v>96.814999999999998</v>
      </c>
      <c r="ZC14">
        <v>96.905000000000001</v>
      </c>
      <c r="ZD14">
        <v>96.81</v>
      </c>
      <c r="ZE14">
        <v>96.69</v>
      </c>
      <c r="ZF14">
        <v>96.734999999999999</v>
      </c>
      <c r="ZG14">
        <v>96.69</v>
      </c>
      <c r="ZH14">
        <v>96.325000000000003</v>
      </c>
      <c r="ZI14">
        <v>96.265000000000001</v>
      </c>
      <c r="ZJ14">
        <v>96.185000000000002</v>
      </c>
      <c r="ZK14">
        <v>96.224999999999994</v>
      </c>
      <c r="ZL14">
        <v>96.204999999999998</v>
      </c>
      <c r="ZM14">
        <v>96.295000000000002</v>
      </c>
      <c r="ZN14">
        <v>96.31</v>
      </c>
      <c r="ZO14">
        <v>96.32</v>
      </c>
      <c r="ZP14">
        <v>96.355000000000004</v>
      </c>
      <c r="ZQ14">
        <v>96.48</v>
      </c>
      <c r="ZR14">
        <v>96.38</v>
      </c>
      <c r="ZS14">
        <v>96.305000000000007</v>
      </c>
      <c r="ZT14">
        <v>96.21</v>
      </c>
      <c r="ZU14">
        <v>96.194999999999993</v>
      </c>
      <c r="ZV14">
        <v>96.09</v>
      </c>
      <c r="ZW14">
        <v>96.224999999999994</v>
      </c>
      <c r="ZX14">
        <v>96.385000000000005</v>
      </c>
      <c r="ZY14">
        <v>96.37</v>
      </c>
      <c r="ZZ14">
        <v>96.33</v>
      </c>
      <c r="AAA14">
        <v>96.38</v>
      </c>
      <c r="AAB14">
        <v>96.394999999999996</v>
      </c>
      <c r="AAC14">
        <v>96.325000000000003</v>
      </c>
      <c r="AAD14">
        <v>96.34</v>
      </c>
      <c r="AAE14">
        <v>96.38</v>
      </c>
      <c r="AAF14">
        <v>96.444999999999993</v>
      </c>
      <c r="AAG14">
        <v>96.515000000000001</v>
      </c>
      <c r="AAH14">
        <v>96.68</v>
      </c>
      <c r="AAI14">
        <v>96.575000000000003</v>
      </c>
      <c r="AAJ14">
        <v>96.415000000000006</v>
      </c>
      <c r="AAK14">
        <v>96.5</v>
      </c>
      <c r="AAL14">
        <v>96.54</v>
      </c>
      <c r="AAM14">
        <v>96.27</v>
      </c>
      <c r="AAN14">
        <v>96.29</v>
      </c>
      <c r="AAO14">
        <v>96.51</v>
      </c>
      <c r="AAP14">
        <v>96.57</v>
      </c>
      <c r="AAQ14">
        <v>96.78</v>
      </c>
      <c r="AAR14">
        <v>96.665000000000006</v>
      </c>
      <c r="AAS14">
        <v>96.75</v>
      </c>
      <c r="AAT14">
        <v>96.83</v>
      </c>
      <c r="AAU14">
        <v>96.77</v>
      </c>
      <c r="AAV14">
        <v>96.855000000000004</v>
      </c>
      <c r="AAW14">
        <v>96.864999999999995</v>
      </c>
      <c r="AAX14">
        <v>96.974999999999994</v>
      </c>
      <c r="AAY14">
        <v>96.984999999999999</v>
      </c>
      <c r="AAZ14">
        <v>97.034999999999997</v>
      </c>
      <c r="ABA14">
        <v>97.06</v>
      </c>
      <c r="ABB14">
        <v>96.954999999999998</v>
      </c>
      <c r="ABC14">
        <v>97.084999999999994</v>
      </c>
      <c r="ABD14">
        <v>97.084999999999994</v>
      </c>
      <c r="ABE14">
        <v>96.984999999999999</v>
      </c>
      <c r="ABF14">
        <v>97.105000000000004</v>
      </c>
      <c r="ABG14">
        <v>97.084999999999994</v>
      </c>
      <c r="ABH14">
        <v>97.09</v>
      </c>
      <c r="ABI14">
        <v>97.165000000000006</v>
      </c>
      <c r="ABJ14">
        <v>97.215000000000003</v>
      </c>
      <c r="ABK14">
        <v>97.174999999999997</v>
      </c>
      <c r="ABL14">
        <v>97.224999999999994</v>
      </c>
      <c r="ABM14">
        <v>97.234999999999999</v>
      </c>
      <c r="ABN14">
        <v>97.314999999999998</v>
      </c>
      <c r="ABO14">
        <v>97.415000000000006</v>
      </c>
      <c r="ABP14">
        <v>97.405000000000001</v>
      </c>
      <c r="ABQ14">
        <v>97.534999999999997</v>
      </c>
      <c r="ABR14">
        <v>97.605000000000004</v>
      </c>
      <c r="ABS14">
        <v>97.52</v>
      </c>
      <c r="ABT14">
        <v>97.52</v>
      </c>
      <c r="ABU14">
        <v>97.584999999999994</v>
      </c>
      <c r="ABV14">
        <v>97.52</v>
      </c>
      <c r="ABW14">
        <v>97.614999999999995</v>
      </c>
      <c r="ABX14">
        <v>97.515000000000001</v>
      </c>
      <c r="ABY14">
        <v>97.72</v>
      </c>
      <c r="ABZ14">
        <v>97.594999999999999</v>
      </c>
      <c r="ACA14">
        <v>97.614999999999995</v>
      </c>
      <c r="ACB14">
        <v>97.864999999999995</v>
      </c>
      <c r="ACC14">
        <v>97.83</v>
      </c>
      <c r="ACD14">
        <v>97.8</v>
      </c>
      <c r="ACE14">
        <v>97.724999999999994</v>
      </c>
      <c r="ACF14">
        <v>97.635000000000005</v>
      </c>
      <c r="ACG14">
        <v>97.64</v>
      </c>
      <c r="ACH14">
        <v>97.66</v>
      </c>
      <c r="ACI14">
        <v>97.51</v>
      </c>
      <c r="ACJ14">
        <v>97.314999999999998</v>
      </c>
      <c r="ACK14">
        <v>97.34</v>
      </c>
      <c r="ACL14">
        <v>97.42</v>
      </c>
      <c r="ACM14">
        <v>97.454999999999998</v>
      </c>
      <c r="ACN14">
        <v>97.47</v>
      </c>
      <c r="ACO14">
        <v>97.515000000000001</v>
      </c>
      <c r="ACP14">
        <v>97.46</v>
      </c>
      <c r="ACQ14">
        <v>97.415000000000006</v>
      </c>
      <c r="ACR14">
        <v>97.314999999999998</v>
      </c>
      <c r="ACS14">
        <v>97.41</v>
      </c>
      <c r="ACT14">
        <v>97.5</v>
      </c>
      <c r="ACU14">
        <v>97.665000000000006</v>
      </c>
      <c r="ACV14">
        <v>97.584999999999994</v>
      </c>
      <c r="ACW14">
        <v>97.584999999999994</v>
      </c>
      <c r="ACX14">
        <v>97.44</v>
      </c>
      <c r="ACY14">
        <v>97.25</v>
      </c>
      <c r="ACZ14">
        <v>97.09</v>
      </c>
      <c r="ADA14">
        <v>97.1</v>
      </c>
      <c r="ADB14">
        <v>97.185000000000002</v>
      </c>
      <c r="ADC14">
        <v>97.254999999999995</v>
      </c>
      <c r="ADD14">
        <v>97.14</v>
      </c>
      <c r="ADE14">
        <v>96.954999999999998</v>
      </c>
      <c r="ADF14">
        <v>96.97</v>
      </c>
      <c r="ADG14">
        <v>96.97</v>
      </c>
      <c r="ADH14">
        <v>96.93</v>
      </c>
      <c r="ADI14">
        <v>96.825000000000003</v>
      </c>
      <c r="ADJ14">
        <v>96.62</v>
      </c>
      <c r="ADK14">
        <v>96.69</v>
      </c>
      <c r="ADL14">
        <v>96.905000000000001</v>
      </c>
      <c r="ADM14">
        <v>97.084999999999994</v>
      </c>
      <c r="ADN14">
        <v>97.125</v>
      </c>
      <c r="ADO14">
        <v>97.16</v>
      </c>
      <c r="ADP14">
        <v>97.11</v>
      </c>
      <c r="ADQ14">
        <v>97.224999999999994</v>
      </c>
      <c r="ADR14">
        <v>97.275000000000006</v>
      </c>
      <c r="ADS14">
        <v>97.234999999999999</v>
      </c>
      <c r="ADT14">
        <v>97.375</v>
      </c>
      <c r="ADU14">
        <v>97.424999999999997</v>
      </c>
      <c r="ADV14">
        <v>97.424999999999997</v>
      </c>
      <c r="ADW14">
        <v>97.454999999999998</v>
      </c>
      <c r="ADX14">
        <v>97.474999999999994</v>
      </c>
      <c r="ADY14">
        <v>97.444999999999993</v>
      </c>
      <c r="ADZ14">
        <v>97.314999999999998</v>
      </c>
      <c r="AEA14">
        <v>97.4</v>
      </c>
      <c r="AEB14">
        <v>97.32</v>
      </c>
      <c r="AEC14">
        <v>97.25</v>
      </c>
      <c r="AED14">
        <v>97.194999999999993</v>
      </c>
      <c r="AEE14">
        <v>97.35</v>
      </c>
      <c r="AEF14">
        <v>97.234999999999999</v>
      </c>
      <c r="AEG14">
        <v>97.33</v>
      </c>
      <c r="AEH14">
        <v>97.215000000000003</v>
      </c>
      <c r="AEI14">
        <v>97.155000000000001</v>
      </c>
      <c r="AEJ14">
        <v>97.1</v>
      </c>
      <c r="AEK14">
        <v>97.004999999999995</v>
      </c>
      <c r="AEL14">
        <v>97.02</v>
      </c>
      <c r="AEM14">
        <v>97.13</v>
      </c>
      <c r="AEN14">
        <v>97.03</v>
      </c>
      <c r="AEO14">
        <v>97</v>
      </c>
      <c r="AEP14">
        <v>97.11</v>
      </c>
      <c r="AEQ14">
        <v>97.12</v>
      </c>
      <c r="AER14">
        <v>97.22</v>
      </c>
      <c r="AES14">
        <v>97.24</v>
      </c>
      <c r="AET14">
        <v>97.165000000000006</v>
      </c>
      <c r="AEU14">
        <v>97.1</v>
      </c>
      <c r="AEV14">
        <v>97.03</v>
      </c>
      <c r="AEW14">
        <v>97.15</v>
      </c>
      <c r="AEX14">
        <v>97.114999999999995</v>
      </c>
      <c r="AEY14">
        <v>97.24</v>
      </c>
      <c r="AEZ14">
        <v>97.265000000000001</v>
      </c>
      <c r="AFA14">
        <v>97.265000000000001</v>
      </c>
      <c r="AFB14">
        <v>97.39</v>
      </c>
      <c r="AFC14">
        <v>97.355000000000004</v>
      </c>
      <c r="AFD14">
        <v>97.2</v>
      </c>
      <c r="AFE14">
        <v>97.224999999999994</v>
      </c>
      <c r="AFF14">
        <v>97.32</v>
      </c>
      <c r="AFG14">
        <v>97.295000000000002</v>
      </c>
      <c r="AFH14">
        <v>97.29</v>
      </c>
      <c r="AFI14">
        <v>97.415000000000006</v>
      </c>
      <c r="AFJ14">
        <v>97.394999999999996</v>
      </c>
      <c r="AFK14">
        <v>97.555000000000007</v>
      </c>
      <c r="AFL14">
        <v>97.5</v>
      </c>
      <c r="AFM14">
        <v>97.47</v>
      </c>
      <c r="AFN14">
        <v>97.4</v>
      </c>
      <c r="AFO14">
        <v>97.405000000000001</v>
      </c>
      <c r="AFP14">
        <v>97.655000000000001</v>
      </c>
      <c r="AFQ14">
        <v>97.69</v>
      </c>
      <c r="AFR14">
        <v>97.62</v>
      </c>
      <c r="AFS14">
        <v>97.67</v>
      </c>
      <c r="AFT14">
        <v>97.864999999999995</v>
      </c>
      <c r="AFU14">
        <v>97.834999999999994</v>
      </c>
      <c r="AFV14">
        <v>97.79</v>
      </c>
      <c r="AFW14">
        <v>97.875</v>
      </c>
      <c r="AFX14">
        <v>97.905000000000001</v>
      </c>
      <c r="AFY14">
        <v>98.055000000000007</v>
      </c>
      <c r="AFZ14">
        <v>98.09</v>
      </c>
      <c r="AGA14">
        <v>98.155000000000001</v>
      </c>
      <c r="AGB14">
        <v>98.25</v>
      </c>
      <c r="AGC14">
        <v>98.37</v>
      </c>
      <c r="AGD14">
        <v>98.44</v>
      </c>
      <c r="AGE14">
        <v>98.295000000000002</v>
      </c>
      <c r="AGF14">
        <v>98.27</v>
      </c>
      <c r="AGG14">
        <v>98.484999999999999</v>
      </c>
      <c r="AGH14">
        <v>98.25</v>
      </c>
      <c r="AGI14">
        <v>98.075000000000003</v>
      </c>
      <c r="AGJ14">
        <v>98.105000000000004</v>
      </c>
      <c r="AGK14">
        <v>98.1</v>
      </c>
      <c r="AGL14">
        <v>98.14</v>
      </c>
      <c r="AGM14">
        <v>98.155000000000001</v>
      </c>
      <c r="AGN14">
        <v>98.155000000000001</v>
      </c>
      <c r="AGO14">
        <v>98.125</v>
      </c>
      <c r="AGP14">
        <v>98.05</v>
      </c>
      <c r="AGQ14">
        <v>98.034999999999997</v>
      </c>
      <c r="AGR14">
        <v>98.045000000000002</v>
      </c>
      <c r="AGS14">
        <v>98.12</v>
      </c>
      <c r="AGT14">
        <v>97.984999999999999</v>
      </c>
      <c r="AGU14">
        <v>98.09</v>
      </c>
      <c r="AGV14">
        <v>98.084999999999994</v>
      </c>
      <c r="AGW14">
        <v>98.14</v>
      </c>
      <c r="AGX14">
        <v>98.12</v>
      </c>
      <c r="AGY14">
        <v>98.254999999999995</v>
      </c>
      <c r="AGZ14">
        <v>98.32</v>
      </c>
      <c r="AHA14">
        <v>98.3</v>
      </c>
      <c r="AHB14">
        <v>98.295000000000002</v>
      </c>
      <c r="AHC14">
        <v>98.27</v>
      </c>
      <c r="AHD14">
        <v>98.224999999999994</v>
      </c>
      <c r="AHE14">
        <v>98.21</v>
      </c>
      <c r="AHF14">
        <v>98.3</v>
      </c>
      <c r="AHG14">
        <v>98.35</v>
      </c>
      <c r="AHH14">
        <v>98.284999999999997</v>
      </c>
      <c r="AHI14">
        <v>98.204999999999998</v>
      </c>
      <c r="AHJ14">
        <v>98.21</v>
      </c>
      <c r="AHK14">
        <v>98.16</v>
      </c>
      <c r="AHL14">
        <v>98.26</v>
      </c>
      <c r="AHM14">
        <v>98.26</v>
      </c>
      <c r="AHN14">
        <v>98.355000000000004</v>
      </c>
      <c r="AHO14">
        <v>98.32</v>
      </c>
      <c r="AHP14">
        <v>98.29</v>
      </c>
      <c r="AHQ14">
        <v>98.224999999999994</v>
      </c>
      <c r="AHR14">
        <v>98.275000000000006</v>
      </c>
      <c r="AHS14">
        <v>98.334999999999994</v>
      </c>
      <c r="AHT14">
        <v>98.385000000000005</v>
      </c>
      <c r="AHU14">
        <v>98.444999999999993</v>
      </c>
      <c r="AHV14">
        <v>98.46</v>
      </c>
      <c r="AHW14">
        <v>98.584999999999994</v>
      </c>
      <c r="AHX14">
        <v>98.57</v>
      </c>
      <c r="AHY14">
        <v>98.555000000000007</v>
      </c>
      <c r="AHZ14">
        <v>98.59</v>
      </c>
      <c r="AIA14">
        <v>98.575000000000003</v>
      </c>
      <c r="AIB14">
        <v>98.584999999999994</v>
      </c>
      <c r="AIC14">
        <v>98.584999999999994</v>
      </c>
      <c r="AID14">
        <v>98.6</v>
      </c>
      <c r="AIE14">
        <v>98.59</v>
      </c>
      <c r="AIF14">
        <v>98.66</v>
      </c>
      <c r="AIG14">
        <v>98.655000000000001</v>
      </c>
      <c r="AIH14">
        <v>98.665000000000006</v>
      </c>
      <c r="AII14">
        <v>98.55</v>
      </c>
      <c r="AIJ14">
        <v>98.575000000000003</v>
      </c>
      <c r="AIK14">
        <v>98.584999999999994</v>
      </c>
      <c r="AIL14">
        <v>98.534999999999997</v>
      </c>
      <c r="AIM14">
        <v>98.52</v>
      </c>
      <c r="AIN14">
        <v>98.504999999999995</v>
      </c>
      <c r="AIO14">
        <v>98.515000000000001</v>
      </c>
      <c r="AIP14">
        <v>98.57</v>
      </c>
      <c r="AIQ14">
        <v>98.67</v>
      </c>
      <c r="AIR14">
        <v>98.584999999999994</v>
      </c>
      <c r="AIS14">
        <v>98.635000000000005</v>
      </c>
      <c r="AIT14">
        <v>98.63</v>
      </c>
      <c r="AIU14">
        <v>98.59</v>
      </c>
      <c r="AIV14">
        <v>98.59</v>
      </c>
      <c r="AIW14">
        <v>98.4</v>
      </c>
      <c r="AIX14">
        <v>98.4</v>
      </c>
      <c r="AIY14">
        <v>98.424999999999997</v>
      </c>
      <c r="AIZ14">
        <v>98.444999999999993</v>
      </c>
      <c r="AJA14">
        <v>98.584999999999994</v>
      </c>
      <c r="AJB14">
        <v>98.58</v>
      </c>
      <c r="AJC14">
        <v>98.55</v>
      </c>
      <c r="AJD14">
        <v>98.515000000000001</v>
      </c>
      <c r="AJE14">
        <v>98.54</v>
      </c>
      <c r="AJF14">
        <v>98.56</v>
      </c>
      <c r="AJG14">
        <v>98.56</v>
      </c>
      <c r="AJH14">
        <v>98.605000000000004</v>
      </c>
      <c r="AJI14">
        <v>98.78</v>
      </c>
      <c r="AJJ14">
        <v>98.73</v>
      </c>
      <c r="AJK14">
        <v>98.814999999999998</v>
      </c>
      <c r="AJL14">
        <v>98.734999999999999</v>
      </c>
      <c r="AJM14">
        <v>98.644999999999996</v>
      </c>
      <c r="AJN14">
        <v>98.694999999999993</v>
      </c>
      <c r="AJO14">
        <v>98.655000000000001</v>
      </c>
      <c r="AJP14">
        <v>98.69</v>
      </c>
      <c r="AJQ14">
        <v>98.685000000000002</v>
      </c>
      <c r="AJR14">
        <v>98.694999999999993</v>
      </c>
      <c r="AJS14">
        <v>98.63</v>
      </c>
      <c r="AJT14">
        <v>98.635000000000005</v>
      </c>
      <c r="AJU14">
        <v>98.614999999999995</v>
      </c>
      <c r="AJV14">
        <v>98.605000000000004</v>
      </c>
      <c r="AJW14">
        <v>98.69</v>
      </c>
      <c r="AJX14">
        <v>98.67</v>
      </c>
      <c r="AJY14">
        <v>98.644999999999996</v>
      </c>
      <c r="AJZ14">
        <v>98.7</v>
      </c>
      <c r="AKA14">
        <v>98.784999999999997</v>
      </c>
      <c r="AKB14">
        <v>98.73</v>
      </c>
      <c r="AKC14">
        <v>98.75</v>
      </c>
      <c r="AKD14">
        <v>98.75</v>
      </c>
      <c r="AKE14">
        <v>98.79</v>
      </c>
      <c r="AKF14">
        <v>98.84</v>
      </c>
      <c r="AKG14">
        <v>98.88</v>
      </c>
      <c r="AKH14">
        <v>98.894999999999996</v>
      </c>
      <c r="AKI14">
        <v>98.94</v>
      </c>
      <c r="AKJ14">
        <v>98.94</v>
      </c>
      <c r="AKK14">
        <v>98.864999999999995</v>
      </c>
      <c r="AKL14">
        <v>98.85</v>
      </c>
      <c r="AKM14">
        <v>98.81</v>
      </c>
      <c r="AKN14">
        <v>98.83</v>
      </c>
      <c r="AKO14">
        <v>98.85</v>
      </c>
      <c r="AKP14">
        <v>98.864999999999995</v>
      </c>
      <c r="AKQ14">
        <v>98.924999999999997</v>
      </c>
      <c r="AKR14">
        <v>99.004999999999995</v>
      </c>
      <c r="AKS14">
        <v>99.01</v>
      </c>
      <c r="AKT14">
        <v>98.95</v>
      </c>
      <c r="AKU14">
        <v>98.995000000000005</v>
      </c>
      <c r="AKV14">
        <v>99.04</v>
      </c>
      <c r="AKW14">
        <v>99.165000000000006</v>
      </c>
      <c r="AKX14">
        <v>99.15</v>
      </c>
      <c r="AKY14">
        <v>99.14</v>
      </c>
      <c r="AKZ14">
        <v>99.17</v>
      </c>
      <c r="ALA14">
        <v>99.15</v>
      </c>
      <c r="ALB14">
        <v>99.14</v>
      </c>
      <c r="ALC14">
        <v>99.19</v>
      </c>
      <c r="ALD14">
        <v>99.19</v>
      </c>
      <c r="ALE14">
        <v>99.194999999999993</v>
      </c>
      <c r="ALF14">
        <v>99.185000000000002</v>
      </c>
      <c r="ALG14">
        <v>99.194999999999993</v>
      </c>
      <c r="ALH14">
        <v>99.194999999999993</v>
      </c>
      <c r="ALI14">
        <v>99.15</v>
      </c>
      <c r="ALJ14">
        <v>99.1</v>
      </c>
      <c r="ALK14">
        <v>99.11</v>
      </c>
      <c r="ALL14">
        <v>99.155000000000001</v>
      </c>
      <c r="ALM14">
        <v>99.185000000000002</v>
      </c>
      <c r="ALN14">
        <v>99.17</v>
      </c>
      <c r="ALO14">
        <v>99.185000000000002</v>
      </c>
      <c r="ALP14">
        <v>99.174999999999997</v>
      </c>
      <c r="ALQ14">
        <v>99.19</v>
      </c>
      <c r="ALR14">
        <v>99.21</v>
      </c>
      <c r="ALS14">
        <v>99.15</v>
      </c>
      <c r="ALT14">
        <v>99.094999999999999</v>
      </c>
      <c r="ALU14">
        <v>99.114999999999995</v>
      </c>
      <c r="ALV14">
        <v>99.09</v>
      </c>
      <c r="ALW14">
        <v>99.125</v>
      </c>
      <c r="ALX14">
        <v>99.17</v>
      </c>
      <c r="ALY14">
        <v>99.234999999999999</v>
      </c>
      <c r="ALZ14">
        <v>99.295000000000002</v>
      </c>
      <c r="AMA14">
        <v>99.35</v>
      </c>
      <c r="AMB14">
        <v>99.334999999999994</v>
      </c>
      <c r="AMC14">
        <v>99.265000000000001</v>
      </c>
      <c r="AMD14">
        <v>99.224999999999994</v>
      </c>
      <c r="AME14">
        <v>99.21</v>
      </c>
      <c r="AMF14">
        <v>99.275000000000006</v>
      </c>
      <c r="AMG14">
        <v>99.245000000000005</v>
      </c>
      <c r="AMH14">
        <v>99.25</v>
      </c>
      <c r="AMI14">
        <v>99.26</v>
      </c>
      <c r="AMJ14">
        <v>99.245000000000005</v>
      </c>
      <c r="AMK14">
        <v>99.325000000000003</v>
      </c>
      <c r="AML14">
        <v>99.3</v>
      </c>
      <c r="AMM14">
        <v>99.13</v>
      </c>
      <c r="AMN14">
        <v>99.13</v>
      </c>
      <c r="AMO14">
        <v>99.11</v>
      </c>
      <c r="AMP14">
        <v>99.07</v>
      </c>
      <c r="AMQ14">
        <v>99.144999999999996</v>
      </c>
      <c r="AMR14">
        <v>99.15</v>
      </c>
      <c r="AMS14">
        <v>99.215000000000003</v>
      </c>
      <c r="AMT14">
        <v>99.135000000000005</v>
      </c>
      <c r="AMU14">
        <v>99.105000000000004</v>
      </c>
      <c r="AMV14">
        <v>99.034999999999997</v>
      </c>
      <c r="AMW14">
        <v>99.034999999999997</v>
      </c>
      <c r="AMX14">
        <v>98.97</v>
      </c>
      <c r="AMY14">
        <v>99.02</v>
      </c>
      <c r="AMZ14">
        <v>99</v>
      </c>
      <c r="ANA14">
        <v>99.004999999999995</v>
      </c>
      <c r="ANB14">
        <v>98.98</v>
      </c>
      <c r="ANC14">
        <v>99.01</v>
      </c>
      <c r="AND14">
        <v>99.025000000000006</v>
      </c>
      <c r="ANE14">
        <v>99.07</v>
      </c>
      <c r="ANF14">
        <v>99.045000000000002</v>
      </c>
      <c r="ANG14">
        <v>99.03</v>
      </c>
      <c r="ANH14">
        <v>99.034999999999997</v>
      </c>
      <c r="ANI14">
        <v>99.06</v>
      </c>
      <c r="ANJ14">
        <v>99.325000000000003</v>
      </c>
      <c r="ANK14">
        <v>99.334999999999994</v>
      </c>
      <c r="ANL14">
        <v>99.36</v>
      </c>
      <c r="ANM14">
        <v>99.39</v>
      </c>
      <c r="ANN14">
        <v>99.375</v>
      </c>
      <c r="ANO14">
        <v>99.34</v>
      </c>
      <c r="ANP14">
        <v>99.31</v>
      </c>
      <c r="ANQ14">
        <v>99.32</v>
      </c>
      <c r="ANR14">
        <v>99.265000000000001</v>
      </c>
      <c r="ANS14">
        <v>99.314999999999998</v>
      </c>
      <c r="ANT14">
        <v>99.284999999999997</v>
      </c>
      <c r="ANU14">
        <v>99.3</v>
      </c>
      <c r="ANV14">
        <v>99.3</v>
      </c>
      <c r="ANW14">
        <v>99.3</v>
      </c>
      <c r="ANX14">
        <v>99.325000000000003</v>
      </c>
      <c r="ANY14">
        <v>99.33</v>
      </c>
      <c r="ANZ14">
        <v>99.284999999999997</v>
      </c>
      <c r="AOA14">
        <v>99.26</v>
      </c>
      <c r="AOB14">
        <v>99.27</v>
      </c>
      <c r="AOC14">
        <v>99.224999999999994</v>
      </c>
      <c r="AOD14">
        <v>99.27</v>
      </c>
      <c r="AOE14">
        <v>99.265000000000001</v>
      </c>
      <c r="AOF14">
        <v>99.265000000000001</v>
      </c>
      <c r="AOG14">
        <v>99.265000000000001</v>
      </c>
      <c r="AOH14">
        <v>99.224999999999994</v>
      </c>
      <c r="AOI14">
        <v>99.314999999999998</v>
      </c>
      <c r="AOJ14">
        <v>99.334999999999994</v>
      </c>
      <c r="AOK14">
        <v>99.334999999999994</v>
      </c>
      <c r="AOL14">
        <v>99.27</v>
      </c>
      <c r="AOM14">
        <v>99.26</v>
      </c>
      <c r="AON14">
        <v>99.25</v>
      </c>
      <c r="AOO14">
        <v>99.224999999999994</v>
      </c>
      <c r="AOP14">
        <v>99.194999999999993</v>
      </c>
      <c r="AOQ14">
        <v>99.19</v>
      </c>
      <c r="AOR14">
        <v>99.19</v>
      </c>
      <c r="AOS14">
        <v>99.174999999999997</v>
      </c>
      <c r="AOT14">
        <v>99.21</v>
      </c>
      <c r="AOU14">
        <v>99.22</v>
      </c>
      <c r="AOV14">
        <v>99.245000000000005</v>
      </c>
      <c r="AOW14">
        <v>99.245000000000005</v>
      </c>
      <c r="AOX14">
        <v>99.26</v>
      </c>
      <c r="AOY14">
        <v>99.234999999999999</v>
      </c>
      <c r="AOZ14">
        <v>99.23</v>
      </c>
      <c r="APA14">
        <v>99.26</v>
      </c>
      <c r="APB14">
        <v>99.174999999999997</v>
      </c>
      <c r="APC14">
        <v>99.19</v>
      </c>
      <c r="APD14">
        <v>99.11</v>
      </c>
      <c r="APE14">
        <v>99.144999999999996</v>
      </c>
      <c r="APF14">
        <v>99.174999999999997</v>
      </c>
      <c r="APG14">
        <v>99.155000000000001</v>
      </c>
      <c r="APH14">
        <v>99.12</v>
      </c>
      <c r="API14">
        <v>99.025000000000006</v>
      </c>
      <c r="APJ14">
        <v>98.99</v>
      </c>
      <c r="APK14">
        <v>99.09</v>
      </c>
      <c r="APL14">
        <v>99.06</v>
      </c>
      <c r="APM14">
        <v>99.094999999999999</v>
      </c>
      <c r="APN14">
        <v>99.125</v>
      </c>
      <c r="APO14">
        <v>99.194999999999993</v>
      </c>
      <c r="APP14">
        <v>99.234999999999999</v>
      </c>
      <c r="APQ14">
        <v>99.22</v>
      </c>
      <c r="APR14">
        <v>99.194999999999993</v>
      </c>
      <c r="APS14">
        <v>99.17</v>
      </c>
      <c r="APT14">
        <v>99.15</v>
      </c>
      <c r="APU14">
        <v>99.185000000000002</v>
      </c>
      <c r="APV14">
        <v>99.25</v>
      </c>
      <c r="APW14">
        <v>99.334999999999994</v>
      </c>
      <c r="APX14">
        <v>99.32</v>
      </c>
      <c r="APY14">
        <v>99.305000000000007</v>
      </c>
      <c r="APZ14">
        <v>99.36</v>
      </c>
      <c r="AQA14">
        <v>99.364999999999995</v>
      </c>
      <c r="AQB14">
        <v>99.314999999999998</v>
      </c>
      <c r="AQC14">
        <v>99.275000000000006</v>
      </c>
      <c r="AQD14">
        <v>99.33</v>
      </c>
      <c r="AQE14">
        <v>99.31</v>
      </c>
      <c r="AQF14">
        <v>99.364999999999995</v>
      </c>
      <c r="AQG14">
        <v>99.42</v>
      </c>
      <c r="AQH14">
        <v>99.385000000000005</v>
      </c>
      <c r="AQI14">
        <v>99.305000000000007</v>
      </c>
      <c r="AQJ14">
        <v>99.314999999999998</v>
      </c>
      <c r="AQK14">
        <v>99.515000000000001</v>
      </c>
      <c r="AQL14">
        <v>99.54</v>
      </c>
      <c r="AQM14">
        <v>99.534999999999997</v>
      </c>
      <c r="AQN14">
        <v>99.57</v>
      </c>
      <c r="AQO14">
        <v>99.594999999999999</v>
      </c>
      <c r="AQP14">
        <v>99.58</v>
      </c>
      <c r="AQQ14">
        <v>99.58</v>
      </c>
      <c r="AQR14">
        <v>99.655000000000001</v>
      </c>
      <c r="AQS14">
        <v>99.655000000000001</v>
      </c>
      <c r="AQT14">
        <v>99.674999999999997</v>
      </c>
      <c r="AQU14">
        <v>99.685000000000002</v>
      </c>
      <c r="AQV14">
        <v>99.67</v>
      </c>
      <c r="AQW14">
        <v>99.66</v>
      </c>
      <c r="AQX14">
        <v>99.68</v>
      </c>
      <c r="AQY14">
        <v>99.685000000000002</v>
      </c>
      <c r="AQZ14">
        <v>99.69</v>
      </c>
      <c r="ARA14">
        <v>99.704999999999998</v>
      </c>
      <c r="ARB14">
        <v>99.72</v>
      </c>
      <c r="ARC14">
        <v>99.715000000000003</v>
      </c>
      <c r="ARD14">
        <v>99.72</v>
      </c>
      <c r="ARE14">
        <v>99.74</v>
      </c>
      <c r="ARF14">
        <v>99.724999999999994</v>
      </c>
      <c r="ARG14">
        <v>99.73</v>
      </c>
      <c r="ARH14">
        <v>99.715000000000003</v>
      </c>
      <c r="ARI14">
        <v>99.71</v>
      </c>
      <c r="ARJ14">
        <v>99.72</v>
      </c>
      <c r="ARK14">
        <v>99.72</v>
      </c>
      <c r="ARL14">
        <v>99.71</v>
      </c>
      <c r="ARM14">
        <v>99.71</v>
      </c>
      <c r="ARN14">
        <v>99.7</v>
      </c>
      <c r="ARO14">
        <v>99.68</v>
      </c>
      <c r="ARP14">
        <v>99.655000000000001</v>
      </c>
      <c r="ARQ14">
        <v>99.655000000000001</v>
      </c>
      <c r="ARR14">
        <v>99.66</v>
      </c>
      <c r="ARS14">
        <v>99.694999999999993</v>
      </c>
      <c r="ART14">
        <v>99.754999999999995</v>
      </c>
      <c r="ARU14">
        <v>99.795000000000002</v>
      </c>
      <c r="ARV14">
        <v>99.805000000000007</v>
      </c>
      <c r="ARW14">
        <v>99.795000000000002</v>
      </c>
      <c r="ARX14">
        <v>99.795000000000002</v>
      </c>
      <c r="ARY14">
        <v>99.784999999999997</v>
      </c>
      <c r="ARZ14">
        <v>99.775000000000006</v>
      </c>
      <c r="ASA14">
        <v>99.77</v>
      </c>
      <c r="ASB14">
        <v>99.775000000000006</v>
      </c>
      <c r="ASC14">
        <v>99.775000000000006</v>
      </c>
      <c r="ASD14">
        <v>99.775000000000006</v>
      </c>
      <c r="ASE14">
        <v>99.78</v>
      </c>
      <c r="ASF14">
        <v>99.775000000000006</v>
      </c>
      <c r="ASG14">
        <v>99.775000000000006</v>
      </c>
      <c r="ASH14">
        <v>99.775000000000006</v>
      </c>
      <c r="ASI14">
        <v>99.784999999999997</v>
      </c>
      <c r="ASJ14">
        <v>99.834999999999994</v>
      </c>
      <c r="ASK14">
        <v>99.834999999999994</v>
      </c>
      <c r="ASL14">
        <v>99.834999999999994</v>
      </c>
      <c r="ASM14">
        <v>99.82</v>
      </c>
      <c r="ASN14">
        <v>99.81</v>
      </c>
      <c r="ASO14">
        <v>99.814999999999998</v>
      </c>
      <c r="ASP14">
        <v>99.814999999999998</v>
      </c>
      <c r="ASQ14">
        <v>99.795000000000002</v>
      </c>
      <c r="ASR14">
        <v>99.8</v>
      </c>
      <c r="ASS14">
        <v>99.8</v>
      </c>
      <c r="AST14">
        <v>99.8</v>
      </c>
      <c r="ASU14">
        <v>99.82</v>
      </c>
      <c r="ASV14">
        <v>99.825000000000003</v>
      </c>
      <c r="ASW14">
        <v>99.82</v>
      </c>
      <c r="ASX14">
        <v>99.82</v>
      </c>
      <c r="ASY14">
        <v>99.814999999999998</v>
      </c>
      <c r="ASZ14">
        <v>99.81</v>
      </c>
      <c r="ATA14">
        <v>99.825000000000003</v>
      </c>
      <c r="ATB14">
        <v>99.82</v>
      </c>
      <c r="ATC14">
        <v>99.82</v>
      </c>
      <c r="ATD14">
        <v>99.825000000000003</v>
      </c>
      <c r="ATE14">
        <v>99.814999999999998</v>
      </c>
      <c r="ATF14">
        <v>99.814999999999998</v>
      </c>
      <c r="ATG14">
        <v>99.81</v>
      </c>
      <c r="ATH14">
        <v>99.79</v>
      </c>
      <c r="ATI14">
        <v>99.79</v>
      </c>
      <c r="ATJ14">
        <v>99.825000000000003</v>
      </c>
      <c r="ATK14">
        <v>99.87</v>
      </c>
      <c r="ATL14">
        <v>99.875</v>
      </c>
      <c r="ATM14">
        <v>99.894999999999996</v>
      </c>
      <c r="ATN14">
        <v>99.864999999999995</v>
      </c>
      <c r="ATO14">
        <v>99.875</v>
      </c>
      <c r="ATP14">
        <v>99.87</v>
      </c>
      <c r="ATQ14">
        <v>99.875</v>
      </c>
      <c r="ATR14">
        <v>99.885000000000005</v>
      </c>
      <c r="ATS14">
        <v>99.885000000000005</v>
      </c>
      <c r="ATT14">
        <v>99.88</v>
      </c>
      <c r="ATU14">
        <v>99.87</v>
      </c>
      <c r="ATV14">
        <v>99.86</v>
      </c>
      <c r="ATW14">
        <v>99.885000000000005</v>
      </c>
      <c r="ATX14">
        <v>99.885000000000005</v>
      </c>
      <c r="ATY14">
        <v>99.894999999999996</v>
      </c>
      <c r="ATZ14">
        <v>99.905000000000001</v>
      </c>
      <c r="AUA14">
        <v>99.9</v>
      </c>
      <c r="AUB14">
        <v>99.905000000000001</v>
      </c>
      <c r="AUC14">
        <v>99.9</v>
      </c>
      <c r="AUD14">
        <v>99.885000000000005</v>
      </c>
      <c r="AUE14">
        <v>99.88</v>
      </c>
      <c r="AUF14">
        <v>99.894999999999996</v>
      </c>
      <c r="AUG14">
        <v>99.89</v>
      </c>
      <c r="AUH14">
        <v>99.915000000000006</v>
      </c>
      <c r="AUI14">
        <v>99.915000000000006</v>
      </c>
      <c r="AUJ14">
        <v>99.935000000000002</v>
      </c>
      <c r="AUK14">
        <v>99.935000000000002</v>
      </c>
      <c r="AUL14">
        <v>99.935000000000002</v>
      </c>
      <c r="AUM14">
        <v>99.94</v>
      </c>
      <c r="AUN14">
        <v>99.94</v>
      </c>
      <c r="AUO14">
        <v>99.95</v>
      </c>
      <c r="AUP14">
        <v>99.95</v>
      </c>
      <c r="AUQ14">
        <v>99.954999999999998</v>
      </c>
      <c r="AUR14">
        <v>99.954999999999998</v>
      </c>
      <c r="AUS14">
        <v>99.944999999999993</v>
      </c>
      <c r="AUT14">
        <v>99.924999999999997</v>
      </c>
      <c r="AUU14">
        <v>99.94</v>
      </c>
      <c r="AUV14">
        <v>99.935000000000002</v>
      </c>
      <c r="AUW14">
        <v>99.98</v>
      </c>
      <c r="AUX14">
        <v>99.984999999999999</v>
      </c>
      <c r="AUY14">
        <v>99.974999999999994</v>
      </c>
      <c r="AUZ14">
        <v>99.95</v>
      </c>
      <c r="AVA14">
        <v>99.944999999999993</v>
      </c>
      <c r="AVB14">
        <v>99.95</v>
      </c>
      <c r="AVC14">
        <v>99.94</v>
      </c>
      <c r="AVD14">
        <v>99.94</v>
      </c>
      <c r="AVE14">
        <v>99.97</v>
      </c>
      <c r="AVF14">
        <v>99.96</v>
      </c>
      <c r="AVG14">
        <v>99.97</v>
      </c>
      <c r="AVH14">
        <v>99.965000000000003</v>
      </c>
      <c r="AVI14">
        <v>99.96</v>
      </c>
      <c r="AVJ14">
        <v>99.94</v>
      </c>
      <c r="AVK14">
        <v>99.95</v>
      </c>
      <c r="AVL14">
        <v>99.954999999999998</v>
      </c>
      <c r="AVM14">
        <v>99.965000000000003</v>
      </c>
      <c r="AVN14">
        <v>99.96</v>
      </c>
      <c r="AVO14">
        <v>99.97</v>
      </c>
      <c r="AVP14">
        <v>99.97</v>
      </c>
      <c r="AVQ14">
        <v>99.96</v>
      </c>
      <c r="AVR14">
        <v>99.944999999999993</v>
      </c>
      <c r="AVS14">
        <v>99.935000000000002</v>
      </c>
      <c r="AVT14">
        <v>99.935000000000002</v>
      </c>
      <c r="AVU14">
        <v>99.94</v>
      </c>
      <c r="AVV14">
        <v>99.94</v>
      </c>
      <c r="AVW14">
        <v>99.974999999999994</v>
      </c>
      <c r="AVX14">
        <v>99.984999999999999</v>
      </c>
      <c r="AVY14">
        <v>100.005</v>
      </c>
      <c r="AVZ14">
        <v>100.01</v>
      </c>
      <c r="AWA14">
        <v>100.02</v>
      </c>
      <c r="AWB14">
        <v>100.01</v>
      </c>
      <c r="AWC14">
        <v>100.005</v>
      </c>
      <c r="AWD14">
        <v>100</v>
      </c>
      <c r="AWE14">
        <v>99.98</v>
      </c>
      <c r="AWF14">
        <v>99.97</v>
      </c>
      <c r="AWG14">
        <v>99.965000000000003</v>
      </c>
      <c r="AWH14">
        <v>99.974999999999994</v>
      </c>
      <c r="AWI14">
        <v>99.98</v>
      </c>
      <c r="AWJ14">
        <v>99.98</v>
      </c>
      <c r="AWK14">
        <v>99.974999999999994</v>
      </c>
      <c r="AWL14">
        <v>99.97</v>
      </c>
      <c r="AWM14">
        <v>99.965000000000003</v>
      </c>
      <c r="AWN14">
        <v>99.965000000000003</v>
      </c>
      <c r="AWO14">
        <v>99.96</v>
      </c>
      <c r="AWP14">
        <v>99.97</v>
      </c>
      <c r="AWQ14">
        <v>99.97</v>
      </c>
      <c r="AWR14">
        <v>99.97</v>
      </c>
      <c r="AWS14">
        <v>99.984999999999999</v>
      </c>
      <c r="AWT14">
        <v>99.97</v>
      </c>
      <c r="AWU14">
        <v>99.965000000000003</v>
      </c>
      <c r="AWV14">
        <v>99.96</v>
      </c>
      <c r="AWW14">
        <v>99.96</v>
      </c>
      <c r="AWX14">
        <v>99.96</v>
      </c>
      <c r="AWY14">
        <v>99.95</v>
      </c>
      <c r="AWZ14">
        <v>99.97</v>
      </c>
      <c r="AXA14">
        <v>99.97</v>
      </c>
      <c r="AXB14">
        <v>99.96</v>
      </c>
      <c r="AXC14">
        <v>99.94</v>
      </c>
      <c r="AXD14">
        <v>99.94</v>
      </c>
      <c r="AXE14">
        <v>99.94</v>
      </c>
      <c r="AXF14">
        <v>99.935000000000002</v>
      </c>
      <c r="AXG14">
        <v>99.924999999999997</v>
      </c>
      <c r="AXH14">
        <v>99.905000000000001</v>
      </c>
      <c r="AXI14">
        <v>99.9</v>
      </c>
      <c r="AXJ14">
        <v>99.894999999999996</v>
      </c>
      <c r="AXK14">
        <v>99.91</v>
      </c>
      <c r="AXL14">
        <v>99.9</v>
      </c>
      <c r="AXM14">
        <v>99.91</v>
      </c>
      <c r="AXN14">
        <v>99.885000000000005</v>
      </c>
      <c r="AXO14">
        <v>99.834999999999994</v>
      </c>
      <c r="AXP14">
        <v>99.8</v>
      </c>
      <c r="AXQ14">
        <v>99.795000000000002</v>
      </c>
      <c r="AXR14">
        <v>99.86</v>
      </c>
      <c r="AXS14">
        <v>99.875</v>
      </c>
      <c r="AXT14">
        <v>99.91</v>
      </c>
      <c r="AXU14">
        <v>99.915000000000006</v>
      </c>
      <c r="AXV14">
        <v>99.905000000000001</v>
      </c>
      <c r="AXW14">
        <v>99.885000000000005</v>
      </c>
      <c r="AXX14">
        <v>99.89</v>
      </c>
      <c r="AXY14">
        <v>99.894999999999996</v>
      </c>
      <c r="AXZ14">
        <v>99.9</v>
      </c>
      <c r="AYA14">
        <v>99.9</v>
      </c>
      <c r="AYB14">
        <v>99.894999999999996</v>
      </c>
      <c r="AYC14">
        <v>99.894999999999996</v>
      </c>
      <c r="AYD14">
        <v>99.9</v>
      </c>
      <c r="AYE14">
        <v>99.9</v>
      </c>
      <c r="AYF14">
        <v>99.944999999999993</v>
      </c>
      <c r="AYG14">
        <v>99.92</v>
      </c>
      <c r="AYH14">
        <v>99.91</v>
      </c>
      <c r="AYI14">
        <v>99.89</v>
      </c>
      <c r="AYJ14">
        <v>99.885000000000005</v>
      </c>
      <c r="AYK14">
        <v>99.905000000000001</v>
      </c>
      <c r="AYL14">
        <v>99.915000000000006</v>
      </c>
      <c r="AYM14">
        <v>99.86</v>
      </c>
      <c r="AYN14">
        <v>99.844999999999999</v>
      </c>
      <c r="AYO14">
        <v>99.844999999999999</v>
      </c>
      <c r="AYP14">
        <v>99.83</v>
      </c>
      <c r="AYQ14">
        <v>99.834999999999994</v>
      </c>
      <c r="AYR14">
        <v>99.825000000000003</v>
      </c>
      <c r="AYS14">
        <v>99.81</v>
      </c>
      <c r="AYT14">
        <v>99.805000000000007</v>
      </c>
      <c r="AYU14">
        <v>99.814999999999998</v>
      </c>
      <c r="AYV14">
        <v>99.814999999999998</v>
      </c>
      <c r="AYW14">
        <v>99.81</v>
      </c>
      <c r="AYX14">
        <v>99.82</v>
      </c>
      <c r="AYY14">
        <v>99.8</v>
      </c>
      <c r="AYZ14">
        <v>99.79</v>
      </c>
      <c r="AZA14">
        <v>99.775000000000006</v>
      </c>
      <c r="AZB14">
        <v>99.765000000000001</v>
      </c>
      <c r="AZC14">
        <v>99.734999999999999</v>
      </c>
      <c r="AZD14">
        <v>99.72</v>
      </c>
      <c r="AZE14">
        <v>99.73</v>
      </c>
      <c r="AZF14">
        <v>99.73</v>
      </c>
      <c r="AZG14">
        <v>99.71</v>
      </c>
      <c r="AZH14">
        <v>99.694999999999993</v>
      </c>
      <c r="AZI14">
        <v>99.74</v>
      </c>
      <c r="AZJ14">
        <v>99.8</v>
      </c>
      <c r="AZK14">
        <v>99.795000000000002</v>
      </c>
      <c r="AZL14">
        <v>99.81</v>
      </c>
      <c r="AZM14">
        <v>99.784999999999997</v>
      </c>
      <c r="AZN14">
        <v>99.814999999999998</v>
      </c>
      <c r="AZO14">
        <v>99.77</v>
      </c>
      <c r="AZP14">
        <v>99.75</v>
      </c>
      <c r="AZQ14">
        <v>99.72</v>
      </c>
      <c r="AZR14">
        <v>99.715000000000003</v>
      </c>
      <c r="AZS14">
        <v>99.775000000000006</v>
      </c>
      <c r="AZT14">
        <v>99.694999999999993</v>
      </c>
      <c r="AZU14">
        <v>99.635000000000005</v>
      </c>
      <c r="AZV14">
        <v>99.53</v>
      </c>
      <c r="AZW14">
        <v>99.65</v>
      </c>
      <c r="AZX14">
        <v>99.7</v>
      </c>
      <c r="AZY14">
        <v>99.625</v>
      </c>
      <c r="AZZ14">
        <v>99.665000000000006</v>
      </c>
      <c r="BAA14">
        <v>99.594999999999999</v>
      </c>
      <c r="BAB14">
        <v>99.584999999999994</v>
      </c>
      <c r="BAC14">
        <v>99.704999999999998</v>
      </c>
      <c r="BAD14">
        <v>99.63</v>
      </c>
      <c r="BAE14">
        <v>99.545000000000002</v>
      </c>
      <c r="BAF14">
        <v>99.495000000000005</v>
      </c>
      <c r="BAG14">
        <v>99.435000000000002</v>
      </c>
      <c r="BAH14">
        <v>99.364999999999995</v>
      </c>
      <c r="BAI14">
        <v>99.364999999999995</v>
      </c>
      <c r="BAJ14">
        <v>99.165000000000006</v>
      </c>
      <c r="BAK14">
        <v>99.11</v>
      </c>
      <c r="BAL14">
        <v>99.12</v>
      </c>
      <c r="BAM14">
        <v>99.064999999999998</v>
      </c>
      <c r="BAN14">
        <v>98.954999999999998</v>
      </c>
      <c r="BAO14">
        <v>98.89</v>
      </c>
      <c r="BAP14">
        <v>98.844999999999999</v>
      </c>
      <c r="BAQ14">
        <v>98.87</v>
      </c>
      <c r="BAR14">
        <v>98.84</v>
      </c>
      <c r="BAS14">
        <v>98.84</v>
      </c>
      <c r="BAT14">
        <v>98.805000000000007</v>
      </c>
      <c r="BAU14">
        <v>98.805000000000007</v>
      </c>
      <c r="BAV14">
        <v>98.844999999999999</v>
      </c>
      <c r="BAW14">
        <v>98.875</v>
      </c>
      <c r="BAX14">
        <v>98.84</v>
      </c>
      <c r="BAY14">
        <v>98.784999999999997</v>
      </c>
      <c r="BAZ14">
        <v>98.805000000000007</v>
      </c>
      <c r="BBA14">
        <v>98.844999999999999</v>
      </c>
      <c r="BBB14">
        <v>98.93</v>
      </c>
      <c r="BBC14">
        <v>98.944999999999993</v>
      </c>
      <c r="BBD14">
        <v>98.89</v>
      </c>
      <c r="BBE14">
        <v>98.844999999999999</v>
      </c>
      <c r="BBF14">
        <v>98.795000000000002</v>
      </c>
      <c r="BBG14">
        <v>98.83</v>
      </c>
      <c r="BBH14">
        <v>98.745000000000005</v>
      </c>
      <c r="BBI14">
        <v>98.69</v>
      </c>
      <c r="BBJ14">
        <v>98.67</v>
      </c>
      <c r="BBK14">
        <v>98.655000000000001</v>
      </c>
      <c r="BBL14">
        <v>98.6</v>
      </c>
      <c r="BBM14">
        <v>98.6</v>
      </c>
      <c r="BBN14">
        <v>98.614999999999995</v>
      </c>
      <c r="BBO14">
        <v>98.625</v>
      </c>
      <c r="BBP14">
        <v>98.614999999999995</v>
      </c>
      <c r="BBQ14">
        <v>98.6</v>
      </c>
      <c r="BBR14">
        <v>98.605000000000004</v>
      </c>
      <c r="BBS14">
        <v>98.59</v>
      </c>
      <c r="BBT14">
        <v>98.584999999999994</v>
      </c>
      <c r="BBU14">
        <v>98.63</v>
      </c>
      <c r="BBV14">
        <v>98.64</v>
      </c>
      <c r="BBW14">
        <v>98.644999999999996</v>
      </c>
      <c r="BBX14">
        <v>98.555000000000007</v>
      </c>
      <c r="BBY14">
        <v>98.545000000000002</v>
      </c>
      <c r="BBZ14">
        <v>98.545000000000002</v>
      </c>
      <c r="BCA14">
        <v>98.55</v>
      </c>
      <c r="BCB14">
        <v>98.55</v>
      </c>
      <c r="BCC14">
        <v>98.51</v>
      </c>
      <c r="BCD14">
        <v>98.51</v>
      </c>
      <c r="BCE14">
        <v>98.51</v>
      </c>
      <c r="BCF14">
        <v>98.49</v>
      </c>
      <c r="BCG14">
        <v>98.53</v>
      </c>
      <c r="BCH14">
        <v>98.545000000000002</v>
      </c>
      <c r="BCI14">
        <v>98.525000000000006</v>
      </c>
      <c r="BCJ14">
        <v>98.56</v>
      </c>
      <c r="BCK14">
        <v>98.57</v>
      </c>
      <c r="BCL14">
        <v>98.644999999999996</v>
      </c>
      <c r="BCM14">
        <v>98.564999999999998</v>
      </c>
      <c r="BCN14">
        <v>98.65</v>
      </c>
      <c r="BCO14">
        <v>98.61</v>
      </c>
      <c r="BCP14">
        <v>98.625</v>
      </c>
      <c r="BCQ14">
        <v>98.635000000000005</v>
      </c>
      <c r="BCR14">
        <v>98.694999999999993</v>
      </c>
      <c r="BCS14">
        <v>98.71</v>
      </c>
      <c r="BCT14">
        <v>98.784999999999997</v>
      </c>
      <c r="BCU14">
        <v>98.665000000000006</v>
      </c>
      <c r="BCV14">
        <v>98.7</v>
      </c>
      <c r="BCW14">
        <v>98.69</v>
      </c>
      <c r="BCX14">
        <v>98.69</v>
      </c>
      <c r="BCY14">
        <v>98.73</v>
      </c>
      <c r="BCZ14">
        <v>98.72</v>
      </c>
      <c r="BDA14">
        <v>98.704999999999998</v>
      </c>
      <c r="BDB14">
        <v>98.724999999999994</v>
      </c>
      <c r="BDC14">
        <v>98.754999999999995</v>
      </c>
      <c r="BDD14">
        <v>98.72</v>
      </c>
      <c r="BDE14">
        <v>98.694999999999993</v>
      </c>
      <c r="BDF14">
        <v>98.67</v>
      </c>
      <c r="BDG14">
        <v>98.68</v>
      </c>
      <c r="BDH14">
        <v>98.63</v>
      </c>
      <c r="BDI14">
        <v>98.58</v>
      </c>
      <c r="BDJ14">
        <v>98.55</v>
      </c>
      <c r="BDK14">
        <v>98.56</v>
      </c>
      <c r="BDL14">
        <v>98.545000000000002</v>
      </c>
      <c r="BDM14">
        <v>98.655000000000001</v>
      </c>
      <c r="BDN14">
        <v>98.63</v>
      </c>
      <c r="BDO14">
        <v>98.69</v>
      </c>
      <c r="BDP14">
        <v>98.74</v>
      </c>
      <c r="BDQ14">
        <v>98.81</v>
      </c>
      <c r="BDR14">
        <v>98.685000000000002</v>
      </c>
      <c r="BDS14">
        <v>98.665000000000006</v>
      </c>
      <c r="BDT14">
        <v>98.67</v>
      </c>
      <c r="BDU14">
        <v>98.7</v>
      </c>
      <c r="BDV14">
        <v>98.745000000000005</v>
      </c>
      <c r="BDW14">
        <v>98.754999999999995</v>
      </c>
      <c r="BDX14">
        <v>98.734999999999999</v>
      </c>
      <c r="BDY14">
        <v>98.71</v>
      </c>
      <c r="BDZ14">
        <v>98.75</v>
      </c>
      <c r="BEA14">
        <v>98.724999999999994</v>
      </c>
      <c r="BEB14">
        <v>98.75</v>
      </c>
      <c r="BEC14">
        <v>98.71</v>
      </c>
      <c r="BED14">
        <v>98.765000000000001</v>
      </c>
      <c r="BEE14">
        <v>98.745000000000005</v>
      </c>
      <c r="BEF14">
        <v>98.875</v>
      </c>
      <c r="BEG14">
        <v>98.94</v>
      </c>
      <c r="BEH14">
        <v>98.995000000000005</v>
      </c>
      <c r="BEI14">
        <v>98.974999999999994</v>
      </c>
      <c r="BEJ14">
        <v>99.045000000000002</v>
      </c>
      <c r="BEK14">
        <v>99.055000000000007</v>
      </c>
      <c r="BEL14">
        <v>98.954999999999998</v>
      </c>
      <c r="BEM14">
        <v>98.88</v>
      </c>
      <c r="BEN14">
        <v>98.81</v>
      </c>
      <c r="BEO14">
        <v>98.82</v>
      </c>
      <c r="BEP14">
        <v>98.81</v>
      </c>
      <c r="BEQ14">
        <v>98.795000000000002</v>
      </c>
      <c r="BER14">
        <v>98.894999999999996</v>
      </c>
      <c r="BES14">
        <v>98.8</v>
      </c>
      <c r="BET14">
        <v>98.76</v>
      </c>
      <c r="BEU14">
        <v>98.775000000000006</v>
      </c>
      <c r="BEV14">
        <v>98.74</v>
      </c>
      <c r="BEW14">
        <v>98.75</v>
      </c>
      <c r="BEX14">
        <v>98.71</v>
      </c>
      <c r="BEY14">
        <v>98.65</v>
      </c>
      <c r="BEZ14">
        <v>98.745000000000005</v>
      </c>
      <c r="BFA14">
        <v>98.83</v>
      </c>
      <c r="BFB14">
        <v>98.855000000000004</v>
      </c>
      <c r="BFC14">
        <v>98.954999999999998</v>
      </c>
      <c r="BFD14">
        <v>99.03</v>
      </c>
      <c r="BFE14">
        <v>99.034999999999997</v>
      </c>
      <c r="BFF14">
        <v>99.165000000000006</v>
      </c>
      <c r="BFG14">
        <v>99.125</v>
      </c>
      <c r="BFH14">
        <v>99.045000000000002</v>
      </c>
      <c r="BFI14">
        <v>99.045000000000002</v>
      </c>
      <c r="BFJ14">
        <v>99.02</v>
      </c>
      <c r="BFK14">
        <v>99.06</v>
      </c>
      <c r="BFL14">
        <v>99.015000000000001</v>
      </c>
      <c r="BFM14">
        <v>98.97</v>
      </c>
      <c r="BFN14">
        <v>98.995000000000005</v>
      </c>
      <c r="BFO14">
        <v>98.89</v>
      </c>
      <c r="BFP14">
        <v>98.92</v>
      </c>
      <c r="BFQ14">
        <v>98.954999999999998</v>
      </c>
      <c r="BFR14">
        <v>98.915000000000006</v>
      </c>
      <c r="BFS14">
        <v>98.974999999999994</v>
      </c>
      <c r="BFT14">
        <v>98.97</v>
      </c>
      <c r="BFU14">
        <v>98.9</v>
      </c>
      <c r="BFV14">
        <v>98.814999999999998</v>
      </c>
      <c r="BFW14">
        <v>98.92</v>
      </c>
      <c r="BFX14">
        <v>98.84</v>
      </c>
      <c r="BFY14">
        <v>98.885000000000005</v>
      </c>
      <c r="BFZ14">
        <v>98.96</v>
      </c>
      <c r="BGA14">
        <v>98.864999999999995</v>
      </c>
      <c r="BGB14">
        <v>98.93</v>
      </c>
      <c r="BGC14">
        <v>98.715000000000003</v>
      </c>
      <c r="BGD14">
        <v>98.694999999999993</v>
      </c>
      <c r="BGE14">
        <v>98.504999999999995</v>
      </c>
      <c r="BGF14">
        <v>98.515000000000001</v>
      </c>
      <c r="BGG14">
        <v>98.525000000000006</v>
      </c>
      <c r="BGH14">
        <v>98.504999999999995</v>
      </c>
      <c r="BGI14">
        <v>98.53</v>
      </c>
      <c r="BGJ14">
        <v>98.555000000000007</v>
      </c>
      <c r="BGK14">
        <v>98.55</v>
      </c>
      <c r="BGL14">
        <v>98.58</v>
      </c>
      <c r="BGM14">
        <v>98.56</v>
      </c>
      <c r="BGN14">
        <v>98.61</v>
      </c>
      <c r="BGO14">
        <v>98.525000000000006</v>
      </c>
      <c r="BGP14">
        <v>98.47</v>
      </c>
      <c r="BGQ14">
        <v>98.5</v>
      </c>
      <c r="BGR14">
        <v>98.495000000000005</v>
      </c>
      <c r="BGS14">
        <v>98.48</v>
      </c>
      <c r="BGT14">
        <v>98.53</v>
      </c>
      <c r="BGU14">
        <v>98.49</v>
      </c>
      <c r="BGV14">
        <v>98.51</v>
      </c>
      <c r="BGW14">
        <v>98.504999999999995</v>
      </c>
      <c r="BGX14">
        <v>98.59</v>
      </c>
      <c r="BGY14">
        <v>98.59</v>
      </c>
      <c r="BGZ14">
        <v>98.584999999999994</v>
      </c>
      <c r="BHA14">
        <v>98.534999999999997</v>
      </c>
      <c r="BHB14">
        <v>98.58</v>
      </c>
      <c r="BHC14">
        <v>98.594999999999999</v>
      </c>
      <c r="BHD14">
        <v>98.564999999999998</v>
      </c>
      <c r="BHE14">
        <v>98.65</v>
      </c>
      <c r="BHF14">
        <v>98.625</v>
      </c>
      <c r="BHG14">
        <v>98.575000000000003</v>
      </c>
      <c r="BHH14">
        <v>98.63</v>
      </c>
      <c r="BHI14">
        <v>98.635000000000005</v>
      </c>
      <c r="BHJ14">
        <v>98.53</v>
      </c>
      <c r="BHK14">
        <v>98.53</v>
      </c>
      <c r="BHL14">
        <v>98.55</v>
      </c>
      <c r="BHM14">
        <v>98.555000000000007</v>
      </c>
      <c r="BHN14">
        <v>98.484999999999999</v>
      </c>
      <c r="BHO14">
        <v>98.435000000000002</v>
      </c>
      <c r="BHP14">
        <v>98.43</v>
      </c>
      <c r="BHQ14">
        <v>98.47</v>
      </c>
      <c r="BHR14">
        <v>98.454999999999998</v>
      </c>
      <c r="BHS14">
        <v>98.51</v>
      </c>
      <c r="BHT14">
        <v>98.49</v>
      </c>
      <c r="BHU14">
        <v>98.534999999999997</v>
      </c>
      <c r="BHV14">
        <v>98.484999999999999</v>
      </c>
      <c r="BHW14">
        <v>98.344999999999999</v>
      </c>
      <c r="BHX14">
        <v>98.35</v>
      </c>
      <c r="BHY14">
        <v>98.314999999999998</v>
      </c>
      <c r="BHZ14">
        <v>98.26</v>
      </c>
      <c r="BIA14">
        <v>98.26</v>
      </c>
      <c r="BIB14">
        <v>98.29</v>
      </c>
      <c r="BIC14">
        <v>98.155000000000001</v>
      </c>
      <c r="BID14">
        <v>98.12</v>
      </c>
      <c r="BIE14">
        <v>98.15</v>
      </c>
      <c r="BIF14">
        <v>98.174999999999997</v>
      </c>
      <c r="BIG14">
        <v>98.165000000000006</v>
      </c>
      <c r="BIH14">
        <v>98.21</v>
      </c>
      <c r="BII14">
        <v>98.16</v>
      </c>
      <c r="BIJ14">
        <v>98.17</v>
      </c>
      <c r="BIK14">
        <v>98.094999999999999</v>
      </c>
      <c r="BIL14">
        <v>98.08</v>
      </c>
      <c r="BIM14">
        <v>98.045000000000002</v>
      </c>
      <c r="BIN14">
        <v>98.075000000000003</v>
      </c>
      <c r="BIO14">
        <v>98.02</v>
      </c>
      <c r="BIP14">
        <v>97.98</v>
      </c>
      <c r="BIQ14">
        <v>97.974999999999994</v>
      </c>
      <c r="BIR14">
        <v>98.034999999999997</v>
      </c>
      <c r="BIS14">
        <v>98.075000000000003</v>
      </c>
      <c r="BIT14">
        <v>98.05</v>
      </c>
      <c r="BIU14">
        <v>98.055000000000007</v>
      </c>
      <c r="BIV14">
        <v>98.004999999999995</v>
      </c>
      <c r="BIW14">
        <v>98.02</v>
      </c>
      <c r="BIX14">
        <v>97.965000000000003</v>
      </c>
      <c r="BIY14">
        <v>97.944999999999993</v>
      </c>
      <c r="BIZ14">
        <v>97.944999999999993</v>
      </c>
      <c r="BJA14">
        <v>97.944999999999993</v>
      </c>
      <c r="BJB14">
        <v>97.92</v>
      </c>
      <c r="BJC14">
        <v>97.915000000000006</v>
      </c>
      <c r="BJD14">
        <v>97.944999999999993</v>
      </c>
      <c r="BJE14">
        <v>97.94</v>
      </c>
      <c r="BJF14">
        <v>98.015000000000001</v>
      </c>
      <c r="BJG14">
        <v>98.05</v>
      </c>
      <c r="BJH14">
        <v>98.015000000000001</v>
      </c>
      <c r="BJI14">
        <v>97.98</v>
      </c>
      <c r="BJJ14">
        <v>97.99</v>
      </c>
      <c r="BJK14">
        <v>98</v>
      </c>
      <c r="BJL14">
        <v>98.01</v>
      </c>
      <c r="BJM14">
        <v>98.03</v>
      </c>
      <c r="BJN14">
        <v>98.02</v>
      </c>
      <c r="BJO14">
        <v>98.1</v>
      </c>
      <c r="BJP14">
        <v>98.174999999999997</v>
      </c>
      <c r="BJQ14">
        <v>98.21</v>
      </c>
      <c r="BJR14">
        <v>98.16</v>
      </c>
      <c r="BJS14">
        <v>98.19</v>
      </c>
      <c r="BJT14">
        <v>98.084999999999994</v>
      </c>
      <c r="BJU14">
        <v>97.97</v>
      </c>
      <c r="BJV14">
        <v>97.95</v>
      </c>
      <c r="BJW14">
        <v>97.87</v>
      </c>
      <c r="BJX14">
        <v>97.885000000000005</v>
      </c>
      <c r="BJY14">
        <v>97.89</v>
      </c>
      <c r="BJZ14">
        <v>97.86</v>
      </c>
      <c r="BKA14">
        <v>97.864999999999995</v>
      </c>
      <c r="BKB14">
        <v>97.844999999999999</v>
      </c>
      <c r="BKC14">
        <v>97.814999999999998</v>
      </c>
      <c r="BKD14">
        <v>97.825000000000003</v>
      </c>
      <c r="BKE14">
        <v>97.81</v>
      </c>
      <c r="BKF14">
        <v>97.734999999999999</v>
      </c>
      <c r="BKG14">
        <v>97.7</v>
      </c>
      <c r="BKH14">
        <v>97.704999999999998</v>
      </c>
      <c r="BKI14">
        <v>97.694999999999993</v>
      </c>
      <c r="BKJ14">
        <v>97.765000000000001</v>
      </c>
      <c r="BKK14">
        <v>97.784999999999997</v>
      </c>
      <c r="BKL14">
        <v>97.81</v>
      </c>
      <c r="BKM14">
        <v>97.78</v>
      </c>
      <c r="BKN14">
        <v>97.784999999999997</v>
      </c>
      <c r="BKO14">
        <v>97.74</v>
      </c>
      <c r="BKP14">
        <v>97.78</v>
      </c>
      <c r="BKQ14">
        <v>97.775000000000006</v>
      </c>
      <c r="BKR14">
        <v>97.76</v>
      </c>
      <c r="BKS14">
        <v>97.76</v>
      </c>
      <c r="BKT14">
        <v>97.765000000000001</v>
      </c>
      <c r="BKU14">
        <v>97.724999999999994</v>
      </c>
      <c r="BKV14">
        <v>97.784999999999997</v>
      </c>
      <c r="BKW14">
        <v>97.814999999999998</v>
      </c>
      <c r="BKX14">
        <v>97.84</v>
      </c>
      <c r="BKY14">
        <v>97.805000000000007</v>
      </c>
      <c r="BKZ14">
        <v>97.75</v>
      </c>
      <c r="BLA14">
        <v>97.74</v>
      </c>
      <c r="BLB14">
        <v>97.734999999999999</v>
      </c>
      <c r="BLC14">
        <v>97.754999999999995</v>
      </c>
      <c r="BLD14">
        <v>97.78</v>
      </c>
      <c r="BLE14">
        <v>97.71</v>
      </c>
      <c r="BLF14">
        <v>97.66</v>
      </c>
      <c r="BLG14">
        <v>97.655000000000001</v>
      </c>
      <c r="BLH14">
        <v>97.644999999999996</v>
      </c>
      <c r="BLI14">
        <v>97.67</v>
      </c>
      <c r="BLJ14">
        <v>97.655000000000001</v>
      </c>
      <c r="BLK14">
        <v>97.66</v>
      </c>
      <c r="BLL14">
        <v>97.614999999999995</v>
      </c>
      <c r="BLM14">
        <v>97.614999999999995</v>
      </c>
      <c r="BLN14">
        <v>97.685000000000002</v>
      </c>
      <c r="BLO14">
        <v>97.715000000000003</v>
      </c>
      <c r="BLP14">
        <v>97.74</v>
      </c>
      <c r="BLQ14">
        <v>97.73</v>
      </c>
      <c r="BLR14">
        <v>97.734999999999999</v>
      </c>
      <c r="BLS14">
        <v>97.72</v>
      </c>
      <c r="BLT14">
        <v>97.724999999999994</v>
      </c>
      <c r="BLU14">
        <v>97.715000000000003</v>
      </c>
      <c r="BLV14">
        <v>97.784999999999997</v>
      </c>
      <c r="BLW14">
        <v>97.83</v>
      </c>
      <c r="BLX14">
        <v>97.894999999999996</v>
      </c>
      <c r="BLY14">
        <v>97.71</v>
      </c>
      <c r="BLZ14">
        <v>97.72</v>
      </c>
      <c r="BMA14">
        <v>97.72</v>
      </c>
      <c r="BMB14">
        <v>97.715000000000003</v>
      </c>
      <c r="BMC14">
        <v>97.704999999999998</v>
      </c>
      <c r="BMD14">
        <v>97.65</v>
      </c>
      <c r="BME14">
        <v>97.625</v>
      </c>
      <c r="BMF14">
        <v>97.625</v>
      </c>
      <c r="BMG14">
        <v>97.564999999999998</v>
      </c>
      <c r="BMH14">
        <v>97.53</v>
      </c>
      <c r="BMI14">
        <v>97.52</v>
      </c>
      <c r="BMJ14">
        <v>97.52</v>
      </c>
      <c r="BMK14">
        <v>97.47</v>
      </c>
      <c r="BML14">
        <v>97.435000000000002</v>
      </c>
      <c r="BMM14">
        <v>97.405000000000001</v>
      </c>
      <c r="BMN14">
        <v>97.41</v>
      </c>
      <c r="BMO14">
        <v>97.444999999999993</v>
      </c>
      <c r="BMP14">
        <v>97.484999999999999</v>
      </c>
      <c r="BMQ14">
        <v>97.45</v>
      </c>
      <c r="BMR14">
        <v>97.41</v>
      </c>
      <c r="BMS14">
        <v>97.305000000000007</v>
      </c>
      <c r="BMT14">
        <v>97.305000000000007</v>
      </c>
      <c r="BMU14">
        <v>97.275000000000006</v>
      </c>
      <c r="BMV14">
        <v>97.295000000000002</v>
      </c>
      <c r="BMW14">
        <v>97.29</v>
      </c>
      <c r="BMX14">
        <v>97.284999999999997</v>
      </c>
      <c r="BMY14">
        <v>97.25</v>
      </c>
      <c r="BMZ14">
        <v>97.234999999999999</v>
      </c>
      <c r="BNA14">
        <v>97.245000000000005</v>
      </c>
      <c r="BNB14">
        <v>97.245000000000005</v>
      </c>
      <c r="BNC14">
        <v>97.245000000000005</v>
      </c>
      <c r="BND14">
        <v>97.254999999999995</v>
      </c>
      <c r="BNE14">
        <v>97.26</v>
      </c>
      <c r="BNF14">
        <v>97.224999999999994</v>
      </c>
      <c r="BNG14">
        <v>97.174999999999997</v>
      </c>
      <c r="BNH14">
        <v>97.165000000000006</v>
      </c>
      <c r="BNI14">
        <v>97.11</v>
      </c>
      <c r="BNJ14">
        <v>97.09</v>
      </c>
      <c r="BNK14">
        <v>97.07</v>
      </c>
      <c r="BNL14">
        <v>97.055000000000007</v>
      </c>
      <c r="BNM14">
        <v>97.09</v>
      </c>
      <c r="BNN14">
        <v>97.1</v>
      </c>
      <c r="BNO14">
        <v>97.11</v>
      </c>
      <c r="BNP14">
        <v>97.114999999999995</v>
      </c>
      <c r="BNQ14">
        <v>97.155000000000001</v>
      </c>
      <c r="BNR14">
        <v>97.144999999999996</v>
      </c>
      <c r="BNS14">
        <v>97.174999999999997</v>
      </c>
      <c r="BNT14">
        <v>97.174999999999997</v>
      </c>
      <c r="BNU14">
        <v>97.18</v>
      </c>
      <c r="BNV14">
        <v>97.11</v>
      </c>
      <c r="BNW14">
        <v>97.11</v>
      </c>
      <c r="BNX14">
        <v>97.08</v>
      </c>
      <c r="BNY14">
        <v>97.045000000000002</v>
      </c>
      <c r="BNZ14">
        <v>97.04</v>
      </c>
      <c r="BOA14">
        <v>97.06</v>
      </c>
      <c r="BOB14">
        <v>97.05</v>
      </c>
      <c r="BOC14">
        <v>97.05</v>
      </c>
      <c r="BOD14">
        <v>97.055000000000007</v>
      </c>
      <c r="BOE14">
        <v>97.064999999999998</v>
      </c>
      <c r="BOF14">
        <v>97.045000000000002</v>
      </c>
      <c r="BOG14">
        <v>96.995000000000005</v>
      </c>
      <c r="BOH14">
        <v>96.984999999999999</v>
      </c>
      <c r="BOI14">
        <v>96.99</v>
      </c>
      <c r="BOJ14">
        <v>96.995000000000005</v>
      </c>
      <c r="BOK14">
        <v>97.02</v>
      </c>
      <c r="BOL14">
        <v>97.055000000000007</v>
      </c>
      <c r="BOM14">
        <v>97.105000000000004</v>
      </c>
      <c r="BON14">
        <v>97.094999999999999</v>
      </c>
      <c r="BOO14">
        <v>97.094999999999999</v>
      </c>
      <c r="BOP14">
        <v>97.075000000000003</v>
      </c>
      <c r="BOQ14">
        <v>97.075000000000003</v>
      </c>
      <c r="BOR14">
        <v>97.064999999999998</v>
      </c>
      <c r="BOS14">
        <v>97.08</v>
      </c>
      <c r="BOT14">
        <v>97.084999999999994</v>
      </c>
      <c r="BOU14">
        <v>97.075000000000003</v>
      </c>
      <c r="BOV14">
        <v>97.094999999999999</v>
      </c>
      <c r="BOW14">
        <v>97.12</v>
      </c>
      <c r="BOX14">
        <v>97.15</v>
      </c>
      <c r="BOY14">
        <v>97.15</v>
      </c>
      <c r="BOZ14">
        <v>97.185000000000002</v>
      </c>
      <c r="BPA14">
        <v>97.21</v>
      </c>
      <c r="BPB14">
        <v>97.21</v>
      </c>
      <c r="BPC14">
        <v>97.26</v>
      </c>
      <c r="BPD14">
        <v>97.26</v>
      </c>
      <c r="BPE14">
        <v>97.32</v>
      </c>
      <c r="BPF14">
        <v>97.305000000000007</v>
      </c>
      <c r="BPG14">
        <v>97.31</v>
      </c>
      <c r="BPH14">
        <v>97.33</v>
      </c>
      <c r="BPI14">
        <v>97.33</v>
      </c>
      <c r="BPJ14">
        <v>97.295000000000002</v>
      </c>
      <c r="BPK14">
        <v>97.284999999999997</v>
      </c>
      <c r="BPL14">
        <v>97.3</v>
      </c>
      <c r="BPM14">
        <v>97.314999999999998</v>
      </c>
      <c r="BPN14">
        <v>97.334999999999994</v>
      </c>
      <c r="BPO14">
        <v>97.334999999999994</v>
      </c>
      <c r="BPP14">
        <v>97.355000000000004</v>
      </c>
      <c r="BPQ14">
        <v>97.344999999999999</v>
      </c>
      <c r="BPR14">
        <v>97.355000000000004</v>
      </c>
      <c r="BPS14">
        <v>97.33</v>
      </c>
      <c r="BPT14">
        <v>97.325000000000003</v>
      </c>
      <c r="BPU14">
        <v>97.344999999999999</v>
      </c>
      <c r="BPV14">
        <v>97.31</v>
      </c>
      <c r="BPW14">
        <v>97.334999999999994</v>
      </c>
      <c r="BPX14">
        <v>97.34</v>
      </c>
      <c r="BPY14">
        <v>97.275000000000006</v>
      </c>
      <c r="BPZ14">
        <v>97.26</v>
      </c>
      <c r="BQA14">
        <v>97.254999999999995</v>
      </c>
      <c r="BQB14">
        <v>97.26</v>
      </c>
      <c r="BQC14">
        <v>97.25</v>
      </c>
      <c r="BQD14">
        <v>97.24</v>
      </c>
      <c r="BQE14">
        <v>97.25</v>
      </c>
      <c r="BQF14">
        <v>97.254999999999995</v>
      </c>
      <c r="BQG14">
        <v>97.254999999999995</v>
      </c>
      <c r="BQH14">
        <v>97.245000000000005</v>
      </c>
      <c r="BQI14">
        <v>97.24</v>
      </c>
      <c r="BQJ14">
        <v>97.284999999999997</v>
      </c>
      <c r="BQK14">
        <v>97.284999999999997</v>
      </c>
      <c r="BQL14">
        <v>97.295000000000002</v>
      </c>
      <c r="BQM14">
        <v>97.33</v>
      </c>
      <c r="BQN14">
        <v>97.334999999999994</v>
      </c>
      <c r="BQO14">
        <v>97.32</v>
      </c>
      <c r="BQP14">
        <v>97.325000000000003</v>
      </c>
      <c r="BQQ14">
        <v>97.35</v>
      </c>
      <c r="BQR14">
        <v>97.36</v>
      </c>
      <c r="BQS14">
        <v>97.344999999999999</v>
      </c>
      <c r="BQT14">
        <v>97.35</v>
      </c>
      <c r="BQU14">
        <v>97.344999999999999</v>
      </c>
      <c r="BQV14">
        <v>97.355000000000004</v>
      </c>
      <c r="BQW14">
        <v>97.364999999999995</v>
      </c>
      <c r="BQX14">
        <v>97.344999999999999</v>
      </c>
      <c r="BQY14">
        <v>97.36</v>
      </c>
      <c r="BQZ14">
        <v>97.36</v>
      </c>
      <c r="BRA14">
        <v>97.355000000000004</v>
      </c>
      <c r="BRB14">
        <v>97.355000000000004</v>
      </c>
      <c r="BRC14">
        <v>97.36</v>
      </c>
      <c r="BRD14">
        <v>97.355000000000004</v>
      </c>
      <c r="BRE14">
        <v>97.31</v>
      </c>
      <c r="BRF14">
        <v>97.295000000000002</v>
      </c>
      <c r="BRG14">
        <v>97.265000000000001</v>
      </c>
      <c r="BRH14">
        <v>97.265000000000001</v>
      </c>
      <c r="BRI14">
        <v>97.254999999999995</v>
      </c>
      <c r="BRJ14">
        <v>97.26</v>
      </c>
      <c r="BRK14">
        <v>97.23</v>
      </c>
      <c r="BRL14">
        <v>97.24</v>
      </c>
      <c r="BRM14">
        <v>97.224999999999994</v>
      </c>
      <c r="BRN14">
        <v>97.224999999999994</v>
      </c>
      <c r="BRO14">
        <v>97.26</v>
      </c>
      <c r="BRP14">
        <v>97.275000000000006</v>
      </c>
      <c r="BRQ14">
        <v>97.284999999999997</v>
      </c>
      <c r="BRR14">
        <v>97.25</v>
      </c>
      <c r="BRS14">
        <v>97.24</v>
      </c>
      <c r="BRT14">
        <v>97.28</v>
      </c>
      <c r="BRU14">
        <v>97.26</v>
      </c>
      <c r="BRV14">
        <v>97.3</v>
      </c>
      <c r="BRW14">
        <v>97.37</v>
      </c>
      <c r="BRX14">
        <v>97.364999999999995</v>
      </c>
      <c r="BRY14">
        <v>97.46</v>
      </c>
      <c r="BRZ14">
        <v>97.245000000000005</v>
      </c>
      <c r="BSA14">
        <v>97.245000000000005</v>
      </c>
      <c r="BSB14">
        <v>97.215000000000003</v>
      </c>
      <c r="BSC14">
        <v>97.185000000000002</v>
      </c>
      <c r="BSD14">
        <v>97.135000000000005</v>
      </c>
      <c r="BSE14">
        <v>97.125</v>
      </c>
      <c r="BSF14">
        <v>97.14</v>
      </c>
      <c r="BSG14">
        <v>97.114999999999995</v>
      </c>
      <c r="BSH14">
        <v>97.13</v>
      </c>
      <c r="BSI14">
        <v>97.14</v>
      </c>
      <c r="BSJ14">
        <v>97.17</v>
      </c>
      <c r="BSK14">
        <v>97.174999999999997</v>
      </c>
      <c r="BSL14">
        <v>97.19</v>
      </c>
      <c r="BSM14">
        <v>97.21</v>
      </c>
      <c r="BSN14">
        <v>97.234999999999999</v>
      </c>
      <c r="BSO14">
        <v>97.245000000000005</v>
      </c>
      <c r="BSP14">
        <v>97.27</v>
      </c>
      <c r="BSQ14" t="s">
        <v>6984</v>
      </c>
      <c r="BSR14" t="s">
        <v>6984</v>
      </c>
      <c r="BSS14" t="s">
        <v>6984</v>
      </c>
      <c r="BST14" t="s">
        <v>6984</v>
      </c>
      <c r="BSU14" t="s">
        <v>6984</v>
      </c>
      <c r="BSV14" t="s">
        <v>6984</v>
      </c>
      <c r="BSW14" t="s">
        <v>6984</v>
      </c>
      <c r="BSX14" t="s">
        <v>6984</v>
      </c>
      <c r="BSY14" t="s">
        <v>6984</v>
      </c>
      <c r="BSZ14" t="s">
        <v>6984</v>
      </c>
      <c r="BTA14" t="s">
        <v>6984</v>
      </c>
      <c r="BTB14" t="s">
        <v>6984</v>
      </c>
      <c r="BTC14" t="s">
        <v>6984</v>
      </c>
      <c r="BTD14" t="s">
        <v>6984</v>
      </c>
      <c r="BTE14" t="s">
        <v>6984</v>
      </c>
      <c r="BTF14" t="s">
        <v>6984</v>
      </c>
      <c r="BTG14" t="s">
        <v>6984</v>
      </c>
      <c r="BTH14" t="s">
        <v>6984</v>
      </c>
      <c r="BTI14" t="s">
        <v>6984</v>
      </c>
      <c r="BTJ14" t="s">
        <v>6984</v>
      </c>
      <c r="BTK14" t="s">
        <v>6984</v>
      </c>
      <c r="BTL14" t="s">
        <v>6984</v>
      </c>
      <c r="BTM14" t="s">
        <v>6984</v>
      </c>
      <c r="BTN14" t="s">
        <v>6984</v>
      </c>
      <c r="BTO14" t="s">
        <v>6984</v>
      </c>
      <c r="BTP14" t="s">
        <v>6984</v>
      </c>
      <c r="BTQ14" t="s">
        <v>6984</v>
      </c>
      <c r="BTR14" t="s">
        <v>6984</v>
      </c>
      <c r="BTS14" t="s">
        <v>6984</v>
      </c>
      <c r="BTT14" t="s">
        <v>6984</v>
      </c>
      <c r="BTU14" t="s">
        <v>6984</v>
      </c>
      <c r="BTV14" t="s">
        <v>6984</v>
      </c>
      <c r="BTW14" t="s">
        <v>6984</v>
      </c>
      <c r="BTX14" t="s">
        <v>6984</v>
      </c>
      <c r="BTY14" t="s">
        <v>6984</v>
      </c>
      <c r="BTZ14" t="s">
        <v>6984</v>
      </c>
      <c r="BUA14" t="s">
        <v>6984</v>
      </c>
      <c r="BUB14" t="s">
        <v>6984</v>
      </c>
      <c r="BUC14" t="s">
        <v>6984</v>
      </c>
      <c r="BUD14" t="s">
        <v>6984</v>
      </c>
      <c r="BUE14" t="s">
        <v>6984</v>
      </c>
      <c r="BUF14" t="s">
        <v>6984</v>
      </c>
      <c r="BUG14" t="s">
        <v>6984</v>
      </c>
      <c r="BUH14" t="s">
        <v>6984</v>
      </c>
      <c r="BUI14" t="s">
        <v>6984</v>
      </c>
      <c r="BUJ14" t="s">
        <v>6984</v>
      </c>
      <c r="BUK14" t="s">
        <v>6984</v>
      </c>
      <c r="BUL14" t="s">
        <v>6984</v>
      </c>
      <c r="BUM14" t="s">
        <v>6984</v>
      </c>
      <c r="BUN14" t="s">
        <v>6984</v>
      </c>
      <c r="BUO14" t="s">
        <v>6984</v>
      </c>
      <c r="BUP14" t="s">
        <v>6984</v>
      </c>
      <c r="BUQ14" t="s">
        <v>6984</v>
      </c>
      <c r="BUR14" t="s">
        <v>6984</v>
      </c>
      <c r="BUS14" t="s">
        <v>6984</v>
      </c>
      <c r="BUT14" t="s">
        <v>6984</v>
      </c>
      <c r="BUU14" t="s">
        <v>6984</v>
      </c>
      <c r="BUV14" t="s">
        <v>6984</v>
      </c>
      <c r="BUW14" t="s">
        <v>6984</v>
      </c>
      <c r="BUX14" t="s">
        <v>6984</v>
      </c>
      <c r="BUY14" t="s">
        <v>6984</v>
      </c>
      <c r="BUZ14" t="s">
        <v>6984</v>
      </c>
      <c r="BVA14" t="s">
        <v>6984</v>
      </c>
      <c r="BVB14" t="s">
        <v>6984</v>
      </c>
      <c r="BVC14" t="s">
        <v>6984</v>
      </c>
      <c r="BVD14" t="s">
        <v>6984</v>
      </c>
      <c r="BVE14" t="s">
        <v>6984</v>
      </c>
      <c r="BVF14" t="s">
        <v>6984</v>
      </c>
      <c r="BVG14" t="s">
        <v>6984</v>
      </c>
      <c r="BVH14" t="s">
        <v>6984</v>
      </c>
      <c r="BVI14" t="s">
        <v>6984</v>
      </c>
      <c r="BVJ14" t="s">
        <v>6984</v>
      </c>
      <c r="BVK14" t="s">
        <v>6984</v>
      </c>
      <c r="BVL14" t="s">
        <v>6984</v>
      </c>
      <c r="BVM14" t="s">
        <v>6984</v>
      </c>
      <c r="BVN14" t="s">
        <v>6984</v>
      </c>
      <c r="BVO14" t="s">
        <v>6984</v>
      </c>
      <c r="BVP14" t="s">
        <v>6984</v>
      </c>
      <c r="BVQ14" t="s">
        <v>6984</v>
      </c>
      <c r="BVR14" t="s">
        <v>6984</v>
      </c>
      <c r="BVS14" t="s">
        <v>6984</v>
      </c>
      <c r="BVT14" t="s">
        <v>6984</v>
      </c>
      <c r="BVU14" t="s">
        <v>6984</v>
      </c>
      <c r="BVV14" t="s">
        <v>6984</v>
      </c>
      <c r="BVW14" t="s">
        <v>6984</v>
      </c>
      <c r="BVX14" t="s">
        <v>6984</v>
      </c>
      <c r="BVY14" t="s">
        <v>6984</v>
      </c>
      <c r="BVZ14" t="s">
        <v>6984</v>
      </c>
      <c r="BWA14" t="s">
        <v>6984</v>
      </c>
      <c r="BWB14" t="s">
        <v>6984</v>
      </c>
      <c r="BWC14" t="s">
        <v>6984</v>
      </c>
      <c r="BWD14" t="s">
        <v>6984</v>
      </c>
      <c r="BWE14" t="s">
        <v>6984</v>
      </c>
      <c r="BWF14" t="s">
        <v>6984</v>
      </c>
      <c r="BWG14" t="s">
        <v>6984</v>
      </c>
      <c r="BWH14" t="s">
        <v>6984</v>
      </c>
      <c r="BWI14" t="s">
        <v>6984</v>
      </c>
      <c r="BWJ14" t="s">
        <v>6984</v>
      </c>
      <c r="BWK14" t="s">
        <v>6984</v>
      </c>
      <c r="BWL14" t="s">
        <v>6984</v>
      </c>
      <c r="BWM14" t="s">
        <v>6984</v>
      </c>
      <c r="BWN14" t="s">
        <v>6984</v>
      </c>
      <c r="BWO14" t="s">
        <v>6984</v>
      </c>
      <c r="BWP14" t="s">
        <v>6984</v>
      </c>
      <c r="BWQ14" t="s">
        <v>6984</v>
      </c>
      <c r="BWR14" t="s">
        <v>6984</v>
      </c>
      <c r="BWS14" t="s">
        <v>6984</v>
      </c>
      <c r="BWT14" t="s">
        <v>6984</v>
      </c>
      <c r="BWU14" t="s">
        <v>6984</v>
      </c>
      <c r="BWV14" t="s">
        <v>6984</v>
      </c>
      <c r="BWW14" t="s">
        <v>6984</v>
      </c>
      <c r="BWX14" t="s">
        <v>6984</v>
      </c>
      <c r="BWY14" t="s">
        <v>6984</v>
      </c>
      <c r="BWZ14" t="s">
        <v>6984</v>
      </c>
      <c r="BXA14" t="s">
        <v>6984</v>
      </c>
      <c r="BXB14" t="s">
        <v>6984</v>
      </c>
      <c r="BXC14" t="s">
        <v>6984</v>
      </c>
      <c r="BXD14" t="s">
        <v>6984</v>
      </c>
      <c r="BXE14" t="s">
        <v>6984</v>
      </c>
      <c r="BXF14" t="s">
        <v>6984</v>
      </c>
      <c r="BXG14" t="s">
        <v>6984</v>
      </c>
      <c r="BXH14" t="s">
        <v>6984</v>
      </c>
      <c r="BXI14" t="s">
        <v>6984</v>
      </c>
      <c r="BXJ14" t="s">
        <v>6984</v>
      </c>
      <c r="BXK14" t="s">
        <v>6984</v>
      </c>
      <c r="BXL14" t="s">
        <v>6984</v>
      </c>
      <c r="BXM14" t="s">
        <v>6984</v>
      </c>
      <c r="BXN14" t="s">
        <v>6984</v>
      </c>
      <c r="BXO14" t="s">
        <v>6984</v>
      </c>
      <c r="BXP14" t="s">
        <v>6984</v>
      </c>
      <c r="BXQ14" t="s">
        <v>6984</v>
      </c>
      <c r="BXR14" t="s">
        <v>6984</v>
      </c>
      <c r="BXS14" t="s">
        <v>6984</v>
      </c>
      <c r="BXT14" t="s">
        <v>6984</v>
      </c>
      <c r="BXU14" t="s">
        <v>6984</v>
      </c>
      <c r="BXV14" t="s">
        <v>6984</v>
      </c>
      <c r="BXW14" t="s">
        <v>6984</v>
      </c>
      <c r="BXX14" t="s">
        <v>6984</v>
      </c>
      <c r="BXY14" t="s">
        <v>6984</v>
      </c>
      <c r="BXZ14" t="s">
        <v>6984</v>
      </c>
      <c r="BYA14" t="s">
        <v>6984</v>
      </c>
      <c r="BYB14" t="s">
        <v>6984</v>
      </c>
      <c r="BYC14" t="s">
        <v>6984</v>
      </c>
      <c r="BYD14" t="s">
        <v>6984</v>
      </c>
      <c r="BYE14" t="s">
        <v>6984</v>
      </c>
      <c r="BYF14" t="s">
        <v>6984</v>
      </c>
      <c r="BYG14" t="s">
        <v>6984</v>
      </c>
      <c r="BYH14" t="s">
        <v>6984</v>
      </c>
      <c r="BYI14" t="s">
        <v>6984</v>
      </c>
      <c r="BYJ14" t="s">
        <v>6984</v>
      </c>
      <c r="BYK14" t="s">
        <v>6984</v>
      </c>
      <c r="BYL14" t="s">
        <v>6984</v>
      </c>
      <c r="BYM14" t="s">
        <v>6984</v>
      </c>
      <c r="BYN14" t="s">
        <v>6984</v>
      </c>
      <c r="BYO14" t="s">
        <v>6984</v>
      </c>
      <c r="BYP14" t="s">
        <v>6984</v>
      </c>
      <c r="BYQ14" t="s">
        <v>6984</v>
      </c>
      <c r="BYR14" t="s">
        <v>6984</v>
      </c>
      <c r="BYS14" t="s">
        <v>6984</v>
      </c>
      <c r="BYT14" t="s">
        <v>6984</v>
      </c>
      <c r="BYU14" t="s">
        <v>6984</v>
      </c>
      <c r="BYV14" t="s">
        <v>6984</v>
      </c>
      <c r="BYW14" t="s">
        <v>6984</v>
      </c>
      <c r="BYX14" t="s">
        <v>6984</v>
      </c>
      <c r="BYY14" t="s">
        <v>6984</v>
      </c>
      <c r="BYZ14" t="s">
        <v>6984</v>
      </c>
      <c r="BZA14" t="s">
        <v>6984</v>
      </c>
      <c r="BZB14" t="s">
        <v>6984</v>
      </c>
      <c r="BZC14" t="s">
        <v>6984</v>
      </c>
      <c r="BZD14" t="s">
        <v>6984</v>
      </c>
      <c r="BZE14" t="s">
        <v>6984</v>
      </c>
      <c r="BZF14" t="s">
        <v>6984</v>
      </c>
      <c r="BZG14" t="s">
        <v>6984</v>
      </c>
      <c r="BZH14" t="s">
        <v>6984</v>
      </c>
      <c r="BZI14" t="s">
        <v>6984</v>
      </c>
      <c r="BZJ14" t="s">
        <v>6984</v>
      </c>
      <c r="BZK14" t="s">
        <v>6984</v>
      </c>
      <c r="BZL14" t="s">
        <v>6984</v>
      </c>
      <c r="BZM14" t="s">
        <v>6984</v>
      </c>
      <c r="BZN14" t="s">
        <v>6984</v>
      </c>
      <c r="BZO14" t="s">
        <v>6984</v>
      </c>
      <c r="BZP14" t="s">
        <v>6984</v>
      </c>
      <c r="BZQ14" t="s">
        <v>6984</v>
      </c>
      <c r="BZR14" t="s">
        <v>6984</v>
      </c>
      <c r="BZS14" t="s">
        <v>6984</v>
      </c>
      <c r="BZT14" t="s">
        <v>6984</v>
      </c>
      <c r="BZU14" t="s">
        <v>6984</v>
      </c>
      <c r="BZV14" t="s">
        <v>6984</v>
      </c>
      <c r="BZW14" t="s">
        <v>6984</v>
      </c>
      <c r="BZX14" t="s">
        <v>6984</v>
      </c>
      <c r="BZY14" t="s">
        <v>6984</v>
      </c>
      <c r="BZZ14" t="s">
        <v>6984</v>
      </c>
      <c r="CAA14" t="s">
        <v>6984</v>
      </c>
      <c r="CAB14" t="s">
        <v>6984</v>
      </c>
      <c r="CAC14" t="s">
        <v>6984</v>
      </c>
      <c r="CAD14" t="s">
        <v>6984</v>
      </c>
      <c r="CAE14" t="s">
        <v>6984</v>
      </c>
      <c r="CAF14" t="s">
        <v>6984</v>
      </c>
      <c r="CAG14" t="s">
        <v>6984</v>
      </c>
      <c r="CAH14" t="s">
        <v>6984</v>
      </c>
      <c r="CAI14" t="s">
        <v>6984</v>
      </c>
      <c r="CAJ14" t="s">
        <v>6984</v>
      </c>
      <c r="CAK14" t="s">
        <v>6984</v>
      </c>
      <c r="CAL14" t="s">
        <v>6984</v>
      </c>
      <c r="CAM14" t="s">
        <v>6984</v>
      </c>
      <c r="CAN14" t="s">
        <v>6984</v>
      </c>
      <c r="CAO14" t="s">
        <v>6984</v>
      </c>
      <c r="CAP14" t="s">
        <v>6984</v>
      </c>
      <c r="CAQ14" t="s">
        <v>6984</v>
      </c>
      <c r="CAR14" t="s">
        <v>6984</v>
      </c>
      <c r="CAS14" t="s">
        <v>6984</v>
      </c>
      <c r="CAT14" t="s">
        <v>6984</v>
      </c>
      <c r="CAU14" t="s">
        <v>6984</v>
      </c>
      <c r="CAV14" t="s">
        <v>6984</v>
      </c>
      <c r="CAW14" t="s">
        <v>6984</v>
      </c>
      <c r="CAX14" t="s">
        <v>6984</v>
      </c>
      <c r="CAY14" t="s">
        <v>6984</v>
      </c>
      <c r="CAZ14" t="s">
        <v>6984</v>
      </c>
      <c r="CBA14" t="s">
        <v>6984</v>
      </c>
      <c r="CBB14" t="s">
        <v>6984</v>
      </c>
      <c r="CBC14" t="s">
        <v>6984</v>
      </c>
      <c r="CBD14" t="s">
        <v>6984</v>
      </c>
      <c r="CBE14" t="s">
        <v>6984</v>
      </c>
      <c r="CBF14" t="s">
        <v>6984</v>
      </c>
      <c r="CBG14" t="s">
        <v>6984</v>
      </c>
      <c r="CBH14" t="s">
        <v>6984</v>
      </c>
      <c r="CBI14" t="s">
        <v>6984</v>
      </c>
      <c r="CBJ14" t="s">
        <v>6984</v>
      </c>
      <c r="CBK14" t="s">
        <v>6984</v>
      </c>
      <c r="CBL14" t="s">
        <v>6984</v>
      </c>
      <c r="CBM14" t="s">
        <v>6984</v>
      </c>
      <c r="CBN14" t="s">
        <v>6984</v>
      </c>
      <c r="CBO14" t="s">
        <v>6984</v>
      </c>
      <c r="CBP14" t="s">
        <v>6984</v>
      </c>
      <c r="CBQ14" t="s">
        <v>6984</v>
      </c>
      <c r="CBR14" t="s">
        <v>6984</v>
      </c>
      <c r="CBS14" t="s">
        <v>6984</v>
      </c>
      <c r="CBT14" t="s">
        <v>6984</v>
      </c>
      <c r="CBU14" t="s">
        <v>6984</v>
      </c>
      <c r="CBV14" t="s">
        <v>6984</v>
      </c>
      <c r="CBW14" t="s">
        <v>6984</v>
      </c>
      <c r="CBX14" t="s">
        <v>6984</v>
      </c>
      <c r="CBY14" t="s">
        <v>6984</v>
      </c>
      <c r="CBZ14" t="s">
        <v>6984</v>
      </c>
      <c r="CCA14" t="s">
        <v>6984</v>
      </c>
      <c r="CCB14" t="s">
        <v>6984</v>
      </c>
      <c r="CCC14" t="s">
        <v>6984</v>
      </c>
      <c r="CCD14" t="s">
        <v>6984</v>
      </c>
      <c r="CCE14" t="s">
        <v>6984</v>
      </c>
      <c r="CCF14" t="s">
        <v>6984</v>
      </c>
      <c r="CCG14" t="s">
        <v>6984</v>
      </c>
      <c r="CCH14" t="s">
        <v>6984</v>
      </c>
      <c r="CCI14" t="s">
        <v>6984</v>
      </c>
      <c r="CCJ14" t="s">
        <v>6984</v>
      </c>
      <c r="CCK14" t="s">
        <v>6984</v>
      </c>
      <c r="CCL14" t="s">
        <v>6984</v>
      </c>
      <c r="CCM14" t="s">
        <v>6984</v>
      </c>
      <c r="CCN14" t="s">
        <v>6984</v>
      </c>
      <c r="CCO14" t="s">
        <v>6984</v>
      </c>
      <c r="CCP14" t="s">
        <v>6984</v>
      </c>
      <c r="CCQ14" t="s">
        <v>6984</v>
      </c>
      <c r="CCR14" t="s">
        <v>6984</v>
      </c>
      <c r="CCS14" t="s">
        <v>6984</v>
      </c>
      <c r="CCT14" t="s">
        <v>6984</v>
      </c>
      <c r="CCU14" t="s">
        <v>6984</v>
      </c>
      <c r="CCV14" t="s">
        <v>6984</v>
      </c>
      <c r="CCW14" t="s">
        <v>6984</v>
      </c>
      <c r="CCX14" t="s">
        <v>6984</v>
      </c>
      <c r="CCY14" t="s">
        <v>6984</v>
      </c>
      <c r="CCZ14" t="s">
        <v>6984</v>
      </c>
      <c r="CDA14" t="s">
        <v>6984</v>
      </c>
      <c r="CDB14" t="s">
        <v>6984</v>
      </c>
      <c r="CDC14" t="s">
        <v>6984</v>
      </c>
      <c r="CDD14" t="s">
        <v>6984</v>
      </c>
      <c r="CDE14" t="s">
        <v>6984</v>
      </c>
      <c r="CDF14" t="s">
        <v>6984</v>
      </c>
      <c r="CDG14" t="s">
        <v>6984</v>
      </c>
      <c r="CDH14" t="s">
        <v>6984</v>
      </c>
      <c r="CDI14" t="s">
        <v>6984</v>
      </c>
      <c r="CDJ14" t="s">
        <v>6984</v>
      </c>
      <c r="CDK14" t="s">
        <v>6984</v>
      </c>
      <c r="CDL14" t="s">
        <v>6984</v>
      </c>
      <c r="CDM14" t="s">
        <v>6984</v>
      </c>
      <c r="CDN14" t="s">
        <v>6984</v>
      </c>
      <c r="CDO14" t="s">
        <v>6984</v>
      </c>
      <c r="CDP14" t="s">
        <v>6984</v>
      </c>
      <c r="CDQ14" t="s">
        <v>6984</v>
      </c>
      <c r="CDR14" t="s">
        <v>6984</v>
      </c>
      <c r="CDS14" t="s">
        <v>6984</v>
      </c>
      <c r="CDT14" t="s">
        <v>6984</v>
      </c>
      <c r="CDU14" t="s">
        <v>6984</v>
      </c>
      <c r="CDV14" t="s">
        <v>6984</v>
      </c>
      <c r="CDW14" t="s">
        <v>6984</v>
      </c>
      <c r="CDX14" t="s">
        <v>6984</v>
      </c>
      <c r="CDY14" t="s">
        <v>6984</v>
      </c>
      <c r="CDZ14" t="s">
        <v>6984</v>
      </c>
      <c r="CEA14" t="s">
        <v>6984</v>
      </c>
      <c r="CEB14" t="s">
        <v>6984</v>
      </c>
      <c r="CEC14" t="s">
        <v>6984</v>
      </c>
      <c r="CED14" t="s">
        <v>6984</v>
      </c>
      <c r="CEE14" t="s">
        <v>6984</v>
      </c>
      <c r="CEF14" t="s">
        <v>6984</v>
      </c>
      <c r="CEG14" t="s">
        <v>6984</v>
      </c>
      <c r="CEH14" t="s">
        <v>6984</v>
      </c>
      <c r="CEI14" t="s">
        <v>6984</v>
      </c>
      <c r="CEJ14" t="s">
        <v>6984</v>
      </c>
      <c r="CEK14" t="s">
        <v>6984</v>
      </c>
      <c r="CEL14" t="s">
        <v>6984</v>
      </c>
      <c r="CEM14" t="s">
        <v>6984</v>
      </c>
      <c r="CEN14" t="s">
        <v>6984</v>
      </c>
      <c r="CEO14" t="s">
        <v>6984</v>
      </c>
      <c r="CEP14" t="s">
        <v>6984</v>
      </c>
      <c r="CEQ14" t="s">
        <v>6984</v>
      </c>
      <c r="CER14" t="s">
        <v>6984</v>
      </c>
      <c r="CES14" t="s">
        <v>6984</v>
      </c>
      <c r="CET14" t="s">
        <v>6984</v>
      </c>
      <c r="CEU14" t="s">
        <v>6984</v>
      </c>
      <c r="CEV14" t="s">
        <v>6984</v>
      </c>
      <c r="CEW14" t="s">
        <v>6984</v>
      </c>
      <c r="CEX14" t="s">
        <v>6984</v>
      </c>
      <c r="CEY14" t="s">
        <v>6984</v>
      </c>
      <c r="CEZ14" t="s">
        <v>6984</v>
      </c>
      <c r="CFA14" t="s">
        <v>6984</v>
      </c>
      <c r="CFB14" t="s">
        <v>6984</v>
      </c>
      <c r="CFC14" t="s">
        <v>6984</v>
      </c>
      <c r="CFD14" t="s">
        <v>6984</v>
      </c>
      <c r="CFE14" t="s">
        <v>6984</v>
      </c>
      <c r="CFF14" t="s">
        <v>6984</v>
      </c>
      <c r="CFG14" t="s">
        <v>6984</v>
      </c>
      <c r="CFH14" t="s">
        <v>6984</v>
      </c>
      <c r="CFI14" t="s">
        <v>6984</v>
      </c>
      <c r="CFJ14" t="s">
        <v>6984</v>
      </c>
      <c r="CFK14" t="s">
        <v>6984</v>
      </c>
      <c r="CFL14" t="s">
        <v>6984</v>
      </c>
      <c r="CFM14" t="s">
        <v>6984</v>
      </c>
      <c r="CFN14" t="s">
        <v>6984</v>
      </c>
      <c r="CFO14" t="s">
        <v>6984</v>
      </c>
      <c r="CFP14" t="s">
        <v>6984</v>
      </c>
      <c r="CFQ14" t="s">
        <v>6984</v>
      </c>
      <c r="CFR14" t="s">
        <v>6984</v>
      </c>
      <c r="CFS14" t="s">
        <v>6984</v>
      </c>
      <c r="CFT14" t="s">
        <v>6984</v>
      </c>
      <c r="CFU14" t="s">
        <v>6984</v>
      </c>
      <c r="CFV14" t="s">
        <v>6984</v>
      </c>
      <c r="CFW14" t="s">
        <v>6984</v>
      </c>
      <c r="CFX14" t="s">
        <v>6984</v>
      </c>
      <c r="CFY14" t="s">
        <v>6984</v>
      </c>
      <c r="CFZ14" t="s">
        <v>6984</v>
      </c>
      <c r="CGA14" t="s">
        <v>6984</v>
      </c>
      <c r="CGB14" t="s">
        <v>6984</v>
      </c>
      <c r="CGC14" t="s">
        <v>6984</v>
      </c>
      <c r="CGD14" t="s">
        <v>6984</v>
      </c>
      <c r="CGE14" t="s">
        <v>6984</v>
      </c>
      <c r="CGF14" t="s">
        <v>6984</v>
      </c>
      <c r="CGG14" t="s">
        <v>6984</v>
      </c>
      <c r="CGH14" t="s">
        <v>6984</v>
      </c>
      <c r="CGI14" t="s">
        <v>6984</v>
      </c>
      <c r="CGJ14" t="s">
        <v>6984</v>
      </c>
      <c r="CGK14" t="s">
        <v>6984</v>
      </c>
      <c r="CGL14" t="s">
        <v>6984</v>
      </c>
      <c r="CGM14" t="s">
        <v>6984</v>
      </c>
      <c r="CGN14" t="s">
        <v>6984</v>
      </c>
      <c r="CGO14" t="s">
        <v>6984</v>
      </c>
      <c r="CGP14" t="s">
        <v>6984</v>
      </c>
      <c r="CGQ14" t="s">
        <v>6984</v>
      </c>
      <c r="CGR14" t="s">
        <v>6984</v>
      </c>
      <c r="CGS14" t="s">
        <v>6984</v>
      </c>
      <c r="CGT14" t="s">
        <v>6984</v>
      </c>
      <c r="CGU14" t="s">
        <v>6984</v>
      </c>
      <c r="CGV14" t="s">
        <v>6984</v>
      </c>
      <c r="CGW14" t="s">
        <v>6984</v>
      </c>
      <c r="CGX14" t="s">
        <v>6984</v>
      </c>
      <c r="CGY14" t="s">
        <v>6984</v>
      </c>
      <c r="CGZ14" t="s">
        <v>6984</v>
      </c>
      <c r="CHA14" t="s">
        <v>6984</v>
      </c>
      <c r="CHB14" t="s">
        <v>6984</v>
      </c>
      <c r="CHC14" t="s">
        <v>6984</v>
      </c>
      <c r="CHD14" t="s">
        <v>6984</v>
      </c>
      <c r="CHE14" t="s">
        <v>6984</v>
      </c>
      <c r="CHF14" t="s">
        <v>6984</v>
      </c>
      <c r="CHG14" t="s">
        <v>6984</v>
      </c>
      <c r="CHH14" t="s">
        <v>6984</v>
      </c>
      <c r="CHI14" t="s">
        <v>6984</v>
      </c>
      <c r="CHJ14" t="s">
        <v>6984</v>
      </c>
      <c r="CHK14" t="s">
        <v>6984</v>
      </c>
      <c r="CHL14" t="s">
        <v>6984</v>
      </c>
      <c r="CHM14" t="s">
        <v>6984</v>
      </c>
      <c r="CHN14" t="s">
        <v>6984</v>
      </c>
      <c r="CHO14" t="s">
        <v>6984</v>
      </c>
      <c r="CHP14" t="s">
        <v>6984</v>
      </c>
      <c r="CHQ14" t="s">
        <v>6984</v>
      </c>
      <c r="CHR14" t="s">
        <v>6984</v>
      </c>
      <c r="CHS14" t="s">
        <v>6984</v>
      </c>
      <c r="CHT14" t="s">
        <v>6984</v>
      </c>
      <c r="CHU14" t="s">
        <v>6984</v>
      </c>
      <c r="CHV14" t="s">
        <v>6984</v>
      </c>
      <c r="CHW14" t="s">
        <v>6984</v>
      </c>
      <c r="CHX14" t="s">
        <v>6984</v>
      </c>
      <c r="CHY14" t="s">
        <v>6984</v>
      </c>
      <c r="CHZ14" t="s">
        <v>6984</v>
      </c>
      <c r="CIA14" t="s">
        <v>6984</v>
      </c>
      <c r="CIB14" t="s">
        <v>6984</v>
      </c>
      <c r="CIC14" t="s">
        <v>6984</v>
      </c>
      <c r="CID14" t="s">
        <v>6984</v>
      </c>
      <c r="CIE14" t="s">
        <v>6984</v>
      </c>
      <c r="CIF14" t="s">
        <v>6984</v>
      </c>
      <c r="CIG14" t="s">
        <v>6984</v>
      </c>
      <c r="CIH14" t="s">
        <v>6984</v>
      </c>
      <c r="CII14" t="s">
        <v>6984</v>
      </c>
      <c r="CIJ14" t="s">
        <v>6984</v>
      </c>
      <c r="CIK14" t="s">
        <v>6984</v>
      </c>
      <c r="CIL14" t="s">
        <v>6984</v>
      </c>
      <c r="CIM14" t="s">
        <v>6984</v>
      </c>
      <c r="CIN14" t="s">
        <v>6984</v>
      </c>
      <c r="CIO14" t="s">
        <v>6984</v>
      </c>
      <c r="CIP14" t="s">
        <v>6984</v>
      </c>
      <c r="CIQ14" t="s">
        <v>6984</v>
      </c>
      <c r="CIR14" t="s">
        <v>6984</v>
      </c>
      <c r="CIS14" t="s">
        <v>6984</v>
      </c>
      <c r="CIT14" t="s">
        <v>6984</v>
      </c>
      <c r="CIU14" t="s">
        <v>6984</v>
      </c>
      <c r="CIV14" t="s">
        <v>6984</v>
      </c>
      <c r="CIW14" t="s">
        <v>6984</v>
      </c>
      <c r="CIX14" t="s">
        <v>6984</v>
      </c>
      <c r="CIY14" t="s">
        <v>6984</v>
      </c>
      <c r="CIZ14" t="s">
        <v>6984</v>
      </c>
      <c r="CJA14" t="s">
        <v>6984</v>
      </c>
      <c r="CJB14" t="s">
        <v>6984</v>
      </c>
      <c r="CJC14" t="s">
        <v>6984</v>
      </c>
      <c r="CJD14" t="s">
        <v>6984</v>
      </c>
      <c r="CJE14" t="s">
        <v>6984</v>
      </c>
      <c r="CJF14" t="s">
        <v>6984</v>
      </c>
      <c r="CJG14" t="s">
        <v>6984</v>
      </c>
      <c r="CJH14" t="s">
        <v>6984</v>
      </c>
      <c r="CJI14" t="s">
        <v>6984</v>
      </c>
      <c r="CJJ14" t="s">
        <v>6984</v>
      </c>
      <c r="CJK14" t="s">
        <v>6984</v>
      </c>
      <c r="CJL14" t="s">
        <v>6984</v>
      </c>
      <c r="CJM14" t="s">
        <v>6984</v>
      </c>
      <c r="CJN14" t="s">
        <v>6984</v>
      </c>
      <c r="CJO14" t="s">
        <v>6984</v>
      </c>
      <c r="CJP14" t="s">
        <v>6984</v>
      </c>
      <c r="CJQ14" t="s">
        <v>6984</v>
      </c>
      <c r="CJR14" t="s">
        <v>6984</v>
      </c>
      <c r="CJS14" t="s">
        <v>6984</v>
      </c>
      <c r="CJT14" t="s">
        <v>6984</v>
      </c>
      <c r="CJU14" t="s">
        <v>6984</v>
      </c>
      <c r="CJV14" t="s">
        <v>6984</v>
      </c>
      <c r="CJW14" t="s">
        <v>6984</v>
      </c>
      <c r="CJX14" t="s">
        <v>6984</v>
      </c>
      <c r="CJY14" t="s">
        <v>6984</v>
      </c>
      <c r="CJZ14" t="s">
        <v>6984</v>
      </c>
      <c r="CKA14" t="s">
        <v>6984</v>
      </c>
      <c r="CKB14" t="s">
        <v>6984</v>
      </c>
      <c r="CKC14" t="s">
        <v>6984</v>
      </c>
      <c r="CKD14" t="s">
        <v>6984</v>
      </c>
      <c r="CKE14" t="s">
        <v>6984</v>
      </c>
      <c r="CKF14" t="s">
        <v>6984</v>
      </c>
      <c r="CKG14" t="s">
        <v>6984</v>
      </c>
      <c r="CKH14" t="s">
        <v>6984</v>
      </c>
      <c r="CKI14" t="s">
        <v>6984</v>
      </c>
      <c r="CKJ14" t="s">
        <v>6984</v>
      </c>
      <c r="CKK14" t="s">
        <v>6984</v>
      </c>
      <c r="CKL14" t="s">
        <v>6984</v>
      </c>
      <c r="CKM14" t="s">
        <v>6984</v>
      </c>
      <c r="CKN14" t="s">
        <v>6984</v>
      </c>
      <c r="CKO14" t="s">
        <v>6984</v>
      </c>
      <c r="CKP14" t="s">
        <v>6984</v>
      </c>
      <c r="CKQ14" t="s">
        <v>6984</v>
      </c>
      <c r="CKR14" t="s">
        <v>6984</v>
      </c>
      <c r="CKS14" t="s">
        <v>6984</v>
      </c>
      <c r="CKT14" t="s">
        <v>6984</v>
      </c>
      <c r="CKU14" t="s">
        <v>6984</v>
      </c>
      <c r="CKV14" t="s">
        <v>6984</v>
      </c>
      <c r="CKW14" t="s">
        <v>6984</v>
      </c>
      <c r="CKX14" t="s">
        <v>6984</v>
      </c>
      <c r="CKY14" t="s">
        <v>6984</v>
      </c>
      <c r="CKZ14" t="s">
        <v>6984</v>
      </c>
      <c r="CLA14" t="s">
        <v>6984</v>
      </c>
      <c r="CLB14" t="s">
        <v>6984</v>
      </c>
      <c r="CLC14" t="s">
        <v>6984</v>
      </c>
      <c r="CLD14" t="s">
        <v>6984</v>
      </c>
      <c r="CLE14" t="s">
        <v>6984</v>
      </c>
      <c r="CLF14" t="s">
        <v>6984</v>
      </c>
      <c r="CLG14" t="s">
        <v>6984</v>
      </c>
      <c r="CLH14" t="s">
        <v>6984</v>
      </c>
      <c r="CLI14" t="s">
        <v>6984</v>
      </c>
      <c r="CLJ14" t="s">
        <v>6984</v>
      </c>
      <c r="CLK14" t="s">
        <v>6984</v>
      </c>
      <c r="CLL14" t="s">
        <v>6984</v>
      </c>
      <c r="CLM14" t="s">
        <v>6984</v>
      </c>
      <c r="CLN14" t="s">
        <v>6984</v>
      </c>
      <c r="CLO14" t="s">
        <v>6984</v>
      </c>
      <c r="CLP14" t="s">
        <v>6984</v>
      </c>
      <c r="CLQ14" t="s">
        <v>6984</v>
      </c>
      <c r="CLR14" t="s">
        <v>6984</v>
      </c>
      <c r="CLS14" t="s">
        <v>6984</v>
      </c>
      <c r="CLT14" t="s">
        <v>6984</v>
      </c>
      <c r="CLU14" t="s">
        <v>6984</v>
      </c>
      <c r="CLV14" t="s">
        <v>6984</v>
      </c>
      <c r="CLW14" t="s">
        <v>6984</v>
      </c>
      <c r="CLX14" t="s">
        <v>6984</v>
      </c>
      <c r="CLY14" t="s">
        <v>6984</v>
      </c>
      <c r="CLZ14" t="s">
        <v>6984</v>
      </c>
      <c r="CMA14" t="s">
        <v>6984</v>
      </c>
      <c r="CMB14" t="s">
        <v>6984</v>
      </c>
      <c r="CMC14" t="s">
        <v>6984</v>
      </c>
      <c r="CMD14" t="s">
        <v>6984</v>
      </c>
      <c r="CME14" t="s">
        <v>6984</v>
      </c>
      <c r="CMF14" t="s">
        <v>6984</v>
      </c>
      <c r="CMG14" t="s">
        <v>6984</v>
      </c>
      <c r="CMH14" t="s">
        <v>6984</v>
      </c>
      <c r="CMI14" t="s">
        <v>6984</v>
      </c>
      <c r="CMJ14" t="s">
        <v>6984</v>
      </c>
      <c r="CMK14" t="s">
        <v>6984</v>
      </c>
      <c r="CML14" t="s">
        <v>6984</v>
      </c>
      <c r="CMM14" t="s">
        <v>6984</v>
      </c>
      <c r="CMN14" t="s">
        <v>6984</v>
      </c>
      <c r="CMO14" t="s">
        <v>6984</v>
      </c>
      <c r="CMP14" t="s">
        <v>6984</v>
      </c>
      <c r="CMQ14" t="s">
        <v>6984</v>
      </c>
      <c r="CMR14" t="s">
        <v>6984</v>
      </c>
      <c r="CMS14" t="s">
        <v>6984</v>
      </c>
      <c r="CMT14" t="s">
        <v>6984</v>
      </c>
      <c r="CMU14" t="s">
        <v>6984</v>
      </c>
      <c r="CMV14" t="s">
        <v>6984</v>
      </c>
      <c r="CMW14" t="s">
        <v>6984</v>
      </c>
      <c r="CMX14" t="s">
        <v>6984</v>
      </c>
      <c r="CMY14" t="s">
        <v>6984</v>
      </c>
      <c r="CMZ14" t="s">
        <v>6984</v>
      </c>
      <c r="CNA14" t="s">
        <v>6984</v>
      </c>
      <c r="CNB14" t="s">
        <v>6984</v>
      </c>
      <c r="CNC14" t="s">
        <v>6984</v>
      </c>
      <c r="CND14" t="s">
        <v>6984</v>
      </c>
      <c r="CNE14" t="s">
        <v>6984</v>
      </c>
      <c r="CNF14" t="s">
        <v>6984</v>
      </c>
      <c r="CNG14" t="s">
        <v>6984</v>
      </c>
      <c r="CNH14" t="s">
        <v>6984</v>
      </c>
      <c r="CNI14" t="s">
        <v>6984</v>
      </c>
      <c r="CNJ14" t="s">
        <v>6984</v>
      </c>
      <c r="CNK14" t="s">
        <v>6984</v>
      </c>
      <c r="CNL14" t="s">
        <v>6984</v>
      </c>
      <c r="CNM14" t="s">
        <v>6984</v>
      </c>
      <c r="CNN14" t="s">
        <v>6984</v>
      </c>
      <c r="CNO14" t="s">
        <v>6984</v>
      </c>
      <c r="CNP14" t="s">
        <v>6984</v>
      </c>
      <c r="CNQ14" t="s">
        <v>6984</v>
      </c>
      <c r="CNR14" t="s">
        <v>6984</v>
      </c>
      <c r="CNS14" t="s">
        <v>6984</v>
      </c>
      <c r="CNT14" t="s">
        <v>6984</v>
      </c>
      <c r="CNU14" t="s">
        <v>6984</v>
      </c>
      <c r="CNV14" t="s">
        <v>6984</v>
      </c>
      <c r="CNW14" t="s">
        <v>6984</v>
      </c>
      <c r="CNX14" t="s">
        <v>6984</v>
      </c>
      <c r="CNY14" t="s">
        <v>6984</v>
      </c>
      <c r="CNZ14" t="s">
        <v>6984</v>
      </c>
      <c r="COA14" t="s">
        <v>6984</v>
      </c>
      <c r="COB14" t="s">
        <v>6984</v>
      </c>
      <c r="COC14" t="s">
        <v>6984</v>
      </c>
      <c r="COD14" t="s">
        <v>6984</v>
      </c>
      <c r="COE14" t="s">
        <v>6984</v>
      </c>
      <c r="COF14" t="s">
        <v>6984</v>
      </c>
      <c r="COG14" t="s">
        <v>6984</v>
      </c>
      <c r="COH14" t="s">
        <v>6984</v>
      </c>
      <c r="COI14" t="s">
        <v>6984</v>
      </c>
      <c r="COJ14" t="s">
        <v>6984</v>
      </c>
      <c r="COK14" t="s">
        <v>6984</v>
      </c>
      <c r="COL14" t="s">
        <v>6984</v>
      </c>
      <c r="COM14" t="s">
        <v>6984</v>
      </c>
      <c r="CON14" t="s">
        <v>6984</v>
      </c>
      <c r="COO14" t="s">
        <v>6984</v>
      </c>
      <c r="COP14" t="s">
        <v>6984</v>
      </c>
      <c r="COQ14" t="s">
        <v>6984</v>
      </c>
      <c r="COR14" t="s">
        <v>6984</v>
      </c>
      <c r="COS14" t="s">
        <v>6984</v>
      </c>
      <c r="COT14" t="s">
        <v>6984</v>
      </c>
      <c r="COU14" t="s">
        <v>6984</v>
      </c>
      <c r="COV14" t="s">
        <v>6984</v>
      </c>
      <c r="COW14" t="s">
        <v>6984</v>
      </c>
      <c r="COX14" t="s">
        <v>6984</v>
      </c>
      <c r="COY14" t="s">
        <v>6984</v>
      </c>
      <c r="COZ14" t="s">
        <v>6984</v>
      </c>
      <c r="CPA14" t="s">
        <v>6984</v>
      </c>
      <c r="CPB14" t="s">
        <v>6984</v>
      </c>
      <c r="CPC14" t="s">
        <v>6984</v>
      </c>
      <c r="CPD14" t="s">
        <v>6984</v>
      </c>
      <c r="CPE14" t="s">
        <v>6984</v>
      </c>
      <c r="CPF14" t="s">
        <v>6984</v>
      </c>
      <c r="CPG14" t="s">
        <v>6984</v>
      </c>
      <c r="CPH14" t="s">
        <v>6984</v>
      </c>
      <c r="CPI14" t="s">
        <v>6984</v>
      </c>
      <c r="CPJ14" t="s">
        <v>6984</v>
      </c>
      <c r="CPK14" t="s">
        <v>6984</v>
      </c>
      <c r="CPL14" t="s">
        <v>6984</v>
      </c>
      <c r="CPM14" t="s">
        <v>6984</v>
      </c>
      <c r="CPN14" t="s">
        <v>6984</v>
      </c>
      <c r="CPO14" t="s">
        <v>6984</v>
      </c>
      <c r="CPP14" t="s">
        <v>6984</v>
      </c>
      <c r="CPQ14" t="s">
        <v>6984</v>
      </c>
      <c r="CPR14" t="s">
        <v>6984</v>
      </c>
      <c r="CPS14" t="s">
        <v>6984</v>
      </c>
      <c r="CPT14" t="s">
        <v>6984</v>
      </c>
      <c r="CPU14" t="s">
        <v>6984</v>
      </c>
      <c r="CPV14" t="s">
        <v>6984</v>
      </c>
      <c r="CPW14" t="s">
        <v>6984</v>
      </c>
      <c r="CPX14" t="s">
        <v>6984</v>
      </c>
      <c r="CPY14" t="s">
        <v>6984</v>
      </c>
      <c r="CPZ14" t="s">
        <v>6984</v>
      </c>
      <c r="CQA14" t="s">
        <v>6984</v>
      </c>
      <c r="CQB14" t="s">
        <v>6984</v>
      </c>
      <c r="CQC14" t="s">
        <v>6984</v>
      </c>
      <c r="CQD14" t="s">
        <v>6984</v>
      </c>
      <c r="CQE14" t="s">
        <v>6984</v>
      </c>
      <c r="CQF14" t="s">
        <v>6984</v>
      </c>
      <c r="CQG14" t="s">
        <v>6984</v>
      </c>
      <c r="CQH14" t="s">
        <v>6984</v>
      </c>
      <c r="CQI14" t="s">
        <v>6984</v>
      </c>
      <c r="CQJ14" t="s">
        <v>6984</v>
      </c>
      <c r="CQK14" t="s">
        <v>6984</v>
      </c>
      <c r="CQL14" t="s">
        <v>6984</v>
      </c>
      <c r="CQM14" t="s">
        <v>6984</v>
      </c>
      <c r="CQN14" t="s">
        <v>6984</v>
      </c>
      <c r="CQO14" t="s">
        <v>6984</v>
      </c>
      <c r="CQP14" t="s">
        <v>6984</v>
      </c>
      <c r="CQQ14" t="s">
        <v>6984</v>
      </c>
      <c r="CQR14" t="s">
        <v>6984</v>
      </c>
      <c r="CQS14" t="s">
        <v>6984</v>
      </c>
      <c r="CQT14" t="s">
        <v>6984</v>
      </c>
      <c r="CQU14" t="s">
        <v>6984</v>
      </c>
      <c r="CQV14" t="s">
        <v>6984</v>
      </c>
      <c r="CQW14" t="s">
        <v>6984</v>
      </c>
      <c r="CQX14" t="s">
        <v>6984</v>
      </c>
      <c r="CQY14" t="s">
        <v>6984</v>
      </c>
      <c r="CQZ14" t="s">
        <v>6984</v>
      </c>
      <c r="CRA14" t="s">
        <v>6984</v>
      </c>
      <c r="CRB14" t="s">
        <v>6984</v>
      </c>
      <c r="CRC14" t="s">
        <v>6984</v>
      </c>
      <c r="CRD14" t="s">
        <v>6984</v>
      </c>
      <c r="CRE14" t="s">
        <v>6984</v>
      </c>
      <c r="CRF14" t="s">
        <v>6984</v>
      </c>
      <c r="CRG14" t="s">
        <v>6984</v>
      </c>
      <c r="CRH14" t="s">
        <v>6984</v>
      </c>
      <c r="CRI14" t="s">
        <v>6984</v>
      </c>
      <c r="CRJ14" t="s">
        <v>6984</v>
      </c>
      <c r="CRK14" t="s">
        <v>6984</v>
      </c>
      <c r="CRL14" t="s">
        <v>6984</v>
      </c>
      <c r="CRM14" t="s">
        <v>6984</v>
      </c>
      <c r="CRN14" t="s">
        <v>6984</v>
      </c>
      <c r="CRO14" t="s">
        <v>6984</v>
      </c>
      <c r="CRP14" t="s">
        <v>6984</v>
      </c>
      <c r="CRQ14" t="s">
        <v>6984</v>
      </c>
      <c r="CRR14" t="s">
        <v>6984</v>
      </c>
      <c r="CRS14" t="s">
        <v>6984</v>
      </c>
      <c r="CRT14" t="s">
        <v>6984</v>
      </c>
      <c r="CRU14" t="s">
        <v>6984</v>
      </c>
      <c r="CRV14" t="s">
        <v>6984</v>
      </c>
      <c r="CRW14" t="s">
        <v>6984</v>
      </c>
      <c r="CRX14" t="s">
        <v>6984</v>
      </c>
      <c r="CRY14" t="s">
        <v>6984</v>
      </c>
      <c r="CRZ14" t="s">
        <v>6984</v>
      </c>
      <c r="CSA14" t="s">
        <v>6984</v>
      </c>
      <c r="CSB14" t="s">
        <v>6984</v>
      </c>
      <c r="CSC14" t="s">
        <v>6984</v>
      </c>
      <c r="CSD14" t="s">
        <v>6984</v>
      </c>
      <c r="CSE14" t="s">
        <v>6984</v>
      </c>
      <c r="CSF14" t="s">
        <v>6984</v>
      </c>
      <c r="CSG14" t="s">
        <v>6984</v>
      </c>
      <c r="CSH14" t="s">
        <v>6984</v>
      </c>
      <c r="CSI14" t="s">
        <v>6984</v>
      </c>
      <c r="CSJ14" t="s">
        <v>6984</v>
      </c>
      <c r="CSK14" t="s">
        <v>6984</v>
      </c>
      <c r="CSL14" t="s">
        <v>6984</v>
      </c>
      <c r="CSM14" t="s">
        <v>6984</v>
      </c>
      <c r="CSN14" t="s">
        <v>6984</v>
      </c>
      <c r="CSO14" t="s">
        <v>6984</v>
      </c>
      <c r="CSP14" t="s">
        <v>6984</v>
      </c>
      <c r="CSQ14" t="s">
        <v>6984</v>
      </c>
      <c r="CSR14" t="s">
        <v>6984</v>
      </c>
      <c r="CSS14" t="s">
        <v>6984</v>
      </c>
      <c r="CST14" t="s">
        <v>6984</v>
      </c>
      <c r="CSU14" t="s">
        <v>6984</v>
      </c>
      <c r="CSV14" t="s">
        <v>6984</v>
      </c>
      <c r="CSW14" t="s">
        <v>6984</v>
      </c>
      <c r="CSX14" t="s">
        <v>6984</v>
      </c>
      <c r="CSY14" t="s">
        <v>6984</v>
      </c>
      <c r="CSZ14" t="s">
        <v>6984</v>
      </c>
      <c r="CTA14" t="s">
        <v>6984</v>
      </c>
      <c r="CTB14" t="s">
        <v>6984</v>
      </c>
      <c r="CTC14" t="s">
        <v>6984</v>
      </c>
      <c r="CTD14" t="s">
        <v>6984</v>
      </c>
      <c r="CTE14" t="s">
        <v>6984</v>
      </c>
      <c r="CTF14" t="s">
        <v>6984</v>
      </c>
      <c r="CTG14" t="s">
        <v>6984</v>
      </c>
      <c r="CTH14" t="s">
        <v>6984</v>
      </c>
      <c r="CTI14" t="s">
        <v>6984</v>
      </c>
      <c r="CTJ14" t="s">
        <v>6984</v>
      </c>
      <c r="CTK14" t="s">
        <v>6984</v>
      </c>
      <c r="CTL14" t="s">
        <v>6984</v>
      </c>
      <c r="CTM14" t="s">
        <v>6984</v>
      </c>
      <c r="CTN14" t="s">
        <v>6984</v>
      </c>
      <c r="CTO14" t="s">
        <v>6984</v>
      </c>
      <c r="CTP14" t="s">
        <v>6984</v>
      </c>
      <c r="CTQ14" t="s">
        <v>6984</v>
      </c>
      <c r="CTR14" t="s">
        <v>6984</v>
      </c>
      <c r="CTS14" t="s">
        <v>6984</v>
      </c>
      <c r="CTT14" t="s">
        <v>6984</v>
      </c>
      <c r="CTU14" t="s">
        <v>6984</v>
      </c>
      <c r="CTV14" t="s">
        <v>6984</v>
      </c>
      <c r="CTW14" t="s">
        <v>6984</v>
      </c>
      <c r="CTX14" t="s">
        <v>6984</v>
      </c>
      <c r="CTY14" t="s">
        <v>6984</v>
      </c>
      <c r="CTZ14" t="s">
        <v>6984</v>
      </c>
      <c r="CUA14" t="s">
        <v>6984</v>
      </c>
      <c r="CUB14" t="s">
        <v>6984</v>
      </c>
      <c r="CUC14" t="s">
        <v>6984</v>
      </c>
      <c r="CUD14" t="s">
        <v>6984</v>
      </c>
      <c r="CUE14" t="s">
        <v>6984</v>
      </c>
      <c r="CUF14" t="s">
        <v>6984</v>
      </c>
      <c r="CUG14" t="s">
        <v>6984</v>
      </c>
      <c r="CUH14" t="s">
        <v>6984</v>
      </c>
      <c r="CUI14" t="s">
        <v>6984</v>
      </c>
      <c r="CUJ14" t="s">
        <v>6984</v>
      </c>
      <c r="CUK14" t="s">
        <v>6984</v>
      </c>
      <c r="CUL14" t="s">
        <v>6984</v>
      </c>
      <c r="CUM14" t="s">
        <v>6984</v>
      </c>
      <c r="CUN14" t="s">
        <v>6984</v>
      </c>
      <c r="CUO14" t="s">
        <v>6984</v>
      </c>
      <c r="CUP14" t="s">
        <v>6984</v>
      </c>
      <c r="CUQ14" t="s">
        <v>6984</v>
      </c>
      <c r="CUR14" t="s">
        <v>6984</v>
      </c>
      <c r="CUS14" t="s">
        <v>6984</v>
      </c>
      <c r="CUT14" t="s">
        <v>6984</v>
      </c>
      <c r="CUU14" t="s">
        <v>6984</v>
      </c>
      <c r="CUV14" t="s">
        <v>6984</v>
      </c>
      <c r="CUW14" t="s">
        <v>6984</v>
      </c>
      <c r="CUX14" t="s">
        <v>6984</v>
      </c>
      <c r="CUY14" t="s">
        <v>6984</v>
      </c>
      <c r="CUZ14" t="s">
        <v>6984</v>
      </c>
      <c r="CVA14" t="s">
        <v>6984</v>
      </c>
      <c r="CVB14" t="s">
        <v>6984</v>
      </c>
      <c r="CVC14" t="s">
        <v>6984</v>
      </c>
      <c r="CVD14" t="s">
        <v>6984</v>
      </c>
      <c r="CVE14" t="s">
        <v>6984</v>
      </c>
      <c r="CVF14" t="s">
        <v>6984</v>
      </c>
      <c r="CVG14" t="s">
        <v>6984</v>
      </c>
      <c r="CVH14" t="s">
        <v>6984</v>
      </c>
      <c r="CVI14" t="s">
        <v>6984</v>
      </c>
      <c r="CVJ14" t="s">
        <v>6984</v>
      </c>
      <c r="CVK14" t="s">
        <v>6984</v>
      </c>
      <c r="CVL14" t="s">
        <v>6984</v>
      </c>
      <c r="CVM14" t="s">
        <v>6984</v>
      </c>
      <c r="CVN14" t="s">
        <v>6984</v>
      </c>
      <c r="CVO14" t="s">
        <v>6984</v>
      </c>
      <c r="CVP14" t="s">
        <v>6984</v>
      </c>
      <c r="CVQ14" t="s">
        <v>6984</v>
      </c>
      <c r="CVR14" t="s">
        <v>6984</v>
      </c>
      <c r="CVS14" t="s">
        <v>6984</v>
      </c>
      <c r="CVT14" t="s">
        <v>6984</v>
      </c>
      <c r="CVU14" t="s">
        <v>6984</v>
      </c>
      <c r="CVV14" t="s">
        <v>6984</v>
      </c>
      <c r="CVW14" t="s">
        <v>6984</v>
      </c>
      <c r="CVX14" t="s">
        <v>6984</v>
      </c>
      <c r="CVY14" t="s">
        <v>6984</v>
      </c>
      <c r="CVZ14" t="s">
        <v>6984</v>
      </c>
      <c r="CWA14" t="s">
        <v>6984</v>
      </c>
      <c r="CWB14" t="s">
        <v>6984</v>
      </c>
      <c r="CWC14" t="s">
        <v>6984</v>
      </c>
      <c r="CWD14" t="s">
        <v>6984</v>
      </c>
      <c r="CWE14" t="s">
        <v>6984</v>
      </c>
      <c r="CWF14" t="s">
        <v>6984</v>
      </c>
      <c r="CWG14" t="s">
        <v>6984</v>
      </c>
      <c r="CWH14" t="s">
        <v>6984</v>
      </c>
      <c r="CWI14" t="s">
        <v>6984</v>
      </c>
      <c r="CWJ14" t="s">
        <v>6984</v>
      </c>
      <c r="CWK14" t="s">
        <v>6984</v>
      </c>
      <c r="CWL14" t="s">
        <v>6984</v>
      </c>
      <c r="CWM14" t="s">
        <v>6984</v>
      </c>
      <c r="CWN14" t="s">
        <v>6984</v>
      </c>
      <c r="CWO14" t="s">
        <v>6984</v>
      </c>
      <c r="CWP14" t="s">
        <v>6984</v>
      </c>
      <c r="CWQ14" t="s">
        <v>6984</v>
      </c>
      <c r="CWR14" t="s">
        <v>6984</v>
      </c>
      <c r="CWS14" t="s">
        <v>6984</v>
      </c>
      <c r="CWT14" t="s">
        <v>6984</v>
      </c>
      <c r="CWU14" t="s">
        <v>6984</v>
      </c>
      <c r="CWV14" t="s">
        <v>6984</v>
      </c>
      <c r="CWW14" t="s">
        <v>6984</v>
      </c>
      <c r="CWX14" t="s">
        <v>6984</v>
      </c>
      <c r="CWY14" t="s">
        <v>6984</v>
      </c>
      <c r="CWZ14" t="s">
        <v>6984</v>
      </c>
      <c r="CXA14" t="s">
        <v>6984</v>
      </c>
      <c r="CXB14" t="s">
        <v>6984</v>
      </c>
      <c r="CXC14" t="s">
        <v>6984</v>
      </c>
      <c r="CXD14" t="s">
        <v>6984</v>
      </c>
      <c r="CXE14" t="s">
        <v>6984</v>
      </c>
      <c r="CXF14" t="s">
        <v>6984</v>
      </c>
      <c r="CXG14" t="s">
        <v>6984</v>
      </c>
      <c r="CXH14" t="s">
        <v>6984</v>
      </c>
      <c r="CXI14" t="s">
        <v>6984</v>
      </c>
      <c r="CXJ14" t="s">
        <v>6984</v>
      </c>
      <c r="CXK14" t="s">
        <v>6984</v>
      </c>
      <c r="CXL14" t="s">
        <v>6984</v>
      </c>
      <c r="CXM14" t="s">
        <v>6984</v>
      </c>
      <c r="CXN14" t="s">
        <v>6984</v>
      </c>
      <c r="CXO14" t="s">
        <v>6984</v>
      </c>
      <c r="CXP14" t="s">
        <v>6984</v>
      </c>
      <c r="CXQ14" t="s">
        <v>6984</v>
      </c>
      <c r="CXR14" t="s">
        <v>6984</v>
      </c>
      <c r="CXS14" t="s">
        <v>6984</v>
      </c>
      <c r="CXT14" t="s">
        <v>6984</v>
      </c>
      <c r="CXU14" t="s">
        <v>6984</v>
      </c>
      <c r="CXV14" t="s">
        <v>6984</v>
      </c>
      <c r="CXW14" t="s">
        <v>6984</v>
      </c>
      <c r="CXX14" t="s">
        <v>6984</v>
      </c>
      <c r="CXY14" t="s">
        <v>6984</v>
      </c>
      <c r="CXZ14" t="s">
        <v>6984</v>
      </c>
      <c r="CYA14" t="s">
        <v>6984</v>
      </c>
      <c r="CYB14" t="s">
        <v>6984</v>
      </c>
      <c r="CYC14" t="s">
        <v>6984</v>
      </c>
      <c r="CYD14" t="s">
        <v>6984</v>
      </c>
      <c r="CYE14" t="s">
        <v>6984</v>
      </c>
      <c r="CYF14" t="s">
        <v>6984</v>
      </c>
      <c r="CYG14" t="s">
        <v>6984</v>
      </c>
      <c r="CYH14" t="s">
        <v>6984</v>
      </c>
      <c r="CYI14" t="s">
        <v>6984</v>
      </c>
      <c r="CYJ14" t="s">
        <v>6984</v>
      </c>
      <c r="CYK14" t="s">
        <v>6984</v>
      </c>
      <c r="CYL14" t="s">
        <v>6984</v>
      </c>
      <c r="CYM14" t="s">
        <v>6984</v>
      </c>
      <c r="CYN14" t="s">
        <v>6984</v>
      </c>
      <c r="CYO14" t="s">
        <v>6984</v>
      </c>
      <c r="CYP14" t="s">
        <v>6984</v>
      </c>
      <c r="CYQ14" t="s">
        <v>6984</v>
      </c>
      <c r="CYR14" t="s">
        <v>6984</v>
      </c>
      <c r="CYS14" t="s">
        <v>6984</v>
      </c>
      <c r="CYT14" t="s">
        <v>6984</v>
      </c>
      <c r="CYU14" t="s">
        <v>6984</v>
      </c>
      <c r="CYV14" t="s">
        <v>6984</v>
      </c>
      <c r="CYW14" t="s">
        <v>6984</v>
      </c>
      <c r="CYX14" t="s">
        <v>6984</v>
      </c>
      <c r="CYY14" t="s">
        <v>6984</v>
      </c>
      <c r="CYZ14" t="s">
        <v>6984</v>
      </c>
      <c r="CZA14" t="s">
        <v>6984</v>
      </c>
      <c r="CZB14" t="s">
        <v>6984</v>
      </c>
      <c r="CZC14" t="s">
        <v>6984</v>
      </c>
      <c r="CZD14" t="s">
        <v>6984</v>
      </c>
      <c r="CZE14" t="s">
        <v>6984</v>
      </c>
      <c r="CZF14" t="s">
        <v>6984</v>
      </c>
      <c r="CZG14" t="s">
        <v>6984</v>
      </c>
      <c r="CZH14" t="s">
        <v>6984</v>
      </c>
      <c r="CZI14" t="s">
        <v>6984</v>
      </c>
      <c r="CZJ14" t="s">
        <v>6984</v>
      </c>
      <c r="CZK14" t="s">
        <v>6984</v>
      </c>
      <c r="CZL14" t="s">
        <v>6984</v>
      </c>
      <c r="CZM14" t="s">
        <v>6984</v>
      </c>
      <c r="CZN14" t="s">
        <v>6984</v>
      </c>
      <c r="CZO14" t="s">
        <v>6984</v>
      </c>
      <c r="CZP14" t="s">
        <v>6984</v>
      </c>
      <c r="CZQ14" t="s">
        <v>6984</v>
      </c>
      <c r="CZR14" t="s">
        <v>6984</v>
      </c>
      <c r="CZS14" t="s">
        <v>6984</v>
      </c>
      <c r="CZT14" t="s">
        <v>6984</v>
      </c>
      <c r="CZU14" t="s">
        <v>6984</v>
      </c>
      <c r="CZV14" t="s">
        <v>6984</v>
      </c>
      <c r="CZW14" t="s">
        <v>6984</v>
      </c>
      <c r="CZX14" t="s">
        <v>6984</v>
      </c>
      <c r="CZY14" t="s">
        <v>6984</v>
      </c>
      <c r="CZZ14" t="s">
        <v>6984</v>
      </c>
      <c r="DAA14" t="s">
        <v>6984</v>
      </c>
      <c r="DAB14" t="s">
        <v>6984</v>
      </c>
      <c r="DAC14" t="s">
        <v>6984</v>
      </c>
      <c r="DAD14" t="s">
        <v>6984</v>
      </c>
      <c r="DAE14" t="s">
        <v>6984</v>
      </c>
      <c r="DAF14" t="s">
        <v>6984</v>
      </c>
      <c r="DAG14" t="s">
        <v>6984</v>
      </c>
      <c r="DAH14" t="s">
        <v>6984</v>
      </c>
      <c r="DAI14" t="s">
        <v>6984</v>
      </c>
      <c r="DAJ14" t="s">
        <v>6984</v>
      </c>
      <c r="DAK14" t="s">
        <v>6984</v>
      </c>
      <c r="DAL14" t="s">
        <v>6984</v>
      </c>
      <c r="DAM14" t="s">
        <v>6984</v>
      </c>
      <c r="DAN14" t="s">
        <v>6984</v>
      </c>
      <c r="DAO14" t="s">
        <v>6984</v>
      </c>
      <c r="DAP14" t="s">
        <v>6984</v>
      </c>
      <c r="DAQ14" t="s">
        <v>6984</v>
      </c>
      <c r="DAR14" t="s">
        <v>6984</v>
      </c>
      <c r="DAS14" t="s">
        <v>6984</v>
      </c>
      <c r="DAT14" t="s">
        <v>6984</v>
      </c>
      <c r="DAU14" t="s">
        <v>6984</v>
      </c>
      <c r="DAV14" t="s">
        <v>6984</v>
      </c>
      <c r="DAW14" t="s">
        <v>6984</v>
      </c>
      <c r="DAX14" t="s">
        <v>6984</v>
      </c>
      <c r="DAY14" t="s">
        <v>6984</v>
      </c>
      <c r="DAZ14" t="s">
        <v>6984</v>
      </c>
      <c r="DBA14" t="s">
        <v>6984</v>
      </c>
      <c r="DBB14" t="s">
        <v>6984</v>
      </c>
      <c r="DBC14" t="s">
        <v>6984</v>
      </c>
      <c r="DBD14" t="s">
        <v>6984</v>
      </c>
      <c r="DBE14" t="s">
        <v>6984</v>
      </c>
      <c r="DBF14" t="s">
        <v>6984</v>
      </c>
      <c r="DBG14" t="s">
        <v>6984</v>
      </c>
      <c r="DBH14" t="s">
        <v>6984</v>
      </c>
      <c r="DBI14" t="s">
        <v>6984</v>
      </c>
      <c r="DBJ14" t="s">
        <v>6984</v>
      </c>
      <c r="DBK14" t="s">
        <v>6984</v>
      </c>
      <c r="DBL14" t="s">
        <v>6984</v>
      </c>
      <c r="DBM14" t="s">
        <v>6984</v>
      </c>
      <c r="DBN14" t="s">
        <v>6984</v>
      </c>
      <c r="DBO14" t="s">
        <v>6984</v>
      </c>
      <c r="DBP14" t="s">
        <v>6984</v>
      </c>
      <c r="DBQ14" t="s">
        <v>6984</v>
      </c>
      <c r="DBR14" t="s">
        <v>6984</v>
      </c>
      <c r="DBS14" t="s">
        <v>6984</v>
      </c>
      <c r="DBT14" t="s">
        <v>6984</v>
      </c>
      <c r="DBU14" t="s">
        <v>6984</v>
      </c>
      <c r="DBV14" t="s">
        <v>6984</v>
      </c>
      <c r="DBW14" t="s">
        <v>6984</v>
      </c>
      <c r="DBX14" t="s">
        <v>6984</v>
      </c>
      <c r="DBY14" t="s">
        <v>6984</v>
      </c>
      <c r="DBZ14" t="s">
        <v>6984</v>
      </c>
      <c r="DCA14" t="s">
        <v>6984</v>
      </c>
      <c r="DCB14" t="s">
        <v>6984</v>
      </c>
      <c r="DCC14" t="s">
        <v>6984</v>
      </c>
      <c r="DCD14" t="s">
        <v>6984</v>
      </c>
      <c r="DCE14" t="s">
        <v>6984</v>
      </c>
      <c r="DCF14" t="s">
        <v>6984</v>
      </c>
      <c r="DCG14" t="s">
        <v>6984</v>
      </c>
      <c r="DCH14" t="s">
        <v>6984</v>
      </c>
      <c r="DCI14" t="s">
        <v>6984</v>
      </c>
      <c r="DCJ14" t="s">
        <v>6984</v>
      </c>
      <c r="DCK14" t="s">
        <v>6984</v>
      </c>
      <c r="DCL14" t="s">
        <v>6984</v>
      </c>
      <c r="DCM14" t="s">
        <v>6984</v>
      </c>
      <c r="DCN14" t="s">
        <v>6984</v>
      </c>
      <c r="DCO14" t="s">
        <v>6984</v>
      </c>
      <c r="DCP14" t="s">
        <v>6984</v>
      </c>
      <c r="DCQ14" t="s">
        <v>6984</v>
      </c>
      <c r="DCR14" t="s">
        <v>6984</v>
      </c>
      <c r="DCS14" t="s">
        <v>6984</v>
      </c>
      <c r="DCT14" t="s">
        <v>6984</v>
      </c>
      <c r="DCU14" t="s">
        <v>6984</v>
      </c>
      <c r="DCV14" t="s">
        <v>6984</v>
      </c>
      <c r="DCW14" t="s">
        <v>6984</v>
      </c>
      <c r="DCX14" t="s">
        <v>6984</v>
      </c>
      <c r="DCY14" t="s">
        <v>6984</v>
      </c>
      <c r="DCZ14" t="s">
        <v>6984</v>
      </c>
      <c r="DDA14" t="s">
        <v>6984</v>
      </c>
      <c r="DDB14" t="s">
        <v>6984</v>
      </c>
      <c r="DDC14" t="s">
        <v>6984</v>
      </c>
      <c r="DDD14" t="s">
        <v>6984</v>
      </c>
      <c r="DDE14" t="s">
        <v>6984</v>
      </c>
      <c r="DDF14" t="s">
        <v>6984</v>
      </c>
      <c r="DDG14" t="s">
        <v>6984</v>
      </c>
      <c r="DDH14" t="s">
        <v>6984</v>
      </c>
      <c r="DDI14" t="s">
        <v>6984</v>
      </c>
      <c r="DDJ14" t="s">
        <v>6984</v>
      </c>
      <c r="DDK14" t="s">
        <v>6984</v>
      </c>
      <c r="DDL14" t="s">
        <v>6984</v>
      </c>
      <c r="DDM14" t="s">
        <v>6984</v>
      </c>
      <c r="DDN14" t="s">
        <v>6984</v>
      </c>
      <c r="DDO14" t="s">
        <v>6984</v>
      </c>
      <c r="DDP14" t="s">
        <v>6984</v>
      </c>
      <c r="DDQ14" t="s">
        <v>6984</v>
      </c>
      <c r="DDR14" t="s">
        <v>6984</v>
      </c>
      <c r="DDS14" t="s">
        <v>6984</v>
      </c>
      <c r="DDT14" t="s">
        <v>6984</v>
      </c>
      <c r="DDU14" t="s">
        <v>6984</v>
      </c>
      <c r="DDV14" t="s">
        <v>6984</v>
      </c>
      <c r="DDW14" t="s">
        <v>6984</v>
      </c>
      <c r="DDX14" t="s">
        <v>6984</v>
      </c>
      <c r="DDY14" t="s">
        <v>6984</v>
      </c>
      <c r="DDZ14" t="s">
        <v>6984</v>
      </c>
      <c r="DEA14" t="s">
        <v>6984</v>
      </c>
      <c r="DEB14" t="s">
        <v>6984</v>
      </c>
      <c r="DEC14" t="s">
        <v>6984</v>
      </c>
      <c r="DED14" t="s">
        <v>6984</v>
      </c>
      <c r="DEE14" t="s">
        <v>6984</v>
      </c>
      <c r="DEF14" t="s">
        <v>6984</v>
      </c>
      <c r="DEG14" t="s">
        <v>6984</v>
      </c>
      <c r="DEH14" t="s">
        <v>6984</v>
      </c>
      <c r="DEI14" t="s">
        <v>6984</v>
      </c>
      <c r="DEJ14" t="s">
        <v>6984</v>
      </c>
      <c r="DEK14" t="s">
        <v>6984</v>
      </c>
      <c r="DEL14" t="s">
        <v>6984</v>
      </c>
      <c r="DEM14" t="s">
        <v>6984</v>
      </c>
      <c r="DEN14" t="s">
        <v>6984</v>
      </c>
      <c r="DEO14" t="s">
        <v>6984</v>
      </c>
      <c r="DEP14" t="s">
        <v>6984</v>
      </c>
      <c r="DEQ14" t="s">
        <v>6984</v>
      </c>
      <c r="DER14" t="s">
        <v>6984</v>
      </c>
      <c r="DES14" t="s">
        <v>6984</v>
      </c>
      <c r="DET14" t="s">
        <v>6984</v>
      </c>
      <c r="DEU14" t="s">
        <v>6984</v>
      </c>
      <c r="DEV14" t="s">
        <v>6984</v>
      </c>
      <c r="DEW14" t="s">
        <v>6984</v>
      </c>
      <c r="DEX14" t="s">
        <v>6984</v>
      </c>
      <c r="DEY14" t="s">
        <v>6984</v>
      </c>
      <c r="DEZ14" t="s">
        <v>6984</v>
      </c>
      <c r="DFA14" t="s">
        <v>6984</v>
      </c>
      <c r="DFB14" t="s">
        <v>6984</v>
      </c>
      <c r="DFC14" t="s">
        <v>6984</v>
      </c>
      <c r="DFD14" t="s">
        <v>6984</v>
      </c>
      <c r="DFE14" t="s">
        <v>6984</v>
      </c>
      <c r="DFF14" t="s">
        <v>6984</v>
      </c>
      <c r="DFG14" t="s">
        <v>6984</v>
      </c>
      <c r="DFH14" t="s">
        <v>6984</v>
      </c>
      <c r="DFI14" t="s">
        <v>6984</v>
      </c>
      <c r="DFJ14" t="s">
        <v>6984</v>
      </c>
      <c r="DFK14" t="s">
        <v>6984</v>
      </c>
      <c r="DFL14" t="s">
        <v>6984</v>
      </c>
      <c r="DFM14" t="s">
        <v>6984</v>
      </c>
      <c r="DFN14" t="s">
        <v>6984</v>
      </c>
      <c r="DFO14" t="s">
        <v>6984</v>
      </c>
      <c r="DFP14" t="s">
        <v>6984</v>
      </c>
      <c r="DFQ14" t="s">
        <v>6984</v>
      </c>
      <c r="DFR14" t="s">
        <v>6984</v>
      </c>
      <c r="DFS14" t="s">
        <v>6984</v>
      </c>
      <c r="DFT14" t="s">
        <v>6984</v>
      </c>
      <c r="DFU14" t="s">
        <v>6984</v>
      </c>
      <c r="DFV14" t="s">
        <v>6984</v>
      </c>
      <c r="DFW14" t="s">
        <v>6984</v>
      </c>
      <c r="DFX14" t="s">
        <v>6984</v>
      </c>
      <c r="DFY14" t="s">
        <v>6984</v>
      </c>
      <c r="DFZ14" t="s">
        <v>6984</v>
      </c>
      <c r="DGA14" t="s">
        <v>6984</v>
      </c>
      <c r="DGB14" t="s">
        <v>6984</v>
      </c>
      <c r="DGC14" t="s">
        <v>6984</v>
      </c>
      <c r="DGD14" t="s">
        <v>6984</v>
      </c>
      <c r="DGE14" t="s">
        <v>6984</v>
      </c>
      <c r="DGF14" t="s">
        <v>6984</v>
      </c>
      <c r="DGG14" t="s">
        <v>6984</v>
      </c>
      <c r="DGH14" t="s">
        <v>6984</v>
      </c>
      <c r="DGI14" t="s">
        <v>6984</v>
      </c>
      <c r="DGJ14" t="s">
        <v>6984</v>
      </c>
      <c r="DGK14" t="s">
        <v>6984</v>
      </c>
      <c r="DGL14" t="s">
        <v>6984</v>
      </c>
      <c r="DGM14" t="s">
        <v>6984</v>
      </c>
      <c r="DGN14" t="s">
        <v>6984</v>
      </c>
      <c r="DGO14" t="s">
        <v>6984</v>
      </c>
      <c r="DGP14" t="s">
        <v>6984</v>
      </c>
      <c r="DGQ14" t="s">
        <v>6984</v>
      </c>
      <c r="DGR14" t="s">
        <v>6984</v>
      </c>
      <c r="DGS14" t="s">
        <v>6984</v>
      </c>
      <c r="DGT14" t="s">
        <v>6984</v>
      </c>
      <c r="DGU14" t="s">
        <v>6984</v>
      </c>
      <c r="DGV14" t="s">
        <v>6984</v>
      </c>
      <c r="DGW14" t="s">
        <v>6984</v>
      </c>
      <c r="DGX14" t="s">
        <v>6984</v>
      </c>
      <c r="DGY14" t="s">
        <v>6984</v>
      </c>
      <c r="DGZ14" t="s">
        <v>6984</v>
      </c>
      <c r="DHA14" t="s">
        <v>6984</v>
      </c>
      <c r="DHB14" t="s">
        <v>6984</v>
      </c>
      <c r="DHC14" t="s">
        <v>6984</v>
      </c>
      <c r="DHD14" t="s">
        <v>6984</v>
      </c>
      <c r="DHE14" t="s">
        <v>6984</v>
      </c>
      <c r="DHF14" t="s">
        <v>6984</v>
      </c>
      <c r="DHG14" t="s">
        <v>6984</v>
      </c>
      <c r="DHH14" t="s">
        <v>6984</v>
      </c>
      <c r="DHI14" t="s">
        <v>6984</v>
      </c>
      <c r="DHJ14" t="s">
        <v>6984</v>
      </c>
      <c r="DHK14" t="s">
        <v>6984</v>
      </c>
      <c r="DHL14" t="s">
        <v>6984</v>
      </c>
      <c r="DHM14" t="s">
        <v>6984</v>
      </c>
      <c r="DHN14" t="s">
        <v>6984</v>
      </c>
      <c r="DHO14" t="s">
        <v>6984</v>
      </c>
      <c r="DHP14" t="s">
        <v>6984</v>
      </c>
      <c r="DHQ14" t="s">
        <v>6984</v>
      </c>
      <c r="DHR14" t="s">
        <v>6984</v>
      </c>
      <c r="DHS14" t="s">
        <v>6984</v>
      </c>
      <c r="DHT14" t="s">
        <v>6984</v>
      </c>
      <c r="DHU14" t="s">
        <v>6984</v>
      </c>
      <c r="DHV14" t="s">
        <v>6984</v>
      </c>
      <c r="DHW14" t="s">
        <v>6984</v>
      </c>
      <c r="DHX14" t="s">
        <v>6984</v>
      </c>
      <c r="DHY14" t="s">
        <v>6984</v>
      </c>
      <c r="DHZ14" t="s">
        <v>6984</v>
      </c>
      <c r="DIA14" t="s">
        <v>6984</v>
      </c>
      <c r="DIB14" t="s">
        <v>6984</v>
      </c>
      <c r="DIC14" t="s">
        <v>6984</v>
      </c>
      <c r="DID14" t="s">
        <v>6984</v>
      </c>
      <c r="DIE14" t="s">
        <v>6984</v>
      </c>
      <c r="DIF14" t="s">
        <v>6984</v>
      </c>
      <c r="DIG14" t="s">
        <v>6984</v>
      </c>
      <c r="DIH14" t="s">
        <v>6984</v>
      </c>
      <c r="DII14" t="s">
        <v>6984</v>
      </c>
      <c r="DIJ14" t="s">
        <v>6984</v>
      </c>
      <c r="DIK14" t="s">
        <v>6984</v>
      </c>
      <c r="DIL14" t="s">
        <v>6984</v>
      </c>
      <c r="DIM14" t="s">
        <v>6984</v>
      </c>
      <c r="DIN14" t="s">
        <v>6984</v>
      </c>
      <c r="DIO14" t="s">
        <v>6984</v>
      </c>
      <c r="DIP14" t="s">
        <v>6984</v>
      </c>
      <c r="DIQ14" t="s">
        <v>6984</v>
      </c>
      <c r="DIR14" t="s">
        <v>6984</v>
      </c>
      <c r="DIS14" t="s">
        <v>6984</v>
      </c>
      <c r="DIT14" t="s">
        <v>6984</v>
      </c>
      <c r="DIU14" t="s">
        <v>6984</v>
      </c>
      <c r="DIV14" t="s">
        <v>6984</v>
      </c>
      <c r="DIW14" t="s">
        <v>6984</v>
      </c>
      <c r="DIX14" t="s">
        <v>6984</v>
      </c>
      <c r="DIY14" t="s">
        <v>6984</v>
      </c>
      <c r="DIZ14" t="s">
        <v>6984</v>
      </c>
      <c r="DJA14" t="s">
        <v>6984</v>
      </c>
      <c r="DJB14" t="s">
        <v>6984</v>
      </c>
      <c r="DJC14" t="s">
        <v>6984</v>
      </c>
      <c r="DJD14" t="s">
        <v>6984</v>
      </c>
      <c r="DJE14" t="s">
        <v>6984</v>
      </c>
      <c r="DJF14" t="s">
        <v>6984</v>
      </c>
      <c r="DJG14" t="s">
        <v>6984</v>
      </c>
      <c r="DJH14" t="s">
        <v>6984</v>
      </c>
      <c r="DJI14" t="s">
        <v>6984</v>
      </c>
      <c r="DJJ14" t="s">
        <v>6984</v>
      </c>
      <c r="DJK14" t="s">
        <v>6984</v>
      </c>
      <c r="DJL14" t="s">
        <v>6984</v>
      </c>
      <c r="DJM14" t="s">
        <v>6984</v>
      </c>
      <c r="DJN14" t="s">
        <v>6984</v>
      </c>
      <c r="DJO14" t="s">
        <v>6984</v>
      </c>
      <c r="DJP14" t="s">
        <v>6984</v>
      </c>
      <c r="DJQ14" t="s">
        <v>6984</v>
      </c>
      <c r="DJR14" t="s">
        <v>6984</v>
      </c>
      <c r="DJS14" t="s">
        <v>6984</v>
      </c>
      <c r="DJT14" t="s">
        <v>6984</v>
      </c>
      <c r="DJU14" t="s">
        <v>6984</v>
      </c>
      <c r="DJV14" t="s">
        <v>6984</v>
      </c>
      <c r="DJW14" t="s">
        <v>6984</v>
      </c>
      <c r="DJX14" t="s">
        <v>6984</v>
      </c>
      <c r="DJY14" t="s">
        <v>6984</v>
      </c>
      <c r="DJZ14" t="s">
        <v>6984</v>
      </c>
      <c r="DKA14" t="s">
        <v>6984</v>
      </c>
      <c r="DKB14" t="s">
        <v>6984</v>
      </c>
      <c r="DKC14" t="s">
        <v>6984</v>
      </c>
      <c r="DKD14" t="s">
        <v>6984</v>
      </c>
      <c r="DKE14" t="s">
        <v>6984</v>
      </c>
      <c r="DKF14" t="s">
        <v>6984</v>
      </c>
      <c r="DKG14" t="s">
        <v>6984</v>
      </c>
      <c r="DKH14" t="s">
        <v>6984</v>
      </c>
      <c r="DKI14" t="s">
        <v>6984</v>
      </c>
      <c r="DKJ14" t="s">
        <v>6984</v>
      </c>
      <c r="DKK14" t="s">
        <v>6984</v>
      </c>
      <c r="DKL14" t="s">
        <v>6984</v>
      </c>
      <c r="DKM14" t="s">
        <v>6984</v>
      </c>
      <c r="DKN14" t="s">
        <v>6984</v>
      </c>
      <c r="DKO14" t="s">
        <v>6984</v>
      </c>
      <c r="DKP14" t="s">
        <v>6984</v>
      </c>
      <c r="DKQ14" t="s">
        <v>6984</v>
      </c>
      <c r="DKR14" t="s">
        <v>6984</v>
      </c>
      <c r="DKS14" t="s">
        <v>6984</v>
      </c>
      <c r="DKT14" t="s">
        <v>6984</v>
      </c>
      <c r="DKU14" t="s">
        <v>6984</v>
      </c>
      <c r="DKV14" t="s">
        <v>6984</v>
      </c>
      <c r="DKW14" t="s">
        <v>6984</v>
      </c>
      <c r="DKX14" t="s">
        <v>6984</v>
      </c>
      <c r="DKY14" t="s">
        <v>6984</v>
      </c>
      <c r="DKZ14" t="s">
        <v>6984</v>
      </c>
      <c r="DLA14" t="s">
        <v>6984</v>
      </c>
      <c r="DLB14" t="s">
        <v>6984</v>
      </c>
      <c r="DLC14" t="s">
        <v>6984</v>
      </c>
      <c r="DLD14" t="s">
        <v>6984</v>
      </c>
      <c r="DLE14" t="s">
        <v>6984</v>
      </c>
      <c r="DLF14" t="s">
        <v>6984</v>
      </c>
      <c r="DLG14" t="s">
        <v>6984</v>
      </c>
      <c r="DLH14" t="s">
        <v>6984</v>
      </c>
      <c r="DLI14" t="s">
        <v>6984</v>
      </c>
      <c r="DLJ14" t="s">
        <v>6984</v>
      </c>
      <c r="DLK14" t="s">
        <v>6984</v>
      </c>
      <c r="DLL14" t="s">
        <v>6984</v>
      </c>
      <c r="DLM14" t="s">
        <v>6984</v>
      </c>
      <c r="DLN14" t="s">
        <v>6984</v>
      </c>
      <c r="DLO14" t="s">
        <v>6984</v>
      </c>
      <c r="DLP14" t="s">
        <v>6984</v>
      </c>
      <c r="DLQ14" t="s">
        <v>6984</v>
      </c>
      <c r="DLR14" t="s">
        <v>6984</v>
      </c>
      <c r="DLS14" t="s">
        <v>6984</v>
      </c>
      <c r="DLT14" t="s">
        <v>6984</v>
      </c>
      <c r="DLU14" t="s">
        <v>6984</v>
      </c>
      <c r="DLV14" t="s">
        <v>6984</v>
      </c>
      <c r="DLW14" t="s">
        <v>6984</v>
      </c>
      <c r="DLX14" t="s">
        <v>6984</v>
      </c>
      <c r="DLY14" t="s">
        <v>6984</v>
      </c>
      <c r="DLZ14" t="s">
        <v>6984</v>
      </c>
      <c r="DMA14" t="s">
        <v>6984</v>
      </c>
      <c r="DMB14" t="s">
        <v>6984</v>
      </c>
      <c r="DMC14" t="s">
        <v>6984</v>
      </c>
      <c r="DMD14" t="s">
        <v>6984</v>
      </c>
      <c r="DME14" t="s">
        <v>6984</v>
      </c>
      <c r="DMF14" t="s">
        <v>6984</v>
      </c>
      <c r="DMG14" t="s">
        <v>6984</v>
      </c>
      <c r="DMH14" t="s">
        <v>6984</v>
      </c>
      <c r="DMI14" t="s">
        <v>6984</v>
      </c>
      <c r="DMJ14" t="s">
        <v>6984</v>
      </c>
      <c r="DMK14" t="s">
        <v>6984</v>
      </c>
      <c r="DML14" t="s">
        <v>6984</v>
      </c>
      <c r="DMM14" t="s">
        <v>6984</v>
      </c>
      <c r="DMN14" t="s">
        <v>6984</v>
      </c>
      <c r="DMO14" t="s">
        <v>6984</v>
      </c>
      <c r="DMP14" t="s">
        <v>6984</v>
      </c>
      <c r="DMQ14" t="s">
        <v>6984</v>
      </c>
      <c r="DMR14" t="s">
        <v>6984</v>
      </c>
      <c r="DMS14" t="s">
        <v>6984</v>
      </c>
      <c r="DMT14" t="s">
        <v>6984</v>
      </c>
      <c r="DMU14" t="s">
        <v>6984</v>
      </c>
      <c r="DMV14" t="s">
        <v>6984</v>
      </c>
      <c r="DMW14" t="s">
        <v>6984</v>
      </c>
      <c r="DMX14" t="s">
        <v>6984</v>
      </c>
      <c r="DMY14" t="s">
        <v>6984</v>
      </c>
      <c r="DMZ14" t="s">
        <v>6984</v>
      </c>
      <c r="DNA14" t="s">
        <v>6984</v>
      </c>
      <c r="DNB14" t="s">
        <v>6984</v>
      </c>
      <c r="DNC14" t="s">
        <v>6984</v>
      </c>
      <c r="DND14" t="s">
        <v>6984</v>
      </c>
      <c r="DNE14" t="s">
        <v>6984</v>
      </c>
      <c r="DNF14" t="s">
        <v>6984</v>
      </c>
      <c r="DNG14" t="s">
        <v>6984</v>
      </c>
      <c r="DNH14" t="s">
        <v>6984</v>
      </c>
      <c r="DNI14" t="s">
        <v>6984</v>
      </c>
      <c r="DNJ14" t="s">
        <v>6984</v>
      </c>
      <c r="DNK14" t="s">
        <v>6984</v>
      </c>
      <c r="DNL14" t="s">
        <v>6984</v>
      </c>
      <c r="DNM14" t="s">
        <v>6984</v>
      </c>
      <c r="DNN14" t="s">
        <v>6984</v>
      </c>
      <c r="DNO14" t="s">
        <v>6984</v>
      </c>
      <c r="DNP14" t="s">
        <v>6984</v>
      </c>
      <c r="DNQ14" t="s">
        <v>6984</v>
      </c>
      <c r="DNR14" t="s">
        <v>6984</v>
      </c>
      <c r="DNS14" t="s">
        <v>6984</v>
      </c>
      <c r="DNT14" t="s">
        <v>6984</v>
      </c>
      <c r="DNU14" t="s">
        <v>6984</v>
      </c>
      <c r="DNV14" t="s">
        <v>6984</v>
      </c>
      <c r="DNW14" t="s">
        <v>6984</v>
      </c>
      <c r="DNX14" t="s">
        <v>6984</v>
      </c>
      <c r="DNY14" t="s">
        <v>6984</v>
      </c>
      <c r="DNZ14" t="s">
        <v>6984</v>
      </c>
      <c r="DOA14" t="s">
        <v>6984</v>
      </c>
      <c r="DOB14" t="s">
        <v>6984</v>
      </c>
      <c r="DOC14" t="s">
        <v>6984</v>
      </c>
      <c r="DOD14" t="s">
        <v>6984</v>
      </c>
      <c r="DOE14" t="s">
        <v>6984</v>
      </c>
      <c r="DOF14" t="s">
        <v>6984</v>
      </c>
      <c r="DOG14" t="s">
        <v>6984</v>
      </c>
      <c r="DOH14" t="s">
        <v>6984</v>
      </c>
      <c r="DOI14" t="s">
        <v>6984</v>
      </c>
      <c r="DOJ14" t="s">
        <v>6984</v>
      </c>
      <c r="DOK14" t="s">
        <v>6984</v>
      </c>
      <c r="DOL14" t="s">
        <v>6984</v>
      </c>
      <c r="DOM14" t="s">
        <v>6984</v>
      </c>
      <c r="DON14" t="s">
        <v>6984</v>
      </c>
      <c r="DOO14" t="s">
        <v>6984</v>
      </c>
      <c r="DOP14" t="s">
        <v>6984</v>
      </c>
      <c r="DOQ14" t="s">
        <v>6984</v>
      </c>
      <c r="DOR14" t="s">
        <v>6984</v>
      </c>
      <c r="DOS14" t="s">
        <v>6984</v>
      </c>
      <c r="DOT14" t="s">
        <v>6984</v>
      </c>
      <c r="DOU14" t="s">
        <v>6984</v>
      </c>
      <c r="DOV14" t="s">
        <v>6984</v>
      </c>
      <c r="DOW14" t="s">
        <v>6984</v>
      </c>
      <c r="DOX14" t="s">
        <v>6984</v>
      </c>
      <c r="DOY14" t="s">
        <v>6984</v>
      </c>
      <c r="DOZ14" t="s">
        <v>6984</v>
      </c>
      <c r="DPA14" t="s">
        <v>6984</v>
      </c>
      <c r="DPB14" t="s">
        <v>6984</v>
      </c>
      <c r="DPC14" t="s">
        <v>6984</v>
      </c>
      <c r="DPD14" t="s">
        <v>6984</v>
      </c>
      <c r="DPE14" t="s">
        <v>6984</v>
      </c>
      <c r="DPF14" t="s">
        <v>6984</v>
      </c>
      <c r="DPG14" t="s">
        <v>6984</v>
      </c>
      <c r="DPH14" t="s">
        <v>6984</v>
      </c>
      <c r="DPI14" t="s">
        <v>6984</v>
      </c>
      <c r="DPJ14" t="s">
        <v>6984</v>
      </c>
      <c r="DPK14" t="s">
        <v>6984</v>
      </c>
      <c r="DPL14" t="s">
        <v>6984</v>
      </c>
      <c r="DPM14" t="s">
        <v>6984</v>
      </c>
      <c r="DPN14" t="s">
        <v>6984</v>
      </c>
      <c r="DPO14" t="s">
        <v>6984</v>
      </c>
      <c r="DPP14" t="s">
        <v>6984</v>
      </c>
      <c r="DPQ14" t="s">
        <v>6984</v>
      </c>
      <c r="DPR14" t="s">
        <v>6984</v>
      </c>
      <c r="DPS14" t="s">
        <v>6984</v>
      </c>
      <c r="DPT14" t="s">
        <v>6984</v>
      </c>
      <c r="DPU14" t="s">
        <v>6984</v>
      </c>
      <c r="DPV14" t="s">
        <v>6984</v>
      </c>
      <c r="DPW14" t="s">
        <v>6984</v>
      </c>
      <c r="DPX14" t="s">
        <v>6984</v>
      </c>
      <c r="DPY14" t="s">
        <v>6984</v>
      </c>
      <c r="DPZ14" t="s">
        <v>6984</v>
      </c>
      <c r="DQA14" t="s">
        <v>6984</v>
      </c>
      <c r="DQB14" t="s">
        <v>6984</v>
      </c>
      <c r="DQC14" t="s">
        <v>6984</v>
      </c>
      <c r="DQD14" t="s">
        <v>6984</v>
      </c>
      <c r="DQE14" t="s">
        <v>6984</v>
      </c>
      <c r="DQF14" t="s">
        <v>6984</v>
      </c>
      <c r="DQG14" t="s">
        <v>6984</v>
      </c>
      <c r="DQH14" t="s">
        <v>6984</v>
      </c>
      <c r="DQI14" t="s">
        <v>6984</v>
      </c>
      <c r="DQJ14" t="s">
        <v>6984</v>
      </c>
      <c r="DQK14" t="s">
        <v>6984</v>
      </c>
      <c r="DQL14" t="s">
        <v>6984</v>
      </c>
      <c r="DQM14" t="s">
        <v>6984</v>
      </c>
      <c r="DQN14" t="s">
        <v>6984</v>
      </c>
      <c r="DQO14" t="s">
        <v>6984</v>
      </c>
      <c r="DQP14" t="s">
        <v>6984</v>
      </c>
      <c r="DQQ14" t="s">
        <v>6984</v>
      </c>
      <c r="DQR14" t="s">
        <v>6984</v>
      </c>
      <c r="DQS14" t="s">
        <v>6984</v>
      </c>
      <c r="DQT14" t="s">
        <v>6984</v>
      </c>
      <c r="DQU14" t="s">
        <v>6984</v>
      </c>
      <c r="DQV14" t="s">
        <v>6984</v>
      </c>
      <c r="DQW14" t="s">
        <v>6984</v>
      </c>
      <c r="DQX14" t="s">
        <v>6984</v>
      </c>
      <c r="DQY14" t="s">
        <v>6984</v>
      </c>
      <c r="DQZ14" t="s">
        <v>6984</v>
      </c>
      <c r="DRA14" t="s">
        <v>6984</v>
      </c>
      <c r="DRB14" t="s">
        <v>6984</v>
      </c>
      <c r="DRC14" t="s">
        <v>6984</v>
      </c>
      <c r="DRD14" t="s">
        <v>6984</v>
      </c>
      <c r="DRE14" t="s">
        <v>6984</v>
      </c>
      <c r="DRF14" t="s">
        <v>6984</v>
      </c>
      <c r="DRG14" t="s">
        <v>6984</v>
      </c>
      <c r="DRH14" t="s">
        <v>6984</v>
      </c>
      <c r="DRI14" t="s">
        <v>6984</v>
      </c>
      <c r="DRJ14" t="s">
        <v>6984</v>
      </c>
      <c r="DRK14" t="s">
        <v>6984</v>
      </c>
      <c r="DRL14" t="s">
        <v>6984</v>
      </c>
      <c r="DRM14" t="s">
        <v>6984</v>
      </c>
      <c r="DRN14" t="s">
        <v>6984</v>
      </c>
      <c r="DRO14" t="s">
        <v>6984</v>
      </c>
      <c r="DRP14" t="s">
        <v>6984</v>
      </c>
      <c r="DRQ14" t="s">
        <v>6984</v>
      </c>
      <c r="DRR14" t="s">
        <v>6984</v>
      </c>
      <c r="DRS14" t="s">
        <v>6984</v>
      </c>
      <c r="DRT14" t="s">
        <v>6984</v>
      </c>
      <c r="DRU14" t="s">
        <v>6984</v>
      </c>
      <c r="DRV14" t="s">
        <v>6984</v>
      </c>
      <c r="DRW14" t="s">
        <v>6984</v>
      </c>
      <c r="DRX14" t="s">
        <v>6984</v>
      </c>
      <c r="DRY14" t="s">
        <v>6984</v>
      </c>
      <c r="DRZ14" t="s">
        <v>6984</v>
      </c>
      <c r="DSA14" t="s">
        <v>6984</v>
      </c>
      <c r="DSB14" t="s">
        <v>6984</v>
      </c>
      <c r="DSC14" t="s">
        <v>6984</v>
      </c>
      <c r="DSD14" t="s">
        <v>6984</v>
      </c>
      <c r="DSE14" t="s">
        <v>6984</v>
      </c>
      <c r="DSF14" t="s">
        <v>6984</v>
      </c>
      <c r="DSG14" t="s">
        <v>6984</v>
      </c>
      <c r="DSH14" t="s">
        <v>6984</v>
      </c>
      <c r="DSI14" t="s">
        <v>6984</v>
      </c>
      <c r="DSJ14" t="s">
        <v>6984</v>
      </c>
      <c r="DSK14" t="s">
        <v>6984</v>
      </c>
      <c r="DSL14" t="s">
        <v>6984</v>
      </c>
      <c r="DSM14" t="s">
        <v>6984</v>
      </c>
      <c r="DSN14" t="s">
        <v>6984</v>
      </c>
      <c r="DSO14" t="s">
        <v>6984</v>
      </c>
      <c r="DSP14" t="s">
        <v>6984</v>
      </c>
      <c r="DSQ14" t="s">
        <v>6984</v>
      </c>
      <c r="DSR14" t="s">
        <v>6984</v>
      </c>
      <c r="DSS14" t="s">
        <v>6984</v>
      </c>
      <c r="DST14" t="s">
        <v>6984</v>
      </c>
      <c r="DSU14" t="s">
        <v>6984</v>
      </c>
      <c r="DSV14" t="s">
        <v>6984</v>
      </c>
      <c r="DSW14" t="s">
        <v>6984</v>
      </c>
      <c r="DSX14" t="s">
        <v>6984</v>
      </c>
      <c r="DSY14" t="s">
        <v>6984</v>
      </c>
      <c r="DSZ14" t="s">
        <v>6984</v>
      </c>
      <c r="DTA14" t="s">
        <v>6984</v>
      </c>
      <c r="DTB14" t="s">
        <v>6984</v>
      </c>
      <c r="DTC14" t="s">
        <v>6984</v>
      </c>
      <c r="DTD14" t="s">
        <v>6984</v>
      </c>
      <c r="DTE14" t="s">
        <v>6984</v>
      </c>
      <c r="DTF14" t="s">
        <v>6984</v>
      </c>
      <c r="DTG14" t="s">
        <v>6984</v>
      </c>
      <c r="DTH14" t="s">
        <v>6984</v>
      </c>
      <c r="DTI14" t="s">
        <v>6984</v>
      </c>
      <c r="DTJ14" t="s">
        <v>6984</v>
      </c>
      <c r="DTK14" t="s">
        <v>6984</v>
      </c>
      <c r="DTL14" t="s">
        <v>6984</v>
      </c>
      <c r="DTM14" t="s">
        <v>6984</v>
      </c>
      <c r="DTN14" t="s">
        <v>6984</v>
      </c>
      <c r="DTO14" t="s">
        <v>6984</v>
      </c>
      <c r="DTP14" t="s">
        <v>6984</v>
      </c>
      <c r="DTQ14" t="s">
        <v>6984</v>
      </c>
      <c r="DTR14" t="s">
        <v>6984</v>
      </c>
      <c r="DTS14" t="s">
        <v>6984</v>
      </c>
      <c r="DTT14" t="s">
        <v>6984</v>
      </c>
      <c r="DTU14" t="s">
        <v>6984</v>
      </c>
      <c r="DTV14" t="s">
        <v>6984</v>
      </c>
      <c r="DTW14" t="s">
        <v>6984</v>
      </c>
      <c r="DTX14" t="s">
        <v>6984</v>
      </c>
      <c r="DTY14" t="s">
        <v>6984</v>
      </c>
      <c r="DTZ14" t="s">
        <v>6984</v>
      </c>
      <c r="DUA14" t="s">
        <v>6984</v>
      </c>
      <c r="DUB14" t="s">
        <v>6984</v>
      </c>
      <c r="DUC14" t="s">
        <v>6984</v>
      </c>
      <c r="DUD14" t="s">
        <v>6984</v>
      </c>
      <c r="DUE14" t="s">
        <v>6984</v>
      </c>
      <c r="DUF14" t="s">
        <v>6984</v>
      </c>
      <c r="DUG14" t="s">
        <v>6984</v>
      </c>
      <c r="DUH14" t="s">
        <v>6984</v>
      </c>
      <c r="DUI14" t="s">
        <v>6984</v>
      </c>
      <c r="DUJ14" t="s">
        <v>6984</v>
      </c>
      <c r="DUK14" t="s">
        <v>6984</v>
      </c>
      <c r="DUL14" t="s">
        <v>6984</v>
      </c>
      <c r="DUM14" t="s">
        <v>6984</v>
      </c>
      <c r="DUN14" t="s">
        <v>6984</v>
      </c>
      <c r="DUO14" t="s">
        <v>6984</v>
      </c>
      <c r="DUP14" t="s">
        <v>6984</v>
      </c>
      <c r="DUQ14" t="s">
        <v>6984</v>
      </c>
      <c r="DUR14" t="s">
        <v>6984</v>
      </c>
      <c r="DUS14" t="s">
        <v>6984</v>
      </c>
      <c r="DUT14" t="s">
        <v>6984</v>
      </c>
      <c r="DUU14" t="s">
        <v>6984</v>
      </c>
      <c r="DUV14" t="s">
        <v>6984</v>
      </c>
      <c r="DUW14" t="s">
        <v>6984</v>
      </c>
      <c r="DUX14" t="s">
        <v>6984</v>
      </c>
      <c r="DUY14" t="s">
        <v>6984</v>
      </c>
      <c r="DUZ14" t="s">
        <v>6984</v>
      </c>
      <c r="DVA14" t="s">
        <v>6984</v>
      </c>
      <c r="DVB14" t="s">
        <v>6984</v>
      </c>
      <c r="DVC14" t="s">
        <v>6984</v>
      </c>
      <c r="DVD14" t="s">
        <v>6984</v>
      </c>
      <c r="DVE14" t="s">
        <v>6984</v>
      </c>
      <c r="DVF14" t="s">
        <v>6984</v>
      </c>
      <c r="DVG14" t="s">
        <v>6984</v>
      </c>
      <c r="DVH14" t="s">
        <v>6984</v>
      </c>
      <c r="DVI14" t="s">
        <v>6984</v>
      </c>
      <c r="DVJ14" t="s">
        <v>6984</v>
      </c>
      <c r="DVK14" t="s">
        <v>6984</v>
      </c>
      <c r="DVL14" t="s">
        <v>6984</v>
      </c>
      <c r="DVM14" t="s">
        <v>6984</v>
      </c>
      <c r="DVN14" t="s">
        <v>6984</v>
      </c>
      <c r="DVO14" t="s">
        <v>6984</v>
      </c>
      <c r="DVP14" t="s">
        <v>6984</v>
      </c>
      <c r="DVQ14" t="s">
        <v>6984</v>
      </c>
      <c r="DVR14" t="s">
        <v>6984</v>
      </c>
      <c r="DVS14" t="s">
        <v>6984</v>
      </c>
      <c r="DVT14" t="s">
        <v>6984</v>
      </c>
      <c r="DVU14" t="s">
        <v>6984</v>
      </c>
      <c r="DVV14" t="s">
        <v>6984</v>
      </c>
      <c r="DVW14" t="s">
        <v>6984</v>
      </c>
      <c r="DVX14" t="s">
        <v>6984</v>
      </c>
      <c r="DVY14" t="s">
        <v>6984</v>
      </c>
      <c r="DVZ14" t="s">
        <v>6984</v>
      </c>
      <c r="DWA14" t="s">
        <v>6984</v>
      </c>
      <c r="DWB14" t="s">
        <v>6984</v>
      </c>
      <c r="DWC14" t="s">
        <v>6984</v>
      </c>
      <c r="DWD14" t="s">
        <v>6984</v>
      </c>
      <c r="DWE14" t="s">
        <v>6984</v>
      </c>
      <c r="DWF14" t="s">
        <v>6984</v>
      </c>
      <c r="DWG14" t="s">
        <v>6984</v>
      </c>
      <c r="DWH14" t="s">
        <v>6984</v>
      </c>
      <c r="DWI14" t="s">
        <v>6984</v>
      </c>
      <c r="DWJ14" t="s">
        <v>6984</v>
      </c>
      <c r="DWK14" t="s">
        <v>6984</v>
      </c>
      <c r="DWL14" t="s">
        <v>6984</v>
      </c>
      <c r="DWM14" t="s">
        <v>6984</v>
      </c>
      <c r="DWN14" t="s">
        <v>6984</v>
      </c>
      <c r="DWO14" t="s">
        <v>6984</v>
      </c>
      <c r="DWP14" t="s">
        <v>6984</v>
      </c>
      <c r="DWQ14" t="s">
        <v>6984</v>
      </c>
      <c r="DWR14" t="s">
        <v>6984</v>
      </c>
      <c r="DWS14" t="s">
        <v>6984</v>
      </c>
      <c r="DWT14" t="s">
        <v>6984</v>
      </c>
      <c r="DWU14" t="s">
        <v>6984</v>
      </c>
      <c r="DWV14" t="s">
        <v>6984</v>
      </c>
      <c r="DWW14" t="s">
        <v>6984</v>
      </c>
      <c r="DWX14" t="s">
        <v>6984</v>
      </c>
      <c r="DWY14" t="s">
        <v>6984</v>
      </c>
      <c r="DWZ14" t="s">
        <v>6984</v>
      </c>
      <c r="DXA14" t="s">
        <v>6984</v>
      </c>
      <c r="DXB14" t="s">
        <v>6984</v>
      </c>
      <c r="DXC14" t="s">
        <v>6984</v>
      </c>
      <c r="DXD14" t="s">
        <v>6984</v>
      </c>
      <c r="DXE14" t="s">
        <v>6984</v>
      </c>
      <c r="DXF14" t="s">
        <v>6984</v>
      </c>
      <c r="DXG14" t="s">
        <v>6984</v>
      </c>
      <c r="DXH14" t="s">
        <v>6984</v>
      </c>
      <c r="DXI14" t="s">
        <v>6984</v>
      </c>
      <c r="DXJ14" t="s">
        <v>6984</v>
      </c>
      <c r="DXK14" t="s">
        <v>6984</v>
      </c>
      <c r="DXL14" t="s">
        <v>6984</v>
      </c>
      <c r="DXM14" t="s">
        <v>6984</v>
      </c>
      <c r="DXN14" t="s">
        <v>6984</v>
      </c>
      <c r="DXO14" t="s">
        <v>6984</v>
      </c>
      <c r="DXP14" t="s">
        <v>6984</v>
      </c>
      <c r="DXQ14" t="s">
        <v>6984</v>
      </c>
      <c r="DXR14" t="s">
        <v>6984</v>
      </c>
      <c r="DXS14" t="s">
        <v>6984</v>
      </c>
      <c r="DXT14" t="s">
        <v>6984</v>
      </c>
      <c r="DXU14" t="s">
        <v>6984</v>
      </c>
      <c r="DXV14" t="s">
        <v>6984</v>
      </c>
      <c r="DXW14" t="s">
        <v>6984</v>
      </c>
      <c r="DXX14" t="s">
        <v>6984</v>
      </c>
      <c r="DXY14" t="s">
        <v>6984</v>
      </c>
      <c r="DXZ14" t="s">
        <v>6984</v>
      </c>
      <c r="DYA14" t="s">
        <v>6984</v>
      </c>
      <c r="DYB14" t="s">
        <v>6984</v>
      </c>
      <c r="DYC14" t="s">
        <v>6984</v>
      </c>
      <c r="DYD14" t="s">
        <v>6984</v>
      </c>
      <c r="DYE14" t="s">
        <v>6984</v>
      </c>
      <c r="DYF14" t="s">
        <v>6984</v>
      </c>
      <c r="DYG14" t="s">
        <v>6984</v>
      </c>
      <c r="DYH14" t="s">
        <v>6984</v>
      </c>
      <c r="DYI14" t="s">
        <v>6984</v>
      </c>
      <c r="DYJ14" t="s">
        <v>6984</v>
      </c>
      <c r="DYK14" t="s">
        <v>6984</v>
      </c>
      <c r="DYL14" t="s">
        <v>6984</v>
      </c>
      <c r="DYM14" t="s">
        <v>6984</v>
      </c>
      <c r="DYN14" t="s">
        <v>6984</v>
      </c>
      <c r="DYO14" t="s">
        <v>6984</v>
      </c>
      <c r="DYP14" t="s">
        <v>6984</v>
      </c>
      <c r="DYQ14" t="s">
        <v>6984</v>
      </c>
      <c r="DYR14" t="s">
        <v>6984</v>
      </c>
      <c r="DYS14" t="s">
        <v>6984</v>
      </c>
      <c r="DYT14" t="s">
        <v>6984</v>
      </c>
      <c r="DYU14" t="s">
        <v>6984</v>
      </c>
      <c r="DYV14" t="s">
        <v>6984</v>
      </c>
      <c r="DYW14" t="s">
        <v>6984</v>
      </c>
      <c r="DYX14" t="s">
        <v>6984</v>
      </c>
      <c r="DYY14" t="s">
        <v>6984</v>
      </c>
      <c r="DYZ14" t="s">
        <v>6984</v>
      </c>
      <c r="DZA14" t="s">
        <v>6984</v>
      </c>
      <c r="DZB14" t="s">
        <v>6984</v>
      </c>
      <c r="DZC14" t="s">
        <v>6984</v>
      </c>
      <c r="DZD14" t="s">
        <v>6984</v>
      </c>
      <c r="DZE14" t="s">
        <v>6984</v>
      </c>
      <c r="DZF14" t="s">
        <v>6984</v>
      </c>
      <c r="DZG14" t="s">
        <v>6984</v>
      </c>
      <c r="DZH14" t="s">
        <v>6984</v>
      </c>
      <c r="DZI14" t="s">
        <v>6984</v>
      </c>
      <c r="DZJ14" t="s">
        <v>6984</v>
      </c>
      <c r="DZK14" t="s">
        <v>6984</v>
      </c>
      <c r="DZL14" t="s">
        <v>6984</v>
      </c>
      <c r="DZM14" t="s">
        <v>6984</v>
      </c>
      <c r="DZN14" t="s">
        <v>6984</v>
      </c>
      <c r="DZO14" t="s">
        <v>6984</v>
      </c>
      <c r="DZP14" t="s">
        <v>6984</v>
      </c>
      <c r="DZQ14" t="s">
        <v>6984</v>
      </c>
      <c r="DZR14" t="s">
        <v>6984</v>
      </c>
      <c r="DZS14" t="s">
        <v>6984</v>
      </c>
      <c r="DZT14" t="s">
        <v>6984</v>
      </c>
      <c r="DZU14" t="s">
        <v>6984</v>
      </c>
      <c r="DZV14" t="s">
        <v>6984</v>
      </c>
      <c r="DZW14" t="s">
        <v>6984</v>
      </c>
      <c r="DZX14" t="s">
        <v>6984</v>
      </c>
      <c r="DZY14" t="s">
        <v>6984</v>
      </c>
      <c r="DZZ14" t="s">
        <v>6984</v>
      </c>
      <c r="EAA14" t="s">
        <v>6984</v>
      </c>
      <c r="EAB14" t="s">
        <v>6984</v>
      </c>
      <c r="EAC14" t="s">
        <v>6984</v>
      </c>
      <c r="EAD14" t="s">
        <v>6984</v>
      </c>
      <c r="EAE14" t="s">
        <v>6984</v>
      </c>
      <c r="EAF14" t="s">
        <v>6984</v>
      </c>
      <c r="EAG14" t="s">
        <v>6984</v>
      </c>
      <c r="EAH14" t="s">
        <v>6984</v>
      </c>
      <c r="EAI14" t="s">
        <v>6984</v>
      </c>
      <c r="EAJ14" t="s">
        <v>6984</v>
      </c>
      <c r="EAK14" t="s">
        <v>6984</v>
      </c>
      <c r="EAL14" t="s">
        <v>6984</v>
      </c>
      <c r="EAM14" t="s">
        <v>6984</v>
      </c>
      <c r="EAN14" t="s">
        <v>6984</v>
      </c>
      <c r="EAO14" t="s">
        <v>6984</v>
      </c>
      <c r="EAP14" t="s">
        <v>6984</v>
      </c>
      <c r="EAQ14" t="s">
        <v>6984</v>
      </c>
      <c r="EAR14" t="s">
        <v>6984</v>
      </c>
      <c r="EAS14" t="s">
        <v>6984</v>
      </c>
      <c r="EAT14" t="s">
        <v>6984</v>
      </c>
      <c r="EAU14" t="s">
        <v>6984</v>
      </c>
      <c r="EAV14" t="s">
        <v>6984</v>
      </c>
      <c r="EAW14" t="s">
        <v>6984</v>
      </c>
      <c r="EAX14" t="s">
        <v>6984</v>
      </c>
      <c r="EAY14" t="s">
        <v>6984</v>
      </c>
      <c r="EAZ14" t="s">
        <v>6984</v>
      </c>
      <c r="EBA14" t="s">
        <v>6984</v>
      </c>
      <c r="EBB14" t="s">
        <v>6984</v>
      </c>
      <c r="EBC14" t="s">
        <v>6984</v>
      </c>
      <c r="EBD14" t="s">
        <v>6984</v>
      </c>
      <c r="EBE14" t="s">
        <v>6984</v>
      </c>
      <c r="EBF14" t="s">
        <v>6984</v>
      </c>
      <c r="EBG14" t="s">
        <v>6984</v>
      </c>
      <c r="EBH14" t="s">
        <v>6984</v>
      </c>
      <c r="EBI14" t="s">
        <v>6984</v>
      </c>
      <c r="EBJ14" t="s">
        <v>6984</v>
      </c>
      <c r="EBK14" t="s">
        <v>6984</v>
      </c>
      <c r="EBL14" t="s">
        <v>6984</v>
      </c>
      <c r="EBM14" t="s">
        <v>6984</v>
      </c>
      <c r="EBN14" t="s">
        <v>6984</v>
      </c>
      <c r="EBO14" t="s">
        <v>6984</v>
      </c>
      <c r="EBP14" t="s">
        <v>6984</v>
      </c>
      <c r="EBQ14" t="s">
        <v>6984</v>
      </c>
      <c r="EBR14" t="s">
        <v>6984</v>
      </c>
      <c r="EBS14" t="s">
        <v>6984</v>
      </c>
      <c r="EBT14" t="s">
        <v>6984</v>
      </c>
      <c r="EBU14" t="s">
        <v>6984</v>
      </c>
      <c r="EBV14" t="s">
        <v>6984</v>
      </c>
      <c r="EBW14" t="s">
        <v>6984</v>
      </c>
      <c r="EBX14" t="s">
        <v>6984</v>
      </c>
      <c r="EBY14" t="s">
        <v>6984</v>
      </c>
      <c r="EBZ14" t="s">
        <v>6984</v>
      </c>
      <c r="ECA14" t="s">
        <v>6984</v>
      </c>
      <c r="ECB14" t="s">
        <v>6984</v>
      </c>
      <c r="ECC14" t="s">
        <v>6984</v>
      </c>
      <c r="ECD14" t="s">
        <v>6984</v>
      </c>
      <c r="ECE14" t="s">
        <v>6984</v>
      </c>
      <c r="ECF14" t="s">
        <v>6984</v>
      </c>
      <c r="ECG14" t="s">
        <v>6984</v>
      </c>
      <c r="ECH14" t="s">
        <v>6984</v>
      </c>
      <c r="ECI14" t="s">
        <v>6984</v>
      </c>
      <c r="ECJ14" t="s">
        <v>6984</v>
      </c>
      <c r="ECK14" t="s">
        <v>6984</v>
      </c>
      <c r="ECL14" t="s">
        <v>6984</v>
      </c>
      <c r="ECM14" t="s">
        <v>6984</v>
      </c>
      <c r="ECN14" t="s">
        <v>6984</v>
      </c>
      <c r="ECO14" t="s">
        <v>6984</v>
      </c>
      <c r="ECP14" t="s">
        <v>6984</v>
      </c>
      <c r="ECQ14" t="s">
        <v>6984</v>
      </c>
      <c r="ECR14" t="s">
        <v>6984</v>
      </c>
      <c r="ECS14" t="s">
        <v>6984</v>
      </c>
      <c r="ECT14" t="s">
        <v>6984</v>
      </c>
      <c r="ECU14" t="s">
        <v>6984</v>
      </c>
      <c r="ECV14" t="s">
        <v>6984</v>
      </c>
      <c r="ECW14" t="s">
        <v>6984</v>
      </c>
      <c r="ECX14" t="s">
        <v>6984</v>
      </c>
      <c r="ECY14" t="s">
        <v>6984</v>
      </c>
      <c r="ECZ14" t="s">
        <v>6984</v>
      </c>
      <c r="EDA14" t="s">
        <v>6984</v>
      </c>
      <c r="EDB14" t="s">
        <v>6984</v>
      </c>
      <c r="EDC14" t="s">
        <v>6984</v>
      </c>
      <c r="EDD14" t="s">
        <v>6984</v>
      </c>
      <c r="EDE14" t="s">
        <v>6984</v>
      </c>
      <c r="EDF14" t="s">
        <v>6984</v>
      </c>
      <c r="EDG14" t="s">
        <v>6984</v>
      </c>
      <c r="EDH14" t="s">
        <v>6984</v>
      </c>
      <c r="EDI14" t="s">
        <v>6984</v>
      </c>
      <c r="EDJ14" t="s">
        <v>6984</v>
      </c>
      <c r="EDK14" t="s">
        <v>6984</v>
      </c>
      <c r="EDL14" t="s">
        <v>6984</v>
      </c>
      <c r="EDM14" t="s">
        <v>6984</v>
      </c>
      <c r="EDN14" t="s">
        <v>6984</v>
      </c>
      <c r="EDO14" t="s">
        <v>6984</v>
      </c>
      <c r="EDP14" t="s">
        <v>6984</v>
      </c>
      <c r="EDQ14" t="s">
        <v>6984</v>
      </c>
      <c r="EDR14" t="s">
        <v>6984</v>
      </c>
      <c r="EDS14" t="s">
        <v>6984</v>
      </c>
      <c r="EDT14" t="s">
        <v>6984</v>
      </c>
      <c r="EDU14" t="s">
        <v>6984</v>
      </c>
      <c r="EDV14" t="s">
        <v>6984</v>
      </c>
      <c r="EDW14" t="s">
        <v>6984</v>
      </c>
      <c r="EDX14" t="s">
        <v>6984</v>
      </c>
      <c r="EDY14" t="s">
        <v>6984</v>
      </c>
      <c r="EDZ14" t="s">
        <v>6984</v>
      </c>
      <c r="EEA14" t="s">
        <v>6984</v>
      </c>
      <c r="EEB14" t="s">
        <v>6984</v>
      </c>
      <c r="EEC14" t="s">
        <v>6984</v>
      </c>
      <c r="EED14" t="s">
        <v>6984</v>
      </c>
      <c r="EEE14" t="s">
        <v>6984</v>
      </c>
      <c r="EEF14" t="s">
        <v>6984</v>
      </c>
      <c r="EEG14" t="s">
        <v>6984</v>
      </c>
      <c r="EEH14" t="s">
        <v>6984</v>
      </c>
      <c r="EEI14" t="s">
        <v>6984</v>
      </c>
      <c r="EEJ14" t="s">
        <v>6984</v>
      </c>
      <c r="EEK14" t="s">
        <v>6984</v>
      </c>
      <c r="EEL14" t="s">
        <v>6984</v>
      </c>
      <c r="EEM14" t="s">
        <v>6984</v>
      </c>
      <c r="EEN14" t="s">
        <v>6984</v>
      </c>
      <c r="EEO14" t="s">
        <v>6984</v>
      </c>
      <c r="EEP14" t="s">
        <v>6984</v>
      </c>
      <c r="EEQ14" t="s">
        <v>6984</v>
      </c>
      <c r="EER14" t="s">
        <v>6984</v>
      </c>
      <c r="EES14" t="s">
        <v>6984</v>
      </c>
      <c r="EET14" t="s">
        <v>6984</v>
      </c>
      <c r="EEU14" t="s">
        <v>6984</v>
      </c>
      <c r="EEV14" t="s">
        <v>6984</v>
      </c>
      <c r="EEW14" t="s">
        <v>6984</v>
      </c>
      <c r="EEX14" t="s">
        <v>6984</v>
      </c>
      <c r="EEY14" t="s">
        <v>6984</v>
      </c>
      <c r="EEZ14" t="s">
        <v>6984</v>
      </c>
      <c r="EFA14" t="s">
        <v>6984</v>
      </c>
      <c r="EFB14" t="s">
        <v>6984</v>
      </c>
      <c r="EFC14" t="s">
        <v>6984</v>
      </c>
      <c r="EFD14" t="s">
        <v>6984</v>
      </c>
      <c r="EFE14" t="s">
        <v>6984</v>
      </c>
      <c r="EFF14" t="s">
        <v>6984</v>
      </c>
      <c r="EFG14" t="s">
        <v>6984</v>
      </c>
      <c r="EFH14" t="s">
        <v>6984</v>
      </c>
      <c r="EFI14" t="s">
        <v>6984</v>
      </c>
      <c r="EFJ14" t="s">
        <v>6984</v>
      </c>
      <c r="EFK14" t="s">
        <v>6984</v>
      </c>
      <c r="EFL14" t="s">
        <v>6984</v>
      </c>
      <c r="EFM14" t="s">
        <v>6984</v>
      </c>
      <c r="EFN14" t="s">
        <v>6984</v>
      </c>
      <c r="EFO14" t="s">
        <v>6984</v>
      </c>
      <c r="EFP14" t="s">
        <v>6984</v>
      </c>
      <c r="EFQ14" t="s">
        <v>6984</v>
      </c>
      <c r="EFR14" t="s">
        <v>6984</v>
      </c>
      <c r="EFS14" t="s">
        <v>6984</v>
      </c>
      <c r="EFT14" t="s">
        <v>6984</v>
      </c>
      <c r="EFU14" t="s">
        <v>6984</v>
      </c>
      <c r="EFV14" t="s">
        <v>6984</v>
      </c>
      <c r="EFW14" t="s">
        <v>6984</v>
      </c>
      <c r="EFX14" t="s">
        <v>6984</v>
      </c>
      <c r="EFY14" t="s">
        <v>6984</v>
      </c>
      <c r="EFZ14" t="s">
        <v>6984</v>
      </c>
      <c r="EGA14" t="s">
        <v>6984</v>
      </c>
      <c r="EGB14" t="s">
        <v>6984</v>
      </c>
      <c r="EGC14" t="s">
        <v>6984</v>
      </c>
      <c r="EGD14" t="s">
        <v>6984</v>
      </c>
      <c r="EGE14" t="s">
        <v>6984</v>
      </c>
      <c r="EGF14" t="s">
        <v>6984</v>
      </c>
      <c r="EGG14" t="s">
        <v>6984</v>
      </c>
      <c r="EGH14" t="s">
        <v>6984</v>
      </c>
      <c r="EGI14" t="s">
        <v>6984</v>
      </c>
      <c r="EGJ14" t="s">
        <v>6984</v>
      </c>
      <c r="EGK14" t="s">
        <v>6984</v>
      </c>
      <c r="EGL14" t="s">
        <v>6984</v>
      </c>
      <c r="EGM14" t="s">
        <v>6984</v>
      </c>
      <c r="EGN14" t="s">
        <v>6984</v>
      </c>
      <c r="EGO14" t="s">
        <v>6984</v>
      </c>
      <c r="EGP14" t="s">
        <v>6984</v>
      </c>
      <c r="EGQ14" t="s">
        <v>6984</v>
      </c>
      <c r="EGR14" t="s">
        <v>6984</v>
      </c>
      <c r="EGS14" t="s">
        <v>6984</v>
      </c>
      <c r="EGT14" t="s">
        <v>6984</v>
      </c>
      <c r="EGU14" t="s">
        <v>6984</v>
      </c>
      <c r="EGV14" t="s">
        <v>6984</v>
      </c>
      <c r="EGW14" t="s">
        <v>6984</v>
      </c>
      <c r="EGX14" t="s">
        <v>6984</v>
      </c>
      <c r="EGY14" t="s">
        <v>6984</v>
      </c>
      <c r="EGZ14" t="s">
        <v>6984</v>
      </c>
      <c r="EHA14" t="s">
        <v>6984</v>
      </c>
      <c r="EHB14" t="s">
        <v>6984</v>
      </c>
      <c r="EHC14" t="s">
        <v>6984</v>
      </c>
      <c r="EHD14" t="s">
        <v>6984</v>
      </c>
      <c r="EHE14" t="s">
        <v>6984</v>
      </c>
      <c r="EHF14" t="s">
        <v>6984</v>
      </c>
      <c r="EHG14" t="s">
        <v>6984</v>
      </c>
      <c r="EHH14" t="s">
        <v>6984</v>
      </c>
      <c r="EHI14" t="s">
        <v>6984</v>
      </c>
      <c r="EHJ14" t="s">
        <v>6984</v>
      </c>
      <c r="EHK14" t="s">
        <v>6984</v>
      </c>
      <c r="EHL14" t="s">
        <v>6984</v>
      </c>
      <c r="EHM14" t="s">
        <v>6984</v>
      </c>
      <c r="EHN14" t="s">
        <v>6984</v>
      </c>
      <c r="EHO14" t="s">
        <v>6984</v>
      </c>
      <c r="EHP14" t="s">
        <v>6984</v>
      </c>
      <c r="EHQ14" t="s">
        <v>6984</v>
      </c>
      <c r="EHR14" t="s">
        <v>6984</v>
      </c>
      <c r="EHS14" t="s">
        <v>6984</v>
      </c>
      <c r="EHT14" t="s">
        <v>6984</v>
      </c>
      <c r="EHU14" t="s">
        <v>6984</v>
      </c>
      <c r="EHV14" t="s">
        <v>6984</v>
      </c>
      <c r="EHW14" t="s">
        <v>6984</v>
      </c>
      <c r="EHX14" t="s">
        <v>6984</v>
      </c>
      <c r="EHY14" t="s">
        <v>6984</v>
      </c>
      <c r="EHZ14" t="s">
        <v>6984</v>
      </c>
      <c r="EIA14" t="s">
        <v>6984</v>
      </c>
      <c r="EIB14" t="s">
        <v>6984</v>
      </c>
      <c r="EIC14" t="s">
        <v>6984</v>
      </c>
      <c r="EID14" t="s">
        <v>6984</v>
      </c>
      <c r="EIE14" t="s">
        <v>6984</v>
      </c>
      <c r="EIF14" t="s">
        <v>6984</v>
      </c>
      <c r="EIG14" t="s">
        <v>6984</v>
      </c>
      <c r="EIH14" t="s">
        <v>6984</v>
      </c>
      <c r="EII14" t="s">
        <v>6984</v>
      </c>
      <c r="EIJ14" t="s">
        <v>6984</v>
      </c>
      <c r="EIK14" t="s">
        <v>6984</v>
      </c>
      <c r="EIL14" t="s">
        <v>6984</v>
      </c>
      <c r="EIM14" t="s">
        <v>6984</v>
      </c>
      <c r="EIN14" t="s">
        <v>6984</v>
      </c>
      <c r="EIO14" t="s">
        <v>6984</v>
      </c>
      <c r="EIP14" t="s">
        <v>6984</v>
      </c>
      <c r="EIQ14" t="s">
        <v>6984</v>
      </c>
      <c r="EIR14" t="s">
        <v>6984</v>
      </c>
      <c r="EIS14" t="s">
        <v>6984</v>
      </c>
      <c r="EIT14" t="s">
        <v>6984</v>
      </c>
      <c r="EIU14" t="s">
        <v>6984</v>
      </c>
      <c r="EIV14" t="s">
        <v>6984</v>
      </c>
      <c r="EIW14" t="s">
        <v>6984</v>
      </c>
      <c r="EIX14" t="s">
        <v>6984</v>
      </c>
      <c r="EIY14" t="s">
        <v>6984</v>
      </c>
      <c r="EIZ14" t="s">
        <v>6984</v>
      </c>
      <c r="EJA14" t="s">
        <v>6984</v>
      </c>
      <c r="EJB14" t="s">
        <v>6984</v>
      </c>
      <c r="EJC14" t="s">
        <v>6984</v>
      </c>
      <c r="EJD14" t="s">
        <v>6984</v>
      </c>
      <c r="EJE14" t="s">
        <v>6984</v>
      </c>
      <c r="EJF14" t="s">
        <v>6984</v>
      </c>
      <c r="EJG14" t="s">
        <v>6984</v>
      </c>
      <c r="EJH14" t="s">
        <v>6984</v>
      </c>
      <c r="EJI14" t="s">
        <v>6984</v>
      </c>
      <c r="EJJ14" t="s">
        <v>6984</v>
      </c>
      <c r="EJK14" t="s">
        <v>6984</v>
      </c>
      <c r="EJL14" t="s">
        <v>6984</v>
      </c>
      <c r="EJM14" t="s">
        <v>6984</v>
      </c>
      <c r="EJN14" t="s">
        <v>6984</v>
      </c>
      <c r="EJO14" t="s">
        <v>6984</v>
      </c>
      <c r="EJP14" t="s">
        <v>6984</v>
      </c>
      <c r="EJQ14" t="s">
        <v>6984</v>
      </c>
      <c r="EJR14" t="s">
        <v>6984</v>
      </c>
      <c r="EJS14" t="s">
        <v>6984</v>
      </c>
      <c r="EJT14" t="s">
        <v>6984</v>
      </c>
      <c r="EJU14" t="s">
        <v>6984</v>
      </c>
      <c r="EJV14" t="s">
        <v>6984</v>
      </c>
      <c r="EJW14" t="s">
        <v>6984</v>
      </c>
      <c r="EJX14" t="s">
        <v>6984</v>
      </c>
      <c r="EJY14" t="s">
        <v>6984</v>
      </c>
      <c r="EJZ14" t="s">
        <v>6984</v>
      </c>
      <c r="EKA14" t="s">
        <v>6984</v>
      </c>
      <c r="EKB14" t="s">
        <v>6984</v>
      </c>
      <c r="EKC14" t="s">
        <v>6984</v>
      </c>
      <c r="EKD14" t="s">
        <v>6984</v>
      </c>
      <c r="EKE14" t="s">
        <v>6984</v>
      </c>
      <c r="EKF14" t="s">
        <v>6984</v>
      </c>
      <c r="EKG14" t="s">
        <v>6984</v>
      </c>
      <c r="EKH14" t="s">
        <v>6984</v>
      </c>
      <c r="EKI14" t="s">
        <v>6984</v>
      </c>
      <c r="EKJ14" t="s">
        <v>6984</v>
      </c>
      <c r="EKK14" t="s">
        <v>6984</v>
      </c>
      <c r="EKL14" t="s">
        <v>6984</v>
      </c>
      <c r="EKM14" t="s">
        <v>6984</v>
      </c>
      <c r="EKN14" t="s">
        <v>6984</v>
      </c>
      <c r="EKO14" t="s">
        <v>6984</v>
      </c>
      <c r="EKP14" t="s">
        <v>6984</v>
      </c>
      <c r="EKQ14" t="s">
        <v>6984</v>
      </c>
      <c r="EKR14" t="s">
        <v>6984</v>
      </c>
      <c r="EKS14" t="s">
        <v>6984</v>
      </c>
      <c r="EKT14" t="s">
        <v>6984</v>
      </c>
      <c r="EKU14" t="s">
        <v>6984</v>
      </c>
      <c r="EKV14" t="s">
        <v>6984</v>
      </c>
      <c r="EKW14" t="s">
        <v>6984</v>
      </c>
      <c r="EKX14" t="s">
        <v>6984</v>
      </c>
      <c r="EKY14" t="s">
        <v>6984</v>
      </c>
      <c r="EKZ14" t="s">
        <v>6984</v>
      </c>
      <c r="ELA14" t="s">
        <v>6984</v>
      </c>
      <c r="ELB14" t="s">
        <v>6984</v>
      </c>
      <c r="ELC14" t="s">
        <v>6984</v>
      </c>
      <c r="ELD14" t="s">
        <v>6984</v>
      </c>
      <c r="ELE14" t="s">
        <v>6984</v>
      </c>
      <c r="ELF14" t="s">
        <v>6984</v>
      </c>
      <c r="ELG14" t="s">
        <v>6984</v>
      </c>
      <c r="ELH14" t="s">
        <v>6984</v>
      </c>
      <c r="ELI14" t="s">
        <v>6984</v>
      </c>
      <c r="ELJ14" t="s">
        <v>6984</v>
      </c>
      <c r="ELK14" t="s">
        <v>6984</v>
      </c>
      <c r="ELL14" t="s">
        <v>6984</v>
      </c>
      <c r="ELM14" t="s">
        <v>6984</v>
      </c>
      <c r="ELN14" t="s">
        <v>6984</v>
      </c>
      <c r="ELO14" t="s">
        <v>6984</v>
      </c>
      <c r="ELP14" t="s">
        <v>6984</v>
      </c>
      <c r="ELQ14" t="s">
        <v>6984</v>
      </c>
      <c r="ELR14" t="s">
        <v>6984</v>
      </c>
      <c r="ELS14" t="s">
        <v>6984</v>
      </c>
      <c r="ELT14" t="s">
        <v>6984</v>
      </c>
      <c r="ELU14" t="s">
        <v>6984</v>
      </c>
      <c r="ELV14" t="s">
        <v>6984</v>
      </c>
      <c r="ELW14" t="s">
        <v>6984</v>
      </c>
      <c r="ELX14" t="s">
        <v>6984</v>
      </c>
      <c r="ELY14" t="s">
        <v>6984</v>
      </c>
      <c r="ELZ14" t="s">
        <v>6984</v>
      </c>
      <c r="EMA14" t="s">
        <v>6984</v>
      </c>
      <c r="EMB14" t="s">
        <v>6984</v>
      </c>
      <c r="EMC14" t="s">
        <v>6984</v>
      </c>
      <c r="EMD14" t="s">
        <v>6984</v>
      </c>
      <c r="EME14" t="s">
        <v>6984</v>
      </c>
      <c r="EMF14" t="s">
        <v>6984</v>
      </c>
      <c r="EMG14" t="s">
        <v>6984</v>
      </c>
      <c r="EMH14" t="s">
        <v>6984</v>
      </c>
      <c r="EMI14" t="s">
        <v>6984</v>
      </c>
      <c r="EMJ14" t="s">
        <v>6984</v>
      </c>
      <c r="EMK14" t="s">
        <v>6984</v>
      </c>
      <c r="EML14" t="s">
        <v>6984</v>
      </c>
      <c r="EMM14" t="s">
        <v>6984</v>
      </c>
      <c r="EMN14" t="s">
        <v>6984</v>
      </c>
      <c r="EMO14" t="s">
        <v>6984</v>
      </c>
      <c r="EMP14" t="s">
        <v>6984</v>
      </c>
      <c r="EMQ14" t="s">
        <v>6984</v>
      </c>
      <c r="EMR14" t="s">
        <v>6984</v>
      </c>
      <c r="EMS14" t="s">
        <v>6984</v>
      </c>
      <c r="EMT14" t="s">
        <v>6984</v>
      </c>
      <c r="EMU14" t="s">
        <v>6984</v>
      </c>
      <c r="EMV14" t="s">
        <v>6984</v>
      </c>
      <c r="EMW14" t="s">
        <v>6984</v>
      </c>
      <c r="EMX14" t="s">
        <v>6984</v>
      </c>
      <c r="EMY14" t="s">
        <v>6984</v>
      </c>
      <c r="EMZ14" t="s">
        <v>6984</v>
      </c>
      <c r="ENA14" t="s">
        <v>6984</v>
      </c>
      <c r="ENB14" t="s">
        <v>6984</v>
      </c>
      <c r="ENC14" t="s">
        <v>6984</v>
      </c>
      <c r="END14" t="s">
        <v>6984</v>
      </c>
      <c r="ENE14" t="s">
        <v>6984</v>
      </c>
      <c r="ENF14" t="s">
        <v>6984</v>
      </c>
      <c r="ENG14" t="s">
        <v>6984</v>
      </c>
      <c r="ENH14" t="s">
        <v>6984</v>
      </c>
      <c r="ENI14" t="s">
        <v>6984</v>
      </c>
      <c r="ENJ14" t="s">
        <v>6984</v>
      </c>
      <c r="ENK14" t="s">
        <v>6984</v>
      </c>
      <c r="ENL14" t="s">
        <v>6984</v>
      </c>
      <c r="ENM14" t="s">
        <v>6984</v>
      </c>
      <c r="ENN14" t="s">
        <v>6984</v>
      </c>
      <c r="ENO14" t="s">
        <v>6984</v>
      </c>
      <c r="ENP14" t="s">
        <v>6984</v>
      </c>
      <c r="ENQ14" t="s">
        <v>6984</v>
      </c>
      <c r="ENR14" t="s">
        <v>6984</v>
      </c>
      <c r="ENS14" t="s">
        <v>6984</v>
      </c>
      <c r="ENT14" t="s">
        <v>6984</v>
      </c>
      <c r="ENU14" t="s">
        <v>6984</v>
      </c>
      <c r="ENV14" t="s">
        <v>6984</v>
      </c>
      <c r="ENW14" t="s">
        <v>6984</v>
      </c>
      <c r="ENX14" t="s">
        <v>6984</v>
      </c>
      <c r="ENY14" t="s">
        <v>6984</v>
      </c>
      <c r="ENZ14" t="s">
        <v>6984</v>
      </c>
      <c r="EOA14" t="s">
        <v>6984</v>
      </c>
      <c r="EOB14" t="s">
        <v>6984</v>
      </c>
      <c r="EOC14" t="s">
        <v>6984</v>
      </c>
      <c r="EOD14" t="s">
        <v>6984</v>
      </c>
      <c r="EOE14" t="s">
        <v>6984</v>
      </c>
      <c r="EOF14" t="s">
        <v>6984</v>
      </c>
      <c r="EOG14" t="s">
        <v>6984</v>
      </c>
      <c r="EOH14" t="s">
        <v>6984</v>
      </c>
      <c r="EOI14" t="s">
        <v>6984</v>
      </c>
      <c r="EOJ14" t="s">
        <v>6984</v>
      </c>
      <c r="EOK14" t="s">
        <v>6984</v>
      </c>
      <c r="EOL14" t="s">
        <v>6984</v>
      </c>
      <c r="EOM14" t="s">
        <v>6984</v>
      </c>
      <c r="EON14" t="s">
        <v>6984</v>
      </c>
      <c r="EOO14" t="s">
        <v>6984</v>
      </c>
      <c r="EOP14" t="s">
        <v>6984</v>
      </c>
      <c r="EOQ14" t="s">
        <v>6984</v>
      </c>
      <c r="EOR14" t="s">
        <v>6984</v>
      </c>
      <c r="EOS14" t="s">
        <v>6984</v>
      </c>
      <c r="EOT14" t="s">
        <v>6984</v>
      </c>
      <c r="EOU14" t="s">
        <v>6984</v>
      </c>
      <c r="EOV14" t="s">
        <v>6984</v>
      </c>
      <c r="EOW14" t="s">
        <v>6984</v>
      </c>
      <c r="EOX14" t="s">
        <v>6984</v>
      </c>
      <c r="EOY14" t="s">
        <v>6984</v>
      </c>
      <c r="EOZ14" t="s">
        <v>6984</v>
      </c>
      <c r="EPA14" t="s">
        <v>6984</v>
      </c>
      <c r="EPB14" t="s">
        <v>6984</v>
      </c>
      <c r="EPC14" t="s">
        <v>6984</v>
      </c>
      <c r="EPD14" t="s">
        <v>6984</v>
      </c>
      <c r="EPE14" t="s">
        <v>6984</v>
      </c>
      <c r="EPF14" t="s">
        <v>6984</v>
      </c>
      <c r="EPG14" t="s">
        <v>6984</v>
      </c>
      <c r="EPH14" t="s">
        <v>6984</v>
      </c>
      <c r="EPI14" t="s">
        <v>6984</v>
      </c>
      <c r="EPJ14" t="s">
        <v>6984</v>
      </c>
      <c r="EPK14" t="s">
        <v>6984</v>
      </c>
      <c r="EPL14" t="s">
        <v>6984</v>
      </c>
      <c r="EPM14" t="s">
        <v>6984</v>
      </c>
      <c r="EPN14" t="s">
        <v>6984</v>
      </c>
      <c r="EPO14" t="s">
        <v>6984</v>
      </c>
      <c r="EPP14" t="s">
        <v>6984</v>
      </c>
      <c r="EPQ14" t="s">
        <v>6984</v>
      </c>
      <c r="EPR14" t="s">
        <v>6984</v>
      </c>
      <c r="EPS14" t="s">
        <v>6984</v>
      </c>
      <c r="EPT14" t="s">
        <v>6984</v>
      </c>
      <c r="EPU14" t="s">
        <v>6984</v>
      </c>
      <c r="EPV14" t="s">
        <v>6984</v>
      </c>
      <c r="EPW14" t="s">
        <v>6984</v>
      </c>
      <c r="EPX14" t="s">
        <v>6984</v>
      </c>
      <c r="EPY14" t="s">
        <v>6984</v>
      </c>
      <c r="EPZ14" t="s">
        <v>6984</v>
      </c>
      <c r="EQA14" t="s">
        <v>6984</v>
      </c>
      <c r="EQB14" t="s">
        <v>6984</v>
      </c>
      <c r="EQC14" t="s">
        <v>6984</v>
      </c>
      <c r="EQD14" t="s">
        <v>6984</v>
      </c>
      <c r="EQE14" t="s">
        <v>6984</v>
      </c>
      <c r="EQF14" t="s">
        <v>6984</v>
      </c>
      <c r="EQG14" t="s">
        <v>6984</v>
      </c>
      <c r="EQH14" t="s">
        <v>6984</v>
      </c>
      <c r="EQI14" t="s">
        <v>6984</v>
      </c>
      <c r="EQJ14" t="s">
        <v>6984</v>
      </c>
      <c r="EQK14" t="s">
        <v>6984</v>
      </c>
      <c r="EQL14" t="s">
        <v>6984</v>
      </c>
      <c r="EQM14" t="s">
        <v>6984</v>
      </c>
      <c r="EQN14" t="s">
        <v>6984</v>
      </c>
      <c r="EQO14" t="s">
        <v>6984</v>
      </c>
      <c r="EQP14" t="s">
        <v>6984</v>
      </c>
      <c r="EQQ14" t="s">
        <v>6984</v>
      </c>
      <c r="EQR14" t="s">
        <v>6984</v>
      </c>
      <c r="EQS14" t="s">
        <v>6984</v>
      </c>
      <c r="EQT14" t="s">
        <v>6984</v>
      </c>
      <c r="EQU14" t="s">
        <v>6984</v>
      </c>
      <c r="EQV14" t="s">
        <v>6984</v>
      </c>
      <c r="EQW14" t="s">
        <v>6984</v>
      </c>
      <c r="EQX14" t="s">
        <v>6984</v>
      </c>
      <c r="EQY14" t="s">
        <v>6984</v>
      </c>
      <c r="EQZ14" t="s">
        <v>6984</v>
      </c>
      <c r="ERA14" t="s">
        <v>6984</v>
      </c>
      <c r="ERB14" t="s">
        <v>6984</v>
      </c>
      <c r="ERC14" t="s">
        <v>6984</v>
      </c>
      <c r="ERD14" t="s">
        <v>6984</v>
      </c>
      <c r="ERE14" t="s">
        <v>6984</v>
      </c>
      <c r="ERF14" t="s">
        <v>6984</v>
      </c>
      <c r="ERG14" t="s">
        <v>6984</v>
      </c>
      <c r="ERH14" t="s">
        <v>6984</v>
      </c>
      <c r="ERI14" t="s">
        <v>6984</v>
      </c>
      <c r="ERJ14" t="s">
        <v>6984</v>
      </c>
      <c r="ERK14" t="s">
        <v>6984</v>
      </c>
      <c r="ERL14" t="s">
        <v>6984</v>
      </c>
      <c r="ERM14" t="s">
        <v>6984</v>
      </c>
      <c r="ERN14" t="s">
        <v>6984</v>
      </c>
      <c r="ERO14" t="s">
        <v>6984</v>
      </c>
      <c r="ERP14" t="s">
        <v>6984</v>
      </c>
      <c r="ERQ14" t="s">
        <v>6984</v>
      </c>
      <c r="ERR14" t="s">
        <v>6984</v>
      </c>
      <c r="ERS14" t="s">
        <v>6984</v>
      </c>
      <c r="ERT14" t="s">
        <v>6984</v>
      </c>
      <c r="ERU14" t="s">
        <v>6984</v>
      </c>
      <c r="ERV14" t="s">
        <v>6984</v>
      </c>
      <c r="ERW14" t="s">
        <v>6984</v>
      </c>
      <c r="ERX14" t="s">
        <v>6984</v>
      </c>
      <c r="ERY14" t="s">
        <v>6984</v>
      </c>
      <c r="ERZ14" t="s">
        <v>6984</v>
      </c>
      <c r="ESA14" t="s">
        <v>6984</v>
      </c>
      <c r="ESB14" t="s">
        <v>6984</v>
      </c>
      <c r="ESC14" t="s">
        <v>6984</v>
      </c>
      <c r="ESD14" t="s">
        <v>6984</v>
      </c>
      <c r="ESE14" t="s">
        <v>6984</v>
      </c>
      <c r="ESF14" t="s">
        <v>6984</v>
      </c>
      <c r="ESG14" t="s">
        <v>6984</v>
      </c>
      <c r="ESH14" t="s">
        <v>6984</v>
      </c>
      <c r="ESI14" t="s">
        <v>6984</v>
      </c>
      <c r="ESJ14" t="s">
        <v>6984</v>
      </c>
      <c r="ESK14" t="s">
        <v>6984</v>
      </c>
      <c r="ESL14" t="s">
        <v>6984</v>
      </c>
      <c r="ESM14" t="s">
        <v>6984</v>
      </c>
      <c r="ESN14" t="s">
        <v>6984</v>
      </c>
      <c r="ESO14" t="s">
        <v>6984</v>
      </c>
      <c r="ESP14" t="s">
        <v>6984</v>
      </c>
      <c r="ESQ14" t="s">
        <v>6984</v>
      </c>
      <c r="ESR14" t="s">
        <v>6984</v>
      </c>
      <c r="ESS14" t="s">
        <v>6984</v>
      </c>
      <c r="EST14" t="s">
        <v>6984</v>
      </c>
      <c r="ESU14" t="s">
        <v>6984</v>
      </c>
      <c r="ESV14" t="s">
        <v>6984</v>
      </c>
      <c r="ESW14" t="s">
        <v>6984</v>
      </c>
      <c r="ESX14" t="s">
        <v>6984</v>
      </c>
      <c r="ESY14" t="s">
        <v>6984</v>
      </c>
      <c r="ESZ14" t="s">
        <v>6984</v>
      </c>
      <c r="ETA14" t="s">
        <v>6984</v>
      </c>
      <c r="ETB14" t="s">
        <v>6984</v>
      </c>
      <c r="ETC14" t="s">
        <v>6984</v>
      </c>
      <c r="ETD14" t="s">
        <v>6984</v>
      </c>
      <c r="ETE14" t="s">
        <v>6984</v>
      </c>
      <c r="ETF14" t="s">
        <v>6984</v>
      </c>
      <c r="ETG14" t="s">
        <v>6984</v>
      </c>
      <c r="ETH14" t="s">
        <v>6984</v>
      </c>
      <c r="ETI14" t="s">
        <v>6984</v>
      </c>
      <c r="ETJ14" t="s">
        <v>6984</v>
      </c>
      <c r="ETK14" t="s">
        <v>6984</v>
      </c>
      <c r="ETL14" t="s">
        <v>6984</v>
      </c>
      <c r="ETM14" t="s">
        <v>6984</v>
      </c>
      <c r="ETN14" t="s">
        <v>6984</v>
      </c>
      <c r="ETO14" t="s">
        <v>6984</v>
      </c>
      <c r="ETP14" t="s">
        <v>6984</v>
      </c>
      <c r="ETQ14" t="s">
        <v>6984</v>
      </c>
      <c r="ETR14" t="s">
        <v>6984</v>
      </c>
      <c r="ETS14" t="s">
        <v>6984</v>
      </c>
      <c r="ETT14" t="s">
        <v>6984</v>
      </c>
      <c r="ETU14" t="s">
        <v>6984</v>
      </c>
      <c r="ETV14" t="s">
        <v>6984</v>
      </c>
      <c r="ETW14" t="s">
        <v>6984</v>
      </c>
      <c r="ETX14" t="s">
        <v>6984</v>
      </c>
      <c r="ETY14" t="s">
        <v>6984</v>
      </c>
      <c r="ETZ14" t="s">
        <v>6984</v>
      </c>
      <c r="EUA14" t="s">
        <v>6984</v>
      </c>
      <c r="EUB14" t="s">
        <v>6984</v>
      </c>
      <c r="EUC14" t="s">
        <v>6984</v>
      </c>
      <c r="EUD14" t="s">
        <v>6984</v>
      </c>
      <c r="EUE14" t="s">
        <v>6984</v>
      </c>
      <c r="EUF14" t="s">
        <v>6984</v>
      </c>
      <c r="EUG14" t="s">
        <v>6984</v>
      </c>
      <c r="EUH14" t="s">
        <v>6984</v>
      </c>
      <c r="EUI14" t="s">
        <v>6984</v>
      </c>
      <c r="EUJ14" t="s">
        <v>6984</v>
      </c>
      <c r="EUK14" t="s">
        <v>6984</v>
      </c>
      <c r="EUL14" t="s">
        <v>6984</v>
      </c>
      <c r="EUM14" t="s">
        <v>6984</v>
      </c>
      <c r="EUN14" t="s">
        <v>6984</v>
      </c>
      <c r="EUO14" t="s">
        <v>6984</v>
      </c>
      <c r="EUP14" t="s">
        <v>6984</v>
      </c>
      <c r="EUQ14" t="s">
        <v>6984</v>
      </c>
      <c r="EUR14" t="s">
        <v>6984</v>
      </c>
      <c r="EUS14" t="s">
        <v>6984</v>
      </c>
      <c r="EUT14" t="s">
        <v>6984</v>
      </c>
      <c r="EUU14" t="s">
        <v>6984</v>
      </c>
      <c r="EUV14" t="s">
        <v>6984</v>
      </c>
      <c r="EUW14" t="s">
        <v>6984</v>
      </c>
      <c r="EUX14" t="s">
        <v>6984</v>
      </c>
      <c r="EUY14" t="s">
        <v>6984</v>
      </c>
      <c r="EUZ14" t="s">
        <v>6984</v>
      </c>
      <c r="EVA14" t="s">
        <v>6984</v>
      </c>
      <c r="EVB14" t="s">
        <v>6984</v>
      </c>
      <c r="EVC14" t="s">
        <v>6984</v>
      </c>
      <c r="EVD14" t="s">
        <v>6984</v>
      </c>
      <c r="EVE14" t="s">
        <v>6984</v>
      </c>
      <c r="EVF14" t="s">
        <v>6984</v>
      </c>
      <c r="EVG14" t="s">
        <v>6984</v>
      </c>
      <c r="EVH14" t="s">
        <v>6984</v>
      </c>
      <c r="EVI14" t="s">
        <v>6984</v>
      </c>
      <c r="EVJ14" t="s">
        <v>6984</v>
      </c>
      <c r="EVK14" t="s">
        <v>6984</v>
      </c>
      <c r="EVL14" t="s">
        <v>6984</v>
      </c>
      <c r="EVM14" t="s">
        <v>6984</v>
      </c>
      <c r="EVN14" t="s">
        <v>6984</v>
      </c>
      <c r="EVO14" t="s">
        <v>6984</v>
      </c>
      <c r="EVP14" t="s">
        <v>6984</v>
      </c>
      <c r="EVQ14" t="s">
        <v>6984</v>
      </c>
      <c r="EVR14" t="s">
        <v>6984</v>
      </c>
      <c r="EVS14" t="s">
        <v>6984</v>
      </c>
      <c r="EVT14" t="s">
        <v>6984</v>
      </c>
      <c r="EVU14" t="s">
        <v>6984</v>
      </c>
      <c r="EVV14" t="s">
        <v>6984</v>
      </c>
      <c r="EVW14" t="s">
        <v>6984</v>
      </c>
      <c r="EVX14" t="s">
        <v>6984</v>
      </c>
      <c r="EVY14" t="s">
        <v>6984</v>
      </c>
      <c r="EVZ14" t="s">
        <v>6984</v>
      </c>
      <c r="EWA14" t="s">
        <v>6984</v>
      </c>
      <c r="EWB14" t="s">
        <v>6984</v>
      </c>
      <c r="EWC14" t="s">
        <v>6984</v>
      </c>
      <c r="EWD14" t="s">
        <v>6984</v>
      </c>
      <c r="EWE14" t="s">
        <v>6984</v>
      </c>
      <c r="EWF14" t="s">
        <v>6984</v>
      </c>
      <c r="EWG14" t="s">
        <v>6984</v>
      </c>
      <c r="EWH14" t="s">
        <v>6984</v>
      </c>
      <c r="EWI14" t="s">
        <v>6984</v>
      </c>
      <c r="EWJ14" t="s">
        <v>6984</v>
      </c>
      <c r="EWK14" t="s">
        <v>6984</v>
      </c>
      <c r="EWL14" t="s">
        <v>6984</v>
      </c>
      <c r="EWM14" t="s">
        <v>6984</v>
      </c>
      <c r="EWN14" t="s">
        <v>6984</v>
      </c>
      <c r="EWO14" t="s">
        <v>6984</v>
      </c>
      <c r="EWP14" t="s">
        <v>6984</v>
      </c>
      <c r="EWQ14" t="s">
        <v>6984</v>
      </c>
      <c r="EWR14" t="s">
        <v>6984</v>
      </c>
      <c r="EWS14" t="s">
        <v>6984</v>
      </c>
      <c r="EWT14" t="s">
        <v>6984</v>
      </c>
      <c r="EWU14" t="s">
        <v>6984</v>
      </c>
      <c r="EWV14" t="s">
        <v>6984</v>
      </c>
      <c r="EWW14" t="s">
        <v>6984</v>
      </c>
      <c r="EWX14" t="s">
        <v>6984</v>
      </c>
      <c r="EWY14" t="s">
        <v>6984</v>
      </c>
      <c r="EWZ14" t="s">
        <v>6984</v>
      </c>
      <c r="EXA14" t="s">
        <v>6984</v>
      </c>
      <c r="EXB14" t="s">
        <v>6984</v>
      </c>
      <c r="EXC14" t="s">
        <v>6984</v>
      </c>
      <c r="EXD14" t="s">
        <v>6984</v>
      </c>
      <c r="EXE14" t="s">
        <v>6984</v>
      </c>
      <c r="EXF14" t="s">
        <v>6984</v>
      </c>
      <c r="EXG14" t="s">
        <v>6984</v>
      </c>
      <c r="EXH14" t="s">
        <v>6984</v>
      </c>
      <c r="EXI14" t="s">
        <v>6984</v>
      </c>
      <c r="EXJ14" t="s">
        <v>6984</v>
      </c>
      <c r="EXK14" t="s">
        <v>6984</v>
      </c>
      <c r="EXL14" t="s">
        <v>6984</v>
      </c>
      <c r="EXM14" t="s">
        <v>6984</v>
      </c>
      <c r="EXN14" t="s">
        <v>6984</v>
      </c>
      <c r="EXO14" t="s">
        <v>6984</v>
      </c>
      <c r="EXP14" t="s">
        <v>6984</v>
      </c>
      <c r="EXQ14" t="s">
        <v>6984</v>
      </c>
      <c r="EXR14" t="s">
        <v>6984</v>
      </c>
      <c r="EXS14" t="s">
        <v>6984</v>
      </c>
      <c r="EXT14" t="s">
        <v>6984</v>
      </c>
      <c r="EXU14" t="s">
        <v>6984</v>
      </c>
      <c r="EXV14" t="s">
        <v>6984</v>
      </c>
      <c r="EXW14" t="s">
        <v>6984</v>
      </c>
      <c r="EXX14" t="s">
        <v>6984</v>
      </c>
      <c r="EXY14" t="s">
        <v>6984</v>
      </c>
      <c r="EXZ14" t="s">
        <v>6984</v>
      </c>
      <c r="EYA14" t="s">
        <v>6984</v>
      </c>
      <c r="EYB14" t="s">
        <v>6984</v>
      </c>
      <c r="EYC14" t="s">
        <v>6984</v>
      </c>
      <c r="EYD14" t="s">
        <v>6984</v>
      </c>
      <c r="EYE14" t="s">
        <v>6984</v>
      </c>
      <c r="EYF14" t="s">
        <v>6984</v>
      </c>
      <c r="EYG14" t="s">
        <v>6984</v>
      </c>
      <c r="EYH14" t="s">
        <v>6984</v>
      </c>
      <c r="EYI14" t="s">
        <v>6984</v>
      </c>
      <c r="EYJ14" t="s">
        <v>6984</v>
      </c>
      <c r="EYK14" t="s">
        <v>6984</v>
      </c>
      <c r="EYL14" t="s">
        <v>6984</v>
      </c>
      <c r="EYM14" t="s">
        <v>6984</v>
      </c>
      <c r="EYN14" t="s">
        <v>6984</v>
      </c>
      <c r="EYO14" t="s">
        <v>6984</v>
      </c>
      <c r="EYP14" t="s">
        <v>6984</v>
      </c>
      <c r="EYQ14" t="s">
        <v>6984</v>
      </c>
      <c r="EYR14" t="s">
        <v>6984</v>
      </c>
      <c r="EYS14" t="s">
        <v>6984</v>
      </c>
      <c r="EYT14" t="s">
        <v>6984</v>
      </c>
      <c r="EYU14" t="s">
        <v>6984</v>
      </c>
      <c r="EYV14" t="s">
        <v>6984</v>
      </c>
      <c r="EYW14" t="s">
        <v>6984</v>
      </c>
      <c r="EYX14" t="s">
        <v>6984</v>
      </c>
      <c r="EYY14" t="s">
        <v>6984</v>
      </c>
      <c r="EYZ14" t="s">
        <v>6984</v>
      </c>
      <c r="EZA14" t="s">
        <v>6984</v>
      </c>
      <c r="EZB14" t="s">
        <v>6984</v>
      </c>
      <c r="EZC14" t="s">
        <v>6984</v>
      </c>
      <c r="EZD14" t="s">
        <v>6984</v>
      </c>
      <c r="EZE14" t="s">
        <v>6984</v>
      </c>
      <c r="EZF14" t="s">
        <v>6984</v>
      </c>
      <c r="EZG14" t="s">
        <v>6984</v>
      </c>
      <c r="EZH14" t="s">
        <v>6984</v>
      </c>
      <c r="EZI14" t="s">
        <v>6984</v>
      </c>
      <c r="EZJ14" t="s">
        <v>6984</v>
      </c>
      <c r="EZK14" t="s">
        <v>6984</v>
      </c>
      <c r="EZL14" t="s">
        <v>6984</v>
      </c>
      <c r="EZM14" t="s">
        <v>6984</v>
      </c>
      <c r="EZN14" t="s">
        <v>6984</v>
      </c>
      <c r="EZO14" t="s">
        <v>6984</v>
      </c>
      <c r="EZP14" t="s">
        <v>6984</v>
      </c>
      <c r="EZQ14" t="s">
        <v>6984</v>
      </c>
      <c r="EZR14" t="s">
        <v>6984</v>
      </c>
      <c r="EZS14" t="s">
        <v>6984</v>
      </c>
      <c r="EZT14" t="s">
        <v>6984</v>
      </c>
      <c r="EZU14" t="s">
        <v>6984</v>
      </c>
      <c r="EZV14" t="s">
        <v>6984</v>
      </c>
      <c r="EZW14" t="s">
        <v>6984</v>
      </c>
      <c r="EZX14" t="s">
        <v>6984</v>
      </c>
      <c r="EZY14" t="s">
        <v>6984</v>
      </c>
      <c r="EZZ14" t="s">
        <v>6984</v>
      </c>
      <c r="FAA14" t="s">
        <v>6984</v>
      </c>
      <c r="FAB14" t="s">
        <v>6984</v>
      </c>
      <c r="FAC14" t="s">
        <v>6984</v>
      </c>
      <c r="FAD14" t="s">
        <v>6984</v>
      </c>
      <c r="FAE14" t="s">
        <v>6984</v>
      </c>
      <c r="FAF14" t="s">
        <v>6984</v>
      </c>
      <c r="FAG14" t="s">
        <v>6984</v>
      </c>
      <c r="FAH14" t="s">
        <v>6984</v>
      </c>
      <c r="FAI14" t="s">
        <v>6984</v>
      </c>
      <c r="FAJ14" t="s">
        <v>6984</v>
      </c>
      <c r="FAK14" t="s">
        <v>6984</v>
      </c>
      <c r="FAL14" t="s">
        <v>6984</v>
      </c>
      <c r="FAM14" t="s">
        <v>6984</v>
      </c>
      <c r="FAN14" t="s">
        <v>6984</v>
      </c>
      <c r="FAO14" t="s">
        <v>6984</v>
      </c>
      <c r="FAP14" t="s">
        <v>6984</v>
      </c>
      <c r="FAQ14" t="s">
        <v>6984</v>
      </c>
      <c r="FAR14" t="s">
        <v>6984</v>
      </c>
      <c r="FAS14" t="s">
        <v>6984</v>
      </c>
      <c r="FAT14" t="s">
        <v>6984</v>
      </c>
      <c r="FAU14" t="s">
        <v>6984</v>
      </c>
      <c r="FAV14" t="s">
        <v>6984</v>
      </c>
      <c r="FAW14" t="s">
        <v>6984</v>
      </c>
      <c r="FAX14" t="s">
        <v>6984</v>
      </c>
      <c r="FAY14" t="s">
        <v>6984</v>
      </c>
      <c r="FAZ14" t="s">
        <v>6984</v>
      </c>
      <c r="FBA14" t="s">
        <v>6984</v>
      </c>
      <c r="FBB14" t="s">
        <v>6984</v>
      </c>
      <c r="FBC14" t="s">
        <v>6984</v>
      </c>
      <c r="FBD14" t="s">
        <v>6984</v>
      </c>
      <c r="FBE14" t="s">
        <v>6984</v>
      </c>
      <c r="FBF14" t="s">
        <v>6984</v>
      </c>
      <c r="FBG14" t="s">
        <v>6984</v>
      </c>
      <c r="FBH14" t="s">
        <v>6984</v>
      </c>
      <c r="FBI14" t="s">
        <v>6984</v>
      </c>
      <c r="FBJ14" t="s">
        <v>6984</v>
      </c>
      <c r="FBK14" t="s">
        <v>6984</v>
      </c>
      <c r="FBL14" t="s">
        <v>6984</v>
      </c>
      <c r="FBM14" t="s">
        <v>6984</v>
      </c>
      <c r="FBN14" t="s">
        <v>6984</v>
      </c>
      <c r="FBO14" t="s">
        <v>6984</v>
      </c>
      <c r="FBP14" t="s">
        <v>6984</v>
      </c>
      <c r="FBQ14" t="s">
        <v>6984</v>
      </c>
      <c r="FBR14" t="s">
        <v>6984</v>
      </c>
      <c r="FBS14" t="s">
        <v>6984</v>
      </c>
      <c r="FBT14" t="s">
        <v>6984</v>
      </c>
      <c r="FBU14" t="s">
        <v>6984</v>
      </c>
      <c r="FBV14" t="s">
        <v>6984</v>
      </c>
      <c r="FBW14" t="s">
        <v>6984</v>
      </c>
      <c r="FBX14" t="s">
        <v>6984</v>
      </c>
      <c r="FBY14" t="s">
        <v>6984</v>
      </c>
      <c r="FBZ14" t="s">
        <v>6984</v>
      </c>
      <c r="FCA14" t="s">
        <v>6984</v>
      </c>
      <c r="FCB14" t="s">
        <v>6984</v>
      </c>
      <c r="FCC14" t="s">
        <v>6984</v>
      </c>
      <c r="FCD14" t="s">
        <v>6984</v>
      </c>
      <c r="FCE14" t="s">
        <v>6984</v>
      </c>
      <c r="FCF14" t="s">
        <v>6984</v>
      </c>
      <c r="FCG14" t="s">
        <v>6984</v>
      </c>
      <c r="FCH14" t="s">
        <v>6984</v>
      </c>
      <c r="FCI14" t="s">
        <v>6984</v>
      </c>
      <c r="FCJ14" t="s">
        <v>6984</v>
      </c>
      <c r="FCK14" t="s">
        <v>6984</v>
      </c>
      <c r="FCL14" t="s">
        <v>6984</v>
      </c>
      <c r="FCM14" t="s">
        <v>6984</v>
      </c>
      <c r="FCN14" t="s">
        <v>6984</v>
      </c>
      <c r="FCO14" t="s">
        <v>6984</v>
      </c>
      <c r="FCP14" t="s">
        <v>6984</v>
      </c>
      <c r="FCQ14" t="s">
        <v>6984</v>
      </c>
      <c r="FCR14" t="s">
        <v>6984</v>
      </c>
      <c r="FCS14" t="s">
        <v>6984</v>
      </c>
      <c r="FCT14" t="s">
        <v>6984</v>
      </c>
      <c r="FCU14" t="s">
        <v>6984</v>
      </c>
      <c r="FCV14" t="s">
        <v>6984</v>
      </c>
      <c r="FCW14" t="s">
        <v>6984</v>
      </c>
      <c r="FCX14" t="s">
        <v>6984</v>
      </c>
      <c r="FCY14" t="s">
        <v>6984</v>
      </c>
      <c r="FCZ14" t="s">
        <v>6984</v>
      </c>
      <c r="FDA14" t="s">
        <v>6984</v>
      </c>
      <c r="FDB14" t="s">
        <v>6984</v>
      </c>
      <c r="FDC14" t="s">
        <v>6984</v>
      </c>
      <c r="FDD14" t="s">
        <v>6984</v>
      </c>
      <c r="FDE14" t="s">
        <v>6984</v>
      </c>
      <c r="FDF14" t="s">
        <v>6984</v>
      </c>
      <c r="FDG14" t="s">
        <v>6984</v>
      </c>
      <c r="FDH14" t="s">
        <v>6984</v>
      </c>
      <c r="FDI14" t="s">
        <v>6984</v>
      </c>
      <c r="FDJ14" t="s">
        <v>6984</v>
      </c>
      <c r="FDK14" t="s">
        <v>6984</v>
      </c>
      <c r="FDL14" t="s">
        <v>6984</v>
      </c>
      <c r="FDM14" t="s">
        <v>6984</v>
      </c>
      <c r="FDN14" t="s">
        <v>6984</v>
      </c>
      <c r="FDO14" t="s">
        <v>6984</v>
      </c>
      <c r="FDP14" t="s">
        <v>6984</v>
      </c>
      <c r="FDQ14" t="s">
        <v>6984</v>
      </c>
      <c r="FDR14" t="s">
        <v>6984</v>
      </c>
      <c r="FDS14" t="s">
        <v>6984</v>
      </c>
      <c r="FDT14" t="s">
        <v>6984</v>
      </c>
      <c r="FDU14" t="s">
        <v>6984</v>
      </c>
      <c r="FDV14" t="s">
        <v>6984</v>
      </c>
      <c r="FDW14" t="s">
        <v>6984</v>
      </c>
      <c r="FDX14" t="s">
        <v>6984</v>
      </c>
      <c r="FDY14" t="s">
        <v>6984</v>
      </c>
      <c r="FDZ14" t="s">
        <v>6984</v>
      </c>
      <c r="FEA14" t="s">
        <v>6984</v>
      </c>
      <c r="FEB14" t="s">
        <v>6984</v>
      </c>
      <c r="FEC14" t="s">
        <v>6984</v>
      </c>
      <c r="FED14" t="s">
        <v>6984</v>
      </c>
      <c r="FEE14" t="s">
        <v>6984</v>
      </c>
      <c r="FEF14" t="s">
        <v>6984</v>
      </c>
      <c r="FEG14" t="s">
        <v>6984</v>
      </c>
      <c r="FEH14" t="s">
        <v>6984</v>
      </c>
      <c r="FEI14" t="s">
        <v>6984</v>
      </c>
      <c r="FEJ14" t="s">
        <v>6984</v>
      </c>
      <c r="FEK14" t="s">
        <v>6984</v>
      </c>
      <c r="FEL14" t="s">
        <v>6984</v>
      </c>
      <c r="FEM14" t="s">
        <v>6984</v>
      </c>
      <c r="FEN14" t="s">
        <v>6984</v>
      </c>
      <c r="FEO14" t="s">
        <v>6984</v>
      </c>
      <c r="FEP14" t="s">
        <v>6984</v>
      </c>
      <c r="FEQ14" t="s">
        <v>6984</v>
      </c>
      <c r="FER14" t="s">
        <v>6984</v>
      </c>
      <c r="FES14" t="s">
        <v>6984</v>
      </c>
      <c r="FET14" t="s">
        <v>6984</v>
      </c>
      <c r="FEU14" t="s">
        <v>6984</v>
      </c>
      <c r="FEV14" t="s">
        <v>6984</v>
      </c>
      <c r="FEW14" t="s">
        <v>6984</v>
      </c>
      <c r="FEX14" t="s">
        <v>6984</v>
      </c>
      <c r="FEY14" t="s">
        <v>6984</v>
      </c>
      <c r="FEZ14" t="s">
        <v>6984</v>
      </c>
      <c r="FFA14" t="s">
        <v>6984</v>
      </c>
      <c r="FFB14" t="s">
        <v>6984</v>
      </c>
      <c r="FFC14" t="s">
        <v>6984</v>
      </c>
      <c r="FFD14" t="s">
        <v>6984</v>
      </c>
      <c r="FFE14" t="s">
        <v>6984</v>
      </c>
      <c r="FFF14" t="s">
        <v>6984</v>
      </c>
      <c r="FFG14" t="s">
        <v>6984</v>
      </c>
      <c r="FFH14" t="s">
        <v>6984</v>
      </c>
      <c r="FFI14" t="s">
        <v>6984</v>
      </c>
      <c r="FFJ14" t="s">
        <v>6984</v>
      </c>
      <c r="FFK14" t="s">
        <v>6984</v>
      </c>
      <c r="FFL14" t="s">
        <v>6984</v>
      </c>
      <c r="FFM14" t="s">
        <v>6984</v>
      </c>
      <c r="FFN14" t="s">
        <v>6984</v>
      </c>
      <c r="FFO14" t="s">
        <v>6984</v>
      </c>
      <c r="FFP14" t="s">
        <v>6984</v>
      </c>
      <c r="FFQ14" t="s">
        <v>6984</v>
      </c>
      <c r="FFR14" t="s">
        <v>6984</v>
      </c>
      <c r="FFS14" t="s">
        <v>6984</v>
      </c>
      <c r="FFT14" t="s">
        <v>6984</v>
      </c>
      <c r="FFU14" t="s">
        <v>6984</v>
      </c>
      <c r="FFV14" t="s">
        <v>6984</v>
      </c>
      <c r="FFW14" t="s">
        <v>6984</v>
      </c>
      <c r="FFX14" t="s">
        <v>6984</v>
      </c>
      <c r="FFY14" t="s">
        <v>6984</v>
      </c>
      <c r="FFZ14" t="s">
        <v>6984</v>
      </c>
      <c r="FGA14" t="s">
        <v>6984</v>
      </c>
      <c r="FGB14" t="s">
        <v>6984</v>
      </c>
      <c r="FGC14" t="s">
        <v>6984</v>
      </c>
      <c r="FGD14" t="s">
        <v>6984</v>
      </c>
      <c r="FGE14" t="s">
        <v>6984</v>
      </c>
      <c r="FGF14" t="s">
        <v>6984</v>
      </c>
      <c r="FGG14" t="s">
        <v>6984</v>
      </c>
      <c r="FGH14" t="s">
        <v>6984</v>
      </c>
      <c r="FGI14" t="s">
        <v>6984</v>
      </c>
      <c r="FGJ14" t="s">
        <v>6984</v>
      </c>
      <c r="FGK14" t="s">
        <v>6984</v>
      </c>
      <c r="FGL14" t="s">
        <v>6984</v>
      </c>
      <c r="FGM14" t="s">
        <v>6984</v>
      </c>
      <c r="FGN14" t="s">
        <v>6984</v>
      </c>
      <c r="FGO14" t="s">
        <v>6984</v>
      </c>
      <c r="FGP14" t="s">
        <v>6984</v>
      </c>
      <c r="FGQ14" t="s">
        <v>6984</v>
      </c>
      <c r="FGR14" t="s">
        <v>6984</v>
      </c>
      <c r="FGS14" t="s">
        <v>6984</v>
      </c>
      <c r="FGT14" t="s">
        <v>6984</v>
      </c>
      <c r="FGU14" t="s">
        <v>6984</v>
      </c>
      <c r="FGV14" t="s">
        <v>6984</v>
      </c>
      <c r="FGW14" t="s">
        <v>6984</v>
      </c>
      <c r="FGX14" t="s">
        <v>6984</v>
      </c>
      <c r="FGY14" t="s">
        <v>6984</v>
      </c>
      <c r="FGZ14" t="s">
        <v>6984</v>
      </c>
      <c r="FHA14" t="s">
        <v>6984</v>
      </c>
      <c r="FHB14" t="s">
        <v>6984</v>
      </c>
      <c r="FHC14" t="s">
        <v>6984</v>
      </c>
      <c r="FHD14" t="s">
        <v>6984</v>
      </c>
      <c r="FHE14" t="s">
        <v>6984</v>
      </c>
      <c r="FHF14" t="s">
        <v>6984</v>
      </c>
      <c r="FHG14" t="s">
        <v>6984</v>
      </c>
      <c r="FHH14" t="s">
        <v>6984</v>
      </c>
      <c r="FHI14" t="s">
        <v>6984</v>
      </c>
      <c r="FHJ14" t="s">
        <v>6984</v>
      </c>
      <c r="FHK14" t="s">
        <v>6984</v>
      </c>
      <c r="FHL14" t="s">
        <v>6984</v>
      </c>
      <c r="FHM14" t="s">
        <v>6984</v>
      </c>
      <c r="FHN14" t="s">
        <v>6984</v>
      </c>
      <c r="FHO14" t="s">
        <v>6984</v>
      </c>
      <c r="FHP14" t="s">
        <v>6984</v>
      </c>
      <c r="FHQ14" t="s">
        <v>6984</v>
      </c>
      <c r="FHR14" t="s">
        <v>6984</v>
      </c>
      <c r="FHS14" t="s">
        <v>6984</v>
      </c>
      <c r="FHT14" t="s">
        <v>6984</v>
      </c>
      <c r="FHU14" t="s">
        <v>6984</v>
      </c>
      <c r="FHV14" t="s">
        <v>6984</v>
      </c>
      <c r="FHW14" t="s">
        <v>6984</v>
      </c>
      <c r="FHX14" t="s">
        <v>6984</v>
      </c>
      <c r="FHY14" t="s">
        <v>6984</v>
      </c>
      <c r="FHZ14" t="s">
        <v>6984</v>
      </c>
      <c r="FIA14" t="s">
        <v>6984</v>
      </c>
      <c r="FIB14" t="s">
        <v>6984</v>
      </c>
      <c r="FIC14" t="s">
        <v>6984</v>
      </c>
      <c r="FID14" t="s">
        <v>6984</v>
      </c>
      <c r="FIE14" t="s">
        <v>6984</v>
      </c>
      <c r="FIF14" t="s">
        <v>6984</v>
      </c>
      <c r="FIG14" t="s">
        <v>6984</v>
      </c>
      <c r="FIH14" t="s">
        <v>6984</v>
      </c>
      <c r="FII14" t="s">
        <v>6984</v>
      </c>
      <c r="FIJ14" t="s">
        <v>6984</v>
      </c>
      <c r="FIK14" t="s">
        <v>6984</v>
      </c>
      <c r="FIL14" t="s">
        <v>6984</v>
      </c>
      <c r="FIM14" t="s">
        <v>6984</v>
      </c>
      <c r="FIN14" t="s">
        <v>6984</v>
      </c>
      <c r="FIO14" t="s">
        <v>6984</v>
      </c>
      <c r="FIP14" t="s">
        <v>6984</v>
      </c>
      <c r="FIQ14" t="s">
        <v>6984</v>
      </c>
      <c r="FIR14" t="s">
        <v>6984</v>
      </c>
      <c r="FIS14" t="s">
        <v>6984</v>
      </c>
      <c r="FIT14" t="s">
        <v>6984</v>
      </c>
      <c r="FIU14" t="s">
        <v>6984</v>
      </c>
      <c r="FIV14" t="s">
        <v>6984</v>
      </c>
      <c r="FIW14" t="s">
        <v>6984</v>
      </c>
      <c r="FIX14" t="s">
        <v>6984</v>
      </c>
      <c r="FIY14" t="s">
        <v>6984</v>
      </c>
      <c r="FIZ14" t="s">
        <v>6984</v>
      </c>
      <c r="FJA14" t="s">
        <v>6984</v>
      </c>
      <c r="FJB14" t="s">
        <v>6984</v>
      </c>
      <c r="FJC14" t="s">
        <v>6984</v>
      </c>
      <c r="FJD14" t="s">
        <v>6984</v>
      </c>
      <c r="FJE14" t="s">
        <v>6984</v>
      </c>
      <c r="FJF14" t="s">
        <v>6984</v>
      </c>
      <c r="FJG14" t="s">
        <v>6984</v>
      </c>
      <c r="FJH14" t="s">
        <v>6984</v>
      </c>
      <c r="FJI14" t="s">
        <v>6984</v>
      </c>
      <c r="FJJ14" t="s">
        <v>6984</v>
      </c>
      <c r="FJK14" t="s">
        <v>6984</v>
      </c>
      <c r="FJL14" t="s">
        <v>6984</v>
      </c>
      <c r="FJM14" t="s">
        <v>6984</v>
      </c>
      <c r="FJN14" t="s">
        <v>6984</v>
      </c>
      <c r="FJO14" t="s">
        <v>6984</v>
      </c>
      <c r="FJP14" t="s">
        <v>6984</v>
      </c>
      <c r="FJQ14" t="s">
        <v>6984</v>
      </c>
      <c r="FJR14" t="s">
        <v>6984</v>
      </c>
      <c r="FJS14" t="s">
        <v>6984</v>
      </c>
      <c r="FJT14" t="s">
        <v>6984</v>
      </c>
      <c r="FJU14" t="s">
        <v>6984</v>
      </c>
      <c r="FJV14" t="s">
        <v>6984</v>
      </c>
      <c r="FJW14" t="s">
        <v>6984</v>
      </c>
      <c r="FJX14" t="s">
        <v>6984</v>
      </c>
      <c r="FJY14" t="s">
        <v>6984</v>
      </c>
      <c r="FJZ14" t="s">
        <v>6984</v>
      </c>
      <c r="FKA14" t="s">
        <v>6984</v>
      </c>
      <c r="FKB14" t="s">
        <v>6984</v>
      </c>
      <c r="FKC14" t="s">
        <v>6984</v>
      </c>
      <c r="FKD14" t="s">
        <v>6984</v>
      </c>
      <c r="FKE14" t="s">
        <v>6984</v>
      </c>
      <c r="FKF14" t="s">
        <v>6984</v>
      </c>
      <c r="FKG14" t="s">
        <v>6984</v>
      </c>
      <c r="FKH14" t="s">
        <v>6984</v>
      </c>
      <c r="FKI14" t="s">
        <v>6984</v>
      </c>
      <c r="FKJ14" t="s">
        <v>6984</v>
      </c>
      <c r="FKK14" t="s">
        <v>6984</v>
      </c>
      <c r="FKL14" t="s">
        <v>6984</v>
      </c>
      <c r="FKM14" t="s">
        <v>6984</v>
      </c>
      <c r="FKN14" t="s">
        <v>6984</v>
      </c>
      <c r="FKO14" t="s">
        <v>6984</v>
      </c>
      <c r="FKP14" t="s">
        <v>6984</v>
      </c>
      <c r="FKQ14" t="s">
        <v>6984</v>
      </c>
      <c r="FKR14" t="s">
        <v>6984</v>
      </c>
      <c r="FKS14" t="s">
        <v>6984</v>
      </c>
      <c r="FKT14" t="s">
        <v>6984</v>
      </c>
      <c r="FKU14" t="s">
        <v>6984</v>
      </c>
      <c r="FKV14" t="s">
        <v>6984</v>
      </c>
      <c r="FKW14" t="s">
        <v>6984</v>
      </c>
      <c r="FKX14" t="s">
        <v>6984</v>
      </c>
      <c r="FKY14" t="s">
        <v>6984</v>
      </c>
      <c r="FKZ14" t="s">
        <v>6984</v>
      </c>
      <c r="FLA14" t="s">
        <v>6984</v>
      </c>
      <c r="FLB14" t="s">
        <v>6984</v>
      </c>
      <c r="FLC14" t="s">
        <v>6984</v>
      </c>
      <c r="FLD14" t="s">
        <v>6984</v>
      </c>
      <c r="FLE14" t="s">
        <v>6984</v>
      </c>
      <c r="FLF14" t="s">
        <v>6984</v>
      </c>
      <c r="FLG14" t="s">
        <v>6984</v>
      </c>
      <c r="FLH14" t="s">
        <v>6984</v>
      </c>
      <c r="FLI14" t="s">
        <v>6984</v>
      </c>
      <c r="FLJ14" t="s">
        <v>6984</v>
      </c>
      <c r="FLK14" t="s">
        <v>6984</v>
      </c>
      <c r="FLL14" t="s">
        <v>6984</v>
      </c>
      <c r="FLM14" t="s">
        <v>6984</v>
      </c>
      <c r="FLN14" t="s">
        <v>6984</v>
      </c>
      <c r="FLO14" t="s">
        <v>6984</v>
      </c>
      <c r="FLP14" t="s">
        <v>6984</v>
      </c>
      <c r="FLQ14" t="s">
        <v>6984</v>
      </c>
      <c r="FLR14" t="s">
        <v>6984</v>
      </c>
      <c r="FLS14" t="s">
        <v>6984</v>
      </c>
      <c r="FLT14" t="s">
        <v>6984</v>
      </c>
      <c r="FLU14" t="s">
        <v>6984</v>
      </c>
      <c r="FLV14" t="s">
        <v>6984</v>
      </c>
      <c r="FLW14" t="s">
        <v>6984</v>
      </c>
      <c r="FLX14" t="s">
        <v>6984</v>
      </c>
      <c r="FLY14" t="s">
        <v>6984</v>
      </c>
      <c r="FLZ14" t="s">
        <v>6984</v>
      </c>
      <c r="FMA14" t="s">
        <v>6984</v>
      </c>
      <c r="FMB14" t="s">
        <v>6984</v>
      </c>
      <c r="FMC14" t="s">
        <v>6984</v>
      </c>
      <c r="FMD14" t="s">
        <v>6984</v>
      </c>
      <c r="FME14" t="s">
        <v>6984</v>
      </c>
      <c r="FMF14" t="s">
        <v>6984</v>
      </c>
      <c r="FMG14" t="s">
        <v>6984</v>
      </c>
      <c r="FMH14" t="s">
        <v>6984</v>
      </c>
      <c r="FMI14" t="s">
        <v>6984</v>
      </c>
      <c r="FMJ14" t="s">
        <v>6984</v>
      </c>
      <c r="FMK14" t="s">
        <v>6984</v>
      </c>
      <c r="FML14" t="s">
        <v>6984</v>
      </c>
      <c r="FMM14" t="s">
        <v>6984</v>
      </c>
      <c r="FMN14" t="s">
        <v>6984</v>
      </c>
      <c r="FMO14" t="s">
        <v>6984</v>
      </c>
      <c r="FMP14" t="s">
        <v>6984</v>
      </c>
      <c r="FMQ14" t="s">
        <v>6984</v>
      </c>
      <c r="FMR14" t="s">
        <v>6984</v>
      </c>
      <c r="FMS14" t="s">
        <v>6984</v>
      </c>
      <c r="FMT14" t="s">
        <v>6984</v>
      </c>
      <c r="FMU14" t="s">
        <v>6984</v>
      </c>
      <c r="FMV14" t="s">
        <v>6984</v>
      </c>
      <c r="FMW14" t="s">
        <v>6984</v>
      </c>
      <c r="FMX14" t="s">
        <v>6984</v>
      </c>
      <c r="FMY14" t="s">
        <v>6984</v>
      </c>
      <c r="FMZ14" t="s">
        <v>6984</v>
      </c>
      <c r="FNA14" t="s">
        <v>6984</v>
      </c>
      <c r="FNB14" t="s">
        <v>6984</v>
      </c>
      <c r="FNC14" t="s">
        <v>6984</v>
      </c>
      <c r="FND14" t="s">
        <v>6984</v>
      </c>
      <c r="FNE14" t="s">
        <v>6984</v>
      </c>
      <c r="FNF14" t="s">
        <v>6984</v>
      </c>
      <c r="FNG14" t="s">
        <v>6984</v>
      </c>
      <c r="FNH14" t="s">
        <v>6984</v>
      </c>
      <c r="FNI14" t="s">
        <v>6984</v>
      </c>
      <c r="FNJ14" t="s">
        <v>6984</v>
      </c>
      <c r="FNK14" t="s">
        <v>6984</v>
      </c>
      <c r="FNL14" t="s">
        <v>6984</v>
      </c>
      <c r="FNM14" t="s">
        <v>6984</v>
      </c>
      <c r="FNN14" t="s">
        <v>6984</v>
      </c>
      <c r="FNO14" t="s">
        <v>6984</v>
      </c>
      <c r="FNP14" t="s">
        <v>6984</v>
      </c>
      <c r="FNQ14" t="s">
        <v>6984</v>
      </c>
      <c r="FNR14" t="s">
        <v>6984</v>
      </c>
      <c r="FNS14" t="s">
        <v>6984</v>
      </c>
      <c r="FNT14" t="s">
        <v>6984</v>
      </c>
      <c r="FNU14" t="s">
        <v>6984</v>
      </c>
      <c r="FNV14" t="s">
        <v>6984</v>
      </c>
      <c r="FNW14" t="s">
        <v>6984</v>
      </c>
      <c r="FNX14" t="s">
        <v>6984</v>
      </c>
      <c r="FNY14" t="s">
        <v>6984</v>
      </c>
      <c r="FNZ14" t="s">
        <v>6984</v>
      </c>
      <c r="FOA14" t="s">
        <v>6984</v>
      </c>
      <c r="FOB14" t="s">
        <v>6984</v>
      </c>
      <c r="FOC14" t="s">
        <v>6984</v>
      </c>
      <c r="FOD14" t="s">
        <v>6984</v>
      </c>
      <c r="FOE14" t="s">
        <v>6984</v>
      </c>
      <c r="FOF14" t="s">
        <v>6984</v>
      </c>
      <c r="FOG14" t="s">
        <v>6984</v>
      </c>
      <c r="FOH14" t="s">
        <v>6984</v>
      </c>
      <c r="FOI14" t="s">
        <v>6984</v>
      </c>
      <c r="FOJ14" t="s">
        <v>6984</v>
      </c>
      <c r="FOK14" t="s">
        <v>6984</v>
      </c>
      <c r="FOL14" t="s">
        <v>6984</v>
      </c>
      <c r="FOM14" t="s">
        <v>6984</v>
      </c>
      <c r="FON14" t="s">
        <v>6984</v>
      </c>
      <c r="FOO14" t="s">
        <v>6984</v>
      </c>
      <c r="FOP14" t="s">
        <v>6984</v>
      </c>
      <c r="FOQ14" t="s">
        <v>6984</v>
      </c>
      <c r="FOR14" t="s">
        <v>6984</v>
      </c>
      <c r="FOS14" t="s">
        <v>6984</v>
      </c>
      <c r="FOT14" t="s">
        <v>6984</v>
      </c>
      <c r="FOU14" t="s">
        <v>6984</v>
      </c>
      <c r="FOV14" t="s">
        <v>6984</v>
      </c>
      <c r="FOW14" t="s">
        <v>6984</v>
      </c>
      <c r="FOX14" t="s">
        <v>6984</v>
      </c>
      <c r="FOY14" t="s">
        <v>6984</v>
      </c>
      <c r="FOZ14" t="s">
        <v>6984</v>
      </c>
      <c r="FPA14" t="s">
        <v>6984</v>
      </c>
      <c r="FPB14" t="s">
        <v>6984</v>
      </c>
      <c r="FPC14" t="s">
        <v>6984</v>
      </c>
      <c r="FPD14" t="s">
        <v>6984</v>
      </c>
      <c r="FPE14" t="s">
        <v>6984</v>
      </c>
      <c r="FPF14" t="s">
        <v>6984</v>
      </c>
      <c r="FPG14" t="s">
        <v>6984</v>
      </c>
      <c r="FPH14" t="s">
        <v>6984</v>
      </c>
      <c r="FPI14" t="s">
        <v>6984</v>
      </c>
      <c r="FPJ14" t="s">
        <v>6984</v>
      </c>
      <c r="FPK14" t="s">
        <v>6984</v>
      </c>
      <c r="FPL14" t="s">
        <v>6984</v>
      </c>
      <c r="FPM14" t="s">
        <v>6984</v>
      </c>
      <c r="FPN14" t="s">
        <v>6984</v>
      </c>
      <c r="FPO14" t="s">
        <v>6984</v>
      </c>
      <c r="FPP14" t="s">
        <v>6984</v>
      </c>
      <c r="FPQ14" t="s">
        <v>6984</v>
      </c>
      <c r="FPR14" t="s">
        <v>6984</v>
      </c>
      <c r="FPS14" t="s">
        <v>6984</v>
      </c>
      <c r="FPT14" t="s">
        <v>6984</v>
      </c>
      <c r="FPU14" t="s">
        <v>6984</v>
      </c>
      <c r="FPV14" t="s">
        <v>6984</v>
      </c>
      <c r="FPW14" t="s">
        <v>6984</v>
      </c>
      <c r="FPX14" t="s">
        <v>6984</v>
      </c>
      <c r="FPY14" t="s">
        <v>6984</v>
      </c>
      <c r="FPZ14" t="s">
        <v>6984</v>
      </c>
      <c r="FQA14" t="s">
        <v>6984</v>
      </c>
      <c r="FQB14" t="s">
        <v>6984</v>
      </c>
      <c r="FQC14" t="s">
        <v>6984</v>
      </c>
      <c r="FQD14" t="s">
        <v>6984</v>
      </c>
      <c r="FQE14" t="s">
        <v>6984</v>
      </c>
      <c r="FQF14" t="s">
        <v>6984</v>
      </c>
      <c r="FQG14" t="s">
        <v>6984</v>
      </c>
      <c r="FQH14" t="s">
        <v>6984</v>
      </c>
      <c r="FQI14" t="s">
        <v>6984</v>
      </c>
      <c r="FQJ14" t="s">
        <v>6984</v>
      </c>
      <c r="FQK14" t="s">
        <v>6984</v>
      </c>
      <c r="FQL14" t="s">
        <v>6984</v>
      </c>
      <c r="FQM14" t="s">
        <v>6984</v>
      </c>
      <c r="FQN14" t="s">
        <v>6984</v>
      </c>
      <c r="FQO14" t="s">
        <v>6984</v>
      </c>
      <c r="FQP14" t="s">
        <v>6984</v>
      </c>
      <c r="FQQ14" t="s">
        <v>6984</v>
      </c>
      <c r="FQR14" t="s">
        <v>6984</v>
      </c>
      <c r="FQS14" t="s">
        <v>6984</v>
      </c>
      <c r="FQT14" t="s">
        <v>6984</v>
      </c>
      <c r="FQU14" t="s">
        <v>6984</v>
      </c>
      <c r="FQV14" t="s">
        <v>6984</v>
      </c>
      <c r="FQW14" t="s">
        <v>6984</v>
      </c>
      <c r="FQX14" t="s">
        <v>6984</v>
      </c>
      <c r="FQY14" t="s">
        <v>6984</v>
      </c>
      <c r="FQZ14" t="s">
        <v>6984</v>
      </c>
      <c r="FRA14" t="s">
        <v>6984</v>
      </c>
      <c r="FRB14" t="s">
        <v>6984</v>
      </c>
      <c r="FRC14" t="s">
        <v>6984</v>
      </c>
      <c r="FRD14" t="s">
        <v>6984</v>
      </c>
      <c r="FRE14" t="s">
        <v>6984</v>
      </c>
      <c r="FRF14" t="s">
        <v>6984</v>
      </c>
      <c r="FRG14" t="s">
        <v>6984</v>
      </c>
      <c r="FRH14" t="s">
        <v>6984</v>
      </c>
      <c r="FRI14" t="s">
        <v>6984</v>
      </c>
      <c r="FRJ14" t="s">
        <v>6984</v>
      </c>
      <c r="FRK14" t="s">
        <v>6984</v>
      </c>
      <c r="FRL14" t="s">
        <v>6984</v>
      </c>
      <c r="FRM14" t="s">
        <v>6984</v>
      </c>
      <c r="FRN14" t="s">
        <v>6984</v>
      </c>
      <c r="FRO14" t="s">
        <v>6984</v>
      </c>
      <c r="FRP14" t="s">
        <v>6984</v>
      </c>
      <c r="FRQ14" t="s">
        <v>6984</v>
      </c>
      <c r="FRR14" t="s">
        <v>6984</v>
      </c>
      <c r="FRS14" t="s">
        <v>6984</v>
      </c>
      <c r="FRT14" t="s">
        <v>6984</v>
      </c>
      <c r="FRU14" t="s">
        <v>6984</v>
      </c>
      <c r="FRV14" t="s">
        <v>6984</v>
      </c>
      <c r="FRW14" t="s">
        <v>6984</v>
      </c>
      <c r="FRX14" t="s">
        <v>6984</v>
      </c>
      <c r="FRY14" t="s">
        <v>6984</v>
      </c>
      <c r="FRZ14" t="s">
        <v>6984</v>
      </c>
      <c r="FSA14" t="s">
        <v>6984</v>
      </c>
      <c r="FSB14" t="s">
        <v>6984</v>
      </c>
      <c r="FSC14" t="s">
        <v>6984</v>
      </c>
      <c r="FSD14" t="s">
        <v>6984</v>
      </c>
      <c r="FSE14" t="s">
        <v>6984</v>
      </c>
      <c r="FSF14" t="s">
        <v>6984</v>
      </c>
      <c r="FSG14" t="s">
        <v>6984</v>
      </c>
      <c r="FSH14" t="s">
        <v>6984</v>
      </c>
      <c r="FSI14" t="s">
        <v>6984</v>
      </c>
      <c r="FSJ14" t="s">
        <v>6984</v>
      </c>
      <c r="FSK14" t="s">
        <v>6984</v>
      </c>
      <c r="FSL14" t="s">
        <v>6984</v>
      </c>
      <c r="FSM14" t="s">
        <v>6984</v>
      </c>
      <c r="FSN14" t="s">
        <v>6984</v>
      </c>
      <c r="FSO14" t="s">
        <v>6984</v>
      </c>
      <c r="FSP14" t="s">
        <v>6984</v>
      </c>
      <c r="FSQ14" t="s">
        <v>6984</v>
      </c>
      <c r="FSR14" t="s">
        <v>6984</v>
      </c>
      <c r="FSS14" t="s">
        <v>6984</v>
      </c>
      <c r="FST14" t="s">
        <v>6984</v>
      </c>
      <c r="FSU14" t="s">
        <v>6984</v>
      </c>
      <c r="FSV14" t="s">
        <v>6984</v>
      </c>
      <c r="FSW14" t="s">
        <v>6984</v>
      </c>
      <c r="FSX14" t="s">
        <v>6984</v>
      </c>
      <c r="FSY14" t="s">
        <v>6984</v>
      </c>
      <c r="FSZ14" t="s">
        <v>6984</v>
      </c>
      <c r="FTA14" t="s">
        <v>6984</v>
      </c>
      <c r="FTB14" t="s">
        <v>6984</v>
      </c>
      <c r="FTC14" t="s">
        <v>6984</v>
      </c>
      <c r="FTD14" t="s">
        <v>6984</v>
      </c>
      <c r="FTE14" t="s">
        <v>6984</v>
      </c>
      <c r="FTF14" t="s">
        <v>6984</v>
      </c>
      <c r="FTG14" t="s">
        <v>6984</v>
      </c>
      <c r="FTH14" t="s">
        <v>6984</v>
      </c>
      <c r="FTI14" t="s">
        <v>6984</v>
      </c>
      <c r="FTJ14" t="s">
        <v>6984</v>
      </c>
      <c r="FTK14" t="s">
        <v>6984</v>
      </c>
      <c r="FTL14" t="s">
        <v>6984</v>
      </c>
      <c r="FTM14" t="s">
        <v>6984</v>
      </c>
      <c r="FTN14" t="s">
        <v>6984</v>
      </c>
      <c r="FTO14" t="s">
        <v>6984</v>
      </c>
      <c r="FTP14" t="s">
        <v>6984</v>
      </c>
      <c r="FTQ14" t="s">
        <v>6984</v>
      </c>
      <c r="FTR14" t="s">
        <v>6984</v>
      </c>
      <c r="FTS14" t="s">
        <v>6984</v>
      </c>
      <c r="FTT14" t="s">
        <v>6984</v>
      </c>
      <c r="FTU14" t="s">
        <v>6984</v>
      </c>
      <c r="FTV14" t="s">
        <v>6984</v>
      </c>
      <c r="FTW14" t="s">
        <v>6984</v>
      </c>
      <c r="FTX14" t="s">
        <v>6984</v>
      </c>
      <c r="FTY14" t="s">
        <v>6984</v>
      </c>
      <c r="FTZ14" t="s">
        <v>6984</v>
      </c>
      <c r="FUA14" t="s">
        <v>6984</v>
      </c>
      <c r="FUB14" t="s">
        <v>6984</v>
      </c>
      <c r="FUC14" t="s">
        <v>6984</v>
      </c>
      <c r="FUD14" t="s">
        <v>6984</v>
      </c>
      <c r="FUE14" t="s">
        <v>6984</v>
      </c>
      <c r="FUF14" t="s">
        <v>6984</v>
      </c>
      <c r="FUG14" t="s">
        <v>6984</v>
      </c>
      <c r="FUH14" t="s">
        <v>6984</v>
      </c>
      <c r="FUI14" t="s">
        <v>6984</v>
      </c>
      <c r="FUJ14" t="s">
        <v>6984</v>
      </c>
      <c r="FUK14" t="s">
        <v>6984</v>
      </c>
      <c r="FUL14" t="s">
        <v>6984</v>
      </c>
      <c r="FUM14" t="s">
        <v>6984</v>
      </c>
      <c r="FUN14" t="s">
        <v>6984</v>
      </c>
      <c r="FUO14" t="s">
        <v>6984</v>
      </c>
      <c r="FUP14" t="s">
        <v>6984</v>
      </c>
      <c r="FUQ14" t="s">
        <v>6984</v>
      </c>
      <c r="FUR14" t="s">
        <v>6984</v>
      </c>
      <c r="FUS14" t="s">
        <v>6984</v>
      </c>
      <c r="FUT14" t="s">
        <v>6984</v>
      </c>
      <c r="FUU14" t="s">
        <v>6984</v>
      </c>
      <c r="FUV14" t="s">
        <v>6984</v>
      </c>
      <c r="FUW14" t="s">
        <v>6984</v>
      </c>
      <c r="FUX14" t="s">
        <v>6984</v>
      </c>
      <c r="FUY14" t="s">
        <v>6984</v>
      </c>
      <c r="FUZ14" t="s">
        <v>6984</v>
      </c>
      <c r="FVA14" t="s">
        <v>6984</v>
      </c>
      <c r="FVB14" t="s">
        <v>6984</v>
      </c>
      <c r="FVC14" t="s">
        <v>6984</v>
      </c>
      <c r="FVD14" t="s">
        <v>6984</v>
      </c>
      <c r="FVE14" t="s">
        <v>6984</v>
      </c>
      <c r="FVF14" t="s">
        <v>6984</v>
      </c>
      <c r="FVG14" t="s">
        <v>6984</v>
      </c>
      <c r="FVH14" t="s">
        <v>6984</v>
      </c>
      <c r="FVI14" t="s">
        <v>6984</v>
      </c>
      <c r="FVJ14" t="s">
        <v>6984</v>
      </c>
      <c r="FVK14" t="s">
        <v>6984</v>
      </c>
      <c r="FVL14" t="s">
        <v>6984</v>
      </c>
      <c r="FVM14" t="s">
        <v>6984</v>
      </c>
      <c r="FVN14" t="s">
        <v>6984</v>
      </c>
      <c r="FVO14" t="s">
        <v>6984</v>
      </c>
      <c r="FVP14" t="s">
        <v>6984</v>
      </c>
      <c r="FVQ14" t="s">
        <v>6984</v>
      </c>
      <c r="FVR14" t="s">
        <v>6984</v>
      </c>
      <c r="FVS14" t="s">
        <v>6984</v>
      </c>
      <c r="FVT14" t="s">
        <v>6984</v>
      </c>
      <c r="FVU14" t="s">
        <v>6984</v>
      </c>
      <c r="FVV14" t="s">
        <v>6984</v>
      </c>
      <c r="FVW14" t="s">
        <v>6984</v>
      </c>
      <c r="FVX14" t="s">
        <v>6984</v>
      </c>
      <c r="FVY14" t="s">
        <v>6984</v>
      </c>
      <c r="FVZ14" t="s">
        <v>6984</v>
      </c>
      <c r="FWA14" t="s">
        <v>6984</v>
      </c>
      <c r="FWB14" t="s">
        <v>6984</v>
      </c>
      <c r="FWC14" t="s">
        <v>6984</v>
      </c>
      <c r="FWD14" t="s">
        <v>6984</v>
      </c>
      <c r="FWE14" t="s">
        <v>6984</v>
      </c>
      <c r="FWF14" t="s">
        <v>6984</v>
      </c>
      <c r="FWG14" t="s">
        <v>6984</v>
      </c>
      <c r="FWH14" t="s">
        <v>6984</v>
      </c>
      <c r="FWI14" t="s">
        <v>6984</v>
      </c>
      <c r="FWJ14" t="s">
        <v>6984</v>
      </c>
      <c r="FWK14" t="s">
        <v>6984</v>
      </c>
      <c r="FWL14" t="s">
        <v>6984</v>
      </c>
      <c r="FWM14" t="s">
        <v>6984</v>
      </c>
      <c r="FWN14" t="s">
        <v>6984</v>
      </c>
      <c r="FWO14" t="s">
        <v>6984</v>
      </c>
      <c r="FWP14" t="s">
        <v>6984</v>
      </c>
      <c r="FWQ14" t="s">
        <v>6984</v>
      </c>
      <c r="FWR14" t="s">
        <v>6984</v>
      </c>
      <c r="FWS14" t="s">
        <v>6984</v>
      </c>
      <c r="FWT14" t="s">
        <v>6984</v>
      </c>
      <c r="FWU14" t="s">
        <v>6984</v>
      </c>
      <c r="FWV14" t="s">
        <v>6984</v>
      </c>
      <c r="FWW14" t="s">
        <v>6984</v>
      </c>
      <c r="FWX14" t="s">
        <v>6984</v>
      </c>
      <c r="FWY14" t="s">
        <v>6984</v>
      </c>
      <c r="FWZ14" t="s">
        <v>6984</v>
      </c>
      <c r="FXA14" t="s">
        <v>6984</v>
      </c>
      <c r="FXB14" t="s">
        <v>6984</v>
      </c>
      <c r="FXC14" t="s">
        <v>6984</v>
      </c>
      <c r="FXD14" t="s">
        <v>6984</v>
      </c>
      <c r="FXE14" t="s">
        <v>6984</v>
      </c>
      <c r="FXF14" t="s">
        <v>6984</v>
      </c>
      <c r="FXG14" t="s">
        <v>6984</v>
      </c>
      <c r="FXH14" t="s">
        <v>6984</v>
      </c>
      <c r="FXI14" t="s">
        <v>6984</v>
      </c>
      <c r="FXJ14" t="s">
        <v>6984</v>
      </c>
      <c r="FXK14" t="s">
        <v>6984</v>
      </c>
      <c r="FXL14" t="s">
        <v>6984</v>
      </c>
      <c r="FXM14" t="s">
        <v>6984</v>
      </c>
      <c r="FXN14" t="s">
        <v>6984</v>
      </c>
      <c r="FXO14" t="s">
        <v>6984</v>
      </c>
      <c r="FXP14" t="s">
        <v>6984</v>
      </c>
      <c r="FXQ14" t="s">
        <v>6984</v>
      </c>
      <c r="FXR14" t="s">
        <v>6984</v>
      </c>
      <c r="FXS14" t="s">
        <v>6984</v>
      </c>
      <c r="FXT14" t="s">
        <v>6984</v>
      </c>
      <c r="FXU14" t="s">
        <v>6984</v>
      </c>
      <c r="FXV14" t="s">
        <v>6984</v>
      </c>
      <c r="FXW14" t="s">
        <v>6984</v>
      </c>
      <c r="FXX14" t="s">
        <v>6984</v>
      </c>
      <c r="FXY14" t="s">
        <v>6984</v>
      </c>
      <c r="FXZ14" t="s">
        <v>6984</v>
      </c>
      <c r="FYA14" t="s">
        <v>6984</v>
      </c>
      <c r="FYB14" t="s">
        <v>6984</v>
      </c>
      <c r="FYC14" t="s">
        <v>6984</v>
      </c>
      <c r="FYD14" t="s">
        <v>6984</v>
      </c>
      <c r="FYE14" t="s">
        <v>6984</v>
      </c>
      <c r="FYF14" t="s">
        <v>6984</v>
      </c>
      <c r="FYG14" t="s">
        <v>6984</v>
      </c>
      <c r="FYH14" t="s">
        <v>6984</v>
      </c>
      <c r="FYI14" t="s">
        <v>6984</v>
      </c>
      <c r="FYJ14" t="s">
        <v>6984</v>
      </c>
      <c r="FYK14" t="s">
        <v>6984</v>
      </c>
      <c r="FYL14" t="s">
        <v>6984</v>
      </c>
      <c r="FYM14" t="s">
        <v>6984</v>
      </c>
      <c r="FYN14" t="s">
        <v>6984</v>
      </c>
      <c r="FYO14" t="s">
        <v>6984</v>
      </c>
      <c r="FYP14" t="s">
        <v>6984</v>
      </c>
      <c r="FYQ14" t="s">
        <v>6984</v>
      </c>
      <c r="FYR14" t="s">
        <v>6984</v>
      </c>
      <c r="FYS14" t="s">
        <v>6984</v>
      </c>
      <c r="FYT14" t="s">
        <v>6984</v>
      </c>
      <c r="FYU14" t="s">
        <v>6984</v>
      </c>
      <c r="FYV14" t="s">
        <v>6984</v>
      </c>
      <c r="FYW14" t="s">
        <v>6984</v>
      </c>
      <c r="FYX14" t="s">
        <v>6984</v>
      </c>
      <c r="FYY14" t="s">
        <v>6984</v>
      </c>
      <c r="FYZ14" t="s">
        <v>6984</v>
      </c>
      <c r="FZA14" t="s">
        <v>6984</v>
      </c>
      <c r="FZB14" t="s">
        <v>6984</v>
      </c>
      <c r="FZC14" t="s">
        <v>6984</v>
      </c>
      <c r="FZD14" t="s">
        <v>6984</v>
      </c>
      <c r="FZE14" t="s">
        <v>6984</v>
      </c>
      <c r="FZF14" t="s">
        <v>6984</v>
      </c>
      <c r="FZG14" t="s">
        <v>6984</v>
      </c>
      <c r="FZH14" t="s">
        <v>6984</v>
      </c>
      <c r="FZI14" t="s">
        <v>6984</v>
      </c>
      <c r="FZJ14" t="s">
        <v>6984</v>
      </c>
      <c r="FZK14" t="s">
        <v>6984</v>
      </c>
      <c r="FZL14" t="s">
        <v>6984</v>
      </c>
      <c r="FZM14" t="s">
        <v>6984</v>
      </c>
      <c r="FZN14" t="s">
        <v>6984</v>
      </c>
      <c r="FZO14" t="s">
        <v>6984</v>
      </c>
      <c r="FZP14" t="s">
        <v>6984</v>
      </c>
      <c r="FZQ14" t="s">
        <v>6984</v>
      </c>
      <c r="FZR14" t="s">
        <v>6984</v>
      </c>
      <c r="FZS14" t="s">
        <v>6984</v>
      </c>
      <c r="FZT14" t="s">
        <v>6984</v>
      </c>
      <c r="FZU14" t="s">
        <v>6984</v>
      </c>
      <c r="FZV14" t="s">
        <v>6984</v>
      </c>
      <c r="FZW14" t="s">
        <v>6984</v>
      </c>
      <c r="FZX14" t="s">
        <v>6984</v>
      </c>
      <c r="FZY14" t="s">
        <v>6984</v>
      </c>
      <c r="FZZ14" t="s">
        <v>6984</v>
      </c>
      <c r="GAA14" t="s">
        <v>6984</v>
      </c>
      <c r="GAB14" t="s">
        <v>6984</v>
      </c>
      <c r="GAC14" t="s">
        <v>6984</v>
      </c>
      <c r="GAD14" t="s">
        <v>6984</v>
      </c>
      <c r="GAE14" t="s">
        <v>6984</v>
      </c>
      <c r="GAF14" t="s">
        <v>6984</v>
      </c>
      <c r="GAG14" t="s">
        <v>6984</v>
      </c>
      <c r="GAH14" t="s">
        <v>6984</v>
      </c>
      <c r="GAI14" t="s">
        <v>6984</v>
      </c>
      <c r="GAJ14" t="s">
        <v>6984</v>
      </c>
      <c r="GAK14" t="s">
        <v>6984</v>
      </c>
      <c r="GAL14" t="s">
        <v>6984</v>
      </c>
      <c r="GAM14" t="s">
        <v>6984</v>
      </c>
      <c r="GAN14" t="s">
        <v>6984</v>
      </c>
      <c r="GAO14" t="s">
        <v>6984</v>
      </c>
      <c r="GAP14" t="s">
        <v>6984</v>
      </c>
      <c r="GAQ14" t="s">
        <v>6984</v>
      </c>
      <c r="GAR14" t="s">
        <v>6984</v>
      </c>
      <c r="GAS14" t="s">
        <v>6984</v>
      </c>
      <c r="GAT14" t="s">
        <v>6984</v>
      </c>
      <c r="GAU14" t="s">
        <v>6984</v>
      </c>
      <c r="GAV14" t="s">
        <v>6984</v>
      </c>
      <c r="GAW14" t="s">
        <v>6984</v>
      </c>
      <c r="GAX14" t="s">
        <v>6984</v>
      </c>
      <c r="GAY14" t="s">
        <v>6984</v>
      </c>
      <c r="GAZ14" t="s">
        <v>6984</v>
      </c>
      <c r="GBA14" t="s">
        <v>6984</v>
      </c>
      <c r="GBB14" t="s">
        <v>6984</v>
      </c>
      <c r="GBC14" t="s">
        <v>6984</v>
      </c>
      <c r="GBD14" t="s">
        <v>6984</v>
      </c>
      <c r="GBE14" t="s">
        <v>6984</v>
      </c>
      <c r="GBF14" t="s">
        <v>6984</v>
      </c>
      <c r="GBG14" t="s">
        <v>6984</v>
      </c>
      <c r="GBH14" t="s">
        <v>6984</v>
      </c>
      <c r="GBI14" t="s">
        <v>6984</v>
      </c>
      <c r="GBJ14" t="s">
        <v>6984</v>
      </c>
      <c r="GBK14" t="s">
        <v>6984</v>
      </c>
      <c r="GBL14" t="s">
        <v>6984</v>
      </c>
      <c r="GBM14" t="s">
        <v>6984</v>
      </c>
      <c r="GBN14" t="s">
        <v>6984</v>
      </c>
      <c r="GBO14" t="s">
        <v>6984</v>
      </c>
      <c r="GBP14" t="s">
        <v>6984</v>
      </c>
      <c r="GBQ14" t="s">
        <v>6984</v>
      </c>
      <c r="GBR14" t="s">
        <v>6984</v>
      </c>
      <c r="GBS14" t="s">
        <v>6984</v>
      </c>
      <c r="GBT14" t="s">
        <v>6984</v>
      </c>
      <c r="GBU14" t="s">
        <v>6984</v>
      </c>
      <c r="GBV14" t="s">
        <v>6984</v>
      </c>
      <c r="GBW14" t="s">
        <v>6984</v>
      </c>
      <c r="GBX14" t="s">
        <v>6984</v>
      </c>
      <c r="GBY14" t="s">
        <v>6984</v>
      </c>
      <c r="GBZ14" t="s">
        <v>6984</v>
      </c>
      <c r="GCA14" t="s">
        <v>6984</v>
      </c>
      <c r="GCB14" t="s">
        <v>6984</v>
      </c>
      <c r="GCC14" t="s">
        <v>6984</v>
      </c>
      <c r="GCD14" t="s">
        <v>6984</v>
      </c>
      <c r="GCE14" t="s">
        <v>6984</v>
      </c>
      <c r="GCF14" t="s">
        <v>6984</v>
      </c>
      <c r="GCG14" t="s">
        <v>6984</v>
      </c>
      <c r="GCH14" t="s">
        <v>6984</v>
      </c>
      <c r="GCI14" t="s">
        <v>6984</v>
      </c>
      <c r="GCJ14" t="s">
        <v>6984</v>
      </c>
      <c r="GCK14" t="s">
        <v>6984</v>
      </c>
      <c r="GCL14" t="s">
        <v>6984</v>
      </c>
      <c r="GCM14" t="s">
        <v>6984</v>
      </c>
      <c r="GCN14" t="s">
        <v>6984</v>
      </c>
      <c r="GCO14" t="s">
        <v>6984</v>
      </c>
      <c r="GCP14" t="s">
        <v>6984</v>
      </c>
      <c r="GCQ14" t="s">
        <v>6984</v>
      </c>
      <c r="GCR14" t="s">
        <v>6984</v>
      </c>
      <c r="GCS14" t="s">
        <v>6984</v>
      </c>
      <c r="GCT14" t="s">
        <v>6984</v>
      </c>
      <c r="GCU14" t="s">
        <v>6984</v>
      </c>
      <c r="GCV14" t="s">
        <v>6984</v>
      </c>
      <c r="GCW14" t="s">
        <v>6984</v>
      </c>
      <c r="GCX14" t="s">
        <v>6984</v>
      </c>
      <c r="GCY14" t="s">
        <v>6984</v>
      </c>
      <c r="GCZ14" t="s">
        <v>6984</v>
      </c>
      <c r="GDA14" t="s">
        <v>6984</v>
      </c>
      <c r="GDB14" t="s">
        <v>6984</v>
      </c>
      <c r="GDC14" t="s">
        <v>6984</v>
      </c>
      <c r="GDD14" t="s">
        <v>6984</v>
      </c>
      <c r="GDE14" t="s">
        <v>6984</v>
      </c>
      <c r="GDF14" t="s">
        <v>6984</v>
      </c>
      <c r="GDG14" t="s">
        <v>6984</v>
      </c>
      <c r="GDH14" t="s">
        <v>6984</v>
      </c>
      <c r="GDI14" t="s">
        <v>6984</v>
      </c>
      <c r="GDJ14" t="s">
        <v>6984</v>
      </c>
      <c r="GDK14" t="s">
        <v>6984</v>
      </c>
      <c r="GDL14" t="s">
        <v>6984</v>
      </c>
      <c r="GDM14" t="s">
        <v>6984</v>
      </c>
      <c r="GDN14" t="s">
        <v>6984</v>
      </c>
      <c r="GDO14" t="s">
        <v>6984</v>
      </c>
      <c r="GDP14" t="s">
        <v>6984</v>
      </c>
      <c r="GDQ14" t="s">
        <v>6984</v>
      </c>
      <c r="GDR14" t="s">
        <v>6984</v>
      </c>
      <c r="GDS14" t="s">
        <v>6984</v>
      </c>
      <c r="GDT14" t="s">
        <v>6984</v>
      </c>
      <c r="GDU14" t="s">
        <v>6984</v>
      </c>
      <c r="GDV14" t="s">
        <v>6984</v>
      </c>
      <c r="GDW14" t="s">
        <v>6984</v>
      </c>
      <c r="GDX14" t="s">
        <v>6984</v>
      </c>
      <c r="GDY14" t="s">
        <v>6984</v>
      </c>
      <c r="GDZ14" t="s">
        <v>6984</v>
      </c>
      <c r="GEA14" t="s">
        <v>6984</v>
      </c>
      <c r="GEB14" t="s">
        <v>6984</v>
      </c>
      <c r="GEC14" t="s">
        <v>6984</v>
      </c>
      <c r="GED14" t="s">
        <v>6984</v>
      </c>
      <c r="GEE14" t="s">
        <v>6984</v>
      </c>
      <c r="GEF14" t="s">
        <v>6984</v>
      </c>
      <c r="GEG14" t="s">
        <v>6984</v>
      </c>
      <c r="GEH14" t="s">
        <v>6984</v>
      </c>
      <c r="GEI14" t="s">
        <v>6984</v>
      </c>
      <c r="GEJ14" t="s">
        <v>6984</v>
      </c>
      <c r="GEK14" t="s">
        <v>6984</v>
      </c>
      <c r="GEL14" t="s">
        <v>6984</v>
      </c>
      <c r="GEM14" t="s">
        <v>6984</v>
      </c>
      <c r="GEN14" t="s">
        <v>6984</v>
      </c>
      <c r="GEO14" t="s">
        <v>6984</v>
      </c>
      <c r="GEP14" t="s">
        <v>6984</v>
      </c>
      <c r="GEQ14" t="s">
        <v>6984</v>
      </c>
      <c r="GER14" t="s">
        <v>6984</v>
      </c>
      <c r="GES14" t="s">
        <v>6984</v>
      </c>
      <c r="GET14" t="s">
        <v>6984</v>
      </c>
      <c r="GEU14" t="s">
        <v>6984</v>
      </c>
      <c r="GEV14" t="s">
        <v>6984</v>
      </c>
      <c r="GEW14" t="s">
        <v>6984</v>
      </c>
      <c r="GEX14" t="s">
        <v>6984</v>
      </c>
      <c r="GEY14" t="s">
        <v>6984</v>
      </c>
      <c r="GEZ14" t="s">
        <v>6984</v>
      </c>
      <c r="GFA14" t="s">
        <v>6984</v>
      </c>
      <c r="GFB14" t="s">
        <v>6984</v>
      </c>
      <c r="GFC14" t="s">
        <v>6984</v>
      </c>
      <c r="GFD14" t="s">
        <v>6984</v>
      </c>
      <c r="GFE14" t="s">
        <v>6984</v>
      </c>
      <c r="GFF14" t="s">
        <v>6984</v>
      </c>
      <c r="GFG14" t="s">
        <v>6984</v>
      </c>
      <c r="GFH14" t="s">
        <v>6984</v>
      </c>
      <c r="GFI14" t="s">
        <v>6984</v>
      </c>
      <c r="GFJ14" t="s">
        <v>6984</v>
      </c>
      <c r="GFK14" t="s">
        <v>6984</v>
      </c>
      <c r="GFL14" t="s">
        <v>6984</v>
      </c>
      <c r="GFM14" t="s">
        <v>6984</v>
      </c>
      <c r="GFN14" t="s">
        <v>6984</v>
      </c>
      <c r="GFO14" t="s">
        <v>6984</v>
      </c>
      <c r="GFP14" t="s">
        <v>6984</v>
      </c>
      <c r="GFQ14" t="s">
        <v>6984</v>
      </c>
      <c r="GFR14" t="s">
        <v>6984</v>
      </c>
      <c r="GFS14" t="s">
        <v>6984</v>
      </c>
      <c r="GFT14" t="s">
        <v>6984</v>
      </c>
      <c r="GFU14" t="s">
        <v>6984</v>
      </c>
      <c r="GFV14" t="s">
        <v>6984</v>
      </c>
      <c r="GFW14" t="s">
        <v>6984</v>
      </c>
      <c r="GFX14" t="s">
        <v>6984</v>
      </c>
      <c r="GFY14" t="s">
        <v>6984</v>
      </c>
      <c r="GFZ14" t="s">
        <v>6984</v>
      </c>
      <c r="GGA14" t="s">
        <v>6984</v>
      </c>
      <c r="GGB14" t="s">
        <v>6984</v>
      </c>
      <c r="GGC14" t="s">
        <v>6984</v>
      </c>
      <c r="GGD14" t="s">
        <v>6984</v>
      </c>
      <c r="GGE14" t="s">
        <v>6984</v>
      </c>
      <c r="GGF14" t="s">
        <v>6984</v>
      </c>
      <c r="GGG14" t="s">
        <v>6984</v>
      </c>
      <c r="GGH14" t="s">
        <v>6984</v>
      </c>
      <c r="GGI14" t="s">
        <v>6984</v>
      </c>
      <c r="GGJ14" t="s">
        <v>6984</v>
      </c>
      <c r="GGK14" t="s">
        <v>6984</v>
      </c>
      <c r="GGL14" t="s">
        <v>6984</v>
      </c>
      <c r="GGM14" t="s">
        <v>6984</v>
      </c>
      <c r="GGN14" t="s">
        <v>6984</v>
      </c>
      <c r="GGO14" t="s">
        <v>6984</v>
      </c>
      <c r="GGP14" t="s">
        <v>6984</v>
      </c>
      <c r="GGQ14" t="s">
        <v>6984</v>
      </c>
      <c r="GGR14" t="s">
        <v>6984</v>
      </c>
      <c r="GGS14" t="s">
        <v>6984</v>
      </c>
      <c r="GGT14" t="s">
        <v>6984</v>
      </c>
      <c r="GGU14" t="s">
        <v>6984</v>
      </c>
      <c r="GGV14" t="s">
        <v>6984</v>
      </c>
      <c r="GGW14" t="s">
        <v>6984</v>
      </c>
      <c r="GGX14" t="s">
        <v>6984</v>
      </c>
      <c r="GGY14" t="s">
        <v>6984</v>
      </c>
      <c r="GGZ14" t="s">
        <v>6984</v>
      </c>
      <c r="GHA14" t="s">
        <v>6984</v>
      </c>
      <c r="GHB14" t="s">
        <v>6984</v>
      </c>
      <c r="GHC14" t="s">
        <v>6984</v>
      </c>
      <c r="GHD14" t="s">
        <v>6984</v>
      </c>
      <c r="GHE14" t="s">
        <v>6984</v>
      </c>
      <c r="GHF14" t="s">
        <v>6984</v>
      </c>
      <c r="GHG14" t="s">
        <v>6984</v>
      </c>
      <c r="GHH14" t="s">
        <v>6984</v>
      </c>
      <c r="GHI14" t="s">
        <v>6984</v>
      </c>
      <c r="GHJ14" t="s">
        <v>6984</v>
      </c>
      <c r="GHK14" t="s">
        <v>6984</v>
      </c>
      <c r="GHL14" t="s">
        <v>6984</v>
      </c>
      <c r="GHM14" t="s">
        <v>6984</v>
      </c>
      <c r="GHN14" t="s">
        <v>6984</v>
      </c>
      <c r="GHO14" t="s">
        <v>6984</v>
      </c>
      <c r="GHP14" t="s">
        <v>6984</v>
      </c>
      <c r="GHQ14" t="s">
        <v>6984</v>
      </c>
      <c r="GHR14" t="s">
        <v>6984</v>
      </c>
      <c r="GHS14" t="s">
        <v>6984</v>
      </c>
      <c r="GHT14" t="s">
        <v>6984</v>
      </c>
      <c r="GHU14" t="s">
        <v>6984</v>
      </c>
      <c r="GHV14" t="s">
        <v>6984</v>
      </c>
      <c r="GHW14" t="s">
        <v>6984</v>
      </c>
      <c r="GHX14" t="s">
        <v>6984</v>
      </c>
      <c r="GHY14" t="s">
        <v>6984</v>
      </c>
      <c r="GHZ14" t="s">
        <v>6984</v>
      </c>
      <c r="GIA14" t="s">
        <v>6984</v>
      </c>
      <c r="GIB14" t="s">
        <v>6984</v>
      </c>
      <c r="GIC14" t="s">
        <v>6984</v>
      </c>
      <c r="GID14" t="s">
        <v>6984</v>
      </c>
      <c r="GIE14" t="s">
        <v>6984</v>
      </c>
      <c r="GIF14" t="s">
        <v>6984</v>
      </c>
      <c r="GIG14" t="s">
        <v>6984</v>
      </c>
      <c r="GIH14" t="s">
        <v>6984</v>
      </c>
      <c r="GII14" t="s">
        <v>6984</v>
      </c>
      <c r="GIJ14" t="s">
        <v>6984</v>
      </c>
      <c r="GIK14" t="s">
        <v>6984</v>
      </c>
      <c r="GIL14" t="s">
        <v>6984</v>
      </c>
      <c r="GIM14" t="s">
        <v>6984</v>
      </c>
      <c r="GIN14" t="s">
        <v>6984</v>
      </c>
      <c r="GIO14" t="s">
        <v>6984</v>
      </c>
      <c r="GIP14" t="s">
        <v>6984</v>
      </c>
      <c r="GIQ14" t="s">
        <v>6984</v>
      </c>
      <c r="GIR14" t="s">
        <v>6984</v>
      </c>
      <c r="GIS14" t="s">
        <v>6984</v>
      </c>
      <c r="GIT14" t="s">
        <v>6984</v>
      </c>
      <c r="GIU14" t="s">
        <v>6984</v>
      </c>
      <c r="GIV14" t="s">
        <v>6984</v>
      </c>
      <c r="GIW14" t="s">
        <v>6984</v>
      </c>
      <c r="GIX14" t="s">
        <v>6984</v>
      </c>
      <c r="GIY14" t="s">
        <v>6984</v>
      </c>
      <c r="GIZ14" t="s">
        <v>6984</v>
      </c>
      <c r="GJA14" t="s">
        <v>6984</v>
      </c>
      <c r="GJB14" t="s">
        <v>6984</v>
      </c>
      <c r="GJC14" t="s">
        <v>6984</v>
      </c>
      <c r="GJD14" t="s">
        <v>6984</v>
      </c>
      <c r="GJE14" t="s">
        <v>6984</v>
      </c>
      <c r="GJF14" t="s">
        <v>6984</v>
      </c>
      <c r="GJG14" t="s">
        <v>6984</v>
      </c>
      <c r="GJH14" t="s">
        <v>6984</v>
      </c>
      <c r="GJI14" t="s">
        <v>6984</v>
      </c>
      <c r="GJJ14" t="s">
        <v>6984</v>
      </c>
      <c r="GJK14" t="s">
        <v>6984</v>
      </c>
      <c r="GJL14" t="s">
        <v>6984</v>
      </c>
      <c r="GJM14" t="s">
        <v>6984</v>
      </c>
      <c r="GJN14" t="s">
        <v>6984</v>
      </c>
      <c r="GJO14" t="s">
        <v>6984</v>
      </c>
      <c r="GJP14" t="s">
        <v>6984</v>
      </c>
      <c r="GJQ14" t="s">
        <v>6984</v>
      </c>
      <c r="GJR14" t="s">
        <v>6984</v>
      </c>
      <c r="GJS14" t="s">
        <v>6984</v>
      </c>
      <c r="GJT14" t="s">
        <v>6984</v>
      </c>
      <c r="GJU14" t="s">
        <v>6984</v>
      </c>
      <c r="GJV14" t="s">
        <v>6984</v>
      </c>
      <c r="GJW14" t="s">
        <v>6984</v>
      </c>
      <c r="GJX14" t="s">
        <v>6984</v>
      </c>
      <c r="GJY14" t="s">
        <v>6984</v>
      </c>
      <c r="GJZ14" t="s">
        <v>6984</v>
      </c>
      <c r="GKA14" t="s">
        <v>6984</v>
      </c>
      <c r="GKB14" t="s">
        <v>6984</v>
      </c>
      <c r="GKC14" t="s">
        <v>6984</v>
      </c>
      <c r="GKD14" t="s">
        <v>6984</v>
      </c>
      <c r="GKE14" t="s">
        <v>6984</v>
      </c>
      <c r="GKF14" t="s">
        <v>6984</v>
      </c>
      <c r="GKG14" t="s">
        <v>6984</v>
      </c>
      <c r="GKH14" t="s">
        <v>6984</v>
      </c>
      <c r="GKI14" t="s">
        <v>6984</v>
      </c>
      <c r="GKJ14" t="s">
        <v>6984</v>
      </c>
      <c r="GKK14" t="s">
        <v>6984</v>
      </c>
      <c r="GKL14" t="s">
        <v>6984</v>
      </c>
      <c r="GKM14" t="s">
        <v>6984</v>
      </c>
      <c r="GKN14" t="s">
        <v>6984</v>
      </c>
      <c r="GKO14" t="s">
        <v>6984</v>
      </c>
      <c r="GKP14" t="s">
        <v>6984</v>
      </c>
      <c r="GKQ14" t="s">
        <v>6984</v>
      </c>
      <c r="GKR14" t="s">
        <v>6984</v>
      </c>
      <c r="GKS14" t="s">
        <v>6984</v>
      </c>
      <c r="GKT14" t="s">
        <v>6984</v>
      </c>
      <c r="GKU14" t="s">
        <v>6984</v>
      </c>
      <c r="GKV14" t="s">
        <v>6984</v>
      </c>
      <c r="GKW14" t="s">
        <v>6984</v>
      </c>
      <c r="GKX14" t="s">
        <v>6984</v>
      </c>
      <c r="GKY14" t="s">
        <v>6984</v>
      </c>
      <c r="GKZ14" t="s">
        <v>6984</v>
      </c>
      <c r="GLA14" t="s">
        <v>6984</v>
      </c>
      <c r="GLB14" t="s">
        <v>6984</v>
      </c>
      <c r="GLC14" t="s">
        <v>6984</v>
      </c>
      <c r="GLD14" t="s">
        <v>6984</v>
      </c>
      <c r="GLE14" t="s">
        <v>6984</v>
      </c>
      <c r="GLF14" t="s">
        <v>6984</v>
      </c>
      <c r="GLG14" t="s">
        <v>6984</v>
      </c>
      <c r="GLH14" t="s">
        <v>6984</v>
      </c>
      <c r="GLI14" t="s">
        <v>6984</v>
      </c>
      <c r="GLJ14" t="s">
        <v>6984</v>
      </c>
      <c r="GLK14" t="s">
        <v>6984</v>
      </c>
      <c r="GLL14" t="s">
        <v>6984</v>
      </c>
      <c r="GLM14" t="s">
        <v>6984</v>
      </c>
      <c r="GLN14" t="s">
        <v>6984</v>
      </c>
      <c r="GLO14" t="s">
        <v>6984</v>
      </c>
      <c r="GLP14" t="s">
        <v>6984</v>
      </c>
      <c r="GLQ14" t="s">
        <v>6984</v>
      </c>
      <c r="GLR14" t="s">
        <v>6984</v>
      </c>
      <c r="GLS14" t="s">
        <v>6984</v>
      </c>
      <c r="GLT14" t="s">
        <v>6984</v>
      </c>
      <c r="GLU14" t="s">
        <v>6984</v>
      </c>
      <c r="GLV14" t="s">
        <v>6984</v>
      </c>
      <c r="GLW14" t="s">
        <v>6984</v>
      </c>
      <c r="GLX14" t="s">
        <v>6984</v>
      </c>
      <c r="GLY14" t="s">
        <v>6984</v>
      </c>
      <c r="GLZ14" t="s">
        <v>6984</v>
      </c>
      <c r="GMA14" t="s">
        <v>6984</v>
      </c>
      <c r="GMB14" t="s">
        <v>6984</v>
      </c>
      <c r="GMC14" t="s">
        <v>6984</v>
      </c>
      <c r="GMD14" t="s">
        <v>6984</v>
      </c>
      <c r="GME14" t="s">
        <v>6984</v>
      </c>
      <c r="GMF14" t="s">
        <v>6984</v>
      </c>
      <c r="GMG14" t="s">
        <v>6984</v>
      </c>
      <c r="GMH14" t="s">
        <v>6984</v>
      </c>
      <c r="GMI14" t="s">
        <v>6984</v>
      </c>
      <c r="GMJ14" t="s">
        <v>6984</v>
      </c>
      <c r="GMK14" t="s">
        <v>6984</v>
      </c>
      <c r="GML14" t="s">
        <v>6984</v>
      </c>
      <c r="GMM14" t="s">
        <v>6984</v>
      </c>
      <c r="GMN14" t="s">
        <v>6984</v>
      </c>
      <c r="GMO14" t="s">
        <v>6984</v>
      </c>
      <c r="GMP14" t="s">
        <v>6984</v>
      </c>
      <c r="GMQ14" t="s">
        <v>6984</v>
      </c>
      <c r="GMR14" t="s">
        <v>6984</v>
      </c>
      <c r="GMS14" t="s">
        <v>6984</v>
      </c>
      <c r="GMT14" t="s">
        <v>6984</v>
      </c>
      <c r="GMU14" t="s">
        <v>6984</v>
      </c>
      <c r="GMV14" t="s">
        <v>6984</v>
      </c>
      <c r="GMW14" t="s">
        <v>6984</v>
      </c>
      <c r="GMX14" t="s">
        <v>6984</v>
      </c>
      <c r="GMY14" t="s">
        <v>6984</v>
      </c>
      <c r="GMZ14" t="s">
        <v>6984</v>
      </c>
      <c r="GNA14" t="s">
        <v>6984</v>
      </c>
      <c r="GNB14" t="s">
        <v>6984</v>
      </c>
      <c r="GNC14" t="s">
        <v>6984</v>
      </c>
      <c r="GND14" t="s">
        <v>6984</v>
      </c>
      <c r="GNE14" t="s">
        <v>6984</v>
      </c>
      <c r="GNF14" t="s">
        <v>6984</v>
      </c>
      <c r="GNG14" t="s">
        <v>6984</v>
      </c>
      <c r="GNH14" t="s">
        <v>6984</v>
      </c>
      <c r="GNI14" t="s">
        <v>6984</v>
      </c>
      <c r="GNJ14" t="s">
        <v>6984</v>
      </c>
      <c r="GNK14" t="s">
        <v>6984</v>
      </c>
      <c r="GNL14" t="s">
        <v>6984</v>
      </c>
      <c r="GNM14" t="s">
        <v>6984</v>
      </c>
      <c r="GNN14" t="s">
        <v>6984</v>
      </c>
      <c r="GNO14" t="s">
        <v>6984</v>
      </c>
      <c r="GNP14" t="s">
        <v>6984</v>
      </c>
      <c r="GNQ14" t="s">
        <v>6984</v>
      </c>
      <c r="GNR14" t="s">
        <v>6984</v>
      </c>
      <c r="GNS14" t="s">
        <v>6984</v>
      </c>
      <c r="GNT14" t="s">
        <v>6984</v>
      </c>
      <c r="GNU14" t="s">
        <v>6984</v>
      </c>
      <c r="GNV14" t="s">
        <v>6984</v>
      </c>
      <c r="GNW14" t="s">
        <v>6984</v>
      </c>
      <c r="GNX14" t="s">
        <v>6984</v>
      </c>
      <c r="GNY14" t="s">
        <v>6984</v>
      </c>
      <c r="GNZ14" t="s">
        <v>6984</v>
      </c>
      <c r="GOA14" t="s">
        <v>6984</v>
      </c>
      <c r="GOB14" t="s">
        <v>6984</v>
      </c>
      <c r="GOC14" t="s">
        <v>6984</v>
      </c>
      <c r="GOD14" t="s">
        <v>6984</v>
      </c>
      <c r="GOE14" t="s">
        <v>6984</v>
      </c>
      <c r="GOF14" t="s">
        <v>6984</v>
      </c>
      <c r="GOG14" t="s">
        <v>6984</v>
      </c>
      <c r="GOH14" t="s">
        <v>6984</v>
      </c>
      <c r="GOI14" t="s">
        <v>6984</v>
      </c>
      <c r="GOJ14" t="s">
        <v>6984</v>
      </c>
      <c r="GOK14" t="s">
        <v>6984</v>
      </c>
      <c r="GOL14" t="s">
        <v>6984</v>
      </c>
      <c r="GOM14" t="s">
        <v>6984</v>
      </c>
      <c r="GON14" t="s">
        <v>6984</v>
      </c>
      <c r="GOO14" t="s">
        <v>6984</v>
      </c>
      <c r="GOP14" t="s">
        <v>6984</v>
      </c>
      <c r="GOQ14" t="s">
        <v>6984</v>
      </c>
      <c r="GOR14" t="s">
        <v>6984</v>
      </c>
      <c r="GOS14" t="s">
        <v>6984</v>
      </c>
      <c r="GOT14" t="s">
        <v>6984</v>
      </c>
      <c r="GOU14" t="s">
        <v>6984</v>
      </c>
      <c r="GOV14" t="s">
        <v>6984</v>
      </c>
      <c r="GOW14" t="s">
        <v>6984</v>
      </c>
      <c r="GOX14" t="s">
        <v>6984</v>
      </c>
      <c r="GOY14" t="s">
        <v>6984</v>
      </c>
      <c r="GOZ14" t="s">
        <v>6984</v>
      </c>
      <c r="GPA14" t="s">
        <v>6984</v>
      </c>
      <c r="GPB14" t="s">
        <v>6984</v>
      </c>
      <c r="GPC14" t="s">
        <v>6984</v>
      </c>
      <c r="GPD14" t="s">
        <v>6984</v>
      </c>
      <c r="GPE14" t="s">
        <v>6984</v>
      </c>
      <c r="GPF14" t="s">
        <v>6984</v>
      </c>
      <c r="GPG14" t="s">
        <v>6984</v>
      </c>
      <c r="GPH14" t="s">
        <v>6984</v>
      </c>
      <c r="GPI14" t="s">
        <v>6984</v>
      </c>
      <c r="GPJ14" t="s">
        <v>6984</v>
      </c>
      <c r="GPK14" t="s">
        <v>6984</v>
      </c>
      <c r="GPL14" t="s">
        <v>6984</v>
      </c>
      <c r="GPM14" t="s">
        <v>6984</v>
      </c>
      <c r="GPN14" t="s">
        <v>6984</v>
      </c>
      <c r="GPO14" t="s">
        <v>6984</v>
      </c>
      <c r="GPP14" t="s">
        <v>6984</v>
      </c>
      <c r="GPQ14" t="s">
        <v>6984</v>
      </c>
      <c r="GPR14" t="s">
        <v>6984</v>
      </c>
      <c r="GPS14" t="s">
        <v>6984</v>
      </c>
      <c r="GPT14" t="s">
        <v>6984</v>
      </c>
      <c r="GPU14" t="s">
        <v>6984</v>
      </c>
      <c r="GPV14" t="s">
        <v>6984</v>
      </c>
      <c r="GPW14" t="s">
        <v>6984</v>
      </c>
      <c r="GPX14" t="s">
        <v>6984</v>
      </c>
      <c r="GPY14" t="s">
        <v>6984</v>
      </c>
      <c r="GPZ14" t="s">
        <v>6984</v>
      </c>
      <c r="GQA14" t="s">
        <v>6984</v>
      </c>
      <c r="GQB14" t="s">
        <v>6984</v>
      </c>
      <c r="GQC14" t="s">
        <v>6984</v>
      </c>
      <c r="GQD14" t="s">
        <v>6984</v>
      </c>
      <c r="GQE14" t="s">
        <v>6984</v>
      </c>
      <c r="GQF14" t="s">
        <v>6984</v>
      </c>
      <c r="GQG14" t="s">
        <v>6984</v>
      </c>
      <c r="GQH14" t="s">
        <v>6984</v>
      </c>
      <c r="GQI14" t="s">
        <v>6984</v>
      </c>
      <c r="GQJ14" t="s">
        <v>6984</v>
      </c>
      <c r="GQK14" t="s">
        <v>6984</v>
      </c>
      <c r="GQL14" t="s">
        <v>6984</v>
      </c>
      <c r="GQM14" t="s">
        <v>6984</v>
      </c>
      <c r="GQN14" t="s">
        <v>6984</v>
      </c>
      <c r="GQO14" t="s">
        <v>6984</v>
      </c>
      <c r="GQP14" t="s">
        <v>6984</v>
      </c>
      <c r="GQQ14" t="s">
        <v>6984</v>
      </c>
      <c r="GQR14" t="s">
        <v>6984</v>
      </c>
      <c r="GQS14" t="s">
        <v>6984</v>
      </c>
      <c r="GQT14" t="s">
        <v>6984</v>
      </c>
      <c r="GQU14" t="s">
        <v>6984</v>
      </c>
      <c r="GQV14" t="s">
        <v>6984</v>
      </c>
      <c r="GQW14" t="s">
        <v>6984</v>
      </c>
      <c r="GQX14" t="s">
        <v>6984</v>
      </c>
      <c r="GQY14" t="s">
        <v>6984</v>
      </c>
      <c r="GQZ14" t="s">
        <v>6984</v>
      </c>
      <c r="GRA14" t="s">
        <v>6984</v>
      </c>
      <c r="GRB14" t="s">
        <v>6984</v>
      </c>
      <c r="GRC14" t="s">
        <v>6984</v>
      </c>
      <c r="GRD14" t="s">
        <v>6984</v>
      </c>
      <c r="GRE14" t="s">
        <v>6984</v>
      </c>
      <c r="GRF14" t="s">
        <v>6984</v>
      </c>
      <c r="GRG14" t="s">
        <v>6984</v>
      </c>
      <c r="GRH14" t="s">
        <v>6984</v>
      </c>
      <c r="GRI14" t="s">
        <v>6984</v>
      </c>
      <c r="GRJ14" t="s">
        <v>6984</v>
      </c>
      <c r="GRK14" t="s">
        <v>6984</v>
      </c>
      <c r="GRL14" t="s">
        <v>6984</v>
      </c>
      <c r="GRM14" t="s">
        <v>6984</v>
      </c>
      <c r="GRN14" t="s">
        <v>6984</v>
      </c>
      <c r="GRO14" t="s">
        <v>6984</v>
      </c>
      <c r="GRP14" t="s">
        <v>6984</v>
      </c>
      <c r="GRQ14" t="s">
        <v>6984</v>
      </c>
      <c r="GRR14" t="s">
        <v>6984</v>
      </c>
      <c r="GRS14" t="s">
        <v>6984</v>
      </c>
      <c r="GRT14" t="s">
        <v>6984</v>
      </c>
      <c r="GRU14" t="s">
        <v>6984</v>
      </c>
      <c r="GRV14" t="s">
        <v>6984</v>
      </c>
      <c r="GRW14" t="s">
        <v>6984</v>
      </c>
      <c r="GRX14" t="s">
        <v>6984</v>
      </c>
      <c r="GRY14" t="s">
        <v>6984</v>
      </c>
      <c r="GRZ14" t="s">
        <v>6984</v>
      </c>
      <c r="GSA14" t="s">
        <v>6984</v>
      </c>
      <c r="GSB14" t="s">
        <v>6984</v>
      </c>
      <c r="GSC14" t="s">
        <v>6984</v>
      </c>
      <c r="GSD14" t="s">
        <v>6984</v>
      </c>
      <c r="GSE14" t="s">
        <v>6984</v>
      </c>
      <c r="GSF14" t="s">
        <v>6984</v>
      </c>
      <c r="GSG14" t="s">
        <v>6984</v>
      </c>
      <c r="GSH14" t="s">
        <v>6984</v>
      </c>
      <c r="GSI14" t="s">
        <v>6984</v>
      </c>
      <c r="GSJ14" t="s">
        <v>6984</v>
      </c>
      <c r="GSK14" t="s">
        <v>6984</v>
      </c>
      <c r="GSL14" t="s">
        <v>6984</v>
      </c>
      <c r="GSM14" t="s">
        <v>6984</v>
      </c>
      <c r="GSN14" t="s">
        <v>6984</v>
      </c>
      <c r="GSO14" t="s">
        <v>6984</v>
      </c>
      <c r="GSP14" t="s">
        <v>6984</v>
      </c>
      <c r="GSQ14" t="s">
        <v>6984</v>
      </c>
      <c r="GSR14" t="s">
        <v>6984</v>
      </c>
      <c r="GSS14" t="s">
        <v>6984</v>
      </c>
      <c r="GST14" t="s">
        <v>6984</v>
      </c>
      <c r="GSU14" t="s">
        <v>6984</v>
      </c>
      <c r="GSV14" t="s">
        <v>6984</v>
      </c>
      <c r="GSW14" t="s">
        <v>6984</v>
      </c>
      <c r="GSX14" t="s">
        <v>6984</v>
      </c>
      <c r="GSY14" t="s">
        <v>6984</v>
      </c>
      <c r="GSZ14" t="s">
        <v>6984</v>
      </c>
      <c r="GTA14" t="s">
        <v>6984</v>
      </c>
      <c r="GTB14" t="s">
        <v>6984</v>
      </c>
      <c r="GTC14" t="s">
        <v>6984</v>
      </c>
      <c r="GTD14" t="s">
        <v>6984</v>
      </c>
      <c r="GTE14" t="s">
        <v>6984</v>
      </c>
      <c r="GTF14" t="s">
        <v>6984</v>
      </c>
      <c r="GTG14" t="s">
        <v>6984</v>
      </c>
      <c r="GTH14" t="s">
        <v>6984</v>
      </c>
      <c r="GTI14" t="s">
        <v>6984</v>
      </c>
      <c r="GTJ14" t="s">
        <v>6984</v>
      </c>
      <c r="GTK14" t="s">
        <v>6984</v>
      </c>
      <c r="GTL14" t="s">
        <v>6984</v>
      </c>
      <c r="GTM14" t="s">
        <v>6984</v>
      </c>
      <c r="GTN14" t="s">
        <v>6984</v>
      </c>
      <c r="GTO14" t="s">
        <v>6984</v>
      </c>
      <c r="GTP14" t="s">
        <v>6984</v>
      </c>
      <c r="GTQ14" t="s">
        <v>6984</v>
      </c>
      <c r="GTR14" t="s">
        <v>6984</v>
      </c>
      <c r="GTS14" t="s">
        <v>6984</v>
      </c>
      <c r="GTT14" t="s">
        <v>6984</v>
      </c>
      <c r="GTU14" t="s">
        <v>6984</v>
      </c>
      <c r="GTV14" t="s">
        <v>6984</v>
      </c>
      <c r="GTW14" t="s">
        <v>6984</v>
      </c>
      <c r="GTX14" t="s">
        <v>6984</v>
      </c>
      <c r="GTY14" t="s">
        <v>6984</v>
      </c>
      <c r="GTZ14" t="s">
        <v>6984</v>
      </c>
      <c r="GUA14" t="s">
        <v>6984</v>
      </c>
      <c r="GUB14" t="s">
        <v>6984</v>
      </c>
      <c r="GUC14" t="s">
        <v>6984</v>
      </c>
      <c r="GUD14" t="s">
        <v>6984</v>
      </c>
      <c r="GUE14" t="s">
        <v>6984</v>
      </c>
      <c r="GUF14" t="s">
        <v>6984</v>
      </c>
      <c r="GUG14" t="s">
        <v>6984</v>
      </c>
      <c r="GUH14" t="s">
        <v>6984</v>
      </c>
      <c r="GUI14" t="s">
        <v>6984</v>
      </c>
      <c r="GUJ14" t="s">
        <v>6984</v>
      </c>
      <c r="GUK14" t="s">
        <v>6984</v>
      </c>
      <c r="GUL14" t="s">
        <v>6984</v>
      </c>
      <c r="GUM14" t="s">
        <v>6984</v>
      </c>
      <c r="GUN14" t="s">
        <v>6984</v>
      </c>
      <c r="GUO14" t="s">
        <v>6984</v>
      </c>
      <c r="GUP14" t="s">
        <v>6984</v>
      </c>
      <c r="GUQ14" t="s">
        <v>6984</v>
      </c>
      <c r="GUR14" t="s">
        <v>6984</v>
      </c>
      <c r="GUS14" t="s">
        <v>6984</v>
      </c>
      <c r="GUT14" t="s">
        <v>6984</v>
      </c>
      <c r="GUU14" t="s">
        <v>6984</v>
      </c>
      <c r="GUV14" t="s">
        <v>6984</v>
      </c>
      <c r="GUW14" t="s">
        <v>6984</v>
      </c>
      <c r="GUX14" t="s">
        <v>6984</v>
      </c>
      <c r="GUY14" t="s">
        <v>6984</v>
      </c>
      <c r="GUZ14" t="s">
        <v>6984</v>
      </c>
      <c r="GVA14" t="s">
        <v>6984</v>
      </c>
      <c r="GVB14" t="s">
        <v>6984</v>
      </c>
      <c r="GVC14" t="s">
        <v>6984</v>
      </c>
      <c r="GVD14" t="s">
        <v>6984</v>
      </c>
      <c r="GVE14" t="s">
        <v>6984</v>
      </c>
      <c r="GVF14" t="s">
        <v>6984</v>
      </c>
      <c r="GVG14" t="s">
        <v>6984</v>
      </c>
      <c r="GVH14" t="s">
        <v>6984</v>
      </c>
      <c r="GVI14" t="s">
        <v>6984</v>
      </c>
      <c r="GVJ14" t="s">
        <v>6984</v>
      </c>
      <c r="GVK14" t="s">
        <v>6984</v>
      </c>
      <c r="GVL14" t="s">
        <v>6984</v>
      </c>
      <c r="GVM14" t="s">
        <v>6984</v>
      </c>
      <c r="GVN14" t="s">
        <v>6984</v>
      </c>
      <c r="GVO14" t="s">
        <v>6984</v>
      </c>
      <c r="GVP14" t="s">
        <v>6984</v>
      </c>
      <c r="GVQ14" t="s">
        <v>6984</v>
      </c>
      <c r="GVR14" t="s">
        <v>6984</v>
      </c>
      <c r="GVS14" t="s">
        <v>6984</v>
      </c>
      <c r="GVT14" t="s">
        <v>6984</v>
      </c>
      <c r="GVU14" t="s">
        <v>6984</v>
      </c>
      <c r="GVV14" t="s">
        <v>6984</v>
      </c>
      <c r="GVW14" t="s">
        <v>6984</v>
      </c>
      <c r="GVX14" t="s">
        <v>6984</v>
      </c>
      <c r="GVY14" t="s">
        <v>6984</v>
      </c>
      <c r="GVZ14" t="s">
        <v>6984</v>
      </c>
      <c r="GWA14" t="s">
        <v>6984</v>
      </c>
      <c r="GWB14" t="s">
        <v>6984</v>
      </c>
      <c r="GWC14" t="s">
        <v>6984</v>
      </c>
      <c r="GWD14" t="s">
        <v>6984</v>
      </c>
      <c r="GWE14" t="s">
        <v>6984</v>
      </c>
      <c r="GWF14" t="s">
        <v>6984</v>
      </c>
      <c r="GWG14" t="s">
        <v>6984</v>
      </c>
      <c r="GWH14" t="s">
        <v>6984</v>
      </c>
      <c r="GWI14" t="s">
        <v>6984</v>
      </c>
      <c r="GWJ14" t="s">
        <v>6984</v>
      </c>
      <c r="GWK14" t="s">
        <v>6984</v>
      </c>
      <c r="GWL14" t="s">
        <v>6984</v>
      </c>
      <c r="GWM14" t="s">
        <v>6984</v>
      </c>
      <c r="GWN14" t="s">
        <v>6984</v>
      </c>
      <c r="GWO14" t="s">
        <v>6984</v>
      </c>
      <c r="GWP14" t="s">
        <v>6984</v>
      </c>
      <c r="GWQ14" t="s">
        <v>6984</v>
      </c>
      <c r="GWR14" t="s">
        <v>6984</v>
      </c>
      <c r="GWS14" t="s">
        <v>6984</v>
      </c>
      <c r="GWT14" t="s">
        <v>6984</v>
      </c>
      <c r="GWU14" t="s">
        <v>6984</v>
      </c>
      <c r="GWV14" t="s">
        <v>6984</v>
      </c>
      <c r="GWW14" t="s">
        <v>6984</v>
      </c>
      <c r="GWX14" t="s">
        <v>6984</v>
      </c>
      <c r="GWY14" t="s">
        <v>6984</v>
      </c>
      <c r="GWZ14" t="s">
        <v>6984</v>
      </c>
      <c r="GXA14" t="s">
        <v>6984</v>
      </c>
      <c r="GXB14" t="s">
        <v>6984</v>
      </c>
      <c r="GXC14" t="s">
        <v>6984</v>
      </c>
      <c r="GXD14" t="s">
        <v>6984</v>
      </c>
      <c r="GXE14" t="s">
        <v>6984</v>
      </c>
      <c r="GXF14" t="s">
        <v>6984</v>
      </c>
      <c r="GXG14" t="s">
        <v>6984</v>
      </c>
      <c r="GXH14" t="s">
        <v>6984</v>
      </c>
      <c r="GXI14" t="s">
        <v>6984</v>
      </c>
      <c r="GXJ14" t="s">
        <v>6984</v>
      </c>
      <c r="GXK14" t="s">
        <v>6984</v>
      </c>
      <c r="GXL14" t="s">
        <v>6984</v>
      </c>
      <c r="GXM14" t="s">
        <v>6984</v>
      </c>
      <c r="GXN14" t="s">
        <v>6984</v>
      </c>
      <c r="GXO14" t="s">
        <v>6984</v>
      </c>
      <c r="GXP14" t="s">
        <v>6984</v>
      </c>
      <c r="GXQ14" t="s">
        <v>6984</v>
      </c>
      <c r="GXR14" t="s">
        <v>6984</v>
      </c>
      <c r="GXS14" t="s">
        <v>6984</v>
      </c>
      <c r="GXT14" t="s">
        <v>6984</v>
      </c>
      <c r="GXU14" t="s">
        <v>6984</v>
      </c>
      <c r="GXV14" t="s">
        <v>6984</v>
      </c>
      <c r="GXW14" t="s">
        <v>6984</v>
      </c>
      <c r="GXX14" t="s">
        <v>6984</v>
      </c>
      <c r="GXY14" t="s">
        <v>6984</v>
      </c>
      <c r="GXZ14" t="s">
        <v>6984</v>
      </c>
      <c r="GYA14" t="s">
        <v>6984</v>
      </c>
      <c r="GYB14" t="s">
        <v>6984</v>
      </c>
      <c r="GYC14" t="s">
        <v>6984</v>
      </c>
      <c r="GYD14" t="s">
        <v>6984</v>
      </c>
      <c r="GYE14" t="s">
        <v>6984</v>
      </c>
      <c r="GYF14" t="s">
        <v>6984</v>
      </c>
      <c r="GYG14" t="s">
        <v>6984</v>
      </c>
      <c r="GYH14" t="s">
        <v>6984</v>
      </c>
      <c r="GYI14" t="s">
        <v>6984</v>
      </c>
      <c r="GYJ14" t="s">
        <v>6984</v>
      </c>
      <c r="GYK14" t="s">
        <v>6984</v>
      </c>
      <c r="GYL14" t="s">
        <v>6984</v>
      </c>
      <c r="GYM14" t="s">
        <v>6984</v>
      </c>
      <c r="GYN14" t="s">
        <v>6984</v>
      </c>
      <c r="GYO14" t="s">
        <v>6984</v>
      </c>
      <c r="GYP14" t="s">
        <v>6984</v>
      </c>
      <c r="GYQ14" t="s">
        <v>6984</v>
      </c>
      <c r="GYR14" t="s">
        <v>6984</v>
      </c>
      <c r="GYS14" t="s">
        <v>6984</v>
      </c>
      <c r="GYT14" t="s">
        <v>6984</v>
      </c>
      <c r="GYU14" t="s">
        <v>6984</v>
      </c>
      <c r="GYV14" t="s">
        <v>6984</v>
      </c>
      <c r="GYW14" t="s">
        <v>6984</v>
      </c>
      <c r="GYX14" t="s">
        <v>6984</v>
      </c>
      <c r="GYY14" t="s">
        <v>6984</v>
      </c>
      <c r="GYZ14" t="s">
        <v>6984</v>
      </c>
      <c r="GZA14" t="s">
        <v>6984</v>
      </c>
      <c r="GZB14" t="s">
        <v>6984</v>
      </c>
      <c r="GZC14" t="s">
        <v>6984</v>
      </c>
      <c r="GZD14" t="s">
        <v>6984</v>
      </c>
      <c r="GZE14" t="s">
        <v>6984</v>
      </c>
      <c r="GZF14" t="s">
        <v>6984</v>
      </c>
      <c r="GZG14" t="s">
        <v>6984</v>
      </c>
      <c r="GZH14" t="s">
        <v>6984</v>
      </c>
      <c r="GZI14" t="s">
        <v>6984</v>
      </c>
      <c r="GZJ14" t="s">
        <v>6984</v>
      </c>
      <c r="GZK14" t="s">
        <v>6984</v>
      </c>
      <c r="GZL14" t="s">
        <v>6984</v>
      </c>
      <c r="GZM14" t="s">
        <v>6984</v>
      </c>
      <c r="GZN14" t="s">
        <v>6984</v>
      </c>
      <c r="GZO14" t="s">
        <v>6984</v>
      </c>
      <c r="GZP14" t="s">
        <v>6984</v>
      </c>
      <c r="GZQ14" t="s">
        <v>6984</v>
      </c>
      <c r="GZR14" t="s">
        <v>6984</v>
      </c>
      <c r="GZS14" t="s">
        <v>6984</v>
      </c>
      <c r="GZT14" t="s">
        <v>6984</v>
      </c>
      <c r="GZU14" t="s">
        <v>6984</v>
      </c>
      <c r="GZV14" t="s">
        <v>6984</v>
      </c>
      <c r="GZW14" t="s">
        <v>6984</v>
      </c>
      <c r="GZX14" t="s">
        <v>6984</v>
      </c>
      <c r="GZY14" t="s">
        <v>6984</v>
      </c>
      <c r="GZZ14" t="s">
        <v>6984</v>
      </c>
      <c r="HAA14" t="s">
        <v>6984</v>
      </c>
      <c r="HAB14" t="s">
        <v>6984</v>
      </c>
      <c r="HAC14" t="s">
        <v>6984</v>
      </c>
      <c r="HAD14" t="s">
        <v>6984</v>
      </c>
      <c r="HAE14" t="s">
        <v>6984</v>
      </c>
      <c r="HAF14" t="s">
        <v>6984</v>
      </c>
      <c r="HAG14" t="s">
        <v>6984</v>
      </c>
      <c r="HAH14" t="s">
        <v>6984</v>
      </c>
      <c r="HAI14" t="s">
        <v>6984</v>
      </c>
      <c r="HAJ14" t="s">
        <v>6984</v>
      </c>
      <c r="HAK14" t="s">
        <v>6984</v>
      </c>
      <c r="HAL14" t="s">
        <v>6984</v>
      </c>
      <c r="HAM14" t="s">
        <v>6984</v>
      </c>
      <c r="HAN14" t="s">
        <v>6984</v>
      </c>
      <c r="HAO14" t="s">
        <v>6984</v>
      </c>
      <c r="HAP14" t="s">
        <v>6984</v>
      </c>
      <c r="HAQ14" t="s">
        <v>6984</v>
      </c>
      <c r="HAR14" t="s">
        <v>6984</v>
      </c>
      <c r="HAS14" t="s">
        <v>6984</v>
      </c>
      <c r="HAT14" t="s">
        <v>6984</v>
      </c>
      <c r="HAU14" t="s">
        <v>6984</v>
      </c>
      <c r="HAV14" t="s">
        <v>6984</v>
      </c>
      <c r="HAW14" t="s">
        <v>6984</v>
      </c>
      <c r="HAX14" t="s">
        <v>6984</v>
      </c>
      <c r="HAY14" t="s">
        <v>6984</v>
      </c>
      <c r="HAZ14" t="s">
        <v>6984</v>
      </c>
      <c r="HBA14" t="s">
        <v>6984</v>
      </c>
      <c r="HBB14" t="s">
        <v>6984</v>
      </c>
      <c r="HBC14" t="s">
        <v>6984</v>
      </c>
      <c r="HBD14" t="s">
        <v>6984</v>
      </c>
      <c r="HBE14" t="s">
        <v>6984</v>
      </c>
      <c r="HBF14" t="s">
        <v>6984</v>
      </c>
      <c r="HBG14" t="s">
        <v>6984</v>
      </c>
      <c r="HBH14" t="s">
        <v>6984</v>
      </c>
      <c r="HBI14" t="s">
        <v>6984</v>
      </c>
      <c r="HBJ14" t="s">
        <v>6984</v>
      </c>
      <c r="HBK14" t="s">
        <v>6984</v>
      </c>
      <c r="HBL14" t="s">
        <v>6984</v>
      </c>
      <c r="HBM14" t="s">
        <v>6984</v>
      </c>
      <c r="HBN14" t="s">
        <v>6984</v>
      </c>
      <c r="HBO14" t="s">
        <v>6984</v>
      </c>
      <c r="HBP14" t="s">
        <v>6984</v>
      </c>
      <c r="HBQ14" t="s">
        <v>6984</v>
      </c>
      <c r="HBR14" t="s">
        <v>6984</v>
      </c>
      <c r="HBS14" t="s">
        <v>6984</v>
      </c>
      <c r="HBT14" t="s">
        <v>6984</v>
      </c>
      <c r="HBU14" t="s">
        <v>6984</v>
      </c>
      <c r="HBV14" t="s">
        <v>6984</v>
      </c>
      <c r="HBW14" t="s">
        <v>6984</v>
      </c>
      <c r="HBX14" t="s">
        <v>6984</v>
      </c>
      <c r="HBY14" t="s">
        <v>6984</v>
      </c>
      <c r="HBZ14" t="s">
        <v>6984</v>
      </c>
      <c r="HCA14" t="s">
        <v>6984</v>
      </c>
      <c r="HCB14" t="s">
        <v>6984</v>
      </c>
      <c r="HCC14" t="s">
        <v>6984</v>
      </c>
      <c r="HCD14" t="s">
        <v>6984</v>
      </c>
      <c r="HCE14" t="s">
        <v>6984</v>
      </c>
      <c r="HCF14" t="s">
        <v>6984</v>
      </c>
      <c r="HCG14" t="s">
        <v>6984</v>
      </c>
      <c r="HCH14" t="s">
        <v>6984</v>
      </c>
      <c r="HCI14" t="s">
        <v>6984</v>
      </c>
      <c r="HCJ14" t="s">
        <v>6984</v>
      </c>
      <c r="HCK14" t="s">
        <v>6984</v>
      </c>
      <c r="HCL14" t="s">
        <v>6984</v>
      </c>
      <c r="HCM14" t="s">
        <v>6984</v>
      </c>
      <c r="HCN14" t="s">
        <v>6984</v>
      </c>
      <c r="HCO14" t="s">
        <v>6984</v>
      </c>
      <c r="HCP14" t="s">
        <v>6984</v>
      </c>
      <c r="HCQ14" t="s">
        <v>6984</v>
      </c>
      <c r="HCR14" t="s">
        <v>6984</v>
      </c>
      <c r="HCS14" t="s">
        <v>6984</v>
      </c>
      <c r="HCT14" t="s">
        <v>6984</v>
      </c>
      <c r="HCU14" t="s">
        <v>6984</v>
      </c>
      <c r="HCV14" t="s">
        <v>6984</v>
      </c>
      <c r="HCW14" t="s">
        <v>6984</v>
      </c>
      <c r="HCX14" t="s">
        <v>6984</v>
      </c>
      <c r="HCY14" t="s">
        <v>6984</v>
      </c>
      <c r="HCZ14" t="s">
        <v>6984</v>
      </c>
      <c r="HDA14" t="s">
        <v>6984</v>
      </c>
      <c r="HDB14" t="s">
        <v>6984</v>
      </c>
      <c r="HDC14" t="s">
        <v>6984</v>
      </c>
      <c r="HDD14" t="s">
        <v>6984</v>
      </c>
      <c r="HDE14" t="s">
        <v>6984</v>
      </c>
      <c r="HDF14" t="s">
        <v>6984</v>
      </c>
      <c r="HDG14" t="s">
        <v>6984</v>
      </c>
      <c r="HDH14" t="s">
        <v>6984</v>
      </c>
      <c r="HDI14" t="s">
        <v>6984</v>
      </c>
      <c r="HDJ14" t="s">
        <v>6984</v>
      </c>
      <c r="HDK14" t="s">
        <v>6984</v>
      </c>
      <c r="HDL14" t="s">
        <v>6984</v>
      </c>
      <c r="HDM14" t="s">
        <v>6984</v>
      </c>
      <c r="HDN14" t="s">
        <v>6984</v>
      </c>
      <c r="HDO14" t="s">
        <v>6984</v>
      </c>
      <c r="HDP14" t="s">
        <v>6984</v>
      </c>
      <c r="HDQ14" t="s">
        <v>6984</v>
      </c>
      <c r="HDR14" t="s">
        <v>6984</v>
      </c>
      <c r="HDS14" t="s">
        <v>6984</v>
      </c>
      <c r="HDT14" t="s">
        <v>6984</v>
      </c>
      <c r="HDU14" t="s">
        <v>6984</v>
      </c>
      <c r="HDV14" t="s">
        <v>6984</v>
      </c>
      <c r="HDW14" t="s">
        <v>6984</v>
      </c>
      <c r="HDX14" t="s">
        <v>6984</v>
      </c>
      <c r="HDY14" t="s">
        <v>6984</v>
      </c>
      <c r="HDZ14" t="s">
        <v>6984</v>
      </c>
      <c r="HEA14" t="s">
        <v>6984</v>
      </c>
      <c r="HEB14" t="s">
        <v>6984</v>
      </c>
      <c r="HEC14" t="s">
        <v>6984</v>
      </c>
      <c r="HED14" t="s">
        <v>6984</v>
      </c>
      <c r="HEE14" t="s">
        <v>6984</v>
      </c>
      <c r="HEF14" t="s">
        <v>6984</v>
      </c>
      <c r="HEG14" t="s">
        <v>6984</v>
      </c>
      <c r="HEH14" t="s">
        <v>6984</v>
      </c>
      <c r="HEI14" t="s">
        <v>6984</v>
      </c>
      <c r="HEJ14" t="s">
        <v>6984</v>
      </c>
      <c r="HEK14" t="s">
        <v>6984</v>
      </c>
      <c r="HEL14" t="s">
        <v>6984</v>
      </c>
      <c r="HEM14" t="s">
        <v>6984</v>
      </c>
      <c r="HEN14" t="s">
        <v>6984</v>
      </c>
      <c r="HEO14" t="s">
        <v>6984</v>
      </c>
      <c r="HEP14" t="s">
        <v>6984</v>
      </c>
      <c r="HEQ14" t="s">
        <v>6984</v>
      </c>
      <c r="HER14" t="s">
        <v>6984</v>
      </c>
      <c r="HES14" t="s">
        <v>6984</v>
      </c>
      <c r="HET14" t="s">
        <v>6984</v>
      </c>
      <c r="HEU14" t="s">
        <v>6984</v>
      </c>
      <c r="HEV14" t="s">
        <v>6984</v>
      </c>
      <c r="HEW14" t="s">
        <v>6984</v>
      </c>
      <c r="HEX14" t="s">
        <v>6984</v>
      </c>
      <c r="HEY14" t="s">
        <v>6984</v>
      </c>
      <c r="HEZ14" t="s">
        <v>6984</v>
      </c>
      <c r="HFA14" t="s">
        <v>6984</v>
      </c>
      <c r="HFB14" t="s">
        <v>6984</v>
      </c>
      <c r="HFC14" t="s">
        <v>6984</v>
      </c>
      <c r="HFD14" t="s">
        <v>6984</v>
      </c>
      <c r="HFE14" t="s">
        <v>6984</v>
      </c>
      <c r="HFF14" t="s">
        <v>6984</v>
      </c>
      <c r="HFG14" t="s">
        <v>6984</v>
      </c>
      <c r="HFH14" t="s">
        <v>6984</v>
      </c>
      <c r="HFI14" t="s">
        <v>6984</v>
      </c>
      <c r="HFJ14" t="s">
        <v>6984</v>
      </c>
      <c r="HFK14" t="s">
        <v>6984</v>
      </c>
      <c r="HFL14" t="s">
        <v>6984</v>
      </c>
      <c r="HFM14" t="s">
        <v>6984</v>
      </c>
      <c r="HFN14" t="s">
        <v>6984</v>
      </c>
      <c r="HFO14" t="s">
        <v>6984</v>
      </c>
      <c r="HFP14" t="s">
        <v>6984</v>
      </c>
      <c r="HFQ14" t="s">
        <v>6984</v>
      </c>
      <c r="HFR14" t="s">
        <v>6984</v>
      </c>
      <c r="HFS14" t="s">
        <v>6984</v>
      </c>
      <c r="HFT14" t="s">
        <v>6984</v>
      </c>
      <c r="HFU14" t="s">
        <v>6984</v>
      </c>
      <c r="HFV14" t="s">
        <v>6984</v>
      </c>
      <c r="HFW14" t="s">
        <v>6984</v>
      </c>
      <c r="HFX14" t="s">
        <v>6984</v>
      </c>
      <c r="HFY14" t="s">
        <v>6984</v>
      </c>
      <c r="HFZ14" t="s">
        <v>6984</v>
      </c>
      <c r="HGA14" t="s">
        <v>6984</v>
      </c>
      <c r="HGB14" t="s">
        <v>6984</v>
      </c>
      <c r="HGC14" t="s">
        <v>6984</v>
      </c>
      <c r="HGD14" t="s">
        <v>6984</v>
      </c>
      <c r="HGE14" t="s">
        <v>6984</v>
      </c>
      <c r="HGF14" t="s">
        <v>6984</v>
      </c>
      <c r="HGG14" t="s">
        <v>6984</v>
      </c>
      <c r="HGH14" t="s">
        <v>6984</v>
      </c>
      <c r="HGI14" t="s">
        <v>6984</v>
      </c>
      <c r="HGJ14" t="s">
        <v>6984</v>
      </c>
      <c r="HGK14" t="s">
        <v>6984</v>
      </c>
      <c r="HGL14" t="s">
        <v>6984</v>
      </c>
      <c r="HGM14" t="s">
        <v>6984</v>
      </c>
      <c r="HGN14" t="s">
        <v>6984</v>
      </c>
      <c r="HGO14" t="s">
        <v>6984</v>
      </c>
      <c r="HGP14" t="s">
        <v>6984</v>
      </c>
      <c r="HGQ14" t="s">
        <v>6984</v>
      </c>
      <c r="HGR14" t="s">
        <v>6984</v>
      </c>
      <c r="HGS14" t="s">
        <v>6984</v>
      </c>
      <c r="HGT14" t="s">
        <v>6984</v>
      </c>
      <c r="HGU14" t="s">
        <v>6984</v>
      </c>
      <c r="HGV14" t="s">
        <v>6984</v>
      </c>
      <c r="HGW14" t="s">
        <v>6984</v>
      </c>
      <c r="HGX14" t="s">
        <v>6984</v>
      </c>
      <c r="HGY14" t="s">
        <v>6984</v>
      </c>
      <c r="HGZ14" t="s">
        <v>6984</v>
      </c>
      <c r="HHA14" t="s">
        <v>6984</v>
      </c>
      <c r="HHB14" t="s">
        <v>6984</v>
      </c>
      <c r="HHC14" t="s">
        <v>6984</v>
      </c>
      <c r="HHD14" t="s">
        <v>6984</v>
      </c>
      <c r="HHE14" t="s">
        <v>6984</v>
      </c>
      <c r="HHF14" t="s">
        <v>6984</v>
      </c>
      <c r="HHG14" t="s">
        <v>6984</v>
      </c>
      <c r="HHH14" t="s">
        <v>6984</v>
      </c>
      <c r="HHI14" t="s">
        <v>6984</v>
      </c>
      <c r="HHJ14" t="s">
        <v>6984</v>
      </c>
      <c r="HHK14" t="s">
        <v>6984</v>
      </c>
      <c r="HHL14" t="s">
        <v>6984</v>
      </c>
      <c r="HHM14" t="s">
        <v>6984</v>
      </c>
      <c r="HHN14" t="s">
        <v>6984</v>
      </c>
      <c r="HHO14" t="s">
        <v>6984</v>
      </c>
      <c r="HHP14" t="s">
        <v>6984</v>
      </c>
      <c r="HHQ14" t="s">
        <v>6984</v>
      </c>
      <c r="HHR14" t="s">
        <v>6984</v>
      </c>
      <c r="HHS14" t="s">
        <v>6984</v>
      </c>
      <c r="HHT14" t="s">
        <v>6984</v>
      </c>
      <c r="HHU14" t="s">
        <v>6984</v>
      </c>
      <c r="HHV14" t="s">
        <v>6984</v>
      </c>
      <c r="HHW14" t="s">
        <v>6984</v>
      </c>
      <c r="HHX14" t="s">
        <v>6984</v>
      </c>
      <c r="HHY14" t="s">
        <v>6984</v>
      </c>
      <c r="HHZ14" t="s">
        <v>6984</v>
      </c>
      <c r="HIA14" t="s">
        <v>6984</v>
      </c>
      <c r="HIB14" t="s">
        <v>6984</v>
      </c>
      <c r="HIC14" t="s">
        <v>6984</v>
      </c>
      <c r="HID14" t="s">
        <v>6984</v>
      </c>
      <c r="HIE14" t="s">
        <v>6984</v>
      </c>
      <c r="HIF14" t="s">
        <v>6984</v>
      </c>
      <c r="HIG14" t="s">
        <v>6984</v>
      </c>
      <c r="HIH14" t="s">
        <v>6984</v>
      </c>
      <c r="HII14" t="s">
        <v>6984</v>
      </c>
      <c r="HIJ14" t="s">
        <v>6984</v>
      </c>
      <c r="HIK14" t="s">
        <v>6984</v>
      </c>
      <c r="HIL14" t="s">
        <v>6984</v>
      </c>
      <c r="HIM14" t="s">
        <v>6984</v>
      </c>
      <c r="HIN14" t="s">
        <v>6984</v>
      </c>
      <c r="HIO14" t="s">
        <v>6984</v>
      </c>
      <c r="HIP14" t="s">
        <v>6984</v>
      </c>
      <c r="HIQ14" t="s">
        <v>6984</v>
      </c>
      <c r="HIR14" t="s">
        <v>6984</v>
      </c>
      <c r="HIS14" t="s">
        <v>6984</v>
      </c>
      <c r="HIT14" t="s">
        <v>6984</v>
      </c>
      <c r="HIU14" t="s">
        <v>6984</v>
      </c>
      <c r="HIV14" t="s">
        <v>6984</v>
      </c>
      <c r="HIW14" t="s">
        <v>6984</v>
      </c>
      <c r="HIX14" t="s">
        <v>6984</v>
      </c>
      <c r="HIY14" t="s">
        <v>6984</v>
      </c>
      <c r="HIZ14" t="s">
        <v>6984</v>
      </c>
      <c r="HJA14" t="s">
        <v>6984</v>
      </c>
      <c r="HJB14" t="s">
        <v>6984</v>
      </c>
      <c r="HJC14" t="s">
        <v>6984</v>
      </c>
      <c r="HJD14" t="s">
        <v>6984</v>
      </c>
      <c r="HJE14" t="s">
        <v>6984</v>
      </c>
      <c r="HJF14" t="s">
        <v>6984</v>
      </c>
      <c r="HJG14" t="s">
        <v>6984</v>
      </c>
      <c r="HJH14" t="s">
        <v>6984</v>
      </c>
      <c r="HJI14" t="s">
        <v>6984</v>
      </c>
      <c r="HJJ14" t="s">
        <v>6984</v>
      </c>
      <c r="HJK14" t="s">
        <v>6984</v>
      </c>
      <c r="HJL14" t="s">
        <v>6984</v>
      </c>
      <c r="HJM14" t="s">
        <v>6984</v>
      </c>
      <c r="HJN14" t="s">
        <v>6984</v>
      </c>
      <c r="HJO14" t="s">
        <v>6984</v>
      </c>
      <c r="HJP14" t="s">
        <v>6984</v>
      </c>
      <c r="HJQ14" t="s">
        <v>6984</v>
      </c>
      <c r="HJR14" t="s">
        <v>6984</v>
      </c>
      <c r="HJS14" t="s">
        <v>6984</v>
      </c>
      <c r="HJT14" t="s">
        <v>6984</v>
      </c>
      <c r="HJU14" t="s">
        <v>6984</v>
      </c>
      <c r="HJV14" t="s">
        <v>6984</v>
      </c>
      <c r="HJW14" t="s">
        <v>6984</v>
      </c>
      <c r="HJX14" t="s">
        <v>6984</v>
      </c>
      <c r="HJY14" t="s">
        <v>6984</v>
      </c>
      <c r="HJZ14" t="s">
        <v>6984</v>
      </c>
      <c r="HKA14" t="s">
        <v>6984</v>
      </c>
      <c r="HKB14" t="s">
        <v>6984</v>
      </c>
      <c r="HKC14" t="s">
        <v>6984</v>
      </c>
      <c r="HKD14" t="s">
        <v>6984</v>
      </c>
      <c r="HKE14" t="s">
        <v>6984</v>
      </c>
      <c r="HKF14" t="s">
        <v>6984</v>
      </c>
      <c r="HKG14" t="s">
        <v>6984</v>
      </c>
      <c r="HKH14" t="s">
        <v>6984</v>
      </c>
      <c r="HKI14" t="s">
        <v>6984</v>
      </c>
      <c r="HKJ14" t="s">
        <v>6984</v>
      </c>
      <c r="HKK14" t="s">
        <v>6984</v>
      </c>
      <c r="HKL14" t="s">
        <v>6984</v>
      </c>
      <c r="HKM14" t="s">
        <v>6984</v>
      </c>
      <c r="HKN14" t="s">
        <v>6984</v>
      </c>
      <c r="HKO14" t="s">
        <v>6984</v>
      </c>
      <c r="HKP14" t="s">
        <v>6984</v>
      </c>
      <c r="HKQ14" t="s">
        <v>6984</v>
      </c>
      <c r="HKR14" t="s">
        <v>6984</v>
      </c>
      <c r="HKS14" t="s">
        <v>6984</v>
      </c>
      <c r="HKT14" t="s">
        <v>6984</v>
      </c>
      <c r="HKU14" t="s">
        <v>6984</v>
      </c>
      <c r="HKV14" t="s">
        <v>6984</v>
      </c>
      <c r="HKW14" t="s">
        <v>6984</v>
      </c>
      <c r="HKX14" t="s">
        <v>6984</v>
      </c>
      <c r="HKY14" t="s">
        <v>6984</v>
      </c>
      <c r="HKZ14" t="s">
        <v>6984</v>
      </c>
      <c r="HLA14" t="s">
        <v>6984</v>
      </c>
      <c r="HLB14" t="s">
        <v>6984</v>
      </c>
      <c r="HLC14" t="s">
        <v>6984</v>
      </c>
      <c r="HLD14" t="s">
        <v>6984</v>
      </c>
      <c r="HLE14" t="s">
        <v>6984</v>
      </c>
      <c r="HLF14" t="s">
        <v>6984</v>
      </c>
      <c r="HLG14" t="s">
        <v>6984</v>
      </c>
      <c r="HLH14" t="s">
        <v>6984</v>
      </c>
      <c r="HLI14" t="s">
        <v>6984</v>
      </c>
      <c r="HLJ14" t="s">
        <v>6984</v>
      </c>
      <c r="HLK14" t="s">
        <v>6984</v>
      </c>
      <c r="HLL14" t="s">
        <v>6984</v>
      </c>
      <c r="HLM14" t="s">
        <v>6984</v>
      </c>
      <c r="HLN14" t="s">
        <v>6984</v>
      </c>
      <c r="HLO14" t="s">
        <v>6984</v>
      </c>
      <c r="HLP14" t="s">
        <v>6984</v>
      </c>
      <c r="HLQ14" t="s">
        <v>6984</v>
      </c>
      <c r="HLR14" t="s">
        <v>6984</v>
      </c>
      <c r="HLS14" t="s">
        <v>6984</v>
      </c>
      <c r="HLT14" t="s">
        <v>6984</v>
      </c>
      <c r="HLU14" t="s">
        <v>6984</v>
      </c>
      <c r="HLV14" t="s">
        <v>6984</v>
      </c>
      <c r="HLW14" t="s">
        <v>6984</v>
      </c>
      <c r="HLX14" t="s">
        <v>6984</v>
      </c>
      <c r="HLY14" t="s">
        <v>6984</v>
      </c>
      <c r="HLZ14" t="s">
        <v>6984</v>
      </c>
      <c r="HMA14" t="s">
        <v>6984</v>
      </c>
      <c r="HMB14" t="s">
        <v>6984</v>
      </c>
      <c r="HMC14" t="s">
        <v>6984</v>
      </c>
      <c r="HMD14" t="s">
        <v>6984</v>
      </c>
      <c r="HME14" t="s">
        <v>6984</v>
      </c>
      <c r="HMF14" t="s">
        <v>6984</v>
      </c>
      <c r="HMG14" t="s">
        <v>6984</v>
      </c>
      <c r="HMH14" t="s">
        <v>6984</v>
      </c>
      <c r="HMI14" t="s">
        <v>6984</v>
      </c>
      <c r="HMJ14" t="s">
        <v>6984</v>
      </c>
      <c r="HMK14" t="s">
        <v>6984</v>
      </c>
      <c r="HML14" t="s">
        <v>6984</v>
      </c>
      <c r="HMM14" t="s">
        <v>6984</v>
      </c>
      <c r="HMN14" t="s">
        <v>6984</v>
      </c>
      <c r="HMO14" t="s">
        <v>6984</v>
      </c>
      <c r="HMP14" t="s">
        <v>6984</v>
      </c>
      <c r="HMQ14" t="s">
        <v>6984</v>
      </c>
      <c r="HMR14" t="s">
        <v>6984</v>
      </c>
      <c r="HMS14" t="s">
        <v>6984</v>
      </c>
      <c r="HMT14" t="s">
        <v>6984</v>
      </c>
      <c r="HMU14" t="s">
        <v>6984</v>
      </c>
      <c r="HMV14" t="s">
        <v>6984</v>
      </c>
      <c r="HMW14" t="s">
        <v>6984</v>
      </c>
      <c r="HMX14" t="s">
        <v>6984</v>
      </c>
      <c r="HMY14" t="s">
        <v>6984</v>
      </c>
      <c r="HMZ14" t="s">
        <v>6984</v>
      </c>
      <c r="HNA14" t="s">
        <v>6984</v>
      </c>
      <c r="HNB14" t="s">
        <v>6984</v>
      </c>
      <c r="HNC14" t="s">
        <v>6984</v>
      </c>
      <c r="HND14" t="s">
        <v>6984</v>
      </c>
      <c r="HNE14" t="s">
        <v>6984</v>
      </c>
      <c r="HNF14" t="s">
        <v>6984</v>
      </c>
      <c r="HNG14" t="s">
        <v>6984</v>
      </c>
      <c r="HNH14" t="s">
        <v>6984</v>
      </c>
      <c r="HNI14" t="s">
        <v>6984</v>
      </c>
      <c r="HNJ14" t="s">
        <v>6984</v>
      </c>
      <c r="HNK14" t="s">
        <v>6984</v>
      </c>
      <c r="HNL14" t="s">
        <v>6984</v>
      </c>
      <c r="HNM14" t="s">
        <v>6984</v>
      </c>
      <c r="HNN14" t="s">
        <v>6984</v>
      </c>
      <c r="HNO14" t="s">
        <v>6984</v>
      </c>
      <c r="HNP14" t="s">
        <v>6984</v>
      </c>
      <c r="HNQ14" t="s">
        <v>6984</v>
      </c>
      <c r="HNR14" t="s">
        <v>6984</v>
      </c>
      <c r="HNS14" t="s">
        <v>6984</v>
      </c>
      <c r="HNT14" t="s">
        <v>6984</v>
      </c>
      <c r="HNU14" t="s">
        <v>6984</v>
      </c>
      <c r="HNV14" t="s">
        <v>6984</v>
      </c>
      <c r="HNW14" t="s">
        <v>6984</v>
      </c>
      <c r="HNX14" t="s">
        <v>6984</v>
      </c>
      <c r="HNY14" t="s">
        <v>6984</v>
      </c>
      <c r="HNZ14" t="s">
        <v>6984</v>
      </c>
      <c r="HOA14" t="s">
        <v>6984</v>
      </c>
      <c r="HOB14" t="s">
        <v>6984</v>
      </c>
      <c r="HOC14" t="s">
        <v>6984</v>
      </c>
      <c r="HOD14" t="s">
        <v>6984</v>
      </c>
      <c r="HOE14" t="s">
        <v>6984</v>
      </c>
      <c r="HOF14" t="s">
        <v>6984</v>
      </c>
      <c r="HOG14" t="s">
        <v>6984</v>
      </c>
      <c r="HOH14" t="s">
        <v>6984</v>
      </c>
      <c r="HOI14" t="s">
        <v>6984</v>
      </c>
      <c r="HOJ14" t="s">
        <v>6984</v>
      </c>
      <c r="HOK14" t="s">
        <v>6984</v>
      </c>
      <c r="HOL14" t="s">
        <v>6984</v>
      </c>
      <c r="HOM14" t="s">
        <v>6984</v>
      </c>
      <c r="HON14" t="s">
        <v>6984</v>
      </c>
      <c r="HOO14" t="s">
        <v>6984</v>
      </c>
      <c r="HOP14" t="s">
        <v>6984</v>
      </c>
      <c r="HOQ14" t="s">
        <v>6984</v>
      </c>
      <c r="HOR14" t="s">
        <v>6984</v>
      </c>
      <c r="HOS14" t="s">
        <v>6984</v>
      </c>
      <c r="HOT14" t="s">
        <v>6984</v>
      </c>
      <c r="HOU14" t="s">
        <v>6984</v>
      </c>
      <c r="HOV14" t="s">
        <v>6984</v>
      </c>
      <c r="HOW14" t="s">
        <v>6984</v>
      </c>
      <c r="HOX14" t="s">
        <v>6984</v>
      </c>
      <c r="HOY14" t="s">
        <v>6984</v>
      </c>
      <c r="HOZ14" t="s">
        <v>6984</v>
      </c>
      <c r="HPA14" t="s">
        <v>6984</v>
      </c>
      <c r="HPB14" t="s">
        <v>6984</v>
      </c>
      <c r="HPC14" t="s">
        <v>6984</v>
      </c>
      <c r="HPD14" t="s">
        <v>6984</v>
      </c>
      <c r="HPE14" t="s">
        <v>6984</v>
      </c>
      <c r="HPF14" t="s">
        <v>6984</v>
      </c>
      <c r="HPG14" t="s">
        <v>6984</v>
      </c>
      <c r="HPH14" t="s">
        <v>6984</v>
      </c>
      <c r="HPI14" t="s">
        <v>6984</v>
      </c>
      <c r="HPJ14" t="s">
        <v>6984</v>
      </c>
      <c r="HPK14" t="s">
        <v>6984</v>
      </c>
      <c r="HPL14" t="s">
        <v>6984</v>
      </c>
      <c r="HPM14" t="s">
        <v>6984</v>
      </c>
      <c r="HPN14" t="s">
        <v>6984</v>
      </c>
      <c r="HPO14" t="s">
        <v>6984</v>
      </c>
      <c r="HPP14" t="s">
        <v>6984</v>
      </c>
      <c r="HPQ14" t="s">
        <v>6984</v>
      </c>
      <c r="HPR14" t="s">
        <v>6984</v>
      </c>
      <c r="HPS14" t="s">
        <v>6984</v>
      </c>
      <c r="HPT14" t="s">
        <v>6984</v>
      </c>
      <c r="HPU14" t="s">
        <v>6984</v>
      </c>
      <c r="HPV14" t="s">
        <v>6984</v>
      </c>
      <c r="HPW14" t="s">
        <v>6984</v>
      </c>
      <c r="HPX14" t="s">
        <v>6984</v>
      </c>
      <c r="HPY14" t="s">
        <v>6984</v>
      </c>
      <c r="HPZ14" t="s">
        <v>6984</v>
      </c>
      <c r="HQA14" t="s">
        <v>6984</v>
      </c>
      <c r="HQB14" t="s">
        <v>6984</v>
      </c>
      <c r="HQC14" t="s">
        <v>6984</v>
      </c>
      <c r="HQD14" t="s">
        <v>6984</v>
      </c>
      <c r="HQE14" t="s">
        <v>6984</v>
      </c>
      <c r="HQF14" t="s">
        <v>6984</v>
      </c>
      <c r="HQG14" t="s">
        <v>6984</v>
      </c>
      <c r="HQH14" t="s">
        <v>6984</v>
      </c>
      <c r="HQI14" t="s">
        <v>6984</v>
      </c>
      <c r="HQJ14" t="s">
        <v>6984</v>
      </c>
      <c r="HQK14" t="s">
        <v>6984</v>
      </c>
      <c r="HQL14" t="s">
        <v>6984</v>
      </c>
      <c r="HQM14" t="s">
        <v>6984</v>
      </c>
      <c r="HQN14" t="s">
        <v>6984</v>
      </c>
      <c r="HQO14" t="s">
        <v>6984</v>
      </c>
      <c r="HQP14" t="s">
        <v>6984</v>
      </c>
      <c r="HQQ14" t="s">
        <v>6984</v>
      </c>
      <c r="HQR14" t="s">
        <v>6984</v>
      </c>
      <c r="HQS14" t="s">
        <v>6984</v>
      </c>
      <c r="HQT14" t="s">
        <v>6984</v>
      </c>
      <c r="HQU14" t="s">
        <v>6984</v>
      </c>
      <c r="HQV14" t="s">
        <v>6984</v>
      </c>
      <c r="HQW14" t="s">
        <v>6984</v>
      </c>
      <c r="HQX14" t="s">
        <v>6984</v>
      </c>
      <c r="HQY14" t="s">
        <v>6984</v>
      </c>
      <c r="HQZ14" t="s">
        <v>6984</v>
      </c>
      <c r="HRA14" t="s">
        <v>6984</v>
      </c>
      <c r="HRB14" t="s">
        <v>6984</v>
      </c>
      <c r="HRC14" t="s">
        <v>6984</v>
      </c>
      <c r="HRD14" t="s">
        <v>6984</v>
      </c>
      <c r="HRE14" t="s">
        <v>6984</v>
      </c>
      <c r="HRF14" t="s">
        <v>6984</v>
      </c>
      <c r="HRG14" t="s">
        <v>6984</v>
      </c>
      <c r="HRH14" t="s">
        <v>6984</v>
      </c>
      <c r="HRI14" t="s">
        <v>6984</v>
      </c>
      <c r="HRJ14" t="s">
        <v>6984</v>
      </c>
      <c r="HRK14" t="s">
        <v>6984</v>
      </c>
      <c r="HRL14" t="s">
        <v>6984</v>
      </c>
      <c r="HRM14" t="s">
        <v>6984</v>
      </c>
      <c r="HRN14" t="s">
        <v>6984</v>
      </c>
      <c r="HRO14" t="s">
        <v>6984</v>
      </c>
      <c r="HRP14" t="s">
        <v>6984</v>
      </c>
      <c r="HRQ14" t="s">
        <v>6984</v>
      </c>
      <c r="HRR14" t="s">
        <v>6984</v>
      </c>
      <c r="HRS14" t="s">
        <v>6984</v>
      </c>
      <c r="HRT14" t="s">
        <v>6984</v>
      </c>
      <c r="HRU14" t="s">
        <v>6984</v>
      </c>
      <c r="HRV14" t="s">
        <v>6984</v>
      </c>
      <c r="HRW14" t="s">
        <v>6984</v>
      </c>
      <c r="HRX14" t="s">
        <v>6984</v>
      </c>
      <c r="HRY14" t="s">
        <v>6984</v>
      </c>
      <c r="HRZ14" t="s">
        <v>6984</v>
      </c>
      <c r="HSA14" t="s">
        <v>6984</v>
      </c>
      <c r="HSB14" t="s">
        <v>6984</v>
      </c>
      <c r="HSC14" t="s">
        <v>6984</v>
      </c>
      <c r="HSD14" t="s">
        <v>6984</v>
      </c>
      <c r="HSE14" t="s">
        <v>6984</v>
      </c>
      <c r="HSF14" t="s">
        <v>6984</v>
      </c>
      <c r="HSG14" t="s">
        <v>6984</v>
      </c>
      <c r="HSH14" t="s">
        <v>6984</v>
      </c>
      <c r="HSI14" t="s">
        <v>6984</v>
      </c>
      <c r="HSJ14" t="s">
        <v>6984</v>
      </c>
      <c r="HSK14" t="s">
        <v>6984</v>
      </c>
      <c r="HSL14" t="s">
        <v>6984</v>
      </c>
      <c r="HSM14" t="s">
        <v>6984</v>
      </c>
      <c r="HSN14" t="s">
        <v>6984</v>
      </c>
      <c r="HSO14" t="s">
        <v>6984</v>
      </c>
      <c r="HSP14" t="s">
        <v>6984</v>
      </c>
      <c r="HSQ14" t="s">
        <v>6984</v>
      </c>
      <c r="HSR14" t="s">
        <v>6984</v>
      </c>
      <c r="HSS14" t="s">
        <v>6984</v>
      </c>
      <c r="HST14" t="s">
        <v>6984</v>
      </c>
      <c r="HSU14" t="s">
        <v>6984</v>
      </c>
      <c r="HSV14" t="s">
        <v>6984</v>
      </c>
      <c r="HSW14" t="s">
        <v>6984</v>
      </c>
      <c r="HSX14" t="s">
        <v>6984</v>
      </c>
      <c r="HSY14" t="s">
        <v>6984</v>
      </c>
      <c r="HSZ14" t="s">
        <v>6984</v>
      </c>
      <c r="HTA14" t="s">
        <v>6984</v>
      </c>
      <c r="HTB14" t="s">
        <v>6984</v>
      </c>
      <c r="HTC14" t="s">
        <v>6984</v>
      </c>
      <c r="HTD14" t="s">
        <v>6984</v>
      </c>
      <c r="HTE14" t="s">
        <v>6984</v>
      </c>
      <c r="HTF14" t="s">
        <v>6984</v>
      </c>
      <c r="HTG14" t="s">
        <v>6984</v>
      </c>
      <c r="HTH14" t="s">
        <v>6984</v>
      </c>
      <c r="HTI14" t="s">
        <v>6984</v>
      </c>
      <c r="HTJ14" t="s">
        <v>6984</v>
      </c>
      <c r="HTK14" t="s">
        <v>6984</v>
      </c>
      <c r="HTL14" t="s">
        <v>6984</v>
      </c>
      <c r="HTM14" t="s">
        <v>6984</v>
      </c>
      <c r="HTN14" t="s">
        <v>6984</v>
      </c>
      <c r="HTO14" t="s">
        <v>6984</v>
      </c>
      <c r="HTP14" t="s">
        <v>6984</v>
      </c>
      <c r="HTQ14" t="s">
        <v>6984</v>
      </c>
      <c r="HTR14" t="s">
        <v>6984</v>
      </c>
      <c r="HTS14" t="s">
        <v>6984</v>
      </c>
      <c r="HTT14" t="s">
        <v>6984</v>
      </c>
      <c r="HTU14" t="s">
        <v>6984</v>
      </c>
      <c r="HTV14" t="s">
        <v>6984</v>
      </c>
      <c r="HTW14" t="s">
        <v>6984</v>
      </c>
      <c r="HTX14" t="s">
        <v>6984</v>
      </c>
      <c r="HTY14" t="s">
        <v>6984</v>
      </c>
      <c r="HTZ14" t="s">
        <v>6984</v>
      </c>
      <c r="HUA14" t="s">
        <v>6984</v>
      </c>
      <c r="HUB14" t="s">
        <v>6984</v>
      </c>
      <c r="HUC14" t="s">
        <v>6984</v>
      </c>
      <c r="HUD14" t="s">
        <v>6984</v>
      </c>
      <c r="HUE14" t="s">
        <v>6984</v>
      </c>
      <c r="HUF14" t="s">
        <v>6984</v>
      </c>
      <c r="HUG14" t="s">
        <v>6984</v>
      </c>
      <c r="HUH14" t="s">
        <v>6984</v>
      </c>
      <c r="HUI14" t="s">
        <v>6984</v>
      </c>
      <c r="HUJ14" t="s">
        <v>6984</v>
      </c>
      <c r="HUK14" t="s">
        <v>6984</v>
      </c>
      <c r="HUL14" t="s">
        <v>6984</v>
      </c>
      <c r="HUM14" t="s">
        <v>6984</v>
      </c>
      <c r="HUN14" t="s">
        <v>6984</v>
      </c>
      <c r="HUO14" t="s">
        <v>6984</v>
      </c>
      <c r="HUP14" t="s">
        <v>6984</v>
      </c>
      <c r="HUQ14" t="s">
        <v>6984</v>
      </c>
      <c r="HUR14" t="s">
        <v>6984</v>
      </c>
      <c r="HUS14" t="s">
        <v>6984</v>
      </c>
      <c r="HUT14" t="s">
        <v>6984</v>
      </c>
      <c r="HUU14" t="s">
        <v>6984</v>
      </c>
      <c r="HUV14" t="s">
        <v>6984</v>
      </c>
      <c r="HUW14" t="s">
        <v>6984</v>
      </c>
      <c r="HUX14" t="s">
        <v>6984</v>
      </c>
      <c r="HUY14" t="s">
        <v>6984</v>
      </c>
      <c r="HUZ14" t="s">
        <v>6984</v>
      </c>
      <c r="HVA14" t="s">
        <v>6984</v>
      </c>
      <c r="HVB14" t="s">
        <v>6984</v>
      </c>
      <c r="HVC14" t="s">
        <v>6984</v>
      </c>
      <c r="HVD14" t="s">
        <v>6984</v>
      </c>
      <c r="HVE14" t="s">
        <v>6984</v>
      </c>
      <c r="HVF14" t="s">
        <v>6984</v>
      </c>
      <c r="HVG14" t="s">
        <v>6984</v>
      </c>
      <c r="HVH14" t="s">
        <v>6984</v>
      </c>
      <c r="HVI14" t="s">
        <v>6984</v>
      </c>
      <c r="HVJ14" t="s">
        <v>6984</v>
      </c>
      <c r="HVK14" t="s">
        <v>6984</v>
      </c>
      <c r="HVL14" t="s">
        <v>6984</v>
      </c>
      <c r="HVM14" t="s">
        <v>6984</v>
      </c>
      <c r="HVN14" t="s">
        <v>6984</v>
      </c>
      <c r="HVO14" t="s">
        <v>6984</v>
      </c>
      <c r="HVP14" t="s">
        <v>6984</v>
      </c>
      <c r="HVQ14" t="s">
        <v>6984</v>
      </c>
      <c r="HVR14" t="s">
        <v>6984</v>
      </c>
      <c r="HVS14" t="s">
        <v>6984</v>
      </c>
      <c r="HVT14" t="s">
        <v>6984</v>
      </c>
      <c r="HVU14" t="s">
        <v>6984</v>
      </c>
      <c r="HVV14" t="s">
        <v>6984</v>
      </c>
      <c r="HVW14" t="s">
        <v>6984</v>
      </c>
      <c r="HVX14" t="s">
        <v>6984</v>
      </c>
      <c r="HVY14" t="s">
        <v>6984</v>
      </c>
      <c r="HVZ14" t="s">
        <v>6984</v>
      </c>
      <c r="HWA14" t="s">
        <v>6984</v>
      </c>
      <c r="HWB14" t="s">
        <v>6984</v>
      </c>
      <c r="HWC14" t="s">
        <v>6984</v>
      </c>
      <c r="HWD14" t="s">
        <v>6984</v>
      </c>
      <c r="HWE14" t="s">
        <v>6984</v>
      </c>
      <c r="HWF14" t="s">
        <v>6984</v>
      </c>
      <c r="HWG14" t="s">
        <v>6984</v>
      </c>
      <c r="HWH14" t="s">
        <v>6984</v>
      </c>
      <c r="HWI14" t="s">
        <v>6984</v>
      </c>
      <c r="HWJ14" t="s">
        <v>6984</v>
      </c>
      <c r="HWK14" t="s">
        <v>6984</v>
      </c>
      <c r="HWL14" t="s">
        <v>6984</v>
      </c>
      <c r="HWM14" t="s">
        <v>6984</v>
      </c>
      <c r="HWN14" t="s">
        <v>6984</v>
      </c>
      <c r="HWO14" t="s">
        <v>6984</v>
      </c>
      <c r="HWP14" t="s">
        <v>6984</v>
      </c>
      <c r="HWQ14" t="s">
        <v>6984</v>
      </c>
      <c r="HWR14" t="s">
        <v>6984</v>
      </c>
      <c r="HWS14" t="s">
        <v>6984</v>
      </c>
      <c r="HWT14" t="s">
        <v>6984</v>
      </c>
      <c r="HWU14" t="s">
        <v>6984</v>
      </c>
      <c r="HWV14" t="s">
        <v>6984</v>
      </c>
      <c r="HWW14" t="s">
        <v>6984</v>
      </c>
      <c r="HWX14" t="s">
        <v>6984</v>
      </c>
      <c r="HWY14" t="s">
        <v>6984</v>
      </c>
      <c r="HWZ14" t="s">
        <v>6984</v>
      </c>
      <c r="HXA14" t="s">
        <v>6984</v>
      </c>
      <c r="HXB14" t="s">
        <v>6984</v>
      </c>
      <c r="HXC14" t="s">
        <v>6984</v>
      </c>
      <c r="HXD14" t="s">
        <v>6984</v>
      </c>
      <c r="HXE14" t="s">
        <v>6984</v>
      </c>
      <c r="HXF14" t="s">
        <v>6984</v>
      </c>
      <c r="HXG14" t="s">
        <v>6984</v>
      </c>
      <c r="HXH14" t="s">
        <v>6984</v>
      </c>
      <c r="HXI14" t="s">
        <v>6984</v>
      </c>
      <c r="HXJ14" t="s">
        <v>6984</v>
      </c>
      <c r="HXK14" t="s">
        <v>6984</v>
      </c>
      <c r="HXL14" t="s">
        <v>6984</v>
      </c>
      <c r="HXM14" t="s">
        <v>6984</v>
      </c>
      <c r="HXN14" t="s">
        <v>6984</v>
      </c>
      <c r="HXO14" t="s">
        <v>6984</v>
      </c>
      <c r="HXP14" t="s">
        <v>6984</v>
      </c>
      <c r="HXQ14" t="s">
        <v>6984</v>
      </c>
      <c r="HXR14" t="s">
        <v>6984</v>
      </c>
      <c r="HXS14" t="s">
        <v>6984</v>
      </c>
      <c r="HXT14" t="s">
        <v>6984</v>
      </c>
      <c r="HXU14" t="s">
        <v>6984</v>
      </c>
      <c r="HXV14" t="s">
        <v>6984</v>
      </c>
      <c r="HXW14" t="s">
        <v>6984</v>
      </c>
      <c r="HXX14" t="s">
        <v>6984</v>
      </c>
      <c r="HXY14" t="s">
        <v>6984</v>
      </c>
      <c r="HXZ14" t="s">
        <v>6984</v>
      </c>
      <c r="HYA14" t="s">
        <v>6984</v>
      </c>
      <c r="HYB14" t="s">
        <v>6984</v>
      </c>
      <c r="HYC14" t="s">
        <v>6984</v>
      </c>
      <c r="HYD14" t="s">
        <v>6984</v>
      </c>
      <c r="HYE14" t="s">
        <v>6984</v>
      </c>
      <c r="HYF14" t="s">
        <v>6984</v>
      </c>
      <c r="HYG14" t="s">
        <v>6984</v>
      </c>
      <c r="HYH14" t="s">
        <v>6984</v>
      </c>
      <c r="HYI14" t="s">
        <v>6984</v>
      </c>
      <c r="HYJ14" t="s">
        <v>6984</v>
      </c>
      <c r="HYK14" t="s">
        <v>6984</v>
      </c>
      <c r="HYL14" t="s">
        <v>6984</v>
      </c>
      <c r="HYM14" t="s">
        <v>6984</v>
      </c>
      <c r="HYN14" t="s">
        <v>6984</v>
      </c>
      <c r="HYO14" t="s">
        <v>6984</v>
      </c>
      <c r="HYP14" t="s">
        <v>6984</v>
      </c>
      <c r="HYQ14" t="s">
        <v>6984</v>
      </c>
      <c r="HYR14" t="s">
        <v>6984</v>
      </c>
      <c r="HYS14" t="s">
        <v>6984</v>
      </c>
      <c r="HYT14" t="s">
        <v>6984</v>
      </c>
      <c r="HYU14" t="s">
        <v>6984</v>
      </c>
      <c r="HYV14" t="s">
        <v>6984</v>
      </c>
      <c r="HYW14" t="s">
        <v>6984</v>
      </c>
      <c r="HYX14" t="s">
        <v>6984</v>
      </c>
      <c r="HYY14" t="s">
        <v>6984</v>
      </c>
      <c r="HYZ14" t="s">
        <v>6984</v>
      </c>
      <c r="HZA14" t="s">
        <v>6984</v>
      </c>
      <c r="HZB14" t="s">
        <v>6984</v>
      </c>
      <c r="HZC14" t="s">
        <v>6984</v>
      </c>
      <c r="HZD14" t="s">
        <v>6984</v>
      </c>
      <c r="HZE14" t="s">
        <v>6984</v>
      </c>
      <c r="HZF14" t="s">
        <v>6984</v>
      </c>
      <c r="HZG14" t="s">
        <v>6984</v>
      </c>
      <c r="HZH14" t="s">
        <v>6984</v>
      </c>
      <c r="HZI14" t="s">
        <v>6984</v>
      </c>
      <c r="HZJ14" t="s">
        <v>6984</v>
      </c>
      <c r="HZK14" t="s">
        <v>6984</v>
      </c>
      <c r="HZL14" t="s">
        <v>6984</v>
      </c>
      <c r="HZM14" t="s">
        <v>6984</v>
      </c>
      <c r="HZN14" t="s">
        <v>6984</v>
      </c>
      <c r="HZO14" t="s">
        <v>6984</v>
      </c>
      <c r="HZP14" t="s">
        <v>6984</v>
      </c>
      <c r="HZQ14" t="s">
        <v>6984</v>
      </c>
      <c r="HZR14" t="s">
        <v>6984</v>
      </c>
      <c r="HZS14" t="s">
        <v>6984</v>
      </c>
      <c r="HZT14" t="s">
        <v>6984</v>
      </c>
      <c r="HZU14" t="s">
        <v>6984</v>
      </c>
      <c r="HZV14" t="s">
        <v>6984</v>
      </c>
      <c r="HZW14" t="s">
        <v>6984</v>
      </c>
      <c r="HZX14" t="s">
        <v>6984</v>
      </c>
      <c r="HZY14" t="s">
        <v>6984</v>
      </c>
      <c r="HZZ14" t="s">
        <v>6984</v>
      </c>
      <c r="IAA14" t="s">
        <v>6984</v>
      </c>
      <c r="IAB14" t="s">
        <v>6984</v>
      </c>
      <c r="IAC14" t="s">
        <v>6984</v>
      </c>
      <c r="IAD14" t="s">
        <v>6984</v>
      </c>
      <c r="IAE14" t="s">
        <v>6984</v>
      </c>
      <c r="IAF14" t="s">
        <v>6984</v>
      </c>
      <c r="IAG14" t="s">
        <v>6984</v>
      </c>
      <c r="IAH14" t="s">
        <v>6984</v>
      </c>
      <c r="IAI14" t="s">
        <v>6984</v>
      </c>
      <c r="IAJ14" t="s">
        <v>6984</v>
      </c>
      <c r="IAK14" t="s">
        <v>6984</v>
      </c>
      <c r="IAL14" t="s">
        <v>6984</v>
      </c>
      <c r="IAM14" t="s">
        <v>6984</v>
      </c>
      <c r="IAN14" t="s">
        <v>6984</v>
      </c>
      <c r="IAO14" t="s">
        <v>6984</v>
      </c>
      <c r="IAP14" t="s">
        <v>6984</v>
      </c>
      <c r="IAQ14" t="s">
        <v>6984</v>
      </c>
      <c r="IAR14" t="s">
        <v>6984</v>
      </c>
      <c r="IAS14" t="s">
        <v>6984</v>
      </c>
      <c r="IAT14" t="s">
        <v>6984</v>
      </c>
      <c r="IAU14" t="s">
        <v>6984</v>
      </c>
      <c r="IAV14" t="s">
        <v>6984</v>
      </c>
      <c r="IAW14" t="s">
        <v>6984</v>
      </c>
      <c r="IAX14" t="s">
        <v>6984</v>
      </c>
      <c r="IAY14" t="s">
        <v>6984</v>
      </c>
      <c r="IAZ14" t="s">
        <v>6984</v>
      </c>
      <c r="IBA14" t="s">
        <v>6984</v>
      </c>
      <c r="IBB14" t="s">
        <v>6984</v>
      </c>
      <c r="IBC14" t="s">
        <v>6984</v>
      </c>
      <c r="IBD14" t="s">
        <v>6984</v>
      </c>
      <c r="IBE14" t="s">
        <v>6984</v>
      </c>
      <c r="IBF14" t="s">
        <v>6984</v>
      </c>
      <c r="IBG14" t="s">
        <v>6984</v>
      </c>
      <c r="IBH14" t="s">
        <v>6984</v>
      </c>
      <c r="IBI14" t="s">
        <v>6984</v>
      </c>
      <c r="IBJ14" t="s">
        <v>6984</v>
      </c>
      <c r="IBK14" t="s">
        <v>6984</v>
      </c>
      <c r="IBL14" t="s">
        <v>6984</v>
      </c>
      <c r="IBM14" t="s">
        <v>6984</v>
      </c>
      <c r="IBN14" t="s">
        <v>6984</v>
      </c>
      <c r="IBO14" t="s">
        <v>6984</v>
      </c>
      <c r="IBP14" t="s">
        <v>6984</v>
      </c>
      <c r="IBQ14" t="s">
        <v>6984</v>
      </c>
      <c r="IBR14" t="s">
        <v>6984</v>
      </c>
      <c r="IBS14" t="s">
        <v>6984</v>
      </c>
      <c r="IBT14" t="s">
        <v>6984</v>
      </c>
      <c r="IBU14" t="s">
        <v>6984</v>
      </c>
      <c r="IBV14" t="s">
        <v>6984</v>
      </c>
      <c r="IBW14" t="s">
        <v>6984</v>
      </c>
      <c r="IBX14" t="s">
        <v>6984</v>
      </c>
      <c r="IBY14" t="s">
        <v>6984</v>
      </c>
      <c r="IBZ14" t="s">
        <v>6984</v>
      </c>
      <c r="ICA14" t="s">
        <v>6984</v>
      </c>
      <c r="ICB14" t="s">
        <v>6984</v>
      </c>
      <c r="ICC14" t="s">
        <v>6984</v>
      </c>
      <c r="ICD14" t="s">
        <v>6984</v>
      </c>
      <c r="ICE14" t="s">
        <v>6984</v>
      </c>
      <c r="ICF14" t="s">
        <v>6984</v>
      </c>
      <c r="ICG14" t="s">
        <v>6984</v>
      </c>
      <c r="ICH14" t="s">
        <v>6984</v>
      </c>
      <c r="ICI14" t="s">
        <v>6984</v>
      </c>
      <c r="ICJ14" t="s">
        <v>6984</v>
      </c>
      <c r="ICK14" t="s">
        <v>6984</v>
      </c>
      <c r="ICL14" t="s">
        <v>6984</v>
      </c>
      <c r="ICM14" t="s">
        <v>6984</v>
      </c>
      <c r="ICN14" t="s">
        <v>6984</v>
      </c>
      <c r="ICO14" t="s">
        <v>6984</v>
      </c>
      <c r="ICP14" t="s">
        <v>6984</v>
      </c>
      <c r="ICQ14" t="s">
        <v>6984</v>
      </c>
      <c r="ICR14" t="s">
        <v>6984</v>
      </c>
      <c r="ICS14" t="s">
        <v>6984</v>
      </c>
      <c r="ICT14" t="s">
        <v>6984</v>
      </c>
      <c r="ICU14" t="s">
        <v>6984</v>
      </c>
      <c r="ICV14" t="s">
        <v>6984</v>
      </c>
      <c r="ICW14" t="s">
        <v>6984</v>
      </c>
      <c r="ICX14" t="s">
        <v>6984</v>
      </c>
      <c r="ICY14" t="s">
        <v>6984</v>
      </c>
      <c r="ICZ14" t="s">
        <v>6984</v>
      </c>
      <c r="IDA14" t="s">
        <v>6984</v>
      </c>
      <c r="IDB14" t="s">
        <v>6984</v>
      </c>
      <c r="IDC14" t="s">
        <v>6984</v>
      </c>
      <c r="IDD14" t="s">
        <v>6984</v>
      </c>
      <c r="IDE14" t="s">
        <v>6984</v>
      </c>
      <c r="IDF14" t="s">
        <v>6984</v>
      </c>
      <c r="IDG14" t="s">
        <v>6984</v>
      </c>
      <c r="IDH14" t="s">
        <v>6984</v>
      </c>
      <c r="IDI14" t="s">
        <v>6984</v>
      </c>
      <c r="IDJ14" t="s">
        <v>6984</v>
      </c>
      <c r="IDK14" t="s">
        <v>6984</v>
      </c>
      <c r="IDL14" t="s">
        <v>6984</v>
      </c>
      <c r="IDM14" t="s">
        <v>6984</v>
      </c>
      <c r="IDN14" t="s">
        <v>6984</v>
      </c>
      <c r="IDO14" t="s">
        <v>6984</v>
      </c>
      <c r="IDP14" t="s">
        <v>6984</v>
      </c>
      <c r="IDQ14" t="s">
        <v>6984</v>
      </c>
      <c r="IDR14" t="s">
        <v>6984</v>
      </c>
      <c r="IDS14" t="s">
        <v>6984</v>
      </c>
      <c r="IDT14" t="s">
        <v>6984</v>
      </c>
      <c r="IDU14" t="s">
        <v>6984</v>
      </c>
      <c r="IDV14" t="s">
        <v>6984</v>
      </c>
      <c r="IDW14" t="s">
        <v>6984</v>
      </c>
      <c r="IDX14" t="s">
        <v>6984</v>
      </c>
      <c r="IDY14" t="s">
        <v>6984</v>
      </c>
      <c r="IDZ14" t="s">
        <v>6984</v>
      </c>
      <c r="IEA14" t="s">
        <v>6984</v>
      </c>
      <c r="IEB14" t="s">
        <v>6984</v>
      </c>
      <c r="IEC14" t="s">
        <v>6984</v>
      </c>
      <c r="IED14" t="s">
        <v>6984</v>
      </c>
      <c r="IEE14" t="s">
        <v>6984</v>
      </c>
      <c r="IEF14" t="s">
        <v>6984</v>
      </c>
      <c r="IEG14" t="s">
        <v>6984</v>
      </c>
      <c r="IEH14" t="s">
        <v>6984</v>
      </c>
      <c r="IEI14" t="s">
        <v>6984</v>
      </c>
      <c r="IEJ14" t="s">
        <v>6984</v>
      </c>
      <c r="IEK14" t="s">
        <v>6984</v>
      </c>
      <c r="IEL14" t="s">
        <v>6984</v>
      </c>
      <c r="IEM14" t="s">
        <v>6984</v>
      </c>
      <c r="IEN14" t="s">
        <v>6984</v>
      </c>
      <c r="IEO14" t="s">
        <v>6984</v>
      </c>
      <c r="IEP14" t="s">
        <v>6984</v>
      </c>
      <c r="IEQ14" t="s">
        <v>6984</v>
      </c>
      <c r="IER14" t="s">
        <v>6984</v>
      </c>
      <c r="IES14" t="s">
        <v>6984</v>
      </c>
      <c r="IET14" t="s">
        <v>6984</v>
      </c>
      <c r="IEU14" t="s">
        <v>6984</v>
      </c>
      <c r="IEV14" t="s">
        <v>6984</v>
      </c>
      <c r="IEW14" t="s">
        <v>6984</v>
      </c>
      <c r="IEX14" t="s">
        <v>6984</v>
      </c>
      <c r="IEY14" t="s">
        <v>6984</v>
      </c>
      <c r="IEZ14" t="s">
        <v>6984</v>
      </c>
      <c r="IFA14" t="s">
        <v>6984</v>
      </c>
      <c r="IFB14" t="s">
        <v>6984</v>
      </c>
      <c r="IFC14" t="s">
        <v>6984</v>
      </c>
      <c r="IFD14" t="s">
        <v>6984</v>
      </c>
      <c r="IFE14" t="s">
        <v>6984</v>
      </c>
      <c r="IFF14" t="s">
        <v>6984</v>
      </c>
      <c r="IFG14" t="s">
        <v>6984</v>
      </c>
      <c r="IFH14" t="s">
        <v>6984</v>
      </c>
      <c r="IFI14" t="s">
        <v>6984</v>
      </c>
      <c r="IFJ14" t="s">
        <v>6984</v>
      </c>
      <c r="IFK14" t="s">
        <v>6984</v>
      </c>
      <c r="IFL14" t="s">
        <v>6984</v>
      </c>
      <c r="IFM14" t="s">
        <v>6984</v>
      </c>
      <c r="IFN14" t="s">
        <v>6984</v>
      </c>
      <c r="IFO14" t="s">
        <v>6984</v>
      </c>
      <c r="IFP14" t="s">
        <v>6984</v>
      </c>
      <c r="IFQ14" t="s">
        <v>6984</v>
      </c>
      <c r="IFR14" t="s">
        <v>6984</v>
      </c>
      <c r="IFS14" t="s">
        <v>6984</v>
      </c>
      <c r="IFT14" t="s">
        <v>6984</v>
      </c>
      <c r="IFU14" t="s">
        <v>6984</v>
      </c>
      <c r="IFV14" t="s">
        <v>6984</v>
      </c>
      <c r="IFW14" t="s">
        <v>6984</v>
      </c>
      <c r="IFX14" t="s">
        <v>6984</v>
      </c>
      <c r="IFY14" t="s">
        <v>6984</v>
      </c>
      <c r="IFZ14" t="s">
        <v>6984</v>
      </c>
      <c r="IGA14" t="s">
        <v>6984</v>
      </c>
      <c r="IGB14" t="s">
        <v>6984</v>
      </c>
      <c r="IGC14" t="s">
        <v>6984</v>
      </c>
      <c r="IGD14" t="s">
        <v>6984</v>
      </c>
      <c r="IGE14" t="s">
        <v>6984</v>
      </c>
      <c r="IGF14" t="s">
        <v>6984</v>
      </c>
      <c r="IGG14" t="s">
        <v>6984</v>
      </c>
      <c r="IGH14" t="s">
        <v>6984</v>
      </c>
      <c r="IGI14" t="s">
        <v>6984</v>
      </c>
      <c r="IGJ14" t="s">
        <v>6984</v>
      </c>
      <c r="IGK14" t="s">
        <v>6984</v>
      </c>
      <c r="IGL14" t="s">
        <v>6984</v>
      </c>
      <c r="IGM14" t="s">
        <v>6984</v>
      </c>
      <c r="IGN14" t="s">
        <v>6984</v>
      </c>
      <c r="IGO14" t="s">
        <v>6984</v>
      </c>
      <c r="IGP14" t="s">
        <v>6984</v>
      </c>
      <c r="IGQ14" t="s">
        <v>6984</v>
      </c>
      <c r="IGR14" t="s">
        <v>6984</v>
      </c>
      <c r="IGS14" t="s">
        <v>6984</v>
      </c>
      <c r="IGT14" t="s">
        <v>6984</v>
      </c>
      <c r="IGU14" t="s">
        <v>6984</v>
      </c>
      <c r="IGV14" t="s">
        <v>6984</v>
      </c>
      <c r="IGW14" t="s">
        <v>6984</v>
      </c>
      <c r="IGX14" t="s">
        <v>6984</v>
      </c>
      <c r="IGY14" t="s">
        <v>6984</v>
      </c>
      <c r="IGZ14" t="s">
        <v>6984</v>
      </c>
      <c r="IHA14" t="s">
        <v>6984</v>
      </c>
      <c r="IHB14" t="s">
        <v>6984</v>
      </c>
      <c r="IHC14" t="s">
        <v>6984</v>
      </c>
      <c r="IHD14" t="s">
        <v>6984</v>
      </c>
      <c r="IHE14" t="s">
        <v>6984</v>
      </c>
      <c r="IHF14" t="s">
        <v>6984</v>
      </c>
      <c r="IHG14" t="s">
        <v>6984</v>
      </c>
      <c r="IHH14" t="s">
        <v>6984</v>
      </c>
      <c r="IHI14" t="s">
        <v>6984</v>
      </c>
      <c r="IHJ14" t="s">
        <v>6984</v>
      </c>
      <c r="IHK14" t="s">
        <v>6984</v>
      </c>
      <c r="IHL14" t="s">
        <v>6984</v>
      </c>
      <c r="IHM14" t="s">
        <v>6984</v>
      </c>
      <c r="IHN14" t="s">
        <v>6984</v>
      </c>
      <c r="IHO14" t="s">
        <v>6984</v>
      </c>
      <c r="IHP14" t="s">
        <v>6984</v>
      </c>
      <c r="IHQ14" t="s">
        <v>6984</v>
      </c>
      <c r="IHR14" t="s">
        <v>6984</v>
      </c>
      <c r="IHS14" t="s">
        <v>6984</v>
      </c>
      <c r="IHT14" t="s">
        <v>6984</v>
      </c>
      <c r="IHU14" t="s">
        <v>6984</v>
      </c>
      <c r="IHV14" t="s">
        <v>6984</v>
      </c>
      <c r="IHW14" t="s">
        <v>6984</v>
      </c>
      <c r="IHX14" t="s">
        <v>6984</v>
      </c>
      <c r="IHY14" t="s">
        <v>6984</v>
      </c>
      <c r="IHZ14" t="s">
        <v>6984</v>
      </c>
      <c r="IIA14" t="s">
        <v>6984</v>
      </c>
      <c r="IIB14" t="s">
        <v>6984</v>
      </c>
      <c r="IIC14" t="s">
        <v>6984</v>
      </c>
      <c r="IID14" t="s">
        <v>6984</v>
      </c>
      <c r="IIE14" t="s">
        <v>6984</v>
      </c>
      <c r="IIF14" t="s">
        <v>6984</v>
      </c>
      <c r="IIG14" t="s">
        <v>6984</v>
      </c>
      <c r="IIH14" t="s">
        <v>6984</v>
      </c>
      <c r="III14" t="s">
        <v>6984</v>
      </c>
      <c r="IIJ14" t="s">
        <v>6984</v>
      </c>
      <c r="IIK14" t="s">
        <v>6984</v>
      </c>
      <c r="IIL14" t="s">
        <v>6984</v>
      </c>
      <c r="IIM14" t="s">
        <v>6984</v>
      </c>
      <c r="IIN14" t="s">
        <v>6984</v>
      </c>
      <c r="IIO14" t="s">
        <v>6984</v>
      </c>
      <c r="IIP14" t="s">
        <v>6984</v>
      </c>
      <c r="IIQ14" t="s">
        <v>6984</v>
      </c>
      <c r="IIR14" t="s">
        <v>6984</v>
      </c>
      <c r="IIS14" t="s">
        <v>6984</v>
      </c>
      <c r="IIT14" t="s">
        <v>6984</v>
      </c>
      <c r="IIU14" t="s">
        <v>6984</v>
      </c>
      <c r="IIV14" t="s">
        <v>6984</v>
      </c>
      <c r="IIW14" t="s">
        <v>6984</v>
      </c>
      <c r="IIX14" t="s">
        <v>6984</v>
      </c>
      <c r="IIY14" t="s">
        <v>6984</v>
      </c>
      <c r="IIZ14" t="s">
        <v>6984</v>
      </c>
      <c r="IJA14" t="s">
        <v>6984</v>
      </c>
      <c r="IJB14" t="s">
        <v>6984</v>
      </c>
      <c r="IJC14" t="s">
        <v>6984</v>
      </c>
      <c r="IJD14" t="s">
        <v>6984</v>
      </c>
      <c r="IJE14" t="s">
        <v>6984</v>
      </c>
      <c r="IJF14" t="s">
        <v>6984</v>
      </c>
      <c r="IJG14" t="s">
        <v>6984</v>
      </c>
      <c r="IJH14" t="s">
        <v>6984</v>
      </c>
      <c r="IJI14" t="s">
        <v>6984</v>
      </c>
      <c r="IJJ14" t="s">
        <v>6984</v>
      </c>
      <c r="IJK14" t="s">
        <v>6984</v>
      </c>
      <c r="IJL14" t="s">
        <v>6984</v>
      </c>
      <c r="IJM14" t="s">
        <v>6984</v>
      </c>
      <c r="IJN14" t="s">
        <v>6984</v>
      </c>
      <c r="IJO14" t="s">
        <v>6984</v>
      </c>
      <c r="IJP14" t="s">
        <v>6984</v>
      </c>
      <c r="IJQ14" t="s">
        <v>6984</v>
      </c>
      <c r="IJR14" t="s">
        <v>6984</v>
      </c>
      <c r="IJS14" t="s">
        <v>6984</v>
      </c>
      <c r="IJT14" t="s">
        <v>6984</v>
      </c>
      <c r="IJU14" t="s">
        <v>6984</v>
      </c>
      <c r="IJV14" t="s">
        <v>6984</v>
      </c>
      <c r="IJW14" t="s">
        <v>6984</v>
      </c>
      <c r="IJX14" t="s">
        <v>6984</v>
      </c>
      <c r="IJY14" t="s">
        <v>6984</v>
      </c>
      <c r="IJZ14" t="s">
        <v>6984</v>
      </c>
      <c r="IKA14" t="s">
        <v>6984</v>
      </c>
      <c r="IKB14" t="s">
        <v>6984</v>
      </c>
      <c r="IKC14" t="s">
        <v>6984</v>
      </c>
      <c r="IKD14" t="s">
        <v>6984</v>
      </c>
      <c r="IKE14" t="s">
        <v>6984</v>
      </c>
      <c r="IKF14" t="s">
        <v>6984</v>
      </c>
      <c r="IKG14" t="s">
        <v>6984</v>
      </c>
      <c r="IKH14" t="s">
        <v>6984</v>
      </c>
      <c r="IKI14" t="s">
        <v>6984</v>
      </c>
      <c r="IKJ14" t="s">
        <v>6984</v>
      </c>
      <c r="IKK14" t="s">
        <v>6984</v>
      </c>
      <c r="IKL14" t="s">
        <v>6984</v>
      </c>
      <c r="IKM14" t="s">
        <v>6984</v>
      </c>
      <c r="IKN14" t="s">
        <v>6984</v>
      </c>
      <c r="IKO14" t="s">
        <v>6984</v>
      </c>
      <c r="IKP14" t="s">
        <v>6984</v>
      </c>
      <c r="IKQ14" t="s">
        <v>6984</v>
      </c>
      <c r="IKR14" t="s">
        <v>6984</v>
      </c>
      <c r="IKS14" t="s">
        <v>6984</v>
      </c>
      <c r="IKT14" t="s">
        <v>6984</v>
      </c>
      <c r="IKU14" t="s">
        <v>6984</v>
      </c>
      <c r="IKV14" t="s">
        <v>6984</v>
      </c>
      <c r="IKW14" t="s">
        <v>6984</v>
      </c>
      <c r="IKX14" t="s">
        <v>6984</v>
      </c>
      <c r="IKY14" t="s">
        <v>6984</v>
      </c>
      <c r="IKZ14" t="s">
        <v>6984</v>
      </c>
      <c r="ILA14" t="s">
        <v>6984</v>
      </c>
      <c r="ILB14" t="s">
        <v>6984</v>
      </c>
      <c r="ILC14" t="s">
        <v>6984</v>
      </c>
      <c r="ILD14" t="s">
        <v>6984</v>
      </c>
      <c r="ILE14" t="s">
        <v>6984</v>
      </c>
      <c r="ILF14" t="s">
        <v>6984</v>
      </c>
      <c r="ILG14" t="s">
        <v>6984</v>
      </c>
      <c r="ILH14" t="s">
        <v>6984</v>
      </c>
      <c r="ILI14" t="s">
        <v>6984</v>
      </c>
      <c r="ILJ14" t="s">
        <v>6984</v>
      </c>
      <c r="ILK14" t="s">
        <v>6984</v>
      </c>
      <c r="ILL14" t="s">
        <v>6984</v>
      </c>
      <c r="ILM14" t="s">
        <v>6984</v>
      </c>
      <c r="ILN14" t="s">
        <v>6984</v>
      </c>
      <c r="ILO14" t="s">
        <v>6984</v>
      </c>
      <c r="ILP14" t="s">
        <v>6984</v>
      </c>
      <c r="ILQ14" t="s">
        <v>6984</v>
      </c>
      <c r="ILR14" t="s">
        <v>6984</v>
      </c>
      <c r="ILS14" t="s">
        <v>6984</v>
      </c>
      <c r="ILT14" t="s">
        <v>6984</v>
      </c>
      <c r="ILU14" t="s">
        <v>6984</v>
      </c>
      <c r="ILV14" t="s">
        <v>6984</v>
      </c>
      <c r="ILW14" t="s">
        <v>6984</v>
      </c>
      <c r="ILX14" t="s">
        <v>6984</v>
      </c>
      <c r="ILY14" t="s">
        <v>6984</v>
      </c>
      <c r="ILZ14" t="s">
        <v>6984</v>
      </c>
      <c r="IMA14" t="s">
        <v>6984</v>
      </c>
      <c r="IMB14" t="s">
        <v>6984</v>
      </c>
      <c r="IMC14" t="s">
        <v>6984</v>
      </c>
      <c r="IMD14" t="s">
        <v>6984</v>
      </c>
      <c r="IME14" t="s">
        <v>6984</v>
      </c>
      <c r="IMF14" t="s">
        <v>6984</v>
      </c>
      <c r="IMG14" t="s">
        <v>6984</v>
      </c>
      <c r="IMH14" t="s">
        <v>6984</v>
      </c>
      <c r="IMI14" t="s">
        <v>6984</v>
      </c>
      <c r="IMJ14" t="s">
        <v>6984</v>
      </c>
      <c r="IMK14" t="s">
        <v>6984</v>
      </c>
      <c r="IML14" t="s">
        <v>6984</v>
      </c>
      <c r="IMM14" t="s">
        <v>6984</v>
      </c>
      <c r="IMN14" t="s">
        <v>6984</v>
      </c>
      <c r="IMO14" t="s">
        <v>6984</v>
      </c>
      <c r="IMP14" t="s">
        <v>6984</v>
      </c>
      <c r="IMQ14" t="s">
        <v>6984</v>
      </c>
      <c r="IMR14" t="s">
        <v>6984</v>
      </c>
      <c r="IMS14" t="s">
        <v>6984</v>
      </c>
      <c r="IMT14" t="s">
        <v>6984</v>
      </c>
      <c r="IMU14" t="s">
        <v>6984</v>
      </c>
      <c r="IMV14" t="s">
        <v>6984</v>
      </c>
      <c r="IMW14" t="s">
        <v>6984</v>
      </c>
      <c r="IMX14" t="s">
        <v>6984</v>
      </c>
      <c r="IMY14" t="s">
        <v>6984</v>
      </c>
      <c r="IMZ14" t="s">
        <v>6984</v>
      </c>
      <c r="INA14" t="s">
        <v>6984</v>
      </c>
      <c r="INB14" t="s">
        <v>6984</v>
      </c>
      <c r="INC14" t="s">
        <v>6984</v>
      </c>
      <c r="IND14" t="s">
        <v>6984</v>
      </c>
      <c r="INE14" t="s">
        <v>6984</v>
      </c>
      <c r="INF14" t="s">
        <v>6984</v>
      </c>
      <c r="ING14" t="s">
        <v>6984</v>
      </c>
      <c r="INH14" t="s">
        <v>6984</v>
      </c>
      <c r="INI14" t="s">
        <v>6984</v>
      </c>
      <c r="INJ14" t="s">
        <v>6984</v>
      </c>
      <c r="INK14" t="s">
        <v>6984</v>
      </c>
      <c r="INL14" t="s">
        <v>6984</v>
      </c>
      <c r="INM14" t="s">
        <v>6984</v>
      </c>
      <c r="INN14" t="s">
        <v>6984</v>
      </c>
      <c r="INO14" t="s">
        <v>6984</v>
      </c>
      <c r="INP14" t="s">
        <v>6984</v>
      </c>
      <c r="INQ14" t="s">
        <v>6984</v>
      </c>
      <c r="INR14" t="s">
        <v>6984</v>
      </c>
      <c r="INS14" t="s">
        <v>6984</v>
      </c>
      <c r="INT14" t="s">
        <v>6984</v>
      </c>
      <c r="INU14" t="s">
        <v>6984</v>
      </c>
      <c r="INV14" t="s">
        <v>6984</v>
      </c>
      <c r="INW14" t="s">
        <v>6984</v>
      </c>
      <c r="INX14" t="s">
        <v>6984</v>
      </c>
      <c r="INY14" t="s">
        <v>6984</v>
      </c>
      <c r="INZ14" t="s">
        <v>6984</v>
      </c>
      <c r="IOA14" t="s">
        <v>6984</v>
      </c>
      <c r="IOB14" t="s">
        <v>6984</v>
      </c>
      <c r="IOC14" t="s">
        <v>6984</v>
      </c>
      <c r="IOD14" t="s">
        <v>6984</v>
      </c>
      <c r="IOE14" t="s">
        <v>6984</v>
      </c>
      <c r="IOF14" t="s">
        <v>6984</v>
      </c>
      <c r="IOG14" t="s">
        <v>6984</v>
      </c>
      <c r="IOH14" t="s">
        <v>6984</v>
      </c>
      <c r="IOI14" t="s">
        <v>6984</v>
      </c>
      <c r="IOJ14" t="s">
        <v>6984</v>
      </c>
      <c r="IOK14" t="s">
        <v>6984</v>
      </c>
      <c r="IOL14" t="s">
        <v>6984</v>
      </c>
      <c r="IOM14" t="s">
        <v>6984</v>
      </c>
      <c r="ION14" t="s">
        <v>6984</v>
      </c>
      <c r="IOO14" t="s">
        <v>6984</v>
      </c>
      <c r="IOP14" t="s">
        <v>6984</v>
      </c>
      <c r="IOQ14" t="s">
        <v>6984</v>
      </c>
      <c r="IOR14" t="s">
        <v>6984</v>
      </c>
      <c r="IOS14" t="s">
        <v>6984</v>
      </c>
      <c r="IOT14" t="s">
        <v>6984</v>
      </c>
      <c r="IOU14" t="s">
        <v>6984</v>
      </c>
      <c r="IOV14" t="s">
        <v>6984</v>
      </c>
      <c r="IOW14" t="s">
        <v>6984</v>
      </c>
      <c r="IOX14" t="s">
        <v>6984</v>
      </c>
      <c r="IOY14" t="s">
        <v>6984</v>
      </c>
      <c r="IOZ14" t="s">
        <v>6984</v>
      </c>
      <c r="IPA14" t="s">
        <v>6984</v>
      </c>
      <c r="IPB14" t="s">
        <v>6984</v>
      </c>
      <c r="IPC14" t="s">
        <v>6984</v>
      </c>
      <c r="IPD14" t="s">
        <v>6984</v>
      </c>
      <c r="IPE14" t="s">
        <v>6984</v>
      </c>
      <c r="IPF14" t="s">
        <v>6984</v>
      </c>
      <c r="IPG14" t="s">
        <v>6984</v>
      </c>
      <c r="IPH14" t="s">
        <v>6984</v>
      </c>
      <c r="IPI14" t="s">
        <v>6984</v>
      </c>
      <c r="IPJ14" t="s">
        <v>6984</v>
      </c>
      <c r="IPK14" t="s">
        <v>6984</v>
      </c>
      <c r="IPL14" t="s">
        <v>6984</v>
      </c>
      <c r="IPM14" t="s">
        <v>6984</v>
      </c>
      <c r="IPN14" t="s">
        <v>6984</v>
      </c>
      <c r="IPO14" t="s">
        <v>6984</v>
      </c>
      <c r="IPP14" t="s">
        <v>6984</v>
      </c>
      <c r="IPQ14" t="s">
        <v>6984</v>
      </c>
      <c r="IPR14" t="s">
        <v>6984</v>
      </c>
      <c r="IPS14" t="s">
        <v>6984</v>
      </c>
      <c r="IPT14" t="s">
        <v>6984</v>
      </c>
      <c r="IPU14" t="s">
        <v>6984</v>
      </c>
      <c r="IPV14" t="s">
        <v>6984</v>
      </c>
      <c r="IPW14" t="s">
        <v>6984</v>
      </c>
      <c r="IPX14" t="s">
        <v>6984</v>
      </c>
      <c r="IPY14" t="s">
        <v>6984</v>
      </c>
      <c r="IPZ14" t="s">
        <v>6984</v>
      </c>
      <c r="IQA14" t="s">
        <v>6984</v>
      </c>
      <c r="IQB14" t="s">
        <v>6984</v>
      </c>
      <c r="IQC14" t="s">
        <v>6984</v>
      </c>
      <c r="IQD14" t="s">
        <v>6984</v>
      </c>
      <c r="IQE14" t="s">
        <v>6984</v>
      </c>
      <c r="IQF14" t="s">
        <v>6984</v>
      </c>
      <c r="IQG14" t="s">
        <v>6984</v>
      </c>
      <c r="IQH14" t="s">
        <v>6984</v>
      </c>
      <c r="IQI14" t="s">
        <v>6984</v>
      </c>
      <c r="IQJ14" t="s">
        <v>6984</v>
      </c>
      <c r="IQK14" t="s">
        <v>6984</v>
      </c>
      <c r="IQL14" t="s">
        <v>6984</v>
      </c>
      <c r="IQM14" t="s">
        <v>6984</v>
      </c>
      <c r="IQN14" t="s">
        <v>6984</v>
      </c>
      <c r="IQO14" t="s">
        <v>6984</v>
      </c>
      <c r="IQP14" t="s">
        <v>6984</v>
      </c>
      <c r="IQQ14" t="s">
        <v>6984</v>
      </c>
      <c r="IQR14" t="s">
        <v>6984</v>
      </c>
      <c r="IQS14" t="s">
        <v>6984</v>
      </c>
      <c r="IQT14" t="s">
        <v>6984</v>
      </c>
      <c r="IQU14" t="s">
        <v>6984</v>
      </c>
      <c r="IQV14" t="s">
        <v>6984</v>
      </c>
      <c r="IQW14" t="s">
        <v>6984</v>
      </c>
      <c r="IQX14" t="s">
        <v>6984</v>
      </c>
      <c r="IQY14" t="s">
        <v>6984</v>
      </c>
      <c r="IQZ14" t="s">
        <v>6984</v>
      </c>
      <c r="IRA14" t="s">
        <v>6984</v>
      </c>
      <c r="IRB14" t="s">
        <v>6984</v>
      </c>
      <c r="IRC14" t="s">
        <v>6984</v>
      </c>
      <c r="IRD14" t="s">
        <v>6984</v>
      </c>
      <c r="IRE14" t="s">
        <v>6984</v>
      </c>
      <c r="IRF14" t="s">
        <v>6984</v>
      </c>
      <c r="IRG14" t="s">
        <v>6984</v>
      </c>
      <c r="IRH14" t="s">
        <v>6984</v>
      </c>
      <c r="IRI14" t="s">
        <v>6984</v>
      </c>
      <c r="IRJ14" t="s">
        <v>6984</v>
      </c>
      <c r="IRK14" t="s">
        <v>6984</v>
      </c>
      <c r="IRL14" t="s">
        <v>6984</v>
      </c>
      <c r="IRM14" t="s">
        <v>6984</v>
      </c>
      <c r="IRN14" t="s">
        <v>6984</v>
      </c>
      <c r="IRO14" t="s">
        <v>6984</v>
      </c>
      <c r="IRP14" t="s">
        <v>6984</v>
      </c>
      <c r="IRQ14" t="s">
        <v>6984</v>
      </c>
      <c r="IRR14" t="s">
        <v>6984</v>
      </c>
      <c r="IRS14" t="s">
        <v>6984</v>
      </c>
      <c r="IRT14" t="s">
        <v>6984</v>
      </c>
      <c r="IRU14" t="s">
        <v>6984</v>
      </c>
      <c r="IRV14" t="s">
        <v>6984</v>
      </c>
      <c r="IRW14" t="s">
        <v>6984</v>
      </c>
      <c r="IRX14" t="s">
        <v>6984</v>
      </c>
      <c r="IRY14" t="s">
        <v>6984</v>
      </c>
      <c r="IRZ14" t="s">
        <v>6984</v>
      </c>
      <c r="ISA14" t="s">
        <v>6984</v>
      </c>
      <c r="ISB14" t="s">
        <v>6984</v>
      </c>
      <c r="ISC14" t="s">
        <v>6984</v>
      </c>
      <c r="ISD14" t="s">
        <v>6984</v>
      </c>
      <c r="ISE14" t="s">
        <v>6984</v>
      </c>
      <c r="ISF14" t="s">
        <v>6984</v>
      </c>
      <c r="ISG14" t="s">
        <v>6984</v>
      </c>
      <c r="ISH14" t="s">
        <v>6984</v>
      </c>
      <c r="ISI14" t="s">
        <v>6984</v>
      </c>
      <c r="ISJ14" t="s">
        <v>6984</v>
      </c>
      <c r="ISK14" t="s">
        <v>6984</v>
      </c>
      <c r="ISL14" t="s">
        <v>6984</v>
      </c>
      <c r="ISM14" t="s">
        <v>6984</v>
      </c>
      <c r="ISN14" t="s">
        <v>6984</v>
      </c>
      <c r="ISO14" t="s">
        <v>6984</v>
      </c>
      <c r="ISP14" t="s">
        <v>6984</v>
      </c>
      <c r="ISQ14" t="s">
        <v>6984</v>
      </c>
      <c r="ISR14" t="s">
        <v>6984</v>
      </c>
      <c r="ISS14" t="s">
        <v>6984</v>
      </c>
      <c r="IST14" t="s">
        <v>6984</v>
      </c>
      <c r="ISU14" t="s">
        <v>6984</v>
      </c>
      <c r="ISV14" t="s">
        <v>6984</v>
      </c>
      <c r="ISW14" t="s">
        <v>6984</v>
      </c>
      <c r="ISX14" t="s">
        <v>6984</v>
      </c>
      <c r="ISY14" t="s">
        <v>6984</v>
      </c>
      <c r="ISZ14" t="s">
        <v>6984</v>
      </c>
      <c r="ITA14" t="s">
        <v>6984</v>
      </c>
      <c r="ITB14" t="s">
        <v>6984</v>
      </c>
      <c r="ITC14" t="s">
        <v>6984</v>
      </c>
      <c r="ITD14" t="s">
        <v>6984</v>
      </c>
      <c r="ITE14" t="s">
        <v>6984</v>
      </c>
      <c r="ITF14" t="s">
        <v>6984</v>
      </c>
      <c r="ITG14" t="s">
        <v>6984</v>
      </c>
      <c r="ITH14" t="s">
        <v>6984</v>
      </c>
      <c r="ITI14" t="s">
        <v>6984</v>
      </c>
      <c r="ITJ14" t="s">
        <v>6984</v>
      </c>
      <c r="ITK14" t="s">
        <v>6984</v>
      </c>
      <c r="ITL14" t="s">
        <v>6984</v>
      </c>
      <c r="ITM14" t="s">
        <v>6984</v>
      </c>
      <c r="ITN14" t="s">
        <v>6984</v>
      </c>
      <c r="ITO14" t="s">
        <v>6984</v>
      </c>
      <c r="ITP14" t="s">
        <v>6984</v>
      </c>
      <c r="ITQ14" t="s">
        <v>6984</v>
      </c>
      <c r="ITR14" t="s">
        <v>6984</v>
      </c>
      <c r="ITS14" t="s">
        <v>6984</v>
      </c>
      <c r="ITT14" t="s">
        <v>6984</v>
      </c>
      <c r="ITU14" t="s">
        <v>6984</v>
      </c>
      <c r="ITV14" t="s">
        <v>6984</v>
      </c>
      <c r="ITW14" t="s">
        <v>6984</v>
      </c>
      <c r="ITX14" t="s">
        <v>6984</v>
      </c>
      <c r="ITY14" t="s">
        <v>6984</v>
      </c>
      <c r="ITZ14" t="s">
        <v>6984</v>
      </c>
      <c r="IUA14" t="s">
        <v>6984</v>
      </c>
      <c r="IUB14" t="s">
        <v>6984</v>
      </c>
      <c r="IUC14" t="s">
        <v>6984</v>
      </c>
      <c r="IUD14" t="s">
        <v>6984</v>
      </c>
      <c r="IUE14" t="s">
        <v>6984</v>
      </c>
      <c r="IUF14" t="s">
        <v>6984</v>
      </c>
      <c r="IUG14" t="s">
        <v>6984</v>
      </c>
      <c r="IUH14" t="s">
        <v>6984</v>
      </c>
      <c r="IUI14" t="s">
        <v>6984</v>
      </c>
      <c r="IUJ14" t="s">
        <v>6984</v>
      </c>
      <c r="IUK14" t="s">
        <v>6984</v>
      </c>
      <c r="IUL14" t="s">
        <v>6984</v>
      </c>
      <c r="IUM14" t="s">
        <v>6984</v>
      </c>
      <c r="IUN14" t="s">
        <v>6984</v>
      </c>
      <c r="IUO14" t="s">
        <v>6984</v>
      </c>
      <c r="IUP14" t="s">
        <v>6984</v>
      </c>
      <c r="IUQ14" t="s">
        <v>6984</v>
      </c>
      <c r="IUR14" t="s">
        <v>6984</v>
      </c>
      <c r="IUS14" t="s">
        <v>6984</v>
      </c>
      <c r="IUT14" t="s">
        <v>6984</v>
      </c>
      <c r="IUU14" t="s">
        <v>6984</v>
      </c>
      <c r="IUV14" t="s">
        <v>6984</v>
      </c>
      <c r="IUW14" t="s">
        <v>6984</v>
      </c>
      <c r="IUX14" t="s">
        <v>6984</v>
      </c>
      <c r="IUY14" t="s">
        <v>6984</v>
      </c>
      <c r="IUZ14" t="s">
        <v>6984</v>
      </c>
      <c r="IVA14" t="s">
        <v>6984</v>
      </c>
      <c r="IVB14" t="s">
        <v>6984</v>
      </c>
      <c r="IVC14" t="s">
        <v>6984</v>
      </c>
      <c r="IVD14" t="s">
        <v>6984</v>
      </c>
      <c r="IVE14" t="s">
        <v>6984</v>
      </c>
      <c r="IVF14" t="s">
        <v>6984</v>
      </c>
      <c r="IVG14" t="s">
        <v>6984</v>
      </c>
      <c r="IVH14" t="s">
        <v>6984</v>
      </c>
      <c r="IVI14" t="s">
        <v>6984</v>
      </c>
      <c r="IVJ14" t="s">
        <v>6984</v>
      </c>
      <c r="IVK14" t="s">
        <v>6984</v>
      </c>
      <c r="IVL14" t="s">
        <v>6984</v>
      </c>
      <c r="IVM14" t="s">
        <v>6984</v>
      </c>
      <c r="IVN14" t="s">
        <v>6984</v>
      </c>
      <c r="IVO14" t="s">
        <v>6984</v>
      </c>
      <c r="IVP14" t="s">
        <v>6984</v>
      </c>
      <c r="IVQ14" t="s">
        <v>6984</v>
      </c>
      <c r="IVR14" t="s">
        <v>6984</v>
      </c>
      <c r="IVS14" t="s">
        <v>6984</v>
      </c>
      <c r="IVT14" t="s">
        <v>6984</v>
      </c>
      <c r="IVU14" t="s">
        <v>6984</v>
      </c>
      <c r="IVV14" t="s">
        <v>6984</v>
      </c>
      <c r="IVW14" t="s">
        <v>6984</v>
      </c>
      <c r="IVX14" t="s">
        <v>6984</v>
      </c>
      <c r="IVY14" t="s">
        <v>6984</v>
      </c>
      <c r="IVZ14" t="s">
        <v>6984</v>
      </c>
      <c r="IWA14" t="s">
        <v>6984</v>
      </c>
      <c r="IWB14" t="s">
        <v>6984</v>
      </c>
      <c r="IWC14" t="s">
        <v>6984</v>
      </c>
      <c r="IWD14" t="s">
        <v>6984</v>
      </c>
      <c r="IWE14" t="s">
        <v>6984</v>
      </c>
      <c r="IWF14" t="s">
        <v>6984</v>
      </c>
      <c r="IWG14" t="s">
        <v>6984</v>
      </c>
      <c r="IWH14" t="s">
        <v>6984</v>
      </c>
      <c r="IWI14" t="s">
        <v>6984</v>
      </c>
      <c r="IWJ14" t="s">
        <v>6984</v>
      </c>
      <c r="IWK14" t="s">
        <v>6984</v>
      </c>
      <c r="IWL14" t="s">
        <v>6984</v>
      </c>
      <c r="IWM14" t="s">
        <v>6984</v>
      </c>
      <c r="IWN14" t="s">
        <v>6984</v>
      </c>
      <c r="IWO14" t="s">
        <v>6984</v>
      </c>
      <c r="IWP14" t="s">
        <v>6984</v>
      </c>
      <c r="IWQ14" t="s">
        <v>6984</v>
      </c>
      <c r="IWR14" t="s">
        <v>6984</v>
      </c>
      <c r="IWS14" t="s">
        <v>6984</v>
      </c>
      <c r="IWT14" t="s">
        <v>6984</v>
      </c>
      <c r="IWU14" t="s">
        <v>6984</v>
      </c>
      <c r="IWV14" t="s">
        <v>6984</v>
      </c>
      <c r="IWW14" t="s">
        <v>6984</v>
      </c>
      <c r="IWX14" t="s">
        <v>6984</v>
      </c>
      <c r="IWY14" t="s">
        <v>6984</v>
      </c>
      <c r="IWZ14" t="s">
        <v>6984</v>
      </c>
      <c r="IXA14" t="s">
        <v>6984</v>
      </c>
      <c r="IXB14" t="s">
        <v>6984</v>
      </c>
      <c r="IXC14" t="s">
        <v>6984</v>
      </c>
      <c r="IXD14" t="s">
        <v>6984</v>
      </c>
      <c r="IXE14" t="s">
        <v>6984</v>
      </c>
      <c r="IXF14" t="s">
        <v>6984</v>
      </c>
      <c r="IXG14" t="s">
        <v>6984</v>
      </c>
      <c r="IXH14" t="s">
        <v>6984</v>
      </c>
      <c r="IXI14" t="s">
        <v>6984</v>
      </c>
      <c r="IXJ14" t="s">
        <v>6984</v>
      </c>
      <c r="IXK14" t="s">
        <v>6984</v>
      </c>
      <c r="IXL14" t="s">
        <v>6984</v>
      </c>
      <c r="IXM14" t="s">
        <v>6984</v>
      </c>
      <c r="IXN14" t="s">
        <v>6984</v>
      </c>
      <c r="IXO14" t="s">
        <v>6984</v>
      </c>
      <c r="IXP14" t="s">
        <v>6984</v>
      </c>
      <c r="IXQ14" t="s">
        <v>6984</v>
      </c>
      <c r="IXR14" t="s">
        <v>6984</v>
      </c>
      <c r="IXS14" t="s">
        <v>6984</v>
      </c>
      <c r="IXT14" t="s">
        <v>6984</v>
      </c>
      <c r="IXU14" t="s">
        <v>6984</v>
      </c>
      <c r="IXV14" t="s">
        <v>6984</v>
      </c>
      <c r="IXW14" t="s">
        <v>6984</v>
      </c>
      <c r="IXX14" t="s">
        <v>6984</v>
      </c>
      <c r="IXY14" t="s">
        <v>6984</v>
      </c>
      <c r="IXZ14" t="s">
        <v>6984</v>
      </c>
      <c r="IYA14" t="s">
        <v>6984</v>
      </c>
      <c r="IYB14" t="s">
        <v>6984</v>
      </c>
      <c r="IYC14" t="s">
        <v>6984</v>
      </c>
      <c r="IYD14" t="s">
        <v>6984</v>
      </c>
      <c r="IYE14" t="s">
        <v>6984</v>
      </c>
      <c r="IYF14" t="s">
        <v>6984</v>
      </c>
      <c r="IYG14" t="s">
        <v>6984</v>
      </c>
      <c r="IYH14" t="s">
        <v>6984</v>
      </c>
      <c r="IYI14" t="s">
        <v>6984</v>
      </c>
      <c r="IYJ14" t="s">
        <v>6984</v>
      </c>
      <c r="IYK14" t="s">
        <v>6984</v>
      </c>
      <c r="IYL14" t="s">
        <v>6984</v>
      </c>
      <c r="IYM14" t="s">
        <v>6984</v>
      </c>
      <c r="IYN14" t="s">
        <v>6984</v>
      </c>
      <c r="IYO14" t="s">
        <v>6984</v>
      </c>
      <c r="IYP14" t="s">
        <v>6984</v>
      </c>
      <c r="IYQ14" t="s">
        <v>6984</v>
      </c>
      <c r="IYR14" t="s">
        <v>6984</v>
      </c>
      <c r="IYS14" t="s">
        <v>6984</v>
      </c>
      <c r="IYT14" t="s">
        <v>6984</v>
      </c>
      <c r="IYU14" t="s">
        <v>6984</v>
      </c>
      <c r="IYV14" t="s">
        <v>6984</v>
      </c>
      <c r="IYW14" t="s">
        <v>6984</v>
      </c>
      <c r="IYX14" t="s">
        <v>6984</v>
      </c>
      <c r="IYY14" t="s">
        <v>6984</v>
      </c>
      <c r="IYZ14" t="s">
        <v>6984</v>
      </c>
      <c r="IZA14" t="s">
        <v>6984</v>
      </c>
      <c r="IZB14" t="s">
        <v>6984</v>
      </c>
      <c r="IZC14" t="s">
        <v>6984</v>
      </c>
      <c r="IZD14" t="s">
        <v>6984</v>
      </c>
      <c r="IZE14" t="s">
        <v>6984</v>
      </c>
      <c r="IZF14" t="s">
        <v>6984</v>
      </c>
      <c r="IZG14" t="s">
        <v>6984</v>
      </c>
      <c r="IZH14" t="s">
        <v>6984</v>
      </c>
      <c r="IZI14" t="s">
        <v>6984</v>
      </c>
      <c r="IZJ14" t="s">
        <v>6984</v>
      </c>
      <c r="IZK14" t="s">
        <v>6984</v>
      </c>
      <c r="IZL14" t="s">
        <v>6984</v>
      </c>
      <c r="IZM14" t="s">
        <v>6984</v>
      </c>
      <c r="IZN14" t="s">
        <v>6984</v>
      </c>
      <c r="IZO14" t="s">
        <v>6984</v>
      </c>
      <c r="IZP14" t="s">
        <v>6984</v>
      </c>
      <c r="IZQ14" t="s">
        <v>6984</v>
      </c>
      <c r="IZR14" t="s">
        <v>6984</v>
      </c>
      <c r="IZS14" t="s">
        <v>6984</v>
      </c>
      <c r="IZT14" t="s">
        <v>6984</v>
      </c>
      <c r="IZU14" t="s">
        <v>6984</v>
      </c>
      <c r="IZV14" t="s">
        <v>6984</v>
      </c>
      <c r="IZW14" t="s">
        <v>6984</v>
      </c>
      <c r="IZX14" t="s">
        <v>6984</v>
      </c>
      <c r="IZY14" t="s">
        <v>6984</v>
      </c>
      <c r="IZZ14" t="s">
        <v>6984</v>
      </c>
      <c r="JAA14" t="s">
        <v>6984</v>
      </c>
      <c r="JAB14" t="s">
        <v>6984</v>
      </c>
      <c r="JAC14" t="s">
        <v>6984</v>
      </c>
      <c r="JAD14" t="s">
        <v>6984</v>
      </c>
      <c r="JAE14" t="s">
        <v>6984</v>
      </c>
      <c r="JAF14" t="s">
        <v>6984</v>
      </c>
      <c r="JAG14" t="s">
        <v>6984</v>
      </c>
      <c r="JAH14" t="s">
        <v>6984</v>
      </c>
      <c r="JAI14" t="s">
        <v>6984</v>
      </c>
      <c r="JAJ14" t="s">
        <v>6984</v>
      </c>
      <c r="JAK14" t="s">
        <v>6984</v>
      </c>
      <c r="JAL14" t="s">
        <v>6984</v>
      </c>
      <c r="JAM14" t="s">
        <v>6984</v>
      </c>
      <c r="JAN14" t="s">
        <v>6984</v>
      </c>
      <c r="JAO14" t="s">
        <v>6984</v>
      </c>
      <c r="JAP14" t="s">
        <v>6984</v>
      </c>
      <c r="JAQ14" t="s">
        <v>6984</v>
      </c>
      <c r="JAR14" t="s">
        <v>6984</v>
      </c>
      <c r="JAS14" t="s">
        <v>6984</v>
      </c>
      <c r="JAT14" t="s">
        <v>6984</v>
      </c>
      <c r="JAU14" t="s">
        <v>6984</v>
      </c>
      <c r="JAV14" t="s">
        <v>6984</v>
      </c>
      <c r="JAW14" t="s">
        <v>6984</v>
      </c>
      <c r="JAX14" t="s">
        <v>6984</v>
      </c>
      <c r="JAY14" t="s">
        <v>6984</v>
      </c>
      <c r="JAZ14" t="s">
        <v>6984</v>
      </c>
      <c r="JBA14" t="s">
        <v>6984</v>
      </c>
      <c r="JBB14" t="s">
        <v>6984</v>
      </c>
      <c r="JBC14" t="s">
        <v>6984</v>
      </c>
      <c r="JBD14" t="s">
        <v>6984</v>
      </c>
      <c r="JBE14" t="s">
        <v>6984</v>
      </c>
      <c r="JBF14" t="s">
        <v>6984</v>
      </c>
      <c r="JBG14" t="s">
        <v>6984</v>
      </c>
      <c r="JBH14" t="s">
        <v>6984</v>
      </c>
      <c r="JBI14" t="s">
        <v>6984</v>
      </c>
      <c r="JBJ14" t="s">
        <v>6984</v>
      </c>
      <c r="JBK14" t="s">
        <v>6984</v>
      </c>
      <c r="JBL14" t="s">
        <v>6984</v>
      </c>
      <c r="JBM14" t="s">
        <v>6984</v>
      </c>
      <c r="JBN14" t="s">
        <v>6984</v>
      </c>
      <c r="JBO14" t="s">
        <v>6984</v>
      </c>
      <c r="JBP14" t="s">
        <v>6984</v>
      </c>
      <c r="JBQ14" t="s">
        <v>6984</v>
      </c>
      <c r="JBR14" t="s">
        <v>6984</v>
      </c>
      <c r="JBS14" t="s">
        <v>6984</v>
      </c>
      <c r="JBT14" t="s">
        <v>6984</v>
      </c>
      <c r="JBU14" t="s">
        <v>6984</v>
      </c>
      <c r="JBV14" t="s">
        <v>6984</v>
      </c>
      <c r="JBW14" t="s">
        <v>6984</v>
      </c>
      <c r="JBX14" t="s">
        <v>6984</v>
      </c>
      <c r="JBY14" t="s">
        <v>6984</v>
      </c>
      <c r="JBZ14" t="s">
        <v>6984</v>
      </c>
      <c r="JCA14" t="s">
        <v>6984</v>
      </c>
      <c r="JCB14" t="s">
        <v>6984</v>
      </c>
      <c r="JCC14" t="s">
        <v>6984</v>
      </c>
      <c r="JCD14" t="s">
        <v>6984</v>
      </c>
      <c r="JCE14" t="s">
        <v>6984</v>
      </c>
      <c r="JCF14" t="s">
        <v>6984</v>
      </c>
      <c r="JCG14" t="s">
        <v>6984</v>
      </c>
      <c r="JCH14" t="s">
        <v>6984</v>
      </c>
      <c r="JCI14" t="s">
        <v>6984</v>
      </c>
      <c r="JCJ14" t="s">
        <v>6984</v>
      </c>
      <c r="JCK14" t="s">
        <v>6984</v>
      </c>
      <c r="JCL14" t="s">
        <v>6984</v>
      </c>
      <c r="JCM14" t="s">
        <v>6984</v>
      </c>
      <c r="JCN14" t="s">
        <v>6984</v>
      </c>
      <c r="JCO14" t="s">
        <v>6984</v>
      </c>
      <c r="JCP14" t="s">
        <v>6984</v>
      </c>
      <c r="JCQ14" t="s">
        <v>6984</v>
      </c>
      <c r="JCR14" t="s">
        <v>6984</v>
      </c>
      <c r="JCS14" t="s">
        <v>6984</v>
      </c>
      <c r="JCT14" t="s">
        <v>6984</v>
      </c>
      <c r="JCU14" t="s">
        <v>6984</v>
      </c>
      <c r="JCV14" t="s">
        <v>6984</v>
      </c>
      <c r="JCW14" t="s">
        <v>6984</v>
      </c>
      <c r="JCX14" t="s">
        <v>6984</v>
      </c>
      <c r="JCY14" t="s">
        <v>6984</v>
      </c>
      <c r="JCZ14" t="s">
        <v>6984</v>
      </c>
      <c r="JDA14" t="s">
        <v>6984</v>
      </c>
      <c r="JDB14" t="s">
        <v>6984</v>
      </c>
      <c r="JDC14" t="s">
        <v>6984</v>
      </c>
      <c r="JDD14" t="s">
        <v>6984</v>
      </c>
      <c r="JDE14" t="s">
        <v>6984</v>
      </c>
      <c r="JDF14" t="s">
        <v>6984</v>
      </c>
      <c r="JDG14" t="s">
        <v>6984</v>
      </c>
      <c r="JDH14" t="s">
        <v>6984</v>
      </c>
      <c r="JDI14" t="s">
        <v>6984</v>
      </c>
      <c r="JDJ14" t="s">
        <v>6984</v>
      </c>
      <c r="JDK14" t="s">
        <v>6984</v>
      </c>
      <c r="JDL14" t="s">
        <v>6984</v>
      </c>
      <c r="JDM14" t="s">
        <v>6984</v>
      </c>
      <c r="JDN14" t="s">
        <v>6984</v>
      </c>
      <c r="JDO14" t="s">
        <v>6984</v>
      </c>
      <c r="JDP14" t="s">
        <v>6984</v>
      </c>
      <c r="JDQ14" t="s">
        <v>6984</v>
      </c>
      <c r="JDR14" t="s">
        <v>6984</v>
      </c>
      <c r="JDS14" t="s">
        <v>6984</v>
      </c>
      <c r="JDT14" t="s">
        <v>6984</v>
      </c>
      <c r="JDU14" t="s">
        <v>6984</v>
      </c>
      <c r="JDV14" t="s">
        <v>6984</v>
      </c>
      <c r="JDW14" t="s">
        <v>6984</v>
      </c>
      <c r="JDX14" t="s">
        <v>6984</v>
      </c>
      <c r="JDY14" t="s">
        <v>6984</v>
      </c>
      <c r="JDZ14" t="s">
        <v>6984</v>
      </c>
      <c r="JEA14" t="s">
        <v>6984</v>
      </c>
      <c r="JEB14" t="s">
        <v>6984</v>
      </c>
      <c r="JEC14" t="s">
        <v>6984</v>
      </c>
      <c r="JED14" t="s">
        <v>6984</v>
      </c>
      <c r="JEE14" t="s">
        <v>6984</v>
      </c>
      <c r="JEF14" t="s">
        <v>6984</v>
      </c>
      <c r="JEG14" t="s">
        <v>6984</v>
      </c>
      <c r="JEH14" t="s">
        <v>6984</v>
      </c>
      <c r="JEI14" t="s">
        <v>6984</v>
      </c>
      <c r="JEJ14" t="s">
        <v>6984</v>
      </c>
      <c r="JEK14" t="s">
        <v>6984</v>
      </c>
      <c r="JEL14" t="s">
        <v>6984</v>
      </c>
      <c r="JEM14" t="s">
        <v>6984</v>
      </c>
      <c r="JEN14" t="s">
        <v>6984</v>
      </c>
      <c r="JEO14" t="s">
        <v>6984</v>
      </c>
      <c r="JEP14" t="s">
        <v>6984</v>
      </c>
      <c r="JEQ14" t="s">
        <v>6984</v>
      </c>
      <c r="JER14" t="s">
        <v>6984</v>
      </c>
      <c r="JES14" t="s">
        <v>6984</v>
      </c>
      <c r="JET14" t="s">
        <v>6984</v>
      </c>
      <c r="JEU14" t="s">
        <v>6984</v>
      </c>
      <c r="JEV14" t="s">
        <v>6984</v>
      </c>
      <c r="JEW14" t="s">
        <v>6984</v>
      </c>
      <c r="JEX14" t="s">
        <v>6984</v>
      </c>
      <c r="JEY14" t="s">
        <v>6984</v>
      </c>
      <c r="JEZ14" t="s">
        <v>6984</v>
      </c>
      <c r="JFA14" t="s">
        <v>6984</v>
      </c>
      <c r="JFB14" t="s">
        <v>6984</v>
      </c>
      <c r="JFC14" t="s">
        <v>6984</v>
      </c>
      <c r="JFD14" t="s">
        <v>6984</v>
      </c>
      <c r="JFE14" t="s">
        <v>6984</v>
      </c>
      <c r="JFF14" t="s">
        <v>6984</v>
      </c>
      <c r="JFG14" t="s">
        <v>6984</v>
      </c>
      <c r="JFH14" t="s">
        <v>6984</v>
      </c>
      <c r="JFI14" t="s">
        <v>6984</v>
      </c>
      <c r="JFJ14" t="s">
        <v>6984</v>
      </c>
      <c r="JFK14" t="s">
        <v>6984</v>
      </c>
      <c r="JFL14" t="s">
        <v>6984</v>
      </c>
      <c r="JFM14" t="s">
        <v>6984</v>
      </c>
      <c r="JFN14" t="s">
        <v>6984</v>
      </c>
      <c r="JFO14" t="s">
        <v>6984</v>
      </c>
      <c r="JFP14" t="s">
        <v>6984</v>
      </c>
      <c r="JFQ14" t="s">
        <v>6984</v>
      </c>
      <c r="JFR14" t="s">
        <v>6984</v>
      </c>
      <c r="JFS14" t="s">
        <v>6984</v>
      </c>
      <c r="JFT14" t="s">
        <v>6984</v>
      </c>
      <c r="JFU14" t="s">
        <v>6984</v>
      </c>
      <c r="JFV14" t="s">
        <v>6984</v>
      </c>
      <c r="JFW14" t="s">
        <v>6984</v>
      </c>
      <c r="JFX14" t="s">
        <v>6984</v>
      </c>
      <c r="JFY14" t="s">
        <v>6984</v>
      </c>
      <c r="JFZ14" t="s">
        <v>6984</v>
      </c>
      <c r="JGA14" t="s">
        <v>6984</v>
      </c>
      <c r="JGB14" t="s">
        <v>6984</v>
      </c>
      <c r="JGC14" t="s">
        <v>6984</v>
      </c>
      <c r="JGD14" t="s">
        <v>6984</v>
      </c>
      <c r="JGE14" t="s">
        <v>6984</v>
      </c>
      <c r="JGF14" t="s">
        <v>6984</v>
      </c>
      <c r="JGG14" t="s">
        <v>6984</v>
      </c>
      <c r="JGH14" t="s">
        <v>6984</v>
      </c>
      <c r="JGI14" t="s">
        <v>6984</v>
      </c>
      <c r="JGJ14" t="s">
        <v>6984</v>
      </c>
      <c r="JGK14" t="s">
        <v>6984</v>
      </c>
      <c r="JGL14" t="s">
        <v>6984</v>
      </c>
      <c r="JGM14" t="s">
        <v>6984</v>
      </c>
      <c r="JGN14" t="s">
        <v>6984</v>
      </c>
      <c r="JGO14" t="s">
        <v>6984</v>
      </c>
      <c r="JGP14" t="s">
        <v>6984</v>
      </c>
      <c r="JGQ14" t="s">
        <v>6984</v>
      </c>
      <c r="JGR14" t="s">
        <v>6984</v>
      </c>
      <c r="JGS14" t="s">
        <v>6984</v>
      </c>
      <c r="JGT14" t="s">
        <v>6984</v>
      </c>
      <c r="JGU14" t="s">
        <v>6984</v>
      </c>
      <c r="JGV14" t="s">
        <v>6984</v>
      </c>
      <c r="JGW14" t="s">
        <v>6984</v>
      </c>
      <c r="JGX14" t="s">
        <v>6984</v>
      </c>
      <c r="JGY14" t="s">
        <v>6984</v>
      </c>
      <c r="JGZ14" t="s">
        <v>6984</v>
      </c>
      <c r="JHA14" t="s">
        <v>6984</v>
      </c>
      <c r="JHB14" t="s">
        <v>6984</v>
      </c>
      <c r="JHC14" t="s">
        <v>6984</v>
      </c>
      <c r="JHD14" t="s">
        <v>6984</v>
      </c>
      <c r="JHE14" t="s">
        <v>6984</v>
      </c>
      <c r="JHF14" t="s">
        <v>6984</v>
      </c>
      <c r="JHG14" t="s">
        <v>6984</v>
      </c>
      <c r="JHH14" t="s">
        <v>6984</v>
      </c>
      <c r="JHI14" t="s">
        <v>6984</v>
      </c>
      <c r="JHJ14" t="s">
        <v>6984</v>
      </c>
      <c r="JHK14" t="s">
        <v>6984</v>
      </c>
      <c r="JHL14" t="s">
        <v>6984</v>
      </c>
      <c r="JHM14" t="s">
        <v>6984</v>
      </c>
      <c r="JHN14" t="s">
        <v>6984</v>
      </c>
      <c r="JHO14" t="s">
        <v>6984</v>
      </c>
      <c r="JHP14" t="s">
        <v>6984</v>
      </c>
      <c r="JHQ14" t="s">
        <v>6984</v>
      </c>
      <c r="JHR14" t="s">
        <v>6984</v>
      </c>
      <c r="JHS14" t="s">
        <v>6984</v>
      </c>
      <c r="JHT14" t="s">
        <v>6984</v>
      </c>
      <c r="JHU14" t="s">
        <v>6984</v>
      </c>
      <c r="JHV14" t="s">
        <v>6984</v>
      </c>
      <c r="JHW14" t="s">
        <v>6984</v>
      </c>
      <c r="JHX14" t="s">
        <v>6984</v>
      </c>
      <c r="JHY14" t="s">
        <v>6984</v>
      </c>
      <c r="JHZ14" t="s">
        <v>6984</v>
      </c>
      <c r="JIA14" t="s">
        <v>6984</v>
      </c>
      <c r="JIB14" t="s">
        <v>6984</v>
      </c>
      <c r="JIC14" t="s">
        <v>6984</v>
      </c>
      <c r="JID14" t="s">
        <v>6984</v>
      </c>
      <c r="JIE14" t="s">
        <v>6984</v>
      </c>
      <c r="JIF14" t="s">
        <v>6984</v>
      </c>
      <c r="JIG14" t="s">
        <v>6984</v>
      </c>
      <c r="JIH14" t="s">
        <v>6984</v>
      </c>
      <c r="JII14" t="s">
        <v>6984</v>
      </c>
      <c r="JIJ14" t="s">
        <v>6984</v>
      </c>
      <c r="JIK14" t="s">
        <v>6984</v>
      </c>
      <c r="JIL14" t="s">
        <v>6984</v>
      </c>
      <c r="JIM14" t="s">
        <v>6984</v>
      </c>
      <c r="JIN14" t="s">
        <v>6984</v>
      </c>
      <c r="JIO14" t="s">
        <v>6984</v>
      </c>
      <c r="JIP14" t="s">
        <v>6984</v>
      </c>
      <c r="JIQ14" t="s">
        <v>6984</v>
      </c>
      <c r="JIR14" t="s">
        <v>6984</v>
      </c>
      <c r="JIS14" t="s">
        <v>6984</v>
      </c>
      <c r="JIT14" t="s">
        <v>6984</v>
      </c>
      <c r="JIU14" t="s">
        <v>6984</v>
      </c>
      <c r="JIV14" t="s">
        <v>6984</v>
      </c>
      <c r="JIW14" t="s">
        <v>6984</v>
      </c>
      <c r="JIX14" t="s">
        <v>6984</v>
      </c>
      <c r="JIY14" t="s">
        <v>6984</v>
      </c>
      <c r="JIZ14" t="s">
        <v>6984</v>
      </c>
      <c r="JJA14" t="s">
        <v>6984</v>
      </c>
    </row>
    <row r="15" spans="1:7021" x14ac:dyDescent="0.25">
      <c r="A15" t="s">
        <v>6996</v>
      </c>
      <c r="B15">
        <v>96.47</v>
      </c>
      <c r="C15">
        <v>96.47</v>
      </c>
      <c r="D15">
        <v>96.47</v>
      </c>
      <c r="E15">
        <v>96.515000000000001</v>
      </c>
      <c r="F15">
        <v>96.46</v>
      </c>
      <c r="G15">
        <v>96.47</v>
      </c>
      <c r="H15">
        <v>96.52</v>
      </c>
      <c r="I15">
        <v>96.465000000000003</v>
      </c>
      <c r="J15">
        <v>96.394999999999996</v>
      </c>
      <c r="K15">
        <v>96.39</v>
      </c>
      <c r="L15">
        <v>96.35</v>
      </c>
      <c r="M15">
        <v>96.484999999999999</v>
      </c>
      <c r="N15">
        <v>96.545000000000002</v>
      </c>
      <c r="O15">
        <v>96.46</v>
      </c>
      <c r="P15">
        <v>96.48</v>
      </c>
      <c r="Q15">
        <v>96.525000000000006</v>
      </c>
      <c r="R15">
        <v>96.504999999999995</v>
      </c>
      <c r="S15">
        <v>96.454999999999998</v>
      </c>
      <c r="T15">
        <v>96.495000000000005</v>
      </c>
      <c r="U15">
        <v>96.415000000000006</v>
      </c>
      <c r="V15">
        <v>96.415000000000006</v>
      </c>
      <c r="W15">
        <v>96.38</v>
      </c>
      <c r="X15">
        <v>96.334999999999994</v>
      </c>
      <c r="Y15">
        <v>96.43</v>
      </c>
      <c r="Z15">
        <v>96.405000000000001</v>
      </c>
      <c r="AA15">
        <v>96.41</v>
      </c>
      <c r="AB15">
        <v>96.385000000000005</v>
      </c>
      <c r="AC15">
        <v>96.295000000000002</v>
      </c>
      <c r="AD15">
        <v>96.33</v>
      </c>
      <c r="AE15">
        <v>96.35</v>
      </c>
      <c r="AF15">
        <v>96.48</v>
      </c>
      <c r="AG15">
        <v>96.474999999999994</v>
      </c>
      <c r="AH15">
        <v>96.62</v>
      </c>
      <c r="AI15">
        <v>96.59</v>
      </c>
      <c r="AJ15">
        <v>96.545000000000002</v>
      </c>
      <c r="AK15">
        <v>96.545000000000002</v>
      </c>
      <c r="AL15">
        <v>96.66</v>
      </c>
      <c r="AM15">
        <v>96.71</v>
      </c>
      <c r="AN15">
        <v>96.68</v>
      </c>
      <c r="AO15">
        <v>96.64</v>
      </c>
      <c r="AP15">
        <v>96.564999999999998</v>
      </c>
      <c r="AQ15">
        <v>96.52</v>
      </c>
      <c r="AR15">
        <v>96.435000000000002</v>
      </c>
      <c r="AS15">
        <v>96.48</v>
      </c>
      <c r="AT15">
        <v>96.49</v>
      </c>
      <c r="AU15">
        <v>96.51</v>
      </c>
      <c r="AV15">
        <v>96.51</v>
      </c>
      <c r="AW15">
        <v>96.525000000000006</v>
      </c>
      <c r="AX15">
        <v>96.45</v>
      </c>
      <c r="AY15">
        <v>96.42</v>
      </c>
      <c r="AZ15">
        <v>96.26</v>
      </c>
      <c r="BA15">
        <v>96.4</v>
      </c>
      <c r="BB15">
        <v>96.305000000000007</v>
      </c>
      <c r="BC15">
        <v>96.53</v>
      </c>
      <c r="BD15">
        <v>96.584999999999994</v>
      </c>
      <c r="BE15">
        <v>96.72</v>
      </c>
      <c r="BF15">
        <v>96.67</v>
      </c>
      <c r="BG15">
        <v>96.45</v>
      </c>
      <c r="BH15">
        <v>96.5</v>
      </c>
      <c r="BI15">
        <v>96.415000000000006</v>
      </c>
      <c r="BJ15">
        <v>96.415000000000006</v>
      </c>
      <c r="BK15">
        <v>96.295000000000002</v>
      </c>
      <c r="BL15">
        <v>96.31</v>
      </c>
      <c r="BM15">
        <v>96.325000000000003</v>
      </c>
      <c r="BN15">
        <v>96.28</v>
      </c>
      <c r="BO15">
        <v>96.364999999999995</v>
      </c>
      <c r="BP15">
        <v>96.36</v>
      </c>
      <c r="BQ15">
        <v>96.34</v>
      </c>
      <c r="BR15">
        <v>96.34</v>
      </c>
      <c r="BS15">
        <v>96.3</v>
      </c>
      <c r="BT15">
        <v>96.31</v>
      </c>
      <c r="BU15">
        <v>96.364999999999995</v>
      </c>
      <c r="BV15">
        <v>96.31</v>
      </c>
      <c r="BW15">
        <v>96.344999999999999</v>
      </c>
      <c r="BX15">
        <v>96.415000000000006</v>
      </c>
      <c r="BY15">
        <v>96.27</v>
      </c>
      <c r="BZ15">
        <v>96.305000000000007</v>
      </c>
      <c r="CA15">
        <v>96.31</v>
      </c>
      <c r="CB15">
        <v>96.394999999999996</v>
      </c>
      <c r="CC15">
        <v>96.415000000000006</v>
      </c>
      <c r="CD15">
        <v>96.38</v>
      </c>
      <c r="CE15">
        <v>96.31</v>
      </c>
      <c r="CF15">
        <v>96.34</v>
      </c>
      <c r="CG15">
        <v>96.275000000000006</v>
      </c>
      <c r="CH15">
        <v>96.135000000000005</v>
      </c>
      <c r="CI15">
        <v>96.1</v>
      </c>
      <c r="CJ15">
        <v>96.015000000000001</v>
      </c>
      <c r="CK15">
        <v>95.98</v>
      </c>
      <c r="CL15">
        <v>95.96</v>
      </c>
      <c r="CM15">
        <v>96.03</v>
      </c>
      <c r="CN15">
        <v>96.03</v>
      </c>
      <c r="CO15">
        <v>95.954999999999998</v>
      </c>
      <c r="CP15">
        <v>95.84</v>
      </c>
      <c r="CQ15">
        <v>95.984999999999999</v>
      </c>
      <c r="CR15">
        <v>96.03</v>
      </c>
      <c r="CS15">
        <v>96.025000000000006</v>
      </c>
      <c r="CT15">
        <v>96.09</v>
      </c>
      <c r="CU15">
        <v>96.14</v>
      </c>
      <c r="CV15">
        <v>96.045000000000002</v>
      </c>
      <c r="CW15">
        <v>95.995000000000005</v>
      </c>
      <c r="CX15">
        <v>95.97</v>
      </c>
      <c r="CY15">
        <v>96.034999999999997</v>
      </c>
      <c r="CZ15">
        <v>95.984999999999999</v>
      </c>
      <c r="DA15">
        <v>95.995000000000005</v>
      </c>
      <c r="DB15">
        <v>96.015000000000001</v>
      </c>
      <c r="DC15">
        <v>95.91</v>
      </c>
      <c r="DD15">
        <v>95.9</v>
      </c>
      <c r="DE15">
        <v>95.91</v>
      </c>
      <c r="DF15">
        <v>95.935000000000002</v>
      </c>
      <c r="DG15">
        <v>95.915000000000006</v>
      </c>
      <c r="DH15">
        <v>95.915000000000006</v>
      </c>
      <c r="DI15">
        <v>95.924999999999997</v>
      </c>
      <c r="DJ15">
        <v>95.87</v>
      </c>
      <c r="DK15">
        <v>95.7</v>
      </c>
      <c r="DL15">
        <v>95.685000000000002</v>
      </c>
      <c r="DM15">
        <v>95.724999999999994</v>
      </c>
      <c r="DN15">
        <v>95.875</v>
      </c>
      <c r="DO15">
        <v>95.85</v>
      </c>
      <c r="DP15">
        <v>95.855000000000004</v>
      </c>
      <c r="DQ15">
        <v>95.92</v>
      </c>
      <c r="DR15">
        <v>95.97</v>
      </c>
      <c r="DS15">
        <v>96</v>
      </c>
      <c r="DT15">
        <v>95.984999999999999</v>
      </c>
      <c r="DU15">
        <v>95.984999999999999</v>
      </c>
      <c r="DV15">
        <v>96.015000000000001</v>
      </c>
      <c r="DW15">
        <v>95.92</v>
      </c>
      <c r="DX15">
        <v>95.965000000000003</v>
      </c>
      <c r="DY15">
        <v>95.95</v>
      </c>
      <c r="DZ15">
        <v>95.95</v>
      </c>
      <c r="EA15">
        <v>95.935000000000002</v>
      </c>
      <c r="EB15">
        <v>96.025000000000006</v>
      </c>
      <c r="EC15">
        <v>95.96</v>
      </c>
      <c r="ED15">
        <v>96.05</v>
      </c>
      <c r="EE15">
        <v>96.18</v>
      </c>
      <c r="EF15">
        <v>96.165000000000006</v>
      </c>
      <c r="EG15">
        <v>96.185000000000002</v>
      </c>
      <c r="EH15">
        <v>96.254999999999995</v>
      </c>
      <c r="EI15">
        <v>96.31</v>
      </c>
      <c r="EJ15">
        <v>96.37</v>
      </c>
      <c r="EK15">
        <v>96.394999999999996</v>
      </c>
      <c r="EL15">
        <v>96.43</v>
      </c>
      <c r="EM15">
        <v>96.394999999999996</v>
      </c>
      <c r="EN15">
        <v>96.4</v>
      </c>
      <c r="EO15">
        <v>96.364999999999995</v>
      </c>
      <c r="EP15">
        <v>96.4</v>
      </c>
      <c r="EQ15">
        <v>96.41</v>
      </c>
      <c r="ER15">
        <v>96.37</v>
      </c>
      <c r="ES15">
        <v>96.37</v>
      </c>
      <c r="ET15">
        <v>96.284999999999997</v>
      </c>
      <c r="EU15">
        <v>96.325000000000003</v>
      </c>
      <c r="EV15">
        <v>96.194999999999993</v>
      </c>
      <c r="EW15">
        <v>96.174999999999997</v>
      </c>
      <c r="EX15">
        <v>96.21</v>
      </c>
      <c r="EY15">
        <v>96.234999999999999</v>
      </c>
      <c r="EZ15">
        <v>96.2</v>
      </c>
      <c r="FA15">
        <v>96.185000000000002</v>
      </c>
      <c r="FB15">
        <v>96.18</v>
      </c>
      <c r="FC15">
        <v>96.165000000000006</v>
      </c>
      <c r="FD15">
        <v>96.17</v>
      </c>
      <c r="FE15">
        <v>96.215000000000003</v>
      </c>
      <c r="FF15">
        <v>96.28</v>
      </c>
      <c r="FG15">
        <v>96.27</v>
      </c>
      <c r="FH15">
        <v>96.19</v>
      </c>
      <c r="FI15">
        <v>96.325000000000003</v>
      </c>
      <c r="FJ15">
        <v>96.31</v>
      </c>
      <c r="FK15">
        <v>96.28</v>
      </c>
      <c r="FL15">
        <v>96.32</v>
      </c>
      <c r="FM15">
        <v>96.344999999999999</v>
      </c>
      <c r="FN15">
        <v>96.37</v>
      </c>
      <c r="FO15">
        <v>96.36</v>
      </c>
      <c r="FP15">
        <v>96.41</v>
      </c>
      <c r="FQ15">
        <v>96.44</v>
      </c>
      <c r="FR15">
        <v>96.394999999999996</v>
      </c>
      <c r="FS15">
        <v>96.46</v>
      </c>
      <c r="FT15">
        <v>96.49</v>
      </c>
      <c r="FU15">
        <v>96.605000000000004</v>
      </c>
      <c r="FV15">
        <v>96.58</v>
      </c>
      <c r="FW15">
        <v>96.644999999999996</v>
      </c>
      <c r="FX15">
        <v>96.63</v>
      </c>
      <c r="FY15">
        <v>96.55</v>
      </c>
      <c r="FZ15">
        <v>96.605000000000004</v>
      </c>
      <c r="GA15">
        <v>96.57</v>
      </c>
      <c r="GB15">
        <v>96.59</v>
      </c>
      <c r="GC15">
        <v>96.625</v>
      </c>
      <c r="GD15">
        <v>96.635000000000005</v>
      </c>
      <c r="GE15">
        <v>96.674999999999997</v>
      </c>
      <c r="GF15">
        <v>96.83</v>
      </c>
      <c r="GG15">
        <v>96.91</v>
      </c>
      <c r="GH15">
        <v>96.944999999999993</v>
      </c>
      <c r="GI15">
        <v>96.875</v>
      </c>
      <c r="GJ15">
        <v>96.92</v>
      </c>
      <c r="GK15">
        <v>96.88</v>
      </c>
      <c r="GL15">
        <v>96.89</v>
      </c>
      <c r="GM15">
        <v>96.935000000000002</v>
      </c>
      <c r="GN15">
        <v>96.92</v>
      </c>
      <c r="GO15">
        <v>96.94</v>
      </c>
      <c r="GP15">
        <v>96.935000000000002</v>
      </c>
      <c r="GQ15">
        <v>96.984999999999999</v>
      </c>
      <c r="GR15">
        <v>97.064999999999998</v>
      </c>
      <c r="GS15">
        <v>97.09</v>
      </c>
      <c r="GT15">
        <v>97.09</v>
      </c>
      <c r="GU15">
        <v>97.08</v>
      </c>
      <c r="GV15">
        <v>97.114999999999995</v>
      </c>
      <c r="GW15">
        <v>97.12</v>
      </c>
      <c r="GX15">
        <v>97.06</v>
      </c>
      <c r="GY15">
        <v>97.05</v>
      </c>
      <c r="GZ15">
        <v>97.01</v>
      </c>
      <c r="HA15">
        <v>96.984999999999999</v>
      </c>
      <c r="HB15">
        <v>96.915000000000006</v>
      </c>
      <c r="HC15">
        <v>96.84</v>
      </c>
      <c r="HD15">
        <v>96.84</v>
      </c>
      <c r="HE15">
        <v>96.89</v>
      </c>
      <c r="HF15">
        <v>96.915000000000006</v>
      </c>
      <c r="HG15">
        <v>96.92</v>
      </c>
      <c r="HH15">
        <v>96.92</v>
      </c>
      <c r="HI15">
        <v>96.924999999999997</v>
      </c>
      <c r="HJ15">
        <v>96.85</v>
      </c>
      <c r="HK15">
        <v>96.935000000000002</v>
      </c>
      <c r="HL15">
        <v>96.89</v>
      </c>
      <c r="HM15">
        <v>96.83</v>
      </c>
      <c r="HN15">
        <v>96.81</v>
      </c>
      <c r="HO15">
        <v>96.784999999999997</v>
      </c>
      <c r="HP15">
        <v>96.915000000000006</v>
      </c>
      <c r="HQ15">
        <v>96.89</v>
      </c>
      <c r="HR15">
        <v>96.834999999999994</v>
      </c>
      <c r="HS15">
        <v>96.78</v>
      </c>
      <c r="HT15">
        <v>96.734999999999999</v>
      </c>
      <c r="HU15">
        <v>96.765000000000001</v>
      </c>
      <c r="HV15">
        <v>96.844999999999999</v>
      </c>
      <c r="HW15">
        <v>96.93</v>
      </c>
      <c r="HX15">
        <v>96.954999999999998</v>
      </c>
      <c r="HY15">
        <v>96.76</v>
      </c>
      <c r="HZ15">
        <v>96.63</v>
      </c>
      <c r="IA15">
        <v>96.6</v>
      </c>
      <c r="IB15">
        <v>96.564999999999998</v>
      </c>
      <c r="IC15">
        <v>96.55</v>
      </c>
      <c r="ID15">
        <v>96.484999999999999</v>
      </c>
      <c r="IE15">
        <v>96.474999999999994</v>
      </c>
      <c r="IF15">
        <v>96.484999999999999</v>
      </c>
      <c r="IG15">
        <v>96.46</v>
      </c>
      <c r="IH15">
        <v>96.465000000000003</v>
      </c>
      <c r="II15">
        <v>96.534999999999997</v>
      </c>
      <c r="IJ15">
        <v>96.58</v>
      </c>
      <c r="IK15">
        <v>96.55</v>
      </c>
      <c r="IL15">
        <v>96.504999999999995</v>
      </c>
      <c r="IM15">
        <v>96.534999999999997</v>
      </c>
      <c r="IN15">
        <v>96.53</v>
      </c>
      <c r="IO15">
        <v>96.415000000000006</v>
      </c>
      <c r="IP15">
        <v>96.394999999999996</v>
      </c>
      <c r="IQ15">
        <v>96.42</v>
      </c>
      <c r="IR15">
        <v>96.424999999999997</v>
      </c>
      <c r="IS15">
        <v>96.33</v>
      </c>
      <c r="IT15">
        <v>96.33</v>
      </c>
      <c r="IU15">
        <v>96.224999999999994</v>
      </c>
      <c r="IV15">
        <v>96.17</v>
      </c>
      <c r="IW15">
        <v>96.325000000000003</v>
      </c>
      <c r="IX15">
        <v>96.36</v>
      </c>
      <c r="IY15">
        <v>96.33</v>
      </c>
      <c r="IZ15">
        <v>96.42</v>
      </c>
      <c r="JA15">
        <v>96.415000000000006</v>
      </c>
      <c r="JB15">
        <v>96.4</v>
      </c>
      <c r="JC15">
        <v>96.4</v>
      </c>
      <c r="JD15">
        <v>96.43</v>
      </c>
      <c r="JE15">
        <v>96.43</v>
      </c>
      <c r="JF15">
        <v>96.355000000000004</v>
      </c>
      <c r="JG15">
        <v>96.435000000000002</v>
      </c>
      <c r="JH15">
        <v>96.41</v>
      </c>
      <c r="JI15">
        <v>96.33</v>
      </c>
      <c r="JJ15">
        <v>96.204999999999998</v>
      </c>
      <c r="JK15">
        <v>96.13</v>
      </c>
      <c r="JL15">
        <v>96.18</v>
      </c>
      <c r="JM15">
        <v>96.34</v>
      </c>
      <c r="JN15">
        <v>96.32</v>
      </c>
      <c r="JO15">
        <v>96.284999999999997</v>
      </c>
      <c r="JP15">
        <v>96.2</v>
      </c>
      <c r="JQ15">
        <v>96.08</v>
      </c>
      <c r="JR15">
        <v>96.025000000000006</v>
      </c>
      <c r="JS15">
        <v>95.944999999999993</v>
      </c>
      <c r="JT15">
        <v>96.025000000000006</v>
      </c>
      <c r="JU15">
        <v>96.094999999999999</v>
      </c>
      <c r="JV15">
        <v>96.094999999999999</v>
      </c>
      <c r="JW15">
        <v>96.094999999999999</v>
      </c>
      <c r="JX15">
        <v>96.155000000000001</v>
      </c>
      <c r="JY15">
        <v>96.185000000000002</v>
      </c>
      <c r="JZ15">
        <v>96.16</v>
      </c>
      <c r="KA15">
        <v>96.16</v>
      </c>
      <c r="KB15">
        <v>96.215000000000003</v>
      </c>
      <c r="KC15">
        <v>96.254999999999995</v>
      </c>
      <c r="KD15">
        <v>96.135000000000005</v>
      </c>
      <c r="KE15">
        <v>96.09</v>
      </c>
      <c r="KF15">
        <v>96.06</v>
      </c>
      <c r="KG15">
        <v>96.114999999999995</v>
      </c>
      <c r="KH15">
        <v>96.08</v>
      </c>
      <c r="KI15">
        <v>96.12</v>
      </c>
      <c r="KJ15">
        <v>96.105000000000004</v>
      </c>
      <c r="KK15">
        <v>96.094999999999999</v>
      </c>
      <c r="KL15">
        <v>95.995000000000005</v>
      </c>
      <c r="KM15">
        <v>95.965000000000003</v>
      </c>
      <c r="KN15">
        <v>95.855000000000004</v>
      </c>
      <c r="KO15">
        <v>95.935000000000002</v>
      </c>
      <c r="KP15">
        <v>95.87</v>
      </c>
      <c r="KQ15">
        <v>95.83</v>
      </c>
      <c r="KR15">
        <v>95.894999999999996</v>
      </c>
      <c r="KS15">
        <v>95.95</v>
      </c>
      <c r="KT15">
        <v>95.92</v>
      </c>
      <c r="KU15">
        <v>95.924999999999997</v>
      </c>
      <c r="KV15">
        <v>95.894999999999996</v>
      </c>
      <c r="KW15">
        <v>95.974999999999994</v>
      </c>
      <c r="KX15">
        <v>95.894999999999996</v>
      </c>
      <c r="KY15">
        <v>95.935000000000002</v>
      </c>
      <c r="KZ15">
        <v>96.07</v>
      </c>
      <c r="LA15">
        <v>95.974999999999994</v>
      </c>
      <c r="LB15">
        <v>95.984999999999999</v>
      </c>
      <c r="LC15">
        <v>96.22</v>
      </c>
      <c r="LD15">
        <v>96.165000000000006</v>
      </c>
      <c r="LE15">
        <v>96.24</v>
      </c>
      <c r="LF15">
        <v>96.31</v>
      </c>
      <c r="LG15">
        <v>96.27</v>
      </c>
      <c r="LH15">
        <v>96.25</v>
      </c>
      <c r="LI15">
        <v>96.275000000000006</v>
      </c>
      <c r="LJ15">
        <v>96.43</v>
      </c>
      <c r="LK15">
        <v>96.43</v>
      </c>
      <c r="LL15">
        <v>96.424999999999997</v>
      </c>
      <c r="LM15">
        <v>96.38</v>
      </c>
      <c r="LN15">
        <v>96.355000000000004</v>
      </c>
      <c r="LO15">
        <v>96.39</v>
      </c>
      <c r="LP15">
        <v>96.334999999999994</v>
      </c>
      <c r="LQ15">
        <v>96.34</v>
      </c>
      <c r="LR15">
        <v>96.295000000000002</v>
      </c>
      <c r="LS15">
        <v>96.24</v>
      </c>
      <c r="LT15">
        <v>96.275000000000006</v>
      </c>
      <c r="LU15">
        <v>96.31</v>
      </c>
      <c r="LV15">
        <v>96.454999999999998</v>
      </c>
      <c r="LW15">
        <v>96.48</v>
      </c>
      <c r="LX15">
        <v>96.545000000000002</v>
      </c>
      <c r="LY15">
        <v>96.564999999999998</v>
      </c>
      <c r="LZ15">
        <v>96.55</v>
      </c>
      <c r="MA15">
        <v>96.52</v>
      </c>
      <c r="MB15">
        <v>96.495000000000005</v>
      </c>
      <c r="MC15">
        <v>96.41</v>
      </c>
      <c r="MD15">
        <v>96.444999999999993</v>
      </c>
      <c r="ME15">
        <v>96.35</v>
      </c>
      <c r="MF15">
        <v>96.344999999999999</v>
      </c>
      <c r="MG15">
        <v>96.31</v>
      </c>
      <c r="MH15">
        <v>96.31</v>
      </c>
      <c r="MI15">
        <v>96.334999999999994</v>
      </c>
      <c r="MJ15">
        <v>96.27</v>
      </c>
      <c r="MK15">
        <v>96.284999999999997</v>
      </c>
      <c r="ML15">
        <v>96.334999999999994</v>
      </c>
      <c r="MM15">
        <v>96.295000000000002</v>
      </c>
      <c r="MN15">
        <v>96.295000000000002</v>
      </c>
      <c r="MO15">
        <v>96.36</v>
      </c>
      <c r="MP15">
        <v>96.325000000000003</v>
      </c>
      <c r="MQ15">
        <v>96.26</v>
      </c>
      <c r="MR15">
        <v>96.465000000000003</v>
      </c>
      <c r="MS15">
        <v>96.424999999999997</v>
      </c>
      <c r="MT15">
        <v>96.46</v>
      </c>
      <c r="MU15">
        <v>96.54</v>
      </c>
      <c r="MV15">
        <v>96.564999999999998</v>
      </c>
      <c r="MW15">
        <v>96.47</v>
      </c>
      <c r="MX15">
        <v>96.61</v>
      </c>
      <c r="MY15">
        <v>96.8</v>
      </c>
      <c r="MZ15">
        <v>96.71</v>
      </c>
      <c r="NA15">
        <v>96.605000000000004</v>
      </c>
      <c r="NB15">
        <v>96.594999999999999</v>
      </c>
      <c r="NC15">
        <v>96.515000000000001</v>
      </c>
      <c r="ND15">
        <v>96.55</v>
      </c>
      <c r="NE15">
        <v>96.495000000000005</v>
      </c>
      <c r="NF15">
        <v>96.54</v>
      </c>
      <c r="NG15">
        <v>96.58</v>
      </c>
      <c r="NH15">
        <v>96.51</v>
      </c>
      <c r="NI15">
        <v>96.525000000000006</v>
      </c>
      <c r="NJ15">
        <v>96.57</v>
      </c>
      <c r="NK15">
        <v>96.644999999999996</v>
      </c>
      <c r="NL15">
        <v>96.754999999999995</v>
      </c>
      <c r="NM15">
        <v>96.754999999999995</v>
      </c>
      <c r="NN15">
        <v>96.734999999999999</v>
      </c>
      <c r="NO15">
        <v>96.644999999999996</v>
      </c>
      <c r="NP15">
        <v>96.655000000000001</v>
      </c>
      <c r="NQ15">
        <v>96.67</v>
      </c>
      <c r="NR15">
        <v>96.65</v>
      </c>
      <c r="NS15">
        <v>96.694999999999993</v>
      </c>
      <c r="NT15">
        <v>96.805000000000007</v>
      </c>
      <c r="NU15">
        <v>96.765000000000001</v>
      </c>
      <c r="NV15">
        <v>96.87</v>
      </c>
      <c r="NW15">
        <v>96.87</v>
      </c>
      <c r="NX15">
        <v>96.855000000000004</v>
      </c>
      <c r="NY15">
        <v>96.905000000000001</v>
      </c>
      <c r="NZ15">
        <v>96.81</v>
      </c>
      <c r="OA15">
        <v>96.78</v>
      </c>
      <c r="OB15">
        <v>96.78</v>
      </c>
      <c r="OC15">
        <v>96.795000000000002</v>
      </c>
      <c r="OD15">
        <v>96.8</v>
      </c>
      <c r="OE15">
        <v>96.74</v>
      </c>
      <c r="OF15">
        <v>96.72</v>
      </c>
      <c r="OG15">
        <v>96.75</v>
      </c>
      <c r="OH15">
        <v>96.75</v>
      </c>
      <c r="OI15">
        <v>96.65</v>
      </c>
      <c r="OJ15">
        <v>96.48</v>
      </c>
      <c r="OK15">
        <v>96.424999999999997</v>
      </c>
      <c r="OL15">
        <v>96.444999999999993</v>
      </c>
      <c r="OM15">
        <v>96.594999999999999</v>
      </c>
      <c r="ON15">
        <v>96.59</v>
      </c>
      <c r="OO15">
        <v>96.555000000000007</v>
      </c>
      <c r="OP15">
        <v>96.444999999999993</v>
      </c>
      <c r="OQ15">
        <v>96.5</v>
      </c>
      <c r="OR15">
        <v>96.375</v>
      </c>
      <c r="OS15">
        <v>96.46</v>
      </c>
      <c r="OT15">
        <v>96.42</v>
      </c>
      <c r="OU15">
        <v>96.295000000000002</v>
      </c>
      <c r="OV15">
        <v>96.19</v>
      </c>
      <c r="OW15">
        <v>96.25</v>
      </c>
      <c r="OX15">
        <v>96.25</v>
      </c>
      <c r="OY15">
        <v>96.275000000000006</v>
      </c>
      <c r="OZ15">
        <v>96.254999999999995</v>
      </c>
      <c r="PA15">
        <v>96.22</v>
      </c>
      <c r="PB15">
        <v>96.24</v>
      </c>
      <c r="PC15">
        <v>96.125</v>
      </c>
      <c r="PD15">
        <v>96.234999999999999</v>
      </c>
      <c r="PE15">
        <v>95.984999999999999</v>
      </c>
      <c r="PF15">
        <v>95.995000000000005</v>
      </c>
      <c r="PG15">
        <v>96.03</v>
      </c>
      <c r="PH15">
        <v>96.144999999999996</v>
      </c>
      <c r="PI15">
        <v>96.125</v>
      </c>
      <c r="PJ15">
        <v>96.04</v>
      </c>
      <c r="PK15">
        <v>96.16</v>
      </c>
      <c r="PL15">
        <v>96</v>
      </c>
      <c r="PM15">
        <v>95.92</v>
      </c>
      <c r="PN15">
        <v>95.81</v>
      </c>
      <c r="PO15">
        <v>95.82</v>
      </c>
      <c r="PP15">
        <v>95.83</v>
      </c>
      <c r="PQ15">
        <v>95.79</v>
      </c>
      <c r="PR15">
        <v>95.65</v>
      </c>
      <c r="PS15">
        <v>95.765000000000001</v>
      </c>
      <c r="PT15">
        <v>95.795000000000002</v>
      </c>
      <c r="PU15">
        <v>95.685000000000002</v>
      </c>
      <c r="PV15">
        <v>95.564999999999998</v>
      </c>
      <c r="PW15">
        <v>95.65</v>
      </c>
      <c r="PX15">
        <v>95.73</v>
      </c>
      <c r="PY15">
        <v>95.91</v>
      </c>
      <c r="PZ15">
        <v>96</v>
      </c>
      <c r="QA15">
        <v>95.92</v>
      </c>
      <c r="QB15">
        <v>96.025000000000006</v>
      </c>
      <c r="QC15">
        <v>95.995000000000005</v>
      </c>
      <c r="QD15">
        <v>96.034999999999997</v>
      </c>
      <c r="QE15">
        <v>95.86</v>
      </c>
      <c r="QF15">
        <v>95.93</v>
      </c>
      <c r="QG15">
        <v>95.885000000000005</v>
      </c>
      <c r="QH15">
        <v>95.82</v>
      </c>
      <c r="QI15">
        <v>95.94</v>
      </c>
      <c r="QJ15">
        <v>96.064999999999998</v>
      </c>
      <c r="QK15">
        <v>96.004999999999995</v>
      </c>
      <c r="QL15">
        <v>95.965000000000003</v>
      </c>
      <c r="QM15">
        <v>96.045000000000002</v>
      </c>
      <c r="QN15">
        <v>96.05</v>
      </c>
      <c r="QO15">
        <v>96.11</v>
      </c>
      <c r="QP15">
        <v>96.055000000000007</v>
      </c>
      <c r="QQ15">
        <v>96.185000000000002</v>
      </c>
      <c r="QR15">
        <v>96.135000000000005</v>
      </c>
      <c r="QS15">
        <v>96.21</v>
      </c>
      <c r="QT15">
        <v>96.215000000000003</v>
      </c>
      <c r="QU15">
        <v>96.25</v>
      </c>
      <c r="QV15">
        <v>96.275000000000006</v>
      </c>
      <c r="QW15">
        <v>96.245000000000005</v>
      </c>
      <c r="QX15">
        <v>96.25</v>
      </c>
      <c r="QY15">
        <v>96.265000000000001</v>
      </c>
      <c r="QZ15">
        <v>96.28</v>
      </c>
      <c r="RA15">
        <v>96.234999999999999</v>
      </c>
      <c r="RB15">
        <v>96.32</v>
      </c>
      <c r="RC15">
        <v>96.39</v>
      </c>
      <c r="RD15">
        <v>96.39</v>
      </c>
      <c r="RE15">
        <v>96.45</v>
      </c>
      <c r="RF15">
        <v>96.42</v>
      </c>
      <c r="RG15">
        <v>96.4</v>
      </c>
      <c r="RH15">
        <v>96.28</v>
      </c>
      <c r="RI15">
        <v>96.234999999999999</v>
      </c>
      <c r="RJ15">
        <v>96.24</v>
      </c>
      <c r="RK15">
        <v>96.265000000000001</v>
      </c>
      <c r="RL15">
        <v>96.13</v>
      </c>
      <c r="RM15">
        <v>96.144999999999996</v>
      </c>
      <c r="RN15">
        <v>96.234999999999999</v>
      </c>
      <c r="RO15">
        <v>96.16</v>
      </c>
      <c r="RP15">
        <v>96.234999999999999</v>
      </c>
      <c r="RQ15">
        <v>96.27</v>
      </c>
      <c r="RR15">
        <v>96.32</v>
      </c>
      <c r="RS15">
        <v>96.36</v>
      </c>
      <c r="RT15">
        <v>96.495000000000005</v>
      </c>
      <c r="RU15">
        <v>96.59</v>
      </c>
      <c r="RV15">
        <v>96.61</v>
      </c>
      <c r="RW15">
        <v>96.56</v>
      </c>
      <c r="RX15">
        <v>96.534999999999997</v>
      </c>
      <c r="RY15">
        <v>96.38</v>
      </c>
      <c r="RZ15">
        <v>96.474999999999994</v>
      </c>
      <c r="SA15">
        <v>96.47</v>
      </c>
      <c r="SB15">
        <v>96.555000000000007</v>
      </c>
      <c r="SC15">
        <v>96.534999999999997</v>
      </c>
      <c r="SD15">
        <v>96.474999999999994</v>
      </c>
      <c r="SE15">
        <v>96.66</v>
      </c>
      <c r="SF15">
        <v>96.534999999999997</v>
      </c>
      <c r="SG15">
        <v>96.62</v>
      </c>
      <c r="SH15">
        <v>96.655000000000001</v>
      </c>
      <c r="SI15">
        <v>96.665000000000006</v>
      </c>
      <c r="SJ15">
        <v>96.83</v>
      </c>
      <c r="SK15">
        <v>96.784999999999997</v>
      </c>
      <c r="SL15">
        <v>96.76</v>
      </c>
      <c r="SM15">
        <v>96.715000000000003</v>
      </c>
      <c r="SN15">
        <v>96.81</v>
      </c>
      <c r="SO15">
        <v>96.674999999999997</v>
      </c>
      <c r="SP15">
        <v>96.48</v>
      </c>
      <c r="SQ15">
        <v>96.44</v>
      </c>
      <c r="SR15">
        <v>96.32</v>
      </c>
      <c r="SS15">
        <v>96.31</v>
      </c>
      <c r="ST15">
        <v>96.47</v>
      </c>
      <c r="SU15">
        <v>96.56</v>
      </c>
      <c r="SV15">
        <v>96.56</v>
      </c>
      <c r="SW15">
        <v>96.63</v>
      </c>
      <c r="SX15">
        <v>96.635000000000005</v>
      </c>
      <c r="SY15">
        <v>96.805000000000007</v>
      </c>
      <c r="SZ15">
        <v>96.74</v>
      </c>
      <c r="TA15">
        <v>96.805000000000007</v>
      </c>
      <c r="TB15">
        <v>96.765000000000001</v>
      </c>
      <c r="TC15">
        <v>96.724999999999994</v>
      </c>
      <c r="TD15">
        <v>96.81</v>
      </c>
      <c r="TE15">
        <v>96.784999999999997</v>
      </c>
      <c r="TF15">
        <v>96.745000000000005</v>
      </c>
      <c r="TG15">
        <v>96.745000000000005</v>
      </c>
      <c r="TH15">
        <v>96.83</v>
      </c>
      <c r="TI15">
        <v>96.734999999999999</v>
      </c>
      <c r="TJ15">
        <v>96.71</v>
      </c>
      <c r="TK15">
        <v>96.834999999999994</v>
      </c>
      <c r="TL15">
        <v>96.825000000000003</v>
      </c>
      <c r="TM15">
        <v>96.885000000000005</v>
      </c>
      <c r="TN15">
        <v>96.81</v>
      </c>
      <c r="TO15">
        <v>96.885000000000005</v>
      </c>
      <c r="TP15">
        <v>96.89</v>
      </c>
      <c r="TQ15">
        <v>96.864999999999995</v>
      </c>
      <c r="TR15">
        <v>97.015000000000001</v>
      </c>
      <c r="TS15">
        <v>96.974999999999994</v>
      </c>
      <c r="TT15">
        <v>96.885000000000005</v>
      </c>
      <c r="TU15">
        <v>96.71</v>
      </c>
      <c r="TV15">
        <v>96.71</v>
      </c>
      <c r="TW15">
        <v>96.77</v>
      </c>
      <c r="TX15">
        <v>96.894999999999996</v>
      </c>
      <c r="TY15">
        <v>96.91</v>
      </c>
      <c r="TZ15">
        <v>96.89</v>
      </c>
      <c r="UA15">
        <v>96.92</v>
      </c>
      <c r="UB15">
        <v>97</v>
      </c>
      <c r="UC15">
        <v>97.105000000000004</v>
      </c>
      <c r="UD15">
        <v>97.16</v>
      </c>
      <c r="UE15">
        <v>97.204999999999998</v>
      </c>
      <c r="UF15">
        <v>97.204999999999998</v>
      </c>
      <c r="UG15">
        <v>97.295000000000002</v>
      </c>
      <c r="UH15">
        <v>97.26</v>
      </c>
      <c r="UI15">
        <v>97.155000000000001</v>
      </c>
      <c r="UJ15">
        <v>97.144999999999996</v>
      </c>
      <c r="UK15">
        <v>97.2</v>
      </c>
      <c r="UL15">
        <v>97.33</v>
      </c>
      <c r="UM15">
        <v>97.24</v>
      </c>
      <c r="UN15">
        <v>97.2</v>
      </c>
      <c r="UO15">
        <v>97.034999999999997</v>
      </c>
      <c r="UP15">
        <v>97.135000000000005</v>
      </c>
      <c r="UQ15">
        <v>97.07</v>
      </c>
      <c r="UR15">
        <v>97.19</v>
      </c>
      <c r="US15">
        <v>97.23</v>
      </c>
      <c r="UT15">
        <v>97.075000000000003</v>
      </c>
      <c r="UU15">
        <v>97.01</v>
      </c>
      <c r="UV15">
        <v>97.04</v>
      </c>
      <c r="UW15">
        <v>96.965000000000003</v>
      </c>
      <c r="UX15">
        <v>96.984999999999999</v>
      </c>
      <c r="UY15">
        <v>96.96</v>
      </c>
      <c r="UZ15">
        <v>97.04</v>
      </c>
      <c r="VA15">
        <v>97.14</v>
      </c>
      <c r="VB15">
        <v>97.185000000000002</v>
      </c>
      <c r="VC15">
        <v>97.11</v>
      </c>
      <c r="VD15">
        <v>97.14</v>
      </c>
      <c r="VE15">
        <v>97.185000000000002</v>
      </c>
      <c r="VF15">
        <v>97.295000000000002</v>
      </c>
      <c r="VG15">
        <v>97.284999999999997</v>
      </c>
      <c r="VH15">
        <v>97.27</v>
      </c>
      <c r="VI15">
        <v>97.144999999999996</v>
      </c>
      <c r="VJ15">
        <v>97.07</v>
      </c>
      <c r="VK15">
        <v>97</v>
      </c>
      <c r="VL15">
        <v>96.95</v>
      </c>
      <c r="VM15">
        <v>96.94</v>
      </c>
      <c r="VN15">
        <v>96.99</v>
      </c>
      <c r="VO15">
        <v>97.114999999999995</v>
      </c>
      <c r="VP15">
        <v>97.11</v>
      </c>
      <c r="VQ15">
        <v>96.954999999999998</v>
      </c>
      <c r="VR15">
        <v>96.77</v>
      </c>
      <c r="VS15">
        <v>96.855000000000004</v>
      </c>
      <c r="VT15">
        <v>96.944999999999993</v>
      </c>
      <c r="VU15">
        <v>96.71</v>
      </c>
      <c r="VV15">
        <v>96.8</v>
      </c>
      <c r="VW15">
        <v>96.68</v>
      </c>
      <c r="VX15">
        <v>96.82</v>
      </c>
      <c r="VY15">
        <v>96.784999999999997</v>
      </c>
      <c r="VZ15">
        <v>96.6</v>
      </c>
      <c r="WA15">
        <v>96.484999999999999</v>
      </c>
      <c r="WB15">
        <v>96.49</v>
      </c>
      <c r="WC15">
        <v>96.49</v>
      </c>
      <c r="WD15">
        <v>96.48</v>
      </c>
      <c r="WE15">
        <v>96.394999999999996</v>
      </c>
      <c r="WF15">
        <v>96.484999999999999</v>
      </c>
      <c r="WG15">
        <v>96.6</v>
      </c>
      <c r="WH15">
        <v>96.594999999999999</v>
      </c>
      <c r="WI15">
        <v>96.53</v>
      </c>
      <c r="WJ15">
        <v>96.65</v>
      </c>
      <c r="WK15">
        <v>96.605000000000004</v>
      </c>
      <c r="WL15">
        <v>96.59</v>
      </c>
      <c r="WM15">
        <v>96.74</v>
      </c>
      <c r="WN15">
        <v>96.74</v>
      </c>
      <c r="WO15">
        <v>96.71</v>
      </c>
      <c r="WP15">
        <v>96.73</v>
      </c>
      <c r="WQ15">
        <v>96.784999999999997</v>
      </c>
      <c r="WR15">
        <v>96.875</v>
      </c>
      <c r="WS15">
        <v>96.885000000000005</v>
      </c>
      <c r="WT15">
        <v>96.93</v>
      </c>
      <c r="WU15">
        <v>97.004999999999995</v>
      </c>
      <c r="WV15">
        <v>96.97</v>
      </c>
      <c r="WW15">
        <v>96.995000000000005</v>
      </c>
      <c r="WX15">
        <v>97.12</v>
      </c>
      <c r="WY15">
        <v>97.31</v>
      </c>
      <c r="WZ15">
        <v>97.314999999999998</v>
      </c>
      <c r="XA15">
        <v>97.16</v>
      </c>
      <c r="XB15">
        <v>97.084999999999994</v>
      </c>
      <c r="XC15">
        <v>97.155000000000001</v>
      </c>
      <c r="XD15">
        <v>97.2</v>
      </c>
      <c r="XE15">
        <v>97.245000000000005</v>
      </c>
      <c r="XF15">
        <v>97.25</v>
      </c>
      <c r="XG15">
        <v>97.19</v>
      </c>
      <c r="XH15">
        <v>97.254999999999995</v>
      </c>
      <c r="XI15">
        <v>97.36</v>
      </c>
      <c r="XJ15">
        <v>97.405000000000001</v>
      </c>
      <c r="XK15">
        <v>97.224999999999994</v>
      </c>
      <c r="XL15">
        <v>97.23</v>
      </c>
      <c r="XM15">
        <v>97.23</v>
      </c>
      <c r="XN15">
        <v>97.284999999999997</v>
      </c>
      <c r="XO15">
        <v>97.16</v>
      </c>
      <c r="XP15">
        <v>97.094999999999999</v>
      </c>
      <c r="XQ15">
        <v>97.19</v>
      </c>
      <c r="XR15">
        <v>97.155000000000001</v>
      </c>
      <c r="XS15">
        <v>96.944999999999993</v>
      </c>
      <c r="XT15">
        <v>96.96</v>
      </c>
      <c r="XU15">
        <v>96.86</v>
      </c>
      <c r="XV15">
        <v>96.82</v>
      </c>
      <c r="XW15">
        <v>96.82</v>
      </c>
      <c r="XX15">
        <v>96.78</v>
      </c>
      <c r="XY15">
        <v>96.754999999999995</v>
      </c>
      <c r="XZ15">
        <v>96.79</v>
      </c>
      <c r="YA15">
        <v>96.885000000000005</v>
      </c>
      <c r="YB15">
        <v>96.885000000000005</v>
      </c>
      <c r="YC15">
        <v>96.97</v>
      </c>
      <c r="YD15">
        <v>96.98</v>
      </c>
      <c r="YE15">
        <v>97.004999999999995</v>
      </c>
      <c r="YF15">
        <v>97.08</v>
      </c>
      <c r="YG15">
        <v>97.16</v>
      </c>
      <c r="YH15">
        <v>97.17</v>
      </c>
      <c r="YI15">
        <v>97.135000000000005</v>
      </c>
      <c r="YJ15">
        <v>97.125</v>
      </c>
      <c r="YK15">
        <v>97.01</v>
      </c>
      <c r="YL15">
        <v>97.07</v>
      </c>
      <c r="YM15">
        <v>97.14</v>
      </c>
      <c r="YN15">
        <v>97.254999999999995</v>
      </c>
      <c r="YO15">
        <v>97.15</v>
      </c>
      <c r="YP15">
        <v>97.09</v>
      </c>
      <c r="YQ15">
        <v>97.224999999999994</v>
      </c>
      <c r="YR15">
        <v>97.155000000000001</v>
      </c>
      <c r="YS15">
        <v>96.99</v>
      </c>
      <c r="YT15">
        <v>96.885000000000005</v>
      </c>
      <c r="YU15">
        <v>96.894999999999996</v>
      </c>
      <c r="YV15">
        <v>96.894999999999996</v>
      </c>
      <c r="YW15">
        <v>96.88</v>
      </c>
      <c r="YX15">
        <v>96.88</v>
      </c>
      <c r="YY15">
        <v>96.844999999999999</v>
      </c>
      <c r="YZ15">
        <v>96.754999999999995</v>
      </c>
      <c r="ZA15">
        <v>96.78</v>
      </c>
      <c r="ZB15">
        <v>96.864999999999995</v>
      </c>
      <c r="ZC15">
        <v>96.944999999999993</v>
      </c>
      <c r="ZD15">
        <v>96.84</v>
      </c>
      <c r="ZE15">
        <v>96.734999999999999</v>
      </c>
      <c r="ZF15">
        <v>96.78</v>
      </c>
      <c r="ZG15">
        <v>96.734999999999999</v>
      </c>
      <c r="ZH15">
        <v>96.385000000000005</v>
      </c>
      <c r="ZI15">
        <v>96.33</v>
      </c>
      <c r="ZJ15">
        <v>96.25</v>
      </c>
      <c r="ZK15">
        <v>96.28</v>
      </c>
      <c r="ZL15">
        <v>96.265000000000001</v>
      </c>
      <c r="ZM15">
        <v>96.34</v>
      </c>
      <c r="ZN15">
        <v>96.34</v>
      </c>
      <c r="ZO15">
        <v>96.35</v>
      </c>
      <c r="ZP15">
        <v>96.385000000000005</v>
      </c>
      <c r="ZQ15">
        <v>96.51</v>
      </c>
      <c r="ZR15">
        <v>96.41</v>
      </c>
      <c r="ZS15">
        <v>96.334999999999994</v>
      </c>
      <c r="ZT15">
        <v>96.23</v>
      </c>
      <c r="ZU15">
        <v>96.224999999999994</v>
      </c>
      <c r="ZV15">
        <v>96.135000000000005</v>
      </c>
      <c r="ZW15">
        <v>96.27</v>
      </c>
      <c r="ZX15">
        <v>96.424999999999997</v>
      </c>
      <c r="ZY15">
        <v>96.41</v>
      </c>
      <c r="ZZ15">
        <v>96.375</v>
      </c>
      <c r="AAA15">
        <v>96.424999999999997</v>
      </c>
      <c r="AAB15">
        <v>96.424999999999997</v>
      </c>
      <c r="AAC15">
        <v>96.364999999999995</v>
      </c>
      <c r="AAD15">
        <v>96.37</v>
      </c>
      <c r="AAE15">
        <v>96.415000000000006</v>
      </c>
      <c r="AAF15">
        <v>96.48</v>
      </c>
      <c r="AAG15">
        <v>96.545000000000002</v>
      </c>
      <c r="AAH15">
        <v>96.72</v>
      </c>
      <c r="AAI15">
        <v>96.61</v>
      </c>
      <c r="AAJ15">
        <v>96.44</v>
      </c>
      <c r="AAK15">
        <v>96.525000000000006</v>
      </c>
      <c r="AAL15">
        <v>96.564999999999998</v>
      </c>
      <c r="AAM15">
        <v>96.305000000000007</v>
      </c>
      <c r="AAN15">
        <v>96.34</v>
      </c>
      <c r="AAO15">
        <v>96.564999999999998</v>
      </c>
      <c r="AAP15">
        <v>96.614999999999995</v>
      </c>
      <c r="AAQ15">
        <v>96.83</v>
      </c>
      <c r="AAR15">
        <v>96.72</v>
      </c>
      <c r="AAS15">
        <v>96.805000000000007</v>
      </c>
      <c r="AAT15">
        <v>96.88</v>
      </c>
      <c r="AAU15">
        <v>96.83</v>
      </c>
      <c r="AAV15">
        <v>96.905000000000001</v>
      </c>
      <c r="AAW15">
        <v>96.905000000000001</v>
      </c>
      <c r="AAX15">
        <v>97</v>
      </c>
      <c r="AAY15">
        <v>97.015000000000001</v>
      </c>
      <c r="AAZ15">
        <v>97.06</v>
      </c>
      <c r="ABA15">
        <v>97.084999999999994</v>
      </c>
      <c r="ABB15">
        <v>96.98</v>
      </c>
      <c r="ABC15">
        <v>97.114999999999995</v>
      </c>
      <c r="ABD15">
        <v>97.114999999999995</v>
      </c>
      <c r="ABE15">
        <v>97.02</v>
      </c>
      <c r="ABF15">
        <v>97.144999999999996</v>
      </c>
      <c r="ABG15">
        <v>97.135000000000005</v>
      </c>
      <c r="ABH15">
        <v>97.135000000000005</v>
      </c>
      <c r="ABI15">
        <v>97.215000000000003</v>
      </c>
      <c r="ABJ15">
        <v>97.275000000000006</v>
      </c>
      <c r="ABK15">
        <v>97.23</v>
      </c>
      <c r="ABL15">
        <v>97.284999999999997</v>
      </c>
      <c r="ABM15">
        <v>97.31</v>
      </c>
      <c r="ABN15">
        <v>97.38</v>
      </c>
      <c r="ABO15">
        <v>97.484999999999999</v>
      </c>
      <c r="ABP15">
        <v>97.48</v>
      </c>
      <c r="ABQ15">
        <v>97.605000000000004</v>
      </c>
      <c r="ABR15">
        <v>97.66</v>
      </c>
      <c r="ABS15">
        <v>97.575000000000003</v>
      </c>
      <c r="ABT15">
        <v>97.564999999999998</v>
      </c>
      <c r="ABU15">
        <v>97.64</v>
      </c>
      <c r="ABV15">
        <v>97.575000000000003</v>
      </c>
      <c r="ABW15">
        <v>97.66</v>
      </c>
      <c r="ABX15">
        <v>97.56</v>
      </c>
      <c r="ABY15">
        <v>97.76</v>
      </c>
      <c r="ABZ15">
        <v>97.64</v>
      </c>
      <c r="ACA15">
        <v>97.655000000000001</v>
      </c>
      <c r="ACB15">
        <v>97.894999999999996</v>
      </c>
      <c r="ACC15">
        <v>97.855000000000004</v>
      </c>
      <c r="ACD15">
        <v>97.825000000000003</v>
      </c>
      <c r="ACE15">
        <v>97.745000000000005</v>
      </c>
      <c r="ACF15">
        <v>97.655000000000001</v>
      </c>
      <c r="ACG15">
        <v>97.65</v>
      </c>
      <c r="ACH15">
        <v>97.665000000000006</v>
      </c>
      <c r="ACI15">
        <v>97.52</v>
      </c>
      <c r="ACJ15">
        <v>97.334999999999994</v>
      </c>
      <c r="ACK15">
        <v>97.364999999999995</v>
      </c>
      <c r="ACL15">
        <v>97.44</v>
      </c>
      <c r="ACM15">
        <v>97.47</v>
      </c>
      <c r="ACN15">
        <v>97.47</v>
      </c>
      <c r="ACO15">
        <v>97.52</v>
      </c>
      <c r="ACP15">
        <v>97.454999999999998</v>
      </c>
      <c r="ACQ15">
        <v>97.41</v>
      </c>
      <c r="ACR15">
        <v>97.305000000000007</v>
      </c>
      <c r="ACS15">
        <v>97.394999999999996</v>
      </c>
      <c r="ACT15">
        <v>97.484999999999999</v>
      </c>
      <c r="ACU15">
        <v>97.64</v>
      </c>
      <c r="ACV15">
        <v>97.555000000000007</v>
      </c>
      <c r="ACW15">
        <v>97.555000000000007</v>
      </c>
      <c r="ACX15">
        <v>97.424999999999997</v>
      </c>
      <c r="ACY15">
        <v>97.245000000000005</v>
      </c>
      <c r="ACZ15">
        <v>97.1</v>
      </c>
      <c r="ADA15">
        <v>97.11</v>
      </c>
      <c r="ADB15">
        <v>97.19</v>
      </c>
      <c r="ADC15">
        <v>97.26</v>
      </c>
      <c r="ADD15">
        <v>97.15</v>
      </c>
      <c r="ADE15">
        <v>96.98</v>
      </c>
      <c r="ADF15">
        <v>97</v>
      </c>
      <c r="ADG15">
        <v>97</v>
      </c>
      <c r="ADH15">
        <v>96.965000000000003</v>
      </c>
      <c r="ADI15">
        <v>96.844999999999999</v>
      </c>
      <c r="ADJ15">
        <v>96.68</v>
      </c>
      <c r="ADK15">
        <v>96.754999999999995</v>
      </c>
      <c r="ADL15">
        <v>96.97</v>
      </c>
      <c r="ADM15">
        <v>97.13</v>
      </c>
      <c r="ADN15">
        <v>97.165000000000006</v>
      </c>
      <c r="ADO15">
        <v>97.2</v>
      </c>
      <c r="ADP15">
        <v>97.144999999999996</v>
      </c>
      <c r="ADQ15">
        <v>97.254999999999995</v>
      </c>
      <c r="ADR15">
        <v>97.31</v>
      </c>
      <c r="ADS15">
        <v>97.27</v>
      </c>
      <c r="ADT15">
        <v>97.4</v>
      </c>
      <c r="ADU15">
        <v>97.454999999999998</v>
      </c>
      <c r="ADV15">
        <v>97.454999999999998</v>
      </c>
      <c r="ADW15">
        <v>97.48</v>
      </c>
      <c r="ADX15">
        <v>97.5</v>
      </c>
      <c r="ADY15">
        <v>97.465000000000003</v>
      </c>
      <c r="ADZ15">
        <v>97.34</v>
      </c>
      <c r="AEA15">
        <v>97.42</v>
      </c>
      <c r="AEB15">
        <v>97.344999999999999</v>
      </c>
      <c r="AEC15">
        <v>97.29</v>
      </c>
      <c r="AED15">
        <v>97.23</v>
      </c>
      <c r="AEE15">
        <v>97.375</v>
      </c>
      <c r="AEF15">
        <v>97.254999999999995</v>
      </c>
      <c r="AEG15">
        <v>97.355000000000004</v>
      </c>
      <c r="AEH15">
        <v>97.254999999999995</v>
      </c>
      <c r="AEI15">
        <v>97.19</v>
      </c>
      <c r="AEJ15">
        <v>97.125</v>
      </c>
      <c r="AEK15">
        <v>97.034999999999997</v>
      </c>
      <c r="AEL15">
        <v>97.06</v>
      </c>
      <c r="AEM15">
        <v>97.17</v>
      </c>
      <c r="AEN15">
        <v>97.08</v>
      </c>
      <c r="AEO15">
        <v>97.045000000000002</v>
      </c>
      <c r="AEP15">
        <v>97.16</v>
      </c>
      <c r="AEQ15">
        <v>97.165000000000006</v>
      </c>
      <c r="AER15">
        <v>97.26</v>
      </c>
      <c r="AES15">
        <v>97.28</v>
      </c>
      <c r="AET15">
        <v>97.224999999999994</v>
      </c>
      <c r="AEU15">
        <v>97.16</v>
      </c>
      <c r="AEV15">
        <v>97.084999999999994</v>
      </c>
      <c r="AEW15">
        <v>97.2</v>
      </c>
      <c r="AEX15">
        <v>97.155000000000001</v>
      </c>
      <c r="AEY15">
        <v>97.275000000000006</v>
      </c>
      <c r="AEZ15">
        <v>97.3</v>
      </c>
      <c r="AFA15">
        <v>97.3</v>
      </c>
      <c r="AFB15">
        <v>97.43</v>
      </c>
      <c r="AFC15">
        <v>97.4</v>
      </c>
      <c r="AFD15">
        <v>97.26</v>
      </c>
      <c r="AFE15">
        <v>97.3</v>
      </c>
      <c r="AFF15">
        <v>97.39</v>
      </c>
      <c r="AFG15">
        <v>97.375</v>
      </c>
      <c r="AFH15">
        <v>97.375</v>
      </c>
      <c r="AFI15">
        <v>97.52</v>
      </c>
      <c r="AFJ15">
        <v>97.504999999999995</v>
      </c>
      <c r="AFK15">
        <v>97.655000000000001</v>
      </c>
      <c r="AFL15">
        <v>97.6</v>
      </c>
      <c r="AFM15">
        <v>97.564999999999998</v>
      </c>
      <c r="AFN15">
        <v>97.48</v>
      </c>
      <c r="AFO15">
        <v>97.465000000000003</v>
      </c>
      <c r="AFP15">
        <v>97.715000000000003</v>
      </c>
      <c r="AFQ15">
        <v>97.75</v>
      </c>
      <c r="AFR15">
        <v>97.694999999999993</v>
      </c>
      <c r="AFS15">
        <v>97.75</v>
      </c>
      <c r="AFT15">
        <v>97.935000000000002</v>
      </c>
      <c r="AFU15">
        <v>97.9</v>
      </c>
      <c r="AFV15">
        <v>97.844999999999999</v>
      </c>
      <c r="AFW15">
        <v>97.875</v>
      </c>
      <c r="AFX15">
        <v>97.905000000000001</v>
      </c>
      <c r="AFY15">
        <v>98.05</v>
      </c>
      <c r="AFZ15">
        <v>98.084999999999994</v>
      </c>
      <c r="AGA15">
        <v>98.16</v>
      </c>
      <c r="AGB15">
        <v>98.25</v>
      </c>
      <c r="AGC15">
        <v>98.37</v>
      </c>
      <c r="AGD15">
        <v>98.435000000000002</v>
      </c>
      <c r="AGE15">
        <v>98.3</v>
      </c>
      <c r="AGF15">
        <v>98.265000000000001</v>
      </c>
      <c r="AGG15">
        <v>98.48</v>
      </c>
      <c r="AGH15">
        <v>98.25</v>
      </c>
      <c r="AGI15">
        <v>98.084999999999994</v>
      </c>
      <c r="AGJ15">
        <v>98.114999999999995</v>
      </c>
      <c r="AGK15">
        <v>98.114999999999995</v>
      </c>
      <c r="AGL15">
        <v>98.155000000000001</v>
      </c>
      <c r="AGM15">
        <v>98.17</v>
      </c>
      <c r="AGN15">
        <v>98.17</v>
      </c>
      <c r="AGO15">
        <v>98.135000000000005</v>
      </c>
      <c r="AGP15">
        <v>98.06</v>
      </c>
      <c r="AGQ15">
        <v>98.055000000000007</v>
      </c>
      <c r="AGR15">
        <v>98.07</v>
      </c>
      <c r="AGS15">
        <v>98.144999999999996</v>
      </c>
      <c r="AGT15">
        <v>97.995000000000005</v>
      </c>
      <c r="AGU15">
        <v>98.08</v>
      </c>
      <c r="AGV15">
        <v>98.075000000000003</v>
      </c>
      <c r="AGW15">
        <v>98.13</v>
      </c>
      <c r="AGX15">
        <v>98.105000000000004</v>
      </c>
      <c r="AGY15">
        <v>98.245000000000005</v>
      </c>
      <c r="AGZ15">
        <v>98.31</v>
      </c>
      <c r="AHA15">
        <v>98.29</v>
      </c>
      <c r="AHB15">
        <v>98.284999999999997</v>
      </c>
      <c r="AHC15">
        <v>98.26</v>
      </c>
      <c r="AHD15">
        <v>98.21</v>
      </c>
      <c r="AHE15">
        <v>98.18</v>
      </c>
      <c r="AHF15">
        <v>98.265000000000001</v>
      </c>
      <c r="AHG15">
        <v>98.32</v>
      </c>
      <c r="AHH15">
        <v>98.26</v>
      </c>
      <c r="AHI15">
        <v>98.185000000000002</v>
      </c>
      <c r="AHJ15">
        <v>98.185000000000002</v>
      </c>
      <c r="AHK15">
        <v>98.13</v>
      </c>
      <c r="AHL15">
        <v>98.24</v>
      </c>
      <c r="AHM15">
        <v>98.24</v>
      </c>
      <c r="AHN15">
        <v>98.33</v>
      </c>
      <c r="AHO15">
        <v>98.3</v>
      </c>
      <c r="AHP15">
        <v>98.265000000000001</v>
      </c>
      <c r="AHQ15">
        <v>98.194999999999993</v>
      </c>
      <c r="AHR15">
        <v>98.245000000000005</v>
      </c>
      <c r="AHS15">
        <v>98.305000000000007</v>
      </c>
      <c r="AHT15">
        <v>98.35</v>
      </c>
      <c r="AHU15">
        <v>98.4</v>
      </c>
      <c r="AHV15">
        <v>98.424999999999997</v>
      </c>
      <c r="AHW15">
        <v>98.55</v>
      </c>
      <c r="AHX15">
        <v>98.54</v>
      </c>
      <c r="AHY15">
        <v>98.525000000000006</v>
      </c>
      <c r="AHZ15">
        <v>98.57</v>
      </c>
      <c r="AIA15">
        <v>98.55</v>
      </c>
      <c r="AIB15">
        <v>98.56</v>
      </c>
      <c r="AIC15">
        <v>98.56</v>
      </c>
      <c r="AID15">
        <v>98.575000000000003</v>
      </c>
      <c r="AIE15">
        <v>98.56</v>
      </c>
      <c r="AIF15">
        <v>98.63</v>
      </c>
      <c r="AIG15">
        <v>98.63</v>
      </c>
      <c r="AIH15">
        <v>98.635000000000005</v>
      </c>
      <c r="AII15">
        <v>98.525000000000006</v>
      </c>
      <c r="AIJ15">
        <v>98.55</v>
      </c>
      <c r="AIK15">
        <v>98.564999999999998</v>
      </c>
      <c r="AIL15">
        <v>98.515000000000001</v>
      </c>
      <c r="AIM15">
        <v>98.51</v>
      </c>
      <c r="AIN15">
        <v>98.49</v>
      </c>
      <c r="AIO15">
        <v>98.504999999999995</v>
      </c>
      <c r="AIP15">
        <v>98.56</v>
      </c>
      <c r="AIQ15">
        <v>98.67</v>
      </c>
      <c r="AIR15">
        <v>98.575000000000003</v>
      </c>
      <c r="AIS15">
        <v>98.62</v>
      </c>
      <c r="AIT15">
        <v>98.605000000000004</v>
      </c>
      <c r="AIU15">
        <v>98.55</v>
      </c>
      <c r="AIV15">
        <v>98.55</v>
      </c>
      <c r="AIW15">
        <v>98.375</v>
      </c>
      <c r="AIX15">
        <v>98.375</v>
      </c>
      <c r="AIY15">
        <v>98.39</v>
      </c>
      <c r="AIZ15">
        <v>98.41</v>
      </c>
      <c r="AJA15">
        <v>98.545000000000002</v>
      </c>
      <c r="AJB15">
        <v>98.534999999999997</v>
      </c>
      <c r="AJC15">
        <v>98.5</v>
      </c>
      <c r="AJD15">
        <v>98.47</v>
      </c>
      <c r="AJE15">
        <v>98.495000000000005</v>
      </c>
      <c r="AJF15">
        <v>98.52</v>
      </c>
      <c r="AJG15">
        <v>98.52</v>
      </c>
      <c r="AJH15">
        <v>98.56</v>
      </c>
      <c r="AJI15">
        <v>98.73</v>
      </c>
      <c r="AJJ15">
        <v>98.674999999999997</v>
      </c>
      <c r="AJK15">
        <v>98.754999999999995</v>
      </c>
      <c r="AJL15">
        <v>98.67</v>
      </c>
      <c r="AJM15">
        <v>98.59</v>
      </c>
      <c r="AJN15">
        <v>98.64</v>
      </c>
      <c r="AJO15">
        <v>98.61</v>
      </c>
      <c r="AJP15">
        <v>98.644999999999996</v>
      </c>
      <c r="AJQ15">
        <v>98.635000000000005</v>
      </c>
      <c r="AJR15">
        <v>98.644999999999996</v>
      </c>
      <c r="AJS15">
        <v>98.56</v>
      </c>
      <c r="AJT15">
        <v>98.564999999999998</v>
      </c>
      <c r="AJU15">
        <v>98.55</v>
      </c>
      <c r="AJV15">
        <v>98.534999999999997</v>
      </c>
      <c r="AJW15">
        <v>98.614999999999995</v>
      </c>
      <c r="AJX15">
        <v>98.6</v>
      </c>
      <c r="AJY15">
        <v>98.584999999999994</v>
      </c>
      <c r="AJZ15">
        <v>98.63</v>
      </c>
      <c r="AKA15">
        <v>98.71</v>
      </c>
      <c r="AKB15">
        <v>98.655000000000001</v>
      </c>
      <c r="AKC15">
        <v>98.66</v>
      </c>
      <c r="AKD15">
        <v>98.65</v>
      </c>
      <c r="AKE15">
        <v>98.685000000000002</v>
      </c>
      <c r="AKF15">
        <v>98.734999999999999</v>
      </c>
      <c r="AKG15">
        <v>98.78</v>
      </c>
      <c r="AKH15">
        <v>98.79</v>
      </c>
      <c r="AKI15">
        <v>98.834999999999994</v>
      </c>
      <c r="AKJ15">
        <v>98.834999999999994</v>
      </c>
      <c r="AKK15">
        <v>98.754999999999995</v>
      </c>
      <c r="AKL15">
        <v>98.74</v>
      </c>
      <c r="AKM15">
        <v>98.7</v>
      </c>
      <c r="AKN15">
        <v>98.73</v>
      </c>
      <c r="AKO15">
        <v>98.754999999999995</v>
      </c>
      <c r="AKP15">
        <v>98.775000000000006</v>
      </c>
      <c r="AKQ15">
        <v>98.834999999999994</v>
      </c>
      <c r="AKR15">
        <v>98.91</v>
      </c>
      <c r="AKS15">
        <v>98.92</v>
      </c>
      <c r="AKT15">
        <v>98.855000000000004</v>
      </c>
      <c r="AKU15">
        <v>98.9</v>
      </c>
      <c r="AKV15">
        <v>98.954999999999998</v>
      </c>
      <c r="AKW15">
        <v>99.064999999999998</v>
      </c>
      <c r="AKX15">
        <v>99.05</v>
      </c>
      <c r="AKY15">
        <v>99.034999999999997</v>
      </c>
      <c r="AKZ15">
        <v>99.075000000000003</v>
      </c>
      <c r="ALA15">
        <v>99.05</v>
      </c>
      <c r="ALB15">
        <v>99.04</v>
      </c>
      <c r="ALC15">
        <v>99.094999999999999</v>
      </c>
      <c r="ALD15">
        <v>99.094999999999999</v>
      </c>
      <c r="ALE15">
        <v>99.105000000000004</v>
      </c>
      <c r="ALF15">
        <v>99.094999999999999</v>
      </c>
      <c r="ALG15">
        <v>99.105000000000004</v>
      </c>
      <c r="ALH15">
        <v>99.105000000000004</v>
      </c>
      <c r="ALI15">
        <v>99.055000000000007</v>
      </c>
      <c r="ALJ15">
        <v>99.004999999999995</v>
      </c>
      <c r="ALK15">
        <v>99.015000000000001</v>
      </c>
      <c r="ALL15">
        <v>99.07</v>
      </c>
      <c r="ALM15">
        <v>99.1</v>
      </c>
      <c r="ALN15">
        <v>99.084999999999994</v>
      </c>
      <c r="ALO15">
        <v>99.105000000000004</v>
      </c>
      <c r="ALP15">
        <v>99.09</v>
      </c>
      <c r="ALQ15">
        <v>99.11</v>
      </c>
      <c r="ALR15">
        <v>99.125</v>
      </c>
      <c r="ALS15">
        <v>99.055000000000007</v>
      </c>
      <c r="ALT15">
        <v>98.995000000000005</v>
      </c>
      <c r="ALU15">
        <v>99.015000000000001</v>
      </c>
      <c r="ALV15">
        <v>98.995000000000005</v>
      </c>
      <c r="ALW15">
        <v>99.034999999999997</v>
      </c>
      <c r="ALX15">
        <v>99.084999999999994</v>
      </c>
      <c r="ALY15">
        <v>99.15</v>
      </c>
      <c r="ALZ15">
        <v>99.21</v>
      </c>
      <c r="AMA15">
        <v>99.265000000000001</v>
      </c>
      <c r="AMB15">
        <v>99.25</v>
      </c>
      <c r="AMC15">
        <v>99.17</v>
      </c>
      <c r="AMD15">
        <v>99.13</v>
      </c>
      <c r="AME15">
        <v>99.114999999999995</v>
      </c>
      <c r="AMF15">
        <v>99.18</v>
      </c>
      <c r="AMG15">
        <v>99.15</v>
      </c>
      <c r="AMH15">
        <v>99.155000000000001</v>
      </c>
      <c r="AMI15">
        <v>99.165000000000006</v>
      </c>
      <c r="AMJ15">
        <v>99.15</v>
      </c>
      <c r="AMK15">
        <v>99.234999999999999</v>
      </c>
      <c r="AML15">
        <v>99.215000000000003</v>
      </c>
      <c r="AMM15">
        <v>99.04</v>
      </c>
      <c r="AMN15">
        <v>99.045000000000002</v>
      </c>
      <c r="AMO15">
        <v>99.01</v>
      </c>
      <c r="AMP15">
        <v>98.97</v>
      </c>
      <c r="AMQ15">
        <v>99.04</v>
      </c>
      <c r="AMR15">
        <v>99.045000000000002</v>
      </c>
      <c r="AMS15">
        <v>99.114999999999995</v>
      </c>
      <c r="AMT15">
        <v>99.034999999999997</v>
      </c>
      <c r="AMU15">
        <v>99</v>
      </c>
      <c r="AMV15">
        <v>98.92</v>
      </c>
      <c r="AMW15">
        <v>98.92</v>
      </c>
      <c r="AMX15">
        <v>98.855000000000004</v>
      </c>
      <c r="AMY15">
        <v>98.905000000000001</v>
      </c>
      <c r="AMZ15">
        <v>98.885000000000005</v>
      </c>
      <c r="ANA15">
        <v>98.89</v>
      </c>
      <c r="ANB15">
        <v>98.864999999999995</v>
      </c>
      <c r="ANC15">
        <v>98.9</v>
      </c>
      <c r="AND15">
        <v>98.915000000000006</v>
      </c>
      <c r="ANE15">
        <v>98.954999999999998</v>
      </c>
      <c r="ANF15">
        <v>98.935000000000002</v>
      </c>
      <c r="ANG15">
        <v>98.924999999999997</v>
      </c>
      <c r="ANH15">
        <v>98.905000000000001</v>
      </c>
      <c r="ANI15">
        <v>98.91</v>
      </c>
      <c r="ANJ15">
        <v>99.194999999999993</v>
      </c>
      <c r="ANK15">
        <v>99.204999999999998</v>
      </c>
      <c r="ANL15">
        <v>99.234999999999999</v>
      </c>
      <c r="ANM15">
        <v>99.26</v>
      </c>
      <c r="ANN15">
        <v>99.24</v>
      </c>
      <c r="ANO15">
        <v>99.204999999999998</v>
      </c>
      <c r="ANP15">
        <v>99.17</v>
      </c>
      <c r="ANQ15">
        <v>99.174999999999997</v>
      </c>
      <c r="ANR15">
        <v>99.11</v>
      </c>
      <c r="ANS15">
        <v>99.16</v>
      </c>
      <c r="ANT15">
        <v>99.13</v>
      </c>
      <c r="ANU15">
        <v>99.144999999999996</v>
      </c>
      <c r="ANV15">
        <v>99.144999999999996</v>
      </c>
      <c r="ANW15">
        <v>99.144999999999996</v>
      </c>
      <c r="ANX15">
        <v>99.174999999999997</v>
      </c>
      <c r="ANY15">
        <v>99.18</v>
      </c>
      <c r="ANZ15">
        <v>99.13</v>
      </c>
      <c r="AOA15">
        <v>99.1</v>
      </c>
      <c r="AOB15">
        <v>99.114999999999995</v>
      </c>
      <c r="AOC15">
        <v>99.06</v>
      </c>
      <c r="AOD15">
        <v>99.114999999999995</v>
      </c>
      <c r="AOE15">
        <v>99.11</v>
      </c>
      <c r="AOF15">
        <v>99.114999999999995</v>
      </c>
      <c r="AOG15">
        <v>99.11</v>
      </c>
      <c r="AOH15">
        <v>99.064999999999998</v>
      </c>
      <c r="AOI15">
        <v>99.16</v>
      </c>
      <c r="AOJ15">
        <v>99.18</v>
      </c>
      <c r="AOK15">
        <v>99.18</v>
      </c>
      <c r="AOL15">
        <v>99.114999999999995</v>
      </c>
      <c r="AOM15">
        <v>99.105000000000004</v>
      </c>
      <c r="AON15">
        <v>99.09</v>
      </c>
      <c r="AOO15">
        <v>99.064999999999998</v>
      </c>
      <c r="AOP15">
        <v>99.03</v>
      </c>
      <c r="AOQ15">
        <v>99.03</v>
      </c>
      <c r="AOR15">
        <v>99.03</v>
      </c>
      <c r="AOS15">
        <v>99.015000000000001</v>
      </c>
      <c r="AOT15">
        <v>99.06</v>
      </c>
      <c r="AOU15">
        <v>99.07</v>
      </c>
      <c r="AOV15">
        <v>99.094999999999999</v>
      </c>
      <c r="AOW15">
        <v>99.094999999999999</v>
      </c>
      <c r="AOX15">
        <v>99.105000000000004</v>
      </c>
      <c r="AOY15">
        <v>99.08</v>
      </c>
      <c r="AOZ15">
        <v>99.08</v>
      </c>
      <c r="APA15">
        <v>99.114999999999995</v>
      </c>
      <c r="APB15">
        <v>99.015000000000001</v>
      </c>
      <c r="APC15">
        <v>99.03</v>
      </c>
      <c r="APD15">
        <v>98.944999999999993</v>
      </c>
      <c r="APE15">
        <v>98.98</v>
      </c>
      <c r="APF15">
        <v>99.01</v>
      </c>
      <c r="APG15">
        <v>98.98</v>
      </c>
      <c r="APH15">
        <v>98.944999999999993</v>
      </c>
      <c r="API15">
        <v>98.85</v>
      </c>
      <c r="APJ15">
        <v>98.814999999999998</v>
      </c>
      <c r="APK15">
        <v>98.92</v>
      </c>
      <c r="APL15">
        <v>98.885000000000005</v>
      </c>
      <c r="APM15">
        <v>98.924999999999997</v>
      </c>
      <c r="APN15">
        <v>98.96</v>
      </c>
      <c r="APO15">
        <v>99.03</v>
      </c>
      <c r="APP15">
        <v>99.07</v>
      </c>
      <c r="APQ15">
        <v>99.055000000000007</v>
      </c>
      <c r="APR15">
        <v>99.034999999999997</v>
      </c>
      <c r="APS15">
        <v>99</v>
      </c>
      <c r="APT15">
        <v>98.974999999999994</v>
      </c>
      <c r="APU15">
        <v>99.02</v>
      </c>
      <c r="APV15">
        <v>99.084999999999994</v>
      </c>
      <c r="APW15">
        <v>99.185000000000002</v>
      </c>
      <c r="APX15">
        <v>99.17</v>
      </c>
      <c r="APY15">
        <v>99.155000000000001</v>
      </c>
      <c r="APZ15">
        <v>99.21</v>
      </c>
      <c r="AQA15">
        <v>99.22</v>
      </c>
      <c r="AQB15">
        <v>99.174999999999997</v>
      </c>
      <c r="AQC15">
        <v>99.125</v>
      </c>
      <c r="AQD15">
        <v>99.185000000000002</v>
      </c>
      <c r="AQE15">
        <v>99.165000000000006</v>
      </c>
      <c r="AQF15">
        <v>99.224999999999994</v>
      </c>
      <c r="AQG15">
        <v>99.28</v>
      </c>
      <c r="AQH15">
        <v>99.24</v>
      </c>
      <c r="AQI15">
        <v>99.16</v>
      </c>
      <c r="AQJ15">
        <v>99.165000000000006</v>
      </c>
      <c r="AQK15">
        <v>99.39</v>
      </c>
      <c r="AQL15">
        <v>99.415000000000006</v>
      </c>
      <c r="AQM15">
        <v>99.405000000000001</v>
      </c>
      <c r="AQN15">
        <v>99.44</v>
      </c>
      <c r="AQO15">
        <v>99.484999999999999</v>
      </c>
      <c r="AQP15">
        <v>99.454999999999998</v>
      </c>
      <c r="AQQ15">
        <v>99.454999999999998</v>
      </c>
      <c r="AQR15">
        <v>99.55</v>
      </c>
      <c r="AQS15">
        <v>99.55</v>
      </c>
      <c r="AQT15">
        <v>99.58</v>
      </c>
      <c r="AQU15">
        <v>99.59</v>
      </c>
      <c r="AQV15">
        <v>99.575000000000003</v>
      </c>
      <c r="AQW15">
        <v>99.564999999999998</v>
      </c>
      <c r="AQX15">
        <v>99.584999999999994</v>
      </c>
      <c r="AQY15">
        <v>99.59</v>
      </c>
      <c r="AQZ15">
        <v>99.6</v>
      </c>
      <c r="ARA15">
        <v>99.614999999999995</v>
      </c>
      <c r="ARB15">
        <v>99.635000000000005</v>
      </c>
      <c r="ARC15">
        <v>99.635000000000005</v>
      </c>
      <c r="ARD15">
        <v>99.64</v>
      </c>
      <c r="ARE15">
        <v>99.67</v>
      </c>
      <c r="ARF15">
        <v>99.655000000000001</v>
      </c>
      <c r="ARG15">
        <v>99.66</v>
      </c>
      <c r="ARH15">
        <v>99.644999999999996</v>
      </c>
      <c r="ARI15">
        <v>99.64</v>
      </c>
      <c r="ARJ15">
        <v>99.655000000000001</v>
      </c>
      <c r="ARK15">
        <v>99.655000000000001</v>
      </c>
      <c r="ARL15">
        <v>99.644999999999996</v>
      </c>
      <c r="ARM15">
        <v>99.644999999999996</v>
      </c>
      <c r="ARN15">
        <v>99.635000000000005</v>
      </c>
      <c r="ARO15">
        <v>99.62</v>
      </c>
      <c r="ARP15">
        <v>99.594999999999999</v>
      </c>
      <c r="ARQ15">
        <v>99.6</v>
      </c>
      <c r="ARR15">
        <v>99.605000000000004</v>
      </c>
      <c r="ARS15">
        <v>99.644999999999996</v>
      </c>
      <c r="ART15">
        <v>99.704999999999998</v>
      </c>
      <c r="ARU15">
        <v>99.75</v>
      </c>
      <c r="ARV15">
        <v>99.76</v>
      </c>
      <c r="ARW15">
        <v>99.75</v>
      </c>
      <c r="ARX15">
        <v>99.75</v>
      </c>
      <c r="ARY15">
        <v>99.74</v>
      </c>
      <c r="ARZ15">
        <v>99.724999999999994</v>
      </c>
      <c r="ASA15">
        <v>99.72</v>
      </c>
      <c r="ASB15">
        <v>99.724999999999994</v>
      </c>
      <c r="ASC15">
        <v>99.724999999999994</v>
      </c>
      <c r="ASD15">
        <v>99.724999999999994</v>
      </c>
      <c r="ASE15">
        <v>99.73</v>
      </c>
      <c r="ASF15">
        <v>99.724999999999994</v>
      </c>
      <c r="ASG15">
        <v>99.724999999999994</v>
      </c>
      <c r="ASH15">
        <v>99.734999999999999</v>
      </c>
      <c r="ASI15">
        <v>99.745000000000005</v>
      </c>
      <c r="ASJ15">
        <v>99.79</v>
      </c>
      <c r="ASK15">
        <v>99.79</v>
      </c>
      <c r="ASL15">
        <v>99.79</v>
      </c>
      <c r="ASM15">
        <v>99.775000000000006</v>
      </c>
      <c r="ASN15">
        <v>99.754999999999995</v>
      </c>
      <c r="ASO15">
        <v>99.76</v>
      </c>
      <c r="ASP15">
        <v>99.76</v>
      </c>
      <c r="ASQ15">
        <v>99.74</v>
      </c>
      <c r="ASR15">
        <v>99.754999999999995</v>
      </c>
      <c r="ASS15">
        <v>99.76</v>
      </c>
      <c r="AST15">
        <v>99.76</v>
      </c>
      <c r="ASU15">
        <v>99.784999999999997</v>
      </c>
      <c r="ASV15">
        <v>99.79</v>
      </c>
      <c r="ASW15">
        <v>99.784999999999997</v>
      </c>
      <c r="ASX15">
        <v>99.784999999999997</v>
      </c>
      <c r="ASY15">
        <v>99.78</v>
      </c>
      <c r="ASZ15">
        <v>99.775000000000006</v>
      </c>
      <c r="ATA15">
        <v>99.79</v>
      </c>
      <c r="ATB15">
        <v>99.784999999999997</v>
      </c>
      <c r="ATC15">
        <v>99.784999999999997</v>
      </c>
      <c r="ATD15">
        <v>99.79</v>
      </c>
      <c r="ATE15">
        <v>99.78</v>
      </c>
      <c r="ATF15">
        <v>99.78</v>
      </c>
      <c r="ATG15">
        <v>99.775000000000006</v>
      </c>
      <c r="ATH15">
        <v>99.754999999999995</v>
      </c>
      <c r="ATI15">
        <v>99.754999999999995</v>
      </c>
      <c r="ATJ15">
        <v>99.79</v>
      </c>
      <c r="ATK15">
        <v>99.834999999999994</v>
      </c>
      <c r="ATL15">
        <v>99.84</v>
      </c>
      <c r="ATM15">
        <v>99.86</v>
      </c>
      <c r="ATN15">
        <v>99.83</v>
      </c>
      <c r="ATO15">
        <v>99.84</v>
      </c>
      <c r="ATP15">
        <v>99.834999999999994</v>
      </c>
      <c r="ATQ15">
        <v>99.84</v>
      </c>
      <c r="ATR15">
        <v>99.85</v>
      </c>
      <c r="ATS15">
        <v>99.85</v>
      </c>
      <c r="ATT15">
        <v>99.844999999999999</v>
      </c>
      <c r="ATU15">
        <v>99.834999999999994</v>
      </c>
      <c r="ATV15">
        <v>99.825000000000003</v>
      </c>
      <c r="ATW15">
        <v>99.85</v>
      </c>
      <c r="ATX15">
        <v>99.85</v>
      </c>
      <c r="ATY15">
        <v>99.86</v>
      </c>
      <c r="ATZ15">
        <v>99.87</v>
      </c>
      <c r="AUA15">
        <v>99.864999999999995</v>
      </c>
      <c r="AUB15">
        <v>99.87</v>
      </c>
      <c r="AUC15">
        <v>99.864999999999995</v>
      </c>
      <c r="AUD15">
        <v>99.85</v>
      </c>
      <c r="AUE15">
        <v>99.844999999999999</v>
      </c>
      <c r="AUF15">
        <v>99.86</v>
      </c>
      <c r="AUG15">
        <v>99.855000000000004</v>
      </c>
      <c r="AUH15">
        <v>99.88</v>
      </c>
      <c r="AUI15">
        <v>99.88</v>
      </c>
      <c r="AUJ15">
        <v>99.93</v>
      </c>
      <c r="AUK15">
        <v>99.93</v>
      </c>
      <c r="AUL15">
        <v>99.93</v>
      </c>
      <c r="AUM15">
        <v>99.935000000000002</v>
      </c>
      <c r="AUN15">
        <v>99.935000000000002</v>
      </c>
      <c r="AUO15">
        <v>99.944999999999993</v>
      </c>
      <c r="AUP15">
        <v>99.944999999999993</v>
      </c>
      <c r="AUQ15">
        <v>99.95</v>
      </c>
      <c r="AUR15">
        <v>99.95</v>
      </c>
      <c r="AUS15">
        <v>99.94</v>
      </c>
      <c r="AUT15">
        <v>99.92</v>
      </c>
      <c r="AUU15">
        <v>99.935000000000002</v>
      </c>
      <c r="AUV15">
        <v>99.93</v>
      </c>
      <c r="AUW15">
        <v>99.954999999999998</v>
      </c>
      <c r="AUX15">
        <v>99.96</v>
      </c>
      <c r="AUY15">
        <v>99.95</v>
      </c>
      <c r="AUZ15">
        <v>99.924999999999997</v>
      </c>
      <c r="AVA15">
        <v>99.92</v>
      </c>
      <c r="AVB15">
        <v>99.924999999999997</v>
      </c>
      <c r="AVC15">
        <v>99.915000000000006</v>
      </c>
      <c r="AVD15">
        <v>99.915000000000006</v>
      </c>
      <c r="AVE15">
        <v>99.944999999999993</v>
      </c>
      <c r="AVF15">
        <v>99.935000000000002</v>
      </c>
      <c r="AVG15">
        <v>99.944999999999993</v>
      </c>
      <c r="AVH15">
        <v>99.94</v>
      </c>
      <c r="AVI15">
        <v>99.935000000000002</v>
      </c>
      <c r="AVJ15">
        <v>99.915000000000006</v>
      </c>
      <c r="AVK15">
        <v>99.924999999999997</v>
      </c>
      <c r="AVL15">
        <v>99.93</v>
      </c>
      <c r="AVM15">
        <v>99.94</v>
      </c>
      <c r="AVN15">
        <v>99.935000000000002</v>
      </c>
      <c r="AVO15">
        <v>99.944999999999993</v>
      </c>
      <c r="AVP15">
        <v>99.944999999999993</v>
      </c>
      <c r="AVQ15">
        <v>99.935000000000002</v>
      </c>
      <c r="AVR15">
        <v>99.92</v>
      </c>
      <c r="AVS15">
        <v>99.91</v>
      </c>
      <c r="AVT15">
        <v>99.91</v>
      </c>
      <c r="AVU15">
        <v>99.915000000000006</v>
      </c>
      <c r="AVV15">
        <v>99.915000000000006</v>
      </c>
      <c r="AVW15">
        <v>99.95</v>
      </c>
      <c r="AVX15">
        <v>99.96</v>
      </c>
      <c r="AVY15">
        <v>99.98</v>
      </c>
      <c r="AVZ15">
        <v>99.984999999999999</v>
      </c>
      <c r="AWA15">
        <v>99.995000000000005</v>
      </c>
      <c r="AWB15">
        <v>99.984999999999999</v>
      </c>
      <c r="AWC15">
        <v>99.98</v>
      </c>
      <c r="AWD15">
        <v>99.974999999999994</v>
      </c>
      <c r="AWE15">
        <v>99.954999999999998</v>
      </c>
      <c r="AWF15">
        <v>99.944999999999993</v>
      </c>
      <c r="AWG15">
        <v>99.94</v>
      </c>
      <c r="AWH15">
        <v>99.95</v>
      </c>
      <c r="AWI15">
        <v>99.954999999999998</v>
      </c>
      <c r="AWJ15">
        <v>99.954999999999998</v>
      </c>
      <c r="AWK15">
        <v>99.95</v>
      </c>
      <c r="AWL15">
        <v>99.95</v>
      </c>
      <c r="AWM15">
        <v>99.944999999999993</v>
      </c>
      <c r="AWN15">
        <v>99.944999999999993</v>
      </c>
      <c r="AWO15">
        <v>99.94</v>
      </c>
      <c r="AWP15">
        <v>99.95</v>
      </c>
      <c r="AWQ15">
        <v>99.95</v>
      </c>
      <c r="AWR15">
        <v>99.965000000000003</v>
      </c>
      <c r="AWS15">
        <v>99.98</v>
      </c>
      <c r="AWT15">
        <v>99.965000000000003</v>
      </c>
      <c r="AWU15">
        <v>99.96</v>
      </c>
      <c r="AWV15">
        <v>99.954999999999998</v>
      </c>
      <c r="AWW15">
        <v>99.954999999999998</v>
      </c>
      <c r="AWX15">
        <v>99.954999999999998</v>
      </c>
      <c r="AWY15">
        <v>99.944999999999993</v>
      </c>
      <c r="AWZ15">
        <v>99.965000000000003</v>
      </c>
      <c r="AXA15">
        <v>99.965000000000003</v>
      </c>
      <c r="AXB15">
        <v>99.954999999999998</v>
      </c>
      <c r="AXC15">
        <v>99.935000000000002</v>
      </c>
      <c r="AXD15">
        <v>99.935000000000002</v>
      </c>
      <c r="AXE15">
        <v>99.935000000000002</v>
      </c>
      <c r="AXF15">
        <v>99.93</v>
      </c>
      <c r="AXG15">
        <v>99.92</v>
      </c>
      <c r="AXH15">
        <v>99.9</v>
      </c>
      <c r="AXI15">
        <v>99.894999999999996</v>
      </c>
      <c r="AXJ15">
        <v>99.88</v>
      </c>
      <c r="AXK15">
        <v>99.894999999999996</v>
      </c>
      <c r="AXL15">
        <v>99.885000000000005</v>
      </c>
      <c r="AXM15">
        <v>99.894999999999996</v>
      </c>
      <c r="AXN15">
        <v>99.87</v>
      </c>
      <c r="AXO15">
        <v>99.82</v>
      </c>
      <c r="AXP15">
        <v>99.784999999999997</v>
      </c>
      <c r="AXQ15">
        <v>99.78</v>
      </c>
      <c r="AXR15">
        <v>99.844999999999999</v>
      </c>
      <c r="AXS15">
        <v>99.86</v>
      </c>
      <c r="AXT15">
        <v>99.894999999999996</v>
      </c>
      <c r="AXU15">
        <v>99.9</v>
      </c>
      <c r="AXV15">
        <v>99.89</v>
      </c>
      <c r="AXW15">
        <v>99.87</v>
      </c>
      <c r="AXX15">
        <v>99.875</v>
      </c>
      <c r="AXY15">
        <v>99.88</v>
      </c>
      <c r="AXZ15">
        <v>99.885000000000005</v>
      </c>
      <c r="AYA15">
        <v>99.885000000000005</v>
      </c>
      <c r="AYB15">
        <v>99.88</v>
      </c>
      <c r="AYC15">
        <v>99.88</v>
      </c>
      <c r="AYD15">
        <v>99.885000000000005</v>
      </c>
      <c r="AYE15">
        <v>99.885000000000005</v>
      </c>
      <c r="AYF15">
        <v>99.93</v>
      </c>
      <c r="AYG15">
        <v>99.905000000000001</v>
      </c>
      <c r="AYH15">
        <v>99.894999999999996</v>
      </c>
      <c r="AYI15">
        <v>99.875</v>
      </c>
      <c r="AYJ15">
        <v>99.875</v>
      </c>
      <c r="AYK15">
        <v>99.894999999999996</v>
      </c>
      <c r="AYL15">
        <v>99.905000000000001</v>
      </c>
      <c r="AYM15">
        <v>99.85</v>
      </c>
      <c r="AYN15">
        <v>99.834999999999994</v>
      </c>
      <c r="AYO15">
        <v>99.84</v>
      </c>
      <c r="AYP15">
        <v>99.825000000000003</v>
      </c>
      <c r="AYQ15">
        <v>99.83</v>
      </c>
      <c r="AYR15">
        <v>99.82</v>
      </c>
      <c r="AYS15">
        <v>99.805000000000007</v>
      </c>
      <c r="AYT15">
        <v>99.8</v>
      </c>
      <c r="AYU15">
        <v>99.81</v>
      </c>
      <c r="AYV15">
        <v>99.81</v>
      </c>
      <c r="AYW15">
        <v>99.805000000000007</v>
      </c>
      <c r="AYX15">
        <v>99.814999999999998</v>
      </c>
      <c r="AYY15">
        <v>99.795000000000002</v>
      </c>
      <c r="AYZ15">
        <v>99.784999999999997</v>
      </c>
      <c r="AZA15">
        <v>99.77</v>
      </c>
      <c r="AZB15">
        <v>99.76</v>
      </c>
      <c r="AZC15">
        <v>99.73</v>
      </c>
      <c r="AZD15">
        <v>99.715000000000003</v>
      </c>
      <c r="AZE15">
        <v>99.724999999999994</v>
      </c>
      <c r="AZF15">
        <v>99.724999999999994</v>
      </c>
      <c r="AZG15">
        <v>99.704999999999998</v>
      </c>
      <c r="AZH15">
        <v>99.69</v>
      </c>
      <c r="AZI15">
        <v>99.734999999999999</v>
      </c>
      <c r="AZJ15">
        <v>99.795000000000002</v>
      </c>
      <c r="AZK15">
        <v>99.79</v>
      </c>
      <c r="AZL15">
        <v>99.805000000000007</v>
      </c>
      <c r="AZM15">
        <v>99.78</v>
      </c>
      <c r="AZN15">
        <v>99.81</v>
      </c>
      <c r="AZO15">
        <v>99.765000000000001</v>
      </c>
      <c r="AZP15">
        <v>99.745000000000005</v>
      </c>
      <c r="AZQ15">
        <v>99.715000000000003</v>
      </c>
      <c r="AZR15">
        <v>99.71</v>
      </c>
      <c r="AZS15">
        <v>99.77</v>
      </c>
      <c r="AZT15">
        <v>99.69</v>
      </c>
      <c r="AZU15">
        <v>99.63</v>
      </c>
      <c r="AZV15">
        <v>99.525000000000006</v>
      </c>
      <c r="AZW15">
        <v>99.635000000000005</v>
      </c>
      <c r="AZX15">
        <v>99.685000000000002</v>
      </c>
      <c r="AZY15">
        <v>99.61</v>
      </c>
      <c r="AZZ15">
        <v>99.65</v>
      </c>
      <c r="BAA15">
        <v>99.58</v>
      </c>
      <c r="BAB15">
        <v>99.57</v>
      </c>
      <c r="BAC15">
        <v>99.69</v>
      </c>
      <c r="BAD15">
        <v>99.614999999999995</v>
      </c>
      <c r="BAE15">
        <v>99.53</v>
      </c>
      <c r="BAF15">
        <v>99.48</v>
      </c>
      <c r="BAG15">
        <v>99.42</v>
      </c>
      <c r="BAH15">
        <v>99.35</v>
      </c>
      <c r="BAI15">
        <v>99.35</v>
      </c>
      <c r="BAJ15">
        <v>99.15</v>
      </c>
      <c r="BAK15">
        <v>99.094999999999999</v>
      </c>
      <c r="BAL15">
        <v>99.105000000000004</v>
      </c>
      <c r="BAM15">
        <v>99.05</v>
      </c>
      <c r="BAN15">
        <v>98.94</v>
      </c>
      <c r="BAO15">
        <v>98.875</v>
      </c>
      <c r="BAP15">
        <v>98.83</v>
      </c>
      <c r="BAQ15">
        <v>98.855000000000004</v>
      </c>
      <c r="BAR15">
        <v>98.825000000000003</v>
      </c>
      <c r="BAS15">
        <v>98.825000000000003</v>
      </c>
      <c r="BAT15">
        <v>98.79</v>
      </c>
      <c r="BAU15">
        <v>98.79</v>
      </c>
      <c r="BAV15">
        <v>98.83</v>
      </c>
      <c r="BAW15">
        <v>98.86</v>
      </c>
      <c r="BAX15">
        <v>98.825000000000003</v>
      </c>
      <c r="BAY15">
        <v>98.77</v>
      </c>
      <c r="BAZ15">
        <v>98.79</v>
      </c>
      <c r="BBA15">
        <v>98.83</v>
      </c>
      <c r="BBB15">
        <v>98.915000000000006</v>
      </c>
      <c r="BBC15">
        <v>98.93</v>
      </c>
      <c r="BBD15">
        <v>98.875</v>
      </c>
      <c r="BBE15">
        <v>98.83</v>
      </c>
      <c r="BBF15">
        <v>98.78</v>
      </c>
      <c r="BBG15">
        <v>98.814999999999998</v>
      </c>
      <c r="BBH15">
        <v>98.73</v>
      </c>
      <c r="BBI15">
        <v>98.674999999999997</v>
      </c>
      <c r="BBJ15">
        <v>98.655000000000001</v>
      </c>
      <c r="BBK15">
        <v>98.64</v>
      </c>
      <c r="BBL15">
        <v>98.584999999999994</v>
      </c>
      <c r="BBM15">
        <v>98.584999999999994</v>
      </c>
      <c r="BBN15">
        <v>98.6</v>
      </c>
      <c r="BBO15">
        <v>98.61</v>
      </c>
      <c r="BBP15">
        <v>98.6</v>
      </c>
      <c r="BBQ15">
        <v>98.584999999999994</v>
      </c>
      <c r="BBR15">
        <v>98.59</v>
      </c>
      <c r="BBS15">
        <v>98.575000000000003</v>
      </c>
      <c r="BBT15">
        <v>98.57</v>
      </c>
      <c r="BBU15">
        <v>98.614999999999995</v>
      </c>
      <c r="BBV15">
        <v>98.625</v>
      </c>
      <c r="BBW15">
        <v>98.63</v>
      </c>
      <c r="BBX15">
        <v>98.54</v>
      </c>
      <c r="BBY15">
        <v>98.53</v>
      </c>
      <c r="BBZ15">
        <v>98.53</v>
      </c>
      <c r="BCA15">
        <v>98.534999999999997</v>
      </c>
      <c r="BCB15">
        <v>98.534999999999997</v>
      </c>
      <c r="BCC15">
        <v>98.495000000000005</v>
      </c>
      <c r="BCD15">
        <v>98.495000000000005</v>
      </c>
      <c r="BCE15">
        <v>98.495000000000005</v>
      </c>
      <c r="BCF15">
        <v>98.474999999999994</v>
      </c>
      <c r="BCG15">
        <v>98.515000000000001</v>
      </c>
      <c r="BCH15">
        <v>98.53</v>
      </c>
      <c r="BCI15">
        <v>98.51</v>
      </c>
      <c r="BCJ15">
        <v>98.545000000000002</v>
      </c>
      <c r="BCK15">
        <v>98.555000000000007</v>
      </c>
      <c r="BCL15">
        <v>98.63</v>
      </c>
      <c r="BCM15">
        <v>98.55</v>
      </c>
      <c r="BCN15">
        <v>98.635000000000005</v>
      </c>
      <c r="BCO15">
        <v>98.594999999999999</v>
      </c>
      <c r="BCP15">
        <v>98.61</v>
      </c>
      <c r="BCQ15">
        <v>98.62</v>
      </c>
      <c r="BCR15">
        <v>98.68</v>
      </c>
      <c r="BCS15">
        <v>98.694999999999993</v>
      </c>
      <c r="BCT15">
        <v>98.77</v>
      </c>
      <c r="BCU15">
        <v>98.65</v>
      </c>
      <c r="BCV15">
        <v>98.685000000000002</v>
      </c>
      <c r="BCW15">
        <v>98.674999999999997</v>
      </c>
      <c r="BCX15">
        <v>98.674999999999997</v>
      </c>
      <c r="BCY15">
        <v>98.715000000000003</v>
      </c>
      <c r="BCZ15">
        <v>98.704999999999998</v>
      </c>
      <c r="BDA15">
        <v>98.69</v>
      </c>
      <c r="BDB15">
        <v>98.71</v>
      </c>
      <c r="BDC15">
        <v>98.74</v>
      </c>
      <c r="BDD15">
        <v>98.704999999999998</v>
      </c>
      <c r="BDE15">
        <v>98.68</v>
      </c>
      <c r="BDF15">
        <v>98.655000000000001</v>
      </c>
      <c r="BDG15">
        <v>98.665000000000006</v>
      </c>
      <c r="BDH15">
        <v>98.614999999999995</v>
      </c>
      <c r="BDI15">
        <v>98.564999999999998</v>
      </c>
      <c r="BDJ15">
        <v>98.534999999999997</v>
      </c>
      <c r="BDK15">
        <v>98.545000000000002</v>
      </c>
      <c r="BDL15">
        <v>98.53</v>
      </c>
      <c r="BDM15">
        <v>98.64</v>
      </c>
      <c r="BDN15">
        <v>98.614999999999995</v>
      </c>
      <c r="BDO15">
        <v>98.674999999999997</v>
      </c>
      <c r="BDP15">
        <v>98.724999999999994</v>
      </c>
      <c r="BDQ15">
        <v>98.795000000000002</v>
      </c>
      <c r="BDR15">
        <v>98.67</v>
      </c>
      <c r="BDS15">
        <v>98.65</v>
      </c>
      <c r="BDT15">
        <v>98.655000000000001</v>
      </c>
      <c r="BDU15">
        <v>98.685000000000002</v>
      </c>
      <c r="BDV15">
        <v>98.73</v>
      </c>
      <c r="BDW15">
        <v>98.74</v>
      </c>
      <c r="BDX15">
        <v>98.72</v>
      </c>
      <c r="BDY15">
        <v>98.694999999999993</v>
      </c>
      <c r="BDZ15">
        <v>98.734999999999999</v>
      </c>
      <c r="BEA15">
        <v>98.71</v>
      </c>
      <c r="BEB15">
        <v>98.734999999999999</v>
      </c>
      <c r="BEC15">
        <v>98.694999999999993</v>
      </c>
      <c r="BED15">
        <v>98.75</v>
      </c>
      <c r="BEE15">
        <v>98.73</v>
      </c>
      <c r="BEF15">
        <v>98.86</v>
      </c>
      <c r="BEG15">
        <v>98.924999999999997</v>
      </c>
      <c r="BEH15">
        <v>98.98</v>
      </c>
      <c r="BEI15">
        <v>98.97</v>
      </c>
      <c r="BEJ15">
        <v>99.04</v>
      </c>
      <c r="BEK15">
        <v>99.05</v>
      </c>
      <c r="BEL15">
        <v>98.95</v>
      </c>
      <c r="BEM15">
        <v>98.875</v>
      </c>
      <c r="BEN15">
        <v>98.805000000000007</v>
      </c>
      <c r="BEO15">
        <v>98.814999999999998</v>
      </c>
      <c r="BEP15">
        <v>98.805000000000007</v>
      </c>
      <c r="BEQ15">
        <v>98.79</v>
      </c>
      <c r="BER15">
        <v>98.89</v>
      </c>
      <c r="BES15">
        <v>98.795000000000002</v>
      </c>
      <c r="BET15">
        <v>98.754999999999995</v>
      </c>
      <c r="BEU15">
        <v>98.77</v>
      </c>
      <c r="BEV15">
        <v>98.734999999999999</v>
      </c>
      <c r="BEW15">
        <v>98.745000000000005</v>
      </c>
      <c r="BEX15">
        <v>98.704999999999998</v>
      </c>
      <c r="BEY15">
        <v>98.644999999999996</v>
      </c>
      <c r="BEZ15">
        <v>98.74</v>
      </c>
      <c r="BFA15">
        <v>98.825000000000003</v>
      </c>
      <c r="BFB15">
        <v>98.85</v>
      </c>
      <c r="BFC15">
        <v>98.95</v>
      </c>
      <c r="BFD15">
        <v>99.025000000000006</v>
      </c>
      <c r="BFE15">
        <v>99.03</v>
      </c>
      <c r="BFF15">
        <v>99.16</v>
      </c>
      <c r="BFG15">
        <v>99.12</v>
      </c>
      <c r="BFH15">
        <v>99.04</v>
      </c>
      <c r="BFI15">
        <v>99.04</v>
      </c>
      <c r="BFJ15">
        <v>99.015000000000001</v>
      </c>
      <c r="BFK15">
        <v>99.055000000000007</v>
      </c>
      <c r="BFL15">
        <v>99.01</v>
      </c>
      <c r="BFM15">
        <v>98.965000000000003</v>
      </c>
      <c r="BFN15">
        <v>98.99</v>
      </c>
      <c r="BFO15">
        <v>98.885000000000005</v>
      </c>
      <c r="BFP15">
        <v>98.915000000000006</v>
      </c>
      <c r="BFQ15">
        <v>98.95</v>
      </c>
      <c r="BFR15">
        <v>98.91</v>
      </c>
      <c r="BFS15">
        <v>98.97</v>
      </c>
      <c r="BFT15">
        <v>98.965000000000003</v>
      </c>
      <c r="BFU15">
        <v>98.894999999999996</v>
      </c>
      <c r="BFV15">
        <v>98.81</v>
      </c>
      <c r="BFW15">
        <v>98.915000000000006</v>
      </c>
      <c r="BFX15">
        <v>98.834999999999994</v>
      </c>
      <c r="BFY15">
        <v>98.88</v>
      </c>
      <c r="BFZ15">
        <v>98.954999999999998</v>
      </c>
      <c r="BGA15">
        <v>98.86</v>
      </c>
      <c r="BGB15">
        <v>98.924999999999997</v>
      </c>
      <c r="BGC15">
        <v>98.71</v>
      </c>
      <c r="BGD15">
        <v>98.69</v>
      </c>
      <c r="BGE15">
        <v>98.5</v>
      </c>
      <c r="BGF15">
        <v>98.51</v>
      </c>
      <c r="BGG15">
        <v>98.52</v>
      </c>
      <c r="BGH15">
        <v>98.5</v>
      </c>
      <c r="BGI15">
        <v>98.525000000000006</v>
      </c>
      <c r="BGJ15">
        <v>98.55</v>
      </c>
      <c r="BGK15">
        <v>98.545000000000002</v>
      </c>
      <c r="BGL15">
        <v>98.575000000000003</v>
      </c>
      <c r="BGM15">
        <v>98.555000000000007</v>
      </c>
      <c r="BGN15">
        <v>98.605000000000004</v>
      </c>
      <c r="BGO15">
        <v>98.52</v>
      </c>
      <c r="BGP15">
        <v>98.465000000000003</v>
      </c>
      <c r="BGQ15">
        <v>98.495000000000005</v>
      </c>
      <c r="BGR15">
        <v>98.49</v>
      </c>
      <c r="BGS15">
        <v>98.474999999999994</v>
      </c>
      <c r="BGT15">
        <v>98.525000000000006</v>
      </c>
      <c r="BGU15">
        <v>98.484999999999999</v>
      </c>
      <c r="BGV15">
        <v>98.504999999999995</v>
      </c>
      <c r="BGW15">
        <v>98.5</v>
      </c>
      <c r="BGX15">
        <v>98.584999999999994</v>
      </c>
      <c r="BGY15">
        <v>98.584999999999994</v>
      </c>
      <c r="BGZ15">
        <v>98.58</v>
      </c>
      <c r="BHA15">
        <v>98.53</v>
      </c>
      <c r="BHB15">
        <v>98.575000000000003</v>
      </c>
      <c r="BHC15">
        <v>98.59</v>
      </c>
      <c r="BHD15">
        <v>98.56</v>
      </c>
      <c r="BHE15">
        <v>98.644999999999996</v>
      </c>
      <c r="BHF15">
        <v>98.62</v>
      </c>
      <c r="BHG15">
        <v>98.57</v>
      </c>
      <c r="BHH15">
        <v>98.625</v>
      </c>
      <c r="BHI15">
        <v>98.63</v>
      </c>
      <c r="BHJ15">
        <v>98.525000000000006</v>
      </c>
      <c r="BHK15">
        <v>98.525000000000006</v>
      </c>
      <c r="BHL15">
        <v>98.545000000000002</v>
      </c>
      <c r="BHM15">
        <v>98.55</v>
      </c>
      <c r="BHN15">
        <v>98.48</v>
      </c>
      <c r="BHO15">
        <v>98.43</v>
      </c>
      <c r="BHP15">
        <v>98.424999999999997</v>
      </c>
      <c r="BHQ15">
        <v>98.465000000000003</v>
      </c>
      <c r="BHR15">
        <v>98.45</v>
      </c>
      <c r="BHS15">
        <v>98.504999999999995</v>
      </c>
      <c r="BHT15">
        <v>98.484999999999999</v>
      </c>
      <c r="BHU15">
        <v>98.53</v>
      </c>
      <c r="BHV15">
        <v>98.48</v>
      </c>
      <c r="BHW15">
        <v>98.34</v>
      </c>
      <c r="BHX15">
        <v>98.344999999999999</v>
      </c>
      <c r="BHY15">
        <v>98.31</v>
      </c>
      <c r="BHZ15">
        <v>98.254999999999995</v>
      </c>
      <c r="BIA15">
        <v>98.254999999999995</v>
      </c>
      <c r="BIB15">
        <v>98.284999999999997</v>
      </c>
      <c r="BIC15">
        <v>98.15</v>
      </c>
      <c r="BID15">
        <v>98.114999999999995</v>
      </c>
      <c r="BIE15">
        <v>98.144999999999996</v>
      </c>
      <c r="BIF15">
        <v>98.17</v>
      </c>
      <c r="BIG15">
        <v>98.16</v>
      </c>
      <c r="BIH15">
        <v>98.204999999999998</v>
      </c>
      <c r="BII15">
        <v>98.155000000000001</v>
      </c>
      <c r="BIJ15">
        <v>98.165000000000006</v>
      </c>
      <c r="BIK15">
        <v>98.09</v>
      </c>
      <c r="BIL15">
        <v>98.075000000000003</v>
      </c>
      <c r="BIM15">
        <v>98.04</v>
      </c>
      <c r="BIN15">
        <v>98.07</v>
      </c>
      <c r="BIO15">
        <v>98.015000000000001</v>
      </c>
      <c r="BIP15">
        <v>97.974999999999994</v>
      </c>
      <c r="BIQ15">
        <v>97.97</v>
      </c>
      <c r="BIR15">
        <v>98.03</v>
      </c>
      <c r="BIS15">
        <v>98.07</v>
      </c>
      <c r="BIT15">
        <v>98.045000000000002</v>
      </c>
      <c r="BIU15">
        <v>98.05</v>
      </c>
      <c r="BIV15">
        <v>98</v>
      </c>
      <c r="BIW15">
        <v>98.015000000000001</v>
      </c>
      <c r="BIX15">
        <v>97.96</v>
      </c>
      <c r="BIY15">
        <v>97.94</v>
      </c>
      <c r="BIZ15">
        <v>97.94</v>
      </c>
      <c r="BJA15">
        <v>97.94</v>
      </c>
      <c r="BJB15">
        <v>97.915000000000006</v>
      </c>
      <c r="BJC15">
        <v>97.91</v>
      </c>
      <c r="BJD15">
        <v>97.94</v>
      </c>
      <c r="BJE15">
        <v>97.935000000000002</v>
      </c>
      <c r="BJF15">
        <v>98.01</v>
      </c>
      <c r="BJG15">
        <v>98.045000000000002</v>
      </c>
      <c r="BJH15">
        <v>98.01</v>
      </c>
      <c r="BJI15">
        <v>97.974999999999994</v>
      </c>
      <c r="BJJ15">
        <v>97.984999999999999</v>
      </c>
      <c r="BJK15">
        <v>97.995000000000005</v>
      </c>
      <c r="BJL15">
        <v>98.004999999999995</v>
      </c>
      <c r="BJM15">
        <v>98.025000000000006</v>
      </c>
      <c r="BJN15">
        <v>98.015000000000001</v>
      </c>
      <c r="BJO15">
        <v>98.094999999999999</v>
      </c>
      <c r="BJP15">
        <v>98.17</v>
      </c>
      <c r="BJQ15">
        <v>98.204999999999998</v>
      </c>
      <c r="BJR15">
        <v>98.155000000000001</v>
      </c>
      <c r="BJS15">
        <v>98.185000000000002</v>
      </c>
      <c r="BJT15">
        <v>98.08</v>
      </c>
      <c r="BJU15">
        <v>97.965000000000003</v>
      </c>
      <c r="BJV15">
        <v>97.944999999999993</v>
      </c>
      <c r="BJW15">
        <v>97.855000000000004</v>
      </c>
      <c r="BJX15">
        <v>97.87</v>
      </c>
      <c r="BJY15">
        <v>97.875</v>
      </c>
      <c r="BJZ15">
        <v>97.844999999999999</v>
      </c>
      <c r="BKA15">
        <v>97.85</v>
      </c>
      <c r="BKB15">
        <v>97.83</v>
      </c>
      <c r="BKC15">
        <v>97.8</v>
      </c>
      <c r="BKD15">
        <v>97.81</v>
      </c>
      <c r="BKE15">
        <v>97.795000000000002</v>
      </c>
      <c r="BKF15">
        <v>97.72</v>
      </c>
      <c r="BKG15">
        <v>97.685000000000002</v>
      </c>
      <c r="BKH15">
        <v>97.69</v>
      </c>
      <c r="BKI15">
        <v>97.68</v>
      </c>
      <c r="BKJ15">
        <v>97.75</v>
      </c>
      <c r="BKK15">
        <v>97.77</v>
      </c>
      <c r="BKL15">
        <v>97.795000000000002</v>
      </c>
      <c r="BKM15">
        <v>97.765000000000001</v>
      </c>
      <c r="BKN15">
        <v>97.77</v>
      </c>
      <c r="BKO15">
        <v>97.724999999999994</v>
      </c>
      <c r="BKP15">
        <v>97.765000000000001</v>
      </c>
      <c r="BKQ15">
        <v>97.76</v>
      </c>
      <c r="BKR15">
        <v>97.745000000000005</v>
      </c>
      <c r="BKS15">
        <v>97.745000000000005</v>
      </c>
      <c r="BKT15">
        <v>97.75</v>
      </c>
      <c r="BKU15">
        <v>97.71</v>
      </c>
      <c r="BKV15">
        <v>97.77</v>
      </c>
      <c r="BKW15">
        <v>97.8</v>
      </c>
      <c r="BKX15">
        <v>97.825000000000003</v>
      </c>
      <c r="BKY15">
        <v>97.79</v>
      </c>
      <c r="BKZ15">
        <v>97.734999999999999</v>
      </c>
      <c r="BLA15">
        <v>97.724999999999994</v>
      </c>
      <c r="BLB15">
        <v>97.72</v>
      </c>
      <c r="BLC15">
        <v>97.74</v>
      </c>
      <c r="BLD15">
        <v>97.765000000000001</v>
      </c>
      <c r="BLE15">
        <v>97.694999999999993</v>
      </c>
      <c r="BLF15">
        <v>97.644999999999996</v>
      </c>
      <c r="BLG15">
        <v>97.64</v>
      </c>
      <c r="BLH15">
        <v>97.63</v>
      </c>
      <c r="BLI15">
        <v>97.655000000000001</v>
      </c>
      <c r="BLJ15">
        <v>97.64</v>
      </c>
      <c r="BLK15">
        <v>97.644999999999996</v>
      </c>
      <c r="BLL15">
        <v>97.6</v>
      </c>
      <c r="BLM15">
        <v>97.6</v>
      </c>
      <c r="BLN15">
        <v>97.67</v>
      </c>
      <c r="BLO15">
        <v>97.7</v>
      </c>
      <c r="BLP15">
        <v>97.724999999999994</v>
      </c>
      <c r="BLQ15">
        <v>97.715000000000003</v>
      </c>
      <c r="BLR15">
        <v>97.72</v>
      </c>
      <c r="BLS15">
        <v>97.704999999999998</v>
      </c>
      <c r="BLT15">
        <v>97.71</v>
      </c>
      <c r="BLU15">
        <v>97.7</v>
      </c>
      <c r="BLV15">
        <v>97.77</v>
      </c>
      <c r="BLW15">
        <v>97.814999999999998</v>
      </c>
      <c r="BLX15">
        <v>97.88</v>
      </c>
      <c r="BLY15">
        <v>97.694999999999993</v>
      </c>
      <c r="BLZ15">
        <v>97.704999999999998</v>
      </c>
      <c r="BMA15">
        <v>97.704999999999998</v>
      </c>
      <c r="BMB15">
        <v>97.7</v>
      </c>
      <c r="BMC15">
        <v>97.69</v>
      </c>
      <c r="BMD15">
        <v>97.635000000000005</v>
      </c>
      <c r="BME15">
        <v>97.61</v>
      </c>
      <c r="BMF15">
        <v>97.61</v>
      </c>
      <c r="BMG15">
        <v>97.55</v>
      </c>
      <c r="BMH15">
        <v>97.515000000000001</v>
      </c>
      <c r="BMI15">
        <v>97.504999999999995</v>
      </c>
      <c r="BMJ15">
        <v>97.515000000000001</v>
      </c>
      <c r="BMK15">
        <v>97.465000000000003</v>
      </c>
      <c r="BML15">
        <v>97.43</v>
      </c>
      <c r="BMM15">
        <v>97.4</v>
      </c>
      <c r="BMN15">
        <v>97.405000000000001</v>
      </c>
      <c r="BMO15">
        <v>97.44</v>
      </c>
      <c r="BMP15">
        <v>97.48</v>
      </c>
      <c r="BMQ15">
        <v>97.444999999999993</v>
      </c>
      <c r="BMR15">
        <v>97.405000000000001</v>
      </c>
      <c r="BMS15">
        <v>97.3</v>
      </c>
      <c r="BMT15">
        <v>97.3</v>
      </c>
      <c r="BMU15">
        <v>97.27</v>
      </c>
      <c r="BMV15">
        <v>97.29</v>
      </c>
      <c r="BMW15">
        <v>97.284999999999997</v>
      </c>
      <c r="BMX15">
        <v>97.28</v>
      </c>
      <c r="BMY15">
        <v>97.245000000000005</v>
      </c>
      <c r="BMZ15">
        <v>97.23</v>
      </c>
      <c r="BNA15">
        <v>97.24</v>
      </c>
      <c r="BNB15">
        <v>97.24</v>
      </c>
      <c r="BNC15">
        <v>97.24</v>
      </c>
      <c r="BND15">
        <v>97.25</v>
      </c>
      <c r="BNE15">
        <v>97.254999999999995</v>
      </c>
      <c r="BNF15">
        <v>97.22</v>
      </c>
      <c r="BNG15">
        <v>97.17</v>
      </c>
      <c r="BNH15">
        <v>97.16</v>
      </c>
      <c r="BNI15">
        <v>97.105000000000004</v>
      </c>
      <c r="BNJ15">
        <v>97.084999999999994</v>
      </c>
      <c r="BNK15">
        <v>97.064999999999998</v>
      </c>
      <c r="BNL15">
        <v>97.05</v>
      </c>
      <c r="BNM15">
        <v>97.084999999999994</v>
      </c>
      <c r="BNN15">
        <v>97.094999999999999</v>
      </c>
      <c r="BNO15">
        <v>97.105000000000004</v>
      </c>
      <c r="BNP15">
        <v>97.11</v>
      </c>
      <c r="BNQ15">
        <v>97.15</v>
      </c>
      <c r="BNR15">
        <v>97.14</v>
      </c>
      <c r="BNS15">
        <v>97.17</v>
      </c>
      <c r="BNT15">
        <v>97.17</v>
      </c>
      <c r="BNU15">
        <v>97.174999999999997</v>
      </c>
      <c r="BNV15">
        <v>97.105000000000004</v>
      </c>
      <c r="BNW15">
        <v>97.105000000000004</v>
      </c>
      <c r="BNX15">
        <v>97.075000000000003</v>
      </c>
      <c r="BNY15">
        <v>97.04</v>
      </c>
      <c r="BNZ15">
        <v>97.034999999999997</v>
      </c>
      <c r="BOA15">
        <v>97.055000000000007</v>
      </c>
      <c r="BOB15">
        <v>97.045000000000002</v>
      </c>
      <c r="BOC15">
        <v>97.045000000000002</v>
      </c>
      <c r="BOD15">
        <v>97.05</v>
      </c>
      <c r="BOE15">
        <v>97.06</v>
      </c>
      <c r="BOF15">
        <v>97.04</v>
      </c>
      <c r="BOG15">
        <v>96.99</v>
      </c>
      <c r="BOH15">
        <v>96.98</v>
      </c>
      <c r="BOI15">
        <v>96.984999999999999</v>
      </c>
      <c r="BOJ15">
        <v>96.99</v>
      </c>
      <c r="BOK15">
        <v>97.015000000000001</v>
      </c>
      <c r="BOL15">
        <v>97.05</v>
      </c>
      <c r="BOM15">
        <v>97.1</v>
      </c>
      <c r="BON15">
        <v>97.09</v>
      </c>
      <c r="BOO15">
        <v>97.09</v>
      </c>
      <c r="BOP15">
        <v>97.07</v>
      </c>
      <c r="BOQ15">
        <v>97.07</v>
      </c>
      <c r="BOR15">
        <v>97.06</v>
      </c>
      <c r="BOS15">
        <v>97.075000000000003</v>
      </c>
      <c r="BOT15">
        <v>97.08</v>
      </c>
      <c r="BOU15">
        <v>97.07</v>
      </c>
      <c r="BOV15">
        <v>97.09</v>
      </c>
      <c r="BOW15">
        <v>97.12</v>
      </c>
      <c r="BOX15">
        <v>97.15</v>
      </c>
      <c r="BOY15">
        <v>97.15</v>
      </c>
      <c r="BOZ15">
        <v>97.185000000000002</v>
      </c>
      <c r="BPA15">
        <v>97.21</v>
      </c>
      <c r="BPB15">
        <v>97.21</v>
      </c>
      <c r="BPC15">
        <v>97.26</v>
      </c>
      <c r="BPD15">
        <v>97.26</v>
      </c>
      <c r="BPE15">
        <v>97.32</v>
      </c>
      <c r="BPF15">
        <v>97.305000000000007</v>
      </c>
      <c r="BPG15">
        <v>97.31</v>
      </c>
      <c r="BPH15">
        <v>97.33</v>
      </c>
      <c r="BPI15">
        <v>97.33</v>
      </c>
      <c r="BPJ15">
        <v>97.295000000000002</v>
      </c>
      <c r="BPK15">
        <v>97.284999999999997</v>
      </c>
      <c r="BPL15">
        <v>97.3</v>
      </c>
      <c r="BPM15">
        <v>97.314999999999998</v>
      </c>
      <c r="BPN15">
        <v>97.334999999999994</v>
      </c>
      <c r="BPO15">
        <v>97.334999999999994</v>
      </c>
      <c r="BPP15">
        <v>97.355000000000004</v>
      </c>
      <c r="BPQ15">
        <v>97.344999999999999</v>
      </c>
      <c r="BPR15">
        <v>97.355000000000004</v>
      </c>
      <c r="BPS15">
        <v>97.33</v>
      </c>
      <c r="BPT15">
        <v>97.325000000000003</v>
      </c>
      <c r="BPU15">
        <v>97.344999999999999</v>
      </c>
      <c r="BPV15">
        <v>97.31</v>
      </c>
      <c r="BPW15">
        <v>97.334999999999994</v>
      </c>
      <c r="BPX15">
        <v>97.34</v>
      </c>
      <c r="BPY15">
        <v>97.275000000000006</v>
      </c>
      <c r="BPZ15">
        <v>97.26</v>
      </c>
      <c r="BQA15">
        <v>97.254999999999995</v>
      </c>
      <c r="BQB15">
        <v>97.26</v>
      </c>
      <c r="BQC15">
        <v>97.25</v>
      </c>
      <c r="BQD15">
        <v>97.24</v>
      </c>
      <c r="BQE15">
        <v>97.25</v>
      </c>
      <c r="BQF15">
        <v>97.254999999999995</v>
      </c>
      <c r="BQG15">
        <v>97.254999999999995</v>
      </c>
      <c r="BQH15">
        <v>97.245000000000005</v>
      </c>
      <c r="BQI15">
        <v>97.24</v>
      </c>
      <c r="BQJ15">
        <v>97.284999999999997</v>
      </c>
      <c r="BQK15">
        <v>97.284999999999997</v>
      </c>
      <c r="BQL15">
        <v>97.295000000000002</v>
      </c>
      <c r="BQM15">
        <v>97.33</v>
      </c>
      <c r="BQN15">
        <v>97.334999999999994</v>
      </c>
      <c r="BQO15">
        <v>97.32</v>
      </c>
      <c r="BQP15">
        <v>97.325000000000003</v>
      </c>
      <c r="BQQ15">
        <v>97.35</v>
      </c>
      <c r="BQR15">
        <v>97.36</v>
      </c>
      <c r="BQS15">
        <v>97.344999999999999</v>
      </c>
      <c r="BQT15">
        <v>97.35</v>
      </c>
      <c r="BQU15">
        <v>97.344999999999999</v>
      </c>
      <c r="BQV15">
        <v>97.355000000000004</v>
      </c>
      <c r="BQW15">
        <v>97.364999999999995</v>
      </c>
      <c r="BQX15">
        <v>97.344999999999999</v>
      </c>
      <c r="BQY15">
        <v>97.36</v>
      </c>
      <c r="BQZ15">
        <v>97.36</v>
      </c>
      <c r="BRA15">
        <v>97.355000000000004</v>
      </c>
      <c r="BRB15">
        <v>97.355000000000004</v>
      </c>
      <c r="BRC15">
        <v>97.36</v>
      </c>
      <c r="BRD15">
        <v>97.355000000000004</v>
      </c>
      <c r="BRE15">
        <v>97.31</v>
      </c>
      <c r="BRF15">
        <v>97.295000000000002</v>
      </c>
      <c r="BRG15">
        <v>97.265000000000001</v>
      </c>
      <c r="BRH15">
        <v>97.265000000000001</v>
      </c>
      <c r="BRI15">
        <v>97.254999999999995</v>
      </c>
      <c r="BRJ15">
        <v>97.26</v>
      </c>
      <c r="BRK15">
        <v>97.23</v>
      </c>
      <c r="BRL15">
        <v>97.24</v>
      </c>
      <c r="BRM15">
        <v>97.224999999999994</v>
      </c>
      <c r="BRN15">
        <v>97.224999999999994</v>
      </c>
      <c r="BRO15">
        <v>97.26</v>
      </c>
      <c r="BRP15">
        <v>97.275000000000006</v>
      </c>
      <c r="BRQ15">
        <v>97.284999999999997</v>
      </c>
      <c r="BRR15">
        <v>97.25</v>
      </c>
      <c r="BRS15">
        <v>97.24</v>
      </c>
      <c r="BRT15">
        <v>97.28</v>
      </c>
      <c r="BRU15">
        <v>97.26</v>
      </c>
      <c r="BRV15">
        <v>97.3</v>
      </c>
      <c r="BRW15">
        <v>97.37</v>
      </c>
      <c r="BRX15">
        <v>97.364999999999995</v>
      </c>
      <c r="BRY15">
        <v>97.46</v>
      </c>
      <c r="BRZ15">
        <v>97.245000000000005</v>
      </c>
      <c r="BSA15">
        <v>97.245000000000005</v>
      </c>
      <c r="BSB15">
        <v>97.215000000000003</v>
      </c>
      <c r="BSC15">
        <v>97.185000000000002</v>
      </c>
      <c r="BSD15">
        <v>97.135000000000005</v>
      </c>
      <c r="BSE15">
        <v>97.125</v>
      </c>
      <c r="BSF15">
        <v>97.14</v>
      </c>
      <c r="BSG15">
        <v>97.114999999999995</v>
      </c>
      <c r="BSH15">
        <v>97.13</v>
      </c>
      <c r="BSI15">
        <v>97.14</v>
      </c>
      <c r="BSJ15">
        <v>97.17</v>
      </c>
      <c r="BSK15">
        <v>97.174999999999997</v>
      </c>
      <c r="BSL15">
        <v>97.19</v>
      </c>
      <c r="BSM15">
        <v>97.21</v>
      </c>
      <c r="BSN15">
        <v>97.234999999999999</v>
      </c>
      <c r="BSO15">
        <v>97.245000000000005</v>
      </c>
      <c r="BSP15">
        <v>97.27</v>
      </c>
      <c r="BSQ15" t="s">
        <v>6984</v>
      </c>
      <c r="BSR15" t="s">
        <v>6984</v>
      </c>
      <c r="BSS15" t="s">
        <v>6984</v>
      </c>
      <c r="BST15" t="s">
        <v>6984</v>
      </c>
      <c r="BSU15" t="s">
        <v>6984</v>
      </c>
      <c r="BSV15" t="s">
        <v>6984</v>
      </c>
      <c r="BSW15" t="s">
        <v>6984</v>
      </c>
      <c r="BSX15" t="s">
        <v>6984</v>
      </c>
      <c r="BSY15" t="s">
        <v>6984</v>
      </c>
      <c r="BSZ15" t="s">
        <v>6984</v>
      </c>
      <c r="BTA15" t="s">
        <v>6984</v>
      </c>
      <c r="BTB15" t="s">
        <v>6984</v>
      </c>
      <c r="BTC15" t="s">
        <v>6984</v>
      </c>
      <c r="BTD15" t="s">
        <v>6984</v>
      </c>
      <c r="BTE15" t="s">
        <v>6984</v>
      </c>
      <c r="BTF15" t="s">
        <v>6984</v>
      </c>
      <c r="BTG15" t="s">
        <v>6984</v>
      </c>
      <c r="BTH15" t="s">
        <v>6984</v>
      </c>
      <c r="BTI15" t="s">
        <v>6984</v>
      </c>
      <c r="BTJ15" t="s">
        <v>6984</v>
      </c>
      <c r="BTK15" t="s">
        <v>6984</v>
      </c>
      <c r="BTL15" t="s">
        <v>6984</v>
      </c>
      <c r="BTM15" t="s">
        <v>6984</v>
      </c>
      <c r="BTN15" t="s">
        <v>6984</v>
      </c>
      <c r="BTO15" t="s">
        <v>6984</v>
      </c>
      <c r="BTP15" t="s">
        <v>6984</v>
      </c>
      <c r="BTQ15" t="s">
        <v>6984</v>
      </c>
      <c r="BTR15" t="s">
        <v>6984</v>
      </c>
      <c r="BTS15" t="s">
        <v>6984</v>
      </c>
      <c r="BTT15" t="s">
        <v>6984</v>
      </c>
      <c r="BTU15" t="s">
        <v>6984</v>
      </c>
      <c r="BTV15" t="s">
        <v>6984</v>
      </c>
      <c r="BTW15" t="s">
        <v>6984</v>
      </c>
      <c r="BTX15" t="s">
        <v>6984</v>
      </c>
      <c r="BTY15" t="s">
        <v>6984</v>
      </c>
      <c r="BTZ15" t="s">
        <v>6984</v>
      </c>
      <c r="BUA15" t="s">
        <v>6984</v>
      </c>
      <c r="BUB15" t="s">
        <v>6984</v>
      </c>
      <c r="BUC15" t="s">
        <v>6984</v>
      </c>
      <c r="BUD15" t="s">
        <v>6984</v>
      </c>
      <c r="BUE15" t="s">
        <v>6984</v>
      </c>
      <c r="BUF15" t="s">
        <v>6984</v>
      </c>
      <c r="BUG15" t="s">
        <v>6984</v>
      </c>
      <c r="BUH15" t="s">
        <v>6984</v>
      </c>
      <c r="BUI15" t="s">
        <v>6984</v>
      </c>
      <c r="BUJ15" t="s">
        <v>6984</v>
      </c>
      <c r="BUK15" t="s">
        <v>6984</v>
      </c>
      <c r="BUL15" t="s">
        <v>6984</v>
      </c>
      <c r="BUM15" t="s">
        <v>6984</v>
      </c>
      <c r="BUN15" t="s">
        <v>6984</v>
      </c>
      <c r="BUO15" t="s">
        <v>6984</v>
      </c>
      <c r="BUP15" t="s">
        <v>6984</v>
      </c>
      <c r="BUQ15" t="s">
        <v>6984</v>
      </c>
      <c r="BUR15" t="s">
        <v>6984</v>
      </c>
      <c r="BUS15" t="s">
        <v>6984</v>
      </c>
      <c r="BUT15" t="s">
        <v>6984</v>
      </c>
      <c r="BUU15" t="s">
        <v>6984</v>
      </c>
      <c r="BUV15" t="s">
        <v>6984</v>
      </c>
      <c r="BUW15" t="s">
        <v>6984</v>
      </c>
      <c r="BUX15" t="s">
        <v>6984</v>
      </c>
      <c r="BUY15" t="s">
        <v>6984</v>
      </c>
      <c r="BUZ15" t="s">
        <v>6984</v>
      </c>
      <c r="BVA15" t="s">
        <v>6984</v>
      </c>
      <c r="BVB15" t="s">
        <v>6984</v>
      </c>
      <c r="BVC15" t="s">
        <v>6984</v>
      </c>
      <c r="BVD15" t="s">
        <v>6984</v>
      </c>
      <c r="BVE15" t="s">
        <v>6984</v>
      </c>
      <c r="BVF15" t="s">
        <v>6984</v>
      </c>
      <c r="BVG15" t="s">
        <v>6984</v>
      </c>
      <c r="BVH15" t="s">
        <v>6984</v>
      </c>
      <c r="BVI15" t="s">
        <v>6984</v>
      </c>
      <c r="BVJ15" t="s">
        <v>6984</v>
      </c>
      <c r="BVK15" t="s">
        <v>6984</v>
      </c>
      <c r="BVL15" t="s">
        <v>6984</v>
      </c>
      <c r="BVM15" t="s">
        <v>6984</v>
      </c>
      <c r="BVN15" t="s">
        <v>6984</v>
      </c>
      <c r="BVO15" t="s">
        <v>6984</v>
      </c>
      <c r="BVP15" t="s">
        <v>6984</v>
      </c>
      <c r="BVQ15" t="s">
        <v>6984</v>
      </c>
      <c r="BVR15" t="s">
        <v>6984</v>
      </c>
      <c r="BVS15" t="s">
        <v>6984</v>
      </c>
      <c r="BVT15" t="s">
        <v>6984</v>
      </c>
      <c r="BVU15" t="s">
        <v>6984</v>
      </c>
      <c r="BVV15" t="s">
        <v>6984</v>
      </c>
      <c r="BVW15" t="s">
        <v>6984</v>
      </c>
      <c r="BVX15" t="s">
        <v>6984</v>
      </c>
      <c r="BVY15" t="s">
        <v>6984</v>
      </c>
      <c r="BVZ15" t="s">
        <v>6984</v>
      </c>
      <c r="BWA15" t="s">
        <v>6984</v>
      </c>
      <c r="BWB15" t="s">
        <v>6984</v>
      </c>
      <c r="BWC15" t="s">
        <v>6984</v>
      </c>
      <c r="BWD15" t="s">
        <v>6984</v>
      </c>
      <c r="BWE15" t="s">
        <v>6984</v>
      </c>
      <c r="BWF15" t="s">
        <v>6984</v>
      </c>
      <c r="BWG15" t="s">
        <v>6984</v>
      </c>
      <c r="BWH15" t="s">
        <v>6984</v>
      </c>
      <c r="BWI15" t="s">
        <v>6984</v>
      </c>
      <c r="BWJ15" t="s">
        <v>6984</v>
      </c>
      <c r="BWK15" t="s">
        <v>6984</v>
      </c>
      <c r="BWL15" t="s">
        <v>6984</v>
      </c>
      <c r="BWM15" t="s">
        <v>6984</v>
      </c>
      <c r="BWN15" t="s">
        <v>6984</v>
      </c>
      <c r="BWO15" t="s">
        <v>6984</v>
      </c>
      <c r="BWP15" t="s">
        <v>6984</v>
      </c>
      <c r="BWQ15" t="s">
        <v>6984</v>
      </c>
      <c r="BWR15" t="s">
        <v>6984</v>
      </c>
      <c r="BWS15" t="s">
        <v>6984</v>
      </c>
      <c r="BWT15" t="s">
        <v>6984</v>
      </c>
      <c r="BWU15" t="s">
        <v>6984</v>
      </c>
      <c r="BWV15" t="s">
        <v>6984</v>
      </c>
      <c r="BWW15" t="s">
        <v>6984</v>
      </c>
      <c r="BWX15" t="s">
        <v>6984</v>
      </c>
      <c r="BWY15" t="s">
        <v>6984</v>
      </c>
      <c r="BWZ15" t="s">
        <v>6984</v>
      </c>
      <c r="BXA15" t="s">
        <v>6984</v>
      </c>
      <c r="BXB15" t="s">
        <v>6984</v>
      </c>
      <c r="BXC15" t="s">
        <v>6984</v>
      </c>
      <c r="BXD15" t="s">
        <v>6984</v>
      </c>
      <c r="BXE15" t="s">
        <v>6984</v>
      </c>
      <c r="BXF15" t="s">
        <v>6984</v>
      </c>
      <c r="BXG15" t="s">
        <v>6984</v>
      </c>
      <c r="BXH15" t="s">
        <v>6984</v>
      </c>
      <c r="BXI15" t="s">
        <v>6984</v>
      </c>
      <c r="BXJ15" t="s">
        <v>6984</v>
      </c>
      <c r="BXK15" t="s">
        <v>6984</v>
      </c>
      <c r="BXL15" t="s">
        <v>6984</v>
      </c>
      <c r="BXM15" t="s">
        <v>6984</v>
      </c>
      <c r="BXN15" t="s">
        <v>6984</v>
      </c>
      <c r="BXO15" t="s">
        <v>6984</v>
      </c>
      <c r="BXP15" t="s">
        <v>6984</v>
      </c>
      <c r="BXQ15" t="s">
        <v>6984</v>
      </c>
      <c r="BXR15" t="s">
        <v>6984</v>
      </c>
      <c r="BXS15" t="s">
        <v>6984</v>
      </c>
      <c r="BXT15" t="s">
        <v>6984</v>
      </c>
      <c r="BXU15" t="s">
        <v>6984</v>
      </c>
      <c r="BXV15" t="s">
        <v>6984</v>
      </c>
      <c r="BXW15" t="s">
        <v>6984</v>
      </c>
      <c r="BXX15" t="s">
        <v>6984</v>
      </c>
      <c r="BXY15" t="s">
        <v>6984</v>
      </c>
      <c r="BXZ15" t="s">
        <v>6984</v>
      </c>
      <c r="BYA15" t="s">
        <v>6984</v>
      </c>
      <c r="BYB15" t="s">
        <v>6984</v>
      </c>
      <c r="BYC15" t="s">
        <v>6984</v>
      </c>
      <c r="BYD15" t="s">
        <v>6984</v>
      </c>
      <c r="BYE15" t="s">
        <v>6984</v>
      </c>
      <c r="BYF15" t="s">
        <v>6984</v>
      </c>
      <c r="BYG15" t="s">
        <v>6984</v>
      </c>
      <c r="BYH15" t="s">
        <v>6984</v>
      </c>
      <c r="BYI15" t="s">
        <v>6984</v>
      </c>
      <c r="BYJ15" t="s">
        <v>6984</v>
      </c>
      <c r="BYK15" t="s">
        <v>6984</v>
      </c>
      <c r="BYL15" t="s">
        <v>6984</v>
      </c>
      <c r="BYM15" t="s">
        <v>6984</v>
      </c>
      <c r="BYN15" t="s">
        <v>6984</v>
      </c>
      <c r="BYO15" t="s">
        <v>6984</v>
      </c>
      <c r="BYP15" t="s">
        <v>6984</v>
      </c>
      <c r="BYQ15" t="s">
        <v>6984</v>
      </c>
      <c r="BYR15" t="s">
        <v>6984</v>
      </c>
      <c r="BYS15" t="s">
        <v>6984</v>
      </c>
      <c r="BYT15" t="s">
        <v>6984</v>
      </c>
      <c r="BYU15" t="s">
        <v>6984</v>
      </c>
      <c r="BYV15" t="s">
        <v>6984</v>
      </c>
      <c r="BYW15" t="s">
        <v>6984</v>
      </c>
      <c r="BYX15" t="s">
        <v>6984</v>
      </c>
      <c r="BYY15" t="s">
        <v>6984</v>
      </c>
      <c r="BYZ15" t="s">
        <v>6984</v>
      </c>
      <c r="BZA15" t="s">
        <v>6984</v>
      </c>
      <c r="BZB15" t="s">
        <v>6984</v>
      </c>
      <c r="BZC15" t="s">
        <v>6984</v>
      </c>
      <c r="BZD15" t="s">
        <v>6984</v>
      </c>
      <c r="BZE15" t="s">
        <v>6984</v>
      </c>
      <c r="BZF15" t="s">
        <v>6984</v>
      </c>
      <c r="BZG15" t="s">
        <v>6984</v>
      </c>
      <c r="BZH15" t="s">
        <v>6984</v>
      </c>
      <c r="BZI15" t="s">
        <v>6984</v>
      </c>
      <c r="BZJ15" t="s">
        <v>6984</v>
      </c>
      <c r="BZK15" t="s">
        <v>6984</v>
      </c>
      <c r="BZL15" t="s">
        <v>6984</v>
      </c>
      <c r="BZM15" t="s">
        <v>6984</v>
      </c>
      <c r="BZN15" t="s">
        <v>6984</v>
      </c>
      <c r="BZO15" t="s">
        <v>6984</v>
      </c>
      <c r="BZP15" t="s">
        <v>6984</v>
      </c>
      <c r="BZQ15" t="s">
        <v>6984</v>
      </c>
      <c r="BZR15" t="s">
        <v>6984</v>
      </c>
      <c r="BZS15" t="s">
        <v>6984</v>
      </c>
      <c r="BZT15" t="s">
        <v>6984</v>
      </c>
      <c r="BZU15" t="s">
        <v>6984</v>
      </c>
      <c r="BZV15" t="s">
        <v>6984</v>
      </c>
      <c r="BZW15" t="s">
        <v>6984</v>
      </c>
      <c r="BZX15" t="s">
        <v>6984</v>
      </c>
      <c r="BZY15" t="s">
        <v>6984</v>
      </c>
      <c r="BZZ15" t="s">
        <v>6984</v>
      </c>
      <c r="CAA15" t="s">
        <v>6984</v>
      </c>
      <c r="CAB15" t="s">
        <v>6984</v>
      </c>
      <c r="CAC15" t="s">
        <v>6984</v>
      </c>
      <c r="CAD15" t="s">
        <v>6984</v>
      </c>
      <c r="CAE15" t="s">
        <v>6984</v>
      </c>
      <c r="CAF15" t="s">
        <v>6984</v>
      </c>
      <c r="CAG15" t="s">
        <v>6984</v>
      </c>
      <c r="CAH15" t="s">
        <v>6984</v>
      </c>
      <c r="CAI15" t="s">
        <v>6984</v>
      </c>
      <c r="CAJ15" t="s">
        <v>6984</v>
      </c>
      <c r="CAK15" t="s">
        <v>6984</v>
      </c>
      <c r="CAL15" t="s">
        <v>6984</v>
      </c>
      <c r="CAM15" t="s">
        <v>6984</v>
      </c>
      <c r="CAN15" t="s">
        <v>6984</v>
      </c>
      <c r="CAO15" t="s">
        <v>6984</v>
      </c>
      <c r="CAP15" t="s">
        <v>6984</v>
      </c>
      <c r="CAQ15" t="s">
        <v>6984</v>
      </c>
      <c r="CAR15" t="s">
        <v>6984</v>
      </c>
      <c r="CAS15" t="s">
        <v>6984</v>
      </c>
      <c r="CAT15" t="s">
        <v>6984</v>
      </c>
      <c r="CAU15" t="s">
        <v>6984</v>
      </c>
      <c r="CAV15" t="s">
        <v>6984</v>
      </c>
      <c r="CAW15" t="s">
        <v>6984</v>
      </c>
      <c r="CAX15" t="s">
        <v>6984</v>
      </c>
      <c r="CAY15" t="s">
        <v>6984</v>
      </c>
      <c r="CAZ15" t="s">
        <v>6984</v>
      </c>
      <c r="CBA15" t="s">
        <v>6984</v>
      </c>
      <c r="CBB15" t="s">
        <v>6984</v>
      </c>
      <c r="CBC15" t="s">
        <v>6984</v>
      </c>
      <c r="CBD15" t="s">
        <v>6984</v>
      </c>
      <c r="CBE15" t="s">
        <v>6984</v>
      </c>
      <c r="CBF15" t="s">
        <v>6984</v>
      </c>
      <c r="CBG15" t="s">
        <v>6984</v>
      </c>
      <c r="CBH15" t="s">
        <v>6984</v>
      </c>
      <c r="CBI15" t="s">
        <v>6984</v>
      </c>
      <c r="CBJ15" t="s">
        <v>6984</v>
      </c>
      <c r="CBK15" t="s">
        <v>6984</v>
      </c>
      <c r="CBL15" t="s">
        <v>6984</v>
      </c>
      <c r="CBM15" t="s">
        <v>6984</v>
      </c>
      <c r="CBN15" t="s">
        <v>6984</v>
      </c>
      <c r="CBO15" t="s">
        <v>6984</v>
      </c>
      <c r="CBP15" t="s">
        <v>6984</v>
      </c>
      <c r="CBQ15" t="s">
        <v>6984</v>
      </c>
      <c r="CBR15" t="s">
        <v>6984</v>
      </c>
      <c r="CBS15" t="s">
        <v>6984</v>
      </c>
      <c r="CBT15" t="s">
        <v>6984</v>
      </c>
      <c r="CBU15" t="s">
        <v>6984</v>
      </c>
      <c r="CBV15" t="s">
        <v>6984</v>
      </c>
      <c r="CBW15" t="s">
        <v>6984</v>
      </c>
      <c r="CBX15" t="s">
        <v>6984</v>
      </c>
      <c r="CBY15" t="s">
        <v>6984</v>
      </c>
      <c r="CBZ15" t="s">
        <v>6984</v>
      </c>
      <c r="CCA15" t="s">
        <v>6984</v>
      </c>
      <c r="CCB15" t="s">
        <v>6984</v>
      </c>
      <c r="CCC15" t="s">
        <v>6984</v>
      </c>
      <c r="CCD15" t="s">
        <v>6984</v>
      </c>
      <c r="CCE15" t="s">
        <v>6984</v>
      </c>
      <c r="CCF15" t="s">
        <v>6984</v>
      </c>
      <c r="CCG15" t="s">
        <v>6984</v>
      </c>
      <c r="CCH15" t="s">
        <v>6984</v>
      </c>
      <c r="CCI15" t="s">
        <v>6984</v>
      </c>
      <c r="CCJ15" t="s">
        <v>6984</v>
      </c>
      <c r="CCK15" t="s">
        <v>6984</v>
      </c>
      <c r="CCL15" t="s">
        <v>6984</v>
      </c>
      <c r="CCM15" t="s">
        <v>6984</v>
      </c>
      <c r="CCN15" t="s">
        <v>6984</v>
      </c>
      <c r="CCO15" t="s">
        <v>6984</v>
      </c>
      <c r="CCP15" t="s">
        <v>6984</v>
      </c>
      <c r="CCQ15" t="s">
        <v>6984</v>
      </c>
      <c r="CCR15" t="s">
        <v>6984</v>
      </c>
      <c r="CCS15" t="s">
        <v>6984</v>
      </c>
      <c r="CCT15" t="s">
        <v>6984</v>
      </c>
      <c r="CCU15" t="s">
        <v>6984</v>
      </c>
      <c r="CCV15" t="s">
        <v>6984</v>
      </c>
      <c r="CCW15" t="s">
        <v>6984</v>
      </c>
      <c r="CCX15" t="s">
        <v>6984</v>
      </c>
      <c r="CCY15" t="s">
        <v>6984</v>
      </c>
      <c r="CCZ15" t="s">
        <v>6984</v>
      </c>
      <c r="CDA15" t="s">
        <v>6984</v>
      </c>
      <c r="CDB15" t="s">
        <v>6984</v>
      </c>
      <c r="CDC15" t="s">
        <v>6984</v>
      </c>
      <c r="CDD15" t="s">
        <v>6984</v>
      </c>
      <c r="CDE15" t="s">
        <v>6984</v>
      </c>
      <c r="CDF15" t="s">
        <v>6984</v>
      </c>
      <c r="CDG15" t="s">
        <v>6984</v>
      </c>
      <c r="CDH15" t="s">
        <v>6984</v>
      </c>
      <c r="CDI15" t="s">
        <v>6984</v>
      </c>
      <c r="CDJ15" t="s">
        <v>6984</v>
      </c>
      <c r="CDK15" t="s">
        <v>6984</v>
      </c>
      <c r="CDL15" t="s">
        <v>6984</v>
      </c>
      <c r="CDM15" t="s">
        <v>6984</v>
      </c>
      <c r="CDN15" t="s">
        <v>6984</v>
      </c>
      <c r="CDO15" t="s">
        <v>6984</v>
      </c>
      <c r="CDP15" t="s">
        <v>6984</v>
      </c>
      <c r="CDQ15" t="s">
        <v>6984</v>
      </c>
      <c r="CDR15" t="s">
        <v>6984</v>
      </c>
      <c r="CDS15" t="s">
        <v>6984</v>
      </c>
      <c r="CDT15" t="s">
        <v>6984</v>
      </c>
      <c r="CDU15" t="s">
        <v>6984</v>
      </c>
      <c r="CDV15" t="s">
        <v>6984</v>
      </c>
      <c r="CDW15" t="s">
        <v>6984</v>
      </c>
      <c r="CDX15" t="s">
        <v>6984</v>
      </c>
      <c r="CDY15" t="s">
        <v>6984</v>
      </c>
      <c r="CDZ15" t="s">
        <v>6984</v>
      </c>
      <c r="CEA15" t="s">
        <v>6984</v>
      </c>
      <c r="CEB15" t="s">
        <v>6984</v>
      </c>
      <c r="CEC15" t="s">
        <v>6984</v>
      </c>
      <c r="CED15" t="s">
        <v>6984</v>
      </c>
      <c r="CEE15" t="s">
        <v>6984</v>
      </c>
      <c r="CEF15" t="s">
        <v>6984</v>
      </c>
      <c r="CEG15" t="s">
        <v>6984</v>
      </c>
      <c r="CEH15" t="s">
        <v>6984</v>
      </c>
      <c r="CEI15" t="s">
        <v>6984</v>
      </c>
      <c r="CEJ15" t="s">
        <v>6984</v>
      </c>
      <c r="CEK15" t="s">
        <v>6984</v>
      </c>
      <c r="CEL15" t="s">
        <v>6984</v>
      </c>
      <c r="CEM15" t="s">
        <v>6984</v>
      </c>
      <c r="CEN15" t="s">
        <v>6984</v>
      </c>
      <c r="CEO15" t="s">
        <v>6984</v>
      </c>
      <c r="CEP15" t="s">
        <v>6984</v>
      </c>
      <c r="CEQ15" t="s">
        <v>6984</v>
      </c>
      <c r="CER15" t="s">
        <v>6984</v>
      </c>
      <c r="CES15" t="s">
        <v>6984</v>
      </c>
      <c r="CET15" t="s">
        <v>6984</v>
      </c>
      <c r="CEU15" t="s">
        <v>6984</v>
      </c>
      <c r="CEV15" t="s">
        <v>6984</v>
      </c>
      <c r="CEW15" t="s">
        <v>6984</v>
      </c>
      <c r="CEX15" t="s">
        <v>6984</v>
      </c>
      <c r="CEY15" t="s">
        <v>6984</v>
      </c>
      <c r="CEZ15" t="s">
        <v>6984</v>
      </c>
      <c r="CFA15" t="s">
        <v>6984</v>
      </c>
      <c r="CFB15" t="s">
        <v>6984</v>
      </c>
      <c r="CFC15" t="s">
        <v>6984</v>
      </c>
      <c r="CFD15" t="s">
        <v>6984</v>
      </c>
      <c r="CFE15" t="s">
        <v>6984</v>
      </c>
      <c r="CFF15" t="s">
        <v>6984</v>
      </c>
      <c r="CFG15" t="s">
        <v>6984</v>
      </c>
      <c r="CFH15" t="s">
        <v>6984</v>
      </c>
      <c r="CFI15" t="s">
        <v>6984</v>
      </c>
      <c r="CFJ15" t="s">
        <v>6984</v>
      </c>
      <c r="CFK15" t="s">
        <v>6984</v>
      </c>
      <c r="CFL15" t="s">
        <v>6984</v>
      </c>
      <c r="CFM15" t="s">
        <v>6984</v>
      </c>
      <c r="CFN15" t="s">
        <v>6984</v>
      </c>
      <c r="CFO15" t="s">
        <v>6984</v>
      </c>
      <c r="CFP15" t="s">
        <v>6984</v>
      </c>
      <c r="CFQ15" t="s">
        <v>6984</v>
      </c>
      <c r="CFR15" t="s">
        <v>6984</v>
      </c>
      <c r="CFS15" t="s">
        <v>6984</v>
      </c>
      <c r="CFT15" t="s">
        <v>6984</v>
      </c>
      <c r="CFU15" t="s">
        <v>6984</v>
      </c>
      <c r="CFV15" t="s">
        <v>6984</v>
      </c>
      <c r="CFW15" t="s">
        <v>6984</v>
      </c>
      <c r="CFX15" t="s">
        <v>6984</v>
      </c>
      <c r="CFY15" t="s">
        <v>6984</v>
      </c>
      <c r="CFZ15" t="s">
        <v>6984</v>
      </c>
      <c r="CGA15" t="s">
        <v>6984</v>
      </c>
      <c r="CGB15" t="s">
        <v>6984</v>
      </c>
      <c r="CGC15" t="s">
        <v>6984</v>
      </c>
      <c r="CGD15" t="s">
        <v>6984</v>
      </c>
      <c r="CGE15" t="s">
        <v>6984</v>
      </c>
      <c r="CGF15" t="s">
        <v>6984</v>
      </c>
      <c r="CGG15" t="s">
        <v>6984</v>
      </c>
      <c r="CGH15" t="s">
        <v>6984</v>
      </c>
      <c r="CGI15" t="s">
        <v>6984</v>
      </c>
      <c r="CGJ15" t="s">
        <v>6984</v>
      </c>
      <c r="CGK15" t="s">
        <v>6984</v>
      </c>
      <c r="CGL15" t="s">
        <v>6984</v>
      </c>
      <c r="CGM15" t="s">
        <v>6984</v>
      </c>
      <c r="CGN15" t="s">
        <v>6984</v>
      </c>
      <c r="CGO15" t="s">
        <v>6984</v>
      </c>
      <c r="CGP15" t="s">
        <v>6984</v>
      </c>
      <c r="CGQ15" t="s">
        <v>6984</v>
      </c>
      <c r="CGR15" t="s">
        <v>6984</v>
      </c>
      <c r="CGS15" t="s">
        <v>6984</v>
      </c>
      <c r="CGT15" t="s">
        <v>6984</v>
      </c>
      <c r="CGU15" t="s">
        <v>6984</v>
      </c>
      <c r="CGV15" t="s">
        <v>6984</v>
      </c>
      <c r="CGW15" t="s">
        <v>6984</v>
      </c>
      <c r="CGX15" t="s">
        <v>6984</v>
      </c>
      <c r="CGY15" t="s">
        <v>6984</v>
      </c>
      <c r="CGZ15" t="s">
        <v>6984</v>
      </c>
      <c r="CHA15" t="s">
        <v>6984</v>
      </c>
      <c r="CHB15" t="s">
        <v>6984</v>
      </c>
      <c r="CHC15" t="s">
        <v>6984</v>
      </c>
      <c r="CHD15" t="s">
        <v>6984</v>
      </c>
      <c r="CHE15" t="s">
        <v>6984</v>
      </c>
      <c r="CHF15" t="s">
        <v>6984</v>
      </c>
      <c r="CHG15" t="s">
        <v>6984</v>
      </c>
      <c r="CHH15" t="s">
        <v>6984</v>
      </c>
      <c r="CHI15" t="s">
        <v>6984</v>
      </c>
      <c r="CHJ15" t="s">
        <v>6984</v>
      </c>
      <c r="CHK15" t="s">
        <v>6984</v>
      </c>
      <c r="CHL15" t="s">
        <v>6984</v>
      </c>
      <c r="CHM15" t="s">
        <v>6984</v>
      </c>
      <c r="CHN15" t="s">
        <v>6984</v>
      </c>
      <c r="CHO15" t="s">
        <v>6984</v>
      </c>
      <c r="CHP15" t="s">
        <v>6984</v>
      </c>
      <c r="CHQ15" t="s">
        <v>6984</v>
      </c>
      <c r="CHR15" t="s">
        <v>6984</v>
      </c>
      <c r="CHS15" t="s">
        <v>6984</v>
      </c>
      <c r="CHT15" t="s">
        <v>6984</v>
      </c>
      <c r="CHU15" t="s">
        <v>6984</v>
      </c>
      <c r="CHV15" t="s">
        <v>6984</v>
      </c>
      <c r="CHW15" t="s">
        <v>6984</v>
      </c>
      <c r="CHX15" t="s">
        <v>6984</v>
      </c>
      <c r="CHY15" t="s">
        <v>6984</v>
      </c>
      <c r="CHZ15" t="s">
        <v>6984</v>
      </c>
      <c r="CIA15" t="s">
        <v>6984</v>
      </c>
      <c r="CIB15" t="s">
        <v>6984</v>
      </c>
      <c r="CIC15" t="s">
        <v>6984</v>
      </c>
      <c r="CID15" t="s">
        <v>6984</v>
      </c>
      <c r="CIE15" t="s">
        <v>6984</v>
      </c>
      <c r="CIF15" t="s">
        <v>6984</v>
      </c>
      <c r="CIG15" t="s">
        <v>6984</v>
      </c>
      <c r="CIH15" t="s">
        <v>6984</v>
      </c>
      <c r="CII15" t="s">
        <v>6984</v>
      </c>
      <c r="CIJ15" t="s">
        <v>6984</v>
      </c>
      <c r="CIK15" t="s">
        <v>6984</v>
      </c>
      <c r="CIL15" t="s">
        <v>6984</v>
      </c>
      <c r="CIM15" t="s">
        <v>6984</v>
      </c>
      <c r="CIN15" t="s">
        <v>6984</v>
      </c>
      <c r="CIO15" t="s">
        <v>6984</v>
      </c>
      <c r="CIP15" t="s">
        <v>6984</v>
      </c>
      <c r="CIQ15" t="s">
        <v>6984</v>
      </c>
      <c r="CIR15" t="s">
        <v>6984</v>
      </c>
      <c r="CIS15" t="s">
        <v>6984</v>
      </c>
      <c r="CIT15" t="s">
        <v>6984</v>
      </c>
      <c r="CIU15" t="s">
        <v>6984</v>
      </c>
      <c r="CIV15" t="s">
        <v>6984</v>
      </c>
      <c r="CIW15" t="s">
        <v>6984</v>
      </c>
      <c r="CIX15" t="s">
        <v>6984</v>
      </c>
      <c r="CIY15" t="s">
        <v>6984</v>
      </c>
      <c r="CIZ15" t="s">
        <v>6984</v>
      </c>
      <c r="CJA15" t="s">
        <v>6984</v>
      </c>
      <c r="CJB15" t="s">
        <v>6984</v>
      </c>
      <c r="CJC15" t="s">
        <v>6984</v>
      </c>
      <c r="CJD15" t="s">
        <v>6984</v>
      </c>
      <c r="CJE15" t="s">
        <v>6984</v>
      </c>
      <c r="CJF15" t="s">
        <v>6984</v>
      </c>
      <c r="CJG15" t="s">
        <v>6984</v>
      </c>
      <c r="CJH15" t="s">
        <v>6984</v>
      </c>
      <c r="CJI15" t="s">
        <v>6984</v>
      </c>
      <c r="CJJ15" t="s">
        <v>6984</v>
      </c>
      <c r="CJK15" t="s">
        <v>6984</v>
      </c>
      <c r="CJL15" t="s">
        <v>6984</v>
      </c>
      <c r="CJM15" t="s">
        <v>6984</v>
      </c>
      <c r="CJN15" t="s">
        <v>6984</v>
      </c>
      <c r="CJO15" t="s">
        <v>6984</v>
      </c>
      <c r="CJP15" t="s">
        <v>6984</v>
      </c>
      <c r="CJQ15" t="s">
        <v>6984</v>
      </c>
      <c r="CJR15" t="s">
        <v>6984</v>
      </c>
      <c r="CJS15" t="s">
        <v>6984</v>
      </c>
      <c r="CJT15" t="s">
        <v>6984</v>
      </c>
      <c r="CJU15" t="s">
        <v>6984</v>
      </c>
      <c r="CJV15" t="s">
        <v>6984</v>
      </c>
      <c r="CJW15" t="s">
        <v>6984</v>
      </c>
      <c r="CJX15" t="s">
        <v>6984</v>
      </c>
      <c r="CJY15" t="s">
        <v>6984</v>
      </c>
      <c r="CJZ15" t="s">
        <v>6984</v>
      </c>
      <c r="CKA15" t="s">
        <v>6984</v>
      </c>
      <c r="CKB15" t="s">
        <v>6984</v>
      </c>
      <c r="CKC15" t="s">
        <v>6984</v>
      </c>
      <c r="CKD15" t="s">
        <v>6984</v>
      </c>
      <c r="CKE15" t="s">
        <v>6984</v>
      </c>
      <c r="CKF15" t="s">
        <v>6984</v>
      </c>
      <c r="CKG15" t="s">
        <v>6984</v>
      </c>
      <c r="CKH15" t="s">
        <v>6984</v>
      </c>
      <c r="CKI15" t="s">
        <v>6984</v>
      </c>
      <c r="CKJ15" t="s">
        <v>6984</v>
      </c>
      <c r="CKK15" t="s">
        <v>6984</v>
      </c>
      <c r="CKL15" t="s">
        <v>6984</v>
      </c>
      <c r="CKM15" t="s">
        <v>6984</v>
      </c>
      <c r="CKN15" t="s">
        <v>6984</v>
      </c>
      <c r="CKO15" t="s">
        <v>6984</v>
      </c>
      <c r="CKP15" t="s">
        <v>6984</v>
      </c>
      <c r="CKQ15" t="s">
        <v>6984</v>
      </c>
      <c r="CKR15" t="s">
        <v>6984</v>
      </c>
      <c r="CKS15" t="s">
        <v>6984</v>
      </c>
      <c r="CKT15" t="s">
        <v>6984</v>
      </c>
      <c r="CKU15" t="s">
        <v>6984</v>
      </c>
      <c r="CKV15" t="s">
        <v>6984</v>
      </c>
      <c r="CKW15" t="s">
        <v>6984</v>
      </c>
      <c r="CKX15" t="s">
        <v>6984</v>
      </c>
      <c r="CKY15" t="s">
        <v>6984</v>
      </c>
      <c r="CKZ15" t="s">
        <v>6984</v>
      </c>
      <c r="CLA15" t="s">
        <v>6984</v>
      </c>
      <c r="CLB15" t="s">
        <v>6984</v>
      </c>
      <c r="CLC15" t="s">
        <v>6984</v>
      </c>
      <c r="CLD15" t="s">
        <v>6984</v>
      </c>
      <c r="CLE15" t="s">
        <v>6984</v>
      </c>
      <c r="CLF15" t="s">
        <v>6984</v>
      </c>
      <c r="CLG15" t="s">
        <v>6984</v>
      </c>
      <c r="CLH15" t="s">
        <v>6984</v>
      </c>
      <c r="CLI15" t="s">
        <v>6984</v>
      </c>
      <c r="CLJ15" t="s">
        <v>6984</v>
      </c>
      <c r="CLK15" t="s">
        <v>6984</v>
      </c>
      <c r="CLL15" t="s">
        <v>6984</v>
      </c>
      <c r="CLM15" t="s">
        <v>6984</v>
      </c>
      <c r="CLN15" t="s">
        <v>6984</v>
      </c>
      <c r="CLO15" t="s">
        <v>6984</v>
      </c>
      <c r="CLP15" t="s">
        <v>6984</v>
      </c>
      <c r="CLQ15" t="s">
        <v>6984</v>
      </c>
      <c r="CLR15" t="s">
        <v>6984</v>
      </c>
      <c r="CLS15" t="s">
        <v>6984</v>
      </c>
      <c r="CLT15" t="s">
        <v>6984</v>
      </c>
      <c r="CLU15" t="s">
        <v>6984</v>
      </c>
      <c r="CLV15" t="s">
        <v>6984</v>
      </c>
      <c r="CLW15" t="s">
        <v>6984</v>
      </c>
      <c r="CLX15" t="s">
        <v>6984</v>
      </c>
      <c r="CLY15" t="s">
        <v>6984</v>
      </c>
      <c r="CLZ15" t="s">
        <v>6984</v>
      </c>
      <c r="CMA15" t="s">
        <v>6984</v>
      </c>
      <c r="CMB15" t="s">
        <v>6984</v>
      </c>
      <c r="CMC15" t="s">
        <v>6984</v>
      </c>
      <c r="CMD15" t="s">
        <v>6984</v>
      </c>
      <c r="CME15" t="s">
        <v>6984</v>
      </c>
      <c r="CMF15" t="s">
        <v>6984</v>
      </c>
      <c r="CMG15" t="s">
        <v>6984</v>
      </c>
      <c r="CMH15" t="s">
        <v>6984</v>
      </c>
      <c r="CMI15" t="s">
        <v>6984</v>
      </c>
      <c r="CMJ15" t="s">
        <v>6984</v>
      </c>
      <c r="CMK15" t="s">
        <v>6984</v>
      </c>
      <c r="CML15" t="s">
        <v>6984</v>
      </c>
      <c r="CMM15" t="s">
        <v>6984</v>
      </c>
      <c r="CMN15" t="s">
        <v>6984</v>
      </c>
      <c r="CMO15" t="s">
        <v>6984</v>
      </c>
      <c r="CMP15" t="s">
        <v>6984</v>
      </c>
      <c r="CMQ15" t="s">
        <v>6984</v>
      </c>
      <c r="CMR15" t="s">
        <v>6984</v>
      </c>
      <c r="CMS15" t="s">
        <v>6984</v>
      </c>
      <c r="CMT15" t="s">
        <v>6984</v>
      </c>
      <c r="CMU15" t="s">
        <v>6984</v>
      </c>
      <c r="CMV15" t="s">
        <v>6984</v>
      </c>
      <c r="CMW15" t="s">
        <v>6984</v>
      </c>
      <c r="CMX15" t="s">
        <v>6984</v>
      </c>
      <c r="CMY15" t="s">
        <v>6984</v>
      </c>
      <c r="CMZ15" t="s">
        <v>6984</v>
      </c>
      <c r="CNA15" t="s">
        <v>6984</v>
      </c>
      <c r="CNB15" t="s">
        <v>6984</v>
      </c>
      <c r="CNC15" t="s">
        <v>6984</v>
      </c>
      <c r="CND15" t="s">
        <v>6984</v>
      </c>
      <c r="CNE15" t="s">
        <v>6984</v>
      </c>
      <c r="CNF15" t="s">
        <v>6984</v>
      </c>
      <c r="CNG15" t="s">
        <v>6984</v>
      </c>
      <c r="CNH15" t="s">
        <v>6984</v>
      </c>
      <c r="CNI15" t="s">
        <v>6984</v>
      </c>
      <c r="CNJ15" t="s">
        <v>6984</v>
      </c>
      <c r="CNK15" t="s">
        <v>6984</v>
      </c>
      <c r="CNL15" t="s">
        <v>6984</v>
      </c>
      <c r="CNM15" t="s">
        <v>6984</v>
      </c>
      <c r="CNN15" t="s">
        <v>6984</v>
      </c>
      <c r="CNO15" t="s">
        <v>6984</v>
      </c>
      <c r="CNP15" t="s">
        <v>6984</v>
      </c>
      <c r="CNQ15" t="s">
        <v>6984</v>
      </c>
      <c r="CNR15" t="s">
        <v>6984</v>
      </c>
      <c r="CNS15" t="s">
        <v>6984</v>
      </c>
      <c r="CNT15" t="s">
        <v>6984</v>
      </c>
      <c r="CNU15" t="s">
        <v>6984</v>
      </c>
      <c r="CNV15" t="s">
        <v>6984</v>
      </c>
      <c r="CNW15" t="s">
        <v>6984</v>
      </c>
      <c r="CNX15" t="s">
        <v>6984</v>
      </c>
      <c r="CNY15" t="s">
        <v>6984</v>
      </c>
      <c r="CNZ15" t="s">
        <v>6984</v>
      </c>
      <c r="COA15" t="s">
        <v>6984</v>
      </c>
      <c r="COB15" t="s">
        <v>6984</v>
      </c>
      <c r="COC15" t="s">
        <v>6984</v>
      </c>
      <c r="COD15" t="s">
        <v>6984</v>
      </c>
      <c r="COE15" t="s">
        <v>6984</v>
      </c>
      <c r="COF15" t="s">
        <v>6984</v>
      </c>
      <c r="COG15" t="s">
        <v>6984</v>
      </c>
      <c r="COH15" t="s">
        <v>6984</v>
      </c>
      <c r="COI15" t="s">
        <v>6984</v>
      </c>
      <c r="COJ15" t="s">
        <v>6984</v>
      </c>
      <c r="COK15" t="s">
        <v>6984</v>
      </c>
      <c r="COL15" t="s">
        <v>6984</v>
      </c>
      <c r="COM15" t="s">
        <v>6984</v>
      </c>
      <c r="CON15" t="s">
        <v>6984</v>
      </c>
      <c r="COO15" t="s">
        <v>6984</v>
      </c>
      <c r="COP15" t="s">
        <v>6984</v>
      </c>
      <c r="COQ15" t="s">
        <v>6984</v>
      </c>
      <c r="COR15" t="s">
        <v>6984</v>
      </c>
      <c r="COS15" t="s">
        <v>6984</v>
      </c>
      <c r="COT15" t="s">
        <v>6984</v>
      </c>
      <c r="COU15" t="s">
        <v>6984</v>
      </c>
      <c r="COV15" t="s">
        <v>6984</v>
      </c>
      <c r="COW15" t="s">
        <v>6984</v>
      </c>
      <c r="COX15" t="s">
        <v>6984</v>
      </c>
      <c r="COY15" t="s">
        <v>6984</v>
      </c>
      <c r="COZ15" t="s">
        <v>6984</v>
      </c>
      <c r="CPA15" t="s">
        <v>6984</v>
      </c>
      <c r="CPB15" t="s">
        <v>6984</v>
      </c>
      <c r="CPC15" t="s">
        <v>6984</v>
      </c>
      <c r="CPD15" t="s">
        <v>6984</v>
      </c>
      <c r="CPE15" t="s">
        <v>6984</v>
      </c>
      <c r="CPF15" t="s">
        <v>6984</v>
      </c>
      <c r="CPG15" t="s">
        <v>6984</v>
      </c>
      <c r="CPH15" t="s">
        <v>6984</v>
      </c>
      <c r="CPI15" t="s">
        <v>6984</v>
      </c>
      <c r="CPJ15" t="s">
        <v>6984</v>
      </c>
      <c r="CPK15" t="s">
        <v>6984</v>
      </c>
      <c r="CPL15" t="s">
        <v>6984</v>
      </c>
      <c r="CPM15" t="s">
        <v>6984</v>
      </c>
      <c r="CPN15" t="s">
        <v>6984</v>
      </c>
      <c r="CPO15" t="s">
        <v>6984</v>
      </c>
      <c r="CPP15" t="s">
        <v>6984</v>
      </c>
      <c r="CPQ15" t="s">
        <v>6984</v>
      </c>
      <c r="CPR15" t="s">
        <v>6984</v>
      </c>
      <c r="CPS15" t="s">
        <v>6984</v>
      </c>
      <c r="CPT15" t="s">
        <v>6984</v>
      </c>
      <c r="CPU15" t="s">
        <v>6984</v>
      </c>
      <c r="CPV15" t="s">
        <v>6984</v>
      </c>
      <c r="CPW15" t="s">
        <v>6984</v>
      </c>
      <c r="CPX15" t="s">
        <v>6984</v>
      </c>
      <c r="CPY15" t="s">
        <v>6984</v>
      </c>
      <c r="CPZ15" t="s">
        <v>6984</v>
      </c>
      <c r="CQA15" t="s">
        <v>6984</v>
      </c>
      <c r="CQB15" t="s">
        <v>6984</v>
      </c>
      <c r="CQC15" t="s">
        <v>6984</v>
      </c>
      <c r="CQD15" t="s">
        <v>6984</v>
      </c>
      <c r="CQE15" t="s">
        <v>6984</v>
      </c>
      <c r="CQF15" t="s">
        <v>6984</v>
      </c>
      <c r="CQG15" t="s">
        <v>6984</v>
      </c>
      <c r="CQH15" t="s">
        <v>6984</v>
      </c>
      <c r="CQI15" t="s">
        <v>6984</v>
      </c>
      <c r="CQJ15" t="s">
        <v>6984</v>
      </c>
      <c r="CQK15" t="s">
        <v>6984</v>
      </c>
      <c r="CQL15" t="s">
        <v>6984</v>
      </c>
      <c r="CQM15" t="s">
        <v>6984</v>
      </c>
      <c r="CQN15" t="s">
        <v>6984</v>
      </c>
      <c r="CQO15" t="s">
        <v>6984</v>
      </c>
      <c r="CQP15" t="s">
        <v>6984</v>
      </c>
      <c r="CQQ15" t="s">
        <v>6984</v>
      </c>
      <c r="CQR15" t="s">
        <v>6984</v>
      </c>
      <c r="CQS15" t="s">
        <v>6984</v>
      </c>
      <c r="CQT15" t="s">
        <v>6984</v>
      </c>
      <c r="CQU15" t="s">
        <v>6984</v>
      </c>
      <c r="CQV15" t="s">
        <v>6984</v>
      </c>
      <c r="CQW15" t="s">
        <v>6984</v>
      </c>
      <c r="CQX15" t="s">
        <v>6984</v>
      </c>
      <c r="CQY15" t="s">
        <v>6984</v>
      </c>
      <c r="CQZ15" t="s">
        <v>6984</v>
      </c>
      <c r="CRA15" t="s">
        <v>6984</v>
      </c>
      <c r="CRB15" t="s">
        <v>6984</v>
      </c>
      <c r="CRC15" t="s">
        <v>6984</v>
      </c>
      <c r="CRD15" t="s">
        <v>6984</v>
      </c>
      <c r="CRE15" t="s">
        <v>6984</v>
      </c>
      <c r="CRF15" t="s">
        <v>6984</v>
      </c>
      <c r="CRG15" t="s">
        <v>6984</v>
      </c>
      <c r="CRH15" t="s">
        <v>6984</v>
      </c>
      <c r="CRI15" t="s">
        <v>6984</v>
      </c>
      <c r="CRJ15" t="s">
        <v>6984</v>
      </c>
      <c r="CRK15" t="s">
        <v>6984</v>
      </c>
      <c r="CRL15" t="s">
        <v>6984</v>
      </c>
      <c r="CRM15" t="s">
        <v>6984</v>
      </c>
      <c r="CRN15" t="s">
        <v>6984</v>
      </c>
      <c r="CRO15" t="s">
        <v>6984</v>
      </c>
      <c r="CRP15" t="s">
        <v>6984</v>
      </c>
      <c r="CRQ15" t="s">
        <v>6984</v>
      </c>
      <c r="CRR15" t="s">
        <v>6984</v>
      </c>
      <c r="CRS15" t="s">
        <v>6984</v>
      </c>
      <c r="CRT15" t="s">
        <v>6984</v>
      </c>
      <c r="CRU15" t="s">
        <v>6984</v>
      </c>
      <c r="CRV15" t="s">
        <v>6984</v>
      </c>
      <c r="CRW15" t="s">
        <v>6984</v>
      </c>
      <c r="CRX15" t="s">
        <v>6984</v>
      </c>
      <c r="CRY15" t="s">
        <v>6984</v>
      </c>
      <c r="CRZ15" t="s">
        <v>6984</v>
      </c>
      <c r="CSA15" t="s">
        <v>6984</v>
      </c>
      <c r="CSB15" t="s">
        <v>6984</v>
      </c>
      <c r="CSC15" t="s">
        <v>6984</v>
      </c>
      <c r="CSD15" t="s">
        <v>6984</v>
      </c>
      <c r="CSE15" t="s">
        <v>6984</v>
      </c>
      <c r="CSF15" t="s">
        <v>6984</v>
      </c>
      <c r="CSG15" t="s">
        <v>6984</v>
      </c>
      <c r="CSH15" t="s">
        <v>6984</v>
      </c>
      <c r="CSI15" t="s">
        <v>6984</v>
      </c>
      <c r="CSJ15" t="s">
        <v>6984</v>
      </c>
      <c r="CSK15" t="s">
        <v>6984</v>
      </c>
      <c r="CSL15" t="s">
        <v>6984</v>
      </c>
      <c r="CSM15" t="s">
        <v>6984</v>
      </c>
      <c r="CSN15" t="s">
        <v>6984</v>
      </c>
      <c r="CSO15" t="s">
        <v>6984</v>
      </c>
      <c r="CSP15" t="s">
        <v>6984</v>
      </c>
      <c r="CSQ15" t="s">
        <v>6984</v>
      </c>
      <c r="CSR15" t="s">
        <v>6984</v>
      </c>
      <c r="CSS15" t="s">
        <v>6984</v>
      </c>
      <c r="CST15" t="s">
        <v>6984</v>
      </c>
      <c r="CSU15" t="s">
        <v>6984</v>
      </c>
      <c r="CSV15" t="s">
        <v>6984</v>
      </c>
      <c r="CSW15" t="s">
        <v>6984</v>
      </c>
      <c r="CSX15" t="s">
        <v>6984</v>
      </c>
      <c r="CSY15" t="s">
        <v>6984</v>
      </c>
      <c r="CSZ15" t="s">
        <v>6984</v>
      </c>
      <c r="CTA15" t="s">
        <v>6984</v>
      </c>
      <c r="CTB15" t="s">
        <v>6984</v>
      </c>
      <c r="CTC15" t="s">
        <v>6984</v>
      </c>
      <c r="CTD15" t="s">
        <v>6984</v>
      </c>
      <c r="CTE15" t="s">
        <v>6984</v>
      </c>
      <c r="CTF15" t="s">
        <v>6984</v>
      </c>
      <c r="CTG15" t="s">
        <v>6984</v>
      </c>
      <c r="CTH15" t="s">
        <v>6984</v>
      </c>
      <c r="CTI15" t="s">
        <v>6984</v>
      </c>
      <c r="CTJ15" t="s">
        <v>6984</v>
      </c>
      <c r="CTK15" t="s">
        <v>6984</v>
      </c>
      <c r="CTL15" t="s">
        <v>6984</v>
      </c>
      <c r="CTM15" t="s">
        <v>6984</v>
      </c>
      <c r="CTN15" t="s">
        <v>6984</v>
      </c>
      <c r="CTO15" t="s">
        <v>6984</v>
      </c>
      <c r="CTP15" t="s">
        <v>6984</v>
      </c>
      <c r="CTQ15" t="s">
        <v>6984</v>
      </c>
      <c r="CTR15" t="s">
        <v>6984</v>
      </c>
      <c r="CTS15" t="s">
        <v>6984</v>
      </c>
      <c r="CTT15" t="s">
        <v>6984</v>
      </c>
      <c r="CTU15" t="s">
        <v>6984</v>
      </c>
      <c r="CTV15" t="s">
        <v>6984</v>
      </c>
      <c r="CTW15" t="s">
        <v>6984</v>
      </c>
      <c r="CTX15" t="s">
        <v>6984</v>
      </c>
      <c r="CTY15" t="s">
        <v>6984</v>
      </c>
      <c r="CTZ15" t="s">
        <v>6984</v>
      </c>
      <c r="CUA15" t="s">
        <v>6984</v>
      </c>
      <c r="CUB15" t="s">
        <v>6984</v>
      </c>
      <c r="CUC15" t="s">
        <v>6984</v>
      </c>
      <c r="CUD15" t="s">
        <v>6984</v>
      </c>
      <c r="CUE15" t="s">
        <v>6984</v>
      </c>
      <c r="CUF15" t="s">
        <v>6984</v>
      </c>
      <c r="CUG15" t="s">
        <v>6984</v>
      </c>
      <c r="CUH15" t="s">
        <v>6984</v>
      </c>
      <c r="CUI15" t="s">
        <v>6984</v>
      </c>
      <c r="CUJ15" t="s">
        <v>6984</v>
      </c>
      <c r="CUK15" t="s">
        <v>6984</v>
      </c>
      <c r="CUL15" t="s">
        <v>6984</v>
      </c>
      <c r="CUM15" t="s">
        <v>6984</v>
      </c>
      <c r="CUN15" t="s">
        <v>6984</v>
      </c>
      <c r="CUO15" t="s">
        <v>6984</v>
      </c>
      <c r="CUP15" t="s">
        <v>6984</v>
      </c>
      <c r="CUQ15" t="s">
        <v>6984</v>
      </c>
      <c r="CUR15" t="s">
        <v>6984</v>
      </c>
      <c r="CUS15" t="s">
        <v>6984</v>
      </c>
      <c r="CUT15" t="s">
        <v>6984</v>
      </c>
      <c r="CUU15" t="s">
        <v>6984</v>
      </c>
      <c r="CUV15" t="s">
        <v>6984</v>
      </c>
      <c r="CUW15" t="s">
        <v>6984</v>
      </c>
      <c r="CUX15" t="s">
        <v>6984</v>
      </c>
      <c r="CUY15" t="s">
        <v>6984</v>
      </c>
      <c r="CUZ15" t="s">
        <v>6984</v>
      </c>
      <c r="CVA15" t="s">
        <v>6984</v>
      </c>
      <c r="CVB15" t="s">
        <v>6984</v>
      </c>
      <c r="CVC15" t="s">
        <v>6984</v>
      </c>
      <c r="CVD15" t="s">
        <v>6984</v>
      </c>
      <c r="CVE15" t="s">
        <v>6984</v>
      </c>
      <c r="CVF15" t="s">
        <v>6984</v>
      </c>
      <c r="CVG15" t="s">
        <v>6984</v>
      </c>
      <c r="CVH15" t="s">
        <v>6984</v>
      </c>
      <c r="CVI15" t="s">
        <v>6984</v>
      </c>
      <c r="CVJ15" t="s">
        <v>6984</v>
      </c>
      <c r="CVK15" t="s">
        <v>6984</v>
      </c>
      <c r="CVL15" t="s">
        <v>6984</v>
      </c>
      <c r="CVM15" t="s">
        <v>6984</v>
      </c>
      <c r="CVN15" t="s">
        <v>6984</v>
      </c>
      <c r="CVO15" t="s">
        <v>6984</v>
      </c>
      <c r="CVP15" t="s">
        <v>6984</v>
      </c>
      <c r="CVQ15" t="s">
        <v>6984</v>
      </c>
      <c r="CVR15" t="s">
        <v>6984</v>
      </c>
      <c r="CVS15" t="s">
        <v>6984</v>
      </c>
      <c r="CVT15" t="s">
        <v>6984</v>
      </c>
      <c r="CVU15" t="s">
        <v>6984</v>
      </c>
      <c r="CVV15" t="s">
        <v>6984</v>
      </c>
      <c r="CVW15" t="s">
        <v>6984</v>
      </c>
      <c r="CVX15" t="s">
        <v>6984</v>
      </c>
      <c r="CVY15" t="s">
        <v>6984</v>
      </c>
      <c r="CVZ15" t="s">
        <v>6984</v>
      </c>
      <c r="CWA15" t="s">
        <v>6984</v>
      </c>
      <c r="CWB15" t="s">
        <v>6984</v>
      </c>
      <c r="CWC15" t="s">
        <v>6984</v>
      </c>
      <c r="CWD15" t="s">
        <v>6984</v>
      </c>
      <c r="CWE15" t="s">
        <v>6984</v>
      </c>
      <c r="CWF15" t="s">
        <v>6984</v>
      </c>
      <c r="CWG15" t="s">
        <v>6984</v>
      </c>
      <c r="CWH15" t="s">
        <v>6984</v>
      </c>
      <c r="CWI15" t="s">
        <v>6984</v>
      </c>
      <c r="CWJ15" t="s">
        <v>6984</v>
      </c>
      <c r="CWK15" t="s">
        <v>6984</v>
      </c>
      <c r="CWL15" t="s">
        <v>6984</v>
      </c>
      <c r="CWM15" t="s">
        <v>6984</v>
      </c>
      <c r="CWN15" t="s">
        <v>6984</v>
      </c>
      <c r="CWO15" t="s">
        <v>6984</v>
      </c>
      <c r="CWP15" t="s">
        <v>6984</v>
      </c>
      <c r="CWQ15" t="s">
        <v>6984</v>
      </c>
      <c r="CWR15" t="s">
        <v>6984</v>
      </c>
      <c r="CWS15" t="s">
        <v>6984</v>
      </c>
      <c r="CWT15" t="s">
        <v>6984</v>
      </c>
      <c r="CWU15" t="s">
        <v>6984</v>
      </c>
      <c r="CWV15" t="s">
        <v>6984</v>
      </c>
      <c r="CWW15" t="s">
        <v>6984</v>
      </c>
      <c r="CWX15" t="s">
        <v>6984</v>
      </c>
      <c r="CWY15" t="s">
        <v>6984</v>
      </c>
      <c r="CWZ15" t="s">
        <v>6984</v>
      </c>
      <c r="CXA15" t="s">
        <v>6984</v>
      </c>
      <c r="CXB15" t="s">
        <v>6984</v>
      </c>
      <c r="CXC15" t="s">
        <v>6984</v>
      </c>
      <c r="CXD15" t="s">
        <v>6984</v>
      </c>
      <c r="CXE15" t="s">
        <v>6984</v>
      </c>
      <c r="CXF15" t="s">
        <v>6984</v>
      </c>
      <c r="CXG15" t="s">
        <v>6984</v>
      </c>
      <c r="CXH15" t="s">
        <v>6984</v>
      </c>
      <c r="CXI15" t="s">
        <v>6984</v>
      </c>
      <c r="CXJ15" t="s">
        <v>6984</v>
      </c>
      <c r="CXK15" t="s">
        <v>6984</v>
      </c>
      <c r="CXL15" t="s">
        <v>6984</v>
      </c>
      <c r="CXM15" t="s">
        <v>6984</v>
      </c>
      <c r="CXN15" t="s">
        <v>6984</v>
      </c>
      <c r="CXO15" t="s">
        <v>6984</v>
      </c>
      <c r="CXP15" t="s">
        <v>6984</v>
      </c>
      <c r="CXQ15" t="s">
        <v>6984</v>
      </c>
      <c r="CXR15" t="s">
        <v>6984</v>
      </c>
      <c r="CXS15" t="s">
        <v>6984</v>
      </c>
      <c r="CXT15" t="s">
        <v>6984</v>
      </c>
      <c r="CXU15" t="s">
        <v>6984</v>
      </c>
      <c r="CXV15" t="s">
        <v>6984</v>
      </c>
      <c r="CXW15" t="s">
        <v>6984</v>
      </c>
      <c r="CXX15" t="s">
        <v>6984</v>
      </c>
      <c r="CXY15" t="s">
        <v>6984</v>
      </c>
      <c r="CXZ15" t="s">
        <v>6984</v>
      </c>
      <c r="CYA15" t="s">
        <v>6984</v>
      </c>
      <c r="CYB15" t="s">
        <v>6984</v>
      </c>
      <c r="CYC15" t="s">
        <v>6984</v>
      </c>
      <c r="CYD15" t="s">
        <v>6984</v>
      </c>
      <c r="CYE15" t="s">
        <v>6984</v>
      </c>
      <c r="CYF15" t="s">
        <v>6984</v>
      </c>
      <c r="CYG15" t="s">
        <v>6984</v>
      </c>
      <c r="CYH15" t="s">
        <v>6984</v>
      </c>
      <c r="CYI15" t="s">
        <v>6984</v>
      </c>
      <c r="CYJ15" t="s">
        <v>6984</v>
      </c>
      <c r="CYK15" t="s">
        <v>6984</v>
      </c>
      <c r="CYL15" t="s">
        <v>6984</v>
      </c>
      <c r="CYM15" t="s">
        <v>6984</v>
      </c>
      <c r="CYN15" t="s">
        <v>6984</v>
      </c>
      <c r="CYO15" t="s">
        <v>6984</v>
      </c>
      <c r="CYP15" t="s">
        <v>6984</v>
      </c>
      <c r="CYQ15" t="s">
        <v>6984</v>
      </c>
      <c r="CYR15" t="s">
        <v>6984</v>
      </c>
      <c r="CYS15" t="s">
        <v>6984</v>
      </c>
      <c r="CYT15" t="s">
        <v>6984</v>
      </c>
      <c r="CYU15" t="s">
        <v>6984</v>
      </c>
      <c r="CYV15" t="s">
        <v>6984</v>
      </c>
      <c r="CYW15" t="s">
        <v>6984</v>
      </c>
      <c r="CYX15" t="s">
        <v>6984</v>
      </c>
      <c r="CYY15" t="s">
        <v>6984</v>
      </c>
      <c r="CYZ15" t="s">
        <v>6984</v>
      </c>
      <c r="CZA15" t="s">
        <v>6984</v>
      </c>
      <c r="CZB15" t="s">
        <v>6984</v>
      </c>
      <c r="CZC15" t="s">
        <v>6984</v>
      </c>
      <c r="CZD15" t="s">
        <v>6984</v>
      </c>
      <c r="CZE15" t="s">
        <v>6984</v>
      </c>
      <c r="CZF15" t="s">
        <v>6984</v>
      </c>
      <c r="CZG15" t="s">
        <v>6984</v>
      </c>
      <c r="CZH15" t="s">
        <v>6984</v>
      </c>
      <c r="CZI15" t="s">
        <v>6984</v>
      </c>
      <c r="CZJ15" t="s">
        <v>6984</v>
      </c>
      <c r="CZK15" t="s">
        <v>6984</v>
      </c>
      <c r="CZL15" t="s">
        <v>6984</v>
      </c>
      <c r="CZM15" t="s">
        <v>6984</v>
      </c>
      <c r="CZN15" t="s">
        <v>6984</v>
      </c>
      <c r="CZO15" t="s">
        <v>6984</v>
      </c>
      <c r="CZP15" t="s">
        <v>6984</v>
      </c>
      <c r="CZQ15" t="s">
        <v>6984</v>
      </c>
      <c r="CZR15" t="s">
        <v>6984</v>
      </c>
      <c r="CZS15" t="s">
        <v>6984</v>
      </c>
      <c r="CZT15" t="s">
        <v>6984</v>
      </c>
      <c r="CZU15" t="s">
        <v>6984</v>
      </c>
      <c r="CZV15" t="s">
        <v>6984</v>
      </c>
      <c r="CZW15" t="s">
        <v>6984</v>
      </c>
      <c r="CZX15" t="s">
        <v>6984</v>
      </c>
      <c r="CZY15" t="s">
        <v>6984</v>
      </c>
      <c r="CZZ15" t="s">
        <v>6984</v>
      </c>
      <c r="DAA15" t="s">
        <v>6984</v>
      </c>
      <c r="DAB15" t="s">
        <v>6984</v>
      </c>
      <c r="DAC15" t="s">
        <v>6984</v>
      </c>
      <c r="DAD15" t="s">
        <v>6984</v>
      </c>
      <c r="DAE15" t="s">
        <v>6984</v>
      </c>
      <c r="DAF15" t="s">
        <v>6984</v>
      </c>
      <c r="DAG15" t="s">
        <v>6984</v>
      </c>
      <c r="DAH15" t="s">
        <v>6984</v>
      </c>
      <c r="DAI15" t="s">
        <v>6984</v>
      </c>
      <c r="DAJ15" t="s">
        <v>6984</v>
      </c>
      <c r="DAK15" t="s">
        <v>6984</v>
      </c>
      <c r="DAL15" t="s">
        <v>6984</v>
      </c>
      <c r="DAM15" t="s">
        <v>6984</v>
      </c>
      <c r="DAN15" t="s">
        <v>6984</v>
      </c>
      <c r="DAO15" t="s">
        <v>6984</v>
      </c>
      <c r="DAP15" t="s">
        <v>6984</v>
      </c>
      <c r="DAQ15" t="s">
        <v>6984</v>
      </c>
      <c r="DAR15" t="s">
        <v>6984</v>
      </c>
      <c r="DAS15" t="s">
        <v>6984</v>
      </c>
      <c r="DAT15" t="s">
        <v>6984</v>
      </c>
      <c r="DAU15" t="s">
        <v>6984</v>
      </c>
      <c r="DAV15" t="s">
        <v>6984</v>
      </c>
      <c r="DAW15" t="s">
        <v>6984</v>
      </c>
      <c r="DAX15" t="s">
        <v>6984</v>
      </c>
      <c r="DAY15" t="s">
        <v>6984</v>
      </c>
      <c r="DAZ15" t="s">
        <v>6984</v>
      </c>
      <c r="DBA15" t="s">
        <v>6984</v>
      </c>
      <c r="DBB15" t="s">
        <v>6984</v>
      </c>
      <c r="DBC15" t="s">
        <v>6984</v>
      </c>
      <c r="DBD15" t="s">
        <v>6984</v>
      </c>
      <c r="DBE15" t="s">
        <v>6984</v>
      </c>
      <c r="DBF15" t="s">
        <v>6984</v>
      </c>
      <c r="DBG15" t="s">
        <v>6984</v>
      </c>
      <c r="DBH15" t="s">
        <v>6984</v>
      </c>
      <c r="DBI15" t="s">
        <v>6984</v>
      </c>
      <c r="DBJ15" t="s">
        <v>6984</v>
      </c>
      <c r="DBK15" t="s">
        <v>6984</v>
      </c>
      <c r="DBL15" t="s">
        <v>6984</v>
      </c>
      <c r="DBM15" t="s">
        <v>6984</v>
      </c>
      <c r="DBN15" t="s">
        <v>6984</v>
      </c>
      <c r="DBO15" t="s">
        <v>6984</v>
      </c>
      <c r="DBP15" t="s">
        <v>6984</v>
      </c>
      <c r="DBQ15" t="s">
        <v>6984</v>
      </c>
      <c r="DBR15" t="s">
        <v>6984</v>
      </c>
      <c r="DBS15" t="s">
        <v>6984</v>
      </c>
      <c r="DBT15" t="s">
        <v>6984</v>
      </c>
      <c r="DBU15" t="s">
        <v>6984</v>
      </c>
      <c r="DBV15" t="s">
        <v>6984</v>
      </c>
      <c r="DBW15" t="s">
        <v>6984</v>
      </c>
      <c r="DBX15" t="s">
        <v>6984</v>
      </c>
      <c r="DBY15" t="s">
        <v>6984</v>
      </c>
      <c r="DBZ15" t="s">
        <v>6984</v>
      </c>
      <c r="DCA15" t="s">
        <v>6984</v>
      </c>
      <c r="DCB15" t="s">
        <v>6984</v>
      </c>
      <c r="DCC15" t="s">
        <v>6984</v>
      </c>
      <c r="DCD15" t="s">
        <v>6984</v>
      </c>
      <c r="DCE15" t="s">
        <v>6984</v>
      </c>
      <c r="DCF15" t="s">
        <v>6984</v>
      </c>
      <c r="DCG15" t="s">
        <v>6984</v>
      </c>
      <c r="DCH15" t="s">
        <v>6984</v>
      </c>
      <c r="DCI15" t="s">
        <v>6984</v>
      </c>
      <c r="DCJ15" t="s">
        <v>6984</v>
      </c>
      <c r="DCK15" t="s">
        <v>6984</v>
      </c>
      <c r="DCL15" t="s">
        <v>6984</v>
      </c>
      <c r="DCM15" t="s">
        <v>6984</v>
      </c>
      <c r="DCN15" t="s">
        <v>6984</v>
      </c>
      <c r="DCO15" t="s">
        <v>6984</v>
      </c>
      <c r="DCP15" t="s">
        <v>6984</v>
      </c>
      <c r="DCQ15" t="s">
        <v>6984</v>
      </c>
      <c r="DCR15" t="s">
        <v>6984</v>
      </c>
      <c r="DCS15" t="s">
        <v>6984</v>
      </c>
      <c r="DCT15" t="s">
        <v>6984</v>
      </c>
      <c r="DCU15" t="s">
        <v>6984</v>
      </c>
      <c r="DCV15" t="s">
        <v>6984</v>
      </c>
      <c r="DCW15" t="s">
        <v>6984</v>
      </c>
      <c r="DCX15" t="s">
        <v>6984</v>
      </c>
      <c r="DCY15" t="s">
        <v>6984</v>
      </c>
      <c r="DCZ15" t="s">
        <v>6984</v>
      </c>
      <c r="DDA15" t="s">
        <v>6984</v>
      </c>
      <c r="DDB15" t="s">
        <v>6984</v>
      </c>
      <c r="DDC15" t="s">
        <v>6984</v>
      </c>
      <c r="DDD15" t="s">
        <v>6984</v>
      </c>
      <c r="DDE15" t="s">
        <v>6984</v>
      </c>
      <c r="DDF15" t="s">
        <v>6984</v>
      </c>
      <c r="DDG15" t="s">
        <v>6984</v>
      </c>
      <c r="DDH15" t="s">
        <v>6984</v>
      </c>
      <c r="DDI15" t="s">
        <v>6984</v>
      </c>
      <c r="DDJ15" t="s">
        <v>6984</v>
      </c>
      <c r="DDK15" t="s">
        <v>6984</v>
      </c>
      <c r="DDL15" t="s">
        <v>6984</v>
      </c>
      <c r="DDM15" t="s">
        <v>6984</v>
      </c>
      <c r="DDN15" t="s">
        <v>6984</v>
      </c>
      <c r="DDO15" t="s">
        <v>6984</v>
      </c>
      <c r="DDP15" t="s">
        <v>6984</v>
      </c>
      <c r="DDQ15" t="s">
        <v>6984</v>
      </c>
      <c r="DDR15" t="s">
        <v>6984</v>
      </c>
      <c r="DDS15" t="s">
        <v>6984</v>
      </c>
      <c r="DDT15" t="s">
        <v>6984</v>
      </c>
      <c r="DDU15" t="s">
        <v>6984</v>
      </c>
      <c r="DDV15" t="s">
        <v>6984</v>
      </c>
      <c r="DDW15" t="s">
        <v>6984</v>
      </c>
      <c r="DDX15" t="s">
        <v>6984</v>
      </c>
      <c r="DDY15" t="s">
        <v>6984</v>
      </c>
      <c r="DDZ15" t="s">
        <v>6984</v>
      </c>
      <c r="DEA15" t="s">
        <v>6984</v>
      </c>
      <c r="DEB15" t="s">
        <v>6984</v>
      </c>
      <c r="DEC15" t="s">
        <v>6984</v>
      </c>
      <c r="DED15" t="s">
        <v>6984</v>
      </c>
      <c r="DEE15" t="s">
        <v>6984</v>
      </c>
      <c r="DEF15" t="s">
        <v>6984</v>
      </c>
      <c r="DEG15" t="s">
        <v>6984</v>
      </c>
      <c r="DEH15" t="s">
        <v>6984</v>
      </c>
      <c r="DEI15" t="s">
        <v>6984</v>
      </c>
      <c r="DEJ15" t="s">
        <v>6984</v>
      </c>
      <c r="DEK15" t="s">
        <v>6984</v>
      </c>
      <c r="DEL15" t="s">
        <v>6984</v>
      </c>
      <c r="DEM15" t="s">
        <v>6984</v>
      </c>
      <c r="DEN15" t="s">
        <v>6984</v>
      </c>
      <c r="DEO15" t="s">
        <v>6984</v>
      </c>
      <c r="DEP15" t="s">
        <v>6984</v>
      </c>
      <c r="DEQ15" t="s">
        <v>6984</v>
      </c>
      <c r="DER15" t="s">
        <v>6984</v>
      </c>
      <c r="DES15" t="s">
        <v>6984</v>
      </c>
      <c r="DET15" t="s">
        <v>6984</v>
      </c>
      <c r="DEU15" t="s">
        <v>6984</v>
      </c>
      <c r="DEV15" t="s">
        <v>6984</v>
      </c>
      <c r="DEW15" t="s">
        <v>6984</v>
      </c>
      <c r="DEX15" t="s">
        <v>6984</v>
      </c>
      <c r="DEY15" t="s">
        <v>6984</v>
      </c>
      <c r="DEZ15" t="s">
        <v>6984</v>
      </c>
      <c r="DFA15" t="s">
        <v>6984</v>
      </c>
      <c r="DFB15" t="s">
        <v>6984</v>
      </c>
      <c r="DFC15" t="s">
        <v>6984</v>
      </c>
      <c r="DFD15" t="s">
        <v>6984</v>
      </c>
      <c r="DFE15" t="s">
        <v>6984</v>
      </c>
      <c r="DFF15" t="s">
        <v>6984</v>
      </c>
      <c r="DFG15" t="s">
        <v>6984</v>
      </c>
      <c r="DFH15" t="s">
        <v>6984</v>
      </c>
      <c r="DFI15" t="s">
        <v>6984</v>
      </c>
      <c r="DFJ15" t="s">
        <v>6984</v>
      </c>
      <c r="DFK15" t="s">
        <v>6984</v>
      </c>
      <c r="DFL15" t="s">
        <v>6984</v>
      </c>
      <c r="DFM15" t="s">
        <v>6984</v>
      </c>
      <c r="DFN15" t="s">
        <v>6984</v>
      </c>
      <c r="DFO15" t="s">
        <v>6984</v>
      </c>
      <c r="DFP15" t="s">
        <v>6984</v>
      </c>
      <c r="DFQ15" t="s">
        <v>6984</v>
      </c>
      <c r="DFR15" t="s">
        <v>6984</v>
      </c>
      <c r="DFS15" t="s">
        <v>6984</v>
      </c>
      <c r="DFT15" t="s">
        <v>6984</v>
      </c>
      <c r="DFU15" t="s">
        <v>6984</v>
      </c>
      <c r="DFV15" t="s">
        <v>6984</v>
      </c>
      <c r="DFW15" t="s">
        <v>6984</v>
      </c>
      <c r="DFX15" t="s">
        <v>6984</v>
      </c>
      <c r="DFY15" t="s">
        <v>6984</v>
      </c>
      <c r="DFZ15" t="s">
        <v>6984</v>
      </c>
      <c r="DGA15" t="s">
        <v>6984</v>
      </c>
      <c r="DGB15" t="s">
        <v>6984</v>
      </c>
      <c r="DGC15" t="s">
        <v>6984</v>
      </c>
      <c r="DGD15" t="s">
        <v>6984</v>
      </c>
      <c r="DGE15" t="s">
        <v>6984</v>
      </c>
      <c r="DGF15" t="s">
        <v>6984</v>
      </c>
      <c r="DGG15" t="s">
        <v>6984</v>
      </c>
      <c r="DGH15" t="s">
        <v>6984</v>
      </c>
      <c r="DGI15" t="s">
        <v>6984</v>
      </c>
      <c r="DGJ15" t="s">
        <v>6984</v>
      </c>
      <c r="DGK15" t="s">
        <v>6984</v>
      </c>
      <c r="DGL15" t="s">
        <v>6984</v>
      </c>
      <c r="DGM15" t="s">
        <v>6984</v>
      </c>
      <c r="DGN15" t="s">
        <v>6984</v>
      </c>
      <c r="DGO15" t="s">
        <v>6984</v>
      </c>
      <c r="DGP15" t="s">
        <v>6984</v>
      </c>
      <c r="DGQ15" t="s">
        <v>6984</v>
      </c>
      <c r="DGR15" t="s">
        <v>6984</v>
      </c>
      <c r="DGS15" t="s">
        <v>6984</v>
      </c>
      <c r="DGT15" t="s">
        <v>6984</v>
      </c>
      <c r="DGU15" t="s">
        <v>6984</v>
      </c>
      <c r="DGV15" t="s">
        <v>6984</v>
      </c>
      <c r="DGW15" t="s">
        <v>6984</v>
      </c>
      <c r="DGX15" t="s">
        <v>6984</v>
      </c>
      <c r="DGY15" t="s">
        <v>6984</v>
      </c>
      <c r="DGZ15" t="s">
        <v>6984</v>
      </c>
      <c r="DHA15" t="s">
        <v>6984</v>
      </c>
      <c r="DHB15" t="s">
        <v>6984</v>
      </c>
      <c r="DHC15" t="s">
        <v>6984</v>
      </c>
      <c r="DHD15" t="s">
        <v>6984</v>
      </c>
      <c r="DHE15" t="s">
        <v>6984</v>
      </c>
      <c r="DHF15" t="s">
        <v>6984</v>
      </c>
      <c r="DHG15" t="s">
        <v>6984</v>
      </c>
      <c r="DHH15" t="s">
        <v>6984</v>
      </c>
      <c r="DHI15" t="s">
        <v>6984</v>
      </c>
      <c r="DHJ15" t="s">
        <v>6984</v>
      </c>
      <c r="DHK15" t="s">
        <v>6984</v>
      </c>
      <c r="DHL15" t="s">
        <v>6984</v>
      </c>
      <c r="DHM15" t="s">
        <v>6984</v>
      </c>
      <c r="DHN15" t="s">
        <v>6984</v>
      </c>
      <c r="DHO15" t="s">
        <v>6984</v>
      </c>
      <c r="DHP15" t="s">
        <v>6984</v>
      </c>
      <c r="DHQ15" t="s">
        <v>6984</v>
      </c>
      <c r="DHR15" t="s">
        <v>6984</v>
      </c>
      <c r="DHS15" t="s">
        <v>6984</v>
      </c>
      <c r="DHT15" t="s">
        <v>6984</v>
      </c>
      <c r="DHU15" t="s">
        <v>6984</v>
      </c>
      <c r="DHV15" t="s">
        <v>6984</v>
      </c>
      <c r="DHW15" t="s">
        <v>6984</v>
      </c>
      <c r="DHX15" t="s">
        <v>6984</v>
      </c>
      <c r="DHY15" t="s">
        <v>6984</v>
      </c>
      <c r="DHZ15" t="s">
        <v>6984</v>
      </c>
      <c r="DIA15" t="s">
        <v>6984</v>
      </c>
      <c r="DIB15" t="s">
        <v>6984</v>
      </c>
      <c r="DIC15" t="s">
        <v>6984</v>
      </c>
      <c r="DID15" t="s">
        <v>6984</v>
      </c>
      <c r="DIE15" t="s">
        <v>6984</v>
      </c>
      <c r="DIF15" t="s">
        <v>6984</v>
      </c>
      <c r="DIG15" t="s">
        <v>6984</v>
      </c>
      <c r="DIH15" t="s">
        <v>6984</v>
      </c>
      <c r="DII15" t="s">
        <v>6984</v>
      </c>
      <c r="DIJ15" t="s">
        <v>6984</v>
      </c>
      <c r="DIK15" t="s">
        <v>6984</v>
      </c>
      <c r="DIL15" t="s">
        <v>6984</v>
      </c>
      <c r="DIM15" t="s">
        <v>6984</v>
      </c>
      <c r="DIN15" t="s">
        <v>6984</v>
      </c>
      <c r="DIO15" t="s">
        <v>6984</v>
      </c>
      <c r="DIP15" t="s">
        <v>6984</v>
      </c>
      <c r="DIQ15" t="s">
        <v>6984</v>
      </c>
      <c r="DIR15" t="s">
        <v>6984</v>
      </c>
      <c r="DIS15" t="s">
        <v>6984</v>
      </c>
      <c r="DIT15" t="s">
        <v>6984</v>
      </c>
      <c r="DIU15" t="s">
        <v>6984</v>
      </c>
      <c r="DIV15" t="s">
        <v>6984</v>
      </c>
      <c r="DIW15" t="s">
        <v>6984</v>
      </c>
      <c r="DIX15" t="s">
        <v>6984</v>
      </c>
      <c r="DIY15" t="s">
        <v>6984</v>
      </c>
      <c r="DIZ15" t="s">
        <v>6984</v>
      </c>
      <c r="DJA15" t="s">
        <v>6984</v>
      </c>
      <c r="DJB15" t="s">
        <v>6984</v>
      </c>
      <c r="DJC15" t="s">
        <v>6984</v>
      </c>
      <c r="DJD15" t="s">
        <v>6984</v>
      </c>
      <c r="DJE15" t="s">
        <v>6984</v>
      </c>
      <c r="DJF15" t="s">
        <v>6984</v>
      </c>
      <c r="DJG15" t="s">
        <v>6984</v>
      </c>
      <c r="DJH15" t="s">
        <v>6984</v>
      </c>
      <c r="DJI15" t="s">
        <v>6984</v>
      </c>
      <c r="DJJ15" t="s">
        <v>6984</v>
      </c>
      <c r="DJK15" t="s">
        <v>6984</v>
      </c>
      <c r="DJL15" t="s">
        <v>6984</v>
      </c>
      <c r="DJM15" t="s">
        <v>6984</v>
      </c>
      <c r="DJN15" t="s">
        <v>6984</v>
      </c>
      <c r="DJO15" t="s">
        <v>6984</v>
      </c>
      <c r="DJP15" t="s">
        <v>6984</v>
      </c>
      <c r="DJQ15" t="s">
        <v>6984</v>
      </c>
      <c r="DJR15" t="s">
        <v>6984</v>
      </c>
      <c r="DJS15" t="s">
        <v>6984</v>
      </c>
      <c r="DJT15" t="s">
        <v>6984</v>
      </c>
      <c r="DJU15" t="s">
        <v>6984</v>
      </c>
      <c r="DJV15" t="s">
        <v>6984</v>
      </c>
      <c r="DJW15" t="s">
        <v>6984</v>
      </c>
      <c r="DJX15" t="s">
        <v>6984</v>
      </c>
      <c r="DJY15" t="s">
        <v>6984</v>
      </c>
      <c r="DJZ15" t="s">
        <v>6984</v>
      </c>
      <c r="DKA15" t="s">
        <v>6984</v>
      </c>
      <c r="DKB15" t="s">
        <v>6984</v>
      </c>
      <c r="DKC15" t="s">
        <v>6984</v>
      </c>
      <c r="DKD15" t="s">
        <v>6984</v>
      </c>
      <c r="DKE15" t="s">
        <v>6984</v>
      </c>
      <c r="DKF15" t="s">
        <v>6984</v>
      </c>
      <c r="DKG15" t="s">
        <v>6984</v>
      </c>
      <c r="DKH15" t="s">
        <v>6984</v>
      </c>
      <c r="DKI15" t="s">
        <v>6984</v>
      </c>
      <c r="DKJ15" t="s">
        <v>6984</v>
      </c>
      <c r="DKK15" t="s">
        <v>6984</v>
      </c>
      <c r="DKL15" t="s">
        <v>6984</v>
      </c>
      <c r="DKM15" t="s">
        <v>6984</v>
      </c>
      <c r="DKN15" t="s">
        <v>6984</v>
      </c>
      <c r="DKO15" t="s">
        <v>6984</v>
      </c>
      <c r="DKP15" t="s">
        <v>6984</v>
      </c>
      <c r="DKQ15" t="s">
        <v>6984</v>
      </c>
      <c r="DKR15" t="s">
        <v>6984</v>
      </c>
      <c r="DKS15" t="s">
        <v>6984</v>
      </c>
      <c r="DKT15" t="s">
        <v>6984</v>
      </c>
      <c r="DKU15" t="s">
        <v>6984</v>
      </c>
      <c r="DKV15" t="s">
        <v>6984</v>
      </c>
      <c r="DKW15" t="s">
        <v>6984</v>
      </c>
      <c r="DKX15" t="s">
        <v>6984</v>
      </c>
      <c r="DKY15" t="s">
        <v>6984</v>
      </c>
      <c r="DKZ15" t="s">
        <v>6984</v>
      </c>
      <c r="DLA15" t="s">
        <v>6984</v>
      </c>
      <c r="DLB15" t="s">
        <v>6984</v>
      </c>
      <c r="DLC15" t="s">
        <v>6984</v>
      </c>
      <c r="DLD15" t="s">
        <v>6984</v>
      </c>
      <c r="DLE15" t="s">
        <v>6984</v>
      </c>
      <c r="DLF15" t="s">
        <v>6984</v>
      </c>
      <c r="DLG15" t="s">
        <v>6984</v>
      </c>
      <c r="DLH15" t="s">
        <v>6984</v>
      </c>
      <c r="DLI15" t="s">
        <v>6984</v>
      </c>
      <c r="DLJ15" t="s">
        <v>6984</v>
      </c>
      <c r="DLK15" t="s">
        <v>6984</v>
      </c>
      <c r="DLL15" t="s">
        <v>6984</v>
      </c>
      <c r="DLM15" t="s">
        <v>6984</v>
      </c>
      <c r="DLN15" t="s">
        <v>6984</v>
      </c>
      <c r="DLO15" t="s">
        <v>6984</v>
      </c>
      <c r="DLP15" t="s">
        <v>6984</v>
      </c>
      <c r="DLQ15" t="s">
        <v>6984</v>
      </c>
      <c r="DLR15" t="s">
        <v>6984</v>
      </c>
      <c r="DLS15" t="s">
        <v>6984</v>
      </c>
      <c r="DLT15" t="s">
        <v>6984</v>
      </c>
      <c r="DLU15" t="s">
        <v>6984</v>
      </c>
      <c r="DLV15" t="s">
        <v>6984</v>
      </c>
      <c r="DLW15" t="s">
        <v>6984</v>
      </c>
      <c r="DLX15" t="s">
        <v>6984</v>
      </c>
      <c r="DLY15" t="s">
        <v>6984</v>
      </c>
      <c r="DLZ15" t="s">
        <v>6984</v>
      </c>
      <c r="DMA15" t="s">
        <v>6984</v>
      </c>
      <c r="DMB15" t="s">
        <v>6984</v>
      </c>
      <c r="DMC15" t="s">
        <v>6984</v>
      </c>
      <c r="DMD15" t="s">
        <v>6984</v>
      </c>
      <c r="DME15" t="s">
        <v>6984</v>
      </c>
      <c r="DMF15" t="s">
        <v>6984</v>
      </c>
      <c r="DMG15" t="s">
        <v>6984</v>
      </c>
      <c r="DMH15" t="s">
        <v>6984</v>
      </c>
      <c r="DMI15" t="s">
        <v>6984</v>
      </c>
      <c r="DMJ15" t="s">
        <v>6984</v>
      </c>
      <c r="DMK15" t="s">
        <v>6984</v>
      </c>
      <c r="DML15" t="s">
        <v>6984</v>
      </c>
      <c r="DMM15" t="s">
        <v>6984</v>
      </c>
      <c r="DMN15" t="s">
        <v>6984</v>
      </c>
      <c r="DMO15" t="s">
        <v>6984</v>
      </c>
      <c r="DMP15" t="s">
        <v>6984</v>
      </c>
      <c r="DMQ15" t="s">
        <v>6984</v>
      </c>
      <c r="DMR15" t="s">
        <v>6984</v>
      </c>
      <c r="DMS15" t="s">
        <v>6984</v>
      </c>
      <c r="DMT15" t="s">
        <v>6984</v>
      </c>
      <c r="DMU15" t="s">
        <v>6984</v>
      </c>
      <c r="DMV15" t="s">
        <v>6984</v>
      </c>
      <c r="DMW15" t="s">
        <v>6984</v>
      </c>
      <c r="DMX15" t="s">
        <v>6984</v>
      </c>
      <c r="DMY15" t="s">
        <v>6984</v>
      </c>
      <c r="DMZ15" t="s">
        <v>6984</v>
      </c>
      <c r="DNA15" t="s">
        <v>6984</v>
      </c>
      <c r="DNB15" t="s">
        <v>6984</v>
      </c>
      <c r="DNC15" t="s">
        <v>6984</v>
      </c>
      <c r="DND15" t="s">
        <v>6984</v>
      </c>
      <c r="DNE15" t="s">
        <v>6984</v>
      </c>
      <c r="DNF15" t="s">
        <v>6984</v>
      </c>
      <c r="DNG15" t="s">
        <v>6984</v>
      </c>
      <c r="DNH15" t="s">
        <v>6984</v>
      </c>
      <c r="DNI15" t="s">
        <v>6984</v>
      </c>
      <c r="DNJ15" t="s">
        <v>6984</v>
      </c>
      <c r="DNK15" t="s">
        <v>6984</v>
      </c>
      <c r="DNL15" t="s">
        <v>6984</v>
      </c>
      <c r="DNM15" t="s">
        <v>6984</v>
      </c>
      <c r="DNN15" t="s">
        <v>6984</v>
      </c>
      <c r="DNO15" t="s">
        <v>6984</v>
      </c>
      <c r="DNP15" t="s">
        <v>6984</v>
      </c>
      <c r="DNQ15" t="s">
        <v>6984</v>
      </c>
      <c r="DNR15" t="s">
        <v>6984</v>
      </c>
      <c r="DNS15" t="s">
        <v>6984</v>
      </c>
      <c r="DNT15" t="s">
        <v>6984</v>
      </c>
      <c r="DNU15" t="s">
        <v>6984</v>
      </c>
      <c r="DNV15" t="s">
        <v>6984</v>
      </c>
      <c r="DNW15" t="s">
        <v>6984</v>
      </c>
      <c r="DNX15" t="s">
        <v>6984</v>
      </c>
      <c r="DNY15" t="s">
        <v>6984</v>
      </c>
      <c r="DNZ15" t="s">
        <v>6984</v>
      </c>
      <c r="DOA15" t="s">
        <v>6984</v>
      </c>
      <c r="DOB15" t="s">
        <v>6984</v>
      </c>
      <c r="DOC15" t="s">
        <v>6984</v>
      </c>
      <c r="DOD15" t="s">
        <v>6984</v>
      </c>
      <c r="DOE15" t="s">
        <v>6984</v>
      </c>
      <c r="DOF15" t="s">
        <v>6984</v>
      </c>
      <c r="DOG15" t="s">
        <v>6984</v>
      </c>
      <c r="DOH15" t="s">
        <v>6984</v>
      </c>
      <c r="DOI15" t="s">
        <v>6984</v>
      </c>
      <c r="DOJ15" t="s">
        <v>6984</v>
      </c>
      <c r="DOK15" t="s">
        <v>6984</v>
      </c>
      <c r="DOL15" t="s">
        <v>6984</v>
      </c>
      <c r="DOM15" t="s">
        <v>6984</v>
      </c>
      <c r="DON15" t="s">
        <v>6984</v>
      </c>
      <c r="DOO15" t="s">
        <v>6984</v>
      </c>
      <c r="DOP15" t="s">
        <v>6984</v>
      </c>
      <c r="DOQ15" t="s">
        <v>6984</v>
      </c>
      <c r="DOR15" t="s">
        <v>6984</v>
      </c>
      <c r="DOS15" t="s">
        <v>6984</v>
      </c>
      <c r="DOT15" t="s">
        <v>6984</v>
      </c>
      <c r="DOU15" t="s">
        <v>6984</v>
      </c>
      <c r="DOV15" t="s">
        <v>6984</v>
      </c>
      <c r="DOW15" t="s">
        <v>6984</v>
      </c>
      <c r="DOX15" t="s">
        <v>6984</v>
      </c>
      <c r="DOY15" t="s">
        <v>6984</v>
      </c>
      <c r="DOZ15" t="s">
        <v>6984</v>
      </c>
      <c r="DPA15" t="s">
        <v>6984</v>
      </c>
      <c r="DPB15" t="s">
        <v>6984</v>
      </c>
      <c r="DPC15" t="s">
        <v>6984</v>
      </c>
      <c r="DPD15" t="s">
        <v>6984</v>
      </c>
      <c r="DPE15" t="s">
        <v>6984</v>
      </c>
      <c r="DPF15" t="s">
        <v>6984</v>
      </c>
      <c r="DPG15" t="s">
        <v>6984</v>
      </c>
      <c r="DPH15" t="s">
        <v>6984</v>
      </c>
      <c r="DPI15" t="s">
        <v>6984</v>
      </c>
      <c r="DPJ15" t="s">
        <v>6984</v>
      </c>
      <c r="DPK15" t="s">
        <v>6984</v>
      </c>
      <c r="DPL15" t="s">
        <v>6984</v>
      </c>
      <c r="DPM15" t="s">
        <v>6984</v>
      </c>
      <c r="DPN15" t="s">
        <v>6984</v>
      </c>
      <c r="DPO15" t="s">
        <v>6984</v>
      </c>
      <c r="DPP15" t="s">
        <v>6984</v>
      </c>
      <c r="DPQ15" t="s">
        <v>6984</v>
      </c>
      <c r="DPR15" t="s">
        <v>6984</v>
      </c>
      <c r="DPS15" t="s">
        <v>6984</v>
      </c>
      <c r="DPT15" t="s">
        <v>6984</v>
      </c>
      <c r="DPU15" t="s">
        <v>6984</v>
      </c>
      <c r="DPV15" t="s">
        <v>6984</v>
      </c>
      <c r="DPW15" t="s">
        <v>6984</v>
      </c>
      <c r="DPX15" t="s">
        <v>6984</v>
      </c>
      <c r="DPY15" t="s">
        <v>6984</v>
      </c>
      <c r="DPZ15" t="s">
        <v>6984</v>
      </c>
      <c r="DQA15" t="s">
        <v>6984</v>
      </c>
      <c r="DQB15" t="s">
        <v>6984</v>
      </c>
      <c r="DQC15" t="s">
        <v>6984</v>
      </c>
      <c r="DQD15" t="s">
        <v>6984</v>
      </c>
      <c r="DQE15" t="s">
        <v>6984</v>
      </c>
      <c r="DQF15" t="s">
        <v>6984</v>
      </c>
      <c r="DQG15" t="s">
        <v>6984</v>
      </c>
      <c r="DQH15" t="s">
        <v>6984</v>
      </c>
      <c r="DQI15" t="s">
        <v>6984</v>
      </c>
      <c r="DQJ15" t="s">
        <v>6984</v>
      </c>
      <c r="DQK15" t="s">
        <v>6984</v>
      </c>
      <c r="DQL15" t="s">
        <v>6984</v>
      </c>
      <c r="DQM15" t="s">
        <v>6984</v>
      </c>
      <c r="DQN15" t="s">
        <v>6984</v>
      </c>
      <c r="DQO15" t="s">
        <v>6984</v>
      </c>
      <c r="DQP15" t="s">
        <v>6984</v>
      </c>
      <c r="DQQ15" t="s">
        <v>6984</v>
      </c>
      <c r="DQR15" t="s">
        <v>6984</v>
      </c>
      <c r="DQS15" t="s">
        <v>6984</v>
      </c>
      <c r="DQT15" t="s">
        <v>6984</v>
      </c>
      <c r="DQU15" t="s">
        <v>6984</v>
      </c>
      <c r="DQV15" t="s">
        <v>6984</v>
      </c>
      <c r="DQW15" t="s">
        <v>6984</v>
      </c>
      <c r="DQX15" t="s">
        <v>6984</v>
      </c>
      <c r="DQY15" t="s">
        <v>6984</v>
      </c>
      <c r="DQZ15" t="s">
        <v>6984</v>
      </c>
      <c r="DRA15" t="s">
        <v>6984</v>
      </c>
      <c r="DRB15" t="s">
        <v>6984</v>
      </c>
      <c r="DRC15" t="s">
        <v>6984</v>
      </c>
      <c r="DRD15" t="s">
        <v>6984</v>
      </c>
      <c r="DRE15" t="s">
        <v>6984</v>
      </c>
      <c r="DRF15" t="s">
        <v>6984</v>
      </c>
      <c r="DRG15" t="s">
        <v>6984</v>
      </c>
      <c r="DRH15" t="s">
        <v>6984</v>
      </c>
      <c r="DRI15" t="s">
        <v>6984</v>
      </c>
      <c r="DRJ15" t="s">
        <v>6984</v>
      </c>
      <c r="DRK15" t="s">
        <v>6984</v>
      </c>
      <c r="DRL15" t="s">
        <v>6984</v>
      </c>
      <c r="DRM15" t="s">
        <v>6984</v>
      </c>
      <c r="DRN15" t="s">
        <v>6984</v>
      </c>
      <c r="DRO15" t="s">
        <v>6984</v>
      </c>
      <c r="DRP15" t="s">
        <v>6984</v>
      </c>
      <c r="DRQ15" t="s">
        <v>6984</v>
      </c>
      <c r="DRR15" t="s">
        <v>6984</v>
      </c>
      <c r="DRS15" t="s">
        <v>6984</v>
      </c>
      <c r="DRT15" t="s">
        <v>6984</v>
      </c>
      <c r="DRU15" t="s">
        <v>6984</v>
      </c>
      <c r="DRV15" t="s">
        <v>6984</v>
      </c>
      <c r="DRW15" t="s">
        <v>6984</v>
      </c>
      <c r="DRX15" t="s">
        <v>6984</v>
      </c>
      <c r="DRY15" t="s">
        <v>6984</v>
      </c>
      <c r="DRZ15" t="s">
        <v>6984</v>
      </c>
      <c r="DSA15" t="s">
        <v>6984</v>
      </c>
      <c r="DSB15" t="s">
        <v>6984</v>
      </c>
      <c r="DSC15" t="s">
        <v>6984</v>
      </c>
      <c r="DSD15" t="s">
        <v>6984</v>
      </c>
      <c r="DSE15" t="s">
        <v>6984</v>
      </c>
      <c r="DSF15" t="s">
        <v>6984</v>
      </c>
      <c r="DSG15" t="s">
        <v>6984</v>
      </c>
      <c r="DSH15" t="s">
        <v>6984</v>
      </c>
      <c r="DSI15" t="s">
        <v>6984</v>
      </c>
      <c r="DSJ15" t="s">
        <v>6984</v>
      </c>
      <c r="DSK15" t="s">
        <v>6984</v>
      </c>
      <c r="DSL15" t="s">
        <v>6984</v>
      </c>
      <c r="DSM15" t="s">
        <v>6984</v>
      </c>
      <c r="DSN15" t="s">
        <v>6984</v>
      </c>
      <c r="DSO15" t="s">
        <v>6984</v>
      </c>
      <c r="DSP15" t="s">
        <v>6984</v>
      </c>
      <c r="DSQ15" t="s">
        <v>6984</v>
      </c>
      <c r="DSR15" t="s">
        <v>6984</v>
      </c>
      <c r="DSS15" t="s">
        <v>6984</v>
      </c>
      <c r="DST15" t="s">
        <v>6984</v>
      </c>
      <c r="DSU15" t="s">
        <v>6984</v>
      </c>
      <c r="DSV15" t="s">
        <v>6984</v>
      </c>
      <c r="DSW15" t="s">
        <v>6984</v>
      </c>
      <c r="DSX15" t="s">
        <v>6984</v>
      </c>
      <c r="DSY15" t="s">
        <v>6984</v>
      </c>
      <c r="DSZ15" t="s">
        <v>6984</v>
      </c>
      <c r="DTA15" t="s">
        <v>6984</v>
      </c>
      <c r="DTB15" t="s">
        <v>6984</v>
      </c>
      <c r="DTC15" t="s">
        <v>6984</v>
      </c>
      <c r="DTD15" t="s">
        <v>6984</v>
      </c>
      <c r="DTE15" t="s">
        <v>6984</v>
      </c>
      <c r="DTF15" t="s">
        <v>6984</v>
      </c>
      <c r="DTG15" t="s">
        <v>6984</v>
      </c>
      <c r="DTH15" t="s">
        <v>6984</v>
      </c>
      <c r="DTI15" t="s">
        <v>6984</v>
      </c>
      <c r="DTJ15" t="s">
        <v>6984</v>
      </c>
      <c r="DTK15" t="s">
        <v>6984</v>
      </c>
      <c r="DTL15" t="s">
        <v>6984</v>
      </c>
      <c r="DTM15" t="s">
        <v>6984</v>
      </c>
      <c r="DTN15" t="s">
        <v>6984</v>
      </c>
      <c r="DTO15" t="s">
        <v>6984</v>
      </c>
      <c r="DTP15" t="s">
        <v>6984</v>
      </c>
      <c r="DTQ15" t="s">
        <v>6984</v>
      </c>
      <c r="DTR15" t="s">
        <v>6984</v>
      </c>
      <c r="DTS15" t="s">
        <v>6984</v>
      </c>
      <c r="DTT15" t="s">
        <v>6984</v>
      </c>
      <c r="DTU15" t="s">
        <v>6984</v>
      </c>
      <c r="DTV15" t="s">
        <v>6984</v>
      </c>
      <c r="DTW15" t="s">
        <v>6984</v>
      </c>
      <c r="DTX15" t="s">
        <v>6984</v>
      </c>
      <c r="DTY15" t="s">
        <v>6984</v>
      </c>
      <c r="DTZ15" t="s">
        <v>6984</v>
      </c>
      <c r="DUA15" t="s">
        <v>6984</v>
      </c>
      <c r="DUB15" t="s">
        <v>6984</v>
      </c>
      <c r="DUC15" t="s">
        <v>6984</v>
      </c>
      <c r="DUD15" t="s">
        <v>6984</v>
      </c>
      <c r="DUE15" t="s">
        <v>6984</v>
      </c>
      <c r="DUF15" t="s">
        <v>6984</v>
      </c>
      <c r="DUG15" t="s">
        <v>6984</v>
      </c>
      <c r="DUH15" t="s">
        <v>6984</v>
      </c>
      <c r="DUI15" t="s">
        <v>6984</v>
      </c>
      <c r="DUJ15" t="s">
        <v>6984</v>
      </c>
      <c r="DUK15" t="s">
        <v>6984</v>
      </c>
      <c r="DUL15" t="s">
        <v>6984</v>
      </c>
      <c r="DUM15" t="s">
        <v>6984</v>
      </c>
      <c r="DUN15" t="s">
        <v>6984</v>
      </c>
      <c r="DUO15" t="s">
        <v>6984</v>
      </c>
      <c r="DUP15" t="s">
        <v>6984</v>
      </c>
      <c r="DUQ15" t="s">
        <v>6984</v>
      </c>
      <c r="DUR15" t="s">
        <v>6984</v>
      </c>
      <c r="DUS15" t="s">
        <v>6984</v>
      </c>
      <c r="DUT15" t="s">
        <v>6984</v>
      </c>
      <c r="DUU15" t="s">
        <v>6984</v>
      </c>
      <c r="DUV15" t="s">
        <v>6984</v>
      </c>
      <c r="DUW15" t="s">
        <v>6984</v>
      </c>
      <c r="DUX15" t="s">
        <v>6984</v>
      </c>
      <c r="DUY15" t="s">
        <v>6984</v>
      </c>
      <c r="DUZ15" t="s">
        <v>6984</v>
      </c>
      <c r="DVA15" t="s">
        <v>6984</v>
      </c>
      <c r="DVB15" t="s">
        <v>6984</v>
      </c>
      <c r="DVC15" t="s">
        <v>6984</v>
      </c>
      <c r="DVD15" t="s">
        <v>6984</v>
      </c>
      <c r="DVE15" t="s">
        <v>6984</v>
      </c>
      <c r="DVF15" t="s">
        <v>6984</v>
      </c>
      <c r="DVG15" t="s">
        <v>6984</v>
      </c>
      <c r="DVH15" t="s">
        <v>6984</v>
      </c>
      <c r="DVI15" t="s">
        <v>6984</v>
      </c>
      <c r="DVJ15" t="s">
        <v>6984</v>
      </c>
      <c r="DVK15" t="s">
        <v>6984</v>
      </c>
      <c r="DVL15" t="s">
        <v>6984</v>
      </c>
      <c r="DVM15" t="s">
        <v>6984</v>
      </c>
      <c r="DVN15" t="s">
        <v>6984</v>
      </c>
      <c r="DVO15" t="s">
        <v>6984</v>
      </c>
      <c r="DVP15" t="s">
        <v>6984</v>
      </c>
      <c r="DVQ15" t="s">
        <v>6984</v>
      </c>
      <c r="DVR15" t="s">
        <v>6984</v>
      </c>
      <c r="DVS15" t="s">
        <v>6984</v>
      </c>
      <c r="DVT15" t="s">
        <v>6984</v>
      </c>
      <c r="DVU15" t="s">
        <v>6984</v>
      </c>
      <c r="DVV15" t="s">
        <v>6984</v>
      </c>
      <c r="DVW15" t="s">
        <v>6984</v>
      </c>
      <c r="DVX15" t="s">
        <v>6984</v>
      </c>
      <c r="DVY15" t="s">
        <v>6984</v>
      </c>
      <c r="DVZ15" t="s">
        <v>6984</v>
      </c>
      <c r="DWA15" t="s">
        <v>6984</v>
      </c>
      <c r="DWB15" t="s">
        <v>6984</v>
      </c>
      <c r="DWC15" t="s">
        <v>6984</v>
      </c>
      <c r="DWD15" t="s">
        <v>6984</v>
      </c>
      <c r="DWE15" t="s">
        <v>6984</v>
      </c>
      <c r="DWF15" t="s">
        <v>6984</v>
      </c>
      <c r="DWG15" t="s">
        <v>6984</v>
      </c>
      <c r="DWH15" t="s">
        <v>6984</v>
      </c>
      <c r="DWI15" t="s">
        <v>6984</v>
      </c>
      <c r="DWJ15" t="s">
        <v>6984</v>
      </c>
      <c r="DWK15" t="s">
        <v>6984</v>
      </c>
      <c r="DWL15" t="s">
        <v>6984</v>
      </c>
      <c r="DWM15" t="s">
        <v>6984</v>
      </c>
      <c r="DWN15" t="s">
        <v>6984</v>
      </c>
      <c r="DWO15" t="s">
        <v>6984</v>
      </c>
      <c r="DWP15" t="s">
        <v>6984</v>
      </c>
      <c r="DWQ15" t="s">
        <v>6984</v>
      </c>
      <c r="DWR15" t="s">
        <v>6984</v>
      </c>
      <c r="DWS15" t="s">
        <v>6984</v>
      </c>
      <c r="DWT15" t="s">
        <v>6984</v>
      </c>
      <c r="DWU15" t="s">
        <v>6984</v>
      </c>
      <c r="DWV15" t="s">
        <v>6984</v>
      </c>
      <c r="DWW15" t="s">
        <v>6984</v>
      </c>
      <c r="DWX15" t="s">
        <v>6984</v>
      </c>
      <c r="DWY15" t="s">
        <v>6984</v>
      </c>
      <c r="DWZ15" t="s">
        <v>6984</v>
      </c>
      <c r="DXA15" t="s">
        <v>6984</v>
      </c>
      <c r="DXB15" t="s">
        <v>6984</v>
      </c>
      <c r="DXC15" t="s">
        <v>6984</v>
      </c>
      <c r="DXD15" t="s">
        <v>6984</v>
      </c>
      <c r="DXE15" t="s">
        <v>6984</v>
      </c>
      <c r="DXF15" t="s">
        <v>6984</v>
      </c>
      <c r="DXG15" t="s">
        <v>6984</v>
      </c>
      <c r="DXH15" t="s">
        <v>6984</v>
      </c>
      <c r="DXI15" t="s">
        <v>6984</v>
      </c>
      <c r="DXJ15" t="s">
        <v>6984</v>
      </c>
      <c r="DXK15" t="s">
        <v>6984</v>
      </c>
      <c r="DXL15" t="s">
        <v>6984</v>
      </c>
      <c r="DXM15" t="s">
        <v>6984</v>
      </c>
      <c r="DXN15" t="s">
        <v>6984</v>
      </c>
      <c r="DXO15" t="s">
        <v>6984</v>
      </c>
      <c r="DXP15" t="s">
        <v>6984</v>
      </c>
      <c r="DXQ15" t="s">
        <v>6984</v>
      </c>
      <c r="DXR15" t="s">
        <v>6984</v>
      </c>
      <c r="DXS15" t="s">
        <v>6984</v>
      </c>
      <c r="DXT15" t="s">
        <v>6984</v>
      </c>
      <c r="DXU15" t="s">
        <v>6984</v>
      </c>
      <c r="DXV15" t="s">
        <v>6984</v>
      </c>
      <c r="DXW15" t="s">
        <v>6984</v>
      </c>
      <c r="DXX15" t="s">
        <v>6984</v>
      </c>
      <c r="DXY15" t="s">
        <v>6984</v>
      </c>
      <c r="DXZ15" t="s">
        <v>6984</v>
      </c>
      <c r="DYA15" t="s">
        <v>6984</v>
      </c>
      <c r="DYB15" t="s">
        <v>6984</v>
      </c>
      <c r="DYC15" t="s">
        <v>6984</v>
      </c>
      <c r="DYD15" t="s">
        <v>6984</v>
      </c>
      <c r="DYE15" t="s">
        <v>6984</v>
      </c>
      <c r="DYF15" t="s">
        <v>6984</v>
      </c>
      <c r="DYG15" t="s">
        <v>6984</v>
      </c>
      <c r="DYH15" t="s">
        <v>6984</v>
      </c>
      <c r="DYI15" t="s">
        <v>6984</v>
      </c>
      <c r="DYJ15" t="s">
        <v>6984</v>
      </c>
      <c r="DYK15" t="s">
        <v>6984</v>
      </c>
      <c r="DYL15" t="s">
        <v>6984</v>
      </c>
      <c r="DYM15" t="s">
        <v>6984</v>
      </c>
      <c r="DYN15" t="s">
        <v>6984</v>
      </c>
      <c r="DYO15" t="s">
        <v>6984</v>
      </c>
      <c r="DYP15" t="s">
        <v>6984</v>
      </c>
      <c r="DYQ15" t="s">
        <v>6984</v>
      </c>
      <c r="DYR15" t="s">
        <v>6984</v>
      </c>
      <c r="DYS15" t="s">
        <v>6984</v>
      </c>
      <c r="DYT15" t="s">
        <v>6984</v>
      </c>
      <c r="DYU15" t="s">
        <v>6984</v>
      </c>
      <c r="DYV15" t="s">
        <v>6984</v>
      </c>
      <c r="DYW15" t="s">
        <v>6984</v>
      </c>
      <c r="DYX15" t="s">
        <v>6984</v>
      </c>
      <c r="DYY15" t="s">
        <v>6984</v>
      </c>
      <c r="DYZ15" t="s">
        <v>6984</v>
      </c>
      <c r="DZA15" t="s">
        <v>6984</v>
      </c>
      <c r="DZB15" t="s">
        <v>6984</v>
      </c>
      <c r="DZC15" t="s">
        <v>6984</v>
      </c>
      <c r="DZD15" t="s">
        <v>6984</v>
      </c>
      <c r="DZE15" t="s">
        <v>6984</v>
      </c>
      <c r="DZF15" t="s">
        <v>6984</v>
      </c>
      <c r="DZG15" t="s">
        <v>6984</v>
      </c>
      <c r="DZH15" t="s">
        <v>6984</v>
      </c>
      <c r="DZI15" t="s">
        <v>6984</v>
      </c>
      <c r="DZJ15" t="s">
        <v>6984</v>
      </c>
      <c r="DZK15" t="s">
        <v>6984</v>
      </c>
      <c r="DZL15" t="s">
        <v>6984</v>
      </c>
      <c r="DZM15" t="s">
        <v>6984</v>
      </c>
      <c r="DZN15" t="s">
        <v>6984</v>
      </c>
      <c r="DZO15" t="s">
        <v>6984</v>
      </c>
      <c r="DZP15" t="s">
        <v>6984</v>
      </c>
      <c r="DZQ15" t="s">
        <v>6984</v>
      </c>
      <c r="DZR15" t="s">
        <v>6984</v>
      </c>
      <c r="DZS15" t="s">
        <v>6984</v>
      </c>
      <c r="DZT15" t="s">
        <v>6984</v>
      </c>
      <c r="DZU15" t="s">
        <v>6984</v>
      </c>
      <c r="DZV15" t="s">
        <v>6984</v>
      </c>
      <c r="DZW15" t="s">
        <v>6984</v>
      </c>
      <c r="DZX15" t="s">
        <v>6984</v>
      </c>
      <c r="DZY15" t="s">
        <v>6984</v>
      </c>
      <c r="DZZ15" t="s">
        <v>6984</v>
      </c>
      <c r="EAA15" t="s">
        <v>6984</v>
      </c>
      <c r="EAB15" t="s">
        <v>6984</v>
      </c>
      <c r="EAC15" t="s">
        <v>6984</v>
      </c>
      <c r="EAD15" t="s">
        <v>6984</v>
      </c>
      <c r="EAE15" t="s">
        <v>6984</v>
      </c>
      <c r="EAF15" t="s">
        <v>6984</v>
      </c>
      <c r="EAG15" t="s">
        <v>6984</v>
      </c>
      <c r="EAH15" t="s">
        <v>6984</v>
      </c>
      <c r="EAI15" t="s">
        <v>6984</v>
      </c>
      <c r="EAJ15" t="s">
        <v>6984</v>
      </c>
      <c r="EAK15" t="s">
        <v>6984</v>
      </c>
      <c r="EAL15" t="s">
        <v>6984</v>
      </c>
      <c r="EAM15" t="s">
        <v>6984</v>
      </c>
      <c r="EAN15" t="s">
        <v>6984</v>
      </c>
      <c r="EAO15" t="s">
        <v>6984</v>
      </c>
      <c r="EAP15" t="s">
        <v>6984</v>
      </c>
      <c r="EAQ15" t="s">
        <v>6984</v>
      </c>
      <c r="EAR15" t="s">
        <v>6984</v>
      </c>
      <c r="EAS15" t="s">
        <v>6984</v>
      </c>
      <c r="EAT15" t="s">
        <v>6984</v>
      </c>
      <c r="EAU15" t="s">
        <v>6984</v>
      </c>
      <c r="EAV15" t="s">
        <v>6984</v>
      </c>
      <c r="EAW15" t="s">
        <v>6984</v>
      </c>
      <c r="EAX15" t="s">
        <v>6984</v>
      </c>
      <c r="EAY15" t="s">
        <v>6984</v>
      </c>
      <c r="EAZ15" t="s">
        <v>6984</v>
      </c>
      <c r="EBA15" t="s">
        <v>6984</v>
      </c>
      <c r="EBB15" t="s">
        <v>6984</v>
      </c>
      <c r="EBC15" t="s">
        <v>6984</v>
      </c>
      <c r="EBD15" t="s">
        <v>6984</v>
      </c>
      <c r="EBE15" t="s">
        <v>6984</v>
      </c>
      <c r="EBF15" t="s">
        <v>6984</v>
      </c>
      <c r="EBG15" t="s">
        <v>6984</v>
      </c>
      <c r="EBH15" t="s">
        <v>6984</v>
      </c>
      <c r="EBI15" t="s">
        <v>6984</v>
      </c>
      <c r="EBJ15" t="s">
        <v>6984</v>
      </c>
      <c r="EBK15" t="s">
        <v>6984</v>
      </c>
      <c r="EBL15" t="s">
        <v>6984</v>
      </c>
      <c r="EBM15" t="s">
        <v>6984</v>
      </c>
      <c r="EBN15" t="s">
        <v>6984</v>
      </c>
      <c r="EBO15" t="s">
        <v>6984</v>
      </c>
      <c r="EBP15" t="s">
        <v>6984</v>
      </c>
      <c r="EBQ15" t="s">
        <v>6984</v>
      </c>
      <c r="EBR15" t="s">
        <v>6984</v>
      </c>
      <c r="EBS15" t="s">
        <v>6984</v>
      </c>
      <c r="EBT15" t="s">
        <v>6984</v>
      </c>
      <c r="EBU15" t="s">
        <v>6984</v>
      </c>
      <c r="EBV15" t="s">
        <v>6984</v>
      </c>
      <c r="EBW15" t="s">
        <v>6984</v>
      </c>
      <c r="EBX15" t="s">
        <v>6984</v>
      </c>
      <c r="EBY15" t="s">
        <v>6984</v>
      </c>
      <c r="EBZ15" t="s">
        <v>6984</v>
      </c>
      <c r="ECA15" t="s">
        <v>6984</v>
      </c>
      <c r="ECB15" t="s">
        <v>6984</v>
      </c>
      <c r="ECC15" t="s">
        <v>6984</v>
      </c>
      <c r="ECD15" t="s">
        <v>6984</v>
      </c>
      <c r="ECE15" t="s">
        <v>6984</v>
      </c>
      <c r="ECF15" t="s">
        <v>6984</v>
      </c>
      <c r="ECG15" t="s">
        <v>6984</v>
      </c>
      <c r="ECH15" t="s">
        <v>6984</v>
      </c>
      <c r="ECI15" t="s">
        <v>6984</v>
      </c>
      <c r="ECJ15" t="s">
        <v>6984</v>
      </c>
      <c r="ECK15" t="s">
        <v>6984</v>
      </c>
      <c r="ECL15" t="s">
        <v>6984</v>
      </c>
      <c r="ECM15" t="s">
        <v>6984</v>
      </c>
      <c r="ECN15" t="s">
        <v>6984</v>
      </c>
      <c r="ECO15" t="s">
        <v>6984</v>
      </c>
      <c r="ECP15" t="s">
        <v>6984</v>
      </c>
      <c r="ECQ15" t="s">
        <v>6984</v>
      </c>
      <c r="ECR15" t="s">
        <v>6984</v>
      </c>
      <c r="ECS15" t="s">
        <v>6984</v>
      </c>
      <c r="ECT15" t="s">
        <v>6984</v>
      </c>
      <c r="ECU15" t="s">
        <v>6984</v>
      </c>
      <c r="ECV15" t="s">
        <v>6984</v>
      </c>
      <c r="ECW15" t="s">
        <v>6984</v>
      </c>
      <c r="ECX15" t="s">
        <v>6984</v>
      </c>
      <c r="ECY15" t="s">
        <v>6984</v>
      </c>
      <c r="ECZ15" t="s">
        <v>6984</v>
      </c>
      <c r="EDA15" t="s">
        <v>6984</v>
      </c>
      <c r="EDB15" t="s">
        <v>6984</v>
      </c>
      <c r="EDC15" t="s">
        <v>6984</v>
      </c>
      <c r="EDD15" t="s">
        <v>6984</v>
      </c>
      <c r="EDE15" t="s">
        <v>6984</v>
      </c>
      <c r="EDF15" t="s">
        <v>6984</v>
      </c>
      <c r="EDG15" t="s">
        <v>6984</v>
      </c>
      <c r="EDH15" t="s">
        <v>6984</v>
      </c>
      <c r="EDI15" t="s">
        <v>6984</v>
      </c>
      <c r="EDJ15" t="s">
        <v>6984</v>
      </c>
      <c r="EDK15" t="s">
        <v>6984</v>
      </c>
      <c r="EDL15" t="s">
        <v>6984</v>
      </c>
      <c r="EDM15" t="s">
        <v>6984</v>
      </c>
      <c r="EDN15" t="s">
        <v>6984</v>
      </c>
      <c r="EDO15" t="s">
        <v>6984</v>
      </c>
      <c r="EDP15" t="s">
        <v>6984</v>
      </c>
      <c r="EDQ15" t="s">
        <v>6984</v>
      </c>
      <c r="EDR15" t="s">
        <v>6984</v>
      </c>
      <c r="EDS15" t="s">
        <v>6984</v>
      </c>
      <c r="EDT15" t="s">
        <v>6984</v>
      </c>
      <c r="EDU15" t="s">
        <v>6984</v>
      </c>
      <c r="EDV15" t="s">
        <v>6984</v>
      </c>
      <c r="EDW15" t="s">
        <v>6984</v>
      </c>
      <c r="EDX15" t="s">
        <v>6984</v>
      </c>
      <c r="EDY15" t="s">
        <v>6984</v>
      </c>
      <c r="EDZ15" t="s">
        <v>6984</v>
      </c>
      <c r="EEA15" t="s">
        <v>6984</v>
      </c>
      <c r="EEB15" t="s">
        <v>6984</v>
      </c>
      <c r="EEC15" t="s">
        <v>6984</v>
      </c>
      <c r="EED15" t="s">
        <v>6984</v>
      </c>
      <c r="EEE15" t="s">
        <v>6984</v>
      </c>
      <c r="EEF15" t="s">
        <v>6984</v>
      </c>
      <c r="EEG15" t="s">
        <v>6984</v>
      </c>
      <c r="EEH15" t="s">
        <v>6984</v>
      </c>
      <c r="EEI15" t="s">
        <v>6984</v>
      </c>
      <c r="EEJ15" t="s">
        <v>6984</v>
      </c>
      <c r="EEK15" t="s">
        <v>6984</v>
      </c>
      <c r="EEL15" t="s">
        <v>6984</v>
      </c>
      <c r="EEM15" t="s">
        <v>6984</v>
      </c>
      <c r="EEN15" t="s">
        <v>6984</v>
      </c>
      <c r="EEO15" t="s">
        <v>6984</v>
      </c>
      <c r="EEP15" t="s">
        <v>6984</v>
      </c>
      <c r="EEQ15" t="s">
        <v>6984</v>
      </c>
      <c r="EER15" t="s">
        <v>6984</v>
      </c>
      <c r="EES15" t="s">
        <v>6984</v>
      </c>
      <c r="EET15" t="s">
        <v>6984</v>
      </c>
      <c r="EEU15" t="s">
        <v>6984</v>
      </c>
      <c r="EEV15" t="s">
        <v>6984</v>
      </c>
      <c r="EEW15" t="s">
        <v>6984</v>
      </c>
      <c r="EEX15" t="s">
        <v>6984</v>
      </c>
      <c r="EEY15" t="s">
        <v>6984</v>
      </c>
      <c r="EEZ15" t="s">
        <v>6984</v>
      </c>
      <c r="EFA15" t="s">
        <v>6984</v>
      </c>
      <c r="EFB15" t="s">
        <v>6984</v>
      </c>
      <c r="EFC15" t="s">
        <v>6984</v>
      </c>
      <c r="EFD15" t="s">
        <v>6984</v>
      </c>
      <c r="EFE15" t="s">
        <v>6984</v>
      </c>
      <c r="EFF15" t="s">
        <v>6984</v>
      </c>
      <c r="EFG15" t="s">
        <v>6984</v>
      </c>
      <c r="EFH15" t="s">
        <v>6984</v>
      </c>
      <c r="EFI15" t="s">
        <v>6984</v>
      </c>
      <c r="EFJ15" t="s">
        <v>6984</v>
      </c>
      <c r="EFK15" t="s">
        <v>6984</v>
      </c>
      <c r="EFL15" t="s">
        <v>6984</v>
      </c>
      <c r="EFM15" t="s">
        <v>6984</v>
      </c>
      <c r="EFN15" t="s">
        <v>6984</v>
      </c>
      <c r="EFO15" t="s">
        <v>6984</v>
      </c>
      <c r="EFP15" t="s">
        <v>6984</v>
      </c>
      <c r="EFQ15" t="s">
        <v>6984</v>
      </c>
      <c r="EFR15" t="s">
        <v>6984</v>
      </c>
      <c r="EFS15" t="s">
        <v>6984</v>
      </c>
      <c r="EFT15" t="s">
        <v>6984</v>
      </c>
      <c r="EFU15" t="s">
        <v>6984</v>
      </c>
      <c r="EFV15" t="s">
        <v>6984</v>
      </c>
      <c r="EFW15" t="s">
        <v>6984</v>
      </c>
      <c r="EFX15" t="s">
        <v>6984</v>
      </c>
      <c r="EFY15" t="s">
        <v>6984</v>
      </c>
      <c r="EFZ15" t="s">
        <v>6984</v>
      </c>
      <c r="EGA15" t="s">
        <v>6984</v>
      </c>
      <c r="EGB15" t="s">
        <v>6984</v>
      </c>
      <c r="EGC15" t="s">
        <v>6984</v>
      </c>
      <c r="EGD15" t="s">
        <v>6984</v>
      </c>
      <c r="EGE15" t="s">
        <v>6984</v>
      </c>
      <c r="EGF15" t="s">
        <v>6984</v>
      </c>
      <c r="EGG15" t="s">
        <v>6984</v>
      </c>
      <c r="EGH15" t="s">
        <v>6984</v>
      </c>
      <c r="EGI15" t="s">
        <v>6984</v>
      </c>
      <c r="EGJ15" t="s">
        <v>6984</v>
      </c>
      <c r="EGK15" t="s">
        <v>6984</v>
      </c>
      <c r="EGL15" t="s">
        <v>6984</v>
      </c>
      <c r="EGM15" t="s">
        <v>6984</v>
      </c>
      <c r="EGN15" t="s">
        <v>6984</v>
      </c>
      <c r="EGO15" t="s">
        <v>6984</v>
      </c>
      <c r="EGP15" t="s">
        <v>6984</v>
      </c>
      <c r="EGQ15" t="s">
        <v>6984</v>
      </c>
      <c r="EGR15" t="s">
        <v>6984</v>
      </c>
      <c r="EGS15" t="s">
        <v>6984</v>
      </c>
      <c r="EGT15" t="s">
        <v>6984</v>
      </c>
      <c r="EGU15" t="s">
        <v>6984</v>
      </c>
      <c r="EGV15" t="s">
        <v>6984</v>
      </c>
      <c r="EGW15" t="s">
        <v>6984</v>
      </c>
      <c r="EGX15" t="s">
        <v>6984</v>
      </c>
      <c r="EGY15" t="s">
        <v>6984</v>
      </c>
      <c r="EGZ15" t="s">
        <v>6984</v>
      </c>
      <c r="EHA15" t="s">
        <v>6984</v>
      </c>
      <c r="EHB15" t="s">
        <v>6984</v>
      </c>
      <c r="EHC15" t="s">
        <v>6984</v>
      </c>
      <c r="EHD15" t="s">
        <v>6984</v>
      </c>
      <c r="EHE15" t="s">
        <v>6984</v>
      </c>
      <c r="EHF15" t="s">
        <v>6984</v>
      </c>
      <c r="EHG15" t="s">
        <v>6984</v>
      </c>
      <c r="EHH15" t="s">
        <v>6984</v>
      </c>
      <c r="EHI15" t="s">
        <v>6984</v>
      </c>
      <c r="EHJ15" t="s">
        <v>6984</v>
      </c>
      <c r="EHK15" t="s">
        <v>6984</v>
      </c>
      <c r="EHL15" t="s">
        <v>6984</v>
      </c>
      <c r="EHM15" t="s">
        <v>6984</v>
      </c>
      <c r="EHN15" t="s">
        <v>6984</v>
      </c>
      <c r="EHO15" t="s">
        <v>6984</v>
      </c>
      <c r="EHP15" t="s">
        <v>6984</v>
      </c>
      <c r="EHQ15" t="s">
        <v>6984</v>
      </c>
      <c r="EHR15" t="s">
        <v>6984</v>
      </c>
      <c r="EHS15" t="s">
        <v>6984</v>
      </c>
      <c r="EHT15" t="s">
        <v>6984</v>
      </c>
      <c r="EHU15" t="s">
        <v>6984</v>
      </c>
      <c r="EHV15" t="s">
        <v>6984</v>
      </c>
      <c r="EHW15" t="s">
        <v>6984</v>
      </c>
      <c r="EHX15" t="s">
        <v>6984</v>
      </c>
      <c r="EHY15" t="s">
        <v>6984</v>
      </c>
      <c r="EHZ15" t="s">
        <v>6984</v>
      </c>
      <c r="EIA15" t="s">
        <v>6984</v>
      </c>
      <c r="EIB15" t="s">
        <v>6984</v>
      </c>
      <c r="EIC15" t="s">
        <v>6984</v>
      </c>
      <c r="EID15" t="s">
        <v>6984</v>
      </c>
      <c r="EIE15" t="s">
        <v>6984</v>
      </c>
      <c r="EIF15" t="s">
        <v>6984</v>
      </c>
      <c r="EIG15" t="s">
        <v>6984</v>
      </c>
      <c r="EIH15" t="s">
        <v>6984</v>
      </c>
      <c r="EII15" t="s">
        <v>6984</v>
      </c>
      <c r="EIJ15" t="s">
        <v>6984</v>
      </c>
      <c r="EIK15" t="s">
        <v>6984</v>
      </c>
      <c r="EIL15" t="s">
        <v>6984</v>
      </c>
      <c r="EIM15" t="s">
        <v>6984</v>
      </c>
      <c r="EIN15" t="s">
        <v>6984</v>
      </c>
      <c r="EIO15" t="s">
        <v>6984</v>
      </c>
      <c r="EIP15" t="s">
        <v>6984</v>
      </c>
      <c r="EIQ15" t="s">
        <v>6984</v>
      </c>
      <c r="EIR15" t="s">
        <v>6984</v>
      </c>
      <c r="EIS15" t="s">
        <v>6984</v>
      </c>
      <c r="EIT15" t="s">
        <v>6984</v>
      </c>
      <c r="EIU15" t="s">
        <v>6984</v>
      </c>
      <c r="EIV15" t="s">
        <v>6984</v>
      </c>
      <c r="EIW15" t="s">
        <v>6984</v>
      </c>
      <c r="EIX15" t="s">
        <v>6984</v>
      </c>
      <c r="EIY15" t="s">
        <v>6984</v>
      </c>
      <c r="EIZ15" t="s">
        <v>6984</v>
      </c>
      <c r="EJA15" t="s">
        <v>6984</v>
      </c>
      <c r="EJB15" t="s">
        <v>6984</v>
      </c>
      <c r="EJC15" t="s">
        <v>6984</v>
      </c>
      <c r="EJD15" t="s">
        <v>6984</v>
      </c>
      <c r="EJE15" t="s">
        <v>6984</v>
      </c>
      <c r="EJF15" t="s">
        <v>6984</v>
      </c>
      <c r="EJG15" t="s">
        <v>6984</v>
      </c>
      <c r="EJH15" t="s">
        <v>6984</v>
      </c>
      <c r="EJI15" t="s">
        <v>6984</v>
      </c>
      <c r="EJJ15" t="s">
        <v>6984</v>
      </c>
      <c r="EJK15" t="s">
        <v>6984</v>
      </c>
      <c r="EJL15" t="s">
        <v>6984</v>
      </c>
      <c r="EJM15" t="s">
        <v>6984</v>
      </c>
      <c r="EJN15" t="s">
        <v>6984</v>
      </c>
      <c r="EJO15" t="s">
        <v>6984</v>
      </c>
      <c r="EJP15" t="s">
        <v>6984</v>
      </c>
      <c r="EJQ15" t="s">
        <v>6984</v>
      </c>
      <c r="EJR15" t="s">
        <v>6984</v>
      </c>
      <c r="EJS15" t="s">
        <v>6984</v>
      </c>
      <c r="EJT15" t="s">
        <v>6984</v>
      </c>
      <c r="EJU15" t="s">
        <v>6984</v>
      </c>
      <c r="EJV15" t="s">
        <v>6984</v>
      </c>
      <c r="EJW15" t="s">
        <v>6984</v>
      </c>
      <c r="EJX15" t="s">
        <v>6984</v>
      </c>
      <c r="EJY15" t="s">
        <v>6984</v>
      </c>
      <c r="EJZ15" t="s">
        <v>6984</v>
      </c>
      <c r="EKA15" t="s">
        <v>6984</v>
      </c>
      <c r="EKB15" t="s">
        <v>6984</v>
      </c>
      <c r="EKC15" t="s">
        <v>6984</v>
      </c>
      <c r="EKD15" t="s">
        <v>6984</v>
      </c>
      <c r="EKE15" t="s">
        <v>6984</v>
      </c>
      <c r="EKF15" t="s">
        <v>6984</v>
      </c>
      <c r="EKG15" t="s">
        <v>6984</v>
      </c>
      <c r="EKH15" t="s">
        <v>6984</v>
      </c>
      <c r="EKI15" t="s">
        <v>6984</v>
      </c>
      <c r="EKJ15" t="s">
        <v>6984</v>
      </c>
      <c r="EKK15" t="s">
        <v>6984</v>
      </c>
      <c r="EKL15" t="s">
        <v>6984</v>
      </c>
      <c r="EKM15" t="s">
        <v>6984</v>
      </c>
      <c r="EKN15" t="s">
        <v>6984</v>
      </c>
      <c r="EKO15" t="s">
        <v>6984</v>
      </c>
      <c r="EKP15" t="s">
        <v>6984</v>
      </c>
      <c r="EKQ15" t="s">
        <v>6984</v>
      </c>
      <c r="EKR15" t="s">
        <v>6984</v>
      </c>
      <c r="EKS15" t="s">
        <v>6984</v>
      </c>
      <c r="EKT15" t="s">
        <v>6984</v>
      </c>
      <c r="EKU15" t="s">
        <v>6984</v>
      </c>
      <c r="EKV15" t="s">
        <v>6984</v>
      </c>
      <c r="EKW15" t="s">
        <v>6984</v>
      </c>
      <c r="EKX15" t="s">
        <v>6984</v>
      </c>
      <c r="EKY15" t="s">
        <v>6984</v>
      </c>
      <c r="EKZ15" t="s">
        <v>6984</v>
      </c>
      <c r="ELA15" t="s">
        <v>6984</v>
      </c>
      <c r="ELB15" t="s">
        <v>6984</v>
      </c>
      <c r="ELC15" t="s">
        <v>6984</v>
      </c>
      <c r="ELD15" t="s">
        <v>6984</v>
      </c>
      <c r="ELE15" t="s">
        <v>6984</v>
      </c>
      <c r="ELF15" t="s">
        <v>6984</v>
      </c>
      <c r="ELG15" t="s">
        <v>6984</v>
      </c>
      <c r="ELH15" t="s">
        <v>6984</v>
      </c>
      <c r="ELI15" t="s">
        <v>6984</v>
      </c>
      <c r="ELJ15" t="s">
        <v>6984</v>
      </c>
      <c r="ELK15" t="s">
        <v>6984</v>
      </c>
      <c r="ELL15" t="s">
        <v>6984</v>
      </c>
      <c r="ELM15" t="s">
        <v>6984</v>
      </c>
      <c r="ELN15" t="s">
        <v>6984</v>
      </c>
      <c r="ELO15" t="s">
        <v>6984</v>
      </c>
      <c r="ELP15" t="s">
        <v>6984</v>
      </c>
      <c r="ELQ15" t="s">
        <v>6984</v>
      </c>
      <c r="ELR15" t="s">
        <v>6984</v>
      </c>
      <c r="ELS15" t="s">
        <v>6984</v>
      </c>
      <c r="ELT15" t="s">
        <v>6984</v>
      </c>
      <c r="ELU15" t="s">
        <v>6984</v>
      </c>
      <c r="ELV15" t="s">
        <v>6984</v>
      </c>
      <c r="ELW15" t="s">
        <v>6984</v>
      </c>
      <c r="ELX15" t="s">
        <v>6984</v>
      </c>
      <c r="ELY15" t="s">
        <v>6984</v>
      </c>
      <c r="ELZ15" t="s">
        <v>6984</v>
      </c>
      <c r="EMA15" t="s">
        <v>6984</v>
      </c>
      <c r="EMB15" t="s">
        <v>6984</v>
      </c>
      <c r="EMC15" t="s">
        <v>6984</v>
      </c>
      <c r="EMD15" t="s">
        <v>6984</v>
      </c>
      <c r="EME15" t="s">
        <v>6984</v>
      </c>
      <c r="EMF15" t="s">
        <v>6984</v>
      </c>
      <c r="EMG15" t="s">
        <v>6984</v>
      </c>
      <c r="EMH15" t="s">
        <v>6984</v>
      </c>
      <c r="EMI15" t="s">
        <v>6984</v>
      </c>
      <c r="EMJ15" t="s">
        <v>6984</v>
      </c>
      <c r="EMK15" t="s">
        <v>6984</v>
      </c>
      <c r="EML15" t="s">
        <v>6984</v>
      </c>
      <c r="EMM15" t="s">
        <v>6984</v>
      </c>
      <c r="EMN15" t="s">
        <v>6984</v>
      </c>
      <c r="EMO15" t="s">
        <v>6984</v>
      </c>
      <c r="EMP15" t="s">
        <v>6984</v>
      </c>
      <c r="EMQ15" t="s">
        <v>6984</v>
      </c>
      <c r="EMR15" t="s">
        <v>6984</v>
      </c>
      <c r="EMS15" t="s">
        <v>6984</v>
      </c>
      <c r="EMT15" t="s">
        <v>6984</v>
      </c>
      <c r="EMU15" t="s">
        <v>6984</v>
      </c>
      <c r="EMV15" t="s">
        <v>6984</v>
      </c>
      <c r="EMW15" t="s">
        <v>6984</v>
      </c>
      <c r="EMX15" t="s">
        <v>6984</v>
      </c>
      <c r="EMY15" t="s">
        <v>6984</v>
      </c>
      <c r="EMZ15" t="s">
        <v>6984</v>
      </c>
      <c r="ENA15" t="s">
        <v>6984</v>
      </c>
      <c r="ENB15" t="s">
        <v>6984</v>
      </c>
      <c r="ENC15" t="s">
        <v>6984</v>
      </c>
      <c r="END15" t="s">
        <v>6984</v>
      </c>
      <c r="ENE15" t="s">
        <v>6984</v>
      </c>
      <c r="ENF15" t="s">
        <v>6984</v>
      </c>
      <c r="ENG15" t="s">
        <v>6984</v>
      </c>
      <c r="ENH15" t="s">
        <v>6984</v>
      </c>
      <c r="ENI15" t="s">
        <v>6984</v>
      </c>
      <c r="ENJ15" t="s">
        <v>6984</v>
      </c>
      <c r="ENK15" t="s">
        <v>6984</v>
      </c>
      <c r="ENL15" t="s">
        <v>6984</v>
      </c>
      <c r="ENM15" t="s">
        <v>6984</v>
      </c>
      <c r="ENN15" t="s">
        <v>6984</v>
      </c>
      <c r="ENO15" t="s">
        <v>6984</v>
      </c>
      <c r="ENP15" t="s">
        <v>6984</v>
      </c>
      <c r="ENQ15" t="s">
        <v>6984</v>
      </c>
      <c r="ENR15" t="s">
        <v>6984</v>
      </c>
      <c r="ENS15" t="s">
        <v>6984</v>
      </c>
      <c r="ENT15" t="s">
        <v>6984</v>
      </c>
      <c r="ENU15" t="s">
        <v>6984</v>
      </c>
      <c r="ENV15" t="s">
        <v>6984</v>
      </c>
      <c r="ENW15" t="s">
        <v>6984</v>
      </c>
      <c r="ENX15" t="s">
        <v>6984</v>
      </c>
      <c r="ENY15" t="s">
        <v>6984</v>
      </c>
      <c r="ENZ15" t="s">
        <v>6984</v>
      </c>
      <c r="EOA15" t="s">
        <v>6984</v>
      </c>
      <c r="EOB15" t="s">
        <v>6984</v>
      </c>
      <c r="EOC15" t="s">
        <v>6984</v>
      </c>
      <c r="EOD15" t="s">
        <v>6984</v>
      </c>
      <c r="EOE15" t="s">
        <v>6984</v>
      </c>
      <c r="EOF15" t="s">
        <v>6984</v>
      </c>
      <c r="EOG15" t="s">
        <v>6984</v>
      </c>
      <c r="EOH15" t="s">
        <v>6984</v>
      </c>
      <c r="EOI15" t="s">
        <v>6984</v>
      </c>
      <c r="EOJ15" t="s">
        <v>6984</v>
      </c>
      <c r="EOK15" t="s">
        <v>6984</v>
      </c>
      <c r="EOL15" t="s">
        <v>6984</v>
      </c>
      <c r="EOM15" t="s">
        <v>6984</v>
      </c>
      <c r="EON15" t="s">
        <v>6984</v>
      </c>
      <c r="EOO15" t="s">
        <v>6984</v>
      </c>
      <c r="EOP15" t="s">
        <v>6984</v>
      </c>
      <c r="EOQ15" t="s">
        <v>6984</v>
      </c>
      <c r="EOR15" t="s">
        <v>6984</v>
      </c>
      <c r="EOS15" t="s">
        <v>6984</v>
      </c>
      <c r="EOT15" t="s">
        <v>6984</v>
      </c>
      <c r="EOU15" t="s">
        <v>6984</v>
      </c>
      <c r="EOV15" t="s">
        <v>6984</v>
      </c>
      <c r="EOW15" t="s">
        <v>6984</v>
      </c>
      <c r="EOX15" t="s">
        <v>6984</v>
      </c>
      <c r="EOY15" t="s">
        <v>6984</v>
      </c>
      <c r="EOZ15" t="s">
        <v>6984</v>
      </c>
      <c r="EPA15" t="s">
        <v>6984</v>
      </c>
      <c r="EPB15" t="s">
        <v>6984</v>
      </c>
      <c r="EPC15" t="s">
        <v>6984</v>
      </c>
      <c r="EPD15" t="s">
        <v>6984</v>
      </c>
      <c r="EPE15" t="s">
        <v>6984</v>
      </c>
      <c r="EPF15" t="s">
        <v>6984</v>
      </c>
      <c r="EPG15" t="s">
        <v>6984</v>
      </c>
      <c r="EPH15" t="s">
        <v>6984</v>
      </c>
      <c r="EPI15" t="s">
        <v>6984</v>
      </c>
      <c r="EPJ15" t="s">
        <v>6984</v>
      </c>
      <c r="EPK15" t="s">
        <v>6984</v>
      </c>
      <c r="EPL15" t="s">
        <v>6984</v>
      </c>
      <c r="EPM15" t="s">
        <v>6984</v>
      </c>
      <c r="EPN15" t="s">
        <v>6984</v>
      </c>
      <c r="EPO15" t="s">
        <v>6984</v>
      </c>
      <c r="EPP15" t="s">
        <v>6984</v>
      </c>
      <c r="EPQ15" t="s">
        <v>6984</v>
      </c>
      <c r="EPR15" t="s">
        <v>6984</v>
      </c>
      <c r="EPS15" t="s">
        <v>6984</v>
      </c>
      <c r="EPT15" t="s">
        <v>6984</v>
      </c>
      <c r="EPU15" t="s">
        <v>6984</v>
      </c>
      <c r="EPV15" t="s">
        <v>6984</v>
      </c>
      <c r="EPW15" t="s">
        <v>6984</v>
      </c>
      <c r="EPX15" t="s">
        <v>6984</v>
      </c>
      <c r="EPY15" t="s">
        <v>6984</v>
      </c>
      <c r="EPZ15" t="s">
        <v>6984</v>
      </c>
      <c r="EQA15" t="s">
        <v>6984</v>
      </c>
      <c r="EQB15" t="s">
        <v>6984</v>
      </c>
      <c r="EQC15" t="s">
        <v>6984</v>
      </c>
      <c r="EQD15" t="s">
        <v>6984</v>
      </c>
      <c r="EQE15" t="s">
        <v>6984</v>
      </c>
      <c r="EQF15" t="s">
        <v>6984</v>
      </c>
      <c r="EQG15" t="s">
        <v>6984</v>
      </c>
      <c r="EQH15" t="s">
        <v>6984</v>
      </c>
      <c r="EQI15" t="s">
        <v>6984</v>
      </c>
      <c r="EQJ15" t="s">
        <v>6984</v>
      </c>
      <c r="EQK15" t="s">
        <v>6984</v>
      </c>
      <c r="EQL15" t="s">
        <v>6984</v>
      </c>
      <c r="EQM15" t="s">
        <v>6984</v>
      </c>
      <c r="EQN15" t="s">
        <v>6984</v>
      </c>
      <c r="EQO15" t="s">
        <v>6984</v>
      </c>
      <c r="EQP15" t="s">
        <v>6984</v>
      </c>
      <c r="EQQ15" t="s">
        <v>6984</v>
      </c>
      <c r="EQR15" t="s">
        <v>6984</v>
      </c>
      <c r="EQS15" t="s">
        <v>6984</v>
      </c>
      <c r="EQT15" t="s">
        <v>6984</v>
      </c>
      <c r="EQU15" t="s">
        <v>6984</v>
      </c>
      <c r="EQV15" t="s">
        <v>6984</v>
      </c>
      <c r="EQW15" t="s">
        <v>6984</v>
      </c>
      <c r="EQX15" t="s">
        <v>6984</v>
      </c>
      <c r="EQY15" t="s">
        <v>6984</v>
      </c>
      <c r="EQZ15" t="s">
        <v>6984</v>
      </c>
      <c r="ERA15" t="s">
        <v>6984</v>
      </c>
      <c r="ERB15" t="s">
        <v>6984</v>
      </c>
      <c r="ERC15" t="s">
        <v>6984</v>
      </c>
      <c r="ERD15" t="s">
        <v>6984</v>
      </c>
      <c r="ERE15" t="s">
        <v>6984</v>
      </c>
      <c r="ERF15" t="s">
        <v>6984</v>
      </c>
      <c r="ERG15" t="s">
        <v>6984</v>
      </c>
      <c r="ERH15" t="s">
        <v>6984</v>
      </c>
      <c r="ERI15" t="s">
        <v>6984</v>
      </c>
      <c r="ERJ15" t="s">
        <v>6984</v>
      </c>
      <c r="ERK15" t="s">
        <v>6984</v>
      </c>
      <c r="ERL15" t="s">
        <v>6984</v>
      </c>
      <c r="ERM15" t="s">
        <v>6984</v>
      </c>
      <c r="ERN15" t="s">
        <v>6984</v>
      </c>
      <c r="ERO15" t="s">
        <v>6984</v>
      </c>
      <c r="ERP15" t="s">
        <v>6984</v>
      </c>
      <c r="ERQ15" t="s">
        <v>6984</v>
      </c>
      <c r="ERR15" t="s">
        <v>6984</v>
      </c>
      <c r="ERS15" t="s">
        <v>6984</v>
      </c>
      <c r="ERT15" t="s">
        <v>6984</v>
      </c>
      <c r="ERU15" t="s">
        <v>6984</v>
      </c>
      <c r="ERV15" t="s">
        <v>6984</v>
      </c>
      <c r="ERW15" t="s">
        <v>6984</v>
      </c>
      <c r="ERX15" t="s">
        <v>6984</v>
      </c>
      <c r="ERY15" t="s">
        <v>6984</v>
      </c>
      <c r="ERZ15" t="s">
        <v>6984</v>
      </c>
      <c r="ESA15" t="s">
        <v>6984</v>
      </c>
      <c r="ESB15" t="s">
        <v>6984</v>
      </c>
      <c r="ESC15" t="s">
        <v>6984</v>
      </c>
      <c r="ESD15" t="s">
        <v>6984</v>
      </c>
      <c r="ESE15" t="s">
        <v>6984</v>
      </c>
      <c r="ESF15" t="s">
        <v>6984</v>
      </c>
      <c r="ESG15" t="s">
        <v>6984</v>
      </c>
      <c r="ESH15" t="s">
        <v>6984</v>
      </c>
      <c r="ESI15" t="s">
        <v>6984</v>
      </c>
      <c r="ESJ15" t="s">
        <v>6984</v>
      </c>
      <c r="ESK15" t="s">
        <v>6984</v>
      </c>
      <c r="ESL15" t="s">
        <v>6984</v>
      </c>
      <c r="ESM15" t="s">
        <v>6984</v>
      </c>
      <c r="ESN15" t="s">
        <v>6984</v>
      </c>
      <c r="ESO15" t="s">
        <v>6984</v>
      </c>
      <c r="ESP15" t="s">
        <v>6984</v>
      </c>
      <c r="ESQ15" t="s">
        <v>6984</v>
      </c>
      <c r="ESR15" t="s">
        <v>6984</v>
      </c>
      <c r="ESS15" t="s">
        <v>6984</v>
      </c>
      <c r="EST15" t="s">
        <v>6984</v>
      </c>
      <c r="ESU15" t="s">
        <v>6984</v>
      </c>
      <c r="ESV15" t="s">
        <v>6984</v>
      </c>
      <c r="ESW15" t="s">
        <v>6984</v>
      </c>
      <c r="ESX15" t="s">
        <v>6984</v>
      </c>
      <c r="ESY15" t="s">
        <v>6984</v>
      </c>
      <c r="ESZ15" t="s">
        <v>6984</v>
      </c>
      <c r="ETA15" t="s">
        <v>6984</v>
      </c>
      <c r="ETB15" t="s">
        <v>6984</v>
      </c>
      <c r="ETC15" t="s">
        <v>6984</v>
      </c>
      <c r="ETD15" t="s">
        <v>6984</v>
      </c>
      <c r="ETE15" t="s">
        <v>6984</v>
      </c>
      <c r="ETF15" t="s">
        <v>6984</v>
      </c>
      <c r="ETG15" t="s">
        <v>6984</v>
      </c>
      <c r="ETH15" t="s">
        <v>6984</v>
      </c>
      <c r="ETI15" t="s">
        <v>6984</v>
      </c>
      <c r="ETJ15" t="s">
        <v>6984</v>
      </c>
      <c r="ETK15" t="s">
        <v>6984</v>
      </c>
      <c r="ETL15" t="s">
        <v>6984</v>
      </c>
      <c r="ETM15" t="s">
        <v>6984</v>
      </c>
      <c r="ETN15" t="s">
        <v>6984</v>
      </c>
      <c r="ETO15" t="s">
        <v>6984</v>
      </c>
      <c r="ETP15" t="s">
        <v>6984</v>
      </c>
      <c r="ETQ15" t="s">
        <v>6984</v>
      </c>
      <c r="ETR15" t="s">
        <v>6984</v>
      </c>
      <c r="ETS15" t="s">
        <v>6984</v>
      </c>
      <c r="ETT15" t="s">
        <v>6984</v>
      </c>
      <c r="ETU15" t="s">
        <v>6984</v>
      </c>
      <c r="ETV15" t="s">
        <v>6984</v>
      </c>
      <c r="ETW15" t="s">
        <v>6984</v>
      </c>
      <c r="ETX15" t="s">
        <v>6984</v>
      </c>
      <c r="ETY15" t="s">
        <v>6984</v>
      </c>
      <c r="ETZ15" t="s">
        <v>6984</v>
      </c>
      <c r="EUA15" t="s">
        <v>6984</v>
      </c>
      <c r="EUB15" t="s">
        <v>6984</v>
      </c>
      <c r="EUC15" t="s">
        <v>6984</v>
      </c>
      <c r="EUD15" t="s">
        <v>6984</v>
      </c>
      <c r="EUE15" t="s">
        <v>6984</v>
      </c>
      <c r="EUF15" t="s">
        <v>6984</v>
      </c>
      <c r="EUG15" t="s">
        <v>6984</v>
      </c>
      <c r="EUH15" t="s">
        <v>6984</v>
      </c>
      <c r="EUI15" t="s">
        <v>6984</v>
      </c>
      <c r="EUJ15" t="s">
        <v>6984</v>
      </c>
      <c r="EUK15" t="s">
        <v>6984</v>
      </c>
      <c r="EUL15" t="s">
        <v>6984</v>
      </c>
      <c r="EUM15" t="s">
        <v>6984</v>
      </c>
      <c r="EUN15" t="s">
        <v>6984</v>
      </c>
      <c r="EUO15" t="s">
        <v>6984</v>
      </c>
      <c r="EUP15" t="s">
        <v>6984</v>
      </c>
      <c r="EUQ15" t="s">
        <v>6984</v>
      </c>
      <c r="EUR15" t="s">
        <v>6984</v>
      </c>
      <c r="EUS15" t="s">
        <v>6984</v>
      </c>
      <c r="EUT15" t="s">
        <v>6984</v>
      </c>
      <c r="EUU15" t="s">
        <v>6984</v>
      </c>
      <c r="EUV15" t="s">
        <v>6984</v>
      </c>
      <c r="EUW15" t="s">
        <v>6984</v>
      </c>
      <c r="EUX15" t="s">
        <v>6984</v>
      </c>
      <c r="EUY15" t="s">
        <v>6984</v>
      </c>
      <c r="EUZ15" t="s">
        <v>6984</v>
      </c>
      <c r="EVA15" t="s">
        <v>6984</v>
      </c>
      <c r="EVB15" t="s">
        <v>6984</v>
      </c>
      <c r="EVC15" t="s">
        <v>6984</v>
      </c>
      <c r="EVD15" t="s">
        <v>6984</v>
      </c>
      <c r="EVE15" t="s">
        <v>6984</v>
      </c>
      <c r="EVF15" t="s">
        <v>6984</v>
      </c>
      <c r="EVG15" t="s">
        <v>6984</v>
      </c>
      <c r="EVH15" t="s">
        <v>6984</v>
      </c>
      <c r="EVI15" t="s">
        <v>6984</v>
      </c>
      <c r="EVJ15" t="s">
        <v>6984</v>
      </c>
      <c r="EVK15" t="s">
        <v>6984</v>
      </c>
      <c r="EVL15" t="s">
        <v>6984</v>
      </c>
      <c r="EVM15" t="s">
        <v>6984</v>
      </c>
      <c r="EVN15" t="s">
        <v>6984</v>
      </c>
      <c r="EVO15" t="s">
        <v>6984</v>
      </c>
      <c r="EVP15" t="s">
        <v>6984</v>
      </c>
      <c r="EVQ15" t="s">
        <v>6984</v>
      </c>
      <c r="EVR15" t="s">
        <v>6984</v>
      </c>
      <c r="EVS15" t="s">
        <v>6984</v>
      </c>
      <c r="EVT15" t="s">
        <v>6984</v>
      </c>
      <c r="EVU15" t="s">
        <v>6984</v>
      </c>
      <c r="EVV15" t="s">
        <v>6984</v>
      </c>
      <c r="EVW15" t="s">
        <v>6984</v>
      </c>
      <c r="EVX15" t="s">
        <v>6984</v>
      </c>
      <c r="EVY15" t="s">
        <v>6984</v>
      </c>
      <c r="EVZ15" t="s">
        <v>6984</v>
      </c>
      <c r="EWA15" t="s">
        <v>6984</v>
      </c>
      <c r="EWB15" t="s">
        <v>6984</v>
      </c>
      <c r="EWC15" t="s">
        <v>6984</v>
      </c>
      <c r="EWD15" t="s">
        <v>6984</v>
      </c>
      <c r="EWE15" t="s">
        <v>6984</v>
      </c>
      <c r="EWF15" t="s">
        <v>6984</v>
      </c>
      <c r="EWG15" t="s">
        <v>6984</v>
      </c>
      <c r="EWH15" t="s">
        <v>6984</v>
      </c>
      <c r="EWI15" t="s">
        <v>6984</v>
      </c>
      <c r="EWJ15" t="s">
        <v>6984</v>
      </c>
      <c r="EWK15" t="s">
        <v>6984</v>
      </c>
      <c r="EWL15" t="s">
        <v>6984</v>
      </c>
      <c r="EWM15" t="s">
        <v>6984</v>
      </c>
      <c r="EWN15" t="s">
        <v>6984</v>
      </c>
      <c r="EWO15" t="s">
        <v>6984</v>
      </c>
      <c r="EWP15" t="s">
        <v>6984</v>
      </c>
      <c r="EWQ15" t="s">
        <v>6984</v>
      </c>
      <c r="EWR15" t="s">
        <v>6984</v>
      </c>
      <c r="EWS15" t="s">
        <v>6984</v>
      </c>
      <c r="EWT15" t="s">
        <v>6984</v>
      </c>
      <c r="EWU15" t="s">
        <v>6984</v>
      </c>
      <c r="EWV15" t="s">
        <v>6984</v>
      </c>
      <c r="EWW15" t="s">
        <v>6984</v>
      </c>
      <c r="EWX15" t="s">
        <v>6984</v>
      </c>
      <c r="EWY15" t="s">
        <v>6984</v>
      </c>
      <c r="EWZ15" t="s">
        <v>6984</v>
      </c>
      <c r="EXA15" t="s">
        <v>6984</v>
      </c>
      <c r="EXB15" t="s">
        <v>6984</v>
      </c>
      <c r="EXC15" t="s">
        <v>6984</v>
      </c>
      <c r="EXD15" t="s">
        <v>6984</v>
      </c>
      <c r="EXE15" t="s">
        <v>6984</v>
      </c>
      <c r="EXF15" t="s">
        <v>6984</v>
      </c>
      <c r="EXG15" t="s">
        <v>6984</v>
      </c>
      <c r="EXH15" t="s">
        <v>6984</v>
      </c>
      <c r="EXI15" t="s">
        <v>6984</v>
      </c>
      <c r="EXJ15" t="s">
        <v>6984</v>
      </c>
      <c r="EXK15" t="s">
        <v>6984</v>
      </c>
      <c r="EXL15" t="s">
        <v>6984</v>
      </c>
      <c r="EXM15" t="s">
        <v>6984</v>
      </c>
      <c r="EXN15" t="s">
        <v>6984</v>
      </c>
      <c r="EXO15" t="s">
        <v>6984</v>
      </c>
      <c r="EXP15" t="s">
        <v>6984</v>
      </c>
      <c r="EXQ15" t="s">
        <v>6984</v>
      </c>
      <c r="EXR15" t="s">
        <v>6984</v>
      </c>
      <c r="EXS15" t="s">
        <v>6984</v>
      </c>
      <c r="EXT15" t="s">
        <v>6984</v>
      </c>
      <c r="EXU15" t="s">
        <v>6984</v>
      </c>
      <c r="EXV15" t="s">
        <v>6984</v>
      </c>
      <c r="EXW15" t="s">
        <v>6984</v>
      </c>
      <c r="EXX15" t="s">
        <v>6984</v>
      </c>
      <c r="EXY15" t="s">
        <v>6984</v>
      </c>
      <c r="EXZ15" t="s">
        <v>6984</v>
      </c>
      <c r="EYA15" t="s">
        <v>6984</v>
      </c>
      <c r="EYB15" t="s">
        <v>6984</v>
      </c>
      <c r="EYC15" t="s">
        <v>6984</v>
      </c>
      <c r="EYD15" t="s">
        <v>6984</v>
      </c>
      <c r="EYE15" t="s">
        <v>6984</v>
      </c>
      <c r="EYF15" t="s">
        <v>6984</v>
      </c>
      <c r="EYG15" t="s">
        <v>6984</v>
      </c>
      <c r="EYH15" t="s">
        <v>6984</v>
      </c>
      <c r="EYI15" t="s">
        <v>6984</v>
      </c>
      <c r="EYJ15" t="s">
        <v>6984</v>
      </c>
      <c r="EYK15" t="s">
        <v>6984</v>
      </c>
      <c r="EYL15" t="s">
        <v>6984</v>
      </c>
      <c r="EYM15" t="s">
        <v>6984</v>
      </c>
      <c r="EYN15" t="s">
        <v>6984</v>
      </c>
      <c r="EYO15" t="s">
        <v>6984</v>
      </c>
      <c r="EYP15" t="s">
        <v>6984</v>
      </c>
      <c r="EYQ15" t="s">
        <v>6984</v>
      </c>
      <c r="EYR15" t="s">
        <v>6984</v>
      </c>
      <c r="EYS15" t="s">
        <v>6984</v>
      </c>
      <c r="EYT15" t="s">
        <v>6984</v>
      </c>
      <c r="EYU15" t="s">
        <v>6984</v>
      </c>
      <c r="EYV15" t="s">
        <v>6984</v>
      </c>
      <c r="EYW15" t="s">
        <v>6984</v>
      </c>
      <c r="EYX15" t="s">
        <v>6984</v>
      </c>
      <c r="EYY15" t="s">
        <v>6984</v>
      </c>
      <c r="EYZ15" t="s">
        <v>6984</v>
      </c>
      <c r="EZA15" t="s">
        <v>6984</v>
      </c>
      <c r="EZB15" t="s">
        <v>6984</v>
      </c>
      <c r="EZC15" t="s">
        <v>6984</v>
      </c>
      <c r="EZD15" t="s">
        <v>6984</v>
      </c>
      <c r="EZE15" t="s">
        <v>6984</v>
      </c>
      <c r="EZF15" t="s">
        <v>6984</v>
      </c>
      <c r="EZG15" t="s">
        <v>6984</v>
      </c>
      <c r="EZH15" t="s">
        <v>6984</v>
      </c>
      <c r="EZI15" t="s">
        <v>6984</v>
      </c>
      <c r="EZJ15" t="s">
        <v>6984</v>
      </c>
      <c r="EZK15" t="s">
        <v>6984</v>
      </c>
      <c r="EZL15" t="s">
        <v>6984</v>
      </c>
      <c r="EZM15" t="s">
        <v>6984</v>
      </c>
      <c r="EZN15" t="s">
        <v>6984</v>
      </c>
      <c r="EZO15" t="s">
        <v>6984</v>
      </c>
      <c r="EZP15" t="s">
        <v>6984</v>
      </c>
      <c r="EZQ15" t="s">
        <v>6984</v>
      </c>
      <c r="EZR15" t="s">
        <v>6984</v>
      </c>
      <c r="EZS15" t="s">
        <v>6984</v>
      </c>
      <c r="EZT15" t="s">
        <v>6984</v>
      </c>
      <c r="EZU15" t="s">
        <v>6984</v>
      </c>
      <c r="EZV15" t="s">
        <v>6984</v>
      </c>
      <c r="EZW15" t="s">
        <v>6984</v>
      </c>
      <c r="EZX15" t="s">
        <v>6984</v>
      </c>
      <c r="EZY15" t="s">
        <v>6984</v>
      </c>
      <c r="EZZ15" t="s">
        <v>6984</v>
      </c>
      <c r="FAA15" t="s">
        <v>6984</v>
      </c>
      <c r="FAB15" t="s">
        <v>6984</v>
      </c>
      <c r="FAC15" t="s">
        <v>6984</v>
      </c>
      <c r="FAD15" t="s">
        <v>6984</v>
      </c>
      <c r="FAE15" t="s">
        <v>6984</v>
      </c>
      <c r="FAF15" t="s">
        <v>6984</v>
      </c>
      <c r="FAG15" t="s">
        <v>6984</v>
      </c>
      <c r="FAH15" t="s">
        <v>6984</v>
      </c>
      <c r="FAI15" t="s">
        <v>6984</v>
      </c>
      <c r="FAJ15" t="s">
        <v>6984</v>
      </c>
      <c r="FAK15" t="s">
        <v>6984</v>
      </c>
      <c r="FAL15" t="s">
        <v>6984</v>
      </c>
      <c r="FAM15" t="s">
        <v>6984</v>
      </c>
      <c r="FAN15" t="s">
        <v>6984</v>
      </c>
      <c r="FAO15" t="s">
        <v>6984</v>
      </c>
      <c r="FAP15" t="s">
        <v>6984</v>
      </c>
      <c r="FAQ15" t="s">
        <v>6984</v>
      </c>
      <c r="FAR15" t="s">
        <v>6984</v>
      </c>
      <c r="FAS15" t="s">
        <v>6984</v>
      </c>
      <c r="FAT15" t="s">
        <v>6984</v>
      </c>
      <c r="FAU15" t="s">
        <v>6984</v>
      </c>
      <c r="FAV15" t="s">
        <v>6984</v>
      </c>
      <c r="FAW15" t="s">
        <v>6984</v>
      </c>
      <c r="FAX15" t="s">
        <v>6984</v>
      </c>
      <c r="FAY15" t="s">
        <v>6984</v>
      </c>
      <c r="FAZ15" t="s">
        <v>6984</v>
      </c>
      <c r="FBA15" t="s">
        <v>6984</v>
      </c>
      <c r="FBB15" t="s">
        <v>6984</v>
      </c>
      <c r="FBC15" t="s">
        <v>6984</v>
      </c>
      <c r="FBD15" t="s">
        <v>6984</v>
      </c>
      <c r="FBE15" t="s">
        <v>6984</v>
      </c>
      <c r="FBF15" t="s">
        <v>6984</v>
      </c>
      <c r="FBG15" t="s">
        <v>6984</v>
      </c>
      <c r="FBH15" t="s">
        <v>6984</v>
      </c>
      <c r="FBI15" t="s">
        <v>6984</v>
      </c>
      <c r="FBJ15" t="s">
        <v>6984</v>
      </c>
      <c r="FBK15" t="s">
        <v>6984</v>
      </c>
      <c r="FBL15" t="s">
        <v>6984</v>
      </c>
      <c r="FBM15" t="s">
        <v>6984</v>
      </c>
      <c r="FBN15" t="s">
        <v>6984</v>
      </c>
      <c r="FBO15" t="s">
        <v>6984</v>
      </c>
      <c r="FBP15" t="s">
        <v>6984</v>
      </c>
      <c r="FBQ15" t="s">
        <v>6984</v>
      </c>
      <c r="FBR15" t="s">
        <v>6984</v>
      </c>
      <c r="FBS15" t="s">
        <v>6984</v>
      </c>
      <c r="FBT15" t="s">
        <v>6984</v>
      </c>
      <c r="FBU15" t="s">
        <v>6984</v>
      </c>
      <c r="FBV15" t="s">
        <v>6984</v>
      </c>
      <c r="FBW15" t="s">
        <v>6984</v>
      </c>
      <c r="FBX15" t="s">
        <v>6984</v>
      </c>
      <c r="FBY15" t="s">
        <v>6984</v>
      </c>
      <c r="FBZ15" t="s">
        <v>6984</v>
      </c>
      <c r="FCA15" t="s">
        <v>6984</v>
      </c>
      <c r="FCB15" t="s">
        <v>6984</v>
      </c>
      <c r="FCC15" t="s">
        <v>6984</v>
      </c>
      <c r="FCD15" t="s">
        <v>6984</v>
      </c>
      <c r="FCE15" t="s">
        <v>6984</v>
      </c>
      <c r="FCF15" t="s">
        <v>6984</v>
      </c>
      <c r="FCG15" t="s">
        <v>6984</v>
      </c>
      <c r="FCH15" t="s">
        <v>6984</v>
      </c>
      <c r="FCI15" t="s">
        <v>6984</v>
      </c>
      <c r="FCJ15" t="s">
        <v>6984</v>
      </c>
      <c r="FCK15" t="s">
        <v>6984</v>
      </c>
      <c r="FCL15" t="s">
        <v>6984</v>
      </c>
      <c r="FCM15" t="s">
        <v>6984</v>
      </c>
      <c r="FCN15" t="s">
        <v>6984</v>
      </c>
      <c r="FCO15" t="s">
        <v>6984</v>
      </c>
      <c r="FCP15" t="s">
        <v>6984</v>
      </c>
      <c r="FCQ15" t="s">
        <v>6984</v>
      </c>
      <c r="FCR15" t="s">
        <v>6984</v>
      </c>
      <c r="FCS15" t="s">
        <v>6984</v>
      </c>
      <c r="FCT15" t="s">
        <v>6984</v>
      </c>
      <c r="FCU15" t="s">
        <v>6984</v>
      </c>
      <c r="FCV15" t="s">
        <v>6984</v>
      </c>
      <c r="FCW15" t="s">
        <v>6984</v>
      </c>
      <c r="FCX15" t="s">
        <v>6984</v>
      </c>
      <c r="FCY15" t="s">
        <v>6984</v>
      </c>
      <c r="FCZ15" t="s">
        <v>6984</v>
      </c>
      <c r="FDA15" t="s">
        <v>6984</v>
      </c>
      <c r="FDB15" t="s">
        <v>6984</v>
      </c>
      <c r="FDC15" t="s">
        <v>6984</v>
      </c>
      <c r="FDD15" t="s">
        <v>6984</v>
      </c>
      <c r="FDE15" t="s">
        <v>6984</v>
      </c>
      <c r="FDF15" t="s">
        <v>6984</v>
      </c>
      <c r="FDG15" t="s">
        <v>6984</v>
      </c>
      <c r="FDH15" t="s">
        <v>6984</v>
      </c>
      <c r="FDI15" t="s">
        <v>6984</v>
      </c>
      <c r="FDJ15" t="s">
        <v>6984</v>
      </c>
      <c r="FDK15" t="s">
        <v>6984</v>
      </c>
      <c r="FDL15" t="s">
        <v>6984</v>
      </c>
      <c r="FDM15" t="s">
        <v>6984</v>
      </c>
      <c r="FDN15" t="s">
        <v>6984</v>
      </c>
      <c r="FDO15" t="s">
        <v>6984</v>
      </c>
      <c r="FDP15" t="s">
        <v>6984</v>
      </c>
      <c r="FDQ15" t="s">
        <v>6984</v>
      </c>
      <c r="FDR15" t="s">
        <v>6984</v>
      </c>
      <c r="FDS15" t="s">
        <v>6984</v>
      </c>
      <c r="FDT15" t="s">
        <v>6984</v>
      </c>
      <c r="FDU15" t="s">
        <v>6984</v>
      </c>
      <c r="FDV15" t="s">
        <v>6984</v>
      </c>
      <c r="FDW15" t="s">
        <v>6984</v>
      </c>
      <c r="FDX15" t="s">
        <v>6984</v>
      </c>
      <c r="FDY15" t="s">
        <v>6984</v>
      </c>
      <c r="FDZ15" t="s">
        <v>6984</v>
      </c>
      <c r="FEA15" t="s">
        <v>6984</v>
      </c>
      <c r="FEB15" t="s">
        <v>6984</v>
      </c>
      <c r="FEC15" t="s">
        <v>6984</v>
      </c>
      <c r="FED15" t="s">
        <v>6984</v>
      </c>
      <c r="FEE15" t="s">
        <v>6984</v>
      </c>
      <c r="FEF15" t="s">
        <v>6984</v>
      </c>
      <c r="FEG15" t="s">
        <v>6984</v>
      </c>
      <c r="FEH15" t="s">
        <v>6984</v>
      </c>
      <c r="FEI15" t="s">
        <v>6984</v>
      </c>
      <c r="FEJ15" t="s">
        <v>6984</v>
      </c>
      <c r="FEK15" t="s">
        <v>6984</v>
      </c>
      <c r="FEL15" t="s">
        <v>6984</v>
      </c>
      <c r="FEM15" t="s">
        <v>6984</v>
      </c>
      <c r="FEN15" t="s">
        <v>6984</v>
      </c>
      <c r="FEO15" t="s">
        <v>6984</v>
      </c>
      <c r="FEP15" t="s">
        <v>6984</v>
      </c>
      <c r="FEQ15" t="s">
        <v>6984</v>
      </c>
      <c r="FER15" t="s">
        <v>6984</v>
      </c>
      <c r="FES15" t="s">
        <v>6984</v>
      </c>
      <c r="FET15" t="s">
        <v>6984</v>
      </c>
      <c r="FEU15" t="s">
        <v>6984</v>
      </c>
      <c r="FEV15" t="s">
        <v>6984</v>
      </c>
      <c r="FEW15" t="s">
        <v>6984</v>
      </c>
      <c r="FEX15" t="s">
        <v>6984</v>
      </c>
      <c r="FEY15" t="s">
        <v>6984</v>
      </c>
      <c r="FEZ15" t="s">
        <v>6984</v>
      </c>
      <c r="FFA15" t="s">
        <v>6984</v>
      </c>
      <c r="FFB15" t="s">
        <v>6984</v>
      </c>
      <c r="FFC15" t="s">
        <v>6984</v>
      </c>
      <c r="FFD15" t="s">
        <v>6984</v>
      </c>
      <c r="FFE15" t="s">
        <v>6984</v>
      </c>
      <c r="FFF15" t="s">
        <v>6984</v>
      </c>
      <c r="FFG15" t="s">
        <v>6984</v>
      </c>
      <c r="FFH15" t="s">
        <v>6984</v>
      </c>
      <c r="FFI15" t="s">
        <v>6984</v>
      </c>
      <c r="FFJ15" t="s">
        <v>6984</v>
      </c>
      <c r="FFK15" t="s">
        <v>6984</v>
      </c>
      <c r="FFL15" t="s">
        <v>6984</v>
      </c>
      <c r="FFM15" t="s">
        <v>6984</v>
      </c>
      <c r="FFN15" t="s">
        <v>6984</v>
      </c>
      <c r="FFO15" t="s">
        <v>6984</v>
      </c>
      <c r="FFP15" t="s">
        <v>6984</v>
      </c>
      <c r="FFQ15" t="s">
        <v>6984</v>
      </c>
      <c r="FFR15" t="s">
        <v>6984</v>
      </c>
      <c r="FFS15" t="s">
        <v>6984</v>
      </c>
      <c r="FFT15" t="s">
        <v>6984</v>
      </c>
      <c r="FFU15" t="s">
        <v>6984</v>
      </c>
      <c r="FFV15" t="s">
        <v>6984</v>
      </c>
      <c r="FFW15" t="s">
        <v>6984</v>
      </c>
      <c r="FFX15" t="s">
        <v>6984</v>
      </c>
      <c r="FFY15" t="s">
        <v>6984</v>
      </c>
      <c r="FFZ15" t="s">
        <v>6984</v>
      </c>
      <c r="FGA15" t="s">
        <v>6984</v>
      </c>
      <c r="FGB15" t="s">
        <v>6984</v>
      </c>
      <c r="FGC15" t="s">
        <v>6984</v>
      </c>
      <c r="FGD15" t="s">
        <v>6984</v>
      </c>
      <c r="FGE15" t="s">
        <v>6984</v>
      </c>
      <c r="FGF15" t="s">
        <v>6984</v>
      </c>
      <c r="FGG15" t="s">
        <v>6984</v>
      </c>
      <c r="FGH15" t="s">
        <v>6984</v>
      </c>
      <c r="FGI15" t="s">
        <v>6984</v>
      </c>
      <c r="FGJ15" t="s">
        <v>6984</v>
      </c>
      <c r="FGK15" t="s">
        <v>6984</v>
      </c>
      <c r="FGL15" t="s">
        <v>6984</v>
      </c>
      <c r="FGM15" t="s">
        <v>6984</v>
      </c>
      <c r="FGN15" t="s">
        <v>6984</v>
      </c>
      <c r="FGO15" t="s">
        <v>6984</v>
      </c>
      <c r="FGP15" t="s">
        <v>6984</v>
      </c>
      <c r="FGQ15" t="s">
        <v>6984</v>
      </c>
      <c r="FGR15" t="s">
        <v>6984</v>
      </c>
      <c r="FGS15" t="s">
        <v>6984</v>
      </c>
      <c r="FGT15" t="s">
        <v>6984</v>
      </c>
      <c r="FGU15" t="s">
        <v>6984</v>
      </c>
      <c r="FGV15" t="s">
        <v>6984</v>
      </c>
      <c r="FGW15" t="s">
        <v>6984</v>
      </c>
      <c r="FGX15" t="s">
        <v>6984</v>
      </c>
      <c r="FGY15" t="s">
        <v>6984</v>
      </c>
      <c r="FGZ15" t="s">
        <v>6984</v>
      </c>
      <c r="FHA15" t="s">
        <v>6984</v>
      </c>
      <c r="FHB15" t="s">
        <v>6984</v>
      </c>
      <c r="FHC15" t="s">
        <v>6984</v>
      </c>
      <c r="FHD15" t="s">
        <v>6984</v>
      </c>
      <c r="FHE15" t="s">
        <v>6984</v>
      </c>
      <c r="FHF15" t="s">
        <v>6984</v>
      </c>
      <c r="FHG15" t="s">
        <v>6984</v>
      </c>
      <c r="FHH15" t="s">
        <v>6984</v>
      </c>
      <c r="FHI15" t="s">
        <v>6984</v>
      </c>
      <c r="FHJ15" t="s">
        <v>6984</v>
      </c>
      <c r="FHK15" t="s">
        <v>6984</v>
      </c>
      <c r="FHL15" t="s">
        <v>6984</v>
      </c>
      <c r="FHM15" t="s">
        <v>6984</v>
      </c>
      <c r="FHN15" t="s">
        <v>6984</v>
      </c>
      <c r="FHO15" t="s">
        <v>6984</v>
      </c>
      <c r="FHP15" t="s">
        <v>6984</v>
      </c>
      <c r="FHQ15" t="s">
        <v>6984</v>
      </c>
      <c r="FHR15" t="s">
        <v>6984</v>
      </c>
      <c r="FHS15" t="s">
        <v>6984</v>
      </c>
      <c r="FHT15" t="s">
        <v>6984</v>
      </c>
      <c r="FHU15" t="s">
        <v>6984</v>
      </c>
      <c r="FHV15" t="s">
        <v>6984</v>
      </c>
      <c r="FHW15" t="s">
        <v>6984</v>
      </c>
      <c r="FHX15" t="s">
        <v>6984</v>
      </c>
      <c r="FHY15" t="s">
        <v>6984</v>
      </c>
      <c r="FHZ15" t="s">
        <v>6984</v>
      </c>
      <c r="FIA15" t="s">
        <v>6984</v>
      </c>
      <c r="FIB15" t="s">
        <v>6984</v>
      </c>
      <c r="FIC15" t="s">
        <v>6984</v>
      </c>
      <c r="FID15" t="s">
        <v>6984</v>
      </c>
      <c r="FIE15" t="s">
        <v>6984</v>
      </c>
      <c r="FIF15" t="s">
        <v>6984</v>
      </c>
      <c r="FIG15" t="s">
        <v>6984</v>
      </c>
      <c r="FIH15" t="s">
        <v>6984</v>
      </c>
      <c r="FII15" t="s">
        <v>6984</v>
      </c>
      <c r="FIJ15" t="s">
        <v>6984</v>
      </c>
      <c r="FIK15" t="s">
        <v>6984</v>
      </c>
      <c r="FIL15" t="s">
        <v>6984</v>
      </c>
      <c r="FIM15" t="s">
        <v>6984</v>
      </c>
      <c r="FIN15" t="s">
        <v>6984</v>
      </c>
      <c r="FIO15" t="s">
        <v>6984</v>
      </c>
      <c r="FIP15" t="s">
        <v>6984</v>
      </c>
      <c r="FIQ15" t="s">
        <v>6984</v>
      </c>
      <c r="FIR15" t="s">
        <v>6984</v>
      </c>
      <c r="FIS15" t="s">
        <v>6984</v>
      </c>
      <c r="FIT15" t="s">
        <v>6984</v>
      </c>
      <c r="FIU15" t="s">
        <v>6984</v>
      </c>
      <c r="FIV15" t="s">
        <v>6984</v>
      </c>
      <c r="FIW15" t="s">
        <v>6984</v>
      </c>
      <c r="FIX15" t="s">
        <v>6984</v>
      </c>
      <c r="FIY15" t="s">
        <v>6984</v>
      </c>
      <c r="FIZ15" t="s">
        <v>6984</v>
      </c>
      <c r="FJA15" t="s">
        <v>6984</v>
      </c>
      <c r="FJB15" t="s">
        <v>6984</v>
      </c>
      <c r="FJC15" t="s">
        <v>6984</v>
      </c>
      <c r="FJD15" t="s">
        <v>6984</v>
      </c>
      <c r="FJE15" t="s">
        <v>6984</v>
      </c>
      <c r="FJF15" t="s">
        <v>6984</v>
      </c>
      <c r="FJG15" t="s">
        <v>6984</v>
      </c>
      <c r="FJH15" t="s">
        <v>6984</v>
      </c>
      <c r="FJI15" t="s">
        <v>6984</v>
      </c>
      <c r="FJJ15" t="s">
        <v>6984</v>
      </c>
      <c r="FJK15" t="s">
        <v>6984</v>
      </c>
      <c r="FJL15" t="s">
        <v>6984</v>
      </c>
      <c r="FJM15" t="s">
        <v>6984</v>
      </c>
      <c r="FJN15" t="s">
        <v>6984</v>
      </c>
      <c r="FJO15" t="s">
        <v>6984</v>
      </c>
      <c r="FJP15" t="s">
        <v>6984</v>
      </c>
      <c r="FJQ15" t="s">
        <v>6984</v>
      </c>
      <c r="FJR15" t="s">
        <v>6984</v>
      </c>
      <c r="FJS15" t="s">
        <v>6984</v>
      </c>
      <c r="FJT15" t="s">
        <v>6984</v>
      </c>
      <c r="FJU15" t="s">
        <v>6984</v>
      </c>
      <c r="FJV15" t="s">
        <v>6984</v>
      </c>
      <c r="FJW15" t="s">
        <v>6984</v>
      </c>
      <c r="FJX15" t="s">
        <v>6984</v>
      </c>
      <c r="FJY15" t="s">
        <v>6984</v>
      </c>
      <c r="FJZ15" t="s">
        <v>6984</v>
      </c>
      <c r="FKA15" t="s">
        <v>6984</v>
      </c>
      <c r="FKB15" t="s">
        <v>6984</v>
      </c>
      <c r="FKC15" t="s">
        <v>6984</v>
      </c>
      <c r="FKD15" t="s">
        <v>6984</v>
      </c>
      <c r="FKE15" t="s">
        <v>6984</v>
      </c>
      <c r="FKF15" t="s">
        <v>6984</v>
      </c>
      <c r="FKG15" t="s">
        <v>6984</v>
      </c>
      <c r="FKH15" t="s">
        <v>6984</v>
      </c>
      <c r="FKI15" t="s">
        <v>6984</v>
      </c>
      <c r="FKJ15" t="s">
        <v>6984</v>
      </c>
      <c r="FKK15" t="s">
        <v>6984</v>
      </c>
      <c r="FKL15" t="s">
        <v>6984</v>
      </c>
      <c r="FKM15" t="s">
        <v>6984</v>
      </c>
      <c r="FKN15" t="s">
        <v>6984</v>
      </c>
      <c r="FKO15" t="s">
        <v>6984</v>
      </c>
      <c r="FKP15" t="s">
        <v>6984</v>
      </c>
      <c r="FKQ15" t="s">
        <v>6984</v>
      </c>
      <c r="FKR15" t="s">
        <v>6984</v>
      </c>
      <c r="FKS15" t="s">
        <v>6984</v>
      </c>
      <c r="FKT15" t="s">
        <v>6984</v>
      </c>
      <c r="FKU15" t="s">
        <v>6984</v>
      </c>
      <c r="FKV15" t="s">
        <v>6984</v>
      </c>
      <c r="FKW15" t="s">
        <v>6984</v>
      </c>
      <c r="FKX15" t="s">
        <v>6984</v>
      </c>
      <c r="FKY15" t="s">
        <v>6984</v>
      </c>
      <c r="FKZ15" t="s">
        <v>6984</v>
      </c>
      <c r="FLA15" t="s">
        <v>6984</v>
      </c>
      <c r="FLB15" t="s">
        <v>6984</v>
      </c>
      <c r="FLC15" t="s">
        <v>6984</v>
      </c>
      <c r="FLD15" t="s">
        <v>6984</v>
      </c>
      <c r="FLE15" t="s">
        <v>6984</v>
      </c>
      <c r="FLF15" t="s">
        <v>6984</v>
      </c>
      <c r="FLG15" t="s">
        <v>6984</v>
      </c>
      <c r="FLH15" t="s">
        <v>6984</v>
      </c>
      <c r="FLI15" t="s">
        <v>6984</v>
      </c>
      <c r="FLJ15" t="s">
        <v>6984</v>
      </c>
      <c r="FLK15" t="s">
        <v>6984</v>
      </c>
      <c r="FLL15" t="s">
        <v>6984</v>
      </c>
      <c r="FLM15" t="s">
        <v>6984</v>
      </c>
      <c r="FLN15" t="s">
        <v>6984</v>
      </c>
      <c r="FLO15" t="s">
        <v>6984</v>
      </c>
      <c r="FLP15" t="s">
        <v>6984</v>
      </c>
      <c r="FLQ15" t="s">
        <v>6984</v>
      </c>
      <c r="FLR15" t="s">
        <v>6984</v>
      </c>
      <c r="FLS15" t="s">
        <v>6984</v>
      </c>
      <c r="FLT15" t="s">
        <v>6984</v>
      </c>
      <c r="FLU15" t="s">
        <v>6984</v>
      </c>
      <c r="FLV15" t="s">
        <v>6984</v>
      </c>
      <c r="FLW15" t="s">
        <v>6984</v>
      </c>
      <c r="FLX15" t="s">
        <v>6984</v>
      </c>
      <c r="FLY15" t="s">
        <v>6984</v>
      </c>
      <c r="FLZ15" t="s">
        <v>6984</v>
      </c>
      <c r="FMA15" t="s">
        <v>6984</v>
      </c>
      <c r="FMB15" t="s">
        <v>6984</v>
      </c>
      <c r="FMC15" t="s">
        <v>6984</v>
      </c>
      <c r="FMD15" t="s">
        <v>6984</v>
      </c>
      <c r="FME15" t="s">
        <v>6984</v>
      </c>
      <c r="FMF15" t="s">
        <v>6984</v>
      </c>
      <c r="FMG15" t="s">
        <v>6984</v>
      </c>
      <c r="FMH15" t="s">
        <v>6984</v>
      </c>
      <c r="FMI15" t="s">
        <v>6984</v>
      </c>
      <c r="FMJ15" t="s">
        <v>6984</v>
      </c>
      <c r="FMK15" t="s">
        <v>6984</v>
      </c>
      <c r="FML15" t="s">
        <v>6984</v>
      </c>
      <c r="FMM15" t="s">
        <v>6984</v>
      </c>
      <c r="FMN15" t="s">
        <v>6984</v>
      </c>
      <c r="FMO15" t="s">
        <v>6984</v>
      </c>
      <c r="FMP15" t="s">
        <v>6984</v>
      </c>
      <c r="FMQ15" t="s">
        <v>6984</v>
      </c>
      <c r="FMR15" t="s">
        <v>6984</v>
      </c>
      <c r="FMS15" t="s">
        <v>6984</v>
      </c>
      <c r="FMT15" t="s">
        <v>6984</v>
      </c>
      <c r="FMU15" t="s">
        <v>6984</v>
      </c>
      <c r="FMV15" t="s">
        <v>6984</v>
      </c>
      <c r="FMW15" t="s">
        <v>6984</v>
      </c>
      <c r="FMX15" t="s">
        <v>6984</v>
      </c>
      <c r="FMY15" t="s">
        <v>6984</v>
      </c>
      <c r="FMZ15" t="s">
        <v>6984</v>
      </c>
      <c r="FNA15" t="s">
        <v>6984</v>
      </c>
      <c r="FNB15" t="s">
        <v>6984</v>
      </c>
      <c r="FNC15" t="s">
        <v>6984</v>
      </c>
      <c r="FND15" t="s">
        <v>6984</v>
      </c>
      <c r="FNE15" t="s">
        <v>6984</v>
      </c>
      <c r="FNF15" t="s">
        <v>6984</v>
      </c>
      <c r="FNG15" t="s">
        <v>6984</v>
      </c>
      <c r="FNH15" t="s">
        <v>6984</v>
      </c>
      <c r="FNI15" t="s">
        <v>6984</v>
      </c>
      <c r="FNJ15" t="s">
        <v>6984</v>
      </c>
      <c r="FNK15" t="s">
        <v>6984</v>
      </c>
      <c r="FNL15" t="s">
        <v>6984</v>
      </c>
      <c r="FNM15" t="s">
        <v>6984</v>
      </c>
      <c r="FNN15" t="s">
        <v>6984</v>
      </c>
      <c r="FNO15" t="s">
        <v>6984</v>
      </c>
      <c r="FNP15" t="s">
        <v>6984</v>
      </c>
      <c r="FNQ15" t="s">
        <v>6984</v>
      </c>
      <c r="FNR15" t="s">
        <v>6984</v>
      </c>
      <c r="FNS15" t="s">
        <v>6984</v>
      </c>
      <c r="FNT15" t="s">
        <v>6984</v>
      </c>
      <c r="FNU15" t="s">
        <v>6984</v>
      </c>
      <c r="FNV15" t="s">
        <v>6984</v>
      </c>
      <c r="FNW15" t="s">
        <v>6984</v>
      </c>
      <c r="FNX15" t="s">
        <v>6984</v>
      </c>
      <c r="FNY15" t="s">
        <v>6984</v>
      </c>
      <c r="FNZ15" t="s">
        <v>6984</v>
      </c>
      <c r="FOA15" t="s">
        <v>6984</v>
      </c>
      <c r="FOB15" t="s">
        <v>6984</v>
      </c>
      <c r="FOC15" t="s">
        <v>6984</v>
      </c>
      <c r="FOD15" t="s">
        <v>6984</v>
      </c>
      <c r="FOE15" t="s">
        <v>6984</v>
      </c>
      <c r="FOF15" t="s">
        <v>6984</v>
      </c>
      <c r="FOG15" t="s">
        <v>6984</v>
      </c>
      <c r="FOH15" t="s">
        <v>6984</v>
      </c>
      <c r="FOI15" t="s">
        <v>6984</v>
      </c>
      <c r="FOJ15" t="s">
        <v>6984</v>
      </c>
      <c r="FOK15" t="s">
        <v>6984</v>
      </c>
      <c r="FOL15" t="s">
        <v>6984</v>
      </c>
      <c r="FOM15" t="s">
        <v>6984</v>
      </c>
      <c r="FON15" t="s">
        <v>6984</v>
      </c>
      <c r="FOO15" t="s">
        <v>6984</v>
      </c>
      <c r="FOP15" t="s">
        <v>6984</v>
      </c>
      <c r="FOQ15" t="s">
        <v>6984</v>
      </c>
      <c r="FOR15" t="s">
        <v>6984</v>
      </c>
      <c r="FOS15" t="s">
        <v>6984</v>
      </c>
      <c r="FOT15" t="s">
        <v>6984</v>
      </c>
      <c r="FOU15" t="s">
        <v>6984</v>
      </c>
      <c r="FOV15" t="s">
        <v>6984</v>
      </c>
      <c r="FOW15" t="s">
        <v>6984</v>
      </c>
      <c r="FOX15" t="s">
        <v>6984</v>
      </c>
      <c r="FOY15" t="s">
        <v>6984</v>
      </c>
      <c r="FOZ15" t="s">
        <v>6984</v>
      </c>
      <c r="FPA15" t="s">
        <v>6984</v>
      </c>
      <c r="FPB15" t="s">
        <v>6984</v>
      </c>
      <c r="FPC15" t="s">
        <v>6984</v>
      </c>
      <c r="FPD15" t="s">
        <v>6984</v>
      </c>
      <c r="FPE15" t="s">
        <v>6984</v>
      </c>
      <c r="FPF15" t="s">
        <v>6984</v>
      </c>
      <c r="FPG15" t="s">
        <v>6984</v>
      </c>
      <c r="FPH15" t="s">
        <v>6984</v>
      </c>
      <c r="FPI15" t="s">
        <v>6984</v>
      </c>
      <c r="FPJ15" t="s">
        <v>6984</v>
      </c>
      <c r="FPK15" t="s">
        <v>6984</v>
      </c>
      <c r="FPL15" t="s">
        <v>6984</v>
      </c>
      <c r="FPM15" t="s">
        <v>6984</v>
      </c>
      <c r="FPN15" t="s">
        <v>6984</v>
      </c>
      <c r="FPO15" t="s">
        <v>6984</v>
      </c>
      <c r="FPP15" t="s">
        <v>6984</v>
      </c>
      <c r="FPQ15" t="s">
        <v>6984</v>
      </c>
      <c r="FPR15" t="s">
        <v>6984</v>
      </c>
      <c r="FPS15" t="s">
        <v>6984</v>
      </c>
      <c r="FPT15" t="s">
        <v>6984</v>
      </c>
      <c r="FPU15" t="s">
        <v>6984</v>
      </c>
      <c r="FPV15" t="s">
        <v>6984</v>
      </c>
      <c r="FPW15" t="s">
        <v>6984</v>
      </c>
      <c r="FPX15" t="s">
        <v>6984</v>
      </c>
      <c r="FPY15" t="s">
        <v>6984</v>
      </c>
      <c r="FPZ15" t="s">
        <v>6984</v>
      </c>
      <c r="FQA15" t="s">
        <v>6984</v>
      </c>
      <c r="FQB15" t="s">
        <v>6984</v>
      </c>
      <c r="FQC15" t="s">
        <v>6984</v>
      </c>
      <c r="FQD15" t="s">
        <v>6984</v>
      </c>
      <c r="FQE15" t="s">
        <v>6984</v>
      </c>
      <c r="FQF15" t="s">
        <v>6984</v>
      </c>
      <c r="FQG15" t="s">
        <v>6984</v>
      </c>
      <c r="FQH15" t="s">
        <v>6984</v>
      </c>
      <c r="FQI15" t="s">
        <v>6984</v>
      </c>
      <c r="FQJ15" t="s">
        <v>6984</v>
      </c>
      <c r="FQK15" t="s">
        <v>6984</v>
      </c>
      <c r="FQL15" t="s">
        <v>6984</v>
      </c>
      <c r="FQM15" t="s">
        <v>6984</v>
      </c>
      <c r="FQN15" t="s">
        <v>6984</v>
      </c>
      <c r="FQO15" t="s">
        <v>6984</v>
      </c>
      <c r="FQP15" t="s">
        <v>6984</v>
      </c>
      <c r="FQQ15" t="s">
        <v>6984</v>
      </c>
      <c r="FQR15" t="s">
        <v>6984</v>
      </c>
      <c r="FQS15" t="s">
        <v>6984</v>
      </c>
      <c r="FQT15" t="s">
        <v>6984</v>
      </c>
      <c r="FQU15" t="s">
        <v>6984</v>
      </c>
      <c r="FQV15" t="s">
        <v>6984</v>
      </c>
      <c r="FQW15" t="s">
        <v>6984</v>
      </c>
      <c r="FQX15" t="s">
        <v>6984</v>
      </c>
      <c r="FQY15" t="s">
        <v>6984</v>
      </c>
      <c r="FQZ15" t="s">
        <v>6984</v>
      </c>
      <c r="FRA15" t="s">
        <v>6984</v>
      </c>
      <c r="FRB15" t="s">
        <v>6984</v>
      </c>
      <c r="FRC15" t="s">
        <v>6984</v>
      </c>
      <c r="FRD15" t="s">
        <v>6984</v>
      </c>
      <c r="FRE15" t="s">
        <v>6984</v>
      </c>
      <c r="FRF15" t="s">
        <v>6984</v>
      </c>
      <c r="FRG15" t="s">
        <v>6984</v>
      </c>
      <c r="FRH15" t="s">
        <v>6984</v>
      </c>
      <c r="FRI15" t="s">
        <v>6984</v>
      </c>
      <c r="FRJ15" t="s">
        <v>6984</v>
      </c>
      <c r="FRK15" t="s">
        <v>6984</v>
      </c>
      <c r="FRL15" t="s">
        <v>6984</v>
      </c>
      <c r="FRM15" t="s">
        <v>6984</v>
      </c>
      <c r="FRN15" t="s">
        <v>6984</v>
      </c>
      <c r="FRO15" t="s">
        <v>6984</v>
      </c>
      <c r="FRP15" t="s">
        <v>6984</v>
      </c>
      <c r="FRQ15" t="s">
        <v>6984</v>
      </c>
      <c r="FRR15" t="s">
        <v>6984</v>
      </c>
      <c r="FRS15" t="s">
        <v>6984</v>
      </c>
      <c r="FRT15" t="s">
        <v>6984</v>
      </c>
      <c r="FRU15" t="s">
        <v>6984</v>
      </c>
      <c r="FRV15" t="s">
        <v>6984</v>
      </c>
      <c r="FRW15" t="s">
        <v>6984</v>
      </c>
      <c r="FRX15" t="s">
        <v>6984</v>
      </c>
      <c r="FRY15" t="s">
        <v>6984</v>
      </c>
      <c r="FRZ15" t="s">
        <v>6984</v>
      </c>
      <c r="FSA15" t="s">
        <v>6984</v>
      </c>
      <c r="FSB15" t="s">
        <v>6984</v>
      </c>
      <c r="FSC15" t="s">
        <v>6984</v>
      </c>
      <c r="FSD15" t="s">
        <v>6984</v>
      </c>
      <c r="FSE15" t="s">
        <v>6984</v>
      </c>
      <c r="FSF15" t="s">
        <v>6984</v>
      </c>
      <c r="FSG15" t="s">
        <v>6984</v>
      </c>
      <c r="FSH15" t="s">
        <v>6984</v>
      </c>
      <c r="FSI15" t="s">
        <v>6984</v>
      </c>
      <c r="FSJ15" t="s">
        <v>6984</v>
      </c>
      <c r="FSK15" t="s">
        <v>6984</v>
      </c>
      <c r="FSL15" t="s">
        <v>6984</v>
      </c>
      <c r="FSM15" t="s">
        <v>6984</v>
      </c>
      <c r="FSN15" t="s">
        <v>6984</v>
      </c>
      <c r="FSO15" t="s">
        <v>6984</v>
      </c>
      <c r="FSP15" t="s">
        <v>6984</v>
      </c>
      <c r="FSQ15" t="s">
        <v>6984</v>
      </c>
      <c r="FSR15" t="s">
        <v>6984</v>
      </c>
      <c r="FSS15" t="s">
        <v>6984</v>
      </c>
      <c r="FST15" t="s">
        <v>6984</v>
      </c>
      <c r="FSU15" t="s">
        <v>6984</v>
      </c>
      <c r="FSV15" t="s">
        <v>6984</v>
      </c>
      <c r="FSW15" t="s">
        <v>6984</v>
      </c>
      <c r="FSX15" t="s">
        <v>6984</v>
      </c>
      <c r="FSY15" t="s">
        <v>6984</v>
      </c>
      <c r="FSZ15" t="s">
        <v>6984</v>
      </c>
      <c r="FTA15" t="s">
        <v>6984</v>
      </c>
      <c r="FTB15" t="s">
        <v>6984</v>
      </c>
      <c r="FTC15" t="s">
        <v>6984</v>
      </c>
      <c r="FTD15" t="s">
        <v>6984</v>
      </c>
      <c r="FTE15" t="s">
        <v>6984</v>
      </c>
      <c r="FTF15" t="s">
        <v>6984</v>
      </c>
      <c r="FTG15" t="s">
        <v>6984</v>
      </c>
      <c r="FTH15" t="s">
        <v>6984</v>
      </c>
      <c r="FTI15" t="s">
        <v>6984</v>
      </c>
      <c r="FTJ15" t="s">
        <v>6984</v>
      </c>
      <c r="FTK15" t="s">
        <v>6984</v>
      </c>
      <c r="FTL15" t="s">
        <v>6984</v>
      </c>
      <c r="FTM15" t="s">
        <v>6984</v>
      </c>
      <c r="FTN15" t="s">
        <v>6984</v>
      </c>
      <c r="FTO15" t="s">
        <v>6984</v>
      </c>
      <c r="FTP15" t="s">
        <v>6984</v>
      </c>
      <c r="FTQ15" t="s">
        <v>6984</v>
      </c>
      <c r="FTR15" t="s">
        <v>6984</v>
      </c>
      <c r="FTS15" t="s">
        <v>6984</v>
      </c>
      <c r="FTT15" t="s">
        <v>6984</v>
      </c>
      <c r="FTU15" t="s">
        <v>6984</v>
      </c>
      <c r="FTV15" t="s">
        <v>6984</v>
      </c>
      <c r="FTW15" t="s">
        <v>6984</v>
      </c>
      <c r="FTX15" t="s">
        <v>6984</v>
      </c>
      <c r="FTY15" t="s">
        <v>6984</v>
      </c>
      <c r="FTZ15" t="s">
        <v>6984</v>
      </c>
      <c r="FUA15" t="s">
        <v>6984</v>
      </c>
      <c r="FUB15" t="s">
        <v>6984</v>
      </c>
      <c r="FUC15" t="s">
        <v>6984</v>
      </c>
      <c r="FUD15" t="s">
        <v>6984</v>
      </c>
      <c r="FUE15" t="s">
        <v>6984</v>
      </c>
      <c r="FUF15" t="s">
        <v>6984</v>
      </c>
      <c r="FUG15" t="s">
        <v>6984</v>
      </c>
      <c r="FUH15" t="s">
        <v>6984</v>
      </c>
      <c r="FUI15" t="s">
        <v>6984</v>
      </c>
      <c r="FUJ15" t="s">
        <v>6984</v>
      </c>
      <c r="FUK15" t="s">
        <v>6984</v>
      </c>
      <c r="FUL15" t="s">
        <v>6984</v>
      </c>
      <c r="FUM15" t="s">
        <v>6984</v>
      </c>
      <c r="FUN15" t="s">
        <v>6984</v>
      </c>
      <c r="FUO15" t="s">
        <v>6984</v>
      </c>
      <c r="FUP15" t="s">
        <v>6984</v>
      </c>
      <c r="FUQ15" t="s">
        <v>6984</v>
      </c>
      <c r="FUR15" t="s">
        <v>6984</v>
      </c>
      <c r="FUS15" t="s">
        <v>6984</v>
      </c>
      <c r="FUT15" t="s">
        <v>6984</v>
      </c>
      <c r="FUU15" t="s">
        <v>6984</v>
      </c>
      <c r="FUV15" t="s">
        <v>6984</v>
      </c>
      <c r="FUW15" t="s">
        <v>6984</v>
      </c>
      <c r="FUX15" t="s">
        <v>6984</v>
      </c>
      <c r="FUY15" t="s">
        <v>6984</v>
      </c>
      <c r="FUZ15" t="s">
        <v>6984</v>
      </c>
      <c r="FVA15" t="s">
        <v>6984</v>
      </c>
      <c r="FVB15" t="s">
        <v>6984</v>
      </c>
      <c r="FVC15" t="s">
        <v>6984</v>
      </c>
      <c r="FVD15" t="s">
        <v>6984</v>
      </c>
      <c r="FVE15" t="s">
        <v>6984</v>
      </c>
      <c r="FVF15" t="s">
        <v>6984</v>
      </c>
      <c r="FVG15" t="s">
        <v>6984</v>
      </c>
      <c r="FVH15" t="s">
        <v>6984</v>
      </c>
      <c r="FVI15" t="s">
        <v>6984</v>
      </c>
      <c r="FVJ15" t="s">
        <v>6984</v>
      </c>
      <c r="FVK15" t="s">
        <v>6984</v>
      </c>
      <c r="FVL15" t="s">
        <v>6984</v>
      </c>
      <c r="FVM15" t="s">
        <v>6984</v>
      </c>
      <c r="FVN15" t="s">
        <v>6984</v>
      </c>
      <c r="FVO15" t="s">
        <v>6984</v>
      </c>
      <c r="FVP15" t="s">
        <v>6984</v>
      </c>
      <c r="FVQ15" t="s">
        <v>6984</v>
      </c>
      <c r="FVR15" t="s">
        <v>6984</v>
      </c>
      <c r="FVS15" t="s">
        <v>6984</v>
      </c>
      <c r="FVT15" t="s">
        <v>6984</v>
      </c>
      <c r="FVU15" t="s">
        <v>6984</v>
      </c>
      <c r="FVV15" t="s">
        <v>6984</v>
      </c>
      <c r="FVW15" t="s">
        <v>6984</v>
      </c>
      <c r="FVX15" t="s">
        <v>6984</v>
      </c>
      <c r="FVY15" t="s">
        <v>6984</v>
      </c>
      <c r="FVZ15" t="s">
        <v>6984</v>
      </c>
      <c r="FWA15" t="s">
        <v>6984</v>
      </c>
      <c r="FWB15" t="s">
        <v>6984</v>
      </c>
      <c r="FWC15" t="s">
        <v>6984</v>
      </c>
      <c r="FWD15" t="s">
        <v>6984</v>
      </c>
      <c r="FWE15" t="s">
        <v>6984</v>
      </c>
      <c r="FWF15" t="s">
        <v>6984</v>
      </c>
      <c r="FWG15" t="s">
        <v>6984</v>
      </c>
      <c r="FWH15" t="s">
        <v>6984</v>
      </c>
      <c r="FWI15" t="s">
        <v>6984</v>
      </c>
      <c r="FWJ15" t="s">
        <v>6984</v>
      </c>
      <c r="FWK15" t="s">
        <v>6984</v>
      </c>
      <c r="FWL15" t="s">
        <v>6984</v>
      </c>
      <c r="FWM15" t="s">
        <v>6984</v>
      </c>
      <c r="FWN15" t="s">
        <v>6984</v>
      </c>
      <c r="FWO15" t="s">
        <v>6984</v>
      </c>
      <c r="FWP15" t="s">
        <v>6984</v>
      </c>
      <c r="FWQ15" t="s">
        <v>6984</v>
      </c>
      <c r="FWR15" t="s">
        <v>6984</v>
      </c>
      <c r="FWS15" t="s">
        <v>6984</v>
      </c>
      <c r="FWT15" t="s">
        <v>6984</v>
      </c>
      <c r="FWU15" t="s">
        <v>6984</v>
      </c>
      <c r="FWV15" t="s">
        <v>6984</v>
      </c>
      <c r="FWW15" t="s">
        <v>6984</v>
      </c>
      <c r="FWX15" t="s">
        <v>6984</v>
      </c>
      <c r="FWY15" t="s">
        <v>6984</v>
      </c>
      <c r="FWZ15" t="s">
        <v>6984</v>
      </c>
      <c r="FXA15" t="s">
        <v>6984</v>
      </c>
      <c r="FXB15" t="s">
        <v>6984</v>
      </c>
      <c r="FXC15" t="s">
        <v>6984</v>
      </c>
      <c r="FXD15" t="s">
        <v>6984</v>
      </c>
      <c r="FXE15" t="s">
        <v>6984</v>
      </c>
      <c r="FXF15" t="s">
        <v>6984</v>
      </c>
      <c r="FXG15" t="s">
        <v>6984</v>
      </c>
      <c r="FXH15" t="s">
        <v>6984</v>
      </c>
      <c r="FXI15" t="s">
        <v>6984</v>
      </c>
      <c r="FXJ15" t="s">
        <v>6984</v>
      </c>
      <c r="FXK15" t="s">
        <v>6984</v>
      </c>
      <c r="FXL15" t="s">
        <v>6984</v>
      </c>
      <c r="FXM15" t="s">
        <v>6984</v>
      </c>
      <c r="FXN15" t="s">
        <v>6984</v>
      </c>
      <c r="FXO15" t="s">
        <v>6984</v>
      </c>
      <c r="FXP15" t="s">
        <v>6984</v>
      </c>
      <c r="FXQ15" t="s">
        <v>6984</v>
      </c>
      <c r="FXR15" t="s">
        <v>6984</v>
      </c>
      <c r="FXS15" t="s">
        <v>6984</v>
      </c>
      <c r="FXT15" t="s">
        <v>6984</v>
      </c>
      <c r="FXU15" t="s">
        <v>6984</v>
      </c>
      <c r="FXV15" t="s">
        <v>6984</v>
      </c>
      <c r="FXW15" t="s">
        <v>6984</v>
      </c>
      <c r="FXX15" t="s">
        <v>6984</v>
      </c>
      <c r="FXY15" t="s">
        <v>6984</v>
      </c>
      <c r="FXZ15" t="s">
        <v>6984</v>
      </c>
      <c r="FYA15" t="s">
        <v>6984</v>
      </c>
      <c r="FYB15" t="s">
        <v>6984</v>
      </c>
      <c r="FYC15" t="s">
        <v>6984</v>
      </c>
      <c r="FYD15" t="s">
        <v>6984</v>
      </c>
      <c r="FYE15" t="s">
        <v>6984</v>
      </c>
      <c r="FYF15" t="s">
        <v>6984</v>
      </c>
      <c r="FYG15" t="s">
        <v>6984</v>
      </c>
      <c r="FYH15" t="s">
        <v>6984</v>
      </c>
      <c r="FYI15" t="s">
        <v>6984</v>
      </c>
      <c r="FYJ15" t="s">
        <v>6984</v>
      </c>
      <c r="FYK15" t="s">
        <v>6984</v>
      </c>
      <c r="FYL15" t="s">
        <v>6984</v>
      </c>
      <c r="FYM15" t="s">
        <v>6984</v>
      </c>
      <c r="FYN15" t="s">
        <v>6984</v>
      </c>
      <c r="FYO15" t="s">
        <v>6984</v>
      </c>
      <c r="FYP15" t="s">
        <v>6984</v>
      </c>
      <c r="FYQ15" t="s">
        <v>6984</v>
      </c>
      <c r="FYR15" t="s">
        <v>6984</v>
      </c>
      <c r="FYS15" t="s">
        <v>6984</v>
      </c>
      <c r="FYT15" t="s">
        <v>6984</v>
      </c>
      <c r="FYU15" t="s">
        <v>6984</v>
      </c>
      <c r="FYV15" t="s">
        <v>6984</v>
      </c>
      <c r="FYW15" t="s">
        <v>6984</v>
      </c>
      <c r="FYX15" t="s">
        <v>6984</v>
      </c>
      <c r="FYY15" t="s">
        <v>6984</v>
      </c>
      <c r="FYZ15" t="s">
        <v>6984</v>
      </c>
      <c r="FZA15" t="s">
        <v>6984</v>
      </c>
      <c r="FZB15" t="s">
        <v>6984</v>
      </c>
      <c r="FZC15" t="s">
        <v>6984</v>
      </c>
      <c r="FZD15" t="s">
        <v>6984</v>
      </c>
      <c r="FZE15" t="s">
        <v>6984</v>
      </c>
      <c r="FZF15" t="s">
        <v>6984</v>
      </c>
      <c r="FZG15" t="s">
        <v>6984</v>
      </c>
      <c r="FZH15" t="s">
        <v>6984</v>
      </c>
      <c r="FZI15" t="s">
        <v>6984</v>
      </c>
      <c r="FZJ15" t="s">
        <v>6984</v>
      </c>
      <c r="FZK15" t="s">
        <v>6984</v>
      </c>
      <c r="FZL15" t="s">
        <v>6984</v>
      </c>
      <c r="FZM15" t="s">
        <v>6984</v>
      </c>
      <c r="FZN15" t="s">
        <v>6984</v>
      </c>
      <c r="FZO15" t="s">
        <v>6984</v>
      </c>
      <c r="FZP15" t="s">
        <v>6984</v>
      </c>
      <c r="FZQ15" t="s">
        <v>6984</v>
      </c>
      <c r="FZR15" t="s">
        <v>6984</v>
      </c>
      <c r="FZS15" t="s">
        <v>6984</v>
      </c>
      <c r="FZT15" t="s">
        <v>6984</v>
      </c>
      <c r="FZU15" t="s">
        <v>6984</v>
      </c>
      <c r="FZV15" t="s">
        <v>6984</v>
      </c>
      <c r="FZW15" t="s">
        <v>6984</v>
      </c>
      <c r="FZX15" t="s">
        <v>6984</v>
      </c>
      <c r="FZY15" t="s">
        <v>6984</v>
      </c>
      <c r="FZZ15" t="s">
        <v>6984</v>
      </c>
      <c r="GAA15" t="s">
        <v>6984</v>
      </c>
      <c r="GAB15" t="s">
        <v>6984</v>
      </c>
      <c r="GAC15" t="s">
        <v>6984</v>
      </c>
      <c r="GAD15" t="s">
        <v>6984</v>
      </c>
      <c r="GAE15" t="s">
        <v>6984</v>
      </c>
      <c r="GAF15" t="s">
        <v>6984</v>
      </c>
      <c r="GAG15" t="s">
        <v>6984</v>
      </c>
      <c r="GAH15" t="s">
        <v>6984</v>
      </c>
      <c r="GAI15" t="s">
        <v>6984</v>
      </c>
      <c r="GAJ15" t="s">
        <v>6984</v>
      </c>
      <c r="GAK15" t="s">
        <v>6984</v>
      </c>
      <c r="GAL15" t="s">
        <v>6984</v>
      </c>
      <c r="GAM15" t="s">
        <v>6984</v>
      </c>
      <c r="GAN15" t="s">
        <v>6984</v>
      </c>
      <c r="GAO15" t="s">
        <v>6984</v>
      </c>
      <c r="GAP15" t="s">
        <v>6984</v>
      </c>
      <c r="GAQ15" t="s">
        <v>6984</v>
      </c>
      <c r="GAR15" t="s">
        <v>6984</v>
      </c>
      <c r="GAS15" t="s">
        <v>6984</v>
      </c>
      <c r="GAT15" t="s">
        <v>6984</v>
      </c>
      <c r="GAU15" t="s">
        <v>6984</v>
      </c>
      <c r="GAV15" t="s">
        <v>6984</v>
      </c>
      <c r="GAW15" t="s">
        <v>6984</v>
      </c>
      <c r="GAX15" t="s">
        <v>6984</v>
      </c>
      <c r="GAY15" t="s">
        <v>6984</v>
      </c>
      <c r="GAZ15" t="s">
        <v>6984</v>
      </c>
      <c r="GBA15" t="s">
        <v>6984</v>
      </c>
      <c r="GBB15" t="s">
        <v>6984</v>
      </c>
      <c r="GBC15" t="s">
        <v>6984</v>
      </c>
      <c r="GBD15" t="s">
        <v>6984</v>
      </c>
      <c r="GBE15" t="s">
        <v>6984</v>
      </c>
      <c r="GBF15" t="s">
        <v>6984</v>
      </c>
      <c r="GBG15" t="s">
        <v>6984</v>
      </c>
      <c r="GBH15" t="s">
        <v>6984</v>
      </c>
      <c r="GBI15" t="s">
        <v>6984</v>
      </c>
      <c r="GBJ15" t="s">
        <v>6984</v>
      </c>
      <c r="GBK15" t="s">
        <v>6984</v>
      </c>
      <c r="GBL15" t="s">
        <v>6984</v>
      </c>
      <c r="GBM15" t="s">
        <v>6984</v>
      </c>
      <c r="GBN15" t="s">
        <v>6984</v>
      </c>
      <c r="GBO15" t="s">
        <v>6984</v>
      </c>
      <c r="GBP15" t="s">
        <v>6984</v>
      </c>
      <c r="GBQ15" t="s">
        <v>6984</v>
      </c>
      <c r="GBR15" t="s">
        <v>6984</v>
      </c>
      <c r="GBS15" t="s">
        <v>6984</v>
      </c>
      <c r="GBT15" t="s">
        <v>6984</v>
      </c>
      <c r="GBU15" t="s">
        <v>6984</v>
      </c>
      <c r="GBV15" t="s">
        <v>6984</v>
      </c>
      <c r="GBW15" t="s">
        <v>6984</v>
      </c>
      <c r="GBX15" t="s">
        <v>6984</v>
      </c>
      <c r="GBY15" t="s">
        <v>6984</v>
      </c>
      <c r="GBZ15" t="s">
        <v>6984</v>
      </c>
      <c r="GCA15" t="s">
        <v>6984</v>
      </c>
      <c r="GCB15" t="s">
        <v>6984</v>
      </c>
      <c r="GCC15" t="s">
        <v>6984</v>
      </c>
      <c r="GCD15" t="s">
        <v>6984</v>
      </c>
      <c r="GCE15" t="s">
        <v>6984</v>
      </c>
      <c r="GCF15" t="s">
        <v>6984</v>
      </c>
      <c r="GCG15" t="s">
        <v>6984</v>
      </c>
      <c r="GCH15" t="s">
        <v>6984</v>
      </c>
      <c r="GCI15" t="s">
        <v>6984</v>
      </c>
      <c r="GCJ15" t="s">
        <v>6984</v>
      </c>
      <c r="GCK15" t="s">
        <v>6984</v>
      </c>
      <c r="GCL15" t="s">
        <v>6984</v>
      </c>
      <c r="GCM15" t="s">
        <v>6984</v>
      </c>
      <c r="GCN15" t="s">
        <v>6984</v>
      </c>
      <c r="GCO15" t="s">
        <v>6984</v>
      </c>
      <c r="GCP15" t="s">
        <v>6984</v>
      </c>
      <c r="GCQ15" t="s">
        <v>6984</v>
      </c>
      <c r="GCR15" t="s">
        <v>6984</v>
      </c>
      <c r="GCS15" t="s">
        <v>6984</v>
      </c>
      <c r="GCT15" t="s">
        <v>6984</v>
      </c>
      <c r="GCU15" t="s">
        <v>6984</v>
      </c>
      <c r="GCV15" t="s">
        <v>6984</v>
      </c>
      <c r="GCW15" t="s">
        <v>6984</v>
      </c>
      <c r="GCX15" t="s">
        <v>6984</v>
      </c>
      <c r="GCY15" t="s">
        <v>6984</v>
      </c>
      <c r="GCZ15" t="s">
        <v>6984</v>
      </c>
      <c r="GDA15" t="s">
        <v>6984</v>
      </c>
      <c r="GDB15" t="s">
        <v>6984</v>
      </c>
      <c r="GDC15" t="s">
        <v>6984</v>
      </c>
      <c r="GDD15" t="s">
        <v>6984</v>
      </c>
      <c r="GDE15" t="s">
        <v>6984</v>
      </c>
      <c r="GDF15" t="s">
        <v>6984</v>
      </c>
      <c r="GDG15" t="s">
        <v>6984</v>
      </c>
      <c r="GDH15" t="s">
        <v>6984</v>
      </c>
      <c r="GDI15" t="s">
        <v>6984</v>
      </c>
      <c r="GDJ15" t="s">
        <v>6984</v>
      </c>
      <c r="GDK15" t="s">
        <v>6984</v>
      </c>
      <c r="GDL15" t="s">
        <v>6984</v>
      </c>
      <c r="GDM15" t="s">
        <v>6984</v>
      </c>
      <c r="GDN15" t="s">
        <v>6984</v>
      </c>
      <c r="GDO15" t="s">
        <v>6984</v>
      </c>
      <c r="GDP15" t="s">
        <v>6984</v>
      </c>
      <c r="GDQ15" t="s">
        <v>6984</v>
      </c>
      <c r="GDR15" t="s">
        <v>6984</v>
      </c>
      <c r="GDS15" t="s">
        <v>6984</v>
      </c>
      <c r="GDT15" t="s">
        <v>6984</v>
      </c>
      <c r="GDU15" t="s">
        <v>6984</v>
      </c>
      <c r="GDV15" t="s">
        <v>6984</v>
      </c>
      <c r="GDW15" t="s">
        <v>6984</v>
      </c>
      <c r="GDX15" t="s">
        <v>6984</v>
      </c>
      <c r="GDY15" t="s">
        <v>6984</v>
      </c>
      <c r="GDZ15" t="s">
        <v>6984</v>
      </c>
      <c r="GEA15" t="s">
        <v>6984</v>
      </c>
      <c r="GEB15" t="s">
        <v>6984</v>
      </c>
      <c r="GEC15" t="s">
        <v>6984</v>
      </c>
      <c r="GED15" t="s">
        <v>6984</v>
      </c>
      <c r="GEE15" t="s">
        <v>6984</v>
      </c>
      <c r="GEF15" t="s">
        <v>6984</v>
      </c>
      <c r="GEG15" t="s">
        <v>6984</v>
      </c>
      <c r="GEH15" t="s">
        <v>6984</v>
      </c>
      <c r="GEI15" t="s">
        <v>6984</v>
      </c>
      <c r="GEJ15" t="s">
        <v>6984</v>
      </c>
      <c r="GEK15" t="s">
        <v>6984</v>
      </c>
      <c r="GEL15" t="s">
        <v>6984</v>
      </c>
      <c r="GEM15" t="s">
        <v>6984</v>
      </c>
      <c r="GEN15" t="s">
        <v>6984</v>
      </c>
      <c r="GEO15" t="s">
        <v>6984</v>
      </c>
      <c r="GEP15" t="s">
        <v>6984</v>
      </c>
      <c r="GEQ15" t="s">
        <v>6984</v>
      </c>
      <c r="GER15" t="s">
        <v>6984</v>
      </c>
      <c r="GES15" t="s">
        <v>6984</v>
      </c>
      <c r="GET15" t="s">
        <v>6984</v>
      </c>
      <c r="GEU15" t="s">
        <v>6984</v>
      </c>
      <c r="GEV15" t="s">
        <v>6984</v>
      </c>
      <c r="GEW15" t="s">
        <v>6984</v>
      </c>
      <c r="GEX15" t="s">
        <v>6984</v>
      </c>
      <c r="GEY15" t="s">
        <v>6984</v>
      </c>
      <c r="GEZ15" t="s">
        <v>6984</v>
      </c>
      <c r="GFA15" t="s">
        <v>6984</v>
      </c>
      <c r="GFB15" t="s">
        <v>6984</v>
      </c>
      <c r="GFC15" t="s">
        <v>6984</v>
      </c>
      <c r="GFD15" t="s">
        <v>6984</v>
      </c>
      <c r="GFE15" t="s">
        <v>6984</v>
      </c>
      <c r="GFF15" t="s">
        <v>6984</v>
      </c>
      <c r="GFG15" t="s">
        <v>6984</v>
      </c>
      <c r="GFH15" t="s">
        <v>6984</v>
      </c>
      <c r="GFI15" t="s">
        <v>6984</v>
      </c>
      <c r="GFJ15" t="s">
        <v>6984</v>
      </c>
      <c r="GFK15" t="s">
        <v>6984</v>
      </c>
      <c r="GFL15" t="s">
        <v>6984</v>
      </c>
      <c r="GFM15" t="s">
        <v>6984</v>
      </c>
      <c r="GFN15" t="s">
        <v>6984</v>
      </c>
      <c r="GFO15" t="s">
        <v>6984</v>
      </c>
      <c r="GFP15" t="s">
        <v>6984</v>
      </c>
      <c r="GFQ15" t="s">
        <v>6984</v>
      </c>
      <c r="GFR15" t="s">
        <v>6984</v>
      </c>
      <c r="GFS15" t="s">
        <v>6984</v>
      </c>
      <c r="GFT15" t="s">
        <v>6984</v>
      </c>
      <c r="GFU15" t="s">
        <v>6984</v>
      </c>
      <c r="GFV15" t="s">
        <v>6984</v>
      </c>
      <c r="GFW15" t="s">
        <v>6984</v>
      </c>
      <c r="GFX15" t="s">
        <v>6984</v>
      </c>
      <c r="GFY15" t="s">
        <v>6984</v>
      </c>
      <c r="GFZ15" t="s">
        <v>6984</v>
      </c>
      <c r="GGA15" t="s">
        <v>6984</v>
      </c>
      <c r="GGB15" t="s">
        <v>6984</v>
      </c>
      <c r="GGC15" t="s">
        <v>6984</v>
      </c>
      <c r="GGD15" t="s">
        <v>6984</v>
      </c>
      <c r="GGE15" t="s">
        <v>6984</v>
      </c>
      <c r="GGF15" t="s">
        <v>6984</v>
      </c>
      <c r="GGG15" t="s">
        <v>6984</v>
      </c>
      <c r="GGH15" t="s">
        <v>6984</v>
      </c>
      <c r="GGI15" t="s">
        <v>6984</v>
      </c>
      <c r="GGJ15" t="s">
        <v>6984</v>
      </c>
      <c r="GGK15" t="s">
        <v>6984</v>
      </c>
      <c r="GGL15" t="s">
        <v>6984</v>
      </c>
      <c r="GGM15" t="s">
        <v>6984</v>
      </c>
      <c r="GGN15" t="s">
        <v>6984</v>
      </c>
      <c r="GGO15" t="s">
        <v>6984</v>
      </c>
      <c r="GGP15" t="s">
        <v>6984</v>
      </c>
      <c r="GGQ15" t="s">
        <v>6984</v>
      </c>
      <c r="GGR15" t="s">
        <v>6984</v>
      </c>
      <c r="GGS15" t="s">
        <v>6984</v>
      </c>
      <c r="GGT15" t="s">
        <v>6984</v>
      </c>
      <c r="GGU15" t="s">
        <v>6984</v>
      </c>
      <c r="GGV15" t="s">
        <v>6984</v>
      </c>
      <c r="GGW15" t="s">
        <v>6984</v>
      </c>
      <c r="GGX15" t="s">
        <v>6984</v>
      </c>
      <c r="GGY15" t="s">
        <v>6984</v>
      </c>
      <c r="GGZ15" t="s">
        <v>6984</v>
      </c>
      <c r="GHA15" t="s">
        <v>6984</v>
      </c>
      <c r="GHB15" t="s">
        <v>6984</v>
      </c>
      <c r="GHC15" t="s">
        <v>6984</v>
      </c>
      <c r="GHD15" t="s">
        <v>6984</v>
      </c>
      <c r="GHE15" t="s">
        <v>6984</v>
      </c>
      <c r="GHF15" t="s">
        <v>6984</v>
      </c>
      <c r="GHG15" t="s">
        <v>6984</v>
      </c>
      <c r="GHH15" t="s">
        <v>6984</v>
      </c>
      <c r="GHI15" t="s">
        <v>6984</v>
      </c>
      <c r="GHJ15" t="s">
        <v>6984</v>
      </c>
      <c r="GHK15" t="s">
        <v>6984</v>
      </c>
      <c r="GHL15" t="s">
        <v>6984</v>
      </c>
      <c r="GHM15" t="s">
        <v>6984</v>
      </c>
      <c r="GHN15" t="s">
        <v>6984</v>
      </c>
      <c r="GHO15" t="s">
        <v>6984</v>
      </c>
      <c r="GHP15" t="s">
        <v>6984</v>
      </c>
      <c r="GHQ15" t="s">
        <v>6984</v>
      </c>
      <c r="GHR15" t="s">
        <v>6984</v>
      </c>
      <c r="GHS15" t="s">
        <v>6984</v>
      </c>
      <c r="GHT15" t="s">
        <v>6984</v>
      </c>
      <c r="GHU15" t="s">
        <v>6984</v>
      </c>
      <c r="GHV15" t="s">
        <v>6984</v>
      </c>
      <c r="GHW15" t="s">
        <v>6984</v>
      </c>
      <c r="GHX15" t="s">
        <v>6984</v>
      </c>
      <c r="GHY15" t="s">
        <v>6984</v>
      </c>
      <c r="GHZ15" t="s">
        <v>6984</v>
      </c>
      <c r="GIA15" t="s">
        <v>6984</v>
      </c>
      <c r="GIB15" t="s">
        <v>6984</v>
      </c>
      <c r="GIC15" t="s">
        <v>6984</v>
      </c>
      <c r="GID15" t="s">
        <v>6984</v>
      </c>
      <c r="GIE15" t="s">
        <v>6984</v>
      </c>
      <c r="GIF15" t="s">
        <v>6984</v>
      </c>
      <c r="GIG15" t="s">
        <v>6984</v>
      </c>
      <c r="GIH15" t="s">
        <v>6984</v>
      </c>
      <c r="GII15" t="s">
        <v>6984</v>
      </c>
      <c r="GIJ15" t="s">
        <v>6984</v>
      </c>
      <c r="GIK15" t="s">
        <v>6984</v>
      </c>
      <c r="GIL15" t="s">
        <v>6984</v>
      </c>
      <c r="GIM15" t="s">
        <v>6984</v>
      </c>
      <c r="GIN15" t="s">
        <v>6984</v>
      </c>
      <c r="GIO15" t="s">
        <v>6984</v>
      </c>
      <c r="GIP15" t="s">
        <v>6984</v>
      </c>
      <c r="GIQ15" t="s">
        <v>6984</v>
      </c>
      <c r="GIR15" t="s">
        <v>6984</v>
      </c>
      <c r="GIS15" t="s">
        <v>6984</v>
      </c>
      <c r="GIT15" t="s">
        <v>6984</v>
      </c>
      <c r="GIU15" t="s">
        <v>6984</v>
      </c>
      <c r="GIV15" t="s">
        <v>6984</v>
      </c>
      <c r="GIW15" t="s">
        <v>6984</v>
      </c>
      <c r="GIX15" t="s">
        <v>6984</v>
      </c>
      <c r="GIY15" t="s">
        <v>6984</v>
      </c>
      <c r="GIZ15" t="s">
        <v>6984</v>
      </c>
      <c r="GJA15" t="s">
        <v>6984</v>
      </c>
      <c r="GJB15" t="s">
        <v>6984</v>
      </c>
      <c r="GJC15" t="s">
        <v>6984</v>
      </c>
      <c r="GJD15" t="s">
        <v>6984</v>
      </c>
      <c r="GJE15" t="s">
        <v>6984</v>
      </c>
      <c r="GJF15" t="s">
        <v>6984</v>
      </c>
      <c r="GJG15" t="s">
        <v>6984</v>
      </c>
      <c r="GJH15" t="s">
        <v>6984</v>
      </c>
      <c r="GJI15" t="s">
        <v>6984</v>
      </c>
      <c r="GJJ15" t="s">
        <v>6984</v>
      </c>
      <c r="GJK15" t="s">
        <v>6984</v>
      </c>
      <c r="GJL15" t="s">
        <v>6984</v>
      </c>
      <c r="GJM15" t="s">
        <v>6984</v>
      </c>
      <c r="GJN15" t="s">
        <v>6984</v>
      </c>
      <c r="GJO15" t="s">
        <v>6984</v>
      </c>
      <c r="GJP15" t="s">
        <v>6984</v>
      </c>
      <c r="GJQ15" t="s">
        <v>6984</v>
      </c>
      <c r="GJR15" t="s">
        <v>6984</v>
      </c>
      <c r="GJS15" t="s">
        <v>6984</v>
      </c>
      <c r="GJT15" t="s">
        <v>6984</v>
      </c>
      <c r="GJU15" t="s">
        <v>6984</v>
      </c>
      <c r="GJV15" t="s">
        <v>6984</v>
      </c>
      <c r="GJW15" t="s">
        <v>6984</v>
      </c>
      <c r="GJX15" t="s">
        <v>6984</v>
      </c>
      <c r="GJY15" t="s">
        <v>6984</v>
      </c>
      <c r="GJZ15" t="s">
        <v>6984</v>
      </c>
      <c r="GKA15" t="s">
        <v>6984</v>
      </c>
      <c r="GKB15" t="s">
        <v>6984</v>
      </c>
      <c r="GKC15" t="s">
        <v>6984</v>
      </c>
      <c r="GKD15" t="s">
        <v>6984</v>
      </c>
      <c r="GKE15" t="s">
        <v>6984</v>
      </c>
      <c r="GKF15" t="s">
        <v>6984</v>
      </c>
      <c r="GKG15" t="s">
        <v>6984</v>
      </c>
      <c r="GKH15" t="s">
        <v>6984</v>
      </c>
      <c r="GKI15" t="s">
        <v>6984</v>
      </c>
      <c r="GKJ15" t="s">
        <v>6984</v>
      </c>
      <c r="GKK15" t="s">
        <v>6984</v>
      </c>
      <c r="GKL15" t="s">
        <v>6984</v>
      </c>
      <c r="GKM15" t="s">
        <v>6984</v>
      </c>
      <c r="GKN15" t="s">
        <v>6984</v>
      </c>
      <c r="GKO15" t="s">
        <v>6984</v>
      </c>
      <c r="GKP15" t="s">
        <v>6984</v>
      </c>
      <c r="GKQ15" t="s">
        <v>6984</v>
      </c>
      <c r="GKR15" t="s">
        <v>6984</v>
      </c>
      <c r="GKS15" t="s">
        <v>6984</v>
      </c>
      <c r="GKT15" t="s">
        <v>6984</v>
      </c>
      <c r="GKU15" t="s">
        <v>6984</v>
      </c>
      <c r="GKV15" t="s">
        <v>6984</v>
      </c>
      <c r="GKW15" t="s">
        <v>6984</v>
      </c>
      <c r="GKX15" t="s">
        <v>6984</v>
      </c>
      <c r="GKY15" t="s">
        <v>6984</v>
      </c>
      <c r="GKZ15" t="s">
        <v>6984</v>
      </c>
      <c r="GLA15" t="s">
        <v>6984</v>
      </c>
      <c r="GLB15" t="s">
        <v>6984</v>
      </c>
      <c r="GLC15" t="s">
        <v>6984</v>
      </c>
      <c r="GLD15" t="s">
        <v>6984</v>
      </c>
      <c r="GLE15" t="s">
        <v>6984</v>
      </c>
      <c r="GLF15" t="s">
        <v>6984</v>
      </c>
      <c r="GLG15" t="s">
        <v>6984</v>
      </c>
      <c r="GLH15" t="s">
        <v>6984</v>
      </c>
      <c r="GLI15" t="s">
        <v>6984</v>
      </c>
      <c r="GLJ15" t="s">
        <v>6984</v>
      </c>
      <c r="GLK15" t="s">
        <v>6984</v>
      </c>
      <c r="GLL15" t="s">
        <v>6984</v>
      </c>
      <c r="GLM15" t="s">
        <v>6984</v>
      </c>
      <c r="GLN15" t="s">
        <v>6984</v>
      </c>
      <c r="GLO15" t="s">
        <v>6984</v>
      </c>
      <c r="GLP15" t="s">
        <v>6984</v>
      </c>
      <c r="GLQ15" t="s">
        <v>6984</v>
      </c>
      <c r="GLR15" t="s">
        <v>6984</v>
      </c>
      <c r="GLS15" t="s">
        <v>6984</v>
      </c>
      <c r="GLT15" t="s">
        <v>6984</v>
      </c>
      <c r="GLU15" t="s">
        <v>6984</v>
      </c>
      <c r="GLV15" t="s">
        <v>6984</v>
      </c>
      <c r="GLW15" t="s">
        <v>6984</v>
      </c>
      <c r="GLX15" t="s">
        <v>6984</v>
      </c>
      <c r="GLY15" t="s">
        <v>6984</v>
      </c>
      <c r="GLZ15" t="s">
        <v>6984</v>
      </c>
      <c r="GMA15" t="s">
        <v>6984</v>
      </c>
      <c r="GMB15" t="s">
        <v>6984</v>
      </c>
      <c r="GMC15" t="s">
        <v>6984</v>
      </c>
      <c r="GMD15" t="s">
        <v>6984</v>
      </c>
      <c r="GME15" t="s">
        <v>6984</v>
      </c>
      <c r="GMF15" t="s">
        <v>6984</v>
      </c>
      <c r="GMG15" t="s">
        <v>6984</v>
      </c>
      <c r="GMH15" t="s">
        <v>6984</v>
      </c>
      <c r="GMI15" t="s">
        <v>6984</v>
      </c>
      <c r="GMJ15" t="s">
        <v>6984</v>
      </c>
      <c r="GMK15" t="s">
        <v>6984</v>
      </c>
      <c r="GML15" t="s">
        <v>6984</v>
      </c>
      <c r="GMM15" t="s">
        <v>6984</v>
      </c>
      <c r="GMN15" t="s">
        <v>6984</v>
      </c>
      <c r="GMO15" t="s">
        <v>6984</v>
      </c>
      <c r="GMP15" t="s">
        <v>6984</v>
      </c>
      <c r="GMQ15" t="s">
        <v>6984</v>
      </c>
      <c r="GMR15" t="s">
        <v>6984</v>
      </c>
      <c r="GMS15" t="s">
        <v>6984</v>
      </c>
      <c r="GMT15" t="s">
        <v>6984</v>
      </c>
      <c r="GMU15" t="s">
        <v>6984</v>
      </c>
      <c r="GMV15" t="s">
        <v>6984</v>
      </c>
      <c r="GMW15" t="s">
        <v>6984</v>
      </c>
      <c r="GMX15" t="s">
        <v>6984</v>
      </c>
      <c r="GMY15" t="s">
        <v>6984</v>
      </c>
      <c r="GMZ15" t="s">
        <v>6984</v>
      </c>
      <c r="GNA15" t="s">
        <v>6984</v>
      </c>
      <c r="GNB15" t="s">
        <v>6984</v>
      </c>
      <c r="GNC15" t="s">
        <v>6984</v>
      </c>
      <c r="GND15" t="s">
        <v>6984</v>
      </c>
      <c r="GNE15" t="s">
        <v>6984</v>
      </c>
      <c r="GNF15" t="s">
        <v>6984</v>
      </c>
      <c r="GNG15" t="s">
        <v>6984</v>
      </c>
      <c r="GNH15" t="s">
        <v>6984</v>
      </c>
      <c r="GNI15" t="s">
        <v>6984</v>
      </c>
      <c r="GNJ15" t="s">
        <v>6984</v>
      </c>
      <c r="GNK15" t="s">
        <v>6984</v>
      </c>
      <c r="GNL15" t="s">
        <v>6984</v>
      </c>
      <c r="GNM15" t="s">
        <v>6984</v>
      </c>
      <c r="GNN15" t="s">
        <v>6984</v>
      </c>
      <c r="GNO15" t="s">
        <v>6984</v>
      </c>
      <c r="GNP15" t="s">
        <v>6984</v>
      </c>
      <c r="GNQ15" t="s">
        <v>6984</v>
      </c>
      <c r="GNR15" t="s">
        <v>6984</v>
      </c>
      <c r="GNS15" t="s">
        <v>6984</v>
      </c>
      <c r="GNT15" t="s">
        <v>6984</v>
      </c>
      <c r="GNU15" t="s">
        <v>6984</v>
      </c>
      <c r="GNV15" t="s">
        <v>6984</v>
      </c>
      <c r="GNW15" t="s">
        <v>6984</v>
      </c>
      <c r="GNX15" t="s">
        <v>6984</v>
      </c>
      <c r="GNY15" t="s">
        <v>6984</v>
      </c>
      <c r="GNZ15" t="s">
        <v>6984</v>
      </c>
      <c r="GOA15" t="s">
        <v>6984</v>
      </c>
      <c r="GOB15" t="s">
        <v>6984</v>
      </c>
      <c r="GOC15" t="s">
        <v>6984</v>
      </c>
      <c r="GOD15" t="s">
        <v>6984</v>
      </c>
      <c r="GOE15" t="s">
        <v>6984</v>
      </c>
      <c r="GOF15" t="s">
        <v>6984</v>
      </c>
      <c r="GOG15" t="s">
        <v>6984</v>
      </c>
      <c r="GOH15" t="s">
        <v>6984</v>
      </c>
      <c r="GOI15" t="s">
        <v>6984</v>
      </c>
      <c r="GOJ15" t="s">
        <v>6984</v>
      </c>
      <c r="GOK15" t="s">
        <v>6984</v>
      </c>
      <c r="GOL15" t="s">
        <v>6984</v>
      </c>
      <c r="GOM15" t="s">
        <v>6984</v>
      </c>
      <c r="GON15" t="s">
        <v>6984</v>
      </c>
      <c r="GOO15" t="s">
        <v>6984</v>
      </c>
      <c r="GOP15" t="s">
        <v>6984</v>
      </c>
      <c r="GOQ15" t="s">
        <v>6984</v>
      </c>
      <c r="GOR15" t="s">
        <v>6984</v>
      </c>
      <c r="GOS15" t="s">
        <v>6984</v>
      </c>
      <c r="GOT15" t="s">
        <v>6984</v>
      </c>
      <c r="GOU15" t="s">
        <v>6984</v>
      </c>
      <c r="GOV15" t="s">
        <v>6984</v>
      </c>
      <c r="GOW15" t="s">
        <v>6984</v>
      </c>
      <c r="GOX15" t="s">
        <v>6984</v>
      </c>
      <c r="GOY15" t="s">
        <v>6984</v>
      </c>
      <c r="GOZ15" t="s">
        <v>6984</v>
      </c>
      <c r="GPA15" t="s">
        <v>6984</v>
      </c>
      <c r="GPB15" t="s">
        <v>6984</v>
      </c>
      <c r="GPC15" t="s">
        <v>6984</v>
      </c>
      <c r="GPD15" t="s">
        <v>6984</v>
      </c>
      <c r="GPE15" t="s">
        <v>6984</v>
      </c>
      <c r="GPF15" t="s">
        <v>6984</v>
      </c>
      <c r="GPG15" t="s">
        <v>6984</v>
      </c>
      <c r="GPH15" t="s">
        <v>6984</v>
      </c>
      <c r="GPI15" t="s">
        <v>6984</v>
      </c>
      <c r="GPJ15" t="s">
        <v>6984</v>
      </c>
      <c r="GPK15" t="s">
        <v>6984</v>
      </c>
      <c r="GPL15" t="s">
        <v>6984</v>
      </c>
      <c r="GPM15" t="s">
        <v>6984</v>
      </c>
      <c r="GPN15" t="s">
        <v>6984</v>
      </c>
      <c r="GPO15" t="s">
        <v>6984</v>
      </c>
      <c r="GPP15" t="s">
        <v>6984</v>
      </c>
      <c r="GPQ15" t="s">
        <v>6984</v>
      </c>
      <c r="GPR15" t="s">
        <v>6984</v>
      </c>
      <c r="GPS15" t="s">
        <v>6984</v>
      </c>
      <c r="GPT15" t="s">
        <v>6984</v>
      </c>
      <c r="GPU15" t="s">
        <v>6984</v>
      </c>
      <c r="GPV15" t="s">
        <v>6984</v>
      </c>
      <c r="GPW15" t="s">
        <v>6984</v>
      </c>
      <c r="GPX15" t="s">
        <v>6984</v>
      </c>
      <c r="GPY15" t="s">
        <v>6984</v>
      </c>
      <c r="GPZ15" t="s">
        <v>6984</v>
      </c>
      <c r="GQA15" t="s">
        <v>6984</v>
      </c>
      <c r="GQB15" t="s">
        <v>6984</v>
      </c>
      <c r="GQC15" t="s">
        <v>6984</v>
      </c>
      <c r="GQD15" t="s">
        <v>6984</v>
      </c>
      <c r="GQE15" t="s">
        <v>6984</v>
      </c>
      <c r="GQF15" t="s">
        <v>6984</v>
      </c>
      <c r="GQG15" t="s">
        <v>6984</v>
      </c>
      <c r="GQH15" t="s">
        <v>6984</v>
      </c>
      <c r="GQI15" t="s">
        <v>6984</v>
      </c>
      <c r="GQJ15" t="s">
        <v>6984</v>
      </c>
      <c r="GQK15" t="s">
        <v>6984</v>
      </c>
      <c r="GQL15" t="s">
        <v>6984</v>
      </c>
      <c r="GQM15" t="s">
        <v>6984</v>
      </c>
      <c r="GQN15" t="s">
        <v>6984</v>
      </c>
      <c r="GQO15" t="s">
        <v>6984</v>
      </c>
      <c r="GQP15" t="s">
        <v>6984</v>
      </c>
      <c r="GQQ15" t="s">
        <v>6984</v>
      </c>
      <c r="GQR15" t="s">
        <v>6984</v>
      </c>
      <c r="GQS15" t="s">
        <v>6984</v>
      </c>
      <c r="GQT15" t="s">
        <v>6984</v>
      </c>
      <c r="GQU15" t="s">
        <v>6984</v>
      </c>
      <c r="GQV15" t="s">
        <v>6984</v>
      </c>
      <c r="GQW15" t="s">
        <v>6984</v>
      </c>
      <c r="GQX15" t="s">
        <v>6984</v>
      </c>
      <c r="GQY15" t="s">
        <v>6984</v>
      </c>
      <c r="GQZ15" t="s">
        <v>6984</v>
      </c>
      <c r="GRA15" t="s">
        <v>6984</v>
      </c>
      <c r="GRB15" t="s">
        <v>6984</v>
      </c>
      <c r="GRC15" t="s">
        <v>6984</v>
      </c>
      <c r="GRD15" t="s">
        <v>6984</v>
      </c>
      <c r="GRE15" t="s">
        <v>6984</v>
      </c>
      <c r="GRF15" t="s">
        <v>6984</v>
      </c>
      <c r="GRG15" t="s">
        <v>6984</v>
      </c>
      <c r="GRH15" t="s">
        <v>6984</v>
      </c>
      <c r="GRI15" t="s">
        <v>6984</v>
      </c>
      <c r="GRJ15" t="s">
        <v>6984</v>
      </c>
      <c r="GRK15" t="s">
        <v>6984</v>
      </c>
      <c r="GRL15" t="s">
        <v>6984</v>
      </c>
      <c r="GRM15" t="s">
        <v>6984</v>
      </c>
      <c r="GRN15" t="s">
        <v>6984</v>
      </c>
      <c r="GRO15" t="s">
        <v>6984</v>
      </c>
      <c r="GRP15" t="s">
        <v>6984</v>
      </c>
      <c r="GRQ15" t="s">
        <v>6984</v>
      </c>
      <c r="GRR15" t="s">
        <v>6984</v>
      </c>
      <c r="GRS15" t="s">
        <v>6984</v>
      </c>
      <c r="GRT15" t="s">
        <v>6984</v>
      </c>
      <c r="GRU15" t="s">
        <v>6984</v>
      </c>
      <c r="GRV15" t="s">
        <v>6984</v>
      </c>
      <c r="GRW15" t="s">
        <v>6984</v>
      </c>
      <c r="GRX15" t="s">
        <v>6984</v>
      </c>
      <c r="GRY15" t="s">
        <v>6984</v>
      </c>
      <c r="GRZ15" t="s">
        <v>6984</v>
      </c>
      <c r="GSA15" t="s">
        <v>6984</v>
      </c>
      <c r="GSB15" t="s">
        <v>6984</v>
      </c>
      <c r="GSC15" t="s">
        <v>6984</v>
      </c>
      <c r="GSD15" t="s">
        <v>6984</v>
      </c>
      <c r="GSE15" t="s">
        <v>6984</v>
      </c>
      <c r="GSF15" t="s">
        <v>6984</v>
      </c>
      <c r="GSG15" t="s">
        <v>6984</v>
      </c>
      <c r="GSH15" t="s">
        <v>6984</v>
      </c>
      <c r="GSI15" t="s">
        <v>6984</v>
      </c>
      <c r="GSJ15" t="s">
        <v>6984</v>
      </c>
      <c r="GSK15" t="s">
        <v>6984</v>
      </c>
      <c r="GSL15" t="s">
        <v>6984</v>
      </c>
      <c r="GSM15" t="s">
        <v>6984</v>
      </c>
      <c r="GSN15" t="s">
        <v>6984</v>
      </c>
      <c r="GSO15" t="s">
        <v>6984</v>
      </c>
      <c r="GSP15" t="s">
        <v>6984</v>
      </c>
      <c r="GSQ15" t="s">
        <v>6984</v>
      </c>
      <c r="GSR15" t="s">
        <v>6984</v>
      </c>
      <c r="GSS15" t="s">
        <v>6984</v>
      </c>
      <c r="GST15" t="s">
        <v>6984</v>
      </c>
      <c r="GSU15" t="s">
        <v>6984</v>
      </c>
      <c r="GSV15" t="s">
        <v>6984</v>
      </c>
      <c r="GSW15" t="s">
        <v>6984</v>
      </c>
      <c r="GSX15" t="s">
        <v>6984</v>
      </c>
      <c r="GSY15" t="s">
        <v>6984</v>
      </c>
      <c r="GSZ15" t="s">
        <v>6984</v>
      </c>
      <c r="GTA15" t="s">
        <v>6984</v>
      </c>
      <c r="GTB15" t="s">
        <v>6984</v>
      </c>
      <c r="GTC15" t="s">
        <v>6984</v>
      </c>
      <c r="GTD15" t="s">
        <v>6984</v>
      </c>
      <c r="GTE15" t="s">
        <v>6984</v>
      </c>
      <c r="GTF15" t="s">
        <v>6984</v>
      </c>
      <c r="GTG15" t="s">
        <v>6984</v>
      </c>
      <c r="GTH15" t="s">
        <v>6984</v>
      </c>
      <c r="GTI15" t="s">
        <v>6984</v>
      </c>
      <c r="GTJ15" t="s">
        <v>6984</v>
      </c>
      <c r="GTK15" t="s">
        <v>6984</v>
      </c>
      <c r="GTL15" t="s">
        <v>6984</v>
      </c>
      <c r="GTM15" t="s">
        <v>6984</v>
      </c>
      <c r="GTN15" t="s">
        <v>6984</v>
      </c>
      <c r="GTO15" t="s">
        <v>6984</v>
      </c>
      <c r="GTP15" t="s">
        <v>6984</v>
      </c>
      <c r="GTQ15" t="s">
        <v>6984</v>
      </c>
      <c r="GTR15" t="s">
        <v>6984</v>
      </c>
      <c r="GTS15" t="s">
        <v>6984</v>
      </c>
      <c r="GTT15" t="s">
        <v>6984</v>
      </c>
      <c r="GTU15" t="s">
        <v>6984</v>
      </c>
      <c r="GTV15" t="s">
        <v>6984</v>
      </c>
      <c r="GTW15" t="s">
        <v>6984</v>
      </c>
      <c r="GTX15" t="s">
        <v>6984</v>
      </c>
      <c r="GTY15" t="s">
        <v>6984</v>
      </c>
      <c r="GTZ15" t="s">
        <v>6984</v>
      </c>
      <c r="GUA15" t="s">
        <v>6984</v>
      </c>
      <c r="GUB15" t="s">
        <v>6984</v>
      </c>
      <c r="GUC15" t="s">
        <v>6984</v>
      </c>
      <c r="GUD15" t="s">
        <v>6984</v>
      </c>
      <c r="GUE15" t="s">
        <v>6984</v>
      </c>
      <c r="GUF15" t="s">
        <v>6984</v>
      </c>
      <c r="GUG15" t="s">
        <v>6984</v>
      </c>
      <c r="GUH15" t="s">
        <v>6984</v>
      </c>
      <c r="GUI15" t="s">
        <v>6984</v>
      </c>
      <c r="GUJ15" t="s">
        <v>6984</v>
      </c>
      <c r="GUK15" t="s">
        <v>6984</v>
      </c>
      <c r="GUL15" t="s">
        <v>6984</v>
      </c>
      <c r="GUM15" t="s">
        <v>6984</v>
      </c>
      <c r="GUN15" t="s">
        <v>6984</v>
      </c>
      <c r="GUO15" t="s">
        <v>6984</v>
      </c>
      <c r="GUP15" t="s">
        <v>6984</v>
      </c>
      <c r="GUQ15" t="s">
        <v>6984</v>
      </c>
      <c r="GUR15" t="s">
        <v>6984</v>
      </c>
      <c r="GUS15" t="s">
        <v>6984</v>
      </c>
      <c r="GUT15" t="s">
        <v>6984</v>
      </c>
      <c r="GUU15" t="s">
        <v>6984</v>
      </c>
      <c r="GUV15" t="s">
        <v>6984</v>
      </c>
      <c r="GUW15" t="s">
        <v>6984</v>
      </c>
      <c r="GUX15" t="s">
        <v>6984</v>
      </c>
      <c r="GUY15" t="s">
        <v>6984</v>
      </c>
      <c r="GUZ15" t="s">
        <v>6984</v>
      </c>
      <c r="GVA15" t="s">
        <v>6984</v>
      </c>
      <c r="GVB15" t="s">
        <v>6984</v>
      </c>
      <c r="GVC15" t="s">
        <v>6984</v>
      </c>
      <c r="GVD15" t="s">
        <v>6984</v>
      </c>
      <c r="GVE15" t="s">
        <v>6984</v>
      </c>
      <c r="GVF15" t="s">
        <v>6984</v>
      </c>
      <c r="GVG15" t="s">
        <v>6984</v>
      </c>
      <c r="GVH15" t="s">
        <v>6984</v>
      </c>
      <c r="GVI15" t="s">
        <v>6984</v>
      </c>
      <c r="GVJ15" t="s">
        <v>6984</v>
      </c>
      <c r="GVK15" t="s">
        <v>6984</v>
      </c>
      <c r="GVL15" t="s">
        <v>6984</v>
      </c>
      <c r="GVM15" t="s">
        <v>6984</v>
      </c>
      <c r="GVN15" t="s">
        <v>6984</v>
      </c>
      <c r="GVO15" t="s">
        <v>6984</v>
      </c>
      <c r="GVP15" t="s">
        <v>6984</v>
      </c>
      <c r="GVQ15" t="s">
        <v>6984</v>
      </c>
      <c r="GVR15" t="s">
        <v>6984</v>
      </c>
      <c r="GVS15" t="s">
        <v>6984</v>
      </c>
      <c r="GVT15" t="s">
        <v>6984</v>
      </c>
      <c r="GVU15" t="s">
        <v>6984</v>
      </c>
      <c r="GVV15" t="s">
        <v>6984</v>
      </c>
      <c r="GVW15" t="s">
        <v>6984</v>
      </c>
      <c r="GVX15" t="s">
        <v>6984</v>
      </c>
      <c r="GVY15" t="s">
        <v>6984</v>
      </c>
      <c r="GVZ15" t="s">
        <v>6984</v>
      </c>
      <c r="GWA15" t="s">
        <v>6984</v>
      </c>
      <c r="GWB15" t="s">
        <v>6984</v>
      </c>
      <c r="GWC15" t="s">
        <v>6984</v>
      </c>
      <c r="GWD15" t="s">
        <v>6984</v>
      </c>
      <c r="GWE15" t="s">
        <v>6984</v>
      </c>
      <c r="GWF15" t="s">
        <v>6984</v>
      </c>
      <c r="GWG15" t="s">
        <v>6984</v>
      </c>
      <c r="GWH15" t="s">
        <v>6984</v>
      </c>
      <c r="GWI15" t="s">
        <v>6984</v>
      </c>
      <c r="GWJ15" t="s">
        <v>6984</v>
      </c>
      <c r="GWK15" t="s">
        <v>6984</v>
      </c>
      <c r="GWL15" t="s">
        <v>6984</v>
      </c>
      <c r="GWM15" t="s">
        <v>6984</v>
      </c>
      <c r="GWN15" t="s">
        <v>6984</v>
      </c>
      <c r="GWO15" t="s">
        <v>6984</v>
      </c>
      <c r="GWP15" t="s">
        <v>6984</v>
      </c>
      <c r="GWQ15" t="s">
        <v>6984</v>
      </c>
      <c r="GWR15" t="s">
        <v>6984</v>
      </c>
      <c r="GWS15" t="s">
        <v>6984</v>
      </c>
      <c r="GWT15" t="s">
        <v>6984</v>
      </c>
      <c r="GWU15" t="s">
        <v>6984</v>
      </c>
      <c r="GWV15" t="s">
        <v>6984</v>
      </c>
      <c r="GWW15" t="s">
        <v>6984</v>
      </c>
      <c r="GWX15" t="s">
        <v>6984</v>
      </c>
      <c r="GWY15" t="s">
        <v>6984</v>
      </c>
      <c r="GWZ15" t="s">
        <v>6984</v>
      </c>
      <c r="GXA15" t="s">
        <v>6984</v>
      </c>
      <c r="GXB15" t="s">
        <v>6984</v>
      </c>
      <c r="GXC15" t="s">
        <v>6984</v>
      </c>
      <c r="GXD15" t="s">
        <v>6984</v>
      </c>
      <c r="GXE15" t="s">
        <v>6984</v>
      </c>
      <c r="GXF15" t="s">
        <v>6984</v>
      </c>
      <c r="GXG15" t="s">
        <v>6984</v>
      </c>
      <c r="GXH15" t="s">
        <v>6984</v>
      </c>
      <c r="GXI15" t="s">
        <v>6984</v>
      </c>
      <c r="GXJ15" t="s">
        <v>6984</v>
      </c>
      <c r="GXK15" t="s">
        <v>6984</v>
      </c>
      <c r="GXL15" t="s">
        <v>6984</v>
      </c>
      <c r="GXM15" t="s">
        <v>6984</v>
      </c>
      <c r="GXN15" t="s">
        <v>6984</v>
      </c>
      <c r="GXO15" t="s">
        <v>6984</v>
      </c>
      <c r="GXP15" t="s">
        <v>6984</v>
      </c>
      <c r="GXQ15" t="s">
        <v>6984</v>
      </c>
      <c r="GXR15" t="s">
        <v>6984</v>
      </c>
      <c r="GXS15" t="s">
        <v>6984</v>
      </c>
      <c r="GXT15" t="s">
        <v>6984</v>
      </c>
      <c r="GXU15" t="s">
        <v>6984</v>
      </c>
      <c r="GXV15" t="s">
        <v>6984</v>
      </c>
      <c r="GXW15" t="s">
        <v>6984</v>
      </c>
      <c r="GXX15" t="s">
        <v>6984</v>
      </c>
      <c r="GXY15" t="s">
        <v>6984</v>
      </c>
      <c r="GXZ15" t="s">
        <v>6984</v>
      </c>
      <c r="GYA15" t="s">
        <v>6984</v>
      </c>
      <c r="GYB15" t="s">
        <v>6984</v>
      </c>
      <c r="GYC15" t="s">
        <v>6984</v>
      </c>
      <c r="GYD15" t="s">
        <v>6984</v>
      </c>
      <c r="GYE15" t="s">
        <v>6984</v>
      </c>
      <c r="GYF15" t="s">
        <v>6984</v>
      </c>
      <c r="GYG15" t="s">
        <v>6984</v>
      </c>
      <c r="GYH15" t="s">
        <v>6984</v>
      </c>
      <c r="GYI15" t="s">
        <v>6984</v>
      </c>
      <c r="GYJ15" t="s">
        <v>6984</v>
      </c>
      <c r="GYK15" t="s">
        <v>6984</v>
      </c>
      <c r="GYL15" t="s">
        <v>6984</v>
      </c>
      <c r="GYM15" t="s">
        <v>6984</v>
      </c>
      <c r="GYN15" t="s">
        <v>6984</v>
      </c>
      <c r="GYO15" t="s">
        <v>6984</v>
      </c>
      <c r="GYP15" t="s">
        <v>6984</v>
      </c>
      <c r="GYQ15" t="s">
        <v>6984</v>
      </c>
      <c r="GYR15" t="s">
        <v>6984</v>
      </c>
      <c r="GYS15" t="s">
        <v>6984</v>
      </c>
      <c r="GYT15" t="s">
        <v>6984</v>
      </c>
      <c r="GYU15" t="s">
        <v>6984</v>
      </c>
      <c r="GYV15" t="s">
        <v>6984</v>
      </c>
      <c r="GYW15" t="s">
        <v>6984</v>
      </c>
      <c r="GYX15" t="s">
        <v>6984</v>
      </c>
      <c r="GYY15" t="s">
        <v>6984</v>
      </c>
      <c r="GYZ15" t="s">
        <v>6984</v>
      </c>
      <c r="GZA15" t="s">
        <v>6984</v>
      </c>
      <c r="GZB15" t="s">
        <v>6984</v>
      </c>
      <c r="GZC15" t="s">
        <v>6984</v>
      </c>
      <c r="GZD15" t="s">
        <v>6984</v>
      </c>
      <c r="GZE15" t="s">
        <v>6984</v>
      </c>
      <c r="GZF15" t="s">
        <v>6984</v>
      </c>
      <c r="GZG15" t="s">
        <v>6984</v>
      </c>
      <c r="GZH15" t="s">
        <v>6984</v>
      </c>
      <c r="GZI15" t="s">
        <v>6984</v>
      </c>
      <c r="GZJ15" t="s">
        <v>6984</v>
      </c>
      <c r="GZK15" t="s">
        <v>6984</v>
      </c>
      <c r="GZL15" t="s">
        <v>6984</v>
      </c>
      <c r="GZM15" t="s">
        <v>6984</v>
      </c>
      <c r="GZN15" t="s">
        <v>6984</v>
      </c>
      <c r="GZO15" t="s">
        <v>6984</v>
      </c>
      <c r="GZP15" t="s">
        <v>6984</v>
      </c>
      <c r="GZQ15" t="s">
        <v>6984</v>
      </c>
      <c r="GZR15" t="s">
        <v>6984</v>
      </c>
      <c r="GZS15" t="s">
        <v>6984</v>
      </c>
      <c r="GZT15" t="s">
        <v>6984</v>
      </c>
      <c r="GZU15" t="s">
        <v>6984</v>
      </c>
      <c r="GZV15" t="s">
        <v>6984</v>
      </c>
      <c r="GZW15" t="s">
        <v>6984</v>
      </c>
      <c r="GZX15" t="s">
        <v>6984</v>
      </c>
      <c r="GZY15" t="s">
        <v>6984</v>
      </c>
      <c r="GZZ15" t="s">
        <v>6984</v>
      </c>
      <c r="HAA15" t="s">
        <v>6984</v>
      </c>
      <c r="HAB15" t="s">
        <v>6984</v>
      </c>
      <c r="HAC15" t="s">
        <v>6984</v>
      </c>
      <c r="HAD15" t="s">
        <v>6984</v>
      </c>
      <c r="HAE15" t="s">
        <v>6984</v>
      </c>
      <c r="HAF15" t="s">
        <v>6984</v>
      </c>
      <c r="HAG15" t="s">
        <v>6984</v>
      </c>
      <c r="HAH15" t="s">
        <v>6984</v>
      </c>
      <c r="HAI15" t="s">
        <v>6984</v>
      </c>
      <c r="HAJ15" t="s">
        <v>6984</v>
      </c>
      <c r="HAK15" t="s">
        <v>6984</v>
      </c>
      <c r="HAL15" t="s">
        <v>6984</v>
      </c>
      <c r="HAM15" t="s">
        <v>6984</v>
      </c>
      <c r="HAN15" t="s">
        <v>6984</v>
      </c>
      <c r="HAO15" t="s">
        <v>6984</v>
      </c>
      <c r="HAP15" t="s">
        <v>6984</v>
      </c>
      <c r="HAQ15" t="s">
        <v>6984</v>
      </c>
      <c r="HAR15" t="s">
        <v>6984</v>
      </c>
      <c r="HAS15" t="s">
        <v>6984</v>
      </c>
      <c r="HAT15" t="s">
        <v>6984</v>
      </c>
      <c r="HAU15" t="s">
        <v>6984</v>
      </c>
      <c r="HAV15" t="s">
        <v>6984</v>
      </c>
      <c r="HAW15" t="s">
        <v>6984</v>
      </c>
      <c r="HAX15" t="s">
        <v>6984</v>
      </c>
      <c r="HAY15" t="s">
        <v>6984</v>
      </c>
      <c r="HAZ15" t="s">
        <v>6984</v>
      </c>
      <c r="HBA15" t="s">
        <v>6984</v>
      </c>
      <c r="HBB15" t="s">
        <v>6984</v>
      </c>
      <c r="HBC15" t="s">
        <v>6984</v>
      </c>
      <c r="HBD15" t="s">
        <v>6984</v>
      </c>
      <c r="HBE15" t="s">
        <v>6984</v>
      </c>
      <c r="HBF15" t="s">
        <v>6984</v>
      </c>
      <c r="HBG15" t="s">
        <v>6984</v>
      </c>
      <c r="HBH15" t="s">
        <v>6984</v>
      </c>
      <c r="HBI15" t="s">
        <v>6984</v>
      </c>
      <c r="HBJ15" t="s">
        <v>6984</v>
      </c>
      <c r="HBK15" t="s">
        <v>6984</v>
      </c>
      <c r="HBL15" t="s">
        <v>6984</v>
      </c>
      <c r="HBM15" t="s">
        <v>6984</v>
      </c>
      <c r="HBN15" t="s">
        <v>6984</v>
      </c>
      <c r="HBO15" t="s">
        <v>6984</v>
      </c>
      <c r="HBP15" t="s">
        <v>6984</v>
      </c>
      <c r="HBQ15" t="s">
        <v>6984</v>
      </c>
      <c r="HBR15" t="s">
        <v>6984</v>
      </c>
      <c r="HBS15" t="s">
        <v>6984</v>
      </c>
      <c r="HBT15" t="s">
        <v>6984</v>
      </c>
      <c r="HBU15" t="s">
        <v>6984</v>
      </c>
      <c r="HBV15" t="s">
        <v>6984</v>
      </c>
      <c r="HBW15" t="s">
        <v>6984</v>
      </c>
      <c r="HBX15" t="s">
        <v>6984</v>
      </c>
      <c r="HBY15" t="s">
        <v>6984</v>
      </c>
      <c r="HBZ15" t="s">
        <v>6984</v>
      </c>
      <c r="HCA15" t="s">
        <v>6984</v>
      </c>
      <c r="HCB15" t="s">
        <v>6984</v>
      </c>
      <c r="HCC15" t="s">
        <v>6984</v>
      </c>
      <c r="HCD15" t="s">
        <v>6984</v>
      </c>
      <c r="HCE15" t="s">
        <v>6984</v>
      </c>
      <c r="HCF15" t="s">
        <v>6984</v>
      </c>
      <c r="HCG15" t="s">
        <v>6984</v>
      </c>
      <c r="HCH15" t="s">
        <v>6984</v>
      </c>
      <c r="HCI15" t="s">
        <v>6984</v>
      </c>
      <c r="HCJ15" t="s">
        <v>6984</v>
      </c>
      <c r="HCK15" t="s">
        <v>6984</v>
      </c>
      <c r="HCL15" t="s">
        <v>6984</v>
      </c>
      <c r="HCM15" t="s">
        <v>6984</v>
      </c>
      <c r="HCN15" t="s">
        <v>6984</v>
      </c>
      <c r="HCO15" t="s">
        <v>6984</v>
      </c>
      <c r="HCP15" t="s">
        <v>6984</v>
      </c>
      <c r="HCQ15" t="s">
        <v>6984</v>
      </c>
      <c r="HCR15" t="s">
        <v>6984</v>
      </c>
      <c r="HCS15" t="s">
        <v>6984</v>
      </c>
      <c r="HCT15" t="s">
        <v>6984</v>
      </c>
      <c r="HCU15" t="s">
        <v>6984</v>
      </c>
      <c r="HCV15" t="s">
        <v>6984</v>
      </c>
      <c r="HCW15" t="s">
        <v>6984</v>
      </c>
      <c r="HCX15" t="s">
        <v>6984</v>
      </c>
      <c r="HCY15" t="s">
        <v>6984</v>
      </c>
      <c r="HCZ15" t="s">
        <v>6984</v>
      </c>
      <c r="HDA15" t="s">
        <v>6984</v>
      </c>
      <c r="HDB15" t="s">
        <v>6984</v>
      </c>
      <c r="HDC15" t="s">
        <v>6984</v>
      </c>
      <c r="HDD15" t="s">
        <v>6984</v>
      </c>
      <c r="HDE15" t="s">
        <v>6984</v>
      </c>
      <c r="HDF15" t="s">
        <v>6984</v>
      </c>
      <c r="HDG15" t="s">
        <v>6984</v>
      </c>
      <c r="HDH15" t="s">
        <v>6984</v>
      </c>
      <c r="HDI15" t="s">
        <v>6984</v>
      </c>
      <c r="HDJ15" t="s">
        <v>6984</v>
      </c>
      <c r="HDK15" t="s">
        <v>6984</v>
      </c>
      <c r="HDL15" t="s">
        <v>6984</v>
      </c>
      <c r="HDM15" t="s">
        <v>6984</v>
      </c>
      <c r="HDN15" t="s">
        <v>6984</v>
      </c>
      <c r="HDO15" t="s">
        <v>6984</v>
      </c>
      <c r="HDP15" t="s">
        <v>6984</v>
      </c>
      <c r="HDQ15" t="s">
        <v>6984</v>
      </c>
      <c r="HDR15" t="s">
        <v>6984</v>
      </c>
      <c r="HDS15" t="s">
        <v>6984</v>
      </c>
      <c r="HDT15" t="s">
        <v>6984</v>
      </c>
      <c r="HDU15" t="s">
        <v>6984</v>
      </c>
      <c r="HDV15" t="s">
        <v>6984</v>
      </c>
      <c r="HDW15" t="s">
        <v>6984</v>
      </c>
      <c r="HDX15" t="s">
        <v>6984</v>
      </c>
      <c r="HDY15" t="s">
        <v>6984</v>
      </c>
      <c r="HDZ15" t="s">
        <v>6984</v>
      </c>
      <c r="HEA15" t="s">
        <v>6984</v>
      </c>
      <c r="HEB15" t="s">
        <v>6984</v>
      </c>
      <c r="HEC15" t="s">
        <v>6984</v>
      </c>
      <c r="HED15" t="s">
        <v>6984</v>
      </c>
      <c r="HEE15" t="s">
        <v>6984</v>
      </c>
      <c r="HEF15" t="s">
        <v>6984</v>
      </c>
      <c r="HEG15" t="s">
        <v>6984</v>
      </c>
      <c r="HEH15" t="s">
        <v>6984</v>
      </c>
      <c r="HEI15" t="s">
        <v>6984</v>
      </c>
      <c r="HEJ15" t="s">
        <v>6984</v>
      </c>
      <c r="HEK15" t="s">
        <v>6984</v>
      </c>
      <c r="HEL15" t="s">
        <v>6984</v>
      </c>
      <c r="HEM15" t="s">
        <v>6984</v>
      </c>
      <c r="HEN15" t="s">
        <v>6984</v>
      </c>
      <c r="HEO15" t="s">
        <v>6984</v>
      </c>
      <c r="HEP15" t="s">
        <v>6984</v>
      </c>
      <c r="HEQ15" t="s">
        <v>6984</v>
      </c>
      <c r="HER15" t="s">
        <v>6984</v>
      </c>
      <c r="HES15" t="s">
        <v>6984</v>
      </c>
      <c r="HET15" t="s">
        <v>6984</v>
      </c>
      <c r="HEU15" t="s">
        <v>6984</v>
      </c>
      <c r="HEV15" t="s">
        <v>6984</v>
      </c>
      <c r="HEW15" t="s">
        <v>6984</v>
      </c>
      <c r="HEX15" t="s">
        <v>6984</v>
      </c>
      <c r="HEY15" t="s">
        <v>6984</v>
      </c>
      <c r="HEZ15" t="s">
        <v>6984</v>
      </c>
      <c r="HFA15" t="s">
        <v>6984</v>
      </c>
      <c r="HFB15" t="s">
        <v>6984</v>
      </c>
      <c r="HFC15" t="s">
        <v>6984</v>
      </c>
      <c r="HFD15" t="s">
        <v>6984</v>
      </c>
      <c r="HFE15" t="s">
        <v>6984</v>
      </c>
      <c r="HFF15" t="s">
        <v>6984</v>
      </c>
      <c r="HFG15" t="s">
        <v>6984</v>
      </c>
      <c r="HFH15" t="s">
        <v>6984</v>
      </c>
      <c r="HFI15" t="s">
        <v>6984</v>
      </c>
      <c r="HFJ15" t="s">
        <v>6984</v>
      </c>
      <c r="HFK15" t="s">
        <v>6984</v>
      </c>
      <c r="HFL15" t="s">
        <v>6984</v>
      </c>
      <c r="HFM15" t="s">
        <v>6984</v>
      </c>
      <c r="HFN15" t="s">
        <v>6984</v>
      </c>
      <c r="HFO15" t="s">
        <v>6984</v>
      </c>
      <c r="HFP15" t="s">
        <v>6984</v>
      </c>
      <c r="HFQ15" t="s">
        <v>6984</v>
      </c>
      <c r="HFR15" t="s">
        <v>6984</v>
      </c>
      <c r="HFS15" t="s">
        <v>6984</v>
      </c>
      <c r="HFT15" t="s">
        <v>6984</v>
      </c>
      <c r="HFU15" t="s">
        <v>6984</v>
      </c>
      <c r="HFV15" t="s">
        <v>6984</v>
      </c>
      <c r="HFW15" t="s">
        <v>6984</v>
      </c>
      <c r="HFX15" t="s">
        <v>6984</v>
      </c>
      <c r="HFY15" t="s">
        <v>6984</v>
      </c>
      <c r="HFZ15" t="s">
        <v>6984</v>
      </c>
      <c r="HGA15" t="s">
        <v>6984</v>
      </c>
      <c r="HGB15" t="s">
        <v>6984</v>
      </c>
      <c r="HGC15" t="s">
        <v>6984</v>
      </c>
      <c r="HGD15" t="s">
        <v>6984</v>
      </c>
      <c r="HGE15" t="s">
        <v>6984</v>
      </c>
      <c r="HGF15" t="s">
        <v>6984</v>
      </c>
      <c r="HGG15" t="s">
        <v>6984</v>
      </c>
      <c r="HGH15" t="s">
        <v>6984</v>
      </c>
      <c r="HGI15" t="s">
        <v>6984</v>
      </c>
      <c r="HGJ15" t="s">
        <v>6984</v>
      </c>
      <c r="HGK15" t="s">
        <v>6984</v>
      </c>
      <c r="HGL15" t="s">
        <v>6984</v>
      </c>
      <c r="HGM15" t="s">
        <v>6984</v>
      </c>
      <c r="HGN15" t="s">
        <v>6984</v>
      </c>
      <c r="HGO15" t="s">
        <v>6984</v>
      </c>
      <c r="HGP15" t="s">
        <v>6984</v>
      </c>
      <c r="HGQ15" t="s">
        <v>6984</v>
      </c>
      <c r="HGR15" t="s">
        <v>6984</v>
      </c>
      <c r="HGS15" t="s">
        <v>6984</v>
      </c>
      <c r="HGT15" t="s">
        <v>6984</v>
      </c>
      <c r="HGU15" t="s">
        <v>6984</v>
      </c>
      <c r="HGV15" t="s">
        <v>6984</v>
      </c>
      <c r="HGW15" t="s">
        <v>6984</v>
      </c>
      <c r="HGX15" t="s">
        <v>6984</v>
      </c>
      <c r="HGY15" t="s">
        <v>6984</v>
      </c>
      <c r="HGZ15" t="s">
        <v>6984</v>
      </c>
      <c r="HHA15" t="s">
        <v>6984</v>
      </c>
      <c r="HHB15" t="s">
        <v>6984</v>
      </c>
      <c r="HHC15" t="s">
        <v>6984</v>
      </c>
      <c r="HHD15" t="s">
        <v>6984</v>
      </c>
      <c r="HHE15" t="s">
        <v>6984</v>
      </c>
      <c r="HHF15" t="s">
        <v>6984</v>
      </c>
      <c r="HHG15" t="s">
        <v>6984</v>
      </c>
      <c r="HHH15" t="s">
        <v>6984</v>
      </c>
      <c r="HHI15" t="s">
        <v>6984</v>
      </c>
      <c r="HHJ15" t="s">
        <v>6984</v>
      </c>
      <c r="HHK15" t="s">
        <v>6984</v>
      </c>
      <c r="HHL15" t="s">
        <v>6984</v>
      </c>
      <c r="HHM15" t="s">
        <v>6984</v>
      </c>
      <c r="HHN15" t="s">
        <v>6984</v>
      </c>
      <c r="HHO15" t="s">
        <v>6984</v>
      </c>
      <c r="HHP15" t="s">
        <v>6984</v>
      </c>
      <c r="HHQ15" t="s">
        <v>6984</v>
      </c>
      <c r="HHR15" t="s">
        <v>6984</v>
      </c>
      <c r="HHS15" t="s">
        <v>6984</v>
      </c>
      <c r="HHT15" t="s">
        <v>6984</v>
      </c>
      <c r="HHU15" t="s">
        <v>6984</v>
      </c>
      <c r="HHV15" t="s">
        <v>6984</v>
      </c>
      <c r="HHW15" t="s">
        <v>6984</v>
      </c>
      <c r="HHX15" t="s">
        <v>6984</v>
      </c>
      <c r="HHY15" t="s">
        <v>6984</v>
      </c>
      <c r="HHZ15" t="s">
        <v>6984</v>
      </c>
      <c r="HIA15" t="s">
        <v>6984</v>
      </c>
      <c r="HIB15" t="s">
        <v>6984</v>
      </c>
      <c r="HIC15" t="s">
        <v>6984</v>
      </c>
      <c r="HID15" t="s">
        <v>6984</v>
      </c>
      <c r="HIE15" t="s">
        <v>6984</v>
      </c>
      <c r="HIF15" t="s">
        <v>6984</v>
      </c>
      <c r="HIG15" t="s">
        <v>6984</v>
      </c>
      <c r="HIH15" t="s">
        <v>6984</v>
      </c>
      <c r="HII15" t="s">
        <v>6984</v>
      </c>
      <c r="HIJ15" t="s">
        <v>6984</v>
      </c>
      <c r="HIK15" t="s">
        <v>6984</v>
      </c>
      <c r="HIL15" t="s">
        <v>6984</v>
      </c>
      <c r="HIM15" t="s">
        <v>6984</v>
      </c>
      <c r="HIN15" t="s">
        <v>6984</v>
      </c>
      <c r="HIO15" t="s">
        <v>6984</v>
      </c>
      <c r="HIP15" t="s">
        <v>6984</v>
      </c>
      <c r="HIQ15" t="s">
        <v>6984</v>
      </c>
      <c r="HIR15" t="s">
        <v>6984</v>
      </c>
      <c r="HIS15" t="s">
        <v>6984</v>
      </c>
      <c r="HIT15" t="s">
        <v>6984</v>
      </c>
      <c r="HIU15" t="s">
        <v>6984</v>
      </c>
      <c r="HIV15" t="s">
        <v>6984</v>
      </c>
      <c r="HIW15" t="s">
        <v>6984</v>
      </c>
      <c r="HIX15" t="s">
        <v>6984</v>
      </c>
      <c r="HIY15" t="s">
        <v>6984</v>
      </c>
      <c r="HIZ15" t="s">
        <v>6984</v>
      </c>
      <c r="HJA15" t="s">
        <v>6984</v>
      </c>
      <c r="HJB15" t="s">
        <v>6984</v>
      </c>
      <c r="HJC15" t="s">
        <v>6984</v>
      </c>
      <c r="HJD15" t="s">
        <v>6984</v>
      </c>
      <c r="HJE15" t="s">
        <v>6984</v>
      </c>
      <c r="HJF15" t="s">
        <v>6984</v>
      </c>
      <c r="HJG15" t="s">
        <v>6984</v>
      </c>
      <c r="HJH15" t="s">
        <v>6984</v>
      </c>
      <c r="HJI15" t="s">
        <v>6984</v>
      </c>
      <c r="HJJ15" t="s">
        <v>6984</v>
      </c>
      <c r="HJK15" t="s">
        <v>6984</v>
      </c>
      <c r="HJL15" t="s">
        <v>6984</v>
      </c>
      <c r="HJM15" t="s">
        <v>6984</v>
      </c>
      <c r="HJN15" t="s">
        <v>6984</v>
      </c>
      <c r="HJO15" t="s">
        <v>6984</v>
      </c>
      <c r="HJP15" t="s">
        <v>6984</v>
      </c>
      <c r="HJQ15" t="s">
        <v>6984</v>
      </c>
      <c r="HJR15" t="s">
        <v>6984</v>
      </c>
      <c r="HJS15" t="s">
        <v>6984</v>
      </c>
      <c r="HJT15" t="s">
        <v>6984</v>
      </c>
      <c r="HJU15" t="s">
        <v>6984</v>
      </c>
      <c r="HJV15" t="s">
        <v>6984</v>
      </c>
      <c r="HJW15" t="s">
        <v>6984</v>
      </c>
      <c r="HJX15" t="s">
        <v>6984</v>
      </c>
      <c r="HJY15" t="s">
        <v>6984</v>
      </c>
      <c r="HJZ15" t="s">
        <v>6984</v>
      </c>
      <c r="HKA15" t="s">
        <v>6984</v>
      </c>
      <c r="HKB15" t="s">
        <v>6984</v>
      </c>
      <c r="HKC15" t="s">
        <v>6984</v>
      </c>
      <c r="HKD15" t="s">
        <v>6984</v>
      </c>
      <c r="HKE15" t="s">
        <v>6984</v>
      </c>
      <c r="HKF15" t="s">
        <v>6984</v>
      </c>
      <c r="HKG15" t="s">
        <v>6984</v>
      </c>
      <c r="HKH15" t="s">
        <v>6984</v>
      </c>
      <c r="HKI15" t="s">
        <v>6984</v>
      </c>
      <c r="HKJ15" t="s">
        <v>6984</v>
      </c>
      <c r="HKK15" t="s">
        <v>6984</v>
      </c>
      <c r="HKL15" t="s">
        <v>6984</v>
      </c>
      <c r="HKM15" t="s">
        <v>6984</v>
      </c>
      <c r="HKN15" t="s">
        <v>6984</v>
      </c>
      <c r="HKO15" t="s">
        <v>6984</v>
      </c>
      <c r="HKP15" t="s">
        <v>6984</v>
      </c>
      <c r="HKQ15" t="s">
        <v>6984</v>
      </c>
      <c r="HKR15" t="s">
        <v>6984</v>
      </c>
      <c r="HKS15" t="s">
        <v>6984</v>
      </c>
      <c r="HKT15" t="s">
        <v>6984</v>
      </c>
      <c r="HKU15" t="s">
        <v>6984</v>
      </c>
      <c r="HKV15" t="s">
        <v>6984</v>
      </c>
      <c r="HKW15" t="s">
        <v>6984</v>
      </c>
      <c r="HKX15" t="s">
        <v>6984</v>
      </c>
      <c r="HKY15" t="s">
        <v>6984</v>
      </c>
      <c r="HKZ15" t="s">
        <v>6984</v>
      </c>
      <c r="HLA15" t="s">
        <v>6984</v>
      </c>
      <c r="HLB15" t="s">
        <v>6984</v>
      </c>
      <c r="HLC15" t="s">
        <v>6984</v>
      </c>
      <c r="HLD15" t="s">
        <v>6984</v>
      </c>
      <c r="HLE15" t="s">
        <v>6984</v>
      </c>
      <c r="HLF15" t="s">
        <v>6984</v>
      </c>
      <c r="HLG15" t="s">
        <v>6984</v>
      </c>
      <c r="HLH15" t="s">
        <v>6984</v>
      </c>
      <c r="HLI15" t="s">
        <v>6984</v>
      </c>
      <c r="HLJ15" t="s">
        <v>6984</v>
      </c>
      <c r="HLK15" t="s">
        <v>6984</v>
      </c>
      <c r="HLL15" t="s">
        <v>6984</v>
      </c>
      <c r="HLM15" t="s">
        <v>6984</v>
      </c>
      <c r="HLN15" t="s">
        <v>6984</v>
      </c>
      <c r="HLO15" t="s">
        <v>6984</v>
      </c>
      <c r="HLP15" t="s">
        <v>6984</v>
      </c>
      <c r="HLQ15" t="s">
        <v>6984</v>
      </c>
      <c r="HLR15" t="s">
        <v>6984</v>
      </c>
      <c r="HLS15" t="s">
        <v>6984</v>
      </c>
      <c r="HLT15" t="s">
        <v>6984</v>
      </c>
      <c r="HLU15" t="s">
        <v>6984</v>
      </c>
      <c r="HLV15" t="s">
        <v>6984</v>
      </c>
      <c r="HLW15" t="s">
        <v>6984</v>
      </c>
      <c r="HLX15" t="s">
        <v>6984</v>
      </c>
      <c r="HLY15" t="s">
        <v>6984</v>
      </c>
      <c r="HLZ15" t="s">
        <v>6984</v>
      </c>
      <c r="HMA15" t="s">
        <v>6984</v>
      </c>
      <c r="HMB15" t="s">
        <v>6984</v>
      </c>
      <c r="HMC15" t="s">
        <v>6984</v>
      </c>
      <c r="HMD15" t="s">
        <v>6984</v>
      </c>
      <c r="HME15" t="s">
        <v>6984</v>
      </c>
      <c r="HMF15" t="s">
        <v>6984</v>
      </c>
      <c r="HMG15" t="s">
        <v>6984</v>
      </c>
      <c r="HMH15" t="s">
        <v>6984</v>
      </c>
      <c r="HMI15" t="s">
        <v>6984</v>
      </c>
      <c r="HMJ15" t="s">
        <v>6984</v>
      </c>
      <c r="HMK15" t="s">
        <v>6984</v>
      </c>
      <c r="HML15" t="s">
        <v>6984</v>
      </c>
      <c r="HMM15" t="s">
        <v>6984</v>
      </c>
      <c r="HMN15" t="s">
        <v>6984</v>
      </c>
      <c r="HMO15" t="s">
        <v>6984</v>
      </c>
      <c r="HMP15" t="s">
        <v>6984</v>
      </c>
      <c r="HMQ15" t="s">
        <v>6984</v>
      </c>
      <c r="HMR15" t="s">
        <v>6984</v>
      </c>
      <c r="HMS15" t="s">
        <v>6984</v>
      </c>
      <c r="HMT15" t="s">
        <v>6984</v>
      </c>
      <c r="HMU15" t="s">
        <v>6984</v>
      </c>
      <c r="HMV15" t="s">
        <v>6984</v>
      </c>
      <c r="HMW15" t="s">
        <v>6984</v>
      </c>
      <c r="HMX15" t="s">
        <v>6984</v>
      </c>
      <c r="HMY15" t="s">
        <v>6984</v>
      </c>
      <c r="HMZ15" t="s">
        <v>6984</v>
      </c>
      <c r="HNA15" t="s">
        <v>6984</v>
      </c>
      <c r="HNB15" t="s">
        <v>6984</v>
      </c>
      <c r="HNC15" t="s">
        <v>6984</v>
      </c>
      <c r="HND15" t="s">
        <v>6984</v>
      </c>
      <c r="HNE15" t="s">
        <v>6984</v>
      </c>
      <c r="HNF15" t="s">
        <v>6984</v>
      </c>
      <c r="HNG15" t="s">
        <v>6984</v>
      </c>
      <c r="HNH15" t="s">
        <v>6984</v>
      </c>
      <c r="HNI15" t="s">
        <v>6984</v>
      </c>
      <c r="HNJ15" t="s">
        <v>6984</v>
      </c>
      <c r="HNK15" t="s">
        <v>6984</v>
      </c>
      <c r="HNL15" t="s">
        <v>6984</v>
      </c>
      <c r="HNM15" t="s">
        <v>6984</v>
      </c>
      <c r="HNN15" t="s">
        <v>6984</v>
      </c>
      <c r="HNO15" t="s">
        <v>6984</v>
      </c>
      <c r="HNP15" t="s">
        <v>6984</v>
      </c>
      <c r="HNQ15" t="s">
        <v>6984</v>
      </c>
      <c r="HNR15" t="s">
        <v>6984</v>
      </c>
      <c r="HNS15" t="s">
        <v>6984</v>
      </c>
      <c r="HNT15" t="s">
        <v>6984</v>
      </c>
      <c r="HNU15" t="s">
        <v>6984</v>
      </c>
      <c r="HNV15" t="s">
        <v>6984</v>
      </c>
      <c r="HNW15" t="s">
        <v>6984</v>
      </c>
      <c r="HNX15" t="s">
        <v>6984</v>
      </c>
      <c r="HNY15" t="s">
        <v>6984</v>
      </c>
      <c r="HNZ15" t="s">
        <v>6984</v>
      </c>
      <c r="HOA15" t="s">
        <v>6984</v>
      </c>
      <c r="HOB15" t="s">
        <v>6984</v>
      </c>
      <c r="HOC15" t="s">
        <v>6984</v>
      </c>
      <c r="HOD15" t="s">
        <v>6984</v>
      </c>
      <c r="HOE15" t="s">
        <v>6984</v>
      </c>
      <c r="HOF15" t="s">
        <v>6984</v>
      </c>
      <c r="HOG15" t="s">
        <v>6984</v>
      </c>
      <c r="HOH15" t="s">
        <v>6984</v>
      </c>
      <c r="HOI15" t="s">
        <v>6984</v>
      </c>
      <c r="HOJ15" t="s">
        <v>6984</v>
      </c>
      <c r="HOK15" t="s">
        <v>6984</v>
      </c>
      <c r="HOL15" t="s">
        <v>6984</v>
      </c>
      <c r="HOM15" t="s">
        <v>6984</v>
      </c>
      <c r="HON15" t="s">
        <v>6984</v>
      </c>
      <c r="HOO15" t="s">
        <v>6984</v>
      </c>
      <c r="HOP15" t="s">
        <v>6984</v>
      </c>
      <c r="HOQ15" t="s">
        <v>6984</v>
      </c>
      <c r="HOR15" t="s">
        <v>6984</v>
      </c>
      <c r="HOS15" t="s">
        <v>6984</v>
      </c>
      <c r="HOT15" t="s">
        <v>6984</v>
      </c>
      <c r="HOU15" t="s">
        <v>6984</v>
      </c>
      <c r="HOV15" t="s">
        <v>6984</v>
      </c>
      <c r="HOW15" t="s">
        <v>6984</v>
      </c>
      <c r="HOX15" t="s">
        <v>6984</v>
      </c>
      <c r="HOY15" t="s">
        <v>6984</v>
      </c>
      <c r="HOZ15" t="s">
        <v>6984</v>
      </c>
      <c r="HPA15" t="s">
        <v>6984</v>
      </c>
      <c r="HPB15" t="s">
        <v>6984</v>
      </c>
      <c r="HPC15" t="s">
        <v>6984</v>
      </c>
      <c r="HPD15" t="s">
        <v>6984</v>
      </c>
      <c r="HPE15" t="s">
        <v>6984</v>
      </c>
      <c r="HPF15" t="s">
        <v>6984</v>
      </c>
      <c r="HPG15" t="s">
        <v>6984</v>
      </c>
      <c r="HPH15" t="s">
        <v>6984</v>
      </c>
      <c r="HPI15" t="s">
        <v>6984</v>
      </c>
      <c r="HPJ15" t="s">
        <v>6984</v>
      </c>
      <c r="HPK15" t="s">
        <v>6984</v>
      </c>
      <c r="HPL15" t="s">
        <v>6984</v>
      </c>
      <c r="HPM15" t="s">
        <v>6984</v>
      </c>
      <c r="HPN15" t="s">
        <v>6984</v>
      </c>
      <c r="HPO15" t="s">
        <v>6984</v>
      </c>
      <c r="HPP15" t="s">
        <v>6984</v>
      </c>
      <c r="HPQ15" t="s">
        <v>6984</v>
      </c>
      <c r="HPR15" t="s">
        <v>6984</v>
      </c>
      <c r="HPS15" t="s">
        <v>6984</v>
      </c>
      <c r="HPT15" t="s">
        <v>6984</v>
      </c>
      <c r="HPU15" t="s">
        <v>6984</v>
      </c>
      <c r="HPV15" t="s">
        <v>6984</v>
      </c>
      <c r="HPW15" t="s">
        <v>6984</v>
      </c>
      <c r="HPX15" t="s">
        <v>6984</v>
      </c>
      <c r="HPY15" t="s">
        <v>6984</v>
      </c>
      <c r="HPZ15" t="s">
        <v>6984</v>
      </c>
      <c r="HQA15" t="s">
        <v>6984</v>
      </c>
      <c r="HQB15" t="s">
        <v>6984</v>
      </c>
      <c r="HQC15" t="s">
        <v>6984</v>
      </c>
      <c r="HQD15" t="s">
        <v>6984</v>
      </c>
      <c r="HQE15" t="s">
        <v>6984</v>
      </c>
      <c r="HQF15" t="s">
        <v>6984</v>
      </c>
      <c r="HQG15" t="s">
        <v>6984</v>
      </c>
      <c r="HQH15" t="s">
        <v>6984</v>
      </c>
      <c r="HQI15" t="s">
        <v>6984</v>
      </c>
      <c r="HQJ15" t="s">
        <v>6984</v>
      </c>
      <c r="HQK15" t="s">
        <v>6984</v>
      </c>
      <c r="HQL15" t="s">
        <v>6984</v>
      </c>
      <c r="HQM15" t="s">
        <v>6984</v>
      </c>
      <c r="HQN15" t="s">
        <v>6984</v>
      </c>
      <c r="HQO15" t="s">
        <v>6984</v>
      </c>
      <c r="HQP15" t="s">
        <v>6984</v>
      </c>
      <c r="HQQ15" t="s">
        <v>6984</v>
      </c>
      <c r="HQR15" t="s">
        <v>6984</v>
      </c>
      <c r="HQS15" t="s">
        <v>6984</v>
      </c>
      <c r="HQT15" t="s">
        <v>6984</v>
      </c>
      <c r="HQU15" t="s">
        <v>6984</v>
      </c>
      <c r="HQV15" t="s">
        <v>6984</v>
      </c>
      <c r="HQW15" t="s">
        <v>6984</v>
      </c>
      <c r="HQX15" t="s">
        <v>6984</v>
      </c>
      <c r="HQY15" t="s">
        <v>6984</v>
      </c>
      <c r="HQZ15" t="s">
        <v>6984</v>
      </c>
      <c r="HRA15" t="s">
        <v>6984</v>
      </c>
      <c r="HRB15" t="s">
        <v>6984</v>
      </c>
      <c r="HRC15" t="s">
        <v>6984</v>
      </c>
      <c r="HRD15" t="s">
        <v>6984</v>
      </c>
      <c r="HRE15" t="s">
        <v>6984</v>
      </c>
      <c r="HRF15" t="s">
        <v>6984</v>
      </c>
      <c r="HRG15" t="s">
        <v>6984</v>
      </c>
      <c r="HRH15" t="s">
        <v>6984</v>
      </c>
      <c r="HRI15" t="s">
        <v>6984</v>
      </c>
      <c r="HRJ15" t="s">
        <v>6984</v>
      </c>
      <c r="HRK15" t="s">
        <v>6984</v>
      </c>
      <c r="HRL15" t="s">
        <v>6984</v>
      </c>
      <c r="HRM15" t="s">
        <v>6984</v>
      </c>
      <c r="HRN15" t="s">
        <v>6984</v>
      </c>
      <c r="HRO15" t="s">
        <v>6984</v>
      </c>
      <c r="HRP15" t="s">
        <v>6984</v>
      </c>
      <c r="HRQ15" t="s">
        <v>6984</v>
      </c>
      <c r="HRR15" t="s">
        <v>6984</v>
      </c>
      <c r="HRS15" t="s">
        <v>6984</v>
      </c>
      <c r="HRT15" t="s">
        <v>6984</v>
      </c>
      <c r="HRU15" t="s">
        <v>6984</v>
      </c>
      <c r="HRV15" t="s">
        <v>6984</v>
      </c>
      <c r="HRW15" t="s">
        <v>6984</v>
      </c>
      <c r="HRX15" t="s">
        <v>6984</v>
      </c>
      <c r="HRY15" t="s">
        <v>6984</v>
      </c>
      <c r="HRZ15" t="s">
        <v>6984</v>
      </c>
      <c r="HSA15" t="s">
        <v>6984</v>
      </c>
      <c r="HSB15" t="s">
        <v>6984</v>
      </c>
      <c r="HSC15" t="s">
        <v>6984</v>
      </c>
      <c r="HSD15" t="s">
        <v>6984</v>
      </c>
      <c r="HSE15" t="s">
        <v>6984</v>
      </c>
      <c r="HSF15" t="s">
        <v>6984</v>
      </c>
      <c r="HSG15" t="s">
        <v>6984</v>
      </c>
      <c r="HSH15" t="s">
        <v>6984</v>
      </c>
      <c r="HSI15" t="s">
        <v>6984</v>
      </c>
      <c r="HSJ15" t="s">
        <v>6984</v>
      </c>
      <c r="HSK15" t="s">
        <v>6984</v>
      </c>
      <c r="HSL15" t="s">
        <v>6984</v>
      </c>
      <c r="HSM15" t="s">
        <v>6984</v>
      </c>
      <c r="HSN15" t="s">
        <v>6984</v>
      </c>
      <c r="HSO15" t="s">
        <v>6984</v>
      </c>
      <c r="HSP15" t="s">
        <v>6984</v>
      </c>
      <c r="HSQ15" t="s">
        <v>6984</v>
      </c>
      <c r="HSR15" t="s">
        <v>6984</v>
      </c>
      <c r="HSS15" t="s">
        <v>6984</v>
      </c>
      <c r="HST15" t="s">
        <v>6984</v>
      </c>
      <c r="HSU15" t="s">
        <v>6984</v>
      </c>
      <c r="HSV15" t="s">
        <v>6984</v>
      </c>
      <c r="HSW15" t="s">
        <v>6984</v>
      </c>
      <c r="HSX15" t="s">
        <v>6984</v>
      </c>
      <c r="HSY15" t="s">
        <v>6984</v>
      </c>
      <c r="HSZ15" t="s">
        <v>6984</v>
      </c>
      <c r="HTA15" t="s">
        <v>6984</v>
      </c>
      <c r="HTB15" t="s">
        <v>6984</v>
      </c>
      <c r="HTC15" t="s">
        <v>6984</v>
      </c>
      <c r="HTD15" t="s">
        <v>6984</v>
      </c>
      <c r="HTE15" t="s">
        <v>6984</v>
      </c>
      <c r="HTF15" t="s">
        <v>6984</v>
      </c>
      <c r="HTG15" t="s">
        <v>6984</v>
      </c>
      <c r="HTH15" t="s">
        <v>6984</v>
      </c>
      <c r="HTI15" t="s">
        <v>6984</v>
      </c>
      <c r="HTJ15" t="s">
        <v>6984</v>
      </c>
      <c r="HTK15" t="s">
        <v>6984</v>
      </c>
      <c r="HTL15" t="s">
        <v>6984</v>
      </c>
      <c r="HTM15" t="s">
        <v>6984</v>
      </c>
      <c r="HTN15" t="s">
        <v>6984</v>
      </c>
      <c r="HTO15" t="s">
        <v>6984</v>
      </c>
      <c r="HTP15" t="s">
        <v>6984</v>
      </c>
      <c r="HTQ15" t="s">
        <v>6984</v>
      </c>
      <c r="HTR15" t="s">
        <v>6984</v>
      </c>
      <c r="HTS15" t="s">
        <v>6984</v>
      </c>
      <c r="HTT15" t="s">
        <v>6984</v>
      </c>
      <c r="HTU15" t="s">
        <v>6984</v>
      </c>
      <c r="HTV15" t="s">
        <v>6984</v>
      </c>
      <c r="HTW15" t="s">
        <v>6984</v>
      </c>
      <c r="HTX15" t="s">
        <v>6984</v>
      </c>
      <c r="HTY15" t="s">
        <v>6984</v>
      </c>
      <c r="HTZ15" t="s">
        <v>6984</v>
      </c>
      <c r="HUA15" t="s">
        <v>6984</v>
      </c>
      <c r="HUB15" t="s">
        <v>6984</v>
      </c>
      <c r="HUC15" t="s">
        <v>6984</v>
      </c>
      <c r="HUD15" t="s">
        <v>6984</v>
      </c>
      <c r="HUE15" t="s">
        <v>6984</v>
      </c>
      <c r="HUF15" t="s">
        <v>6984</v>
      </c>
      <c r="HUG15" t="s">
        <v>6984</v>
      </c>
      <c r="HUH15" t="s">
        <v>6984</v>
      </c>
      <c r="HUI15" t="s">
        <v>6984</v>
      </c>
      <c r="HUJ15" t="s">
        <v>6984</v>
      </c>
      <c r="HUK15" t="s">
        <v>6984</v>
      </c>
      <c r="HUL15" t="s">
        <v>6984</v>
      </c>
      <c r="HUM15" t="s">
        <v>6984</v>
      </c>
      <c r="HUN15" t="s">
        <v>6984</v>
      </c>
      <c r="HUO15" t="s">
        <v>6984</v>
      </c>
      <c r="HUP15" t="s">
        <v>6984</v>
      </c>
      <c r="HUQ15" t="s">
        <v>6984</v>
      </c>
      <c r="HUR15" t="s">
        <v>6984</v>
      </c>
      <c r="HUS15" t="s">
        <v>6984</v>
      </c>
      <c r="HUT15" t="s">
        <v>6984</v>
      </c>
      <c r="HUU15" t="s">
        <v>6984</v>
      </c>
      <c r="HUV15" t="s">
        <v>6984</v>
      </c>
      <c r="HUW15" t="s">
        <v>6984</v>
      </c>
      <c r="HUX15" t="s">
        <v>6984</v>
      </c>
      <c r="HUY15" t="s">
        <v>6984</v>
      </c>
      <c r="HUZ15" t="s">
        <v>6984</v>
      </c>
      <c r="HVA15" t="s">
        <v>6984</v>
      </c>
      <c r="HVB15" t="s">
        <v>6984</v>
      </c>
      <c r="HVC15" t="s">
        <v>6984</v>
      </c>
      <c r="HVD15" t="s">
        <v>6984</v>
      </c>
      <c r="HVE15" t="s">
        <v>6984</v>
      </c>
      <c r="HVF15" t="s">
        <v>6984</v>
      </c>
      <c r="HVG15" t="s">
        <v>6984</v>
      </c>
      <c r="HVH15" t="s">
        <v>6984</v>
      </c>
      <c r="HVI15" t="s">
        <v>6984</v>
      </c>
      <c r="HVJ15" t="s">
        <v>6984</v>
      </c>
      <c r="HVK15" t="s">
        <v>6984</v>
      </c>
      <c r="HVL15" t="s">
        <v>6984</v>
      </c>
      <c r="HVM15" t="s">
        <v>6984</v>
      </c>
      <c r="HVN15" t="s">
        <v>6984</v>
      </c>
      <c r="HVO15" t="s">
        <v>6984</v>
      </c>
      <c r="HVP15" t="s">
        <v>6984</v>
      </c>
      <c r="HVQ15" t="s">
        <v>6984</v>
      </c>
      <c r="HVR15" t="s">
        <v>6984</v>
      </c>
      <c r="HVS15" t="s">
        <v>6984</v>
      </c>
      <c r="HVT15" t="s">
        <v>6984</v>
      </c>
      <c r="HVU15" t="s">
        <v>6984</v>
      </c>
      <c r="HVV15" t="s">
        <v>6984</v>
      </c>
      <c r="HVW15" t="s">
        <v>6984</v>
      </c>
      <c r="HVX15" t="s">
        <v>6984</v>
      </c>
      <c r="HVY15" t="s">
        <v>6984</v>
      </c>
      <c r="HVZ15" t="s">
        <v>6984</v>
      </c>
      <c r="HWA15" t="s">
        <v>6984</v>
      </c>
      <c r="HWB15" t="s">
        <v>6984</v>
      </c>
      <c r="HWC15" t="s">
        <v>6984</v>
      </c>
      <c r="HWD15" t="s">
        <v>6984</v>
      </c>
      <c r="HWE15" t="s">
        <v>6984</v>
      </c>
      <c r="HWF15" t="s">
        <v>6984</v>
      </c>
      <c r="HWG15" t="s">
        <v>6984</v>
      </c>
      <c r="HWH15" t="s">
        <v>6984</v>
      </c>
      <c r="HWI15" t="s">
        <v>6984</v>
      </c>
      <c r="HWJ15" t="s">
        <v>6984</v>
      </c>
      <c r="HWK15" t="s">
        <v>6984</v>
      </c>
      <c r="HWL15" t="s">
        <v>6984</v>
      </c>
      <c r="HWM15" t="s">
        <v>6984</v>
      </c>
      <c r="HWN15" t="s">
        <v>6984</v>
      </c>
      <c r="HWO15" t="s">
        <v>6984</v>
      </c>
      <c r="HWP15" t="s">
        <v>6984</v>
      </c>
      <c r="HWQ15" t="s">
        <v>6984</v>
      </c>
      <c r="HWR15" t="s">
        <v>6984</v>
      </c>
      <c r="HWS15" t="s">
        <v>6984</v>
      </c>
      <c r="HWT15" t="s">
        <v>6984</v>
      </c>
      <c r="HWU15" t="s">
        <v>6984</v>
      </c>
      <c r="HWV15" t="s">
        <v>6984</v>
      </c>
      <c r="HWW15" t="s">
        <v>6984</v>
      </c>
      <c r="HWX15" t="s">
        <v>6984</v>
      </c>
      <c r="HWY15" t="s">
        <v>6984</v>
      </c>
      <c r="HWZ15" t="s">
        <v>6984</v>
      </c>
      <c r="HXA15" t="s">
        <v>6984</v>
      </c>
      <c r="HXB15" t="s">
        <v>6984</v>
      </c>
      <c r="HXC15" t="s">
        <v>6984</v>
      </c>
      <c r="HXD15" t="s">
        <v>6984</v>
      </c>
      <c r="HXE15" t="s">
        <v>6984</v>
      </c>
      <c r="HXF15" t="s">
        <v>6984</v>
      </c>
      <c r="HXG15" t="s">
        <v>6984</v>
      </c>
      <c r="HXH15" t="s">
        <v>6984</v>
      </c>
      <c r="HXI15" t="s">
        <v>6984</v>
      </c>
      <c r="HXJ15" t="s">
        <v>6984</v>
      </c>
      <c r="HXK15" t="s">
        <v>6984</v>
      </c>
      <c r="HXL15" t="s">
        <v>6984</v>
      </c>
      <c r="HXM15" t="s">
        <v>6984</v>
      </c>
      <c r="HXN15" t="s">
        <v>6984</v>
      </c>
      <c r="HXO15" t="s">
        <v>6984</v>
      </c>
      <c r="HXP15" t="s">
        <v>6984</v>
      </c>
      <c r="HXQ15" t="s">
        <v>6984</v>
      </c>
      <c r="HXR15" t="s">
        <v>6984</v>
      </c>
      <c r="HXS15" t="s">
        <v>6984</v>
      </c>
      <c r="HXT15" t="s">
        <v>6984</v>
      </c>
      <c r="HXU15" t="s">
        <v>6984</v>
      </c>
      <c r="HXV15" t="s">
        <v>6984</v>
      </c>
      <c r="HXW15" t="s">
        <v>6984</v>
      </c>
      <c r="HXX15" t="s">
        <v>6984</v>
      </c>
      <c r="HXY15" t="s">
        <v>6984</v>
      </c>
      <c r="HXZ15" t="s">
        <v>6984</v>
      </c>
      <c r="HYA15" t="s">
        <v>6984</v>
      </c>
      <c r="HYB15" t="s">
        <v>6984</v>
      </c>
      <c r="HYC15" t="s">
        <v>6984</v>
      </c>
      <c r="HYD15" t="s">
        <v>6984</v>
      </c>
      <c r="HYE15" t="s">
        <v>6984</v>
      </c>
      <c r="HYF15" t="s">
        <v>6984</v>
      </c>
      <c r="HYG15" t="s">
        <v>6984</v>
      </c>
      <c r="HYH15" t="s">
        <v>6984</v>
      </c>
      <c r="HYI15" t="s">
        <v>6984</v>
      </c>
      <c r="HYJ15" t="s">
        <v>6984</v>
      </c>
      <c r="HYK15" t="s">
        <v>6984</v>
      </c>
      <c r="HYL15" t="s">
        <v>6984</v>
      </c>
      <c r="HYM15" t="s">
        <v>6984</v>
      </c>
      <c r="HYN15" t="s">
        <v>6984</v>
      </c>
      <c r="HYO15" t="s">
        <v>6984</v>
      </c>
      <c r="HYP15" t="s">
        <v>6984</v>
      </c>
      <c r="HYQ15" t="s">
        <v>6984</v>
      </c>
      <c r="HYR15" t="s">
        <v>6984</v>
      </c>
      <c r="HYS15" t="s">
        <v>6984</v>
      </c>
      <c r="HYT15" t="s">
        <v>6984</v>
      </c>
      <c r="HYU15" t="s">
        <v>6984</v>
      </c>
      <c r="HYV15" t="s">
        <v>6984</v>
      </c>
      <c r="HYW15" t="s">
        <v>6984</v>
      </c>
      <c r="HYX15" t="s">
        <v>6984</v>
      </c>
      <c r="HYY15" t="s">
        <v>6984</v>
      </c>
      <c r="HYZ15" t="s">
        <v>6984</v>
      </c>
      <c r="HZA15" t="s">
        <v>6984</v>
      </c>
      <c r="HZB15" t="s">
        <v>6984</v>
      </c>
      <c r="HZC15" t="s">
        <v>6984</v>
      </c>
      <c r="HZD15" t="s">
        <v>6984</v>
      </c>
      <c r="HZE15" t="s">
        <v>6984</v>
      </c>
      <c r="HZF15" t="s">
        <v>6984</v>
      </c>
      <c r="HZG15" t="s">
        <v>6984</v>
      </c>
      <c r="HZH15" t="s">
        <v>6984</v>
      </c>
      <c r="HZI15" t="s">
        <v>6984</v>
      </c>
      <c r="HZJ15" t="s">
        <v>6984</v>
      </c>
      <c r="HZK15" t="s">
        <v>6984</v>
      </c>
      <c r="HZL15" t="s">
        <v>6984</v>
      </c>
      <c r="HZM15" t="s">
        <v>6984</v>
      </c>
      <c r="HZN15" t="s">
        <v>6984</v>
      </c>
      <c r="HZO15" t="s">
        <v>6984</v>
      </c>
      <c r="HZP15" t="s">
        <v>6984</v>
      </c>
      <c r="HZQ15" t="s">
        <v>6984</v>
      </c>
      <c r="HZR15" t="s">
        <v>6984</v>
      </c>
      <c r="HZS15" t="s">
        <v>6984</v>
      </c>
      <c r="HZT15" t="s">
        <v>6984</v>
      </c>
      <c r="HZU15" t="s">
        <v>6984</v>
      </c>
      <c r="HZV15" t="s">
        <v>6984</v>
      </c>
      <c r="HZW15" t="s">
        <v>6984</v>
      </c>
      <c r="HZX15" t="s">
        <v>6984</v>
      </c>
      <c r="HZY15" t="s">
        <v>6984</v>
      </c>
      <c r="HZZ15" t="s">
        <v>6984</v>
      </c>
      <c r="IAA15" t="s">
        <v>6984</v>
      </c>
      <c r="IAB15" t="s">
        <v>6984</v>
      </c>
      <c r="IAC15" t="s">
        <v>6984</v>
      </c>
      <c r="IAD15" t="s">
        <v>6984</v>
      </c>
      <c r="IAE15" t="s">
        <v>6984</v>
      </c>
      <c r="IAF15" t="s">
        <v>6984</v>
      </c>
      <c r="IAG15" t="s">
        <v>6984</v>
      </c>
      <c r="IAH15" t="s">
        <v>6984</v>
      </c>
      <c r="IAI15" t="s">
        <v>6984</v>
      </c>
      <c r="IAJ15" t="s">
        <v>6984</v>
      </c>
      <c r="IAK15" t="s">
        <v>6984</v>
      </c>
      <c r="IAL15" t="s">
        <v>6984</v>
      </c>
      <c r="IAM15" t="s">
        <v>6984</v>
      </c>
      <c r="IAN15" t="s">
        <v>6984</v>
      </c>
      <c r="IAO15" t="s">
        <v>6984</v>
      </c>
      <c r="IAP15" t="s">
        <v>6984</v>
      </c>
      <c r="IAQ15" t="s">
        <v>6984</v>
      </c>
      <c r="IAR15" t="s">
        <v>6984</v>
      </c>
      <c r="IAS15" t="s">
        <v>6984</v>
      </c>
      <c r="IAT15" t="s">
        <v>6984</v>
      </c>
      <c r="IAU15" t="s">
        <v>6984</v>
      </c>
      <c r="IAV15" t="s">
        <v>6984</v>
      </c>
      <c r="IAW15" t="s">
        <v>6984</v>
      </c>
      <c r="IAX15" t="s">
        <v>6984</v>
      </c>
      <c r="IAY15" t="s">
        <v>6984</v>
      </c>
      <c r="IAZ15" t="s">
        <v>6984</v>
      </c>
      <c r="IBA15" t="s">
        <v>6984</v>
      </c>
      <c r="IBB15" t="s">
        <v>6984</v>
      </c>
      <c r="IBC15" t="s">
        <v>6984</v>
      </c>
      <c r="IBD15" t="s">
        <v>6984</v>
      </c>
      <c r="IBE15" t="s">
        <v>6984</v>
      </c>
      <c r="IBF15" t="s">
        <v>6984</v>
      </c>
      <c r="IBG15" t="s">
        <v>6984</v>
      </c>
      <c r="IBH15" t="s">
        <v>6984</v>
      </c>
      <c r="IBI15" t="s">
        <v>6984</v>
      </c>
      <c r="IBJ15" t="s">
        <v>6984</v>
      </c>
      <c r="IBK15" t="s">
        <v>6984</v>
      </c>
      <c r="IBL15" t="s">
        <v>6984</v>
      </c>
      <c r="IBM15" t="s">
        <v>6984</v>
      </c>
      <c r="IBN15" t="s">
        <v>6984</v>
      </c>
      <c r="IBO15" t="s">
        <v>6984</v>
      </c>
      <c r="IBP15" t="s">
        <v>6984</v>
      </c>
      <c r="IBQ15" t="s">
        <v>6984</v>
      </c>
      <c r="IBR15" t="s">
        <v>6984</v>
      </c>
      <c r="IBS15" t="s">
        <v>6984</v>
      </c>
      <c r="IBT15" t="s">
        <v>6984</v>
      </c>
      <c r="IBU15" t="s">
        <v>6984</v>
      </c>
      <c r="IBV15" t="s">
        <v>6984</v>
      </c>
      <c r="IBW15" t="s">
        <v>6984</v>
      </c>
      <c r="IBX15" t="s">
        <v>6984</v>
      </c>
      <c r="IBY15" t="s">
        <v>6984</v>
      </c>
      <c r="IBZ15" t="s">
        <v>6984</v>
      </c>
      <c r="ICA15" t="s">
        <v>6984</v>
      </c>
      <c r="ICB15" t="s">
        <v>6984</v>
      </c>
      <c r="ICC15" t="s">
        <v>6984</v>
      </c>
      <c r="ICD15" t="s">
        <v>6984</v>
      </c>
      <c r="ICE15" t="s">
        <v>6984</v>
      </c>
      <c r="ICF15" t="s">
        <v>6984</v>
      </c>
      <c r="ICG15" t="s">
        <v>6984</v>
      </c>
      <c r="ICH15" t="s">
        <v>6984</v>
      </c>
      <c r="ICI15" t="s">
        <v>6984</v>
      </c>
      <c r="ICJ15" t="s">
        <v>6984</v>
      </c>
      <c r="ICK15" t="s">
        <v>6984</v>
      </c>
      <c r="ICL15" t="s">
        <v>6984</v>
      </c>
      <c r="ICM15" t="s">
        <v>6984</v>
      </c>
      <c r="ICN15" t="s">
        <v>6984</v>
      </c>
      <c r="ICO15" t="s">
        <v>6984</v>
      </c>
      <c r="ICP15" t="s">
        <v>6984</v>
      </c>
      <c r="ICQ15" t="s">
        <v>6984</v>
      </c>
      <c r="ICR15" t="s">
        <v>6984</v>
      </c>
      <c r="ICS15" t="s">
        <v>6984</v>
      </c>
      <c r="ICT15" t="s">
        <v>6984</v>
      </c>
      <c r="ICU15" t="s">
        <v>6984</v>
      </c>
      <c r="ICV15" t="s">
        <v>6984</v>
      </c>
      <c r="ICW15" t="s">
        <v>6984</v>
      </c>
      <c r="ICX15" t="s">
        <v>6984</v>
      </c>
      <c r="ICY15" t="s">
        <v>6984</v>
      </c>
      <c r="ICZ15" t="s">
        <v>6984</v>
      </c>
      <c r="IDA15" t="s">
        <v>6984</v>
      </c>
      <c r="IDB15" t="s">
        <v>6984</v>
      </c>
      <c r="IDC15" t="s">
        <v>6984</v>
      </c>
      <c r="IDD15" t="s">
        <v>6984</v>
      </c>
      <c r="IDE15" t="s">
        <v>6984</v>
      </c>
      <c r="IDF15" t="s">
        <v>6984</v>
      </c>
      <c r="IDG15" t="s">
        <v>6984</v>
      </c>
      <c r="IDH15" t="s">
        <v>6984</v>
      </c>
      <c r="IDI15" t="s">
        <v>6984</v>
      </c>
      <c r="IDJ15" t="s">
        <v>6984</v>
      </c>
      <c r="IDK15" t="s">
        <v>6984</v>
      </c>
      <c r="IDL15" t="s">
        <v>6984</v>
      </c>
      <c r="IDM15" t="s">
        <v>6984</v>
      </c>
      <c r="IDN15" t="s">
        <v>6984</v>
      </c>
      <c r="IDO15" t="s">
        <v>6984</v>
      </c>
      <c r="IDP15" t="s">
        <v>6984</v>
      </c>
      <c r="IDQ15" t="s">
        <v>6984</v>
      </c>
      <c r="IDR15" t="s">
        <v>6984</v>
      </c>
      <c r="IDS15" t="s">
        <v>6984</v>
      </c>
      <c r="IDT15" t="s">
        <v>6984</v>
      </c>
      <c r="IDU15" t="s">
        <v>6984</v>
      </c>
      <c r="IDV15" t="s">
        <v>6984</v>
      </c>
      <c r="IDW15" t="s">
        <v>6984</v>
      </c>
      <c r="IDX15" t="s">
        <v>6984</v>
      </c>
      <c r="IDY15" t="s">
        <v>6984</v>
      </c>
      <c r="IDZ15" t="s">
        <v>6984</v>
      </c>
      <c r="IEA15" t="s">
        <v>6984</v>
      </c>
      <c r="IEB15" t="s">
        <v>6984</v>
      </c>
      <c r="IEC15" t="s">
        <v>6984</v>
      </c>
      <c r="IED15" t="s">
        <v>6984</v>
      </c>
      <c r="IEE15" t="s">
        <v>6984</v>
      </c>
      <c r="IEF15" t="s">
        <v>6984</v>
      </c>
      <c r="IEG15" t="s">
        <v>6984</v>
      </c>
      <c r="IEH15" t="s">
        <v>6984</v>
      </c>
      <c r="IEI15" t="s">
        <v>6984</v>
      </c>
      <c r="IEJ15" t="s">
        <v>6984</v>
      </c>
      <c r="IEK15" t="s">
        <v>6984</v>
      </c>
      <c r="IEL15" t="s">
        <v>6984</v>
      </c>
      <c r="IEM15" t="s">
        <v>6984</v>
      </c>
      <c r="IEN15" t="s">
        <v>6984</v>
      </c>
      <c r="IEO15" t="s">
        <v>6984</v>
      </c>
      <c r="IEP15" t="s">
        <v>6984</v>
      </c>
      <c r="IEQ15" t="s">
        <v>6984</v>
      </c>
      <c r="IER15" t="s">
        <v>6984</v>
      </c>
      <c r="IES15" t="s">
        <v>6984</v>
      </c>
      <c r="IET15" t="s">
        <v>6984</v>
      </c>
      <c r="IEU15" t="s">
        <v>6984</v>
      </c>
      <c r="IEV15" t="s">
        <v>6984</v>
      </c>
      <c r="IEW15" t="s">
        <v>6984</v>
      </c>
      <c r="IEX15" t="s">
        <v>6984</v>
      </c>
      <c r="IEY15" t="s">
        <v>6984</v>
      </c>
      <c r="IEZ15" t="s">
        <v>6984</v>
      </c>
      <c r="IFA15" t="s">
        <v>6984</v>
      </c>
      <c r="IFB15" t="s">
        <v>6984</v>
      </c>
      <c r="IFC15" t="s">
        <v>6984</v>
      </c>
      <c r="IFD15" t="s">
        <v>6984</v>
      </c>
      <c r="IFE15" t="s">
        <v>6984</v>
      </c>
      <c r="IFF15" t="s">
        <v>6984</v>
      </c>
      <c r="IFG15" t="s">
        <v>6984</v>
      </c>
      <c r="IFH15" t="s">
        <v>6984</v>
      </c>
      <c r="IFI15" t="s">
        <v>6984</v>
      </c>
      <c r="IFJ15" t="s">
        <v>6984</v>
      </c>
      <c r="IFK15" t="s">
        <v>6984</v>
      </c>
      <c r="IFL15" t="s">
        <v>6984</v>
      </c>
      <c r="IFM15" t="s">
        <v>6984</v>
      </c>
      <c r="IFN15" t="s">
        <v>6984</v>
      </c>
      <c r="IFO15" t="s">
        <v>6984</v>
      </c>
      <c r="IFP15" t="s">
        <v>6984</v>
      </c>
      <c r="IFQ15" t="s">
        <v>6984</v>
      </c>
      <c r="IFR15" t="s">
        <v>6984</v>
      </c>
      <c r="IFS15" t="s">
        <v>6984</v>
      </c>
      <c r="IFT15" t="s">
        <v>6984</v>
      </c>
      <c r="IFU15" t="s">
        <v>6984</v>
      </c>
      <c r="IFV15" t="s">
        <v>6984</v>
      </c>
      <c r="IFW15" t="s">
        <v>6984</v>
      </c>
      <c r="IFX15" t="s">
        <v>6984</v>
      </c>
      <c r="IFY15" t="s">
        <v>6984</v>
      </c>
      <c r="IFZ15" t="s">
        <v>6984</v>
      </c>
      <c r="IGA15" t="s">
        <v>6984</v>
      </c>
      <c r="IGB15" t="s">
        <v>6984</v>
      </c>
      <c r="IGC15" t="s">
        <v>6984</v>
      </c>
      <c r="IGD15" t="s">
        <v>6984</v>
      </c>
      <c r="IGE15" t="s">
        <v>6984</v>
      </c>
      <c r="IGF15" t="s">
        <v>6984</v>
      </c>
      <c r="IGG15" t="s">
        <v>6984</v>
      </c>
      <c r="IGH15" t="s">
        <v>6984</v>
      </c>
      <c r="IGI15" t="s">
        <v>6984</v>
      </c>
      <c r="IGJ15" t="s">
        <v>6984</v>
      </c>
      <c r="IGK15" t="s">
        <v>6984</v>
      </c>
      <c r="IGL15" t="s">
        <v>6984</v>
      </c>
      <c r="IGM15" t="s">
        <v>6984</v>
      </c>
      <c r="IGN15" t="s">
        <v>6984</v>
      </c>
      <c r="IGO15" t="s">
        <v>6984</v>
      </c>
      <c r="IGP15" t="s">
        <v>6984</v>
      </c>
      <c r="IGQ15" t="s">
        <v>6984</v>
      </c>
      <c r="IGR15" t="s">
        <v>6984</v>
      </c>
      <c r="IGS15" t="s">
        <v>6984</v>
      </c>
      <c r="IGT15" t="s">
        <v>6984</v>
      </c>
      <c r="IGU15" t="s">
        <v>6984</v>
      </c>
      <c r="IGV15" t="s">
        <v>6984</v>
      </c>
      <c r="IGW15" t="s">
        <v>6984</v>
      </c>
      <c r="IGX15" t="s">
        <v>6984</v>
      </c>
      <c r="IGY15" t="s">
        <v>6984</v>
      </c>
      <c r="IGZ15" t="s">
        <v>6984</v>
      </c>
      <c r="IHA15" t="s">
        <v>6984</v>
      </c>
      <c r="IHB15" t="s">
        <v>6984</v>
      </c>
      <c r="IHC15" t="s">
        <v>6984</v>
      </c>
      <c r="IHD15" t="s">
        <v>6984</v>
      </c>
      <c r="IHE15" t="s">
        <v>6984</v>
      </c>
      <c r="IHF15" t="s">
        <v>6984</v>
      </c>
      <c r="IHG15" t="s">
        <v>6984</v>
      </c>
      <c r="IHH15" t="s">
        <v>6984</v>
      </c>
      <c r="IHI15" t="s">
        <v>6984</v>
      </c>
      <c r="IHJ15" t="s">
        <v>6984</v>
      </c>
      <c r="IHK15" t="s">
        <v>6984</v>
      </c>
      <c r="IHL15" t="s">
        <v>6984</v>
      </c>
      <c r="IHM15" t="s">
        <v>6984</v>
      </c>
      <c r="IHN15" t="s">
        <v>6984</v>
      </c>
      <c r="IHO15" t="s">
        <v>6984</v>
      </c>
      <c r="IHP15" t="s">
        <v>6984</v>
      </c>
      <c r="IHQ15" t="s">
        <v>6984</v>
      </c>
      <c r="IHR15" t="s">
        <v>6984</v>
      </c>
      <c r="IHS15" t="s">
        <v>6984</v>
      </c>
      <c r="IHT15" t="s">
        <v>6984</v>
      </c>
      <c r="IHU15" t="s">
        <v>6984</v>
      </c>
      <c r="IHV15" t="s">
        <v>6984</v>
      </c>
      <c r="IHW15" t="s">
        <v>6984</v>
      </c>
      <c r="IHX15" t="s">
        <v>6984</v>
      </c>
      <c r="IHY15" t="s">
        <v>6984</v>
      </c>
      <c r="IHZ15" t="s">
        <v>6984</v>
      </c>
      <c r="IIA15" t="s">
        <v>6984</v>
      </c>
      <c r="IIB15" t="s">
        <v>6984</v>
      </c>
      <c r="IIC15" t="s">
        <v>6984</v>
      </c>
      <c r="IID15" t="s">
        <v>6984</v>
      </c>
      <c r="IIE15" t="s">
        <v>6984</v>
      </c>
      <c r="IIF15" t="s">
        <v>6984</v>
      </c>
      <c r="IIG15" t="s">
        <v>6984</v>
      </c>
      <c r="IIH15" t="s">
        <v>6984</v>
      </c>
      <c r="III15" t="s">
        <v>6984</v>
      </c>
      <c r="IIJ15" t="s">
        <v>6984</v>
      </c>
      <c r="IIK15" t="s">
        <v>6984</v>
      </c>
      <c r="IIL15" t="s">
        <v>6984</v>
      </c>
      <c r="IIM15" t="s">
        <v>6984</v>
      </c>
      <c r="IIN15" t="s">
        <v>6984</v>
      </c>
      <c r="IIO15" t="s">
        <v>6984</v>
      </c>
      <c r="IIP15" t="s">
        <v>6984</v>
      </c>
      <c r="IIQ15" t="s">
        <v>6984</v>
      </c>
      <c r="IIR15" t="s">
        <v>6984</v>
      </c>
      <c r="IIS15" t="s">
        <v>6984</v>
      </c>
      <c r="IIT15" t="s">
        <v>6984</v>
      </c>
      <c r="IIU15" t="s">
        <v>6984</v>
      </c>
      <c r="IIV15" t="s">
        <v>6984</v>
      </c>
      <c r="IIW15" t="s">
        <v>6984</v>
      </c>
      <c r="IIX15" t="s">
        <v>6984</v>
      </c>
      <c r="IIY15" t="s">
        <v>6984</v>
      </c>
      <c r="IIZ15" t="s">
        <v>6984</v>
      </c>
      <c r="IJA15" t="s">
        <v>6984</v>
      </c>
      <c r="IJB15" t="s">
        <v>6984</v>
      </c>
      <c r="IJC15" t="s">
        <v>6984</v>
      </c>
      <c r="IJD15" t="s">
        <v>6984</v>
      </c>
      <c r="IJE15" t="s">
        <v>6984</v>
      </c>
      <c r="IJF15" t="s">
        <v>6984</v>
      </c>
      <c r="IJG15" t="s">
        <v>6984</v>
      </c>
      <c r="IJH15" t="s">
        <v>6984</v>
      </c>
      <c r="IJI15" t="s">
        <v>6984</v>
      </c>
      <c r="IJJ15" t="s">
        <v>6984</v>
      </c>
      <c r="IJK15" t="s">
        <v>6984</v>
      </c>
      <c r="IJL15" t="s">
        <v>6984</v>
      </c>
      <c r="IJM15" t="s">
        <v>6984</v>
      </c>
      <c r="IJN15" t="s">
        <v>6984</v>
      </c>
      <c r="IJO15" t="s">
        <v>6984</v>
      </c>
      <c r="IJP15" t="s">
        <v>6984</v>
      </c>
      <c r="IJQ15" t="s">
        <v>6984</v>
      </c>
      <c r="IJR15" t="s">
        <v>6984</v>
      </c>
      <c r="IJS15" t="s">
        <v>6984</v>
      </c>
      <c r="IJT15" t="s">
        <v>6984</v>
      </c>
      <c r="IJU15" t="s">
        <v>6984</v>
      </c>
      <c r="IJV15" t="s">
        <v>6984</v>
      </c>
      <c r="IJW15" t="s">
        <v>6984</v>
      </c>
      <c r="IJX15" t="s">
        <v>6984</v>
      </c>
      <c r="IJY15" t="s">
        <v>6984</v>
      </c>
      <c r="IJZ15" t="s">
        <v>6984</v>
      </c>
      <c r="IKA15" t="s">
        <v>6984</v>
      </c>
      <c r="IKB15" t="s">
        <v>6984</v>
      </c>
      <c r="IKC15" t="s">
        <v>6984</v>
      </c>
      <c r="IKD15" t="s">
        <v>6984</v>
      </c>
      <c r="IKE15" t="s">
        <v>6984</v>
      </c>
      <c r="IKF15" t="s">
        <v>6984</v>
      </c>
      <c r="IKG15" t="s">
        <v>6984</v>
      </c>
      <c r="IKH15" t="s">
        <v>6984</v>
      </c>
      <c r="IKI15" t="s">
        <v>6984</v>
      </c>
      <c r="IKJ15" t="s">
        <v>6984</v>
      </c>
      <c r="IKK15" t="s">
        <v>6984</v>
      </c>
      <c r="IKL15" t="s">
        <v>6984</v>
      </c>
      <c r="IKM15" t="s">
        <v>6984</v>
      </c>
      <c r="IKN15" t="s">
        <v>6984</v>
      </c>
      <c r="IKO15" t="s">
        <v>6984</v>
      </c>
      <c r="IKP15" t="s">
        <v>6984</v>
      </c>
      <c r="IKQ15" t="s">
        <v>6984</v>
      </c>
      <c r="IKR15" t="s">
        <v>6984</v>
      </c>
      <c r="IKS15" t="s">
        <v>6984</v>
      </c>
      <c r="IKT15" t="s">
        <v>6984</v>
      </c>
      <c r="IKU15" t="s">
        <v>6984</v>
      </c>
      <c r="IKV15" t="s">
        <v>6984</v>
      </c>
      <c r="IKW15" t="s">
        <v>6984</v>
      </c>
      <c r="IKX15" t="s">
        <v>6984</v>
      </c>
      <c r="IKY15" t="s">
        <v>6984</v>
      </c>
      <c r="IKZ15" t="s">
        <v>6984</v>
      </c>
      <c r="ILA15" t="s">
        <v>6984</v>
      </c>
      <c r="ILB15" t="s">
        <v>6984</v>
      </c>
      <c r="ILC15" t="s">
        <v>6984</v>
      </c>
      <c r="ILD15" t="s">
        <v>6984</v>
      </c>
      <c r="ILE15" t="s">
        <v>6984</v>
      </c>
      <c r="ILF15" t="s">
        <v>6984</v>
      </c>
      <c r="ILG15" t="s">
        <v>6984</v>
      </c>
      <c r="ILH15" t="s">
        <v>6984</v>
      </c>
      <c r="ILI15" t="s">
        <v>6984</v>
      </c>
      <c r="ILJ15" t="s">
        <v>6984</v>
      </c>
      <c r="ILK15" t="s">
        <v>6984</v>
      </c>
      <c r="ILL15" t="s">
        <v>6984</v>
      </c>
      <c r="ILM15" t="s">
        <v>6984</v>
      </c>
      <c r="ILN15" t="s">
        <v>6984</v>
      </c>
      <c r="ILO15" t="s">
        <v>6984</v>
      </c>
      <c r="ILP15" t="s">
        <v>6984</v>
      </c>
      <c r="ILQ15" t="s">
        <v>6984</v>
      </c>
      <c r="ILR15" t="s">
        <v>6984</v>
      </c>
      <c r="ILS15" t="s">
        <v>6984</v>
      </c>
      <c r="ILT15" t="s">
        <v>6984</v>
      </c>
      <c r="ILU15" t="s">
        <v>6984</v>
      </c>
      <c r="ILV15" t="s">
        <v>6984</v>
      </c>
      <c r="ILW15" t="s">
        <v>6984</v>
      </c>
      <c r="ILX15" t="s">
        <v>6984</v>
      </c>
      <c r="ILY15" t="s">
        <v>6984</v>
      </c>
      <c r="ILZ15" t="s">
        <v>6984</v>
      </c>
      <c r="IMA15" t="s">
        <v>6984</v>
      </c>
      <c r="IMB15" t="s">
        <v>6984</v>
      </c>
      <c r="IMC15" t="s">
        <v>6984</v>
      </c>
      <c r="IMD15" t="s">
        <v>6984</v>
      </c>
      <c r="IME15" t="s">
        <v>6984</v>
      </c>
      <c r="IMF15" t="s">
        <v>6984</v>
      </c>
      <c r="IMG15" t="s">
        <v>6984</v>
      </c>
      <c r="IMH15" t="s">
        <v>6984</v>
      </c>
      <c r="IMI15" t="s">
        <v>6984</v>
      </c>
      <c r="IMJ15" t="s">
        <v>6984</v>
      </c>
      <c r="IMK15" t="s">
        <v>6984</v>
      </c>
      <c r="IML15" t="s">
        <v>6984</v>
      </c>
      <c r="IMM15" t="s">
        <v>6984</v>
      </c>
      <c r="IMN15" t="s">
        <v>6984</v>
      </c>
      <c r="IMO15" t="s">
        <v>6984</v>
      </c>
      <c r="IMP15" t="s">
        <v>6984</v>
      </c>
      <c r="IMQ15" t="s">
        <v>6984</v>
      </c>
      <c r="IMR15" t="s">
        <v>6984</v>
      </c>
      <c r="IMS15" t="s">
        <v>6984</v>
      </c>
      <c r="IMT15" t="s">
        <v>6984</v>
      </c>
      <c r="IMU15" t="s">
        <v>6984</v>
      </c>
      <c r="IMV15" t="s">
        <v>6984</v>
      </c>
      <c r="IMW15" t="s">
        <v>6984</v>
      </c>
      <c r="IMX15" t="s">
        <v>6984</v>
      </c>
      <c r="IMY15" t="s">
        <v>6984</v>
      </c>
      <c r="IMZ15" t="s">
        <v>6984</v>
      </c>
      <c r="INA15" t="s">
        <v>6984</v>
      </c>
      <c r="INB15" t="s">
        <v>6984</v>
      </c>
      <c r="INC15" t="s">
        <v>6984</v>
      </c>
      <c r="IND15" t="s">
        <v>6984</v>
      </c>
      <c r="INE15" t="s">
        <v>6984</v>
      </c>
      <c r="INF15" t="s">
        <v>6984</v>
      </c>
      <c r="ING15" t="s">
        <v>6984</v>
      </c>
      <c r="INH15" t="s">
        <v>6984</v>
      </c>
      <c r="INI15" t="s">
        <v>6984</v>
      </c>
      <c r="INJ15" t="s">
        <v>6984</v>
      </c>
      <c r="INK15" t="s">
        <v>6984</v>
      </c>
      <c r="INL15" t="s">
        <v>6984</v>
      </c>
      <c r="INM15" t="s">
        <v>6984</v>
      </c>
      <c r="INN15" t="s">
        <v>6984</v>
      </c>
      <c r="INO15" t="s">
        <v>6984</v>
      </c>
      <c r="INP15" t="s">
        <v>6984</v>
      </c>
      <c r="INQ15" t="s">
        <v>6984</v>
      </c>
      <c r="INR15" t="s">
        <v>6984</v>
      </c>
      <c r="INS15" t="s">
        <v>6984</v>
      </c>
      <c r="INT15" t="s">
        <v>6984</v>
      </c>
      <c r="INU15" t="s">
        <v>6984</v>
      </c>
      <c r="INV15" t="s">
        <v>6984</v>
      </c>
      <c r="INW15" t="s">
        <v>6984</v>
      </c>
      <c r="INX15" t="s">
        <v>6984</v>
      </c>
      <c r="INY15" t="s">
        <v>6984</v>
      </c>
      <c r="INZ15" t="s">
        <v>6984</v>
      </c>
      <c r="IOA15" t="s">
        <v>6984</v>
      </c>
      <c r="IOB15" t="s">
        <v>6984</v>
      </c>
      <c r="IOC15" t="s">
        <v>6984</v>
      </c>
      <c r="IOD15" t="s">
        <v>6984</v>
      </c>
      <c r="IOE15" t="s">
        <v>6984</v>
      </c>
      <c r="IOF15" t="s">
        <v>6984</v>
      </c>
      <c r="IOG15" t="s">
        <v>6984</v>
      </c>
      <c r="IOH15" t="s">
        <v>6984</v>
      </c>
      <c r="IOI15" t="s">
        <v>6984</v>
      </c>
      <c r="IOJ15" t="s">
        <v>6984</v>
      </c>
      <c r="IOK15" t="s">
        <v>6984</v>
      </c>
      <c r="IOL15" t="s">
        <v>6984</v>
      </c>
      <c r="IOM15" t="s">
        <v>6984</v>
      </c>
      <c r="ION15" t="s">
        <v>6984</v>
      </c>
      <c r="IOO15" t="s">
        <v>6984</v>
      </c>
      <c r="IOP15" t="s">
        <v>6984</v>
      </c>
      <c r="IOQ15" t="s">
        <v>6984</v>
      </c>
      <c r="IOR15" t="s">
        <v>6984</v>
      </c>
      <c r="IOS15" t="s">
        <v>6984</v>
      </c>
      <c r="IOT15" t="s">
        <v>6984</v>
      </c>
      <c r="IOU15" t="s">
        <v>6984</v>
      </c>
      <c r="IOV15" t="s">
        <v>6984</v>
      </c>
      <c r="IOW15" t="s">
        <v>6984</v>
      </c>
      <c r="IOX15" t="s">
        <v>6984</v>
      </c>
      <c r="IOY15" t="s">
        <v>6984</v>
      </c>
      <c r="IOZ15" t="s">
        <v>6984</v>
      </c>
      <c r="IPA15" t="s">
        <v>6984</v>
      </c>
      <c r="IPB15" t="s">
        <v>6984</v>
      </c>
      <c r="IPC15" t="s">
        <v>6984</v>
      </c>
      <c r="IPD15" t="s">
        <v>6984</v>
      </c>
      <c r="IPE15" t="s">
        <v>6984</v>
      </c>
      <c r="IPF15" t="s">
        <v>6984</v>
      </c>
      <c r="IPG15" t="s">
        <v>6984</v>
      </c>
      <c r="IPH15" t="s">
        <v>6984</v>
      </c>
      <c r="IPI15" t="s">
        <v>6984</v>
      </c>
      <c r="IPJ15" t="s">
        <v>6984</v>
      </c>
      <c r="IPK15" t="s">
        <v>6984</v>
      </c>
      <c r="IPL15" t="s">
        <v>6984</v>
      </c>
      <c r="IPM15" t="s">
        <v>6984</v>
      </c>
      <c r="IPN15" t="s">
        <v>6984</v>
      </c>
      <c r="IPO15" t="s">
        <v>6984</v>
      </c>
      <c r="IPP15" t="s">
        <v>6984</v>
      </c>
      <c r="IPQ15" t="s">
        <v>6984</v>
      </c>
      <c r="IPR15" t="s">
        <v>6984</v>
      </c>
      <c r="IPS15" t="s">
        <v>6984</v>
      </c>
      <c r="IPT15" t="s">
        <v>6984</v>
      </c>
      <c r="IPU15" t="s">
        <v>6984</v>
      </c>
      <c r="IPV15" t="s">
        <v>6984</v>
      </c>
      <c r="IPW15" t="s">
        <v>6984</v>
      </c>
      <c r="IPX15" t="s">
        <v>6984</v>
      </c>
      <c r="IPY15" t="s">
        <v>6984</v>
      </c>
      <c r="IPZ15" t="s">
        <v>6984</v>
      </c>
      <c r="IQA15" t="s">
        <v>6984</v>
      </c>
      <c r="IQB15" t="s">
        <v>6984</v>
      </c>
      <c r="IQC15" t="s">
        <v>6984</v>
      </c>
      <c r="IQD15" t="s">
        <v>6984</v>
      </c>
      <c r="IQE15" t="s">
        <v>6984</v>
      </c>
      <c r="IQF15" t="s">
        <v>6984</v>
      </c>
      <c r="IQG15" t="s">
        <v>6984</v>
      </c>
      <c r="IQH15" t="s">
        <v>6984</v>
      </c>
      <c r="IQI15" t="s">
        <v>6984</v>
      </c>
      <c r="IQJ15" t="s">
        <v>6984</v>
      </c>
      <c r="IQK15" t="s">
        <v>6984</v>
      </c>
      <c r="IQL15" t="s">
        <v>6984</v>
      </c>
      <c r="IQM15" t="s">
        <v>6984</v>
      </c>
      <c r="IQN15" t="s">
        <v>6984</v>
      </c>
      <c r="IQO15" t="s">
        <v>6984</v>
      </c>
      <c r="IQP15" t="s">
        <v>6984</v>
      </c>
      <c r="IQQ15" t="s">
        <v>6984</v>
      </c>
      <c r="IQR15" t="s">
        <v>6984</v>
      </c>
      <c r="IQS15" t="s">
        <v>6984</v>
      </c>
      <c r="IQT15" t="s">
        <v>6984</v>
      </c>
      <c r="IQU15" t="s">
        <v>6984</v>
      </c>
      <c r="IQV15" t="s">
        <v>6984</v>
      </c>
      <c r="IQW15" t="s">
        <v>6984</v>
      </c>
      <c r="IQX15" t="s">
        <v>6984</v>
      </c>
      <c r="IQY15" t="s">
        <v>6984</v>
      </c>
      <c r="IQZ15" t="s">
        <v>6984</v>
      </c>
      <c r="IRA15" t="s">
        <v>6984</v>
      </c>
      <c r="IRB15" t="s">
        <v>6984</v>
      </c>
      <c r="IRC15" t="s">
        <v>6984</v>
      </c>
      <c r="IRD15" t="s">
        <v>6984</v>
      </c>
      <c r="IRE15" t="s">
        <v>6984</v>
      </c>
      <c r="IRF15" t="s">
        <v>6984</v>
      </c>
      <c r="IRG15" t="s">
        <v>6984</v>
      </c>
      <c r="IRH15" t="s">
        <v>6984</v>
      </c>
      <c r="IRI15" t="s">
        <v>6984</v>
      </c>
      <c r="IRJ15" t="s">
        <v>6984</v>
      </c>
      <c r="IRK15" t="s">
        <v>6984</v>
      </c>
      <c r="IRL15" t="s">
        <v>6984</v>
      </c>
      <c r="IRM15" t="s">
        <v>6984</v>
      </c>
      <c r="IRN15" t="s">
        <v>6984</v>
      </c>
      <c r="IRO15" t="s">
        <v>6984</v>
      </c>
      <c r="IRP15" t="s">
        <v>6984</v>
      </c>
      <c r="IRQ15" t="s">
        <v>6984</v>
      </c>
      <c r="IRR15" t="s">
        <v>6984</v>
      </c>
      <c r="IRS15" t="s">
        <v>6984</v>
      </c>
      <c r="IRT15" t="s">
        <v>6984</v>
      </c>
      <c r="IRU15" t="s">
        <v>6984</v>
      </c>
      <c r="IRV15" t="s">
        <v>6984</v>
      </c>
      <c r="IRW15" t="s">
        <v>6984</v>
      </c>
      <c r="IRX15" t="s">
        <v>6984</v>
      </c>
      <c r="IRY15" t="s">
        <v>6984</v>
      </c>
      <c r="IRZ15" t="s">
        <v>6984</v>
      </c>
      <c r="ISA15" t="s">
        <v>6984</v>
      </c>
      <c r="ISB15" t="s">
        <v>6984</v>
      </c>
      <c r="ISC15" t="s">
        <v>6984</v>
      </c>
      <c r="ISD15" t="s">
        <v>6984</v>
      </c>
      <c r="ISE15" t="s">
        <v>6984</v>
      </c>
      <c r="ISF15" t="s">
        <v>6984</v>
      </c>
      <c r="ISG15" t="s">
        <v>6984</v>
      </c>
      <c r="ISH15" t="s">
        <v>6984</v>
      </c>
      <c r="ISI15" t="s">
        <v>6984</v>
      </c>
      <c r="ISJ15" t="s">
        <v>6984</v>
      </c>
      <c r="ISK15" t="s">
        <v>6984</v>
      </c>
      <c r="ISL15" t="s">
        <v>6984</v>
      </c>
      <c r="ISM15" t="s">
        <v>6984</v>
      </c>
      <c r="ISN15" t="s">
        <v>6984</v>
      </c>
      <c r="ISO15" t="s">
        <v>6984</v>
      </c>
      <c r="ISP15" t="s">
        <v>6984</v>
      </c>
      <c r="ISQ15" t="s">
        <v>6984</v>
      </c>
      <c r="ISR15" t="s">
        <v>6984</v>
      </c>
      <c r="ISS15" t="s">
        <v>6984</v>
      </c>
      <c r="IST15" t="s">
        <v>6984</v>
      </c>
      <c r="ISU15" t="s">
        <v>6984</v>
      </c>
      <c r="ISV15" t="s">
        <v>6984</v>
      </c>
      <c r="ISW15" t="s">
        <v>6984</v>
      </c>
      <c r="ISX15" t="s">
        <v>6984</v>
      </c>
      <c r="ISY15" t="s">
        <v>6984</v>
      </c>
      <c r="ISZ15" t="s">
        <v>6984</v>
      </c>
      <c r="ITA15" t="s">
        <v>6984</v>
      </c>
      <c r="ITB15" t="s">
        <v>6984</v>
      </c>
      <c r="ITC15" t="s">
        <v>6984</v>
      </c>
      <c r="ITD15" t="s">
        <v>6984</v>
      </c>
      <c r="ITE15" t="s">
        <v>6984</v>
      </c>
      <c r="ITF15" t="s">
        <v>6984</v>
      </c>
      <c r="ITG15" t="s">
        <v>6984</v>
      </c>
      <c r="ITH15" t="s">
        <v>6984</v>
      </c>
      <c r="ITI15" t="s">
        <v>6984</v>
      </c>
      <c r="ITJ15" t="s">
        <v>6984</v>
      </c>
      <c r="ITK15" t="s">
        <v>6984</v>
      </c>
      <c r="ITL15" t="s">
        <v>6984</v>
      </c>
      <c r="ITM15" t="s">
        <v>6984</v>
      </c>
      <c r="ITN15" t="s">
        <v>6984</v>
      </c>
      <c r="ITO15" t="s">
        <v>6984</v>
      </c>
      <c r="ITP15" t="s">
        <v>6984</v>
      </c>
      <c r="ITQ15" t="s">
        <v>6984</v>
      </c>
      <c r="ITR15" t="s">
        <v>6984</v>
      </c>
      <c r="ITS15" t="s">
        <v>6984</v>
      </c>
      <c r="ITT15" t="s">
        <v>6984</v>
      </c>
      <c r="ITU15" t="s">
        <v>6984</v>
      </c>
      <c r="ITV15" t="s">
        <v>6984</v>
      </c>
      <c r="ITW15" t="s">
        <v>6984</v>
      </c>
      <c r="ITX15" t="s">
        <v>6984</v>
      </c>
      <c r="ITY15" t="s">
        <v>6984</v>
      </c>
      <c r="ITZ15" t="s">
        <v>6984</v>
      </c>
      <c r="IUA15" t="s">
        <v>6984</v>
      </c>
      <c r="IUB15" t="s">
        <v>6984</v>
      </c>
      <c r="IUC15" t="s">
        <v>6984</v>
      </c>
      <c r="IUD15" t="s">
        <v>6984</v>
      </c>
      <c r="IUE15" t="s">
        <v>6984</v>
      </c>
      <c r="IUF15" t="s">
        <v>6984</v>
      </c>
      <c r="IUG15" t="s">
        <v>6984</v>
      </c>
      <c r="IUH15" t="s">
        <v>6984</v>
      </c>
      <c r="IUI15" t="s">
        <v>6984</v>
      </c>
      <c r="IUJ15" t="s">
        <v>6984</v>
      </c>
      <c r="IUK15" t="s">
        <v>6984</v>
      </c>
      <c r="IUL15" t="s">
        <v>6984</v>
      </c>
      <c r="IUM15" t="s">
        <v>6984</v>
      </c>
      <c r="IUN15" t="s">
        <v>6984</v>
      </c>
      <c r="IUO15" t="s">
        <v>6984</v>
      </c>
      <c r="IUP15" t="s">
        <v>6984</v>
      </c>
      <c r="IUQ15" t="s">
        <v>6984</v>
      </c>
      <c r="IUR15" t="s">
        <v>6984</v>
      </c>
      <c r="IUS15" t="s">
        <v>6984</v>
      </c>
      <c r="IUT15" t="s">
        <v>6984</v>
      </c>
      <c r="IUU15" t="s">
        <v>6984</v>
      </c>
      <c r="IUV15" t="s">
        <v>6984</v>
      </c>
      <c r="IUW15" t="s">
        <v>6984</v>
      </c>
      <c r="IUX15" t="s">
        <v>6984</v>
      </c>
      <c r="IUY15" t="s">
        <v>6984</v>
      </c>
      <c r="IUZ15" t="s">
        <v>6984</v>
      </c>
      <c r="IVA15" t="s">
        <v>6984</v>
      </c>
      <c r="IVB15" t="s">
        <v>6984</v>
      </c>
      <c r="IVC15" t="s">
        <v>6984</v>
      </c>
      <c r="IVD15" t="s">
        <v>6984</v>
      </c>
      <c r="IVE15" t="s">
        <v>6984</v>
      </c>
      <c r="IVF15" t="s">
        <v>6984</v>
      </c>
      <c r="IVG15" t="s">
        <v>6984</v>
      </c>
      <c r="IVH15" t="s">
        <v>6984</v>
      </c>
      <c r="IVI15" t="s">
        <v>6984</v>
      </c>
      <c r="IVJ15" t="s">
        <v>6984</v>
      </c>
      <c r="IVK15" t="s">
        <v>6984</v>
      </c>
      <c r="IVL15" t="s">
        <v>6984</v>
      </c>
      <c r="IVM15" t="s">
        <v>6984</v>
      </c>
      <c r="IVN15" t="s">
        <v>6984</v>
      </c>
      <c r="IVO15" t="s">
        <v>6984</v>
      </c>
      <c r="IVP15" t="s">
        <v>6984</v>
      </c>
      <c r="IVQ15" t="s">
        <v>6984</v>
      </c>
      <c r="IVR15" t="s">
        <v>6984</v>
      </c>
      <c r="IVS15" t="s">
        <v>6984</v>
      </c>
      <c r="IVT15" t="s">
        <v>6984</v>
      </c>
      <c r="IVU15" t="s">
        <v>6984</v>
      </c>
      <c r="IVV15" t="s">
        <v>6984</v>
      </c>
      <c r="IVW15" t="s">
        <v>6984</v>
      </c>
      <c r="IVX15" t="s">
        <v>6984</v>
      </c>
      <c r="IVY15" t="s">
        <v>6984</v>
      </c>
      <c r="IVZ15" t="s">
        <v>6984</v>
      </c>
      <c r="IWA15" t="s">
        <v>6984</v>
      </c>
      <c r="IWB15" t="s">
        <v>6984</v>
      </c>
      <c r="IWC15" t="s">
        <v>6984</v>
      </c>
      <c r="IWD15" t="s">
        <v>6984</v>
      </c>
      <c r="IWE15" t="s">
        <v>6984</v>
      </c>
      <c r="IWF15" t="s">
        <v>6984</v>
      </c>
      <c r="IWG15" t="s">
        <v>6984</v>
      </c>
      <c r="IWH15" t="s">
        <v>6984</v>
      </c>
      <c r="IWI15" t="s">
        <v>6984</v>
      </c>
      <c r="IWJ15" t="s">
        <v>6984</v>
      </c>
      <c r="IWK15" t="s">
        <v>6984</v>
      </c>
      <c r="IWL15" t="s">
        <v>6984</v>
      </c>
      <c r="IWM15" t="s">
        <v>6984</v>
      </c>
      <c r="IWN15" t="s">
        <v>6984</v>
      </c>
      <c r="IWO15" t="s">
        <v>6984</v>
      </c>
      <c r="IWP15" t="s">
        <v>6984</v>
      </c>
      <c r="IWQ15" t="s">
        <v>6984</v>
      </c>
      <c r="IWR15" t="s">
        <v>6984</v>
      </c>
      <c r="IWS15" t="s">
        <v>6984</v>
      </c>
      <c r="IWT15" t="s">
        <v>6984</v>
      </c>
      <c r="IWU15" t="s">
        <v>6984</v>
      </c>
      <c r="IWV15" t="s">
        <v>6984</v>
      </c>
      <c r="IWW15" t="s">
        <v>6984</v>
      </c>
      <c r="IWX15" t="s">
        <v>6984</v>
      </c>
      <c r="IWY15" t="s">
        <v>6984</v>
      </c>
      <c r="IWZ15" t="s">
        <v>6984</v>
      </c>
      <c r="IXA15" t="s">
        <v>6984</v>
      </c>
      <c r="IXB15" t="s">
        <v>6984</v>
      </c>
      <c r="IXC15" t="s">
        <v>6984</v>
      </c>
      <c r="IXD15" t="s">
        <v>6984</v>
      </c>
      <c r="IXE15" t="s">
        <v>6984</v>
      </c>
      <c r="IXF15" t="s">
        <v>6984</v>
      </c>
      <c r="IXG15" t="s">
        <v>6984</v>
      </c>
      <c r="IXH15" t="s">
        <v>6984</v>
      </c>
      <c r="IXI15" t="s">
        <v>6984</v>
      </c>
      <c r="IXJ15" t="s">
        <v>6984</v>
      </c>
      <c r="IXK15" t="s">
        <v>6984</v>
      </c>
      <c r="IXL15" t="s">
        <v>6984</v>
      </c>
      <c r="IXM15" t="s">
        <v>6984</v>
      </c>
      <c r="IXN15" t="s">
        <v>6984</v>
      </c>
      <c r="IXO15" t="s">
        <v>6984</v>
      </c>
      <c r="IXP15" t="s">
        <v>6984</v>
      </c>
      <c r="IXQ15" t="s">
        <v>6984</v>
      </c>
      <c r="IXR15" t="s">
        <v>6984</v>
      </c>
      <c r="IXS15" t="s">
        <v>6984</v>
      </c>
      <c r="IXT15" t="s">
        <v>6984</v>
      </c>
      <c r="IXU15" t="s">
        <v>6984</v>
      </c>
      <c r="IXV15" t="s">
        <v>6984</v>
      </c>
      <c r="IXW15" t="s">
        <v>6984</v>
      </c>
      <c r="IXX15" t="s">
        <v>6984</v>
      </c>
      <c r="IXY15" t="s">
        <v>6984</v>
      </c>
      <c r="IXZ15" t="s">
        <v>6984</v>
      </c>
      <c r="IYA15" t="s">
        <v>6984</v>
      </c>
      <c r="IYB15" t="s">
        <v>6984</v>
      </c>
      <c r="IYC15" t="s">
        <v>6984</v>
      </c>
      <c r="IYD15" t="s">
        <v>6984</v>
      </c>
      <c r="IYE15" t="s">
        <v>6984</v>
      </c>
      <c r="IYF15" t="s">
        <v>6984</v>
      </c>
      <c r="IYG15" t="s">
        <v>6984</v>
      </c>
      <c r="IYH15" t="s">
        <v>6984</v>
      </c>
      <c r="IYI15" t="s">
        <v>6984</v>
      </c>
      <c r="IYJ15" t="s">
        <v>6984</v>
      </c>
      <c r="IYK15" t="s">
        <v>6984</v>
      </c>
      <c r="IYL15" t="s">
        <v>6984</v>
      </c>
      <c r="IYM15" t="s">
        <v>6984</v>
      </c>
      <c r="IYN15" t="s">
        <v>6984</v>
      </c>
      <c r="IYO15" t="s">
        <v>6984</v>
      </c>
      <c r="IYP15" t="s">
        <v>6984</v>
      </c>
      <c r="IYQ15" t="s">
        <v>6984</v>
      </c>
      <c r="IYR15" t="s">
        <v>6984</v>
      </c>
      <c r="IYS15" t="s">
        <v>6984</v>
      </c>
      <c r="IYT15" t="s">
        <v>6984</v>
      </c>
      <c r="IYU15" t="s">
        <v>6984</v>
      </c>
      <c r="IYV15" t="s">
        <v>6984</v>
      </c>
      <c r="IYW15" t="s">
        <v>6984</v>
      </c>
      <c r="IYX15" t="s">
        <v>6984</v>
      </c>
      <c r="IYY15" t="s">
        <v>6984</v>
      </c>
      <c r="IYZ15" t="s">
        <v>6984</v>
      </c>
      <c r="IZA15" t="s">
        <v>6984</v>
      </c>
      <c r="IZB15" t="s">
        <v>6984</v>
      </c>
      <c r="IZC15" t="s">
        <v>6984</v>
      </c>
      <c r="IZD15" t="s">
        <v>6984</v>
      </c>
      <c r="IZE15" t="s">
        <v>6984</v>
      </c>
      <c r="IZF15" t="s">
        <v>6984</v>
      </c>
      <c r="IZG15" t="s">
        <v>6984</v>
      </c>
      <c r="IZH15" t="s">
        <v>6984</v>
      </c>
      <c r="IZI15" t="s">
        <v>6984</v>
      </c>
      <c r="IZJ15" t="s">
        <v>6984</v>
      </c>
      <c r="IZK15" t="s">
        <v>6984</v>
      </c>
      <c r="IZL15" t="s">
        <v>6984</v>
      </c>
      <c r="IZM15" t="s">
        <v>6984</v>
      </c>
      <c r="IZN15" t="s">
        <v>6984</v>
      </c>
      <c r="IZO15" t="s">
        <v>6984</v>
      </c>
      <c r="IZP15" t="s">
        <v>6984</v>
      </c>
      <c r="IZQ15" t="s">
        <v>6984</v>
      </c>
      <c r="IZR15" t="s">
        <v>6984</v>
      </c>
      <c r="IZS15" t="s">
        <v>6984</v>
      </c>
      <c r="IZT15" t="s">
        <v>6984</v>
      </c>
      <c r="IZU15" t="s">
        <v>6984</v>
      </c>
      <c r="IZV15" t="s">
        <v>6984</v>
      </c>
      <c r="IZW15" t="s">
        <v>6984</v>
      </c>
      <c r="IZX15" t="s">
        <v>6984</v>
      </c>
      <c r="IZY15" t="s">
        <v>6984</v>
      </c>
      <c r="IZZ15" t="s">
        <v>6984</v>
      </c>
      <c r="JAA15" t="s">
        <v>6984</v>
      </c>
      <c r="JAB15" t="s">
        <v>6984</v>
      </c>
      <c r="JAC15" t="s">
        <v>6984</v>
      </c>
      <c r="JAD15" t="s">
        <v>6984</v>
      </c>
      <c r="JAE15" t="s">
        <v>6984</v>
      </c>
      <c r="JAF15" t="s">
        <v>6984</v>
      </c>
      <c r="JAG15" t="s">
        <v>6984</v>
      </c>
      <c r="JAH15" t="s">
        <v>6984</v>
      </c>
      <c r="JAI15" t="s">
        <v>6984</v>
      </c>
      <c r="JAJ15" t="s">
        <v>6984</v>
      </c>
      <c r="JAK15" t="s">
        <v>6984</v>
      </c>
      <c r="JAL15" t="s">
        <v>6984</v>
      </c>
      <c r="JAM15" t="s">
        <v>6984</v>
      </c>
      <c r="JAN15" t="s">
        <v>6984</v>
      </c>
      <c r="JAO15" t="s">
        <v>6984</v>
      </c>
      <c r="JAP15" t="s">
        <v>6984</v>
      </c>
      <c r="JAQ15" t="s">
        <v>6984</v>
      </c>
      <c r="JAR15" t="s">
        <v>6984</v>
      </c>
      <c r="JAS15" t="s">
        <v>6984</v>
      </c>
      <c r="JAT15" t="s">
        <v>6984</v>
      </c>
      <c r="JAU15" t="s">
        <v>6984</v>
      </c>
      <c r="JAV15" t="s">
        <v>6984</v>
      </c>
      <c r="JAW15" t="s">
        <v>6984</v>
      </c>
      <c r="JAX15" t="s">
        <v>6984</v>
      </c>
      <c r="JAY15" t="s">
        <v>6984</v>
      </c>
      <c r="JAZ15" t="s">
        <v>6984</v>
      </c>
      <c r="JBA15" t="s">
        <v>6984</v>
      </c>
      <c r="JBB15" t="s">
        <v>6984</v>
      </c>
      <c r="JBC15" t="s">
        <v>6984</v>
      </c>
      <c r="JBD15" t="s">
        <v>6984</v>
      </c>
      <c r="JBE15" t="s">
        <v>6984</v>
      </c>
      <c r="JBF15" t="s">
        <v>6984</v>
      </c>
      <c r="JBG15" t="s">
        <v>6984</v>
      </c>
      <c r="JBH15" t="s">
        <v>6984</v>
      </c>
      <c r="JBI15" t="s">
        <v>6984</v>
      </c>
      <c r="JBJ15" t="s">
        <v>6984</v>
      </c>
      <c r="JBK15" t="s">
        <v>6984</v>
      </c>
      <c r="JBL15" t="s">
        <v>6984</v>
      </c>
      <c r="JBM15" t="s">
        <v>6984</v>
      </c>
      <c r="JBN15" t="s">
        <v>6984</v>
      </c>
      <c r="JBO15" t="s">
        <v>6984</v>
      </c>
      <c r="JBP15" t="s">
        <v>6984</v>
      </c>
      <c r="JBQ15" t="s">
        <v>6984</v>
      </c>
      <c r="JBR15" t="s">
        <v>6984</v>
      </c>
      <c r="JBS15" t="s">
        <v>6984</v>
      </c>
      <c r="JBT15" t="s">
        <v>6984</v>
      </c>
      <c r="JBU15" t="s">
        <v>6984</v>
      </c>
      <c r="JBV15" t="s">
        <v>6984</v>
      </c>
      <c r="JBW15" t="s">
        <v>6984</v>
      </c>
      <c r="JBX15" t="s">
        <v>6984</v>
      </c>
      <c r="JBY15" t="s">
        <v>6984</v>
      </c>
      <c r="JBZ15" t="s">
        <v>6984</v>
      </c>
      <c r="JCA15" t="s">
        <v>6984</v>
      </c>
      <c r="JCB15" t="s">
        <v>6984</v>
      </c>
      <c r="JCC15" t="s">
        <v>6984</v>
      </c>
      <c r="JCD15" t="s">
        <v>6984</v>
      </c>
      <c r="JCE15" t="s">
        <v>6984</v>
      </c>
      <c r="JCF15" t="s">
        <v>6984</v>
      </c>
      <c r="JCG15" t="s">
        <v>6984</v>
      </c>
      <c r="JCH15" t="s">
        <v>6984</v>
      </c>
      <c r="JCI15" t="s">
        <v>6984</v>
      </c>
      <c r="JCJ15" t="s">
        <v>6984</v>
      </c>
      <c r="JCK15" t="s">
        <v>6984</v>
      </c>
      <c r="JCL15" t="s">
        <v>6984</v>
      </c>
      <c r="JCM15" t="s">
        <v>6984</v>
      </c>
      <c r="JCN15" t="s">
        <v>6984</v>
      </c>
      <c r="JCO15" t="s">
        <v>6984</v>
      </c>
      <c r="JCP15" t="s">
        <v>6984</v>
      </c>
      <c r="JCQ15" t="s">
        <v>6984</v>
      </c>
      <c r="JCR15" t="s">
        <v>6984</v>
      </c>
      <c r="JCS15" t="s">
        <v>6984</v>
      </c>
      <c r="JCT15" t="s">
        <v>6984</v>
      </c>
      <c r="JCU15" t="s">
        <v>6984</v>
      </c>
      <c r="JCV15" t="s">
        <v>6984</v>
      </c>
      <c r="JCW15" t="s">
        <v>6984</v>
      </c>
      <c r="JCX15" t="s">
        <v>6984</v>
      </c>
      <c r="JCY15" t="s">
        <v>6984</v>
      </c>
      <c r="JCZ15" t="s">
        <v>6984</v>
      </c>
      <c r="JDA15" t="s">
        <v>6984</v>
      </c>
      <c r="JDB15" t="s">
        <v>6984</v>
      </c>
      <c r="JDC15" t="s">
        <v>6984</v>
      </c>
      <c r="JDD15" t="s">
        <v>6984</v>
      </c>
      <c r="JDE15" t="s">
        <v>6984</v>
      </c>
      <c r="JDF15" t="s">
        <v>6984</v>
      </c>
      <c r="JDG15" t="s">
        <v>6984</v>
      </c>
      <c r="JDH15" t="s">
        <v>6984</v>
      </c>
      <c r="JDI15" t="s">
        <v>6984</v>
      </c>
      <c r="JDJ15" t="s">
        <v>6984</v>
      </c>
      <c r="JDK15" t="s">
        <v>6984</v>
      </c>
      <c r="JDL15" t="s">
        <v>6984</v>
      </c>
      <c r="JDM15" t="s">
        <v>6984</v>
      </c>
      <c r="JDN15" t="s">
        <v>6984</v>
      </c>
      <c r="JDO15" t="s">
        <v>6984</v>
      </c>
      <c r="JDP15" t="s">
        <v>6984</v>
      </c>
      <c r="JDQ15" t="s">
        <v>6984</v>
      </c>
      <c r="JDR15" t="s">
        <v>6984</v>
      </c>
      <c r="JDS15" t="s">
        <v>6984</v>
      </c>
      <c r="JDT15" t="s">
        <v>6984</v>
      </c>
      <c r="JDU15" t="s">
        <v>6984</v>
      </c>
      <c r="JDV15" t="s">
        <v>6984</v>
      </c>
      <c r="JDW15" t="s">
        <v>6984</v>
      </c>
      <c r="JDX15" t="s">
        <v>6984</v>
      </c>
      <c r="JDY15" t="s">
        <v>6984</v>
      </c>
      <c r="JDZ15" t="s">
        <v>6984</v>
      </c>
      <c r="JEA15" t="s">
        <v>6984</v>
      </c>
      <c r="JEB15" t="s">
        <v>6984</v>
      </c>
      <c r="JEC15" t="s">
        <v>6984</v>
      </c>
      <c r="JED15" t="s">
        <v>6984</v>
      </c>
      <c r="JEE15" t="s">
        <v>6984</v>
      </c>
      <c r="JEF15" t="s">
        <v>6984</v>
      </c>
      <c r="JEG15" t="s">
        <v>6984</v>
      </c>
      <c r="JEH15" t="s">
        <v>6984</v>
      </c>
      <c r="JEI15" t="s">
        <v>6984</v>
      </c>
      <c r="JEJ15" t="s">
        <v>6984</v>
      </c>
      <c r="JEK15" t="s">
        <v>6984</v>
      </c>
      <c r="JEL15" t="s">
        <v>6984</v>
      </c>
      <c r="JEM15" t="s">
        <v>6984</v>
      </c>
      <c r="JEN15" t="s">
        <v>6984</v>
      </c>
      <c r="JEO15" t="s">
        <v>6984</v>
      </c>
      <c r="JEP15" t="s">
        <v>6984</v>
      </c>
      <c r="JEQ15" t="s">
        <v>6984</v>
      </c>
      <c r="JER15" t="s">
        <v>6984</v>
      </c>
      <c r="JES15" t="s">
        <v>6984</v>
      </c>
      <c r="JET15" t="s">
        <v>6984</v>
      </c>
      <c r="JEU15" t="s">
        <v>6984</v>
      </c>
      <c r="JEV15" t="s">
        <v>6984</v>
      </c>
      <c r="JEW15" t="s">
        <v>6984</v>
      </c>
      <c r="JEX15" t="s">
        <v>6984</v>
      </c>
      <c r="JEY15" t="s">
        <v>6984</v>
      </c>
      <c r="JEZ15" t="s">
        <v>6984</v>
      </c>
      <c r="JFA15" t="s">
        <v>6984</v>
      </c>
      <c r="JFB15" t="s">
        <v>6984</v>
      </c>
      <c r="JFC15" t="s">
        <v>6984</v>
      </c>
      <c r="JFD15" t="s">
        <v>6984</v>
      </c>
      <c r="JFE15" t="s">
        <v>6984</v>
      </c>
      <c r="JFF15" t="s">
        <v>6984</v>
      </c>
      <c r="JFG15" t="s">
        <v>6984</v>
      </c>
      <c r="JFH15" t="s">
        <v>6984</v>
      </c>
      <c r="JFI15" t="s">
        <v>6984</v>
      </c>
      <c r="JFJ15" t="s">
        <v>6984</v>
      </c>
      <c r="JFK15" t="s">
        <v>6984</v>
      </c>
      <c r="JFL15" t="s">
        <v>6984</v>
      </c>
      <c r="JFM15" t="s">
        <v>6984</v>
      </c>
      <c r="JFN15" t="s">
        <v>6984</v>
      </c>
      <c r="JFO15" t="s">
        <v>6984</v>
      </c>
      <c r="JFP15" t="s">
        <v>6984</v>
      </c>
      <c r="JFQ15" t="s">
        <v>6984</v>
      </c>
      <c r="JFR15" t="s">
        <v>6984</v>
      </c>
      <c r="JFS15" t="s">
        <v>6984</v>
      </c>
      <c r="JFT15" t="s">
        <v>6984</v>
      </c>
      <c r="JFU15" t="s">
        <v>6984</v>
      </c>
      <c r="JFV15" t="s">
        <v>6984</v>
      </c>
      <c r="JFW15" t="s">
        <v>6984</v>
      </c>
      <c r="JFX15" t="s">
        <v>6984</v>
      </c>
      <c r="JFY15" t="s">
        <v>6984</v>
      </c>
      <c r="JFZ15" t="s">
        <v>6984</v>
      </c>
      <c r="JGA15" t="s">
        <v>6984</v>
      </c>
      <c r="JGB15" t="s">
        <v>6984</v>
      </c>
      <c r="JGC15" t="s">
        <v>6984</v>
      </c>
      <c r="JGD15" t="s">
        <v>6984</v>
      </c>
      <c r="JGE15" t="s">
        <v>6984</v>
      </c>
      <c r="JGF15" t="s">
        <v>6984</v>
      </c>
      <c r="JGG15" t="s">
        <v>6984</v>
      </c>
      <c r="JGH15" t="s">
        <v>6984</v>
      </c>
      <c r="JGI15" t="s">
        <v>6984</v>
      </c>
      <c r="JGJ15" t="s">
        <v>6984</v>
      </c>
      <c r="JGK15" t="s">
        <v>6984</v>
      </c>
      <c r="JGL15" t="s">
        <v>6984</v>
      </c>
      <c r="JGM15" t="s">
        <v>6984</v>
      </c>
      <c r="JGN15" t="s">
        <v>6984</v>
      </c>
      <c r="JGO15" t="s">
        <v>6984</v>
      </c>
      <c r="JGP15" t="s">
        <v>6984</v>
      </c>
      <c r="JGQ15" t="s">
        <v>6984</v>
      </c>
      <c r="JGR15" t="s">
        <v>6984</v>
      </c>
      <c r="JGS15" t="s">
        <v>6984</v>
      </c>
      <c r="JGT15" t="s">
        <v>6984</v>
      </c>
      <c r="JGU15" t="s">
        <v>6984</v>
      </c>
      <c r="JGV15" t="s">
        <v>6984</v>
      </c>
      <c r="JGW15" t="s">
        <v>6984</v>
      </c>
      <c r="JGX15" t="s">
        <v>6984</v>
      </c>
      <c r="JGY15" t="s">
        <v>6984</v>
      </c>
      <c r="JGZ15" t="s">
        <v>6984</v>
      </c>
      <c r="JHA15" t="s">
        <v>6984</v>
      </c>
      <c r="JHB15" t="s">
        <v>6984</v>
      </c>
      <c r="JHC15" t="s">
        <v>6984</v>
      </c>
      <c r="JHD15" t="s">
        <v>6984</v>
      </c>
      <c r="JHE15" t="s">
        <v>6984</v>
      </c>
      <c r="JHF15" t="s">
        <v>6984</v>
      </c>
      <c r="JHG15" t="s">
        <v>6984</v>
      </c>
      <c r="JHH15" t="s">
        <v>6984</v>
      </c>
      <c r="JHI15" t="s">
        <v>6984</v>
      </c>
      <c r="JHJ15" t="s">
        <v>6984</v>
      </c>
      <c r="JHK15" t="s">
        <v>6984</v>
      </c>
      <c r="JHL15" t="s">
        <v>6984</v>
      </c>
      <c r="JHM15" t="s">
        <v>6984</v>
      </c>
      <c r="JHN15" t="s">
        <v>6984</v>
      </c>
      <c r="JHO15" t="s">
        <v>6984</v>
      </c>
      <c r="JHP15" t="s">
        <v>6984</v>
      </c>
      <c r="JHQ15" t="s">
        <v>6984</v>
      </c>
      <c r="JHR15" t="s">
        <v>6984</v>
      </c>
      <c r="JHS15" t="s">
        <v>6984</v>
      </c>
      <c r="JHT15" t="s">
        <v>6984</v>
      </c>
      <c r="JHU15" t="s">
        <v>6984</v>
      </c>
      <c r="JHV15" t="s">
        <v>6984</v>
      </c>
      <c r="JHW15" t="s">
        <v>6984</v>
      </c>
      <c r="JHX15" t="s">
        <v>6984</v>
      </c>
      <c r="JHY15" t="s">
        <v>6984</v>
      </c>
      <c r="JHZ15" t="s">
        <v>6984</v>
      </c>
      <c r="JIA15" t="s">
        <v>6984</v>
      </c>
      <c r="JIB15" t="s">
        <v>6984</v>
      </c>
      <c r="JIC15" t="s">
        <v>6984</v>
      </c>
      <c r="JID15" t="s">
        <v>6984</v>
      </c>
      <c r="JIE15" t="s">
        <v>6984</v>
      </c>
      <c r="JIF15" t="s">
        <v>6984</v>
      </c>
      <c r="JIG15" t="s">
        <v>6984</v>
      </c>
      <c r="JIH15" t="s">
        <v>6984</v>
      </c>
      <c r="JII15" t="s">
        <v>6984</v>
      </c>
      <c r="JIJ15" t="s">
        <v>6984</v>
      </c>
      <c r="JIK15" t="s">
        <v>6984</v>
      </c>
      <c r="JIL15" t="s">
        <v>6984</v>
      </c>
      <c r="JIM15" t="s">
        <v>6984</v>
      </c>
      <c r="JIN15" t="s">
        <v>6984</v>
      </c>
      <c r="JIO15" t="s">
        <v>6984</v>
      </c>
      <c r="JIP15" t="s">
        <v>6984</v>
      </c>
      <c r="JIQ15" t="s">
        <v>6984</v>
      </c>
      <c r="JIR15" t="s">
        <v>6984</v>
      </c>
      <c r="JIS15" t="s">
        <v>6984</v>
      </c>
      <c r="JIT15" t="s">
        <v>6984</v>
      </c>
      <c r="JIU15" t="s">
        <v>6984</v>
      </c>
      <c r="JIV15" t="s">
        <v>6984</v>
      </c>
      <c r="JIW15" t="s">
        <v>6984</v>
      </c>
      <c r="JIX15" t="s">
        <v>6984</v>
      </c>
      <c r="JIY15" t="s">
        <v>6984</v>
      </c>
      <c r="JIZ15" t="s">
        <v>6984</v>
      </c>
      <c r="JJA15" t="s">
        <v>6984</v>
      </c>
    </row>
    <row r="16" spans="1:7021" x14ac:dyDescent="0.25">
      <c r="A16" t="s">
        <v>6997</v>
      </c>
      <c r="B16">
        <v>96.43</v>
      </c>
      <c r="C16">
        <v>96.43</v>
      </c>
      <c r="D16">
        <v>96.43</v>
      </c>
      <c r="E16">
        <v>96.474999999999994</v>
      </c>
      <c r="F16">
        <v>96.415000000000006</v>
      </c>
      <c r="G16">
        <v>96.424999999999997</v>
      </c>
      <c r="H16">
        <v>96.47</v>
      </c>
      <c r="I16">
        <v>96.42</v>
      </c>
      <c r="J16">
        <v>96.35</v>
      </c>
      <c r="K16">
        <v>96.34</v>
      </c>
      <c r="L16">
        <v>96.305000000000007</v>
      </c>
      <c r="M16">
        <v>96.435000000000002</v>
      </c>
      <c r="N16">
        <v>96.49</v>
      </c>
      <c r="O16">
        <v>96.41</v>
      </c>
      <c r="P16">
        <v>96.424999999999997</v>
      </c>
      <c r="Q16">
        <v>96.47</v>
      </c>
      <c r="R16">
        <v>96.454999999999998</v>
      </c>
      <c r="S16">
        <v>96.405000000000001</v>
      </c>
      <c r="T16">
        <v>96.444999999999993</v>
      </c>
      <c r="U16">
        <v>96.364999999999995</v>
      </c>
      <c r="V16">
        <v>96.364999999999995</v>
      </c>
      <c r="W16">
        <v>96.33</v>
      </c>
      <c r="X16">
        <v>96.28</v>
      </c>
      <c r="Y16">
        <v>96.38</v>
      </c>
      <c r="Z16">
        <v>96.36</v>
      </c>
      <c r="AA16">
        <v>96.37</v>
      </c>
      <c r="AB16">
        <v>96.344999999999999</v>
      </c>
      <c r="AC16">
        <v>96.254999999999995</v>
      </c>
      <c r="AD16">
        <v>96.295000000000002</v>
      </c>
      <c r="AE16">
        <v>96.31</v>
      </c>
      <c r="AF16">
        <v>96.435000000000002</v>
      </c>
      <c r="AG16">
        <v>96.43</v>
      </c>
      <c r="AH16">
        <v>96.57</v>
      </c>
      <c r="AI16">
        <v>96.534999999999997</v>
      </c>
      <c r="AJ16">
        <v>96.495000000000005</v>
      </c>
      <c r="AK16">
        <v>96.5</v>
      </c>
      <c r="AL16">
        <v>96.605000000000004</v>
      </c>
      <c r="AM16">
        <v>96.655000000000001</v>
      </c>
      <c r="AN16">
        <v>96.63</v>
      </c>
      <c r="AO16">
        <v>96.584999999999994</v>
      </c>
      <c r="AP16">
        <v>96.515000000000001</v>
      </c>
      <c r="AQ16">
        <v>96.465000000000003</v>
      </c>
      <c r="AR16">
        <v>96.385000000000005</v>
      </c>
      <c r="AS16">
        <v>96.42</v>
      </c>
      <c r="AT16">
        <v>96.424999999999997</v>
      </c>
      <c r="AU16">
        <v>96.454999999999998</v>
      </c>
      <c r="AV16">
        <v>96.454999999999998</v>
      </c>
      <c r="AW16">
        <v>96.474999999999994</v>
      </c>
      <c r="AX16">
        <v>96.4</v>
      </c>
      <c r="AY16">
        <v>96.364999999999995</v>
      </c>
      <c r="AZ16">
        <v>96.215000000000003</v>
      </c>
      <c r="BA16">
        <v>96.36</v>
      </c>
      <c r="BB16">
        <v>96.265000000000001</v>
      </c>
      <c r="BC16">
        <v>96.484999999999999</v>
      </c>
      <c r="BD16">
        <v>96.545000000000002</v>
      </c>
      <c r="BE16">
        <v>96.685000000000002</v>
      </c>
      <c r="BF16">
        <v>96.63</v>
      </c>
      <c r="BG16">
        <v>96.415000000000006</v>
      </c>
      <c r="BH16">
        <v>96.47</v>
      </c>
      <c r="BI16">
        <v>96.38</v>
      </c>
      <c r="BJ16">
        <v>96.38</v>
      </c>
      <c r="BK16">
        <v>96.254999999999995</v>
      </c>
      <c r="BL16">
        <v>96.275000000000006</v>
      </c>
      <c r="BM16">
        <v>96.29</v>
      </c>
      <c r="BN16">
        <v>96.245000000000005</v>
      </c>
      <c r="BO16">
        <v>96.33</v>
      </c>
      <c r="BP16">
        <v>96.33</v>
      </c>
      <c r="BQ16">
        <v>96.305000000000007</v>
      </c>
      <c r="BR16">
        <v>96.305000000000007</v>
      </c>
      <c r="BS16">
        <v>96.265000000000001</v>
      </c>
      <c r="BT16">
        <v>96.275000000000006</v>
      </c>
      <c r="BU16">
        <v>96.33</v>
      </c>
      <c r="BV16">
        <v>96.275000000000006</v>
      </c>
      <c r="BW16">
        <v>96.31</v>
      </c>
      <c r="BX16">
        <v>96.385000000000005</v>
      </c>
      <c r="BY16">
        <v>96.24</v>
      </c>
      <c r="BZ16">
        <v>96.275000000000006</v>
      </c>
      <c r="CA16">
        <v>96.284999999999997</v>
      </c>
      <c r="CB16">
        <v>96.364999999999995</v>
      </c>
      <c r="CC16">
        <v>96.394999999999996</v>
      </c>
      <c r="CD16">
        <v>96.355000000000004</v>
      </c>
      <c r="CE16">
        <v>96.284999999999997</v>
      </c>
      <c r="CF16">
        <v>96.32</v>
      </c>
      <c r="CG16">
        <v>96.254999999999995</v>
      </c>
      <c r="CH16">
        <v>96.114999999999995</v>
      </c>
      <c r="CI16">
        <v>96.08</v>
      </c>
      <c r="CJ16">
        <v>95.995000000000005</v>
      </c>
      <c r="CK16">
        <v>95.954999999999998</v>
      </c>
      <c r="CL16">
        <v>95.944999999999993</v>
      </c>
      <c r="CM16">
        <v>96.015000000000001</v>
      </c>
      <c r="CN16">
        <v>96.015000000000001</v>
      </c>
      <c r="CO16">
        <v>95.94</v>
      </c>
      <c r="CP16">
        <v>95.825000000000003</v>
      </c>
      <c r="CQ16">
        <v>95.97</v>
      </c>
      <c r="CR16">
        <v>96.015000000000001</v>
      </c>
      <c r="CS16">
        <v>96.01</v>
      </c>
      <c r="CT16">
        <v>96.07</v>
      </c>
      <c r="CU16">
        <v>96.125</v>
      </c>
      <c r="CV16">
        <v>96.025000000000006</v>
      </c>
      <c r="CW16">
        <v>95.98</v>
      </c>
      <c r="CX16">
        <v>95.954999999999998</v>
      </c>
      <c r="CY16">
        <v>96.015000000000001</v>
      </c>
      <c r="CZ16">
        <v>95.97</v>
      </c>
      <c r="DA16">
        <v>95.974999999999994</v>
      </c>
      <c r="DB16">
        <v>95.995000000000005</v>
      </c>
      <c r="DC16">
        <v>95.885000000000005</v>
      </c>
      <c r="DD16">
        <v>95.88</v>
      </c>
      <c r="DE16">
        <v>95.894999999999996</v>
      </c>
      <c r="DF16">
        <v>95.92</v>
      </c>
      <c r="DG16">
        <v>95.894999999999996</v>
      </c>
      <c r="DH16">
        <v>95.894999999999996</v>
      </c>
      <c r="DI16">
        <v>95.905000000000001</v>
      </c>
      <c r="DJ16">
        <v>95.844999999999999</v>
      </c>
      <c r="DK16">
        <v>95.68</v>
      </c>
      <c r="DL16">
        <v>95.67</v>
      </c>
      <c r="DM16">
        <v>95.71</v>
      </c>
      <c r="DN16">
        <v>95.85</v>
      </c>
      <c r="DO16">
        <v>95.83</v>
      </c>
      <c r="DP16">
        <v>95.84</v>
      </c>
      <c r="DQ16">
        <v>95.91</v>
      </c>
      <c r="DR16">
        <v>95.96</v>
      </c>
      <c r="DS16">
        <v>95.99</v>
      </c>
      <c r="DT16">
        <v>95.974999999999994</v>
      </c>
      <c r="DU16">
        <v>95.974999999999994</v>
      </c>
      <c r="DV16">
        <v>96.004999999999995</v>
      </c>
      <c r="DW16">
        <v>95.915000000000006</v>
      </c>
      <c r="DX16">
        <v>95.96</v>
      </c>
      <c r="DY16">
        <v>95.944999999999993</v>
      </c>
      <c r="DZ16">
        <v>95.944999999999993</v>
      </c>
      <c r="EA16">
        <v>95.93</v>
      </c>
      <c r="EB16">
        <v>96.015000000000001</v>
      </c>
      <c r="EC16">
        <v>95.95</v>
      </c>
      <c r="ED16">
        <v>96.055000000000007</v>
      </c>
      <c r="EE16">
        <v>96.18</v>
      </c>
      <c r="EF16">
        <v>96.165000000000006</v>
      </c>
      <c r="EG16">
        <v>96.18</v>
      </c>
      <c r="EH16">
        <v>96.254999999999995</v>
      </c>
      <c r="EI16">
        <v>96.31</v>
      </c>
      <c r="EJ16">
        <v>96.375</v>
      </c>
      <c r="EK16">
        <v>96.4</v>
      </c>
      <c r="EL16">
        <v>96.435000000000002</v>
      </c>
      <c r="EM16">
        <v>96.394999999999996</v>
      </c>
      <c r="EN16">
        <v>96.4</v>
      </c>
      <c r="EO16">
        <v>96.37</v>
      </c>
      <c r="EP16">
        <v>96.405000000000001</v>
      </c>
      <c r="EQ16">
        <v>96.41</v>
      </c>
      <c r="ER16">
        <v>96.37</v>
      </c>
      <c r="ES16">
        <v>96.37</v>
      </c>
      <c r="ET16">
        <v>96.284999999999997</v>
      </c>
      <c r="EU16">
        <v>96.33</v>
      </c>
      <c r="EV16">
        <v>96.194999999999993</v>
      </c>
      <c r="EW16">
        <v>96.174999999999997</v>
      </c>
      <c r="EX16">
        <v>96.204999999999998</v>
      </c>
      <c r="EY16">
        <v>96.23</v>
      </c>
      <c r="EZ16">
        <v>96.2</v>
      </c>
      <c r="FA16">
        <v>96.185000000000002</v>
      </c>
      <c r="FB16">
        <v>96.18</v>
      </c>
      <c r="FC16">
        <v>96.16</v>
      </c>
      <c r="FD16">
        <v>96.17</v>
      </c>
      <c r="FE16">
        <v>96.21</v>
      </c>
      <c r="FF16">
        <v>96.275000000000006</v>
      </c>
      <c r="FG16">
        <v>96.26</v>
      </c>
      <c r="FH16">
        <v>96.18</v>
      </c>
      <c r="FI16">
        <v>96.32</v>
      </c>
      <c r="FJ16">
        <v>96.305000000000007</v>
      </c>
      <c r="FK16">
        <v>96.265000000000001</v>
      </c>
      <c r="FL16">
        <v>96.31</v>
      </c>
      <c r="FM16">
        <v>96.334999999999994</v>
      </c>
      <c r="FN16">
        <v>96.355000000000004</v>
      </c>
      <c r="FO16">
        <v>96.344999999999999</v>
      </c>
      <c r="FP16">
        <v>96.394999999999996</v>
      </c>
      <c r="FQ16">
        <v>96.42</v>
      </c>
      <c r="FR16">
        <v>96.375</v>
      </c>
      <c r="FS16">
        <v>96.435000000000002</v>
      </c>
      <c r="FT16">
        <v>96.465000000000003</v>
      </c>
      <c r="FU16">
        <v>96.58</v>
      </c>
      <c r="FV16">
        <v>96.555000000000007</v>
      </c>
      <c r="FW16">
        <v>96.625</v>
      </c>
      <c r="FX16">
        <v>96.61</v>
      </c>
      <c r="FY16">
        <v>96.53</v>
      </c>
      <c r="FZ16">
        <v>96.58</v>
      </c>
      <c r="GA16">
        <v>96.55</v>
      </c>
      <c r="GB16">
        <v>96.575000000000003</v>
      </c>
      <c r="GC16">
        <v>96.61</v>
      </c>
      <c r="GD16">
        <v>96.62</v>
      </c>
      <c r="GE16">
        <v>96.66</v>
      </c>
      <c r="GF16">
        <v>96.805000000000007</v>
      </c>
      <c r="GG16">
        <v>96.88</v>
      </c>
      <c r="GH16">
        <v>96.915000000000006</v>
      </c>
      <c r="GI16">
        <v>96.844999999999999</v>
      </c>
      <c r="GJ16">
        <v>96.89</v>
      </c>
      <c r="GK16">
        <v>96.85</v>
      </c>
      <c r="GL16">
        <v>96.855000000000004</v>
      </c>
      <c r="GM16">
        <v>96.9</v>
      </c>
      <c r="GN16">
        <v>96.89</v>
      </c>
      <c r="GO16">
        <v>96.91</v>
      </c>
      <c r="GP16">
        <v>96.905000000000001</v>
      </c>
      <c r="GQ16">
        <v>96.96</v>
      </c>
      <c r="GR16">
        <v>97.045000000000002</v>
      </c>
      <c r="GS16">
        <v>97.06</v>
      </c>
      <c r="GT16">
        <v>97.06</v>
      </c>
      <c r="GU16">
        <v>97.05</v>
      </c>
      <c r="GV16">
        <v>97.084999999999994</v>
      </c>
      <c r="GW16">
        <v>97.09</v>
      </c>
      <c r="GX16">
        <v>97.03</v>
      </c>
      <c r="GY16">
        <v>97.015000000000001</v>
      </c>
      <c r="GZ16">
        <v>96.984999999999999</v>
      </c>
      <c r="HA16">
        <v>96.96</v>
      </c>
      <c r="HB16">
        <v>96.89</v>
      </c>
      <c r="HC16">
        <v>96.814999999999998</v>
      </c>
      <c r="HD16">
        <v>96.814999999999998</v>
      </c>
      <c r="HE16">
        <v>96.864999999999995</v>
      </c>
      <c r="HF16">
        <v>96.89</v>
      </c>
      <c r="HG16">
        <v>96.894999999999996</v>
      </c>
      <c r="HH16">
        <v>96.9</v>
      </c>
      <c r="HI16">
        <v>96.9</v>
      </c>
      <c r="HJ16">
        <v>96.83</v>
      </c>
      <c r="HK16">
        <v>96.915000000000006</v>
      </c>
      <c r="HL16">
        <v>96.875</v>
      </c>
      <c r="HM16">
        <v>96.814999999999998</v>
      </c>
      <c r="HN16">
        <v>96.795000000000002</v>
      </c>
      <c r="HO16">
        <v>96.77</v>
      </c>
      <c r="HP16">
        <v>96.894999999999996</v>
      </c>
      <c r="HQ16">
        <v>96.864999999999995</v>
      </c>
      <c r="HR16">
        <v>96.814999999999998</v>
      </c>
      <c r="HS16">
        <v>96.76</v>
      </c>
      <c r="HT16">
        <v>96.715000000000003</v>
      </c>
      <c r="HU16">
        <v>96.74</v>
      </c>
      <c r="HV16">
        <v>96.82</v>
      </c>
      <c r="HW16">
        <v>96.905000000000001</v>
      </c>
      <c r="HX16">
        <v>96.93</v>
      </c>
      <c r="HY16">
        <v>96.745000000000005</v>
      </c>
      <c r="HZ16">
        <v>96.62</v>
      </c>
      <c r="IA16">
        <v>96.59</v>
      </c>
      <c r="IB16">
        <v>96.555000000000007</v>
      </c>
      <c r="IC16">
        <v>96.54</v>
      </c>
      <c r="ID16">
        <v>96.474999999999994</v>
      </c>
      <c r="IE16">
        <v>96.454999999999998</v>
      </c>
      <c r="IF16">
        <v>96.474999999999994</v>
      </c>
      <c r="IG16">
        <v>96.454999999999998</v>
      </c>
      <c r="IH16">
        <v>96.46</v>
      </c>
      <c r="II16">
        <v>96.52</v>
      </c>
      <c r="IJ16">
        <v>96.57</v>
      </c>
      <c r="IK16">
        <v>96.54</v>
      </c>
      <c r="IL16">
        <v>96.49</v>
      </c>
      <c r="IM16">
        <v>96.525000000000006</v>
      </c>
      <c r="IN16">
        <v>96.525000000000006</v>
      </c>
      <c r="IO16">
        <v>96.415000000000006</v>
      </c>
      <c r="IP16">
        <v>96.394999999999996</v>
      </c>
      <c r="IQ16">
        <v>96.42</v>
      </c>
      <c r="IR16">
        <v>96.42</v>
      </c>
      <c r="IS16">
        <v>96.334999999999994</v>
      </c>
      <c r="IT16">
        <v>96.334999999999994</v>
      </c>
      <c r="IU16">
        <v>96.23</v>
      </c>
      <c r="IV16">
        <v>96.174999999999997</v>
      </c>
      <c r="IW16">
        <v>96.334999999999994</v>
      </c>
      <c r="IX16">
        <v>96.37</v>
      </c>
      <c r="IY16">
        <v>96.34</v>
      </c>
      <c r="IZ16">
        <v>96.43</v>
      </c>
      <c r="JA16">
        <v>96.424999999999997</v>
      </c>
      <c r="JB16">
        <v>96.41</v>
      </c>
      <c r="JC16">
        <v>96.41</v>
      </c>
      <c r="JD16">
        <v>96.444999999999993</v>
      </c>
      <c r="JE16">
        <v>96.444999999999993</v>
      </c>
      <c r="JF16">
        <v>96.37</v>
      </c>
      <c r="JG16">
        <v>96.45</v>
      </c>
      <c r="JH16">
        <v>96.42</v>
      </c>
      <c r="JI16">
        <v>96.344999999999999</v>
      </c>
      <c r="JJ16">
        <v>96.224999999999994</v>
      </c>
      <c r="JK16">
        <v>96.15</v>
      </c>
      <c r="JL16">
        <v>96.2</v>
      </c>
      <c r="JM16">
        <v>96.355000000000004</v>
      </c>
      <c r="JN16">
        <v>96.34</v>
      </c>
      <c r="JO16">
        <v>96.3</v>
      </c>
      <c r="JP16">
        <v>96.215000000000003</v>
      </c>
      <c r="JQ16">
        <v>96.094999999999999</v>
      </c>
      <c r="JR16">
        <v>96.045000000000002</v>
      </c>
      <c r="JS16">
        <v>95.965000000000003</v>
      </c>
      <c r="JT16">
        <v>96.05</v>
      </c>
      <c r="JU16">
        <v>96.12</v>
      </c>
      <c r="JV16">
        <v>96.12</v>
      </c>
      <c r="JW16">
        <v>96.12</v>
      </c>
      <c r="JX16">
        <v>96.174999999999997</v>
      </c>
      <c r="JY16">
        <v>96.2</v>
      </c>
      <c r="JZ16">
        <v>96.174999999999997</v>
      </c>
      <c r="KA16">
        <v>96.18</v>
      </c>
      <c r="KB16">
        <v>96.23</v>
      </c>
      <c r="KC16">
        <v>96.265000000000001</v>
      </c>
      <c r="KD16">
        <v>96.155000000000001</v>
      </c>
      <c r="KE16">
        <v>96.11</v>
      </c>
      <c r="KF16">
        <v>96.08</v>
      </c>
      <c r="KG16">
        <v>96.13</v>
      </c>
      <c r="KH16">
        <v>96.094999999999999</v>
      </c>
      <c r="KI16">
        <v>96.14</v>
      </c>
      <c r="KJ16">
        <v>96.114999999999995</v>
      </c>
      <c r="KK16">
        <v>96.105000000000004</v>
      </c>
      <c r="KL16">
        <v>96.01</v>
      </c>
      <c r="KM16">
        <v>95.98</v>
      </c>
      <c r="KN16">
        <v>95.875</v>
      </c>
      <c r="KO16">
        <v>95.954999999999998</v>
      </c>
      <c r="KP16">
        <v>95.89</v>
      </c>
      <c r="KQ16">
        <v>95.844999999999999</v>
      </c>
      <c r="KR16">
        <v>95.91</v>
      </c>
      <c r="KS16">
        <v>95.97</v>
      </c>
      <c r="KT16">
        <v>95.94</v>
      </c>
      <c r="KU16">
        <v>95.944999999999993</v>
      </c>
      <c r="KV16">
        <v>95.915000000000006</v>
      </c>
      <c r="KW16">
        <v>95.99</v>
      </c>
      <c r="KX16">
        <v>95.91</v>
      </c>
      <c r="KY16">
        <v>95.95</v>
      </c>
      <c r="KZ16">
        <v>96.094999999999999</v>
      </c>
      <c r="LA16">
        <v>96</v>
      </c>
      <c r="LB16">
        <v>96.015000000000001</v>
      </c>
      <c r="LC16">
        <v>96.23</v>
      </c>
      <c r="LD16">
        <v>96.174999999999997</v>
      </c>
      <c r="LE16">
        <v>96.245000000000005</v>
      </c>
      <c r="LF16">
        <v>96.305000000000007</v>
      </c>
      <c r="LG16">
        <v>96.265000000000001</v>
      </c>
      <c r="LH16">
        <v>96.25</v>
      </c>
      <c r="LI16">
        <v>96.275000000000006</v>
      </c>
      <c r="LJ16">
        <v>96.43</v>
      </c>
      <c r="LK16">
        <v>96.43</v>
      </c>
      <c r="LL16">
        <v>96.415000000000006</v>
      </c>
      <c r="LM16">
        <v>96.375</v>
      </c>
      <c r="LN16">
        <v>96.35</v>
      </c>
      <c r="LO16">
        <v>96.385000000000005</v>
      </c>
      <c r="LP16">
        <v>96.33</v>
      </c>
      <c r="LQ16">
        <v>96.334999999999994</v>
      </c>
      <c r="LR16">
        <v>96.305000000000007</v>
      </c>
      <c r="LS16">
        <v>96.25</v>
      </c>
      <c r="LT16">
        <v>96.29</v>
      </c>
      <c r="LU16">
        <v>96.314999999999998</v>
      </c>
      <c r="LV16">
        <v>96.46</v>
      </c>
      <c r="LW16">
        <v>96.48</v>
      </c>
      <c r="LX16">
        <v>96.545000000000002</v>
      </c>
      <c r="LY16">
        <v>96.56</v>
      </c>
      <c r="LZ16">
        <v>96.55</v>
      </c>
      <c r="MA16">
        <v>96.52</v>
      </c>
      <c r="MB16">
        <v>96.495000000000005</v>
      </c>
      <c r="MC16">
        <v>96.41</v>
      </c>
      <c r="MD16">
        <v>96.44</v>
      </c>
      <c r="ME16">
        <v>96.35</v>
      </c>
      <c r="MF16">
        <v>96.344999999999999</v>
      </c>
      <c r="MG16">
        <v>96.314999999999998</v>
      </c>
      <c r="MH16">
        <v>96.314999999999998</v>
      </c>
      <c r="MI16">
        <v>96.334999999999994</v>
      </c>
      <c r="MJ16">
        <v>96.265000000000001</v>
      </c>
      <c r="MK16">
        <v>96.275000000000006</v>
      </c>
      <c r="ML16">
        <v>96.325000000000003</v>
      </c>
      <c r="MM16">
        <v>96.284999999999997</v>
      </c>
      <c r="MN16">
        <v>96.284999999999997</v>
      </c>
      <c r="MO16">
        <v>96.35</v>
      </c>
      <c r="MP16">
        <v>96.314999999999998</v>
      </c>
      <c r="MQ16">
        <v>96.254999999999995</v>
      </c>
      <c r="MR16">
        <v>96.444999999999993</v>
      </c>
      <c r="MS16">
        <v>96.41</v>
      </c>
      <c r="MT16">
        <v>96.44</v>
      </c>
      <c r="MU16">
        <v>96.525000000000006</v>
      </c>
      <c r="MV16">
        <v>96.55</v>
      </c>
      <c r="MW16">
        <v>96.454999999999998</v>
      </c>
      <c r="MX16">
        <v>96.59</v>
      </c>
      <c r="MY16">
        <v>96.775000000000006</v>
      </c>
      <c r="MZ16">
        <v>96.685000000000002</v>
      </c>
      <c r="NA16">
        <v>96.584999999999994</v>
      </c>
      <c r="NB16">
        <v>96.564999999999998</v>
      </c>
      <c r="NC16">
        <v>96.484999999999999</v>
      </c>
      <c r="ND16">
        <v>96.515000000000001</v>
      </c>
      <c r="NE16">
        <v>96.465000000000003</v>
      </c>
      <c r="NF16">
        <v>96.51</v>
      </c>
      <c r="NG16">
        <v>96.555000000000007</v>
      </c>
      <c r="NH16">
        <v>96.484999999999999</v>
      </c>
      <c r="NI16">
        <v>96.495000000000005</v>
      </c>
      <c r="NJ16">
        <v>96.545000000000002</v>
      </c>
      <c r="NK16">
        <v>96.605000000000004</v>
      </c>
      <c r="NL16">
        <v>96.724999999999994</v>
      </c>
      <c r="NM16">
        <v>96.724999999999994</v>
      </c>
      <c r="NN16">
        <v>96.704999999999998</v>
      </c>
      <c r="NO16">
        <v>96.625</v>
      </c>
      <c r="NP16">
        <v>96.635000000000005</v>
      </c>
      <c r="NQ16">
        <v>96.65</v>
      </c>
      <c r="NR16">
        <v>96.63</v>
      </c>
      <c r="NS16">
        <v>96.674999999999997</v>
      </c>
      <c r="NT16">
        <v>96.784999999999997</v>
      </c>
      <c r="NU16">
        <v>96.75</v>
      </c>
      <c r="NV16">
        <v>96.844999999999999</v>
      </c>
      <c r="NW16">
        <v>96.844999999999999</v>
      </c>
      <c r="NX16">
        <v>96.834999999999994</v>
      </c>
      <c r="NY16">
        <v>96.885000000000005</v>
      </c>
      <c r="NZ16">
        <v>96.784999999999997</v>
      </c>
      <c r="OA16">
        <v>96.76</v>
      </c>
      <c r="OB16">
        <v>96.76</v>
      </c>
      <c r="OC16">
        <v>96.775000000000006</v>
      </c>
      <c r="OD16">
        <v>96.78</v>
      </c>
      <c r="OE16">
        <v>96.73</v>
      </c>
      <c r="OF16">
        <v>96.71</v>
      </c>
      <c r="OG16">
        <v>96.74</v>
      </c>
      <c r="OH16">
        <v>96.73</v>
      </c>
      <c r="OI16">
        <v>96.635000000000005</v>
      </c>
      <c r="OJ16">
        <v>96.47</v>
      </c>
      <c r="OK16">
        <v>96.42</v>
      </c>
      <c r="OL16">
        <v>96.435000000000002</v>
      </c>
      <c r="OM16">
        <v>96.575000000000003</v>
      </c>
      <c r="ON16">
        <v>96.575000000000003</v>
      </c>
      <c r="OO16">
        <v>96.534999999999997</v>
      </c>
      <c r="OP16">
        <v>96.424999999999997</v>
      </c>
      <c r="OQ16">
        <v>96.48</v>
      </c>
      <c r="OR16">
        <v>96.36</v>
      </c>
      <c r="OS16">
        <v>96.444999999999993</v>
      </c>
      <c r="OT16">
        <v>96.405000000000001</v>
      </c>
      <c r="OU16">
        <v>96.29</v>
      </c>
      <c r="OV16">
        <v>96.18</v>
      </c>
      <c r="OW16">
        <v>96.24</v>
      </c>
      <c r="OX16">
        <v>96.24</v>
      </c>
      <c r="OY16">
        <v>96.265000000000001</v>
      </c>
      <c r="OZ16">
        <v>96.25</v>
      </c>
      <c r="PA16">
        <v>96.215000000000003</v>
      </c>
      <c r="PB16">
        <v>96.23</v>
      </c>
      <c r="PC16">
        <v>96.114999999999995</v>
      </c>
      <c r="PD16">
        <v>96.22</v>
      </c>
      <c r="PE16">
        <v>95.98</v>
      </c>
      <c r="PF16">
        <v>95.99</v>
      </c>
      <c r="PG16">
        <v>96.02</v>
      </c>
      <c r="PH16">
        <v>96.14</v>
      </c>
      <c r="PI16">
        <v>96.11</v>
      </c>
      <c r="PJ16">
        <v>96.02</v>
      </c>
      <c r="PK16">
        <v>96.14</v>
      </c>
      <c r="PL16">
        <v>95.984999999999999</v>
      </c>
      <c r="PM16">
        <v>95.89</v>
      </c>
      <c r="PN16">
        <v>95.784999999999997</v>
      </c>
      <c r="PO16">
        <v>95.79</v>
      </c>
      <c r="PP16">
        <v>95.8</v>
      </c>
      <c r="PQ16">
        <v>95.77</v>
      </c>
      <c r="PR16">
        <v>95.63</v>
      </c>
      <c r="PS16">
        <v>95.745000000000005</v>
      </c>
      <c r="PT16">
        <v>95.77</v>
      </c>
      <c r="PU16">
        <v>95.665000000000006</v>
      </c>
      <c r="PV16">
        <v>95.55</v>
      </c>
      <c r="PW16">
        <v>95.65</v>
      </c>
      <c r="PX16">
        <v>95.73</v>
      </c>
      <c r="PY16">
        <v>95.905000000000001</v>
      </c>
      <c r="PZ16">
        <v>95.995000000000005</v>
      </c>
      <c r="QA16">
        <v>95.91</v>
      </c>
      <c r="QB16">
        <v>96.015000000000001</v>
      </c>
      <c r="QC16">
        <v>95.98</v>
      </c>
      <c r="QD16">
        <v>96.015000000000001</v>
      </c>
      <c r="QE16">
        <v>95.844999999999999</v>
      </c>
      <c r="QF16">
        <v>95.91</v>
      </c>
      <c r="QG16">
        <v>95.864999999999995</v>
      </c>
      <c r="QH16">
        <v>95.805000000000007</v>
      </c>
      <c r="QI16">
        <v>95.93</v>
      </c>
      <c r="QJ16">
        <v>96.055000000000007</v>
      </c>
      <c r="QK16">
        <v>96</v>
      </c>
      <c r="QL16">
        <v>95.965000000000003</v>
      </c>
      <c r="QM16">
        <v>96.045000000000002</v>
      </c>
      <c r="QN16">
        <v>96.05</v>
      </c>
      <c r="QO16">
        <v>96.12</v>
      </c>
      <c r="QP16">
        <v>96.064999999999998</v>
      </c>
      <c r="QQ16">
        <v>96.204999999999998</v>
      </c>
      <c r="QR16">
        <v>96.16</v>
      </c>
      <c r="QS16">
        <v>96.23</v>
      </c>
      <c r="QT16">
        <v>96.234999999999999</v>
      </c>
      <c r="QU16">
        <v>96.27</v>
      </c>
      <c r="QV16">
        <v>96.295000000000002</v>
      </c>
      <c r="QW16">
        <v>96.265000000000001</v>
      </c>
      <c r="QX16">
        <v>96.265000000000001</v>
      </c>
      <c r="QY16">
        <v>96.28</v>
      </c>
      <c r="QZ16">
        <v>96.29</v>
      </c>
      <c r="RA16">
        <v>96.25</v>
      </c>
      <c r="RB16">
        <v>96.33</v>
      </c>
      <c r="RC16">
        <v>96.4</v>
      </c>
      <c r="RD16">
        <v>96.4</v>
      </c>
      <c r="RE16">
        <v>96.46</v>
      </c>
      <c r="RF16">
        <v>96.43</v>
      </c>
      <c r="RG16">
        <v>96.415000000000006</v>
      </c>
      <c r="RH16">
        <v>96.295000000000002</v>
      </c>
      <c r="RI16">
        <v>96.25</v>
      </c>
      <c r="RJ16">
        <v>96.254999999999995</v>
      </c>
      <c r="RK16">
        <v>96.28</v>
      </c>
      <c r="RL16">
        <v>96.14</v>
      </c>
      <c r="RM16">
        <v>96.15</v>
      </c>
      <c r="RN16">
        <v>96.245000000000005</v>
      </c>
      <c r="RO16">
        <v>96.17</v>
      </c>
      <c r="RP16">
        <v>96.25</v>
      </c>
      <c r="RQ16">
        <v>96.29</v>
      </c>
      <c r="RR16">
        <v>96.34</v>
      </c>
      <c r="RS16">
        <v>96.375</v>
      </c>
      <c r="RT16">
        <v>96.504999999999995</v>
      </c>
      <c r="RU16">
        <v>96.605000000000004</v>
      </c>
      <c r="RV16">
        <v>96.614999999999995</v>
      </c>
      <c r="RW16">
        <v>96.564999999999998</v>
      </c>
      <c r="RX16">
        <v>96.54</v>
      </c>
      <c r="RY16">
        <v>96.385000000000005</v>
      </c>
      <c r="RZ16">
        <v>96.484999999999999</v>
      </c>
      <c r="SA16">
        <v>96.49</v>
      </c>
      <c r="SB16">
        <v>96.58</v>
      </c>
      <c r="SC16">
        <v>96.564999999999998</v>
      </c>
      <c r="SD16">
        <v>96.504999999999995</v>
      </c>
      <c r="SE16">
        <v>96.69</v>
      </c>
      <c r="SF16">
        <v>96.57</v>
      </c>
      <c r="SG16">
        <v>96.65</v>
      </c>
      <c r="SH16">
        <v>96.68</v>
      </c>
      <c r="SI16">
        <v>96.685000000000002</v>
      </c>
      <c r="SJ16">
        <v>96.85</v>
      </c>
      <c r="SK16">
        <v>96.805000000000007</v>
      </c>
      <c r="SL16">
        <v>96.775000000000006</v>
      </c>
      <c r="SM16">
        <v>96.73</v>
      </c>
      <c r="SN16">
        <v>96.81</v>
      </c>
      <c r="SO16">
        <v>96.69</v>
      </c>
      <c r="SP16">
        <v>96.504999999999995</v>
      </c>
      <c r="SQ16">
        <v>96.46</v>
      </c>
      <c r="SR16">
        <v>96.344999999999999</v>
      </c>
      <c r="SS16">
        <v>96.344999999999999</v>
      </c>
      <c r="ST16">
        <v>96.51</v>
      </c>
      <c r="SU16">
        <v>96.605000000000004</v>
      </c>
      <c r="SV16">
        <v>96.605000000000004</v>
      </c>
      <c r="SW16">
        <v>96.67</v>
      </c>
      <c r="SX16">
        <v>96.665000000000006</v>
      </c>
      <c r="SY16">
        <v>96.834999999999994</v>
      </c>
      <c r="SZ16">
        <v>96.77</v>
      </c>
      <c r="TA16">
        <v>96.825000000000003</v>
      </c>
      <c r="TB16">
        <v>96.784999999999997</v>
      </c>
      <c r="TC16">
        <v>96.745000000000005</v>
      </c>
      <c r="TD16">
        <v>96.825000000000003</v>
      </c>
      <c r="TE16">
        <v>96.81</v>
      </c>
      <c r="TF16">
        <v>96.775000000000006</v>
      </c>
      <c r="TG16">
        <v>96.775000000000006</v>
      </c>
      <c r="TH16">
        <v>96.85</v>
      </c>
      <c r="TI16">
        <v>96.754999999999995</v>
      </c>
      <c r="TJ16">
        <v>96.73</v>
      </c>
      <c r="TK16">
        <v>96.844999999999999</v>
      </c>
      <c r="TL16">
        <v>96.83</v>
      </c>
      <c r="TM16">
        <v>96.885000000000005</v>
      </c>
      <c r="TN16">
        <v>96.805000000000007</v>
      </c>
      <c r="TO16">
        <v>96.885000000000005</v>
      </c>
      <c r="TP16">
        <v>96.885000000000005</v>
      </c>
      <c r="TQ16">
        <v>96.86</v>
      </c>
      <c r="TR16">
        <v>97</v>
      </c>
      <c r="TS16">
        <v>96.96</v>
      </c>
      <c r="TT16">
        <v>96.875</v>
      </c>
      <c r="TU16">
        <v>96.704999999999998</v>
      </c>
      <c r="TV16">
        <v>96.704999999999998</v>
      </c>
      <c r="TW16">
        <v>96.76</v>
      </c>
      <c r="TX16">
        <v>96.88</v>
      </c>
      <c r="TY16">
        <v>96.9</v>
      </c>
      <c r="TZ16">
        <v>96.88</v>
      </c>
      <c r="UA16">
        <v>96.91</v>
      </c>
      <c r="UB16">
        <v>96.984999999999999</v>
      </c>
      <c r="UC16">
        <v>97.08</v>
      </c>
      <c r="UD16">
        <v>97.135000000000005</v>
      </c>
      <c r="UE16">
        <v>97.18</v>
      </c>
      <c r="UF16">
        <v>97.185000000000002</v>
      </c>
      <c r="UG16">
        <v>97.27</v>
      </c>
      <c r="UH16">
        <v>97.234999999999999</v>
      </c>
      <c r="UI16">
        <v>97.135000000000005</v>
      </c>
      <c r="UJ16">
        <v>97.12</v>
      </c>
      <c r="UK16">
        <v>97.174999999999997</v>
      </c>
      <c r="UL16">
        <v>97.295000000000002</v>
      </c>
      <c r="UM16">
        <v>97.21</v>
      </c>
      <c r="UN16">
        <v>97.174999999999997</v>
      </c>
      <c r="UO16">
        <v>97.015000000000001</v>
      </c>
      <c r="UP16">
        <v>97.114999999999995</v>
      </c>
      <c r="UQ16">
        <v>97.05</v>
      </c>
      <c r="UR16">
        <v>97.165000000000006</v>
      </c>
      <c r="US16">
        <v>97.204999999999998</v>
      </c>
      <c r="UT16">
        <v>97.064999999999998</v>
      </c>
      <c r="UU16">
        <v>97</v>
      </c>
      <c r="UV16">
        <v>97.034999999999997</v>
      </c>
      <c r="UW16">
        <v>96.96</v>
      </c>
      <c r="UX16">
        <v>96.98</v>
      </c>
      <c r="UY16">
        <v>96.96</v>
      </c>
      <c r="UZ16">
        <v>97.03</v>
      </c>
      <c r="VA16">
        <v>97.13</v>
      </c>
      <c r="VB16">
        <v>97.174999999999997</v>
      </c>
      <c r="VC16">
        <v>97.11</v>
      </c>
      <c r="VD16">
        <v>97.135000000000005</v>
      </c>
      <c r="VE16">
        <v>97.174999999999997</v>
      </c>
      <c r="VF16">
        <v>97.28</v>
      </c>
      <c r="VG16">
        <v>97.265000000000001</v>
      </c>
      <c r="VH16">
        <v>97.254999999999995</v>
      </c>
      <c r="VI16">
        <v>97.135000000000005</v>
      </c>
      <c r="VJ16">
        <v>97.064999999999998</v>
      </c>
      <c r="VK16">
        <v>96.995000000000005</v>
      </c>
      <c r="VL16">
        <v>96.944999999999993</v>
      </c>
      <c r="VM16">
        <v>96.935000000000002</v>
      </c>
      <c r="VN16">
        <v>96.98</v>
      </c>
      <c r="VO16">
        <v>97.105000000000004</v>
      </c>
      <c r="VP16">
        <v>97.094999999999999</v>
      </c>
      <c r="VQ16">
        <v>96.95</v>
      </c>
      <c r="VR16">
        <v>96.775000000000006</v>
      </c>
      <c r="VS16">
        <v>96.855000000000004</v>
      </c>
      <c r="VT16">
        <v>96.95</v>
      </c>
      <c r="VU16">
        <v>96.724999999999994</v>
      </c>
      <c r="VV16">
        <v>96.825000000000003</v>
      </c>
      <c r="VW16">
        <v>96.715000000000003</v>
      </c>
      <c r="VX16">
        <v>96.844999999999999</v>
      </c>
      <c r="VY16">
        <v>96.82</v>
      </c>
      <c r="VZ16">
        <v>96.63</v>
      </c>
      <c r="WA16">
        <v>96.54</v>
      </c>
      <c r="WB16">
        <v>96.55</v>
      </c>
      <c r="WC16">
        <v>96.53</v>
      </c>
      <c r="WD16">
        <v>96.52</v>
      </c>
      <c r="WE16">
        <v>96.435000000000002</v>
      </c>
      <c r="WF16">
        <v>96.53</v>
      </c>
      <c r="WG16">
        <v>96.64</v>
      </c>
      <c r="WH16">
        <v>96.635000000000005</v>
      </c>
      <c r="WI16">
        <v>96.564999999999998</v>
      </c>
      <c r="WJ16">
        <v>96.67</v>
      </c>
      <c r="WK16">
        <v>96.625</v>
      </c>
      <c r="WL16">
        <v>96.61</v>
      </c>
      <c r="WM16">
        <v>96.765000000000001</v>
      </c>
      <c r="WN16">
        <v>96.765000000000001</v>
      </c>
      <c r="WO16">
        <v>96.74</v>
      </c>
      <c r="WP16">
        <v>96.765000000000001</v>
      </c>
      <c r="WQ16">
        <v>96.814999999999998</v>
      </c>
      <c r="WR16">
        <v>96.89</v>
      </c>
      <c r="WS16">
        <v>96.894999999999996</v>
      </c>
      <c r="WT16">
        <v>96.94</v>
      </c>
      <c r="WU16">
        <v>97.004999999999995</v>
      </c>
      <c r="WV16">
        <v>96.974999999999994</v>
      </c>
      <c r="WW16">
        <v>96.995000000000005</v>
      </c>
      <c r="WX16">
        <v>97.11</v>
      </c>
      <c r="WY16">
        <v>97.29</v>
      </c>
      <c r="WZ16">
        <v>97.3</v>
      </c>
      <c r="XA16">
        <v>97.15</v>
      </c>
      <c r="XB16">
        <v>97.08</v>
      </c>
      <c r="XC16">
        <v>97.144999999999996</v>
      </c>
      <c r="XD16">
        <v>97.194999999999993</v>
      </c>
      <c r="XE16">
        <v>97.24</v>
      </c>
      <c r="XF16">
        <v>97.24</v>
      </c>
      <c r="XG16">
        <v>97.18</v>
      </c>
      <c r="XH16">
        <v>97.234999999999999</v>
      </c>
      <c r="XI16">
        <v>97.34</v>
      </c>
      <c r="XJ16">
        <v>97.39</v>
      </c>
      <c r="XK16">
        <v>97.215000000000003</v>
      </c>
      <c r="XL16">
        <v>97.22</v>
      </c>
      <c r="XM16">
        <v>97.22</v>
      </c>
      <c r="XN16">
        <v>97.275000000000006</v>
      </c>
      <c r="XO16">
        <v>97.15</v>
      </c>
      <c r="XP16">
        <v>97.084999999999994</v>
      </c>
      <c r="XQ16">
        <v>97.185000000000002</v>
      </c>
      <c r="XR16">
        <v>97.14</v>
      </c>
      <c r="XS16">
        <v>96.94</v>
      </c>
      <c r="XT16">
        <v>96.95</v>
      </c>
      <c r="XU16">
        <v>96.85</v>
      </c>
      <c r="XV16">
        <v>96.81</v>
      </c>
      <c r="XW16">
        <v>96.81</v>
      </c>
      <c r="XX16">
        <v>96.77</v>
      </c>
      <c r="XY16">
        <v>96.745000000000005</v>
      </c>
      <c r="XZ16">
        <v>96.79</v>
      </c>
      <c r="YA16">
        <v>96.875</v>
      </c>
      <c r="YB16">
        <v>96.875</v>
      </c>
      <c r="YC16">
        <v>96.95</v>
      </c>
      <c r="YD16">
        <v>96.954999999999998</v>
      </c>
      <c r="YE16">
        <v>97.01</v>
      </c>
      <c r="YF16">
        <v>97.094999999999999</v>
      </c>
      <c r="YG16">
        <v>97.174999999999997</v>
      </c>
      <c r="YH16">
        <v>97.19</v>
      </c>
      <c r="YI16">
        <v>97.15</v>
      </c>
      <c r="YJ16">
        <v>97.14</v>
      </c>
      <c r="YK16">
        <v>97.034999999999997</v>
      </c>
      <c r="YL16">
        <v>97.084999999999994</v>
      </c>
      <c r="YM16">
        <v>97.16</v>
      </c>
      <c r="YN16">
        <v>97.28</v>
      </c>
      <c r="YO16">
        <v>97.174999999999997</v>
      </c>
      <c r="YP16">
        <v>97.105000000000004</v>
      </c>
      <c r="YQ16">
        <v>97.24</v>
      </c>
      <c r="YR16">
        <v>97.17</v>
      </c>
      <c r="YS16">
        <v>97.004999999999995</v>
      </c>
      <c r="YT16">
        <v>96.915000000000006</v>
      </c>
      <c r="YU16">
        <v>96.924999999999997</v>
      </c>
      <c r="YV16">
        <v>96.92</v>
      </c>
      <c r="YW16">
        <v>96.9</v>
      </c>
      <c r="YX16">
        <v>96.9</v>
      </c>
      <c r="YY16">
        <v>96.86</v>
      </c>
      <c r="YZ16">
        <v>96.78</v>
      </c>
      <c r="ZA16">
        <v>96.805000000000007</v>
      </c>
      <c r="ZB16">
        <v>96.885000000000005</v>
      </c>
      <c r="ZC16">
        <v>96.96</v>
      </c>
      <c r="ZD16">
        <v>96.844999999999999</v>
      </c>
      <c r="ZE16">
        <v>96.754999999999995</v>
      </c>
      <c r="ZF16">
        <v>96.8</v>
      </c>
      <c r="ZG16">
        <v>96.76</v>
      </c>
      <c r="ZH16">
        <v>96.415000000000006</v>
      </c>
      <c r="ZI16">
        <v>96.37</v>
      </c>
      <c r="ZJ16">
        <v>96.284999999999997</v>
      </c>
      <c r="ZK16">
        <v>96.31</v>
      </c>
      <c r="ZL16">
        <v>96.305000000000007</v>
      </c>
      <c r="ZM16">
        <v>96.364999999999995</v>
      </c>
      <c r="ZN16">
        <v>96.355000000000004</v>
      </c>
      <c r="ZO16">
        <v>96.364999999999995</v>
      </c>
      <c r="ZP16">
        <v>96.4</v>
      </c>
      <c r="ZQ16">
        <v>96.525000000000006</v>
      </c>
      <c r="ZR16">
        <v>96.43</v>
      </c>
      <c r="ZS16">
        <v>96.35</v>
      </c>
      <c r="ZT16">
        <v>96.234999999999999</v>
      </c>
      <c r="ZU16">
        <v>96.24</v>
      </c>
      <c r="ZV16">
        <v>96.16</v>
      </c>
      <c r="ZW16">
        <v>96.295000000000002</v>
      </c>
      <c r="ZX16">
        <v>96.45</v>
      </c>
      <c r="ZY16">
        <v>96.435000000000002</v>
      </c>
      <c r="ZZ16">
        <v>96.405000000000001</v>
      </c>
      <c r="AAA16">
        <v>96.45</v>
      </c>
      <c r="AAB16">
        <v>96.45</v>
      </c>
      <c r="AAC16">
        <v>96.39</v>
      </c>
      <c r="AAD16">
        <v>96.39</v>
      </c>
      <c r="AAE16">
        <v>96.44</v>
      </c>
      <c r="AAF16">
        <v>96.5</v>
      </c>
      <c r="AAG16">
        <v>96.564999999999998</v>
      </c>
      <c r="AAH16">
        <v>96.745000000000005</v>
      </c>
      <c r="AAI16">
        <v>96.63</v>
      </c>
      <c r="AAJ16">
        <v>96.454999999999998</v>
      </c>
      <c r="AAK16">
        <v>96.54</v>
      </c>
      <c r="AAL16">
        <v>96.58</v>
      </c>
      <c r="AAM16">
        <v>96.325000000000003</v>
      </c>
      <c r="AAN16">
        <v>96.375</v>
      </c>
      <c r="AAO16">
        <v>96.605000000000004</v>
      </c>
      <c r="AAP16">
        <v>96.64</v>
      </c>
      <c r="AAQ16">
        <v>96.855000000000004</v>
      </c>
      <c r="AAR16">
        <v>96.76</v>
      </c>
      <c r="AAS16">
        <v>96.844999999999999</v>
      </c>
      <c r="AAT16">
        <v>96.915000000000006</v>
      </c>
      <c r="AAU16">
        <v>96.87</v>
      </c>
      <c r="AAV16">
        <v>96.94</v>
      </c>
      <c r="AAW16">
        <v>96.93</v>
      </c>
      <c r="AAX16">
        <v>97.015000000000001</v>
      </c>
      <c r="AAY16">
        <v>97.03</v>
      </c>
      <c r="AAZ16">
        <v>97.075000000000003</v>
      </c>
      <c r="ABA16">
        <v>97.1</v>
      </c>
      <c r="ABB16">
        <v>96.995000000000005</v>
      </c>
      <c r="ABC16">
        <v>97.14</v>
      </c>
      <c r="ABD16">
        <v>97.14</v>
      </c>
      <c r="ABE16">
        <v>97.04</v>
      </c>
      <c r="ABF16">
        <v>97.174999999999997</v>
      </c>
      <c r="ABG16">
        <v>97.17</v>
      </c>
      <c r="ABH16">
        <v>97.17</v>
      </c>
      <c r="ABI16">
        <v>97.254999999999995</v>
      </c>
      <c r="ABJ16">
        <v>97.32</v>
      </c>
      <c r="ABK16">
        <v>97.27</v>
      </c>
      <c r="ABL16">
        <v>97.325000000000003</v>
      </c>
      <c r="ABM16">
        <v>97.36</v>
      </c>
      <c r="ABN16">
        <v>97.424999999999997</v>
      </c>
      <c r="ABO16">
        <v>97.534999999999997</v>
      </c>
      <c r="ABP16">
        <v>97.53</v>
      </c>
      <c r="ABQ16">
        <v>97.65</v>
      </c>
      <c r="ABR16">
        <v>97.694999999999993</v>
      </c>
      <c r="ABS16">
        <v>97.605000000000004</v>
      </c>
      <c r="ABT16">
        <v>97.584999999999994</v>
      </c>
      <c r="ABU16">
        <v>97.67</v>
      </c>
      <c r="ABV16">
        <v>97.61</v>
      </c>
      <c r="ABW16">
        <v>97.685000000000002</v>
      </c>
      <c r="ABX16">
        <v>97.584999999999994</v>
      </c>
      <c r="ABY16">
        <v>97.78</v>
      </c>
      <c r="ABZ16">
        <v>97.66</v>
      </c>
      <c r="ACA16">
        <v>97.665000000000006</v>
      </c>
      <c r="ACB16">
        <v>97.89</v>
      </c>
      <c r="ACC16">
        <v>97.85</v>
      </c>
      <c r="ACD16">
        <v>97.82</v>
      </c>
      <c r="ACE16">
        <v>97.74</v>
      </c>
      <c r="ACF16">
        <v>97.65</v>
      </c>
      <c r="ACG16">
        <v>97.635000000000005</v>
      </c>
      <c r="ACH16">
        <v>97.644999999999996</v>
      </c>
      <c r="ACI16">
        <v>97.51</v>
      </c>
      <c r="ACJ16">
        <v>97.334999999999994</v>
      </c>
      <c r="ACK16">
        <v>97.37</v>
      </c>
      <c r="ACL16">
        <v>97.44</v>
      </c>
      <c r="ACM16">
        <v>97.465000000000003</v>
      </c>
      <c r="ACN16">
        <v>97.45</v>
      </c>
      <c r="ACO16">
        <v>97.5</v>
      </c>
      <c r="ACP16">
        <v>97.43</v>
      </c>
      <c r="ACQ16">
        <v>97.39</v>
      </c>
      <c r="ACR16">
        <v>97.27</v>
      </c>
      <c r="ACS16">
        <v>97.355000000000004</v>
      </c>
      <c r="ACT16">
        <v>97.454999999999998</v>
      </c>
      <c r="ACU16">
        <v>97.594999999999999</v>
      </c>
      <c r="ACV16">
        <v>97.5</v>
      </c>
      <c r="ACW16">
        <v>97.5</v>
      </c>
      <c r="ACX16">
        <v>97.394999999999996</v>
      </c>
      <c r="ACY16">
        <v>97.22</v>
      </c>
      <c r="ACZ16">
        <v>97.09</v>
      </c>
      <c r="ADA16">
        <v>97.1</v>
      </c>
      <c r="ADB16">
        <v>97.18</v>
      </c>
      <c r="ADC16">
        <v>97.254999999999995</v>
      </c>
      <c r="ADD16">
        <v>97.15</v>
      </c>
      <c r="ADE16">
        <v>96.995000000000005</v>
      </c>
      <c r="ADF16">
        <v>97.025000000000006</v>
      </c>
      <c r="ADG16">
        <v>97.025000000000006</v>
      </c>
      <c r="ADH16">
        <v>96.99</v>
      </c>
      <c r="ADI16">
        <v>96.86</v>
      </c>
      <c r="ADJ16">
        <v>96.72</v>
      </c>
      <c r="ADK16">
        <v>96.805000000000007</v>
      </c>
      <c r="ADL16">
        <v>97.02</v>
      </c>
      <c r="ADM16">
        <v>97.165000000000006</v>
      </c>
      <c r="ADN16">
        <v>97.194999999999993</v>
      </c>
      <c r="ADO16">
        <v>97.23</v>
      </c>
      <c r="ADP16">
        <v>97.165000000000006</v>
      </c>
      <c r="ADQ16">
        <v>97.275000000000006</v>
      </c>
      <c r="ADR16">
        <v>97.33</v>
      </c>
      <c r="ADS16">
        <v>97.29</v>
      </c>
      <c r="ADT16">
        <v>97.415000000000006</v>
      </c>
      <c r="ADU16">
        <v>97.48</v>
      </c>
      <c r="ADV16">
        <v>97.48</v>
      </c>
      <c r="ADW16">
        <v>97.495000000000005</v>
      </c>
      <c r="ADX16">
        <v>97.515000000000001</v>
      </c>
      <c r="ADY16">
        <v>97.48</v>
      </c>
      <c r="ADZ16">
        <v>97.355000000000004</v>
      </c>
      <c r="AEA16">
        <v>97.435000000000002</v>
      </c>
      <c r="AEB16">
        <v>97.364999999999995</v>
      </c>
      <c r="AEC16">
        <v>97.325000000000003</v>
      </c>
      <c r="AED16">
        <v>97.26</v>
      </c>
      <c r="AEE16">
        <v>97.39</v>
      </c>
      <c r="AEF16">
        <v>97.275000000000006</v>
      </c>
      <c r="AEG16">
        <v>97.38</v>
      </c>
      <c r="AEH16">
        <v>97.284999999999997</v>
      </c>
      <c r="AEI16">
        <v>97.22</v>
      </c>
      <c r="AEJ16">
        <v>97.14</v>
      </c>
      <c r="AEK16">
        <v>97.06</v>
      </c>
      <c r="AEL16">
        <v>97.094999999999999</v>
      </c>
      <c r="AEM16">
        <v>97.204999999999998</v>
      </c>
      <c r="AEN16">
        <v>97.125</v>
      </c>
      <c r="AEO16">
        <v>97.084999999999994</v>
      </c>
      <c r="AEP16">
        <v>97.204999999999998</v>
      </c>
      <c r="AEQ16">
        <v>97.204999999999998</v>
      </c>
      <c r="AER16">
        <v>97.3</v>
      </c>
      <c r="AES16">
        <v>97.325000000000003</v>
      </c>
      <c r="AET16">
        <v>97.284999999999997</v>
      </c>
      <c r="AEU16">
        <v>97.215000000000003</v>
      </c>
      <c r="AEV16">
        <v>97.135000000000005</v>
      </c>
      <c r="AEW16">
        <v>97.25</v>
      </c>
      <c r="AEX16">
        <v>97.194999999999993</v>
      </c>
      <c r="AEY16">
        <v>97.305000000000007</v>
      </c>
      <c r="AEZ16">
        <v>97.334999999999994</v>
      </c>
      <c r="AFA16">
        <v>97.334999999999994</v>
      </c>
      <c r="AFB16">
        <v>97.465000000000003</v>
      </c>
      <c r="AFC16">
        <v>97.435000000000002</v>
      </c>
      <c r="AFD16">
        <v>97.31</v>
      </c>
      <c r="AFE16">
        <v>97.364999999999995</v>
      </c>
      <c r="AFF16">
        <v>97.454999999999998</v>
      </c>
      <c r="AFG16">
        <v>97.45</v>
      </c>
      <c r="AFH16">
        <v>97.454999999999998</v>
      </c>
      <c r="AFI16">
        <v>97.625</v>
      </c>
      <c r="AFJ16">
        <v>97.614999999999995</v>
      </c>
      <c r="AFK16">
        <v>97.75</v>
      </c>
      <c r="AFL16">
        <v>97.694999999999993</v>
      </c>
      <c r="AFM16">
        <v>97.65</v>
      </c>
      <c r="AFN16">
        <v>97.55</v>
      </c>
      <c r="AFO16">
        <v>97.52</v>
      </c>
      <c r="AFP16">
        <v>97.77</v>
      </c>
      <c r="AFQ16">
        <v>97.805000000000007</v>
      </c>
      <c r="AFR16">
        <v>97.75</v>
      </c>
      <c r="AFS16">
        <v>97.81</v>
      </c>
      <c r="AFT16">
        <v>97.99</v>
      </c>
      <c r="AFU16">
        <v>97.944999999999993</v>
      </c>
      <c r="AFV16">
        <v>97.885000000000005</v>
      </c>
      <c r="AFW16">
        <v>97.915000000000006</v>
      </c>
      <c r="AFX16">
        <v>97.944999999999993</v>
      </c>
      <c r="AFY16">
        <v>98.09</v>
      </c>
      <c r="AFZ16">
        <v>98.125</v>
      </c>
      <c r="AGA16">
        <v>98.2</v>
      </c>
      <c r="AGB16">
        <v>98.295000000000002</v>
      </c>
      <c r="AGC16">
        <v>98.415000000000006</v>
      </c>
      <c r="AGD16">
        <v>98.474999999999994</v>
      </c>
      <c r="AGE16">
        <v>98.33</v>
      </c>
      <c r="AGF16">
        <v>98.29</v>
      </c>
      <c r="AGG16">
        <v>98.5</v>
      </c>
      <c r="AGH16">
        <v>98.275000000000006</v>
      </c>
      <c r="AGI16">
        <v>98.114999999999995</v>
      </c>
      <c r="AGJ16">
        <v>98.144999999999996</v>
      </c>
      <c r="AGK16">
        <v>98.135000000000005</v>
      </c>
      <c r="AGL16">
        <v>98.174999999999997</v>
      </c>
      <c r="AGM16">
        <v>98.185000000000002</v>
      </c>
      <c r="AGN16">
        <v>98.185000000000002</v>
      </c>
      <c r="AGO16">
        <v>98.15</v>
      </c>
      <c r="AGP16">
        <v>98.075000000000003</v>
      </c>
      <c r="AGQ16">
        <v>98.075000000000003</v>
      </c>
      <c r="AGR16">
        <v>98.094999999999999</v>
      </c>
      <c r="AGS16">
        <v>98.16</v>
      </c>
      <c r="AGT16">
        <v>98.01</v>
      </c>
      <c r="AGU16">
        <v>98.09</v>
      </c>
      <c r="AGV16">
        <v>98.08</v>
      </c>
      <c r="AGW16">
        <v>98.135000000000005</v>
      </c>
      <c r="AGX16">
        <v>98.11</v>
      </c>
      <c r="AGY16">
        <v>98.25</v>
      </c>
      <c r="AGZ16">
        <v>98.314999999999998</v>
      </c>
      <c r="AHA16">
        <v>98.29</v>
      </c>
      <c r="AHB16">
        <v>98.284999999999997</v>
      </c>
      <c r="AHC16">
        <v>98.27</v>
      </c>
      <c r="AHD16">
        <v>98.22</v>
      </c>
      <c r="AHE16">
        <v>98.174999999999997</v>
      </c>
      <c r="AHF16">
        <v>98.26</v>
      </c>
      <c r="AHG16">
        <v>98.314999999999998</v>
      </c>
      <c r="AHH16">
        <v>98.265000000000001</v>
      </c>
      <c r="AHI16">
        <v>98.19</v>
      </c>
      <c r="AHJ16">
        <v>98.185000000000002</v>
      </c>
      <c r="AHK16">
        <v>98.13</v>
      </c>
      <c r="AHL16">
        <v>98.245000000000005</v>
      </c>
      <c r="AHM16">
        <v>98.245000000000005</v>
      </c>
      <c r="AHN16">
        <v>98.334999999999994</v>
      </c>
      <c r="AHO16">
        <v>98.305000000000007</v>
      </c>
      <c r="AHP16">
        <v>98.265000000000001</v>
      </c>
      <c r="AHQ16">
        <v>98.2</v>
      </c>
      <c r="AHR16">
        <v>98.245000000000005</v>
      </c>
      <c r="AHS16">
        <v>98.305000000000007</v>
      </c>
      <c r="AHT16">
        <v>98.35</v>
      </c>
      <c r="AHU16">
        <v>98.394999999999996</v>
      </c>
      <c r="AHV16">
        <v>98.424999999999997</v>
      </c>
      <c r="AHW16">
        <v>98.55</v>
      </c>
      <c r="AHX16">
        <v>98.54</v>
      </c>
      <c r="AHY16">
        <v>98.53</v>
      </c>
      <c r="AHZ16">
        <v>98.575000000000003</v>
      </c>
      <c r="AIA16">
        <v>98.56</v>
      </c>
      <c r="AIB16">
        <v>98.564999999999998</v>
      </c>
      <c r="AIC16">
        <v>98.564999999999998</v>
      </c>
      <c r="AID16">
        <v>98.58</v>
      </c>
      <c r="AIE16">
        <v>98.564999999999998</v>
      </c>
      <c r="AIF16">
        <v>98.64</v>
      </c>
      <c r="AIG16">
        <v>98.644999999999996</v>
      </c>
      <c r="AIH16">
        <v>98.64</v>
      </c>
      <c r="AII16">
        <v>98.54</v>
      </c>
      <c r="AIJ16">
        <v>98.525000000000006</v>
      </c>
      <c r="AIK16">
        <v>98.54</v>
      </c>
      <c r="AIL16">
        <v>98.495000000000005</v>
      </c>
      <c r="AIM16">
        <v>98.49</v>
      </c>
      <c r="AIN16">
        <v>98.47</v>
      </c>
      <c r="AIO16">
        <v>98.484999999999999</v>
      </c>
      <c r="AIP16">
        <v>98.54</v>
      </c>
      <c r="AIQ16">
        <v>98.665000000000006</v>
      </c>
      <c r="AIR16">
        <v>98.57</v>
      </c>
      <c r="AIS16">
        <v>98.605000000000004</v>
      </c>
      <c r="AIT16">
        <v>98.584999999999994</v>
      </c>
      <c r="AIU16">
        <v>98.52</v>
      </c>
      <c r="AIV16">
        <v>98.53</v>
      </c>
      <c r="AIW16">
        <v>98.355000000000004</v>
      </c>
      <c r="AIX16">
        <v>98.355000000000004</v>
      </c>
      <c r="AIY16">
        <v>98.364999999999995</v>
      </c>
      <c r="AIZ16">
        <v>98.385000000000005</v>
      </c>
      <c r="AJA16">
        <v>98.515000000000001</v>
      </c>
      <c r="AJB16">
        <v>98.5</v>
      </c>
      <c r="AJC16">
        <v>98.465000000000003</v>
      </c>
      <c r="AJD16">
        <v>98.435000000000002</v>
      </c>
      <c r="AJE16">
        <v>98.465000000000003</v>
      </c>
      <c r="AJF16">
        <v>98.495000000000005</v>
      </c>
      <c r="AJG16">
        <v>98.49</v>
      </c>
      <c r="AJH16">
        <v>98.525000000000006</v>
      </c>
      <c r="AJI16">
        <v>98.69</v>
      </c>
      <c r="AJJ16">
        <v>98.625</v>
      </c>
      <c r="AJK16">
        <v>98.7</v>
      </c>
      <c r="AJL16">
        <v>98.614999999999995</v>
      </c>
      <c r="AJM16">
        <v>98.54</v>
      </c>
      <c r="AJN16">
        <v>98.59</v>
      </c>
      <c r="AJO16">
        <v>98.575000000000003</v>
      </c>
      <c r="AJP16">
        <v>98.61</v>
      </c>
      <c r="AJQ16">
        <v>98.594999999999999</v>
      </c>
      <c r="AJR16">
        <v>98.6</v>
      </c>
      <c r="AJS16">
        <v>98.495000000000005</v>
      </c>
      <c r="AJT16">
        <v>98.5</v>
      </c>
      <c r="AJU16">
        <v>98.484999999999999</v>
      </c>
      <c r="AJV16">
        <v>98.465000000000003</v>
      </c>
      <c r="AJW16">
        <v>98.54</v>
      </c>
      <c r="AJX16">
        <v>98.53</v>
      </c>
      <c r="AJY16">
        <v>98.525000000000006</v>
      </c>
      <c r="AJZ16">
        <v>98.56</v>
      </c>
      <c r="AKA16">
        <v>98.635000000000005</v>
      </c>
      <c r="AKB16">
        <v>98.58</v>
      </c>
      <c r="AKC16">
        <v>98.575000000000003</v>
      </c>
      <c r="AKD16">
        <v>98.555000000000007</v>
      </c>
      <c r="AKE16">
        <v>98.59</v>
      </c>
      <c r="AKF16">
        <v>98.64</v>
      </c>
      <c r="AKG16">
        <v>98.685000000000002</v>
      </c>
      <c r="AKH16">
        <v>98.694999999999993</v>
      </c>
      <c r="AKI16">
        <v>98.74</v>
      </c>
      <c r="AKJ16">
        <v>98.734999999999999</v>
      </c>
      <c r="AKK16">
        <v>98.655000000000001</v>
      </c>
      <c r="AKL16">
        <v>98.64</v>
      </c>
      <c r="AKM16">
        <v>98.605000000000004</v>
      </c>
      <c r="AKN16">
        <v>98.64</v>
      </c>
      <c r="AKO16">
        <v>98.67</v>
      </c>
      <c r="AKP16">
        <v>98.694999999999993</v>
      </c>
      <c r="AKQ16">
        <v>98.754999999999995</v>
      </c>
      <c r="AKR16">
        <v>98.83</v>
      </c>
      <c r="AKS16">
        <v>98.84</v>
      </c>
      <c r="AKT16">
        <v>98.77</v>
      </c>
      <c r="AKU16">
        <v>98.814999999999998</v>
      </c>
      <c r="AKV16">
        <v>98.875</v>
      </c>
      <c r="AKW16">
        <v>98.98</v>
      </c>
      <c r="AKX16">
        <v>98.96</v>
      </c>
      <c r="AKY16">
        <v>98.95</v>
      </c>
      <c r="AKZ16">
        <v>98.99</v>
      </c>
      <c r="ALA16">
        <v>98.965000000000003</v>
      </c>
      <c r="ALB16">
        <v>98.95</v>
      </c>
      <c r="ALC16">
        <v>99.004999999999995</v>
      </c>
      <c r="ALD16">
        <v>99.004999999999995</v>
      </c>
      <c r="ALE16">
        <v>99.025000000000006</v>
      </c>
      <c r="ALF16">
        <v>99.015000000000001</v>
      </c>
      <c r="ALG16">
        <v>99.02</v>
      </c>
      <c r="ALH16">
        <v>99.025000000000006</v>
      </c>
      <c r="ALI16">
        <v>98.974999999999994</v>
      </c>
      <c r="ALJ16">
        <v>98.924999999999997</v>
      </c>
      <c r="ALK16">
        <v>98.935000000000002</v>
      </c>
      <c r="ALL16">
        <v>98.995000000000005</v>
      </c>
      <c r="ALM16">
        <v>99.025000000000006</v>
      </c>
      <c r="ALN16">
        <v>99.01</v>
      </c>
      <c r="ALO16">
        <v>99.03</v>
      </c>
      <c r="ALP16">
        <v>99.015000000000001</v>
      </c>
      <c r="ALQ16">
        <v>99.034999999999997</v>
      </c>
      <c r="ALR16">
        <v>99.045000000000002</v>
      </c>
      <c r="ALS16">
        <v>98.974999999999994</v>
      </c>
      <c r="ALT16">
        <v>98.905000000000001</v>
      </c>
      <c r="ALU16">
        <v>98.924999999999997</v>
      </c>
      <c r="ALV16">
        <v>98.91</v>
      </c>
      <c r="ALW16">
        <v>98.95</v>
      </c>
      <c r="ALX16">
        <v>99.004999999999995</v>
      </c>
      <c r="ALY16">
        <v>99.07</v>
      </c>
      <c r="ALZ16">
        <v>99.13</v>
      </c>
      <c r="AMA16">
        <v>99.18</v>
      </c>
      <c r="AMB16">
        <v>99.165000000000006</v>
      </c>
      <c r="AMC16">
        <v>99.084999999999994</v>
      </c>
      <c r="AMD16">
        <v>99.045000000000002</v>
      </c>
      <c r="AME16">
        <v>99.034999999999997</v>
      </c>
      <c r="AMF16">
        <v>99.094999999999999</v>
      </c>
      <c r="AMG16">
        <v>99.064999999999998</v>
      </c>
      <c r="AMH16">
        <v>99.064999999999998</v>
      </c>
      <c r="AMI16">
        <v>99.075000000000003</v>
      </c>
      <c r="AMJ16">
        <v>99.064999999999998</v>
      </c>
      <c r="AMK16">
        <v>99.155000000000001</v>
      </c>
      <c r="AML16">
        <v>99.14</v>
      </c>
      <c r="AMM16">
        <v>98.965000000000003</v>
      </c>
      <c r="AMN16">
        <v>98.965000000000003</v>
      </c>
      <c r="AMO16">
        <v>98.92</v>
      </c>
      <c r="AMP16">
        <v>98.875</v>
      </c>
      <c r="AMQ16">
        <v>98.944999999999993</v>
      </c>
      <c r="AMR16">
        <v>98.944999999999993</v>
      </c>
      <c r="AMS16">
        <v>99.02</v>
      </c>
      <c r="AMT16">
        <v>98.94</v>
      </c>
      <c r="AMU16">
        <v>98.905000000000001</v>
      </c>
      <c r="AMV16">
        <v>98.814999999999998</v>
      </c>
      <c r="AMW16">
        <v>98.814999999999998</v>
      </c>
      <c r="AMX16">
        <v>98.75</v>
      </c>
      <c r="AMY16">
        <v>98.8</v>
      </c>
      <c r="AMZ16">
        <v>98.78</v>
      </c>
      <c r="ANA16">
        <v>98.78</v>
      </c>
      <c r="ANB16">
        <v>98.754999999999995</v>
      </c>
      <c r="ANC16">
        <v>98.795000000000002</v>
      </c>
      <c r="AND16">
        <v>98.805000000000007</v>
      </c>
      <c r="ANE16">
        <v>98.844999999999999</v>
      </c>
      <c r="ANF16">
        <v>98.825000000000003</v>
      </c>
      <c r="ANG16">
        <v>98.82</v>
      </c>
      <c r="ANH16">
        <v>98.79</v>
      </c>
      <c r="ANI16">
        <v>98.77</v>
      </c>
      <c r="ANJ16">
        <v>99.055000000000007</v>
      </c>
      <c r="ANK16">
        <v>99.06</v>
      </c>
      <c r="ANL16">
        <v>99.1</v>
      </c>
      <c r="ANM16">
        <v>99.125</v>
      </c>
      <c r="ANN16">
        <v>99.1</v>
      </c>
      <c r="ANO16">
        <v>99.055000000000007</v>
      </c>
      <c r="ANP16">
        <v>99.02</v>
      </c>
      <c r="ANQ16">
        <v>99.025000000000006</v>
      </c>
      <c r="ANR16">
        <v>98.95</v>
      </c>
      <c r="ANS16">
        <v>99</v>
      </c>
      <c r="ANT16">
        <v>98.965000000000003</v>
      </c>
      <c r="ANU16">
        <v>98.99</v>
      </c>
      <c r="ANV16">
        <v>98.99</v>
      </c>
      <c r="ANW16">
        <v>98.99</v>
      </c>
      <c r="ANX16">
        <v>99.02</v>
      </c>
      <c r="ANY16">
        <v>99.025000000000006</v>
      </c>
      <c r="ANZ16">
        <v>98.97</v>
      </c>
      <c r="AOA16">
        <v>98.94</v>
      </c>
      <c r="AOB16">
        <v>98.954999999999998</v>
      </c>
      <c r="AOC16">
        <v>98.9</v>
      </c>
      <c r="AOD16">
        <v>98.954999999999998</v>
      </c>
      <c r="AOE16">
        <v>98.954999999999998</v>
      </c>
      <c r="AOF16">
        <v>98.96</v>
      </c>
      <c r="AOG16">
        <v>98.954999999999998</v>
      </c>
      <c r="AOH16">
        <v>98.905000000000001</v>
      </c>
      <c r="AOI16">
        <v>99</v>
      </c>
      <c r="AOJ16">
        <v>99.02</v>
      </c>
      <c r="AOK16">
        <v>99.02</v>
      </c>
      <c r="AOL16">
        <v>98.96</v>
      </c>
      <c r="AOM16">
        <v>98.95</v>
      </c>
      <c r="AON16">
        <v>98.93</v>
      </c>
      <c r="AOO16">
        <v>98.905000000000001</v>
      </c>
      <c r="AOP16">
        <v>98.87</v>
      </c>
      <c r="AOQ16">
        <v>98.864999999999995</v>
      </c>
      <c r="AOR16">
        <v>98.864999999999995</v>
      </c>
      <c r="AOS16">
        <v>98.855000000000004</v>
      </c>
      <c r="AOT16">
        <v>98.905000000000001</v>
      </c>
      <c r="AOU16">
        <v>98.915000000000006</v>
      </c>
      <c r="AOV16">
        <v>98.944999999999993</v>
      </c>
      <c r="AOW16">
        <v>98.944999999999993</v>
      </c>
      <c r="AOX16">
        <v>98.954999999999998</v>
      </c>
      <c r="AOY16">
        <v>98.93</v>
      </c>
      <c r="AOZ16">
        <v>98.935000000000002</v>
      </c>
      <c r="APA16">
        <v>98.97</v>
      </c>
      <c r="APB16">
        <v>98.86</v>
      </c>
      <c r="APC16">
        <v>98.87</v>
      </c>
      <c r="APD16">
        <v>98.784999999999997</v>
      </c>
      <c r="APE16">
        <v>98.814999999999998</v>
      </c>
      <c r="APF16">
        <v>98.844999999999999</v>
      </c>
      <c r="APG16">
        <v>98.81</v>
      </c>
      <c r="APH16">
        <v>98.775000000000006</v>
      </c>
      <c r="API16">
        <v>98.674999999999997</v>
      </c>
      <c r="APJ16">
        <v>98.64</v>
      </c>
      <c r="APK16">
        <v>98.745000000000005</v>
      </c>
      <c r="APL16">
        <v>98.71</v>
      </c>
      <c r="APM16">
        <v>98.75</v>
      </c>
      <c r="APN16">
        <v>98.79</v>
      </c>
      <c r="APO16">
        <v>98.86</v>
      </c>
      <c r="APP16">
        <v>98.905000000000001</v>
      </c>
      <c r="APQ16">
        <v>98.89</v>
      </c>
      <c r="APR16">
        <v>98.87</v>
      </c>
      <c r="APS16">
        <v>98.825000000000003</v>
      </c>
      <c r="APT16">
        <v>98.795000000000002</v>
      </c>
      <c r="APU16">
        <v>98.844999999999999</v>
      </c>
      <c r="APV16">
        <v>98.92</v>
      </c>
      <c r="APW16">
        <v>99.034999999999997</v>
      </c>
      <c r="APX16">
        <v>99.025000000000006</v>
      </c>
      <c r="APY16">
        <v>99.01</v>
      </c>
      <c r="APZ16">
        <v>99.07</v>
      </c>
      <c r="AQA16">
        <v>99.07</v>
      </c>
      <c r="AQB16">
        <v>99.03</v>
      </c>
      <c r="AQC16">
        <v>98.98</v>
      </c>
      <c r="AQD16">
        <v>99.045000000000002</v>
      </c>
      <c r="AQE16">
        <v>99.034999999999997</v>
      </c>
      <c r="AQF16">
        <v>99.1</v>
      </c>
      <c r="AQG16">
        <v>99.155000000000001</v>
      </c>
      <c r="AQH16">
        <v>99.114999999999995</v>
      </c>
      <c r="AQI16">
        <v>99.034999999999997</v>
      </c>
      <c r="AQJ16">
        <v>99.04</v>
      </c>
      <c r="AQK16">
        <v>99.27</v>
      </c>
      <c r="AQL16">
        <v>99.295000000000002</v>
      </c>
      <c r="AQM16">
        <v>99.284999999999997</v>
      </c>
      <c r="AQN16">
        <v>99.32</v>
      </c>
      <c r="AQO16">
        <v>99.364999999999995</v>
      </c>
      <c r="AQP16">
        <v>99.33</v>
      </c>
      <c r="AQQ16">
        <v>99.34</v>
      </c>
      <c r="AQR16">
        <v>99.454999999999998</v>
      </c>
      <c r="AQS16">
        <v>99.454999999999998</v>
      </c>
      <c r="AQT16">
        <v>99.49</v>
      </c>
      <c r="AQU16">
        <v>99.5</v>
      </c>
      <c r="AQV16">
        <v>99.484999999999999</v>
      </c>
      <c r="AQW16">
        <v>99.474999999999994</v>
      </c>
      <c r="AQX16">
        <v>99.495000000000005</v>
      </c>
      <c r="AQY16">
        <v>99.5</v>
      </c>
      <c r="AQZ16">
        <v>99.52</v>
      </c>
      <c r="ARA16">
        <v>99.534999999999997</v>
      </c>
      <c r="ARB16">
        <v>99.555000000000007</v>
      </c>
      <c r="ARC16">
        <v>99.555000000000007</v>
      </c>
      <c r="ARD16">
        <v>99.56</v>
      </c>
      <c r="ARE16">
        <v>99.59</v>
      </c>
      <c r="ARF16">
        <v>99.575000000000003</v>
      </c>
      <c r="ARG16">
        <v>99.58</v>
      </c>
      <c r="ARH16">
        <v>99.564999999999998</v>
      </c>
      <c r="ARI16">
        <v>99.56</v>
      </c>
      <c r="ARJ16">
        <v>99.575000000000003</v>
      </c>
      <c r="ARK16">
        <v>99.575000000000003</v>
      </c>
      <c r="ARL16">
        <v>99.564999999999998</v>
      </c>
      <c r="ARM16">
        <v>99.564999999999998</v>
      </c>
      <c r="ARN16">
        <v>99.564999999999998</v>
      </c>
      <c r="ARO16">
        <v>99.55</v>
      </c>
      <c r="ARP16">
        <v>99.525000000000006</v>
      </c>
      <c r="ARQ16">
        <v>99.53</v>
      </c>
      <c r="ARR16">
        <v>99.534999999999997</v>
      </c>
      <c r="ARS16">
        <v>99.575000000000003</v>
      </c>
      <c r="ART16">
        <v>99.65</v>
      </c>
      <c r="ARU16">
        <v>99.694999999999993</v>
      </c>
      <c r="ARV16">
        <v>99.704999999999998</v>
      </c>
      <c r="ARW16">
        <v>99.694999999999993</v>
      </c>
      <c r="ARX16">
        <v>99.694999999999993</v>
      </c>
      <c r="ARY16">
        <v>99.685000000000002</v>
      </c>
      <c r="ARZ16">
        <v>99.67</v>
      </c>
      <c r="ASA16">
        <v>99.665000000000006</v>
      </c>
      <c r="ASB16">
        <v>99.67</v>
      </c>
      <c r="ASC16">
        <v>99.67</v>
      </c>
      <c r="ASD16">
        <v>99.67</v>
      </c>
      <c r="ASE16">
        <v>99.674999999999997</v>
      </c>
      <c r="ASF16">
        <v>99.67</v>
      </c>
      <c r="ASG16">
        <v>99.67</v>
      </c>
      <c r="ASH16">
        <v>99.68</v>
      </c>
      <c r="ASI16">
        <v>99.69</v>
      </c>
      <c r="ASJ16">
        <v>99.75</v>
      </c>
      <c r="ASK16">
        <v>99.75</v>
      </c>
      <c r="ASL16">
        <v>99.75</v>
      </c>
      <c r="ASM16">
        <v>99.724999999999994</v>
      </c>
      <c r="ASN16">
        <v>99.7</v>
      </c>
      <c r="ASO16">
        <v>99.72</v>
      </c>
      <c r="ASP16">
        <v>99.72</v>
      </c>
      <c r="ASQ16">
        <v>99.73</v>
      </c>
      <c r="ASR16">
        <v>99.745000000000005</v>
      </c>
      <c r="ASS16">
        <v>99.75</v>
      </c>
      <c r="AST16">
        <v>99.754999999999995</v>
      </c>
      <c r="ASU16">
        <v>99.78</v>
      </c>
      <c r="ASV16">
        <v>99.784999999999997</v>
      </c>
      <c r="ASW16">
        <v>99.78</v>
      </c>
      <c r="ASX16">
        <v>99.78</v>
      </c>
      <c r="ASY16">
        <v>99.775000000000006</v>
      </c>
      <c r="ASZ16">
        <v>99.77</v>
      </c>
      <c r="ATA16">
        <v>99.784999999999997</v>
      </c>
      <c r="ATB16">
        <v>99.78</v>
      </c>
      <c r="ATC16">
        <v>99.78</v>
      </c>
      <c r="ATD16">
        <v>99.784999999999997</v>
      </c>
      <c r="ATE16">
        <v>99.775000000000006</v>
      </c>
      <c r="ATF16">
        <v>99.775000000000006</v>
      </c>
      <c r="ATG16">
        <v>99.77</v>
      </c>
      <c r="ATH16">
        <v>99.75</v>
      </c>
      <c r="ATI16">
        <v>99.75</v>
      </c>
      <c r="ATJ16">
        <v>99.784999999999997</v>
      </c>
      <c r="ATK16">
        <v>99.83</v>
      </c>
      <c r="ATL16">
        <v>99.834999999999994</v>
      </c>
      <c r="ATM16">
        <v>99.855000000000004</v>
      </c>
      <c r="ATN16">
        <v>99.825000000000003</v>
      </c>
      <c r="ATO16">
        <v>99.834999999999994</v>
      </c>
      <c r="ATP16">
        <v>99.83</v>
      </c>
      <c r="ATQ16">
        <v>99.834999999999994</v>
      </c>
      <c r="ATR16">
        <v>99.844999999999999</v>
      </c>
      <c r="ATS16">
        <v>99.844999999999999</v>
      </c>
      <c r="ATT16">
        <v>99.84</v>
      </c>
      <c r="ATU16">
        <v>99.83</v>
      </c>
      <c r="ATV16">
        <v>99.82</v>
      </c>
      <c r="ATW16">
        <v>99.844999999999999</v>
      </c>
      <c r="ATX16">
        <v>99.844999999999999</v>
      </c>
      <c r="ATY16">
        <v>99.855000000000004</v>
      </c>
      <c r="ATZ16">
        <v>99.864999999999995</v>
      </c>
      <c r="AUA16">
        <v>99.86</v>
      </c>
      <c r="AUB16">
        <v>99.864999999999995</v>
      </c>
      <c r="AUC16">
        <v>99.86</v>
      </c>
      <c r="AUD16">
        <v>99.844999999999999</v>
      </c>
      <c r="AUE16">
        <v>99.84</v>
      </c>
      <c r="AUF16">
        <v>99.855000000000004</v>
      </c>
      <c r="AUG16">
        <v>99.85</v>
      </c>
      <c r="AUH16">
        <v>99.875</v>
      </c>
      <c r="AUI16">
        <v>99.875</v>
      </c>
      <c r="AUJ16">
        <v>99.924999999999997</v>
      </c>
      <c r="AUK16">
        <v>99.924999999999997</v>
      </c>
      <c r="AUL16">
        <v>99.924999999999997</v>
      </c>
      <c r="AUM16">
        <v>99.93</v>
      </c>
      <c r="AUN16">
        <v>99.93</v>
      </c>
      <c r="AUO16">
        <v>99.94</v>
      </c>
      <c r="AUP16">
        <v>99.94</v>
      </c>
      <c r="AUQ16">
        <v>99.944999999999993</v>
      </c>
      <c r="AUR16">
        <v>99.944999999999993</v>
      </c>
      <c r="AUS16">
        <v>99.935000000000002</v>
      </c>
      <c r="AUT16">
        <v>99.915000000000006</v>
      </c>
      <c r="AUU16">
        <v>99.93</v>
      </c>
      <c r="AUV16">
        <v>99.924999999999997</v>
      </c>
      <c r="AUW16">
        <v>99.95</v>
      </c>
      <c r="AUX16">
        <v>99.954999999999998</v>
      </c>
      <c r="AUY16">
        <v>99.944999999999993</v>
      </c>
      <c r="AUZ16">
        <v>99.92</v>
      </c>
      <c r="AVA16">
        <v>99.915000000000006</v>
      </c>
      <c r="AVB16">
        <v>99.92</v>
      </c>
      <c r="AVC16">
        <v>99.91</v>
      </c>
      <c r="AVD16">
        <v>99.91</v>
      </c>
      <c r="AVE16">
        <v>99.94</v>
      </c>
      <c r="AVF16">
        <v>99.93</v>
      </c>
      <c r="AVG16">
        <v>99.94</v>
      </c>
      <c r="AVH16">
        <v>99.935000000000002</v>
      </c>
      <c r="AVI16">
        <v>99.93</v>
      </c>
      <c r="AVJ16">
        <v>99.91</v>
      </c>
      <c r="AVK16">
        <v>99.92</v>
      </c>
      <c r="AVL16">
        <v>99.924999999999997</v>
      </c>
      <c r="AVM16">
        <v>99.935000000000002</v>
      </c>
      <c r="AVN16">
        <v>99.93</v>
      </c>
      <c r="AVO16">
        <v>99.94</v>
      </c>
      <c r="AVP16">
        <v>99.94</v>
      </c>
      <c r="AVQ16">
        <v>99.93</v>
      </c>
      <c r="AVR16">
        <v>99.915000000000006</v>
      </c>
      <c r="AVS16">
        <v>99.905000000000001</v>
      </c>
      <c r="AVT16">
        <v>99.905000000000001</v>
      </c>
      <c r="AVU16">
        <v>99.91</v>
      </c>
      <c r="AVV16">
        <v>99.91</v>
      </c>
      <c r="AVW16">
        <v>99.944999999999993</v>
      </c>
      <c r="AVX16">
        <v>99.954999999999998</v>
      </c>
      <c r="AVY16">
        <v>99.974999999999994</v>
      </c>
      <c r="AVZ16">
        <v>99.98</v>
      </c>
      <c r="AWA16">
        <v>99.99</v>
      </c>
      <c r="AWB16">
        <v>99.98</v>
      </c>
      <c r="AWC16">
        <v>99.974999999999994</v>
      </c>
      <c r="AWD16">
        <v>99.97</v>
      </c>
      <c r="AWE16">
        <v>99.95</v>
      </c>
      <c r="AWF16">
        <v>99.94</v>
      </c>
      <c r="AWG16">
        <v>99.935000000000002</v>
      </c>
      <c r="AWH16">
        <v>99.944999999999993</v>
      </c>
      <c r="AWI16">
        <v>99.95</v>
      </c>
      <c r="AWJ16">
        <v>99.95</v>
      </c>
      <c r="AWK16">
        <v>99.944999999999993</v>
      </c>
      <c r="AWL16">
        <v>99.944999999999993</v>
      </c>
      <c r="AWM16">
        <v>99.94</v>
      </c>
      <c r="AWN16">
        <v>99.94</v>
      </c>
      <c r="AWO16">
        <v>99.935000000000002</v>
      </c>
      <c r="AWP16">
        <v>99.944999999999993</v>
      </c>
      <c r="AWQ16">
        <v>99.944999999999993</v>
      </c>
      <c r="AWR16">
        <v>99.96</v>
      </c>
      <c r="AWS16">
        <v>99.974999999999994</v>
      </c>
      <c r="AWT16">
        <v>99.96</v>
      </c>
      <c r="AWU16">
        <v>99.954999999999998</v>
      </c>
      <c r="AWV16">
        <v>99.95</v>
      </c>
      <c r="AWW16">
        <v>99.95</v>
      </c>
      <c r="AWX16">
        <v>99.95</v>
      </c>
      <c r="AWY16">
        <v>99.94</v>
      </c>
      <c r="AWZ16">
        <v>99.96</v>
      </c>
      <c r="AXA16">
        <v>99.96</v>
      </c>
      <c r="AXB16">
        <v>99.95</v>
      </c>
      <c r="AXC16">
        <v>99.93</v>
      </c>
      <c r="AXD16">
        <v>99.93</v>
      </c>
      <c r="AXE16">
        <v>99.93</v>
      </c>
      <c r="AXF16">
        <v>99.924999999999997</v>
      </c>
      <c r="AXG16">
        <v>99.915000000000006</v>
      </c>
      <c r="AXH16">
        <v>99.894999999999996</v>
      </c>
      <c r="AXI16">
        <v>99.89</v>
      </c>
      <c r="AXJ16">
        <v>99.875</v>
      </c>
      <c r="AXK16">
        <v>99.89</v>
      </c>
      <c r="AXL16">
        <v>99.88</v>
      </c>
      <c r="AXM16">
        <v>99.89</v>
      </c>
      <c r="AXN16">
        <v>99.864999999999995</v>
      </c>
      <c r="AXO16">
        <v>99.814999999999998</v>
      </c>
      <c r="AXP16">
        <v>99.78</v>
      </c>
      <c r="AXQ16">
        <v>99.775000000000006</v>
      </c>
      <c r="AXR16">
        <v>99.84</v>
      </c>
      <c r="AXS16">
        <v>99.855000000000004</v>
      </c>
      <c r="AXT16">
        <v>99.89</v>
      </c>
      <c r="AXU16">
        <v>99.894999999999996</v>
      </c>
      <c r="AXV16">
        <v>99.885000000000005</v>
      </c>
      <c r="AXW16">
        <v>99.864999999999995</v>
      </c>
      <c r="AXX16">
        <v>99.87</v>
      </c>
      <c r="AXY16">
        <v>99.875</v>
      </c>
      <c r="AXZ16">
        <v>99.88</v>
      </c>
      <c r="AYA16">
        <v>99.88</v>
      </c>
      <c r="AYB16">
        <v>99.875</v>
      </c>
      <c r="AYC16">
        <v>99.875</v>
      </c>
      <c r="AYD16">
        <v>99.88</v>
      </c>
      <c r="AYE16">
        <v>99.88</v>
      </c>
      <c r="AYF16">
        <v>99.924999999999997</v>
      </c>
      <c r="AYG16">
        <v>99.9</v>
      </c>
      <c r="AYH16">
        <v>99.89</v>
      </c>
      <c r="AYI16">
        <v>99.87</v>
      </c>
      <c r="AYJ16">
        <v>99.87</v>
      </c>
      <c r="AYK16">
        <v>99.89</v>
      </c>
      <c r="AYL16">
        <v>99.9</v>
      </c>
      <c r="AYM16">
        <v>99.844999999999999</v>
      </c>
      <c r="AYN16">
        <v>99.83</v>
      </c>
      <c r="AYO16">
        <v>99.834999999999994</v>
      </c>
      <c r="AYP16">
        <v>99.82</v>
      </c>
      <c r="AYQ16">
        <v>99.825000000000003</v>
      </c>
      <c r="AYR16">
        <v>99.814999999999998</v>
      </c>
      <c r="AYS16">
        <v>99.8</v>
      </c>
      <c r="AYT16">
        <v>99.795000000000002</v>
      </c>
      <c r="AYU16">
        <v>99.805000000000007</v>
      </c>
      <c r="AYV16">
        <v>99.805000000000007</v>
      </c>
      <c r="AYW16">
        <v>99.8</v>
      </c>
      <c r="AYX16">
        <v>99.81</v>
      </c>
      <c r="AYY16">
        <v>99.79</v>
      </c>
      <c r="AYZ16">
        <v>99.78</v>
      </c>
      <c r="AZA16">
        <v>99.765000000000001</v>
      </c>
      <c r="AZB16">
        <v>99.754999999999995</v>
      </c>
      <c r="AZC16">
        <v>99.724999999999994</v>
      </c>
      <c r="AZD16">
        <v>99.71</v>
      </c>
      <c r="AZE16">
        <v>99.72</v>
      </c>
      <c r="AZF16">
        <v>99.72</v>
      </c>
      <c r="AZG16">
        <v>99.7</v>
      </c>
      <c r="AZH16">
        <v>99.685000000000002</v>
      </c>
      <c r="AZI16">
        <v>99.73</v>
      </c>
      <c r="AZJ16">
        <v>99.79</v>
      </c>
      <c r="AZK16">
        <v>99.784999999999997</v>
      </c>
      <c r="AZL16">
        <v>99.8</v>
      </c>
      <c r="AZM16">
        <v>99.775000000000006</v>
      </c>
      <c r="AZN16">
        <v>99.805000000000007</v>
      </c>
      <c r="AZO16">
        <v>99.76</v>
      </c>
      <c r="AZP16">
        <v>99.74</v>
      </c>
      <c r="AZQ16">
        <v>99.71</v>
      </c>
      <c r="AZR16">
        <v>99.704999999999998</v>
      </c>
      <c r="AZS16">
        <v>99.765000000000001</v>
      </c>
      <c r="AZT16">
        <v>99.685000000000002</v>
      </c>
      <c r="AZU16">
        <v>99.625</v>
      </c>
      <c r="AZV16">
        <v>99.52</v>
      </c>
      <c r="AZW16">
        <v>99.63</v>
      </c>
      <c r="AZX16">
        <v>99.68</v>
      </c>
      <c r="AZY16">
        <v>99.605000000000004</v>
      </c>
      <c r="AZZ16">
        <v>99.644999999999996</v>
      </c>
      <c r="BAA16">
        <v>99.575000000000003</v>
      </c>
      <c r="BAB16">
        <v>99.564999999999998</v>
      </c>
      <c r="BAC16">
        <v>99.685000000000002</v>
      </c>
      <c r="BAD16">
        <v>99.61</v>
      </c>
      <c r="BAE16">
        <v>99.525000000000006</v>
      </c>
      <c r="BAF16">
        <v>99.474999999999994</v>
      </c>
      <c r="BAG16">
        <v>99.415000000000006</v>
      </c>
      <c r="BAH16">
        <v>99.344999999999999</v>
      </c>
      <c r="BAI16">
        <v>99.344999999999999</v>
      </c>
      <c r="BAJ16">
        <v>99.144999999999996</v>
      </c>
      <c r="BAK16">
        <v>99.09</v>
      </c>
      <c r="BAL16">
        <v>99.1</v>
      </c>
      <c r="BAM16">
        <v>99.045000000000002</v>
      </c>
      <c r="BAN16">
        <v>98.935000000000002</v>
      </c>
      <c r="BAO16">
        <v>98.87</v>
      </c>
      <c r="BAP16">
        <v>98.825000000000003</v>
      </c>
      <c r="BAQ16">
        <v>98.85</v>
      </c>
      <c r="BAR16">
        <v>98.82</v>
      </c>
      <c r="BAS16">
        <v>98.82</v>
      </c>
      <c r="BAT16">
        <v>98.784999999999997</v>
      </c>
      <c r="BAU16">
        <v>98.784999999999997</v>
      </c>
      <c r="BAV16">
        <v>98.825000000000003</v>
      </c>
      <c r="BAW16">
        <v>98.855000000000004</v>
      </c>
      <c r="BAX16">
        <v>98.82</v>
      </c>
      <c r="BAY16">
        <v>98.765000000000001</v>
      </c>
      <c r="BAZ16">
        <v>98.784999999999997</v>
      </c>
      <c r="BBA16">
        <v>98.825000000000003</v>
      </c>
      <c r="BBB16">
        <v>98.91</v>
      </c>
      <c r="BBC16">
        <v>98.924999999999997</v>
      </c>
      <c r="BBD16">
        <v>98.87</v>
      </c>
      <c r="BBE16">
        <v>98.825000000000003</v>
      </c>
      <c r="BBF16">
        <v>98.775000000000006</v>
      </c>
      <c r="BBG16">
        <v>98.81</v>
      </c>
      <c r="BBH16">
        <v>98.724999999999994</v>
      </c>
      <c r="BBI16">
        <v>98.67</v>
      </c>
      <c r="BBJ16">
        <v>98.65</v>
      </c>
      <c r="BBK16">
        <v>98.635000000000005</v>
      </c>
      <c r="BBL16">
        <v>98.58</v>
      </c>
      <c r="BBM16">
        <v>98.58</v>
      </c>
      <c r="BBN16">
        <v>98.594999999999999</v>
      </c>
      <c r="BBO16">
        <v>98.605000000000004</v>
      </c>
      <c r="BBP16">
        <v>98.594999999999999</v>
      </c>
      <c r="BBQ16">
        <v>98.58</v>
      </c>
      <c r="BBR16">
        <v>98.584999999999994</v>
      </c>
      <c r="BBS16">
        <v>98.57</v>
      </c>
      <c r="BBT16">
        <v>98.564999999999998</v>
      </c>
      <c r="BBU16">
        <v>98.61</v>
      </c>
      <c r="BBV16">
        <v>98.62</v>
      </c>
      <c r="BBW16">
        <v>98.625</v>
      </c>
      <c r="BBX16">
        <v>98.534999999999997</v>
      </c>
      <c r="BBY16">
        <v>98.525000000000006</v>
      </c>
      <c r="BBZ16">
        <v>98.525000000000006</v>
      </c>
      <c r="BCA16">
        <v>98.53</v>
      </c>
      <c r="BCB16">
        <v>98.53</v>
      </c>
      <c r="BCC16">
        <v>98.49</v>
      </c>
      <c r="BCD16">
        <v>98.49</v>
      </c>
      <c r="BCE16">
        <v>98.49</v>
      </c>
      <c r="BCF16">
        <v>98.47</v>
      </c>
      <c r="BCG16">
        <v>98.51</v>
      </c>
      <c r="BCH16">
        <v>98.525000000000006</v>
      </c>
      <c r="BCI16">
        <v>98.504999999999995</v>
      </c>
      <c r="BCJ16">
        <v>98.53</v>
      </c>
      <c r="BCK16">
        <v>98.54</v>
      </c>
      <c r="BCL16">
        <v>98.614999999999995</v>
      </c>
      <c r="BCM16">
        <v>98.534999999999997</v>
      </c>
      <c r="BCN16">
        <v>98.62</v>
      </c>
      <c r="BCO16">
        <v>98.58</v>
      </c>
      <c r="BCP16">
        <v>98.594999999999999</v>
      </c>
      <c r="BCQ16">
        <v>98.605000000000004</v>
      </c>
      <c r="BCR16">
        <v>98.665000000000006</v>
      </c>
      <c r="BCS16">
        <v>98.68</v>
      </c>
      <c r="BCT16">
        <v>98.754999999999995</v>
      </c>
      <c r="BCU16">
        <v>98.635000000000005</v>
      </c>
      <c r="BCV16">
        <v>98.67</v>
      </c>
      <c r="BCW16">
        <v>98.66</v>
      </c>
      <c r="BCX16">
        <v>98.66</v>
      </c>
      <c r="BCY16">
        <v>98.7</v>
      </c>
      <c r="BCZ16">
        <v>98.69</v>
      </c>
      <c r="BDA16">
        <v>98.674999999999997</v>
      </c>
      <c r="BDB16">
        <v>98.694999999999993</v>
      </c>
      <c r="BDC16">
        <v>98.724999999999994</v>
      </c>
      <c r="BDD16">
        <v>98.69</v>
      </c>
      <c r="BDE16">
        <v>98.665000000000006</v>
      </c>
      <c r="BDF16">
        <v>98.64</v>
      </c>
      <c r="BDG16">
        <v>98.65</v>
      </c>
      <c r="BDH16">
        <v>98.6</v>
      </c>
      <c r="BDI16">
        <v>98.55</v>
      </c>
      <c r="BDJ16">
        <v>98.52</v>
      </c>
      <c r="BDK16">
        <v>98.53</v>
      </c>
      <c r="BDL16">
        <v>98.515000000000001</v>
      </c>
      <c r="BDM16">
        <v>98.625</v>
      </c>
      <c r="BDN16">
        <v>98.6</v>
      </c>
      <c r="BDO16">
        <v>98.66</v>
      </c>
      <c r="BDP16">
        <v>98.71</v>
      </c>
      <c r="BDQ16">
        <v>98.78</v>
      </c>
      <c r="BDR16">
        <v>98.655000000000001</v>
      </c>
      <c r="BDS16">
        <v>98.635000000000005</v>
      </c>
      <c r="BDT16">
        <v>98.64</v>
      </c>
      <c r="BDU16">
        <v>98.67</v>
      </c>
      <c r="BDV16">
        <v>98.715000000000003</v>
      </c>
      <c r="BDW16">
        <v>98.724999999999994</v>
      </c>
      <c r="BDX16">
        <v>98.704999999999998</v>
      </c>
      <c r="BDY16">
        <v>98.68</v>
      </c>
      <c r="BDZ16">
        <v>98.72</v>
      </c>
      <c r="BEA16">
        <v>98.694999999999993</v>
      </c>
      <c r="BEB16">
        <v>98.72</v>
      </c>
      <c r="BEC16">
        <v>98.68</v>
      </c>
      <c r="BED16">
        <v>98.734999999999999</v>
      </c>
      <c r="BEE16">
        <v>98.715000000000003</v>
      </c>
      <c r="BEF16">
        <v>98.844999999999999</v>
      </c>
      <c r="BEG16">
        <v>98.91</v>
      </c>
      <c r="BEH16">
        <v>98.965000000000003</v>
      </c>
      <c r="BEI16">
        <v>98.954999999999998</v>
      </c>
      <c r="BEJ16">
        <v>99.025000000000006</v>
      </c>
      <c r="BEK16">
        <v>99.034999999999997</v>
      </c>
      <c r="BEL16">
        <v>98.935000000000002</v>
      </c>
      <c r="BEM16">
        <v>98.86</v>
      </c>
      <c r="BEN16">
        <v>98.79</v>
      </c>
      <c r="BEO16">
        <v>98.8</v>
      </c>
      <c r="BEP16">
        <v>98.79</v>
      </c>
      <c r="BEQ16">
        <v>98.775000000000006</v>
      </c>
      <c r="BER16">
        <v>98.875</v>
      </c>
      <c r="BES16">
        <v>98.78</v>
      </c>
      <c r="BET16">
        <v>98.74</v>
      </c>
      <c r="BEU16">
        <v>98.754999999999995</v>
      </c>
      <c r="BEV16">
        <v>98.72</v>
      </c>
      <c r="BEW16">
        <v>98.74</v>
      </c>
      <c r="BEX16">
        <v>98.7</v>
      </c>
      <c r="BEY16">
        <v>98.64</v>
      </c>
      <c r="BEZ16">
        <v>98.734999999999999</v>
      </c>
      <c r="BFA16">
        <v>98.82</v>
      </c>
      <c r="BFB16">
        <v>98.844999999999999</v>
      </c>
      <c r="BFC16">
        <v>98.944999999999993</v>
      </c>
      <c r="BFD16">
        <v>99.02</v>
      </c>
      <c r="BFE16">
        <v>99.025000000000006</v>
      </c>
      <c r="BFF16">
        <v>99.155000000000001</v>
      </c>
      <c r="BFG16">
        <v>99.114999999999995</v>
      </c>
      <c r="BFH16">
        <v>99.034999999999997</v>
      </c>
      <c r="BFI16">
        <v>99.034999999999997</v>
      </c>
      <c r="BFJ16">
        <v>99.01</v>
      </c>
      <c r="BFK16">
        <v>99.05</v>
      </c>
      <c r="BFL16">
        <v>99.004999999999995</v>
      </c>
      <c r="BFM16">
        <v>98.96</v>
      </c>
      <c r="BFN16">
        <v>98.984999999999999</v>
      </c>
      <c r="BFO16">
        <v>98.88</v>
      </c>
      <c r="BFP16">
        <v>98.91</v>
      </c>
      <c r="BFQ16">
        <v>98.944999999999993</v>
      </c>
      <c r="BFR16">
        <v>98.905000000000001</v>
      </c>
      <c r="BFS16">
        <v>98.965000000000003</v>
      </c>
      <c r="BFT16">
        <v>98.96</v>
      </c>
      <c r="BFU16">
        <v>98.89</v>
      </c>
      <c r="BFV16">
        <v>98.805000000000007</v>
      </c>
      <c r="BFW16">
        <v>98.91</v>
      </c>
      <c r="BFX16">
        <v>98.83</v>
      </c>
      <c r="BFY16">
        <v>98.875</v>
      </c>
      <c r="BFZ16">
        <v>98.95</v>
      </c>
      <c r="BGA16">
        <v>98.855000000000004</v>
      </c>
      <c r="BGB16">
        <v>98.92</v>
      </c>
      <c r="BGC16">
        <v>98.704999999999998</v>
      </c>
      <c r="BGD16">
        <v>98.685000000000002</v>
      </c>
      <c r="BGE16">
        <v>98.495000000000005</v>
      </c>
      <c r="BGF16">
        <v>98.504999999999995</v>
      </c>
      <c r="BGG16">
        <v>98.515000000000001</v>
      </c>
      <c r="BGH16">
        <v>98.495000000000005</v>
      </c>
      <c r="BGI16">
        <v>98.52</v>
      </c>
      <c r="BGJ16">
        <v>98.545000000000002</v>
      </c>
      <c r="BGK16">
        <v>98.54</v>
      </c>
      <c r="BGL16">
        <v>98.57</v>
      </c>
      <c r="BGM16">
        <v>98.55</v>
      </c>
      <c r="BGN16">
        <v>98.6</v>
      </c>
      <c r="BGO16">
        <v>98.515000000000001</v>
      </c>
      <c r="BGP16">
        <v>98.46</v>
      </c>
      <c r="BGQ16">
        <v>98.49</v>
      </c>
      <c r="BGR16">
        <v>98.484999999999999</v>
      </c>
      <c r="BGS16">
        <v>98.47</v>
      </c>
      <c r="BGT16">
        <v>98.52</v>
      </c>
      <c r="BGU16">
        <v>98.48</v>
      </c>
      <c r="BGV16">
        <v>98.5</v>
      </c>
      <c r="BGW16">
        <v>98.495000000000005</v>
      </c>
      <c r="BGX16">
        <v>98.58</v>
      </c>
      <c r="BGY16">
        <v>98.58</v>
      </c>
      <c r="BGZ16">
        <v>98.575000000000003</v>
      </c>
      <c r="BHA16">
        <v>98.525000000000006</v>
      </c>
      <c r="BHB16">
        <v>98.57</v>
      </c>
      <c r="BHC16">
        <v>98.584999999999994</v>
      </c>
      <c r="BHD16">
        <v>98.555000000000007</v>
      </c>
      <c r="BHE16">
        <v>98.64</v>
      </c>
      <c r="BHF16">
        <v>98.614999999999995</v>
      </c>
      <c r="BHG16">
        <v>98.564999999999998</v>
      </c>
      <c r="BHH16">
        <v>98.62</v>
      </c>
      <c r="BHI16">
        <v>98.625</v>
      </c>
      <c r="BHJ16">
        <v>98.52</v>
      </c>
      <c r="BHK16">
        <v>98.52</v>
      </c>
      <c r="BHL16">
        <v>98.54</v>
      </c>
      <c r="BHM16">
        <v>98.545000000000002</v>
      </c>
      <c r="BHN16">
        <v>98.474999999999994</v>
      </c>
      <c r="BHO16">
        <v>98.424999999999997</v>
      </c>
      <c r="BHP16">
        <v>98.42</v>
      </c>
      <c r="BHQ16">
        <v>98.46</v>
      </c>
      <c r="BHR16">
        <v>98.444999999999993</v>
      </c>
      <c r="BHS16">
        <v>98.5</v>
      </c>
      <c r="BHT16">
        <v>98.48</v>
      </c>
      <c r="BHU16">
        <v>98.525000000000006</v>
      </c>
      <c r="BHV16">
        <v>98.474999999999994</v>
      </c>
      <c r="BHW16">
        <v>98.334999999999994</v>
      </c>
      <c r="BHX16">
        <v>98.34</v>
      </c>
      <c r="BHY16">
        <v>98.305000000000007</v>
      </c>
      <c r="BHZ16">
        <v>98.25</v>
      </c>
      <c r="BIA16">
        <v>98.25</v>
      </c>
      <c r="BIB16">
        <v>98.28</v>
      </c>
      <c r="BIC16">
        <v>98.144999999999996</v>
      </c>
      <c r="BID16">
        <v>98.11</v>
      </c>
      <c r="BIE16">
        <v>98.14</v>
      </c>
      <c r="BIF16">
        <v>98.165000000000006</v>
      </c>
      <c r="BIG16">
        <v>98.155000000000001</v>
      </c>
      <c r="BIH16">
        <v>98.2</v>
      </c>
      <c r="BII16">
        <v>98.15</v>
      </c>
      <c r="BIJ16">
        <v>98.16</v>
      </c>
      <c r="BIK16">
        <v>98.084999999999994</v>
      </c>
      <c r="BIL16">
        <v>98.07</v>
      </c>
      <c r="BIM16">
        <v>98.034999999999997</v>
      </c>
      <c r="BIN16">
        <v>98.064999999999998</v>
      </c>
      <c r="BIO16">
        <v>98.01</v>
      </c>
      <c r="BIP16">
        <v>97.97</v>
      </c>
      <c r="BIQ16">
        <v>97.965000000000003</v>
      </c>
      <c r="BIR16">
        <v>98.025000000000006</v>
      </c>
      <c r="BIS16">
        <v>98.064999999999998</v>
      </c>
      <c r="BIT16">
        <v>98.04</v>
      </c>
      <c r="BIU16">
        <v>98.045000000000002</v>
      </c>
      <c r="BIV16">
        <v>97.995000000000005</v>
      </c>
      <c r="BIW16">
        <v>98.01</v>
      </c>
      <c r="BIX16">
        <v>97.954999999999998</v>
      </c>
      <c r="BIY16">
        <v>97.935000000000002</v>
      </c>
      <c r="BIZ16">
        <v>97.935000000000002</v>
      </c>
      <c r="BJA16">
        <v>97.935000000000002</v>
      </c>
      <c r="BJB16">
        <v>97.91</v>
      </c>
      <c r="BJC16">
        <v>97.905000000000001</v>
      </c>
      <c r="BJD16">
        <v>97.935000000000002</v>
      </c>
      <c r="BJE16">
        <v>97.93</v>
      </c>
      <c r="BJF16">
        <v>98.004999999999995</v>
      </c>
      <c r="BJG16">
        <v>98.04</v>
      </c>
      <c r="BJH16">
        <v>98.004999999999995</v>
      </c>
      <c r="BJI16">
        <v>97.97</v>
      </c>
      <c r="BJJ16">
        <v>97.98</v>
      </c>
      <c r="BJK16">
        <v>97.99</v>
      </c>
      <c r="BJL16">
        <v>98</v>
      </c>
      <c r="BJM16">
        <v>98.02</v>
      </c>
      <c r="BJN16">
        <v>98.01</v>
      </c>
      <c r="BJO16">
        <v>98.09</v>
      </c>
      <c r="BJP16">
        <v>98.165000000000006</v>
      </c>
      <c r="BJQ16">
        <v>98.2</v>
      </c>
      <c r="BJR16">
        <v>98.15</v>
      </c>
      <c r="BJS16">
        <v>98.18</v>
      </c>
      <c r="BJT16">
        <v>98.075000000000003</v>
      </c>
      <c r="BJU16">
        <v>97.96</v>
      </c>
      <c r="BJV16">
        <v>97.94</v>
      </c>
      <c r="BJW16">
        <v>97.85</v>
      </c>
      <c r="BJX16">
        <v>97.864999999999995</v>
      </c>
      <c r="BJY16">
        <v>97.87</v>
      </c>
      <c r="BJZ16">
        <v>97.84</v>
      </c>
      <c r="BKA16">
        <v>97.844999999999999</v>
      </c>
      <c r="BKB16">
        <v>97.825000000000003</v>
      </c>
      <c r="BKC16">
        <v>97.795000000000002</v>
      </c>
      <c r="BKD16">
        <v>97.805000000000007</v>
      </c>
      <c r="BKE16">
        <v>97.79</v>
      </c>
      <c r="BKF16">
        <v>97.715000000000003</v>
      </c>
      <c r="BKG16">
        <v>97.68</v>
      </c>
      <c r="BKH16">
        <v>97.685000000000002</v>
      </c>
      <c r="BKI16">
        <v>97.674999999999997</v>
      </c>
      <c r="BKJ16">
        <v>97.745000000000005</v>
      </c>
      <c r="BKK16">
        <v>97.765000000000001</v>
      </c>
      <c r="BKL16">
        <v>97.79</v>
      </c>
      <c r="BKM16">
        <v>97.76</v>
      </c>
      <c r="BKN16">
        <v>97.765000000000001</v>
      </c>
      <c r="BKO16">
        <v>97.72</v>
      </c>
      <c r="BKP16">
        <v>97.76</v>
      </c>
      <c r="BKQ16">
        <v>97.754999999999995</v>
      </c>
      <c r="BKR16">
        <v>97.74</v>
      </c>
      <c r="BKS16">
        <v>97.74</v>
      </c>
      <c r="BKT16">
        <v>97.745000000000005</v>
      </c>
      <c r="BKU16">
        <v>97.704999999999998</v>
      </c>
      <c r="BKV16">
        <v>97.765000000000001</v>
      </c>
      <c r="BKW16">
        <v>97.795000000000002</v>
      </c>
      <c r="BKX16">
        <v>97.82</v>
      </c>
      <c r="BKY16">
        <v>97.784999999999997</v>
      </c>
      <c r="BKZ16">
        <v>97.73</v>
      </c>
      <c r="BLA16">
        <v>97.72</v>
      </c>
      <c r="BLB16">
        <v>97.715000000000003</v>
      </c>
      <c r="BLC16">
        <v>97.734999999999999</v>
      </c>
      <c r="BLD16">
        <v>97.76</v>
      </c>
      <c r="BLE16">
        <v>97.69</v>
      </c>
      <c r="BLF16">
        <v>97.64</v>
      </c>
      <c r="BLG16">
        <v>97.635000000000005</v>
      </c>
      <c r="BLH16">
        <v>97.625</v>
      </c>
      <c r="BLI16">
        <v>97.65</v>
      </c>
      <c r="BLJ16">
        <v>97.635000000000005</v>
      </c>
      <c r="BLK16">
        <v>97.64</v>
      </c>
      <c r="BLL16">
        <v>97.594999999999999</v>
      </c>
      <c r="BLM16">
        <v>97.594999999999999</v>
      </c>
      <c r="BLN16">
        <v>97.665000000000006</v>
      </c>
      <c r="BLO16">
        <v>97.694999999999993</v>
      </c>
      <c r="BLP16">
        <v>97.72</v>
      </c>
      <c r="BLQ16">
        <v>97.71</v>
      </c>
      <c r="BLR16">
        <v>97.715000000000003</v>
      </c>
      <c r="BLS16">
        <v>97.7</v>
      </c>
      <c r="BLT16">
        <v>97.704999999999998</v>
      </c>
      <c r="BLU16">
        <v>97.694999999999993</v>
      </c>
      <c r="BLV16">
        <v>97.765000000000001</v>
      </c>
      <c r="BLW16">
        <v>97.81</v>
      </c>
      <c r="BLX16">
        <v>97.875</v>
      </c>
      <c r="BLY16">
        <v>97.69</v>
      </c>
      <c r="BLZ16">
        <v>97.7</v>
      </c>
      <c r="BMA16">
        <v>97.7</v>
      </c>
      <c r="BMB16">
        <v>97.694999999999993</v>
      </c>
      <c r="BMC16">
        <v>97.685000000000002</v>
      </c>
      <c r="BMD16">
        <v>97.63</v>
      </c>
      <c r="BME16">
        <v>97.605000000000004</v>
      </c>
      <c r="BMF16">
        <v>97.605000000000004</v>
      </c>
      <c r="BMG16">
        <v>97.545000000000002</v>
      </c>
      <c r="BMH16">
        <v>97.51</v>
      </c>
      <c r="BMI16">
        <v>97.5</v>
      </c>
      <c r="BMJ16">
        <v>97.5</v>
      </c>
      <c r="BMK16">
        <v>97.45</v>
      </c>
      <c r="BML16">
        <v>97.415000000000006</v>
      </c>
      <c r="BMM16">
        <v>97.385000000000005</v>
      </c>
      <c r="BMN16">
        <v>97.39</v>
      </c>
      <c r="BMO16">
        <v>97.424999999999997</v>
      </c>
      <c r="BMP16">
        <v>97.465000000000003</v>
      </c>
      <c r="BMQ16">
        <v>97.43</v>
      </c>
      <c r="BMR16">
        <v>97.39</v>
      </c>
      <c r="BMS16">
        <v>97.284999999999997</v>
      </c>
      <c r="BMT16">
        <v>97.284999999999997</v>
      </c>
      <c r="BMU16">
        <v>97.254999999999995</v>
      </c>
      <c r="BMV16">
        <v>97.275000000000006</v>
      </c>
      <c r="BMW16">
        <v>97.27</v>
      </c>
      <c r="BMX16">
        <v>97.265000000000001</v>
      </c>
      <c r="BMY16">
        <v>97.23</v>
      </c>
      <c r="BMZ16">
        <v>97.215000000000003</v>
      </c>
      <c r="BNA16">
        <v>97.224999999999994</v>
      </c>
      <c r="BNB16">
        <v>97.224999999999994</v>
      </c>
      <c r="BNC16">
        <v>97.224999999999994</v>
      </c>
      <c r="BND16">
        <v>97.234999999999999</v>
      </c>
      <c r="BNE16">
        <v>97.24</v>
      </c>
      <c r="BNF16">
        <v>97.204999999999998</v>
      </c>
      <c r="BNG16">
        <v>97.155000000000001</v>
      </c>
      <c r="BNH16">
        <v>97.144999999999996</v>
      </c>
      <c r="BNI16">
        <v>97.09</v>
      </c>
      <c r="BNJ16">
        <v>97.07</v>
      </c>
      <c r="BNK16">
        <v>97.05</v>
      </c>
      <c r="BNL16">
        <v>97.034999999999997</v>
      </c>
      <c r="BNM16">
        <v>97.07</v>
      </c>
      <c r="BNN16">
        <v>97.08</v>
      </c>
      <c r="BNO16">
        <v>97.09</v>
      </c>
      <c r="BNP16">
        <v>97.094999999999999</v>
      </c>
      <c r="BNQ16">
        <v>97.135000000000005</v>
      </c>
      <c r="BNR16">
        <v>97.125</v>
      </c>
      <c r="BNS16">
        <v>97.155000000000001</v>
      </c>
      <c r="BNT16">
        <v>97.155000000000001</v>
      </c>
      <c r="BNU16">
        <v>97.16</v>
      </c>
      <c r="BNV16">
        <v>97.09</v>
      </c>
      <c r="BNW16">
        <v>97.09</v>
      </c>
      <c r="BNX16">
        <v>97.06</v>
      </c>
      <c r="BNY16">
        <v>97.025000000000006</v>
      </c>
      <c r="BNZ16">
        <v>97.02</v>
      </c>
      <c r="BOA16">
        <v>97.04</v>
      </c>
      <c r="BOB16">
        <v>97.03</v>
      </c>
      <c r="BOC16">
        <v>97.03</v>
      </c>
      <c r="BOD16">
        <v>97.034999999999997</v>
      </c>
      <c r="BOE16">
        <v>97.045000000000002</v>
      </c>
      <c r="BOF16">
        <v>97.025000000000006</v>
      </c>
      <c r="BOG16">
        <v>96.974999999999994</v>
      </c>
      <c r="BOH16">
        <v>96.965000000000003</v>
      </c>
      <c r="BOI16">
        <v>96.97</v>
      </c>
      <c r="BOJ16">
        <v>96.974999999999994</v>
      </c>
      <c r="BOK16">
        <v>97</v>
      </c>
      <c r="BOL16">
        <v>97.034999999999997</v>
      </c>
      <c r="BOM16">
        <v>97.084999999999994</v>
      </c>
      <c r="BON16">
        <v>97.075000000000003</v>
      </c>
      <c r="BOO16">
        <v>97.075000000000003</v>
      </c>
      <c r="BOP16">
        <v>97.055000000000007</v>
      </c>
      <c r="BOQ16">
        <v>97.055000000000007</v>
      </c>
      <c r="BOR16">
        <v>97.045000000000002</v>
      </c>
      <c r="BOS16">
        <v>97.06</v>
      </c>
      <c r="BOT16">
        <v>97.064999999999998</v>
      </c>
      <c r="BOU16">
        <v>97.055000000000007</v>
      </c>
      <c r="BOV16">
        <v>97.075000000000003</v>
      </c>
      <c r="BOW16">
        <v>97.114999999999995</v>
      </c>
      <c r="BOX16">
        <v>97.144999999999996</v>
      </c>
      <c r="BOY16">
        <v>97.144999999999996</v>
      </c>
      <c r="BOZ16">
        <v>97.18</v>
      </c>
      <c r="BPA16">
        <v>97.204999999999998</v>
      </c>
      <c r="BPB16">
        <v>97.204999999999998</v>
      </c>
      <c r="BPC16">
        <v>97.254999999999995</v>
      </c>
      <c r="BPD16">
        <v>97.254999999999995</v>
      </c>
      <c r="BPE16">
        <v>97.314999999999998</v>
      </c>
      <c r="BPF16">
        <v>97.3</v>
      </c>
      <c r="BPG16">
        <v>97.305000000000007</v>
      </c>
      <c r="BPH16">
        <v>97.325000000000003</v>
      </c>
      <c r="BPI16">
        <v>97.325000000000003</v>
      </c>
      <c r="BPJ16">
        <v>97.29</v>
      </c>
      <c r="BPK16">
        <v>97.28</v>
      </c>
      <c r="BPL16">
        <v>97.295000000000002</v>
      </c>
      <c r="BPM16">
        <v>97.31</v>
      </c>
      <c r="BPN16">
        <v>97.33</v>
      </c>
      <c r="BPO16">
        <v>97.33</v>
      </c>
      <c r="BPP16">
        <v>97.35</v>
      </c>
      <c r="BPQ16">
        <v>97.34</v>
      </c>
      <c r="BPR16">
        <v>97.35</v>
      </c>
      <c r="BPS16">
        <v>97.325000000000003</v>
      </c>
      <c r="BPT16">
        <v>97.32</v>
      </c>
      <c r="BPU16">
        <v>97.34</v>
      </c>
      <c r="BPV16">
        <v>97.305000000000007</v>
      </c>
      <c r="BPW16">
        <v>97.33</v>
      </c>
      <c r="BPX16">
        <v>97.334999999999994</v>
      </c>
      <c r="BPY16">
        <v>97.27</v>
      </c>
      <c r="BPZ16">
        <v>97.254999999999995</v>
      </c>
      <c r="BQA16">
        <v>97.25</v>
      </c>
      <c r="BQB16">
        <v>97.254999999999995</v>
      </c>
      <c r="BQC16">
        <v>97.245000000000005</v>
      </c>
      <c r="BQD16">
        <v>97.234999999999999</v>
      </c>
      <c r="BQE16">
        <v>97.245000000000005</v>
      </c>
      <c r="BQF16">
        <v>97.25</v>
      </c>
      <c r="BQG16">
        <v>97.25</v>
      </c>
      <c r="BQH16">
        <v>97.24</v>
      </c>
      <c r="BQI16">
        <v>97.234999999999999</v>
      </c>
      <c r="BQJ16">
        <v>97.28</v>
      </c>
      <c r="BQK16">
        <v>97.28</v>
      </c>
      <c r="BQL16">
        <v>97.29</v>
      </c>
      <c r="BQM16">
        <v>97.325000000000003</v>
      </c>
      <c r="BQN16">
        <v>97.33</v>
      </c>
      <c r="BQO16">
        <v>97.314999999999998</v>
      </c>
      <c r="BQP16">
        <v>97.32</v>
      </c>
      <c r="BQQ16">
        <v>97.344999999999999</v>
      </c>
      <c r="BQR16">
        <v>97.355000000000004</v>
      </c>
      <c r="BQS16">
        <v>97.34</v>
      </c>
      <c r="BQT16">
        <v>97.344999999999999</v>
      </c>
      <c r="BQU16">
        <v>97.34</v>
      </c>
      <c r="BQV16">
        <v>97.35</v>
      </c>
      <c r="BQW16">
        <v>97.36</v>
      </c>
      <c r="BQX16">
        <v>97.34</v>
      </c>
      <c r="BQY16">
        <v>97.355000000000004</v>
      </c>
      <c r="BQZ16">
        <v>97.355000000000004</v>
      </c>
      <c r="BRA16">
        <v>97.35</v>
      </c>
      <c r="BRB16">
        <v>97.35</v>
      </c>
      <c r="BRC16">
        <v>97.355000000000004</v>
      </c>
      <c r="BRD16">
        <v>97.35</v>
      </c>
      <c r="BRE16">
        <v>97.305000000000007</v>
      </c>
      <c r="BRF16">
        <v>97.29</v>
      </c>
      <c r="BRG16">
        <v>97.26</v>
      </c>
      <c r="BRH16">
        <v>97.26</v>
      </c>
      <c r="BRI16">
        <v>97.25</v>
      </c>
      <c r="BRJ16">
        <v>97.254999999999995</v>
      </c>
      <c r="BRK16">
        <v>97.224999999999994</v>
      </c>
      <c r="BRL16">
        <v>97.234999999999999</v>
      </c>
      <c r="BRM16">
        <v>97.22</v>
      </c>
      <c r="BRN16">
        <v>97.22</v>
      </c>
      <c r="BRO16">
        <v>97.254999999999995</v>
      </c>
      <c r="BRP16">
        <v>97.27</v>
      </c>
      <c r="BRQ16">
        <v>97.28</v>
      </c>
      <c r="BRR16">
        <v>97.245000000000005</v>
      </c>
      <c r="BRS16">
        <v>97.234999999999999</v>
      </c>
      <c r="BRT16">
        <v>97.275000000000006</v>
      </c>
      <c r="BRU16">
        <v>97.254999999999995</v>
      </c>
      <c r="BRV16">
        <v>97.295000000000002</v>
      </c>
      <c r="BRW16">
        <v>97.364999999999995</v>
      </c>
      <c r="BRX16">
        <v>97.36</v>
      </c>
      <c r="BRY16">
        <v>97.454999999999998</v>
      </c>
      <c r="BRZ16">
        <v>97.24</v>
      </c>
      <c r="BSA16">
        <v>97.24</v>
      </c>
      <c r="BSB16">
        <v>97.21</v>
      </c>
      <c r="BSC16">
        <v>97.18</v>
      </c>
      <c r="BSD16">
        <v>97.13</v>
      </c>
      <c r="BSE16">
        <v>97.12</v>
      </c>
      <c r="BSF16">
        <v>97.135000000000005</v>
      </c>
      <c r="BSG16">
        <v>97.11</v>
      </c>
      <c r="BSH16">
        <v>97.125</v>
      </c>
      <c r="BSI16">
        <v>97.135000000000005</v>
      </c>
      <c r="BSJ16">
        <v>97.165000000000006</v>
      </c>
      <c r="BSK16">
        <v>97.17</v>
      </c>
      <c r="BSL16">
        <v>97.185000000000002</v>
      </c>
      <c r="BSM16">
        <v>97.204999999999998</v>
      </c>
      <c r="BSN16">
        <v>97.23</v>
      </c>
      <c r="BSO16">
        <v>97.24</v>
      </c>
      <c r="BSP16">
        <v>97.265000000000001</v>
      </c>
      <c r="BSQ16" t="s">
        <v>6984</v>
      </c>
      <c r="BSR16" t="s">
        <v>6984</v>
      </c>
      <c r="BSS16" t="s">
        <v>6984</v>
      </c>
      <c r="BST16" t="s">
        <v>6984</v>
      </c>
      <c r="BSU16" t="s">
        <v>6984</v>
      </c>
      <c r="BSV16" t="s">
        <v>6984</v>
      </c>
      <c r="BSW16" t="s">
        <v>6984</v>
      </c>
      <c r="BSX16" t="s">
        <v>6984</v>
      </c>
      <c r="BSY16" t="s">
        <v>6984</v>
      </c>
      <c r="BSZ16" t="s">
        <v>6984</v>
      </c>
      <c r="BTA16" t="s">
        <v>6984</v>
      </c>
      <c r="BTB16" t="s">
        <v>6984</v>
      </c>
      <c r="BTC16" t="s">
        <v>6984</v>
      </c>
      <c r="BTD16" t="s">
        <v>6984</v>
      </c>
      <c r="BTE16" t="s">
        <v>6984</v>
      </c>
      <c r="BTF16" t="s">
        <v>6984</v>
      </c>
      <c r="BTG16" t="s">
        <v>6984</v>
      </c>
      <c r="BTH16" t="s">
        <v>6984</v>
      </c>
      <c r="BTI16" t="s">
        <v>6984</v>
      </c>
      <c r="BTJ16" t="s">
        <v>6984</v>
      </c>
      <c r="BTK16" t="s">
        <v>6984</v>
      </c>
      <c r="BTL16" t="s">
        <v>6984</v>
      </c>
      <c r="BTM16" t="s">
        <v>6984</v>
      </c>
      <c r="BTN16" t="s">
        <v>6984</v>
      </c>
      <c r="BTO16" t="s">
        <v>6984</v>
      </c>
      <c r="BTP16" t="s">
        <v>6984</v>
      </c>
      <c r="BTQ16" t="s">
        <v>6984</v>
      </c>
      <c r="BTR16" t="s">
        <v>6984</v>
      </c>
      <c r="BTS16" t="s">
        <v>6984</v>
      </c>
      <c r="BTT16" t="s">
        <v>6984</v>
      </c>
      <c r="BTU16" t="s">
        <v>6984</v>
      </c>
      <c r="BTV16" t="s">
        <v>6984</v>
      </c>
      <c r="BTW16" t="s">
        <v>6984</v>
      </c>
      <c r="BTX16" t="s">
        <v>6984</v>
      </c>
      <c r="BTY16" t="s">
        <v>6984</v>
      </c>
      <c r="BTZ16" t="s">
        <v>6984</v>
      </c>
      <c r="BUA16" t="s">
        <v>6984</v>
      </c>
      <c r="BUB16" t="s">
        <v>6984</v>
      </c>
      <c r="BUC16" t="s">
        <v>6984</v>
      </c>
      <c r="BUD16" t="s">
        <v>6984</v>
      </c>
      <c r="BUE16" t="s">
        <v>6984</v>
      </c>
      <c r="BUF16" t="s">
        <v>6984</v>
      </c>
      <c r="BUG16" t="s">
        <v>6984</v>
      </c>
      <c r="BUH16" t="s">
        <v>6984</v>
      </c>
      <c r="BUI16" t="s">
        <v>6984</v>
      </c>
      <c r="BUJ16" t="s">
        <v>6984</v>
      </c>
      <c r="BUK16" t="s">
        <v>6984</v>
      </c>
      <c r="BUL16" t="s">
        <v>6984</v>
      </c>
      <c r="BUM16" t="s">
        <v>6984</v>
      </c>
      <c r="BUN16" t="s">
        <v>6984</v>
      </c>
      <c r="BUO16" t="s">
        <v>6984</v>
      </c>
      <c r="BUP16" t="s">
        <v>6984</v>
      </c>
      <c r="BUQ16" t="s">
        <v>6984</v>
      </c>
      <c r="BUR16" t="s">
        <v>6984</v>
      </c>
      <c r="BUS16" t="s">
        <v>6984</v>
      </c>
      <c r="BUT16" t="s">
        <v>6984</v>
      </c>
      <c r="BUU16" t="s">
        <v>6984</v>
      </c>
      <c r="BUV16" t="s">
        <v>6984</v>
      </c>
      <c r="BUW16" t="s">
        <v>6984</v>
      </c>
      <c r="BUX16" t="s">
        <v>6984</v>
      </c>
      <c r="BUY16" t="s">
        <v>6984</v>
      </c>
      <c r="BUZ16" t="s">
        <v>6984</v>
      </c>
      <c r="BVA16" t="s">
        <v>6984</v>
      </c>
      <c r="BVB16" t="s">
        <v>6984</v>
      </c>
      <c r="BVC16" t="s">
        <v>6984</v>
      </c>
      <c r="BVD16" t="s">
        <v>6984</v>
      </c>
      <c r="BVE16" t="s">
        <v>6984</v>
      </c>
      <c r="BVF16" t="s">
        <v>6984</v>
      </c>
      <c r="BVG16" t="s">
        <v>6984</v>
      </c>
      <c r="BVH16" t="s">
        <v>6984</v>
      </c>
      <c r="BVI16" t="s">
        <v>6984</v>
      </c>
      <c r="BVJ16" t="s">
        <v>6984</v>
      </c>
      <c r="BVK16" t="s">
        <v>6984</v>
      </c>
      <c r="BVL16" t="s">
        <v>6984</v>
      </c>
      <c r="BVM16" t="s">
        <v>6984</v>
      </c>
      <c r="BVN16" t="s">
        <v>6984</v>
      </c>
      <c r="BVO16" t="s">
        <v>6984</v>
      </c>
      <c r="BVP16" t="s">
        <v>6984</v>
      </c>
      <c r="BVQ16" t="s">
        <v>6984</v>
      </c>
      <c r="BVR16" t="s">
        <v>6984</v>
      </c>
      <c r="BVS16" t="s">
        <v>6984</v>
      </c>
      <c r="BVT16" t="s">
        <v>6984</v>
      </c>
      <c r="BVU16" t="s">
        <v>6984</v>
      </c>
      <c r="BVV16" t="s">
        <v>6984</v>
      </c>
      <c r="BVW16" t="s">
        <v>6984</v>
      </c>
      <c r="BVX16" t="s">
        <v>6984</v>
      </c>
      <c r="BVY16" t="s">
        <v>6984</v>
      </c>
      <c r="BVZ16" t="s">
        <v>6984</v>
      </c>
      <c r="BWA16" t="s">
        <v>6984</v>
      </c>
      <c r="BWB16" t="s">
        <v>6984</v>
      </c>
      <c r="BWC16" t="s">
        <v>6984</v>
      </c>
      <c r="BWD16" t="s">
        <v>6984</v>
      </c>
      <c r="BWE16" t="s">
        <v>6984</v>
      </c>
      <c r="BWF16" t="s">
        <v>6984</v>
      </c>
      <c r="BWG16" t="s">
        <v>6984</v>
      </c>
      <c r="BWH16" t="s">
        <v>6984</v>
      </c>
      <c r="BWI16" t="s">
        <v>6984</v>
      </c>
      <c r="BWJ16" t="s">
        <v>6984</v>
      </c>
      <c r="BWK16" t="s">
        <v>6984</v>
      </c>
      <c r="BWL16" t="s">
        <v>6984</v>
      </c>
      <c r="BWM16" t="s">
        <v>6984</v>
      </c>
      <c r="BWN16" t="s">
        <v>6984</v>
      </c>
      <c r="BWO16" t="s">
        <v>6984</v>
      </c>
      <c r="BWP16" t="s">
        <v>6984</v>
      </c>
      <c r="BWQ16" t="s">
        <v>6984</v>
      </c>
      <c r="BWR16" t="s">
        <v>6984</v>
      </c>
      <c r="BWS16" t="s">
        <v>6984</v>
      </c>
      <c r="BWT16" t="s">
        <v>6984</v>
      </c>
      <c r="BWU16" t="s">
        <v>6984</v>
      </c>
      <c r="BWV16" t="s">
        <v>6984</v>
      </c>
      <c r="BWW16" t="s">
        <v>6984</v>
      </c>
      <c r="BWX16" t="s">
        <v>6984</v>
      </c>
      <c r="BWY16" t="s">
        <v>6984</v>
      </c>
      <c r="BWZ16" t="s">
        <v>6984</v>
      </c>
      <c r="BXA16" t="s">
        <v>6984</v>
      </c>
      <c r="BXB16" t="s">
        <v>6984</v>
      </c>
      <c r="BXC16" t="s">
        <v>6984</v>
      </c>
      <c r="BXD16" t="s">
        <v>6984</v>
      </c>
      <c r="BXE16" t="s">
        <v>6984</v>
      </c>
      <c r="BXF16" t="s">
        <v>6984</v>
      </c>
      <c r="BXG16" t="s">
        <v>6984</v>
      </c>
      <c r="BXH16" t="s">
        <v>6984</v>
      </c>
      <c r="BXI16" t="s">
        <v>6984</v>
      </c>
      <c r="BXJ16" t="s">
        <v>6984</v>
      </c>
      <c r="BXK16" t="s">
        <v>6984</v>
      </c>
      <c r="BXL16" t="s">
        <v>6984</v>
      </c>
      <c r="BXM16" t="s">
        <v>6984</v>
      </c>
      <c r="BXN16" t="s">
        <v>6984</v>
      </c>
      <c r="BXO16" t="s">
        <v>6984</v>
      </c>
      <c r="BXP16" t="s">
        <v>6984</v>
      </c>
      <c r="BXQ16" t="s">
        <v>6984</v>
      </c>
      <c r="BXR16" t="s">
        <v>6984</v>
      </c>
      <c r="BXS16" t="s">
        <v>6984</v>
      </c>
      <c r="BXT16" t="s">
        <v>6984</v>
      </c>
      <c r="BXU16" t="s">
        <v>6984</v>
      </c>
      <c r="BXV16" t="s">
        <v>6984</v>
      </c>
      <c r="BXW16" t="s">
        <v>6984</v>
      </c>
      <c r="BXX16" t="s">
        <v>6984</v>
      </c>
      <c r="BXY16" t="s">
        <v>6984</v>
      </c>
      <c r="BXZ16" t="s">
        <v>6984</v>
      </c>
      <c r="BYA16" t="s">
        <v>6984</v>
      </c>
      <c r="BYB16" t="s">
        <v>6984</v>
      </c>
      <c r="BYC16" t="s">
        <v>6984</v>
      </c>
      <c r="BYD16" t="s">
        <v>6984</v>
      </c>
      <c r="BYE16" t="s">
        <v>6984</v>
      </c>
      <c r="BYF16" t="s">
        <v>6984</v>
      </c>
      <c r="BYG16" t="s">
        <v>6984</v>
      </c>
      <c r="BYH16" t="s">
        <v>6984</v>
      </c>
      <c r="BYI16" t="s">
        <v>6984</v>
      </c>
      <c r="BYJ16" t="s">
        <v>6984</v>
      </c>
      <c r="BYK16" t="s">
        <v>6984</v>
      </c>
      <c r="BYL16" t="s">
        <v>6984</v>
      </c>
      <c r="BYM16" t="s">
        <v>6984</v>
      </c>
      <c r="BYN16" t="s">
        <v>6984</v>
      </c>
      <c r="BYO16" t="s">
        <v>6984</v>
      </c>
      <c r="BYP16" t="s">
        <v>6984</v>
      </c>
      <c r="BYQ16" t="s">
        <v>6984</v>
      </c>
      <c r="BYR16" t="s">
        <v>6984</v>
      </c>
      <c r="BYS16" t="s">
        <v>6984</v>
      </c>
      <c r="BYT16" t="s">
        <v>6984</v>
      </c>
      <c r="BYU16" t="s">
        <v>6984</v>
      </c>
      <c r="BYV16" t="s">
        <v>6984</v>
      </c>
      <c r="BYW16" t="s">
        <v>6984</v>
      </c>
      <c r="BYX16" t="s">
        <v>6984</v>
      </c>
      <c r="BYY16" t="s">
        <v>6984</v>
      </c>
      <c r="BYZ16" t="s">
        <v>6984</v>
      </c>
      <c r="BZA16" t="s">
        <v>6984</v>
      </c>
      <c r="BZB16" t="s">
        <v>6984</v>
      </c>
      <c r="BZC16" t="s">
        <v>6984</v>
      </c>
      <c r="BZD16" t="s">
        <v>6984</v>
      </c>
      <c r="BZE16" t="s">
        <v>6984</v>
      </c>
      <c r="BZF16" t="s">
        <v>6984</v>
      </c>
      <c r="BZG16" t="s">
        <v>6984</v>
      </c>
      <c r="BZH16" t="s">
        <v>6984</v>
      </c>
      <c r="BZI16" t="s">
        <v>6984</v>
      </c>
      <c r="BZJ16" t="s">
        <v>6984</v>
      </c>
      <c r="BZK16" t="s">
        <v>6984</v>
      </c>
      <c r="BZL16" t="s">
        <v>6984</v>
      </c>
      <c r="BZM16" t="s">
        <v>6984</v>
      </c>
      <c r="BZN16" t="s">
        <v>6984</v>
      </c>
      <c r="BZO16" t="s">
        <v>6984</v>
      </c>
      <c r="BZP16" t="s">
        <v>6984</v>
      </c>
      <c r="BZQ16" t="s">
        <v>6984</v>
      </c>
      <c r="BZR16" t="s">
        <v>6984</v>
      </c>
      <c r="BZS16" t="s">
        <v>6984</v>
      </c>
      <c r="BZT16" t="s">
        <v>6984</v>
      </c>
      <c r="BZU16" t="s">
        <v>6984</v>
      </c>
      <c r="BZV16" t="s">
        <v>6984</v>
      </c>
      <c r="BZW16" t="s">
        <v>6984</v>
      </c>
      <c r="BZX16" t="s">
        <v>6984</v>
      </c>
      <c r="BZY16" t="s">
        <v>6984</v>
      </c>
      <c r="BZZ16" t="s">
        <v>6984</v>
      </c>
      <c r="CAA16" t="s">
        <v>6984</v>
      </c>
      <c r="CAB16" t="s">
        <v>6984</v>
      </c>
      <c r="CAC16" t="s">
        <v>6984</v>
      </c>
      <c r="CAD16" t="s">
        <v>6984</v>
      </c>
      <c r="CAE16" t="s">
        <v>6984</v>
      </c>
      <c r="CAF16" t="s">
        <v>6984</v>
      </c>
      <c r="CAG16" t="s">
        <v>6984</v>
      </c>
      <c r="CAH16" t="s">
        <v>6984</v>
      </c>
      <c r="CAI16" t="s">
        <v>6984</v>
      </c>
      <c r="CAJ16" t="s">
        <v>6984</v>
      </c>
      <c r="CAK16" t="s">
        <v>6984</v>
      </c>
      <c r="CAL16" t="s">
        <v>6984</v>
      </c>
      <c r="CAM16" t="s">
        <v>6984</v>
      </c>
      <c r="CAN16" t="s">
        <v>6984</v>
      </c>
      <c r="CAO16" t="s">
        <v>6984</v>
      </c>
      <c r="CAP16" t="s">
        <v>6984</v>
      </c>
      <c r="CAQ16" t="s">
        <v>6984</v>
      </c>
      <c r="CAR16" t="s">
        <v>6984</v>
      </c>
      <c r="CAS16" t="s">
        <v>6984</v>
      </c>
      <c r="CAT16" t="s">
        <v>6984</v>
      </c>
      <c r="CAU16" t="s">
        <v>6984</v>
      </c>
      <c r="CAV16" t="s">
        <v>6984</v>
      </c>
      <c r="CAW16" t="s">
        <v>6984</v>
      </c>
      <c r="CAX16" t="s">
        <v>6984</v>
      </c>
      <c r="CAY16" t="s">
        <v>6984</v>
      </c>
      <c r="CAZ16" t="s">
        <v>6984</v>
      </c>
      <c r="CBA16" t="s">
        <v>6984</v>
      </c>
      <c r="CBB16" t="s">
        <v>6984</v>
      </c>
      <c r="CBC16" t="s">
        <v>6984</v>
      </c>
      <c r="CBD16" t="s">
        <v>6984</v>
      </c>
      <c r="CBE16" t="s">
        <v>6984</v>
      </c>
      <c r="CBF16" t="s">
        <v>6984</v>
      </c>
      <c r="CBG16" t="s">
        <v>6984</v>
      </c>
      <c r="CBH16" t="s">
        <v>6984</v>
      </c>
      <c r="CBI16" t="s">
        <v>6984</v>
      </c>
      <c r="CBJ16" t="s">
        <v>6984</v>
      </c>
      <c r="CBK16" t="s">
        <v>6984</v>
      </c>
      <c r="CBL16" t="s">
        <v>6984</v>
      </c>
      <c r="CBM16" t="s">
        <v>6984</v>
      </c>
      <c r="CBN16" t="s">
        <v>6984</v>
      </c>
      <c r="CBO16" t="s">
        <v>6984</v>
      </c>
      <c r="CBP16" t="s">
        <v>6984</v>
      </c>
      <c r="CBQ16" t="s">
        <v>6984</v>
      </c>
      <c r="CBR16" t="s">
        <v>6984</v>
      </c>
      <c r="CBS16" t="s">
        <v>6984</v>
      </c>
      <c r="CBT16" t="s">
        <v>6984</v>
      </c>
      <c r="CBU16" t="s">
        <v>6984</v>
      </c>
      <c r="CBV16" t="s">
        <v>6984</v>
      </c>
      <c r="CBW16" t="s">
        <v>6984</v>
      </c>
      <c r="CBX16" t="s">
        <v>6984</v>
      </c>
      <c r="CBY16" t="s">
        <v>6984</v>
      </c>
      <c r="CBZ16" t="s">
        <v>6984</v>
      </c>
      <c r="CCA16" t="s">
        <v>6984</v>
      </c>
      <c r="CCB16" t="s">
        <v>6984</v>
      </c>
      <c r="CCC16" t="s">
        <v>6984</v>
      </c>
      <c r="CCD16" t="s">
        <v>6984</v>
      </c>
      <c r="CCE16" t="s">
        <v>6984</v>
      </c>
      <c r="CCF16" t="s">
        <v>6984</v>
      </c>
      <c r="CCG16" t="s">
        <v>6984</v>
      </c>
      <c r="CCH16" t="s">
        <v>6984</v>
      </c>
      <c r="CCI16" t="s">
        <v>6984</v>
      </c>
      <c r="CCJ16" t="s">
        <v>6984</v>
      </c>
      <c r="CCK16" t="s">
        <v>6984</v>
      </c>
      <c r="CCL16" t="s">
        <v>6984</v>
      </c>
      <c r="CCM16" t="s">
        <v>6984</v>
      </c>
      <c r="CCN16" t="s">
        <v>6984</v>
      </c>
      <c r="CCO16" t="s">
        <v>6984</v>
      </c>
      <c r="CCP16" t="s">
        <v>6984</v>
      </c>
      <c r="CCQ16" t="s">
        <v>6984</v>
      </c>
      <c r="CCR16" t="s">
        <v>6984</v>
      </c>
      <c r="CCS16" t="s">
        <v>6984</v>
      </c>
      <c r="CCT16" t="s">
        <v>6984</v>
      </c>
      <c r="CCU16" t="s">
        <v>6984</v>
      </c>
      <c r="CCV16" t="s">
        <v>6984</v>
      </c>
      <c r="CCW16" t="s">
        <v>6984</v>
      </c>
      <c r="CCX16" t="s">
        <v>6984</v>
      </c>
      <c r="CCY16" t="s">
        <v>6984</v>
      </c>
      <c r="CCZ16" t="s">
        <v>6984</v>
      </c>
      <c r="CDA16" t="s">
        <v>6984</v>
      </c>
      <c r="CDB16" t="s">
        <v>6984</v>
      </c>
      <c r="CDC16" t="s">
        <v>6984</v>
      </c>
      <c r="CDD16" t="s">
        <v>6984</v>
      </c>
      <c r="CDE16" t="s">
        <v>6984</v>
      </c>
      <c r="CDF16" t="s">
        <v>6984</v>
      </c>
      <c r="CDG16" t="s">
        <v>6984</v>
      </c>
      <c r="CDH16" t="s">
        <v>6984</v>
      </c>
      <c r="CDI16" t="s">
        <v>6984</v>
      </c>
      <c r="CDJ16" t="s">
        <v>6984</v>
      </c>
      <c r="CDK16" t="s">
        <v>6984</v>
      </c>
      <c r="CDL16" t="s">
        <v>6984</v>
      </c>
      <c r="CDM16" t="s">
        <v>6984</v>
      </c>
      <c r="CDN16" t="s">
        <v>6984</v>
      </c>
      <c r="CDO16" t="s">
        <v>6984</v>
      </c>
      <c r="CDP16" t="s">
        <v>6984</v>
      </c>
      <c r="CDQ16" t="s">
        <v>6984</v>
      </c>
      <c r="CDR16" t="s">
        <v>6984</v>
      </c>
      <c r="CDS16" t="s">
        <v>6984</v>
      </c>
      <c r="CDT16" t="s">
        <v>6984</v>
      </c>
      <c r="CDU16" t="s">
        <v>6984</v>
      </c>
      <c r="CDV16" t="s">
        <v>6984</v>
      </c>
      <c r="CDW16" t="s">
        <v>6984</v>
      </c>
      <c r="CDX16" t="s">
        <v>6984</v>
      </c>
      <c r="CDY16" t="s">
        <v>6984</v>
      </c>
      <c r="CDZ16" t="s">
        <v>6984</v>
      </c>
      <c r="CEA16" t="s">
        <v>6984</v>
      </c>
      <c r="CEB16" t="s">
        <v>6984</v>
      </c>
      <c r="CEC16" t="s">
        <v>6984</v>
      </c>
      <c r="CED16" t="s">
        <v>6984</v>
      </c>
      <c r="CEE16" t="s">
        <v>6984</v>
      </c>
      <c r="CEF16" t="s">
        <v>6984</v>
      </c>
      <c r="CEG16" t="s">
        <v>6984</v>
      </c>
      <c r="CEH16" t="s">
        <v>6984</v>
      </c>
      <c r="CEI16" t="s">
        <v>6984</v>
      </c>
      <c r="CEJ16" t="s">
        <v>6984</v>
      </c>
      <c r="CEK16" t="s">
        <v>6984</v>
      </c>
      <c r="CEL16" t="s">
        <v>6984</v>
      </c>
      <c r="CEM16" t="s">
        <v>6984</v>
      </c>
      <c r="CEN16" t="s">
        <v>6984</v>
      </c>
      <c r="CEO16" t="s">
        <v>6984</v>
      </c>
      <c r="CEP16" t="s">
        <v>6984</v>
      </c>
      <c r="CEQ16" t="s">
        <v>6984</v>
      </c>
      <c r="CER16" t="s">
        <v>6984</v>
      </c>
      <c r="CES16" t="s">
        <v>6984</v>
      </c>
      <c r="CET16" t="s">
        <v>6984</v>
      </c>
      <c r="CEU16" t="s">
        <v>6984</v>
      </c>
      <c r="CEV16" t="s">
        <v>6984</v>
      </c>
      <c r="CEW16" t="s">
        <v>6984</v>
      </c>
      <c r="CEX16" t="s">
        <v>6984</v>
      </c>
      <c r="CEY16" t="s">
        <v>6984</v>
      </c>
      <c r="CEZ16" t="s">
        <v>6984</v>
      </c>
      <c r="CFA16" t="s">
        <v>6984</v>
      </c>
      <c r="CFB16" t="s">
        <v>6984</v>
      </c>
      <c r="CFC16" t="s">
        <v>6984</v>
      </c>
      <c r="CFD16" t="s">
        <v>6984</v>
      </c>
      <c r="CFE16" t="s">
        <v>6984</v>
      </c>
      <c r="CFF16" t="s">
        <v>6984</v>
      </c>
      <c r="CFG16" t="s">
        <v>6984</v>
      </c>
      <c r="CFH16" t="s">
        <v>6984</v>
      </c>
      <c r="CFI16" t="s">
        <v>6984</v>
      </c>
      <c r="CFJ16" t="s">
        <v>6984</v>
      </c>
      <c r="CFK16" t="s">
        <v>6984</v>
      </c>
      <c r="CFL16" t="s">
        <v>6984</v>
      </c>
      <c r="CFM16" t="s">
        <v>6984</v>
      </c>
      <c r="CFN16" t="s">
        <v>6984</v>
      </c>
      <c r="CFO16" t="s">
        <v>6984</v>
      </c>
      <c r="CFP16" t="s">
        <v>6984</v>
      </c>
      <c r="CFQ16" t="s">
        <v>6984</v>
      </c>
      <c r="CFR16" t="s">
        <v>6984</v>
      </c>
      <c r="CFS16" t="s">
        <v>6984</v>
      </c>
      <c r="CFT16" t="s">
        <v>6984</v>
      </c>
      <c r="CFU16" t="s">
        <v>6984</v>
      </c>
      <c r="CFV16" t="s">
        <v>6984</v>
      </c>
      <c r="CFW16" t="s">
        <v>6984</v>
      </c>
      <c r="CFX16" t="s">
        <v>6984</v>
      </c>
      <c r="CFY16" t="s">
        <v>6984</v>
      </c>
      <c r="CFZ16" t="s">
        <v>6984</v>
      </c>
      <c r="CGA16" t="s">
        <v>6984</v>
      </c>
      <c r="CGB16" t="s">
        <v>6984</v>
      </c>
      <c r="CGC16" t="s">
        <v>6984</v>
      </c>
      <c r="CGD16" t="s">
        <v>6984</v>
      </c>
      <c r="CGE16" t="s">
        <v>6984</v>
      </c>
      <c r="CGF16" t="s">
        <v>6984</v>
      </c>
      <c r="CGG16" t="s">
        <v>6984</v>
      </c>
      <c r="CGH16" t="s">
        <v>6984</v>
      </c>
      <c r="CGI16" t="s">
        <v>6984</v>
      </c>
      <c r="CGJ16" t="s">
        <v>6984</v>
      </c>
      <c r="CGK16" t="s">
        <v>6984</v>
      </c>
      <c r="CGL16" t="s">
        <v>6984</v>
      </c>
      <c r="CGM16" t="s">
        <v>6984</v>
      </c>
      <c r="CGN16" t="s">
        <v>6984</v>
      </c>
      <c r="CGO16" t="s">
        <v>6984</v>
      </c>
      <c r="CGP16" t="s">
        <v>6984</v>
      </c>
      <c r="CGQ16" t="s">
        <v>6984</v>
      </c>
      <c r="CGR16" t="s">
        <v>6984</v>
      </c>
      <c r="CGS16" t="s">
        <v>6984</v>
      </c>
      <c r="CGT16" t="s">
        <v>6984</v>
      </c>
      <c r="CGU16" t="s">
        <v>6984</v>
      </c>
      <c r="CGV16" t="s">
        <v>6984</v>
      </c>
      <c r="CGW16" t="s">
        <v>6984</v>
      </c>
      <c r="CGX16" t="s">
        <v>6984</v>
      </c>
      <c r="CGY16" t="s">
        <v>6984</v>
      </c>
      <c r="CGZ16" t="s">
        <v>6984</v>
      </c>
      <c r="CHA16" t="s">
        <v>6984</v>
      </c>
      <c r="CHB16" t="s">
        <v>6984</v>
      </c>
      <c r="CHC16" t="s">
        <v>6984</v>
      </c>
      <c r="CHD16" t="s">
        <v>6984</v>
      </c>
      <c r="CHE16" t="s">
        <v>6984</v>
      </c>
      <c r="CHF16" t="s">
        <v>6984</v>
      </c>
      <c r="CHG16" t="s">
        <v>6984</v>
      </c>
      <c r="CHH16" t="s">
        <v>6984</v>
      </c>
      <c r="CHI16" t="s">
        <v>6984</v>
      </c>
      <c r="CHJ16" t="s">
        <v>6984</v>
      </c>
      <c r="CHK16" t="s">
        <v>6984</v>
      </c>
      <c r="CHL16" t="s">
        <v>6984</v>
      </c>
      <c r="CHM16" t="s">
        <v>6984</v>
      </c>
      <c r="CHN16" t="s">
        <v>6984</v>
      </c>
      <c r="CHO16" t="s">
        <v>6984</v>
      </c>
      <c r="CHP16" t="s">
        <v>6984</v>
      </c>
      <c r="CHQ16" t="s">
        <v>6984</v>
      </c>
      <c r="CHR16" t="s">
        <v>6984</v>
      </c>
      <c r="CHS16" t="s">
        <v>6984</v>
      </c>
      <c r="CHT16" t="s">
        <v>6984</v>
      </c>
      <c r="CHU16" t="s">
        <v>6984</v>
      </c>
      <c r="CHV16" t="s">
        <v>6984</v>
      </c>
      <c r="CHW16" t="s">
        <v>6984</v>
      </c>
      <c r="CHX16" t="s">
        <v>6984</v>
      </c>
      <c r="CHY16" t="s">
        <v>6984</v>
      </c>
      <c r="CHZ16" t="s">
        <v>6984</v>
      </c>
      <c r="CIA16" t="s">
        <v>6984</v>
      </c>
      <c r="CIB16" t="s">
        <v>6984</v>
      </c>
      <c r="CIC16" t="s">
        <v>6984</v>
      </c>
      <c r="CID16" t="s">
        <v>6984</v>
      </c>
      <c r="CIE16" t="s">
        <v>6984</v>
      </c>
      <c r="CIF16" t="s">
        <v>6984</v>
      </c>
      <c r="CIG16" t="s">
        <v>6984</v>
      </c>
      <c r="CIH16" t="s">
        <v>6984</v>
      </c>
      <c r="CII16" t="s">
        <v>6984</v>
      </c>
      <c r="CIJ16" t="s">
        <v>6984</v>
      </c>
      <c r="CIK16" t="s">
        <v>6984</v>
      </c>
      <c r="CIL16" t="s">
        <v>6984</v>
      </c>
      <c r="CIM16" t="s">
        <v>6984</v>
      </c>
      <c r="CIN16" t="s">
        <v>6984</v>
      </c>
      <c r="CIO16" t="s">
        <v>6984</v>
      </c>
      <c r="CIP16" t="s">
        <v>6984</v>
      </c>
      <c r="CIQ16" t="s">
        <v>6984</v>
      </c>
      <c r="CIR16" t="s">
        <v>6984</v>
      </c>
      <c r="CIS16" t="s">
        <v>6984</v>
      </c>
      <c r="CIT16" t="s">
        <v>6984</v>
      </c>
      <c r="CIU16" t="s">
        <v>6984</v>
      </c>
      <c r="CIV16" t="s">
        <v>6984</v>
      </c>
      <c r="CIW16" t="s">
        <v>6984</v>
      </c>
      <c r="CIX16" t="s">
        <v>6984</v>
      </c>
      <c r="CIY16" t="s">
        <v>6984</v>
      </c>
      <c r="CIZ16" t="s">
        <v>6984</v>
      </c>
      <c r="CJA16" t="s">
        <v>6984</v>
      </c>
      <c r="CJB16" t="s">
        <v>6984</v>
      </c>
      <c r="CJC16" t="s">
        <v>6984</v>
      </c>
      <c r="CJD16" t="s">
        <v>6984</v>
      </c>
      <c r="CJE16" t="s">
        <v>6984</v>
      </c>
      <c r="CJF16" t="s">
        <v>6984</v>
      </c>
      <c r="CJG16" t="s">
        <v>6984</v>
      </c>
      <c r="CJH16" t="s">
        <v>6984</v>
      </c>
      <c r="CJI16" t="s">
        <v>6984</v>
      </c>
      <c r="CJJ16" t="s">
        <v>6984</v>
      </c>
      <c r="CJK16" t="s">
        <v>6984</v>
      </c>
      <c r="CJL16" t="s">
        <v>6984</v>
      </c>
      <c r="CJM16" t="s">
        <v>6984</v>
      </c>
      <c r="CJN16" t="s">
        <v>6984</v>
      </c>
      <c r="CJO16" t="s">
        <v>6984</v>
      </c>
      <c r="CJP16" t="s">
        <v>6984</v>
      </c>
      <c r="CJQ16" t="s">
        <v>6984</v>
      </c>
      <c r="CJR16" t="s">
        <v>6984</v>
      </c>
      <c r="CJS16" t="s">
        <v>6984</v>
      </c>
      <c r="CJT16" t="s">
        <v>6984</v>
      </c>
      <c r="CJU16" t="s">
        <v>6984</v>
      </c>
      <c r="CJV16" t="s">
        <v>6984</v>
      </c>
      <c r="CJW16" t="s">
        <v>6984</v>
      </c>
      <c r="CJX16" t="s">
        <v>6984</v>
      </c>
      <c r="CJY16" t="s">
        <v>6984</v>
      </c>
      <c r="CJZ16" t="s">
        <v>6984</v>
      </c>
      <c r="CKA16" t="s">
        <v>6984</v>
      </c>
      <c r="CKB16" t="s">
        <v>6984</v>
      </c>
      <c r="CKC16" t="s">
        <v>6984</v>
      </c>
      <c r="CKD16" t="s">
        <v>6984</v>
      </c>
      <c r="CKE16" t="s">
        <v>6984</v>
      </c>
      <c r="CKF16" t="s">
        <v>6984</v>
      </c>
      <c r="CKG16" t="s">
        <v>6984</v>
      </c>
      <c r="CKH16" t="s">
        <v>6984</v>
      </c>
      <c r="CKI16" t="s">
        <v>6984</v>
      </c>
      <c r="CKJ16" t="s">
        <v>6984</v>
      </c>
      <c r="CKK16" t="s">
        <v>6984</v>
      </c>
      <c r="CKL16" t="s">
        <v>6984</v>
      </c>
      <c r="CKM16" t="s">
        <v>6984</v>
      </c>
      <c r="CKN16" t="s">
        <v>6984</v>
      </c>
      <c r="CKO16" t="s">
        <v>6984</v>
      </c>
      <c r="CKP16" t="s">
        <v>6984</v>
      </c>
      <c r="CKQ16" t="s">
        <v>6984</v>
      </c>
      <c r="CKR16" t="s">
        <v>6984</v>
      </c>
      <c r="CKS16" t="s">
        <v>6984</v>
      </c>
      <c r="CKT16" t="s">
        <v>6984</v>
      </c>
      <c r="CKU16" t="s">
        <v>6984</v>
      </c>
      <c r="CKV16" t="s">
        <v>6984</v>
      </c>
      <c r="CKW16" t="s">
        <v>6984</v>
      </c>
      <c r="CKX16" t="s">
        <v>6984</v>
      </c>
      <c r="CKY16" t="s">
        <v>6984</v>
      </c>
      <c r="CKZ16" t="s">
        <v>6984</v>
      </c>
      <c r="CLA16" t="s">
        <v>6984</v>
      </c>
      <c r="CLB16" t="s">
        <v>6984</v>
      </c>
      <c r="CLC16" t="s">
        <v>6984</v>
      </c>
      <c r="CLD16" t="s">
        <v>6984</v>
      </c>
      <c r="CLE16" t="s">
        <v>6984</v>
      </c>
      <c r="CLF16" t="s">
        <v>6984</v>
      </c>
      <c r="CLG16" t="s">
        <v>6984</v>
      </c>
      <c r="CLH16" t="s">
        <v>6984</v>
      </c>
      <c r="CLI16" t="s">
        <v>6984</v>
      </c>
      <c r="CLJ16" t="s">
        <v>6984</v>
      </c>
      <c r="CLK16" t="s">
        <v>6984</v>
      </c>
      <c r="CLL16" t="s">
        <v>6984</v>
      </c>
      <c r="CLM16" t="s">
        <v>6984</v>
      </c>
      <c r="CLN16" t="s">
        <v>6984</v>
      </c>
      <c r="CLO16" t="s">
        <v>6984</v>
      </c>
      <c r="CLP16" t="s">
        <v>6984</v>
      </c>
      <c r="CLQ16" t="s">
        <v>6984</v>
      </c>
      <c r="CLR16" t="s">
        <v>6984</v>
      </c>
      <c r="CLS16" t="s">
        <v>6984</v>
      </c>
      <c r="CLT16" t="s">
        <v>6984</v>
      </c>
      <c r="CLU16" t="s">
        <v>6984</v>
      </c>
      <c r="CLV16" t="s">
        <v>6984</v>
      </c>
      <c r="CLW16" t="s">
        <v>6984</v>
      </c>
      <c r="CLX16" t="s">
        <v>6984</v>
      </c>
      <c r="CLY16" t="s">
        <v>6984</v>
      </c>
      <c r="CLZ16" t="s">
        <v>6984</v>
      </c>
      <c r="CMA16" t="s">
        <v>6984</v>
      </c>
      <c r="CMB16" t="s">
        <v>6984</v>
      </c>
      <c r="CMC16" t="s">
        <v>6984</v>
      </c>
      <c r="CMD16" t="s">
        <v>6984</v>
      </c>
      <c r="CME16" t="s">
        <v>6984</v>
      </c>
      <c r="CMF16" t="s">
        <v>6984</v>
      </c>
      <c r="CMG16" t="s">
        <v>6984</v>
      </c>
      <c r="CMH16" t="s">
        <v>6984</v>
      </c>
      <c r="CMI16" t="s">
        <v>6984</v>
      </c>
      <c r="CMJ16" t="s">
        <v>6984</v>
      </c>
      <c r="CMK16" t="s">
        <v>6984</v>
      </c>
      <c r="CML16" t="s">
        <v>6984</v>
      </c>
      <c r="CMM16" t="s">
        <v>6984</v>
      </c>
      <c r="CMN16" t="s">
        <v>6984</v>
      </c>
      <c r="CMO16" t="s">
        <v>6984</v>
      </c>
      <c r="CMP16" t="s">
        <v>6984</v>
      </c>
      <c r="CMQ16" t="s">
        <v>6984</v>
      </c>
      <c r="CMR16" t="s">
        <v>6984</v>
      </c>
      <c r="CMS16" t="s">
        <v>6984</v>
      </c>
      <c r="CMT16" t="s">
        <v>6984</v>
      </c>
      <c r="CMU16" t="s">
        <v>6984</v>
      </c>
      <c r="CMV16" t="s">
        <v>6984</v>
      </c>
      <c r="CMW16" t="s">
        <v>6984</v>
      </c>
      <c r="CMX16" t="s">
        <v>6984</v>
      </c>
      <c r="CMY16" t="s">
        <v>6984</v>
      </c>
      <c r="CMZ16" t="s">
        <v>6984</v>
      </c>
      <c r="CNA16" t="s">
        <v>6984</v>
      </c>
      <c r="CNB16" t="s">
        <v>6984</v>
      </c>
      <c r="CNC16" t="s">
        <v>6984</v>
      </c>
      <c r="CND16" t="s">
        <v>6984</v>
      </c>
      <c r="CNE16" t="s">
        <v>6984</v>
      </c>
      <c r="CNF16" t="s">
        <v>6984</v>
      </c>
      <c r="CNG16" t="s">
        <v>6984</v>
      </c>
      <c r="CNH16" t="s">
        <v>6984</v>
      </c>
      <c r="CNI16" t="s">
        <v>6984</v>
      </c>
      <c r="CNJ16" t="s">
        <v>6984</v>
      </c>
      <c r="CNK16" t="s">
        <v>6984</v>
      </c>
      <c r="CNL16" t="s">
        <v>6984</v>
      </c>
      <c r="CNM16" t="s">
        <v>6984</v>
      </c>
      <c r="CNN16" t="s">
        <v>6984</v>
      </c>
      <c r="CNO16" t="s">
        <v>6984</v>
      </c>
      <c r="CNP16" t="s">
        <v>6984</v>
      </c>
      <c r="CNQ16" t="s">
        <v>6984</v>
      </c>
      <c r="CNR16" t="s">
        <v>6984</v>
      </c>
      <c r="CNS16" t="s">
        <v>6984</v>
      </c>
      <c r="CNT16" t="s">
        <v>6984</v>
      </c>
      <c r="CNU16" t="s">
        <v>6984</v>
      </c>
      <c r="CNV16" t="s">
        <v>6984</v>
      </c>
      <c r="CNW16" t="s">
        <v>6984</v>
      </c>
      <c r="CNX16" t="s">
        <v>6984</v>
      </c>
      <c r="CNY16" t="s">
        <v>6984</v>
      </c>
      <c r="CNZ16" t="s">
        <v>6984</v>
      </c>
      <c r="COA16" t="s">
        <v>6984</v>
      </c>
      <c r="COB16" t="s">
        <v>6984</v>
      </c>
      <c r="COC16" t="s">
        <v>6984</v>
      </c>
      <c r="COD16" t="s">
        <v>6984</v>
      </c>
      <c r="COE16" t="s">
        <v>6984</v>
      </c>
      <c r="COF16" t="s">
        <v>6984</v>
      </c>
      <c r="COG16" t="s">
        <v>6984</v>
      </c>
      <c r="COH16" t="s">
        <v>6984</v>
      </c>
      <c r="COI16" t="s">
        <v>6984</v>
      </c>
      <c r="COJ16" t="s">
        <v>6984</v>
      </c>
      <c r="COK16" t="s">
        <v>6984</v>
      </c>
      <c r="COL16" t="s">
        <v>6984</v>
      </c>
      <c r="COM16" t="s">
        <v>6984</v>
      </c>
      <c r="CON16" t="s">
        <v>6984</v>
      </c>
      <c r="COO16" t="s">
        <v>6984</v>
      </c>
      <c r="COP16" t="s">
        <v>6984</v>
      </c>
      <c r="COQ16" t="s">
        <v>6984</v>
      </c>
      <c r="COR16" t="s">
        <v>6984</v>
      </c>
      <c r="COS16" t="s">
        <v>6984</v>
      </c>
      <c r="COT16" t="s">
        <v>6984</v>
      </c>
      <c r="COU16" t="s">
        <v>6984</v>
      </c>
      <c r="COV16" t="s">
        <v>6984</v>
      </c>
      <c r="COW16" t="s">
        <v>6984</v>
      </c>
      <c r="COX16" t="s">
        <v>6984</v>
      </c>
      <c r="COY16" t="s">
        <v>6984</v>
      </c>
      <c r="COZ16" t="s">
        <v>6984</v>
      </c>
      <c r="CPA16" t="s">
        <v>6984</v>
      </c>
      <c r="CPB16" t="s">
        <v>6984</v>
      </c>
      <c r="CPC16" t="s">
        <v>6984</v>
      </c>
      <c r="CPD16" t="s">
        <v>6984</v>
      </c>
      <c r="CPE16" t="s">
        <v>6984</v>
      </c>
      <c r="CPF16" t="s">
        <v>6984</v>
      </c>
      <c r="CPG16" t="s">
        <v>6984</v>
      </c>
      <c r="CPH16" t="s">
        <v>6984</v>
      </c>
      <c r="CPI16" t="s">
        <v>6984</v>
      </c>
      <c r="CPJ16" t="s">
        <v>6984</v>
      </c>
      <c r="CPK16" t="s">
        <v>6984</v>
      </c>
      <c r="CPL16" t="s">
        <v>6984</v>
      </c>
      <c r="CPM16" t="s">
        <v>6984</v>
      </c>
      <c r="CPN16" t="s">
        <v>6984</v>
      </c>
      <c r="CPO16" t="s">
        <v>6984</v>
      </c>
      <c r="CPP16" t="s">
        <v>6984</v>
      </c>
      <c r="CPQ16" t="s">
        <v>6984</v>
      </c>
      <c r="CPR16" t="s">
        <v>6984</v>
      </c>
      <c r="CPS16" t="s">
        <v>6984</v>
      </c>
      <c r="CPT16" t="s">
        <v>6984</v>
      </c>
      <c r="CPU16" t="s">
        <v>6984</v>
      </c>
      <c r="CPV16" t="s">
        <v>6984</v>
      </c>
      <c r="CPW16" t="s">
        <v>6984</v>
      </c>
      <c r="CPX16" t="s">
        <v>6984</v>
      </c>
      <c r="CPY16" t="s">
        <v>6984</v>
      </c>
      <c r="CPZ16" t="s">
        <v>6984</v>
      </c>
      <c r="CQA16" t="s">
        <v>6984</v>
      </c>
      <c r="CQB16" t="s">
        <v>6984</v>
      </c>
      <c r="CQC16" t="s">
        <v>6984</v>
      </c>
      <c r="CQD16" t="s">
        <v>6984</v>
      </c>
      <c r="CQE16" t="s">
        <v>6984</v>
      </c>
      <c r="CQF16" t="s">
        <v>6984</v>
      </c>
      <c r="CQG16" t="s">
        <v>6984</v>
      </c>
      <c r="CQH16" t="s">
        <v>6984</v>
      </c>
      <c r="CQI16" t="s">
        <v>6984</v>
      </c>
      <c r="CQJ16" t="s">
        <v>6984</v>
      </c>
      <c r="CQK16" t="s">
        <v>6984</v>
      </c>
      <c r="CQL16" t="s">
        <v>6984</v>
      </c>
      <c r="CQM16" t="s">
        <v>6984</v>
      </c>
      <c r="CQN16" t="s">
        <v>6984</v>
      </c>
      <c r="CQO16" t="s">
        <v>6984</v>
      </c>
      <c r="CQP16" t="s">
        <v>6984</v>
      </c>
      <c r="CQQ16" t="s">
        <v>6984</v>
      </c>
      <c r="CQR16" t="s">
        <v>6984</v>
      </c>
      <c r="CQS16" t="s">
        <v>6984</v>
      </c>
      <c r="CQT16" t="s">
        <v>6984</v>
      </c>
      <c r="CQU16" t="s">
        <v>6984</v>
      </c>
      <c r="CQV16" t="s">
        <v>6984</v>
      </c>
      <c r="CQW16" t="s">
        <v>6984</v>
      </c>
      <c r="CQX16" t="s">
        <v>6984</v>
      </c>
      <c r="CQY16" t="s">
        <v>6984</v>
      </c>
      <c r="CQZ16" t="s">
        <v>6984</v>
      </c>
      <c r="CRA16" t="s">
        <v>6984</v>
      </c>
      <c r="CRB16" t="s">
        <v>6984</v>
      </c>
      <c r="CRC16" t="s">
        <v>6984</v>
      </c>
      <c r="CRD16" t="s">
        <v>6984</v>
      </c>
      <c r="CRE16" t="s">
        <v>6984</v>
      </c>
      <c r="CRF16" t="s">
        <v>6984</v>
      </c>
      <c r="CRG16" t="s">
        <v>6984</v>
      </c>
      <c r="CRH16" t="s">
        <v>6984</v>
      </c>
      <c r="CRI16" t="s">
        <v>6984</v>
      </c>
      <c r="CRJ16" t="s">
        <v>6984</v>
      </c>
      <c r="CRK16" t="s">
        <v>6984</v>
      </c>
      <c r="CRL16" t="s">
        <v>6984</v>
      </c>
      <c r="CRM16" t="s">
        <v>6984</v>
      </c>
      <c r="CRN16" t="s">
        <v>6984</v>
      </c>
      <c r="CRO16" t="s">
        <v>6984</v>
      </c>
      <c r="CRP16" t="s">
        <v>6984</v>
      </c>
      <c r="CRQ16" t="s">
        <v>6984</v>
      </c>
      <c r="CRR16" t="s">
        <v>6984</v>
      </c>
      <c r="CRS16" t="s">
        <v>6984</v>
      </c>
      <c r="CRT16" t="s">
        <v>6984</v>
      </c>
      <c r="CRU16" t="s">
        <v>6984</v>
      </c>
      <c r="CRV16" t="s">
        <v>6984</v>
      </c>
      <c r="CRW16" t="s">
        <v>6984</v>
      </c>
      <c r="CRX16" t="s">
        <v>6984</v>
      </c>
      <c r="CRY16" t="s">
        <v>6984</v>
      </c>
      <c r="CRZ16" t="s">
        <v>6984</v>
      </c>
      <c r="CSA16" t="s">
        <v>6984</v>
      </c>
      <c r="CSB16" t="s">
        <v>6984</v>
      </c>
      <c r="CSC16" t="s">
        <v>6984</v>
      </c>
      <c r="CSD16" t="s">
        <v>6984</v>
      </c>
      <c r="CSE16" t="s">
        <v>6984</v>
      </c>
      <c r="CSF16" t="s">
        <v>6984</v>
      </c>
      <c r="CSG16" t="s">
        <v>6984</v>
      </c>
      <c r="CSH16" t="s">
        <v>6984</v>
      </c>
      <c r="CSI16" t="s">
        <v>6984</v>
      </c>
      <c r="CSJ16" t="s">
        <v>6984</v>
      </c>
      <c r="CSK16" t="s">
        <v>6984</v>
      </c>
      <c r="CSL16" t="s">
        <v>6984</v>
      </c>
      <c r="CSM16" t="s">
        <v>6984</v>
      </c>
      <c r="CSN16" t="s">
        <v>6984</v>
      </c>
      <c r="CSO16" t="s">
        <v>6984</v>
      </c>
      <c r="CSP16" t="s">
        <v>6984</v>
      </c>
      <c r="CSQ16" t="s">
        <v>6984</v>
      </c>
      <c r="CSR16" t="s">
        <v>6984</v>
      </c>
      <c r="CSS16" t="s">
        <v>6984</v>
      </c>
      <c r="CST16" t="s">
        <v>6984</v>
      </c>
      <c r="CSU16" t="s">
        <v>6984</v>
      </c>
      <c r="CSV16" t="s">
        <v>6984</v>
      </c>
      <c r="CSW16" t="s">
        <v>6984</v>
      </c>
      <c r="CSX16" t="s">
        <v>6984</v>
      </c>
      <c r="CSY16" t="s">
        <v>6984</v>
      </c>
      <c r="CSZ16" t="s">
        <v>6984</v>
      </c>
      <c r="CTA16" t="s">
        <v>6984</v>
      </c>
      <c r="CTB16" t="s">
        <v>6984</v>
      </c>
      <c r="CTC16" t="s">
        <v>6984</v>
      </c>
      <c r="CTD16" t="s">
        <v>6984</v>
      </c>
      <c r="CTE16" t="s">
        <v>6984</v>
      </c>
      <c r="CTF16" t="s">
        <v>6984</v>
      </c>
      <c r="CTG16" t="s">
        <v>6984</v>
      </c>
      <c r="CTH16" t="s">
        <v>6984</v>
      </c>
      <c r="CTI16" t="s">
        <v>6984</v>
      </c>
      <c r="CTJ16" t="s">
        <v>6984</v>
      </c>
      <c r="CTK16" t="s">
        <v>6984</v>
      </c>
      <c r="CTL16" t="s">
        <v>6984</v>
      </c>
      <c r="CTM16" t="s">
        <v>6984</v>
      </c>
      <c r="CTN16" t="s">
        <v>6984</v>
      </c>
      <c r="CTO16" t="s">
        <v>6984</v>
      </c>
      <c r="CTP16" t="s">
        <v>6984</v>
      </c>
      <c r="CTQ16" t="s">
        <v>6984</v>
      </c>
      <c r="CTR16" t="s">
        <v>6984</v>
      </c>
      <c r="CTS16" t="s">
        <v>6984</v>
      </c>
      <c r="CTT16" t="s">
        <v>6984</v>
      </c>
      <c r="CTU16" t="s">
        <v>6984</v>
      </c>
      <c r="CTV16" t="s">
        <v>6984</v>
      </c>
      <c r="CTW16" t="s">
        <v>6984</v>
      </c>
      <c r="CTX16" t="s">
        <v>6984</v>
      </c>
      <c r="CTY16" t="s">
        <v>6984</v>
      </c>
      <c r="CTZ16" t="s">
        <v>6984</v>
      </c>
      <c r="CUA16" t="s">
        <v>6984</v>
      </c>
      <c r="CUB16" t="s">
        <v>6984</v>
      </c>
      <c r="CUC16" t="s">
        <v>6984</v>
      </c>
      <c r="CUD16" t="s">
        <v>6984</v>
      </c>
      <c r="CUE16" t="s">
        <v>6984</v>
      </c>
      <c r="CUF16" t="s">
        <v>6984</v>
      </c>
      <c r="CUG16" t="s">
        <v>6984</v>
      </c>
      <c r="CUH16" t="s">
        <v>6984</v>
      </c>
      <c r="CUI16" t="s">
        <v>6984</v>
      </c>
      <c r="CUJ16" t="s">
        <v>6984</v>
      </c>
      <c r="CUK16" t="s">
        <v>6984</v>
      </c>
      <c r="CUL16" t="s">
        <v>6984</v>
      </c>
      <c r="CUM16" t="s">
        <v>6984</v>
      </c>
      <c r="CUN16" t="s">
        <v>6984</v>
      </c>
      <c r="CUO16" t="s">
        <v>6984</v>
      </c>
      <c r="CUP16" t="s">
        <v>6984</v>
      </c>
      <c r="CUQ16" t="s">
        <v>6984</v>
      </c>
      <c r="CUR16" t="s">
        <v>6984</v>
      </c>
      <c r="CUS16" t="s">
        <v>6984</v>
      </c>
      <c r="CUT16" t="s">
        <v>6984</v>
      </c>
      <c r="CUU16" t="s">
        <v>6984</v>
      </c>
      <c r="CUV16" t="s">
        <v>6984</v>
      </c>
      <c r="CUW16" t="s">
        <v>6984</v>
      </c>
      <c r="CUX16" t="s">
        <v>6984</v>
      </c>
      <c r="CUY16" t="s">
        <v>6984</v>
      </c>
      <c r="CUZ16" t="s">
        <v>6984</v>
      </c>
      <c r="CVA16" t="s">
        <v>6984</v>
      </c>
      <c r="CVB16" t="s">
        <v>6984</v>
      </c>
      <c r="CVC16" t="s">
        <v>6984</v>
      </c>
      <c r="CVD16" t="s">
        <v>6984</v>
      </c>
      <c r="CVE16" t="s">
        <v>6984</v>
      </c>
      <c r="CVF16" t="s">
        <v>6984</v>
      </c>
      <c r="CVG16" t="s">
        <v>6984</v>
      </c>
      <c r="CVH16" t="s">
        <v>6984</v>
      </c>
      <c r="CVI16" t="s">
        <v>6984</v>
      </c>
      <c r="CVJ16" t="s">
        <v>6984</v>
      </c>
      <c r="CVK16" t="s">
        <v>6984</v>
      </c>
      <c r="CVL16" t="s">
        <v>6984</v>
      </c>
      <c r="CVM16" t="s">
        <v>6984</v>
      </c>
      <c r="CVN16" t="s">
        <v>6984</v>
      </c>
      <c r="CVO16" t="s">
        <v>6984</v>
      </c>
      <c r="CVP16" t="s">
        <v>6984</v>
      </c>
      <c r="CVQ16" t="s">
        <v>6984</v>
      </c>
      <c r="CVR16" t="s">
        <v>6984</v>
      </c>
      <c r="CVS16" t="s">
        <v>6984</v>
      </c>
      <c r="CVT16" t="s">
        <v>6984</v>
      </c>
      <c r="CVU16" t="s">
        <v>6984</v>
      </c>
      <c r="CVV16" t="s">
        <v>6984</v>
      </c>
      <c r="CVW16" t="s">
        <v>6984</v>
      </c>
      <c r="CVX16" t="s">
        <v>6984</v>
      </c>
      <c r="CVY16" t="s">
        <v>6984</v>
      </c>
      <c r="CVZ16" t="s">
        <v>6984</v>
      </c>
      <c r="CWA16" t="s">
        <v>6984</v>
      </c>
      <c r="CWB16" t="s">
        <v>6984</v>
      </c>
      <c r="CWC16" t="s">
        <v>6984</v>
      </c>
      <c r="CWD16" t="s">
        <v>6984</v>
      </c>
      <c r="CWE16" t="s">
        <v>6984</v>
      </c>
      <c r="CWF16" t="s">
        <v>6984</v>
      </c>
      <c r="CWG16" t="s">
        <v>6984</v>
      </c>
      <c r="CWH16" t="s">
        <v>6984</v>
      </c>
      <c r="CWI16" t="s">
        <v>6984</v>
      </c>
      <c r="CWJ16" t="s">
        <v>6984</v>
      </c>
      <c r="CWK16" t="s">
        <v>6984</v>
      </c>
      <c r="CWL16" t="s">
        <v>6984</v>
      </c>
      <c r="CWM16" t="s">
        <v>6984</v>
      </c>
      <c r="CWN16" t="s">
        <v>6984</v>
      </c>
      <c r="CWO16" t="s">
        <v>6984</v>
      </c>
      <c r="CWP16" t="s">
        <v>6984</v>
      </c>
      <c r="CWQ16" t="s">
        <v>6984</v>
      </c>
      <c r="CWR16" t="s">
        <v>6984</v>
      </c>
      <c r="CWS16" t="s">
        <v>6984</v>
      </c>
      <c r="CWT16" t="s">
        <v>6984</v>
      </c>
      <c r="CWU16" t="s">
        <v>6984</v>
      </c>
      <c r="CWV16" t="s">
        <v>6984</v>
      </c>
      <c r="CWW16" t="s">
        <v>6984</v>
      </c>
      <c r="CWX16" t="s">
        <v>6984</v>
      </c>
      <c r="CWY16" t="s">
        <v>6984</v>
      </c>
      <c r="CWZ16" t="s">
        <v>6984</v>
      </c>
      <c r="CXA16" t="s">
        <v>6984</v>
      </c>
      <c r="CXB16" t="s">
        <v>6984</v>
      </c>
      <c r="CXC16" t="s">
        <v>6984</v>
      </c>
      <c r="CXD16" t="s">
        <v>6984</v>
      </c>
      <c r="CXE16" t="s">
        <v>6984</v>
      </c>
      <c r="CXF16" t="s">
        <v>6984</v>
      </c>
      <c r="CXG16" t="s">
        <v>6984</v>
      </c>
      <c r="CXH16" t="s">
        <v>6984</v>
      </c>
      <c r="CXI16" t="s">
        <v>6984</v>
      </c>
      <c r="CXJ16" t="s">
        <v>6984</v>
      </c>
      <c r="CXK16" t="s">
        <v>6984</v>
      </c>
      <c r="CXL16" t="s">
        <v>6984</v>
      </c>
      <c r="CXM16" t="s">
        <v>6984</v>
      </c>
      <c r="CXN16" t="s">
        <v>6984</v>
      </c>
      <c r="CXO16" t="s">
        <v>6984</v>
      </c>
      <c r="CXP16" t="s">
        <v>6984</v>
      </c>
      <c r="CXQ16" t="s">
        <v>6984</v>
      </c>
      <c r="CXR16" t="s">
        <v>6984</v>
      </c>
      <c r="CXS16" t="s">
        <v>6984</v>
      </c>
      <c r="CXT16" t="s">
        <v>6984</v>
      </c>
      <c r="CXU16" t="s">
        <v>6984</v>
      </c>
      <c r="CXV16" t="s">
        <v>6984</v>
      </c>
      <c r="CXW16" t="s">
        <v>6984</v>
      </c>
      <c r="CXX16" t="s">
        <v>6984</v>
      </c>
      <c r="CXY16" t="s">
        <v>6984</v>
      </c>
      <c r="CXZ16" t="s">
        <v>6984</v>
      </c>
      <c r="CYA16" t="s">
        <v>6984</v>
      </c>
      <c r="CYB16" t="s">
        <v>6984</v>
      </c>
      <c r="CYC16" t="s">
        <v>6984</v>
      </c>
      <c r="CYD16" t="s">
        <v>6984</v>
      </c>
      <c r="CYE16" t="s">
        <v>6984</v>
      </c>
      <c r="CYF16" t="s">
        <v>6984</v>
      </c>
      <c r="CYG16" t="s">
        <v>6984</v>
      </c>
      <c r="CYH16" t="s">
        <v>6984</v>
      </c>
      <c r="CYI16" t="s">
        <v>6984</v>
      </c>
      <c r="CYJ16" t="s">
        <v>6984</v>
      </c>
      <c r="CYK16" t="s">
        <v>6984</v>
      </c>
      <c r="CYL16" t="s">
        <v>6984</v>
      </c>
      <c r="CYM16" t="s">
        <v>6984</v>
      </c>
      <c r="CYN16" t="s">
        <v>6984</v>
      </c>
      <c r="CYO16" t="s">
        <v>6984</v>
      </c>
      <c r="CYP16" t="s">
        <v>6984</v>
      </c>
      <c r="CYQ16" t="s">
        <v>6984</v>
      </c>
      <c r="CYR16" t="s">
        <v>6984</v>
      </c>
      <c r="CYS16" t="s">
        <v>6984</v>
      </c>
      <c r="CYT16" t="s">
        <v>6984</v>
      </c>
      <c r="CYU16" t="s">
        <v>6984</v>
      </c>
      <c r="CYV16" t="s">
        <v>6984</v>
      </c>
      <c r="CYW16" t="s">
        <v>6984</v>
      </c>
      <c r="CYX16" t="s">
        <v>6984</v>
      </c>
      <c r="CYY16" t="s">
        <v>6984</v>
      </c>
      <c r="CYZ16" t="s">
        <v>6984</v>
      </c>
      <c r="CZA16" t="s">
        <v>6984</v>
      </c>
      <c r="CZB16" t="s">
        <v>6984</v>
      </c>
      <c r="CZC16" t="s">
        <v>6984</v>
      </c>
      <c r="CZD16" t="s">
        <v>6984</v>
      </c>
      <c r="CZE16" t="s">
        <v>6984</v>
      </c>
      <c r="CZF16" t="s">
        <v>6984</v>
      </c>
      <c r="CZG16" t="s">
        <v>6984</v>
      </c>
      <c r="CZH16" t="s">
        <v>6984</v>
      </c>
      <c r="CZI16" t="s">
        <v>6984</v>
      </c>
      <c r="CZJ16" t="s">
        <v>6984</v>
      </c>
      <c r="CZK16" t="s">
        <v>6984</v>
      </c>
      <c r="CZL16" t="s">
        <v>6984</v>
      </c>
      <c r="CZM16" t="s">
        <v>6984</v>
      </c>
      <c r="CZN16" t="s">
        <v>6984</v>
      </c>
      <c r="CZO16" t="s">
        <v>6984</v>
      </c>
      <c r="CZP16" t="s">
        <v>6984</v>
      </c>
      <c r="CZQ16" t="s">
        <v>6984</v>
      </c>
      <c r="CZR16" t="s">
        <v>6984</v>
      </c>
      <c r="CZS16" t="s">
        <v>6984</v>
      </c>
      <c r="CZT16" t="s">
        <v>6984</v>
      </c>
      <c r="CZU16" t="s">
        <v>6984</v>
      </c>
      <c r="CZV16" t="s">
        <v>6984</v>
      </c>
      <c r="CZW16" t="s">
        <v>6984</v>
      </c>
      <c r="CZX16" t="s">
        <v>6984</v>
      </c>
      <c r="CZY16" t="s">
        <v>6984</v>
      </c>
      <c r="CZZ16" t="s">
        <v>6984</v>
      </c>
      <c r="DAA16" t="s">
        <v>6984</v>
      </c>
      <c r="DAB16" t="s">
        <v>6984</v>
      </c>
      <c r="DAC16" t="s">
        <v>6984</v>
      </c>
      <c r="DAD16" t="s">
        <v>6984</v>
      </c>
      <c r="DAE16" t="s">
        <v>6984</v>
      </c>
      <c r="DAF16" t="s">
        <v>6984</v>
      </c>
      <c r="DAG16" t="s">
        <v>6984</v>
      </c>
      <c r="DAH16" t="s">
        <v>6984</v>
      </c>
      <c r="DAI16" t="s">
        <v>6984</v>
      </c>
      <c r="DAJ16" t="s">
        <v>6984</v>
      </c>
      <c r="DAK16" t="s">
        <v>6984</v>
      </c>
      <c r="DAL16" t="s">
        <v>6984</v>
      </c>
      <c r="DAM16" t="s">
        <v>6984</v>
      </c>
      <c r="DAN16" t="s">
        <v>6984</v>
      </c>
      <c r="DAO16" t="s">
        <v>6984</v>
      </c>
      <c r="DAP16" t="s">
        <v>6984</v>
      </c>
      <c r="DAQ16" t="s">
        <v>6984</v>
      </c>
      <c r="DAR16" t="s">
        <v>6984</v>
      </c>
      <c r="DAS16" t="s">
        <v>6984</v>
      </c>
      <c r="DAT16" t="s">
        <v>6984</v>
      </c>
      <c r="DAU16" t="s">
        <v>6984</v>
      </c>
      <c r="DAV16" t="s">
        <v>6984</v>
      </c>
      <c r="DAW16" t="s">
        <v>6984</v>
      </c>
      <c r="DAX16" t="s">
        <v>6984</v>
      </c>
      <c r="DAY16" t="s">
        <v>6984</v>
      </c>
      <c r="DAZ16" t="s">
        <v>6984</v>
      </c>
      <c r="DBA16" t="s">
        <v>6984</v>
      </c>
      <c r="DBB16" t="s">
        <v>6984</v>
      </c>
      <c r="DBC16" t="s">
        <v>6984</v>
      </c>
      <c r="DBD16" t="s">
        <v>6984</v>
      </c>
      <c r="DBE16" t="s">
        <v>6984</v>
      </c>
      <c r="DBF16" t="s">
        <v>6984</v>
      </c>
      <c r="DBG16" t="s">
        <v>6984</v>
      </c>
      <c r="DBH16" t="s">
        <v>6984</v>
      </c>
      <c r="DBI16" t="s">
        <v>6984</v>
      </c>
      <c r="DBJ16" t="s">
        <v>6984</v>
      </c>
      <c r="DBK16" t="s">
        <v>6984</v>
      </c>
      <c r="DBL16" t="s">
        <v>6984</v>
      </c>
      <c r="DBM16" t="s">
        <v>6984</v>
      </c>
      <c r="DBN16" t="s">
        <v>6984</v>
      </c>
      <c r="DBO16" t="s">
        <v>6984</v>
      </c>
      <c r="DBP16" t="s">
        <v>6984</v>
      </c>
      <c r="DBQ16" t="s">
        <v>6984</v>
      </c>
      <c r="DBR16" t="s">
        <v>6984</v>
      </c>
      <c r="DBS16" t="s">
        <v>6984</v>
      </c>
      <c r="DBT16" t="s">
        <v>6984</v>
      </c>
      <c r="DBU16" t="s">
        <v>6984</v>
      </c>
      <c r="DBV16" t="s">
        <v>6984</v>
      </c>
      <c r="DBW16" t="s">
        <v>6984</v>
      </c>
      <c r="DBX16" t="s">
        <v>6984</v>
      </c>
      <c r="DBY16" t="s">
        <v>6984</v>
      </c>
      <c r="DBZ16" t="s">
        <v>6984</v>
      </c>
      <c r="DCA16" t="s">
        <v>6984</v>
      </c>
      <c r="DCB16" t="s">
        <v>6984</v>
      </c>
      <c r="DCC16" t="s">
        <v>6984</v>
      </c>
      <c r="DCD16" t="s">
        <v>6984</v>
      </c>
      <c r="DCE16" t="s">
        <v>6984</v>
      </c>
      <c r="DCF16" t="s">
        <v>6984</v>
      </c>
      <c r="DCG16" t="s">
        <v>6984</v>
      </c>
      <c r="DCH16" t="s">
        <v>6984</v>
      </c>
      <c r="DCI16" t="s">
        <v>6984</v>
      </c>
      <c r="DCJ16" t="s">
        <v>6984</v>
      </c>
      <c r="DCK16" t="s">
        <v>6984</v>
      </c>
      <c r="DCL16" t="s">
        <v>6984</v>
      </c>
      <c r="DCM16" t="s">
        <v>6984</v>
      </c>
      <c r="DCN16" t="s">
        <v>6984</v>
      </c>
      <c r="DCO16" t="s">
        <v>6984</v>
      </c>
      <c r="DCP16" t="s">
        <v>6984</v>
      </c>
      <c r="DCQ16" t="s">
        <v>6984</v>
      </c>
      <c r="DCR16" t="s">
        <v>6984</v>
      </c>
      <c r="DCS16" t="s">
        <v>6984</v>
      </c>
      <c r="DCT16" t="s">
        <v>6984</v>
      </c>
      <c r="DCU16" t="s">
        <v>6984</v>
      </c>
      <c r="DCV16" t="s">
        <v>6984</v>
      </c>
      <c r="DCW16" t="s">
        <v>6984</v>
      </c>
      <c r="DCX16" t="s">
        <v>6984</v>
      </c>
      <c r="DCY16" t="s">
        <v>6984</v>
      </c>
      <c r="DCZ16" t="s">
        <v>6984</v>
      </c>
      <c r="DDA16" t="s">
        <v>6984</v>
      </c>
      <c r="DDB16" t="s">
        <v>6984</v>
      </c>
      <c r="DDC16" t="s">
        <v>6984</v>
      </c>
      <c r="DDD16" t="s">
        <v>6984</v>
      </c>
      <c r="DDE16" t="s">
        <v>6984</v>
      </c>
      <c r="DDF16" t="s">
        <v>6984</v>
      </c>
      <c r="DDG16" t="s">
        <v>6984</v>
      </c>
      <c r="DDH16" t="s">
        <v>6984</v>
      </c>
      <c r="DDI16" t="s">
        <v>6984</v>
      </c>
      <c r="DDJ16" t="s">
        <v>6984</v>
      </c>
      <c r="DDK16" t="s">
        <v>6984</v>
      </c>
      <c r="DDL16" t="s">
        <v>6984</v>
      </c>
      <c r="DDM16" t="s">
        <v>6984</v>
      </c>
      <c r="DDN16" t="s">
        <v>6984</v>
      </c>
      <c r="DDO16" t="s">
        <v>6984</v>
      </c>
      <c r="DDP16" t="s">
        <v>6984</v>
      </c>
      <c r="DDQ16" t="s">
        <v>6984</v>
      </c>
      <c r="DDR16" t="s">
        <v>6984</v>
      </c>
      <c r="DDS16" t="s">
        <v>6984</v>
      </c>
      <c r="DDT16" t="s">
        <v>6984</v>
      </c>
      <c r="DDU16" t="s">
        <v>6984</v>
      </c>
      <c r="DDV16" t="s">
        <v>6984</v>
      </c>
      <c r="DDW16" t="s">
        <v>6984</v>
      </c>
      <c r="DDX16" t="s">
        <v>6984</v>
      </c>
      <c r="DDY16" t="s">
        <v>6984</v>
      </c>
      <c r="DDZ16" t="s">
        <v>6984</v>
      </c>
      <c r="DEA16" t="s">
        <v>6984</v>
      </c>
      <c r="DEB16" t="s">
        <v>6984</v>
      </c>
      <c r="DEC16" t="s">
        <v>6984</v>
      </c>
      <c r="DED16" t="s">
        <v>6984</v>
      </c>
      <c r="DEE16" t="s">
        <v>6984</v>
      </c>
      <c r="DEF16" t="s">
        <v>6984</v>
      </c>
      <c r="DEG16" t="s">
        <v>6984</v>
      </c>
      <c r="DEH16" t="s">
        <v>6984</v>
      </c>
      <c r="DEI16" t="s">
        <v>6984</v>
      </c>
      <c r="DEJ16" t="s">
        <v>6984</v>
      </c>
      <c r="DEK16" t="s">
        <v>6984</v>
      </c>
      <c r="DEL16" t="s">
        <v>6984</v>
      </c>
      <c r="DEM16" t="s">
        <v>6984</v>
      </c>
      <c r="DEN16" t="s">
        <v>6984</v>
      </c>
      <c r="DEO16" t="s">
        <v>6984</v>
      </c>
      <c r="DEP16" t="s">
        <v>6984</v>
      </c>
      <c r="DEQ16" t="s">
        <v>6984</v>
      </c>
      <c r="DER16" t="s">
        <v>6984</v>
      </c>
      <c r="DES16" t="s">
        <v>6984</v>
      </c>
      <c r="DET16" t="s">
        <v>6984</v>
      </c>
      <c r="DEU16" t="s">
        <v>6984</v>
      </c>
      <c r="DEV16" t="s">
        <v>6984</v>
      </c>
      <c r="DEW16" t="s">
        <v>6984</v>
      </c>
      <c r="DEX16" t="s">
        <v>6984</v>
      </c>
      <c r="DEY16" t="s">
        <v>6984</v>
      </c>
      <c r="DEZ16" t="s">
        <v>6984</v>
      </c>
      <c r="DFA16" t="s">
        <v>6984</v>
      </c>
      <c r="DFB16" t="s">
        <v>6984</v>
      </c>
      <c r="DFC16" t="s">
        <v>6984</v>
      </c>
      <c r="DFD16" t="s">
        <v>6984</v>
      </c>
      <c r="DFE16" t="s">
        <v>6984</v>
      </c>
      <c r="DFF16" t="s">
        <v>6984</v>
      </c>
      <c r="DFG16" t="s">
        <v>6984</v>
      </c>
      <c r="DFH16" t="s">
        <v>6984</v>
      </c>
      <c r="DFI16" t="s">
        <v>6984</v>
      </c>
      <c r="DFJ16" t="s">
        <v>6984</v>
      </c>
      <c r="DFK16" t="s">
        <v>6984</v>
      </c>
      <c r="DFL16" t="s">
        <v>6984</v>
      </c>
      <c r="DFM16" t="s">
        <v>6984</v>
      </c>
      <c r="DFN16" t="s">
        <v>6984</v>
      </c>
      <c r="DFO16" t="s">
        <v>6984</v>
      </c>
      <c r="DFP16" t="s">
        <v>6984</v>
      </c>
      <c r="DFQ16" t="s">
        <v>6984</v>
      </c>
      <c r="DFR16" t="s">
        <v>6984</v>
      </c>
      <c r="DFS16" t="s">
        <v>6984</v>
      </c>
      <c r="DFT16" t="s">
        <v>6984</v>
      </c>
      <c r="DFU16" t="s">
        <v>6984</v>
      </c>
      <c r="DFV16" t="s">
        <v>6984</v>
      </c>
      <c r="DFW16" t="s">
        <v>6984</v>
      </c>
      <c r="DFX16" t="s">
        <v>6984</v>
      </c>
      <c r="DFY16" t="s">
        <v>6984</v>
      </c>
      <c r="DFZ16" t="s">
        <v>6984</v>
      </c>
      <c r="DGA16" t="s">
        <v>6984</v>
      </c>
      <c r="DGB16" t="s">
        <v>6984</v>
      </c>
      <c r="DGC16" t="s">
        <v>6984</v>
      </c>
      <c r="DGD16" t="s">
        <v>6984</v>
      </c>
      <c r="DGE16" t="s">
        <v>6984</v>
      </c>
      <c r="DGF16" t="s">
        <v>6984</v>
      </c>
      <c r="DGG16" t="s">
        <v>6984</v>
      </c>
      <c r="DGH16" t="s">
        <v>6984</v>
      </c>
      <c r="DGI16" t="s">
        <v>6984</v>
      </c>
      <c r="DGJ16" t="s">
        <v>6984</v>
      </c>
      <c r="DGK16" t="s">
        <v>6984</v>
      </c>
      <c r="DGL16" t="s">
        <v>6984</v>
      </c>
      <c r="DGM16" t="s">
        <v>6984</v>
      </c>
      <c r="DGN16" t="s">
        <v>6984</v>
      </c>
      <c r="DGO16" t="s">
        <v>6984</v>
      </c>
      <c r="DGP16" t="s">
        <v>6984</v>
      </c>
      <c r="DGQ16" t="s">
        <v>6984</v>
      </c>
      <c r="DGR16" t="s">
        <v>6984</v>
      </c>
      <c r="DGS16" t="s">
        <v>6984</v>
      </c>
      <c r="DGT16" t="s">
        <v>6984</v>
      </c>
      <c r="DGU16" t="s">
        <v>6984</v>
      </c>
      <c r="DGV16" t="s">
        <v>6984</v>
      </c>
      <c r="DGW16" t="s">
        <v>6984</v>
      </c>
      <c r="DGX16" t="s">
        <v>6984</v>
      </c>
      <c r="DGY16" t="s">
        <v>6984</v>
      </c>
      <c r="DGZ16" t="s">
        <v>6984</v>
      </c>
      <c r="DHA16" t="s">
        <v>6984</v>
      </c>
      <c r="DHB16" t="s">
        <v>6984</v>
      </c>
      <c r="DHC16" t="s">
        <v>6984</v>
      </c>
      <c r="DHD16" t="s">
        <v>6984</v>
      </c>
      <c r="DHE16" t="s">
        <v>6984</v>
      </c>
      <c r="DHF16" t="s">
        <v>6984</v>
      </c>
      <c r="DHG16" t="s">
        <v>6984</v>
      </c>
      <c r="DHH16" t="s">
        <v>6984</v>
      </c>
      <c r="DHI16" t="s">
        <v>6984</v>
      </c>
      <c r="DHJ16" t="s">
        <v>6984</v>
      </c>
      <c r="DHK16" t="s">
        <v>6984</v>
      </c>
      <c r="DHL16" t="s">
        <v>6984</v>
      </c>
      <c r="DHM16" t="s">
        <v>6984</v>
      </c>
      <c r="DHN16" t="s">
        <v>6984</v>
      </c>
      <c r="DHO16" t="s">
        <v>6984</v>
      </c>
      <c r="DHP16" t="s">
        <v>6984</v>
      </c>
      <c r="DHQ16" t="s">
        <v>6984</v>
      </c>
      <c r="DHR16" t="s">
        <v>6984</v>
      </c>
      <c r="DHS16" t="s">
        <v>6984</v>
      </c>
      <c r="DHT16" t="s">
        <v>6984</v>
      </c>
      <c r="DHU16" t="s">
        <v>6984</v>
      </c>
      <c r="DHV16" t="s">
        <v>6984</v>
      </c>
      <c r="DHW16" t="s">
        <v>6984</v>
      </c>
      <c r="DHX16" t="s">
        <v>6984</v>
      </c>
      <c r="DHY16" t="s">
        <v>6984</v>
      </c>
      <c r="DHZ16" t="s">
        <v>6984</v>
      </c>
      <c r="DIA16" t="s">
        <v>6984</v>
      </c>
      <c r="DIB16" t="s">
        <v>6984</v>
      </c>
      <c r="DIC16" t="s">
        <v>6984</v>
      </c>
      <c r="DID16" t="s">
        <v>6984</v>
      </c>
      <c r="DIE16" t="s">
        <v>6984</v>
      </c>
      <c r="DIF16" t="s">
        <v>6984</v>
      </c>
      <c r="DIG16" t="s">
        <v>6984</v>
      </c>
      <c r="DIH16" t="s">
        <v>6984</v>
      </c>
      <c r="DII16" t="s">
        <v>6984</v>
      </c>
      <c r="DIJ16" t="s">
        <v>6984</v>
      </c>
      <c r="DIK16" t="s">
        <v>6984</v>
      </c>
      <c r="DIL16" t="s">
        <v>6984</v>
      </c>
      <c r="DIM16" t="s">
        <v>6984</v>
      </c>
      <c r="DIN16" t="s">
        <v>6984</v>
      </c>
      <c r="DIO16" t="s">
        <v>6984</v>
      </c>
      <c r="DIP16" t="s">
        <v>6984</v>
      </c>
      <c r="DIQ16" t="s">
        <v>6984</v>
      </c>
      <c r="DIR16" t="s">
        <v>6984</v>
      </c>
      <c r="DIS16" t="s">
        <v>6984</v>
      </c>
      <c r="DIT16" t="s">
        <v>6984</v>
      </c>
      <c r="DIU16" t="s">
        <v>6984</v>
      </c>
      <c r="DIV16" t="s">
        <v>6984</v>
      </c>
      <c r="DIW16" t="s">
        <v>6984</v>
      </c>
      <c r="DIX16" t="s">
        <v>6984</v>
      </c>
      <c r="DIY16" t="s">
        <v>6984</v>
      </c>
      <c r="DIZ16" t="s">
        <v>6984</v>
      </c>
      <c r="DJA16" t="s">
        <v>6984</v>
      </c>
      <c r="DJB16" t="s">
        <v>6984</v>
      </c>
      <c r="DJC16" t="s">
        <v>6984</v>
      </c>
      <c r="DJD16" t="s">
        <v>6984</v>
      </c>
      <c r="DJE16" t="s">
        <v>6984</v>
      </c>
      <c r="DJF16" t="s">
        <v>6984</v>
      </c>
      <c r="DJG16" t="s">
        <v>6984</v>
      </c>
      <c r="DJH16" t="s">
        <v>6984</v>
      </c>
      <c r="DJI16" t="s">
        <v>6984</v>
      </c>
      <c r="DJJ16" t="s">
        <v>6984</v>
      </c>
      <c r="DJK16" t="s">
        <v>6984</v>
      </c>
      <c r="DJL16" t="s">
        <v>6984</v>
      </c>
      <c r="DJM16" t="s">
        <v>6984</v>
      </c>
      <c r="DJN16" t="s">
        <v>6984</v>
      </c>
      <c r="DJO16" t="s">
        <v>6984</v>
      </c>
      <c r="DJP16" t="s">
        <v>6984</v>
      </c>
      <c r="DJQ16" t="s">
        <v>6984</v>
      </c>
      <c r="DJR16" t="s">
        <v>6984</v>
      </c>
      <c r="DJS16" t="s">
        <v>6984</v>
      </c>
      <c r="DJT16" t="s">
        <v>6984</v>
      </c>
      <c r="DJU16" t="s">
        <v>6984</v>
      </c>
      <c r="DJV16" t="s">
        <v>6984</v>
      </c>
      <c r="DJW16" t="s">
        <v>6984</v>
      </c>
      <c r="DJX16" t="s">
        <v>6984</v>
      </c>
      <c r="DJY16" t="s">
        <v>6984</v>
      </c>
      <c r="DJZ16" t="s">
        <v>6984</v>
      </c>
      <c r="DKA16" t="s">
        <v>6984</v>
      </c>
      <c r="DKB16" t="s">
        <v>6984</v>
      </c>
      <c r="DKC16" t="s">
        <v>6984</v>
      </c>
      <c r="DKD16" t="s">
        <v>6984</v>
      </c>
      <c r="DKE16" t="s">
        <v>6984</v>
      </c>
      <c r="DKF16" t="s">
        <v>6984</v>
      </c>
      <c r="DKG16" t="s">
        <v>6984</v>
      </c>
      <c r="DKH16" t="s">
        <v>6984</v>
      </c>
      <c r="DKI16" t="s">
        <v>6984</v>
      </c>
      <c r="DKJ16" t="s">
        <v>6984</v>
      </c>
      <c r="DKK16" t="s">
        <v>6984</v>
      </c>
      <c r="DKL16" t="s">
        <v>6984</v>
      </c>
      <c r="DKM16" t="s">
        <v>6984</v>
      </c>
      <c r="DKN16" t="s">
        <v>6984</v>
      </c>
      <c r="DKO16" t="s">
        <v>6984</v>
      </c>
      <c r="DKP16" t="s">
        <v>6984</v>
      </c>
      <c r="DKQ16" t="s">
        <v>6984</v>
      </c>
      <c r="DKR16" t="s">
        <v>6984</v>
      </c>
      <c r="DKS16" t="s">
        <v>6984</v>
      </c>
      <c r="DKT16" t="s">
        <v>6984</v>
      </c>
      <c r="DKU16" t="s">
        <v>6984</v>
      </c>
      <c r="DKV16" t="s">
        <v>6984</v>
      </c>
      <c r="DKW16" t="s">
        <v>6984</v>
      </c>
      <c r="DKX16" t="s">
        <v>6984</v>
      </c>
      <c r="DKY16" t="s">
        <v>6984</v>
      </c>
      <c r="DKZ16" t="s">
        <v>6984</v>
      </c>
      <c r="DLA16" t="s">
        <v>6984</v>
      </c>
      <c r="DLB16" t="s">
        <v>6984</v>
      </c>
      <c r="DLC16" t="s">
        <v>6984</v>
      </c>
      <c r="DLD16" t="s">
        <v>6984</v>
      </c>
      <c r="DLE16" t="s">
        <v>6984</v>
      </c>
      <c r="DLF16" t="s">
        <v>6984</v>
      </c>
      <c r="DLG16" t="s">
        <v>6984</v>
      </c>
      <c r="DLH16" t="s">
        <v>6984</v>
      </c>
      <c r="DLI16" t="s">
        <v>6984</v>
      </c>
      <c r="DLJ16" t="s">
        <v>6984</v>
      </c>
      <c r="DLK16" t="s">
        <v>6984</v>
      </c>
      <c r="DLL16" t="s">
        <v>6984</v>
      </c>
      <c r="DLM16" t="s">
        <v>6984</v>
      </c>
      <c r="DLN16" t="s">
        <v>6984</v>
      </c>
      <c r="DLO16" t="s">
        <v>6984</v>
      </c>
      <c r="DLP16" t="s">
        <v>6984</v>
      </c>
      <c r="DLQ16" t="s">
        <v>6984</v>
      </c>
      <c r="DLR16" t="s">
        <v>6984</v>
      </c>
      <c r="DLS16" t="s">
        <v>6984</v>
      </c>
      <c r="DLT16" t="s">
        <v>6984</v>
      </c>
      <c r="DLU16" t="s">
        <v>6984</v>
      </c>
      <c r="DLV16" t="s">
        <v>6984</v>
      </c>
      <c r="DLW16" t="s">
        <v>6984</v>
      </c>
      <c r="DLX16" t="s">
        <v>6984</v>
      </c>
      <c r="DLY16" t="s">
        <v>6984</v>
      </c>
      <c r="DLZ16" t="s">
        <v>6984</v>
      </c>
      <c r="DMA16" t="s">
        <v>6984</v>
      </c>
      <c r="DMB16" t="s">
        <v>6984</v>
      </c>
      <c r="DMC16" t="s">
        <v>6984</v>
      </c>
      <c r="DMD16" t="s">
        <v>6984</v>
      </c>
      <c r="DME16" t="s">
        <v>6984</v>
      </c>
      <c r="DMF16" t="s">
        <v>6984</v>
      </c>
      <c r="DMG16" t="s">
        <v>6984</v>
      </c>
      <c r="DMH16" t="s">
        <v>6984</v>
      </c>
      <c r="DMI16" t="s">
        <v>6984</v>
      </c>
      <c r="DMJ16" t="s">
        <v>6984</v>
      </c>
      <c r="DMK16" t="s">
        <v>6984</v>
      </c>
      <c r="DML16" t="s">
        <v>6984</v>
      </c>
      <c r="DMM16" t="s">
        <v>6984</v>
      </c>
      <c r="DMN16" t="s">
        <v>6984</v>
      </c>
      <c r="DMO16" t="s">
        <v>6984</v>
      </c>
      <c r="DMP16" t="s">
        <v>6984</v>
      </c>
      <c r="DMQ16" t="s">
        <v>6984</v>
      </c>
      <c r="DMR16" t="s">
        <v>6984</v>
      </c>
      <c r="DMS16" t="s">
        <v>6984</v>
      </c>
      <c r="DMT16" t="s">
        <v>6984</v>
      </c>
      <c r="DMU16" t="s">
        <v>6984</v>
      </c>
      <c r="DMV16" t="s">
        <v>6984</v>
      </c>
      <c r="DMW16" t="s">
        <v>6984</v>
      </c>
      <c r="DMX16" t="s">
        <v>6984</v>
      </c>
      <c r="DMY16" t="s">
        <v>6984</v>
      </c>
      <c r="DMZ16" t="s">
        <v>6984</v>
      </c>
      <c r="DNA16" t="s">
        <v>6984</v>
      </c>
      <c r="DNB16" t="s">
        <v>6984</v>
      </c>
      <c r="DNC16" t="s">
        <v>6984</v>
      </c>
      <c r="DND16" t="s">
        <v>6984</v>
      </c>
      <c r="DNE16" t="s">
        <v>6984</v>
      </c>
      <c r="DNF16" t="s">
        <v>6984</v>
      </c>
      <c r="DNG16" t="s">
        <v>6984</v>
      </c>
      <c r="DNH16" t="s">
        <v>6984</v>
      </c>
      <c r="DNI16" t="s">
        <v>6984</v>
      </c>
      <c r="DNJ16" t="s">
        <v>6984</v>
      </c>
      <c r="DNK16" t="s">
        <v>6984</v>
      </c>
      <c r="DNL16" t="s">
        <v>6984</v>
      </c>
      <c r="DNM16" t="s">
        <v>6984</v>
      </c>
      <c r="DNN16" t="s">
        <v>6984</v>
      </c>
      <c r="DNO16" t="s">
        <v>6984</v>
      </c>
      <c r="DNP16" t="s">
        <v>6984</v>
      </c>
      <c r="DNQ16" t="s">
        <v>6984</v>
      </c>
      <c r="DNR16" t="s">
        <v>6984</v>
      </c>
      <c r="DNS16" t="s">
        <v>6984</v>
      </c>
      <c r="DNT16" t="s">
        <v>6984</v>
      </c>
      <c r="DNU16" t="s">
        <v>6984</v>
      </c>
      <c r="DNV16" t="s">
        <v>6984</v>
      </c>
      <c r="DNW16" t="s">
        <v>6984</v>
      </c>
      <c r="DNX16" t="s">
        <v>6984</v>
      </c>
      <c r="DNY16" t="s">
        <v>6984</v>
      </c>
      <c r="DNZ16" t="s">
        <v>6984</v>
      </c>
      <c r="DOA16" t="s">
        <v>6984</v>
      </c>
      <c r="DOB16" t="s">
        <v>6984</v>
      </c>
      <c r="DOC16" t="s">
        <v>6984</v>
      </c>
      <c r="DOD16" t="s">
        <v>6984</v>
      </c>
      <c r="DOE16" t="s">
        <v>6984</v>
      </c>
      <c r="DOF16" t="s">
        <v>6984</v>
      </c>
      <c r="DOG16" t="s">
        <v>6984</v>
      </c>
      <c r="DOH16" t="s">
        <v>6984</v>
      </c>
      <c r="DOI16" t="s">
        <v>6984</v>
      </c>
      <c r="DOJ16" t="s">
        <v>6984</v>
      </c>
      <c r="DOK16" t="s">
        <v>6984</v>
      </c>
      <c r="DOL16" t="s">
        <v>6984</v>
      </c>
      <c r="DOM16" t="s">
        <v>6984</v>
      </c>
      <c r="DON16" t="s">
        <v>6984</v>
      </c>
      <c r="DOO16" t="s">
        <v>6984</v>
      </c>
      <c r="DOP16" t="s">
        <v>6984</v>
      </c>
      <c r="DOQ16" t="s">
        <v>6984</v>
      </c>
      <c r="DOR16" t="s">
        <v>6984</v>
      </c>
      <c r="DOS16" t="s">
        <v>6984</v>
      </c>
      <c r="DOT16" t="s">
        <v>6984</v>
      </c>
      <c r="DOU16" t="s">
        <v>6984</v>
      </c>
      <c r="DOV16" t="s">
        <v>6984</v>
      </c>
      <c r="DOW16" t="s">
        <v>6984</v>
      </c>
      <c r="DOX16" t="s">
        <v>6984</v>
      </c>
      <c r="DOY16" t="s">
        <v>6984</v>
      </c>
      <c r="DOZ16" t="s">
        <v>6984</v>
      </c>
      <c r="DPA16" t="s">
        <v>6984</v>
      </c>
      <c r="DPB16" t="s">
        <v>6984</v>
      </c>
      <c r="DPC16" t="s">
        <v>6984</v>
      </c>
      <c r="DPD16" t="s">
        <v>6984</v>
      </c>
      <c r="DPE16" t="s">
        <v>6984</v>
      </c>
      <c r="DPF16" t="s">
        <v>6984</v>
      </c>
      <c r="DPG16" t="s">
        <v>6984</v>
      </c>
      <c r="DPH16" t="s">
        <v>6984</v>
      </c>
      <c r="DPI16" t="s">
        <v>6984</v>
      </c>
      <c r="DPJ16" t="s">
        <v>6984</v>
      </c>
      <c r="DPK16" t="s">
        <v>6984</v>
      </c>
      <c r="DPL16" t="s">
        <v>6984</v>
      </c>
      <c r="DPM16" t="s">
        <v>6984</v>
      </c>
      <c r="DPN16" t="s">
        <v>6984</v>
      </c>
      <c r="DPO16" t="s">
        <v>6984</v>
      </c>
      <c r="DPP16" t="s">
        <v>6984</v>
      </c>
      <c r="DPQ16" t="s">
        <v>6984</v>
      </c>
      <c r="DPR16" t="s">
        <v>6984</v>
      </c>
      <c r="DPS16" t="s">
        <v>6984</v>
      </c>
      <c r="DPT16" t="s">
        <v>6984</v>
      </c>
      <c r="DPU16" t="s">
        <v>6984</v>
      </c>
      <c r="DPV16" t="s">
        <v>6984</v>
      </c>
      <c r="DPW16" t="s">
        <v>6984</v>
      </c>
      <c r="DPX16" t="s">
        <v>6984</v>
      </c>
      <c r="DPY16" t="s">
        <v>6984</v>
      </c>
      <c r="DPZ16" t="s">
        <v>6984</v>
      </c>
      <c r="DQA16" t="s">
        <v>6984</v>
      </c>
      <c r="DQB16" t="s">
        <v>6984</v>
      </c>
      <c r="DQC16" t="s">
        <v>6984</v>
      </c>
      <c r="DQD16" t="s">
        <v>6984</v>
      </c>
      <c r="DQE16" t="s">
        <v>6984</v>
      </c>
      <c r="DQF16" t="s">
        <v>6984</v>
      </c>
      <c r="DQG16" t="s">
        <v>6984</v>
      </c>
      <c r="DQH16" t="s">
        <v>6984</v>
      </c>
      <c r="DQI16" t="s">
        <v>6984</v>
      </c>
      <c r="DQJ16" t="s">
        <v>6984</v>
      </c>
      <c r="DQK16" t="s">
        <v>6984</v>
      </c>
      <c r="DQL16" t="s">
        <v>6984</v>
      </c>
      <c r="DQM16" t="s">
        <v>6984</v>
      </c>
      <c r="DQN16" t="s">
        <v>6984</v>
      </c>
      <c r="DQO16" t="s">
        <v>6984</v>
      </c>
      <c r="DQP16" t="s">
        <v>6984</v>
      </c>
      <c r="DQQ16" t="s">
        <v>6984</v>
      </c>
      <c r="DQR16" t="s">
        <v>6984</v>
      </c>
      <c r="DQS16" t="s">
        <v>6984</v>
      </c>
      <c r="DQT16" t="s">
        <v>6984</v>
      </c>
      <c r="DQU16" t="s">
        <v>6984</v>
      </c>
      <c r="DQV16" t="s">
        <v>6984</v>
      </c>
      <c r="DQW16" t="s">
        <v>6984</v>
      </c>
      <c r="DQX16" t="s">
        <v>6984</v>
      </c>
      <c r="DQY16" t="s">
        <v>6984</v>
      </c>
      <c r="DQZ16" t="s">
        <v>6984</v>
      </c>
      <c r="DRA16" t="s">
        <v>6984</v>
      </c>
      <c r="DRB16" t="s">
        <v>6984</v>
      </c>
      <c r="DRC16" t="s">
        <v>6984</v>
      </c>
      <c r="DRD16" t="s">
        <v>6984</v>
      </c>
      <c r="DRE16" t="s">
        <v>6984</v>
      </c>
      <c r="DRF16" t="s">
        <v>6984</v>
      </c>
      <c r="DRG16" t="s">
        <v>6984</v>
      </c>
      <c r="DRH16" t="s">
        <v>6984</v>
      </c>
      <c r="DRI16" t="s">
        <v>6984</v>
      </c>
      <c r="DRJ16" t="s">
        <v>6984</v>
      </c>
      <c r="DRK16" t="s">
        <v>6984</v>
      </c>
      <c r="DRL16" t="s">
        <v>6984</v>
      </c>
      <c r="DRM16" t="s">
        <v>6984</v>
      </c>
      <c r="DRN16" t="s">
        <v>6984</v>
      </c>
      <c r="DRO16" t="s">
        <v>6984</v>
      </c>
      <c r="DRP16" t="s">
        <v>6984</v>
      </c>
      <c r="DRQ16" t="s">
        <v>6984</v>
      </c>
      <c r="DRR16" t="s">
        <v>6984</v>
      </c>
      <c r="DRS16" t="s">
        <v>6984</v>
      </c>
      <c r="DRT16" t="s">
        <v>6984</v>
      </c>
      <c r="DRU16" t="s">
        <v>6984</v>
      </c>
      <c r="DRV16" t="s">
        <v>6984</v>
      </c>
      <c r="DRW16" t="s">
        <v>6984</v>
      </c>
      <c r="DRX16" t="s">
        <v>6984</v>
      </c>
      <c r="DRY16" t="s">
        <v>6984</v>
      </c>
      <c r="DRZ16" t="s">
        <v>6984</v>
      </c>
      <c r="DSA16" t="s">
        <v>6984</v>
      </c>
      <c r="DSB16" t="s">
        <v>6984</v>
      </c>
      <c r="DSC16" t="s">
        <v>6984</v>
      </c>
      <c r="DSD16" t="s">
        <v>6984</v>
      </c>
      <c r="DSE16" t="s">
        <v>6984</v>
      </c>
      <c r="DSF16" t="s">
        <v>6984</v>
      </c>
      <c r="DSG16" t="s">
        <v>6984</v>
      </c>
      <c r="DSH16" t="s">
        <v>6984</v>
      </c>
      <c r="DSI16" t="s">
        <v>6984</v>
      </c>
      <c r="DSJ16" t="s">
        <v>6984</v>
      </c>
      <c r="DSK16" t="s">
        <v>6984</v>
      </c>
      <c r="DSL16" t="s">
        <v>6984</v>
      </c>
      <c r="DSM16" t="s">
        <v>6984</v>
      </c>
      <c r="DSN16" t="s">
        <v>6984</v>
      </c>
      <c r="DSO16" t="s">
        <v>6984</v>
      </c>
      <c r="DSP16" t="s">
        <v>6984</v>
      </c>
      <c r="DSQ16" t="s">
        <v>6984</v>
      </c>
      <c r="DSR16" t="s">
        <v>6984</v>
      </c>
      <c r="DSS16" t="s">
        <v>6984</v>
      </c>
      <c r="DST16" t="s">
        <v>6984</v>
      </c>
      <c r="DSU16" t="s">
        <v>6984</v>
      </c>
      <c r="DSV16" t="s">
        <v>6984</v>
      </c>
      <c r="DSW16" t="s">
        <v>6984</v>
      </c>
      <c r="DSX16" t="s">
        <v>6984</v>
      </c>
      <c r="DSY16" t="s">
        <v>6984</v>
      </c>
      <c r="DSZ16" t="s">
        <v>6984</v>
      </c>
      <c r="DTA16" t="s">
        <v>6984</v>
      </c>
      <c r="DTB16" t="s">
        <v>6984</v>
      </c>
      <c r="DTC16" t="s">
        <v>6984</v>
      </c>
      <c r="DTD16" t="s">
        <v>6984</v>
      </c>
      <c r="DTE16" t="s">
        <v>6984</v>
      </c>
      <c r="DTF16" t="s">
        <v>6984</v>
      </c>
      <c r="DTG16" t="s">
        <v>6984</v>
      </c>
      <c r="DTH16" t="s">
        <v>6984</v>
      </c>
      <c r="DTI16" t="s">
        <v>6984</v>
      </c>
      <c r="DTJ16" t="s">
        <v>6984</v>
      </c>
      <c r="DTK16" t="s">
        <v>6984</v>
      </c>
      <c r="DTL16" t="s">
        <v>6984</v>
      </c>
      <c r="DTM16" t="s">
        <v>6984</v>
      </c>
      <c r="DTN16" t="s">
        <v>6984</v>
      </c>
      <c r="DTO16" t="s">
        <v>6984</v>
      </c>
      <c r="DTP16" t="s">
        <v>6984</v>
      </c>
      <c r="DTQ16" t="s">
        <v>6984</v>
      </c>
      <c r="DTR16" t="s">
        <v>6984</v>
      </c>
      <c r="DTS16" t="s">
        <v>6984</v>
      </c>
      <c r="DTT16" t="s">
        <v>6984</v>
      </c>
      <c r="DTU16" t="s">
        <v>6984</v>
      </c>
      <c r="DTV16" t="s">
        <v>6984</v>
      </c>
      <c r="DTW16" t="s">
        <v>6984</v>
      </c>
      <c r="DTX16" t="s">
        <v>6984</v>
      </c>
      <c r="DTY16" t="s">
        <v>6984</v>
      </c>
      <c r="DTZ16" t="s">
        <v>6984</v>
      </c>
      <c r="DUA16" t="s">
        <v>6984</v>
      </c>
      <c r="DUB16" t="s">
        <v>6984</v>
      </c>
      <c r="DUC16" t="s">
        <v>6984</v>
      </c>
      <c r="DUD16" t="s">
        <v>6984</v>
      </c>
      <c r="DUE16" t="s">
        <v>6984</v>
      </c>
      <c r="DUF16" t="s">
        <v>6984</v>
      </c>
      <c r="DUG16" t="s">
        <v>6984</v>
      </c>
      <c r="DUH16" t="s">
        <v>6984</v>
      </c>
      <c r="DUI16" t="s">
        <v>6984</v>
      </c>
      <c r="DUJ16" t="s">
        <v>6984</v>
      </c>
      <c r="DUK16" t="s">
        <v>6984</v>
      </c>
      <c r="DUL16" t="s">
        <v>6984</v>
      </c>
      <c r="DUM16" t="s">
        <v>6984</v>
      </c>
      <c r="DUN16" t="s">
        <v>6984</v>
      </c>
      <c r="DUO16" t="s">
        <v>6984</v>
      </c>
      <c r="DUP16" t="s">
        <v>6984</v>
      </c>
      <c r="DUQ16" t="s">
        <v>6984</v>
      </c>
      <c r="DUR16" t="s">
        <v>6984</v>
      </c>
      <c r="DUS16" t="s">
        <v>6984</v>
      </c>
      <c r="DUT16" t="s">
        <v>6984</v>
      </c>
      <c r="DUU16" t="s">
        <v>6984</v>
      </c>
      <c r="DUV16" t="s">
        <v>6984</v>
      </c>
      <c r="DUW16" t="s">
        <v>6984</v>
      </c>
      <c r="DUX16" t="s">
        <v>6984</v>
      </c>
      <c r="DUY16" t="s">
        <v>6984</v>
      </c>
      <c r="DUZ16" t="s">
        <v>6984</v>
      </c>
      <c r="DVA16" t="s">
        <v>6984</v>
      </c>
      <c r="DVB16" t="s">
        <v>6984</v>
      </c>
      <c r="DVC16" t="s">
        <v>6984</v>
      </c>
      <c r="DVD16" t="s">
        <v>6984</v>
      </c>
      <c r="DVE16" t="s">
        <v>6984</v>
      </c>
      <c r="DVF16" t="s">
        <v>6984</v>
      </c>
      <c r="DVG16" t="s">
        <v>6984</v>
      </c>
      <c r="DVH16" t="s">
        <v>6984</v>
      </c>
      <c r="DVI16" t="s">
        <v>6984</v>
      </c>
      <c r="DVJ16" t="s">
        <v>6984</v>
      </c>
      <c r="DVK16" t="s">
        <v>6984</v>
      </c>
      <c r="DVL16" t="s">
        <v>6984</v>
      </c>
      <c r="DVM16" t="s">
        <v>6984</v>
      </c>
      <c r="DVN16" t="s">
        <v>6984</v>
      </c>
      <c r="DVO16" t="s">
        <v>6984</v>
      </c>
      <c r="DVP16" t="s">
        <v>6984</v>
      </c>
      <c r="DVQ16" t="s">
        <v>6984</v>
      </c>
      <c r="DVR16" t="s">
        <v>6984</v>
      </c>
      <c r="DVS16" t="s">
        <v>6984</v>
      </c>
      <c r="DVT16" t="s">
        <v>6984</v>
      </c>
      <c r="DVU16" t="s">
        <v>6984</v>
      </c>
      <c r="DVV16" t="s">
        <v>6984</v>
      </c>
      <c r="DVW16" t="s">
        <v>6984</v>
      </c>
      <c r="DVX16" t="s">
        <v>6984</v>
      </c>
      <c r="DVY16" t="s">
        <v>6984</v>
      </c>
      <c r="DVZ16" t="s">
        <v>6984</v>
      </c>
      <c r="DWA16" t="s">
        <v>6984</v>
      </c>
      <c r="DWB16" t="s">
        <v>6984</v>
      </c>
      <c r="DWC16" t="s">
        <v>6984</v>
      </c>
      <c r="DWD16" t="s">
        <v>6984</v>
      </c>
      <c r="DWE16" t="s">
        <v>6984</v>
      </c>
      <c r="DWF16" t="s">
        <v>6984</v>
      </c>
      <c r="DWG16" t="s">
        <v>6984</v>
      </c>
      <c r="DWH16" t="s">
        <v>6984</v>
      </c>
      <c r="DWI16" t="s">
        <v>6984</v>
      </c>
      <c r="DWJ16" t="s">
        <v>6984</v>
      </c>
      <c r="DWK16" t="s">
        <v>6984</v>
      </c>
      <c r="DWL16" t="s">
        <v>6984</v>
      </c>
      <c r="DWM16" t="s">
        <v>6984</v>
      </c>
      <c r="DWN16" t="s">
        <v>6984</v>
      </c>
      <c r="DWO16" t="s">
        <v>6984</v>
      </c>
      <c r="DWP16" t="s">
        <v>6984</v>
      </c>
      <c r="DWQ16" t="s">
        <v>6984</v>
      </c>
      <c r="DWR16" t="s">
        <v>6984</v>
      </c>
      <c r="DWS16" t="s">
        <v>6984</v>
      </c>
      <c r="DWT16" t="s">
        <v>6984</v>
      </c>
      <c r="DWU16" t="s">
        <v>6984</v>
      </c>
      <c r="DWV16" t="s">
        <v>6984</v>
      </c>
      <c r="DWW16" t="s">
        <v>6984</v>
      </c>
      <c r="DWX16" t="s">
        <v>6984</v>
      </c>
      <c r="DWY16" t="s">
        <v>6984</v>
      </c>
      <c r="DWZ16" t="s">
        <v>6984</v>
      </c>
      <c r="DXA16" t="s">
        <v>6984</v>
      </c>
      <c r="DXB16" t="s">
        <v>6984</v>
      </c>
      <c r="DXC16" t="s">
        <v>6984</v>
      </c>
      <c r="DXD16" t="s">
        <v>6984</v>
      </c>
      <c r="DXE16" t="s">
        <v>6984</v>
      </c>
      <c r="DXF16" t="s">
        <v>6984</v>
      </c>
      <c r="DXG16" t="s">
        <v>6984</v>
      </c>
      <c r="DXH16" t="s">
        <v>6984</v>
      </c>
      <c r="DXI16" t="s">
        <v>6984</v>
      </c>
      <c r="DXJ16" t="s">
        <v>6984</v>
      </c>
      <c r="DXK16" t="s">
        <v>6984</v>
      </c>
      <c r="DXL16" t="s">
        <v>6984</v>
      </c>
      <c r="DXM16" t="s">
        <v>6984</v>
      </c>
      <c r="DXN16" t="s">
        <v>6984</v>
      </c>
      <c r="DXO16" t="s">
        <v>6984</v>
      </c>
      <c r="DXP16" t="s">
        <v>6984</v>
      </c>
      <c r="DXQ16" t="s">
        <v>6984</v>
      </c>
      <c r="DXR16" t="s">
        <v>6984</v>
      </c>
      <c r="DXS16" t="s">
        <v>6984</v>
      </c>
      <c r="DXT16" t="s">
        <v>6984</v>
      </c>
      <c r="DXU16" t="s">
        <v>6984</v>
      </c>
      <c r="DXV16" t="s">
        <v>6984</v>
      </c>
      <c r="DXW16" t="s">
        <v>6984</v>
      </c>
      <c r="DXX16" t="s">
        <v>6984</v>
      </c>
      <c r="DXY16" t="s">
        <v>6984</v>
      </c>
      <c r="DXZ16" t="s">
        <v>6984</v>
      </c>
      <c r="DYA16" t="s">
        <v>6984</v>
      </c>
      <c r="DYB16" t="s">
        <v>6984</v>
      </c>
      <c r="DYC16" t="s">
        <v>6984</v>
      </c>
      <c r="DYD16" t="s">
        <v>6984</v>
      </c>
      <c r="DYE16" t="s">
        <v>6984</v>
      </c>
      <c r="DYF16" t="s">
        <v>6984</v>
      </c>
      <c r="DYG16" t="s">
        <v>6984</v>
      </c>
      <c r="DYH16" t="s">
        <v>6984</v>
      </c>
      <c r="DYI16" t="s">
        <v>6984</v>
      </c>
      <c r="DYJ16" t="s">
        <v>6984</v>
      </c>
      <c r="DYK16" t="s">
        <v>6984</v>
      </c>
      <c r="DYL16" t="s">
        <v>6984</v>
      </c>
      <c r="DYM16" t="s">
        <v>6984</v>
      </c>
      <c r="DYN16" t="s">
        <v>6984</v>
      </c>
      <c r="DYO16" t="s">
        <v>6984</v>
      </c>
      <c r="DYP16" t="s">
        <v>6984</v>
      </c>
      <c r="DYQ16" t="s">
        <v>6984</v>
      </c>
      <c r="DYR16" t="s">
        <v>6984</v>
      </c>
      <c r="DYS16" t="s">
        <v>6984</v>
      </c>
      <c r="DYT16" t="s">
        <v>6984</v>
      </c>
      <c r="DYU16" t="s">
        <v>6984</v>
      </c>
      <c r="DYV16" t="s">
        <v>6984</v>
      </c>
      <c r="DYW16" t="s">
        <v>6984</v>
      </c>
      <c r="DYX16" t="s">
        <v>6984</v>
      </c>
      <c r="DYY16" t="s">
        <v>6984</v>
      </c>
      <c r="DYZ16" t="s">
        <v>6984</v>
      </c>
      <c r="DZA16" t="s">
        <v>6984</v>
      </c>
      <c r="DZB16" t="s">
        <v>6984</v>
      </c>
      <c r="DZC16" t="s">
        <v>6984</v>
      </c>
      <c r="DZD16" t="s">
        <v>6984</v>
      </c>
      <c r="DZE16" t="s">
        <v>6984</v>
      </c>
      <c r="DZF16" t="s">
        <v>6984</v>
      </c>
      <c r="DZG16" t="s">
        <v>6984</v>
      </c>
      <c r="DZH16" t="s">
        <v>6984</v>
      </c>
      <c r="DZI16" t="s">
        <v>6984</v>
      </c>
      <c r="DZJ16" t="s">
        <v>6984</v>
      </c>
      <c r="DZK16" t="s">
        <v>6984</v>
      </c>
      <c r="DZL16" t="s">
        <v>6984</v>
      </c>
      <c r="DZM16" t="s">
        <v>6984</v>
      </c>
      <c r="DZN16" t="s">
        <v>6984</v>
      </c>
      <c r="DZO16" t="s">
        <v>6984</v>
      </c>
      <c r="DZP16" t="s">
        <v>6984</v>
      </c>
      <c r="DZQ16" t="s">
        <v>6984</v>
      </c>
      <c r="DZR16" t="s">
        <v>6984</v>
      </c>
      <c r="DZS16" t="s">
        <v>6984</v>
      </c>
      <c r="DZT16" t="s">
        <v>6984</v>
      </c>
      <c r="DZU16" t="s">
        <v>6984</v>
      </c>
      <c r="DZV16" t="s">
        <v>6984</v>
      </c>
      <c r="DZW16" t="s">
        <v>6984</v>
      </c>
      <c r="DZX16" t="s">
        <v>6984</v>
      </c>
      <c r="DZY16" t="s">
        <v>6984</v>
      </c>
      <c r="DZZ16" t="s">
        <v>6984</v>
      </c>
      <c r="EAA16" t="s">
        <v>6984</v>
      </c>
      <c r="EAB16" t="s">
        <v>6984</v>
      </c>
      <c r="EAC16" t="s">
        <v>6984</v>
      </c>
      <c r="EAD16" t="s">
        <v>6984</v>
      </c>
      <c r="EAE16" t="s">
        <v>6984</v>
      </c>
      <c r="EAF16" t="s">
        <v>6984</v>
      </c>
      <c r="EAG16" t="s">
        <v>6984</v>
      </c>
      <c r="EAH16" t="s">
        <v>6984</v>
      </c>
      <c r="EAI16" t="s">
        <v>6984</v>
      </c>
      <c r="EAJ16" t="s">
        <v>6984</v>
      </c>
      <c r="EAK16" t="s">
        <v>6984</v>
      </c>
      <c r="EAL16" t="s">
        <v>6984</v>
      </c>
      <c r="EAM16" t="s">
        <v>6984</v>
      </c>
      <c r="EAN16" t="s">
        <v>6984</v>
      </c>
      <c r="EAO16" t="s">
        <v>6984</v>
      </c>
      <c r="EAP16" t="s">
        <v>6984</v>
      </c>
      <c r="EAQ16" t="s">
        <v>6984</v>
      </c>
      <c r="EAR16" t="s">
        <v>6984</v>
      </c>
      <c r="EAS16" t="s">
        <v>6984</v>
      </c>
      <c r="EAT16" t="s">
        <v>6984</v>
      </c>
      <c r="EAU16" t="s">
        <v>6984</v>
      </c>
      <c r="EAV16" t="s">
        <v>6984</v>
      </c>
      <c r="EAW16" t="s">
        <v>6984</v>
      </c>
      <c r="EAX16" t="s">
        <v>6984</v>
      </c>
      <c r="EAY16" t="s">
        <v>6984</v>
      </c>
      <c r="EAZ16" t="s">
        <v>6984</v>
      </c>
      <c r="EBA16" t="s">
        <v>6984</v>
      </c>
      <c r="EBB16" t="s">
        <v>6984</v>
      </c>
      <c r="EBC16" t="s">
        <v>6984</v>
      </c>
      <c r="EBD16" t="s">
        <v>6984</v>
      </c>
      <c r="EBE16" t="s">
        <v>6984</v>
      </c>
      <c r="EBF16" t="s">
        <v>6984</v>
      </c>
      <c r="EBG16" t="s">
        <v>6984</v>
      </c>
      <c r="EBH16" t="s">
        <v>6984</v>
      </c>
      <c r="EBI16" t="s">
        <v>6984</v>
      </c>
      <c r="EBJ16" t="s">
        <v>6984</v>
      </c>
      <c r="EBK16" t="s">
        <v>6984</v>
      </c>
      <c r="EBL16" t="s">
        <v>6984</v>
      </c>
      <c r="EBM16" t="s">
        <v>6984</v>
      </c>
      <c r="EBN16" t="s">
        <v>6984</v>
      </c>
      <c r="EBO16" t="s">
        <v>6984</v>
      </c>
      <c r="EBP16" t="s">
        <v>6984</v>
      </c>
      <c r="EBQ16" t="s">
        <v>6984</v>
      </c>
      <c r="EBR16" t="s">
        <v>6984</v>
      </c>
      <c r="EBS16" t="s">
        <v>6984</v>
      </c>
      <c r="EBT16" t="s">
        <v>6984</v>
      </c>
      <c r="EBU16" t="s">
        <v>6984</v>
      </c>
      <c r="EBV16" t="s">
        <v>6984</v>
      </c>
      <c r="EBW16" t="s">
        <v>6984</v>
      </c>
      <c r="EBX16" t="s">
        <v>6984</v>
      </c>
      <c r="EBY16" t="s">
        <v>6984</v>
      </c>
      <c r="EBZ16" t="s">
        <v>6984</v>
      </c>
      <c r="ECA16" t="s">
        <v>6984</v>
      </c>
      <c r="ECB16" t="s">
        <v>6984</v>
      </c>
      <c r="ECC16" t="s">
        <v>6984</v>
      </c>
      <c r="ECD16" t="s">
        <v>6984</v>
      </c>
      <c r="ECE16" t="s">
        <v>6984</v>
      </c>
      <c r="ECF16" t="s">
        <v>6984</v>
      </c>
      <c r="ECG16" t="s">
        <v>6984</v>
      </c>
      <c r="ECH16" t="s">
        <v>6984</v>
      </c>
      <c r="ECI16" t="s">
        <v>6984</v>
      </c>
      <c r="ECJ16" t="s">
        <v>6984</v>
      </c>
      <c r="ECK16" t="s">
        <v>6984</v>
      </c>
      <c r="ECL16" t="s">
        <v>6984</v>
      </c>
      <c r="ECM16" t="s">
        <v>6984</v>
      </c>
      <c r="ECN16" t="s">
        <v>6984</v>
      </c>
      <c r="ECO16" t="s">
        <v>6984</v>
      </c>
      <c r="ECP16" t="s">
        <v>6984</v>
      </c>
      <c r="ECQ16" t="s">
        <v>6984</v>
      </c>
      <c r="ECR16" t="s">
        <v>6984</v>
      </c>
      <c r="ECS16" t="s">
        <v>6984</v>
      </c>
      <c r="ECT16" t="s">
        <v>6984</v>
      </c>
      <c r="ECU16" t="s">
        <v>6984</v>
      </c>
      <c r="ECV16" t="s">
        <v>6984</v>
      </c>
      <c r="ECW16" t="s">
        <v>6984</v>
      </c>
      <c r="ECX16" t="s">
        <v>6984</v>
      </c>
      <c r="ECY16" t="s">
        <v>6984</v>
      </c>
      <c r="ECZ16" t="s">
        <v>6984</v>
      </c>
      <c r="EDA16" t="s">
        <v>6984</v>
      </c>
      <c r="EDB16" t="s">
        <v>6984</v>
      </c>
      <c r="EDC16" t="s">
        <v>6984</v>
      </c>
      <c r="EDD16" t="s">
        <v>6984</v>
      </c>
      <c r="EDE16" t="s">
        <v>6984</v>
      </c>
      <c r="EDF16" t="s">
        <v>6984</v>
      </c>
      <c r="EDG16" t="s">
        <v>6984</v>
      </c>
      <c r="EDH16" t="s">
        <v>6984</v>
      </c>
      <c r="EDI16" t="s">
        <v>6984</v>
      </c>
      <c r="EDJ16" t="s">
        <v>6984</v>
      </c>
      <c r="EDK16" t="s">
        <v>6984</v>
      </c>
      <c r="EDL16" t="s">
        <v>6984</v>
      </c>
      <c r="EDM16" t="s">
        <v>6984</v>
      </c>
      <c r="EDN16" t="s">
        <v>6984</v>
      </c>
      <c r="EDO16" t="s">
        <v>6984</v>
      </c>
      <c r="EDP16" t="s">
        <v>6984</v>
      </c>
      <c r="EDQ16" t="s">
        <v>6984</v>
      </c>
      <c r="EDR16" t="s">
        <v>6984</v>
      </c>
      <c r="EDS16" t="s">
        <v>6984</v>
      </c>
      <c r="EDT16" t="s">
        <v>6984</v>
      </c>
      <c r="EDU16" t="s">
        <v>6984</v>
      </c>
      <c r="EDV16" t="s">
        <v>6984</v>
      </c>
      <c r="EDW16" t="s">
        <v>6984</v>
      </c>
      <c r="EDX16" t="s">
        <v>6984</v>
      </c>
      <c r="EDY16" t="s">
        <v>6984</v>
      </c>
      <c r="EDZ16" t="s">
        <v>6984</v>
      </c>
      <c r="EEA16" t="s">
        <v>6984</v>
      </c>
      <c r="EEB16" t="s">
        <v>6984</v>
      </c>
      <c r="EEC16" t="s">
        <v>6984</v>
      </c>
      <c r="EED16" t="s">
        <v>6984</v>
      </c>
      <c r="EEE16" t="s">
        <v>6984</v>
      </c>
      <c r="EEF16" t="s">
        <v>6984</v>
      </c>
      <c r="EEG16" t="s">
        <v>6984</v>
      </c>
      <c r="EEH16" t="s">
        <v>6984</v>
      </c>
      <c r="EEI16" t="s">
        <v>6984</v>
      </c>
      <c r="EEJ16" t="s">
        <v>6984</v>
      </c>
      <c r="EEK16" t="s">
        <v>6984</v>
      </c>
      <c r="EEL16" t="s">
        <v>6984</v>
      </c>
      <c r="EEM16" t="s">
        <v>6984</v>
      </c>
      <c r="EEN16" t="s">
        <v>6984</v>
      </c>
      <c r="EEO16" t="s">
        <v>6984</v>
      </c>
      <c r="EEP16" t="s">
        <v>6984</v>
      </c>
      <c r="EEQ16" t="s">
        <v>6984</v>
      </c>
      <c r="EER16" t="s">
        <v>6984</v>
      </c>
      <c r="EES16" t="s">
        <v>6984</v>
      </c>
      <c r="EET16" t="s">
        <v>6984</v>
      </c>
      <c r="EEU16" t="s">
        <v>6984</v>
      </c>
      <c r="EEV16" t="s">
        <v>6984</v>
      </c>
      <c r="EEW16" t="s">
        <v>6984</v>
      </c>
      <c r="EEX16" t="s">
        <v>6984</v>
      </c>
      <c r="EEY16" t="s">
        <v>6984</v>
      </c>
      <c r="EEZ16" t="s">
        <v>6984</v>
      </c>
      <c r="EFA16" t="s">
        <v>6984</v>
      </c>
      <c r="EFB16" t="s">
        <v>6984</v>
      </c>
      <c r="EFC16" t="s">
        <v>6984</v>
      </c>
      <c r="EFD16" t="s">
        <v>6984</v>
      </c>
      <c r="EFE16" t="s">
        <v>6984</v>
      </c>
      <c r="EFF16" t="s">
        <v>6984</v>
      </c>
      <c r="EFG16" t="s">
        <v>6984</v>
      </c>
      <c r="EFH16" t="s">
        <v>6984</v>
      </c>
      <c r="EFI16" t="s">
        <v>6984</v>
      </c>
      <c r="EFJ16" t="s">
        <v>6984</v>
      </c>
      <c r="EFK16" t="s">
        <v>6984</v>
      </c>
      <c r="EFL16" t="s">
        <v>6984</v>
      </c>
      <c r="EFM16" t="s">
        <v>6984</v>
      </c>
      <c r="EFN16" t="s">
        <v>6984</v>
      </c>
      <c r="EFO16" t="s">
        <v>6984</v>
      </c>
      <c r="EFP16" t="s">
        <v>6984</v>
      </c>
      <c r="EFQ16" t="s">
        <v>6984</v>
      </c>
      <c r="EFR16" t="s">
        <v>6984</v>
      </c>
      <c r="EFS16" t="s">
        <v>6984</v>
      </c>
      <c r="EFT16" t="s">
        <v>6984</v>
      </c>
      <c r="EFU16" t="s">
        <v>6984</v>
      </c>
      <c r="EFV16" t="s">
        <v>6984</v>
      </c>
      <c r="EFW16" t="s">
        <v>6984</v>
      </c>
      <c r="EFX16" t="s">
        <v>6984</v>
      </c>
      <c r="EFY16" t="s">
        <v>6984</v>
      </c>
      <c r="EFZ16" t="s">
        <v>6984</v>
      </c>
      <c r="EGA16" t="s">
        <v>6984</v>
      </c>
      <c r="EGB16" t="s">
        <v>6984</v>
      </c>
      <c r="EGC16" t="s">
        <v>6984</v>
      </c>
      <c r="EGD16" t="s">
        <v>6984</v>
      </c>
      <c r="EGE16" t="s">
        <v>6984</v>
      </c>
      <c r="EGF16" t="s">
        <v>6984</v>
      </c>
      <c r="EGG16" t="s">
        <v>6984</v>
      </c>
      <c r="EGH16" t="s">
        <v>6984</v>
      </c>
      <c r="EGI16" t="s">
        <v>6984</v>
      </c>
      <c r="EGJ16" t="s">
        <v>6984</v>
      </c>
      <c r="EGK16" t="s">
        <v>6984</v>
      </c>
      <c r="EGL16" t="s">
        <v>6984</v>
      </c>
      <c r="EGM16" t="s">
        <v>6984</v>
      </c>
      <c r="EGN16" t="s">
        <v>6984</v>
      </c>
      <c r="EGO16" t="s">
        <v>6984</v>
      </c>
      <c r="EGP16" t="s">
        <v>6984</v>
      </c>
      <c r="EGQ16" t="s">
        <v>6984</v>
      </c>
      <c r="EGR16" t="s">
        <v>6984</v>
      </c>
      <c r="EGS16" t="s">
        <v>6984</v>
      </c>
      <c r="EGT16" t="s">
        <v>6984</v>
      </c>
      <c r="EGU16" t="s">
        <v>6984</v>
      </c>
      <c r="EGV16" t="s">
        <v>6984</v>
      </c>
      <c r="EGW16" t="s">
        <v>6984</v>
      </c>
      <c r="EGX16" t="s">
        <v>6984</v>
      </c>
      <c r="EGY16" t="s">
        <v>6984</v>
      </c>
      <c r="EGZ16" t="s">
        <v>6984</v>
      </c>
      <c r="EHA16" t="s">
        <v>6984</v>
      </c>
      <c r="EHB16" t="s">
        <v>6984</v>
      </c>
      <c r="EHC16" t="s">
        <v>6984</v>
      </c>
      <c r="EHD16" t="s">
        <v>6984</v>
      </c>
      <c r="EHE16" t="s">
        <v>6984</v>
      </c>
      <c r="EHF16" t="s">
        <v>6984</v>
      </c>
      <c r="EHG16" t="s">
        <v>6984</v>
      </c>
      <c r="EHH16" t="s">
        <v>6984</v>
      </c>
      <c r="EHI16" t="s">
        <v>6984</v>
      </c>
      <c r="EHJ16" t="s">
        <v>6984</v>
      </c>
      <c r="EHK16" t="s">
        <v>6984</v>
      </c>
      <c r="EHL16" t="s">
        <v>6984</v>
      </c>
      <c r="EHM16" t="s">
        <v>6984</v>
      </c>
      <c r="EHN16" t="s">
        <v>6984</v>
      </c>
      <c r="EHO16" t="s">
        <v>6984</v>
      </c>
      <c r="EHP16" t="s">
        <v>6984</v>
      </c>
      <c r="EHQ16" t="s">
        <v>6984</v>
      </c>
      <c r="EHR16" t="s">
        <v>6984</v>
      </c>
      <c r="EHS16" t="s">
        <v>6984</v>
      </c>
      <c r="EHT16" t="s">
        <v>6984</v>
      </c>
      <c r="EHU16" t="s">
        <v>6984</v>
      </c>
      <c r="EHV16" t="s">
        <v>6984</v>
      </c>
      <c r="EHW16" t="s">
        <v>6984</v>
      </c>
      <c r="EHX16" t="s">
        <v>6984</v>
      </c>
      <c r="EHY16" t="s">
        <v>6984</v>
      </c>
      <c r="EHZ16" t="s">
        <v>6984</v>
      </c>
      <c r="EIA16" t="s">
        <v>6984</v>
      </c>
      <c r="EIB16" t="s">
        <v>6984</v>
      </c>
      <c r="EIC16" t="s">
        <v>6984</v>
      </c>
      <c r="EID16" t="s">
        <v>6984</v>
      </c>
      <c r="EIE16" t="s">
        <v>6984</v>
      </c>
      <c r="EIF16" t="s">
        <v>6984</v>
      </c>
      <c r="EIG16" t="s">
        <v>6984</v>
      </c>
      <c r="EIH16" t="s">
        <v>6984</v>
      </c>
      <c r="EII16" t="s">
        <v>6984</v>
      </c>
      <c r="EIJ16" t="s">
        <v>6984</v>
      </c>
      <c r="EIK16" t="s">
        <v>6984</v>
      </c>
      <c r="EIL16" t="s">
        <v>6984</v>
      </c>
      <c r="EIM16" t="s">
        <v>6984</v>
      </c>
      <c r="EIN16" t="s">
        <v>6984</v>
      </c>
      <c r="EIO16" t="s">
        <v>6984</v>
      </c>
      <c r="EIP16" t="s">
        <v>6984</v>
      </c>
      <c r="EIQ16" t="s">
        <v>6984</v>
      </c>
      <c r="EIR16" t="s">
        <v>6984</v>
      </c>
      <c r="EIS16" t="s">
        <v>6984</v>
      </c>
      <c r="EIT16" t="s">
        <v>6984</v>
      </c>
      <c r="EIU16" t="s">
        <v>6984</v>
      </c>
      <c r="EIV16" t="s">
        <v>6984</v>
      </c>
      <c r="EIW16" t="s">
        <v>6984</v>
      </c>
      <c r="EIX16" t="s">
        <v>6984</v>
      </c>
      <c r="EIY16" t="s">
        <v>6984</v>
      </c>
      <c r="EIZ16" t="s">
        <v>6984</v>
      </c>
      <c r="EJA16" t="s">
        <v>6984</v>
      </c>
      <c r="EJB16" t="s">
        <v>6984</v>
      </c>
      <c r="EJC16" t="s">
        <v>6984</v>
      </c>
      <c r="EJD16" t="s">
        <v>6984</v>
      </c>
      <c r="EJE16" t="s">
        <v>6984</v>
      </c>
      <c r="EJF16" t="s">
        <v>6984</v>
      </c>
      <c r="EJG16" t="s">
        <v>6984</v>
      </c>
      <c r="EJH16" t="s">
        <v>6984</v>
      </c>
      <c r="EJI16" t="s">
        <v>6984</v>
      </c>
      <c r="EJJ16" t="s">
        <v>6984</v>
      </c>
      <c r="EJK16" t="s">
        <v>6984</v>
      </c>
      <c r="EJL16" t="s">
        <v>6984</v>
      </c>
      <c r="EJM16" t="s">
        <v>6984</v>
      </c>
      <c r="EJN16" t="s">
        <v>6984</v>
      </c>
      <c r="EJO16" t="s">
        <v>6984</v>
      </c>
      <c r="EJP16" t="s">
        <v>6984</v>
      </c>
      <c r="EJQ16" t="s">
        <v>6984</v>
      </c>
      <c r="EJR16" t="s">
        <v>6984</v>
      </c>
      <c r="EJS16" t="s">
        <v>6984</v>
      </c>
      <c r="EJT16" t="s">
        <v>6984</v>
      </c>
      <c r="EJU16" t="s">
        <v>6984</v>
      </c>
      <c r="EJV16" t="s">
        <v>6984</v>
      </c>
      <c r="EJW16" t="s">
        <v>6984</v>
      </c>
      <c r="EJX16" t="s">
        <v>6984</v>
      </c>
      <c r="EJY16" t="s">
        <v>6984</v>
      </c>
      <c r="EJZ16" t="s">
        <v>6984</v>
      </c>
      <c r="EKA16" t="s">
        <v>6984</v>
      </c>
      <c r="EKB16" t="s">
        <v>6984</v>
      </c>
      <c r="EKC16" t="s">
        <v>6984</v>
      </c>
      <c r="EKD16" t="s">
        <v>6984</v>
      </c>
      <c r="EKE16" t="s">
        <v>6984</v>
      </c>
      <c r="EKF16" t="s">
        <v>6984</v>
      </c>
      <c r="EKG16" t="s">
        <v>6984</v>
      </c>
      <c r="EKH16" t="s">
        <v>6984</v>
      </c>
      <c r="EKI16" t="s">
        <v>6984</v>
      </c>
      <c r="EKJ16" t="s">
        <v>6984</v>
      </c>
      <c r="EKK16" t="s">
        <v>6984</v>
      </c>
      <c r="EKL16" t="s">
        <v>6984</v>
      </c>
      <c r="EKM16" t="s">
        <v>6984</v>
      </c>
      <c r="EKN16" t="s">
        <v>6984</v>
      </c>
      <c r="EKO16" t="s">
        <v>6984</v>
      </c>
      <c r="EKP16" t="s">
        <v>6984</v>
      </c>
      <c r="EKQ16" t="s">
        <v>6984</v>
      </c>
      <c r="EKR16" t="s">
        <v>6984</v>
      </c>
      <c r="EKS16" t="s">
        <v>6984</v>
      </c>
      <c r="EKT16" t="s">
        <v>6984</v>
      </c>
      <c r="EKU16" t="s">
        <v>6984</v>
      </c>
      <c r="EKV16" t="s">
        <v>6984</v>
      </c>
      <c r="EKW16" t="s">
        <v>6984</v>
      </c>
      <c r="EKX16" t="s">
        <v>6984</v>
      </c>
      <c r="EKY16" t="s">
        <v>6984</v>
      </c>
      <c r="EKZ16" t="s">
        <v>6984</v>
      </c>
      <c r="ELA16" t="s">
        <v>6984</v>
      </c>
      <c r="ELB16" t="s">
        <v>6984</v>
      </c>
      <c r="ELC16" t="s">
        <v>6984</v>
      </c>
      <c r="ELD16" t="s">
        <v>6984</v>
      </c>
      <c r="ELE16" t="s">
        <v>6984</v>
      </c>
      <c r="ELF16" t="s">
        <v>6984</v>
      </c>
      <c r="ELG16" t="s">
        <v>6984</v>
      </c>
      <c r="ELH16" t="s">
        <v>6984</v>
      </c>
      <c r="ELI16" t="s">
        <v>6984</v>
      </c>
      <c r="ELJ16" t="s">
        <v>6984</v>
      </c>
      <c r="ELK16" t="s">
        <v>6984</v>
      </c>
      <c r="ELL16" t="s">
        <v>6984</v>
      </c>
      <c r="ELM16" t="s">
        <v>6984</v>
      </c>
      <c r="ELN16" t="s">
        <v>6984</v>
      </c>
      <c r="ELO16" t="s">
        <v>6984</v>
      </c>
      <c r="ELP16" t="s">
        <v>6984</v>
      </c>
      <c r="ELQ16" t="s">
        <v>6984</v>
      </c>
      <c r="ELR16" t="s">
        <v>6984</v>
      </c>
      <c r="ELS16" t="s">
        <v>6984</v>
      </c>
      <c r="ELT16" t="s">
        <v>6984</v>
      </c>
      <c r="ELU16" t="s">
        <v>6984</v>
      </c>
      <c r="ELV16" t="s">
        <v>6984</v>
      </c>
      <c r="ELW16" t="s">
        <v>6984</v>
      </c>
      <c r="ELX16" t="s">
        <v>6984</v>
      </c>
      <c r="ELY16" t="s">
        <v>6984</v>
      </c>
      <c r="ELZ16" t="s">
        <v>6984</v>
      </c>
      <c r="EMA16" t="s">
        <v>6984</v>
      </c>
      <c r="EMB16" t="s">
        <v>6984</v>
      </c>
      <c r="EMC16" t="s">
        <v>6984</v>
      </c>
      <c r="EMD16" t="s">
        <v>6984</v>
      </c>
      <c r="EME16" t="s">
        <v>6984</v>
      </c>
      <c r="EMF16" t="s">
        <v>6984</v>
      </c>
      <c r="EMG16" t="s">
        <v>6984</v>
      </c>
      <c r="EMH16" t="s">
        <v>6984</v>
      </c>
      <c r="EMI16" t="s">
        <v>6984</v>
      </c>
      <c r="EMJ16" t="s">
        <v>6984</v>
      </c>
      <c r="EMK16" t="s">
        <v>6984</v>
      </c>
      <c r="EML16" t="s">
        <v>6984</v>
      </c>
      <c r="EMM16" t="s">
        <v>6984</v>
      </c>
      <c r="EMN16" t="s">
        <v>6984</v>
      </c>
      <c r="EMO16" t="s">
        <v>6984</v>
      </c>
      <c r="EMP16" t="s">
        <v>6984</v>
      </c>
      <c r="EMQ16" t="s">
        <v>6984</v>
      </c>
      <c r="EMR16" t="s">
        <v>6984</v>
      </c>
      <c r="EMS16" t="s">
        <v>6984</v>
      </c>
      <c r="EMT16" t="s">
        <v>6984</v>
      </c>
      <c r="EMU16" t="s">
        <v>6984</v>
      </c>
      <c r="EMV16" t="s">
        <v>6984</v>
      </c>
      <c r="EMW16" t="s">
        <v>6984</v>
      </c>
      <c r="EMX16" t="s">
        <v>6984</v>
      </c>
      <c r="EMY16" t="s">
        <v>6984</v>
      </c>
      <c r="EMZ16" t="s">
        <v>6984</v>
      </c>
      <c r="ENA16" t="s">
        <v>6984</v>
      </c>
      <c r="ENB16" t="s">
        <v>6984</v>
      </c>
      <c r="ENC16" t="s">
        <v>6984</v>
      </c>
      <c r="END16" t="s">
        <v>6984</v>
      </c>
      <c r="ENE16" t="s">
        <v>6984</v>
      </c>
      <c r="ENF16" t="s">
        <v>6984</v>
      </c>
      <c r="ENG16" t="s">
        <v>6984</v>
      </c>
      <c r="ENH16" t="s">
        <v>6984</v>
      </c>
      <c r="ENI16" t="s">
        <v>6984</v>
      </c>
      <c r="ENJ16" t="s">
        <v>6984</v>
      </c>
      <c r="ENK16" t="s">
        <v>6984</v>
      </c>
      <c r="ENL16" t="s">
        <v>6984</v>
      </c>
      <c r="ENM16" t="s">
        <v>6984</v>
      </c>
      <c r="ENN16" t="s">
        <v>6984</v>
      </c>
      <c r="ENO16" t="s">
        <v>6984</v>
      </c>
      <c r="ENP16" t="s">
        <v>6984</v>
      </c>
      <c r="ENQ16" t="s">
        <v>6984</v>
      </c>
      <c r="ENR16" t="s">
        <v>6984</v>
      </c>
      <c r="ENS16" t="s">
        <v>6984</v>
      </c>
      <c r="ENT16" t="s">
        <v>6984</v>
      </c>
      <c r="ENU16" t="s">
        <v>6984</v>
      </c>
      <c r="ENV16" t="s">
        <v>6984</v>
      </c>
      <c r="ENW16" t="s">
        <v>6984</v>
      </c>
      <c r="ENX16" t="s">
        <v>6984</v>
      </c>
      <c r="ENY16" t="s">
        <v>6984</v>
      </c>
      <c r="ENZ16" t="s">
        <v>6984</v>
      </c>
      <c r="EOA16" t="s">
        <v>6984</v>
      </c>
      <c r="EOB16" t="s">
        <v>6984</v>
      </c>
      <c r="EOC16" t="s">
        <v>6984</v>
      </c>
      <c r="EOD16" t="s">
        <v>6984</v>
      </c>
      <c r="EOE16" t="s">
        <v>6984</v>
      </c>
      <c r="EOF16" t="s">
        <v>6984</v>
      </c>
      <c r="EOG16" t="s">
        <v>6984</v>
      </c>
      <c r="EOH16" t="s">
        <v>6984</v>
      </c>
      <c r="EOI16" t="s">
        <v>6984</v>
      </c>
      <c r="EOJ16" t="s">
        <v>6984</v>
      </c>
      <c r="EOK16" t="s">
        <v>6984</v>
      </c>
      <c r="EOL16" t="s">
        <v>6984</v>
      </c>
      <c r="EOM16" t="s">
        <v>6984</v>
      </c>
      <c r="EON16" t="s">
        <v>6984</v>
      </c>
      <c r="EOO16" t="s">
        <v>6984</v>
      </c>
      <c r="EOP16" t="s">
        <v>6984</v>
      </c>
      <c r="EOQ16" t="s">
        <v>6984</v>
      </c>
      <c r="EOR16" t="s">
        <v>6984</v>
      </c>
      <c r="EOS16" t="s">
        <v>6984</v>
      </c>
      <c r="EOT16" t="s">
        <v>6984</v>
      </c>
      <c r="EOU16" t="s">
        <v>6984</v>
      </c>
      <c r="EOV16" t="s">
        <v>6984</v>
      </c>
      <c r="EOW16" t="s">
        <v>6984</v>
      </c>
      <c r="EOX16" t="s">
        <v>6984</v>
      </c>
      <c r="EOY16" t="s">
        <v>6984</v>
      </c>
      <c r="EOZ16" t="s">
        <v>6984</v>
      </c>
      <c r="EPA16" t="s">
        <v>6984</v>
      </c>
      <c r="EPB16" t="s">
        <v>6984</v>
      </c>
      <c r="EPC16" t="s">
        <v>6984</v>
      </c>
      <c r="EPD16" t="s">
        <v>6984</v>
      </c>
      <c r="EPE16" t="s">
        <v>6984</v>
      </c>
      <c r="EPF16" t="s">
        <v>6984</v>
      </c>
      <c r="EPG16" t="s">
        <v>6984</v>
      </c>
      <c r="EPH16" t="s">
        <v>6984</v>
      </c>
      <c r="EPI16" t="s">
        <v>6984</v>
      </c>
      <c r="EPJ16" t="s">
        <v>6984</v>
      </c>
      <c r="EPK16" t="s">
        <v>6984</v>
      </c>
      <c r="EPL16" t="s">
        <v>6984</v>
      </c>
      <c r="EPM16" t="s">
        <v>6984</v>
      </c>
      <c r="EPN16" t="s">
        <v>6984</v>
      </c>
      <c r="EPO16" t="s">
        <v>6984</v>
      </c>
      <c r="EPP16" t="s">
        <v>6984</v>
      </c>
      <c r="EPQ16" t="s">
        <v>6984</v>
      </c>
      <c r="EPR16" t="s">
        <v>6984</v>
      </c>
      <c r="EPS16" t="s">
        <v>6984</v>
      </c>
      <c r="EPT16" t="s">
        <v>6984</v>
      </c>
      <c r="EPU16" t="s">
        <v>6984</v>
      </c>
      <c r="EPV16" t="s">
        <v>6984</v>
      </c>
      <c r="EPW16" t="s">
        <v>6984</v>
      </c>
      <c r="EPX16" t="s">
        <v>6984</v>
      </c>
      <c r="EPY16" t="s">
        <v>6984</v>
      </c>
      <c r="EPZ16" t="s">
        <v>6984</v>
      </c>
      <c r="EQA16" t="s">
        <v>6984</v>
      </c>
      <c r="EQB16" t="s">
        <v>6984</v>
      </c>
      <c r="EQC16" t="s">
        <v>6984</v>
      </c>
      <c r="EQD16" t="s">
        <v>6984</v>
      </c>
      <c r="EQE16" t="s">
        <v>6984</v>
      </c>
      <c r="EQF16" t="s">
        <v>6984</v>
      </c>
      <c r="EQG16" t="s">
        <v>6984</v>
      </c>
      <c r="EQH16" t="s">
        <v>6984</v>
      </c>
      <c r="EQI16" t="s">
        <v>6984</v>
      </c>
      <c r="EQJ16" t="s">
        <v>6984</v>
      </c>
      <c r="EQK16" t="s">
        <v>6984</v>
      </c>
      <c r="EQL16" t="s">
        <v>6984</v>
      </c>
      <c r="EQM16" t="s">
        <v>6984</v>
      </c>
      <c r="EQN16" t="s">
        <v>6984</v>
      </c>
      <c r="EQO16" t="s">
        <v>6984</v>
      </c>
      <c r="EQP16" t="s">
        <v>6984</v>
      </c>
      <c r="EQQ16" t="s">
        <v>6984</v>
      </c>
      <c r="EQR16" t="s">
        <v>6984</v>
      </c>
      <c r="EQS16" t="s">
        <v>6984</v>
      </c>
      <c r="EQT16" t="s">
        <v>6984</v>
      </c>
      <c r="EQU16" t="s">
        <v>6984</v>
      </c>
      <c r="EQV16" t="s">
        <v>6984</v>
      </c>
      <c r="EQW16" t="s">
        <v>6984</v>
      </c>
      <c r="EQX16" t="s">
        <v>6984</v>
      </c>
      <c r="EQY16" t="s">
        <v>6984</v>
      </c>
      <c r="EQZ16" t="s">
        <v>6984</v>
      </c>
      <c r="ERA16" t="s">
        <v>6984</v>
      </c>
      <c r="ERB16" t="s">
        <v>6984</v>
      </c>
      <c r="ERC16" t="s">
        <v>6984</v>
      </c>
      <c r="ERD16" t="s">
        <v>6984</v>
      </c>
      <c r="ERE16" t="s">
        <v>6984</v>
      </c>
      <c r="ERF16" t="s">
        <v>6984</v>
      </c>
      <c r="ERG16" t="s">
        <v>6984</v>
      </c>
      <c r="ERH16" t="s">
        <v>6984</v>
      </c>
      <c r="ERI16" t="s">
        <v>6984</v>
      </c>
      <c r="ERJ16" t="s">
        <v>6984</v>
      </c>
      <c r="ERK16" t="s">
        <v>6984</v>
      </c>
      <c r="ERL16" t="s">
        <v>6984</v>
      </c>
      <c r="ERM16" t="s">
        <v>6984</v>
      </c>
      <c r="ERN16" t="s">
        <v>6984</v>
      </c>
      <c r="ERO16" t="s">
        <v>6984</v>
      </c>
      <c r="ERP16" t="s">
        <v>6984</v>
      </c>
      <c r="ERQ16" t="s">
        <v>6984</v>
      </c>
      <c r="ERR16" t="s">
        <v>6984</v>
      </c>
      <c r="ERS16" t="s">
        <v>6984</v>
      </c>
      <c r="ERT16" t="s">
        <v>6984</v>
      </c>
      <c r="ERU16" t="s">
        <v>6984</v>
      </c>
      <c r="ERV16" t="s">
        <v>6984</v>
      </c>
      <c r="ERW16" t="s">
        <v>6984</v>
      </c>
      <c r="ERX16" t="s">
        <v>6984</v>
      </c>
      <c r="ERY16" t="s">
        <v>6984</v>
      </c>
      <c r="ERZ16" t="s">
        <v>6984</v>
      </c>
      <c r="ESA16" t="s">
        <v>6984</v>
      </c>
      <c r="ESB16" t="s">
        <v>6984</v>
      </c>
      <c r="ESC16" t="s">
        <v>6984</v>
      </c>
      <c r="ESD16" t="s">
        <v>6984</v>
      </c>
      <c r="ESE16" t="s">
        <v>6984</v>
      </c>
      <c r="ESF16" t="s">
        <v>6984</v>
      </c>
      <c r="ESG16" t="s">
        <v>6984</v>
      </c>
      <c r="ESH16" t="s">
        <v>6984</v>
      </c>
      <c r="ESI16" t="s">
        <v>6984</v>
      </c>
      <c r="ESJ16" t="s">
        <v>6984</v>
      </c>
      <c r="ESK16" t="s">
        <v>6984</v>
      </c>
      <c r="ESL16" t="s">
        <v>6984</v>
      </c>
      <c r="ESM16" t="s">
        <v>6984</v>
      </c>
      <c r="ESN16" t="s">
        <v>6984</v>
      </c>
      <c r="ESO16" t="s">
        <v>6984</v>
      </c>
      <c r="ESP16" t="s">
        <v>6984</v>
      </c>
      <c r="ESQ16" t="s">
        <v>6984</v>
      </c>
      <c r="ESR16" t="s">
        <v>6984</v>
      </c>
      <c r="ESS16" t="s">
        <v>6984</v>
      </c>
      <c r="EST16" t="s">
        <v>6984</v>
      </c>
      <c r="ESU16" t="s">
        <v>6984</v>
      </c>
      <c r="ESV16" t="s">
        <v>6984</v>
      </c>
      <c r="ESW16" t="s">
        <v>6984</v>
      </c>
      <c r="ESX16" t="s">
        <v>6984</v>
      </c>
      <c r="ESY16" t="s">
        <v>6984</v>
      </c>
      <c r="ESZ16" t="s">
        <v>6984</v>
      </c>
      <c r="ETA16" t="s">
        <v>6984</v>
      </c>
      <c r="ETB16" t="s">
        <v>6984</v>
      </c>
      <c r="ETC16" t="s">
        <v>6984</v>
      </c>
      <c r="ETD16" t="s">
        <v>6984</v>
      </c>
      <c r="ETE16" t="s">
        <v>6984</v>
      </c>
      <c r="ETF16" t="s">
        <v>6984</v>
      </c>
      <c r="ETG16" t="s">
        <v>6984</v>
      </c>
      <c r="ETH16" t="s">
        <v>6984</v>
      </c>
      <c r="ETI16" t="s">
        <v>6984</v>
      </c>
      <c r="ETJ16" t="s">
        <v>6984</v>
      </c>
      <c r="ETK16" t="s">
        <v>6984</v>
      </c>
      <c r="ETL16" t="s">
        <v>6984</v>
      </c>
      <c r="ETM16" t="s">
        <v>6984</v>
      </c>
      <c r="ETN16" t="s">
        <v>6984</v>
      </c>
      <c r="ETO16" t="s">
        <v>6984</v>
      </c>
      <c r="ETP16" t="s">
        <v>6984</v>
      </c>
      <c r="ETQ16" t="s">
        <v>6984</v>
      </c>
      <c r="ETR16" t="s">
        <v>6984</v>
      </c>
      <c r="ETS16" t="s">
        <v>6984</v>
      </c>
      <c r="ETT16" t="s">
        <v>6984</v>
      </c>
      <c r="ETU16" t="s">
        <v>6984</v>
      </c>
      <c r="ETV16" t="s">
        <v>6984</v>
      </c>
      <c r="ETW16" t="s">
        <v>6984</v>
      </c>
      <c r="ETX16" t="s">
        <v>6984</v>
      </c>
      <c r="ETY16" t="s">
        <v>6984</v>
      </c>
      <c r="ETZ16" t="s">
        <v>6984</v>
      </c>
      <c r="EUA16" t="s">
        <v>6984</v>
      </c>
      <c r="EUB16" t="s">
        <v>6984</v>
      </c>
      <c r="EUC16" t="s">
        <v>6984</v>
      </c>
      <c r="EUD16" t="s">
        <v>6984</v>
      </c>
      <c r="EUE16" t="s">
        <v>6984</v>
      </c>
      <c r="EUF16" t="s">
        <v>6984</v>
      </c>
      <c r="EUG16" t="s">
        <v>6984</v>
      </c>
      <c r="EUH16" t="s">
        <v>6984</v>
      </c>
      <c r="EUI16" t="s">
        <v>6984</v>
      </c>
      <c r="EUJ16" t="s">
        <v>6984</v>
      </c>
      <c r="EUK16" t="s">
        <v>6984</v>
      </c>
      <c r="EUL16" t="s">
        <v>6984</v>
      </c>
      <c r="EUM16" t="s">
        <v>6984</v>
      </c>
      <c r="EUN16" t="s">
        <v>6984</v>
      </c>
      <c r="EUO16" t="s">
        <v>6984</v>
      </c>
      <c r="EUP16" t="s">
        <v>6984</v>
      </c>
      <c r="EUQ16" t="s">
        <v>6984</v>
      </c>
      <c r="EUR16" t="s">
        <v>6984</v>
      </c>
      <c r="EUS16" t="s">
        <v>6984</v>
      </c>
      <c r="EUT16" t="s">
        <v>6984</v>
      </c>
      <c r="EUU16" t="s">
        <v>6984</v>
      </c>
      <c r="EUV16" t="s">
        <v>6984</v>
      </c>
      <c r="EUW16" t="s">
        <v>6984</v>
      </c>
      <c r="EUX16" t="s">
        <v>6984</v>
      </c>
      <c r="EUY16" t="s">
        <v>6984</v>
      </c>
      <c r="EUZ16" t="s">
        <v>6984</v>
      </c>
      <c r="EVA16" t="s">
        <v>6984</v>
      </c>
      <c r="EVB16" t="s">
        <v>6984</v>
      </c>
      <c r="EVC16" t="s">
        <v>6984</v>
      </c>
      <c r="EVD16" t="s">
        <v>6984</v>
      </c>
      <c r="EVE16" t="s">
        <v>6984</v>
      </c>
      <c r="EVF16" t="s">
        <v>6984</v>
      </c>
      <c r="EVG16" t="s">
        <v>6984</v>
      </c>
      <c r="EVH16" t="s">
        <v>6984</v>
      </c>
      <c r="EVI16" t="s">
        <v>6984</v>
      </c>
      <c r="EVJ16" t="s">
        <v>6984</v>
      </c>
      <c r="EVK16" t="s">
        <v>6984</v>
      </c>
      <c r="EVL16" t="s">
        <v>6984</v>
      </c>
      <c r="EVM16" t="s">
        <v>6984</v>
      </c>
      <c r="EVN16" t="s">
        <v>6984</v>
      </c>
      <c r="EVO16" t="s">
        <v>6984</v>
      </c>
      <c r="EVP16" t="s">
        <v>6984</v>
      </c>
      <c r="EVQ16" t="s">
        <v>6984</v>
      </c>
      <c r="EVR16" t="s">
        <v>6984</v>
      </c>
      <c r="EVS16" t="s">
        <v>6984</v>
      </c>
      <c r="EVT16" t="s">
        <v>6984</v>
      </c>
      <c r="EVU16" t="s">
        <v>6984</v>
      </c>
      <c r="EVV16" t="s">
        <v>6984</v>
      </c>
      <c r="EVW16" t="s">
        <v>6984</v>
      </c>
      <c r="EVX16" t="s">
        <v>6984</v>
      </c>
      <c r="EVY16" t="s">
        <v>6984</v>
      </c>
      <c r="EVZ16" t="s">
        <v>6984</v>
      </c>
      <c r="EWA16" t="s">
        <v>6984</v>
      </c>
      <c r="EWB16" t="s">
        <v>6984</v>
      </c>
      <c r="EWC16" t="s">
        <v>6984</v>
      </c>
      <c r="EWD16" t="s">
        <v>6984</v>
      </c>
      <c r="EWE16" t="s">
        <v>6984</v>
      </c>
      <c r="EWF16" t="s">
        <v>6984</v>
      </c>
      <c r="EWG16" t="s">
        <v>6984</v>
      </c>
      <c r="EWH16" t="s">
        <v>6984</v>
      </c>
      <c r="EWI16" t="s">
        <v>6984</v>
      </c>
      <c r="EWJ16" t="s">
        <v>6984</v>
      </c>
      <c r="EWK16" t="s">
        <v>6984</v>
      </c>
      <c r="EWL16" t="s">
        <v>6984</v>
      </c>
      <c r="EWM16" t="s">
        <v>6984</v>
      </c>
      <c r="EWN16" t="s">
        <v>6984</v>
      </c>
      <c r="EWO16" t="s">
        <v>6984</v>
      </c>
      <c r="EWP16" t="s">
        <v>6984</v>
      </c>
      <c r="EWQ16" t="s">
        <v>6984</v>
      </c>
      <c r="EWR16" t="s">
        <v>6984</v>
      </c>
      <c r="EWS16" t="s">
        <v>6984</v>
      </c>
      <c r="EWT16" t="s">
        <v>6984</v>
      </c>
      <c r="EWU16" t="s">
        <v>6984</v>
      </c>
      <c r="EWV16" t="s">
        <v>6984</v>
      </c>
      <c r="EWW16" t="s">
        <v>6984</v>
      </c>
      <c r="EWX16" t="s">
        <v>6984</v>
      </c>
      <c r="EWY16" t="s">
        <v>6984</v>
      </c>
      <c r="EWZ16" t="s">
        <v>6984</v>
      </c>
      <c r="EXA16" t="s">
        <v>6984</v>
      </c>
      <c r="EXB16" t="s">
        <v>6984</v>
      </c>
      <c r="EXC16" t="s">
        <v>6984</v>
      </c>
      <c r="EXD16" t="s">
        <v>6984</v>
      </c>
      <c r="EXE16" t="s">
        <v>6984</v>
      </c>
      <c r="EXF16" t="s">
        <v>6984</v>
      </c>
      <c r="EXG16" t="s">
        <v>6984</v>
      </c>
      <c r="EXH16" t="s">
        <v>6984</v>
      </c>
      <c r="EXI16" t="s">
        <v>6984</v>
      </c>
      <c r="EXJ16" t="s">
        <v>6984</v>
      </c>
      <c r="EXK16" t="s">
        <v>6984</v>
      </c>
      <c r="EXL16" t="s">
        <v>6984</v>
      </c>
      <c r="EXM16" t="s">
        <v>6984</v>
      </c>
      <c r="EXN16" t="s">
        <v>6984</v>
      </c>
      <c r="EXO16" t="s">
        <v>6984</v>
      </c>
      <c r="EXP16" t="s">
        <v>6984</v>
      </c>
      <c r="EXQ16" t="s">
        <v>6984</v>
      </c>
      <c r="EXR16" t="s">
        <v>6984</v>
      </c>
      <c r="EXS16" t="s">
        <v>6984</v>
      </c>
      <c r="EXT16" t="s">
        <v>6984</v>
      </c>
      <c r="EXU16" t="s">
        <v>6984</v>
      </c>
      <c r="EXV16" t="s">
        <v>6984</v>
      </c>
      <c r="EXW16" t="s">
        <v>6984</v>
      </c>
      <c r="EXX16" t="s">
        <v>6984</v>
      </c>
      <c r="EXY16" t="s">
        <v>6984</v>
      </c>
      <c r="EXZ16" t="s">
        <v>6984</v>
      </c>
      <c r="EYA16" t="s">
        <v>6984</v>
      </c>
      <c r="EYB16" t="s">
        <v>6984</v>
      </c>
      <c r="EYC16" t="s">
        <v>6984</v>
      </c>
      <c r="EYD16" t="s">
        <v>6984</v>
      </c>
      <c r="EYE16" t="s">
        <v>6984</v>
      </c>
      <c r="EYF16" t="s">
        <v>6984</v>
      </c>
      <c r="EYG16" t="s">
        <v>6984</v>
      </c>
      <c r="EYH16" t="s">
        <v>6984</v>
      </c>
      <c r="EYI16" t="s">
        <v>6984</v>
      </c>
      <c r="EYJ16" t="s">
        <v>6984</v>
      </c>
      <c r="EYK16" t="s">
        <v>6984</v>
      </c>
      <c r="EYL16" t="s">
        <v>6984</v>
      </c>
      <c r="EYM16" t="s">
        <v>6984</v>
      </c>
      <c r="EYN16" t="s">
        <v>6984</v>
      </c>
      <c r="EYO16" t="s">
        <v>6984</v>
      </c>
      <c r="EYP16" t="s">
        <v>6984</v>
      </c>
      <c r="EYQ16" t="s">
        <v>6984</v>
      </c>
      <c r="EYR16" t="s">
        <v>6984</v>
      </c>
      <c r="EYS16" t="s">
        <v>6984</v>
      </c>
      <c r="EYT16" t="s">
        <v>6984</v>
      </c>
      <c r="EYU16" t="s">
        <v>6984</v>
      </c>
      <c r="EYV16" t="s">
        <v>6984</v>
      </c>
      <c r="EYW16" t="s">
        <v>6984</v>
      </c>
      <c r="EYX16" t="s">
        <v>6984</v>
      </c>
      <c r="EYY16" t="s">
        <v>6984</v>
      </c>
      <c r="EYZ16" t="s">
        <v>6984</v>
      </c>
      <c r="EZA16" t="s">
        <v>6984</v>
      </c>
      <c r="EZB16" t="s">
        <v>6984</v>
      </c>
      <c r="EZC16" t="s">
        <v>6984</v>
      </c>
      <c r="EZD16" t="s">
        <v>6984</v>
      </c>
      <c r="EZE16" t="s">
        <v>6984</v>
      </c>
      <c r="EZF16" t="s">
        <v>6984</v>
      </c>
      <c r="EZG16" t="s">
        <v>6984</v>
      </c>
      <c r="EZH16" t="s">
        <v>6984</v>
      </c>
      <c r="EZI16" t="s">
        <v>6984</v>
      </c>
      <c r="EZJ16" t="s">
        <v>6984</v>
      </c>
      <c r="EZK16" t="s">
        <v>6984</v>
      </c>
      <c r="EZL16" t="s">
        <v>6984</v>
      </c>
      <c r="EZM16" t="s">
        <v>6984</v>
      </c>
      <c r="EZN16" t="s">
        <v>6984</v>
      </c>
      <c r="EZO16" t="s">
        <v>6984</v>
      </c>
      <c r="EZP16" t="s">
        <v>6984</v>
      </c>
      <c r="EZQ16" t="s">
        <v>6984</v>
      </c>
      <c r="EZR16" t="s">
        <v>6984</v>
      </c>
      <c r="EZS16" t="s">
        <v>6984</v>
      </c>
      <c r="EZT16" t="s">
        <v>6984</v>
      </c>
      <c r="EZU16" t="s">
        <v>6984</v>
      </c>
      <c r="EZV16" t="s">
        <v>6984</v>
      </c>
      <c r="EZW16" t="s">
        <v>6984</v>
      </c>
      <c r="EZX16" t="s">
        <v>6984</v>
      </c>
      <c r="EZY16" t="s">
        <v>6984</v>
      </c>
      <c r="EZZ16" t="s">
        <v>6984</v>
      </c>
      <c r="FAA16" t="s">
        <v>6984</v>
      </c>
      <c r="FAB16" t="s">
        <v>6984</v>
      </c>
      <c r="FAC16" t="s">
        <v>6984</v>
      </c>
      <c r="FAD16" t="s">
        <v>6984</v>
      </c>
      <c r="FAE16" t="s">
        <v>6984</v>
      </c>
      <c r="FAF16" t="s">
        <v>6984</v>
      </c>
      <c r="FAG16" t="s">
        <v>6984</v>
      </c>
      <c r="FAH16" t="s">
        <v>6984</v>
      </c>
      <c r="FAI16" t="s">
        <v>6984</v>
      </c>
      <c r="FAJ16" t="s">
        <v>6984</v>
      </c>
      <c r="FAK16" t="s">
        <v>6984</v>
      </c>
      <c r="FAL16" t="s">
        <v>6984</v>
      </c>
      <c r="FAM16" t="s">
        <v>6984</v>
      </c>
      <c r="FAN16" t="s">
        <v>6984</v>
      </c>
      <c r="FAO16" t="s">
        <v>6984</v>
      </c>
      <c r="FAP16" t="s">
        <v>6984</v>
      </c>
      <c r="FAQ16" t="s">
        <v>6984</v>
      </c>
      <c r="FAR16" t="s">
        <v>6984</v>
      </c>
      <c r="FAS16" t="s">
        <v>6984</v>
      </c>
      <c r="FAT16" t="s">
        <v>6984</v>
      </c>
      <c r="FAU16" t="s">
        <v>6984</v>
      </c>
      <c r="FAV16" t="s">
        <v>6984</v>
      </c>
      <c r="FAW16" t="s">
        <v>6984</v>
      </c>
      <c r="FAX16" t="s">
        <v>6984</v>
      </c>
      <c r="FAY16" t="s">
        <v>6984</v>
      </c>
      <c r="FAZ16" t="s">
        <v>6984</v>
      </c>
      <c r="FBA16" t="s">
        <v>6984</v>
      </c>
      <c r="FBB16" t="s">
        <v>6984</v>
      </c>
      <c r="FBC16" t="s">
        <v>6984</v>
      </c>
      <c r="FBD16" t="s">
        <v>6984</v>
      </c>
      <c r="FBE16" t="s">
        <v>6984</v>
      </c>
      <c r="FBF16" t="s">
        <v>6984</v>
      </c>
      <c r="FBG16" t="s">
        <v>6984</v>
      </c>
      <c r="FBH16" t="s">
        <v>6984</v>
      </c>
      <c r="FBI16" t="s">
        <v>6984</v>
      </c>
      <c r="FBJ16" t="s">
        <v>6984</v>
      </c>
      <c r="FBK16" t="s">
        <v>6984</v>
      </c>
      <c r="FBL16" t="s">
        <v>6984</v>
      </c>
      <c r="FBM16" t="s">
        <v>6984</v>
      </c>
      <c r="FBN16" t="s">
        <v>6984</v>
      </c>
      <c r="FBO16" t="s">
        <v>6984</v>
      </c>
      <c r="FBP16" t="s">
        <v>6984</v>
      </c>
      <c r="FBQ16" t="s">
        <v>6984</v>
      </c>
      <c r="FBR16" t="s">
        <v>6984</v>
      </c>
      <c r="FBS16" t="s">
        <v>6984</v>
      </c>
      <c r="FBT16" t="s">
        <v>6984</v>
      </c>
      <c r="FBU16" t="s">
        <v>6984</v>
      </c>
      <c r="FBV16" t="s">
        <v>6984</v>
      </c>
      <c r="FBW16" t="s">
        <v>6984</v>
      </c>
      <c r="FBX16" t="s">
        <v>6984</v>
      </c>
      <c r="FBY16" t="s">
        <v>6984</v>
      </c>
      <c r="FBZ16" t="s">
        <v>6984</v>
      </c>
      <c r="FCA16" t="s">
        <v>6984</v>
      </c>
      <c r="FCB16" t="s">
        <v>6984</v>
      </c>
      <c r="FCC16" t="s">
        <v>6984</v>
      </c>
      <c r="FCD16" t="s">
        <v>6984</v>
      </c>
      <c r="FCE16" t="s">
        <v>6984</v>
      </c>
      <c r="FCF16" t="s">
        <v>6984</v>
      </c>
      <c r="FCG16" t="s">
        <v>6984</v>
      </c>
      <c r="FCH16" t="s">
        <v>6984</v>
      </c>
      <c r="FCI16" t="s">
        <v>6984</v>
      </c>
      <c r="FCJ16" t="s">
        <v>6984</v>
      </c>
      <c r="FCK16" t="s">
        <v>6984</v>
      </c>
      <c r="FCL16" t="s">
        <v>6984</v>
      </c>
      <c r="FCM16" t="s">
        <v>6984</v>
      </c>
      <c r="FCN16" t="s">
        <v>6984</v>
      </c>
      <c r="FCO16" t="s">
        <v>6984</v>
      </c>
      <c r="FCP16" t="s">
        <v>6984</v>
      </c>
      <c r="FCQ16" t="s">
        <v>6984</v>
      </c>
      <c r="FCR16" t="s">
        <v>6984</v>
      </c>
      <c r="FCS16" t="s">
        <v>6984</v>
      </c>
      <c r="FCT16" t="s">
        <v>6984</v>
      </c>
      <c r="FCU16" t="s">
        <v>6984</v>
      </c>
      <c r="FCV16" t="s">
        <v>6984</v>
      </c>
      <c r="FCW16" t="s">
        <v>6984</v>
      </c>
      <c r="FCX16" t="s">
        <v>6984</v>
      </c>
      <c r="FCY16" t="s">
        <v>6984</v>
      </c>
      <c r="FCZ16" t="s">
        <v>6984</v>
      </c>
      <c r="FDA16" t="s">
        <v>6984</v>
      </c>
      <c r="FDB16" t="s">
        <v>6984</v>
      </c>
      <c r="FDC16" t="s">
        <v>6984</v>
      </c>
      <c r="FDD16" t="s">
        <v>6984</v>
      </c>
      <c r="FDE16" t="s">
        <v>6984</v>
      </c>
      <c r="FDF16" t="s">
        <v>6984</v>
      </c>
      <c r="FDG16" t="s">
        <v>6984</v>
      </c>
      <c r="FDH16" t="s">
        <v>6984</v>
      </c>
      <c r="FDI16" t="s">
        <v>6984</v>
      </c>
      <c r="FDJ16" t="s">
        <v>6984</v>
      </c>
      <c r="FDK16" t="s">
        <v>6984</v>
      </c>
      <c r="FDL16" t="s">
        <v>6984</v>
      </c>
      <c r="FDM16" t="s">
        <v>6984</v>
      </c>
      <c r="FDN16" t="s">
        <v>6984</v>
      </c>
      <c r="FDO16" t="s">
        <v>6984</v>
      </c>
      <c r="FDP16" t="s">
        <v>6984</v>
      </c>
      <c r="FDQ16" t="s">
        <v>6984</v>
      </c>
      <c r="FDR16" t="s">
        <v>6984</v>
      </c>
      <c r="FDS16" t="s">
        <v>6984</v>
      </c>
      <c r="FDT16" t="s">
        <v>6984</v>
      </c>
      <c r="FDU16" t="s">
        <v>6984</v>
      </c>
      <c r="FDV16" t="s">
        <v>6984</v>
      </c>
      <c r="FDW16" t="s">
        <v>6984</v>
      </c>
      <c r="FDX16" t="s">
        <v>6984</v>
      </c>
      <c r="FDY16" t="s">
        <v>6984</v>
      </c>
      <c r="FDZ16" t="s">
        <v>6984</v>
      </c>
      <c r="FEA16" t="s">
        <v>6984</v>
      </c>
      <c r="FEB16" t="s">
        <v>6984</v>
      </c>
      <c r="FEC16" t="s">
        <v>6984</v>
      </c>
      <c r="FED16" t="s">
        <v>6984</v>
      </c>
      <c r="FEE16" t="s">
        <v>6984</v>
      </c>
      <c r="FEF16" t="s">
        <v>6984</v>
      </c>
      <c r="FEG16" t="s">
        <v>6984</v>
      </c>
      <c r="FEH16" t="s">
        <v>6984</v>
      </c>
      <c r="FEI16" t="s">
        <v>6984</v>
      </c>
      <c r="FEJ16" t="s">
        <v>6984</v>
      </c>
      <c r="FEK16" t="s">
        <v>6984</v>
      </c>
      <c r="FEL16" t="s">
        <v>6984</v>
      </c>
      <c r="FEM16" t="s">
        <v>6984</v>
      </c>
      <c r="FEN16" t="s">
        <v>6984</v>
      </c>
      <c r="FEO16" t="s">
        <v>6984</v>
      </c>
      <c r="FEP16" t="s">
        <v>6984</v>
      </c>
      <c r="FEQ16" t="s">
        <v>6984</v>
      </c>
      <c r="FER16" t="s">
        <v>6984</v>
      </c>
      <c r="FES16" t="s">
        <v>6984</v>
      </c>
      <c r="FET16" t="s">
        <v>6984</v>
      </c>
      <c r="FEU16" t="s">
        <v>6984</v>
      </c>
      <c r="FEV16" t="s">
        <v>6984</v>
      </c>
      <c r="FEW16" t="s">
        <v>6984</v>
      </c>
      <c r="FEX16" t="s">
        <v>6984</v>
      </c>
      <c r="FEY16" t="s">
        <v>6984</v>
      </c>
      <c r="FEZ16" t="s">
        <v>6984</v>
      </c>
      <c r="FFA16" t="s">
        <v>6984</v>
      </c>
      <c r="FFB16" t="s">
        <v>6984</v>
      </c>
      <c r="FFC16" t="s">
        <v>6984</v>
      </c>
      <c r="FFD16" t="s">
        <v>6984</v>
      </c>
      <c r="FFE16" t="s">
        <v>6984</v>
      </c>
      <c r="FFF16" t="s">
        <v>6984</v>
      </c>
      <c r="FFG16" t="s">
        <v>6984</v>
      </c>
      <c r="FFH16" t="s">
        <v>6984</v>
      </c>
      <c r="FFI16" t="s">
        <v>6984</v>
      </c>
      <c r="FFJ16" t="s">
        <v>6984</v>
      </c>
      <c r="FFK16" t="s">
        <v>6984</v>
      </c>
      <c r="FFL16" t="s">
        <v>6984</v>
      </c>
      <c r="FFM16" t="s">
        <v>6984</v>
      </c>
      <c r="FFN16" t="s">
        <v>6984</v>
      </c>
      <c r="FFO16" t="s">
        <v>6984</v>
      </c>
      <c r="FFP16" t="s">
        <v>6984</v>
      </c>
      <c r="FFQ16" t="s">
        <v>6984</v>
      </c>
      <c r="FFR16" t="s">
        <v>6984</v>
      </c>
      <c r="FFS16" t="s">
        <v>6984</v>
      </c>
      <c r="FFT16" t="s">
        <v>6984</v>
      </c>
      <c r="FFU16" t="s">
        <v>6984</v>
      </c>
      <c r="FFV16" t="s">
        <v>6984</v>
      </c>
      <c r="FFW16" t="s">
        <v>6984</v>
      </c>
      <c r="FFX16" t="s">
        <v>6984</v>
      </c>
      <c r="FFY16" t="s">
        <v>6984</v>
      </c>
      <c r="FFZ16" t="s">
        <v>6984</v>
      </c>
      <c r="FGA16" t="s">
        <v>6984</v>
      </c>
      <c r="FGB16" t="s">
        <v>6984</v>
      </c>
      <c r="FGC16" t="s">
        <v>6984</v>
      </c>
      <c r="FGD16" t="s">
        <v>6984</v>
      </c>
      <c r="FGE16" t="s">
        <v>6984</v>
      </c>
      <c r="FGF16" t="s">
        <v>6984</v>
      </c>
      <c r="FGG16" t="s">
        <v>6984</v>
      </c>
      <c r="FGH16" t="s">
        <v>6984</v>
      </c>
      <c r="FGI16" t="s">
        <v>6984</v>
      </c>
      <c r="FGJ16" t="s">
        <v>6984</v>
      </c>
      <c r="FGK16" t="s">
        <v>6984</v>
      </c>
      <c r="FGL16" t="s">
        <v>6984</v>
      </c>
      <c r="FGM16" t="s">
        <v>6984</v>
      </c>
      <c r="FGN16" t="s">
        <v>6984</v>
      </c>
      <c r="FGO16" t="s">
        <v>6984</v>
      </c>
      <c r="FGP16" t="s">
        <v>6984</v>
      </c>
      <c r="FGQ16" t="s">
        <v>6984</v>
      </c>
      <c r="FGR16" t="s">
        <v>6984</v>
      </c>
      <c r="FGS16" t="s">
        <v>6984</v>
      </c>
      <c r="FGT16" t="s">
        <v>6984</v>
      </c>
      <c r="FGU16" t="s">
        <v>6984</v>
      </c>
      <c r="FGV16" t="s">
        <v>6984</v>
      </c>
      <c r="FGW16" t="s">
        <v>6984</v>
      </c>
      <c r="FGX16" t="s">
        <v>6984</v>
      </c>
      <c r="FGY16" t="s">
        <v>6984</v>
      </c>
      <c r="FGZ16" t="s">
        <v>6984</v>
      </c>
      <c r="FHA16" t="s">
        <v>6984</v>
      </c>
      <c r="FHB16" t="s">
        <v>6984</v>
      </c>
      <c r="FHC16" t="s">
        <v>6984</v>
      </c>
      <c r="FHD16" t="s">
        <v>6984</v>
      </c>
      <c r="FHE16" t="s">
        <v>6984</v>
      </c>
      <c r="FHF16" t="s">
        <v>6984</v>
      </c>
      <c r="FHG16" t="s">
        <v>6984</v>
      </c>
      <c r="FHH16" t="s">
        <v>6984</v>
      </c>
      <c r="FHI16" t="s">
        <v>6984</v>
      </c>
      <c r="FHJ16" t="s">
        <v>6984</v>
      </c>
      <c r="FHK16" t="s">
        <v>6984</v>
      </c>
      <c r="FHL16" t="s">
        <v>6984</v>
      </c>
      <c r="FHM16" t="s">
        <v>6984</v>
      </c>
      <c r="FHN16" t="s">
        <v>6984</v>
      </c>
      <c r="FHO16" t="s">
        <v>6984</v>
      </c>
      <c r="FHP16" t="s">
        <v>6984</v>
      </c>
      <c r="FHQ16" t="s">
        <v>6984</v>
      </c>
      <c r="FHR16" t="s">
        <v>6984</v>
      </c>
      <c r="FHS16" t="s">
        <v>6984</v>
      </c>
      <c r="FHT16" t="s">
        <v>6984</v>
      </c>
      <c r="FHU16" t="s">
        <v>6984</v>
      </c>
      <c r="FHV16" t="s">
        <v>6984</v>
      </c>
      <c r="FHW16" t="s">
        <v>6984</v>
      </c>
      <c r="FHX16" t="s">
        <v>6984</v>
      </c>
      <c r="FHY16" t="s">
        <v>6984</v>
      </c>
      <c r="FHZ16" t="s">
        <v>6984</v>
      </c>
      <c r="FIA16" t="s">
        <v>6984</v>
      </c>
      <c r="FIB16" t="s">
        <v>6984</v>
      </c>
      <c r="FIC16" t="s">
        <v>6984</v>
      </c>
      <c r="FID16" t="s">
        <v>6984</v>
      </c>
      <c r="FIE16" t="s">
        <v>6984</v>
      </c>
      <c r="FIF16" t="s">
        <v>6984</v>
      </c>
      <c r="FIG16" t="s">
        <v>6984</v>
      </c>
      <c r="FIH16" t="s">
        <v>6984</v>
      </c>
      <c r="FII16" t="s">
        <v>6984</v>
      </c>
      <c r="FIJ16" t="s">
        <v>6984</v>
      </c>
      <c r="FIK16" t="s">
        <v>6984</v>
      </c>
      <c r="FIL16" t="s">
        <v>6984</v>
      </c>
      <c r="FIM16" t="s">
        <v>6984</v>
      </c>
      <c r="FIN16" t="s">
        <v>6984</v>
      </c>
      <c r="FIO16" t="s">
        <v>6984</v>
      </c>
      <c r="FIP16" t="s">
        <v>6984</v>
      </c>
      <c r="FIQ16" t="s">
        <v>6984</v>
      </c>
      <c r="FIR16" t="s">
        <v>6984</v>
      </c>
      <c r="FIS16" t="s">
        <v>6984</v>
      </c>
      <c r="FIT16" t="s">
        <v>6984</v>
      </c>
      <c r="FIU16" t="s">
        <v>6984</v>
      </c>
      <c r="FIV16" t="s">
        <v>6984</v>
      </c>
      <c r="FIW16" t="s">
        <v>6984</v>
      </c>
      <c r="FIX16" t="s">
        <v>6984</v>
      </c>
      <c r="FIY16" t="s">
        <v>6984</v>
      </c>
      <c r="FIZ16" t="s">
        <v>6984</v>
      </c>
      <c r="FJA16" t="s">
        <v>6984</v>
      </c>
      <c r="FJB16" t="s">
        <v>6984</v>
      </c>
      <c r="FJC16" t="s">
        <v>6984</v>
      </c>
      <c r="FJD16" t="s">
        <v>6984</v>
      </c>
      <c r="FJE16" t="s">
        <v>6984</v>
      </c>
      <c r="FJF16" t="s">
        <v>6984</v>
      </c>
      <c r="FJG16" t="s">
        <v>6984</v>
      </c>
      <c r="FJH16" t="s">
        <v>6984</v>
      </c>
      <c r="FJI16" t="s">
        <v>6984</v>
      </c>
      <c r="FJJ16" t="s">
        <v>6984</v>
      </c>
      <c r="FJK16" t="s">
        <v>6984</v>
      </c>
      <c r="FJL16" t="s">
        <v>6984</v>
      </c>
      <c r="FJM16" t="s">
        <v>6984</v>
      </c>
      <c r="FJN16" t="s">
        <v>6984</v>
      </c>
      <c r="FJO16" t="s">
        <v>6984</v>
      </c>
      <c r="FJP16" t="s">
        <v>6984</v>
      </c>
      <c r="FJQ16" t="s">
        <v>6984</v>
      </c>
      <c r="FJR16" t="s">
        <v>6984</v>
      </c>
      <c r="FJS16" t="s">
        <v>6984</v>
      </c>
      <c r="FJT16" t="s">
        <v>6984</v>
      </c>
      <c r="FJU16" t="s">
        <v>6984</v>
      </c>
      <c r="FJV16" t="s">
        <v>6984</v>
      </c>
      <c r="FJW16" t="s">
        <v>6984</v>
      </c>
      <c r="FJX16" t="s">
        <v>6984</v>
      </c>
      <c r="FJY16" t="s">
        <v>6984</v>
      </c>
      <c r="FJZ16" t="s">
        <v>6984</v>
      </c>
      <c r="FKA16" t="s">
        <v>6984</v>
      </c>
      <c r="FKB16" t="s">
        <v>6984</v>
      </c>
      <c r="FKC16" t="s">
        <v>6984</v>
      </c>
      <c r="FKD16" t="s">
        <v>6984</v>
      </c>
      <c r="FKE16" t="s">
        <v>6984</v>
      </c>
      <c r="FKF16" t="s">
        <v>6984</v>
      </c>
      <c r="FKG16" t="s">
        <v>6984</v>
      </c>
      <c r="FKH16" t="s">
        <v>6984</v>
      </c>
      <c r="FKI16" t="s">
        <v>6984</v>
      </c>
      <c r="FKJ16" t="s">
        <v>6984</v>
      </c>
      <c r="FKK16" t="s">
        <v>6984</v>
      </c>
      <c r="FKL16" t="s">
        <v>6984</v>
      </c>
      <c r="FKM16" t="s">
        <v>6984</v>
      </c>
      <c r="FKN16" t="s">
        <v>6984</v>
      </c>
      <c r="FKO16" t="s">
        <v>6984</v>
      </c>
      <c r="FKP16" t="s">
        <v>6984</v>
      </c>
      <c r="FKQ16" t="s">
        <v>6984</v>
      </c>
      <c r="FKR16" t="s">
        <v>6984</v>
      </c>
      <c r="FKS16" t="s">
        <v>6984</v>
      </c>
      <c r="FKT16" t="s">
        <v>6984</v>
      </c>
      <c r="FKU16" t="s">
        <v>6984</v>
      </c>
      <c r="FKV16" t="s">
        <v>6984</v>
      </c>
      <c r="FKW16" t="s">
        <v>6984</v>
      </c>
      <c r="FKX16" t="s">
        <v>6984</v>
      </c>
      <c r="FKY16" t="s">
        <v>6984</v>
      </c>
      <c r="FKZ16" t="s">
        <v>6984</v>
      </c>
      <c r="FLA16" t="s">
        <v>6984</v>
      </c>
      <c r="FLB16" t="s">
        <v>6984</v>
      </c>
      <c r="FLC16" t="s">
        <v>6984</v>
      </c>
      <c r="FLD16" t="s">
        <v>6984</v>
      </c>
      <c r="FLE16" t="s">
        <v>6984</v>
      </c>
      <c r="FLF16" t="s">
        <v>6984</v>
      </c>
      <c r="FLG16" t="s">
        <v>6984</v>
      </c>
      <c r="FLH16" t="s">
        <v>6984</v>
      </c>
      <c r="FLI16" t="s">
        <v>6984</v>
      </c>
      <c r="FLJ16" t="s">
        <v>6984</v>
      </c>
      <c r="FLK16" t="s">
        <v>6984</v>
      </c>
      <c r="FLL16" t="s">
        <v>6984</v>
      </c>
      <c r="FLM16" t="s">
        <v>6984</v>
      </c>
      <c r="FLN16" t="s">
        <v>6984</v>
      </c>
      <c r="FLO16" t="s">
        <v>6984</v>
      </c>
      <c r="FLP16" t="s">
        <v>6984</v>
      </c>
      <c r="FLQ16" t="s">
        <v>6984</v>
      </c>
      <c r="FLR16" t="s">
        <v>6984</v>
      </c>
      <c r="FLS16" t="s">
        <v>6984</v>
      </c>
      <c r="FLT16" t="s">
        <v>6984</v>
      </c>
      <c r="FLU16" t="s">
        <v>6984</v>
      </c>
      <c r="FLV16" t="s">
        <v>6984</v>
      </c>
      <c r="FLW16" t="s">
        <v>6984</v>
      </c>
      <c r="FLX16" t="s">
        <v>6984</v>
      </c>
      <c r="FLY16" t="s">
        <v>6984</v>
      </c>
      <c r="FLZ16" t="s">
        <v>6984</v>
      </c>
      <c r="FMA16" t="s">
        <v>6984</v>
      </c>
      <c r="FMB16" t="s">
        <v>6984</v>
      </c>
      <c r="FMC16" t="s">
        <v>6984</v>
      </c>
      <c r="FMD16" t="s">
        <v>6984</v>
      </c>
      <c r="FME16" t="s">
        <v>6984</v>
      </c>
      <c r="FMF16" t="s">
        <v>6984</v>
      </c>
      <c r="FMG16" t="s">
        <v>6984</v>
      </c>
      <c r="FMH16" t="s">
        <v>6984</v>
      </c>
      <c r="FMI16" t="s">
        <v>6984</v>
      </c>
      <c r="FMJ16" t="s">
        <v>6984</v>
      </c>
      <c r="FMK16" t="s">
        <v>6984</v>
      </c>
      <c r="FML16" t="s">
        <v>6984</v>
      </c>
      <c r="FMM16" t="s">
        <v>6984</v>
      </c>
      <c r="FMN16" t="s">
        <v>6984</v>
      </c>
      <c r="FMO16" t="s">
        <v>6984</v>
      </c>
      <c r="FMP16" t="s">
        <v>6984</v>
      </c>
      <c r="FMQ16" t="s">
        <v>6984</v>
      </c>
      <c r="FMR16" t="s">
        <v>6984</v>
      </c>
      <c r="FMS16" t="s">
        <v>6984</v>
      </c>
      <c r="FMT16" t="s">
        <v>6984</v>
      </c>
      <c r="FMU16" t="s">
        <v>6984</v>
      </c>
      <c r="FMV16" t="s">
        <v>6984</v>
      </c>
      <c r="FMW16" t="s">
        <v>6984</v>
      </c>
      <c r="FMX16" t="s">
        <v>6984</v>
      </c>
      <c r="FMY16" t="s">
        <v>6984</v>
      </c>
      <c r="FMZ16" t="s">
        <v>6984</v>
      </c>
      <c r="FNA16" t="s">
        <v>6984</v>
      </c>
      <c r="FNB16" t="s">
        <v>6984</v>
      </c>
      <c r="FNC16" t="s">
        <v>6984</v>
      </c>
      <c r="FND16" t="s">
        <v>6984</v>
      </c>
      <c r="FNE16" t="s">
        <v>6984</v>
      </c>
      <c r="FNF16" t="s">
        <v>6984</v>
      </c>
      <c r="FNG16" t="s">
        <v>6984</v>
      </c>
      <c r="FNH16" t="s">
        <v>6984</v>
      </c>
      <c r="FNI16" t="s">
        <v>6984</v>
      </c>
      <c r="FNJ16" t="s">
        <v>6984</v>
      </c>
      <c r="FNK16" t="s">
        <v>6984</v>
      </c>
      <c r="FNL16" t="s">
        <v>6984</v>
      </c>
      <c r="FNM16" t="s">
        <v>6984</v>
      </c>
      <c r="FNN16" t="s">
        <v>6984</v>
      </c>
      <c r="FNO16" t="s">
        <v>6984</v>
      </c>
      <c r="FNP16" t="s">
        <v>6984</v>
      </c>
      <c r="FNQ16" t="s">
        <v>6984</v>
      </c>
      <c r="FNR16" t="s">
        <v>6984</v>
      </c>
      <c r="FNS16" t="s">
        <v>6984</v>
      </c>
      <c r="FNT16" t="s">
        <v>6984</v>
      </c>
      <c r="FNU16" t="s">
        <v>6984</v>
      </c>
      <c r="FNV16" t="s">
        <v>6984</v>
      </c>
      <c r="FNW16" t="s">
        <v>6984</v>
      </c>
      <c r="FNX16" t="s">
        <v>6984</v>
      </c>
      <c r="FNY16" t="s">
        <v>6984</v>
      </c>
      <c r="FNZ16" t="s">
        <v>6984</v>
      </c>
      <c r="FOA16" t="s">
        <v>6984</v>
      </c>
      <c r="FOB16" t="s">
        <v>6984</v>
      </c>
      <c r="FOC16" t="s">
        <v>6984</v>
      </c>
      <c r="FOD16" t="s">
        <v>6984</v>
      </c>
      <c r="FOE16" t="s">
        <v>6984</v>
      </c>
      <c r="FOF16" t="s">
        <v>6984</v>
      </c>
      <c r="FOG16" t="s">
        <v>6984</v>
      </c>
      <c r="FOH16" t="s">
        <v>6984</v>
      </c>
      <c r="FOI16" t="s">
        <v>6984</v>
      </c>
      <c r="FOJ16" t="s">
        <v>6984</v>
      </c>
      <c r="FOK16" t="s">
        <v>6984</v>
      </c>
      <c r="FOL16" t="s">
        <v>6984</v>
      </c>
      <c r="FOM16" t="s">
        <v>6984</v>
      </c>
      <c r="FON16" t="s">
        <v>6984</v>
      </c>
      <c r="FOO16" t="s">
        <v>6984</v>
      </c>
      <c r="FOP16" t="s">
        <v>6984</v>
      </c>
      <c r="FOQ16" t="s">
        <v>6984</v>
      </c>
      <c r="FOR16" t="s">
        <v>6984</v>
      </c>
      <c r="FOS16" t="s">
        <v>6984</v>
      </c>
      <c r="FOT16" t="s">
        <v>6984</v>
      </c>
      <c r="FOU16" t="s">
        <v>6984</v>
      </c>
      <c r="FOV16" t="s">
        <v>6984</v>
      </c>
      <c r="FOW16" t="s">
        <v>6984</v>
      </c>
      <c r="FOX16" t="s">
        <v>6984</v>
      </c>
      <c r="FOY16" t="s">
        <v>6984</v>
      </c>
      <c r="FOZ16" t="s">
        <v>6984</v>
      </c>
      <c r="FPA16" t="s">
        <v>6984</v>
      </c>
      <c r="FPB16" t="s">
        <v>6984</v>
      </c>
      <c r="FPC16" t="s">
        <v>6984</v>
      </c>
      <c r="FPD16" t="s">
        <v>6984</v>
      </c>
      <c r="FPE16" t="s">
        <v>6984</v>
      </c>
      <c r="FPF16" t="s">
        <v>6984</v>
      </c>
      <c r="FPG16" t="s">
        <v>6984</v>
      </c>
      <c r="FPH16" t="s">
        <v>6984</v>
      </c>
      <c r="FPI16" t="s">
        <v>6984</v>
      </c>
      <c r="FPJ16" t="s">
        <v>6984</v>
      </c>
      <c r="FPK16" t="s">
        <v>6984</v>
      </c>
      <c r="FPL16" t="s">
        <v>6984</v>
      </c>
      <c r="FPM16" t="s">
        <v>6984</v>
      </c>
      <c r="FPN16" t="s">
        <v>6984</v>
      </c>
      <c r="FPO16" t="s">
        <v>6984</v>
      </c>
      <c r="FPP16" t="s">
        <v>6984</v>
      </c>
      <c r="FPQ16" t="s">
        <v>6984</v>
      </c>
      <c r="FPR16" t="s">
        <v>6984</v>
      </c>
      <c r="FPS16" t="s">
        <v>6984</v>
      </c>
      <c r="FPT16" t="s">
        <v>6984</v>
      </c>
      <c r="FPU16" t="s">
        <v>6984</v>
      </c>
      <c r="FPV16" t="s">
        <v>6984</v>
      </c>
      <c r="FPW16" t="s">
        <v>6984</v>
      </c>
      <c r="FPX16" t="s">
        <v>6984</v>
      </c>
      <c r="FPY16" t="s">
        <v>6984</v>
      </c>
      <c r="FPZ16" t="s">
        <v>6984</v>
      </c>
      <c r="FQA16" t="s">
        <v>6984</v>
      </c>
      <c r="FQB16" t="s">
        <v>6984</v>
      </c>
      <c r="FQC16" t="s">
        <v>6984</v>
      </c>
      <c r="FQD16" t="s">
        <v>6984</v>
      </c>
      <c r="FQE16" t="s">
        <v>6984</v>
      </c>
      <c r="FQF16" t="s">
        <v>6984</v>
      </c>
      <c r="FQG16" t="s">
        <v>6984</v>
      </c>
      <c r="FQH16" t="s">
        <v>6984</v>
      </c>
      <c r="FQI16" t="s">
        <v>6984</v>
      </c>
      <c r="FQJ16" t="s">
        <v>6984</v>
      </c>
      <c r="FQK16" t="s">
        <v>6984</v>
      </c>
      <c r="FQL16" t="s">
        <v>6984</v>
      </c>
      <c r="FQM16" t="s">
        <v>6984</v>
      </c>
      <c r="FQN16" t="s">
        <v>6984</v>
      </c>
      <c r="FQO16" t="s">
        <v>6984</v>
      </c>
      <c r="FQP16" t="s">
        <v>6984</v>
      </c>
      <c r="FQQ16" t="s">
        <v>6984</v>
      </c>
      <c r="FQR16" t="s">
        <v>6984</v>
      </c>
      <c r="FQS16" t="s">
        <v>6984</v>
      </c>
      <c r="FQT16" t="s">
        <v>6984</v>
      </c>
      <c r="FQU16" t="s">
        <v>6984</v>
      </c>
      <c r="FQV16" t="s">
        <v>6984</v>
      </c>
      <c r="FQW16" t="s">
        <v>6984</v>
      </c>
      <c r="FQX16" t="s">
        <v>6984</v>
      </c>
      <c r="FQY16" t="s">
        <v>6984</v>
      </c>
      <c r="FQZ16" t="s">
        <v>6984</v>
      </c>
      <c r="FRA16" t="s">
        <v>6984</v>
      </c>
      <c r="FRB16" t="s">
        <v>6984</v>
      </c>
      <c r="FRC16" t="s">
        <v>6984</v>
      </c>
      <c r="FRD16" t="s">
        <v>6984</v>
      </c>
      <c r="FRE16" t="s">
        <v>6984</v>
      </c>
      <c r="FRF16" t="s">
        <v>6984</v>
      </c>
      <c r="FRG16" t="s">
        <v>6984</v>
      </c>
      <c r="FRH16" t="s">
        <v>6984</v>
      </c>
      <c r="FRI16" t="s">
        <v>6984</v>
      </c>
      <c r="FRJ16" t="s">
        <v>6984</v>
      </c>
      <c r="FRK16" t="s">
        <v>6984</v>
      </c>
      <c r="FRL16" t="s">
        <v>6984</v>
      </c>
      <c r="FRM16" t="s">
        <v>6984</v>
      </c>
      <c r="FRN16" t="s">
        <v>6984</v>
      </c>
      <c r="FRO16" t="s">
        <v>6984</v>
      </c>
      <c r="FRP16" t="s">
        <v>6984</v>
      </c>
      <c r="FRQ16" t="s">
        <v>6984</v>
      </c>
      <c r="FRR16" t="s">
        <v>6984</v>
      </c>
      <c r="FRS16" t="s">
        <v>6984</v>
      </c>
      <c r="FRT16" t="s">
        <v>6984</v>
      </c>
      <c r="FRU16" t="s">
        <v>6984</v>
      </c>
      <c r="FRV16" t="s">
        <v>6984</v>
      </c>
      <c r="FRW16" t="s">
        <v>6984</v>
      </c>
      <c r="FRX16" t="s">
        <v>6984</v>
      </c>
      <c r="FRY16" t="s">
        <v>6984</v>
      </c>
      <c r="FRZ16" t="s">
        <v>6984</v>
      </c>
      <c r="FSA16" t="s">
        <v>6984</v>
      </c>
      <c r="FSB16" t="s">
        <v>6984</v>
      </c>
      <c r="FSC16" t="s">
        <v>6984</v>
      </c>
      <c r="FSD16" t="s">
        <v>6984</v>
      </c>
      <c r="FSE16" t="s">
        <v>6984</v>
      </c>
      <c r="FSF16" t="s">
        <v>6984</v>
      </c>
      <c r="FSG16" t="s">
        <v>6984</v>
      </c>
      <c r="FSH16" t="s">
        <v>6984</v>
      </c>
      <c r="FSI16" t="s">
        <v>6984</v>
      </c>
      <c r="FSJ16" t="s">
        <v>6984</v>
      </c>
      <c r="FSK16" t="s">
        <v>6984</v>
      </c>
      <c r="FSL16" t="s">
        <v>6984</v>
      </c>
      <c r="FSM16" t="s">
        <v>6984</v>
      </c>
      <c r="FSN16" t="s">
        <v>6984</v>
      </c>
      <c r="FSO16" t="s">
        <v>6984</v>
      </c>
      <c r="FSP16" t="s">
        <v>6984</v>
      </c>
      <c r="FSQ16" t="s">
        <v>6984</v>
      </c>
      <c r="FSR16" t="s">
        <v>6984</v>
      </c>
      <c r="FSS16" t="s">
        <v>6984</v>
      </c>
      <c r="FST16" t="s">
        <v>6984</v>
      </c>
      <c r="FSU16" t="s">
        <v>6984</v>
      </c>
      <c r="FSV16" t="s">
        <v>6984</v>
      </c>
      <c r="FSW16" t="s">
        <v>6984</v>
      </c>
      <c r="FSX16" t="s">
        <v>6984</v>
      </c>
      <c r="FSY16" t="s">
        <v>6984</v>
      </c>
      <c r="FSZ16" t="s">
        <v>6984</v>
      </c>
      <c r="FTA16" t="s">
        <v>6984</v>
      </c>
      <c r="FTB16" t="s">
        <v>6984</v>
      </c>
      <c r="FTC16" t="s">
        <v>6984</v>
      </c>
      <c r="FTD16" t="s">
        <v>6984</v>
      </c>
      <c r="FTE16" t="s">
        <v>6984</v>
      </c>
      <c r="FTF16" t="s">
        <v>6984</v>
      </c>
      <c r="FTG16" t="s">
        <v>6984</v>
      </c>
      <c r="FTH16" t="s">
        <v>6984</v>
      </c>
      <c r="FTI16" t="s">
        <v>6984</v>
      </c>
      <c r="FTJ16" t="s">
        <v>6984</v>
      </c>
      <c r="FTK16" t="s">
        <v>6984</v>
      </c>
      <c r="FTL16" t="s">
        <v>6984</v>
      </c>
      <c r="FTM16" t="s">
        <v>6984</v>
      </c>
      <c r="FTN16" t="s">
        <v>6984</v>
      </c>
      <c r="FTO16" t="s">
        <v>6984</v>
      </c>
      <c r="FTP16" t="s">
        <v>6984</v>
      </c>
      <c r="FTQ16" t="s">
        <v>6984</v>
      </c>
      <c r="FTR16" t="s">
        <v>6984</v>
      </c>
      <c r="FTS16" t="s">
        <v>6984</v>
      </c>
      <c r="FTT16" t="s">
        <v>6984</v>
      </c>
      <c r="FTU16" t="s">
        <v>6984</v>
      </c>
      <c r="FTV16" t="s">
        <v>6984</v>
      </c>
      <c r="FTW16" t="s">
        <v>6984</v>
      </c>
      <c r="FTX16" t="s">
        <v>6984</v>
      </c>
      <c r="FTY16" t="s">
        <v>6984</v>
      </c>
      <c r="FTZ16" t="s">
        <v>6984</v>
      </c>
      <c r="FUA16" t="s">
        <v>6984</v>
      </c>
      <c r="FUB16" t="s">
        <v>6984</v>
      </c>
      <c r="FUC16" t="s">
        <v>6984</v>
      </c>
      <c r="FUD16" t="s">
        <v>6984</v>
      </c>
      <c r="FUE16" t="s">
        <v>6984</v>
      </c>
      <c r="FUF16" t="s">
        <v>6984</v>
      </c>
      <c r="FUG16" t="s">
        <v>6984</v>
      </c>
      <c r="FUH16" t="s">
        <v>6984</v>
      </c>
      <c r="FUI16" t="s">
        <v>6984</v>
      </c>
      <c r="FUJ16" t="s">
        <v>6984</v>
      </c>
      <c r="FUK16" t="s">
        <v>6984</v>
      </c>
      <c r="FUL16" t="s">
        <v>6984</v>
      </c>
      <c r="FUM16" t="s">
        <v>6984</v>
      </c>
      <c r="FUN16" t="s">
        <v>6984</v>
      </c>
      <c r="FUO16" t="s">
        <v>6984</v>
      </c>
      <c r="FUP16" t="s">
        <v>6984</v>
      </c>
      <c r="FUQ16" t="s">
        <v>6984</v>
      </c>
      <c r="FUR16" t="s">
        <v>6984</v>
      </c>
      <c r="FUS16" t="s">
        <v>6984</v>
      </c>
      <c r="FUT16" t="s">
        <v>6984</v>
      </c>
      <c r="FUU16" t="s">
        <v>6984</v>
      </c>
      <c r="FUV16" t="s">
        <v>6984</v>
      </c>
      <c r="FUW16" t="s">
        <v>6984</v>
      </c>
      <c r="FUX16" t="s">
        <v>6984</v>
      </c>
      <c r="FUY16" t="s">
        <v>6984</v>
      </c>
      <c r="FUZ16" t="s">
        <v>6984</v>
      </c>
      <c r="FVA16" t="s">
        <v>6984</v>
      </c>
      <c r="FVB16" t="s">
        <v>6984</v>
      </c>
      <c r="FVC16" t="s">
        <v>6984</v>
      </c>
      <c r="FVD16" t="s">
        <v>6984</v>
      </c>
      <c r="FVE16" t="s">
        <v>6984</v>
      </c>
      <c r="FVF16" t="s">
        <v>6984</v>
      </c>
      <c r="FVG16" t="s">
        <v>6984</v>
      </c>
      <c r="FVH16" t="s">
        <v>6984</v>
      </c>
      <c r="FVI16" t="s">
        <v>6984</v>
      </c>
      <c r="FVJ16" t="s">
        <v>6984</v>
      </c>
      <c r="FVK16" t="s">
        <v>6984</v>
      </c>
      <c r="FVL16" t="s">
        <v>6984</v>
      </c>
      <c r="FVM16" t="s">
        <v>6984</v>
      </c>
      <c r="FVN16" t="s">
        <v>6984</v>
      </c>
      <c r="FVO16" t="s">
        <v>6984</v>
      </c>
      <c r="FVP16" t="s">
        <v>6984</v>
      </c>
      <c r="FVQ16" t="s">
        <v>6984</v>
      </c>
      <c r="FVR16" t="s">
        <v>6984</v>
      </c>
      <c r="FVS16" t="s">
        <v>6984</v>
      </c>
      <c r="FVT16" t="s">
        <v>6984</v>
      </c>
      <c r="FVU16" t="s">
        <v>6984</v>
      </c>
      <c r="FVV16" t="s">
        <v>6984</v>
      </c>
      <c r="FVW16" t="s">
        <v>6984</v>
      </c>
      <c r="FVX16" t="s">
        <v>6984</v>
      </c>
      <c r="FVY16" t="s">
        <v>6984</v>
      </c>
      <c r="FVZ16" t="s">
        <v>6984</v>
      </c>
      <c r="FWA16" t="s">
        <v>6984</v>
      </c>
      <c r="FWB16" t="s">
        <v>6984</v>
      </c>
      <c r="FWC16" t="s">
        <v>6984</v>
      </c>
      <c r="FWD16" t="s">
        <v>6984</v>
      </c>
      <c r="FWE16" t="s">
        <v>6984</v>
      </c>
      <c r="FWF16" t="s">
        <v>6984</v>
      </c>
      <c r="FWG16" t="s">
        <v>6984</v>
      </c>
      <c r="FWH16" t="s">
        <v>6984</v>
      </c>
      <c r="FWI16" t="s">
        <v>6984</v>
      </c>
      <c r="FWJ16" t="s">
        <v>6984</v>
      </c>
      <c r="FWK16" t="s">
        <v>6984</v>
      </c>
      <c r="FWL16" t="s">
        <v>6984</v>
      </c>
      <c r="FWM16" t="s">
        <v>6984</v>
      </c>
      <c r="FWN16" t="s">
        <v>6984</v>
      </c>
      <c r="FWO16" t="s">
        <v>6984</v>
      </c>
      <c r="FWP16" t="s">
        <v>6984</v>
      </c>
      <c r="FWQ16" t="s">
        <v>6984</v>
      </c>
      <c r="FWR16" t="s">
        <v>6984</v>
      </c>
      <c r="FWS16" t="s">
        <v>6984</v>
      </c>
      <c r="FWT16" t="s">
        <v>6984</v>
      </c>
      <c r="FWU16" t="s">
        <v>6984</v>
      </c>
      <c r="FWV16" t="s">
        <v>6984</v>
      </c>
      <c r="FWW16" t="s">
        <v>6984</v>
      </c>
      <c r="FWX16" t="s">
        <v>6984</v>
      </c>
      <c r="FWY16" t="s">
        <v>6984</v>
      </c>
      <c r="FWZ16" t="s">
        <v>6984</v>
      </c>
      <c r="FXA16" t="s">
        <v>6984</v>
      </c>
      <c r="FXB16" t="s">
        <v>6984</v>
      </c>
      <c r="FXC16" t="s">
        <v>6984</v>
      </c>
      <c r="FXD16" t="s">
        <v>6984</v>
      </c>
      <c r="FXE16" t="s">
        <v>6984</v>
      </c>
      <c r="FXF16" t="s">
        <v>6984</v>
      </c>
      <c r="FXG16" t="s">
        <v>6984</v>
      </c>
      <c r="FXH16" t="s">
        <v>6984</v>
      </c>
      <c r="FXI16" t="s">
        <v>6984</v>
      </c>
      <c r="FXJ16" t="s">
        <v>6984</v>
      </c>
      <c r="FXK16" t="s">
        <v>6984</v>
      </c>
      <c r="FXL16" t="s">
        <v>6984</v>
      </c>
      <c r="FXM16" t="s">
        <v>6984</v>
      </c>
      <c r="FXN16" t="s">
        <v>6984</v>
      </c>
      <c r="FXO16" t="s">
        <v>6984</v>
      </c>
      <c r="FXP16" t="s">
        <v>6984</v>
      </c>
      <c r="FXQ16" t="s">
        <v>6984</v>
      </c>
      <c r="FXR16" t="s">
        <v>6984</v>
      </c>
      <c r="FXS16" t="s">
        <v>6984</v>
      </c>
      <c r="FXT16" t="s">
        <v>6984</v>
      </c>
      <c r="FXU16" t="s">
        <v>6984</v>
      </c>
      <c r="FXV16" t="s">
        <v>6984</v>
      </c>
      <c r="FXW16" t="s">
        <v>6984</v>
      </c>
      <c r="FXX16" t="s">
        <v>6984</v>
      </c>
      <c r="FXY16" t="s">
        <v>6984</v>
      </c>
      <c r="FXZ16" t="s">
        <v>6984</v>
      </c>
      <c r="FYA16" t="s">
        <v>6984</v>
      </c>
      <c r="FYB16" t="s">
        <v>6984</v>
      </c>
      <c r="FYC16" t="s">
        <v>6984</v>
      </c>
      <c r="FYD16" t="s">
        <v>6984</v>
      </c>
      <c r="FYE16" t="s">
        <v>6984</v>
      </c>
      <c r="FYF16" t="s">
        <v>6984</v>
      </c>
      <c r="FYG16" t="s">
        <v>6984</v>
      </c>
      <c r="FYH16" t="s">
        <v>6984</v>
      </c>
      <c r="FYI16" t="s">
        <v>6984</v>
      </c>
      <c r="FYJ16" t="s">
        <v>6984</v>
      </c>
      <c r="FYK16" t="s">
        <v>6984</v>
      </c>
      <c r="FYL16" t="s">
        <v>6984</v>
      </c>
      <c r="FYM16" t="s">
        <v>6984</v>
      </c>
      <c r="FYN16" t="s">
        <v>6984</v>
      </c>
      <c r="FYO16" t="s">
        <v>6984</v>
      </c>
      <c r="FYP16" t="s">
        <v>6984</v>
      </c>
      <c r="FYQ16" t="s">
        <v>6984</v>
      </c>
      <c r="FYR16" t="s">
        <v>6984</v>
      </c>
      <c r="FYS16" t="s">
        <v>6984</v>
      </c>
      <c r="FYT16" t="s">
        <v>6984</v>
      </c>
      <c r="FYU16" t="s">
        <v>6984</v>
      </c>
      <c r="FYV16" t="s">
        <v>6984</v>
      </c>
      <c r="FYW16" t="s">
        <v>6984</v>
      </c>
      <c r="FYX16" t="s">
        <v>6984</v>
      </c>
      <c r="FYY16" t="s">
        <v>6984</v>
      </c>
      <c r="FYZ16" t="s">
        <v>6984</v>
      </c>
      <c r="FZA16" t="s">
        <v>6984</v>
      </c>
      <c r="FZB16" t="s">
        <v>6984</v>
      </c>
      <c r="FZC16" t="s">
        <v>6984</v>
      </c>
      <c r="FZD16" t="s">
        <v>6984</v>
      </c>
      <c r="FZE16" t="s">
        <v>6984</v>
      </c>
      <c r="FZF16" t="s">
        <v>6984</v>
      </c>
      <c r="FZG16" t="s">
        <v>6984</v>
      </c>
      <c r="FZH16" t="s">
        <v>6984</v>
      </c>
      <c r="FZI16" t="s">
        <v>6984</v>
      </c>
      <c r="FZJ16" t="s">
        <v>6984</v>
      </c>
      <c r="FZK16" t="s">
        <v>6984</v>
      </c>
      <c r="FZL16" t="s">
        <v>6984</v>
      </c>
      <c r="FZM16" t="s">
        <v>6984</v>
      </c>
      <c r="FZN16" t="s">
        <v>6984</v>
      </c>
      <c r="FZO16" t="s">
        <v>6984</v>
      </c>
      <c r="FZP16" t="s">
        <v>6984</v>
      </c>
      <c r="FZQ16" t="s">
        <v>6984</v>
      </c>
      <c r="FZR16" t="s">
        <v>6984</v>
      </c>
      <c r="FZS16" t="s">
        <v>6984</v>
      </c>
      <c r="FZT16" t="s">
        <v>6984</v>
      </c>
      <c r="FZU16" t="s">
        <v>6984</v>
      </c>
      <c r="FZV16" t="s">
        <v>6984</v>
      </c>
      <c r="FZW16" t="s">
        <v>6984</v>
      </c>
      <c r="FZX16" t="s">
        <v>6984</v>
      </c>
      <c r="FZY16" t="s">
        <v>6984</v>
      </c>
      <c r="FZZ16" t="s">
        <v>6984</v>
      </c>
      <c r="GAA16" t="s">
        <v>6984</v>
      </c>
      <c r="GAB16" t="s">
        <v>6984</v>
      </c>
      <c r="GAC16" t="s">
        <v>6984</v>
      </c>
      <c r="GAD16" t="s">
        <v>6984</v>
      </c>
      <c r="GAE16" t="s">
        <v>6984</v>
      </c>
      <c r="GAF16" t="s">
        <v>6984</v>
      </c>
      <c r="GAG16" t="s">
        <v>6984</v>
      </c>
      <c r="GAH16" t="s">
        <v>6984</v>
      </c>
      <c r="GAI16" t="s">
        <v>6984</v>
      </c>
      <c r="GAJ16" t="s">
        <v>6984</v>
      </c>
      <c r="GAK16" t="s">
        <v>6984</v>
      </c>
      <c r="GAL16" t="s">
        <v>6984</v>
      </c>
      <c r="GAM16" t="s">
        <v>6984</v>
      </c>
      <c r="GAN16" t="s">
        <v>6984</v>
      </c>
      <c r="GAO16" t="s">
        <v>6984</v>
      </c>
      <c r="GAP16" t="s">
        <v>6984</v>
      </c>
      <c r="GAQ16" t="s">
        <v>6984</v>
      </c>
      <c r="GAR16" t="s">
        <v>6984</v>
      </c>
      <c r="GAS16" t="s">
        <v>6984</v>
      </c>
      <c r="GAT16" t="s">
        <v>6984</v>
      </c>
      <c r="GAU16" t="s">
        <v>6984</v>
      </c>
      <c r="GAV16" t="s">
        <v>6984</v>
      </c>
      <c r="GAW16" t="s">
        <v>6984</v>
      </c>
      <c r="GAX16" t="s">
        <v>6984</v>
      </c>
      <c r="GAY16" t="s">
        <v>6984</v>
      </c>
      <c r="GAZ16" t="s">
        <v>6984</v>
      </c>
      <c r="GBA16" t="s">
        <v>6984</v>
      </c>
      <c r="GBB16" t="s">
        <v>6984</v>
      </c>
      <c r="GBC16" t="s">
        <v>6984</v>
      </c>
      <c r="GBD16" t="s">
        <v>6984</v>
      </c>
      <c r="GBE16" t="s">
        <v>6984</v>
      </c>
      <c r="GBF16" t="s">
        <v>6984</v>
      </c>
      <c r="GBG16" t="s">
        <v>6984</v>
      </c>
      <c r="GBH16" t="s">
        <v>6984</v>
      </c>
      <c r="GBI16" t="s">
        <v>6984</v>
      </c>
      <c r="GBJ16" t="s">
        <v>6984</v>
      </c>
      <c r="GBK16" t="s">
        <v>6984</v>
      </c>
      <c r="GBL16" t="s">
        <v>6984</v>
      </c>
      <c r="GBM16" t="s">
        <v>6984</v>
      </c>
      <c r="GBN16" t="s">
        <v>6984</v>
      </c>
      <c r="GBO16" t="s">
        <v>6984</v>
      </c>
      <c r="GBP16" t="s">
        <v>6984</v>
      </c>
      <c r="GBQ16" t="s">
        <v>6984</v>
      </c>
      <c r="GBR16" t="s">
        <v>6984</v>
      </c>
      <c r="GBS16" t="s">
        <v>6984</v>
      </c>
      <c r="GBT16" t="s">
        <v>6984</v>
      </c>
      <c r="GBU16" t="s">
        <v>6984</v>
      </c>
      <c r="GBV16" t="s">
        <v>6984</v>
      </c>
      <c r="GBW16" t="s">
        <v>6984</v>
      </c>
      <c r="GBX16" t="s">
        <v>6984</v>
      </c>
      <c r="GBY16" t="s">
        <v>6984</v>
      </c>
      <c r="GBZ16" t="s">
        <v>6984</v>
      </c>
      <c r="GCA16" t="s">
        <v>6984</v>
      </c>
      <c r="GCB16" t="s">
        <v>6984</v>
      </c>
      <c r="GCC16" t="s">
        <v>6984</v>
      </c>
      <c r="GCD16" t="s">
        <v>6984</v>
      </c>
      <c r="GCE16" t="s">
        <v>6984</v>
      </c>
      <c r="GCF16" t="s">
        <v>6984</v>
      </c>
      <c r="GCG16" t="s">
        <v>6984</v>
      </c>
      <c r="GCH16" t="s">
        <v>6984</v>
      </c>
      <c r="GCI16" t="s">
        <v>6984</v>
      </c>
      <c r="GCJ16" t="s">
        <v>6984</v>
      </c>
      <c r="GCK16" t="s">
        <v>6984</v>
      </c>
      <c r="GCL16" t="s">
        <v>6984</v>
      </c>
      <c r="GCM16" t="s">
        <v>6984</v>
      </c>
      <c r="GCN16" t="s">
        <v>6984</v>
      </c>
      <c r="GCO16" t="s">
        <v>6984</v>
      </c>
      <c r="GCP16" t="s">
        <v>6984</v>
      </c>
      <c r="GCQ16" t="s">
        <v>6984</v>
      </c>
      <c r="GCR16" t="s">
        <v>6984</v>
      </c>
      <c r="GCS16" t="s">
        <v>6984</v>
      </c>
      <c r="GCT16" t="s">
        <v>6984</v>
      </c>
      <c r="GCU16" t="s">
        <v>6984</v>
      </c>
      <c r="GCV16" t="s">
        <v>6984</v>
      </c>
      <c r="GCW16" t="s">
        <v>6984</v>
      </c>
      <c r="GCX16" t="s">
        <v>6984</v>
      </c>
      <c r="GCY16" t="s">
        <v>6984</v>
      </c>
      <c r="GCZ16" t="s">
        <v>6984</v>
      </c>
      <c r="GDA16" t="s">
        <v>6984</v>
      </c>
      <c r="GDB16" t="s">
        <v>6984</v>
      </c>
      <c r="GDC16" t="s">
        <v>6984</v>
      </c>
      <c r="GDD16" t="s">
        <v>6984</v>
      </c>
      <c r="GDE16" t="s">
        <v>6984</v>
      </c>
      <c r="GDF16" t="s">
        <v>6984</v>
      </c>
      <c r="GDG16" t="s">
        <v>6984</v>
      </c>
      <c r="GDH16" t="s">
        <v>6984</v>
      </c>
      <c r="GDI16" t="s">
        <v>6984</v>
      </c>
      <c r="GDJ16" t="s">
        <v>6984</v>
      </c>
      <c r="GDK16" t="s">
        <v>6984</v>
      </c>
      <c r="GDL16" t="s">
        <v>6984</v>
      </c>
      <c r="GDM16" t="s">
        <v>6984</v>
      </c>
      <c r="GDN16" t="s">
        <v>6984</v>
      </c>
      <c r="GDO16" t="s">
        <v>6984</v>
      </c>
      <c r="GDP16" t="s">
        <v>6984</v>
      </c>
      <c r="GDQ16" t="s">
        <v>6984</v>
      </c>
      <c r="GDR16" t="s">
        <v>6984</v>
      </c>
      <c r="GDS16" t="s">
        <v>6984</v>
      </c>
      <c r="GDT16" t="s">
        <v>6984</v>
      </c>
      <c r="GDU16" t="s">
        <v>6984</v>
      </c>
      <c r="GDV16" t="s">
        <v>6984</v>
      </c>
      <c r="GDW16" t="s">
        <v>6984</v>
      </c>
      <c r="GDX16" t="s">
        <v>6984</v>
      </c>
      <c r="GDY16" t="s">
        <v>6984</v>
      </c>
      <c r="GDZ16" t="s">
        <v>6984</v>
      </c>
      <c r="GEA16" t="s">
        <v>6984</v>
      </c>
      <c r="GEB16" t="s">
        <v>6984</v>
      </c>
      <c r="GEC16" t="s">
        <v>6984</v>
      </c>
      <c r="GED16" t="s">
        <v>6984</v>
      </c>
      <c r="GEE16" t="s">
        <v>6984</v>
      </c>
      <c r="GEF16" t="s">
        <v>6984</v>
      </c>
      <c r="GEG16" t="s">
        <v>6984</v>
      </c>
      <c r="GEH16" t="s">
        <v>6984</v>
      </c>
      <c r="GEI16" t="s">
        <v>6984</v>
      </c>
      <c r="GEJ16" t="s">
        <v>6984</v>
      </c>
      <c r="GEK16" t="s">
        <v>6984</v>
      </c>
      <c r="GEL16" t="s">
        <v>6984</v>
      </c>
      <c r="GEM16" t="s">
        <v>6984</v>
      </c>
      <c r="GEN16" t="s">
        <v>6984</v>
      </c>
      <c r="GEO16" t="s">
        <v>6984</v>
      </c>
      <c r="GEP16" t="s">
        <v>6984</v>
      </c>
      <c r="GEQ16" t="s">
        <v>6984</v>
      </c>
      <c r="GER16" t="s">
        <v>6984</v>
      </c>
      <c r="GES16" t="s">
        <v>6984</v>
      </c>
      <c r="GET16" t="s">
        <v>6984</v>
      </c>
      <c r="GEU16" t="s">
        <v>6984</v>
      </c>
      <c r="GEV16" t="s">
        <v>6984</v>
      </c>
      <c r="GEW16" t="s">
        <v>6984</v>
      </c>
      <c r="GEX16" t="s">
        <v>6984</v>
      </c>
      <c r="GEY16" t="s">
        <v>6984</v>
      </c>
      <c r="GEZ16" t="s">
        <v>6984</v>
      </c>
      <c r="GFA16" t="s">
        <v>6984</v>
      </c>
      <c r="GFB16" t="s">
        <v>6984</v>
      </c>
      <c r="GFC16" t="s">
        <v>6984</v>
      </c>
      <c r="GFD16" t="s">
        <v>6984</v>
      </c>
      <c r="GFE16" t="s">
        <v>6984</v>
      </c>
      <c r="GFF16" t="s">
        <v>6984</v>
      </c>
      <c r="GFG16" t="s">
        <v>6984</v>
      </c>
      <c r="GFH16" t="s">
        <v>6984</v>
      </c>
      <c r="GFI16" t="s">
        <v>6984</v>
      </c>
      <c r="GFJ16" t="s">
        <v>6984</v>
      </c>
      <c r="GFK16" t="s">
        <v>6984</v>
      </c>
      <c r="GFL16" t="s">
        <v>6984</v>
      </c>
      <c r="GFM16" t="s">
        <v>6984</v>
      </c>
      <c r="GFN16" t="s">
        <v>6984</v>
      </c>
      <c r="GFO16" t="s">
        <v>6984</v>
      </c>
      <c r="GFP16" t="s">
        <v>6984</v>
      </c>
      <c r="GFQ16" t="s">
        <v>6984</v>
      </c>
      <c r="GFR16" t="s">
        <v>6984</v>
      </c>
      <c r="GFS16" t="s">
        <v>6984</v>
      </c>
      <c r="GFT16" t="s">
        <v>6984</v>
      </c>
      <c r="GFU16" t="s">
        <v>6984</v>
      </c>
      <c r="GFV16" t="s">
        <v>6984</v>
      </c>
      <c r="GFW16" t="s">
        <v>6984</v>
      </c>
      <c r="GFX16" t="s">
        <v>6984</v>
      </c>
      <c r="GFY16" t="s">
        <v>6984</v>
      </c>
      <c r="GFZ16" t="s">
        <v>6984</v>
      </c>
      <c r="GGA16" t="s">
        <v>6984</v>
      </c>
      <c r="GGB16" t="s">
        <v>6984</v>
      </c>
      <c r="GGC16" t="s">
        <v>6984</v>
      </c>
      <c r="GGD16" t="s">
        <v>6984</v>
      </c>
      <c r="GGE16" t="s">
        <v>6984</v>
      </c>
      <c r="GGF16" t="s">
        <v>6984</v>
      </c>
      <c r="GGG16" t="s">
        <v>6984</v>
      </c>
      <c r="GGH16" t="s">
        <v>6984</v>
      </c>
      <c r="GGI16" t="s">
        <v>6984</v>
      </c>
      <c r="GGJ16" t="s">
        <v>6984</v>
      </c>
      <c r="GGK16" t="s">
        <v>6984</v>
      </c>
      <c r="GGL16" t="s">
        <v>6984</v>
      </c>
      <c r="GGM16" t="s">
        <v>6984</v>
      </c>
      <c r="GGN16" t="s">
        <v>6984</v>
      </c>
      <c r="GGO16" t="s">
        <v>6984</v>
      </c>
      <c r="GGP16" t="s">
        <v>6984</v>
      </c>
      <c r="GGQ16" t="s">
        <v>6984</v>
      </c>
      <c r="GGR16" t="s">
        <v>6984</v>
      </c>
      <c r="GGS16" t="s">
        <v>6984</v>
      </c>
      <c r="GGT16" t="s">
        <v>6984</v>
      </c>
      <c r="GGU16" t="s">
        <v>6984</v>
      </c>
      <c r="GGV16" t="s">
        <v>6984</v>
      </c>
      <c r="GGW16" t="s">
        <v>6984</v>
      </c>
      <c r="GGX16" t="s">
        <v>6984</v>
      </c>
      <c r="GGY16" t="s">
        <v>6984</v>
      </c>
      <c r="GGZ16" t="s">
        <v>6984</v>
      </c>
      <c r="GHA16" t="s">
        <v>6984</v>
      </c>
      <c r="GHB16" t="s">
        <v>6984</v>
      </c>
      <c r="GHC16" t="s">
        <v>6984</v>
      </c>
      <c r="GHD16" t="s">
        <v>6984</v>
      </c>
      <c r="GHE16" t="s">
        <v>6984</v>
      </c>
      <c r="GHF16" t="s">
        <v>6984</v>
      </c>
      <c r="GHG16" t="s">
        <v>6984</v>
      </c>
      <c r="GHH16" t="s">
        <v>6984</v>
      </c>
      <c r="GHI16" t="s">
        <v>6984</v>
      </c>
      <c r="GHJ16" t="s">
        <v>6984</v>
      </c>
      <c r="GHK16" t="s">
        <v>6984</v>
      </c>
      <c r="GHL16" t="s">
        <v>6984</v>
      </c>
      <c r="GHM16" t="s">
        <v>6984</v>
      </c>
      <c r="GHN16" t="s">
        <v>6984</v>
      </c>
      <c r="GHO16" t="s">
        <v>6984</v>
      </c>
      <c r="GHP16" t="s">
        <v>6984</v>
      </c>
      <c r="GHQ16" t="s">
        <v>6984</v>
      </c>
      <c r="GHR16" t="s">
        <v>6984</v>
      </c>
      <c r="GHS16" t="s">
        <v>6984</v>
      </c>
      <c r="GHT16" t="s">
        <v>6984</v>
      </c>
      <c r="GHU16" t="s">
        <v>6984</v>
      </c>
      <c r="GHV16" t="s">
        <v>6984</v>
      </c>
      <c r="GHW16" t="s">
        <v>6984</v>
      </c>
      <c r="GHX16" t="s">
        <v>6984</v>
      </c>
      <c r="GHY16" t="s">
        <v>6984</v>
      </c>
      <c r="GHZ16" t="s">
        <v>6984</v>
      </c>
      <c r="GIA16" t="s">
        <v>6984</v>
      </c>
      <c r="GIB16" t="s">
        <v>6984</v>
      </c>
      <c r="GIC16" t="s">
        <v>6984</v>
      </c>
      <c r="GID16" t="s">
        <v>6984</v>
      </c>
      <c r="GIE16" t="s">
        <v>6984</v>
      </c>
      <c r="GIF16" t="s">
        <v>6984</v>
      </c>
      <c r="GIG16" t="s">
        <v>6984</v>
      </c>
      <c r="GIH16" t="s">
        <v>6984</v>
      </c>
      <c r="GII16" t="s">
        <v>6984</v>
      </c>
      <c r="GIJ16" t="s">
        <v>6984</v>
      </c>
      <c r="GIK16" t="s">
        <v>6984</v>
      </c>
      <c r="GIL16" t="s">
        <v>6984</v>
      </c>
      <c r="GIM16" t="s">
        <v>6984</v>
      </c>
      <c r="GIN16" t="s">
        <v>6984</v>
      </c>
      <c r="GIO16" t="s">
        <v>6984</v>
      </c>
      <c r="GIP16" t="s">
        <v>6984</v>
      </c>
      <c r="GIQ16" t="s">
        <v>6984</v>
      </c>
      <c r="GIR16" t="s">
        <v>6984</v>
      </c>
      <c r="GIS16" t="s">
        <v>6984</v>
      </c>
      <c r="GIT16" t="s">
        <v>6984</v>
      </c>
      <c r="GIU16" t="s">
        <v>6984</v>
      </c>
      <c r="GIV16" t="s">
        <v>6984</v>
      </c>
      <c r="GIW16" t="s">
        <v>6984</v>
      </c>
      <c r="GIX16" t="s">
        <v>6984</v>
      </c>
      <c r="GIY16" t="s">
        <v>6984</v>
      </c>
      <c r="GIZ16" t="s">
        <v>6984</v>
      </c>
      <c r="GJA16" t="s">
        <v>6984</v>
      </c>
      <c r="GJB16" t="s">
        <v>6984</v>
      </c>
      <c r="GJC16" t="s">
        <v>6984</v>
      </c>
      <c r="GJD16" t="s">
        <v>6984</v>
      </c>
      <c r="GJE16" t="s">
        <v>6984</v>
      </c>
      <c r="GJF16" t="s">
        <v>6984</v>
      </c>
      <c r="GJG16" t="s">
        <v>6984</v>
      </c>
      <c r="GJH16" t="s">
        <v>6984</v>
      </c>
      <c r="GJI16" t="s">
        <v>6984</v>
      </c>
      <c r="GJJ16" t="s">
        <v>6984</v>
      </c>
      <c r="GJK16" t="s">
        <v>6984</v>
      </c>
      <c r="GJL16" t="s">
        <v>6984</v>
      </c>
      <c r="GJM16" t="s">
        <v>6984</v>
      </c>
      <c r="GJN16" t="s">
        <v>6984</v>
      </c>
      <c r="GJO16" t="s">
        <v>6984</v>
      </c>
      <c r="GJP16" t="s">
        <v>6984</v>
      </c>
      <c r="GJQ16" t="s">
        <v>6984</v>
      </c>
      <c r="GJR16" t="s">
        <v>6984</v>
      </c>
      <c r="GJS16" t="s">
        <v>6984</v>
      </c>
      <c r="GJT16" t="s">
        <v>6984</v>
      </c>
      <c r="GJU16" t="s">
        <v>6984</v>
      </c>
      <c r="GJV16" t="s">
        <v>6984</v>
      </c>
      <c r="GJW16" t="s">
        <v>6984</v>
      </c>
      <c r="GJX16" t="s">
        <v>6984</v>
      </c>
      <c r="GJY16" t="s">
        <v>6984</v>
      </c>
      <c r="GJZ16" t="s">
        <v>6984</v>
      </c>
      <c r="GKA16" t="s">
        <v>6984</v>
      </c>
      <c r="GKB16" t="s">
        <v>6984</v>
      </c>
      <c r="GKC16" t="s">
        <v>6984</v>
      </c>
      <c r="GKD16" t="s">
        <v>6984</v>
      </c>
      <c r="GKE16" t="s">
        <v>6984</v>
      </c>
      <c r="GKF16" t="s">
        <v>6984</v>
      </c>
      <c r="GKG16" t="s">
        <v>6984</v>
      </c>
      <c r="GKH16" t="s">
        <v>6984</v>
      </c>
      <c r="GKI16" t="s">
        <v>6984</v>
      </c>
      <c r="GKJ16" t="s">
        <v>6984</v>
      </c>
      <c r="GKK16" t="s">
        <v>6984</v>
      </c>
      <c r="GKL16" t="s">
        <v>6984</v>
      </c>
      <c r="GKM16" t="s">
        <v>6984</v>
      </c>
      <c r="GKN16" t="s">
        <v>6984</v>
      </c>
      <c r="GKO16" t="s">
        <v>6984</v>
      </c>
      <c r="GKP16" t="s">
        <v>6984</v>
      </c>
      <c r="GKQ16" t="s">
        <v>6984</v>
      </c>
      <c r="GKR16" t="s">
        <v>6984</v>
      </c>
      <c r="GKS16" t="s">
        <v>6984</v>
      </c>
      <c r="GKT16" t="s">
        <v>6984</v>
      </c>
      <c r="GKU16" t="s">
        <v>6984</v>
      </c>
      <c r="GKV16" t="s">
        <v>6984</v>
      </c>
      <c r="GKW16" t="s">
        <v>6984</v>
      </c>
      <c r="GKX16" t="s">
        <v>6984</v>
      </c>
      <c r="GKY16" t="s">
        <v>6984</v>
      </c>
      <c r="GKZ16" t="s">
        <v>6984</v>
      </c>
      <c r="GLA16" t="s">
        <v>6984</v>
      </c>
      <c r="GLB16" t="s">
        <v>6984</v>
      </c>
      <c r="GLC16" t="s">
        <v>6984</v>
      </c>
      <c r="GLD16" t="s">
        <v>6984</v>
      </c>
      <c r="GLE16" t="s">
        <v>6984</v>
      </c>
      <c r="GLF16" t="s">
        <v>6984</v>
      </c>
      <c r="GLG16" t="s">
        <v>6984</v>
      </c>
      <c r="GLH16" t="s">
        <v>6984</v>
      </c>
      <c r="GLI16" t="s">
        <v>6984</v>
      </c>
      <c r="GLJ16" t="s">
        <v>6984</v>
      </c>
      <c r="GLK16" t="s">
        <v>6984</v>
      </c>
      <c r="GLL16" t="s">
        <v>6984</v>
      </c>
      <c r="GLM16" t="s">
        <v>6984</v>
      </c>
      <c r="GLN16" t="s">
        <v>6984</v>
      </c>
      <c r="GLO16" t="s">
        <v>6984</v>
      </c>
      <c r="GLP16" t="s">
        <v>6984</v>
      </c>
      <c r="GLQ16" t="s">
        <v>6984</v>
      </c>
      <c r="GLR16" t="s">
        <v>6984</v>
      </c>
      <c r="GLS16" t="s">
        <v>6984</v>
      </c>
      <c r="GLT16" t="s">
        <v>6984</v>
      </c>
      <c r="GLU16" t="s">
        <v>6984</v>
      </c>
      <c r="GLV16" t="s">
        <v>6984</v>
      </c>
      <c r="GLW16" t="s">
        <v>6984</v>
      </c>
      <c r="GLX16" t="s">
        <v>6984</v>
      </c>
      <c r="GLY16" t="s">
        <v>6984</v>
      </c>
      <c r="GLZ16" t="s">
        <v>6984</v>
      </c>
      <c r="GMA16" t="s">
        <v>6984</v>
      </c>
      <c r="GMB16" t="s">
        <v>6984</v>
      </c>
      <c r="GMC16" t="s">
        <v>6984</v>
      </c>
      <c r="GMD16" t="s">
        <v>6984</v>
      </c>
      <c r="GME16" t="s">
        <v>6984</v>
      </c>
      <c r="GMF16" t="s">
        <v>6984</v>
      </c>
      <c r="GMG16" t="s">
        <v>6984</v>
      </c>
      <c r="GMH16" t="s">
        <v>6984</v>
      </c>
      <c r="GMI16" t="s">
        <v>6984</v>
      </c>
      <c r="GMJ16" t="s">
        <v>6984</v>
      </c>
      <c r="GMK16" t="s">
        <v>6984</v>
      </c>
      <c r="GML16" t="s">
        <v>6984</v>
      </c>
      <c r="GMM16" t="s">
        <v>6984</v>
      </c>
      <c r="GMN16" t="s">
        <v>6984</v>
      </c>
      <c r="GMO16" t="s">
        <v>6984</v>
      </c>
      <c r="GMP16" t="s">
        <v>6984</v>
      </c>
      <c r="GMQ16" t="s">
        <v>6984</v>
      </c>
      <c r="GMR16" t="s">
        <v>6984</v>
      </c>
      <c r="GMS16" t="s">
        <v>6984</v>
      </c>
      <c r="GMT16" t="s">
        <v>6984</v>
      </c>
      <c r="GMU16" t="s">
        <v>6984</v>
      </c>
      <c r="GMV16" t="s">
        <v>6984</v>
      </c>
      <c r="GMW16" t="s">
        <v>6984</v>
      </c>
      <c r="GMX16" t="s">
        <v>6984</v>
      </c>
      <c r="GMY16" t="s">
        <v>6984</v>
      </c>
      <c r="GMZ16" t="s">
        <v>6984</v>
      </c>
      <c r="GNA16" t="s">
        <v>6984</v>
      </c>
      <c r="GNB16" t="s">
        <v>6984</v>
      </c>
      <c r="GNC16" t="s">
        <v>6984</v>
      </c>
      <c r="GND16" t="s">
        <v>6984</v>
      </c>
      <c r="GNE16" t="s">
        <v>6984</v>
      </c>
      <c r="GNF16" t="s">
        <v>6984</v>
      </c>
      <c r="GNG16" t="s">
        <v>6984</v>
      </c>
      <c r="GNH16" t="s">
        <v>6984</v>
      </c>
      <c r="GNI16" t="s">
        <v>6984</v>
      </c>
      <c r="GNJ16" t="s">
        <v>6984</v>
      </c>
      <c r="GNK16" t="s">
        <v>6984</v>
      </c>
      <c r="GNL16" t="s">
        <v>6984</v>
      </c>
      <c r="GNM16" t="s">
        <v>6984</v>
      </c>
      <c r="GNN16" t="s">
        <v>6984</v>
      </c>
      <c r="GNO16" t="s">
        <v>6984</v>
      </c>
      <c r="GNP16" t="s">
        <v>6984</v>
      </c>
      <c r="GNQ16" t="s">
        <v>6984</v>
      </c>
      <c r="GNR16" t="s">
        <v>6984</v>
      </c>
      <c r="GNS16" t="s">
        <v>6984</v>
      </c>
      <c r="GNT16" t="s">
        <v>6984</v>
      </c>
      <c r="GNU16" t="s">
        <v>6984</v>
      </c>
      <c r="GNV16" t="s">
        <v>6984</v>
      </c>
      <c r="GNW16" t="s">
        <v>6984</v>
      </c>
      <c r="GNX16" t="s">
        <v>6984</v>
      </c>
      <c r="GNY16" t="s">
        <v>6984</v>
      </c>
      <c r="GNZ16" t="s">
        <v>6984</v>
      </c>
      <c r="GOA16" t="s">
        <v>6984</v>
      </c>
      <c r="GOB16" t="s">
        <v>6984</v>
      </c>
      <c r="GOC16" t="s">
        <v>6984</v>
      </c>
      <c r="GOD16" t="s">
        <v>6984</v>
      </c>
      <c r="GOE16" t="s">
        <v>6984</v>
      </c>
      <c r="GOF16" t="s">
        <v>6984</v>
      </c>
      <c r="GOG16" t="s">
        <v>6984</v>
      </c>
      <c r="GOH16" t="s">
        <v>6984</v>
      </c>
      <c r="GOI16" t="s">
        <v>6984</v>
      </c>
      <c r="GOJ16" t="s">
        <v>6984</v>
      </c>
      <c r="GOK16" t="s">
        <v>6984</v>
      </c>
      <c r="GOL16" t="s">
        <v>6984</v>
      </c>
      <c r="GOM16" t="s">
        <v>6984</v>
      </c>
      <c r="GON16" t="s">
        <v>6984</v>
      </c>
      <c r="GOO16" t="s">
        <v>6984</v>
      </c>
      <c r="GOP16" t="s">
        <v>6984</v>
      </c>
      <c r="GOQ16" t="s">
        <v>6984</v>
      </c>
      <c r="GOR16" t="s">
        <v>6984</v>
      </c>
      <c r="GOS16" t="s">
        <v>6984</v>
      </c>
      <c r="GOT16" t="s">
        <v>6984</v>
      </c>
      <c r="GOU16" t="s">
        <v>6984</v>
      </c>
      <c r="GOV16" t="s">
        <v>6984</v>
      </c>
      <c r="GOW16" t="s">
        <v>6984</v>
      </c>
      <c r="GOX16" t="s">
        <v>6984</v>
      </c>
      <c r="GOY16" t="s">
        <v>6984</v>
      </c>
      <c r="GOZ16" t="s">
        <v>6984</v>
      </c>
      <c r="GPA16" t="s">
        <v>6984</v>
      </c>
      <c r="GPB16" t="s">
        <v>6984</v>
      </c>
      <c r="GPC16" t="s">
        <v>6984</v>
      </c>
      <c r="GPD16" t="s">
        <v>6984</v>
      </c>
      <c r="GPE16" t="s">
        <v>6984</v>
      </c>
      <c r="GPF16" t="s">
        <v>6984</v>
      </c>
      <c r="GPG16" t="s">
        <v>6984</v>
      </c>
      <c r="GPH16" t="s">
        <v>6984</v>
      </c>
      <c r="GPI16" t="s">
        <v>6984</v>
      </c>
      <c r="GPJ16" t="s">
        <v>6984</v>
      </c>
      <c r="GPK16" t="s">
        <v>6984</v>
      </c>
      <c r="GPL16" t="s">
        <v>6984</v>
      </c>
      <c r="GPM16" t="s">
        <v>6984</v>
      </c>
      <c r="GPN16" t="s">
        <v>6984</v>
      </c>
      <c r="GPO16" t="s">
        <v>6984</v>
      </c>
      <c r="GPP16" t="s">
        <v>6984</v>
      </c>
      <c r="GPQ16" t="s">
        <v>6984</v>
      </c>
      <c r="GPR16" t="s">
        <v>6984</v>
      </c>
      <c r="GPS16" t="s">
        <v>6984</v>
      </c>
      <c r="GPT16" t="s">
        <v>6984</v>
      </c>
      <c r="GPU16" t="s">
        <v>6984</v>
      </c>
      <c r="GPV16" t="s">
        <v>6984</v>
      </c>
      <c r="GPW16" t="s">
        <v>6984</v>
      </c>
      <c r="GPX16" t="s">
        <v>6984</v>
      </c>
      <c r="GPY16" t="s">
        <v>6984</v>
      </c>
      <c r="GPZ16" t="s">
        <v>6984</v>
      </c>
      <c r="GQA16" t="s">
        <v>6984</v>
      </c>
      <c r="GQB16" t="s">
        <v>6984</v>
      </c>
      <c r="GQC16" t="s">
        <v>6984</v>
      </c>
      <c r="GQD16" t="s">
        <v>6984</v>
      </c>
      <c r="GQE16" t="s">
        <v>6984</v>
      </c>
      <c r="GQF16" t="s">
        <v>6984</v>
      </c>
      <c r="GQG16" t="s">
        <v>6984</v>
      </c>
      <c r="GQH16" t="s">
        <v>6984</v>
      </c>
      <c r="GQI16" t="s">
        <v>6984</v>
      </c>
      <c r="GQJ16" t="s">
        <v>6984</v>
      </c>
      <c r="GQK16" t="s">
        <v>6984</v>
      </c>
      <c r="GQL16" t="s">
        <v>6984</v>
      </c>
      <c r="GQM16" t="s">
        <v>6984</v>
      </c>
      <c r="GQN16" t="s">
        <v>6984</v>
      </c>
      <c r="GQO16" t="s">
        <v>6984</v>
      </c>
      <c r="GQP16" t="s">
        <v>6984</v>
      </c>
      <c r="GQQ16" t="s">
        <v>6984</v>
      </c>
      <c r="GQR16" t="s">
        <v>6984</v>
      </c>
      <c r="GQS16" t="s">
        <v>6984</v>
      </c>
      <c r="GQT16" t="s">
        <v>6984</v>
      </c>
      <c r="GQU16" t="s">
        <v>6984</v>
      </c>
      <c r="GQV16" t="s">
        <v>6984</v>
      </c>
      <c r="GQW16" t="s">
        <v>6984</v>
      </c>
      <c r="GQX16" t="s">
        <v>6984</v>
      </c>
      <c r="GQY16" t="s">
        <v>6984</v>
      </c>
      <c r="GQZ16" t="s">
        <v>6984</v>
      </c>
      <c r="GRA16" t="s">
        <v>6984</v>
      </c>
      <c r="GRB16" t="s">
        <v>6984</v>
      </c>
      <c r="GRC16" t="s">
        <v>6984</v>
      </c>
      <c r="GRD16" t="s">
        <v>6984</v>
      </c>
      <c r="GRE16" t="s">
        <v>6984</v>
      </c>
      <c r="GRF16" t="s">
        <v>6984</v>
      </c>
      <c r="GRG16" t="s">
        <v>6984</v>
      </c>
      <c r="GRH16" t="s">
        <v>6984</v>
      </c>
      <c r="GRI16" t="s">
        <v>6984</v>
      </c>
      <c r="GRJ16" t="s">
        <v>6984</v>
      </c>
      <c r="GRK16" t="s">
        <v>6984</v>
      </c>
      <c r="GRL16" t="s">
        <v>6984</v>
      </c>
      <c r="GRM16" t="s">
        <v>6984</v>
      </c>
      <c r="GRN16" t="s">
        <v>6984</v>
      </c>
      <c r="GRO16" t="s">
        <v>6984</v>
      </c>
      <c r="GRP16" t="s">
        <v>6984</v>
      </c>
      <c r="GRQ16" t="s">
        <v>6984</v>
      </c>
      <c r="GRR16" t="s">
        <v>6984</v>
      </c>
      <c r="GRS16" t="s">
        <v>6984</v>
      </c>
      <c r="GRT16" t="s">
        <v>6984</v>
      </c>
      <c r="GRU16" t="s">
        <v>6984</v>
      </c>
      <c r="GRV16" t="s">
        <v>6984</v>
      </c>
      <c r="GRW16" t="s">
        <v>6984</v>
      </c>
      <c r="GRX16" t="s">
        <v>6984</v>
      </c>
      <c r="GRY16" t="s">
        <v>6984</v>
      </c>
      <c r="GRZ16" t="s">
        <v>6984</v>
      </c>
      <c r="GSA16" t="s">
        <v>6984</v>
      </c>
      <c r="GSB16" t="s">
        <v>6984</v>
      </c>
      <c r="GSC16" t="s">
        <v>6984</v>
      </c>
      <c r="GSD16" t="s">
        <v>6984</v>
      </c>
      <c r="GSE16" t="s">
        <v>6984</v>
      </c>
      <c r="GSF16" t="s">
        <v>6984</v>
      </c>
      <c r="GSG16" t="s">
        <v>6984</v>
      </c>
      <c r="GSH16" t="s">
        <v>6984</v>
      </c>
      <c r="GSI16" t="s">
        <v>6984</v>
      </c>
      <c r="GSJ16" t="s">
        <v>6984</v>
      </c>
      <c r="GSK16" t="s">
        <v>6984</v>
      </c>
      <c r="GSL16" t="s">
        <v>6984</v>
      </c>
      <c r="GSM16" t="s">
        <v>6984</v>
      </c>
      <c r="GSN16" t="s">
        <v>6984</v>
      </c>
      <c r="GSO16" t="s">
        <v>6984</v>
      </c>
      <c r="GSP16" t="s">
        <v>6984</v>
      </c>
      <c r="GSQ16" t="s">
        <v>6984</v>
      </c>
      <c r="GSR16" t="s">
        <v>6984</v>
      </c>
      <c r="GSS16" t="s">
        <v>6984</v>
      </c>
      <c r="GST16" t="s">
        <v>6984</v>
      </c>
      <c r="GSU16" t="s">
        <v>6984</v>
      </c>
      <c r="GSV16" t="s">
        <v>6984</v>
      </c>
      <c r="GSW16" t="s">
        <v>6984</v>
      </c>
      <c r="GSX16" t="s">
        <v>6984</v>
      </c>
      <c r="GSY16" t="s">
        <v>6984</v>
      </c>
      <c r="GSZ16" t="s">
        <v>6984</v>
      </c>
      <c r="GTA16" t="s">
        <v>6984</v>
      </c>
      <c r="GTB16" t="s">
        <v>6984</v>
      </c>
      <c r="GTC16" t="s">
        <v>6984</v>
      </c>
      <c r="GTD16" t="s">
        <v>6984</v>
      </c>
      <c r="GTE16" t="s">
        <v>6984</v>
      </c>
      <c r="GTF16" t="s">
        <v>6984</v>
      </c>
      <c r="GTG16" t="s">
        <v>6984</v>
      </c>
      <c r="GTH16" t="s">
        <v>6984</v>
      </c>
      <c r="GTI16" t="s">
        <v>6984</v>
      </c>
      <c r="GTJ16" t="s">
        <v>6984</v>
      </c>
      <c r="GTK16" t="s">
        <v>6984</v>
      </c>
      <c r="GTL16" t="s">
        <v>6984</v>
      </c>
      <c r="GTM16" t="s">
        <v>6984</v>
      </c>
      <c r="GTN16" t="s">
        <v>6984</v>
      </c>
      <c r="GTO16" t="s">
        <v>6984</v>
      </c>
      <c r="GTP16" t="s">
        <v>6984</v>
      </c>
      <c r="GTQ16" t="s">
        <v>6984</v>
      </c>
      <c r="GTR16" t="s">
        <v>6984</v>
      </c>
      <c r="GTS16" t="s">
        <v>6984</v>
      </c>
      <c r="GTT16" t="s">
        <v>6984</v>
      </c>
      <c r="GTU16" t="s">
        <v>6984</v>
      </c>
      <c r="GTV16" t="s">
        <v>6984</v>
      </c>
      <c r="GTW16" t="s">
        <v>6984</v>
      </c>
      <c r="GTX16" t="s">
        <v>6984</v>
      </c>
      <c r="GTY16" t="s">
        <v>6984</v>
      </c>
      <c r="GTZ16" t="s">
        <v>6984</v>
      </c>
      <c r="GUA16" t="s">
        <v>6984</v>
      </c>
      <c r="GUB16" t="s">
        <v>6984</v>
      </c>
      <c r="GUC16" t="s">
        <v>6984</v>
      </c>
      <c r="GUD16" t="s">
        <v>6984</v>
      </c>
      <c r="GUE16" t="s">
        <v>6984</v>
      </c>
      <c r="GUF16" t="s">
        <v>6984</v>
      </c>
      <c r="GUG16" t="s">
        <v>6984</v>
      </c>
      <c r="GUH16" t="s">
        <v>6984</v>
      </c>
      <c r="GUI16" t="s">
        <v>6984</v>
      </c>
      <c r="GUJ16" t="s">
        <v>6984</v>
      </c>
      <c r="GUK16" t="s">
        <v>6984</v>
      </c>
      <c r="GUL16" t="s">
        <v>6984</v>
      </c>
      <c r="GUM16" t="s">
        <v>6984</v>
      </c>
      <c r="GUN16" t="s">
        <v>6984</v>
      </c>
      <c r="GUO16" t="s">
        <v>6984</v>
      </c>
      <c r="GUP16" t="s">
        <v>6984</v>
      </c>
      <c r="GUQ16" t="s">
        <v>6984</v>
      </c>
      <c r="GUR16" t="s">
        <v>6984</v>
      </c>
      <c r="GUS16" t="s">
        <v>6984</v>
      </c>
      <c r="GUT16" t="s">
        <v>6984</v>
      </c>
      <c r="GUU16" t="s">
        <v>6984</v>
      </c>
      <c r="GUV16" t="s">
        <v>6984</v>
      </c>
      <c r="GUW16" t="s">
        <v>6984</v>
      </c>
      <c r="GUX16" t="s">
        <v>6984</v>
      </c>
      <c r="GUY16" t="s">
        <v>6984</v>
      </c>
      <c r="GUZ16" t="s">
        <v>6984</v>
      </c>
      <c r="GVA16" t="s">
        <v>6984</v>
      </c>
      <c r="GVB16" t="s">
        <v>6984</v>
      </c>
      <c r="GVC16" t="s">
        <v>6984</v>
      </c>
      <c r="GVD16" t="s">
        <v>6984</v>
      </c>
      <c r="GVE16" t="s">
        <v>6984</v>
      </c>
      <c r="GVF16" t="s">
        <v>6984</v>
      </c>
      <c r="GVG16" t="s">
        <v>6984</v>
      </c>
      <c r="GVH16" t="s">
        <v>6984</v>
      </c>
      <c r="GVI16" t="s">
        <v>6984</v>
      </c>
      <c r="GVJ16" t="s">
        <v>6984</v>
      </c>
      <c r="GVK16" t="s">
        <v>6984</v>
      </c>
      <c r="GVL16" t="s">
        <v>6984</v>
      </c>
      <c r="GVM16" t="s">
        <v>6984</v>
      </c>
      <c r="GVN16" t="s">
        <v>6984</v>
      </c>
      <c r="GVO16" t="s">
        <v>6984</v>
      </c>
      <c r="GVP16" t="s">
        <v>6984</v>
      </c>
      <c r="GVQ16" t="s">
        <v>6984</v>
      </c>
      <c r="GVR16" t="s">
        <v>6984</v>
      </c>
      <c r="GVS16" t="s">
        <v>6984</v>
      </c>
      <c r="GVT16" t="s">
        <v>6984</v>
      </c>
      <c r="GVU16" t="s">
        <v>6984</v>
      </c>
      <c r="GVV16" t="s">
        <v>6984</v>
      </c>
      <c r="GVW16" t="s">
        <v>6984</v>
      </c>
      <c r="GVX16" t="s">
        <v>6984</v>
      </c>
      <c r="GVY16" t="s">
        <v>6984</v>
      </c>
      <c r="GVZ16" t="s">
        <v>6984</v>
      </c>
      <c r="GWA16" t="s">
        <v>6984</v>
      </c>
      <c r="GWB16" t="s">
        <v>6984</v>
      </c>
      <c r="GWC16" t="s">
        <v>6984</v>
      </c>
      <c r="GWD16" t="s">
        <v>6984</v>
      </c>
      <c r="GWE16" t="s">
        <v>6984</v>
      </c>
      <c r="GWF16" t="s">
        <v>6984</v>
      </c>
      <c r="GWG16" t="s">
        <v>6984</v>
      </c>
      <c r="GWH16" t="s">
        <v>6984</v>
      </c>
      <c r="GWI16" t="s">
        <v>6984</v>
      </c>
      <c r="GWJ16" t="s">
        <v>6984</v>
      </c>
      <c r="GWK16" t="s">
        <v>6984</v>
      </c>
      <c r="GWL16" t="s">
        <v>6984</v>
      </c>
      <c r="GWM16" t="s">
        <v>6984</v>
      </c>
      <c r="GWN16" t="s">
        <v>6984</v>
      </c>
      <c r="GWO16" t="s">
        <v>6984</v>
      </c>
      <c r="GWP16" t="s">
        <v>6984</v>
      </c>
      <c r="GWQ16" t="s">
        <v>6984</v>
      </c>
      <c r="GWR16" t="s">
        <v>6984</v>
      </c>
      <c r="GWS16" t="s">
        <v>6984</v>
      </c>
      <c r="GWT16" t="s">
        <v>6984</v>
      </c>
      <c r="GWU16" t="s">
        <v>6984</v>
      </c>
      <c r="GWV16" t="s">
        <v>6984</v>
      </c>
      <c r="GWW16" t="s">
        <v>6984</v>
      </c>
      <c r="GWX16" t="s">
        <v>6984</v>
      </c>
      <c r="GWY16" t="s">
        <v>6984</v>
      </c>
      <c r="GWZ16" t="s">
        <v>6984</v>
      </c>
      <c r="GXA16" t="s">
        <v>6984</v>
      </c>
      <c r="GXB16" t="s">
        <v>6984</v>
      </c>
      <c r="GXC16" t="s">
        <v>6984</v>
      </c>
      <c r="GXD16" t="s">
        <v>6984</v>
      </c>
      <c r="GXE16" t="s">
        <v>6984</v>
      </c>
      <c r="GXF16" t="s">
        <v>6984</v>
      </c>
      <c r="GXG16" t="s">
        <v>6984</v>
      </c>
      <c r="GXH16" t="s">
        <v>6984</v>
      </c>
      <c r="GXI16" t="s">
        <v>6984</v>
      </c>
      <c r="GXJ16" t="s">
        <v>6984</v>
      </c>
      <c r="GXK16" t="s">
        <v>6984</v>
      </c>
      <c r="GXL16" t="s">
        <v>6984</v>
      </c>
      <c r="GXM16" t="s">
        <v>6984</v>
      </c>
      <c r="GXN16" t="s">
        <v>6984</v>
      </c>
      <c r="GXO16" t="s">
        <v>6984</v>
      </c>
      <c r="GXP16" t="s">
        <v>6984</v>
      </c>
      <c r="GXQ16" t="s">
        <v>6984</v>
      </c>
      <c r="GXR16" t="s">
        <v>6984</v>
      </c>
      <c r="GXS16" t="s">
        <v>6984</v>
      </c>
      <c r="GXT16" t="s">
        <v>6984</v>
      </c>
      <c r="GXU16" t="s">
        <v>6984</v>
      </c>
      <c r="GXV16" t="s">
        <v>6984</v>
      </c>
      <c r="GXW16" t="s">
        <v>6984</v>
      </c>
      <c r="GXX16" t="s">
        <v>6984</v>
      </c>
      <c r="GXY16" t="s">
        <v>6984</v>
      </c>
      <c r="GXZ16" t="s">
        <v>6984</v>
      </c>
      <c r="GYA16" t="s">
        <v>6984</v>
      </c>
      <c r="GYB16" t="s">
        <v>6984</v>
      </c>
      <c r="GYC16" t="s">
        <v>6984</v>
      </c>
      <c r="GYD16" t="s">
        <v>6984</v>
      </c>
      <c r="GYE16" t="s">
        <v>6984</v>
      </c>
      <c r="GYF16" t="s">
        <v>6984</v>
      </c>
      <c r="GYG16" t="s">
        <v>6984</v>
      </c>
      <c r="GYH16" t="s">
        <v>6984</v>
      </c>
      <c r="GYI16" t="s">
        <v>6984</v>
      </c>
      <c r="GYJ16" t="s">
        <v>6984</v>
      </c>
      <c r="GYK16" t="s">
        <v>6984</v>
      </c>
      <c r="GYL16" t="s">
        <v>6984</v>
      </c>
      <c r="GYM16" t="s">
        <v>6984</v>
      </c>
      <c r="GYN16" t="s">
        <v>6984</v>
      </c>
      <c r="GYO16" t="s">
        <v>6984</v>
      </c>
      <c r="GYP16" t="s">
        <v>6984</v>
      </c>
      <c r="GYQ16" t="s">
        <v>6984</v>
      </c>
      <c r="GYR16" t="s">
        <v>6984</v>
      </c>
      <c r="GYS16" t="s">
        <v>6984</v>
      </c>
      <c r="GYT16" t="s">
        <v>6984</v>
      </c>
      <c r="GYU16" t="s">
        <v>6984</v>
      </c>
      <c r="GYV16" t="s">
        <v>6984</v>
      </c>
      <c r="GYW16" t="s">
        <v>6984</v>
      </c>
      <c r="GYX16" t="s">
        <v>6984</v>
      </c>
      <c r="GYY16" t="s">
        <v>6984</v>
      </c>
      <c r="GYZ16" t="s">
        <v>6984</v>
      </c>
      <c r="GZA16" t="s">
        <v>6984</v>
      </c>
      <c r="GZB16" t="s">
        <v>6984</v>
      </c>
      <c r="GZC16" t="s">
        <v>6984</v>
      </c>
      <c r="GZD16" t="s">
        <v>6984</v>
      </c>
      <c r="GZE16" t="s">
        <v>6984</v>
      </c>
      <c r="GZF16" t="s">
        <v>6984</v>
      </c>
      <c r="GZG16" t="s">
        <v>6984</v>
      </c>
      <c r="GZH16" t="s">
        <v>6984</v>
      </c>
      <c r="GZI16" t="s">
        <v>6984</v>
      </c>
      <c r="GZJ16" t="s">
        <v>6984</v>
      </c>
      <c r="GZK16" t="s">
        <v>6984</v>
      </c>
      <c r="GZL16" t="s">
        <v>6984</v>
      </c>
      <c r="GZM16" t="s">
        <v>6984</v>
      </c>
      <c r="GZN16" t="s">
        <v>6984</v>
      </c>
      <c r="GZO16" t="s">
        <v>6984</v>
      </c>
      <c r="GZP16" t="s">
        <v>6984</v>
      </c>
      <c r="GZQ16" t="s">
        <v>6984</v>
      </c>
      <c r="GZR16" t="s">
        <v>6984</v>
      </c>
      <c r="GZS16" t="s">
        <v>6984</v>
      </c>
      <c r="GZT16" t="s">
        <v>6984</v>
      </c>
      <c r="GZU16" t="s">
        <v>6984</v>
      </c>
      <c r="GZV16" t="s">
        <v>6984</v>
      </c>
      <c r="GZW16" t="s">
        <v>6984</v>
      </c>
      <c r="GZX16" t="s">
        <v>6984</v>
      </c>
      <c r="GZY16" t="s">
        <v>6984</v>
      </c>
      <c r="GZZ16" t="s">
        <v>6984</v>
      </c>
      <c r="HAA16" t="s">
        <v>6984</v>
      </c>
      <c r="HAB16" t="s">
        <v>6984</v>
      </c>
      <c r="HAC16" t="s">
        <v>6984</v>
      </c>
      <c r="HAD16" t="s">
        <v>6984</v>
      </c>
      <c r="HAE16" t="s">
        <v>6984</v>
      </c>
      <c r="HAF16" t="s">
        <v>6984</v>
      </c>
      <c r="HAG16" t="s">
        <v>6984</v>
      </c>
      <c r="HAH16" t="s">
        <v>6984</v>
      </c>
      <c r="HAI16" t="s">
        <v>6984</v>
      </c>
      <c r="HAJ16" t="s">
        <v>6984</v>
      </c>
      <c r="HAK16" t="s">
        <v>6984</v>
      </c>
      <c r="HAL16" t="s">
        <v>6984</v>
      </c>
      <c r="HAM16" t="s">
        <v>6984</v>
      </c>
      <c r="HAN16" t="s">
        <v>6984</v>
      </c>
      <c r="HAO16" t="s">
        <v>6984</v>
      </c>
      <c r="HAP16" t="s">
        <v>6984</v>
      </c>
      <c r="HAQ16" t="s">
        <v>6984</v>
      </c>
      <c r="HAR16" t="s">
        <v>6984</v>
      </c>
      <c r="HAS16" t="s">
        <v>6984</v>
      </c>
      <c r="HAT16" t="s">
        <v>6984</v>
      </c>
      <c r="HAU16" t="s">
        <v>6984</v>
      </c>
      <c r="HAV16" t="s">
        <v>6984</v>
      </c>
      <c r="HAW16" t="s">
        <v>6984</v>
      </c>
      <c r="HAX16" t="s">
        <v>6984</v>
      </c>
      <c r="HAY16" t="s">
        <v>6984</v>
      </c>
      <c r="HAZ16" t="s">
        <v>6984</v>
      </c>
      <c r="HBA16" t="s">
        <v>6984</v>
      </c>
      <c r="HBB16" t="s">
        <v>6984</v>
      </c>
      <c r="HBC16" t="s">
        <v>6984</v>
      </c>
      <c r="HBD16" t="s">
        <v>6984</v>
      </c>
      <c r="HBE16" t="s">
        <v>6984</v>
      </c>
      <c r="HBF16" t="s">
        <v>6984</v>
      </c>
      <c r="HBG16" t="s">
        <v>6984</v>
      </c>
      <c r="HBH16" t="s">
        <v>6984</v>
      </c>
      <c r="HBI16" t="s">
        <v>6984</v>
      </c>
      <c r="HBJ16" t="s">
        <v>6984</v>
      </c>
      <c r="HBK16" t="s">
        <v>6984</v>
      </c>
      <c r="HBL16" t="s">
        <v>6984</v>
      </c>
      <c r="HBM16" t="s">
        <v>6984</v>
      </c>
      <c r="HBN16" t="s">
        <v>6984</v>
      </c>
      <c r="HBO16" t="s">
        <v>6984</v>
      </c>
      <c r="HBP16" t="s">
        <v>6984</v>
      </c>
      <c r="HBQ16" t="s">
        <v>6984</v>
      </c>
      <c r="HBR16" t="s">
        <v>6984</v>
      </c>
      <c r="HBS16" t="s">
        <v>6984</v>
      </c>
      <c r="HBT16" t="s">
        <v>6984</v>
      </c>
      <c r="HBU16" t="s">
        <v>6984</v>
      </c>
      <c r="HBV16" t="s">
        <v>6984</v>
      </c>
      <c r="HBW16" t="s">
        <v>6984</v>
      </c>
      <c r="HBX16" t="s">
        <v>6984</v>
      </c>
      <c r="HBY16" t="s">
        <v>6984</v>
      </c>
      <c r="HBZ16" t="s">
        <v>6984</v>
      </c>
      <c r="HCA16" t="s">
        <v>6984</v>
      </c>
      <c r="HCB16" t="s">
        <v>6984</v>
      </c>
      <c r="HCC16" t="s">
        <v>6984</v>
      </c>
      <c r="HCD16" t="s">
        <v>6984</v>
      </c>
      <c r="HCE16" t="s">
        <v>6984</v>
      </c>
      <c r="HCF16" t="s">
        <v>6984</v>
      </c>
      <c r="HCG16" t="s">
        <v>6984</v>
      </c>
      <c r="HCH16" t="s">
        <v>6984</v>
      </c>
      <c r="HCI16" t="s">
        <v>6984</v>
      </c>
      <c r="HCJ16" t="s">
        <v>6984</v>
      </c>
      <c r="HCK16" t="s">
        <v>6984</v>
      </c>
      <c r="HCL16" t="s">
        <v>6984</v>
      </c>
      <c r="HCM16" t="s">
        <v>6984</v>
      </c>
      <c r="HCN16" t="s">
        <v>6984</v>
      </c>
      <c r="HCO16" t="s">
        <v>6984</v>
      </c>
      <c r="HCP16" t="s">
        <v>6984</v>
      </c>
      <c r="HCQ16" t="s">
        <v>6984</v>
      </c>
      <c r="HCR16" t="s">
        <v>6984</v>
      </c>
      <c r="HCS16" t="s">
        <v>6984</v>
      </c>
      <c r="HCT16" t="s">
        <v>6984</v>
      </c>
      <c r="HCU16" t="s">
        <v>6984</v>
      </c>
      <c r="HCV16" t="s">
        <v>6984</v>
      </c>
      <c r="HCW16" t="s">
        <v>6984</v>
      </c>
      <c r="HCX16" t="s">
        <v>6984</v>
      </c>
      <c r="HCY16" t="s">
        <v>6984</v>
      </c>
      <c r="HCZ16" t="s">
        <v>6984</v>
      </c>
      <c r="HDA16" t="s">
        <v>6984</v>
      </c>
      <c r="HDB16" t="s">
        <v>6984</v>
      </c>
      <c r="HDC16" t="s">
        <v>6984</v>
      </c>
      <c r="HDD16" t="s">
        <v>6984</v>
      </c>
      <c r="HDE16" t="s">
        <v>6984</v>
      </c>
      <c r="HDF16" t="s">
        <v>6984</v>
      </c>
      <c r="HDG16" t="s">
        <v>6984</v>
      </c>
      <c r="HDH16" t="s">
        <v>6984</v>
      </c>
      <c r="HDI16" t="s">
        <v>6984</v>
      </c>
      <c r="HDJ16" t="s">
        <v>6984</v>
      </c>
      <c r="HDK16" t="s">
        <v>6984</v>
      </c>
      <c r="HDL16" t="s">
        <v>6984</v>
      </c>
      <c r="HDM16" t="s">
        <v>6984</v>
      </c>
      <c r="HDN16" t="s">
        <v>6984</v>
      </c>
      <c r="HDO16" t="s">
        <v>6984</v>
      </c>
      <c r="HDP16" t="s">
        <v>6984</v>
      </c>
      <c r="HDQ16" t="s">
        <v>6984</v>
      </c>
      <c r="HDR16" t="s">
        <v>6984</v>
      </c>
      <c r="HDS16" t="s">
        <v>6984</v>
      </c>
      <c r="HDT16" t="s">
        <v>6984</v>
      </c>
      <c r="HDU16" t="s">
        <v>6984</v>
      </c>
      <c r="HDV16" t="s">
        <v>6984</v>
      </c>
      <c r="HDW16" t="s">
        <v>6984</v>
      </c>
      <c r="HDX16" t="s">
        <v>6984</v>
      </c>
      <c r="HDY16" t="s">
        <v>6984</v>
      </c>
      <c r="HDZ16" t="s">
        <v>6984</v>
      </c>
      <c r="HEA16" t="s">
        <v>6984</v>
      </c>
      <c r="HEB16" t="s">
        <v>6984</v>
      </c>
      <c r="HEC16" t="s">
        <v>6984</v>
      </c>
      <c r="HED16" t="s">
        <v>6984</v>
      </c>
      <c r="HEE16" t="s">
        <v>6984</v>
      </c>
      <c r="HEF16" t="s">
        <v>6984</v>
      </c>
      <c r="HEG16" t="s">
        <v>6984</v>
      </c>
      <c r="HEH16" t="s">
        <v>6984</v>
      </c>
      <c r="HEI16" t="s">
        <v>6984</v>
      </c>
      <c r="HEJ16" t="s">
        <v>6984</v>
      </c>
      <c r="HEK16" t="s">
        <v>6984</v>
      </c>
      <c r="HEL16" t="s">
        <v>6984</v>
      </c>
      <c r="HEM16" t="s">
        <v>6984</v>
      </c>
      <c r="HEN16" t="s">
        <v>6984</v>
      </c>
      <c r="HEO16" t="s">
        <v>6984</v>
      </c>
      <c r="HEP16" t="s">
        <v>6984</v>
      </c>
      <c r="HEQ16" t="s">
        <v>6984</v>
      </c>
      <c r="HER16" t="s">
        <v>6984</v>
      </c>
      <c r="HES16" t="s">
        <v>6984</v>
      </c>
      <c r="HET16" t="s">
        <v>6984</v>
      </c>
      <c r="HEU16" t="s">
        <v>6984</v>
      </c>
      <c r="HEV16" t="s">
        <v>6984</v>
      </c>
      <c r="HEW16" t="s">
        <v>6984</v>
      </c>
      <c r="HEX16" t="s">
        <v>6984</v>
      </c>
      <c r="HEY16" t="s">
        <v>6984</v>
      </c>
      <c r="HEZ16" t="s">
        <v>6984</v>
      </c>
      <c r="HFA16" t="s">
        <v>6984</v>
      </c>
      <c r="HFB16" t="s">
        <v>6984</v>
      </c>
      <c r="HFC16" t="s">
        <v>6984</v>
      </c>
      <c r="HFD16" t="s">
        <v>6984</v>
      </c>
      <c r="HFE16" t="s">
        <v>6984</v>
      </c>
      <c r="HFF16" t="s">
        <v>6984</v>
      </c>
      <c r="HFG16" t="s">
        <v>6984</v>
      </c>
      <c r="HFH16" t="s">
        <v>6984</v>
      </c>
      <c r="HFI16" t="s">
        <v>6984</v>
      </c>
      <c r="HFJ16" t="s">
        <v>6984</v>
      </c>
      <c r="HFK16" t="s">
        <v>6984</v>
      </c>
      <c r="HFL16" t="s">
        <v>6984</v>
      </c>
      <c r="HFM16" t="s">
        <v>6984</v>
      </c>
      <c r="HFN16" t="s">
        <v>6984</v>
      </c>
      <c r="HFO16" t="s">
        <v>6984</v>
      </c>
      <c r="HFP16" t="s">
        <v>6984</v>
      </c>
      <c r="HFQ16" t="s">
        <v>6984</v>
      </c>
      <c r="HFR16" t="s">
        <v>6984</v>
      </c>
      <c r="HFS16" t="s">
        <v>6984</v>
      </c>
      <c r="HFT16" t="s">
        <v>6984</v>
      </c>
      <c r="HFU16" t="s">
        <v>6984</v>
      </c>
      <c r="HFV16" t="s">
        <v>6984</v>
      </c>
      <c r="HFW16" t="s">
        <v>6984</v>
      </c>
      <c r="HFX16" t="s">
        <v>6984</v>
      </c>
      <c r="HFY16" t="s">
        <v>6984</v>
      </c>
      <c r="HFZ16" t="s">
        <v>6984</v>
      </c>
      <c r="HGA16" t="s">
        <v>6984</v>
      </c>
      <c r="HGB16" t="s">
        <v>6984</v>
      </c>
      <c r="HGC16" t="s">
        <v>6984</v>
      </c>
      <c r="HGD16" t="s">
        <v>6984</v>
      </c>
      <c r="HGE16" t="s">
        <v>6984</v>
      </c>
      <c r="HGF16" t="s">
        <v>6984</v>
      </c>
      <c r="HGG16" t="s">
        <v>6984</v>
      </c>
      <c r="HGH16" t="s">
        <v>6984</v>
      </c>
      <c r="HGI16" t="s">
        <v>6984</v>
      </c>
      <c r="HGJ16" t="s">
        <v>6984</v>
      </c>
      <c r="HGK16" t="s">
        <v>6984</v>
      </c>
      <c r="HGL16" t="s">
        <v>6984</v>
      </c>
      <c r="HGM16" t="s">
        <v>6984</v>
      </c>
      <c r="HGN16" t="s">
        <v>6984</v>
      </c>
      <c r="HGO16" t="s">
        <v>6984</v>
      </c>
      <c r="HGP16" t="s">
        <v>6984</v>
      </c>
      <c r="HGQ16" t="s">
        <v>6984</v>
      </c>
      <c r="HGR16" t="s">
        <v>6984</v>
      </c>
      <c r="HGS16" t="s">
        <v>6984</v>
      </c>
      <c r="HGT16" t="s">
        <v>6984</v>
      </c>
      <c r="HGU16" t="s">
        <v>6984</v>
      </c>
      <c r="HGV16" t="s">
        <v>6984</v>
      </c>
      <c r="HGW16" t="s">
        <v>6984</v>
      </c>
      <c r="HGX16" t="s">
        <v>6984</v>
      </c>
      <c r="HGY16" t="s">
        <v>6984</v>
      </c>
      <c r="HGZ16" t="s">
        <v>6984</v>
      </c>
      <c r="HHA16" t="s">
        <v>6984</v>
      </c>
      <c r="HHB16" t="s">
        <v>6984</v>
      </c>
      <c r="HHC16" t="s">
        <v>6984</v>
      </c>
      <c r="HHD16" t="s">
        <v>6984</v>
      </c>
      <c r="HHE16" t="s">
        <v>6984</v>
      </c>
      <c r="HHF16" t="s">
        <v>6984</v>
      </c>
      <c r="HHG16" t="s">
        <v>6984</v>
      </c>
      <c r="HHH16" t="s">
        <v>6984</v>
      </c>
      <c r="HHI16" t="s">
        <v>6984</v>
      </c>
      <c r="HHJ16" t="s">
        <v>6984</v>
      </c>
      <c r="HHK16" t="s">
        <v>6984</v>
      </c>
      <c r="HHL16" t="s">
        <v>6984</v>
      </c>
      <c r="HHM16" t="s">
        <v>6984</v>
      </c>
      <c r="HHN16" t="s">
        <v>6984</v>
      </c>
      <c r="HHO16" t="s">
        <v>6984</v>
      </c>
      <c r="HHP16" t="s">
        <v>6984</v>
      </c>
      <c r="HHQ16" t="s">
        <v>6984</v>
      </c>
      <c r="HHR16" t="s">
        <v>6984</v>
      </c>
      <c r="HHS16" t="s">
        <v>6984</v>
      </c>
      <c r="HHT16" t="s">
        <v>6984</v>
      </c>
      <c r="HHU16" t="s">
        <v>6984</v>
      </c>
      <c r="HHV16" t="s">
        <v>6984</v>
      </c>
      <c r="HHW16" t="s">
        <v>6984</v>
      </c>
      <c r="HHX16" t="s">
        <v>6984</v>
      </c>
      <c r="HHY16" t="s">
        <v>6984</v>
      </c>
      <c r="HHZ16" t="s">
        <v>6984</v>
      </c>
      <c r="HIA16" t="s">
        <v>6984</v>
      </c>
      <c r="HIB16" t="s">
        <v>6984</v>
      </c>
      <c r="HIC16" t="s">
        <v>6984</v>
      </c>
      <c r="HID16" t="s">
        <v>6984</v>
      </c>
      <c r="HIE16" t="s">
        <v>6984</v>
      </c>
      <c r="HIF16" t="s">
        <v>6984</v>
      </c>
      <c r="HIG16" t="s">
        <v>6984</v>
      </c>
      <c r="HIH16" t="s">
        <v>6984</v>
      </c>
      <c r="HII16" t="s">
        <v>6984</v>
      </c>
      <c r="HIJ16" t="s">
        <v>6984</v>
      </c>
      <c r="HIK16" t="s">
        <v>6984</v>
      </c>
      <c r="HIL16" t="s">
        <v>6984</v>
      </c>
      <c r="HIM16" t="s">
        <v>6984</v>
      </c>
      <c r="HIN16" t="s">
        <v>6984</v>
      </c>
      <c r="HIO16" t="s">
        <v>6984</v>
      </c>
      <c r="HIP16" t="s">
        <v>6984</v>
      </c>
      <c r="HIQ16" t="s">
        <v>6984</v>
      </c>
      <c r="HIR16" t="s">
        <v>6984</v>
      </c>
      <c r="HIS16" t="s">
        <v>6984</v>
      </c>
      <c r="HIT16" t="s">
        <v>6984</v>
      </c>
      <c r="HIU16" t="s">
        <v>6984</v>
      </c>
      <c r="HIV16" t="s">
        <v>6984</v>
      </c>
      <c r="HIW16" t="s">
        <v>6984</v>
      </c>
      <c r="HIX16" t="s">
        <v>6984</v>
      </c>
      <c r="HIY16" t="s">
        <v>6984</v>
      </c>
      <c r="HIZ16" t="s">
        <v>6984</v>
      </c>
      <c r="HJA16" t="s">
        <v>6984</v>
      </c>
      <c r="HJB16" t="s">
        <v>6984</v>
      </c>
      <c r="HJC16" t="s">
        <v>6984</v>
      </c>
      <c r="HJD16" t="s">
        <v>6984</v>
      </c>
      <c r="HJE16" t="s">
        <v>6984</v>
      </c>
      <c r="HJF16" t="s">
        <v>6984</v>
      </c>
      <c r="HJG16" t="s">
        <v>6984</v>
      </c>
      <c r="HJH16" t="s">
        <v>6984</v>
      </c>
      <c r="HJI16" t="s">
        <v>6984</v>
      </c>
      <c r="HJJ16" t="s">
        <v>6984</v>
      </c>
      <c r="HJK16" t="s">
        <v>6984</v>
      </c>
      <c r="HJL16" t="s">
        <v>6984</v>
      </c>
      <c r="HJM16" t="s">
        <v>6984</v>
      </c>
      <c r="HJN16" t="s">
        <v>6984</v>
      </c>
      <c r="HJO16" t="s">
        <v>6984</v>
      </c>
      <c r="HJP16" t="s">
        <v>6984</v>
      </c>
      <c r="HJQ16" t="s">
        <v>6984</v>
      </c>
      <c r="HJR16" t="s">
        <v>6984</v>
      </c>
      <c r="HJS16" t="s">
        <v>6984</v>
      </c>
      <c r="HJT16" t="s">
        <v>6984</v>
      </c>
      <c r="HJU16" t="s">
        <v>6984</v>
      </c>
      <c r="HJV16" t="s">
        <v>6984</v>
      </c>
      <c r="HJW16" t="s">
        <v>6984</v>
      </c>
      <c r="HJX16" t="s">
        <v>6984</v>
      </c>
      <c r="HJY16" t="s">
        <v>6984</v>
      </c>
      <c r="HJZ16" t="s">
        <v>6984</v>
      </c>
      <c r="HKA16" t="s">
        <v>6984</v>
      </c>
      <c r="HKB16" t="s">
        <v>6984</v>
      </c>
      <c r="HKC16" t="s">
        <v>6984</v>
      </c>
      <c r="HKD16" t="s">
        <v>6984</v>
      </c>
      <c r="HKE16" t="s">
        <v>6984</v>
      </c>
      <c r="HKF16" t="s">
        <v>6984</v>
      </c>
      <c r="HKG16" t="s">
        <v>6984</v>
      </c>
      <c r="HKH16" t="s">
        <v>6984</v>
      </c>
      <c r="HKI16" t="s">
        <v>6984</v>
      </c>
      <c r="HKJ16" t="s">
        <v>6984</v>
      </c>
      <c r="HKK16" t="s">
        <v>6984</v>
      </c>
      <c r="HKL16" t="s">
        <v>6984</v>
      </c>
      <c r="HKM16" t="s">
        <v>6984</v>
      </c>
      <c r="HKN16" t="s">
        <v>6984</v>
      </c>
      <c r="HKO16" t="s">
        <v>6984</v>
      </c>
      <c r="HKP16" t="s">
        <v>6984</v>
      </c>
      <c r="HKQ16" t="s">
        <v>6984</v>
      </c>
      <c r="HKR16" t="s">
        <v>6984</v>
      </c>
      <c r="HKS16" t="s">
        <v>6984</v>
      </c>
      <c r="HKT16" t="s">
        <v>6984</v>
      </c>
      <c r="HKU16" t="s">
        <v>6984</v>
      </c>
      <c r="HKV16" t="s">
        <v>6984</v>
      </c>
      <c r="HKW16" t="s">
        <v>6984</v>
      </c>
      <c r="HKX16" t="s">
        <v>6984</v>
      </c>
      <c r="HKY16" t="s">
        <v>6984</v>
      </c>
      <c r="HKZ16" t="s">
        <v>6984</v>
      </c>
      <c r="HLA16" t="s">
        <v>6984</v>
      </c>
      <c r="HLB16" t="s">
        <v>6984</v>
      </c>
      <c r="HLC16" t="s">
        <v>6984</v>
      </c>
      <c r="HLD16" t="s">
        <v>6984</v>
      </c>
      <c r="HLE16" t="s">
        <v>6984</v>
      </c>
      <c r="HLF16" t="s">
        <v>6984</v>
      </c>
      <c r="HLG16" t="s">
        <v>6984</v>
      </c>
      <c r="HLH16" t="s">
        <v>6984</v>
      </c>
      <c r="HLI16" t="s">
        <v>6984</v>
      </c>
      <c r="HLJ16" t="s">
        <v>6984</v>
      </c>
      <c r="HLK16" t="s">
        <v>6984</v>
      </c>
      <c r="HLL16" t="s">
        <v>6984</v>
      </c>
      <c r="HLM16" t="s">
        <v>6984</v>
      </c>
      <c r="HLN16" t="s">
        <v>6984</v>
      </c>
      <c r="HLO16" t="s">
        <v>6984</v>
      </c>
      <c r="HLP16" t="s">
        <v>6984</v>
      </c>
      <c r="HLQ16" t="s">
        <v>6984</v>
      </c>
      <c r="HLR16" t="s">
        <v>6984</v>
      </c>
      <c r="HLS16" t="s">
        <v>6984</v>
      </c>
      <c r="HLT16" t="s">
        <v>6984</v>
      </c>
      <c r="HLU16" t="s">
        <v>6984</v>
      </c>
      <c r="HLV16" t="s">
        <v>6984</v>
      </c>
      <c r="HLW16" t="s">
        <v>6984</v>
      </c>
      <c r="HLX16" t="s">
        <v>6984</v>
      </c>
      <c r="HLY16" t="s">
        <v>6984</v>
      </c>
      <c r="HLZ16" t="s">
        <v>6984</v>
      </c>
      <c r="HMA16" t="s">
        <v>6984</v>
      </c>
      <c r="HMB16" t="s">
        <v>6984</v>
      </c>
      <c r="HMC16" t="s">
        <v>6984</v>
      </c>
      <c r="HMD16" t="s">
        <v>6984</v>
      </c>
      <c r="HME16" t="s">
        <v>6984</v>
      </c>
      <c r="HMF16" t="s">
        <v>6984</v>
      </c>
      <c r="HMG16" t="s">
        <v>6984</v>
      </c>
      <c r="HMH16" t="s">
        <v>6984</v>
      </c>
      <c r="HMI16" t="s">
        <v>6984</v>
      </c>
      <c r="HMJ16" t="s">
        <v>6984</v>
      </c>
      <c r="HMK16" t="s">
        <v>6984</v>
      </c>
      <c r="HML16" t="s">
        <v>6984</v>
      </c>
      <c r="HMM16" t="s">
        <v>6984</v>
      </c>
      <c r="HMN16" t="s">
        <v>6984</v>
      </c>
      <c r="HMO16" t="s">
        <v>6984</v>
      </c>
      <c r="HMP16" t="s">
        <v>6984</v>
      </c>
      <c r="HMQ16" t="s">
        <v>6984</v>
      </c>
      <c r="HMR16" t="s">
        <v>6984</v>
      </c>
      <c r="HMS16" t="s">
        <v>6984</v>
      </c>
      <c r="HMT16" t="s">
        <v>6984</v>
      </c>
      <c r="HMU16" t="s">
        <v>6984</v>
      </c>
      <c r="HMV16" t="s">
        <v>6984</v>
      </c>
      <c r="HMW16" t="s">
        <v>6984</v>
      </c>
      <c r="HMX16" t="s">
        <v>6984</v>
      </c>
      <c r="HMY16" t="s">
        <v>6984</v>
      </c>
      <c r="HMZ16" t="s">
        <v>6984</v>
      </c>
      <c r="HNA16" t="s">
        <v>6984</v>
      </c>
      <c r="HNB16" t="s">
        <v>6984</v>
      </c>
      <c r="HNC16" t="s">
        <v>6984</v>
      </c>
      <c r="HND16" t="s">
        <v>6984</v>
      </c>
      <c r="HNE16" t="s">
        <v>6984</v>
      </c>
      <c r="HNF16" t="s">
        <v>6984</v>
      </c>
      <c r="HNG16" t="s">
        <v>6984</v>
      </c>
      <c r="HNH16" t="s">
        <v>6984</v>
      </c>
      <c r="HNI16" t="s">
        <v>6984</v>
      </c>
      <c r="HNJ16" t="s">
        <v>6984</v>
      </c>
      <c r="HNK16" t="s">
        <v>6984</v>
      </c>
      <c r="HNL16" t="s">
        <v>6984</v>
      </c>
      <c r="HNM16" t="s">
        <v>6984</v>
      </c>
      <c r="HNN16" t="s">
        <v>6984</v>
      </c>
      <c r="HNO16" t="s">
        <v>6984</v>
      </c>
      <c r="HNP16" t="s">
        <v>6984</v>
      </c>
      <c r="HNQ16" t="s">
        <v>6984</v>
      </c>
      <c r="HNR16" t="s">
        <v>6984</v>
      </c>
      <c r="HNS16" t="s">
        <v>6984</v>
      </c>
      <c r="HNT16" t="s">
        <v>6984</v>
      </c>
      <c r="HNU16" t="s">
        <v>6984</v>
      </c>
      <c r="HNV16" t="s">
        <v>6984</v>
      </c>
      <c r="HNW16" t="s">
        <v>6984</v>
      </c>
      <c r="HNX16" t="s">
        <v>6984</v>
      </c>
      <c r="HNY16" t="s">
        <v>6984</v>
      </c>
      <c r="HNZ16" t="s">
        <v>6984</v>
      </c>
      <c r="HOA16" t="s">
        <v>6984</v>
      </c>
      <c r="HOB16" t="s">
        <v>6984</v>
      </c>
      <c r="HOC16" t="s">
        <v>6984</v>
      </c>
      <c r="HOD16" t="s">
        <v>6984</v>
      </c>
      <c r="HOE16" t="s">
        <v>6984</v>
      </c>
      <c r="HOF16" t="s">
        <v>6984</v>
      </c>
      <c r="HOG16" t="s">
        <v>6984</v>
      </c>
      <c r="HOH16" t="s">
        <v>6984</v>
      </c>
      <c r="HOI16" t="s">
        <v>6984</v>
      </c>
      <c r="HOJ16" t="s">
        <v>6984</v>
      </c>
      <c r="HOK16" t="s">
        <v>6984</v>
      </c>
      <c r="HOL16" t="s">
        <v>6984</v>
      </c>
      <c r="HOM16" t="s">
        <v>6984</v>
      </c>
      <c r="HON16" t="s">
        <v>6984</v>
      </c>
      <c r="HOO16" t="s">
        <v>6984</v>
      </c>
      <c r="HOP16" t="s">
        <v>6984</v>
      </c>
      <c r="HOQ16" t="s">
        <v>6984</v>
      </c>
      <c r="HOR16" t="s">
        <v>6984</v>
      </c>
      <c r="HOS16" t="s">
        <v>6984</v>
      </c>
      <c r="HOT16" t="s">
        <v>6984</v>
      </c>
      <c r="HOU16" t="s">
        <v>6984</v>
      </c>
      <c r="HOV16" t="s">
        <v>6984</v>
      </c>
      <c r="HOW16" t="s">
        <v>6984</v>
      </c>
      <c r="HOX16" t="s">
        <v>6984</v>
      </c>
      <c r="HOY16" t="s">
        <v>6984</v>
      </c>
      <c r="HOZ16" t="s">
        <v>6984</v>
      </c>
      <c r="HPA16" t="s">
        <v>6984</v>
      </c>
      <c r="HPB16" t="s">
        <v>6984</v>
      </c>
      <c r="HPC16" t="s">
        <v>6984</v>
      </c>
      <c r="HPD16" t="s">
        <v>6984</v>
      </c>
      <c r="HPE16" t="s">
        <v>6984</v>
      </c>
      <c r="HPF16" t="s">
        <v>6984</v>
      </c>
      <c r="HPG16" t="s">
        <v>6984</v>
      </c>
      <c r="HPH16" t="s">
        <v>6984</v>
      </c>
      <c r="HPI16" t="s">
        <v>6984</v>
      </c>
      <c r="HPJ16" t="s">
        <v>6984</v>
      </c>
      <c r="HPK16" t="s">
        <v>6984</v>
      </c>
      <c r="HPL16" t="s">
        <v>6984</v>
      </c>
      <c r="HPM16" t="s">
        <v>6984</v>
      </c>
      <c r="HPN16" t="s">
        <v>6984</v>
      </c>
      <c r="HPO16" t="s">
        <v>6984</v>
      </c>
      <c r="HPP16" t="s">
        <v>6984</v>
      </c>
      <c r="HPQ16" t="s">
        <v>6984</v>
      </c>
      <c r="HPR16" t="s">
        <v>6984</v>
      </c>
      <c r="HPS16" t="s">
        <v>6984</v>
      </c>
      <c r="HPT16" t="s">
        <v>6984</v>
      </c>
      <c r="HPU16" t="s">
        <v>6984</v>
      </c>
      <c r="HPV16" t="s">
        <v>6984</v>
      </c>
      <c r="HPW16" t="s">
        <v>6984</v>
      </c>
      <c r="HPX16" t="s">
        <v>6984</v>
      </c>
      <c r="HPY16" t="s">
        <v>6984</v>
      </c>
      <c r="HPZ16" t="s">
        <v>6984</v>
      </c>
      <c r="HQA16" t="s">
        <v>6984</v>
      </c>
      <c r="HQB16" t="s">
        <v>6984</v>
      </c>
      <c r="HQC16" t="s">
        <v>6984</v>
      </c>
      <c r="HQD16" t="s">
        <v>6984</v>
      </c>
      <c r="HQE16" t="s">
        <v>6984</v>
      </c>
      <c r="HQF16" t="s">
        <v>6984</v>
      </c>
      <c r="HQG16" t="s">
        <v>6984</v>
      </c>
      <c r="HQH16" t="s">
        <v>6984</v>
      </c>
      <c r="HQI16" t="s">
        <v>6984</v>
      </c>
      <c r="HQJ16" t="s">
        <v>6984</v>
      </c>
      <c r="HQK16" t="s">
        <v>6984</v>
      </c>
      <c r="HQL16" t="s">
        <v>6984</v>
      </c>
      <c r="HQM16" t="s">
        <v>6984</v>
      </c>
      <c r="HQN16" t="s">
        <v>6984</v>
      </c>
      <c r="HQO16" t="s">
        <v>6984</v>
      </c>
      <c r="HQP16" t="s">
        <v>6984</v>
      </c>
      <c r="HQQ16" t="s">
        <v>6984</v>
      </c>
      <c r="HQR16" t="s">
        <v>6984</v>
      </c>
      <c r="HQS16" t="s">
        <v>6984</v>
      </c>
      <c r="HQT16" t="s">
        <v>6984</v>
      </c>
      <c r="HQU16" t="s">
        <v>6984</v>
      </c>
      <c r="HQV16" t="s">
        <v>6984</v>
      </c>
      <c r="HQW16" t="s">
        <v>6984</v>
      </c>
      <c r="HQX16" t="s">
        <v>6984</v>
      </c>
      <c r="HQY16" t="s">
        <v>6984</v>
      </c>
      <c r="HQZ16" t="s">
        <v>6984</v>
      </c>
      <c r="HRA16" t="s">
        <v>6984</v>
      </c>
      <c r="HRB16" t="s">
        <v>6984</v>
      </c>
      <c r="HRC16" t="s">
        <v>6984</v>
      </c>
      <c r="HRD16" t="s">
        <v>6984</v>
      </c>
      <c r="HRE16" t="s">
        <v>6984</v>
      </c>
      <c r="HRF16" t="s">
        <v>6984</v>
      </c>
      <c r="HRG16" t="s">
        <v>6984</v>
      </c>
      <c r="HRH16" t="s">
        <v>6984</v>
      </c>
      <c r="HRI16" t="s">
        <v>6984</v>
      </c>
      <c r="HRJ16" t="s">
        <v>6984</v>
      </c>
      <c r="HRK16" t="s">
        <v>6984</v>
      </c>
      <c r="HRL16" t="s">
        <v>6984</v>
      </c>
      <c r="HRM16" t="s">
        <v>6984</v>
      </c>
      <c r="HRN16" t="s">
        <v>6984</v>
      </c>
      <c r="HRO16" t="s">
        <v>6984</v>
      </c>
      <c r="HRP16" t="s">
        <v>6984</v>
      </c>
      <c r="HRQ16" t="s">
        <v>6984</v>
      </c>
      <c r="HRR16" t="s">
        <v>6984</v>
      </c>
      <c r="HRS16" t="s">
        <v>6984</v>
      </c>
      <c r="HRT16" t="s">
        <v>6984</v>
      </c>
      <c r="HRU16" t="s">
        <v>6984</v>
      </c>
      <c r="HRV16" t="s">
        <v>6984</v>
      </c>
      <c r="HRW16" t="s">
        <v>6984</v>
      </c>
      <c r="HRX16" t="s">
        <v>6984</v>
      </c>
      <c r="HRY16" t="s">
        <v>6984</v>
      </c>
      <c r="HRZ16" t="s">
        <v>6984</v>
      </c>
      <c r="HSA16" t="s">
        <v>6984</v>
      </c>
      <c r="HSB16" t="s">
        <v>6984</v>
      </c>
      <c r="HSC16" t="s">
        <v>6984</v>
      </c>
      <c r="HSD16" t="s">
        <v>6984</v>
      </c>
      <c r="HSE16" t="s">
        <v>6984</v>
      </c>
      <c r="HSF16" t="s">
        <v>6984</v>
      </c>
      <c r="HSG16" t="s">
        <v>6984</v>
      </c>
      <c r="HSH16" t="s">
        <v>6984</v>
      </c>
      <c r="HSI16" t="s">
        <v>6984</v>
      </c>
      <c r="HSJ16" t="s">
        <v>6984</v>
      </c>
      <c r="HSK16" t="s">
        <v>6984</v>
      </c>
      <c r="HSL16" t="s">
        <v>6984</v>
      </c>
      <c r="HSM16" t="s">
        <v>6984</v>
      </c>
      <c r="HSN16" t="s">
        <v>6984</v>
      </c>
      <c r="HSO16" t="s">
        <v>6984</v>
      </c>
      <c r="HSP16" t="s">
        <v>6984</v>
      </c>
      <c r="HSQ16" t="s">
        <v>6984</v>
      </c>
      <c r="HSR16" t="s">
        <v>6984</v>
      </c>
      <c r="HSS16" t="s">
        <v>6984</v>
      </c>
      <c r="HST16" t="s">
        <v>6984</v>
      </c>
      <c r="HSU16" t="s">
        <v>6984</v>
      </c>
      <c r="HSV16" t="s">
        <v>6984</v>
      </c>
      <c r="HSW16" t="s">
        <v>6984</v>
      </c>
      <c r="HSX16" t="s">
        <v>6984</v>
      </c>
      <c r="HSY16" t="s">
        <v>6984</v>
      </c>
      <c r="HSZ16" t="s">
        <v>6984</v>
      </c>
      <c r="HTA16" t="s">
        <v>6984</v>
      </c>
      <c r="HTB16" t="s">
        <v>6984</v>
      </c>
      <c r="HTC16" t="s">
        <v>6984</v>
      </c>
      <c r="HTD16" t="s">
        <v>6984</v>
      </c>
      <c r="HTE16" t="s">
        <v>6984</v>
      </c>
      <c r="HTF16" t="s">
        <v>6984</v>
      </c>
      <c r="HTG16" t="s">
        <v>6984</v>
      </c>
      <c r="HTH16" t="s">
        <v>6984</v>
      </c>
      <c r="HTI16" t="s">
        <v>6984</v>
      </c>
      <c r="HTJ16" t="s">
        <v>6984</v>
      </c>
      <c r="HTK16" t="s">
        <v>6984</v>
      </c>
      <c r="HTL16" t="s">
        <v>6984</v>
      </c>
      <c r="HTM16" t="s">
        <v>6984</v>
      </c>
      <c r="HTN16" t="s">
        <v>6984</v>
      </c>
      <c r="HTO16" t="s">
        <v>6984</v>
      </c>
      <c r="HTP16" t="s">
        <v>6984</v>
      </c>
      <c r="HTQ16" t="s">
        <v>6984</v>
      </c>
      <c r="HTR16" t="s">
        <v>6984</v>
      </c>
      <c r="HTS16" t="s">
        <v>6984</v>
      </c>
      <c r="HTT16" t="s">
        <v>6984</v>
      </c>
      <c r="HTU16" t="s">
        <v>6984</v>
      </c>
      <c r="HTV16" t="s">
        <v>6984</v>
      </c>
      <c r="HTW16" t="s">
        <v>6984</v>
      </c>
      <c r="HTX16" t="s">
        <v>6984</v>
      </c>
      <c r="HTY16" t="s">
        <v>6984</v>
      </c>
      <c r="HTZ16" t="s">
        <v>6984</v>
      </c>
      <c r="HUA16" t="s">
        <v>6984</v>
      </c>
      <c r="HUB16" t="s">
        <v>6984</v>
      </c>
      <c r="HUC16" t="s">
        <v>6984</v>
      </c>
      <c r="HUD16" t="s">
        <v>6984</v>
      </c>
      <c r="HUE16" t="s">
        <v>6984</v>
      </c>
      <c r="HUF16" t="s">
        <v>6984</v>
      </c>
      <c r="HUG16" t="s">
        <v>6984</v>
      </c>
      <c r="HUH16" t="s">
        <v>6984</v>
      </c>
      <c r="HUI16" t="s">
        <v>6984</v>
      </c>
      <c r="HUJ16" t="s">
        <v>6984</v>
      </c>
      <c r="HUK16" t="s">
        <v>6984</v>
      </c>
      <c r="HUL16" t="s">
        <v>6984</v>
      </c>
      <c r="HUM16" t="s">
        <v>6984</v>
      </c>
      <c r="HUN16" t="s">
        <v>6984</v>
      </c>
      <c r="HUO16" t="s">
        <v>6984</v>
      </c>
      <c r="HUP16" t="s">
        <v>6984</v>
      </c>
      <c r="HUQ16" t="s">
        <v>6984</v>
      </c>
      <c r="HUR16" t="s">
        <v>6984</v>
      </c>
      <c r="HUS16" t="s">
        <v>6984</v>
      </c>
      <c r="HUT16" t="s">
        <v>6984</v>
      </c>
      <c r="HUU16" t="s">
        <v>6984</v>
      </c>
      <c r="HUV16" t="s">
        <v>6984</v>
      </c>
      <c r="HUW16" t="s">
        <v>6984</v>
      </c>
      <c r="HUX16" t="s">
        <v>6984</v>
      </c>
      <c r="HUY16" t="s">
        <v>6984</v>
      </c>
      <c r="HUZ16" t="s">
        <v>6984</v>
      </c>
      <c r="HVA16" t="s">
        <v>6984</v>
      </c>
      <c r="HVB16" t="s">
        <v>6984</v>
      </c>
      <c r="HVC16" t="s">
        <v>6984</v>
      </c>
      <c r="HVD16" t="s">
        <v>6984</v>
      </c>
      <c r="HVE16" t="s">
        <v>6984</v>
      </c>
      <c r="HVF16" t="s">
        <v>6984</v>
      </c>
      <c r="HVG16" t="s">
        <v>6984</v>
      </c>
      <c r="HVH16" t="s">
        <v>6984</v>
      </c>
      <c r="HVI16" t="s">
        <v>6984</v>
      </c>
      <c r="HVJ16" t="s">
        <v>6984</v>
      </c>
      <c r="HVK16" t="s">
        <v>6984</v>
      </c>
      <c r="HVL16" t="s">
        <v>6984</v>
      </c>
      <c r="HVM16" t="s">
        <v>6984</v>
      </c>
      <c r="HVN16" t="s">
        <v>6984</v>
      </c>
      <c r="HVO16" t="s">
        <v>6984</v>
      </c>
      <c r="HVP16" t="s">
        <v>6984</v>
      </c>
      <c r="HVQ16" t="s">
        <v>6984</v>
      </c>
      <c r="HVR16" t="s">
        <v>6984</v>
      </c>
      <c r="HVS16" t="s">
        <v>6984</v>
      </c>
      <c r="HVT16" t="s">
        <v>6984</v>
      </c>
      <c r="HVU16" t="s">
        <v>6984</v>
      </c>
      <c r="HVV16" t="s">
        <v>6984</v>
      </c>
      <c r="HVW16" t="s">
        <v>6984</v>
      </c>
      <c r="HVX16" t="s">
        <v>6984</v>
      </c>
      <c r="HVY16" t="s">
        <v>6984</v>
      </c>
      <c r="HVZ16" t="s">
        <v>6984</v>
      </c>
      <c r="HWA16" t="s">
        <v>6984</v>
      </c>
      <c r="HWB16" t="s">
        <v>6984</v>
      </c>
      <c r="HWC16" t="s">
        <v>6984</v>
      </c>
      <c r="HWD16" t="s">
        <v>6984</v>
      </c>
      <c r="HWE16" t="s">
        <v>6984</v>
      </c>
      <c r="HWF16" t="s">
        <v>6984</v>
      </c>
      <c r="HWG16" t="s">
        <v>6984</v>
      </c>
      <c r="HWH16" t="s">
        <v>6984</v>
      </c>
      <c r="HWI16" t="s">
        <v>6984</v>
      </c>
      <c r="HWJ16" t="s">
        <v>6984</v>
      </c>
      <c r="HWK16" t="s">
        <v>6984</v>
      </c>
      <c r="HWL16" t="s">
        <v>6984</v>
      </c>
      <c r="HWM16" t="s">
        <v>6984</v>
      </c>
      <c r="HWN16" t="s">
        <v>6984</v>
      </c>
      <c r="HWO16" t="s">
        <v>6984</v>
      </c>
      <c r="HWP16" t="s">
        <v>6984</v>
      </c>
      <c r="HWQ16" t="s">
        <v>6984</v>
      </c>
      <c r="HWR16" t="s">
        <v>6984</v>
      </c>
      <c r="HWS16" t="s">
        <v>6984</v>
      </c>
      <c r="HWT16" t="s">
        <v>6984</v>
      </c>
      <c r="HWU16" t="s">
        <v>6984</v>
      </c>
      <c r="HWV16" t="s">
        <v>6984</v>
      </c>
      <c r="HWW16" t="s">
        <v>6984</v>
      </c>
      <c r="HWX16" t="s">
        <v>6984</v>
      </c>
      <c r="HWY16" t="s">
        <v>6984</v>
      </c>
      <c r="HWZ16" t="s">
        <v>6984</v>
      </c>
      <c r="HXA16" t="s">
        <v>6984</v>
      </c>
      <c r="HXB16" t="s">
        <v>6984</v>
      </c>
      <c r="HXC16" t="s">
        <v>6984</v>
      </c>
      <c r="HXD16" t="s">
        <v>6984</v>
      </c>
      <c r="HXE16" t="s">
        <v>6984</v>
      </c>
      <c r="HXF16" t="s">
        <v>6984</v>
      </c>
      <c r="HXG16" t="s">
        <v>6984</v>
      </c>
      <c r="HXH16" t="s">
        <v>6984</v>
      </c>
      <c r="HXI16" t="s">
        <v>6984</v>
      </c>
      <c r="HXJ16" t="s">
        <v>6984</v>
      </c>
      <c r="HXK16" t="s">
        <v>6984</v>
      </c>
      <c r="HXL16" t="s">
        <v>6984</v>
      </c>
      <c r="HXM16" t="s">
        <v>6984</v>
      </c>
      <c r="HXN16" t="s">
        <v>6984</v>
      </c>
      <c r="HXO16" t="s">
        <v>6984</v>
      </c>
      <c r="HXP16" t="s">
        <v>6984</v>
      </c>
      <c r="HXQ16" t="s">
        <v>6984</v>
      </c>
      <c r="HXR16" t="s">
        <v>6984</v>
      </c>
      <c r="HXS16" t="s">
        <v>6984</v>
      </c>
      <c r="HXT16" t="s">
        <v>6984</v>
      </c>
      <c r="HXU16" t="s">
        <v>6984</v>
      </c>
      <c r="HXV16" t="s">
        <v>6984</v>
      </c>
      <c r="HXW16" t="s">
        <v>6984</v>
      </c>
      <c r="HXX16" t="s">
        <v>6984</v>
      </c>
      <c r="HXY16" t="s">
        <v>6984</v>
      </c>
      <c r="HXZ16" t="s">
        <v>6984</v>
      </c>
      <c r="HYA16" t="s">
        <v>6984</v>
      </c>
      <c r="HYB16" t="s">
        <v>6984</v>
      </c>
      <c r="HYC16" t="s">
        <v>6984</v>
      </c>
      <c r="HYD16" t="s">
        <v>6984</v>
      </c>
      <c r="HYE16" t="s">
        <v>6984</v>
      </c>
      <c r="HYF16" t="s">
        <v>6984</v>
      </c>
      <c r="HYG16" t="s">
        <v>6984</v>
      </c>
      <c r="HYH16" t="s">
        <v>6984</v>
      </c>
      <c r="HYI16" t="s">
        <v>6984</v>
      </c>
      <c r="HYJ16" t="s">
        <v>6984</v>
      </c>
      <c r="HYK16" t="s">
        <v>6984</v>
      </c>
      <c r="HYL16" t="s">
        <v>6984</v>
      </c>
      <c r="HYM16" t="s">
        <v>6984</v>
      </c>
      <c r="HYN16" t="s">
        <v>6984</v>
      </c>
      <c r="HYO16" t="s">
        <v>6984</v>
      </c>
      <c r="HYP16" t="s">
        <v>6984</v>
      </c>
      <c r="HYQ16" t="s">
        <v>6984</v>
      </c>
      <c r="HYR16" t="s">
        <v>6984</v>
      </c>
      <c r="HYS16" t="s">
        <v>6984</v>
      </c>
      <c r="HYT16" t="s">
        <v>6984</v>
      </c>
      <c r="HYU16" t="s">
        <v>6984</v>
      </c>
      <c r="HYV16" t="s">
        <v>6984</v>
      </c>
      <c r="HYW16" t="s">
        <v>6984</v>
      </c>
      <c r="HYX16" t="s">
        <v>6984</v>
      </c>
      <c r="HYY16" t="s">
        <v>6984</v>
      </c>
      <c r="HYZ16" t="s">
        <v>6984</v>
      </c>
      <c r="HZA16" t="s">
        <v>6984</v>
      </c>
      <c r="HZB16" t="s">
        <v>6984</v>
      </c>
      <c r="HZC16" t="s">
        <v>6984</v>
      </c>
      <c r="HZD16" t="s">
        <v>6984</v>
      </c>
      <c r="HZE16" t="s">
        <v>6984</v>
      </c>
      <c r="HZF16" t="s">
        <v>6984</v>
      </c>
      <c r="HZG16" t="s">
        <v>6984</v>
      </c>
      <c r="HZH16" t="s">
        <v>6984</v>
      </c>
      <c r="HZI16" t="s">
        <v>6984</v>
      </c>
      <c r="HZJ16" t="s">
        <v>6984</v>
      </c>
      <c r="HZK16" t="s">
        <v>6984</v>
      </c>
      <c r="HZL16" t="s">
        <v>6984</v>
      </c>
      <c r="HZM16" t="s">
        <v>6984</v>
      </c>
      <c r="HZN16" t="s">
        <v>6984</v>
      </c>
      <c r="HZO16" t="s">
        <v>6984</v>
      </c>
      <c r="HZP16" t="s">
        <v>6984</v>
      </c>
      <c r="HZQ16" t="s">
        <v>6984</v>
      </c>
      <c r="HZR16" t="s">
        <v>6984</v>
      </c>
      <c r="HZS16" t="s">
        <v>6984</v>
      </c>
      <c r="HZT16" t="s">
        <v>6984</v>
      </c>
      <c r="HZU16" t="s">
        <v>6984</v>
      </c>
      <c r="HZV16" t="s">
        <v>6984</v>
      </c>
      <c r="HZW16" t="s">
        <v>6984</v>
      </c>
      <c r="HZX16" t="s">
        <v>6984</v>
      </c>
      <c r="HZY16" t="s">
        <v>6984</v>
      </c>
      <c r="HZZ16" t="s">
        <v>6984</v>
      </c>
      <c r="IAA16" t="s">
        <v>6984</v>
      </c>
      <c r="IAB16" t="s">
        <v>6984</v>
      </c>
      <c r="IAC16" t="s">
        <v>6984</v>
      </c>
      <c r="IAD16" t="s">
        <v>6984</v>
      </c>
      <c r="IAE16" t="s">
        <v>6984</v>
      </c>
      <c r="IAF16" t="s">
        <v>6984</v>
      </c>
      <c r="IAG16" t="s">
        <v>6984</v>
      </c>
      <c r="IAH16" t="s">
        <v>6984</v>
      </c>
      <c r="IAI16" t="s">
        <v>6984</v>
      </c>
      <c r="IAJ16" t="s">
        <v>6984</v>
      </c>
      <c r="IAK16" t="s">
        <v>6984</v>
      </c>
      <c r="IAL16" t="s">
        <v>6984</v>
      </c>
      <c r="IAM16" t="s">
        <v>6984</v>
      </c>
      <c r="IAN16" t="s">
        <v>6984</v>
      </c>
      <c r="IAO16" t="s">
        <v>6984</v>
      </c>
      <c r="IAP16" t="s">
        <v>6984</v>
      </c>
      <c r="IAQ16" t="s">
        <v>6984</v>
      </c>
      <c r="IAR16" t="s">
        <v>6984</v>
      </c>
      <c r="IAS16" t="s">
        <v>6984</v>
      </c>
      <c r="IAT16" t="s">
        <v>6984</v>
      </c>
      <c r="IAU16" t="s">
        <v>6984</v>
      </c>
      <c r="IAV16" t="s">
        <v>6984</v>
      </c>
      <c r="IAW16" t="s">
        <v>6984</v>
      </c>
      <c r="IAX16" t="s">
        <v>6984</v>
      </c>
      <c r="IAY16" t="s">
        <v>6984</v>
      </c>
      <c r="IAZ16" t="s">
        <v>6984</v>
      </c>
      <c r="IBA16" t="s">
        <v>6984</v>
      </c>
      <c r="IBB16" t="s">
        <v>6984</v>
      </c>
      <c r="IBC16" t="s">
        <v>6984</v>
      </c>
      <c r="IBD16" t="s">
        <v>6984</v>
      </c>
      <c r="IBE16" t="s">
        <v>6984</v>
      </c>
      <c r="IBF16" t="s">
        <v>6984</v>
      </c>
      <c r="IBG16" t="s">
        <v>6984</v>
      </c>
      <c r="IBH16" t="s">
        <v>6984</v>
      </c>
      <c r="IBI16" t="s">
        <v>6984</v>
      </c>
      <c r="IBJ16" t="s">
        <v>6984</v>
      </c>
      <c r="IBK16" t="s">
        <v>6984</v>
      </c>
      <c r="IBL16" t="s">
        <v>6984</v>
      </c>
      <c r="IBM16" t="s">
        <v>6984</v>
      </c>
      <c r="IBN16" t="s">
        <v>6984</v>
      </c>
      <c r="IBO16" t="s">
        <v>6984</v>
      </c>
      <c r="IBP16" t="s">
        <v>6984</v>
      </c>
      <c r="IBQ16" t="s">
        <v>6984</v>
      </c>
      <c r="IBR16" t="s">
        <v>6984</v>
      </c>
      <c r="IBS16" t="s">
        <v>6984</v>
      </c>
      <c r="IBT16" t="s">
        <v>6984</v>
      </c>
      <c r="IBU16" t="s">
        <v>6984</v>
      </c>
      <c r="IBV16" t="s">
        <v>6984</v>
      </c>
      <c r="IBW16" t="s">
        <v>6984</v>
      </c>
      <c r="IBX16" t="s">
        <v>6984</v>
      </c>
      <c r="IBY16" t="s">
        <v>6984</v>
      </c>
      <c r="IBZ16" t="s">
        <v>6984</v>
      </c>
      <c r="ICA16" t="s">
        <v>6984</v>
      </c>
      <c r="ICB16" t="s">
        <v>6984</v>
      </c>
      <c r="ICC16" t="s">
        <v>6984</v>
      </c>
      <c r="ICD16" t="s">
        <v>6984</v>
      </c>
      <c r="ICE16" t="s">
        <v>6984</v>
      </c>
      <c r="ICF16" t="s">
        <v>6984</v>
      </c>
      <c r="ICG16" t="s">
        <v>6984</v>
      </c>
      <c r="ICH16" t="s">
        <v>6984</v>
      </c>
      <c r="ICI16" t="s">
        <v>6984</v>
      </c>
      <c r="ICJ16" t="s">
        <v>6984</v>
      </c>
      <c r="ICK16" t="s">
        <v>6984</v>
      </c>
      <c r="ICL16" t="s">
        <v>6984</v>
      </c>
      <c r="ICM16" t="s">
        <v>6984</v>
      </c>
      <c r="ICN16" t="s">
        <v>6984</v>
      </c>
      <c r="ICO16" t="s">
        <v>6984</v>
      </c>
      <c r="ICP16" t="s">
        <v>6984</v>
      </c>
      <c r="ICQ16" t="s">
        <v>6984</v>
      </c>
      <c r="ICR16" t="s">
        <v>6984</v>
      </c>
      <c r="ICS16" t="s">
        <v>6984</v>
      </c>
      <c r="ICT16" t="s">
        <v>6984</v>
      </c>
      <c r="ICU16" t="s">
        <v>6984</v>
      </c>
      <c r="ICV16" t="s">
        <v>6984</v>
      </c>
      <c r="ICW16" t="s">
        <v>6984</v>
      </c>
      <c r="ICX16" t="s">
        <v>6984</v>
      </c>
      <c r="ICY16" t="s">
        <v>6984</v>
      </c>
      <c r="ICZ16" t="s">
        <v>6984</v>
      </c>
      <c r="IDA16" t="s">
        <v>6984</v>
      </c>
      <c r="IDB16" t="s">
        <v>6984</v>
      </c>
      <c r="IDC16" t="s">
        <v>6984</v>
      </c>
      <c r="IDD16" t="s">
        <v>6984</v>
      </c>
      <c r="IDE16" t="s">
        <v>6984</v>
      </c>
      <c r="IDF16" t="s">
        <v>6984</v>
      </c>
      <c r="IDG16" t="s">
        <v>6984</v>
      </c>
      <c r="IDH16" t="s">
        <v>6984</v>
      </c>
      <c r="IDI16" t="s">
        <v>6984</v>
      </c>
      <c r="IDJ16" t="s">
        <v>6984</v>
      </c>
      <c r="IDK16" t="s">
        <v>6984</v>
      </c>
      <c r="IDL16" t="s">
        <v>6984</v>
      </c>
      <c r="IDM16" t="s">
        <v>6984</v>
      </c>
      <c r="IDN16" t="s">
        <v>6984</v>
      </c>
      <c r="IDO16" t="s">
        <v>6984</v>
      </c>
      <c r="IDP16" t="s">
        <v>6984</v>
      </c>
      <c r="IDQ16" t="s">
        <v>6984</v>
      </c>
      <c r="IDR16" t="s">
        <v>6984</v>
      </c>
      <c r="IDS16" t="s">
        <v>6984</v>
      </c>
      <c r="IDT16" t="s">
        <v>6984</v>
      </c>
      <c r="IDU16" t="s">
        <v>6984</v>
      </c>
      <c r="IDV16" t="s">
        <v>6984</v>
      </c>
      <c r="IDW16" t="s">
        <v>6984</v>
      </c>
      <c r="IDX16" t="s">
        <v>6984</v>
      </c>
      <c r="IDY16" t="s">
        <v>6984</v>
      </c>
      <c r="IDZ16" t="s">
        <v>6984</v>
      </c>
      <c r="IEA16" t="s">
        <v>6984</v>
      </c>
      <c r="IEB16" t="s">
        <v>6984</v>
      </c>
      <c r="IEC16" t="s">
        <v>6984</v>
      </c>
      <c r="IED16" t="s">
        <v>6984</v>
      </c>
      <c r="IEE16" t="s">
        <v>6984</v>
      </c>
      <c r="IEF16" t="s">
        <v>6984</v>
      </c>
      <c r="IEG16" t="s">
        <v>6984</v>
      </c>
      <c r="IEH16" t="s">
        <v>6984</v>
      </c>
      <c r="IEI16" t="s">
        <v>6984</v>
      </c>
      <c r="IEJ16" t="s">
        <v>6984</v>
      </c>
      <c r="IEK16" t="s">
        <v>6984</v>
      </c>
      <c r="IEL16" t="s">
        <v>6984</v>
      </c>
      <c r="IEM16" t="s">
        <v>6984</v>
      </c>
      <c r="IEN16" t="s">
        <v>6984</v>
      </c>
      <c r="IEO16" t="s">
        <v>6984</v>
      </c>
      <c r="IEP16" t="s">
        <v>6984</v>
      </c>
      <c r="IEQ16" t="s">
        <v>6984</v>
      </c>
      <c r="IER16" t="s">
        <v>6984</v>
      </c>
      <c r="IES16" t="s">
        <v>6984</v>
      </c>
      <c r="IET16" t="s">
        <v>6984</v>
      </c>
      <c r="IEU16" t="s">
        <v>6984</v>
      </c>
      <c r="IEV16" t="s">
        <v>6984</v>
      </c>
      <c r="IEW16" t="s">
        <v>6984</v>
      </c>
      <c r="IEX16" t="s">
        <v>6984</v>
      </c>
      <c r="IEY16" t="s">
        <v>6984</v>
      </c>
      <c r="IEZ16" t="s">
        <v>6984</v>
      </c>
      <c r="IFA16" t="s">
        <v>6984</v>
      </c>
      <c r="IFB16" t="s">
        <v>6984</v>
      </c>
      <c r="IFC16" t="s">
        <v>6984</v>
      </c>
      <c r="IFD16" t="s">
        <v>6984</v>
      </c>
      <c r="IFE16" t="s">
        <v>6984</v>
      </c>
      <c r="IFF16" t="s">
        <v>6984</v>
      </c>
      <c r="IFG16" t="s">
        <v>6984</v>
      </c>
      <c r="IFH16" t="s">
        <v>6984</v>
      </c>
      <c r="IFI16" t="s">
        <v>6984</v>
      </c>
      <c r="IFJ16" t="s">
        <v>6984</v>
      </c>
      <c r="IFK16" t="s">
        <v>6984</v>
      </c>
      <c r="IFL16" t="s">
        <v>6984</v>
      </c>
      <c r="IFM16" t="s">
        <v>6984</v>
      </c>
      <c r="IFN16" t="s">
        <v>6984</v>
      </c>
      <c r="IFO16" t="s">
        <v>6984</v>
      </c>
      <c r="IFP16" t="s">
        <v>6984</v>
      </c>
      <c r="IFQ16" t="s">
        <v>6984</v>
      </c>
      <c r="IFR16" t="s">
        <v>6984</v>
      </c>
      <c r="IFS16" t="s">
        <v>6984</v>
      </c>
      <c r="IFT16" t="s">
        <v>6984</v>
      </c>
      <c r="IFU16" t="s">
        <v>6984</v>
      </c>
      <c r="IFV16" t="s">
        <v>6984</v>
      </c>
      <c r="IFW16" t="s">
        <v>6984</v>
      </c>
      <c r="IFX16" t="s">
        <v>6984</v>
      </c>
      <c r="IFY16" t="s">
        <v>6984</v>
      </c>
      <c r="IFZ16" t="s">
        <v>6984</v>
      </c>
      <c r="IGA16" t="s">
        <v>6984</v>
      </c>
      <c r="IGB16" t="s">
        <v>6984</v>
      </c>
      <c r="IGC16" t="s">
        <v>6984</v>
      </c>
      <c r="IGD16" t="s">
        <v>6984</v>
      </c>
      <c r="IGE16" t="s">
        <v>6984</v>
      </c>
      <c r="IGF16" t="s">
        <v>6984</v>
      </c>
      <c r="IGG16" t="s">
        <v>6984</v>
      </c>
      <c r="IGH16" t="s">
        <v>6984</v>
      </c>
      <c r="IGI16" t="s">
        <v>6984</v>
      </c>
      <c r="IGJ16" t="s">
        <v>6984</v>
      </c>
      <c r="IGK16" t="s">
        <v>6984</v>
      </c>
      <c r="IGL16" t="s">
        <v>6984</v>
      </c>
      <c r="IGM16" t="s">
        <v>6984</v>
      </c>
      <c r="IGN16" t="s">
        <v>6984</v>
      </c>
      <c r="IGO16" t="s">
        <v>6984</v>
      </c>
      <c r="IGP16" t="s">
        <v>6984</v>
      </c>
      <c r="IGQ16" t="s">
        <v>6984</v>
      </c>
      <c r="IGR16" t="s">
        <v>6984</v>
      </c>
      <c r="IGS16" t="s">
        <v>6984</v>
      </c>
      <c r="IGT16" t="s">
        <v>6984</v>
      </c>
      <c r="IGU16" t="s">
        <v>6984</v>
      </c>
      <c r="IGV16" t="s">
        <v>6984</v>
      </c>
      <c r="IGW16" t="s">
        <v>6984</v>
      </c>
      <c r="IGX16" t="s">
        <v>6984</v>
      </c>
      <c r="IGY16" t="s">
        <v>6984</v>
      </c>
      <c r="IGZ16" t="s">
        <v>6984</v>
      </c>
      <c r="IHA16" t="s">
        <v>6984</v>
      </c>
      <c r="IHB16" t="s">
        <v>6984</v>
      </c>
      <c r="IHC16" t="s">
        <v>6984</v>
      </c>
      <c r="IHD16" t="s">
        <v>6984</v>
      </c>
      <c r="IHE16" t="s">
        <v>6984</v>
      </c>
      <c r="IHF16" t="s">
        <v>6984</v>
      </c>
      <c r="IHG16" t="s">
        <v>6984</v>
      </c>
      <c r="IHH16" t="s">
        <v>6984</v>
      </c>
      <c r="IHI16" t="s">
        <v>6984</v>
      </c>
      <c r="IHJ16" t="s">
        <v>6984</v>
      </c>
      <c r="IHK16" t="s">
        <v>6984</v>
      </c>
      <c r="IHL16" t="s">
        <v>6984</v>
      </c>
      <c r="IHM16" t="s">
        <v>6984</v>
      </c>
      <c r="IHN16" t="s">
        <v>6984</v>
      </c>
      <c r="IHO16" t="s">
        <v>6984</v>
      </c>
      <c r="IHP16" t="s">
        <v>6984</v>
      </c>
      <c r="IHQ16" t="s">
        <v>6984</v>
      </c>
      <c r="IHR16" t="s">
        <v>6984</v>
      </c>
      <c r="IHS16" t="s">
        <v>6984</v>
      </c>
      <c r="IHT16" t="s">
        <v>6984</v>
      </c>
      <c r="IHU16" t="s">
        <v>6984</v>
      </c>
      <c r="IHV16" t="s">
        <v>6984</v>
      </c>
      <c r="IHW16" t="s">
        <v>6984</v>
      </c>
      <c r="IHX16" t="s">
        <v>6984</v>
      </c>
      <c r="IHY16" t="s">
        <v>6984</v>
      </c>
      <c r="IHZ16" t="s">
        <v>6984</v>
      </c>
      <c r="IIA16" t="s">
        <v>6984</v>
      </c>
      <c r="IIB16" t="s">
        <v>6984</v>
      </c>
      <c r="IIC16" t="s">
        <v>6984</v>
      </c>
      <c r="IID16" t="s">
        <v>6984</v>
      </c>
      <c r="IIE16" t="s">
        <v>6984</v>
      </c>
      <c r="IIF16" t="s">
        <v>6984</v>
      </c>
      <c r="IIG16" t="s">
        <v>6984</v>
      </c>
      <c r="IIH16" t="s">
        <v>6984</v>
      </c>
      <c r="III16" t="s">
        <v>6984</v>
      </c>
      <c r="IIJ16" t="s">
        <v>6984</v>
      </c>
      <c r="IIK16" t="s">
        <v>6984</v>
      </c>
      <c r="IIL16" t="s">
        <v>6984</v>
      </c>
      <c r="IIM16" t="s">
        <v>6984</v>
      </c>
      <c r="IIN16" t="s">
        <v>6984</v>
      </c>
      <c r="IIO16" t="s">
        <v>6984</v>
      </c>
      <c r="IIP16" t="s">
        <v>6984</v>
      </c>
      <c r="IIQ16" t="s">
        <v>6984</v>
      </c>
      <c r="IIR16" t="s">
        <v>6984</v>
      </c>
      <c r="IIS16" t="s">
        <v>6984</v>
      </c>
      <c r="IIT16" t="s">
        <v>6984</v>
      </c>
      <c r="IIU16" t="s">
        <v>6984</v>
      </c>
      <c r="IIV16" t="s">
        <v>6984</v>
      </c>
      <c r="IIW16" t="s">
        <v>6984</v>
      </c>
      <c r="IIX16" t="s">
        <v>6984</v>
      </c>
      <c r="IIY16" t="s">
        <v>6984</v>
      </c>
      <c r="IIZ16" t="s">
        <v>6984</v>
      </c>
      <c r="IJA16" t="s">
        <v>6984</v>
      </c>
      <c r="IJB16" t="s">
        <v>6984</v>
      </c>
      <c r="IJC16" t="s">
        <v>6984</v>
      </c>
      <c r="IJD16" t="s">
        <v>6984</v>
      </c>
      <c r="IJE16" t="s">
        <v>6984</v>
      </c>
      <c r="IJF16" t="s">
        <v>6984</v>
      </c>
      <c r="IJG16" t="s">
        <v>6984</v>
      </c>
      <c r="IJH16" t="s">
        <v>6984</v>
      </c>
      <c r="IJI16" t="s">
        <v>6984</v>
      </c>
      <c r="IJJ16" t="s">
        <v>6984</v>
      </c>
      <c r="IJK16" t="s">
        <v>6984</v>
      </c>
      <c r="IJL16" t="s">
        <v>6984</v>
      </c>
      <c r="IJM16" t="s">
        <v>6984</v>
      </c>
      <c r="IJN16" t="s">
        <v>6984</v>
      </c>
      <c r="IJO16" t="s">
        <v>6984</v>
      </c>
      <c r="IJP16" t="s">
        <v>6984</v>
      </c>
      <c r="IJQ16" t="s">
        <v>6984</v>
      </c>
      <c r="IJR16" t="s">
        <v>6984</v>
      </c>
      <c r="IJS16" t="s">
        <v>6984</v>
      </c>
      <c r="IJT16" t="s">
        <v>6984</v>
      </c>
      <c r="IJU16" t="s">
        <v>6984</v>
      </c>
      <c r="IJV16" t="s">
        <v>6984</v>
      </c>
      <c r="IJW16" t="s">
        <v>6984</v>
      </c>
      <c r="IJX16" t="s">
        <v>6984</v>
      </c>
      <c r="IJY16" t="s">
        <v>6984</v>
      </c>
      <c r="IJZ16" t="s">
        <v>6984</v>
      </c>
      <c r="IKA16" t="s">
        <v>6984</v>
      </c>
      <c r="IKB16" t="s">
        <v>6984</v>
      </c>
      <c r="IKC16" t="s">
        <v>6984</v>
      </c>
      <c r="IKD16" t="s">
        <v>6984</v>
      </c>
      <c r="IKE16" t="s">
        <v>6984</v>
      </c>
      <c r="IKF16" t="s">
        <v>6984</v>
      </c>
      <c r="IKG16" t="s">
        <v>6984</v>
      </c>
      <c r="IKH16" t="s">
        <v>6984</v>
      </c>
      <c r="IKI16" t="s">
        <v>6984</v>
      </c>
      <c r="IKJ16" t="s">
        <v>6984</v>
      </c>
      <c r="IKK16" t="s">
        <v>6984</v>
      </c>
      <c r="IKL16" t="s">
        <v>6984</v>
      </c>
      <c r="IKM16" t="s">
        <v>6984</v>
      </c>
      <c r="IKN16" t="s">
        <v>6984</v>
      </c>
      <c r="IKO16" t="s">
        <v>6984</v>
      </c>
      <c r="IKP16" t="s">
        <v>6984</v>
      </c>
      <c r="IKQ16" t="s">
        <v>6984</v>
      </c>
      <c r="IKR16" t="s">
        <v>6984</v>
      </c>
      <c r="IKS16" t="s">
        <v>6984</v>
      </c>
      <c r="IKT16" t="s">
        <v>6984</v>
      </c>
      <c r="IKU16" t="s">
        <v>6984</v>
      </c>
      <c r="IKV16" t="s">
        <v>6984</v>
      </c>
      <c r="IKW16" t="s">
        <v>6984</v>
      </c>
      <c r="IKX16" t="s">
        <v>6984</v>
      </c>
      <c r="IKY16" t="s">
        <v>6984</v>
      </c>
      <c r="IKZ16" t="s">
        <v>6984</v>
      </c>
      <c r="ILA16" t="s">
        <v>6984</v>
      </c>
      <c r="ILB16" t="s">
        <v>6984</v>
      </c>
      <c r="ILC16" t="s">
        <v>6984</v>
      </c>
      <c r="ILD16" t="s">
        <v>6984</v>
      </c>
      <c r="ILE16" t="s">
        <v>6984</v>
      </c>
      <c r="ILF16" t="s">
        <v>6984</v>
      </c>
      <c r="ILG16" t="s">
        <v>6984</v>
      </c>
      <c r="ILH16" t="s">
        <v>6984</v>
      </c>
      <c r="ILI16" t="s">
        <v>6984</v>
      </c>
      <c r="ILJ16" t="s">
        <v>6984</v>
      </c>
      <c r="ILK16" t="s">
        <v>6984</v>
      </c>
      <c r="ILL16" t="s">
        <v>6984</v>
      </c>
      <c r="ILM16" t="s">
        <v>6984</v>
      </c>
      <c r="ILN16" t="s">
        <v>6984</v>
      </c>
      <c r="ILO16" t="s">
        <v>6984</v>
      </c>
      <c r="ILP16" t="s">
        <v>6984</v>
      </c>
      <c r="ILQ16" t="s">
        <v>6984</v>
      </c>
      <c r="ILR16" t="s">
        <v>6984</v>
      </c>
      <c r="ILS16" t="s">
        <v>6984</v>
      </c>
      <c r="ILT16" t="s">
        <v>6984</v>
      </c>
      <c r="ILU16" t="s">
        <v>6984</v>
      </c>
      <c r="ILV16" t="s">
        <v>6984</v>
      </c>
      <c r="ILW16" t="s">
        <v>6984</v>
      </c>
      <c r="ILX16" t="s">
        <v>6984</v>
      </c>
      <c r="ILY16" t="s">
        <v>6984</v>
      </c>
      <c r="ILZ16" t="s">
        <v>6984</v>
      </c>
      <c r="IMA16" t="s">
        <v>6984</v>
      </c>
      <c r="IMB16" t="s">
        <v>6984</v>
      </c>
      <c r="IMC16" t="s">
        <v>6984</v>
      </c>
      <c r="IMD16" t="s">
        <v>6984</v>
      </c>
      <c r="IME16" t="s">
        <v>6984</v>
      </c>
      <c r="IMF16" t="s">
        <v>6984</v>
      </c>
      <c r="IMG16" t="s">
        <v>6984</v>
      </c>
      <c r="IMH16" t="s">
        <v>6984</v>
      </c>
      <c r="IMI16" t="s">
        <v>6984</v>
      </c>
      <c r="IMJ16" t="s">
        <v>6984</v>
      </c>
      <c r="IMK16" t="s">
        <v>6984</v>
      </c>
      <c r="IML16" t="s">
        <v>6984</v>
      </c>
      <c r="IMM16" t="s">
        <v>6984</v>
      </c>
      <c r="IMN16" t="s">
        <v>6984</v>
      </c>
      <c r="IMO16" t="s">
        <v>6984</v>
      </c>
      <c r="IMP16" t="s">
        <v>6984</v>
      </c>
      <c r="IMQ16" t="s">
        <v>6984</v>
      </c>
      <c r="IMR16" t="s">
        <v>6984</v>
      </c>
      <c r="IMS16" t="s">
        <v>6984</v>
      </c>
      <c r="IMT16" t="s">
        <v>6984</v>
      </c>
      <c r="IMU16" t="s">
        <v>6984</v>
      </c>
      <c r="IMV16" t="s">
        <v>6984</v>
      </c>
      <c r="IMW16" t="s">
        <v>6984</v>
      </c>
      <c r="IMX16" t="s">
        <v>6984</v>
      </c>
      <c r="IMY16" t="s">
        <v>6984</v>
      </c>
      <c r="IMZ16" t="s">
        <v>6984</v>
      </c>
      <c r="INA16" t="s">
        <v>6984</v>
      </c>
      <c r="INB16" t="s">
        <v>6984</v>
      </c>
      <c r="INC16" t="s">
        <v>6984</v>
      </c>
      <c r="IND16" t="s">
        <v>6984</v>
      </c>
      <c r="INE16" t="s">
        <v>6984</v>
      </c>
      <c r="INF16" t="s">
        <v>6984</v>
      </c>
      <c r="ING16" t="s">
        <v>6984</v>
      </c>
      <c r="INH16" t="s">
        <v>6984</v>
      </c>
      <c r="INI16" t="s">
        <v>6984</v>
      </c>
      <c r="INJ16" t="s">
        <v>6984</v>
      </c>
      <c r="INK16" t="s">
        <v>6984</v>
      </c>
      <c r="INL16" t="s">
        <v>6984</v>
      </c>
      <c r="INM16" t="s">
        <v>6984</v>
      </c>
      <c r="INN16" t="s">
        <v>6984</v>
      </c>
      <c r="INO16" t="s">
        <v>6984</v>
      </c>
      <c r="INP16" t="s">
        <v>6984</v>
      </c>
      <c r="INQ16" t="s">
        <v>6984</v>
      </c>
      <c r="INR16" t="s">
        <v>6984</v>
      </c>
      <c r="INS16" t="s">
        <v>6984</v>
      </c>
      <c r="INT16" t="s">
        <v>6984</v>
      </c>
      <c r="INU16" t="s">
        <v>6984</v>
      </c>
      <c r="INV16" t="s">
        <v>6984</v>
      </c>
      <c r="INW16" t="s">
        <v>6984</v>
      </c>
      <c r="INX16" t="s">
        <v>6984</v>
      </c>
      <c r="INY16" t="s">
        <v>6984</v>
      </c>
      <c r="INZ16" t="s">
        <v>6984</v>
      </c>
      <c r="IOA16" t="s">
        <v>6984</v>
      </c>
      <c r="IOB16" t="s">
        <v>6984</v>
      </c>
      <c r="IOC16" t="s">
        <v>6984</v>
      </c>
      <c r="IOD16" t="s">
        <v>6984</v>
      </c>
      <c r="IOE16" t="s">
        <v>6984</v>
      </c>
      <c r="IOF16" t="s">
        <v>6984</v>
      </c>
      <c r="IOG16" t="s">
        <v>6984</v>
      </c>
      <c r="IOH16" t="s">
        <v>6984</v>
      </c>
      <c r="IOI16" t="s">
        <v>6984</v>
      </c>
      <c r="IOJ16" t="s">
        <v>6984</v>
      </c>
      <c r="IOK16" t="s">
        <v>6984</v>
      </c>
      <c r="IOL16" t="s">
        <v>6984</v>
      </c>
      <c r="IOM16" t="s">
        <v>6984</v>
      </c>
      <c r="ION16" t="s">
        <v>6984</v>
      </c>
      <c r="IOO16" t="s">
        <v>6984</v>
      </c>
      <c r="IOP16" t="s">
        <v>6984</v>
      </c>
      <c r="IOQ16" t="s">
        <v>6984</v>
      </c>
      <c r="IOR16" t="s">
        <v>6984</v>
      </c>
      <c r="IOS16" t="s">
        <v>6984</v>
      </c>
      <c r="IOT16" t="s">
        <v>6984</v>
      </c>
      <c r="IOU16" t="s">
        <v>6984</v>
      </c>
      <c r="IOV16" t="s">
        <v>6984</v>
      </c>
      <c r="IOW16" t="s">
        <v>6984</v>
      </c>
      <c r="IOX16" t="s">
        <v>6984</v>
      </c>
      <c r="IOY16" t="s">
        <v>6984</v>
      </c>
      <c r="IOZ16" t="s">
        <v>6984</v>
      </c>
      <c r="IPA16" t="s">
        <v>6984</v>
      </c>
      <c r="IPB16" t="s">
        <v>6984</v>
      </c>
      <c r="IPC16" t="s">
        <v>6984</v>
      </c>
      <c r="IPD16" t="s">
        <v>6984</v>
      </c>
      <c r="IPE16" t="s">
        <v>6984</v>
      </c>
      <c r="IPF16" t="s">
        <v>6984</v>
      </c>
      <c r="IPG16" t="s">
        <v>6984</v>
      </c>
      <c r="IPH16" t="s">
        <v>6984</v>
      </c>
      <c r="IPI16" t="s">
        <v>6984</v>
      </c>
      <c r="IPJ16" t="s">
        <v>6984</v>
      </c>
      <c r="IPK16" t="s">
        <v>6984</v>
      </c>
      <c r="IPL16" t="s">
        <v>6984</v>
      </c>
      <c r="IPM16" t="s">
        <v>6984</v>
      </c>
      <c r="IPN16" t="s">
        <v>6984</v>
      </c>
      <c r="IPO16" t="s">
        <v>6984</v>
      </c>
      <c r="IPP16" t="s">
        <v>6984</v>
      </c>
      <c r="IPQ16" t="s">
        <v>6984</v>
      </c>
      <c r="IPR16" t="s">
        <v>6984</v>
      </c>
      <c r="IPS16" t="s">
        <v>6984</v>
      </c>
      <c r="IPT16" t="s">
        <v>6984</v>
      </c>
      <c r="IPU16" t="s">
        <v>6984</v>
      </c>
      <c r="IPV16" t="s">
        <v>6984</v>
      </c>
      <c r="IPW16" t="s">
        <v>6984</v>
      </c>
      <c r="IPX16" t="s">
        <v>6984</v>
      </c>
      <c r="IPY16" t="s">
        <v>6984</v>
      </c>
      <c r="IPZ16" t="s">
        <v>6984</v>
      </c>
      <c r="IQA16" t="s">
        <v>6984</v>
      </c>
      <c r="IQB16" t="s">
        <v>6984</v>
      </c>
      <c r="IQC16" t="s">
        <v>6984</v>
      </c>
      <c r="IQD16" t="s">
        <v>6984</v>
      </c>
      <c r="IQE16" t="s">
        <v>6984</v>
      </c>
      <c r="IQF16" t="s">
        <v>6984</v>
      </c>
      <c r="IQG16" t="s">
        <v>6984</v>
      </c>
      <c r="IQH16" t="s">
        <v>6984</v>
      </c>
      <c r="IQI16" t="s">
        <v>6984</v>
      </c>
      <c r="IQJ16" t="s">
        <v>6984</v>
      </c>
      <c r="IQK16" t="s">
        <v>6984</v>
      </c>
      <c r="IQL16" t="s">
        <v>6984</v>
      </c>
      <c r="IQM16" t="s">
        <v>6984</v>
      </c>
      <c r="IQN16" t="s">
        <v>6984</v>
      </c>
      <c r="IQO16" t="s">
        <v>6984</v>
      </c>
      <c r="IQP16" t="s">
        <v>6984</v>
      </c>
      <c r="IQQ16" t="s">
        <v>6984</v>
      </c>
      <c r="IQR16" t="s">
        <v>6984</v>
      </c>
      <c r="IQS16" t="s">
        <v>6984</v>
      </c>
      <c r="IQT16" t="s">
        <v>6984</v>
      </c>
      <c r="IQU16" t="s">
        <v>6984</v>
      </c>
      <c r="IQV16" t="s">
        <v>6984</v>
      </c>
      <c r="IQW16" t="s">
        <v>6984</v>
      </c>
      <c r="IQX16" t="s">
        <v>6984</v>
      </c>
      <c r="IQY16" t="s">
        <v>6984</v>
      </c>
      <c r="IQZ16" t="s">
        <v>6984</v>
      </c>
      <c r="IRA16" t="s">
        <v>6984</v>
      </c>
      <c r="IRB16" t="s">
        <v>6984</v>
      </c>
      <c r="IRC16" t="s">
        <v>6984</v>
      </c>
      <c r="IRD16" t="s">
        <v>6984</v>
      </c>
      <c r="IRE16" t="s">
        <v>6984</v>
      </c>
      <c r="IRF16" t="s">
        <v>6984</v>
      </c>
      <c r="IRG16" t="s">
        <v>6984</v>
      </c>
      <c r="IRH16" t="s">
        <v>6984</v>
      </c>
      <c r="IRI16" t="s">
        <v>6984</v>
      </c>
      <c r="IRJ16" t="s">
        <v>6984</v>
      </c>
      <c r="IRK16" t="s">
        <v>6984</v>
      </c>
      <c r="IRL16" t="s">
        <v>6984</v>
      </c>
      <c r="IRM16" t="s">
        <v>6984</v>
      </c>
      <c r="IRN16" t="s">
        <v>6984</v>
      </c>
      <c r="IRO16" t="s">
        <v>6984</v>
      </c>
      <c r="IRP16" t="s">
        <v>6984</v>
      </c>
      <c r="IRQ16" t="s">
        <v>6984</v>
      </c>
      <c r="IRR16" t="s">
        <v>6984</v>
      </c>
      <c r="IRS16" t="s">
        <v>6984</v>
      </c>
      <c r="IRT16" t="s">
        <v>6984</v>
      </c>
      <c r="IRU16" t="s">
        <v>6984</v>
      </c>
      <c r="IRV16" t="s">
        <v>6984</v>
      </c>
      <c r="IRW16" t="s">
        <v>6984</v>
      </c>
      <c r="IRX16" t="s">
        <v>6984</v>
      </c>
      <c r="IRY16" t="s">
        <v>6984</v>
      </c>
      <c r="IRZ16" t="s">
        <v>6984</v>
      </c>
      <c r="ISA16" t="s">
        <v>6984</v>
      </c>
      <c r="ISB16" t="s">
        <v>6984</v>
      </c>
      <c r="ISC16" t="s">
        <v>6984</v>
      </c>
      <c r="ISD16" t="s">
        <v>6984</v>
      </c>
      <c r="ISE16" t="s">
        <v>6984</v>
      </c>
      <c r="ISF16" t="s">
        <v>6984</v>
      </c>
      <c r="ISG16" t="s">
        <v>6984</v>
      </c>
      <c r="ISH16" t="s">
        <v>6984</v>
      </c>
      <c r="ISI16" t="s">
        <v>6984</v>
      </c>
      <c r="ISJ16" t="s">
        <v>6984</v>
      </c>
      <c r="ISK16" t="s">
        <v>6984</v>
      </c>
      <c r="ISL16" t="s">
        <v>6984</v>
      </c>
      <c r="ISM16" t="s">
        <v>6984</v>
      </c>
      <c r="ISN16" t="s">
        <v>6984</v>
      </c>
      <c r="ISO16" t="s">
        <v>6984</v>
      </c>
      <c r="ISP16" t="s">
        <v>6984</v>
      </c>
      <c r="ISQ16" t="s">
        <v>6984</v>
      </c>
      <c r="ISR16" t="s">
        <v>6984</v>
      </c>
      <c r="ISS16" t="s">
        <v>6984</v>
      </c>
      <c r="IST16" t="s">
        <v>6984</v>
      </c>
      <c r="ISU16" t="s">
        <v>6984</v>
      </c>
      <c r="ISV16" t="s">
        <v>6984</v>
      </c>
      <c r="ISW16" t="s">
        <v>6984</v>
      </c>
      <c r="ISX16" t="s">
        <v>6984</v>
      </c>
      <c r="ISY16" t="s">
        <v>6984</v>
      </c>
      <c r="ISZ16" t="s">
        <v>6984</v>
      </c>
      <c r="ITA16" t="s">
        <v>6984</v>
      </c>
      <c r="ITB16" t="s">
        <v>6984</v>
      </c>
      <c r="ITC16" t="s">
        <v>6984</v>
      </c>
      <c r="ITD16" t="s">
        <v>6984</v>
      </c>
      <c r="ITE16" t="s">
        <v>6984</v>
      </c>
      <c r="ITF16" t="s">
        <v>6984</v>
      </c>
      <c r="ITG16" t="s">
        <v>6984</v>
      </c>
      <c r="ITH16" t="s">
        <v>6984</v>
      </c>
      <c r="ITI16" t="s">
        <v>6984</v>
      </c>
      <c r="ITJ16" t="s">
        <v>6984</v>
      </c>
      <c r="ITK16" t="s">
        <v>6984</v>
      </c>
      <c r="ITL16" t="s">
        <v>6984</v>
      </c>
      <c r="ITM16" t="s">
        <v>6984</v>
      </c>
      <c r="ITN16" t="s">
        <v>6984</v>
      </c>
      <c r="ITO16" t="s">
        <v>6984</v>
      </c>
      <c r="ITP16" t="s">
        <v>6984</v>
      </c>
      <c r="ITQ16" t="s">
        <v>6984</v>
      </c>
      <c r="ITR16" t="s">
        <v>6984</v>
      </c>
      <c r="ITS16" t="s">
        <v>6984</v>
      </c>
      <c r="ITT16" t="s">
        <v>6984</v>
      </c>
      <c r="ITU16" t="s">
        <v>6984</v>
      </c>
      <c r="ITV16" t="s">
        <v>6984</v>
      </c>
      <c r="ITW16" t="s">
        <v>6984</v>
      </c>
      <c r="ITX16" t="s">
        <v>6984</v>
      </c>
      <c r="ITY16" t="s">
        <v>6984</v>
      </c>
      <c r="ITZ16" t="s">
        <v>6984</v>
      </c>
      <c r="IUA16" t="s">
        <v>6984</v>
      </c>
      <c r="IUB16" t="s">
        <v>6984</v>
      </c>
      <c r="IUC16" t="s">
        <v>6984</v>
      </c>
      <c r="IUD16" t="s">
        <v>6984</v>
      </c>
      <c r="IUE16" t="s">
        <v>6984</v>
      </c>
      <c r="IUF16" t="s">
        <v>6984</v>
      </c>
      <c r="IUG16" t="s">
        <v>6984</v>
      </c>
      <c r="IUH16" t="s">
        <v>6984</v>
      </c>
      <c r="IUI16" t="s">
        <v>6984</v>
      </c>
      <c r="IUJ16" t="s">
        <v>6984</v>
      </c>
      <c r="IUK16" t="s">
        <v>6984</v>
      </c>
      <c r="IUL16" t="s">
        <v>6984</v>
      </c>
      <c r="IUM16" t="s">
        <v>6984</v>
      </c>
      <c r="IUN16" t="s">
        <v>6984</v>
      </c>
      <c r="IUO16" t="s">
        <v>6984</v>
      </c>
      <c r="IUP16" t="s">
        <v>6984</v>
      </c>
      <c r="IUQ16" t="s">
        <v>6984</v>
      </c>
      <c r="IUR16" t="s">
        <v>6984</v>
      </c>
      <c r="IUS16" t="s">
        <v>6984</v>
      </c>
      <c r="IUT16" t="s">
        <v>6984</v>
      </c>
      <c r="IUU16" t="s">
        <v>6984</v>
      </c>
      <c r="IUV16" t="s">
        <v>6984</v>
      </c>
      <c r="IUW16" t="s">
        <v>6984</v>
      </c>
      <c r="IUX16" t="s">
        <v>6984</v>
      </c>
      <c r="IUY16" t="s">
        <v>6984</v>
      </c>
      <c r="IUZ16" t="s">
        <v>6984</v>
      </c>
      <c r="IVA16" t="s">
        <v>6984</v>
      </c>
      <c r="IVB16" t="s">
        <v>6984</v>
      </c>
      <c r="IVC16" t="s">
        <v>6984</v>
      </c>
      <c r="IVD16" t="s">
        <v>6984</v>
      </c>
      <c r="IVE16" t="s">
        <v>6984</v>
      </c>
      <c r="IVF16" t="s">
        <v>6984</v>
      </c>
      <c r="IVG16" t="s">
        <v>6984</v>
      </c>
      <c r="IVH16" t="s">
        <v>6984</v>
      </c>
      <c r="IVI16" t="s">
        <v>6984</v>
      </c>
      <c r="IVJ16" t="s">
        <v>6984</v>
      </c>
      <c r="IVK16" t="s">
        <v>6984</v>
      </c>
      <c r="IVL16" t="s">
        <v>6984</v>
      </c>
      <c r="IVM16" t="s">
        <v>6984</v>
      </c>
      <c r="IVN16" t="s">
        <v>6984</v>
      </c>
      <c r="IVO16" t="s">
        <v>6984</v>
      </c>
      <c r="IVP16" t="s">
        <v>6984</v>
      </c>
      <c r="IVQ16" t="s">
        <v>6984</v>
      </c>
      <c r="IVR16" t="s">
        <v>6984</v>
      </c>
      <c r="IVS16" t="s">
        <v>6984</v>
      </c>
      <c r="IVT16" t="s">
        <v>6984</v>
      </c>
      <c r="IVU16" t="s">
        <v>6984</v>
      </c>
      <c r="IVV16" t="s">
        <v>6984</v>
      </c>
      <c r="IVW16" t="s">
        <v>6984</v>
      </c>
      <c r="IVX16" t="s">
        <v>6984</v>
      </c>
      <c r="IVY16" t="s">
        <v>6984</v>
      </c>
      <c r="IVZ16" t="s">
        <v>6984</v>
      </c>
      <c r="IWA16" t="s">
        <v>6984</v>
      </c>
      <c r="IWB16" t="s">
        <v>6984</v>
      </c>
      <c r="IWC16" t="s">
        <v>6984</v>
      </c>
      <c r="IWD16" t="s">
        <v>6984</v>
      </c>
      <c r="IWE16" t="s">
        <v>6984</v>
      </c>
      <c r="IWF16" t="s">
        <v>6984</v>
      </c>
      <c r="IWG16" t="s">
        <v>6984</v>
      </c>
      <c r="IWH16" t="s">
        <v>6984</v>
      </c>
      <c r="IWI16" t="s">
        <v>6984</v>
      </c>
      <c r="IWJ16" t="s">
        <v>6984</v>
      </c>
      <c r="IWK16" t="s">
        <v>6984</v>
      </c>
      <c r="IWL16" t="s">
        <v>6984</v>
      </c>
      <c r="IWM16" t="s">
        <v>6984</v>
      </c>
      <c r="IWN16" t="s">
        <v>6984</v>
      </c>
      <c r="IWO16" t="s">
        <v>6984</v>
      </c>
      <c r="IWP16" t="s">
        <v>6984</v>
      </c>
      <c r="IWQ16" t="s">
        <v>6984</v>
      </c>
      <c r="IWR16" t="s">
        <v>6984</v>
      </c>
      <c r="IWS16" t="s">
        <v>6984</v>
      </c>
      <c r="IWT16" t="s">
        <v>6984</v>
      </c>
      <c r="IWU16" t="s">
        <v>6984</v>
      </c>
      <c r="IWV16" t="s">
        <v>6984</v>
      </c>
      <c r="IWW16" t="s">
        <v>6984</v>
      </c>
      <c r="IWX16" t="s">
        <v>6984</v>
      </c>
      <c r="IWY16" t="s">
        <v>6984</v>
      </c>
      <c r="IWZ16" t="s">
        <v>6984</v>
      </c>
      <c r="IXA16" t="s">
        <v>6984</v>
      </c>
      <c r="IXB16" t="s">
        <v>6984</v>
      </c>
      <c r="IXC16" t="s">
        <v>6984</v>
      </c>
      <c r="IXD16" t="s">
        <v>6984</v>
      </c>
      <c r="IXE16" t="s">
        <v>6984</v>
      </c>
      <c r="IXF16" t="s">
        <v>6984</v>
      </c>
      <c r="IXG16" t="s">
        <v>6984</v>
      </c>
      <c r="IXH16" t="s">
        <v>6984</v>
      </c>
      <c r="IXI16" t="s">
        <v>6984</v>
      </c>
      <c r="IXJ16" t="s">
        <v>6984</v>
      </c>
      <c r="IXK16" t="s">
        <v>6984</v>
      </c>
      <c r="IXL16" t="s">
        <v>6984</v>
      </c>
      <c r="IXM16" t="s">
        <v>6984</v>
      </c>
      <c r="IXN16" t="s">
        <v>6984</v>
      </c>
      <c r="IXO16" t="s">
        <v>6984</v>
      </c>
      <c r="IXP16" t="s">
        <v>6984</v>
      </c>
      <c r="IXQ16" t="s">
        <v>6984</v>
      </c>
      <c r="IXR16" t="s">
        <v>6984</v>
      </c>
      <c r="IXS16" t="s">
        <v>6984</v>
      </c>
      <c r="IXT16" t="s">
        <v>6984</v>
      </c>
      <c r="IXU16" t="s">
        <v>6984</v>
      </c>
      <c r="IXV16" t="s">
        <v>6984</v>
      </c>
      <c r="IXW16" t="s">
        <v>6984</v>
      </c>
      <c r="IXX16" t="s">
        <v>6984</v>
      </c>
      <c r="IXY16" t="s">
        <v>6984</v>
      </c>
      <c r="IXZ16" t="s">
        <v>6984</v>
      </c>
      <c r="IYA16" t="s">
        <v>6984</v>
      </c>
      <c r="IYB16" t="s">
        <v>6984</v>
      </c>
      <c r="IYC16" t="s">
        <v>6984</v>
      </c>
      <c r="IYD16" t="s">
        <v>6984</v>
      </c>
      <c r="IYE16" t="s">
        <v>6984</v>
      </c>
      <c r="IYF16" t="s">
        <v>6984</v>
      </c>
      <c r="IYG16" t="s">
        <v>6984</v>
      </c>
      <c r="IYH16" t="s">
        <v>6984</v>
      </c>
      <c r="IYI16" t="s">
        <v>6984</v>
      </c>
      <c r="IYJ16" t="s">
        <v>6984</v>
      </c>
      <c r="IYK16" t="s">
        <v>6984</v>
      </c>
      <c r="IYL16" t="s">
        <v>6984</v>
      </c>
      <c r="IYM16" t="s">
        <v>6984</v>
      </c>
      <c r="IYN16" t="s">
        <v>6984</v>
      </c>
      <c r="IYO16" t="s">
        <v>6984</v>
      </c>
      <c r="IYP16" t="s">
        <v>6984</v>
      </c>
      <c r="IYQ16" t="s">
        <v>6984</v>
      </c>
      <c r="IYR16" t="s">
        <v>6984</v>
      </c>
      <c r="IYS16" t="s">
        <v>6984</v>
      </c>
      <c r="IYT16" t="s">
        <v>6984</v>
      </c>
      <c r="IYU16" t="s">
        <v>6984</v>
      </c>
      <c r="IYV16" t="s">
        <v>6984</v>
      </c>
      <c r="IYW16" t="s">
        <v>6984</v>
      </c>
      <c r="IYX16" t="s">
        <v>6984</v>
      </c>
      <c r="IYY16" t="s">
        <v>6984</v>
      </c>
      <c r="IYZ16" t="s">
        <v>6984</v>
      </c>
      <c r="IZA16" t="s">
        <v>6984</v>
      </c>
      <c r="IZB16" t="s">
        <v>6984</v>
      </c>
      <c r="IZC16" t="s">
        <v>6984</v>
      </c>
      <c r="IZD16" t="s">
        <v>6984</v>
      </c>
      <c r="IZE16" t="s">
        <v>6984</v>
      </c>
      <c r="IZF16" t="s">
        <v>6984</v>
      </c>
      <c r="IZG16" t="s">
        <v>6984</v>
      </c>
      <c r="IZH16" t="s">
        <v>6984</v>
      </c>
      <c r="IZI16" t="s">
        <v>6984</v>
      </c>
      <c r="IZJ16" t="s">
        <v>6984</v>
      </c>
      <c r="IZK16" t="s">
        <v>6984</v>
      </c>
      <c r="IZL16" t="s">
        <v>6984</v>
      </c>
      <c r="IZM16" t="s">
        <v>6984</v>
      </c>
      <c r="IZN16" t="s">
        <v>6984</v>
      </c>
      <c r="IZO16" t="s">
        <v>6984</v>
      </c>
      <c r="IZP16" t="s">
        <v>6984</v>
      </c>
      <c r="IZQ16" t="s">
        <v>6984</v>
      </c>
      <c r="IZR16" t="s">
        <v>6984</v>
      </c>
      <c r="IZS16" t="s">
        <v>6984</v>
      </c>
      <c r="IZT16" t="s">
        <v>6984</v>
      </c>
      <c r="IZU16" t="s">
        <v>6984</v>
      </c>
      <c r="IZV16" t="s">
        <v>6984</v>
      </c>
      <c r="IZW16" t="s">
        <v>6984</v>
      </c>
      <c r="IZX16" t="s">
        <v>6984</v>
      </c>
      <c r="IZY16" t="s">
        <v>6984</v>
      </c>
      <c r="IZZ16" t="s">
        <v>6984</v>
      </c>
      <c r="JAA16" t="s">
        <v>6984</v>
      </c>
      <c r="JAB16" t="s">
        <v>6984</v>
      </c>
      <c r="JAC16" t="s">
        <v>6984</v>
      </c>
      <c r="JAD16" t="s">
        <v>6984</v>
      </c>
      <c r="JAE16" t="s">
        <v>6984</v>
      </c>
      <c r="JAF16" t="s">
        <v>6984</v>
      </c>
      <c r="JAG16" t="s">
        <v>6984</v>
      </c>
      <c r="JAH16" t="s">
        <v>6984</v>
      </c>
      <c r="JAI16" t="s">
        <v>6984</v>
      </c>
      <c r="JAJ16" t="s">
        <v>6984</v>
      </c>
      <c r="JAK16" t="s">
        <v>6984</v>
      </c>
      <c r="JAL16" t="s">
        <v>6984</v>
      </c>
      <c r="JAM16" t="s">
        <v>6984</v>
      </c>
      <c r="JAN16" t="s">
        <v>6984</v>
      </c>
      <c r="JAO16" t="s">
        <v>6984</v>
      </c>
      <c r="JAP16" t="s">
        <v>6984</v>
      </c>
      <c r="JAQ16" t="s">
        <v>6984</v>
      </c>
      <c r="JAR16" t="s">
        <v>6984</v>
      </c>
      <c r="JAS16" t="s">
        <v>6984</v>
      </c>
      <c r="JAT16" t="s">
        <v>6984</v>
      </c>
      <c r="JAU16" t="s">
        <v>6984</v>
      </c>
      <c r="JAV16" t="s">
        <v>6984</v>
      </c>
      <c r="JAW16" t="s">
        <v>6984</v>
      </c>
      <c r="JAX16" t="s">
        <v>6984</v>
      </c>
      <c r="JAY16" t="s">
        <v>6984</v>
      </c>
      <c r="JAZ16" t="s">
        <v>6984</v>
      </c>
      <c r="JBA16" t="s">
        <v>6984</v>
      </c>
      <c r="JBB16" t="s">
        <v>6984</v>
      </c>
      <c r="JBC16" t="s">
        <v>6984</v>
      </c>
      <c r="JBD16" t="s">
        <v>6984</v>
      </c>
      <c r="JBE16" t="s">
        <v>6984</v>
      </c>
      <c r="JBF16" t="s">
        <v>6984</v>
      </c>
      <c r="JBG16" t="s">
        <v>6984</v>
      </c>
      <c r="JBH16" t="s">
        <v>6984</v>
      </c>
      <c r="JBI16" t="s">
        <v>6984</v>
      </c>
      <c r="JBJ16" t="s">
        <v>6984</v>
      </c>
      <c r="JBK16" t="s">
        <v>6984</v>
      </c>
      <c r="JBL16" t="s">
        <v>6984</v>
      </c>
      <c r="JBM16" t="s">
        <v>6984</v>
      </c>
      <c r="JBN16" t="s">
        <v>6984</v>
      </c>
      <c r="JBO16" t="s">
        <v>6984</v>
      </c>
      <c r="JBP16" t="s">
        <v>6984</v>
      </c>
      <c r="JBQ16" t="s">
        <v>6984</v>
      </c>
      <c r="JBR16" t="s">
        <v>6984</v>
      </c>
      <c r="JBS16" t="s">
        <v>6984</v>
      </c>
      <c r="JBT16" t="s">
        <v>6984</v>
      </c>
      <c r="JBU16" t="s">
        <v>6984</v>
      </c>
      <c r="JBV16" t="s">
        <v>6984</v>
      </c>
      <c r="JBW16" t="s">
        <v>6984</v>
      </c>
      <c r="JBX16" t="s">
        <v>6984</v>
      </c>
      <c r="JBY16" t="s">
        <v>6984</v>
      </c>
      <c r="JBZ16" t="s">
        <v>6984</v>
      </c>
      <c r="JCA16" t="s">
        <v>6984</v>
      </c>
      <c r="JCB16" t="s">
        <v>6984</v>
      </c>
      <c r="JCC16" t="s">
        <v>6984</v>
      </c>
      <c r="JCD16" t="s">
        <v>6984</v>
      </c>
      <c r="JCE16" t="s">
        <v>6984</v>
      </c>
      <c r="JCF16" t="s">
        <v>6984</v>
      </c>
      <c r="JCG16" t="s">
        <v>6984</v>
      </c>
      <c r="JCH16" t="s">
        <v>6984</v>
      </c>
      <c r="JCI16" t="s">
        <v>6984</v>
      </c>
      <c r="JCJ16" t="s">
        <v>6984</v>
      </c>
      <c r="JCK16" t="s">
        <v>6984</v>
      </c>
      <c r="JCL16" t="s">
        <v>6984</v>
      </c>
      <c r="JCM16" t="s">
        <v>6984</v>
      </c>
      <c r="JCN16" t="s">
        <v>6984</v>
      </c>
      <c r="JCO16" t="s">
        <v>6984</v>
      </c>
      <c r="JCP16" t="s">
        <v>6984</v>
      </c>
      <c r="JCQ16" t="s">
        <v>6984</v>
      </c>
      <c r="JCR16" t="s">
        <v>6984</v>
      </c>
      <c r="JCS16" t="s">
        <v>6984</v>
      </c>
      <c r="JCT16" t="s">
        <v>6984</v>
      </c>
      <c r="JCU16" t="s">
        <v>6984</v>
      </c>
      <c r="JCV16" t="s">
        <v>6984</v>
      </c>
      <c r="JCW16" t="s">
        <v>6984</v>
      </c>
      <c r="JCX16" t="s">
        <v>6984</v>
      </c>
      <c r="JCY16" t="s">
        <v>6984</v>
      </c>
      <c r="JCZ16" t="s">
        <v>6984</v>
      </c>
      <c r="JDA16" t="s">
        <v>6984</v>
      </c>
      <c r="JDB16" t="s">
        <v>6984</v>
      </c>
      <c r="JDC16" t="s">
        <v>6984</v>
      </c>
      <c r="JDD16" t="s">
        <v>6984</v>
      </c>
      <c r="JDE16" t="s">
        <v>6984</v>
      </c>
      <c r="JDF16" t="s">
        <v>6984</v>
      </c>
      <c r="JDG16" t="s">
        <v>6984</v>
      </c>
      <c r="JDH16" t="s">
        <v>6984</v>
      </c>
      <c r="JDI16" t="s">
        <v>6984</v>
      </c>
      <c r="JDJ16" t="s">
        <v>6984</v>
      </c>
      <c r="JDK16" t="s">
        <v>6984</v>
      </c>
      <c r="JDL16" t="s">
        <v>6984</v>
      </c>
      <c r="JDM16" t="s">
        <v>6984</v>
      </c>
      <c r="JDN16" t="s">
        <v>6984</v>
      </c>
      <c r="JDO16" t="s">
        <v>6984</v>
      </c>
      <c r="JDP16" t="s">
        <v>6984</v>
      </c>
      <c r="JDQ16" t="s">
        <v>6984</v>
      </c>
      <c r="JDR16" t="s">
        <v>6984</v>
      </c>
      <c r="JDS16" t="s">
        <v>6984</v>
      </c>
      <c r="JDT16" t="s">
        <v>6984</v>
      </c>
      <c r="JDU16" t="s">
        <v>6984</v>
      </c>
      <c r="JDV16" t="s">
        <v>6984</v>
      </c>
      <c r="JDW16" t="s">
        <v>6984</v>
      </c>
      <c r="JDX16" t="s">
        <v>6984</v>
      </c>
      <c r="JDY16" t="s">
        <v>6984</v>
      </c>
      <c r="JDZ16" t="s">
        <v>6984</v>
      </c>
      <c r="JEA16" t="s">
        <v>6984</v>
      </c>
      <c r="JEB16" t="s">
        <v>6984</v>
      </c>
      <c r="JEC16" t="s">
        <v>6984</v>
      </c>
      <c r="JED16" t="s">
        <v>6984</v>
      </c>
      <c r="JEE16" t="s">
        <v>6984</v>
      </c>
      <c r="JEF16" t="s">
        <v>6984</v>
      </c>
      <c r="JEG16" t="s">
        <v>6984</v>
      </c>
      <c r="JEH16" t="s">
        <v>6984</v>
      </c>
      <c r="JEI16" t="s">
        <v>6984</v>
      </c>
      <c r="JEJ16" t="s">
        <v>6984</v>
      </c>
      <c r="JEK16" t="s">
        <v>6984</v>
      </c>
      <c r="JEL16" t="s">
        <v>6984</v>
      </c>
      <c r="JEM16" t="s">
        <v>6984</v>
      </c>
      <c r="JEN16" t="s">
        <v>6984</v>
      </c>
      <c r="JEO16" t="s">
        <v>6984</v>
      </c>
      <c r="JEP16" t="s">
        <v>6984</v>
      </c>
      <c r="JEQ16" t="s">
        <v>6984</v>
      </c>
      <c r="JER16" t="s">
        <v>6984</v>
      </c>
      <c r="JES16" t="s">
        <v>6984</v>
      </c>
      <c r="JET16" t="s">
        <v>6984</v>
      </c>
      <c r="JEU16" t="s">
        <v>6984</v>
      </c>
      <c r="JEV16" t="s">
        <v>6984</v>
      </c>
      <c r="JEW16" t="s">
        <v>6984</v>
      </c>
      <c r="JEX16" t="s">
        <v>6984</v>
      </c>
      <c r="JEY16" t="s">
        <v>6984</v>
      </c>
      <c r="JEZ16" t="s">
        <v>6984</v>
      </c>
      <c r="JFA16" t="s">
        <v>6984</v>
      </c>
      <c r="JFB16" t="s">
        <v>6984</v>
      </c>
      <c r="JFC16" t="s">
        <v>6984</v>
      </c>
      <c r="JFD16" t="s">
        <v>6984</v>
      </c>
      <c r="JFE16" t="s">
        <v>6984</v>
      </c>
      <c r="JFF16" t="s">
        <v>6984</v>
      </c>
      <c r="JFG16" t="s">
        <v>6984</v>
      </c>
      <c r="JFH16" t="s">
        <v>6984</v>
      </c>
      <c r="JFI16" t="s">
        <v>6984</v>
      </c>
      <c r="JFJ16" t="s">
        <v>6984</v>
      </c>
      <c r="JFK16" t="s">
        <v>6984</v>
      </c>
      <c r="JFL16" t="s">
        <v>6984</v>
      </c>
      <c r="JFM16" t="s">
        <v>6984</v>
      </c>
      <c r="JFN16" t="s">
        <v>6984</v>
      </c>
      <c r="JFO16" t="s">
        <v>6984</v>
      </c>
      <c r="JFP16" t="s">
        <v>6984</v>
      </c>
      <c r="JFQ16" t="s">
        <v>6984</v>
      </c>
      <c r="JFR16" t="s">
        <v>6984</v>
      </c>
      <c r="JFS16" t="s">
        <v>6984</v>
      </c>
      <c r="JFT16" t="s">
        <v>6984</v>
      </c>
      <c r="JFU16" t="s">
        <v>6984</v>
      </c>
      <c r="JFV16" t="s">
        <v>6984</v>
      </c>
      <c r="JFW16" t="s">
        <v>6984</v>
      </c>
      <c r="JFX16" t="s">
        <v>6984</v>
      </c>
      <c r="JFY16" t="s">
        <v>6984</v>
      </c>
      <c r="JFZ16" t="s">
        <v>6984</v>
      </c>
      <c r="JGA16" t="s">
        <v>6984</v>
      </c>
      <c r="JGB16" t="s">
        <v>6984</v>
      </c>
      <c r="JGC16" t="s">
        <v>6984</v>
      </c>
      <c r="JGD16" t="s">
        <v>6984</v>
      </c>
      <c r="JGE16" t="s">
        <v>6984</v>
      </c>
      <c r="JGF16" t="s">
        <v>6984</v>
      </c>
      <c r="JGG16" t="s">
        <v>6984</v>
      </c>
      <c r="JGH16" t="s">
        <v>6984</v>
      </c>
      <c r="JGI16" t="s">
        <v>6984</v>
      </c>
      <c r="JGJ16" t="s">
        <v>6984</v>
      </c>
      <c r="JGK16" t="s">
        <v>6984</v>
      </c>
      <c r="JGL16" t="s">
        <v>6984</v>
      </c>
      <c r="JGM16" t="s">
        <v>6984</v>
      </c>
      <c r="JGN16" t="s">
        <v>6984</v>
      </c>
      <c r="JGO16" t="s">
        <v>6984</v>
      </c>
      <c r="JGP16" t="s">
        <v>6984</v>
      </c>
      <c r="JGQ16" t="s">
        <v>6984</v>
      </c>
      <c r="JGR16" t="s">
        <v>6984</v>
      </c>
      <c r="JGS16" t="s">
        <v>6984</v>
      </c>
      <c r="JGT16" t="s">
        <v>6984</v>
      </c>
      <c r="JGU16" t="s">
        <v>6984</v>
      </c>
      <c r="JGV16" t="s">
        <v>6984</v>
      </c>
      <c r="JGW16" t="s">
        <v>6984</v>
      </c>
      <c r="JGX16" t="s">
        <v>6984</v>
      </c>
      <c r="JGY16" t="s">
        <v>6984</v>
      </c>
      <c r="JGZ16" t="s">
        <v>6984</v>
      </c>
      <c r="JHA16" t="s">
        <v>6984</v>
      </c>
      <c r="JHB16" t="s">
        <v>6984</v>
      </c>
      <c r="JHC16" t="s">
        <v>6984</v>
      </c>
      <c r="JHD16" t="s">
        <v>6984</v>
      </c>
      <c r="JHE16" t="s">
        <v>6984</v>
      </c>
      <c r="JHF16" t="s">
        <v>6984</v>
      </c>
      <c r="JHG16" t="s">
        <v>6984</v>
      </c>
      <c r="JHH16" t="s">
        <v>6984</v>
      </c>
      <c r="JHI16" t="s">
        <v>6984</v>
      </c>
      <c r="JHJ16" t="s">
        <v>6984</v>
      </c>
      <c r="JHK16" t="s">
        <v>6984</v>
      </c>
      <c r="JHL16" t="s">
        <v>6984</v>
      </c>
      <c r="JHM16" t="s">
        <v>6984</v>
      </c>
      <c r="JHN16" t="s">
        <v>6984</v>
      </c>
      <c r="JHO16" t="s">
        <v>6984</v>
      </c>
      <c r="JHP16" t="s">
        <v>6984</v>
      </c>
      <c r="JHQ16" t="s">
        <v>6984</v>
      </c>
      <c r="JHR16" t="s">
        <v>6984</v>
      </c>
      <c r="JHS16" t="s">
        <v>6984</v>
      </c>
      <c r="JHT16" t="s">
        <v>6984</v>
      </c>
      <c r="JHU16" t="s">
        <v>6984</v>
      </c>
      <c r="JHV16" t="s">
        <v>6984</v>
      </c>
      <c r="JHW16" t="s">
        <v>6984</v>
      </c>
      <c r="JHX16" t="s">
        <v>6984</v>
      </c>
      <c r="JHY16" t="s">
        <v>6984</v>
      </c>
      <c r="JHZ16" t="s">
        <v>6984</v>
      </c>
      <c r="JIA16" t="s">
        <v>6984</v>
      </c>
      <c r="JIB16" t="s">
        <v>6984</v>
      </c>
      <c r="JIC16" t="s">
        <v>6984</v>
      </c>
      <c r="JID16" t="s">
        <v>6984</v>
      </c>
      <c r="JIE16" t="s">
        <v>6984</v>
      </c>
      <c r="JIF16" t="s">
        <v>6984</v>
      </c>
      <c r="JIG16" t="s">
        <v>6984</v>
      </c>
      <c r="JIH16" t="s">
        <v>6984</v>
      </c>
      <c r="JII16" t="s">
        <v>6984</v>
      </c>
      <c r="JIJ16" t="s">
        <v>6984</v>
      </c>
      <c r="JIK16" t="s">
        <v>6984</v>
      </c>
      <c r="JIL16" t="s">
        <v>6984</v>
      </c>
      <c r="JIM16" t="s">
        <v>6984</v>
      </c>
      <c r="JIN16" t="s">
        <v>6984</v>
      </c>
      <c r="JIO16" t="s">
        <v>6984</v>
      </c>
      <c r="JIP16" t="s">
        <v>6984</v>
      </c>
      <c r="JIQ16" t="s">
        <v>6984</v>
      </c>
      <c r="JIR16" t="s">
        <v>6984</v>
      </c>
      <c r="JIS16" t="s">
        <v>6984</v>
      </c>
      <c r="JIT16" t="s">
        <v>6984</v>
      </c>
      <c r="JIU16" t="s">
        <v>6984</v>
      </c>
      <c r="JIV16" t="s">
        <v>6984</v>
      </c>
      <c r="JIW16" t="s">
        <v>6984</v>
      </c>
      <c r="JIX16" t="s">
        <v>6984</v>
      </c>
      <c r="JIY16" t="s">
        <v>6984</v>
      </c>
      <c r="JIZ16" t="s">
        <v>6984</v>
      </c>
      <c r="JJA16" t="s">
        <v>6984</v>
      </c>
    </row>
    <row r="17" spans="1:7021" x14ac:dyDescent="0.25">
      <c r="A17" t="s">
        <v>6998</v>
      </c>
      <c r="B17">
        <v>96.385000000000005</v>
      </c>
      <c r="C17">
        <v>96.385000000000005</v>
      </c>
      <c r="D17">
        <v>96.385000000000005</v>
      </c>
      <c r="E17">
        <v>96.43</v>
      </c>
      <c r="F17">
        <v>96.37</v>
      </c>
      <c r="G17">
        <v>96.385000000000005</v>
      </c>
      <c r="H17">
        <v>96.43</v>
      </c>
      <c r="I17">
        <v>96.375</v>
      </c>
      <c r="J17">
        <v>96.31</v>
      </c>
      <c r="K17">
        <v>96.3</v>
      </c>
      <c r="L17">
        <v>96.27</v>
      </c>
      <c r="M17">
        <v>96.394999999999996</v>
      </c>
      <c r="N17">
        <v>96.444999999999993</v>
      </c>
      <c r="O17">
        <v>96.364999999999995</v>
      </c>
      <c r="P17">
        <v>96.375</v>
      </c>
      <c r="Q17">
        <v>96.424999999999997</v>
      </c>
      <c r="R17">
        <v>96.405000000000001</v>
      </c>
      <c r="S17">
        <v>96.36</v>
      </c>
      <c r="T17">
        <v>96.4</v>
      </c>
      <c r="U17">
        <v>96.32</v>
      </c>
      <c r="V17">
        <v>96.32</v>
      </c>
      <c r="W17">
        <v>96.28</v>
      </c>
      <c r="X17">
        <v>96.234999999999999</v>
      </c>
      <c r="Y17">
        <v>96.334999999999994</v>
      </c>
      <c r="Z17">
        <v>96.314999999999998</v>
      </c>
      <c r="AA17">
        <v>96.325000000000003</v>
      </c>
      <c r="AB17">
        <v>96.305000000000007</v>
      </c>
      <c r="AC17">
        <v>96.215000000000003</v>
      </c>
      <c r="AD17">
        <v>96.254999999999995</v>
      </c>
      <c r="AE17">
        <v>96.275000000000006</v>
      </c>
      <c r="AF17">
        <v>96.39</v>
      </c>
      <c r="AG17">
        <v>96.385000000000005</v>
      </c>
      <c r="AH17">
        <v>96.52</v>
      </c>
      <c r="AI17">
        <v>96.484999999999999</v>
      </c>
      <c r="AJ17">
        <v>96.444999999999993</v>
      </c>
      <c r="AK17">
        <v>96.454999999999998</v>
      </c>
      <c r="AL17">
        <v>96.555000000000007</v>
      </c>
      <c r="AM17">
        <v>96.6</v>
      </c>
      <c r="AN17">
        <v>96.58</v>
      </c>
      <c r="AO17">
        <v>96.53</v>
      </c>
      <c r="AP17">
        <v>96.465000000000003</v>
      </c>
      <c r="AQ17">
        <v>96.415000000000006</v>
      </c>
      <c r="AR17">
        <v>96.334999999999994</v>
      </c>
      <c r="AS17">
        <v>96.36</v>
      </c>
      <c r="AT17">
        <v>96.364999999999995</v>
      </c>
      <c r="AU17">
        <v>96.4</v>
      </c>
      <c r="AV17">
        <v>96.4</v>
      </c>
      <c r="AW17">
        <v>96.43</v>
      </c>
      <c r="AX17">
        <v>96.355000000000004</v>
      </c>
      <c r="AY17">
        <v>96.32</v>
      </c>
      <c r="AZ17">
        <v>96.174999999999997</v>
      </c>
      <c r="BA17">
        <v>96.32</v>
      </c>
      <c r="BB17">
        <v>96.234999999999999</v>
      </c>
      <c r="BC17">
        <v>96.44</v>
      </c>
      <c r="BD17">
        <v>96.504999999999995</v>
      </c>
      <c r="BE17">
        <v>96.65</v>
      </c>
      <c r="BF17">
        <v>96.59</v>
      </c>
      <c r="BG17">
        <v>96.385000000000005</v>
      </c>
      <c r="BH17">
        <v>96.444999999999993</v>
      </c>
      <c r="BI17">
        <v>96.35</v>
      </c>
      <c r="BJ17">
        <v>96.344999999999999</v>
      </c>
      <c r="BK17">
        <v>96.22</v>
      </c>
      <c r="BL17">
        <v>96.24</v>
      </c>
      <c r="BM17">
        <v>96.26</v>
      </c>
      <c r="BN17">
        <v>96.215000000000003</v>
      </c>
      <c r="BO17">
        <v>96.3</v>
      </c>
      <c r="BP17">
        <v>96.3</v>
      </c>
      <c r="BQ17">
        <v>96.275000000000006</v>
      </c>
      <c r="BR17">
        <v>96.275000000000006</v>
      </c>
      <c r="BS17">
        <v>96.234999999999999</v>
      </c>
      <c r="BT17">
        <v>96.24</v>
      </c>
      <c r="BU17">
        <v>96.295000000000002</v>
      </c>
      <c r="BV17">
        <v>96.24</v>
      </c>
      <c r="BW17">
        <v>96.275000000000006</v>
      </c>
      <c r="BX17">
        <v>96.355000000000004</v>
      </c>
      <c r="BY17">
        <v>96.21</v>
      </c>
      <c r="BZ17">
        <v>96.245000000000005</v>
      </c>
      <c r="CA17">
        <v>96.254999999999995</v>
      </c>
      <c r="CB17">
        <v>96.34</v>
      </c>
      <c r="CC17">
        <v>96.37</v>
      </c>
      <c r="CD17">
        <v>96.33</v>
      </c>
      <c r="CE17">
        <v>96.26</v>
      </c>
      <c r="CF17">
        <v>96.295000000000002</v>
      </c>
      <c r="CG17">
        <v>96.23</v>
      </c>
      <c r="CH17">
        <v>96.09</v>
      </c>
      <c r="CI17">
        <v>96.06</v>
      </c>
      <c r="CJ17">
        <v>95.974999999999994</v>
      </c>
      <c r="CK17">
        <v>95.935000000000002</v>
      </c>
      <c r="CL17">
        <v>95.924999999999997</v>
      </c>
      <c r="CM17">
        <v>95.995000000000005</v>
      </c>
      <c r="CN17">
        <v>95.995000000000005</v>
      </c>
      <c r="CO17">
        <v>95.924999999999997</v>
      </c>
      <c r="CP17">
        <v>95.805000000000007</v>
      </c>
      <c r="CQ17">
        <v>95.95</v>
      </c>
      <c r="CR17">
        <v>96</v>
      </c>
      <c r="CS17">
        <v>95.995000000000005</v>
      </c>
      <c r="CT17">
        <v>96.05</v>
      </c>
      <c r="CU17">
        <v>96.105000000000004</v>
      </c>
      <c r="CV17">
        <v>96.004999999999995</v>
      </c>
      <c r="CW17">
        <v>95.96</v>
      </c>
      <c r="CX17">
        <v>95.93</v>
      </c>
      <c r="CY17">
        <v>95.995000000000005</v>
      </c>
      <c r="CZ17">
        <v>95.944999999999993</v>
      </c>
      <c r="DA17">
        <v>95.954999999999998</v>
      </c>
      <c r="DB17">
        <v>95.974999999999994</v>
      </c>
      <c r="DC17">
        <v>95.864999999999995</v>
      </c>
      <c r="DD17">
        <v>95.86</v>
      </c>
      <c r="DE17">
        <v>95.88</v>
      </c>
      <c r="DF17">
        <v>95.91</v>
      </c>
      <c r="DG17">
        <v>95.88</v>
      </c>
      <c r="DH17">
        <v>95.88</v>
      </c>
      <c r="DI17">
        <v>95.885000000000005</v>
      </c>
      <c r="DJ17">
        <v>95.825000000000003</v>
      </c>
      <c r="DK17">
        <v>95.665000000000006</v>
      </c>
      <c r="DL17">
        <v>95.655000000000001</v>
      </c>
      <c r="DM17">
        <v>95.694999999999993</v>
      </c>
      <c r="DN17">
        <v>95.83</v>
      </c>
      <c r="DO17">
        <v>95.81</v>
      </c>
      <c r="DP17">
        <v>95.82</v>
      </c>
      <c r="DQ17">
        <v>95.894999999999996</v>
      </c>
      <c r="DR17">
        <v>95.95</v>
      </c>
      <c r="DS17">
        <v>95.974999999999994</v>
      </c>
      <c r="DT17">
        <v>95.965000000000003</v>
      </c>
      <c r="DU17">
        <v>95.965000000000003</v>
      </c>
      <c r="DV17">
        <v>95.995000000000005</v>
      </c>
      <c r="DW17">
        <v>95.905000000000001</v>
      </c>
      <c r="DX17">
        <v>95.95</v>
      </c>
      <c r="DY17">
        <v>95.935000000000002</v>
      </c>
      <c r="DZ17">
        <v>95.935000000000002</v>
      </c>
      <c r="EA17">
        <v>95.92</v>
      </c>
      <c r="EB17">
        <v>96.01</v>
      </c>
      <c r="EC17">
        <v>95.944999999999993</v>
      </c>
      <c r="ED17">
        <v>96.05</v>
      </c>
      <c r="EE17">
        <v>96.18</v>
      </c>
      <c r="EF17">
        <v>96.165000000000006</v>
      </c>
      <c r="EG17">
        <v>96.18</v>
      </c>
      <c r="EH17">
        <v>96.254999999999995</v>
      </c>
      <c r="EI17">
        <v>96.31</v>
      </c>
      <c r="EJ17">
        <v>96.375</v>
      </c>
      <c r="EK17">
        <v>96.4</v>
      </c>
      <c r="EL17">
        <v>96.435000000000002</v>
      </c>
      <c r="EM17">
        <v>96.394999999999996</v>
      </c>
      <c r="EN17">
        <v>96.4</v>
      </c>
      <c r="EO17">
        <v>96.37</v>
      </c>
      <c r="EP17">
        <v>96.405000000000001</v>
      </c>
      <c r="EQ17">
        <v>96.41</v>
      </c>
      <c r="ER17">
        <v>96.37</v>
      </c>
      <c r="ES17">
        <v>96.37</v>
      </c>
      <c r="ET17">
        <v>96.284999999999997</v>
      </c>
      <c r="EU17">
        <v>96.334999999999994</v>
      </c>
      <c r="EV17">
        <v>96.194999999999993</v>
      </c>
      <c r="EW17">
        <v>96.17</v>
      </c>
      <c r="EX17">
        <v>96.2</v>
      </c>
      <c r="EY17">
        <v>96.224999999999994</v>
      </c>
      <c r="EZ17">
        <v>96.194999999999993</v>
      </c>
      <c r="FA17">
        <v>96.18</v>
      </c>
      <c r="FB17">
        <v>96.174999999999997</v>
      </c>
      <c r="FC17">
        <v>96.155000000000001</v>
      </c>
      <c r="FD17">
        <v>96.17</v>
      </c>
      <c r="FE17">
        <v>96.21</v>
      </c>
      <c r="FF17">
        <v>96.275000000000006</v>
      </c>
      <c r="FG17">
        <v>96.25</v>
      </c>
      <c r="FH17">
        <v>96.17</v>
      </c>
      <c r="FI17">
        <v>96.314999999999998</v>
      </c>
      <c r="FJ17">
        <v>96.295000000000002</v>
      </c>
      <c r="FK17">
        <v>96.254999999999995</v>
      </c>
      <c r="FL17">
        <v>96.305000000000007</v>
      </c>
      <c r="FM17">
        <v>96.325000000000003</v>
      </c>
      <c r="FN17">
        <v>96.34</v>
      </c>
      <c r="FO17">
        <v>96.33</v>
      </c>
      <c r="FP17">
        <v>96.38</v>
      </c>
      <c r="FQ17">
        <v>96.405000000000001</v>
      </c>
      <c r="FR17">
        <v>96.355000000000004</v>
      </c>
      <c r="FS17">
        <v>96.415000000000006</v>
      </c>
      <c r="FT17">
        <v>96.444999999999993</v>
      </c>
      <c r="FU17">
        <v>96.555000000000007</v>
      </c>
      <c r="FV17">
        <v>96.534999999999997</v>
      </c>
      <c r="FW17">
        <v>96.605000000000004</v>
      </c>
      <c r="FX17">
        <v>96.59</v>
      </c>
      <c r="FY17">
        <v>96.51</v>
      </c>
      <c r="FZ17">
        <v>96.56</v>
      </c>
      <c r="GA17">
        <v>96.534999999999997</v>
      </c>
      <c r="GB17">
        <v>96.56</v>
      </c>
      <c r="GC17">
        <v>96.594999999999999</v>
      </c>
      <c r="GD17">
        <v>96.605000000000004</v>
      </c>
      <c r="GE17">
        <v>96.644999999999996</v>
      </c>
      <c r="GF17">
        <v>96.775000000000006</v>
      </c>
      <c r="GG17">
        <v>96.85</v>
      </c>
      <c r="GH17">
        <v>96.885000000000005</v>
      </c>
      <c r="GI17">
        <v>96.814999999999998</v>
      </c>
      <c r="GJ17">
        <v>96.86</v>
      </c>
      <c r="GK17">
        <v>96.825000000000003</v>
      </c>
      <c r="GL17">
        <v>96.825000000000003</v>
      </c>
      <c r="GM17">
        <v>96.87</v>
      </c>
      <c r="GN17">
        <v>96.86</v>
      </c>
      <c r="GO17">
        <v>96.88</v>
      </c>
      <c r="GP17">
        <v>96.875</v>
      </c>
      <c r="GQ17">
        <v>96.935000000000002</v>
      </c>
      <c r="GR17">
        <v>97.015000000000001</v>
      </c>
      <c r="GS17">
        <v>97.03</v>
      </c>
      <c r="GT17">
        <v>97.03</v>
      </c>
      <c r="GU17">
        <v>97.02</v>
      </c>
      <c r="GV17">
        <v>97.055000000000007</v>
      </c>
      <c r="GW17">
        <v>97.055000000000007</v>
      </c>
      <c r="GX17">
        <v>96.995000000000005</v>
      </c>
      <c r="GY17">
        <v>96.98</v>
      </c>
      <c r="GZ17">
        <v>96.954999999999998</v>
      </c>
      <c r="HA17">
        <v>96.93</v>
      </c>
      <c r="HB17">
        <v>96.864999999999995</v>
      </c>
      <c r="HC17">
        <v>96.79</v>
      </c>
      <c r="HD17">
        <v>96.79</v>
      </c>
      <c r="HE17">
        <v>96.84</v>
      </c>
      <c r="HF17">
        <v>96.86</v>
      </c>
      <c r="HG17">
        <v>96.87</v>
      </c>
      <c r="HH17">
        <v>96.875</v>
      </c>
      <c r="HI17">
        <v>96.875</v>
      </c>
      <c r="HJ17">
        <v>96.805000000000007</v>
      </c>
      <c r="HK17">
        <v>96.89</v>
      </c>
      <c r="HL17">
        <v>96.855000000000004</v>
      </c>
      <c r="HM17">
        <v>96.795000000000002</v>
      </c>
      <c r="HN17">
        <v>96.775000000000006</v>
      </c>
      <c r="HO17">
        <v>96.75</v>
      </c>
      <c r="HP17">
        <v>96.864999999999995</v>
      </c>
      <c r="HQ17">
        <v>96.834999999999994</v>
      </c>
      <c r="HR17">
        <v>96.784999999999997</v>
      </c>
      <c r="HS17">
        <v>96.734999999999999</v>
      </c>
      <c r="HT17">
        <v>96.68</v>
      </c>
      <c r="HU17">
        <v>96.71</v>
      </c>
      <c r="HV17">
        <v>96.79</v>
      </c>
      <c r="HW17">
        <v>96.875</v>
      </c>
      <c r="HX17">
        <v>96.9</v>
      </c>
      <c r="HY17">
        <v>96.72</v>
      </c>
      <c r="HZ17">
        <v>96.605000000000004</v>
      </c>
      <c r="IA17">
        <v>96.575000000000003</v>
      </c>
      <c r="IB17">
        <v>96.534999999999997</v>
      </c>
      <c r="IC17">
        <v>96.52</v>
      </c>
      <c r="ID17">
        <v>96.454999999999998</v>
      </c>
      <c r="IE17">
        <v>96.435000000000002</v>
      </c>
      <c r="IF17">
        <v>96.46</v>
      </c>
      <c r="IG17">
        <v>96.44</v>
      </c>
      <c r="IH17">
        <v>96.444999999999993</v>
      </c>
      <c r="II17">
        <v>96.5</v>
      </c>
      <c r="IJ17">
        <v>96.55</v>
      </c>
      <c r="IK17">
        <v>96.52</v>
      </c>
      <c r="IL17">
        <v>96.47</v>
      </c>
      <c r="IM17">
        <v>96.504999999999995</v>
      </c>
      <c r="IN17">
        <v>96.515000000000001</v>
      </c>
      <c r="IO17">
        <v>96.405000000000001</v>
      </c>
      <c r="IP17">
        <v>96.385000000000005</v>
      </c>
      <c r="IQ17">
        <v>96.415000000000006</v>
      </c>
      <c r="IR17">
        <v>96.415000000000006</v>
      </c>
      <c r="IS17">
        <v>96.33</v>
      </c>
      <c r="IT17">
        <v>96.33</v>
      </c>
      <c r="IU17">
        <v>96.224999999999994</v>
      </c>
      <c r="IV17">
        <v>96.17</v>
      </c>
      <c r="IW17">
        <v>96.334999999999994</v>
      </c>
      <c r="IX17">
        <v>96.375</v>
      </c>
      <c r="IY17">
        <v>96.344999999999999</v>
      </c>
      <c r="IZ17">
        <v>96.435000000000002</v>
      </c>
      <c r="JA17">
        <v>96.424999999999997</v>
      </c>
      <c r="JB17">
        <v>96.41</v>
      </c>
      <c r="JC17">
        <v>96.41</v>
      </c>
      <c r="JD17">
        <v>96.45</v>
      </c>
      <c r="JE17">
        <v>96.45</v>
      </c>
      <c r="JF17">
        <v>96.38</v>
      </c>
      <c r="JG17">
        <v>96.454999999999998</v>
      </c>
      <c r="JH17">
        <v>96.424999999999997</v>
      </c>
      <c r="JI17">
        <v>96.35</v>
      </c>
      <c r="JJ17">
        <v>96.23</v>
      </c>
      <c r="JK17">
        <v>96.155000000000001</v>
      </c>
      <c r="JL17">
        <v>96.204999999999998</v>
      </c>
      <c r="JM17">
        <v>96.36</v>
      </c>
      <c r="JN17">
        <v>96.344999999999999</v>
      </c>
      <c r="JO17">
        <v>96.31</v>
      </c>
      <c r="JP17">
        <v>96.224999999999994</v>
      </c>
      <c r="JQ17">
        <v>96.105000000000004</v>
      </c>
      <c r="JR17">
        <v>96.055000000000007</v>
      </c>
      <c r="JS17">
        <v>95.974999999999994</v>
      </c>
      <c r="JT17">
        <v>96.064999999999998</v>
      </c>
      <c r="JU17">
        <v>96.135000000000005</v>
      </c>
      <c r="JV17">
        <v>96.135000000000005</v>
      </c>
      <c r="JW17">
        <v>96.135000000000005</v>
      </c>
      <c r="JX17">
        <v>96.185000000000002</v>
      </c>
      <c r="JY17">
        <v>96.204999999999998</v>
      </c>
      <c r="JZ17">
        <v>96.18</v>
      </c>
      <c r="KA17">
        <v>96.185000000000002</v>
      </c>
      <c r="KB17">
        <v>96.234999999999999</v>
      </c>
      <c r="KC17">
        <v>96.26</v>
      </c>
      <c r="KD17">
        <v>96.16</v>
      </c>
      <c r="KE17">
        <v>96.114999999999995</v>
      </c>
      <c r="KF17">
        <v>96.084999999999994</v>
      </c>
      <c r="KG17">
        <v>96.135000000000005</v>
      </c>
      <c r="KH17">
        <v>96.1</v>
      </c>
      <c r="KI17">
        <v>96.144999999999996</v>
      </c>
      <c r="KJ17">
        <v>96.12</v>
      </c>
      <c r="KK17">
        <v>96.105000000000004</v>
      </c>
      <c r="KL17">
        <v>96.015000000000001</v>
      </c>
      <c r="KM17">
        <v>95.984999999999999</v>
      </c>
      <c r="KN17">
        <v>95.885000000000005</v>
      </c>
      <c r="KO17">
        <v>95.965000000000003</v>
      </c>
      <c r="KP17">
        <v>95.894999999999996</v>
      </c>
      <c r="KQ17">
        <v>95.855000000000004</v>
      </c>
      <c r="KR17">
        <v>95.91</v>
      </c>
      <c r="KS17">
        <v>95.974999999999994</v>
      </c>
      <c r="KT17">
        <v>95.944999999999993</v>
      </c>
      <c r="KU17">
        <v>95.954999999999998</v>
      </c>
      <c r="KV17">
        <v>95.924999999999997</v>
      </c>
      <c r="KW17">
        <v>95.99</v>
      </c>
      <c r="KX17">
        <v>95.915000000000006</v>
      </c>
      <c r="KY17">
        <v>95.96</v>
      </c>
      <c r="KZ17">
        <v>96.105000000000004</v>
      </c>
      <c r="LA17">
        <v>96.01</v>
      </c>
      <c r="LB17">
        <v>96.03</v>
      </c>
      <c r="LC17">
        <v>96.23</v>
      </c>
      <c r="LD17">
        <v>96.17</v>
      </c>
      <c r="LE17">
        <v>96.234999999999999</v>
      </c>
      <c r="LF17">
        <v>96.295000000000002</v>
      </c>
      <c r="LG17">
        <v>96.254999999999995</v>
      </c>
      <c r="LH17">
        <v>96.234999999999999</v>
      </c>
      <c r="LI17">
        <v>96.265000000000001</v>
      </c>
      <c r="LJ17">
        <v>96.42</v>
      </c>
      <c r="LK17">
        <v>96.42</v>
      </c>
      <c r="LL17">
        <v>96.4</v>
      </c>
      <c r="LM17">
        <v>96.36</v>
      </c>
      <c r="LN17">
        <v>96.334999999999994</v>
      </c>
      <c r="LO17">
        <v>96.37</v>
      </c>
      <c r="LP17">
        <v>96.314999999999998</v>
      </c>
      <c r="LQ17">
        <v>96.32</v>
      </c>
      <c r="LR17">
        <v>96.305000000000007</v>
      </c>
      <c r="LS17">
        <v>96.25</v>
      </c>
      <c r="LT17">
        <v>96.295000000000002</v>
      </c>
      <c r="LU17">
        <v>96.31</v>
      </c>
      <c r="LV17">
        <v>96.454999999999998</v>
      </c>
      <c r="LW17">
        <v>96.47</v>
      </c>
      <c r="LX17">
        <v>96.534999999999997</v>
      </c>
      <c r="LY17">
        <v>96.55</v>
      </c>
      <c r="LZ17">
        <v>96.534999999999997</v>
      </c>
      <c r="MA17">
        <v>96.515000000000001</v>
      </c>
      <c r="MB17">
        <v>96.49</v>
      </c>
      <c r="MC17">
        <v>96.4</v>
      </c>
      <c r="MD17">
        <v>96.43</v>
      </c>
      <c r="ME17">
        <v>96.34</v>
      </c>
      <c r="MF17">
        <v>96.334999999999994</v>
      </c>
      <c r="MG17">
        <v>96.31</v>
      </c>
      <c r="MH17">
        <v>96.314999999999998</v>
      </c>
      <c r="MI17">
        <v>96.33</v>
      </c>
      <c r="MJ17">
        <v>96.254999999999995</v>
      </c>
      <c r="MK17">
        <v>96.26</v>
      </c>
      <c r="ML17">
        <v>96.305000000000007</v>
      </c>
      <c r="MM17">
        <v>96.27</v>
      </c>
      <c r="MN17">
        <v>96.27</v>
      </c>
      <c r="MO17">
        <v>96.33</v>
      </c>
      <c r="MP17">
        <v>96.3</v>
      </c>
      <c r="MQ17">
        <v>96.24</v>
      </c>
      <c r="MR17">
        <v>96.42</v>
      </c>
      <c r="MS17">
        <v>96.39</v>
      </c>
      <c r="MT17">
        <v>96.415000000000006</v>
      </c>
      <c r="MU17">
        <v>96.5</v>
      </c>
      <c r="MV17">
        <v>96.525000000000006</v>
      </c>
      <c r="MW17">
        <v>96.43</v>
      </c>
      <c r="MX17">
        <v>96.564999999999998</v>
      </c>
      <c r="MY17">
        <v>96.75</v>
      </c>
      <c r="MZ17">
        <v>96.655000000000001</v>
      </c>
      <c r="NA17">
        <v>96.555000000000007</v>
      </c>
      <c r="NB17">
        <v>96.53</v>
      </c>
      <c r="NC17">
        <v>96.45</v>
      </c>
      <c r="ND17">
        <v>96.474999999999994</v>
      </c>
      <c r="NE17">
        <v>96.424999999999997</v>
      </c>
      <c r="NF17">
        <v>96.474999999999994</v>
      </c>
      <c r="NG17">
        <v>96.52</v>
      </c>
      <c r="NH17">
        <v>96.45</v>
      </c>
      <c r="NI17">
        <v>96.46</v>
      </c>
      <c r="NJ17">
        <v>96.51</v>
      </c>
      <c r="NK17">
        <v>96.564999999999998</v>
      </c>
      <c r="NL17">
        <v>96.685000000000002</v>
      </c>
      <c r="NM17">
        <v>96.685000000000002</v>
      </c>
      <c r="NN17">
        <v>96.674999999999997</v>
      </c>
      <c r="NO17">
        <v>96.6</v>
      </c>
      <c r="NP17">
        <v>96.61</v>
      </c>
      <c r="NQ17">
        <v>96.625</v>
      </c>
      <c r="NR17">
        <v>96.605000000000004</v>
      </c>
      <c r="NS17">
        <v>96.65</v>
      </c>
      <c r="NT17">
        <v>96.76</v>
      </c>
      <c r="NU17">
        <v>96.724999999999994</v>
      </c>
      <c r="NV17">
        <v>96.81</v>
      </c>
      <c r="NW17">
        <v>96.81</v>
      </c>
      <c r="NX17">
        <v>96.805000000000007</v>
      </c>
      <c r="NY17">
        <v>96.86</v>
      </c>
      <c r="NZ17">
        <v>96.754999999999995</v>
      </c>
      <c r="OA17">
        <v>96.73</v>
      </c>
      <c r="OB17">
        <v>96.73</v>
      </c>
      <c r="OC17">
        <v>96.75</v>
      </c>
      <c r="OD17">
        <v>96.754999999999995</v>
      </c>
      <c r="OE17">
        <v>96.715000000000003</v>
      </c>
      <c r="OF17">
        <v>96.694999999999993</v>
      </c>
      <c r="OG17">
        <v>96.724999999999994</v>
      </c>
      <c r="OH17">
        <v>96.71</v>
      </c>
      <c r="OI17">
        <v>96.62</v>
      </c>
      <c r="OJ17">
        <v>96.454999999999998</v>
      </c>
      <c r="OK17">
        <v>96.405000000000001</v>
      </c>
      <c r="OL17">
        <v>96.42</v>
      </c>
      <c r="OM17">
        <v>96.555000000000007</v>
      </c>
      <c r="ON17">
        <v>96.555000000000007</v>
      </c>
      <c r="OO17">
        <v>96.51</v>
      </c>
      <c r="OP17">
        <v>96.4</v>
      </c>
      <c r="OQ17">
        <v>96.454999999999998</v>
      </c>
      <c r="OR17">
        <v>96.34</v>
      </c>
      <c r="OS17">
        <v>96.424999999999997</v>
      </c>
      <c r="OT17">
        <v>96.38</v>
      </c>
      <c r="OU17">
        <v>96.275000000000006</v>
      </c>
      <c r="OV17">
        <v>96.16</v>
      </c>
      <c r="OW17">
        <v>96.224999999999994</v>
      </c>
      <c r="OX17">
        <v>96.224999999999994</v>
      </c>
      <c r="OY17">
        <v>96.245000000000005</v>
      </c>
      <c r="OZ17">
        <v>96.234999999999999</v>
      </c>
      <c r="PA17">
        <v>96.2</v>
      </c>
      <c r="PB17">
        <v>96.21</v>
      </c>
      <c r="PC17">
        <v>96.094999999999999</v>
      </c>
      <c r="PD17">
        <v>96.194999999999993</v>
      </c>
      <c r="PE17">
        <v>95.965000000000003</v>
      </c>
      <c r="PF17">
        <v>95.974999999999994</v>
      </c>
      <c r="PG17">
        <v>96</v>
      </c>
      <c r="PH17">
        <v>96.12</v>
      </c>
      <c r="PI17">
        <v>96.08</v>
      </c>
      <c r="PJ17">
        <v>95.99</v>
      </c>
      <c r="PK17">
        <v>96.105000000000004</v>
      </c>
      <c r="PL17">
        <v>95.96</v>
      </c>
      <c r="PM17">
        <v>95.855000000000004</v>
      </c>
      <c r="PN17">
        <v>95.75</v>
      </c>
      <c r="PO17">
        <v>95.75</v>
      </c>
      <c r="PP17">
        <v>95.76</v>
      </c>
      <c r="PQ17">
        <v>95.734999999999999</v>
      </c>
      <c r="PR17">
        <v>95.6</v>
      </c>
      <c r="PS17">
        <v>95.72</v>
      </c>
      <c r="PT17">
        <v>95.734999999999999</v>
      </c>
      <c r="PU17">
        <v>95.635000000000005</v>
      </c>
      <c r="PV17">
        <v>95.53</v>
      </c>
      <c r="PW17">
        <v>95.635000000000005</v>
      </c>
      <c r="PX17">
        <v>95.715000000000003</v>
      </c>
      <c r="PY17">
        <v>95.885000000000005</v>
      </c>
      <c r="PZ17">
        <v>95.974999999999994</v>
      </c>
      <c r="QA17">
        <v>95.89</v>
      </c>
      <c r="QB17">
        <v>95.995000000000005</v>
      </c>
      <c r="QC17">
        <v>95.95</v>
      </c>
      <c r="QD17">
        <v>95.984999999999999</v>
      </c>
      <c r="QE17">
        <v>95.814999999999998</v>
      </c>
      <c r="QF17">
        <v>95.875</v>
      </c>
      <c r="QG17">
        <v>95.834999999999994</v>
      </c>
      <c r="QH17">
        <v>95.775000000000006</v>
      </c>
      <c r="QI17">
        <v>95.905000000000001</v>
      </c>
      <c r="QJ17">
        <v>96.034999999999997</v>
      </c>
      <c r="QK17">
        <v>95.98</v>
      </c>
      <c r="QL17">
        <v>95.954999999999998</v>
      </c>
      <c r="QM17">
        <v>96.034999999999997</v>
      </c>
      <c r="QN17">
        <v>96.04</v>
      </c>
      <c r="QO17">
        <v>96.12</v>
      </c>
      <c r="QP17">
        <v>96.064999999999998</v>
      </c>
      <c r="QQ17">
        <v>96.21</v>
      </c>
      <c r="QR17">
        <v>96.18</v>
      </c>
      <c r="QS17">
        <v>96.245000000000005</v>
      </c>
      <c r="QT17">
        <v>96.245000000000005</v>
      </c>
      <c r="QU17">
        <v>96.28</v>
      </c>
      <c r="QV17">
        <v>96.305000000000007</v>
      </c>
      <c r="QW17">
        <v>96.275000000000006</v>
      </c>
      <c r="QX17">
        <v>96.27</v>
      </c>
      <c r="QY17">
        <v>96.284999999999997</v>
      </c>
      <c r="QZ17">
        <v>96.295000000000002</v>
      </c>
      <c r="RA17">
        <v>96.26</v>
      </c>
      <c r="RB17">
        <v>96.33</v>
      </c>
      <c r="RC17">
        <v>96.4</v>
      </c>
      <c r="RD17">
        <v>96.4</v>
      </c>
      <c r="RE17">
        <v>96.465000000000003</v>
      </c>
      <c r="RF17">
        <v>96.435000000000002</v>
      </c>
      <c r="RG17">
        <v>96.42</v>
      </c>
      <c r="RH17">
        <v>96.305000000000007</v>
      </c>
      <c r="RI17">
        <v>96.254999999999995</v>
      </c>
      <c r="RJ17">
        <v>96.26</v>
      </c>
      <c r="RK17">
        <v>96.284999999999997</v>
      </c>
      <c r="RL17">
        <v>96.144999999999996</v>
      </c>
      <c r="RM17">
        <v>96.144999999999996</v>
      </c>
      <c r="RN17">
        <v>96.245000000000005</v>
      </c>
      <c r="RO17">
        <v>96.17</v>
      </c>
      <c r="RP17">
        <v>96.254999999999995</v>
      </c>
      <c r="RQ17">
        <v>96.295000000000002</v>
      </c>
      <c r="RR17">
        <v>96.35</v>
      </c>
      <c r="RS17">
        <v>96.375</v>
      </c>
      <c r="RT17">
        <v>96.5</v>
      </c>
      <c r="RU17">
        <v>96.605000000000004</v>
      </c>
      <c r="RV17">
        <v>96.61</v>
      </c>
      <c r="RW17">
        <v>96.555000000000007</v>
      </c>
      <c r="RX17">
        <v>96.534999999999997</v>
      </c>
      <c r="RY17">
        <v>96.38</v>
      </c>
      <c r="RZ17">
        <v>96.484999999999999</v>
      </c>
      <c r="SA17">
        <v>96.5</v>
      </c>
      <c r="SB17">
        <v>96.59</v>
      </c>
      <c r="SC17">
        <v>96.575000000000003</v>
      </c>
      <c r="SD17">
        <v>96.52</v>
      </c>
      <c r="SE17">
        <v>96.7</v>
      </c>
      <c r="SF17">
        <v>96.59</v>
      </c>
      <c r="SG17">
        <v>96.67</v>
      </c>
      <c r="SH17">
        <v>96.694999999999993</v>
      </c>
      <c r="SI17">
        <v>96.69</v>
      </c>
      <c r="SJ17">
        <v>96.855000000000004</v>
      </c>
      <c r="SK17">
        <v>96.81</v>
      </c>
      <c r="SL17">
        <v>96.78</v>
      </c>
      <c r="SM17">
        <v>96.73</v>
      </c>
      <c r="SN17">
        <v>96.8</v>
      </c>
      <c r="SO17">
        <v>96.69</v>
      </c>
      <c r="SP17">
        <v>96.52</v>
      </c>
      <c r="SQ17">
        <v>96.47</v>
      </c>
      <c r="SR17">
        <v>96.36</v>
      </c>
      <c r="SS17">
        <v>96.37</v>
      </c>
      <c r="ST17">
        <v>96.534999999999997</v>
      </c>
      <c r="SU17">
        <v>96.64</v>
      </c>
      <c r="SV17">
        <v>96.64</v>
      </c>
      <c r="SW17">
        <v>96.7</v>
      </c>
      <c r="SX17">
        <v>96.685000000000002</v>
      </c>
      <c r="SY17">
        <v>96.85</v>
      </c>
      <c r="SZ17">
        <v>96.784999999999997</v>
      </c>
      <c r="TA17">
        <v>96.834999999999994</v>
      </c>
      <c r="TB17">
        <v>96.795000000000002</v>
      </c>
      <c r="TC17">
        <v>96.754999999999995</v>
      </c>
      <c r="TD17">
        <v>96.834999999999994</v>
      </c>
      <c r="TE17">
        <v>96.83</v>
      </c>
      <c r="TF17">
        <v>96.79</v>
      </c>
      <c r="TG17">
        <v>96.79</v>
      </c>
      <c r="TH17">
        <v>96.855000000000004</v>
      </c>
      <c r="TI17">
        <v>96.765000000000001</v>
      </c>
      <c r="TJ17">
        <v>96.734999999999999</v>
      </c>
      <c r="TK17">
        <v>96.84</v>
      </c>
      <c r="TL17">
        <v>96.83</v>
      </c>
      <c r="TM17">
        <v>96.875</v>
      </c>
      <c r="TN17">
        <v>96.795000000000002</v>
      </c>
      <c r="TO17">
        <v>96.88</v>
      </c>
      <c r="TP17">
        <v>96.875</v>
      </c>
      <c r="TQ17">
        <v>96.844999999999999</v>
      </c>
      <c r="TR17">
        <v>96.98</v>
      </c>
      <c r="TS17">
        <v>96.944999999999993</v>
      </c>
      <c r="TT17">
        <v>96.855000000000004</v>
      </c>
      <c r="TU17">
        <v>96.694999999999993</v>
      </c>
      <c r="TV17">
        <v>96.694999999999993</v>
      </c>
      <c r="TW17">
        <v>96.74</v>
      </c>
      <c r="TX17">
        <v>96.86</v>
      </c>
      <c r="TY17">
        <v>96.885000000000005</v>
      </c>
      <c r="TZ17">
        <v>96.86</v>
      </c>
      <c r="UA17">
        <v>96.89</v>
      </c>
      <c r="UB17">
        <v>96.96</v>
      </c>
      <c r="UC17">
        <v>97.05</v>
      </c>
      <c r="UD17">
        <v>97.1</v>
      </c>
      <c r="UE17">
        <v>97.144999999999996</v>
      </c>
      <c r="UF17">
        <v>97.155000000000001</v>
      </c>
      <c r="UG17">
        <v>97.234999999999999</v>
      </c>
      <c r="UH17">
        <v>97.2</v>
      </c>
      <c r="UI17">
        <v>97.1</v>
      </c>
      <c r="UJ17">
        <v>97.084999999999994</v>
      </c>
      <c r="UK17">
        <v>97.135000000000005</v>
      </c>
      <c r="UL17">
        <v>97.245000000000005</v>
      </c>
      <c r="UM17">
        <v>97.17</v>
      </c>
      <c r="UN17">
        <v>97.135000000000005</v>
      </c>
      <c r="UO17">
        <v>96.98</v>
      </c>
      <c r="UP17">
        <v>97.09</v>
      </c>
      <c r="UQ17">
        <v>97.025000000000006</v>
      </c>
      <c r="UR17">
        <v>97.13</v>
      </c>
      <c r="US17">
        <v>97.17</v>
      </c>
      <c r="UT17">
        <v>97.045000000000002</v>
      </c>
      <c r="UU17">
        <v>96.974999999999994</v>
      </c>
      <c r="UV17">
        <v>97.015000000000001</v>
      </c>
      <c r="UW17">
        <v>96.95</v>
      </c>
      <c r="UX17">
        <v>96.965000000000003</v>
      </c>
      <c r="UY17">
        <v>96.944999999999993</v>
      </c>
      <c r="UZ17">
        <v>97.01</v>
      </c>
      <c r="VA17">
        <v>97.105000000000004</v>
      </c>
      <c r="VB17">
        <v>97.16</v>
      </c>
      <c r="VC17">
        <v>97.1</v>
      </c>
      <c r="VD17">
        <v>97.12</v>
      </c>
      <c r="VE17">
        <v>97.16</v>
      </c>
      <c r="VF17">
        <v>97.254999999999995</v>
      </c>
      <c r="VG17">
        <v>97.24</v>
      </c>
      <c r="VH17">
        <v>97.23</v>
      </c>
      <c r="VI17">
        <v>97.114999999999995</v>
      </c>
      <c r="VJ17">
        <v>97.05</v>
      </c>
      <c r="VK17">
        <v>96.98</v>
      </c>
      <c r="VL17">
        <v>96.93</v>
      </c>
      <c r="VM17">
        <v>96.92</v>
      </c>
      <c r="VN17">
        <v>96.965000000000003</v>
      </c>
      <c r="VO17">
        <v>97.09</v>
      </c>
      <c r="VP17">
        <v>97.075000000000003</v>
      </c>
      <c r="VQ17">
        <v>96.94</v>
      </c>
      <c r="VR17">
        <v>96.78</v>
      </c>
      <c r="VS17">
        <v>96.855000000000004</v>
      </c>
      <c r="VT17">
        <v>96.96</v>
      </c>
      <c r="VU17">
        <v>96.745000000000005</v>
      </c>
      <c r="VV17">
        <v>96.844999999999999</v>
      </c>
      <c r="VW17">
        <v>96.745000000000005</v>
      </c>
      <c r="VX17">
        <v>96.86</v>
      </c>
      <c r="VY17">
        <v>96.85</v>
      </c>
      <c r="VZ17">
        <v>96.65</v>
      </c>
      <c r="WA17">
        <v>96.58</v>
      </c>
      <c r="WB17">
        <v>96.59</v>
      </c>
      <c r="WC17">
        <v>96.56</v>
      </c>
      <c r="WD17">
        <v>96.55</v>
      </c>
      <c r="WE17">
        <v>96.465000000000003</v>
      </c>
      <c r="WF17">
        <v>96.56</v>
      </c>
      <c r="WG17">
        <v>96.665000000000006</v>
      </c>
      <c r="WH17">
        <v>96.66</v>
      </c>
      <c r="WI17">
        <v>96.59</v>
      </c>
      <c r="WJ17">
        <v>96.68</v>
      </c>
      <c r="WK17">
        <v>96.635000000000005</v>
      </c>
      <c r="WL17">
        <v>96.62</v>
      </c>
      <c r="WM17">
        <v>96.775000000000006</v>
      </c>
      <c r="WN17">
        <v>96.775000000000006</v>
      </c>
      <c r="WO17">
        <v>96.75</v>
      </c>
      <c r="WP17">
        <v>96.78</v>
      </c>
      <c r="WQ17">
        <v>96.825000000000003</v>
      </c>
      <c r="WR17">
        <v>96.885000000000005</v>
      </c>
      <c r="WS17">
        <v>96.885000000000005</v>
      </c>
      <c r="WT17">
        <v>96.935000000000002</v>
      </c>
      <c r="WU17">
        <v>96.99</v>
      </c>
      <c r="WV17">
        <v>96.96</v>
      </c>
      <c r="WW17">
        <v>96.98</v>
      </c>
      <c r="WX17">
        <v>97.094999999999999</v>
      </c>
      <c r="WY17">
        <v>97.265000000000001</v>
      </c>
      <c r="WZ17">
        <v>97.275000000000006</v>
      </c>
      <c r="XA17">
        <v>97.13</v>
      </c>
      <c r="XB17">
        <v>97.064999999999998</v>
      </c>
      <c r="XC17">
        <v>97.125</v>
      </c>
      <c r="XD17">
        <v>97.174999999999997</v>
      </c>
      <c r="XE17">
        <v>97.22</v>
      </c>
      <c r="XF17">
        <v>97.22</v>
      </c>
      <c r="XG17">
        <v>97.155000000000001</v>
      </c>
      <c r="XH17">
        <v>97.204999999999998</v>
      </c>
      <c r="XI17">
        <v>97.31</v>
      </c>
      <c r="XJ17">
        <v>97.36</v>
      </c>
      <c r="XK17">
        <v>97.19</v>
      </c>
      <c r="XL17">
        <v>97.2</v>
      </c>
      <c r="XM17">
        <v>97.2</v>
      </c>
      <c r="XN17">
        <v>97.26</v>
      </c>
      <c r="XO17">
        <v>97.125</v>
      </c>
      <c r="XP17">
        <v>97.064999999999998</v>
      </c>
      <c r="XQ17">
        <v>97.165000000000006</v>
      </c>
      <c r="XR17">
        <v>97.12</v>
      </c>
      <c r="XS17">
        <v>96.92</v>
      </c>
      <c r="XT17">
        <v>96.93</v>
      </c>
      <c r="XU17">
        <v>96.83</v>
      </c>
      <c r="XV17">
        <v>96.784999999999997</v>
      </c>
      <c r="XW17">
        <v>96.784999999999997</v>
      </c>
      <c r="XX17">
        <v>96.745000000000005</v>
      </c>
      <c r="XY17">
        <v>96.72</v>
      </c>
      <c r="XZ17">
        <v>96.775000000000006</v>
      </c>
      <c r="YA17">
        <v>96.86</v>
      </c>
      <c r="YB17">
        <v>96.86</v>
      </c>
      <c r="YC17">
        <v>96.92</v>
      </c>
      <c r="YD17">
        <v>96.92</v>
      </c>
      <c r="YE17">
        <v>96.99</v>
      </c>
      <c r="YF17">
        <v>97.09</v>
      </c>
      <c r="YG17">
        <v>97.174999999999997</v>
      </c>
      <c r="YH17">
        <v>97.194999999999993</v>
      </c>
      <c r="YI17">
        <v>97.15</v>
      </c>
      <c r="YJ17">
        <v>97.14</v>
      </c>
      <c r="YK17">
        <v>97.034999999999997</v>
      </c>
      <c r="YL17">
        <v>97.075000000000003</v>
      </c>
      <c r="YM17">
        <v>97.155000000000001</v>
      </c>
      <c r="YN17">
        <v>97.28</v>
      </c>
      <c r="YO17">
        <v>97.17</v>
      </c>
      <c r="YP17">
        <v>97.094999999999999</v>
      </c>
      <c r="YQ17">
        <v>97.224999999999994</v>
      </c>
      <c r="YR17">
        <v>97.165000000000006</v>
      </c>
      <c r="YS17">
        <v>97</v>
      </c>
      <c r="YT17">
        <v>96.915000000000006</v>
      </c>
      <c r="YU17">
        <v>96.924999999999997</v>
      </c>
      <c r="YV17">
        <v>96.915000000000006</v>
      </c>
      <c r="YW17">
        <v>96.894999999999996</v>
      </c>
      <c r="YX17">
        <v>96.894999999999996</v>
      </c>
      <c r="YY17">
        <v>96.85</v>
      </c>
      <c r="YZ17">
        <v>96.775000000000006</v>
      </c>
      <c r="ZA17">
        <v>96.8</v>
      </c>
      <c r="ZB17">
        <v>96.88</v>
      </c>
      <c r="ZC17">
        <v>96.95</v>
      </c>
      <c r="ZD17">
        <v>96.83</v>
      </c>
      <c r="ZE17">
        <v>96.745000000000005</v>
      </c>
      <c r="ZF17">
        <v>96.795000000000002</v>
      </c>
      <c r="ZG17">
        <v>96.754999999999995</v>
      </c>
      <c r="ZH17">
        <v>96.42</v>
      </c>
      <c r="ZI17">
        <v>96.385000000000005</v>
      </c>
      <c r="ZJ17">
        <v>96.295000000000002</v>
      </c>
      <c r="ZK17">
        <v>96.32</v>
      </c>
      <c r="ZL17">
        <v>96.32</v>
      </c>
      <c r="ZM17">
        <v>96.375</v>
      </c>
      <c r="ZN17">
        <v>96.355000000000004</v>
      </c>
      <c r="ZO17">
        <v>96.36</v>
      </c>
      <c r="ZP17">
        <v>96.394999999999996</v>
      </c>
      <c r="ZQ17">
        <v>96.52</v>
      </c>
      <c r="ZR17">
        <v>96.43</v>
      </c>
      <c r="ZS17">
        <v>96.35</v>
      </c>
      <c r="ZT17">
        <v>96.224999999999994</v>
      </c>
      <c r="ZU17">
        <v>96.24</v>
      </c>
      <c r="ZV17">
        <v>96.17</v>
      </c>
      <c r="ZW17">
        <v>96.305000000000007</v>
      </c>
      <c r="ZX17">
        <v>96.454999999999998</v>
      </c>
      <c r="ZY17">
        <v>96.44</v>
      </c>
      <c r="ZZ17">
        <v>96.415000000000006</v>
      </c>
      <c r="AAA17">
        <v>96.46</v>
      </c>
      <c r="AAB17">
        <v>96.454999999999998</v>
      </c>
      <c r="AAC17">
        <v>96.4</v>
      </c>
      <c r="AAD17">
        <v>96.39</v>
      </c>
      <c r="AAE17">
        <v>96.444999999999993</v>
      </c>
      <c r="AAF17">
        <v>96.504999999999995</v>
      </c>
      <c r="AAG17">
        <v>96.57</v>
      </c>
      <c r="AAH17">
        <v>96.754999999999995</v>
      </c>
      <c r="AAI17">
        <v>96.64</v>
      </c>
      <c r="AAJ17">
        <v>96.45</v>
      </c>
      <c r="AAK17">
        <v>96.54</v>
      </c>
      <c r="AAL17">
        <v>96.58</v>
      </c>
      <c r="AAM17">
        <v>96.334999999999994</v>
      </c>
      <c r="AAN17">
        <v>96.394999999999996</v>
      </c>
      <c r="AAO17">
        <v>96.63</v>
      </c>
      <c r="AAP17">
        <v>96.65</v>
      </c>
      <c r="AAQ17">
        <v>96.864999999999995</v>
      </c>
      <c r="AAR17">
        <v>96.78</v>
      </c>
      <c r="AAS17">
        <v>96.864999999999995</v>
      </c>
      <c r="AAT17">
        <v>96.93</v>
      </c>
      <c r="AAU17">
        <v>96.894999999999996</v>
      </c>
      <c r="AAV17">
        <v>96.96</v>
      </c>
      <c r="AAW17">
        <v>96.944999999999993</v>
      </c>
      <c r="AAX17">
        <v>97.02</v>
      </c>
      <c r="AAY17">
        <v>97.034999999999997</v>
      </c>
      <c r="AAZ17">
        <v>97.075000000000003</v>
      </c>
      <c r="ABA17">
        <v>97.105000000000004</v>
      </c>
      <c r="ABB17">
        <v>97</v>
      </c>
      <c r="ABC17">
        <v>97.15</v>
      </c>
      <c r="ABD17">
        <v>97.15</v>
      </c>
      <c r="ABE17">
        <v>97.05</v>
      </c>
      <c r="ABF17">
        <v>97.194999999999993</v>
      </c>
      <c r="ABG17">
        <v>97.2</v>
      </c>
      <c r="ABH17">
        <v>97.194999999999993</v>
      </c>
      <c r="ABI17">
        <v>97.29</v>
      </c>
      <c r="ABJ17">
        <v>97.355000000000004</v>
      </c>
      <c r="ABK17">
        <v>97.3</v>
      </c>
      <c r="ABL17">
        <v>97.355000000000004</v>
      </c>
      <c r="ABM17">
        <v>97.394999999999996</v>
      </c>
      <c r="ABN17">
        <v>97.454999999999998</v>
      </c>
      <c r="ABO17">
        <v>97.57</v>
      </c>
      <c r="ABP17">
        <v>97.564999999999998</v>
      </c>
      <c r="ABQ17">
        <v>97.68</v>
      </c>
      <c r="ABR17">
        <v>97.71</v>
      </c>
      <c r="ABS17">
        <v>97.62</v>
      </c>
      <c r="ABT17">
        <v>97.59</v>
      </c>
      <c r="ABU17">
        <v>97.69</v>
      </c>
      <c r="ABV17">
        <v>97.635000000000005</v>
      </c>
      <c r="ABW17">
        <v>97.7</v>
      </c>
      <c r="ABX17">
        <v>97.6</v>
      </c>
      <c r="ABY17">
        <v>97.784999999999997</v>
      </c>
      <c r="ABZ17">
        <v>97.67</v>
      </c>
      <c r="ACA17">
        <v>97.665000000000006</v>
      </c>
      <c r="ACB17">
        <v>97.875</v>
      </c>
      <c r="ACC17">
        <v>97.834999999999994</v>
      </c>
      <c r="ACD17">
        <v>97.805000000000007</v>
      </c>
      <c r="ACE17">
        <v>97.724999999999994</v>
      </c>
      <c r="ACF17">
        <v>97.63</v>
      </c>
      <c r="ACG17">
        <v>97.605000000000004</v>
      </c>
      <c r="ACH17">
        <v>97.614999999999995</v>
      </c>
      <c r="ACI17">
        <v>97.484999999999999</v>
      </c>
      <c r="ACJ17">
        <v>97.32</v>
      </c>
      <c r="ACK17">
        <v>97.364999999999995</v>
      </c>
      <c r="ACL17">
        <v>97.424999999999997</v>
      </c>
      <c r="ACM17">
        <v>97.45</v>
      </c>
      <c r="ACN17">
        <v>97.42</v>
      </c>
      <c r="ACO17">
        <v>97.47</v>
      </c>
      <c r="ACP17">
        <v>97.394999999999996</v>
      </c>
      <c r="ACQ17">
        <v>97.355000000000004</v>
      </c>
      <c r="ACR17">
        <v>97.224999999999994</v>
      </c>
      <c r="ACS17">
        <v>97.305000000000007</v>
      </c>
      <c r="ACT17">
        <v>97.415000000000006</v>
      </c>
      <c r="ACU17">
        <v>97.54</v>
      </c>
      <c r="ACV17">
        <v>97.44</v>
      </c>
      <c r="ACW17">
        <v>97.44</v>
      </c>
      <c r="ACX17">
        <v>97.35</v>
      </c>
      <c r="ACY17">
        <v>97.185000000000002</v>
      </c>
      <c r="ACZ17">
        <v>97.07</v>
      </c>
      <c r="ADA17">
        <v>97.08</v>
      </c>
      <c r="ADB17">
        <v>97.16</v>
      </c>
      <c r="ADC17">
        <v>97.24</v>
      </c>
      <c r="ADD17">
        <v>97.135000000000005</v>
      </c>
      <c r="ADE17">
        <v>96.99</v>
      </c>
      <c r="ADF17">
        <v>97.04</v>
      </c>
      <c r="ADG17">
        <v>97.04</v>
      </c>
      <c r="ADH17">
        <v>97</v>
      </c>
      <c r="ADI17">
        <v>96.855000000000004</v>
      </c>
      <c r="ADJ17">
        <v>96.745000000000005</v>
      </c>
      <c r="ADK17">
        <v>96.844999999999999</v>
      </c>
      <c r="ADL17">
        <v>97.06</v>
      </c>
      <c r="ADM17">
        <v>97.19</v>
      </c>
      <c r="ADN17">
        <v>97.215000000000003</v>
      </c>
      <c r="ADO17">
        <v>97.25</v>
      </c>
      <c r="ADP17">
        <v>97.174999999999997</v>
      </c>
      <c r="ADQ17">
        <v>97.284999999999997</v>
      </c>
      <c r="ADR17">
        <v>97.34</v>
      </c>
      <c r="ADS17">
        <v>97.3</v>
      </c>
      <c r="ADT17">
        <v>97.42</v>
      </c>
      <c r="ADU17">
        <v>97.49</v>
      </c>
      <c r="ADV17">
        <v>97.49</v>
      </c>
      <c r="ADW17">
        <v>97.504999999999995</v>
      </c>
      <c r="ADX17">
        <v>97.52</v>
      </c>
      <c r="ADY17">
        <v>97.484999999999999</v>
      </c>
      <c r="ADZ17">
        <v>97.36</v>
      </c>
      <c r="AEA17">
        <v>97.44</v>
      </c>
      <c r="AEB17">
        <v>97.375</v>
      </c>
      <c r="AEC17">
        <v>97.344999999999999</v>
      </c>
      <c r="AED17">
        <v>97.28</v>
      </c>
      <c r="AEE17">
        <v>97.394999999999996</v>
      </c>
      <c r="AEF17">
        <v>97.28</v>
      </c>
      <c r="AEG17">
        <v>97.39</v>
      </c>
      <c r="AEH17">
        <v>97.31</v>
      </c>
      <c r="AEI17">
        <v>97.234999999999999</v>
      </c>
      <c r="AEJ17">
        <v>97.144999999999996</v>
      </c>
      <c r="AEK17">
        <v>97.075000000000003</v>
      </c>
      <c r="AEL17">
        <v>97.12</v>
      </c>
      <c r="AEM17">
        <v>97.234999999999999</v>
      </c>
      <c r="AEN17">
        <v>97.165000000000006</v>
      </c>
      <c r="AEO17">
        <v>97.114999999999995</v>
      </c>
      <c r="AEP17">
        <v>97.24</v>
      </c>
      <c r="AEQ17">
        <v>97.24</v>
      </c>
      <c r="AER17">
        <v>97.33</v>
      </c>
      <c r="AES17">
        <v>97.36</v>
      </c>
      <c r="AET17">
        <v>97.334999999999994</v>
      </c>
      <c r="AEU17">
        <v>97.265000000000001</v>
      </c>
      <c r="AEV17">
        <v>97.18</v>
      </c>
      <c r="AEW17">
        <v>97.29</v>
      </c>
      <c r="AEX17">
        <v>97.224999999999994</v>
      </c>
      <c r="AEY17">
        <v>97.325000000000003</v>
      </c>
      <c r="AEZ17">
        <v>97.36</v>
      </c>
      <c r="AFA17">
        <v>97.36</v>
      </c>
      <c r="AFB17">
        <v>97.49</v>
      </c>
      <c r="AFC17">
        <v>97.46</v>
      </c>
      <c r="AFD17">
        <v>97.35</v>
      </c>
      <c r="AFE17">
        <v>97.42</v>
      </c>
      <c r="AFF17">
        <v>97.5</v>
      </c>
      <c r="AFG17">
        <v>97.51</v>
      </c>
      <c r="AFH17">
        <v>97.525000000000006</v>
      </c>
      <c r="AFI17">
        <v>97.715000000000003</v>
      </c>
      <c r="AFJ17">
        <v>97.71</v>
      </c>
      <c r="AFK17">
        <v>97.825000000000003</v>
      </c>
      <c r="AFL17">
        <v>97.77</v>
      </c>
      <c r="AFM17">
        <v>97.71</v>
      </c>
      <c r="AFN17">
        <v>97.594999999999999</v>
      </c>
      <c r="AFO17">
        <v>97.555000000000007</v>
      </c>
      <c r="AFP17">
        <v>97.795000000000002</v>
      </c>
      <c r="AFQ17">
        <v>97.834999999999994</v>
      </c>
      <c r="AFR17">
        <v>97.78</v>
      </c>
      <c r="AFS17">
        <v>97.84</v>
      </c>
      <c r="AFT17">
        <v>98.02</v>
      </c>
      <c r="AFU17">
        <v>97.965000000000003</v>
      </c>
      <c r="AFV17">
        <v>97.905000000000001</v>
      </c>
      <c r="AFW17">
        <v>97.944999999999993</v>
      </c>
      <c r="AFX17">
        <v>97.97</v>
      </c>
      <c r="AFY17">
        <v>98.114999999999995</v>
      </c>
      <c r="AFZ17">
        <v>98.144999999999996</v>
      </c>
      <c r="AGA17">
        <v>98.22</v>
      </c>
      <c r="AGB17">
        <v>98.314999999999998</v>
      </c>
      <c r="AGC17">
        <v>98.43</v>
      </c>
      <c r="AGD17">
        <v>98.49</v>
      </c>
      <c r="AGE17">
        <v>98.344999999999999</v>
      </c>
      <c r="AGF17">
        <v>98.295000000000002</v>
      </c>
      <c r="AGG17">
        <v>98.5</v>
      </c>
      <c r="AGH17">
        <v>98.284999999999997</v>
      </c>
      <c r="AGI17">
        <v>98.13</v>
      </c>
      <c r="AGJ17">
        <v>98.155000000000001</v>
      </c>
      <c r="AGK17">
        <v>98.144999999999996</v>
      </c>
      <c r="AGL17">
        <v>98.18</v>
      </c>
      <c r="AGM17">
        <v>98.19</v>
      </c>
      <c r="AGN17">
        <v>98.19</v>
      </c>
      <c r="AGO17">
        <v>98.155000000000001</v>
      </c>
      <c r="AGP17">
        <v>98.075000000000003</v>
      </c>
      <c r="AGQ17">
        <v>98.075000000000003</v>
      </c>
      <c r="AGR17">
        <v>98.105000000000004</v>
      </c>
      <c r="AGS17">
        <v>98.165000000000006</v>
      </c>
      <c r="AGT17">
        <v>98.015000000000001</v>
      </c>
      <c r="AGU17">
        <v>98.094999999999999</v>
      </c>
      <c r="AGV17">
        <v>98.08</v>
      </c>
      <c r="AGW17">
        <v>98.13</v>
      </c>
      <c r="AGX17">
        <v>98.105000000000004</v>
      </c>
      <c r="AGY17">
        <v>98.245000000000005</v>
      </c>
      <c r="AGZ17">
        <v>98.314999999999998</v>
      </c>
      <c r="AHA17">
        <v>98.284999999999997</v>
      </c>
      <c r="AHB17">
        <v>98.28</v>
      </c>
      <c r="AHC17">
        <v>98.275000000000006</v>
      </c>
      <c r="AHD17">
        <v>98.224999999999994</v>
      </c>
      <c r="AHE17">
        <v>98.17</v>
      </c>
      <c r="AHF17">
        <v>98.25</v>
      </c>
      <c r="AHG17">
        <v>98.31</v>
      </c>
      <c r="AHH17">
        <v>98.265000000000001</v>
      </c>
      <c r="AHI17">
        <v>98.19</v>
      </c>
      <c r="AHJ17">
        <v>98.185000000000002</v>
      </c>
      <c r="AHK17">
        <v>98.13</v>
      </c>
      <c r="AHL17">
        <v>98.245000000000005</v>
      </c>
      <c r="AHM17">
        <v>98.245000000000005</v>
      </c>
      <c r="AHN17">
        <v>98.334999999999994</v>
      </c>
      <c r="AHO17">
        <v>98.305000000000007</v>
      </c>
      <c r="AHP17">
        <v>98.265000000000001</v>
      </c>
      <c r="AHQ17">
        <v>98.2</v>
      </c>
      <c r="AHR17">
        <v>98.24</v>
      </c>
      <c r="AHS17">
        <v>98.3</v>
      </c>
      <c r="AHT17">
        <v>98.34</v>
      </c>
      <c r="AHU17">
        <v>98.385000000000005</v>
      </c>
      <c r="AHV17">
        <v>98.42</v>
      </c>
      <c r="AHW17">
        <v>98.55</v>
      </c>
      <c r="AHX17">
        <v>98.534999999999997</v>
      </c>
      <c r="AHY17">
        <v>98.525000000000006</v>
      </c>
      <c r="AHZ17">
        <v>98.575000000000003</v>
      </c>
      <c r="AIA17">
        <v>98.564999999999998</v>
      </c>
      <c r="AIB17">
        <v>98.564999999999998</v>
      </c>
      <c r="AIC17">
        <v>98.564999999999998</v>
      </c>
      <c r="AID17">
        <v>98.58</v>
      </c>
      <c r="AIE17">
        <v>98.564999999999998</v>
      </c>
      <c r="AIF17">
        <v>98.644999999999996</v>
      </c>
      <c r="AIG17">
        <v>98.655000000000001</v>
      </c>
      <c r="AIH17">
        <v>98.644999999999996</v>
      </c>
      <c r="AII17">
        <v>98.55</v>
      </c>
      <c r="AIJ17">
        <v>98.54</v>
      </c>
      <c r="AIK17">
        <v>98.555000000000007</v>
      </c>
      <c r="AIL17">
        <v>98.504999999999995</v>
      </c>
      <c r="AIM17">
        <v>98.51</v>
      </c>
      <c r="AIN17">
        <v>98.484999999999999</v>
      </c>
      <c r="AIO17">
        <v>98.5</v>
      </c>
      <c r="AIP17">
        <v>98.555000000000007</v>
      </c>
      <c r="AIQ17">
        <v>98.685000000000002</v>
      </c>
      <c r="AIR17">
        <v>98.58</v>
      </c>
      <c r="AIS17">
        <v>98.61</v>
      </c>
      <c r="AIT17">
        <v>98.584999999999994</v>
      </c>
      <c r="AIU17">
        <v>98.515000000000001</v>
      </c>
      <c r="AIV17">
        <v>98.53</v>
      </c>
      <c r="AIW17">
        <v>98.355000000000004</v>
      </c>
      <c r="AIX17">
        <v>98.355000000000004</v>
      </c>
      <c r="AIY17">
        <v>98.36</v>
      </c>
      <c r="AIZ17">
        <v>98.385000000000005</v>
      </c>
      <c r="AJA17">
        <v>98.51</v>
      </c>
      <c r="AJB17">
        <v>98.484999999999999</v>
      </c>
      <c r="AJC17">
        <v>98.45</v>
      </c>
      <c r="AJD17">
        <v>98.42</v>
      </c>
      <c r="AJE17">
        <v>98.454999999999998</v>
      </c>
      <c r="AJF17">
        <v>98.484999999999999</v>
      </c>
      <c r="AJG17">
        <v>98.48</v>
      </c>
      <c r="AJH17">
        <v>98.515000000000001</v>
      </c>
      <c r="AJI17">
        <v>98.674999999999997</v>
      </c>
      <c r="AJJ17">
        <v>98.605000000000004</v>
      </c>
      <c r="AJK17">
        <v>98.674999999999997</v>
      </c>
      <c r="AJL17">
        <v>98.59</v>
      </c>
      <c r="AJM17">
        <v>98.52</v>
      </c>
      <c r="AJN17">
        <v>98.57</v>
      </c>
      <c r="AJO17">
        <v>98.564999999999998</v>
      </c>
      <c r="AJP17">
        <v>98.6</v>
      </c>
      <c r="AJQ17">
        <v>98.575000000000003</v>
      </c>
      <c r="AJR17">
        <v>98.58</v>
      </c>
      <c r="AJS17">
        <v>98.46</v>
      </c>
      <c r="AJT17">
        <v>98.465000000000003</v>
      </c>
      <c r="AJU17">
        <v>98.454999999999998</v>
      </c>
      <c r="AJV17">
        <v>98.43</v>
      </c>
      <c r="AJW17">
        <v>98.5</v>
      </c>
      <c r="AJX17">
        <v>98.49</v>
      </c>
      <c r="AJY17">
        <v>98.495000000000005</v>
      </c>
      <c r="AJZ17">
        <v>98.52</v>
      </c>
      <c r="AKA17">
        <v>98.59</v>
      </c>
      <c r="AKB17">
        <v>98.534999999999997</v>
      </c>
      <c r="AKC17">
        <v>98.52</v>
      </c>
      <c r="AKD17">
        <v>98.495000000000005</v>
      </c>
      <c r="AKE17">
        <v>98.52</v>
      </c>
      <c r="AKF17">
        <v>98.57</v>
      </c>
      <c r="AKG17">
        <v>98.614999999999995</v>
      </c>
      <c r="AKH17">
        <v>98.625</v>
      </c>
      <c r="AKI17">
        <v>98.67</v>
      </c>
      <c r="AKJ17">
        <v>98.665000000000006</v>
      </c>
      <c r="AKK17">
        <v>98.58</v>
      </c>
      <c r="AKL17">
        <v>98.564999999999998</v>
      </c>
      <c r="AKM17">
        <v>98.534999999999997</v>
      </c>
      <c r="AKN17">
        <v>98.58</v>
      </c>
      <c r="AKO17">
        <v>98.614999999999995</v>
      </c>
      <c r="AKP17">
        <v>98.644999999999996</v>
      </c>
      <c r="AKQ17">
        <v>98.715000000000003</v>
      </c>
      <c r="AKR17">
        <v>98.78</v>
      </c>
      <c r="AKS17">
        <v>98.784999999999997</v>
      </c>
      <c r="AKT17">
        <v>98.715000000000003</v>
      </c>
      <c r="AKU17">
        <v>98.765000000000001</v>
      </c>
      <c r="AKV17">
        <v>98.83</v>
      </c>
      <c r="AKW17">
        <v>98.9</v>
      </c>
      <c r="AKX17">
        <v>98.875</v>
      </c>
      <c r="AKY17">
        <v>98.864999999999995</v>
      </c>
      <c r="AKZ17">
        <v>98.91</v>
      </c>
      <c r="ALA17">
        <v>98.88</v>
      </c>
      <c r="ALB17">
        <v>98.864999999999995</v>
      </c>
      <c r="ALC17">
        <v>98.915000000000006</v>
      </c>
      <c r="ALD17">
        <v>98.915000000000006</v>
      </c>
      <c r="ALE17">
        <v>98.94</v>
      </c>
      <c r="ALF17">
        <v>98.93</v>
      </c>
      <c r="ALG17">
        <v>98.935000000000002</v>
      </c>
      <c r="ALH17">
        <v>98.94</v>
      </c>
      <c r="ALI17">
        <v>98.894999999999996</v>
      </c>
      <c r="ALJ17">
        <v>98.844999999999999</v>
      </c>
      <c r="ALK17">
        <v>98.855000000000004</v>
      </c>
      <c r="ALL17">
        <v>98.915000000000006</v>
      </c>
      <c r="ALM17">
        <v>98.95</v>
      </c>
      <c r="ALN17">
        <v>98.935000000000002</v>
      </c>
      <c r="ALO17">
        <v>98.954999999999998</v>
      </c>
      <c r="ALP17">
        <v>98.935000000000002</v>
      </c>
      <c r="ALQ17">
        <v>98.954999999999998</v>
      </c>
      <c r="ALR17">
        <v>98.96</v>
      </c>
      <c r="ALS17">
        <v>98.894999999999996</v>
      </c>
      <c r="ALT17">
        <v>98.825000000000003</v>
      </c>
      <c r="ALU17">
        <v>98.84</v>
      </c>
      <c r="ALV17">
        <v>98.834999999999994</v>
      </c>
      <c r="ALW17">
        <v>98.864999999999995</v>
      </c>
      <c r="ALX17">
        <v>98.92</v>
      </c>
      <c r="ALY17">
        <v>98.99</v>
      </c>
      <c r="ALZ17">
        <v>99.045000000000002</v>
      </c>
      <c r="AMA17">
        <v>99.094999999999999</v>
      </c>
      <c r="AMB17">
        <v>99.08</v>
      </c>
      <c r="AMC17">
        <v>99</v>
      </c>
      <c r="AMD17">
        <v>98.96</v>
      </c>
      <c r="AME17">
        <v>98.954999999999998</v>
      </c>
      <c r="AMF17">
        <v>99.015000000000001</v>
      </c>
      <c r="AMG17">
        <v>98.98</v>
      </c>
      <c r="AMH17">
        <v>98.974999999999994</v>
      </c>
      <c r="AMI17">
        <v>98.99</v>
      </c>
      <c r="AMJ17">
        <v>98.98</v>
      </c>
      <c r="AMK17">
        <v>99.075000000000003</v>
      </c>
      <c r="AML17">
        <v>99.064999999999998</v>
      </c>
      <c r="AMM17">
        <v>98.89</v>
      </c>
      <c r="AMN17">
        <v>98.89</v>
      </c>
      <c r="AMO17">
        <v>98.84</v>
      </c>
      <c r="AMP17">
        <v>98.79</v>
      </c>
      <c r="AMQ17">
        <v>98.86</v>
      </c>
      <c r="AMR17">
        <v>98.855000000000004</v>
      </c>
      <c r="AMS17">
        <v>98.93</v>
      </c>
      <c r="AMT17">
        <v>98.864999999999995</v>
      </c>
      <c r="AMU17">
        <v>98.82</v>
      </c>
      <c r="AMV17">
        <v>98.73</v>
      </c>
      <c r="AMW17">
        <v>98.73</v>
      </c>
      <c r="AMX17">
        <v>98.665000000000006</v>
      </c>
      <c r="AMY17">
        <v>98.715000000000003</v>
      </c>
      <c r="AMZ17">
        <v>98.685000000000002</v>
      </c>
      <c r="ANA17">
        <v>98.685000000000002</v>
      </c>
      <c r="ANB17">
        <v>98.66</v>
      </c>
      <c r="ANC17">
        <v>98.7</v>
      </c>
      <c r="AND17">
        <v>98.71</v>
      </c>
      <c r="ANE17">
        <v>98.745000000000005</v>
      </c>
      <c r="ANF17">
        <v>98.73</v>
      </c>
      <c r="ANG17">
        <v>98.724999999999994</v>
      </c>
      <c r="ANH17">
        <v>98.69</v>
      </c>
      <c r="ANI17">
        <v>98.644999999999996</v>
      </c>
      <c r="ANJ17">
        <v>98.92</v>
      </c>
      <c r="ANK17">
        <v>98.92</v>
      </c>
      <c r="ANL17">
        <v>98.965000000000003</v>
      </c>
      <c r="ANM17">
        <v>98.995000000000005</v>
      </c>
      <c r="ANN17">
        <v>98.965000000000003</v>
      </c>
      <c r="ANO17">
        <v>98.915000000000006</v>
      </c>
      <c r="ANP17">
        <v>98.875</v>
      </c>
      <c r="ANQ17">
        <v>98.88</v>
      </c>
      <c r="ANR17">
        <v>98.795000000000002</v>
      </c>
      <c r="ANS17">
        <v>98.844999999999999</v>
      </c>
      <c r="ANT17">
        <v>98.81</v>
      </c>
      <c r="ANU17">
        <v>98.84</v>
      </c>
      <c r="ANV17">
        <v>98.84</v>
      </c>
      <c r="ANW17">
        <v>98.834999999999994</v>
      </c>
      <c r="ANX17">
        <v>98.864999999999995</v>
      </c>
      <c r="ANY17">
        <v>98.87</v>
      </c>
      <c r="ANZ17">
        <v>98.814999999999998</v>
      </c>
      <c r="AOA17">
        <v>98.784999999999997</v>
      </c>
      <c r="AOB17">
        <v>98.8</v>
      </c>
      <c r="AOC17">
        <v>98.74</v>
      </c>
      <c r="AOD17">
        <v>98.8</v>
      </c>
      <c r="AOE17">
        <v>98.8</v>
      </c>
      <c r="AOF17">
        <v>98.805000000000007</v>
      </c>
      <c r="AOG17">
        <v>98.795000000000002</v>
      </c>
      <c r="AOH17">
        <v>98.74</v>
      </c>
      <c r="AOI17">
        <v>98.84</v>
      </c>
      <c r="AOJ17">
        <v>98.864999999999995</v>
      </c>
      <c r="AOK17">
        <v>98.864999999999995</v>
      </c>
      <c r="AOL17">
        <v>98.805000000000007</v>
      </c>
      <c r="AOM17">
        <v>98.795000000000002</v>
      </c>
      <c r="AON17">
        <v>98.775000000000006</v>
      </c>
      <c r="AOO17">
        <v>98.75</v>
      </c>
      <c r="AOP17">
        <v>98.715000000000003</v>
      </c>
      <c r="AOQ17">
        <v>98.71</v>
      </c>
      <c r="AOR17">
        <v>98.715000000000003</v>
      </c>
      <c r="AOS17">
        <v>98.715000000000003</v>
      </c>
      <c r="AOT17">
        <v>98.765000000000001</v>
      </c>
      <c r="AOU17">
        <v>98.775000000000006</v>
      </c>
      <c r="AOV17">
        <v>98.805000000000007</v>
      </c>
      <c r="AOW17">
        <v>98.805000000000007</v>
      </c>
      <c r="AOX17">
        <v>98.81</v>
      </c>
      <c r="AOY17">
        <v>98.784999999999997</v>
      </c>
      <c r="AOZ17">
        <v>98.795000000000002</v>
      </c>
      <c r="APA17">
        <v>98.83</v>
      </c>
      <c r="APB17">
        <v>98.704999999999998</v>
      </c>
      <c r="APC17">
        <v>98.715000000000003</v>
      </c>
      <c r="APD17">
        <v>98.625</v>
      </c>
      <c r="APE17">
        <v>98.655000000000001</v>
      </c>
      <c r="APF17">
        <v>98.685000000000002</v>
      </c>
      <c r="APG17">
        <v>98.644999999999996</v>
      </c>
      <c r="APH17">
        <v>98.61</v>
      </c>
      <c r="API17">
        <v>98.51</v>
      </c>
      <c r="APJ17">
        <v>98.474999999999994</v>
      </c>
      <c r="APK17">
        <v>98.58</v>
      </c>
      <c r="APL17">
        <v>98.545000000000002</v>
      </c>
      <c r="APM17">
        <v>98.584999999999994</v>
      </c>
      <c r="APN17">
        <v>98.625</v>
      </c>
      <c r="APO17">
        <v>98.694999999999993</v>
      </c>
      <c r="APP17">
        <v>98.745000000000005</v>
      </c>
      <c r="APQ17">
        <v>98.734999999999999</v>
      </c>
      <c r="APR17">
        <v>98.715000000000003</v>
      </c>
      <c r="APS17">
        <v>98.665000000000006</v>
      </c>
      <c r="APT17">
        <v>98.635000000000005</v>
      </c>
      <c r="APU17">
        <v>98.685000000000002</v>
      </c>
      <c r="APV17">
        <v>98.78</v>
      </c>
      <c r="APW17">
        <v>98.875</v>
      </c>
      <c r="APX17">
        <v>98.864999999999995</v>
      </c>
      <c r="APY17">
        <v>98.85</v>
      </c>
      <c r="APZ17">
        <v>98.92</v>
      </c>
      <c r="AQA17">
        <v>98.915000000000006</v>
      </c>
      <c r="AQB17">
        <v>98.885000000000005</v>
      </c>
      <c r="AQC17">
        <v>98.83</v>
      </c>
      <c r="AQD17">
        <v>98.894999999999996</v>
      </c>
      <c r="AQE17">
        <v>98.885000000000005</v>
      </c>
      <c r="AQF17">
        <v>98.95</v>
      </c>
      <c r="AQG17">
        <v>99.004999999999995</v>
      </c>
      <c r="AQH17">
        <v>98.965000000000003</v>
      </c>
      <c r="AQI17">
        <v>98.9</v>
      </c>
      <c r="AQJ17">
        <v>98.905000000000001</v>
      </c>
      <c r="AQK17">
        <v>99.14</v>
      </c>
      <c r="AQL17">
        <v>99.165000000000006</v>
      </c>
      <c r="AQM17">
        <v>99.155000000000001</v>
      </c>
      <c r="AQN17">
        <v>99.19</v>
      </c>
      <c r="AQO17">
        <v>99.234999999999999</v>
      </c>
      <c r="AQP17">
        <v>99.2</v>
      </c>
      <c r="AQQ17">
        <v>99.22</v>
      </c>
      <c r="AQR17">
        <v>99.34</v>
      </c>
      <c r="AQS17">
        <v>99.34</v>
      </c>
      <c r="AQT17">
        <v>99.38</v>
      </c>
      <c r="AQU17">
        <v>99.39</v>
      </c>
      <c r="AQV17">
        <v>99.375</v>
      </c>
      <c r="AQW17">
        <v>99.364999999999995</v>
      </c>
      <c r="AQX17">
        <v>99.385000000000005</v>
      </c>
      <c r="AQY17">
        <v>99.39</v>
      </c>
      <c r="AQZ17">
        <v>99.43</v>
      </c>
      <c r="ARA17">
        <v>99.444999999999993</v>
      </c>
      <c r="ARB17">
        <v>99.465000000000003</v>
      </c>
      <c r="ARC17">
        <v>99.465000000000003</v>
      </c>
      <c r="ARD17">
        <v>99.47</v>
      </c>
      <c r="ARE17">
        <v>99.5</v>
      </c>
      <c r="ARF17">
        <v>99.484999999999999</v>
      </c>
      <c r="ARG17">
        <v>99.49</v>
      </c>
      <c r="ARH17">
        <v>99.474999999999994</v>
      </c>
      <c r="ARI17">
        <v>99.47</v>
      </c>
      <c r="ARJ17">
        <v>99.484999999999999</v>
      </c>
      <c r="ARK17">
        <v>99.484999999999999</v>
      </c>
      <c r="ARL17">
        <v>99.474999999999994</v>
      </c>
      <c r="ARM17">
        <v>99.474999999999994</v>
      </c>
      <c r="ARN17">
        <v>99.484999999999999</v>
      </c>
      <c r="ARO17">
        <v>99.47</v>
      </c>
      <c r="ARP17">
        <v>99.444999999999993</v>
      </c>
      <c r="ARQ17">
        <v>99.45</v>
      </c>
      <c r="ARR17">
        <v>99.454999999999998</v>
      </c>
      <c r="ARS17">
        <v>99.495000000000005</v>
      </c>
      <c r="ART17">
        <v>99.584999999999994</v>
      </c>
      <c r="ARU17">
        <v>99.63</v>
      </c>
      <c r="ARV17">
        <v>99.64</v>
      </c>
      <c r="ARW17">
        <v>99.63</v>
      </c>
      <c r="ARX17">
        <v>99.63</v>
      </c>
      <c r="ARY17">
        <v>99.62</v>
      </c>
      <c r="ARZ17">
        <v>99.605000000000004</v>
      </c>
      <c r="ASA17">
        <v>99.6</v>
      </c>
      <c r="ASB17">
        <v>99.605000000000004</v>
      </c>
      <c r="ASC17">
        <v>99.605000000000004</v>
      </c>
      <c r="ASD17">
        <v>99.605000000000004</v>
      </c>
      <c r="ASE17">
        <v>99.61</v>
      </c>
      <c r="ASF17">
        <v>99.605000000000004</v>
      </c>
      <c r="ASG17">
        <v>99.605000000000004</v>
      </c>
      <c r="ASH17">
        <v>99.62</v>
      </c>
      <c r="ASI17">
        <v>99.63</v>
      </c>
      <c r="ASJ17">
        <v>99.694999999999993</v>
      </c>
      <c r="ASK17">
        <v>99.694999999999993</v>
      </c>
      <c r="ASL17">
        <v>99.694999999999993</v>
      </c>
      <c r="ASM17">
        <v>99.67</v>
      </c>
      <c r="ASN17">
        <v>99.64</v>
      </c>
      <c r="ASO17">
        <v>99.715000000000003</v>
      </c>
      <c r="ASP17">
        <v>99.715000000000003</v>
      </c>
      <c r="ASQ17">
        <v>99.724999999999994</v>
      </c>
      <c r="ASR17">
        <v>99.74</v>
      </c>
      <c r="ASS17">
        <v>99.745000000000005</v>
      </c>
      <c r="AST17">
        <v>99.75</v>
      </c>
      <c r="ASU17">
        <v>99.775000000000006</v>
      </c>
      <c r="ASV17">
        <v>99.78</v>
      </c>
      <c r="ASW17">
        <v>99.775000000000006</v>
      </c>
      <c r="ASX17">
        <v>99.775000000000006</v>
      </c>
      <c r="ASY17">
        <v>99.77</v>
      </c>
      <c r="ASZ17">
        <v>99.765000000000001</v>
      </c>
      <c r="ATA17">
        <v>99.78</v>
      </c>
      <c r="ATB17">
        <v>99.775000000000006</v>
      </c>
      <c r="ATC17">
        <v>99.775000000000006</v>
      </c>
      <c r="ATD17">
        <v>99.78</v>
      </c>
      <c r="ATE17">
        <v>99.77</v>
      </c>
      <c r="ATF17">
        <v>99.77</v>
      </c>
      <c r="ATG17">
        <v>99.765000000000001</v>
      </c>
      <c r="ATH17">
        <v>99.745000000000005</v>
      </c>
      <c r="ATI17">
        <v>99.745000000000005</v>
      </c>
      <c r="ATJ17">
        <v>99.78</v>
      </c>
      <c r="ATK17">
        <v>99.825000000000003</v>
      </c>
      <c r="ATL17">
        <v>99.83</v>
      </c>
      <c r="ATM17">
        <v>99.85</v>
      </c>
      <c r="ATN17">
        <v>99.82</v>
      </c>
      <c r="ATO17">
        <v>99.83</v>
      </c>
      <c r="ATP17">
        <v>99.825000000000003</v>
      </c>
      <c r="ATQ17">
        <v>99.83</v>
      </c>
      <c r="ATR17">
        <v>99.84</v>
      </c>
      <c r="ATS17">
        <v>99.84</v>
      </c>
      <c r="ATT17">
        <v>99.834999999999994</v>
      </c>
      <c r="ATU17">
        <v>99.825000000000003</v>
      </c>
      <c r="ATV17">
        <v>99.814999999999998</v>
      </c>
      <c r="ATW17">
        <v>99.84</v>
      </c>
      <c r="ATX17">
        <v>99.84</v>
      </c>
      <c r="ATY17">
        <v>99.85</v>
      </c>
      <c r="ATZ17">
        <v>99.86</v>
      </c>
      <c r="AUA17">
        <v>99.855000000000004</v>
      </c>
      <c r="AUB17">
        <v>99.86</v>
      </c>
      <c r="AUC17">
        <v>99.855000000000004</v>
      </c>
      <c r="AUD17">
        <v>99.84</v>
      </c>
      <c r="AUE17">
        <v>99.834999999999994</v>
      </c>
      <c r="AUF17">
        <v>99.85</v>
      </c>
      <c r="AUG17">
        <v>99.844999999999999</v>
      </c>
      <c r="AUH17">
        <v>99.87</v>
      </c>
      <c r="AUI17">
        <v>99.87</v>
      </c>
      <c r="AUJ17">
        <v>99.92</v>
      </c>
      <c r="AUK17">
        <v>99.92</v>
      </c>
      <c r="AUL17">
        <v>99.92</v>
      </c>
      <c r="AUM17">
        <v>99.924999999999997</v>
      </c>
      <c r="AUN17">
        <v>99.924999999999997</v>
      </c>
      <c r="AUO17">
        <v>99.935000000000002</v>
      </c>
      <c r="AUP17">
        <v>99.935000000000002</v>
      </c>
      <c r="AUQ17">
        <v>99.94</v>
      </c>
      <c r="AUR17">
        <v>99.94</v>
      </c>
      <c r="AUS17">
        <v>99.93</v>
      </c>
      <c r="AUT17">
        <v>99.91</v>
      </c>
      <c r="AUU17">
        <v>99.924999999999997</v>
      </c>
      <c r="AUV17">
        <v>99.92</v>
      </c>
      <c r="AUW17">
        <v>99.944999999999993</v>
      </c>
      <c r="AUX17">
        <v>99.95</v>
      </c>
      <c r="AUY17">
        <v>99.94</v>
      </c>
      <c r="AUZ17">
        <v>99.915000000000006</v>
      </c>
      <c r="AVA17">
        <v>99.91</v>
      </c>
      <c r="AVB17">
        <v>99.915000000000006</v>
      </c>
      <c r="AVC17">
        <v>99.905000000000001</v>
      </c>
      <c r="AVD17">
        <v>99.905000000000001</v>
      </c>
      <c r="AVE17">
        <v>99.935000000000002</v>
      </c>
      <c r="AVF17">
        <v>99.924999999999997</v>
      </c>
      <c r="AVG17">
        <v>99.935000000000002</v>
      </c>
      <c r="AVH17">
        <v>99.93</v>
      </c>
      <c r="AVI17">
        <v>99.924999999999997</v>
      </c>
      <c r="AVJ17">
        <v>99.905000000000001</v>
      </c>
      <c r="AVK17">
        <v>99.915000000000006</v>
      </c>
      <c r="AVL17">
        <v>99.92</v>
      </c>
      <c r="AVM17">
        <v>99.93</v>
      </c>
      <c r="AVN17">
        <v>99.924999999999997</v>
      </c>
      <c r="AVO17">
        <v>99.935000000000002</v>
      </c>
      <c r="AVP17">
        <v>99.935000000000002</v>
      </c>
      <c r="AVQ17">
        <v>99.924999999999997</v>
      </c>
      <c r="AVR17">
        <v>99.91</v>
      </c>
      <c r="AVS17">
        <v>99.9</v>
      </c>
      <c r="AVT17">
        <v>99.9</v>
      </c>
      <c r="AVU17">
        <v>99.905000000000001</v>
      </c>
      <c r="AVV17">
        <v>99.905000000000001</v>
      </c>
      <c r="AVW17">
        <v>99.94</v>
      </c>
      <c r="AVX17">
        <v>99.95</v>
      </c>
      <c r="AVY17">
        <v>99.97</v>
      </c>
      <c r="AVZ17">
        <v>99.974999999999994</v>
      </c>
      <c r="AWA17">
        <v>99.984999999999999</v>
      </c>
      <c r="AWB17">
        <v>99.974999999999994</v>
      </c>
      <c r="AWC17">
        <v>99.97</v>
      </c>
      <c r="AWD17">
        <v>99.965000000000003</v>
      </c>
      <c r="AWE17">
        <v>99.944999999999993</v>
      </c>
      <c r="AWF17">
        <v>99.935000000000002</v>
      </c>
      <c r="AWG17">
        <v>99.93</v>
      </c>
      <c r="AWH17">
        <v>99.94</v>
      </c>
      <c r="AWI17">
        <v>99.944999999999993</v>
      </c>
      <c r="AWJ17">
        <v>99.944999999999993</v>
      </c>
      <c r="AWK17">
        <v>99.94</v>
      </c>
      <c r="AWL17">
        <v>99.94</v>
      </c>
      <c r="AWM17">
        <v>99.935000000000002</v>
      </c>
      <c r="AWN17">
        <v>99.935000000000002</v>
      </c>
      <c r="AWO17">
        <v>99.93</v>
      </c>
      <c r="AWP17">
        <v>99.94</v>
      </c>
      <c r="AWQ17">
        <v>99.94</v>
      </c>
      <c r="AWR17">
        <v>99.954999999999998</v>
      </c>
      <c r="AWS17">
        <v>99.97</v>
      </c>
      <c r="AWT17">
        <v>99.954999999999998</v>
      </c>
      <c r="AWU17">
        <v>99.95</v>
      </c>
      <c r="AWV17">
        <v>99.944999999999993</v>
      </c>
      <c r="AWW17">
        <v>99.944999999999993</v>
      </c>
      <c r="AWX17">
        <v>99.944999999999993</v>
      </c>
      <c r="AWY17">
        <v>99.935000000000002</v>
      </c>
      <c r="AWZ17">
        <v>99.954999999999998</v>
      </c>
      <c r="AXA17">
        <v>99.954999999999998</v>
      </c>
      <c r="AXB17">
        <v>99.944999999999993</v>
      </c>
      <c r="AXC17">
        <v>99.924999999999997</v>
      </c>
      <c r="AXD17">
        <v>99.924999999999997</v>
      </c>
      <c r="AXE17">
        <v>99.924999999999997</v>
      </c>
      <c r="AXF17">
        <v>99.92</v>
      </c>
      <c r="AXG17">
        <v>99.91</v>
      </c>
      <c r="AXH17">
        <v>99.89</v>
      </c>
      <c r="AXI17">
        <v>99.885000000000005</v>
      </c>
      <c r="AXJ17">
        <v>99.87</v>
      </c>
      <c r="AXK17">
        <v>99.885000000000005</v>
      </c>
      <c r="AXL17">
        <v>99.875</v>
      </c>
      <c r="AXM17">
        <v>99.885000000000005</v>
      </c>
      <c r="AXN17">
        <v>99.86</v>
      </c>
      <c r="AXO17">
        <v>99.81</v>
      </c>
      <c r="AXP17">
        <v>99.775000000000006</v>
      </c>
      <c r="AXQ17">
        <v>99.77</v>
      </c>
      <c r="AXR17">
        <v>99.834999999999994</v>
      </c>
      <c r="AXS17">
        <v>99.85</v>
      </c>
      <c r="AXT17">
        <v>99.885000000000005</v>
      </c>
      <c r="AXU17">
        <v>99.89</v>
      </c>
      <c r="AXV17">
        <v>99.88</v>
      </c>
      <c r="AXW17">
        <v>99.86</v>
      </c>
      <c r="AXX17">
        <v>99.864999999999995</v>
      </c>
      <c r="AXY17">
        <v>99.87</v>
      </c>
      <c r="AXZ17">
        <v>99.875</v>
      </c>
      <c r="AYA17">
        <v>99.875</v>
      </c>
      <c r="AYB17">
        <v>99.87</v>
      </c>
      <c r="AYC17">
        <v>99.87</v>
      </c>
      <c r="AYD17">
        <v>99.875</v>
      </c>
      <c r="AYE17">
        <v>99.875</v>
      </c>
      <c r="AYF17">
        <v>99.92</v>
      </c>
      <c r="AYG17">
        <v>99.894999999999996</v>
      </c>
      <c r="AYH17">
        <v>99.885000000000005</v>
      </c>
      <c r="AYI17">
        <v>99.864999999999995</v>
      </c>
      <c r="AYJ17">
        <v>99.864999999999995</v>
      </c>
      <c r="AYK17">
        <v>99.885000000000005</v>
      </c>
      <c r="AYL17">
        <v>99.894999999999996</v>
      </c>
      <c r="AYM17">
        <v>99.84</v>
      </c>
      <c r="AYN17">
        <v>99.825000000000003</v>
      </c>
      <c r="AYO17">
        <v>99.83</v>
      </c>
      <c r="AYP17">
        <v>99.814999999999998</v>
      </c>
      <c r="AYQ17">
        <v>99.82</v>
      </c>
      <c r="AYR17">
        <v>99.81</v>
      </c>
      <c r="AYS17">
        <v>99.795000000000002</v>
      </c>
      <c r="AYT17">
        <v>99.79</v>
      </c>
      <c r="AYU17">
        <v>99.8</v>
      </c>
      <c r="AYV17">
        <v>99.8</v>
      </c>
      <c r="AYW17">
        <v>99.795000000000002</v>
      </c>
      <c r="AYX17">
        <v>99.805000000000007</v>
      </c>
      <c r="AYY17">
        <v>99.784999999999997</v>
      </c>
      <c r="AYZ17">
        <v>99.775000000000006</v>
      </c>
      <c r="AZA17">
        <v>99.76</v>
      </c>
      <c r="AZB17">
        <v>99.75</v>
      </c>
      <c r="AZC17">
        <v>99.72</v>
      </c>
      <c r="AZD17">
        <v>99.704999999999998</v>
      </c>
      <c r="AZE17">
        <v>99.715000000000003</v>
      </c>
      <c r="AZF17">
        <v>99.715000000000003</v>
      </c>
      <c r="AZG17">
        <v>99.694999999999993</v>
      </c>
      <c r="AZH17">
        <v>99.68</v>
      </c>
      <c r="AZI17">
        <v>99.724999999999994</v>
      </c>
      <c r="AZJ17">
        <v>99.784999999999997</v>
      </c>
      <c r="AZK17">
        <v>99.78</v>
      </c>
      <c r="AZL17">
        <v>99.795000000000002</v>
      </c>
      <c r="AZM17">
        <v>99.77</v>
      </c>
      <c r="AZN17">
        <v>99.8</v>
      </c>
      <c r="AZO17">
        <v>99.754999999999995</v>
      </c>
      <c r="AZP17">
        <v>99.734999999999999</v>
      </c>
      <c r="AZQ17">
        <v>99.704999999999998</v>
      </c>
      <c r="AZR17">
        <v>99.7</v>
      </c>
      <c r="AZS17">
        <v>99.76</v>
      </c>
      <c r="AZT17">
        <v>99.68</v>
      </c>
      <c r="AZU17">
        <v>99.62</v>
      </c>
      <c r="AZV17">
        <v>99.515000000000001</v>
      </c>
      <c r="AZW17">
        <v>99.625</v>
      </c>
      <c r="AZX17">
        <v>99.674999999999997</v>
      </c>
      <c r="AZY17">
        <v>99.6</v>
      </c>
      <c r="AZZ17">
        <v>99.64</v>
      </c>
      <c r="BAA17">
        <v>99.57</v>
      </c>
      <c r="BAB17">
        <v>99.56</v>
      </c>
      <c r="BAC17">
        <v>99.68</v>
      </c>
      <c r="BAD17">
        <v>99.605000000000004</v>
      </c>
      <c r="BAE17">
        <v>99.52</v>
      </c>
      <c r="BAF17">
        <v>99.47</v>
      </c>
      <c r="BAG17">
        <v>99.41</v>
      </c>
      <c r="BAH17">
        <v>99.34</v>
      </c>
      <c r="BAI17">
        <v>99.34</v>
      </c>
      <c r="BAJ17">
        <v>99.14</v>
      </c>
      <c r="BAK17">
        <v>99.084999999999994</v>
      </c>
      <c r="BAL17">
        <v>99.094999999999999</v>
      </c>
      <c r="BAM17">
        <v>99.04</v>
      </c>
      <c r="BAN17">
        <v>98.93</v>
      </c>
      <c r="BAO17">
        <v>98.864999999999995</v>
      </c>
      <c r="BAP17">
        <v>98.82</v>
      </c>
      <c r="BAQ17">
        <v>98.844999999999999</v>
      </c>
      <c r="BAR17">
        <v>98.814999999999998</v>
      </c>
      <c r="BAS17">
        <v>98.814999999999998</v>
      </c>
      <c r="BAT17">
        <v>98.78</v>
      </c>
      <c r="BAU17">
        <v>98.78</v>
      </c>
      <c r="BAV17">
        <v>98.82</v>
      </c>
      <c r="BAW17">
        <v>98.85</v>
      </c>
      <c r="BAX17">
        <v>98.814999999999998</v>
      </c>
      <c r="BAY17">
        <v>98.76</v>
      </c>
      <c r="BAZ17">
        <v>98.78</v>
      </c>
      <c r="BBA17">
        <v>98.82</v>
      </c>
      <c r="BBB17">
        <v>98.905000000000001</v>
      </c>
      <c r="BBC17">
        <v>98.92</v>
      </c>
      <c r="BBD17">
        <v>98.864999999999995</v>
      </c>
      <c r="BBE17">
        <v>98.82</v>
      </c>
      <c r="BBF17">
        <v>98.77</v>
      </c>
      <c r="BBG17">
        <v>98.805000000000007</v>
      </c>
      <c r="BBH17">
        <v>98.72</v>
      </c>
      <c r="BBI17">
        <v>98.665000000000006</v>
      </c>
      <c r="BBJ17">
        <v>98.644999999999996</v>
      </c>
      <c r="BBK17">
        <v>98.63</v>
      </c>
      <c r="BBL17">
        <v>98.575000000000003</v>
      </c>
      <c r="BBM17">
        <v>98.575000000000003</v>
      </c>
      <c r="BBN17">
        <v>98.59</v>
      </c>
      <c r="BBO17">
        <v>98.6</v>
      </c>
      <c r="BBP17">
        <v>98.59</v>
      </c>
      <c r="BBQ17">
        <v>98.575000000000003</v>
      </c>
      <c r="BBR17">
        <v>98.58</v>
      </c>
      <c r="BBS17">
        <v>98.564999999999998</v>
      </c>
      <c r="BBT17">
        <v>98.56</v>
      </c>
      <c r="BBU17">
        <v>98.605000000000004</v>
      </c>
      <c r="BBV17">
        <v>98.614999999999995</v>
      </c>
      <c r="BBW17">
        <v>98.62</v>
      </c>
      <c r="BBX17">
        <v>98.53</v>
      </c>
      <c r="BBY17">
        <v>98.52</v>
      </c>
      <c r="BBZ17">
        <v>98.52</v>
      </c>
      <c r="BCA17">
        <v>98.525000000000006</v>
      </c>
      <c r="BCB17">
        <v>98.525000000000006</v>
      </c>
      <c r="BCC17">
        <v>98.484999999999999</v>
      </c>
      <c r="BCD17">
        <v>98.484999999999999</v>
      </c>
      <c r="BCE17">
        <v>98.484999999999999</v>
      </c>
      <c r="BCF17">
        <v>98.465000000000003</v>
      </c>
      <c r="BCG17">
        <v>98.504999999999995</v>
      </c>
      <c r="BCH17">
        <v>98.52</v>
      </c>
      <c r="BCI17">
        <v>98.5</v>
      </c>
      <c r="BCJ17">
        <v>98.525000000000006</v>
      </c>
      <c r="BCK17">
        <v>98.534999999999997</v>
      </c>
      <c r="BCL17">
        <v>98.61</v>
      </c>
      <c r="BCM17">
        <v>98.53</v>
      </c>
      <c r="BCN17">
        <v>98.614999999999995</v>
      </c>
      <c r="BCO17">
        <v>98.575000000000003</v>
      </c>
      <c r="BCP17">
        <v>98.59</v>
      </c>
      <c r="BCQ17">
        <v>98.6</v>
      </c>
      <c r="BCR17">
        <v>98.66</v>
      </c>
      <c r="BCS17">
        <v>98.674999999999997</v>
      </c>
      <c r="BCT17">
        <v>98.75</v>
      </c>
      <c r="BCU17">
        <v>98.63</v>
      </c>
      <c r="BCV17">
        <v>98.665000000000006</v>
      </c>
      <c r="BCW17">
        <v>98.655000000000001</v>
      </c>
      <c r="BCX17">
        <v>98.655000000000001</v>
      </c>
      <c r="BCY17">
        <v>98.694999999999993</v>
      </c>
      <c r="BCZ17">
        <v>98.685000000000002</v>
      </c>
      <c r="BDA17">
        <v>98.67</v>
      </c>
      <c r="BDB17">
        <v>98.69</v>
      </c>
      <c r="BDC17">
        <v>98.72</v>
      </c>
      <c r="BDD17">
        <v>98.685000000000002</v>
      </c>
      <c r="BDE17">
        <v>98.66</v>
      </c>
      <c r="BDF17">
        <v>98.635000000000005</v>
      </c>
      <c r="BDG17">
        <v>98.644999999999996</v>
      </c>
      <c r="BDH17">
        <v>98.594999999999999</v>
      </c>
      <c r="BDI17">
        <v>98.545000000000002</v>
      </c>
      <c r="BDJ17">
        <v>98.515000000000001</v>
      </c>
      <c r="BDK17">
        <v>98.525000000000006</v>
      </c>
      <c r="BDL17">
        <v>98.51</v>
      </c>
      <c r="BDM17">
        <v>98.62</v>
      </c>
      <c r="BDN17">
        <v>98.594999999999999</v>
      </c>
      <c r="BDO17">
        <v>98.655000000000001</v>
      </c>
      <c r="BDP17">
        <v>98.704999999999998</v>
      </c>
      <c r="BDQ17">
        <v>98.775000000000006</v>
      </c>
      <c r="BDR17">
        <v>98.65</v>
      </c>
      <c r="BDS17">
        <v>98.63</v>
      </c>
      <c r="BDT17">
        <v>98.635000000000005</v>
      </c>
      <c r="BDU17">
        <v>98.665000000000006</v>
      </c>
      <c r="BDV17">
        <v>98.71</v>
      </c>
      <c r="BDW17">
        <v>98.72</v>
      </c>
      <c r="BDX17">
        <v>98.7</v>
      </c>
      <c r="BDY17">
        <v>98.674999999999997</v>
      </c>
      <c r="BDZ17">
        <v>98.715000000000003</v>
      </c>
      <c r="BEA17">
        <v>98.69</v>
      </c>
      <c r="BEB17">
        <v>98.715000000000003</v>
      </c>
      <c r="BEC17">
        <v>98.674999999999997</v>
      </c>
      <c r="BED17">
        <v>98.73</v>
      </c>
      <c r="BEE17">
        <v>98.71</v>
      </c>
      <c r="BEF17">
        <v>98.84</v>
      </c>
      <c r="BEG17">
        <v>98.905000000000001</v>
      </c>
      <c r="BEH17">
        <v>98.96</v>
      </c>
      <c r="BEI17">
        <v>98.95</v>
      </c>
      <c r="BEJ17">
        <v>99.02</v>
      </c>
      <c r="BEK17">
        <v>99.03</v>
      </c>
      <c r="BEL17">
        <v>98.93</v>
      </c>
      <c r="BEM17">
        <v>98.855000000000004</v>
      </c>
      <c r="BEN17">
        <v>98.784999999999997</v>
      </c>
      <c r="BEO17">
        <v>98.795000000000002</v>
      </c>
      <c r="BEP17">
        <v>98.784999999999997</v>
      </c>
      <c r="BEQ17">
        <v>98.77</v>
      </c>
      <c r="BER17">
        <v>98.87</v>
      </c>
      <c r="BES17">
        <v>98.775000000000006</v>
      </c>
      <c r="BET17">
        <v>98.734999999999999</v>
      </c>
      <c r="BEU17">
        <v>98.75</v>
      </c>
      <c r="BEV17">
        <v>98.715000000000003</v>
      </c>
      <c r="BEW17">
        <v>98.724999999999994</v>
      </c>
      <c r="BEX17">
        <v>98.685000000000002</v>
      </c>
      <c r="BEY17">
        <v>98.625</v>
      </c>
      <c r="BEZ17">
        <v>98.72</v>
      </c>
      <c r="BFA17">
        <v>98.805000000000007</v>
      </c>
      <c r="BFB17">
        <v>98.83</v>
      </c>
      <c r="BFC17">
        <v>98.93</v>
      </c>
      <c r="BFD17">
        <v>99.004999999999995</v>
      </c>
      <c r="BFE17">
        <v>99.01</v>
      </c>
      <c r="BFF17">
        <v>99.14</v>
      </c>
      <c r="BFG17">
        <v>99.1</v>
      </c>
      <c r="BFH17">
        <v>99.02</v>
      </c>
      <c r="BFI17">
        <v>99.02</v>
      </c>
      <c r="BFJ17">
        <v>98.995000000000005</v>
      </c>
      <c r="BFK17">
        <v>99.034999999999997</v>
      </c>
      <c r="BFL17">
        <v>98.99</v>
      </c>
      <c r="BFM17">
        <v>98.944999999999993</v>
      </c>
      <c r="BFN17">
        <v>98.97</v>
      </c>
      <c r="BFO17">
        <v>98.864999999999995</v>
      </c>
      <c r="BFP17">
        <v>98.894999999999996</v>
      </c>
      <c r="BFQ17">
        <v>98.93</v>
      </c>
      <c r="BFR17">
        <v>98.89</v>
      </c>
      <c r="BFS17">
        <v>98.95</v>
      </c>
      <c r="BFT17">
        <v>98.944999999999993</v>
      </c>
      <c r="BFU17">
        <v>98.875</v>
      </c>
      <c r="BFV17">
        <v>98.79</v>
      </c>
      <c r="BFW17">
        <v>98.894999999999996</v>
      </c>
      <c r="BFX17">
        <v>98.814999999999998</v>
      </c>
      <c r="BFY17">
        <v>98.86</v>
      </c>
      <c r="BFZ17">
        <v>98.935000000000002</v>
      </c>
      <c r="BGA17">
        <v>98.84</v>
      </c>
      <c r="BGB17">
        <v>98.905000000000001</v>
      </c>
      <c r="BGC17">
        <v>98.69</v>
      </c>
      <c r="BGD17">
        <v>98.67</v>
      </c>
      <c r="BGE17">
        <v>98.48</v>
      </c>
      <c r="BGF17">
        <v>98.49</v>
      </c>
      <c r="BGG17">
        <v>98.5</v>
      </c>
      <c r="BGH17">
        <v>98.48</v>
      </c>
      <c r="BGI17">
        <v>98.504999999999995</v>
      </c>
      <c r="BGJ17">
        <v>98.53</v>
      </c>
      <c r="BGK17">
        <v>98.525000000000006</v>
      </c>
      <c r="BGL17">
        <v>98.555000000000007</v>
      </c>
      <c r="BGM17">
        <v>98.534999999999997</v>
      </c>
      <c r="BGN17">
        <v>98.584999999999994</v>
      </c>
      <c r="BGO17">
        <v>98.5</v>
      </c>
      <c r="BGP17">
        <v>98.444999999999993</v>
      </c>
      <c r="BGQ17">
        <v>98.474999999999994</v>
      </c>
      <c r="BGR17">
        <v>98.47</v>
      </c>
      <c r="BGS17">
        <v>98.454999999999998</v>
      </c>
      <c r="BGT17">
        <v>98.504999999999995</v>
      </c>
      <c r="BGU17">
        <v>98.465000000000003</v>
      </c>
      <c r="BGV17">
        <v>98.484999999999999</v>
      </c>
      <c r="BGW17">
        <v>98.48</v>
      </c>
      <c r="BGX17">
        <v>98.564999999999998</v>
      </c>
      <c r="BGY17">
        <v>98.564999999999998</v>
      </c>
      <c r="BGZ17">
        <v>98.56</v>
      </c>
      <c r="BHA17">
        <v>98.51</v>
      </c>
      <c r="BHB17">
        <v>98.555000000000007</v>
      </c>
      <c r="BHC17">
        <v>98.57</v>
      </c>
      <c r="BHD17">
        <v>98.54</v>
      </c>
      <c r="BHE17">
        <v>98.625</v>
      </c>
      <c r="BHF17">
        <v>98.6</v>
      </c>
      <c r="BHG17">
        <v>98.55</v>
      </c>
      <c r="BHH17">
        <v>98.605000000000004</v>
      </c>
      <c r="BHI17">
        <v>98.61</v>
      </c>
      <c r="BHJ17">
        <v>98.515000000000001</v>
      </c>
      <c r="BHK17">
        <v>98.515000000000001</v>
      </c>
      <c r="BHL17">
        <v>98.534999999999997</v>
      </c>
      <c r="BHM17">
        <v>98.54</v>
      </c>
      <c r="BHN17">
        <v>98.47</v>
      </c>
      <c r="BHO17">
        <v>98.42</v>
      </c>
      <c r="BHP17">
        <v>98.415000000000006</v>
      </c>
      <c r="BHQ17">
        <v>98.454999999999998</v>
      </c>
      <c r="BHR17">
        <v>98.44</v>
      </c>
      <c r="BHS17">
        <v>98.495000000000005</v>
      </c>
      <c r="BHT17">
        <v>98.474999999999994</v>
      </c>
      <c r="BHU17">
        <v>98.52</v>
      </c>
      <c r="BHV17">
        <v>98.47</v>
      </c>
      <c r="BHW17">
        <v>98.33</v>
      </c>
      <c r="BHX17">
        <v>98.334999999999994</v>
      </c>
      <c r="BHY17">
        <v>98.3</v>
      </c>
      <c r="BHZ17">
        <v>98.245000000000005</v>
      </c>
      <c r="BIA17">
        <v>98.245000000000005</v>
      </c>
      <c r="BIB17">
        <v>98.275000000000006</v>
      </c>
      <c r="BIC17">
        <v>98.14</v>
      </c>
      <c r="BID17">
        <v>98.105000000000004</v>
      </c>
      <c r="BIE17">
        <v>98.135000000000005</v>
      </c>
      <c r="BIF17">
        <v>98.16</v>
      </c>
      <c r="BIG17">
        <v>98.15</v>
      </c>
      <c r="BIH17">
        <v>98.194999999999993</v>
      </c>
      <c r="BII17">
        <v>98.144999999999996</v>
      </c>
      <c r="BIJ17">
        <v>98.155000000000001</v>
      </c>
      <c r="BIK17">
        <v>98.08</v>
      </c>
      <c r="BIL17">
        <v>98.064999999999998</v>
      </c>
      <c r="BIM17">
        <v>98.03</v>
      </c>
      <c r="BIN17">
        <v>98.06</v>
      </c>
      <c r="BIO17">
        <v>98.004999999999995</v>
      </c>
      <c r="BIP17">
        <v>97.965000000000003</v>
      </c>
      <c r="BIQ17">
        <v>97.96</v>
      </c>
      <c r="BIR17">
        <v>98.02</v>
      </c>
      <c r="BIS17">
        <v>98.06</v>
      </c>
      <c r="BIT17">
        <v>98.034999999999997</v>
      </c>
      <c r="BIU17">
        <v>98.04</v>
      </c>
      <c r="BIV17">
        <v>97.99</v>
      </c>
      <c r="BIW17">
        <v>98.004999999999995</v>
      </c>
      <c r="BIX17">
        <v>97.95</v>
      </c>
      <c r="BIY17">
        <v>97.93</v>
      </c>
      <c r="BIZ17">
        <v>97.93</v>
      </c>
      <c r="BJA17">
        <v>97.93</v>
      </c>
      <c r="BJB17">
        <v>97.905000000000001</v>
      </c>
      <c r="BJC17">
        <v>97.9</v>
      </c>
      <c r="BJD17">
        <v>97.93</v>
      </c>
      <c r="BJE17">
        <v>97.924999999999997</v>
      </c>
      <c r="BJF17">
        <v>98</v>
      </c>
      <c r="BJG17">
        <v>98.034999999999997</v>
      </c>
      <c r="BJH17">
        <v>98</v>
      </c>
      <c r="BJI17">
        <v>97.965000000000003</v>
      </c>
      <c r="BJJ17">
        <v>97.974999999999994</v>
      </c>
      <c r="BJK17">
        <v>97.984999999999999</v>
      </c>
      <c r="BJL17">
        <v>97.995000000000005</v>
      </c>
      <c r="BJM17">
        <v>98.015000000000001</v>
      </c>
      <c r="BJN17">
        <v>98.004999999999995</v>
      </c>
      <c r="BJO17">
        <v>98.084999999999994</v>
      </c>
      <c r="BJP17">
        <v>98.16</v>
      </c>
      <c r="BJQ17">
        <v>98.194999999999993</v>
      </c>
      <c r="BJR17">
        <v>98.144999999999996</v>
      </c>
      <c r="BJS17">
        <v>98.174999999999997</v>
      </c>
      <c r="BJT17">
        <v>98.07</v>
      </c>
      <c r="BJU17">
        <v>97.954999999999998</v>
      </c>
      <c r="BJV17">
        <v>97.935000000000002</v>
      </c>
      <c r="BJW17">
        <v>97.844999999999999</v>
      </c>
      <c r="BJX17">
        <v>97.86</v>
      </c>
      <c r="BJY17">
        <v>97.864999999999995</v>
      </c>
      <c r="BJZ17">
        <v>97.834999999999994</v>
      </c>
      <c r="BKA17">
        <v>97.84</v>
      </c>
      <c r="BKB17">
        <v>97.82</v>
      </c>
      <c r="BKC17">
        <v>97.79</v>
      </c>
      <c r="BKD17">
        <v>97.8</v>
      </c>
      <c r="BKE17">
        <v>97.784999999999997</v>
      </c>
      <c r="BKF17">
        <v>97.71</v>
      </c>
      <c r="BKG17">
        <v>97.674999999999997</v>
      </c>
      <c r="BKH17">
        <v>97.68</v>
      </c>
      <c r="BKI17">
        <v>97.67</v>
      </c>
      <c r="BKJ17">
        <v>97.74</v>
      </c>
      <c r="BKK17">
        <v>97.76</v>
      </c>
      <c r="BKL17">
        <v>97.784999999999997</v>
      </c>
      <c r="BKM17">
        <v>97.754999999999995</v>
      </c>
      <c r="BKN17">
        <v>97.76</v>
      </c>
      <c r="BKO17">
        <v>97.715000000000003</v>
      </c>
      <c r="BKP17">
        <v>97.754999999999995</v>
      </c>
      <c r="BKQ17">
        <v>97.75</v>
      </c>
      <c r="BKR17">
        <v>97.734999999999999</v>
      </c>
      <c r="BKS17">
        <v>97.734999999999999</v>
      </c>
      <c r="BKT17">
        <v>97.74</v>
      </c>
      <c r="BKU17">
        <v>97.7</v>
      </c>
      <c r="BKV17">
        <v>97.76</v>
      </c>
      <c r="BKW17">
        <v>97.79</v>
      </c>
      <c r="BKX17">
        <v>97.814999999999998</v>
      </c>
      <c r="BKY17">
        <v>97.78</v>
      </c>
      <c r="BKZ17">
        <v>97.724999999999994</v>
      </c>
      <c r="BLA17">
        <v>97.715000000000003</v>
      </c>
      <c r="BLB17">
        <v>97.71</v>
      </c>
      <c r="BLC17">
        <v>97.73</v>
      </c>
      <c r="BLD17">
        <v>97.754999999999995</v>
      </c>
      <c r="BLE17">
        <v>97.685000000000002</v>
      </c>
      <c r="BLF17">
        <v>97.635000000000005</v>
      </c>
      <c r="BLG17">
        <v>97.63</v>
      </c>
      <c r="BLH17">
        <v>97.62</v>
      </c>
      <c r="BLI17">
        <v>97.644999999999996</v>
      </c>
      <c r="BLJ17">
        <v>97.63</v>
      </c>
      <c r="BLK17">
        <v>97.635000000000005</v>
      </c>
      <c r="BLL17">
        <v>97.59</v>
      </c>
      <c r="BLM17">
        <v>97.59</v>
      </c>
      <c r="BLN17">
        <v>97.66</v>
      </c>
      <c r="BLO17">
        <v>97.69</v>
      </c>
      <c r="BLP17">
        <v>97.715000000000003</v>
      </c>
      <c r="BLQ17">
        <v>97.704999999999998</v>
      </c>
      <c r="BLR17">
        <v>97.71</v>
      </c>
      <c r="BLS17">
        <v>97.694999999999993</v>
      </c>
      <c r="BLT17">
        <v>97.7</v>
      </c>
      <c r="BLU17">
        <v>97.69</v>
      </c>
      <c r="BLV17">
        <v>97.76</v>
      </c>
      <c r="BLW17">
        <v>97.805000000000007</v>
      </c>
      <c r="BLX17">
        <v>97.87</v>
      </c>
      <c r="BLY17">
        <v>97.685000000000002</v>
      </c>
      <c r="BLZ17">
        <v>97.694999999999993</v>
      </c>
      <c r="BMA17">
        <v>97.694999999999993</v>
      </c>
      <c r="BMB17">
        <v>97.69</v>
      </c>
      <c r="BMC17">
        <v>97.68</v>
      </c>
      <c r="BMD17">
        <v>97.625</v>
      </c>
      <c r="BME17">
        <v>97.6</v>
      </c>
      <c r="BMF17">
        <v>97.6</v>
      </c>
      <c r="BMG17">
        <v>97.54</v>
      </c>
      <c r="BMH17">
        <v>97.504999999999995</v>
      </c>
      <c r="BMI17">
        <v>97.495000000000005</v>
      </c>
      <c r="BMJ17">
        <v>97.495000000000005</v>
      </c>
      <c r="BMK17">
        <v>97.444999999999993</v>
      </c>
      <c r="BML17">
        <v>97.41</v>
      </c>
      <c r="BMM17">
        <v>97.38</v>
      </c>
      <c r="BMN17">
        <v>97.385000000000005</v>
      </c>
      <c r="BMO17">
        <v>97.42</v>
      </c>
      <c r="BMP17">
        <v>97.46</v>
      </c>
      <c r="BMQ17">
        <v>97.424999999999997</v>
      </c>
      <c r="BMR17">
        <v>97.385000000000005</v>
      </c>
      <c r="BMS17">
        <v>97.28</v>
      </c>
      <c r="BMT17">
        <v>97.28</v>
      </c>
      <c r="BMU17">
        <v>97.25</v>
      </c>
      <c r="BMV17">
        <v>97.27</v>
      </c>
      <c r="BMW17">
        <v>97.265000000000001</v>
      </c>
      <c r="BMX17">
        <v>97.26</v>
      </c>
      <c r="BMY17">
        <v>97.224999999999994</v>
      </c>
      <c r="BMZ17">
        <v>97.21</v>
      </c>
      <c r="BNA17">
        <v>97.22</v>
      </c>
      <c r="BNB17">
        <v>97.22</v>
      </c>
      <c r="BNC17">
        <v>97.22</v>
      </c>
      <c r="BND17">
        <v>97.23</v>
      </c>
      <c r="BNE17">
        <v>97.234999999999999</v>
      </c>
      <c r="BNF17">
        <v>97.2</v>
      </c>
      <c r="BNG17">
        <v>97.15</v>
      </c>
      <c r="BNH17">
        <v>97.14</v>
      </c>
      <c r="BNI17">
        <v>97.084999999999994</v>
      </c>
      <c r="BNJ17">
        <v>97.064999999999998</v>
      </c>
      <c r="BNK17">
        <v>97.045000000000002</v>
      </c>
      <c r="BNL17">
        <v>97.03</v>
      </c>
      <c r="BNM17">
        <v>97.064999999999998</v>
      </c>
      <c r="BNN17">
        <v>97.075000000000003</v>
      </c>
      <c r="BNO17">
        <v>97.084999999999994</v>
      </c>
      <c r="BNP17">
        <v>97.09</v>
      </c>
      <c r="BNQ17">
        <v>97.13</v>
      </c>
      <c r="BNR17">
        <v>97.12</v>
      </c>
      <c r="BNS17">
        <v>97.15</v>
      </c>
      <c r="BNT17">
        <v>97.15</v>
      </c>
      <c r="BNU17">
        <v>97.155000000000001</v>
      </c>
      <c r="BNV17">
        <v>97.084999999999994</v>
      </c>
      <c r="BNW17">
        <v>97.084999999999994</v>
      </c>
      <c r="BNX17">
        <v>97.055000000000007</v>
      </c>
      <c r="BNY17">
        <v>97.02</v>
      </c>
      <c r="BNZ17">
        <v>97.015000000000001</v>
      </c>
      <c r="BOA17">
        <v>97.034999999999997</v>
      </c>
      <c r="BOB17">
        <v>97.025000000000006</v>
      </c>
      <c r="BOC17">
        <v>97.025000000000006</v>
      </c>
      <c r="BOD17">
        <v>97.03</v>
      </c>
      <c r="BOE17">
        <v>97.04</v>
      </c>
      <c r="BOF17">
        <v>97.02</v>
      </c>
      <c r="BOG17">
        <v>96.97</v>
      </c>
      <c r="BOH17">
        <v>96.96</v>
      </c>
      <c r="BOI17">
        <v>96.965000000000003</v>
      </c>
      <c r="BOJ17">
        <v>96.97</v>
      </c>
      <c r="BOK17">
        <v>96.995000000000005</v>
      </c>
      <c r="BOL17">
        <v>97.03</v>
      </c>
      <c r="BOM17">
        <v>97.08</v>
      </c>
      <c r="BON17">
        <v>97.07</v>
      </c>
      <c r="BOO17">
        <v>97.07</v>
      </c>
      <c r="BOP17">
        <v>97.05</v>
      </c>
      <c r="BOQ17">
        <v>97.05</v>
      </c>
      <c r="BOR17">
        <v>97.04</v>
      </c>
      <c r="BOS17">
        <v>97.055000000000007</v>
      </c>
      <c r="BOT17">
        <v>97.06</v>
      </c>
      <c r="BOU17">
        <v>97.05</v>
      </c>
      <c r="BOV17">
        <v>97.07</v>
      </c>
      <c r="BOW17">
        <v>97.1</v>
      </c>
      <c r="BOX17">
        <v>97.13</v>
      </c>
      <c r="BOY17">
        <v>97.13</v>
      </c>
      <c r="BOZ17">
        <v>97.165000000000006</v>
      </c>
      <c r="BPA17">
        <v>97.19</v>
      </c>
      <c r="BPB17">
        <v>97.19</v>
      </c>
      <c r="BPC17">
        <v>97.24</v>
      </c>
      <c r="BPD17">
        <v>97.24</v>
      </c>
      <c r="BPE17">
        <v>97.3</v>
      </c>
      <c r="BPF17">
        <v>97.284999999999997</v>
      </c>
      <c r="BPG17">
        <v>97.29</v>
      </c>
      <c r="BPH17">
        <v>97.31</v>
      </c>
      <c r="BPI17">
        <v>97.31</v>
      </c>
      <c r="BPJ17">
        <v>97.275000000000006</v>
      </c>
      <c r="BPK17">
        <v>97.265000000000001</v>
      </c>
      <c r="BPL17">
        <v>97.28</v>
      </c>
      <c r="BPM17">
        <v>97.295000000000002</v>
      </c>
      <c r="BPN17">
        <v>97.314999999999998</v>
      </c>
      <c r="BPO17">
        <v>97.314999999999998</v>
      </c>
      <c r="BPP17">
        <v>97.334999999999994</v>
      </c>
      <c r="BPQ17">
        <v>97.325000000000003</v>
      </c>
      <c r="BPR17">
        <v>97.334999999999994</v>
      </c>
      <c r="BPS17">
        <v>97.31</v>
      </c>
      <c r="BPT17">
        <v>97.305000000000007</v>
      </c>
      <c r="BPU17">
        <v>97.325000000000003</v>
      </c>
      <c r="BPV17">
        <v>97.29</v>
      </c>
      <c r="BPW17">
        <v>97.314999999999998</v>
      </c>
      <c r="BPX17">
        <v>97.32</v>
      </c>
      <c r="BPY17">
        <v>97.254999999999995</v>
      </c>
      <c r="BPZ17">
        <v>97.24</v>
      </c>
      <c r="BQA17">
        <v>97.234999999999999</v>
      </c>
      <c r="BQB17">
        <v>97.24</v>
      </c>
      <c r="BQC17">
        <v>97.23</v>
      </c>
      <c r="BQD17">
        <v>97.22</v>
      </c>
      <c r="BQE17">
        <v>97.23</v>
      </c>
      <c r="BQF17">
        <v>97.234999999999999</v>
      </c>
      <c r="BQG17">
        <v>97.234999999999999</v>
      </c>
      <c r="BQH17">
        <v>97.224999999999994</v>
      </c>
      <c r="BQI17">
        <v>97.22</v>
      </c>
      <c r="BQJ17">
        <v>97.265000000000001</v>
      </c>
      <c r="BQK17">
        <v>97.265000000000001</v>
      </c>
      <c r="BQL17">
        <v>97.275000000000006</v>
      </c>
      <c r="BQM17">
        <v>97.31</v>
      </c>
      <c r="BQN17">
        <v>97.314999999999998</v>
      </c>
      <c r="BQO17">
        <v>97.3</v>
      </c>
      <c r="BQP17">
        <v>97.305000000000007</v>
      </c>
      <c r="BQQ17">
        <v>97.33</v>
      </c>
      <c r="BQR17">
        <v>97.34</v>
      </c>
      <c r="BQS17">
        <v>97.325000000000003</v>
      </c>
      <c r="BQT17">
        <v>97.33</v>
      </c>
      <c r="BQU17">
        <v>97.325000000000003</v>
      </c>
      <c r="BQV17">
        <v>97.334999999999994</v>
      </c>
      <c r="BQW17">
        <v>97.344999999999999</v>
      </c>
      <c r="BQX17">
        <v>97.325000000000003</v>
      </c>
      <c r="BQY17">
        <v>97.34</v>
      </c>
      <c r="BQZ17">
        <v>97.34</v>
      </c>
      <c r="BRA17">
        <v>97.334999999999994</v>
      </c>
      <c r="BRB17">
        <v>97.334999999999994</v>
      </c>
      <c r="BRC17">
        <v>97.34</v>
      </c>
      <c r="BRD17">
        <v>97.334999999999994</v>
      </c>
      <c r="BRE17">
        <v>97.29</v>
      </c>
      <c r="BRF17">
        <v>97.275000000000006</v>
      </c>
      <c r="BRG17">
        <v>97.245000000000005</v>
      </c>
      <c r="BRH17">
        <v>97.245000000000005</v>
      </c>
      <c r="BRI17">
        <v>97.234999999999999</v>
      </c>
      <c r="BRJ17">
        <v>97.24</v>
      </c>
      <c r="BRK17">
        <v>97.21</v>
      </c>
      <c r="BRL17">
        <v>97.22</v>
      </c>
      <c r="BRM17">
        <v>97.204999999999998</v>
      </c>
      <c r="BRN17">
        <v>97.204999999999998</v>
      </c>
      <c r="BRO17">
        <v>97.24</v>
      </c>
      <c r="BRP17">
        <v>97.254999999999995</v>
      </c>
      <c r="BRQ17">
        <v>97.265000000000001</v>
      </c>
      <c r="BRR17">
        <v>97.23</v>
      </c>
      <c r="BRS17">
        <v>97.22</v>
      </c>
      <c r="BRT17">
        <v>97.26</v>
      </c>
      <c r="BRU17">
        <v>97.24</v>
      </c>
      <c r="BRV17">
        <v>97.28</v>
      </c>
      <c r="BRW17">
        <v>97.35</v>
      </c>
      <c r="BRX17">
        <v>97.344999999999999</v>
      </c>
      <c r="BRY17">
        <v>97.44</v>
      </c>
      <c r="BRZ17">
        <v>97.224999999999994</v>
      </c>
      <c r="BSA17">
        <v>97.224999999999994</v>
      </c>
      <c r="BSB17">
        <v>97.194999999999993</v>
      </c>
      <c r="BSC17">
        <v>97.165000000000006</v>
      </c>
      <c r="BSD17">
        <v>97.114999999999995</v>
      </c>
      <c r="BSE17">
        <v>97.105000000000004</v>
      </c>
      <c r="BSF17">
        <v>97.12</v>
      </c>
      <c r="BSG17">
        <v>97.094999999999999</v>
      </c>
      <c r="BSH17">
        <v>97.11</v>
      </c>
      <c r="BSI17">
        <v>97.12</v>
      </c>
      <c r="BSJ17">
        <v>97.15</v>
      </c>
      <c r="BSK17">
        <v>97.155000000000001</v>
      </c>
      <c r="BSL17">
        <v>97.17</v>
      </c>
      <c r="BSM17">
        <v>97.19</v>
      </c>
      <c r="BSN17">
        <v>97.215000000000003</v>
      </c>
      <c r="BSO17">
        <v>97.224999999999994</v>
      </c>
      <c r="BSP17">
        <v>97.25</v>
      </c>
      <c r="BSQ17" t="s">
        <v>6984</v>
      </c>
      <c r="BSR17" t="s">
        <v>6984</v>
      </c>
      <c r="BSS17" t="s">
        <v>6984</v>
      </c>
      <c r="BST17" t="s">
        <v>6984</v>
      </c>
      <c r="BSU17" t="s">
        <v>6984</v>
      </c>
      <c r="BSV17" t="s">
        <v>6984</v>
      </c>
      <c r="BSW17" t="s">
        <v>6984</v>
      </c>
      <c r="BSX17" t="s">
        <v>6984</v>
      </c>
      <c r="BSY17" t="s">
        <v>6984</v>
      </c>
      <c r="BSZ17" t="s">
        <v>6984</v>
      </c>
      <c r="BTA17" t="s">
        <v>6984</v>
      </c>
      <c r="BTB17" t="s">
        <v>6984</v>
      </c>
      <c r="BTC17" t="s">
        <v>6984</v>
      </c>
      <c r="BTD17" t="s">
        <v>6984</v>
      </c>
      <c r="BTE17" t="s">
        <v>6984</v>
      </c>
      <c r="BTF17" t="s">
        <v>6984</v>
      </c>
      <c r="BTG17" t="s">
        <v>6984</v>
      </c>
      <c r="BTH17" t="s">
        <v>6984</v>
      </c>
      <c r="BTI17" t="s">
        <v>6984</v>
      </c>
      <c r="BTJ17" t="s">
        <v>6984</v>
      </c>
      <c r="BTK17" t="s">
        <v>6984</v>
      </c>
      <c r="BTL17" t="s">
        <v>6984</v>
      </c>
      <c r="BTM17" t="s">
        <v>6984</v>
      </c>
      <c r="BTN17" t="s">
        <v>6984</v>
      </c>
      <c r="BTO17" t="s">
        <v>6984</v>
      </c>
      <c r="BTP17" t="s">
        <v>6984</v>
      </c>
      <c r="BTQ17" t="s">
        <v>6984</v>
      </c>
      <c r="BTR17" t="s">
        <v>6984</v>
      </c>
      <c r="BTS17" t="s">
        <v>6984</v>
      </c>
      <c r="BTT17" t="s">
        <v>6984</v>
      </c>
      <c r="BTU17" t="s">
        <v>6984</v>
      </c>
      <c r="BTV17" t="s">
        <v>6984</v>
      </c>
      <c r="BTW17" t="s">
        <v>6984</v>
      </c>
      <c r="BTX17" t="s">
        <v>6984</v>
      </c>
      <c r="BTY17" t="s">
        <v>6984</v>
      </c>
      <c r="BTZ17" t="s">
        <v>6984</v>
      </c>
      <c r="BUA17" t="s">
        <v>6984</v>
      </c>
      <c r="BUB17" t="s">
        <v>6984</v>
      </c>
      <c r="BUC17" t="s">
        <v>6984</v>
      </c>
      <c r="BUD17" t="s">
        <v>6984</v>
      </c>
      <c r="BUE17" t="s">
        <v>6984</v>
      </c>
      <c r="BUF17" t="s">
        <v>6984</v>
      </c>
      <c r="BUG17" t="s">
        <v>6984</v>
      </c>
      <c r="BUH17" t="s">
        <v>6984</v>
      </c>
      <c r="BUI17" t="s">
        <v>6984</v>
      </c>
      <c r="BUJ17" t="s">
        <v>6984</v>
      </c>
      <c r="BUK17" t="s">
        <v>6984</v>
      </c>
      <c r="BUL17" t="s">
        <v>6984</v>
      </c>
      <c r="BUM17" t="s">
        <v>6984</v>
      </c>
      <c r="BUN17" t="s">
        <v>6984</v>
      </c>
      <c r="BUO17" t="s">
        <v>6984</v>
      </c>
      <c r="BUP17" t="s">
        <v>6984</v>
      </c>
      <c r="BUQ17" t="s">
        <v>6984</v>
      </c>
      <c r="BUR17" t="s">
        <v>6984</v>
      </c>
      <c r="BUS17" t="s">
        <v>6984</v>
      </c>
      <c r="BUT17" t="s">
        <v>6984</v>
      </c>
      <c r="BUU17" t="s">
        <v>6984</v>
      </c>
      <c r="BUV17" t="s">
        <v>6984</v>
      </c>
      <c r="BUW17" t="s">
        <v>6984</v>
      </c>
      <c r="BUX17" t="s">
        <v>6984</v>
      </c>
      <c r="BUY17" t="s">
        <v>6984</v>
      </c>
      <c r="BUZ17" t="s">
        <v>6984</v>
      </c>
      <c r="BVA17" t="s">
        <v>6984</v>
      </c>
      <c r="BVB17" t="s">
        <v>6984</v>
      </c>
      <c r="BVC17" t="s">
        <v>6984</v>
      </c>
      <c r="BVD17" t="s">
        <v>6984</v>
      </c>
      <c r="BVE17" t="s">
        <v>6984</v>
      </c>
      <c r="BVF17" t="s">
        <v>6984</v>
      </c>
      <c r="BVG17" t="s">
        <v>6984</v>
      </c>
      <c r="BVH17" t="s">
        <v>6984</v>
      </c>
      <c r="BVI17" t="s">
        <v>6984</v>
      </c>
      <c r="BVJ17" t="s">
        <v>6984</v>
      </c>
      <c r="BVK17" t="s">
        <v>6984</v>
      </c>
      <c r="BVL17" t="s">
        <v>6984</v>
      </c>
      <c r="BVM17" t="s">
        <v>6984</v>
      </c>
      <c r="BVN17" t="s">
        <v>6984</v>
      </c>
      <c r="BVO17" t="s">
        <v>6984</v>
      </c>
      <c r="BVP17" t="s">
        <v>6984</v>
      </c>
      <c r="BVQ17" t="s">
        <v>6984</v>
      </c>
      <c r="BVR17" t="s">
        <v>6984</v>
      </c>
      <c r="BVS17" t="s">
        <v>6984</v>
      </c>
      <c r="BVT17" t="s">
        <v>6984</v>
      </c>
      <c r="BVU17" t="s">
        <v>6984</v>
      </c>
      <c r="BVV17" t="s">
        <v>6984</v>
      </c>
      <c r="BVW17" t="s">
        <v>6984</v>
      </c>
      <c r="BVX17" t="s">
        <v>6984</v>
      </c>
      <c r="BVY17" t="s">
        <v>6984</v>
      </c>
      <c r="BVZ17" t="s">
        <v>6984</v>
      </c>
      <c r="BWA17" t="s">
        <v>6984</v>
      </c>
      <c r="BWB17" t="s">
        <v>6984</v>
      </c>
      <c r="BWC17" t="s">
        <v>6984</v>
      </c>
      <c r="BWD17" t="s">
        <v>6984</v>
      </c>
      <c r="BWE17" t="s">
        <v>6984</v>
      </c>
      <c r="BWF17" t="s">
        <v>6984</v>
      </c>
      <c r="BWG17" t="s">
        <v>6984</v>
      </c>
      <c r="BWH17" t="s">
        <v>6984</v>
      </c>
      <c r="BWI17" t="s">
        <v>6984</v>
      </c>
      <c r="BWJ17" t="s">
        <v>6984</v>
      </c>
      <c r="BWK17" t="s">
        <v>6984</v>
      </c>
      <c r="BWL17" t="s">
        <v>6984</v>
      </c>
      <c r="BWM17" t="s">
        <v>6984</v>
      </c>
      <c r="BWN17" t="s">
        <v>6984</v>
      </c>
      <c r="BWO17" t="s">
        <v>6984</v>
      </c>
      <c r="BWP17" t="s">
        <v>6984</v>
      </c>
      <c r="BWQ17" t="s">
        <v>6984</v>
      </c>
      <c r="BWR17" t="s">
        <v>6984</v>
      </c>
      <c r="BWS17" t="s">
        <v>6984</v>
      </c>
      <c r="BWT17" t="s">
        <v>6984</v>
      </c>
      <c r="BWU17" t="s">
        <v>6984</v>
      </c>
      <c r="BWV17" t="s">
        <v>6984</v>
      </c>
      <c r="BWW17" t="s">
        <v>6984</v>
      </c>
      <c r="BWX17" t="s">
        <v>6984</v>
      </c>
      <c r="BWY17" t="s">
        <v>6984</v>
      </c>
      <c r="BWZ17" t="s">
        <v>6984</v>
      </c>
      <c r="BXA17" t="s">
        <v>6984</v>
      </c>
      <c r="BXB17" t="s">
        <v>6984</v>
      </c>
      <c r="BXC17" t="s">
        <v>6984</v>
      </c>
      <c r="BXD17" t="s">
        <v>6984</v>
      </c>
      <c r="BXE17" t="s">
        <v>6984</v>
      </c>
      <c r="BXF17" t="s">
        <v>6984</v>
      </c>
      <c r="BXG17" t="s">
        <v>6984</v>
      </c>
      <c r="BXH17" t="s">
        <v>6984</v>
      </c>
      <c r="BXI17" t="s">
        <v>6984</v>
      </c>
      <c r="BXJ17" t="s">
        <v>6984</v>
      </c>
      <c r="BXK17" t="s">
        <v>6984</v>
      </c>
      <c r="BXL17" t="s">
        <v>6984</v>
      </c>
      <c r="BXM17" t="s">
        <v>6984</v>
      </c>
      <c r="BXN17" t="s">
        <v>6984</v>
      </c>
      <c r="BXO17" t="s">
        <v>6984</v>
      </c>
      <c r="BXP17" t="s">
        <v>6984</v>
      </c>
      <c r="BXQ17" t="s">
        <v>6984</v>
      </c>
      <c r="BXR17" t="s">
        <v>6984</v>
      </c>
      <c r="BXS17" t="s">
        <v>6984</v>
      </c>
      <c r="BXT17" t="s">
        <v>6984</v>
      </c>
      <c r="BXU17" t="s">
        <v>6984</v>
      </c>
      <c r="BXV17" t="s">
        <v>6984</v>
      </c>
      <c r="BXW17" t="s">
        <v>6984</v>
      </c>
      <c r="BXX17" t="s">
        <v>6984</v>
      </c>
      <c r="BXY17" t="s">
        <v>6984</v>
      </c>
      <c r="BXZ17" t="s">
        <v>6984</v>
      </c>
      <c r="BYA17" t="s">
        <v>6984</v>
      </c>
      <c r="BYB17" t="s">
        <v>6984</v>
      </c>
      <c r="BYC17" t="s">
        <v>6984</v>
      </c>
      <c r="BYD17" t="s">
        <v>6984</v>
      </c>
      <c r="BYE17" t="s">
        <v>6984</v>
      </c>
      <c r="BYF17" t="s">
        <v>6984</v>
      </c>
      <c r="BYG17" t="s">
        <v>6984</v>
      </c>
      <c r="BYH17" t="s">
        <v>6984</v>
      </c>
      <c r="BYI17" t="s">
        <v>6984</v>
      </c>
      <c r="BYJ17" t="s">
        <v>6984</v>
      </c>
      <c r="BYK17" t="s">
        <v>6984</v>
      </c>
      <c r="BYL17" t="s">
        <v>6984</v>
      </c>
      <c r="BYM17" t="s">
        <v>6984</v>
      </c>
      <c r="BYN17" t="s">
        <v>6984</v>
      </c>
      <c r="BYO17" t="s">
        <v>6984</v>
      </c>
      <c r="BYP17" t="s">
        <v>6984</v>
      </c>
      <c r="BYQ17" t="s">
        <v>6984</v>
      </c>
      <c r="BYR17" t="s">
        <v>6984</v>
      </c>
      <c r="BYS17" t="s">
        <v>6984</v>
      </c>
      <c r="BYT17" t="s">
        <v>6984</v>
      </c>
      <c r="BYU17" t="s">
        <v>6984</v>
      </c>
      <c r="BYV17" t="s">
        <v>6984</v>
      </c>
      <c r="BYW17" t="s">
        <v>6984</v>
      </c>
      <c r="BYX17" t="s">
        <v>6984</v>
      </c>
      <c r="BYY17" t="s">
        <v>6984</v>
      </c>
      <c r="BYZ17" t="s">
        <v>6984</v>
      </c>
      <c r="BZA17" t="s">
        <v>6984</v>
      </c>
      <c r="BZB17" t="s">
        <v>6984</v>
      </c>
      <c r="BZC17" t="s">
        <v>6984</v>
      </c>
      <c r="BZD17" t="s">
        <v>6984</v>
      </c>
      <c r="BZE17" t="s">
        <v>6984</v>
      </c>
      <c r="BZF17" t="s">
        <v>6984</v>
      </c>
      <c r="BZG17" t="s">
        <v>6984</v>
      </c>
      <c r="BZH17" t="s">
        <v>6984</v>
      </c>
      <c r="BZI17" t="s">
        <v>6984</v>
      </c>
      <c r="BZJ17" t="s">
        <v>6984</v>
      </c>
      <c r="BZK17" t="s">
        <v>6984</v>
      </c>
      <c r="BZL17" t="s">
        <v>6984</v>
      </c>
      <c r="BZM17" t="s">
        <v>6984</v>
      </c>
      <c r="BZN17" t="s">
        <v>6984</v>
      </c>
      <c r="BZO17" t="s">
        <v>6984</v>
      </c>
      <c r="BZP17" t="s">
        <v>6984</v>
      </c>
      <c r="BZQ17" t="s">
        <v>6984</v>
      </c>
      <c r="BZR17" t="s">
        <v>6984</v>
      </c>
      <c r="BZS17" t="s">
        <v>6984</v>
      </c>
      <c r="BZT17" t="s">
        <v>6984</v>
      </c>
      <c r="BZU17" t="s">
        <v>6984</v>
      </c>
      <c r="BZV17" t="s">
        <v>6984</v>
      </c>
      <c r="BZW17" t="s">
        <v>6984</v>
      </c>
      <c r="BZX17" t="s">
        <v>6984</v>
      </c>
      <c r="BZY17" t="s">
        <v>6984</v>
      </c>
      <c r="BZZ17" t="s">
        <v>6984</v>
      </c>
      <c r="CAA17" t="s">
        <v>6984</v>
      </c>
      <c r="CAB17" t="s">
        <v>6984</v>
      </c>
      <c r="CAC17" t="s">
        <v>6984</v>
      </c>
      <c r="CAD17" t="s">
        <v>6984</v>
      </c>
      <c r="CAE17" t="s">
        <v>6984</v>
      </c>
      <c r="CAF17" t="s">
        <v>6984</v>
      </c>
      <c r="CAG17" t="s">
        <v>6984</v>
      </c>
      <c r="CAH17" t="s">
        <v>6984</v>
      </c>
      <c r="CAI17" t="s">
        <v>6984</v>
      </c>
      <c r="CAJ17" t="s">
        <v>6984</v>
      </c>
      <c r="CAK17" t="s">
        <v>6984</v>
      </c>
      <c r="CAL17" t="s">
        <v>6984</v>
      </c>
      <c r="CAM17" t="s">
        <v>6984</v>
      </c>
      <c r="CAN17" t="s">
        <v>6984</v>
      </c>
      <c r="CAO17" t="s">
        <v>6984</v>
      </c>
      <c r="CAP17" t="s">
        <v>6984</v>
      </c>
      <c r="CAQ17" t="s">
        <v>6984</v>
      </c>
      <c r="CAR17" t="s">
        <v>6984</v>
      </c>
      <c r="CAS17" t="s">
        <v>6984</v>
      </c>
      <c r="CAT17" t="s">
        <v>6984</v>
      </c>
      <c r="CAU17" t="s">
        <v>6984</v>
      </c>
      <c r="CAV17" t="s">
        <v>6984</v>
      </c>
      <c r="CAW17" t="s">
        <v>6984</v>
      </c>
      <c r="CAX17" t="s">
        <v>6984</v>
      </c>
      <c r="CAY17" t="s">
        <v>6984</v>
      </c>
      <c r="CAZ17" t="s">
        <v>6984</v>
      </c>
      <c r="CBA17" t="s">
        <v>6984</v>
      </c>
      <c r="CBB17" t="s">
        <v>6984</v>
      </c>
      <c r="CBC17" t="s">
        <v>6984</v>
      </c>
      <c r="CBD17" t="s">
        <v>6984</v>
      </c>
      <c r="CBE17" t="s">
        <v>6984</v>
      </c>
      <c r="CBF17" t="s">
        <v>6984</v>
      </c>
      <c r="CBG17" t="s">
        <v>6984</v>
      </c>
      <c r="CBH17" t="s">
        <v>6984</v>
      </c>
      <c r="CBI17" t="s">
        <v>6984</v>
      </c>
      <c r="CBJ17" t="s">
        <v>6984</v>
      </c>
      <c r="CBK17" t="s">
        <v>6984</v>
      </c>
      <c r="CBL17" t="s">
        <v>6984</v>
      </c>
      <c r="CBM17" t="s">
        <v>6984</v>
      </c>
      <c r="CBN17" t="s">
        <v>6984</v>
      </c>
      <c r="CBO17" t="s">
        <v>6984</v>
      </c>
      <c r="CBP17" t="s">
        <v>6984</v>
      </c>
      <c r="CBQ17" t="s">
        <v>6984</v>
      </c>
      <c r="CBR17" t="s">
        <v>6984</v>
      </c>
      <c r="CBS17" t="s">
        <v>6984</v>
      </c>
      <c r="CBT17" t="s">
        <v>6984</v>
      </c>
      <c r="CBU17" t="s">
        <v>6984</v>
      </c>
      <c r="CBV17" t="s">
        <v>6984</v>
      </c>
      <c r="CBW17" t="s">
        <v>6984</v>
      </c>
      <c r="CBX17" t="s">
        <v>6984</v>
      </c>
      <c r="CBY17" t="s">
        <v>6984</v>
      </c>
      <c r="CBZ17" t="s">
        <v>6984</v>
      </c>
      <c r="CCA17" t="s">
        <v>6984</v>
      </c>
      <c r="CCB17" t="s">
        <v>6984</v>
      </c>
      <c r="CCC17" t="s">
        <v>6984</v>
      </c>
      <c r="CCD17" t="s">
        <v>6984</v>
      </c>
      <c r="CCE17" t="s">
        <v>6984</v>
      </c>
      <c r="CCF17" t="s">
        <v>6984</v>
      </c>
      <c r="CCG17" t="s">
        <v>6984</v>
      </c>
      <c r="CCH17" t="s">
        <v>6984</v>
      </c>
      <c r="CCI17" t="s">
        <v>6984</v>
      </c>
      <c r="CCJ17" t="s">
        <v>6984</v>
      </c>
      <c r="CCK17" t="s">
        <v>6984</v>
      </c>
      <c r="CCL17" t="s">
        <v>6984</v>
      </c>
      <c r="CCM17" t="s">
        <v>6984</v>
      </c>
      <c r="CCN17" t="s">
        <v>6984</v>
      </c>
      <c r="CCO17" t="s">
        <v>6984</v>
      </c>
      <c r="CCP17" t="s">
        <v>6984</v>
      </c>
      <c r="CCQ17" t="s">
        <v>6984</v>
      </c>
      <c r="CCR17" t="s">
        <v>6984</v>
      </c>
      <c r="CCS17" t="s">
        <v>6984</v>
      </c>
      <c r="CCT17" t="s">
        <v>6984</v>
      </c>
      <c r="CCU17" t="s">
        <v>6984</v>
      </c>
      <c r="CCV17" t="s">
        <v>6984</v>
      </c>
      <c r="CCW17" t="s">
        <v>6984</v>
      </c>
      <c r="CCX17" t="s">
        <v>6984</v>
      </c>
      <c r="CCY17" t="s">
        <v>6984</v>
      </c>
      <c r="CCZ17" t="s">
        <v>6984</v>
      </c>
      <c r="CDA17" t="s">
        <v>6984</v>
      </c>
      <c r="CDB17" t="s">
        <v>6984</v>
      </c>
      <c r="CDC17" t="s">
        <v>6984</v>
      </c>
      <c r="CDD17" t="s">
        <v>6984</v>
      </c>
      <c r="CDE17" t="s">
        <v>6984</v>
      </c>
      <c r="CDF17" t="s">
        <v>6984</v>
      </c>
      <c r="CDG17" t="s">
        <v>6984</v>
      </c>
      <c r="CDH17" t="s">
        <v>6984</v>
      </c>
      <c r="CDI17" t="s">
        <v>6984</v>
      </c>
      <c r="CDJ17" t="s">
        <v>6984</v>
      </c>
      <c r="CDK17" t="s">
        <v>6984</v>
      </c>
      <c r="CDL17" t="s">
        <v>6984</v>
      </c>
      <c r="CDM17" t="s">
        <v>6984</v>
      </c>
      <c r="CDN17" t="s">
        <v>6984</v>
      </c>
      <c r="CDO17" t="s">
        <v>6984</v>
      </c>
      <c r="CDP17" t="s">
        <v>6984</v>
      </c>
      <c r="CDQ17" t="s">
        <v>6984</v>
      </c>
      <c r="CDR17" t="s">
        <v>6984</v>
      </c>
      <c r="CDS17" t="s">
        <v>6984</v>
      </c>
      <c r="CDT17" t="s">
        <v>6984</v>
      </c>
      <c r="CDU17" t="s">
        <v>6984</v>
      </c>
      <c r="CDV17" t="s">
        <v>6984</v>
      </c>
      <c r="CDW17" t="s">
        <v>6984</v>
      </c>
      <c r="CDX17" t="s">
        <v>6984</v>
      </c>
      <c r="CDY17" t="s">
        <v>6984</v>
      </c>
      <c r="CDZ17" t="s">
        <v>6984</v>
      </c>
      <c r="CEA17" t="s">
        <v>6984</v>
      </c>
      <c r="CEB17" t="s">
        <v>6984</v>
      </c>
      <c r="CEC17" t="s">
        <v>6984</v>
      </c>
      <c r="CED17" t="s">
        <v>6984</v>
      </c>
      <c r="CEE17" t="s">
        <v>6984</v>
      </c>
      <c r="CEF17" t="s">
        <v>6984</v>
      </c>
      <c r="CEG17" t="s">
        <v>6984</v>
      </c>
      <c r="CEH17" t="s">
        <v>6984</v>
      </c>
      <c r="CEI17" t="s">
        <v>6984</v>
      </c>
      <c r="CEJ17" t="s">
        <v>6984</v>
      </c>
      <c r="CEK17" t="s">
        <v>6984</v>
      </c>
      <c r="CEL17" t="s">
        <v>6984</v>
      </c>
      <c r="CEM17" t="s">
        <v>6984</v>
      </c>
      <c r="CEN17" t="s">
        <v>6984</v>
      </c>
      <c r="CEO17" t="s">
        <v>6984</v>
      </c>
      <c r="CEP17" t="s">
        <v>6984</v>
      </c>
      <c r="CEQ17" t="s">
        <v>6984</v>
      </c>
      <c r="CER17" t="s">
        <v>6984</v>
      </c>
      <c r="CES17" t="s">
        <v>6984</v>
      </c>
      <c r="CET17" t="s">
        <v>6984</v>
      </c>
      <c r="CEU17" t="s">
        <v>6984</v>
      </c>
      <c r="CEV17" t="s">
        <v>6984</v>
      </c>
      <c r="CEW17" t="s">
        <v>6984</v>
      </c>
      <c r="CEX17" t="s">
        <v>6984</v>
      </c>
      <c r="CEY17" t="s">
        <v>6984</v>
      </c>
      <c r="CEZ17" t="s">
        <v>6984</v>
      </c>
      <c r="CFA17" t="s">
        <v>6984</v>
      </c>
      <c r="CFB17" t="s">
        <v>6984</v>
      </c>
      <c r="CFC17" t="s">
        <v>6984</v>
      </c>
      <c r="CFD17" t="s">
        <v>6984</v>
      </c>
      <c r="CFE17" t="s">
        <v>6984</v>
      </c>
      <c r="CFF17" t="s">
        <v>6984</v>
      </c>
      <c r="CFG17" t="s">
        <v>6984</v>
      </c>
      <c r="CFH17" t="s">
        <v>6984</v>
      </c>
      <c r="CFI17" t="s">
        <v>6984</v>
      </c>
      <c r="CFJ17" t="s">
        <v>6984</v>
      </c>
      <c r="CFK17" t="s">
        <v>6984</v>
      </c>
      <c r="CFL17" t="s">
        <v>6984</v>
      </c>
      <c r="CFM17" t="s">
        <v>6984</v>
      </c>
      <c r="CFN17" t="s">
        <v>6984</v>
      </c>
      <c r="CFO17" t="s">
        <v>6984</v>
      </c>
      <c r="CFP17" t="s">
        <v>6984</v>
      </c>
      <c r="CFQ17" t="s">
        <v>6984</v>
      </c>
      <c r="CFR17" t="s">
        <v>6984</v>
      </c>
      <c r="CFS17" t="s">
        <v>6984</v>
      </c>
      <c r="CFT17" t="s">
        <v>6984</v>
      </c>
      <c r="CFU17" t="s">
        <v>6984</v>
      </c>
      <c r="CFV17" t="s">
        <v>6984</v>
      </c>
      <c r="CFW17" t="s">
        <v>6984</v>
      </c>
      <c r="CFX17" t="s">
        <v>6984</v>
      </c>
      <c r="CFY17" t="s">
        <v>6984</v>
      </c>
      <c r="CFZ17" t="s">
        <v>6984</v>
      </c>
      <c r="CGA17" t="s">
        <v>6984</v>
      </c>
      <c r="CGB17" t="s">
        <v>6984</v>
      </c>
      <c r="CGC17" t="s">
        <v>6984</v>
      </c>
      <c r="CGD17" t="s">
        <v>6984</v>
      </c>
      <c r="CGE17" t="s">
        <v>6984</v>
      </c>
      <c r="CGF17" t="s">
        <v>6984</v>
      </c>
      <c r="CGG17" t="s">
        <v>6984</v>
      </c>
      <c r="CGH17" t="s">
        <v>6984</v>
      </c>
      <c r="CGI17" t="s">
        <v>6984</v>
      </c>
      <c r="CGJ17" t="s">
        <v>6984</v>
      </c>
      <c r="CGK17" t="s">
        <v>6984</v>
      </c>
      <c r="CGL17" t="s">
        <v>6984</v>
      </c>
      <c r="CGM17" t="s">
        <v>6984</v>
      </c>
      <c r="CGN17" t="s">
        <v>6984</v>
      </c>
      <c r="CGO17" t="s">
        <v>6984</v>
      </c>
      <c r="CGP17" t="s">
        <v>6984</v>
      </c>
      <c r="CGQ17" t="s">
        <v>6984</v>
      </c>
      <c r="CGR17" t="s">
        <v>6984</v>
      </c>
      <c r="CGS17" t="s">
        <v>6984</v>
      </c>
      <c r="CGT17" t="s">
        <v>6984</v>
      </c>
      <c r="CGU17" t="s">
        <v>6984</v>
      </c>
      <c r="CGV17" t="s">
        <v>6984</v>
      </c>
      <c r="CGW17" t="s">
        <v>6984</v>
      </c>
      <c r="CGX17" t="s">
        <v>6984</v>
      </c>
      <c r="CGY17" t="s">
        <v>6984</v>
      </c>
      <c r="CGZ17" t="s">
        <v>6984</v>
      </c>
      <c r="CHA17" t="s">
        <v>6984</v>
      </c>
      <c r="CHB17" t="s">
        <v>6984</v>
      </c>
      <c r="CHC17" t="s">
        <v>6984</v>
      </c>
      <c r="CHD17" t="s">
        <v>6984</v>
      </c>
      <c r="CHE17" t="s">
        <v>6984</v>
      </c>
      <c r="CHF17" t="s">
        <v>6984</v>
      </c>
      <c r="CHG17" t="s">
        <v>6984</v>
      </c>
      <c r="CHH17" t="s">
        <v>6984</v>
      </c>
      <c r="CHI17" t="s">
        <v>6984</v>
      </c>
      <c r="CHJ17" t="s">
        <v>6984</v>
      </c>
      <c r="CHK17" t="s">
        <v>6984</v>
      </c>
      <c r="CHL17" t="s">
        <v>6984</v>
      </c>
      <c r="CHM17" t="s">
        <v>6984</v>
      </c>
      <c r="CHN17" t="s">
        <v>6984</v>
      </c>
      <c r="CHO17" t="s">
        <v>6984</v>
      </c>
      <c r="CHP17" t="s">
        <v>6984</v>
      </c>
      <c r="CHQ17" t="s">
        <v>6984</v>
      </c>
      <c r="CHR17" t="s">
        <v>6984</v>
      </c>
      <c r="CHS17" t="s">
        <v>6984</v>
      </c>
      <c r="CHT17" t="s">
        <v>6984</v>
      </c>
      <c r="CHU17" t="s">
        <v>6984</v>
      </c>
      <c r="CHV17" t="s">
        <v>6984</v>
      </c>
      <c r="CHW17" t="s">
        <v>6984</v>
      </c>
      <c r="CHX17" t="s">
        <v>6984</v>
      </c>
      <c r="CHY17" t="s">
        <v>6984</v>
      </c>
      <c r="CHZ17" t="s">
        <v>6984</v>
      </c>
      <c r="CIA17" t="s">
        <v>6984</v>
      </c>
      <c r="CIB17" t="s">
        <v>6984</v>
      </c>
      <c r="CIC17" t="s">
        <v>6984</v>
      </c>
      <c r="CID17" t="s">
        <v>6984</v>
      </c>
      <c r="CIE17" t="s">
        <v>6984</v>
      </c>
      <c r="CIF17" t="s">
        <v>6984</v>
      </c>
      <c r="CIG17" t="s">
        <v>6984</v>
      </c>
      <c r="CIH17" t="s">
        <v>6984</v>
      </c>
      <c r="CII17" t="s">
        <v>6984</v>
      </c>
      <c r="CIJ17" t="s">
        <v>6984</v>
      </c>
      <c r="CIK17" t="s">
        <v>6984</v>
      </c>
      <c r="CIL17" t="s">
        <v>6984</v>
      </c>
      <c r="CIM17" t="s">
        <v>6984</v>
      </c>
      <c r="CIN17" t="s">
        <v>6984</v>
      </c>
      <c r="CIO17" t="s">
        <v>6984</v>
      </c>
      <c r="CIP17" t="s">
        <v>6984</v>
      </c>
      <c r="CIQ17" t="s">
        <v>6984</v>
      </c>
      <c r="CIR17" t="s">
        <v>6984</v>
      </c>
      <c r="CIS17" t="s">
        <v>6984</v>
      </c>
      <c r="CIT17" t="s">
        <v>6984</v>
      </c>
      <c r="CIU17" t="s">
        <v>6984</v>
      </c>
      <c r="CIV17" t="s">
        <v>6984</v>
      </c>
      <c r="CIW17" t="s">
        <v>6984</v>
      </c>
      <c r="CIX17" t="s">
        <v>6984</v>
      </c>
      <c r="CIY17" t="s">
        <v>6984</v>
      </c>
      <c r="CIZ17" t="s">
        <v>6984</v>
      </c>
      <c r="CJA17" t="s">
        <v>6984</v>
      </c>
      <c r="CJB17" t="s">
        <v>6984</v>
      </c>
      <c r="CJC17" t="s">
        <v>6984</v>
      </c>
      <c r="CJD17" t="s">
        <v>6984</v>
      </c>
      <c r="CJE17" t="s">
        <v>6984</v>
      </c>
      <c r="CJF17" t="s">
        <v>6984</v>
      </c>
      <c r="CJG17" t="s">
        <v>6984</v>
      </c>
      <c r="CJH17" t="s">
        <v>6984</v>
      </c>
      <c r="CJI17" t="s">
        <v>6984</v>
      </c>
      <c r="CJJ17" t="s">
        <v>6984</v>
      </c>
      <c r="CJK17" t="s">
        <v>6984</v>
      </c>
      <c r="CJL17" t="s">
        <v>6984</v>
      </c>
      <c r="CJM17" t="s">
        <v>6984</v>
      </c>
      <c r="CJN17" t="s">
        <v>6984</v>
      </c>
      <c r="CJO17" t="s">
        <v>6984</v>
      </c>
      <c r="CJP17" t="s">
        <v>6984</v>
      </c>
      <c r="CJQ17" t="s">
        <v>6984</v>
      </c>
      <c r="CJR17" t="s">
        <v>6984</v>
      </c>
      <c r="CJS17" t="s">
        <v>6984</v>
      </c>
      <c r="CJT17" t="s">
        <v>6984</v>
      </c>
      <c r="CJU17" t="s">
        <v>6984</v>
      </c>
      <c r="CJV17" t="s">
        <v>6984</v>
      </c>
      <c r="CJW17" t="s">
        <v>6984</v>
      </c>
      <c r="CJX17" t="s">
        <v>6984</v>
      </c>
      <c r="CJY17" t="s">
        <v>6984</v>
      </c>
      <c r="CJZ17" t="s">
        <v>6984</v>
      </c>
      <c r="CKA17" t="s">
        <v>6984</v>
      </c>
      <c r="CKB17" t="s">
        <v>6984</v>
      </c>
      <c r="CKC17" t="s">
        <v>6984</v>
      </c>
      <c r="CKD17" t="s">
        <v>6984</v>
      </c>
      <c r="CKE17" t="s">
        <v>6984</v>
      </c>
      <c r="CKF17" t="s">
        <v>6984</v>
      </c>
      <c r="CKG17" t="s">
        <v>6984</v>
      </c>
      <c r="CKH17" t="s">
        <v>6984</v>
      </c>
      <c r="CKI17" t="s">
        <v>6984</v>
      </c>
      <c r="CKJ17" t="s">
        <v>6984</v>
      </c>
      <c r="CKK17" t="s">
        <v>6984</v>
      </c>
      <c r="CKL17" t="s">
        <v>6984</v>
      </c>
      <c r="CKM17" t="s">
        <v>6984</v>
      </c>
      <c r="CKN17" t="s">
        <v>6984</v>
      </c>
      <c r="CKO17" t="s">
        <v>6984</v>
      </c>
      <c r="CKP17" t="s">
        <v>6984</v>
      </c>
      <c r="CKQ17" t="s">
        <v>6984</v>
      </c>
      <c r="CKR17" t="s">
        <v>6984</v>
      </c>
      <c r="CKS17" t="s">
        <v>6984</v>
      </c>
      <c r="CKT17" t="s">
        <v>6984</v>
      </c>
      <c r="CKU17" t="s">
        <v>6984</v>
      </c>
      <c r="CKV17" t="s">
        <v>6984</v>
      </c>
      <c r="CKW17" t="s">
        <v>6984</v>
      </c>
      <c r="CKX17" t="s">
        <v>6984</v>
      </c>
      <c r="CKY17" t="s">
        <v>6984</v>
      </c>
      <c r="CKZ17" t="s">
        <v>6984</v>
      </c>
      <c r="CLA17" t="s">
        <v>6984</v>
      </c>
      <c r="CLB17" t="s">
        <v>6984</v>
      </c>
      <c r="CLC17" t="s">
        <v>6984</v>
      </c>
      <c r="CLD17" t="s">
        <v>6984</v>
      </c>
      <c r="CLE17" t="s">
        <v>6984</v>
      </c>
      <c r="CLF17" t="s">
        <v>6984</v>
      </c>
      <c r="CLG17" t="s">
        <v>6984</v>
      </c>
      <c r="CLH17" t="s">
        <v>6984</v>
      </c>
      <c r="CLI17" t="s">
        <v>6984</v>
      </c>
      <c r="CLJ17" t="s">
        <v>6984</v>
      </c>
      <c r="CLK17" t="s">
        <v>6984</v>
      </c>
      <c r="CLL17" t="s">
        <v>6984</v>
      </c>
      <c r="CLM17" t="s">
        <v>6984</v>
      </c>
      <c r="CLN17" t="s">
        <v>6984</v>
      </c>
      <c r="CLO17" t="s">
        <v>6984</v>
      </c>
      <c r="CLP17" t="s">
        <v>6984</v>
      </c>
      <c r="CLQ17" t="s">
        <v>6984</v>
      </c>
      <c r="CLR17" t="s">
        <v>6984</v>
      </c>
      <c r="CLS17" t="s">
        <v>6984</v>
      </c>
      <c r="CLT17" t="s">
        <v>6984</v>
      </c>
      <c r="CLU17" t="s">
        <v>6984</v>
      </c>
      <c r="CLV17" t="s">
        <v>6984</v>
      </c>
      <c r="CLW17" t="s">
        <v>6984</v>
      </c>
      <c r="CLX17" t="s">
        <v>6984</v>
      </c>
      <c r="CLY17" t="s">
        <v>6984</v>
      </c>
      <c r="CLZ17" t="s">
        <v>6984</v>
      </c>
      <c r="CMA17" t="s">
        <v>6984</v>
      </c>
      <c r="CMB17" t="s">
        <v>6984</v>
      </c>
      <c r="CMC17" t="s">
        <v>6984</v>
      </c>
      <c r="CMD17" t="s">
        <v>6984</v>
      </c>
      <c r="CME17" t="s">
        <v>6984</v>
      </c>
      <c r="CMF17" t="s">
        <v>6984</v>
      </c>
      <c r="CMG17" t="s">
        <v>6984</v>
      </c>
      <c r="CMH17" t="s">
        <v>6984</v>
      </c>
      <c r="CMI17" t="s">
        <v>6984</v>
      </c>
      <c r="CMJ17" t="s">
        <v>6984</v>
      </c>
      <c r="CMK17" t="s">
        <v>6984</v>
      </c>
      <c r="CML17" t="s">
        <v>6984</v>
      </c>
      <c r="CMM17" t="s">
        <v>6984</v>
      </c>
      <c r="CMN17" t="s">
        <v>6984</v>
      </c>
      <c r="CMO17" t="s">
        <v>6984</v>
      </c>
      <c r="CMP17" t="s">
        <v>6984</v>
      </c>
      <c r="CMQ17" t="s">
        <v>6984</v>
      </c>
      <c r="CMR17" t="s">
        <v>6984</v>
      </c>
      <c r="CMS17" t="s">
        <v>6984</v>
      </c>
      <c r="CMT17" t="s">
        <v>6984</v>
      </c>
      <c r="CMU17" t="s">
        <v>6984</v>
      </c>
      <c r="CMV17" t="s">
        <v>6984</v>
      </c>
      <c r="CMW17" t="s">
        <v>6984</v>
      </c>
      <c r="CMX17" t="s">
        <v>6984</v>
      </c>
      <c r="CMY17" t="s">
        <v>6984</v>
      </c>
      <c r="CMZ17" t="s">
        <v>6984</v>
      </c>
      <c r="CNA17" t="s">
        <v>6984</v>
      </c>
      <c r="CNB17" t="s">
        <v>6984</v>
      </c>
      <c r="CNC17" t="s">
        <v>6984</v>
      </c>
      <c r="CND17" t="s">
        <v>6984</v>
      </c>
      <c r="CNE17" t="s">
        <v>6984</v>
      </c>
      <c r="CNF17" t="s">
        <v>6984</v>
      </c>
      <c r="CNG17" t="s">
        <v>6984</v>
      </c>
      <c r="CNH17" t="s">
        <v>6984</v>
      </c>
      <c r="CNI17" t="s">
        <v>6984</v>
      </c>
      <c r="CNJ17" t="s">
        <v>6984</v>
      </c>
      <c r="CNK17" t="s">
        <v>6984</v>
      </c>
      <c r="CNL17" t="s">
        <v>6984</v>
      </c>
      <c r="CNM17" t="s">
        <v>6984</v>
      </c>
      <c r="CNN17" t="s">
        <v>6984</v>
      </c>
      <c r="CNO17" t="s">
        <v>6984</v>
      </c>
      <c r="CNP17" t="s">
        <v>6984</v>
      </c>
      <c r="CNQ17" t="s">
        <v>6984</v>
      </c>
      <c r="CNR17" t="s">
        <v>6984</v>
      </c>
      <c r="CNS17" t="s">
        <v>6984</v>
      </c>
      <c r="CNT17" t="s">
        <v>6984</v>
      </c>
      <c r="CNU17" t="s">
        <v>6984</v>
      </c>
      <c r="CNV17" t="s">
        <v>6984</v>
      </c>
      <c r="CNW17" t="s">
        <v>6984</v>
      </c>
      <c r="CNX17" t="s">
        <v>6984</v>
      </c>
      <c r="CNY17" t="s">
        <v>6984</v>
      </c>
      <c r="CNZ17" t="s">
        <v>6984</v>
      </c>
      <c r="COA17" t="s">
        <v>6984</v>
      </c>
      <c r="COB17" t="s">
        <v>6984</v>
      </c>
      <c r="COC17" t="s">
        <v>6984</v>
      </c>
      <c r="COD17" t="s">
        <v>6984</v>
      </c>
      <c r="COE17" t="s">
        <v>6984</v>
      </c>
      <c r="COF17" t="s">
        <v>6984</v>
      </c>
      <c r="COG17" t="s">
        <v>6984</v>
      </c>
      <c r="COH17" t="s">
        <v>6984</v>
      </c>
      <c r="COI17" t="s">
        <v>6984</v>
      </c>
      <c r="COJ17" t="s">
        <v>6984</v>
      </c>
      <c r="COK17" t="s">
        <v>6984</v>
      </c>
      <c r="COL17" t="s">
        <v>6984</v>
      </c>
      <c r="COM17" t="s">
        <v>6984</v>
      </c>
      <c r="CON17" t="s">
        <v>6984</v>
      </c>
      <c r="COO17" t="s">
        <v>6984</v>
      </c>
      <c r="COP17" t="s">
        <v>6984</v>
      </c>
      <c r="COQ17" t="s">
        <v>6984</v>
      </c>
      <c r="COR17" t="s">
        <v>6984</v>
      </c>
      <c r="COS17" t="s">
        <v>6984</v>
      </c>
      <c r="COT17" t="s">
        <v>6984</v>
      </c>
      <c r="COU17" t="s">
        <v>6984</v>
      </c>
      <c r="COV17" t="s">
        <v>6984</v>
      </c>
      <c r="COW17" t="s">
        <v>6984</v>
      </c>
      <c r="COX17" t="s">
        <v>6984</v>
      </c>
      <c r="COY17" t="s">
        <v>6984</v>
      </c>
      <c r="COZ17" t="s">
        <v>6984</v>
      </c>
      <c r="CPA17" t="s">
        <v>6984</v>
      </c>
      <c r="CPB17" t="s">
        <v>6984</v>
      </c>
      <c r="CPC17" t="s">
        <v>6984</v>
      </c>
      <c r="CPD17" t="s">
        <v>6984</v>
      </c>
      <c r="CPE17" t="s">
        <v>6984</v>
      </c>
      <c r="CPF17" t="s">
        <v>6984</v>
      </c>
      <c r="CPG17" t="s">
        <v>6984</v>
      </c>
      <c r="CPH17" t="s">
        <v>6984</v>
      </c>
      <c r="CPI17" t="s">
        <v>6984</v>
      </c>
      <c r="CPJ17" t="s">
        <v>6984</v>
      </c>
      <c r="CPK17" t="s">
        <v>6984</v>
      </c>
      <c r="CPL17" t="s">
        <v>6984</v>
      </c>
      <c r="CPM17" t="s">
        <v>6984</v>
      </c>
      <c r="CPN17" t="s">
        <v>6984</v>
      </c>
      <c r="CPO17" t="s">
        <v>6984</v>
      </c>
      <c r="CPP17" t="s">
        <v>6984</v>
      </c>
      <c r="CPQ17" t="s">
        <v>6984</v>
      </c>
      <c r="CPR17" t="s">
        <v>6984</v>
      </c>
      <c r="CPS17" t="s">
        <v>6984</v>
      </c>
      <c r="CPT17" t="s">
        <v>6984</v>
      </c>
      <c r="CPU17" t="s">
        <v>6984</v>
      </c>
      <c r="CPV17" t="s">
        <v>6984</v>
      </c>
      <c r="CPW17" t="s">
        <v>6984</v>
      </c>
      <c r="CPX17" t="s">
        <v>6984</v>
      </c>
      <c r="CPY17" t="s">
        <v>6984</v>
      </c>
      <c r="CPZ17" t="s">
        <v>6984</v>
      </c>
      <c r="CQA17" t="s">
        <v>6984</v>
      </c>
      <c r="CQB17" t="s">
        <v>6984</v>
      </c>
      <c r="CQC17" t="s">
        <v>6984</v>
      </c>
      <c r="CQD17" t="s">
        <v>6984</v>
      </c>
      <c r="CQE17" t="s">
        <v>6984</v>
      </c>
      <c r="CQF17" t="s">
        <v>6984</v>
      </c>
      <c r="CQG17" t="s">
        <v>6984</v>
      </c>
      <c r="CQH17" t="s">
        <v>6984</v>
      </c>
      <c r="CQI17" t="s">
        <v>6984</v>
      </c>
      <c r="CQJ17" t="s">
        <v>6984</v>
      </c>
      <c r="CQK17" t="s">
        <v>6984</v>
      </c>
      <c r="CQL17" t="s">
        <v>6984</v>
      </c>
      <c r="CQM17" t="s">
        <v>6984</v>
      </c>
      <c r="CQN17" t="s">
        <v>6984</v>
      </c>
      <c r="CQO17" t="s">
        <v>6984</v>
      </c>
      <c r="CQP17" t="s">
        <v>6984</v>
      </c>
      <c r="CQQ17" t="s">
        <v>6984</v>
      </c>
      <c r="CQR17" t="s">
        <v>6984</v>
      </c>
      <c r="CQS17" t="s">
        <v>6984</v>
      </c>
      <c r="CQT17" t="s">
        <v>6984</v>
      </c>
      <c r="CQU17" t="s">
        <v>6984</v>
      </c>
      <c r="CQV17" t="s">
        <v>6984</v>
      </c>
      <c r="CQW17" t="s">
        <v>6984</v>
      </c>
      <c r="CQX17" t="s">
        <v>6984</v>
      </c>
      <c r="CQY17" t="s">
        <v>6984</v>
      </c>
      <c r="CQZ17" t="s">
        <v>6984</v>
      </c>
      <c r="CRA17" t="s">
        <v>6984</v>
      </c>
      <c r="CRB17" t="s">
        <v>6984</v>
      </c>
      <c r="CRC17" t="s">
        <v>6984</v>
      </c>
      <c r="CRD17" t="s">
        <v>6984</v>
      </c>
      <c r="CRE17" t="s">
        <v>6984</v>
      </c>
      <c r="CRF17" t="s">
        <v>6984</v>
      </c>
      <c r="CRG17" t="s">
        <v>6984</v>
      </c>
      <c r="CRH17" t="s">
        <v>6984</v>
      </c>
      <c r="CRI17" t="s">
        <v>6984</v>
      </c>
      <c r="CRJ17" t="s">
        <v>6984</v>
      </c>
      <c r="CRK17" t="s">
        <v>6984</v>
      </c>
      <c r="CRL17" t="s">
        <v>6984</v>
      </c>
      <c r="CRM17" t="s">
        <v>6984</v>
      </c>
      <c r="CRN17" t="s">
        <v>6984</v>
      </c>
      <c r="CRO17" t="s">
        <v>6984</v>
      </c>
      <c r="CRP17" t="s">
        <v>6984</v>
      </c>
      <c r="CRQ17" t="s">
        <v>6984</v>
      </c>
      <c r="CRR17" t="s">
        <v>6984</v>
      </c>
      <c r="CRS17" t="s">
        <v>6984</v>
      </c>
      <c r="CRT17" t="s">
        <v>6984</v>
      </c>
      <c r="CRU17" t="s">
        <v>6984</v>
      </c>
      <c r="CRV17" t="s">
        <v>6984</v>
      </c>
      <c r="CRW17" t="s">
        <v>6984</v>
      </c>
      <c r="CRX17" t="s">
        <v>6984</v>
      </c>
      <c r="CRY17" t="s">
        <v>6984</v>
      </c>
      <c r="CRZ17" t="s">
        <v>6984</v>
      </c>
      <c r="CSA17" t="s">
        <v>6984</v>
      </c>
      <c r="CSB17" t="s">
        <v>6984</v>
      </c>
      <c r="CSC17" t="s">
        <v>6984</v>
      </c>
      <c r="CSD17" t="s">
        <v>6984</v>
      </c>
      <c r="CSE17" t="s">
        <v>6984</v>
      </c>
      <c r="CSF17" t="s">
        <v>6984</v>
      </c>
      <c r="CSG17" t="s">
        <v>6984</v>
      </c>
      <c r="CSH17" t="s">
        <v>6984</v>
      </c>
      <c r="CSI17" t="s">
        <v>6984</v>
      </c>
      <c r="CSJ17" t="s">
        <v>6984</v>
      </c>
      <c r="CSK17" t="s">
        <v>6984</v>
      </c>
      <c r="CSL17" t="s">
        <v>6984</v>
      </c>
      <c r="CSM17" t="s">
        <v>6984</v>
      </c>
      <c r="CSN17" t="s">
        <v>6984</v>
      </c>
      <c r="CSO17" t="s">
        <v>6984</v>
      </c>
      <c r="CSP17" t="s">
        <v>6984</v>
      </c>
      <c r="CSQ17" t="s">
        <v>6984</v>
      </c>
      <c r="CSR17" t="s">
        <v>6984</v>
      </c>
      <c r="CSS17" t="s">
        <v>6984</v>
      </c>
      <c r="CST17" t="s">
        <v>6984</v>
      </c>
      <c r="CSU17" t="s">
        <v>6984</v>
      </c>
      <c r="CSV17" t="s">
        <v>6984</v>
      </c>
      <c r="CSW17" t="s">
        <v>6984</v>
      </c>
      <c r="CSX17" t="s">
        <v>6984</v>
      </c>
      <c r="CSY17" t="s">
        <v>6984</v>
      </c>
      <c r="CSZ17" t="s">
        <v>6984</v>
      </c>
      <c r="CTA17" t="s">
        <v>6984</v>
      </c>
      <c r="CTB17" t="s">
        <v>6984</v>
      </c>
      <c r="CTC17" t="s">
        <v>6984</v>
      </c>
      <c r="CTD17" t="s">
        <v>6984</v>
      </c>
      <c r="CTE17" t="s">
        <v>6984</v>
      </c>
      <c r="CTF17" t="s">
        <v>6984</v>
      </c>
      <c r="CTG17" t="s">
        <v>6984</v>
      </c>
      <c r="CTH17" t="s">
        <v>6984</v>
      </c>
      <c r="CTI17" t="s">
        <v>6984</v>
      </c>
      <c r="CTJ17" t="s">
        <v>6984</v>
      </c>
      <c r="CTK17" t="s">
        <v>6984</v>
      </c>
      <c r="CTL17" t="s">
        <v>6984</v>
      </c>
      <c r="CTM17" t="s">
        <v>6984</v>
      </c>
      <c r="CTN17" t="s">
        <v>6984</v>
      </c>
      <c r="CTO17" t="s">
        <v>6984</v>
      </c>
      <c r="CTP17" t="s">
        <v>6984</v>
      </c>
      <c r="CTQ17" t="s">
        <v>6984</v>
      </c>
      <c r="CTR17" t="s">
        <v>6984</v>
      </c>
      <c r="CTS17" t="s">
        <v>6984</v>
      </c>
      <c r="CTT17" t="s">
        <v>6984</v>
      </c>
      <c r="CTU17" t="s">
        <v>6984</v>
      </c>
      <c r="CTV17" t="s">
        <v>6984</v>
      </c>
      <c r="CTW17" t="s">
        <v>6984</v>
      </c>
      <c r="CTX17" t="s">
        <v>6984</v>
      </c>
      <c r="CTY17" t="s">
        <v>6984</v>
      </c>
      <c r="CTZ17" t="s">
        <v>6984</v>
      </c>
      <c r="CUA17" t="s">
        <v>6984</v>
      </c>
      <c r="CUB17" t="s">
        <v>6984</v>
      </c>
      <c r="CUC17" t="s">
        <v>6984</v>
      </c>
      <c r="CUD17" t="s">
        <v>6984</v>
      </c>
      <c r="CUE17" t="s">
        <v>6984</v>
      </c>
      <c r="CUF17" t="s">
        <v>6984</v>
      </c>
      <c r="CUG17" t="s">
        <v>6984</v>
      </c>
      <c r="CUH17" t="s">
        <v>6984</v>
      </c>
      <c r="CUI17" t="s">
        <v>6984</v>
      </c>
      <c r="CUJ17" t="s">
        <v>6984</v>
      </c>
      <c r="CUK17" t="s">
        <v>6984</v>
      </c>
      <c r="CUL17" t="s">
        <v>6984</v>
      </c>
      <c r="CUM17" t="s">
        <v>6984</v>
      </c>
      <c r="CUN17" t="s">
        <v>6984</v>
      </c>
      <c r="CUO17" t="s">
        <v>6984</v>
      </c>
      <c r="CUP17" t="s">
        <v>6984</v>
      </c>
      <c r="CUQ17" t="s">
        <v>6984</v>
      </c>
      <c r="CUR17" t="s">
        <v>6984</v>
      </c>
      <c r="CUS17" t="s">
        <v>6984</v>
      </c>
      <c r="CUT17" t="s">
        <v>6984</v>
      </c>
      <c r="CUU17" t="s">
        <v>6984</v>
      </c>
      <c r="CUV17" t="s">
        <v>6984</v>
      </c>
      <c r="CUW17" t="s">
        <v>6984</v>
      </c>
      <c r="CUX17" t="s">
        <v>6984</v>
      </c>
      <c r="CUY17" t="s">
        <v>6984</v>
      </c>
      <c r="CUZ17" t="s">
        <v>6984</v>
      </c>
      <c r="CVA17" t="s">
        <v>6984</v>
      </c>
      <c r="CVB17" t="s">
        <v>6984</v>
      </c>
      <c r="CVC17" t="s">
        <v>6984</v>
      </c>
      <c r="CVD17" t="s">
        <v>6984</v>
      </c>
      <c r="CVE17" t="s">
        <v>6984</v>
      </c>
      <c r="CVF17" t="s">
        <v>6984</v>
      </c>
      <c r="CVG17" t="s">
        <v>6984</v>
      </c>
      <c r="CVH17" t="s">
        <v>6984</v>
      </c>
      <c r="CVI17" t="s">
        <v>6984</v>
      </c>
      <c r="CVJ17" t="s">
        <v>6984</v>
      </c>
      <c r="CVK17" t="s">
        <v>6984</v>
      </c>
      <c r="CVL17" t="s">
        <v>6984</v>
      </c>
      <c r="CVM17" t="s">
        <v>6984</v>
      </c>
      <c r="CVN17" t="s">
        <v>6984</v>
      </c>
      <c r="CVO17" t="s">
        <v>6984</v>
      </c>
      <c r="CVP17" t="s">
        <v>6984</v>
      </c>
      <c r="CVQ17" t="s">
        <v>6984</v>
      </c>
      <c r="CVR17" t="s">
        <v>6984</v>
      </c>
      <c r="CVS17" t="s">
        <v>6984</v>
      </c>
      <c r="CVT17" t="s">
        <v>6984</v>
      </c>
      <c r="CVU17" t="s">
        <v>6984</v>
      </c>
      <c r="CVV17" t="s">
        <v>6984</v>
      </c>
      <c r="CVW17" t="s">
        <v>6984</v>
      </c>
      <c r="CVX17" t="s">
        <v>6984</v>
      </c>
      <c r="CVY17" t="s">
        <v>6984</v>
      </c>
      <c r="CVZ17" t="s">
        <v>6984</v>
      </c>
      <c r="CWA17" t="s">
        <v>6984</v>
      </c>
      <c r="CWB17" t="s">
        <v>6984</v>
      </c>
      <c r="CWC17" t="s">
        <v>6984</v>
      </c>
      <c r="CWD17" t="s">
        <v>6984</v>
      </c>
      <c r="CWE17" t="s">
        <v>6984</v>
      </c>
      <c r="CWF17" t="s">
        <v>6984</v>
      </c>
      <c r="CWG17" t="s">
        <v>6984</v>
      </c>
      <c r="CWH17" t="s">
        <v>6984</v>
      </c>
      <c r="CWI17" t="s">
        <v>6984</v>
      </c>
      <c r="CWJ17" t="s">
        <v>6984</v>
      </c>
      <c r="CWK17" t="s">
        <v>6984</v>
      </c>
      <c r="CWL17" t="s">
        <v>6984</v>
      </c>
      <c r="CWM17" t="s">
        <v>6984</v>
      </c>
      <c r="CWN17" t="s">
        <v>6984</v>
      </c>
      <c r="CWO17" t="s">
        <v>6984</v>
      </c>
      <c r="CWP17" t="s">
        <v>6984</v>
      </c>
      <c r="CWQ17" t="s">
        <v>6984</v>
      </c>
      <c r="CWR17" t="s">
        <v>6984</v>
      </c>
      <c r="CWS17" t="s">
        <v>6984</v>
      </c>
      <c r="CWT17" t="s">
        <v>6984</v>
      </c>
      <c r="CWU17" t="s">
        <v>6984</v>
      </c>
      <c r="CWV17" t="s">
        <v>6984</v>
      </c>
      <c r="CWW17" t="s">
        <v>6984</v>
      </c>
      <c r="CWX17" t="s">
        <v>6984</v>
      </c>
      <c r="CWY17" t="s">
        <v>6984</v>
      </c>
      <c r="CWZ17" t="s">
        <v>6984</v>
      </c>
      <c r="CXA17" t="s">
        <v>6984</v>
      </c>
      <c r="CXB17" t="s">
        <v>6984</v>
      </c>
      <c r="CXC17" t="s">
        <v>6984</v>
      </c>
      <c r="CXD17" t="s">
        <v>6984</v>
      </c>
      <c r="CXE17" t="s">
        <v>6984</v>
      </c>
      <c r="CXF17" t="s">
        <v>6984</v>
      </c>
      <c r="CXG17" t="s">
        <v>6984</v>
      </c>
      <c r="CXH17" t="s">
        <v>6984</v>
      </c>
      <c r="CXI17" t="s">
        <v>6984</v>
      </c>
      <c r="CXJ17" t="s">
        <v>6984</v>
      </c>
      <c r="CXK17" t="s">
        <v>6984</v>
      </c>
      <c r="CXL17" t="s">
        <v>6984</v>
      </c>
      <c r="CXM17" t="s">
        <v>6984</v>
      </c>
      <c r="CXN17" t="s">
        <v>6984</v>
      </c>
      <c r="CXO17" t="s">
        <v>6984</v>
      </c>
      <c r="CXP17" t="s">
        <v>6984</v>
      </c>
      <c r="CXQ17" t="s">
        <v>6984</v>
      </c>
      <c r="CXR17" t="s">
        <v>6984</v>
      </c>
      <c r="CXS17" t="s">
        <v>6984</v>
      </c>
      <c r="CXT17" t="s">
        <v>6984</v>
      </c>
      <c r="CXU17" t="s">
        <v>6984</v>
      </c>
      <c r="CXV17" t="s">
        <v>6984</v>
      </c>
      <c r="CXW17" t="s">
        <v>6984</v>
      </c>
      <c r="CXX17" t="s">
        <v>6984</v>
      </c>
      <c r="CXY17" t="s">
        <v>6984</v>
      </c>
      <c r="CXZ17" t="s">
        <v>6984</v>
      </c>
      <c r="CYA17" t="s">
        <v>6984</v>
      </c>
      <c r="CYB17" t="s">
        <v>6984</v>
      </c>
      <c r="CYC17" t="s">
        <v>6984</v>
      </c>
      <c r="CYD17" t="s">
        <v>6984</v>
      </c>
      <c r="CYE17" t="s">
        <v>6984</v>
      </c>
      <c r="CYF17" t="s">
        <v>6984</v>
      </c>
      <c r="CYG17" t="s">
        <v>6984</v>
      </c>
      <c r="CYH17" t="s">
        <v>6984</v>
      </c>
      <c r="CYI17" t="s">
        <v>6984</v>
      </c>
      <c r="CYJ17" t="s">
        <v>6984</v>
      </c>
      <c r="CYK17" t="s">
        <v>6984</v>
      </c>
      <c r="CYL17" t="s">
        <v>6984</v>
      </c>
      <c r="CYM17" t="s">
        <v>6984</v>
      </c>
      <c r="CYN17" t="s">
        <v>6984</v>
      </c>
      <c r="CYO17" t="s">
        <v>6984</v>
      </c>
      <c r="CYP17" t="s">
        <v>6984</v>
      </c>
      <c r="CYQ17" t="s">
        <v>6984</v>
      </c>
      <c r="CYR17" t="s">
        <v>6984</v>
      </c>
      <c r="CYS17" t="s">
        <v>6984</v>
      </c>
      <c r="CYT17" t="s">
        <v>6984</v>
      </c>
      <c r="CYU17" t="s">
        <v>6984</v>
      </c>
      <c r="CYV17" t="s">
        <v>6984</v>
      </c>
      <c r="CYW17" t="s">
        <v>6984</v>
      </c>
      <c r="CYX17" t="s">
        <v>6984</v>
      </c>
      <c r="CYY17" t="s">
        <v>6984</v>
      </c>
      <c r="CYZ17" t="s">
        <v>6984</v>
      </c>
      <c r="CZA17" t="s">
        <v>6984</v>
      </c>
      <c r="CZB17" t="s">
        <v>6984</v>
      </c>
      <c r="CZC17" t="s">
        <v>6984</v>
      </c>
      <c r="CZD17" t="s">
        <v>6984</v>
      </c>
      <c r="CZE17" t="s">
        <v>6984</v>
      </c>
      <c r="CZF17" t="s">
        <v>6984</v>
      </c>
      <c r="CZG17" t="s">
        <v>6984</v>
      </c>
      <c r="CZH17" t="s">
        <v>6984</v>
      </c>
      <c r="CZI17" t="s">
        <v>6984</v>
      </c>
      <c r="CZJ17" t="s">
        <v>6984</v>
      </c>
      <c r="CZK17" t="s">
        <v>6984</v>
      </c>
      <c r="CZL17" t="s">
        <v>6984</v>
      </c>
      <c r="CZM17" t="s">
        <v>6984</v>
      </c>
      <c r="CZN17" t="s">
        <v>6984</v>
      </c>
      <c r="CZO17" t="s">
        <v>6984</v>
      </c>
      <c r="CZP17" t="s">
        <v>6984</v>
      </c>
      <c r="CZQ17" t="s">
        <v>6984</v>
      </c>
      <c r="CZR17" t="s">
        <v>6984</v>
      </c>
      <c r="CZS17" t="s">
        <v>6984</v>
      </c>
      <c r="CZT17" t="s">
        <v>6984</v>
      </c>
      <c r="CZU17" t="s">
        <v>6984</v>
      </c>
      <c r="CZV17" t="s">
        <v>6984</v>
      </c>
      <c r="CZW17" t="s">
        <v>6984</v>
      </c>
      <c r="CZX17" t="s">
        <v>6984</v>
      </c>
      <c r="CZY17" t="s">
        <v>6984</v>
      </c>
      <c r="CZZ17" t="s">
        <v>6984</v>
      </c>
      <c r="DAA17" t="s">
        <v>6984</v>
      </c>
      <c r="DAB17" t="s">
        <v>6984</v>
      </c>
      <c r="DAC17" t="s">
        <v>6984</v>
      </c>
      <c r="DAD17" t="s">
        <v>6984</v>
      </c>
      <c r="DAE17" t="s">
        <v>6984</v>
      </c>
      <c r="DAF17" t="s">
        <v>6984</v>
      </c>
      <c r="DAG17" t="s">
        <v>6984</v>
      </c>
      <c r="DAH17" t="s">
        <v>6984</v>
      </c>
      <c r="DAI17" t="s">
        <v>6984</v>
      </c>
      <c r="DAJ17" t="s">
        <v>6984</v>
      </c>
      <c r="DAK17" t="s">
        <v>6984</v>
      </c>
      <c r="DAL17" t="s">
        <v>6984</v>
      </c>
      <c r="DAM17" t="s">
        <v>6984</v>
      </c>
      <c r="DAN17" t="s">
        <v>6984</v>
      </c>
      <c r="DAO17" t="s">
        <v>6984</v>
      </c>
      <c r="DAP17" t="s">
        <v>6984</v>
      </c>
      <c r="DAQ17" t="s">
        <v>6984</v>
      </c>
      <c r="DAR17" t="s">
        <v>6984</v>
      </c>
      <c r="DAS17" t="s">
        <v>6984</v>
      </c>
      <c r="DAT17" t="s">
        <v>6984</v>
      </c>
      <c r="DAU17" t="s">
        <v>6984</v>
      </c>
      <c r="DAV17" t="s">
        <v>6984</v>
      </c>
      <c r="DAW17" t="s">
        <v>6984</v>
      </c>
      <c r="DAX17" t="s">
        <v>6984</v>
      </c>
      <c r="DAY17" t="s">
        <v>6984</v>
      </c>
      <c r="DAZ17" t="s">
        <v>6984</v>
      </c>
      <c r="DBA17" t="s">
        <v>6984</v>
      </c>
      <c r="DBB17" t="s">
        <v>6984</v>
      </c>
      <c r="DBC17" t="s">
        <v>6984</v>
      </c>
      <c r="DBD17" t="s">
        <v>6984</v>
      </c>
      <c r="DBE17" t="s">
        <v>6984</v>
      </c>
      <c r="DBF17" t="s">
        <v>6984</v>
      </c>
      <c r="DBG17" t="s">
        <v>6984</v>
      </c>
      <c r="DBH17" t="s">
        <v>6984</v>
      </c>
      <c r="DBI17" t="s">
        <v>6984</v>
      </c>
      <c r="DBJ17" t="s">
        <v>6984</v>
      </c>
      <c r="DBK17" t="s">
        <v>6984</v>
      </c>
      <c r="DBL17" t="s">
        <v>6984</v>
      </c>
      <c r="DBM17" t="s">
        <v>6984</v>
      </c>
      <c r="DBN17" t="s">
        <v>6984</v>
      </c>
      <c r="DBO17" t="s">
        <v>6984</v>
      </c>
      <c r="DBP17" t="s">
        <v>6984</v>
      </c>
      <c r="DBQ17" t="s">
        <v>6984</v>
      </c>
      <c r="DBR17" t="s">
        <v>6984</v>
      </c>
      <c r="DBS17" t="s">
        <v>6984</v>
      </c>
      <c r="DBT17" t="s">
        <v>6984</v>
      </c>
      <c r="DBU17" t="s">
        <v>6984</v>
      </c>
      <c r="DBV17" t="s">
        <v>6984</v>
      </c>
      <c r="DBW17" t="s">
        <v>6984</v>
      </c>
      <c r="DBX17" t="s">
        <v>6984</v>
      </c>
      <c r="DBY17" t="s">
        <v>6984</v>
      </c>
      <c r="DBZ17" t="s">
        <v>6984</v>
      </c>
      <c r="DCA17" t="s">
        <v>6984</v>
      </c>
      <c r="DCB17" t="s">
        <v>6984</v>
      </c>
      <c r="DCC17" t="s">
        <v>6984</v>
      </c>
      <c r="DCD17" t="s">
        <v>6984</v>
      </c>
      <c r="DCE17" t="s">
        <v>6984</v>
      </c>
      <c r="DCF17" t="s">
        <v>6984</v>
      </c>
      <c r="DCG17" t="s">
        <v>6984</v>
      </c>
      <c r="DCH17" t="s">
        <v>6984</v>
      </c>
      <c r="DCI17" t="s">
        <v>6984</v>
      </c>
      <c r="DCJ17" t="s">
        <v>6984</v>
      </c>
      <c r="DCK17" t="s">
        <v>6984</v>
      </c>
      <c r="DCL17" t="s">
        <v>6984</v>
      </c>
      <c r="DCM17" t="s">
        <v>6984</v>
      </c>
      <c r="DCN17" t="s">
        <v>6984</v>
      </c>
      <c r="DCO17" t="s">
        <v>6984</v>
      </c>
      <c r="DCP17" t="s">
        <v>6984</v>
      </c>
      <c r="DCQ17" t="s">
        <v>6984</v>
      </c>
      <c r="DCR17" t="s">
        <v>6984</v>
      </c>
      <c r="DCS17" t="s">
        <v>6984</v>
      </c>
      <c r="DCT17" t="s">
        <v>6984</v>
      </c>
      <c r="DCU17" t="s">
        <v>6984</v>
      </c>
      <c r="DCV17" t="s">
        <v>6984</v>
      </c>
      <c r="DCW17" t="s">
        <v>6984</v>
      </c>
      <c r="DCX17" t="s">
        <v>6984</v>
      </c>
      <c r="DCY17" t="s">
        <v>6984</v>
      </c>
      <c r="DCZ17" t="s">
        <v>6984</v>
      </c>
      <c r="DDA17" t="s">
        <v>6984</v>
      </c>
      <c r="DDB17" t="s">
        <v>6984</v>
      </c>
      <c r="DDC17" t="s">
        <v>6984</v>
      </c>
      <c r="DDD17" t="s">
        <v>6984</v>
      </c>
      <c r="DDE17" t="s">
        <v>6984</v>
      </c>
      <c r="DDF17" t="s">
        <v>6984</v>
      </c>
      <c r="DDG17" t="s">
        <v>6984</v>
      </c>
      <c r="DDH17" t="s">
        <v>6984</v>
      </c>
      <c r="DDI17" t="s">
        <v>6984</v>
      </c>
      <c r="DDJ17" t="s">
        <v>6984</v>
      </c>
      <c r="DDK17" t="s">
        <v>6984</v>
      </c>
      <c r="DDL17" t="s">
        <v>6984</v>
      </c>
      <c r="DDM17" t="s">
        <v>6984</v>
      </c>
      <c r="DDN17" t="s">
        <v>6984</v>
      </c>
      <c r="DDO17" t="s">
        <v>6984</v>
      </c>
      <c r="DDP17" t="s">
        <v>6984</v>
      </c>
      <c r="DDQ17" t="s">
        <v>6984</v>
      </c>
      <c r="DDR17" t="s">
        <v>6984</v>
      </c>
      <c r="DDS17" t="s">
        <v>6984</v>
      </c>
      <c r="DDT17" t="s">
        <v>6984</v>
      </c>
      <c r="DDU17" t="s">
        <v>6984</v>
      </c>
      <c r="DDV17" t="s">
        <v>6984</v>
      </c>
      <c r="DDW17" t="s">
        <v>6984</v>
      </c>
      <c r="DDX17" t="s">
        <v>6984</v>
      </c>
      <c r="DDY17" t="s">
        <v>6984</v>
      </c>
      <c r="DDZ17" t="s">
        <v>6984</v>
      </c>
      <c r="DEA17" t="s">
        <v>6984</v>
      </c>
      <c r="DEB17" t="s">
        <v>6984</v>
      </c>
      <c r="DEC17" t="s">
        <v>6984</v>
      </c>
      <c r="DED17" t="s">
        <v>6984</v>
      </c>
      <c r="DEE17" t="s">
        <v>6984</v>
      </c>
      <c r="DEF17" t="s">
        <v>6984</v>
      </c>
      <c r="DEG17" t="s">
        <v>6984</v>
      </c>
      <c r="DEH17" t="s">
        <v>6984</v>
      </c>
      <c r="DEI17" t="s">
        <v>6984</v>
      </c>
      <c r="DEJ17" t="s">
        <v>6984</v>
      </c>
      <c r="DEK17" t="s">
        <v>6984</v>
      </c>
      <c r="DEL17" t="s">
        <v>6984</v>
      </c>
      <c r="DEM17" t="s">
        <v>6984</v>
      </c>
      <c r="DEN17" t="s">
        <v>6984</v>
      </c>
      <c r="DEO17" t="s">
        <v>6984</v>
      </c>
      <c r="DEP17" t="s">
        <v>6984</v>
      </c>
      <c r="DEQ17" t="s">
        <v>6984</v>
      </c>
      <c r="DER17" t="s">
        <v>6984</v>
      </c>
      <c r="DES17" t="s">
        <v>6984</v>
      </c>
      <c r="DET17" t="s">
        <v>6984</v>
      </c>
      <c r="DEU17" t="s">
        <v>6984</v>
      </c>
      <c r="DEV17" t="s">
        <v>6984</v>
      </c>
      <c r="DEW17" t="s">
        <v>6984</v>
      </c>
      <c r="DEX17" t="s">
        <v>6984</v>
      </c>
      <c r="DEY17" t="s">
        <v>6984</v>
      </c>
      <c r="DEZ17" t="s">
        <v>6984</v>
      </c>
      <c r="DFA17" t="s">
        <v>6984</v>
      </c>
      <c r="DFB17" t="s">
        <v>6984</v>
      </c>
      <c r="DFC17" t="s">
        <v>6984</v>
      </c>
      <c r="DFD17" t="s">
        <v>6984</v>
      </c>
      <c r="DFE17" t="s">
        <v>6984</v>
      </c>
      <c r="DFF17" t="s">
        <v>6984</v>
      </c>
      <c r="DFG17" t="s">
        <v>6984</v>
      </c>
      <c r="DFH17" t="s">
        <v>6984</v>
      </c>
      <c r="DFI17" t="s">
        <v>6984</v>
      </c>
      <c r="DFJ17" t="s">
        <v>6984</v>
      </c>
      <c r="DFK17" t="s">
        <v>6984</v>
      </c>
      <c r="DFL17" t="s">
        <v>6984</v>
      </c>
      <c r="DFM17" t="s">
        <v>6984</v>
      </c>
      <c r="DFN17" t="s">
        <v>6984</v>
      </c>
      <c r="DFO17" t="s">
        <v>6984</v>
      </c>
      <c r="DFP17" t="s">
        <v>6984</v>
      </c>
      <c r="DFQ17" t="s">
        <v>6984</v>
      </c>
      <c r="DFR17" t="s">
        <v>6984</v>
      </c>
      <c r="DFS17" t="s">
        <v>6984</v>
      </c>
      <c r="DFT17" t="s">
        <v>6984</v>
      </c>
      <c r="DFU17" t="s">
        <v>6984</v>
      </c>
      <c r="DFV17" t="s">
        <v>6984</v>
      </c>
      <c r="DFW17" t="s">
        <v>6984</v>
      </c>
      <c r="DFX17" t="s">
        <v>6984</v>
      </c>
      <c r="DFY17" t="s">
        <v>6984</v>
      </c>
      <c r="DFZ17" t="s">
        <v>6984</v>
      </c>
      <c r="DGA17" t="s">
        <v>6984</v>
      </c>
      <c r="DGB17" t="s">
        <v>6984</v>
      </c>
      <c r="DGC17" t="s">
        <v>6984</v>
      </c>
      <c r="DGD17" t="s">
        <v>6984</v>
      </c>
      <c r="DGE17" t="s">
        <v>6984</v>
      </c>
      <c r="DGF17" t="s">
        <v>6984</v>
      </c>
      <c r="DGG17" t="s">
        <v>6984</v>
      </c>
      <c r="DGH17" t="s">
        <v>6984</v>
      </c>
      <c r="DGI17" t="s">
        <v>6984</v>
      </c>
      <c r="DGJ17" t="s">
        <v>6984</v>
      </c>
      <c r="DGK17" t="s">
        <v>6984</v>
      </c>
      <c r="DGL17" t="s">
        <v>6984</v>
      </c>
      <c r="DGM17" t="s">
        <v>6984</v>
      </c>
      <c r="DGN17" t="s">
        <v>6984</v>
      </c>
      <c r="DGO17" t="s">
        <v>6984</v>
      </c>
      <c r="DGP17" t="s">
        <v>6984</v>
      </c>
      <c r="DGQ17" t="s">
        <v>6984</v>
      </c>
      <c r="DGR17" t="s">
        <v>6984</v>
      </c>
      <c r="DGS17" t="s">
        <v>6984</v>
      </c>
      <c r="DGT17" t="s">
        <v>6984</v>
      </c>
      <c r="DGU17" t="s">
        <v>6984</v>
      </c>
      <c r="DGV17" t="s">
        <v>6984</v>
      </c>
      <c r="DGW17" t="s">
        <v>6984</v>
      </c>
      <c r="DGX17" t="s">
        <v>6984</v>
      </c>
      <c r="DGY17" t="s">
        <v>6984</v>
      </c>
      <c r="DGZ17" t="s">
        <v>6984</v>
      </c>
      <c r="DHA17" t="s">
        <v>6984</v>
      </c>
      <c r="DHB17" t="s">
        <v>6984</v>
      </c>
      <c r="DHC17" t="s">
        <v>6984</v>
      </c>
      <c r="DHD17" t="s">
        <v>6984</v>
      </c>
      <c r="DHE17" t="s">
        <v>6984</v>
      </c>
      <c r="DHF17" t="s">
        <v>6984</v>
      </c>
      <c r="DHG17" t="s">
        <v>6984</v>
      </c>
      <c r="DHH17" t="s">
        <v>6984</v>
      </c>
      <c r="DHI17" t="s">
        <v>6984</v>
      </c>
      <c r="DHJ17" t="s">
        <v>6984</v>
      </c>
      <c r="DHK17" t="s">
        <v>6984</v>
      </c>
      <c r="DHL17" t="s">
        <v>6984</v>
      </c>
      <c r="DHM17" t="s">
        <v>6984</v>
      </c>
      <c r="DHN17" t="s">
        <v>6984</v>
      </c>
      <c r="DHO17" t="s">
        <v>6984</v>
      </c>
      <c r="DHP17" t="s">
        <v>6984</v>
      </c>
      <c r="DHQ17" t="s">
        <v>6984</v>
      </c>
      <c r="DHR17" t="s">
        <v>6984</v>
      </c>
      <c r="DHS17" t="s">
        <v>6984</v>
      </c>
      <c r="DHT17" t="s">
        <v>6984</v>
      </c>
      <c r="DHU17" t="s">
        <v>6984</v>
      </c>
      <c r="DHV17" t="s">
        <v>6984</v>
      </c>
      <c r="DHW17" t="s">
        <v>6984</v>
      </c>
      <c r="DHX17" t="s">
        <v>6984</v>
      </c>
      <c r="DHY17" t="s">
        <v>6984</v>
      </c>
      <c r="DHZ17" t="s">
        <v>6984</v>
      </c>
      <c r="DIA17" t="s">
        <v>6984</v>
      </c>
      <c r="DIB17" t="s">
        <v>6984</v>
      </c>
      <c r="DIC17" t="s">
        <v>6984</v>
      </c>
      <c r="DID17" t="s">
        <v>6984</v>
      </c>
      <c r="DIE17" t="s">
        <v>6984</v>
      </c>
      <c r="DIF17" t="s">
        <v>6984</v>
      </c>
      <c r="DIG17" t="s">
        <v>6984</v>
      </c>
      <c r="DIH17" t="s">
        <v>6984</v>
      </c>
      <c r="DII17" t="s">
        <v>6984</v>
      </c>
      <c r="DIJ17" t="s">
        <v>6984</v>
      </c>
      <c r="DIK17" t="s">
        <v>6984</v>
      </c>
      <c r="DIL17" t="s">
        <v>6984</v>
      </c>
      <c r="DIM17" t="s">
        <v>6984</v>
      </c>
      <c r="DIN17" t="s">
        <v>6984</v>
      </c>
      <c r="DIO17" t="s">
        <v>6984</v>
      </c>
      <c r="DIP17" t="s">
        <v>6984</v>
      </c>
      <c r="DIQ17" t="s">
        <v>6984</v>
      </c>
      <c r="DIR17" t="s">
        <v>6984</v>
      </c>
      <c r="DIS17" t="s">
        <v>6984</v>
      </c>
      <c r="DIT17" t="s">
        <v>6984</v>
      </c>
      <c r="DIU17" t="s">
        <v>6984</v>
      </c>
      <c r="DIV17" t="s">
        <v>6984</v>
      </c>
      <c r="DIW17" t="s">
        <v>6984</v>
      </c>
      <c r="DIX17" t="s">
        <v>6984</v>
      </c>
      <c r="DIY17" t="s">
        <v>6984</v>
      </c>
      <c r="DIZ17" t="s">
        <v>6984</v>
      </c>
      <c r="DJA17" t="s">
        <v>6984</v>
      </c>
      <c r="DJB17" t="s">
        <v>6984</v>
      </c>
      <c r="DJC17" t="s">
        <v>6984</v>
      </c>
      <c r="DJD17" t="s">
        <v>6984</v>
      </c>
      <c r="DJE17" t="s">
        <v>6984</v>
      </c>
      <c r="DJF17" t="s">
        <v>6984</v>
      </c>
      <c r="DJG17" t="s">
        <v>6984</v>
      </c>
      <c r="DJH17" t="s">
        <v>6984</v>
      </c>
      <c r="DJI17" t="s">
        <v>6984</v>
      </c>
      <c r="DJJ17" t="s">
        <v>6984</v>
      </c>
      <c r="DJK17" t="s">
        <v>6984</v>
      </c>
      <c r="DJL17" t="s">
        <v>6984</v>
      </c>
      <c r="DJM17" t="s">
        <v>6984</v>
      </c>
      <c r="DJN17" t="s">
        <v>6984</v>
      </c>
      <c r="DJO17" t="s">
        <v>6984</v>
      </c>
      <c r="DJP17" t="s">
        <v>6984</v>
      </c>
      <c r="DJQ17" t="s">
        <v>6984</v>
      </c>
      <c r="DJR17" t="s">
        <v>6984</v>
      </c>
      <c r="DJS17" t="s">
        <v>6984</v>
      </c>
      <c r="DJT17" t="s">
        <v>6984</v>
      </c>
      <c r="DJU17" t="s">
        <v>6984</v>
      </c>
      <c r="DJV17" t="s">
        <v>6984</v>
      </c>
      <c r="DJW17" t="s">
        <v>6984</v>
      </c>
      <c r="DJX17" t="s">
        <v>6984</v>
      </c>
      <c r="DJY17" t="s">
        <v>6984</v>
      </c>
      <c r="DJZ17" t="s">
        <v>6984</v>
      </c>
      <c r="DKA17" t="s">
        <v>6984</v>
      </c>
      <c r="DKB17" t="s">
        <v>6984</v>
      </c>
      <c r="DKC17" t="s">
        <v>6984</v>
      </c>
      <c r="DKD17" t="s">
        <v>6984</v>
      </c>
      <c r="DKE17" t="s">
        <v>6984</v>
      </c>
      <c r="DKF17" t="s">
        <v>6984</v>
      </c>
      <c r="DKG17" t="s">
        <v>6984</v>
      </c>
      <c r="DKH17" t="s">
        <v>6984</v>
      </c>
      <c r="DKI17" t="s">
        <v>6984</v>
      </c>
      <c r="DKJ17" t="s">
        <v>6984</v>
      </c>
      <c r="DKK17" t="s">
        <v>6984</v>
      </c>
      <c r="DKL17" t="s">
        <v>6984</v>
      </c>
      <c r="DKM17" t="s">
        <v>6984</v>
      </c>
      <c r="DKN17" t="s">
        <v>6984</v>
      </c>
      <c r="DKO17" t="s">
        <v>6984</v>
      </c>
      <c r="DKP17" t="s">
        <v>6984</v>
      </c>
      <c r="DKQ17" t="s">
        <v>6984</v>
      </c>
      <c r="DKR17" t="s">
        <v>6984</v>
      </c>
      <c r="DKS17" t="s">
        <v>6984</v>
      </c>
      <c r="DKT17" t="s">
        <v>6984</v>
      </c>
      <c r="DKU17" t="s">
        <v>6984</v>
      </c>
      <c r="DKV17" t="s">
        <v>6984</v>
      </c>
      <c r="DKW17" t="s">
        <v>6984</v>
      </c>
      <c r="DKX17" t="s">
        <v>6984</v>
      </c>
      <c r="DKY17" t="s">
        <v>6984</v>
      </c>
      <c r="DKZ17" t="s">
        <v>6984</v>
      </c>
      <c r="DLA17" t="s">
        <v>6984</v>
      </c>
      <c r="DLB17" t="s">
        <v>6984</v>
      </c>
      <c r="DLC17" t="s">
        <v>6984</v>
      </c>
      <c r="DLD17" t="s">
        <v>6984</v>
      </c>
      <c r="DLE17" t="s">
        <v>6984</v>
      </c>
      <c r="DLF17" t="s">
        <v>6984</v>
      </c>
      <c r="DLG17" t="s">
        <v>6984</v>
      </c>
      <c r="DLH17" t="s">
        <v>6984</v>
      </c>
      <c r="DLI17" t="s">
        <v>6984</v>
      </c>
      <c r="DLJ17" t="s">
        <v>6984</v>
      </c>
      <c r="DLK17" t="s">
        <v>6984</v>
      </c>
      <c r="DLL17" t="s">
        <v>6984</v>
      </c>
      <c r="DLM17" t="s">
        <v>6984</v>
      </c>
      <c r="DLN17" t="s">
        <v>6984</v>
      </c>
      <c r="DLO17" t="s">
        <v>6984</v>
      </c>
      <c r="DLP17" t="s">
        <v>6984</v>
      </c>
      <c r="DLQ17" t="s">
        <v>6984</v>
      </c>
      <c r="DLR17" t="s">
        <v>6984</v>
      </c>
      <c r="DLS17" t="s">
        <v>6984</v>
      </c>
      <c r="DLT17" t="s">
        <v>6984</v>
      </c>
      <c r="DLU17" t="s">
        <v>6984</v>
      </c>
      <c r="DLV17" t="s">
        <v>6984</v>
      </c>
      <c r="DLW17" t="s">
        <v>6984</v>
      </c>
      <c r="DLX17" t="s">
        <v>6984</v>
      </c>
      <c r="DLY17" t="s">
        <v>6984</v>
      </c>
      <c r="DLZ17" t="s">
        <v>6984</v>
      </c>
      <c r="DMA17" t="s">
        <v>6984</v>
      </c>
      <c r="DMB17" t="s">
        <v>6984</v>
      </c>
      <c r="DMC17" t="s">
        <v>6984</v>
      </c>
      <c r="DMD17" t="s">
        <v>6984</v>
      </c>
      <c r="DME17" t="s">
        <v>6984</v>
      </c>
      <c r="DMF17" t="s">
        <v>6984</v>
      </c>
      <c r="DMG17" t="s">
        <v>6984</v>
      </c>
      <c r="DMH17" t="s">
        <v>6984</v>
      </c>
      <c r="DMI17" t="s">
        <v>6984</v>
      </c>
      <c r="DMJ17" t="s">
        <v>6984</v>
      </c>
      <c r="DMK17" t="s">
        <v>6984</v>
      </c>
      <c r="DML17" t="s">
        <v>6984</v>
      </c>
      <c r="DMM17" t="s">
        <v>6984</v>
      </c>
      <c r="DMN17" t="s">
        <v>6984</v>
      </c>
      <c r="DMO17" t="s">
        <v>6984</v>
      </c>
      <c r="DMP17" t="s">
        <v>6984</v>
      </c>
      <c r="DMQ17" t="s">
        <v>6984</v>
      </c>
      <c r="DMR17" t="s">
        <v>6984</v>
      </c>
      <c r="DMS17" t="s">
        <v>6984</v>
      </c>
      <c r="DMT17" t="s">
        <v>6984</v>
      </c>
      <c r="DMU17" t="s">
        <v>6984</v>
      </c>
      <c r="DMV17" t="s">
        <v>6984</v>
      </c>
      <c r="DMW17" t="s">
        <v>6984</v>
      </c>
      <c r="DMX17" t="s">
        <v>6984</v>
      </c>
      <c r="DMY17" t="s">
        <v>6984</v>
      </c>
      <c r="DMZ17" t="s">
        <v>6984</v>
      </c>
      <c r="DNA17" t="s">
        <v>6984</v>
      </c>
      <c r="DNB17" t="s">
        <v>6984</v>
      </c>
      <c r="DNC17" t="s">
        <v>6984</v>
      </c>
      <c r="DND17" t="s">
        <v>6984</v>
      </c>
      <c r="DNE17" t="s">
        <v>6984</v>
      </c>
      <c r="DNF17" t="s">
        <v>6984</v>
      </c>
      <c r="DNG17" t="s">
        <v>6984</v>
      </c>
      <c r="DNH17" t="s">
        <v>6984</v>
      </c>
      <c r="DNI17" t="s">
        <v>6984</v>
      </c>
      <c r="DNJ17" t="s">
        <v>6984</v>
      </c>
      <c r="DNK17" t="s">
        <v>6984</v>
      </c>
      <c r="DNL17" t="s">
        <v>6984</v>
      </c>
      <c r="DNM17" t="s">
        <v>6984</v>
      </c>
      <c r="DNN17" t="s">
        <v>6984</v>
      </c>
      <c r="DNO17" t="s">
        <v>6984</v>
      </c>
      <c r="DNP17" t="s">
        <v>6984</v>
      </c>
      <c r="DNQ17" t="s">
        <v>6984</v>
      </c>
      <c r="DNR17" t="s">
        <v>6984</v>
      </c>
      <c r="DNS17" t="s">
        <v>6984</v>
      </c>
      <c r="DNT17" t="s">
        <v>6984</v>
      </c>
      <c r="DNU17" t="s">
        <v>6984</v>
      </c>
      <c r="DNV17" t="s">
        <v>6984</v>
      </c>
      <c r="DNW17" t="s">
        <v>6984</v>
      </c>
      <c r="DNX17" t="s">
        <v>6984</v>
      </c>
      <c r="DNY17" t="s">
        <v>6984</v>
      </c>
      <c r="DNZ17" t="s">
        <v>6984</v>
      </c>
      <c r="DOA17" t="s">
        <v>6984</v>
      </c>
      <c r="DOB17" t="s">
        <v>6984</v>
      </c>
      <c r="DOC17" t="s">
        <v>6984</v>
      </c>
      <c r="DOD17" t="s">
        <v>6984</v>
      </c>
      <c r="DOE17" t="s">
        <v>6984</v>
      </c>
      <c r="DOF17" t="s">
        <v>6984</v>
      </c>
      <c r="DOG17" t="s">
        <v>6984</v>
      </c>
      <c r="DOH17" t="s">
        <v>6984</v>
      </c>
      <c r="DOI17" t="s">
        <v>6984</v>
      </c>
      <c r="DOJ17" t="s">
        <v>6984</v>
      </c>
      <c r="DOK17" t="s">
        <v>6984</v>
      </c>
      <c r="DOL17" t="s">
        <v>6984</v>
      </c>
      <c r="DOM17" t="s">
        <v>6984</v>
      </c>
      <c r="DON17" t="s">
        <v>6984</v>
      </c>
      <c r="DOO17" t="s">
        <v>6984</v>
      </c>
      <c r="DOP17" t="s">
        <v>6984</v>
      </c>
      <c r="DOQ17" t="s">
        <v>6984</v>
      </c>
      <c r="DOR17" t="s">
        <v>6984</v>
      </c>
      <c r="DOS17" t="s">
        <v>6984</v>
      </c>
      <c r="DOT17" t="s">
        <v>6984</v>
      </c>
      <c r="DOU17" t="s">
        <v>6984</v>
      </c>
      <c r="DOV17" t="s">
        <v>6984</v>
      </c>
      <c r="DOW17" t="s">
        <v>6984</v>
      </c>
      <c r="DOX17" t="s">
        <v>6984</v>
      </c>
      <c r="DOY17" t="s">
        <v>6984</v>
      </c>
      <c r="DOZ17" t="s">
        <v>6984</v>
      </c>
      <c r="DPA17" t="s">
        <v>6984</v>
      </c>
      <c r="DPB17" t="s">
        <v>6984</v>
      </c>
      <c r="DPC17" t="s">
        <v>6984</v>
      </c>
      <c r="DPD17" t="s">
        <v>6984</v>
      </c>
      <c r="DPE17" t="s">
        <v>6984</v>
      </c>
      <c r="DPF17" t="s">
        <v>6984</v>
      </c>
      <c r="DPG17" t="s">
        <v>6984</v>
      </c>
      <c r="DPH17" t="s">
        <v>6984</v>
      </c>
      <c r="DPI17" t="s">
        <v>6984</v>
      </c>
      <c r="DPJ17" t="s">
        <v>6984</v>
      </c>
      <c r="DPK17" t="s">
        <v>6984</v>
      </c>
      <c r="DPL17" t="s">
        <v>6984</v>
      </c>
      <c r="DPM17" t="s">
        <v>6984</v>
      </c>
      <c r="DPN17" t="s">
        <v>6984</v>
      </c>
      <c r="DPO17" t="s">
        <v>6984</v>
      </c>
      <c r="DPP17" t="s">
        <v>6984</v>
      </c>
      <c r="DPQ17" t="s">
        <v>6984</v>
      </c>
      <c r="DPR17" t="s">
        <v>6984</v>
      </c>
      <c r="DPS17" t="s">
        <v>6984</v>
      </c>
      <c r="DPT17" t="s">
        <v>6984</v>
      </c>
      <c r="DPU17" t="s">
        <v>6984</v>
      </c>
      <c r="DPV17" t="s">
        <v>6984</v>
      </c>
      <c r="DPW17" t="s">
        <v>6984</v>
      </c>
      <c r="DPX17" t="s">
        <v>6984</v>
      </c>
      <c r="DPY17" t="s">
        <v>6984</v>
      </c>
      <c r="DPZ17" t="s">
        <v>6984</v>
      </c>
      <c r="DQA17" t="s">
        <v>6984</v>
      </c>
      <c r="DQB17" t="s">
        <v>6984</v>
      </c>
      <c r="DQC17" t="s">
        <v>6984</v>
      </c>
      <c r="DQD17" t="s">
        <v>6984</v>
      </c>
      <c r="DQE17" t="s">
        <v>6984</v>
      </c>
      <c r="DQF17" t="s">
        <v>6984</v>
      </c>
      <c r="DQG17" t="s">
        <v>6984</v>
      </c>
      <c r="DQH17" t="s">
        <v>6984</v>
      </c>
      <c r="DQI17" t="s">
        <v>6984</v>
      </c>
      <c r="DQJ17" t="s">
        <v>6984</v>
      </c>
      <c r="DQK17" t="s">
        <v>6984</v>
      </c>
      <c r="DQL17" t="s">
        <v>6984</v>
      </c>
      <c r="DQM17" t="s">
        <v>6984</v>
      </c>
      <c r="DQN17" t="s">
        <v>6984</v>
      </c>
      <c r="DQO17" t="s">
        <v>6984</v>
      </c>
      <c r="DQP17" t="s">
        <v>6984</v>
      </c>
      <c r="DQQ17" t="s">
        <v>6984</v>
      </c>
      <c r="DQR17" t="s">
        <v>6984</v>
      </c>
      <c r="DQS17" t="s">
        <v>6984</v>
      </c>
      <c r="DQT17" t="s">
        <v>6984</v>
      </c>
      <c r="DQU17" t="s">
        <v>6984</v>
      </c>
      <c r="DQV17" t="s">
        <v>6984</v>
      </c>
      <c r="DQW17" t="s">
        <v>6984</v>
      </c>
      <c r="DQX17" t="s">
        <v>6984</v>
      </c>
      <c r="DQY17" t="s">
        <v>6984</v>
      </c>
      <c r="DQZ17" t="s">
        <v>6984</v>
      </c>
      <c r="DRA17" t="s">
        <v>6984</v>
      </c>
      <c r="DRB17" t="s">
        <v>6984</v>
      </c>
      <c r="DRC17" t="s">
        <v>6984</v>
      </c>
      <c r="DRD17" t="s">
        <v>6984</v>
      </c>
      <c r="DRE17" t="s">
        <v>6984</v>
      </c>
      <c r="DRF17" t="s">
        <v>6984</v>
      </c>
      <c r="DRG17" t="s">
        <v>6984</v>
      </c>
      <c r="DRH17" t="s">
        <v>6984</v>
      </c>
      <c r="DRI17" t="s">
        <v>6984</v>
      </c>
      <c r="DRJ17" t="s">
        <v>6984</v>
      </c>
      <c r="DRK17" t="s">
        <v>6984</v>
      </c>
      <c r="DRL17" t="s">
        <v>6984</v>
      </c>
      <c r="DRM17" t="s">
        <v>6984</v>
      </c>
      <c r="DRN17" t="s">
        <v>6984</v>
      </c>
      <c r="DRO17" t="s">
        <v>6984</v>
      </c>
      <c r="DRP17" t="s">
        <v>6984</v>
      </c>
      <c r="DRQ17" t="s">
        <v>6984</v>
      </c>
      <c r="DRR17" t="s">
        <v>6984</v>
      </c>
      <c r="DRS17" t="s">
        <v>6984</v>
      </c>
      <c r="DRT17" t="s">
        <v>6984</v>
      </c>
      <c r="DRU17" t="s">
        <v>6984</v>
      </c>
      <c r="DRV17" t="s">
        <v>6984</v>
      </c>
      <c r="DRW17" t="s">
        <v>6984</v>
      </c>
      <c r="DRX17" t="s">
        <v>6984</v>
      </c>
      <c r="DRY17" t="s">
        <v>6984</v>
      </c>
      <c r="DRZ17" t="s">
        <v>6984</v>
      </c>
      <c r="DSA17" t="s">
        <v>6984</v>
      </c>
      <c r="DSB17" t="s">
        <v>6984</v>
      </c>
      <c r="DSC17" t="s">
        <v>6984</v>
      </c>
      <c r="DSD17" t="s">
        <v>6984</v>
      </c>
      <c r="DSE17" t="s">
        <v>6984</v>
      </c>
      <c r="DSF17" t="s">
        <v>6984</v>
      </c>
      <c r="DSG17" t="s">
        <v>6984</v>
      </c>
      <c r="DSH17" t="s">
        <v>6984</v>
      </c>
      <c r="DSI17" t="s">
        <v>6984</v>
      </c>
      <c r="DSJ17" t="s">
        <v>6984</v>
      </c>
      <c r="DSK17" t="s">
        <v>6984</v>
      </c>
      <c r="DSL17" t="s">
        <v>6984</v>
      </c>
      <c r="DSM17" t="s">
        <v>6984</v>
      </c>
      <c r="DSN17" t="s">
        <v>6984</v>
      </c>
      <c r="DSO17" t="s">
        <v>6984</v>
      </c>
      <c r="DSP17" t="s">
        <v>6984</v>
      </c>
      <c r="DSQ17" t="s">
        <v>6984</v>
      </c>
      <c r="DSR17" t="s">
        <v>6984</v>
      </c>
      <c r="DSS17" t="s">
        <v>6984</v>
      </c>
      <c r="DST17" t="s">
        <v>6984</v>
      </c>
      <c r="DSU17" t="s">
        <v>6984</v>
      </c>
      <c r="DSV17" t="s">
        <v>6984</v>
      </c>
      <c r="DSW17" t="s">
        <v>6984</v>
      </c>
      <c r="DSX17" t="s">
        <v>6984</v>
      </c>
      <c r="DSY17" t="s">
        <v>6984</v>
      </c>
      <c r="DSZ17" t="s">
        <v>6984</v>
      </c>
      <c r="DTA17" t="s">
        <v>6984</v>
      </c>
      <c r="DTB17" t="s">
        <v>6984</v>
      </c>
      <c r="DTC17" t="s">
        <v>6984</v>
      </c>
      <c r="DTD17" t="s">
        <v>6984</v>
      </c>
      <c r="DTE17" t="s">
        <v>6984</v>
      </c>
      <c r="DTF17" t="s">
        <v>6984</v>
      </c>
      <c r="DTG17" t="s">
        <v>6984</v>
      </c>
      <c r="DTH17" t="s">
        <v>6984</v>
      </c>
      <c r="DTI17" t="s">
        <v>6984</v>
      </c>
      <c r="DTJ17" t="s">
        <v>6984</v>
      </c>
      <c r="DTK17" t="s">
        <v>6984</v>
      </c>
      <c r="DTL17" t="s">
        <v>6984</v>
      </c>
      <c r="DTM17" t="s">
        <v>6984</v>
      </c>
      <c r="DTN17" t="s">
        <v>6984</v>
      </c>
      <c r="DTO17" t="s">
        <v>6984</v>
      </c>
      <c r="DTP17" t="s">
        <v>6984</v>
      </c>
      <c r="DTQ17" t="s">
        <v>6984</v>
      </c>
      <c r="DTR17" t="s">
        <v>6984</v>
      </c>
      <c r="DTS17" t="s">
        <v>6984</v>
      </c>
      <c r="DTT17" t="s">
        <v>6984</v>
      </c>
      <c r="DTU17" t="s">
        <v>6984</v>
      </c>
      <c r="DTV17" t="s">
        <v>6984</v>
      </c>
      <c r="DTW17" t="s">
        <v>6984</v>
      </c>
      <c r="DTX17" t="s">
        <v>6984</v>
      </c>
      <c r="DTY17" t="s">
        <v>6984</v>
      </c>
      <c r="DTZ17" t="s">
        <v>6984</v>
      </c>
      <c r="DUA17" t="s">
        <v>6984</v>
      </c>
      <c r="DUB17" t="s">
        <v>6984</v>
      </c>
      <c r="DUC17" t="s">
        <v>6984</v>
      </c>
      <c r="DUD17" t="s">
        <v>6984</v>
      </c>
      <c r="DUE17" t="s">
        <v>6984</v>
      </c>
      <c r="DUF17" t="s">
        <v>6984</v>
      </c>
      <c r="DUG17" t="s">
        <v>6984</v>
      </c>
      <c r="DUH17" t="s">
        <v>6984</v>
      </c>
      <c r="DUI17" t="s">
        <v>6984</v>
      </c>
      <c r="DUJ17" t="s">
        <v>6984</v>
      </c>
      <c r="DUK17" t="s">
        <v>6984</v>
      </c>
      <c r="DUL17" t="s">
        <v>6984</v>
      </c>
      <c r="DUM17" t="s">
        <v>6984</v>
      </c>
      <c r="DUN17" t="s">
        <v>6984</v>
      </c>
      <c r="DUO17" t="s">
        <v>6984</v>
      </c>
      <c r="DUP17" t="s">
        <v>6984</v>
      </c>
      <c r="DUQ17" t="s">
        <v>6984</v>
      </c>
      <c r="DUR17" t="s">
        <v>6984</v>
      </c>
      <c r="DUS17" t="s">
        <v>6984</v>
      </c>
      <c r="DUT17" t="s">
        <v>6984</v>
      </c>
      <c r="DUU17" t="s">
        <v>6984</v>
      </c>
      <c r="DUV17" t="s">
        <v>6984</v>
      </c>
      <c r="DUW17" t="s">
        <v>6984</v>
      </c>
      <c r="DUX17" t="s">
        <v>6984</v>
      </c>
      <c r="DUY17" t="s">
        <v>6984</v>
      </c>
      <c r="DUZ17" t="s">
        <v>6984</v>
      </c>
      <c r="DVA17" t="s">
        <v>6984</v>
      </c>
      <c r="DVB17" t="s">
        <v>6984</v>
      </c>
      <c r="DVC17" t="s">
        <v>6984</v>
      </c>
      <c r="DVD17" t="s">
        <v>6984</v>
      </c>
      <c r="DVE17" t="s">
        <v>6984</v>
      </c>
      <c r="DVF17" t="s">
        <v>6984</v>
      </c>
      <c r="DVG17" t="s">
        <v>6984</v>
      </c>
      <c r="DVH17" t="s">
        <v>6984</v>
      </c>
      <c r="DVI17" t="s">
        <v>6984</v>
      </c>
      <c r="DVJ17" t="s">
        <v>6984</v>
      </c>
      <c r="DVK17" t="s">
        <v>6984</v>
      </c>
      <c r="DVL17" t="s">
        <v>6984</v>
      </c>
      <c r="DVM17" t="s">
        <v>6984</v>
      </c>
      <c r="DVN17" t="s">
        <v>6984</v>
      </c>
      <c r="DVO17" t="s">
        <v>6984</v>
      </c>
      <c r="DVP17" t="s">
        <v>6984</v>
      </c>
      <c r="DVQ17" t="s">
        <v>6984</v>
      </c>
      <c r="DVR17" t="s">
        <v>6984</v>
      </c>
      <c r="DVS17" t="s">
        <v>6984</v>
      </c>
      <c r="DVT17" t="s">
        <v>6984</v>
      </c>
      <c r="DVU17" t="s">
        <v>6984</v>
      </c>
      <c r="DVV17" t="s">
        <v>6984</v>
      </c>
      <c r="DVW17" t="s">
        <v>6984</v>
      </c>
      <c r="DVX17" t="s">
        <v>6984</v>
      </c>
      <c r="DVY17" t="s">
        <v>6984</v>
      </c>
      <c r="DVZ17" t="s">
        <v>6984</v>
      </c>
      <c r="DWA17" t="s">
        <v>6984</v>
      </c>
      <c r="DWB17" t="s">
        <v>6984</v>
      </c>
      <c r="DWC17" t="s">
        <v>6984</v>
      </c>
      <c r="DWD17" t="s">
        <v>6984</v>
      </c>
      <c r="DWE17" t="s">
        <v>6984</v>
      </c>
      <c r="DWF17" t="s">
        <v>6984</v>
      </c>
      <c r="DWG17" t="s">
        <v>6984</v>
      </c>
      <c r="DWH17" t="s">
        <v>6984</v>
      </c>
      <c r="DWI17" t="s">
        <v>6984</v>
      </c>
      <c r="DWJ17" t="s">
        <v>6984</v>
      </c>
      <c r="DWK17" t="s">
        <v>6984</v>
      </c>
      <c r="DWL17" t="s">
        <v>6984</v>
      </c>
      <c r="DWM17" t="s">
        <v>6984</v>
      </c>
      <c r="DWN17" t="s">
        <v>6984</v>
      </c>
      <c r="DWO17" t="s">
        <v>6984</v>
      </c>
      <c r="DWP17" t="s">
        <v>6984</v>
      </c>
      <c r="DWQ17" t="s">
        <v>6984</v>
      </c>
      <c r="DWR17" t="s">
        <v>6984</v>
      </c>
      <c r="DWS17" t="s">
        <v>6984</v>
      </c>
      <c r="DWT17" t="s">
        <v>6984</v>
      </c>
      <c r="DWU17" t="s">
        <v>6984</v>
      </c>
      <c r="DWV17" t="s">
        <v>6984</v>
      </c>
      <c r="DWW17" t="s">
        <v>6984</v>
      </c>
      <c r="DWX17" t="s">
        <v>6984</v>
      </c>
      <c r="DWY17" t="s">
        <v>6984</v>
      </c>
      <c r="DWZ17" t="s">
        <v>6984</v>
      </c>
      <c r="DXA17" t="s">
        <v>6984</v>
      </c>
      <c r="DXB17" t="s">
        <v>6984</v>
      </c>
      <c r="DXC17" t="s">
        <v>6984</v>
      </c>
      <c r="DXD17" t="s">
        <v>6984</v>
      </c>
      <c r="DXE17" t="s">
        <v>6984</v>
      </c>
      <c r="DXF17" t="s">
        <v>6984</v>
      </c>
      <c r="DXG17" t="s">
        <v>6984</v>
      </c>
      <c r="DXH17" t="s">
        <v>6984</v>
      </c>
      <c r="DXI17" t="s">
        <v>6984</v>
      </c>
      <c r="DXJ17" t="s">
        <v>6984</v>
      </c>
      <c r="DXK17" t="s">
        <v>6984</v>
      </c>
      <c r="DXL17" t="s">
        <v>6984</v>
      </c>
      <c r="DXM17" t="s">
        <v>6984</v>
      </c>
      <c r="DXN17" t="s">
        <v>6984</v>
      </c>
      <c r="DXO17" t="s">
        <v>6984</v>
      </c>
      <c r="DXP17" t="s">
        <v>6984</v>
      </c>
      <c r="DXQ17" t="s">
        <v>6984</v>
      </c>
      <c r="DXR17" t="s">
        <v>6984</v>
      </c>
      <c r="DXS17" t="s">
        <v>6984</v>
      </c>
      <c r="DXT17" t="s">
        <v>6984</v>
      </c>
      <c r="DXU17" t="s">
        <v>6984</v>
      </c>
      <c r="DXV17" t="s">
        <v>6984</v>
      </c>
      <c r="DXW17" t="s">
        <v>6984</v>
      </c>
      <c r="DXX17" t="s">
        <v>6984</v>
      </c>
      <c r="DXY17" t="s">
        <v>6984</v>
      </c>
      <c r="DXZ17" t="s">
        <v>6984</v>
      </c>
      <c r="DYA17" t="s">
        <v>6984</v>
      </c>
      <c r="DYB17" t="s">
        <v>6984</v>
      </c>
      <c r="DYC17" t="s">
        <v>6984</v>
      </c>
      <c r="DYD17" t="s">
        <v>6984</v>
      </c>
      <c r="DYE17" t="s">
        <v>6984</v>
      </c>
      <c r="DYF17" t="s">
        <v>6984</v>
      </c>
      <c r="DYG17" t="s">
        <v>6984</v>
      </c>
      <c r="DYH17" t="s">
        <v>6984</v>
      </c>
      <c r="DYI17" t="s">
        <v>6984</v>
      </c>
      <c r="DYJ17" t="s">
        <v>6984</v>
      </c>
      <c r="DYK17" t="s">
        <v>6984</v>
      </c>
      <c r="DYL17" t="s">
        <v>6984</v>
      </c>
      <c r="DYM17" t="s">
        <v>6984</v>
      </c>
      <c r="DYN17" t="s">
        <v>6984</v>
      </c>
      <c r="DYO17" t="s">
        <v>6984</v>
      </c>
      <c r="DYP17" t="s">
        <v>6984</v>
      </c>
      <c r="DYQ17" t="s">
        <v>6984</v>
      </c>
      <c r="DYR17" t="s">
        <v>6984</v>
      </c>
      <c r="DYS17" t="s">
        <v>6984</v>
      </c>
      <c r="DYT17" t="s">
        <v>6984</v>
      </c>
      <c r="DYU17" t="s">
        <v>6984</v>
      </c>
      <c r="DYV17" t="s">
        <v>6984</v>
      </c>
      <c r="DYW17" t="s">
        <v>6984</v>
      </c>
      <c r="DYX17" t="s">
        <v>6984</v>
      </c>
      <c r="DYY17" t="s">
        <v>6984</v>
      </c>
      <c r="DYZ17" t="s">
        <v>6984</v>
      </c>
      <c r="DZA17" t="s">
        <v>6984</v>
      </c>
      <c r="DZB17" t="s">
        <v>6984</v>
      </c>
      <c r="DZC17" t="s">
        <v>6984</v>
      </c>
      <c r="DZD17" t="s">
        <v>6984</v>
      </c>
      <c r="DZE17" t="s">
        <v>6984</v>
      </c>
      <c r="DZF17" t="s">
        <v>6984</v>
      </c>
      <c r="DZG17" t="s">
        <v>6984</v>
      </c>
      <c r="DZH17" t="s">
        <v>6984</v>
      </c>
      <c r="DZI17" t="s">
        <v>6984</v>
      </c>
      <c r="DZJ17" t="s">
        <v>6984</v>
      </c>
      <c r="DZK17" t="s">
        <v>6984</v>
      </c>
      <c r="DZL17" t="s">
        <v>6984</v>
      </c>
      <c r="DZM17" t="s">
        <v>6984</v>
      </c>
      <c r="DZN17" t="s">
        <v>6984</v>
      </c>
      <c r="DZO17" t="s">
        <v>6984</v>
      </c>
      <c r="DZP17" t="s">
        <v>6984</v>
      </c>
      <c r="DZQ17" t="s">
        <v>6984</v>
      </c>
      <c r="DZR17" t="s">
        <v>6984</v>
      </c>
      <c r="DZS17" t="s">
        <v>6984</v>
      </c>
      <c r="DZT17" t="s">
        <v>6984</v>
      </c>
      <c r="DZU17" t="s">
        <v>6984</v>
      </c>
      <c r="DZV17" t="s">
        <v>6984</v>
      </c>
      <c r="DZW17" t="s">
        <v>6984</v>
      </c>
      <c r="DZX17" t="s">
        <v>6984</v>
      </c>
      <c r="DZY17" t="s">
        <v>6984</v>
      </c>
      <c r="DZZ17" t="s">
        <v>6984</v>
      </c>
      <c r="EAA17" t="s">
        <v>6984</v>
      </c>
      <c r="EAB17" t="s">
        <v>6984</v>
      </c>
      <c r="EAC17" t="s">
        <v>6984</v>
      </c>
      <c r="EAD17" t="s">
        <v>6984</v>
      </c>
      <c r="EAE17" t="s">
        <v>6984</v>
      </c>
      <c r="EAF17" t="s">
        <v>6984</v>
      </c>
      <c r="EAG17" t="s">
        <v>6984</v>
      </c>
      <c r="EAH17" t="s">
        <v>6984</v>
      </c>
      <c r="EAI17" t="s">
        <v>6984</v>
      </c>
      <c r="EAJ17" t="s">
        <v>6984</v>
      </c>
      <c r="EAK17" t="s">
        <v>6984</v>
      </c>
      <c r="EAL17" t="s">
        <v>6984</v>
      </c>
      <c r="EAM17" t="s">
        <v>6984</v>
      </c>
      <c r="EAN17" t="s">
        <v>6984</v>
      </c>
      <c r="EAO17" t="s">
        <v>6984</v>
      </c>
      <c r="EAP17" t="s">
        <v>6984</v>
      </c>
      <c r="EAQ17" t="s">
        <v>6984</v>
      </c>
      <c r="EAR17" t="s">
        <v>6984</v>
      </c>
      <c r="EAS17" t="s">
        <v>6984</v>
      </c>
      <c r="EAT17" t="s">
        <v>6984</v>
      </c>
      <c r="EAU17" t="s">
        <v>6984</v>
      </c>
      <c r="EAV17" t="s">
        <v>6984</v>
      </c>
      <c r="EAW17" t="s">
        <v>6984</v>
      </c>
      <c r="EAX17" t="s">
        <v>6984</v>
      </c>
      <c r="EAY17" t="s">
        <v>6984</v>
      </c>
      <c r="EAZ17" t="s">
        <v>6984</v>
      </c>
      <c r="EBA17" t="s">
        <v>6984</v>
      </c>
      <c r="EBB17" t="s">
        <v>6984</v>
      </c>
      <c r="EBC17" t="s">
        <v>6984</v>
      </c>
      <c r="EBD17" t="s">
        <v>6984</v>
      </c>
      <c r="EBE17" t="s">
        <v>6984</v>
      </c>
      <c r="EBF17" t="s">
        <v>6984</v>
      </c>
      <c r="EBG17" t="s">
        <v>6984</v>
      </c>
      <c r="EBH17" t="s">
        <v>6984</v>
      </c>
      <c r="EBI17" t="s">
        <v>6984</v>
      </c>
      <c r="EBJ17" t="s">
        <v>6984</v>
      </c>
      <c r="EBK17" t="s">
        <v>6984</v>
      </c>
      <c r="EBL17" t="s">
        <v>6984</v>
      </c>
      <c r="EBM17" t="s">
        <v>6984</v>
      </c>
      <c r="EBN17" t="s">
        <v>6984</v>
      </c>
      <c r="EBO17" t="s">
        <v>6984</v>
      </c>
      <c r="EBP17" t="s">
        <v>6984</v>
      </c>
      <c r="EBQ17" t="s">
        <v>6984</v>
      </c>
      <c r="EBR17" t="s">
        <v>6984</v>
      </c>
      <c r="EBS17" t="s">
        <v>6984</v>
      </c>
      <c r="EBT17" t="s">
        <v>6984</v>
      </c>
      <c r="EBU17" t="s">
        <v>6984</v>
      </c>
      <c r="EBV17" t="s">
        <v>6984</v>
      </c>
      <c r="EBW17" t="s">
        <v>6984</v>
      </c>
      <c r="EBX17" t="s">
        <v>6984</v>
      </c>
      <c r="EBY17" t="s">
        <v>6984</v>
      </c>
      <c r="EBZ17" t="s">
        <v>6984</v>
      </c>
      <c r="ECA17" t="s">
        <v>6984</v>
      </c>
      <c r="ECB17" t="s">
        <v>6984</v>
      </c>
      <c r="ECC17" t="s">
        <v>6984</v>
      </c>
      <c r="ECD17" t="s">
        <v>6984</v>
      </c>
      <c r="ECE17" t="s">
        <v>6984</v>
      </c>
      <c r="ECF17" t="s">
        <v>6984</v>
      </c>
      <c r="ECG17" t="s">
        <v>6984</v>
      </c>
      <c r="ECH17" t="s">
        <v>6984</v>
      </c>
      <c r="ECI17" t="s">
        <v>6984</v>
      </c>
      <c r="ECJ17" t="s">
        <v>6984</v>
      </c>
      <c r="ECK17" t="s">
        <v>6984</v>
      </c>
      <c r="ECL17" t="s">
        <v>6984</v>
      </c>
      <c r="ECM17" t="s">
        <v>6984</v>
      </c>
      <c r="ECN17" t="s">
        <v>6984</v>
      </c>
      <c r="ECO17" t="s">
        <v>6984</v>
      </c>
      <c r="ECP17" t="s">
        <v>6984</v>
      </c>
      <c r="ECQ17" t="s">
        <v>6984</v>
      </c>
      <c r="ECR17" t="s">
        <v>6984</v>
      </c>
      <c r="ECS17" t="s">
        <v>6984</v>
      </c>
      <c r="ECT17" t="s">
        <v>6984</v>
      </c>
      <c r="ECU17" t="s">
        <v>6984</v>
      </c>
      <c r="ECV17" t="s">
        <v>6984</v>
      </c>
      <c r="ECW17" t="s">
        <v>6984</v>
      </c>
      <c r="ECX17" t="s">
        <v>6984</v>
      </c>
      <c r="ECY17" t="s">
        <v>6984</v>
      </c>
      <c r="ECZ17" t="s">
        <v>6984</v>
      </c>
      <c r="EDA17" t="s">
        <v>6984</v>
      </c>
      <c r="EDB17" t="s">
        <v>6984</v>
      </c>
      <c r="EDC17" t="s">
        <v>6984</v>
      </c>
      <c r="EDD17" t="s">
        <v>6984</v>
      </c>
      <c r="EDE17" t="s">
        <v>6984</v>
      </c>
      <c r="EDF17" t="s">
        <v>6984</v>
      </c>
      <c r="EDG17" t="s">
        <v>6984</v>
      </c>
      <c r="EDH17" t="s">
        <v>6984</v>
      </c>
      <c r="EDI17" t="s">
        <v>6984</v>
      </c>
      <c r="EDJ17" t="s">
        <v>6984</v>
      </c>
      <c r="EDK17" t="s">
        <v>6984</v>
      </c>
      <c r="EDL17" t="s">
        <v>6984</v>
      </c>
      <c r="EDM17" t="s">
        <v>6984</v>
      </c>
      <c r="EDN17" t="s">
        <v>6984</v>
      </c>
      <c r="EDO17" t="s">
        <v>6984</v>
      </c>
      <c r="EDP17" t="s">
        <v>6984</v>
      </c>
      <c r="EDQ17" t="s">
        <v>6984</v>
      </c>
      <c r="EDR17" t="s">
        <v>6984</v>
      </c>
      <c r="EDS17" t="s">
        <v>6984</v>
      </c>
      <c r="EDT17" t="s">
        <v>6984</v>
      </c>
      <c r="EDU17" t="s">
        <v>6984</v>
      </c>
      <c r="EDV17" t="s">
        <v>6984</v>
      </c>
      <c r="EDW17" t="s">
        <v>6984</v>
      </c>
      <c r="EDX17" t="s">
        <v>6984</v>
      </c>
      <c r="EDY17" t="s">
        <v>6984</v>
      </c>
      <c r="EDZ17" t="s">
        <v>6984</v>
      </c>
      <c r="EEA17" t="s">
        <v>6984</v>
      </c>
      <c r="EEB17" t="s">
        <v>6984</v>
      </c>
      <c r="EEC17" t="s">
        <v>6984</v>
      </c>
      <c r="EED17" t="s">
        <v>6984</v>
      </c>
      <c r="EEE17" t="s">
        <v>6984</v>
      </c>
      <c r="EEF17" t="s">
        <v>6984</v>
      </c>
      <c r="EEG17" t="s">
        <v>6984</v>
      </c>
      <c r="EEH17" t="s">
        <v>6984</v>
      </c>
      <c r="EEI17" t="s">
        <v>6984</v>
      </c>
      <c r="EEJ17" t="s">
        <v>6984</v>
      </c>
      <c r="EEK17" t="s">
        <v>6984</v>
      </c>
      <c r="EEL17" t="s">
        <v>6984</v>
      </c>
      <c r="EEM17" t="s">
        <v>6984</v>
      </c>
      <c r="EEN17" t="s">
        <v>6984</v>
      </c>
      <c r="EEO17" t="s">
        <v>6984</v>
      </c>
      <c r="EEP17" t="s">
        <v>6984</v>
      </c>
      <c r="EEQ17" t="s">
        <v>6984</v>
      </c>
      <c r="EER17" t="s">
        <v>6984</v>
      </c>
      <c r="EES17" t="s">
        <v>6984</v>
      </c>
      <c r="EET17" t="s">
        <v>6984</v>
      </c>
      <c r="EEU17" t="s">
        <v>6984</v>
      </c>
      <c r="EEV17" t="s">
        <v>6984</v>
      </c>
      <c r="EEW17" t="s">
        <v>6984</v>
      </c>
      <c r="EEX17" t="s">
        <v>6984</v>
      </c>
      <c r="EEY17" t="s">
        <v>6984</v>
      </c>
      <c r="EEZ17" t="s">
        <v>6984</v>
      </c>
      <c r="EFA17" t="s">
        <v>6984</v>
      </c>
      <c r="EFB17" t="s">
        <v>6984</v>
      </c>
      <c r="EFC17" t="s">
        <v>6984</v>
      </c>
      <c r="EFD17" t="s">
        <v>6984</v>
      </c>
      <c r="EFE17" t="s">
        <v>6984</v>
      </c>
      <c r="EFF17" t="s">
        <v>6984</v>
      </c>
      <c r="EFG17" t="s">
        <v>6984</v>
      </c>
      <c r="EFH17" t="s">
        <v>6984</v>
      </c>
      <c r="EFI17" t="s">
        <v>6984</v>
      </c>
      <c r="EFJ17" t="s">
        <v>6984</v>
      </c>
      <c r="EFK17" t="s">
        <v>6984</v>
      </c>
      <c r="EFL17" t="s">
        <v>6984</v>
      </c>
      <c r="EFM17" t="s">
        <v>6984</v>
      </c>
      <c r="EFN17" t="s">
        <v>6984</v>
      </c>
      <c r="EFO17" t="s">
        <v>6984</v>
      </c>
      <c r="EFP17" t="s">
        <v>6984</v>
      </c>
      <c r="EFQ17" t="s">
        <v>6984</v>
      </c>
      <c r="EFR17" t="s">
        <v>6984</v>
      </c>
      <c r="EFS17" t="s">
        <v>6984</v>
      </c>
      <c r="EFT17" t="s">
        <v>6984</v>
      </c>
      <c r="EFU17" t="s">
        <v>6984</v>
      </c>
      <c r="EFV17" t="s">
        <v>6984</v>
      </c>
      <c r="EFW17" t="s">
        <v>6984</v>
      </c>
      <c r="EFX17" t="s">
        <v>6984</v>
      </c>
      <c r="EFY17" t="s">
        <v>6984</v>
      </c>
      <c r="EFZ17" t="s">
        <v>6984</v>
      </c>
      <c r="EGA17" t="s">
        <v>6984</v>
      </c>
      <c r="EGB17" t="s">
        <v>6984</v>
      </c>
      <c r="EGC17" t="s">
        <v>6984</v>
      </c>
      <c r="EGD17" t="s">
        <v>6984</v>
      </c>
      <c r="EGE17" t="s">
        <v>6984</v>
      </c>
      <c r="EGF17" t="s">
        <v>6984</v>
      </c>
      <c r="EGG17" t="s">
        <v>6984</v>
      </c>
      <c r="EGH17" t="s">
        <v>6984</v>
      </c>
      <c r="EGI17" t="s">
        <v>6984</v>
      </c>
      <c r="EGJ17" t="s">
        <v>6984</v>
      </c>
      <c r="EGK17" t="s">
        <v>6984</v>
      </c>
      <c r="EGL17" t="s">
        <v>6984</v>
      </c>
      <c r="EGM17" t="s">
        <v>6984</v>
      </c>
      <c r="EGN17" t="s">
        <v>6984</v>
      </c>
      <c r="EGO17" t="s">
        <v>6984</v>
      </c>
      <c r="EGP17" t="s">
        <v>6984</v>
      </c>
      <c r="EGQ17" t="s">
        <v>6984</v>
      </c>
      <c r="EGR17" t="s">
        <v>6984</v>
      </c>
      <c r="EGS17" t="s">
        <v>6984</v>
      </c>
      <c r="EGT17" t="s">
        <v>6984</v>
      </c>
      <c r="EGU17" t="s">
        <v>6984</v>
      </c>
      <c r="EGV17" t="s">
        <v>6984</v>
      </c>
      <c r="EGW17" t="s">
        <v>6984</v>
      </c>
      <c r="EGX17" t="s">
        <v>6984</v>
      </c>
      <c r="EGY17" t="s">
        <v>6984</v>
      </c>
      <c r="EGZ17" t="s">
        <v>6984</v>
      </c>
      <c r="EHA17" t="s">
        <v>6984</v>
      </c>
      <c r="EHB17" t="s">
        <v>6984</v>
      </c>
      <c r="EHC17" t="s">
        <v>6984</v>
      </c>
      <c r="EHD17" t="s">
        <v>6984</v>
      </c>
      <c r="EHE17" t="s">
        <v>6984</v>
      </c>
      <c r="EHF17" t="s">
        <v>6984</v>
      </c>
      <c r="EHG17" t="s">
        <v>6984</v>
      </c>
      <c r="EHH17" t="s">
        <v>6984</v>
      </c>
      <c r="EHI17" t="s">
        <v>6984</v>
      </c>
      <c r="EHJ17" t="s">
        <v>6984</v>
      </c>
      <c r="EHK17" t="s">
        <v>6984</v>
      </c>
      <c r="EHL17" t="s">
        <v>6984</v>
      </c>
      <c r="EHM17" t="s">
        <v>6984</v>
      </c>
      <c r="EHN17" t="s">
        <v>6984</v>
      </c>
      <c r="EHO17" t="s">
        <v>6984</v>
      </c>
      <c r="EHP17" t="s">
        <v>6984</v>
      </c>
      <c r="EHQ17" t="s">
        <v>6984</v>
      </c>
      <c r="EHR17" t="s">
        <v>6984</v>
      </c>
      <c r="EHS17" t="s">
        <v>6984</v>
      </c>
      <c r="EHT17" t="s">
        <v>6984</v>
      </c>
      <c r="EHU17" t="s">
        <v>6984</v>
      </c>
      <c r="EHV17" t="s">
        <v>6984</v>
      </c>
      <c r="EHW17" t="s">
        <v>6984</v>
      </c>
      <c r="EHX17" t="s">
        <v>6984</v>
      </c>
      <c r="EHY17" t="s">
        <v>6984</v>
      </c>
      <c r="EHZ17" t="s">
        <v>6984</v>
      </c>
      <c r="EIA17" t="s">
        <v>6984</v>
      </c>
      <c r="EIB17" t="s">
        <v>6984</v>
      </c>
      <c r="EIC17" t="s">
        <v>6984</v>
      </c>
      <c r="EID17" t="s">
        <v>6984</v>
      </c>
      <c r="EIE17" t="s">
        <v>6984</v>
      </c>
      <c r="EIF17" t="s">
        <v>6984</v>
      </c>
      <c r="EIG17" t="s">
        <v>6984</v>
      </c>
      <c r="EIH17" t="s">
        <v>6984</v>
      </c>
      <c r="EII17" t="s">
        <v>6984</v>
      </c>
      <c r="EIJ17" t="s">
        <v>6984</v>
      </c>
      <c r="EIK17" t="s">
        <v>6984</v>
      </c>
      <c r="EIL17" t="s">
        <v>6984</v>
      </c>
      <c r="EIM17" t="s">
        <v>6984</v>
      </c>
      <c r="EIN17" t="s">
        <v>6984</v>
      </c>
      <c r="EIO17" t="s">
        <v>6984</v>
      </c>
      <c r="EIP17" t="s">
        <v>6984</v>
      </c>
      <c r="EIQ17" t="s">
        <v>6984</v>
      </c>
      <c r="EIR17" t="s">
        <v>6984</v>
      </c>
      <c r="EIS17" t="s">
        <v>6984</v>
      </c>
      <c r="EIT17" t="s">
        <v>6984</v>
      </c>
      <c r="EIU17" t="s">
        <v>6984</v>
      </c>
      <c r="EIV17" t="s">
        <v>6984</v>
      </c>
      <c r="EIW17" t="s">
        <v>6984</v>
      </c>
      <c r="EIX17" t="s">
        <v>6984</v>
      </c>
      <c r="EIY17" t="s">
        <v>6984</v>
      </c>
      <c r="EIZ17" t="s">
        <v>6984</v>
      </c>
      <c r="EJA17" t="s">
        <v>6984</v>
      </c>
      <c r="EJB17" t="s">
        <v>6984</v>
      </c>
      <c r="EJC17" t="s">
        <v>6984</v>
      </c>
      <c r="EJD17" t="s">
        <v>6984</v>
      </c>
      <c r="EJE17" t="s">
        <v>6984</v>
      </c>
      <c r="EJF17" t="s">
        <v>6984</v>
      </c>
      <c r="EJG17" t="s">
        <v>6984</v>
      </c>
      <c r="EJH17" t="s">
        <v>6984</v>
      </c>
      <c r="EJI17" t="s">
        <v>6984</v>
      </c>
      <c r="EJJ17" t="s">
        <v>6984</v>
      </c>
      <c r="EJK17" t="s">
        <v>6984</v>
      </c>
      <c r="EJL17" t="s">
        <v>6984</v>
      </c>
      <c r="EJM17" t="s">
        <v>6984</v>
      </c>
      <c r="EJN17" t="s">
        <v>6984</v>
      </c>
      <c r="EJO17" t="s">
        <v>6984</v>
      </c>
      <c r="EJP17" t="s">
        <v>6984</v>
      </c>
      <c r="EJQ17" t="s">
        <v>6984</v>
      </c>
      <c r="EJR17" t="s">
        <v>6984</v>
      </c>
      <c r="EJS17" t="s">
        <v>6984</v>
      </c>
      <c r="EJT17" t="s">
        <v>6984</v>
      </c>
      <c r="EJU17" t="s">
        <v>6984</v>
      </c>
      <c r="EJV17" t="s">
        <v>6984</v>
      </c>
      <c r="EJW17" t="s">
        <v>6984</v>
      </c>
      <c r="EJX17" t="s">
        <v>6984</v>
      </c>
      <c r="EJY17" t="s">
        <v>6984</v>
      </c>
      <c r="EJZ17" t="s">
        <v>6984</v>
      </c>
      <c r="EKA17" t="s">
        <v>6984</v>
      </c>
      <c r="EKB17" t="s">
        <v>6984</v>
      </c>
      <c r="EKC17" t="s">
        <v>6984</v>
      </c>
      <c r="EKD17" t="s">
        <v>6984</v>
      </c>
      <c r="EKE17" t="s">
        <v>6984</v>
      </c>
      <c r="EKF17" t="s">
        <v>6984</v>
      </c>
      <c r="EKG17" t="s">
        <v>6984</v>
      </c>
      <c r="EKH17" t="s">
        <v>6984</v>
      </c>
      <c r="EKI17" t="s">
        <v>6984</v>
      </c>
      <c r="EKJ17" t="s">
        <v>6984</v>
      </c>
      <c r="EKK17" t="s">
        <v>6984</v>
      </c>
      <c r="EKL17" t="s">
        <v>6984</v>
      </c>
      <c r="EKM17" t="s">
        <v>6984</v>
      </c>
      <c r="EKN17" t="s">
        <v>6984</v>
      </c>
      <c r="EKO17" t="s">
        <v>6984</v>
      </c>
      <c r="EKP17" t="s">
        <v>6984</v>
      </c>
      <c r="EKQ17" t="s">
        <v>6984</v>
      </c>
      <c r="EKR17" t="s">
        <v>6984</v>
      </c>
      <c r="EKS17" t="s">
        <v>6984</v>
      </c>
      <c r="EKT17" t="s">
        <v>6984</v>
      </c>
      <c r="EKU17" t="s">
        <v>6984</v>
      </c>
      <c r="EKV17" t="s">
        <v>6984</v>
      </c>
      <c r="EKW17" t="s">
        <v>6984</v>
      </c>
      <c r="EKX17" t="s">
        <v>6984</v>
      </c>
      <c r="EKY17" t="s">
        <v>6984</v>
      </c>
      <c r="EKZ17" t="s">
        <v>6984</v>
      </c>
      <c r="ELA17" t="s">
        <v>6984</v>
      </c>
      <c r="ELB17" t="s">
        <v>6984</v>
      </c>
      <c r="ELC17" t="s">
        <v>6984</v>
      </c>
      <c r="ELD17" t="s">
        <v>6984</v>
      </c>
      <c r="ELE17" t="s">
        <v>6984</v>
      </c>
      <c r="ELF17" t="s">
        <v>6984</v>
      </c>
      <c r="ELG17" t="s">
        <v>6984</v>
      </c>
      <c r="ELH17" t="s">
        <v>6984</v>
      </c>
      <c r="ELI17" t="s">
        <v>6984</v>
      </c>
      <c r="ELJ17" t="s">
        <v>6984</v>
      </c>
      <c r="ELK17" t="s">
        <v>6984</v>
      </c>
      <c r="ELL17" t="s">
        <v>6984</v>
      </c>
      <c r="ELM17" t="s">
        <v>6984</v>
      </c>
      <c r="ELN17" t="s">
        <v>6984</v>
      </c>
      <c r="ELO17" t="s">
        <v>6984</v>
      </c>
      <c r="ELP17" t="s">
        <v>6984</v>
      </c>
      <c r="ELQ17" t="s">
        <v>6984</v>
      </c>
      <c r="ELR17" t="s">
        <v>6984</v>
      </c>
      <c r="ELS17" t="s">
        <v>6984</v>
      </c>
      <c r="ELT17" t="s">
        <v>6984</v>
      </c>
      <c r="ELU17" t="s">
        <v>6984</v>
      </c>
      <c r="ELV17" t="s">
        <v>6984</v>
      </c>
      <c r="ELW17" t="s">
        <v>6984</v>
      </c>
      <c r="ELX17" t="s">
        <v>6984</v>
      </c>
      <c r="ELY17" t="s">
        <v>6984</v>
      </c>
      <c r="ELZ17" t="s">
        <v>6984</v>
      </c>
      <c r="EMA17" t="s">
        <v>6984</v>
      </c>
      <c r="EMB17" t="s">
        <v>6984</v>
      </c>
      <c r="EMC17" t="s">
        <v>6984</v>
      </c>
      <c r="EMD17" t="s">
        <v>6984</v>
      </c>
      <c r="EME17" t="s">
        <v>6984</v>
      </c>
      <c r="EMF17" t="s">
        <v>6984</v>
      </c>
      <c r="EMG17" t="s">
        <v>6984</v>
      </c>
      <c r="EMH17" t="s">
        <v>6984</v>
      </c>
      <c r="EMI17" t="s">
        <v>6984</v>
      </c>
      <c r="EMJ17" t="s">
        <v>6984</v>
      </c>
      <c r="EMK17" t="s">
        <v>6984</v>
      </c>
      <c r="EML17" t="s">
        <v>6984</v>
      </c>
      <c r="EMM17" t="s">
        <v>6984</v>
      </c>
      <c r="EMN17" t="s">
        <v>6984</v>
      </c>
      <c r="EMO17" t="s">
        <v>6984</v>
      </c>
      <c r="EMP17" t="s">
        <v>6984</v>
      </c>
      <c r="EMQ17" t="s">
        <v>6984</v>
      </c>
      <c r="EMR17" t="s">
        <v>6984</v>
      </c>
      <c r="EMS17" t="s">
        <v>6984</v>
      </c>
      <c r="EMT17" t="s">
        <v>6984</v>
      </c>
      <c r="EMU17" t="s">
        <v>6984</v>
      </c>
      <c r="EMV17" t="s">
        <v>6984</v>
      </c>
      <c r="EMW17" t="s">
        <v>6984</v>
      </c>
      <c r="EMX17" t="s">
        <v>6984</v>
      </c>
      <c r="EMY17" t="s">
        <v>6984</v>
      </c>
      <c r="EMZ17" t="s">
        <v>6984</v>
      </c>
      <c r="ENA17" t="s">
        <v>6984</v>
      </c>
      <c r="ENB17" t="s">
        <v>6984</v>
      </c>
      <c r="ENC17" t="s">
        <v>6984</v>
      </c>
      <c r="END17" t="s">
        <v>6984</v>
      </c>
      <c r="ENE17" t="s">
        <v>6984</v>
      </c>
      <c r="ENF17" t="s">
        <v>6984</v>
      </c>
      <c r="ENG17" t="s">
        <v>6984</v>
      </c>
      <c r="ENH17" t="s">
        <v>6984</v>
      </c>
      <c r="ENI17" t="s">
        <v>6984</v>
      </c>
      <c r="ENJ17" t="s">
        <v>6984</v>
      </c>
      <c r="ENK17" t="s">
        <v>6984</v>
      </c>
      <c r="ENL17" t="s">
        <v>6984</v>
      </c>
      <c r="ENM17" t="s">
        <v>6984</v>
      </c>
      <c r="ENN17" t="s">
        <v>6984</v>
      </c>
      <c r="ENO17" t="s">
        <v>6984</v>
      </c>
      <c r="ENP17" t="s">
        <v>6984</v>
      </c>
      <c r="ENQ17" t="s">
        <v>6984</v>
      </c>
      <c r="ENR17" t="s">
        <v>6984</v>
      </c>
      <c r="ENS17" t="s">
        <v>6984</v>
      </c>
      <c r="ENT17" t="s">
        <v>6984</v>
      </c>
      <c r="ENU17" t="s">
        <v>6984</v>
      </c>
      <c r="ENV17" t="s">
        <v>6984</v>
      </c>
      <c r="ENW17" t="s">
        <v>6984</v>
      </c>
      <c r="ENX17" t="s">
        <v>6984</v>
      </c>
      <c r="ENY17" t="s">
        <v>6984</v>
      </c>
      <c r="ENZ17" t="s">
        <v>6984</v>
      </c>
      <c r="EOA17" t="s">
        <v>6984</v>
      </c>
      <c r="EOB17" t="s">
        <v>6984</v>
      </c>
      <c r="EOC17" t="s">
        <v>6984</v>
      </c>
      <c r="EOD17" t="s">
        <v>6984</v>
      </c>
      <c r="EOE17" t="s">
        <v>6984</v>
      </c>
      <c r="EOF17" t="s">
        <v>6984</v>
      </c>
      <c r="EOG17" t="s">
        <v>6984</v>
      </c>
      <c r="EOH17" t="s">
        <v>6984</v>
      </c>
      <c r="EOI17" t="s">
        <v>6984</v>
      </c>
      <c r="EOJ17" t="s">
        <v>6984</v>
      </c>
      <c r="EOK17" t="s">
        <v>6984</v>
      </c>
      <c r="EOL17" t="s">
        <v>6984</v>
      </c>
      <c r="EOM17" t="s">
        <v>6984</v>
      </c>
      <c r="EON17" t="s">
        <v>6984</v>
      </c>
      <c r="EOO17" t="s">
        <v>6984</v>
      </c>
      <c r="EOP17" t="s">
        <v>6984</v>
      </c>
      <c r="EOQ17" t="s">
        <v>6984</v>
      </c>
      <c r="EOR17" t="s">
        <v>6984</v>
      </c>
      <c r="EOS17" t="s">
        <v>6984</v>
      </c>
      <c r="EOT17" t="s">
        <v>6984</v>
      </c>
      <c r="EOU17" t="s">
        <v>6984</v>
      </c>
      <c r="EOV17" t="s">
        <v>6984</v>
      </c>
      <c r="EOW17" t="s">
        <v>6984</v>
      </c>
      <c r="EOX17" t="s">
        <v>6984</v>
      </c>
      <c r="EOY17" t="s">
        <v>6984</v>
      </c>
      <c r="EOZ17" t="s">
        <v>6984</v>
      </c>
      <c r="EPA17" t="s">
        <v>6984</v>
      </c>
      <c r="EPB17" t="s">
        <v>6984</v>
      </c>
      <c r="EPC17" t="s">
        <v>6984</v>
      </c>
      <c r="EPD17" t="s">
        <v>6984</v>
      </c>
      <c r="EPE17" t="s">
        <v>6984</v>
      </c>
      <c r="EPF17" t="s">
        <v>6984</v>
      </c>
      <c r="EPG17" t="s">
        <v>6984</v>
      </c>
      <c r="EPH17" t="s">
        <v>6984</v>
      </c>
      <c r="EPI17" t="s">
        <v>6984</v>
      </c>
      <c r="EPJ17" t="s">
        <v>6984</v>
      </c>
      <c r="EPK17" t="s">
        <v>6984</v>
      </c>
      <c r="EPL17" t="s">
        <v>6984</v>
      </c>
      <c r="EPM17" t="s">
        <v>6984</v>
      </c>
      <c r="EPN17" t="s">
        <v>6984</v>
      </c>
      <c r="EPO17" t="s">
        <v>6984</v>
      </c>
      <c r="EPP17" t="s">
        <v>6984</v>
      </c>
      <c r="EPQ17" t="s">
        <v>6984</v>
      </c>
      <c r="EPR17" t="s">
        <v>6984</v>
      </c>
      <c r="EPS17" t="s">
        <v>6984</v>
      </c>
      <c r="EPT17" t="s">
        <v>6984</v>
      </c>
      <c r="EPU17" t="s">
        <v>6984</v>
      </c>
      <c r="EPV17" t="s">
        <v>6984</v>
      </c>
      <c r="EPW17" t="s">
        <v>6984</v>
      </c>
      <c r="EPX17" t="s">
        <v>6984</v>
      </c>
      <c r="EPY17" t="s">
        <v>6984</v>
      </c>
      <c r="EPZ17" t="s">
        <v>6984</v>
      </c>
      <c r="EQA17" t="s">
        <v>6984</v>
      </c>
      <c r="EQB17" t="s">
        <v>6984</v>
      </c>
      <c r="EQC17" t="s">
        <v>6984</v>
      </c>
      <c r="EQD17" t="s">
        <v>6984</v>
      </c>
      <c r="EQE17" t="s">
        <v>6984</v>
      </c>
      <c r="EQF17" t="s">
        <v>6984</v>
      </c>
      <c r="EQG17" t="s">
        <v>6984</v>
      </c>
      <c r="EQH17" t="s">
        <v>6984</v>
      </c>
      <c r="EQI17" t="s">
        <v>6984</v>
      </c>
      <c r="EQJ17" t="s">
        <v>6984</v>
      </c>
      <c r="EQK17" t="s">
        <v>6984</v>
      </c>
      <c r="EQL17" t="s">
        <v>6984</v>
      </c>
      <c r="EQM17" t="s">
        <v>6984</v>
      </c>
      <c r="EQN17" t="s">
        <v>6984</v>
      </c>
      <c r="EQO17" t="s">
        <v>6984</v>
      </c>
      <c r="EQP17" t="s">
        <v>6984</v>
      </c>
      <c r="EQQ17" t="s">
        <v>6984</v>
      </c>
      <c r="EQR17" t="s">
        <v>6984</v>
      </c>
      <c r="EQS17" t="s">
        <v>6984</v>
      </c>
      <c r="EQT17" t="s">
        <v>6984</v>
      </c>
      <c r="EQU17" t="s">
        <v>6984</v>
      </c>
      <c r="EQV17" t="s">
        <v>6984</v>
      </c>
      <c r="EQW17" t="s">
        <v>6984</v>
      </c>
      <c r="EQX17" t="s">
        <v>6984</v>
      </c>
      <c r="EQY17" t="s">
        <v>6984</v>
      </c>
      <c r="EQZ17" t="s">
        <v>6984</v>
      </c>
      <c r="ERA17" t="s">
        <v>6984</v>
      </c>
      <c r="ERB17" t="s">
        <v>6984</v>
      </c>
      <c r="ERC17" t="s">
        <v>6984</v>
      </c>
      <c r="ERD17" t="s">
        <v>6984</v>
      </c>
      <c r="ERE17" t="s">
        <v>6984</v>
      </c>
      <c r="ERF17" t="s">
        <v>6984</v>
      </c>
      <c r="ERG17" t="s">
        <v>6984</v>
      </c>
      <c r="ERH17" t="s">
        <v>6984</v>
      </c>
      <c r="ERI17" t="s">
        <v>6984</v>
      </c>
      <c r="ERJ17" t="s">
        <v>6984</v>
      </c>
      <c r="ERK17" t="s">
        <v>6984</v>
      </c>
      <c r="ERL17" t="s">
        <v>6984</v>
      </c>
      <c r="ERM17" t="s">
        <v>6984</v>
      </c>
      <c r="ERN17" t="s">
        <v>6984</v>
      </c>
      <c r="ERO17" t="s">
        <v>6984</v>
      </c>
      <c r="ERP17" t="s">
        <v>6984</v>
      </c>
      <c r="ERQ17" t="s">
        <v>6984</v>
      </c>
      <c r="ERR17" t="s">
        <v>6984</v>
      </c>
      <c r="ERS17" t="s">
        <v>6984</v>
      </c>
      <c r="ERT17" t="s">
        <v>6984</v>
      </c>
      <c r="ERU17" t="s">
        <v>6984</v>
      </c>
      <c r="ERV17" t="s">
        <v>6984</v>
      </c>
      <c r="ERW17" t="s">
        <v>6984</v>
      </c>
      <c r="ERX17" t="s">
        <v>6984</v>
      </c>
      <c r="ERY17" t="s">
        <v>6984</v>
      </c>
      <c r="ERZ17" t="s">
        <v>6984</v>
      </c>
      <c r="ESA17" t="s">
        <v>6984</v>
      </c>
      <c r="ESB17" t="s">
        <v>6984</v>
      </c>
      <c r="ESC17" t="s">
        <v>6984</v>
      </c>
      <c r="ESD17" t="s">
        <v>6984</v>
      </c>
      <c r="ESE17" t="s">
        <v>6984</v>
      </c>
      <c r="ESF17" t="s">
        <v>6984</v>
      </c>
      <c r="ESG17" t="s">
        <v>6984</v>
      </c>
      <c r="ESH17" t="s">
        <v>6984</v>
      </c>
      <c r="ESI17" t="s">
        <v>6984</v>
      </c>
      <c r="ESJ17" t="s">
        <v>6984</v>
      </c>
      <c r="ESK17" t="s">
        <v>6984</v>
      </c>
      <c r="ESL17" t="s">
        <v>6984</v>
      </c>
      <c r="ESM17" t="s">
        <v>6984</v>
      </c>
      <c r="ESN17" t="s">
        <v>6984</v>
      </c>
      <c r="ESO17" t="s">
        <v>6984</v>
      </c>
      <c r="ESP17" t="s">
        <v>6984</v>
      </c>
      <c r="ESQ17" t="s">
        <v>6984</v>
      </c>
      <c r="ESR17" t="s">
        <v>6984</v>
      </c>
      <c r="ESS17" t="s">
        <v>6984</v>
      </c>
      <c r="EST17" t="s">
        <v>6984</v>
      </c>
      <c r="ESU17" t="s">
        <v>6984</v>
      </c>
      <c r="ESV17" t="s">
        <v>6984</v>
      </c>
      <c r="ESW17" t="s">
        <v>6984</v>
      </c>
      <c r="ESX17" t="s">
        <v>6984</v>
      </c>
      <c r="ESY17" t="s">
        <v>6984</v>
      </c>
      <c r="ESZ17" t="s">
        <v>6984</v>
      </c>
      <c r="ETA17" t="s">
        <v>6984</v>
      </c>
      <c r="ETB17" t="s">
        <v>6984</v>
      </c>
      <c r="ETC17" t="s">
        <v>6984</v>
      </c>
      <c r="ETD17" t="s">
        <v>6984</v>
      </c>
      <c r="ETE17" t="s">
        <v>6984</v>
      </c>
      <c r="ETF17" t="s">
        <v>6984</v>
      </c>
      <c r="ETG17" t="s">
        <v>6984</v>
      </c>
      <c r="ETH17" t="s">
        <v>6984</v>
      </c>
      <c r="ETI17" t="s">
        <v>6984</v>
      </c>
      <c r="ETJ17" t="s">
        <v>6984</v>
      </c>
      <c r="ETK17" t="s">
        <v>6984</v>
      </c>
      <c r="ETL17" t="s">
        <v>6984</v>
      </c>
      <c r="ETM17" t="s">
        <v>6984</v>
      </c>
      <c r="ETN17" t="s">
        <v>6984</v>
      </c>
      <c r="ETO17" t="s">
        <v>6984</v>
      </c>
      <c r="ETP17" t="s">
        <v>6984</v>
      </c>
      <c r="ETQ17" t="s">
        <v>6984</v>
      </c>
      <c r="ETR17" t="s">
        <v>6984</v>
      </c>
      <c r="ETS17" t="s">
        <v>6984</v>
      </c>
      <c r="ETT17" t="s">
        <v>6984</v>
      </c>
      <c r="ETU17" t="s">
        <v>6984</v>
      </c>
      <c r="ETV17" t="s">
        <v>6984</v>
      </c>
      <c r="ETW17" t="s">
        <v>6984</v>
      </c>
      <c r="ETX17" t="s">
        <v>6984</v>
      </c>
      <c r="ETY17" t="s">
        <v>6984</v>
      </c>
      <c r="ETZ17" t="s">
        <v>6984</v>
      </c>
      <c r="EUA17" t="s">
        <v>6984</v>
      </c>
      <c r="EUB17" t="s">
        <v>6984</v>
      </c>
      <c r="EUC17" t="s">
        <v>6984</v>
      </c>
      <c r="EUD17" t="s">
        <v>6984</v>
      </c>
      <c r="EUE17" t="s">
        <v>6984</v>
      </c>
      <c r="EUF17" t="s">
        <v>6984</v>
      </c>
      <c r="EUG17" t="s">
        <v>6984</v>
      </c>
      <c r="EUH17" t="s">
        <v>6984</v>
      </c>
      <c r="EUI17" t="s">
        <v>6984</v>
      </c>
      <c r="EUJ17" t="s">
        <v>6984</v>
      </c>
      <c r="EUK17" t="s">
        <v>6984</v>
      </c>
      <c r="EUL17" t="s">
        <v>6984</v>
      </c>
      <c r="EUM17" t="s">
        <v>6984</v>
      </c>
      <c r="EUN17" t="s">
        <v>6984</v>
      </c>
      <c r="EUO17" t="s">
        <v>6984</v>
      </c>
      <c r="EUP17" t="s">
        <v>6984</v>
      </c>
      <c r="EUQ17" t="s">
        <v>6984</v>
      </c>
      <c r="EUR17" t="s">
        <v>6984</v>
      </c>
      <c r="EUS17" t="s">
        <v>6984</v>
      </c>
      <c r="EUT17" t="s">
        <v>6984</v>
      </c>
      <c r="EUU17" t="s">
        <v>6984</v>
      </c>
      <c r="EUV17" t="s">
        <v>6984</v>
      </c>
      <c r="EUW17" t="s">
        <v>6984</v>
      </c>
      <c r="EUX17" t="s">
        <v>6984</v>
      </c>
      <c r="EUY17" t="s">
        <v>6984</v>
      </c>
      <c r="EUZ17" t="s">
        <v>6984</v>
      </c>
      <c r="EVA17" t="s">
        <v>6984</v>
      </c>
      <c r="EVB17" t="s">
        <v>6984</v>
      </c>
      <c r="EVC17" t="s">
        <v>6984</v>
      </c>
      <c r="EVD17" t="s">
        <v>6984</v>
      </c>
      <c r="EVE17" t="s">
        <v>6984</v>
      </c>
      <c r="EVF17" t="s">
        <v>6984</v>
      </c>
      <c r="EVG17" t="s">
        <v>6984</v>
      </c>
      <c r="EVH17" t="s">
        <v>6984</v>
      </c>
      <c r="EVI17" t="s">
        <v>6984</v>
      </c>
      <c r="EVJ17" t="s">
        <v>6984</v>
      </c>
      <c r="EVK17" t="s">
        <v>6984</v>
      </c>
      <c r="EVL17" t="s">
        <v>6984</v>
      </c>
      <c r="EVM17" t="s">
        <v>6984</v>
      </c>
      <c r="EVN17" t="s">
        <v>6984</v>
      </c>
      <c r="EVO17" t="s">
        <v>6984</v>
      </c>
      <c r="EVP17" t="s">
        <v>6984</v>
      </c>
      <c r="EVQ17" t="s">
        <v>6984</v>
      </c>
      <c r="EVR17" t="s">
        <v>6984</v>
      </c>
      <c r="EVS17" t="s">
        <v>6984</v>
      </c>
      <c r="EVT17" t="s">
        <v>6984</v>
      </c>
      <c r="EVU17" t="s">
        <v>6984</v>
      </c>
      <c r="EVV17" t="s">
        <v>6984</v>
      </c>
      <c r="EVW17" t="s">
        <v>6984</v>
      </c>
      <c r="EVX17" t="s">
        <v>6984</v>
      </c>
      <c r="EVY17" t="s">
        <v>6984</v>
      </c>
      <c r="EVZ17" t="s">
        <v>6984</v>
      </c>
      <c r="EWA17" t="s">
        <v>6984</v>
      </c>
      <c r="EWB17" t="s">
        <v>6984</v>
      </c>
      <c r="EWC17" t="s">
        <v>6984</v>
      </c>
      <c r="EWD17" t="s">
        <v>6984</v>
      </c>
      <c r="EWE17" t="s">
        <v>6984</v>
      </c>
      <c r="EWF17" t="s">
        <v>6984</v>
      </c>
      <c r="EWG17" t="s">
        <v>6984</v>
      </c>
      <c r="EWH17" t="s">
        <v>6984</v>
      </c>
      <c r="EWI17" t="s">
        <v>6984</v>
      </c>
      <c r="EWJ17" t="s">
        <v>6984</v>
      </c>
      <c r="EWK17" t="s">
        <v>6984</v>
      </c>
      <c r="EWL17" t="s">
        <v>6984</v>
      </c>
      <c r="EWM17" t="s">
        <v>6984</v>
      </c>
      <c r="EWN17" t="s">
        <v>6984</v>
      </c>
      <c r="EWO17" t="s">
        <v>6984</v>
      </c>
      <c r="EWP17" t="s">
        <v>6984</v>
      </c>
      <c r="EWQ17" t="s">
        <v>6984</v>
      </c>
      <c r="EWR17" t="s">
        <v>6984</v>
      </c>
      <c r="EWS17" t="s">
        <v>6984</v>
      </c>
      <c r="EWT17" t="s">
        <v>6984</v>
      </c>
      <c r="EWU17" t="s">
        <v>6984</v>
      </c>
      <c r="EWV17" t="s">
        <v>6984</v>
      </c>
      <c r="EWW17" t="s">
        <v>6984</v>
      </c>
      <c r="EWX17" t="s">
        <v>6984</v>
      </c>
      <c r="EWY17" t="s">
        <v>6984</v>
      </c>
      <c r="EWZ17" t="s">
        <v>6984</v>
      </c>
      <c r="EXA17" t="s">
        <v>6984</v>
      </c>
      <c r="EXB17" t="s">
        <v>6984</v>
      </c>
      <c r="EXC17" t="s">
        <v>6984</v>
      </c>
      <c r="EXD17" t="s">
        <v>6984</v>
      </c>
      <c r="EXE17" t="s">
        <v>6984</v>
      </c>
      <c r="EXF17" t="s">
        <v>6984</v>
      </c>
      <c r="EXG17" t="s">
        <v>6984</v>
      </c>
      <c r="EXH17" t="s">
        <v>6984</v>
      </c>
      <c r="EXI17" t="s">
        <v>6984</v>
      </c>
      <c r="EXJ17" t="s">
        <v>6984</v>
      </c>
      <c r="EXK17" t="s">
        <v>6984</v>
      </c>
      <c r="EXL17" t="s">
        <v>6984</v>
      </c>
      <c r="EXM17" t="s">
        <v>6984</v>
      </c>
      <c r="EXN17" t="s">
        <v>6984</v>
      </c>
      <c r="EXO17" t="s">
        <v>6984</v>
      </c>
      <c r="EXP17" t="s">
        <v>6984</v>
      </c>
      <c r="EXQ17" t="s">
        <v>6984</v>
      </c>
      <c r="EXR17" t="s">
        <v>6984</v>
      </c>
      <c r="EXS17" t="s">
        <v>6984</v>
      </c>
      <c r="EXT17" t="s">
        <v>6984</v>
      </c>
      <c r="EXU17" t="s">
        <v>6984</v>
      </c>
      <c r="EXV17" t="s">
        <v>6984</v>
      </c>
      <c r="EXW17" t="s">
        <v>6984</v>
      </c>
      <c r="EXX17" t="s">
        <v>6984</v>
      </c>
      <c r="EXY17" t="s">
        <v>6984</v>
      </c>
      <c r="EXZ17" t="s">
        <v>6984</v>
      </c>
      <c r="EYA17" t="s">
        <v>6984</v>
      </c>
      <c r="EYB17" t="s">
        <v>6984</v>
      </c>
      <c r="EYC17" t="s">
        <v>6984</v>
      </c>
      <c r="EYD17" t="s">
        <v>6984</v>
      </c>
      <c r="EYE17" t="s">
        <v>6984</v>
      </c>
      <c r="EYF17" t="s">
        <v>6984</v>
      </c>
      <c r="EYG17" t="s">
        <v>6984</v>
      </c>
      <c r="EYH17" t="s">
        <v>6984</v>
      </c>
      <c r="EYI17" t="s">
        <v>6984</v>
      </c>
      <c r="EYJ17" t="s">
        <v>6984</v>
      </c>
      <c r="EYK17" t="s">
        <v>6984</v>
      </c>
      <c r="EYL17" t="s">
        <v>6984</v>
      </c>
      <c r="EYM17" t="s">
        <v>6984</v>
      </c>
      <c r="EYN17" t="s">
        <v>6984</v>
      </c>
      <c r="EYO17" t="s">
        <v>6984</v>
      </c>
      <c r="EYP17" t="s">
        <v>6984</v>
      </c>
      <c r="EYQ17" t="s">
        <v>6984</v>
      </c>
      <c r="EYR17" t="s">
        <v>6984</v>
      </c>
      <c r="EYS17" t="s">
        <v>6984</v>
      </c>
      <c r="EYT17" t="s">
        <v>6984</v>
      </c>
      <c r="EYU17" t="s">
        <v>6984</v>
      </c>
      <c r="EYV17" t="s">
        <v>6984</v>
      </c>
      <c r="EYW17" t="s">
        <v>6984</v>
      </c>
      <c r="EYX17" t="s">
        <v>6984</v>
      </c>
      <c r="EYY17" t="s">
        <v>6984</v>
      </c>
      <c r="EYZ17" t="s">
        <v>6984</v>
      </c>
      <c r="EZA17" t="s">
        <v>6984</v>
      </c>
      <c r="EZB17" t="s">
        <v>6984</v>
      </c>
      <c r="EZC17" t="s">
        <v>6984</v>
      </c>
      <c r="EZD17" t="s">
        <v>6984</v>
      </c>
      <c r="EZE17" t="s">
        <v>6984</v>
      </c>
      <c r="EZF17" t="s">
        <v>6984</v>
      </c>
      <c r="EZG17" t="s">
        <v>6984</v>
      </c>
      <c r="EZH17" t="s">
        <v>6984</v>
      </c>
      <c r="EZI17" t="s">
        <v>6984</v>
      </c>
      <c r="EZJ17" t="s">
        <v>6984</v>
      </c>
      <c r="EZK17" t="s">
        <v>6984</v>
      </c>
      <c r="EZL17" t="s">
        <v>6984</v>
      </c>
      <c r="EZM17" t="s">
        <v>6984</v>
      </c>
      <c r="EZN17" t="s">
        <v>6984</v>
      </c>
      <c r="EZO17" t="s">
        <v>6984</v>
      </c>
      <c r="EZP17" t="s">
        <v>6984</v>
      </c>
      <c r="EZQ17" t="s">
        <v>6984</v>
      </c>
      <c r="EZR17" t="s">
        <v>6984</v>
      </c>
      <c r="EZS17" t="s">
        <v>6984</v>
      </c>
      <c r="EZT17" t="s">
        <v>6984</v>
      </c>
      <c r="EZU17" t="s">
        <v>6984</v>
      </c>
      <c r="EZV17" t="s">
        <v>6984</v>
      </c>
      <c r="EZW17" t="s">
        <v>6984</v>
      </c>
      <c r="EZX17" t="s">
        <v>6984</v>
      </c>
      <c r="EZY17" t="s">
        <v>6984</v>
      </c>
      <c r="EZZ17" t="s">
        <v>6984</v>
      </c>
      <c r="FAA17" t="s">
        <v>6984</v>
      </c>
      <c r="FAB17" t="s">
        <v>6984</v>
      </c>
      <c r="FAC17" t="s">
        <v>6984</v>
      </c>
      <c r="FAD17" t="s">
        <v>6984</v>
      </c>
      <c r="FAE17" t="s">
        <v>6984</v>
      </c>
      <c r="FAF17" t="s">
        <v>6984</v>
      </c>
      <c r="FAG17" t="s">
        <v>6984</v>
      </c>
      <c r="FAH17" t="s">
        <v>6984</v>
      </c>
      <c r="FAI17" t="s">
        <v>6984</v>
      </c>
      <c r="FAJ17" t="s">
        <v>6984</v>
      </c>
      <c r="FAK17" t="s">
        <v>6984</v>
      </c>
      <c r="FAL17" t="s">
        <v>6984</v>
      </c>
      <c r="FAM17" t="s">
        <v>6984</v>
      </c>
      <c r="FAN17" t="s">
        <v>6984</v>
      </c>
      <c r="FAO17" t="s">
        <v>6984</v>
      </c>
      <c r="FAP17" t="s">
        <v>6984</v>
      </c>
      <c r="FAQ17" t="s">
        <v>6984</v>
      </c>
      <c r="FAR17" t="s">
        <v>6984</v>
      </c>
      <c r="FAS17" t="s">
        <v>6984</v>
      </c>
      <c r="FAT17" t="s">
        <v>6984</v>
      </c>
      <c r="FAU17" t="s">
        <v>6984</v>
      </c>
      <c r="FAV17" t="s">
        <v>6984</v>
      </c>
      <c r="FAW17" t="s">
        <v>6984</v>
      </c>
      <c r="FAX17" t="s">
        <v>6984</v>
      </c>
      <c r="FAY17" t="s">
        <v>6984</v>
      </c>
      <c r="FAZ17" t="s">
        <v>6984</v>
      </c>
      <c r="FBA17" t="s">
        <v>6984</v>
      </c>
      <c r="FBB17" t="s">
        <v>6984</v>
      </c>
      <c r="FBC17" t="s">
        <v>6984</v>
      </c>
      <c r="FBD17" t="s">
        <v>6984</v>
      </c>
      <c r="FBE17" t="s">
        <v>6984</v>
      </c>
      <c r="FBF17" t="s">
        <v>6984</v>
      </c>
      <c r="FBG17" t="s">
        <v>6984</v>
      </c>
      <c r="FBH17" t="s">
        <v>6984</v>
      </c>
      <c r="FBI17" t="s">
        <v>6984</v>
      </c>
      <c r="FBJ17" t="s">
        <v>6984</v>
      </c>
      <c r="FBK17" t="s">
        <v>6984</v>
      </c>
      <c r="FBL17" t="s">
        <v>6984</v>
      </c>
      <c r="FBM17" t="s">
        <v>6984</v>
      </c>
      <c r="FBN17" t="s">
        <v>6984</v>
      </c>
      <c r="FBO17" t="s">
        <v>6984</v>
      </c>
      <c r="FBP17" t="s">
        <v>6984</v>
      </c>
      <c r="FBQ17" t="s">
        <v>6984</v>
      </c>
      <c r="FBR17" t="s">
        <v>6984</v>
      </c>
      <c r="FBS17" t="s">
        <v>6984</v>
      </c>
      <c r="FBT17" t="s">
        <v>6984</v>
      </c>
      <c r="FBU17" t="s">
        <v>6984</v>
      </c>
      <c r="FBV17" t="s">
        <v>6984</v>
      </c>
      <c r="FBW17" t="s">
        <v>6984</v>
      </c>
      <c r="FBX17" t="s">
        <v>6984</v>
      </c>
      <c r="FBY17" t="s">
        <v>6984</v>
      </c>
      <c r="FBZ17" t="s">
        <v>6984</v>
      </c>
      <c r="FCA17" t="s">
        <v>6984</v>
      </c>
      <c r="FCB17" t="s">
        <v>6984</v>
      </c>
      <c r="FCC17" t="s">
        <v>6984</v>
      </c>
      <c r="FCD17" t="s">
        <v>6984</v>
      </c>
      <c r="FCE17" t="s">
        <v>6984</v>
      </c>
      <c r="FCF17" t="s">
        <v>6984</v>
      </c>
      <c r="FCG17" t="s">
        <v>6984</v>
      </c>
      <c r="FCH17" t="s">
        <v>6984</v>
      </c>
      <c r="FCI17" t="s">
        <v>6984</v>
      </c>
      <c r="FCJ17" t="s">
        <v>6984</v>
      </c>
      <c r="FCK17" t="s">
        <v>6984</v>
      </c>
      <c r="FCL17" t="s">
        <v>6984</v>
      </c>
      <c r="FCM17" t="s">
        <v>6984</v>
      </c>
      <c r="FCN17" t="s">
        <v>6984</v>
      </c>
      <c r="FCO17" t="s">
        <v>6984</v>
      </c>
      <c r="FCP17" t="s">
        <v>6984</v>
      </c>
      <c r="FCQ17" t="s">
        <v>6984</v>
      </c>
      <c r="FCR17" t="s">
        <v>6984</v>
      </c>
      <c r="FCS17" t="s">
        <v>6984</v>
      </c>
      <c r="FCT17" t="s">
        <v>6984</v>
      </c>
      <c r="FCU17" t="s">
        <v>6984</v>
      </c>
      <c r="FCV17" t="s">
        <v>6984</v>
      </c>
      <c r="FCW17" t="s">
        <v>6984</v>
      </c>
      <c r="FCX17" t="s">
        <v>6984</v>
      </c>
      <c r="FCY17" t="s">
        <v>6984</v>
      </c>
      <c r="FCZ17" t="s">
        <v>6984</v>
      </c>
      <c r="FDA17" t="s">
        <v>6984</v>
      </c>
      <c r="FDB17" t="s">
        <v>6984</v>
      </c>
      <c r="FDC17" t="s">
        <v>6984</v>
      </c>
      <c r="FDD17" t="s">
        <v>6984</v>
      </c>
      <c r="FDE17" t="s">
        <v>6984</v>
      </c>
      <c r="FDF17" t="s">
        <v>6984</v>
      </c>
      <c r="FDG17" t="s">
        <v>6984</v>
      </c>
      <c r="FDH17" t="s">
        <v>6984</v>
      </c>
      <c r="FDI17" t="s">
        <v>6984</v>
      </c>
      <c r="FDJ17" t="s">
        <v>6984</v>
      </c>
      <c r="FDK17" t="s">
        <v>6984</v>
      </c>
      <c r="FDL17" t="s">
        <v>6984</v>
      </c>
      <c r="FDM17" t="s">
        <v>6984</v>
      </c>
      <c r="FDN17" t="s">
        <v>6984</v>
      </c>
      <c r="FDO17" t="s">
        <v>6984</v>
      </c>
      <c r="FDP17" t="s">
        <v>6984</v>
      </c>
      <c r="FDQ17" t="s">
        <v>6984</v>
      </c>
      <c r="FDR17" t="s">
        <v>6984</v>
      </c>
      <c r="FDS17" t="s">
        <v>6984</v>
      </c>
      <c r="FDT17" t="s">
        <v>6984</v>
      </c>
      <c r="FDU17" t="s">
        <v>6984</v>
      </c>
      <c r="FDV17" t="s">
        <v>6984</v>
      </c>
      <c r="FDW17" t="s">
        <v>6984</v>
      </c>
      <c r="FDX17" t="s">
        <v>6984</v>
      </c>
      <c r="FDY17" t="s">
        <v>6984</v>
      </c>
      <c r="FDZ17" t="s">
        <v>6984</v>
      </c>
      <c r="FEA17" t="s">
        <v>6984</v>
      </c>
      <c r="FEB17" t="s">
        <v>6984</v>
      </c>
      <c r="FEC17" t="s">
        <v>6984</v>
      </c>
      <c r="FED17" t="s">
        <v>6984</v>
      </c>
      <c r="FEE17" t="s">
        <v>6984</v>
      </c>
      <c r="FEF17" t="s">
        <v>6984</v>
      </c>
      <c r="FEG17" t="s">
        <v>6984</v>
      </c>
      <c r="FEH17" t="s">
        <v>6984</v>
      </c>
      <c r="FEI17" t="s">
        <v>6984</v>
      </c>
      <c r="FEJ17" t="s">
        <v>6984</v>
      </c>
      <c r="FEK17" t="s">
        <v>6984</v>
      </c>
      <c r="FEL17" t="s">
        <v>6984</v>
      </c>
      <c r="FEM17" t="s">
        <v>6984</v>
      </c>
      <c r="FEN17" t="s">
        <v>6984</v>
      </c>
      <c r="FEO17" t="s">
        <v>6984</v>
      </c>
      <c r="FEP17" t="s">
        <v>6984</v>
      </c>
      <c r="FEQ17" t="s">
        <v>6984</v>
      </c>
      <c r="FER17" t="s">
        <v>6984</v>
      </c>
      <c r="FES17" t="s">
        <v>6984</v>
      </c>
      <c r="FET17" t="s">
        <v>6984</v>
      </c>
      <c r="FEU17" t="s">
        <v>6984</v>
      </c>
      <c r="FEV17" t="s">
        <v>6984</v>
      </c>
      <c r="FEW17" t="s">
        <v>6984</v>
      </c>
      <c r="FEX17" t="s">
        <v>6984</v>
      </c>
      <c r="FEY17" t="s">
        <v>6984</v>
      </c>
      <c r="FEZ17" t="s">
        <v>6984</v>
      </c>
      <c r="FFA17" t="s">
        <v>6984</v>
      </c>
      <c r="FFB17" t="s">
        <v>6984</v>
      </c>
      <c r="FFC17" t="s">
        <v>6984</v>
      </c>
      <c r="FFD17" t="s">
        <v>6984</v>
      </c>
      <c r="FFE17" t="s">
        <v>6984</v>
      </c>
      <c r="FFF17" t="s">
        <v>6984</v>
      </c>
      <c r="FFG17" t="s">
        <v>6984</v>
      </c>
      <c r="FFH17" t="s">
        <v>6984</v>
      </c>
      <c r="FFI17" t="s">
        <v>6984</v>
      </c>
      <c r="FFJ17" t="s">
        <v>6984</v>
      </c>
      <c r="FFK17" t="s">
        <v>6984</v>
      </c>
      <c r="FFL17" t="s">
        <v>6984</v>
      </c>
      <c r="FFM17" t="s">
        <v>6984</v>
      </c>
      <c r="FFN17" t="s">
        <v>6984</v>
      </c>
      <c r="FFO17" t="s">
        <v>6984</v>
      </c>
      <c r="FFP17" t="s">
        <v>6984</v>
      </c>
      <c r="FFQ17" t="s">
        <v>6984</v>
      </c>
      <c r="FFR17" t="s">
        <v>6984</v>
      </c>
      <c r="FFS17" t="s">
        <v>6984</v>
      </c>
      <c r="FFT17" t="s">
        <v>6984</v>
      </c>
      <c r="FFU17" t="s">
        <v>6984</v>
      </c>
      <c r="FFV17" t="s">
        <v>6984</v>
      </c>
      <c r="FFW17" t="s">
        <v>6984</v>
      </c>
      <c r="FFX17" t="s">
        <v>6984</v>
      </c>
      <c r="FFY17" t="s">
        <v>6984</v>
      </c>
      <c r="FFZ17" t="s">
        <v>6984</v>
      </c>
      <c r="FGA17" t="s">
        <v>6984</v>
      </c>
      <c r="FGB17" t="s">
        <v>6984</v>
      </c>
      <c r="FGC17" t="s">
        <v>6984</v>
      </c>
      <c r="FGD17" t="s">
        <v>6984</v>
      </c>
      <c r="FGE17" t="s">
        <v>6984</v>
      </c>
      <c r="FGF17" t="s">
        <v>6984</v>
      </c>
      <c r="FGG17" t="s">
        <v>6984</v>
      </c>
      <c r="FGH17" t="s">
        <v>6984</v>
      </c>
      <c r="FGI17" t="s">
        <v>6984</v>
      </c>
      <c r="FGJ17" t="s">
        <v>6984</v>
      </c>
      <c r="FGK17" t="s">
        <v>6984</v>
      </c>
      <c r="FGL17" t="s">
        <v>6984</v>
      </c>
      <c r="FGM17" t="s">
        <v>6984</v>
      </c>
      <c r="FGN17" t="s">
        <v>6984</v>
      </c>
      <c r="FGO17" t="s">
        <v>6984</v>
      </c>
      <c r="FGP17" t="s">
        <v>6984</v>
      </c>
      <c r="FGQ17" t="s">
        <v>6984</v>
      </c>
      <c r="FGR17" t="s">
        <v>6984</v>
      </c>
      <c r="FGS17" t="s">
        <v>6984</v>
      </c>
      <c r="FGT17" t="s">
        <v>6984</v>
      </c>
      <c r="FGU17" t="s">
        <v>6984</v>
      </c>
      <c r="FGV17" t="s">
        <v>6984</v>
      </c>
      <c r="FGW17" t="s">
        <v>6984</v>
      </c>
      <c r="FGX17" t="s">
        <v>6984</v>
      </c>
      <c r="FGY17" t="s">
        <v>6984</v>
      </c>
      <c r="FGZ17" t="s">
        <v>6984</v>
      </c>
      <c r="FHA17" t="s">
        <v>6984</v>
      </c>
      <c r="FHB17" t="s">
        <v>6984</v>
      </c>
      <c r="FHC17" t="s">
        <v>6984</v>
      </c>
      <c r="FHD17" t="s">
        <v>6984</v>
      </c>
      <c r="FHE17" t="s">
        <v>6984</v>
      </c>
      <c r="FHF17" t="s">
        <v>6984</v>
      </c>
      <c r="FHG17" t="s">
        <v>6984</v>
      </c>
      <c r="FHH17" t="s">
        <v>6984</v>
      </c>
      <c r="FHI17" t="s">
        <v>6984</v>
      </c>
      <c r="FHJ17" t="s">
        <v>6984</v>
      </c>
      <c r="FHK17" t="s">
        <v>6984</v>
      </c>
      <c r="FHL17" t="s">
        <v>6984</v>
      </c>
      <c r="FHM17" t="s">
        <v>6984</v>
      </c>
      <c r="FHN17" t="s">
        <v>6984</v>
      </c>
      <c r="FHO17" t="s">
        <v>6984</v>
      </c>
      <c r="FHP17" t="s">
        <v>6984</v>
      </c>
      <c r="FHQ17" t="s">
        <v>6984</v>
      </c>
      <c r="FHR17" t="s">
        <v>6984</v>
      </c>
      <c r="FHS17" t="s">
        <v>6984</v>
      </c>
      <c r="FHT17" t="s">
        <v>6984</v>
      </c>
      <c r="FHU17" t="s">
        <v>6984</v>
      </c>
      <c r="FHV17" t="s">
        <v>6984</v>
      </c>
      <c r="FHW17" t="s">
        <v>6984</v>
      </c>
      <c r="FHX17" t="s">
        <v>6984</v>
      </c>
      <c r="FHY17" t="s">
        <v>6984</v>
      </c>
      <c r="FHZ17" t="s">
        <v>6984</v>
      </c>
      <c r="FIA17" t="s">
        <v>6984</v>
      </c>
      <c r="FIB17" t="s">
        <v>6984</v>
      </c>
      <c r="FIC17" t="s">
        <v>6984</v>
      </c>
      <c r="FID17" t="s">
        <v>6984</v>
      </c>
      <c r="FIE17" t="s">
        <v>6984</v>
      </c>
      <c r="FIF17" t="s">
        <v>6984</v>
      </c>
      <c r="FIG17" t="s">
        <v>6984</v>
      </c>
      <c r="FIH17" t="s">
        <v>6984</v>
      </c>
      <c r="FII17" t="s">
        <v>6984</v>
      </c>
      <c r="FIJ17" t="s">
        <v>6984</v>
      </c>
      <c r="FIK17" t="s">
        <v>6984</v>
      </c>
      <c r="FIL17" t="s">
        <v>6984</v>
      </c>
      <c r="FIM17" t="s">
        <v>6984</v>
      </c>
      <c r="FIN17" t="s">
        <v>6984</v>
      </c>
      <c r="FIO17" t="s">
        <v>6984</v>
      </c>
      <c r="FIP17" t="s">
        <v>6984</v>
      </c>
      <c r="FIQ17" t="s">
        <v>6984</v>
      </c>
      <c r="FIR17" t="s">
        <v>6984</v>
      </c>
      <c r="FIS17" t="s">
        <v>6984</v>
      </c>
      <c r="FIT17" t="s">
        <v>6984</v>
      </c>
      <c r="FIU17" t="s">
        <v>6984</v>
      </c>
      <c r="FIV17" t="s">
        <v>6984</v>
      </c>
      <c r="FIW17" t="s">
        <v>6984</v>
      </c>
      <c r="FIX17" t="s">
        <v>6984</v>
      </c>
      <c r="FIY17" t="s">
        <v>6984</v>
      </c>
      <c r="FIZ17" t="s">
        <v>6984</v>
      </c>
      <c r="FJA17" t="s">
        <v>6984</v>
      </c>
      <c r="FJB17" t="s">
        <v>6984</v>
      </c>
      <c r="FJC17" t="s">
        <v>6984</v>
      </c>
      <c r="FJD17" t="s">
        <v>6984</v>
      </c>
      <c r="FJE17" t="s">
        <v>6984</v>
      </c>
      <c r="FJF17" t="s">
        <v>6984</v>
      </c>
      <c r="FJG17" t="s">
        <v>6984</v>
      </c>
      <c r="FJH17" t="s">
        <v>6984</v>
      </c>
      <c r="FJI17" t="s">
        <v>6984</v>
      </c>
      <c r="FJJ17" t="s">
        <v>6984</v>
      </c>
      <c r="FJK17" t="s">
        <v>6984</v>
      </c>
      <c r="FJL17" t="s">
        <v>6984</v>
      </c>
      <c r="FJM17" t="s">
        <v>6984</v>
      </c>
      <c r="FJN17" t="s">
        <v>6984</v>
      </c>
      <c r="FJO17" t="s">
        <v>6984</v>
      </c>
      <c r="FJP17" t="s">
        <v>6984</v>
      </c>
      <c r="FJQ17" t="s">
        <v>6984</v>
      </c>
      <c r="FJR17" t="s">
        <v>6984</v>
      </c>
      <c r="FJS17" t="s">
        <v>6984</v>
      </c>
      <c r="FJT17" t="s">
        <v>6984</v>
      </c>
      <c r="FJU17" t="s">
        <v>6984</v>
      </c>
      <c r="FJV17" t="s">
        <v>6984</v>
      </c>
      <c r="FJW17" t="s">
        <v>6984</v>
      </c>
      <c r="FJX17" t="s">
        <v>6984</v>
      </c>
      <c r="FJY17" t="s">
        <v>6984</v>
      </c>
      <c r="FJZ17" t="s">
        <v>6984</v>
      </c>
      <c r="FKA17" t="s">
        <v>6984</v>
      </c>
      <c r="FKB17" t="s">
        <v>6984</v>
      </c>
      <c r="FKC17" t="s">
        <v>6984</v>
      </c>
      <c r="FKD17" t="s">
        <v>6984</v>
      </c>
      <c r="FKE17" t="s">
        <v>6984</v>
      </c>
      <c r="FKF17" t="s">
        <v>6984</v>
      </c>
      <c r="FKG17" t="s">
        <v>6984</v>
      </c>
      <c r="FKH17" t="s">
        <v>6984</v>
      </c>
      <c r="FKI17" t="s">
        <v>6984</v>
      </c>
      <c r="FKJ17" t="s">
        <v>6984</v>
      </c>
      <c r="FKK17" t="s">
        <v>6984</v>
      </c>
      <c r="FKL17" t="s">
        <v>6984</v>
      </c>
      <c r="FKM17" t="s">
        <v>6984</v>
      </c>
      <c r="FKN17" t="s">
        <v>6984</v>
      </c>
      <c r="FKO17" t="s">
        <v>6984</v>
      </c>
      <c r="FKP17" t="s">
        <v>6984</v>
      </c>
      <c r="FKQ17" t="s">
        <v>6984</v>
      </c>
      <c r="FKR17" t="s">
        <v>6984</v>
      </c>
      <c r="FKS17" t="s">
        <v>6984</v>
      </c>
      <c r="FKT17" t="s">
        <v>6984</v>
      </c>
      <c r="FKU17" t="s">
        <v>6984</v>
      </c>
      <c r="FKV17" t="s">
        <v>6984</v>
      </c>
      <c r="FKW17" t="s">
        <v>6984</v>
      </c>
      <c r="FKX17" t="s">
        <v>6984</v>
      </c>
      <c r="FKY17" t="s">
        <v>6984</v>
      </c>
      <c r="FKZ17" t="s">
        <v>6984</v>
      </c>
      <c r="FLA17" t="s">
        <v>6984</v>
      </c>
      <c r="FLB17" t="s">
        <v>6984</v>
      </c>
      <c r="FLC17" t="s">
        <v>6984</v>
      </c>
      <c r="FLD17" t="s">
        <v>6984</v>
      </c>
      <c r="FLE17" t="s">
        <v>6984</v>
      </c>
      <c r="FLF17" t="s">
        <v>6984</v>
      </c>
      <c r="FLG17" t="s">
        <v>6984</v>
      </c>
      <c r="FLH17" t="s">
        <v>6984</v>
      </c>
      <c r="FLI17" t="s">
        <v>6984</v>
      </c>
      <c r="FLJ17" t="s">
        <v>6984</v>
      </c>
      <c r="FLK17" t="s">
        <v>6984</v>
      </c>
      <c r="FLL17" t="s">
        <v>6984</v>
      </c>
      <c r="FLM17" t="s">
        <v>6984</v>
      </c>
      <c r="FLN17" t="s">
        <v>6984</v>
      </c>
      <c r="FLO17" t="s">
        <v>6984</v>
      </c>
      <c r="FLP17" t="s">
        <v>6984</v>
      </c>
      <c r="FLQ17" t="s">
        <v>6984</v>
      </c>
      <c r="FLR17" t="s">
        <v>6984</v>
      </c>
      <c r="FLS17" t="s">
        <v>6984</v>
      </c>
      <c r="FLT17" t="s">
        <v>6984</v>
      </c>
      <c r="FLU17" t="s">
        <v>6984</v>
      </c>
      <c r="FLV17" t="s">
        <v>6984</v>
      </c>
      <c r="FLW17" t="s">
        <v>6984</v>
      </c>
      <c r="FLX17" t="s">
        <v>6984</v>
      </c>
      <c r="FLY17" t="s">
        <v>6984</v>
      </c>
      <c r="FLZ17" t="s">
        <v>6984</v>
      </c>
      <c r="FMA17" t="s">
        <v>6984</v>
      </c>
      <c r="FMB17" t="s">
        <v>6984</v>
      </c>
      <c r="FMC17" t="s">
        <v>6984</v>
      </c>
      <c r="FMD17" t="s">
        <v>6984</v>
      </c>
      <c r="FME17" t="s">
        <v>6984</v>
      </c>
      <c r="FMF17" t="s">
        <v>6984</v>
      </c>
      <c r="FMG17" t="s">
        <v>6984</v>
      </c>
      <c r="FMH17" t="s">
        <v>6984</v>
      </c>
      <c r="FMI17" t="s">
        <v>6984</v>
      </c>
      <c r="FMJ17" t="s">
        <v>6984</v>
      </c>
      <c r="FMK17" t="s">
        <v>6984</v>
      </c>
      <c r="FML17" t="s">
        <v>6984</v>
      </c>
      <c r="FMM17" t="s">
        <v>6984</v>
      </c>
      <c r="FMN17" t="s">
        <v>6984</v>
      </c>
      <c r="FMO17" t="s">
        <v>6984</v>
      </c>
      <c r="FMP17" t="s">
        <v>6984</v>
      </c>
      <c r="FMQ17" t="s">
        <v>6984</v>
      </c>
      <c r="FMR17" t="s">
        <v>6984</v>
      </c>
      <c r="FMS17" t="s">
        <v>6984</v>
      </c>
      <c r="FMT17" t="s">
        <v>6984</v>
      </c>
      <c r="FMU17" t="s">
        <v>6984</v>
      </c>
      <c r="FMV17" t="s">
        <v>6984</v>
      </c>
      <c r="FMW17" t="s">
        <v>6984</v>
      </c>
      <c r="FMX17" t="s">
        <v>6984</v>
      </c>
      <c r="FMY17" t="s">
        <v>6984</v>
      </c>
      <c r="FMZ17" t="s">
        <v>6984</v>
      </c>
      <c r="FNA17" t="s">
        <v>6984</v>
      </c>
      <c r="FNB17" t="s">
        <v>6984</v>
      </c>
      <c r="FNC17" t="s">
        <v>6984</v>
      </c>
      <c r="FND17" t="s">
        <v>6984</v>
      </c>
      <c r="FNE17" t="s">
        <v>6984</v>
      </c>
      <c r="FNF17" t="s">
        <v>6984</v>
      </c>
      <c r="FNG17" t="s">
        <v>6984</v>
      </c>
      <c r="FNH17" t="s">
        <v>6984</v>
      </c>
      <c r="FNI17" t="s">
        <v>6984</v>
      </c>
      <c r="FNJ17" t="s">
        <v>6984</v>
      </c>
      <c r="FNK17" t="s">
        <v>6984</v>
      </c>
      <c r="FNL17" t="s">
        <v>6984</v>
      </c>
      <c r="FNM17" t="s">
        <v>6984</v>
      </c>
      <c r="FNN17" t="s">
        <v>6984</v>
      </c>
      <c r="FNO17" t="s">
        <v>6984</v>
      </c>
      <c r="FNP17" t="s">
        <v>6984</v>
      </c>
      <c r="FNQ17" t="s">
        <v>6984</v>
      </c>
      <c r="FNR17" t="s">
        <v>6984</v>
      </c>
      <c r="FNS17" t="s">
        <v>6984</v>
      </c>
      <c r="FNT17" t="s">
        <v>6984</v>
      </c>
      <c r="FNU17" t="s">
        <v>6984</v>
      </c>
      <c r="FNV17" t="s">
        <v>6984</v>
      </c>
      <c r="FNW17" t="s">
        <v>6984</v>
      </c>
      <c r="FNX17" t="s">
        <v>6984</v>
      </c>
      <c r="FNY17" t="s">
        <v>6984</v>
      </c>
      <c r="FNZ17" t="s">
        <v>6984</v>
      </c>
      <c r="FOA17" t="s">
        <v>6984</v>
      </c>
      <c r="FOB17" t="s">
        <v>6984</v>
      </c>
      <c r="FOC17" t="s">
        <v>6984</v>
      </c>
      <c r="FOD17" t="s">
        <v>6984</v>
      </c>
      <c r="FOE17" t="s">
        <v>6984</v>
      </c>
      <c r="FOF17" t="s">
        <v>6984</v>
      </c>
      <c r="FOG17" t="s">
        <v>6984</v>
      </c>
      <c r="FOH17" t="s">
        <v>6984</v>
      </c>
      <c r="FOI17" t="s">
        <v>6984</v>
      </c>
      <c r="FOJ17" t="s">
        <v>6984</v>
      </c>
      <c r="FOK17" t="s">
        <v>6984</v>
      </c>
      <c r="FOL17" t="s">
        <v>6984</v>
      </c>
      <c r="FOM17" t="s">
        <v>6984</v>
      </c>
      <c r="FON17" t="s">
        <v>6984</v>
      </c>
      <c r="FOO17" t="s">
        <v>6984</v>
      </c>
      <c r="FOP17" t="s">
        <v>6984</v>
      </c>
      <c r="FOQ17" t="s">
        <v>6984</v>
      </c>
      <c r="FOR17" t="s">
        <v>6984</v>
      </c>
      <c r="FOS17" t="s">
        <v>6984</v>
      </c>
      <c r="FOT17" t="s">
        <v>6984</v>
      </c>
      <c r="FOU17" t="s">
        <v>6984</v>
      </c>
      <c r="FOV17" t="s">
        <v>6984</v>
      </c>
      <c r="FOW17" t="s">
        <v>6984</v>
      </c>
      <c r="FOX17" t="s">
        <v>6984</v>
      </c>
      <c r="FOY17" t="s">
        <v>6984</v>
      </c>
      <c r="FOZ17" t="s">
        <v>6984</v>
      </c>
      <c r="FPA17" t="s">
        <v>6984</v>
      </c>
      <c r="FPB17" t="s">
        <v>6984</v>
      </c>
      <c r="FPC17" t="s">
        <v>6984</v>
      </c>
      <c r="FPD17" t="s">
        <v>6984</v>
      </c>
      <c r="FPE17" t="s">
        <v>6984</v>
      </c>
      <c r="FPF17" t="s">
        <v>6984</v>
      </c>
      <c r="FPG17" t="s">
        <v>6984</v>
      </c>
      <c r="FPH17" t="s">
        <v>6984</v>
      </c>
      <c r="FPI17" t="s">
        <v>6984</v>
      </c>
      <c r="FPJ17" t="s">
        <v>6984</v>
      </c>
      <c r="FPK17" t="s">
        <v>6984</v>
      </c>
      <c r="FPL17" t="s">
        <v>6984</v>
      </c>
      <c r="FPM17" t="s">
        <v>6984</v>
      </c>
      <c r="FPN17" t="s">
        <v>6984</v>
      </c>
      <c r="FPO17" t="s">
        <v>6984</v>
      </c>
      <c r="FPP17" t="s">
        <v>6984</v>
      </c>
      <c r="FPQ17" t="s">
        <v>6984</v>
      </c>
      <c r="FPR17" t="s">
        <v>6984</v>
      </c>
      <c r="FPS17" t="s">
        <v>6984</v>
      </c>
      <c r="FPT17" t="s">
        <v>6984</v>
      </c>
      <c r="FPU17" t="s">
        <v>6984</v>
      </c>
      <c r="FPV17" t="s">
        <v>6984</v>
      </c>
      <c r="FPW17" t="s">
        <v>6984</v>
      </c>
      <c r="FPX17" t="s">
        <v>6984</v>
      </c>
      <c r="FPY17" t="s">
        <v>6984</v>
      </c>
      <c r="FPZ17" t="s">
        <v>6984</v>
      </c>
      <c r="FQA17" t="s">
        <v>6984</v>
      </c>
      <c r="FQB17" t="s">
        <v>6984</v>
      </c>
      <c r="FQC17" t="s">
        <v>6984</v>
      </c>
      <c r="FQD17" t="s">
        <v>6984</v>
      </c>
      <c r="FQE17" t="s">
        <v>6984</v>
      </c>
      <c r="FQF17" t="s">
        <v>6984</v>
      </c>
      <c r="FQG17" t="s">
        <v>6984</v>
      </c>
      <c r="FQH17" t="s">
        <v>6984</v>
      </c>
      <c r="FQI17" t="s">
        <v>6984</v>
      </c>
      <c r="FQJ17" t="s">
        <v>6984</v>
      </c>
      <c r="FQK17" t="s">
        <v>6984</v>
      </c>
      <c r="FQL17" t="s">
        <v>6984</v>
      </c>
      <c r="FQM17" t="s">
        <v>6984</v>
      </c>
      <c r="FQN17" t="s">
        <v>6984</v>
      </c>
      <c r="FQO17" t="s">
        <v>6984</v>
      </c>
      <c r="FQP17" t="s">
        <v>6984</v>
      </c>
      <c r="FQQ17" t="s">
        <v>6984</v>
      </c>
      <c r="FQR17" t="s">
        <v>6984</v>
      </c>
      <c r="FQS17" t="s">
        <v>6984</v>
      </c>
      <c r="FQT17" t="s">
        <v>6984</v>
      </c>
      <c r="FQU17" t="s">
        <v>6984</v>
      </c>
      <c r="FQV17" t="s">
        <v>6984</v>
      </c>
      <c r="FQW17" t="s">
        <v>6984</v>
      </c>
      <c r="FQX17" t="s">
        <v>6984</v>
      </c>
      <c r="FQY17" t="s">
        <v>6984</v>
      </c>
      <c r="FQZ17" t="s">
        <v>6984</v>
      </c>
      <c r="FRA17" t="s">
        <v>6984</v>
      </c>
      <c r="FRB17" t="s">
        <v>6984</v>
      </c>
      <c r="FRC17" t="s">
        <v>6984</v>
      </c>
      <c r="FRD17" t="s">
        <v>6984</v>
      </c>
      <c r="FRE17" t="s">
        <v>6984</v>
      </c>
      <c r="FRF17" t="s">
        <v>6984</v>
      </c>
      <c r="FRG17" t="s">
        <v>6984</v>
      </c>
      <c r="FRH17" t="s">
        <v>6984</v>
      </c>
      <c r="FRI17" t="s">
        <v>6984</v>
      </c>
      <c r="FRJ17" t="s">
        <v>6984</v>
      </c>
      <c r="FRK17" t="s">
        <v>6984</v>
      </c>
      <c r="FRL17" t="s">
        <v>6984</v>
      </c>
      <c r="FRM17" t="s">
        <v>6984</v>
      </c>
      <c r="FRN17" t="s">
        <v>6984</v>
      </c>
      <c r="FRO17" t="s">
        <v>6984</v>
      </c>
      <c r="FRP17" t="s">
        <v>6984</v>
      </c>
      <c r="FRQ17" t="s">
        <v>6984</v>
      </c>
      <c r="FRR17" t="s">
        <v>6984</v>
      </c>
      <c r="FRS17" t="s">
        <v>6984</v>
      </c>
      <c r="FRT17" t="s">
        <v>6984</v>
      </c>
      <c r="FRU17" t="s">
        <v>6984</v>
      </c>
      <c r="FRV17" t="s">
        <v>6984</v>
      </c>
      <c r="FRW17" t="s">
        <v>6984</v>
      </c>
      <c r="FRX17" t="s">
        <v>6984</v>
      </c>
      <c r="FRY17" t="s">
        <v>6984</v>
      </c>
      <c r="FRZ17" t="s">
        <v>6984</v>
      </c>
      <c r="FSA17" t="s">
        <v>6984</v>
      </c>
      <c r="FSB17" t="s">
        <v>6984</v>
      </c>
      <c r="FSC17" t="s">
        <v>6984</v>
      </c>
      <c r="FSD17" t="s">
        <v>6984</v>
      </c>
      <c r="FSE17" t="s">
        <v>6984</v>
      </c>
      <c r="FSF17" t="s">
        <v>6984</v>
      </c>
      <c r="FSG17" t="s">
        <v>6984</v>
      </c>
      <c r="FSH17" t="s">
        <v>6984</v>
      </c>
      <c r="FSI17" t="s">
        <v>6984</v>
      </c>
      <c r="FSJ17" t="s">
        <v>6984</v>
      </c>
      <c r="FSK17" t="s">
        <v>6984</v>
      </c>
      <c r="FSL17" t="s">
        <v>6984</v>
      </c>
      <c r="FSM17" t="s">
        <v>6984</v>
      </c>
      <c r="FSN17" t="s">
        <v>6984</v>
      </c>
      <c r="FSO17" t="s">
        <v>6984</v>
      </c>
      <c r="FSP17" t="s">
        <v>6984</v>
      </c>
      <c r="FSQ17" t="s">
        <v>6984</v>
      </c>
      <c r="FSR17" t="s">
        <v>6984</v>
      </c>
      <c r="FSS17" t="s">
        <v>6984</v>
      </c>
      <c r="FST17" t="s">
        <v>6984</v>
      </c>
      <c r="FSU17" t="s">
        <v>6984</v>
      </c>
      <c r="FSV17" t="s">
        <v>6984</v>
      </c>
      <c r="FSW17" t="s">
        <v>6984</v>
      </c>
      <c r="FSX17" t="s">
        <v>6984</v>
      </c>
      <c r="FSY17" t="s">
        <v>6984</v>
      </c>
      <c r="FSZ17" t="s">
        <v>6984</v>
      </c>
      <c r="FTA17" t="s">
        <v>6984</v>
      </c>
      <c r="FTB17" t="s">
        <v>6984</v>
      </c>
      <c r="FTC17" t="s">
        <v>6984</v>
      </c>
      <c r="FTD17" t="s">
        <v>6984</v>
      </c>
      <c r="FTE17" t="s">
        <v>6984</v>
      </c>
      <c r="FTF17" t="s">
        <v>6984</v>
      </c>
      <c r="FTG17" t="s">
        <v>6984</v>
      </c>
      <c r="FTH17" t="s">
        <v>6984</v>
      </c>
      <c r="FTI17" t="s">
        <v>6984</v>
      </c>
      <c r="FTJ17" t="s">
        <v>6984</v>
      </c>
      <c r="FTK17" t="s">
        <v>6984</v>
      </c>
      <c r="FTL17" t="s">
        <v>6984</v>
      </c>
      <c r="FTM17" t="s">
        <v>6984</v>
      </c>
      <c r="FTN17" t="s">
        <v>6984</v>
      </c>
      <c r="FTO17" t="s">
        <v>6984</v>
      </c>
      <c r="FTP17" t="s">
        <v>6984</v>
      </c>
      <c r="FTQ17" t="s">
        <v>6984</v>
      </c>
      <c r="FTR17" t="s">
        <v>6984</v>
      </c>
      <c r="FTS17" t="s">
        <v>6984</v>
      </c>
      <c r="FTT17" t="s">
        <v>6984</v>
      </c>
      <c r="FTU17" t="s">
        <v>6984</v>
      </c>
      <c r="FTV17" t="s">
        <v>6984</v>
      </c>
      <c r="FTW17" t="s">
        <v>6984</v>
      </c>
      <c r="FTX17" t="s">
        <v>6984</v>
      </c>
      <c r="FTY17" t="s">
        <v>6984</v>
      </c>
      <c r="FTZ17" t="s">
        <v>6984</v>
      </c>
      <c r="FUA17" t="s">
        <v>6984</v>
      </c>
      <c r="FUB17" t="s">
        <v>6984</v>
      </c>
      <c r="FUC17" t="s">
        <v>6984</v>
      </c>
      <c r="FUD17" t="s">
        <v>6984</v>
      </c>
      <c r="FUE17" t="s">
        <v>6984</v>
      </c>
      <c r="FUF17" t="s">
        <v>6984</v>
      </c>
      <c r="FUG17" t="s">
        <v>6984</v>
      </c>
      <c r="FUH17" t="s">
        <v>6984</v>
      </c>
      <c r="FUI17" t="s">
        <v>6984</v>
      </c>
      <c r="FUJ17" t="s">
        <v>6984</v>
      </c>
      <c r="FUK17" t="s">
        <v>6984</v>
      </c>
      <c r="FUL17" t="s">
        <v>6984</v>
      </c>
      <c r="FUM17" t="s">
        <v>6984</v>
      </c>
      <c r="FUN17" t="s">
        <v>6984</v>
      </c>
      <c r="FUO17" t="s">
        <v>6984</v>
      </c>
      <c r="FUP17" t="s">
        <v>6984</v>
      </c>
      <c r="FUQ17" t="s">
        <v>6984</v>
      </c>
      <c r="FUR17" t="s">
        <v>6984</v>
      </c>
      <c r="FUS17" t="s">
        <v>6984</v>
      </c>
      <c r="FUT17" t="s">
        <v>6984</v>
      </c>
      <c r="FUU17" t="s">
        <v>6984</v>
      </c>
      <c r="FUV17" t="s">
        <v>6984</v>
      </c>
      <c r="FUW17" t="s">
        <v>6984</v>
      </c>
      <c r="FUX17" t="s">
        <v>6984</v>
      </c>
      <c r="FUY17" t="s">
        <v>6984</v>
      </c>
      <c r="FUZ17" t="s">
        <v>6984</v>
      </c>
      <c r="FVA17" t="s">
        <v>6984</v>
      </c>
      <c r="FVB17" t="s">
        <v>6984</v>
      </c>
      <c r="FVC17" t="s">
        <v>6984</v>
      </c>
      <c r="FVD17" t="s">
        <v>6984</v>
      </c>
      <c r="FVE17" t="s">
        <v>6984</v>
      </c>
      <c r="FVF17" t="s">
        <v>6984</v>
      </c>
      <c r="FVG17" t="s">
        <v>6984</v>
      </c>
      <c r="FVH17" t="s">
        <v>6984</v>
      </c>
      <c r="FVI17" t="s">
        <v>6984</v>
      </c>
      <c r="FVJ17" t="s">
        <v>6984</v>
      </c>
      <c r="FVK17" t="s">
        <v>6984</v>
      </c>
      <c r="FVL17" t="s">
        <v>6984</v>
      </c>
      <c r="FVM17" t="s">
        <v>6984</v>
      </c>
      <c r="FVN17" t="s">
        <v>6984</v>
      </c>
      <c r="FVO17" t="s">
        <v>6984</v>
      </c>
      <c r="FVP17" t="s">
        <v>6984</v>
      </c>
      <c r="FVQ17" t="s">
        <v>6984</v>
      </c>
      <c r="FVR17" t="s">
        <v>6984</v>
      </c>
      <c r="FVS17" t="s">
        <v>6984</v>
      </c>
      <c r="FVT17" t="s">
        <v>6984</v>
      </c>
      <c r="FVU17" t="s">
        <v>6984</v>
      </c>
      <c r="FVV17" t="s">
        <v>6984</v>
      </c>
      <c r="FVW17" t="s">
        <v>6984</v>
      </c>
      <c r="FVX17" t="s">
        <v>6984</v>
      </c>
      <c r="FVY17" t="s">
        <v>6984</v>
      </c>
      <c r="FVZ17" t="s">
        <v>6984</v>
      </c>
      <c r="FWA17" t="s">
        <v>6984</v>
      </c>
      <c r="FWB17" t="s">
        <v>6984</v>
      </c>
      <c r="FWC17" t="s">
        <v>6984</v>
      </c>
      <c r="FWD17" t="s">
        <v>6984</v>
      </c>
      <c r="FWE17" t="s">
        <v>6984</v>
      </c>
      <c r="FWF17" t="s">
        <v>6984</v>
      </c>
      <c r="FWG17" t="s">
        <v>6984</v>
      </c>
      <c r="FWH17" t="s">
        <v>6984</v>
      </c>
      <c r="FWI17" t="s">
        <v>6984</v>
      </c>
      <c r="FWJ17" t="s">
        <v>6984</v>
      </c>
      <c r="FWK17" t="s">
        <v>6984</v>
      </c>
      <c r="FWL17" t="s">
        <v>6984</v>
      </c>
      <c r="FWM17" t="s">
        <v>6984</v>
      </c>
      <c r="FWN17" t="s">
        <v>6984</v>
      </c>
      <c r="FWO17" t="s">
        <v>6984</v>
      </c>
      <c r="FWP17" t="s">
        <v>6984</v>
      </c>
      <c r="FWQ17" t="s">
        <v>6984</v>
      </c>
      <c r="FWR17" t="s">
        <v>6984</v>
      </c>
      <c r="FWS17" t="s">
        <v>6984</v>
      </c>
      <c r="FWT17" t="s">
        <v>6984</v>
      </c>
      <c r="FWU17" t="s">
        <v>6984</v>
      </c>
      <c r="FWV17" t="s">
        <v>6984</v>
      </c>
      <c r="FWW17" t="s">
        <v>6984</v>
      </c>
      <c r="FWX17" t="s">
        <v>6984</v>
      </c>
      <c r="FWY17" t="s">
        <v>6984</v>
      </c>
      <c r="FWZ17" t="s">
        <v>6984</v>
      </c>
      <c r="FXA17" t="s">
        <v>6984</v>
      </c>
      <c r="FXB17" t="s">
        <v>6984</v>
      </c>
      <c r="FXC17" t="s">
        <v>6984</v>
      </c>
      <c r="FXD17" t="s">
        <v>6984</v>
      </c>
      <c r="FXE17" t="s">
        <v>6984</v>
      </c>
      <c r="FXF17" t="s">
        <v>6984</v>
      </c>
      <c r="FXG17" t="s">
        <v>6984</v>
      </c>
      <c r="FXH17" t="s">
        <v>6984</v>
      </c>
      <c r="FXI17" t="s">
        <v>6984</v>
      </c>
      <c r="FXJ17" t="s">
        <v>6984</v>
      </c>
      <c r="FXK17" t="s">
        <v>6984</v>
      </c>
      <c r="FXL17" t="s">
        <v>6984</v>
      </c>
      <c r="FXM17" t="s">
        <v>6984</v>
      </c>
      <c r="FXN17" t="s">
        <v>6984</v>
      </c>
      <c r="FXO17" t="s">
        <v>6984</v>
      </c>
      <c r="FXP17" t="s">
        <v>6984</v>
      </c>
      <c r="FXQ17" t="s">
        <v>6984</v>
      </c>
      <c r="FXR17" t="s">
        <v>6984</v>
      </c>
      <c r="FXS17" t="s">
        <v>6984</v>
      </c>
      <c r="FXT17" t="s">
        <v>6984</v>
      </c>
      <c r="FXU17" t="s">
        <v>6984</v>
      </c>
      <c r="FXV17" t="s">
        <v>6984</v>
      </c>
      <c r="FXW17" t="s">
        <v>6984</v>
      </c>
      <c r="FXX17" t="s">
        <v>6984</v>
      </c>
      <c r="FXY17" t="s">
        <v>6984</v>
      </c>
      <c r="FXZ17" t="s">
        <v>6984</v>
      </c>
      <c r="FYA17" t="s">
        <v>6984</v>
      </c>
      <c r="FYB17" t="s">
        <v>6984</v>
      </c>
      <c r="FYC17" t="s">
        <v>6984</v>
      </c>
      <c r="FYD17" t="s">
        <v>6984</v>
      </c>
      <c r="FYE17" t="s">
        <v>6984</v>
      </c>
      <c r="FYF17" t="s">
        <v>6984</v>
      </c>
      <c r="FYG17" t="s">
        <v>6984</v>
      </c>
      <c r="FYH17" t="s">
        <v>6984</v>
      </c>
      <c r="FYI17" t="s">
        <v>6984</v>
      </c>
      <c r="FYJ17" t="s">
        <v>6984</v>
      </c>
      <c r="FYK17" t="s">
        <v>6984</v>
      </c>
      <c r="FYL17" t="s">
        <v>6984</v>
      </c>
      <c r="FYM17" t="s">
        <v>6984</v>
      </c>
      <c r="FYN17" t="s">
        <v>6984</v>
      </c>
      <c r="FYO17" t="s">
        <v>6984</v>
      </c>
      <c r="FYP17" t="s">
        <v>6984</v>
      </c>
      <c r="FYQ17" t="s">
        <v>6984</v>
      </c>
      <c r="FYR17" t="s">
        <v>6984</v>
      </c>
      <c r="FYS17" t="s">
        <v>6984</v>
      </c>
      <c r="FYT17" t="s">
        <v>6984</v>
      </c>
      <c r="FYU17" t="s">
        <v>6984</v>
      </c>
      <c r="FYV17" t="s">
        <v>6984</v>
      </c>
      <c r="FYW17" t="s">
        <v>6984</v>
      </c>
      <c r="FYX17" t="s">
        <v>6984</v>
      </c>
      <c r="FYY17" t="s">
        <v>6984</v>
      </c>
      <c r="FYZ17" t="s">
        <v>6984</v>
      </c>
      <c r="FZA17" t="s">
        <v>6984</v>
      </c>
      <c r="FZB17" t="s">
        <v>6984</v>
      </c>
      <c r="FZC17" t="s">
        <v>6984</v>
      </c>
      <c r="FZD17" t="s">
        <v>6984</v>
      </c>
      <c r="FZE17" t="s">
        <v>6984</v>
      </c>
      <c r="FZF17" t="s">
        <v>6984</v>
      </c>
      <c r="FZG17" t="s">
        <v>6984</v>
      </c>
      <c r="FZH17" t="s">
        <v>6984</v>
      </c>
      <c r="FZI17" t="s">
        <v>6984</v>
      </c>
      <c r="FZJ17" t="s">
        <v>6984</v>
      </c>
      <c r="FZK17" t="s">
        <v>6984</v>
      </c>
      <c r="FZL17" t="s">
        <v>6984</v>
      </c>
      <c r="FZM17" t="s">
        <v>6984</v>
      </c>
      <c r="FZN17" t="s">
        <v>6984</v>
      </c>
      <c r="FZO17" t="s">
        <v>6984</v>
      </c>
      <c r="FZP17" t="s">
        <v>6984</v>
      </c>
      <c r="FZQ17" t="s">
        <v>6984</v>
      </c>
      <c r="FZR17" t="s">
        <v>6984</v>
      </c>
      <c r="FZS17" t="s">
        <v>6984</v>
      </c>
      <c r="FZT17" t="s">
        <v>6984</v>
      </c>
      <c r="FZU17" t="s">
        <v>6984</v>
      </c>
      <c r="FZV17" t="s">
        <v>6984</v>
      </c>
      <c r="FZW17" t="s">
        <v>6984</v>
      </c>
      <c r="FZX17" t="s">
        <v>6984</v>
      </c>
      <c r="FZY17" t="s">
        <v>6984</v>
      </c>
      <c r="FZZ17" t="s">
        <v>6984</v>
      </c>
      <c r="GAA17" t="s">
        <v>6984</v>
      </c>
      <c r="GAB17" t="s">
        <v>6984</v>
      </c>
      <c r="GAC17" t="s">
        <v>6984</v>
      </c>
      <c r="GAD17" t="s">
        <v>6984</v>
      </c>
      <c r="GAE17" t="s">
        <v>6984</v>
      </c>
      <c r="GAF17" t="s">
        <v>6984</v>
      </c>
      <c r="GAG17" t="s">
        <v>6984</v>
      </c>
      <c r="GAH17" t="s">
        <v>6984</v>
      </c>
      <c r="GAI17" t="s">
        <v>6984</v>
      </c>
      <c r="GAJ17" t="s">
        <v>6984</v>
      </c>
      <c r="GAK17" t="s">
        <v>6984</v>
      </c>
      <c r="GAL17" t="s">
        <v>6984</v>
      </c>
      <c r="GAM17" t="s">
        <v>6984</v>
      </c>
      <c r="GAN17" t="s">
        <v>6984</v>
      </c>
      <c r="GAO17" t="s">
        <v>6984</v>
      </c>
      <c r="GAP17" t="s">
        <v>6984</v>
      </c>
      <c r="GAQ17" t="s">
        <v>6984</v>
      </c>
      <c r="GAR17" t="s">
        <v>6984</v>
      </c>
      <c r="GAS17" t="s">
        <v>6984</v>
      </c>
      <c r="GAT17" t="s">
        <v>6984</v>
      </c>
      <c r="GAU17" t="s">
        <v>6984</v>
      </c>
      <c r="GAV17" t="s">
        <v>6984</v>
      </c>
      <c r="GAW17" t="s">
        <v>6984</v>
      </c>
      <c r="GAX17" t="s">
        <v>6984</v>
      </c>
      <c r="GAY17" t="s">
        <v>6984</v>
      </c>
      <c r="GAZ17" t="s">
        <v>6984</v>
      </c>
      <c r="GBA17" t="s">
        <v>6984</v>
      </c>
      <c r="GBB17" t="s">
        <v>6984</v>
      </c>
      <c r="GBC17" t="s">
        <v>6984</v>
      </c>
      <c r="GBD17" t="s">
        <v>6984</v>
      </c>
      <c r="GBE17" t="s">
        <v>6984</v>
      </c>
      <c r="GBF17" t="s">
        <v>6984</v>
      </c>
      <c r="GBG17" t="s">
        <v>6984</v>
      </c>
      <c r="GBH17" t="s">
        <v>6984</v>
      </c>
      <c r="GBI17" t="s">
        <v>6984</v>
      </c>
      <c r="GBJ17" t="s">
        <v>6984</v>
      </c>
      <c r="GBK17" t="s">
        <v>6984</v>
      </c>
      <c r="GBL17" t="s">
        <v>6984</v>
      </c>
      <c r="GBM17" t="s">
        <v>6984</v>
      </c>
      <c r="GBN17" t="s">
        <v>6984</v>
      </c>
      <c r="GBO17" t="s">
        <v>6984</v>
      </c>
      <c r="GBP17" t="s">
        <v>6984</v>
      </c>
      <c r="GBQ17" t="s">
        <v>6984</v>
      </c>
      <c r="GBR17" t="s">
        <v>6984</v>
      </c>
      <c r="GBS17" t="s">
        <v>6984</v>
      </c>
      <c r="GBT17" t="s">
        <v>6984</v>
      </c>
      <c r="GBU17" t="s">
        <v>6984</v>
      </c>
      <c r="GBV17" t="s">
        <v>6984</v>
      </c>
      <c r="GBW17" t="s">
        <v>6984</v>
      </c>
      <c r="GBX17" t="s">
        <v>6984</v>
      </c>
      <c r="GBY17" t="s">
        <v>6984</v>
      </c>
      <c r="GBZ17" t="s">
        <v>6984</v>
      </c>
      <c r="GCA17" t="s">
        <v>6984</v>
      </c>
      <c r="GCB17" t="s">
        <v>6984</v>
      </c>
      <c r="GCC17" t="s">
        <v>6984</v>
      </c>
      <c r="GCD17" t="s">
        <v>6984</v>
      </c>
      <c r="GCE17" t="s">
        <v>6984</v>
      </c>
      <c r="GCF17" t="s">
        <v>6984</v>
      </c>
      <c r="GCG17" t="s">
        <v>6984</v>
      </c>
      <c r="GCH17" t="s">
        <v>6984</v>
      </c>
      <c r="GCI17" t="s">
        <v>6984</v>
      </c>
      <c r="GCJ17" t="s">
        <v>6984</v>
      </c>
      <c r="GCK17" t="s">
        <v>6984</v>
      </c>
      <c r="GCL17" t="s">
        <v>6984</v>
      </c>
      <c r="GCM17" t="s">
        <v>6984</v>
      </c>
      <c r="GCN17" t="s">
        <v>6984</v>
      </c>
      <c r="GCO17" t="s">
        <v>6984</v>
      </c>
      <c r="GCP17" t="s">
        <v>6984</v>
      </c>
      <c r="GCQ17" t="s">
        <v>6984</v>
      </c>
      <c r="GCR17" t="s">
        <v>6984</v>
      </c>
      <c r="GCS17" t="s">
        <v>6984</v>
      </c>
      <c r="GCT17" t="s">
        <v>6984</v>
      </c>
      <c r="GCU17" t="s">
        <v>6984</v>
      </c>
      <c r="GCV17" t="s">
        <v>6984</v>
      </c>
      <c r="GCW17" t="s">
        <v>6984</v>
      </c>
      <c r="GCX17" t="s">
        <v>6984</v>
      </c>
      <c r="GCY17" t="s">
        <v>6984</v>
      </c>
      <c r="GCZ17" t="s">
        <v>6984</v>
      </c>
      <c r="GDA17" t="s">
        <v>6984</v>
      </c>
      <c r="GDB17" t="s">
        <v>6984</v>
      </c>
      <c r="GDC17" t="s">
        <v>6984</v>
      </c>
      <c r="GDD17" t="s">
        <v>6984</v>
      </c>
      <c r="GDE17" t="s">
        <v>6984</v>
      </c>
      <c r="GDF17" t="s">
        <v>6984</v>
      </c>
      <c r="GDG17" t="s">
        <v>6984</v>
      </c>
      <c r="GDH17" t="s">
        <v>6984</v>
      </c>
      <c r="GDI17" t="s">
        <v>6984</v>
      </c>
      <c r="GDJ17" t="s">
        <v>6984</v>
      </c>
      <c r="GDK17" t="s">
        <v>6984</v>
      </c>
      <c r="GDL17" t="s">
        <v>6984</v>
      </c>
      <c r="GDM17" t="s">
        <v>6984</v>
      </c>
      <c r="GDN17" t="s">
        <v>6984</v>
      </c>
      <c r="GDO17" t="s">
        <v>6984</v>
      </c>
      <c r="GDP17" t="s">
        <v>6984</v>
      </c>
      <c r="GDQ17" t="s">
        <v>6984</v>
      </c>
      <c r="GDR17" t="s">
        <v>6984</v>
      </c>
      <c r="GDS17" t="s">
        <v>6984</v>
      </c>
      <c r="GDT17" t="s">
        <v>6984</v>
      </c>
      <c r="GDU17" t="s">
        <v>6984</v>
      </c>
      <c r="GDV17" t="s">
        <v>6984</v>
      </c>
      <c r="GDW17" t="s">
        <v>6984</v>
      </c>
      <c r="GDX17" t="s">
        <v>6984</v>
      </c>
      <c r="GDY17" t="s">
        <v>6984</v>
      </c>
      <c r="GDZ17" t="s">
        <v>6984</v>
      </c>
      <c r="GEA17" t="s">
        <v>6984</v>
      </c>
      <c r="GEB17" t="s">
        <v>6984</v>
      </c>
      <c r="GEC17" t="s">
        <v>6984</v>
      </c>
      <c r="GED17" t="s">
        <v>6984</v>
      </c>
      <c r="GEE17" t="s">
        <v>6984</v>
      </c>
      <c r="GEF17" t="s">
        <v>6984</v>
      </c>
      <c r="GEG17" t="s">
        <v>6984</v>
      </c>
      <c r="GEH17" t="s">
        <v>6984</v>
      </c>
      <c r="GEI17" t="s">
        <v>6984</v>
      </c>
      <c r="GEJ17" t="s">
        <v>6984</v>
      </c>
      <c r="GEK17" t="s">
        <v>6984</v>
      </c>
      <c r="GEL17" t="s">
        <v>6984</v>
      </c>
      <c r="GEM17" t="s">
        <v>6984</v>
      </c>
      <c r="GEN17" t="s">
        <v>6984</v>
      </c>
      <c r="GEO17" t="s">
        <v>6984</v>
      </c>
      <c r="GEP17" t="s">
        <v>6984</v>
      </c>
      <c r="GEQ17" t="s">
        <v>6984</v>
      </c>
      <c r="GER17" t="s">
        <v>6984</v>
      </c>
      <c r="GES17" t="s">
        <v>6984</v>
      </c>
      <c r="GET17" t="s">
        <v>6984</v>
      </c>
      <c r="GEU17" t="s">
        <v>6984</v>
      </c>
      <c r="GEV17" t="s">
        <v>6984</v>
      </c>
      <c r="GEW17" t="s">
        <v>6984</v>
      </c>
      <c r="GEX17" t="s">
        <v>6984</v>
      </c>
      <c r="GEY17" t="s">
        <v>6984</v>
      </c>
      <c r="GEZ17" t="s">
        <v>6984</v>
      </c>
      <c r="GFA17" t="s">
        <v>6984</v>
      </c>
      <c r="GFB17" t="s">
        <v>6984</v>
      </c>
      <c r="GFC17" t="s">
        <v>6984</v>
      </c>
      <c r="GFD17" t="s">
        <v>6984</v>
      </c>
      <c r="GFE17" t="s">
        <v>6984</v>
      </c>
      <c r="GFF17" t="s">
        <v>6984</v>
      </c>
      <c r="GFG17" t="s">
        <v>6984</v>
      </c>
      <c r="GFH17" t="s">
        <v>6984</v>
      </c>
      <c r="GFI17" t="s">
        <v>6984</v>
      </c>
      <c r="GFJ17" t="s">
        <v>6984</v>
      </c>
      <c r="GFK17" t="s">
        <v>6984</v>
      </c>
      <c r="GFL17" t="s">
        <v>6984</v>
      </c>
      <c r="GFM17" t="s">
        <v>6984</v>
      </c>
      <c r="GFN17" t="s">
        <v>6984</v>
      </c>
      <c r="GFO17" t="s">
        <v>6984</v>
      </c>
      <c r="GFP17" t="s">
        <v>6984</v>
      </c>
      <c r="GFQ17" t="s">
        <v>6984</v>
      </c>
      <c r="GFR17" t="s">
        <v>6984</v>
      </c>
      <c r="GFS17" t="s">
        <v>6984</v>
      </c>
      <c r="GFT17" t="s">
        <v>6984</v>
      </c>
      <c r="GFU17" t="s">
        <v>6984</v>
      </c>
      <c r="GFV17" t="s">
        <v>6984</v>
      </c>
      <c r="GFW17" t="s">
        <v>6984</v>
      </c>
      <c r="GFX17" t="s">
        <v>6984</v>
      </c>
      <c r="GFY17" t="s">
        <v>6984</v>
      </c>
      <c r="GFZ17" t="s">
        <v>6984</v>
      </c>
      <c r="GGA17" t="s">
        <v>6984</v>
      </c>
      <c r="GGB17" t="s">
        <v>6984</v>
      </c>
      <c r="GGC17" t="s">
        <v>6984</v>
      </c>
      <c r="GGD17" t="s">
        <v>6984</v>
      </c>
      <c r="GGE17" t="s">
        <v>6984</v>
      </c>
      <c r="GGF17" t="s">
        <v>6984</v>
      </c>
      <c r="GGG17" t="s">
        <v>6984</v>
      </c>
      <c r="GGH17" t="s">
        <v>6984</v>
      </c>
      <c r="GGI17" t="s">
        <v>6984</v>
      </c>
      <c r="GGJ17" t="s">
        <v>6984</v>
      </c>
      <c r="GGK17" t="s">
        <v>6984</v>
      </c>
      <c r="GGL17" t="s">
        <v>6984</v>
      </c>
      <c r="GGM17" t="s">
        <v>6984</v>
      </c>
      <c r="GGN17" t="s">
        <v>6984</v>
      </c>
      <c r="GGO17" t="s">
        <v>6984</v>
      </c>
      <c r="GGP17" t="s">
        <v>6984</v>
      </c>
      <c r="GGQ17" t="s">
        <v>6984</v>
      </c>
      <c r="GGR17" t="s">
        <v>6984</v>
      </c>
      <c r="GGS17" t="s">
        <v>6984</v>
      </c>
      <c r="GGT17" t="s">
        <v>6984</v>
      </c>
      <c r="GGU17" t="s">
        <v>6984</v>
      </c>
      <c r="GGV17" t="s">
        <v>6984</v>
      </c>
      <c r="GGW17" t="s">
        <v>6984</v>
      </c>
      <c r="GGX17" t="s">
        <v>6984</v>
      </c>
      <c r="GGY17" t="s">
        <v>6984</v>
      </c>
      <c r="GGZ17" t="s">
        <v>6984</v>
      </c>
      <c r="GHA17" t="s">
        <v>6984</v>
      </c>
      <c r="GHB17" t="s">
        <v>6984</v>
      </c>
      <c r="GHC17" t="s">
        <v>6984</v>
      </c>
      <c r="GHD17" t="s">
        <v>6984</v>
      </c>
      <c r="GHE17" t="s">
        <v>6984</v>
      </c>
      <c r="GHF17" t="s">
        <v>6984</v>
      </c>
      <c r="GHG17" t="s">
        <v>6984</v>
      </c>
      <c r="GHH17" t="s">
        <v>6984</v>
      </c>
      <c r="GHI17" t="s">
        <v>6984</v>
      </c>
      <c r="GHJ17" t="s">
        <v>6984</v>
      </c>
      <c r="GHK17" t="s">
        <v>6984</v>
      </c>
      <c r="GHL17" t="s">
        <v>6984</v>
      </c>
      <c r="GHM17" t="s">
        <v>6984</v>
      </c>
      <c r="GHN17" t="s">
        <v>6984</v>
      </c>
      <c r="GHO17" t="s">
        <v>6984</v>
      </c>
      <c r="GHP17" t="s">
        <v>6984</v>
      </c>
      <c r="GHQ17" t="s">
        <v>6984</v>
      </c>
      <c r="GHR17" t="s">
        <v>6984</v>
      </c>
      <c r="GHS17" t="s">
        <v>6984</v>
      </c>
      <c r="GHT17" t="s">
        <v>6984</v>
      </c>
      <c r="GHU17" t="s">
        <v>6984</v>
      </c>
      <c r="GHV17" t="s">
        <v>6984</v>
      </c>
      <c r="GHW17" t="s">
        <v>6984</v>
      </c>
      <c r="GHX17" t="s">
        <v>6984</v>
      </c>
      <c r="GHY17" t="s">
        <v>6984</v>
      </c>
      <c r="GHZ17" t="s">
        <v>6984</v>
      </c>
      <c r="GIA17" t="s">
        <v>6984</v>
      </c>
      <c r="GIB17" t="s">
        <v>6984</v>
      </c>
      <c r="GIC17" t="s">
        <v>6984</v>
      </c>
      <c r="GID17" t="s">
        <v>6984</v>
      </c>
      <c r="GIE17" t="s">
        <v>6984</v>
      </c>
      <c r="GIF17" t="s">
        <v>6984</v>
      </c>
      <c r="GIG17" t="s">
        <v>6984</v>
      </c>
      <c r="GIH17" t="s">
        <v>6984</v>
      </c>
      <c r="GII17" t="s">
        <v>6984</v>
      </c>
      <c r="GIJ17" t="s">
        <v>6984</v>
      </c>
      <c r="GIK17" t="s">
        <v>6984</v>
      </c>
      <c r="GIL17" t="s">
        <v>6984</v>
      </c>
      <c r="GIM17" t="s">
        <v>6984</v>
      </c>
      <c r="GIN17" t="s">
        <v>6984</v>
      </c>
      <c r="GIO17" t="s">
        <v>6984</v>
      </c>
      <c r="GIP17" t="s">
        <v>6984</v>
      </c>
      <c r="GIQ17" t="s">
        <v>6984</v>
      </c>
      <c r="GIR17" t="s">
        <v>6984</v>
      </c>
      <c r="GIS17" t="s">
        <v>6984</v>
      </c>
      <c r="GIT17" t="s">
        <v>6984</v>
      </c>
      <c r="GIU17" t="s">
        <v>6984</v>
      </c>
      <c r="GIV17" t="s">
        <v>6984</v>
      </c>
      <c r="GIW17" t="s">
        <v>6984</v>
      </c>
      <c r="GIX17" t="s">
        <v>6984</v>
      </c>
      <c r="GIY17" t="s">
        <v>6984</v>
      </c>
      <c r="GIZ17" t="s">
        <v>6984</v>
      </c>
      <c r="GJA17" t="s">
        <v>6984</v>
      </c>
      <c r="GJB17" t="s">
        <v>6984</v>
      </c>
      <c r="GJC17" t="s">
        <v>6984</v>
      </c>
      <c r="GJD17" t="s">
        <v>6984</v>
      </c>
      <c r="GJE17" t="s">
        <v>6984</v>
      </c>
      <c r="GJF17" t="s">
        <v>6984</v>
      </c>
      <c r="GJG17" t="s">
        <v>6984</v>
      </c>
      <c r="GJH17" t="s">
        <v>6984</v>
      </c>
      <c r="GJI17" t="s">
        <v>6984</v>
      </c>
      <c r="GJJ17" t="s">
        <v>6984</v>
      </c>
      <c r="GJK17" t="s">
        <v>6984</v>
      </c>
      <c r="GJL17" t="s">
        <v>6984</v>
      </c>
      <c r="GJM17" t="s">
        <v>6984</v>
      </c>
      <c r="GJN17" t="s">
        <v>6984</v>
      </c>
      <c r="GJO17" t="s">
        <v>6984</v>
      </c>
      <c r="GJP17" t="s">
        <v>6984</v>
      </c>
      <c r="GJQ17" t="s">
        <v>6984</v>
      </c>
      <c r="GJR17" t="s">
        <v>6984</v>
      </c>
      <c r="GJS17" t="s">
        <v>6984</v>
      </c>
      <c r="GJT17" t="s">
        <v>6984</v>
      </c>
      <c r="GJU17" t="s">
        <v>6984</v>
      </c>
      <c r="GJV17" t="s">
        <v>6984</v>
      </c>
      <c r="GJW17" t="s">
        <v>6984</v>
      </c>
      <c r="GJX17" t="s">
        <v>6984</v>
      </c>
      <c r="GJY17" t="s">
        <v>6984</v>
      </c>
      <c r="GJZ17" t="s">
        <v>6984</v>
      </c>
      <c r="GKA17" t="s">
        <v>6984</v>
      </c>
      <c r="GKB17" t="s">
        <v>6984</v>
      </c>
      <c r="GKC17" t="s">
        <v>6984</v>
      </c>
      <c r="GKD17" t="s">
        <v>6984</v>
      </c>
      <c r="GKE17" t="s">
        <v>6984</v>
      </c>
      <c r="GKF17" t="s">
        <v>6984</v>
      </c>
      <c r="GKG17" t="s">
        <v>6984</v>
      </c>
      <c r="GKH17" t="s">
        <v>6984</v>
      </c>
      <c r="GKI17" t="s">
        <v>6984</v>
      </c>
      <c r="GKJ17" t="s">
        <v>6984</v>
      </c>
      <c r="GKK17" t="s">
        <v>6984</v>
      </c>
      <c r="GKL17" t="s">
        <v>6984</v>
      </c>
      <c r="GKM17" t="s">
        <v>6984</v>
      </c>
      <c r="GKN17" t="s">
        <v>6984</v>
      </c>
      <c r="GKO17" t="s">
        <v>6984</v>
      </c>
      <c r="GKP17" t="s">
        <v>6984</v>
      </c>
      <c r="GKQ17" t="s">
        <v>6984</v>
      </c>
      <c r="GKR17" t="s">
        <v>6984</v>
      </c>
      <c r="GKS17" t="s">
        <v>6984</v>
      </c>
      <c r="GKT17" t="s">
        <v>6984</v>
      </c>
      <c r="GKU17" t="s">
        <v>6984</v>
      </c>
      <c r="GKV17" t="s">
        <v>6984</v>
      </c>
      <c r="GKW17" t="s">
        <v>6984</v>
      </c>
      <c r="GKX17" t="s">
        <v>6984</v>
      </c>
      <c r="GKY17" t="s">
        <v>6984</v>
      </c>
      <c r="GKZ17" t="s">
        <v>6984</v>
      </c>
      <c r="GLA17" t="s">
        <v>6984</v>
      </c>
      <c r="GLB17" t="s">
        <v>6984</v>
      </c>
      <c r="GLC17" t="s">
        <v>6984</v>
      </c>
      <c r="GLD17" t="s">
        <v>6984</v>
      </c>
      <c r="GLE17" t="s">
        <v>6984</v>
      </c>
      <c r="GLF17" t="s">
        <v>6984</v>
      </c>
      <c r="GLG17" t="s">
        <v>6984</v>
      </c>
      <c r="GLH17" t="s">
        <v>6984</v>
      </c>
      <c r="GLI17" t="s">
        <v>6984</v>
      </c>
      <c r="GLJ17" t="s">
        <v>6984</v>
      </c>
      <c r="GLK17" t="s">
        <v>6984</v>
      </c>
      <c r="GLL17" t="s">
        <v>6984</v>
      </c>
      <c r="GLM17" t="s">
        <v>6984</v>
      </c>
      <c r="GLN17" t="s">
        <v>6984</v>
      </c>
      <c r="GLO17" t="s">
        <v>6984</v>
      </c>
      <c r="GLP17" t="s">
        <v>6984</v>
      </c>
      <c r="GLQ17" t="s">
        <v>6984</v>
      </c>
      <c r="GLR17" t="s">
        <v>6984</v>
      </c>
      <c r="GLS17" t="s">
        <v>6984</v>
      </c>
      <c r="GLT17" t="s">
        <v>6984</v>
      </c>
      <c r="GLU17" t="s">
        <v>6984</v>
      </c>
      <c r="GLV17" t="s">
        <v>6984</v>
      </c>
      <c r="GLW17" t="s">
        <v>6984</v>
      </c>
      <c r="GLX17" t="s">
        <v>6984</v>
      </c>
      <c r="GLY17" t="s">
        <v>6984</v>
      </c>
      <c r="GLZ17" t="s">
        <v>6984</v>
      </c>
      <c r="GMA17" t="s">
        <v>6984</v>
      </c>
      <c r="GMB17" t="s">
        <v>6984</v>
      </c>
      <c r="GMC17" t="s">
        <v>6984</v>
      </c>
      <c r="GMD17" t="s">
        <v>6984</v>
      </c>
      <c r="GME17" t="s">
        <v>6984</v>
      </c>
      <c r="GMF17" t="s">
        <v>6984</v>
      </c>
      <c r="GMG17" t="s">
        <v>6984</v>
      </c>
      <c r="GMH17" t="s">
        <v>6984</v>
      </c>
      <c r="GMI17" t="s">
        <v>6984</v>
      </c>
      <c r="GMJ17" t="s">
        <v>6984</v>
      </c>
      <c r="GMK17" t="s">
        <v>6984</v>
      </c>
      <c r="GML17" t="s">
        <v>6984</v>
      </c>
      <c r="GMM17" t="s">
        <v>6984</v>
      </c>
      <c r="GMN17" t="s">
        <v>6984</v>
      </c>
      <c r="GMO17" t="s">
        <v>6984</v>
      </c>
      <c r="GMP17" t="s">
        <v>6984</v>
      </c>
      <c r="GMQ17" t="s">
        <v>6984</v>
      </c>
      <c r="GMR17" t="s">
        <v>6984</v>
      </c>
      <c r="GMS17" t="s">
        <v>6984</v>
      </c>
      <c r="GMT17" t="s">
        <v>6984</v>
      </c>
      <c r="GMU17" t="s">
        <v>6984</v>
      </c>
      <c r="GMV17" t="s">
        <v>6984</v>
      </c>
      <c r="GMW17" t="s">
        <v>6984</v>
      </c>
      <c r="GMX17" t="s">
        <v>6984</v>
      </c>
      <c r="GMY17" t="s">
        <v>6984</v>
      </c>
      <c r="GMZ17" t="s">
        <v>6984</v>
      </c>
      <c r="GNA17" t="s">
        <v>6984</v>
      </c>
      <c r="GNB17" t="s">
        <v>6984</v>
      </c>
      <c r="GNC17" t="s">
        <v>6984</v>
      </c>
      <c r="GND17" t="s">
        <v>6984</v>
      </c>
      <c r="GNE17" t="s">
        <v>6984</v>
      </c>
      <c r="GNF17" t="s">
        <v>6984</v>
      </c>
      <c r="GNG17" t="s">
        <v>6984</v>
      </c>
      <c r="GNH17" t="s">
        <v>6984</v>
      </c>
      <c r="GNI17" t="s">
        <v>6984</v>
      </c>
      <c r="GNJ17" t="s">
        <v>6984</v>
      </c>
      <c r="GNK17" t="s">
        <v>6984</v>
      </c>
      <c r="GNL17" t="s">
        <v>6984</v>
      </c>
      <c r="GNM17" t="s">
        <v>6984</v>
      </c>
      <c r="GNN17" t="s">
        <v>6984</v>
      </c>
      <c r="GNO17" t="s">
        <v>6984</v>
      </c>
      <c r="GNP17" t="s">
        <v>6984</v>
      </c>
      <c r="GNQ17" t="s">
        <v>6984</v>
      </c>
      <c r="GNR17" t="s">
        <v>6984</v>
      </c>
      <c r="GNS17" t="s">
        <v>6984</v>
      </c>
      <c r="GNT17" t="s">
        <v>6984</v>
      </c>
      <c r="GNU17" t="s">
        <v>6984</v>
      </c>
      <c r="GNV17" t="s">
        <v>6984</v>
      </c>
      <c r="GNW17" t="s">
        <v>6984</v>
      </c>
      <c r="GNX17" t="s">
        <v>6984</v>
      </c>
      <c r="GNY17" t="s">
        <v>6984</v>
      </c>
      <c r="GNZ17" t="s">
        <v>6984</v>
      </c>
      <c r="GOA17" t="s">
        <v>6984</v>
      </c>
      <c r="GOB17" t="s">
        <v>6984</v>
      </c>
      <c r="GOC17" t="s">
        <v>6984</v>
      </c>
      <c r="GOD17" t="s">
        <v>6984</v>
      </c>
      <c r="GOE17" t="s">
        <v>6984</v>
      </c>
      <c r="GOF17" t="s">
        <v>6984</v>
      </c>
      <c r="GOG17" t="s">
        <v>6984</v>
      </c>
      <c r="GOH17" t="s">
        <v>6984</v>
      </c>
      <c r="GOI17" t="s">
        <v>6984</v>
      </c>
      <c r="GOJ17" t="s">
        <v>6984</v>
      </c>
      <c r="GOK17" t="s">
        <v>6984</v>
      </c>
      <c r="GOL17" t="s">
        <v>6984</v>
      </c>
      <c r="GOM17" t="s">
        <v>6984</v>
      </c>
      <c r="GON17" t="s">
        <v>6984</v>
      </c>
      <c r="GOO17" t="s">
        <v>6984</v>
      </c>
      <c r="GOP17" t="s">
        <v>6984</v>
      </c>
      <c r="GOQ17" t="s">
        <v>6984</v>
      </c>
      <c r="GOR17" t="s">
        <v>6984</v>
      </c>
      <c r="GOS17" t="s">
        <v>6984</v>
      </c>
      <c r="GOT17" t="s">
        <v>6984</v>
      </c>
      <c r="GOU17" t="s">
        <v>6984</v>
      </c>
      <c r="GOV17" t="s">
        <v>6984</v>
      </c>
      <c r="GOW17" t="s">
        <v>6984</v>
      </c>
      <c r="GOX17" t="s">
        <v>6984</v>
      </c>
      <c r="GOY17" t="s">
        <v>6984</v>
      </c>
      <c r="GOZ17" t="s">
        <v>6984</v>
      </c>
      <c r="GPA17" t="s">
        <v>6984</v>
      </c>
      <c r="GPB17" t="s">
        <v>6984</v>
      </c>
      <c r="GPC17" t="s">
        <v>6984</v>
      </c>
      <c r="GPD17" t="s">
        <v>6984</v>
      </c>
      <c r="GPE17" t="s">
        <v>6984</v>
      </c>
      <c r="GPF17" t="s">
        <v>6984</v>
      </c>
      <c r="GPG17" t="s">
        <v>6984</v>
      </c>
      <c r="GPH17" t="s">
        <v>6984</v>
      </c>
      <c r="GPI17" t="s">
        <v>6984</v>
      </c>
      <c r="GPJ17" t="s">
        <v>6984</v>
      </c>
      <c r="GPK17" t="s">
        <v>6984</v>
      </c>
      <c r="GPL17" t="s">
        <v>6984</v>
      </c>
      <c r="GPM17" t="s">
        <v>6984</v>
      </c>
      <c r="GPN17" t="s">
        <v>6984</v>
      </c>
      <c r="GPO17" t="s">
        <v>6984</v>
      </c>
      <c r="GPP17" t="s">
        <v>6984</v>
      </c>
      <c r="GPQ17" t="s">
        <v>6984</v>
      </c>
      <c r="GPR17" t="s">
        <v>6984</v>
      </c>
      <c r="GPS17" t="s">
        <v>6984</v>
      </c>
      <c r="GPT17" t="s">
        <v>6984</v>
      </c>
      <c r="GPU17" t="s">
        <v>6984</v>
      </c>
      <c r="GPV17" t="s">
        <v>6984</v>
      </c>
      <c r="GPW17" t="s">
        <v>6984</v>
      </c>
      <c r="GPX17" t="s">
        <v>6984</v>
      </c>
      <c r="GPY17" t="s">
        <v>6984</v>
      </c>
      <c r="GPZ17" t="s">
        <v>6984</v>
      </c>
      <c r="GQA17" t="s">
        <v>6984</v>
      </c>
      <c r="GQB17" t="s">
        <v>6984</v>
      </c>
      <c r="GQC17" t="s">
        <v>6984</v>
      </c>
      <c r="GQD17" t="s">
        <v>6984</v>
      </c>
      <c r="GQE17" t="s">
        <v>6984</v>
      </c>
      <c r="GQF17" t="s">
        <v>6984</v>
      </c>
      <c r="GQG17" t="s">
        <v>6984</v>
      </c>
      <c r="GQH17" t="s">
        <v>6984</v>
      </c>
      <c r="GQI17" t="s">
        <v>6984</v>
      </c>
      <c r="GQJ17" t="s">
        <v>6984</v>
      </c>
      <c r="GQK17" t="s">
        <v>6984</v>
      </c>
      <c r="GQL17" t="s">
        <v>6984</v>
      </c>
      <c r="GQM17" t="s">
        <v>6984</v>
      </c>
      <c r="GQN17" t="s">
        <v>6984</v>
      </c>
      <c r="GQO17" t="s">
        <v>6984</v>
      </c>
      <c r="GQP17" t="s">
        <v>6984</v>
      </c>
      <c r="GQQ17" t="s">
        <v>6984</v>
      </c>
      <c r="GQR17" t="s">
        <v>6984</v>
      </c>
      <c r="GQS17" t="s">
        <v>6984</v>
      </c>
      <c r="GQT17" t="s">
        <v>6984</v>
      </c>
      <c r="GQU17" t="s">
        <v>6984</v>
      </c>
      <c r="GQV17" t="s">
        <v>6984</v>
      </c>
      <c r="GQW17" t="s">
        <v>6984</v>
      </c>
      <c r="GQX17" t="s">
        <v>6984</v>
      </c>
      <c r="GQY17" t="s">
        <v>6984</v>
      </c>
      <c r="GQZ17" t="s">
        <v>6984</v>
      </c>
      <c r="GRA17" t="s">
        <v>6984</v>
      </c>
      <c r="GRB17" t="s">
        <v>6984</v>
      </c>
      <c r="GRC17" t="s">
        <v>6984</v>
      </c>
      <c r="GRD17" t="s">
        <v>6984</v>
      </c>
      <c r="GRE17" t="s">
        <v>6984</v>
      </c>
      <c r="GRF17" t="s">
        <v>6984</v>
      </c>
      <c r="GRG17" t="s">
        <v>6984</v>
      </c>
      <c r="GRH17" t="s">
        <v>6984</v>
      </c>
      <c r="GRI17" t="s">
        <v>6984</v>
      </c>
      <c r="GRJ17" t="s">
        <v>6984</v>
      </c>
      <c r="GRK17" t="s">
        <v>6984</v>
      </c>
      <c r="GRL17" t="s">
        <v>6984</v>
      </c>
      <c r="GRM17" t="s">
        <v>6984</v>
      </c>
      <c r="GRN17" t="s">
        <v>6984</v>
      </c>
      <c r="GRO17" t="s">
        <v>6984</v>
      </c>
      <c r="GRP17" t="s">
        <v>6984</v>
      </c>
      <c r="GRQ17" t="s">
        <v>6984</v>
      </c>
      <c r="GRR17" t="s">
        <v>6984</v>
      </c>
      <c r="GRS17" t="s">
        <v>6984</v>
      </c>
      <c r="GRT17" t="s">
        <v>6984</v>
      </c>
      <c r="GRU17" t="s">
        <v>6984</v>
      </c>
      <c r="GRV17" t="s">
        <v>6984</v>
      </c>
      <c r="GRW17" t="s">
        <v>6984</v>
      </c>
      <c r="GRX17" t="s">
        <v>6984</v>
      </c>
      <c r="GRY17" t="s">
        <v>6984</v>
      </c>
      <c r="GRZ17" t="s">
        <v>6984</v>
      </c>
      <c r="GSA17" t="s">
        <v>6984</v>
      </c>
      <c r="GSB17" t="s">
        <v>6984</v>
      </c>
      <c r="GSC17" t="s">
        <v>6984</v>
      </c>
      <c r="GSD17" t="s">
        <v>6984</v>
      </c>
      <c r="GSE17" t="s">
        <v>6984</v>
      </c>
      <c r="GSF17" t="s">
        <v>6984</v>
      </c>
      <c r="GSG17" t="s">
        <v>6984</v>
      </c>
      <c r="GSH17" t="s">
        <v>6984</v>
      </c>
      <c r="GSI17" t="s">
        <v>6984</v>
      </c>
      <c r="GSJ17" t="s">
        <v>6984</v>
      </c>
      <c r="GSK17" t="s">
        <v>6984</v>
      </c>
      <c r="GSL17" t="s">
        <v>6984</v>
      </c>
      <c r="GSM17" t="s">
        <v>6984</v>
      </c>
      <c r="GSN17" t="s">
        <v>6984</v>
      </c>
      <c r="GSO17" t="s">
        <v>6984</v>
      </c>
      <c r="GSP17" t="s">
        <v>6984</v>
      </c>
      <c r="GSQ17" t="s">
        <v>6984</v>
      </c>
      <c r="GSR17" t="s">
        <v>6984</v>
      </c>
      <c r="GSS17" t="s">
        <v>6984</v>
      </c>
      <c r="GST17" t="s">
        <v>6984</v>
      </c>
      <c r="GSU17" t="s">
        <v>6984</v>
      </c>
      <c r="GSV17" t="s">
        <v>6984</v>
      </c>
      <c r="GSW17" t="s">
        <v>6984</v>
      </c>
      <c r="GSX17" t="s">
        <v>6984</v>
      </c>
      <c r="GSY17" t="s">
        <v>6984</v>
      </c>
      <c r="GSZ17" t="s">
        <v>6984</v>
      </c>
      <c r="GTA17" t="s">
        <v>6984</v>
      </c>
      <c r="GTB17" t="s">
        <v>6984</v>
      </c>
      <c r="GTC17" t="s">
        <v>6984</v>
      </c>
      <c r="GTD17" t="s">
        <v>6984</v>
      </c>
      <c r="GTE17" t="s">
        <v>6984</v>
      </c>
      <c r="GTF17" t="s">
        <v>6984</v>
      </c>
      <c r="GTG17" t="s">
        <v>6984</v>
      </c>
      <c r="GTH17" t="s">
        <v>6984</v>
      </c>
      <c r="GTI17" t="s">
        <v>6984</v>
      </c>
      <c r="GTJ17" t="s">
        <v>6984</v>
      </c>
      <c r="GTK17" t="s">
        <v>6984</v>
      </c>
      <c r="GTL17" t="s">
        <v>6984</v>
      </c>
      <c r="GTM17" t="s">
        <v>6984</v>
      </c>
      <c r="GTN17" t="s">
        <v>6984</v>
      </c>
      <c r="GTO17" t="s">
        <v>6984</v>
      </c>
      <c r="GTP17" t="s">
        <v>6984</v>
      </c>
      <c r="GTQ17" t="s">
        <v>6984</v>
      </c>
      <c r="GTR17" t="s">
        <v>6984</v>
      </c>
      <c r="GTS17" t="s">
        <v>6984</v>
      </c>
      <c r="GTT17" t="s">
        <v>6984</v>
      </c>
      <c r="GTU17" t="s">
        <v>6984</v>
      </c>
      <c r="GTV17" t="s">
        <v>6984</v>
      </c>
      <c r="GTW17" t="s">
        <v>6984</v>
      </c>
      <c r="GTX17" t="s">
        <v>6984</v>
      </c>
      <c r="GTY17" t="s">
        <v>6984</v>
      </c>
      <c r="GTZ17" t="s">
        <v>6984</v>
      </c>
      <c r="GUA17" t="s">
        <v>6984</v>
      </c>
      <c r="GUB17" t="s">
        <v>6984</v>
      </c>
      <c r="GUC17" t="s">
        <v>6984</v>
      </c>
      <c r="GUD17" t="s">
        <v>6984</v>
      </c>
      <c r="GUE17" t="s">
        <v>6984</v>
      </c>
      <c r="GUF17" t="s">
        <v>6984</v>
      </c>
      <c r="GUG17" t="s">
        <v>6984</v>
      </c>
      <c r="GUH17" t="s">
        <v>6984</v>
      </c>
      <c r="GUI17" t="s">
        <v>6984</v>
      </c>
      <c r="GUJ17" t="s">
        <v>6984</v>
      </c>
      <c r="GUK17" t="s">
        <v>6984</v>
      </c>
      <c r="GUL17" t="s">
        <v>6984</v>
      </c>
      <c r="GUM17" t="s">
        <v>6984</v>
      </c>
      <c r="GUN17" t="s">
        <v>6984</v>
      </c>
      <c r="GUO17" t="s">
        <v>6984</v>
      </c>
      <c r="GUP17" t="s">
        <v>6984</v>
      </c>
      <c r="GUQ17" t="s">
        <v>6984</v>
      </c>
      <c r="GUR17" t="s">
        <v>6984</v>
      </c>
      <c r="GUS17" t="s">
        <v>6984</v>
      </c>
      <c r="GUT17" t="s">
        <v>6984</v>
      </c>
      <c r="GUU17" t="s">
        <v>6984</v>
      </c>
      <c r="GUV17" t="s">
        <v>6984</v>
      </c>
      <c r="GUW17" t="s">
        <v>6984</v>
      </c>
      <c r="GUX17" t="s">
        <v>6984</v>
      </c>
      <c r="GUY17" t="s">
        <v>6984</v>
      </c>
      <c r="GUZ17" t="s">
        <v>6984</v>
      </c>
      <c r="GVA17" t="s">
        <v>6984</v>
      </c>
      <c r="GVB17" t="s">
        <v>6984</v>
      </c>
      <c r="GVC17" t="s">
        <v>6984</v>
      </c>
      <c r="GVD17" t="s">
        <v>6984</v>
      </c>
      <c r="GVE17" t="s">
        <v>6984</v>
      </c>
      <c r="GVF17" t="s">
        <v>6984</v>
      </c>
      <c r="GVG17" t="s">
        <v>6984</v>
      </c>
      <c r="GVH17" t="s">
        <v>6984</v>
      </c>
      <c r="GVI17" t="s">
        <v>6984</v>
      </c>
      <c r="GVJ17" t="s">
        <v>6984</v>
      </c>
      <c r="GVK17" t="s">
        <v>6984</v>
      </c>
      <c r="GVL17" t="s">
        <v>6984</v>
      </c>
      <c r="GVM17" t="s">
        <v>6984</v>
      </c>
      <c r="GVN17" t="s">
        <v>6984</v>
      </c>
      <c r="GVO17" t="s">
        <v>6984</v>
      </c>
      <c r="GVP17" t="s">
        <v>6984</v>
      </c>
      <c r="GVQ17" t="s">
        <v>6984</v>
      </c>
      <c r="GVR17" t="s">
        <v>6984</v>
      </c>
      <c r="GVS17" t="s">
        <v>6984</v>
      </c>
      <c r="GVT17" t="s">
        <v>6984</v>
      </c>
      <c r="GVU17" t="s">
        <v>6984</v>
      </c>
      <c r="GVV17" t="s">
        <v>6984</v>
      </c>
      <c r="GVW17" t="s">
        <v>6984</v>
      </c>
      <c r="GVX17" t="s">
        <v>6984</v>
      </c>
      <c r="GVY17" t="s">
        <v>6984</v>
      </c>
      <c r="GVZ17" t="s">
        <v>6984</v>
      </c>
      <c r="GWA17" t="s">
        <v>6984</v>
      </c>
      <c r="GWB17" t="s">
        <v>6984</v>
      </c>
      <c r="GWC17" t="s">
        <v>6984</v>
      </c>
      <c r="GWD17" t="s">
        <v>6984</v>
      </c>
      <c r="GWE17" t="s">
        <v>6984</v>
      </c>
      <c r="GWF17" t="s">
        <v>6984</v>
      </c>
      <c r="GWG17" t="s">
        <v>6984</v>
      </c>
      <c r="GWH17" t="s">
        <v>6984</v>
      </c>
      <c r="GWI17" t="s">
        <v>6984</v>
      </c>
      <c r="GWJ17" t="s">
        <v>6984</v>
      </c>
      <c r="GWK17" t="s">
        <v>6984</v>
      </c>
      <c r="GWL17" t="s">
        <v>6984</v>
      </c>
      <c r="GWM17" t="s">
        <v>6984</v>
      </c>
      <c r="GWN17" t="s">
        <v>6984</v>
      </c>
      <c r="GWO17" t="s">
        <v>6984</v>
      </c>
      <c r="GWP17" t="s">
        <v>6984</v>
      </c>
      <c r="GWQ17" t="s">
        <v>6984</v>
      </c>
      <c r="GWR17" t="s">
        <v>6984</v>
      </c>
      <c r="GWS17" t="s">
        <v>6984</v>
      </c>
      <c r="GWT17" t="s">
        <v>6984</v>
      </c>
      <c r="GWU17" t="s">
        <v>6984</v>
      </c>
      <c r="GWV17" t="s">
        <v>6984</v>
      </c>
      <c r="GWW17" t="s">
        <v>6984</v>
      </c>
      <c r="GWX17" t="s">
        <v>6984</v>
      </c>
      <c r="GWY17" t="s">
        <v>6984</v>
      </c>
      <c r="GWZ17" t="s">
        <v>6984</v>
      </c>
      <c r="GXA17" t="s">
        <v>6984</v>
      </c>
      <c r="GXB17" t="s">
        <v>6984</v>
      </c>
      <c r="GXC17" t="s">
        <v>6984</v>
      </c>
      <c r="GXD17" t="s">
        <v>6984</v>
      </c>
      <c r="GXE17" t="s">
        <v>6984</v>
      </c>
      <c r="GXF17" t="s">
        <v>6984</v>
      </c>
      <c r="GXG17" t="s">
        <v>6984</v>
      </c>
      <c r="GXH17" t="s">
        <v>6984</v>
      </c>
      <c r="GXI17" t="s">
        <v>6984</v>
      </c>
      <c r="GXJ17" t="s">
        <v>6984</v>
      </c>
      <c r="GXK17" t="s">
        <v>6984</v>
      </c>
      <c r="GXL17" t="s">
        <v>6984</v>
      </c>
      <c r="GXM17" t="s">
        <v>6984</v>
      </c>
      <c r="GXN17" t="s">
        <v>6984</v>
      </c>
      <c r="GXO17" t="s">
        <v>6984</v>
      </c>
      <c r="GXP17" t="s">
        <v>6984</v>
      </c>
      <c r="GXQ17" t="s">
        <v>6984</v>
      </c>
      <c r="GXR17" t="s">
        <v>6984</v>
      </c>
      <c r="GXS17" t="s">
        <v>6984</v>
      </c>
      <c r="GXT17" t="s">
        <v>6984</v>
      </c>
      <c r="GXU17" t="s">
        <v>6984</v>
      </c>
      <c r="GXV17" t="s">
        <v>6984</v>
      </c>
      <c r="GXW17" t="s">
        <v>6984</v>
      </c>
      <c r="GXX17" t="s">
        <v>6984</v>
      </c>
      <c r="GXY17" t="s">
        <v>6984</v>
      </c>
      <c r="GXZ17" t="s">
        <v>6984</v>
      </c>
      <c r="GYA17" t="s">
        <v>6984</v>
      </c>
      <c r="GYB17" t="s">
        <v>6984</v>
      </c>
      <c r="GYC17" t="s">
        <v>6984</v>
      </c>
      <c r="GYD17" t="s">
        <v>6984</v>
      </c>
      <c r="GYE17" t="s">
        <v>6984</v>
      </c>
      <c r="GYF17" t="s">
        <v>6984</v>
      </c>
      <c r="GYG17" t="s">
        <v>6984</v>
      </c>
      <c r="GYH17" t="s">
        <v>6984</v>
      </c>
      <c r="GYI17" t="s">
        <v>6984</v>
      </c>
      <c r="GYJ17" t="s">
        <v>6984</v>
      </c>
      <c r="GYK17" t="s">
        <v>6984</v>
      </c>
      <c r="GYL17" t="s">
        <v>6984</v>
      </c>
      <c r="GYM17" t="s">
        <v>6984</v>
      </c>
      <c r="GYN17" t="s">
        <v>6984</v>
      </c>
      <c r="GYO17" t="s">
        <v>6984</v>
      </c>
      <c r="GYP17" t="s">
        <v>6984</v>
      </c>
      <c r="GYQ17" t="s">
        <v>6984</v>
      </c>
      <c r="GYR17" t="s">
        <v>6984</v>
      </c>
      <c r="GYS17" t="s">
        <v>6984</v>
      </c>
      <c r="GYT17" t="s">
        <v>6984</v>
      </c>
      <c r="GYU17" t="s">
        <v>6984</v>
      </c>
      <c r="GYV17" t="s">
        <v>6984</v>
      </c>
      <c r="GYW17" t="s">
        <v>6984</v>
      </c>
      <c r="GYX17" t="s">
        <v>6984</v>
      </c>
      <c r="GYY17" t="s">
        <v>6984</v>
      </c>
      <c r="GYZ17" t="s">
        <v>6984</v>
      </c>
      <c r="GZA17" t="s">
        <v>6984</v>
      </c>
      <c r="GZB17" t="s">
        <v>6984</v>
      </c>
      <c r="GZC17" t="s">
        <v>6984</v>
      </c>
      <c r="GZD17" t="s">
        <v>6984</v>
      </c>
      <c r="GZE17" t="s">
        <v>6984</v>
      </c>
      <c r="GZF17" t="s">
        <v>6984</v>
      </c>
      <c r="GZG17" t="s">
        <v>6984</v>
      </c>
      <c r="GZH17" t="s">
        <v>6984</v>
      </c>
      <c r="GZI17" t="s">
        <v>6984</v>
      </c>
      <c r="GZJ17" t="s">
        <v>6984</v>
      </c>
      <c r="GZK17" t="s">
        <v>6984</v>
      </c>
      <c r="GZL17" t="s">
        <v>6984</v>
      </c>
      <c r="GZM17" t="s">
        <v>6984</v>
      </c>
      <c r="GZN17" t="s">
        <v>6984</v>
      </c>
      <c r="GZO17" t="s">
        <v>6984</v>
      </c>
      <c r="GZP17" t="s">
        <v>6984</v>
      </c>
      <c r="GZQ17" t="s">
        <v>6984</v>
      </c>
      <c r="GZR17" t="s">
        <v>6984</v>
      </c>
      <c r="GZS17" t="s">
        <v>6984</v>
      </c>
      <c r="GZT17" t="s">
        <v>6984</v>
      </c>
      <c r="GZU17" t="s">
        <v>6984</v>
      </c>
      <c r="GZV17" t="s">
        <v>6984</v>
      </c>
      <c r="GZW17" t="s">
        <v>6984</v>
      </c>
      <c r="GZX17" t="s">
        <v>6984</v>
      </c>
      <c r="GZY17" t="s">
        <v>6984</v>
      </c>
      <c r="GZZ17" t="s">
        <v>6984</v>
      </c>
      <c r="HAA17" t="s">
        <v>6984</v>
      </c>
      <c r="HAB17" t="s">
        <v>6984</v>
      </c>
      <c r="HAC17" t="s">
        <v>6984</v>
      </c>
      <c r="HAD17" t="s">
        <v>6984</v>
      </c>
      <c r="HAE17" t="s">
        <v>6984</v>
      </c>
      <c r="HAF17" t="s">
        <v>6984</v>
      </c>
      <c r="HAG17" t="s">
        <v>6984</v>
      </c>
      <c r="HAH17" t="s">
        <v>6984</v>
      </c>
      <c r="HAI17" t="s">
        <v>6984</v>
      </c>
      <c r="HAJ17" t="s">
        <v>6984</v>
      </c>
      <c r="HAK17" t="s">
        <v>6984</v>
      </c>
      <c r="HAL17" t="s">
        <v>6984</v>
      </c>
      <c r="HAM17" t="s">
        <v>6984</v>
      </c>
      <c r="HAN17" t="s">
        <v>6984</v>
      </c>
      <c r="HAO17" t="s">
        <v>6984</v>
      </c>
      <c r="HAP17" t="s">
        <v>6984</v>
      </c>
      <c r="HAQ17" t="s">
        <v>6984</v>
      </c>
      <c r="HAR17" t="s">
        <v>6984</v>
      </c>
      <c r="HAS17" t="s">
        <v>6984</v>
      </c>
      <c r="HAT17" t="s">
        <v>6984</v>
      </c>
      <c r="HAU17" t="s">
        <v>6984</v>
      </c>
      <c r="HAV17" t="s">
        <v>6984</v>
      </c>
      <c r="HAW17" t="s">
        <v>6984</v>
      </c>
      <c r="HAX17" t="s">
        <v>6984</v>
      </c>
      <c r="HAY17" t="s">
        <v>6984</v>
      </c>
      <c r="HAZ17" t="s">
        <v>6984</v>
      </c>
      <c r="HBA17" t="s">
        <v>6984</v>
      </c>
      <c r="HBB17" t="s">
        <v>6984</v>
      </c>
      <c r="HBC17" t="s">
        <v>6984</v>
      </c>
      <c r="HBD17" t="s">
        <v>6984</v>
      </c>
      <c r="HBE17" t="s">
        <v>6984</v>
      </c>
      <c r="HBF17" t="s">
        <v>6984</v>
      </c>
      <c r="HBG17" t="s">
        <v>6984</v>
      </c>
      <c r="HBH17" t="s">
        <v>6984</v>
      </c>
      <c r="HBI17" t="s">
        <v>6984</v>
      </c>
      <c r="HBJ17" t="s">
        <v>6984</v>
      </c>
      <c r="HBK17" t="s">
        <v>6984</v>
      </c>
      <c r="HBL17" t="s">
        <v>6984</v>
      </c>
      <c r="HBM17" t="s">
        <v>6984</v>
      </c>
      <c r="HBN17" t="s">
        <v>6984</v>
      </c>
      <c r="HBO17" t="s">
        <v>6984</v>
      </c>
      <c r="HBP17" t="s">
        <v>6984</v>
      </c>
      <c r="HBQ17" t="s">
        <v>6984</v>
      </c>
      <c r="HBR17" t="s">
        <v>6984</v>
      </c>
      <c r="HBS17" t="s">
        <v>6984</v>
      </c>
      <c r="HBT17" t="s">
        <v>6984</v>
      </c>
      <c r="HBU17" t="s">
        <v>6984</v>
      </c>
      <c r="HBV17" t="s">
        <v>6984</v>
      </c>
      <c r="HBW17" t="s">
        <v>6984</v>
      </c>
      <c r="HBX17" t="s">
        <v>6984</v>
      </c>
      <c r="HBY17" t="s">
        <v>6984</v>
      </c>
      <c r="HBZ17" t="s">
        <v>6984</v>
      </c>
      <c r="HCA17" t="s">
        <v>6984</v>
      </c>
      <c r="HCB17" t="s">
        <v>6984</v>
      </c>
      <c r="HCC17" t="s">
        <v>6984</v>
      </c>
      <c r="HCD17" t="s">
        <v>6984</v>
      </c>
      <c r="HCE17" t="s">
        <v>6984</v>
      </c>
      <c r="HCF17" t="s">
        <v>6984</v>
      </c>
      <c r="HCG17" t="s">
        <v>6984</v>
      </c>
      <c r="HCH17" t="s">
        <v>6984</v>
      </c>
      <c r="HCI17" t="s">
        <v>6984</v>
      </c>
      <c r="HCJ17" t="s">
        <v>6984</v>
      </c>
      <c r="HCK17" t="s">
        <v>6984</v>
      </c>
      <c r="HCL17" t="s">
        <v>6984</v>
      </c>
      <c r="HCM17" t="s">
        <v>6984</v>
      </c>
      <c r="HCN17" t="s">
        <v>6984</v>
      </c>
      <c r="HCO17" t="s">
        <v>6984</v>
      </c>
      <c r="HCP17" t="s">
        <v>6984</v>
      </c>
      <c r="HCQ17" t="s">
        <v>6984</v>
      </c>
      <c r="HCR17" t="s">
        <v>6984</v>
      </c>
      <c r="HCS17" t="s">
        <v>6984</v>
      </c>
      <c r="HCT17" t="s">
        <v>6984</v>
      </c>
      <c r="HCU17" t="s">
        <v>6984</v>
      </c>
      <c r="HCV17" t="s">
        <v>6984</v>
      </c>
      <c r="HCW17" t="s">
        <v>6984</v>
      </c>
      <c r="HCX17" t="s">
        <v>6984</v>
      </c>
      <c r="HCY17" t="s">
        <v>6984</v>
      </c>
      <c r="HCZ17" t="s">
        <v>6984</v>
      </c>
      <c r="HDA17" t="s">
        <v>6984</v>
      </c>
      <c r="HDB17" t="s">
        <v>6984</v>
      </c>
      <c r="HDC17" t="s">
        <v>6984</v>
      </c>
      <c r="HDD17" t="s">
        <v>6984</v>
      </c>
      <c r="HDE17" t="s">
        <v>6984</v>
      </c>
      <c r="HDF17" t="s">
        <v>6984</v>
      </c>
      <c r="HDG17" t="s">
        <v>6984</v>
      </c>
      <c r="HDH17" t="s">
        <v>6984</v>
      </c>
      <c r="HDI17" t="s">
        <v>6984</v>
      </c>
      <c r="HDJ17" t="s">
        <v>6984</v>
      </c>
      <c r="HDK17" t="s">
        <v>6984</v>
      </c>
      <c r="HDL17" t="s">
        <v>6984</v>
      </c>
      <c r="HDM17" t="s">
        <v>6984</v>
      </c>
      <c r="HDN17" t="s">
        <v>6984</v>
      </c>
      <c r="HDO17" t="s">
        <v>6984</v>
      </c>
      <c r="HDP17" t="s">
        <v>6984</v>
      </c>
      <c r="HDQ17" t="s">
        <v>6984</v>
      </c>
      <c r="HDR17" t="s">
        <v>6984</v>
      </c>
      <c r="HDS17" t="s">
        <v>6984</v>
      </c>
      <c r="HDT17" t="s">
        <v>6984</v>
      </c>
      <c r="HDU17" t="s">
        <v>6984</v>
      </c>
      <c r="HDV17" t="s">
        <v>6984</v>
      </c>
      <c r="HDW17" t="s">
        <v>6984</v>
      </c>
      <c r="HDX17" t="s">
        <v>6984</v>
      </c>
      <c r="HDY17" t="s">
        <v>6984</v>
      </c>
      <c r="HDZ17" t="s">
        <v>6984</v>
      </c>
      <c r="HEA17" t="s">
        <v>6984</v>
      </c>
      <c r="HEB17" t="s">
        <v>6984</v>
      </c>
      <c r="HEC17" t="s">
        <v>6984</v>
      </c>
      <c r="HED17" t="s">
        <v>6984</v>
      </c>
      <c r="HEE17" t="s">
        <v>6984</v>
      </c>
      <c r="HEF17" t="s">
        <v>6984</v>
      </c>
      <c r="HEG17" t="s">
        <v>6984</v>
      </c>
      <c r="HEH17" t="s">
        <v>6984</v>
      </c>
      <c r="HEI17" t="s">
        <v>6984</v>
      </c>
      <c r="HEJ17" t="s">
        <v>6984</v>
      </c>
      <c r="HEK17" t="s">
        <v>6984</v>
      </c>
      <c r="HEL17" t="s">
        <v>6984</v>
      </c>
      <c r="HEM17" t="s">
        <v>6984</v>
      </c>
      <c r="HEN17" t="s">
        <v>6984</v>
      </c>
      <c r="HEO17" t="s">
        <v>6984</v>
      </c>
      <c r="HEP17" t="s">
        <v>6984</v>
      </c>
      <c r="HEQ17" t="s">
        <v>6984</v>
      </c>
      <c r="HER17" t="s">
        <v>6984</v>
      </c>
      <c r="HES17" t="s">
        <v>6984</v>
      </c>
      <c r="HET17" t="s">
        <v>6984</v>
      </c>
      <c r="HEU17" t="s">
        <v>6984</v>
      </c>
      <c r="HEV17" t="s">
        <v>6984</v>
      </c>
      <c r="HEW17" t="s">
        <v>6984</v>
      </c>
      <c r="HEX17" t="s">
        <v>6984</v>
      </c>
      <c r="HEY17" t="s">
        <v>6984</v>
      </c>
      <c r="HEZ17" t="s">
        <v>6984</v>
      </c>
      <c r="HFA17" t="s">
        <v>6984</v>
      </c>
      <c r="HFB17" t="s">
        <v>6984</v>
      </c>
      <c r="HFC17" t="s">
        <v>6984</v>
      </c>
      <c r="HFD17" t="s">
        <v>6984</v>
      </c>
      <c r="HFE17" t="s">
        <v>6984</v>
      </c>
      <c r="HFF17" t="s">
        <v>6984</v>
      </c>
      <c r="HFG17" t="s">
        <v>6984</v>
      </c>
      <c r="HFH17" t="s">
        <v>6984</v>
      </c>
      <c r="HFI17" t="s">
        <v>6984</v>
      </c>
      <c r="HFJ17" t="s">
        <v>6984</v>
      </c>
      <c r="HFK17" t="s">
        <v>6984</v>
      </c>
      <c r="HFL17" t="s">
        <v>6984</v>
      </c>
      <c r="HFM17" t="s">
        <v>6984</v>
      </c>
      <c r="HFN17" t="s">
        <v>6984</v>
      </c>
      <c r="HFO17" t="s">
        <v>6984</v>
      </c>
      <c r="HFP17" t="s">
        <v>6984</v>
      </c>
      <c r="HFQ17" t="s">
        <v>6984</v>
      </c>
      <c r="HFR17" t="s">
        <v>6984</v>
      </c>
      <c r="HFS17" t="s">
        <v>6984</v>
      </c>
      <c r="HFT17" t="s">
        <v>6984</v>
      </c>
      <c r="HFU17" t="s">
        <v>6984</v>
      </c>
      <c r="HFV17" t="s">
        <v>6984</v>
      </c>
      <c r="HFW17" t="s">
        <v>6984</v>
      </c>
      <c r="HFX17" t="s">
        <v>6984</v>
      </c>
      <c r="HFY17" t="s">
        <v>6984</v>
      </c>
      <c r="HFZ17" t="s">
        <v>6984</v>
      </c>
      <c r="HGA17" t="s">
        <v>6984</v>
      </c>
      <c r="HGB17" t="s">
        <v>6984</v>
      </c>
      <c r="HGC17" t="s">
        <v>6984</v>
      </c>
      <c r="HGD17" t="s">
        <v>6984</v>
      </c>
      <c r="HGE17" t="s">
        <v>6984</v>
      </c>
      <c r="HGF17" t="s">
        <v>6984</v>
      </c>
      <c r="HGG17" t="s">
        <v>6984</v>
      </c>
      <c r="HGH17" t="s">
        <v>6984</v>
      </c>
      <c r="HGI17" t="s">
        <v>6984</v>
      </c>
      <c r="HGJ17" t="s">
        <v>6984</v>
      </c>
      <c r="HGK17" t="s">
        <v>6984</v>
      </c>
      <c r="HGL17" t="s">
        <v>6984</v>
      </c>
      <c r="HGM17" t="s">
        <v>6984</v>
      </c>
      <c r="HGN17" t="s">
        <v>6984</v>
      </c>
      <c r="HGO17" t="s">
        <v>6984</v>
      </c>
      <c r="HGP17" t="s">
        <v>6984</v>
      </c>
      <c r="HGQ17" t="s">
        <v>6984</v>
      </c>
      <c r="HGR17" t="s">
        <v>6984</v>
      </c>
      <c r="HGS17" t="s">
        <v>6984</v>
      </c>
      <c r="HGT17" t="s">
        <v>6984</v>
      </c>
      <c r="HGU17" t="s">
        <v>6984</v>
      </c>
      <c r="HGV17" t="s">
        <v>6984</v>
      </c>
      <c r="HGW17" t="s">
        <v>6984</v>
      </c>
      <c r="HGX17" t="s">
        <v>6984</v>
      </c>
      <c r="HGY17" t="s">
        <v>6984</v>
      </c>
      <c r="HGZ17" t="s">
        <v>6984</v>
      </c>
      <c r="HHA17" t="s">
        <v>6984</v>
      </c>
      <c r="HHB17" t="s">
        <v>6984</v>
      </c>
      <c r="HHC17" t="s">
        <v>6984</v>
      </c>
      <c r="HHD17" t="s">
        <v>6984</v>
      </c>
      <c r="HHE17" t="s">
        <v>6984</v>
      </c>
      <c r="HHF17" t="s">
        <v>6984</v>
      </c>
      <c r="HHG17" t="s">
        <v>6984</v>
      </c>
      <c r="HHH17" t="s">
        <v>6984</v>
      </c>
      <c r="HHI17" t="s">
        <v>6984</v>
      </c>
      <c r="HHJ17" t="s">
        <v>6984</v>
      </c>
      <c r="HHK17" t="s">
        <v>6984</v>
      </c>
      <c r="HHL17" t="s">
        <v>6984</v>
      </c>
      <c r="HHM17" t="s">
        <v>6984</v>
      </c>
      <c r="HHN17" t="s">
        <v>6984</v>
      </c>
      <c r="HHO17" t="s">
        <v>6984</v>
      </c>
      <c r="HHP17" t="s">
        <v>6984</v>
      </c>
      <c r="HHQ17" t="s">
        <v>6984</v>
      </c>
      <c r="HHR17" t="s">
        <v>6984</v>
      </c>
      <c r="HHS17" t="s">
        <v>6984</v>
      </c>
      <c r="HHT17" t="s">
        <v>6984</v>
      </c>
      <c r="HHU17" t="s">
        <v>6984</v>
      </c>
      <c r="HHV17" t="s">
        <v>6984</v>
      </c>
      <c r="HHW17" t="s">
        <v>6984</v>
      </c>
      <c r="HHX17" t="s">
        <v>6984</v>
      </c>
      <c r="HHY17" t="s">
        <v>6984</v>
      </c>
      <c r="HHZ17" t="s">
        <v>6984</v>
      </c>
      <c r="HIA17" t="s">
        <v>6984</v>
      </c>
      <c r="HIB17" t="s">
        <v>6984</v>
      </c>
      <c r="HIC17" t="s">
        <v>6984</v>
      </c>
      <c r="HID17" t="s">
        <v>6984</v>
      </c>
      <c r="HIE17" t="s">
        <v>6984</v>
      </c>
      <c r="HIF17" t="s">
        <v>6984</v>
      </c>
      <c r="HIG17" t="s">
        <v>6984</v>
      </c>
      <c r="HIH17" t="s">
        <v>6984</v>
      </c>
      <c r="HII17" t="s">
        <v>6984</v>
      </c>
      <c r="HIJ17" t="s">
        <v>6984</v>
      </c>
      <c r="HIK17" t="s">
        <v>6984</v>
      </c>
      <c r="HIL17" t="s">
        <v>6984</v>
      </c>
      <c r="HIM17" t="s">
        <v>6984</v>
      </c>
      <c r="HIN17" t="s">
        <v>6984</v>
      </c>
      <c r="HIO17" t="s">
        <v>6984</v>
      </c>
      <c r="HIP17" t="s">
        <v>6984</v>
      </c>
      <c r="HIQ17" t="s">
        <v>6984</v>
      </c>
      <c r="HIR17" t="s">
        <v>6984</v>
      </c>
      <c r="HIS17" t="s">
        <v>6984</v>
      </c>
      <c r="HIT17" t="s">
        <v>6984</v>
      </c>
      <c r="HIU17" t="s">
        <v>6984</v>
      </c>
      <c r="HIV17" t="s">
        <v>6984</v>
      </c>
      <c r="HIW17" t="s">
        <v>6984</v>
      </c>
      <c r="HIX17" t="s">
        <v>6984</v>
      </c>
      <c r="HIY17" t="s">
        <v>6984</v>
      </c>
      <c r="HIZ17" t="s">
        <v>6984</v>
      </c>
      <c r="HJA17" t="s">
        <v>6984</v>
      </c>
      <c r="HJB17" t="s">
        <v>6984</v>
      </c>
      <c r="HJC17" t="s">
        <v>6984</v>
      </c>
      <c r="HJD17" t="s">
        <v>6984</v>
      </c>
      <c r="HJE17" t="s">
        <v>6984</v>
      </c>
      <c r="HJF17" t="s">
        <v>6984</v>
      </c>
      <c r="HJG17" t="s">
        <v>6984</v>
      </c>
      <c r="HJH17" t="s">
        <v>6984</v>
      </c>
      <c r="HJI17" t="s">
        <v>6984</v>
      </c>
      <c r="HJJ17" t="s">
        <v>6984</v>
      </c>
      <c r="HJK17" t="s">
        <v>6984</v>
      </c>
      <c r="HJL17" t="s">
        <v>6984</v>
      </c>
      <c r="HJM17" t="s">
        <v>6984</v>
      </c>
      <c r="HJN17" t="s">
        <v>6984</v>
      </c>
      <c r="HJO17" t="s">
        <v>6984</v>
      </c>
      <c r="HJP17" t="s">
        <v>6984</v>
      </c>
      <c r="HJQ17" t="s">
        <v>6984</v>
      </c>
      <c r="HJR17" t="s">
        <v>6984</v>
      </c>
      <c r="HJS17" t="s">
        <v>6984</v>
      </c>
      <c r="HJT17" t="s">
        <v>6984</v>
      </c>
      <c r="HJU17" t="s">
        <v>6984</v>
      </c>
      <c r="HJV17" t="s">
        <v>6984</v>
      </c>
      <c r="HJW17" t="s">
        <v>6984</v>
      </c>
      <c r="HJX17" t="s">
        <v>6984</v>
      </c>
      <c r="HJY17" t="s">
        <v>6984</v>
      </c>
      <c r="HJZ17" t="s">
        <v>6984</v>
      </c>
      <c r="HKA17" t="s">
        <v>6984</v>
      </c>
      <c r="HKB17" t="s">
        <v>6984</v>
      </c>
      <c r="HKC17" t="s">
        <v>6984</v>
      </c>
      <c r="HKD17" t="s">
        <v>6984</v>
      </c>
      <c r="HKE17" t="s">
        <v>6984</v>
      </c>
      <c r="HKF17" t="s">
        <v>6984</v>
      </c>
      <c r="HKG17" t="s">
        <v>6984</v>
      </c>
      <c r="HKH17" t="s">
        <v>6984</v>
      </c>
      <c r="HKI17" t="s">
        <v>6984</v>
      </c>
      <c r="HKJ17" t="s">
        <v>6984</v>
      </c>
      <c r="HKK17" t="s">
        <v>6984</v>
      </c>
      <c r="HKL17" t="s">
        <v>6984</v>
      </c>
      <c r="HKM17" t="s">
        <v>6984</v>
      </c>
      <c r="HKN17" t="s">
        <v>6984</v>
      </c>
      <c r="HKO17" t="s">
        <v>6984</v>
      </c>
      <c r="HKP17" t="s">
        <v>6984</v>
      </c>
      <c r="HKQ17" t="s">
        <v>6984</v>
      </c>
      <c r="HKR17" t="s">
        <v>6984</v>
      </c>
      <c r="HKS17" t="s">
        <v>6984</v>
      </c>
      <c r="HKT17" t="s">
        <v>6984</v>
      </c>
      <c r="HKU17" t="s">
        <v>6984</v>
      </c>
      <c r="HKV17" t="s">
        <v>6984</v>
      </c>
      <c r="HKW17" t="s">
        <v>6984</v>
      </c>
      <c r="HKX17" t="s">
        <v>6984</v>
      </c>
      <c r="HKY17" t="s">
        <v>6984</v>
      </c>
      <c r="HKZ17" t="s">
        <v>6984</v>
      </c>
      <c r="HLA17" t="s">
        <v>6984</v>
      </c>
      <c r="HLB17" t="s">
        <v>6984</v>
      </c>
      <c r="HLC17" t="s">
        <v>6984</v>
      </c>
      <c r="HLD17" t="s">
        <v>6984</v>
      </c>
      <c r="HLE17" t="s">
        <v>6984</v>
      </c>
      <c r="HLF17" t="s">
        <v>6984</v>
      </c>
      <c r="HLG17" t="s">
        <v>6984</v>
      </c>
      <c r="HLH17" t="s">
        <v>6984</v>
      </c>
      <c r="HLI17" t="s">
        <v>6984</v>
      </c>
      <c r="HLJ17" t="s">
        <v>6984</v>
      </c>
      <c r="HLK17" t="s">
        <v>6984</v>
      </c>
      <c r="HLL17" t="s">
        <v>6984</v>
      </c>
      <c r="HLM17" t="s">
        <v>6984</v>
      </c>
      <c r="HLN17" t="s">
        <v>6984</v>
      </c>
      <c r="HLO17" t="s">
        <v>6984</v>
      </c>
      <c r="HLP17" t="s">
        <v>6984</v>
      </c>
      <c r="HLQ17" t="s">
        <v>6984</v>
      </c>
      <c r="HLR17" t="s">
        <v>6984</v>
      </c>
      <c r="HLS17" t="s">
        <v>6984</v>
      </c>
      <c r="HLT17" t="s">
        <v>6984</v>
      </c>
      <c r="HLU17" t="s">
        <v>6984</v>
      </c>
      <c r="HLV17" t="s">
        <v>6984</v>
      </c>
      <c r="HLW17" t="s">
        <v>6984</v>
      </c>
      <c r="HLX17" t="s">
        <v>6984</v>
      </c>
      <c r="HLY17" t="s">
        <v>6984</v>
      </c>
      <c r="HLZ17" t="s">
        <v>6984</v>
      </c>
      <c r="HMA17" t="s">
        <v>6984</v>
      </c>
      <c r="HMB17" t="s">
        <v>6984</v>
      </c>
      <c r="HMC17" t="s">
        <v>6984</v>
      </c>
      <c r="HMD17" t="s">
        <v>6984</v>
      </c>
      <c r="HME17" t="s">
        <v>6984</v>
      </c>
      <c r="HMF17" t="s">
        <v>6984</v>
      </c>
      <c r="HMG17" t="s">
        <v>6984</v>
      </c>
      <c r="HMH17" t="s">
        <v>6984</v>
      </c>
      <c r="HMI17" t="s">
        <v>6984</v>
      </c>
      <c r="HMJ17" t="s">
        <v>6984</v>
      </c>
      <c r="HMK17" t="s">
        <v>6984</v>
      </c>
      <c r="HML17" t="s">
        <v>6984</v>
      </c>
      <c r="HMM17" t="s">
        <v>6984</v>
      </c>
      <c r="HMN17" t="s">
        <v>6984</v>
      </c>
      <c r="HMO17" t="s">
        <v>6984</v>
      </c>
      <c r="HMP17" t="s">
        <v>6984</v>
      </c>
      <c r="HMQ17" t="s">
        <v>6984</v>
      </c>
      <c r="HMR17" t="s">
        <v>6984</v>
      </c>
      <c r="HMS17" t="s">
        <v>6984</v>
      </c>
      <c r="HMT17" t="s">
        <v>6984</v>
      </c>
      <c r="HMU17" t="s">
        <v>6984</v>
      </c>
      <c r="HMV17" t="s">
        <v>6984</v>
      </c>
      <c r="HMW17" t="s">
        <v>6984</v>
      </c>
      <c r="HMX17" t="s">
        <v>6984</v>
      </c>
      <c r="HMY17" t="s">
        <v>6984</v>
      </c>
      <c r="HMZ17" t="s">
        <v>6984</v>
      </c>
      <c r="HNA17" t="s">
        <v>6984</v>
      </c>
      <c r="HNB17" t="s">
        <v>6984</v>
      </c>
      <c r="HNC17" t="s">
        <v>6984</v>
      </c>
      <c r="HND17" t="s">
        <v>6984</v>
      </c>
      <c r="HNE17" t="s">
        <v>6984</v>
      </c>
      <c r="HNF17" t="s">
        <v>6984</v>
      </c>
      <c r="HNG17" t="s">
        <v>6984</v>
      </c>
      <c r="HNH17" t="s">
        <v>6984</v>
      </c>
      <c r="HNI17" t="s">
        <v>6984</v>
      </c>
      <c r="HNJ17" t="s">
        <v>6984</v>
      </c>
      <c r="HNK17" t="s">
        <v>6984</v>
      </c>
      <c r="HNL17" t="s">
        <v>6984</v>
      </c>
      <c r="HNM17" t="s">
        <v>6984</v>
      </c>
      <c r="HNN17" t="s">
        <v>6984</v>
      </c>
      <c r="HNO17" t="s">
        <v>6984</v>
      </c>
      <c r="HNP17" t="s">
        <v>6984</v>
      </c>
      <c r="HNQ17" t="s">
        <v>6984</v>
      </c>
      <c r="HNR17" t="s">
        <v>6984</v>
      </c>
      <c r="HNS17" t="s">
        <v>6984</v>
      </c>
      <c r="HNT17" t="s">
        <v>6984</v>
      </c>
      <c r="HNU17" t="s">
        <v>6984</v>
      </c>
      <c r="HNV17" t="s">
        <v>6984</v>
      </c>
      <c r="HNW17" t="s">
        <v>6984</v>
      </c>
      <c r="HNX17" t="s">
        <v>6984</v>
      </c>
      <c r="HNY17" t="s">
        <v>6984</v>
      </c>
      <c r="HNZ17" t="s">
        <v>6984</v>
      </c>
      <c r="HOA17" t="s">
        <v>6984</v>
      </c>
      <c r="HOB17" t="s">
        <v>6984</v>
      </c>
      <c r="HOC17" t="s">
        <v>6984</v>
      </c>
      <c r="HOD17" t="s">
        <v>6984</v>
      </c>
      <c r="HOE17" t="s">
        <v>6984</v>
      </c>
      <c r="HOF17" t="s">
        <v>6984</v>
      </c>
      <c r="HOG17" t="s">
        <v>6984</v>
      </c>
      <c r="HOH17" t="s">
        <v>6984</v>
      </c>
      <c r="HOI17" t="s">
        <v>6984</v>
      </c>
      <c r="HOJ17" t="s">
        <v>6984</v>
      </c>
      <c r="HOK17" t="s">
        <v>6984</v>
      </c>
      <c r="HOL17" t="s">
        <v>6984</v>
      </c>
      <c r="HOM17" t="s">
        <v>6984</v>
      </c>
      <c r="HON17" t="s">
        <v>6984</v>
      </c>
      <c r="HOO17" t="s">
        <v>6984</v>
      </c>
      <c r="HOP17" t="s">
        <v>6984</v>
      </c>
      <c r="HOQ17" t="s">
        <v>6984</v>
      </c>
      <c r="HOR17" t="s">
        <v>6984</v>
      </c>
      <c r="HOS17" t="s">
        <v>6984</v>
      </c>
      <c r="HOT17" t="s">
        <v>6984</v>
      </c>
      <c r="HOU17" t="s">
        <v>6984</v>
      </c>
      <c r="HOV17" t="s">
        <v>6984</v>
      </c>
      <c r="HOW17" t="s">
        <v>6984</v>
      </c>
      <c r="HOX17" t="s">
        <v>6984</v>
      </c>
      <c r="HOY17" t="s">
        <v>6984</v>
      </c>
      <c r="HOZ17" t="s">
        <v>6984</v>
      </c>
      <c r="HPA17" t="s">
        <v>6984</v>
      </c>
      <c r="HPB17" t="s">
        <v>6984</v>
      </c>
      <c r="HPC17" t="s">
        <v>6984</v>
      </c>
      <c r="HPD17" t="s">
        <v>6984</v>
      </c>
      <c r="HPE17" t="s">
        <v>6984</v>
      </c>
      <c r="HPF17" t="s">
        <v>6984</v>
      </c>
      <c r="HPG17" t="s">
        <v>6984</v>
      </c>
      <c r="HPH17" t="s">
        <v>6984</v>
      </c>
      <c r="HPI17" t="s">
        <v>6984</v>
      </c>
      <c r="HPJ17" t="s">
        <v>6984</v>
      </c>
      <c r="HPK17" t="s">
        <v>6984</v>
      </c>
      <c r="HPL17" t="s">
        <v>6984</v>
      </c>
      <c r="HPM17" t="s">
        <v>6984</v>
      </c>
      <c r="HPN17" t="s">
        <v>6984</v>
      </c>
      <c r="HPO17" t="s">
        <v>6984</v>
      </c>
      <c r="HPP17" t="s">
        <v>6984</v>
      </c>
      <c r="HPQ17" t="s">
        <v>6984</v>
      </c>
      <c r="HPR17" t="s">
        <v>6984</v>
      </c>
      <c r="HPS17" t="s">
        <v>6984</v>
      </c>
      <c r="HPT17" t="s">
        <v>6984</v>
      </c>
      <c r="HPU17" t="s">
        <v>6984</v>
      </c>
      <c r="HPV17" t="s">
        <v>6984</v>
      </c>
      <c r="HPW17" t="s">
        <v>6984</v>
      </c>
      <c r="HPX17" t="s">
        <v>6984</v>
      </c>
      <c r="HPY17" t="s">
        <v>6984</v>
      </c>
      <c r="HPZ17" t="s">
        <v>6984</v>
      </c>
      <c r="HQA17" t="s">
        <v>6984</v>
      </c>
      <c r="HQB17" t="s">
        <v>6984</v>
      </c>
      <c r="HQC17" t="s">
        <v>6984</v>
      </c>
      <c r="HQD17" t="s">
        <v>6984</v>
      </c>
      <c r="HQE17" t="s">
        <v>6984</v>
      </c>
      <c r="HQF17" t="s">
        <v>6984</v>
      </c>
      <c r="HQG17" t="s">
        <v>6984</v>
      </c>
      <c r="HQH17" t="s">
        <v>6984</v>
      </c>
      <c r="HQI17" t="s">
        <v>6984</v>
      </c>
      <c r="HQJ17" t="s">
        <v>6984</v>
      </c>
      <c r="HQK17" t="s">
        <v>6984</v>
      </c>
      <c r="HQL17" t="s">
        <v>6984</v>
      </c>
      <c r="HQM17" t="s">
        <v>6984</v>
      </c>
      <c r="HQN17" t="s">
        <v>6984</v>
      </c>
      <c r="HQO17" t="s">
        <v>6984</v>
      </c>
      <c r="HQP17" t="s">
        <v>6984</v>
      </c>
      <c r="HQQ17" t="s">
        <v>6984</v>
      </c>
      <c r="HQR17" t="s">
        <v>6984</v>
      </c>
      <c r="HQS17" t="s">
        <v>6984</v>
      </c>
      <c r="HQT17" t="s">
        <v>6984</v>
      </c>
      <c r="HQU17" t="s">
        <v>6984</v>
      </c>
      <c r="HQV17" t="s">
        <v>6984</v>
      </c>
      <c r="HQW17" t="s">
        <v>6984</v>
      </c>
      <c r="HQX17" t="s">
        <v>6984</v>
      </c>
      <c r="HQY17" t="s">
        <v>6984</v>
      </c>
      <c r="HQZ17" t="s">
        <v>6984</v>
      </c>
      <c r="HRA17" t="s">
        <v>6984</v>
      </c>
      <c r="HRB17" t="s">
        <v>6984</v>
      </c>
      <c r="HRC17" t="s">
        <v>6984</v>
      </c>
      <c r="HRD17" t="s">
        <v>6984</v>
      </c>
      <c r="HRE17" t="s">
        <v>6984</v>
      </c>
      <c r="HRF17" t="s">
        <v>6984</v>
      </c>
      <c r="HRG17" t="s">
        <v>6984</v>
      </c>
      <c r="HRH17" t="s">
        <v>6984</v>
      </c>
      <c r="HRI17" t="s">
        <v>6984</v>
      </c>
      <c r="HRJ17" t="s">
        <v>6984</v>
      </c>
      <c r="HRK17" t="s">
        <v>6984</v>
      </c>
      <c r="HRL17" t="s">
        <v>6984</v>
      </c>
      <c r="HRM17" t="s">
        <v>6984</v>
      </c>
      <c r="HRN17" t="s">
        <v>6984</v>
      </c>
      <c r="HRO17" t="s">
        <v>6984</v>
      </c>
      <c r="HRP17" t="s">
        <v>6984</v>
      </c>
      <c r="HRQ17" t="s">
        <v>6984</v>
      </c>
      <c r="HRR17" t="s">
        <v>6984</v>
      </c>
      <c r="HRS17" t="s">
        <v>6984</v>
      </c>
      <c r="HRT17" t="s">
        <v>6984</v>
      </c>
      <c r="HRU17" t="s">
        <v>6984</v>
      </c>
      <c r="HRV17" t="s">
        <v>6984</v>
      </c>
      <c r="HRW17" t="s">
        <v>6984</v>
      </c>
      <c r="HRX17" t="s">
        <v>6984</v>
      </c>
      <c r="HRY17" t="s">
        <v>6984</v>
      </c>
      <c r="HRZ17" t="s">
        <v>6984</v>
      </c>
      <c r="HSA17" t="s">
        <v>6984</v>
      </c>
      <c r="HSB17" t="s">
        <v>6984</v>
      </c>
      <c r="HSC17" t="s">
        <v>6984</v>
      </c>
      <c r="HSD17" t="s">
        <v>6984</v>
      </c>
      <c r="HSE17" t="s">
        <v>6984</v>
      </c>
      <c r="HSF17" t="s">
        <v>6984</v>
      </c>
      <c r="HSG17" t="s">
        <v>6984</v>
      </c>
      <c r="HSH17" t="s">
        <v>6984</v>
      </c>
      <c r="HSI17" t="s">
        <v>6984</v>
      </c>
      <c r="HSJ17" t="s">
        <v>6984</v>
      </c>
      <c r="HSK17" t="s">
        <v>6984</v>
      </c>
      <c r="HSL17" t="s">
        <v>6984</v>
      </c>
      <c r="HSM17" t="s">
        <v>6984</v>
      </c>
      <c r="HSN17" t="s">
        <v>6984</v>
      </c>
      <c r="HSO17" t="s">
        <v>6984</v>
      </c>
      <c r="HSP17" t="s">
        <v>6984</v>
      </c>
      <c r="HSQ17" t="s">
        <v>6984</v>
      </c>
      <c r="HSR17" t="s">
        <v>6984</v>
      </c>
      <c r="HSS17" t="s">
        <v>6984</v>
      </c>
      <c r="HST17" t="s">
        <v>6984</v>
      </c>
      <c r="HSU17" t="s">
        <v>6984</v>
      </c>
      <c r="HSV17" t="s">
        <v>6984</v>
      </c>
      <c r="HSW17" t="s">
        <v>6984</v>
      </c>
      <c r="HSX17" t="s">
        <v>6984</v>
      </c>
      <c r="HSY17" t="s">
        <v>6984</v>
      </c>
      <c r="HSZ17" t="s">
        <v>6984</v>
      </c>
      <c r="HTA17" t="s">
        <v>6984</v>
      </c>
      <c r="HTB17" t="s">
        <v>6984</v>
      </c>
      <c r="HTC17" t="s">
        <v>6984</v>
      </c>
      <c r="HTD17" t="s">
        <v>6984</v>
      </c>
      <c r="HTE17" t="s">
        <v>6984</v>
      </c>
      <c r="HTF17" t="s">
        <v>6984</v>
      </c>
      <c r="HTG17" t="s">
        <v>6984</v>
      </c>
      <c r="HTH17" t="s">
        <v>6984</v>
      </c>
      <c r="HTI17" t="s">
        <v>6984</v>
      </c>
      <c r="HTJ17" t="s">
        <v>6984</v>
      </c>
      <c r="HTK17" t="s">
        <v>6984</v>
      </c>
      <c r="HTL17" t="s">
        <v>6984</v>
      </c>
      <c r="HTM17" t="s">
        <v>6984</v>
      </c>
      <c r="HTN17" t="s">
        <v>6984</v>
      </c>
      <c r="HTO17" t="s">
        <v>6984</v>
      </c>
      <c r="HTP17" t="s">
        <v>6984</v>
      </c>
      <c r="HTQ17" t="s">
        <v>6984</v>
      </c>
      <c r="HTR17" t="s">
        <v>6984</v>
      </c>
      <c r="HTS17" t="s">
        <v>6984</v>
      </c>
      <c r="HTT17" t="s">
        <v>6984</v>
      </c>
      <c r="HTU17" t="s">
        <v>6984</v>
      </c>
      <c r="HTV17" t="s">
        <v>6984</v>
      </c>
      <c r="HTW17" t="s">
        <v>6984</v>
      </c>
      <c r="HTX17" t="s">
        <v>6984</v>
      </c>
      <c r="HTY17" t="s">
        <v>6984</v>
      </c>
      <c r="HTZ17" t="s">
        <v>6984</v>
      </c>
      <c r="HUA17" t="s">
        <v>6984</v>
      </c>
      <c r="HUB17" t="s">
        <v>6984</v>
      </c>
      <c r="HUC17" t="s">
        <v>6984</v>
      </c>
      <c r="HUD17" t="s">
        <v>6984</v>
      </c>
      <c r="HUE17" t="s">
        <v>6984</v>
      </c>
      <c r="HUF17" t="s">
        <v>6984</v>
      </c>
      <c r="HUG17" t="s">
        <v>6984</v>
      </c>
      <c r="HUH17" t="s">
        <v>6984</v>
      </c>
      <c r="HUI17" t="s">
        <v>6984</v>
      </c>
      <c r="HUJ17" t="s">
        <v>6984</v>
      </c>
      <c r="HUK17" t="s">
        <v>6984</v>
      </c>
      <c r="HUL17" t="s">
        <v>6984</v>
      </c>
      <c r="HUM17" t="s">
        <v>6984</v>
      </c>
      <c r="HUN17" t="s">
        <v>6984</v>
      </c>
      <c r="HUO17" t="s">
        <v>6984</v>
      </c>
      <c r="HUP17" t="s">
        <v>6984</v>
      </c>
      <c r="HUQ17" t="s">
        <v>6984</v>
      </c>
      <c r="HUR17" t="s">
        <v>6984</v>
      </c>
      <c r="HUS17" t="s">
        <v>6984</v>
      </c>
      <c r="HUT17" t="s">
        <v>6984</v>
      </c>
      <c r="HUU17" t="s">
        <v>6984</v>
      </c>
      <c r="HUV17" t="s">
        <v>6984</v>
      </c>
      <c r="HUW17" t="s">
        <v>6984</v>
      </c>
      <c r="HUX17" t="s">
        <v>6984</v>
      </c>
      <c r="HUY17" t="s">
        <v>6984</v>
      </c>
      <c r="HUZ17" t="s">
        <v>6984</v>
      </c>
      <c r="HVA17" t="s">
        <v>6984</v>
      </c>
      <c r="HVB17" t="s">
        <v>6984</v>
      </c>
      <c r="HVC17" t="s">
        <v>6984</v>
      </c>
      <c r="HVD17" t="s">
        <v>6984</v>
      </c>
      <c r="HVE17" t="s">
        <v>6984</v>
      </c>
      <c r="HVF17" t="s">
        <v>6984</v>
      </c>
      <c r="HVG17" t="s">
        <v>6984</v>
      </c>
      <c r="HVH17" t="s">
        <v>6984</v>
      </c>
      <c r="HVI17" t="s">
        <v>6984</v>
      </c>
      <c r="HVJ17" t="s">
        <v>6984</v>
      </c>
      <c r="HVK17" t="s">
        <v>6984</v>
      </c>
      <c r="HVL17" t="s">
        <v>6984</v>
      </c>
      <c r="HVM17" t="s">
        <v>6984</v>
      </c>
      <c r="HVN17" t="s">
        <v>6984</v>
      </c>
      <c r="HVO17" t="s">
        <v>6984</v>
      </c>
      <c r="HVP17" t="s">
        <v>6984</v>
      </c>
      <c r="HVQ17" t="s">
        <v>6984</v>
      </c>
      <c r="HVR17" t="s">
        <v>6984</v>
      </c>
      <c r="HVS17" t="s">
        <v>6984</v>
      </c>
      <c r="HVT17" t="s">
        <v>6984</v>
      </c>
      <c r="HVU17" t="s">
        <v>6984</v>
      </c>
      <c r="HVV17" t="s">
        <v>6984</v>
      </c>
      <c r="HVW17" t="s">
        <v>6984</v>
      </c>
      <c r="HVX17" t="s">
        <v>6984</v>
      </c>
      <c r="HVY17" t="s">
        <v>6984</v>
      </c>
      <c r="HVZ17" t="s">
        <v>6984</v>
      </c>
      <c r="HWA17" t="s">
        <v>6984</v>
      </c>
      <c r="HWB17" t="s">
        <v>6984</v>
      </c>
      <c r="HWC17" t="s">
        <v>6984</v>
      </c>
      <c r="HWD17" t="s">
        <v>6984</v>
      </c>
      <c r="HWE17" t="s">
        <v>6984</v>
      </c>
      <c r="HWF17" t="s">
        <v>6984</v>
      </c>
      <c r="HWG17" t="s">
        <v>6984</v>
      </c>
      <c r="HWH17" t="s">
        <v>6984</v>
      </c>
      <c r="HWI17" t="s">
        <v>6984</v>
      </c>
      <c r="HWJ17" t="s">
        <v>6984</v>
      </c>
      <c r="HWK17" t="s">
        <v>6984</v>
      </c>
      <c r="HWL17" t="s">
        <v>6984</v>
      </c>
      <c r="HWM17" t="s">
        <v>6984</v>
      </c>
      <c r="HWN17" t="s">
        <v>6984</v>
      </c>
      <c r="HWO17" t="s">
        <v>6984</v>
      </c>
      <c r="HWP17" t="s">
        <v>6984</v>
      </c>
      <c r="HWQ17" t="s">
        <v>6984</v>
      </c>
      <c r="HWR17" t="s">
        <v>6984</v>
      </c>
      <c r="HWS17" t="s">
        <v>6984</v>
      </c>
      <c r="HWT17" t="s">
        <v>6984</v>
      </c>
      <c r="HWU17" t="s">
        <v>6984</v>
      </c>
      <c r="HWV17" t="s">
        <v>6984</v>
      </c>
      <c r="HWW17" t="s">
        <v>6984</v>
      </c>
      <c r="HWX17" t="s">
        <v>6984</v>
      </c>
      <c r="HWY17" t="s">
        <v>6984</v>
      </c>
      <c r="HWZ17" t="s">
        <v>6984</v>
      </c>
      <c r="HXA17" t="s">
        <v>6984</v>
      </c>
      <c r="HXB17" t="s">
        <v>6984</v>
      </c>
      <c r="HXC17" t="s">
        <v>6984</v>
      </c>
      <c r="HXD17" t="s">
        <v>6984</v>
      </c>
      <c r="HXE17" t="s">
        <v>6984</v>
      </c>
      <c r="HXF17" t="s">
        <v>6984</v>
      </c>
      <c r="HXG17" t="s">
        <v>6984</v>
      </c>
      <c r="HXH17" t="s">
        <v>6984</v>
      </c>
      <c r="HXI17" t="s">
        <v>6984</v>
      </c>
      <c r="HXJ17" t="s">
        <v>6984</v>
      </c>
      <c r="HXK17" t="s">
        <v>6984</v>
      </c>
      <c r="HXL17" t="s">
        <v>6984</v>
      </c>
      <c r="HXM17" t="s">
        <v>6984</v>
      </c>
      <c r="HXN17" t="s">
        <v>6984</v>
      </c>
      <c r="HXO17" t="s">
        <v>6984</v>
      </c>
      <c r="HXP17" t="s">
        <v>6984</v>
      </c>
      <c r="HXQ17" t="s">
        <v>6984</v>
      </c>
      <c r="HXR17" t="s">
        <v>6984</v>
      </c>
      <c r="HXS17" t="s">
        <v>6984</v>
      </c>
      <c r="HXT17" t="s">
        <v>6984</v>
      </c>
      <c r="HXU17" t="s">
        <v>6984</v>
      </c>
      <c r="HXV17" t="s">
        <v>6984</v>
      </c>
      <c r="HXW17" t="s">
        <v>6984</v>
      </c>
      <c r="HXX17" t="s">
        <v>6984</v>
      </c>
      <c r="HXY17" t="s">
        <v>6984</v>
      </c>
      <c r="HXZ17" t="s">
        <v>6984</v>
      </c>
      <c r="HYA17" t="s">
        <v>6984</v>
      </c>
      <c r="HYB17" t="s">
        <v>6984</v>
      </c>
      <c r="HYC17" t="s">
        <v>6984</v>
      </c>
      <c r="HYD17" t="s">
        <v>6984</v>
      </c>
      <c r="HYE17" t="s">
        <v>6984</v>
      </c>
      <c r="HYF17" t="s">
        <v>6984</v>
      </c>
      <c r="HYG17" t="s">
        <v>6984</v>
      </c>
      <c r="HYH17" t="s">
        <v>6984</v>
      </c>
      <c r="HYI17" t="s">
        <v>6984</v>
      </c>
      <c r="HYJ17" t="s">
        <v>6984</v>
      </c>
      <c r="HYK17" t="s">
        <v>6984</v>
      </c>
      <c r="HYL17" t="s">
        <v>6984</v>
      </c>
      <c r="HYM17" t="s">
        <v>6984</v>
      </c>
      <c r="HYN17" t="s">
        <v>6984</v>
      </c>
      <c r="HYO17" t="s">
        <v>6984</v>
      </c>
      <c r="HYP17" t="s">
        <v>6984</v>
      </c>
      <c r="HYQ17" t="s">
        <v>6984</v>
      </c>
      <c r="HYR17" t="s">
        <v>6984</v>
      </c>
      <c r="HYS17" t="s">
        <v>6984</v>
      </c>
      <c r="HYT17" t="s">
        <v>6984</v>
      </c>
      <c r="HYU17" t="s">
        <v>6984</v>
      </c>
      <c r="HYV17" t="s">
        <v>6984</v>
      </c>
      <c r="HYW17" t="s">
        <v>6984</v>
      </c>
      <c r="HYX17" t="s">
        <v>6984</v>
      </c>
      <c r="HYY17" t="s">
        <v>6984</v>
      </c>
      <c r="HYZ17" t="s">
        <v>6984</v>
      </c>
      <c r="HZA17" t="s">
        <v>6984</v>
      </c>
      <c r="HZB17" t="s">
        <v>6984</v>
      </c>
      <c r="HZC17" t="s">
        <v>6984</v>
      </c>
      <c r="HZD17" t="s">
        <v>6984</v>
      </c>
      <c r="HZE17" t="s">
        <v>6984</v>
      </c>
      <c r="HZF17" t="s">
        <v>6984</v>
      </c>
      <c r="HZG17" t="s">
        <v>6984</v>
      </c>
      <c r="HZH17" t="s">
        <v>6984</v>
      </c>
      <c r="HZI17" t="s">
        <v>6984</v>
      </c>
      <c r="HZJ17" t="s">
        <v>6984</v>
      </c>
      <c r="HZK17" t="s">
        <v>6984</v>
      </c>
      <c r="HZL17" t="s">
        <v>6984</v>
      </c>
      <c r="HZM17" t="s">
        <v>6984</v>
      </c>
      <c r="HZN17" t="s">
        <v>6984</v>
      </c>
      <c r="HZO17" t="s">
        <v>6984</v>
      </c>
      <c r="HZP17" t="s">
        <v>6984</v>
      </c>
      <c r="HZQ17" t="s">
        <v>6984</v>
      </c>
      <c r="HZR17" t="s">
        <v>6984</v>
      </c>
      <c r="HZS17" t="s">
        <v>6984</v>
      </c>
      <c r="HZT17" t="s">
        <v>6984</v>
      </c>
      <c r="HZU17" t="s">
        <v>6984</v>
      </c>
      <c r="HZV17" t="s">
        <v>6984</v>
      </c>
      <c r="HZW17" t="s">
        <v>6984</v>
      </c>
      <c r="HZX17" t="s">
        <v>6984</v>
      </c>
      <c r="HZY17" t="s">
        <v>6984</v>
      </c>
      <c r="HZZ17" t="s">
        <v>6984</v>
      </c>
      <c r="IAA17" t="s">
        <v>6984</v>
      </c>
      <c r="IAB17" t="s">
        <v>6984</v>
      </c>
      <c r="IAC17" t="s">
        <v>6984</v>
      </c>
      <c r="IAD17" t="s">
        <v>6984</v>
      </c>
      <c r="IAE17" t="s">
        <v>6984</v>
      </c>
      <c r="IAF17" t="s">
        <v>6984</v>
      </c>
      <c r="IAG17" t="s">
        <v>6984</v>
      </c>
      <c r="IAH17" t="s">
        <v>6984</v>
      </c>
      <c r="IAI17" t="s">
        <v>6984</v>
      </c>
      <c r="IAJ17" t="s">
        <v>6984</v>
      </c>
      <c r="IAK17" t="s">
        <v>6984</v>
      </c>
      <c r="IAL17" t="s">
        <v>6984</v>
      </c>
      <c r="IAM17" t="s">
        <v>6984</v>
      </c>
      <c r="IAN17" t="s">
        <v>6984</v>
      </c>
      <c r="IAO17" t="s">
        <v>6984</v>
      </c>
      <c r="IAP17" t="s">
        <v>6984</v>
      </c>
      <c r="IAQ17" t="s">
        <v>6984</v>
      </c>
      <c r="IAR17" t="s">
        <v>6984</v>
      </c>
      <c r="IAS17" t="s">
        <v>6984</v>
      </c>
      <c r="IAT17" t="s">
        <v>6984</v>
      </c>
      <c r="IAU17" t="s">
        <v>6984</v>
      </c>
      <c r="IAV17" t="s">
        <v>6984</v>
      </c>
      <c r="IAW17" t="s">
        <v>6984</v>
      </c>
      <c r="IAX17" t="s">
        <v>6984</v>
      </c>
      <c r="IAY17" t="s">
        <v>6984</v>
      </c>
      <c r="IAZ17" t="s">
        <v>6984</v>
      </c>
      <c r="IBA17" t="s">
        <v>6984</v>
      </c>
      <c r="IBB17" t="s">
        <v>6984</v>
      </c>
      <c r="IBC17" t="s">
        <v>6984</v>
      </c>
      <c r="IBD17" t="s">
        <v>6984</v>
      </c>
      <c r="IBE17" t="s">
        <v>6984</v>
      </c>
      <c r="IBF17" t="s">
        <v>6984</v>
      </c>
      <c r="IBG17" t="s">
        <v>6984</v>
      </c>
      <c r="IBH17" t="s">
        <v>6984</v>
      </c>
      <c r="IBI17" t="s">
        <v>6984</v>
      </c>
      <c r="IBJ17" t="s">
        <v>6984</v>
      </c>
      <c r="IBK17" t="s">
        <v>6984</v>
      </c>
      <c r="IBL17" t="s">
        <v>6984</v>
      </c>
      <c r="IBM17" t="s">
        <v>6984</v>
      </c>
      <c r="IBN17" t="s">
        <v>6984</v>
      </c>
      <c r="IBO17" t="s">
        <v>6984</v>
      </c>
      <c r="IBP17" t="s">
        <v>6984</v>
      </c>
      <c r="IBQ17" t="s">
        <v>6984</v>
      </c>
      <c r="IBR17" t="s">
        <v>6984</v>
      </c>
      <c r="IBS17" t="s">
        <v>6984</v>
      </c>
      <c r="IBT17" t="s">
        <v>6984</v>
      </c>
      <c r="IBU17" t="s">
        <v>6984</v>
      </c>
      <c r="IBV17" t="s">
        <v>6984</v>
      </c>
      <c r="IBW17" t="s">
        <v>6984</v>
      </c>
      <c r="IBX17" t="s">
        <v>6984</v>
      </c>
      <c r="IBY17" t="s">
        <v>6984</v>
      </c>
      <c r="IBZ17" t="s">
        <v>6984</v>
      </c>
      <c r="ICA17" t="s">
        <v>6984</v>
      </c>
      <c r="ICB17" t="s">
        <v>6984</v>
      </c>
      <c r="ICC17" t="s">
        <v>6984</v>
      </c>
      <c r="ICD17" t="s">
        <v>6984</v>
      </c>
      <c r="ICE17" t="s">
        <v>6984</v>
      </c>
      <c r="ICF17" t="s">
        <v>6984</v>
      </c>
      <c r="ICG17" t="s">
        <v>6984</v>
      </c>
      <c r="ICH17" t="s">
        <v>6984</v>
      </c>
      <c r="ICI17" t="s">
        <v>6984</v>
      </c>
      <c r="ICJ17" t="s">
        <v>6984</v>
      </c>
      <c r="ICK17" t="s">
        <v>6984</v>
      </c>
      <c r="ICL17" t="s">
        <v>6984</v>
      </c>
      <c r="ICM17" t="s">
        <v>6984</v>
      </c>
      <c r="ICN17" t="s">
        <v>6984</v>
      </c>
      <c r="ICO17" t="s">
        <v>6984</v>
      </c>
      <c r="ICP17" t="s">
        <v>6984</v>
      </c>
      <c r="ICQ17" t="s">
        <v>6984</v>
      </c>
      <c r="ICR17" t="s">
        <v>6984</v>
      </c>
      <c r="ICS17" t="s">
        <v>6984</v>
      </c>
      <c r="ICT17" t="s">
        <v>6984</v>
      </c>
      <c r="ICU17" t="s">
        <v>6984</v>
      </c>
      <c r="ICV17" t="s">
        <v>6984</v>
      </c>
      <c r="ICW17" t="s">
        <v>6984</v>
      </c>
      <c r="ICX17" t="s">
        <v>6984</v>
      </c>
      <c r="ICY17" t="s">
        <v>6984</v>
      </c>
      <c r="ICZ17" t="s">
        <v>6984</v>
      </c>
      <c r="IDA17" t="s">
        <v>6984</v>
      </c>
      <c r="IDB17" t="s">
        <v>6984</v>
      </c>
      <c r="IDC17" t="s">
        <v>6984</v>
      </c>
      <c r="IDD17" t="s">
        <v>6984</v>
      </c>
      <c r="IDE17" t="s">
        <v>6984</v>
      </c>
      <c r="IDF17" t="s">
        <v>6984</v>
      </c>
      <c r="IDG17" t="s">
        <v>6984</v>
      </c>
      <c r="IDH17" t="s">
        <v>6984</v>
      </c>
      <c r="IDI17" t="s">
        <v>6984</v>
      </c>
      <c r="IDJ17" t="s">
        <v>6984</v>
      </c>
      <c r="IDK17" t="s">
        <v>6984</v>
      </c>
      <c r="IDL17" t="s">
        <v>6984</v>
      </c>
      <c r="IDM17" t="s">
        <v>6984</v>
      </c>
      <c r="IDN17" t="s">
        <v>6984</v>
      </c>
      <c r="IDO17" t="s">
        <v>6984</v>
      </c>
      <c r="IDP17" t="s">
        <v>6984</v>
      </c>
      <c r="IDQ17" t="s">
        <v>6984</v>
      </c>
      <c r="IDR17" t="s">
        <v>6984</v>
      </c>
      <c r="IDS17" t="s">
        <v>6984</v>
      </c>
      <c r="IDT17" t="s">
        <v>6984</v>
      </c>
      <c r="IDU17" t="s">
        <v>6984</v>
      </c>
      <c r="IDV17" t="s">
        <v>6984</v>
      </c>
      <c r="IDW17" t="s">
        <v>6984</v>
      </c>
      <c r="IDX17" t="s">
        <v>6984</v>
      </c>
      <c r="IDY17" t="s">
        <v>6984</v>
      </c>
      <c r="IDZ17" t="s">
        <v>6984</v>
      </c>
      <c r="IEA17" t="s">
        <v>6984</v>
      </c>
      <c r="IEB17" t="s">
        <v>6984</v>
      </c>
      <c r="IEC17" t="s">
        <v>6984</v>
      </c>
      <c r="IED17" t="s">
        <v>6984</v>
      </c>
      <c r="IEE17" t="s">
        <v>6984</v>
      </c>
      <c r="IEF17" t="s">
        <v>6984</v>
      </c>
      <c r="IEG17" t="s">
        <v>6984</v>
      </c>
      <c r="IEH17" t="s">
        <v>6984</v>
      </c>
      <c r="IEI17" t="s">
        <v>6984</v>
      </c>
      <c r="IEJ17" t="s">
        <v>6984</v>
      </c>
      <c r="IEK17" t="s">
        <v>6984</v>
      </c>
      <c r="IEL17" t="s">
        <v>6984</v>
      </c>
      <c r="IEM17" t="s">
        <v>6984</v>
      </c>
      <c r="IEN17" t="s">
        <v>6984</v>
      </c>
      <c r="IEO17" t="s">
        <v>6984</v>
      </c>
      <c r="IEP17" t="s">
        <v>6984</v>
      </c>
      <c r="IEQ17" t="s">
        <v>6984</v>
      </c>
      <c r="IER17" t="s">
        <v>6984</v>
      </c>
      <c r="IES17" t="s">
        <v>6984</v>
      </c>
      <c r="IET17" t="s">
        <v>6984</v>
      </c>
      <c r="IEU17" t="s">
        <v>6984</v>
      </c>
      <c r="IEV17" t="s">
        <v>6984</v>
      </c>
      <c r="IEW17" t="s">
        <v>6984</v>
      </c>
      <c r="IEX17" t="s">
        <v>6984</v>
      </c>
      <c r="IEY17" t="s">
        <v>6984</v>
      </c>
      <c r="IEZ17" t="s">
        <v>6984</v>
      </c>
      <c r="IFA17" t="s">
        <v>6984</v>
      </c>
      <c r="IFB17" t="s">
        <v>6984</v>
      </c>
      <c r="IFC17" t="s">
        <v>6984</v>
      </c>
      <c r="IFD17" t="s">
        <v>6984</v>
      </c>
      <c r="IFE17" t="s">
        <v>6984</v>
      </c>
      <c r="IFF17" t="s">
        <v>6984</v>
      </c>
      <c r="IFG17" t="s">
        <v>6984</v>
      </c>
      <c r="IFH17" t="s">
        <v>6984</v>
      </c>
      <c r="IFI17" t="s">
        <v>6984</v>
      </c>
      <c r="IFJ17" t="s">
        <v>6984</v>
      </c>
      <c r="IFK17" t="s">
        <v>6984</v>
      </c>
      <c r="IFL17" t="s">
        <v>6984</v>
      </c>
      <c r="IFM17" t="s">
        <v>6984</v>
      </c>
      <c r="IFN17" t="s">
        <v>6984</v>
      </c>
      <c r="IFO17" t="s">
        <v>6984</v>
      </c>
      <c r="IFP17" t="s">
        <v>6984</v>
      </c>
      <c r="IFQ17" t="s">
        <v>6984</v>
      </c>
      <c r="IFR17" t="s">
        <v>6984</v>
      </c>
      <c r="IFS17" t="s">
        <v>6984</v>
      </c>
      <c r="IFT17" t="s">
        <v>6984</v>
      </c>
      <c r="IFU17" t="s">
        <v>6984</v>
      </c>
      <c r="IFV17" t="s">
        <v>6984</v>
      </c>
      <c r="IFW17" t="s">
        <v>6984</v>
      </c>
      <c r="IFX17" t="s">
        <v>6984</v>
      </c>
      <c r="IFY17" t="s">
        <v>6984</v>
      </c>
      <c r="IFZ17" t="s">
        <v>6984</v>
      </c>
      <c r="IGA17" t="s">
        <v>6984</v>
      </c>
      <c r="IGB17" t="s">
        <v>6984</v>
      </c>
      <c r="IGC17" t="s">
        <v>6984</v>
      </c>
      <c r="IGD17" t="s">
        <v>6984</v>
      </c>
      <c r="IGE17" t="s">
        <v>6984</v>
      </c>
      <c r="IGF17" t="s">
        <v>6984</v>
      </c>
      <c r="IGG17" t="s">
        <v>6984</v>
      </c>
      <c r="IGH17" t="s">
        <v>6984</v>
      </c>
      <c r="IGI17" t="s">
        <v>6984</v>
      </c>
      <c r="IGJ17" t="s">
        <v>6984</v>
      </c>
      <c r="IGK17" t="s">
        <v>6984</v>
      </c>
      <c r="IGL17" t="s">
        <v>6984</v>
      </c>
      <c r="IGM17" t="s">
        <v>6984</v>
      </c>
      <c r="IGN17" t="s">
        <v>6984</v>
      </c>
      <c r="IGO17" t="s">
        <v>6984</v>
      </c>
      <c r="IGP17" t="s">
        <v>6984</v>
      </c>
      <c r="IGQ17" t="s">
        <v>6984</v>
      </c>
      <c r="IGR17" t="s">
        <v>6984</v>
      </c>
      <c r="IGS17" t="s">
        <v>6984</v>
      </c>
      <c r="IGT17" t="s">
        <v>6984</v>
      </c>
      <c r="IGU17" t="s">
        <v>6984</v>
      </c>
      <c r="IGV17" t="s">
        <v>6984</v>
      </c>
      <c r="IGW17" t="s">
        <v>6984</v>
      </c>
      <c r="IGX17" t="s">
        <v>6984</v>
      </c>
      <c r="IGY17" t="s">
        <v>6984</v>
      </c>
      <c r="IGZ17" t="s">
        <v>6984</v>
      </c>
      <c r="IHA17" t="s">
        <v>6984</v>
      </c>
      <c r="IHB17" t="s">
        <v>6984</v>
      </c>
      <c r="IHC17" t="s">
        <v>6984</v>
      </c>
      <c r="IHD17" t="s">
        <v>6984</v>
      </c>
      <c r="IHE17" t="s">
        <v>6984</v>
      </c>
      <c r="IHF17" t="s">
        <v>6984</v>
      </c>
      <c r="IHG17" t="s">
        <v>6984</v>
      </c>
      <c r="IHH17" t="s">
        <v>6984</v>
      </c>
      <c r="IHI17" t="s">
        <v>6984</v>
      </c>
      <c r="IHJ17" t="s">
        <v>6984</v>
      </c>
      <c r="IHK17" t="s">
        <v>6984</v>
      </c>
      <c r="IHL17" t="s">
        <v>6984</v>
      </c>
      <c r="IHM17" t="s">
        <v>6984</v>
      </c>
      <c r="IHN17" t="s">
        <v>6984</v>
      </c>
      <c r="IHO17" t="s">
        <v>6984</v>
      </c>
      <c r="IHP17" t="s">
        <v>6984</v>
      </c>
      <c r="IHQ17" t="s">
        <v>6984</v>
      </c>
      <c r="IHR17" t="s">
        <v>6984</v>
      </c>
      <c r="IHS17" t="s">
        <v>6984</v>
      </c>
      <c r="IHT17" t="s">
        <v>6984</v>
      </c>
      <c r="IHU17" t="s">
        <v>6984</v>
      </c>
      <c r="IHV17" t="s">
        <v>6984</v>
      </c>
      <c r="IHW17" t="s">
        <v>6984</v>
      </c>
      <c r="IHX17" t="s">
        <v>6984</v>
      </c>
      <c r="IHY17" t="s">
        <v>6984</v>
      </c>
      <c r="IHZ17" t="s">
        <v>6984</v>
      </c>
      <c r="IIA17" t="s">
        <v>6984</v>
      </c>
      <c r="IIB17" t="s">
        <v>6984</v>
      </c>
      <c r="IIC17" t="s">
        <v>6984</v>
      </c>
      <c r="IID17" t="s">
        <v>6984</v>
      </c>
      <c r="IIE17" t="s">
        <v>6984</v>
      </c>
      <c r="IIF17" t="s">
        <v>6984</v>
      </c>
      <c r="IIG17" t="s">
        <v>6984</v>
      </c>
      <c r="IIH17" t="s">
        <v>6984</v>
      </c>
      <c r="III17" t="s">
        <v>6984</v>
      </c>
      <c r="IIJ17" t="s">
        <v>6984</v>
      </c>
      <c r="IIK17" t="s">
        <v>6984</v>
      </c>
      <c r="IIL17" t="s">
        <v>6984</v>
      </c>
      <c r="IIM17" t="s">
        <v>6984</v>
      </c>
      <c r="IIN17" t="s">
        <v>6984</v>
      </c>
      <c r="IIO17" t="s">
        <v>6984</v>
      </c>
      <c r="IIP17" t="s">
        <v>6984</v>
      </c>
      <c r="IIQ17" t="s">
        <v>6984</v>
      </c>
      <c r="IIR17" t="s">
        <v>6984</v>
      </c>
      <c r="IIS17" t="s">
        <v>6984</v>
      </c>
      <c r="IIT17" t="s">
        <v>6984</v>
      </c>
      <c r="IIU17" t="s">
        <v>6984</v>
      </c>
      <c r="IIV17" t="s">
        <v>6984</v>
      </c>
      <c r="IIW17" t="s">
        <v>6984</v>
      </c>
      <c r="IIX17" t="s">
        <v>6984</v>
      </c>
      <c r="IIY17" t="s">
        <v>6984</v>
      </c>
      <c r="IIZ17" t="s">
        <v>6984</v>
      </c>
      <c r="IJA17" t="s">
        <v>6984</v>
      </c>
      <c r="IJB17" t="s">
        <v>6984</v>
      </c>
      <c r="IJC17" t="s">
        <v>6984</v>
      </c>
      <c r="IJD17" t="s">
        <v>6984</v>
      </c>
      <c r="IJE17" t="s">
        <v>6984</v>
      </c>
      <c r="IJF17" t="s">
        <v>6984</v>
      </c>
      <c r="IJG17" t="s">
        <v>6984</v>
      </c>
      <c r="IJH17" t="s">
        <v>6984</v>
      </c>
      <c r="IJI17" t="s">
        <v>6984</v>
      </c>
      <c r="IJJ17" t="s">
        <v>6984</v>
      </c>
      <c r="IJK17" t="s">
        <v>6984</v>
      </c>
      <c r="IJL17" t="s">
        <v>6984</v>
      </c>
      <c r="IJM17" t="s">
        <v>6984</v>
      </c>
      <c r="IJN17" t="s">
        <v>6984</v>
      </c>
      <c r="IJO17" t="s">
        <v>6984</v>
      </c>
      <c r="IJP17" t="s">
        <v>6984</v>
      </c>
      <c r="IJQ17" t="s">
        <v>6984</v>
      </c>
      <c r="IJR17" t="s">
        <v>6984</v>
      </c>
      <c r="IJS17" t="s">
        <v>6984</v>
      </c>
      <c r="IJT17" t="s">
        <v>6984</v>
      </c>
      <c r="IJU17" t="s">
        <v>6984</v>
      </c>
      <c r="IJV17" t="s">
        <v>6984</v>
      </c>
      <c r="IJW17" t="s">
        <v>6984</v>
      </c>
      <c r="IJX17" t="s">
        <v>6984</v>
      </c>
      <c r="IJY17" t="s">
        <v>6984</v>
      </c>
      <c r="IJZ17" t="s">
        <v>6984</v>
      </c>
      <c r="IKA17" t="s">
        <v>6984</v>
      </c>
      <c r="IKB17" t="s">
        <v>6984</v>
      </c>
      <c r="IKC17" t="s">
        <v>6984</v>
      </c>
      <c r="IKD17" t="s">
        <v>6984</v>
      </c>
      <c r="IKE17" t="s">
        <v>6984</v>
      </c>
      <c r="IKF17" t="s">
        <v>6984</v>
      </c>
      <c r="IKG17" t="s">
        <v>6984</v>
      </c>
      <c r="IKH17" t="s">
        <v>6984</v>
      </c>
      <c r="IKI17" t="s">
        <v>6984</v>
      </c>
      <c r="IKJ17" t="s">
        <v>6984</v>
      </c>
      <c r="IKK17" t="s">
        <v>6984</v>
      </c>
      <c r="IKL17" t="s">
        <v>6984</v>
      </c>
      <c r="IKM17" t="s">
        <v>6984</v>
      </c>
      <c r="IKN17" t="s">
        <v>6984</v>
      </c>
      <c r="IKO17" t="s">
        <v>6984</v>
      </c>
      <c r="IKP17" t="s">
        <v>6984</v>
      </c>
      <c r="IKQ17" t="s">
        <v>6984</v>
      </c>
      <c r="IKR17" t="s">
        <v>6984</v>
      </c>
      <c r="IKS17" t="s">
        <v>6984</v>
      </c>
      <c r="IKT17" t="s">
        <v>6984</v>
      </c>
      <c r="IKU17" t="s">
        <v>6984</v>
      </c>
      <c r="IKV17" t="s">
        <v>6984</v>
      </c>
      <c r="IKW17" t="s">
        <v>6984</v>
      </c>
      <c r="IKX17" t="s">
        <v>6984</v>
      </c>
      <c r="IKY17" t="s">
        <v>6984</v>
      </c>
      <c r="IKZ17" t="s">
        <v>6984</v>
      </c>
      <c r="ILA17" t="s">
        <v>6984</v>
      </c>
      <c r="ILB17" t="s">
        <v>6984</v>
      </c>
      <c r="ILC17" t="s">
        <v>6984</v>
      </c>
      <c r="ILD17" t="s">
        <v>6984</v>
      </c>
      <c r="ILE17" t="s">
        <v>6984</v>
      </c>
      <c r="ILF17" t="s">
        <v>6984</v>
      </c>
      <c r="ILG17" t="s">
        <v>6984</v>
      </c>
      <c r="ILH17" t="s">
        <v>6984</v>
      </c>
      <c r="ILI17" t="s">
        <v>6984</v>
      </c>
      <c r="ILJ17" t="s">
        <v>6984</v>
      </c>
      <c r="ILK17" t="s">
        <v>6984</v>
      </c>
      <c r="ILL17" t="s">
        <v>6984</v>
      </c>
      <c r="ILM17" t="s">
        <v>6984</v>
      </c>
      <c r="ILN17" t="s">
        <v>6984</v>
      </c>
      <c r="ILO17" t="s">
        <v>6984</v>
      </c>
      <c r="ILP17" t="s">
        <v>6984</v>
      </c>
      <c r="ILQ17" t="s">
        <v>6984</v>
      </c>
      <c r="ILR17" t="s">
        <v>6984</v>
      </c>
      <c r="ILS17" t="s">
        <v>6984</v>
      </c>
      <c r="ILT17" t="s">
        <v>6984</v>
      </c>
      <c r="ILU17" t="s">
        <v>6984</v>
      </c>
      <c r="ILV17" t="s">
        <v>6984</v>
      </c>
      <c r="ILW17" t="s">
        <v>6984</v>
      </c>
      <c r="ILX17" t="s">
        <v>6984</v>
      </c>
      <c r="ILY17" t="s">
        <v>6984</v>
      </c>
      <c r="ILZ17" t="s">
        <v>6984</v>
      </c>
      <c r="IMA17" t="s">
        <v>6984</v>
      </c>
      <c r="IMB17" t="s">
        <v>6984</v>
      </c>
      <c r="IMC17" t="s">
        <v>6984</v>
      </c>
      <c r="IMD17" t="s">
        <v>6984</v>
      </c>
      <c r="IME17" t="s">
        <v>6984</v>
      </c>
      <c r="IMF17" t="s">
        <v>6984</v>
      </c>
      <c r="IMG17" t="s">
        <v>6984</v>
      </c>
      <c r="IMH17" t="s">
        <v>6984</v>
      </c>
      <c r="IMI17" t="s">
        <v>6984</v>
      </c>
      <c r="IMJ17" t="s">
        <v>6984</v>
      </c>
      <c r="IMK17" t="s">
        <v>6984</v>
      </c>
      <c r="IML17" t="s">
        <v>6984</v>
      </c>
      <c r="IMM17" t="s">
        <v>6984</v>
      </c>
      <c r="IMN17" t="s">
        <v>6984</v>
      </c>
      <c r="IMO17" t="s">
        <v>6984</v>
      </c>
      <c r="IMP17" t="s">
        <v>6984</v>
      </c>
      <c r="IMQ17" t="s">
        <v>6984</v>
      </c>
      <c r="IMR17" t="s">
        <v>6984</v>
      </c>
      <c r="IMS17" t="s">
        <v>6984</v>
      </c>
      <c r="IMT17" t="s">
        <v>6984</v>
      </c>
      <c r="IMU17" t="s">
        <v>6984</v>
      </c>
      <c r="IMV17" t="s">
        <v>6984</v>
      </c>
      <c r="IMW17" t="s">
        <v>6984</v>
      </c>
      <c r="IMX17" t="s">
        <v>6984</v>
      </c>
      <c r="IMY17" t="s">
        <v>6984</v>
      </c>
      <c r="IMZ17" t="s">
        <v>6984</v>
      </c>
      <c r="INA17" t="s">
        <v>6984</v>
      </c>
      <c r="INB17" t="s">
        <v>6984</v>
      </c>
      <c r="INC17" t="s">
        <v>6984</v>
      </c>
      <c r="IND17" t="s">
        <v>6984</v>
      </c>
      <c r="INE17" t="s">
        <v>6984</v>
      </c>
      <c r="INF17" t="s">
        <v>6984</v>
      </c>
      <c r="ING17" t="s">
        <v>6984</v>
      </c>
      <c r="INH17" t="s">
        <v>6984</v>
      </c>
      <c r="INI17" t="s">
        <v>6984</v>
      </c>
      <c r="INJ17" t="s">
        <v>6984</v>
      </c>
      <c r="INK17" t="s">
        <v>6984</v>
      </c>
      <c r="INL17" t="s">
        <v>6984</v>
      </c>
      <c r="INM17" t="s">
        <v>6984</v>
      </c>
      <c r="INN17" t="s">
        <v>6984</v>
      </c>
      <c r="INO17" t="s">
        <v>6984</v>
      </c>
      <c r="INP17" t="s">
        <v>6984</v>
      </c>
      <c r="INQ17" t="s">
        <v>6984</v>
      </c>
      <c r="INR17" t="s">
        <v>6984</v>
      </c>
      <c r="INS17" t="s">
        <v>6984</v>
      </c>
      <c r="INT17" t="s">
        <v>6984</v>
      </c>
      <c r="INU17" t="s">
        <v>6984</v>
      </c>
      <c r="INV17" t="s">
        <v>6984</v>
      </c>
      <c r="INW17" t="s">
        <v>6984</v>
      </c>
      <c r="INX17" t="s">
        <v>6984</v>
      </c>
      <c r="INY17" t="s">
        <v>6984</v>
      </c>
      <c r="INZ17" t="s">
        <v>6984</v>
      </c>
      <c r="IOA17" t="s">
        <v>6984</v>
      </c>
      <c r="IOB17" t="s">
        <v>6984</v>
      </c>
      <c r="IOC17" t="s">
        <v>6984</v>
      </c>
      <c r="IOD17" t="s">
        <v>6984</v>
      </c>
      <c r="IOE17" t="s">
        <v>6984</v>
      </c>
      <c r="IOF17" t="s">
        <v>6984</v>
      </c>
      <c r="IOG17" t="s">
        <v>6984</v>
      </c>
      <c r="IOH17" t="s">
        <v>6984</v>
      </c>
      <c r="IOI17" t="s">
        <v>6984</v>
      </c>
      <c r="IOJ17" t="s">
        <v>6984</v>
      </c>
      <c r="IOK17" t="s">
        <v>6984</v>
      </c>
      <c r="IOL17" t="s">
        <v>6984</v>
      </c>
      <c r="IOM17" t="s">
        <v>6984</v>
      </c>
      <c r="ION17" t="s">
        <v>6984</v>
      </c>
      <c r="IOO17" t="s">
        <v>6984</v>
      </c>
      <c r="IOP17" t="s">
        <v>6984</v>
      </c>
      <c r="IOQ17" t="s">
        <v>6984</v>
      </c>
      <c r="IOR17" t="s">
        <v>6984</v>
      </c>
      <c r="IOS17" t="s">
        <v>6984</v>
      </c>
      <c r="IOT17" t="s">
        <v>6984</v>
      </c>
      <c r="IOU17" t="s">
        <v>6984</v>
      </c>
      <c r="IOV17" t="s">
        <v>6984</v>
      </c>
      <c r="IOW17" t="s">
        <v>6984</v>
      </c>
      <c r="IOX17" t="s">
        <v>6984</v>
      </c>
      <c r="IOY17" t="s">
        <v>6984</v>
      </c>
      <c r="IOZ17" t="s">
        <v>6984</v>
      </c>
      <c r="IPA17" t="s">
        <v>6984</v>
      </c>
      <c r="IPB17" t="s">
        <v>6984</v>
      </c>
      <c r="IPC17" t="s">
        <v>6984</v>
      </c>
      <c r="IPD17" t="s">
        <v>6984</v>
      </c>
      <c r="IPE17" t="s">
        <v>6984</v>
      </c>
      <c r="IPF17" t="s">
        <v>6984</v>
      </c>
      <c r="IPG17" t="s">
        <v>6984</v>
      </c>
      <c r="IPH17" t="s">
        <v>6984</v>
      </c>
      <c r="IPI17" t="s">
        <v>6984</v>
      </c>
      <c r="IPJ17" t="s">
        <v>6984</v>
      </c>
      <c r="IPK17" t="s">
        <v>6984</v>
      </c>
      <c r="IPL17" t="s">
        <v>6984</v>
      </c>
      <c r="IPM17" t="s">
        <v>6984</v>
      </c>
      <c r="IPN17" t="s">
        <v>6984</v>
      </c>
      <c r="IPO17" t="s">
        <v>6984</v>
      </c>
      <c r="IPP17" t="s">
        <v>6984</v>
      </c>
      <c r="IPQ17" t="s">
        <v>6984</v>
      </c>
      <c r="IPR17" t="s">
        <v>6984</v>
      </c>
      <c r="IPS17" t="s">
        <v>6984</v>
      </c>
      <c r="IPT17" t="s">
        <v>6984</v>
      </c>
      <c r="IPU17" t="s">
        <v>6984</v>
      </c>
      <c r="IPV17" t="s">
        <v>6984</v>
      </c>
      <c r="IPW17" t="s">
        <v>6984</v>
      </c>
      <c r="IPX17" t="s">
        <v>6984</v>
      </c>
      <c r="IPY17" t="s">
        <v>6984</v>
      </c>
      <c r="IPZ17" t="s">
        <v>6984</v>
      </c>
      <c r="IQA17" t="s">
        <v>6984</v>
      </c>
      <c r="IQB17" t="s">
        <v>6984</v>
      </c>
      <c r="IQC17" t="s">
        <v>6984</v>
      </c>
      <c r="IQD17" t="s">
        <v>6984</v>
      </c>
      <c r="IQE17" t="s">
        <v>6984</v>
      </c>
      <c r="IQF17" t="s">
        <v>6984</v>
      </c>
      <c r="IQG17" t="s">
        <v>6984</v>
      </c>
      <c r="IQH17" t="s">
        <v>6984</v>
      </c>
      <c r="IQI17" t="s">
        <v>6984</v>
      </c>
      <c r="IQJ17" t="s">
        <v>6984</v>
      </c>
      <c r="IQK17" t="s">
        <v>6984</v>
      </c>
      <c r="IQL17" t="s">
        <v>6984</v>
      </c>
      <c r="IQM17" t="s">
        <v>6984</v>
      </c>
      <c r="IQN17" t="s">
        <v>6984</v>
      </c>
      <c r="IQO17" t="s">
        <v>6984</v>
      </c>
      <c r="IQP17" t="s">
        <v>6984</v>
      </c>
      <c r="IQQ17" t="s">
        <v>6984</v>
      </c>
      <c r="IQR17" t="s">
        <v>6984</v>
      </c>
      <c r="IQS17" t="s">
        <v>6984</v>
      </c>
      <c r="IQT17" t="s">
        <v>6984</v>
      </c>
      <c r="IQU17" t="s">
        <v>6984</v>
      </c>
      <c r="IQV17" t="s">
        <v>6984</v>
      </c>
      <c r="IQW17" t="s">
        <v>6984</v>
      </c>
      <c r="IQX17" t="s">
        <v>6984</v>
      </c>
      <c r="IQY17" t="s">
        <v>6984</v>
      </c>
      <c r="IQZ17" t="s">
        <v>6984</v>
      </c>
      <c r="IRA17" t="s">
        <v>6984</v>
      </c>
      <c r="IRB17" t="s">
        <v>6984</v>
      </c>
      <c r="IRC17" t="s">
        <v>6984</v>
      </c>
      <c r="IRD17" t="s">
        <v>6984</v>
      </c>
      <c r="IRE17" t="s">
        <v>6984</v>
      </c>
      <c r="IRF17" t="s">
        <v>6984</v>
      </c>
      <c r="IRG17" t="s">
        <v>6984</v>
      </c>
      <c r="IRH17" t="s">
        <v>6984</v>
      </c>
      <c r="IRI17" t="s">
        <v>6984</v>
      </c>
      <c r="IRJ17" t="s">
        <v>6984</v>
      </c>
      <c r="IRK17" t="s">
        <v>6984</v>
      </c>
      <c r="IRL17" t="s">
        <v>6984</v>
      </c>
      <c r="IRM17" t="s">
        <v>6984</v>
      </c>
      <c r="IRN17" t="s">
        <v>6984</v>
      </c>
      <c r="IRO17" t="s">
        <v>6984</v>
      </c>
      <c r="IRP17" t="s">
        <v>6984</v>
      </c>
      <c r="IRQ17" t="s">
        <v>6984</v>
      </c>
      <c r="IRR17" t="s">
        <v>6984</v>
      </c>
      <c r="IRS17" t="s">
        <v>6984</v>
      </c>
      <c r="IRT17" t="s">
        <v>6984</v>
      </c>
      <c r="IRU17" t="s">
        <v>6984</v>
      </c>
      <c r="IRV17" t="s">
        <v>6984</v>
      </c>
      <c r="IRW17" t="s">
        <v>6984</v>
      </c>
      <c r="IRX17" t="s">
        <v>6984</v>
      </c>
      <c r="IRY17" t="s">
        <v>6984</v>
      </c>
      <c r="IRZ17" t="s">
        <v>6984</v>
      </c>
      <c r="ISA17" t="s">
        <v>6984</v>
      </c>
      <c r="ISB17" t="s">
        <v>6984</v>
      </c>
      <c r="ISC17" t="s">
        <v>6984</v>
      </c>
      <c r="ISD17" t="s">
        <v>6984</v>
      </c>
      <c r="ISE17" t="s">
        <v>6984</v>
      </c>
      <c r="ISF17" t="s">
        <v>6984</v>
      </c>
      <c r="ISG17" t="s">
        <v>6984</v>
      </c>
      <c r="ISH17" t="s">
        <v>6984</v>
      </c>
      <c r="ISI17" t="s">
        <v>6984</v>
      </c>
      <c r="ISJ17" t="s">
        <v>6984</v>
      </c>
      <c r="ISK17" t="s">
        <v>6984</v>
      </c>
      <c r="ISL17" t="s">
        <v>6984</v>
      </c>
      <c r="ISM17" t="s">
        <v>6984</v>
      </c>
      <c r="ISN17" t="s">
        <v>6984</v>
      </c>
      <c r="ISO17" t="s">
        <v>6984</v>
      </c>
      <c r="ISP17" t="s">
        <v>6984</v>
      </c>
      <c r="ISQ17" t="s">
        <v>6984</v>
      </c>
      <c r="ISR17" t="s">
        <v>6984</v>
      </c>
      <c r="ISS17" t="s">
        <v>6984</v>
      </c>
      <c r="IST17" t="s">
        <v>6984</v>
      </c>
      <c r="ISU17" t="s">
        <v>6984</v>
      </c>
      <c r="ISV17" t="s">
        <v>6984</v>
      </c>
      <c r="ISW17" t="s">
        <v>6984</v>
      </c>
      <c r="ISX17" t="s">
        <v>6984</v>
      </c>
      <c r="ISY17" t="s">
        <v>6984</v>
      </c>
      <c r="ISZ17" t="s">
        <v>6984</v>
      </c>
      <c r="ITA17" t="s">
        <v>6984</v>
      </c>
      <c r="ITB17" t="s">
        <v>6984</v>
      </c>
      <c r="ITC17" t="s">
        <v>6984</v>
      </c>
      <c r="ITD17" t="s">
        <v>6984</v>
      </c>
      <c r="ITE17" t="s">
        <v>6984</v>
      </c>
      <c r="ITF17" t="s">
        <v>6984</v>
      </c>
      <c r="ITG17" t="s">
        <v>6984</v>
      </c>
      <c r="ITH17" t="s">
        <v>6984</v>
      </c>
      <c r="ITI17" t="s">
        <v>6984</v>
      </c>
      <c r="ITJ17" t="s">
        <v>6984</v>
      </c>
      <c r="ITK17" t="s">
        <v>6984</v>
      </c>
      <c r="ITL17" t="s">
        <v>6984</v>
      </c>
      <c r="ITM17" t="s">
        <v>6984</v>
      </c>
      <c r="ITN17" t="s">
        <v>6984</v>
      </c>
      <c r="ITO17" t="s">
        <v>6984</v>
      </c>
      <c r="ITP17" t="s">
        <v>6984</v>
      </c>
      <c r="ITQ17" t="s">
        <v>6984</v>
      </c>
      <c r="ITR17" t="s">
        <v>6984</v>
      </c>
      <c r="ITS17" t="s">
        <v>6984</v>
      </c>
      <c r="ITT17" t="s">
        <v>6984</v>
      </c>
      <c r="ITU17" t="s">
        <v>6984</v>
      </c>
      <c r="ITV17" t="s">
        <v>6984</v>
      </c>
      <c r="ITW17" t="s">
        <v>6984</v>
      </c>
      <c r="ITX17" t="s">
        <v>6984</v>
      </c>
      <c r="ITY17" t="s">
        <v>6984</v>
      </c>
      <c r="ITZ17" t="s">
        <v>6984</v>
      </c>
      <c r="IUA17" t="s">
        <v>6984</v>
      </c>
      <c r="IUB17" t="s">
        <v>6984</v>
      </c>
      <c r="IUC17" t="s">
        <v>6984</v>
      </c>
      <c r="IUD17" t="s">
        <v>6984</v>
      </c>
      <c r="IUE17" t="s">
        <v>6984</v>
      </c>
      <c r="IUF17" t="s">
        <v>6984</v>
      </c>
      <c r="IUG17" t="s">
        <v>6984</v>
      </c>
      <c r="IUH17" t="s">
        <v>6984</v>
      </c>
      <c r="IUI17" t="s">
        <v>6984</v>
      </c>
      <c r="IUJ17" t="s">
        <v>6984</v>
      </c>
      <c r="IUK17" t="s">
        <v>6984</v>
      </c>
      <c r="IUL17" t="s">
        <v>6984</v>
      </c>
      <c r="IUM17" t="s">
        <v>6984</v>
      </c>
      <c r="IUN17" t="s">
        <v>6984</v>
      </c>
      <c r="IUO17" t="s">
        <v>6984</v>
      </c>
      <c r="IUP17" t="s">
        <v>6984</v>
      </c>
      <c r="IUQ17" t="s">
        <v>6984</v>
      </c>
      <c r="IUR17" t="s">
        <v>6984</v>
      </c>
      <c r="IUS17" t="s">
        <v>6984</v>
      </c>
      <c r="IUT17" t="s">
        <v>6984</v>
      </c>
      <c r="IUU17" t="s">
        <v>6984</v>
      </c>
      <c r="IUV17" t="s">
        <v>6984</v>
      </c>
      <c r="IUW17" t="s">
        <v>6984</v>
      </c>
      <c r="IUX17" t="s">
        <v>6984</v>
      </c>
      <c r="IUY17" t="s">
        <v>6984</v>
      </c>
      <c r="IUZ17" t="s">
        <v>6984</v>
      </c>
      <c r="IVA17" t="s">
        <v>6984</v>
      </c>
      <c r="IVB17" t="s">
        <v>6984</v>
      </c>
      <c r="IVC17" t="s">
        <v>6984</v>
      </c>
      <c r="IVD17" t="s">
        <v>6984</v>
      </c>
      <c r="IVE17" t="s">
        <v>6984</v>
      </c>
      <c r="IVF17" t="s">
        <v>6984</v>
      </c>
      <c r="IVG17" t="s">
        <v>6984</v>
      </c>
      <c r="IVH17" t="s">
        <v>6984</v>
      </c>
      <c r="IVI17" t="s">
        <v>6984</v>
      </c>
      <c r="IVJ17" t="s">
        <v>6984</v>
      </c>
      <c r="IVK17" t="s">
        <v>6984</v>
      </c>
      <c r="IVL17" t="s">
        <v>6984</v>
      </c>
      <c r="IVM17" t="s">
        <v>6984</v>
      </c>
      <c r="IVN17" t="s">
        <v>6984</v>
      </c>
      <c r="IVO17" t="s">
        <v>6984</v>
      </c>
      <c r="IVP17" t="s">
        <v>6984</v>
      </c>
      <c r="IVQ17" t="s">
        <v>6984</v>
      </c>
      <c r="IVR17" t="s">
        <v>6984</v>
      </c>
      <c r="IVS17" t="s">
        <v>6984</v>
      </c>
      <c r="IVT17" t="s">
        <v>6984</v>
      </c>
      <c r="IVU17" t="s">
        <v>6984</v>
      </c>
      <c r="IVV17" t="s">
        <v>6984</v>
      </c>
      <c r="IVW17" t="s">
        <v>6984</v>
      </c>
      <c r="IVX17" t="s">
        <v>6984</v>
      </c>
      <c r="IVY17" t="s">
        <v>6984</v>
      </c>
      <c r="IVZ17" t="s">
        <v>6984</v>
      </c>
      <c r="IWA17" t="s">
        <v>6984</v>
      </c>
      <c r="IWB17" t="s">
        <v>6984</v>
      </c>
      <c r="IWC17" t="s">
        <v>6984</v>
      </c>
      <c r="IWD17" t="s">
        <v>6984</v>
      </c>
      <c r="IWE17" t="s">
        <v>6984</v>
      </c>
      <c r="IWF17" t="s">
        <v>6984</v>
      </c>
      <c r="IWG17" t="s">
        <v>6984</v>
      </c>
      <c r="IWH17" t="s">
        <v>6984</v>
      </c>
      <c r="IWI17" t="s">
        <v>6984</v>
      </c>
      <c r="IWJ17" t="s">
        <v>6984</v>
      </c>
      <c r="IWK17" t="s">
        <v>6984</v>
      </c>
      <c r="IWL17" t="s">
        <v>6984</v>
      </c>
      <c r="IWM17" t="s">
        <v>6984</v>
      </c>
      <c r="IWN17" t="s">
        <v>6984</v>
      </c>
      <c r="IWO17" t="s">
        <v>6984</v>
      </c>
      <c r="IWP17" t="s">
        <v>6984</v>
      </c>
      <c r="IWQ17" t="s">
        <v>6984</v>
      </c>
      <c r="IWR17" t="s">
        <v>6984</v>
      </c>
      <c r="IWS17" t="s">
        <v>6984</v>
      </c>
      <c r="IWT17" t="s">
        <v>6984</v>
      </c>
      <c r="IWU17" t="s">
        <v>6984</v>
      </c>
      <c r="IWV17" t="s">
        <v>6984</v>
      </c>
      <c r="IWW17" t="s">
        <v>6984</v>
      </c>
      <c r="IWX17" t="s">
        <v>6984</v>
      </c>
      <c r="IWY17" t="s">
        <v>6984</v>
      </c>
      <c r="IWZ17" t="s">
        <v>6984</v>
      </c>
      <c r="IXA17" t="s">
        <v>6984</v>
      </c>
      <c r="IXB17" t="s">
        <v>6984</v>
      </c>
      <c r="IXC17" t="s">
        <v>6984</v>
      </c>
      <c r="IXD17" t="s">
        <v>6984</v>
      </c>
      <c r="IXE17" t="s">
        <v>6984</v>
      </c>
      <c r="IXF17" t="s">
        <v>6984</v>
      </c>
      <c r="IXG17" t="s">
        <v>6984</v>
      </c>
      <c r="IXH17" t="s">
        <v>6984</v>
      </c>
      <c r="IXI17" t="s">
        <v>6984</v>
      </c>
      <c r="IXJ17" t="s">
        <v>6984</v>
      </c>
      <c r="IXK17" t="s">
        <v>6984</v>
      </c>
      <c r="IXL17" t="s">
        <v>6984</v>
      </c>
      <c r="IXM17" t="s">
        <v>6984</v>
      </c>
      <c r="IXN17" t="s">
        <v>6984</v>
      </c>
      <c r="IXO17" t="s">
        <v>6984</v>
      </c>
      <c r="IXP17" t="s">
        <v>6984</v>
      </c>
      <c r="IXQ17" t="s">
        <v>6984</v>
      </c>
      <c r="IXR17" t="s">
        <v>6984</v>
      </c>
      <c r="IXS17" t="s">
        <v>6984</v>
      </c>
      <c r="IXT17" t="s">
        <v>6984</v>
      </c>
      <c r="IXU17" t="s">
        <v>6984</v>
      </c>
      <c r="IXV17" t="s">
        <v>6984</v>
      </c>
      <c r="IXW17" t="s">
        <v>6984</v>
      </c>
      <c r="IXX17" t="s">
        <v>6984</v>
      </c>
      <c r="IXY17" t="s">
        <v>6984</v>
      </c>
      <c r="IXZ17" t="s">
        <v>6984</v>
      </c>
      <c r="IYA17" t="s">
        <v>6984</v>
      </c>
      <c r="IYB17" t="s">
        <v>6984</v>
      </c>
      <c r="IYC17" t="s">
        <v>6984</v>
      </c>
      <c r="IYD17" t="s">
        <v>6984</v>
      </c>
      <c r="IYE17" t="s">
        <v>6984</v>
      </c>
      <c r="IYF17" t="s">
        <v>6984</v>
      </c>
      <c r="IYG17" t="s">
        <v>6984</v>
      </c>
      <c r="IYH17" t="s">
        <v>6984</v>
      </c>
      <c r="IYI17" t="s">
        <v>6984</v>
      </c>
      <c r="IYJ17" t="s">
        <v>6984</v>
      </c>
      <c r="IYK17" t="s">
        <v>6984</v>
      </c>
      <c r="IYL17" t="s">
        <v>6984</v>
      </c>
      <c r="IYM17" t="s">
        <v>6984</v>
      </c>
      <c r="IYN17" t="s">
        <v>6984</v>
      </c>
      <c r="IYO17" t="s">
        <v>6984</v>
      </c>
      <c r="IYP17" t="s">
        <v>6984</v>
      </c>
      <c r="IYQ17" t="s">
        <v>6984</v>
      </c>
      <c r="IYR17" t="s">
        <v>6984</v>
      </c>
      <c r="IYS17" t="s">
        <v>6984</v>
      </c>
      <c r="IYT17" t="s">
        <v>6984</v>
      </c>
      <c r="IYU17" t="s">
        <v>6984</v>
      </c>
      <c r="IYV17" t="s">
        <v>6984</v>
      </c>
      <c r="IYW17" t="s">
        <v>6984</v>
      </c>
      <c r="IYX17" t="s">
        <v>6984</v>
      </c>
      <c r="IYY17" t="s">
        <v>6984</v>
      </c>
      <c r="IYZ17" t="s">
        <v>6984</v>
      </c>
      <c r="IZA17" t="s">
        <v>6984</v>
      </c>
      <c r="IZB17" t="s">
        <v>6984</v>
      </c>
      <c r="IZC17" t="s">
        <v>6984</v>
      </c>
      <c r="IZD17" t="s">
        <v>6984</v>
      </c>
      <c r="IZE17" t="s">
        <v>6984</v>
      </c>
      <c r="IZF17" t="s">
        <v>6984</v>
      </c>
      <c r="IZG17" t="s">
        <v>6984</v>
      </c>
      <c r="IZH17" t="s">
        <v>6984</v>
      </c>
      <c r="IZI17" t="s">
        <v>6984</v>
      </c>
      <c r="IZJ17" t="s">
        <v>6984</v>
      </c>
      <c r="IZK17" t="s">
        <v>6984</v>
      </c>
      <c r="IZL17" t="s">
        <v>6984</v>
      </c>
      <c r="IZM17" t="s">
        <v>6984</v>
      </c>
      <c r="IZN17" t="s">
        <v>6984</v>
      </c>
      <c r="IZO17" t="s">
        <v>6984</v>
      </c>
      <c r="IZP17" t="s">
        <v>6984</v>
      </c>
      <c r="IZQ17" t="s">
        <v>6984</v>
      </c>
      <c r="IZR17" t="s">
        <v>6984</v>
      </c>
      <c r="IZS17" t="s">
        <v>6984</v>
      </c>
      <c r="IZT17" t="s">
        <v>6984</v>
      </c>
      <c r="IZU17" t="s">
        <v>6984</v>
      </c>
      <c r="IZV17" t="s">
        <v>6984</v>
      </c>
      <c r="IZW17" t="s">
        <v>6984</v>
      </c>
      <c r="IZX17" t="s">
        <v>6984</v>
      </c>
      <c r="IZY17" t="s">
        <v>6984</v>
      </c>
      <c r="IZZ17" t="s">
        <v>6984</v>
      </c>
      <c r="JAA17" t="s">
        <v>6984</v>
      </c>
      <c r="JAB17" t="s">
        <v>6984</v>
      </c>
      <c r="JAC17" t="s">
        <v>6984</v>
      </c>
      <c r="JAD17" t="s">
        <v>6984</v>
      </c>
      <c r="JAE17" t="s">
        <v>6984</v>
      </c>
      <c r="JAF17" t="s">
        <v>6984</v>
      </c>
      <c r="JAG17" t="s">
        <v>6984</v>
      </c>
      <c r="JAH17" t="s">
        <v>6984</v>
      </c>
      <c r="JAI17" t="s">
        <v>6984</v>
      </c>
      <c r="JAJ17" t="s">
        <v>6984</v>
      </c>
      <c r="JAK17" t="s">
        <v>6984</v>
      </c>
      <c r="JAL17" t="s">
        <v>6984</v>
      </c>
      <c r="JAM17" t="s">
        <v>6984</v>
      </c>
      <c r="JAN17" t="s">
        <v>6984</v>
      </c>
      <c r="JAO17" t="s">
        <v>6984</v>
      </c>
      <c r="JAP17" t="s">
        <v>6984</v>
      </c>
      <c r="JAQ17" t="s">
        <v>6984</v>
      </c>
      <c r="JAR17" t="s">
        <v>6984</v>
      </c>
      <c r="JAS17" t="s">
        <v>6984</v>
      </c>
      <c r="JAT17" t="s">
        <v>6984</v>
      </c>
      <c r="JAU17" t="s">
        <v>6984</v>
      </c>
      <c r="JAV17" t="s">
        <v>6984</v>
      </c>
      <c r="JAW17" t="s">
        <v>6984</v>
      </c>
      <c r="JAX17" t="s">
        <v>6984</v>
      </c>
      <c r="JAY17" t="s">
        <v>6984</v>
      </c>
      <c r="JAZ17" t="s">
        <v>6984</v>
      </c>
      <c r="JBA17" t="s">
        <v>6984</v>
      </c>
      <c r="JBB17" t="s">
        <v>6984</v>
      </c>
      <c r="JBC17" t="s">
        <v>6984</v>
      </c>
      <c r="JBD17" t="s">
        <v>6984</v>
      </c>
      <c r="JBE17" t="s">
        <v>6984</v>
      </c>
      <c r="JBF17" t="s">
        <v>6984</v>
      </c>
      <c r="JBG17" t="s">
        <v>6984</v>
      </c>
      <c r="JBH17" t="s">
        <v>6984</v>
      </c>
      <c r="JBI17" t="s">
        <v>6984</v>
      </c>
      <c r="JBJ17" t="s">
        <v>6984</v>
      </c>
      <c r="JBK17" t="s">
        <v>6984</v>
      </c>
      <c r="JBL17" t="s">
        <v>6984</v>
      </c>
      <c r="JBM17" t="s">
        <v>6984</v>
      </c>
      <c r="JBN17" t="s">
        <v>6984</v>
      </c>
      <c r="JBO17" t="s">
        <v>6984</v>
      </c>
      <c r="JBP17" t="s">
        <v>6984</v>
      </c>
      <c r="JBQ17" t="s">
        <v>6984</v>
      </c>
      <c r="JBR17" t="s">
        <v>6984</v>
      </c>
      <c r="JBS17" t="s">
        <v>6984</v>
      </c>
      <c r="JBT17" t="s">
        <v>6984</v>
      </c>
      <c r="JBU17" t="s">
        <v>6984</v>
      </c>
      <c r="JBV17" t="s">
        <v>6984</v>
      </c>
      <c r="JBW17" t="s">
        <v>6984</v>
      </c>
      <c r="JBX17" t="s">
        <v>6984</v>
      </c>
      <c r="JBY17" t="s">
        <v>6984</v>
      </c>
      <c r="JBZ17" t="s">
        <v>6984</v>
      </c>
      <c r="JCA17" t="s">
        <v>6984</v>
      </c>
      <c r="JCB17" t="s">
        <v>6984</v>
      </c>
      <c r="JCC17" t="s">
        <v>6984</v>
      </c>
      <c r="JCD17" t="s">
        <v>6984</v>
      </c>
      <c r="JCE17" t="s">
        <v>6984</v>
      </c>
      <c r="JCF17" t="s">
        <v>6984</v>
      </c>
      <c r="JCG17" t="s">
        <v>6984</v>
      </c>
      <c r="JCH17" t="s">
        <v>6984</v>
      </c>
      <c r="JCI17" t="s">
        <v>6984</v>
      </c>
      <c r="JCJ17" t="s">
        <v>6984</v>
      </c>
      <c r="JCK17" t="s">
        <v>6984</v>
      </c>
      <c r="JCL17" t="s">
        <v>6984</v>
      </c>
      <c r="JCM17" t="s">
        <v>6984</v>
      </c>
      <c r="JCN17" t="s">
        <v>6984</v>
      </c>
      <c r="JCO17" t="s">
        <v>6984</v>
      </c>
      <c r="JCP17" t="s">
        <v>6984</v>
      </c>
      <c r="JCQ17" t="s">
        <v>6984</v>
      </c>
      <c r="JCR17" t="s">
        <v>6984</v>
      </c>
      <c r="JCS17" t="s">
        <v>6984</v>
      </c>
      <c r="JCT17" t="s">
        <v>6984</v>
      </c>
      <c r="JCU17" t="s">
        <v>6984</v>
      </c>
      <c r="JCV17" t="s">
        <v>6984</v>
      </c>
      <c r="JCW17" t="s">
        <v>6984</v>
      </c>
      <c r="JCX17" t="s">
        <v>6984</v>
      </c>
      <c r="JCY17" t="s">
        <v>6984</v>
      </c>
      <c r="JCZ17" t="s">
        <v>6984</v>
      </c>
      <c r="JDA17" t="s">
        <v>6984</v>
      </c>
      <c r="JDB17" t="s">
        <v>6984</v>
      </c>
      <c r="JDC17" t="s">
        <v>6984</v>
      </c>
      <c r="JDD17" t="s">
        <v>6984</v>
      </c>
      <c r="JDE17" t="s">
        <v>6984</v>
      </c>
      <c r="JDF17" t="s">
        <v>6984</v>
      </c>
      <c r="JDG17" t="s">
        <v>6984</v>
      </c>
      <c r="JDH17" t="s">
        <v>6984</v>
      </c>
      <c r="JDI17" t="s">
        <v>6984</v>
      </c>
      <c r="JDJ17" t="s">
        <v>6984</v>
      </c>
      <c r="JDK17" t="s">
        <v>6984</v>
      </c>
      <c r="JDL17" t="s">
        <v>6984</v>
      </c>
      <c r="JDM17" t="s">
        <v>6984</v>
      </c>
      <c r="JDN17" t="s">
        <v>6984</v>
      </c>
      <c r="JDO17" t="s">
        <v>6984</v>
      </c>
      <c r="JDP17" t="s">
        <v>6984</v>
      </c>
      <c r="JDQ17" t="s">
        <v>6984</v>
      </c>
      <c r="JDR17" t="s">
        <v>6984</v>
      </c>
      <c r="JDS17" t="s">
        <v>6984</v>
      </c>
      <c r="JDT17" t="s">
        <v>6984</v>
      </c>
      <c r="JDU17" t="s">
        <v>6984</v>
      </c>
      <c r="JDV17" t="s">
        <v>6984</v>
      </c>
      <c r="JDW17" t="s">
        <v>6984</v>
      </c>
      <c r="JDX17" t="s">
        <v>6984</v>
      </c>
      <c r="JDY17" t="s">
        <v>6984</v>
      </c>
      <c r="JDZ17" t="s">
        <v>6984</v>
      </c>
      <c r="JEA17" t="s">
        <v>6984</v>
      </c>
      <c r="JEB17" t="s">
        <v>6984</v>
      </c>
      <c r="JEC17" t="s">
        <v>6984</v>
      </c>
      <c r="JED17" t="s">
        <v>6984</v>
      </c>
      <c r="JEE17" t="s">
        <v>6984</v>
      </c>
      <c r="JEF17" t="s">
        <v>6984</v>
      </c>
      <c r="JEG17" t="s">
        <v>6984</v>
      </c>
      <c r="JEH17" t="s">
        <v>6984</v>
      </c>
      <c r="JEI17" t="s">
        <v>6984</v>
      </c>
      <c r="JEJ17" t="s">
        <v>6984</v>
      </c>
      <c r="JEK17" t="s">
        <v>6984</v>
      </c>
      <c r="JEL17" t="s">
        <v>6984</v>
      </c>
      <c r="JEM17" t="s">
        <v>6984</v>
      </c>
      <c r="JEN17" t="s">
        <v>6984</v>
      </c>
      <c r="JEO17" t="s">
        <v>6984</v>
      </c>
      <c r="JEP17" t="s">
        <v>6984</v>
      </c>
      <c r="JEQ17" t="s">
        <v>6984</v>
      </c>
      <c r="JER17" t="s">
        <v>6984</v>
      </c>
      <c r="JES17" t="s">
        <v>6984</v>
      </c>
      <c r="JET17" t="s">
        <v>6984</v>
      </c>
      <c r="JEU17" t="s">
        <v>6984</v>
      </c>
      <c r="JEV17" t="s">
        <v>6984</v>
      </c>
      <c r="JEW17" t="s">
        <v>6984</v>
      </c>
      <c r="JEX17" t="s">
        <v>6984</v>
      </c>
      <c r="JEY17" t="s">
        <v>6984</v>
      </c>
      <c r="JEZ17" t="s">
        <v>6984</v>
      </c>
      <c r="JFA17" t="s">
        <v>6984</v>
      </c>
      <c r="JFB17" t="s">
        <v>6984</v>
      </c>
      <c r="JFC17" t="s">
        <v>6984</v>
      </c>
      <c r="JFD17" t="s">
        <v>6984</v>
      </c>
      <c r="JFE17" t="s">
        <v>6984</v>
      </c>
      <c r="JFF17" t="s">
        <v>6984</v>
      </c>
      <c r="JFG17" t="s">
        <v>6984</v>
      </c>
      <c r="JFH17" t="s">
        <v>6984</v>
      </c>
      <c r="JFI17" t="s">
        <v>6984</v>
      </c>
      <c r="JFJ17" t="s">
        <v>6984</v>
      </c>
      <c r="JFK17" t="s">
        <v>6984</v>
      </c>
      <c r="JFL17" t="s">
        <v>6984</v>
      </c>
      <c r="JFM17" t="s">
        <v>6984</v>
      </c>
      <c r="JFN17" t="s">
        <v>6984</v>
      </c>
      <c r="JFO17" t="s">
        <v>6984</v>
      </c>
      <c r="JFP17" t="s">
        <v>6984</v>
      </c>
      <c r="JFQ17" t="s">
        <v>6984</v>
      </c>
      <c r="JFR17" t="s">
        <v>6984</v>
      </c>
      <c r="JFS17" t="s">
        <v>6984</v>
      </c>
      <c r="JFT17" t="s">
        <v>6984</v>
      </c>
      <c r="JFU17" t="s">
        <v>6984</v>
      </c>
      <c r="JFV17" t="s">
        <v>6984</v>
      </c>
      <c r="JFW17" t="s">
        <v>6984</v>
      </c>
      <c r="JFX17" t="s">
        <v>6984</v>
      </c>
      <c r="JFY17" t="s">
        <v>6984</v>
      </c>
      <c r="JFZ17" t="s">
        <v>6984</v>
      </c>
      <c r="JGA17" t="s">
        <v>6984</v>
      </c>
      <c r="JGB17" t="s">
        <v>6984</v>
      </c>
      <c r="JGC17" t="s">
        <v>6984</v>
      </c>
      <c r="JGD17" t="s">
        <v>6984</v>
      </c>
      <c r="JGE17" t="s">
        <v>6984</v>
      </c>
      <c r="JGF17" t="s">
        <v>6984</v>
      </c>
      <c r="JGG17" t="s">
        <v>6984</v>
      </c>
      <c r="JGH17" t="s">
        <v>6984</v>
      </c>
      <c r="JGI17" t="s">
        <v>6984</v>
      </c>
      <c r="JGJ17" t="s">
        <v>6984</v>
      </c>
      <c r="JGK17" t="s">
        <v>6984</v>
      </c>
      <c r="JGL17" t="s">
        <v>6984</v>
      </c>
      <c r="JGM17" t="s">
        <v>6984</v>
      </c>
      <c r="JGN17" t="s">
        <v>6984</v>
      </c>
      <c r="JGO17" t="s">
        <v>6984</v>
      </c>
      <c r="JGP17" t="s">
        <v>6984</v>
      </c>
      <c r="JGQ17" t="s">
        <v>6984</v>
      </c>
      <c r="JGR17" t="s">
        <v>6984</v>
      </c>
      <c r="JGS17" t="s">
        <v>6984</v>
      </c>
      <c r="JGT17" t="s">
        <v>6984</v>
      </c>
      <c r="JGU17" t="s">
        <v>6984</v>
      </c>
      <c r="JGV17" t="s">
        <v>6984</v>
      </c>
      <c r="JGW17" t="s">
        <v>6984</v>
      </c>
      <c r="JGX17" t="s">
        <v>6984</v>
      </c>
      <c r="JGY17" t="s">
        <v>6984</v>
      </c>
      <c r="JGZ17" t="s">
        <v>6984</v>
      </c>
      <c r="JHA17" t="s">
        <v>6984</v>
      </c>
      <c r="JHB17" t="s">
        <v>6984</v>
      </c>
      <c r="JHC17" t="s">
        <v>6984</v>
      </c>
      <c r="JHD17" t="s">
        <v>6984</v>
      </c>
      <c r="JHE17" t="s">
        <v>6984</v>
      </c>
      <c r="JHF17" t="s">
        <v>6984</v>
      </c>
      <c r="JHG17" t="s">
        <v>6984</v>
      </c>
      <c r="JHH17" t="s">
        <v>6984</v>
      </c>
      <c r="JHI17" t="s">
        <v>6984</v>
      </c>
      <c r="JHJ17" t="s">
        <v>6984</v>
      </c>
      <c r="JHK17" t="s">
        <v>6984</v>
      </c>
      <c r="JHL17" t="s">
        <v>6984</v>
      </c>
      <c r="JHM17" t="s">
        <v>6984</v>
      </c>
      <c r="JHN17" t="s">
        <v>6984</v>
      </c>
      <c r="JHO17" t="s">
        <v>6984</v>
      </c>
      <c r="JHP17" t="s">
        <v>6984</v>
      </c>
      <c r="JHQ17" t="s">
        <v>6984</v>
      </c>
      <c r="JHR17" t="s">
        <v>6984</v>
      </c>
      <c r="JHS17" t="s">
        <v>6984</v>
      </c>
      <c r="JHT17" t="s">
        <v>6984</v>
      </c>
      <c r="JHU17" t="s">
        <v>6984</v>
      </c>
      <c r="JHV17" t="s">
        <v>6984</v>
      </c>
      <c r="JHW17" t="s">
        <v>6984</v>
      </c>
      <c r="JHX17" t="s">
        <v>6984</v>
      </c>
      <c r="JHY17" t="s">
        <v>6984</v>
      </c>
      <c r="JHZ17" t="s">
        <v>6984</v>
      </c>
      <c r="JIA17" t="s">
        <v>6984</v>
      </c>
      <c r="JIB17" t="s">
        <v>6984</v>
      </c>
      <c r="JIC17" t="s">
        <v>6984</v>
      </c>
      <c r="JID17" t="s">
        <v>6984</v>
      </c>
      <c r="JIE17" t="s">
        <v>6984</v>
      </c>
      <c r="JIF17" t="s">
        <v>6984</v>
      </c>
      <c r="JIG17" t="s">
        <v>6984</v>
      </c>
      <c r="JIH17" t="s">
        <v>6984</v>
      </c>
      <c r="JII17" t="s">
        <v>6984</v>
      </c>
      <c r="JIJ17" t="s">
        <v>6984</v>
      </c>
      <c r="JIK17" t="s">
        <v>6984</v>
      </c>
      <c r="JIL17" t="s">
        <v>6984</v>
      </c>
      <c r="JIM17" t="s">
        <v>6984</v>
      </c>
      <c r="JIN17" t="s">
        <v>6984</v>
      </c>
      <c r="JIO17" t="s">
        <v>6984</v>
      </c>
      <c r="JIP17" t="s">
        <v>6984</v>
      </c>
      <c r="JIQ17" t="s">
        <v>6984</v>
      </c>
      <c r="JIR17" t="s">
        <v>6984</v>
      </c>
      <c r="JIS17" t="s">
        <v>6984</v>
      </c>
      <c r="JIT17" t="s">
        <v>6984</v>
      </c>
      <c r="JIU17" t="s">
        <v>6984</v>
      </c>
      <c r="JIV17" t="s">
        <v>6984</v>
      </c>
      <c r="JIW17" t="s">
        <v>6984</v>
      </c>
      <c r="JIX17" t="s">
        <v>6984</v>
      </c>
      <c r="JIY17" t="s">
        <v>6984</v>
      </c>
      <c r="JIZ17" t="s">
        <v>6984</v>
      </c>
      <c r="JJA17" t="s">
        <v>6984</v>
      </c>
    </row>
    <row r="18" spans="1:7021" x14ac:dyDescent="0.25">
      <c r="A18" t="s">
        <v>6999</v>
      </c>
      <c r="B18">
        <v>96.344999999999999</v>
      </c>
      <c r="C18">
        <v>96.344999999999999</v>
      </c>
      <c r="D18">
        <v>96.344999999999999</v>
      </c>
      <c r="E18">
        <v>96.39</v>
      </c>
      <c r="F18">
        <v>96.325000000000003</v>
      </c>
      <c r="G18">
        <v>96.34</v>
      </c>
      <c r="H18">
        <v>96.385000000000005</v>
      </c>
      <c r="I18">
        <v>96.334999999999994</v>
      </c>
      <c r="J18">
        <v>96.27</v>
      </c>
      <c r="K18">
        <v>96.26</v>
      </c>
      <c r="L18">
        <v>96.23</v>
      </c>
      <c r="M18">
        <v>96.35</v>
      </c>
      <c r="N18">
        <v>96.4</v>
      </c>
      <c r="O18">
        <v>96.32</v>
      </c>
      <c r="P18">
        <v>96.33</v>
      </c>
      <c r="Q18">
        <v>96.38</v>
      </c>
      <c r="R18">
        <v>96.36</v>
      </c>
      <c r="S18">
        <v>96.314999999999998</v>
      </c>
      <c r="T18">
        <v>96.36</v>
      </c>
      <c r="U18">
        <v>96.275000000000006</v>
      </c>
      <c r="V18">
        <v>96.275000000000006</v>
      </c>
      <c r="W18">
        <v>96.23</v>
      </c>
      <c r="X18">
        <v>96.185000000000002</v>
      </c>
      <c r="Y18">
        <v>96.284999999999997</v>
      </c>
      <c r="Z18">
        <v>96.27</v>
      </c>
      <c r="AA18">
        <v>96.28</v>
      </c>
      <c r="AB18">
        <v>96.26</v>
      </c>
      <c r="AC18">
        <v>96.174999999999997</v>
      </c>
      <c r="AD18">
        <v>96.21</v>
      </c>
      <c r="AE18">
        <v>96.234999999999999</v>
      </c>
      <c r="AF18">
        <v>96.34</v>
      </c>
      <c r="AG18">
        <v>96.34</v>
      </c>
      <c r="AH18">
        <v>96.47</v>
      </c>
      <c r="AI18">
        <v>96.435000000000002</v>
      </c>
      <c r="AJ18">
        <v>96.394999999999996</v>
      </c>
      <c r="AK18">
        <v>96.41</v>
      </c>
      <c r="AL18">
        <v>96.5</v>
      </c>
      <c r="AM18">
        <v>96.545000000000002</v>
      </c>
      <c r="AN18">
        <v>96.525000000000006</v>
      </c>
      <c r="AO18">
        <v>96.474999999999994</v>
      </c>
      <c r="AP18">
        <v>96.41</v>
      </c>
      <c r="AQ18">
        <v>96.36</v>
      </c>
      <c r="AR18">
        <v>96.28</v>
      </c>
      <c r="AS18">
        <v>96.3</v>
      </c>
      <c r="AT18">
        <v>96.3</v>
      </c>
      <c r="AU18">
        <v>96.344999999999999</v>
      </c>
      <c r="AV18">
        <v>96.344999999999999</v>
      </c>
      <c r="AW18">
        <v>96.38</v>
      </c>
      <c r="AX18">
        <v>96.31</v>
      </c>
      <c r="AY18">
        <v>96.275000000000006</v>
      </c>
      <c r="AZ18">
        <v>96.135000000000005</v>
      </c>
      <c r="BA18">
        <v>96.28</v>
      </c>
      <c r="BB18">
        <v>96.2</v>
      </c>
      <c r="BC18">
        <v>96.394999999999996</v>
      </c>
      <c r="BD18">
        <v>96.465000000000003</v>
      </c>
      <c r="BE18">
        <v>96.614999999999995</v>
      </c>
      <c r="BF18">
        <v>96.55</v>
      </c>
      <c r="BG18">
        <v>96.355000000000004</v>
      </c>
      <c r="BH18">
        <v>96.415000000000006</v>
      </c>
      <c r="BI18">
        <v>96.32</v>
      </c>
      <c r="BJ18">
        <v>96.305000000000007</v>
      </c>
      <c r="BK18">
        <v>96.185000000000002</v>
      </c>
      <c r="BL18">
        <v>96.21</v>
      </c>
      <c r="BM18">
        <v>96.224999999999994</v>
      </c>
      <c r="BN18">
        <v>96.185000000000002</v>
      </c>
      <c r="BO18">
        <v>96.27</v>
      </c>
      <c r="BP18">
        <v>96.27</v>
      </c>
      <c r="BQ18">
        <v>96.245000000000005</v>
      </c>
      <c r="BR18">
        <v>96.25</v>
      </c>
      <c r="BS18">
        <v>96.204999999999998</v>
      </c>
      <c r="BT18">
        <v>96.21</v>
      </c>
      <c r="BU18">
        <v>96.265000000000001</v>
      </c>
      <c r="BV18">
        <v>96.21</v>
      </c>
      <c r="BW18">
        <v>96.245000000000005</v>
      </c>
      <c r="BX18">
        <v>96.33</v>
      </c>
      <c r="BY18">
        <v>96.185000000000002</v>
      </c>
      <c r="BZ18">
        <v>96.215000000000003</v>
      </c>
      <c r="CA18">
        <v>96.23</v>
      </c>
      <c r="CB18">
        <v>96.314999999999998</v>
      </c>
      <c r="CC18">
        <v>96.35</v>
      </c>
      <c r="CD18">
        <v>96.31</v>
      </c>
      <c r="CE18">
        <v>96.24</v>
      </c>
      <c r="CF18">
        <v>96.275000000000006</v>
      </c>
      <c r="CG18">
        <v>96.204999999999998</v>
      </c>
      <c r="CH18">
        <v>96.07</v>
      </c>
      <c r="CI18">
        <v>96.04</v>
      </c>
      <c r="CJ18">
        <v>95.954999999999998</v>
      </c>
      <c r="CK18">
        <v>95.915000000000006</v>
      </c>
      <c r="CL18">
        <v>95.905000000000001</v>
      </c>
      <c r="CM18">
        <v>95.98</v>
      </c>
      <c r="CN18">
        <v>95.98</v>
      </c>
      <c r="CO18">
        <v>95.91</v>
      </c>
      <c r="CP18">
        <v>95.79</v>
      </c>
      <c r="CQ18">
        <v>95.935000000000002</v>
      </c>
      <c r="CR18">
        <v>95.984999999999999</v>
      </c>
      <c r="CS18">
        <v>95.98</v>
      </c>
      <c r="CT18">
        <v>96.034999999999997</v>
      </c>
      <c r="CU18">
        <v>96.09</v>
      </c>
      <c r="CV18">
        <v>95.984999999999999</v>
      </c>
      <c r="CW18">
        <v>95.944999999999993</v>
      </c>
      <c r="CX18">
        <v>95.91</v>
      </c>
      <c r="CY18">
        <v>95.974999999999994</v>
      </c>
      <c r="CZ18">
        <v>95.924999999999997</v>
      </c>
      <c r="DA18">
        <v>95.935000000000002</v>
      </c>
      <c r="DB18">
        <v>95.954999999999998</v>
      </c>
      <c r="DC18">
        <v>95.85</v>
      </c>
      <c r="DD18">
        <v>95.844999999999999</v>
      </c>
      <c r="DE18">
        <v>95.87</v>
      </c>
      <c r="DF18">
        <v>95.9</v>
      </c>
      <c r="DG18">
        <v>95.864999999999995</v>
      </c>
      <c r="DH18">
        <v>95.864999999999995</v>
      </c>
      <c r="DI18">
        <v>95.87</v>
      </c>
      <c r="DJ18">
        <v>95.81</v>
      </c>
      <c r="DK18">
        <v>95.65</v>
      </c>
      <c r="DL18">
        <v>95.64</v>
      </c>
      <c r="DM18">
        <v>95.685000000000002</v>
      </c>
      <c r="DN18">
        <v>95.81</v>
      </c>
      <c r="DO18">
        <v>95.79</v>
      </c>
      <c r="DP18">
        <v>95.8</v>
      </c>
      <c r="DQ18">
        <v>95.88</v>
      </c>
      <c r="DR18">
        <v>95.94</v>
      </c>
      <c r="DS18">
        <v>95.96</v>
      </c>
      <c r="DT18">
        <v>95.95</v>
      </c>
      <c r="DU18">
        <v>95.95</v>
      </c>
      <c r="DV18">
        <v>95.984999999999999</v>
      </c>
      <c r="DW18">
        <v>95.89</v>
      </c>
      <c r="DX18">
        <v>95.94</v>
      </c>
      <c r="DY18">
        <v>95.924999999999997</v>
      </c>
      <c r="DZ18">
        <v>95.924999999999997</v>
      </c>
      <c r="EA18">
        <v>95.91</v>
      </c>
      <c r="EB18">
        <v>96</v>
      </c>
      <c r="EC18">
        <v>95.935000000000002</v>
      </c>
      <c r="ED18">
        <v>96.045000000000002</v>
      </c>
      <c r="EE18">
        <v>96.174999999999997</v>
      </c>
      <c r="EF18">
        <v>96.165000000000006</v>
      </c>
      <c r="EG18">
        <v>96.174999999999997</v>
      </c>
      <c r="EH18">
        <v>96.25</v>
      </c>
      <c r="EI18">
        <v>96.31</v>
      </c>
      <c r="EJ18">
        <v>96.37</v>
      </c>
      <c r="EK18">
        <v>96.394999999999996</v>
      </c>
      <c r="EL18">
        <v>96.43</v>
      </c>
      <c r="EM18">
        <v>96.39</v>
      </c>
      <c r="EN18">
        <v>96.394999999999996</v>
      </c>
      <c r="EO18">
        <v>96.364999999999995</v>
      </c>
      <c r="EP18">
        <v>96.4</v>
      </c>
      <c r="EQ18">
        <v>96.405000000000001</v>
      </c>
      <c r="ER18">
        <v>96.364999999999995</v>
      </c>
      <c r="ES18">
        <v>96.364999999999995</v>
      </c>
      <c r="ET18">
        <v>96.284999999999997</v>
      </c>
      <c r="EU18">
        <v>96.334999999999994</v>
      </c>
      <c r="EV18">
        <v>96.194999999999993</v>
      </c>
      <c r="EW18">
        <v>96.165000000000006</v>
      </c>
      <c r="EX18">
        <v>96.19</v>
      </c>
      <c r="EY18">
        <v>96.215000000000003</v>
      </c>
      <c r="EZ18">
        <v>96.185000000000002</v>
      </c>
      <c r="FA18">
        <v>96.17</v>
      </c>
      <c r="FB18">
        <v>96.165000000000006</v>
      </c>
      <c r="FC18">
        <v>96.144999999999996</v>
      </c>
      <c r="FD18">
        <v>96.16</v>
      </c>
      <c r="FE18">
        <v>96.204999999999998</v>
      </c>
      <c r="FF18">
        <v>96.265000000000001</v>
      </c>
      <c r="FG18">
        <v>96.24</v>
      </c>
      <c r="FH18">
        <v>96.155000000000001</v>
      </c>
      <c r="FI18">
        <v>96.305000000000007</v>
      </c>
      <c r="FJ18">
        <v>96.284999999999997</v>
      </c>
      <c r="FK18">
        <v>96.24</v>
      </c>
      <c r="FL18">
        <v>96.295000000000002</v>
      </c>
      <c r="FM18">
        <v>96.314999999999998</v>
      </c>
      <c r="FN18">
        <v>96.325000000000003</v>
      </c>
      <c r="FO18">
        <v>96.314999999999998</v>
      </c>
      <c r="FP18">
        <v>96.36</v>
      </c>
      <c r="FQ18">
        <v>96.385000000000005</v>
      </c>
      <c r="FR18">
        <v>96.334999999999994</v>
      </c>
      <c r="FS18">
        <v>96.39</v>
      </c>
      <c r="FT18">
        <v>96.415000000000006</v>
      </c>
      <c r="FU18">
        <v>96.53</v>
      </c>
      <c r="FV18">
        <v>96.51</v>
      </c>
      <c r="FW18">
        <v>96.584999999999994</v>
      </c>
      <c r="FX18">
        <v>96.57</v>
      </c>
      <c r="FY18">
        <v>96.484999999999999</v>
      </c>
      <c r="FZ18">
        <v>96.534999999999997</v>
      </c>
      <c r="GA18">
        <v>96.515000000000001</v>
      </c>
      <c r="GB18">
        <v>96.545000000000002</v>
      </c>
      <c r="GC18">
        <v>96.58</v>
      </c>
      <c r="GD18">
        <v>96.59</v>
      </c>
      <c r="GE18">
        <v>96.625</v>
      </c>
      <c r="GF18">
        <v>96.745000000000005</v>
      </c>
      <c r="GG18">
        <v>96.82</v>
      </c>
      <c r="GH18">
        <v>96.86</v>
      </c>
      <c r="GI18">
        <v>96.784999999999997</v>
      </c>
      <c r="GJ18">
        <v>96.83</v>
      </c>
      <c r="GK18">
        <v>96.795000000000002</v>
      </c>
      <c r="GL18">
        <v>96.795000000000002</v>
      </c>
      <c r="GM18">
        <v>96.834999999999994</v>
      </c>
      <c r="GN18">
        <v>96.83</v>
      </c>
      <c r="GO18">
        <v>96.85</v>
      </c>
      <c r="GP18">
        <v>96.844999999999999</v>
      </c>
      <c r="GQ18">
        <v>96.91</v>
      </c>
      <c r="GR18">
        <v>96.99</v>
      </c>
      <c r="GS18">
        <v>97.004999999999995</v>
      </c>
      <c r="GT18">
        <v>96.995000000000005</v>
      </c>
      <c r="GU18">
        <v>96.984999999999999</v>
      </c>
      <c r="GV18">
        <v>97.02</v>
      </c>
      <c r="GW18">
        <v>97.025000000000006</v>
      </c>
      <c r="GX18">
        <v>96.965000000000003</v>
      </c>
      <c r="GY18">
        <v>96.944999999999993</v>
      </c>
      <c r="GZ18">
        <v>96.93</v>
      </c>
      <c r="HA18">
        <v>96.9</v>
      </c>
      <c r="HB18">
        <v>96.84</v>
      </c>
      <c r="HC18">
        <v>96.76</v>
      </c>
      <c r="HD18">
        <v>96.76</v>
      </c>
      <c r="HE18">
        <v>96.81</v>
      </c>
      <c r="HF18">
        <v>96.83</v>
      </c>
      <c r="HG18">
        <v>96.84</v>
      </c>
      <c r="HH18">
        <v>96.85</v>
      </c>
      <c r="HI18">
        <v>96.85</v>
      </c>
      <c r="HJ18">
        <v>96.78</v>
      </c>
      <c r="HK18">
        <v>96.864999999999995</v>
      </c>
      <c r="HL18">
        <v>96.83</v>
      </c>
      <c r="HM18">
        <v>96.775000000000006</v>
      </c>
      <c r="HN18">
        <v>96.75</v>
      </c>
      <c r="HO18">
        <v>96.724999999999994</v>
      </c>
      <c r="HP18">
        <v>96.83</v>
      </c>
      <c r="HQ18">
        <v>96.8</v>
      </c>
      <c r="HR18">
        <v>96.754999999999995</v>
      </c>
      <c r="HS18">
        <v>96.71</v>
      </c>
      <c r="HT18">
        <v>96.644999999999996</v>
      </c>
      <c r="HU18">
        <v>96.674999999999997</v>
      </c>
      <c r="HV18">
        <v>96.754999999999995</v>
      </c>
      <c r="HW18">
        <v>96.844999999999999</v>
      </c>
      <c r="HX18">
        <v>96.864999999999995</v>
      </c>
      <c r="HY18">
        <v>96.694999999999993</v>
      </c>
      <c r="HZ18">
        <v>96.58</v>
      </c>
      <c r="IA18">
        <v>96.55</v>
      </c>
      <c r="IB18">
        <v>96.515000000000001</v>
      </c>
      <c r="IC18">
        <v>96.495000000000005</v>
      </c>
      <c r="ID18">
        <v>96.435000000000002</v>
      </c>
      <c r="IE18">
        <v>96.405000000000001</v>
      </c>
      <c r="IF18">
        <v>96.44</v>
      </c>
      <c r="IG18">
        <v>96.42</v>
      </c>
      <c r="IH18">
        <v>96.424999999999997</v>
      </c>
      <c r="II18">
        <v>96.48</v>
      </c>
      <c r="IJ18">
        <v>96.53</v>
      </c>
      <c r="IK18">
        <v>96.5</v>
      </c>
      <c r="IL18">
        <v>96.444999999999993</v>
      </c>
      <c r="IM18">
        <v>96.484999999999999</v>
      </c>
      <c r="IN18">
        <v>96.5</v>
      </c>
      <c r="IO18">
        <v>96.394999999999996</v>
      </c>
      <c r="IP18">
        <v>96.37</v>
      </c>
      <c r="IQ18">
        <v>96.405000000000001</v>
      </c>
      <c r="IR18">
        <v>96.405000000000001</v>
      </c>
      <c r="IS18">
        <v>96.32</v>
      </c>
      <c r="IT18">
        <v>96.32</v>
      </c>
      <c r="IU18">
        <v>96.215000000000003</v>
      </c>
      <c r="IV18">
        <v>96.16</v>
      </c>
      <c r="IW18">
        <v>96.325000000000003</v>
      </c>
      <c r="IX18">
        <v>96.37</v>
      </c>
      <c r="IY18">
        <v>96.34</v>
      </c>
      <c r="IZ18">
        <v>96.43</v>
      </c>
      <c r="JA18">
        <v>96.42</v>
      </c>
      <c r="JB18">
        <v>96.4</v>
      </c>
      <c r="JC18">
        <v>96.405000000000001</v>
      </c>
      <c r="JD18">
        <v>96.45</v>
      </c>
      <c r="JE18">
        <v>96.45</v>
      </c>
      <c r="JF18">
        <v>96.38</v>
      </c>
      <c r="JG18">
        <v>96.454999999999998</v>
      </c>
      <c r="JH18">
        <v>96.424999999999997</v>
      </c>
      <c r="JI18">
        <v>96.35</v>
      </c>
      <c r="JJ18">
        <v>96.234999999999999</v>
      </c>
      <c r="JK18">
        <v>96.155000000000001</v>
      </c>
      <c r="JL18">
        <v>96.204999999999998</v>
      </c>
      <c r="JM18">
        <v>96.36</v>
      </c>
      <c r="JN18">
        <v>96.344999999999999</v>
      </c>
      <c r="JO18">
        <v>96.31</v>
      </c>
      <c r="JP18">
        <v>96.224999999999994</v>
      </c>
      <c r="JQ18">
        <v>96.105000000000004</v>
      </c>
      <c r="JR18">
        <v>96.055000000000007</v>
      </c>
      <c r="JS18">
        <v>95.98</v>
      </c>
      <c r="JT18">
        <v>96.07</v>
      </c>
      <c r="JU18">
        <v>96.144999999999996</v>
      </c>
      <c r="JV18">
        <v>96.144999999999996</v>
      </c>
      <c r="JW18">
        <v>96.14</v>
      </c>
      <c r="JX18">
        <v>96.185000000000002</v>
      </c>
      <c r="JY18">
        <v>96.2</v>
      </c>
      <c r="JZ18">
        <v>96.174999999999997</v>
      </c>
      <c r="KA18">
        <v>96.185000000000002</v>
      </c>
      <c r="KB18">
        <v>96.23</v>
      </c>
      <c r="KC18">
        <v>96.254999999999995</v>
      </c>
      <c r="KD18">
        <v>96.155000000000001</v>
      </c>
      <c r="KE18">
        <v>96.114999999999995</v>
      </c>
      <c r="KF18">
        <v>96.084999999999994</v>
      </c>
      <c r="KG18">
        <v>96.135000000000005</v>
      </c>
      <c r="KH18">
        <v>96.1</v>
      </c>
      <c r="KI18">
        <v>96.144999999999996</v>
      </c>
      <c r="KJ18">
        <v>96.114999999999995</v>
      </c>
      <c r="KK18">
        <v>96.1</v>
      </c>
      <c r="KL18">
        <v>96.01</v>
      </c>
      <c r="KM18">
        <v>95.984999999999999</v>
      </c>
      <c r="KN18">
        <v>95.89</v>
      </c>
      <c r="KO18">
        <v>95.965000000000003</v>
      </c>
      <c r="KP18">
        <v>95.894999999999996</v>
      </c>
      <c r="KQ18">
        <v>95.855000000000004</v>
      </c>
      <c r="KR18">
        <v>95.91</v>
      </c>
      <c r="KS18">
        <v>95.974999999999994</v>
      </c>
      <c r="KT18">
        <v>95.944999999999993</v>
      </c>
      <c r="KU18">
        <v>95.954999999999998</v>
      </c>
      <c r="KV18">
        <v>95.93</v>
      </c>
      <c r="KW18">
        <v>95.995000000000005</v>
      </c>
      <c r="KX18">
        <v>95.92</v>
      </c>
      <c r="KY18">
        <v>95.96</v>
      </c>
      <c r="KZ18">
        <v>96.105000000000004</v>
      </c>
      <c r="LA18">
        <v>96.015000000000001</v>
      </c>
      <c r="LB18">
        <v>96.034999999999997</v>
      </c>
      <c r="LC18">
        <v>96.22</v>
      </c>
      <c r="LD18">
        <v>96.16</v>
      </c>
      <c r="LE18">
        <v>96.22</v>
      </c>
      <c r="LF18">
        <v>96.28</v>
      </c>
      <c r="LG18">
        <v>96.24</v>
      </c>
      <c r="LH18">
        <v>96.22</v>
      </c>
      <c r="LI18">
        <v>96.25</v>
      </c>
      <c r="LJ18">
        <v>96.405000000000001</v>
      </c>
      <c r="LK18">
        <v>96.405000000000001</v>
      </c>
      <c r="LL18">
        <v>96.385000000000005</v>
      </c>
      <c r="LM18">
        <v>96.344999999999999</v>
      </c>
      <c r="LN18">
        <v>96.32</v>
      </c>
      <c r="LO18">
        <v>96.355000000000004</v>
      </c>
      <c r="LP18">
        <v>96.295000000000002</v>
      </c>
      <c r="LQ18">
        <v>96.3</v>
      </c>
      <c r="LR18">
        <v>96.3</v>
      </c>
      <c r="LS18">
        <v>96.245000000000005</v>
      </c>
      <c r="LT18">
        <v>96.284999999999997</v>
      </c>
      <c r="LU18">
        <v>96.3</v>
      </c>
      <c r="LV18">
        <v>96.44</v>
      </c>
      <c r="LW18">
        <v>96.454999999999998</v>
      </c>
      <c r="LX18">
        <v>96.52</v>
      </c>
      <c r="LY18">
        <v>96.53</v>
      </c>
      <c r="LZ18">
        <v>96.52</v>
      </c>
      <c r="MA18">
        <v>96.504999999999995</v>
      </c>
      <c r="MB18">
        <v>96.474999999999994</v>
      </c>
      <c r="MC18">
        <v>96.385000000000005</v>
      </c>
      <c r="MD18">
        <v>96.415000000000006</v>
      </c>
      <c r="ME18">
        <v>96.33</v>
      </c>
      <c r="MF18">
        <v>96.325000000000003</v>
      </c>
      <c r="MG18">
        <v>96.3</v>
      </c>
      <c r="MH18">
        <v>96.31</v>
      </c>
      <c r="MI18">
        <v>96.32</v>
      </c>
      <c r="MJ18">
        <v>96.245000000000005</v>
      </c>
      <c r="MK18">
        <v>96.245000000000005</v>
      </c>
      <c r="ML18">
        <v>96.29</v>
      </c>
      <c r="MM18">
        <v>96.26</v>
      </c>
      <c r="MN18">
        <v>96.26</v>
      </c>
      <c r="MO18">
        <v>96.314999999999998</v>
      </c>
      <c r="MP18">
        <v>96.284999999999997</v>
      </c>
      <c r="MQ18">
        <v>96.224999999999994</v>
      </c>
      <c r="MR18">
        <v>96.4</v>
      </c>
      <c r="MS18">
        <v>96.37</v>
      </c>
      <c r="MT18">
        <v>96.394999999999996</v>
      </c>
      <c r="MU18">
        <v>96.48</v>
      </c>
      <c r="MV18">
        <v>96.5</v>
      </c>
      <c r="MW18">
        <v>96.405000000000001</v>
      </c>
      <c r="MX18">
        <v>96.54</v>
      </c>
      <c r="MY18">
        <v>96.724999999999994</v>
      </c>
      <c r="MZ18">
        <v>96.625</v>
      </c>
      <c r="NA18">
        <v>96.53</v>
      </c>
      <c r="NB18">
        <v>96.495000000000005</v>
      </c>
      <c r="NC18">
        <v>96.415000000000006</v>
      </c>
      <c r="ND18">
        <v>96.44</v>
      </c>
      <c r="NE18">
        <v>96.39</v>
      </c>
      <c r="NF18">
        <v>96.44</v>
      </c>
      <c r="NG18">
        <v>96.484999999999999</v>
      </c>
      <c r="NH18">
        <v>96.42</v>
      </c>
      <c r="NI18">
        <v>96.424999999999997</v>
      </c>
      <c r="NJ18">
        <v>96.48</v>
      </c>
      <c r="NK18">
        <v>96.525000000000006</v>
      </c>
      <c r="NL18">
        <v>96.65</v>
      </c>
      <c r="NM18">
        <v>96.65</v>
      </c>
      <c r="NN18">
        <v>96.644999999999996</v>
      </c>
      <c r="NO18">
        <v>96.57</v>
      </c>
      <c r="NP18">
        <v>96.58</v>
      </c>
      <c r="NQ18">
        <v>96.594999999999999</v>
      </c>
      <c r="NR18">
        <v>96.58</v>
      </c>
      <c r="NS18">
        <v>96.63</v>
      </c>
      <c r="NT18">
        <v>96.734999999999999</v>
      </c>
      <c r="NU18">
        <v>96.694999999999993</v>
      </c>
      <c r="NV18">
        <v>96.775000000000006</v>
      </c>
      <c r="NW18">
        <v>96.775000000000006</v>
      </c>
      <c r="NX18">
        <v>96.775000000000006</v>
      </c>
      <c r="NY18">
        <v>96.83</v>
      </c>
      <c r="NZ18">
        <v>96.724999999999994</v>
      </c>
      <c r="OA18">
        <v>96.7</v>
      </c>
      <c r="OB18">
        <v>96.7</v>
      </c>
      <c r="OC18">
        <v>96.72</v>
      </c>
      <c r="OD18">
        <v>96.734999999999999</v>
      </c>
      <c r="OE18">
        <v>96.694999999999993</v>
      </c>
      <c r="OF18">
        <v>96.67</v>
      </c>
      <c r="OG18">
        <v>96.7</v>
      </c>
      <c r="OH18">
        <v>96.685000000000002</v>
      </c>
      <c r="OI18">
        <v>96.594999999999999</v>
      </c>
      <c r="OJ18">
        <v>96.435000000000002</v>
      </c>
      <c r="OK18">
        <v>96.385000000000005</v>
      </c>
      <c r="OL18">
        <v>96.394999999999996</v>
      </c>
      <c r="OM18">
        <v>96.525000000000006</v>
      </c>
      <c r="ON18">
        <v>96.53</v>
      </c>
      <c r="OO18">
        <v>96.484999999999999</v>
      </c>
      <c r="OP18">
        <v>96.37</v>
      </c>
      <c r="OQ18">
        <v>96.424999999999997</v>
      </c>
      <c r="OR18">
        <v>96.31</v>
      </c>
      <c r="OS18">
        <v>96.394999999999996</v>
      </c>
      <c r="OT18">
        <v>96.35</v>
      </c>
      <c r="OU18">
        <v>96.254999999999995</v>
      </c>
      <c r="OV18">
        <v>96.14</v>
      </c>
      <c r="OW18">
        <v>96.204999999999998</v>
      </c>
      <c r="OX18">
        <v>96.204999999999998</v>
      </c>
      <c r="OY18">
        <v>96.22</v>
      </c>
      <c r="OZ18">
        <v>96.21</v>
      </c>
      <c r="PA18">
        <v>96.174999999999997</v>
      </c>
      <c r="PB18">
        <v>96.18</v>
      </c>
      <c r="PC18">
        <v>96.07</v>
      </c>
      <c r="PD18">
        <v>96.165000000000006</v>
      </c>
      <c r="PE18">
        <v>95.944999999999993</v>
      </c>
      <c r="PF18">
        <v>95.954999999999998</v>
      </c>
      <c r="PG18">
        <v>95.974999999999994</v>
      </c>
      <c r="PH18">
        <v>96.1</v>
      </c>
      <c r="PI18">
        <v>96.05</v>
      </c>
      <c r="PJ18">
        <v>95.95</v>
      </c>
      <c r="PK18">
        <v>96.064999999999998</v>
      </c>
      <c r="PL18">
        <v>95.924999999999997</v>
      </c>
      <c r="PM18">
        <v>95.814999999999998</v>
      </c>
      <c r="PN18">
        <v>95.71</v>
      </c>
      <c r="PO18">
        <v>95.71</v>
      </c>
      <c r="PP18">
        <v>95.72</v>
      </c>
      <c r="PQ18">
        <v>95.694999999999993</v>
      </c>
      <c r="PR18">
        <v>95.564999999999998</v>
      </c>
      <c r="PS18">
        <v>95.69</v>
      </c>
      <c r="PT18">
        <v>95.7</v>
      </c>
      <c r="PU18">
        <v>95.605000000000004</v>
      </c>
      <c r="PV18">
        <v>95.504999999999995</v>
      </c>
      <c r="PW18">
        <v>95.614999999999995</v>
      </c>
      <c r="PX18">
        <v>95.694999999999993</v>
      </c>
      <c r="PY18">
        <v>95.86</v>
      </c>
      <c r="PZ18">
        <v>95.95</v>
      </c>
      <c r="QA18">
        <v>95.86</v>
      </c>
      <c r="QB18">
        <v>95.97</v>
      </c>
      <c r="QC18">
        <v>95.915000000000006</v>
      </c>
      <c r="QD18">
        <v>95.944999999999993</v>
      </c>
      <c r="QE18">
        <v>95.78</v>
      </c>
      <c r="QF18">
        <v>95.84</v>
      </c>
      <c r="QG18">
        <v>95.8</v>
      </c>
      <c r="QH18">
        <v>95.745000000000005</v>
      </c>
      <c r="QI18">
        <v>95.87</v>
      </c>
      <c r="QJ18">
        <v>96.004999999999995</v>
      </c>
      <c r="QK18">
        <v>95.954999999999998</v>
      </c>
      <c r="QL18">
        <v>95.935000000000002</v>
      </c>
      <c r="QM18">
        <v>96.015000000000001</v>
      </c>
      <c r="QN18">
        <v>96.02</v>
      </c>
      <c r="QO18">
        <v>96.11</v>
      </c>
      <c r="QP18">
        <v>96.055000000000007</v>
      </c>
      <c r="QQ18">
        <v>96.204999999999998</v>
      </c>
      <c r="QR18">
        <v>96.19</v>
      </c>
      <c r="QS18">
        <v>96.245000000000005</v>
      </c>
      <c r="QT18">
        <v>96.24</v>
      </c>
      <c r="QU18">
        <v>96.275000000000006</v>
      </c>
      <c r="QV18">
        <v>96.305000000000007</v>
      </c>
      <c r="QW18">
        <v>96.275000000000006</v>
      </c>
      <c r="QX18">
        <v>96.265000000000001</v>
      </c>
      <c r="QY18">
        <v>96.284999999999997</v>
      </c>
      <c r="QZ18">
        <v>96.284999999999997</v>
      </c>
      <c r="RA18">
        <v>96.254999999999995</v>
      </c>
      <c r="RB18">
        <v>96.32</v>
      </c>
      <c r="RC18">
        <v>96.385000000000005</v>
      </c>
      <c r="RD18">
        <v>96.385000000000005</v>
      </c>
      <c r="RE18">
        <v>96.46</v>
      </c>
      <c r="RF18">
        <v>96.43</v>
      </c>
      <c r="RG18">
        <v>96.415000000000006</v>
      </c>
      <c r="RH18">
        <v>96.305000000000007</v>
      </c>
      <c r="RI18">
        <v>96.254999999999995</v>
      </c>
      <c r="RJ18">
        <v>96.26</v>
      </c>
      <c r="RK18">
        <v>96.284999999999997</v>
      </c>
      <c r="RL18">
        <v>96.144999999999996</v>
      </c>
      <c r="RM18">
        <v>96.14</v>
      </c>
      <c r="RN18">
        <v>96.24</v>
      </c>
      <c r="RO18">
        <v>96.165000000000006</v>
      </c>
      <c r="RP18">
        <v>96.254999999999995</v>
      </c>
      <c r="RQ18">
        <v>96.295000000000002</v>
      </c>
      <c r="RR18">
        <v>96.35</v>
      </c>
      <c r="RS18">
        <v>96.364999999999995</v>
      </c>
      <c r="RT18">
        <v>96.49</v>
      </c>
      <c r="RU18">
        <v>96.594999999999999</v>
      </c>
      <c r="RV18">
        <v>96.594999999999999</v>
      </c>
      <c r="RW18">
        <v>96.534999999999997</v>
      </c>
      <c r="RX18">
        <v>96.52</v>
      </c>
      <c r="RY18">
        <v>96.37</v>
      </c>
      <c r="RZ18">
        <v>96.48</v>
      </c>
      <c r="SA18">
        <v>96.5</v>
      </c>
      <c r="SB18">
        <v>96.59</v>
      </c>
      <c r="SC18">
        <v>96.58</v>
      </c>
      <c r="SD18">
        <v>96.525000000000006</v>
      </c>
      <c r="SE18">
        <v>96.704999999999998</v>
      </c>
      <c r="SF18">
        <v>96.6</v>
      </c>
      <c r="SG18">
        <v>96.68</v>
      </c>
      <c r="SH18">
        <v>96.7</v>
      </c>
      <c r="SI18">
        <v>96.694999999999993</v>
      </c>
      <c r="SJ18">
        <v>96.855000000000004</v>
      </c>
      <c r="SK18">
        <v>96.805000000000007</v>
      </c>
      <c r="SL18">
        <v>96.775000000000006</v>
      </c>
      <c r="SM18">
        <v>96.73</v>
      </c>
      <c r="SN18">
        <v>96.784999999999997</v>
      </c>
      <c r="SO18">
        <v>96.685000000000002</v>
      </c>
      <c r="SP18">
        <v>96.53</v>
      </c>
      <c r="SQ18">
        <v>96.474999999999994</v>
      </c>
      <c r="SR18">
        <v>96.375</v>
      </c>
      <c r="SS18">
        <v>96.39</v>
      </c>
      <c r="ST18">
        <v>96.555000000000007</v>
      </c>
      <c r="SU18">
        <v>96.66</v>
      </c>
      <c r="SV18">
        <v>96.66</v>
      </c>
      <c r="SW18">
        <v>96.715000000000003</v>
      </c>
      <c r="SX18">
        <v>96.694999999999993</v>
      </c>
      <c r="SY18">
        <v>96.855000000000004</v>
      </c>
      <c r="SZ18">
        <v>96.79</v>
      </c>
      <c r="TA18">
        <v>96.834999999999994</v>
      </c>
      <c r="TB18">
        <v>96.795000000000002</v>
      </c>
      <c r="TC18">
        <v>96.75</v>
      </c>
      <c r="TD18">
        <v>96.83</v>
      </c>
      <c r="TE18">
        <v>96.84</v>
      </c>
      <c r="TF18">
        <v>96.79</v>
      </c>
      <c r="TG18">
        <v>96.79</v>
      </c>
      <c r="TH18">
        <v>96.85</v>
      </c>
      <c r="TI18">
        <v>96.765000000000001</v>
      </c>
      <c r="TJ18">
        <v>96.73</v>
      </c>
      <c r="TK18">
        <v>96.83</v>
      </c>
      <c r="TL18">
        <v>96.82</v>
      </c>
      <c r="TM18">
        <v>96.86</v>
      </c>
      <c r="TN18">
        <v>96.78</v>
      </c>
      <c r="TO18">
        <v>96.864999999999995</v>
      </c>
      <c r="TP18">
        <v>96.86</v>
      </c>
      <c r="TQ18">
        <v>96.83</v>
      </c>
      <c r="TR18">
        <v>96.954999999999998</v>
      </c>
      <c r="TS18">
        <v>96.924999999999997</v>
      </c>
      <c r="TT18">
        <v>96.84</v>
      </c>
      <c r="TU18">
        <v>96.69</v>
      </c>
      <c r="TV18">
        <v>96.69</v>
      </c>
      <c r="TW18">
        <v>96.73</v>
      </c>
      <c r="TX18">
        <v>96.85</v>
      </c>
      <c r="TY18">
        <v>96.864999999999995</v>
      </c>
      <c r="TZ18">
        <v>96.84</v>
      </c>
      <c r="UA18">
        <v>96.864999999999995</v>
      </c>
      <c r="UB18">
        <v>96.935000000000002</v>
      </c>
      <c r="UC18">
        <v>97.02</v>
      </c>
      <c r="UD18">
        <v>97.064999999999998</v>
      </c>
      <c r="UE18">
        <v>97.11</v>
      </c>
      <c r="UF18">
        <v>97.125</v>
      </c>
      <c r="UG18">
        <v>97.2</v>
      </c>
      <c r="UH18">
        <v>97.16</v>
      </c>
      <c r="UI18">
        <v>97.07</v>
      </c>
      <c r="UJ18">
        <v>97.055000000000007</v>
      </c>
      <c r="UK18">
        <v>97.1</v>
      </c>
      <c r="UL18">
        <v>97.204999999999998</v>
      </c>
      <c r="UM18">
        <v>97.14</v>
      </c>
      <c r="UN18">
        <v>97.105000000000004</v>
      </c>
      <c r="UO18">
        <v>96.95</v>
      </c>
      <c r="UP18">
        <v>97.07</v>
      </c>
      <c r="UQ18">
        <v>97.004999999999995</v>
      </c>
      <c r="UR18">
        <v>97.105000000000004</v>
      </c>
      <c r="US18">
        <v>97.144999999999996</v>
      </c>
      <c r="UT18">
        <v>97.03</v>
      </c>
      <c r="UU18">
        <v>96.96</v>
      </c>
      <c r="UV18">
        <v>97</v>
      </c>
      <c r="UW18">
        <v>96.94</v>
      </c>
      <c r="UX18">
        <v>96.954999999999998</v>
      </c>
      <c r="UY18">
        <v>96.935000000000002</v>
      </c>
      <c r="UZ18">
        <v>97</v>
      </c>
      <c r="VA18">
        <v>97.084999999999994</v>
      </c>
      <c r="VB18">
        <v>97.144999999999996</v>
      </c>
      <c r="VC18">
        <v>97.094999999999999</v>
      </c>
      <c r="VD18">
        <v>97.11</v>
      </c>
      <c r="VE18">
        <v>97.15</v>
      </c>
      <c r="VF18">
        <v>97.24</v>
      </c>
      <c r="VG18">
        <v>97.224999999999994</v>
      </c>
      <c r="VH18">
        <v>97.215000000000003</v>
      </c>
      <c r="VI18">
        <v>97.105000000000004</v>
      </c>
      <c r="VJ18">
        <v>97.045000000000002</v>
      </c>
      <c r="VK18">
        <v>96.98</v>
      </c>
      <c r="VL18">
        <v>96.93</v>
      </c>
      <c r="VM18">
        <v>96.915000000000006</v>
      </c>
      <c r="VN18">
        <v>96.954999999999998</v>
      </c>
      <c r="VO18">
        <v>97.084999999999994</v>
      </c>
      <c r="VP18">
        <v>97.064999999999998</v>
      </c>
      <c r="VQ18">
        <v>96.944999999999993</v>
      </c>
      <c r="VR18">
        <v>96.8</v>
      </c>
      <c r="VS18">
        <v>96.875</v>
      </c>
      <c r="VT18">
        <v>96.99</v>
      </c>
      <c r="VU18">
        <v>96.784999999999997</v>
      </c>
      <c r="VV18">
        <v>96.89</v>
      </c>
      <c r="VW18">
        <v>96.765000000000001</v>
      </c>
      <c r="VX18">
        <v>96.87</v>
      </c>
      <c r="VY18">
        <v>96.87</v>
      </c>
      <c r="VZ18">
        <v>96.665000000000006</v>
      </c>
      <c r="WA18">
        <v>96.614999999999995</v>
      </c>
      <c r="WB18">
        <v>96.625</v>
      </c>
      <c r="WC18">
        <v>96.584999999999994</v>
      </c>
      <c r="WD18">
        <v>96.575000000000003</v>
      </c>
      <c r="WE18">
        <v>96.484999999999999</v>
      </c>
      <c r="WF18">
        <v>96.584999999999994</v>
      </c>
      <c r="WG18">
        <v>96.685000000000002</v>
      </c>
      <c r="WH18">
        <v>96.68</v>
      </c>
      <c r="WI18">
        <v>96.61</v>
      </c>
      <c r="WJ18">
        <v>96.69</v>
      </c>
      <c r="WK18">
        <v>96.64</v>
      </c>
      <c r="WL18">
        <v>96.625</v>
      </c>
      <c r="WM18">
        <v>96.78</v>
      </c>
      <c r="WN18">
        <v>96.78</v>
      </c>
      <c r="WO18">
        <v>96.76</v>
      </c>
      <c r="WP18">
        <v>96.79</v>
      </c>
      <c r="WQ18">
        <v>96.834999999999994</v>
      </c>
      <c r="WR18">
        <v>96.88</v>
      </c>
      <c r="WS18">
        <v>96.875</v>
      </c>
      <c r="WT18">
        <v>96.924999999999997</v>
      </c>
      <c r="WU18">
        <v>96.974999999999994</v>
      </c>
      <c r="WV18">
        <v>96.944999999999993</v>
      </c>
      <c r="WW18">
        <v>96.97</v>
      </c>
      <c r="WX18">
        <v>97.08</v>
      </c>
      <c r="WY18">
        <v>97.24</v>
      </c>
      <c r="WZ18">
        <v>97.25</v>
      </c>
      <c r="XA18">
        <v>97.105000000000004</v>
      </c>
      <c r="XB18">
        <v>97.045000000000002</v>
      </c>
      <c r="XC18">
        <v>97.105000000000004</v>
      </c>
      <c r="XD18">
        <v>97.155000000000001</v>
      </c>
      <c r="XE18">
        <v>97.2</v>
      </c>
      <c r="XF18">
        <v>97.2</v>
      </c>
      <c r="XG18">
        <v>97.135000000000005</v>
      </c>
      <c r="XH18">
        <v>97.174999999999997</v>
      </c>
      <c r="XI18">
        <v>97.28</v>
      </c>
      <c r="XJ18">
        <v>97.33</v>
      </c>
      <c r="XK18">
        <v>97.16</v>
      </c>
      <c r="XL18">
        <v>97.174999999999997</v>
      </c>
      <c r="XM18">
        <v>97.174999999999997</v>
      </c>
      <c r="XN18">
        <v>97.234999999999999</v>
      </c>
      <c r="XO18">
        <v>97.1</v>
      </c>
      <c r="XP18">
        <v>97.04</v>
      </c>
      <c r="XQ18">
        <v>97.144999999999996</v>
      </c>
      <c r="XR18">
        <v>97.1</v>
      </c>
      <c r="XS18">
        <v>96.905000000000001</v>
      </c>
      <c r="XT18">
        <v>96.91</v>
      </c>
      <c r="XU18">
        <v>96.805000000000007</v>
      </c>
      <c r="XV18">
        <v>96.76</v>
      </c>
      <c r="XW18">
        <v>96.76</v>
      </c>
      <c r="XX18">
        <v>96.72</v>
      </c>
      <c r="XY18">
        <v>96.694999999999993</v>
      </c>
      <c r="XZ18">
        <v>96.76</v>
      </c>
      <c r="YA18">
        <v>96.84</v>
      </c>
      <c r="YB18">
        <v>96.84</v>
      </c>
      <c r="YC18">
        <v>96.894999999999996</v>
      </c>
      <c r="YD18">
        <v>96.89</v>
      </c>
      <c r="YE18">
        <v>96.965000000000003</v>
      </c>
      <c r="YF18">
        <v>97.075000000000003</v>
      </c>
      <c r="YG18">
        <v>97.16</v>
      </c>
      <c r="YH18">
        <v>97.185000000000002</v>
      </c>
      <c r="YI18">
        <v>97.14</v>
      </c>
      <c r="YJ18">
        <v>97.13</v>
      </c>
      <c r="YK18">
        <v>97.02</v>
      </c>
      <c r="YL18">
        <v>97.06</v>
      </c>
      <c r="YM18">
        <v>97.14</v>
      </c>
      <c r="YN18">
        <v>97.27</v>
      </c>
      <c r="YO18">
        <v>97.16</v>
      </c>
      <c r="YP18">
        <v>97.08</v>
      </c>
      <c r="YQ18">
        <v>97.204999999999998</v>
      </c>
      <c r="YR18">
        <v>97.15</v>
      </c>
      <c r="YS18">
        <v>96.984999999999999</v>
      </c>
      <c r="YT18">
        <v>96.905000000000001</v>
      </c>
      <c r="YU18">
        <v>96.92</v>
      </c>
      <c r="YV18">
        <v>96.91</v>
      </c>
      <c r="YW18">
        <v>96.89</v>
      </c>
      <c r="YX18">
        <v>96.89</v>
      </c>
      <c r="YY18">
        <v>96.834999999999994</v>
      </c>
      <c r="YZ18">
        <v>96.765000000000001</v>
      </c>
      <c r="ZA18">
        <v>96.784999999999997</v>
      </c>
      <c r="ZB18">
        <v>96.86</v>
      </c>
      <c r="ZC18">
        <v>96.924999999999997</v>
      </c>
      <c r="ZD18">
        <v>96.805000000000007</v>
      </c>
      <c r="ZE18">
        <v>96.724999999999994</v>
      </c>
      <c r="ZF18">
        <v>96.775000000000006</v>
      </c>
      <c r="ZG18">
        <v>96.74</v>
      </c>
      <c r="ZH18">
        <v>96.41</v>
      </c>
      <c r="ZI18">
        <v>96.39</v>
      </c>
      <c r="ZJ18">
        <v>96.295000000000002</v>
      </c>
      <c r="ZK18">
        <v>96.314999999999998</v>
      </c>
      <c r="ZL18">
        <v>96.32</v>
      </c>
      <c r="ZM18">
        <v>96.37</v>
      </c>
      <c r="ZN18">
        <v>96.344999999999999</v>
      </c>
      <c r="ZO18">
        <v>96.35</v>
      </c>
      <c r="ZP18">
        <v>96.38</v>
      </c>
      <c r="ZQ18">
        <v>96.504999999999995</v>
      </c>
      <c r="ZR18">
        <v>96.42</v>
      </c>
      <c r="ZS18">
        <v>96.334999999999994</v>
      </c>
      <c r="ZT18">
        <v>96.204999999999998</v>
      </c>
      <c r="ZU18">
        <v>96.23</v>
      </c>
      <c r="ZV18">
        <v>96.17</v>
      </c>
      <c r="ZW18">
        <v>96.3</v>
      </c>
      <c r="ZX18">
        <v>96.45</v>
      </c>
      <c r="ZY18">
        <v>96.435000000000002</v>
      </c>
      <c r="ZZ18">
        <v>96.415000000000006</v>
      </c>
      <c r="AAA18">
        <v>96.46</v>
      </c>
      <c r="AAB18">
        <v>96.45</v>
      </c>
      <c r="AAC18">
        <v>96.4</v>
      </c>
      <c r="AAD18">
        <v>96.38</v>
      </c>
      <c r="AAE18">
        <v>96.44</v>
      </c>
      <c r="AAF18">
        <v>96.5</v>
      </c>
      <c r="AAG18">
        <v>96.564999999999998</v>
      </c>
      <c r="AAH18">
        <v>96.754999999999995</v>
      </c>
      <c r="AAI18">
        <v>96.64</v>
      </c>
      <c r="AAJ18">
        <v>96.444999999999993</v>
      </c>
      <c r="AAK18">
        <v>96.534999999999997</v>
      </c>
      <c r="AAL18">
        <v>96.575000000000003</v>
      </c>
      <c r="AAM18">
        <v>96.334999999999994</v>
      </c>
      <c r="AAN18">
        <v>96.405000000000001</v>
      </c>
      <c r="AAO18">
        <v>96.64</v>
      </c>
      <c r="AAP18">
        <v>96.65</v>
      </c>
      <c r="AAQ18">
        <v>96.864999999999995</v>
      </c>
      <c r="AAR18">
        <v>96.78</v>
      </c>
      <c r="AAS18">
        <v>96.864999999999995</v>
      </c>
      <c r="AAT18">
        <v>96.924999999999997</v>
      </c>
      <c r="AAU18">
        <v>96.9</v>
      </c>
      <c r="AAV18">
        <v>96.96</v>
      </c>
      <c r="AAW18">
        <v>96.94</v>
      </c>
      <c r="AAX18">
        <v>97.004999999999995</v>
      </c>
      <c r="AAY18">
        <v>97.02</v>
      </c>
      <c r="AAZ18">
        <v>97.06</v>
      </c>
      <c r="ABA18">
        <v>97.094999999999999</v>
      </c>
      <c r="ABB18">
        <v>96.99</v>
      </c>
      <c r="ABC18">
        <v>97.15</v>
      </c>
      <c r="ABD18">
        <v>97.15</v>
      </c>
      <c r="ABE18">
        <v>97.045000000000002</v>
      </c>
      <c r="ABF18">
        <v>97.2</v>
      </c>
      <c r="ABG18">
        <v>97.22</v>
      </c>
      <c r="ABH18">
        <v>97.21</v>
      </c>
      <c r="ABI18">
        <v>97.314999999999998</v>
      </c>
      <c r="ABJ18">
        <v>97.38</v>
      </c>
      <c r="ABK18">
        <v>97.32</v>
      </c>
      <c r="ABL18">
        <v>97.375</v>
      </c>
      <c r="ABM18">
        <v>97.415000000000006</v>
      </c>
      <c r="ABN18">
        <v>97.47</v>
      </c>
      <c r="ABO18">
        <v>97.594999999999999</v>
      </c>
      <c r="ABP18">
        <v>97.59</v>
      </c>
      <c r="ABQ18">
        <v>97.694999999999993</v>
      </c>
      <c r="ABR18">
        <v>97.72</v>
      </c>
      <c r="ABS18">
        <v>97.63</v>
      </c>
      <c r="ABT18">
        <v>97.59</v>
      </c>
      <c r="ABU18">
        <v>97.694999999999993</v>
      </c>
      <c r="ABV18">
        <v>97.65</v>
      </c>
      <c r="ABW18">
        <v>97.704999999999998</v>
      </c>
      <c r="ABX18">
        <v>97.605000000000004</v>
      </c>
      <c r="ABY18">
        <v>97.784999999999997</v>
      </c>
      <c r="ABZ18">
        <v>97.674999999999997</v>
      </c>
      <c r="ACA18">
        <v>97.665000000000006</v>
      </c>
      <c r="ACB18">
        <v>97.855000000000004</v>
      </c>
      <c r="ACC18">
        <v>97.814999999999998</v>
      </c>
      <c r="ACD18">
        <v>97.784999999999997</v>
      </c>
      <c r="ACE18">
        <v>97.704999999999998</v>
      </c>
      <c r="ACF18">
        <v>97.61</v>
      </c>
      <c r="ACG18">
        <v>97.575000000000003</v>
      </c>
      <c r="ACH18">
        <v>97.59</v>
      </c>
      <c r="ACI18">
        <v>97.46</v>
      </c>
      <c r="ACJ18">
        <v>97.305000000000007</v>
      </c>
      <c r="ACK18">
        <v>97.355000000000004</v>
      </c>
      <c r="ACL18">
        <v>97.415000000000006</v>
      </c>
      <c r="ACM18">
        <v>97.435000000000002</v>
      </c>
      <c r="ACN18">
        <v>97.394999999999996</v>
      </c>
      <c r="ACO18">
        <v>97.444999999999993</v>
      </c>
      <c r="ACP18">
        <v>97.364999999999995</v>
      </c>
      <c r="ACQ18">
        <v>97.32</v>
      </c>
      <c r="ACR18">
        <v>97.18</v>
      </c>
      <c r="ACS18">
        <v>97.26</v>
      </c>
      <c r="ACT18">
        <v>97.375</v>
      </c>
      <c r="ACU18">
        <v>97.484999999999999</v>
      </c>
      <c r="ACV18">
        <v>97.385000000000005</v>
      </c>
      <c r="ACW18">
        <v>97.385000000000005</v>
      </c>
      <c r="ACX18">
        <v>97.31</v>
      </c>
      <c r="ACY18">
        <v>97.155000000000001</v>
      </c>
      <c r="ACZ18">
        <v>97.05</v>
      </c>
      <c r="ADA18">
        <v>97.064999999999998</v>
      </c>
      <c r="ADB18">
        <v>97.135000000000005</v>
      </c>
      <c r="ADC18">
        <v>97.22</v>
      </c>
      <c r="ADD18">
        <v>97.12</v>
      </c>
      <c r="ADE18">
        <v>96.984999999999999</v>
      </c>
      <c r="ADF18">
        <v>97.05</v>
      </c>
      <c r="ADG18">
        <v>97.05</v>
      </c>
      <c r="ADH18">
        <v>97.004999999999995</v>
      </c>
      <c r="ADI18">
        <v>96.844999999999999</v>
      </c>
      <c r="ADJ18">
        <v>96.754999999999995</v>
      </c>
      <c r="ADK18">
        <v>96.864999999999995</v>
      </c>
      <c r="ADL18">
        <v>97.084999999999994</v>
      </c>
      <c r="ADM18">
        <v>97.2</v>
      </c>
      <c r="ADN18">
        <v>97.215000000000003</v>
      </c>
      <c r="ADO18">
        <v>97.254999999999995</v>
      </c>
      <c r="ADP18">
        <v>97.174999999999997</v>
      </c>
      <c r="ADQ18">
        <v>97.284999999999997</v>
      </c>
      <c r="ADR18">
        <v>97.334999999999994</v>
      </c>
      <c r="ADS18">
        <v>97.295000000000002</v>
      </c>
      <c r="ADT18">
        <v>97.41</v>
      </c>
      <c r="ADU18">
        <v>97.484999999999999</v>
      </c>
      <c r="ADV18">
        <v>97.484999999999999</v>
      </c>
      <c r="ADW18">
        <v>97.495000000000005</v>
      </c>
      <c r="ADX18">
        <v>97.51</v>
      </c>
      <c r="ADY18">
        <v>97.474999999999994</v>
      </c>
      <c r="ADZ18">
        <v>97.35</v>
      </c>
      <c r="AEA18">
        <v>97.424999999999997</v>
      </c>
      <c r="AEB18">
        <v>97.37</v>
      </c>
      <c r="AEC18">
        <v>97.344999999999999</v>
      </c>
      <c r="AED18">
        <v>97.275000000000006</v>
      </c>
      <c r="AEE18">
        <v>97.38</v>
      </c>
      <c r="AEF18">
        <v>97.265000000000001</v>
      </c>
      <c r="AEG18">
        <v>97.38</v>
      </c>
      <c r="AEH18">
        <v>97.305000000000007</v>
      </c>
      <c r="AEI18">
        <v>97.23</v>
      </c>
      <c r="AEJ18">
        <v>97.13</v>
      </c>
      <c r="AEK18">
        <v>97.064999999999998</v>
      </c>
      <c r="AEL18">
        <v>97.12</v>
      </c>
      <c r="AEM18">
        <v>97.24</v>
      </c>
      <c r="AEN18">
        <v>97.18</v>
      </c>
      <c r="AEO18">
        <v>97.125</v>
      </c>
      <c r="AEP18">
        <v>97.25</v>
      </c>
      <c r="AEQ18">
        <v>97.254999999999995</v>
      </c>
      <c r="AER18">
        <v>97.34</v>
      </c>
      <c r="AES18">
        <v>97.375</v>
      </c>
      <c r="AET18">
        <v>97.364999999999995</v>
      </c>
      <c r="AEU18">
        <v>97.29</v>
      </c>
      <c r="AEV18">
        <v>97.2</v>
      </c>
      <c r="AEW18">
        <v>97.305000000000007</v>
      </c>
      <c r="AEX18">
        <v>97.23</v>
      </c>
      <c r="AEY18">
        <v>97.32</v>
      </c>
      <c r="AEZ18">
        <v>97.36</v>
      </c>
      <c r="AFA18">
        <v>97.36</v>
      </c>
      <c r="AFB18">
        <v>97.49</v>
      </c>
      <c r="AFC18">
        <v>97.46</v>
      </c>
      <c r="AFD18">
        <v>97.36</v>
      </c>
      <c r="AFE18">
        <v>97.444999999999993</v>
      </c>
      <c r="AFF18">
        <v>97.525000000000006</v>
      </c>
      <c r="AFG18">
        <v>97.545000000000002</v>
      </c>
      <c r="AFH18">
        <v>97.575000000000003</v>
      </c>
      <c r="AFI18">
        <v>97.78</v>
      </c>
      <c r="AFJ18">
        <v>97.78</v>
      </c>
      <c r="AFK18">
        <v>97.87</v>
      </c>
      <c r="AFL18">
        <v>97.814999999999998</v>
      </c>
      <c r="AFM18">
        <v>97.745000000000005</v>
      </c>
      <c r="AFN18">
        <v>97.625</v>
      </c>
      <c r="AFO18">
        <v>97.575000000000003</v>
      </c>
      <c r="AFP18">
        <v>97.81</v>
      </c>
      <c r="AFQ18">
        <v>97.844999999999999</v>
      </c>
      <c r="AFR18">
        <v>97.795000000000002</v>
      </c>
      <c r="AFS18">
        <v>97.855000000000004</v>
      </c>
      <c r="AFT18">
        <v>98.03</v>
      </c>
      <c r="AFU18">
        <v>97.97</v>
      </c>
      <c r="AFV18">
        <v>97.91</v>
      </c>
      <c r="AFW18">
        <v>97.954999999999998</v>
      </c>
      <c r="AFX18">
        <v>97.98</v>
      </c>
      <c r="AFY18">
        <v>98.125</v>
      </c>
      <c r="AFZ18">
        <v>98.15</v>
      </c>
      <c r="AGA18">
        <v>98.224999999999994</v>
      </c>
      <c r="AGB18">
        <v>98.325000000000003</v>
      </c>
      <c r="AGC18">
        <v>98.44</v>
      </c>
      <c r="AGD18">
        <v>98.49</v>
      </c>
      <c r="AGE18">
        <v>98.344999999999999</v>
      </c>
      <c r="AGF18">
        <v>98.29</v>
      </c>
      <c r="AGG18">
        <v>98.49</v>
      </c>
      <c r="AGH18">
        <v>98.284999999999997</v>
      </c>
      <c r="AGI18">
        <v>98.13</v>
      </c>
      <c r="AGJ18">
        <v>98.155000000000001</v>
      </c>
      <c r="AGK18">
        <v>98.144999999999996</v>
      </c>
      <c r="AGL18">
        <v>98.18</v>
      </c>
      <c r="AGM18">
        <v>98.185000000000002</v>
      </c>
      <c r="AGN18">
        <v>98.185000000000002</v>
      </c>
      <c r="AGO18">
        <v>98.144999999999996</v>
      </c>
      <c r="AGP18">
        <v>98.06</v>
      </c>
      <c r="AGQ18">
        <v>98.06</v>
      </c>
      <c r="AGR18">
        <v>98.105000000000004</v>
      </c>
      <c r="AGS18">
        <v>98.16</v>
      </c>
      <c r="AGT18">
        <v>98.015000000000001</v>
      </c>
      <c r="AGU18">
        <v>98.1</v>
      </c>
      <c r="AGV18">
        <v>98.075000000000003</v>
      </c>
      <c r="AGW18">
        <v>98.12</v>
      </c>
      <c r="AGX18">
        <v>98.094999999999999</v>
      </c>
      <c r="AGY18">
        <v>98.234999999999999</v>
      </c>
      <c r="AGZ18">
        <v>98.305000000000007</v>
      </c>
      <c r="AHA18">
        <v>98.275000000000006</v>
      </c>
      <c r="AHB18">
        <v>98.27</v>
      </c>
      <c r="AHC18">
        <v>98.27</v>
      </c>
      <c r="AHD18">
        <v>98.224999999999994</v>
      </c>
      <c r="AHE18">
        <v>98.16</v>
      </c>
      <c r="AHF18">
        <v>98.24</v>
      </c>
      <c r="AHG18">
        <v>98.3</v>
      </c>
      <c r="AHH18">
        <v>98.26</v>
      </c>
      <c r="AHI18">
        <v>98.185000000000002</v>
      </c>
      <c r="AHJ18">
        <v>98.174999999999997</v>
      </c>
      <c r="AHK18">
        <v>98.125</v>
      </c>
      <c r="AHL18">
        <v>98.245000000000005</v>
      </c>
      <c r="AHM18">
        <v>98.245000000000005</v>
      </c>
      <c r="AHN18">
        <v>98.33</v>
      </c>
      <c r="AHO18">
        <v>98.3</v>
      </c>
      <c r="AHP18">
        <v>98.26</v>
      </c>
      <c r="AHQ18">
        <v>98.194999999999993</v>
      </c>
      <c r="AHR18">
        <v>98.234999999999999</v>
      </c>
      <c r="AHS18">
        <v>98.29</v>
      </c>
      <c r="AHT18">
        <v>98.33</v>
      </c>
      <c r="AHU18">
        <v>98.37</v>
      </c>
      <c r="AHV18">
        <v>98.405000000000001</v>
      </c>
      <c r="AHW18">
        <v>98.54</v>
      </c>
      <c r="AHX18">
        <v>98.525000000000006</v>
      </c>
      <c r="AHY18">
        <v>98.515000000000001</v>
      </c>
      <c r="AHZ18">
        <v>98.57</v>
      </c>
      <c r="AIA18">
        <v>98.56</v>
      </c>
      <c r="AIB18">
        <v>98.555000000000007</v>
      </c>
      <c r="AIC18">
        <v>98.555000000000007</v>
      </c>
      <c r="AID18">
        <v>98.57</v>
      </c>
      <c r="AIE18">
        <v>98.555000000000007</v>
      </c>
      <c r="AIF18">
        <v>98.64</v>
      </c>
      <c r="AIG18">
        <v>98.655000000000001</v>
      </c>
      <c r="AIH18">
        <v>98.64</v>
      </c>
      <c r="AII18">
        <v>98.55</v>
      </c>
      <c r="AIJ18">
        <v>98.55</v>
      </c>
      <c r="AIK18">
        <v>98.564999999999998</v>
      </c>
      <c r="AIL18">
        <v>98.515000000000001</v>
      </c>
      <c r="AIM18">
        <v>98.525000000000006</v>
      </c>
      <c r="AIN18">
        <v>98.5</v>
      </c>
      <c r="AIO18">
        <v>98.515000000000001</v>
      </c>
      <c r="AIP18">
        <v>98.57</v>
      </c>
      <c r="AIQ18">
        <v>98.7</v>
      </c>
      <c r="AIR18">
        <v>98.59</v>
      </c>
      <c r="AIS18">
        <v>98.62</v>
      </c>
      <c r="AIT18">
        <v>98.584999999999994</v>
      </c>
      <c r="AIU18">
        <v>98.51</v>
      </c>
      <c r="AIV18">
        <v>98.53</v>
      </c>
      <c r="AIW18">
        <v>98.36</v>
      </c>
      <c r="AIX18">
        <v>98.36</v>
      </c>
      <c r="AIY18">
        <v>98.355000000000004</v>
      </c>
      <c r="AIZ18">
        <v>98.385000000000005</v>
      </c>
      <c r="AJA18">
        <v>98.51</v>
      </c>
      <c r="AJB18">
        <v>98.47</v>
      </c>
      <c r="AJC18">
        <v>98.435000000000002</v>
      </c>
      <c r="AJD18">
        <v>98.41</v>
      </c>
      <c r="AJE18">
        <v>98.444999999999993</v>
      </c>
      <c r="AJF18">
        <v>98.474999999999994</v>
      </c>
      <c r="AJG18">
        <v>98.47</v>
      </c>
      <c r="AJH18">
        <v>98.504999999999995</v>
      </c>
      <c r="AJI18">
        <v>98.66</v>
      </c>
      <c r="AJJ18">
        <v>98.59</v>
      </c>
      <c r="AJK18">
        <v>98.655000000000001</v>
      </c>
      <c r="AJL18">
        <v>98.57</v>
      </c>
      <c r="AJM18">
        <v>98.504999999999995</v>
      </c>
      <c r="AJN18">
        <v>98.55</v>
      </c>
      <c r="AJO18">
        <v>98.555000000000007</v>
      </c>
      <c r="AJP18">
        <v>98.584999999999994</v>
      </c>
      <c r="AJQ18">
        <v>98.555000000000007</v>
      </c>
      <c r="AJR18">
        <v>98.555000000000007</v>
      </c>
      <c r="AJS18">
        <v>98.424999999999997</v>
      </c>
      <c r="AJT18">
        <v>98.43</v>
      </c>
      <c r="AJU18">
        <v>98.424999999999997</v>
      </c>
      <c r="AJV18">
        <v>98.39</v>
      </c>
      <c r="AJW18">
        <v>98.454999999999998</v>
      </c>
      <c r="AJX18">
        <v>98.45</v>
      </c>
      <c r="AJY18">
        <v>98.46</v>
      </c>
      <c r="AJZ18">
        <v>98.48</v>
      </c>
      <c r="AKA18">
        <v>98.55</v>
      </c>
      <c r="AKB18">
        <v>98.495000000000005</v>
      </c>
      <c r="AKC18">
        <v>98.465000000000003</v>
      </c>
      <c r="AKD18">
        <v>98.435000000000002</v>
      </c>
      <c r="AKE18">
        <v>98.46</v>
      </c>
      <c r="AKF18">
        <v>98.504999999999995</v>
      </c>
      <c r="AKG18">
        <v>98.555000000000007</v>
      </c>
      <c r="AKH18">
        <v>98.56</v>
      </c>
      <c r="AKI18">
        <v>98.605000000000004</v>
      </c>
      <c r="AKJ18">
        <v>98.6</v>
      </c>
      <c r="AKK18">
        <v>98.515000000000001</v>
      </c>
      <c r="AKL18">
        <v>98.495000000000005</v>
      </c>
      <c r="AKM18">
        <v>98.474999999999994</v>
      </c>
      <c r="AKN18">
        <v>98.525000000000006</v>
      </c>
      <c r="AKO18">
        <v>98.56</v>
      </c>
      <c r="AKP18">
        <v>98.6</v>
      </c>
      <c r="AKQ18">
        <v>98.674999999999997</v>
      </c>
      <c r="AKR18">
        <v>98.724999999999994</v>
      </c>
      <c r="AKS18">
        <v>98.73</v>
      </c>
      <c r="AKT18">
        <v>98.66</v>
      </c>
      <c r="AKU18">
        <v>98.715000000000003</v>
      </c>
      <c r="AKV18">
        <v>98.775000000000006</v>
      </c>
      <c r="AKW18">
        <v>98.855000000000004</v>
      </c>
      <c r="AKX18">
        <v>98.825000000000003</v>
      </c>
      <c r="AKY18">
        <v>98.81</v>
      </c>
      <c r="AKZ18">
        <v>98.86</v>
      </c>
      <c r="ALA18">
        <v>98.825000000000003</v>
      </c>
      <c r="ALB18">
        <v>98.805000000000007</v>
      </c>
      <c r="ALC18">
        <v>98.86</v>
      </c>
      <c r="ALD18">
        <v>98.86</v>
      </c>
      <c r="ALE18">
        <v>98.885000000000005</v>
      </c>
      <c r="ALF18">
        <v>98.875</v>
      </c>
      <c r="ALG18">
        <v>98.88</v>
      </c>
      <c r="ALH18">
        <v>98.89</v>
      </c>
      <c r="ALI18">
        <v>98.84</v>
      </c>
      <c r="ALJ18">
        <v>98.795000000000002</v>
      </c>
      <c r="ALK18">
        <v>98.805000000000007</v>
      </c>
      <c r="ALL18">
        <v>98.864999999999995</v>
      </c>
      <c r="ALM18">
        <v>98.9</v>
      </c>
      <c r="ALN18">
        <v>98.89</v>
      </c>
      <c r="ALO18">
        <v>98.91</v>
      </c>
      <c r="ALP18">
        <v>98.885000000000005</v>
      </c>
      <c r="ALQ18">
        <v>98.905000000000001</v>
      </c>
      <c r="ALR18">
        <v>98.91</v>
      </c>
      <c r="ALS18">
        <v>98.844999999999999</v>
      </c>
      <c r="ALT18">
        <v>98.775000000000006</v>
      </c>
      <c r="ALU18">
        <v>98.79</v>
      </c>
      <c r="ALV18">
        <v>98.79</v>
      </c>
      <c r="ALW18">
        <v>98.82</v>
      </c>
      <c r="ALX18">
        <v>98.875</v>
      </c>
      <c r="ALY18">
        <v>98.944999999999993</v>
      </c>
      <c r="ALZ18">
        <v>99</v>
      </c>
      <c r="AMA18">
        <v>99.045000000000002</v>
      </c>
      <c r="AMB18">
        <v>99.03</v>
      </c>
      <c r="AMC18">
        <v>98.95</v>
      </c>
      <c r="AMD18">
        <v>98.915000000000006</v>
      </c>
      <c r="AME18">
        <v>98.915000000000006</v>
      </c>
      <c r="AMF18">
        <v>98.97</v>
      </c>
      <c r="AMG18">
        <v>98.935000000000002</v>
      </c>
      <c r="AMH18">
        <v>98.924999999999997</v>
      </c>
      <c r="AMI18">
        <v>98.94</v>
      </c>
      <c r="AMJ18">
        <v>98.93</v>
      </c>
      <c r="AMK18">
        <v>99.03</v>
      </c>
      <c r="AML18">
        <v>99.025000000000006</v>
      </c>
      <c r="AMM18">
        <v>98.85</v>
      </c>
      <c r="AMN18">
        <v>98.85</v>
      </c>
      <c r="AMO18">
        <v>98.795000000000002</v>
      </c>
      <c r="AMP18">
        <v>98.74</v>
      </c>
      <c r="AMQ18">
        <v>98.805000000000007</v>
      </c>
      <c r="AMR18">
        <v>98.8</v>
      </c>
      <c r="AMS18">
        <v>98.875</v>
      </c>
      <c r="AMT18">
        <v>98.814999999999998</v>
      </c>
      <c r="AMU18">
        <v>98.77</v>
      </c>
      <c r="AMV18">
        <v>98.68</v>
      </c>
      <c r="AMW18">
        <v>98.68</v>
      </c>
      <c r="AMX18">
        <v>98.614999999999995</v>
      </c>
      <c r="AMY18">
        <v>98.665000000000006</v>
      </c>
      <c r="AMZ18">
        <v>98.63</v>
      </c>
      <c r="ANA18">
        <v>98.63</v>
      </c>
      <c r="ANB18">
        <v>98.6</v>
      </c>
      <c r="ANC18">
        <v>98.64</v>
      </c>
      <c r="AND18">
        <v>98.65</v>
      </c>
      <c r="ANE18">
        <v>98.68</v>
      </c>
      <c r="ANF18">
        <v>98.67</v>
      </c>
      <c r="ANG18">
        <v>98.665000000000006</v>
      </c>
      <c r="ANH18">
        <v>98.62</v>
      </c>
      <c r="ANI18">
        <v>98.555000000000007</v>
      </c>
      <c r="ANJ18">
        <v>98.8</v>
      </c>
      <c r="ANK18">
        <v>98.79</v>
      </c>
      <c r="ANL18">
        <v>98.834999999999994</v>
      </c>
      <c r="ANM18">
        <v>98.87</v>
      </c>
      <c r="ANN18">
        <v>98.84</v>
      </c>
      <c r="ANO18">
        <v>98.79</v>
      </c>
      <c r="ANP18">
        <v>98.745000000000005</v>
      </c>
      <c r="ANQ18">
        <v>98.745000000000005</v>
      </c>
      <c r="ANR18">
        <v>98.655000000000001</v>
      </c>
      <c r="ANS18">
        <v>98.704999999999998</v>
      </c>
      <c r="ANT18">
        <v>98.67</v>
      </c>
      <c r="ANU18">
        <v>98.704999999999998</v>
      </c>
      <c r="ANV18">
        <v>98.704999999999998</v>
      </c>
      <c r="ANW18">
        <v>98.7</v>
      </c>
      <c r="ANX18">
        <v>98.734999999999999</v>
      </c>
      <c r="ANY18">
        <v>98.74</v>
      </c>
      <c r="ANZ18">
        <v>98.685000000000002</v>
      </c>
      <c r="AOA18">
        <v>98.65</v>
      </c>
      <c r="AOB18">
        <v>98.665000000000006</v>
      </c>
      <c r="AOC18">
        <v>98.605000000000004</v>
      </c>
      <c r="AOD18">
        <v>98.665000000000006</v>
      </c>
      <c r="AOE18">
        <v>98.665000000000006</v>
      </c>
      <c r="AOF18">
        <v>98.67</v>
      </c>
      <c r="AOG18">
        <v>98.655000000000001</v>
      </c>
      <c r="AOH18">
        <v>98.6</v>
      </c>
      <c r="AOI18">
        <v>98.7</v>
      </c>
      <c r="AOJ18">
        <v>98.724999999999994</v>
      </c>
      <c r="AOK18">
        <v>98.724999999999994</v>
      </c>
      <c r="AOL18">
        <v>98.674999999999997</v>
      </c>
      <c r="AOM18">
        <v>98.66</v>
      </c>
      <c r="AON18">
        <v>98.64</v>
      </c>
      <c r="AOO18">
        <v>98.614999999999995</v>
      </c>
      <c r="AOP18">
        <v>98.58</v>
      </c>
      <c r="AOQ18">
        <v>98.58</v>
      </c>
      <c r="AOR18">
        <v>98.584999999999994</v>
      </c>
      <c r="AOS18">
        <v>98.59</v>
      </c>
      <c r="AOT18">
        <v>98.644999999999996</v>
      </c>
      <c r="AOU18">
        <v>98.655000000000001</v>
      </c>
      <c r="AOV18">
        <v>98.685000000000002</v>
      </c>
      <c r="AOW18">
        <v>98.685000000000002</v>
      </c>
      <c r="AOX18">
        <v>98.69</v>
      </c>
      <c r="AOY18">
        <v>98.665000000000006</v>
      </c>
      <c r="AOZ18">
        <v>98.674999999999997</v>
      </c>
      <c r="APA18">
        <v>98.71</v>
      </c>
      <c r="APB18">
        <v>98.575000000000003</v>
      </c>
      <c r="APC18">
        <v>98.58</v>
      </c>
      <c r="APD18">
        <v>98.49</v>
      </c>
      <c r="APE18">
        <v>98.515000000000001</v>
      </c>
      <c r="APF18">
        <v>98.545000000000002</v>
      </c>
      <c r="APG18">
        <v>98.504999999999995</v>
      </c>
      <c r="APH18">
        <v>98.47</v>
      </c>
      <c r="API18">
        <v>98.364999999999995</v>
      </c>
      <c r="APJ18">
        <v>98.33</v>
      </c>
      <c r="APK18">
        <v>98.43</v>
      </c>
      <c r="APL18">
        <v>98.394999999999996</v>
      </c>
      <c r="APM18">
        <v>98.44</v>
      </c>
      <c r="APN18">
        <v>98.48</v>
      </c>
      <c r="APO18">
        <v>98.55</v>
      </c>
      <c r="APP18">
        <v>98.605000000000004</v>
      </c>
      <c r="APQ18">
        <v>98.594999999999999</v>
      </c>
      <c r="APR18">
        <v>98.575000000000003</v>
      </c>
      <c r="APS18">
        <v>98.52</v>
      </c>
      <c r="APT18">
        <v>98.49</v>
      </c>
      <c r="APU18">
        <v>98.545000000000002</v>
      </c>
      <c r="APV18">
        <v>98.655000000000001</v>
      </c>
      <c r="APW18">
        <v>98.734999999999999</v>
      </c>
      <c r="APX18">
        <v>98.724999999999994</v>
      </c>
      <c r="APY18">
        <v>98.71</v>
      </c>
      <c r="APZ18">
        <v>98.78</v>
      </c>
      <c r="AQA18">
        <v>98.78</v>
      </c>
      <c r="AQB18">
        <v>98.75</v>
      </c>
      <c r="AQC18">
        <v>98.694999999999993</v>
      </c>
      <c r="AQD18">
        <v>98.76</v>
      </c>
      <c r="AQE18">
        <v>98.75</v>
      </c>
      <c r="AQF18">
        <v>98.814999999999998</v>
      </c>
      <c r="AQG18">
        <v>98.87</v>
      </c>
      <c r="AQH18">
        <v>98.83</v>
      </c>
      <c r="AQI18">
        <v>98.784999999999997</v>
      </c>
      <c r="AQJ18">
        <v>98.79</v>
      </c>
      <c r="AQK18">
        <v>99.015000000000001</v>
      </c>
      <c r="AQL18">
        <v>99.04</v>
      </c>
      <c r="AQM18">
        <v>99.03</v>
      </c>
      <c r="AQN18">
        <v>99.064999999999998</v>
      </c>
      <c r="AQO18">
        <v>99.11</v>
      </c>
      <c r="AQP18">
        <v>99.084999999999994</v>
      </c>
      <c r="AQQ18">
        <v>99.11</v>
      </c>
      <c r="AQR18">
        <v>99.23</v>
      </c>
      <c r="AQS18">
        <v>99.23</v>
      </c>
      <c r="AQT18">
        <v>99.275000000000006</v>
      </c>
      <c r="AQU18">
        <v>99.284999999999997</v>
      </c>
      <c r="AQV18">
        <v>99.27</v>
      </c>
      <c r="AQW18">
        <v>99.26</v>
      </c>
      <c r="AQX18">
        <v>99.28</v>
      </c>
      <c r="AQY18">
        <v>99.284999999999997</v>
      </c>
      <c r="AQZ18">
        <v>99.34</v>
      </c>
      <c r="ARA18">
        <v>99.355000000000004</v>
      </c>
      <c r="ARB18">
        <v>99.375</v>
      </c>
      <c r="ARC18">
        <v>99.375</v>
      </c>
      <c r="ARD18">
        <v>99.38</v>
      </c>
      <c r="ARE18">
        <v>99.41</v>
      </c>
      <c r="ARF18">
        <v>99.394999999999996</v>
      </c>
      <c r="ARG18">
        <v>99.4</v>
      </c>
      <c r="ARH18">
        <v>99.385000000000005</v>
      </c>
      <c r="ARI18">
        <v>99.38</v>
      </c>
      <c r="ARJ18">
        <v>99.394999999999996</v>
      </c>
      <c r="ARK18">
        <v>99.394999999999996</v>
      </c>
      <c r="ARL18">
        <v>99.385000000000005</v>
      </c>
      <c r="ARM18">
        <v>99.385000000000005</v>
      </c>
      <c r="ARN18">
        <v>99.405000000000001</v>
      </c>
      <c r="ARO18">
        <v>99.39</v>
      </c>
      <c r="ARP18">
        <v>99.364999999999995</v>
      </c>
      <c r="ARQ18">
        <v>99.37</v>
      </c>
      <c r="ARR18">
        <v>99.375</v>
      </c>
      <c r="ARS18">
        <v>99.415000000000006</v>
      </c>
      <c r="ART18">
        <v>99.51</v>
      </c>
      <c r="ARU18">
        <v>99.555000000000007</v>
      </c>
      <c r="ARV18">
        <v>99.564999999999998</v>
      </c>
      <c r="ARW18">
        <v>99.555000000000007</v>
      </c>
      <c r="ARX18">
        <v>99.555000000000007</v>
      </c>
      <c r="ARY18">
        <v>99.545000000000002</v>
      </c>
      <c r="ARZ18">
        <v>99.53</v>
      </c>
      <c r="ASA18">
        <v>99.525000000000006</v>
      </c>
      <c r="ASB18">
        <v>99.53</v>
      </c>
      <c r="ASC18">
        <v>99.53</v>
      </c>
      <c r="ASD18">
        <v>99.53</v>
      </c>
      <c r="ASE18">
        <v>99.534999999999997</v>
      </c>
      <c r="ASF18">
        <v>99.53</v>
      </c>
      <c r="ASG18">
        <v>99.53</v>
      </c>
      <c r="ASH18">
        <v>99.555000000000007</v>
      </c>
      <c r="ASI18">
        <v>99.564999999999998</v>
      </c>
      <c r="ASJ18">
        <v>99.635000000000005</v>
      </c>
      <c r="ASK18">
        <v>99.635000000000005</v>
      </c>
      <c r="ASL18">
        <v>99.635000000000005</v>
      </c>
      <c r="ASM18">
        <v>99.61</v>
      </c>
      <c r="ASN18">
        <v>99.605000000000004</v>
      </c>
      <c r="ASO18">
        <v>99.71</v>
      </c>
      <c r="ASP18">
        <v>99.71</v>
      </c>
      <c r="ASQ18">
        <v>99.72</v>
      </c>
      <c r="ASR18">
        <v>99.734999999999999</v>
      </c>
      <c r="ASS18">
        <v>99.74</v>
      </c>
      <c r="AST18">
        <v>99.745000000000005</v>
      </c>
      <c r="ASU18">
        <v>99.77</v>
      </c>
      <c r="ASV18">
        <v>99.775000000000006</v>
      </c>
      <c r="ASW18">
        <v>99.77</v>
      </c>
      <c r="ASX18">
        <v>99.77</v>
      </c>
      <c r="ASY18">
        <v>99.765000000000001</v>
      </c>
      <c r="ASZ18">
        <v>99.76</v>
      </c>
      <c r="ATA18">
        <v>99.775000000000006</v>
      </c>
      <c r="ATB18">
        <v>99.77</v>
      </c>
      <c r="ATC18">
        <v>99.77</v>
      </c>
      <c r="ATD18">
        <v>99.775000000000006</v>
      </c>
      <c r="ATE18">
        <v>99.765000000000001</v>
      </c>
      <c r="ATF18">
        <v>99.765000000000001</v>
      </c>
      <c r="ATG18">
        <v>99.76</v>
      </c>
      <c r="ATH18">
        <v>99.74</v>
      </c>
      <c r="ATI18">
        <v>99.74</v>
      </c>
      <c r="ATJ18">
        <v>99.775000000000006</v>
      </c>
      <c r="ATK18">
        <v>99.82</v>
      </c>
      <c r="ATL18">
        <v>99.825000000000003</v>
      </c>
      <c r="ATM18">
        <v>99.844999999999999</v>
      </c>
      <c r="ATN18">
        <v>99.814999999999998</v>
      </c>
      <c r="ATO18">
        <v>99.825000000000003</v>
      </c>
      <c r="ATP18">
        <v>99.82</v>
      </c>
      <c r="ATQ18">
        <v>99.825000000000003</v>
      </c>
      <c r="ATR18">
        <v>99.834999999999994</v>
      </c>
      <c r="ATS18">
        <v>99.834999999999994</v>
      </c>
      <c r="ATT18">
        <v>99.83</v>
      </c>
      <c r="ATU18">
        <v>99.82</v>
      </c>
      <c r="ATV18">
        <v>99.81</v>
      </c>
      <c r="ATW18">
        <v>99.834999999999994</v>
      </c>
      <c r="ATX18">
        <v>99.834999999999994</v>
      </c>
      <c r="ATY18">
        <v>99.844999999999999</v>
      </c>
      <c r="ATZ18">
        <v>99.855000000000004</v>
      </c>
      <c r="AUA18">
        <v>99.85</v>
      </c>
      <c r="AUB18">
        <v>99.855000000000004</v>
      </c>
      <c r="AUC18">
        <v>99.85</v>
      </c>
      <c r="AUD18">
        <v>99.834999999999994</v>
      </c>
      <c r="AUE18">
        <v>99.83</v>
      </c>
      <c r="AUF18">
        <v>99.844999999999999</v>
      </c>
      <c r="AUG18">
        <v>99.84</v>
      </c>
      <c r="AUH18">
        <v>99.864999999999995</v>
      </c>
      <c r="AUI18">
        <v>99.864999999999995</v>
      </c>
      <c r="AUJ18">
        <v>99.915000000000006</v>
      </c>
      <c r="AUK18">
        <v>99.915000000000006</v>
      </c>
      <c r="AUL18">
        <v>99.915000000000006</v>
      </c>
      <c r="AUM18">
        <v>99.92</v>
      </c>
      <c r="AUN18">
        <v>99.92</v>
      </c>
      <c r="AUO18">
        <v>99.93</v>
      </c>
      <c r="AUP18">
        <v>99.93</v>
      </c>
      <c r="AUQ18">
        <v>99.935000000000002</v>
      </c>
      <c r="AUR18">
        <v>99.935000000000002</v>
      </c>
      <c r="AUS18">
        <v>99.924999999999997</v>
      </c>
      <c r="AUT18">
        <v>99.905000000000001</v>
      </c>
      <c r="AUU18">
        <v>99.92</v>
      </c>
      <c r="AUV18">
        <v>99.915000000000006</v>
      </c>
      <c r="AUW18">
        <v>99.94</v>
      </c>
      <c r="AUX18">
        <v>99.944999999999993</v>
      </c>
      <c r="AUY18">
        <v>99.935000000000002</v>
      </c>
      <c r="AUZ18">
        <v>99.91</v>
      </c>
      <c r="AVA18">
        <v>99.905000000000001</v>
      </c>
      <c r="AVB18">
        <v>99.91</v>
      </c>
      <c r="AVC18">
        <v>99.9</v>
      </c>
      <c r="AVD18">
        <v>99.9</v>
      </c>
      <c r="AVE18">
        <v>99.93</v>
      </c>
      <c r="AVF18">
        <v>99.92</v>
      </c>
      <c r="AVG18">
        <v>99.93</v>
      </c>
      <c r="AVH18">
        <v>99.924999999999997</v>
      </c>
      <c r="AVI18">
        <v>99.92</v>
      </c>
      <c r="AVJ18">
        <v>99.9</v>
      </c>
      <c r="AVK18">
        <v>99.91</v>
      </c>
      <c r="AVL18">
        <v>99.915000000000006</v>
      </c>
      <c r="AVM18">
        <v>99.924999999999997</v>
      </c>
      <c r="AVN18">
        <v>99.92</v>
      </c>
      <c r="AVO18">
        <v>99.93</v>
      </c>
      <c r="AVP18">
        <v>99.93</v>
      </c>
      <c r="AVQ18">
        <v>99.92</v>
      </c>
      <c r="AVR18">
        <v>99.905000000000001</v>
      </c>
      <c r="AVS18">
        <v>99.894999999999996</v>
      </c>
      <c r="AVT18">
        <v>99.894999999999996</v>
      </c>
      <c r="AVU18">
        <v>99.9</v>
      </c>
      <c r="AVV18">
        <v>99.9</v>
      </c>
      <c r="AVW18">
        <v>99.935000000000002</v>
      </c>
      <c r="AVX18">
        <v>99.944999999999993</v>
      </c>
      <c r="AVY18">
        <v>99.965000000000003</v>
      </c>
      <c r="AVZ18">
        <v>99.97</v>
      </c>
      <c r="AWA18">
        <v>99.98</v>
      </c>
      <c r="AWB18">
        <v>99.97</v>
      </c>
      <c r="AWC18">
        <v>99.965000000000003</v>
      </c>
      <c r="AWD18">
        <v>99.96</v>
      </c>
      <c r="AWE18">
        <v>99.94</v>
      </c>
      <c r="AWF18">
        <v>99.93</v>
      </c>
      <c r="AWG18">
        <v>99.924999999999997</v>
      </c>
      <c r="AWH18">
        <v>99.935000000000002</v>
      </c>
      <c r="AWI18">
        <v>99.94</v>
      </c>
      <c r="AWJ18">
        <v>99.94</v>
      </c>
      <c r="AWK18">
        <v>99.935000000000002</v>
      </c>
      <c r="AWL18">
        <v>99.935000000000002</v>
      </c>
      <c r="AWM18">
        <v>99.93</v>
      </c>
      <c r="AWN18">
        <v>99.93</v>
      </c>
      <c r="AWO18">
        <v>99.924999999999997</v>
      </c>
      <c r="AWP18">
        <v>99.935000000000002</v>
      </c>
      <c r="AWQ18">
        <v>99.935000000000002</v>
      </c>
      <c r="AWR18">
        <v>99.95</v>
      </c>
      <c r="AWS18">
        <v>99.965000000000003</v>
      </c>
      <c r="AWT18">
        <v>99.95</v>
      </c>
      <c r="AWU18">
        <v>99.944999999999993</v>
      </c>
      <c r="AWV18">
        <v>99.94</v>
      </c>
      <c r="AWW18">
        <v>99.94</v>
      </c>
      <c r="AWX18">
        <v>99.94</v>
      </c>
      <c r="AWY18">
        <v>99.93</v>
      </c>
      <c r="AWZ18">
        <v>99.95</v>
      </c>
      <c r="AXA18">
        <v>99.95</v>
      </c>
      <c r="AXB18">
        <v>99.94</v>
      </c>
      <c r="AXC18">
        <v>99.92</v>
      </c>
      <c r="AXD18">
        <v>99.92</v>
      </c>
      <c r="AXE18">
        <v>99.92</v>
      </c>
      <c r="AXF18">
        <v>99.915000000000006</v>
      </c>
      <c r="AXG18">
        <v>99.905000000000001</v>
      </c>
      <c r="AXH18">
        <v>99.885000000000005</v>
      </c>
      <c r="AXI18">
        <v>99.88</v>
      </c>
      <c r="AXJ18">
        <v>99.864999999999995</v>
      </c>
      <c r="AXK18">
        <v>99.88</v>
      </c>
      <c r="AXL18">
        <v>99.87</v>
      </c>
      <c r="AXM18">
        <v>99.88</v>
      </c>
      <c r="AXN18">
        <v>99.855000000000004</v>
      </c>
      <c r="AXO18">
        <v>99.805000000000007</v>
      </c>
      <c r="AXP18">
        <v>99.77</v>
      </c>
      <c r="AXQ18">
        <v>99.765000000000001</v>
      </c>
      <c r="AXR18">
        <v>99.83</v>
      </c>
      <c r="AXS18">
        <v>99.844999999999999</v>
      </c>
      <c r="AXT18">
        <v>99.88</v>
      </c>
      <c r="AXU18">
        <v>99.885000000000005</v>
      </c>
      <c r="AXV18">
        <v>99.875</v>
      </c>
      <c r="AXW18">
        <v>99.855000000000004</v>
      </c>
      <c r="AXX18">
        <v>99.86</v>
      </c>
      <c r="AXY18">
        <v>99.864999999999995</v>
      </c>
      <c r="AXZ18">
        <v>99.87</v>
      </c>
      <c r="AYA18">
        <v>99.87</v>
      </c>
      <c r="AYB18">
        <v>99.864999999999995</v>
      </c>
      <c r="AYC18">
        <v>99.864999999999995</v>
      </c>
      <c r="AYD18">
        <v>99.87</v>
      </c>
      <c r="AYE18">
        <v>99.87</v>
      </c>
      <c r="AYF18">
        <v>99.915000000000006</v>
      </c>
      <c r="AYG18">
        <v>99.89</v>
      </c>
      <c r="AYH18">
        <v>99.88</v>
      </c>
      <c r="AYI18">
        <v>99.86</v>
      </c>
      <c r="AYJ18">
        <v>99.86</v>
      </c>
      <c r="AYK18">
        <v>99.88</v>
      </c>
      <c r="AYL18">
        <v>99.89</v>
      </c>
      <c r="AYM18">
        <v>99.834999999999994</v>
      </c>
      <c r="AYN18">
        <v>99.82</v>
      </c>
      <c r="AYO18">
        <v>99.825000000000003</v>
      </c>
      <c r="AYP18">
        <v>99.81</v>
      </c>
      <c r="AYQ18">
        <v>99.814999999999998</v>
      </c>
      <c r="AYR18">
        <v>99.805000000000007</v>
      </c>
      <c r="AYS18">
        <v>99.79</v>
      </c>
      <c r="AYT18">
        <v>99.784999999999997</v>
      </c>
      <c r="AYU18">
        <v>99.795000000000002</v>
      </c>
      <c r="AYV18">
        <v>99.795000000000002</v>
      </c>
      <c r="AYW18">
        <v>99.79</v>
      </c>
      <c r="AYX18">
        <v>99.8</v>
      </c>
      <c r="AYY18">
        <v>99.78</v>
      </c>
      <c r="AYZ18">
        <v>99.77</v>
      </c>
      <c r="AZA18">
        <v>99.754999999999995</v>
      </c>
      <c r="AZB18">
        <v>99.745000000000005</v>
      </c>
      <c r="AZC18">
        <v>99.715000000000003</v>
      </c>
      <c r="AZD18">
        <v>99.7</v>
      </c>
      <c r="AZE18">
        <v>99.71</v>
      </c>
      <c r="AZF18">
        <v>99.71</v>
      </c>
      <c r="AZG18">
        <v>99.69</v>
      </c>
      <c r="AZH18">
        <v>99.674999999999997</v>
      </c>
      <c r="AZI18">
        <v>99.72</v>
      </c>
      <c r="AZJ18">
        <v>99.78</v>
      </c>
      <c r="AZK18">
        <v>99.775000000000006</v>
      </c>
      <c r="AZL18">
        <v>99.79</v>
      </c>
      <c r="AZM18">
        <v>99.765000000000001</v>
      </c>
      <c r="AZN18">
        <v>99.795000000000002</v>
      </c>
      <c r="AZO18">
        <v>99.75</v>
      </c>
      <c r="AZP18">
        <v>99.73</v>
      </c>
      <c r="AZQ18">
        <v>99.7</v>
      </c>
      <c r="AZR18">
        <v>99.694999999999993</v>
      </c>
      <c r="AZS18">
        <v>99.754999999999995</v>
      </c>
      <c r="AZT18">
        <v>99.674999999999997</v>
      </c>
      <c r="AZU18">
        <v>99.614999999999995</v>
      </c>
      <c r="AZV18">
        <v>99.51</v>
      </c>
      <c r="AZW18">
        <v>99.62</v>
      </c>
      <c r="AZX18">
        <v>99.67</v>
      </c>
      <c r="AZY18">
        <v>99.594999999999999</v>
      </c>
      <c r="AZZ18">
        <v>99.635000000000005</v>
      </c>
      <c r="BAA18">
        <v>99.564999999999998</v>
      </c>
      <c r="BAB18">
        <v>99.555000000000007</v>
      </c>
      <c r="BAC18">
        <v>99.674999999999997</v>
      </c>
      <c r="BAD18">
        <v>99.6</v>
      </c>
      <c r="BAE18">
        <v>99.515000000000001</v>
      </c>
      <c r="BAF18">
        <v>99.465000000000003</v>
      </c>
      <c r="BAG18">
        <v>99.405000000000001</v>
      </c>
      <c r="BAH18">
        <v>99.334999999999994</v>
      </c>
      <c r="BAI18">
        <v>99.334999999999994</v>
      </c>
      <c r="BAJ18">
        <v>99.135000000000005</v>
      </c>
      <c r="BAK18">
        <v>99.08</v>
      </c>
      <c r="BAL18">
        <v>99.09</v>
      </c>
      <c r="BAM18">
        <v>99.034999999999997</v>
      </c>
      <c r="BAN18">
        <v>98.924999999999997</v>
      </c>
      <c r="BAO18">
        <v>98.86</v>
      </c>
      <c r="BAP18">
        <v>98.814999999999998</v>
      </c>
      <c r="BAQ18">
        <v>98.84</v>
      </c>
      <c r="BAR18">
        <v>98.81</v>
      </c>
      <c r="BAS18">
        <v>98.81</v>
      </c>
      <c r="BAT18">
        <v>98.775000000000006</v>
      </c>
      <c r="BAU18">
        <v>98.775000000000006</v>
      </c>
      <c r="BAV18">
        <v>98.814999999999998</v>
      </c>
      <c r="BAW18">
        <v>98.844999999999999</v>
      </c>
      <c r="BAX18">
        <v>98.81</v>
      </c>
      <c r="BAY18">
        <v>98.754999999999995</v>
      </c>
      <c r="BAZ18">
        <v>98.775000000000006</v>
      </c>
      <c r="BBA18">
        <v>98.814999999999998</v>
      </c>
      <c r="BBB18">
        <v>98.9</v>
      </c>
      <c r="BBC18">
        <v>98.915000000000006</v>
      </c>
      <c r="BBD18">
        <v>98.86</v>
      </c>
      <c r="BBE18">
        <v>98.814999999999998</v>
      </c>
      <c r="BBF18">
        <v>98.765000000000001</v>
      </c>
      <c r="BBG18">
        <v>98.8</v>
      </c>
      <c r="BBH18">
        <v>98.715000000000003</v>
      </c>
      <c r="BBI18">
        <v>98.66</v>
      </c>
      <c r="BBJ18">
        <v>98.64</v>
      </c>
      <c r="BBK18">
        <v>98.625</v>
      </c>
      <c r="BBL18">
        <v>98.57</v>
      </c>
      <c r="BBM18">
        <v>98.57</v>
      </c>
      <c r="BBN18">
        <v>98.584999999999994</v>
      </c>
      <c r="BBO18">
        <v>98.594999999999999</v>
      </c>
      <c r="BBP18">
        <v>98.584999999999994</v>
      </c>
      <c r="BBQ18">
        <v>98.57</v>
      </c>
      <c r="BBR18">
        <v>98.575000000000003</v>
      </c>
      <c r="BBS18">
        <v>98.56</v>
      </c>
      <c r="BBT18">
        <v>98.555000000000007</v>
      </c>
      <c r="BBU18">
        <v>98.6</v>
      </c>
      <c r="BBV18">
        <v>98.61</v>
      </c>
      <c r="BBW18">
        <v>98.614999999999995</v>
      </c>
      <c r="BBX18">
        <v>98.525000000000006</v>
      </c>
      <c r="BBY18">
        <v>98.515000000000001</v>
      </c>
      <c r="BBZ18">
        <v>98.515000000000001</v>
      </c>
      <c r="BCA18">
        <v>98.52</v>
      </c>
      <c r="BCB18">
        <v>98.52</v>
      </c>
      <c r="BCC18">
        <v>98.48</v>
      </c>
      <c r="BCD18">
        <v>98.48</v>
      </c>
      <c r="BCE18">
        <v>98.48</v>
      </c>
      <c r="BCF18">
        <v>98.46</v>
      </c>
      <c r="BCG18">
        <v>98.5</v>
      </c>
      <c r="BCH18">
        <v>98.515000000000001</v>
      </c>
      <c r="BCI18">
        <v>98.495000000000005</v>
      </c>
      <c r="BCJ18">
        <v>98.52</v>
      </c>
      <c r="BCK18">
        <v>98.53</v>
      </c>
      <c r="BCL18">
        <v>98.605000000000004</v>
      </c>
      <c r="BCM18">
        <v>98.525000000000006</v>
      </c>
      <c r="BCN18">
        <v>98.61</v>
      </c>
      <c r="BCO18">
        <v>98.57</v>
      </c>
      <c r="BCP18">
        <v>98.584999999999994</v>
      </c>
      <c r="BCQ18">
        <v>98.594999999999999</v>
      </c>
      <c r="BCR18">
        <v>98.655000000000001</v>
      </c>
      <c r="BCS18">
        <v>98.67</v>
      </c>
      <c r="BCT18">
        <v>98.745000000000005</v>
      </c>
      <c r="BCU18">
        <v>98.625</v>
      </c>
      <c r="BCV18">
        <v>98.66</v>
      </c>
      <c r="BCW18">
        <v>98.65</v>
      </c>
      <c r="BCX18">
        <v>98.65</v>
      </c>
      <c r="BCY18">
        <v>98.69</v>
      </c>
      <c r="BCZ18">
        <v>98.68</v>
      </c>
      <c r="BDA18">
        <v>98.665000000000006</v>
      </c>
      <c r="BDB18">
        <v>98.685000000000002</v>
      </c>
      <c r="BDC18">
        <v>98.715000000000003</v>
      </c>
      <c r="BDD18">
        <v>98.68</v>
      </c>
      <c r="BDE18">
        <v>98.655000000000001</v>
      </c>
      <c r="BDF18">
        <v>98.63</v>
      </c>
      <c r="BDG18">
        <v>98.64</v>
      </c>
      <c r="BDH18">
        <v>98.59</v>
      </c>
      <c r="BDI18">
        <v>98.54</v>
      </c>
      <c r="BDJ18">
        <v>98.51</v>
      </c>
      <c r="BDK18">
        <v>98.52</v>
      </c>
      <c r="BDL18">
        <v>98.504999999999995</v>
      </c>
      <c r="BDM18">
        <v>98.614999999999995</v>
      </c>
      <c r="BDN18">
        <v>98.59</v>
      </c>
      <c r="BDO18">
        <v>98.65</v>
      </c>
      <c r="BDP18">
        <v>98.7</v>
      </c>
      <c r="BDQ18">
        <v>98.77</v>
      </c>
      <c r="BDR18">
        <v>98.644999999999996</v>
      </c>
      <c r="BDS18">
        <v>98.625</v>
      </c>
      <c r="BDT18">
        <v>98.63</v>
      </c>
      <c r="BDU18">
        <v>98.66</v>
      </c>
      <c r="BDV18">
        <v>98.704999999999998</v>
      </c>
      <c r="BDW18">
        <v>98.715000000000003</v>
      </c>
      <c r="BDX18">
        <v>98.694999999999993</v>
      </c>
      <c r="BDY18">
        <v>98.67</v>
      </c>
      <c r="BDZ18">
        <v>98.71</v>
      </c>
      <c r="BEA18">
        <v>98.685000000000002</v>
      </c>
      <c r="BEB18">
        <v>98.71</v>
      </c>
      <c r="BEC18">
        <v>98.67</v>
      </c>
      <c r="BED18">
        <v>98.724999999999994</v>
      </c>
      <c r="BEE18">
        <v>98.704999999999998</v>
      </c>
      <c r="BEF18">
        <v>98.834999999999994</v>
      </c>
      <c r="BEG18">
        <v>98.9</v>
      </c>
      <c r="BEH18">
        <v>98.954999999999998</v>
      </c>
      <c r="BEI18">
        <v>98.944999999999993</v>
      </c>
      <c r="BEJ18">
        <v>99.015000000000001</v>
      </c>
      <c r="BEK18">
        <v>99.025000000000006</v>
      </c>
      <c r="BEL18">
        <v>98.924999999999997</v>
      </c>
      <c r="BEM18">
        <v>98.85</v>
      </c>
      <c r="BEN18">
        <v>98.78</v>
      </c>
      <c r="BEO18">
        <v>98.79</v>
      </c>
      <c r="BEP18">
        <v>98.78</v>
      </c>
      <c r="BEQ18">
        <v>98.765000000000001</v>
      </c>
      <c r="BER18">
        <v>98.864999999999995</v>
      </c>
      <c r="BES18">
        <v>98.77</v>
      </c>
      <c r="BET18">
        <v>98.73</v>
      </c>
      <c r="BEU18">
        <v>98.745000000000005</v>
      </c>
      <c r="BEV18">
        <v>98.71</v>
      </c>
      <c r="BEW18">
        <v>98.72</v>
      </c>
      <c r="BEX18">
        <v>98.68</v>
      </c>
      <c r="BEY18">
        <v>98.62</v>
      </c>
      <c r="BEZ18">
        <v>98.715000000000003</v>
      </c>
      <c r="BFA18">
        <v>98.8</v>
      </c>
      <c r="BFB18">
        <v>98.825000000000003</v>
      </c>
      <c r="BFC18">
        <v>98.924999999999997</v>
      </c>
      <c r="BFD18">
        <v>99</v>
      </c>
      <c r="BFE18">
        <v>99.004999999999995</v>
      </c>
      <c r="BFF18">
        <v>99.135000000000005</v>
      </c>
      <c r="BFG18">
        <v>99.094999999999999</v>
      </c>
      <c r="BFH18">
        <v>99.015000000000001</v>
      </c>
      <c r="BFI18">
        <v>99.015000000000001</v>
      </c>
      <c r="BFJ18">
        <v>98.99</v>
      </c>
      <c r="BFK18">
        <v>99.03</v>
      </c>
      <c r="BFL18">
        <v>98.984999999999999</v>
      </c>
      <c r="BFM18">
        <v>98.94</v>
      </c>
      <c r="BFN18">
        <v>98.965000000000003</v>
      </c>
      <c r="BFO18">
        <v>98.86</v>
      </c>
      <c r="BFP18">
        <v>98.89</v>
      </c>
      <c r="BFQ18">
        <v>98.924999999999997</v>
      </c>
      <c r="BFR18">
        <v>98.885000000000005</v>
      </c>
      <c r="BFS18">
        <v>98.944999999999993</v>
      </c>
      <c r="BFT18">
        <v>98.94</v>
      </c>
      <c r="BFU18">
        <v>98.87</v>
      </c>
      <c r="BFV18">
        <v>98.784999999999997</v>
      </c>
      <c r="BFW18">
        <v>98.89</v>
      </c>
      <c r="BFX18">
        <v>98.81</v>
      </c>
      <c r="BFY18">
        <v>98.855000000000004</v>
      </c>
      <c r="BFZ18">
        <v>98.93</v>
      </c>
      <c r="BGA18">
        <v>98.834999999999994</v>
      </c>
      <c r="BGB18">
        <v>98.9</v>
      </c>
      <c r="BGC18">
        <v>98.685000000000002</v>
      </c>
      <c r="BGD18">
        <v>98.665000000000006</v>
      </c>
      <c r="BGE18">
        <v>98.474999999999994</v>
      </c>
      <c r="BGF18">
        <v>98.484999999999999</v>
      </c>
      <c r="BGG18">
        <v>98.495000000000005</v>
      </c>
      <c r="BGH18">
        <v>98.474999999999994</v>
      </c>
      <c r="BGI18">
        <v>98.5</v>
      </c>
      <c r="BGJ18">
        <v>98.525000000000006</v>
      </c>
      <c r="BGK18">
        <v>98.52</v>
      </c>
      <c r="BGL18">
        <v>98.55</v>
      </c>
      <c r="BGM18">
        <v>98.53</v>
      </c>
      <c r="BGN18">
        <v>98.58</v>
      </c>
      <c r="BGO18">
        <v>98.495000000000005</v>
      </c>
      <c r="BGP18">
        <v>98.44</v>
      </c>
      <c r="BGQ18">
        <v>98.47</v>
      </c>
      <c r="BGR18">
        <v>98.465000000000003</v>
      </c>
      <c r="BGS18">
        <v>98.45</v>
      </c>
      <c r="BGT18">
        <v>98.5</v>
      </c>
      <c r="BGU18">
        <v>98.46</v>
      </c>
      <c r="BGV18">
        <v>98.48</v>
      </c>
      <c r="BGW18">
        <v>98.474999999999994</v>
      </c>
      <c r="BGX18">
        <v>98.56</v>
      </c>
      <c r="BGY18">
        <v>98.56</v>
      </c>
      <c r="BGZ18">
        <v>98.555000000000007</v>
      </c>
      <c r="BHA18">
        <v>98.504999999999995</v>
      </c>
      <c r="BHB18">
        <v>98.55</v>
      </c>
      <c r="BHC18">
        <v>98.564999999999998</v>
      </c>
      <c r="BHD18">
        <v>98.534999999999997</v>
      </c>
      <c r="BHE18">
        <v>98.62</v>
      </c>
      <c r="BHF18">
        <v>98.594999999999999</v>
      </c>
      <c r="BHG18">
        <v>98.545000000000002</v>
      </c>
      <c r="BHH18">
        <v>98.6</v>
      </c>
      <c r="BHI18">
        <v>98.605000000000004</v>
      </c>
      <c r="BHJ18">
        <v>98.5</v>
      </c>
      <c r="BHK18">
        <v>98.5</v>
      </c>
      <c r="BHL18">
        <v>98.52</v>
      </c>
      <c r="BHM18">
        <v>98.525000000000006</v>
      </c>
      <c r="BHN18">
        <v>98.454999999999998</v>
      </c>
      <c r="BHO18">
        <v>98.405000000000001</v>
      </c>
      <c r="BHP18">
        <v>98.4</v>
      </c>
      <c r="BHQ18">
        <v>98.44</v>
      </c>
      <c r="BHR18">
        <v>98.424999999999997</v>
      </c>
      <c r="BHS18">
        <v>98.48</v>
      </c>
      <c r="BHT18">
        <v>98.46</v>
      </c>
      <c r="BHU18">
        <v>98.504999999999995</v>
      </c>
      <c r="BHV18">
        <v>98.454999999999998</v>
      </c>
      <c r="BHW18">
        <v>98.314999999999998</v>
      </c>
      <c r="BHX18">
        <v>98.32</v>
      </c>
      <c r="BHY18">
        <v>98.284999999999997</v>
      </c>
      <c r="BHZ18">
        <v>98.23</v>
      </c>
      <c r="BIA18">
        <v>98.23</v>
      </c>
      <c r="BIB18">
        <v>98.26</v>
      </c>
      <c r="BIC18">
        <v>98.125</v>
      </c>
      <c r="BID18">
        <v>98.09</v>
      </c>
      <c r="BIE18">
        <v>98.12</v>
      </c>
      <c r="BIF18">
        <v>98.144999999999996</v>
      </c>
      <c r="BIG18">
        <v>98.135000000000005</v>
      </c>
      <c r="BIH18">
        <v>98.18</v>
      </c>
      <c r="BII18">
        <v>98.13</v>
      </c>
      <c r="BIJ18">
        <v>98.14</v>
      </c>
      <c r="BIK18">
        <v>98.064999999999998</v>
      </c>
      <c r="BIL18">
        <v>98.05</v>
      </c>
      <c r="BIM18">
        <v>98.015000000000001</v>
      </c>
      <c r="BIN18">
        <v>98.045000000000002</v>
      </c>
      <c r="BIO18">
        <v>97.99</v>
      </c>
      <c r="BIP18">
        <v>97.95</v>
      </c>
      <c r="BIQ18">
        <v>97.944999999999993</v>
      </c>
      <c r="BIR18">
        <v>98.004999999999995</v>
      </c>
      <c r="BIS18">
        <v>98.045000000000002</v>
      </c>
      <c r="BIT18">
        <v>98.02</v>
      </c>
      <c r="BIU18">
        <v>98.025000000000006</v>
      </c>
      <c r="BIV18">
        <v>97.974999999999994</v>
      </c>
      <c r="BIW18">
        <v>97.99</v>
      </c>
      <c r="BIX18">
        <v>97.935000000000002</v>
      </c>
      <c r="BIY18">
        <v>97.915000000000006</v>
      </c>
      <c r="BIZ18">
        <v>97.915000000000006</v>
      </c>
      <c r="BJA18">
        <v>97.915000000000006</v>
      </c>
      <c r="BJB18">
        <v>97.89</v>
      </c>
      <c r="BJC18">
        <v>97.885000000000005</v>
      </c>
      <c r="BJD18">
        <v>97.915000000000006</v>
      </c>
      <c r="BJE18">
        <v>97.91</v>
      </c>
      <c r="BJF18">
        <v>97.984999999999999</v>
      </c>
      <c r="BJG18">
        <v>98.02</v>
      </c>
      <c r="BJH18">
        <v>97.984999999999999</v>
      </c>
      <c r="BJI18">
        <v>97.95</v>
      </c>
      <c r="BJJ18">
        <v>97.96</v>
      </c>
      <c r="BJK18">
        <v>97.97</v>
      </c>
      <c r="BJL18">
        <v>97.98</v>
      </c>
      <c r="BJM18">
        <v>98</v>
      </c>
      <c r="BJN18">
        <v>97.99</v>
      </c>
      <c r="BJO18">
        <v>98.07</v>
      </c>
      <c r="BJP18">
        <v>98.144999999999996</v>
      </c>
      <c r="BJQ18">
        <v>98.18</v>
      </c>
      <c r="BJR18">
        <v>98.13</v>
      </c>
      <c r="BJS18">
        <v>98.16</v>
      </c>
      <c r="BJT18">
        <v>98.055000000000007</v>
      </c>
      <c r="BJU18">
        <v>97.94</v>
      </c>
      <c r="BJV18">
        <v>97.92</v>
      </c>
      <c r="BJW18">
        <v>97.84</v>
      </c>
      <c r="BJX18">
        <v>97.855000000000004</v>
      </c>
      <c r="BJY18">
        <v>97.86</v>
      </c>
      <c r="BJZ18">
        <v>97.83</v>
      </c>
      <c r="BKA18">
        <v>97.834999999999994</v>
      </c>
      <c r="BKB18">
        <v>97.814999999999998</v>
      </c>
      <c r="BKC18">
        <v>97.784999999999997</v>
      </c>
      <c r="BKD18">
        <v>97.795000000000002</v>
      </c>
      <c r="BKE18">
        <v>97.78</v>
      </c>
      <c r="BKF18">
        <v>97.704999999999998</v>
      </c>
      <c r="BKG18">
        <v>97.67</v>
      </c>
      <c r="BKH18">
        <v>97.674999999999997</v>
      </c>
      <c r="BKI18">
        <v>97.665000000000006</v>
      </c>
      <c r="BKJ18">
        <v>97.734999999999999</v>
      </c>
      <c r="BKK18">
        <v>97.754999999999995</v>
      </c>
      <c r="BKL18">
        <v>97.78</v>
      </c>
      <c r="BKM18">
        <v>97.75</v>
      </c>
      <c r="BKN18">
        <v>97.754999999999995</v>
      </c>
      <c r="BKO18">
        <v>97.71</v>
      </c>
      <c r="BKP18">
        <v>97.75</v>
      </c>
      <c r="BKQ18">
        <v>97.745000000000005</v>
      </c>
      <c r="BKR18">
        <v>97.73</v>
      </c>
      <c r="BKS18">
        <v>97.73</v>
      </c>
      <c r="BKT18">
        <v>97.734999999999999</v>
      </c>
      <c r="BKU18">
        <v>97.694999999999993</v>
      </c>
      <c r="BKV18">
        <v>97.754999999999995</v>
      </c>
      <c r="BKW18">
        <v>97.784999999999997</v>
      </c>
      <c r="BKX18">
        <v>97.81</v>
      </c>
      <c r="BKY18">
        <v>97.775000000000006</v>
      </c>
      <c r="BKZ18">
        <v>97.72</v>
      </c>
      <c r="BLA18">
        <v>97.71</v>
      </c>
      <c r="BLB18">
        <v>97.704999999999998</v>
      </c>
      <c r="BLC18">
        <v>97.724999999999994</v>
      </c>
      <c r="BLD18">
        <v>97.75</v>
      </c>
      <c r="BLE18">
        <v>97.68</v>
      </c>
      <c r="BLF18">
        <v>97.63</v>
      </c>
      <c r="BLG18">
        <v>97.625</v>
      </c>
      <c r="BLH18">
        <v>97.614999999999995</v>
      </c>
      <c r="BLI18">
        <v>97.64</v>
      </c>
      <c r="BLJ18">
        <v>97.625</v>
      </c>
      <c r="BLK18">
        <v>97.63</v>
      </c>
      <c r="BLL18">
        <v>97.584999999999994</v>
      </c>
      <c r="BLM18">
        <v>97.584999999999994</v>
      </c>
      <c r="BLN18">
        <v>97.655000000000001</v>
      </c>
      <c r="BLO18">
        <v>97.685000000000002</v>
      </c>
      <c r="BLP18">
        <v>97.71</v>
      </c>
      <c r="BLQ18">
        <v>97.7</v>
      </c>
      <c r="BLR18">
        <v>97.704999999999998</v>
      </c>
      <c r="BLS18">
        <v>97.69</v>
      </c>
      <c r="BLT18">
        <v>97.694999999999993</v>
      </c>
      <c r="BLU18">
        <v>97.685000000000002</v>
      </c>
      <c r="BLV18">
        <v>97.754999999999995</v>
      </c>
      <c r="BLW18">
        <v>97.8</v>
      </c>
      <c r="BLX18">
        <v>97.864999999999995</v>
      </c>
      <c r="BLY18">
        <v>97.68</v>
      </c>
      <c r="BLZ18">
        <v>97.69</v>
      </c>
      <c r="BMA18">
        <v>97.69</v>
      </c>
      <c r="BMB18">
        <v>97.685000000000002</v>
      </c>
      <c r="BMC18">
        <v>97.674999999999997</v>
      </c>
      <c r="BMD18">
        <v>97.62</v>
      </c>
      <c r="BME18">
        <v>97.594999999999999</v>
      </c>
      <c r="BMF18">
        <v>97.594999999999999</v>
      </c>
      <c r="BMG18">
        <v>97.534999999999997</v>
      </c>
      <c r="BMH18">
        <v>97.5</v>
      </c>
      <c r="BMI18">
        <v>97.49</v>
      </c>
      <c r="BMJ18">
        <v>97.49</v>
      </c>
      <c r="BMK18">
        <v>97.44</v>
      </c>
      <c r="BML18">
        <v>97.405000000000001</v>
      </c>
      <c r="BMM18">
        <v>97.375</v>
      </c>
      <c r="BMN18">
        <v>97.38</v>
      </c>
      <c r="BMO18">
        <v>97.415000000000006</v>
      </c>
      <c r="BMP18">
        <v>97.454999999999998</v>
      </c>
      <c r="BMQ18">
        <v>97.42</v>
      </c>
      <c r="BMR18">
        <v>97.38</v>
      </c>
      <c r="BMS18">
        <v>97.275000000000006</v>
      </c>
      <c r="BMT18">
        <v>97.275000000000006</v>
      </c>
      <c r="BMU18">
        <v>97.245000000000005</v>
      </c>
      <c r="BMV18">
        <v>97.265000000000001</v>
      </c>
      <c r="BMW18">
        <v>97.26</v>
      </c>
      <c r="BMX18">
        <v>97.254999999999995</v>
      </c>
      <c r="BMY18">
        <v>97.22</v>
      </c>
      <c r="BMZ18">
        <v>97.204999999999998</v>
      </c>
      <c r="BNA18">
        <v>97.215000000000003</v>
      </c>
      <c r="BNB18">
        <v>97.215000000000003</v>
      </c>
      <c r="BNC18">
        <v>97.215000000000003</v>
      </c>
      <c r="BND18">
        <v>97.224999999999994</v>
      </c>
      <c r="BNE18">
        <v>97.23</v>
      </c>
      <c r="BNF18">
        <v>97.194999999999993</v>
      </c>
      <c r="BNG18">
        <v>97.144999999999996</v>
      </c>
      <c r="BNH18">
        <v>97.135000000000005</v>
      </c>
      <c r="BNI18">
        <v>97.08</v>
      </c>
      <c r="BNJ18">
        <v>97.06</v>
      </c>
      <c r="BNK18">
        <v>97.04</v>
      </c>
      <c r="BNL18">
        <v>97.025000000000006</v>
      </c>
      <c r="BNM18">
        <v>97.06</v>
      </c>
      <c r="BNN18">
        <v>97.07</v>
      </c>
      <c r="BNO18">
        <v>97.08</v>
      </c>
      <c r="BNP18">
        <v>97.084999999999994</v>
      </c>
      <c r="BNQ18">
        <v>97.125</v>
      </c>
      <c r="BNR18">
        <v>97.114999999999995</v>
      </c>
      <c r="BNS18">
        <v>97.144999999999996</v>
      </c>
      <c r="BNT18">
        <v>97.144999999999996</v>
      </c>
      <c r="BNU18">
        <v>97.15</v>
      </c>
      <c r="BNV18">
        <v>97.08</v>
      </c>
      <c r="BNW18">
        <v>97.08</v>
      </c>
      <c r="BNX18">
        <v>97.05</v>
      </c>
      <c r="BNY18">
        <v>97.015000000000001</v>
      </c>
      <c r="BNZ18">
        <v>97.01</v>
      </c>
      <c r="BOA18">
        <v>97.03</v>
      </c>
      <c r="BOB18">
        <v>97.02</v>
      </c>
      <c r="BOC18">
        <v>97.02</v>
      </c>
      <c r="BOD18">
        <v>97.025000000000006</v>
      </c>
      <c r="BOE18">
        <v>97.034999999999997</v>
      </c>
      <c r="BOF18">
        <v>97.015000000000001</v>
      </c>
      <c r="BOG18">
        <v>96.965000000000003</v>
      </c>
      <c r="BOH18">
        <v>96.954999999999998</v>
      </c>
      <c r="BOI18">
        <v>96.96</v>
      </c>
      <c r="BOJ18">
        <v>96.965000000000003</v>
      </c>
      <c r="BOK18">
        <v>96.99</v>
      </c>
      <c r="BOL18">
        <v>97.025000000000006</v>
      </c>
      <c r="BOM18">
        <v>97.075000000000003</v>
      </c>
      <c r="BON18">
        <v>97.064999999999998</v>
      </c>
      <c r="BOO18">
        <v>97.064999999999998</v>
      </c>
      <c r="BOP18">
        <v>97.045000000000002</v>
      </c>
      <c r="BOQ18">
        <v>97.045000000000002</v>
      </c>
      <c r="BOR18">
        <v>97.034999999999997</v>
      </c>
      <c r="BOS18">
        <v>97.05</v>
      </c>
      <c r="BOT18">
        <v>97.055000000000007</v>
      </c>
      <c r="BOU18">
        <v>97.045000000000002</v>
      </c>
      <c r="BOV18">
        <v>97.064999999999998</v>
      </c>
      <c r="BOW18">
        <v>97.094999999999999</v>
      </c>
      <c r="BOX18">
        <v>97.125</v>
      </c>
      <c r="BOY18">
        <v>97.125</v>
      </c>
      <c r="BOZ18">
        <v>97.16</v>
      </c>
      <c r="BPA18">
        <v>97.185000000000002</v>
      </c>
      <c r="BPB18">
        <v>97.185000000000002</v>
      </c>
      <c r="BPC18">
        <v>97.234999999999999</v>
      </c>
      <c r="BPD18">
        <v>97.234999999999999</v>
      </c>
      <c r="BPE18">
        <v>97.295000000000002</v>
      </c>
      <c r="BPF18">
        <v>97.28</v>
      </c>
      <c r="BPG18">
        <v>97.284999999999997</v>
      </c>
      <c r="BPH18">
        <v>97.305000000000007</v>
      </c>
      <c r="BPI18">
        <v>97.305000000000007</v>
      </c>
      <c r="BPJ18">
        <v>97.27</v>
      </c>
      <c r="BPK18">
        <v>97.26</v>
      </c>
      <c r="BPL18">
        <v>97.275000000000006</v>
      </c>
      <c r="BPM18">
        <v>97.29</v>
      </c>
      <c r="BPN18">
        <v>97.31</v>
      </c>
      <c r="BPO18">
        <v>97.31</v>
      </c>
      <c r="BPP18">
        <v>97.33</v>
      </c>
      <c r="BPQ18">
        <v>97.32</v>
      </c>
      <c r="BPR18">
        <v>97.33</v>
      </c>
      <c r="BPS18">
        <v>97.305000000000007</v>
      </c>
      <c r="BPT18">
        <v>97.3</v>
      </c>
      <c r="BPU18">
        <v>97.32</v>
      </c>
      <c r="BPV18">
        <v>97.284999999999997</v>
      </c>
      <c r="BPW18">
        <v>97.31</v>
      </c>
      <c r="BPX18">
        <v>97.314999999999998</v>
      </c>
      <c r="BPY18">
        <v>97.25</v>
      </c>
      <c r="BPZ18">
        <v>97.234999999999999</v>
      </c>
      <c r="BQA18">
        <v>97.23</v>
      </c>
      <c r="BQB18">
        <v>97.234999999999999</v>
      </c>
      <c r="BQC18">
        <v>97.224999999999994</v>
      </c>
      <c r="BQD18">
        <v>97.215000000000003</v>
      </c>
      <c r="BQE18">
        <v>97.224999999999994</v>
      </c>
      <c r="BQF18">
        <v>97.23</v>
      </c>
      <c r="BQG18">
        <v>97.23</v>
      </c>
      <c r="BQH18">
        <v>97.22</v>
      </c>
      <c r="BQI18">
        <v>97.215000000000003</v>
      </c>
      <c r="BQJ18">
        <v>97.26</v>
      </c>
      <c r="BQK18">
        <v>97.26</v>
      </c>
      <c r="BQL18">
        <v>97.27</v>
      </c>
      <c r="BQM18">
        <v>97.305000000000007</v>
      </c>
      <c r="BQN18">
        <v>97.31</v>
      </c>
      <c r="BQO18">
        <v>97.295000000000002</v>
      </c>
      <c r="BQP18">
        <v>97.3</v>
      </c>
      <c r="BQQ18">
        <v>97.325000000000003</v>
      </c>
      <c r="BQR18">
        <v>97.334999999999994</v>
      </c>
      <c r="BQS18">
        <v>97.32</v>
      </c>
      <c r="BQT18">
        <v>97.325000000000003</v>
      </c>
      <c r="BQU18">
        <v>97.32</v>
      </c>
      <c r="BQV18">
        <v>97.33</v>
      </c>
      <c r="BQW18">
        <v>97.34</v>
      </c>
      <c r="BQX18">
        <v>97.32</v>
      </c>
      <c r="BQY18">
        <v>97.334999999999994</v>
      </c>
      <c r="BQZ18">
        <v>97.334999999999994</v>
      </c>
      <c r="BRA18">
        <v>97.33</v>
      </c>
      <c r="BRB18">
        <v>97.33</v>
      </c>
      <c r="BRC18">
        <v>97.334999999999994</v>
      </c>
      <c r="BRD18">
        <v>97.33</v>
      </c>
      <c r="BRE18">
        <v>97.284999999999997</v>
      </c>
      <c r="BRF18">
        <v>97.27</v>
      </c>
      <c r="BRG18">
        <v>97.24</v>
      </c>
      <c r="BRH18">
        <v>97.24</v>
      </c>
      <c r="BRI18">
        <v>97.23</v>
      </c>
      <c r="BRJ18">
        <v>97.234999999999999</v>
      </c>
      <c r="BRK18">
        <v>97.204999999999998</v>
      </c>
      <c r="BRL18">
        <v>97.215000000000003</v>
      </c>
      <c r="BRM18">
        <v>97.2</v>
      </c>
      <c r="BRN18">
        <v>97.2</v>
      </c>
      <c r="BRO18">
        <v>97.234999999999999</v>
      </c>
      <c r="BRP18">
        <v>97.25</v>
      </c>
      <c r="BRQ18">
        <v>97.26</v>
      </c>
      <c r="BRR18">
        <v>97.224999999999994</v>
      </c>
      <c r="BRS18">
        <v>97.215000000000003</v>
      </c>
      <c r="BRT18">
        <v>97.254999999999995</v>
      </c>
      <c r="BRU18">
        <v>97.234999999999999</v>
      </c>
      <c r="BRV18">
        <v>97.275000000000006</v>
      </c>
      <c r="BRW18">
        <v>97.344999999999999</v>
      </c>
      <c r="BRX18">
        <v>97.34</v>
      </c>
      <c r="BRY18">
        <v>97.435000000000002</v>
      </c>
      <c r="BRZ18">
        <v>97.22</v>
      </c>
      <c r="BSA18">
        <v>97.22</v>
      </c>
      <c r="BSB18">
        <v>97.19</v>
      </c>
      <c r="BSC18">
        <v>97.16</v>
      </c>
      <c r="BSD18">
        <v>97.11</v>
      </c>
      <c r="BSE18">
        <v>97.1</v>
      </c>
      <c r="BSF18">
        <v>97.114999999999995</v>
      </c>
      <c r="BSG18">
        <v>97.09</v>
      </c>
      <c r="BSH18">
        <v>97.105000000000004</v>
      </c>
      <c r="BSI18">
        <v>97.114999999999995</v>
      </c>
      <c r="BSJ18">
        <v>97.144999999999996</v>
      </c>
      <c r="BSK18">
        <v>97.15</v>
      </c>
      <c r="BSL18">
        <v>97.165000000000006</v>
      </c>
      <c r="BSM18">
        <v>97.185000000000002</v>
      </c>
      <c r="BSN18">
        <v>97.21</v>
      </c>
      <c r="BSO18">
        <v>97.22</v>
      </c>
      <c r="BSP18">
        <v>97.245000000000005</v>
      </c>
      <c r="BSQ18" t="s">
        <v>6984</v>
      </c>
      <c r="BSR18" t="s">
        <v>6984</v>
      </c>
      <c r="BSS18" t="s">
        <v>6984</v>
      </c>
      <c r="BST18" t="s">
        <v>6984</v>
      </c>
      <c r="BSU18" t="s">
        <v>6984</v>
      </c>
      <c r="BSV18" t="s">
        <v>6984</v>
      </c>
      <c r="BSW18" t="s">
        <v>6984</v>
      </c>
      <c r="BSX18" t="s">
        <v>6984</v>
      </c>
      <c r="BSY18" t="s">
        <v>6984</v>
      </c>
      <c r="BSZ18" t="s">
        <v>6984</v>
      </c>
      <c r="BTA18" t="s">
        <v>6984</v>
      </c>
      <c r="BTB18" t="s">
        <v>6984</v>
      </c>
      <c r="BTC18" t="s">
        <v>6984</v>
      </c>
      <c r="BTD18" t="s">
        <v>6984</v>
      </c>
      <c r="BTE18" t="s">
        <v>6984</v>
      </c>
      <c r="BTF18" t="s">
        <v>6984</v>
      </c>
      <c r="BTG18" t="s">
        <v>6984</v>
      </c>
      <c r="BTH18" t="s">
        <v>6984</v>
      </c>
      <c r="BTI18" t="s">
        <v>6984</v>
      </c>
      <c r="BTJ18" t="s">
        <v>6984</v>
      </c>
      <c r="BTK18" t="s">
        <v>6984</v>
      </c>
      <c r="BTL18" t="s">
        <v>6984</v>
      </c>
      <c r="BTM18" t="s">
        <v>6984</v>
      </c>
      <c r="BTN18" t="s">
        <v>6984</v>
      </c>
      <c r="BTO18" t="s">
        <v>6984</v>
      </c>
      <c r="BTP18" t="s">
        <v>6984</v>
      </c>
      <c r="BTQ18" t="s">
        <v>6984</v>
      </c>
      <c r="BTR18" t="s">
        <v>6984</v>
      </c>
      <c r="BTS18" t="s">
        <v>6984</v>
      </c>
      <c r="BTT18" t="s">
        <v>6984</v>
      </c>
      <c r="BTU18" t="s">
        <v>6984</v>
      </c>
      <c r="BTV18" t="s">
        <v>6984</v>
      </c>
      <c r="BTW18" t="s">
        <v>6984</v>
      </c>
      <c r="BTX18" t="s">
        <v>6984</v>
      </c>
      <c r="BTY18" t="s">
        <v>6984</v>
      </c>
      <c r="BTZ18" t="s">
        <v>6984</v>
      </c>
      <c r="BUA18" t="s">
        <v>6984</v>
      </c>
      <c r="BUB18" t="s">
        <v>6984</v>
      </c>
      <c r="BUC18" t="s">
        <v>6984</v>
      </c>
      <c r="BUD18" t="s">
        <v>6984</v>
      </c>
      <c r="BUE18" t="s">
        <v>6984</v>
      </c>
      <c r="BUF18" t="s">
        <v>6984</v>
      </c>
      <c r="BUG18" t="s">
        <v>6984</v>
      </c>
      <c r="BUH18" t="s">
        <v>6984</v>
      </c>
      <c r="BUI18" t="s">
        <v>6984</v>
      </c>
      <c r="BUJ18" t="s">
        <v>6984</v>
      </c>
      <c r="BUK18" t="s">
        <v>6984</v>
      </c>
      <c r="BUL18" t="s">
        <v>6984</v>
      </c>
      <c r="BUM18" t="s">
        <v>6984</v>
      </c>
      <c r="BUN18" t="s">
        <v>6984</v>
      </c>
      <c r="BUO18" t="s">
        <v>6984</v>
      </c>
      <c r="BUP18" t="s">
        <v>6984</v>
      </c>
      <c r="BUQ18" t="s">
        <v>6984</v>
      </c>
      <c r="BUR18" t="s">
        <v>6984</v>
      </c>
      <c r="BUS18" t="s">
        <v>6984</v>
      </c>
      <c r="BUT18" t="s">
        <v>6984</v>
      </c>
      <c r="BUU18" t="s">
        <v>6984</v>
      </c>
      <c r="BUV18" t="s">
        <v>6984</v>
      </c>
      <c r="BUW18" t="s">
        <v>6984</v>
      </c>
      <c r="BUX18" t="s">
        <v>6984</v>
      </c>
      <c r="BUY18" t="s">
        <v>6984</v>
      </c>
      <c r="BUZ18" t="s">
        <v>6984</v>
      </c>
      <c r="BVA18" t="s">
        <v>6984</v>
      </c>
      <c r="BVB18" t="s">
        <v>6984</v>
      </c>
      <c r="BVC18" t="s">
        <v>6984</v>
      </c>
      <c r="BVD18" t="s">
        <v>6984</v>
      </c>
      <c r="BVE18" t="s">
        <v>6984</v>
      </c>
      <c r="BVF18" t="s">
        <v>6984</v>
      </c>
      <c r="BVG18" t="s">
        <v>6984</v>
      </c>
      <c r="BVH18" t="s">
        <v>6984</v>
      </c>
      <c r="BVI18" t="s">
        <v>6984</v>
      </c>
      <c r="BVJ18" t="s">
        <v>6984</v>
      </c>
      <c r="BVK18" t="s">
        <v>6984</v>
      </c>
      <c r="BVL18" t="s">
        <v>6984</v>
      </c>
      <c r="BVM18" t="s">
        <v>6984</v>
      </c>
      <c r="BVN18" t="s">
        <v>6984</v>
      </c>
      <c r="BVO18" t="s">
        <v>6984</v>
      </c>
      <c r="BVP18" t="s">
        <v>6984</v>
      </c>
      <c r="BVQ18" t="s">
        <v>6984</v>
      </c>
      <c r="BVR18" t="s">
        <v>6984</v>
      </c>
      <c r="BVS18" t="s">
        <v>6984</v>
      </c>
      <c r="BVT18" t="s">
        <v>6984</v>
      </c>
      <c r="BVU18" t="s">
        <v>6984</v>
      </c>
      <c r="BVV18" t="s">
        <v>6984</v>
      </c>
      <c r="BVW18" t="s">
        <v>6984</v>
      </c>
      <c r="BVX18" t="s">
        <v>6984</v>
      </c>
      <c r="BVY18" t="s">
        <v>6984</v>
      </c>
      <c r="BVZ18" t="s">
        <v>6984</v>
      </c>
      <c r="BWA18" t="s">
        <v>6984</v>
      </c>
      <c r="BWB18" t="s">
        <v>6984</v>
      </c>
      <c r="BWC18" t="s">
        <v>6984</v>
      </c>
      <c r="BWD18" t="s">
        <v>6984</v>
      </c>
      <c r="BWE18" t="s">
        <v>6984</v>
      </c>
      <c r="BWF18" t="s">
        <v>6984</v>
      </c>
      <c r="BWG18" t="s">
        <v>6984</v>
      </c>
      <c r="BWH18" t="s">
        <v>6984</v>
      </c>
      <c r="BWI18" t="s">
        <v>6984</v>
      </c>
      <c r="BWJ18" t="s">
        <v>6984</v>
      </c>
      <c r="BWK18" t="s">
        <v>6984</v>
      </c>
      <c r="BWL18" t="s">
        <v>6984</v>
      </c>
      <c r="BWM18" t="s">
        <v>6984</v>
      </c>
      <c r="BWN18" t="s">
        <v>6984</v>
      </c>
      <c r="BWO18" t="s">
        <v>6984</v>
      </c>
      <c r="BWP18" t="s">
        <v>6984</v>
      </c>
      <c r="BWQ18" t="s">
        <v>6984</v>
      </c>
      <c r="BWR18" t="s">
        <v>6984</v>
      </c>
      <c r="BWS18" t="s">
        <v>6984</v>
      </c>
      <c r="BWT18" t="s">
        <v>6984</v>
      </c>
      <c r="BWU18" t="s">
        <v>6984</v>
      </c>
      <c r="BWV18" t="s">
        <v>6984</v>
      </c>
      <c r="BWW18" t="s">
        <v>6984</v>
      </c>
      <c r="BWX18" t="s">
        <v>6984</v>
      </c>
      <c r="BWY18" t="s">
        <v>6984</v>
      </c>
      <c r="BWZ18" t="s">
        <v>6984</v>
      </c>
      <c r="BXA18" t="s">
        <v>6984</v>
      </c>
      <c r="BXB18" t="s">
        <v>6984</v>
      </c>
      <c r="BXC18" t="s">
        <v>6984</v>
      </c>
      <c r="BXD18" t="s">
        <v>6984</v>
      </c>
      <c r="BXE18" t="s">
        <v>6984</v>
      </c>
      <c r="BXF18" t="s">
        <v>6984</v>
      </c>
      <c r="BXG18" t="s">
        <v>6984</v>
      </c>
      <c r="BXH18" t="s">
        <v>6984</v>
      </c>
      <c r="BXI18" t="s">
        <v>6984</v>
      </c>
      <c r="BXJ18" t="s">
        <v>6984</v>
      </c>
      <c r="BXK18" t="s">
        <v>6984</v>
      </c>
      <c r="BXL18" t="s">
        <v>6984</v>
      </c>
      <c r="BXM18" t="s">
        <v>6984</v>
      </c>
      <c r="BXN18" t="s">
        <v>6984</v>
      </c>
      <c r="BXO18" t="s">
        <v>6984</v>
      </c>
      <c r="BXP18" t="s">
        <v>6984</v>
      </c>
      <c r="BXQ18" t="s">
        <v>6984</v>
      </c>
      <c r="BXR18" t="s">
        <v>6984</v>
      </c>
      <c r="BXS18" t="s">
        <v>6984</v>
      </c>
      <c r="BXT18" t="s">
        <v>6984</v>
      </c>
      <c r="BXU18" t="s">
        <v>6984</v>
      </c>
      <c r="BXV18" t="s">
        <v>6984</v>
      </c>
      <c r="BXW18" t="s">
        <v>6984</v>
      </c>
      <c r="BXX18" t="s">
        <v>6984</v>
      </c>
      <c r="BXY18" t="s">
        <v>6984</v>
      </c>
      <c r="BXZ18" t="s">
        <v>6984</v>
      </c>
      <c r="BYA18" t="s">
        <v>6984</v>
      </c>
      <c r="BYB18" t="s">
        <v>6984</v>
      </c>
      <c r="BYC18" t="s">
        <v>6984</v>
      </c>
      <c r="BYD18" t="s">
        <v>6984</v>
      </c>
      <c r="BYE18" t="s">
        <v>6984</v>
      </c>
      <c r="BYF18" t="s">
        <v>6984</v>
      </c>
      <c r="BYG18" t="s">
        <v>6984</v>
      </c>
      <c r="BYH18" t="s">
        <v>6984</v>
      </c>
      <c r="BYI18" t="s">
        <v>6984</v>
      </c>
      <c r="BYJ18" t="s">
        <v>6984</v>
      </c>
      <c r="BYK18" t="s">
        <v>6984</v>
      </c>
      <c r="BYL18" t="s">
        <v>6984</v>
      </c>
      <c r="BYM18" t="s">
        <v>6984</v>
      </c>
      <c r="BYN18" t="s">
        <v>6984</v>
      </c>
      <c r="BYO18" t="s">
        <v>6984</v>
      </c>
      <c r="BYP18" t="s">
        <v>6984</v>
      </c>
      <c r="BYQ18" t="s">
        <v>6984</v>
      </c>
      <c r="BYR18" t="s">
        <v>6984</v>
      </c>
      <c r="BYS18" t="s">
        <v>6984</v>
      </c>
      <c r="BYT18" t="s">
        <v>6984</v>
      </c>
      <c r="BYU18" t="s">
        <v>6984</v>
      </c>
      <c r="BYV18" t="s">
        <v>6984</v>
      </c>
      <c r="BYW18" t="s">
        <v>6984</v>
      </c>
      <c r="BYX18" t="s">
        <v>6984</v>
      </c>
      <c r="BYY18" t="s">
        <v>6984</v>
      </c>
      <c r="BYZ18" t="s">
        <v>6984</v>
      </c>
      <c r="BZA18" t="s">
        <v>6984</v>
      </c>
      <c r="BZB18" t="s">
        <v>6984</v>
      </c>
      <c r="BZC18" t="s">
        <v>6984</v>
      </c>
      <c r="BZD18" t="s">
        <v>6984</v>
      </c>
      <c r="BZE18" t="s">
        <v>6984</v>
      </c>
      <c r="BZF18" t="s">
        <v>6984</v>
      </c>
      <c r="BZG18" t="s">
        <v>6984</v>
      </c>
      <c r="BZH18" t="s">
        <v>6984</v>
      </c>
      <c r="BZI18" t="s">
        <v>6984</v>
      </c>
      <c r="BZJ18" t="s">
        <v>6984</v>
      </c>
      <c r="BZK18" t="s">
        <v>6984</v>
      </c>
      <c r="BZL18" t="s">
        <v>6984</v>
      </c>
      <c r="BZM18" t="s">
        <v>6984</v>
      </c>
      <c r="BZN18" t="s">
        <v>6984</v>
      </c>
      <c r="BZO18" t="s">
        <v>6984</v>
      </c>
      <c r="BZP18" t="s">
        <v>6984</v>
      </c>
      <c r="BZQ18" t="s">
        <v>6984</v>
      </c>
      <c r="BZR18" t="s">
        <v>6984</v>
      </c>
      <c r="BZS18" t="s">
        <v>6984</v>
      </c>
      <c r="BZT18" t="s">
        <v>6984</v>
      </c>
      <c r="BZU18" t="s">
        <v>6984</v>
      </c>
      <c r="BZV18" t="s">
        <v>6984</v>
      </c>
      <c r="BZW18" t="s">
        <v>6984</v>
      </c>
      <c r="BZX18" t="s">
        <v>6984</v>
      </c>
      <c r="BZY18" t="s">
        <v>6984</v>
      </c>
      <c r="BZZ18" t="s">
        <v>6984</v>
      </c>
      <c r="CAA18" t="s">
        <v>6984</v>
      </c>
      <c r="CAB18" t="s">
        <v>6984</v>
      </c>
      <c r="CAC18" t="s">
        <v>6984</v>
      </c>
      <c r="CAD18" t="s">
        <v>6984</v>
      </c>
      <c r="CAE18" t="s">
        <v>6984</v>
      </c>
      <c r="CAF18" t="s">
        <v>6984</v>
      </c>
      <c r="CAG18" t="s">
        <v>6984</v>
      </c>
      <c r="CAH18" t="s">
        <v>6984</v>
      </c>
      <c r="CAI18" t="s">
        <v>6984</v>
      </c>
      <c r="CAJ18" t="s">
        <v>6984</v>
      </c>
      <c r="CAK18" t="s">
        <v>6984</v>
      </c>
      <c r="CAL18" t="s">
        <v>6984</v>
      </c>
      <c r="CAM18" t="s">
        <v>6984</v>
      </c>
      <c r="CAN18" t="s">
        <v>6984</v>
      </c>
      <c r="CAO18" t="s">
        <v>6984</v>
      </c>
      <c r="CAP18" t="s">
        <v>6984</v>
      </c>
      <c r="CAQ18" t="s">
        <v>6984</v>
      </c>
      <c r="CAR18" t="s">
        <v>6984</v>
      </c>
      <c r="CAS18" t="s">
        <v>6984</v>
      </c>
      <c r="CAT18" t="s">
        <v>6984</v>
      </c>
      <c r="CAU18" t="s">
        <v>6984</v>
      </c>
      <c r="CAV18" t="s">
        <v>6984</v>
      </c>
      <c r="CAW18" t="s">
        <v>6984</v>
      </c>
      <c r="CAX18" t="s">
        <v>6984</v>
      </c>
      <c r="CAY18" t="s">
        <v>6984</v>
      </c>
      <c r="CAZ18" t="s">
        <v>6984</v>
      </c>
      <c r="CBA18" t="s">
        <v>6984</v>
      </c>
      <c r="CBB18" t="s">
        <v>6984</v>
      </c>
      <c r="CBC18" t="s">
        <v>6984</v>
      </c>
      <c r="CBD18" t="s">
        <v>6984</v>
      </c>
      <c r="CBE18" t="s">
        <v>6984</v>
      </c>
      <c r="CBF18" t="s">
        <v>6984</v>
      </c>
      <c r="CBG18" t="s">
        <v>6984</v>
      </c>
      <c r="CBH18" t="s">
        <v>6984</v>
      </c>
      <c r="CBI18" t="s">
        <v>6984</v>
      </c>
      <c r="CBJ18" t="s">
        <v>6984</v>
      </c>
      <c r="CBK18" t="s">
        <v>6984</v>
      </c>
      <c r="CBL18" t="s">
        <v>6984</v>
      </c>
      <c r="CBM18" t="s">
        <v>6984</v>
      </c>
      <c r="CBN18" t="s">
        <v>6984</v>
      </c>
      <c r="CBO18" t="s">
        <v>6984</v>
      </c>
      <c r="CBP18" t="s">
        <v>6984</v>
      </c>
      <c r="CBQ18" t="s">
        <v>6984</v>
      </c>
      <c r="CBR18" t="s">
        <v>6984</v>
      </c>
      <c r="CBS18" t="s">
        <v>6984</v>
      </c>
      <c r="CBT18" t="s">
        <v>6984</v>
      </c>
      <c r="CBU18" t="s">
        <v>6984</v>
      </c>
      <c r="CBV18" t="s">
        <v>6984</v>
      </c>
      <c r="CBW18" t="s">
        <v>6984</v>
      </c>
      <c r="CBX18" t="s">
        <v>6984</v>
      </c>
      <c r="CBY18" t="s">
        <v>6984</v>
      </c>
      <c r="CBZ18" t="s">
        <v>6984</v>
      </c>
      <c r="CCA18" t="s">
        <v>6984</v>
      </c>
      <c r="CCB18" t="s">
        <v>6984</v>
      </c>
      <c r="CCC18" t="s">
        <v>6984</v>
      </c>
      <c r="CCD18" t="s">
        <v>6984</v>
      </c>
      <c r="CCE18" t="s">
        <v>6984</v>
      </c>
      <c r="CCF18" t="s">
        <v>6984</v>
      </c>
      <c r="CCG18" t="s">
        <v>6984</v>
      </c>
      <c r="CCH18" t="s">
        <v>6984</v>
      </c>
      <c r="CCI18" t="s">
        <v>6984</v>
      </c>
      <c r="CCJ18" t="s">
        <v>6984</v>
      </c>
      <c r="CCK18" t="s">
        <v>6984</v>
      </c>
      <c r="CCL18" t="s">
        <v>6984</v>
      </c>
      <c r="CCM18" t="s">
        <v>6984</v>
      </c>
      <c r="CCN18" t="s">
        <v>6984</v>
      </c>
      <c r="CCO18" t="s">
        <v>6984</v>
      </c>
      <c r="CCP18" t="s">
        <v>6984</v>
      </c>
      <c r="CCQ18" t="s">
        <v>6984</v>
      </c>
      <c r="CCR18" t="s">
        <v>6984</v>
      </c>
      <c r="CCS18" t="s">
        <v>6984</v>
      </c>
      <c r="CCT18" t="s">
        <v>6984</v>
      </c>
      <c r="CCU18" t="s">
        <v>6984</v>
      </c>
      <c r="CCV18" t="s">
        <v>6984</v>
      </c>
      <c r="CCW18" t="s">
        <v>6984</v>
      </c>
      <c r="CCX18" t="s">
        <v>6984</v>
      </c>
      <c r="CCY18" t="s">
        <v>6984</v>
      </c>
      <c r="CCZ18" t="s">
        <v>6984</v>
      </c>
      <c r="CDA18" t="s">
        <v>6984</v>
      </c>
      <c r="CDB18" t="s">
        <v>6984</v>
      </c>
      <c r="CDC18" t="s">
        <v>6984</v>
      </c>
      <c r="CDD18" t="s">
        <v>6984</v>
      </c>
      <c r="CDE18" t="s">
        <v>6984</v>
      </c>
      <c r="CDF18" t="s">
        <v>6984</v>
      </c>
      <c r="CDG18" t="s">
        <v>6984</v>
      </c>
      <c r="CDH18" t="s">
        <v>6984</v>
      </c>
      <c r="CDI18" t="s">
        <v>6984</v>
      </c>
      <c r="CDJ18" t="s">
        <v>6984</v>
      </c>
      <c r="CDK18" t="s">
        <v>6984</v>
      </c>
      <c r="CDL18" t="s">
        <v>6984</v>
      </c>
      <c r="CDM18" t="s">
        <v>6984</v>
      </c>
      <c r="CDN18" t="s">
        <v>6984</v>
      </c>
      <c r="CDO18" t="s">
        <v>6984</v>
      </c>
      <c r="CDP18" t="s">
        <v>6984</v>
      </c>
      <c r="CDQ18" t="s">
        <v>6984</v>
      </c>
      <c r="CDR18" t="s">
        <v>6984</v>
      </c>
      <c r="CDS18" t="s">
        <v>6984</v>
      </c>
      <c r="CDT18" t="s">
        <v>6984</v>
      </c>
      <c r="CDU18" t="s">
        <v>6984</v>
      </c>
      <c r="CDV18" t="s">
        <v>6984</v>
      </c>
      <c r="CDW18" t="s">
        <v>6984</v>
      </c>
      <c r="CDX18" t="s">
        <v>6984</v>
      </c>
      <c r="CDY18" t="s">
        <v>6984</v>
      </c>
      <c r="CDZ18" t="s">
        <v>6984</v>
      </c>
      <c r="CEA18" t="s">
        <v>6984</v>
      </c>
      <c r="CEB18" t="s">
        <v>6984</v>
      </c>
      <c r="CEC18" t="s">
        <v>6984</v>
      </c>
      <c r="CED18" t="s">
        <v>6984</v>
      </c>
      <c r="CEE18" t="s">
        <v>6984</v>
      </c>
      <c r="CEF18" t="s">
        <v>6984</v>
      </c>
      <c r="CEG18" t="s">
        <v>6984</v>
      </c>
      <c r="CEH18" t="s">
        <v>6984</v>
      </c>
      <c r="CEI18" t="s">
        <v>6984</v>
      </c>
      <c r="CEJ18" t="s">
        <v>6984</v>
      </c>
      <c r="CEK18" t="s">
        <v>6984</v>
      </c>
      <c r="CEL18" t="s">
        <v>6984</v>
      </c>
      <c r="CEM18" t="s">
        <v>6984</v>
      </c>
      <c r="CEN18" t="s">
        <v>6984</v>
      </c>
      <c r="CEO18" t="s">
        <v>6984</v>
      </c>
      <c r="CEP18" t="s">
        <v>6984</v>
      </c>
      <c r="CEQ18" t="s">
        <v>6984</v>
      </c>
      <c r="CER18" t="s">
        <v>6984</v>
      </c>
      <c r="CES18" t="s">
        <v>6984</v>
      </c>
      <c r="CET18" t="s">
        <v>6984</v>
      </c>
      <c r="CEU18" t="s">
        <v>6984</v>
      </c>
      <c r="CEV18" t="s">
        <v>6984</v>
      </c>
      <c r="CEW18" t="s">
        <v>6984</v>
      </c>
      <c r="CEX18" t="s">
        <v>6984</v>
      </c>
      <c r="CEY18" t="s">
        <v>6984</v>
      </c>
      <c r="CEZ18" t="s">
        <v>6984</v>
      </c>
      <c r="CFA18" t="s">
        <v>6984</v>
      </c>
      <c r="CFB18" t="s">
        <v>6984</v>
      </c>
      <c r="CFC18" t="s">
        <v>6984</v>
      </c>
      <c r="CFD18" t="s">
        <v>6984</v>
      </c>
      <c r="CFE18" t="s">
        <v>6984</v>
      </c>
      <c r="CFF18" t="s">
        <v>6984</v>
      </c>
      <c r="CFG18" t="s">
        <v>6984</v>
      </c>
      <c r="CFH18" t="s">
        <v>6984</v>
      </c>
      <c r="CFI18" t="s">
        <v>6984</v>
      </c>
      <c r="CFJ18" t="s">
        <v>6984</v>
      </c>
      <c r="CFK18" t="s">
        <v>6984</v>
      </c>
      <c r="CFL18" t="s">
        <v>6984</v>
      </c>
      <c r="CFM18" t="s">
        <v>6984</v>
      </c>
      <c r="CFN18" t="s">
        <v>6984</v>
      </c>
      <c r="CFO18" t="s">
        <v>6984</v>
      </c>
      <c r="CFP18" t="s">
        <v>6984</v>
      </c>
      <c r="CFQ18" t="s">
        <v>6984</v>
      </c>
      <c r="CFR18" t="s">
        <v>6984</v>
      </c>
      <c r="CFS18" t="s">
        <v>6984</v>
      </c>
      <c r="CFT18" t="s">
        <v>6984</v>
      </c>
      <c r="CFU18" t="s">
        <v>6984</v>
      </c>
      <c r="CFV18" t="s">
        <v>6984</v>
      </c>
      <c r="CFW18" t="s">
        <v>6984</v>
      </c>
      <c r="CFX18" t="s">
        <v>6984</v>
      </c>
      <c r="CFY18" t="s">
        <v>6984</v>
      </c>
      <c r="CFZ18" t="s">
        <v>6984</v>
      </c>
      <c r="CGA18" t="s">
        <v>6984</v>
      </c>
      <c r="CGB18" t="s">
        <v>6984</v>
      </c>
      <c r="CGC18" t="s">
        <v>6984</v>
      </c>
      <c r="CGD18" t="s">
        <v>6984</v>
      </c>
      <c r="CGE18" t="s">
        <v>6984</v>
      </c>
      <c r="CGF18" t="s">
        <v>6984</v>
      </c>
      <c r="CGG18" t="s">
        <v>6984</v>
      </c>
      <c r="CGH18" t="s">
        <v>6984</v>
      </c>
      <c r="CGI18" t="s">
        <v>6984</v>
      </c>
      <c r="CGJ18" t="s">
        <v>6984</v>
      </c>
      <c r="CGK18" t="s">
        <v>6984</v>
      </c>
      <c r="CGL18" t="s">
        <v>6984</v>
      </c>
      <c r="CGM18" t="s">
        <v>6984</v>
      </c>
      <c r="CGN18" t="s">
        <v>6984</v>
      </c>
      <c r="CGO18" t="s">
        <v>6984</v>
      </c>
      <c r="CGP18" t="s">
        <v>6984</v>
      </c>
      <c r="CGQ18" t="s">
        <v>6984</v>
      </c>
      <c r="CGR18" t="s">
        <v>6984</v>
      </c>
      <c r="CGS18" t="s">
        <v>6984</v>
      </c>
      <c r="CGT18" t="s">
        <v>6984</v>
      </c>
      <c r="CGU18" t="s">
        <v>6984</v>
      </c>
      <c r="CGV18" t="s">
        <v>6984</v>
      </c>
      <c r="CGW18" t="s">
        <v>6984</v>
      </c>
      <c r="CGX18" t="s">
        <v>6984</v>
      </c>
      <c r="CGY18" t="s">
        <v>6984</v>
      </c>
      <c r="CGZ18" t="s">
        <v>6984</v>
      </c>
      <c r="CHA18" t="s">
        <v>6984</v>
      </c>
      <c r="CHB18" t="s">
        <v>6984</v>
      </c>
      <c r="CHC18" t="s">
        <v>6984</v>
      </c>
      <c r="CHD18" t="s">
        <v>6984</v>
      </c>
      <c r="CHE18" t="s">
        <v>6984</v>
      </c>
      <c r="CHF18" t="s">
        <v>6984</v>
      </c>
      <c r="CHG18" t="s">
        <v>6984</v>
      </c>
      <c r="CHH18" t="s">
        <v>6984</v>
      </c>
      <c r="CHI18" t="s">
        <v>6984</v>
      </c>
      <c r="CHJ18" t="s">
        <v>6984</v>
      </c>
      <c r="CHK18" t="s">
        <v>6984</v>
      </c>
      <c r="CHL18" t="s">
        <v>6984</v>
      </c>
      <c r="CHM18" t="s">
        <v>6984</v>
      </c>
      <c r="CHN18" t="s">
        <v>6984</v>
      </c>
      <c r="CHO18" t="s">
        <v>6984</v>
      </c>
      <c r="CHP18" t="s">
        <v>6984</v>
      </c>
      <c r="CHQ18" t="s">
        <v>6984</v>
      </c>
      <c r="CHR18" t="s">
        <v>6984</v>
      </c>
      <c r="CHS18" t="s">
        <v>6984</v>
      </c>
      <c r="CHT18" t="s">
        <v>6984</v>
      </c>
      <c r="CHU18" t="s">
        <v>6984</v>
      </c>
      <c r="CHV18" t="s">
        <v>6984</v>
      </c>
      <c r="CHW18" t="s">
        <v>6984</v>
      </c>
      <c r="CHX18" t="s">
        <v>6984</v>
      </c>
      <c r="CHY18" t="s">
        <v>6984</v>
      </c>
      <c r="CHZ18" t="s">
        <v>6984</v>
      </c>
      <c r="CIA18" t="s">
        <v>6984</v>
      </c>
      <c r="CIB18" t="s">
        <v>6984</v>
      </c>
      <c r="CIC18" t="s">
        <v>6984</v>
      </c>
      <c r="CID18" t="s">
        <v>6984</v>
      </c>
      <c r="CIE18" t="s">
        <v>6984</v>
      </c>
      <c r="CIF18" t="s">
        <v>6984</v>
      </c>
      <c r="CIG18" t="s">
        <v>6984</v>
      </c>
      <c r="CIH18" t="s">
        <v>6984</v>
      </c>
      <c r="CII18" t="s">
        <v>6984</v>
      </c>
      <c r="CIJ18" t="s">
        <v>6984</v>
      </c>
      <c r="CIK18" t="s">
        <v>6984</v>
      </c>
      <c r="CIL18" t="s">
        <v>6984</v>
      </c>
      <c r="CIM18" t="s">
        <v>6984</v>
      </c>
      <c r="CIN18" t="s">
        <v>6984</v>
      </c>
      <c r="CIO18" t="s">
        <v>6984</v>
      </c>
      <c r="CIP18" t="s">
        <v>6984</v>
      </c>
      <c r="CIQ18" t="s">
        <v>6984</v>
      </c>
      <c r="CIR18" t="s">
        <v>6984</v>
      </c>
      <c r="CIS18" t="s">
        <v>6984</v>
      </c>
      <c r="CIT18" t="s">
        <v>6984</v>
      </c>
      <c r="CIU18" t="s">
        <v>6984</v>
      </c>
      <c r="CIV18" t="s">
        <v>6984</v>
      </c>
      <c r="CIW18" t="s">
        <v>6984</v>
      </c>
      <c r="CIX18" t="s">
        <v>6984</v>
      </c>
      <c r="CIY18" t="s">
        <v>6984</v>
      </c>
      <c r="CIZ18" t="s">
        <v>6984</v>
      </c>
      <c r="CJA18" t="s">
        <v>6984</v>
      </c>
      <c r="CJB18" t="s">
        <v>6984</v>
      </c>
      <c r="CJC18" t="s">
        <v>6984</v>
      </c>
      <c r="CJD18" t="s">
        <v>6984</v>
      </c>
      <c r="CJE18" t="s">
        <v>6984</v>
      </c>
      <c r="CJF18" t="s">
        <v>6984</v>
      </c>
      <c r="CJG18" t="s">
        <v>6984</v>
      </c>
      <c r="CJH18" t="s">
        <v>6984</v>
      </c>
      <c r="CJI18" t="s">
        <v>6984</v>
      </c>
      <c r="CJJ18" t="s">
        <v>6984</v>
      </c>
      <c r="CJK18" t="s">
        <v>6984</v>
      </c>
      <c r="CJL18" t="s">
        <v>6984</v>
      </c>
      <c r="CJM18" t="s">
        <v>6984</v>
      </c>
      <c r="CJN18" t="s">
        <v>6984</v>
      </c>
      <c r="CJO18" t="s">
        <v>6984</v>
      </c>
      <c r="CJP18" t="s">
        <v>6984</v>
      </c>
      <c r="CJQ18" t="s">
        <v>6984</v>
      </c>
      <c r="CJR18" t="s">
        <v>6984</v>
      </c>
      <c r="CJS18" t="s">
        <v>6984</v>
      </c>
      <c r="CJT18" t="s">
        <v>6984</v>
      </c>
      <c r="CJU18" t="s">
        <v>6984</v>
      </c>
      <c r="CJV18" t="s">
        <v>6984</v>
      </c>
      <c r="CJW18" t="s">
        <v>6984</v>
      </c>
      <c r="CJX18" t="s">
        <v>6984</v>
      </c>
      <c r="CJY18" t="s">
        <v>6984</v>
      </c>
      <c r="CJZ18" t="s">
        <v>6984</v>
      </c>
      <c r="CKA18" t="s">
        <v>6984</v>
      </c>
      <c r="CKB18" t="s">
        <v>6984</v>
      </c>
      <c r="CKC18" t="s">
        <v>6984</v>
      </c>
      <c r="CKD18" t="s">
        <v>6984</v>
      </c>
      <c r="CKE18" t="s">
        <v>6984</v>
      </c>
      <c r="CKF18" t="s">
        <v>6984</v>
      </c>
      <c r="CKG18" t="s">
        <v>6984</v>
      </c>
      <c r="CKH18" t="s">
        <v>6984</v>
      </c>
      <c r="CKI18" t="s">
        <v>6984</v>
      </c>
      <c r="CKJ18" t="s">
        <v>6984</v>
      </c>
      <c r="CKK18" t="s">
        <v>6984</v>
      </c>
      <c r="CKL18" t="s">
        <v>6984</v>
      </c>
      <c r="CKM18" t="s">
        <v>6984</v>
      </c>
      <c r="CKN18" t="s">
        <v>6984</v>
      </c>
      <c r="CKO18" t="s">
        <v>6984</v>
      </c>
      <c r="CKP18" t="s">
        <v>6984</v>
      </c>
      <c r="CKQ18" t="s">
        <v>6984</v>
      </c>
      <c r="CKR18" t="s">
        <v>6984</v>
      </c>
      <c r="CKS18" t="s">
        <v>6984</v>
      </c>
      <c r="CKT18" t="s">
        <v>6984</v>
      </c>
      <c r="CKU18" t="s">
        <v>6984</v>
      </c>
      <c r="CKV18" t="s">
        <v>6984</v>
      </c>
      <c r="CKW18" t="s">
        <v>6984</v>
      </c>
      <c r="CKX18" t="s">
        <v>6984</v>
      </c>
      <c r="CKY18" t="s">
        <v>6984</v>
      </c>
      <c r="CKZ18" t="s">
        <v>6984</v>
      </c>
      <c r="CLA18" t="s">
        <v>6984</v>
      </c>
      <c r="CLB18" t="s">
        <v>6984</v>
      </c>
      <c r="CLC18" t="s">
        <v>6984</v>
      </c>
      <c r="CLD18" t="s">
        <v>6984</v>
      </c>
      <c r="CLE18" t="s">
        <v>6984</v>
      </c>
      <c r="CLF18" t="s">
        <v>6984</v>
      </c>
      <c r="CLG18" t="s">
        <v>6984</v>
      </c>
      <c r="CLH18" t="s">
        <v>6984</v>
      </c>
      <c r="CLI18" t="s">
        <v>6984</v>
      </c>
      <c r="CLJ18" t="s">
        <v>6984</v>
      </c>
      <c r="CLK18" t="s">
        <v>6984</v>
      </c>
      <c r="CLL18" t="s">
        <v>6984</v>
      </c>
      <c r="CLM18" t="s">
        <v>6984</v>
      </c>
      <c r="CLN18" t="s">
        <v>6984</v>
      </c>
      <c r="CLO18" t="s">
        <v>6984</v>
      </c>
      <c r="CLP18" t="s">
        <v>6984</v>
      </c>
      <c r="CLQ18" t="s">
        <v>6984</v>
      </c>
      <c r="CLR18" t="s">
        <v>6984</v>
      </c>
      <c r="CLS18" t="s">
        <v>6984</v>
      </c>
      <c r="CLT18" t="s">
        <v>6984</v>
      </c>
      <c r="CLU18" t="s">
        <v>6984</v>
      </c>
      <c r="CLV18" t="s">
        <v>6984</v>
      </c>
      <c r="CLW18" t="s">
        <v>6984</v>
      </c>
      <c r="CLX18" t="s">
        <v>6984</v>
      </c>
      <c r="CLY18" t="s">
        <v>6984</v>
      </c>
      <c r="CLZ18" t="s">
        <v>6984</v>
      </c>
      <c r="CMA18" t="s">
        <v>6984</v>
      </c>
      <c r="CMB18" t="s">
        <v>6984</v>
      </c>
      <c r="CMC18" t="s">
        <v>6984</v>
      </c>
      <c r="CMD18" t="s">
        <v>6984</v>
      </c>
      <c r="CME18" t="s">
        <v>6984</v>
      </c>
      <c r="CMF18" t="s">
        <v>6984</v>
      </c>
      <c r="CMG18" t="s">
        <v>6984</v>
      </c>
      <c r="CMH18" t="s">
        <v>6984</v>
      </c>
      <c r="CMI18" t="s">
        <v>6984</v>
      </c>
      <c r="CMJ18" t="s">
        <v>6984</v>
      </c>
      <c r="CMK18" t="s">
        <v>6984</v>
      </c>
      <c r="CML18" t="s">
        <v>6984</v>
      </c>
      <c r="CMM18" t="s">
        <v>6984</v>
      </c>
      <c r="CMN18" t="s">
        <v>6984</v>
      </c>
      <c r="CMO18" t="s">
        <v>6984</v>
      </c>
      <c r="CMP18" t="s">
        <v>6984</v>
      </c>
      <c r="CMQ18" t="s">
        <v>6984</v>
      </c>
      <c r="CMR18" t="s">
        <v>6984</v>
      </c>
      <c r="CMS18" t="s">
        <v>6984</v>
      </c>
      <c r="CMT18" t="s">
        <v>6984</v>
      </c>
      <c r="CMU18" t="s">
        <v>6984</v>
      </c>
      <c r="CMV18" t="s">
        <v>6984</v>
      </c>
      <c r="CMW18" t="s">
        <v>6984</v>
      </c>
      <c r="CMX18" t="s">
        <v>6984</v>
      </c>
      <c r="CMY18" t="s">
        <v>6984</v>
      </c>
      <c r="CMZ18" t="s">
        <v>6984</v>
      </c>
      <c r="CNA18" t="s">
        <v>6984</v>
      </c>
      <c r="CNB18" t="s">
        <v>6984</v>
      </c>
      <c r="CNC18" t="s">
        <v>6984</v>
      </c>
      <c r="CND18" t="s">
        <v>6984</v>
      </c>
      <c r="CNE18" t="s">
        <v>6984</v>
      </c>
      <c r="CNF18" t="s">
        <v>6984</v>
      </c>
      <c r="CNG18" t="s">
        <v>6984</v>
      </c>
      <c r="CNH18" t="s">
        <v>6984</v>
      </c>
      <c r="CNI18" t="s">
        <v>6984</v>
      </c>
      <c r="CNJ18" t="s">
        <v>6984</v>
      </c>
      <c r="CNK18" t="s">
        <v>6984</v>
      </c>
      <c r="CNL18" t="s">
        <v>6984</v>
      </c>
      <c r="CNM18" t="s">
        <v>6984</v>
      </c>
      <c r="CNN18" t="s">
        <v>6984</v>
      </c>
      <c r="CNO18" t="s">
        <v>6984</v>
      </c>
      <c r="CNP18" t="s">
        <v>6984</v>
      </c>
      <c r="CNQ18" t="s">
        <v>6984</v>
      </c>
      <c r="CNR18" t="s">
        <v>6984</v>
      </c>
      <c r="CNS18" t="s">
        <v>6984</v>
      </c>
      <c r="CNT18" t="s">
        <v>6984</v>
      </c>
      <c r="CNU18" t="s">
        <v>6984</v>
      </c>
      <c r="CNV18" t="s">
        <v>6984</v>
      </c>
      <c r="CNW18" t="s">
        <v>6984</v>
      </c>
      <c r="CNX18" t="s">
        <v>6984</v>
      </c>
      <c r="CNY18" t="s">
        <v>6984</v>
      </c>
      <c r="CNZ18" t="s">
        <v>6984</v>
      </c>
      <c r="COA18" t="s">
        <v>6984</v>
      </c>
      <c r="COB18" t="s">
        <v>6984</v>
      </c>
      <c r="COC18" t="s">
        <v>6984</v>
      </c>
      <c r="COD18" t="s">
        <v>6984</v>
      </c>
      <c r="COE18" t="s">
        <v>6984</v>
      </c>
      <c r="COF18" t="s">
        <v>6984</v>
      </c>
      <c r="COG18" t="s">
        <v>6984</v>
      </c>
      <c r="COH18" t="s">
        <v>6984</v>
      </c>
      <c r="COI18" t="s">
        <v>6984</v>
      </c>
      <c r="COJ18" t="s">
        <v>6984</v>
      </c>
      <c r="COK18" t="s">
        <v>6984</v>
      </c>
      <c r="COL18" t="s">
        <v>6984</v>
      </c>
      <c r="COM18" t="s">
        <v>6984</v>
      </c>
      <c r="CON18" t="s">
        <v>6984</v>
      </c>
      <c r="COO18" t="s">
        <v>6984</v>
      </c>
      <c r="COP18" t="s">
        <v>6984</v>
      </c>
      <c r="COQ18" t="s">
        <v>6984</v>
      </c>
      <c r="COR18" t="s">
        <v>6984</v>
      </c>
      <c r="COS18" t="s">
        <v>6984</v>
      </c>
      <c r="COT18" t="s">
        <v>6984</v>
      </c>
      <c r="COU18" t="s">
        <v>6984</v>
      </c>
      <c r="COV18" t="s">
        <v>6984</v>
      </c>
      <c r="COW18" t="s">
        <v>6984</v>
      </c>
      <c r="COX18" t="s">
        <v>6984</v>
      </c>
      <c r="COY18" t="s">
        <v>6984</v>
      </c>
      <c r="COZ18" t="s">
        <v>6984</v>
      </c>
      <c r="CPA18" t="s">
        <v>6984</v>
      </c>
      <c r="CPB18" t="s">
        <v>6984</v>
      </c>
      <c r="CPC18" t="s">
        <v>6984</v>
      </c>
      <c r="CPD18" t="s">
        <v>6984</v>
      </c>
      <c r="CPE18" t="s">
        <v>6984</v>
      </c>
      <c r="CPF18" t="s">
        <v>6984</v>
      </c>
      <c r="CPG18" t="s">
        <v>6984</v>
      </c>
      <c r="CPH18" t="s">
        <v>6984</v>
      </c>
      <c r="CPI18" t="s">
        <v>6984</v>
      </c>
      <c r="CPJ18" t="s">
        <v>6984</v>
      </c>
      <c r="CPK18" t="s">
        <v>6984</v>
      </c>
      <c r="CPL18" t="s">
        <v>6984</v>
      </c>
      <c r="CPM18" t="s">
        <v>6984</v>
      </c>
      <c r="CPN18" t="s">
        <v>6984</v>
      </c>
      <c r="CPO18" t="s">
        <v>6984</v>
      </c>
      <c r="CPP18" t="s">
        <v>6984</v>
      </c>
      <c r="CPQ18" t="s">
        <v>6984</v>
      </c>
      <c r="CPR18" t="s">
        <v>6984</v>
      </c>
      <c r="CPS18" t="s">
        <v>6984</v>
      </c>
      <c r="CPT18" t="s">
        <v>6984</v>
      </c>
      <c r="CPU18" t="s">
        <v>6984</v>
      </c>
      <c r="CPV18" t="s">
        <v>6984</v>
      </c>
      <c r="CPW18" t="s">
        <v>6984</v>
      </c>
      <c r="CPX18" t="s">
        <v>6984</v>
      </c>
      <c r="CPY18" t="s">
        <v>6984</v>
      </c>
      <c r="CPZ18" t="s">
        <v>6984</v>
      </c>
      <c r="CQA18" t="s">
        <v>6984</v>
      </c>
      <c r="CQB18" t="s">
        <v>6984</v>
      </c>
      <c r="CQC18" t="s">
        <v>6984</v>
      </c>
      <c r="CQD18" t="s">
        <v>6984</v>
      </c>
      <c r="CQE18" t="s">
        <v>6984</v>
      </c>
      <c r="CQF18" t="s">
        <v>6984</v>
      </c>
      <c r="CQG18" t="s">
        <v>6984</v>
      </c>
      <c r="CQH18" t="s">
        <v>6984</v>
      </c>
      <c r="CQI18" t="s">
        <v>6984</v>
      </c>
      <c r="CQJ18" t="s">
        <v>6984</v>
      </c>
      <c r="CQK18" t="s">
        <v>6984</v>
      </c>
      <c r="CQL18" t="s">
        <v>6984</v>
      </c>
      <c r="CQM18" t="s">
        <v>6984</v>
      </c>
      <c r="CQN18" t="s">
        <v>6984</v>
      </c>
      <c r="CQO18" t="s">
        <v>6984</v>
      </c>
      <c r="CQP18" t="s">
        <v>6984</v>
      </c>
      <c r="CQQ18" t="s">
        <v>6984</v>
      </c>
      <c r="CQR18" t="s">
        <v>6984</v>
      </c>
      <c r="CQS18" t="s">
        <v>6984</v>
      </c>
      <c r="CQT18" t="s">
        <v>6984</v>
      </c>
      <c r="CQU18" t="s">
        <v>6984</v>
      </c>
      <c r="CQV18" t="s">
        <v>6984</v>
      </c>
      <c r="CQW18" t="s">
        <v>6984</v>
      </c>
      <c r="CQX18" t="s">
        <v>6984</v>
      </c>
      <c r="CQY18" t="s">
        <v>6984</v>
      </c>
      <c r="CQZ18" t="s">
        <v>6984</v>
      </c>
      <c r="CRA18" t="s">
        <v>6984</v>
      </c>
      <c r="CRB18" t="s">
        <v>6984</v>
      </c>
      <c r="CRC18" t="s">
        <v>6984</v>
      </c>
      <c r="CRD18" t="s">
        <v>6984</v>
      </c>
      <c r="CRE18" t="s">
        <v>6984</v>
      </c>
      <c r="CRF18" t="s">
        <v>6984</v>
      </c>
      <c r="CRG18" t="s">
        <v>6984</v>
      </c>
      <c r="CRH18" t="s">
        <v>6984</v>
      </c>
      <c r="CRI18" t="s">
        <v>6984</v>
      </c>
      <c r="CRJ18" t="s">
        <v>6984</v>
      </c>
      <c r="CRK18" t="s">
        <v>6984</v>
      </c>
      <c r="CRL18" t="s">
        <v>6984</v>
      </c>
      <c r="CRM18" t="s">
        <v>6984</v>
      </c>
      <c r="CRN18" t="s">
        <v>6984</v>
      </c>
      <c r="CRO18" t="s">
        <v>6984</v>
      </c>
      <c r="CRP18" t="s">
        <v>6984</v>
      </c>
      <c r="CRQ18" t="s">
        <v>6984</v>
      </c>
      <c r="CRR18" t="s">
        <v>6984</v>
      </c>
      <c r="CRS18" t="s">
        <v>6984</v>
      </c>
      <c r="CRT18" t="s">
        <v>6984</v>
      </c>
      <c r="CRU18" t="s">
        <v>6984</v>
      </c>
      <c r="CRV18" t="s">
        <v>6984</v>
      </c>
      <c r="CRW18" t="s">
        <v>6984</v>
      </c>
      <c r="CRX18" t="s">
        <v>6984</v>
      </c>
      <c r="CRY18" t="s">
        <v>6984</v>
      </c>
      <c r="CRZ18" t="s">
        <v>6984</v>
      </c>
      <c r="CSA18" t="s">
        <v>6984</v>
      </c>
      <c r="CSB18" t="s">
        <v>6984</v>
      </c>
      <c r="CSC18" t="s">
        <v>6984</v>
      </c>
      <c r="CSD18" t="s">
        <v>6984</v>
      </c>
      <c r="CSE18" t="s">
        <v>6984</v>
      </c>
      <c r="CSF18" t="s">
        <v>6984</v>
      </c>
      <c r="CSG18" t="s">
        <v>6984</v>
      </c>
      <c r="CSH18" t="s">
        <v>6984</v>
      </c>
      <c r="CSI18" t="s">
        <v>6984</v>
      </c>
      <c r="CSJ18" t="s">
        <v>6984</v>
      </c>
      <c r="CSK18" t="s">
        <v>6984</v>
      </c>
      <c r="CSL18" t="s">
        <v>6984</v>
      </c>
      <c r="CSM18" t="s">
        <v>6984</v>
      </c>
      <c r="CSN18" t="s">
        <v>6984</v>
      </c>
      <c r="CSO18" t="s">
        <v>6984</v>
      </c>
      <c r="CSP18" t="s">
        <v>6984</v>
      </c>
      <c r="CSQ18" t="s">
        <v>6984</v>
      </c>
      <c r="CSR18" t="s">
        <v>6984</v>
      </c>
      <c r="CSS18" t="s">
        <v>6984</v>
      </c>
      <c r="CST18" t="s">
        <v>6984</v>
      </c>
      <c r="CSU18" t="s">
        <v>6984</v>
      </c>
      <c r="CSV18" t="s">
        <v>6984</v>
      </c>
      <c r="CSW18" t="s">
        <v>6984</v>
      </c>
      <c r="CSX18" t="s">
        <v>6984</v>
      </c>
      <c r="CSY18" t="s">
        <v>6984</v>
      </c>
      <c r="CSZ18" t="s">
        <v>6984</v>
      </c>
      <c r="CTA18" t="s">
        <v>6984</v>
      </c>
      <c r="CTB18" t="s">
        <v>6984</v>
      </c>
      <c r="CTC18" t="s">
        <v>6984</v>
      </c>
      <c r="CTD18" t="s">
        <v>6984</v>
      </c>
      <c r="CTE18" t="s">
        <v>6984</v>
      </c>
      <c r="CTF18" t="s">
        <v>6984</v>
      </c>
      <c r="CTG18" t="s">
        <v>6984</v>
      </c>
      <c r="CTH18" t="s">
        <v>6984</v>
      </c>
      <c r="CTI18" t="s">
        <v>6984</v>
      </c>
      <c r="CTJ18" t="s">
        <v>6984</v>
      </c>
      <c r="CTK18" t="s">
        <v>6984</v>
      </c>
      <c r="CTL18" t="s">
        <v>6984</v>
      </c>
      <c r="CTM18" t="s">
        <v>6984</v>
      </c>
      <c r="CTN18" t="s">
        <v>6984</v>
      </c>
      <c r="CTO18" t="s">
        <v>6984</v>
      </c>
      <c r="CTP18" t="s">
        <v>6984</v>
      </c>
      <c r="CTQ18" t="s">
        <v>6984</v>
      </c>
      <c r="CTR18" t="s">
        <v>6984</v>
      </c>
      <c r="CTS18" t="s">
        <v>6984</v>
      </c>
      <c r="CTT18" t="s">
        <v>6984</v>
      </c>
      <c r="CTU18" t="s">
        <v>6984</v>
      </c>
      <c r="CTV18" t="s">
        <v>6984</v>
      </c>
      <c r="CTW18" t="s">
        <v>6984</v>
      </c>
      <c r="CTX18" t="s">
        <v>6984</v>
      </c>
      <c r="CTY18" t="s">
        <v>6984</v>
      </c>
      <c r="CTZ18" t="s">
        <v>6984</v>
      </c>
      <c r="CUA18" t="s">
        <v>6984</v>
      </c>
      <c r="CUB18" t="s">
        <v>6984</v>
      </c>
      <c r="CUC18" t="s">
        <v>6984</v>
      </c>
      <c r="CUD18" t="s">
        <v>6984</v>
      </c>
      <c r="CUE18" t="s">
        <v>6984</v>
      </c>
      <c r="CUF18" t="s">
        <v>6984</v>
      </c>
      <c r="CUG18" t="s">
        <v>6984</v>
      </c>
      <c r="CUH18" t="s">
        <v>6984</v>
      </c>
      <c r="CUI18" t="s">
        <v>6984</v>
      </c>
      <c r="CUJ18" t="s">
        <v>6984</v>
      </c>
      <c r="CUK18" t="s">
        <v>6984</v>
      </c>
      <c r="CUL18" t="s">
        <v>6984</v>
      </c>
      <c r="CUM18" t="s">
        <v>6984</v>
      </c>
      <c r="CUN18" t="s">
        <v>6984</v>
      </c>
      <c r="CUO18" t="s">
        <v>6984</v>
      </c>
      <c r="CUP18" t="s">
        <v>6984</v>
      </c>
      <c r="CUQ18" t="s">
        <v>6984</v>
      </c>
      <c r="CUR18" t="s">
        <v>6984</v>
      </c>
      <c r="CUS18" t="s">
        <v>6984</v>
      </c>
      <c r="CUT18" t="s">
        <v>6984</v>
      </c>
      <c r="CUU18" t="s">
        <v>6984</v>
      </c>
      <c r="CUV18" t="s">
        <v>6984</v>
      </c>
      <c r="CUW18" t="s">
        <v>6984</v>
      </c>
      <c r="CUX18" t="s">
        <v>6984</v>
      </c>
      <c r="CUY18" t="s">
        <v>6984</v>
      </c>
      <c r="CUZ18" t="s">
        <v>6984</v>
      </c>
      <c r="CVA18" t="s">
        <v>6984</v>
      </c>
      <c r="CVB18" t="s">
        <v>6984</v>
      </c>
      <c r="CVC18" t="s">
        <v>6984</v>
      </c>
      <c r="CVD18" t="s">
        <v>6984</v>
      </c>
      <c r="CVE18" t="s">
        <v>6984</v>
      </c>
      <c r="CVF18" t="s">
        <v>6984</v>
      </c>
      <c r="CVG18" t="s">
        <v>6984</v>
      </c>
      <c r="CVH18" t="s">
        <v>6984</v>
      </c>
      <c r="CVI18" t="s">
        <v>6984</v>
      </c>
      <c r="CVJ18" t="s">
        <v>6984</v>
      </c>
      <c r="CVK18" t="s">
        <v>6984</v>
      </c>
      <c r="CVL18" t="s">
        <v>6984</v>
      </c>
      <c r="CVM18" t="s">
        <v>6984</v>
      </c>
      <c r="CVN18" t="s">
        <v>6984</v>
      </c>
      <c r="CVO18" t="s">
        <v>6984</v>
      </c>
      <c r="CVP18" t="s">
        <v>6984</v>
      </c>
      <c r="CVQ18" t="s">
        <v>6984</v>
      </c>
      <c r="CVR18" t="s">
        <v>6984</v>
      </c>
      <c r="CVS18" t="s">
        <v>6984</v>
      </c>
      <c r="CVT18" t="s">
        <v>6984</v>
      </c>
      <c r="CVU18" t="s">
        <v>6984</v>
      </c>
      <c r="CVV18" t="s">
        <v>6984</v>
      </c>
      <c r="CVW18" t="s">
        <v>6984</v>
      </c>
      <c r="CVX18" t="s">
        <v>6984</v>
      </c>
      <c r="CVY18" t="s">
        <v>6984</v>
      </c>
      <c r="CVZ18" t="s">
        <v>6984</v>
      </c>
      <c r="CWA18" t="s">
        <v>6984</v>
      </c>
      <c r="CWB18" t="s">
        <v>6984</v>
      </c>
      <c r="CWC18" t="s">
        <v>6984</v>
      </c>
      <c r="CWD18" t="s">
        <v>6984</v>
      </c>
      <c r="CWE18" t="s">
        <v>6984</v>
      </c>
      <c r="CWF18" t="s">
        <v>6984</v>
      </c>
      <c r="CWG18" t="s">
        <v>6984</v>
      </c>
      <c r="CWH18" t="s">
        <v>6984</v>
      </c>
      <c r="CWI18" t="s">
        <v>6984</v>
      </c>
      <c r="CWJ18" t="s">
        <v>6984</v>
      </c>
      <c r="CWK18" t="s">
        <v>6984</v>
      </c>
      <c r="CWL18" t="s">
        <v>6984</v>
      </c>
      <c r="CWM18" t="s">
        <v>6984</v>
      </c>
      <c r="CWN18" t="s">
        <v>6984</v>
      </c>
      <c r="CWO18" t="s">
        <v>6984</v>
      </c>
      <c r="CWP18" t="s">
        <v>6984</v>
      </c>
      <c r="CWQ18" t="s">
        <v>6984</v>
      </c>
      <c r="CWR18" t="s">
        <v>6984</v>
      </c>
      <c r="CWS18" t="s">
        <v>6984</v>
      </c>
      <c r="CWT18" t="s">
        <v>6984</v>
      </c>
      <c r="CWU18" t="s">
        <v>6984</v>
      </c>
      <c r="CWV18" t="s">
        <v>6984</v>
      </c>
      <c r="CWW18" t="s">
        <v>6984</v>
      </c>
      <c r="CWX18" t="s">
        <v>6984</v>
      </c>
      <c r="CWY18" t="s">
        <v>6984</v>
      </c>
      <c r="CWZ18" t="s">
        <v>6984</v>
      </c>
      <c r="CXA18" t="s">
        <v>6984</v>
      </c>
      <c r="CXB18" t="s">
        <v>6984</v>
      </c>
      <c r="CXC18" t="s">
        <v>6984</v>
      </c>
      <c r="CXD18" t="s">
        <v>6984</v>
      </c>
      <c r="CXE18" t="s">
        <v>6984</v>
      </c>
      <c r="CXF18" t="s">
        <v>6984</v>
      </c>
      <c r="CXG18" t="s">
        <v>6984</v>
      </c>
      <c r="CXH18" t="s">
        <v>6984</v>
      </c>
      <c r="CXI18" t="s">
        <v>6984</v>
      </c>
      <c r="CXJ18" t="s">
        <v>6984</v>
      </c>
      <c r="CXK18" t="s">
        <v>6984</v>
      </c>
      <c r="CXL18" t="s">
        <v>6984</v>
      </c>
      <c r="CXM18" t="s">
        <v>6984</v>
      </c>
      <c r="CXN18" t="s">
        <v>6984</v>
      </c>
      <c r="CXO18" t="s">
        <v>6984</v>
      </c>
      <c r="CXP18" t="s">
        <v>6984</v>
      </c>
      <c r="CXQ18" t="s">
        <v>6984</v>
      </c>
      <c r="CXR18" t="s">
        <v>6984</v>
      </c>
      <c r="CXS18" t="s">
        <v>6984</v>
      </c>
      <c r="CXT18" t="s">
        <v>6984</v>
      </c>
      <c r="CXU18" t="s">
        <v>6984</v>
      </c>
      <c r="CXV18" t="s">
        <v>6984</v>
      </c>
      <c r="CXW18" t="s">
        <v>6984</v>
      </c>
      <c r="CXX18" t="s">
        <v>6984</v>
      </c>
      <c r="CXY18" t="s">
        <v>6984</v>
      </c>
      <c r="CXZ18" t="s">
        <v>6984</v>
      </c>
      <c r="CYA18" t="s">
        <v>6984</v>
      </c>
      <c r="CYB18" t="s">
        <v>6984</v>
      </c>
      <c r="CYC18" t="s">
        <v>6984</v>
      </c>
      <c r="CYD18" t="s">
        <v>6984</v>
      </c>
      <c r="CYE18" t="s">
        <v>6984</v>
      </c>
      <c r="CYF18" t="s">
        <v>6984</v>
      </c>
      <c r="CYG18" t="s">
        <v>6984</v>
      </c>
      <c r="CYH18" t="s">
        <v>6984</v>
      </c>
      <c r="CYI18" t="s">
        <v>6984</v>
      </c>
      <c r="CYJ18" t="s">
        <v>6984</v>
      </c>
      <c r="CYK18" t="s">
        <v>6984</v>
      </c>
      <c r="CYL18" t="s">
        <v>6984</v>
      </c>
      <c r="CYM18" t="s">
        <v>6984</v>
      </c>
      <c r="CYN18" t="s">
        <v>6984</v>
      </c>
      <c r="CYO18" t="s">
        <v>6984</v>
      </c>
      <c r="CYP18" t="s">
        <v>6984</v>
      </c>
      <c r="CYQ18" t="s">
        <v>6984</v>
      </c>
      <c r="CYR18" t="s">
        <v>6984</v>
      </c>
      <c r="CYS18" t="s">
        <v>6984</v>
      </c>
      <c r="CYT18" t="s">
        <v>6984</v>
      </c>
      <c r="CYU18" t="s">
        <v>6984</v>
      </c>
      <c r="CYV18" t="s">
        <v>6984</v>
      </c>
      <c r="CYW18" t="s">
        <v>6984</v>
      </c>
      <c r="CYX18" t="s">
        <v>6984</v>
      </c>
      <c r="CYY18" t="s">
        <v>6984</v>
      </c>
      <c r="CYZ18" t="s">
        <v>6984</v>
      </c>
      <c r="CZA18" t="s">
        <v>6984</v>
      </c>
      <c r="CZB18" t="s">
        <v>6984</v>
      </c>
      <c r="CZC18" t="s">
        <v>6984</v>
      </c>
      <c r="CZD18" t="s">
        <v>6984</v>
      </c>
      <c r="CZE18" t="s">
        <v>6984</v>
      </c>
      <c r="CZF18" t="s">
        <v>6984</v>
      </c>
      <c r="CZG18" t="s">
        <v>6984</v>
      </c>
      <c r="CZH18" t="s">
        <v>6984</v>
      </c>
      <c r="CZI18" t="s">
        <v>6984</v>
      </c>
      <c r="CZJ18" t="s">
        <v>6984</v>
      </c>
      <c r="CZK18" t="s">
        <v>6984</v>
      </c>
      <c r="CZL18" t="s">
        <v>6984</v>
      </c>
      <c r="CZM18" t="s">
        <v>6984</v>
      </c>
      <c r="CZN18" t="s">
        <v>6984</v>
      </c>
      <c r="CZO18" t="s">
        <v>6984</v>
      </c>
      <c r="CZP18" t="s">
        <v>6984</v>
      </c>
      <c r="CZQ18" t="s">
        <v>6984</v>
      </c>
      <c r="CZR18" t="s">
        <v>6984</v>
      </c>
      <c r="CZS18" t="s">
        <v>6984</v>
      </c>
      <c r="CZT18" t="s">
        <v>6984</v>
      </c>
      <c r="CZU18" t="s">
        <v>6984</v>
      </c>
      <c r="CZV18" t="s">
        <v>6984</v>
      </c>
      <c r="CZW18" t="s">
        <v>6984</v>
      </c>
      <c r="CZX18" t="s">
        <v>6984</v>
      </c>
      <c r="CZY18" t="s">
        <v>6984</v>
      </c>
      <c r="CZZ18" t="s">
        <v>6984</v>
      </c>
      <c r="DAA18" t="s">
        <v>6984</v>
      </c>
      <c r="DAB18" t="s">
        <v>6984</v>
      </c>
      <c r="DAC18" t="s">
        <v>6984</v>
      </c>
      <c r="DAD18" t="s">
        <v>6984</v>
      </c>
      <c r="DAE18" t="s">
        <v>6984</v>
      </c>
      <c r="DAF18" t="s">
        <v>6984</v>
      </c>
      <c r="DAG18" t="s">
        <v>6984</v>
      </c>
      <c r="DAH18" t="s">
        <v>6984</v>
      </c>
      <c r="DAI18" t="s">
        <v>6984</v>
      </c>
      <c r="DAJ18" t="s">
        <v>6984</v>
      </c>
      <c r="DAK18" t="s">
        <v>6984</v>
      </c>
      <c r="DAL18" t="s">
        <v>6984</v>
      </c>
      <c r="DAM18" t="s">
        <v>6984</v>
      </c>
      <c r="DAN18" t="s">
        <v>6984</v>
      </c>
      <c r="DAO18" t="s">
        <v>6984</v>
      </c>
      <c r="DAP18" t="s">
        <v>6984</v>
      </c>
      <c r="DAQ18" t="s">
        <v>6984</v>
      </c>
      <c r="DAR18" t="s">
        <v>6984</v>
      </c>
      <c r="DAS18" t="s">
        <v>6984</v>
      </c>
      <c r="DAT18" t="s">
        <v>6984</v>
      </c>
      <c r="DAU18" t="s">
        <v>6984</v>
      </c>
      <c r="DAV18" t="s">
        <v>6984</v>
      </c>
      <c r="DAW18" t="s">
        <v>6984</v>
      </c>
      <c r="DAX18" t="s">
        <v>6984</v>
      </c>
      <c r="DAY18" t="s">
        <v>6984</v>
      </c>
      <c r="DAZ18" t="s">
        <v>6984</v>
      </c>
      <c r="DBA18" t="s">
        <v>6984</v>
      </c>
      <c r="DBB18" t="s">
        <v>6984</v>
      </c>
      <c r="DBC18" t="s">
        <v>6984</v>
      </c>
      <c r="DBD18" t="s">
        <v>6984</v>
      </c>
      <c r="DBE18" t="s">
        <v>6984</v>
      </c>
      <c r="DBF18" t="s">
        <v>6984</v>
      </c>
      <c r="DBG18" t="s">
        <v>6984</v>
      </c>
      <c r="DBH18" t="s">
        <v>6984</v>
      </c>
      <c r="DBI18" t="s">
        <v>6984</v>
      </c>
      <c r="DBJ18" t="s">
        <v>6984</v>
      </c>
      <c r="DBK18" t="s">
        <v>6984</v>
      </c>
      <c r="DBL18" t="s">
        <v>6984</v>
      </c>
      <c r="DBM18" t="s">
        <v>6984</v>
      </c>
      <c r="DBN18" t="s">
        <v>6984</v>
      </c>
      <c r="DBO18" t="s">
        <v>6984</v>
      </c>
      <c r="DBP18" t="s">
        <v>6984</v>
      </c>
      <c r="DBQ18" t="s">
        <v>6984</v>
      </c>
      <c r="DBR18" t="s">
        <v>6984</v>
      </c>
      <c r="DBS18" t="s">
        <v>6984</v>
      </c>
      <c r="DBT18" t="s">
        <v>6984</v>
      </c>
      <c r="DBU18" t="s">
        <v>6984</v>
      </c>
      <c r="DBV18" t="s">
        <v>6984</v>
      </c>
      <c r="DBW18" t="s">
        <v>6984</v>
      </c>
      <c r="DBX18" t="s">
        <v>6984</v>
      </c>
      <c r="DBY18" t="s">
        <v>6984</v>
      </c>
      <c r="DBZ18" t="s">
        <v>6984</v>
      </c>
      <c r="DCA18" t="s">
        <v>6984</v>
      </c>
      <c r="DCB18" t="s">
        <v>6984</v>
      </c>
      <c r="DCC18" t="s">
        <v>6984</v>
      </c>
      <c r="DCD18" t="s">
        <v>6984</v>
      </c>
      <c r="DCE18" t="s">
        <v>6984</v>
      </c>
      <c r="DCF18" t="s">
        <v>6984</v>
      </c>
      <c r="DCG18" t="s">
        <v>6984</v>
      </c>
      <c r="DCH18" t="s">
        <v>6984</v>
      </c>
      <c r="DCI18" t="s">
        <v>6984</v>
      </c>
      <c r="DCJ18" t="s">
        <v>6984</v>
      </c>
      <c r="DCK18" t="s">
        <v>6984</v>
      </c>
      <c r="DCL18" t="s">
        <v>6984</v>
      </c>
      <c r="DCM18" t="s">
        <v>6984</v>
      </c>
      <c r="DCN18" t="s">
        <v>6984</v>
      </c>
      <c r="DCO18" t="s">
        <v>6984</v>
      </c>
      <c r="DCP18" t="s">
        <v>6984</v>
      </c>
      <c r="DCQ18" t="s">
        <v>6984</v>
      </c>
      <c r="DCR18" t="s">
        <v>6984</v>
      </c>
      <c r="DCS18" t="s">
        <v>6984</v>
      </c>
      <c r="DCT18" t="s">
        <v>6984</v>
      </c>
      <c r="DCU18" t="s">
        <v>6984</v>
      </c>
      <c r="DCV18" t="s">
        <v>6984</v>
      </c>
      <c r="DCW18" t="s">
        <v>6984</v>
      </c>
      <c r="DCX18" t="s">
        <v>6984</v>
      </c>
      <c r="DCY18" t="s">
        <v>6984</v>
      </c>
      <c r="DCZ18" t="s">
        <v>6984</v>
      </c>
      <c r="DDA18" t="s">
        <v>6984</v>
      </c>
      <c r="DDB18" t="s">
        <v>6984</v>
      </c>
      <c r="DDC18" t="s">
        <v>6984</v>
      </c>
      <c r="DDD18" t="s">
        <v>6984</v>
      </c>
      <c r="DDE18" t="s">
        <v>6984</v>
      </c>
      <c r="DDF18" t="s">
        <v>6984</v>
      </c>
      <c r="DDG18" t="s">
        <v>6984</v>
      </c>
      <c r="DDH18" t="s">
        <v>6984</v>
      </c>
      <c r="DDI18" t="s">
        <v>6984</v>
      </c>
      <c r="DDJ18" t="s">
        <v>6984</v>
      </c>
      <c r="DDK18" t="s">
        <v>6984</v>
      </c>
      <c r="DDL18" t="s">
        <v>6984</v>
      </c>
      <c r="DDM18" t="s">
        <v>6984</v>
      </c>
      <c r="DDN18" t="s">
        <v>6984</v>
      </c>
      <c r="DDO18" t="s">
        <v>6984</v>
      </c>
      <c r="DDP18" t="s">
        <v>6984</v>
      </c>
      <c r="DDQ18" t="s">
        <v>6984</v>
      </c>
      <c r="DDR18" t="s">
        <v>6984</v>
      </c>
      <c r="DDS18" t="s">
        <v>6984</v>
      </c>
      <c r="DDT18" t="s">
        <v>6984</v>
      </c>
      <c r="DDU18" t="s">
        <v>6984</v>
      </c>
      <c r="DDV18" t="s">
        <v>6984</v>
      </c>
      <c r="DDW18" t="s">
        <v>6984</v>
      </c>
      <c r="DDX18" t="s">
        <v>6984</v>
      </c>
      <c r="DDY18" t="s">
        <v>6984</v>
      </c>
      <c r="DDZ18" t="s">
        <v>6984</v>
      </c>
      <c r="DEA18" t="s">
        <v>6984</v>
      </c>
      <c r="DEB18" t="s">
        <v>6984</v>
      </c>
      <c r="DEC18" t="s">
        <v>6984</v>
      </c>
      <c r="DED18" t="s">
        <v>6984</v>
      </c>
      <c r="DEE18" t="s">
        <v>6984</v>
      </c>
      <c r="DEF18" t="s">
        <v>6984</v>
      </c>
      <c r="DEG18" t="s">
        <v>6984</v>
      </c>
      <c r="DEH18" t="s">
        <v>6984</v>
      </c>
      <c r="DEI18" t="s">
        <v>6984</v>
      </c>
      <c r="DEJ18" t="s">
        <v>6984</v>
      </c>
      <c r="DEK18" t="s">
        <v>6984</v>
      </c>
      <c r="DEL18" t="s">
        <v>6984</v>
      </c>
      <c r="DEM18" t="s">
        <v>6984</v>
      </c>
      <c r="DEN18" t="s">
        <v>6984</v>
      </c>
      <c r="DEO18" t="s">
        <v>6984</v>
      </c>
      <c r="DEP18" t="s">
        <v>6984</v>
      </c>
      <c r="DEQ18" t="s">
        <v>6984</v>
      </c>
      <c r="DER18" t="s">
        <v>6984</v>
      </c>
      <c r="DES18" t="s">
        <v>6984</v>
      </c>
      <c r="DET18" t="s">
        <v>6984</v>
      </c>
      <c r="DEU18" t="s">
        <v>6984</v>
      </c>
      <c r="DEV18" t="s">
        <v>6984</v>
      </c>
      <c r="DEW18" t="s">
        <v>6984</v>
      </c>
      <c r="DEX18" t="s">
        <v>6984</v>
      </c>
      <c r="DEY18" t="s">
        <v>6984</v>
      </c>
      <c r="DEZ18" t="s">
        <v>6984</v>
      </c>
      <c r="DFA18" t="s">
        <v>6984</v>
      </c>
      <c r="DFB18" t="s">
        <v>6984</v>
      </c>
      <c r="DFC18" t="s">
        <v>6984</v>
      </c>
      <c r="DFD18" t="s">
        <v>6984</v>
      </c>
      <c r="DFE18" t="s">
        <v>6984</v>
      </c>
      <c r="DFF18" t="s">
        <v>6984</v>
      </c>
      <c r="DFG18" t="s">
        <v>6984</v>
      </c>
      <c r="DFH18" t="s">
        <v>6984</v>
      </c>
      <c r="DFI18" t="s">
        <v>6984</v>
      </c>
      <c r="DFJ18" t="s">
        <v>6984</v>
      </c>
      <c r="DFK18" t="s">
        <v>6984</v>
      </c>
      <c r="DFL18" t="s">
        <v>6984</v>
      </c>
      <c r="DFM18" t="s">
        <v>6984</v>
      </c>
      <c r="DFN18" t="s">
        <v>6984</v>
      </c>
      <c r="DFO18" t="s">
        <v>6984</v>
      </c>
      <c r="DFP18" t="s">
        <v>6984</v>
      </c>
      <c r="DFQ18" t="s">
        <v>6984</v>
      </c>
      <c r="DFR18" t="s">
        <v>6984</v>
      </c>
      <c r="DFS18" t="s">
        <v>6984</v>
      </c>
      <c r="DFT18" t="s">
        <v>6984</v>
      </c>
      <c r="DFU18" t="s">
        <v>6984</v>
      </c>
      <c r="DFV18" t="s">
        <v>6984</v>
      </c>
      <c r="DFW18" t="s">
        <v>6984</v>
      </c>
      <c r="DFX18" t="s">
        <v>6984</v>
      </c>
      <c r="DFY18" t="s">
        <v>6984</v>
      </c>
      <c r="DFZ18" t="s">
        <v>6984</v>
      </c>
      <c r="DGA18" t="s">
        <v>6984</v>
      </c>
      <c r="DGB18" t="s">
        <v>6984</v>
      </c>
      <c r="DGC18" t="s">
        <v>6984</v>
      </c>
      <c r="DGD18" t="s">
        <v>6984</v>
      </c>
      <c r="DGE18" t="s">
        <v>6984</v>
      </c>
      <c r="DGF18" t="s">
        <v>6984</v>
      </c>
      <c r="DGG18" t="s">
        <v>6984</v>
      </c>
      <c r="DGH18" t="s">
        <v>6984</v>
      </c>
      <c r="DGI18" t="s">
        <v>6984</v>
      </c>
      <c r="DGJ18" t="s">
        <v>6984</v>
      </c>
      <c r="DGK18" t="s">
        <v>6984</v>
      </c>
      <c r="DGL18" t="s">
        <v>6984</v>
      </c>
      <c r="DGM18" t="s">
        <v>6984</v>
      </c>
      <c r="DGN18" t="s">
        <v>6984</v>
      </c>
      <c r="DGO18" t="s">
        <v>6984</v>
      </c>
      <c r="DGP18" t="s">
        <v>6984</v>
      </c>
      <c r="DGQ18" t="s">
        <v>6984</v>
      </c>
      <c r="DGR18" t="s">
        <v>6984</v>
      </c>
      <c r="DGS18" t="s">
        <v>6984</v>
      </c>
      <c r="DGT18" t="s">
        <v>6984</v>
      </c>
      <c r="DGU18" t="s">
        <v>6984</v>
      </c>
      <c r="DGV18" t="s">
        <v>6984</v>
      </c>
      <c r="DGW18" t="s">
        <v>6984</v>
      </c>
      <c r="DGX18" t="s">
        <v>6984</v>
      </c>
      <c r="DGY18" t="s">
        <v>6984</v>
      </c>
      <c r="DGZ18" t="s">
        <v>6984</v>
      </c>
      <c r="DHA18" t="s">
        <v>6984</v>
      </c>
      <c r="DHB18" t="s">
        <v>6984</v>
      </c>
      <c r="DHC18" t="s">
        <v>6984</v>
      </c>
      <c r="DHD18" t="s">
        <v>6984</v>
      </c>
      <c r="DHE18" t="s">
        <v>6984</v>
      </c>
      <c r="DHF18" t="s">
        <v>6984</v>
      </c>
      <c r="DHG18" t="s">
        <v>6984</v>
      </c>
      <c r="DHH18" t="s">
        <v>6984</v>
      </c>
      <c r="DHI18" t="s">
        <v>6984</v>
      </c>
      <c r="DHJ18" t="s">
        <v>6984</v>
      </c>
      <c r="DHK18" t="s">
        <v>6984</v>
      </c>
      <c r="DHL18" t="s">
        <v>6984</v>
      </c>
      <c r="DHM18" t="s">
        <v>6984</v>
      </c>
      <c r="DHN18" t="s">
        <v>6984</v>
      </c>
      <c r="DHO18" t="s">
        <v>6984</v>
      </c>
      <c r="DHP18" t="s">
        <v>6984</v>
      </c>
      <c r="DHQ18" t="s">
        <v>6984</v>
      </c>
      <c r="DHR18" t="s">
        <v>6984</v>
      </c>
      <c r="DHS18" t="s">
        <v>6984</v>
      </c>
      <c r="DHT18" t="s">
        <v>6984</v>
      </c>
      <c r="DHU18" t="s">
        <v>6984</v>
      </c>
      <c r="DHV18" t="s">
        <v>6984</v>
      </c>
      <c r="DHW18" t="s">
        <v>6984</v>
      </c>
      <c r="DHX18" t="s">
        <v>6984</v>
      </c>
      <c r="DHY18" t="s">
        <v>6984</v>
      </c>
      <c r="DHZ18" t="s">
        <v>6984</v>
      </c>
      <c r="DIA18" t="s">
        <v>6984</v>
      </c>
      <c r="DIB18" t="s">
        <v>6984</v>
      </c>
      <c r="DIC18" t="s">
        <v>6984</v>
      </c>
      <c r="DID18" t="s">
        <v>6984</v>
      </c>
      <c r="DIE18" t="s">
        <v>6984</v>
      </c>
      <c r="DIF18" t="s">
        <v>6984</v>
      </c>
      <c r="DIG18" t="s">
        <v>6984</v>
      </c>
      <c r="DIH18" t="s">
        <v>6984</v>
      </c>
      <c r="DII18" t="s">
        <v>6984</v>
      </c>
      <c r="DIJ18" t="s">
        <v>6984</v>
      </c>
      <c r="DIK18" t="s">
        <v>6984</v>
      </c>
      <c r="DIL18" t="s">
        <v>6984</v>
      </c>
      <c r="DIM18" t="s">
        <v>6984</v>
      </c>
      <c r="DIN18" t="s">
        <v>6984</v>
      </c>
      <c r="DIO18" t="s">
        <v>6984</v>
      </c>
      <c r="DIP18" t="s">
        <v>6984</v>
      </c>
      <c r="DIQ18" t="s">
        <v>6984</v>
      </c>
      <c r="DIR18" t="s">
        <v>6984</v>
      </c>
      <c r="DIS18" t="s">
        <v>6984</v>
      </c>
      <c r="DIT18" t="s">
        <v>6984</v>
      </c>
      <c r="DIU18" t="s">
        <v>6984</v>
      </c>
      <c r="DIV18" t="s">
        <v>6984</v>
      </c>
      <c r="DIW18" t="s">
        <v>6984</v>
      </c>
      <c r="DIX18" t="s">
        <v>6984</v>
      </c>
      <c r="DIY18" t="s">
        <v>6984</v>
      </c>
      <c r="DIZ18" t="s">
        <v>6984</v>
      </c>
      <c r="DJA18" t="s">
        <v>6984</v>
      </c>
      <c r="DJB18" t="s">
        <v>6984</v>
      </c>
      <c r="DJC18" t="s">
        <v>6984</v>
      </c>
      <c r="DJD18" t="s">
        <v>6984</v>
      </c>
      <c r="DJE18" t="s">
        <v>6984</v>
      </c>
      <c r="DJF18" t="s">
        <v>6984</v>
      </c>
      <c r="DJG18" t="s">
        <v>6984</v>
      </c>
      <c r="DJH18" t="s">
        <v>6984</v>
      </c>
      <c r="DJI18" t="s">
        <v>6984</v>
      </c>
      <c r="DJJ18" t="s">
        <v>6984</v>
      </c>
      <c r="DJK18" t="s">
        <v>6984</v>
      </c>
      <c r="DJL18" t="s">
        <v>6984</v>
      </c>
      <c r="DJM18" t="s">
        <v>6984</v>
      </c>
      <c r="DJN18" t="s">
        <v>6984</v>
      </c>
      <c r="DJO18" t="s">
        <v>6984</v>
      </c>
      <c r="DJP18" t="s">
        <v>6984</v>
      </c>
      <c r="DJQ18" t="s">
        <v>6984</v>
      </c>
      <c r="DJR18" t="s">
        <v>6984</v>
      </c>
      <c r="DJS18" t="s">
        <v>6984</v>
      </c>
      <c r="DJT18" t="s">
        <v>6984</v>
      </c>
      <c r="DJU18" t="s">
        <v>6984</v>
      </c>
      <c r="DJV18" t="s">
        <v>6984</v>
      </c>
      <c r="DJW18" t="s">
        <v>6984</v>
      </c>
      <c r="DJX18" t="s">
        <v>6984</v>
      </c>
      <c r="DJY18" t="s">
        <v>6984</v>
      </c>
      <c r="DJZ18" t="s">
        <v>6984</v>
      </c>
      <c r="DKA18" t="s">
        <v>6984</v>
      </c>
      <c r="DKB18" t="s">
        <v>6984</v>
      </c>
      <c r="DKC18" t="s">
        <v>6984</v>
      </c>
      <c r="DKD18" t="s">
        <v>6984</v>
      </c>
      <c r="DKE18" t="s">
        <v>6984</v>
      </c>
      <c r="DKF18" t="s">
        <v>6984</v>
      </c>
      <c r="DKG18" t="s">
        <v>6984</v>
      </c>
      <c r="DKH18" t="s">
        <v>6984</v>
      </c>
      <c r="DKI18" t="s">
        <v>6984</v>
      </c>
      <c r="DKJ18" t="s">
        <v>6984</v>
      </c>
      <c r="DKK18" t="s">
        <v>6984</v>
      </c>
      <c r="DKL18" t="s">
        <v>6984</v>
      </c>
      <c r="DKM18" t="s">
        <v>6984</v>
      </c>
      <c r="DKN18" t="s">
        <v>6984</v>
      </c>
      <c r="DKO18" t="s">
        <v>6984</v>
      </c>
      <c r="DKP18" t="s">
        <v>6984</v>
      </c>
      <c r="DKQ18" t="s">
        <v>6984</v>
      </c>
      <c r="DKR18" t="s">
        <v>6984</v>
      </c>
      <c r="DKS18" t="s">
        <v>6984</v>
      </c>
      <c r="DKT18" t="s">
        <v>6984</v>
      </c>
      <c r="DKU18" t="s">
        <v>6984</v>
      </c>
      <c r="DKV18" t="s">
        <v>6984</v>
      </c>
      <c r="DKW18" t="s">
        <v>6984</v>
      </c>
      <c r="DKX18" t="s">
        <v>6984</v>
      </c>
      <c r="DKY18" t="s">
        <v>6984</v>
      </c>
      <c r="DKZ18" t="s">
        <v>6984</v>
      </c>
      <c r="DLA18" t="s">
        <v>6984</v>
      </c>
      <c r="DLB18" t="s">
        <v>6984</v>
      </c>
      <c r="DLC18" t="s">
        <v>6984</v>
      </c>
      <c r="DLD18" t="s">
        <v>6984</v>
      </c>
      <c r="DLE18" t="s">
        <v>6984</v>
      </c>
      <c r="DLF18" t="s">
        <v>6984</v>
      </c>
      <c r="DLG18" t="s">
        <v>6984</v>
      </c>
      <c r="DLH18" t="s">
        <v>6984</v>
      </c>
      <c r="DLI18" t="s">
        <v>6984</v>
      </c>
      <c r="DLJ18" t="s">
        <v>6984</v>
      </c>
      <c r="DLK18" t="s">
        <v>6984</v>
      </c>
      <c r="DLL18" t="s">
        <v>6984</v>
      </c>
      <c r="DLM18" t="s">
        <v>6984</v>
      </c>
      <c r="DLN18" t="s">
        <v>6984</v>
      </c>
      <c r="DLO18" t="s">
        <v>6984</v>
      </c>
      <c r="DLP18" t="s">
        <v>6984</v>
      </c>
      <c r="DLQ18" t="s">
        <v>6984</v>
      </c>
      <c r="DLR18" t="s">
        <v>6984</v>
      </c>
      <c r="DLS18" t="s">
        <v>6984</v>
      </c>
      <c r="DLT18" t="s">
        <v>6984</v>
      </c>
      <c r="DLU18" t="s">
        <v>6984</v>
      </c>
      <c r="DLV18" t="s">
        <v>6984</v>
      </c>
      <c r="DLW18" t="s">
        <v>6984</v>
      </c>
      <c r="DLX18" t="s">
        <v>6984</v>
      </c>
      <c r="DLY18" t="s">
        <v>6984</v>
      </c>
      <c r="DLZ18" t="s">
        <v>6984</v>
      </c>
      <c r="DMA18" t="s">
        <v>6984</v>
      </c>
      <c r="DMB18" t="s">
        <v>6984</v>
      </c>
      <c r="DMC18" t="s">
        <v>6984</v>
      </c>
      <c r="DMD18" t="s">
        <v>6984</v>
      </c>
      <c r="DME18" t="s">
        <v>6984</v>
      </c>
      <c r="DMF18" t="s">
        <v>6984</v>
      </c>
      <c r="DMG18" t="s">
        <v>6984</v>
      </c>
      <c r="DMH18" t="s">
        <v>6984</v>
      </c>
      <c r="DMI18" t="s">
        <v>6984</v>
      </c>
      <c r="DMJ18" t="s">
        <v>6984</v>
      </c>
      <c r="DMK18" t="s">
        <v>6984</v>
      </c>
      <c r="DML18" t="s">
        <v>6984</v>
      </c>
      <c r="DMM18" t="s">
        <v>6984</v>
      </c>
      <c r="DMN18" t="s">
        <v>6984</v>
      </c>
      <c r="DMO18" t="s">
        <v>6984</v>
      </c>
      <c r="DMP18" t="s">
        <v>6984</v>
      </c>
      <c r="DMQ18" t="s">
        <v>6984</v>
      </c>
      <c r="DMR18" t="s">
        <v>6984</v>
      </c>
      <c r="DMS18" t="s">
        <v>6984</v>
      </c>
      <c r="DMT18" t="s">
        <v>6984</v>
      </c>
      <c r="DMU18" t="s">
        <v>6984</v>
      </c>
      <c r="DMV18" t="s">
        <v>6984</v>
      </c>
      <c r="DMW18" t="s">
        <v>6984</v>
      </c>
      <c r="DMX18" t="s">
        <v>6984</v>
      </c>
      <c r="DMY18" t="s">
        <v>6984</v>
      </c>
      <c r="DMZ18" t="s">
        <v>6984</v>
      </c>
      <c r="DNA18" t="s">
        <v>6984</v>
      </c>
      <c r="DNB18" t="s">
        <v>6984</v>
      </c>
      <c r="DNC18" t="s">
        <v>6984</v>
      </c>
      <c r="DND18" t="s">
        <v>6984</v>
      </c>
      <c r="DNE18" t="s">
        <v>6984</v>
      </c>
      <c r="DNF18" t="s">
        <v>6984</v>
      </c>
      <c r="DNG18" t="s">
        <v>6984</v>
      </c>
      <c r="DNH18" t="s">
        <v>6984</v>
      </c>
      <c r="DNI18" t="s">
        <v>6984</v>
      </c>
      <c r="DNJ18" t="s">
        <v>6984</v>
      </c>
      <c r="DNK18" t="s">
        <v>6984</v>
      </c>
      <c r="DNL18" t="s">
        <v>6984</v>
      </c>
      <c r="DNM18" t="s">
        <v>6984</v>
      </c>
      <c r="DNN18" t="s">
        <v>6984</v>
      </c>
      <c r="DNO18" t="s">
        <v>6984</v>
      </c>
      <c r="DNP18" t="s">
        <v>6984</v>
      </c>
      <c r="DNQ18" t="s">
        <v>6984</v>
      </c>
      <c r="DNR18" t="s">
        <v>6984</v>
      </c>
      <c r="DNS18" t="s">
        <v>6984</v>
      </c>
      <c r="DNT18" t="s">
        <v>6984</v>
      </c>
      <c r="DNU18" t="s">
        <v>6984</v>
      </c>
      <c r="DNV18" t="s">
        <v>6984</v>
      </c>
      <c r="DNW18" t="s">
        <v>6984</v>
      </c>
      <c r="DNX18" t="s">
        <v>6984</v>
      </c>
      <c r="DNY18" t="s">
        <v>6984</v>
      </c>
      <c r="DNZ18" t="s">
        <v>6984</v>
      </c>
      <c r="DOA18" t="s">
        <v>6984</v>
      </c>
      <c r="DOB18" t="s">
        <v>6984</v>
      </c>
      <c r="DOC18" t="s">
        <v>6984</v>
      </c>
      <c r="DOD18" t="s">
        <v>6984</v>
      </c>
      <c r="DOE18" t="s">
        <v>6984</v>
      </c>
      <c r="DOF18" t="s">
        <v>6984</v>
      </c>
      <c r="DOG18" t="s">
        <v>6984</v>
      </c>
      <c r="DOH18" t="s">
        <v>6984</v>
      </c>
      <c r="DOI18" t="s">
        <v>6984</v>
      </c>
      <c r="DOJ18" t="s">
        <v>6984</v>
      </c>
      <c r="DOK18" t="s">
        <v>6984</v>
      </c>
      <c r="DOL18" t="s">
        <v>6984</v>
      </c>
      <c r="DOM18" t="s">
        <v>6984</v>
      </c>
      <c r="DON18" t="s">
        <v>6984</v>
      </c>
      <c r="DOO18" t="s">
        <v>6984</v>
      </c>
      <c r="DOP18" t="s">
        <v>6984</v>
      </c>
      <c r="DOQ18" t="s">
        <v>6984</v>
      </c>
      <c r="DOR18" t="s">
        <v>6984</v>
      </c>
      <c r="DOS18" t="s">
        <v>6984</v>
      </c>
      <c r="DOT18" t="s">
        <v>6984</v>
      </c>
      <c r="DOU18" t="s">
        <v>6984</v>
      </c>
      <c r="DOV18" t="s">
        <v>6984</v>
      </c>
      <c r="DOW18" t="s">
        <v>6984</v>
      </c>
      <c r="DOX18" t="s">
        <v>6984</v>
      </c>
      <c r="DOY18" t="s">
        <v>6984</v>
      </c>
      <c r="DOZ18" t="s">
        <v>6984</v>
      </c>
      <c r="DPA18" t="s">
        <v>6984</v>
      </c>
      <c r="DPB18" t="s">
        <v>6984</v>
      </c>
      <c r="DPC18" t="s">
        <v>6984</v>
      </c>
      <c r="DPD18" t="s">
        <v>6984</v>
      </c>
      <c r="DPE18" t="s">
        <v>6984</v>
      </c>
      <c r="DPF18" t="s">
        <v>6984</v>
      </c>
      <c r="DPG18" t="s">
        <v>6984</v>
      </c>
      <c r="DPH18" t="s">
        <v>6984</v>
      </c>
      <c r="DPI18" t="s">
        <v>6984</v>
      </c>
      <c r="DPJ18" t="s">
        <v>6984</v>
      </c>
      <c r="DPK18" t="s">
        <v>6984</v>
      </c>
      <c r="DPL18" t="s">
        <v>6984</v>
      </c>
      <c r="DPM18" t="s">
        <v>6984</v>
      </c>
      <c r="DPN18" t="s">
        <v>6984</v>
      </c>
      <c r="DPO18" t="s">
        <v>6984</v>
      </c>
      <c r="DPP18" t="s">
        <v>6984</v>
      </c>
      <c r="DPQ18" t="s">
        <v>6984</v>
      </c>
      <c r="DPR18" t="s">
        <v>6984</v>
      </c>
      <c r="DPS18" t="s">
        <v>6984</v>
      </c>
      <c r="DPT18" t="s">
        <v>6984</v>
      </c>
      <c r="DPU18" t="s">
        <v>6984</v>
      </c>
      <c r="DPV18" t="s">
        <v>6984</v>
      </c>
      <c r="DPW18" t="s">
        <v>6984</v>
      </c>
      <c r="DPX18" t="s">
        <v>6984</v>
      </c>
      <c r="DPY18" t="s">
        <v>6984</v>
      </c>
      <c r="DPZ18" t="s">
        <v>6984</v>
      </c>
      <c r="DQA18" t="s">
        <v>6984</v>
      </c>
      <c r="DQB18" t="s">
        <v>6984</v>
      </c>
      <c r="DQC18" t="s">
        <v>6984</v>
      </c>
      <c r="DQD18" t="s">
        <v>6984</v>
      </c>
      <c r="DQE18" t="s">
        <v>6984</v>
      </c>
      <c r="DQF18" t="s">
        <v>6984</v>
      </c>
      <c r="DQG18" t="s">
        <v>6984</v>
      </c>
      <c r="DQH18" t="s">
        <v>6984</v>
      </c>
      <c r="DQI18" t="s">
        <v>6984</v>
      </c>
      <c r="DQJ18" t="s">
        <v>6984</v>
      </c>
      <c r="DQK18" t="s">
        <v>6984</v>
      </c>
      <c r="DQL18" t="s">
        <v>6984</v>
      </c>
      <c r="DQM18" t="s">
        <v>6984</v>
      </c>
      <c r="DQN18" t="s">
        <v>6984</v>
      </c>
      <c r="DQO18" t="s">
        <v>6984</v>
      </c>
      <c r="DQP18" t="s">
        <v>6984</v>
      </c>
      <c r="DQQ18" t="s">
        <v>6984</v>
      </c>
      <c r="DQR18" t="s">
        <v>6984</v>
      </c>
      <c r="DQS18" t="s">
        <v>6984</v>
      </c>
      <c r="DQT18" t="s">
        <v>6984</v>
      </c>
      <c r="DQU18" t="s">
        <v>6984</v>
      </c>
      <c r="DQV18" t="s">
        <v>6984</v>
      </c>
      <c r="DQW18" t="s">
        <v>6984</v>
      </c>
      <c r="DQX18" t="s">
        <v>6984</v>
      </c>
      <c r="DQY18" t="s">
        <v>6984</v>
      </c>
      <c r="DQZ18" t="s">
        <v>6984</v>
      </c>
      <c r="DRA18" t="s">
        <v>6984</v>
      </c>
      <c r="DRB18" t="s">
        <v>6984</v>
      </c>
      <c r="DRC18" t="s">
        <v>6984</v>
      </c>
      <c r="DRD18" t="s">
        <v>6984</v>
      </c>
      <c r="DRE18" t="s">
        <v>6984</v>
      </c>
      <c r="DRF18" t="s">
        <v>6984</v>
      </c>
      <c r="DRG18" t="s">
        <v>6984</v>
      </c>
      <c r="DRH18" t="s">
        <v>6984</v>
      </c>
      <c r="DRI18" t="s">
        <v>6984</v>
      </c>
      <c r="DRJ18" t="s">
        <v>6984</v>
      </c>
      <c r="DRK18" t="s">
        <v>6984</v>
      </c>
      <c r="DRL18" t="s">
        <v>6984</v>
      </c>
      <c r="DRM18" t="s">
        <v>6984</v>
      </c>
      <c r="DRN18" t="s">
        <v>6984</v>
      </c>
      <c r="DRO18" t="s">
        <v>6984</v>
      </c>
      <c r="DRP18" t="s">
        <v>6984</v>
      </c>
      <c r="DRQ18" t="s">
        <v>6984</v>
      </c>
      <c r="DRR18" t="s">
        <v>6984</v>
      </c>
      <c r="DRS18" t="s">
        <v>6984</v>
      </c>
      <c r="DRT18" t="s">
        <v>6984</v>
      </c>
      <c r="DRU18" t="s">
        <v>6984</v>
      </c>
      <c r="DRV18" t="s">
        <v>6984</v>
      </c>
      <c r="DRW18" t="s">
        <v>6984</v>
      </c>
      <c r="DRX18" t="s">
        <v>6984</v>
      </c>
      <c r="DRY18" t="s">
        <v>6984</v>
      </c>
      <c r="DRZ18" t="s">
        <v>6984</v>
      </c>
      <c r="DSA18" t="s">
        <v>6984</v>
      </c>
      <c r="DSB18" t="s">
        <v>6984</v>
      </c>
      <c r="DSC18" t="s">
        <v>6984</v>
      </c>
      <c r="DSD18" t="s">
        <v>6984</v>
      </c>
      <c r="DSE18" t="s">
        <v>6984</v>
      </c>
      <c r="DSF18" t="s">
        <v>6984</v>
      </c>
      <c r="DSG18" t="s">
        <v>6984</v>
      </c>
      <c r="DSH18" t="s">
        <v>6984</v>
      </c>
      <c r="DSI18" t="s">
        <v>6984</v>
      </c>
      <c r="DSJ18" t="s">
        <v>6984</v>
      </c>
      <c r="DSK18" t="s">
        <v>6984</v>
      </c>
      <c r="DSL18" t="s">
        <v>6984</v>
      </c>
      <c r="DSM18" t="s">
        <v>6984</v>
      </c>
      <c r="DSN18" t="s">
        <v>6984</v>
      </c>
      <c r="DSO18" t="s">
        <v>6984</v>
      </c>
      <c r="DSP18" t="s">
        <v>6984</v>
      </c>
      <c r="DSQ18" t="s">
        <v>6984</v>
      </c>
      <c r="DSR18" t="s">
        <v>6984</v>
      </c>
      <c r="DSS18" t="s">
        <v>6984</v>
      </c>
      <c r="DST18" t="s">
        <v>6984</v>
      </c>
      <c r="DSU18" t="s">
        <v>6984</v>
      </c>
      <c r="DSV18" t="s">
        <v>6984</v>
      </c>
      <c r="DSW18" t="s">
        <v>6984</v>
      </c>
      <c r="DSX18" t="s">
        <v>6984</v>
      </c>
      <c r="DSY18" t="s">
        <v>6984</v>
      </c>
      <c r="DSZ18" t="s">
        <v>6984</v>
      </c>
      <c r="DTA18" t="s">
        <v>6984</v>
      </c>
      <c r="DTB18" t="s">
        <v>6984</v>
      </c>
      <c r="DTC18" t="s">
        <v>6984</v>
      </c>
      <c r="DTD18" t="s">
        <v>6984</v>
      </c>
      <c r="DTE18" t="s">
        <v>6984</v>
      </c>
      <c r="DTF18" t="s">
        <v>6984</v>
      </c>
      <c r="DTG18" t="s">
        <v>6984</v>
      </c>
      <c r="DTH18" t="s">
        <v>6984</v>
      </c>
      <c r="DTI18" t="s">
        <v>6984</v>
      </c>
      <c r="DTJ18" t="s">
        <v>6984</v>
      </c>
      <c r="DTK18" t="s">
        <v>6984</v>
      </c>
      <c r="DTL18" t="s">
        <v>6984</v>
      </c>
      <c r="DTM18" t="s">
        <v>6984</v>
      </c>
      <c r="DTN18" t="s">
        <v>6984</v>
      </c>
      <c r="DTO18" t="s">
        <v>6984</v>
      </c>
      <c r="DTP18" t="s">
        <v>6984</v>
      </c>
      <c r="DTQ18" t="s">
        <v>6984</v>
      </c>
      <c r="DTR18" t="s">
        <v>6984</v>
      </c>
      <c r="DTS18" t="s">
        <v>6984</v>
      </c>
      <c r="DTT18" t="s">
        <v>6984</v>
      </c>
      <c r="DTU18" t="s">
        <v>6984</v>
      </c>
      <c r="DTV18" t="s">
        <v>6984</v>
      </c>
      <c r="DTW18" t="s">
        <v>6984</v>
      </c>
      <c r="DTX18" t="s">
        <v>6984</v>
      </c>
      <c r="DTY18" t="s">
        <v>6984</v>
      </c>
      <c r="DTZ18" t="s">
        <v>6984</v>
      </c>
      <c r="DUA18" t="s">
        <v>6984</v>
      </c>
      <c r="DUB18" t="s">
        <v>6984</v>
      </c>
      <c r="DUC18" t="s">
        <v>6984</v>
      </c>
      <c r="DUD18" t="s">
        <v>6984</v>
      </c>
      <c r="DUE18" t="s">
        <v>6984</v>
      </c>
      <c r="DUF18" t="s">
        <v>6984</v>
      </c>
      <c r="DUG18" t="s">
        <v>6984</v>
      </c>
      <c r="DUH18" t="s">
        <v>6984</v>
      </c>
      <c r="DUI18" t="s">
        <v>6984</v>
      </c>
      <c r="DUJ18" t="s">
        <v>6984</v>
      </c>
      <c r="DUK18" t="s">
        <v>6984</v>
      </c>
      <c r="DUL18" t="s">
        <v>6984</v>
      </c>
      <c r="DUM18" t="s">
        <v>6984</v>
      </c>
      <c r="DUN18" t="s">
        <v>6984</v>
      </c>
      <c r="DUO18" t="s">
        <v>6984</v>
      </c>
      <c r="DUP18" t="s">
        <v>6984</v>
      </c>
      <c r="DUQ18" t="s">
        <v>6984</v>
      </c>
      <c r="DUR18" t="s">
        <v>6984</v>
      </c>
      <c r="DUS18" t="s">
        <v>6984</v>
      </c>
      <c r="DUT18" t="s">
        <v>6984</v>
      </c>
      <c r="DUU18" t="s">
        <v>6984</v>
      </c>
      <c r="DUV18" t="s">
        <v>6984</v>
      </c>
      <c r="DUW18" t="s">
        <v>6984</v>
      </c>
      <c r="DUX18" t="s">
        <v>6984</v>
      </c>
      <c r="DUY18" t="s">
        <v>6984</v>
      </c>
      <c r="DUZ18" t="s">
        <v>6984</v>
      </c>
      <c r="DVA18" t="s">
        <v>6984</v>
      </c>
      <c r="DVB18" t="s">
        <v>6984</v>
      </c>
      <c r="DVC18" t="s">
        <v>6984</v>
      </c>
      <c r="DVD18" t="s">
        <v>6984</v>
      </c>
      <c r="DVE18" t="s">
        <v>6984</v>
      </c>
      <c r="DVF18" t="s">
        <v>6984</v>
      </c>
      <c r="DVG18" t="s">
        <v>6984</v>
      </c>
      <c r="DVH18" t="s">
        <v>6984</v>
      </c>
      <c r="DVI18" t="s">
        <v>6984</v>
      </c>
      <c r="DVJ18" t="s">
        <v>6984</v>
      </c>
      <c r="DVK18" t="s">
        <v>6984</v>
      </c>
      <c r="DVL18" t="s">
        <v>6984</v>
      </c>
      <c r="DVM18" t="s">
        <v>6984</v>
      </c>
      <c r="DVN18" t="s">
        <v>6984</v>
      </c>
      <c r="DVO18" t="s">
        <v>6984</v>
      </c>
      <c r="DVP18" t="s">
        <v>6984</v>
      </c>
      <c r="DVQ18" t="s">
        <v>6984</v>
      </c>
      <c r="DVR18" t="s">
        <v>6984</v>
      </c>
      <c r="DVS18" t="s">
        <v>6984</v>
      </c>
      <c r="DVT18" t="s">
        <v>6984</v>
      </c>
      <c r="DVU18" t="s">
        <v>6984</v>
      </c>
      <c r="DVV18" t="s">
        <v>6984</v>
      </c>
      <c r="DVW18" t="s">
        <v>6984</v>
      </c>
      <c r="DVX18" t="s">
        <v>6984</v>
      </c>
      <c r="DVY18" t="s">
        <v>6984</v>
      </c>
      <c r="DVZ18" t="s">
        <v>6984</v>
      </c>
      <c r="DWA18" t="s">
        <v>6984</v>
      </c>
      <c r="DWB18" t="s">
        <v>6984</v>
      </c>
      <c r="DWC18" t="s">
        <v>6984</v>
      </c>
      <c r="DWD18" t="s">
        <v>6984</v>
      </c>
      <c r="DWE18" t="s">
        <v>6984</v>
      </c>
      <c r="DWF18" t="s">
        <v>6984</v>
      </c>
      <c r="DWG18" t="s">
        <v>6984</v>
      </c>
      <c r="DWH18" t="s">
        <v>6984</v>
      </c>
      <c r="DWI18" t="s">
        <v>6984</v>
      </c>
      <c r="DWJ18" t="s">
        <v>6984</v>
      </c>
      <c r="DWK18" t="s">
        <v>6984</v>
      </c>
      <c r="DWL18" t="s">
        <v>6984</v>
      </c>
      <c r="DWM18" t="s">
        <v>6984</v>
      </c>
      <c r="DWN18" t="s">
        <v>6984</v>
      </c>
      <c r="DWO18" t="s">
        <v>6984</v>
      </c>
      <c r="DWP18" t="s">
        <v>6984</v>
      </c>
      <c r="DWQ18" t="s">
        <v>6984</v>
      </c>
      <c r="DWR18" t="s">
        <v>6984</v>
      </c>
      <c r="DWS18" t="s">
        <v>6984</v>
      </c>
      <c r="DWT18" t="s">
        <v>6984</v>
      </c>
      <c r="DWU18" t="s">
        <v>6984</v>
      </c>
      <c r="DWV18" t="s">
        <v>6984</v>
      </c>
      <c r="DWW18" t="s">
        <v>6984</v>
      </c>
      <c r="DWX18" t="s">
        <v>6984</v>
      </c>
      <c r="DWY18" t="s">
        <v>6984</v>
      </c>
      <c r="DWZ18" t="s">
        <v>6984</v>
      </c>
      <c r="DXA18" t="s">
        <v>6984</v>
      </c>
      <c r="DXB18" t="s">
        <v>6984</v>
      </c>
      <c r="DXC18" t="s">
        <v>6984</v>
      </c>
      <c r="DXD18" t="s">
        <v>6984</v>
      </c>
      <c r="DXE18" t="s">
        <v>6984</v>
      </c>
      <c r="DXF18" t="s">
        <v>6984</v>
      </c>
      <c r="DXG18" t="s">
        <v>6984</v>
      </c>
      <c r="DXH18" t="s">
        <v>6984</v>
      </c>
      <c r="DXI18" t="s">
        <v>6984</v>
      </c>
      <c r="DXJ18" t="s">
        <v>6984</v>
      </c>
      <c r="DXK18" t="s">
        <v>6984</v>
      </c>
      <c r="DXL18" t="s">
        <v>6984</v>
      </c>
      <c r="DXM18" t="s">
        <v>6984</v>
      </c>
      <c r="DXN18" t="s">
        <v>6984</v>
      </c>
      <c r="DXO18" t="s">
        <v>6984</v>
      </c>
      <c r="DXP18" t="s">
        <v>6984</v>
      </c>
      <c r="DXQ18" t="s">
        <v>6984</v>
      </c>
      <c r="DXR18" t="s">
        <v>6984</v>
      </c>
      <c r="DXS18" t="s">
        <v>6984</v>
      </c>
      <c r="DXT18" t="s">
        <v>6984</v>
      </c>
      <c r="DXU18" t="s">
        <v>6984</v>
      </c>
      <c r="DXV18" t="s">
        <v>6984</v>
      </c>
      <c r="DXW18" t="s">
        <v>6984</v>
      </c>
      <c r="DXX18" t="s">
        <v>6984</v>
      </c>
      <c r="DXY18" t="s">
        <v>6984</v>
      </c>
      <c r="DXZ18" t="s">
        <v>6984</v>
      </c>
      <c r="DYA18" t="s">
        <v>6984</v>
      </c>
      <c r="DYB18" t="s">
        <v>6984</v>
      </c>
      <c r="DYC18" t="s">
        <v>6984</v>
      </c>
      <c r="DYD18" t="s">
        <v>6984</v>
      </c>
      <c r="DYE18" t="s">
        <v>6984</v>
      </c>
      <c r="DYF18" t="s">
        <v>6984</v>
      </c>
      <c r="DYG18" t="s">
        <v>6984</v>
      </c>
      <c r="DYH18" t="s">
        <v>6984</v>
      </c>
      <c r="DYI18" t="s">
        <v>6984</v>
      </c>
      <c r="DYJ18" t="s">
        <v>6984</v>
      </c>
      <c r="DYK18" t="s">
        <v>6984</v>
      </c>
      <c r="DYL18" t="s">
        <v>6984</v>
      </c>
      <c r="DYM18" t="s">
        <v>6984</v>
      </c>
      <c r="DYN18" t="s">
        <v>6984</v>
      </c>
      <c r="DYO18" t="s">
        <v>6984</v>
      </c>
      <c r="DYP18" t="s">
        <v>6984</v>
      </c>
      <c r="DYQ18" t="s">
        <v>6984</v>
      </c>
      <c r="DYR18" t="s">
        <v>6984</v>
      </c>
      <c r="DYS18" t="s">
        <v>6984</v>
      </c>
      <c r="DYT18" t="s">
        <v>6984</v>
      </c>
      <c r="DYU18" t="s">
        <v>6984</v>
      </c>
      <c r="DYV18" t="s">
        <v>6984</v>
      </c>
      <c r="DYW18" t="s">
        <v>6984</v>
      </c>
      <c r="DYX18" t="s">
        <v>6984</v>
      </c>
      <c r="DYY18" t="s">
        <v>6984</v>
      </c>
      <c r="DYZ18" t="s">
        <v>6984</v>
      </c>
      <c r="DZA18" t="s">
        <v>6984</v>
      </c>
      <c r="DZB18" t="s">
        <v>6984</v>
      </c>
      <c r="DZC18" t="s">
        <v>6984</v>
      </c>
      <c r="DZD18" t="s">
        <v>6984</v>
      </c>
      <c r="DZE18" t="s">
        <v>6984</v>
      </c>
      <c r="DZF18" t="s">
        <v>6984</v>
      </c>
      <c r="DZG18" t="s">
        <v>6984</v>
      </c>
      <c r="DZH18" t="s">
        <v>6984</v>
      </c>
      <c r="DZI18" t="s">
        <v>6984</v>
      </c>
      <c r="DZJ18" t="s">
        <v>6984</v>
      </c>
      <c r="DZK18" t="s">
        <v>6984</v>
      </c>
      <c r="DZL18" t="s">
        <v>6984</v>
      </c>
      <c r="DZM18" t="s">
        <v>6984</v>
      </c>
      <c r="DZN18" t="s">
        <v>6984</v>
      </c>
      <c r="DZO18" t="s">
        <v>6984</v>
      </c>
      <c r="DZP18" t="s">
        <v>6984</v>
      </c>
      <c r="DZQ18" t="s">
        <v>6984</v>
      </c>
      <c r="DZR18" t="s">
        <v>6984</v>
      </c>
      <c r="DZS18" t="s">
        <v>6984</v>
      </c>
      <c r="DZT18" t="s">
        <v>6984</v>
      </c>
      <c r="DZU18" t="s">
        <v>6984</v>
      </c>
      <c r="DZV18" t="s">
        <v>6984</v>
      </c>
      <c r="DZW18" t="s">
        <v>6984</v>
      </c>
      <c r="DZX18" t="s">
        <v>6984</v>
      </c>
      <c r="DZY18" t="s">
        <v>6984</v>
      </c>
      <c r="DZZ18" t="s">
        <v>6984</v>
      </c>
      <c r="EAA18" t="s">
        <v>6984</v>
      </c>
      <c r="EAB18" t="s">
        <v>6984</v>
      </c>
      <c r="EAC18" t="s">
        <v>6984</v>
      </c>
      <c r="EAD18" t="s">
        <v>6984</v>
      </c>
      <c r="EAE18" t="s">
        <v>6984</v>
      </c>
      <c r="EAF18" t="s">
        <v>6984</v>
      </c>
      <c r="EAG18" t="s">
        <v>6984</v>
      </c>
      <c r="EAH18" t="s">
        <v>6984</v>
      </c>
      <c r="EAI18" t="s">
        <v>6984</v>
      </c>
      <c r="EAJ18" t="s">
        <v>6984</v>
      </c>
      <c r="EAK18" t="s">
        <v>6984</v>
      </c>
      <c r="EAL18" t="s">
        <v>6984</v>
      </c>
      <c r="EAM18" t="s">
        <v>6984</v>
      </c>
      <c r="EAN18" t="s">
        <v>6984</v>
      </c>
      <c r="EAO18" t="s">
        <v>6984</v>
      </c>
      <c r="EAP18" t="s">
        <v>6984</v>
      </c>
      <c r="EAQ18" t="s">
        <v>6984</v>
      </c>
      <c r="EAR18" t="s">
        <v>6984</v>
      </c>
      <c r="EAS18" t="s">
        <v>6984</v>
      </c>
      <c r="EAT18" t="s">
        <v>6984</v>
      </c>
      <c r="EAU18" t="s">
        <v>6984</v>
      </c>
      <c r="EAV18" t="s">
        <v>6984</v>
      </c>
      <c r="EAW18" t="s">
        <v>6984</v>
      </c>
      <c r="EAX18" t="s">
        <v>6984</v>
      </c>
      <c r="EAY18" t="s">
        <v>6984</v>
      </c>
      <c r="EAZ18" t="s">
        <v>6984</v>
      </c>
      <c r="EBA18" t="s">
        <v>6984</v>
      </c>
      <c r="EBB18" t="s">
        <v>6984</v>
      </c>
      <c r="EBC18" t="s">
        <v>6984</v>
      </c>
      <c r="EBD18" t="s">
        <v>6984</v>
      </c>
      <c r="EBE18" t="s">
        <v>6984</v>
      </c>
      <c r="EBF18" t="s">
        <v>6984</v>
      </c>
      <c r="EBG18" t="s">
        <v>6984</v>
      </c>
      <c r="EBH18" t="s">
        <v>6984</v>
      </c>
      <c r="EBI18" t="s">
        <v>6984</v>
      </c>
      <c r="EBJ18" t="s">
        <v>6984</v>
      </c>
      <c r="EBK18" t="s">
        <v>6984</v>
      </c>
      <c r="EBL18" t="s">
        <v>6984</v>
      </c>
      <c r="EBM18" t="s">
        <v>6984</v>
      </c>
      <c r="EBN18" t="s">
        <v>6984</v>
      </c>
      <c r="EBO18" t="s">
        <v>6984</v>
      </c>
      <c r="EBP18" t="s">
        <v>6984</v>
      </c>
      <c r="EBQ18" t="s">
        <v>6984</v>
      </c>
      <c r="EBR18" t="s">
        <v>6984</v>
      </c>
      <c r="EBS18" t="s">
        <v>6984</v>
      </c>
      <c r="EBT18" t="s">
        <v>6984</v>
      </c>
      <c r="EBU18" t="s">
        <v>6984</v>
      </c>
      <c r="EBV18" t="s">
        <v>6984</v>
      </c>
      <c r="EBW18" t="s">
        <v>6984</v>
      </c>
      <c r="EBX18" t="s">
        <v>6984</v>
      </c>
      <c r="EBY18" t="s">
        <v>6984</v>
      </c>
      <c r="EBZ18" t="s">
        <v>6984</v>
      </c>
      <c r="ECA18" t="s">
        <v>6984</v>
      </c>
      <c r="ECB18" t="s">
        <v>6984</v>
      </c>
      <c r="ECC18" t="s">
        <v>6984</v>
      </c>
      <c r="ECD18" t="s">
        <v>6984</v>
      </c>
      <c r="ECE18" t="s">
        <v>6984</v>
      </c>
      <c r="ECF18" t="s">
        <v>6984</v>
      </c>
      <c r="ECG18" t="s">
        <v>6984</v>
      </c>
      <c r="ECH18" t="s">
        <v>6984</v>
      </c>
      <c r="ECI18" t="s">
        <v>6984</v>
      </c>
      <c r="ECJ18" t="s">
        <v>6984</v>
      </c>
      <c r="ECK18" t="s">
        <v>6984</v>
      </c>
      <c r="ECL18" t="s">
        <v>6984</v>
      </c>
      <c r="ECM18" t="s">
        <v>6984</v>
      </c>
      <c r="ECN18" t="s">
        <v>6984</v>
      </c>
      <c r="ECO18" t="s">
        <v>6984</v>
      </c>
      <c r="ECP18" t="s">
        <v>6984</v>
      </c>
      <c r="ECQ18" t="s">
        <v>6984</v>
      </c>
      <c r="ECR18" t="s">
        <v>6984</v>
      </c>
      <c r="ECS18" t="s">
        <v>6984</v>
      </c>
      <c r="ECT18" t="s">
        <v>6984</v>
      </c>
      <c r="ECU18" t="s">
        <v>6984</v>
      </c>
      <c r="ECV18" t="s">
        <v>6984</v>
      </c>
      <c r="ECW18" t="s">
        <v>6984</v>
      </c>
      <c r="ECX18" t="s">
        <v>6984</v>
      </c>
      <c r="ECY18" t="s">
        <v>6984</v>
      </c>
      <c r="ECZ18" t="s">
        <v>6984</v>
      </c>
      <c r="EDA18" t="s">
        <v>6984</v>
      </c>
      <c r="EDB18" t="s">
        <v>6984</v>
      </c>
      <c r="EDC18" t="s">
        <v>6984</v>
      </c>
      <c r="EDD18" t="s">
        <v>6984</v>
      </c>
      <c r="EDE18" t="s">
        <v>6984</v>
      </c>
      <c r="EDF18" t="s">
        <v>6984</v>
      </c>
      <c r="EDG18" t="s">
        <v>6984</v>
      </c>
      <c r="EDH18" t="s">
        <v>6984</v>
      </c>
      <c r="EDI18" t="s">
        <v>6984</v>
      </c>
      <c r="EDJ18" t="s">
        <v>6984</v>
      </c>
      <c r="EDK18" t="s">
        <v>6984</v>
      </c>
      <c r="EDL18" t="s">
        <v>6984</v>
      </c>
      <c r="EDM18" t="s">
        <v>6984</v>
      </c>
      <c r="EDN18" t="s">
        <v>6984</v>
      </c>
      <c r="EDO18" t="s">
        <v>6984</v>
      </c>
      <c r="EDP18" t="s">
        <v>6984</v>
      </c>
      <c r="EDQ18" t="s">
        <v>6984</v>
      </c>
      <c r="EDR18" t="s">
        <v>6984</v>
      </c>
      <c r="EDS18" t="s">
        <v>6984</v>
      </c>
      <c r="EDT18" t="s">
        <v>6984</v>
      </c>
      <c r="EDU18" t="s">
        <v>6984</v>
      </c>
      <c r="EDV18" t="s">
        <v>6984</v>
      </c>
      <c r="EDW18" t="s">
        <v>6984</v>
      </c>
      <c r="EDX18" t="s">
        <v>6984</v>
      </c>
      <c r="EDY18" t="s">
        <v>6984</v>
      </c>
      <c r="EDZ18" t="s">
        <v>6984</v>
      </c>
      <c r="EEA18" t="s">
        <v>6984</v>
      </c>
      <c r="EEB18" t="s">
        <v>6984</v>
      </c>
      <c r="EEC18" t="s">
        <v>6984</v>
      </c>
      <c r="EED18" t="s">
        <v>6984</v>
      </c>
      <c r="EEE18" t="s">
        <v>6984</v>
      </c>
      <c r="EEF18" t="s">
        <v>6984</v>
      </c>
      <c r="EEG18" t="s">
        <v>6984</v>
      </c>
      <c r="EEH18" t="s">
        <v>6984</v>
      </c>
      <c r="EEI18" t="s">
        <v>6984</v>
      </c>
      <c r="EEJ18" t="s">
        <v>6984</v>
      </c>
      <c r="EEK18" t="s">
        <v>6984</v>
      </c>
      <c r="EEL18" t="s">
        <v>6984</v>
      </c>
      <c r="EEM18" t="s">
        <v>6984</v>
      </c>
      <c r="EEN18" t="s">
        <v>6984</v>
      </c>
      <c r="EEO18" t="s">
        <v>6984</v>
      </c>
      <c r="EEP18" t="s">
        <v>6984</v>
      </c>
      <c r="EEQ18" t="s">
        <v>6984</v>
      </c>
      <c r="EER18" t="s">
        <v>6984</v>
      </c>
      <c r="EES18" t="s">
        <v>6984</v>
      </c>
      <c r="EET18" t="s">
        <v>6984</v>
      </c>
      <c r="EEU18" t="s">
        <v>6984</v>
      </c>
      <c r="EEV18" t="s">
        <v>6984</v>
      </c>
      <c r="EEW18" t="s">
        <v>6984</v>
      </c>
      <c r="EEX18" t="s">
        <v>6984</v>
      </c>
      <c r="EEY18" t="s">
        <v>6984</v>
      </c>
      <c r="EEZ18" t="s">
        <v>6984</v>
      </c>
      <c r="EFA18" t="s">
        <v>6984</v>
      </c>
      <c r="EFB18" t="s">
        <v>6984</v>
      </c>
      <c r="EFC18" t="s">
        <v>6984</v>
      </c>
      <c r="EFD18" t="s">
        <v>6984</v>
      </c>
      <c r="EFE18" t="s">
        <v>6984</v>
      </c>
      <c r="EFF18" t="s">
        <v>6984</v>
      </c>
      <c r="EFG18" t="s">
        <v>6984</v>
      </c>
      <c r="EFH18" t="s">
        <v>6984</v>
      </c>
      <c r="EFI18" t="s">
        <v>6984</v>
      </c>
      <c r="EFJ18" t="s">
        <v>6984</v>
      </c>
      <c r="EFK18" t="s">
        <v>6984</v>
      </c>
      <c r="EFL18" t="s">
        <v>6984</v>
      </c>
      <c r="EFM18" t="s">
        <v>6984</v>
      </c>
      <c r="EFN18" t="s">
        <v>6984</v>
      </c>
      <c r="EFO18" t="s">
        <v>6984</v>
      </c>
      <c r="EFP18" t="s">
        <v>6984</v>
      </c>
      <c r="EFQ18" t="s">
        <v>6984</v>
      </c>
      <c r="EFR18" t="s">
        <v>6984</v>
      </c>
      <c r="EFS18" t="s">
        <v>6984</v>
      </c>
      <c r="EFT18" t="s">
        <v>6984</v>
      </c>
      <c r="EFU18" t="s">
        <v>6984</v>
      </c>
      <c r="EFV18" t="s">
        <v>6984</v>
      </c>
      <c r="EFW18" t="s">
        <v>6984</v>
      </c>
      <c r="EFX18" t="s">
        <v>6984</v>
      </c>
      <c r="EFY18" t="s">
        <v>6984</v>
      </c>
      <c r="EFZ18" t="s">
        <v>6984</v>
      </c>
      <c r="EGA18" t="s">
        <v>6984</v>
      </c>
      <c r="EGB18" t="s">
        <v>6984</v>
      </c>
      <c r="EGC18" t="s">
        <v>6984</v>
      </c>
      <c r="EGD18" t="s">
        <v>6984</v>
      </c>
      <c r="EGE18" t="s">
        <v>6984</v>
      </c>
      <c r="EGF18" t="s">
        <v>6984</v>
      </c>
      <c r="EGG18" t="s">
        <v>6984</v>
      </c>
      <c r="EGH18" t="s">
        <v>6984</v>
      </c>
      <c r="EGI18" t="s">
        <v>6984</v>
      </c>
      <c r="EGJ18" t="s">
        <v>6984</v>
      </c>
      <c r="EGK18" t="s">
        <v>6984</v>
      </c>
      <c r="EGL18" t="s">
        <v>6984</v>
      </c>
      <c r="EGM18" t="s">
        <v>6984</v>
      </c>
      <c r="EGN18" t="s">
        <v>6984</v>
      </c>
      <c r="EGO18" t="s">
        <v>6984</v>
      </c>
      <c r="EGP18" t="s">
        <v>6984</v>
      </c>
      <c r="EGQ18" t="s">
        <v>6984</v>
      </c>
      <c r="EGR18" t="s">
        <v>6984</v>
      </c>
      <c r="EGS18" t="s">
        <v>6984</v>
      </c>
      <c r="EGT18" t="s">
        <v>6984</v>
      </c>
      <c r="EGU18" t="s">
        <v>6984</v>
      </c>
      <c r="EGV18" t="s">
        <v>6984</v>
      </c>
      <c r="EGW18" t="s">
        <v>6984</v>
      </c>
      <c r="EGX18" t="s">
        <v>6984</v>
      </c>
      <c r="EGY18" t="s">
        <v>6984</v>
      </c>
      <c r="EGZ18" t="s">
        <v>6984</v>
      </c>
      <c r="EHA18" t="s">
        <v>6984</v>
      </c>
      <c r="EHB18" t="s">
        <v>6984</v>
      </c>
      <c r="EHC18" t="s">
        <v>6984</v>
      </c>
      <c r="EHD18" t="s">
        <v>6984</v>
      </c>
      <c r="EHE18" t="s">
        <v>6984</v>
      </c>
      <c r="EHF18" t="s">
        <v>6984</v>
      </c>
      <c r="EHG18" t="s">
        <v>6984</v>
      </c>
      <c r="EHH18" t="s">
        <v>6984</v>
      </c>
      <c r="EHI18" t="s">
        <v>6984</v>
      </c>
      <c r="EHJ18" t="s">
        <v>6984</v>
      </c>
      <c r="EHK18" t="s">
        <v>6984</v>
      </c>
      <c r="EHL18" t="s">
        <v>6984</v>
      </c>
      <c r="EHM18" t="s">
        <v>6984</v>
      </c>
      <c r="EHN18" t="s">
        <v>6984</v>
      </c>
      <c r="EHO18" t="s">
        <v>6984</v>
      </c>
      <c r="EHP18" t="s">
        <v>6984</v>
      </c>
      <c r="EHQ18" t="s">
        <v>6984</v>
      </c>
      <c r="EHR18" t="s">
        <v>6984</v>
      </c>
      <c r="EHS18" t="s">
        <v>6984</v>
      </c>
      <c r="EHT18" t="s">
        <v>6984</v>
      </c>
      <c r="EHU18" t="s">
        <v>6984</v>
      </c>
      <c r="EHV18" t="s">
        <v>6984</v>
      </c>
      <c r="EHW18" t="s">
        <v>6984</v>
      </c>
      <c r="EHX18" t="s">
        <v>6984</v>
      </c>
      <c r="EHY18" t="s">
        <v>6984</v>
      </c>
      <c r="EHZ18" t="s">
        <v>6984</v>
      </c>
      <c r="EIA18" t="s">
        <v>6984</v>
      </c>
      <c r="EIB18" t="s">
        <v>6984</v>
      </c>
      <c r="EIC18" t="s">
        <v>6984</v>
      </c>
      <c r="EID18" t="s">
        <v>6984</v>
      </c>
      <c r="EIE18" t="s">
        <v>6984</v>
      </c>
      <c r="EIF18" t="s">
        <v>6984</v>
      </c>
      <c r="EIG18" t="s">
        <v>6984</v>
      </c>
      <c r="EIH18" t="s">
        <v>6984</v>
      </c>
      <c r="EII18" t="s">
        <v>6984</v>
      </c>
      <c r="EIJ18" t="s">
        <v>6984</v>
      </c>
      <c r="EIK18" t="s">
        <v>6984</v>
      </c>
      <c r="EIL18" t="s">
        <v>6984</v>
      </c>
      <c r="EIM18" t="s">
        <v>6984</v>
      </c>
      <c r="EIN18" t="s">
        <v>6984</v>
      </c>
      <c r="EIO18" t="s">
        <v>6984</v>
      </c>
      <c r="EIP18" t="s">
        <v>6984</v>
      </c>
      <c r="EIQ18" t="s">
        <v>6984</v>
      </c>
      <c r="EIR18" t="s">
        <v>6984</v>
      </c>
      <c r="EIS18" t="s">
        <v>6984</v>
      </c>
      <c r="EIT18" t="s">
        <v>6984</v>
      </c>
      <c r="EIU18" t="s">
        <v>6984</v>
      </c>
      <c r="EIV18" t="s">
        <v>6984</v>
      </c>
      <c r="EIW18" t="s">
        <v>6984</v>
      </c>
      <c r="EIX18" t="s">
        <v>6984</v>
      </c>
      <c r="EIY18" t="s">
        <v>6984</v>
      </c>
      <c r="EIZ18" t="s">
        <v>6984</v>
      </c>
      <c r="EJA18" t="s">
        <v>6984</v>
      </c>
      <c r="EJB18" t="s">
        <v>6984</v>
      </c>
      <c r="EJC18" t="s">
        <v>6984</v>
      </c>
      <c r="EJD18" t="s">
        <v>6984</v>
      </c>
      <c r="EJE18" t="s">
        <v>6984</v>
      </c>
      <c r="EJF18" t="s">
        <v>6984</v>
      </c>
      <c r="EJG18" t="s">
        <v>6984</v>
      </c>
      <c r="EJH18" t="s">
        <v>6984</v>
      </c>
      <c r="EJI18" t="s">
        <v>6984</v>
      </c>
      <c r="EJJ18" t="s">
        <v>6984</v>
      </c>
      <c r="EJK18" t="s">
        <v>6984</v>
      </c>
      <c r="EJL18" t="s">
        <v>6984</v>
      </c>
      <c r="EJM18" t="s">
        <v>6984</v>
      </c>
      <c r="EJN18" t="s">
        <v>6984</v>
      </c>
      <c r="EJO18" t="s">
        <v>6984</v>
      </c>
      <c r="EJP18" t="s">
        <v>6984</v>
      </c>
      <c r="EJQ18" t="s">
        <v>6984</v>
      </c>
      <c r="EJR18" t="s">
        <v>6984</v>
      </c>
      <c r="EJS18" t="s">
        <v>6984</v>
      </c>
      <c r="EJT18" t="s">
        <v>6984</v>
      </c>
      <c r="EJU18" t="s">
        <v>6984</v>
      </c>
      <c r="EJV18" t="s">
        <v>6984</v>
      </c>
      <c r="EJW18" t="s">
        <v>6984</v>
      </c>
      <c r="EJX18" t="s">
        <v>6984</v>
      </c>
      <c r="EJY18" t="s">
        <v>6984</v>
      </c>
      <c r="EJZ18" t="s">
        <v>6984</v>
      </c>
      <c r="EKA18" t="s">
        <v>6984</v>
      </c>
      <c r="EKB18" t="s">
        <v>6984</v>
      </c>
      <c r="EKC18" t="s">
        <v>6984</v>
      </c>
      <c r="EKD18" t="s">
        <v>6984</v>
      </c>
      <c r="EKE18" t="s">
        <v>6984</v>
      </c>
      <c r="EKF18" t="s">
        <v>6984</v>
      </c>
      <c r="EKG18" t="s">
        <v>6984</v>
      </c>
      <c r="EKH18" t="s">
        <v>6984</v>
      </c>
      <c r="EKI18" t="s">
        <v>6984</v>
      </c>
      <c r="EKJ18" t="s">
        <v>6984</v>
      </c>
      <c r="EKK18" t="s">
        <v>6984</v>
      </c>
      <c r="EKL18" t="s">
        <v>6984</v>
      </c>
      <c r="EKM18" t="s">
        <v>6984</v>
      </c>
      <c r="EKN18" t="s">
        <v>6984</v>
      </c>
      <c r="EKO18" t="s">
        <v>6984</v>
      </c>
      <c r="EKP18" t="s">
        <v>6984</v>
      </c>
      <c r="EKQ18" t="s">
        <v>6984</v>
      </c>
      <c r="EKR18" t="s">
        <v>6984</v>
      </c>
      <c r="EKS18" t="s">
        <v>6984</v>
      </c>
      <c r="EKT18" t="s">
        <v>6984</v>
      </c>
      <c r="EKU18" t="s">
        <v>6984</v>
      </c>
      <c r="EKV18" t="s">
        <v>6984</v>
      </c>
      <c r="EKW18" t="s">
        <v>6984</v>
      </c>
      <c r="EKX18" t="s">
        <v>6984</v>
      </c>
      <c r="EKY18" t="s">
        <v>6984</v>
      </c>
      <c r="EKZ18" t="s">
        <v>6984</v>
      </c>
      <c r="ELA18" t="s">
        <v>6984</v>
      </c>
      <c r="ELB18" t="s">
        <v>6984</v>
      </c>
      <c r="ELC18" t="s">
        <v>6984</v>
      </c>
      <c r="ELD18" t="s">
        <v>6984</v>
      </c>
      <c r="ELE18" t="s">
        <v>6984</v>
      </c>
      <c r="ELF18" t="s">
        <v>6984</v>
      </c>
      <c r="ELG18" t="s">
        <v>6984</v>
      </c>
      <c r="ELH18" t="s">
        <v>6984</v>
      </c>
      <c r="ELI18" t="s">
        <v>6984</v>
      </c>
      <c r="ELJ18" t="s">
        <v>6984</v>
      </c>
      <c r="ELK18" t="s">
        <v>6984</v>
      </c>
      <c r="ELL18" t="s">
        <v>6984</v>
      </c>
      <c r="ELM18" t="s">
        <v>6984</v>
      </c>
      <c r="ELN18" t="s">
        <v>6984</v>
      </c>
      <c r="ELO18" t="s">
        <v>6984</v>
      </c>
      <c r="ELP18" t="s">
        <v>6984</v>
      </c>
      <c r="ELQ18" t="s">
        <v>6984</v>
      </c>
      <c r="ELR18" t="s">
        <v>6984</v>
      </c>
      <c r="ELS18" t="s">
        <v>6984</v>
      </c>
      <c r="ELT18" t="s">
        <v>6984</v>
      </c>
      <c r="ELU18" t="s">
        <v>6984</v>
      </c>
      <c r="ELV18" t="s">
        <v>6984</v>
      </c>
      <c r="ELW18" t="s">
        <v>6984</v>
      </c>
      <c r="ELX18" t="s">
        <v>6984</v>
      </c>
      <c r="ELY18" t="s">
        <v>6984</v>
      </c>
      <c r="ELZ18" t="s">
        <v>6984</v>
      </c>
      <c r="EMA18" t="s">
        <v>6984</v>
      </c>
      <c r="EMB18" t="s">
        <v>6984</v>
      </c>
      <c r="EMC18" t="s">
        <v>6984</v>
      </c>
      <c r="EMD18" t="s">
        <v>6984</v>
      </c>
      <c r="EME18" t="s">
        <v>6984</v>
      </c>
      <c r="EMF18" t="s">
        <v>6984</v>
      </c>
      <c r="EMG18" t="s">
        <v>6984</v>
      </c>
      <c r="EMH18" t="s">
        <v>6984</v>
      </c>
      <c r="EMI18" t="s">
        <v>6984</v>
      </c>
      <c r="EMJ18" t="s">
        <v>6984</v>
      </c>
      <c r="EMK18" t="s">
        <v>6984</v>
      </c>
      <c r="EML18" t="s">
        <v>6984</v>
      </c>
      <c r="EMM18" t="s">
        <v>6984</v>
      </c>
      <c r="EMN18" t="s">
        <v>6984</v>
      </c>
      <c r="EMO18" t="s">
        <v>6984</v>
      </c>
      <c r="EMP18" t="s">
        <v>6984</v>
      </c>
      <c r="EMQ18" t="s">
        <v>6984</v>
      </c>
      <c r="EMR18" t="s">
        <v>6984</v>
      </c>
      <c r="EMS18" t="s">
        <v>6984</v>
      </c>
      <c r="EMT18" t="s">
        <v>6984</v>
      </c>
      <c r="EMU18" t="s">
        <v>6984</v>
      </c>
      <c r="EMV18" t="s">
        <v>6984</v>
      </c>
      <c r="EMW18" t="s">
        <v>6984</v>
      </c>
      <c r="EMX18" t="s">
        <v>6984</v>
      </c>
      <c r="EMY18" t="s">
        <v>6984</v>
      </c>
      <c r="EMZ18" t="s">
        <v>6984</v>
      </c>
      <c r="ENA18" t="s">
        <v>6984</v>
      </c>
      <c r="ENB18" t="s">
        <v>6984</v>
      </c>
      <c r="ENC18" t="s">
        <v>6984</v>
      </c>
      <c r="END18" t="s">
        <v>6984</v>
      </c>
      <c r="ENE18" t="s">
        <v>6984</v>
      </c>
      <c r="ENF18" t="s">
        <v>6984</v>
      </c>
      <c r="ENG18" t="s">
        <v>6984</v>
      </c>
      <c r="ENH18" t="s">
        <v>6984</v>
      </c>
      <c r="ENI18" t="s">
        <v>6984</v>
      </c>
      <c r="ENJ18" t="s">
        <v>6984</v>
      </c>
      <c r="ENK18" t="s">
        <v>6984</v>
      </c>
      <c r="ENL18" t="s">
        <v>6984</v>
      </c>
      <c r="ENM18" t="s">
        <v>6984</v>
      </c>
      <c r="ENN18" t="s">
        <v>6984</v>
      </c>
      <c r="ENO18" t="s">
        <v>6984</v>
      </c>
      <c r="ENP18" t="s">
        <v>6984</v>
      </c>
      <c r="ENQ18" t="s">
        <v>6984</v>
      </c>
      <c r="ENR18" t="s">
        <v>6984</v>
      </c>
      <c r="ENS18" t="s">
        <v>6984</v>
      </c>
      <c r="ENT18" t="s">
        <v>6984</v>
      </c>
      <c r="ENU18" t="s">
        <v>6984</v>
      </c>
      <c r="ENV18" t="s">
        <v>6984</v>
      </c>
      <c r="ENW18" t="s">
        <v>6984</v>
      </c>
      <c r="ENX18" t="s">
        <v>6984</v>
      </c>
      <c r="ENY18" t="s">
        <v>6984</v>
      </c>
      <c r="ENZ18" t="s">
        <v>6984</v>
      </c>
      <c r="EOA18" t="s">
        <v>6984</v>
      </c>
      <c r="EOB18" t="s">
        <v>6984</v>
      </c>
      <c r="EOC18" t="s">
        <v>6984</v>
      </c>
      <c r="EOD18" t="s">
        <v>6984</v>
      </c>
      <c r="EOE18" t="s">
        <v>6984</v>
      </c>
      <c r="EOF18" t="s">
        <v>6984</v>
      </c>
      <c r="EOG18" t="s">
        <v>6984</v>
      </c>
      <c r="EOH18" t="s">
        <v>6984</v>
      </c>
      <c r="EOI18" t="s">
        <v>6984</v>
      </c>
      <c r="EOJ18" t="s">
        <v>6984</v>
      </c>
      <c r="EOK18" t="s">
        <v>6984</v>
      </c>
      <c r="EOL18" t="s">
        <v>6984</v>
      </c>
      <c r="EOM18" t="s">
        <v>6984</v>
      </c>
      <c r="EON18" t="s">
        <v>6984</v>
      </c>
      <c r="EOO18" t="s">
        <v>6984</v>
      </c>
      <c r="EOP18" t="s">
        <v>6984</v>
      </c>
      <c r="EOQ18" t="s">
        <v>6984</v>
      </c>
      <c r="EOR18" t="s">
        <v>6984</v>
      </c>
      <c r="EOS18" t="s">
        <v>6984</v>
      </c>
      <c r="EOT18" t="s">
        <v>6984</v>
      </c>
      <c r="EOU18" t="s">
        <v>6984</v>
      </c>
      <c r="EOV18" t="s">
        <v>6984</v>
      </c>
      <c r="EOW18" t="s">
        <v>6984</v>
      </c>
      <c r="EOX18" t="s">
        <v>6984</v>
      </c>
      <c r="EOY18" t="s">
        <v>6984</v>
      </c>
      <c r="EOZ18" t="s">
        <v>6984</v>
      </c>
      <c r="EPA18" t="s">
        <v>6984</v>
      </c>
      <c r="EPB18" t="s">
        <v>6984</v>
      </c>
      <c r="EPC18" t="s">
        <v>6984</v>
      </c>
      <c r="EPD18" t="s">
        <v>6984</v>
      </c>
      <c r="EPE18" t="s">
        <v>6984</v>
      </c>
      <c r="EPF18" t="s">
        <v>6984</v>
      </c>
      <c r="EPG18" t="s">
        <v>6984</v>
      </c>
      <c r="EPH18" t="s">
        <v>6984</v>
      </c>
      <c r="EPI18" t="s">
        <v>6984</v>
      </c>
      <c r="EPJ18" t="s">
        <v>6984</v>
      </c>
      <c r="EPK18" t="s">
        <v>6984</v>
      </c>
      <c r="EPL18" t="s">
        <v>6984</v>
      </c>
      <c r="EPM18" t="s">
        <v>6984</v>
      </c>
      <c r="EPN18" t="s">
        <v>6984</v>
      </c>
      <c r="EPO18" t="s">
        <v>6984</v>
      </c>
      <c r="EPP18" t="s">
        <v>6984</v>
      </c>
      <c r="EPQ18" t="s">
        <v>6984</v>
      </c>
      <c r="EPR18" t="s">
        <v>6984</v>
      </c>
      <c r="EPS18" t="s">
        <v>6984</v>
      </c>
      <c r="EPT18" t="s">
        <v>6984</v>
      </c>
      <c r="EPU18" t="s">
        <v>6984</v>
      </c>
      <c r="EPV18" t="s">
        <v>6984</v>
      </c>
      <c r="EPW18" t="s">
        <v>6984</v>
      </c>
      <c r="EPX18" t="s">
        <v>6984</v>
      </c>
      <c r="EPY18" t="s">
        <v>6984</v>
      </c>
      <c r="EPZ18" t="s">
        <v>6984</v>
      </c>
      <c r="EQA18" t="s">
        <v>6984</v>
      </c>
      <c r="EQB18" t="s">
        <v>6984</v>
      </c>
      <c r="EQC18" t="s">
        <v>6984</v>
      </c>
      <c r="EQD18" t="s">
        <v>6984</v>
      </c>
      <c r="EQE18" t="s">
        <v>6984</v>
      </c>
      <c r="EQF18" t="s">
        <v>6984</v>
      </c>
      <c r="EQG18" t="s">
        <v>6984</v>
      </c>
      <c r="EQH18" t="s">
        <v>6984</v>
      </c>
      <c r="EQI18" t="s">
        <v>6984</v>
      </c>
      <c r="EQJ18" t="s">
        <v>6984</v>
      </c>
      <c r="EQK18" t="s">
        <v>6984</v>
      </c>
      <c r="EQL18" t="s">
        <v>6984</v>
      </c>
      <c r="EQM18" t="s">
        <v>6984</v>
      </c>
      <c r="EQN18" t="s">
        <v>6984</v>
      </c>
      <c r="EQO18" t="s">
        <v>6984</v>
      </c>
      <c r="EQP18" t="s">
        <v>6984</v>
      </c>
      <c r="EQQ18" t="s">
        <v>6984</v>
      </c>
      <c r="EQR18" t="s">
        <v>6984</v>
      </c>
      <c r="EQS18" t="s">
        <v>6984</v>
      </c>
      <c r="EQT18" t="s">
        <v>6984</v>
      </c>
      <c r="EQU18" t="s">
        <v>6984</v>
      </c>
      <c r="EQV18" t="s">
        <v>6984</v>
      </c>
      <c r="EQW18" t="s">
        <v>6984</v>
      </c>
      <c r="EQX18" t="s">
        <v>6984</v>
      </c>
      <c r="EQY18" t="s">
        <v>6984</v>
      </c>
      <c r="EQZ18" t="s">
        <v>6984</v>
      </c>
      <c r="ERA18" t="s">
        <v>6984</v>
      </c>
      <c r="ERB18" t="s">
        <v>6984</v>
      </c>
      <c r="ERC18" t="s">
        <v>6984</v>
      </c>
      <c r="ERD18" t="s">
        <v>6984</v>
      </c>
      <c r="ERE18" t="s">
        <v>6984</v>
      </c>
      <c r="ERF18" t="s">
        <v>6984</v>
      </c>
      <c r="ERG18" t="s">
        <v>6984</v>
      </c>
      <c r="ERH18" t="s">
        <v>6984</v>
      </c>
      <c r="ERI18" t="s">
        <v>6984</v>
      </c>
      <c r="ERJ18" t="s">
        <v>6984</v>
      </c>
      <c r="ERK18" t="s">
        <v>6984</v>
      </c>
      <c r="ERL18" t="s">
        <v>6984</v>
      </c>
      <c r="ERM18" t="s">
        <v>6984</v>
      </c>
      <c r="ERN18" t="s">
        <v>6984</v>
      </c>
      <c r="ERO18" t="s">
        <v>6984</v>
      </c>
      <c r="ERP18" t="s">
        <v>6984</v>
      </c>
      <c r="ERQ18" t="s">
        <v>6984</v>
      </c>
      <c r="ERR18" t="s">
        <v>6984</v>
      </c>
      <c r="ERS18" t="s">
        <v>6984</v>
      </c>
      <c r="ERT18" t="s">
        <v>6984</v>
      </c>
      <c r="ERU18" t="s">
        <v>6984</v>
      </c>
      <c r="ERV18" t="s">
        <v>6984</v>
      </c>
      <c r="ERW18" t="s">
        <v>6984</v>
      </c>
      <c r="ERX18" t="s">
        <v>6984</v>
      </c>
      <c r="ERY18" t="s">
        <v>6984</v>
      </c>
      <c r="ERZ18" t="s">
        <v>6984</v>
      </c>
      <c r="ESA18" t="s">
        <v>6984</v>
      </c>
      <c r="ESB18" t="s">
        <v>6984</v>
      </c>
      <c r="ESC18" t="s">
        <v>6984</v>
      </c>
      <c r="ESD18" t="s">
        <v>6984</v>
      </c>
      <c r="ESE18" t="s">
        <v>6984</v>
      </c>
      <c r="ESF18" t="s">
        <v>6984</v>
      </c>
      <c r="ESG18" t="s">
        <v>6984</v>
      </c>
      <c r="ESH18" t="s">
        <v>6984</v>
      </c>
      <c r="ESI18" t="s">
        <v>6984</v>
      </c>
      <c r="ESJ18" t="s">
        <v>6984</v>
      </c>
      <c r="ESK18" t="s">
        <v>6984</v>
      </c>
      <c r="ESL18" t="s">
        <v>6984</v>
      </c>
      <c r="ESM18" t="s">
        <v>6984</v>
      </c>
      <c r="ESN18" t="s">
        <v>6984</v>
      </c>
      <c r="ESO18" t="s">
        <v>6984</v>
      </c>
      <c r="ESP18" t="s">
        <v>6984</v>
      </c>
      <c r="ESQ18" t="s">
        <v>6984</v>
      </c>
      <c r="ESR18" t="s">
        <v>6984</v>
      </c>
      <c r="ESS18" t="s">
        <v>6984</v>
      </c>
      <c r="EST18" t="s">
        <v>6984</v>
      </c>
      <c r="ESU18" t="s">
        <v>6984</v>
      </c>
      <c r="ESV18" t="s">
        <v>6984</v>
      </c>
      <c r="ESW18" t="s">
        <v>6984</v>
      </c>
      <c r="ESX18" t="s">
        <v>6984</v>
      </c>
      <c r="ESY18" t="s">
        <v>6984</v>
      </c>
      <c r="ESZ18" t="s">
        <v>6984</v>
      </c>
      <c r="ETA18" t="s">
        <v>6984</v>
      </c>
      <c r="ETB18" t="s">
        <v>6984</v>
      </c>
      <c r="ETC18" t="s">
        <v>6984</v>
      </c>
      <c r="ETD18" t="s">
        <v>6984</v>
      </c>
      <c r="ETE18" t="s">
        <v>6984</v>
      </c>
      <c r="ETF18" t="s">
        <v>6984</v>
      </c>
      <c r="ETG18" t="s">
        <v>6984</v>
      </c>
      <c r="ETH18" t="s">
        <v>6984</v>
      </c>
      <c r="ETI18" t="s">
        <v>6984</v>
      </c>
      <c r="ETJ18" t="s">
        <v>6984</v>
      </c>
      <c r="ETK18" t="s">
        <v>6984</v>
      </c>
      <c r="ETL18" t="s">
        <v>6984</v>
      </c>
      <c r="ETM18" t="s">
        <v>6984</v>
      </c>
      <c r="ETN18" t="s">
        <v>6984</v>
      </c>
      <c r="ETO18" t="s">
        <v>6984</v>
      </c>
      <c r="ETP18" t="s">
        <v>6984</v>
      </c>
      <c r="ETQ18" t="s">
        <v>6984</v>
      </c>
      <c r="ETR18" t="s">
        <v>6984</v>
      </c>
      <c r="ETS18" t="s">
        <v>6984</v>
      </c>
      <c r="ETT18" t="s">
        <v>6984</v>
      </c>
      <c r="ETU18" t="s">
        <v>6984</v>
      </c>
      <c r="ETV18" t="s">
        <v>6984</v>
      </c>
      <c r="ETW18" t="s">
        <v>6984</v>
      </c>
      <c r="ETX18" t="s">
        <v>6984</v>
      </c>
      <c r="ETY18" t="s">
        <v>6984</v>
      </c>
      <c r="ETZ18" t="s">
        <v>6984</v>
      </c>
      <c r="EUA18" t="s">
        <v>6984</v>
      </c>
      <c r="EUB18" t="s">
        <v>6984</v>
      </c>
      <c r="EUC18" t="s">
        <v>6984</v>
      </c>
      <c r="EUD18" t="s">
        <v>6984</v>
      </c>
      <c r="EUE18" t="s">
        <v>6984</v>
      </c>
      <c r="EUF18" t="s">
        <v>6984</v>
      </c>
      <c r="EUG18" t="s">
        <v>6984</v>
      </c>
      <c r="EUH18" t="s">
        <v>6984</v>
      </c>
      <c r="EUI18" t="s">
        <v>6984</v>
      </c>
      <c r="EUJ18" t="s">
        <v>6984</v>
      </c>
      <c r="EUK18" t="s">
        <v>6984</v>
      </c>
      <c r="EUL18" t="s">
        <v>6984</v>
      </c>
      <c r="EUM18" t="s">
        <v>6984</v>
      </c>
      <c r="EUN18" t="s">
        <v>6984</v>
      </c>
      <c r="EUO18" t="s">
        <v>6984</v>
      </c>
      <c r="EUP18" t="s">
        <v>6984</v>
      </c>
      <c r="EUQ18" t="s">
        <v>6984</v>
      </c>
      <c r="EUR18" t="s">
        <v>6984</v>
      </c>
      <c r="EUS18" t="s">
        <v>6984</v>
      </c>
      <c r="EUT18" t="s">
        <v>6984</v>
      </c>
      <c r="EUU18" t="s">
        <v>6984</v>
      </c>
      <c r="EUV18" t="s">
        <v>6984</v>
      </c>
      <c r="EUW18" t="s">
        <v>6984</v>
      </c>
      <c r="EUX18" t="s">
        <v>6984</v>
      </c>
      <c r="EUY18" t="s">
        <v>6984</v>
      </c>
      <c r="EUZ18" t="s">
        <v>6984</v>
      </c>
      <c r="EVA18" t="s">
        <v>6984</v>
      </c>
      <c r="EVB18" t="s">
        <v>6984</v>
      </c>
      <c r="EVC18" t="s">
        <v>6984</v>
      </c>
      <c r="EVD18" t="s">
        <v>6984</v>
      </c>
      <c r="EVE18" t="s">
        <v>6984</v>
      </c>
      <c r="EVF18" t="s">
        <v>6984</v>
      </c>
      <c r="EVG18" t="s">
        <v>6984</v>
      </c>
      <c r="EVH18" t="s">
        <v>6984</v>
      </c>
      <c r="EVI18" t="s">
        <v>6984</v>
      </c>
      <c r="EVJ18" t="s">
        <v>6984</v>
      </c>
      <c r="EVK18" t="s">
        <v>6984</v>
      </c>
      <c r="EVL18" t="s">
        <v>6984</v>
      </c>
      <c r="EVM18" t="s">
        <v>6984</v>
      </c>
      <c r="EVN18" t="s">
        <v>6984</v>
      </c>
      <c r="EVO18" t="s">
        <v>6984</v>
      </c>
      <c r="EVP18" t="s">
        <v>6984</v>
      </c>
      <c r="EVQ18" t="s">
        <v>6984</v>
      </c>
      <c r="EVR18" t="s">
        <v>6984</v>
      </c>
      <c r="EVS18" t="s">
        <v>6984</v>
      </c>
      <c r="EVT18" t="s">
        <v>6984</v>
      </c>
      <c r="EVU18" t="s">
        <v>6984</v>
      </c>
      <c r="EVV18" t="s">
        <v>6984</v>
      </c>
      <c r="EVW18" t="s">
        <v>6984</v>
      </c>
      <c r="EVX18" t="s">
        <v>6984</v>
      </c>
      <c r="EVY18" t="s">
        <v>6984</v>
      </c>
      <c r="EVZ18" t="s">
        <v>6984</v>
      </c>
      <c r="EWA18" t="s">
        <v>6984</v>
      </c>
      <c r="EWB18" t="s">
        <v>6984</v>
      </c>
      <c r="EWC18" t="s">
        <v>6984</v>
      </c>
      <c r="EWD18" t="s">
        <v>6984</v>
      </c>
      <c r="EWE18" t="s">
        <v>6984</v>
      </c>
      <c r="EWF18" t="s">
        <v>6984</v>
      </c>
      <c r="EWG18" t="s">
        <v>6984</v>
      </c>
      <c r="EWH18" t="s">
        <v>6984</v>
      </c>
      <c r="EWI18" t="s">
        <v>6984</v>
      </c>
      <c r="EWJ18" t="s">
        <v>6984</v>
      </c>
      <c r="EWK18" t="s">
        <v>6984</v>
      </c>
      <c r="EWL18" t="s">
        <v>6984</v>
      </c>
      <c r="EWM18" t="s">
        <v>6984</v>
      </c>
      <c r="EWN18" t="s">
        <v>6984</v>
      </c>
      <c r="EWO18" t="s">
        <v>6984</v>
      </c>
      <c r="EWP18" t="s">
        <v>6984</v>
      </c>
      <c r="EWQ18" t="s">
        <v>6984</v>
      </c>
      <c r="EWR18" t="s">
        <v>6984</v>
      </c>
      <c r="EWS18" t="s">
        <v>6984</v>
      </c>
      <c r="EWT18" t="s">
        <v>6984</v>
      </c>
      <c r="EWU18" t="s">
        <v>6984</v>
      </c>
      <c r="EWV18" t="s">
        <v>6984</v>
      </c>
      <c r="EWW18" t="s">
        <v>6984</v>
      </c>
      <c r="EWX18" t="s">
        <v>6984</v>
      </c>
      <c r="EWY18" t="s">
        <v>6984</v>
      </c>
      <c r="EWZ18" t="s">
        <v>6984</v>
      </c>
      <c r="EXA18" t="s">
        <v>6984</v>
      </c>
      <c r="EXB18" t="s">
        <v>6984</v>
      </c>
      <c r="EXC18" t="s">
        <v>6984</v>
      </c>
      <c r="EXD18" t="s">
        <v>6984</v>
      </c>
      <c r="EXE18" t="s">
        <v>6984</v>
      </c>
      <c r="EXF18" t="s">
        <v>6984</v>
      </c>
      <c r="EXG18" t="s">
        <v>6984</v>
      </c>
      <c r="EXH18" t="s">
        <v>6984</v>
      </c>
      <c r="EXI18" t="s">
        <v>6984</v>
      </c>
      <c r="EXJ18" t="s">
        <v>6984</v>
      </c>
      <c r="EXK18" t="s">
        <v>6984</v>
      </c>
      <c r="EXL18" t="s">
        <v>6984</v>
      </c>
      <c r="EXM18" t="s">
        <v>6984</v>
      </c>
      <c r="EXN18" t="s">
        <v>6984</v>
      </c>
      <c r="EXO18" t="s">
        <v>6984</v>
      </c>
      <c r="EXP18" t="s">
        <v>6984</v>
      </c>
      <c r="EXQ18" t="s">
        <v>6984</v>
      </c>
      <c r="EXR18" t="s">
        <v>6984</v>
      </c>
      <c r="EXS18" t="s">
        <v>6984</v>
      </c>
      <c r="EXT18" t="s">
        <v>6984</v>
      </c>
      <c r="EXU18" t="s">
        <v>6984</v>
      </c>
      <c r="EXV18" t="s">
        <v>6984</v>
      </c>
      <c r="EXW18" t="s">
        <v>6984</v>
      </c>
      <c r="EXX18" t="s">
        <v>6984</v>
      </c>
      <c r="EXY18" t="s">
        <v>6984</v>
      </c>
      <c r="EXZ18" t="s">
        <v>6984</v>
      </c>
      <c r="EYA18" t="s">
        <v>6984</v>
      </c>
      <c r="EYB18" t="s">
        <v>6984</v>
      </c>
      <c r="EYC18" t="s">
        <v>6984</v>
      </c>
      <c r="EYD18" t="s">
        <v>6984</v>
      </c>
      <c r="EYE18" t="s">
        <v>6984</v>
      </c>
      <c r="EYF18" t="s">
        <v>6984</v>
      </c>
      <c r="EYG18" t="s">
        <v>6984</v>
      </c>
      <c r="EYH18" t="s">
        <v>6984</v>
      </c>
      <c r="EYI18" t="s">
        <v>6984</v>
      </c>
      <c r="EYJ18" t="s">
        <v>6984</v>
      </c>
      <c r="EYK18" t="s">
        <v>6984</v>
      </c>
      <c r="EYL18" t="s">
        <v>6984</v>
      </c>
      <c r="EYM18" t="s">
        <v>6984</v>
      </c>
      <c r="EYN18" t="s">
        <v>6984</v>
      </c>
      <c r="EYO18" t="s">
        <v>6984</v>
      </c>
      <c r="EYP18" t="s">
        <v>6984</v>
      </c>
      <c r="EYQ18" t="s">
        <v>6984</v>
      </c>
      <c r="EYR18" t="s">
        <v>6984</v>
      </c>
      <c r="EYS18" t="s">
        <v>6984</v>
      </c>
      <c r="EYT18" t="s">
        <v>6984</v>
      </c>
      <c r="EYU18" t="s">
        <v>6984</v>
      </c>
      <c r="EYV18" t="s">
        <v>6984</v>
      </c>
      <c r="EYW18" t="s">
        <v>6984</v>
      </c>
      <c r="EYX18" t="s">
        <v>6984</v>
      </c>
      <c r="EYY18" t="s">
        <v>6984</v>
      </c>
      <c r="EYZ18" t="s">
        <v>6984</v>
      </c>
      <c r="EZA18" t="s">
        <v>6984</v>
      </c>
      <c r="EZB18" t="s">
        <v>6984</v>
      </c>
      <c r="EZC18" t="s">
        <v>6984</v>
      </c>
      <c r="EZD18" t="s">
        <v>6984</v>
      </c>
      <c r="EZE18" t="s">
        <v>6984</v>
      </c>
      <c r="EZF18" t="s">
        <v>6984</v>
      </c>
      <c r="EZG18" t="s">
        <v>6984</v>
      </c>
      <c r="EZH18" t="s">
        <v>6984</v>
      </c>
      <c r="EZI18" t="s">
        <v>6984</v>
      </c>
      <c r="EZJ18" t="s">
        <v>6984</v>
      </c>
      <c r="EZK18" t="s">
        <v>6984</v>
      </c>
      <c r="EZL18" t="s">
        <v>6984</v>
      </c>
      <c r="EZM18" t="s">
        <v>6984</v>
      </c>
      <c r="EZN18" t="s">
        <v>6984</v>
      </c>
      <c r="EZO18" t="s">
        <v>6984</v>
      </c>
      <c r="EZP18" t="s">
        <v>6984</v>
      </c>
      <c r="EZQ18" t="s">
        <v>6984</v>
      </c>
      <c r="EZR18" t="s">
        <v>6984</v>
      </c>
      <c r="EZS18" t="s">
        <v>6984</v>
      </c>
      <c r="EZT18" t="s">
        <v>6984</v>
      </c>
      <c r="EZU18" t="s">
        <v>6984</v>
      </c>
      <c r="EZV18" t="s">
        <v>6984</v>
      </c>
      <c r="EZW18" t="s">
        <v>6984</v>
      </c>
      <c r="EZX18" t="s">
        <v>6984</v>
      </c>
      <c r="EZY18" t="s">
        <v>6984</v>
      </c>
      <c r="EZZ18" t="s">
        <v>6984</v>
      </c>
      <c r="FAA18" t="s">
        <v>6984</v>
      </c>
      <c r="FAB18" t="s">
        <v>6984</v>
      </c>
      <c r="FAC18" t="s">
        <v>6984</v>
      </c>
      <c r="FAD18" t="s">
        <v>6984</v>
      </c>
      <c r="FAE18" t="s">
        <v>6984</v>
      </c>
      <c r="FAF18" t="s">
        <v>6984</v>
      </c>
      <c r="FAG18" t="s">
        <v>6984</v>
      </c>
      <c r="FAH18" t="s">
        <v>6984</v>
      </c>
      <c r="FAI18" t="s">
        <v>6984</v>
      </c>
      <c r="FAJ18" t="s">
        <v>6984</v>
      </c>
      <c r="FAK18" t="s">
        <v>6984</v>
      </c>
      <c r="FAL18" t="s">
        <v>6984</v>
      </c>
      <c r="FAM18" t="s">
        <v>6984</v>
      </c>
      <c r="FAN18" t="s">
        <v>6984</v>
      </c>
      <c r="FAO18" t="s">
        <v>6984</v>
      </c>
      <c r="FAP18" t="s">
        <v>6984</v>
      </c>
      <c r="FAQ18" t="s">
        <v>6984</v>
      </c>
      <c r="FAR18" t="s">
        <v>6984</v>
      </c>
      <c r="FAS18" t="s">
        <v>6984</v>
      </c>
      <c r="FAT18" t="s">
        <v>6984</v>
      </c>
      <c r="FAU18" t="s">
        <v>6984</v>
      </c>
      <c r="FAV18" t="s">
        <v>6984</v>
      </c>
      <c r="FAW18" t="s">
        <v>6984</v>
      </c>
      <c r="FAX18" t="s">
        <v>6984</v>
      </c>
      <c r="FAY18" t="s">
        <v>6984</v>
      </c>
      <c r="FAZ18" t="s">
        <v>6984</v>
      </c>
      <c r="FBA18" t="s">
        <v>6984</v>
      </c>
      <c r="FBB18" t="s">
        <v>6984</v>
      </c>
      <c r="FBC18" t="s">
        <v>6984</v>
      </c>
      <c r="FBD18" t="s">
        <v>6984</v>
      </c>
      <c r="FBE18" t="s">
        <v>6984</v>
      </c>
      <c r="FBF18" t="s">
        <v>6984</v>
      </c>
      <c r="FBG18" t="s">
        <v>6984</v>
      </c>
      <c r="FBH18" t="s">
        <v>6984</v>
      </c>
      <c r="FBI18" t="s">
        <v>6984</v>
      </c>
      <c r="FBJ18" t="s">
        <v>6984</v>
      </c>
      <c r="FBK18" t="s">
        <v>6984</v>
      </c>
      <c r="FBL18" t="s">
        <v>6984</v>
      </c>
      <c r="FBM18" t="s">
        <v>6984</v>
      </c>
      <c r="FBN18" t="s">
        <v>6984</v>
      </c>
      <c r="FBO18" t="s">
        <v>6984</v>
      </c>
      <c r="FBP18" t="s">
        <v>6984</v>
      </c>
      <c r="FBQ18" t="s">
        <v>6984</v>
      </c>
      <c r="FBR18" t="s">
        <v>6984</v>
      </c>
      <c r="FBS18" t="s">
        <v>6984</v>
      </c>
      <c r="FBT18" t="s">
        <v>6984</v>
      </c>
      <c r="FBU18" t="s">
        <v>6984</v>
      </c>
      <c r="FBV18" t="s">
        <v>6984</v>
      </c>
      <c r="FBW18" t="s">
        <v>6984</v>
      </c>
      <c r="FBX18" t="s">
        <v>6984</v>
      </c>
      <c r="FBY18" t="s">
        <v>6984</v>
      </c>
      <c r="FBZ18" t="s">
        <v>6984</v>
      </c>
      <c r="FCA18" t="s">
        <v>6984</v>
      </c>
      <c r="FCB18" t="s">
        <v>6984</v>
      </c>
      <c r="FCC18" t="s">
        <v>6984</v>
      </c>
      <c r="FCD18" t="s">
        <v>6984</v>
      </c>
      <c r="FCE18" t="s">
        <v>6984</v>
      </c>
      <c r="FCF18" t="s">
        <v>6984</v>
      </c>
      <c r="FCG18" t="s">
        <v>6984</v>
      </c>
      <c r="FCH18" t="s">
        <v>6984</v>
      </c>
      <c r="FCI18" t="s">
        <v>6984</v>
      </c>
      <c r="FCJ18" t="s">
        <v>6984</v>
      </c>
      <c r="FCK18" t="s">
        <v>6984</v>
      </c>
      <c r="FCL18" t="s">
        <v>6984</v>
      </c>
      <c r="FCM18" t="s">
        <v>6984</v>
      </c>
      <c r="FCN18" t="s">
        <v>6984</v>
      </c>
      <c r="FCO18" t="s">
        <v>6984</v>
      </c>
      <c r="FCP18" t="s">
        <v>6984</v>
      </c>
      <c r="FCQ18" t="s">
        <v>6984</v>
      </c>
      <c r="FCR18" t="s">
        <v>6984</v>
      </c>
      <c r="FCS18" t="s">
        <v>6984</v>
      </c>
      <c r="FCT18" t="s">
        <v>6984</v>
      </c>
      <c r="FCU18" t="s">
        <v>6984</v>
      </c>
      <c r="FCV18" t="s">
        <v>6984</v>
      </c>
      <c r="FCW18" t="s">
        <v>6984</v>
      </c>
      <c r="FCX18" t="s">
        <v>6984</v>
      </c>
      <c r="FCY18" t="s">
        <v>6984</v>
      </c>
      <c r="FCZ18" t="s">
        <v>6984</v>
      </c>
      <c r="FDA18" t="s">
        <v>6984</v>
      </c>
      <c r="FDB18" t="s">
        <v>6984</v>
      </c>
      <c r="FDC18" t="s">
        <v>6984</v>
      </c>
      <c r="FDD18" t="s">
        <v>6984</v>
      </c>
      <c r="FDE18" t="s">
        <v>6984</v>
      </c>
      <c r="FDF18" t="s">
        <v>6984</v>
      </c>
      <c r="FDG18" t="s">
        <v>6984</v>
      </c>
      <c r="FDH18" t="s">
        <v>6984</v>
      </c>
      <c r="FDI18" t="s">
        <v>6984</v>
      </c>
      <c r="FDJ18" t="s">
        <v>6984</v>
      </c>
      <c r="FDK18" t="s">
        <v>6984</v>
      </c>
      <c r="FDL18" t="s">
        <v>6984</v>
      </c>
      <c r="FDM18" t="s">
        <v>6984</v>
      </c>
      <c r="FDN18" t="s">
        <v>6984</v>
      </c>
      <c r="FDO18" t="s">
        <v>6984</v>
      </c>
      <c r="FDP18" t="s">
        <v>6984</v>
      </c>
      <c r="FDQ18" t="s">
        <v>6984</v>
      </c>
      <c r="FDR18" t="s">
        <v>6984</v>
      </c>
      <c r="FDS18" t="s">
        <v>6984</v>
      </c>
      <c r="FDT18" t="s">
        <v>6984</v>
      </c>
      <c r="FDU18" t="s">
        <v>6984</v>
      </c>
      <c r="FDV18" t="s">
        <v>6984</v>
      </c>
      <c r="FDW18" t="s">
        <v>6984</v>
      </c>
      <c r="FDX18" t="s">
        <v>6984</v>
      </c>
      <c r="FDY18" t="s">
        <v>6984</v>
      </c>
      <c r="FDZ18" t="s">
        <v>6984</v>
      </c>
      <c r="FEA18" t="s">
        <v>6984</v>
      </c>
      <c r="FEB18" t="s">
        <v>6984</v>
      </c>
      <c r="FEC18" t="s">
        <v>6984</v>
      </c>
      <c r="FED18" t="s">
        <v>6984</v>
      </c>
      <c r="FEE18" t="s">
        <v>6984</v>
      </c>
      <c r="FEF18" t="s">
        <v>6984</v>
      </c>
      <c r="FEG18" t="s">
        <v>6984</v>
      </c>
      <c r="FEH18" t="s">
        <v>6984</v>
      </c>
      <c r="FEI18" t="s">
        <v>6984</v>
      </c>
      <c r="FEJ18" t="s">
        <v>6984</v>
      </c>
      <c r="FEK18" t="s">
        <v>6984</v>
      </c>
      <c r="FEL18" t="s">
        <v>6984</v>
      </c>
      <c r="FEM18" t="s">
        <v>6984</v>
      </c>
      <c r="FEN18" t="s">
        <v>6984</v>
      </c>
      <c r="FEO18" t="s">
        <v>6984</v>
      </c>
      <c r="FEP18" t="s">
        <v>6984</v>
      </c>
      <c r="FEQ18" t="s">
        <v>6984</v>
      </c>
      <c r="FER18" t="s">
        <v>6984</v>
      </c>
      <c r="FES18" t="s">
        <v>6984</v>
      </c>
      <c r="FET18" t="s">
        <v>6984</v>
      </c>
      <c r="FEU18" t="s">
        <v>6984</v>
      </c>
      <c r="FEV18" t="s">
        <v>6984</v>
      </c>
      <c r="FEW18" t="s">
        <v>6984</v>
      </c>
      <c r="FEX18" t="s">
        <v>6984</v>
      </c>
      <c r="FEY18" t="s">
        <v>6984</v>
      </c>
      <c r="FEZ18" t="s">
        <v>6984</v>
      </c>
      <c r="FFA18" t="s">
        <v>6984</v>
      </c>
      <c r="FFB18" t="s">
        <v>6984</v>
      </c>
      <c r="FFC18" t="s">
        <v>6984</v>
      </c>
      <c r="FFD18" t="s">
        <v>6984</v>
      </c>
      <c r="FFE18" t="s">
        <v>6984</v>
      </c>
      <c r="FFF18" t="s">
        <v>6984</v>
      </c>
      <c r="FFG18" t="s">
        <v>6984</v>
      </c>
      <c r="FFH18" t="s">
        <v>6984</v>
      </c>
      <c r="FFI18" t="s">
        <v>6984</v>
      </c>
      <c r="FFJ18" t="s">
        <v>6984</v>
      </c>
      <c r="FFK18" t="s">
        <v>6984</v>
      </c>
      <c r="FFL18" t="s">
        <v>6984</v>
      </c>
      <c r="FFM18" t="s">
        <v>6984</v>
      </c>
      <c r="FFN18" t="s">
        <v>6984</v>
      </c>
      <c r="FFO18" t="s">
        <v>6984</v>
      </c>
      <c r="FFP18" t="s">
        <v>6984</v>
      </c>
      <c r="FFQ18" t="s">
        <v>6984</v>
      </c>
      <c r="FFR18" t="s">
        <v>6984</v>
      </c>
      <c r="FFS18" t="s">
        <v>6984</v>
      </c>
      <c r="FFT18" t="s">
        <v>6984</v>
      </c>
      <c r="FFU18" t="s">
        <v>6984</v>
      </c>
      <c r="FFV18" t="s">
        <v>6984</v>
      </c>
      <c r="FFW18" t="s">
        <v>6984</v>
      </c>
      <c r="FFX18" t="s">
        <v>6984</v>
      </c>
      <c r="FFY18" t="s">
        <v>6984</v>
      </c>
      <c r="FFZ18" t="s">
        <v>6984</v>
      </c>
      <c r="FGA18" t="s">
        <v>6984</v>
      </c>
      <c r="FGB18" t="s">
        <v>6984</v>
      </c>
      <c r="FGC18" t="s">
        <v>6984</v>
      </c>
      <c r="FGD18" t="s">
        <v>6984</v>
      </c>
      <c r="FGE18" t="s">
        <v>6984</v>
      </c>
      <c r="FGF18" t="s">
        <v>6984</v>
      </c>
      <c r="FGG18" t="s">
        <v>6984</v>
      </c>
      <c r="FGH18" t="s">
        <v>6984</v>
      </c>
      <c r="FGI18" t="s">
        <v>6984</v>
      </c>
      <c r="FGJ18" t="s">
        <v>6984</v>
      </c>
      <c r="FGK18" t="s">
        <v>6984</v>
      </c>
      <c r="FGL18" t="s">
        <v>6984</v>
      </c>
      <c r="FGM18" t="s">
        <v>6984</v>
      </c>
      <c r="FGN18" t="s">
        <v>6984</v>
      </c>
      <c r="FGO18" t="s">
        <v>6984</v>
      </c>
      <c r="FGP18" t="s">
        <v>6984</v>
      </c>
      <c r="FGQ18" t="s">
        <v>6984</v>
      </c>
      <c r="FGR18" t="s">
        <v>6984</v>
      </c>
      <c r="FGS18" t="s">
        <v>6984</v>
      </c>
      <c r="FGT18" t="s">
        <v>6984</v>
      </c>
      <c r="FGU18" t="s">
        <v>6984</v>
      </c>
      <c r="FGV18" t="s">
        <v>6984</v>
      </c>
      <c r="FGW18" t="s">
        <v>6984</v>
      </c>
      <c r="FGX18" t="s">
        <v>6984</v>
      </c>
      <c r="FGY18" t="s">
        <v>6984</v>
      </c>
      <c r="FGZ18" t="s">
        <v>6984</v>
      </c>
      <c r="FHA18" t="s">
        <v>6984</v>
      </c>
      <c r="FHB18" t="s">
        <v>6984</v>
      </c>
      <c r="FHC18" t="s">
        <v>6984</v>
      </c>
      <c r="FHD18" t="s">
        <v>6984</v>
      </c>
      <c r="FHE18" t="s">
        <v>6984</v>
      </c>
      <c r="FHF18" t="s">
        <v>6984</v>
      </c>
      <c r="FHG18" t="s">
        <v>6984</v>
      </c>
      <c r="FHH18" t="s">
        <v>6984</v>
      </c>
      <c r="FHI18" t="s">
        <v>6984</v>
      </c>
      <c r="FHJ18" t="s">
        <v>6984</v>
      </c>
      <c r="FHK18" t="s">
        <v>6984</v>
      </c>
      <c r="FHL18" t="s">
        <v>6984</v>
      </c>
      <c r="FHM18" t="s">
        <v>6984</v>
      </c>
      <c r="FHN18" t="s">
        <v>6984</v>
      </c>
      <c r="FHO18" t="s">
        <v>6984</v>
      </c>
      <c r="FHP18" t="s">
        <v>6984</v>
      </c>
      <c r="FHQ18" t="s">
        <v>6984</v>
      </c>
      <c r="FHR18" t="s">
        <v>6984</v>
      </c>
      <c r="FHS18" t="s">
        <v>6984</v>
      </c>
      <c r="FHT18" t="s">
        <v>6984</v>
      </c>
      <c r="FHU18" t="s">
        <v>6984</v>
      </c>
      <c r="FHV18" t="s">
        <v>6984</v>
      </c>
      <c r="FHW18" t="s">
        <v>6984</v>
      </c>
      <c r="FHX18" t="s">
        <v>6984</v>
      </c>
      <c r="FHY18" t="s">
        <v>6984</v>
      </c>
      <c r="FHZ18" t="s">
        <v>6984</v>
      </c>
      <c r="FIA18" t="s">
        <v>6984</v>
      </c>
      <c r="FIB18" t="s">
        <v>6984</v>
      </c>
      <c r="FIC18" t="s">
        <v>6984</v>
      </c>
      <c r="FID18" t="s">
        <v>6984</v>
      </c>
      <c r="FIE18" t="s">
        <v>6984</v>
      </c>
      <c r="FIF18" t="s">
        <v>6984</v>
      </c>
      <c r="FIG18" t="s">
        <v>6984</v>
      </c>
      <c r="FIH18" t="s">
        <v>6984</v>
      </c>
      <c r="FII18" t="s">
        <v>6984</v>
      </c>
      <c r="FIJ18" t="s">
        <v>6984</v>
      </c>
      <c r="FIK18" t="s">
        <v>6984</v>
      </c>
      <c r="FIL18" t="s">
        <v>6984</v>
      </c>
      <c r="FIM18" t="s">
        <v>6984</v>
      </c>
      <c r="FIN18" t="s">
        <v>6984</v>
      </c>
      <c r="FIO18" t="s">
        <v>6984</v>
      </c>
      <c r="FIP18" t="s">
        <v>6984</v>
      </c>
      <c r="FIQ18" t="s">
        <v>6984</v>
      </c>
      <c r="FIR18" t="s">
        <v>6984</v>
      </c>
      <c r="FIS18" t="s">
        <v>6984</v>
      </c>
      <c r="FIT18" t="s">
        <v>6984</v>
      </c>
      <c r="FIU18" t="s">
        <v>6984</v>
      </c>
      <c r="FIV18" t="s">
        <v>6984</v>
      </c>
      <c r="FIW18" t="s">
        <v>6984</v>
      </c>
      <c r="FIX18" t="s">
        <v>6984</v>
      </c>
      <c r="FIY18" t="s">
        <v>6984</v>
      </c>
      <c r="FIZ18" t="s">
        <v>6984</v>
      </c>
      <c r="FJA18" t="s">
        <v>6984</v>
      </c>
      <c r="FJB18" t="s">
        <v>6984</v>
      </c>
      <c r="FJC18" t="s">
        <v>6984</v>
      </c>
      <c r="FJD18" t="s">
        <v>6984</v>
      </c>
      <c r="FJE18" t="s">
        <v>6984</v>
      </c>
      <c r="FJF18" t="s">
        <v>6984</v>
      </c>
      <c r="FJG18" t="s">
        <v>6984</v>
      </c>
      <c r="FJH18" t="s">
        <v>6984</v>
      </c>
      <c r="FJI18" t="s">
        <v>6984</v>
      </c>
      <c r="FJJ18" t="s">
        <v>6984</v>
      </c>
      <c r="FJK18" t="s">
        <v>6984</v>
      </c>
      <c r="FJL18" t="s">
        <v>6984</v>
      </c>
      <c r="FJM18" t="s">
        <v>6984</v>
      </c>
      <c r="FJN18" t="s">
        <v>6984</v>
      </c>
      <c r="FJO18" t="s">
        <v>6984</v>
      </c>
      <c r="FJP18" t="s">
        <v>6984</v>
      </c>
      <c r="FJQ18" t="s">
        <v>6984</v>
      </c>
      <c r="FJR18" t="s">
        <v>6984</v>
      </c>
      <c r="FJS18" t="s">
        <v>6984</v>
      </c>
      <c r="FJT18" t="s">
        <v>6984</v>
      </c>
      <c r="FJU18" t="s">
        <v>6984</v>
      </c>
      <c r="FJV18" t="s">
        <v>6984</v>
      </c>
      <c r="FJW18" t="s">
        <v>6984</v>
      </c>
      <c r="FJX18" t="s">
        <v>6984</v>
      </c>
      <c r="FJY18" t="s">
        <v>6984</v>
      </c>
      <c r="FJZ18" t="s">
        <v>6984</v>
      </c>
      <c r="FKA18" t="s">
        <v>6984</v>
      </c>
      <c r="FKB18" t="s">
        <v>6984</v>
      </c>
      <c r="FKC18" t="s">
        <v>6984</v>
      </c>
      <c r="FKD18" t="s">
        <v>6984</v>
      </c>
      <c r="FKE18" t="s">
        <v>6984</v>
      </c>
      <c r="FKF18" t="s">
        <v>6984</v>
      </c>
      <c r="FKG18" t="s">
        <v>6984</v>
      </c>
      <c r="FKH18" t="s">
        <v>6984</v>
      </c>
      <c r="FKI18" t="s">
        <v>6984</v>
      </c>
      <c r="FKJ18" t="s">
        <v>6984</v>
      </c>
      <c r="FKK18" t="s">
        <v>6984</v>
      </c>
      <c r="FKL18" t="s">
        <v>6984</v>
      </c>
      <c r="FKM18" t="s">
        <v>6984</v>
      </c>
      <c r="FKN18" t="s">
        <v>6984</v>
      </c>
      <c r="FKO18" t="s">
        <v>6984</v>
      </c>
      <c r="FKP18" t="s">
        <v>6984</v>
      </c>
      <c r="FKQ18" t="s">
        <v>6984</v>
      </c>
      <c r="FKR18" t="s">
        <v>6984</v>
      </c>
      <c r="FKS18" t="s">
        <v>6984</v>
      </c>
      <c r="FKT18" t="s">
        <v>6984</v>
      </c>
      <c r="FKU18" t="s">
        <v>6984</v>
      </c>
      <c r="FKV18" t="s">
        <v>6984</v>
      </c>
      <c r="FKW18" t="s">
        <v>6984</v>
      </c>
      <c r="FKX18" t="s">
        <v>6984</v>
      </c>
      <c r="FKY18" t="s">
        <v>6984</v>
      </c>
      <c r="FKZ18" t="s">
        <v>6984</v>
      </c>
      <c r="FLA18" t="s">
        <v>6984</v>
      </c>
      <c r="FLB18" t="s">
        <v>6984</v>
      </c>
      <c r="FLC18" t="s">
        <v>6984</v>
      </c>
      <c r="FLD18" t="s">
        <v>6984</v>
      </c>
      <c r="FLE18" t="s">
        <v>6984</v>
      </c>
      <c r="FLF18" t="s">
        <v>6984</v>
      </c>
      <c r="FLG18" t="s">
        <v>6984</v>
      </c>
      <c r="FLH18" t="s">
        <v>6984</v>
      </c>
      <c r="FLI18" t="s">
        <v>6984</v>
      </c>
      <c r="FLJ18" t="s">
        <v>6984</v>
      </c>
      <c r="FLK18" t="s">
        <v>6984</v>
      </c>
      <c r="FLL18" t="s">
        <v>6984</v>
      </c>
      <c r="FLM18" t="s">
        <v>6984</v>
      </c>
      <c r="FLN18" t="s">
        <v>6984</v>
      </c>
      <c r="FLO18" t="s">
        <v>6984</v>
      </c>
      <c r="FLP18" t="s">
        <v>6984</v>
      </c>
      <c r="FLQ18" t="s">
        <v>6984</v>
      </c>
      <c r="FLR18" t="s">
        <v>6984</v>
      </c>
      <c r="FLS18" t="s">
        <v>6984</v>
      </c>
      <c r="FLT18" t="s">
        <v>6984</v>
      </c>
      <c r="FLU18" t="s">
        <v>6984</v>
      </c>
      <c r="FLV18" t="s">
        <v>6984</v>
      </c>
      <c r="FLW18" t="s">
        <v>6984</v>
      </c>
      <c r="FLX18" t="s">
        <v>6984</v>
      </c>
      <c r="FLY18" t="s">
        <v>6984</v>
      </c>
      <c r="FLZ18" t="s">
        <v>6984</v>
      </c>
      <c r="FMA18" t="s">
        <v>6984</v>
      </c>
      <c r="FMB18" t="s">
        <v>6984</v>
      </c>
      <c r="FMC18" t="s">
        <v>6984</v>
      </c>
      <c r="FMD18" t="s">
        <v>6984</v>
      </c>
      <c r="FME18" t="s">
        <v>6984</v>
      </c>
      <c r="FMF18" t="s">
        <v>6984</v>
      </c>
      <c r="FMG18" t="s">
        <v>6984</v>
      </c>
      <c r="FMH18" t="s">
        <v>6984</v>
      </c>
      <c r="FMI18" t="s">
        <v>6984</v>
      </c>
      <c r="FMJ18" t="s">
        <v>6984</v>
      </c>
      <c r="FMK18" t="s">
        <v>6984</v>
      </c>
      <c r="FML18" t="s">
        <v>6984</v>
      </c>
      <c r="FMM18" t="s">
        <v>6984</v>
      </c>
      <c r="FMN18" t="s">
        <v>6984</v>
      </c>
      <c r="FMO18" t="s">
        <v>6984</v>
      </c>
      <c r="FMP18" t="s">
        <v>6984</v>
      </c>
      <c r="FMQ18" t="s">
        <v>6984</v>
      </c>
      <c r="FMR18" t="s">
        <v>6984</v>
      </c>
      <c r="FMS18" t="s">
        <v>6984</v>
      </c>
      <c r="FMT18" t="s">
        <v>6984</v>
      </c>
      <c r="FMU18" t="s">
        <v>6984</v>
      </c>
      <c r="FMV18" t="s">
        <v>6984</v>
      </c>
      <c r="FMW18" t="s">
        <v>6984</v>
      </c>
      <c r="FMX18" t="s">
        <v>6984</v>
      </c>
      <c r="FMY18" t="s">
        <v>6984</v>
      </c>
      <c r="FMZ18" t="s">
        <v>6984</v>
      </c>
      <c r="FNA18" t="s">
        <v>6984</v>
      </c>
      <c r="FNB18" t="s">
        <v>6984</v>
      </c>
      <c r="FNC18" t="s">
        <v>6984</v>
      </c>
      <c r="FND18" t="s">
        <v>6984</v>
      </c>
      <c r="FNE18" t="s">
        <v>6984</v>
      </c>
      <c r="FNF18" t="s">
        <v>6984</v>
      </c>
      <c r="FNG18" t="s">
        <v>6984</v>
      </c>
      <c r="FNH18" t="s">
        <v>6984</v>
      </c>
      <c r="FNI18" t="s">
        <v>6984</v>
      </c>
      <c r="FNJ18" t="s">
        <v>6984</v>
      </c>
      <c r="FNK18" t="s">
        <v>6984</v>
      </c>
      <c r="FNL18" t="s">
        <v>6984</v>
      </c>
      <c r="FNM18" t="s">
        <v>6984</v>
      </c>
      <c r="FNN18" t="s">
        <v>6984</v>
      </c>
      <c r="FNO18" t="s">
        <v>6984</v>
      </c>
      <c r="FNP18" t="s">
        <v>6984</v>
      </c>
      <c r="FNQ18" t="s">
        <v>6984</v>
      </c>
      <c r="FNR18" t="s">
        <v>6984</v>
      </c>
      <c r="FNS18" t="s">
        <v>6984</v>
      </c>
      <c r="FNT18" t="s">
        <v>6984</v>
      </c>
      <c r="FNU18" t="s">
        <v>6984</v>
      </c>
      <c r="FNV18" t="s">
        <v>6984</v>
      </c>
      <c r="FNW18" t="s">
        <v>6984</v>
      </c>
      <c r="FNX18" t="s">
        <v>6984</v>
      </c>
      <c r="FNY18" t="s">
        <v>6984</v>
      </c>
      <c r="FNZ18" t="s">
        <v>6984</v>
      </c>
      <c r="FOA18" t="s">
        <v>6984</v>
      </c>
      <c r="FOB18" t="s">
        <v>6984</v>
      </c>
      <c r="FOC18" t="s">
        <v>6984</v>
      </c>
      <c r="FOD18" t="s">
        <v>6984</v>
      </c>
      <c r="FOE18" t="s">
        <v>6984</v>
      </c>
      <c r="FOF18" t="s">
        <v>6984</v>
      </c>
      <c r="FOG18" t="s">
        <v>6984</v>
      </c>
      <c r="FOH18" t="s">
        <v>6984</v>
      </c>
      <c r="FOI18" t="s">
        <v>6984</v>
      </c>
      <c r="FOJ18" t="s">
        <v>6984</v>
      </c>
      <c r="FOK18" t="s">
        <v>6984</v>
      </c>
      <c r="FOL18" t="s">
        <v>6984</v>
      </c>
      <c r="FOM18" t="s">
        <v>6984</v>
      </c>
      <c r="FON18" t="s">
        <v>6984</v>
      </c>
      <c r="FOO18" t="s">
        <v>6984</v>
      </c>
      <c r="FOP18" t="s">
        <v>6984</v>
      </c>
      <c r="FOQ18" t="s">
        <v>6984</v>
      </c>
      <c r="FOR18" t="s">
        <v>6984</v>
      </c>
      <c r="FOS18" t="s">
        <v>6984</v>
      </c>
      <c r="FOT18" t="s">
        <v>6984</v>
      </c>
      <c r="FOU18" t="s">
        <v>6984</v>
      </c>
      <c r="FOV18" t="s">
        <v>6984</v>
      </c>
      <c r="FOW18" t="s">
        <v>6984</v>
      </c>
      <c r="FOX18" t="s">
        <v>6984</v>
      </c>
      <c r="FOY18" t="s">
        <v>6984</v>
      </c>
      <c r="FOZ18" t="s">
        <v>6984</v>
      </c>
      <c r="FPA18" t="s">
        <v>6984</v>
      </c>
      <c r="FPB18" t="s">
        <v>6984</v>
      </c>
      <c r="FPC18" t="s">
        <v>6984</v>
      </c>
      <c r="FPD18" t="s">
        <v>6984</v>
      </c>
      <c r="FPE18" t="s">
        <v>6984</v>
      </c>
      <c r="FPF18" t="s">
        <v>6984</v>
      </c>
      <c r="FPG18" t="s">
        <v>6984</v>
      </c>
      <c r="FPH18" t="s">
        <v>6984</v>
      </c>
      <c r="FPI18" t="s">
        <v>6984</v>
      </c>
      <c r="FPJ18" t="s">
        <v>6984</v>
      </c>
      <c r="FPK18" t="s">
        <v>6984</v>
      </c>
      <c r="FPL18" t="s">
        <v>6984</v>
      </c>
      <c r="FPM18" t="s">
        <v>6984</v>
      </c>
      <c r="FPN18" t="s">
        <v>6984</v>
      </c>
      <c r="FPO18" t="s">
        <v>6984</v>
      </c>
      <c r="FPP18" t="s">
        <v>6984</v>
      </c>
      <c r="FPQ18" t="s">
        <v>6984</v>
      </c>
      <c r="FPR18" t="s">
        <v>6984</v>
      </c>
      <c r="FPS18" t="s">
        <v>6984</v>
      </c>
      <c r="FPT18" t="s">
        <v>6984</v>
      </c>
      <c r="FPU18" t="s">
        <v>6984</v>
      </c>
      <c r="FPV18" t="s">
        <v>6984</v>
      </c>
      <c r="FPW18" t="s">
        <v>6984</v>
      </c>
      <c r="FPX18" t="s">
        <v>6984</v>
      </c>
      <c r="FPY18" t="s">
        <v>6984</v>
      </c>
      <c r="FPZ18" t="s">
        <v>6984</v>
      </c>
      <c r="FQA18" t="s">
        <v>6984</v>
      </c>
      <c r="FQB18" t="s">
        <v>6984</v>
      </c>
      <c r="FQC18" t="s">
        <v>6984</v>
      </c>
      <c r="FQD18" t="s">
        <v>6984</v>
      </c>
      <c r="FQE18" t="s">
        <v>6984</v>
      </c>
      <c r="FQF18" t="s">
        <v>6984</v>
      </c>
      <c r="FQG18" t="s">
        <v>6984</v>
      </c>
      <c r="FQH18" t="s">
        <v>6984</v>
      </c>
      <c r="FQI18" t="s">
        <v>6984</v>
      </c>
      <c r="FQJ18" t="s">
        <v>6984</v>
      </c>
      <c r="FQK18" t="s">
        <v>6984</v>
      </c>
      <c r="FQL18" t="s">
        <v>6984</v>
      </c>
      <c r="FQM18" t="s">
        <v>6984</v>
      </c>
      <c r="FQN18" t="s">
        <v>6984</v>
      </c>
      <c r="FQO18" t="s">
        <v>6984</v>
      </c>
      <c r="FQP18" t="s">
        <v>6984</v>
      </c>
      <c r="FQQ18" t="s">
        <v>6984</v>
      </c>
      <c r="FQR18" t="s">
        <v>6984</v>
      </c>
      <c r="FQS18" t="s">
        <v>6984</v>
      </c>
      <c r="FQT18" t="s">
        <v>6984</v>
      </c>
      <c r="FQU18" t="s">
        <v>6984</v>
      </c>
      <c r="FQV18" t="s">
        <v>6984</v>
      </c>
      <c r="FQW18" t="s">
        <v>6984</v>
      </c>
      <c r="FQX18" t="s">
        <v>6984</v>
      </c>
      <c r="FQY18" t="s">
        <v>6984</v>
      </c>
      <c r="FQZ18" t="s">
        <v>6984</v>
      </c>
      <c r="FRA18" t="s">
        <v>6984</v>
      </c>
      <c r="FRB18" t="s">
        <v>6984</v>
      </c>
      <c r="FRC18" t="s">
        <v>6984</v>
      </c>
      <c r="FRD18" t="s">
        <v>6984</v>
      </c>
      <c r="FRE18" t="s">
        <v>6984</v>
      </c>
      <c r="FRF18" t="s">
        <v>6984</v>
      </c>
      <c r="FRG18" t="s">
        <v>6984</v>
      </c>
      <c r="FRH18" t="s">
        <v>6984</v>
      </c>
      <c r="FRI18" t="s">
        <v>6984</v>
      </c>
      <c r="FRJ18" t="s">
        <v>6984</v>
      </c>
      <c r="FRK18" t="s">
        <v>6984</v>
      </c>
      <c r="FRL18" t="s">
        <v>6984</v>
      </c>
      <c r="FRM18" t="s">
        <v>6984</v>
      </c>
      <c r="FRN18" t="s">
        <v>6984</v>
      </c>
      <c r="FRO18" t="s">
        <v>6984</v>
      </c>
      <c r="FRP18" t="s">
        <v>6984</v>
      </c>
      <c r="FRQ18" t="s">
        <v>6984</v>
      </c>
      <c r="FRR18" t="s">
        <v>6984</v>
      </c>
      <c r="FRS18" t="s">
        <v>6984</v>
      </c>
      <c r="FRT18" t="s">
        <v>6984</v>
      </c>
      <c r="FRU18" t="s">
        <v>6984</v>
      </c>
      <c r="FRV18" t="s">
        <v>6984</v>
      </c>
      <c r="FRW18" t="s">
        <v>6984</v>
      </c>
      <c r="FRX18" t="s">
        <v>6984</v>
      </c>
      <c r="FRY18" t="s">
        <v>6984</v>
      </c>
      <c r="FRZ18" t="s">
        <v>6984</v>
      </c>
      <c r="FSA18" t="s">
        <v>6984</v>
      </c>
      <c r="FSB18" t="s">
        <v>6984</v>
      </c>
      <c r="FSC18" t="s">
        <v>6984</v>
      </c>
      <c r="FSD18" t="s">
        <v>6984</v>
      </c>
      <c r="FSE18" t="s">
        <v>6984</v>
      </c>
      <c r="FSF18" t="s">
        <v>6984</v>
      </c>
      <c r="FSG18" t="s">
        <v>6984</v>
      </c>
      <c r="FSH18" t="s">
        <v>6984</v>
      </c>
      <c r="FSI18" t="s">
        <v>6984</v>
      </c>
      <c r="FSJ18" t="s">
        <v>6984</v>
      </c>
      <c r="FSK18" t="s">
        <v>6984</v>
      </c>
      <c r="FSL18" t="s">
        <v>6984</v>
      </c>
      <c r="FSM18" t="s">
        <v>6984</v>
      </c>
      <c r="FSN18" t="s">
        <v>6984</v>
      </c>
      <c r="FSO18" t="s">
        <v>6984</v>
      </c>
      <c r="FSP18" t="s">
        <v>6984</v>
      </c>
      <c r="FSQ18" t="s">
        <v>6984</v>
      </c>
      <c r="FSR18" t="s">
        <v>6984</v>
      </c>
      <c r="FSS18" t="s">
        <v>6984</v>
      </c>
      <c r="FST18" t="s">
        <v>6984</v>
      </c>
      <c r="FSU18" t="s">
        <v>6984</v>
      </c>
      <c r="FSV18" t="s">
        <v>6984</v>
      </c>
      <c r="FSW18" t="s">
        <v>6984</v>
      </c>
      <c r="FSX18" t="s">
        <v>6984</v>
      </c>
      <c r="FSY18" t="s">
        <v>6984</v>
      </c>
      <c r="FSZ18" t="s">
        <v>6984</v>
      </c>
      <c r="FTA18" t="s">
        <v>6984</v>
      </c>
      <c r="FTB18" t="s">
        <v>6984</v>
      </c>
      <c r="FTC18" t="s">
        <v>6984</v>
      </c>
      <c r="FTD18" t="s">
        <v>6984</v>
      </c>
      <c r="FTE18" t="s">
        <v>6984</v>
      </c>
      <c r="FTF18" t="s">
        <v>6984</v>
      </c>
      <c r="FTG18" t="s">
        <v>6984</v>
      </c>
      <c r="FTH18" t="s">
        <v>6984</v>
      </c>
      <c r="FTI18" t="s">
        <v>6984</v>
      </c>
      <c r="FTJ18" t="s">
        <v>6984</v>
      </c>
      <c r="FTK18" t="s">
        <v>6984</v>
      </c>
      <c r="FTL18" t="s">
        <v>6984</v>
      </c>
      <c r="FTM18" t="s">
        <v>6984</v>
      </c>
      <c r="FTN18" t="s">
        <v>6984</v>
      </c>
      <c r="FTO18" t="s">
        <v>6984</v>
      </c>
      <c r="FTP18" t="s">
        <v>6984</v>
      </c>
      <c r="FTQ18" t="s">
        <v>6984</v>
      </c>
      <c r="FTR18" t="s">
        <v>6984</v>
      </c>
      <c r="FTS18" t="s">
        <v>6984</v>
      </c>
      <c r="FTT18" t="s">
        <v>6984</v>
      </c>
      <c r="FTU18" t="s">
        <v>6984</v>
      </c>
      <c r="FTV18" t="s">
        <v>6984</v>
      </c>
      <c r="FTW18" t="s">
        <v>6984</v>
      </c>
      <c r="FTX18" t="s">
        <v>6984</v>
      </c>
      <c r="FTY18" t="s">
        <v>6984</v>
      </c>
      <c r="FTZ18" t="s">
        <v>6984</v>
      </c>
      <c r="FUA18" t="s">
        <v>6984</v>
      </c>
      <c r="FUB18" t="s">
        <v>6984</v>
      </c>
      <c r="FUC18" t="s">
        <v>6984</v>
      </c>
      <c r="FUD18" t="s">
        <v>6984</v>
      </c>
      <c r="FUE18" t="s">
        <v>6984</v>
      </c>
      <c r="FUF18" t="s">
        <v>6984</v>
      </c>
      <c r="FUG18" t="s">
        <v>6984</v>
      </c>
      <c r="FUH18" t="s">
        <v>6984</v>
      </c>
      <c r="FUI18" t="s">
        <v>6984</v>
      </c>
      <c r="FUJ18" t="s">
        <v>6984</v>
      </c>
      <c r="FUK18" t="s">
        <v>6984</v>
      </c>
      <c r="FUL18" t="s">
        <v>6984</v>
      </c>
      <c r="FUM18" t="s">
        <v>6984</v>
      </c>
      <c r="FUN18" t="s">
        <v>6984</v>
      </c>
      <c r="FUO18" t="s">
        <v>6984</v>
      </c>
      <c r="FUP18" t="s">
        <v>6984</v>
      </c>
      <c r="FUQ18" t="s">
        <v>6984</v>
      </c>
      <c r="FUR18" t="s">
        <v>6984</v>
      </c>
      <c r="FUS18" t="s">
        <v>6984</v>
      </c>
      <c r="FUT18" t="s">
        <v>6984</v>
      </c>
      <c r="FUU18" t="s">
        <v>6984</v>
      </c>
      <c r="FUV18" t="s">
        <v>6984</v>
      </c>
      <c r="FUW18" t="s">
        <v>6984</v>
      </c>
      <c r="FUX18" t="s">
        <v>6984</v>
      </c>
      <c r="FUY18" t="s">
        <v>6984</v>
      </c>
      <c r="FUZ18" t="s">
        <v>6984</v>
      </c>
      <c r="FVA18" t="s">
        <v>6984</v>
      </c>
      <c r="FVB18" t="s">
        <v>6984</v>
      </c>
      <c r="FVC18" t="s">
        <v>6984</v>
      </c>
      <c r="FVD18" t="s">
        <v>6984</v>
      </c>
      <c r="FVE18" t="s">
        <v>6984</v>
      </c>
      <c r="FVF18" t="s">
        <v>6984</v>
      </c>
      <c r="FVG18" t="s">
        <v>6984</v>
      </c>
      <c r="FVH18" t="s">
        <v>6984</v>
      </c>
      <c r="FVI18" t="s">
        <v>6984</v>
      </c>
      <c r="FVJ18" t="s">
        <v>6984</v>
      </c>
      <c r="FVK18" t="s">
        <v>6984</v>
      </c>
      <c r="FVL18" t="s">
        <v>6984</v>
      </c>
      <c r="FVM18" t="s">
        <v>6984</v>
      </c>
      <c r="FVN18" t="s">
        <v>6984</v>
      </c>
      <c r="FVO18" t="s">
        <v>6984</v>
      </c>
      <c r="FVP18" t="s">
        <v>6984</v>
      </c>
      <c r="FVQ18" t="s">
        <v>6984</v>
      </c>
      <c r="FVR18" t="s">
        <v>6984</v>
      </c>
      <c r="FVS18" t="s">
        <v>6984</v>
      </c>
      <c r="FVT18" t="s">
        <v>6984</v>
      </c>
      <c r="FVU18" t="s">
        <v>6984</v>
      </c>
      <c r="FVV18" t="s">
        <v>6984</v>
      </c>
      <c r="FVW18" t="s">
        <v>6984</v>
      </c>
      <c r="FVX18" t="s">
        <v>6984</v>
      </c>
      <c r="FVY18" t="s">
        <v>6984</v>
      </c>
      <c r="FVZ18" t="s">
        <v>6984</v>
      </c>
      <c r="FWA18" t="s">
        <v>6984</v>
      </c>
      <c r="FWB18" t="s">
        <v>6984</v>
      </c>
      <c r="FWC18" t="s">
        <v>6984</v>
      </c>
      <c r="FWD18" t="s">
        <v>6984</v>
      </c>
      <c r="FWE18" t="s">
        <v>6984</v>
      </c>
      <c r="FWF18" t="s">
        <v>6984</v>
      </c>
      <c r="FWG18" t="s">
        <v>6984</v>
      </c>
      <c r="FWH18" t="s">
        <v>6984</v>
      </c>
      <c r="FWI18" t="s">
        <v>6984</v>
      </c>
      <c r="FWJ18" t="s">
        <v>6984</v>
      </c>
      <c r="FWK18" t="s">
        <v>6984</v>
      </c>
      <c r="FWL18" t="s">
        <v>6984</v>
      </c>
      <c r="FWM18" t="s">
        <v>6984</v>
      </c>
      <c r="FWN18" t="s">
        <v>6984</v>
      </c>
      <c r="FWO18" t="s">
        <v>6984</v>
      </c>
      <c r="FWP18" t="s">
        <v>6984</v>
      </c>
      <c r="FWQ18" t="s">
        <v>6984</v>
      </c>
      <c r="FWR18" t="s">
        <v>6984</v>
      </c>
      <c r="FWS18" t="s">
        <v>6984</v>
      </c>
      <c r="FWT18" t="s">
        <v>6984</v>
      </c>
      <c r="FWU18" t="s">
        <v>6984</v>
      </c>
      <c r="FWV18" t="s">
        <v>6984</v>
      </c>
      <c r="FWW18" t="s">
        <v>6984</v>
      </c>
      <c r="FWX18" t="s">
        <v>6984</v>
      </c>
      <c r="FWY18" t="s">
        <v>6984</v>
      </c>
      <c r="FWZ18" t="s">
        <v>6984</v>
      </c>
      <c r="FXA18" t="s">
        <v>6984</v>
      </c>
      <c r="FXB18" t="s">
        <v>6984</v>
      </c>
      <c r="FXC18" t="s">
        <v>6984</v>
      </c>
      <c r="FXD18" t="s">
        <v>6984</v>
      </c>
      <c r="FXE18" t="s">
        <v>6984</v>
      </c>
      <c r="FXF18" t="s">
        <v>6984</v>
      </c>
      <c r="FXG18" t="s">
        <v>6984</v>
      </c>
      <c r="FXH18" t="s">
        <v>6984</v>
      </c>
      <c r="FXI18" t="s">
        <v>6984</v>
      </c>
      <c r="FXJ18" t="s">
        <v>6984</v>
      </c>
      <c r="FXK18" t="s">
        <v>6984</v>
      </c>
      <c r="FXL18" t="s">
        <v>6984</v>
      </c>
      <c r="FXM18" t="s">
        <v>6984</v>
      </c>
      <c r="FXN18" t="s">
        <v>6984</v>
      </c>
      <c r="FXO18" t="s">
        <v>6984</v>
      </c>
      <c r="FXP18" t="s">
        <v>6984</v>
      </c>
      <c r="FXQ18" t="s">
        <v>6984</v>
      </c>
      <c r="FXR18" t="s">
        <v>6984</v>
      </c>
      <c r="FXS18" t="s">
        <v>6984</v>
      </c>
      <c r="FXT18" t="s">
        <v>6984</v>
      </c>
      <c r="FXU18" t="s">
        <v>6984</v>
      </c>
      <c r="FXV18" t="s">
        <v>6984</v>
      </c>
      <c r="FXW18" t="s">
        <v>6984</v>
      </c>
      <c r="FXX18" t="s">
        <v>6984</v>
      </c>
      <c r="FXY18" t="s">
        <v>6984</v>
      </c>
      <c r="FXZ18" t="s">
        <v>6984</v>
      </c>
      <c r="FYA18" t="s">
        <v>6984</v>
      </c>
      <c r="FYB18" t="s">
        <v>6984</v>
      </c>
      <c r="FYC18" t="s">
        <v>6984</v>
      </c>
      <c r="FYD18" t="s">
        <v>6984</v>
      </c>
      <c r="FYE18" t="s">
        <v>6984</v>
      </c>
      <c r="FYF18" t="s">
        <v>6984</v>
      </c>
      <c r="FYG18" t="s">
        <v>6984</v>
      </c>
      <c r="FYH18" t="s">
        <v>6984</v>
      </c>
      <c r="FYI18" t="s">
        <v>6984</v>
      </c>
      <c r="FYJ18" t="s">
        <v>6984</v>
      </c>
      <c r="FYK18" t="s">
        <v>6984</v>
      </c>
      <c r="FYL18" t="s">
        <v>6984</v>
      </c>
      <c r="FYM18" t="s">
        <v>6984</v>
      </c>
      <c r="FYN18" t="s">
        <v>6984</v>
      </c>
      <c r="FYO18" t="s">
        <v>6984</v>
      </c>
      <c r="FYP18" t="s">
        <v>6984</v>
      </c>
      <c r="FYQ18" t="s">
        <v>6984</v>
      </c>
      <c r="FYR18" t="s">
        <v>6984</v>
      </c>
      <c r="FYS18" t="s">
        <v>6984</v>
      </c>
      <c r="FYT18" t="s">
        <v>6984</v>
      </c>
      <c r="FYU18" t="s">
        <v>6984</v>
      </c>
      <c r="FYV18" t="s">
        <v>6984</v>
      </c>
      <c r="FYW18" t="s">
        <v>6984</v>
      </c>
      <c r="FYX18" t="s">
        <v>6984</v>
      </c>
      <c r="FYY18" t="s">
        <v>6984</v>
      </c>
      <c r="FYZ18" t="s">
        <v>6984</v>
      </c>
      <c r="FZA18" t="s">
        <v>6984</v>
      </c>
      <c r="FZB18" t="s">
        <v>6984</v>
      </c>
      <c r="FZC18" t="s">
        <v>6984</v>
      </c>
      <c r="FZD18" t="s">
        <v>6984</v>
      </c>
      <c r="FZE18" t="s">
        <v>6984</v>
      </c>
      <c r="FZF18" t="s">
        <v>6984</v>
      </c>
      <c r="FZG18" t="s">
        <v>6984</v>
      </c>
      <c r="FZH18" t="s">
        <v>6984</v>
      </c>
      <c r="FZI18" t="s">
        <v>6984</v>
      </c>
      <c r="FZJ18" t="s">
        <v>6984</v>
      </c>
      <c r="FZK18" t="s">
        <v>6984</v>
      </c>
      <c r="FZL18" t="s">
        <v>6984</v>
      </c>
      <c r="FZM18" t="s">
        <v>6984</v>
      </c>
      <c r="FZN18" t="s">
        <v>6984</v>
      </c>
      <c r="FZO18" t="s">
        <v>6984</v>
      </c>
      <c r="FZP18" t="s">
        <v>6984</v>
      </c>
      <c r="FZQ18" t="s">
        <v>6984</v>
      </c>
      <c r="FZR18" t="s">
        <v>6984</v>
      </c>
      <c r="FZS18" t="s">
        <v>6984</v>
      </c>
      <c r="FZT18" t="s">
        <v>6984</v>
      </c>
      <c r="FZU18" t="s">
        <v>6984</v>
      </c>
      <c r="FZV18" t="s">
        <v>6984</v>
      </c>
      <c r="FZW18" t="s">
        <v>6984</v>
      </c>
      <c r="FZX18" t="s">
        <v>6984</v>
      </c>
      <c r="FZY18" t="s">
        <v>6984</v>
      </c>
      <c r="FZZ18" t="s">
        <v>6984</v>
      </c>
      <c r="GAA18" t="s">
        <v>6984</v>
      </c>
      <c r="GAB18" t="s">
        <v>6984</v>
      </c>
      <c r="GAC18" t="s">
        <v>6984</v>
      </c>
      <c r="GAD18" t="s">
        <v>6984</v>
      </c>
      <c r="GAE18" t="s">
        <v>6984</v>
      </c>
      <c r="GAF18" t="s">
        <v>6984</v>
      </c>
      <c r="GAG18" t="s">
        <v>6984</v>
      </c>
      <c r="GAH18" t="s">
        <v>6984</v>
      </c>
      <c r="GAI18" t="s">
        <v>6984</v>
      </c>
      <c r="GAJ18" t="s">
        <v>6984</v>
      </c>
      <c r="GAK18" t="s">
        <v>6984</v>
      </c>
      <c r="GAL18" t="s">
        <v>6984</v>
      </c>
      <c r="GAM18" t="s">
        <v>6984</v>
      </c>
      <c r="GAN18" t="s">
        <v>6984</v>
      </c>
      <c r="GAO18" t="s">
        <v>6984</v>
      </c>
      <c r="GAP18" t="s">
        <v>6984</v>
      </c>
      <c r="GAQ18" t="s">
        <v>6984</v>
      </c>
      <c r="GAR18" t="s">
        <v>6984</v>
      </c>
      <c r="GAS18" t="s">
        <v>6984</v>
      </c>
      <c r="GAT18" t="s">
        <v>6984</v>
      </c>
      <c r="GAU18" t="s">
        <v>6984</v>
      </c>
      <c r="GAV18" t="s">
        <v>6984</v>
      </c>
      <c r="GAW18" t="s">
        <v>6984</v>
      </c>
      <c r="GAX18" t="s">
        <v>6984</v>
      </c>
      <c r="GAY18" t="s">
        <v>6984</v>
      </c>
      <c r="GAZ18" t="s">
        <v>6984</v>
      </c>
      <c r="GBA18" t="s">
        <v>6984</v>
      </c>
      <c r="GBB18" t="s">
        <v>6984</v>
      </c>
      <c r="GBC18" t="s">
        <v>6984</v>
      </c>
      <c r="GBD18" t="s">
        <v>6984</v>
      </c>
      <c r="GBE18" t="s">
        <v>6984</v>
      </c>
      <c r="GBF18" t="s">
        <v>6984</v>
      </c>
      <c r="GBG18" t="s">
        <v>6984</v>
      </c>
      <c r="GBH18" t="s">
        <v>6984</v>
      </c>
      <c r="GBI18" t="s">
        <v>6984</v>
      </c>
      <c r="GBJ18" t="s">
        <v>6984</v>
      </c>
      <c r="GBK18" t="s">
        <v>6984</v>
      </c>
      <c r="GBL18" t="s">
        <v>6984</v>
      </c>
      <c r="GBM18" t="s">
        <v>6984</v>
      </c>
      <c r="GBN18" t="s">
        <v>6984</v>
      </c>
      <c r="GBO18" t="s">
        <v>6984</v>
      </c>
      <c r="GBP18" t="s">
        <v>6984</v>
      </c>
      <c r="GBQ18" t="s">
        <v>6984</v>
      </c>
      <c r="GBR18" t="s">
        <v>6984</v>
      </c>
      <c r="GBS18" t="s">
        <v>6984</v>
      </c>
      <c r="GBT18" t="s">
        <v>6984</v>
      </c>
      <c r="GBU18" t="s">
        <v>6984</v>
      </c>
      <c r="GBV18" t="s">
        <v>6984</v>
      </c>
      <c r="GBW18" t="s">
        <v>6984</v>
      </c>
      <c r="GBX18" t="s">
        <v>6984</v>
      </c>
      <c r="GBY18" t="s">
        <v>6984</v>
      </c>
      <c r="GBZ18" t="s">
        <v>6984</v>
      </c>
      <c r="GCA18" t="s">
        <v>6984</v>
      </c>
      <c r="GCB18" t="s">
        <v>6984</v>
      </c>
      <c r="GCC18" t="s">
        <v>6984</v>
      </c>
      <c r="GCD18" t="s">
        <v>6984</v>
      </c>
      <c r="GCE18" t="s">
        <v>6984</v>
      </c>
      <c r="GCF18" t="s">
        <v>6984</v>
      </c>
      <c r="GCG18" t="s">
        <v>6984</v>
      </c>
      <c r="GCH18" t="s">
        <v>6984</v>
      </c>
      <c r="GCI18" t="s">
        <v>6984</v>
      </c>
      <c r="GCJ18" t="s">
        <v>6984</v>
      </c>
      <c r="GCK18" t="s">
        <v>6984</v>
      </c>
      <c r="GCL18" t="s">
        <v>6984</v>
      </c>
      <c r="GCM18" t="s">
        <v>6984</v>
      </c>
      <c r="GCN18" t="s">
        <v>6984</v>
      </c>
      <c r="GCO18" t="s">
        <v>6984</v>
      </c>
      <c r="GCP18" t="s">
        <v>6984</v>
      </c>
      <c r="GCQ18" t="s">
        <v>6984</v>
      </c>
      <c r="GCR18" t="s">
        <v>6984</v>
      </c>
      <c r="GCS18" t="s">
        <v>6984</v>
      </c>
      <c r="GCT18" t="s">
        <v>6984</v>
      </c>
      <c r="GCU18" t="s">
        <v>6984</v>
      </c>
      <c r="GCV18" t="s">
        <v>6984</v>
      </c>
      <c r="GCW18" t="s">
        <v>6984</v>
      </c>
      <c r="GCX18" t="s">
        <v>6984</v>
      </c>
      <c r="GCY18" t="s">
        <v>6984</v>
      </c>
      <c r="GCZ18" t="s">
        <v>6984</v>
      </c>
      <c r="GDA18" t="s">
        <v>6984</v>
      </c>
      <c r="GDB18" t="s">
        <v>6984</v>
      </c>
      <c r="GDC18" t="s">
        <v>6984</v>
      </c>
      <c r="GDD18" t="s">
        <v>6984</v>
      </c>
      <c r="GDE18" t="s">
        <v>6984</v>
      </c>
      <c r="GDF18" t="s">
        <v>6984</v>
      </c>
      <c r="GDG18" t="s">
        <v>6984</v>
      </c>
      <c r="GDH18" t="s">
        <v>6984</v>
      </c>
      <c r="GDI18" t="s">
        <v>6984</v>
      </c>
      <c r="GDJ18" t="s">
        <v>6984</v>
      </c>
      <c r="GDK18" t="s">
        <v>6984</v>
      </c>
      <c r="GDL18" t="s">
        <v>6984</v>
      </c>
      <c r="GDM18" t="s">
        <v>6984</v>
      </c>
      <c r="GDN18" t="s">
        <v>6984</v>
      </c>
      <c r="GDO18" t="s">
        <v>6984</v>
      </c>
      <c r="GDP18" t="s">
        <v>6984</v>
      </c>
      <c r="GDQ18" t="s">
        <v>6984</v>
      </c>
      <c r="GDR18" t="s">
        <v>6984</v>
      </c>
      <c r="GDS18" t="s">
        <v>6984</v>
      </c>
      <c r="GDT18" t="s">
        <v>6984</v>
      </c>
      <c r="GDU18" t="s">
        <v>6984</v>
      </c>
      <c r="GDV18" t="s">
        <v>6984</v>
      </c>
      <c r="GDW18" t="s">
        <v>6984</v>
      </c>
      <c r="GDX18" t="s">
        <v>6984</v>
      </c>
      <c r="GDY18" t="s">
        <v>6984</v>
      </c>
      <c r="GDZ18" t="s">
        <v>6984</v>
      </c>
      <c r="GEA18" t="s">
        <v>6984</v>
      </c>
      <c r="GEB18" t="s">
        <v>6984</v>
      </c>
      <c r="GEC18" t="s">
        <v>6984</v>
      </c>
      <c r="GED18" t="s">
        <v>6984</v>
      </c>
      <c r="GEE18" t="s">
        <v>6984</v>
      </c>
      <c r="GEF18" t="s">
        <v>6984</v>
      </c>
      <c r="GEG18" t="s">
        <v>6984</v>
      </c>
      <c r="GEH18" t="s">
        <v>6984</v>
      </c>
      <c r="GEI18" t="s">
        <v>6984</v>
      </c>
      <c r="GEJ18" t="s">
        <v>6984</v>
      </c>
      <c r="GEK18" t="s">
        <v>6984</v>
      </c>
      <c r="GEL18" t="s">
        <v>6984</v>
      </c>
      <c r="GEM18" t="s">
        <v>6984</v>
      </c>
      <c r="GEN18" t="s">
        <v>6984</v>
      </c>
      <c r="GEO18" t="s">
        <v>6984</v>
      </c>
      <c r="GEP18" t="s">
        <v>6984</v>
      </c>
      <c r="GEQ18" t="s">
        <v>6984</v>
      </c>
      <c r="GER18" t="s">
        <v>6984</v>
      </c>
      <c r="GES18" t="s">
        <v>6984</v>
      </c>
      <c r="GET18" t="s">
        <v>6984</v>
      </c>
      <c r="GEU18" t="s">
        <v>6984</v>
      </c>
      <c r="GEV18" t="s">
        <v>6984</v>
      </c>
      <c r="GEW18" t="s">
        <v>6984</v>
      </c>
      <c r="GEX18" t="s">
        <v>6984</v>
      </c>
      <c r="GEY18" t="s">
        <v>6984</v>
      </c>
      <c r="GEZ18" t="s">
        <v>6984</v>
      </c>
      <c r="GFA18" t="s">
        <v>6984</v>
      </c>
      <c r="GFB18" t="s">
        <v>6984</v>
      </c>
      <c r="GFC18" t="s">
        <v>6984</v>
      </c>
      <c r="GFD18" t="s">
        <v>6984</v>
      </c>
      <c r="GFE18" t="s">
        <v>6984</v>
      </c>
      <c r="GFF18" t="s">
        <v>6984</v>
      </c>
      <c r="GFG18" t="s">
        <v>6984</v>
      </c>
      <c r="GFH18" t="s">
        <v>6984</v>
      </c>
      <c r="GFI18" t="s">
        <v>6984</v>
      </c>
      <c r="GFJ18" t="s">
        <v>6984</v>
      </c>
      <c r="GFK18" t="s">
        <v>6984</v>
      </c>
      <c r="GFL18" t="s">
        <v>6984</v>
      </c>
      <c r="GFM18" t="s">
        <v>6984</v>
      </c>
      <c r="GFN18" t="s">
        <v>6984</v>
      </c>
      <c r="GFO18" t="s">
        <v>6984</v>
      </c>
      <c r="GFP18" t="s">
        <v>6984</v>
      </c>
      <c r="GFQ18" t="s">
        <v>6984</v>
      </c>
      <c r="GFR18" t="s">
        <v>6984</v>
      </c>
      <c r="GFS18" t="s">
        <v>6984</v>
      </c>
      <c r="GFT18" t="s">
        <v>6984</v>
      </c>
      <c r="GFU18" t="s">
        <v>6984</v>
      </c>
      <c r="GFV18" t="s">
        <v>6984</v>
      </c>
      <c r="GFW18" t="s">
        <v>6984</v>
      </c>
      <c r="GFX18" t="s">
        <v>6984</v>
      </c>
      <c r="GFY18" t="s">
        <v>6984</v>
      </c>
      <c r="GFZ18" t="s">
        <v>6984</v>
      </c>
      <c r="GGA18" t="s">
        <v>6984</v>
      </c>
      <c r="GGB18" t="s">
        <v>6984</v>
      </c>
      <c r="GGC18" t="s">
        <v>6984</v>
      </c>
      <c r="GGD18" t="s">
        <v>6984</v>
      </c>
      <c r="GGE18" t="s">
        <v>6984</v>
      </c>
      <c r="GGF18" t="s">
        <v>6984</v>
      </c>
      <c r="GGG18" t="s">
        <v>6984</v>
      </c>
      <c r="GGH18" t="s">
        <v>6984</v>
      </c>
      <c r="GGI18" t="s">
        <v>6984</v>
      </c>
      <c r="GGJ18" t="s">
        <v>6984</v>
      </c>
      <c r="GGK18" t="s">
        <v>6984</v>
      </c>
      <c r="GGL18" t="s">
        <v>6984</v>
      </c>
      <c r="GGM18" t="s">
        <v>6984</v>
      </c>
      <c r="GGN18" t="s">
        <v>6984</v>
      </c>
      <c r="GGO18" t="s">
        <v>6984</v>
      </c>
      <c r="GGP18" t="s">
        <v>6984</v>
      </c>
      <c r="GGQ18" t="s">
        <v>6984</v>
      </c>
      <c r="GGR18" t="s">
        <v>6984</v>
      </c>
      <c r="GGS18" t="s">
        <v>6984</v>
      </c>
      <c r="GGT18" t="s">
        <v>6984</v>
      </c>
      <c r="GGU18" t="s">
        <v>6984</v>
      </c>
      <c r="GGV18" t="s">
        <v>6984</v>
      </c>
      <c r="GGW18" t="s">
        <v>6984</v>
      </c>
      <c r="GGX18" t="s">
        <v>6984</v>
      </c>
      <c r="GGY18" t="s">
        <v>6984</v>
      </c>
      <c r="GGZ18" t="s">
        <v>6984</v>
      </c>
      <c r="GHA18" t="s">
        <v>6984</v>
      </c>
      <c r="GHB18" t="s">
        <v>6984</v>
      </c>
      <c r="GHC18" t="s">
        <v>6984</v>
      </c>
      <c r="GHD18" t="s">
        <v>6984</v>
      </c>
      <c r="GHE18" t="s">
        <v>6984</v>
      </c>
      <c r="GHF18" t="s">
        <v>6984</v>
      </c>
      <c r="GHG18" t="s">
        <v>6984</v>
      </c>
      <c r="GHH18" t="s">
        <v>6984</v>
      </c>
      <c r="GHI18" t="s">
        <v>6984</v>
      </c>
      <c r="GHJ18" t="s">
        <v>6984</v>
      </c>
      <c r="GHK18" t="s">
        <v>6984</v>
      </c>
      <c r="GHL18" t="s">
        <v>6984</v>
      </c>
      <c r="GHM18" t="s">
        <v>6984</v>
      </c>
      <c r="GHN18" t="s">
        <v>6984</v>
      </c>
      <c r="GHO18" t="s">
        <v>6984</v>
      </c>
      <c r="GHP18" t="s">
        <v>6984</v>
      </c>
      <c r="GHQ18" t="s">
        <v>6984</v>
      </c>
      <c r="GHR18" t="s">
        <v>6984</v>
      </c>
      <c r="GHS18" t="s">
        <v>6984</v>
      </c>
      <c r="GHT18" t="s">
        <v>6984</v>
      </c>
      <c r="GHU18" t="s">
        <v>6984</v>
      </c>
      <c r="GHV18" t="s">
        <v>6984</v>
      </c>
      <c r="GHW18" t="s">
        <v>6984</v>
      </c>
      <c r="GHX18" t="s">
        <v>6984</v>
      </c>
      <c r="GHY18" t="s">
        <v>6984</v>
      </c>
      <c r="GHZ18" t="s">
        <v>6984</v>
      </c>
      <c r="GIA18" t="s">
        <v>6984</v>
      </c>
      <c r="GIB18" t="s">
        <v>6984</v>
      </c>
      <c r="GIC18" t="s">
        <v>6984</v>
      </c>
      <c r="GID18" t="s">
        <v>6984</v>
      </c>
      <c r="GIE18" t="s">
        <v>6984</v>
      </c>
      <c r="GIF18" t="s">
        <v>6984</v>
      </c>
      <c r="GIG18" t="s">
        <v>6984</v>
      </c>
      <c r="GIH18" t="s">
        <v>6984</v>
      </c>
      <c r="GII18" t="s">
        <v>6984</v>
      </c>
      <c r="GIJ18" t="s">
        <v>6984</v>
      </c>
      <c r="GIK18" t="s">
        <v>6984</v>
      </c>
      <c r="GIL18" t="s">
        <v>6984</v>
      </c>
      <c r="GIM18" t="s">
        <v>6984</v>
      </c>
      <c r="GIN18" t="s">
        <v>6984</v>
      </c>
      <c r="GIO18" t="s">
        <v>6984</v>
      </c>
      <c r="GIP18" t="s">
        <v>6984</v>
      </c>
      <c r="GIQ18" t="s">
        <v>6984</v>
      </c>
      <c r="GIR18" t="s">
        <v>6984</v>
      </c>
      <c r="GIS18" t="s">
        <v>6984</v>
      </c>
      <c r="GIT18" t="s">
        <v>6984</v>
      </c>
      <c r="GIU18" t="s">
        <v>6984</v>
      </c>
      <c r="GIV18" t="s">
        <v>6984</v>
      </c>
      <c r="GIW18" t="s">
        <v>6984</v>
      </c>
      <c r="GIX18" t="s">
        <v>6984</v>
      </c>
      <c r="GIY18" t="s">
        <v>6984</v>
      </c>
      <c r="GIZ18" t="s">
        <v>6984</v>
      </c>
      <c r="GJA18" t="s">
        <v>6984</v>
      </c>
      <c r="GJB18" t="s">
        <v>6984</v>
      </c>
      <c r="GJC18" t="s">
        <v>6984</v>
      </c>
      <c r="GJD18" t="s">
        <v>6984</v>
      </c>
      <c r="GJE18" t="s">
        <v>6984</v>
      </c>
      <c r="GJF18" t="s">
        <v>6984</v>
      </c>
      <c r="GJG18" t="s">
        <v>6984</v>
      </c>
      <c r="GJH18" t="s">
        <v>6984</v>
      </c>
      <c r="GJI18" t="s">
        <v>6984</v>
      </c>
      <c r="GJJ18" t="s">
        <v>6984</v>
      </c>
      <c r="GJK18" t="s">
        <v>6984</v>
      </c>
      <c r="GJL18" t="s">
        <v>6984</v>
      </c>
      <c r="GJM18" t="s">
        <v>6984</v>
      </c>
      <c r="GJN18" t="s">
        <v>6984</v>
      </c>
      <c r="GJO18" t="s">
        <v>6984</v>
      </c>
      <c r="GJP18" t="s">
        <v>6984</v>
      </c>
      <c r="GJQ18" t="s">
        <v>6984</v>
      </c>
      <c r="GJR18" t="s">
        <v>6984</v>
      </c>
      <c r="GJS18" t="s">
        <v>6984</v>
      </c>
      <c r="GJT18" t="s">
        <v>6984</v>
      </c>
      <c r="GJU18" t="s">
        <v>6984</v>
      </c>
      <c r="GJV18" t="s">
        <v>6984</v>
      </c>
      <c r="GJW18" t="s">
        <v>6984</v>
      </c>
      <c r="GJX18" t="s">
        <v>6984</v>
      </c>
      <c r="GJY18" t="s">
        <v>6984</v>
      </c>
      <c r="GJZ18" t="s">
        <v>6984</v>
      </c>
      <c r="GKA18" t="s">
        <v>6984</v>
      </c>
      <c r="GKB18" t="s">
        <v>6984</v>
      </c>
      <c r="GKC18" t="s">
        <v>6984</v>
      </c>
      <c r="GKD18" t="s">
        <v>6984</v>
      </c>
      <c r="GKE18" t="s">
        <v>6984</v>
      </c>
      <c r="GKF18" t="s">
        <v>6984</v>
      </c>
      <c r="GKG18" t="s">
        <v>6984</v>
      </c>
      <c r="GKH18" t="s">
        <v>6984</v>
      </c>
      <c r="GKI18" t="s">
        <v>6984</v>
      </c>
      <c r="GKJ18" t="s">
        <v>6984</v>
      </c>
      <c r="GKK18" t="s">
        <v>6984</v>
      </c>
      <c r="GKL18" t="s">
        <v>6984</v>
      </c>
      <c r="GKM18" t="s">
        <v>6984</v>
      </c>
      <c r="GKN18" t="s">
        <v>6984</v>
      </c>
      <c r="GKO18" t="s">
        <v>6984</v>
      </c>
      <c r="GKP18" t="s">
        <v>6984</v>
      </c>
      <c r="GKQ18" t="s">
        <v>6984</v>
      </c>
      <c r="GKR18" t="s">
        <v>6984</v>
      </c>
      <c r="GKS18" t="s">
        <v>6984</v>
      </c>
      <c r="GKT18" t="s">
        <v>6984</v>
      </c>
      <c r="GKU18" t="s">
        <v>6984</v>
      </c>
      <c r="GKV18" t="s">
        <v>6984</v>
      </c>
      <c r="GKW18" t="s">
        <v>6984</v>
      </c>
      <c r="GKX18" t="s">
        <v>6984</v>
      </c>
      <c r="GKY18" t="s">
        <v>6984</v>
      </c>
      <c r="GKZ18" t="s">
        <v>6984</v>
      </c>
      <c r="GLA18" t="s">
        <v>6984</v>
      </c>
      <c r="GLB18" t="s">
        <v>6984</v>
      </c>
      <c r="GLC18" t="s">
        <v>6984</v>
      </c>
      <c r="GLD18" t="s">
        <v>6984</v>
      </c>
      <c r="GLE18" t="s">
        <v>6984</v>
      </c>
      <c r="GLF18" t="s">
        <v>6984</v>
      </c>
      <c r="GLG18" t="s">
        <v>6984</v>
      </c>
      <c r="GLH18" t="s">
        <v>6984</v>
      </c>
      <c r="GLI18" t="s">
        <v>6984</v>
      </c>
      <c r="GLJ18" t="s">
        <v>6984</v>
      </c>
      <c r="GLK18" t="s">
        <v>6984</v>
      </c>
      <c r="GLL18" t="s">
        <v>6984</v>
      </c>
      <c r="GLM18" t="s">
        <v>6984</v>
      </c>
      <c r="GLN18" t="s">
        <v>6984</v>
      </c>
      <c r="GLO18" t="s">
        <v>6984</v>
      </c>
      <c r="GLP18" t="s">
        <v>6984</v>
      </c>
      <c r="GLQ18" t="s">
        <v>6984</v>
      </c>
      <c r="GLR18" t="s">
        <v>6984</v>
      </c>
      <c r="GLS18" t="s">
        <v>6984</v>
      </c>
      <c r="GLT18" t="s">
        <v>6984</v>
      </c>
      <c r="GLU18" t="s">
        <v>6984</v>
      </c>
      <c r="GLV18" t="s">
        <v>6984</v>
      </c>
      <c r="GLW18" t="s">
        <v>6984</v>
      </c>
      <c r="GLX18" t="s">
        <v>6984</v>
      </c>
      <c r="GLY18" t="s">
        <v>6984</v>
      </c>
      <c r="GLZ18" t="s">
        <v>6984</v>
      </c>
      <c r="GMA18" t="s">
        <v>6984</v>
      </c>
      <c r="GMB18" t="s">
        <v>6984</v>
      </c>
      <c r="GMC18" t="s">
        <v>6984</v>
      </c>
      <c r="GMD18" t="s">
        <v>6984</v>
      </c>
      <c r="GME18" t="s">
        <v>6984</v>
      </c>
      <c r="GMF18" t="s">
        <v>6984</v>
      </c>
      <c r="GMG18" t="s">
        <v>6984</v>
      </c>
      <c r="GMH18" t="s">
        <v>6984</v>
      </c>
      <c r="GMI18" t="s">
        <v>6984</v>
      </c>
      <c r="GMJ18" t="s">
        <v>6984</v>
      </c>
      <c r="GMK18" t="s">
        <v>6984</v>
      </c>
      <c r="GML18" t="s">
        <v>6984</v>
      </c>
      <c r="GMM18" t="s">
        <v>6984</v>
      </c>
      <c r="GMN18" t="s">
        <v>6984</v>
      </c>
      <c r="GMO18" t="s">
        <v>6984</v>
      </c>
      <c r="GMP18" t="s">
        <v>6984</v>
      </c>
      <c r="GMQ18" t="s">
        <v>6984</v>
      </c>
      <c r="GMR18" t="s">
        <v>6984</v>
      </c>
      <c r="GMS18" t="s">
        <v>6984</v>
      </c>
      <c r="GMT18" t="s">
        <v>6984</v>
      </c>
      <c r="GMU18" t="s">
        <v>6984</v>
      </c>
      <c r="GMV18" t="s">
        <v>6984</v>
      </c>
      <c r="GMW18" t="s">
        <v>6984</v>
      </c>
      <c r="GMX18" t="s">
        <v>6984</v>
      </c>
      <c r="GMY18" t="s">
        <v>6984</v>
      </c>
      <c r="GMZ18" t="s">
        <v>6984</v>
      </c>
      <c r="GNA18" t="s">
        <v>6984</v>
      </c>
      <c r="GNB18" t="s">
        <v>6984</v>
      </c>
      <c r="GNC18" t="s">
        <v>6984</v>
      </c>
      <c r="GND18" t="s">
        <v>6984</v>
      </c>
      <c r="GNE18" t="s">
        <v>6984</v>
      </c>
      <c r="GNF18" t="s">
        <v>6984</v>
      </c>
      <c r="GNG18" t="s">
        <v>6984</v>
      </c>
      <c r="GNH18" t="s">
        <v>6984</v>
      </c>
      <c r="GNI18" t="s">
        <v>6984</v>
      </c>
      <c r="GNJ18" t="s">
        <v>6984</v>
      </c>
      <c r="GNK18" t="s">
        <v>6984</v>
      </c>
      <c r="GNL18" t="s">
        <v>6984</v>
      </c>
      <c r="GNM18" t="s">
        <v>6984</v>
      </c>
      <c r="GNN18" t="s">
        <v>6984</v>
      </c>
      <c r="GNO18" t="s">
        <v>6984</v>
      </c>
      <c r="GNP18" t="s">
        <v>6984</v>
      </c>
      <c r="GNQ18" t="s">
        <v>6984</v>
      </c>
      <c r="GNR18" t="s">
        <v>6984</v>
      </c>
      <c r="GNS18" t="s">
        <v>6984</v>
      </c>
      <c r="GNT18" t="s">
        <v>6984</v>
      </c>
      <c r="GNU18" t="s">
        <v>6984</v>
      </c>
      <c r="GNV18" t="s">
        <v>6984</v>
      </c>
      <c r="GNW18" t="s">
        <v>6984</v>
      </c>
      <c r="GNX18" t="s">
        <v>6984</v>
      </c>
      <c r="GNY18" t="s">
        <v>6984</v>
      </c>
      <c r="GNZ18" t="s">
        <v>6984</v>
      </c>
      <c r="GOA18" t="s">
        <v>6984</v>
      </c>
      <c r="GOB18" t="s">
        <v>6984</v>
      </c>
      <c r="GOC18" t="s">
        <v>6984</v>
      </c>
      <c r="GOD18" t="s">
        <v>6984</v>
      </c>
      <c r="GOE18" t="s">
        <v>6984</v>
      </c>
      <c r="GOF18" t="s">
        <v>6984</v>
      </c>
      <c r="GOG18" t="s">
        <v>6984</v>
      </c>
      <c r="GOH18" t="s">
        <v>6984</v>
      </c>
      <c r="GOI18" t="s">
        <v>6984</v>
      </c>
      <c r="GOJ18" t="s">
        <v>6984</v>
      </c>
      <c r="GOK18" t="s">
        <v>6984</v>
      </c>
      <c r="GOL18" t="s">
        <v>6984</v>
      </c>
      <c r="GOM18" t="s">
        <v>6984</v>
      </c>
      <c r="GON18" t="s">
        <v>6984</v>
      </c>
      <c r="GOO18" t="s">
        <v>6984</v>
      </c>
      <c r="GOP18" t="s">
        <v>6984</v>
      </c>
      <c r="GOQ18" t="s">
        <v>6984</v>
      </c>
      <c r="GOR18" t="s">
        <v>6984</v>
      </c>
      <c r="GOS18" t="s">
        <v>6984</v>
      </c>
      <c r="GOT18" t="s">
        <v>6984</v>
      </c>
      <c r="GOU18" t="s">
        <v>6984</v>
      </c>
      <c r="GOV18" t="s">
        <v>6984</v>
      </c>
      <c r="GOW18" t="s">
        <v>6984</v>
      </c>
      <c r="GOX18" t="s">
        <v>6984</v>
      </c>
      <c r="GOY18" t="s">
        <v>6984</v>
      </c>
      <c r="GOZ18" t="s">
        <v>6984</v>
      </c>
      <c r="GPA18" t="s">
        <v>6984</v>
      </c>
      <c r="GPB18" t="s">
        <v>6984</v>
      </c>
      <c r="GPC18" t="s">
        <v>6984</v>
      </c>
      <c r="GPD18" t="s">
        <v>6984</v>
      </c>
      <c r="GPE18" t="s">
        <v>6984</v>
      </c>
      <c r="GPF18" t="s">
        <v>6984</v>
      </c>
      <c r="GPG18" t="s">
        <v>6984</v>
      </c>
      <c r="GPH18" t="s">
        <v>6984</v>
      </c>
      <c r="GPI18" t="s">
        <v>6984</v>
      </c>
      <c r="GPJ18" t="s">
        <v>6984</v>
      </c>
      <c r="GPK18" t="s">
        <v>6984</v>
      </c>
      <c r="GPL18" t="s">
        <v>6984</v>
      </c>
      <c r="GPM18" t="s">
        <v>6984</v>
      </c>
      <c r="GPN18" t="s">
        <v>6984</v>
      </c>
      <c r="GPO18" t="s">
        <v>6984</v>
      </c>
      <c r="GPP18" t="s">
        <v>6984</v>
      </c>
      <c r="GPQ18" t="s">
        <v>6984</v>
      </c>
      <c r="GPR18" t="s">
        <v>6984</v>
      </c>
      <c r="GPS18" t="s">
        <v>6984</v>
      </c>
      <c r="GPT18" t="s">
        <v>6984</v>
      </c>
      <c r="GPU18" t="s">
        <v>6984</v>
      </c>
      <c r="GPV18" t="s">
        <v>6984</v>
      </c>
      <c r="GPW18" t="s">
        <v>6984</v>
      </c>
      <c r="GPX18" t="s">
        <v>6984</v>
      </c>
      <c r="GPY18" t="s">
        <v>6984</v>
      </c>
      <c r="GPZ18" t="s">
        <v>6984</v>
      </c>
      <c r="GQA18" t="s">
        <v>6984</v>
      </c>
      <c r="GQB18" t="s">
        <v>6984</v>
      </c>
      <c r="GQC18" t="s">
        <v>6984</v>
      </c>
      <c r="GQD18" t="s">
        <v>6984</v>
      </c>
      <c r="GQE18" t="s">
        <v>6984</v>
      </c>
      <c r="GQF18" t="s">
        <v>6984</v>
      </c>
      <c r="GQG18" t="s">
        <v>6984</v>
      </c>
      <c r="GQH18" t="s">
        <v>6984</v>
      </c>
      <c r="GQI18" t="s">
        <v>6984</v>
      </c>
      <c r="GQJ18" t="s">
        <v>6984</v>
      </c>
      <c r="GQK18" t="s">
        <v>6984</v>
      </c>
      <c r="GQL18" t="s">
        <v>6984</v>
      </c>
      <c r="GQM18" t="s">
        <v>6984</v>
      </c>
      <c r="GQN18" t="s">
        <v>6984</v>
      </c>
      <c r="GQO18" t="s">
        <v>6984</v>
      </c>
      <c r="GQP18" t="s">
        <v>6984</v>
      </c>
      <c r="GQQ18" t="s">
        <v>6984</v>
      </c>
      <c r="GQR18" t="s">
        <v>6984</v>
      </c>
      <c r="GQS18" t="s">
        <v>6984</v>
      </c>
      <c r="GQT18" t="s">
        <v>6984</v>
      </c>
      <c r="GQU18" t="s">
        <v>6984</v>
      </c>
      <c r="GQV18" t="s">
        <v>6984</v>
      </c>
      <c r="GQW18" t="s">
        <v>6984</v>
      </c>
      <c r="GQX18" t="s">
        <v>6984</v>
      </c>
      <c r="GQY18" t="s">
        <v>6984</v>
      </c>
      <c r="GQZ18" t="s">
        <v>6984</v>
      </c>
      <c r="GRA18" t="s">
        <v>6984</v>
      </c>
      <c r="GRB18" t="s">
        <v>6984</v>
      </c>
      <c r="GRC18" t="s">
        <v>6984</v>
      </c>
      <c r="GRD18" t="s">
        <v>6984</v>
      </c>
      <c r="GRE18" t="s">
        <v>6984</v>
      </c>
      <c r="GRF18" t="s">
        <v>6984</v>
      </c>
      <c r="GRG18" t="s">
        <v>6984</v>
      </c>
      <c r="GRH18" t="s">
        <v>6984</v>
      </c>
      <c r="GRI18" t="s">
        <v>6984</v>
      </c>
      <c r="GRJ18" t="s">
        <v>6984</v>
      </c>
      <c r="GRK18" t="s">
        <v>6984</v>
      </c>
      <c r="GRL18" t="s">
        <v>6984</v>
      </c>
      <c r="GRM18" t="s">
        <v>6984</v>
      </c>
      <c r="GRN18" t="s">
        <v>6984</v>
      </c>
      <c r="GRO18" t="s">
        <v>6984</v>
      </c>
      <c r="GRP18" t="s">
        <v>6984</v>
      </c>
      <c r="GRQ18" t="s">
        <v>6984</v>
      </c>
      <c r="GRR18" t="s">
        <v>6984</v>
      </c>
      <c r="GRS18" t="s">
        <v>6984</v>
      </c>
      <c r="GRT18" t="s">
        <v>6984</v>
      </c>
      <c r="GRU18" t="s">
        <v>6984</v>
      </c>
      <c r="GRV18" t="s">
        <v>6984</v>
      </c>
      <c r="GRW18" t="s">
        <v>6984</v>
      </c>
      <c r="GRX18" t="s">
        <v>6984</v>
      </c>
      <c r="GRY18" t="s">
        <v>6984</v>
      </c>
      <c r="GRZ18" t="s">
        <v>6984</v>
      </c>
      <c r="GSA18" t="s">
        <v>6984</v>
      </c>
      <c r="GSB18" t="s">
        <v>6984</v>
      </c>
      <c r="GSC18" t="s">
        <v>6984</v>
      </c>
      <c r="GSD18" t="s">
        <v>6984</v>
      </c>
      <c r="GSE18" t="s">
        <v>6984</v>
      </c>
      <c r="GSF18" t="s">
        <v>6984</v>
      </c>
      <c r="GSG18" t="s">
        <v>6984</v>
      </c>
      <c r="GSH18" t="s">
        <v>6984</v>
      </c>
      <c r="GSI18" t="s">
        <v>6984</v>
      </c>
      <c r="GSJ18" t="s">
        <v>6984</v>
      </c>
      <c r="GSK18" t="s">
        <v>6984</v>
      </c>
      <c r="GSL18" t="s">
        <v>6984</v>
      </c>
      <c r="GSM18" t="s">
        <v>6984</v>
      </c>
      <c r="GSN18" t="s">
        <v>6984</v>
      </c>
      <c r="GSO18" t="s">
        <v>6984</v>
      </c>
      <c r="GSP18" t="s">
        <v>6984</v>
      </c>
      <c r="GSQ18" t="s">
        <v>6984</v>
      </c>
      <c r="GSR18" t="s">
        <v>6984</v>
      </c>
      <c r="GSS18" t="s">
        <v>6984</v>
      </c>
      <c r="GST18" t="s">
        <v>6984</v>
      </c>
      <c r="GSU18" t="s">
        <v>6984</v>
      </c>
      <c r="GSV18" t="s">
        <v>6984</v>
      </c>
      <c r="GSW18" t="s">
        <v>6984</v>
      </c>
      <c r="GSX18" t="s">
        <v>6984</v>
      </c>
      <c r="GSY18" t="s">
        <v>6984</v>
      </c>
      <c r="GSZ18" t="s">
        <v>6984</v>
      </c>
      <c r="GTA18" t="s">
        <v>6984</v>
      </c>
      <c r="GTB18" t="s">
        <v>6984</v>
      </c>
      <c r="GTC18" t="s">
        <v>6984</v>
      </c>
      <c r="GTD18" t="s">
        <v>6984</v>
      </c>
      <c r="GTE18" t="s">
        <v>6984</v>
      </c>
      <c r="GTF18" t="s">
        <v>6984</v>
      </c>
      <c r="GTG18" t="s">
        <v>6984</v>
      </c>
      <c r="GTH18" t="s">
        <v>6984</v>
      </c>
      <c r="GTI18" t="s">
        <v>6984</v>
      </c>
      <c r="GTJ18" t="s">
        <v>6984</v>
      </c>
      <c r="GTK18" t="s">
        <v>6984</v>
      </c>
      <c r="GTL18" t="s">
        <v>6984</v>
      </c>
      <c r="GTM18" t="s">
        <v>6984</v>
      </c>
      <c r="GTN18" t="s">
        <v>6984</v>
      </c>
      <c r="GTO18" t="s">
        <v>6984</v>
      </c>
      <c r="GTP18" t="s">
        <v>6984</v>
      </c>
      <c r="GTQ18" t="s">
        <v>6984</v>
      </c>
      <c r="GTR18" t="s">
        <v>6984</v>
      </c>
      <c r="GTS18" t="s">
        <v>6984</v>
      </c>
      <c r="GTT18" t="s">
        <v>6984</v>
      </c>
      <c r="GTU18" t="s">
        <v>6984</v>
      </c>
      <c r="GTV18" t="s">
        <v>6984</v>
      </c>
      <c r="GTW18" t="s">
        <v>6984</v>
      </c>
      <c r="GTX18" t="s">
        <v>6984</v>
      </c>
      <c r="GTY18" t="s">
        <v>6984</v>
      </c>
      <c r="GTZ18" t="s">
        <v>6984</v>
      </c>
      <c r="GUA18" t="s">
        <v>6984</v>
      </c>
      <c r="GUB18" t="s">
        <v>6984</v>
      </c>
      <c r="GUC18" t="s">
        <v>6984</v>
      </c>
      <c r="GUD18" t="s">
        <v>6984</v>
      </c>
      <c r="GUE18" t="s">
        <v>6984</v>
      </c>
      <c r="GUF18" t="s">
        <v>6984</v>
      </c>
      <c r="GUG18" t="s">
        <v>6984</v>
      </c>
      <c r="GUH18" t="s">
        <v>6984</v>
      </c>
      <c r="GUI18" t="s">
        <v>6984</v>
      </c>
      <c r="GUJ18" t="s">
        <v>6984</v>
      </c>
      <c r="GUK18" t="s">
        <v>6984</v>
      </c>
      <c r="GUL18" t="s">
        <v>6984</v>
      </c>
      <c r="GUM18" t="s">
        <v>6984</v>
      </c>
      <c r="GUN18" t="s">
        <v>6984</v>
      </c>
      <c r="GUO18" t="s">
        <v>6984</v>
      </c>
      <c r="GUP18" t="s">
        <v>6984</v>
      </c>
      <c r="GUQ18" t="s">
        <v>6984</v>
      </c>
      <c r="GUR18" t="s">
        <v>6984</v>
      </c>
      <c r="GUS18" t="s">
        <v>6984</v>
      </c>
      <c r="GUT18" t="s">
        <v>6984</v>
      </c>
      <c r="GUU18" t="s">
        <v>6984</v>
      </c>
      <c r="GUV18" t="s">
        <v>6984</v>
      </c>
      <c r="GUW18" t="s">
        <v>6984</v>
      </c>
      <c r="GUX18" t="s">
        <v>6984</v>
      </c>
      <c r="GUY18" t="s">
        <v>6984</v>
      </c>
      <c r="GUZ18" t="s">
        <v>6984</v>
      </c>
      <c r="GVA18" t="s">
        <v>6984</v>
      </c>
      <c r="GVB18" t="s">
        <v>6984</v>
      </c>
      <c r="GVC18" t="s">
        <v>6984</v>
      </c>
      <c r="GVD18" t="s">
        <v>6984</v>
      </c>
      <c r="GVE18" t="s">
        <v>6984</v>
      </c>
      <c r="GVF18" t="s">
        <v>6984</v>
      </c>
      <c r="GVG18" t="s">
        <v>6984</v>
      </c>
      <c r="GVH18" t="s">
        <v>6984</v>
      </c>
      <c r="GVI18" t="s">
        <v>6984</v>
      </c>
      <c r="GVJ18" t="s">
        <v>6984</v>
      </c>
      <c r="GVK18" t="s">
        <v>6984</v>
      </c>
      <c r="GVL18" t="s">
        <v>6984</v>
      </c>
      <c r="GVM18" t="s">
        <v>6984</v>
      </c>
      <c r="GVN18" t="s">
        <v>6984</v>
      </c>
      <c r="GVO18" t="s">
        <v>6984</v>
      </c>
      <c r="GVP18" t="s">
        <v>6984</v>
      </c>
      <c r="GVQ18" t="s">
        <v>6984</v>
      </c>
      <c r="GVR18" t="s">
        <v>6984</v>
      </c>
      <c r="GVS18" t="s">
        <v>6984</v>
      </c>
      <c r="GVT18" t="s">
        <v>6984</v>
      </c>
      <c r="GVU18" t="s">
        <v>6984</v>
      </c>
      <c r="GVV18" t="s">
        <v>6984</v>
      </c>
      <c r="GVW18" t="s">
        <v>6984</v>
      </c>
      <c r="GVX18" t="s">
        <v>6984</v>
      </c>
      <c r="GVY18" t="s">
        <v>6984</v>
      </c>
      <c r="GVZ18" t="s">
        <v>6984</v>
      </c>
      <c r="GWA18" t="s">
        <v>6984</v>
      </c>
      <c r="GWB18" t="s">
        <v>6984</v>
      </c>
      <c r="GWC18" t="s">
        <v>6984</v>
      </c>
      <c r="GWD18" t="s">
        <v>6984</v>
      </c>
      <c r="GWE18" t="s">
        <v>6984</v>
      </c>
      <c r="GWF18" t="s">
        <v>6984</v>
      </c>
      <c r="GWG18" t="s">
        <v>6984</v>
      </c>
      <c r="GWH18" t="s">
        <v>6984</v>
      </c>
      <c r="GWI18" t="s">
        <v>6984</v>
      </c>
      <c r="GWJ18" t="s">
        <v>6984</v>
      </c>
      <c r="GWK18" t="s">
        <v>6984</v>
      </c>
      <c r="GWL18" t="s">
        <v>6984</v>
      </c>
      <c r="GWM18" t="s">
        <v>6984</v>
      </c>
      <c r="GWN18" t="s">
        <v>6984</v>
      </c>
      <c r="GWO18" t="s">
        <v>6984</v>
      </c>
      <c r="GWP18" t="s">
        <v>6984</v>
      </c>
      <c r="GWQ18" t="s">
        <v>6984</v>
      </c>
      <c r="GWR18" t="s">
        <v>6984</v>
      </c>
      <c r="GWS18" t="s">
        <v>6984</v>
      </c>
      <c r="GWT18" t="s">
        <v>6984</v>
      </c>
      <c r="GWU18" t="s">
        <v>6984</v>
      </c>
      <c r="GWV18" t="s">
        <v>6984</v>
      </c>
      <c r="GWW18" t="s">
        <v>6984</v>
      </c>
      <c r="GWX18" t="s">
        <v>6984</v>
      </c>
      <c r="GWY18" t="s">
        <v>6984</v>
      </c>
      <c r="GWZ18" t="s">
        <v>6984</v>
      </c>
      <c r="GXA18" t="s">
        <v>6984</v>
      </c>
      <c r="GXB18" t="s">
        <v>6984</v>
      </c>
      <c r="GXC18" t="s">
        <v>6984</v>
      </c>
      <c r="GXD18" t="s">
        <v>6984</v>
      </c>
      <c r="GXE18" t="s">
        <v>6984</v>
      </c>
      <c r="GXF18" t="s">
        <v>6984</v>
      </c>
      <c r="GXG18" t="s">
        <v>6984</v>
      </c>
      <c r="GXH18" t="s">
        <v>6984</v>
      </c>
      <c r="GXI18" t="s">
        <v>6984</v>
      </c>
      <c r="GXJ18" t="s">
        <v>6984</v>
      </c>
      <c r="GXK18" t="s">
        <v>6984</v>
      </c>
      <c r="GXL18" t="s">
        <v>6984</v>
      </c>
      <c r="GXM18" t="s">
        <v>6984</v>
      </c>
      <c r="GXN18" t="s">
        <v>6984</v>
      </c>
      <c r="GXO18" t="s">
        <v>6984</v>
      </c>
      <c r="GXP18" t="s">
        <v>6984</v>
      </c>
      <c r="GXQ18" t="s">
        <v>6984</v>
      </c>
      <c r="GXR18" t="s">
        <v>6984</v>
      </c>
      <c r="GXS18" t="s">
        <v>6984</v>
      </c>
      <c r="GXT18" t="s">
        <v>6984</v>
      </c>
      <c r="GXU18" t="s">
        <v>6984</v>
      </c>
      <c r="GXV18" t="s">
        <v>6984</v>
      </c>
      <c r="GXW18" t="s">
        <v>6984</v>
      </c>
      <c r="GXX18" t="s">
        <v>6984</v>
      </c>
      <c r="GXY18" t="s">
        <v>6984</v>
      </c>
      <c r="GXZ18" t="s">
        <v>6984</v>
      </c>
      <c r="GYA18" t="s">
        <v>6984</v>
      </c>
      <c r="GYB18" t="s">
        <v>6984</v>
      </c>
      <c r="GYC18" t="s">
        <v>6984</v>
      </c>
      <c r="GYD18" t="s">
        <v>6984</v>
      </c>
      <c r="GYE18" t="s">
        <v>6984</v>
      </c>
      <c r="GYF18" t="s">
        <v>6984</v>
      </c>
      <c r="GYG18" t="s">
        <v>6984</v>
      </c>
      <c r="GYH18" t="s">
        <v>6984</v>
      </c>
      <c r="GYI18" t="s">
        <v>6984</v>
      </c>
      <c r="GYJ18" t="s">
        <v>6984</v>
      </c>
      <c r="GYK18" t="s">
        <v>6984</v>
      </c>
      <c r="GYL18" t="s">
        <v>6984</v>
      </c>
      <c r="GYM18" t="s">
        <v>6984</v>
      </c>
      <c r="GYN18" t="s">
        <v>6984</v>
      </c>
      <c r="GYO18" t="s">
        <v>6984</v>
      </c>
      <c r="GYP18" t="s">
        <v>6984</v>
      </c>
      <c r="GYQ18" t="s">
        <v>6984</v>
      </c>
      <c r="GYR18" t="s">
        <v>6984</v>
      </c>
      <c r="GYS18" t="s">
        <v>6984</v>
      </c>
      <c r="GYT18" t="s">
        <v>6984</v>
      </c>
      <c r="GYU18" t="s">
        <v>6984</v>
      </c>
      <c r="GYV18" t="s">
        <v>6984</v>
      </c>
      <c r="GYW18" t="s">
        <v>6984</v>
      </c>
      <c r="GYX18" t="s">
        <v>6984</v>
      </c>
      <c r="GYY18" t="s">
        <v>6984</v>
      </c>
      <c r="GYZ18" t="s">
        <v>6984</v>
      </c>
      <c r="GZA18" t="s">
        <v>6984</v>
      </c>
      <c r="GZB18" t="s">
        <v>6984</v>
      </c>
      <c r="GZC18" t="s">
        <v>6984</v>
      </c>
      <c r="GZD18" t="s">
        <v>6984</v>
      </c>
      <c r="GZE18" t="s">
        <v>6984</v>
      </c>
      <c r="GZF18" t="s">
        <v>6984</v>
      </c>
      <c r="GZG18" t="s">
        <v>6984</v>
      </c>
      <c r="GZH18" t="s">
        <v>6984</v>
      </c>
      <c r="GZI18" t="s">
        <v>6984</v>
      </c>
      <c r="GZJ18" t="s">
        <v>6984</v>
      </c>
      <c r="GZK18" t="s">
        <v>6984</v>
      </c>
      <c r="GZL18" t="s">
        <v>6984</v>
      </c>
      <c r="GZM18" t="s">
        <v>6984</v>
      </c>
      <c r="GZN18" t="s">
        <v>6984</v>
      </c>
      <c r="GZO18" t="s">
        <v>6984</v>
      </c>
      <c r="GZP18" t="s">
        <v>6984</v>
      </c>
      <c r="GZQ18" t="s">
        <v>6984</v>
      </c>
      <c r="GZR18" t="s">
        <v>6984</v>
      </c>
      <c r="GZS18" t="s">
        <v>6984</v>
      </c>
      <c r="GZT18" t="s">
        <v>6984</v>
      </c>
      <c r="GZU18" t="s">
        <v>6984</v>
      </c>
      <c r="GZV18" t="s">
        <v>6984</v>
      </c>
      <c r="GZW18" t="s">
        <v>6984</v>
      </c>
      <c r="GZX18" t="s">
        <v>6984</v>
      </c>
      <c r="GZY18" t="s">
        <v>6984</v>
      </c>
      <c r="GZZ18" t="s">
        <v>6984</v>
      </c>
      <c r="HAA18" t="s">
        <v>6984</v>
      </c>
      <c r="HAB18" t="s">
        <v>6984</v>
      </c>
      <c r="HAC18" t="s">
        <v>6984</v>
      </c>
      <c r="HAD18" t="s">
        <v>6984</v>
      </c>
      <c r="HAE18" t="s">
        <v>6984</v>
      </c>
      <c r="HAF18" t="s">
        <v>6984</v>
      </c>
      <c r="HAG18" t="s">
        <v>6984</v>
      </c>
      <c r="HAH18" t="s">
        <v>6984</v>
      </c>
      <c r="HAI18" t="s">
        <v>6984</v>
      </c>
      <c r="HAJ18" t="s">
        <v>6984</v>
      </c>
      <c r="HAK18" t="s">
        <v>6984</v>
      </c>
      <c r="HAL18" t="s">
        <v>6984</v>
      </c>
      <c r="HAM18" t="s">
        <v>6984</v>
      </c>
      <c r="HAN18" t="s">
        <v>6984</v>
      </c>
      <c r="HAO18" t="s">
        <v>6984</v>
      </c>
      <c r="HAP18" t="s">
        <v>6984</v>
      </c>
      <c r="HAQ18" t="s">
        <v>6984</v>
      </c>
      <c r="HAR18" t="s">
        <v>6984</v>
      </c>
      <c r="HAS18" t="s">
        <v>6984</v>
      </c>
      <c r="HAT18" t="s">
        <v>6984</v>
      </c>
      <c r="HAU18" t="s">
        <v>6984</v>
      </c>
      <c r="HAV18" t="s">
        <v>6984</v>
      </c>
      <c r="HAW18" t="s">
        <v>6984</v>
      </c>
      <c r="HAX18" t="s">
        <v>6984</v>
      </c>
      <c r="HAY18" t="s">
        <v>6984</v>
      </c>
      <c r="HAZ18" t="s">
        <v>6984</v>
      </c>
      <c r="HBA18" t="s">
        <v>6984</v>
      </c>
      <c r="HBB18" t="s">
        <v>6984</v>
      </c>
      <c r="HBC18" t="s">
        <v>6984</v>
      </c>
      <c r="HBD18" t="s">
        <v>6984</v>
      </c>
      <c r="HBE18" t="s">
        <v>6984</v>
      </c>
      <c r="HBF18" t="s">
        <v>6984</v>
      </c>
      <c r="HBG18" t="s">
        <v>6984</v>
      </c>
      <c r="HBH18" t="s">
        <v>6984</v>
      </c>
      <c r="HBI18" t="s">
        <v>6984</v>
      </c>
      <c r="HBJ18" t="s">
        <v>6984</v>
      </c>
      <c r="HBK18" t="s">
        <v>6984</v>
      </c>
      <c r="HBL18" t="s">
        <v>6984</v>
      </c>
      <c r="HBM18" t="s">
        <v>6984</v>
      </c>
      <c r="HBN18" t="s">
        <v>6984</v>
      </c>
      <c r="HBO18" t="s">
        <v>6984</v>
      </c>
      <c r="HBP18" t="s">
        <v>6984</v>
      </c>
      <c r="HBQ18" t="s">
        <v>6984</v>
      </c>
      <c r="HBR18" t="s">
        <v>6984</v>
      </c>
      <c r="HBS18" t="s">
        <v>6984</v>
      </c>
      <c r="HBT18" t="s">
        <v>6984</v>
      </c>
      <c r="HBU18" t="s">
        <v>6984</v>
      </c>
      <c r="HBV18" t="s">
        <v>6984</v>
      </c>
      <c r="HBW18" t="s">
        <v>6984</v>
      </c>
      <c r="HBX18" t="s">
        <v>6984</v>
      </c>
      <c r="HBY18" t="s">
        <v>6984</v>
      </c>
      <c r="HBZ18" t="s">
        <v>6984</v>
      </c>
      <c r="HCA18" t="s">
        <v>6984</v>
      </c>
      <c r="HCB18" t="s">
        <v>6984</v>
      </c>
      <c r="HCC18" t="s">
        <v>6984</v>
      </c>
      <c r="HCD18" t="s">
        <v>6984</v>
      </c>
      <c r="HCE18" t="s">
        <v>6984</v>
      </c>
      <c r="HCF18" t="s">
        <v>6984</v>
      </c>
      <c r="HCG18" t="s">
        <v>6984</v>
      </c>
      <c r="HCH18" t="s">
        <v>6984</v>
      </c>
      <c r="HCI18" t="s">
        <v>6984</v>
      </c>
      <c r="HCJ18" t="s">
        <v>6984</v>
      </c>
      <c r="HCK18" t="s">
        <v>6984</v>
      </c>
      <c r="HCL18" t="s">
        <v>6984</v>
      </c>
      <c r="HCM18" t="s">
        <v>6984</v>
      </c>
      <c r="HCN18" t="s">
        <v>6984</v>
      </c>
      <c r="HCO18" t="s">
        <v>6984</v>
      </c>
      <c r="HCP18" t="s">
        <v>6984</v>
      </c>
      <c r="HCQ18" t="s">
        <v>6984</v>
      </c>
      <c r="HCR18" t="s">
        <v>6984</v>
      </c>
      <c r="HCS18" t="s">
        <v>6984</v>
      </c>
      <c r="HCT18" t="s">
        <v>6984</v>
      </c>
      <c r="HCU18" t="s">
        <v>6984</v>
      </c>
      <c r="HCV18" t="s">
        <v>6984</v>
      </c>
      <c r="HCW18" t="s">
        <v>6984</v>
      </c>
      <c r="HCX18" t="s">
        <v>6984</v>
      </c>
      <c r="HCY18" t="s">
        <v>6984</v>
      </c>
      <c r="HCZ18" t="s">
        <v>6984</v>
      </c>
      <c r="HDA18" t="s">
        <v>6984</v>
      </c>
      <c r="HDB18" t="s">
        <v>6984</v>
      </c>
      <c r="HDC18" t="s">
        <v>6984</v>
      </c>
      <c r="HDD18" t="s">
        <v>6984</v>
      </c>
      <c r="HDE18" t="s">
        <v>6984</v>
      </c>
      <c r="HDF18" t="s">
        <v>6984</v>
      </c>
      <c r="HDG18" t="s">
        <v>6984</v>
      </c>
      <c r="HDH18" t="s">
        <v>6984</v>
      </c>
      <c r="HDI18" t="s">
        <v>6984</v>
      </c>
      <c r="HDJ18" t="s">
        <v>6984</v>
      </c>
      <c r="HDK18" t="s">
        <v>6984</v>
      </c>
      <c r="HDL18" t="s">
        <v>6984</v>
      </c>
      <c r="HDM18" t="s">
        <v>6984</v>
      </c>
      <c r="HDN18" t="s">
        <v>6984</v>
      </c>
      <c r="HDO18" t="s">
        <v>6984</v>
      </c>
      <c r="HDP18" t="s">
        <v>6984</v>
      </c>
      <c r="HDQ18" t="s">
        <v>6984</v>
      </c>
      <c r="HDR18" t="s">
        <v>6984</v>
      </c>
      <c r="HDS18" t="s">
        <v>6984</v>
      </c>
      <c r="HDT18" t="s">
        <v>6984</v>
      </c>
      <c r="HDU18" t="s">
        <v>6984</v>
      </c>
      <c r="HDV18" t="s">
        <v>6984</v>
      </c>
      <c r="HDW18" t="s">
        <v>6984</v>
      </c>
      <c r="HDX18" t="s">
        <v>6984</v>
      </c>
      <c r="HDY18" t="s">
        <v>6984</v>
      </c>
      <c r="HDZ18" t="s">
        <v>6984</v>
      </c>
      <c r="HEA18" t="s">
        <v>6984</v>
      </c>
      <c r="HEB18" t="s">
        <v>6984</v>
      </c>
      <c r="HEC18" t="s">
        <v>6984</v>
      </c>
      <c r="HED18" t="s">
        <v>6984</v>
      </c>
      <c r="HEE18" t="s">
        <v>6984</v>
      </c>
      <c r="HEF18" t="s">
        <v>6984</v>
      </c>
      <c r="HEG18" t="s">
        <v>6984</v>
      </c>
      <c r="HEH18" t="s">
        <v>6984</v>
      </c>
      <c r="HEI18" t="s">
        <v>6984</v>
      </c>
      <c r="HEJ18" t="s">
        <v>6984</v>
      </c>
      <c r="HEK18" t="s">
        <v>6984</v>
      </c>
      <c r="HEL18" t="s">
        <v>6984</v>
      </c>
      <c r="HEM18" t="s">
        <v>6984</v>
      </c>
      <c r="HEN18" t="s">
        <v>6984</v>
      </c>
      <c r="HEO18" t="s">
        <v>6984</v>
      </c>
      <c r="HEP18" t="s">
        <v>6984</v>
      </c>
      <c r="HEQ18" t="s">
        <v>6984</v>
      </c>
      <c r="HER18" t="s">
        <v>6984</v>
      </c>
      <c r="HES18" t="s">
        <v>6984</v>
      </c>
      <c r="HET18" t="s">
        <v>6984</v>
      </c>
      <c r="HEU18" t="s">
        <v>6984</v>
      </c>
      <c r="HEV18" t="s">
        <v>6984</v>
      </c>
      <c r="HEW18" t="s">
        <v>6984</v>
      </c>
      <c r="HEX18" t="s">
        <v>6984</v>
      </c>
      <c r="HEY18" t="s">
        <v>6984</v>
      </c>
      <c r="HEZ18" t="s">
        <v>6984</v>
      </c>
      <c r="HFA18" t="s">
        <v>6984</v>
      </c>
      <c r="HFB18" t="s">
        <v>6984</v>
      </c>
      <c r="HFC18" t="s">
        <v>6984</v>
      </c>
      <c r="HFD18" t="s">
        <v>6984</v>
      </c>
      <c r="HFE18" t="s">
        <v>6984</v>
      </c>
      <c r="HFF18" t="s">
        <v>6984</v>
      </c>
      <c r="HFG18" t="s">
        <v>6984</v>
      </c>
      <c r="HFH18" t="s">
        <v>6984</v>
      </c>
      <c r="HFI18" t="s">
        <v>6984</v>
      </c>
      <c r="HFJ18" t="s">
        <v>6984</v>
      </c>
      <c r="HFK18" t="s">
        <v>6984</v>
      </c>
      <c r="HFL18" t="s">
        <v>6984</v>
      </c>
      <c r="HFM18" t="s">
        <v>6984</v>
      </c>
      <c r="HFN18" t="s">
        <v>6984</v>
      </c>
      <c r="HFO18" t="s">
        <v>6984</v>
      </c>
      <c r="HFP18" t="s">
        <v>6984</v>
      </c>
      <c r="HFQ18" t="s">
        <v>6984</v>
      </c>
      <c r="HFR18" t="s">
        <v>6984</v>
      </c>
      <c r="HFS18" t="s">
        <v>6984</v>
      </c>
      <c r="HFT18" t="s">
        <v>6984</v>
      </c>
      <c r="HFU18" t="s">
        <v>6984</v>
      </c>
      <c r="HFV18" t="s">
        <v>6984</v>
      </c>
      <c r="HFW18" t="s">
        <v>6984</v>
      </c>
      <c r="HFX18" t="s">
        <v>6984</v>
      </c>
      <c r="HFY18" t="s">
        <v>6984</v>
      </c>
      <c r="HFZ18" t="s">
        <v>6984</v>
      </c>
      <c r="HGA18" t="s">
        <v>6984</v>
      </c>
      <c r="HGB18" t="s">
        <v>6984</v>
      </c>
      <c r="HGC18" t="s">
        <v>6984</v>
      </c>
      <c r="HGD18" t="s">
        <v>6984</v>
      </c>
      <c r="HGE18" t="s">
        <v>6984</v>
      </c>
      <c r="HGF18" t="s">
        <v>6984</v>
      </c>
      <c r="HGG18" t="s">
        <v>6984</v>
      </c>
      <c r="HGH18" t="s">
        <v>6984</v>
      </c>
      <c r="HGI18" t="s">
        <v>6984</v>
      </c>
      <c r="HGJ18" t="s">
        <v>6984</v>
      </c>
      <c r="HGK18" t="s">
        <v>6984</v>
      </c>
      <c r="HGL18" t="s">
        <v>6984</v>
      </c>
      <c r="HGM18" t="s">
        <v>6984</v>
      </c>
      <c r="HGN18" t="s">
        <v>6984</v>
      </c>
      <c r="HGO18" t="s">
        <v>6984</v>
      </c>
      <c r="HGP18" t="s">
        <v>6984</v>
      </c>
      <c r="HGQ18" t="s">
        <v>6984</v>
      </c>
      <c r="HGR18" t="s">
        <v>6984</v>
      </c>
      <c r="HGS18" t="s">
        <v>6984</v>
      </c>
      <c r="HGT18" t="s">
        <v>6984</v>
      </c>
      <c r="HGU18" t="s">
        <v>6984</v>
      </c>
      <c r="HGV18" t="s">
        <v>6984</v>
      </c>
      <c r="HGW18" t="s">
        <v>6984</v>
      </c>
      <c r="HGX18" t="s">
        <v>6984</v>
      </c>
      <c r="HGY18" t="s">
        <v>6984</v>
      </c>
      <c r="HGZ18" t="s">
        <v>6984</v>
      </c>
      <c r="HHA18" t="s">
        <v>6984</v>
      </c>
      <c r="HHB18" t="s">
        <v>6984</v>
      </c>
      <c r="HHC18" t="s">
        <v>6984</v>
      </c>
      <c r="HHD18" t="s">
        <v>6984</v>
      </c>
      <c r="HHE18" t="s">
        <v>6984</v>
      </c>
      <c r="HHF18" t="s">
        <v>6984</v>
      </c>
      <c r="HHG18" t="s">
        <v>6984</v>
      </c>
      <c r="HHH18" t="s">
        <v>6984</v>
      </c>
      <c r="HHI18" t="s">
        <v>6984</v>
      </c>
      <c r="HHJ18" t="s">
        <v>6984</v>
      </c>
      <c r="HHK18" t="s">
        <v>6984</v>
      </c>
      <c r="HHL18" t="s">
        <v>6984</v>
      </c>
      <c r="HHM18" t="s">
        <v>6984</v>
      </c>
      <c r="HHN18" t="s">
        <v>6984</v>
      </c>
      <c r="HHO18" t="s">
        <v>6984</v>
      </c>
      <c r="HHP18" t="s">
        <v>6984</v>
      </c>
      <c r="HHQ18" t="s">
        <v>6984</v>
      </c>
      <c r="HHR18" t="s">
        <v>6984</v>
      </c>
      <c r="HHS18" t="s">
        <v>6984</v>
      </c>
      <c r="HHT18" t="s">
        <v>6984</v>
      </c>
      <c r="HHU18" t="s">
        <v>6984</v>
      </c>
      <c r="HHV18" t="s">
        <v>6984</v>
      </c>
      <c r="HHW18" t="s">
        <v>6984</v>
      </c>
      <c r="HHX18" t="s">
        <v>6984</v>
      </c>
      <c r="HHY18" t="s">
        <v>6984</v>
      </c>
      <c r="HHZ18" t="s">
        <v>6984</v>
      </c>
      <c r="HIA18" t="s">
        <v>6984</v>
      </c>
      <c r="HIB18" t="s">
        <v>6984</v>
      </c>
      <c r="HIC18" t="s">
        <v>6984</v>
      </c>
      <c r="HID18" t="s">
        <v>6984</v>
      </c>
      <c r="HIE18" t="s">
        <v>6984</v>
      </c>
      <c r="HIF18" t="s">
        <v>6984</v>
      </c>
      <c r="HIG18" t="s">
        <v>6984</v>
      </c>
      <c r="HIH18" t="s">
        <v>6984</v>
      </c>
      <c r="HII18" t="s">
        <v>6984</v>
      </c>
      <c r="HIJ18" t="s">
        <v>6984</v>
      </c>
      <c r="HIK18" t="s">
        <v>6984</v>
      </c>
      <c r="HIL18" t="s">
        <v>6984</v>
      </c>
      <c r="HIM18" t="s">
        <v>6984</v>
      </c>
      <c r="HIN18" t="s">
        <v>6984</v>
      </c>
      <c r="HIO18" t="s">
        <v>6984</v>
      </c>
      <c r="HIP18" t="s">
        <v>6984</v>
      </c>
      <c r="HIQ18" t="s">
        <v>6984</v>
      </c>
      <c r="HIR18" t="s">
        <v>6984</v>
      </c>
      <c r="HIS18" t="s">
        <v>6984</v>
      </c>
      <c r="HIT18" t="s">
        <v>6984</v>
      </c>
      <c r="HIU18" t="s">
        <v>6984</v>
      </c>
      <c r="HIV18" t="s">
        <v>6984</v>
      </c>
      <c r="HIW18" t="s">
        <v>6984</v>
      </c>
      <c r="HIX18" t="s">
        <v>6984</v>
      </c>
      <c r="HIY18" t="s">
        <v>6984</v>
      </c>
      <c r="HIZ18" t="s">
        <v>6984</v>
      </c>
      <c r="HJA18" t="s">
        <v>6984</v>
      </c>
      <c r="HJB18" t="s">
        <v>6984</v>
      </c>
      <c r="HJC18" t="s">
        <v>6984</v>
      </c>
      <c r="HJD18" t="s">
        <v>6984</v>
      </c>
      <c r="HJE18" t="s">
        <v>6984</v>
      </c>
      <c r="HJF18" t="s">
        <v>6984</v>
      </c>
      <c r="HJG18" t="s">
        <v>6984</v>
      </c>
      <c r="HJH18" t="s">
        <v>6984</v>
      </c>
      <c r="HJI18" t="s">
        <v>6984</v>
      </c>
      <c r="HJJ18" t="s">
        <v>6984</v>
      </c>
      <c r="HJK18" t="s">
        <v>6984</v>
      </c>
      <c r="HJL18" t="s">
        <v>6984</v>
      </c>
      <c r="HJM18" t="s">
        <v>6984</v>
      </c>
      <c r="HJN18" t="s">
        <v>6984</v>
      </c>
      <c r="HJO18" t="s">
        <v>6984</v>
      </c>
      <c r="HJP18" t="s">
        <v>6984</v>
      </c>
      <c r="HJQ18" t="s">
        <v>6984</v>
      </c>
      <c r="HJR18" t="s">
        <v>6984</v>
      </c>
      <c r="HJS18" t="s">
        <v>6984</v>
      </c>
      <c r="HJT18" t="s">
        <v>6984</v>
      </c>
      <c r="HJU18" t="s">
        <v>6984</v>
      </c>
      <c r="HJV18" t="s">
        <v>6984</v>
      </c>
      <c r="HJW18" t="s">
        <v>6984</v>
      </c>
      <c r="HJX18" t="s">
        <v>6984</v>
      </c>
      <c r="HJY18" t="s">
        <v>6984</v>
      </c>
      <c r="HJZ18" t="s">
        <v>6984</v>
      </c>
      <c r="HKA18" t="s">
        <v>6984</v>
      </c>
      <c r="HKB18" t="s">
        <v>6984</v>
      </c>
      <c r="HKC18" t="s">
        <v>6984</v>
      </c>
      <c r="HKD18" t="s">
        <v>6984</v>
      </c>
      <c r="HKE18" t="s">
        <v>6984</v>
      </c>
      <c r="HKF18" t="s">
        <v>6984</v>
      </c>
      <c r="HKG18" t="s">
        <v>6984</v>
      </c>
      <c r="HKH18" t="s">
        <v>6984</v>
      </c>
      <c r="HKI18" t="s">
        <v>6984</v>
      </c>
      <c r="HKJ18" t="s">
        <v>6984</v>
      </c>
      <c r="HKK18" t="s">
        <v>6984</v>
      </c>
      <c r="HKL18" t="s">
        <v>6984</v>
      </c>
      <c r="HKM18" t="s">
        <v>6984</v>
      </c>
      <c r="HKN18" t="s">
        <v>6984</v>
      </c>
      <c r="HKO18" t="s">
        <v>6984</v>
      </c>
      <c r="HKP18" t="s">
        <v>6984</v>
      </c>
      <c r="HKQ18" t="s">
        <v>6984</v>
      </c>
      <c r="HKR18" t="s">
        <v>6984</v>
      </c>
      <c r="HKS18" t="s">
        <v>6984</v>
      </c>
      <c r="HKT18" t="s">
        <v>6984</v>
      </c>
      <c r="HKU18" t="s">
        <v>6984</v>
      </c>
      <c r="HKV18" t="s">
        <v>6984</v>
      </c>
      <c r="HKW18" t="s">
        <v>6984</v>
      </c>
      <c r="HKX18" t="s">
        <v>6984</v>
      </c>
      <c r="HKY18" t="s">
        <v>6984</v>
      </c>
      <c r="HKZ18" t="s">
        <v>6984</v>
      </c>
      <c r="HLA18" t="s">
        <v>6984</v>
      </c>
      <c r="HLB18" t="s">
        <v>6984</v>
      </c>
      <c r="HLC18" t="s">
        <v>6984</v>
      </c>
      <c r="HLD18" t="s">
        <v>6984</v>
      </c>
      <c r="HLE18" t="s">
        <v>6984</v>
      </c>
      <c r="HLF18" t="s">
        <v>6984</v>
      </c>
      <c r="HLG18" t="s">
        <v>6984</v>
      </c>
      <c r="HLH18" t="s">
        <v>6984</v>
      </c>
      <c r="HLI18" t="s">
        <v>6984</v>
      </c>
      <c r="HLJ18" t="s">
        <v>6984</v>
      </c>
      <c r="HLK18" t="s">
        <v>6984</v>
      </c>
      <c r="HLL18" t="s">
        <v>6984</v>
      </c>
      <c r="HLM18" t="s">
        <v>6984</v>
      </c>
      <c r="HLN18" t="s">
        <v>6984</v>
      </c>
      <c r="HLO18" t="s">
        <v>6984</v>
      </c>
      <c r="HLP18" t="s">
        <v>6984</v>
      </c>
      <c r="HLQ18" t="s">
        <v>6984</v>
      </c>
      <c r="HLR18" t="s">
        <v>6984</v>
      </c>
      <c r="HLS18" t="s">
        <v>6984</v>
      </c>
      <c r="HLT18" t="s">
        <v>6984</v>
      </c>
      <c r="HLU18" t="s">
        <v>6984</v>
      </c>
      <c r="HLV18" t="s">
        <v>6984</v>
      </c>
      <c r="HLW18" t="s">
        <v>6984</v>
      </c>
      <c r="HLX18" t="s">
        <v>6984</v>
      </c>
      <c r="HLY18" t="s">
        <v>6984</v>
      </c>
      <c r="HLZ18" t="s">
        <v>6984</v>
      </c>
      <c r="HMA18" t="s">
        <v>6984</v>
      </c>
      <c r="HMB18" t="s">
        <v>6984</v>
      </c>
      <c r="HMC18" t="s">
        <v>6984</v>
      </c>
      <c r="HMD18" t="s">
        <v>6984</v>
      </c>
      <c r="HME18" t="s">
        <v>6984</v>
      </c>
      <c r="HMF18" t="s">
        <v>6984</v>
      </c>
      <c r="HMG18" t="s">
        <v>6984</v>
      </c>
      <c r="HMH18" t="s">
        <v>6984</v>
      </c>
      <c r="HMI18" t="s">
        <v>6984</v>
      </c>
      <c r="HMJ18" t="s">
        <v>6984</v>
      </c>
      <c r="HMK18" t="s">
        <v>6984</v>
      </c>
      <c r="HML18" t="s">
        <v>6984</v>
      </c>
      <c r="HMM18" t="s">
        <v>6984</v>
      </c>
      <c r="HMN18" t="s">
        <v>6984</v>
      </c>
      <c r="HMO18" t="s">
        <v>6984</v>
      </c>
      <c r="HMP18" t="s">
        <v>6984</v>
      </c>
      <c r="HMQ18" t="s">
        <v>6984</v>
      </c>
      <c r="HMR18" t="s">
        <v>6984</v>
      </c>
      <c r="HMS18" t="s">
        <v>6984</v>
      </c>
      <c r="HMT18" t="s">
        <v>6984</v>
      </c>
      <c r="HMU18" t="s">
        <v>6984</v>
      </c>
      <c r="HMV18" t="s">
        <v>6984</v>
      </c>
      <c r="HMW18" t="s">
        <v>6984</v>
      </c>
      <c r="HMX18" t="s">
        <v>6984</v>
      </c>
      <c r="HMY18" t="s">
        <v>6984</v>
      </c>
      <c r="HMZ18" t="s">
        <v>6984</v>
      </c>
      <c r="HNA18" t="s">
        <v>6984</v>
      </c>
      <c r="HNB18" t="s">
        <v>6984</v>
      </c>
      <c r="HNC18" t="s">
        <v>6984</v>
      </c>
      <c r="HND18" t="s">
        <v>6984</v>
      </c>
      <c r="HNE18" t="s">
        <v>6984</v>
      </c>
      <c r="HNF18" t="s">
        <v>6984</v>
      </c>
      <c r="HNG18" t="s">
        <v>6984</v>
      </c>
      <c r="HNH18" t="s">
        <v>6984</v>
      </c>
      <c r="HNI18" t="s">
        <v>6984</v>
      </c>
      <c r="HNJ18" t="s">
        <v>6984</v>
      </c>
      <c r="HNK18" t="s">
        <v>6984</v>
      </c>
      <c r="HNL18" t="s">
        <v>6984</v>
      </c>
      <c r="HNM18" t="s">
        <v>6984</v>
      </c>
      <c r="HNN18" t="s">
        <v>6984</v>
      </c>
      <c r="HNO18" t="s">
        <v>6984</v>
      </c>
      <c r="HNP18" t="s">
        <v>6984</v>
      </c>
      <c r="HNQ18" t="s">
        <v>6984</v>
      </c>
      <c r="HNR18" t="s">
        <v>6984</v>
      </c>
      <c r="HNS18" t="s">
        <v>6984</v>
      </c>
      <c r="HNT18" t="s">
        <v>6984</v>
      </c>
      <c r="HNU18" t="s">
        <v>6984</v>
      </c>
      <c r="HNV18" t="s">
        <v>6984</v>
      </c>
      <c r="HNW18" t="s">
        <v>6984</v>
      </c>
      <c r="HNX18" t="s">
        <v>6984</v>
      </c>
      <c r="HNY18" t="s">
        <v>6984</v>
      </c>
      <c r="HNZ18" t="s">
        <v>6984</v>
      </c>
      <c r="HOA18" t="s">
        <v>6984</v>
      </c>
      <c r="HOB18" t="s">
        <v>6984</v>
      </c>
      <c r="HOC18" t="s">
        <v>6984</v>
      </c>
      <c r="HOD18" t="s">
        <v>6984</v>
      </c>
      <c r="HOE18" t="s">
        <v>6984</v>
      </c>
      <c r="HOF18" t="s">
        <v>6984</v>
      </c>
      <c r="HOG18" t="s">
        <v>6984</v>
      </c>
      <c r="HOH18" t="s">
        <v>6984</v>
      </c>
      <c r="HOI18" t="s">
        <v>6984</v>
      </c>
      <c r="HOJ18" t="s">
        <v>6984</v>
      </c>
      <c r="HOK18" t="s">
        <v>6984</v>
      </c>
      <c r="HOL18" t="s">
        <v>6984</v>
      </c>
      <c r="HOM18" t="s">
        <v>6984</v>
      </c>
      <c r="HON18" t="s">
        <v>6984</v>
      </c>
      <c r="HOO18" t="s">
        <v>6984</v>
      </c>
      <c r="HOP18" t="s">
        <v>6984</v>
      </c>
      <c r="HOQ18" t="s">
        <v>6984</v>
      </c>
      <c r="HOR18" t="s">
        <v>6984</v>
      </c>
      <c r="HOS18" t="s">
        <v>6984</v>
      </c>
      <c r="HOT18" t="s">
        <v>6984</v>
      </c>
      <c r="HOU18" t="s">
        <v>6984</v>
      </c>
      <c r="HOV18" t="s">
        <v>6984</v>
      </c>
      <c r="HOW18" t="s">
        <v>6984</v>
      </c>
      <c r="HOX18" t="s">
        <v>6984</v>
      </c>
      <c r="HOY18" t="s">
        <v>6984</v>
      </c>
      <c r="HOZ18" t="s">
        <v>6984</v>
      </c>
      <c r="HPA18" t="s">
        <v>6984</v>
      </c>
      <c r="HPB18" t="s">
        <v>6984</v>
      </c>
      <c r="HPC18" t="s">
        <v>6984</v>
      </c>
      <c r="HPD18" t="s">
        <v>6984</v>
      </c>
      <c r="HPE18" t="s">
        <v>6984</v>
      </c>
      <c r="HPF18" t="s">
        <v>6984</v>
      </c>
      <c r="HPG18" t="s">
        <v>6984</v>
      </c>
      <c r="HPH18" t="s">
        <v>6984</v>
      </c>
      <c r="HPI18" t="s">
        <v>6984</v>
      </c>
      <c r="HPJ18" t="s">
        <v>6984</v>
      </c>
      <c r="HPK18" t="s">
        <v>6984</v>
      </c>
      <c r="HPL18" t="s">
        <v>6984</v>
      </c>
      <c r="HPM18" t="s">
        <v>6984</v>
      </c>
      <c r="HPN18" t="s">
        <v>6984</v>
      </c>
      <c r="HPO18" t="s">
        <v>6984</v>
      </c>
      <c r="HPP18" t="s">
        <v>6984</v>
      </c>
      <c r="HPQ18" t="s">
        <v>6984</v>
      </c>
      <c r="HPR18" t="s">
        <v>6984</v>
      </c>
      <c r="HPS18" t="s">
        <v>6984</v>
      </c>
      <c r="HPT18" t="s">
        <v>6984</v>
      </c>
      <c r="HPU18" t="s">
        <v>6984</v>
      </c>
      <c r="HPV18" t="s">
        <v>6984</v>
      </c>
      <c r="HPW18" t="s">
        <v>6984</v>
      </c>
      <c r="HPX18" t="s">
        <v>6984</v>
      </c>
      <c r="HPY18" t="s">
        <v>6984</v>
      </c>
      <c r="HPZ18" t="s">
        <v>6984</v>
      </c>
      <c r="HQA18" t="s">
        <v>6984</v>
      </c>
      <c r="HQB18" t="s">
        <v>6984</v>
      </c>
      <c r="HQC18" t="s">
        <v>6984</v>
      </c>
      <c r="HQD18" t="s">
        <v>6984</v>
      </c>
      <c r="HQE18" t="s">
        <v>6984</v>
      </c>
      <c r="HQF18" t="s">
        <v>6984</v>
      </c>
      <c r="HQG18" t="s">
        <v>6984</v>
      </c>
      <c r="HQH18" t="s">
        <v>6984</v>
      </c>
      <c r="HQI18" t="s">
        <v>6984</v>
      </c>
      <c r="HQJ18" t="s">
        <v>6984</v>
      </c>
      <c r="HQK18" t="s">
        <v>6984</v>
      </c>
      <c r="HQL18" t="s">
        <v>6984</v>
      </c>
      <c r="HQM18" t="s">
        <v>6984</v>
      </c>
      <c r="HQN18" t="s">
        <v>6984</v>
      </c>
      <c r="HQO18" t="s">
        <v>6984</v>
      </c>
      <c r="HQP18" t="s">
        <v>6984</v>
      </c>
      <c r="HQQ18" t="s">
        <v>6984</v>
      </c>
      <c r="HQR18" t="s">
        <v>6984</v>
      </c>
      <c r="HQS18" t="s">
        <v>6984</v>
      </c>
      <c r="HQT18" t="s">
        <v>6984</v>
      </c>
      <c r="HQU18" t="s">
        <v>6984</v>
      </c>
      <c r="HQV18" t="s">
        <v>6984</v>
      </c>
      <c r="HQW18" t="s">
        <v>6984</v>
      </c>
      <c r="HQX18" t="s">
        <v>6984</v>
      </c>
      <c r="HQY18" t="s">
        <v>6984</v>
      </c>
      <c r="HQZ18" t="s">
        <v>6984</v>
      </c>
      <c r="HRA18" t="s">
        <v>6984</v>
      </c>
      <c r="HRB18" t="s">
        <v>6984</v>
      </c>
      <c r="HRC18" t="s">
        <v>6984</v>
      </c>
      <c r="HRD18" t="s">
        <v>6984</v>
      </c>
      <c r="HRE18" t="s">
        <v>6984</v>
      </c>
      <c r="HRF18" t="s">
        <v>6984</v>
      </c>
      <c r="HRG18" t="s">
        <v>6984</v>
      </c>
      <c r="HRH18" t="s">
        <v>6984</v>
      </c>
      <c r="HRI18" t="s">
        <v>6984</v>
      </c>
      <c r="HRJ18" t="s">
        <v>6984</v>
      </c>
      <c r="HRK18" t="s">
        <v>6984</v>
      </c>
      <c r="HRL18" t="s">
        <v>6984</v>
      </c>
      <c r="HRM18" t="s">
        <v>6984</v>
      </c>
      <c r="HRN18" t="s">
        <v>6984</v>
      </c>
      <c r="HRO18" t="s">
        <v>6984</v>
      </c>
      <c r="HRP18" t="s">
        <v>6984</v>
      </c>
      <c r="HRQ18" t="s">
        <v>6984</v>
      </c>
      <c r="HRR18" t="s">
        <v>6984</v>
      </c>
      <c r="HRS18" t="s">
        <v>6984</v>
      </c>
      <c r="HRT18" t="s">
        <v>6984</v>
      </c>
      <c r="HRU18" t="s">
        <v>6984</v>
      </c>
      <c r="HRV18" t="s">
        <v>6984</v>
      </c>
      <c r="HRW18" t="s">
        <v>6984</v>
      </c>
      <c r="HRX18" t="s">
        <v>6984</v>
      </c>
      <c r="HRY18" t="s">
        <v>6984</v>
      </c>
      <c r="HRZ18" t="s">
        <v>6984</v>
      </c>
      <c r="HSA18" t="s">
        <v>6984</v>
      </c>
      <c r="HSB18" t="s">
        <v>6984</v>
      </c>
      <c r="HSC18" t="s">
        <v>6984</v>
      </c>
      <c r="HSD18" t="s">
        <v>6984</v>
      </c>
      <c r="HSE18" t="s">
        <v>6984</v>
      </c>
      <c r="HSF18" t="s">
        <v>6984</v>
      </c>
      <c r="HSG18" t="s">
        <v>6984</v>
      </c>
      <c r="HSH18" t="s">
        <v>6984</v>
      </c>
      <c r="HSI18" t="s">
        <v>6984</v>
      </c>
      <c r="HSJ18" t="s">
        <v>6984</v>
      </c>
      <c r="HSK18" t="s">
        <v>6984</v>
      </c>
      <c r="HSL18" t="s">
        <v>6984</v>
      </c>
      <c r="HSM18" t="s">
        <v>6984</v>
      </c>
      <c r="HSN18" t="s">
        <v>6984</v>
      </c>
      <c r="HSO18" t="s">
        <v>6984</v>
      </c>
      <c r="HSP18" t="s">
        <v>6984</v>
      </c>
      <c r="HSQ18" t="s">
        <v>6984</v>
      </c>
      <c r="HSR18" t="s">
        <v>6984</v>
      </c>
      <c r="HSS18" t="s">
        <v>6984</v>
      </c>
      <c r="HST18" t="s">
        <v>6984</v>
      </c>
      <c r="HSU18" t="s">
        <v>6984</v>
      </c>
      <c r="HSV18" t="s">
        <v>6984</v>
      </c>
      <c r="HSW18" t="s">
        <v>6984</v>
      </c>
      <c r="HSX18" t="s">
        <v>6984</v>
      </c>
      <c r="HSY18" t="s">
        <v>6984</v>
      </c>
      <c r="HSZ18" t="s">
        <v>6984</v>
      </c>
      <c r="HTA18" t="s">
        <v>6984</v>
      </c>
      <c r="HTB18" t="s">
        <v>6984</v>
      </c>
      <c r="HTC18" t="s">
        <v>6984</v>
      </c>
      <c r="HTD18" t="s">
        <v>6984</v>
      </c>
      <c r="HTE18" t="s">
        <v>6984</v>
      </c>
      <c r="HTF18" t="s">
        <v>6984</v>
      </c>
      <c r="HTG18" t="s">
        <v>6984</v>
      </c>
      <c r="HTH18" t="s">
        <v>6984</v>
      </c>
      <c r="HTI18" t="s">
        <v>6984</v>
      </c>
      <c r="HTJ18" t="s">
        <v>6984</v>
      </c>
      <c r="HTK18" t="s">
        <v>6984</v>
      </c>
      <c r="HTL18" t="s">
        <v>6984</v>
      </c>
      <c r="HTM18" t="s">
        <v>6984</v>
      </c>
      <c r="HTN18" t="s">
        <v>6984</v>
      </c>
      <c r="HTO18" t="s">
        <v>6984</v>
      </c>
      <c r="HTP18" t="s">
        <v>6984</v>
      </c>
      <c r="HTQ18" t="s">
        <v>6984</v>
      </c>
      <c r="HTR18" t="s">
        <v>6984</v>
      </c>
      <c r="HTS18" t="s">
        <v>6984</v>
      </c>
      <c r="HTT18" t="s">
        <v>6984</v>
      </c>
      <c r="HTU18" t="s">
        <v>6984</v>
      </c>
      <c r="HTV18" t="s">
        <v>6984</v>
      </c>
      <c r="HTW18" t="s">
        <v>6984</v>
      </c>
      <c r="HTX18" t="s">
        <v>6984</v>
      </c>
      <c r="HTY18" t="s">
        <v>6984</v>
      </c>
      <c r="HTZ18" t="s">
        <v>6984</v>
      </c>
      <c r="HUA18" t="s">
        <v>6984</v>
      </c>
      <c r="HUB18" t="s">
        <v>6984</v>
      </c>
      <c r="HUC18" t="s">
        <v>6984</v>
      </c>
      <c r="HUD18" t="s">
        <v>6984</v>
      </c>
      <c r="HUE18" t="s">
        <v>6984</v>
      </c>
      <c r="HUF18" t="s">
        <v>6984</v>
      </c>
      <c r="HUG18" t="s">
        <v>6984</v>
      </c>
      <c r="HUH18" t="s">
        <v>6984</v>
      </c>
      <c r="HUI18" t="s">
        <v>6984</v>
      </c>
      <c r="HUJ18" t="s">
        <v>6984</v>
      </c>
      <c r="HUK18" t="s">
        <v>6984</v>
      </c>
      <c r="HUL18" t="s">
        <v>6984</v>
      </c>
      <c r="HUM18" t="s">
        <v>6984</v>
      </c>
      <c r="HUN18" t="s">
        <v>6984</v>
      </c>
      <c r="HUO18" t="s">
        <v>6984</v>
      </c>
      <c r="HUP18" t="s">
        <v>6984</v>
      </c>
      <c r="HUQ18" t="s">
        <v>6984</v>
      </c>
      <c r="HUR18" t="s">
        <v>6984</v>
      </c>
      <c r="HUS18" t="s">
        <v>6984</v>
      </c>
      <c r="HUT18" t="s">
        <v>6984</v>
      </c>
      <c r="HUU18" t="s">
        <v>6984</v>
      </c>
      <c r="HUV18" t="s">
        <v>6984</v>
      </c>
      <c r="HUW18" t="s">
        <v>6984</v>
      </c>
      <c r="HUX18" t="s">
        <v>6984</v>
      </c>
      <c r="HUY18" t="s">
        <v>6984</v>
      </c>
      <c r="HUZ18" t="s">
        <v>6984</v>
      </c>
      <c r="HVA18" t="s">
        <v>6984</v>
      </c>
      <c r="HVB18" t="s">
        <v>6984</v>
      </c>
      <c r="HVC18" t="s">
        <v>6984</v>
      </c>
      <c r="HVD18" t="s">
        <v>6984</v>
      </c>
      <c r="HVE18" t="s">
        <v>6984</v>
      </c>
      <c r="HVF18" t="s">
        <v>6984</v>
      </c>
      <c r="HVG18" t="s">
        <v>6984</v>
      </c>
      <c r="HVH18" t="s">
        <v>6984</v>
      </c>
      <c r="HVI18" t="s">
        <v>6984</v>
      </c>
      <c r="HVJ18" t="s">
        <v>6984</v>
      </c>
      <c r="HVK18" t="s">
        <v>6984</v>
      </c>
      <c r="HVL18" t="s">
        <v>6984</v>
      </c>
      <c r="HVM18" t="s">
        <v>6984</v>
      </c>
      <c r="HVN18" t="s">
        <v>6984</v>
      </c>
      <c r="HVO18" t="s">
        <v>6984</v>
      </c>
      <c r="HVP18" t="s">
        <v>6984</v>
      </c>
      <c r="HVQ18" t="s">
        <v>6984</v>
      </c>
      <c r="HVR18" t="s">
        <v>6984</v>
      </c>
      <c r="HVS18" t="s">
        <v>6984</v>
      </c>
      <c r="HVT18" t="s">
        <v>6984</v>
      </c>
      <c r="HVU18" t="s">
        <v>6984</v>
      </c>
      <c r="HVV18" t="s">
        <v>6984</v>
      </c>
      <c r="HVW18" t="s">
        <v>6984</v>
      </c>
      <c r="HVX18" t="s">
        <v>6984</v>
      </c>
      <c r="HVY18" t="s">
        <v>6984</v>
      </c>
      <c r="HVZ18" t="s">
        <v>6984</v>
      </c>
      <c r="HWA18" t="s">
        <v>6984</v>
      </c>
      <c r="HWB18" t="s">
        <v>6984</v>
      </c>
      <c r="HWC18" t="s">
        <v>6984</v>
      </c>
      <c r="HWD18" t="s">
        <v>6984</v>
      </c>
      <c r="HWE18" t="s">
        <v>6984</v>
      </c>
      <c r="HWF18" t="s">
        <v>6984</v>
      </c>
      <c r="HWG18" t="s">
        <v>6984</v>
      </c>
      <c r="HWH18" t="s">
        <v>6984</v>
      </c>
      <c r="HWI18" t="s">
        <v>6984</v>
      </c>
      <c r="HWJ18" t="s">
        <v>6984</v>
      </c>
      <c r="HWK18" t="s">
        <v>6984</v>
      </c>
      <c r="HWL18" t="s">
        <v>6984</v>
      </c>
      <c r="HWM18" t="s">
        <v>6984</v>
      </c>
      <c r="HWN18" t="s">
        <v>6984</v>
      </c>
      <c r="HWO18" t="s">
        <v>6984</v>
      </c>
      <c r="HWP18" t="s">
        <v>6984</v>
      </c>
      <c r="HWQ18" t="s">
        <v>6984</v>
      </c>
      <c r="HWR18" t="s">
        <v>6984</v>
      </c>
      <c r="HWS18" t="s">
        <v>6984</v>
      </c>
      <c r="HWT18" t="s">
        <v>6984</v>
      </c>
      <c r="HWU18" t="s">
        <v>6984</v>
      </c>
      <c r="HWV18" t="s">
        <v>6984</v>
      </c>
      <c r="HWW18" t="s">
        <v>6984</v>
      </c>
      <c r="HWX18" t="s">
        <v>6984</v>
      </c>
      <c r="HWY18" t="s">
        <v>6984</v>
      </c>
      <c r="HWZ18" t="s">
        <v>6984</v>
      </c>
      <c r="HXA18" t="s">
        <v>6984</v>
      </c>
      <c r="HXB18" t="s">
        <v>6984</v>
      </c>
      <c r="HXC18" t="s">
        <v>6984</v>
      </c>
      <c r="HXD18" t="s">
        <v>6984</v>
      </c>
      <c r="HXE18" t="s">
        <v>6984</v>
      </c>
      <c r="HXF18" t="s">
        <v>6984</v>
      </c>
      <c r="HXG18" t="s">
        <v>6984</v>
      </c>
      <c r="HXH18" t="s">
        <v>6984</v>
      </c>
      <c r="HXI18" t="s">
        <v>6984</v>
      </c>
      <c r="HXJ18" t="s">
        <v>6984</v>
      </c>
      <c r="HXK18" t="s">
        <v>6984</v>
      </c>
      <c r="HXL18" t="s">
        <v>6984</v>
      </c>
      <c r="HXM18" t="s">
        <v>6984</v>
      </c>
      <c r="HXN18" t="s">
        <v>6984</v>
      </c>
      <c r="HXO18" t="s">
        <v>6984</v>
      </c>
      <c r="HXP18" t="s">
        <v>6984</v>
      </c>
      <c r="HXQ18" t="s">
        <v>6984</v>
      </c>
      <c r="HXR18" t="s">
        <v>6984</v>
      </c>
      <c r="HXS18" t="s">
        <v>6984</v>
      </c>
      <c r="HXT18" t="s">
        <v>6984</v>
      </c>
      <c r="HXU18" t="s">
        <v>6984</v>
      </c>
      <c r="HXV18" t="s">
        <v>6984</v>
      </c>
      <c r="HXW18" t="s">
        <v>6984</v>
      </c>
      <c r="HXX18" t="s">
        <v>6984</v>
      </c>
      <c r="HXY18" t="s">
        <v>6984</v>
      </c>
      <c r="HXZ18" t="s">
        <v>6984</v>
      </c>
      <c r="HYA18" t="s">
        <v>6984</v>
      </c>
      <c r="HYB18" t="s">
        <v>6984</v>
      </c>
      <c r="HYC18" t="s">
        <v>6984</v>
      </c>
      <c r="HYD18" t="s">
        <v>6984</v>
      </c>
      <c r="HYE18" t="s">
        <v>6984</v>
      </c>
      <c r="HYF18" t="s">
        <v>6984</v>
      </c>
      <c r="HYG18" t="s">
        <v>6984</v>
      </c>
      <c r="HYH18" t="s">
        <v>6984</v>
      </c>
      <c r="HYI18" t="s">
        <v>6984</v>
      </c>
      <c r="HYJ18" t="s">
        <v>6984</v>
      </c>
      <c r="HYK18" t="s">
        <v>6984</v>
      </c>
      <c r="HYL18" t="s">
        <v>6984</v>
      </c>
      <c r="HYM18" t="s">
        <v>6984</v>
      </c>
      <c r="HYN18" t="s">
        <v>6984</v>
      </c>
      <c r="HYO18" t="s">
        <v>6984</v>
      </c>
      <c r="HYP18" t="s">
        <v>6984</v>
      </c>
      <c r="HYQ18" t="s">
        <v>6984</v>
      </c>
      <c r="HYR18" t="s">
        <v>6984</v>
      </c>
      <c r="HYS18" t="s">
        <v>6984</v>
      </c>
      <c r="HYT18" t="s">
        <v>6984</v>
      </c>
      <c r="HYU18" t="s">
        <v>6984</v>
      </c>
      <c r="HYV18" t="s">
        <v>6984</v>
      </c>
      <c r="HYW18" t="s">
        <v>6984</v>
      </c>
      <c r="HYX18" t="s">
        <v>6984</v>
      </c>
      <c r="HYY18" t="s">
        <v>6984</v>
      </c>
      <c r="HYZ18" t="s">
        <v>6984</v>
      </c>
      <c r="HZA18" t="s">
        <v>6984</v>
      </c>
      <c r="HZB18" t="s">
        <v>6984</v>
      </c>
      <c r="HZC18" t="s">
        <v>6984</v>
      </c>
      <c r="HZD18" t="s">
        <v>6984</v>
      </c>
      <c r="HZE18" t="s">
        <v>6984</v>
      </c>
      <c r="HZF18" t="s">
        <v>6984</v>
      </c>
      <c r="HZG18" t="s">
        <v>6984</v>
      </c>
      <c r="HZH18" t="s">
        <v>6984</v>
      </c>
      <c r="HZI18" t="s">
        <v>6984</v>
      </c>
      <c r="HZJ18" t="s">
        <v>6984</v>
      </c>
      <c r="HZK18" t="s">
        <v>6984</v>
      </c>
      <c r="HZL18" t="s">
        <v>6984</v>
      </c>
      <c r="HZM18" t="s">
        <v>6984</v>
      </c>
      <c r="HZN18" t="s">
        <v>6984</v>
      </c>
      <c r="HZO18" t="s">
        <v>6984</v>
      </c>
      <c r="HZP18" t="s">
        <v>6984</v>
      </c>
      <c r="HZQ18" t="s">
        <v>6984</v>
      </c>
      <c r="HZR18" t="s">
        <v>6984</v>
      </c>
      <c r="HZS18" t="s">
        <v>6984</v>
      </c>
      <c r="HZT18" t="s">
        <v>6984</v>
      </c>
      <c r="HZU18" t="s">
        <v>6984</v>
      </c>
      <c r="HZV18" t="s">
        <v>6984</v>
      </c>
      <c r="HZW18" t="s">
        <v>6984</v>
      </c>
      <c r="HZX18" t="s">
        <v>6984</v>
      </c>
      <c r="HZY18" t="s">
        <v>6984</v>
      </c>
      <c r="HZZ18" t="s">
        <v>6984</v>
      </c>
      <c r="IAA18" t="s">
        <v>6984</v>
      </c>
      <c r="IAB18" t="s">
        <v>6984</v>
      </c>
      <c r="IAC18" t="s">
        <v>6984</v>
      </c>
      <c r="IAD18" t="s">
        <v>6984</v>
      </c>
      <c r="IAE18" t="s">
        <v>6984</v>
      </c>
      <c r="IAF18" t="s">
        <v>6984</v>
      </c>
      <c r="IAG18" t="s">
        <v>6984</v>
      </c>
      <c r="IAH18" t="s">
        <v>6984</v>
      </c>
      <c r="IAI18" t="s">
        <v>6984</v>
      </c>
      <c r="IAJ18" t="s">
        <v>6984</v>
      </c>
      <c r="IAK18" t="s">
        <v>6984</v>
      </c>
      <c r="IAL18" t="s">
        <v>6984</v>
      </c>
      <c r="IAM18" t="s">
        <v>6984</v>
      </c>
      <c r="IAN18" t="s">
        <v>6984</v>
      </c>
      <c r="IAO18" t="s">
        <v>6984</v>
      </c>
      <c r="IAP18" t="s">
        <v>6984</v>
      </c>
      <c r="IAQ18" t="s">
        <v>6984</v>
      </c>
      <c r="IAR18" t="s">
        <v>6984</v>
      </c>
      <c r="IAS18" t="s">
        <v>6984</v>
      </c>
      <c r="IAT18" t="s">
        <v>6984</v>
      </c>
      <c r="IAU18" t="s">
        <v>6984</v>
      </c>
      <c r="IAV18" t="s">
        <v>6984</v>
      </c>
      <c r="IAW18" t="s">
        <v>6984</v>
      </c>
      <c r="IAX18" t="s">
        <v>6984</v>
      </c>
      <c r="IAY18" t="s">
        <v>6984</v>
      </c>
      <c r="IAZ18" t="s">
        <v>6984</v>
      </c>
      <c r="IBA18" t="s">
        <v>6984</v>
      </c>
      <c r="IBB18" t="s">
        <v>6984</v>
      </c>
      <c r="IBC18" t="s">
        <v>6984</v>
      </c>
      <c r="IBD18" t="s">
        <v>6984</v>
      </c>
      <c r="IBE18" t="s">
        <v>6984</v>
      </c>
      <c r="IBF18" t="s">
        <v>6984</v>
      </c>
      <c r="IBG18" t="s">
        <v>6984</v>
      </c>
      <c r="IBH18" t="s">
        <v>6984</v>
      </c>
      <c r="IBI18" t="s">
        <v>6984</v>
      </c>
      <c r="IBJ18" t="s">
        <v>6984</v>
      </c>
      <c r="IBK18" t="s">
        <v>6984</v>
      </c>
      <c r="IBL18" t="s">
        <v>6984</v>
      </c>
      <c r="IBM18" t="s">
        <v>6984</v>
      </c>
      <c r="IBN18" t="s">
        <v>6984</v>
      </c>
      <c r="IBO18" t="s">
        <v>6984</v>
      </c>
      <c r="IBP18" t="s">
        <v>6984</v>
      </c>
      <c r="IBQ18" t="s">
        <v>6984</v>
      </c>
      <c r="IBR18" t="s">
        <v>6984</v>
      </c>
      <c r="IBS18" t="s">
        <v>6984</v>
      </c>
      <c r="IBT18" t="s">
        <v>6984</v>
      </c>
      <c r="IBU18" t="s">
        <v>6984</v>
      </c>
      <c r="IBV18" t="s">
        <v>6984</v>
      </c>
      <c r="IBW18" t="s">
        <v>6984</v>
      </c>
      <c r="IBX18" t="s">
        <v>6984</v>
      </c>
      <c r="IBY18" t="s">
        <v>6984</v>
      </c>
      <c r="IBZ18" t="s">
        <v>6984</v>
      </c>
      <c r="ICA18" t="s">
        <v>6984</v>
      </c>
      <c r="ICB18" t="s">
        <v>6984</v>
      </c>
      <c r="ICC18" t="s">
        <v>6984</v>
      </c>
      <c r="ICD18" t="s">
        <v>6984</v>
      </c>
      <c r="ICE18" t="s">
        <v>6984</v>
      </c>
      <c r="ICF18" t="s">
        <v>6984</v>
      </c>
      <c r="ICG18" t="s">
        <v>6984</v>
      </c>
      <c r="ICH18" t="s">
        <v>6984</v>
      </c>
      <c r="ICI18" t="s">
        <v>6984</v>
      </c>
      <c r="ICJ18" t="s">
        <v>6984</v>
      </c>
      <c r="ICK18" t="s">
        <v>6984</v>
      </c>
      <c r="ICL18" t="s">
        <v>6984</v>
      </c>
      <c r="ICM18" t="s">
        <v>6984</v>
      </c>
      <c r="ICN18" t="s">
        <v>6984</v>
      </c>
      <c r="ICO18" t="s">
        <v>6984</v>
      </c>
      <c r="ICP18" t="s">
        <v>6984</v>
      </c>
      <c r="ICQ18" t="s">
        <v>6984</v>
      </c>
      <c r="ICR18" t="s">
        <v>6984</v>
      </c>
      <c r="ICS18" t="s">
        <v>6984</v>
      </c>
      <c r="ICT18" t="s">
        <v>6984</v>
      </c>
      <c r="ICU18" t="s">
        <v>6984</v>
      </c>
      <c r="ICV18" t="s">
        <v>6984</v>
      </c>
      <c r="ICW18" t="s">
        <v>6984</v>
      </c>
      <c r="ICX18" t="s">
        <v>6984</v>
      </c>
      <c r="ICY18" t="s">
        <v>6984</v>
      </c>
      <c r="ICZ18" t="s">
        <v>6984</v>
      </c>
      <c r="IDA18" t="s">
        <v>6984</v>
      </c>
      <c r="IDB18" t="s">
        <v>6984</v>
      </c>
      <c r="IDC18" t="s">
        <v>6984</v>
      </c>
      <c r="IDD18" t="s">
        <v>6984</v>
      </c>
      <c r="IDE18" t="s">
        <v>6984</v>
      </c>
      <c r="IDF18" t="s">
        <v>6984</v>
      </c>
      <c r="IDG18" t="s">
        <v>6984</v>
      </c>
      <c r="IDH18" t="s">
        <v>6984</v>
      </c>
      <c r="IDI18" t="s">
        <v>6984</v>
      </c>
      <c r="IDJ18" t="s">
        <v>6984</v>
      </c>
      <c r="IDK18" t="s">
        <v>6984</v>
      </c>
      <c r="IDL18" t="s">
        <v>6984</v>
      </c>
      <c r="IDM18" t="s">
        <v>6984</v>
      </c>
      <c r="IDN18" t="s">
        <v>6984</v>
      </c>
      <c r="IDO18" t="s">
        <v>6984</v>
      </c>
      <c r="IDP18" t="s">
        <v>6984</v>
      </c>
      <c r="IDQ18" t="s">
        <v>6984</v>
      </c>
      <c r="IDR18" t="s">
        <v>6984</v>
      </c>
      <c r="IDS18" t="s">
        <v>6984</v>
      </c>
      <c r="IDT18" t="s">
        <v>6984</v>
      </c>
      <c r="IDU18" t="s">
        <v>6984</v>
      </c>
      <c r="IDV18" t="s">
        <v>6984</v>
      </c>
      <c r="IDW18" t="s">
        <v>6984</v>
      </c>
      <c r="IDX18" t="s">
        <v>6984</v>
      </c>
      <c r="IDY18" t="s">
        <v>6984</v>
      </c>
      <c r="IDZ18" t="s">
        <v>6984</v>
      </c>
      <c r="IEA18" t="s">
        <v>6984</v>
      </c>
      <c r="IEB18" t="s">
        <v>6984</v>
      </c>
      <c r="IEC18" t="s">
        <v>6984</v>
      </c>
      <c r="IED18" t="s">
        <v>6984</v>
      </c>
      <c r="IEE18" t="s">
        <v>6984</v>
      </c>
      <c r="IEF18" t="s">
        <v>6984</v>
      </c>
      <c r="IEG18" t="s">
        <v>6984</v>
      </c>
      <c r="IEH18" t="s">
        <v>6984</v>
      </c>
      <c r="IEI18" t="s">
        <v>6984</v>
      </c>
      <c r="IEJ18" t="s">
        <v>6984</v>
      </c>
      <c r="IEK18" t="s">
        <v>6984</v>
      </c>
      <c r="IEL18" t="s">
        <v>6984</v>
      </c>
      <c r="IEM18" t="s">
        <v>6984</v>
      </c>
      <c r="IEN18" t="s">
        <v>6984</v>
      </c>
      <c r="IEO18" t="s">
        <v>6984</v>
      </c>
      <c r="IEP18" t="s">
        <v>6984</v>
      </c>
      <c r="IEQ18" t="s">
        <v>6984</v>
      </c>
      <c r="IER18" t="s">
        <v>6984</v>
      </c>
      <c r="IES18" t="s">
        <v>6984</v>
      </c>
      <c r="IET18" t="s">
        <v>6984</v>
      </c>
      <c r="IEU18" t="s">
        <v>6984</v>
      </c>
      <c r="IEV18" t="s">
        <v>6984</v>
      </c>
      <c r="IEW18" t="s">
        <v>6984</v>
      </c>
      <c r="IEX18" t="s">
        <v>6984</v>
      </c>
      <c r="IEY18" t="s">
        <v>6984</v>
      </c>
      <c r="IEZ18" t="s">
        <v>6984</v>
      </c>
      <c r="IFA18" t="s">
        <v>6984</v>
      </c>
      <c r="IFB18" t="s">
        <v>6984</v>
      </c>
      <c r="IFC18" t="s">
        <v>6984</v>
      </c>
      <c r="IFD18" t="s">
        <v>6984</v>
      </c>
      <c r="IFE18" t="s">
        <v>6984</v>
      </c>
      <c r="IFF18" t="s">
        <v>6984</v>
      </c>
      <c r="IFG18" t="s">
        <v>6984</v>
      </c>
      <c r="IFH18" t="s">
        <v>6984</v>
      </c>
      <c r="IFI18" t="s">
        <v>6984</v>
      </c>
      <c r="IFJ18" t="s">
        <v>6984</v>
      </c>
      <c r="IFK18" t="s">
        <v>6984</v>
      </c>
      <c r="IFL18" t="s">
        <v>6984</v>
      </c>
      <c r="IFM18" t="s">
        <v>6984</v>
      </c>
      <c r="IFN18" t="s">
        <v>6984</v>
      </c>
      <c r="IFO18" t="s">
        <v>6984</v>
      </c>
      <c r="IFP18" t="s">
        <v>6984</v>
      </c>
      <c r="IFQ18" t="s">
        <v>6984</v>
      </c>
      <c r="IFR18" t="s">
        <v>6984</v>
      </c>
      <c r="IFS18" t="s">
        <v>6984</v>
      </c>
      <c r="IFT18" t="s">
        <v>6984</v>
      </c>
      <c r="IFU18" t="s">
        <v>6984</v>
      </c>
      <c r="IFV18" t="s">
        <v>6984</v>
      </c>
      <c r="IFW18" t="s">
        <v>6984</v>
      </c>
      <c r="IFX18" t="s">
        <v>6984</v>
      </c>
      <c r="IFY18" t="s">
        <v>6984</v>
      </c>
      <c r="IFZ18" t="s">
        <v>6984</v>
      </c>
      <c r="IGA18" t="s">
        <v>6984</v>
      </c>
      <c r="IGB18" t="s">
        <v>6984</v>
      </c>
      <c r="IGC18" t="s">
        <v>6984</v>
      </c>
      <c r="IGD18" t="s">
        <v>6984</v>
      </c>
      <c r="IGE18" t="s">
        <v>6984</v>
      </c>
      <c r="IGF18" t="s">
        <v>6984</v>
      </c>
      <c r="IGG18" t="s">
        <v>6984</v>
      </c>
      <c r="IGH18" t="s">
        <v>6984</v>
      </c>
      <c r="IGI18" t="s">
        <v>6984</v>
      </c>
      <c r="IGJ18" t="s">
        <v>6984</v>
      </c>
      <c r="IGK18" t="s">
        <v>6984</v>
      </c>
      <c r="IGL18" t="s">
        <v>6984</v>
      </c>
      <c r="IGM18" t="s">
        <v>6984</v>
      </c>
      <c r="IGN18" t="s">
        <v>6984</v>
      </c>
      <c r="IGO18" t="s">
        <v>6984</v>
      </c>
      <c r="IGP18" t="s">
        <v>6984</v>
      </c>
      <c r="IGQ18" t="s">
        <v>6984</v>
      </c>
      <c r="IGR18" t="s">
        <v>6984</v>
      </c>
      <c r="IGS18" t="s">
        <v>6984</v>
      </c>
      <c r="IGT18" t="s">
        <v>6984</v>
      </c>
      <c r="IGU18" t="s">
        <v>6984</v>
      </c>
      <c r="IGV18" t="s">
        <v>6984</v>
      </c>
      <c r="IGW18" t="s">
        <v>6984</v>
      </c>
      <c r="IGX18" t="s">
        <v>6984</v>
      </c>
      <c r="IGY18" t="s">
        <v>6984</v>
      </c>
      <c r="IGZ18" t="s">
        <v>6984</v>
      </c>
      <c r="IHA18" t="s">
        <v>6984</v>
      </c>
      <c r="IHB18" t="s">
        <v>6984</v>
      </c>
      <c r="IHC18" t="s">
        <v>6984</v>
      </c>
      <c r="IHD18" t="s">
        <v>6984</v>
      </c>
      <c r="IHE18" t="s">
        <v>6984</v>
      </c>
      <c r="IHF18" t="s">
        <v>6984</v>
      </c>
      <c r="IHG18" t="s">
        <v>6984</v>
      </c>
      <c r="IHH18" t="s">
        <v>6984</v>
      </c>
      <c r="IHI18" t="s">
        <v>6984</v>
      </c>
      <c r="IHJ18" t="s">
        <v>6984</v>
      </c>
      <c r="IHK18" t="s">
        <v>6984</v>
      </c>
      <c r="IHL18" t="s">
        <v>6984</v>
      </c>
      <c r="IHM18" t="s">
        <v>6984</v>
      </c>
      <c r="IHN18" t="s">
        <v>6984</v>
      </c>
      <c r="IHO18" t="s">
        <v>6984</v>
      </c>
      <c r="IHP18" t="s">
        <v>6984</v>
      </c>
      <c r="IHQ18" t="s">
        <v>6984</v>
      </c>
      <c r="IHR18" t="s">
        <v>6984</v>
      </c>
      <c r="IHS18" t="s">
        <v>6984</v>
      </c>
      <c r="IHT18" t="s">
        <v>6984</v>
      </c>
      <c r="IHU18" t="s">
        <v>6984</v>
      </c>
      <c r="IHV18" t="s">
        <v>6984</v>
      </c>
      <c r="IHW18" t="s">
        <v>6984</v>
      </c>
      <c r="IHX18" t="s">
        <v>6984</v>
      </c>
      <c r="IHY18" t="s">
        <v>6984</v>
      </c>
      <c r="IHZ18" t="s">
        <v>6984</v>
      </c>
      <c r="IIA18" t="s">
        <v>6984</v>
      </c>
      <c r="IIB18" t="s">
        <v>6984</v>
      </c>
      <c r="IIC18" t="s">
        <v>6984</v>
      </c>
      <c r="IID18" t="s">
        <v>6984</v>
      </c>
      <c r="IIE18" t="s">
        <v>6984</v>
      </c>
      <c r="IIF18" t="s">
        <v>6984</v>
      </c>
      <c r="IIG18" t="s">
        <v>6984</v>
      </c>
      <c r="IIH18" t="s">
        <v>6984</v>
      </c>
      <c r="III18" t="s">
        <v>6984</v>
      </c>
      <c r="IIJ18" t="s">
        <v>6984</v>
      </c>
      <c r="IIK18" t="s">
        <v>6984</v>
      </c>
      <c r="IIL18" t="s">
        <v>6984</v>
      </c>
      <c r="IIM18" t="s">
        <v>6984</v>
      </c>
      <c r="IIN18" t="s">
        <v>6984</v>
      </c>
      <c r="IIO18" t="s">
        <v>6984</v>
      </c>
      <c r="IIP18" t="s">
        <v>6984</v>
      </c>
      <c r="IIQ18" t="s">
        <v>6984</v>
      </c>
      <c r="IIR18" t="s">
        <v>6984</v>
      </c>
      <c r="IIS18" t="s">
        <v>6984</v>
      </c>
      <c r="IIT18" t="s">
        <v>6984</v>
      </c>
      <c r="IIU18" t="s">
        <v>6984</v>
      </c>
      <c r="IIV18" t="s">
        <v>6984</v>
      </c>
      <c r="IIW18" t="s">
        <v>6984</v>
      </c>
      <c r="IIX18" t="s">
        <v>6984</v>
      </c>
      <c r="IIY18" t="s">
        <v>6984</v>
      </c>
      <c r="IIZ18" t="s">
        <v>6984</v>
      </c>
      <c r="IJA18" t="s">
        <v>6984</v>
      </c>
      <c r="IJB18" t="s">
        <v>6984</v>
      </c>
      <c r="IJC18" t="s">
        <v>6984</v>
      </c>
      <c r="IJD18" t="s">
        <v>6984</v>
      </c>
      <c r="IJE18" t="s">
        <v>6984</v>
      </c>
      <c r="IJF18" t="s">
        <v>6984</v>
      </c>
      <c r="IJG18" t="s">
        <v>6984</v>
      </c>
      <c r="IJH18" t="s">
        <v>6984</v>
      </c>
      <c r="IJI18" t="s">
        <v>6984</v>
      </c>
      <c r="IJJ18" t="s">
        <v>6984</v>
      </c>
      <c r="IJK18" t="s">
        <v>6984</v>
      </c>
      <c r="IJL18" t="s">
        <v>6984</v>
      </c>
      <c r="IJM18" t="s">
        <v>6984</v>
      </c>
      <c r="IJN18" t="s">
        <v>6984</v>
      </c>
      <c r="IJO18" t="s">
        <v>6984</v>
      </c>
      <c r="IJP18" t="s">
        <v>6984</v>
      </c>
      <c r="IJQ18" t="s">
        <v>6984</v>
      </c>
      <c r="IJR18" t="s">
        <v>6984</v>
      </c>
      <c r="IJS18" t="s">
        <v>6984</v>
      </c>
      <c r="IJT18" t="s">
        <v>6984</v>
      </c>
      <c r="IJU18" t="s">
        <v>6984</v>
      </c>
      <c r="IJV18" t="s">
        <v>6984</v>
      </c>
      <c r="IJW18" t="s">
        <v>6984</v>
      </c>
      <c r="IJX18" t="s">
        <v>6984</v>
      </c>
      <c r="IJY18" t="s">
        <v>6984</v>
      </c>
      <c r="IJZ18" t="s">
        <v>6984</v>
      </c>
      <c r="IKA18" t="s">
        <v>6984</v>
      </c>
      <c r="IKB18" t="s">
        <v>6984</v>
      </c>
      <c r="IKC18" t="s">
        <v>6984</v>
      </c>
      <c r="IKD18" t="s">
        <v>6984</v>
      </c>
      <c r="IKE18" t="s">
        <v>6984</v>
      </c>
      <c r="IKF18" t="s">
        <v>6984</v>
      </c>
      <c r="IKG18" t="s">
        <v>6984</v>
      </c>
      <c r="IKH18" t="s">
        <v>6984</v>
      </c>
      <c r="IKI18" t="s">
        <v>6984</v>
      </c>
      <c r="IKJ18" t="s">
        <v>6984</v>
      </c>
      <c r="IKK18" t="s">
        <v>6984</v>
      </c>
      <c r="IKL18" t="s">
        <v>6984</v>
      </c>
      <c r="IKM18" t="s">
        <v>6984</v>
      </c>
      <c r="IKN18" t="s">
        <v>6984</v>
      </c>
      <c r="IKO18" t="s">
        <v>6984</v>
      </c>
      <c r="IKP18" t="s">
        <v>6984</v>
      </c>
      <c r="IKQ18" t="s">
        <v>6984</v>
      </c>
      <c r="IKR18" t="s">
        <v>6984</v>
      </c>
      <c r="IKS18" t="s">
        <v>6984</v>
      </c>
      <c r="IKT18" t="s">
        <v>6984</v>
      </c>
      <c r="IKU18" t="s">
        <v>6984</v>
      </c>
      <c r="IKV18" t="s">
        <v>6984</v>
      </c>
      <c r="IKW18" t="s">
        <v>6984</v>
      </c>
      <c r="IKX18" t="s">
        <v>6984</v>
      </c>
      <c r="IKY18" t="s">
        <v>6984</v>
      </c>
      <c r="IKZ18" t="s">
        <v>6984</v>
      </c>
      <c r="ILA18" t="s">
        <v>6984</v>
      </c>
      <c r="ILB18" t="s">
        <v>6984</v>
      </c>
      <c r="ILC18" t="s">
        <v>6984</v>
      </c>
      <c r="ILD18" t="s">
        <v>6984</v>
      </c>
      <c r="ILE18" t="s">
        <v>6984</v>
      </c>
      <c r="ILF18" t="s">
        <v>6984</v>
      </c>
      <c r="ILG18" t="s">
        <v>6984</v>
      </c>
      <c r="ILH18" t="s">
        <v>6984</v>
      </c>
      <c r="ILI18" t="s">
        <v>6984</v>
      </c>
      <c r="ILJ18" t="s">
        <v>6984</v>
      </c>
      <c r="ILK18" t="s">
        <v>6984</v>
      </c>
      <c r="ILL18" t="s">
        <v>6984</v>
      </c>
      <c r="ILM18" t="s">
        <v>6984</v>
      </c>
      <c r="ILN18" t="s">
        <v>6984</v>
      </c>
      <c r="ILO18" t="s">
        <v>6984</v>
      </c>
      <c r="ILP18" t="s">
        <v>6984</v>
      </c>
      <c r="ILQ18" t="s">
        <v>6984</v>
      </c>
      <c r="ILR18" t="s">
        <v>6984</v>
      </c>
      <c r="ILS18" t="s">
        <v>6984</v>
      </c>
      <c r="ILT18" t="s">
        <v>6984</v>
      </c>
      <c r="ILU18" t="s">
        <v>6984</v>
      </c>
      <c r="ILV18" t="s">
        <v>6984</v>
      </c>
      <c r="ILW18" t="s">
        <v>6984</v>
      </c>
      <c r="ILX18" t="s">
        <v>6984</v>
      </c>
      <c r="ILY18" t="s">
        <v>6984</v>
      </c>
      <c r="ILZ18" t="s">
        <v>6984</v>
      </c>
      <c r="IMA18" t="s">
        <v>6984</v>
      </c>
      <c r="IMB18" t="s">
        <v>6984</v>
      </c>
      <c r="IMC18" t="s">
        <v>6984</v>
      </c>
      <c r="IMD18" t="s">
        <v>6984</v>
      </c>
      <c r="IME18" t="s">
        <v>6984</v>
      </c>
      <c r="IMF18" t="s">
        <v>6984</v>
      </c>
      <c r="IMG18" t="s">
        <v>6984</v>
      </c>
      <c r="IMH18" t="s">
        <v>6984</v>
      </c>
      <c r="IMI18" t="s">
        <v>6984</v>
      </c>
      <c r="IMJ18" t="s">
        <v>6984</v>
      </c>
      <c r="IMK18" t="s">
        <v>6984</v>
      </c>
      <c r="IML18" t="s">
        <v>6984</v>
      </c>
      <c r="IMM18" t="s">
        <v>6984</v>
      </c>
      <c r="IMN18" t="s">
        <v>6984</v>
      </c>
      <c r="IMO18" t="s">
        <v>6984</v>
      </c>
      <c r="IMP18" t="s">
        <v>6984</v>
      </c>
      <c r="IMQ18" t="s">
        <v>6984</v>
      </c>
      <c r="IMR18" t="s">
        <v>6984</v>
      </c>
      <c r="IMS18" t="s">
        <v>6984</v>
      </c>
      <c r="IMT18" t="s">
        <v>6984</v>
      </c>
      <c r="IMU18" t="s">
        <v>6984</v>
      </c>
      <c r="IMV18" t="s">
        <v>6984</v>
      </c>
      <c r="IMW18" t="s">
        <v>6984</v>
      </c>
      <c r="IMX18" t="s">
        <v>6984</v>
      </c>
      <c r="IMY18" t="s">
        <v>6984</v>
      </c>
      <c r="IMZ18" t="s">
        <v>6984</v>
      </c>
      <c r="INA18" t="s">
        <v>6984</v>
      </c>
      <c r="INB18" t="s">
        <v>6984</v>
      </c>
      <c r="INC18" t="s">
        <v>6984</v>
      </c>
      <c r="IND18" t="s">
        <v>6984</v>
      </c>
      <c r="INE18" t="s">
        <v>6984</v>
      </c>
      <c r="INF18" t="s">
        <v>6984</v>
      </c>
      <c r="ING18" t="s">
        <v>6984</v>
      </c>
      <c r="INH18" t="s">
        <v>6984</v>
      </c>
      <c r="INI18" t="s">
        <v>6984</v>
      </c>
      <c r="INJ18" t="s">
        <v>6984</v>
      </c>
      <c r="INK18" t="s">
        <v>6984</v>
      </c>
      <c r="INL18" t="s">
        <v>6984</v>
      </c>
      <c r="INM18" t="s">
        <v>6984</v>
      </c>
      <c r="INN18" t="s">
        <v>6984</v>
      </c>
      <c r="INO18" t="s">
        <v>6984</v>
      </c>
      <c r="INP18" t="s">
        <v>6984</v>
      </c>
      <c r="INQ18" t="s">
        <v>6984</v>
      </c>
      <c r="INR18" t="s">
        <v>6984</v>
      </c>
      <c r="INS18" t="s">
        <v>6984</v>
      </c>
      <c r="INT18" t="s">
        <v>6984</v>
      </c>
      <c r="INU18" t="s">
        <v>6984</v>
      </c>
      <c r="INV18" t="s">
        <v>6984</v>
      </c>
      <c r="INW18" t="s">
        <v>6984</v>
      </c>
      <c r="INX18" t="s">
        <v>6984</v>
      </c>
      <c r="INY18" t="s">
        <v>6984</v>
      </c>
      <c r="INZ18" t="s">
        <v>6984</v>
      </c>
      <c r="IOA18" t="s">
        <v>6984</v>
      </c>
      <c r="IOB18" t="s">
        <v>6984</v>
      </c>
      <c r="IOC18" t="s">
        <v>6984</v>
      </c>
      <c r="IOD18" t="s">
        <v>6984</v>
      </c>
      <c r="IOE18" t="s">
        <v>6984</v>
      </c>
      <c r="IOF18" t="s">
        <v>6984</v>
      </c>
      <c r="IOG18" t="s">
        <v>6984</v>
      </c>
      <c r="IOH18" t="s">
        <v>6984</v>
      </c>
      <c r="IOI18" t="s">
        <v>6984</v>
      </c>
      <c r="IOJ18" t="s">
        <v>6984</v>
      </c>
      <c r="IOK18" t="s">
        <v>6984</v>
      </c>
      <c r="IOL18" t="s">
        <v>6984</v>
      </c>
      <c r="IOM18" t="s">
        <v>6984</v>
      </c>
      <c r="ION18" t="s">
        <v>6984</v>
      </c>
      <c r="IOO18" t="s">
        <v>6984</v>
      </c>
      <c r="IOP18" t="s">
        <v>6984</v>
      </c>
      <c r="IOQ18" t="s">
        <v>6984</v>
      </c>
      <c r="IOR18" t="s">
        <v>6984</v>
      </c>
      <c r="IOS18" t="s">
        <v>6984</v>
      </c>
      <c r="IOT18" t="s">
        <v>6984</v>
      </c>
      <c r="IOU18" t="s">
        <v>6984</v>
      </c>
      <c r="IOV18" t="s">
        <v>6984</v>
      </c>
      <c r="IOW18" t="s">
        <v>6984</v>
      </c>
      <c r="IOX18" t="s">
        <v>6984</v>
      </c>
      <c r="IOY18" t="s">
        <v>6984</v>
      </c>
      <c r="IOZ18" t="s">
        <v>6984</v>
      </c>
      <c r="IPA18" t="s">
        <v>6984</v>
      </c>
      <c r="IPB18" t="s">
        <v>6984</v>
      </c>
      <c r="IPC18" t="s">
        <v>6984</v>
      </c>
      <c r="IPD18" t="s">
        <v>6984</v>
      </c>
      <c r="IPE18" t="s">
        <v>6984</v>
      </c>
      <c r="IPF18" t="s">
        <v>6984</v>
      </c>
      <c r="IPG18" t="s">
        <v>6984</v>
      </c>
      <c r="IPH18" t="s">
        <v>6984</v>
      </c>
      <c r="IPI18" t="s">
        <v>6984</v>
      </c>
      <c r="IPJ18" t="s">
        <v>6984</v>
      </c>
      <c r="IPK18" t="s">
        <v>6984</v>
      </c>
      <c r="IPL18" t="s">
        <v>6984</v>
      </c>
      <c r="IPM18" t="s">
        <v>6984</v>
      </c>
      <c r="IPN18" t="s">
        <v>6984</v>
      </c>
      <c r="IPO18" t="s">
        <v>6984</v>
      </c>
      <c r="IPP18" t="s">
        <v>6984</v>
      </c>
      <c r="IPQ18" t="s">
        <v>6984</v>
      </c>
      <c r="IPR18" t="s">
        <v>6984</v>
      </c>
      <c r="IPS18" t="s">
        <v>6984</v>
      </c>
      <c r="IPT18" t="s">
        <v>6984</v>
      </c>
      <c r="IPU18" t="s">
        <v>6984</v>
      </c>
      <c r="IPV18" t="s">
        <v>6984</v>
      </c>
      <c r="IPW18" t="s">
        <v>6984</v>
      </c>
      <c r="IPX18" t="s">
        <v>6984</v>
      </c>
      <c r="IPY18" t="s">
        <v>6984</v>
      </c>
      <c r="IPZ18" t="s">
        <v>6984</v>
      </c>
      <c r="IQA18" t="s">
        <v>6984</v>
      </c>
      <c r="IQB18" t="s">
        <v>6984</v>
      </c>
      <c r="IQC18" t="s">
        <v>6984</v>
      </c>
      <c r="IQD18" t="s">
        <v>6984</v>
      </c>
      <c r="IQE18" t="s">
        <v>6984</v>
      </c>
      <c r="IQF18" t="s">
        <v>6984</v>
      </c>
      <c r="IQG18" t="s">
        <v>6984</v>
      </c>
      <c r="IQH18" t="s">
        <v>6984</v>
      </c>
      <c r="IQI18" t="s">
        <v>6984</v>
      </c>
      <c r="IQJ18" t="s">
        <v>6984</v>
      </c>
      <c r="IQK18" t="s">
        <v>6984</v>
      </c>
      <c r="IQL18" t="s">
        <v>6984</v>
      </c>
      <c r="IQM18" t="s">
        <v>6984</v>
      </c>
      <c r="IQN18" t="s">
        <v>6984</v>
      </c>
      <c r="IQO18" t="s">
        <v>6984</v>
      </c>
      <c r="IQP18" t="s">
        <v>6984</v>
      </c>
      <c r="IQQ18" t="s">
        <v>6984</v>
      </c>
      <c r="IQR18" t="s">
        <v>6984</v>
      </c>
      <c r="IQS18" t="s">
        <v>6984</v>
      </c>
      <c r="IQT18" t="s">
        <v>6984</v>
      </c>
      <c r="IQU18" t="s">
        <v>6984</v>
      </c>
      <c r="IQV18" t="s">
        <v>6984</v>
      </c>
      <c r="IQW18" t="s">
        <v>6984</v>
      </c>
      <c r="IQX18" t="s">
        <v>6984</v>
      </c>
      <c r="IQY18" t="s">
        <v>6984</v>
      </c>
      <c r="IQZ18" t="s">
        <v>6984</v>
      </c>
      <c r="IRA18" t="s">
        <v>6984</v>
      </c>
      <c r="IRB18" t="s">
        <v>6984</v>
      </c>
      <c r="IRC18" t="s">
        <v>6984</v>
      </c>
      <c r="IRD18" t="s">
        <v>6984</v>
      </c>
      <c r="IRE18" t="s">
        <v>6984</v>
      </c>
      <c r="IRF18" t="s">
        <v>6984</v>
      </c>
      <c r="IRG18" t="s">
        <v>6984</v>
      </c>
      <c r="IRH18" t="s">
        <v>6984</v>
      </c>
      <c r="IRI18" t="s">
        <v>6984</v>
      </c>
      <c r="IRJ18" t="s">
        <v>6984</v>
      </c>
      <c r="IRK18" t="s">
        <v>6984</v>
      </c>
      <c r="IRL18" t="s">
        <v>6984</v>
      </c>
      <c r="IRM18" t="s">
        <v>6984</v>
      </c>
      <c r="IRN18" t="s">
        <v>6984</v>
      </c>
      <c r="IRO18" t="s">
        <v>6984</v>
      </c>
      <c r="IRP18" t="s">
        <v>6984</v>
      </c>
      <c r="IRQ18" t="s">
        <v>6984</v>
      </c>
      <c r="IRR18" t="s">
        <v>6984</v>
      </c>
      <c r="IRS18" t="s">
        <v>6984</v>
      </c>
      <c r="IRT18" t="s">
        <v>6984</v>
      </c>
      <c r="IRU18" t="s">
        <v>6984</v>
      </c>
      <c r="IRV18" t="s">
        <v>6984</v>
      </c>
      <c r="IRW18" t="s">
        <v>6984</v>
      </c>
      <c r="IRX18" t="s">
        <v>6984</v>
      </c>
      <c r="IRY18" t="s">
        <v>6984</v>
      </c>
      <c r="IRZ18" t="s">
        <v>6984</v>
      </c>
      <c r="ISA18" t="s">
        <v>6984</v>
      </c>
      <c r="ISB18" t="s">
        <v>6984</v>
      </c>
      <c r="ISC18" t="s">
        <v>6984</v>
      </c>
      <c r="ISD18" t="s">
        <v>6984</v>
      </c>
      <c r="ISE18" t="s">
        <v>6984</v>
      </c>
      <c r="ISF18" t="s">
        <v>6984</v>
      </c>
      <c r="ISG18" t="s">
        <v>6984</v>
      </c>
      <c r="ISH18" t="s">
        <v>6984</v>
      </c>
      <c r="ISI18" t="s">
        <v>6984</v>
      </c>
      <c r="ISJ18" t="s">
        <v>6984</v>
      </c>
      <c r="ISK18" t="s">
        <v>6984</v>
      </c>
      <c r="ISL18" t="s">
        <v>6984</v>
      </c>
      <c r="ISM18" t="s">
        <v>6984</v>
      </c>
      <c r="ISN18" t="s">
        <v>6984</v>
      </c>
      <c r="ISO18" t="s">
        <v>6984</v>
      </c>
      <c r="ISP18" t="s">
        <v>6984</v>
      </c>
      <c r="ISQ18" t="s">
        <v>6984</v>
      </c>
      <c r="ISR18" t="s">
        <v>6984</v>
      </c>
      <c r="ISS18" t="s">
        <v>6984</v>
      </c>
      <c r="IST18" t="s">
        <v>6984</v>
      </c>
      <c r="ISU18" t="s">
        <v>6984</v>
      </c>
      <c r="ISV18" t="s">
        <v>6984</v>
      </c>
      <c r="ISW18" t="s">
        <v>6984</v>
      </c>
      <c r="ISX18" t="s">
        <v>6984</v>
      </c>
      <c r="ISY18" t="s">
        <v>6984</v>
      </c>
      <c r="ISZ18" t="s">
        <v>6984</v>
      </c>
      <c r="ITA18" t="s">
        <v>6984</v>
      </c>
      <c r="ITB18" t="s">
        <v>6984</v>
      </c>
      <c r="ITC18" t="s">
        <v>6984</v>
      </c>
      <c r="ITD18" t="s">
        <v>6984</v>
      </c>
      <c r="ITE18" t="s">
        <v>6984</v>
      </c>
      <c r="ITF18" t="s">
        <v>6984</v>
      </c>
      <c r="ITG18" t="s">
        <v>6984</v>
      </c>
      <c r="ITH18" t="s">
        <v>6984</v>
      </c>
      <c r="ITI18" t="s">
        <v>6984</v>
      </c>
      <c r="ITJ18" t="s">
        <v>6984</v>
      </c>
      <c r="ITK18" t="s">
        <v>6984</v>
      </c>
      <c r="ITL18" t="s">
        <v>6984</v>
      </c>
      <c r="ITM18" t="s">
        <v>6984</v>
      </c>
      <c r="ITN18" t="s">
        <v>6984</v>
      </c>
      <c r="ITO18" t="s">
        <v>6984</v>
      </c>
      <c r="ITP18" t="s">
        <v>6984</v>
      </c>
      <c r="ITQ18" t="s">
        <v>6984</v>
      </c>
      <c r="ITR18" t="s">
        <v>6984</v>
      </c>
      <c r="ITS18" t="s">
        <v>6984</v>
      </c>
      <c r="ITT18" t="s">
        <v>6984</v>
      </c>
      <c r="ITU18" t="s">
        <v>6984</v>
      </c>
      <c r="ITV18" t="s">
        <v>6984</v>
      </c>
      <c r="ITW18" t="s">
        <v>6984</v>
      </c>
      <c r="ITX18" t="s">
        <v>6984</v>
      </c>
      <c r="ITY18" t="s">
        <v>6984</v>
      </c>
      <c r="ITZ18" t="s">
        <v>6984</v>
      </c>
      <c r="IUA18" t="s">
        <v>6984</v>
      </c>
      <c r="IUB18" t="s">
        <v>6984</v>
      </c>
      <c r="IUC18" t="s">
        <v>6984</v>
      </c>
      <c r="IUD18" t="s">
        <v>6984</v>
      </c>
      <c r="IUE18" t="s">
        <v>6984</v>
      </c>
      <c r="IUF18" t="s">
        <v>6984</v>
      </c>
      <c r="IUG18" t="s">
        <v>6984</v>
      </c>
      <c r="IUH18" t="s">
        <v>6984</v>
      </c>
      <c r="IUI18" t="s">
        <v>6984</v>
      </c>
      <c r="IUJ18" t="s">
        <v>6984</v>
      </c>
      <c r="IUK18" t="s">
        <v>6984</v>
      </c>
      <c r="IUL18" t="s">
        <v>6984</v>
      </c>
      <c r="IUM18" t="s">
        <v>6984</v>
      </c>
      <c r="IUN18" t="s">
        <v>6984</v>
      </c>
      <c r="IUO18" t="s">
        <v>6984</v>
      </c>
      <c r="IUP18" t="s">
        <v>6984</v>
      </c>
      <c r="IUQ18" t="s">
        <v>6984</v>
      </c>
      <c r="IUR18" t="s">
        <v>6984</v>
      </c>
      <c r="IUS18" t="s">
        <v>6984</v>
      </c>
      <c r="IUT18" t="s">
        <v>6984</v>
      </c>
      <c r="IUU18" t="s">
        <v>6984</v>
      </c>
      <c r="IUV18" t="s">
        <v>6984</v>
      </c>
      <c r="IUW18" t="s">
        <v>6984</v>
      </c>
      <c r="IUX18" t="s">
        <v>6984</v>
      </c>
      <c r="IUY18" t="s">
        <v>6984</v>
      </c>
      <c r="IUZ18" t="s">
        <v>6984</v>
      </c>
      <c r="IVA18" t="s">
        <v>6984</v>
      </c>
      <c r="IVB18" t="s">
        <v>6984</v>
      </c>
      <c r="IVC18" t="s">
        <v>6984</v>
      </c>
      <c r="IVD18" t="s">
        <v>6984</v>
      </c>
      <c r="IVE18" t="s">
        <v>6984</v>
      </c>
      <c r="IVF18" t="s">
        <v>6984</v>
      </c>
      <c r="IVG18" t="s">
        <v>6984</v>
      </c>
      <c r="IVH18" t="s">
        <v>6984</v>
      </c>
      <c r="IVI18" t="s">
        <v>6984</v>
      </c>
      <c r="IVJ18" t="s">
        <v>6984</v>
      </c>
      <c r="IVK18" t="s">
        <v>6984</v>
      </c>
      <c r="IVL18" t="s">
        <v>6984</v>
      </c>
      <c r="IVM18" t="s">
        <v>6984</v>
      </c>
      <c r="IVN18" t="s">
        <v>6984</v>
      </c>
      <c r="IVO18" t="s">
        <v>6984</v>
      </c>
      <c r="IVP18" t="s">
        <v>6984</v>
      </c>
      <c r="IVQ18" t="s">
        <v>6984</v>
      </c>
      <c r="IVR18" t="s">
        <v>6984</v>
      </c>
      <c r="IVS18" t="s">
        <v>6984</v>
      </c>
      <c r="IVT18" t="s">
        <v>6984</v>
      </c>
      <c r="IVU18" t="s">
        <v>6984</v>
      </c>
      <c r="IVV18" t="s">
        <v>6984</v>
      </c>
      <c r="IVW18" t="s">
        <v>6984</v>
      </c>
      <c r="IVX18" t="s">
        <v>6984</v>
      </c>
      <c r="IVY18" t="s">
        <v>6984</v>
      </c>
      <c r="IVZ18" t="s">
        <v>6984</v>
      </c>
      <c r="IWA18" t="s">
        <v>6984</v>
      </c>
      <c r="IWB18" t="s">
        <v>6984</v>
      </c>
      <c r="IWC18" t="s">
        <v>6984</v>
      </c>
      <c r="IWD18" t="s">
        <v>6984</v>
      </c>
      <c r="IWE18" t="s">
        <v>6984</v>
      </c>
      <c r="IWF18" t="s">
        <v>6984</v>
      </c>
      <c r="IWG18" t="s">
        <v>6984</v>
      </c>
      <c r="IWH18" t="s">
        <v>6984</v>
      </c>
      <c r="IWI18" t="s">
        <v>6984</v>
      </c>
      <c r="IWJ18" t="s">
        <v>6984</v>
      </c>
      <c r="IWK18" t="s">
        <v>6984</v>
      </c>
      <c r="IWL18" t="s">
        <v>6984</v>
      </c>
      <c r="IWM18" t="s">
        <v>6984</v>
      </c>
      <c r="IWN18" t="s">
        <v>6984</v>
      </c>
      <c r="IWO18" t="s">
        <v>6984</v>
      </c>
      <c r="IWP18" t="s">
        <v>6984</v>
      </c>
      <c r="IWQ18" t="s">
        <v>6984</v>
      </c>
      <c r="IWR18" t="s">
        <v>6984</v>
      </c>
      <c r="IWS18" t="s">
        <v>6984</v>
      </c>
      <c r="IWT18" t="s">
        <v>6984</v>
      </c>
      <c r="IWU18" t="s">
        <v>6984</v>
      </c>
      <c r="IWV18" t="s">
        <v>6984</v>
      </c>
      <c r="IWW18" t="s">
        <v>6984</v>
      </c>
      <c r="IWX18" t="s">
        <v>6984</v>
      </c>
      <c r="IWY18" t="s">
        <v>6984</v>
      </c>
      <c r="IWZ18" t="s">
        <v>6984</v>
      </c>
      <c r="IXA18" t="s">
        <v>6984</v>
      </c>
      <c r="IXB18" t="s">
        <v>6984</v>
      </c>
      <c r="IXC18" t="s">
        <v>6984</v>
      </c>
      <c r="IXD18" t="s">
        <v>6984</v>
      </c>
      <c r="IXE18" t="s">
        <v>6984</v>
      </c>
      <c r="IXF18" t="s">
        <v>6984</v>
      </c>
      <c r="IXG18" t="s">
        <v>6984</v>
      </c>
      <c r="IXH18" t="s">
        <v>6984</v>
      </c>
      <c r="IXI18" t="s">
        <v>6984</v>
      </c>
      <c r="IXJ18" t="s">
        <v>6984</v>
      </c>
      <c r="IXK18" t="s">
        <v>6984</v>
      </c>
      <c r="IXL18" t="s">
        <v>6984</v>
      </c>
      <c r="IXM18" t="s">
        <v>6984</v>
      </c>
      <c r="IXN18" t="s">
        <v>6984</v>
      </c>
      <c r="IXO18" t="s">
        <v>6984</v>
      </c>
      <c r="IXP18" t="s">
        <v>6984</v>
      </c>
      <c r="IXQ18" t="s">
        <v>6984</v>
      </c>
      <c r="IXR18" t="s">
        <v>6984</v>
      </c>
      <c r="IXS18" t="s">
        <v>6984</v>
      </c>
      <c r="IXT18" t="s">
        <v>6984</v>
      </c>
      <c r="IXU18" t="s">
        <v>6984</v>
      </c>
      <c r="IXV18" t="s">
        <v>6984</v>
      </c>
      <c r="IXW18" t="s">
        <v>6984</v>
      </c>
      <c r="IXX18" t="s">
        <v>6984</v>
      </c>
      <c r="IXY18" t="s">
        <v>6984</v>
      </c>
      <c r="IXZ18" t="s">
        <v>6984</v>
      </c>
      <c r="IYA18" t="s">
        <v>6984</v>
      </c>
      <c r="IYB18" t="s">
        <v>6984</v>
      </c>
      <c r="IYC18" t="s">
        <v>6984</v>
      </c>
      <c r="IYD18" t="s">
        <v>6984</v>
      </c>
      <c r="IYE18" t="s">
        <v>6984</v>
      </c>
      <c r="IYF18" t="s">
        <v>6984</v>
      </c>
      <c r="IYG18" t="s">
        <v>6984</v>
      </c>
      <c r="IYH18" t="s">
        <v>6984</v>
      </c>
      <c r="IYI18" t="s">
        <v>6984</v>
      </c>
      <c r="IYJ18" t="s">
        <v>6984</v>
      </c>
      <c r="IYK18" t="s">
        <v>6984</v>
      </c>
      <c r="IYL18" t="s">
        <v>6984</v>
      </c>
      <c r="IYM18" t="s">
        <v>6984</v>
      </c>
      <c r="IYN18" t="s">
        <v>6984</v>
      </c>
      <c r="IYO18" t="s">
        <v>6984</v>
      </c>
      <c r="IYP18" t="s">
        <v>6984</v>
      </c>
      <c r="IYQ18" t="s">
        <v>6984</v>
      </c>
      <c r="IYR18" t="s">
        <v>6984</v>
      </c>
      <c r="IYS18" t="s">
        <v>6984</v>
      </c>
      <c r="IYT18" t="s">
        <v>6984</v>
      </c>
      <c r="IYU18" t="s">
        <v>6984</v>
      </c>
      <c r="IYV18" t="s">
        <v>6984</v>
      </c>
      <c r="IYW18" t="s">
        <v>6984</v>
      </c>
      <c r="IYX18" t="s">
        <v>6984</v>
      </c>
      <c r="IYY18" t="s">
        <v>6984</v>
      </c>
      <c r="IYZ18" t="s">
        <v>6984</v>
      </c>
      <c r="IZA18" t="s">
        <v>6984</v>
      </c>
      <c r="IZB18" t="s">
        <v>6984</v>
      </c>
      <c r="IZC18" t="s">
        <v>6984</v>
      </c>
      <c r="IZD18" t="s">
        <v>6984</v>
      </c>
      <c r="IZE18" t="s">
        <v>6984</v>
      </c>
      <c r="IZF18" t="s">
        <v>6984</v>
      </c>
      <c r="IZG18" t="s">
        <v>6984</v>
      </c>
      <c r="IZH18" t="s">
        <v>6984</v>
      </c>
      <c r="IZI18" t="s">
        <v>6984</v>
      </c>
      <c r="IZJ18" t="s">
        <v>6984</v>
      </c>
      <c r="IZK18" t="s">
        <v>6984</v>
      </c>
      <c r="IZL18" t="s">
        <v>6984</v>
      </c>
      <c r="IZM18" t="s">
        <v>6984</v>
      </c>
      <c r="IZN18" t="s">
        <v>6984</v>
      </c>
      <c r="IZO18" t="s">
        <v>6984</v>
      </c>
      <c r="IZP18" t="s">
        <v>6984</v>
      </c>
      <c r="IZQ18" t="s">
        <v>6984</v>
      </c>
      <c r="IZR18" t="s">
        <v>6984</v>
      </c>
      <c r="IZS18" t="s">
        <v>6984</v>
      </c>
      <c r="IZT18" t="s">
        <v>6984</v>
      </c>
      <c r="IZU18" t="s">
        <v>6984</v>
      </c>
      <c r="IZV18" t="s">
        <v>6984</v>
      </c>
      <c r="IZW18" t="s">
        <v>6984</v>
      </c>
      <c r="IZX18" t="s">
        <v>6984</v>
      </c>
      <c r="IZY18" t="s">
        <v>6984</v>
      </c>
      <c r="IZZ18" t="s">
        <v>6984</v>
      </c>
      <c r="JAA18" t="s">
        <v>6984</v>
      </c>
      <c r="JAB18" t="s">
        <v>6984</v>
      </c>
      <c r="JAC18" t="s">
        <v>6984</v>
      </c>
      <c r="JAD18" t="s">
        <v>6984</v>
      </c>
      <c r="JAE18" t="s">
        <v>6984</v>
      </c>
      <c r="JAF18" t="s">
        <v>6984</v>
      </c>
      <c r="JAG18" t="s">
        <v>6984</v>
      </c>
      <c r="JAH18" t="s">
        <v>6984</v>
      </c>
      <c r="JAI18" t="s">
        <v>6984</v>
      </c>
      <c r="JAJ18" t="s">
        <v>6984</v>
      </c>
      <c r="JAK18" t="s">
        <v>6984</v>
      </c>
      <c r="JAL18" t="s">
        <v>6984</v>
      </c>
      <c r="JAM18" t="s">
        <v>6984</v>
      </c>
      <c r="JAN18" t="s">
        <v>6984</v>
      </c>
      <c r="JAO18" t="s">
        <v>6984</v>
      </c>
      <c r="JAP18" t="s">
        <v>6984</v>
      </c>
      <c r="JAQ18" t="s">
        <v>6984</v>
      </c>
      <c r="JAR18" t="s">
        <v>6984</v>
      </c>
      <c r="JAS18" t="s">
        <v>6984</v>
      </c>
      <c r="JAT18" t="s">
        <v>6984</v>
      </c>
      <c r="JAU18" t="s">
        <v>6984</v>
      </c>
      <c r="JAV18" t="s">
        <v>6984</v>
      </c>
      <c r="JAW18" t="s">
        <v>6984</v>
      </c>
      <c r="JAX18" t="s">
        <v>6984</v>
      </c>
      <c r="JAY18" t="s">
        <v>6984</v>
      </c>
      <c r="JAZ18" t="s">
        <v>6984</v>
      </c>
      <c r="JBA18" t="s">
        <v>6984</v>
      </c>
      <c r="JBB18" t="s">
        <v>6984</v>
      </c>
      <c r="JBC18" t="s">
        <v>6984</v>
      </c>
      <c r="JBD18" t="s">
        <v>6984</v>
      </c>
      <c r="JBE18" t="s">
        <v>6984</v>
      </c>
      <c r="JBF18" t="s">
        <v>6984</v>
      </c>
      <c r="JBG18" t="s">
        <v>6984</v>
      </c>
      <c r="JBH18" t="s">
        <v>6984</v>
      </c>
      <c r="JBI18" t="s">
        <v>6984</v>
      </c>
      <c r="JBJ18" t="s">
        <v>6984</v>
      </c>
      <c r="JBK18" t="s">
        <v>6984</v>
      </c>
      <c r="JBL18" t="s">
        <v>6984</v>
      </c>
      <c r="JBM18" t="s">
        <v>6984</v>
      </c>
      <c r="JBN18" t="s">
        <v>6984</v>
      </c>
      <c r="JBO18" t="s">
        <v>6984</v>
      </c>
      <c r="JBP18" t="s">
        <v>6984</v>
      </c>
      <c r="JBQ18" t="s">
        <v>6984</v>
      </c>
      <c r="JBR18" t="s">
        <v>6984</v>
      </c>
      <c r="JBS18" t="s">
        <v>6984</v>
      </c>
      <c r="JBT18" t="s">
        <v>6984</v>
      </c>
      <c r="JBU18" t="s">
        <v>6984</v>
      </c>
      <c r="JBV18" t="s">
        <v>6984</v>
      </c>
      <c r="JBW18" t="s">
        <v>6984</v>
      </c>
      <c r="JBX18" t="s">
        <v>6984</v>
      </c>
      <c r="JBY18" t="s">
        <v>6984</v>
      </c>
      <c r="JBZ18" t="s">
        <v>6984</v>
      </c>
      <c r="JCA18" t="s">
        <v>6984</v>
      </c>
      <c r="JCB18" t="s">
        <v>6984</v>
      </c>
      <c r="JCC18" t="s">
        <v>6984</v>
      </c>
      <c r="JCD18" t="s">
        <v>6984</v>
      </c>
      <c r="JCE18" t="s">
        <v>6984</v>
      </c>
      <c r="JCF18" t="s">
        <v>6984</v>
      </c>
      <c r="JCG18" t="s">
        <v>6984</v>
      </c>
      <c r="JCH18" t="s">
        <v>6984</v>
      </c>
      <c r="JCI18" t="s">
        <v>6984</v>
      </c>
      <c r="JCJ18" t="s">
        <v>6984</v>
      </c>
      <c r="JCK18" t="s">
        <v>6984</v>
      </c>
      <c r="JCL18" t="s">
        <v>6984</v>
      </c>
      <c r="JCM18" t="s">
        <v>6984</v>
      </c>
      <c r="JCN18" t="s">
        <v>6984</v>
      </c>
      <c r="JCO18" t="s">
        <v>6984</v>
      </c>
      <c r="JCP18" t="s">
        <v>6984</v>
      </c>
      <c r="JCQ18" t="s">
        <v>6984</v>
      </c>
      <c r="JCR18" t="s">
        <v>6984</v>
      </c>
      <c r="JCS18" t="s">
        <v>6984</v>
      </c>
      <c r="JCT18" t="s">
        <v>6984</v>
      </c>
      <c r="JCU18" t="s">
        <v>6984</v>
      </c>
      <c r="JCV18" t="s">
        <v>6984</v>
      </c>
      <c r="JCW18" t="s">
        <v>6984</v>
      </c>
      <c r="JCX18" t="s">
        <v>6984</v>
      </c>
      <c r="JCY18" t="s">
        <v>6984</v>
      </c>
      <c r="JCZ18" t="s">
        <v>6984</v>
      </c>
      <c r="JDA18" t="s">
        <v>6984</v>
      </c>
      <c r="JDB18" t="s">
        <v>6984</v>
      </c>
      <c r="JDC18" t="s">
        <v>6984</v>
      </c>
      <c r="JDD18" t="s">
        <v>6984</v>
      </c>
      <c r="JDE18" t="s">
        <v>6984</v>
      </c>
      <c r="JDF18" t="s">
        <v>6984</v>
      </c>
      <c r="JDG18" t="s">
        <v>6984</v>
      </c>
      <c r="JDH18" t="s">
        <v>6984</v>
      </c>
      <c r="JDI18" t="s">
        <v>6984</v>
      </c>
      <c r="JDJ18" t="s">
        <v>6984</v>
      </c>
      <c r="JDK18" t="s">
        <v>6984</v>
      </c>
      <c r="JDL18" t="s">
        <v>6984</v>
      </c>
      <c r="JDM18" t="s">
        <v>6984</v>
      </c>
      <c r="JDN18" t="s">
        <v>6984</v>
      </c>
      <c r="JDO18" t="s">
        <v>6984</v>
      </c>
      <c r="JDP18" t="s">
        <v>6984</v>
      </c>
      <c r="JDQ18" t="s">
        <v>6984</v>
      </c>
      <c r="JDR18" t="s">
        <v>6984</v>
      </c>
      <c r="JDS18" t="s">
        <v>6984</v>
      </c>
      <c r="JDT18" t="s">
        <v>6984</v>
      </c>
      <c r="JDU18" t="s">
        <v>6984</v>
      </c>
      <c r="JDV18" t="s">
        <v>6984</v>
      </c>
      <c r="JDW18" t="s">
        <v>6984</v>
      </c>
      <c r="JDX18" t="s">
        <v>6984</v>
      </c>
      <c r="JDY18" t="s">
        <v>6984</v>
      </c>
      <c r="JDZ18" t="s">
        <v>6984</v>
      </c>
      <c r="JEA18" t="s">
        <v>6984</v>
      </c>
      <c r="JEB18" t="s">
        <v>6984</v>
      </c>
      <c r="JEC18" t="s">
        <v>6984</v>
      </c>
      <c r="JED18" t="s">
        <v>6984</v>
      </c>
      <c r="JEE18" t="s">
        <v>6984</v>
      </c>
      <c r="JEF18" t="s">
        <v>6984</v>
      </c>
      <c r="JEG18" t="s">
        <v>6984</v>
      </c>
      <c r="JEH18" t="s">
        <v>6984</v>
      </c>
      <c r="JEI18" t="s">
        <v>6984</v>
      </c>
      <c r="JEJ18" t="s">
        <v>6984</v>
      </c>
      <c r="JEK18" t="s">
        <v>6984</v>
      </c>
      <c r="JEL18" t="s">
        <v>6984</v>
      </c>
      <c r="JEM18" t="s">
        <v>6984</v>
      </c>
      <c r="JEN18" t="s">
        <v>6984</v>
      </c>
      <c r="JEO18" t="s">
        <v>6984</v>
      </c>
      <c r="JEP18" t="s">
        <v>6984</v>
      </c>
      <c r="JEQ18" t="s">
        <v>6984</v>
      </c>
      <c r="JER18" t="s">
        <v>6984</v>
      </c>
      <c r="JES18" t="s">
        <v>6984</v>
      </c>
      <c r="JET18" t="s">
        <v>6984</v>
      </c>
      <c r="JEU18" t="s">
        <v>6984</v>
      </c>
      <c r="JEV18" t="s">
        <v>6984</v>
      </c>
      <c r="JEW18" t="s">
        <v>6984</v>
      </c>
      <c r="JEX18" t="s">
        <v>6984</v>
      </c>
      <c r="JEY18" t="s">
        <v>6984</v>
      </c>
      <c r="JEZ18" t="s">
        <v>6984</v>
      </c>
      <c r="JFA18" t="s">
        <v>6984</v>
      </c>
      <c r="JFB18" t="s">
        <v>6984</v>
      </c>
      <c r="JFC18" t="s">
        <v>6984</v>
      </c>
      <c r="JFD18" t="s">
        <v>6984</v>
      </c>
      <c r="JFE18" t="s">
        <v>6984</v>
      </c>
      <c r="JFF18" t="s">
        <v>6984</v>
      </c>
      <c r="JFG18" t="s">
        <v>6984</v>
      </c>
      <c r="JFH18" t="s">
        <v>6984</v>
      </c>
      <c r="JFI18" t="s">
        <v>6984</v>
      </c>
      <c r="JFJ18" t="s">
        <v>6984</v>
      </c>
      <c r="JFK18" t="s">
        <v>6984</v>
      </c>
      <c r="JFL18" t="s">
        <v>6984</v>
      </c>
      <c r="JFM18" t="s">
        <v>6984</v>
      </c>
      <c r="JFN18" t="s">
        <v>6984</v>
      </c>
      <c r="JFO18" t="s">
        <v>6984</v>
      </c>
      <c r="JFP18" t="s">
        <v>6984</v>
      </c>
      <c r="JFQ18" t="s">
        <v>6984</v>
      </c>
      <c r="JFR18" t="s">
        <v>6984</v>
      </c>
      <c r="JFS18" t="s">
        <v>6984</v>
      </c>
      <c r="JFT18" t="s">
        <v>6984</v>
      </c>
      <c r="JFU18" t="s">
        <v>6984</v>
      </c>
      <c r="JFV18" t="s">
        <v>6984</v>
      </c>
      <c r="JFW18" t="s">
        <v>6984</v>
      </c>
      <c r="JFX18" t="s">
        <v>6984</v>
      </c>
      <c r="JFY18" t="s">
        <v>6984</v>
      </c>
      <c r="JFZ18" t="s">
        <v>6984</v>
      </c>
      <c r="JGA18" t="s">
        <v>6984</v>
      </c>
      <c r="JGB18" t="s">
        <v>6984</v>
      </c>
      <c r="JGC18" t="s">
        <v>6984</v>
      </c>
      <c r="JGD18" t="s">
        <v>6984</v>
      </c>
      <c r="JGE18" t="s">
        <v>6984</v>
      </c>
      <c r="JGF18" t="s">
        <v>6984</v>
      </c>
      <c r="JGG18" t="s">
        <v>6984</v>
      </c>
      <c r="JGH18" t="s">
        <v>6984</v>
      </c>
      <c r="JGI18" t="s">
        <v>6984</v>
      </c>
      <c r="JGJ18" t="s">
        <v>6984</v>
      </c>
      <c r="JGK18" t="s">
        <v>6984</v>
      </c>
      <c r="JGL18" t="s">
        <v>6984</v>
      </c>
      <c r="JGM18" t="s">
        <v>6984</v>
      </c>
      <c r="JGN18" t="s">
        <v>6984</v>
      </c>
      <c r="JGO18" t="s">
        <v>6984</v>
      </c>
      <c r="JGP18" t="s">
        <v>6984</v>
      </c>
      <c r="JGQ18" t="s">
        <v>6984</v>
      </c>
      <c r="JGR18" t="s">
        <v>6984</v>
      </c>
      <c r="JGS18" t="s">
        <v>6984</v>
      </c>
      <c r="JGT18" t="s">
        <v>6984</v>
      </c>
      <c r="JGU18" t="s">
        <v>6984</v>
      </c>
      <c r="JGV18" t="s">
        <v>6984</v>
      </c>
      <c r="JGW18" t="s">
        <v>6984</v>
      </c>
      <c r="JGX18" t="s">
        <v>6984</v>
      </c>
      <c r="JGY18" t="s">
        <v>6984</v>
      </c>
      <c r="JGZ18" t="s">
        <v>6984</v>
      </c>
      <c r="JHA18" t="s">
        <v>6984</v>
      </c>
      <c r="JHB18" t="s">
        <v>6984</v>
      </c>
      <c r="JHC18" t="s">
        <v>6984</v>
      </c>
      <c r="JHD18" t="s">
        <v>6984</v>
      </c>
      <c r="JHE18" t="s">
        <v>6984</v>
      </c>
      <c r="JHF18" t="s">
        <v>6984</v>
      </c>
      <c r="JHG18" t="s">
        <v>6984</v>
      </c>
      <c r="JHH18" t="s">
        <v>6984</v>
      </c>
      <c r="JHI18" t="s">
        <v>6984</v>
      </c>
      <c r="JHJ18" t="s">
        <v>6984</v>
      </c>
      <c r="JHK18" t="s">
        <v>6984</v>
      </c>
      <c r="JHL18" t="s">
        <v>6984</v>
      </c>
      <c r="JHM18" t="s">
        <v>6984</v>
      </c>
      <c r="JHN18" t="s">
        <v>6984</v>
      </c>
      <c r="JHO18" t="s">
        <v>6984</v>
      </c>
      <c r="JHP18" t="s">
        <v>6984</v>
      </c>
      <c r="JHQ18" t="s">
        <v>6984</v>
      </c>
      <c r="JHR18" t="s">
        <v>6984</v>
      </c>
      <c r="JHS18" t="s">
        <v>6984</v>
      </c>
      <c r="JHT18" t="s">
        <v>6984</v>
      </c>
      <c r="JHU18" t="s">
        <v>6984</v>
      </c>
      <c r="JHV18" t="s">
        <v>6984</v>
      </c>
      <c r="JHW18" t="s">
        <v>6984</v>
      </c>
      <c r="JHX18" t="s">
        <v>6984</v>
      </c>
      <c r="JHY18" t="s">
        <v>6984</v>
      </c>
      <c r="JHZ18" t="s">
        <v>6984</v>
      </c>
      <c r="JIA18" t="s">
        <v>6984</v>
      </c>
      <c r="JIB18" t="s">
        <v>6984</v>
      </c>
      <c r="JIC18" t="s">
        <v>6984</v>
      </c>
      <c r="JID18" t="s">
        <v>6984</v>
      </c>
      <c r="JIE18" t="s">
        <v>6984</v>
      </c>
      <c r="JIF18" t="s">
        <v>6984</v>
      </c>
      <c r="JIG18" t="s">
        <v>6984</v>
      </c>
      <c r="JIH18" t="s">
        <v>6984</v>
      </c>
      <c r="JII18" t="s">
        <v>6984</v>
      </c>
      <c r="JIJ18" t="s">
        <v>6984</v>
      </c>
      <c r="JIK18" t="s">
        <v>6984</v>
      </c>
      <c r="JIL18" t="s">
        <v>6984</v>
      </c>
      <c r="JIM18" t="s">
        <v>6984</v>
      </c>
      <c r="JIN18" t="s">
        <v>6984</v>
      </c>
      <c r="JIO18" t="s">
        <v>6984</v>
      </c>
      <c r="JIP18" t="s">
        <v>6984</v>
      </c>
      <c r="JIQ18" t="s">
        <v>6984</v>
      </c>
      <c r="JIR18" t="s">
        <v>6984</v>
      </c>
      <c r="JIS18" t="s">
        <v>6984</v>
      </c>
      <c r="JIT18" t="s">
        <v>6984</v>
      </c>
      <c r="JIU18" t="s">
        <v>6984</v>
      </c>
      <c r="JIV18" t="s">
        <v>6984</v>
      </c>
      <c r="JIW18" t="s">
        <v>6984</v>
      </c>
      <c r="JIX18" t="s">
        <v>6984</v>
      </c>
      <c r="JIY18" t="s">
        <v>6984</v>
      </c>
      <c r="JIZ18" t="s">
        <v>6984</v>
      </c>
      <c r="JJA18" t="s">
        <v>6984</v>
      </c>
    </row>
    <row r="19" spans="1:7021" x14ac:dyDescent="0.25">
      <c r="A19" t="s">
        <v>7000</v>
      </c>
      <c r="B19">
        <v>96.3</v>
      </c>
      <c r="C19">
        <v>96.3</v>
      </c>
      <c r="D19">
        <v>96.3</v>
      </c>
      <c r="E19">
        <v>96.344999999999999</v>
      </c>
      <c r="F19">
        <v>96.284999999999997</v>
      </c>
      <c r="G19">
        <v>96.3</v>
      </c>
      <c r="H19">
        <v>96.344999999999999</v>
      </c>
      <c r="I19">
        <v>96.295000000000002</v>
      </c>
      <c r="J19">
        <v>96.23</v>
      </c>
      <c r="K19">
        <v>96.22</v>
      </c>
      <c r="L19">
        <v>96.194999999999993</v>
      </c>
      <c r="M19">
        <v>96.314999999999998</v>
      </c>
      <c r="N19">
        <v>96.36</v>
      </c>
      <c r="O19">
        <v>96.275000000000006</v>
      </c>
      <c r="P19">
        <v>96.284999999999997</v>
      </c>
      <c r="Q19">
        <v>96.334999999999994</v>
      </c>
      <c r="R19">
        <v>96.314999999999998</v>
      </c>
      <c r="S19">
        <v>96.275000000000006</v>
      </c>
      <c r="T19">
        <v>96.32</v>
      </c>
      <c r="U19">
        <v>96.234999999999999</v>
      </c>
      <c r="V19">
        <v>96.234999999999999</v>
      </c>
      <c r="W19">
        <v>96.185000000000002</v>
      </c>
      <c r="X19">
        <v>96.135000000000005</v>
      </c>
      <c r="Y19">
        <v>96.24</v>
      </c>
      <c r="Z19">
        <v>96.224999999999994</v>
      </c>
      <c r="AA19">
        <v>96.24</v>
      </c>
      <c r="AB19">
        <v>96.22</v>
      </c>
      <c r="AC19">
        <v>96.135000000000005</v>
      </c>
      <c r="AD19">
        <v>96.17</v>
      </c>
      <c r="AE19">
        <v>96.194999999999993</v>
      </c>
      <c r="AF19">
        <v>96.295000000000002</v>
      </c>
      <c r="AG19">
        <v>96.295000000000002</v>
      </c>
      <c r="AH19">
        <v>96.42</v>
      </c>
      <c r="AI19">
        <v>96.38</v>
      </c>
      <c r="AJ19">
        <v>96.344999999999999</v>
      </c>
      <c r="AK19">
        <v>96.36</v>
      </c>
      <c r="AL19">
        <v>96.444999999999993</v>
      </c>
      <c r="AM19">
        <v>96.49</v>
      </c>
      <c r="AN19">
        <v>96.474999999999994</v>
      </c>
      <c r="AO19">
        <v>96.424999999999997</v>
      </c>
      <c r="AP19">
        <v>96.36</v>
      </c>
      <c r="AQ19">
        <v>96.31</v>
      </c>
      <c r="AR19">
        <v>96.23</v>
      </c>
      <c r="AS19">
        <v>96.24</v>
      </c>
      <c r="AT19">
        <v>96.24</v>
      </c>
      <c r="AU19">
        <v>96.295000000000002</v>
      </c>
      <c r="AV19">
        <v>96.295000000000002</v>
      </c>
      <c r="AW19">
        <v>96.334999999999994</v>
      </c>
      <c r="AX19">
        <v>96.27</v>
      </c>
      <c r="AY19">
        <v>96.234999999999999</v>
      </c>
      <c r="AZ19">
        <v>96.094999999999999</v>
      </c>
      <c r="BA19">
        <v>96.24</v>
      </c>
      <c r="BB19">
        <v>96.165000000000006</v>
      </c>
      <c r="BC19">
        <v>96.36</v>
      </c>
      <c r="BD19">
        <v>96.43</v>
      </c>
      <c r="BE19">
        <v>96.58</v>
      </c>
      <c r="BF19">
        <v>96.515000000000001</v>
      </c>
      <c r="BG19">
        <v>96.325000000000003</v>
      </c>
      <c r="BH19">
        <v>96.38</v>
      </c>
      <c r="BI19">
        <v>96.284999999999997</v>
      </c>
      <c r="BJ19">
        <v>96.27</v>
      </c>
      <c r="BK19">
        <v>96.15</v>
      </c>
      <c r="BL19">
        <v>96.18</v>
      </c>
      <c r="BM19">
        <v>96.194999999999993</v>
      </c>
      <c r="BN19">
        <v>96.155000000000001</v>
      </c>
      <c r="BO19">
        <v>96.24</v>
      </c>
      <c r="BP19">
        <v>96.245000000000005</v>
      </c>
      <c r="BQ19">
        <v>96.215000000000003</v>
      </c>
      <c r="BR19">
        <v>96.224999999999994</v>
      </c>
      <c r="BS19">
        <v>96.18</v>
      </c>
      <c r="BT19">
        <v>96.18</v>
      </c>
      <c r="BU19">
        <v>96.234999999999999</v>
      </c>
      <c r="BV19">
        <v>96.18</v>
      </c>
      <c r="BW19">
        <v>96.215000000000003</v>
      </c>
      <c r="BX19">
        <v>96.305000000000007</v>
      </c>
      <c r="BY19">
        <v>96.16</v>
      </c>
      <c r="BZ19">
        <v>96.19</v>
      </c>
      <c r="CA19">
        <v>96.21</v>
      </c>
      <c r="CB19">
        <v>96.29</v>
      </c>
      <c r="CC19">
        <v>96.325000000000003</v>
      </c>
      <c r="CD19">
        <v>96.284999999999997</v>
      </c>
      <c r="CE19">
        <v>96.215000000000003</v>
      </c>
      <c r="CF19">
        <v>96.254999999999995</v>
      </c>
      <c r="CG19">
        <v>96.185000000000002</v>
      </c>
      <c r="CH19">
        <v>96.05</v>
      </c>
      <c r="CI19">
        <v>96.02</v>
      </c>
      <c r="CJ19">
        <v>95.935000000000002</v>
      </c>
      <c r="CK19">
        <v>95.894999999999996</v>
      </c>
      <c r="CL19">
        <v>95.885000000000005</v>
      </c>
      <c r="CM19">
        <v>95.96</v>
      </c>
      <c r="CN19">
        <v>95.96</v>
      </c>
      <c r="CO19">
        <v>95.89</v>
      </c>
      <c r="CP19">
        <v>95.77</v>
      </c>
      <c r="CQ19">
        <v>95.915000000000006</v>
      </c>
      <c r="CR19">
        <v>95.965000000000003</v>
      </c>
      <c r="CS19">
        <v>95.96</v>
      </c>
      <c r="CT19">
        <v>96.02</v>
      </c>
      <c r="CU19">
        <v>96.07</v>
      </c>
      <c r="CV19">
        <v>95.965000000000003</v>
      </c>
      <c r="CW19">
        <v>95.93</v>
      </c>
      <c r="CX19">
        <v>95.89</v>
      </c>
      <c r="CY19">
        <v>95.954999999999998</v>
      </c>
      <c r="CZ19">
        <v>95.905000000000001</v>
      </c>
      <c r="DA19">
        <v>95.915000000000006</v>
      </c>
      <c r="DB19">
        <v>95.935000000000002</v>
      </c>
      <c r="DC19">
        <v>95.83</v>
      </c>
      <c r="DD19">
        <v>95.825000000000003</v>
      </c>
      <c r="DE19">
        <v>95.855000000000004</v>
      </c>
      <c r="DF19">
        <v>95.885000000000005</v>
      </c>
      <c r="DG19">
        <v>95.85</v>
      </c>
      <c r="DH19">
        <v>95.85</v>
      </c>
      <c r="DI19">
        <v>95.85</v>
      </c>
      <c r="DJ19">
        <v>95.79</v>
      </c>
      <c r="DK19">
        <v>95.635000000000005</v>
      </c>
      <c r="DL19">
        <v>95.63</v>
      </c>
      <c r="DM19">
        <v>95.674999999999997</v>
      </c>
      <c r="DN19">
        <v>95.79</v>
      </c>
      <c r="DO19">
        <v>95.77</v>
      </c>
      <c r="DP19">
        <v>95.78</v>
      </c>
      <c r="DQ19">
        <v>95.864999999999995</v>
      </c>
      <c r="DR19">
        <v>95.924999999999997</v>
      </c>
      <c r="DS19">
        <v>95.944999999999993</v>
      </c>
      <c r="DT19">
        <v>95.935000000000002</v>
      </c>
      <c r="DU19">
        <v>95.935000000000002</v>
      </c>
      <c r="DV19">
        <v>95.97</v>
      </c>
      <c r="DW19">
        <v>95.88</v>
      </c>
      <c r="DX19">
        <v>95.93</v>
      </c>
      <c r="DY19">
        <v>95.915000000000006</v>
      </c>
      <c r="DZ19">
        <v>95.915000000000006</v>
      </c>
      <c r="EA19">
        <v>95.894999999999996</v>
      </c>
      <c r="EB19">
        <v>95.99</v>
      </c>
      <c r="EC19">
        <v>95.924999999999997</v>
      </c>
      <c r="ED19">
        <v>96.04</v>
      </c>
      <c r="EE19">
        <v>96.17</v>
      </c>
      <c r="EF19">
        <v>96.16</v>
      </c>
      <c r="EG19">
        <v>96.17</v>
      </c>
      <c r="EH19">
        <v>96.245000000000005</v>
      </c>
      <c r="EI19">
        <v>96.305000000000007</v>
      </c>
      <c r="EJ19">
        <v>96.364999999999995</v>
      </c>
      <c r="EK19">
        <v>96.39</v>
      </c>
      <c r="EL19">
        <v>96.424999999999997</v>
      </c>
      <c r="EM19">
        <v>96.385000000000005</v>
      </c>
      <c r="EN19">
        <v>96.385000000000005</v>
      </c>
      <c r="EO19">
        <v>96.355000000000004</v>
      </c>
      <c r="EP19">
        <v>96.39</v>
      </c>
      <c r="EQ19">
        <v>96.394999999999996</v>
      </c>
      <c r="ER19">
        <v>96.36</v>
      </c>
      <c r="ES19">
        <v>96.36</v>
      </c>
      <c r="ET19">
        <v>96.28</v>
      </c>
      <c r="EU19">
        <v>96.334999999999994</v>
      </c>
      <c r="EV19">
        <v>96.19</v>
      </c>
      <c r="EW19">
        <v>96.16</v>
      </c>
      <c r="EX19">
        <v>96.18</v>
      </c>
      <c r="EY19">
        <v>96.204999999999998</v>
      </c>
      <c r="EZ19">
        <v>96.17</v>
      </c>
      <c r="FA19">
        <v>96.155000000000001</v>
      </c>
      <c r="FB19">
        <v>96.155000000000001</v>
      </c>
      <c r="FC19">
        <v>96.135000000000005</v>
      </c>
      <c r="FD19">
        <v>96.15</v>
      </c>
      <c r="FE19">
        <v>96.194999999999993</v>
      </c>
      <c r="FF19">
        <v>96.254999999999995</v>
      </c>
      <c r="FG19">
        <v>96.224999999999994</v>
      </c>
      <c r="FH19">
        <v>96.135000000000005</v>
      </c>
      <c r="FI19">
        <v>96.295000000000002</v>
      </c>
      <c r="FJ19">
        <v>96.27</v>
      </c>
      <c r="FK19">
        <v>96.224999999999994</v>
      </c>
      <c r="FL19">
        <v>96.28</v>
      </c>
      <c r="FM19">
        <v>96.3</v>
      </c>
      <c r="FN19">
        <v>96.305000000000007</v>
      </c>
      <c r="FO19">
        <v>96.295000000000002</v>
      </c>
      <c r="FP19">
        <v>96.334999999999994</v>
      </c>
      <c r="FQ19">
        <v>96.36</v>
      </c>
      <c r="FR19">
        <v>96.31</v>
      </c>
      <c r="FS19">
        <v>96.36</v>
      </c>
      <c r="FT19">
        <v>96.385000000000005</v>
      </c>
      <c r="FU19">
        <v>96.5</v>
      </c>
      <c r="FV19">
        <v>96.48</v>
      </c>
      <c r="FW19">
        <v>96.564999999999998</v>
      </c>
      <c r="FX19">
        <v>96.55</v>
      </c>
      <c r="FY19">
        <v>96.46</v>
      </c>
      <c r="FZ19">
        <v>96.51</v>
      </c>
      <c r="GA19">
        <v>96.49</v>
      </c>
      <c r="GB19">
        <v>96.525000000000006</v>
      </c>
      <c r="GC19">
        <v>96.56</v>
      </c>
      <c r="GD19">
        <v>96.57</v>
      </c>
      <c r="GE19">
        <v>96.6</v>
      </c>
      <c r="GF19">
        <v>96.715000000000003</v>
      </c>
      <c r="GG19">
        <v>96.79</v>
      </c>
      <c r="GH19">
        <v>96.83</v>
      </c>
      <c r="GI19">
        <v>96.754999999999995</v>
      </c>
      <c r="GJ19">
        <v>96.8</v>
      </c>
      <c r="GK19">
        <v>96.765000000000001</v>
      </c>
      <c r="GL19">
        <v>96.76</v>
      </c>
      <c r="GM19">
        <v>96.8</v>
      </c>
      <c r="GN19">
        <v>96.8</v>
      </c>
      <c r="GO19">
        <v>96.82</v>
      </c>
      <c r="GP19">
        <v>96.81</v>
      </c>
      <c r="GQ19">
        <v>96.885000000000005</v>
      </c>
      <c r="GR19">
        <v>96.96</v>
      </c>
      <c r="GS19">
        <v>96.97</v>
      </c>
      <c r="GT19">
        <v>96.96</v>
      </c>
      <c r="GU19">
        <v>96.95</v>
      </c>
      <c r="GV19">
        <v>96.984999999999999</v>
      </c>
      <c r="GW19">
        <v>96.99</v>
      </c>
      <c r="GX19">
        <v>96.93</v>
      </c>
      <c r="GY19">
        <v>96.91</v>
      </c>
      <c r="GZ19">
        <v>96.9</v>
      </c>
      <c r="HA19">
        <v>96.87</v>
      </c>
      <c r="HB19">
        <v>96.81</v>
      </c>
      <c r="HC19">
        <v>96.73</v>
      </c>
      <c r="HD19">
        <v>96.73</v>
      </c>
      <c r="HE19">
        <v>96.78</v>
      </c>
      <c r="HF19">
        <v>96.8</v>
      </c>
      <c r="HG19">
        <v>96.805000000000007</v>
      </c>
      <c r="HH19">
        <v>96.82</v>
      </c>
      <c r="HI19">
        <v>96.82</v>
      </c>
      <c r="HJ19">
        <v>96.754999999999995</v>
      </c>
      <c r="HK19">
        <v>96.834999999999994</v>
      </c>
      <c r="HL19">
        <v>96.805000000000007</v>
      </c>
      <c r="HM19">
        <v>96.75</v>
      </c>
      <c r="HN19">
        <v>96.724999999999994</v>
      </c>
      <c r="HO19">
        <v>96.694999999999993</v>
      </c>
      <c r="HP19">
        <v>96.795000000000002</v>
      </c>
      <c r="HQ19">
        <v>96.765000000000001</v>
      </c>
      <c r="HR19">
        <v>96.72</v>
      </c>
      <c r="HS19">
        <v>96.674999999999997</v>
      </c>
      <c r="HT19">
        <v>96.61</v>
      </c>
      <c r="HU19">
        <v>96.635000000000005</v>
      </c>
      <c r="HV19">
        <v>96.72</v>
      </c>
      <c r="HW19">
        <v>96.81</v>
      </c>
      <c r="HX19">
        <v>96.825000000000003</v>
      </c>
      <c r="HY19">
        <v>96.665000000000006</v>
      </c>
      <c r="HZ19">
        <v>96.55</v>
      </c>
      <c r="IA19">
        <v>96.52</v>
      </c>
      <c r="IB19">
        <v>96.484999999999999</v>
      </c>
      <c r="IC19">
        <v>96.465000000000003</v>
      </c>
      <c r="ID19">
        <v>96.405000000000001</v>
      </c>
      <c r="IE19">
        <v>96.375</v>
      </c>
      <c r="IF19">
        <v>96.415000000000006</v>
      </c>
      <c r="IG19">
        <v>96.394999999999996</v>
      </c>
      <c r="IH19">
        <v>96.4</v>
      </c>
      <c r="II19">
        <v>96.454999999999998</v>
      </c>
      <c r="IJ19">
        <v>96.504999999999995</v>
      </c>
      <c r="IK19">
        <v>96.474999999999994</v>
      </c>
      <c r="IL19">
        <v>96.42</v>
      </c>
      <c r="IM19">
        <v>96.46</v>
      </c>
      <c r="IN19">
        <v>96.474999999999994</v>
      </c>
      <c r="IO19">
        <v>96.375</v>
      </c>
      <c r="IP19">
        <v>96.35</v>
      </c>
      <c r="IQ19">
        <v>96.385000000000005</v>
      </c>
      <c r="IR19">
        <v>96.385000000000005</v>
      </c>
      <c r="IS19">
        <v>96.305000000000007</v>
      </c>
      <c r="IT19">
        <v>96.305000000000007</v>
      </c>
      <c r="IU19">
        <v>96.2</v>
      </c>
      <c r="IV19">
        <v>96.144999999999996</v>
      </c>
      <c r="IW19">
        <v>96.31</v>
      </c>
      <c r="IX19">
        <v>96.36</v>
      </c>
      <c r="IY19">
        <v>96.33</v>
      </c>
      <c r="IZ19">
        <v>96.42</v>
      </c>
      <c r="JA19">
        <v>96.41</v>
      </c>
      <c r="JB19">
        <v>96.39</v>
      </c>
      <c r="JC19">
        <v>96.394999999999996</v>
      </c>
      <c r="JD19">
        <v>96.444999999999993</v>
      </c>
      <c r="JE19">
        <v>96.444999999999993</v>
      </c>
      <c r="JF19">
        <v>96.375</v>
      </c>
      <c r="JG19">
        <v>96.45</v>
      </c>
      <c r="JH19">
        <v>96.415000000000006</v>
      </c>
      <c r="JI19">
        <v>96.344999999999999</v>
      </c>
      <c r="JJ19">
        <v>96.23</v>
      </c>
      <c r="JK19">
        <v>96.15</v>
      </c>
      <c r="JL19">
        <v>96.2</v>
      </c>
      <c r="JM19">
        <v>96.35</v>
      </c>
      <c r="JN19">
        <v>96.34</v>
      </c>
      <c r="JO19">
        <v>96.305000000000007</v>
      </c>
      <c r="JP19">
        <v>96.22</v>
      </c>
      <c r="JQ19">
        <v>96.094999999999999</v>
      </c>
      <c r="JR19">
        <v>96.05</v>
      </c>
      <c r="JS19">
        <v>95.98</v>
      </c>
      <c r="JT19">
        <v>96.07</v>
      </c>
      <c r="JU19">
        <v>96.144999999999996</v>
      </c>
      <c r="JV19">
        <v>96.144999999999996</v>
      </c>
      <c r="JW19">
        <v>96.14</v>
      </c>
      <c r="JX19">
        <v>96.174999999999997</v>
      </c>
      <c r="JY19">
        <v>96.19</v>
      </c>
      <c r="JZ19">
        <v>96.165000000000006</v>
      </c>
      <c r="KA19">
        <v>96.174999999999997</v>
      </c>
      <c r="KB19">
        <v>96.22</v>
      </c>
      <c r="KC19">
        <v>96.24</v>
      </c>
      <c r="KD19">
        <v>96.144999999999996</v>
      </c>
      <c r="KE19">
        <v>96.11</v>
      </c>
      <c r="KF19">
        <v>96.08</v>
      </c>
      <c r="KG19">
        <v>96.13</v>
      </c>
      <c r="KH19">
        <v>96.094999999999999</v>
      </c>
      <c r="KI19">
        <v>96.14</v>
      </c>
      <c r="KJ19">
        <v>96.11</v>
      </c>
      <c r="KK19">
        <v>96.094999999999999</v>
      </c>
      <c r="KL19">
        <v>96</v>
      </c>
      <c r="KM19">
        <v>95.98</v>
      </c>
      <c r="KN19">
        <v>95.89</v>
      </c>
      <c r="KO19">
        <v>95.965000000000003</v>
      </c>
      <c r="KP19">
        <v>95.89</v>
      </c>
      <c r="KQ19">
        <v>95.85</v>
      </c>
      <c r="KR19">
        <v>95.905000000000001</v>
      </c>
      <c r="KS19">
        <v>95.97</v>
      </c>
      <c r="KT19">
        <v>95.944999999999993</v>
      </c>
      <c r="KU19">
        <v>95.954999999999998</v>
      </c>
      <c r="KV19">
        <v>95.924999999999997</v>
      </c>
      <c r="KW19">
        <v>95.995000000000005</v>
      </c>
      <c r="KX19">
        <v>95.92</v>
      </c>
      <c r="KY19">
        <v>95.96</v>
      </c>
      <c r="KZ19">
        <v>96.105000000000004</v>
      </c>
      <c r="LA19">
        <v>96.015000000000001</v>
      </c>
      <c r="LB19">
        <v>96.034999999999997</v>
      </c>
      <c r="LC19">
        <v>96.21</v>
      </c>
      <c r="LD19">
        <v>96.15</v>
      </c>
      <c r="LE19">
        <v>96.204999999999998</v>
      </c>
      <c r="LF19">
        <v>96.265000000000001</v>
      </c>
      <c r="LG19">
        <v>96.224999999999994</v>
      </c>
      <c r="LH19">
        <v>96.204999999999998</v>
      </c>
      <c r="LI19">
        <v>96.24</v>
      </c>
      <c r="LJ19">
        <v>96.39</v>
      </c>
      <c r="LK19">
        <v>96.39</v>
      </c>
      <c r="LL19">
        <v>96.37</v>
      </c>
      <c r="LM19">
        <v>96.33</v>
      </c>
      <c r="LN19">
        <v>96.305000000000007</v>
      </c>
      <c r="LO19">
        <v>96.34</v>
      </c>
      <c r="LP19">
        <v>96.28</v>
      </c>
      <c r="LQ19">
        <v>96.284999999999997</v>
      </c>
      <c r="LR19">
        <v>96.29</v>
      </c>
      <c r="LS19">
        <v>96.234999999999999</v>
      </c>
      <c r="LT19">
        <v>96.275000000000006</v>
      </c>
      <c r="LU19">
        <v>96.29</v>
      </c>
      <c r="LV19">
        <v>96.424999999999997</v>
      </c>
      <c r="LW19">
        <v>96.44</v>
      </c>
      <c r="LX19">
        <v>96.5</v>
      </c>
      <c r="LY19">
        <v>96.51</v>
      </c>
      <c r="LZ19">
        <v>96.504999999999995</v>
      </c>
      <c r="MA19">
        <v>96.49</v>
      </c>
      <c r="MB19">
        <v>96.46</v>
      </c>
      <c r="MC19">
        <v>96.37</v>
      </c>
      <c r="MD19">
        <v>96.4</v>
      </c>
      <c r="ME19">
        <v>96.314999999999998</v>
      </c>
      <c r="MF19">
        <v>96.31</v>
      </c>
      <c r="MG19">
        <v>96.29</v>
      </c>
      <c r="MH19">
        <v>96.3</v>
      </c>
      <c r="MI19">
        <v>96.31</v>
      </c>
      <c r="MJ19">
        <v>96.23</v>
      </c>
      <c r="MK19">
        <v>96.224999999999994</v>
      </c>
      <c r="ML19">
        <v>96.27</v>
      </c>
      <c r="MM19">
        <v>96.245000000000005</v>
      </c>
      <c r="MN19">
        <v>96.245000000000005</v>
      </c>
      <c r="MO19">
        <v>96.3</v>
      </c>
      <c r="MP19">
        <v>96.265000000000001</v>
      </c>
      <c r="MQ19">
        <v>96.21</v>
      </c>
      <c r="MR19">
        <v>96.375</v>
      </c>
      <c r="MS19">
        <v>96.344999999999999</v>
      </c>
      <c r="MT19">
        <v>96.37</v>
      </c>
      <c r="MU19">
        <v>96.454999999999998</v>
      </c>
      <c r="MV19">
        <v>96.474999999999994</v>
      </c>
      <c r="MW19">
        <v>96.38</v>
      </c>
      <c r="MX19">
        <v>96.51</v>
      </c>
      <c r="MY19">
        <v>96.694999999999993</v>
      </c>
      <c r="MZ19">
        <v>96.59</v>
      </c>
      <c r="NA19">
        <v>96.5</v>
      </c>
      <c r="NB19">
        <v>96.46</v>
      </c>
      <c r="NC19">
        <v>96.38</v>
      </c>
      <c r="ND19">
        <v>96.405000000000001</v>
      </c>
      <c r="NE19">
        <v>96.355000000000004</v>
      </c>
      <c r="NF19">
        <v>96.4</v>
      </c>
      <c r="NG19">
        <v>96.45</v>
      </c>
      <c r="NH19">
        <v>96.385000000000005</v>
      </c>
      <c r="NI19">
        <v>96.39</v>
      </c>
      <c r="NJ19">
        <v>96.444999999999993</v>
      </c>
      <c r="NK19">
        <v>96.484999999999999</v>
      </c>
      <c r="NL19">
        <v>96.61</v>
      </c>
      <c r="NM19">
        <v>96.61</v>
      </c>
      <c r="NN19">
        <v>96.61</v>
      </c>
      <c r="NO19">
        <v>96.54</v>
      </c>
      <c r="NP19">
        <v>96.55</v>
      </c>
      <c r="NQ19">
        <v>96.564999999999998</v>
      </c>
      <c r="NR19">
        <v>96.55</v>
      </c>
      <c r="NS19">
        <v>96.6</v>
      </c>
      <c r="NT19">
        <v>96.704999999999998</v>
      </c>
      <c r="NU19">
        <v>96.665000000000006</v>
      </c>
      <c r="NV19">
        <v>96.74</v>
      </c>
      <c r="NW19">
        <v>96.74</v>
      </c>
      <c r="NX19">
        <v>96.74</v>
      </c>
      <c r="NY19">
        <v>96.8</v>
      </c>
      <c r="NZ19">
        <v>96.694999999999993</v>
      </c>
      <c r="OA19">
        <v>96.67</v>
      </c>
      <c r="OB19">
        <v>96.67</v>
      </c>
      <c r="OC19">
        <v>96.694999999999993</v>
      </c>
      <c r="OD19">
        <v>96.71</v>
      </c>
      <c r="OE19">
        <v>96.674999999999997</v>
      </c>
      <c r="OF19">
        <v>96.65</v>
      </c>
      <c r="OG19">
        <v>96.68</v>
      </c>
      <c r="OH19">
        <v>96.66</v>
      </c>
      <c r="OI19">
        <v>96.57</v>
      </c>
      <c r="OJ19">
        <v>96.415000000000006</v>
      </c>
      <c r="OK19">
        <v>96.364999999999995</v>
      </c>
      <c r="OL19">
        <v>96.37</v>
      </c>
      <c r="OM19">
        <v>96.5</v>
      </c>
      <c r="ON19">
        <v>96.504999999999995</v>
      </c>
      <c r="OO19">
        <v>96.454999999999998</v>
      </c>
      <c r="OP19">
        <v>96.334999999999994</v>
      </c>
      <c r="OQ19">
        <v>96.39</v>
      </c>
      <c r="OR19">
        <v>96.275000000000006</v>
      </c>
      <c r="OS19">
        <v>96.36</v>
      </c>
      <c r="OT19">
        <v>96.314999999999998</v>
      </c>
      <c r="OU19">
        <v>96.23</v>
      </c>
      <c r="OV19">
        <v>96.114999999999995</v>
      </c>
      <c r="OW19">
        <v>96.18</v>
      </c>
      <c r="OX19">
        <v>96.18</v>
      </c>
      <c r="OY19">
        <v>96.19</v>
      </c>
      <c r="OZ19">
        <v>96.185000000000002</v>
      </c>
      <c r="PA19">
        <v>96.15</v>
      </c>
      <c r="PB19">
        <v>96.144999999999996</v>
      </c>
      <c r="PC19">
        <v>96.04</v>
      </c>
      <c r="PD19">
        <v>96.135000000000005</v>
      </c>
      <c r="PE19">
        <v>95.92</v>
      </c>
      <c r="PF19">
        <v>95.93</v>
      </c>
      <c r="PG19">
        <v>95.94</v>
      </c>
      <c r="PH19">
        <v>96.07</v>
      </c>
      <c r="PI19">
        <v>96.02</v>
      </c>
      <c r="PJ19">
        <v>95.91</v>
      </c>
      <c r="PK19">
        <v>96.02</v>
      </c>
      <c r="PL19">
        <v>95.885000000000005</v>
      </c>
      <c r="PM19">
        <v>95.77</v>
      </c>
      <c r="PN19">
        <v>95.67</v>
      </c>
      <c r="PO19">
        <v>95.67</v>
      </c>
      <c r="PP19">
        <v>95.68</v>
      </c>
      <c r="PQ19">
        <v>95.655000000000001</v>
      </c>
      <c r="PR19">
        <v>95.53</v>
      </c>
      <c r="PS19">
        <v>95.66</v>
      </c>
      <c r="PT19">
        <v>95.665000000000006</v>
      </c>
      <c r="PU19">
        <v>95.57</v>
      </c>
      <c r="PV19">
        <v>95.474999999999994</v>
      </c>
      <c r="PW19">
        <v>95.59</v>
      </c>
      <c r="PX19">
        <v>95.665000000000006</v>
      </c>
      <c r="PY19">
        <v>95.83</v>
      </c>
      <c r="PZ19">
        <v>95.915000000000006</v>
      </c>
      <c r="QA19">
        <v>95.82</v>
      </c>
      <c r="QB19">
        <v>95.935000000000002</v>
      </c>
      <c r="QC19">
        <v>95.875</v>
      </c>
      <c r="QD19">
        <v>95.9</v>
      </c>
      <c r="QE19">
        <v>95.734999999999999</v>
      </c>
      <c r="QF19">
        <v>95.8</v>
      </c>
      <c r="QG19">
        <v>95.765000000000001</v>
      </c>
      <c r="QH19">
        <v>95.704999999999998</v>
      </c>
      <c r="QI19">
        <v>95.834999999999994</v>
      </c>
      <c r="QJ19">
        <v>95.97</v>
      </c>
      <c r="QK19">
        <v>95.924999999999997</v>
      </c>
      <c r="QL19">
        <v>95.905000000000001</v>
      </c>
      <c r="QM19">
        <v>95.984999999999999</v>
      </c>
      <c r="QN19">
        <v>95.995000000000005</v>
      </c>
      <c r="QO19">
        <v>96.09</v>
      </c>
      <c r="QP19">
        <v>96.04</v>
      </c>
      <c r="QQ19">
        <v>96.194999999999993</v>
      </c>
      <c r="QR19">
        <v>96.185000000000002</v>
      </c>
      <c r="QS19">
        <v>96.24</v>
      </c>
      <c r="QT19">
        <v>96.23</v>
      </c>
      <c r="QU19">
        <v>96.265000000000001</v>
      </c>
      <c r="QV19">
        <v>96.295000000000002</v>
      </c>
      <c r="QW19">
        <v>96.27</v>
      </c>
      <c r="QX19">
        <v>96.25</v>
      </c>
      <c r="QY19">
        <v>96.275000000000006</v>
      </c>
      <c r="QZ19">
        <v>96.27</v>
      </c>
      <c r="RA19">
        <v>96.245000000000005</v>
      </c>
      <c r="RB19">
        <v>96.305000000000007</v>
      </c>
      <c r="RC19">
        <v>96.37</v>
      </c>
      <c r="RD19">
        <v>96.37</v>
      </c>
      <c r="RE19">
        <v>96.45</v>
      </c>
      <c r="RF19">
        <v>96.42</v>
      </c>
      <c r="RG19">
        <v>96.405000000000001</v>
      </c>
      <c r="RH19">
        <v>96.305000000000007</v>
      </c>
      <c r="RI19">
        <v>96.254999999999995</v>
      </c>
      <c r="RJ19">
        <v>96.26</v>
      </c>
      <c r="RK19">
        <v>96.28</v>
      </c>
      <c r="RL19">
        <v>96.14</v>
      </c>
      <c r="RM19">
        <v>96.13</v>
      </c>
      <c r="RN19">
        <v>96.23</v>
      </c>
      <c r="RO19">
        <v>96.155000000000001</v>
      </c>
      <c r="RP19">
        <v>96.245000000000005</v>
      </c>
      <c r="RQ19">
        <v>96.28</v>
      </c>
      <c r="RR19">
        <v>96.34</v>
      </c>
      <c r="RS19">
        <v>96.344999999999999</v>
      </c>
      <c r="RT19">
        <v>96.47</v>
      </c>
      <c r="RU19">
        <v>96.575000000000003</v>
      </c>
      <c r="RV19">
        <v>96.57</v>
      </c>
      <c r="RW19">
        <v>96.51</v>
      </c>
      <c r="RX19">
        <v>96.5</v>
      </c>
      <c r="RY19">
        <v>96.35</v>
      </c>
      <c r="RZ19">
        <v>96.465000000000003</v>
      </c>
      <c r="SA19">
        <v>96.49</v>
      </c>
      <c r="SB19">
        <v>96.58</v>
      </c>
      <c r="SC19">
        <v>96.575000000000003</v>
      </c>
      <c r="SD19">
        <v>96.52</v>
      </c>
      <c r="SE19">
        <v>96.694999999999993</v>
      </c>
      <c r="SF19">
        <v>96.6</v>
      </c>
      <c r="SG19">
        <v>96.674999999999997</v>
      </c>
      <c r="SH19">
        <v>96.694999999999993</v>
      </c>
      <c r="SI19">
        <v>96.69</v>
      </c>
      <c r="SJ19">
        <v>96.84</v>
      </c>
      <c r="SK19">
        <v>96.795000000000002</v>
      </c>
      <c r="SL19">
        <v>96.765000000000001</v>
      </c>
      <c r="SM19">
        <v>96.72</v>
      </c>
      <c r="SN19">
        <v>96.76</v>
      </c>
      <c r="SO19">
        <v>96.674999999999997</v>
      </c>
      <c r="SP19">
        <v>96.53</v>
      </c>
      <c r="SQ19">
        <v>96.474999999999994</v>
      </c>
      <c r="SR19">
        <v>96.38</v>
      </c>
      <c r="SS19">
        <v>96.405000000000001</v>
      </c>
      <c r="ST19">
        <v>96.564999999999998</v>
      </c>
      <c r="SU19">
        <v>96.67</v>
      </c>
      <c r="SV19">
        <v>96.67</v>
      </c>
      <c r="SW19">
        <v>96.72</v>
      </c>
      <c r="SX19">
        <v>96.694999999999993</v>
      </c>
      <c r="SY19">
        <v>96.85</v>
      </c>
      <c r="SZ19">
        <v>96.784999999999997</v>
      </c>
      <c r="TA19">
        <v>96.825000000000003</v>
      </c>
      <c r="TB19">
        <v>96.784999999999997</v>
      </c>
      <c r="TC19">
        <v>96.74</v>
      </c>
      <c r="TD19">
        <v>96.82</v>
      </c>
      <c r="TE19">
        <v>96.834999999999994</v>
      </c>
      <c r="TF19">
        <v>96.784999999999997</v>
      </c>
      <c r="TG19">
        <v>96.784999999999997</v>
      </c>
      <c r="TH19">
        <v>96.84</v>
      </c>
      <c r="TI19">
        <v>96.754999999999995</v>
      </c>
      <c r="TJ19">
        <v>96.715000000000003</v>
      </c>
      <c r="TK19">
        <v>96.814999999999998</v>
      </c>
      <c r="TL19">
        <v>96.805000000000007</v>
      </c>
      <c r="TM19">
        <v>96.84</v>
      </c>
      <c r="TN19">
        <v>96.76</v>
      </c>
      <c r="TO19">
        <v>96.85</v>
      </c>
      <c r="TP19">
        <v>96.84</v>
      </c>
      <c r="TQ19">
        <v>96.805000000000007</v>
      </c>
      <c r="TR19">
        <v>96.93</v>
      </c>
      <c r="TS19">
        <v>96.9</v>
      </c>
      <c r="TT19">
        <v>96.825000000000003</v>
      </c>
      <c r="TU19">
        <v>96.68</v>
      </c>
      <c r="TV19">
        <v>96.68</v>
      </c>
      <c r="TW19">
        <v>96.715000000000003</v>
      </c>
      <c r="TX19">
        <v>96.834999999999994</v>
      </c>
      <c r="TY19">
        <v>96.84</v>
      </c>
      <c r="TZ19">
        <v>96.81</v>
      </c>
      <c r="UA19">
        <v>96.834999999999994</v>
      </c>
      <c r="UB19">
        <v>96.894999999999996</v>
      </c>
      <c r="UC19">
        <v>96.974999999999994</v>
      </c>
      <c r="UD19">
        <v>97.02</v>
      </c>
      <c r="UE19">
        <v>97.064999999999998</v>
      </c>
      <c r="UF19">
        <v>97.084999999999994</v>
      </c>
      <c r="UG19">
        <v>97.155000000000001</v>
      </c>
      <c r="UH19">
        <v>97.114999999999995</v>
      </c>
      <c r="UI19">
        <v>97.025000000000006</v>
      </c>
      <c r="UJ19">
        <v>97.01</v>
      </c>
      <c r="UK19">
        <v>97.055000000000007</v>
      </c>
      <c r="UL19">
        <v>97.155000000000001</v>
      </c>
      <c r="UM19">
        <v>97.1</v>
      </c>
      <c r="UN19">
        <v>97.07</v>
      </c>
      <c r="UO19">
        <v>96.915000000000006</v>
      </c>
      <c r="UP19">
        <v>97.04</v>
      </c>
      <c r="UQ19">
        <v>96.974999999999994</v>
      </c>
      <c r="UR19">
        <v>97.07</v>
      </c>
      <c r="US19">
        <v>97.11</v>
      </c>
      <c r="UT19">
        <v>97.004999999999995</v>
      </c>
      <c r="UU19">
        <v>96.935000000000002</v>
      </c>
      <c r="UV19">
        <v>96.974999999999994</v>
      </c>
      <c r="UW19">
        <v>96.915000000000006</v>
      </c>
      <c r="UX19">
        <v>96.93</v>
      </c>
      <c r="UY19">
        <v>96.91</v>
      </c>
      <c r="UZ19">
        <v>96.974999999999994</v>
      </c>
      <c r="VA19">
        <v>97.055000000000007</v>
      </c>
      <c r="VB19">
        <v>97.114999999999995</v>
      </c>
      <c r="VC19">
        <v>97.08</v>
      </c>
      <c r="VD19">
        <v>97.09</v>
      </c>
      <c r="VE19">
        <v>97.13</v>
      </c>
      <c r="VF19">
        <v>97.215000000000003</v>
      </c>
      <c r="VG19">
        <v>97.194999999999993</v>
      </c>
      <c r="VH19">
        <v>97.185000000000002</v>
      </c>
      <c r="VI19">
        <v>97.09</v>
      </c>
      <c r="VJ19">
        <v>97.03</v>
      </c>
      <c r="VK19">
        <v>96.965000000000003</v>
      </c>
      <c r="VL19">
        <v>96.915000000000006</v>
      </c>
      <c r="VM19">
        <v>96.9</v>
      </c>
      <c r="VN19">
        <v>96.935000000000002</v>
      </c>
      <c r="VO19">
        <v>97.07</v>
      </c>
      <c r="VP19">
        <v>97.05</v>
      </c>
      <c r="VQ19">
        <v>96.935000000000002</v>
      </c>
      <c r="VR19">
        <v>96.81</v>
      </c>
      <c r="VS19">
        <v>96.885000000000005</v>
      </c>
      <c r="VT19">
        <v>97.01</v>
      </c>
      <c r="VU19">
        <v>96.814999999999998</v>
      </c>
      <c r="VV19">
        <v>96.92</v>
      </c>
      <c r="VW19">
        <v>96.805000000000007</v>
      </c>
      <c r="VX19">
        <v>96.89</v>
      </c>
      <c r="VY19">
        <v>96.88</v>
      </c>
      <c r="VZ19">
        <v>96.674999999999997</v>
      </c>
      <c r="WA19">
        <v>96.64</v>
      </c>
      <c r="WB19">
        <v>96.65</v>
      </c>
      <c r="WC19">
        <v>96.605000000000004</v>
      </c>
      <c r="WD19">
        <v>96.594999999999999</v>
      </c>
      <c r="WE19">
        <v>96.5</v>
      </c>
      <c r="WF19">
        <v>96.605000000000004</v>
      </c>
      <c r="WG19">
        <v>96.7</v>
      </c>
      <c r="WH19">
        <v>96.694999999999993</v>
      </c>
      <c r="WI19">
        <v>96.625</v>
      </c>
      <c r="WJ19">
        <v>96.694999999999993</v>
      </c>
      <c r="WK19">
        <v>96.64</v>
      </c>
      <c r="WL19">
        <v>96.625</v>
      </c>
      <c r="WM19">
        <v>96.78</v>
      </c>
      <c r="WN19">
        <v>96.78</v>
      </c>
      <c r="WO19">
        <v>96.76</v>
      </c>
      <c r="WP19">
        <v>96.79</v>
      </c>
      <c r="WQ19">
        <v>96.834999999999994</v>
      </c>
      <c r="WR19">
        <v>96.875</v>
      </c>
      <c r="WS19">
        <v>96.864999999999995</v>
      </c>
      <c r="WT19">
        <v>96.92</v>
      </c>
      <c r="WU19">
        <v>96.965000000000003</v>
      </c>
      <c r="WV19">
        <v>96.935000000000002</v>
      </c>
      <c r="WW19">
        <v>96.96</v>
      </c>
      <c r="WX19">
        <v>97.06</v>
      </c>
      <c r="WY19">
        <v>97.215000000000003</v>
      </c>
      <c r="WZ19">
        <v>97.224999999999994</v>
      </c>
      <c r="XA19">
        <v>97.084999999999994</v>
      </c>
      <c r="XB19">
        <v>97.03</v>
      </c>
      <c r="XC19">
        <v>97.084999999999994</v>
      </c>
      <c r="XD19">
        <v>97.135000000000005</v>
      </c>
      <c r="XE19">
        <v>97.18</v>
      </c>
      <c r="XF19">
        <v>97.18</v>
      </c>
      <c r="XG19">
        <v>97.11</v>
      </c>
      <c r="XH19">
        <v>97.15</v>
      </c>
      <c r="XI19">
        <v>97.254999999999995</v>
      </c>
      <c r="XJ19">
        <v>97.3</v>
      </c>
      <c r="XK19">
        <v>97.135000000000005</v>
      </c>
      <c r="XL19">
        <v>97.155000000000001</v>
      </c>
      <c r="XM19">
        <v>97.155000000000001</v>
      </c>
      <c r="XN19">
        <v>97.21</v>
      </c>
      <c r="XO19">
        <v>97.075000000000003</v>
      </c>
      <c r="XP19">
        <v>97.015000000000001</v>
      </c>
      <c r="XQ19">
        <v>97.12</v>
      </c>
      <c r="XR19">
        <v>97.075000000000003</v>
      </c>
      <c r="XS19">
        <v>96.89</v>
      </c>
      <c r="XT19">
        <v>96.89</v>
      </c>
      <c r="XU19">
        <v>96.784999999999997</v>
      </c>
      <c r="XV19">
        <v>96.74</v>
      </c>
      <c r="XW19">
        <v>96.74</v>
      </c>
      <c r="XX19">
        <v>96.7</v>
      </c>
      <c r="XY19">
        <v>96.674999999999997</v>
      </c>
      <c r="XZ19">
        <v>96.74</v>
      </c>
      <c r="YA19">
        <v>96.82</v>
      </c>
      <c r="YB19">
        <v>96.82</v>
      </c>
      <c r="YC19">
        <v>96.87</v>
      </c>
      <c r="YD19">
        <v>96.86</v>
      </c>
      <c r="YE19">
        <v>96.935000000000002</v>
      </c>
      <c r="YF19">
        <v>97.055000000000007</v>
      </c>
      <c r="YG19">
        <v>97.14</v>
      </c>
      <c r="YH19">
        <v>97.17</v>
      </c>
      <c r="YI19">
        <v>97.12</v>
      </c>
      <c r="YJ19">
        <v>97.114999999999995</v>
      </c>
      <c r="YK19">
        <v>97.004999999999995</v>
      </c>
      <c r="YL19">
        <v>97.045000000000002</v>
      </c>
      <c r="YM19">
        <v>97.125</v>
      </c>
      <c r="YN19">
        <v>97.254999999999995</v>
      </c>
      <c r="YO19">
        <v>97.144999999999996</v>
      </c>
      <c r="YP19">
        <v>97.064999999999998</v>
      </c>
      <c r="YQ19">
        <v>97.185000000000002</v>
      </c>
      <c r="YR19">
        <v>97.13</v>
      </c>
      <c r="YS19">
        <v>96.97</v>
      </c>
      <c r="YT19">
        <v>96.894999999999996</v>
      </c>
      <c r="YU19">
        <v>96.92</v>
      </c>
      <c r="YV19">
        <v>96.91</v>
      </c>
      <c r="YW19">
        <v>96.89</v>
      </c>
      <c r="YX19">
        <v>96.89</v>
      </c>
      <c r="YY19">
        <v>96.825000000000003</v>
      </c>
      <c r="YZ19">
        <v>96.754999999999995</v>
      </c>
      <c r="ZA19">
        <v>96.765000000000001</v>
      </c>
      <c r="ZB19">
        <v>96.84</v>
      </c>
      <c r="ZC19">
        <v>96.905000000000001</v>
      </c>
      <c r="ZD19">
        <v>96.78</v>
      </c>
      <c r="ZE19">
        <v>96.704999999999998</v>
      </c>
      <c r="ZF19">
        <v>96.754999999999995</v>
      </c>
      <c r="ZG19">
        <v>96.724999999999994</v>
      </c>
      <c r="ZH19">
        <v>96.4</v>
      </c>
      <c r="ZI19">
        <v>96.39</v>
      </c>
      <c r="ZJ19">
        <v>96.29</v>
      </c>
      <c r="ZK19">
        <v>96.305000000000007</v>
      </c>
      <c r="ZL19">
        <v>96.32</v>
      </c>
      <c r="ZM19">
        <v>96.364999999999995</v>
      </c>
      <c r="ZN19">
        <v>96.334999999999994</v>
      </c>
      <c r="ZO19">
        <v>96.334999999999994</v>
      </c>
      <c r="ZP19">
        <v>96.37</v>
      </c>
      <c r="ZQ19">
        <v>96.49</v>
      </c>
      <c r="ZR19">
        <v>96.41</v>
      </c>
      <c r="ZS19">
        <v>96.325000000000003</v>
      </c>
      <c r="ZT19">
        <v>96.19</v>
      </c>
      <c r="ZU19">
        <v>96.22</v>
      </c>
      <c r="ZV19">
        <v>96.17</v>
      </c>
      <c r="ZW19">
        <v>96.3</v>
      </c>
      <c r="ZX19">
        <v>96.45</v>
      </c>
      <c r="ZY19">
        <v>96.43</v>
      </c>
      <c r="ZZ19">
        <v>96.415000000000006</v>
      </c>
      <c r="AAA19">
        <v>96.46</v>
      </c>
      <c r="AAB19">
        <v>96.45</v>
      </c>
      <c r="AAC19">
        <v>96.405000000000001</v>
      </c>
      <c r="AAD19">
        <v>96.375</v>
      </c>
      <c r="AAE19">
        <v>96.44</v>
      </c>
      <c r="AAF19">
        <v>96.5</v>
      </c>
      <c r="AAG19">
        <v>96.564999999999998</v>
      </c>
      <c r="AAH19">
        <v>96.754999999999995</v>
      </c>
      <c r="AAI19">
        <v>96.64</v>
      </c>
      <c r="AAJ19">
        <v>96.44</v>
      </c>
      <c r="AAK19">
        <v>96.53</v>
      </c>
      <c r="AAL19">
        <v>96.575000000000003</v>
      </c>
      <c r="AAM19">
        <v>96.344999999999999</v>
      </c>
      <c r="AAN19">
        <v>96.42</v>
      </c>
      <c r="AAO19">
        <v>96.65</v>
      </c>
      <c r="AAP19">
        <v>96.644999999999996</v>
      </c>
      <c r="AAQ19">
        <v>96.86</v>
      </c>
      <c r="AAR19">
        <v>96.775000000000006</v>
      </c>
      <c r="AAS19">
        <v>96.86</v>
      </c>
      <c r="AAT19">
        <v>96.91</v>
      </c>
      <c r="AAU19">
        <v>96.894999999999996</v>
      </c>
      <c r="AAV19">
        <v>96.954999999999998</v>
      </c>
      <c r="AAW19">
        <v>96.924999999999997</v>
      </c>
      <c r="AAX19">
        <v>96.984999999999999</v>
      </c>
      <c r="AAY19">
        <v>97.004999999999995</v>
      </c>
      <c r="AAZ19">
        <v>97.04</v>
      </c>
      <c r="ABA19">
        <v>97.075000000000003</v>
      </c>
      <c r="ABB19">
        <v>96.974999999999994</v>
      </c>
      <c r="ABC19">
        <v>97.144999999999996</v>
      </c>
      <c r="ABD19">
        <v>97.144999999999996</v>
      </c>
      <c r="ABE19">
        <v>97.045000000000002</v>
      </c>
      <c r="ABF19">
        <v>97.204999999999998</v>
      </c>
      <c r="ABG19">
        <v>97.23</v>
      </c>
      <c r="ABH19">
        <v>97.22</v>
      </c>
      <c r="ABI19">
        <v>97.33</v>
      </c>
      <c r="ABJ19">
        <v>97.39</v>
      </c>
      <c r="ABK19">
        <v>97.325000000000003</v>
      </c>
      <c r="ABL19">
        <v>97.38</v>
      </c>
      <c r="ABM19">
        <v>97.42</v>
      </c>
      <c r="ABN19">
        <v>97.47</v>
      </c>
      <c r="ABO19">
        <v>97.6</v>
      </c>
      <c r="ABP19">
        <v>97.594999999999999</v>
      </c>
      <c r="ABQ19">
        <v>97.694999999999993</v>
      </c>
      <c r="ABR19">
        <v>97.71</v>
      </c>
      <c r="ABS19">
        <v>97.625</v>
      </c>
      <c r="ABT19">
        <v>97.58</v>
      </c>
      <c r="ABU19">
        <v>97.69</v>
      </c>
      <c r="ABV19">
        <v>97.65</v>
      </c>
      <c r="ABW19">
        <v>97.694999999999993</v>
      </c>
      <c r="ABX19">
        <v>97.6</v>
      </c>
      <c r="ABY19">
        <v>97.77</v>
      </c>
      <c r="ABZ19">
        <v>97.665000000000006</v>
      </c>
      <c r="ACA19">
        <v>97.655000000000001</v>
      </c>
      <c r="ACB19">
        <v>97.83</v>
      </c>
      <c r="ACC19">
        <v>97.784999999999997</v>
      </c>
      <c r="ACD19">
        <v>97.754999999999995</v>
      </c>
      <c r="ACE19">
        <v>97.674999999999997</v>
      </c>
      <c r="ACF19">
        <v>97.584999999999994</v>
      </c>
      <c r="ACG19">
        <v>97.545000000000002</v>
      </c>
      <c r="ACH19">
        <v>97.56</v>
      </c>
      <c r="ACI19">
        <v>97.435000000000002</v>
      </c>
      <c r="ACJ19">
        <v>97.29</v>
      </c>
      <c r="ACK19">
        <v>97.34</v>
      </c>
      <c r="ACL19">
        <v>97.394999999999996</v>
      </c>
      <c r="ACM19">
        <v>97.415000000000006</v>
      </c>
      <c r="ACN19">
        <v>97.364999999999995</v>
      </c>
      <c r="ACO19">
        <v>97.415000000000006</v>
      </c>
      <c r="ACP19">
        <v>97.33</v>
      </c>
      <c r="ACQ19">
        <v>97.28</v>
      </c>
      <c r="ACR19">
        <v>97.14</v>
      </c>
      <c r="ACS19">
        <v>97.215000000000003</v>
      </c>
      <c r="ACT19">
        <v>97.334999999999994</v>
      </c>
      <c r="ACU19">
        <v>97.435000000000002</v>
      </c>
      <c r="ACV19">
        <v>97.334999999999994</v>
      </c>
      <c r="ACW19">
        <v>97.334999999999994</v>
      </c>
      <c r="ACX19">
        <v>97.27</v>
      </c>
      <c r="ACY19">
        <v>97.12</v>
      </c>
      <c r="ACZ19">
        <v>97.025000000000006</v>
      </c>
      <c r="ADA19">
        <v>97.045000000000002</v>
      </c>
      <c r="ADB19">
        <v>97.11</v>
      </c>
      <c r="ADC19">
        <v>97.2</v>
      </c>
      <c r="ADD19">
        <v>97.1</v>
      </c>
      <c r="ADE19">
        <v>96.974999999999994</v>
      </c>
      <c r="ADF19">
        <v>97.045000000000002</v>
      </c>
      <c r="ADG19">
        <v>97.045000000000002</v>
      </c>
      <c r="ADH19">
        <v>97</v>
      </c>
      <c r="ADI19">
        <v>96.834999999999994</v>
      </c>
      <c r="ADJ19">
        <v>96.76</v>
      </c>
      <c r="ADK19">
        <v>96.875</v>
      </c>
      <c r="ADL19">
        <v>97.1</v>
      </c>
      <c r="ADM19">
        <v>97.204999999999998</v>
      </c>
      <c r="ADN19">
        <v>97.215000000000003</v>
      </c>
      <c r="ADO19">
        <v>97.26</v>
      </c>
      <c r="ADP19">
        <v>97.17</v>
      </c>
      <c r="ADQ19">
        <v>97.28</v>
      </c>
      <c r="ADR19">
        <v>97.33</v>
      </c>
      <c r="ADS19">
        <v>97.29</v>
      </c>
      <c r="ADT19">
        <v>97.394999999999996</v>
      </c>
      <c r="ADU19">
        <v>97.474999999999994</v>
      </c>
      <c r="ADV19">
        <v>97.474999999999994</v>
      </c>
      <c r="ADW19">
        <v>97.48</v>
      </c>
      <c r="ADX19">
        <v>97.49</v>
      </c>
      <c r="ADY19">
        <v>97.46</v>
      </c>
      <c r="ADZ19">
        <v>97.34</v>
      </c>
      <c r="AEA19">
        <v>97.415000000000006</v>
      </c>
      <c r="AEB19">
        <v>97.36</v>
      </c>
      <c r="AEC19">
        <v>97.34</v>
      </c>
      <c r="AED19">
        <v>97.26</v>
      </c>
      <c r="AEE19">
        <v>97.355000000000004</v>
      </c>
      <c r="AEF19">
        <v>97.245000000000005</v>
      </c>
      <c r="AEG19">
        <v>97.364999999999995</v>
      </c>
      <c r="AEH19">
        <v>97.3</v>
      </c>
      <c r="AEI19">
        <v>97.215000000000003</v>
      </c>
      <c r="AEJ19">
        <v>97.11</v>
      </c>
      <c r="AEK19">
        <v>97.05</v>
      </c>
      <c r="AEL19">
        <v>97.114999999999995</v>
      </c>
      <c r="AEM19">
        <v>97.234999999999999</v>
      </c>
      <c r="AEN19">
        <v>97.19</v>
      </c>
      <c r="AEO19">
        <v>97.135000000000005</v>
      </c>
      <c r="AEP19">
        <v>97.26</v>
      </c>
      <c r="AEQ19">
        <v>97.265000000000001</v>
      </c>
      <c r="AER19">
        <v>97.344999999999999</v>
      </c>
      <c r="AES19">
        <v>97.385000000000005</v>
      </c>
      <c r="AET19">
        <v>97.38</v>
      </c>
      <c r="AEU19">
        <v>97.305000000000007</v>
      </c>
      <c r="AEV19">
        <v>97.215000000000003</v>
      </c>
      <c r="AEW19">
        <v>97.31</v>
      </c>
      <c r="AEX19">
        <v>97.224999999999994</v>
      </c>
      <c r="AEY19">
        <v>97.31</v>
      </c>
      <c r="AEZ19">
        <v>97.355000000000004</v>
      </c>
      <c r="AFA19">
        <v>97.355000000000004</v>
      </c>
      <c r="AFB19">
        <v>97.484999999999999</v>
      </c>
      <c r="AFC19">
        <v>97.454999999999998</v>
      </c>
      <c r="AFD19">
        <v>97.364999999999995</v>
      </c>
      <c r="AFE19">
        <v>97.465000000000003</v>
      </c>
      <c r="AFF19">
        <v>97.54</v>
      </c>
      <c r="AFG19">
        <v>97.575000000000003</v>
      </c>
      <c r="AFH19">
        <v>97.62</v>
      </c>
      <c r="AFI19">
        <v>97.834999999999994</v>
      </c>
      <c r="AFJ19">
        <v>97.844999999999999</v>
      </c>
      <c r="AFK19">
        <v>97.915000000000006</v>
      </c>
      <c r="AFL19">
        <v>97.855000000000004</v>
      </c>
      <c r="AFM19">
        <v>97.78</v>
      </c>
      <c r="AFN19">
        <v>97.655000000000001</v>
      </c>
      <c r="AFO19">
        <v>97.6</v>
      </c>
      <c r="AFP19">
        <v>97.825000000000003</v>
      </c>
      <c r="AFQ19">
        <v>97.864999999999995</v>
      </c>
      <c r="AFR19">
        <v>97.81</v>
      </c>
      <c r="AFS19">
        <v>97.87</v>
      </c>
      <c r="AFT19">
        <v>98.04</v>
      </c>
      <c r="AFU19">
        <v>97.98</v>
      </c>
      <c r="AFV19">
        <v>97.924999999999997</v>
      </c>
      <c r="AFW19">
        <v>97.954999999999998</v>
      </c>
      <c r="AFX19">
        <v>97.98</v>
      </c>
      <c r="AFY19">
        <v>98.125</v>
      </c>
      <c r="AFZ19">
        <v>98.144999999999996</v>
      </c>
      <c r="AGA19">
        <v>98.22</v>
      </c>
      <c r="AGB19">
        <v>98.32</v>
      </c>
      <c r="AGC19">
        <v>98.435000000000002</v>
      </c>
      <c r="AGD19">
        <v>98.474999999999994</v>
      </c>
      <c r="AGE19">
        <v>98.33</v>
      </c>
      <c r="AGF19">
        <v>98.275000000000006</v>
      </c>
      <c r="AGG19">
        <v>98.47</v>
      </c>
      <c r="AGH19">
        <v>98.275000000000006</v>
      </c>
      <c r="AGI19">
        <v>98.12</v>
      </c>
      <c r="AGJ19">
        <v>98.14</v>
      </c>
      <c r="AGK19">
        <v>98.13</v>
      </c>
      <c r="AGL19">
        <v>98.16</v>
      </c>
      <c r="AGM19">
        <v>98.165000000000006</v>
      </c>
      <c r="AGN19">
        <v>98.165000000000006</v>
      </c>
      <c r="AGO19">
        <v>98.12</v>
      </c>
      <c r="AGP19">
        <v>98.034999999999997</v>
      </c>
      <c r="AGQ19">
        <v>98.034999999999997</v>
      </c>
      <c r="AGR19">
        <v>98.09</v>
      </c>
      <c r="AGS19">
        <v>98.14</v>
      </c>
      <c r="AGT19">
        <v>98.01</v>
      </c>
      <c r="AGU19">
        <v>98.09</v>
      </c>
      <c r="AGV19">
        <v>98.06</v>
      </c>
      <c r="AGW19">
        <v>98.105000000000004</v>
      </c>
      <c r="AGX19">
        <v>98.08</v>
      </c>
      <c r="AGY19">
        <v>98.215000000000003</v>
      </c>
      <c r="AGZ19">
        <v>98.284999999999997</v>
      </c>
      <c r="AHA19">
        <v>98.254999999999995</v>
      </c>
      <c r="AHB19">
        <v>98.25</v>
      </c>
      <c r="AHC19">
        <v>98.254999999999995</v>
      </c>
      <c r="AHD19">
        <v>98.21</v>
      </c>
      <c r="AHE19">
        <v>98.135000000000005</v>
      </c>
      <c r="AHF19">
        <v>98.215000000000003</v>
      </c>
      <c r="AHG19">
        <v>98.275000000000006</v>
      </c>
      <c r="AHH19">
        <v>98.24</v>
      </c>
      <c r="AHI19">
        <v>98.17</v>
      </c>
      <c r="AHJ19">
        <v>98.155000000000001</v>
      </c>
      <c r="AHK19">
        <v>98.105000000000004</v>
      </c>
      <c r="AHL19">
        <v>98.23</v>
      </c>
      <c r="AHM19">
        <v>98.23</v>
      </c>
      <c r="AHN19">
        <v>98.31</v>
      </c>
      <c r="AHO19">
        <v>98.28</v>
      </c>
      <c r="AHP19">
        <v>98.24</v>
      </c>
      <c r="AHQ19">
        <v>98.18</v>
      </c>
      <c r="AHR19">
        <v>98.215000000000003</v>
      </c>
      <c r="AHS19">
        <v>98.265000000000001</v>
      </c>
      <c r="AHT19">
        <v>98.31</v>
      </c>
      <c r="AHU19">
        <v>98.34</v>
      </c>
      <c r="AHV19">
        <v>98.38</v>
      </c>
      <c r="AHW19">
        <v>98.52</v>
      </c>
      <c r="AHX19">
        <v>98.5</v>
      </c>
      <c r="AHY19">
        <v>98.49</v>
      </c>
      <c r="AHZ19">
        <v>98.55</v>
      </c>
      <c r="AIA19">
        <v>98.54</v>
      </c>
      <c r="AIB19">
        <v>98.534999999999997</v>
      </c>
      <c r="AIC19">
        <v>98.534999999999997</v>
      </c>
      <c r="AID19">
        <v>98.55</v>
      </c>
      <c r="AIE19">
        <v>98.534999999999997</v>
      </c>
      <c r="AIF19">
        <v>98.625</v>
      </c>
      <c r="AIG19">
        <v>98.644999999999996</v>
      </c>
      <c r="AIH19">
        <v>98.625</v>
      </c>
      <c r="AII19">
        <v>98.534999999999997</v>
      </c>
      <c r="AIJ19">
        <v>98.55</v>
      </c>
      <c r="AIK19">
        <v>98.564999999999998</v>
      </c>
      <c r="AIL19">
        <v>98.515000000000001</v>
      </c>
      <c r="AIM19">
        <v>98.525000000000006</v>
      </c>
      <c r="AIN19">
        <v>98.5</v>
      </c>
      <c r="AIO19">
        <v>98.515000000000001</v>
      </c>
      <c r="AIP19">
        <v>98.57</v>
      </c>
      <c r="AIQ19">
        <v>98.704999999999998</v>
      </c>
      <c r="AIR19">
        <v>98.59</v>
      </c>
      <c r="AIS19">
        <v>98.62</v>
      </c>
      <c r="AIT19">
        <v>98.58</v>
      </c>
      <c r="AIU19">
        <v>98.504999999999995</v>
      </c>
      <c r="AIV19">
        <v>98.53</v>
      </c>
      <c r="AIW19">
        <v>98.36</v>
      </c>
      <c r="AIX19">
        <v>98.36</v>
      </c>
      <c r="AIY19">
        <v>98.344999999999999</v>
      </c>
      <c r="AIZ19">
        <v>98.38</v>
      </c>
      <c r="AJA19">
        <v>98.5</v>
      </c>
      <c r="AJB19">
        <v>98.45</v>
      </c>
      <c r="AJC19">
        <v>98.415000000000006</v>
      </c>
      <c r="AJD19">
        <v>98.39</v>
      </c>
      <c r="AJE19">
        <v>98.424999999999997</v>
      </c>
      <c r="AJF19">
        <v>98.46</v>
      </c>
      <c r="AJG19">
        <v>98.454999999999998</v>
      </c>
      <c r="AJH19">
        <v>98.49</v>
      </c>
      <c r="AJI19">
        <v>98.64</v>
      </c>
      <c r="AJJ19">
        <v>98.564999999999998</v>
      </c>
      <c r="AJK19">
        <v>98.63</v>
      </c>
      <c r="AJL19">
        <v>98.54</v>
      </c>
      <c r="AJM19">
        <v>98.484999999999999</v>
      </c>
      <c r="AJN19">
        <v>98.525000000000006</v>
      </c>
      <c r="AJO19">
        <v>98.534999999999997</v>
      </c>
      <c r="AJP19">
        <v>98.564999999999998</v>
      </c>
      <c r="AJQ19">
        <v>98.534999999999997</v>
      </c>
      <c r="AJR19">
        <v>98.525000000000006</v>
      </c>
      <c r="AJS19">
        <v>98.39</v>
      </c>
      <c r="AJT19">
        <v>98.394999999999996</v>
      </c>
      <c r="AJU19">
        <v>98.39</v>
      </c>
      <c r="AJV19">
        <v>98.355000000000004</v>
      </c>
      <c r="AJW19">
        <v>98.41</v>
      </c>
      <c r="AJX19">
        <v>98.41</v>
      </c>
      <c r="AJY19">
        <v>98.43</v>
      </c>
      <c r="AJZ19">
        <v>98.444999999999993</v>
      </c>
      <c r="AKA19">
        <v>98.51</v>
      </c>
      <c r="AKB19">
        <v>98.454999999999998</v>
      </c>
      <c r="AKC19">
        <v>98.42</v>
      </c>
      <c r="AKD19">
        <v>98.38</v>
      </c>
      <c r="AKE19">
        <v>98.405000000000001</v>
      </c>
      <c r="AKF19">
        <v>98.45</v>
      </c>
      <c r="AKG19">
        <v>98.5</v>
      </c>
      <c r="AKH19">
        <v>98.5</v>
      </c>
      <c r="AKI19">
        <v>98.545000000000002</v>
      </c>
      <c r="AKJ19">
        <v>98.54</v>
      </c>
      <c r="AKK19">
        <v>98.454999999999998</v>
      </c>
      <c r="AKL19">
        <v>98.435000000000002</v>
      </c>
      <c r="AKM19">
        <v>98.42</v>
      </c>
      <c r="AKN19">
        <v>98.474999999999994</v>
      </c>
      <c r="AKO19">
        <v>98.51</v>
      </c>
      <c r="AKP19">
        <v>98.555000000000007</v>
      </c>
      <c r="AKQ19">
        <v>98.635000000000005</v>
      </c>
      <c r="AKR19">
        <v>98.674999999999997</v>
      </c>
      <c r="AKS19">
        <v>98.68</v>
      </c>
      <c r="AKT19">
        <v>98.605000000000004</v>
      </c>
      <c r="AKU19">
        <v>98.665000000000006</v>
      </c>
      <c r="AKV19">
        <v>98.72</v>
      </c>
      <c r="AKW19">
        <v>98.8</v>
      </c>
      <c r="AKX19">
        <v>98.765000000000001</v>
      </c>
      <c r="AKY19">
        <v>98.75</v>
      </c>
      <c r="AKZ19">
        <v>98.805000000000007</v>
      </c>
      <c r="ALA19">
        <v>98.77</v>
      </c>
      <c r="ALB19">
        <v>98.745000000000005</v>
      </c>
      <c r="ALC19">
        <v>98.8</v>
      </c>
      <c r="ALD19">
        <v>98.8</v>
      </c>
      <c r="ALE19">
        <v>98.825000000000003</v>
      </c>
      <c r="ALF19">
        <v>98.814999999999998</v>
      </c>
      <c r="ALG19">
        <v>98.82</v>
      </c>
      <c r="ALH19">
        <v>98.83</v>
      </c>
      <c r="ALI19">
        <v>98.784999999999997</v>
      </c>
      <c r="ALJ19">
        <v>98.74</v>
      </c>
      <c r="ALK19">
        <v>98.75</v>
      </c>
      <c r="ALL19">
        <v>98.814999999999998</v>
      </c>
      <c r="ALM19">
        <v>98.844999999999999</v>
      </c>
      <c r="ALN19">
        <v>98.834999999999994</v>
      </c>
      <c r="ALO19">
        <v>98.855000000000004</v>
      </c>
      <c r="ALP19">
        <v>98.83</v>
      </c>
      <c r="ALQ19">
        <v>98.85</v>
      </c>
      <c r="ALR19">
        <v>98.855000000000004</v>
      </c>
      <c r="ALS19">
        <v>98.795000000000002</v>
      </c>
      <c r="ALT19">
        <v>98.72</v>
      </c>
      <c r="ALU19">
        <v>98.734999999999999</v>
      </c>
      <c r="ALV19">
        <v>98.74</v>
      </c>
      <c r="ALW19">
        <v>98.77</v>
      </c>
      <c r="ALX19">
        <v>98.825000000000003</v>
      </c>
      <c r="ALY19">
        <v>98.894999999999996</v>
      </c>
      <c r="ALZ19">
        <v>98.95</v>
      </c>
      <c r="AMA19">
        <v>98.984999999999999</v>
      </c>
      <c r="AMB19">
        <v>98.974999999999994</v>
      </c>
      <c r="AMC19">
        <v>98.89</v>
      </c>
      <c r="AMD19">
        <v>98.86</v>
      </c>
      <c r="AME19">
        <v>98.864999999999995</v>
      </c>
      <c r="AMF19">
        <v>98.915000000000006</v>
      </c>
      <c r="AMG19">
        <v>98.88</v>
      </c>
      <c r="AMH19">
        <v>98.87</v>
      </c>
      <c r="AMI19">
        <v>98.885000000000005</v>
      </c>
      <c r="AMJ19">
        <v>98.875</v>
      </c>
      <c r="AMK19">
        <v>98.974999999999994</v>
      </c>
      <c r="AML19">
        <v>98.974999999999994</v>
      </c>
      <c r="AMM19">
        <v>98.8</v>
      </c>
      <c r="AMN19">
        <v>98.805000000000007</v>
      </c>
      <c r="AMO19">
        <v>98.74</v>
      </c>
      <c r="AMP19">
        <v>98.68</v>
      </c>
      <c r="AMQ19">
        <v>98.74</v>
      </c>
      <c r="AMR19">
        <v>98.734999999999999</v>
      </c>
      <c r="AMS19">
        <v>98.81</v>
      </c>
      <c r="AMT19">
        <v>98.76</v>
      </c>
      <c r="AMU19">
        <v>98.715000000000003</v>
      </c>
      <c r="AMV19">
        <v>98.62</v>
      </c>
      <c r="AMW19">
        <v>98.62</v>
      </c>
      <c r="AMX19">
        <v>98.555000000000007</v>
      </c>
      <c r="AMY19">
        <v>98.605000000000004</v>
      </c>
      <c r="AMZ19">
        <v>98.57</v>
      </c>
      <c r="ANA19">
        <v>98.564999999999998</v>
      </c>
      <c r="ANB19">
        <v>98.534999999999997</v>
      </c>
      <c r="ANC19">
        <v>98.575000000000003</v>
      </c>
      <c r="AND19">
        <v>98.58</v>
      </c>
      <c r="ANE19">
        <v>98.614999999999995</v>
      </c>
      <c r="ANF19">
        <v>98.605000000000004</v>
      </c>
      <c r="ANG19">
        <v>98.605000000000004</v>
      </c>
      <c r="ANH19">
        <v>98.55</v>
      </c>
      <c r="ANI19">
        <v>98.465000000000003</v>
      </c>
      <c r="ANJ19">
        <v>98.704999999999998</v>
      </c>
      <c r="ANK19">
        <v>98.694999999999993</v>
      </c>
      <c r="ANL19">
        <v>98.734999999999999</v>
      </c>
      <c r="ANM19">
        <v>98.77</v>
      </c>
      <c r="ANN19">
        <v>98.74</v>
      </c>
      <c r="ANO19">
        <v>98.69</v>
      </c>
      <c r="ANP19">
        <v>98.644999999999996</v>
      </c>
      <c r="ANQ19">
        <v>98.644999999999996</v>
      </c>
      <c r="ANR19">
        <v>98.55</v>
      </c>
      <c r="ANS19">
        <v>98.6</v>
      </c>
      <c r="ANT19">
        <v>98.564999999999998</v>
      </c>
      <c r="ANU19">
        <v>98.6</v>
      </c>
      <c r="ANV19">
        <v>98.6</v>
      </c>
      <c r="ANW19">
        <v>98.594999999999999</v>
      </c>
      <c r="ANX19">
        <v>98.635000000000005</v>
      </c>
      <c r="ANY19">
        <v>98.64</v>
      </c>
      <c r="ANZ19">
        <v>98.584999999999994</v>
      </c>
      <c r="AOA19">
        <v>98.545000000000002</v>
      </c>
      <c r="AOB19">
        <v>98.56</v>
      </c>
      <c r="AOC19">
        <v>98.5</v>
      </c>
      <c r="AOD19">
        <v>98.56</v>
      </c>
      <c r="AOE19">
        <v>98.56</v>
      </c>
      <c r="AOF19">
        <v>98.564999999999998</v>
      </c>
      <c r="AOG19">
        <v>98.545000000000002</v>
      </c>
      <c r="AOH19">
        <v>98.484999999999999</v>
      </c>
      <c r="AOI19">
        <v>98.59</v>
      </c>
      <c r="AOJ19">
        <v>98.614999999999995</v>
      </c>
      <c r="AOK19">
        <v>98.614999999999995</v>
      </c>
      <c r="AOL19">
        <v>98.575000000000003</v>
      </c>
      <c r="AOM19">
        <v>98.555000000000007</v>
      </c>
      <c r="AON19">
        <v>98.53</v>
      </c>
      <c r="AOO19">
        <v>98.504999999999995</v>
      </c>
      <c r="AOP19">
        <v>98.47</v>
      </c>
      <c r="AOQ19">
        <v>98.47</v>
      </c>
      <c r="AOR19">
        <v>98.48</v>
      </c>
      <c r="AOS19">
        <v>98.484999999999999</v>
      </c>
      <c r="AOT19">
        <v>98.54</v>
      </c>
      <c r="AOU19">
        <v>98.55</v>
      </c>
      <c r="AOV19">
        <v>98.58</v>
      </c>
      <c r="AOW19">
        <v>98.58</v>
      </c>
      <c r="AOX19">
        <v>98.584999999999994</v>
      </c>
      <c r="AOY19">
        <v>98.56</v>
      </c>
      <c r="AOZ19">
        <v>98.575000000000003</v>
      </c>
      <c r="APA19">
        <v>98.61</v>
      </c>
      <c r="APB19">
        <v>98.47</v>
      </c>
      <c r="APC19">
        <v>98.474999999999994</v>
      </c>
      <c r="APD19">
        <v>98.38</v>
      </c>
      <c r="APE19">
        <v>98.4</v>
      </c>
      <c r="APF19">
        <v>98.43</v>
      </c>
      <c r="APG19">
        <v>98.39</v>
      </c>
      <c r="APH19">
        <v>98.355000000000004</v>
      </c>
      <c r="API19">
        <v>98.25</v>
      </c>
      <c r="APJ19">
        <v>98.215000000000003</v>
      </c>
      <c r="APK19">
        <v>98.31</v>
      </c>
      <c r="APL19">
        <v>98.265000000000001</v>
      </c>
      <c r="APM19">
        <v>98.31</v>
      </c>
      <c r="APN19">
        <v>98.35</v>
      </c>
      <c r="APO19">
        <v>98.42</v>
      </c>
      <c r="APP19">
        <v>98.48</v>
      </c>
      <c r="APQ19">
        <v>98.474999999999994</v>
      </c>
      <c r="APR19">
        <v>98.454999999999998</v>
      </c>
      <c r="APS19">
        <v>98.394999999999996</v>
      </c>
      <c r="APT19">
        <v>98.36</v>
      </c>
      <c r="APU19">
        <v>98.42</v>
      </c>
      <c r="APV19">
        <v>98.555000000000007</v>
      </c>
      <c r="APW19">
        <v>98.61</v>
      </c>
      <c r="APX19">
        <v>98.605000000000004</v>
      </c>
      <c r="APY19">
        <v>98.59</v>
      </c>
      <c r="APZ19">
        <v>98.66</v>
      </c>
      <c r="AQA19">
        <v>98.67</v>
      </c>
      <c r="AQB19">
        <v>98.64</v>
      </c>
      <c r="AQC19">
        <v>98.584999999999994</v>
      </c>
      <c r="AQD19">
        <v>98.65</v>
      </c>
      <c r="AQE19">
        <v>98.64</v>
      </c>
      <c r="AQF19">
        <v>98.704999999999998</v>
      </c>
      <c r="AQG19">
        <v>98.76</v>
      </c>
      <c r="AQH19">
        <v>98.72</v>
      </c>
      <c r="AQI19">
        <v>98.68</v>
      </c>
      <c r="AQJ19">
        <v>98.685000000000002</v>
      </c>
      <c r="AQK19">
        <v>98.89</v>
      </c>
      <c r="AQL19">
        <v>98.915000000000006</v>
      </c>
      <c r="AQM19">
        <v>98.905000000000001</v>
      </c>
      <c r="AQN19">
        <v>98.94</v>
      </c>
      <c r="AQO19">
        <v>98.984999999999999</v>
      </c>
      <c r="AQP19">
        <v>98.974999999999994</v>
      </c>
      <c r="AQQ19">
        <v>99</v>
      </c>
      <c r="AQR19">
        <v>99.12</v>
      </c>
      <c r="AQS19">
        <v>99.12</v>
      </c>
      <c r="AQT19">
        <v>99.174999999999997</v>
      </c>
      <c r="AQU19">
        <v>99.185000000000002</v>
      </c>
      <c r="AQV19">
        <v>99.17</v>
      </c>
      <c r="AQW19">
        <v>99.16</v>
      </c>
      <c r="AQX19">
        <v>99.18</v>
      </c>
      <c r="AQY19">
        <v>99.185000000000002</v>
      </c>
      <c r="AQZ19">
        <v>99.245000000000005</v>
      </c>
      <c r="ARA19">
        <v>99.26</v>
      </c>
      <c r="ARB19">
        <v>99.284999999999997</v>
      </c>
      <c r="ARC19">
        <v>99.284999999999997</v>
      </c>
      <c r="ARD19">
        <v>99.29</v>
      </c>
      <c r="ARE19">
        <v>99.32</v>
      </c>
      <c r="ARF19">
        <v>99.305000000000007</v>
      </c>
      <c r="ARG19">
        <v>99.31</v>
      </c>
      <c r="ARH19">
        <v>99.295000000000002</v>
      </c>
      <c r="ARI19">
        <v>99.29</v>
      </c>
      <c r="ARJ19">
        <v>99.305000000000007</v>
      </c>
      <c r="ARK19">
        <v>99.305000000000007</v>
      </c>
      <c r="ARL19">
        <v>99.295000000000002</v>
      </c>
      <c r="ARM19">
        <v>99.295000000000002</v>
      </c>
      <c r="ARN19">
        <v>99.32</v>
      </c>
      <c r="ARO19">
        <v>99.305000000000007</v>
      </c>
      <c r="ARP19">
        <v>99.28</v>
      </c>
      <c r="ARQ19">
        <v>99.284999999999997</v>
      </c>
      <c r="ARR19">
        <v>99.29</v>
      </c>
      <c r="ARS19">
        <v>99.33</v>
      </c>
      <c r="ART19">
        <v>99.435000000000002</v>
      </c>
      <c r="ARU19">
        <v>99.48</v>
      </c>
      <c r="ARV19">
        <v>99.49</v>
      </c>
      <c r="ARW19">
        <v>99.48</v>
      </c>
      <c r="ARX19">
        <v>99.48</v>
      </c>
      <c r="ARY19">
        <v>99.47</v>
      </c>
      <c r="ARZ19">
        <v>99.454999999999998</v>
      </c>
      <c r="ASA19">
        <v>99.45</v>
      </c>
      <c r="ASB19">
        <v>99.454999999999998</v>
      </c>
      <c r="ASC19">
        <v>99.454999999999998</v>
      </c>
      <c r="ASD19">
        <v>99.454999999999998</v>
      </c>
      <c r="ASE19">
        <v>99.46</v>
      </c>
      <c r="ASF19">
        <v>99.454999999999998</v>
      </c>
      <c r="ASG19">
        <v>99.454999999999998</v>
      </c>
      <c r="ASH19">
        <v>99.49</v>
      </c>
      <c r="ASI19">
        <v>99.5</v>
      </c>
      <c r="ASJ19">
        <v>99.57</v>
      </c>
      <c r="ASK19">
        <v>99.57</v>
      </c>
      <c r="ASL19">
        <v>99.57</v>
      </c>
      <c r="ASM19">
        <v>99.545000000000002</v>
      </c>
      <c r="ASN19">
        <v>99.584999999999994</v>
      </c>
      <c r="ASO19">
        <v>99.69</v>
      </c>
      <c r="ASP19">
        <v>99.69</v>
      </c>
      <c r="ASQ19">
        <v>99.7</v>
      </c>
      <c r="ASR19">
        <v>99.715000000000003</v>
      </c>
      <c r="ASS19">
        <v>99.72</v>
      </c>
      <c r="AST19">
        <v>99.724999999999994</v>
      </c>
      <c r="ASU19">
        <v>99.75</v>
      </c>
      <c r="ASV19">
        <v>99.754999999999995</v>
      </c>
      <c r="ASW19">
        <v>99.75</v>
      </c>
      <c r="ASX19">
        <v>99.75</v>
      </c>
      <c r="ASY19">
        <v>99.745000000000005</v>
      </c>
      <c r="ASZ19">
        <v>99.74</v>
      </c>
      <c r="ATA19">
        <v>99.754999999999995</v>
      </c>
      <c r="ATB19">
        <v>99.75</v>
      </c>
      <c r="ATC19">
        <v>99.75</v>
      </c>
      <c r="ATD19">
        <v>99.754999999999995</v>
      </c>
      <c r="ATE19">
        <v>99.745000000000005</v>
      </c>
      <c r="ATF19">
        <v>99.745000000000005</v>
      </c>
      <c r="ATG19">
        <v>99.74</v>
      </c>
      <c r="ATH19">
        <v>99.72</v>
      </c>
      <c r="ATI19">
        <v>99.72</v>
      </c>
      <c r="ATJ19">
        <v>99.754999999999995</v>
      </c>
      <c r="ATK19">
        <v>99.8</v>
      </c>
      <c r="ATL19">
        <v>99.805000000000007</v>
      </c>
      <c r="ATM19">
        <v>99.825000000000003</v>
      </c>
      <c r="ATN19">
        <v>99.795000000000002</v>
      </c>
      <c r="ATO19">
        <v>99.805000000000007</v>
      </c>
      <c r="ATP19">
        <v>99.8</v>
      </c>
      <c r="ATQ19">
        <v>99.805000000000007</v>
      </c>
      <c r="ATR19">
        <v>99.814999999999998</v>
      </c>
      <c r="ATS19">
        <v>99.814999999999998</v>
      </c>
      <c r="ATT19">
        <v>99.81</v>
      </c>
      <c r="ATU19">
        <v>99.8</v>
      </c>
      <c r="ATV19">
        <v>99.79</v>
      </c>
      <c r="ATW19">
        <v>99.814999999999998</v>
      </c>
      <c r="ATX19">
        <v>99.814999999999998</v>
      </c>
      <c r="ATY19">
        <v>99.825000000000003</v>
      </c>
      <c r="ATZ19">
        <v>99.834999999999994</v>
      </c>
      <c r="AUA19">
        <v>99.83</v>
      </c>
      <c r="AUB19">
        <v>99.834999999999994</v>
      </c>
      <c r="AUC19">
        <v>99.83</v>
      </c>
      <c r="AUD19">
        <v>99.814999999999998</v>
      </c>
      <c r="AUE19">
        <v>99.81</v>
      </c>
      <c r="AUF19">
        <v>99.825000000000003</v>
      </c>
      <c r="AUG19">
        <v>99.82</v>
      </c>
      <c r="AUH19">
        <v>99.844999999999999</v>
      </c>
      <c r="AUI19">
        <v>99.844999999999999</v>
      </c>
      <c r="AUJ19">
        <v>99.894999999999996</v>
      </c>
      <c r="AUK19">
        <v>99.894999999999996</v>
      </c>
      <c r="AUL19">
        <v>99.894999999999996</v>
      </c>
      <c r="AUM19">
        <v>99.9</v>
      </c>
      <c r="AUN19">
        <v>99.9</v>
      </c>
      <c r="AUO19">
        <v>99.91</v>
      </c>
      <c r="AUP19">
        <v>99.91</v>
      </c>
      <c r="AUQ19">
        <v>99.915000000000006</v>
      </c>
      <c r="AUR19">
        <v>99.915000000000006</v>
      </c>
      <c r="AUS19">
        <v>99.905000000000001</v>
      </c>
      <c r="AUT19">
        <v>99.885000000000005</v>
      </c>
      <c r="AUU19">
        <v>99.9</v>
      </c>
      <c r="AUV19">
        <v>99.894999999999996</v>
      </c>
      <c r="AUW19">
        <v>99.935000000000002</v>
      </c>
      <c r="AUX19">
        <v>99.94</v>
      </c>
      <c r="AUY19">
        <v>99.93</v>
      </c>
      <c r="AUZ19">
        <v>99.905000000000001</v>
      </c>
      <c r="AVA19">
        <v>99.9</v>
      </c>
      <c r="AVB19">
        <v>99.905000000000001</v>
      </c>
      <c r="AVC19">
        <v>99.894999999999996</v>
      </c>
      <c r="AVD19">
        <v>99.894999999999996</v>
      </c>
      <c r="AVE19">
        <v>99.924999999999997</v>
      </c>
      <c r="AVF19">
        <v>99.915000000000006</v>
      </c>
      <c r="AVG19">
        <v>99.924999999999997</v>
      </c>
      <c r="AVH19">
        <v>99.92</v>
      </c>
      <c r="AVI19">
        <v>99.915000000000006</v>
      </c>
      <c r="AVJ19">
        <v>99.894999999999996</v>
      </c>
      <c r="AVK19">
        <v>99.905000000000001</v>
      </c>
      <c r="AVL19">
        <v>99.91</v>
      </c>
      <c r="AVM19">
        <v>99.92</v>
      </c>
      <c r="AVN19">
        <v>99.915000000000006</v>
      </c>
      <c r="AVO19">
        <v>99.924999999999997</v>
      </c>
      <c r="AVP19">
        <v>99.924999999999997</v>
      </c>
      <c r="AVQ19">
        <v>99.915000000000006</v>
      </c>
      <c r="AVR19">
        <v>99.9</v>
      </c>
      <c r="AVS19">
        <v>99.89</v>
      </c>
      <c r="AVT19">
        <v>99.89</v>
      </c>
      <c r="AVU19">
        <v>99.894999999999996</v>
      </c>
      <c r="AVV19">
        <v>99.894999999999996</v>
      </c>
      <c r="AVW19">
        <v>99.93</v>
      </c>
      <c r="AVX19">
        <v>99.94</v>
      </c>
      <c r="AVY19">
        <v>99.96</v>
      </c>
      <c r="AVZ19">
        <v>99.965000000000003</v>
      </c>
      <c r="AWA19">
        <v>99.974999999999994</v>
      </c>
      <c r="AWB19">
        <v>99.965000000000003</v>
      </c>
      <c r="AWC19">
        <v>99.96</v>
      </c>
      <c r="AWD19">
        <v>99.954999999999998</v>
      </c>
      <c r="AWE19">
        <v>99.935000000000002</v>
      </c>
      <c r="AWF19">
        <v>99.924999999999997</v>
      </c>
      <c r="AWG19">
        <v>99.92</v>
      </c>
      <c r="AWH19">
        <v>99.93</v>
      </c>
      <c r="AWI19">
        <v>99.935000000000002</v>
      </c>
      <c r="AWJ19">
        <v>99.935000000000002</v>
      </c>
      <c r="AWK19">
        <v>99.93</v>
      </c>
      <c r="AWL19">
        <v>99.93</v>
      </c>
      <c r="AWM19">
        <v>99.924999999999997</v>
      </c>
      <c r="AWN19">
        <v>99.924999999999997</v>
      </c>
      <c r="AWO19">
        <v>99.92</v>
      </c>
      <c r="AWP19">
        <v>99.93</v>
      </c>
      <c r="AWQ19">
        <v>99.93</v>
      </c>
      <c r="AWR19">
        <v>99.944999999999993</v>
      </c>
      <c r="AWS19">
        <v>99.96</v>
      </c>
      <c r="AWT19">
        <v>99.944999999999993</v>
      </c>
      <c r="AWU19">
        <v>99.94</v>
      </c>
      <c r="AWV19">
        <v>99.935000000000002</v>
      </c>
      <c r="AWW19">
        <v>99.935000000000002</v>
      </c>
      <c r="AWX19">
        <v>99.935000000000002</v>
      </c>
      <c r="AWY19">
        <v>99.924999999999997</v>
      </c>
      <c r="AWZ19">
        <v>99.944999999999993</v>
      </c>
      <c r="AXA19">
        <v>99.944999999999993</v>
      </c>
      <c r="AXB19">
        <v>99.935000000000002</v>
      </c>
      <c r="AXC19">
        <v>99.915000000000006</v>
      </c>
      <c r="AXD19">
        <v>99.915000000000006</v>
      </c>
      <c r="AXE19">
        <v>99.915000000000006</v>
      </c>
      <c r="AXF19">
        <v>99.91</v>
      </c>
      <c r="AXG19">
        <v>99.9</v>
      </c>
      <c r="AXH19">
        <v>99.88</v>
      </c>
      <c r="AXI19">
        <v>99.875</v>
      </c>
      <c r="AXJ19">
        <v>99.86</v>
      </c>
      <c r="AXK19">
        <v>99.875</v>
      </c>
      <c r="AXL19">
        <v>99.864999999999995</v>
      </c>
      <c r="AXM19">
        <v>99.875</v>
      </c>
      <c r="AXN19">
        <v>99.85</v>
      </c>
      <c r="AXO19">
        <v>99.8</v>
      </c>
      <c r="AXP19">
        <v>99.765000000000001</v>
      </c>
      <c r="AXQ19">
        <v>99.76</v>
      </c>
      <c r="AXR19">
        <v>99.825000000000003</v>
      </c>
      <c r="AXS19">
        <v>99.84</v>
      </c>
      <c r="AXT19">
        <v>99.875</v>
      </c>
      <c r="AXU19">
        <v>99.88</v>
      </c>
      <c r="AXV19">
        <v>99.87</v>
      </c>
      <c r="AXW19">
        <v>99.85</v>
      </c>
      <c r="AXX19">
        <v>99.855000000000004</v>
      </c>
      <c r="AXY19">
        <v>99.86</v>
      </c>
      <c r="AXZ19">
        <v>99.864999999999995</v>
      </c>
      <c r="AYA19">
        <v>99.864999999999995</v>
      </c>
      <c r="AYB19">
        <v>99.86</v>
      </c>
      <c r="AYC19">
        <v>99.86</v>
      </c>
      <c r="AYD19">
        <v>99.864999999999995</v>
      </c>
      <c r="AYE19">
        <v>99.864999999999995</v>
      </c>
      <c r="AYF19">
        <v>99.91</v>
      </c>
      <c r="AYG19">
        <v>99.885000000000005</v>
      </c>
      <c r="AYH19">
        <v>99.875</v>
      </c>
      <c r="AYI19">
        <v>99.855000000000004</v>
      </c>
      <c r="AYJ19">
        <v>99.855000000000004</v>
      </c>
      <c r="AYK19">
        <v>99.875</v>
      </c>
      <c r="AYL19">
        <v>99.885000000000005</v>
      </c>
      <c r="AYM19">
        <v>99.83</v>
      </c>
      <c r="AYN19">
        <v>99.814999999999998</v>
      </c>
      <c r="AYO19">
        <v>99.82</v>
      </c>
      <c r="AYP19">
        <v>99.805000000000007</v>
      </c>
      <c r="AYQ19">
        <v>99.81</v>
      </c>
      <c r="AYR19">
        <v>99.8</v>
      </c>
      <c r="AYS19">
        <v>99.784999999999997</v>
      </c>
      <c r="AYT19">
        <v>99.78</v>
      </c>
      <c r="AYU19">
        <v>99.79</v>
      </c>
      <c r="AYV19">
        <v>99.79</v>
      </c>
      <c r="AYW19">
        <v>99.784999999999997</v>
      </c>
      <c r="AYX19">
        <v>99.795000000000002</v>
      </c>
      <c r="AYY19">
        <v>99.775000000000006</v>
      </c>
      <c r="AYZ19">
        <v>99.765000000000001</v>
      </c>
      <c r="AZA19">
        <v>99.75</v>
      </c>
      <c r="AZB19">
        <v>99.74</v>
      </c>
      <c r="AZC19">
        <v>99.71</v>
      </c>
      <c r="AZD19">
        <v>99.694999999999993</v>
      </c>
      <c r="AZE19">
        <v>99.704999999999998</v>
      </c>
      <c r="AZF19">
        <v>99.704999999999998</v>
      </c>
      <c r="AZG19">
        <v>99.685000000000002</v>
      </c>
      <c r="AZH19">
        <v>99.67</v>
      </c>
      <c r="AZI19">
        <v>99.715000000000003</v>
      </c>
      <c r="AZJ19">
        <v>99.775000000000006</v>
      </c>
      <c r="AZK19">
        <v>99.77</v>
      </c>
      <c r="AZL19">
        <v>99.784999999999997</v>
      </c>
      <c r="AZM19">
        <v>99.76</v>
      </c>
      <c r="AZN19">
        <v>99.79</v>
      </c>
      <c r="AZO19">
        <v>99.745000000000005</v>
      </c>
      <c r="AZP19">
        <v>99.724999999999994</v>
      </c>
      <c r="AZQ19">
        <v>99.694999999999993</v>
      </c>
      <c r="AZR19">
        <v>99.69</v>
      </c>
      <c r="AZS19">
        <v>99.75</v>
      </c>
      <c r="AZT19">
        <v>99.67</v>
      </c>
      <c r="AZU19">
        <v>99.61</v>
      </c>
      <c r="AZV19">
        <v>99.504999999999995</v>
      </c>
      <c r="AZW19">
        <v>99.614999999999995</v>
      </c>
      <c r="AZX19">
        <v>99.665000000000006</v>
      </c>
      <c r="AZY19">
        <v>99.59</v>
      </c>
      <c r="AZZ19">
        <v>99.63</v>
      </c>
      <c r="BAA19">
        <v>99.56</v>
      </c>
      <c r="BAB19">
        <v>99.55</v>
      </c>
      <c r="BAC19">
        <v>99.67</v>
      </c>
      <c r="BAD19">
        <v>99.594999999999999</v>
      </c>
      <c r="BAE19">
        <v>99.51</v>
      </c>
      <c r="BAF19">
        <v>99.46</v>
      </c>
      <c r="BAG19">
        <v>99.4</v>
      </c>
      <c r="BAH19">
        <v>99.33</v>
      </c>
      <c r="BAI19">
        <v>99.33</v>
      </c>
      <c r="BAJ19">
        <v>99.13</v>
      </c>
      <c r="BAK19">
        <v>99.075000000000003</v>
      </c>
      <c r="BAL19">
        <v>99.084999999999994</v>
      </c>
      <c r="BAM19">
        <v>99.03</v>
      </c>
      <c r="BAN19">
        <v>98.92</v>
      </c>
      <c r="BAO19">
        <v>98.855000000000004</v>
      </c>
      <c r="BAP19">
        <v>98.81</v>
      </c>
      <c r="BAQ19">
        <v>98.834999999999994</v>
      </c>
      <c r="BAR19">
        <v>98.805000000000007</v>
      </c>
      <c r="BAS19">
        <v>98.805000000000007</v>
      </c>
      <c r="BAT19">
        <v>98.77</v>
      </c>
      <c r="BAU19">
        <v>98.77</v>
      </c>
      <c r="BAV19">
        <v>98.81</v>
      </c>
      <c r="BAW19">
        <v>98.84</v>
      </c>
      <c r="BAX19">
        <v>98.805000000000007</v>
      </c>
      <c r="BAY19">
        <v>98.75</v>
      </c>
      <c r="BAZ19">
        <v>98.77</v>
      </c>
      <c r="BBA19">
        <v>98.81</v>
      </c>
      <c r="BBB19">
        <v>98.894999999999996</v>
      </c>
      <c r="BBC19">
        <v>98.91</v>
      </c>
      <c r="BBD19">
        <v>98.855000000000004</v>
      </c>
      <c r="BBE19">
        <v>98.81</v>
      </c>
      <c r="BBF19">
        <v>98.76</v>
      </c>
      <c r="BBG19">
        <v>98.795000000000002</v>
      </c>
      <c r="BBH19">
        <v>98.71</v>
      </c>
      <c r="BBI19">
        <v>98.655000000000001</v>
      </c>
      <c r="BBJ19">
        <v>98.635000000000005</v>
      </c>
      <c r="BBK19">
        <v>98.62</v>
      </c>
      <c r="BBL19">
        <v>98.564999999999998</v>
      </c>
      <c r="BBM19">
        <v>98.564999999999998</v>
      </c>
      <c r="BBN19">
        <v>98.58</v>
      </c>
      <c r="BBO19">
        <v>98.59</v>
      </c>
      <c r="BBP19">
        <v>98.58</v>
      </c>
      <c r="BBQ19">
        <v>98.564999999999998</v>
      </c>
      <c r="BBR19">
        <v>98.57</v>
      </c>
      <c r="BBS19">
        <v>98.555000000000007</v>
      </c>
      <c r="BBT19">
        <v>98.55</v>
      </c>
      <c r="BBU19">
        <v>98.594999999999999</v>
      </c>
      <c r="BBV19">
        <v>98.605000000000004</v>
      </c>
      <c r="BBW19">
        <v>98.61</v>
      </c>
      <c r="BBX19">
        <v>98.52</v>
      </c>
      <c r="BBY19">
        <v>98.51</v>
      </c>
      <c r="BBZ19">
        <v>98.51</v>
      </c>
      <c r="BCA19">
        <v>98.515000000000001</v>
      </c>
      <c r="BCB19">
        <v>98.515000000000001</v>
      </c>
      <c r="BCC19">
        <v>98.474999999999994</v>
      </c>
      <c r="BCD19">
        <v>98.474999999999994</v>
      </c>
      <c r="BCE19">
        <v>98.474999999999994</v>
      </c>
      <c r="BCF19">
        <v>98.454999999999998</v>
      </c>
      <c r="BCG19">
        <v>98.495000000000005</v>
      </c>
      <c r="BCH19">
        <v>98.51</v>
      </c>
      <c r="BCI19">
        <v>98.49</v>
      </c>
      <c r="BCJ19">
        <v>98.515000000000001</v>
      </c>
      <c r="BCK19">
        <v>98.525000000000006</v>
      </c>
      <c r="BCL19">
        <v>98.6</v>
      </c>
      <c r="BCM19">
        <v>98.52</v>
      </c>
      <c r="BCN19">
        <v>98.605000000000004</v>
      </c>
      <c r="BCO19">
        <v>98.564999999999998</v>
      </c>
      <c r="BCP19">
        <v>98.58</v>
      </c>
      <c r="BCQ19">
        <v>98.59</v>
      </c>
      <c r="BCR19">
        <v>98.65</v>
      </c>
      <c r="BCS19">
        <v>98.665000000000006</v>
      </c>
      <c r="BCT19">
        <v>98.74</v>
      </c>
      <c r="BCU19">
        <v>98.62</v>
      </c>
      <c r="BCV19">
        <v>98.655000000000001</v>
      </c>
      <c r="BCW19">
        <v>98.644999999999996</v>
      </c>
      <c r="BCX19">
        <v>98.644999999999996</v>
      </c>
      <c r="BCY19">
        <v>98.685000000000002</v>
      </c>
      <c r="BCZ19">
        <v>98.674999999999997</v>
      </c>
      <c r="BDA19">
        <v>98.66</v>
      </c>
      <c r="BDB19">
        <v>98.68</v>
      </c>
      <c r="BDC19">
        <v>98.71</v>
      </c>
      <c r="BDD19">
        <v>98.674999999999997</v>
      </c>
      <c r="BDE19">
        <v>98.65</v>
      </c>
      <c r="BDF19">
        <v>98.625</v>
      </c>
      <c r="BDG19">
        <v>98.635000000000005</v>
      </c>
      <c r="BDH19">
        <v>98.584999999999994</v>
      </c>
      <c r="BDI19">
        <v>98.534999999999997</v>
      </c>
      <c r="BDJ19">
        <v>98.504999999999995</v>
      </c>
      <c r="BDK19">
        <v>98.515000000000001</v>
      </c>
      <c r="BDL19">
        <v>98.5</v>
      </c>
      <c r="BDM19">
        <v>98.61</v>
      </c>
      <c r="BDN19">
        <v>98.584999999999994</v>
      </c>
      <c r="BDO19">
        <v>98.644999999999996</v>
      </c>
      <c r="BDP19">
        <v>98.694999999999993</v>
      </c>
      <c r="BDQ19">
        <v>98.765000000000001</v>
      </c>
      <c r="BDR19">
        <v>98.64</v>
      </c>
      <c r="BDS19">
        <v>98.62</v>
      </c>
      <c r="BDT19">
        <v>98.625</v>
      </c>
      <c r="BDU19">
        <v>98.655000000000001</v>
      </c>
      <c r="BDV19">
        <v>98.7</v>
      </c>
      <c r="BDW19">
        <v>98.71</v>
      </c>
      <c r="BDX19">
        <v>98.69</v>
      </c>
      <c r="BDY19">
        <v>98.665000000000006</v>
      </c>
      <c r="BDZ19">
        <v>98.704999999999998</v>
      </c>
      <c r="BEA19">
        <v>98.68</v>
      </c>
      <c r="BEB19">
        <v>98.704999999999998</v>
      </c>
      <c r="BEC19">
        <v>98.665000000000006</v>
      </c>
      <c r="BED19">
        <v>98.72</v>
      </c>
      <c r="BEE19">
        <v>98.7</v>
      </c>
      <c r="BEF19">
        <v>98.83</v>
      </c>
      <c r="BEG19">
        <v>98.894999999999996</v>
      </c>
      <c r="BEH19">
        <v>98.95</v>
      </c>
      <c r="BEI19">
        <v>98.94</v>
      </c>
      <c r="BEJ19">
        <v>99.01</v>
      </c>
      <c r="BEK19">
        <v>99.02</v>
      </c>
      <c r="BEL19">
        <v>98.92</v>
      </c>
      <c r="BEM19">
        <v>98.844999999999999</v>
      </c>
      <c r="BEN19">
        <v>98.775000000000006</v>
      </c>
      <c r="BEO19">
        <v>98.784999999999997</v>
      </c>
      <c r="BEP19">
        <v>98.775000000000006</v>
      </c>
      <c r="BEQ19">
        <v>98.76</v>
      </c>
      <c r="BER19">
        <v>98.86</v>
      </c>
      <c r="BES19">
        <v>98.765000000000001</v>
      </c>
      <c r="BET19">
        <v>98.724999999999994</v>
      </c>
      <c r="BEU19">
        <v>98.74</v>
      </c>
      <c r="BEV19">
        <v>98.704999999999998</v>
      </c>
      <c r="BEW19">
        <v>98.715000000000003</v>
      </c>
      <c r="BEX19">
        <v>98.674999999999997</v>
      </c>
      <c r="BEY19">
        <v>98.614999999999995</v>
      </c>
      <c r="BEZ19">
        <v>98.71</v>
      </c>
      <c r="BFA19">
        <v>98.795000000000002</v>
      </c>
      <c r="BFB19">
        <v>98.82</v>
      </c>
      <c r="BFC19">
        <v>98.92</v>
      </c>
      <c r="BFD19">
        <v>98.995000000000005</v>
      </c>
      <c r="BFE19">
        <v>99</v>
      </c>
      <c r="BFF19">
        <v>99.13</v>
      </c>
      <c r="BFG19">
        <v>99.09</v>
      </c>
      <c r="BFH19">
        <v>99.01</v>
      </c>
      <c r="BFI19">
        <v>99.01</v>
      </c>
      <c r="BFJ19">
        <v>98.984999999999999</v>
      </c>
      <c r="BFK19">
        <v>99.025000000000006</v>
      </c>
      <c r="BFL19">
        <v>98.98</v>
      </c>
      <c r="BFM19">
        <v>98.935000000000002</v>
      </c>
      <c r="BFN19">
        <v>98.96</v>
      </c>
      <c r="BFO19">
        <v>98.855000000000004</v>
      </c>
      <c r="BFP19">
        <v>98.885000000000005</v>
      </c>
      <c r="BFQ19">
        <v>98.92</v>
      </c>
      <c r="BFR19">
        <v>98.88</v>
      </c>
      <c r="BFS19">
        <v>98.94</v>
      </c>
      <c r="BFT19">
        <v>98.935000000000002</v>
      </c>
      <c r="BFU19">
        <v>98.864999999999995</v>
      </c>
      <c r="BFV19">
        <v>98.78</v>
      </c>
      <c r="BFW19">
        <v>98.885000000000005</v>
      </c>
      <c r="BFX19">
        <v>98.805000000000007</v>
      </c>
      <c r="BFY19">
        <v>98.85</v>
      </c>
      <c r="BFZ19">
        <v>98.924999999999997</v>
      </c>
      <c r="BGA19">
        <v>98.83</v>
      </c>
      <c r="BGB19">
        <v>98.894999999999996</v>
      </c>
      <c r="BGC19">
        <v>98.68</v>
      </c>
      <c r="BGD19">
        <v>98.66</v>
      </c>
      <c r="BGE19">
        <v>98.47</v>
      </c>
      <c r="BGF19">
        <v>98.48</v>
      </c>
      <c r="BGG19">
        <v>98.49</v>
      </c>
      <c r="BGH19">
        <v>98.47</v>
      </c>
      <c r="BGI19">
        <v>98.495000000000005</v>
      </c>
      <c r="BGJ19">
        <v>98.52</v>
      </c>
      <c r="BGK19">
        <v>98.515000000000001</v>
      </c>
      <c r="BGL19">
        <v>98.545000000000002</v>
      </c>
      <c r="BGM19">
        <v>98.525000000000006</v>
      </c>
      <c r="BGN19">
        <v>98.575000000000003</v>
      </c>
      <c r="BGO19">
        <v>98.49</v>
      </c>
      <c r="BGP19">
        <v>98.435000000000002</v>
      </c>
      <c r="BGQ19">
        <v>98.465000000000003</v>
      </c>
      <c r="BGR19">
        <v>98.46</v>
      </c>
      <c r="BGS19">
        <v>98.444999999999993</v>
      </c>
      <c r="BGT19">
        <v>98.495000000000005</v>
      </c>
      <c r="BGU19">
        <v>98.454999999999998</v>
      </c>
      <c r="BGV19">
        <v>98.474999999999994</v>
      </c>
      <c r="BGW19">
        <v>98.47</v>
      </c>
      <c r="BGX19">
        <v>98.555000000000007</v>
      </c>
      <c r="BGY19">
        <v>98.555000000000007</v>
      </c>
      <c r="BGZ19">
        <v>98.55</v>
      </c>
      <c r="BHA19">
        <v>98.5</v>
      </c>
      <c r="BHB19">
        <v>98.545000000000002</v>
      </c>
      <c r="BHC19">
        <v>98.56</v>
      </c>
      <c r="BHD19">
        <v>98.53</v>
      </c>
      <c r="BHE19">
        <v>98.614999999999995</v>
      </c>
      <c r="BHF19">
        <v>98.59</v>
      </c>
      <c r="BHG19">
        <v>98.54</v>
      </c>
      <c r="BHH19">
        <v>98.594999999999999</v>
      </c>
      <c r="BHI19">
        <v>98.6</v>
      </c>
      <c r="BHJ19">
        <v>98.495000000000005</v>
      </c>
      <c r="BHK19">
        <v>98.495000000000005</v>
      </c>
      <c r="BHL19">
        <v>98.515000000000001</v>
      </c>
      <c r="BHM19">
        <v>98.52</v>
      </c>
      <c r="BHN19">
        <v>98.45</v>
      </c>
      <c r="BHO19">
        <v>98.4</v>
      </c>
      <c r="BHP19">
        <v>98.394999999999996</v>
      </c>
      <c r="BHQ19">
        <v>98.435000000000002</v>
      </c>
      <c r="BHR19">
        <v>98.42</v>
      </c>
      <c r="BHS19">
        <v>98.474999999999994</v>
      </c>
      <c r="BHT19">
        <v>98.454999999999998</v>
      </c>
      <c r="BHU19">
        <v>98.5</v>
      </c>
      <c r="BHV19">
        <v>98.45</v>
      </c>
      <c r="BHW19">
        <v>98.31</v>
      </c>
      <c r="BHX19">
        <v>98.314999999999998</v>
      </c>
      <c r="BHY19">
        <v>98.28</v>
      </c>
      <c r="BHZ19">
        <v>98.224999999999994</v>
      </c>
      <c r="BIA19">
        <v>98.224999999999994</v>
      </c>
      <c r="BIB19">
        <v>98.254999999999995</v>
      </c>
      <c r="BIC19">
        <v>98.12</v>
      </c>
      <c r="BID19">
        <v>98.084999999999994</v>
      </c>
      <c r="BIE19">
        <v>98.114999999999995</v>
      </c>
      <c r="BIF19">
        <v>98.14</v>
      </c>
      <c r="BIG19">
        <v>98.13</v>
      </c>
      <c r="BIH19">
        <v>98.174999999999997</v>
      </c>
      <c r="BII19">
        <v>98.125</v>
      </c>
      <c r="BIJ19">
        <v>98.135000000000005</v>
      </c>
      <c r="BIK19">
        <v>98.06</v>
      </c>
      <c r="BIL19">
        <v>98.045000000000002</v>
      </c>
      <c r="BIM19">
        <v>98.01</v>
      </c>
      <c r="BIN19">
        <v>98.04</v>
      </c>
      <c r="BIO19">
        <v>97.984999999999999</v>
      </c>
      <c r="BIP19">
        <v>97.944999999999993</v>
      </c>
      <c r="BIQ19">
        <v>97.94</v>
      </c>
      <c r="BIR19">
        <v>98</v>
      </c>
      <c r="BIS19">
        <v>98.04</v>
      </c>
      <c r="BIT19">
        <v>98.015000000000001</v>
      </c>
      <c r="BIU19">
        <v>98.02</v>
      </c>
      <c r="BIV19">
        <v>97.97</v>
      </c>
      <c r="BIW19">
        <v>97.984999999999999</v>
      </c>
      <c r="BIX19">
        <v>97.93</v>
      </c>
      <c r="BIY19">
        <v>97.91</v>
      </c>
      <c r="BIZ19">
        <v>97.91</v>
      </c>
      <c r="BJA19">
        <v>97.91</v>
      </c>
      <c r="BJB19">
        <v>97.885000000000005</v>
      </c>
      <c r="BJC19">
        <v>97.88</v>
      </c>
      <c r="BJD19">
        <v>97.91</v>
      </c>
      <c r="BJE19">
        <v>97.905000000000001</v>
      </c>
      <c r="BJF19">
        <v>97.98</v>
      </c>
      <c r="BJG19">
        <v>98.015000000000001</v>
      </c>
      <c r="BJH19">
        <v>97.98</v>
      </c>
      <c r="BJI19">
        <v>97.944999999999993</v>
      </c>
      <c r="BJJ19">
        <v>97.954999999999998</v>
      </c>
      <c r="BJK19">
        <v>97.965000000000003</v>
      </c>
      <c r="BJL19">
        <v>97.974999999999994</v>
      </c>
      <c r="BJM19">
        <v>97.995000000000005</v>
      </c>
      <c r="BJN19">
        <v>97.984999999999999</v>
      </c>
      <c r="BJO19">
        <v>98.064999999999998</v>
      </c>
      <c r="BJP19">
        <v>98.14</v>
      </c>
      <c r="BJQ19">
        <v>98.174999999999997</v>
      </c>
      <c r="BJR19">
        <v>98.125</v>
      </c>
      <c r="BJS19">
        <v>98.155000000000001</v>
      </c>
      <c r="BJT19">
        <v>98.05</v>
      </c>
      <c r="BJU19">
        <v>97.935000000000002</v>
      </c>
      <c r="BJV19">
        <v>97.915000000000006</v>
      </c>
      <c r="BJW19">
        <v>97.825000000000003</v>
      </c>
      <c r="BJX19">
        <v>97.84</v>
      </c>
      <c r="BJY19">
        <v>97.844999999999999</v>
      </c>
      <c r="BJZ19">
        <v>97.814999999999998</v>
      </c>
      <c r="BKA19">
        <v>97.82</v>
      </c>
      <c r="BKB19">
        <v>97.8</v>
      </c>
      <c r="BKC19">
        <v>97.77</v>
      </c>
      <c r="BKD19">
        <v>97.78</v>
      </c>
      <c r="BKE19">
        <v>97.765000000000001</v>
      </c>
      <c r="BKF19">
        <v>97.69</v>
      </c>
      <c r="BKG19">
        <v>97.655000000000001</v>
      </c>
      <c r="BKH19">
        <v>97.66</v>
      </c>
      <c r="BKI19">
        <v>97.65</v>
      </c>
      <c r="BKJ19">
        <v>97.72</v>
      </c>
      <c r="BKK19">
        <v>97.74</v>
      </c>
      <c r="BKL19">
        <v>97.765000000000001</v>
      </c>
      <c r="BKM19">
        <v>97.734999999999999</v>
      </c>
      <c r="BKN19">
        <v>97.74</v>
      </c>
      <c r="BKO19">
        <v>97.694999999999993</v>
      </c>
      <c r="BKP19">
        <v>97.734999999999999</v>
      </c>
      <c r="BKQ19">
        <v>97.73</v>
      </c>
      <c r="BKR19">
        <v>97.715000000000003</v>
      </c>
      <c r="BKS19">
        <v>97.715000000000003</v>
      </c>
      <c r="BKT19">
        <v>97.72</v>
      </c>
      <c r="BKU19">
        <v>97.68</v>
      </c>
      <c r="BKV19">
        <v>97.74</v>
      </c>
      <c r="BKW19">
        <v>97.77</v>
      </c>
      <c r="BKX19">
        <v>97.795000000000002</v>
      </c>
      <c r="BKY19">
        <v>97.76</v>
      </c>
      <c r="BKZ19">
        <v>97.704999999999998</v>
      </c>
      <c r="BLA19">
        <v>97.694999999999993</v>
      </c>
      <c r="BLB19">
        <v>97.69</v>
      </c>
      <c r="BLC19">
        <v>97.71</v>
      </c>
      <c r="BLD19">
        <v>97.734999999999999</v>
      </c>
      <c r="BLE19">
        <v>97.665000000000006</v>
      </c>
      <c r="BLF19">
        <v>97.614999999999995</v>
      </c>
      <c r="BLG19">
        <v>97.61</v>
      </c>
      <c r="BLH19">
        <v>97.6</v>
      </c>
      <c r="BLI19">
        <v>97.625</v>
      </c>
      <c r="BLJ19">
        <v>97.61</v>
      </c>
      <c r="BLK19">
        <v>97.614999999999995</v>
      </c>
      <c r="BLL19">
        <v>97.57</v>
      </c>
      <c r="BLM19">
        <v>97.57</v>
      </c>
      <c r="BLN19">
        <v>97.64</v>
      </c>
      <c r="BLO19">
        <v>97.67</v>
      </c>
      <c r="BLP19">
        <v>97.694999999999993</v>
      </c>
      <c r="BLQ19">
        <v>97.685000000000002</v>
      </c>
      <c r="BLR19">
        <v>97.69</v>
      </c>
      <c r="BLS19">
        <v>97.674999999999997</v>
      </c>
      <c r="BLT19">
        <v>97.68</v>
      </c>
      <c r="BLU19">
        <v>97.67</v>
      </c>
      <c r="BLV19">
        <v>97.74</v>
      </c>
      <c r="BLW19">
        <v>97.784999999999997</v>
      </c>
      <c r="BLX19">
        <v>97.85</v>
      </c>
      <c r="BLY19">
        <v>97.665000000000006</v>
      </c>
      <c r="BLZ19">
        <v>97.674999999999997</v>
      </c>
      <c r="BMA19">
        <v>97.674999999999997</v>
      </c>
      <c r="BMB19">
        <v>97.67</v>
      </c>
      <c r="BMC19">
        <v>97.66</v>
      </c>
      <c r="BMD19">
        <v>97.605000000000004</v>
      </c>
      <c r="BME19">
        <v>97.58</v>
      </c>
      <c r="BMF19">
        <v>97.58</v>
      </c>
      <c r="BMG19">
        <v>97.52</v>
      </c>
      <c r="BMH19">
        <v>97.484999999999999</v>
      </c>
      <c r="BMI19">
        <v>97.474999999999994</v>
      </c>
      <c r="BMJ19">
        <v>97.484999999999999</v>
      </c>
      <c r="BMK19">
        <v>97.435000000000002</v>
      </c>
      <c r="BML19">
        <v>97.4</v>
      </c>
      <c r="BMM19">
        <v>97.37</v>
      </c>
      <c r="BMN19">
        <v>97.375</v>
      </c>
      <c r="BMO19">
        <v>97.41</v>
      </c>
      <c r="BMP19">
        <v>97.45</v>
      </c>
      <c r="BMQ19">
        <v>97.415000000000006</v>
      </c>
      <c r="BMR19">
        <v>97.375</v>
      </c>
      <c r="BMS19">
        <v>97.27</v>
      </c>
      <c r="BMT19">
        <v>97.27</v>
      </c>
      <c r="BMU19">
        <v>97.24</v>
      </c>
      <c r="BMV19">
        <v>97.26</v>
      </c>
      <c r="BMW19">
        <v>97.254999999999995</v>
      </c>
      <c r="BMX19">
        <v>97.25</v>
      </c>
      <c r="BMY19">
        <v>97.215000000000003</v>
      </c>
      <c r="BMZ19">
        <v>97.2</v>
      </c>
      <c r="BNA19">
        <v>97.21</v>
      </c>
      <c r="BNB19">
        <v>97.21</v>
      </c>
      <c r="BNC19">
        <v>97.21</v>
      </c>
      <c r="BND19">
        <v>97.22</v>
      </c>
      <c r="BNE19">
        <v>97.224999999999994</v>
      </c>
      <c r="BNF19">
        <v>97.19</v>
      </c>
      <c r="BNG19">
        <v>97.14</v>
      </c>
      <c r="BNH19">
        <v>97.13</v>
      </c>
      <c r="BNI19">
        <v>97.075000000000003</v>
      </c>
      <c r="BNJ19">
        <v>97.055000000000007</v>
      </c>
      <c r="BNK19">
        <v>97.034999999999997</v>
      </c>
      <c r="BNL19">
        <v>97.02</v>
      </c>
      <c r="BNM19">
        <v>97.055000000000007</v>
      </c>
      <c r="BNN19">
        <v>97.064999999999998</v>
      </c>
      <c r="BNO19">
        <v>97.075000000000003</v>
      </c>
      <c r="BNP19">
        <v>97.08</v>
      </c>
      <c r="BNQ19">
        <v>97.12</v>
      </c>
      <c r="BNR19">
        <v>97.11</v>
      </c>
      <c r="BNS19">
        <v>97.14</v>
      </c>
      <c r="BNT19">
        <v>97.14</v>
      </c>
      <c r="BNU19">
        <v>97.144999999999996</v>
      </c>
      <c r="BNV19">
        <v>97.075000000000003</v>
      </c>
      <c r="BNW19">
        <v>97.075000000000003</v>
      </c>
      <c r="BNX19">
        <v>97.045000000000002</v>
      </c>
      <c r="BNY19">
        <v>97.01</v>
      </c>
      <c r="BNZ19">
        <v>97.004999999999995</v>
      </c>
      <c r="BOA19">
        <v>97.025000000000006</v>
      </c>
      <c r="BOB19">
        <v>97.015000000000001</v>
      </c>
      <c r="BOC19">
        <v>97.015000000000001</v>
      </c>
      <c r="BOD19">
        <v>97.02</v>
      </c>
      <c r="BOE19">
        <v>97.03</v>
      </c>
      <c r="BOF19">
        <v>97.01</v>
      </c>
      <c r="BOG19">
        <v>96.96</v>
      </c>
      <c r="BOH19">
        <v>96.95</v>
      </c>
      <c r="BOI19">
        <v>96.954999999999998</v>
      </c>
      <c r="BOJ19">
        <v>96.96</v>
      </c>
      <c r="BOK19">
        <v>96.984999999999999</v>
      </c>
      <c r="BOL19">
        <v>97.02</v>
      </c>
      <c r="BOM19">
        <v>97.07</v>
      </c>
      <c r="BON19">
        <v>97.06</v>
      </c>
      <c r="BOO19">
        <v>97.06</v>
      </c>
      <c r="BOP19">
        <v>97.04</v>
      </c>
      <c r="BOQ19">
        <v>97.04</v>
      </c>
      <c r="BOR19">
        <v>97.03</v>
      </c>
      <c r="BOS19">
        <v>97.045000000000002</v>
      </c>
      <c r="BOT19">
        <v>97.05</v>
      </c>
      <c r="BOU19">
        <v>97.04</v>
      </c>
      <c r="BOV19">
        <v>97.06</v>
      </c>
      <c r="BOW19">
        <v>97.09</v>
      </c>
      <c r="BOX19">
        <v>97.12</v>
      </c>
      <c r="BOY19">
        <v>97.12</v>
      </c>
      <c r="BOZ19">
        <v>97.155000000000001</v>
      </c>
      <c r="BPA19">
        <v>97.18</v>
      </c>
      <c r="BPB19">
        <v>97.18</v>
      </c>
      <c r="BPC19">
        <v>97.23</v>
      </c>
      <c r="BPD19">
        <v>97.23</v>
      </c>
      <c r="BPE19">
        <v>97.29</v>
      </c>
      <c r="BPF19">
        <v>97.275000000000006</v>
      </c>
      <c r="BPG19">
        <v>97.28</v>
      </c>
      <c r="BPH19">
        <v>97.3</v>
      </c>
      <c r="BPI19">
        <v>97.3</v>
      </c>
      <c r="BPJ19">
        <v>97.265000000000001</v>
      </c>
      <c r="BPK19">
        <v>97.254999999999995</v>
      </c>
      <c r="BPL19">
        <v>97.27</v>
      </c>
      <c r="BPM19">
        <v>97.284999999999997</v>
      </c>
      <c r="BPN19">
        <v>97.305000000000007</v>
      </c>
      <c r="BPO19">
        <v>97.305000000000007</v>
      </c>
      <c r="BPP19">
        <v>97.325000000000003</v>
      </c>
      <c r="BPQ19">
        <v>97.314999999999998</v>
      </c>
      <c r="BPR19">
        <v>97.325000000000003</v>
      </c>
      <c r="BPS19">
        <v>97.3</v>
      </c>
      <c r="BPT19">
        <v>97.295000000000002</v>
      </c>
      <c r="BPU19">
        <v>97.314999999999998</v>
      </c>
      <c r="BPV19">
        <v>97.28</v>
      </c>
      <c r="BPW19">
        <v>97.305000000000007</v>
      </c>
      <c r="BPX19">
        <v>97.31</v>
      </c>
      <c r="BPY19">
        <v>97.245000000000005</v>
      </c>
      <c r="BPZ19">
        <v>97.23</v>
      </c>
      <c r="BQA19">
        <v>97.224999999999994</v>
      </c>
      <c r="BQB19">
        <v>97.23</v>
      </c>
      <c r="BQC19">
        <v>97.22</v>
      </c>
      <c r="BQD19">
        <v>97.21</v>
      </c>
      <c r="BQE19">
        <v>97.22</v>
      </c>
      <c r="BQF19">
        <v>97.224999999999994</v>
      </c>
      <c r="BQG19">
        <v>97.224999999999994</v>
      </c>
      <c r="BQH19">
        <v>97.215000000000003</v>
      </c>
      <c r="BQI19">
        <v>97.21</v>
      </c>
      <c r="BQJ19">
        <v>97.254999999999995</v>
      </c>
      <c r="BQK19">
        <v>97.254999999999995</v>
      </c>
      <c r="BQL19">
        <v>97.265000000000001</v>
      </c>
      <c r="BQM19">
        <v>97.3</v>
      </c>
      <c r="BQN19">
        <v>97.305000000000007</v>
      </c>
      <c r="BQO19">
        <v>97.29</v>
      </c>
      <c r="BQP19">
        <v>97.295000000000002</v>
      </c>
      <c r="BQQ19">
        <v>97.32</v>
      </c>
      <c r="BQR19">
        <v>97.33</v>
      </c>
      <c r="BQS19">
        <v>97.314999999999998</v>
      </c>
      <c r="BQT19">
        <v>97.32</v>
      </c>
      <c r="BQU19">
        <v>97.314999999999998</v>
      </c>
      <c r="BQV19">
        <v>97.325000000000003</v>
      </c>
      <c r="BQW19">
        <v>97.334999999999994</v>
      </c>
      <c r="BQX19">
        <v>97.314999999999998</v>
      </c>
      <c r="BQY19">
        <v>97.33</v>
      </c>
      <c r="BQZ19">
        <v>97.33</v>
      </c>
      <c r="BRA19">
        <v>97.325000000000003</v>
      </c>
      <c r="BRB19">
        <v>97.325000000000003</v>
      </c>
      <c r="BRC19">
        <v>97.33</v>
      </c>
      <c r="BRD19">
        <v>97.325000000000003</v>
      </c>
      <c r="BRE19">
        <v>97.28</v>
      </c>
      <c r="BRF19">
        <v>97.265000000000001</v>
      </c>
      <c r="BRG19">
        <v>97.234999999999999</v>
      </c>
      <c r="BRH19">
        <v>97.234999999999999</v>
      </c>
      <c r="BRI19">
        <v>97.224999999999994</v>
      </c>
      <c r="BRJ19">
        <v>97.23</v>
      </c>
      <c r="BRK19">
        <v>97.2</v>
      </c>
      <c r="BRL19">
        <v>97.21</v>
      </c>
      <c r="BRM19">
        <v>97.194999999999993</v>
      </c>
      <c r="BRN19">
        <v>97.194999999999993</v>
      </c>
      <c r="BRO19">
        <v>97.23</v>
      </c>
      <c r="BRP19">
        <v>97.245000000000005</v>
      </c>
      <c r="BRQ19">
        <v>97.254999999999995</v>
      </c>
      <c r="BRR19">
        <v>97.22</v>
      </c>
      <c r="BRS19">
        <v>97.21</v>
      </c>
      <c r="BRT19">
        <v>97.25</v>
      </c>
      <c r="BRU19">
        <v>97.23</v>
      </c>
      <c r="BRV19">
        <v>97.27</v>
      </c>
      <c r="BRW19">
        <v>97.34</v>
      </c>
      <c r="BRX19">
        <v>97.334999999999994</v>
      </c>
      <c r="BRY19">
        <v>97.43</v>
      </c>
      <c r="BRZ19">
        <v>97.215000000000003</v>
      </c>
      <c r="BSA19">
        <v>97.215000000000003</v>
      </c>
      <c r="BSB19">
        <v>97.185000000000002</v>
      </c>
      <c r="BSC19">
        <v>97.155000000000001</v>
      </c>
      <c r="BSD19">
        <v>97.105000000000004</v>
      </c>
      <c r="BSE19">
        <v>97.094999999999999</v>
      </c>
      <c r="BSF19">
        <v>97.11</v>
      </c>
      <c r="BSG19">
        <v>97.084999999999994</v>
      </c>
      <c r="BSH19">
        <v>97.1</v>
      </c>
      <c r="BSI19">
        <v>97.11</v>
      </c>
      <c r="BSJ19">
        <v>97.14</v>
      </c>
      <c r="BSK19">
        <v>97.144999999999996</v>
      </c>
      <c r="BSL19">
        <v>97.16</v>
      </c>
      <c r="BSM19">
        <v>97.18</v>
      </c>
      <c r="BSN19">
        <v>97.204999999999998</v>
      </c>
      <c r="BSO19">
        <v>97.215000000000003</v>
      </c>
      <c r="BSP19">
        <v>97.24</v>
      </c>
      <c r="BSQ19" t="s">
        <v>6984</v>
      </c>
      <c r="BSR19" t="s">
        <v>6984</v>
      </c>
      <c r="BSS19" t="s">
        <v>6984</v>
      </c>
      <c r="BST19" t="s">
        <v>6984</v>
      </c>
      <c r="BSU19" t="s">
        <v>6984</v>
      </c>
      <c r="BSV19" t="s">
        <v>6984</v>
      </c>
      <c r="BSW19" t="s">
        <v>6984</v>
      </c>
      <c r="BSX19" t="s">
        <v>6984</v>
      </c>
      <c r="BSY19" t="s">
        <v>6984</v>
      </c>
      <c r="BSZ19" t="s">
        <v>6984</v>
      </c>
      <c r="BTA19" t="s">
        <v>6984</v>
      </c>
      <c r="BTB19" t="s">
        <v>6984</v>
      </c>
      <c r="BTC19" t="s">
        <v>6984</v>
      </c>
      <c r="BTD19" t="s">
        <v>6984</v>
      </c>
      <c r="BTE19" t="s">
        <v>6984</v>
      </c>
      <c r="BTF19" t="s">
        <v>6984</v>
      </c>
      <c r="BTG19" t="s">
        <v>6984</v>
      </c>
      <c r="BTH19" t="s">
        <v>6984</v>
      </c>
      <c r="BTI19" t="s">
        <v>6984</v>
      </c>
      <c r="BTJ19" t="s">
        <v>6984</v>
      </c>
      <c r="BTK19" t="s">
        <v>6984</v>
      </c>
      <c r="BTL19" t="s">
        <v>6984</v>
      </c>
      <c r="BTM19" t="s">
        <v>6984</v>
      </c>
      <c r="BTN19" t="s">
        <v>6984</v>
      </c>
      <c r="BTO19" t="s">
        <v>6984</v>
      </c>
      <c r="BTP19" t="s">
        <v>6984</v>
      </c>
      <c r="BTQ19" t="s">
        <v>6984</v>
      </c>
      <c r="BTR19" t="s">
        <v>6984</v>
      </c>
      <c r="BTS19" t="s">
        <v>6984</v>
      </c>
      <c r="BTT19" t="s">
        <v>6984</v>
      </c>
      <c r="BTU19" t="s">
        <v>6984</v>
      </c>
      <c r="BTV19" t="s">
        <v>6984</v>
      </c>
      <c r="BTW19" t="s">
        <v>6984</v>
      </c>
      <c r="BTX19" t="s">
        <v>6984</v>
      </c>
      <c r="BTY19" t="s">
        <v>6984</v>
      </c>
      <c r="BTZ19" t="s">
        <v>6984</v>
      </c>
      <c r="BUA19" t="s">
        <v>6984</v>
      </c>
      <c r="BUB19" t="s">
        <v>6984</v>
      </c>
      <c r="BUC19" t="s">
        <v>6984</v>
      </c>
      <c r="BUD19" t="s">
        <v>6984</v>
      </c>
      <c r="BUE19" t="s">
        <v>6984</v>
      </c>
      <c r="BUF19" t="s">
        <v>6984</v>
      </c>
      <c r="BUG19" t="s">
        <v>6984</v>
      </c>
      <c r="BUH19" t="s">
        <v>6984</v>
      </c>
      <c r="BUI19" t="s">
        <v>6984</v>
      </c>
      <c r="BUJ19" t="s">
        <v>6984</v>
      </c>
      <c r="BUK19" t="s">
        <v>6984</v>
      </c>
      <c r="BUL19" t="s">
        <v>6984</v>
      </c>
      <c r="BUM19" t="s">
        <v>6984</v>
      </c>
      <c r="BUN19" t="s">
        <v>6984</v>
      </c>
      <c r="BUO19" t="s">
        <v>6984</v>
      </c>
      <c r="BUP19" t="s">
        <v>6984</v>
      </c>
      <c r="BUQ19" t="s">
        <v>6984</v>
      </c>
      <c r="BUR19" t="s">
        <v>6984</v>
      </c>
      <c r="BUS19" t="s">
        <v>6984</v>
      </c>
      <c r="BUT19" t="s">
        <v>6984</v>
      </c>
      <c r="BUU19" t="s">
        <v>6984</v>
      </c>
      <c r="BUV19" t="s">
        <v>6984</v>
      </c>
      <c r="BUW19" t="s">
        <v>6984</v>
      </c>
      <c r="BUX19" t="s">
        <v>6984</v>
      </c>
      <c r="BUY19" t="s">
        <v>6984</v>
      </c>
      <c r="BUZ19" t="s">
        <v>6984</v>
      </c>
      <c r="BVA19" t="s">
        <v>6984</v>
      </c>
      <c r="BVB19" t="s">
        <v>6984</v>
      </c>
      <c r="BVC19" t="s">
        <v>6984</v>
      </c>
      <c r="BVD19" t="s">
        <v>6984</v>
      </c>
      <c r="BVE19" t="s">
        <v>6984</v>
      </c>
      <c r="BVF19" t="s">
        <v>6984</v>
      </c>
      <c r="BVG19" t="s">
        <v>6984</v>
      </c>
      <c r="BVH19" t="s">
        <v>6984</v>
      </c>
      <c r="BVI19" t="s">
        <v>6984</v>
      </c>
      <c r="BVJ19" t="s">
        <v>6984</v>
      </c>
      <c r="BVK19" t="s">
        <v>6984</v>
      </c>
      <c r="BVL19" t="s">
        <v>6984</v>
      </c>
      <c r="BVM19" t="s">
        <v>6984</v>
      </c>
      <c r="BVN19" t="s">
        <v>6984</v>
      </c>
      <c r="BVO19" t="s">
        <v>6984</v>
      </c>
      <c r="BVP19" t="s">
        <v>6984</v>
      </c>
      <c r="BVQ19" t="s">
        <v>6984</v>
      </c>
      <c r="BVR19" t="s">
        <v>6984</v>
      </c>
      <c r="BVS19" t="s">
        <v>6984</v>
      </c>
      <c r="BVT19" t="s">
        <v>6984</v>
      </c>
      <c r="BVU19" t="s">
        <v>6984</v>
      </c>
      <c r="BVV19" t="s">
        <v>6984</v>
      </c>
      <c r="BVW19" t="s">
        <v>6984</v>
      </c>
      <c r="BVX19" t="s">
        <v>6984</v>
      </c>
      <c r="BVY19" t="s">
        <v>6984</v>
      </c>
      <c r="BVZ19" t="s">
        <v>6984</v>
      </c>
      <c r="BWA19" t="s">
        <v>6984</v>
      </c>
      <c r="BWB19" t="s">
        <v>6984</v>
      </c>
      <c r="BWC19" t="s">
        <v>6984</v>
      </c>
      <c r="BWD19" t="s">
        <v>6984</v>
      </c>
      <c r="BWE19" t="s">
        <v>6984</v>
      </c>
      <c r="BWF19" t="s">
        <v>6984</v>
      </c>
      <c r="BWG19" t="s">
        <v>6984</v>
      </c>
      <c r="BWH19" t="s">
        <v>6984</v>
      </c>
      <c r="BWI19" t="s">
        <v>6984</v>
      </c>
      <c r="BWJ19" t="s">
        <v>6984</v>
      </c>
      <c r="BWK19" t="s">
        <v>6984</v>
      </c>
      <c r="BWL19" t="s">
        <v>6984</v>
      </c>
      <c r="BWM19" t="s">
        <v>6984</v>
      </c>
      <c r="BWN19" t="s">
        <v>6984</v>
      </c>
      <c r="BWO19" t="s">
        <v>6984</v>
      </c>
      <c r="BWP19" t="s">
        <v>6984</v>
      </c>
      <c r="BWQ19" t="s">
        <v>6984</v>
      </c>
      <c r="BWR19" t="s">
        <v>6984</v>
      </c>
      <c r="BWS19" t="s">
        <v>6984</v>
      </c>
      <c r="BWT19" t="s">
        <v>6984</v>
      </c>
      <c r="BWU19" t="s">
        <v>6984</v>
      </c>
      <c r="BWV19" t="s">
        <v>6984</v>
      </c>
      <c r="BWW19" t="s">
        <v>6984</v>
      </c>
      <c r="BWX19" t="s">
        <v>6984</v>
      </c>
      <c r="BWY19" t="s">
        <v>6984</v>
      </c>
      <c r="BWZ19" t="s">
        <v>6984</v>
      </c>
      <c r="BXA19" t="s">
        <v>6984</v>
      </c>
      <c r="BXB19" t="s">
        <v>6984</v>
      </c>
      <c r="BXC19" t="s">
        <v>6984</v>
      </c>
      <c r="BXD19" t="s">
        <v>6984</v>
      </c>
      <c r="BXE19" t="s">
        <v>6984</v>
      </c>
      <c r="BXF19" t="s">
        <v>6984</v>
      </c>
      <c r="BXG19" t="s">
        <v>6984</v>
      </c>
      <c r="BXH19" t="s">
        <v>6984</v>
      </c>
      <c r="BXI19" t="s">
        <v>6984</v>
      </c>
      <c r="BXJ19" t="s">
        <v>6984</v>
      </c>
      <c r="BXK19" t="s">
        <v>6984</v>
      </c>
      <c r="BXL19" t="s">
        <v>6984</v>
      </c>
      <c r="BXM19" t="s">
        <v>6984</v>
      </c>
      <c r="BXN19" t="s">
        <v>6984</v>
      </c>
      <c r="BXO19" t="s">
        <v>6984</v>
      </c>
      <c r="BXP19" t="s">
        <v>6984</v>
      </c>
      <c r="BXQ19" t="s">
        <v>6984</v>
      </c>
      <c r="BXR19" t="s">
        <v>6984</v>
      </c>
      <c r="BXS19" t="s">
        <v>6984</v>
      </c>
      <c r="BXT19" t="s">
        <v>6984</v>
      </c>
      <c r="BXU19" t="s">
        <v>6984</v>
      </c>
      <c r="BXV19" t="s">
        <v>6984</v>
      </c>
      <c r="BXW19" t="s">
        <v>6984</v>
      </c>
      <c r="BXX19" t="s">
        <v>6984</v>
      </c>
      <c r="BXY19" t="s">
        <v>6984</v>
      </c>
      <c r="BXZ19" t="s">
        <v>6984</v>
      </c>
      <c r="BYA19" t="s">
        <v>6984</v>
      </c>
      <c r="BYB19" t="s">
        <v>6984</v>
      </c>
      <c r="BYC19" t="s">
        <v>6984</v>
      </c>
      <c r="BYD19" t="s">
        <v>6984</v>
      </c>
      <c r="BYE19" t="s">
        <v>6984</v>
      </c>
      <c r="BYF19" t="s">
        <v>6984</v>
      </c>
      <c r="BYG19" t="s">
        <v>6984</v>
      </c>
      <c r="BYH19" t="s">
        <v>6984</v>
      </c>
      <c r="BYI19" t="s">
        <v>6984</v>
      </c>
      <c r="BYJ19" t="s">
        <v>6984</v>
      </c>
      <c r="BYK19" t="s">
        <v>6984</v>
      </c>
      <c r="BYL19" t="s">
        <v>6984</v>
      </c>
      <c r="BYM19" t="s">
        <v>6984</v>
      </c>
      <c r="BYN19" t="s">
        <v>6984</v>
      </c>
      <c r="BYO19" t="s">
        <v>6984</v>
      </c>
      <c r="BYP19" t="s">
        <v>6984</v>
      </c>
      <c r="BYQ19" t="s">
        <v>6984</v>
      </c>
      <c r="BYR19" t="s">
        <v>6984</v>
      </c>
      <c r="BYS19" t="s">
        <v>6984</v>
      </c>
      <c r="BYT19" t="s">
        <v>6984</v>
      </c>
      <c r="BYU19" t="s">
        <v>6984</v>
      </c>
      <c r="BYV19" t="s">
        <v>6984</v>
      </c>
      <c r="BYW19" t="s">
        <v>6984</v>
      </c>
      <c r="BYX19" t="s">
        <v>6984</v>
      </c>
      <c r="BYY19" t="s">
        <v>6984</v>
      </c>
      <c r="BYZ19" t="s">
        <v>6984</v>
      </c>
      <c r="BZA19" t="s">
        <v>6984</v>
      </c>
      <c r="BZB19" t="s">
        <v>6984</v>
      </c>
      <c r="BZC19" t="s">
        <v>6984</v>
      </c>
      <c r="BZD19" t="s">
        <v>6984</v>
      </c>
      <c r="BZE19" t="s">
        <v>6984</v>
      </c>
      <c r="BZF19" t="s">
        <v>6984</v>
      </c>
      <c r="BZG19" t="s">
        <v>6984</v>
      </c>
      <c r="BZH19" t="s">
        <v>6984</v>
      </c>
      <c r="BZI19" t="s">
        <v>6984</v>
      </c>
      <c r="BZJ19" t="s">
        <v>6984</v>
      </c>
      <c r="BZK19" t="s">
        <v>6984</v>
      </c>
      <c r="BZL19" t="s">
        <v>6984</v>
      </c>
      <c r="BZM19" t="s">
        <v>6984</v>
      </c>
      <c r="BZN19" t="s">
        <v>6984</v>
      </c>
      <c r="BZO19" t="s">
        <v>6984</v>
      </c>
      <c r="BZP19" t="s">
        <v>6984</v>
      </c>
      <c r="BZQ19" t="s">
        <v>6984</v>
      </c>
      <c r="BZR19" t="s">
        <v>6984</v>
      </c>
      <c r="BZS19" t="s">
        <v>6984</v>
      </c>
      <c r="BZT19" t="s">
        <v>6984</v>
      </c>
      <c r="BZU19" t="s">
        <v>6984</v>
      </c>
      <c r="BZV19" t="s">
        <v>6984</v>
      </c>
      <c r="BZW19" t="s">
        <v>6984</v>
      </c>
      <c r="BZX19" t="s">
        <v>6984</v>
      </c>
      <c r="BZY19" t="s">
        <v>6984</v>
      </c>
      <c r="BZZ19" t="s">
        <v>6984</v>
      </c>
      <c r="CAA19" t="s">
        <v>6984</v>
      </c>
      <c r="CAB19" t="s">
        <v>6984</v>
      </c>
      <c r="CAC19" t="s">
        <v>6984</v>
      </c>
      <c r="CAD19" t="s">
        <v>6984</v>
      </c>
      <c r="CAE19" t="s">
        <v>6984</v>
      </c>
      <c r="CAF19" t="s">
        <v>6984</v>
      </c>
      <c r="CAG19" t="s">
        <v>6984</v>
      </c>
      <c r="CAH19" t="s">
        <v>6984</v>
      </c>
      <c r="CAI19" t="s">
        <v>6984</v>
      </c>
      <c r="CAJ19" t="s">
        <v>6984</v>
      </c>
      <c r="CAK19" t="s">
        <v>6984</v>
      </c>
      <c r="CAL19" t="s">
        <v>6984</v>
      </c>
      <c r="CAM19" t="s">
        <v>6984</v>
      </c>
      <c r="CAN19" t="s">
        <v>6984</v>
      </c>
      <c r="CAO19" t="s">
        <v>6984</v>
      </c>
      <c r="CAP19" t="s">
        <v>6984</v>
      </c>
      <c r="CAQ19" t="s">
        <v>6984</v>
      </c>
      <c r="CAR19" t="s">
        <v>6984</v>
      </c>
      <c r="CAS19" t="s">
        <v>6984</v>
      </c>
      <c r="CAT19" t="s">
        <v>6984</v>
      </c>
      <c r="CAU19" t="s">
        <v>6984</v>
      </c>
      <c r="CAV19" t="s">
        <v>6984</v>
      </c>
      <c r="CAW19" t="s">
        <v>6984</v>
      </c>
      <c r="CAX19" t="s">
        <v>6984</v>
      </c>
      <c r="CAY19" t="s">
        <v>6984</v>
      </c>
      <c r="CAZ19" t="s">
        <v>6984</v>
      </c>
      <c r="CBA19" t="s">
        <v>6984</v>
      </c>
      <c r="CBB19" t="s">
        <v>6984</v>
      </c>
      <c r="CBC19" t="s">
        <v>6984</v>
      </c>
      <c r="CBD19" t="s">
        <v>6984</v>
      </c>
      <c r="CBE19" t="s">
        <v>6984</v>
      </c>
      <c r="CBF19" t="s">
        <v>6984</v>
      </c>
      <c r="CBG19" t="s">
        <v>6984</v>
      </c>
      <c r="CBH19" t="s">
        <v>6984</v>
      </c>
      <c r="CBI19" t="s">
        <v>6984</v>
      </c>
      <c r="CBJ19" t="s">
        <v>6984</v>
      </c>
      <c r="CBK19" t="s">
        <v>6984</v>
      </c>
      <c r="CBL19" t="s">
        <v>6984</v>
      </c>
      <c r="CBM19" t="s">
        <v>6984</v>
      </c>
      <c r="CBN19" t="s">
        <v>6984</v>
      </c>
      <c r="CBO19" t="s">
        <v>6984</v>
      </c>
      <c r="CBP19" t="s">
        <v>6984</v>
      </c>
      <c r="CBQ19" t="s">
        <v>6984</v>
      </c>
      <c r="CBR19" t="s">
        <v>6984</v>
      </c>
      <c r="CBS19" t="s">
        <v>6984</v>
      </c>
      <c r="CBT19" t="s">
        <v>6984</v>
      </c>
      <c r="CBU19" t="s">
        <v>6984</v>
      </c>
      <c r="CBV19" t="s">
        <v>6984</v>
      </c>
      <c r="CBW19" t="s">
        <v>6984</v>
      </c>
      <c r="CBX19" t="s">
        <v>6984</v>
      </c>
      <c r="CBY19" t="s">
        <v>6984</v>
      </c>
      <c r="CBZ19" t="s">
        <v>6984</v>
      </c>
      <c r="CCA19" t="s">
        <v>6984</v>
      </c>
      <c r="CCB19" t="s">
        <v>6984</v>
      </c>
      <c r="CCC19" t="s">
        <v>6984</v>
      </c>
      <c r="CCD19" t="s">
        <v>6984</v>
      </c>
      <c r="CCE19" t="s">
        <v>6984</v>
      </c>
      <c r="CCF19" t="s">
        <v>6984</v>
      </c>
      <c r="CCG19" t="s">
        <v>6984</v>
      </c>
      <c r="CCH19" t="s">
        <v>6984</v>
      </c>
      <c r="CCI19" t="s">
        <v>6984</v>
      </c>
      <c r="CCJ19" t="s">
        <v>6984</v>
      </c>
      <c r="CCK19" t="s">
        <v>6984</v>
      </c>
      <c r="CCL19" t="s">
        <v>6984</v>
      </c>
      <c r="CCM19" t="s">
        <v>6984</v>
      </c>
      <c r="CCN19" t="s">
        <v>6984</v>
      </c>
      <c r="CCO19" t="s">
        <v>6984</v>
      </c>
      <c r="CCP19" t="s">
        <v>6984</v>
      </c>
      <c r="CCQ19" t="s">
        <v>6984</v>
      </c>
      <c r="CCR19" t="s">
        <v>6984</v>
      </c>
      <c r="CCS19" t="s">
        <v>6984</v>
      </c>
      <c r="CCT19" t="s">
        <v>6984</v>
      </c>
      <c r="CCU19" t="s">
        <v>6984</v>
      </c>
      <c r="CCV19" t="s">
        <v>6984</v>
      </c>
      <c r="CCW19" t="s">
        <v>6984</v>
      </c>
      <c r="CCX19" t="s">
        <v>6984</v>
      </c>
      <c r="CCY19" t="s">
        <v>6984</v>
      </c>
      <c r="CCZ19" t="s">
        <v>6984</v>
      </c>
      <c r="CDA19" t="s">
        <v>6984</v>
      </c>
      <c r="CDB19" t="s">
        <v>6984</v>
      </c>
      <c r="CDC19" t="s">
        <v>6984</v>
      </c>
      <c r="CDD19" t="s">
        <v>6984</v>
      </c>
      <c r="CDE19" t="s">
        <v>6984</v>
      </c>
      <c r="CDF19" t="s">
        <v>6984</v>
      </c>
      <c r="CDG19" t="s">
        <v>6984</v>
      </c>
      <c r="CDH19" t="s">
        <v>6984</v>
      </c>
      <c r="CDI19" t="s">
        <v>6984</v>
      </c>
      <c r="CDJ19" t="s">
        <v>6984</v>
      </c>
      <c r="CDK19" t="s">
        <v>6984</v>
      </c>
      <c r="CDL19" t="s">
        <v>6984</v>
      </c>
      <c r="CDM19" t="s">
        <v>6984</v>
      </c>
      <c r="CDN19" t="s">
        <v>6984</v>
      </c>
      <c r="CDO19" t="s">
        <v>6984</v>
      </c>
      <c r="CDP19" t="s">
        <v>6984</v>
      </c>
      <c r="CDQ19" t="s">
        <v>6984</v>
      </c>
      <c r="CDR19" t="s">
        <v>6984</v>
      </c>
      <c r="CDS19" t="s">
        <v>6984</v>
      </c>
      <c r="CDT19" t="s">
        <v>6984</v>
      </c>
      <c r="CDU19" t="s">
        <v>6984</v>
      </c>
      <c r="CDV19" t="s">
        <v>6984</v>
      </c>
      <c r="CDW19" t="s">
        <v>6984</v>
      </c>
      <c r="CDX19" t="s">
        <v>6984</v>
      </c>
      <c r="CDY19" t="s">
        <v>6984</v>
      </c>
      <c r="CDZ19" t="s">
        <v>6984</v>
      </c>
      <c r="CEA19" t="s">
        <v>6984</v>
      </c>
      <c r="CEB19" t="s">
        <v>6984</v>
      </c>
      <c r="CEC19" t="s">
        <v>6984</v>
      </c>
      <c r="CED19" t="s">
        <v>6984</v>
      </c>
      <c r="CEE19" t="s">
        <v>6984</v>
      </c>
      <c r="CEF19" t="s">
        <v>6984</v>
      </c>
      <c r="CEG19" t="s">
        <v>6984</v>
      </c>
      <c r="CEH19" t="s">
        <v>6984</v>
      </c>
      <c r="CEI19" t="s">
        <v>6984</v>
      </c>
      <c r="CEJ19" t="s">
        <v>6984</v>
      </c>
      <c r="CEK19" t="s">
        <v>6984</v>
      </c>
      <c r="CEL19" t="s">
        <v>6984</v>
      </c>
      <c r="CEM19" t="s">
        <v>6984</v>
      </c>
      <c r="CEN19" t="s">
        <v>6984</v>
      </c>
      <c r="CEO19" t="s">
        <v>6984</v>
      </c>
      <c r="CEP19" t="s">
        <v>6984</v>
      </c>
      <c r="CEQ19" t="s">
        <v>6984</v>
      </c>
      <c r="CER19" t="s">
        <v>6984</v>
      </c>
      <c r="CES19" t="s">
        <v>6984</v>
      </c>
      <c r="CET19" t="s">
        <v>6984</v>
      </c>
      <c r="CEU19" t="s">
        <v>6984</v>
      </c>
      <c r="CEV19" t="s">
        <v>6984</v>
      </c>
      <c r="CEW19" t="s">
        <v>6984</v>
      </c>
      <c r="CEX19" t="s">
        <v>6984</v>
      </c>
      <c r="CEY19" t="s">
        <v>6984</v>
      </c>
      <c r="CEZ19" t="s">
        <v>6984</v>
      </c>
      <c r="CFA19" t="s">
        <v>6984</v>
      </c>
      <c r="CFB19" t="s">
        <v>6984</v>
      </c>
      <c r="CFC19" t="s">
        <v>6984</v>
      </c>
      <c r="CFD19" t="s">
        <v>6984</v>
      </c>
      <c r="CFE19" t="s">
        <v>6984</v>
      </c>
      <c r="CFF19" t="s">
        <v>6984</v>
      </c>
      <c r="CFG19" t="s">
        <v>6984</v>
      </c>
      <c r="CFH19" t="s">
        <v>6984</v>
      </c>
      <c r="CFI19" t="s">
        <v>6984</v>
      </c>
      <c r="CFJ19" t="s">
        <v>6984</v>
      </c>
      <c r="CFK19" t="s">
        <v>6984</v>
      </c>
      <c r="CFL19" t="s">
        <v>6984</v>
      </c>
      <c r="CFM19" t="s">
        <v>6984</v>
      </c>
      <c r="CFN19" t="s">
        <v>6984</v>
      </c>
      <c r="CFO19" t="s">
        <v>6984</v>
      </c>
      <c r="CFP19" t="s">
        <v>6984</v>
      </c>
      <c r="CFQ19" t="s">
        <v>6984</v>
      </c>
      <c r="CFR19" t="s">
        <v>6984</v>
      </c>
      <c r="CFS19" t="s">
        <v>6984</v>
      </c>
      <c r="CFT19" t="s">
        <v>6984</v>
      </c>
      <c r="CFU19" t="s">
        <v>6984</v>
      </c>
      <c r="CFV19" t="s">
        <v>6984</v>
      </c>
      <c r="CFW19" t="s">
        <v>6984</v>
      </c>
      <c r="CFX19" t="s">
        <v>6984</v>
      </c>
      <c r="CFY19" t="s">
        <v>6984</v>
      </c>
      <c r="CFZ19" t="s">
        <v>6984</v>
      </c>
      <c r="CGA19" t="s">
        <v>6984</v>
      </c>
      <c r="CGB19" t="s">
        <v>6984</v>
      </c>
      <c r="CGC19" t="s">
        <v>6984</v>
      </c>
      <c r="CGD19" t="s">
        <v>6984</v>
      </c>
      <c r="CGE19" t="s">
        <v>6984</v>
      </c>
      <c r="CGF19" t="s">
        <v>6984</v>
      </c>
      <c r="CGG19" t="s">
        <v>6984</v>
      </c>
      <c r="CGH19" t="s">
        <v>6984</v>
      </c>
      <c r="CGI19" t="s">
        <v>6984</v>
      </c>
      <c r="CGJ19" t="s">
        <v>6984</v>
      </c>
      <c r="CGK19" t="s">
        <v>6984</v>
      </c>
      <c r="CGL19" t="s">
        <v>6984</v>
      </c>
      <c r="CGM19" t="s">
        <v>6984</v>
      </c>
      <c r="CGN19" t="s">
        <v>6984</v>
      </c>
      <c r="CGO19" t="s">
        <v>6984</v>
      </c>
      <c r="CGP19" t="s">
        <v>6984</v>
      </c>
      <c r="CGQ19" t="s">
        <v>6984</v>
      </c>
      <c r="CGR19" t="s">
        <v>6984</v>
      </c>
      <c r="CGS19" t="s">
        <v>6984</v>
      </c>
      <c r="CGT19" t="s">
        <v>6984</v>
      </c>
      <c r="CGU19" t="s">
        <v>6984</v>
      </c>
      <c r="CGV19" t="s">
        <v>6984</v>
      </c>
      <c r="CGW19" t="s">
        <v>6984</v>
      </c>
      <c r="CGX19" t="s">
        <v>6984</v>
      </c>
      <c r="CGY19" t="s">
        <v>6984</v>
      </c>
      <c r="CGZ19" t="s">
        <v>6984</v>
      </c>
      <c r="CHA19" t="s">
        <v>6984</v>
      </c>
      <c r="CHB19" t="s">
        <v>6984</v>
      </c>
      <c r="CHC19" t="s">
        <v>6984</v>
      </c>
      <c r="CHD19" t="s">
        <v>6984</v>
      </c>
      <c r="CHE19" t="s">
        <v>6984</v>
      </c>
      <c r="CHF19" t="s">
        <v>6984</v>
      </c>
      <c r="CHG19" t="s">
        <v>6984</v>
      </c>
      <c r="CHH19" t="s">
        <v>6984</v>
      </c>
      <c r="CHI19" t="s">
        <v>6984</v>
      </c>
      <c r="CHJ19" t="s">
        <v>6984</v>
      </c>
      <c r="CHK19" t="s">
        <v>6984</v>
      </c>
      <c r="CHL19" t="s">
        <v>6984</v>
      </c>
      <c r="CHM19" t="s">
        <v>6984</v>
      </c>
      <c r="CHN19" t="s">
        <v>6984</v>
      </c>
      <c r="CHO19" t="s">
        <v>6984</v>
      </c>
      <c r="CHP19" t="s">
        <v>6984</v>
      </c>
      <c r="CHQ19" t="s">
        <v>6984</v>
      </c>
      <c r="CHR19" t="s">
        <v>6984</v>
      </c>
      <c r="CHS19" t="s">
        <v>6984</v>
      </c>
      <c r="CHT19" t="s">
        <v>6984</v>
      </c>
      <c r="CHU19" t="s">
        <v>6984</v>
      </c>
      <c r="CHV19" t="s">
        <v>6984</v>
      </c>
      <c r="CHW19" t="s">
        <v>6984</v>
      </c>
      <c r="CHX19" t="s">
        <v>6984</v>
      </c>
      <c r="CHY19" t="s">
        <v>6984</v>
      </c>
      <c r="CHZ19" t="s">
        <v>6984</v>
      </c>
      <c r="CIA19" t="s">
        <v>6984</v>
      </c>
      <c r="CIB19" t="s">
        <v>6984</v>
      </c>
      <c r="CIC19" t="s">
        <v>6984</v>
      </c>
      <c r="CID19" t="s">
        <v>6984</v>
      </c>
      <c r="CIE19" t="s">
        <v>6984</v>
      </c>
      <c r="CIF19" t="s">
        <v>6984</v>
      </c>
      <c r="CIG19" t="s">
        <v>6984</v>
      </c>
      <c r="CIH19" t="s">
        <v>6984</v>
      </c>
      <c r="CII19" t="s">
        <v>6984</v>
      </c>
      <c r="CIJ19" t="s">
        <v>6984</v>
      </c>
      <c r="CIK19" t="s">
        <v>6984</v>
      </c>
      <c r="CIL19" t="s">
        <v>6984</v>
      </c>
      <c r="CIM19" t="s">
        <v>6984</v>
      </c>
      <c r="CIN19" t="s">
        <v>6984</v>
      </c>
      <c r="CIO19" t="s">
        <v>6984</v>
      </c>
      <c r="CIP19" t="s">
        <v>6984</v>
      </c>
      <c r="CIQ19" t="s">
        <v>6984</v>
      </c>
      <c r="CIR19" t="s">
        <v>6984</v>
      </c>
      <c r="CIS19" t="s">
        <v>6984</v>
      </c>
      <c r="CIT19" t="s">
        <v>6984</v>
      </c>
      <c r="CIU19" t="s">
        <v>6984</v>
      </c>
      <c r="CIV19" t="s">
        <v>6984</v>
      </c>
      <c r="CIW19" t="s">
        <v>6984</v>
      </c>
      <c r="CIX19" t="s">
        <v>6984</v>
      </c>
      <c r="CIY19" t="s">
        <v>6984</v>
      </c>
      <c r="CIZ19" t="s">
        <v>6984</v>
      </c>
      <c r="CJA19" t="s">
        <v>6984</v>
      </c>
      <c r="CJB19" t="s">
        <v>6984</v>
      </c>
      <c r="CJC19" t="s">
        <v>6984</v>
      </c>
      <c r="CJD19" t="s">
        <v>6984</v>
      </c>
      <c r="CJE19" t="s">
        <v>6984</v>
      </c>
      <c r="CJF19" t="s">
        <v>6984</v>
      </c>
      <c r="CJG19" t="s">
        <v>6984</v>
      </c>
      <c r="CJH19" t="s">
        <v>6984</v>
      </c>
      <c r="CJI19" t="s">
        <v>6984</v>
      </c>
      <c r="CJJ19" t="s">
        <v>6984</v>
      </c>
      <c r="CJK19" t="s">
        <v>6984</v>
      </c>
      <c r="CJL19" t="s">
        <v>6984</v>
      </c>
      <c r="CJM19" t="s">
        <v>6984</v>
      </c>
      <c r="CJN19" t="s">
        <v>6984</v>
      </c>
      <c r="CJO19" t="s">
        <v>6984</v>
      </c>
      <c r="CJP19" t="s">
        <v>6984</v>
      </c>
      <c r="CJQ19" t="s">
        <v>6984</v>
      </c>
      <c r="CJR19" t="s">
        <v>6984</v>
      </c>
      <c r="CJS19" t="s">
        <v>6984</v>
      </c>
      <c r="CJT19" t="s">
        <v>6984</v>
      </c>
      <c r="CJU19" t="s">
        <v>6984</v>
      </c>
      <c r="CJV19" t="s">
        <v>6984</v>
      </c>
      <c r="CJW19" t="s">
        <v>6984</v>
      </c>
      <c r="CJX19" t="s">
        <v>6984</v>
      </c>
      <c r="CJY19" t="s">
        <v>6984</v>
      </c>
      <c r="CJZ19" t="s">
        <v>6984</v>
      </c>
      <c r="CKA19" t="s">
        <v>6984</v>
      </c>
      <c r="CKB19" t="s">
        <v>6984</v>
      </c>
      <c r="CKC19" t="s">
        <v>6984</v>
      </c>
      <c r="CKD19" t="s">
        <v>6984</v>
      </c>
      <c r="CKE19" t="s">
        <v>6984</v>
      </c>
      <c r="CKF19" t="s">
        <v>6984</v>
      </c>
      <c r="CKG19" t="s">
        <v>6984</v>
      </c>
      <c r="CKH19" t="s">
        <v>6984</v>
      </c>
      <c r="CKI19" t="s">
        <v>6984</v>
      </c>
      <c r="CKJ19" t="s">
        <v>6984</v>
      </c>
      <c r="CKK19" t="s">
        <v>6984</v>
      </c>
      <c r="CKL19" t="s">
        <v>6984</v>
      </c>
      <c r="CKM19" t="s">
        <v>6984</v>
      </c>
      <c r="CKN19" t="s">
        <v>6984</v>
      </c>
      <c r="CKO19" t="s">
        <v>6984</v>
      </c>
      <c r="CKP19" t="s">
        <v>6984</v>
      </c>
      <c r="CKQ19" t="s">
        <v>6984</v>
      </c>
      <c r="CKR19" t="s">
        <v>6984</v>
      </c>
      <c r="CKS19" t="s">
        <v>6984</v>
      </c>
      <c r="CKT19" t="s">
        <v>6984</v>
      </c>
      <c r="CKU19" t="s">
        <v>6984</v>
      </c>
      <c r="CKV19" t="s">
        <v>6984</v>
      </c>
      <c r="CKW19" t="s">
        <v>6984</v>
      </c>
      <c r="CKX19" t="s">
        <v>6984</v>
      </c>
      <c r="CKY19" t="s">
        <v>6984</v>
      </c>
      <c r="CKZ19" t="s">
        <v>6984</v>
      </c>
      <c r="CLA19" t="s">
        <v>6984</v>
      </c>
      <c r="CLB19" t="s">
        <v>6984</v>
      </c>
      <c r="CLC19" t="s">
        <v>6984</v>
      </c>
      <c r="CLD19" t="s">
        <v>6984</v>
      </c>
      <c r="CLE19" t="s">
        <v>6984</v>
      </c>
      <c r="CLF19" t="s">
        <v>6984</v>
      </c>
      <c r="CLG19" t="s">
        <v>6984</v>
      </c>
      <c r="CLH19" t="s">
        <v>6984</v>
      </c>
      <c r="CLI19" t="s">
        <v>6984</v>
      </c>
      <c r="CLJ19" t="s">
        <v>6984</v>
      </c>
      <c r="CLK19" t="s">
        <v>6984</v>
      </c>
      <c r="CLL19" t="s">
        <v>6984</v>
      </c>
      <c r="CLM19" t="s">
        <v>6984</v>
      </c>
      <c r="CLN19" t="s">
        <v>6984</v>
      </c>
      <c r="CLO19" t="s">
        <v>6984</v>
      </c>
      <c r="CLP19" t="s">
        <v>6984</v>
      </c>
      <c r="CLQ19" t="s">
        <v>6984</v>
      </c>
      <c r="CLR19" t="s">
        <v>6984</v>
      </c>
      <c r="CLS19" t="s">
        <v>6984</v>
      </c>
      <c r="CLT19" t="s">
        <v>6984</v>
      </c>
      <c r="CLU19" t="s">
        <v>6984</v>
      </c>
      <c r="CLV19" t="s">
        <v>6984</v>
      </c>
      <c r="CLW19" t="s">
        <v>6984</v>
      </c>
      <c r="CLX19" t="s">
        <v>6984</v>
      </c>
      <c r="CLY19" t="s">
        <v>6984</v>
      </c>
      <c r="CLZ19" t="s">
        <v>6984</v>
      </c>
      <c r="CMA19" t="s">
        <v>6984</v>
      </c>
      <c r="CMB19" t="s">
        <v>6984</v>
      </c>
      <c r="CMC19" t="s">
        <v>6984</v>
      </c>
      <c r="CMD19" t="s">
        <v>6984</v>
      </c>
      <c r="CME19" t="s">
        <v>6984</v>
      </c>
      <c r="CMF19" t="s">
        <v>6984</v>
      </c>
      <c r="CMG19" t="s">
        <v>6984</v>
      </c>
      <c r="CMH19" t="s">
        <v>6984</v>
      </c>
      <c r="CMI19" t="s">
        <v>6984</v>
      </c>
      <c r="CMJ19" t="s">
        <v>6984</v>
      </c>
      <c r="CMK19" t="s">
        <v>6984</v>
      </c>
      <c r="CML19" t="s">
        <v>6984</v>
      </c>
      <c r="CMM19" t="s">
        <v>6984</v>
      </c>
      <c r="CMN19" t="s">
        <v>6984</v>
      </c>
      <c r="CMO19" t="s">
        <v>6984</v>
      </c>
      <c r="CMP19" t="s">
        <v>6984</v>
      </c>
      <c r="CMQ19" t="s">
        <v>6984</v>
      </c>
      <c r="CMR19" t="s">
        <v>6984</v>
      </c>
      <c r="CMS19" t="s">
        <v>6984</v>
      </c>
      <c r="CMT19" t="s">
        <v>6984</v>
      </c>
      <c r="CMU19" t="s">
        <v>6984</v>
      </c>
      <c r="CMV19" t="s">
        <v>6984</v>
      </c>
      <c r="CMW19" t="s">
        <v>6984</v>
      </c>
      <c r="CMX19" t="s">
        <v>6984</v>
      </c>
      <c r="CMY19" t="s">
        <v>6984</v>
      </c>
      <c r="CMZ19" t="s">
        <v>6984</v>
      </c>
      <c r="CNA19" t="s">
        <v>6984</v>
      </c>
      <c r="CNB19" t="s">
        <v>6984</v>
      </c>
      <c r="CNC19" t="s">
        <v>6984</v>
      </c>
      <c r="CND19" t="s">
        <v>6984</v>
      </c>
      <c r="CNE19" t="s">
        <v>6984</v>
      </c>
      <c r="CNF19" t="s">
        <v>6984</v>
      </c>
      <c r="CNG19" t="s">
        <v>6984</v>
      </c>
      <c r="CNH19" t="s">
        <v>6984</v>
      </c>
      <c r="CNI19" t="s">
        <v>6984</v>
      </c>
      <c r="CNJ19" t="s">
        <v>6984</v>
      </c>
      <c r="CNK19" t="s">
        <v>6984</v>
      </c>
      <c r="CNL19" t="s">
        <v>6984</v>
      </c>
      <c r="CNM19" t="s">
        <v>6984</v>
      </c>
      <c r="CNN19" t="s">
        <v>6984</v>
      </c>
      <c r="CNO19" t="s">
        <v>6984</v>
      </c>
      <c r="CNP19" t="s">
        <v>6984</v>
      </c>
      <c r="CNQ19" t="s">
        <v>6984</v>
      </c>
      <c r="CNR19" t="s">
        <v>6984</v>
      </c>
      <c r="CNS19" t="s">
        <v>6984</v>
      </c>
      <c r="CNT19" t="s">
        <v>6984</v>
      </c>
      <c r="CNU19" t="s">
        <v>6984</v>
      </c>
      <c r="CNV19" t="s">
        <v>6984</v>
      </c>
      <c r="CNW19" t="s">
        <v>6984</v>
      </c>
      <c r="CNX19" t="s">
        <v>6984</v>
      </c>
      <c r="CNY19" t="s">
        <v>6984</v>
      </c>
      <c r="CNZ19" t="s">
        <v>6984</v>
      </c>
      <c r="COA19" t="s">
        <v>6984</v>
      </c>
      <c r="COB19" t="s">
        <v>6984</v>
      </c>
      <c r="COC19" t="s">
        <v>6984</v>
      </c>
      <c r="COD19" t="s">
        <v>6984</v>
      </c>
      <c r="COE19" t="s">
        <v>6984</v>
      </c>
      <c r="COF19" t="s">
        <v>6984</v>
      </c>
      <c r="COG19" t="s">
        <v>6984</v>
      </c>
      <c r="COH19" t="s">
        <v>6984</v>
      </c>
      <c r="COI19" t="s">
        <v>6984</v>
      </c>
      <c r="COJ19" t="s">
        <v>6984</v>
      </c>
      <c r="COK19" t="s">
        <v>6984</v>
      </c>
      <c r="COL19" t="s">
        <v>6984</v>
      </c>
      <c r="COM19" t="s">
        <v>6984</v>
      </c>
      <c r="CON19" t="s">
        <v>6984</v>
      </c>
      <c r="COO19" t="s">
        <v>6984</v>
      </c>
      <c r="COP19" t="s">
        <v>6984</v>
      </c>
      <c r="COQ19" t="s">
        <v>6984</v>
      </c>
      <c r="COR19" t="s">
        <v>6984</v>
      </c>
      <c r="COS19" t="s">
        <v>6984</v>
      </c>
      <c r="COT19" t="s">
        <v>6984</v>
      </c>
      <c r="COU19" t="s">
        <v>6984</v>
      </c>
      <c r="COV19" t="s">
        <v>6984</v>
      </c>
      <c r="COW19" t="s">
        <v>6984</v>
      </c>
      <c r="COX19" t="s">
        <v>6984</v>
      </c>
      <c r="COY19" t="s">
        <v>6984</v>
      </c>
      <c r="COZ19" t="s">
        <v>6984</v>
      </c>
      <c r="CPA19" t="s">
        <v>6984</v>
      </c>
      <c r="CPB19" t="s">
        <v>6984</v>
      </c>
      <c r="CPC19" t="s">
        <v>6984</v>
      </c>
      <c r="CPD19" t="s">
        <v>6984</v>
      </c>
      <c r="CPE19" t="s">
        <v>6984</v>
      </c>
      <c r="CPF19" t="s">
        <v>6984</v>
      </c>
      <c r="CPG19" t="s">
        <v>6984</v>
      </c>
      <c r="CPH19" t="s">
        <v>6984</v>
      </c>
      <c r="CPI19" t="s">
        <v>6984</v>
      </c>
      <c r="CPJ19" t="s">
        <v>6984</v>
      </c>
      <c r="CPK19" t="s">
        <v>6984</v>
      </c>
      <c r="CPL19" t="s">
        <v>6984</v>
      </c>
      <c r="CPM19" t="s">
        <v>6984</v>
      </c>
      <c r="CPN19" t="s">
        <v>6984</v>
      </c>
      <c r="CPO19" t="s">
        <v>6984</v>
      </c>
      <c r="CPP19" t="s">
        <v>6984</v>
      </c>
      <c r="CPQ19" t="s">
        <v>6984</v>
      </c>
      <c r="CPR19" t="s">
        <v>6984</v>
      </c>
      <c r="CPS19" t="s">
        <v>6984</v>
      </c>
      <c r="CPT19" t="s">
        <v>6984</v>
      </c>
      <c r="CPU19" t="s">
        <v>6984</v>
      </c>
      <c r="CPV19" t="s">
        <v>6984</v>
      </c>
      <c r="CPW19" t="s">
        <v>6984</v>
      </c>
      <c r="CPX19" t="s">
        <v>6984</v>
      </c>
      <c r="CPY19" t="s">
        <v>6984</v>
      </c>
      <c r="CPZ19" t="s">
        <v>6984</v>
      </c>
      <c r="CQA19" t="s">
        <v>6984</v>
      </c>
      <c r="CQB19" t="s">
        <v>6984</v>
      </c>
      <c r="CQC19" t="s">
        <v>6984</v>
      </c>
      <c r="CQD19" t="s">
        <v>6984</v>
      </c>
      <c r="CQE19" t="s">
        <v>6984</v>
      </c>
      <c r="CQF19" t="s">
        <v>6984</v>
      </c>
      <c r="CQG19" t="s">
        <v>6984</v>
      </c>
      <c r="CQH19" t="s">
        <v>6984</v>
      </c>
      <c r="CQI19" t="s">
        <v>6984</v>
      </c>
      <c r="CQJ19" t="s">
        <v>6984</v>
      </c>
      <c r="CQK19" t="s">
        <v>6984</v>
      </c>
      <c r="CQL19" t="s">
        <v>6984</v>
      </c>
      <c r="CQM19" t="s">
        <v>6984</v>
      </c>
      <c r="CQN19" t="s">
        <v>6984</v>
      </c>
      <c r="CQO19" t="s">
        <v>6984</v>
      </c>
      <c r="CQP19" t="s">
        <v>6984</v>
      </c>
      <c r="CQQ19" t="s">
        <v>6984</v>
      </c>
      <c r="CQR19" t="s">
        <v>6984</v>
      </c>
      <c r="CQS19" t="s">
        <v>6984</v>
      </c>
      <c r="CQT19" t="s">
        <v>6984</v>
      </c>
      <c r="CQU19" t="s">
        <v>6984</v>
      </c>
      <c r="CQV19" t="s">
        <v>6984</v>
      </c>
      <c r="CQW19" t="s">
        <v>6984</v>
      </c>
      <c r="CQX19" t="s">
        <v>6984</v>
      </c>
      <c r="CQY19" t="s">
        <v>6984</v>
      </c>
      <c r="CQZ19" t="s">
        <v>6984</v>
      </c>
      <c r="CRA19" t="s">
        <v>6984</v>
      </c>
      <c r="CRB19" t="s">
        <v>6984</v>
      </c>
      <c r="CRC19" t="s">
        <v>6984</v>
      </c>
      <c r="CRD19" t="s">
        <v>6984</v>
      </c>
      <c r="CRE19" t="s">
        <v>6984</v>
      </c>
      <c r="CRF19" t="s">
        <v>6984</v>
      </c>
      <c r="CRG19" t="s">
        <v>6984</v>
      </c>
      <c r="CRH19" t="s">
        <v>6984</v>
      </c>
      <c r="CRI19" t="s">
        <v>6984</v>
      </c>
      <c r="CRJ19" t="s">
        <v>6984</v>
      </c>
      <c r="CRK19" t="s">
        <v>6984</v>
      </c>
      <c r="CRL19" t="s">
        <v>6984</v>
      </c>
      <c r="CRM19" t="s">
        <v>6984</v>
      </c>
      <c r="CRN19" t="s">
        <v>6984</v>
      </c>
      <c r="CRO19" t="s">
        <v>6984</v>
      </c>
      <c r="CRP19" t="s">
        <v>6984</v>
      </c>
      <c r="CRQ19" t="s">
        <v>6984</v>
      </c>
      <c r="CRR19" t="s">
        <v>6984</v>
      </c>
      <c r="CRS19" t="s">
        <v>6984</v>
      </c>
      <c r="CRT19" t="s">
        <v>6984</v>
      </c>
      <c r="CRU19" t="s">
        <v>6984</v>
      </c>
      <c r="CRV19" t="s">
        <v>6984</v>
      </c>
      <c r="CRW19" t="s">
        <v>6984</v>
      </c>
      <c r="CRX19" t="s">
        <v>6984</v>
      </c>
      <c r="CRY19" t="s">
        <v>6984</v>
      </c>
      <c r="CRZ19" t="s">
        <v>6984</v>
      </c>
      <c r="CSA19" t="s">
        <v>6984</v>
      </c>
      <c r="CSB19" t="s">
        <v>6984</v>
      </c>
      <c r="CSC19" t="s">
        <v>6984</v>
      </c>
      <c r="CSD19" t="s">
        <v>6984</v>
      </c>
      <c r="CSE19" t="s">
        <v>6984</v>
      </c>
      <c r="CSF19" t="s">
        <v>6984</v>
      </c>
      <c r="CSG19" t="s">
        <v>6984</v>
      </c>
      <c r="CSH19" t="s">
        <v>6984</v>
      </c>
      <c r="CSI19" t="s">
        <v>6984</v>
      </c>
      <c r="CSJ19" t="s">
        <v>6984</v>
      </c>
      <c r="CSK19" t="s">
        <v>6984</v>
      </c>
      <c r="CSL19" t="s">
        <v>6984</v>
      </c>
      <c r="CSM19" t="s">
        <v>6984</v>
      </c>
      <c r="CSN19" t="s">
        <v>6984</v>
      </c>
      <c r="CSO19" t="s">
        <v>6984</v>
      </c>
      <c r="CSP19" t="s">
        <v>6984</v>
      </c>
      <c r="CSQ19" t="s">
        <v>6984</v>
      </c>
      <c r="CSR19" t="s">
        <v>6984</v>
      </c>
      <c r="CSS19" t="s">
        <v>6984</v>
      </c>
      <c r="CST19" t="s">
        <v>6984</v>
      </c>
      <c r="CSU19" t="s">
        <v>6984</v>
      </c>
      <c r="CSV19" t="s">
        <v>6984</v>
      </c>
      <c r="CSW19" t="s">
        <v>6984</v>
      </c>
      <c r="CSX19" t="s">
        <v>6984</v>
      </c>
      <c r="CSY19" t="s">
        <v>6984</v>
      </c>
      <c r="CSZ19" t="s">
        <v>6984</v>
      </c>
      <c r="CTA19" t="s">
        <v>6984</v>
      </c>
      <c r="CTB19" t="s">
        <v>6984</v>
      </c>
      <c r="CTC19" t="s">
        <v>6984</v>
      </c>
      <c r="CTD19" t="s">
        <v>6984</v>
      </c>
      <c r="CTE19" t="s">
        <v>6984</v>
      </c>
      <c r="CTF19" t="s">
        <v>6984</v>
      </c>
      <c r="CTG19" t="s">
        <v>6984</v>
      </c>
      <c r="CTH19" t="s">
        <v>6984</v>
      </c>
      <c r="CTI19" t="s">
        <v>6984</v>
      </c>
      <c r="CTJ19" t="s">
        <v>6984</v>
      </c>
      <c r="CTK19" t="s">
        <v>6984</v>
      </c>
      <c r="CTL19" t="s">
        <v>6984</v>
      </c>
      <c r="CTM19" t="s">
        <v>6984</v>
      </c>
      <c r="CTN19" t="s">
        <v>6984</v>
      </c>
      <c r="CTO19" t="s">
        <v>6984</v>
      </c>
      <c r="CTP19" t="s">
        <v>6984</v>
      </c>
      <c r="CTQ19" t="s">
        <v>6984</v>
      </c>
      <c r="CTR19" t="s">
        <v>6984</v>
      </c>
      <c r="CTS19" t="s">
        <v>6984</v>
      </c>
      <c r="CTT19" t="s">
        <v>6984</v>
      </c>
      <c r="CTU19" t="s">
        <v>6984</v>
      </c>
      <c r="CTV19" t="s">
        <v>6984</v>
      </c>
      <c r="CTW19" t="s">
        <v>6984</v>
      </c>
      <c r="CTX19" t="s">
        <v>6984</v>
      </c>
      <c r="CTY19" t="s">
        <v>6984</v>
      </c>
      <c r="CTZ19" t="s">
        <v>6984</v>
      </c>
      <c r="CUA19" t="s">
        <v>6984</v>
      </c>
      <c r="CUB19" t="s">
        <v>6984</v>
      </c>
      <c r="CUC19" t="s">
        <v>6984</v>
      </c>
      <c r="CUD19" t="s">
        <v>6984</v>
      </c>
      <c r="CUE19" t="s">
        <v>6984</v>
      </c>
      <c r="CUF19" t="s">
        <v>6984</v>
      </c>
      <c r="CUG19" t="s">
        <v>6984</v>
      </c>
      <c r="CUH19" t="s">
        <v>6984</v>
      </c>
      <c r="CUI19" t="s">
        <v>6984</v>
      </c>
      <c r="CUJ19" t="s">
        <v>6984</v>
      </c>
      <c r="CUK19" t="s">
        <v>6984</v>
      </c>
      <c r="CUL19" t="s">
        <v>6984</v>
      </c>
      <c r="CUM19" t="s">
        <v>6984</v>
      </c>
      <c r="CUN19" t="s">
        <v>6984</v>
      </c>
      <c r="CUO19" t="s">
        <v>6984</v>
      </c>
      <c r="CUP19" t="s">
        <v>6984</v>
      </c>
      <c r="CUQ19" t="s">
        <v>6984</v>
      </c>
      <c r="CUR19" t="s">
        <v>6984</v>
      </c>
      <c r="CUS19" t="s">
        <v>6984</v>
      </c>
      <c r="CUT19" t="s">
        <v>6984</v>
      </c>
      <c r="CUU19" t="s">
        <v>6984</v>
      </c>
      <c r="CUV19" t="s">
        <v>6984</v>
      </c>
      <c r="CUW19" t="s">
        <v>6984</v>
      </c>
      <c r="CUX19" t="s">
        <v>6984</v>
      </c>
      <c r="CUY19" t="s">
        <v>6984</v>
      </c>
      <c r="CUZ19" t="s">
        <v>6984</v>
      </c>
      <c r="CVA19" t="s">
        <v>6984</v>
      </c>
      <c r="CVB19" t="s">
        <v>6984</v>
      </c>
      <c r="CVC19" t="s">
        <v>6984</v>
      </c>
      <c r="CVD19" t="s">
        <v>6984</v>
      </c>
      <c r="CVE19" t="s">
        <v>6984</v>
      </c>
      <c r="CVF19" t="s">
        <v>6984</v>
      </c>
      <c r="CVG19" t="s">
        <v>6984</v>
      </c>
      <c r="CVH19" t="s">
        <v>6984</v>
      </c>
      <c r="CVI19" t="s">
        <v>6984</v>
      </c>
      <c r="CVJ19" t="s">
        <v>6984</v>
      </c>
      <c r="CVK19" t="s">
        <v>6984</v>
      </c>
      <c r="CVL19" t="s">
        <v>6984</v>
      </c>
      <c r="CVM19" t="s">
        <v>6984</v>
      </c>
      <c r="CVN19" t="s">
        <v>6984</v>
      </c>
      <c r="CVO19" t="s">
        <v>6984</v>
      </c>
      <c r="CVP19" t="s">
        <v>6984</v>
      </c>
      <c r="CVQ19" t="s">
        <v>6984</v>
      </c>
      <c r="CVR19" t="s">
        <v>6984</v>
      </c>
      <c r="CVS19" t="s">
        <v>6984</v>
      </c>
      <c r="CVT19" t="s">
        <v>6984</v>
      </c>
      <c r="CVU19" t="s">
        <v>6984</v>
      </c>
      <c r="CVV19" t="s">
        <v>6984</v>
      </c>
      <c r="CVW19" t="s">
        <v>6984</v>
      </c>
      <c r="CVX19" t="s">
        <v>6984</v>
      </c>
      <c r="CVY19" t="s">
        <v>6984</v>
      </c>
      <c r="CVZ19" t="s">
        <v>6984</v>
      </c>
      <c r="CWA19" t="s">
        <v>6984</v>
      </c>
      <c r="CWB19" t="s">
        <v>6984</v>
      </c>
      <c r="CWC19" t="s">
        <v>6984</v>
      </c>
      <c r="CWD19" t="s">
        <v>6984</v>
      </c>
      <c r="CWE19" t="s">
        <v>6984</v>
      </c>
      <c r="CWF19" t="s">
        <v>6984</v>
      </c>
      <c r="CWG19" t="s">
        <v>6984</v>
      </c>
      <c r="CWH19" t="s">
        <v>6984</v>
      </c>
      <c r="CWI19" t="s">
        <v>6984</v>
      </c>
      <c r="CWJ19" t="s">
        <v>6984</v>
      </c>
      <c r="CWK19" t="s">
        <v>6984</v>
      </c>
      <c r="CWL19" t="s">
        <v>6984</v>
      </c>
      <c r="CWM19" t="s">
        <v>6984</v>
      </c>
      <c r="CWN19" t="s">
        <v>6984</v>
      </c>
      <c r="CWO19" t="s">
        <v>6984</v>
      </c>
      <c r="CWP19" t="s">
        <v>6984</v>
      </c>
      <c r="CWQ19" t="s">
        <v>6984</v>
      </c>
      <c r="CWR19" t="s">
        <v>6984</v>
      </c>
      <c r="CWS19" t="s">
        <v>6984</v>
      </c>
      <c r="CWT19" t="s">
        <v>6984</v>
      </c>
      <c r="CWU19" t="s">
        <v>6984</v>
      </c>
      <c r="CWV19" t="s">
        <v>6984</v>
      </c>
      <c r="CWW19" t="s">
        <v>6984</v>
      </c>
      <c r="CWX19" t="s">
        <v>6984</v>
      </c>
      <c r="CWY19" t="s">
        <v>6984</v>
      </c>
      <c r="CWZ19" t="s">
        <v>6984</v>
      </c>
      <c r="CXA19" t="s">
        <v>6984</v>
      </c>
      <c r="CXB19" t="s">
        <v>6984</v>
      </c>
      <c r="CXC19" t="s">
        <v>6984</v>
      </c>
      <c r="CXD19" t="s">
        <v>6984</v>
      </c>
      <c r="CXE19" t="s">
        <v>6984</v>
      </c>
      <c r="CXF19" t="s">
        <v>6984</v>
      </c>
      <c r="CXG19" t="s">
        <v>6984</v>
      </c>
      <c r="CXH19" t="s">
        <v>6984</v>
      </c>
      <c r="CXI19" t="s">
        <v>6984</v>
      </c>
      <c r="CXJ19" t="s">
        <v>6984</v>
      </c>
      <c r="CXK19" t="s">
        <v>6984</v>
      </c>
      <c r="CXL19" t="s">
        <v>6984</v>
      </c>
      <c r="CXM19" t="s">
        <v>6984</v>
      </c>
      <c r="CXN19" t="s">
        <v>6984</v>
      </c>
      <c r="CXO19" t="s">
        <v>6984</v>
      </c>
      <c r="CXP19" t="s">
        <v>6984</v>
      </c>
      <c r="CXQ19" t="s">
        <v>6984</v>
      </c>
      <c r="CXR19" t="s">
        <v>6984</v>
      </c>
      <c r="CXS19" t="s">
        <v>6984</v>
      </c>
      <c r="CXT19" t="s">
        <v>6984</v>
      </c>
      <c r="CXU19" t="s">
        <v>6984</v>
      </c>
      <c r="CXV19" t="s">
        <v>6984</v>
      </c>
      <c r="CXW19" t="s">
        <v>6984</v>
      </c>
      <c r="CXX19" t="s">
        <v>6984</v>
      </c>
      <c r="CXY19" t="s">
        <v>6984</v>
      </c>
      <c r="CXZ19" t="s">
        <v>6984</v>
      </c>
      <c r="CYA19" t="s">
        <v>6984</v>
      </c>
      <c r="CYB19" t="s">
        <v>6984</v>
      </c>
      <c r="CYC19" t="s">
        <v>6984</v>
      </c>
      <c r="CYD19" t="s">
        <v>6984</v>
      </c>
      <c r="CYE19" t="s">
        <v>6984</v>
      </c>
      <c r="CYF19" t="s">
        <v>6984</v>
      </c>
      <c r="CYG19" t="s">
        <v>6984</v>
      </c>
      <c r="CYH19" t="s">
        <v>6984</v>
      </c>
      <c r="CYI19" t="s">
        <v>6984</v>
      </c>
      <c r="CYJ19" t="s">
        <v>6984</v>
      </c>
      <c r="CYK19" t="s">
        <v>6984</v>
      </c>
      <c r="CYL19" t="s">
        <v>6984</v>
      </c>
      <c r="CYM19" t="s">
        <v>6984</v>
      </c>
      <c r="CYN19" t="s">
        <v>6984</v>
      </c>
      <c r="CYO19" t="s">
        <v>6984</v>
      </c>
      <c r="CYP19" t="s">
        <v>6984</v>
      </c>
      <c r="CYQ19" t="s">
        <v>6984</v>
      </c>
      <c r="CYR19" t="s">
        <v>6984</v>
      </c>
      <c r="CYS19" t="s">
        <v>6984</v>
      </c>
      <c r="CYT19" t="s">
        <v>6984</v>
      </c>
      <c r="CYU19" t="s">
        <v>6984</v>
      </c>
      <c r="CYV19" t="s">
        <v>6984</v>
      </c>
      <c r="CYW19" t="s">
        <v>6984</v>
      </c>
      <c r="CYX19" t="s">
        <v>6984</v>
      </c>
      <c r="CYY19" t="s">
        <v>6984</v>
      </c>
      <c r="CYZ19" t="s">
        <v>6984</v>
      </c>
      <c r="CZA19" t="s">
        <v>6984</v>
      </c>
      <c r="CZB19" t="s">
        <v>6984</v>
      </c>
      <c r="CZC19" t="s">
        <v>6984</v>
      </c>
      <c r="CZD19" t="s">
        <v>6984</v>
      </c>
      <c r="CZE19" t="s">
        <v>6984</v>
      </c>
      <c r="CZF19" t="s">
        <v>6984</v>
      </c>
      <c r="CZG19" t="s">
        <v>6984</v>
      </c>
      <c r="CZH19" t="s">
        <v>6984</v>
      </c>
      <c r="CZI19" t="s">
        <v>6984</v>
      </c>
      <c r="CZJ19" t="s">
        <v>6984</v>
      </c>
      <c r="CZK19" t="s">
        <v>6984</v>
      </c>
      <c r="CZL19" t="s">
        <v>6984</v>
      </c>
      <c r="CZM19" t="s">
        <v>6984</v>
      </c>
      <c r="CZN19" t="s">
        <v>6984</v>
      </c>
      <c r="CZO19" t="s">
        <v>6984</v>
      </c>
      <c r="CZP19" t="s">
        <v>6984</v>
      </c>
      <c r="CZQ19" t="s">
        <v>6984</v>
      </c>
      <c r="CZR19" t="s">
        <v>6984</v>
      </c>
      <c r="CZS19" t="s">
        <v>6984</v>
      </c>
      <c r="CZT19" t="s">
        <v>6984</v>
      </c>
      <c r="CZU19" t="s">
        <v>6984</v>
      </c>
      <c r="CZV19" t="s">
        <v>6984</v>
      </c>
      <c r="CZW19" t="s">
        <v>6984</v>
      </c>
      <c r="CZX19" t="s">
        <v>6984</v>
      </c>
      <c r="CZY19" t="s">
        <v>6984</v>
      </c>
      <c r="CZZ19" t="s">
        <v>6984</v>
      </c>
      <c r="DAA19" t="s">
        <v>6984</v>
      </c>
      <c r="DAB19" t="s">
        <v>6984</v>
      </c>
      <c r="DAC19" t="s">
        <v>6984</v>
      </c>
      <c r="DAD19" t="s">
        <v>6984</v>
      </c>
      <c r="DAE19" t="s">
        <v>6984</v>
      </c>
      <c r="DAF19" t="s">
        <v>6984</v>
      </c>
      <c r="DAG19" t="s">
        <v>6984</v>
      </c>
      <c r="DAH19" t="s">
        <v>6984</v>
      </c>
      <c r="DAI19" t="s">
        <v>6984</v>
      </c>
      <c r="DAJ19" t="s">
        <v>6984</v>
      </c>
      <c r="DAK19" t="s">
        <v>6984</v>
      </c>
      <c r="DAL19" t="s">
        <v>6984</v>
      </c>
      <c r="DAM19" t="s">
        <v>6984</v>
      </c>
      <c r="DAN19" t="s">
        <v>6984</v>
      </c>
      <c r="DAO19" t="s">
        <v>6984</v>
      </c>
      <c r="DAP19" t="s">
        <v>6984</v>
      </c>
      <c r="DAQ19" t="s">
        <v>6984</v>
      </c>
      <c r="DAR19" t="s">
        <v>6984</v>
      </c>
      <c r="DAS19" t="s">
        <v>6984</v>
      </c>
      <c r="DAT19" t="s">
        <v>6984</v>
      </c>
      <c r="DAU19" t="s">
        <v>6984</v>
      </c>
      <c r="DAV19" t="s">
        <v>6984</v>
      </c>
      <c r="DAW19" t="s">
        <v>6984</v>
      </c>
      <c r="DAX19" t="s">
        <v>6984</v>
      </c>
      <c r="DAY19" t="s">
        <v>6984</v>
      </c>
      <c r="DAZ19" t="s">
        <v>6984</v>
      </c>
      <c r="DBA19" t="s">
        <v>6984</v>
      </c>
      <c r="DBB19" t="s">
        <v>6984</v>
      </c>
      <c r="DBC19" t="s">
        <v>6984</v>
      </c>
      <c r="DBD19" t="s">
        <v>6984</v>
      </c>
      <c r="DBE19" t="s">
        <v>6984</v>
      </c>
      <c r="DBF19" t="s">
        <v>6984</v>
      </c>
      <c r="DBG19" t="s">
        <v>6984</v>
      </c>
      <c r="DBH19" t="s">
        <v>6984</v>
      </c>
      <c r="DBI19" t="s">
        <v>6984</v>
      </c>
      <c r="DBJ19" t="s">
        <v>6984</v>
      </c>
      <c r="DBK19" t="s">
        <v>6984</v>
      </c>
      <c r="DBL19" t="s">
        <v>6984</v>
      </c>
      <c r="DBM19" t="s">
        <v>6984</v>
      </c>
      <c r="DBN19" t="s">
        <v>6984</v>
      </c>
      <c r="DBO19" t="s">
        <v>6984</v>
      </c>
      <c r="DBP19" t="s">
        <v>6984</v>
      </c>
      <c r="DBQ19" t="s">
        <v>6984</v>
      </c>
      <c r="DBR19" t="s">
        <v>6984</v>
      </c>
      <c r="DBS19" t="s">
        <v>6984</v>
      </c>
      <c r="DBT19" t="s">
        <v>6984</v>
      </c>
      <c r="DBU19" t="s">
        <v>6984</v>
      </c>
      <c r="DBV19" t="s">
        <v>6984</v>
      </c>
      <c r="DBW19" t="s">
        <v>6984</v>
      </c>
      <c r="DBX19" t="s">
        <v>6984</v>
      </c>
      <c r="DBY19" t="s">
        <v>6984</v>
      </c>
      <c r="DBZ19" t="s">
        <v>6984</v>
      </c>
      <c r="DCA19" t="s">
        <v>6984</v>
      </c>
      <c r="DCB19" t="s">
        <v>6984</v>
      </c>
      <c r="DCC19" t="s">
        <v>6984</v>
      </c>
      <c r="DCD19" t="s">
        <v>6984</v>
      </c>
      <c r="DCE19" t="s">
        <v>6984</v>
      </c>
      <c r="DCF19" t="s">
        <v>6984</v>
      </c>
      <c r="DCG19" t="s">
        <v>6984</v>
      </c>
      <c r="DCH19" t="s">
        <v>6984</v>
      </c>
      <c r="DCI19" t="s">
        <v>6984</v>
      </c>
      <c r="DCJ19" t="s">
        <v>6984</v>
      </c>
      <c r="DCK19" t="s">
        <v>6984</v>
      </c>
      <c r="DCL19" t="s">
        <v>6984</v>
      </c>
      <c r="DCM19" t="s">
        <v>6984</v>
      </c>
      <c r="DCN19" t="s">
        <v>6984</v>
      </c>
      <c r="DCO19" t="s">
        <v>6984</v>
      </c>
      <c r="DCP19" t="s">
        <v>6984</v>
      </c>
      <c r="DCQ19" t="s">
        <v>6984</v>
      </c>
      <c r="DCR19" t="s">
        <v>6984</v>
      </c>
      <c r="DCS19" t="s">
        <v>6984</v>
      </c>
      <c r="DCT19" t="s">
        <v>6984</v>
      </c>
      <c r="DCU19" t="s">
        <v>6984</v>
      </c>
      <c r="DCV19" t="s">
        <v>6984</v>
      </c>
      <c r="DCW19" t="s">
        <v>6984</v>
      </c>
      <c r="DCX19" t="s">
        <v>6984</v>
      </c>
      <c r="DCY19" t="s">
        <v>6984</v>
      </c>
      <c r="DCZ19" t="s">
        <v>6984</v>
      </c>
      <c r="DDA19" t="s">
        <v>6984</v>
      </c>
      <c r="DDB19" t="s">
        <v>6984</v>
      </c>
      <c r="DDC19" t="s">
        <v>6984</v>
      </c>
      <c r="DDD19" t="s">
        <v>6984</v>
      </c>
      <c r="DDE19" t="s">
        <v>6984</v>
      </c>
      <c r="DDF19" t="s">
        <v>6984</v>
      </c>
      <c r="DDG19" t="s">
        <v>6984</v>
      </c>
      <c r="DDH19" t="s">
        <v>6984</v>
      </c>
      <c r="DDI19" t="s">
        <v>6984</v>
      </c>
      <c r="DDJ19" t="s">
        <v>6984</v>
      </c>
      <c r="DDK19" t="s">
        <v>6984</v>
      </c>
      <c r="DDL19" t="s">
        <v>6984</v>
      </c>
      <c r="DDM19" t="s">
        <v>6984</v>
      </c>
      <c r="DDN19" t="s">
        <v>6984</v>
      </c>
      <c r="DDO19" t="s">
        <v>6984</v>
      </c>
      <c r="DDP19" t="s">
        <v>6984</v>
      </c>
      <c r="DDQ19" t="s">
        <v>6984</v>
      </c>
      <c r="DDR19" t="s">
        <v>6984</v>
      </c>
      <c r="DDS19" t="s">
        <v>6984</v>
      </c>
      <c r="DDT19" t="s">
        <v>6984</v>
      </c>
      <c r="DDU19" t="s">
        <v>6984</v>
      </c>
      <c r="DDV19" t="s">
        <v>6984</v>
      </c>
      <c r="DDW19" t="s">
        <v>6984</v>
      </c>
      <c r="DDX19" t="s">
        <v>6984</v>
      </c>
      <c r="DDY19" t="s">
        <v>6984</v>
      </c>
      <c r="DDZ19" t="s">
        <v>6984</v>
      </c>
      <c r="DEA19" t="s">
        <v>6984</v>
      </c>
      <c r="DEB19" t="s">
        <v>6984</v>
      </c>
      <c r="DEC19" t="s">
        <v>6984</v>
      </c>
      <c r="DED19" t="s">
        <v>6984</v>
      </c>
      <c r="DEE19" t="s">
        <v>6984</v>
      </c>
      <c r="DEF19" t="s">
        <v>6984</v>
      </c>
      <c r="DEG19" t="s">
        <v>6984</v>
      </c>
      <c r="DEH19" t="s">
        <v>6984</v>
      </c>
      <c r="DEI19" t="s">
        <v>6984</v>
      </c>
      <c r="DEJ19" t="s">
        <v>6984</v>
      </c>
      <c r="DEK19" t="s">
        <v>6984</v>
      </c>
      <c r="DEL19" t="s">
        <v>6984</v>
      </c>
      <c r="DEM19" t="s">
        <v>6984</v>
      </c>
      <c r="DEN19" t="s">
        <v>6984</v>
      </c>
      <c r="DEO19" t="s">
        <v>6984</v>
      </c>
      <c r="DEP19" t="s">
        <v>6984</v>
      </c>
      <c r="DEQ19" t="s">
        <v>6984</v>
      </c>
      <c r="DER19" t="s">
        <v>6984</v>
      </c>
      <c r="DES19" t="s">
        <v>6984</v>
      </c>
      <c r="DET19" t="s">
        <v>6984</v>
      </c>
      <c r="DEU19" t="s">
        <v>6984</v>
      </c>
      <c r="DEV19" t="s">
        <v>6984</v>
      </c>
      <c r="DEW19" t="s">
        <v>6984</v>
      </c>
      <c r="DEX19" t="s">
        <v>6984</v>
      </c>
      <c r="DEY19" t="s">
        <v>6984</v>
      </c>
      <c r="DEZ19" t="s">
        <v>6984</v>
      </c>
      <c r="DFA19" t="s">
        <v>6984</v>
      </c>
      <c r="DFB19" t="s">
        <v>6984</v>
      </c>
      <c r="DFC19" t="s">
        <v>6984</v>
      </c>
      <c r="DFD19" t="s">
        <v>6984</v>
      </c>
      <c r="DFE19" t="s">
        <v>6984</v>
      </c>
      <c r="DFF19" t="s">
        <v>6984</v>
      </c>
      <c r="DFG19" t="s">
        <v>6984</v>
      </c>
      <c r="DFH19" t="s">
        <v>6984</v>
      </c>
      <c r="DFI19" t="s">
        <v>6984</v>
      </c>
      <c r="DFJ19" t="s">
        <v>6984</v>
      </c>
      <c r="DFK19" t="s">
        <v>6984</v>
      </c>
      <c r="DFL19" t="s">
        <v>6984</v>
      </c>
      <c r="DFM19" t="s">
        <v>6984</v>
      </c>
      <c r="DFN19" t="s">
        <v>6984</v>
      </c>
      <c r="DFO19" t="s">
        <v>6984</v>
      </c>
      <c r="DFP19" t="s">
        <v>6984</v>
      </c>
      <c r="DFQ19" t="s">
        <v>6984</v>
      </c>
      <c r="DFR19" t="s">
        <v>6984</v>
      </c>
      <c r="DFS19" t="s">
        <v>6984</v>
      </c>
      <c r="DFT19" t="s">
        <v>6984</v>
      </c>
      <c r="DFU19" t="s">
        <v>6984</v>
      </c>
      <c r="DFV19" t="s">
        <v>6984</v>
      </c>
      <c r="DFW19" t="s">
        <v>6984</v>
      </c>
      <c r="DFX19" t="s">
        <v>6984</v>
      </c>
      <c r="DFY19" t="s">
        <v>6984</v>
      </c>
      <c r="DFZ19" t="s">
        <v>6984</v>
      </c>
      <c r="DGA19" t="s">
        <v>6984</v>
      </c>
      <c r="DGB19" t="s">
        <v>6984</v>
      </c>
      <c r="DGC19" t="s">
        <v>6984</v>
      </c>
      <c r="DGD19" t="s">
        <v>6984</v>
      </c>
      <c r="DGE19" t="s">
        <v>6984</v>
      </c>
      <c r="DGF19" t="s">
        <v>6984</v>
      </c>
      <c r="DGG19" t="s">
        <v>6984</v>
      </c>
      <c r="DGH19" t="s">
        <v>6984</v>
      </c>
      <c r="DGI19" t="s">
        <v>6984</v>
      </c>
      <c r="DGJ19" t="s">
        <v>6984</v>
      </c>
      <c r="DGK19" t="s">
        <v>6984</v>
      </c>
      <c r="DGL19" t="s">
        <v>6984</v>
      </c>
      <c r="DGM19" t="s">
        <v>6984</v>
      </c>
      <c r="DGN19" t="s">
        <v>6984</v>
      </c>
      <c r="DGO19" t="s">
        <v>6984</v>
      </c>
      <c r="DGP19" t="s">
        <v>6984</v>
      </c>
      <c r="DGQ19" t="s">
        <v>6984</v>
      </c>
      <c r="DGR19" t="s">
        <v>6984</v>
      </c>
      <c r="DGS19" t="s">
        <v>6984</v>
      </c>
      <c r="DGT19" t="s">
        <v>6984</v>
      </c>
      <c r="DGU19" t="s">
        <v>6984</v>
      </c>
      <c r="DGV19" t="s">
        <v>6984</v>
      </c>
      <c r="DGW19" t="s">
        <v>6984</v>
      </c>
      <c r="DGX19" t="s">
        <v>6984</v>
      </c>
      <c r="DGY19" t="s">
        <v>6984</v>
      </c>
      <c r="DGZ19" t="s">
        <v>6984</v>
      </c>
      <c r="DHA19" t="s">
        <v>6984</v>
      </c>
      <c r="DHB19" t="s">
        <v>6984</v>
      </c>
      <c r="DHC19" t="s">
        <v>6984</v>
      </c>
      <c r="DHD19" t="s">
        <v>6984</v>
      </c>
      <c r="DHE19" t="s">
        <v>6984</v>
      </c>
      <c r="DHF19" t="s">
        <v>6984</v>
      </c>
      <c r="DHG19" t="s">
        <v>6984</v>
      </c>
      <c r="DHH19" t="s">
        <v>6984</v>
      </c>
      <c r="DHI19" t="s">
        <v>6984</v>
      </c>
      <c r="DHJ19" t="s">
        <v>6984</v>
      </c>
      <c r="DHK19" t="s">
        <v>6984</v>
      </c>
      <c r="DHL19" t="s">
        <v>6984</v>
      </c>
      <c r="DHM19" t="s">
        <v>6984</v>
      </c>
      <c r="DHN19" t="s">
        <v>6984</v>
      </c>
      <c r="DHO19" t="s">
        <v>6984</v>
      </c>
      <c r="DHP19" t="s">
        <v>6984</v>
      </c>
      <c r="DHQ19" t="s">
        <v>6984</v>
      </c>
      <c r="DHR19" t="s">
        <v>6984</v>
      </c>
      <c r="DHS19" t="s">
        <v>6984</v>
      </c>
      <c r="DHT19" t="s">
        <v>6984</v>
      </c>
      <c r="DHU19" t="s">
        <v>6984</v>
      </c>
      <c r="DHV19" t="s">
        <v>6984</v>
      </c>
      <c r="DHW19" t="s">
        <v>6984</v>
      </c>
      <c r="DHX19" t="s">
        <v>6984</v>
      </c>
      <c r="DHY19" t="s">
        <v>6984</v>
      </c>
      <c r="DHZ19" t="s">
        <v>6984</v>
      </c>
      <c r="DIA19" t="s">
        <v>6984</v>
      </c>
      <c r="DIB19" t="s">
        <v>6984</v>
      </c>
      <c r="DIC19" t="s">
        <v>6984</v>
      </c>
      <c r="DID19" t="s">
        <v>6984</v>
      </c>
      <c r="DIE19" t="s">
        <v>6984</v>
      </c>
      <c r="DIF19" t="s">
        <v>6984</v>
      </c>
      <c r="DIG19" t="s">
        <v>6984</v>
      </c>
      <c r="DIH19" t="s">
        <v>6984</v>
      </c>
      <c r="DII19" t="s">
        <v>6984</v>
      </c>
      <c r="DIJ19" t="s">
        <v>6984</v>
      </c>
      <c r="DIK19" t="s">
        <v>6984</v>
      </c>
      <c r="DIL19" t="s">
        <v>6984</v>
      </c>
      <c r="DIM19" t="s">
        <v>6984</v>
      </c>
      <c r="DIN19" t="s">
        <v>6984</v>
      </c>
      <c r="DIO19" t="s">
        <v>6984</v>
      </c>
      <c r="DIP19" t="s">
        <v>6984</v>
      </c>
      <c r="DIQ19" t="s">
        <v>6984</v>
      </c>
      <c r="DIR19" t="s">
        <v>6984</v>
      </c>
      <c r="DIS19" t="s">
        <v>6984</v>
      </c>
      <c r="DIT19" t="s">
        <v>6984</v>
      </c>
      <c r="DIU19" t="s">
        <v>6984</v>
      </c>
      <c r="DIV19" t="s">
        <v>6984</v>
      </c>
      <c r="DIW19" t="s">
        <v>6984</v>
      </c>
      <c r="DIX19" t="s">
        <v>6984</v>
      </c>
      <c r="DIY19" t="s">
        <v>6984</v>
      </c>
      <c r="DIZ19" t="s">
        <v>6984</v>
      </c>
      <c r="DJA19" t="s">
        <v>6984</v>
      </c>
      <c r="DJB19" t="s">
        <v>6984</v>
      </c>
      <c r="DJC19" t="s">
        <v>6984</v>
      </c>
      <c r="DJD19" t="s">
        <v>6984</v>
      </c>
      <c r="DJE19" t="s">
        <v>6984</v>
      </c>
      <c r="DJF19" t="s">
        <v>6984</v>
      </c>
      <c r="DJG19" t="s">
        <v>6984</v>
      </c>
      <c r="DJH19" t="s">
        <v>6984</v>
      </c>
      <c r="DJI19" t="s">
        <v>6984</v>
      </c>
      <c r="DJJ19" t="s">
        <v>6984</v>
      </c>
      <c r="DJK19" t="s">
        <v>6984</v>
      </c>
      <c r="DJL19" t="s">
        <v>6984</v>
      </c>
      <c r="DJM19" t="s">
        <v>6984</v>
      </c>
      <c r="DJN19" t="s">
        <v>6984</v>
      </c>
      <c r="DJO19" t="s">
        <v>6984</v>
      </c>
      <c r="DJP19" t="s">
        <v>6984</v>
      </c>
      <c r="DJQ19" t="s">
        <v>6984</v>
      </c>
      <c r="DJR19" t="s">
        <v>6984</v>
      </c>
      <c r="DJS19" t="s">
        <v>6984</v>
      </c>
      <c r="DJT19" t="s">
        <v>6984</v>
      </c>
      <c r="DJU19" t="s">
        <v>6984</v>
      </c>
      <c r="DJV19" t="s">
        <v>6984</v>
      </c>
      <c r="DJW19" t="s">
        <v>6984</v>
      </c>
      <c r="DJX19" t="s">
        <v>6984</v>
      </c>
      <c r="DJY19" t="s">
        <v>6984</v>
      </c>
      <c r="DJZ19" t="s">
        <v>6984</v>
      </c>
      <c r="DKA19" t="s">
        <v>6984</v>
      </c>
      <c r="DKB19" t="s">
        <v>6984</v>
      </c>
      <c r="DKC19" t="s">
        <v>6984</v>
      </c>
      <c r="DKD19" t="s">
        <v>6984</v>
      </c>
      <c r="DKE19" t="s">
        <v>6984</v>
      </c>
      <c r="DKF19" t="s">
        <v>6984</v>
      </c>
      <c r="DKG19" t="s">
        <v>6984</v>
      </c>
      <c r="DKH19" t="s">
        <v>6984</v>
      </c>
      <c r="DKI19" t="s">
        <v>6984</v>
      </c>
      <c r="DKJ19" t="s">
        <v>6984</v>
      </c>
      <c r="DKK19" t="s">
        <v>6984</v>
      </c>
      <c r="DKL19" t="s">
        <v>6984</v>
      </c>
      <c r="DKM19" t="s">
        <v>6984</v>
      </c>
      <c r="DKN19" t="s">
        <v>6984</v>
      </c>
      <c r="DKO19" t="s">
        <v>6984</v>
      </c>
      <c r="DKP19" t="s">
        <v>6984</v>
      </c>
      <c r="DKQ19" t="s">
        <v>6984</v>
      </c>
      <c r="DKR19" t="s">
        <v>6984</v>
      </c>
      <c r="DKS19" t="s">
        <v>6984</v>
      </c>
      <c r="DKT19" t="s">
        <v>6984</v>
      </c>
      <c r="DKU19" t="s">
        <v>6984</v>
      </c>
      <c r="DKV19" t="s">
        <v>6984</v>
      </c>
      <c r="DKW19" t="s">
        <v>6984</v>
      </c>
      <c r="DKX19" t="s">
        <v>6984</v>
      </c>
      <c r="DKY19" t="s">
        <v>6984</v>
      </c>
      <c r="DKZ19" t="s">
        <v>6984</v>
      </c>
      <c r="DLA19" t="s">
        <v>6984</v>
      </c>
      <c r="DLB19" t="s">
        <v>6984</v>
      </c>
      <c r="DLC19" t="s">
        <v>6984</v>
      </c>
      <c r="DLD19" t="s">
        <v>6984</v>
      </c>
      <c r="DLE19" t="s">
        <v>6984</v>
      </c>
      <c r="DLF19" t="s">
        <v>6984</v>
      </c>
      <c r="DLG19" t="s">
        <v>6984</v>
      </c>
      <c r="DLH19" t="s">
        <v>6984</v>
      </c>
      <c r="DLI19" t="s">
        <v>6984</v>
      </c>
      <c r="DLJ19" t="s">
        <v>6984</v>
      </c>
      <c r="DLK19" t="s">
        <v>6984</v>
      </c>
      <c r="DLL19" t="s">
        <v>6984</v>
      </c>
      <c r="DLM19" t="s">
        <v>6984</v>
      </c>
      <c r="DLN19" t="s">
        <v>6984</v>
      </c>
      <c r="DLO19" t="s">
        <v>6984</v>
      </c>
      <c r="DLP19" t="s">
        <v>6984</v>
      </c>
      <c r="DLQ19" t="s">
        <v>6984</v>
      </c>
      <c r="DLR19" t="s">
        <v>6984</v>
      </c>
      <c r="DLS19" t="s">
        <v>6984</v>
      </c>
      <c r="DLT19" t="s">
        <v>6984</v>
      </c>
      <c r="DLU19" t="s">
        <v>6984</v>
      </c>
      <c r="DLV19" t="s">
        <v>6984</v>
      </c>
      <c r="DLW19" t="s">
        <v>6984</v>
      </c>
      <c r="DLX19" t="s">
        <v>6984</v>
      </c>
      <c r="DLY19" t="s">
        <v>6984</v>
      </c>
      <c r="DLZ19" t="s">
        <v>6984</v>
      </c>
      <c r="DMA19" t="s">
        <v>6984</v>
      </c>
      <c r="DMB19" t="s">
        <v>6984</v>
      </c>
      <c r="DMC19" t="s">
        <v>6984</v>
      </c>
      <c r="DMD19" t="s">
        <v>6984</v>
      </c>
      <c r="DME19" t="s">
        <v>6984</v>
      </c>
      <c r="DMF19" t="s">
        <v>6984</v>
      </c>
      <c r="DMG19" t="s">
        <v>6984</v>
      </c>
      <c r="DMH19" t="s">
        <v>6984</v>
      </c>
      <c r="DMI19" t="s">
        <v>6984</v>
      </c>
      <c r="DMJ19" t="s">
        <v>6984</v>
      </c>
      <c r="DMK19" t="s">
        <v>6984</v>
      </c>
      <c r="DML19" t="s">
        <v>6984</v>
      </c>
      <c r="DMM19" t="s">
        <v>6984</v>
      </c>
      <c r="DMN19" t="s">
        <v>6984</v>
      </c>
      <c r="DMO19" t="s">
        <v>6984</v>
      </c>
      <c r="DMP19" t="s">
        <v>6984</v>
      </c>
      <c r="DMQ19" t="s">
        <v>6984</v>
      </c>
      <c r="DMR19" t="s">
        <v>6984</v>
      </c>
      <c r="DMS19" t="s">
        <v>6984</v>
      </c>
      <c r="DMT19" t="s">
        <v>6984</v>
      </c>
      <c r="DMU19" t="s">
        <v>6984</v>
      </c>
      <c r="DMV19" t="s">
        <v>6984</v>
      </c>
      <c r="DMW19" t="s">
        <v>6984</v>
      </c>
      <c r="DMX19" t="s">
        <v>6984</v>
      </c>
      <c r="DMY19" t="s">
        <v>6984</v>
      </c>
      <c r="DMZ19" t="s">
        <v>6984</v>
      </c>
      <c r="DNA19" t="s">
        <v>6984</v>
      </c>
      <c r="DNB19" t="s">
        <v>6984</v>
      </c>
      <c r="DNC19" t="s">
        <v>6984</v>
      </c>
      <c r="DND19" t="s">
        <v>6984</v>
      </c>
      <c r="DNE19" t="s">
        <v>6984</v>
      </c>
      <c r="DNF19" t="s">
        <v>6984</v>
      </c>
      <c r="DNG19" t="s">
        <v>6984</v>
      </c>
      <c r="DNH19" t="s">
        <v>6984</v>
      </c>
      <c r="DNI19" t="s">
        <v>6984</v>
      </c>
      <c r="DNJ19" t="s">
        <v>6984</v>
      </c>
      <c r="DNK19" t="s">
        <v>6984</v>
      </c>
      <c r="DNL19" t="s">
        <v>6984</v>
      </c>
      <c r="DNM19" t="s">
        <v>6984</v>
      </c>
      <c r="DNN19" t="s">
        <v>6984</v>
      </c>
      <c r="DNO19" t="s">
        <v>6984</v>
      </c>
      <c r="DNP19" t="s">
        <v>6984</v>
      </c>
      <c r="DNQ19" t="s">
        <v>6984</v>
      </c>
      <c r="DNR19" t="s">
        <v>6984</v>
      </c>
      <c r="DNS19" t="s">
        <v>6984</v>
      </c>
      <c r="DNT19" t="s">
        <v>6984</v>
      </c>
      <c r="DNU19" t="s">
        <v>6984</v>
      </c>
      <c r="DNV19" t="s">
        <v>6984</v>
      </c>
      <c r="DNW19" t="s">
        <v>6984</v>
      </c>
      <c r="DNX19" t="s">
        <v>6984</v>
      </c>
      <c r="DNY19" t="s">
        <v>6984</v>
      </c>
      <c r="DNZ19" t="s">
        <v>6984</v>
      </c>
      <c r="DOA19" t="s">
        <v>6984</v>
      </c>
      <c r="DOB19" t="s">
        <v>6984</v>
      </c>
      <c r="DOC19" t="s">
        <v>6984</v>
      </c>
      <c r="DOD19" t="s">
        <v>6984</v>
      </c>
      <c r="DOE19" t="s">
        <v>6984</v>
      </c>
      <c r="DOF19" t="s">
        <v>6984</v>
      </c>
      <c r="DOG19" t="s">
        <v>6984</v>
      </c>
      <c r="DOH19" t="s">
        <v>6984</v>
      </c>
      <c r="DOI19" t="s">
        <v>6984</v>
      </c>
      <c r="DOJ19" t="s">
        <v>6984</v>
      </c>
      <c r="DOK19" t="s">
        <v>6984</v>
      </c>
      <c r="DOL19" t="s">
        <v>6984</v>
      </c>
      <c r="DOM19" t="s">
        <v>6984</v>
      </c>
      <c r="DON19" t="s">
        <v>6984</v>
      </c>
      <c r="DOO19" t="s">
        <v>6984</v>
      </c>
      <c r="DOP19" t="s">
        <v>6984</v>
      </c>
      <c r="DOQ19" t="s">
        <v>6984</v>
      </c>
      <c r="DOR19" t="s">
        <v>6984</v>
      </c>
      <c r="DOS19" t="s">
        <v>6984</v>
      </c>
      <c r="DOT19" t="s">
        <v>6984</v>
      </c>
      <c r="DOU19" t="s">
        <v>6984</v>
      </c>
      <c r="DOV19" t="s">
        <v>6984</v>
      </c>
      <c r="DOW19" t="s">
        <v>6984</v>
      </c>
      <c r="DOX19" t="s">
        <v>6984</v>
      </c>
      <c r="DOY19" t="s">
        <v>6984</v>
      </c>
      <c r="DOZ19" t="s">
        <v>6984</v>
      </c>
      <c r="DPA19" t="s">
        <v>6984</v>
      </c>
      <c r="DPB19" t="s">
        <v>6984</v>
      </c>
      <c r="DPC19" t="s">
        <v>6984</v>
      </c>
      <c r="DPD19" t="s">
        <v>6984</v>
      </c>
      <c r="DPE19" t="s">
        <v>6984</v>
      </c>
      <c r="DPF19" t="s">
        <v>6984</v>
      </c>
      <c r="DPG19" t="s">
        <v>6984</v>
      </c>
      <c r="DPH19" t="s">
        <v>6984</v>
      </c>
      <c r="DPI19" t="s">
        <v>6984</v>
      </c>
      <c r="DPJ19" t="s">
        <v>6984</v>
      </c>
      <c r="DPK19" t="s">
        <v>6984</v>
      </c>
      <c r="DPL19" t="s">
        <v>6984</v>
      </c>
      <c r="DPM19" t="s">
        <v>6984</v>
      </c>
      <c r="DPN19" t="s">
        <v>6984</v>
      </c>
      <c r="DPO19" t="s">
        <v>6984</v>
      </c>
      <c r="DPP19" t="s">
        <v>6984</v>
      </c>
      <c r="DPQ19" t="s">
        <v>6984</v>
      </c>
      <c r="DPR19" t="s">
        <v>6984</v>
      </c>
      <c r="DPS19" t="s">
        <v>6984</v>
      </c>
      <c r="DPT19" t="s">
        <v>6984</v>
      </c>
      <c r="DPU19" t="s">
        <v>6984</v>
      </c>
      <c r="DPV19" t="s">
        <v>6984</v>
      </c>
      <c r="DPW19" t="s">
        <v>6984</v>
      </c>
      <c r="DPX19" t="s">
        <v>6984</v>
      </c>
      <c r="DPY19" t="s">
        <v>6984</v>
      </c>
      <c r="DPZ19" t="s">
        <v>6984</v>
      </c>
      <c r="DQA19" t="s">
        <v>6984</v>
      </c>
      <c r="DQB19" t="s">
        <v>6984</v>
      </c>
      <c r="DQC19" t="s">
        <v>6984</v>
      </c>
      <c r="DQD19" t="s">
        <v>6984</v>
      </c>
      <c r="DQE19" t="s">
        <v>6984</v>
      </c>
      <c r="DQF19" t="s">
        <v>6984</v>
      </c>
      <c r="DQG19" t="s">
        <v>6984</v>
      </c>
      <c r="DQH19" t="s">
        <v>6984</v>
      </c>
      <c r="DQI19" t="s">
        <v>6984</v>
      </c>
      <c r="DQJ19" t="s">
        <v>6984</v>
      </c>
      <c r="DQK19" t="s">
        <v>6984</v>
      </c>
      <c r="DQL19" t="s">
        <v>6984</v>
      </c>
      <c r="DQM19" t="s">
        <v>6984</v>
      </c>
      <c r="DQN19" t="s">
        <v>6984</v>
      </c>
      <c r="DQO19" t="s">
        <v>6984</v>
      </c>
      <c r="DQP19" t="s">
        <v>6984</v>
      </c>
      <c r="DQQ19" t="s">
        <v>6984</v>
      </c>
      <c r="DQR19" t="s">
        <v>6984</v>
      </c>
      <c r="DQS19" t="s">
        <v>6984</v>
      </c>
      <c r="DQT19" t="s">
        <v>6984</v>
      </c>
      <c r="DQU19" t="s">
        <v>6984</v>
      </c>
      <c r="DQV19" t="s">
        <v>6984</v>
      </c>
      <c r="DQW19" t="s">
        <v>6984</v>
      </c>
      <c r="DQX19" t="s">
        <v>6984</v>
      </c>
      <c r="DQY19" t="s">
        <v>6984</v>
      </c>
      <c r="DQZ19" t="s">
        <v>6984</v>
      </c>
      <c r="DRA19" t="s">
        <v>6984</v>
      </c>
      <c r="DRB19" t="s">
        <v>6984</v>
      </c>
      <c r="DRC19" t="s">
        <v>6984</v>
      </c>
      <c r="DRD19" t="s">
        <v>6984</v>
      </c>
      <c r="DRE19" t="s">
        <v>6984</v>
      </c>
      <c r="DRF19" t="s">
        <v>6984</v>
      </c>
      <c r="DRG19" t="s">
        <v>6984</v>
      </c>
      <c r="DRH19" t="s">
        <v>6984</v>
      </c>
      <c r="DRI19" t="s">
        <v>6984</v>
      </c>
      <c r="DRJ19" t="s">
        <v>6984</v>
      </c>
      <c r="DRK19" t="s">
        <v>6984</v>
      </c>
      <c r="DRL19" t="s">
        <v>6984</v>
      </c>
      <c r="DRM19" t="s">
        <v>6984</v>
      </c>
      <c r="DRN19" t="s">
        <v>6984</v>
      </c>
      <c r="DRO19" t="s">
        <v>6984</v>
      </c>
      <c r="DRP19" t="s">
        <v>6984</v>
      </c>
      <c r="DRQ19" t="s">
        <v>6984</v>
      </c>
      <c r="DRR19" t="s">
        <v>6984</v>
      </c>
      <c r="DRS19" t="s">
        <v>6984</v>
      </c>
      <c r="DRT19" t="s">
        <v>6984</v>
      </c>
      <c r="DRU19" t="s">
        <v>6984</v>
      </c>
      <c r="DRV19" t="s">
        <v>6984</v>
      </c>
      <c r="DRW19" t="s">
        <v>6984</v>
      </c>
      <c r="DRX19" t="s">
        <v>6984</v>
      </c>
      <c r="DRY19" t="s">
        <v>6984</v>
      </c>
      <c r="DRZ19" t="s">
        <v>6984</v>
      </c>
      <c r="DSA19" t="s">
        <v>6984</v>
      </c>
      <c r="DSB19" t="s">
        <v>6984</v>
      </c>
      <c r="DSC19" t="s">
        <v>6984</v>
      </c>
      <c r="DSD19" t="s">
        <v>6984</v>
      </c>
      <c r="DSE19" t="s">
        <v>6984</v>
      </c>
      <c r="DSF19" t="s">
        <v>6984</v>
      </c>
      <c r="DSG19" t="s">
        <v>6984</v>
      </c>
      <c r="DSH19" t="s">
        <v>6984</v>
      </c>
      <c r="DSI19" t="s">
        <v>6984</v>
      </c>
      <c r="DSJ19" t="s">
        <v>6984</v>
      </c>
      <c r="DSK19" t="s">
        <v>6984</v>
      </c>
      <c r="DSL19" t="s">
        <v>6984</v>
      </c>
      <c r="DSM19" t="s">
        <v>6984</v>
      </c>
      <c r="DSN19" t="s">
        <v>6984</v>
      </c>
      <c r="DSO19" t="s">
        <v>6984</v>
      </c>
      <c r="DSP19" t="s">
        <v>6984</v>
      </c>
      <c r="DSQ19" t="s">
        <v>6984</v>
      </c>
      <c r="DSR19" t="s">
        <v>6984</v>
      </c>
      <c r="DSS19" t="s">
        <v>6984</v>
      </c>
      <c r="DST19" t="s">
        <v>6984</v>
      </c>
      <c r="DSU19" t="s">
        <v>6984</v>
      </c>
      <c r="DSV19" t="s">
        <v>6984</v>
      </c>
      <c r="DSW19" t="s">
        <v>6984</v>
      </c>
      <c r="DSX19" t="s">
        <v>6984</v>
      </c>
      <c r="DSY19" t="s">
        <v>6984</v>
      </c>
      <c r="DSZ19" t="s">
        <v>6984</v>
      </c>
      <c r="DTA19" t="s">
        <v>6984</v>
      </c>
      <c r="DTB19" t="s">
        <v>6984</v>
      </c>
      <c r="DTC19" t="s">
        <v>6984</v>
      </c>
      <c r="DTD19" t="s">
        <v>6984</v>
      </c>
      <c r="DTE19" t="s">
        <v>6984</v>
      </c>
      <c r="DTF19" t="s">
        <v>6984</v>
      </c>
      <c r="DTG19" t="s">
        <v>6984</v>
      </c>
      <c r="DTH19" t="s">
        <v>6984</v>
      </c>
      <c r="DTI19" t="s">
        <v>6984</v>
      </c>
      <c r="DTJ19" t="s">
        <v>6984</v>
      </c>
      <c r="DTK19" t="s">
        <v>6984</v>
      </c>
      <c r="DTL19" t="s">
        <v>6984</v>
      </c>
      <c r="DTM19" t="s">
        <v>6984</v>
      </c>
      <c r="DTN19" t="s">
        <v>6984</v>
      </c>
      <c r="DTO19" t="s">
        <v>6984</v>
      </c>
      <c r="DTP19" t="s">
        <v>6984</v>
      </c>
      <c r="DTQ19" t="s">
        <v>6984</v>
      </c>
      <c r="DTR19" t="s">
        <v>6984</v>
      </c>
      <c r="DTS19" t="s">
        <v>6984</v>
      </c>
      <c r="DTT19" t="s">
        <v>6984</v>
      </c>
      <c r="DTU19" t="s">
        <v>6984</v>
      </c>
      <c r="DTV19" t="s">
        <v>6984</v>
      </c>
      <c r="DTW19" t="s">
        <v>6984</v>
      </c>
      <c r="DTX19" t="s">
        <v>6984</v>
      </c>
      <c r="DTY19" t="s">
        <v>6984</v>
      </c>
      <c r="DTZ19" t="s">
        <v>6984</v>
      </c>
      <c r="DUA19" t="s">
        <v>6984</v>
      </c>
      <c r="DUB19" t="s">
        <v>6984</v>
      </c>
      <c r="DUC19" t="s">
        <v>6984</v>
      </c>
      <c r="DUD19" t="s">
        <v>6984</v>
      </c>
      <c r="DUE19" t="s">
        <v>6984</v>
      </c>
      <c r="DUF19" t="s">
        <v>6984</v>
      </c>
      <c r="DUG19" t="s">
        <v>6984</v>
      </c>
      <c r="DUH19" t="s">
        <v>6984</v>
      </c>
      <c r="DUI19" t="s">
        <v>6984</v>
      </c>
      <c r="DUJ19" t="s">
        <v>6984</v>
      </c>
      <c r="DUK19" t="s">
        <v>6984</v>
      </c>
      <c r="DUL19" t="s">
        <v>6984</v>
      </c>
      <c r="DUM19" t="s">
        <v>6984</v>
      </c>
      <c r="DUN19" t="s">
        <v>6984</v>
      </c>
      <c r="DUO19" t="s">
        <v>6984</v>
      </c>
      <c r="DUP19" t="s">
        <v>6984</v>
      </c>
      <c r="DUQ19" t="s">
        <v>6984</v>
      </c>
      <c r="DUR19" t="s">
        <v>6984</v>
      </c>
      <c r="DUS19" t="s">
        <v>6984</v>
      </c>
      <c r="DUT19" t="s">
        <v>6984</v>
      </c>
      <c r="DUU19" t="s">
        <v>6984</v>
      </c>
      <c r="DUV19" t="s">
        <v>6984</v>
      </c>
      <c r="DUW19" t="s">
        <v>6984</v>
      </c>
      <c r="DUX19" t="s">
        <v>6984</v>
      </c>
      <c r="DUY19" t="s">
        <v>6984</v>
      </c>
      <c r="DUZ19" t="s">
        <v>6984</v>
      </c>
      <c r="DVA19" t="s">
        <v>6984</v>
      </c>
      <c r="DVB19" t="s">
        <v>6984</v>
      </c>
      <c r="DVC19" t="s">
        <v>6984</v>
      </c>
      <c r="DVD19" t="s">
        <v>6984</v>
      </c>
      <c r="DVE19" t="s">
        <v>6984</v>
      </c>
      <c r="DVF19" t="s">
        <v>6984</v>
      </c>
      <c r="DVG19" t="s">
        <v>6984</v>
      </c>
      <c r="DVH19" t="s">
        <v>6984</v>
      </c>
      <c r="DVI19" t="s">
        <v>6984</v>
      </c>
      <c r="DVJ19" t="s">
        <v>6984</v>
      </c>
      <c r="DVK19" t="s">
        <v>6984</v>
      </c>
      <c r="DVL19" t="s">
        <v>6984</v>
      </c>
      <c r="DVM19" t="s">
        <v>6984</v>
      </c>
      <c r="DVN19" t="s">
        <v>6984</v>
      </c>
      <c r="DVO19" t="s">
        <v>6984</v>
      </c>
      <c r="DVP19" t="s">
        <v>6984</v>
      </c>
      <c r="DVQ19" t="s">
        <v>6984</v>
      </c>
      <c r="DVR19" t="s">
        <v>6984</v>
      </c>
      <c r="DVS19" t="s">
        <v>6984</v>
      </c>
      <c r="DVT19" t="s">
        <v>6984</v>
      </c>
      <c r="DVU19" t="s">
        <v>6984</v>
      </c>
      <c r="DVV19" t="s">
        <v>6984</v>
      </c>
      <c r="DVW19" t="s">
        <v>6984</v>
      </c>
      <c r="DVX19" t="s">
        <v>6984</v>
      </c>
      <c r="DVY19" t="s">
        <v>6984</v>
      </c>
      <c r="DVZ19" t="s">
        <v>6984</v>
      </c>
      <c r="DWA19" t="s">
        <v>6984</v>
      </c>
      <c r="DWB19" t="s">
        <v>6984</v>
      </c>
      <c r="DWC19" t="s">
        <v>6984</v>
      </c>
      <c r="DWD19" t="s">
        <v>6984</v>
      </c>
      <c r="DWE19" t="s">
        <v>6984</v>
      </c>
      <c r="DWF19" t="s">
        <v>6984</v>
      </c>
      <c r="DWG19" t="s">
        <v>6984</v>
      </c>
      <c r="DWH19" t="s">
        <v>6984</v>
      </c>
      <c r="DWI19" t="s">
        <v>6984</v>
      </c>
      <c r="DWJ19" t="s">
        <v>6984</v>
      </c>
      <c r="DWK19" t="s">
        <v>6984</v>
      </c>
      <c r="DWL19" t="s">
        <v>6984</v>
      </c>
      <c r="DWM19" t="s">
        <v>6984</v>
      </c>
      <c r="DWN19" t="s">
        <v>6984</v>
      </c>
      <c r="DWO19" t="s">
        <v>6984</v>
      </c>
      <c r="DWP19" t="s">
        <v>6984</v>
      </c>
      <c r="DWQ19" t="s">
        <v>6984</v>
      </c>
      <c r="DWR19" t="s">
        <v>6984</v>
      </c>
      <c r="DWS19" t="s">
        <v>6984</v>
      </c>
      <c r="DWT19" t="s">
        <v>6984</v>
      </c>
      <c r="DWU19" t="s">
        <v>6984</v>
      </c>
      <c r="DWV19" t="s">
        <v>6984</v>
      </c>
      <c r="DWW19" t="s">
        <v>6984</v>
      </c>
      <c r="DWX19" t="s">
        <v>6984</v>
      </c>
      <c r="DWY19" t="s">
        <v>6984</v>
      </c>
      <c r="DWZ19" t="s">
        <v>6984</v>
      </c>
      <c r="DXA19" t="s">
        <v>6984</v>
      </c>
      <c r="DXB19" t="s">
        <v>6984</v>
      </c>
      <c r="DXC19" t="s">
        <v>6984</v>
      </c>
      <c r="DXD19" t="s">
        <v>6984</v>
      </c>
      <c r="DXE19" t="s">
        <v>6984</v>
      </c>
      <c r="DXF19" t="s">
        <v>6984</v>
      </c>
      <c r="DXG19" t="s">
        <v>6984</v>
      </c>
      <c r="DXH19" t="s">
        <v>6984</v>
      </c>
      <c r="DXI19" t="s">
        <v>6984</v>
      </c>
      <c r="DXJ19" t="s">
        <v>6984</v>
      </c>
      <c r="DXK19" t="s">
        <v>6984</v>
      </c>
      <c r="DXL19" t="s">
        <v>6984</v>
      </c>
      <c r="DXM19" t="s">
        <v>6984</v>
      </c>
      <c r="DXN19" t="s">
        <v>6984</v>
      </c>
      <c r="DXO19" t="s">
        <v>6984</v>
      </c>
      <c r="DXP19" t="s">
        <v>6984</v>
      </c>
      <c r="DXQ19" t="s">
        <v>6984</v>
      </c>
      <c r="DXR19" t="s">
        <v>6984</v>
      </c>
      <c r="DXS19" t="s">
        <v>6984</v>
      </c>
      <c r="DXT19" t="s">
        <v>6984</v>
      </c>
      <c r="DXU19" t="s">
        <v>6984</v>
      </c>
      <c r="DXV19" t="s">
        <v>6984</v>
      </c>
      <c r="DXW19" t="s">
        <v>6984</v>
      </c>
      <c r="DXX19" t="s">
        <v>6984</v>
      </c>
      <c r="DXY19" t="s">
        <v>6984</v>
      </c>
      <c r="DXZ19" t="s">
        <v>6984</v>
      </c>
      <c r="DYA19" t="s">
        <v>6984</v>
      </c>
      <c r="DYB19" t="s">
        <v>6984</v>
      </c>
      <c r="DYC19" t="s">
        <v>6984</v>
      </c>
      <c r="DYD19" t="s">
        <v>6984</v>
      </c>
      <c r="DYE19" t="s">
        <v>6984</v>
      </c>
      <c r="DYF19" t="s">
        <v>6984</v>
      </c>
      <c r="DYG19" t="s">
        <v>6984</v>
      </c>
      <c r="DYH19" t="s">
        <v>6984</v>
      </c>
      <c r="DYI19" t="s">
        <v>6984</v>
      </c>
      <c r="DYJ19" t="s">
        <v>6984</v>
      </c>
      <c r="DYK19" t="s">
        <v>6984</v>
      </c>
      <c r="DYL19" t="s">
        <v>6984</v>
      </c>
      <c r="DYM19" t="s">
        <v>6984</v>
      </c>
      <c r="DYN19" t="s">
        <v>6984</v>
      </c>
      <c r="DYO19" t="s">
        <v>6984</v>
      </c>
      <c r="DYP19" t="s">
        <v>6984</v>
      </c>
      <c r="DYQ19" t="s">
        <v>6984</v>
      </c>
      <c r="DYR19" t="s">
        <v>6984</v>
      </c>
      <c r="DYS19" t="s">
        <v>6984</v>
      </c>
      <c r="DYT19" t="s">
        <v>6984</v>
      </c>
      <c r="DYU19" t="s">
        <v>6984</v>
      </c>
      <c r="DYV19" t="s">
        <v>6984</v>
      </c>
      <c r="DYW19" t="s">
        <v>6984</v>
      </c>
      <c r="DYX19" t="s">
        <v>6984</v>
      </c>
      <c r="DYY19" t="s">
        <v>6984</v>
      </c>
      <c r="DYZ19" t="s">
        <v>6984</v>
      </c>
      <c r="DZA19" t="s">
        <v>6984</v>
      </c>
      <c r="DZB19" t="s">
        <v>6984</v>
      </c>
      <c r="DZC19" t="s">
        <v>6984</v>
      </c>
      <c r="DZD19" t="s">
        <v>6984</v>
      </c>
      <c r="DZE19" t="s">
        <v>6984</v>
      </c>
      <c r="DZF19" t="s">
        <v>6984</v>
      </c>
      <c r="DZG19" t="s">
        <v>6984</v>
      </c>
      <c r="DZH19" t="s">
        <v>6984</v>
      </c>
      <c r="DZI19" t="s">
        <v>6984</v>
      </c>
      <c r="DZJ19" t="s">
        <v>6984</v>
      </c>
      <c r="DZK19" t="s">
        <v>6984</v>
      </c>
      <c r="DZL19" t="s">
        <v>6984</v>
      </c>
      <c r="DZM19" t="s">
        <v>6984</v>
      </c>
      <c r="DZN19" t="s">
        <v>6984</v>
      </c>
      <c r="DZO19" t="s">
        <v>6984</v>
      </c>
      <c r="DZP19" t="s">
        <v>6984</v>
      </c>
      <c r="DZQ19" t="s">
        <v>6984</v>
      </c>
      <c r="DZR19" t="s">
        <v>6984</v>
      </c>
      <c r="DZS19" t="s">
        <v>6984</v>
      </c>
      <c r="DZT19" t="s">
        <v>6984</v>
      </c>
      <c r="DZU19" t="s">
        <v>6984</v>
      </c>
      <c r="DZV19" t="s">
        <v>6984</v>
      </c>
      <c r="DZW19" t="s">
        <v>6984</v>
      </c>
      <c r="DZX19" t="s">
        <v>6984</v>
      </c>
      <c r="DZY19" t="s">
        <v>6984</v>
      </c>
      <c r="DZZ19" t="s">
        <v>6984</v>
      </c>
      <c r="EAA19" t="s">
        <v>6984</v>
      </c>
      <c r="EAB19" t="s">
        <v>6984</v>
      </c>
      <c r="EAC19" t="s">
        <v>6984</v>
      </c>
      <c r="EAD19" t="s">
        <v>6984</v>
      </c>
      <c r="EAE19" t="s">
        <v>6984</v>
      </c>
      <c r="EAF19" t="s">
        <v>6984</v>
      </c>
      <c r="EAG19" t="s">
        <v>6984</v>
      </c>
      <c r="EAH19" t="s">
        <v>6984</v>
      </c>
      <c r="EAI19" t="s">
        <v>6984</v>
      </c>
      <c r="EAJ19" t="s">
        <v>6984</v>
      </c>
      <c r="EAK19" t="s">
        <v>6984</v>
      </c>
      <c r="EAL19" t="s">
        <v>6984</v>
      </c>
      <c r="EAM19" t="s">
        <v>6984</v>
      </c>
      <c r="EAN19" t="s">
        <v>6984</v>
      </c>
      <c r="EAO19" t="s">
        <v>6984</v>
      </c>
      <c r="EAP19" t="s">
        <v>6984</v>
      </c>
      <c r="EAQ19" t="s">
        <v>6984</v>
      </c>
      <c r="EAR19" t="s">
        <v>6984</v>
      </c>
      <c r="EAS19" t="s">
        <v>6984</v>
      </c>
      <c r="EAT19" t="s">
        <v>6984</v>
      </c>
      <c r="EAU19" t="s">
        <v>6984</v>
      </c>
      <c r="EAV19" t="s">
        <v>6984</v>
      </c>
      <c r="EAW19" t="s">
        <v>6984</v>
      </c>
      <c r="EAX19" t="s">
        <v>6984</v>
      </c>
      <c r="EAY19" t="s">
        <v>6984</v>
      </c>
      <c r="EAZ19" t="s">
        <v>6984</v>
      </c>
      <c r="EBA19" t="s">
        <v>6984</v>
      </c>
      <c r="EBB19" t="s">
        <v>6984</v>
      </c>
      <c r="EBC19" t="s">
        <v>6984</v>
      </c>
      <c r="EBD19" t="s">
        <v>6984</v>
      </c>
      <c r="EBE19" t="s">
        <v>6984</v>
      </c>
      <c r="EBF19" t="s">
        <v>6984</v>
      </c>
      <c r="EBG19" t="s">
        <v>6984</v>
      </c>
      <c r="EBH19" t="s">
        <v>6984</v>
      </c>
      <c r="EBI19" t="s">
        <v>6984</v>
      </c>
      <c r="EBJ19" t="s">
        <v>6984</v>
      </c>
      <c r="EBK19" t="s">
        <v>6984</v>
      </c>
      <c r="EBL19" t="s">
        <v>6984</v>
      </c>
      <c r="EBM19" t="s">
        <v>6984</v>
      </c>
      <c r="EBN19" t="s">
        <v>6984</v>
      </c>
      <c r="EBO19" t="s">
        <v>6984</v>
      </c>
      <c r="EBP19" t="s">
        <v>6984</v>
      </c>
      <c r="EBQ19" t="s">
        <v>6984</v>
      </c>
      <c r="EBR19" t="s">
        <v>6984</v>
      </c>
      <c r="EBS19" t="s">
        <v>6984</v>
      </c>
      <c r="EBT19" t="s">
        <v>6984</v>
      </c>
      <c r="EBU19" t="s">
        <v>6984</v>
      </c>
      <c r="EBV19" t="s">
        <v>6984</v>
      </c>
      <c r="EBW19" t="s">
        <v>6984</v>
      </c>
      <c r="EBX19" t="s">
        <v>6984</v>
      </c>
      <c r="EBY19" t="s">
        <v>6984</v>
      </c>
      <c r="EBZ19" t="s">
        <v>6984</v>
      </c>
      <c r="ECA19" t="s">
        <v>6984</v>
      </c>
      <c r="ECB19" t="s">
        <v>6984</v>
      </c>
      <c r="ECC19" t="s">
        <v>6984</v>
      </c>
      <c r="ECD19" t="s">
        <v>6984</v>
      </c>
      <c r="ECE19" t="s">
        <v>6984</v>
      </c>
      <c r="ECF19" t="s">
        <v>6984</v>
      </c>
      <c r="ECG19" t="s">
        <v>6984</v>
      </c>
      <c r="ECH19" t="s">
        <v>6984</v>
      </c>
      <c r="ECI19" t="s">
        <v>6984</v>
      </c>
      <c r="ECJ19" t="s">
        <v>6984</v>
      </c>
      <c r="ECK19" t="s">
        <v>6984</v>
      </c>
      <c r="ECL19" t="s">
        <v>6984</v>
      </c>
      <c r="ECM19" t="s">
        <v>6984</v>
      </c>
      <c r="ECN19" t="s">
        <v>6984</v>
      </c>
      <c r="ECO19" t="s">
        <v>6984</v>
      </c>
      <c r="ECP19" t="s">
        <v>6984</v>
      </c>
      <c r="ECQ19" t="s">
        <v>6984</v>
      </c>
      <c r="ECR19" t="s">
        <v>6984</v>
      </c>
      <c r="ECS19" t="s">
        <v>6984</v>
      </c>
      <c r="ECT19" t="s">
        <v>6984</v>
      </c>
      <c r="ECU19" t="s">
        <v>6984</v>
      </c>
      <c r="ECV19" t="s">
        <v>6984</v>
      </c>
      <c r="ECW19" t="s">
        <v>6984</v>
      </c>
      <c r="ECX19" t="s">
        <v>6984</v>
      </c>
      <c r="ECY19" t="s">
        <v>6984</v>
      </c>
      <c r="ECZ19" t="s">
        <v>6984</v>
      </c>
      <c r="EDA19" t="s">
        <v>6984</v>
      </c>
      <c r="EDB19" t="s">
        <v>6984</v>
      </c>
      <c r="EDC19" t="s">
        <v>6984</v>
      </c>
      <c r="EDD19" t="s">
        <v>6984</v>
      </c>
      <c r="EDE19" t="s">
        <v>6984</v>
      </c>
      <c r="EDF19" t="s">
        <v>6984</v>
      </c>
      <c r="EDG19" t="s">
        <v>6984</v>
      </c>
      <c r="EDH19" t="s">
        <v>6984</v>
      </c>
      <c r="EDI19" t="s">
        <v>6984</v>
      </c>
      <c r="EDJ19" t="s">
        <v>6984</v>
      </c>
      <c r="EDK19" t="s">
        <v>6984</v>
      </c>
      <c r="EDL19" t="s">
        <v>6984</v>
      </c>
      <c r="EDM19" t="s">
        <v>6984</v>
      </c>
      <c r="EDN19" t="s">
        <v>6984</v>
      </c>
      <c r="EDO19" t="s">
        <v>6984</v>
      </c>
      <c r="EDP19" t="s">
        <v>6984</v>
      </c>
      <c r="EDQ19" t="s">
        <v>6984</v>
      </c>
      <c r="EDR19" t="s">
        <v>6984</v>
      </c>
      <c r="EDS19" t="s">
        <v>6984</v>
      </c>
      <c r="EDT19" t="s">
        <v>6984</v>
      </c>
      <c r="EDU19" t="s">
        <v>6984</v>
      </c>
      <c r="EDV19" t="s">
        <v>6984</v>
      </c>
      <c r="EDW19" t="s">
        <v>6984</v>
      </c>
      <c r="EDX19" t="s">
        <v>6984</v>
      </c>
      <c r="EDY19" t="s">
        <v>6984</v>
      </c>
      <c r="EDZ19" t="s">
        <v>6984</v>
      </c>
      <c r="EEA19" t="s">
        <v>6984</v>
      </c>
      <c r="EEB19" t="s">
        <v>6984</v>
      </c>
      <c r="EEC19" t="s">
        <v>6984</v>
      </c>
      <c r="EED19" t="s">
        <v>6984</v>
      </c>
      <c r="EEE19" t="s">
        <v>6984</v>
      </c>
      <c r="EEF19" t="s">
        <v>6984</v>
      </c>
      <c r="EEG19" t="s">
        <v>6984</v>
      </c>
      <c r="EEH19" t="s">
        <v>6984</v>
      </c>
      <c r="EEI19" t="s">
        <v>6984</v>
      </c>
      <c r="EEJ19" t="s">
        <v>6984</v>
      </c>
      <c r="EEK19" t="s">
        <v>6984</v>
      </c>
      <c r="EEL19" t="s">
        <v>6984</v>
      </c>
      <c r="EEM19" t="s">
        <v>6984</v>
      </c>
      <c r="EEN19" t="s">
        <v>6984</v>
      </c>
      <c r="EEO19" t="s">
        <v>6984</v>
      </c>
      <c r="EEP19" t="s">
        <v>6984</v>
      </c>
      <c r="EEQ19" t="s">
        <v>6984</v>
      </c>
      <c r="EER19" t="s">
        <v>6984</v>
      </c>
      <c r="EES19" t="s">
        <v>6984</v>
      </c>
      <c r="EET19" t="s">
        <v>6984</v>
      </c>
      <c r="EEU19" t="s">
        <v>6984</v>
      </c>
      <c r="EEV19" t="s">
        <v>6984</v>
      </c>
      <c r="EEW19" t="s">
        <v>6984</v>
      </c>
      <c r="EEX19" t="s">
        <v>6984</v>
      </c>
      <c r="EEY19" t="s">
        <v>6984</v>
      </c>
      <c r="EEZ19" t="s">
        <v>6984</v>
      </c>
      <c r="EFA19" t="s">
        <v>6984</v>
      </c>
      <c r="EFB19" t="s">
        <v>6984</v>
      </c>
      <c r="EFC19" t="s">
        <v>6984</v>
      </c>
      <c r="EFD19" t="s">
        <v>6984</v>
      </c>
      <c r="EFE19" t="s">
        <v>6984</v>
      </c>
      <c r="EFF19" t="s">
        <v>6984</v>
      </c>
      <c r="EFG19" t="s">
        <v>6984</v>
      </c>
      <c r="EFH19" t="s">
        <v>6984</v>
      </c>
      <c r="EFI19" t="s">
        <v>6984</v>
      </c>
      <c r="EFJ19" t="s">
        <v>6984</v>
      </c>
      <c r="EFK19" t="s">
        <v>6984</v>
      </c>
      <c r="EFL19" t="s">
        <v>6984</v>
      </c>
      <c r="EFM19" t="s">
        <v>6984</v>
      </c>
      <c r="EFN19" t="s">
        <v>6984</v>
      </c>
      <c r="EFO19" t="s">
        <v>6984</v>
      </c>
      <c r="EFP19" t="s">
        <v>6984</v>
      </c>
      <c r="EFQ19" t="s">
        <v>6984</v>
      </c>
      <c r="EFR19" t="s">
        <v>6984</v>
      </c>
      <c r="EFS19" t="s">
        <v>6984</v>
      </c>
      <c r="EFT19" t="s">
        <v>6984</v>
      </c>
      <c r="EFU19" t="s">
        <v>6984</v>
      </c>
      <c r="EFV19" t="s">
        <v>6984</v>
      </c>
      <c r="EFW19" t="s">
        <v>6984</v>
      </c>
      <c r="EFX19" t="s">
        <v>6984</v>
      </c>
      <c r="EFY19" t="s">
        <v>6984</v>
      </c>
      <c r="EFZ19" t="s">
        <v>6984</v>
      </c>
      <c r="EGA19" t="s">
        <v>6984</v>
      </c>
      <c r="EGB19" t="s">
        <v>6984</v>
      </c>
      <c r="EGC19" t="s">
        <v>6984</v>
      </c>
      <c r="EGD19" t="s">
        <v>6984</v>
      </c>
      <c r="EGE19" t="s">
        <v>6984</v>
      </c>
      <c r="EGF19" t="s">
        <v>6984</v>
      </c>
      <c r="EGG19" t="s">
        <v>6984</v>
      </c>
      <c r="EGH19" t="s">
        <v>6984</v>
      </c>
      <c r="EGI19" t="s">
        <v>6984</v>
      </c>
      <c r="EGJ19" t="s">
        <v>6984</v>
      </c>
      <c r="EGK19" t="s">
        <v>6984</v>
      </c>
      <c r="EGL19" t="s">
        <v>6984</v>
      </c>
      <c r="EGM19" t="s">
        <v>6984</v>
      </c>
      <c r="EGN19" t="s">
        <v>6984</v>
      </c>
      <c r="EGO19" t="s">
        <v>6984</v>
      </c>
      <c r="EGP19" t="s">
        <v>6984</v>
      </c>
      <c r="EGQ19" t="s">
        <v>6984</v>
      </c>
      <c r="EGR19" t="s">
        <v>6984</v>
      </c>
      <c r="EGS19" t="s">
        <v>6984</v>
      </c>
      <c r="EGT19" t="s">
        <v>6984</v>
      </c>
      <c r="EGU19" t="s">
        <v>6984</v>
      </c>
      <c r="EGV19" t="s">
        <v>6984</v>
      </c>
      <c r="EGW19" t="s">
        <v>6984</v>
      </c>
      <c r="EGX19" t="s">
        <v>6984</v>
      </c>
      <c r="EGY19" t="s">
        <v>6984</v>
      </c>
      <c r="EGZ19" t="s">
        <v>6984</v>
      </c>
      <c r="EHA19" t="s">
        <v>6984</v>
      </c>
      <c r="EHB19" t="s">
        <v>6984</v>
      </c>
      <c r="EHC19" t="s">
        <v>6984</v>
      </c>
      <c r="EHD19" t="s">
        <v>6984</v>
      </c>
      <c r="EHE19" t="s">
        <v>6984</v>
      </c>
      <c r="EHF19" t="s">
        <v>6984</v>
      </c>
      <c r="EHG19" t="s">
        <v>6984</v>
      </c>
      <c r="EHH19" t="s">
        <v>6984</v>
      </c>
      <c r="EHI19" t="s">
        <v>6984</v>
      </c>
      <c r="EHJ19" t="s">
        <v>6984</v>
      </c>
      <c r="EHK19" t="s">
        <v>6984</v>
      </c>
      <c r="EHL19" t="s">
        <v>6984</v>
      </c>
      <c r="EHM19" t="s">
        <v>6984</v>
      </c>
      <c r="EHN19" t="s">
        <v>6984</v>
      </c>
      <c r="EHO19" t="s">
        <v>6984</v>
      </c>
      <c r="EHP19" t="s">
        <v>6984</v>
      </c>
      <c r="EHQ19" t="s">
        <v>6984</v>
      </c>
      <c r="EHR19" t="s">
        <v>6984</v>
      </c>
      <c r="EHS19" t="s">
        <v>6984</v>
      </c>
      <c r="EHT19" t="s">
        <v>6984</v>
      </c>
      <c r="EHU19" t="s">
        <v>6984</v>
      </c>
      <c r="EHV19" t="s">
        <v>6984</v>
      </c>
      <c r="EHW19" t="s">
        <v>6984</v>
      </c>
      <c r="EHX19" t="s">
        <v>6984</v>
      </c>
      <c r="EHY19" t="s">
        <v>6984</v>
      </c>
      <c r="EHZ19" t="s">
        <v>6984</v>
      </c>
      <c r="EIA19" t="s">
        <v>6984</v>
      </c>
      <c r="EIB19" t="s">
        <v>6984</v>
      </c>
      <c r="EIC19" t="s">
        <v>6984</v>
      </c>
      <c r="EID19" t="s">
        <v>6984</v>
      </c>
      <c r="EIE19" t="s">
        <v>6984</v>
      </c>
      <c r="EIF19" t="s">
        <v>6984</v>
      </c>
      <c r="EIG19" t="s">
        <v>6984</v>
      </c>
      <c r="EIH19" t="s">
        <v>6984</v>
      </c>
      <c r="EII19" t="s">
        <v>6984</v>
      </c>
      <c r="EIJ19" t="s">
        <v>6984</v>
      </c>
      <c r="EIK19" t="s">
        <v>6984</v>
      </c>
      <c r="EIL19" t="s">
        <v>6984</v>
      </c>
      <c r="EIM19" t="s">
        <v>6984</v>
      </c>
      <c r="EIN19" t="s">
        <v>6984</v>
      </c>
      <c r="EIO19" t="s">
        <v>6984</v>
      </c>
      <c r="EIP19" t="s">
        <v>6984</v>
      </c>
      <c r="EIQ19" t="s">
        <v>6984</v>
      </c>
      <c r="EIR19" t="s">
        <v>6984</v>
      </c>
      <c r="EIS19" t="s">
        <v>6984</v>
      </c>
      <c r="EIT19" t="s">
        <v>6984</v>
      </c>
      <c r="EIU19" t="s">
        <v>6984</v>
      </c>
      <c r="EIV19" t="s">
        <v>6984</v>
      </c>
      <c r="EIW19" t="s">
        <v>6984</v>
      </c>
      <c r="EIX19" t="s">
        <v>6984</v>
      </c>
      <c r="EIY19" t="s">
        <v>6984</v>
      </c>
      <c r="EIZ19" t="s">
        <v>6984</v>
      </c>
      <c r="EJA19" t="s">
        <v>6984</v>
      </c>
      <c r="EJB19" t="s">
        <v>6984</v>
      </c>
      <c r="EJC19" t="s">
        <v>6984</v>
      </c>
      <c r="EJD19" t="s">
        <v>6984</v>
      </c>
      <c r="EJE19" t="s">
        <v>6984</v>
      </c>
      <c r="EJF19" t="s">
        <v>6984</v>
      </c>
      <c r="EJG19" t="s">
        <v>6984</v>
      </c>
      <c r="EJH19" t="s">
        <v>6984</v>
      </c>
      <c r="EJI19" t="s">
        <v>6984</v>
      </c>
      <c r="EJJ19" t="s">
        <v>6984</v>
      </c>
      <c r="EJK19" t="s">
        <v>6984</v>
      </c>
      <c r="EJL19" t="s">
        <v>6984</v>
      </c>
      <c r="EJM19" t="s">
        <v>6984</v>
      </c>
      <c r="EJN19" t="s">
        <v>6984</v>
      </c>
      <c r="EJO19" t="s">
        <v>6984</v>
      </c>
      <c r="EJP19" t="s">
        <v>6984</v>
      </c>
      <c r="EJQ19" t="s">
        <v>6984</v>
      </c>
      <c r="EJR19" t="s">
        <v>6984</v>
      </c>
      <c r="EJS19" t="s">
        <v>6984</v>
      </c>
      <c r="EJT19" t="s">
        <v>6984</v>
      </c>
      <c r="EJU19" t="s">
        <v>6984</v>
      </c>
      <c r="EJV19" t="s">
        <v>6984</v>
      </c>
      <c r="EJW19" t="s">
        <v>6984</v>
      </c>
      <c r="EJX19" t="s">
        <v>6984</v>
      </c>
      <c r="EJY19" t="s">
        <v>6984</v>
      </c>
      <c r="EJZ19" t="s">
        <v>6984</v>
      </c>
      <c r="EKA19" t="s">
        <v>6984</v>
      </c>
      <c r="EKB19" t="s">
        <v>6984</v>
      </c>
      <c r="EKC19" t="s">
        <v>6984</v>
      </c>
      <c r="EKD19" t="s">
        <v>6984</v>
      </c>
      <c r="EKE19" t="s">
        <v>6984</v>
      </c>
      <c r="EKF19" t="s">
        <v>6984</v>
      </c>
      <c r="EKG19" t="s">
        <v>6984</v>
      </c>
      <c r="EKH19" t="s">
        <v>6984</v>
      </c>
      <c r="EKI19" t="s">
        <v>6984</v>
      </c>
      <c r="EKJ19" t="s">
        <v>6984</v>
      </c>
      <c r="EKK19" t="s">
        <v>6984</v>
      </c>
      <c r="EKL19" t="s">
        <v>6984</v>
      </c>
      <c r="EKM19" t="s">
        <v>6984</v>
      </c>
      <c r="EKN19" t="s">
        <v>6984</v>
      </c>
      <c r="EKO19" t="s">
        <v>6984</v>
      </c>
      <c r="EKP19" t="s">
        <v>6984</v>
      </c>
      <c r="EKQ19" t="s">
        <v>6984</v>
      </c>
      <c r="EKR19" t="s">
        <v>6984</v>
      </c>
      <c r="EKS19" t="s">
        <v>6984</v>
      </c>
      <c r="EKT19" t="s">
        <v>6984</v>
      </c>
      <c r="EKU19" t="s">
        <v>6984</v>
      </c>
      <c r="EKV19" t="s">
        <v>6984</v>
      </c>
      <c r="EKW19" t="s">
        <v>6984</v>
      </c>
      <c r="EKX19" t="s">
        <v>6984</v>
      </c>
      <c r="EKY19" t="s">
        <v>6984</v>
      </c>
      <c r="EKZ19" t="s">
        <v>6984</v>
      </c>
      <c r="ELA19" t="s">
        <v>6984</v>
      </c>
      <c r="ELB19" t="s">
        <v>6984</v>
      </c>
      <c r="ELC19" t="s">
        <v>6984</v>
      </c>
      <c r="ELD19" t="s">
        <v>6984</v>
      </c>
      <c r="ELE19" t="s">
        <v>6984</v>
      </c>
      <c r="ELF19" t="s">
        <v>6984</v>
      </c>
      <c r="ELG19" t="s">
        <v>6984</v>
      </c>
      <c r="ELH19" t="s">
        <v>6984</v>
      </c>
      <c r="ELI19" t="s">
        <v>6984</v>
      </c>
      <c r="ELJ19" t="s">
        <v>6984</v>
      </c>
      <c r="ELK19" t="s">
        <v>6984</v>
      </c>
      <c r="ELL19" t="s">
        <v>6984</v>
      </c>
      <c r="ELM19" t="s">
        <v>6984</v>
      </c>
      <c r="ELN19" t="s">
        <v>6984</v>
      </c>
      <c r="ELO19" t="s">
        <v>6984</v>
      </c>
      <c r="ELP19" t="s">
        <v>6984</v>
      </c>
      <c r="ELQ19" t="s">
        <v>6984</v>
      </c>
      <c r="ELR19" t="s">
        <v>6984</v>
      </c>
      <c r="ELS19" t="s">
        <v>6984</v>
      </c>
      <c r="ELT19" t="s">
        <v>6984</v>
      </c>
      <c r="ELU19" t="s">
        <v>6984</v>
      </c>
      <c r="ELV19" t="s">
        <v>6984</v>
      </c>
      <c r="ELW19" t="s">
        <v>6984</v>
      </c>
      <c r="ELX19" t="s">
        <v>6984</v>
      </c>
      <c r="ELY19" t="s">
        <v>6984</v>
      </c>
      <c r="ELZ19" t="s">
        <v>6984</v>
      </c>
      <c r="EMA19" t="s">
        <v>6984</v>
      </c>
      <c r="EMB19" t="s">
        <v>6984</v>
      </c>
      <c r="EMC19" t="s">
        <v>6984</v>
      </c>
      <c r="EMD19" t="s">
        <v>6984</v>
      </c>
      <c r="EME19" t="s">
        <v>6984</v>
      </c>
      <c r="EMF19" t="s">
        <v>6984</v>
      </c>
      <c r="EMG19" t="s">
        <v>6984</v>
      </c>
      <c r="EMH19" t="s">
        <v>6984</v>
      </c>
      <c r="EMI19" t="s">
        <v>6984</v>
      </c>
      <c r="EMJ19" t="s">
        <v>6984</v>
      </c>
      <c r="EMK19" t="s">
        <v>6984</v>
      </c>
      <c r="EML19" t="s">
        <v>6984</v>
      </c>
      <c r="EMM19" t="s">
        <v>6984</v>
      </c>
      <c r="EMN19" t="s">
        <v>6984</v>
      </c>
      <c r="EMO19" t="s">
        <v>6984</v>
      </c>
      <c r="EMP19" t="s">
        <v>6984</v>
      </c>
      <c r="EMQ19" t="s">
        <v>6984</v>
      </c>
      <c r="EMR19" t="s">
        <v>6984</v>
      </c>
      <c r="EMS19" t="s">
        <v>6984</v>
      </c>
      <c r="EMT19" t="s">
        <v>6984</v>
      </c>
      <c r="EMU19" t="s">
        <v>6984</v>
      </c>
      <c r="EMV19" t="s">
        <v>6984</v>
      </c>
      <c r="EMW19" t="s">
        <v>6984</v>
      </c>
      <c r="EMX19" t="s">
        <v>6984</v>
      </c>
      <c r="EMY19" t="s">
        <v>6984</v>
      </c>
      <c r="EMZ19" t="s">
        <v>6984</v>
      </c>
      <c r="ENA19" t="s">
        <v>6984</v>
      </c>
      <c r="ENB19" t="s">
        <v>6984</v>
      </c>
      <c r="ENC19" t="s">
        <v>6984</v>
      </c>
      <c r="END19" t="s">
        <v>6984</v>
      </c>
      <c r="ENE19" t="s">
        <v>6984</v>
      </c>
      <c r="ENF19" t="s">
        <v>6984</v>
      </c>
      <c r="ENG19" t="s">
        <v>6984</v>
      </c>
      <c r="ENH19" t="s">
        <v>6984</v>
      </c>
      <c r="ENI19" t="s">
        <v>6984</v>
      </c>
      <c r="ENJ19" t="s">
        <v>6984</v>
      </c>
      <c r="ENK19" t="s">
        <v>6984</v>
      </c>
      <c r="ENL19" t="s">
        <v>6984</v>
      </c>
      <c r="ENM19" t="s">
        <v>6984</v>
      </c>
      <c r="ENN19" t="s">
        <v>6984</v>
      </c>
      <c r="ENO19" t="s">
        <v>6984</v>
      </c>
      <c r="ENP19" t="s">
        <v>6984</v>
      </c>
      <c r="ENQ19" t="s">
        <v>6984</v>
      </c>
      <c r="ENR19" t="s">
        <v>6984</v>
      </c>
      <c r="ENS19" t="s">
        <v>6984</v>
      </c>
      <c r="ENT19" t="s">
        <v>6984</v>
      </c>
      <c r="ENU19" t="s">
        <v>6984</v>
      </c>
      <c r="ENV19" t="s">
        <v>6984</v>
      </c>
      <c r="ENW19" t="s">
        <v>6984</v>
      </c>
      <c r="ENX19" t="s">
        <v>6984</v>
      </c>
      <c r="ENY19" t="s">
        <v>6984</v>
      </c>
      <c r="ENZ19" t="s">
        <v>6984</v>
      </c>
      <c r="EOA19" t="s">
        <v>6984</v>
      </c>
      <c r="EOB19" t="s">
        <v>6984</v>
      </c>
      <c r="EOC19" t="s">
        <v>6984</v>
      </c>
      <c r="EOD19" t="s">
        <v>6984</v>
      </c>
      <c r="EOE19" t="s">
        <v>6984</v>
      </c>
      <c r="EOF19" t="s">
        <v>6984</v>
      </c>
      <c r="EOG19" t="s">
        <v>6984</v>
      </c>
      <c r="EOH19" t="s">
        <v>6984</v>
      </c>
      <c r="EOI19" t="s">
        <v>6984</v>
      </c>
      <c r="EOJ19" t="s">
        <v>6984</v>
      </c>
      <c r="EOK19" t="s">
        <v>6984</v>
      </c>
      <c r="EOL19" t="s">
        <v>6984</v>
      </c>
      <c r="EOM19" t="s">
        <v>6984</v>
      </c>
      <c r="EON19" t="s">
        <v>6984</v>
      </c>
      <c r="EOO19" t="s">
        <v>6984</v>
      </c>
      <c r="EOP19" t="s">
        <v>6984</v>
      </c>
      <c r="EOQ19" t="s">
        <v>6984</v>
      </c>
      <c r="EOR19" t="s">
        <v>6984</v>
      </c>
      <c r="EOS19" t="s">
        <v>6984</v>
      </c>
      <c r="EOT19" t="s">
        <v>6984</v>
      </c>
      <c r="EOU19" t="s">
        <v>6984</v>
      </c>
      <c r="EOV19" t="s">
        <v>6984</v>
      </c>
      <c r="EOW19" t="s">
        <v>6984</v>
      </c>
      <c r="EOX19" t="s">
        <v>6984</v>
      </c>
      <c r="EOY19" t="s">
        <v>6984</v>
      </c>
      <c r="EOZ19" t="s">
        <v>6984</v>
      </c>
      <c r="EPA19" t="s">
        <v>6984</v>
      </c>
      <c r="EPB19" t="s">
        <v>6984</v>
      </c>
      <c r="EPC19" t="s">
        <v>6984</v>
      </c>
      <c r="EPD19" t="s">
        <v>6984</v>
      </c>
      <c r="EPE19" t="s">
        <v>6984</v>
      </c>
      <c r="EPF19" t="s">
        <v>6984</v>
      </c>
      <c r="EPG19" t="s">
        <v>6984</v>
      </c>
      <c r="EPH19" t="s">
        <v>6984</v>
      </c>
      <c r="EPI19" t="s">
        <v>6984</v>
      </c>
      <c r="EPJ19" t="s">
        <v>6984</v>
      </c>
      <c r="EPK19" t="s">
        <v>6984</v>
      </c>
      <c r="EPL19" t="s">
        <v>6984</v>
      </c>
      <c r="EPM19" t="s">
        <v>6984</v>
      </c>
      <c r="EPN19" t="s">
        <v>6984</v>
      </c>
      <c r="EPO19" t="s">
        <v>6984</v>
      </c>
      <c r="EPP19" t="s">
        <v>6984</v>
      </c>
      <c r="EPQ19" t="s">
        <v>6984</v>
      </c>
      <c r="EPR19" t="s">
        <v>6984</v>
      </c>
      <c r="EPS19" t="s">
        <v>6984</v>
      </c>
      <c r="EPT19" t="s">
        <v>6984</v>
      </c>
      <c r="EPU19" t="s">
        <v>6984</v>
      </c>
      <c r="EPV19" t="s">
        <v>6984</v>
      </c>
      <c r="EPW19" t="s">
        <v>6984</v>
      </c>
      <c r="EPX19" t="s">
        <v>6984</v>
      </c>
      <c r="EPY19" t="s">
        <v>6984</v>
      </c>
      <c r="EPZ19" t="s">
        <v>6984</v>
      </c>
      <c r="EQA19" t="s">
        <v>6984</v>
      </c>
      <c r="EQB19" t="s">
        <v>6984</v>
      </c>
      <c r="EQC19" t="s">
        <v>6984</v>
      </c>
      <c r="EQD19" t="s">
        <v>6984</v>
      </c>
      <c r="EQE19" t="s">
        <v>6984</v>
      </c>
      <c r="EQF19" t="s">
        <v>6984</v>
      </c>
      <c r="EQG19" t="s">
        <v>6984</v>
      </c>
      <c r="EQH19" t="s">
        <v>6984</v>
      </c>
      <c r="EQI19" t="s">
        <v>6984</v>
      </c>
      <c r="EQJ19" t="s">
        <v>6984</v>
      </c>
      <c r="EQK19" t="s">
        <v>6984</v>
      </c>
      <c r="EQL19" t="s">
        <v>6984</v>
      </c>
      <c r="EQM19" t="s">
        <v>6984</v>
      </c>
      <c r="EQN19" t="s">
        <v>6984</v>
      </c>
      <c r="EQO19" t="s">
        <v>6984</v>
      </c>
      <c r="EQP19" t="s">
        <v>6984</v>
      </c>
      <c r="EQQ19" t="s">
        <v>6984</v>
      </c>
      <c r="EQR19" t="s">
        <v>6984</v>
      </c>
      <c r="EQS19" t="s">
        <v>6984</v>
      </c>
      <c r="EQT19" t="s">
        <v>6984</v>
      </c>
      <c r="EQU19" t="s">
        <v>6984</v>
      </c>
      <c r="EQV19" t="s">
        <v>6984</v>
      </c>
      <c r="EQW19" t="s">
        <v>6984</v>
      </c>
      <c r="EQX19" t="s">
        <v>6984</v>
      </c>
      <c r="EQY19" t="s">
        <v>6984</v>
      </c>
      <c r="EQZ19" t="s">
        <v>6984</v>
      </c>
      <c r="ERA19" t="s">
        <v>6984</v>
      </c>
      <c r="ERB19" t="s">
        <v>6984</v>
      </c>
      <c r="ERC19" t="s">
        <v>6984</v>
      </c>
      <c r="ERD19" t="s">
        <v>6984</v>
      </c>
      <c r="ERE19" t="s">
        <v>6984</v>
      </c>
      <c r="ERF19" t="s">
        <v>6984</v>
      </c>
      <c r="ERG19" t="s">
        <v>6984</v>
      </c>
      <c r="ERH19" t="s">
        <v>6984</v>
      </c>
      <c r="ERI19" t="s">
        <v>6984</v>
      </c>
      <c r="ERJ19" t="s">
        <v>6984</v>
      </c>
      <c r="ERK19" t="s">
        <v>6984</v>
      </c>
      <c r="ERL19" t="s">
        <v>6984</v>
      </c>
      <c r="ERM19" t="s">
        <v>6984</v>
      </c>
      <c r="ERN19" t="s">
        <v>6984</v>
      </c>
      <c r="ERO19" t="s">
        <v>6984</v>
      </c>
      <c r="ERP19" t="s">
        <v>6984</v>
      </c>
      <c r="ERQ19" t="s">
        <v>6984</v>
      </c>
      <c r="ERR19" t="s">
        <v>6984</v>
      </c>
      <c r="ERS19" t="s">
        <v>6984</v>
      </c>
      <c r="ERT19" t="s">
        <v>6984</v>
      </c>
      <c r="ERU19" t="s">
        <v>6984</v>
      </c>
      <c r="ERV19" t="s">
        <v>6984</v>
      </c>
      <c r="ERW19" t="s">
        <v>6984</v>
      </c>
      <c r="ERX19" t="s">
        <v>6984</v>
      </c>
      <c r="ERY19" t="s">
        <v>6984</v>
      </c>
      <c r="ERZ19" t="s">
        <v>6984</v>
      </c>
      <c r="ESA19" t="s">
        <v>6984</v>
      </c>
      <c r="ESB19" t="s">
        <v>6984</v>
      </c>
      <c r="ESC19" t="s">
        <v>6984</v>
      </c>
      <c r="ESD19" t="s">
        <v>6984</v>
      </c>
      <c r="ESE19" t="s">
        <v>6984</v>
      </c>
      <c r="ESF19" t="s">
        <v>6984</v>
      </c>
      <c r="ESG19" t="s">
        <v>6984</v>
      </c>
      <c r="ESH19" t="s">
        <v>6984</v>
      </c>
      <c r="ESI19" t="s">
        <v>6984</v>
      </c>
      <c r="ESJ19" t="s">
        <v>6984</v>
      </c>
      <c r="ESK19" t="s">
        <v>6984</v>
      </c>
      <c r="ESL19" t="s">
        <v>6984</v>
      </c>
      <c r="ESM19" t="s">
        <v>6984</v>
      </c>
      <c r="ESN19" t="s">
        <v>6984</v>
      </c>
      <c r="ESO19" t="s">
        <v>6984</v>
      </c>
      <c r="ESP19" t="s">
        <v>6984</v>
      </c>
      <c r="ESQ19" t="s">
        <v>6984</v>
      </c>
      <c r="ESR19" t="s">
        <v>6984</v>
      </c>
      <c r="ESS19" t="s">
        <v>6984</v>
      </c>
      <c r="EST19" t="s">
        <v>6984</v>
      </c>
      <c r="ESU19" t="s">
        <v>6984</v>
      </c>
      <c r="ESV19" t="s">
        <v>6984</v>
      </c>
      <c r="ESW19" t="s">
        <v>6984</v>
      </c>
      <c r="ESX19" t="s">
        <v>6984</v>
      </c>
      <c r="ESY19" t="s">
        <v>6984</v>
      </c>
      <c r="ESZ19" t="s">
        <v>6984</v>
      </c>
      <c r="ETA19" t="s">
        <v>6984</v>
      </c>
      <c r="ETB19" t="s">
        <v>6984</v>
      </c>
      <c r="ETC19" t="s">
        <v>6984</v>
      </c>
      <c r="ETD19" t="s">
        <v>6984</v>
      </c>
      <c r="ETE19" t="s">
        <v>6984</v>
      </c>
      <c r="ETF19" t="s">
        <v>6984</v>
      </c>
      <c r="ETG19" t="s">
        <v>6984</v>
      </c>
      <c r="ETH19" t="s">
        <v>6984</v>
      </c>
      <c r="ETI19" t="s">
        <v>6984</v>
      </c>
      <c r="ETJ19" t="s">
        <v>6984</v>
      </c>
      <c r="ETK19" t="s">
        <v>6984</v>
      </c>
      <c r="ETL19" t="s">
        <v>6984</v>
      </c>
      <c r="ETM19" t="s">
        <v>6984</v>
      </c>
      <c r="ETN19" t="s">
        <v>6984</v>
      </c>
      <c r="ETO19" t="s">
        <v>6984</v>
      </c>
      <c r="ETP19" t="s">
        <v>6984</v>
      </c>
      <c r="ETQ19" t="s">
        <v>6984</v>
      </c>
      <c r="ETR19" t="s">
        <v>6984</v>
      </c>
      <c r="ETS19" t="s">
        <v>6984</v>
      </c>
      <c r="ETT19" t="s">
        <v>6984</v>
      </c>
      <c r="ETU19" t="s">
        <v>6984</v>
      </c>
      <c r="ETV19" t="s">
        <v>6984</v>
      </c>
      <c r="ETW19" t="s">
        <v>6984</v>
      </c>
      <c r="ETX19" t="s">
        <v>6984</v>
      </c>
      <c r="ETY19" t="s">
        <v>6984</v>
      </c>
      <c r="ETZ19" t="s">
        <v>6984</v>
      </c>
      <c r="EUA19" t="s">
        <v>6984</v>
      </c>
      <c r="EUB19" t="s">
        <v>6984</v>
      </c>
      <c r="EUC19" t="s">
        <v>6984</v>
      </c>
      <c r="EUD19" t="s">
        <v>6984</v>
      </c>
      <c r="EUE19" t="s">
        <v>6984</v>
      </c>
      <c r="EUF19" t="s">
        <v>6984</v>
      </c>
      <c r="EUG19" t="s">
        <v>6984</v>
      </c>
      <c r="EUH19" t="s">
        <v>6984</v>
      </c>
      <c r="EUI19" t="s">
        <v>6984</v>
      </c>
      <c r="EUJ19" t="s">
        <v>6984</v>
      </c>
      <c r="EUK19" t="s">
        <v>6984</v>
      </c>
      <c r="EUL19" t="s">
        <v>6984</v>
      </c>
      <c r="EUM19" t="s">
        <v>6984</v>
      </c>
      <c r="EUN19" t="s">
        <v>6984</v>
      </c>
      <c r="EUO19" t="s">
        <v>6984</v>
      </c>
      <c r="EUP19" t="s">
        <v>6984</v>
      </c>
      <c r="EUQ19" t="s">
        <v>6984</v>
      </c>
      <c r="EUR19" t="s">
        <v>6984</v>
      </c>
      <c r="EUS19" t="s">
        <v>6984</v>
      </c>
      <c r="EUT19" t="s">
        <v>6984</v>
      </c>
      <c r="EUU19" t="s">
        <v>6984</v>
      </c>
      <c r="EUV19" t="s">
        <v>6984</v>
      </c>
      <c r="EUW19" t="s">
        <v>6984</v>
      </c>
      <c r="EUX19" t="s">
        <v>6984</v>
      </c>
      <c r="EUY19" t="s">
        <v>6984</v>
      </c>
      <c r="EUZ19" t="s">
        <v>6984</v>
      </c>
      <c r="EVA19" t="s">
        <v>6984</v>
      </c>
      <c r="EVB19" t="s">
        <v>6984</v>
      </c>
      <c r="EVC19" t="s">
        <v>6984</v>
      </c>
      <c r="EVD19" t="s">
        <v>6984</v>
      </c>
      <c r="EVE19" t="s">
        <v>6984</v>
      </c>
      <c r="EVF19" t="s">
        <v>6984</v>
      </c>
      <c r="EVG19" t="s">
        <v>6984</v>
      </c>
      <c r="EVH19" t="s">
        <v>6984</v>
      </c>
      <c r="EVI19" t="s">
        <v>6984</v>
      </c>
      <c r="EVJ19" t="s">
        <v>6984</v>
      </c>
      <c r="EVK19" t="s">
        <v>6984</v>
      </c>
      <c r="EVL19" t="s">
        <v>6984</v>
      </c>
      <c r="EVM19" t="s">
        <v>6984</v>
      </c>
      <c r="EVN19" t="s">
        <v>6984</v>
      </c>
      <c r="EVO19" t="s">
        <v>6984</v>
      </c>
      <c r="EVP19" t="s">
        <v>6984</v>
      </c>
      <c r="EVQ19" t="s">
        <v>6984</v>
      </c>
      <c r="EVR19" t="s">
        <v>6984</v>
      </c>
      <c r="EVS19" t="s">
        <v>6984</v>
      </c>
      <c r="EVT19" t="s">
        <v>6984</v>
      </c>
      <c r="EVU19" t="s">
        <v>6984</v>
      </c>
      <c r="EVV19" t="s">
        <v>6984</v>
      </c>
      <c r="EVW19" t="s">
        <v>6984</v>
      </c>
      <c r="EVX19" t="s">
        <v>6984</v>
      </c>
      <c r="EVY19" t="s">
        <v>6984</v>
      </c>
      <c r="EVZ19" t="s">
        <v>6984</v>
      </c>
      <c r="EWA19" t="s">
        <v>6984</v>
      </c>
      <c r="EWB19" t="s">
        <v>6984</v>
      </c>
      <c r="EWC19" t="s">
        <v>6984</v>
      </c>
      <c r="EWD19" t="s">
        <v>6984</v>
      </c>
      <c r="EWE19" t="s">
        <v>6984</v>
      </c>
      <c r="EWF19" t="s">
        <v>6984</v>
      </c>
      <c r="EWG19" t="s">
        <v>6984</v>
      </c>
      <c r="EWH19" t="s">
        <v>6984</v>
      </c>
      <c r="EWI19" t="s">
        <v>6984</v>
      </c>
      <c r="EWJ19" t="s">
        <v>6984</v>
      </c>
      <c r="EWK19" t="s">
        <v>6984</v>
      </c>
      <c r="EWL19" t="s">
        <v>6984</v>
      </c>
      <c r="EWM19" t="s">
        <v>6984</v>
      </c>
      <c r="EWN19" t="s">
        <v>6984</v>
      </c>
      <c r="EWO19" t="s">
        <v>6984</v>
      </c>
      <c r="EWP19" t="s">
        <v>6984</v>
      </c>
      <c r="EWQ19" t="s">
        <v>6984</v>
      </c>
      <c r="EWR19" t="s">
        <v>6984</v>
      </c>
      <c r="EWS19" t="s">
        <v>6984</v>
      </c>
      <c r="EWT19" t="s">
        <v>6984</v>
      </c>
      <c r="EWU19" t="s">
        <v>6984</v>
      </c>
      <c r="EWV19" t="s">
        <v>6984</v>
      </c>
      <c r="EWW19" t="s">
        <v>6984</v>
      </c>
      <c r="EWX19" t="s">
        <v>6984</v>
      </c>
      <c r="EWY19" t="s">
        <v>6984</v>
      </c>
      <c r="EWZ19" t="s">
        <v>6984</v>
      </c>
      <c r="EXA19" t="s">
        <v>6984</v>
      </c>
      <c r="EXB19" t="s">
        <v>6984</v>
      </c>
      <c r="EXC19" t="s">
        <v>6984</v>
      </c>
      <c r="EXD19" t="s">
        <v>6984</v>
      </c>
      <c r="EXE19" t="s">
        <v>6984</v>
      </c>
      <c r="EXF19" t="s">
        <v>6984</v>
      </c>
      <c r="EXG19" t="s">
        <v>6984</v>
      </c>
      <c r="EXH19" t="s">
        <v>6984</v>
      </c>
      <c r="EXI19" t="s">
        <v>6984</v>
      </c>
      <c r="EXJ19" t="s">
        <v>6984</v>
      </c>
      <c r="EXK19" t="s">
        <v>6984</v>
      </c>
      <c r="EXL19" t="s">
        <v>6984</v>
      </c>
      <c r="EXM19" t="s">
        <v>6984</v>
      </c>
      <c r="EXN19" t="s">
        <v>6984</v>
      </c>
      <c r="EXO19" t="s">
        <v>6984</v>
      </c>
      <c r="EXP19" t="s">
        <v>6984</v>
      </c>
      <c r="EXQ19" t="s">
        <v>6984</v>
      </c>
      <c r="EXR19" t="s">
        <v>6984</v>
      </c>
      <c r="EXS19" t="s">
        <v>6984</v>
      </c>
      <c r="EXT19" t="s">
        <v>6984</v>
      </c>
      <c r="EXU19" t="s">
        <v>6984</v>
      </c>
      <c r="EXV19" t="s">
        <v>6984</v>
      </c>
      <c r="EXW19" t="s">
        <v>6984</v>
      </c>
      <c r="EXX19" t="s">
        <v>6984</v>
      </c>
      <c r="EXY19" t="s">
        <v>6984</v>
      </c>
      <c r="EXZ19" t="s">
        <v>6984</v>
      </c>
      <c r="EYA19" t="s">
        <v>6984</v>
      </c>
      <c r="EYB19" t="s">
        <v>6984</v>
      </c>
      <c r="EYC19" t="s">
        <v>6984</v>
      </c>
      <c r="EYD19" t="s">
        <v>6984</v>
      </c>
      <c r="EYE19" t="s">
        <v>6984</v>
      </c>
      <c r="EYF19" t="s">
        <v>6984</v>
      </c>
      <c r="EYG19" t="s">
        <v>6984</v>
      </c>
      <c r="EYH19" t="s">
        <v>6984</v>
      </c>
      <c r="EYI19" t="s">
        <v>6984</v>
      </c>
      <c r="EYJ19" t="s">
        <v>6984</v>
      </c>
      <c r="EYK19" t="s">
        <v>6984</v>
      </c>
      <c r="EYL19" t="s">
        <v>6984</v>
      </c>
      <c r="EYM19" t="s">
        <v>6984</v>
      </c>
      <c r="EYN19" t="s">
        <v>6984</v>
      </c>
      <c r="EYO19" t="s">
        <v>6984</v>
      </c>
      <c r="EYP19" t="s">
        <v>6984</v>
      </c>
      <c r="EYQ19" t="s">
        <v>6984</v>
      </c>
      <c r="EYR19" t="s">
        <v>6984</v>
      </c>
      <c r="EYS19" t="s">
        <v>6984</v>
      </c>
      <c r="EYT19" t="s">
        <v>6984</v>
      </c>
      <c r="EYU19" t="s">
        <v>6984</v>
      </c>
      <c r="EYV19" t="s">
        <v>6984</v>
      </c>
      <c r="EYW19" t="s">
        <v>6984</v>
      </c>
      <c r="EYX19" t="s">
        <v>6984</v>
      </c>
      <c r="EYY19" t="s">
        <v>6984</v>
      </c>
      <c r="EYZ19" t="s">
        <v>6984</v>
      </c>
      <c r="EZA19" t="s">
        <v>6984</v>
      </c>
      <c r="EZB19" t="s">
        <v>6984</v>
      </c>
      <c r="EZC19" t="s">
        <v>6984</v>
      </c>
      <c r="EZD19" t="s">
        <v>6984</v>
      </c>
      <c r="EZE19" t="s">
        <v>6984</v>
      </c>
      <c r="EZF19" t="s">
        <v>6984</v>
      </c>
      <c r="EZG19" t="s">
        <v>6984</v>
      </c>
      <c r="EZH19" t="s">
        <v>6984</v>
      </c>
      <c r="EZI19" t="s">
        <v>6984</v>
      </c>
      <c r="EZJ19" t="s">
        <v>6984</v>
      </c>
      <c r="EZK19" t="s">
        <v>6984</v>
      </c>
      <c r="EZL19" t="s">
        <v>6984</v>
      </c>
      <c r="EZM19" t="s">
        <v>6984</v>
      </c>
      <c r="EZN19" t="s">
        <v>6984</v>
      </c>
      <c r="EZO19" t="s">
        <v>6984</v>
      </c>
      <c r="EZP19" t="s">
        <v>6984</v>
      </c>
      <c r="EZQ19" t="s">
        <v>6984</v>
      </c>
      <c r="EZR19" t="s">
        <v>6984</v>
      </c>
      <c r="EZS19" t="s">
        <v>6984</v>
      </c>
      <c r="EZT19" t="s">
        <v>6984</v>
      </c>
      <c r="EZU19" t="s">
        <v>6984</v>
      </c>
      <c r="EZV19" t="s">
        <v>6984</v>
      </c>
      <c r="EZW19" t="s">
        <v>6984</v>
      </c>
      <c r="EZX19" t="s">
        <v>6984</v>
      </c>
      <c r="EZY19" t="s">
        <v>6984</v>
      </c>
      <c r="EZZ19" t="s">
        <v>6984</v>
      </c>
      <c r="FAA19" t="s">
        <v>6984</v>
      </c>
      <c r="FAB19" t="s">
        <v>6984</v>
      </c>
      <c r="FAC19" t="s">
        <v>6984</v>
      </c>
      <c r="FAD19" t="s">
        <v>6984</v>
      </c>
      <c r="FAE19" t="s">
        <v>6984</v>
      </c>
      <c r="FAF19" t="s">
        <v>6984</v>
      </c>
      <c r="FAG19" t="s">
        <v>6984</v>
      </c>
      <c r="FAH19" t="s">
        <v>6984</v>
      </c>
      <c r="FAI19" t="s">
        <v>6984</v>
      </c>
      <c r="FAJ19" t="s">
        <v>6984</v>
      </c>
      <c r="FAK19" t="s">
        <v>6984</v>
      </c>
      <c r="FAL19" t="s">
        <v>6984</v>
      </c>
      <c r="FAM19" t="s">
        <v>6984</v>
      </c>
      <c r="FAN19" t="s">
        <v>6984</v>
      </c>
      <c r="FAO19" t="s">
        <v>6984</v>
      </c>
      <c r="FAP19" t="s">
        <v>6984</v>
      </c>
      <c r="FAQ19" t="s">
        <v>6984</v>
      </c>
      <c r="FAR19" t="s">
        <v>6984</v>
      </c>
      <c r="FAS19" t="s">
        <v>6984</v>
      </c>
      <c r="FAT19" t="s">
        <v>6984</v>
      </c>
      <c r="FAU19" t="s">
        <v>6984</v>
      </c>
      <c r="FAV19" t="s">
        <v>6984</v>
      </c>
      <c r="FAW19" t="s">
        <v>6984</v>
      </c>
      <c r="FAX19" t="s">
        <v>6984</v>
      </c>
      <c r="FAY19" t="s">
        <v>6984</v>
      </c>
      <c r="FAZ19" t="s">
        <v>6984</v>
      </c>
      <c r="FBA19" t="s">
        <v>6984</v>
      </c>
      <c r="FBB19" t="s">
        <v>6984</v>
      </c>
      <c r="FBC19" t="s">
        <v>6984</v>
      </c>
      <c r="FBD19" t="s">
        <v>6984</v>
      </c>
      <c r="FBE19" t="s">
        <v>6984</v>
      </c>
      <c r="FBF19" t="s">
        <v>6984</v>
      </c>
      <c r="FBG19" t="s">
        <v>6984</v>
      </c>
      <c r="FBH19" t="s">
        <v>6984</v>
      </c>
      <c r="FBI19" t="s">
        <v>6984</v>
      </c>
      <c r="FBJ19" t="s">
        <v>6984</v>
      </c>
      <c r="FBK19" t="s">
        <v>6984</v>
      </c>
      <c r="FBL19" t="s">
        <v>6984</v>
      </c>
      <c r="FBM19" t="s">
        <v>6984</v>
      </c>
      <c r="FBN19" t="s">
        <v>6984</v>
      </c>
      <c r="FBO19" t="s">
        <v>6984</v>
      </c>
      <c r="FBP19" t="s">
        <v>6984</v>
      </c>
      <c r="FBQ19" t="s">
        <v>6984</v>
      </c>
      <c r="FBR19" t="s">
        <v>6984</v>
      </c>
      <c r="FBS19" t="s">
        <v>6984</v>
      </c>
      <c r="FBT19" t="s">
        <v>6984</v>
      </c>
      <c r="FBU19" t="s">
        <v>6984</v>
      </c>
      <c r="FBV19" t="s">
        <v>6984</v>
      </c>
      <c r="FBW19" t="s">
        <v>6984</v>
      </c>
      <c r="FBX19" t="s">
        <v>6984</v>
      </c>
      <c r="FBY19" t="s">
        <v>6984</v>
      </c>
      <c r="FBZ19" t="s">
        <v>6984</v>
      </c>
      <c r="FCA19" t="s">
        <v>6984</v>
      </c>
      <c r="FCB19" t="s">
        <v>6984</v>
      </c>
      <c r="FCC19" t="s">
        <v>6984</v>
      </c>
      <c r="FCD19" t="s">
        <v>6984</v>
      </c>
      <c r="FCE19" t="s">
        <v>6984</v>
      </c>
      <c r="FCF19" t="s">
        <v>6984</v>
      </c>
      <c r="FCG19" t="s">
        <v>6984</v>
      </c>
      <c r="FCH19" t="s">
        <v>6984</v>
      </c>
      <c r="FCI19" t="s">
        <v>6984</v>
      </c>
      <c r="FCJ19" t="s">
        <v>6984</v>
      </c>
      <c r="FCK19" t="s">
        <v>6984</v>
      </c>
      <c r="FCL19" t="s">
        <v>6984</v>
      </c>
      <c r="FCM19" t="s">
        <v>6984</v>
      </c>
      <c r="FCN19" t="s">
        <v>6984</v>
      </c>
      <c r="FCO19" t="s">
        <v>6984</v>
      </c>
      <c r="FCP19" t="s">
        <v>6984</v>
      </c>
      <c r="FCQ19" t="s">
        <v>6984</v>
      </c>
      <c r="FCR19" t="s">
        <v>6984</v>
      </c>
      <c r="FCS19" t="s">
        <v>6984</v>
      </c>
      <c r="FCT19" t="s">
        <v>6984</v>
      </c>
      <c r="FCU19" t="s">
        <v>6984</v>
      </c>
      <c r="FCV19" t="s">
        <v>6984</v>
      </c>
      <c r="FCW19" t="s">
        <v>6984</v>
      </c>
      <c r="FCX19" t="s">
        <v>6984</v>
      </c>
      <c r="FCY19" t="s">
        <v>6984</v>
      </c>
      <c r="FCZ19" t="s">
        <v>6984</v>
      </c>
      <c r="FDA19" t="s">
        <v>6984</v>
      </c>
      <c r="FDB19" t="s">
        <v>6984</v>
      </c>
      <c r="FDC19" t="s">
        <v>6984</v>
      </c>
      <c r="FDD19" t="s">
        <v>6984</v>
      </c>
      <c r="FDE19" t="s">
        <v>6984</v>
      </c>
      <c r="FDF19" t="s">
        <v>6984</v>
      </c>
      <c r="FDG19" t="s">
        <v>6984</v>
      </c>
      <c r="FDH19" t="s">
        <v>6984</v>
      </c>
      <c r="FDI19" t="s">
        <v>6984</v>
      </c>
      <c r="FDJ19" t="s">
        <v>6984</v>
      </c>
      <c r="FDK19" t="s">
        <v>6984</v>
      </c>
      <c r="FDL19" t="s">
        <v>6984</v>
      </c>
      <c r="FDM19" t="s">
        <v>6984</v>
      </c>
      <c r="FDN19" t="s">
        <v>6984</v>
      </c>
      <c r="FDO19" t="s">
        <v>6984</v>
      </c>
      <c r="FDP19" t="s">
        <v>6984</v>
      </c>
      <c r="FDQ19" t="s">
        <v>6984</v>
      </c>
      <c r="FDR19" t="s">
        <v>6984</v>
      </c>
      <c r="FDS19" t="s">
        <v>6984</v>
      </c>
      <c r="FDT19" t="s">
        <v>6984</v>
      </c>
      <c r="FDU19" t="s">
        <v>6984</v>
      </c>
      <c r="FDV19" t="s">
        <v>6984</v>
      </c>
      <c r="FDW19" t="s">
        <v>6984</v>
      </c>
      <c r="FDX19" t="s">
        <v>6984</v>
      </c>
      <c r="FDY19" t="s">
        <v>6984</v>
      </c>
      <c r="FDZ19" t="s">
        <v>6984</v>
      </c>
      <c r="FEA19" t="s">
        <v>6984</v>
      </c>
      <c r="FEB19" t="s">
        <v>6984</v>
      </c>
      <c r="FEC19" t="s">
        <v>6984</v>
      </c>
      <c r="FED19" t="s">
        <v>6984</v>
      </c>
      <c r="FEE19" t="s">
        <v>6984</v>
      </c>
      <c r="FEF19" t="s">
        <v>6984</v>
      </c>
      <c r="FEG19" t="s">
        <v>6984</v>
      </c>
      <c r="FEH19" t="s">
        <v>6984</v>
      </c>
      <c r="FEI19" t="s">
        <v>6984</v>
      </c>
      <c r="FEJ19" t="s">
        <v>6984</v>
      </c>
      <c r="FEK19" t="s">
        <v>6984</v>
      </c>
      <c r="FEL19" t="s">
        <v>6984</v>
      </c>
      <c r="FEM19" t="s">
        <v>6984</v>
      </c>
      <c r="FEN19" t="s">
        <v>6984</v>
      </c>
      <c r="FEO19" t="s">
        <v>6984</v>
      </c>
      <c r="FEP19" t="s">
        <v>6984</v>
      </c>
      <c r="FEQ19" t="s">
        <v>6984</v>
      </c>
      <c r="FER19" t="s">
        <v>6984</v>
      </c>
      <c r="FES19" t="s">
        <v>6984</v>
      </c>
      <c r="FET19" t="s">
        <v>6984</v>
      </c>
      <c r="FEU19" t="s">
        <v>6984</v>
      </c>
      <c r="FEV19" t="s">
        <v>6984</v>
      </c>
      <c r="FEW19" t="s">
        <v>6984</v>
      </c>
      <c r="FEX19" t="s">
        <v>6984</v>
      </c>
      <c r="FEY19" t="s">
        <v>6984</v>
      </c>
      <c r="FEZ19" t="s">
        <v>6984</v>
      </c>
      <c r="FFA19" t="s">
        <v>6984</v>
      </c>
      <c r="FFB19" t="s">
        <v>6984</v>
      </c>
      <c r="FFC19" t="s">
        <v>6984</v>
      </c>
      <c r="FFD19" t="s">
        <v>6984</v>
      </c>
      <c r="FFE19" t="s">
        <v>6984</v>
      </c>
      <c r="FFF19" t="s">
        <v>6984</v>
      </c>
      <c r="FFG19" t="s">
        <v>6984</v>
      </c>
      <c r="FFH19" t="s">
        <v>6984</v>
      </c>
      <c r="FFI19" t="s">
        <v>6984</v>
      </c>
      <c r="FFJ19" t="s">
        <v>6984</v>
      </c>
      <c r="FFK19" t="s">
        <v>6984</v>
      </c>
      <c r="FFL19" t="s">
        <v>6984</v>
      </c>
      <c r="FFM19" t="s">
        <v>6984</v>
      </c>
      <c r="FFN19" t="s">
        <v>6984</v>
      </c>
      <c r="FFO19" t="s">
        <v>6984</v>
      </c>
      <c r="FFP19" t="s">
        <v>6984</v>
      </c>
      <c r="FFQ19" t="s">
        <v>6984</v>
      </c>
      <c r="FFR19" t="s">
        <v>6984</v>
      </c>
      <c r="FFS19" t="s">
        <v>6984</v>
      </c>
      <c r="FFT19" t="s">
        <v>6984</v>
      </c>
      <c r="FFU19" t="s">
        <v>6984</v>
      </c>
      <c r="FFV19" t="s">
        <v>6984</v>
      </c>
      <c r="FFW19" t="s">
        <v>6984</v>
      </c>
      <c r="FFX19" t="s">
        <v>6984</v>
      </c>
      <c r="FFY19" t="s">
        <v>6984</v>
      </c>
      <c r="FFZ19" t="s">
        <v>6984</v>
      </c>
      <c r="FGA19" t="s">
        <v>6984</v>
      </c>
      <c r="FGB19" t="s">
        <v>6984</v>
      </c>
      <c r="FGC19" t="s">
        <v>6984</v>
      </c>
      <c r="FGD19" t="s">
        <v>6984</v>
      </c>
      <c r="FGE19" t="s">
        <v>6984</v>
      </c>
      <c r="FGF19" t="s">
        <v>6984</v>
      </c>
      <c r="FGG19" t="s">
        <v>6984</v>
      </c>
      <c r="FGH19" t="s">
        <v>6984</v>
      </c>
      <c r="FGI19" t="s">
        <v>6984</v>
      </c>
      <c r="FGJ19" t="s">
        <v>6984</v>
      </c>
      <c r="FGK19" t="s">
        <v>6984</v>
      </c>
      <c r="FGL19" t="s">
        <v>6984</v>
      </c>
      <c r="FGM19" t="s">
        <v>6984</v>
      </c>
      <c r="FGN19" t="s">
        <v>6984</v>
      </c>
      <c r="FGO19" t="s">
        <v>6984</v>
      </c>
      <c r="FGP19" t="s">
        <v>6984</v>
      </c>
      <c r="FGQ19" t="s">
        <v>6984</v>
      </c>
      <c r="FGR19" t="s">
        <v>6984</v>
      </c>
      <c r="FGS19" t="s">
        <v>6984</v>
      </c>
      <c r="FGT19" t="s">
        <v>6984</v>
      </c>
      <c r="FGU19" t="s">
        <v>6984</v>
      </c>
      <c r="FGV19" t="s">
        <v>6984</v>
      </c>
      <c r="FGW19" t="s">
        <v>6984</v>
      </c>
      <c r="FGX19" t="s">
        <v>6984</v>
      </c>
      <c r="FGY19" t="s">
        <v>6984</v>
      </c>
      <c r="FGZ19" t="s">
        <v>6984</v>
      </c>
      <c r="FHA19" t="s">
        <v>6984</v>
      </c>
      <c r="FHB19" t="s">
        <v>6984</v>
      </c>
      <c r="FHC19" t="s">
        <v>6984</v>
      </c>
      <c r="FHD19" t="s">
        <v>6984</v>
      </c>
      <c r="FHE19" t="s">
        <v>6984</v>
      </c>
      <c r="FHF19" t="s">
        <v>6984</v>
      </c>
      <c r="FHG19" t="s">
        <v>6984</v>
      </c>
      <c r="FHH19" t="s">
        <v>6984</v>
      </c>
      <c r="FHI19" t="s">
        <v>6984</v>
      </c>
      <c r="FHJ19" t="s">
        <v>6984</v>
      </c>
      <c r="FHK19" t="s">
        <v>6984</v>
      </c>
      <c r="FHL19" t="s">
        <v>6984</v>
      </c>
      <c r="FHM19" t="s">
        <v>6984</v>
      </c>
      <c r="FHN19" t="s">
        <v>6984</v>
      </c>
      <c r="FHO19" t="s">
        <v>6984</v>
      </c>
      <c r="FHP19" t="s">
        <v>6984</v>
      </c>
      <c r="FHQ19" t="s">
        <v>6984</v>
      </c>
      <c r="FHR19" t="s">
        <v>6984</v>
      </c>
      <c r="FHS19" t="s">
        <v>6984</v>
      </c>
      <c r="FHT19" t="s">
        <v>6984</v>
      </c>
      <c r="FHU19" t="s">
        <v>6984</v>
      </c>
      <c r="FHV19" t="s">
        <v>6984</v>
      </c>
      <c r="FHW19" t="s">
        <v>6984</v>
      </c>
      <c r="FHX19" t="s">
        <v>6984</v>
      </c>
      <c r="FHY19" t="s">
        <v>6984</v>
      </c>
      <c r="FHZ19" t="s">
        <v>6984</v>
      </c>
      <c r="FIA19" t="s">
        <v>6984</v>
      </c>
      <c r="FIB19" t="s">
        <v>6984</v>
      </c>
      <c r="FIC19" t="s">
        <v>6984</v>
      </c>
      <c r="FID19" t="s">
        <v>6984</v>
      </c>
      <c r="FIE19" t="s">
        <v>6984</v>
      </c>
      <c r="FIF19" t="s">
        <v>6984</v>
      </c>
      <c r="FIG19" t="s">
        <v>6984</v>
      </c>
      <c r="FIH19" t="s">
        <v>6984</v>
      </c>
      <c r="FII19" t="s">
        <v>6984</v>
      </c>
      <c r="FIJ19" t="s">
        <v>6984</v>
      </c>
      <c r="FIK19" t="s">
        <v>6984</v>
      </c>
      <c r="FIL19" t="s">
        <v>6984</v>
      </c>
      <c r="FIM19" t="s">
        <v>6984</v>
      </c>
      <c r="FIN19" t="s">
        <v>6984</v>
      </c>
      <c r="FIO19" t="s">
        <v>6984</v>
      </c>
      <c r="FIP19" t="s">
        <v>6984</v>
      </c>
      <c r="FIQ19" t="s">
        <v>6984</v>
      </c>
      <c r="FIR19" t="s">
        <v>6984</v>
      </c>
      <c r="FIS19" t="s">
        <v>6984</v>
      </c>
      <c r="FIT19" t="s">
        <v>6984</v>
      </c>
      <c r="FIU19" t="s">
        <v>6984</v>
      </c>
      <c r="FIV19" t="s">
        <v>6984</v>
      </c>
      <c r="FIW19" t="s">
        <v>6984</v>
      </c>
      <c r="FIX19" t="s">
        <v>6984</v>
      </c>
      <c r="FIY19" t="s">
        <v>6984</v>
      </c>
      <c r="FIZ19" t="s">
        <v>6984</v>
      </c>
      <c r="FJA19" t="s">
        <v>6984</v>
      </c>
      <c r="FJB19" t="s">
        <v>6984</v>
      </c>
      <c r="FJC19" t="s">
        <v>6984</v>
      </c>
      <c r="FJD19" t="s">
        <v>6984</v>
      </c>
      <c r="FJE19" t="s">
        <v>6984</v>
      </c>
      <c r="FJF19" t="s">
        <v>6984</v>
      </c>
      <c r="FJG19" t="s">
        <v>6984</v>
      </c>
      <c r="FJH19" t="s">
        <v>6984</v>
      </c>
      <c r="FJI19" t="s">
        <v>6984</v>
      </c>
      <c r="FJJ19" t="s">
        <v>6984</v>
      </c>
      <c r="FJK19" t="s">
        <v>6984</v>
      </c>
      <c r="FJL19" t="s">
        <v>6984</v>
      </c>
      <c r="FJM19" t="s">
        <v>6984</v>
      </c>
      <c r="FJN19" t="s">
        <v>6984</v>
      </c>
      <c r="FJO19" t="s">
        <v>6984</v>
      </c>
      <c r="FJP19" t="s">
        <v>6984</v>
      </c>
      <c r="FJQ19" t="s">
        <v>6984</v>
      </c>
      <c r="FJR19" t="s">
        <v>6984</v>
      </c>
      <c r="FJS19" t="s">
        <v>6984</v>
      </c>
      <c r="FJT19" t="s">
        <v>6984</v>
      </c>
      <c r="FJU19" t="s">
        <v>6984</v>
      </c>
      <c r="FJV19" t="s">
        <v>6984</v>
      </c>
      <c r="FJW19" t="s">
        <v>6984</v>
      </c>
      <c r="FJX19" t="s">
        <v>6984</v>
      </c>
      <c r="FJY19" t="s">
        <v>6984</v>
      </c>
      <c r="FJZ19" t="s">
        <v>6984</v>
      </c>
      <c r="FKA19" t="s">
        <v>6984</v>
      </c>
      <c r="FKB19" t="s">
        <v>6984</v>
      </c>
      <c r="FKC19" t="s">
        <v>6984</v>
      </c>
      <c r="FKD19" t="s">
        <v>6984</v>
      </c>
      <c r="FKE19" t="s">
        <v>6984</v>
      </c>
      <c r="FKF19" t="s">
        <v>6984</v>
      </c>
      <c r="FKG19" t="s">
        <v>6984</v>
      </c>
      <c r="FKH19" t="s">
        <v>6984</v>
      </c>
      <c r="FKI19" t="s">
        <v>6984</v>
      </c>
      <c r="FKJ19" t="s">
        <v>6984</v>
      </c>
      <c r="FKK19" t="s">
        <v>6984</v>
      </c>
      <c r="FKL19" t="s">
        <v>6984</v>
      </c>
      <c r="FKM19" t="s">
        <v>6984</v>
      </c>
      <c r="FKN19" t="s">
        <v>6984</v>
      </c>
      <c r="FKO19" t="s">
        <v>6984</v>
      </c>
      <c r="FKP19" t="s">
        <v>6984</v>
      </c>
      <c r="FKQ19" t="s">
        <v>6984</v>
      </c>
      <c r="FKR19" t="s">
        <v>6984</v>
      </c>
      <c r="FKS19" t="s">
        <v>6984</v>
      </c>
      <c r="FKT19" t="s">
        <v>6984</v>
      </c>
      <c r="FKU19" t="s">
        <v>6984</v>
      </c>
      <c r="FKV19" t="s">
        <v>6984</v>
      </c>
      <c r="FKW19" t="s">
        <v>6984</v>
      </c>
      <c r="FKX19" t="s">
        <v>6984</v>
      </c>
      <c r="FKY19" t="s">
        <v>6984</v>
      </c>
      <c r="FKZ19" t="s">
        <v>6984</v>
      </c>
      <c r="FLA19" t="s">
        <v>6984</v>
      </c>
      <c r="FLB19" t="s">
        <v>6984</v>
      </c>
      <c r="FLC19" t="s">
        <v>6984</v>
      </c>
      <c r="FLD19" t="s">
        <v>6984</v>
      </c>
      <c r="FLE19" t="s">
        <v>6984</v>
      </c>
      <c r="FLF19" t="s">
        <v>6984</v>
      </c>
      <c r="FLG19" t="s">
        <v>6984</v>
      </c>
      <c r="FLH19" t="s">
        <v>6984</v>
      </c>
      <c r="FLI19" t="s">
        <v>6984</v>
      </c>
      <c r="FLJ19" t="s">
        <v>6984</v>
      </c>
      <c r="FLK19" t="s">
        <v>6984</v>
      </c>
      <c r="FLL19" t="s">
        <v>6984</v>
      </c>
      <c r="FLM19" t="s">
        <v>6984</v>
      </c>
      <c r="FLN19" t="s">
        <v>6984</v>
      </c>
      <c r="FLO19" t="s">
        <v>6984</v>
      </c>
      <c r="FLP19" t="s">
        <v>6984</v>
      </c>
      <c r="FLQ19" t="s">
        <v>6984</v>
      </c>
      <c r="FLR19" t="s">
        <v>6984</v>
      </c>
      <c r="FLS19" t="s">
        <v>6984</v>
      </c>
      <c r="FLT19" t="s">
        <v>6984</v>
      </c>
      <c r="FLU19" t="s">
        <v>6984</v>
      </c>
      <c r="FLV19" t="s">
        <v>6984</v>
      </c>
      <c r="FLW19" t="s">
        <v>6984</v>
      </c>
      <c r="FLX19" t="s">
        <v>6984</v>
      </c>
      <c r="FLY19" t="s">
        <v>6984</v>
      </c>
      <c r="FLZ19" t="s">
        <v>6984</v>
      </c>
      <c r="FMA19" t="s">
        <v>6984</v>
      </c>
      <c r="FMB19" t="s">
        <v>6984</v>
      </c>
      <c r="FMC19" t="s">
        <v>6984</v>
      </c>
      <c r="FMD19" t="s">
        <v>6984</v>
      </c>
      <c r="FME19" t="s">
        <v>6984</v>
      </c>
      <c r="FMF19" t="s">
        <v>6984</v>
      </c>
      <c r="FMG19" t="s">
        <v>6984</v>
      </c>
      <c r="FMH19" t="s">
        <v>6984</v>
      </c>
      <c r="FMI19" t="s">
        <v>6984</v>
      </c>
      <c r="FMJ19" t="s">
        <v>6984</v>
      </c>
      <c r="FMK19" t="s">
        <v>6984</v>
      </c>
      <c r="FML19" t="s">
        <v>6984</v>
      </c>
      <c r="FMM19" t="s">
        <v>6984</v>
      </c>
      <c r="FMN19" t="s">
        <v>6984</v>
      </c>
      <c r="FMO19" t="s">
        <v>6984</v>
      </c>
      <c r="FMP19" t="s">
        <v>6984</v>
      </c>
      <c r="FMQ19" t="s">
        <v>6984</v>
      </c>
      <c r="FMR19" t="s">
        <v>6984</v>
      </c>
      <c r="FMS19" t="s">
        <v>6984</v>
      </c>
      <c r="FMT19" t="s">
        <v>6984</v>
      </c>
      <c r="FMU19" t="s">
        <v>6984</v>
      </c>
      <c r="FMV19" t="s">
        <v>6984</v>
      </c>
      <c r="FMW19" t="s">
        <v>6984</v>
      </c>
      <c r="FMX19" t="s">
        <v>6984</v>
      </c>
      <c r="FMY19" t="s">
        <v>6984</v>
      </c>
      <c r="FMZ19" t="s">
        <v>6984</v>
      </c>
      <c r="FNA19" t="s">
        <v>6984</v>
      </c>
      <c r="FNB19" t="s">
        <v>6984</v>
      </c>
      <c r="FNC19" t="s">
        <v>6984</v>
      </c>
      <c r="FND19" t="s">
        <v>6984</v>
      </c>
      <c r="FNE19" t="s">
        <v>6984</v>
      </c>
      <c r="FNF19" t="s">
        <v>6984</v>
      </c>
      <c r="FNG19" t="s">
        <v>6984</v>
      </c>
      <c r="FNH19" t="s">
        <v>6984</v>
      </c>
      <c r="FNI19" t="s">
        <v>6984</v>
      </c>
      <c r="FNJ19" t="s">
        <v>6984</v>
      </c>
      <c r="FNK19" t="s">
        <v>6984</v>
      </c>
      <c r="FNL19" t="s">
        <v>6984</v>
      </c>
      <c r="FNM19" t="s">
        <v>6984</v>
      </c>
      <c r="FNN19" t="s">
        <v>6984</v>
      </c>
      <c r="FNO19" t="s">
        <v>6984</v>
      </c>
      <c r="FNP19" t="s">
        <v>6984</v>
      </c>
      <c r="FNQ19" t="s">
        <v>6984</v>
      </c>
      <c r="FNR19" t="s">
        <v>6984</v>
      </c>
      <c r="FNS19" t="s">
        <v>6984</v>
      </c>
      <c r="FNT19" t="s">
        <v>6984</v>
      </c>
      <c r="FNU19" t="s">
        <v>6984</v>
      </c>
      <c r="FNV19" t="s">
        <v>6984</v>
      </c>
      <c r="FNW19" t="s">
        <v>6984</v>
      </c>
      <c r="FNX19" t="s">
        <v>6984</v>
      </c>
      <c r="FNY19" t="s">
        <v>6984</v>
      </c>
      <c r="FNZ19" t="s">
        <v>6984</v>
      </c>
      <c r="FOA19" t="s">
        <v>6984</v>
      </c>
      <c r="FOB19" t="s">
        <v>6984</v>
      </c>
      <c r="FOC19" t="s">
        <v>6984</v>
      </c>
      <c r="FOD19" t="s">
        <v>6984</v>
      </c>
      <c r="FOE19" t="s">
        <v>6984</v>
      </c>
      <c r="FOF19" t="s">
        <v>6984</v>
      </c>
      <c r="FOG19" t="s">
        <v>6984</v>
      </c>
      <c r="FOH19" t="s">
        <v>6984</v>
      </c>
      <c r="FOI19" t="s">
        <v>6984</v>
      </c>
      <c r="FOJ19" t="s">
        <v>6984</v>
      </c>
      <c r="FOK19" t="s">
        <v>6984</v>
      </c>
      <c r="FOL19" t="s">
        <v>6984</v>
      </c>
      <c r="FOM19" t="s">
        <v>6984</v>
      </c>
      <c r="FON19" t="s">
        <v>6984</v>
      </c>
      <c r="FOO19" t="s">
        <v>6984</v>
      </c>
      <c r="FOP19" t="s">
        <v>6984</v>
      </c>
      <c r="FOQ19" t="s">
        <v>6984</v>
      </c>
      <c r="FOR19" t="s">
        <v>6984</v>
      </c>
      <c r="FOS19" t="s">
        <v>6984</v>
      </c>
      <c r="FOT19" t="s">
        <v>6984</v>
      </c>
      <c r="FOU19" t="s">
        <v>6984</v>
      </c>
      <c r="FOV19" t="s">
        <v>6984</v>
      </c>
      <c r="FOW19" t="s">
        <v>6984</v>
      </c>
      <c r="FOX19" t="s">
        <v>6984</v>
      </c>
      <c r="FOY19" t="s">
        <v>6984</v>
      </c>
      <c r="FOZ19" t="s">
        <v>6984</v>
      </c>
      <c r="FPA19" t="s">
        <v>6984</v>
      </c>
      <c r="FPB19" t="s">
        <v>6984</v>
      </c>
      <c r="FPC19" t="s">
        <v>6984</v>
      </c>
      <c r="FPD19" t="s">
        <v>6984</v>
      </c>
      <c r="FPE19" t="s">
        <v>6984</v>
      </c>
      <c r="FPF19" t="s">
        <v>6984</v>
      </c>
      <c r="FPG19" t="s">
        <v>6984</v>
      </c>
      <c r="FPH19" t="s">
        <v>6984</v>
      </c>
      <c r="FPI19" t="s">
        <v>6984</v>
      </c>
      <c r="FPJ19" t="s">
        <v>6984</v>
      </c>
      <c r="FPK19" t="s">
        <v>6984</v>
      </c>
      <c r="FPL19" t="s">
        <v>6984</v>
      </c>
      <c r="FPM19" t="s">
        <v>6984</v>
      </c>
      <c r="FPN19" t="s">
        <v>6984</v>
      </c>
      <c r="FPO19" t="s">
        <v>6984</v>
      </c>
      <c r="FPP19" t="s">
        <v>6984</v>
      </c>
      <c r="FPQ19" t="s">
        <v>6984</v>
      </c>
      <c r="FPR19" t="s">
        <v>6984</v>
      </c>
      <c r="FPS19" t="s">
        <v>6984</v>
      </c>
      <c r="FPT19" t="s">
        <v>6984</v>
      </c>
      <c r="FPU19" t="s">
        <v>6984</v>
      </c>
      <c r="FPV19" t="s">
        <v>6984</v>
      </c>
      <c r="FPW19" t="s">
        <v>6984</v>
      </c>
      <c r="FPX19" t="s">
        <v>6984</v>
      </c>
      <c r="FPY19" t="s">
        <v>6984</v>
      </c>
      <c r="FPZ19" t="s">
        <v>6984</v>
      </c>
      <c r="FQA19" t="s">
        <v>6984</v>
      </c>
      <c r="FQB19" t="s">
        <v>6984</v>
      </c>
      <c r="FQC19" t="s">
        <v>6984</v>
      </c>
      <c r="FQD19" t="s">
        <v>6984</v>
      </c>
      <c r="FQE19" t="s">
        <v>6984</v>
      </c>
      <c r="FQF19" t="s">
        <v>6984</v>
      </c>
      <c r="FQG19" t="s">
        <v>6984</v>
      </c>
      <c r="FQH19" t="s">
        <v>6984</v>
      </c>
      <c r="FQI19" t="s">
        <v>6984</v>
      </c>
      <c r="FQJ19" t="s">
        <v>6984</v>
      </c>
      <c r="FQK19" t="s">
        <v>6984</v>
      </c>
      <c r="FQL19" t="s">
        <v>6984</v>
      </c>
      <c r="FQM19" t="s">
        <v>6984</v>
      </c>
      <c r="FQN19" t="s">
        <v>6984</v>
      </c>
      <c r="FQO19" t="s">
        <v>6984</v>
      </c>
      <c r="FQP19" t="s">
        <v>6984</v>
      </c>
      <c r="FQQ19" t="s">
        <v>6984</v>
      </c>
      <c r="FQR19" t="s">
        <v>6984</v>
      </c>
      <c r="FQS19" t="s">
        <v>6984</v>
      </c>
      <c r="FQT19" t="s">
        <v>6984</v>
      </c>
      <c r="FQU19" t="s">
        <v>6984</v>
      </c>
      <c r="FQV19" t="s">
        <v>6984</v>
      </c>
      <c r="FQW19" t="s">
        <v>6984</v>
      </c>
      <c r="FQX19" t="s">
        <v>6984</v>
      </c>
      <c r="FQY19" t="s">
        <v>6984</v>
      </c>
      <c r="FQZ19" t="s">
        <v>6984</v>
      </c>
      <c r="FRA19" t="s">
        <v>6984</v>
      </c>
      <c r="FRB19" t="s">
        <v>6984</v>
      </c>
      <c r="FRC19" t="s">
        <v>6984</v>
      </c>
      <c r="FRD19" t="s">
        <v>6984</v>
      </c>
      <c r="FRE19" t="s">
        <v>6984</v>
      </c>
      <c r="FRF19" t="s">
        <v>6984</v>
      </c>
      <c r="FRG19" t="s">
        <v>6984</v>
      </c>
      <c r="FRH19" t="s">
        <v>6984</v>
      </c>
      <c r="FRI19" t="s">
        <v>6984</v>
      </c>
      <c r="FRJ19" t="s">
        <v>6984</v>
      </c>
      <c r="FRK19" t="s">
        <v>6984</v>
      </c>
      <c r="FRL19" t="s">
        <v>6984</v>
      </c>
      <c r="FRM19" t="s">
        <v>6984</v>
      </c>
      <c r="FRN19" t="s">
        <v>6984</v>
      </c>
      <c r="FRO19" t="s">
        <v>6984</v>
      </c>
      <c r="FRP19" t="s">
        <v>6984</v>
      </c>
      <c r="FRQ19" t="s">
        <v>6984</v>
      </c>
      <c r="FRR19" t="s">
        <v>6984</v>
      </c>
      <c r="FRS19" t="s">
        <v>6984</v>
      </c>
      <c r="FRT19" t="s">
        <v>6984</v>
      </c>
      <c r="FRU19" t="s">
        <v>6984</v>
      </c>
      <c r="FRV19" t="s">
        <v>6984</v>
      </c>
      <c r="FRW19" t="s">
        <v>6984</v>
      </c>
      <c r="FRX19" t="s">
        <v>6984</v>
      </c>
      <c r="FRY19" t="s">
        <v>6984</v>
      </c>
      <c r="FRZ19" t="s">
        <v>6984</v>
      </c>
      <c r="FSA19" t="s">
        <v>6984</v>
      </c>
      <c r="FSB19" t="s">
        <v>6984</v>
      </c>
      <c r="FSC19" t="s">
        <v>6984</v>
      </c>
      <c r="FSD19" t="s">
        <v>6984</v>
      </c>
      <c r="FSE19" t="s">
        <v>6984</v>
      </c>
      <c r="FSF19" t="s">
        <v>6984</v>
      </c>
      <c r="FSG19" t="s">
        <v>6984</v>
      </c>
      <c r="FSH19" t="s">
        <v>6984</v>
      </c>
      <c r="FSI19" t="s">
        <v>6984</v>
      </c>
      <c r="FSJ19" t="s">
        <v>6984</v>
      </c>
      <c r="FSK19" t="s">
        <v>6984</v>
      </c>
      <c r="FSL19" t="s">
        <v>6984</v>
      </c>
      <c r="FSM19" t="s">
        <v>6984</v>
      </c>
      <c r="FSN19" t="s">
        <v>6984</v>
      </c>
      <c r="FSO19" t="s">
        <v>6984</v>
      </c>
      <c r="FSP19" t="s">
        <v>6984</v>
      </c>
      <c r="FSQ19" t="s">
        <v>6984</v>
      </c>
      <c r="FSR19" t="s">
        <v>6984</v>
      </c>
      <c r="FSS19" t="s">
        <v>6984</v>
      </c>
      <c r="FST19" t="s">
        <v>6984</v>
      </c>
      <c r="FSU19" t="s">
        <v>6984</v>
      </c>
      <c r="FSV19" t="s">
        <v>6984</v>
      </c>
      <c r="FSW19" t="s">
        <v>6984</v>
      </c>
      <c r="FSX19" t="s">
        <v>6984</v>
      </c>
      <c r="FSY19" t="s">
        <v>6984</v>
      </c>
      <c r="FSZ19" t="s">
        <v>6984</v>
      </c>
      <c r="FTA19" t="s">
        <v>6984</v>
      </c>
      <c r="FTB19" t="s">
        <v>6984</v>
      </c>
      <c r="FTC19" t="s">
        <v>6984</v>
      </c>
      <c r="FTD19" t="s">
        <v>6984</v>
      </c>
      <c r="FTE19" t="s">
        <v>6984</v>
      </c>
      <c r="FTF19" t="s">
        <v>6984</v>
      </c>
      <c r="FTG19" t="s">
        <v>6984</v>
      </c>
      <c r="FTH19" t="s">
        <v>6984</v>
      </c>
      <c r="FTI19" t="s">
        <v>6984</v>
      </c>
      <c r="FTJ19" t="s">
        <v>6984</v>
      </c>
      <c r="FTK19" t="s">
        <v>6984</v>
      </c>
      <c r="FTL19" t="s">
        <v>6984</v>
      </c>
      <c r="FTM19" t="s">
        <v>6984</v>
      </c>
      <c r="FTN19" t="s">
        <v>6984</v>
      </c>
      <c r="FTO19" t="s">
        <v>6984</v>
      </c>
      <c r="FTP19" t="s">
        <v>6984</v>
      </c>
      <c r="FTQ19" t="s">
        <v>6984</v>
      </c>
      <c r="FTR19" t="s">
        <v>6984</v>
      </c>
      <c r="FTS19" t="s">
        <v>6984</v>
      </c>
      <c r="FTT19" t="s">
        <v>6984</v>
      </c>
      <c r="FTU19" t="s">
        <v>6984</v>
      </c>
      <c r="FTV19" t="s">
        <v>6984</v>
      </c>
      <c r="FTW19" t="s">
        <v>6984</v>
      </c>
      <c r="FTX19" t="s">
        <v>6984</v>
      </c>
      <c r="FTY19" t="s">
        <v>6984</v>
      </c>
      <c r="FTZ19" t="s">
        <v>6984</v>
      </c>
      <c r="FUA19" t="s">
        <v>6984</v>
      </c>
      <c r="FUB19" t="s">
        <v>6984</v>
      </c>
      <c r="FUC19" t="s">
        <v>6984</v>
      </c>
      <c r="FUD19" t="s">
        <v>6984</v>
      </c>
      <c r="FUE19" t="s">
        <v>6984</v>
      </c>
      <c r="FUF19" t="s">
        <v>6984</v>
      </c>
      <c r="FUG19" t="s">
        <v>6984</v>
      </c>
      <c r="FUH19" t="s">
        <v>6984</v>
      </c>
      <c r="FUI19" t="s">
        <v>6984</v>
      </c>
      <c r="FUJ19" t="s">
        <v>6984</v>
      </c>
      <c r="FUK19" t="s">
        <v>6984</v>
      </c>
      <c r="FUL19" t="s">
        <v>6984</v>
      </c>
      <c r="FUM19" t="s">
        <v>6984</v>
      </c>
      <c r="FUN19" t="s">
        <v>6984</v>
      </c>
      <c r="FUO19" t="s">
        <v>6984</v>
      </c>
      <c r="FUP19" t="s">
        <v>6984</v>
      </c>
      <c r="FUQ19" t="s">
        <v>6984</v>
      </c>
      <c r="FUR19" t="s">
        <v>6984</v>
      </c>
      <c r="FUS19" t="s">
        <v>6984</v>
      </c>
      <c r="FUT19" t="s">
        <v>6984</v>
      </c>
      <c r="FUU19" t="s">
        <v>6984</v>
      </c>
      <c r="FUV19" t="s">
        <v>6984</v>
      </c>
      <c r="FUW19" t="s">
        <v>6984</v>
      </c>
      <c r="FUX19" t="s">
        <v>6984</v>
      </c>
      <c r="FUY19" t="s">
        <v>6984</v>
      </c>
      <c r="FUZ19" t="s">
        <v>6984</v>
      </c>
      <c r="FVA19" t="s">
        <v>6984</v>
      </c>
      <c r="FVB19" t="s">
        <v>6984</v>
      </c>
      <c r="FVC19" t="s">
        <v>6984</v>
      </c>
      <c r="FVD19" t="s">
        <v>6984</v>
      </c>
      <c r="FVE19" t="s">
        <v>6984</v>
      </c>
      <c r="FVF19" t="s">
        <v>6984</v>
      </c>
      <c r="FVG19" t="s">
        <v>6984</v>
      </c>
      <c r="FVH19" t="s">
        <v>6984</v>
      </c>
      <c r="FVI19" t="s">
        <v>6984</v>
      </c>
      <c r="FVJ19" t="s">
        <v>6984</v>
      </c>
      <c r="FVK19" t="s">
        <v>6984</v>
      </c>
      <c r="FVL19" t="s">
        <v>6984</v>
      </c>
      <c r="FVM19" t="s">
        <v>6984</v>
      </c>
      <c r="FVN19" t="s">
        <v>6984</v>
      </c>
      <c r="FVO19" t="s">
        <v>6984</v>
      </c>
      <c r="FVP19" t="s">
        <v>6984</v>
      </c>
      <c r="FVQ19" t="s">
        <v>6984</v>
      </c>
      <c r="FVR19" t="s">
        <v>6984</v>
      </c>
      <c r="FVS19" t="s">
        <v>6984</v>
      </c>
      <c r="FVT19" t="s">
        <v>6984</v>
      </c>
      <c r="FVU19" t="s">
        <v>6984</v>
      </c>
      <c r="FVV19" t="s">
        <v>6984</v>
      </c>
      <c r="FVW19" t="s">
        <v>6984</v>
      </c>
      <c r="FVX19" t="s">
        <v>6984</v>
      </c>
      <c r="FVY19" t="s">
        <v>6984</v>
      </c>
      <c r="FVZ19" t="s">
        <v>6984</v>
      </c>
      <c r="FWA19" t="s">
        <v>6984</v>
      </c>
      <c r="FWB19" t="s">
        <v>6984</v>
      </c>
      <c r="FWC19" t="s">
        <v>6984</v>
      </c>
      <c r="FWD19" t="s">
        <v>6984</v>
      </c>
      <c r="FWE19" t="s">
        <v>6984</v>
      </c>
      <c r="FWF19" t="s">
        <v>6984</v>
      </c>
      <c r="FWG19" t="s">
        <v>6984</v>
      </c>
      <c r="FWH19" t="s">
        <v>6984</v>
      </c>
      <c r="FWI19" t="s">
        <v>6984</v>
      </c>
      <c r="FWJ19" t="s">
        <v>6984</v>
      </c>
      <c r="FWK19" t="s">
        <v>6984</v>
      </c>
      <c r="FWL19" t="s">
        <v>6984</v>
      </c>
      <c r="FWM19" t="s">
        <v>6984</v>
      </c>
      <c r="FWN19" t="s">
        <v>6984</v>
      </c>
      <c r="FWO19" t="s">
        <v>6984</v>
      </c>
      <c r="FWP19" t="s">
        <v>6984</v>
      </c>
      <c r="FWQ19" t="s">
        <v>6984</v>
      </c>
      <c r="FWR19" t="s">
        <v>6984</v>
      </c>
      <c r="FWS19" t="s">
        <v>6984</v>
      </c>
      <c r="FWT19" t="s">
        <v>6984</v>
      </c>
      <c r="FWU19" t="s">
        <v>6984</v>
      </c>
      <c r="FWV19" t="s">
        <v>6984</v>
      </c>
      <c r="FWW19" t="s">
        <v>6984</v>
      </c>
      <c r="FWX19" t="s">
        <v>6984</v>
      </c>
      <c r="FWY19" t="s">
        <v>6984</v>
      </c>
      <c r="FWZ19" t="s">
        <v>6984</v>
      </c>
      <c r="FXA19" t="s">
        <v>6984</v>
      </c>
      <c r="FXB19" t="s">
        <v>6984</v>
      </c>
      <c r="FXC19" t="s">
        <v>6984</v>
      </c>
      <c r="FXD19" t="s">
        <v>6984</v>
      </c>
      <c r="FXE19" t="s">
        <v>6984</v>
      </c>
      <c r="FXF19" t="s">
        <v>6984</v>
      </c>
      <c r="FXG19" t="s">
        <v>6984</v>
      </c>
      <c r="FXH19" t="s">
        <v>6984</v>
      </c>
      <c r="FXI19" t="s">
        <v>6984</v>
      </c>
      <c r="FXJ19" t="s">
        <v>6984</v>
      </c>
      <c r="FXK19" t="s">
        <v>6984</v>
      </c>
      <c r="FXL19" t="s">
        <v>6984</v>
      </c>
      <c r="FXM19" t="s">
        <v>6984</v>
      </c>
      <c r="FXN19" t="s">
        <v>6984</v>
      </c>
      <c r="FXO19" t="s">
        <v>6984</v>
      </c>
      <c r="FXP19" t="s">
        <v>6984</v>
      </c>
      <c r="FXQ19" t="s">
        <v>6984</v>
      </c>
      <c r="FXR19" t="s">
        <v>6984</v>
      </c>
      <c r="FXS19" t="s">
        <v>6984</v>
      </c>
      <c r="FXT19" t="s">
        <v>6984</v>
      </c>
      <c r="FXU19" t="s">
        <v>6984</v>
      </c>
      <c r="FXV19" t="s">
        <v>6984</v>
      </c>
      <c r="FXW19" t="s">
        <v>6984</v>
      </c>
      <c r="FXX19" t="s">
        <v>6984</v>
      </c>
      <c r="FXY19" t="s">
        <v>6984</v>
      </c>
      <c r="FXZ19" t="s">
        <v>6984</v>
      </c>
      <c r="FYA19" t="s">
        <v>6984</v>
      </c>
      <c r="FYB19" t="s">
        <v>6984</v>
      </c>
      <c r="FYC19" t="s">
        <v>6984</v>
      </c>
      <c r="FYD19" t="s">
        <v>6984</v>
      </c>
      <c r="FYE19" t="s">
        <v>6984</v>
      </c>
      <c r="FYF19" t="s">
        <v>6984</v>
      </c>
      <c r="FYG19" t="s">
        <v>6984</v>
      </c>
      <c r="FYH19" t="s">
        <v>6984</v>
      </c>
      <c r="FYI19" t="s">
        <v>6984</v>
      </c>
      <c r="FYJ19" t="s">
        <v>6984</v>
      </c>
      <c r="FYK19" t="s">
        <v>6984</v>
      </c>
      <c r="FYL19" t="s">
        <v>6984</v>
      </c>
      <c r="FYM19" t="s">
        <v>6984</v>
      </c>
      <c r="FYN19" t="s">
        <v>6984</v>
      </c>
      <c r="FYO19" t="s">
        <v>6984</v>
      </c>
      <c r="FYP19" t="s">
        <v>6984</v>
      </c>
      <c r="FYQ19" t="s">
        <v>6984</v>
      </c>
      <c r="FYR19" t="s">
        <v>6984</v>
      </c>
      <c r="FYS19" t="s">
        <v>6984</v>
      </c>
      <c r="FYT19" t="s">
        <v>6984</v>
      </c>
      <c r="FYU19" t="s">
        <v>6984</v>
      </c>
      <c r="FYV19" t="s">
        <v>6984</v>
      </c>
      <c r="FYW19" t="s">
        <v>6984</v>
      </c>
      <c r="FYX19" t="s">
        <v>6984</v>
      </c>
      <c r="FYY19" t="s">
        <v>6984</v>
      </c>
      <c r="FYZ19" t="s">
        <v>6984</v>
      </c>
      <c r="FZA19" t="s">
        <v>6984</v>
      </c>
      <c r="FZB19" t="s">
        <v>6984</v>
      </c>
      <c r="FZC19" t="s">
        <v>6984</v>
      </c>
      <c r="FZD19" t="s">
        <v>6984</v>
      </c>
      <c r="FZE19" t="s">
        <v>6984</v>
      </c>
      <c r="FZF19" t="s">
        <v>6984</v>
      </c>
      <c r="FZG19" t="s">
        <v>6984</v>
      </c>
      <c r="FZH19" t="s">
        <v>6984</v>
      </c>
      <c r="FZI19" t="s">
        <v>6984</v>
      </c>
      <c r="FZJ19" t="s">
        <v>6984</v>
      </c>
      <c r="FZK19" t="s">
        <v>6984</v>
      </c>
      <c r="FZL19" t="s">
        <v>6984</v>
      </c>
      <c r="FZM19" t="s">
        <v>6984</v>
      </c>
      <c r="FZN19" t="s">
        <v>6984</v>
      </c>
      <c r="FZO19" t="s">
        <v>6984</v>
      </c>
      <c r="FZP19" t="s">
        <v>6984</v>
      </c>
      <c r="FZQ19" t="s">
        <v>6984</v>
      </c>
      <c r="FZR19" t="s">
        <v>6984</v>
      </c>
      <c r="FZS19" t="s">
        <v>6984</v>
      </c>
      <c r="FZT19" t="s">
        <v>6984</v>
      </c>
      <c r="FZU19" t="s">
        <v>6984</v>
      </c>
      <c r="FZV19" t="s">
        <v>6984</v>
      </c>
      <c r="FZW19" t="s">
        <v>6984</v>
      </c>
      <c r="FZX19" t="s">
        <v>6984</v>
      </c>
      <c r="FZY19" t="s">
        <v>6984</v>
      </c>
      <c r="FZZ19" t="s">
        <v>6984</v>
      </c>
      <c r="GAA19" t="s">
        <v>6984</v>
      </c>
      <c r="GAB19" t="s">
        <v>6984</v>
      </c>
      <c r="GAC19" t="s">
        <v>6984</v>
      </c>
      <c r="GAD19" t="s">
        <v>6984</v>
      </c>
      <c r="GAE19" t="s">
        <v>6984</v>
      </c>
      <c r="GAF19" t="s">
        <v>6984</v>
      </c>
      <c r="GAG19" t="s">
        <v>6984</v>
      </c>
      <c r="GAH19" t="s">
        <v>6984</v>
      </c>
      <c r="GAI19" t="s">
        <v>6984</v>
      </c>
      <c r="GAJ19" t="s">
        <v>6984</v>
      </c>
      <c r="GAK19" t="s">
        <v>6984</v>
      </c>
      <c r="GAL19" t="s">
        <v>6984</v>
      </c>
      <c r="GAM19" t="s">
        <v>6984</v>
      </c>
      <c r="GAN19" t="s">
        <v>6984</v>
      </c>
      <c r="GAO19" t="s">
        <v>6984</v>
      </c>
      <c r="GAP19" t="s">
        <v>6984</v>
      </c>
      <c r="GAQ19" t="s">
        <v>6984</v>
      </c>
      <c r="GAR19" t="s">
        <v>6984</v>
      </c>
      <c r="GAS19" t="s">
        <v>6984</v>
      </c>
      <c r="GAT19" t="s">
        <v>6984</v>
      </c>
      <c r="GAU19" t="s">
        <v>6984</v>
      </c>
      <c r="GAV19" t="s">
        <v>6984</v>
      </c>
      <c r="GAW19" t="s">
        <v>6984</v>
      </c>
      <c r="GAX19" t="s">
        <v>6984</v>
      </c>
      <c r="GAY19" t="s">
        <v>6984</v>
      </c>
      <c r="GAZ19" t="s">
        <v>6984</v>
      </c>
      <c r="GBA19" t="s">
        <v>6984</v>
      </c>
      <c r="GBB19" t="s">
        <v>6984</v>
      </c>
      <c r="GBC19" t="s">
        <v>6984</v>
      </c>
      <c r="GBD19" t="s">
        <v>6984</v>
      </c>
      <c r="GBE19" t="s">
        <v>6984</v>
      </c>
      <c r="GBF19" t="s">
        <v>6984</v>
      </c>
      <c r="GBG19" t="s">
        <v>6984</v>
      </c>
      <c r="GBH19" t="s">
        <v>6984</v>
      </c>
      <c r="GBI19" t="s">
        <v>6984</v>
      </c>
      <c r="GBJ19" t="s">
        <v>6984</v>
      </c>
      <c r="GBK19" t="s">
        <v>6984</v>
      </c>
      <c r="GBL19" t="s">
        <v>6984</v>
      </c>
      <c r="GBM19" t="s">
        <v>6984</v>
      </c>
      <c r="GBN19" t="s">
        <v>6984</v>
      </c>
      <c r="GBO19" t="s">
        <v>6984</v>
      </c>
      <c r="GBP19" t="s">
        <v>6984</v>
      </c>
      <c r="GBQ19" t="s">
        <v>6984</v>
      </c>
      <c r="GBR19" t="s">
        <v>6984</v>
      </c>
      <c r="GBS19" t="s">
        <v>6984</v>
      </c>
      <c r="GBT19" t="s">
        <v>6984</v>
      </c>
      <c r="GBU19" t="s">
        <v>6984</v>
      </c>
      <c r="GBV19" t="s">
        <v>6984</v>
      </c>
      <c r="GBW19" t="s">
        <v>6984</v>
      </c>
      <c r="GBX19" t="s">
        <v>6984</v>
      </c>
      <c r="GBY19" t="s">
        <v>6984</v>
      </c>
      <c r="GBZ19" t="s">
        <v>6984</v>
      </c>
      <c r="GCA19" t="s">
        <v>6984</v>
      </c>
      <c r="GCB19" t="s">
        <v>6984</v>
      </c>
      <c r="GCC19" t="s">
        <v>6984</v>
      </c>
      <c r="GCD19" t="s">
        <v>6984</v>
      </c>
      <c r="GCE19" t="s">
        <v>6984</v>
      </c>
      <c r="GCF19" t="s">
        <v>6984</v>
      </c>
      <c r="GCG19" t="s">
        <v>6984</v>
      </c>
      <c r="GCH19" t="s">
        <v>6984</v>
      </c>
      <c r="GCI19" t="s">
        <v>6984</v>
      </c>
      <c r="GCJ19" t="s">
        <v>6984</v>
      </c>
      <c r="GCK19" t="s">
        <v>6984</v>
      </c>
      <c r="GCL19" t="s">
        <v>6984</v>
      </c>
      <c r="GCM19" t="s">
        <v>6984</v>
      </c>
      <c r="GCN19" t="s">
        <v>6984</v>
      </c>
      <c r="GCO19" t="s">
        <v>6984</v>
      </c>
      <c r="GCP19" t="s">
        <v>6984</v>
      </c>
      <c r="GCQ19" t="s">
        <v>6984</v>
      </c>
      <c r="GCR19" t="s">
        <v>6984</v>
      </c>
      <c r="GCS19" t="s">
        <v>6984</v>
      </c>
      <c r="GCT19" t="s">
        <v>6984</v>
      </c>
      <c r="GCU19" t="s">
        <v>6984</v>
      </c>
      <c r="GCV19" t="s">
        <v>6984</v>
      </c>
      <c r="GCW19" t="s">
        <v>6984</v>
      </c>
      <c r="GCX19" t="s">
        <v>6984</v>
      </c>
      <c r="GCY19" t="s">
        <v>6984</v>
      </c>
      <c r="GCZ19" t="s">
        <v>6984</v>
      </c>
      <c r="GDA19" t="s">
        <v>6984</v>
      </c>
      <c r="GDB19" t="s">
        <v>6984</v>
      </c>
      <c r="GDC19" t="s">
        <v>6984</v>
      </c>
      <c r="GDD19" t="s">
        <v>6984</v>
      </c>
      <c r="GDE19" t="s">
        <v>6984</v>
      </c>
      <c r="GDF19" t="s">
        <v>6984</v>
      </c>
      <c r="GDG19" t="s">
        <v>6984</v>
      </c>
      <c r="GDH19" t="s">
        <v>6984</v>
      </c>
      <c r="GDI19" t="s">
        <v>6984</v>
      </c>
      <c r="GDJ19" t="s">
        <v>6984</v>
      </c>
      <c r="GDK19" t="s">
        <v>6984</v>
      </c>
      <c r="GDL19" t="s">
        <v>6984</v>
      </c>
      <c r="GDM19" t="s">
        <v>6984</v>
      </c>
      <c r="GDN19" t="s">
        <v>6984</v>
      </c>
      <c r="GDO19" t="s">
        <v>6984</v>
      </c>
      <c r="GDP19" t="s">
        <v>6984</v>
      </c>
      <c r="GDQ19" t="s">
        <v>6984</v>
      </c>
      <c r="GDR19" t="s">
        <v>6984</v>
      </c>
      <c r="GDS19" t="s">
        <v>6984</v>
      </c>
      <c r="GDT19" t="s">
        <v>6984</v>
      </c>
      <c r="GDU19" t="s">
        <v>6984</v>
      </c>
      <c r="GDV19" t="s">
        <v>6984</v>
      </c>
      <c r="GDW19" t="s">
        <v>6984</v>
      </c>
      <c r="GDX19" t="s">
        <v>6984</v>
      </c>
      <c r="GDY19" t="s">
        <v>6984</v>
      </c>
      <c r="GDZ19" t="s">
        <v>6984</v>
      </c>
      <c r="GEA19" t="s">
        <v>6984</v>
      </c>
      <c r="GEB19" t="s">
        <v>6984</v>
      </c>
      <c r="GEC19" t="s">
        <v>6984</v>
      </c>
      <c r="GED19" t="s">
        <v>6984</v>
      </c>
      <c r="GEE19" t="s">
        <v>6984</v>
      </c>
      <c r="GEF19" t="s">
        <v>6984</v>
      </c>
      <c r="GEG19" t="s">
        <v>6984</v>
      </c>
      <c r="GEH19" t="s">
        <v>6984</v>
      </c>
      <c r="GEI19" t="s">
        <v>6984</v>
      </c>
      <c r="GEJ19" t="s">
        <v>6984</v>
      </c>
      <c r="GEK19" t="s">
        <v>6984</v>
      </c>
      <c r="GEL19" t="s">
        <v>6984</v>
      </c>
      <c r="GEM19" t="s">
        <v>6984</v>
      </c>
      <c r="GEN19" t="s">
        <v>6984</v>
      </c>
      <c r="GEO19" t="s">
        <v>6984</v>
      </c>
      <c r="GEP19" t="s">
        <v>6984</v>
      </c>
      <c r="GEQ19" t="s">
        <v>6984</v>
      </c>
      <c r="GER19" t="s">
        <v>6984</v>
      </c>
      <c r="GES19" t="s">
        <v>6984</v>
      </c>
      <c r="GET19" t="s">
        <v>6984</v>
      </c>
      <c r="GEU19" t="s">
        <v>6984</v>
      </c>
      <c r="GEV19" t="s">
        <v>6984</v>
      </c>
      <c r="GEW19" t="s">
        <v>6984</v>
      </c>
      <c r="GEX19" t="s">
        <v>6984</v>
      </c>
      <c r="GEY19" t="s">
        <v>6984</v>
      </c>
      <c r="GEZ19" t="s">
        <v>6984</v>
      </c>
      <c r="GFA19" t="s">
        <v>6984</v>
      </c>
      <c r="GFB19" t="s">
        <v>6984</v>
      </c>
      <c r="GFC19" t="s">
        <v>6984</v>
      </c>
      <c r="GFD19" t="s">
        <v>6984</v>
      </c>
      <c r="GFE19" t="s">
        <v>6984</v>
      </c>
      <c r="GFF19" t="s">
        <v>6984</v>
      </c>
      <c r="GFG19" t="s">
        <v>6984</v>
      </c>
      <c r="GFH19" t="s">
        <v>6984</v>
      </c>
      <c r="GFI19" t="s">
        <v>6984</v>
      </c>
      <c r="GFJ19" t="s">
        <v>6984</v>
      </c>
      <c r="GFK19" t="s">
        <v>6984</v>
      </c>
      <c r="GFL19" t="s">
        <v>6984</v>
      </c>
      <c r="GFM19" t="s">
        <v>6984</v>
      </c>
      <c r="GFN19" t="s">
        <v>6984</v>
      </c>
      <c r="GFO19" t="s">
        <v>6984</v>
      </c>
      <c r="GFP19" t="s">
        <v>6984</v>
      </c>
      <c r="GFQ19" t="s">
        <v>6984</v>
      </c>
      <c r="GFR19" t="s">
        <v>6984</v>
      </c>
      <c r="GFS19" t="s">
        <v>6984</v>
      </c>
      <c r="GFT19" t="s">
        <v>6984</v>
      </c>
      <c r="GFU19" t="s">
        <v>6984</v>
      </c>
      <c r="GFV19" t="s">
        <v>6984</v>
      </c>
      <c r="GFW19" t="s">
        <v>6984</v>
      </c>
      <c r="GFX19" t="s">
        <v>6984</v>
      </c>
      <c r="GFY19" t="s">
        <v>6984</v>
      </c>
      <c r="GFZ19" t="s">
        <v>6984</v>
      </c>
      <c r="GGA19" t="s">
        <v>6984</v>
      </c>
      <c r="GGB19" t="s">
        <v>6984</v>
      </c>
      <c r="GGC19" t="s">
        <v>6984</v>
      </c>
      <c r="GGD19" t="s">
        <v>6984</v>
      </c>
      <c r="GGE19" t="s">
        <v>6984</v>
      </c>
      <c r="GGF19" t="s">
        <v>6984</v>
      </c>
      <c r="GGG19" t="s">
        <v>6984</v>
      </c>
      <c r="GGH19" t="s">
        <v>6984</v>
      </c>
      <c r="GGI19" t="s">
        <v>6984</v>
      </c>
      <c r="GGJ19" t="s">
        <v>6984</v>
      </c>
      <c r="GGK19" t="s">
        <v>6984</v>
      </c>
      <c r="GGL19" t="s">
        <v>6984</v>
      </c>
      <c r="GGM19" t="s">
        <v>6984</v>
      </c>
      <c r="GGN19" t="s">
        <v>6984</v>
      </c>
      <c r="GGO19" t="s">
        <v>6984</v>
      </c>
      <c r="GGP19" t="s">
        <v>6984</v>
      </c>
      <c r="GGQ19" t="s">
        <v>6984</v>
      </c>
      <c r="GGR19" t="s">
        <v>6984</v>
      </c>
      <c r="GGS19" t="s">
        <v>6984</v>
      </c>
      <c r="GGT19" t="s">
        <v>6984</v>
      </c>
      <c r="GGU19" t="s">
        <v>6984</v>
      </c>
      <c r="GGV19" t="s">
        <v>6984</v>
      </c>
      <c r="GGW19" t="s">
        <v>6984</v>
      </c>
      <c r="GGX19" t="s">
        <v>6984</v>
      </c>
      <c r="GGY19" t="s">
        <v>6984</v>
      </c>
      <c r="GGZ19" t="s">
        <v>6984</v>
      </c>
      <c r="GHA19" t="s">
        <v>6984</v>
      </c>
      <c r="GHB19" t="s">
        <v>6984</v>
      </c>
      <c r="GHC19" t="s">
        <v>6984</v>
      </c>
      <c r="GHD19" t="s">
        <v>6984</v>
      </c>
      <c r="GHE19" t="s">
        <v>6984</v>
      </c>
      <c r="GHF19" t="s">
        <v>6984</v>
      </c>
      <c r="GHG19" t="s">
        <v>6984</v>
      </c>
      <c r="GHH19" t="s">
        <v>6984</v>
      </c>
      <c r="GHI19" t="s">
        <v>6984</v>
      </c>
      <c r="GHJ19" t="s">
        <v>6984</v>
      </c>
      <c r="GHK19" t="s">
        <v>6984</v>
      </c>
      <c r="GHL19" t="s">
        <v>6984</v>
      </c>
      <c r="GHM19" t="s">
        <v>6984</v>
      </c>
      <c r="GHN19" t="s">
        <v>6984</v>
      </c>
      <c r="GHO19" t="s">
        <v>6984</v>
      </c>
      <c r="GHP19" t="s">
        <v>6984</v>
      </c>
      <c r="GHQ19" t="s">
        <v>6984</v>
      </c>
      <c r="GHR19" t="s">
        <v>6984</v>
      </c>
      <c r="GHS19" t="s">
        <v>6984</v>
      </c>
      <c r="GHT19" t="s">
        <v>6984</v>
      </c>
      <c r="GHU19" t="s">
        <v>6984</v>
      </c>
      <c r="GHV19" t="s">
        <v>6984</v>
      </c>
      <c r="GHW19" t="s">
        <v>6984</v>
      </c>
      <c r="GHX19" t="s">
        <v>6984</v>
      </c>
      <c r="GHY19" t="s">
        <v>6984</v>
      </c>
      <c r="GHZ19" t="s">
        <v>6984</v>
      </c>
      <c r="GIA19" t="s">
        <v>6984</v>
      </c>
      <c r="GIB19" t="s">
        <v>6984</v>
      </c>
      <c r="GIC19" t="s">
        <v>6984</v>
      </c>
      <c r="GID19" t="s">
        <v>6984</v>
      </c>
      <c r="GIE19" t="s">
        <v>6984</v>
      </c>
      <c r="GIF19" t="s">
        <v>6984</v>
      </c>
      <c r="GIG19" t="s">
        <v>6984</v>
      </c>
      <c r="GIH19" t="s">
        <v>6984</v>
      </c>
      <c r="GII19" t="s">
        <v>6984</v>
      </c>
      <c r="GIJ19" t="s">
        <v>6984</v>
      </c>
      <c r="GIK19" t="s">
        <v>6984</v>
      </c>
      <c r="GIL19" t="s">
        <v>6984</v>
      </c>
      <c r="GIM19" t="s">
        <v>6984</v>
      </c>
      <c r="GIN19" t="s">
        <v>6984</v>
      </c>
      <c r="GIO19" t="s">
        <v>6984</v>
      </c>
      <c r="GIP19" t="s">
        <v>6984</v>
      </c>
      <c r="GIQ19" t="s">
        <v>6984</v>
      </c>
      <c r="GIR19" t="s">
        <v>6984</v>
      </c>
      <c r="GIS19" t="s">
        <v>6984</v>
      </c>
      <c r="GIT19" t="s">
        <v>6984</v>
      </c>
      <c r="GIU19" t="s">
        <v>6984</v>
      </c>
      <c r="GIV19" t="s">
        <v>6984</v>
      </c>
      <c r="GIW19" t="s">
        <v>6984</v>
      </c>
      <c r="GIX19" t="s">
        <v>6984</v>
      </c>
      <c r="GIY19" t="s">
        <v>6984</v>
      </c>
      <c r="GIZ19" t="s">
        <v>6984</v>
      </c>
      <c r="GJA19" t="s">
        <v>6984</v>
      </c>
      <c r="GJB19" t="s">
        <v>6984</v>
      </c>
      <c r="GJC19" t="s">
        <v>6984</v>
      </c>
      <c r="GJD19" t="s">
        <v>6984</v>
      </c>
      <c r="GJE19" t="s">
        <v>6984</v>
      </c>
      <c r="GJF19" t="s">
        <v>6984</v>
      </c>
      <c r="GJG19" t="s">
        <v>6984</v>
      </c>
      <c r="GJH19" t="s">
        <v>6984</v>
      </c>
      <c r="GJI19" t="s">
        <v>6984</v>
      </c>
      <c r="GJJ19" t="s">
        <v>6984</v>
      </c>
      <c r="GJK19" t="s">
        <v>6984</v>
      </c>
      <c r="GJL19" t="s">
        <v>6984</v>
      </c>
      <c r="GJM19" t="s">
        <v>6984</v>
      </c>
      <c r="GJN19" t="s">
        <v>6984</v>
      </c>
      <c r="GJO19" t="s">
        <v>6984</v>
      </c>
      <c r="GJP19" t="s">
        <v>6984</v>
      </c>
      <c r="GJQ19" t="s">
        <v>6984</v>
      </c>
      <c r="GJR19" t="s">
        <v>6984</v>
      </c>
      <c r="GJS19" t="s">
        <v>6984</v>
      </c>
      <c r="GJT19" t="s">
        <v>6984</v>
      </c>
      <c r="GJU19" t="s">
        <v>6984</v>
      </c>
      <c r="GJV19" t="s">
        <v>6984</v>
      </c>
      <c r="GJW19" t="s">
        <v>6984</v>
      </c>
      <c r="GJX19" t="s">
        <v>6984</v>
      </c>
      <c r="GJY19" t="s">
        <v>6984</v>
      </c>
      <c r="GJZ19" t="s">
        <v>6984</v>
      </c>
      <c r="GKA19" t="s">
        <v>6984</v>
      </c>
      <c r="GKB19" t="s">
        <v>6984</v>
      </c>
      <c r="GKC19" t="s">
        <v>6984</v>
      </c>
      <c r="GKD19" t="s">
        <v>6984</v>
      </c>
      <c r="GKE19" t="s">
        <v>6984</v>
      </c>
      <c r="GKF19" t="s">
        <v>6984</v>
      </c>
      <c r="GKG19" t="s">
        <v>6984</v>
      </c>
      <c r="GKH19" t="s">
        <v>6984</v>
      </c>
      <c r="GKI19" t="s">
        <v>6984</v>
      </c>
      <c r="GKJ19" t="s">
        <v>6984</v>
      </c>
      <c r="GKK19" t="s">
        <v>6984</v>
      </c>
      <c r="GKL19" t="s">
        <v>6984</v>
      </c>
      <c r="GKM19" t="s">
        <v>6984</v>
      </c>
      <c r="GKN19" t="s">
        <v>6984</v>
      </c>
      <c r="GKO19" t="s">
        <v>6984</v>
      </c>
      <c r="GKP19" t="s">
        <v>6984</v>
      </c>
      <c r="GKQ19" t="s">
        <v>6984</v>
      </c>
      <c r="GKR19" t="s">
        <v>6984</v>
      </c>
      <c r="GKS19" t="s">
        <v>6984</v>
      </c>
      <c r="GKT19" t="s">
        <v>6984</v>
      </c>
      <c r="GKU19" t="s">
        <v>6984</v>
      </c>
      <c r="GKV19" t="s">
        <v>6984</v>
      </c>
      <c r="GKW19" t="s">
        <v>6984</v>
      </c>
      <c r="GKX19" t="s">
        <v>6984</v>
      </c>
      <c r="GKY19" t="s">
        <v>6984</v>
      </c>
      <c r="GKZ19" t="s">
        <v>6984</v>
      </c>
      <c r="GLA19" t="s">
        <v>6984</v>
      </c>
      <c r="GLB19" t="s">
        <v>6984</v>
      </c>
      <c r="GLC19" t="s">
        <v>6984</v>
      </c>
      <c r="GLD19" t="s">
        <v>6984</v>
      </c>
      <c r="GLE19" t="s">
        <v>6984</v>
      </c>
      <c r="GLF19" t="s">
        <v>6984</v>
      </c>
      <c r="GLG19" t="s">
        <v>6984</v>
      </c>
      <c r="GLH19" t="s">
        <v>6984</v>
      </c>
      <c r="GLI19" t="s">
        <v>6984</v>
      </c>
      <c r="GLJ19" t="s">
        <v>6984</v>
      </c>
      <c r="GLK19" t="s">
        <v>6984</v>
      </c>
      <c r="GLL19" t="s">
        <v>6984</v>
      </c>
      <c r="GLM19" t="s">
        <v>6984</v>
      </c>
      <c r="GLN19" t="s">
        <v>6984</v>
      </c>
      <c r="GLO19" t="s">
        <v>6984</v>
      </c>
      <c r="GLP19" t="s">
        <v>6984</v>
      </c>
      <c r="GLQ19" t="s">
        <v>6984</v>
      </c>
      <c r="GLR19" t="s">
        <v>6984</v>
      </c>
      <c r="GLS19" t="s">
        <v>6984</v>
      </c>
      <c r="GLT19" t="s">
        <v>6984</v>
      </c>
      <c r="GLU19" t="s">
        <v>6984</v>
      </c>
      <c r="GLV19" t="s">
        <v>6984</v>
      </c>
      <c r="GLW19" t="s">
        <v>6984</v>
      </c>
      <c r="GLX19" t="s">
        <v>6984</v>
      </c>
      <c r="GLY19" t="s">
        <v>6984</v>
      </c>
      <c r="GLZ19" t="s">
        <v>6984</v>
      </c>
      <c r="GMA19" t="s">
        <v>6984</v>
      </c>
      <c r="GMB19" t="s">
        <v>6984</v>
      </c>
      <c r="GMC19" t="s">
        <v>6984</v>
      </c>
      <c r="GMD19" t="s">
        <v>6984</v>
      </c>
      <c r="GME19" t="s">
        <v>6984</v>
      </c>
      <c r="GMF19" t="s">
        <v>6984</v>
      </c>
      <c r="GMG19" t="s">
        <v>6984</v>
      </c>
      <c r="GMH19" t="s">
        <v>6984</v>
      </c>
      <c r="GMI19" t="s">
        <v>6984</v>
      </c>
      <c r="GMJ19" t="s">
        <v>6984</v>
      </c>
      <c r="GMK19" t="s">
        <v>6984</v>
      </c>
      <c r="GML19" t="s">
        <v>6984</v>
      </c>
      <c r="GMM19" t="s">
        <v>6984</v>
      </c>
      <c r="GMN19" t="s">
        <v>6984</v>
      </c>
      <c r="GMO19" t="s">
        <v>6984</v>
      </c>
      <c r="GMP19" t="s">
        <v>6984</v>
      </c>
      <c r="GMQ19" t="s">
        <v>6984</v>
      </c>
      <c r="GMR19" t="s">
        <v>6984</v>
      </c>
      <c r="GMS19" t="s">
        <v>6984</v>
      </c>
      <c r="GMT19" t="s">
        <v>6984</v>
      </c>
      <c r="GMU19" t="s">
        <v>6984</v>
      </c>
      <c r="GMV19" t="s">
        <v>6984</v>
      </c>
      <c r="GMW19" t="s">
        <v>6984</v>
      </c>
      <c r="GMX19" t="s">
        <v>6984</v>
      </c>
      <c r="GMY19" t="s">
        <v>6984</v>
      </c>
      <c r="GMZ19" t="s">
        <v>6984</v>
      </c>
      <c r="GNA19" t="s">
        <v>6984</v>
      </c>
      <c r="GNB19" t="s">
        <v>6984</v>
      </c>
      <c r="GNC19" t="s">
        <v>6984</v>
      </c>
      <c r="GND19" t="s">
        <v>6984</v>
      </c>
      <c r="GNE19" t="s">
        <v>6984</v>
      </c>
      <c r="GNF19" t="s">
        <v>6984</v>
      </c>
      <c r="GNG19" t="s">
        <v>6984</v>
      </c>
      <c r="GNH19" t="s">
        <v>6984</v>
      </c>
      <c r="GNI19" t="s">
        <v>6984</v>
      </c>
      <c r="GNJ19" t="s">
        <v>6984</v>
      </c>
      <c r="GNK19" t="s">
        <v>6984</v>
      </c>
      <c r="GNL19" t="s">
        <v>6984</v>
      </c>
      <c r="GNM19" t="s">
        <v>6984</v>
      </c>
      <c r="GNN19" t="s">
        <v>6984</v>
      </c>
      <c r="GNO19" t="s">
        <v>6984</v>
      </c>
      <c r="GNP19" t="s">
        <v>6984</v>
      </c>
      <c r="GNQ19" t="s">
        <v>6984</v>
      </c>
      <c r="GNR19" t="s">
        <v>6984</v>
      </c>
      <c r="GNS19" t="s">
        <v>6984</v>
      </c>
      <c r="GNT19" t="s">
        <v>6984</v>
      </c>
      <c r="GNU19" t="s">
        <v>6984</v>
      </c>
      <c r="GNV19" t="s">
        <v>6984</v>
      </c>
      <c r="GNW19" t="s">
        <v>6984</v>
      </c>
      <c r="GNX19" t="s">
        <v>6984</v>
      </c>
      <c r="GNY19" t="s">
        <v>6984</v>
      </c>
      <c r="GNZ19" t="s">
        <v>6984</v>
      </c>
      <c r="GOA19" t="s">
        <v>6984</v>
      </c>
      <c r="GOB19" t="s">
        <v>6984</v>
      </c>
      <c r="GOC19" t="s">
        <v>6984</v>
      </c>
      <c r="GOD19" t="s">
        <v>6984</v>
      </c>
      <c r="GOE19" t="s">
        <v>6984</v>
      </c>
      <c r="GOF19" t="s">
        <v>6984</v>
      </c>
      <c r="GOG19" t="s">
        <v>6984</v>
      </c>
      <c r="GOH19" t="s">
        <v>6984</v>
      </c>
      <c r="GOI19" t="s">
        <v>6984</v>
      </c>
      <c r="GOJ19" t="s">
        <v>6984</v>
      </c>
      <c r="GOK19" t="s">
        <v>6984</v>
      </c>
      <c r="GOL19" t="s">
        <v>6984</v>
      </c>
      <c r="GOM19" t="s">
        <v>6984</v>
      </c>
      <c r="GON19" t="s">
        <v>6984</v>
      </c>
      <c r="GOO19" t="s">
        <v>6984</v>
      </c>
      <c r="GOP19" t="s">
        <v>6984</v>
      </c>
      <c r="GOQ19" t="s">
        <v>6984</v>
      </c>
      <c r="GOR19" t="s">
        <v>6984</v>
      </c>
      <c r="GOS19" t="s">
        <v>6984</v>
      </c>
      <c r="GOT19" t="s">
        <v>6984</v>
      </c>
      <c r="GOU19" t="s">
        <v>6984</v>
      </c>
      <c r="GOV19" t="s">
        <v>6984</v>
      </c>
      <c r="GOW19" t="s">
        <v>6984</v>
      </c>
      <c r="GOX19" t="s">
        <v>6984</v>
      </c>
      <c r="GOY19" t="s">
        <v>6984</v>
      </c>
      <c r="GOZ19" t="s">
        <v>6984</v>
      </c>
      <c r="GPA19" t="s">
        <v>6984</v>
      </c>
      <c r="GPB19" t="s">
        <v>6984</v>
      </c>
      <c r="GPC19" t="s">
        <v>6984</v>
      </c>
      <c r="GPD19" t="s">
        <v>6984</v>
      </c>
      <c r="GPE19" t="s">
        <v>6984</v>
      </c>
      <c r="GPF19" t="s">
        <v>6984</v>
      </c>
      <c r="GPG19" t="s">
        <v>6984</v>
      </c>
      <c r="GPH19" t="s">
        <v>6984</v>
      </c>
      <c r="GPI19" t="s">
        <v>6984</v>
      </c>
      <c r="GPJ19" t="s">
        <v>6984</v>
      </c>
      <c r="GPK19" t="s">
        <v>6984</v>
      </c>
      <c r="GPL19" t="s">
        <v>6984</v>
      </c>
      <c r="GPM19" t="s">
        <v>6984</v>
      </c>
      <c r="GPN19" t="s">
        <v>6984</v>
      </c>
      <c r="GPO19" t="s">
        <v>6984</v>
      </c>
      <c r="GPP19" t="s">
        <v>6984</v>
      </c>
      <c r="GPQ19" t="s">
        <v>6984</v>
      </c>
      <c r="GPR19" t="s">
        <v>6984</v>
      </c>
      <c r="GPS19" t="s">
        <v>6984</v>
      </c>
      <c r="GPT19" t="s">
        <v>6984</v>
      </c>
      <c r="GPU19" t="s">
        <v>6984</v>
      </c>
      <c r="GPV19" t="s">
        <v>6984</v>
      </c>
      <c r="GPW19" t="s">
        <v>6984</v>
      </c>
      <c r="GPX19" t="s">
        <v>6984</v>
      </c>
      <c r="GPY19" t="s">
        <v>6984</v>
      </c>
      <c r="GPZ19" t="s">
        <v>6984</v>
      </c>
      <c r="GQA19" t="s">
        <v>6984</v>
      </c>
      <c r="GQB19" t="s">
        <v>6984</v>
      </c>
      <c r="GQC19" t="s">
        <v>6984</v>
      </c>
      <c r="GQD19" t="s">
        <v>6984</v>
      </c>
      <c r="GQE19" t="s">
        <v>6984</v>
      </c>
      <c r="GQF19" t="s">
        <v>6984</v>
      </c>
      <c r="GQG19" t="s">
        <v>6984</v>
      </c>
      <c r="GQH19" t="s">
        <v>6984</v>
      </c>
      <c r="GQI19" t="s">
        <v>6984</v>
      </c>
      <c r="GQJ19" t="s">
        <v>6984</v>
      </c>
      <c r="GQK19" t="s">
        <v>6984</v>
      </c>
      <c r="GQL19" t="s">
        <v>6984</v>
      </c>
      <c r="GQM19" t="s">
        <v>6984</v>
      </c>
      <c r="GQN19" t="s">
        <v>6984</v>
      </c>
      <c r="GQO19" t="s">
        <v>6984</v>
      </c>
      <c r="GQP19" t="s">
        <v>6984</v>
      </c>
      <c r="GQQ19" t="s">
        <v>6984</v>
      </c>
      <c r="GQR19" t="s">
        <v>6984</v>
      </c>
      <c r="GQS19" t="s">
        <v>6984</v>
      </c>
      <c r="GQT19" t="s">
        <v>6984</v>
      </c>
      <c r="GQU19" t="s">
        <v>6984</v>
      </c>
      <c r="GQV19" t="s">
        <v>6984</v>
      </c>
      <c r="GQW19" t="s">
        <v>6984</v>
      </c>
      <c r="GQX19" t="s">
        <v>6984</v>
      </c>
      <c r="GQY19" t="s">
        <v>6984</v>
      </c>
      <c r="GQZ19" t="s">
        <v>6984</v>
      </c>
      <c r="GRA19" t="s">
        <v>6984</v>
      </c>
      <c r="GRB19" t="s">
        <v>6984</v>
      </c>
      <c r="GRC19" t="s">
        <v>6984</v>
      </c>
      <c r="GRD19" t="s">
        <v>6984</v>
      </c>
      <c r="GRE19" t="s">
        <v>6984</v>
      </c>
      <c r="GRF19" t="s">
        <v>6984</v>
      </c>
      <c r="GRG19" t="s">
        <v>6984</v>
      </c>
      <c r="GRH19" t="s">
        <v>6984</v>
      </c>
      <c r="GRI19" t="s">
        <v>6984</v>
      </c>
      <c r="GRJ19" t="s">
        <v>6984</v>
      </c>
      <c r="GRK19" t="s">
        <v>6984</v>
      </c>
      <c r="GRL19" t="s">
        <v>6984</v>
      </c>
      <c r="GRM19" t="s">
        <v>6984</v>
      </c>
      <c r="GRN19" t="s">
        <v>6984</v>
      </c>
      <c r="GRO19" t="s">
        <v>6984</v>
      </c>
      <c r="GRP19" t="s">
        <v>6984</v>
      </c>
      <c r="GRQ19" t="s">
        <v>6984</v>
      </c>
      <c r="GRR19" t="s">
        <v>6984</v>
      </c>
      <c r="GRS19" t="s">
        <v>6984</v>
      </c>
      <c r="GRT19" t="s">
        <v>6984</v>
      </c>
      <c r="GRU19" t="s">
        <v>6984</v>
      </c>
      <c r="GRV19" t="s">
        <v>6984</v>
      </c>
      <c r="GRW19" t="s">
        <v>6984</v>
      </c>
      <c r="GRX19" t="s">
        <v>6984</v>
      </c>
      <c r="GRY19" t="s">
        <v>6984</v>
      </c>
      <c r="GRZ19" t="s">
        <v>6984</v>
      </c>
      <c r="GSA19" t="s">
        <v>6984</v>
      </c>
      <c r="GSB19" t="s">
        <v>6984</v>
      </c>
      <c r="GSC19" t="s">
        <v>6984</v>
      </c>
      <c r="GSD19" t="s">
        <v>6984</v>
      </c>
      <c r="GSE19" t="s">
        <v>6984</v>
      </c>
      <c r="GSF19" t="s">
        <v>6984</v>
      </c>
      <c r="GSG19" t="s">
        <v>6984</v>
      </c>
      <c r="GSH19" t="s">
        <v>6984</v>
      </c>
      <c r="GSI19" t="s">
        <v>6984</v>
      </c>
      <c r="GSJ19" t="s">
        <v>6984</v>
      </c>
      <c r="GSK19" t="s">
        <v>6984</v>
      </c>
      <c r="GSL19" t="s">
        <v>6984</v>
      </c>
      <c r="GSM19" t="s">
        <v>6984</v>
      </c>
      <c r="GSN19" t="s">
        <v>6984</v>
      </c>
      <c r="GSO19" t="s">
        <v>6984</v>
      </c>
      <c r="GSP19" t="s">
        <v>6984</v>
      </c>
      <c r="GSQ19" t="s">
        <v>6984</v>
      </c>
      <c r="GSR19" t="s">
        <v>6984</v>
      </c>
      <c r="GSS19" t="s">
        <v>6984</v>
      </c>
      <c r="GST19" t="s">
        <v>6984</v>
      </c>
      <c r="GSU19" t="s">
        <v>6984</v>
      </c>
      <c r="GSV19" t="s">
        <v>6984</v>
      </c>
      <c r="GSW19" t="s">
        <v>6984</v>
      </c>
      <c r="GSX19" t="s">
        <v>6984</v>
      </c>
      <c r="GSY19" t="s">
        <v>6984</v>
      </c>
      <c r="GSZ19" t="s">
        <v>6984</v>
      </c>
      <c r="GTA19" t="s">
        <v>6984</v>
      </c>
      <c r="GTB19" t="s">
        <v>6984</v>
      </c>
      <c r="GTC19" t="s">
        <v>6984</v>
      </c>
      <c r="GTD19" t="s">
        <v>6984</v>
      </c>
      <c r="GTE19" t="s">
        <v>6984</v>
      </c>
      <c r="GTF19" t="s">
        <v>6984</v>
      </c>
      <c r="GTG19" t="s">
        <v>6984</v>
      </c>
      <c r="GTH19" t="s">
        <v>6984</v>
      </c>
      <c r="GTI19" t="s">
        <v>6984</v>
      </c>
      <c r="GTJ19" t="s">
        <v>6984</v>
      </c>
      <c r="GTK19" t="s">
        <v>6984</v>
      </c>
      <c r="GTL19" t="s">
        <v>6984</v>
      </c>
      <c r="GTM19" t="s">
        <v>6984</v>
      </c>
      <c r="GTN19" t="s">
        <v>6984</v>
      </c>
      <c r="GTO19" t="s">
        <v>6984</v>
      </c>
      <c r="GTP19" t="s">
        <v>6984</v>
      </c>
      <c r="GTQ19" t="s">
        <v>6984</v>
      </c>
      <c r="GTR19" t="s">
        <v>6984</v>
      </c>
      <c r="GTS19" t="s">
        <v>6984</v>
      </c>
      <c r="GTT19" t="s">
        <v>6984</v>
      </c>
      <c r="GTU19" t="s">
        <v>6984</v>
      </c>
      <c r="GTV19" t="s">
        <v>6984</v>
      </c>
      <c r="GTW19" t="s">
        <v>6984</v>
      </c>
      <c r="GTX19" t="s">
        <v>6984</v>
      </c>
      <c r="GTY19" t="s">
        <v>6984</v>
      </c>
      <c r="GTZ19" t="s">
        <v>6984</v>
      </c>
      <c r="GUA19" t="s">
        <v>6984</v>
      </c>
      <c r="GUB19" t="s">
        <v>6984</v>
      </c>
      <c r="GUC19" t="s">
        <v>6984</v>
      </c>
      <c r="GUD19" t="s">
        <v>6984</v>
      </c>
      <c r="GUE19" t="s">
        <v>6984</v>
      </c>
      <c r="GUF19" t="s">
        <v>6984</v>
      </c>
      <c r="GUG19" t="s">
        <v>6984</v>
      </c>
      <c r="GUH19" t="s">
        <v>6984</v>
      </c>
      <c r="GUI19" t="s">
        <v>6984</v>
      </c>
      <c r="GUJ19" t="s">
        <v>6984</v>
      </c>
      <c r="GUK19" t="s">
        <v>6984</v>
      </c>
      <c r="GUL19" t="s">
        <v>6984</v>
      </c>
      <c r="GUM19" t="s">
        <v>6984</v>
      </c>
      <c r="GUN19" t="s">
        <v>6984</v>
      </c>
      <c r="GUO19" t="s">
        <v>6984</v>
      </c>
      <c r="GUP19" t="s">
        <v>6984</v>
      </c>
      <c r="GUQ19" t="s">
        <v>6984</v>
      </c>
      <c r="GUR19" t="s">
        <v>6984</v>
      </c>
      <c r="GUS19" t="s">
        <v>6984</v>
      </c>
      <c r="GUT19" t="s">
        <v>6984</v>
      </c>
      <c r="GUU19" t="s">
        <v>6984</v>
      </c>
      <c r="GUV19" t="s">
        <v>6984</v>
      </c>
      <c r="GUW19" t="s">
        <v>6984</v>
      </c>
      <c r="GUX19" t="s">
        <v>6984</v>
      </c>
      <c r="GUY19" t="s">
        <v>6984</v>
      </c>
      <c r="GUZ19" t="s">
        <v>6984</v>
      </c>
      <c r="GVA19" t="s">
        <v>6984</v>
      </c>
      <c r="GVB19" t="s">
        <v>6984</v>
      </c>
      <c r="GVC19" t="s">
        <v>6984</v>
      </c>
      <c r="GVD19" t="s">
        <v>6984</v>
      </c>
      <c r="GVE19" t="s">
        <v>6984</v>
      </c>
      <c r="GVF19" t="s">
        <v>6984</v>
      </c>
      <c r="GVG19" t="s">
        <v>6984</v>
      </c>
      <c r="GVH19" t="s">
        <v>6984</v>
      </c>
      <c r="GVI19" t="s">
        <v>6984</v>
      </c>
      <c r="GVJ19" t="s">
        <v>6984</v>
      </c>
      <c r="GVK19" t="s">
        <v>6984</v>
      </c>
      <c r="GVL19" t="s">
        <v>6984</v>
      </c>
      <c r="GVM19" t="s">
        <v>6984</v>
      </c>
      <c r="GVN19" t="s">
        <v>6984</v>
      </c>
      <c r="GVO19" t="s">
        <v>6984</v>
      </c>
      <c r="GVP19" t="s">
        <v>6984</v>
      </c>
      <c r="GVQ19" t="s">
        <v>6984</v>
      </c>
      <c r="GVR19" t="s">
        <v>6984</v>
      </c>
      <c r="GVS19" t="s">
        <v>6984</v>
      </c>
      <c r="GVT19" t="s">
        <v>6984</v>
      </c>
      <c r="GVU19" t="s">
        <v>6984</v>
      </c>
      <c r="GVV19" t="s">
        <v>6984</v>
      </c>
      <c r="GVW19" t="s">
        <v>6984</v>
      </c>
      <c r="GVX19" t="s">
        <v>6984</v>
      </c>
      <c r="GVY19" t="s">
        <v>6984</v>
      </c>
      <c r="GVZ19" t="s">
        <v>6984</v>
      </c>
      <c r="GWA19" t="s">
        <v>6984</v>
      </c>
      <c r="GWB19" t="s">
        <v>6984</v>
      </c>
      <c r="GWC19" t="s">
        <v>6984</v>
      </c>
      <c r="GWD19" t="s">
        <v>6984</v>
      </c>
      <c r="GWE19" t="s">
        <v>6984</v>
      </c>
      <c r="GWF19" t="s">
        <v>6984</v>
      </c>
      <c r="GWG19" t="s">
        <v>6984</v>
      </c>
      <c r="GWH19" t="s">
        <v>6984</v>
      </c>
      <c r="GWI19" t="s">
        <v>6984</v>
      </c>
      <c r="GWJ19" t="s">
        <v>6984</v>
      </c>
      <c r="GWK19" t="s">
        <v>6984</v>
      </c>
      <c r="GWL19" t="s">
        <v>6984</v>
      </c>
      <c r="GWM19" t="s">
        <v>6984</v>
      </c>
      <c r="GWN19" t="s">
        <v>6984</v>
      </c>
      <c r="GWO19" t="s">
        <v>6984</v>
      </c>
      <c r="GWP19" t="s">
        <v>6984</v>
      </c>
      <c r="GWQ19" t="s">
        <v>6984</v>
      </c>
      <c r="GWR19" t="s">
        <v>6984</v>
      </c>
      <c r="GWS19" t="s">
        <v>6984</v>
      </c>
      <c r="GWT19" t="s">
        <v>6984</v>
      </c>
      <c r="GWU19" t="s">
        <v>6984</v>
      </c>
      <c r="GWV19" t="s">
        <v>6984</v>
      </c>
      <c r="GWW19" t="s">
        <v>6984</v>
      </c>
      <c r="GWX19" t="s">
        <v>6984</v>
      </c>
      <c r="GWY19" t="s">
        <v>6984</v>
      </c>
      <c r="GWZ19" t="s">
        <v>6984</v>
      </c>
      <c r="GXA19" t="s">
        <v>6984</v>
      </c>
      <c r="GXB19" t="s">
        <v>6984</v>
      </c>
      <c r="GXC19" t="s">
        <v>6984</v>
      </c>
      <c r="GXD19" t="s">
        <v>6984</v>
      </c>
      <c r="GXE19" t="s">
        <v>6984</v>
      </c>
      <c r="GXF19" t="s">
        <v>6984</v>
      </c>
      <c r="GXG19" t="s">
        <v>6984</v>
      </c>
      <c r="GXH19" t="s">
        <v>6984</v>
      </c>
      <c r="GXI19" t="s">
        <v>6984</v>
      </c>
      <c r="GXJ19" t="s">
        <v>6984</v>
      </c>
      <c r="GXK19" t="s">
        <v>6984</v>
      </c>
      <c r="GXL19" t="s">
        <v>6984</v>
      </c>
      <c r="GXM19" t="s">
        <v>6984</v>
      </c>
      <c r="GXN19" t="s">
        <v>6984</v>
      </c>
      <c r="GXO19" t="s">
        <v>6984</v>
      </c>
      <c r="GXP19" t="s">
        <v>6984</v>
      </c>
      <c r="GXQ19" t="s">
        <v>6984</v>
      </c>
      <c r="GXR19" t="s">
        <v>6984</v>
      </c>
      <c r="GXS19" t="s">
        <v>6984</v>
      </c>
      <c r="GXT19" t="s">
        <v>6984</v>
      </c>
      <c r="GXU19" t="s">
        <v>6984</v>
      </c>
      <c r="GXV19" t="s">
        <v>6984</v>
      </c>
      <c r="GXW19" t="s">
        <v>6984</v>
      </c>
      <c r="GXX19" t="s">
        <v>6984</v>
      </c>
      <c r="GXY19" t="s">
        <v>6984</v>
      </c>
      <c r="GXZ19" t="s">
        <v>6984</v>
      </c>
      <c r="GYA19" t="s">
        <v>6984</v>
      </c>
      <c r="GYB19" t="s">
        <v>6984</v>
      </c>
      <c r="GYC19" t="s">
        <v>6984</v>
      </c>
      <c r="GYD19" t="s">
        <v>6984</v>
      </c>
      <c r="GYE19" t="s">
        <v>6984</v>
      </c>
      <c r="GYF19" t="s">
        <v>6984</v>
      </c>
      <c r="GYG19" t="s">
        <v>6984</v>
      </c>
      <c r="GYH19" t="s">
        <v>6984</v>
      </c>
      <c r="GYI19" t="s">
        <v>6984</v>
      </c>
      <c r="GYJ19" t="s">
        <v>6984</v>
      </c>
      <c r="GYK19" t="s">
        <v>6984</v>
      </c>
      <c r="GYL19" t="s">
        <v>6984</v>
      </c>
      <c r="GYM19" t="s">
        <v>6984</v>
      </c>
      <c r="GYN19" t="s">
        <v>6984</v>
      </c>
      <c r="GYO19" t="s">
        <v>6984</v>
      </c>
      <c r="GYP19" t="s">
        <v>6984</v>
      </c>
      <c r="GYQ19" t="s">
        <v>6984</v>
      </c>
      <c r="GYR19" t="s">
        <v>6984</v>
      </c>
      <c r="GYS19" t="s">
        <v>6984</v>
      </c>
      <c r="GYT19" t="s">
        <v>6984</v>
      </c>
      <c r="GYU19" t="s">
        <v>6984</v>
      </c>
      <c r="GYV19" t="s">
        <v>6984</v>
      </c>
      <c r="GYW19" t="s">
        <v>6984</v>
      </c>
      <c r="GYX19" t="s">
        <v>6984</v>
      </c>
      <c r="GYY19" t="s">
        <v>6984</v>
      </c>
      <c r="GYZ19" t="s">
        <v>6984</v>
      </c>
      <c r="GZA19" t="s">
        <v>6984</v>
      </c>
      <c r="GZB19" t="s">
        <v>6984</v>
      </c>
      <c r="GZC19" t="s">
        <v>6984</v>
      </c>
      <c r="GZD19" t="s">
        <v>6984</v>
      </c>
      <c r="GZE19" t="s">
        <v>6984</v>
      </c>
      <c r="GZF19" t="s">
        <v>6984</v>
      </c>
      <c r="GZG19" t="s">
        <v>6984</v>
      </c>
      <c r="GZH19" t="s">
        <v>6984</v>
      </c>
      <c r="GZI19" t="s">
        <v>6984</v>
      </c>
      <c r="GZJ19" t="s">
        <v>6984</v>
      </c>
      <c r="GZK19" t="s">
        <v>6984</v>
      </c>
      <c r="GZL19" t="s">
        <v>6984</v>
      </c>
      <c r="GZM19" t="s">
        <v>6984</v>
      </c>
      <c r="GZN19" t="s">
        <v>6984</v>
      </c>
      <c r="GZO19" t="s">
        <v>6984</v>
      </c>
      <c r="GZP19" t="s">
        <v>6984</v>
      </c>
      <c r="GZQ19" t="s">
        <v>6984</v>
      </c>
      <c r="GZR19" t="s">
        <v>6984</v>
      </c>
      <c r="GZS19" t="s">
        <v>6984</v>
      </c>
      <c r="GZT19" t="s">
        <v>6984</v>
      </c>
      <c r="GZU19" t="s">
        <v>6984</v>
      </c>
      <c r="GZV19" t="s">
        <v>6984</v>
      </c>
      <c r="GZW19" t="s">
        <v>6984</v>
      </c>
      <c r="GZX19" t="s">
        <v>6984</v>
      </c>
      <c r="GZY19" t="s">
        <v>6984</v>
      </c>
      <c r="GZZ19" t="s">
        <v>6984</v>
      </c>
      <c r="HAA19" t="s">
        <v>6984</v>
      </c>
      <c r="HAB19" t="s">
        <v>6984</v>
      </c>
      <c r="HAC19" t="s">
        <v>6984</v>
      </c>
      <c r="HAD19" t="s">
        <v>6984</v>
      </c>
      <c r="HAE19" t="s">
        <v>6984</v>
      </c>
      <c r="HAF19" t="s">
        <v>6984</v>
      </c>
      <c r="HAG19" t="s">
        <v>6984</v>
      </c>
      <c r="HAH19" t="s">
        <v>6984</v>
      </c>
      <c r="HAI19" t="s">
        <v>6984</v>
      </c>
      <c r="HAJ19" t="s">
        <v>6984</v>
      </c>
      <c r="HAK19" t="s">
        <v>6984</v>
      </c>
      <c r="HAL19" t="s">
        <v>6984</v>
      </c>
      <c r="HAM19" t="s">
        <v>6984</v>
      </c>
      <c r="HAN19" t="s">
        <v>6984</v>
      </c>
      <c r="HAO19" t="s">
        <v>6984</v>
      </c>
      <c r="HAP19" t="s">
        <v>6984</v>
      </c>
      <c r="HAQ19" t="s">
        <v>6984</v>
      </c>
      <c r="HAR19" t="s">
        <v>6984</v>
      </c>
      <c r="HAS19" t="s">
        <v>6984</v>
      </c>
      <c r="HAT19" t="s">
        <v>6984</v>
      </c>
      <c r="HAU19" t="s">
        <v>6984</v>
      </c>
      <c r="HAV19" t="s">
        <v>6984</v>
      </c>
      <c r="HAW19" t="s">
        <v>6984</v>
      </c>
      <c r="HAX19" t="s">
        <v>6984</v>
      </c>
      <c r="HAY19" t="s">
        <v>6984</v>
      </c>
      <c r="HAZ19" t="s">
        <v>6984</v>
      </c>
      <c r="HBA19" t="s">
        <v>6984</v>
      </c>
      <c r="HBB19" t="s">
        <v>6984</v>
      </c>
      <c r="HBC19" t="s">
        <v>6984</v>
      </c>
      <c r="HBD19" t="s">
        <v>6984</v>
      </c>
      <c r="HBE19" t="s">
        <v>6984</v>
      </c>
      <c r="HBF19" t="s">
        <v>6984</v>
      </c>
      <c r="HBG19" t="s">
        <v>6984</v>
      </c>
      <c r="HBH19" t="s">
        <v>6984</v>
      </c>
      <c r="HBI19" t="s">
        <v>6984</v>
      </c>
      <c r="HBJ19" t="s">
        <v>6984</v>
      </c>
      <c r="HBK19" t="s">
        <v>6984</v>
      </c>
      <c r="HBL19" t="s">
        <v>6984</v>
      </c>
      <c r="HBM19" t="s">
        <v>6984</v>
      </c>
      <c r="HBN19" t="s">
        <v>6984</v>
      </c>
      <c r="HBO19" t="s">
        <v>6984</v>
      </c>
      <c r="HBP19" t="s">
        <v>6984</v>
      </c>
      <c r="HBQ19" t="s">
        <v>6984</v>
      </c>
      <c r="HBR19" t="s">
        <v>6984</v>
      </c>
      <c r="HBS19" t="s">
        <v>6984</v>
      </c>
      <c r="HBT19" t="s">
        <v>6984</v>
      </c>
      <c r="HBU19" t="s">
        <v>6984</v>
      </c>
      <c r="HBV19" t="s">
        <v>6984</v>
      </c>
      <c r="HBW19" t="s">
        <v>6984</v>
      </c>
      <c r="HBX19" t="s">
        <v>6984</v>
      </c>
      <c r="HBY19" t="s">
        <v>6984</v>
      </c>
      <c r="HBZ19" t="s">
        <v>6984</v>
      </c>
      <c r="HCA19" t="s">
        <v>6984</v>
      </c>
      <c r="HCB19" t="s">
        <v>6984</v>
      </c>
      <c r="HCC19" t="s">
        <v>6984</v>
      </c>
      <c r="HCD19" t="s">
        <v>6984</v>
      </c>
      <c r="HCE19" t="s">
        <v>6984</v>
      </c>
      <c r="HCF19" t="s">
        <v>6984</v>
      </c>
      <c r="HCG19" t="s">
        <v>6984</v>
      </c>
      <c r="HCH19" t="s">
        <v>6984</v>
      </c>
      <c r="HCI19" t="s">
        <v>6984</v>
      </c>
      <c r="HCJ19" t="s">
        <v>6984</v>
      </c>
      <c r="HCK19" t="s">
        <v>6984</v>
      </c>
      <c r="HCL19" t="s">
        <v>6984</v>
      </c>
      <c r="HCM19" t="s">
        <v>6984</v>
      </c>
      <c r="HCN19" t="s">
        <v>6984</v>
      </c>
      <c r="HCO19" t="s">
        <v>6984</v>
      </c>
      <c r="HCP19" t="s">
        <v>6984</v>
      </c>
      <c r="HCQ19" t="s">
        <v>6984</v>
      </c>
      <c r="HCR19" t="s">
        <v>6984</v>
      </c>
      <c r="HCS19" t="s">
        <v>6984</v>
      </c>
      <c r="HCT19" t="s">
        <v>6984</v>
      </c>
      <c r="HCU19" t="s">
        <v>6984</v>
      </c>
      <c r="HCV19" t="s">
        <v>6984</v>
      </c>
      <c r="HCW19" t="s">
        <v>6984</v>
      </c>
      <c r="HCX19" t="s">
        <v>6984</v>
      </c>
      <c r="HCY19" t="s">
        <v>6984</v>
      </c>
      <c r="HCZ19" t="s">
        <v>6984</v>
      </c>
      <c r="HDA19" t="s">
        <v>6984</v>
      </c>
      <c r="HDB19" t="s">
        <v>6984</v>
      </c>
      <c r="HDC19" t="s">
        <v>6984</v>
      </c>
      <c r="HDD19" t="s">
        <v>6984</v>
      </c>
      <c r="HDE19" t="s">
        <v>6984</v>
      </c>
      <c r="HDF19" t="s">
        <v>6984</v>
      </c>
      <c r="HDG19" t="s">
        <v>6984</v>
      </c>
      <c r="HDH19" t="s">
        <v>6984</v>
      </c>
      <c r="HDI19" t="s">
        <v>6984</v>
      </c>
      <c r="HDJ19" t="s">
        <v>6984</v>
      </c>
      <c r="HDK19" t="s">
        <v>6984</v>
      </c>
      <c r="HDL19" t="s">
        <v>6984</v>
      </c>
      <c r="HDM19" t="s">
        <v>6984</v>
      </c>
      <c r="HDN19" t="s">
        <v>6984</v>
      </c>
      <c r="HDO19" t="s">
        <v>6984</v>
      </c>
      <c r="HDP19" t="s">
        <v>6984</v>
      </c>
      <c r="HDQ19" t="s">
        <v>6984</v>
      </c>
      <c r="HDR19" t="s">
        <v>6984</v>
      </c>
      <c r="HDS19" t="s">
        <v>6984</v>
      </c>
      <c r="HDT19" t="s">
        <v>6984</v>
      </c>
      <c r="HDU19" t="s">
        <v>6984</v>
      </c>
      <c r="HDV19" t="s">
        <v>6984</v>
      </c>
      <c r="HDW19" t="s">
        <v>6984</v>
      </c>
      <c r="HDX19" t="s">
        <v>6984</v>
      </c>
      <c r="HDY19" t="s">
        <v>6984</v>
      </c>
      <c r="HDZ19" t="s">
        <v>6984</v>
      </c>
      <c r="HEA19" t="s">
        <v>6984</v>
      </c>
      <c r="HEB19" t="s">
        <v>6984</v>
      </c>
      <c r="HEC19" t="s">
        <v>6984</v>
      </c>
      <c r="HED19" t="s">
        <v>6984</v>
      </c>
      <c r="HEE19" t="s">
        <v>6984</v>
      </c>
      <c r="HEF19" t="s">
        <v>6984</v>
      </c>
      <c r="HEG19" t="s">
        <v>6984</v>
      </c>
      <c r="HEH19" t="s">
        <v>6984</v>
      </c>
      <c r="HEI19" t="s">
        <v>6984</v>
      </c>
      <c r="HEJ19" t="s">
        <v>6984</v>
      </c>
      <c r="HEK19" t="s">
        <v>6984</v>
      </c>
      <c r="HEL19" t="s">
        <v>6984</v>
      </c>
      <c r="HEM19" t="s">
        <v>6984</v>
      </c>
      <c r="HEN19" t="s">
        <v>6984</v>
      </c>
      <c r="HEO19" t="s">
        <v>6984</v>
      </c>
      <c r="HEP19" t="s">
        <v>6984</v>
      </c>
      <c r="HEQ19" t="s">
        <v>6984</v>
      </c>
      <c r="HER19" t="s">
        <v>6984</v>
      </c>
      <c r="HES19" t="s">
        <v>6984</v>
      </c>
      <c r="HET19" t="s">
        <v>6984</v>
      </c>
      <c r="HEU19" t="s">
        <v>6984</v>
      </c>
      <c r="HEV19" t="s">
        <v>6984</v>
      </c>
      <c r="HEW19" t="s">
        <v>6984</v>
      </c>
      <c r="HEX19" t="s">
        <v>6984</v>
      </c>
      <c r="HEY19" t="s">
        <v>6984</v>
      </c>
      <c r="HEZ19" t="s">
        <v>6984</v>
      </c>
      <c r="HFA19" t="s">
        <v>6984</v>
      </c>
      <c r="HFB19" t="s">
        <v>6984</v>
      </c>
      <c r="HFC19" t="s">
        <v>6984</v>
      </c>
      <c r="HFD19" t="s">
        <v>6984</v>
      </c>
      <c r="HFE19" t="s">
        <v>6984</v>
      </c>
      <c r="HFF19" t="s">
        <v>6984</v>
      </c>
      <c r="HFG19" t="s">
        <v>6984</v>
      </c>
      <c r="HFH19" t="s">
        <v>6984</v>
      </c>
      <c r="HFI19" t="s">
        <v>6984</v>
      </c>
      <c r="HFJ19" t="s">
        <v>6984</v>
      </c>
      <c r="HFK19" t="s">
        <v>6984</v>
      </c>
      <c r="HFL19" t="s">
        <v>6984</v>
      </c>
      <c r="HFM19" t="s">
        <v>6984</v>
      </c>
      <c r="HFN19" t="s">
        <v>6984</v>
      </c>
      <c r="HFO19" t="s">
        <v>6984</v>
      </c>
      <c r="HFP19" t="s">
        <v>6984</v>
      </c>
      <c r="HFQ19" t="s">
        <v>6984</v>
      </c>
      <c r="HFR19" t="s">
        <v>6984</v>
      </c>
      <c r="HFS19" t="s">
        <v>6984</v>
      </c>
      <c r="HFT19" t="s">
        <v>6984</v>
      </c>
      <c r="HFU19" t="s">
        <v>6984</v>
      </c>
      <c r="HFV19" t="s">
        <v>6984</v>
      </c>
      <c r="HFW19" t="s">
        <v>6984</v>
      </c>
      <c r="HFX19" t="s">
        <v>6984</v>
      </c>
      <c r="HFY19" t="s">
        <v>6984</v>
      </c>
      <c r="HFZ19" t="s">
        <v>6984</v>
      </c>
      <c r="HGA19" t="s">
        <v>6984</v>
      </c>
      <c r="HGB19" t="s">
        <v>6984</v>
      </c>
      <c r="HGC19" t="s">
        <v>6984</v>
      </c>
      <c r="HGD19" t="s">
        <v>6984</v>
      </c>
      <c r="HGE19" t="s">
        <v>6984</v>
      </c>
      <c r="HGF19" t="s">
        <v>6984</v>
      </c>
      <c r="HGG19" t="s">
        <v>6984</v>
      </c>
      <c r="HGH19" t="s">
        <v>6984</v>
      </c>
      <c r="HGI19" t="s">
        <v>6984</v>
      </c>
      <c r="HGJ19" t="s">
        <v>6984</v>
      </c>
      <c r="HGK19" t="s">
        <v>6984</v>
      </c>
      <c r="HGL19" t="s">
        <v>6984</v>
      </c>
      <c r="HGM19" t="s">
        <v>6984</v>
      </c>
      <c r="HGN19" t="s">
        <v>6984</v>
      </c>
      <c r="HGO19" t="s">
        <v>6984</v>
      </c>
      <c r="HGP19" t="s">
        <v>6984</v>
      </c>
      <c r="HGQ19" t="s">
        <v>6984</v>
      </c>
      <c r="HGR19" t="s">
        <v>6984</v>
      </c>
      <c r="HGS19" t="s">
        <v>6984</v>
      </c>
      <c r="HGT19" t="s">
        <v>6984</v>
      </c>
      <c r="HGU19" t="s">
        <v>6984</v>
      </c>
      <c r="HGV19" t="s">
        <v>6984</v>
      </c>
      <c r="HGW19" t="s">
        <v>6984</v>
      </c>
      <c r="HGX19" t="s">
        <v>6984</v>
      </c>
      <c r="HGY19" t="s">
        <v>6984</v>
      </c>
      <c r="HGZ19" t="s">
        <v>6984</v>
      </c>
      <c r="HHA19" t="s">
        <v>6984</v>
      </c>
      <c r="HHB19" t="s">
        <v>6984</v>
      </c>
      <c r="HHC19" t="s">
        <v>6984</v>
      </c>
      <c r="HHD19" t="s">
        <v>6984</v>
      </c>
      <c r="HHE19" t="s">
        <v>6984</v>
      </c>
      <c r="HHF19" t="s">
        <v>6984</v>
      </c>
      <c r="HHG19" t="s">
        <v>6984</v>
      </c>
      <c r="HHH19" t="s">
        <v>6984</v>
      </c>
      <c r="HHI19" t="s">
        <v>6984</v>
      </c>
      <c r="HHJ19" t="s">
        <v>6984</v>
      </c>
      <c r="HHK19" t="s">
        <v>6984</v>
      </c>
      <c r="HHL19" t="s">
        <v>6984</v>
      </c>
      <c r="HHM19" t="s">
        <v>6984</v>
      </c>
      <c r="HHN19" t="s">
        <v>6984</v>
      </c>
      <c r="HHO19" t="s">
        <v>6984</v>
      </c>
      <c r="HHP19" t="s">
        <v>6984</v>
      </c>
      <c r="HHQ19" t="s">
        <v>6984</v>
      </c>
      <c r="HHR19" t="s">
        <v>6984</v>
      </c>
      <c r="HHS19" t="s">
        <v>6984</v>
      </c>
      <c r="HHT19" t="s">
        <v>6984</v>
      </c>
      <c r="HHU19" t="s">
        <v>6984</v>
      </c>
      <c r="HHV19" t="s">
        <v>6984</v>
      </c>
      <c r="HHW19" t="s">
        <v>6984</v>
      </c>
      <c r="HHX19" t="s">
        <v>6984</v>
      </c>
      <c r="HHY19" t="s">
        <v>6984</v>
      </c>
      <c r="HHZ19" t="s">
        <v>6984</v>
      </c>
      <c r="HIA19" t="s">
        <v>6984</v>
      </c>
      <c r="HIB19" t="s">
        <v>6984</v>
      </c>
      <c r="HIC19" t="s">
        <v>6984</v>
      </c>
      <c r="HID19" t="s">
        <v>6984</v>
      </c>
      <c r="HIE19" t="s">
        <v>6984</v>
      </c>
      <c r="HIF19" t="s">
        <v>6984</v>
      </c>
      <c r="HIG19" t="s">
        <v>6984</v>
      </c>
      <c r="HIH19" t="s">
        <v>6984</v>
      </c>
      <c r="HII19" t="s">
        <v>6984</v>
      </c>
      <c r="HIJ19" t="s">
        <v>6984</v>
      </c>
      <c r="HIK19" t="s">
        <v>6984</v>
      </c>
      <c r="HIL19" t="s">
        <v>6984</v>
      </c>
      <c r="HIM19" t="s">
        <v>6984</v>
      </c>
      <c r="HIN19" t="s">
        <v>6984</v>
      </c>
      <c r="HIO19" t="s">
        <v>6984</v>
      </c>
      <c r="HIP19" t="s">
        <v>6984</v>
      </c>
      <c r="HIQ19" t="s">
        <v>6984</v>
      </c>
      <c r="HIR19" t="s">
        <v>6984</v>
      </c>
      <c r="HIS19" t="s">
        <v>6984</v>
      </c>
      <c r="HIT19" t="s">
        <v>6984</v>
      </c>
      <c r="HIU19" t="s">
        <v>6984</v>
      </c>
      <c r="HIV19" t="s">
        <v>6984</v>
      </c>
      <c r="HIW19" t="s">
        <v>6984</v>
      </c>
      <c r="HIX19" t="s">
        <v>6984</v>
      </c>
      <c r="HIY19" t="s">
        <v>6984</v>
      </c>
      <c r="HIZ19" t="s">
        <v>6984</v>
      </c>
      <c r="HJA19" t="s">
        <v>6984</v>
      </c>
      <c r="HJB19" t="s">
        <v>6984</v>
      </c>
      <c r="HJC19" t="s">
        <v>6984</v>
      </c>
      <c r="HJD19" t="s">
        <v>6984</v>
      </c>
      <c r="HJE19" t="s">
        <v>6984</v>
      </c>
      <c r="HJF19" t="s">
        <v>6984</v>
      </c>
      <c r="HJG19" t="s">
        <v>6984</v>
      </c>
      <c r="HJH19" t="s">
        <v>6984</v>
      </c>
      <c r="HJI19" t="s">
        <v>6984</v>
      </c>
      <c r="HJJ19" t="s">
        <v>6984</v>
      </c>
      <c r="HJK19" t="s">
        <v>6984</v>
      </c>
      <c r="HJL19" t="s">
        <v>6984</v>
      </c>
      <c r="HJM19" t="s">
        <v>6984</v>
      </c>
      <c r="HJN19" t="s">
        <v>6984</v>
      </c>
      <c r="HJO19" t="s">
        <v>6984</v>
      </c>
      <c r="HJP19" t="s">
        <v>6984</v>
      </c>
      <c r="HJQ19" t="s">
        <v>6984</v>
      </c>
      <c r="HJR19" t="s">
        <v>6984</v>
      </c>
      <c r="HJS19" t="s">
        <v>6984</v>
      </c>
      <c r="HJT19" t="s">
        <v>6984</v>
      </c>
      <c r="HJU19" t="s">
        <v>6984</v>
      </c>
      <c r="HJV19" t="s">
        <v>6984</v>
      </c>
      <c r="HJW19" t="s">
        <v>6984</v>
      </c>
      <c r="HJX19" t="s">
        <v>6984</v>
      </c>
      <c r="HJY19" t="s">
        <v>6984</v>
      </c>
      <c r="HJZ19" t="s">
        <v>6984</v>
      </c>
      <c r="HKA19" t="s">
        <v>6984</v>
      </c>
      <c r="HKB19" t="s">
        <v>6984</v>
      </c>
      <c r="HKC19" t="s">
        <v>6984</v>
      </c>
      <c r="HKD19" t="s">
        <v>6984</v>
      </c>
      <c r="HKE19" t="s">
        <v>6984</v>
      </c>
      <c r="HKF19" t="s">
        <v>6984</v>
      </c>
      <c r="HKG19" t="s">
        <v>6984</v>
      </c>
      <c r="HKH19" t="s">
        <v>6984</v>
      </c>
      <c r="HKI19" t="s">
        <v>6984</v>
      </c>
      <c r="HKJ19" t="s">
        <v>6984</v>
      </c>
      <c r="HKK19" t="s">
        <v>6984</v>
      </c>
      <c r="HKL19" t="s">
        <v>6984</v>
      </c>
      <c r="HKM19" t="s">
        <v>6984</v>
      </c>
      <c r="HKN19" t="s">
        <v>6984</v>
      </c>
      <c r="HKO19" t="s">
        <v>6984</v>
      </c>
      <c r="HKP19" t="s">
        <v>6984</v>
      </c>
      <c r="HKQ19" t="s">
        <v>6984</v>
      </c>
      <c r="HKR19" t="s">
        <v>6984</v>
      </c>
      <c r="HKS19" t="s">
        <v>6984</v>
      </c>
      <c r="HKT19" t="s">
        <v>6984</v>
      </c>
      <c r="HKU19" t="s">
        <v>6984</v>
      </c>
      <c r="HKV19" t="s">
        <v>6984</v>
      </c>
      <c r="HKW19" t="s">
        <v>6984</v>
      </c>
      <c r="HKX19" t="s">
        <v>6984</v>
      </c>
      <c r="HKY19" t="s">
        <v>6984</v>
      </c>
      <c r="HKZ19" t="s">
        <v>6984</v>
      </c>
      <c r="HLA19" t="s">
        <v>6984</v>
      </c>
      <c r="HLB19" t="s">
        <v>6984</v>
      </c>
      <c r="HLC19" t="s">
        <v>6984</v>
      </c>
      <c r="HLD19" t="s">
        <v>6984</v>
      </c>
      <c r="HLE19" t="s">
        <v>6984</v>
      </c>
      <c r="HLF19" t="s">
        <v>6984</v>
      </c>
      <c r="HLG19" t="s">
        <v>6984</v>
      </c>
      <c r="HLH19" t="s">
        <v>6984</v>
      </c>
      <c r="HLI19" t="s">
        <v>6984</v>
      </c>
      <c r="HLJ19" t="s">
        <v>6984</v>
      </c>
      <c r="HLK19" t="s">
        <v>6984</v>
      </c>
      <c r="HLL19" t="s">
        <v>6984</v>
      </c>
      <c r="HLM19" t="s">
        <v>6984</v>
      </c>
      <c r="HLN19" t="s">
        <v>6984</v>
      </c>
      <c r="HLO19" t="s">
        <v>6984</v>
      </c>
      <c r="HLP19" t="s">
        <v>6984</v>
      </c>
      <c r="HLQ19" t="s">
        <v>6984</v>
      </c>
      <c r="HLR19" t="s">
        <v>6984</v>
      </c>
      <c r="HLS19" t="s">
        <v>6984</v>
      </c>
      <c r="HLT19" t="s">
        <v>6984</v>
      </c>
      <c r="HLU19" t="s">
        <v>6984</v>
      </c>
      <c r="HLV19" t="s">
        <v>6984</v>
      </c>
      <c r="HLW19" t="s">
        <v>6984</v>
      </c>
      <c r="HLX19" t="s">
        <v>6984</v>
      </c>
      <c r="HLY19" t="s">
        <v>6984</v>
      </c>
      <c r="HLZ19" t="s">
        <v>6984</v>
      </c>
      <c r="HMA19" t="s">
        <v>6984</v>
      </c>
      <c r="HMB19" t="s">
        <v>6984</v>
      </c>
      <c r="HMC19" t="s">
        <v>6984</v>
      </c>
      <c r="HMD19" t="s">
        <v>6984</v>
      </c>
      <c r="HME19" t="s">
        <v>6984</v>
      </c>
      <c r="HMF19" t="s">
        <v>6984</v>
      </c>
      <c r="HMG19" t="s">
        <v>6984</v>
      </c>
      <c r="HMH19" t="s">
        <v>6984</v>
      </c>
      <c r="HMI19" t="s">
        <v>6984</v>
      </c>
      <c r="HMJ19" t="s">
        <v>6984</v>
      </c>
      <c r="HMK19" t="s">
        <v>6984</v>
      </c>
      <c r="HML19" t="s">
        <v>6984</v>
      </c>
      <c r="HMM19" t="s">
        <v>6984</v>
      </c>
      <c r="HMN19" t="s">
        <v>6984</v>
      </c>
      <c r="HMO19" t="s">
        <v>6984</v>
      </c>
      <c r="HMP19" t="s">
        <v>6984</v>
      </c>
      <c r="HMQ19" t="s">
        <v>6984</v>
      </c>
      <c r="HMR19" t="s">
        <v>6984</v>
      </c>
      <c r="HMS19" t="s">
        <v>6984</v>
      </c>
      <c r="HMT19" t="s">
        <v>6984</v>
      </c>
      <c r="HMU19" t="s">
        <v>6984</v>
      </c>
      <c r="HMV19" t="s">
        <v>6984</v>
      </c>
      <c r="HMW19" t="s">
        <v>6984</v>
      </c>
      <c r="HMX19" t="s">
        <v>6984</v>
      </c>
      <c r="HMY19" t="s">
        <v>6984</v>
      </c>
      <c r="HMZ19" t="s">
        <v>6984</v>
      </c>
      <c r="HNA19" t="s">
        <v>6984</v>
      </c>
      <c r="HNB19" t="s">
        <v>6984</v>
      </c>
      <c r="HNC19" t="s">
        <v>6984</v>
      </c>
      <c r="HND19" t="s">
        <v>6984</v>
      </c>
      <c r="HNE19" t="s">
        <v>6984</v>
      </c>
      <c r="HNF19" t="s">
        <v>6984</v>
      </c>
      <c r="HNG19" t="s">
        <v>6984</v>
      </c>
      <c r="HNH19" t="s">
        <v>6984</v>
      </c>
      <c r="HNI19" t="s">
        <v>6984</v>
      </c>
      <c r="HNJ19" t="s">
        <v>6984</v>
      </c>
      <c r="HNK19" t="s">
        <v>6984</v>
      </c>
      <c r="HNL19" t="s">
        <v>6984</v>
      </c>
      <c r="HNM19" t="s">
        <v>6984</v>
      </c>
      <c r="HNN19" t="s">
        <v>6984</v>
      </c>
      <c r="HNO19" t="s">
        <v>6984</v>
      </c>
      <c r="HNP19" t="s">
        <v>6984</v>
      </c>
      <c r="HNQ19" t="s">
        <v>6984</v>
      </c>
      <c r="HNR19" t="s">
        <v>6984</v>
      </c>
      <c r="HNS19" t="s">
        <v>6984</v>
      </c>
      <c r="HNT19" t="s">
        <v>6984</v>
      </c>
      <c r="HNU19" t="s">
        <v>6984</v>
      </c>
      <c r="HNV19" t="s">
        <v>6984</v>
      </c>
      <c r="HNW19" t="s">
        <v>6984</v>
      </c>
      <c r="HNX19" t="s">
        <v>6984</v>
      </c>
      <c r="HNY19" t="s">
        <v>6984</v>
      </c>
      <c r="HNZ19" t="s">
        <v>6984</v>
      </c>
      <c r="HOA19" t="s">
        <v>6984</v>
      </c>
      <c r="HOB19" t="s">
        <v>6984</v>
      </c>
      <c r="HOC19" t="s">
        <v>6984</v>
      </c>
      <c r="HOD19" t="s">
        <v>6984</v>
      </c>
      <c r="HOE19" t="s">
        <v>6984</v>
      </c>
      <c r="HOF19" t="s">
        <v>6984</v>
      </c>
      <c r="HOG19" t="s">
        <v>6984</v>
      </c>
      <c r="HOH19" t="s">
        <v>6984</v>
      </c>
      <c r="HOI19" t="s">
        <v>6984</v>
      </c>
      <c r="HOJ19" t="s">
        <v>6984</v>
      </c>
      <c r="HOK19" t="s">
        <v>6984</v>
      </c>
      <c r="HOL19" t="s">
        <v>6984</v>
      </c>
      <c r="HOM19" t="s">
        <v>6984</v>
      </c>
      <c r="HON19" t="s">
        <v>6984</v>
      </c>
      <c r="HOO19" t="s">
        <v>6984</v>
      </c>
      <c r="HOP19" t="s">
        <v>6984</v>
      </c>
      <c r="HOQ19" t="s">
        <v>6984</v>
      </c>
      <c r="HOR19" t="s">
        <v>6984</v>
      </c>
      <c r="HOS19" t="s">
        <v>6984</v>
      </c>
      <c r="HOT19" t="s">
        <v>6984</v>
      </c>
      <c r="HOU19" t="s">
        <v>6984</v>
      </c>
      <c r="HOV19" t="s">
        <v>6984</v>
      </c>
      <c r="HOW19" t="s">
        <v>6984</v>
      </c>
      <c r="HOX19" t="s">
        <v>6984</v>
      </c>
      <c r="HOY19" t="s">
        <v>6984</v>
      </c>
      <c r="HOZ19" t="s">
        <v>6984</v>
      </c>
      <c r="HPA19" t="s">
        <v>6984</v>
      </c>
      <c r="HPB19" t="s">
        <v>6984</v>
      </c>
      <c r="HPC19" t="s">
        <v>6984</v>
      </c>
      <c r="HPD19" t="s">
        <v>6984</v>
      </c>
      <c r="HPE19" t="s">
        <v>6984</v>
      </c>
      <c r="HPF19" t="s">
        <v>6984</v>
      </c>
      <c r="HPG19" t="s">
        <v>6984</v>
      </c>
      <c r="HPH19" t="s">
        <v>6984</v>
      </c>
      <c r="HPI19" t="s">
        <v>6984</v>
      </c>
      <c r="HPJ19" t="s">
        <v>6984</v>
      </c>
      <c r="HPK19" t="s">
        <v>6984</v>
      </c>
      <c r="HPL19" t="s">
        <v>6984</v>
      </c>
      <c r="HPM19" t="s">
        <v>6984</v>
      </c>
      <c r="HPN19" t="s">
        <v>6984</v>
      </c>
      <c r="HPO19" t="s">
        <v>6984</v>
      </c>
      <c r="HPP19" t="s">
        <v>6984</v>
      </c>
      <c r="HPQ19" t="s">
        <v>6984</v>
      </c>
      <c r="HPR19" t="s">
        <v>6984</v>
      </c>
      <c r="HPS19" t="s">
        <v>6984</v>
      </c>
      <c r="HPT19" t="s">
        <v>6984</v>
      </c>
      <c r="HPU19" t="s">
        <v>6984</v>
      </c>
      <c r="HPV19" t="s">
        <v>6984</v>
      </c>
      <c r="HPW19" t="s">
        <v>6984</v>
      </c>
      <c r="HPX19" t="s">
        <v>6984</v>
      </c>
      <c r="HPY19" t="s">
        <v>6984</v>
      </c>
      <c r="HPZ19" t="s">
        <v>6984</v>
      </c>
      <c r="HQA19" t="s">
        <v>6984</v>
      </c>
      <c r="HQB19" t="s">
        <v>6984</v>
      </c>
      <c r="HQC19" t="s">
        <v>6984</v>
      </c>
      <c r="HQD19" t="s">
        <v>6984</v>
      </c>
      <c r="HQE19" t="s">
        <v>6984</v>
      </c>
      <c r="HQF19" t="s">
        <v>6984</v>
      </c>
      <c r="HQG19" t="s">
        <v>6984</v>
      </c>
      <c r="HQH19" t="s">
        <v>6984</v>
      </c>
      <c r="HQI19" t="s">
        <v>6984</v>
      </c>
      <c r="HQJ19" t="s">
        <v>6984</v>
      </c>
      <c r="HQK19" t="s">
        <v>6984</v>
      </c>
      <c r="HQL19" t="s">
        <v>6984</v>
      </c>
      <c r="HQM19" t="s">
        <v>6984</v>
      </c>
      <c r="HQN19" t="s">
        <v>6984</v>
      </c>
      <c r="HQO19" t="s">
        <v>6984</v>
      </c>
      <c r="HQP19" t="s">
        <v>6984</v>
      </c>
      <c r="HQQ19" t="s">
        <v>6984</v>
      </c>
      <c r="HQR19" t="s">
        <v>6984</v>
      </c>
      <c r="HQS19" t="s">
        <v>6984</v>
      </c>
      <c r="HQT19" t="s">
        <v>6984</v>
      </c>
      <c r="HQU19" t="s">
        <v>6984</v>
      </c>
      <c r="HQV19" t="s">
        <v>6984</v>
      </c>
      <c r="HQW19" t="s">
        <v>6984</v>
      </c>
      <c r="HQX19" t="s">
        <v>6984</v>
      </c>
      <c r="HQY19" t="s">
        <v>6984</v>
      </c>
      <c r="HQZ19" t="s">
        <v>6984</v>
      </c>
      <c r="HRA19" t="s">
        <v>6984</v>
      </c>
      <c r="HRB19" t="s">
        <v>6984</v>
      </c>
      <c r="HRC19" t="s">
        <v>6984</v>
      </c>
      <c r="HRD19" t="s">
        <v>6984</v>
      </c>
      <c r="HRE19" t="s">
        <v>6984</v>
      </c>
      <c r="HRF19" t="s">
        <v>6984</v>
      </c>
      <c r="HRG19" t="s">
        <v>6984</v>
      </c>
      <c r="HRH19" t="s">
        <v>6984</v>
      </c>
      <c r="HRI19" t="s">
        <v>6984</v>
      </c>
      <c r="HRJ19" t="s">
        <v>6984</v>
      </c>
      <c r="HRK19" t="s">
        <v>6984</v>
      </c>
      <c r="HRL19" t="s">
        <v>6984</v>
      </c>
      <c r="HRM19" t="s">
        <v>6984</v>
      </c>
      <c r="HRN19" t="s">
        <v>6984</v>
      </c>
      <c r="HRO19" t="s">
        <v>6984</v>
      </c>
      <c r="HRP19" t="s">
        <v>6984</v>
      </c>
      <c r="HRQ19" t="s">
        <v>6984</v>
      </c>
      <c r="HRR19" t="s">
        <v>6984</v>
      </c>
      <c r="HRS19" t="s">
        <v>6984</v>
      </c>
      <c r="HRT19" t="s">
        <v>6984</v>
      </c>
      <c r="HRU19" t="s">
        <v>6984</v>
      </c>
      <c r="HRV19" t="s">
        <v>6984</v>
      </c>
      <c r="HRW19" t="s">
        <v>6984</v>
      </c>
      <c r="HRX19" t="s">
        <v>6984</v>
      </c>
      <c r="HRY19" t="s">
        <v>6984</v>
      </c>
      <c r="HRZ19" t="s">
        <v>6984</v>
      </c>
      <c r="HSA19" t="s">
        <v>6984</v>
      </c>
      <c r="HSB19" t="s">
        <v>6984</v>
      </c>
      <c r="HSC19" t="s">
        <v>6984</v>
      </c>
      <c r="HSD19" t="s">
        <v>6984</v>
      </c>
      <c r="HSE19" t="s">
        <v>6984</v>
      </c>
      <c r="HSF19" t="s">
        <v>6984</v>
      </c>
      <c r="HSG19" t="s">
        <v>6984</v>
      </c>
      <c r="HSH19" t="s">
        <v>6984</v>
      </c>
      <c r="HSI19" t="s">
        <v>6984</v>
      </c>
      <c r="HSJ19" t="s">
        <v>6984</v>
      </c>
      <c r="HSK19" t="s">
        <v>6984</v>
      </c>
      <c r="HSL19" t="s">
        <v>6984</v>
      </c>
      <c r="HSM19" t="s">
        <v>6984</v>
      </c>
      <c r="HSN19" t="s">
        <v>6984</v>
      </c>
      <c r="HSO19" t="s">
        <v>6984</v>
      </c>
      <c r="HSP19" t="s">
        <v>6984</v>
      </c>
      <c r="HSQ19" t="s">
        <v>6984</v>
      </c>
      <c r="HSR19" t="s">
        <v>6984</v>
      </c>
      <c r="HSS19" t="s">
        <v>6984</v>
      </c>
      <c r="HST19" t="s">
        <v>6984</v>
      </c>
      <c r="HSU19" t="s">
        <v>6984</v>
      </c>
      <c r="HSV19" t="s">
        <v>6984</v>
      </c>
      <c r="HSW19" t="s">
        <v>6984</v>
      </c>
      <c r="HSX19" t="s">
        <v>6984</v>
      </c>
      <c r="HSY19" t="s">
        <v>6984</v>
      </c>
      <c r="HSZ19" t="s">
        <v>6984</v>
      </c>
      <c r="HTA19" t="s">
        <v>6984</v>
      </c>
      <c r="HTB19" t="s">
        <v>6984</v>
      </c>
      <c r="HTC19" t="s">
        <v>6984</v>
      </c>
      <c r="HTD19" t="s">
        <v>6984</v>
      </c>
      <c r="HTE19" t="s">
        <v>6984</v>
      </c>
      <c r="HTF19" t="s">
        <v>6984</v>
      </c>
      <c r="HTG19" t="s">
        <v>6984</v>
      </c>
      <c r="HTH19" t="s">
        <v>6984</v>
      </c>
      <c r="HTI19" t="s">
        <v>6984</v>
      </c>
      <c r="HTJ19" t="s">
        <v>6984</v>
      </c>
      <c r="HTK19" t="s">
        <v>6984</v>
      </c>
      <c r="HTL19" t="s">
        <v>6984</v>
      </c>
      <c r="HTM19" t="s">
        <v>6984</v>
      </c>
      <c r="HTN19" t="s">
        <v>6984</v>
      </c>
      <c r="HTO19" t="s">
        <v>6984</v>
      </c>
      <c r="HTP19" t="s">
        <v>6984</v>
      </c>
      <c r="HTQ19" t="s">
        <v>6984</v>
      </c>
      <c r="HTR19" t="s">
        <v>6984</v>
      </c>
      <c r="HTS19" t="s">
        <v>6984</v>
      </c>
      <c r="HTT19" t="s">
        <v>6984</v>
      </c>
      <c r="HTU19" t="s">
        <v>6984</v>
      </c>
      <c r="HTV19" t="s">
        <v>6984</v>
      </c>
      <c r="HTW19" t="s">
        <v>6984</v>
      </c>
      <c r="HTX19" t="s">
        <v>6984</v>
      </c>
      <c r="HTY19" t="s">
        <v>6984</v>
      </c>
      <c r="HTZ19" t="s">
        <v>6984</v>
      </c>
      <c r="HUA19" t="s">
        <v>6984</v>
      </c>
      <c r="HUB19" t="s">
        <v>6984</v>
      </c>
      <c r="HUC19" t="s">
        <v>6984</v>
      </c>
      <c r="HUD19" t="s">
        <v>6984</v>
      </c>
      <c r="HUE19" t="s">
        <v>6984</v>
      </c>
      <c r="HUF19" t="s">
        <v>6984</v>
      </c>
      <c r="HUG19" t="s">
        <v>6984</v>
      </c>
      <c r="HUH19" t="s">
        <v>6984</v>
      </c>
      <c r="HUI19" t="s">
        <v>6984</v>
      </c>
      <c r="HUJ19" t="s">
        <v>6984</v>
      </c>
      <c r="HUK19" t="s">
        <v>6984</v>
      </c>
      <c r="HUL19" t="s">
        <v>6984</v>
      </c>
      <c r="HUM19" t="s">
        <v>6984</v>
      </c>
      <c r="HUN19" t="s">
        <v>6984</v>
      </c>
      <c r="HUO19" t="s">
        <v>6984</v>
      </c>
      <c r="HUP19" t="s">
        <v>6984</v>
      </c>
      <c r="HUQ19" t="s">
        <v>6984</v>
      </c>
      <c r="HUR19" t="s">
        <v>6984</v>
      </c>
      <c r="HUS19" t="s">
        <v>6984</v>
      </c>
      <c r="HUT19" t="s">
        <v>6984</v>
      </c>
      <c r="HUU19" t="s">
        <v>6984</v>
      </c>
      <c r="HUV19" t="s">
        <v>6984</v>
      </c>
      <c r="HUW19" t="s">
        <v>6984</v>
      </c>
      <c r="HUX19" t="s">
        <v>6984</v>
      </c>
      <c r="HUY19" t="s">
        <v>6984</v>
      </c>
      <c r="HUZ19" t="s">
        <v>6984</v>
      </c>
      <c r="HVA19" t="s">
        <v>6984</v>
      </c>
      <c r="HVB19" t="s">
        <v>6984</v>
      </c>
      <c r="HVC19" t="s">
        <v>6984</v>
      </c>
      <c r="HVD19" t="s">
        <v>6984</v>
      </c>
      <c r="HVE19" t="s">
        <v>6984</v>
      </c>
      <c r="HVF19" t="s">
        <v>6984</v>
      </c>
      <c r="HVG19" t="s">
        <v>6984</v>
      </c>
      <c r="HVH19" t="s">
        <v>6984</v>
      </c>
      <c r="HVI19" t="s">
        <v>6984</v>
      </c>
      <c r="HVJ19" t="s">
        <v>6984</v>
      </c>
      <c r="HVK19" t="s">
        <v>6984</v>
      </c>
      <c r="HVL19" t="s">
        <v>6984</v>
      </c>
      <c r="HVM19" t="s">
        <v>6984</v>
      </c>
      <c r="HVN19" t="s">
        <v>6984</v>
      </c>
      <c r="HVO19" t="s">
        <v>6984</v>
      </c>
      <c r="HVP19" t="s">
        <v>6984</v>
      </c>
      <c r="HVQ19" t="s">
        <v>6984</v>
      </c>
      <c r="HVR19" t="s">
        <v>6984</v>
      </c>
      <c r="HVS19" t="s">
        <v>6984</v>
      </c>
      <c r="HVT19" t="s">
        <v>6984</v>
      </c>
      <c r="HVU19" t="s">
        <v>6984</v>
      </c>
      <c r="HVV19" t="s">
        <v>6984</v>
      </c>
      <c r="HVW19" t="s">
        <v>6984</v>
      </c>
      <c r="HVX19" t="s">
        <v>6984</v>
      </c>
      <c r="HVY19" t="s">
        <v>6984</v>
      </c>
      <c r="HVZ19" t="s">
        <v>6984</v>
      </c>
      <c r="HWA19" t="s">
        <v>6984</v>
      </c>
      <c r="HWB19" t="s">
        <v>6984</v>
      </c>
      <c r="HWC19" t="s">
        <v>6984</v>
      </c>
      <c r="HWD19" t="s">
        <v>6984</v>
      </c>
      <c r="HWE19" t="s">
        <v>6984</v>
      </c>
      <c r="HWF19" t="s">
        <v>6984</v>
      </c>
      <c r="HWG19" t="s">
        <v>6984</v>
      </c>
      <c r="HWH19" t="s">
        <v>6984</v>
      </c>
      <c r="HWI19" t="s">
        <v>6984</v>
      </c>
      <c r="HWJ19" t="s">
        <v>6984</v>
      </c>
      <c r="HWK19" t="s">
        <v>6984</v>
      </c>
      <c r="HWL19" t="s">
        <v>6984</v>
      </c>
      <c r="HWM19" t="s">
        <v>6984</v>
      </c>
      <c r="HWN19" t="s">
        <v>6984</v>
      </c>
      <c r="HWO19" t="s">
        <v>6984</v>
      </c>
      <c r="HWP19" t="s">
        <v>6984</v>
      </c>
      <c r="HWQ19" t="s">
        <v>6984</v>
      </c>
      <c r="HWR19" t="s">
        <v>6984</v>
      </c>
      <c r="HWS19" t="s">
        <v>6984</v>
      </c>
      <c r="HWT19" t="s">
        <v>6984</v>
      </c>
      <c r="HWU19" t="s">
        <v>6984</v>
      </c>
      <c r="HWV19" t="s">
        <v>6984</v>
      </c>
      <c r="HWW19" t="s">
        <v>6984</v>
      </c>
      <c r="HWX19" t="s">
        <v>6984</v>
      </c>
      <c r="HWY19" t="s">
        <v>6984</v>
      </c>
      <c r="HWZ19" t="s">
        <v>6984</v>
      </c>
      <c r="HXA19" t="s">
        <v>6984</v>
      </c>
      <c r="HXB19" t="s">
        <v>6984</v>
      </c>
      <c r="HXC19" t="s">
        <v>6984</v>
      </c>
      <c r="HXD19" t="s">
        <v>6984</v>
      </c>
      <c r="HXE19" t="s">
        <v>6984</v>
      </c>
      <c r="HXF19" t="s">
        <v>6984</v>
      </c>
      <c r="HXG19" t="s">
        <v>6984</v>
      </c>
      <c r="HXH19" t="s">
        <v>6984</v>
      </c>
      <c r="HXI19" t="s">
        <v>6984</v>
      </c>
      <c r="HXJ19" t="s">
        <v>6984</v>
      </c>
      <c r="HXK19" t="s">
        <v>6984</v>
      </c>
      <c r="HXL19" t="s">
        <v>6984</v>
      </c>
      <c r="HXM19" t="s">
        <v>6984</v>
      </c>
      <c r="HXN19" t="s">
        <v>6984</v>
      </c>
      <c r="HXO19" t="s">
        <v>6984</v>
      </c>
      <c r="HXP19" t="s">
        <v>6984</v>
      </c>
      <c r="HXQ19" t="s">
        <v>6984</v>
      </c>
      <c r="HXR19" t="s">
        <v>6984</v>
      </c>
      <c r="HXS19" t="s">
        <v>6984</v>
      </c>
      <c r="HXT19" t="s">
        <v>6984</v>
      </c>
      <c r="HXU19" t="s">
        <v>6984</v>
      </c>
      <c r="HXV19" t="s">
        <v>6984</v>
      </c>
      <c r="HXW19" t="s">
        <v>6984</v>
      </c>
      <c r="HXX19" t="s">
        <v>6984</v>
      </c>
      <c r="HXY19" t="s">
        <v>6984</v>
      </c>
      <c r="HXZ19" t="s">
        <v>6984</v>
      </c>
      <c r="HYA19" t="s">
        <v>6984</v>
      </c>
      <c r="HYB19" t="s">
        <v>6984</v>
      </c>
      <c r="HYC19" t="s">
        <v>6984</v>
      </c>
      <c r="HYD19" t="s">
        <v>6984</v>
      </c>
      <c r="HYE19" t="s">
        <v>6984</v>
      </c>
      <c r="HYF19" t="s">
        <v>6984</v>
      </c>
      <c r="HYG19" t="s">
        <v>6984</v>
      </c>
      <c r="HYH19" t="s">
        <v>6984</v>
      </c>
      <c r="HYI19" t="s">
        <v>6984</v>
      </c>
      <c r="HYJ19" t="s">
        <v>6984</v>
      </c>
      <c r="HYK19" t="s">
        <v>6984</v>
      </c>
      <c r="HYL19" t="s">
        <v>6984</v>
      </c>
      <c r="HYM19" t="s">
        <v>6984</v>
      </c>
      <c r="HYN19" t="s">
        <v>6984</v>
      </c>
      <c r="HYO19" t="s">
        <v>6984</v>
      </c>
      <c r="HYP19" t="s">
        <v>6984</v>
      </c>
      <c r="HYQ19" t="s">
        <v>6984</v>
      </c>
      <c r="HYR19" t="s">
        <v>6984</v>
      </c>
      <c r="HYS19" t="s">
        <v>6984</v>
      </c>
      <c r="HYT19" t="s">
        <v>6984</v>
      </c>
      <c r="HYU19" t="s">
        <v>6984</v>
      </c>
      <c r="HYV19" t="s">
        <v>6984</v>
      </c>
      <c r="HYW19" t="s">
        <v>6984</v>
      </c>
      <c r="HYX19" t="s">
        <v>6984</v>
      </c>
      <c r="HYY19" t="s">
        <v>6984</v>
      </c>
      <c r="HYZ19" t="s">
        <v>6984</v>
      </c>
      <c r="HZA19" t="s">
        <v>6984</v>
      </c>
      <c r="HZB19" t="s">
        <v>6984</v>
      </c>
      <c r="HZC19" t="s">
        <v>6984</v>
      </c>
      <c r="HZD19" t="s">
        <v>6984</v>
      </c>
      <c r="HZE19" t="s">
        <v>6984</v>
      </c>
      <c r="HZF19" t="s">
        <v>6984</v>
      </c>
      <c r="HZG19" t="s">
        <v>6984</v>
      </c>
      <c r="HZH19" t="s">
        <v>6984</v>
      </c>
      <c r="HZI19" t="s">
        <v>6984</v>
      </c>
      <c r="HZJ19" t="s">
        <v>6984</v>
      </c>
      <c r="HZK19" t="s">
        <v>6984</v>
      </c>
      <c r="HZL19" t="s">
        <v>6984</v>
      </c>
      <c r="HZM19" t="s">
        <v>6984</v>
      </c>
      <c r="HZN19" t="s">
        <v>6984</v>
      </c>
      <c r="HZO19" t="s">
        <v>6984</v>
      </c>
      <c r="HZP19" t="s">
        <v>6984</v>
      </c>
      <c r="HZQ19" t="s">
        <v>6984</v>
      </c>
      <c r="HZR19" t="s">
        <v>6984</v>
      </c>
      <c r="HZS19" t="s">
        <v>6984</v>
      </c>
      <c r="HZT19" t="s">
        <v>6984</v>
      </c>
      <c r="HZU19" t="s">
        <v>6984</v>
      </c>
      <c r="HZV19" t="s">
        <v>6984</v>
      </c>
      <c r="HZW19" t="s">
        <v>6984</v>
      </c>
      <c r="HZX19" t="s">
        <v>6984</v>
      </c>
      <c r="HZY19" t="s">
        <v>6984</v>
      </c>
      <c r="HZZ19" t="s">
        <v>6984</v>
      </c>
      <c r="IAA19" t="s">
        <v>6984</v>
      </c>
      <c r="IAB19" t="s">
        <v>6984</v>
      </c>
      <c r="IAC19" t="s">
        <v>6984</v>
      </c>
      <c r="IAD19" t="s">
        <v>6984</v>
      </c>
      <c r="IAE19" t="s">
        <v>6984</v>
      </c>
      <c r="IAF19" t="s">
        <v>6984</v>
      </c>
      <c r="IAG19" t="s">
        <v>6984</v>
      </c>
      <c r="IAH19" t="s">
        <v>6984</v>
      </c>
      <c r="IAI19" t="s">
        <v>6984</v>
      </c>
      <c r="IAJ19" t="s">
        <v>6984</v>
      </c>
      <c r="IAK19" t="s">
        <v>6984</v>
      </c>
      <c r="IAL19" t="s">
        <v>6984</v>
      </c>
      <c r="IAM19" t="s">
        <v>6984</v>
      </c>
      <c r="IAN19" t="s">
        <v>6984</v>
      </c>
      <c r="IAO19" t="s">
        <v>6984</v>
      </c>
      <c r="IAP19" t="s">
        <v>6984</v>
      </c>
      <c r="IAQ19" t="s">
        <v>6984</v>
      </c>
      <c r="IAR19" t="s">
        <v>6984</v>
      </c>
      <c r="IAS19" t="s">
        <v>6984</v>
      </c>
      <c r="IAT19" t="s">
        <v>6984</v>
      </c>
      <c r="IAU19" t="s">
        <v>6984</v>
      </c>
      <c r="IAV19" t="s">
        <v>6984</v>
      </c>
      <c r="IAW19" t="s">
        <v>6984</v>
      </c>
      <c r="IAX19" t="s">
        <v>6984</v>
      </c>
      <c r="IAY19" t="s">
        <v>6984</v>
      </c>
      <c r="IAZ19" t="s">
        <v>6984</v>
      </c>
      <c r="IBA19" t="s">
        <v>6984</v>
      </c>
      <c r="IBB19" t="s">
        <v>6984</v>
      </c>
      <c r="IBC19" t="s">
        <v>6984</v>
      </c>
      <c r="IBD19" t="s">
        <v>6984</v>
      </c>
      <c r="IBE19" t="s">
        <v>6984</v>
      </c>
      <c r="IBF19" t="s">
        <v>6984</v>
      </c>
      <c r="IBG19" t="s">
        <v>6984</v>
      </c>
      <c r="IBH19" t="s">
        <v>6984</v>
      </c>
      <c r="IBI19" t="s">
        <v>6984</v>
      </c>
      <c r="IBJ19" t="s">
        <v>6984</v>
      </c>
      <c r="IBK19" t="s">
        <v>6984</v>
      </c>
      <c r="IBL19" t="s">
        <v>6984</v>
      </c>
      <c r="IBM19" t="s">
        <v>6984</v>
      </c>
      <c r="IBN19" t="s">
        <v>6984</v>
      </c>
      <c r="IBO19" t="s">
        <v>6984</v>
      </c>
      <c r="IBP19" t="s">
        <v>6984</v>
      </c>
      <c r="IBQ19" t="s">
        <v>6984</v>
      </c>
      <c r="IBR19" t="s">
        <v>6984</v>
      </c>
      <c r="IBS19" t="s">
        <v>6984</v>
      </c>
      <c r="IBT19" t="s">
        <v>6984</v>
      </c>
      <c r="IBU19" t="s">
        <v>6984</v>
      </c>
      <c r="IBV19" t="s">
        <v>6984</v>
      </c>
      <c r="IBW19" t="s">
        <v>6984</v>
      </c>
      <c r="IBX19" t="s">
        <v>6984</v>
      </c>
      <c r="IBY19" t="s">
        <v>6984</v>
      </c>
      <c r="IBZ19" t="s">
        <v>6984</v>
      </c>
      <c r="ICA19" t="s">
        <v>6984</v>
      </c>
      <c r="ICB19" t="s">
        <v>6984</v>
      </c>
      <c r="ICC19" t="s">
        <v>6984</v>
      </c>
      <c r="ICD19" t="s">
        <v>6984</v>
      </c>
      <c r="ICE19" t="s">
        <v>6984</v>
      </c>
      <c r="ICF19" t="s">
        <v>6984</v>
      </c>
      <c r="ICG19" t="s">
        <v>6984</v>
      </c>
      <c r="ICH19" t="s">
        <v>6984</v>
      </c>
      <c r="ICI19" t="s">
        <v>6984</v>
      </c>
      <c r="ICJ19" t="s">
        <v>6984</v>
      </c>
      <c r="ICK19" t="s">
        <v>6984</v>
      </c>
      <c r="ICL19" t="s">
        <v>6984</v>
      </c>
      <c r="ICM19" t="s">
        <v>6984</v>
      </c>
      <c r="ICN19" t="s">
        <v>6984</v>
      </c>
      <c r="ICO19" t="s">
        <v>6984</v>
      </c>
      <c r="ICP19" t="s">
        <v>6984</v>
      </c>
      <c r="ICQ19" t="s">
        <v>6984</v>
      </c>
      <c r="ICR19" t="s">
        <v>6984</v>
      </c>
      <c r="ICS19" t="s">
        <v>6984</v>
      </c>
      <c r="ICT19" t="s">
        <v>6984</v>
      </c>
      <c r="ICU19" t="s">
        <v>6984</v>
      </c>
      <c r="ICV19" t="s">
        <v>6984</v>
      </c>
      <c r="ICW19" t="s">
        <v>6984</v>
      </c>
      <c r="ICX19" t="s">
        <v>6984</v>
      </c>
      <c r="ICY19" t="s">
        <v>6984</v>
      </c>
      <c r="ICZ19" t="s">
        <v>6984</v>
      </c>
      <c r="IDA19" t="s">
        <v>6984</v>
      </c>
      <c r="IDB19" t="s">
        <v>6984</v>
      </c>
      <c r="IDC19" t="s">
        <v>6984</v>
      </c>
      <c r="IDD19" t="s">
        <v>6984</v>
      </c>
      <c r="IDE19" t="s">
        <v>6984</v>
      </c>
      <c r="IDF19" t="s">
        <v>6984</v>
      </c>
      <c r="IDG19" t="s">
        <v>6984</v>
      </c>
      <c r="IDH19" t="s">
        <v>6984</v>
      </c>
      <c r="IDI19" t="s">
        <v>6984</v>
      </c>
      <c r="IDJ19" t="s">
        <v>6984</v>
      </c>
      <c r="IDK19" t="s">
        <v>6984</v>
      </c>
      <c r="IDL19" t="s">
        <v>6984</v>
      </c>
      <c r="IDM19" t="s">
        <v>6984</v>
      </c>
      <c r="IDN19" t="s">
        <v>6984</v>
      </c>
      <c r="IDO19" t="s">
        <v>6984</v>
      </c>
      <c r="IDP19" t="s">
        <v>6984</v>
      </c>
      <c r="IDQ19" t="s">
        <v>6984</v>
      </c>
      <c r="IDR19" t="s">
        <v>6984</v>
      </c>
      <c r="IDS19" t="s">
        <v>6984</v>
      </c>
      <c r="IDT19" t="s">
        <v>6984</v>
      </c>
      <c r="IDU19" t="s">
        <v>6984</v>
      </c>
      <c r="IDV19" t="s">
        <v>6984</v>
      </c>
      <c r="IDW19" t="s">
        <v>6984</v>
      </c>
      <c r="IDX19" t="s">
        <v>6984</v>
      </c>
      <c r="IDY19" t="s">
        <v>6984</v>
      </c>
      <c r="IDZ19" t="s">
        <v>6984</v>
      </c>
      <c r="IEA19" t="s">
        <v>6984</v>
      </c>
      <c r="IEB19" t="s">
        <v>6984</v>
      </c>
      <c r="IEC19" t="s">
        <v>6984</v>
      </c>
      <c r="IED19" t="s">
        <v>6984</v>
      </c>
      <c r="IEE19" t="s">
        <v>6984</v>
      </c>
      <c r="IEF19" t="s">
        <v>6984</v>
      </c>
      <c r="IEG19" t="s">
        <v>6984</v>
      </c>
      <c r="IEH19" t="s">
        <v>6984</v>
      </c>
      <c r="IEI19" t="s">
        <v>6984</v>
      </c>
      <c r="IEJ19" t="s">
        <v>6984</v>
      </c>
      <c r="IEK19" t="s">
        <v>6984</v>
      </c>
      <c r="IEL19" t="s">
        <v>6984</v>
      </c>
      <c r="IEM19" t="s">
        <v>6984</v>
      </c>
      <c r="IEN19" t="s">
        <v>6984</v>
      </c>
      <c r="IEO19" t="s">
        <v>6984</v>
      </c>
      <c r="IEP19" t="s">
        <v>6984</v>
      </c>
      <c r="IEQ19" t="s">
        <v>6984</v>
      </c>
      <c r="IER19" t="s">
        <v>6984</v>
      </c>
      <c r="IES19" t="s">
        <v>6984</v>
      </c>
      <c r="IET19" t="s">
        <v>6984</v>
      </c>
      <c r="IEU19" t="s">
        <v>6984</v>
      </c>
      <c r="IEV19" t="s">
        <v>6984</v>
      </c>
      <c r="IEW19" t="s">
        <v>6984</v>
      </c>
      <c r="IEX19" t="s">
        <v>6984</v>
      </c>
      <c r="IEY19" t="s">
        <v>6984</v>
      </c>
      <c r="IEZ19" t="s">
        <v>6984</v>
      </c>
      <c r="IFA19" t="s">
        <v>6984</v>
      </c>
      <c r="IFB19" t="s">
        <v>6984</v>
      </c>
      <c r="IFC19" t="s">
        <v>6984</v>
      </c>
      <c r="IFD19" t="s">
        <v>6984</v>
      </c>
      <c r="IFE19" t="s">
        <v>6984</v>
      </c>
      <c r="IFF19" t="s">
        <v>6984</v>
      </c>
      <c r="IFG19" t="s">
        <v>6984</v>
      </c>
      <c r="IFH19" t="s">
        <v>6984</v>
      </c>
      <c r="IFI19" t="s">
        <v>6984</v>
      </c>
      <c r="IFJ19" t="s">
        <v>6984</v>
      </c>
      <c r="IFK19" t="s">
        <v>6984</v>
      </c>
      <c r="IFL19" t="s">
        <v>6984</v>
      </c>
      <c r="IFM19" t="s">
        <v>6984</v>
      </c>
      <c r="IFN19" t="s">
        <v>6984</v>
      </c>
      <c r="IFO19" t="s">
        <v>6984</v>
      </c>
      <c r="IFP19" t="s">
        <v>6984</v>
      </c>
      <c r="IFQ19" t="s">
        <v>6984</v>
      </c>
      <c r="IFR19" t="s">
        <v>6984</v>
      </c>
      <c r="IFS19" t="s">
        <v>6984</v>
      </c>
      <c r="IFT19" t="s">
        <v>6984</v>
      </c>
      <c r="IFU19" t="s">
        <v>6984</v>
      </c>
      <c r="IFV19" t="s">
        <v>6984</v>
      </c>
      <c r="IFW19" t="s">
        <v>6984</v>
      </c>
      <c r="IFX19" t="s">
        <v>6984</v>
      </c>
      <c r="IFY19" t="s">
        <v>6984</v>
      </c>
      <c r="IFZ19" t="s">
        <v>6984</v>
      </c>
      <c r="IGA19" t="s">
        <v>6984</v>
      </c>
      <c r="IGB19" t="s">
        <v>6984</v>
      </c>
      <c r="IGC19" t="s">
        <v>6984</v>
      </c>
      <c r="IGD19" t="s">
        <v>6984</v>
      </c>
      <c r="IGE19" t="s">
        <v>6984</v>
      </c>
      <c r="IGF19" t="s">
        <v>6984</v>
      </c>
      <c r="IGG19" t="s">
        <v>6984</v>
      </c>
      <c r="IGH19" t="s">
        <v>6984</v>
      </c>
      <c r="IGI19" t="s">
        <v>6984</v>
      </c>
      <c r="IGJ19" t="s">
        <v>6984</v>
      </c>
      <c r="IGK19" t="s">
        <v>6984</v>
      </c>
      <c r="IGL19" t="s">
        <v>6984</v>
      </c>
      <c r="IGM19" t="s">
        <v>6984</v>
      </c>
      <c r="IGN19" t="s">
        <v>6984</v>
      </c>
      <c r="IGO19" t="s">
        <v>6984</v>
      </c>
      <c r="IGP19" t="s">
        <v>6984</v>
      </c>
      <c r="IGQ19" t="s">
        <v>6984</v>
      </c>
      <c r="IGR19" t="s">
        <v>6984</v>
      </c>
      <c r="IGS19" t="s">
        <v>6984</v>
      </c>
      <c r="IGT19" t="s">
        <v>6984</v>
      </c>
      <c r="IGU19" t="s">
        <v>6984</v>
      </c>
      <c r="IGV19" t="s">
        <v>6984</v>
      </c>
      <c r="IGW19" t="s">
        <v>6984</v>
      </c>
      <c r="IGX19" t="s">
        <v>6984</v>
      </c>
      <c r="IGY19" t="s">
        <v>6984</v>
      </c>
      <c r="IGZ19" t="s">
        <v>6984</v>
      </c>
      <c r="IHA19" t="s">
        <v>6984</v>
      </c>
      <c r="IHB19" t="s">
        <v>6984</v>
      </c>
      <c r="IHC19" t="s">
        <v>6984</v>
      </c>
      <c r="IHD19" t="s">
        <v>6984</v>
      </c>
      <c r="IHE19" t="s">
        <v>6984</v>
      </c>
      <c r="IHF19" t="s">
        <v>6984</v>
      </c>
      <c r="IHG19" t="s">
        <v>6984</v>
      </c>
      <c r="IHH19" t="s">
        <v>6984</v>
      </c>
      <c r="IHI19" t="s">
        <v>6984</v>
      </c>
      <c r="IHJ19" t="s">
        <v>6984</v>
      </c>
      <c r="IHK19" t="s">
        <v>6984</v>
      </c>
      <c r="IHL19" t="s">
        <v>6984</v>
      </c>
      <c r="IHM19" t="s">
        <v>6984</v>
      </c>
      <c r="IHN19" t="s">
        <v>6984</v>
      </c>
      <c r="IHO19" t="s">
        <v>6984</v>
      </c>
      <c r="IHP19" t="s">
        <v>6984</v>
      </c>
      <c r="IHQ19" t="s">
        <v>6984</v>
      </c>
      <c r="IHR19" t="s">
        <v>6984</v>
      </c>
      <c r="IHS19" t="s">
        <v>6984</v>
      </c>
      <c r="IHT19" t="s">
        <v>6984</v>
      </c>
      <c r="IHU19" t="s">
        <v>6984</v>
      </c>
      <c r="IHV19" t="s">
        <v>6984</v>
      </c>
      <c r="IHW19" t="s">
        <v>6984</v>
      </c>
      <c r="IHX19" t="s">
        <v>6984</v>
      </c>
      <c r="IHY19" t="s">
        <v>6984</v>
      </c>
      <c r="IHZ19" t="s">
        <v>6984</v>
      </c>
      <c r="IIA19" t="s">
        <v>6984</v>
      </c>
      <c r="IIB19" t="s">
        <v>6984</v>
      </c>
      <c r="IIC19" t="s">
        <v>6984</v>
      </c>
      <c r="IID19" t="s">
        <v>6984</v>
      </c>
      <c r="IIE19" t="s">
        <v>6984</v>
      </c>
      <c r="IIF19" t="s">
        <v>6984</v>
      </c>
      <c r="IIG19" t="s">
        <v>6984</v>
      </c>
      <c r="IIH19" t="s">
        <v>6984</v>
      </c>
      <c r="III19" t="s">
        <v>6984</v>
      </c>
      <c r="IIJ19" t="s">
        <v>6984</v>
      </c>
      <c r="IIK19" t="s">
        <v>6984</v>
      </c>
      <c r="IIL19" t="s">
        <v>6984</v>
      </c>
      <c r="IIM19" t="s">
        <v>6984</v>
      </c>
      <c r="IIN19" t="s">
        <v>6984</v>
      </c>
      <c r="IIO19" t="s">
        <v>6984</v>
      </c>
      <c r="IIP19" t="s">
        <v>6984</v>
      </c>
      <c r="IIQ19" t="s">
        <v>6984</v>
      </c>
      <c r="IIR19" t="s">
        <v>6984</v>
      </c>
      <c r="IIS19" t="s">
        <v>6984</v>
      </c>
      <c r="IIT19" t="s">
        <v>6984</v>
      </c>
      <c r="IIU19" t="s">
        <v>6984</v>
      </c>
      <c r="IIV19" t="s">
        <v>6984</v>
      </c>
      <c r="IIW19" t="s">
        <v>6984</v>
      </c>
      <c r="IIX19" t="s">
        <v>6984</v>
      </c>
      <c r="IIY19" t="s">
        <v>6984</v>
      </c>
      <c r="IIZ19" t="s">
        <v>6984</v>
      </c>
      <c r="IJA19" t="s">
        <v>6984</v>
      </c>
      <c r="IJB19" t="s">
        <v>6984</v>
      </c>
      <c r="IJC19" t="s">
        <v>6984</v>
      </c>
      <c r="IJD19" t="s">
        <v>6984</v>
      </c>
      <c r="IJE19" t="s">
        <v>6984</v>
      </c>
      <c r="IJF19" t="s">
        <v>6984</v>
      </c>
      <c r="IJG19" t="s">
        <v>6984</v>
      </c>
      <c r="IJH19" t="s">
        <v>6984</v>
      </c>
      <c r="IJI19" t="s">
        <v>6984</v>
      </c>
      <c r="IJJ19" t="s">
        <v>6984</v>
      </c>
      <c r="IJK19" t="s">
        <v>6984</v>
      </c>
      <c r="IJL19" t="s">
        <v>6984</v>
      </c>
      <c r="IJM19" t="s">
        <v>6984</v>
      </c>
      <c r="IJN19" t="s">
        <v>6984</v>
      </c>
      <c r="IJO19" t="s">
        <v>6984</v>
      </c>
      <c r="IJP19" t="s">
        <v>6984</v>
      </c>
      <c r="IJQ19" t="s">
        <v>6984</v>
      </c>
      <c r="IJR19" t="s">
        <v>6984</v>
      </c>
      <c r="IJS19" t="s">
        <v>6984</v>
      </c>
      <c r="IJT19" t="s">
        <v>6984</v>
      </c>
      <c r="IJU19" t="s">
        <v>6984</v>
      </c>
      <c r="IJV19" t="s">
        <v>6984</v>
      </c>
      <c r="IJW19" t="s">
        <v>6984</v>
      </c>
      <c r="IJX19" t="s">
        <v>6984</v>
      </c>
      <c r="IJY19" t="s">
        <v>6984</v>
      </c>
      <c r="IJZ19" t="s">
        <v>6984</v>
      </c>
      <c r="IKA19" t="s">
        <v>6984</v>
      </c>
      <c r="IKB19" t="s">
        <v>6984</v>
      </c>
      <c r="IKC19" t="s">
        <v>6984</v>
      </c>
      <c r="IKD19" t="s">
        <v>6984</v>
      </c>
      <c r="IKE19" t="s">
        <v>6984</v>
      </c>
      <c r="IKF19" t="s">
        <v>6984</v>
      </c>
      <c r="IKG19" t="s">
        <v>6984</v>
      </c>
      <c r="IKH19" t="s">
        <v>6984</v>
      </c>
      <c r="IKI19" t="s">
        <v>6984</v>
      </c>
      <c r="IKJ19" t="s">
        <v>6984</v>
      </c>
      <c r="IKK19" t="s">
        <v>6984</v>
      </c>
      <c r="IKL19" t="s">
        <v>6984</v>
      </c>
      <c r="IKM19" t="s">
        <v>6984</v>
      </c>
      <c r="IKN19" t="s">
        <v>6984</v>
      </c>
      <c r="IKO19" t="s">
        <v>6984</v>
      </c>
      <c r="IKP19" t="s">
        <v>6984</v>
      </c>
      <c r="IKQ19" t="s">
        <v>6984</v>
      </c>
      <c r="IKR19" t="s">
        <v>6984</v>
      </c>
      <c r="IKS19" t="s">
        <v>6984</v>
      </c>
      <c r="IKT19" t="s">
        <v>6984</v>
      </c>
      <c r="IKU19" t="s">
        <v>6984</v>
      </c>
      <c r="IKV19" t="s">
        <v>6984</v>
      </c>
      <c r="IKW19" t="s">
        <v>6984</v>
      </c>
      <c r="IKX19" t="s">
        <v>6984</v>
      </c>
      <c r="IKY19" t="s">
        <v>6984</v>
      </c>
      <c r="IKZ19" t="s">
        <v>6984</v>
      </c>
      <c r="ILA19" t="s">
        <v>6984</v>
      </c>
      <c r="ILB19" t="s">
        <v>6984</v>
      </c>
      <c r="ILC19" t="s">
        <v>6984</v>
      </c>
      <c r="ILD19" t="s">
        <v>6984</v>
      </c>
      <c r="ILE19" t="s">
        <v>6984</v>
      </c>
      <c r="ILF19" t="s">
        <v>6984</v>
      </c>
      <c r="ILG19" t="s">
        <v>6984</v>
      </c>
      <c r="ILH19" t="s">
        <v>6984</v>
      </c>
      <c r="ILI19" t="s">
        <v>6984</v>
      </c>
      <c r="ILJ19" t="s">
        <v>6984</v>
      </c>
      <c r="ILK19" t="s">
        <v>6984</v>
      </c>
      <c r="ILL19" t="s">
        <v>6984</v>
      </c>
      <c r="ILM19" t="s">
        <v>6984</v>
      </c>
      <c r="ILN19" t="s">
        <v>6984</v>
      </c>
      <c r="ILO19" t="s">
        <v>6984</v>
      </c>
      <c r="ILP19" t="s">
        <v>6984</v>
      </c>
      <c r="ILQ19" t="s">
        <v>6984</v>
      </c>
      <c r="ILR19" t="s">
        <v>6984</v>
      </c>
      <c r="ILS19" t="s">
        <v>6984</v>
      </c>
      <c r="ILT19" t="s">
        <v>6984</v>
      </c>
      <c r="ILU19" t="s">
        <v>6984</v>
      </c>
      <c r="ILV19" t="s">
        <v>6984</v>
      </c>
      <c r="ILW19" t="s">
        <v>6984</v>
      </c>
      <c r="ILX19" t="s">
        <v>6984</v>
      </c>
      <c r="ILY19" t="s">
        <v>6984</v>
      </c>
      <c r="ILZ19" t="s">
        <v>6984</v>
      </c>
      <c r="IMA19" t="s">
        <v>6984</v>
      </c>
      <c r="IMB19" t="s">
        <v>6984</v>
      </c>
      <c r="IMC19" t="s">
        <v>6984</v>
      </c>
      <c r="IMD19" t="s">
        <v>6984</v>
      </c>
      <c r="IME19" t="s">
        <v>6984</v>
      </c>
      <c r="IMF19" t="s">
        <v>6984</v>
      </c>
      <c r="IMG19" t="s">
        <v>6984</v>
      </c>
      <c r="IMH19" t="s">
        <v>6984</v>
      </c>
      <c r="IMI19" t="s">
        <v>6984</v>
      </c>
      <c r="IMJ19" t="s">
        <v>6984</v>
      </c>
      <c r="IMK19" t="s">
        <v>6984</v>
      </c>
      <c r="IML19" t="s">
        <v>6984</v>
      </c>
      <c r="IMM19" t="s">
        <v>6984</v>
      </c>
      <c r="IMN19" t="s">
        <v>6984</v>
      </c>
      <c r="IMO19" t="s">
        <v>6984</v>
      </c>
      <c r="IMP19" t="s">
        <v>6984</v>
      </c>
      <c r="IMQ19" t="s">
        <v>6984</v>
      </c>
      <c r="IMR19" t="s">
        <v>6984</v>
      </c>
      <c r="IMS19" t="s">
        <v>6984</v>
      </c>
      <c r="IMT19" t="s">
        <v>6984</v>
      </c>
      <c r="IMU19" t="s">
        <v>6984</v>
      </c>
      <c r="IMV19" t="s">
        <v>6984</v>
      </c>
      <c r="IMW19" t="s">
        <v>6984</v>
      </c>
      <c r="IMX19" t="s">
        <v>6984</v>
      </c>
      <c r="IMY19" t="s">
        <v>6984</v>
      </c>
      <c r="IMZ19" t="s">
        <v>6984</v>
      </c>
      <c r="INA19" t="s">
        <v>6984</v>
      </c>
      <c r="INB19" t="s">
        <v>6984</v>
      </c>
      <c r="INC19" t="s">
        <v>6984</v>
      </c>
      <c r="IND19" t="s">
        <v>6984</v>
      </c>
      <c r="INE19" t="s">
        <v>6984</v>
      </c>
      <c r="INF19" t="s">
        <v>6984</v>
      </c>
      <c r="ING19" t="s">
        <v>6984</v>
      </c>
      <c r="INH19" t="s">
        <v>6984</v>
      </c>
      <c r="INI19" t="s">
        <v>6984</v>
      </c>
      <c r="INJ19" t="s">
        <v>6984</v>
      </c>
      <c r="INK19" t="s">
        <v>6984</v>
      </c>
      <c r="INL19" t="s">
        <v>6984</v>
      </c>
      <c r="INM19" t="s">
        <v>6984</v>
      </c>
      <c r="INN19" t="s">
        <v>6984</v>
      </c>
      <c r="INO19" t="s">
        <v>6984</v>
      </c>
      <c r="INP19" t="s">
        <v>6984</v>
      </c>
      <c r="INQ19" t="s">
        <v>6984</v>
      </c>
      <c r="INR19" t="s">
        <v>6984</v>
      </c>
      <c r="INS19" t="s">
        <v>6984</v>
      </c>
      <c r="INT19" t="s">
        <v>6984</v>
      </c>
      <c r="INU19" t="s">
        <v>6984</v>
      </c>
      <c r="INV19" t="s">
        <v>6984</v>
      </c>
      <c r="INW19" t="s">
        <v>6984</v>
      </c>
      <c r="INX19" t="s">
        <v>6984</v>
      </c>
      <c r="INY19" t="s">
        <v>6984</v>
      </c>
      <c r="INZ19" t="s">
        <v>6984</v>
      </c>
      <c r="IOA19" t="s">
        <v>6984</v>
      </c>
      <c r="IOB19" t="s">
        <v>6984</v>
      </c>
      <c r="IOC19" t="s">
        <v>6984</v>
      </c>
      <c r="IOD19" t="s">
        <v>6984</v>
      </c>
      <c r="IOE19" t="s">
        <v>6984</v>
      </c>
      <c r="IOF19" t="s">
        <v>6984</v>
      </c>
      <c r="IOG19" t="s">
        <v>6984</v>
      </c>
      <c r="IOH19" t="s">
        <v>6984</v>
      </c>
      <c r="IOI19" t="s">
        <v>6984</v>
      </c>
      <c r="IOJ19" t="s">
        <v>6984</v>
      </c>
      <c r="IOK19" t="s">
        <v>6984</v>
      </c>
      <c r="IOL19" t="s">
        <v>6984</v>
      </c>
      <c r="IOM19" t="s">
        <v>6984</v>
      </c>
      <c r="ION19" t="s">
        <v>6984</v>
      </c>
      <c r="IOO19" t="s">
        <v>6984</v>
      </c>
      <c r="IOP19" t="s">
        <v>6984</v>
      </c>
      <c r="IOQ19" t="s">
        <v>6984</v>
      </c>
      <c r="IOR19" t="s">
        <v>6984</v>
      </c>
      <c r="IOS19" t="s">
        <v>6984</v>
      </c>
      <c r="IOT19" t="s">
        <v>6984</v>
      </c>
      <c r="IOU19" t="s">
        <v>6984</v>
      </c>
      <c r="IOV19" t="s">
        <v>6984</v>
      </c>
      <c r="IOW19" t="s">
        <v>6984</v>
      </c>
      <c r="IOX19" t="s">
        <v>6984</v>
      </c>
      <c r="IOY19" t="s">
        <v>6984</v>
      </c>
      <c r="IOZ19" t="s">
        <v>6984</v>
      </c>
      <c r="IPA19" t="s">
        <v>6984</v>
      </c>
      <c r="IPB19" t="s">
        <v>6984</v>
      </c>
      <c r="IPC19" t="s">
        <v>6984</v>
      </c>
      <c r="IPD19" t="s">
        <v>6984</v>
      </c>
      <c r="IPE19" t="s">
        <v>6984</v>
      </c>
      <c r="IPF19" t="s">
        <v>6984</v>
      </c>
      <c r="IPG19" t="s">
        <v>6984</v>
      </c>
      <c r="IPH19" t="s">
        <v>6984</v>
      </c>
      <c r="IPI19" t="s">
        <v>6984</v>
      </c>
      <c r="IPJ19" t="s">
        <v>6984</v>
      </c>
      <c r="IPK19" t="s">
        <v>6984</v>
      </c>
      <c r="IPL19" t="s">
        <v>6984</v>
      </c>
      <c r="IPM19" t="s">
        <v>6984</v>
      </c>
      <c r="IPN19" t="s">
        <v>6984</v>
      </c>
      <c r="IPO19" t="s">
        <v>6984</v>
      </c>
      <c r="IPP19" t="s">
        <v>6984</v>
      </c>
      <c r="IPQ19" t="s">
        <v>6984</v>
      </c>
      <c r="IPR19" t="s">
        <v>6984</v>
      </c>
      <c r="IPS19" t="s">
        <v>6984</v>
      </c>
      <c r="IPT19" t="s">
        <v>6984</v>
      </c>
      <c r="IPU19" t="s">
        <v>6984</v>
      </c>
      <c r="IPV19" t="s">
        <v>6984</v>
      </c>
      <c r="IPW19" t="s">
        <v>6984</v>
      </c>
      <c r="IPX19" t="s">
        <v>6984</v>
      </c>
      <c r="IPY19" t="s">
        <v>6984</v>
      </c>
      <c r="IPZ19" t="s">
        <v>6984</v>
      </c>
      <c r="IQA19" t="s">
        <v>6984</v>
      </c>
      <c r="IQB19" t="s">
        <v>6984</v>
      </c>
      <c r="IQC19" t="s">
        <v>6984</v>
      </c>
      <c r="IQD19" t="s">
        <v>6984</v>
      </c>
      <c r="IQE19" t="s">
        <v>6984</v>
      </c>
      <c r="IQF19" t="s">
        <v>6984</v>
      </c>
      <c r="IQG19" t="s">
        <v>6984</v>
      </c>
      <c r="IQH19" t="s">
        <v>6984</v>
      </c>
      <c r="IQI19" t="s">
        <v>6984</v>
      </c>
      <c r="IQJ19" t="s">
        <v>6984</v>
      </c>
      <c r="IQK19" t="s">
        <v>6984</v>
      </c>
      <c r="IQL19" t="s">
        <v>6984</v>
      </c>
      <c r="IQM19" t="s">
        <v>6984</v>
      </c>
      <c r="IQN19" t="s">
        <v>6984</v>
      </c>
      <c r="IQO19" t="s">
        <v>6984</v>
      </c>
      <c r="IQP19" t="s">
        <v>6984</v>
      </c>
      <c r="IQQ19" t="s">
        <v>6984</v>
      </c>
      <c r="IQR19" t="s">
        <v>6984</v>
      </c>
      <c r="IQS19" t="s">
        <v>6984</v>
      </c>
      <c r="IQT19" t="s">
        <v>6984</v>
      </c>
      <c r="IQU19" t="s">
        <v>6984</v>
      </c>
      <c r="IQV19" t="s">
        <v>6984</v>
      </c>
      <c r="IQW19" t="s">
        <v>6984</v>
      </c>
      <c r="IQX19" t="s">
        <v>6984</v>
      </c>
      <c r="IQY19" t="s">
        <v>6984</v>
      </c>
      <c r="IQZ19" t="s">
        <v>6984</v>
      </c>
      <c r="IRA19" t="s">
        <v>6984</v>
      </c>
      <c r="IRB19" t="s">
        <v>6984</v>
      </c>
      <c r="IRC19" t="s">
        <v>6984</v>
      </c>
      <c r="IRD19" t="s">
        <v>6984</v>
      </c>
      <c r="IRE19" t="s">
        <v>6984</v>
      </c>
      <c r="IRF19" t="s">
        <v>6984</v>
      </c>
      <c r="IRG19" t="s">
        <v>6984</v>
      </c>
      <c r="IRH19" t="s">
        <v>6984</v>
      </c>
      <c r="IRI19" t="s">
        <v>6984</v>
      </c>
      <c r="IRJ19" t="s">
        <v>6984</v>
      </c>
      <c r="IRK19" t="s">
        <v>6984</v>
      </c>
      <c r="IRL19" t="s">
        <v>6984</v>
      </c>
      <c r="IRM19" t="s">
        <v>6984</v>
      </c>
      <c r="IRN19" t="s">
        <v>6984</v>
      </c>
      <c r="IRO19" t="s">
        <v>6984</v>
      </c>
      <c r="IRP19" t="s">
        <v>6984</v>
      </c>
      <c r="IRQ19" t="s">
        <v>6984</v>
      </c>
      <c r="IRR19" t="s">
        <v>6984</v>
      </c>
      <c r="IRS19" t="s">
        <v>6984</v>
      </c>
      <c r="IRT19" t="s">
        <v>6984</v>
      </c>
      <c r="IRU19" t="s">
        <v>6984</v>
      </c>
      <c r="IRV19" t="s">
        <v>6984</v>
      </c>
      <c r="IRW19" t="s">
        <v>6984</v>
      </c>
      <c r="IRX19" t="s">
        <v>6984</v>
      </c>
      <c r="IRY19" t="s">
        <v>6984</v>
      </c>
      <c r="IRZ19" t="s">
        <v>6984</v>
      </c>
      <c r="ISA19" t="s">
        <v>6984</v>
      </c>
      <c r="ISB19" t="s">
        <v>6984</v>
      </c>
      <c r="ISC19" t="s">
        <v>6984</v>
      </c>
      <c r="ISD19" t="s">
        <v>6984</v>
      </c>
      <c r="ISE19" t="s">
        <v>6984</v>
      </c>
      <c r="ISF19" t="s">
        <v>6984</v>
      </c>
      <c r="ISG19" t="s">
        <v>6984</v>
      </c>
      <c r="ISH19" t="s">
        <v>6984</v>
      </c>
      <c r="ISI19" t="s">
        <v>6984</v>
      </c>
      <c r="ISJ19" t="s">
        <v>6984</v>
      </c>
      <c r="ISK19" t="s">
        <v>6984</v>
      </c>
      <c r="ISL19" t="s">
        <v>6984</v>
      </c>
      <c r="ISM19" t="s">
        <v>6984</v>
      </c>
      <c r="ISN19" t="s">
        <v>6984</v>
      </c>
      <c r="ISO19" t="s">
        <v>6984</v>
      </c>
      <c r="ISP19" t="s">
        <v>6984</v>
      </c>
      <c r="ISQ19" t="s">
        <v>6984</v>
      </c>
      <c r="ISR19" t="s">
        <v>6984</v>
      </c>
      <c r="ISS19" t="s">
        <v>6984</v>
      </c>
      <c r="IST19" t="s">
        <v>6984</v>
      </c>
      <c r="ISU19" t="s">
        <v>6984</v>
      </c>
      <c r="ISV19" t="s">
        <v>6984</v>
      </c>
      <c r="ISW19" t="s">
        <v>6984</v>
      </c>
      <c r="ISX19" t="s">
        <v>6984</v>
      </c>
      <c r="ISY19" t="s">
        <v>6984</v>
      </c>
      <c r="ISZ19" t="s">
        <v>6984</v>
      </c>
      <c r="ITA19" t="s">
        <v>6984</v>
      </c>
      <c r="ITB19" t="s">
        <v>6984</v>
      </c>
      <c r="ITC19" t="s">
        <v>6984</v>
      </c>
      <c r="ITD19" t="s">
        <v>6984</v>
      </c>
      <c r="ITE19" t="s">
        <v>6984</v>
      </c>
      <c r="ITF19" t="s">
        <v>6984</v>
      </c>
      <c r="ITG19" t="s">
        <v>6984</v>
      </c>
      <c r="ITH19" t="s">
        <v>6984</v>
      </c>
      <c r="ITI19" t="s">
        <v>6984</v>
      </c>
      <c r="ITJ19" t="s">
        <v>6984</v>
      </c>
      <c r="ITK19" t="s">
        <v>6984</v>
      </c>
      <c r="ITL19" t="s">
        <v>6984</v>
      </c>
      <c r="ITM19" t="s">
        <v>6984</v>
      </c>
      <c r="ITN19" t="s">
        <v>6984</v>
      </c>
      <c r="ITO19" t="s">
        <v>6984</v>
      </c>
      <c r="ITP19" t="s">
        <v>6984</v>
      </c>
      <c r="ITQ19" t="s">
        <v>6984</v>
      </c>
      <c r="ITR19" t="s">
        <v>6984</v>
      </c>
      <c r="ITS19" t="s">
        <v>6984</v>
      </c>
      <c r="ITT19" t="s">
        <v>6984</v>
      </c>
      <c r="ITU19" t="s">
        <v>6984</v>
      </c>
      <c r="ITV19" t="s">
        <v>6984</v>
      </c>
      <c r="ITW19" t="s">
        <v>6984</v>
      </c>
      <c r="ITX19" t="s">
        <v>6984</v>
      </c>
      <c r="ITY19" t="s">
        <v>6984</v>
      </c>
      <c r="ITZ19" t="s">
        <v>6984</v>
      </c>
      <c r="IUA19" t="s">
        <v>6984</v>
      </c>
      <c r="IUB19" t="s">
        <v>6984</v>
      </c>
      <c r="IUC19" t="s">
        <v>6984</v>
      </c>
      <c r="IUD19" t="s">
        <v>6984</v>
      </c>
      <c r="IUE19" t="s">
        <v>6984</v>
      </c>
      <c r="IUF19" t="s">
        <v>6984</v>
      </c>
      <c r="IUG19" t="s">
        <v>6984</v>
      </c>
      <c r="IUH19" t="s">
        <v>6984</v>
      </c>
      <c r="IUI19" t="s">
        <v>6984</v>
      </c>
      <c r="IUJ19" t="s">
        <v>6984</v>
      </c>
      <c r="IUK19" t="s">
        <v>6984</v>
      </c>
      <c r="IUL19" t="s">
        <v>6984</v>
      </c>
      <c r="IUM19" t="s">
        <v>6984</v>
      </c>
      <c r="IUN19" t="s">
        <v>6984</v>
      </c>
      <c r="IUO19" t="s">
        <v>6984</v>
      </c>
      <c r="IUP19" t="s">
        <v>6984</v>
      </c>
      <c r="IUQ19" t="s">
        <v>6984</v>
      </c>
      <c r="IUR19" t="s">
        <v>6984</v>
      </c>
      <c r="IUS19" t="s">
        <v>6984</v>
      </c>
      <c r="IUT19" t="s">
        <v>6984</v>
      </c>
      <c r="IUU19" t="s">
        <v>6984</v>
      </c>
      <c r="IUV19" t="s">
        <v>6984</v>
      </c>
      <c r="IUW19" t="s">
        <v>6984</v>
      </c>
      <c r="IUX19" t="s">
        <v>6984</v>
      </c>
      <c r="IUY19" t="s">
        <v>6984</v>
      </c>
      <c r="IUZ19" t="s">
        <v>6984</v>
      </c>
      <c r="IVA19" t="s">
        <v>6984</v>
      </c>
      <c r="IVB19" t="s">
        <v>6984</v>
      </c>
      <c r="IVC19" t="s">
        <v>6984</v>
      </c>
      <c r="IVD19" t="s">
        <v>6984</v>
      </c>
      <c r="IVE19" t="s">
        <v>6984</v>
      </c>
      <c r="IVF19" t="s">
        <v>6984</v>
      </c>
      <c r="IVG19" t="s">
        <v>6984</v>
      </c>
      <c r="IVH19" t="s">
        <v>6984</v>
      </c>
      <c r="IVI19" t="s">
        <v>6984</v>
      </c>
      <c r="IVJ19" t="s">
        <v>6984</v>
      </c>
      <c r="IVK19" t="s">
        <v>6984</v>
      </c>
      <c r="IVL19" t="s">
        <v>6984</v>
      </c>
      <c r="IVM19" t="s">
        <v>6984</v>
      </c>
      <c r="IVN19" t="s">
        <v>6984</v>
      </c>
      <c r="IVO19" t="s">
        <v>6984</v>
      </c>
      <c r="IVP19" t="s">
        <v>6984</v>
      </c>
      <c r="IVQ19" t="s">
        <v>6984</v>
      </c>
      <c r="IVR19" t="s">
        <v>6984</v>
      </c>
      <c r="IVS19" t="s">
        <v>6984</v>
      </c>
      <c r="IVT19" t="s">
        <v>6984</v>
      </c>
      <c r="IVU19" t="s">
        <v>6984</v>
      </c>
      <c r="IVV19" t="s">
        <v>6984</v>
      </c>
      <c r="IVW19" t="s">
        <v>6984</v>
      </c>
      <c r="IVX19" t="s">
        <v>6984</v>
      </c>
      <c r="IVY19" t="s">
        <v>6984</v>
      </c>
      <c r="IVZ19" t="s">
        <v>6984</v>
      </c>
      <c r="IWA19" t="s">
        <v>6984</v>
      </c>
      <c r="IWB19" t="s">
        <v>6984</v>
      </c>
      <c r="IWC19" t="s">
        <v>6984</v>
      </c>
      <c r="IWD19" t="s">
        <v>6984</v>
      </c>
      <c r="IWE19" t="s">
        <v>6984</v>
      </c>
      <c r="IWF19" t="s">
        <v>6984</v>
      </c>
      <c r="IWG19" t="s">
        <v>6984</v>
      </c>
      <c r="IWH19" t="s">
        <v>6984</v>
      </c>
      <c r="IWI19" t="s">
        <v>6984</v>
      </c>
      <c r="IWJ19" t="s">
        <v>6984</v>
      </c>
      <c r="IWK19" t="s">
        <v>6984</v>
      </c>
      <c r="IWL19" t="s">
        <v>6984</v>
      </c>
      <c r="IWM19" t="s">
        <v>6984</v>
      </c>
      <c r="IWN19" t="s">
        <v>6984</v>
      </c>
      <c r="IWO19" t="s">
        <v>6984</v>
      </c>
      <c r="IWP19" t="s">
        <v>6984</v>
      </c>
      <c r="IWQ19" t="s">
        <v>6984</v>
      </c>
      <c r="IWR19" t="s">
        <v>6984</v>
      </c>
      <c r="IWS19" t="s">
        <v>6984</v>
      </c>
      <c r="IWT19" t="s">
        <v>6984</v>
      </c>
      <c r="IWU19" t="s">
        <v>6984</v>
      </c>
      <c r="IWV19" t="s">
        <v>6984</v>
      </c>
      <c r="IWW19" t="s">
        <v>6984</v>
      </c>
      <c r="IWX19" t="s">
        <v>6984</v>
      </c>
      <c r="IWY19" t="s">
        <v>6984</v>
      </c>
      <c r="IWZ19" t="s">
        <v>6984</v>
      </c>
      <c r="IXA19" t="s">
        <v>6984</v>
      </c>
      <c r="IXB19" t="s">
        <v>6984</v>
      </c>
      <c r="IXC19" t="s">
        <v>6984</v>
      </c>
      <c r="IXD19" t="s">
        <v>6984</v>
      </c>
      <c r="IXE19" t="s">
        <v>6984</v>
      </c>
      <c r="IXF19" t="s">
        <v>6984</v>
      </c>
      <c r="IXG19" t="s">
        <v>6984</v>
      </c>
      <c r="IXH19" t="s">
        <v>6984</v>
      </c>
      <c r="IXI19" t="s">
        <v>6984</v>
      </c>
      <c r="IXJ19" t="s">
        <v>6984</v>
      </c>
      <c r="IXK19" t="s">
        <v>6984</v>
      </c>
      <c r="IXL19" t="s">
        <v>6984</v>
      </c>
      <c r="IXM19" t="s">
        <v>6984</v>
      </c>
      <c r="IXN19" t="s">
        <v>6984</v>
      </c>
      <c r="IXO19" t="s">
        <v>6984</v>
      </c>
      <c r="IXP19" t="s">
        <v>6984</v>
      </c>
      <c r="IXQ19" t="s">
        <v>6984</v>
      </c>
      <c r="IXR19" t="s">
        <v>6984</v>
      </c>
      <c r="IXS19" t="s">
        <v>6984</v>
      </c>
      <c r="IXT19" t="s">
        <v>6984</v>
      </c>
      <c r="IXU19" t="s">
        <v>6984</v>
      </c>
      <c r="IXV19" t="s">
        <v>6984</v>
      </c>
      <c r="IXW19" t="s">
        <v>6984</v>
      </c>
      <c r="IXX19" t="s">
        <v>6984</v>
      </c>
      <c r="IXY19" t="s">
        <v>6984</v>
      </c>
      <c r="IXZ19" t="s">
        <v>6984</v>
      </c>
      <c r="IYA19" t="s">
        <v>6984</v>
      </c>
      <c r="IYB19" t="s">
        <v>6984</v>
      </c>
      <c r="IYC19" t="s">
        <v>6984</v>
      </c>
      <c r="IYD19" t="s">
        <v>6984</v>
      </c>
      <c r="IYE19" t="s">
        <v>6984</v>
      </c>
      <c r="IYF19" t="s">
        <v>6984</v>
      </c>
      <c r="IYG19" t="s">
        <v>6984</v>
      </c>
      <c r="IYH19" t="s">
        <v>6984</v>
      </c>
      <c r="IYI19" t="s">
        <v>6984</v>
      </c>
      <c r="IYJ19" t="s">
        <v>6984</v>
      </c>
      <c r="IYK19" t="s">
        <v>6984</v>
      </c>
      <c r="IYL19" t="s">
        <v>6984</v>
      </c>
      <c r="IYM19" t="s">
        <v>6984</v>
      </c>
      <c r="IYN19" t="s">
        <v>6984</v>
      </c>
      <c r="IYO19" t="s">
        <v>6984</v>
      </c>
      <c r="IYP19" t="s">
        <v>6984</v>
      </c>
      <c r="IYQ19" t="s">
        <v>6984</v>
      </c>
      <c r="IYR19" t="s">
        <v>6984</v>
      </c>
      <c r="IYS19" t="s">
        <v>6984</v>
      </c>
      <c r="IYT19" t="s">
        <v>6984</v>
      </c>
      <c r="IYU19" t="s">
        <v>6984</v>
      </c>
      <c r="IYV19" t="s">
        <v>6984</v>
      </c>
      <c r="IYW19" t="s">
        <v>6984</v>
      </c>
      <c r="IYX19" t="s">
        <v>6984</v>
      </c>
      <c r="IYY19" t="s">
        <v>6984</v>
      </c>
      <c r="IYZ19" t="s">
        <v>6984</v>
      </c>
      <c r="IZA19" t="s">
        <v>6984</v>
      </c>
      <c r="IZB19" t="s">
        <v>6984</v>
      </c>
      <c r="IZC19" t="s">
        <v>6984</v>
      </c>
      <c r="IZD19" t="s">
        <v>6984</v>
      </c>
      <c r="IZE19" t="s">
        <v>6984</v>
      </c>
      <c r="IZF19" t="s">
        <v>6984</v>
      </c>
      <c r="IZG19" t="s">
        <v>6984</v>
      </c>
      <c r="IZH19" t="s">
        <v>6984</v>
      </c>
      <c r="IZI19" t="s">
        <v>6984</v>
      </c>
      <c r="IZJ19" t="s">
        <v>6984</v>
      </c>
      <c r="IZK19" t="s">
        <v>6984</v>
      </c>
      <c r="IZL19" t="s">
        <v>6984</v>
      </c>
      <c r="IZM19" t="s">
        <v>6984</v>
      </c>
      <c r="IZN19" t="s">
        <v>6984</v>
      </c>
      <c r="IZO19" t="s">
        <v>6984</v>
      </c>
      <c r="IZP19" t="s">
        <v>6984</v>
      </c>
      <c r="IZQ19" t="s">
        <v>6984</v>
      </c>
      <c r="IZR19" t="s">
        <v>6984</v>
      </c>
      <c r="IZS19" t="s">
        <v>6984</v>
      </c>
      <c r="IZT19" t="s">
        <v>6984</v>
      </c>
      <c r="IZU19" t="s">
        <v>6984</v>
      </c>
      <c r="IZV19" t="s">
        <v>6984</v>
      </c>
      <c r="IZW19" t="s">
        <v>6984</v>
      </c>
      <c r="IZX19" t="s">
        <v>6984</v>
      </c>
      <c r="IZY19" t="s">
        <v>6984</v>
      </c>
      <c r="IZZ19" t="s">
        <v>6984</v>
      </c>
      <c r="JAA19" t="s">
        <v>6984</v>
      </c>
      <c r="JAB19" t="s">
        <v>6984</v>
      </c>
      <c r="JAC19" t="s">
        <v>6984</v>
      </c>
      <c r="JAD19" t="s">
        <v>6984</v>
      </c>
      <c r="JAE19" t="s">
        <v>6984</v>
      </c>
      <c r="JAF19" t="s">
        <v>6984</v>
      </c>
      <c r="JAG19" t="s">
        <v>6984</v>
      </c>
      <c r="JAH19" t="s">
        <v>6984</v>
      </c>
      <c r="JAI19" t="s">
        <v>6984</v>
      </c>
      <c r="JAJ19" t="s">
        <v>6984</v>
      </c>
      <c r="JAK19" t="s">
        <v>6984</v>
      </c>
      <c r="JAL19" t="s">
        <v>6984</v>
      </c>
      <c r="JAM19" t="s">
        <v>6984</v>
      </c>
      <c r="JAN19" t="s">
        <v>6984</v>
      </c>
      <c r="JAO19" t="s">
        <v>6984</v>
      </c>
      <c r="JAP19" t="s">
        <v>6984</v>
      </c>
      <c r="JAQ19" t="s">
        <v>6984</v>
      </c>
      <c r="JAR19" t="s">
        <v>6984</v>
      </c>
      <c r="JAS19" t="s">
        <v>6984</v>
      </c>
      <c r="JAT19" t="s">
        <v>6984</v>
      </c>
      <c r="JAU19" t="s">
        <v>6984</v>
      </c>
      <c r="JAV19" t="s">
        <v>6984</v>
      </c>
      <c r="JAW19" t="s">
        <v>6984</v>
      </c>
      <c r="JAX19" t="s">
        <v>6984</v>
      </c>
      <c r="JAY19" t="s">
        <v>6984</v>
      </c>
      <c r="JAZ19" t="s">
        <v>6984</v>
      </c>
      <c r="JBA19" t="s">
        <v>6984</v>
      </c>
      <c r="JBB19" t="s">
        <v>6984</v>
      </c>
      <c r="JBC19" t="s">
        <v>6984</v>
      </c>
      <c r="JBD19" t="s">
        <v>6984</v>
      </c>
      <c r="JBE19" t="s">
        <v>6984</v>
      </c>
      <c r="JBF19" t="s">
        <v>6984</v>
      </c>
      <c r="JBG19" t="s">
        <v>6984</v>
      </c>
      <c r="JBH19" t="s">
        <v>6984</v>
      </c>
      <c r="JBI19" t="s">
        <v>6984</v>
      </c>
      <c r="JBJ19" t="s">
        <v>6984</v>
      </c>
      <c r="JBK19" t="s">
        <v>6984</v>
      </c>
      <c r="JBL19" t="s">
        <v>6984</v>
      </c>
      <c r="JBM19" t="s">
        <v>6984</v>
      </c>
      <c r="JBN19" t="s">
        <v>6984</v>
      </c>
      <c r="JBO19" t="s">
        <v>6984</v>
      </c>
      <c r="JBP19" t="s">
        <v>6984</v>
      </c>
      <c r="JBQ19" t="s">
        <v>6984</v>
      </c>
      <c r="JBR19" t="s">
        <v>6984</v>
      </c>
      <c r="JBS19" t="s">
        <v>6984</v>
      </c>
      <c r="JBT19" t="s">
        <v>6984</v>
      </c>
      <c r="JBU19" t="s">
        <v>6984</v>
      </c>
      <c r="JBV19" t="s">
        <v>6984</v>
      </c>
      <c r="JBW19" t="s">
        <v>6984</v>
      </c>
      <c r="JBX19" t="s">
        <v>6984</v>
      </c>
      <c r="JBY19" t="s">
        <v>6984</v>
      </c>
      <c r="JBZ19" t="s">
        <v>6984</v>
      </c>
      <c r="JCA19" t="s">
        <v>6984</v>
      </c>
      <c r="JCB19" t="s">
        <v>6984</v>
      </c>
      <c r="JCC19" t="s">
        <v>6984</v>
      </c>
      <c r="JCD19" t="s">
        <v>6984</v>
      </c>
      <c r="JCE19" t="s">
        <v>6984</v>
      </c>
      <c r="JCF19" t="s">
        <v>6984</v>
      </c>
      <c r="JCG19" t="s">
        <v>6984</v>
      </c>
      <c r="JCH19" t="s">
        <v>6984</v>
      </c>
      <c r="JCI19" t="s">
        <v>6984</v>
      </c>
      <c r="JCJ19" t="s">
        <v>6984</v>
      </c>
      <c r="JCK19" t="s">
        <v>6984</v>
      </c>
      <c r="JCL19" t="s">
        <v>6984</v>
      </c>
      <c r="JCM19" t="s">
        <v>6984</v>
      </c>
      <c r="JCN19" t="s">
        <v>6984</v>
      </c>
      <c r="JCO19" t="s">
        <v>6984</v>
      </c>
      <c r="JCP19" t="s">
        <v>6984</v>
      </c>
      <c r="JCQ19" t="s">
        <v>6984</v>
      </c>
      <c r="JCR19" t="s">
        <v>6984</v>
      </c>
      <c r="JCS19" t="s">
        <v>6984</v>
      </c>
      <c r="JCT19" t="s">
        <v>6984</v>
      </c>
      <c r="JCU19" t="s">
        <v>6984</v>
      </c>
      <c r="JCV19" t="s">
        <v>6984</v>
      </c>
      <c r="JCW19" t="s">
        <v>6984</v>
      </c>
      <c r="JCX19" t="s">
        <v>6984</v>
      </c>
      <c r="JCY19" t="s">
        <v>6984</v>
      </c>
      <c r="JCZ19" t="s">
        <v>6984</v>
      </c>
      <c r="JDA19" t="s">
        <v>6984</v>
      </c>
      <c r="JDB19" t="s">
        <v>6984</v>
      </c>
      <c r="JDC19" t="s">
        <v>6984</v>
      </c>
      <c r="JDD19" t="s">
        <v>6984</v>
      </c>
      <c r="JDE19" t="s">
        <v>6984</v>
      </c>
      <c r="JDF19" t="s">
        <v>6984</v>
      </c>
      <c r="JDG19" t="s">
        <v>6984</v>
      </c>
      <c r="JDH19" t="s">
        <v>6984</v>
      </c>
      <c r="JDI19" t="s">
        <v>6984</v>
      </c>
      <c r="JDJ19" t="s">
        <v>6984</v>
      </c>
      <c r="JDK19" t="s">
        <v>6984</v>
      </c>
      <c r="JDL19" t="s">
        <v>6984</v>
      </c>
      <c r="JDM19" t="s">
        <v>6984</v>
      </c>
      <c r="JDN19" t="s">
        <v>6984</v>
      </c>
      <c r="JDO19" t="s">
        <v>6984</v>
      </c>
      <c r="JDP19" t="s">
        <v>6984</v>
      </c>
      <c r="JDQ19" t="s">
        <v>6984</v>
      </c>
      <c r="JDR19" t="s">
        <v>6984</v>
      </c>
      <c r="JDS19" t="s">
        <v>6984</v>
      </c>
      <c r="JDT19" t="s">
        <v>6984</v>
      </c>
      <c r="JDU19" t="s">
        <v>6984</v>
      </c>
      <c r="JDV19" t="s">
        <v>6984</v>
      </c>
      <c r="JDW19" t="s">
        <v>6984</v>
      </c>
      <c r="JDX19" t="s">
        <v>6984</v>
      </c>
      <c r="JDY19" t="s">
        <v>6984</v>
      </c>
      <c r="JDZ19" t="s">
        <v>6984</v>
      </c>
      <c r="JEA19" t="s">
        <v>6984</v>
      </c>
      <c r="JEB19" t="s">
        <v>6984</v>
      </c>
      <c r="JEC19" t="s">
        <v>6984</v>
      </c>
      <c r="JED19" t="s">
        <v>6984</v>
      </c>
      <c r="JEE19" t="s">
        <v>6984</v>
      </c>
      <c r="JEF19" t="s">
        <v>6984</v>
      </c>
      <c r="JEG19" t="s">
        <v>6984</v>
      </c>
      <c r="JEH19" t="s">
        <v>6984</v>
      </c>
      <c r="JEI19" t="s">
        <v>6984</v>
      </c>
      <c r="JEJ19" t="s">
        <v>6984</v>
      </c>
      <c r="JEK19" t="s">
        <v>6984</v>
      </c>
      <c r="JEL19" t="s">
        <v>6984</v>
      </c>
      <c r="JEM19" t="s">
        <v>6984</v>
      </c>
      <c r="JEN19" t="s">
        <v>6984</v>
      </c>
      <c r="JEO19" t="s">
        <v>6984</v>
      </c>
      <c r="JEP19" t="s">
        <v>6984</v>
      </c>
      <c r="JEQ19" t="s">
        <v>6984</v>
      </c>
      <c r="JER19" t="s">
        <v>6984</v>
      </c>
      <c r="JES19" t="s">
        <v>6984</v>
      </c>
      <c r="JET19" t="s">
        <v>6984</v>
      </c>
      <c r="JEU19" t="s">
        <v>6984</v>
      </c>
      <c r="JEV19" t="s">
        <v>6984</v>
      </c>
      <c r="JEW19" t="s">
        <v>6984</v>
      </c>
      <c r="JEX19" t="s">
        <v>6984</v>
      </c>
      <c r="JEY19" t="s">
        <v>6984</v>
      </c>
      <c r="JEZ19" t="s">
        <v>6984</v>
      </c>
      <c r="JFA19" t="s">
        <v>6984</v>
      </c>
      <c r="JFB19" t="s">
        <v>6984</v>
      </c>
      <c r="JFC19" t="s">
        <v>6984</v>
      </c>
      <c r="JFD19" t="s">
        <v>6984</v>
      </c>
      <c r="JFE19" t="s">
        <v>6984</v>
      </c>
      <c r="JFF19" t="s">
        <v>6984</v>
      </c>
      <c r="JFG19" t="s">
        <v>6984</v>
      </c>
      <c r="JFH19" t="s">
        <v>6984</v>
      </c>
      <c r="JFI19" t="s">
        <v>6984</v>
      </c>
      <c r="JFJ19" t="s">
        <v>6984</v>
      </c>
      <c r="JFK19" t="s">
        <v>6984</v>
      </c>
      <c r="JFL19" t="s">
        <v>6984</v>
      </c>
      <c r="JFM19" t="s">
        <v>6984</v>
      </c>
      <c r="JFN19" t="s">
        <v>6984</v>
      </c>
      <c r="JFO19" t="s">
        <v>6984</v>
      </c>
      <c r="JFP19" t="s">
        <v>6984</v>
      </c>
      <c r="JFQ19" t="s">
        <v>6984</v>
      </c>
      <c r="JFR19" t="s">
        <v>6984</v>
      </c>
      <c r="JFS19" t="s">
        <v>6984</v>
      </c>
      <c r="JFT19" t="s">
        <v>6984</v>
      </c>
      <c r="JFU19" t="s">
        <v>6984</v>
      </c>
      <c r="JFV19" t="s">
        <v>6984</v>
      </c>
      <c r="JFW19" t="s">
        <v>6984</v>
      </c>
      <c r="JFX19" t="s">
        <v>6984</v>
      </c>
      <c r="JFY19" t="s">
        <v>6984</v>
      </c>
      <c r="JFZ19" t="s">
        <v>6984</v>
      </c>
      <c r="JGA19" t="s">
        <v>6984</v>
      </c>
      <c r="JGB19" t="s">
        <v>6984</v>
      </c>
      <c r="JGC19" t="s">
        <v>6984</v>
      </c>
      <c r="JGD19" t="s">
        <v>6984</v>
      </c>
      <c r="JGE19" t="s">
        <v>6984</v>
      </c>
      <c r="JGF19" t="s">
        <v>6984</v>
      </c>
      <c r="JGG19" t="s">
        <v>6984</v>
      </c>
      <c r="JGH19" t="s">
        <v>6984</v>
      </c>
      <c r="JGI19" t="s">
        <v>6984</v>
      </c>
      <c r="JGJ19" t="s">
        <v>6984</v>
      </c>
      <c r="JGK19" t="s">
        <v>6984</v>
      </c>
      <c r="JGL19" t="s">
        <v>6984</v>
      </c>
      <c r="JGM19" t="s">
        <v>6984</v>
      </c>
      <c r="JGN19" t="s">
        <v>6984</v>
      </c>
      <c r="JGO19" t="s">
        <v>6984</v>
      </c>
      <c r="JGP19" t="s">
        <v>6984</v>
      </c>
      <c r="JGQ19" t="s">
        <v>6984</v>
      </c>
      <c r="JGR19" t="s">
        <v>6984</v>
      </c>
      <c r="JGS19" t="s">
        <v>6984</v>
      </c>
      <c r="JGT19" t="s">
        <v>6984</v>
      </c>
      <c r="JGU19" t="s">
        <v>6984</v>
      </c>
      <c r="JGV19" t="s">
        <v>6984</v>
      </c>
      <c r="JGW19" t="s">
        <v>6984</v>
      </c>
      <c r="JGX19" t="s">
        <v>6984</v>
      </c>
      <c r="JGY19" t="s">
        <v>6984</v>
      </c>
      <c r="JGZ19" t="s">
        <v>6984</v>
      </c>
      <c r="JHA19" t="s">
        <v>6984</v>
      </c>
      <c r="JHB19" t="s">
        <v>6984</v>
      </c>
      <c r="JHC19" t="s">
        <v>6984</v>
      </c>
      <c r="JHD19" t="s">
        <v>6984</v>
      </c>
      <c r="JHE19" t="s">
        <v>6984</v>
      </c>
      <c r="JHF19" t="s">
        <v>6984</v>
      </c>
      <c r="JHG19" t="s">
        <v>6984</v>
      </c>
      <c r="JHH19" t="s">
        <v>6984</v>
      </c>
      <c r="JHI19" t="s">
        <v>6984</v>
      </c>
      <c r="JHJ19" t="s">
        <v>6984</v>
      </c>
      <c r="JHK19" t="s">
        <v>6984</v>
      </c>
      <c r="JHL19" t="s">
        <v>6984</v>
      </c>
      <c r="JHM19" t="s">
        <v>6984</v>
      </c>
      <c r="JHN19" t="s">
        <v>6984</v>
      </c>
      <c r="JHO19" t="s">
        <v>6984</v>
      </c>
      <c r="JHP19" t="s">
        <v>6984</v>
      </c>
      <c r="JHQ19" t="s">
        <v>6984</v>
      </c>
      <c r="JHR19" t="s">
        <v>6984</v>
      </c>
      <c r="JHS19" t="s">
        <v>6984</v>
      </c>
      <c r="JHT19" t="s">
        <v>6984</v>
      </c>
      <c r="JHU19" t="s">
        <v>6984</v>
      </c>
      <c r="JHV19" t="s">
        <v>6984</v>
      </c>
      <c r="JHW19" t="s">
        <v>6984</v>
      </c>
      <c r="JHX19" t="s">
        <v>6984</v>
      </c>
      <c r="JHY19" t="s">
        <v>6984</v>
      </c>
      <c r="JHZ19" t="s">
        <v>6984</v>
      </c>
      <c r="JIA19" t="s">
        <v>6984</v>
      </c>
      <c r="JIB19" t="s">
        <v>6984</v>
      </c>
      <c r="JIC19" t="s">
        <v>6984</v>
      </c>
      <c r="JID19" t="s">
        <v>6984</v>
      </c>
      <c r="JIE19" t="s">
        <v>6984</v>
      </c>
      <c r="JIF19" t="s">
        <v>6984</v>
      </c>
      <c r="JIG19" t="s">
        <v>6984</v>
      </c>
      <c r="JIH19" t="s">
        <v>6984</v>
      </c>
      <c r="JII19" t="s">
        <v>6984</v>
      </c>
      <c r="JIJ19" t="s">
        <v>6984</v>
      </c>
      <c r="JIK19" t="s">
        <v>6984</v>
      </c>
      <c r="JIL19" t="s">
        <v>6984</v>
      </c>
      <c r="JIM19" t="s">
        <v>6984</v>
      </c>
      <c r="JIN19" t="s">
        <v>6984</v>
      </c>
      <c r="JIO19" t="s">
        <v>6984</v>
      </c>
      <c r="JIP19" t="s">
        <v>6984</v>
      </c>
      <c r="JIQ19" t="s">
        <v>6984</v>
      </c>
      <c r="JIR19" t="s">
        <v>6984</v>
      </c>
      <c r="JIS19" t="s">
        <v>6984</v>
      </c>
      <c r="JIT19" t="s">
        <v>6984</v>
      </c>
      <c r="JIU19" t="s">
        <v>6984</v>
      </c>
      <c r="JIV19" t="s">
        <v>6984</v>
      </c>
      <c r="JIW19" t="s">
        <v>6984</v>
      </c>
      <c r="JIX19" t="s">
        <v>6984</v>
      </c>
      <c r="JIY19" t="s">
        <v>6984</v>
      </c>
      <c r="JIZ19" t="s">
        <v>6984</v>
      </c>
      <c r="JJA19" t="s">
        <v>6984</v>
      </c>
    </row>
    <row r="20" spans="1:7021" x14ac:dyDescent="0.25">
      <c r="A20" t="s">
        <v>7001</v>
      </c>
      <c r="B20">
        <v>96.254999999999995</v>
      </c>
      <c r="C20">
        <v>96.254999999999995</v>
      </c>
      <c r="D20">
        <v>96.254999999999995</v>
      </c>
      <c r="E20">
        <v>96.3</v>
      </c>
      <c r="F20">
        <v>96.24</v>
      </c>
      <c r="G20">
        <v>96.26</v>
      </c>
      <c r="H20">
        <v>96.305000000000007</v>
      </c>
      <c r="I20">
        <v>96.25</v>
      </c>
      <c r="J20">
        <v>96.19</v>
      </c>
      <c r="K20">
        <v>96.174999999999997</v>
      </c>
      <c r="L20">
        <v>96.155000000000001</v>
      </c>
      <c r="M20">
        <v>96.275000000000006</v>
      </c>
      <c r="N20">
        <v>96.314999999999998</v>
      </c>
      <c r="O20">
        <v>96.23</v>
      </c>
      <c r="P20">
        <v>96.234999999999999</v>
      </c>
      <c r="Q20">
        <v>96.29</v>
      </c>
      <c r="R20">
        <v>96.27</v>
      </c>
      <c r="S20">
        <v>96.23</v>
      </c>
      <c r="T20">
        <v>96.275000000000006</v>
      </c>
      <c r="U20">
        <v>96.19</v>
      </c>
      <c r="V20">
        <v>96.19</v>
      </c>
      <c r="W20">
        <v>96.14</v>
      </c>
      <c r="X20">
        <v>96.084999999999994</v>
      </c>
      <c r="Y20">
        <v>96.19</v>
      </c>
      <c r="Z20">
        <v>96.174999999999997</v>
      </c>
      <c r="AA20">
        <v>96.194999999999993</v>
      </c>
      <c r="AB20">
        <v>96.174999999999997</v>
      </c>
      <c r="AC20">
        <v>96.09</v>
      </c>
      <c r="AD20">
        <v>96.13</v>
      </c>
      <c r="AE20">
        <v>96.155000000000001</v>
      </c>
      <c r="AF20">
        <v>96.25</v>
      </c>
      <c r="AG20">
        <v>96.245000000000005</v>
      </c>
      <c r="AH20">
        <v>96.364999999999995</v>
      </c>
      <c r="AI20">
        <v>96.325000000000003</v>
      </c>
      <c r="AJ20">
        <v>96.295000000000002</v>
      </c>
      <c r="AK20">
        <v>96.31</v>
      </c>
      <c r="AL20">
        <v>96.39</v>
      </c>
      <c r="AM20">
        <v>96.435000000000002</v>
      </c>
      <c r="AN20">
        <v>96.42</v>
      </c>
      <c r="AO20">
        <v>96.37</v>
      </c>
      <c r="AP20">
        <v>96.305000000000007</v>
      </c>
      <c r="AQ20">
        <v>96.254999999999995</v>
      </c>
      <c r="AR20">
        <v>96.174999999999997</v>
      </c>
      <c r="AS20">
        <v>96.18</v>
      </c>
      <c r="AT20">
        <v>96.174999999999997</v>
      </c>
      <c r="AU20">
        <v>96.24</v>
      </c>
      <c r="AV20">
        <v>96.24</v>
      </c>
      <c r="AW20">
        <v>96.284999999999997</v>
      </c>
      <c r="AX20">
        <v>96.22</v>
      </c>
      <c r="AY20">
        <v>96.185000000000002</v>
      </c>
      <c r="AZ20">
        <v>96.055000000000007</v>
      </c>
      <c r="BA20">
        <v>96.2</v>
      </c>
      <c r="BB20">
        <v>96.13</v>
      </c>
      <c r="BC20">
        <v>96.32</v>
      </c>
      <c r="BD20">
        <v>96.39</v>
      </c>
      <c r="BE20">
        <v>96.545000000000002</v>
      </c>
      <c r="BF20">
        <v>96.474999999999994</v>
      </c>
      <c r="BG20">
        <v>96.29</v>
      </c>
      <c r="BH20">
        <v>96.344999999999999</v>
      </c>
      <c r="BI20">
        <v>96.25</v>
      </c>
      <c r="BJ20">
        <v>96.234999999999999</v>
      </c>
      <c r="BK20">
        <v>96.11</v>
      </c>
      <c r="BL20">
        <v>96.144999999999996</v>
      </c>
      <c r="BM20">
        <v>96.16</v>
      </c>
      <c r="BN20">
        <v>96.125</v>
      </c>
      <c r="BO20">
        <v>96.21</v>
      </c>
      <c r="BP20">
        <v>96.215000000000003</v>
      </c>
      <c r="BQ20">
        <v>96.185000000000002</v>
      </c>
      <c r="BR20">
        <v>96.194999999999993</v>
      </c>
      <c r="BS20">
        <v>96.155000000000001</v>
      </c>
      <c r="BT20">
        <v>96.15</v>
      </c>
      <c r="BU20">
        <v>96.204999999999998</v>
      </c>
      <c r="BV20">
        <v>96.155000000000001</v>
      </c>
      <c r="BW20">
        <v>96.19</v>
      </c>
      <c r="BX20">
        <v>96.28</v>
      </c>
      <c r="BY20">
        <v>96.14</v>
      </c>
      <c r="BZ20">
        <v>96.17</v>
      </c>
      <c r="CA20">
        <v>96.19</v>
      </c>
      <c r="CB20">
        <v>96.27</v>
      </c>
      <c r="CC20">
        <v>96.305000000000007</v>
      </c>
      <c r="CD20">
        <v>96.26</v>
      </c>
      <c r="CE20">
        <v>96.194999999999993</v>
      </c>
      <c r="CF20">
        <v>96.234999999999999</v>
      </c>
      <c r="CG20">
        <v>96.165000000000006</v>
      </c>
      <c r="CH20">
        <v>96.03</v>
      </c>
      <c r="CI20">
        <v>96</v>
      </c>
      <c r="CJ20">
        <v>95.915000000000006</v>
      </c>
      <c r="CK20">
        <v>95.87</v>
      </c>
      <c r="CL20">
        <v>95.864999999999995</v>
      </c>
      <c r="CM20">
        <v>95.94</v>
      </c>
      <c r="CN20">
        <v>95.94</v>
      </c>
      <c r="CO20">
        <v>95.87</v>
      </c>
      <c r="CP20">
        <v>95.75</v>
      </c>
      <c r="CQ20">
        <v>95.894999999999996</v>
      </c>
      <c r="CR20">
        <v>95.944999999999993</v>
      </c>
      <c r="CS20">
        <v>95.94</v>
      </c>
      <c r="CT20">
        <v>96</v>
      </c>
      <c r="CU20">
        <v>96.05</v>
      </c>
      <c r="CV20">
        <v>95.944999999999993</v>
      </c>
      <c r="CW20">
        <v>95.91</v>
      </c>
      <c r="CX20">
        <v>95.87</v>
      </c>
      <c r="CY20">
        <v>95.935000000000002</v>
      </c>
      <c r="CZ20">
        <v>95.885000000000005</v>
      </c>
      <c r="DA20">
        <v>95.894999999999996</v>
      </c>
      <c r="DB20">
        <v>95.915000000000006</v>
      </c>
      <c r="DC20">
        <v>95.81</v>
      </c>
      <c r="DD20">
        <v>95.805000000000007</v>
      </c>
      <c r="DE20">
        <v>95.834999999999994</v>
      </c>
      <c r="DF20">
        <v>95.864999999999995</v>
      </c>
      <c r="DG20">
        <v>95.83</v>
      </c>
      <c r="DH20">
        <v>95.83</v>
      </c>
      <c r="DI20">
        <v>95.83</v>
      </c>
      <c r="DJ20">
        <v>95.77</v>
      </c>
      <c r="DK20">
        <v>95.62</v>
      </c>
      <c r="DL20">
        <v>95.614999999999995</v>
      </c>
      <c r="DM20">
        <v>95.66</v>
      </c>
      <c r="DN20">
        <v>95.77</v>
      </c>
      <c r="DO20">
        <v>95.75</v>
      </c>
      <c r="DP20">
        <v>95.76</v>
      </c>
      <c r="DQ20">
        <v>95.844999999999999</v>
      </c>
      <c r="DR20">
        <v>95.905000000000001</v>
      </c>
      <c r="DS20">
        <v>95.924999999999997</v>
      </c>
      <c r="DT20">
        <v>95.915000000000006</v>
      </c>
      <c r="DU20">
        <v>95.915000000000006</v>
      </c>
      <c r="DV20">
        <v>95.95</v>
      </c>
      <c r="DW20">
        <v>95.864999999999995</v>
      </c>
      <c r="DX20">
        <v>95.915000000000006</v>
      </c>
      <c r="DY20">
        <v>95.9</v>
      </c>
      <c r="DZ20">
        <v>95.9</v>
      </c>
      <c r="EA20">
        <v>95.88</v>
      </c>
      <c r="EB20">
        <v>95.974999999999994</v>
      </c>
      <c r="EC20">
        <v>95.91</v>
      </c>
      <c r="ED20">
        <v>96.03</v>
      </c>
      <c r="EE20">
        <v>96.16</v>
      </c>
      <c r="EF20">
        <v>96.15</v>
      </c>
      <c r="EG20">
        <v>96.155000000000001</v>
      </c>
      <c r="EH20">
        <v>96.234999999999999</v>
      </c>
      <c r="EI20">
        <v>96.29</v>
      </c>
      <c r="EJ20">
        <v>96.355000000000004</v>
      </c>
      <c r="EK20">
        <v>96.38</v>
      </c>
      <c r="EL20">
        <v>96.415000000000006</v>
      </c>
      <c r="EM20">
        <v>96.375</v>
      </c>
      <c r="EN20">
        <v>96.375</v>
      </c>
      <c r="EO20">
        <v>96.344999999999999</v>
      </c>
      <c r="EP20">
        <v>96.38</v>
      </c>
      <c r="EQ20">
        <v>96.385000000000005</v>
      </c>
      <c r="ER20">
        <v>96.35</v>
      </c>
      <c r="ES20">
        <v>96.35</v>
      </c>
      <c r="ET20">
        <v>96.27</v>
      </c>
      <c r="EU20">
        <v>96.33</v>
      </c>
      <c r="EV20">
        <v>96.185000000000002</v>
      </c>
      <c r="EW20">
        <v>96.15</v>
      </c>
      <c r="EX20">
        <v>96.165000000000006</v>
      </c>
      <c r="EY20">
        <v>96.19</v>
      </c>
      <c r="EZ20">
        <v>96.155000000000001</v>
      </c>
      <c r="FA20">
        <v>96.14</v>
      </c>
      <c r="FB20">
        <v>96.144999999999996</v>
      </c>
      <c r="FC20">
        <v>96.12</v>
      </c>
      <c r="FD20">
        <v>96.135000000000005</v>
      </c>
      <c r="FE20">
        <v>96.18</v>
      </c>
      <c r="FF20">
        <v>96.24</v>
      </c>
      <c r="FG20">
        <v>96.204999999999998</v>
      </c>
      <c r="FH20">
        <v>96.114999999999995</v>
      </c>
      <c r="FI20">
        <v>96.28</v>
      </c>
      <c r="FJ20">
        <v>96.254999999999995</v>
      </c>
      <c r="FK20">
        <v>96.204999999999998</v>
      </c>
      <c r="FL20">
        <v>96.265000000000001</v>
      </c>
      <c r="FM20">
        <v>96.284999999999997</v>
      </c>
      <c r="FN20">
        <v>96.28</v>
      </c>
      <c r="FO20">
        <v>96.27</v>
      </c>
      <c r="FP20">
        <v>96.31</v>
      </c>
      <c r="FQ20">
        <v>96.334999999999994</v>
      </c>
      <c r="FR20">
        <v>96.284999999999997</v>
      </c>
      <c r="FS20">
        <v>96.33</v>
      </c>
      <c r="FT20">
        <v>96.355000000000004</v>
      </c>
      <c r="FU20">
        <v>96.47</v>
      </c>
      <c r="FV20">
        <v>96.45</v>
      </c>
      <c r="FW20">
        <v>96.54</v>
      </c>
      <c r="FX20">
        <v>96.525000000000006</v>
      </c>
      <c r="FY20">
        <v>96.43</v>
      </c>
      <c r="FZ20">
        <v>96.48</v>
      </c>
      <c r="GA20">
        <v>96.465000000000003</v>
      </c>
      <c r="GB20">
        <v>96.5</v>
      </c>
      <c r="GC20">
        <v>96.534999999999997</v>
      </c>
      <c r="GD20">
        <v>96.545000000000002</v>
      </c>
      <c r="GE20">
        <v>96.575000000000003</v>
      </c>
      <c r="GF20">
        <v>96.68</v>
      </c>
      <c r="GG20">
        <v>96.754999999999995</v>
      </c>
      <c r="GH20">
        <v>96.795000000000002</v>
      </c>
      <c r="GI20">
        <v>96.724999999999994</v>
      </c>
      <c r="GJ20">
        <v>96.765000000000001</v>
      </c>
      <c r="GK20">
        <v>96.734999999999999</v>
      </c>
      <c r="GL20">
        <v>96.724999999999994</v>
      </c>
      <c r="GM20">
        <v>96.765000000000001</v>
      </c>
      <c r="GN20">
        <v>96.765000000000001</v>
      </c>
      <c r="GO20">
        <v>96.784999999999997</v>
      </c>
      <c r="GP20">
        <v>96.775000000000006</v>
      </c>
      <c r="GQ20">
        <v>96.855000000000004</v>
      </c>
      <c r="GR20">
        <v>96.935000000000002</v>
      </c>
      <c r="GS20">
        <v>96.935000000000002</v>
      </c>
      <c r="GT20">
        <v>96.924999999999997</v>
      </c>
      <c r="GU20">
        <v>96.915000000000006</v>
      </c>
      <c r="GV20">
        <v>96.95</v>
      </c>
      <c r="GW20">
        <v>96.95</v>
      </c>
      <c r="GX20">
        <v>96.89</v>
      </c>
      <c r="GY20">
        <v>96.87</v>
      </c>
      <c r="GZ20">
        <v>96.864999999999995</v>
      </c>
      <c r="HA20">
        <v>96.834999999999994</v>
      </c>
      <c r="HB20">
        <v>96.78</v>
      </c>
      <c r="HC20">
        <v>96.7</v>
      </c>
      <c r="HD20">
        <v>96.7</v>
      </c>
      <c r="HE20">
        <v>96.745000000000005</v>
      </c>
      <c r="HF20">
        <v>96.765000000000001</v>
      </c>
      <c r="HG20">
        <v>96.775000000000006</v>
      </c>
      <c r="HH20">
        <v>96.79</v>
      </c>
      <c r="HI20">
        <v>96.784999999999997</v>
      </c>
      <c r="HJ20">
        <v>96.72</v>
      </c>
      <c r="HK20">
        <v>96.8</v>
      </c>
      <c r="HL20">
        <v>96.775000000000006</v>
      </c>
      <c r="HM20">
        <v>96.72</v>
      </c>
      <c r="HN20">
        <v>96.69</v>
      </c>
      <c r="HO20">
        <v>96.66</v>
      </c>
      <c r="HP20">
        <v>96.754999999999995</v>
      </c>
      <c r="HQ20">
        <v>96.724999999999994</v>
      </c>
      <c r="HR20">
        <v>96.685000000000002</v>
      </c>
      <c r="HS20">
        <v>96.64</v>
      </c>
      <c r="HT20">
        <v>96.57</v>
      </c>
      <c r="HU20">
        <v>96.59</v>
      </c>
      <c r="HV20">
        <v>96.674999999999997</v>
      </c>
      <c r="HW20">
        <v>96.765000000000001</v>
      </c>
      <c r="HX20">
        <v>96.78</v>
      </c>
      <c r="HY20">
        <v>96.625</v>
      </c>
      <c r="HZ20">
        <v>96.515000000000001</v>
      </c>
      <c r="IA20">
        <v>96.484999999999999</v>
      </c>
      <c r="IB20">
        <v>96.45</v>
      </c>
      <c r="IC20">
        <v>96.424999999999997</v>
      </c>
      <c r="ID20">
        <v>96.37</v>
      </c>
      <c r="IE20">
        <v>96.334999999999994</v>
      </c>
      <c r="IF20">
        <v>96.38</v>
      </c>
      <c r="IG20">
        <v>96.364999999999995</v>
      </c>
      <c r="IH20">
        <v>96.37</v>
      </c>
      <c r="II20">
        <v>96.424999999999997</v>
      </c>
      <c r="IJ20">
        <v>96.474999999999994</v>
      </c>
      <c r="IK20">
        <v>96.444999999999993</v>
      </c>
      <c r="IL20">
        <v>96.385000000000005</v>
      </c>
      <c r="IM20">
        <v>96.43</v>
      </c>
      <c r="IN20">
        <v>96.444999999999993</v>
      </c>
      <c r="IO20">
        <v>96.35</v>
      </c>
      <c r="IP20">
        <v>96.325000000000003</v>
      </c>
      <c r="IQ20">
        <v>96.36</v>
      </c>
      <c r="IR20">
        <v>96.355000000000004</v>
      </c>
      <c r="IS20">
        <v>96.28</v>
      </c>
      <c r="IT20">
        <v>96.28</v>
      </c>
      <c r="IU20">
        <v>96.174999999999997</v>
      </c>
      <c r="IV20">
        <v>96.125</v>
      </c>
      <c r="IW20">
        <v>96.29</v>
      </c>
      <c r="IX20">
        <v>96.344999999999999</v>
      </c>
      <c r="IY20">
        <v>96.31</v>
      </c>
      <c r="IZ20">
        <v>96.4</v>
      </c>
      <c r="JA20">
        <v>96.39</v>
      </c>
      <c r="JB20">
        <v>96.37</v>
      </c>
      <c r="JC20">
        <v>96.375</v>
      </c>
      <c r="JD20">
        <v>96.435000000000002</v>
      </c>
      <c r="JE20">
        <v>96.435000000000002</v>
      </c>
      <c r="JF20">
        <v>96.364999999999995</v>
      </c>
      <c r="JG20">
        <v>96.44</v>
      </c>
      <c r="JH20">
        <v>96.4</v>
      </c>
      <c r="JI20">
        <v>96.334999999999994</v>
      </c>
      <c r="JJ20">
        <v>96.22</v>
      </c>
      <c r="JK20">
        <v>96.14</v>
      </c>
      <c r="JL20">
        <v>96.19</v>
      </c>
      <c r="JM20">
        <v>96.334999999999994</v>
      </c>
      <c r="JN20">
        <v>96.33</v>
      </c>
      <c r="JO20">
        <v>96.295000000000002</v>
      </c>
      <c r="JP20">
        <v>96.21</v>
      </c>
      <c r="JQ20">
        <v>96.084999999999994</v>
      </c>
      <c r="JR20">
        <v>96.045000000000002</v>
      </c>
      <c r="JS20">
        <v>95.974999999999994</v>
      </c>
      <c r="JT20">
        <v>96.07</v>
      </c>
      <c r="JU20">
        <v>96.14</v>
      </c>
      <c r="JV20">
        <v>96.14</v>
      </c>
      <c r="JW20">
        <v>96.13</v>
      </c>
      <c r="JX20">
        <v>96.16</v>
      </c>
      <c r="JY20">
        <v>96.174999999999997</v>
      </c>
      <c r="JZ20">
        <v>96.15</v>
      </c>
      <c r="KA20">
        <v>96.16</v>
      </c>
      <c r="KB20">
        <v>96.204999999999998</v>
      </c>
      <c r="KC20">
        <v>96.22</v>
      </c>
      <c r="KD20">
        <v>96.13</v>
      </c>
      <c r="KE20">
        <v>96.094999999999999</v>
      </c>
      <c r="KF20">
        <v>96.07</v>
      </c>
      <c r="KG20">
        <v>96.12</v>
      </c>
      <c r="KH20">
        <v>96.084999999999994</v>
      </c>
      <c r="KI20">
        <v>96.13</v>
      </c>
      <c r="KJ20">
        <v>96.094999999999999</v>
      </c>
      <c r="KK20">
        <v>96.08</v>
      </c>
      <c r="KL20">
        <v>95.99</v>
      </c>
      <c r="KM20">
        <v>95.97</v>
      </c>
      <c r="KN20">
        <v>95.88</v>
      </c>
      <c r="KO20">
        <v>95.954999999999998</v>
      </c>
      <c r="KP20">
        <v>95.885000000000005</v>
      </c>
      <c r="KQ20">
        <v>95.84</v>
      </c>
      <c r="KR20">
        <v>95.894999999999996</v>
      </c>
      <c r="KS20">
        <v>95.965000000000003</v>
      </c>
      <c r="KT20">
        <v>95.94</v>
      </c>
      <c r="KU20">
        <v>95.95</v>
      </c>
      <c r="KV20">
        <v>95.92</v>
      </c>
      <c r="KW20">
        <v>95.984999999999999</v>
      </c>
      <c r="KX20">
        <v>95.91</v>
      </c>
      <c r="KY20">
        <v>95.95</v>
      </c>
      <c r="KZ20">
        <v>96.094999999999999</v>
      </c>
      <c r="LA20">
        <v>96.004999999999995</v>
      </c>
      <c r="LB20">
        <v>96.025000000000006</v>
      </c>
      <c r="LC20">
        <v>96.194999999999993</v>
      </c>
      <c r="LD20">
        <v>96.135000000000005</v>
      </c>
      <c r="LE20">
        <v>96.19</v>
      </c>
      <c r="LF20">
        <v>96.245000000000005</v>
      </c>
      <c r="LG20">
        <v>96.204999999999998</v>
      </c>
      <c r="LH20">
        <v>96.19</v>
      </c>
      <c r="LI20">
        <v>96.224999999999994</v>
      </c>
      <c r="LJ20">
        <v>96.37</v>
      </c>
      <c r="LK20">
        <v>96.37</v>
      </c>
      <c r="LL20">
        <v>96.344999999999999</v>
      </c>
      <c r="LM20">
        <v>96.31</v>
      </c>
      <c r="LN20">
        <v>96.28</v>
      </c>
      <c r="LO20">
        <v>96.32</v>
      </c>
      <c r="LP20">
        <v>96.26</v>
      </c>
      <c r="LQ20">
        <v>96.26</v>
      </c>
      <c r="LR20">
        <v>96.28</v>
      </c>
      <c r="LS20">
        <v>96.23</v>
      </c>
      <c r="LT20">
        <v>96.27</v>
      </c>
      <c r="LU20">
        <v>96.28</v>
      </c>
      <c r="LV20">
        <v>96.41</v>
      </c>
      <c r="LW20">
        <v>96.424999999999997</v>
      </c>
      <c r="LX20">
        <v>96.484999999999999</v>
      </c>
      <c r="LY20">
        <v>96.49</v>
      </c>
      <c r="LZ20">
        <v>96.49</v>
      </c>
      <c r="MA20">
        <v>96.474999999999994</v>
      </c>
      <c r="MB20">
        <v>96.444999999999993</v>
      </c>
      <c r="MC20">
        <v>96.355000000000004</v>
      </c>
      <c r="MD20">
        <v>96.38</v>
      </c>
      <c r="ME20">
        <v>96.305000000000007</v>
      </c>
      <c r="MF20">
        <v>96.3</v>
      </c>
      <c r="MG20">
        <v>96.28</v>
      </c>
      <c r="MH20">
        <v>96.29</v>
      </c>
      <c r="MI20">
        <v>96.3</v>
      </c>
      <c r="MJ20">
        <v>96.22</v>
      </c>
      <c r="MK20">
        <v>96.21</v>
      </c>
      <c r="ML20">
        <v>96.254999999999995</v>
      </c>
      <c r="MM20">
        <v>96.23</v>
      </c>
      <c r="MN20">
        <v>96.23</v>
      </c>
      <c r="MO20">
        <v>96.28</v>
      </c>
      <c r="MP20">
        <v>96.245000000000005</v>
      </c>
      <c r="MQ20">
        <v>96.194999999999993</v>
      </c>
      <c r="MR20">
        <v>96.35</v>
      </c>
      <c r="MS20">
        <v>96.325000000000003</v>
      </c>
      <c r="MT20">
        <v>96.344999999999999</v>
      </c>
      <c r="MU20">
        <v>96.43</v>
      </c>
      <c r="MV20">
        <v>96.45</v>
      </c>
      <c r="MW20">
        <v>96.355000000000004</v>
      </c>
      <c r="MX20">
        <v>96.484999999999999</v>
      </c>
      <c r="MY20">
        <v>96.665000000000006</v>
      </c>
      <c r="MZ20">
        <v>96.56</v>
      </c>
      <c r="NA20">
        <v>96.47</v>
      </c>
      <c r="NB20">
        <v>96.42</v>
      </c>
      <c r="NC20">
        <v>96.34</v>
      </c>
      <c r="ND20">
        <v>96.364999999999995</v>
      </c>
      <c r="NE20">
        <v>96.32</v>
      </c>
      <c r="NF20">
        <v>96.364999999999995</v>
      </c>
      <c r="NG20">
        <v>96.415000000000006</v>
      </c>
      <c r="NH20">
        <v>96.35</v>
      </c>
      <c r="NI20">
        <v>96.355000000000004</v>
      </c>
      <c r="NJ20">
        <v>96.41</v>
      </c>
      <c r="NK20">
        <v>96.444999999999993</v>
      </c>
      <c r="NL20">
        <v>96.57</v>
      </c>
      <c r="NM20">
        <v>96.57</v>
      </c>
      <c r="NN20">
        <v>96.57</v>
      </c>
      <c r="NO20">
        <v>96.51</v>
      </c>
      <c r="NP20">
        <v>96.52</v>
      </c>
      <c r="NQ20">
        <v>96.53</v>
      </c>
      <c r="NR20">
        <v>96.515000000000001</v>
      </c>
      <c r="NS20">
        <v>96.57</v>
      </c>
      <c r="NT20">
        <v>96.67</v>
      </c>
      <c r="NU20">
        <v>96.635000000000005</v>
      </c>
      <c r="NV20">
        <v>96.7</v>
      </c>
      <c r="NW20">
        <v>96.7</v>
      </c>
      <c r="NX20">
        <v>96.704999999999998</v>
      </c>
      <c r="NY20">
        <v>96.765000000000001</v>
      </c>
      <c r="NZ20">
        <v>96.66</v>
      </c>
      <c r="OA20">
        <v>96.635000000000005</v>
      </c>
      <c r="OB20">
        <v>96.635000000000005</v>
      </c>
      <c r="OC20">
        <v>96.665000000000006</v>
      </c>
      <c r="OD20">
        <v>96.68</v>
      </c>
      <c r="OE20">
        <v>96.65</v>
      </c>
      <c r="OF20">
        <v>96.625</v>
      </c>
      <c r="OG20">
        <v>96.655000000000001</v>
      </c>
      <c r="OH20">
        <v>96.635000000000005</v>
      </c>
      <c r="OI20">
        <v>96.545000000000002</v>
      </c>
      <c r="OJ20">
        <v>96.39</v>
      </c>
      <c r="OK20">
        <v>96.344999999999999</v>
      </c>
      <c r="OL20">
        <v>96.344999999999999</v>
      </c>
      <c r="OM20">
        <v>96.47</v>
      </c>
      <c r="ON20">
        <v>96.474999999999994</v>
      </c>
      <c r="OO20">
        <v>96.42</v>
      </c>
      <c r="OP20">
        <v>96.3</v>
      </c>
      <c r="OQ20">
        <v>96.355000000000004</v>
      </c>
      <c r="OR20">
        <v>96.24</v>
      </c>
      <c r="OS20">
        <v>96.325000000000003</v>
      </c>
      <c r="OT20">
        <v>96.275000000000006</v>
      </c>
      <c r="OU20">
        <v>96.2</v>
      </c>
      <c r="OV20">
        <v>96.084999999999994</v>
      </c>
      <c r="OW20">
        <v>96.15</v>
      </c>
      <c r="OX20">
        <v>96.15</v>
      </c>
      <c r="OY20">
        <v>96.155000000000001</v>
      </c>
      <c r="OZ20">
        <v>96.155000000000001</v>
      </c>
      <c r="PA20">
        <v>96.114999999999995</v>
      </c>
      <c r="PB20">
        <v>96.11</v>
      </c>
      <c r="PC20">
        <v>96.004999999999995</v>
      </c>
      <c r="PD20">
        <v>96.094999999999999</v>
      </c>
      <c r="PE20">
        <v>95.885000000000005</v>
      </c>
      <c r="PF20">
        <v>95.894999999999996</v>
      </c>
      <c r="PG20">
        <v>95.9</v>
      </c>
      <c r="PH20">
        <v>96.034999999999997</v>
      </c>
      <c r="PI20">
        <v>95.98</v>
      </c>
      <c r="PJ20">
        <v>95.864999999999995</v>
      </c>
      <c r="PK20">
        <v>95.974999999999994</v>
      </c>
      <c r="PL20">
        <v>95.844999999999999</v>
      </c>
      <c r="PM20">
        <v>95.724999999999994</v>
      </c>
      <c r="PN20">
        <v>95.63</v>
      </c>
      <c r="PO20">
        <v>95.625</v>
      </c>
      <c r="PP20">
        <v>95.635000000000005</v>
      </c>
      <c r="PQ20">
        <v>95.614999999999995</v>
      </c>
      <c r="PR20">
        <v>95.49</v>
      </c>
      <c r="PS20">
        <v>95.62</v>
      </c>
      <c r="PT20">
        <v>95.625</v>
      </c>
      <c r="PU20">
        <v>95.53</v>
      </c>
      <c r="PV20">
        <v>95.44</v>
      </c>
      <c r="PW20">
        <v>95.56</v>
      </c>
      <c r="PX20">
        <v>95.63</v>
      </c>
      <c r="PY20">
        <v>95.79</v>
      </c>
      <c r="PZ20">
        <v>95.875</v>
      </c>
      <c r="QA20">
        <v>95.775000000000006</v>
      </c>
      <c r="QB20">
        <v>95.89</v>
      </c>
      <c r="QC20">
        <v>95.83</v>
      </c>
      <c r="QD20">
        <v>95.844999999999999</v>
      </c>
      <c r="QE20">
        <v>95.69</v>
      </c>
      <c r="QF20">
        <v>95.75</v>
      </c>
      <c r="QG20">
        <v>95.715000000000003</v>
      </c>
      <c r="QH20">
        <v>95.66</v>
      </c>
      <c r="QI20">
        <v>95.79</v>
      </c>
      <c r="QJ20">
        <v>95.93</v>
      </c>
      <c r="QK20">
        <v>95.885000000000005</v>
      </c>
      <c r="QL20">
        <v>95.875</v>
      </c>
      <c r="QM20">
        <v>95.95</v>
      </c>
      <c r="QN20">
        <v>95.96</v>
      </c>
      <c r="QO20">
        <v>96.064999999999998</v>
      </c>
      <c r="QP20">
        <v>96.02</v>
      </c>
      <c r="QQ20">
        <v>96.18</v>
      </c>
      <c r="QR20">
        <v>96.174999999999997</v>
      </c>
      <c r="QS20">
        <v>96.224999999999994</v>
      </c>
      <c r="QT20">
        <v>96.215000000000003</v>
      </c>
      <c r="QU20">
        <v>96.25</v>
      </c>
      <c r="QV20">
        <v>96.28</v>
      </c>
      <c r="QW20">
        <v>96.254999999999995</v>
      </c>
      <c r="QX20">
        <v>96.234999999999999</v>
      </c>
      <c r="QY20">
        <v>96.26</v>
      </c>
      <c r="QZ20">
        <v>96.254999999999995</v>
      </c>
      <c r="RA20">
        <v>96.234999999999999</v>
      </c>
      <c r="RB20">
        <v>96.28</v>
      </c>
      <c r="RC20">
        <v>96.35</v>
      </c>
      <c r="RD20">
        <v>96.35</v>
      </c>
      <c r="RE20">
        <v>96.43</v>
      </c>
      <c r="RF20">
        <v>96.4</v>
      </c>
      <c r="RG20">
        <v>96.39</v>
      </c>
      <c r="RH20">
        <v>96.3</v>
      </c>
      <c r="RI20">
        <v>96.25</v>
      </c>
      <c r="RJ20">
        <v>96.25</v>
      </c>
      <c r="RK20">
        <v>96.27</v>
      </c>
      <c r="RL20">
        <v>96.125</v>
      </c>
      <c r="RM20">
        <v>96.114999999999995</v>
      </c>
      <c r="RN20">
        <v>96.215000000000003</v>
      </c>
      <c r="RO20">
        <v>96.14</v>
      </c>
      <c r="RP20">
        <v>96.23</v>
      </c>
      <c r="RQ20">
        <v>96.265000000000001</v>
      </c>
      <c r="RR20">
        <v>96.32</v>
      </c>
      <c r="RS20">
        <v>96.32</v>
      </c>
      <c r="RT20">
        <v>96.44</v>
      </c>
      <c r="RU20">
        <v>96.545000000000002</v>
      </c>
      <c r="RV20">
        <v>96.534999999999997</v>
      </c>
      <c r="RW20">
        <v>96.474999999999994</v>
      </c>
      <c r="RX20">
        <v>96.47</v>
      </c>
      <c r="RY20">
        <v>96.32</v>
      </c>
      <c r="RZ20">
        <v>96.44</v>
      </c>
      <c r="SA20">
        <v>96.47</v>
      </c>
      <c r="SB20">
        <v>96.56</v>
      </c>
      <c r="SC20">
        <v>96.555000000000007</v>
      </c>
      <c r="SD20">
        <v>96.5</v>
      </c>
      <c r="SE20">
        <v>96.674999999999997</v>
      </c>
      <c r="SF20">
        <v>96.584999999999994</v>
      </c>
      <c r="SG20">
        <v>96.66</v>
      </c>
      <c r="SH20">
        <v>96.674999999999997</v>
      </c>
      <c r="SI20">
        <v>96.665000000000006</v>
      </c>
      <c r="SJ20">
        <v>96.814999999999998</v>
      </c>
      <c r="SK20">
        <v>96.77</v>
      </c>
      <c r="SL20">
        <v>96.74</v>
      </c>
      <c r="SM20">
        <v>96.694999999999993</v>
      </c>
      <c r="SN20">
        <v>96.724999999999994</v>
      </c>
      <c r="SO20">
        <v>96.65</v>
      </c>
      <c r="SP20">
        <v>96.515000000000001</v>
      </c>
      <c r="SQ20">
        <v>96.46</v>
      </c>
      <c r="SR20">
        <v>96.375</v>
      </c>
      <c r="SS20">
        <v>96.41</v>
      </c>
      <c r="ST20">
        <v>96.564999999999998</v>
      </c>
      <c r="SU20">
        <v>96.67</v>
      </c>
      <c r="SV20">
        <v>96.67</v>
      </c>
      <c r="SW20">
        <v>96.715000000000003</v>
      </c>
      <c r="SX20">
        <v>96.68</v>
      </c>
      <c r="SY20">
        <v>96.834999999999994</v>
      </c>
      <c r="SZ20">
        <v>96.77</v>
      </c>
      <c r="TA20">
        <v>96.805000000000007</v>
      </c>
      <c r="TB20">
        <v>96.765000000000001</v>
      </c>
      <c r="TC20">
        <v>96.72</v>
      </c>
      <c r="TD20">
        <v>96.8</v>
      </c>
      <c r="TE20">
        <v>96.825000000000003</v>
      </c>
      <c r="TF20">
        <v>96.775000000000006</v>
      </c>
      <c r="TG20">
        <v>96.775000000000006</v>
      </c>
      <c r="TH20">
        <v>96.825000000000003</v>
      </c>
      <c r="TI20">
        <v>96.74</v>
      </c>
      <c r="TJ20">
        <v>96.7</v>
      </c>
      <c r="TK20">
        <v>96.795000000000002</v>
      </c>
      <c r="TL20">
        <v>96.784999999999997</v>
      </c>
      <c r="TM20">
        <v>96.814999999999998</v>
      </c>
      <c r="TN20">
        <v>96.734999999999999</v>
      </c>
      <c r="TO20">
        <v>96.825000000000003</v>
      </c>
      <c r="TP20">
        <v>96.814999999999998</v>
      </c>
      <c r="TQ20">
        <v>96.784999999999997</v>
      </c>
      <c r="TR20">
        <v>96.9</v>
      </c>
      <c r="TS20">
        <v>96.875</v>
      </c>
      <c r="TT20">
        <v>96.805000000000007</v>
      </c>
      <c r="TU20">
        <v>96.674999999999997</v>
      </c>
      <c r="TV20">
        <v>96.674999999999997</v>
      </c>
      <c r="TW20">
        <v>96.7</v>
      </c>
      <c r="TX20">
        <v>96.814999999999998</v>
      </c>
      <c r="TY20">
        <v>96.814999999999998</v>
      </c>
      <c r="TZ20">
        <v>96.775000000000006</v>
      </c>
      <c r="UA20">
        <v>96.795000000000002</v>
      </c>
      <c r="UB20">
        <v>96.85</v>
      </c>
      <c r="UC20">
        <v>96.93</v>
      </c>
      <c r="UD20">
        <v>96.97</v>
      </c>
      <c r="UE20">
        <v>97.015000000000001</v>
      </c>
      <c r="UF20">
        <v>97.04</v>
      </c>
      <c r="UG20">
        <v>97.11</v>
      </c>
      <c r="UH20">
        <v>97.064999999999998</v>
      </c>
      <c r="UI20">
        <v>96.98</v>
      </c>
      <c r="UJ20">
        <v>96.96</v>
      </c>
      <c r="UK20">
        <v>97.01</v>
      </c>
      <c r="UL20">
        <v>97.105000000000004</v>
      </c>
      <c r="UM20">
        <v>97.06</v>
      </c>
      <c r="UN20">
        <v>97.03</v>
      </c>
      <c r="UO20">
        <v>96.885000000000005</v>
      </c>
      <c r="UP20">
        <v>97.004999999999995</v>
      </c>
      <c r="UQ20">
        <v>96.94</v>
      </c>
      <c r="UR20">
        <v>97.034999999999997</v>
      </c>
      <c r="US20">
        <v>97.08</v>
      </c>
      <c r="UT20">
        <v>96.98</v>
      </c>
      <c r="UU20">
        <v>96.91</v>
      </c>
      <c r="UV20">
        <v>96.954999999999998</v>
      </c>
      <c r="UW20">
        <v>96.894999999999996</v>
      </c>
      <c r="UX20">
        <v>96.91</v>
      </c>
      <c r="UY20">
        <v>96.89</v>
      </c>
      <c r="UZ20">
        <v>96.954999999999998</v>
      </c>
      <c r="VA20">
        <v>97.03</v>
      </c>
      <c r="VB20">
        <v>97.09</v>
      </c>
      <c r="VC20">
        <v>97.06</v>
      </c>
      <c r="VD20">
        <v>97.064999999999998</v>
      </c>
      <c r="VE20">
        <v>97.105000000000004</v>
      </c>
      <c r="VF20">
        <v>97.19</v>
      </c>
      <c r="VG20">
        <v>97.17</v>
      </c>
      <c r="VH20">
        <v>97.155000000000001</v>
      </c>
      <c r="VI20">
        <v>97.06</v>
      </c>
      <c r="VJ20">
        <v>97.004999999999995</v>
      </c>
      <c r="VK20">
        <v>96.94</v>
      </c>
      <c r="VL20">
        <v>96.894999999999996</v>
      </c>
      <c r="VM20">
        <v>96.88</v>
      </c>
      <c r="VN20">
        <v>96.91</v>
      </c>
      <c r="VO20">
        <v>97.045000000000002</v>
      </c>
      <c r="VP20">
        <v>97.025000000000006</v>
      </c>
      <c r="VQ20">
        <v>96.915000000000006</v>
      </c>
      <c r="VR20">
        <v>96.81</v>
      </c>
      <c r="VS20">
        <v>96.89</v>
      </c>
      <c r="VT20">
        <v>97.015000000000001</v>
      </c>
      <c r="VU20">
        <v>96.825000000000003</v>
      </c>
      <c r="VV20">
        <v>96.924999999999997</v>
      </c>
      <c r="VW20">
        <v>96.83</v>
      </c>
      <c r="VX20">
        <v>96.9</v>
      </c>
      <c r="VY20">
        <v>96.89</v>
      </c>
      <c r="VZ20">
        <v>96.685000000000002</v>
      </c>
      <c r="WA20">
        <v>96.665000000000006</v>
      </c>
      <c r="WB20">
        <v>96.67</v>
      </c>
      <c r="WC20">
        <v>96.614999999999995</v>
      </c>
      <c r="WD20">
        <v>96.61</v>
      </c>
      <c r="WE20">
        <v>96.515000000000001</v>
      </c>
      <c r="WF20">
        <v>96.62</v>
      </c>
      <c r="WG20">
        <v>96.71</v>
      </c>
      <c r="WH20">
        <v>96.704999999999998</v>
      </c>
      <c r="WI20">
        <v>96.64</v>
      </c>
      <c r="WJ20">
        <v>96.7</v>
      </c>
      <c r="WK20">
        <v>96.64</v>
      </c>
      <c r="WL20">
        <v>96.62</v>
      </c>
      <c r="WM20">
        <v>96.775000000000006</v>
      </c>
      <c r="WN20">
        <v>96.775000000000006</v>
      </c>
      <c r="WO20">
        <v>96.754999999999995</v>
      </c>
      <c r="WP20">
        <v>96.784999999999997</v>
      </c>
      <c r="WQ20">
        <v>96.83</v>
      </c>
      <c r="WR20">
        <v>96.86</v>
      </c>
      <c r="WS20">
        <v>96.85</v>
      </c>
      <c r="WT20">
        <v>96.905000000000001</v>
      </c>
      <c r="WU20">
        <v>96.944999999999993</v>
      </c>
      <c r="WV20">
        <v>96.915000000000006</v>
      </c>
      <c r="WW20">
        <v>96.944999999999993</v>
      </c>
      <c r="WX20">
        <v>97.04</v>
      </c>
      <c r="WY20">
        <v>97.185000000000002</v>
      </c>
      <c r="WZ20">
        <v>97.194999999999993</v>
      </c>
      <c r="XA20">
        <v>97.06</v>
      </c>
      <c r="XB20">
        <v>97.01</v>
      </c>
      <c r="XC20">
        <v>97.06</v>
      </c>
      <c r="XD20">
        <v>97.11</v>
      </c>
      <c r="XE20">
        <v>97.155000000000001</v>
      </c>
      <c r="XF20">
        <v>97.15</v>
      </c>
      <c r="XG20">
        <v>97.08</v>
      </c>
      <c r="XH20">
        <v>97.114999999999995</v>
      </c>
      <c r="XI20">
        <v>97.22</v>
      </c>
      <c r="XJ20">
        <v>97.265000000000001</v>
      </c>
      <c r="XK20">
        <v>97.1</v>
      </c>
      <c r="XL20">
        <v>97.125</v>
      </c>
      <c r="XM20">
        <v>97.125</v>
      </c>
      <c r="XN20">
        <v>97.18</v>
      </c>
      <c r="XO20">
        <v>97.05</v>
      </c>
      <c r="XP20">
        <v>96.99</v>
      </c>
      <c r="XQ20">
        <v>97.094999999999999</v>
      </c>
      <c r="XR20">
        <v>97.05</v>
      </c>
      <c r="XS20">
        <v>96.87</v>
      </c>
      <c r="XT20">
        <v>96.87</v>
      </c>
      <c r="XU20">
        <v>96.765000000000001</v>
      </c>
      <c r="XV20">
        <v>96.715000000000003</v>
      </c>
      <c r="XW20">
        <v>96.715000000000003</v>
      </c>
      <c r="XX20">
        <v>96.674999999999997</v>
      </c>
      <c r="XY20">
        <v>96.644999999999996</v>
      </c>
      <c r="XZ20">
        <v>96.715000000000003</v>
      </c>
      <c r="YA20">
        <v>96.795000000000002</v>
      </c>
      <c r="YB20">
        <v>96.795000000000002</v>
      </c>
      <c r="YC20">
        <v>96.84</v>
      </c>
      <c r="YD20">
        <v>96.825000000000003</v>
      </c>
      <c r="YE20">
        <v>96.905000000000001</v>
      </c>
      <c r="YF20">
        <v>97.03</v>
      </c>
      <c r="YG20">
        <v>97.12</v>
      </c>
      <c r="YH20">
        <v>97.155000000000001</v>
      </c>
      <c r="YI20">
        <v>97.1</v>
      </c>
      <c r="YJ20">
        <v>97.094999999999999</v>
      </c>
      <c r="YK20">
        <v>96.99</v>
      </c>
      <c r="YL20">
        <v>97.025000000000006</v>
      </c>
      <c r="YM20">
        <v>97.11</v>
      </c>
      <c r="YN20">
        <v>97.24</v>
      </c>
      <c r="YO20">
        <v>97.13</v>
      </c>
      <c r="YP20">
        <v>97.045000000000002</v>
      </c>
      <c r="YQ20">
        <v>97.165000000000006</v>
      </c>
      <c r="YR20">
        <v>97.11</v>
      </c>
      <c r="YS20">
        <v>96.95</v>
      </c>
      <c r="YT20">
        <v>96.885000000000005</v>
      </c>
      <c r="YU20">
        <v>96.915000000000006</v>
      </c>
      <c r="YV20">
        <v>96.905000000000001</v>
      </c>
      <c r="YW20">
        <v>96.885000000000005</v>
      </c>
      <c r="YX20">
        <v>96.885000000000005</v>
      </c>
      <c r="YY20">
        <v>96.814999999999998</v>
      </c>
      <c r="YZ20">
        <v>96.734999999999999</v>
      </c>
      <c r="ZA20">
        <v>96.74</v>
      </c>
      <c r="ZB20">
        <v>96.814999999999998</v>
      </c>
      <c r="ZC20">
        <v>96.875</v>
      </c>
      <c r="ZD20">
        <v>96.75</v>
      </c>
      <c r="ZE20">
        <v>96.674999999999997</v>
      </c>
      <c r="ZF20">
        <v>96.724999999999994</v>
      </c>
      <c r="ZG20">
        <v>96.694999999999993</v>
      </c>
      <c r="ZH20">
        <v>96.38</v>
      </c>
      <c r="ZI20">
        <v>96.375</v>
      </c>
      <c r="ZJ20">
        <v>96.27</v>
      </c>
      <c r="ZK20">
        <v>96.284999999999997</v>
      </c>
      <c r="ZL20">
        <v>96.3</v>
      </c>
      <c r="ZM20">
        <v>96.344999999999999</v>
      </c>
      <c r="ZN20">
        <v>96.314999999999998</v>
      </c>
      <c r="ZO20">
        <v>96.31</v>
      </c>
      <c r="ZP20">
        <v>96.344999999999999</v>
      </c>
      <c r="ZQ20">
        <v>96.46</v>
      </c>
      <c r="ZR20">
        <v>96.385000000000005</v>
      </c>
      <c r="ZS20">
        <v>96.3</v>
      </c>
      <c r="ZT20">
        <v>96.16</v>
      </c>
      <c r="ZU20">
        <v>96.2</v>
      </c>
      <c r="ZV20">
        <v>96.16</v>
      </c>
      <c r="ZW20">
        <v>96.29</v>
      </c>
      <c r="ZX20">
        <v>96.435000000000002</v>
      </c>
      <c r="ZY20">
        <v>96.415000000000006</v>
      </c>
      <c r="ZZ20">
        <v>96.4</v>
      </c>
      <c r="AAA20">
        <v>96.444999999999993</v>
      </c>
      <c r="AAB20">
        <v>96.435000000000002</v>
      </c>
      <c r="AAC20">
        <v>96.39</v>
      </c>
      <c r="AAD20">
        <v>96.355000000000004</v>
      </c>
      <c r="AAE20">
        <v>96.424999999999997</v>
      </c>
      <c r="AAF20">
        <v>96.484999999999999</v>
      </c>
      <c r="AAG20">
        <v>96.55</v>
      </c>
      <c r="AAH20">
        <v>96.74</v>
      </c>
      <c r="AAI20">
        <v>96.625</v>
      </c>
      <c r="AAJ20">
        <v>96.424999999999997</v>
      </c>
      <c r="AAK20">
        <v>96.515000000000001</v>
      </c>
      <c r="AAL20">
        <v>96.56</v>
      </c>
      <c r="AAM20">
        <v>96.34</v>
      </c>
      <c r="AAN20">
        <v>96.42</v>
      </c>
      <c r="AAO20">
        <v>96.644999999999996</v>
      </c>
      <c r="AAP20">
        <v>96.625</v>
      </c>
      <c r="AAQ20">
        <v>96.834999999999994</v>
      </c>
      <c r="AAR20">
        <v>96.765000000000001</v>
      </c>
      <c r="AAS20">
        <v>96.85</v>
      </c>
      <c r="AAT20">
        <v>96.894999999999996</v>
      </c>
      <c r="AAU20">
        <v>96.89</v>
      </c>
      <c r="AAV20">
        <v>96.944999999999993</v>
      </c>
      <c r="AAW20">
        <v>96.915000000000006</v>
      </c>
      <c r="AAX20">
        <v>96.965000000000003</v>
      </c>
      <c r="AAY20">
        <v>96.995000000000005</v>
      </c>
      <c r="AAZ20">
        <v>97.025000000000006</v>
      </c>
      <c r="ABA20">
        <v>97.06</v>
      </c>
      <c r="ABB20">
        <v>96.96</v>
      </c>
      <c r="ABC20">
        <v>97.135000000000005</v>
      </c>
      <c r="ABD20">
        <v>97.135000000000005</v>
      </c>
      <c r="ABE20">
        <v>97.045000000000002</v>
      </c>
      <c r="ABF20">
        <v>97.21</v>
      </c>
      <c r="ABG20">
        <v>97.24</v>
      </c>
      <c r="ABH20">
        <v>97.23</v>
      </c>
      <c r="ABI20">
        <v>97.344999999999999</v>
      </c>
      <c r="ABJ20">
        <v>97.394999999999996</v>
      </c>
      <c r="ABK20">
        <v>97.32</v>
      </c>
      <c r="ABL20">
        <v>97.375</v>
      </c>
      <c r="ABM20">
        <v>97.415000000000006</v>
      </c>
      <c r="ABN20">
        <v>97.46</v>
      </c>
      <c r="ABO20">
        <v>97.59</v>
      </c>
      <c r="ABP20">
        <v>97.584999999999994</v>
      </c>
      <c r="ABQ20">
        <v>97.68</v>
      </c>
      <c r="ABR20">
        <v>97.69</v>
      </c>
      <c r="ABS20">
        <v>97.6</v>
      </c>
      <c r="ABT20">
        <v>97.55</v>
      </c>
      <c r="ABU20">
        <v>97.67</v>
      </c>
      <c r="ABV20">
        <v>97.64</v>
      </c>
      <c r="ABW20">
        <v>97.674999999999997</v>
      </c>
      <c r="ABX20">
        <v>97.58</v>
      </c>
      <c r="ABY20">
        <v>97.75</v>
      </c>
      <c r="ABZ20">
        <v>97.644999999999996</v>
      </c>
      <c r="ACA20">
        <v>97.635000000000005</v>
      </c>
      <c r="ACB20">
        <v>97.795000000000002</v>
      </c>
      <c r="ACC20">
        <v>97.745000000000005</v>
      </c>
      <c r="ACD20">
        <v>97.71</v>
      </c>
      <c r="ACE20">
        <v>97.635000000000005</v>
      </c>
      <c r="ACF20">
        <v>97.555000000000007</v>
      </c>
      <c r="ACG20">
        <v>97.515000000000001</v>
      </c>
      <c r="ACH20">
        <v>97.534999999999997</v>
      </c>
      <c r="ACI20">
        <v>97.415000000000006</v>
      </c>
      <c r="ACJ20">
        <v>97.275000000000006</v>
      </c>
      <c r="ACK20">
        <v>97.325000000000003</v>
      </c>
      <c r="ACL20">
        <v>97.375</v>
      </c>
      <c r="ACM20">
        <v>97.394999999999996</v>
      </c>
      <c r="ACN20">
        <v>97.34</v>
      </c>
      <c r="ACO20">
        <v>97.394999999999996</v>
      </c>
      <c r="ACP20">
        <v>97.3</v>
      </c>
      <c r="ACQ20">
        <v>97.25</v>
      </c>
      <c r="ACR20">
        <v>97.105000000000004</v>
      </c>
      <c r="ACS20">
        <v>97.18</v>
      </c>
      <c r="ACT20">
        <v>97.3</v>
      </c>
      <c r="ACU20">
        <v>97.4</v>
      </c>
      <c r="ACV20">
        <v>97.3</v>
      </c>
      <c r="ACW20">
        <v>97.3</v>
      </c>
      <c r="ACX20">
        <v>97.24</v>
      </c>
      <c r="ACY20">
        <v>97.094999999999999</v>
      </c>
      <c r="ACZ20">
        <v>97.004999999999995</v>
      </c>
      <c r="ADA20">
        <v>97.03</v>
      </c>
      <c r="ADB20">
        <v>97.094999999999999</v>
      </c>
      <c r="ADC20">
        <v>97.18</v>
      </c>
      <c r="ADD20">
        <v>97.084999999999994</v>
      </c>
      <c r="ADE20">
        <v>96.965000000000003</v>
      </c>
      <c r="ADF20">
        <v>97.04</v>
      </c>
      <c r="ADG20">
        <v>97.04</v>
      </c>
      <c r="ADH20">
        <v>96.99</v>
      </c>
      <c r="ADI20">
        <v>96.82</v>
      </c>
      <c r="ADJ20">
        <v>96.76</v>
      </c>
      <c r="ADK20">
        <v>96.88</v>
      </c>
      <c r="ADL20">
        <v>97.105000000000004</v>
      </c>
      <c r="ADM20">
        <v>97.2</v>
      </c>
      <c r="ADN20">
        <v>97.21</v>
      </c>
      <c r="ADO20">
        <v>97.254999999999995</v>
      </c>
      <c r="ADP20">
        <v>97.165000000000006</v>
      </c>
      <c r="ADQ20">
        <v>97.27</v>
      </c>
      <c r="ADR20">
        <v>97.32</v>
      </c>
      <c r="ADS20">
        <v>97.28</v>
      </c>
      <c r="ADT20">
        <v>97.375</v>
      </c>
      <c r="ADU20">
        <v>97.465000000000003</v>
      </c>
      <c r="ADV20">
        <v>97.465000000000003</v>
      </c>
      <c r="ADW20">
        <v>97.454999999999998</v>
      </c>
      <c r="ADX20">
        <v>97.465000000000003</v>
      </c>
      <c r="ADY20">
        <v>97.435000000000002</v>
      </c>
      <c r="ADZ20">
        <v>97.325000000000003</v>
      </c>
      <c r="AEA20">
        <v>97.394999999999996</v>
      </c>
      <c r="AEB20">
        <v>97.34</v>
      </c>
      <c r="AEC20">
        <v>97.32</v>
      </c>
      <c r="AED20">
        <v>97.23</v>
      </c>
      <c r="AEE20">
        <v>97.32</v>
      </c>
      <c r="AEF20">
        <v>97.215000000000003</v>
      </c>
      <c r="AEG20">
        <v>97.34</v>
      </c>
      <c r="AEH20">
        <v>97.275000000000006</v>
      </c>
      <c r="AEI20">
        <v>97.19</v>
      </c>
      <c r="AEJ20">
        <v>97.075000000000003</v>
      </c>
      <c r="AEK20">
        <v>97.02</v>
      </c>
      <c r="AEL20">
        <v>97.094999999999999</v>
      </c>
      <c r="AEM20">
        <v>97.22</v>
      </c>
      <c r="AEN20">
        <v>97.18</v>
      </c>
      <c r="AEO20">
        <v>97.125</v>
      </c>
      <c r="AEP20">
        <v>97.254999999999995</v>
      </c>
      <c r="AEQ20">
        <v>97.26</v>
      </c>
      <c r="AER20">
        <v>97.334999999999994</v>
      </c>
      <c r="AES20">
        <v>97.38</v>
      </c>
      <c r="AET20">
        <v>97.375</v>
      </c>
      <c r="AEU20">
        <v>97.295000000000002</v>
      </c>
      <c r="AEV20">
        <v>97.21</v>
      </c>
      <c r="AEW20">
        <v>97.305000000000007</v>
      </c>
      <c r="AEX20">
        <v>97.21</v>
      </c>
      <c r="AEY20">
        <v>97.284999999999997</v>
      </c>
      <c r="AEZ20">
        <v>97.334999999999994</v>
      </c>
      <c r="AFA20">
        <v>97.334999999999994</v>
      </c>
      <c r="AFB20">
        <v>97.465000000000003</v>
      </c>
      <c r="AFC20">
        <v>97.435000000000002</v>
      </c>
      <c r="AFD20">
        <v>97.355000000000004</v>
      </c>
      <c r="AFE20">
        <v>97.465000000000003</v>
      </c>
      <c r="AFF20">
        <v>97.54</v>
      </c>
      <c r="AFG20">
        <v>97.59</v>
      </c>
      <c r="AFH20">
        <v>97.64</v>
      </c>
      <c r="AFI20">
        <v>97.864999999999995</v>
      </c>
      <c r="AFJ20">
        <v>97.88</v>
      </c>
      <c r="AFK20">
        <v>97.935000000000002</v>
      </c>
      <c r="AFL20">
        <v>97.87</v>
      </c>
      <c r="AFM20">
        <v>97.795000000000002</v>
      </c>
      <c r="AFN20">
        <v>97.665000000000006</v>
      </c>
      <c r="AFO20">
        <v>97.61</v>
      </c>
      <c r="AFP20">
        <v>97.83</v>
      </c>
      <c r="AFQ20">
        <v>97.86</v>
      </c>
      <c r="AFR20">
        <v>97.814999999999998</v>
      </c>
      <c r="AFS20">
        <v>97.875</v>
      </c>
      <c r="AFT20">
        <v>98.034999999999997</v>
      </c>
      <c r="AFU20">
        <v>97.97</v>
      </c>
      <c r="AFV20">
        <v>97.92</v>
      </c>
      <c r="AFW20">
        <v>97.965000000000003</v>
      </c>
      <c r="AFX20">
        <v>97.99</v>
      </c>
      <c r="AFY20">
        <v>98.135000000000005</v>
      </c>
      <c r="AFZ20">
        <v>98.15</v>
      </c>
      <c r="AGA20">
        <v>98.224999999999994</v>
      </c>
      <c r="AGB20">
        <v>98.325000000000003</v>
      </c>
      <c r="AGC20">
        <v>98.44</v>
      </c>
      <c r="AGD20">
        <v>98.47</v>
      </c>
      <c r="AGE20">
        <v>98.32</v>
      </c>
      <c r="AGF20">
        <v>98.265000000000001</v>
      </c>
      <c r="AGG20">
        <v>98.454999999999998</v>
      </c>
      <c r="AGH20">
        <v>98.27</v>
      </c>
      <c r="AGI20">
        <v>98.114999999999995</v>
      </c>
      <c r="AGJ20">
        <v>98.13</v>
      </c>
      <c r="AGK20">
        <v>98.125</v>
      </c>
      <c r="AGL20">
        <v>98.155000000000001</v>
      </c>
      <c r="AGM20">
        <v>98.155000000000001</v>
      </c>
      <c r="AGN20">
        <v>98.155000000000001</v>
      </c>
      <c r="AGO20">
        <v>98.11</v>
      </c>
      <c r="AGP20">
        <v>98.025000000000006</v>
      </c>
      <c r="AGQ20">
        <v>98.025000000000006</v>
      </c>
      <c r="AGR20">
        <v>98.084999999999994</v>
      </c>
      <c r="AGS20">
        <v>98.135000000000005</v>
      </c>
      <c r="AGT20">
        <v>98.015000000000001</v>
      </c>
      <c r="AGU20">
        <v>98.094999999999999</v>
      </c>
      <c r="AGV20">
        <v>98.06</v>
      </c>
      <c r="AGW20">
        <v>98.105000000000004</v>
      </c>
      <c r="AGX20">
        <v>98.08</v>
      </c>
      <c r="AGY20">
        <v>98.21</v>
      </c>
      <c r="AGZ20">
        <v>98.28</v>
      </c>
      <c r="AHA20">
        <v>98.25</v>
      </c>
      <c r="AHB20">
        <v>98.245000000000005</v>
      </c>
      <c r="AHC20">
        <v>98.25</v>
      </c>
      <c r="AHD20">
        <v>98.204999999999998</v>
      </c>
      <c r="AHE20">
        <v>98.125</v>
      </c>
      <c r="AHF20">
        <v>98.204999999999998</v>
      </c>
      <c r="AHG20">
        <v>98.265000000000001</v>
      </c>
      <c r="AHH20">
        <v>98.234999999999999</v>
      </c>
      <c r="AHI20">
        <v>98.165000000000006</v>
      </c>
      <c r="AHJ20">
        <v>98.15</v>
      </c>
      <c r="AHK20">
        <v>98.1</v>
      </c>
      <c r="AHL20">
        <v>98.22</v>
      </c>
      <c r="AHM20">
        <v>98.22</v>
      </c>
      <c r="AHN20">
        <v>98.3</v>
      </c>
      <c r="AHO20">
        <v>98.27</v>
      </c>
      <c r="AHP20">
        <v>98.224999999999994</v>
      </c>
      <c r="AHQ20">
        <v>98.17</v>
      </c>
      <c r="AHR20">
        <v>98.2</v>
      </c>
      <c r="AHS20">
        <v>98.245000000000005</v>
      </c>
      <c r="AHT20">
        <v>98.29</v>
      </c>
      <c r="AHU20">
        <v>98.32</v>
      </c>
      <c r="AHV20">
        <v>98.36</v>
      </c>
      <c r="AHW20">
        <v>98.504999999999995</v>
      </c>
      <c r="AHX20">
        <v>98.484999999999999</v>
      </c>
      <c r="AHY20">
        <v>98.474999999999994</v>
      </c>
      <c r="AHZ20">
        <v>98.545000000000002</v>
      </c>
      <c r="AIA20">
        <v>98.534999999999997</v>
      </c>
      <c r="AIB20">
        <v>98.525000000000006</v>
      </c>
      <c r="AIC20">
        <v>98.525000000000006</v>
      </c>
      <c r="AID20">
        <v>98.54</v>
      </c>
      <c r="AIE20">
        <v>98.53</v>
      </c>
      <c r="AIF20">
        <v>98.62</v>
      </c>
      <c r="AIG20">
        <v>98.644999999999996</v>
      </c>
      <c r="AIH20">
        <v>98.62</v>
      </c>
      <c r="AII20">
        <v>98.54</v>
      </c>
      <c r="AIJ20">
        <v>98.534999999999997</v>
      </c>
      <c r="AIK20">
        <v>98.55</v>
      </c>
      <c r="AIL20">
        <v>98.5</v>
      </c>
      <c r="AIM20">
        <v>98.515000000000001</v>
      </c>
      <c r="AIN20">
        <v>98.49</v>
      </c>
      <c r="AIO20">
        <v>98.504999999999995</v>
      </c>
      <c r="AIP20">
        <v>98.56</v>
      </c>
      <c r="AIQ20">
        <v>98.694999999999993</v>
      </c>
      <c r="AIR20">
        <v>98.58</v>
      </c>
      <c r="AIS20">
        <v>98.605000000000004</v>
      </c>
      <c r="AIT20">
        <v>98.564999999999998</v>
      </c>
      <c r="AIU20">
        <v>98.48</v>
      </c>
      <c r="AIV20">
        <v>98.51</v>
      </c>
      <c r="AIW20">
        <v>98.34</v>
      </c>
      <c r="AIX20">
        <v>98.34</v>
      </c>
      <c r="AIY20">
        <v>98.314999999999998</v>
      </c>
      <c r="AIZ20">
        <v>98.36</v>
      </c>
      <c r="AJA20">
        <v>98.474999999999994</v>
      </c>
      <c r="AJB20">
        <v>98.415000000000006</v>
      </c>
      <c r="AJC20">
        <v>98.38</v>
      </c>
      <c r="AJD20">
        <v>98.355000000000004</v>
      </c>
      <c r="AJE20">
        <v>98.39</v>
      </c>
      <c r="AJF20">
        <v>98.424999999999997</v>
      </c>
      <c r="AJG20">
        <v>98.42</v>
      </c>
      <c r="AJH20">
        <v>98.454999999999998</v>
      </c>
      <c r="AJI20">
        <v>98.605000000000004</v>
      </c>
      <c r="AJJ20">
        <v>98.52</v>
      </c>
      <c r="AJK20">
        <v>98.584999999999994</v>
      </c>
      <c r="AJL20">
        <v>98.495000000000005</v>
      </c>
      <c r="AJM20">
        <v>98.444999999999993</v>
      </c>
      <c r="AJN20">
        <v>98.48</v>
      </c>
      <c r="AJO20">
        <v>98.495000000000005</v>
      </c>
      <c r="AJP20">
        <v>98.525000000000006</v>
      </c>
      <c r="AJQ20">
        <v>98.495000000000005</v>
      </c>
      <c r="AJR20">
        <v>98.484999999999999</v>
      </c>
      <c r="AJS20">
        <v>98.344999999999999</v>
      </c>
      <c r="AJT20">
        <v>98.344999999999999</v>
      </c>
      <c r="AJU20">
        <v>98.34</v>
      </c>
      <c r="AJV20">
        <v>98.305000000000007</v>
      </c>
      <c r="AJW20">
        <v>98.355000000000004</v>
      </c>
      <c r="AJX20">
        <v>98.355000000000004</v>
      </c>
      <c r="AJY20">
        <v>98.39</v>
      </c>
      <c r="AJZ20">
        <v>98.394999999999996</v>
      </c>
      <c r="AKA20">
        <v>98.46</v>
      </c>
      <c r="AKB20">
        <v>98.41</v>
      </c>
      <c r="AKC20">
        <v>98.364999999999995</v>
      </c>
      <c r="AKD20">
        <v>98.32</v>
      </c>
      <c r="AKE20">
        <v>98.34</v>
      </c>
      <c r="AKF20">
        <v>98.385000000000005</v>
      </c>
      <c r="AKG20">
        <v>98.435000000000002</v>
      </c>
      <c r="AKH20">
        <v>98.43</v>
      </c>
      <c r="AKI20">
        <v>98.48</v>
      </c>
      <c r="AKJ20">
        <v>98.47</v>
      </c>
      <c r="AKK20">
        <v>98.385000000000005</v>
      </c>
      <c r="AKL20">
        <v>98.364999999999995</v>
      </c>
      <c r="AKM20">
        <v>98.355000000000004</v>
      </c>
      <c r="AKN20">
        <v>98.415000000000006</v>
      </c>
      <c r="AKO20">
        <v>98.454999999999998</v>
      </c>
      <c r="AKP20">
        <v>98.5</v>
      </c>
      <c r="AKQ20">
        <v>98.584999999999994</v>
      </c>
      <c r="AKR20">
        <v>98.614999999999995</v>
      </c>
      <c r="AKS20">
        <v>98.62</v>
      </c>
      <c r="AKT20">
        <v>98.545000000000002</v>
      </c>
      <c r="AKU20">
        <v>98.605000000000004</v>
      </c>
      <c r="AKV20">
        <v>98.66</v>
      </c>
      <c r="AKW20">
        <v>98.75</v>
      </c>
      <c r="AKX20">
        <v>98.71</v>
      </c>
      <c r="AKY20">
        <v>98.694999999999993</v>
      </c>
      <c r="AKZ20">
        <v>98.75</v>
      </c>
      <c r="ALA20">
        <v>98.715000000000003</v>
      </c>
      <c r="ALB20">
        <v>98.685000000000002</v>
      </c>
      <c r="ALC20">
        <v>98.74</v>
      </c>
      <c r="ALD20">
        <v>98.74</v>
      </c>
      <c r="ALE20">
        <v>98.77</v>
      </c>
      <c r="ALF20">
        <v>98.76</v>
      </c>
      <c r="ALG20">
        <v>98.765000000000001</v>
      </c>
      <c r="ALH20">
        <v>98.775000000000006</v>
      </c>
      <c r="ALI20">
        <v>98.734999999999999</v>
      </c>
      <c r="ALJ20">
        <v>98.69</v>
      </c>
      <c r="ALK20">
        <v>98.7</v>
      </c>
      <c r="ALL20">
        <v>98.765000000000001</v>
      </c>
      <c r="ALM20">
        <v>98.795000000000002</v>
      </c>
      <c r="ALN20">
        <v>98.784999999999997</v>
      </c>
      <c r="ALO20">
        <v>98.805000000000007</v>
      </c>
      <c r="ALP20">
        <v>98.78</v>
      </c>
      <c r="ALQ20">
        <v>98.8</v>
      </c>
      <c r="ALR20">
        <v>98.805000000000007</v>
      </c>
      <c r="ALS20">
        <v>98.75</v>
      </c>
      <c r="ALT20">
        <v>98.67</v>
      </c>
      <c r="ALU20">
        <v>98.69</v>
      </c>
      <c r="ALV20">
        <v>98.69</v>
      </c>
      <c r="ALW20">
        <v>98.724999999999994</v>
      </c>
      <c r="ALX20">
        <v>98.775000000000006</v>
      </c>
      <c r="ALY20">
        <v>98.844999999999999</v>
      </c>
      <c r="ALZ20">
        <v>98.9</v>
      </c>
      <c r="AMA20">
        <v>98.93</v>
      </c>
      <c r="AMB20">
        <v>98.924999999999997</v>
      </c>
      <c r="AMC20">
        <v>98.84</v>
      </c>
      <c r="AMD20">
        <v>98.81</v>
      </c>
      <c r="AME20">
        <v>98.814999999999998</v>
      </c>
      <c r="AMF20">
        <v>98.86</v>
      </c>
      <c r="AMG20">
        <v>98.83</v>
      </c>
      <c r="AMH20">
        <v>98.82</v>
      </c>
      <c r="AMI20">
        <v>98.834999999999994</v>
      </c>
      <c r="AMJ20">
        <v>98.825000000000003</v>
      </c>
      <c r="AMK20">
        <v>98.924999999999997</v>
      </c>
      <c r="AML20">
        <v>98.93</v>
      </c>
      <c r="AMM20">
        <v>98.754999999999995</v>
      </c>
      <c r="AMN20">
        <v>98.76</v>
      </c>
      <c r="AMO20">
        <v>98.69</v>
      </c>
      <c r="AMP20">
        <v>98.625</v>
      </c>
      <c r="AMQ20">
        <v>98.68</v>
      </c>
      <c r="AMR20">
        <v>98.674999999999997</v>
      </c>
      <c r="AMS20">
        <v>98.754999999999995</v>
      </c>
      <c r="AMT20">
        <v>98.715000000000003</v>
      </c>
      <c r="AMU20">
        <v>98.665000000000006</v>
      </c>
      <c r="AMV20">
        <v>98.57</v>
      </c>
      <c r="AMW20">
        <v>98.57</v>
      </c>
      <c r="AMX20">
        <v>98.51</v>
      </c>
      <c r="AMY20">
        <v>98.555000000000007</v>
      </c>
      <c r="AMZ20">
        <v>98.52</v>
      </c>
      <c r="ANA20">
        <v>98.515000000000001</v>
      </c>
      <c r="ANB20">
        <v>98.474999999999994</v>
      </c>
      <c r="ANC20">
        <v>98.52</v>
      </c>
      <c r="AND20">
        <v>98.52</v>
      </c>
      <c r="ANE20">
        <v>98.555000000000007</v>
      </c>
      <c r="ANF20">
        <v>98.55</v>
      </c>
      <c r="ANG20">
        <v>98.56</v>
      </c>
      <c r="ANH20">
        <v>98.49</v>
      </c>
      <c r="ANI20">
        <v>98.39</v>
      </c>
      <c r="ANJ20">
        <v>98.61</v>
      </c>
      <c r="ANK20">
        <v>98.594999999999999</v>
      </c>
      <c r="ANL20">
        <v>98.635000000000005</v>
      </c>
      <c r="ANM20">
        <v>98.665000000000006</v>
      </c>
      <c r="ANN20">
        <v>98.635000000000005</v>
      </c>
      <c r="ANO20">
        <v>98.584999999999994</v>
      </c>
      <c r="ANP20">
        <v>98.54</v>
      </c>
      <c r="ANQ20">
        <v>98.534999999999997</v>
      </c>
      <c r="ANR20">
        <v>98.44</v>
      </c>
      <c r="ANS20">
        <v>98.49</v>
      </c>
      <c r="ANT20">
        <v>98.454999999999998</v>
      </c>
      <c r="ANU20">
        <v>98.495000000000005</v>
      </c>
      <c r="ANV20">
        <v>98.495000000000005</v>
      </c>
      <c r="ANW20">
        <v>98.49</v>
      </c>
      <c r="ANX20">
        <v>98.53</v>
      </c>
      <c r="ANY20">
        <v>98.534999999999997</v>
      </c>
      <c r="ANZ20">
        <v>98.48</v>
      </c>
      <c r="AOA20">
        <v>98.44</v>
      </c>
      <c r="AOB20">
        <v>98.454999999999998</v>
      </c>
      <c r="AOC20">
        <v>98.39</v>
      </c>
      <c r="AOD20">
        <v>98.45</v>
      </c>
      <c r="AOE20">
        <v>98.45</v>
      </c>
      <c r="AOF20">
        <v>98.454999999999998</v>
      </c>
      <c r="AOG20">
        <v>98.43</v>
      </c>
      <c r="AOH20">
        <v>98.37</v>
      </c>
      <c r="AOI20">
        <v>98.48</v>
      </c>
      <c r="AOJ20">
        <v>98.504999999999995</v>
      </c>
      <c r="AOK20">
        <v>98.504999999999995</v>
      </c>
      <c r="AOL20">
        <v>98.474999999999994</v>
      </c>
      <c r="AOM20">
        <v>98.45</v>
      </c>
      <c r="AON20">
        <v>98.424999999999997</v>
      </c>
      <c r="AOO20">
        <v>98.4</v>
      </c>
      <c r="AOP20">
        <v>98.364999999999995</v>
      </c>
      <c r="AOQ20">
        <v>98.364999999999995</v>
      </c>
      <c r="AOR20">
        <v>98.375</v>
      </c>
      <c r="AOS20">
        <v>98.385000000000005</v>
      </c>
      <c r="AOT20">
        <v>98.44</v>
      </c>
      <c r="AOU20">
        <v>98.45</v>
      </c>
      <c r="AOV20">
        <v>98.48</v>
      </c>
      <c r="AOW20">
        <v>98.48</v>
      </c>
      <c r="AOX20">
        <v>98.484999999999999</v>
      </c>
      <c r="AOY20">
        <v>98.46</v>
      </c>
      <c r="AOZ20">
        <v>98.474999999999994</v>
      </c>
      <c r="APA20">
        <v>98.515000000000001</v>
      </c>
      <c r="APB20">
        <v>98.375</v>
      </c>
      <c r="APC20">
        <v>98.375</v>
      </c>
      <c r="APD20">
        <v>98.28</v>
      </c>
      <c r="APE20">
        <v>98.3</v>
      </c>
      <c r="APF20">
        <v>98.33</v>
      </c>
      <c r="APG20">
        <v>98.28</v>
      </c>
      <c r="APH20">
        <v>98.25</v>
      </c>
      <c r="API20">
        <v>98.144999999999996</v>
      </c>
      <c r="APJ20">
        <v>98.114999999999995</v>
      </c>
      <c r="APK20">
        <v>98.2</v>
      </c>
      <c r="APL20">
        <v>98.144999999999996</v>
      </c>
      <c r="APM20">
        <v>98.19</v>
      </c>
      <c r="APN20">
        <v>98.23</v>
      </c>
      <c r="APO20">
        <v>98.3</v>
      </c>
      <c r="APP20">
        <v>98.36</v>
      </c>
      <c r="APQ20">
        <v>98.364999999999995</v>
      </c>
      <c r="APR20">
        <v>98.344999999999999</v>
      </c>
      <c r="APS20">
        <v>98.284999999999997</v>
      </c>
      <c r="APT20">
        <v>98.245000000000005</v>
      </c>
      <c r="APU20">
        <v>98.305000000000007</v>
      </c>
      <c r="APV20">
        <v>98.465000000000003</v>
      </c>
      <c r="APW20">
        <v>98.51</v>
      </c>
      <c r="APX20">
        <v>98.504999999999995</v>
      </c>
      <c r="APY20">
        <v>98.49</v>
      </c>
      <c r="APZ20">
        <v>98.56</v>
      </c>
      <c r="AQA20">
        <v>98.584999999999994</v>
      </c>
      <c r="AQB20">
        <v>98.555000000000007</v>
      </c>
      <c r="AQC20">
        <v>98.5</v>
      </c>
      <c r="AQD20">
        <v>98.564999999999998</v>
      </c>
      <c r="AQE20">
        <v>98.555000000000007</v>
      </c>
      <c r="AQF20">
        <v>98.62</v>
      </c>
      <c r="AQG20">
        <v>98.674999999999997</v>
      </c>
      <c r="AQH20">
        <v>98.635000000000005</v>
      </c>
      <c r="AQI20">
        <v>98.59</v>
      </c>
      <c r="AQJ20">
        <v>98.594999999999999</v>
      </c>
      <c r="AQK20">
        <v>98.79</v>
      </c>
      <c r="AQL20">
        <v>98.814999999999998</v>
      </c>
      <c r="AQM20">
        <v>98.805000000000007</v>
      </c>
      <c r="AQN20">
        <v>98.84</v>
      </c>
      <c r="AQO20">
        <v>98.885000000000005</v>
      </c>
      <c r="AQP20">
        <v>98.885000000000005</v>
      </c>
      <c r="AQQ20">
        <v>98.91</v>
      </c>
      <c r="AQR20">
        <v>99.03</v>
      </c>
      <c r="AQS20">
        <v>99.03</v>
      </c>
      <c r="AQT20">
        <v>99.084999999999994</v>
      </c>
      <c r="AQU20">
        <v>99.094999999999999</v>
      </c>
      <c r="AQV20">
        <v>99.08</v>
      </c>
      <c r="AQW20">
        <v>99.07</v>
      </c>
      <c r="AQX20">
        <v>99.09</v>
      </c>
      <c r="AQY20">
        <v>99.094999999999999</v>
      </c>
      <c r="AQZ20">
        <v>99.165000000000006</v>
      </c>
      <c r="ARA20">
        <v>99.18</v>
      </c>
      <c r="ARB20">
        <v>99.204999999999998</v>
      </c>
      <c r="ARC20">
        <v>99.204999999999998</v>
      </c>
      <c r="ARD20">
        <v>99.21</v>
      </c>
      <c r="ARE20">
        <v>99.24</v>
      </c>
      <c r="ARF20">
        <v>99.224999999999994</v>
      </c>
      <c r="ARG20">
        <v>99.23</v>
      </c>
      <c r="ARH20">
        <v>99.215000000000003</v>
      </c>
      <c r="ARI20">
        <v>99.21</v>
      </c>
      <c r="ARJ20">
        <v>99.224999999999994</v>
      </c>
      <c r="ARK20">
        <v>99.224999999999994</v>
      </c>
      <c r="ARL20">
        <v>99.215000000000003</v>
      </c>
      <c r="ARM20">
        <v>99.215000000000003</v>
      </c>
      <c r="ARN20">
        <v>99.24</v>
      </c>
      <c r="ARO20">
        <v>99.224999999999994</v>
      </c>
      <c r="ARP20">
        <v>99.2</v>
      </c>
      <c r="ARQ20">
        <v>99.204999999999998</v>
      </c>
      <c r="ARR20">
        <v>99.21</v>
      </c>
      <c r="ARS20">
        <v>99.25</v>
      </c>
      <c r="ART20">
        <v>99.37</v>
      </c>
      <c r="ARU20">
        <v>99.415000000000006</v>
      </c>
      <c r="ARV20">
        <v>99.424999999999997</v>
      </c>
      <c r="ARW20">
        <v>99.415000000000006</v>
      </c>
      <c r="ARX20">
        <v>99.415000000000006</v>
      </c>
      <c r="ARY20">
        <v>99.405000000000001</v>
      </c>
      <c r="ARZ20">
        <v>99.39</v>
      </c>
      <c r="ASA20">
        <v>99.385000000000005</v>
      </c>
      <c r="ASB20">
        <v>99.39</v>
      </c>
      <c r="ASC20">
        <v>99.39</v>
      </c>
      <c r="ASD20">
        <v>99.39</v>
      </c>
      <c r="ASE20">
        <v>99.394999999999996</v>
      </c>
      <c r="ASF20">
        <v>99.39</v>
      </c>
      <c r="ASG20">
        <v>99.39</v>
      </c>
      <c r="ASH20">
        <v>99.43</v>
      </c>
      <c r="ASI20">
        <v>99.44</v>
      </c>
      <c r="ASJ20">
        <v>99.504999999999995</v>
      </c>
      <c r="ASK20">
        <v>99.504999999999995</v>
      </c>
      <c r="ASL20">
        <v>99.504999999999995</v>
      </c>
      <c r="ASM20">
        <v>99.474999999999994</v>
      </c>
      <c r="ASN20">
        <v>99.575000000000003</v>
      </c>
      <c r="ASO20">
        <v>99.68</v>
      </c>
      <c r="ASP20">
        <v>99.68</v>
      </c>
      <c r="ASQ20">
        <v>99.69</v>
      </c>
      <c r="ASR20">
        <v>99.704999999999998</v>
      </c>
      <c r="ASS20">
        <v>99.71</v>
      </c>
      <c r="AST20">
        <v>99.715000000000003</v>
      </c>
      <c r="ASU20">
        <v>99.74</v>
      </c>
      <c r="ASV20">
        <v>99.745000000000005</v>
      </c>
      <c r="ASW20">
        <v>99.74</v>
      </c>
      <c r="ASX20">
        <v>99.74</v>
      </c>
      <c r="ASY20">
        <v>99.734999999999999</v>
      </c>
      <c r="ASZ20">
        <v>99.73</v>
      </c>
      <c r="ATA20">
        <v>99.745000000000005</v>
      </c>
      <c r="ATB20">
        <v>99.74</v>
      </c>
      <c r="ATC20">
        <v>99.74</v>
      </c>
      <c r="ATD20">
        <v>99.745000000000005</v>
      </c>
      <c r="ATE20">
        <v>99.734999999999999</v>
      </c>
      <c r="ATF20">
        <v>99.734999999999999</v>
      </c>
      <c r="ATG20">
        <v>99.73</v>
      </c>
      <c r="ATH20">
        <v>99.71</v>
      </c>
      <c r="ATI20">
        <v>99.71</v>
      </c>
      <c r="ATJ20">
        <v>99.745000000000005</v>
      </c>
      <c r="ATK20">
        <v>99.79</v>
      </c>
      <c r="ATL20">
        <v>99.795000000000002</v>
      </c>
      <c r="ATM20">
        <v>99.814999999999998</v>
      </c>
      <c r="ATN20">
        <v>99.784999999999997</v>
      </c>
      <c r="ATO20">
        <v>99.795000000000002</v>
      </c>
      <c r="ATP20">
        <v>99.79</v>
      </c>
      <c r="ATQ20">
        <v>99.795000000000002</v>
      </c>
      <c r="ATR20">
        <v>99.805000000000007</v>
      </c>
      <c r="ATS20">
        <v>99.805000000000007</v>
      </c>
      <c r="ATT20">
        <v>99.8</v>
      </c>
      <c r="ATU20">
        <v>99.79</v>
      </c>
      <c r="ATV20">
        <v>99.78</v>
      </c>
      <c r="ATW20">
        <v>99.805000000000007</v>
      </c>
      <c r="ATX20">
        <v>99.805000000000007</v>
      </c>
      <c r="ATY20">
        <v>99.814999999999998</v>
      </c>
      <c r="ATZ20">
        <v>99.825000000000003</v>
      </c>
      <c r="AUA20">
        <v>99.82</v>
      </c>
      <c r="AUB20">
        <v>99.825000000000003</v>
      </c>
      <c r="AUC20">
        <v>99.82</v>
      </c>
      <c r="AUD20">
        <v>99.805000000000007</v>
      </c>
      <c r="AUE20">
        <v>99.8</v>
      </c>
      <c r="AUF20">
        <v>99.814999999999998</v>
      </c>
      <c r="AUG20">
        <v>99.81</v>
      </c>
      <c r="AUH20">
        <v>99.834999999999994</v>
      </c>
      <c r="AUI20">
        <v>99.834999999999994</v>
      </c>
      <c r="AUJ20">
        <v>99.885000000000005</v>
      </c>
      <c r="AUK20">
        <v>99.885000000000005</v>
      </c>
      <c r="AUL20">
        <v>99.885000000000005</v>
      </c>
      <c r="AUM20">
        <v>99.89</v>
      </c>
      <c r="AUN20">
        <v>99.89</v>
      </c>
      <c r="AUO20">
        <v>99.9</v>
      </c>
      <c r="AUP20">
        <v>99.9</v>
      </c>
      <c r="AUQ20">
        <v>99.905000000000001</v>
      </c>
      <c r="AUR20">
        <v>99.905000000000001</v>
      </c>
      <c r="AUS20">
        <v>99.894999999999996</v>
      </c>
      <c r="AUT20">
        <v>99.875</v>
      </c>
      <c r="AUU20">
        <v>99.89</v>
      </c>
      <c r="AUV20">
        <v>99.885000000000005</v>
      </c>
      <c r="AUW20">
        <v>99.915000000000006</v>
      </c>
      <c r="AUX20">
        <v>99.92</v>
      </c>
      <c r="AUY20">
        <v>99.91</v>
      </c>
      <c r="AUZ20">
        <v>99.885000000000005</v>
      </c>
      <c r="AVA20">
        <v>99.88</v>
      </c>
      <c r="AVB20">
        <v>99.885000000000005</v>
      </c>
      <c r="AVC20">
        <v>99.875</v>
      </c>
      <c r="AVD20">
        <v>99.875</v>
      </c>
      <c r="AVE20">
        <v>99.905000000000001</v>
      </c>
      <c r="AVF20">
        <v>99.894999999999996</v>
      </c>
      <c r="AVG20">
        <v>99.905000000000001</v>
      </c>
      <c r="AVH20">
        <v>99.9</v>
      </c>
      <c r="AVI20">
        <v>99.894999999999996</v>
      </c>
      <c r="AVJ20">
        <v>99.875</v>
      </c>
      <c r="AVK20">
        <v>99.885000000000005</v>
      </c>
      <c r="AVL20">
        <v>99.89</v>
      </c>
      <c r="AVM20">
        <v>99.9</v>
      </c>
      <c r="AVN20">
        <v>99.894999999999996</v>
      </c>
      <c r="AVO20">
        <v>99.905000000000001</v>
      </c>
      <c r="AVP20">
        <v>99.905000000000001</v>
      </c>
      <c r="AVQ20">
        <v>99.894999999999996</v>
      </c>
      <c r="AVR20">
        <v>99.88</v>
      </c>
      <c r="AVS20">
        <v>99.87</v>
      </c>
      <c r="AVT20">
        <v>99.87</v>
      </c>
      <c r="AVU20">
        <v>99.875</v>
      </c>
      <c r="AVV20">
        <v>99.875</v>
      </c>
      <c r="AVW20">
        <v>99.91</v>
      </c>
      <c r="AVX20">
        <v>99.92</v>
      </c>
      <c r="AVY20">
        <v>99.94</v>
      </c>
      <c r="AVZ20">
        <v>99.944999999999993</v>
      </c>
      <c r="AWA20">
        <v>99.954999999999998</v>
      </c>
      <c r="AWB20">
        <v>99.944999999999993</v>
      </c>
      <c r="AWC20">
        <v>99.94</v>
      </c>
      <c r="AWD20">
        <v>99.935000000000002</v>
      </c>
      <c r="AWE20">
        <v>99.915000000000006</v>
      </c>
      <c r="AWF20">
        <v>99.905000000000001</v>
      </c>
      <c r="AWG20">
        <v>99.9</v>
      </c>
      <c r="AWH20">
        <v>99.91</v>
      </c>
      <c r="AWI20">
        <v>99.915000000000006</v>
      </c>
      <c r="AWJ20">
        <v>99.915000000000006</v>
      </c>
      <c r="AWK20">
        <v>99.91</v>
      </c>
      <c r="AWL20">
        <v>99.91</v>
      </c>
      <c r="AWM20">
        <v>99.905000000000001</v>
      </c>
      <c r="AWN20">
        <v>99.905000000000001</v>
      </c>
      <c r="AWO20">
        <v>99.9</v>
      </c>
      <c r="AWP20">
        <v>99.91</v>
      </c>
      <c r="AWQ20">
        <v>99.91</v>
      </c>
      <c r="AWR20">
        <v>99.924999999999997</v>
      </c>
      <c r="AWS20">
        <v>99.94</v>
      </c>
      <c r="AWT20">
        <v>99.924999999999997</v>
      </c>
      <c r="AWU20">
        <v>99.92</v>
      </c>
      <c r="AWV20">
        <v>99.915000000000006</v>
      </c>
      <c r="AWW20">
        <v>99.915000000000006</v>
      </c>
      <c r="AWX20">
        <v>99.915000000000006</v>
      </c>
      <c r="AWY20">
        <v>99.905000000000001</v>
      </c>
      <c r="AWZ20">
        <v>99.924999999999997</v>
      </c>
      <c r="AXA20">
        <v>99.924999999999997</v>
      </c>
      <c r="AXB20">
        <v>99.915000000000006</v>
      </c>
      <c r="AXC20">
        <v>99.894999999999996</v>
      </c>
      <c r="AXD20">
        <v>99.894999999999996</v>
      </c>
      <c r="AXE20">
        <v>99.894999999999996</v>
      </c>
      <c r="AXF20">
        <v>99.89</v>
      </c>
      <c r="AXG20">
        <v>99.88</v>
      </c>
      <c r="AXH20">
        <v>99.86</v>
      </c>
      <c r="AXI20">
        <v>99.855000000000004</v>
      </c>
      <c r="AXJ20">
        <v>99.855000000000004</v>
      </c>
      <c r="AXK20">
        <v>99.87</v>
      </c>
      <c r="AXL20">
        <v>99.86</v>
      </c>
      <c r="AXM20">
        <v>99.87</v>
      </c>
      <c r="AXN20">
        <v>99.844999999999999</v>
      </c>
      <c r="AXO20">
        <v>99.795000000000002</v>
      </c>
      <c r="AXP20">
        <v>99.76</v>
      </c>
      <c r="AXQ20">
        <v>99.754999999999995</v>
      </c>
      <c r="AXR20">
        <v>99.82</v>
      </c>
      <c r="AXS20">
        <v>99.834999999999994</v>
      </c>
      <c r="AXT20">
        <v>99.87</v>
      </c>
      <c r="AXU20">
        <v>99.875</v>
      </c>
      <c r="AXV20">
        <v>99.864999999999995</v>
      </c>
      <c r="AXW20">
        <v>99.844999999999999</v>
      </c>
      <c r="AXX20">
        <v>99.85</v>
      </c>
      <c r="AXY20">
        <v>99.855000000000004</v>
      </c>
      <c r="AXZ20">
        <v>99.86</v>
      </c>
      <c r="AYA20">
        <v>99.86</v>
      </c>
      <c r="AYB20">
        <v>99.855000000000004</v>
      </c>
      <c r="AYC20">
        <v>99.855000000000004</v>
      </c>
      <c r="AYD20">
        <v>99.86</v>
      </c>
      <c r="AYE20">
        <v>99.86</v>
      </c>
      <c r="AYF20">
        <v>99.905000000000001</v>
      </c>
      <c r="AYG20">
        <v>99.88</v>
      </c>
      <c r="AYH20">
        <v>99.87</v>
      </c>
      <c r="AYI20">
        <v>99.85</v>
      </c>
      <c r="AYJ20">
        <v>99.85</v>
      </c>
      <c r="AYK20">
        <v>99.87</v>
      </c>
      <c r="AYL20">
        <v>99.88</v>
      </c>
      <c r="AYM20">
        <v>99.825000000000003</v>
      </c>
      <c r="AYN20">
        <v>99.81</v>
      </c>
      <c r="AYO20">
        <v>99.814999999999998</v>
      </c>
      <c r="AYP20">
        <v>99.8</v>
      </c>
      <c r="AYQ20">
        <v>99.805000000000007</v>
      </c>
      <c r="AYR20">
        <v>99.795000000000002</v>
      </c>
      <c r="AYS20">
        <v>99.78</v>
      </c>
      <c r="AYT20">
        <v>99.775000000000006</v>
      </c>
      <c r="AYU20">
        <v>99.784999999999997</v>
      </c>
      <c r="AYV20">
        <v>99.784999999999997</v>
      </c>
      <c r="AYW20">
        <v>99.78</v>
      </c>
      <c r="AYX20">
        <v>99.79</v>
      </c>
      <c r="AYY20">
        <v>99.77</v>
      </c>
      <c r="AYZ20">
        <v>99.76</v>
      </c>
      <c r="AZA20">
        <v>99.745000000000005</v>
      </c>
      <c r="AZB20">
        <v>99.734999999999999</v>
      </c>
      <c r="AZC20">
        <v>99.704999999999998</v>
      </c>
      <c r="AZD20">
        <v>99.69</v>
      </c>
      <c r="AZE20">
        <v>99.7</v>
      </c>
      <c r="AZF20">
        <v>99.7</v>
      </c>
      <c r="AZG20">
        <v>99.68</v>
      </c>
      <c r="AZH20">
        <v>99.665000000000006</v>
      </c>
      <c r="AZI20">
        <v>99.71</v>
      </c>
      <c r="AZJ20">
        <v>99.77</v>
      </c>
      <c r="AZK20">
        <v>99.765000000000001</v>
      </c>
      <c r="AZL20">
        <v>99.78</v>
      </c>
      <c r="AZM20">
        <v>99.754999999999995</v>
      </c>
      <c r="AZN20">
        <v>99.784999999999997</v>
      </c>
      <c r="AZO20">
        <v>99.74</v>
      </c>
      <c r="AZP20">
        <v>99.72</v>
      </c>
      <c r="AZQ20">
        <v>99.69</v>
      </c>
      <c r="AZR20">
        <v>99.685000000000002</v>
      </c>
      <c r="AZS20">
        <v>99.745000000000005</v>
      </c>
      <c r="AZT20">
        <v>99.665000000000006</v>
      </c>
      <c r="AZU20">
        <v>99.605000000000004</v>
      </c>
      <c r="AZV20">
        <v>99.5</v>
      </c>
      <c r="AZW20">
        <v>99.61</v>
      </c>
      <c r="AZX20">
        <v>99.66</v>
      </c>
      <c r="AZY20">
        <v>99.584999999999994</v>
      </c>
      <c r="AZZ20">
        <v>99.625</v>
      </c>
      <c r="BAA20">
        <v>99.555000000000007</v>
      </c>
      <c r="BAB20">
        <v>99.545000000000002</v>
      </c>
      <c r="BAC20">
        <v>99.665000000000006</v>
      </c>
      <c r="BAD20">
        <v>99.59</v>
      </c>
      <c r="BAE20">
        <v>99.504999999999995</v>
      </c>
      <c r="BAF20">
        <v>99.454999999999998</v>
      </c>
      <c r="BAG20">
        <v>99.394999999999996</v>
      </c>
      <c r="BAH20">
        <v>99.325000000000003</v>
      </c>
      <c r="BAI20">
        <v>99.325000000000003</v>
      </c>
      <c r="BAJ20">
        <v>99.125</v>
      </c>
      <c r="BAK20">
        <v>99.07</v>
      </c>
      <c r="BAL20">
        <v>99.08</v>
      </c>
      <c r="BAM20">
        <v>99.025000000000006</v>
      </c>
      <c r="BAN20">
        <v>98.915000000000006</v>
      </c>
      <c r="BAO20">
        <v>98.85</v>
      </c>
      <c r="BAP20">
        <v>98.805000000000007</v>
      </c>
      <c r="BAQ20">
        <v>98.83</v>
      </c>
      <c r="BAR20">
        <v>98.8</v>
      </c>
      <c r="BAS20">
        <v>98.8</v>
      </c>
      <c r="BAT20">
        <v>98.765000000000001</v>
      </c>
      <c r="BAU20">
        <v>98.765000000000001</v>
      </c>
      <c r="BAV20">
        <v>98.805000000000007</v>
      </c>
      <c r="BAW20">
        <v>98.834999999999994</v>
      </c>
      <c r="BAX20">
        <v>98.8</v>
      </c>
      <c r="BAY20">
        <v>98.745000000000005</v>
      </c>
      <c r="BAZ20">
        <v>98.765000000000001</v>
      </c>
      <c r="BBA20">
        <v>98.805000000000007</v>
      </c>
      <c r="BBB20">
        <v>98.89</v>
      </c>
      <c r="BBC20">
        <v>98.905000000000001</v>
      </c>
      <c r="BBD20">
        <v>98.85</v>
      </c>
      <c r="BBE20">
        <v>98.805000000000007</v>
      </c>
      <c r="BBF20">
        <v>98.754999999999995</v>
      </c>
      <c r="BBG20">
        <v>98.79</v>
      </c>
      <c r="BBH20">
        <v>98.704999999999998</v>
      </c>
      <c r="BBI20">
        <v>98.65</v>
      </c>
      <c r="BBJ20">
        <v>98.63</v>
      </c>
      <c r="BBK20">
        <v>98.614999999999995</v>
      </c>
      <c r="BBL20">
        <v>98.56</v>
      </c>
      <c r="BBM20">
        <v>98.56</v>
      </c>
      <c r="BBN20">
        <v>98.575000000000003</v>
      </c>
      <c r="BBO20">
        <v>98.584999999999994</v>
      </c>
      <c r="BBP20">
        <v>98.575000000000003</v>
      </c>
      <c r="BBQ20">
        <v>98.56</v>
      </c>
      <c r="BBR20">
        <v>98.564999999999998</v>
      </c>
      <c r="BBS20">
        <v>98.55</v>
      </c>
      <c r="BBT20">
        <v>98.545000000000002</v>
      </c>
      <c r="BBU20">
        <v>98.59</v>
      </c>
      <c r="BBV20">
        <v>98.6</v>
      </c>
      <c r="BBW20">
        <v>98.605000000000004</v>
      </c>
      <c r="BBX20">
        <v>98.515000000000001</v>
      </c>
      <c r="BBY20">
        <v>98.504999999999995</v>
      </c>
      <c r="BBZ20">
        <v>98.504999999999995</v>
      </c>
      <c r="BCA20">
        <v>98.51</v>
      </c>
      <c r="BCB20">
        <v>98.51</v>
      </c>
      <c r="BCC20">
        <v>98.47</v>
      </c>
      <c r="BCD20">
        <v>98.47</v>
      </c>
      <c r="BCE20">
        <v>98.47</v>
      </c>
      <c r="BCF20">
        <v>98.45</v>
      </c>
      <c r="BCG20">
        <v>98.49</v>
      </c>
      <c r="BCH20">
        <v>98.504999999999995</v>
      </c>
      <c r="BCI20">
        <v>98.484999999999999</v>
      </c>
      <c r="BCJ20">
        <v>98.51</v>
      </c>
      <c r="BCK20">
        <v>98.52</v>
      </c>
      <c r="BCL20">
        <v>98.594999999999999</v>
      </c>
      <c r="BCM20">
        <v>98.515000000000001</v>
      </c>
      <c r="BCN20">
        <v>98.6</v>
      </c>
      <c r="BCO20">
        <v>98.56</v>
      </c>
      <c r="BCP20">
        <v>98.575000000000003</v>
      </c>
      <c r="BCQ20">
        <v>98.584999999999994</v>
      </c>
      <c r="BCR20">
        <v>98.644999999999996</v>
      </c>
      <c r="BCS20">
        <v>98.66</v>
      </c>
      <c r="BCT20">
        <v>98.734999999999999</v>
      </c>
      <c r="BCU20">
        <v>98.614999999999995</v>
      </c>
      <c r="BCV20">
        <v>98.65</v>
      </c>
      <c r="BCW20">
        <v>98.64</v>
      </c>
      <c r="BCX20">
        <v>98.64</v>
      </c>
      <c r="BCY20">
        <v>98.68</v>
      </c>
      <c r="BCZ20">
        <v>98.67</v>
      </c>
      <c r="BDA20">
        <v>98.655000000000001</v>
      </c>
      <c r="BDB20">
        <v>98.674999999999997</v>
      </c>
      <c r="BDC20">
        <v>98.704999999999998</v>
      </c>
      <c r="BDD20">
        <v>98.67</v>
      </c>
      <c r="BDE20">
        <v>98.644999999999996</v>
      </c>
      <c r="BDF20">
        <v>98.62</v>
      </c>
      <c r="BDG20">
        <v>98.63</v>
      </c>
      <c r="BDH20">
        <v>98.58</v>
      </c>
      <c r="BDI20">
        <v>98.53</v>
      </c>
      <c r="BDJ20">
        <v>98.5</v>
      </c>
      <c r="BDK20">
        <v>98.51</v>
      </c>
      <c r="BDL20">
        <v>98.495000000000005</v>
      </c>
      <c r="BDM20">
        <v>98.605000000000004</v>
      </c>
      <c r="BDN20">
        <v>98.58</v>
      </c>
      <c r="BDO20">
        <v>98.64</v>
      </c>
      <c r="BDP20">
        <v>98.69</v>
      </c>
      <c r="BDQ20">
        <v>98.76</v>
      </c>
      <c r="BDR20">
        <v>98.635000000000005</v>
      </c>
      <c r="BDS20">
        <v>98.614999999999995</v>
      </c>
      <c r="BDT20">
        <v>98.62</v>
      </c>
      <c r="BDU20">
        <v>98.65</v>
      </c>
      <c r="BDV20">
        <v>98.694999999999993</v>
      </c>
      <c r="BDW20">
        <v>98.704999999999998</v>
      </c>
      <c r="BDX20">
        <v>98.685000000000002</v>
      </c>
      <c r="BDY20">
        <v>98.66</v>
      </c>
      <c r="BDZ20">
        <v>98.7</v>
      </c>
      <c r="BEA20">
        <v>98.674999999999997</v>
      </c>
      <c r="BEB20">
        <v>98.7</v>
      </c>
      <c r="BEC20">
        <v>98.66</v>
      </c>
      <c r="BED20">
        <v>98.715000000000003</v>
      </c>
      <c r="BEE20">
        <v>98.694999999999993</v>
      </c>
      <c r="BEF20">
        <v>98.825000000000003</v>
      </c>
      <c r="BEG20">
        <v>98.89</v>
      </c>
      <c r="BEH20">
        <v>98.944999999999993</v>
      </c>
      <c r="BEI20">
        <v>98.935000000000002</v>
      </c>
      <c r="BEJ20">
        <v>99.004999999999995</v>
      </c>
      <c r="BEK20">
        <v>99.015000000000001</v>
      </c>
      <c r="BEL20">
        <v>98.915000000000006</v>
      </c>
      <c r="BEM20">
        <v>98.84</v>
      </c>
      <c r="BEN20">
        <v>98.77</v>
      </c>
      <c r="BEO20">
        <v>98.78</v>
      </c>
      <c r="BEP20">
        <v>98.77</v>
      </c>
      <c r="BEQ20">
        <v>98.754999999999995</v>
      </c>
      <c r="BER20">
        <v>98.855000000000004</v>
      </c>
      <c r="BES20">
        <v>98.76</v>
      </c>
      <c r="BET20">
        <v>98.72</v>
      </c>
      <c r="BEU20">
        <v>98.734999999999999</v>
      </c>
      <c r="BEV20">
        <v>98.7</v>
      </c>
      <c r="BEW20">
        <v>98.71</v>
      </c>
      <c r="BEX20">
        <v>98.67</v>
      </c>
      <c r="BEY20">
        <v>98.61</v>
      </c>
      <c r="BEZ20">
        <v>98.704999999999998</v>
      </c>
      <c r="BFA20">
        <v>98.79</v>
      </c>
      <c r="BFB20">
        <v>98.814999999999998</v>
      </c>
      <c r="BFC20">
        <v>98.915000000000006</v>
      </c>
      <c r="BFD20">
        <v>98.99</v>
      </c>
      <c r="BFE20">
        <v>98.995000000000005</v>
      </c>
      <c r="BFF20">
        <v>99.125</v>
      </c>
      <c r="BFG20">
        <v>99.084999999999994</v>
      </c>
      <c r="BFH20">
        <v>99.004999999999995</v>
      </c>
      <c r="BFI20">
        <v>99.004999999999995</v>
      </c>
      <c r="BFJ20">
        <v>98.98</v>
      </c>
      <c r="BFK20">
        <v>99.02</v>
      </c>
      <c r="BFL20">
        <v>98.974999999999994</v>
      </c>
      <c r="BFM20">
        <v>98.93</v>
      </c>
      <c r="BFN20">
        <v>98.954999999999998</v>
      </c>
      <c r="BFO20">
        <v>98.85</v>
      </c>
      <c r="BFP20">
        <v>98.88</v>
      </c>
      <c r="BFQ20">
        <v>98.915000000000006</v>
      </c>
      <c r="BFR20">
        <v>98.875</v>
      </c>
      <c r="BFS20">
        <v>98.935000000000002</v>
      </c>
      <c r="BFT20">
        <v>98.93</v>
      </c>
      <c r="BFU20">
        <v>98.86</v>
      </c>
      <c r="BFV20">
        <v>98.775000000000006</v>
      </c>
      <c r="BFW20">
        <v>98.88</v>
      </c>
      <c r="BFX20">
        <v>98.8</v>
      </c>
      <c r="BFY20">
        <v>98.844999999999999</v>
      </c>
      <c r="BFZ20">
        <v>98.92</v>
      </c>
      <c r="BGA20">
        <v>98.825000000000003</v>
      </c>
      <c r="BGB20">
        <v>98.89</v>
      </c>
      <c r="BGC20">
        <v>98.674999999999997</v>
      </c>
      <c r="BGD20">
        <v>98.655000000000001</v>
      </c>
      <c r="BGE20">
        <v>98.465000000000003</v>
      </c>
      <c r="BGF20">
        <v>98.474999999999994</v>
      </c>
      <c r="BGG20">
        <v>98.484999999999999</v>
      </c>
      <c r="BGH20">
        <v>98.465000000000003</v>
      </c>
      <c r="BGI20">
        <v>98.49</v>
      </c>
      <c r="BGJ20">
        <v>98.515000000000001</v>
      </c>
      <c r="BGK20">
        <v>98.51</v>
      </c>
      <c r="BGL20">
        <v>98.54</v>
      </c>
      <c r="BGM20">
        <v>98.52</v>
      </c>
      <c r="BGN20">
        <v>98.57</v>
      </c>
      <c r="BGO20">
        <v>98.484999999999999</v>
      </c>
      <c r="BGP20">
        <v>98.43</v>
      </c>
      <c r="BGQ20">
        <v>98.46</v>
      </c>
      <c r="BGR20">
        <v>98.454999999999998</v>
      </c>
      <c r="BGS20">
        <v>98.44</v>
      </c>
      <c r="BGT20">
        <v>98.49</v>
      </c>
      <c r="BGU20">
        <v>98.45</v>
      </c>
      <c r="BGV20">
        <v>98.47</v>
      </c>
      <c r="BGW20">
        <v>98.465000000000003</v>
      </c>
      <c r="BGX20">
        <v>98.55</v>
      </c>
      <c r="BGY20">
        <v>98.55</v>
      </c>
      <c r="BGZ20">
        <v>98.545000000000002</v>
      </c>
      <c r="BHA20">
        <v>98.495000000000005</v>
      </c>
      <c r="BHB20">
        <v>98.54</v>
      </c>
      <c r="BHC20">
        <v>98.555000000000007</v>
      </c>
      <c r="BHD20">
        <v>98.525000000000006</v>
      </c>
      <c r="BHE20">
        <v>98.61</v>
      </c>
      <c r="BHF20">
        <v>98.584999999999994</v>
      </c>
      <c r="BHG20">
        <v>98.534999999999997</v>
      </c>
      <c r="BHH20">
        <v>98.59</v>
      </c>
      <c r="BHI20">
        <v>98.594999999999999</v>
      </c>
      <c r="BHJ20">
        <v>98.49</v>
      </c>
      <c r="BHK20">
        <v>98.49</v>
      </c>
      <c r="BHL20">
        <v>98.51</v>
      </c>
      <c r="BHM20">
        <v>98.515000000000001</v>
      </c>
      <c r="BHN20">
        <v>98.444999999999993</v>
      </c>
      <c r="BHO20">
        <v>98.394999999999996</v>
      </c>
      <c r="BHP20">
        <v>98.39</v>
      </c>
      <c r="BHQ20">
        <v>98.43</v>
      </c>
      <c r="BHR20">
        <v>98.415000000000006</v>
      </c>
      <c r="BHS20">
        <v>98.47</v>
      </c>
      <c r="BHT20">
        <v>98.45</v>
      </c>
      <c r="BHU20">
        <v>98.495000000000005</v>
      </c>
      <c r="BHV20">
        <v>98.444999999999993</v>
      </c>
      <c r="BHW20">
        <v>98.305000000000007</v>
      </c>
      <c r="BHX20">
        <v>98.31</v>
      </c>
      <c r="BHY20">
        <v>98.275000000000006</v>
      </c>
      <c r="BHZ20">
        <v>98.22</v>
      </c>
      <c r="BIA20">
        <v>98.22</v>
      </c>
      <c r="BIB20">
        <v>98.25</v>
      </c>
      <c r="BIC20">
        <v>98.114999999999995</v>
      </c>
      <c r="BID20">
        <v>98.08</v>
      </c>
      <c r="BIE20">
        <v>98.11</v>
      </c>
      <c r="BIF20">
        <v>98.135000000000005</v>
      </c>
      <c r="BIG20">
        <v>98.125</v>
      </c>
      <c r="BIH20">
        <v>98.17</v>
      </c>
      <c r="BII20">
        <v>98.12</v>
      </c>
      <c r="BIJ20">
        <v>98.13</v>
      </c>
      <c r="BIK20">
        <v>98.055000000000007</v>
      </c>
      <c r="BIL20">
        <v>98.04</v>
      </c>
      <c r="BIM20">
        <v>98.004999999999995</v>
      </c>
      <c r="BIN20">
        <v>98.034999999999997</v>
      </c>
      <c r="BIO20">
        <v>97.98</v>
      </c>
      <c r="BIP20">
        <v>97.94</v>
      </c>
      <c r="BIQ20">
        <v>97.935000000000002</v>
      </c>
      <c r="BIR20">
        <v>97.995000000000005</v>
      </c>
      <c r="BIS20">
        <v>98.034999999999997</v>
      </c>
      <c r="BIT20">
        <v>98.01</v>
      </c>
      <c r="BIU20">
        <v>98.015000000000001</v>
      </c>
      <c r="BIV20">
        <v>97.965000000000003</v>
      </c>
      <c r="BIW20">
        <v>97.98</v>
      </c>
      <c r="BIX20">
        <v>97.924999999999997</v>
      </c>
      <c r="BIY20">
        <v>97.905000000000001</v>
      </c>
      <c r="BIZ20">
        <v>97.905000000000001</v>
      </c>
      <c r="BJA20">
        <v>97.905000000000001</v>
      </c>
      <c r="BJB20">
        <v>97.88</v>
      </c>
      <c r="BJC20">
        <v>97.875</v>
      </c>
      <c r="BJD20">
        <v>97.905000000000001</v>
      </c>
      <c r="BJE20">
        <v>97.9</v>
      </c>
      <c r="BJF20">
        <v>97.974999999999994</v>
      </c>
      <c r="BJG20">
        <v>98.01</v>
      </c>
      <c r="BJH20">
        <v>97.974999999999994</v>
      </c>
      <c r="BJI20">
        <v>97.94</v>
      </c>
      <c r="BJJ20">
        <v>97.95</v>
      </c>
      <c r="BJK20">
        <v>97.96</v>
      </c>
      <c r="BJL20">
        <v>97.97</v>
      </c>
      <c r="BJM20">
        <v>97.99</v>
      </c>
      <c r="BJN20">
        <v>97.98</v>
      </c>
      <c r="BJO20">
        <v>98.06</v>
      </c>
      <c r="BJP20">
        <v>98.135000000000005</v>
      </c>
      <c r="BJQ20">
        <v>98.17</v>
      </c>
      <c r="BJR20">
        <v>98.12</v>
      </c>
      <c r="BJS20">
        <v>98.15</v>
      </c>
      <c r="BJT20">
        <v>98.045000000000002</v>
      </c>
      <c r="BJU20">
        <v>97.93</v>
      </c>
      <c r="BJV20">
        <v>97.91</v>
      </c>
      <c r="BJW20">
        <v>97.82</v>
      </c>
      <c r="BJX20">
        <v>97.834999999999994</v>
      </c>
      <c r="BJY20">
        <v>97.84</v>
      </c>
      <c r="BJZ20">
        <v>97.81</v>
      </c>
      <c r="BKA20">
        <v>97.814999999999998</v>
      </c>
      <c r="BKB20">
        <v>97.795000000000002</v>
      </c>
      <c r="BKC20">
        <v>97.765000000000001</v>
      </c>
      <c r="BKD20">
        <v>97.775000000000006</v>
      </c>
      <c r="BKE20">
        <v>97.76</v>
      </c>
      <c r="BKF20">
        <v>97.685000000000002</v>
      </c>
      <c r="BKG20">
        <v>97.65</v>
      </c>
      <c r="BKH20">
        <v>97.655000000000001</v>
      </c>
      <c r="BKI20">
        <v>97.644999999999996</v>
      </c>
      <c r="BKJ20">
        <v>97.715000000000003</v>
      </c>
      <c r="BKK20">
        <v>97.734999999999999</v>
      </c>
      <c r="BKL20">
        <v>97.76</v>
      </c>
      <c r="BKM20">
        <v>97.73</v>
      </c>
      <c r="BKN20">
        <v>97.734999999999999</v>
      </c>
      <c r="BKO20">
        <v>97.69</v>
      </c>
      <c r="BKP20">
        <v>97.73</v>
      </c>
      <c r="BKQ20">
        <v>97.724999999999994</v>
      </c>
      <c r="BKR20">
        <v>97.71</v>
      </c>
      <c r="BKS20">
        <v>97.71</v>
      </c>
      <c r="BKT20">
        <v>97.715000000000003</v>
      </c>
      <c r="BKU20">
        <v>97.674999999999997</v>
      </c>
      <c r="BKV20">
        <v>97.734999999999999</v>
      </c>
      <c r="BKW20">
        <v>97.765000000000001</v>
      </c>
      <c r="BKX20">
        <v>97.79</v>
      </c>
      <c r="BKY20">
        <v>97.754999999999995</v>
      </c>
      <c r="BKZ20">
        <v>97.7</v>
      </c>
      <c r="BLA20">
        <v>97.69</v>
      </c>
      <c r="BLB20">
        <v>97.685000000000002</v>
      </c>
      <c r="BLC20">
        <v>97.704999999999998</v>
      </c>
      <c r="BLD20">
        <v>97.73</v>
      </c>
      <c r="BLE20">
        <v>97.66</v>
      </c>
      <c r="BLF20">
        <v>97.61</v>
      </c>
      <c r="BLG20">
        <v>97.605000000000004</v>
      </c>
      <c r="BLH20">
        <v>97.594999999999999</v>
      </c>
      <c r="BLI20">
        <v>97.62</v>
      </c>
      <c r="BLJ20">
        <v>97.605000000000004</v>
      </c>
      <c r="BLK20">
        <v>97.61</v>
      </c>
      <c r="BLL20">
        <v>97.564999999999998</v>
      </c>
      <c r="BLM20">
        <v>97.564999999999998</v>
      </c>
      <c r="BLN20">
        <v>97.635000000000005</v>
      </c>
      <c r="BLO20">
        <v>97.665000000000006</v>
      </c>
      <c r="BLP20">
        <v>97.69</v>
      </c>
      <c r="BLQ20">
        <v>97.68</v>
      </c>
      <c r="BLR20">
        <v>97.685000000000002</v>
      </c>
      <c r="BLS20">
        <v>97.67</v>
      </c>
      <c r="BLT20">
        <v>97.674999999999997</v>
      </c>
      <c r="BLU20">
        <v>97.665000000000006</v>
      </c>
      <c r="BLV20">
        <v>97.734999999999999</v>
      </c>
      <c r="BLW20">
        <v>97.78</v>
      </c>
      <c r="BLX20">
        <v>97.844999999999999</v>
      </c>
      <c r="BLY20">
        <v>97.66</v>
      </c>
      <c r="BLZ20">
        <v>97.67</v>
      </c>
      <c r="BMA20">
        <v>97.67</v>
      </c>
      <c r="BMB20">
        <v>97.665000000000006</v>
      </c>
      <c r="BMC20">
        <v>97.655000000000001</v>
      </c>
      <c r="BMD20">
        <v>97.6</v>
      </c>
      <c r="BME20">
        <v>97.575000000000003</v>
      </c>
      <c r="BMF20">
        <v>97.575000000000003</v>
      </c>
      <c r="BMG20">
        <v>97.515000000000001</v>
      </c>
      <c r="BMH20">
        <v>97.48</v>
      </c>
      <c r="BMI20">
        <v>97.47</v>
      </c>
      <c r="BMJ20">
        <v>97.47</v>
      </c>
      <c r="BMK20">
        <v>97.42</v>
      </c>
      <c r="BML20">
        <v>97.385000000000005</v>
      </c>
      <c r="BMM20">
        <v>97.355000000000004</v>
      </c>
      <c r="BMN20">
        <v>97.36</v>
      </c>
      <c r="BMO20">
        <v>97.394999999999996</v>
      </c>
      <c r="BMP20">
        <v>97.435000000000002</v>
      </c>
      <c r="BMQ20">
        <v>97.4</v>
      </c>
      <c r="BMR20">
        <v>97.36</v>
      </c>
      <c r="BMS20">
        <v>97.254999999999995</v>
      </c>
      <c r="BMT20">
        <v>97.254999999999995</v>
      </c>
      <c r="BMU20">
        <v>97.224999999999994</v>
      </c>
      <c r="BMV20">
        <v>97.245000000000005</v>
      </c>
      <c r="BMW20">
        <v>97.24</v>
      </c>
      <c r="BMX20">
        <v>97.234999999999999</v>
      </c>
      <c r="BMY20">
        <v>97.2</v>
      </c>
      <c r="BMZ20">
        <v>97.185000000000002</v>
      </c>
      <c r="BNA20">
        <v>97.194999999999993</v>
      </c>
      <c r="BNB20">
        <v>97.194999999999993</v>
      </c>
      <c r="BNC20">
        <v>97.194999999999993</v>
      </c>
      <c r="BND20">
        <v>97.204999999999998</v>
      </c>
      <c r="BNE20">
        <v>97.21</v>
      </c>
      <c r="BNF20">
        <v>97.174999999999997</v>
      </c>
      <c r="BNG20">
        <v>97.125</v>
      </c>
      <c r="BNH20">
        <v>97.114999999999995</v>
      </c>
      <c r="BNI20">
        <v>97.06</v>
      </c>
      <c r="BNJ20">
        <v>97.04</v>
      </c>
      <c r="BNK20">
        <v>97.02</v>
      </c>
      <c r="BNL20">
        <v>97.004999999999995</v>
      </c>
      <c r="BNM20">
        <v>97.04</v>
      </c>
      <c r="BNN20">
        <v>97.05</v>
      </c>
      <c r="BNO20">
        <v>97.06</v>
      </c>
      <c r="BNP20">
        <v>97.064999999999998</v>
      </c>
      <c r="BNQ20">
        <v>97.105000000000004</v>
      </c>
      <c r="BNR20">
        <v>97.094999999999999</v>
      </c>
      <c r="BNS20">
        <v>97.125</v>
      </c>
      <c r="BNT20">
        <v>97.125</v>
      </c>
      <c r="BNU20">
        <v>97.13</v>
      </c>
      <c r="BNV20">
        <v>97.06</v>
      </c>
      <c r="BNW20">
        <v>97.06</v>
      </c>
      <c r="BNX20">
        <v>97.03</v>
      </c>
      <c r="BNY20">
        <v>96.995000000000005</v>
      </c>
      <c r="BNZ20">
        <v>96.99</v>
      </c>
      <c r="BOA20">
        <v>97.01</v>
      </c>
      <c r="BOB20">
        <v>97</v>
      </c>
      <c r="BOC20">
        <v>97</v>
      </c>
      <c r="BOD20">
        <v>97.004999999999995</v>
      </c>
      <c r="BOE20">
        <v>97.015000000000001</v>
      </c>
      <c r="BOF20">
        <v>96.995000000000005</v>
      </c>
      <c r="BOG20">
        <v>96.944999999999993</v>
      </c>
      <c r="BOH20">
        <v>96.935000000000002</v>
      </c>
      <c r="BOI20">
        <v>96.94</v>
      </c>
      <c r="BOJ20">
        <v>96.944999999999993</v>
      </c>
      <c r="BOK20">
        <v>96.97</v>
      </c>
      <c r="BOL20">
        <v>97.004999999999995</v>
      </c>
      <c r="BOM20">
        <v>97.055000000000007</v>
      </c>
      <c r="BON20">
        <v>97.045000000000002</v>
      </c>
      <c r="BOO20">
        <v>97.045000000000002</v>
      </c>
      <c r="BOP20">
        <v>97.025000000000006</v>
      </c>
      <c r="BOQ20">
        <v>97.025000000000006</v>
      </c>
      <c r="BOR20">
        <v>97.015000000000001</v>
      </c>
      <c r="BOS20">
        <v>97.03</v>
      </c>
      <c r="BOT20">
        <v>97.034999999999997</v>
      </c>
      <c r="BOU20">
        <v>97.025000000000006</v>
      </c>
      <c r="BOV20">
        <v>97.045000000000002</v>
      </c>
      <c r="BOW20">
        <v>97.084999999999994</v>
      </c>
      <c r="BOX20">
        <v>97.114999999999995</v>
      </c>
      <c r="BOY20">
        <v>97.114999999999995</v>
      </c>
      <c r="BOZ20">
        <v>97.15</v>
      </c>
      <c r="BPA20">
        <v>97.174999999999997</v>
      </c>
      <c r="BPB20">
        <v>97.174999999999997</v>
      </c>
      <c r="BPC20">
        <v>97.224999999999994</v>
      </c>
      <c r="BPD20">
        <v>97.224999999999994</v>
      </c>
      <c r="BPE20">
        <v>97.284999999999997</v>
      </c>
      <c r="BPF20">
        <v>97.27</v>
      </c>
      <c r="BPG20">
        <v>97.275000000000006</v>
      </c>
      <c r="BPH20">
        <v>97.295000000000002</v>
      </c>
      <c r="BPI20">
        <v>97.295000000000002</v>
      </c>
      <c r="BPJ20">
        <v>97.26</v>
      </c>
      <c r="BPK20">
        <v>97.25</v>
      </c>
      <c r="BPL20">
        <v>97.265000000000001</v>
      </c>
      <c r="BPM20">
        <v>97.28</v>
      </c>
      <c r="BPN20">
        <v>97.3</v>
      </c>
      <c r="BPO20">
        <v>97.3</v>
      </c>
      <c r="BPP20">
        <v>97.32</v>
      </c>
      <c r="BPQ20">
        <v>97.31</v>
      </c>
      <c r="BPR20">
        <v>97.32</v>
      </c>
      <c r="BPS20">
        <v>97.295000000000002</v>
      </c>
      <c r="BPT20">
        <v>97.29</v>
      </c>
      <c r="BPU20">
        <v>97.31</v>
      </c>
      <c r="BPV20">
        <v>97.275000000000006</v>
      </c>
      <c r="BPW20">
        <v>97.3</v>
      </c>
      <c r="BPX20">
        <v>97.305000000000007</v>
      </c>
      <c r="BPY20">
        <v>97.24</v>
      </c>
      <c r="BPZ20">
        <v>97.224999999999994</v>
      </c>
      <c r="BQA20">
        <v>97.22</v>
      </c>
      <c r="BQB20">
        <v>97.224999999999994</v>
      </c>
      <c r="BQC20">
        <v>97.215000000000003</v>
      </c>
      <c r="BQD20">
        <v>97.204999999999998</v>
      </c>
      <c r="BQE20">
        <v>97.215000000000003</v>
      </c>
      <c r="BQF20">
        <v>97.22</v>
      </c>
      <c r="BQG20">
        <v>97.22</v>
      </c>
      <c r="BQH20">
        <v>97.21</v>
      </c>
      <c r="BQI20">
        <v>97.204999999999998</v>
      </c>
      <c r="BQJ20">
        <v>97.25</v>
      </c>
      <c r="BQK20">
        <v>97.25</v>
      </c>
      <c r="BQL20">
        <v>97.26</v>
      </c>
      <c r="BQM20">
        <v>97.295000000000002</v>
      </c>
      <c r="BQN20">
        <v>97.3</v>
      </c>
      <c r="BQO20">
        <v>97.284999999999997</v>
      </c>
      <c r="BQP20">
        <v>97.29</v>
      </c>
      <c r="BQQ20">
        <v>97.314999999999998</v>
      </c>
      <c r="BQR20">
        <v>97.325000000000003</v>
      </c>
      <c r="BQS20">
        <v>97.31</v>
      </c>
      <c r="BQT20">
        <v>97.314999999999998</v>
      </c>
      <c r="BQU20">
        <v>97.31</v>
      </c>
      <c r="BQV20">
        <v>97.32</v>
      </c>
      <c r="BQW20">
        <v>97.33</v>
      </c>
      <c r="BQX20">
        <v>97.31</v>
      </c>
      <c r="BQY20">
        <v>97.325000000000003</v>
      </c>
      <c r="BQZ20">
        <v>97.325000000000003</v>
      </c>
      <c r="BRA20">
        <v>97.32</v>
      </c>
      <c r="BRB20">
        <v>97.32</v>
      </c>
      <c r="BRC20">
        <v>97.325000000000003</v>
      </c>
      <c r="BRD20">
        <v>97.32</v>
      </c>
      <c r="BRE20">
        <v>97.275000000000006</v>
      </c>
      <c r="BRF20">
        <v>97.26</v>
      </c>
      <c r="BRG20">
        <v>97.23</v>
      </c>
      <c r="BRH20">
        <v>97.23</v>
      </c>
      <c r="BRI20">
        <v>97.22</v>
      </c>
      <c r="BRJ20">
        <v>97.224999999999994</v>
      </c>
      <c r="BRK20">
        <v>97.194999999999993</v>
      </c>
      <c r="BRL20">
        <v>97.204999999999998</v>
      </c>
      <c r="BRM20">
        <v>97.19</v>
      </c>
      <c r="BRN20">
        <v>97.19</v>
      </c>
      <c r="BRO20">
        <v>97.224999999999994</v>
      </c>
      <c r="BRP20">
        <v>97.24</v>
      </c>
      <c r="BRQ20">
        <v>97.25</v>
      </c>
      <c r="BRR20">
        <v>97.215000000000003</v>
      </c>
      <c r="BRS20">
        <v>97.204999999999998</v>
      </c>
      <c r="BRT20">
        <v>97.245000000000005</v>
      </c>
      <c r="BRU20">
        <v>97.224999999999994</v>
      </c>
      <c r="BRV20">
        <v>97.265000000000001</v>
      </c>
      <c r="BRW20">
        <v>97.334999999999994</v>
      </c>
      <c r="BRX20">
        <v>97.33</v>
      </c>
      <c r="BRY20">
        <v>97.424999999999997</v>
      </c>
      <c r="BRZ20">
        <v>97.21</v>
      </c>
      <c r="BSA20">
        <v>97.21</v>
      </c>
      <c r="BSB20">
        <v>97.18</v>
      </c>
      <c r="BSC20">
        <v>97.15</v>
      </c>
      <c r="BSD20">
        <v>97.1</v>
      </c>
      <c r="BSE20">
        <v>97.09</v>
      </c>
      <c r="BSF20">
        <v>97.105000000000004</v>
      </c>
      <c r="BSG20">
        <v>97.08</v>
      </c>
      <c r="BSH20">
        <v>97.094999999999999</v>
      </c>
      <c r="BSI20">
        <v>97.105000000000004</v>
      </c>
      <c r="BSJ20">
        <v>97.135000000000005</v>
      </c>
      <c r="BSK20">
        <v>97.14</v>
      </c>
      <c r="BSL20">
        <v>97.155000000000001</v>
      </c>
      <c r="BSM20">
        <v>97.174999999999997</v>
      </c>
      <c r="BSN20">
        <v>97.2</v>
      </c>
      <c r="BSO20">
        <v>97.21</v>
      </c>
      <c r="BSP20">
        <v>97.234999999999999</v>
      </c>
      <c r="BSQ20" t="s">
        <v>6984</v>
      </c>
      <c r="BSR20" t="s">
        <v>6984</v>
      </c>
      <c r="BSS20" t="s">
        <v>6984</v>
      </c>
      <c r="BST20" t="s">
        <v>6984</v>
      </c>
      <c r="BSU20" t="s">
        <v>6984</v>
      </c>
      <c r="BSV20" t="s">
        <v>6984</v>
      </c>
      <c r="BSW20" t="s">
        <v>6984</v>
      </c>
      <c r="BSX20" t="s">
        <v>6984</v>
      </c>
      <c r="BSY20" t="s">
        <v>6984</v>
      </c>
      <c r="BSZ20" t="s">
        <v>6984</v>
      </c>
      <c r="BTA20" t="s">
        <v>6984</v>
      </c>
      <c r="BTB20" t="s">
        <v>6984</v>
      </c>
      <c r="BTC20" t="s">
        <v>6984</v>
      </c>
      <c r="BTD20" t="s">
        <v>6984</v>
      </c>
      <c r="BTE20" t="s">
        <v>6984</v>
      </c>
      <c r="BTF20" t="s">
        <v>6984</v>
      </c>
      <c r="BTG20" t="s">
        <v>6984</v>
      </c>
      <c r="BTH20" t="s">
        <v>6984</v>
      </c>
      <c r="BTI20" t="s">
        <v>6984</v>
      </c>
      <c r="BTJ20" t="s">
        <v>6984</v>
      </c>
      <c r="BTK20" t="s">
        <v>6984</v>
      </c>
      <c r="BTL20" t="s">
        <v>6984</v>
      </c>
      <c r="BTM20" t="s">
        <v>6984</v>
      </c>
      <c r="BTN20" t="s">
        <v>6984</v>
      </c>
      <c r="BTO20" t="s">
        <v>6984</v>
      </c>
      <c r="BTP20" t="s">
        <v>6984</v>
      </c>
      <c r="BTQ20" t="s">
        <v>6984</v>
      </c>
      <c r="BTR20" t="s">
        <v>6984</v>
      </c>
      <c r="BTS20" t="s">
        <v>6984</v>
      </c>
      <c r="BTT20" t="s">
        <v>6984</v>
      </c>
      <c r="BTU20" t="s">
        <v>6984</v>
      </c>
      <c r="BTV20" t="s">
        <v>6984</v>
      </c>
      <c r="BTW20" t="s">
        <v>6984</v>
      </c>
      <c r="BTX20" t="s">
        <v>6984</v>
      </c>
      <c r="BTY20" t="s">
        <v>6984</v>
      </c>
      <c r="BTZ20" t="s">
        <v>6984</v>
      </c>
      <c r="BUA20" t="s">
        <v>6984</v>
      </c>
      <c r="BUB20" t="s">
        <v>6984</v>
      </c>
      <c r="BUC20" t="s">
        <v>6984</v>
      </c>
      <c r="BUD20" t="s">
        <v>6984</v>
      </c>
      <c r="BUE20" t="s">
        <v>6984</v>
      </c>
      <c r="BUF20" t="s">
        <v>6984</v>
      </c>
      <c r="BUG20" t="s">
        <v>6984</v>
      </c>
      <c r="BUH20" t="s">
        <v>6984</v>
      </c>
      <c r="BUI20" t="s">
        <v>6984</v>
      </c>
      <c r="BUJ20" t="s">
        <v>6984</v>
      </c>
      <c r="BUK20" t="s">
        <v>6984</v>
      </c>
      <c r="BUL20" t="s">
        <v>6984</v>
      </c>
      <c r="BUM20" t="s">
        <v>6984</v>
      </c>
      <c r="BUN20" t="s">
        <v>6984</v>
      </c>
      <c r="BUO20" t="s">
        <v>6984</v>
      </c>
      <c r="BUP20" t="s">
        <v>6984</v>
      </c>
      <c r="BUQ20" t="s">
        <v>6984</v>
      </c>
      <c r="BUR20" t="s">
        <v>6984</v>
      </c>
      <c r="BUS20" t="s">
        <v>6984</v>
      </c>
      <c r="BUT20" t="s">
        <v>6984</v>
      </c>
      <c r="BUU20" t="s">
        <v>6984</v>
      </c>
      <c r="BUV20" t="s">
        <v>6984</v>
      </c>
      <c r="BUW20" t="s">
        <v>6984</v>
      </c>
      <c r="BUX20" t="s">
        <v>6984</v>
      </c>
      <c r="BUY20" t="s">
        <v>6984</v>
      </c>
      <c r="BUZ20" t="s">
        <v>6984</v>
      </c>
      <c r="BVA20" t="s">
        <v>6984</v>
      </c>
      <c r="BVB20" t="s">
        <v>6984</v>
      </c>
      <c r="BVC20" t="s">
        <v>6984</v>
      </c>
      <c r="BVD20" t="s">
        <v>6984</v>
      </c>
      <c r="BVE20" t="s">
        <v>6984</v>
      </c>
      <c r="BVF20" t="s">
        <v>6984</v>
      </c>
      <c r="BVG20" t="s">
        <v>6984</v>
      </c>
      <c r="BVH20" t="s">
        <v>6984</v>
      </c>
      <c r="BVI20" t="s">
        <v>6984</v>
      </c>
      <c r="BVJ20" t="s">
        <v>6984</v>
      </c>
      <c r="BVK20" t="s">
        <v>6984</v>
      </c>
      <c r="BVL20" t="s">
        <v>6984</v>
      </c>
      <c r="BVM20" t="s">
        <v>6984</v>
      </c>
      <c r="BVN20" t="s">
        <v>6984</v>
      </c>
      <c r="BVO20" t="s">
        <v>6984</v>
      </c>
      <c r="BVP20" t="s">
        <v>6984</v>
      </c>
      <c r="BVQ20" t="s">
        <v>6984</v>
      </c>
      <c r="BVR20" t="s">
        <v>6984</v>
      </c>
      <c r="BVS20" t="s">
        <v>6984</v>
      </c>
      <c r="BVT20" t="s">
        <v>6984</v>
      </c>
      <c r="BVU20" t="s">
        <v>6984</v>
      </c>
      <c r="BVV20" t="s">
        <v>6984</v>
      </c>
      <c r="BVW20" t="s">
        <v>6984</v>
      </c>
      <c r="BVX20" t="s">
        <v>6984</v>
      </c>
      <c r="BVY20" t="s">
        <v>6984</v>
      </c>
      <c r="BVZ20" t="s">
        <v>6984</v>
      </c>
      <c r="BWA20" t="s">
        <v>6984</v>
      </c>
      <c r="BWB20" t="s">
        <v>6984</v>
      </c>
      <c r="BWC20" t="s">
        <v>6984</v>
      </c>
      <c r="BWD20" t="s">
        <v>6984</v>
      </c>
      <c r="BWE20" t="s">
        <v>6984</v>
      </c>
      <c r="BWF20" t="s">
        <v>6984</v>
      </c>
      <c r="BWG20" t="s">
        <v>6984</v>
      </c>
      <c r="BWH20" t="s">
        <v>6984</v>
      </c>
      <c r="BWI20" t="s">
        <v>6984</v>
      </c>
      <c r="BWJ20" t="s">
        <v>6984</v>
      </c>
      <c r="BWK20" t="s">
        <v>6984</v>
      </c>
      <c r="BWL20" t="s">
        <v>6984</v>
      </c>
      <c r="BWM20" t="s">
        <v>6984</v>
      </c>
      <c r="BWN20" t="s">
        <v>6984</v>
      </c>
      <c r="BWO20" t="s">
        <v>6984</v>
      </c>
      <c r="BWP20" t="s">
        <v>6984</v>
      </c>
      <c r="BWQ20" t="s">
        <v>6984</v>
      </c>
      <c r="BWR20" t="s">
        <v>6984</v>
      </c>
      <c r="BWS20" t="s">
        <v>6984</v>
      </c>
      <c r="BWT20" t="s">
        <v>6984</v>
      </c>
      <c r="BWU20" t="s">
        <v>6984</v>
      </c>
      <c r="BWV20" t="s">
        <v>6984</v>
      </c>
      <c r="BWW20" t="s">
        <v>6984</v>
      </c>
      <c r="BWX20" t="s">
        <v>6984</v>
      </c>
      <c r="BWY20" t="s">
        <v>6984</v>
      </c>
      <c r="BWZ20" t="s">
        <v>6984</v>
      </c>
      <c r="BXA20" t="s">
        <v>6984</v>
      </c>
      <c r="BXB20" t="s">
        <v>6984</v>
      </c>
      <c r="BXC20" t="s">
        <v>6984</v>
      </c>
      <c r="BXD20" t="s">
        <v>6984</v>
      </c>
      <c r="BXE20" t="s">
        <v>6984</v>
      </c>
      <c r="BXF20" t="s">
        <v>6984</v>
      </c>
      <c r="BXG20" t="s">
        <v>6984</v>
      </c>
      <c r="BXH20" t="s">
        <v>6984</v>
      </c>
      <c r="BXI20" t="s">
        <v>6984</v>
      </c>
      <c r="BXJ20" t="s">
        <v>6984</v>
      </c>
      <c r="BXK20" t="s">
        <v>6984</v>
      </c>
      <c r="BXL20" t="s">
        <v>6984</v>
      </c>
      <c r="BXM20" t="s">
        <v>6984</v>
      </c>
      <c r="BXN20" t="s">
        <v>6984</v>
      </c>
      <c r="BXO20" t="s">
        <v>6984</v>
      </c>
      <c r="BXP20" t="s">
        <v>6984</v>
      </c>
      <c r="BXQ20" t="s">
        <v>6984</v>
      </c>
      <c r="BXR20" t="s">
        <v>6984</v>
      </c>
      <c r="BXS20" t="s">
        <v>6984</v>
      </c>
      <c r="BXT20" t="s">
        <v>6984</v>
      </c>
      <c r="BXU20" t="s">
        <v>6984</v>
      </c>
      <c r="BXV20" t="s">
        <v>6984</v>
      </c>
      <c r="BXW20" t="s">
        <v>6984</v>
      </c>
      <c r="BXX20" t="s">
        <v>6984</v>
      </c>
      <c r="BXY20" t="s">
        <v>6984</v>
      </c>
      <c r="BXZ20" t="s">
        <v>6984</v>
      </c>
      <c r="BYA20" t="s">
        <v>6984</v>
      </c>
      <c r="BYB20" t="s">
        <v>6984</v>
      </c>
      <c r="BYC20" t="s">
        <v>6984</v>
      </c>
      <c r="BYD20" t="s">
        <v>6984</v>
      </c>
      <c r="BYE20" t="s">
        <v>6984</v>
      </c>
      <c r="BYF20" t="s">
        <v>6984</v>
      </c>
      <c r="BYG20" t="s">
        <v>6984</v>
      </c>
      <c r="BYH20" t="s">
        <v>6984</v>
      </c>
      <c r="BYI20" t="s">
        <v>6984</v>
      </c>
      <c r="BYJ20" t="s">
        <v>6984</v>
      </c>
      <c r="BYK20" t="s">
        <v>6984</v>
      </c>
      <c r="BYL20" t="s">
        <v>6984</v>
      </c>
      <c r="BYM20" t="s">
        <v>6984</v>
      </c>
      <c r="BYN20" t="s">
        <v>6984</v>
      </c>
      <c r="BYO20" t="s">
        <v>6984</v>
      </c>
      <c r="BYP20" t="s">
        <v>6984</v>
      </c>
      <c r="BYQ20" t="s">
        <v>6984</v>
      </c>
      <c r="BYR20" t="s">
        <v>6984</v>
      </c>
      <c r="BYS20" t="s">
        <v>6984</v>
      </c>
      <c r="BYT20" t="s">
        <v>6984</v>
      </c>
      <c r="BYU20" t="s">
        <v>6984</v>
      </c>
      <c r="BYV20" t="s">
        <v>6984</v>
      </c>
      <c r="BYW20" t="s">
        <v>6984</v>
      </c>
      <c r="BYX20" t="s">
        <v>6984</v>
      </c>
      <c r="BYY20" t="s">
        <v>6984</v>
      </c>
      <c r="BYZ20" t="s">
        <v>6984</v>
      </c>
      <c r="BZA20" t="s">
        <v>6984</v>
      </c>
      <c r="BZB20" t="s">
        <v>6984</v>
      </c>
      <c r="BZC20" t="s">
        <v>6984</v>
      </c>
      <c r="BZD20" t="s">
        <v>6984</v>
      </c>
      <c r="BZE20" t="s">
        <v>6984</v>
      </c>
      <c r="BZF20" t="s">
        <v>6984</v>
      </c>
      <c r="BZG20" t="s">
        <v>6984</v>
      </c>
      <c r="BZH20" t="s">
        <v>6984</v>
      </c>
      <c r="BZI20" t="s">
        <v>6984</v>
      </c>
      <c r="BZJ20" t="s">
        <v>6984</v>
      </c>
      <c r="BZK20" t="s">
        <v>6984</v>
      </c>
      <c r="BZL20" t="s">
        <v>6984</v>
      </c>
      <c r="BZM20" t="s">
        <v>6984</v>
      </c>
      <c r="BZN20" t="s">
        <v>6984</v>
      </c>
      <c r="BZO20" t="s">
        <v>6984</v>
      </c>
      <c r="BZP20" t="s">
        <v>6984</v>
      </c>
      <c r="BZQ20" t="s">
        <v>6984</v>
      </c>
      <c r="BZR20" t="s">
        <v>6984</v>
      </c>
      <c r="BZS20" t="s">
        <v>6984</v>
      </c>
      <c r="BZT20" t="s">
        <v>6984</v>
      </c>
      <c r="BZU20" t="s">
        <v>6984</v>
      </c>
      <c r="BZV20" t="s">
        <v>6984</v>
      </c>
      <c r="BZW20" t="s">
        <v>6984</v>
      </c>
      <c r="BZX20" t="s">
        <v>6984</v>
      </c>
      <c r="BZY20" t="s">
        <v>6984</v>
      </c>
      <c r="BZZ20" t="s">
        <v>6984</v>
      </c>
      <c r="CAA20" t="s">
        <v>6984</v>
      </c>
      <c r="CAB20" t="s">
        <v>6984</v>
      </c>
      <c r="CAC20" t="s">
        <v>6984</v>
      </c>
      <c r="CAD20" t="s">
        <v>6984</v>
      </c>
      <c r="CAE20" t="s">
        <v>6984</v>
      </c>
      <c r="CAF20" t="s">
        <v>6984</v>
      </c>
      <c r="CAG20" t="s">
        <v>6984</v>
      </c>
      <c r="CAH20" t="s">
        <v>6984</v>
      </c>
      <c r="CAI20" t="s">
        <v>6984</v>
      </c>
      <c r="CAJ20" t="s">
        <v>6984</v>
      </c>
      <c r="CAK20" t="s">
        <v>6984</v>
      </c>
      <c r="CAL20" t="s">
        <v>6984</v>
      </c>
      <c r="CAM20" t="s">
        <v>6984</v>
      </c>
      <c r="CAN20" t="s">
        <v>6984</v>
      </c>
      <c r="CAO20" t="s">
        <v>6984</v>
      </c>
      <c r="CAP20" t="s">
        <v>6984</v>
      </c>
      <c r="CAQ20" t="s">
        <v>6984</v>
      </c>
      <c r="CAR20" t="s">
        <v>6984</v>
      </c>
      <c r="CAS20" t="s">
        <v>6984</v>
      </c>
      <c r="CAT20" t="s">
        <v>6984</v>
      </c>
      <c r="CAU20" t="s">
        <v>6984</v>
      </c>
      <c r="CAV20" t="s">
        <v>6984</v>
      </c>
      <c r="CAW20" t="s">
        <v>6984</v>
      </c>
      <c r="CAX20" t="s">
        <v>6984</v>
      </c>
      <c r="CAY20" t="s">
        <v>6984</v>
      </c>
      <c r="CAZ20" t="s">
        <v>6984</v>
      </c>
      <c r="CBA20" t="s">
        <v>6984</v>
      </c>
      <c r="CBB20" t="s">
        <v>6984</v>
      </c>
      <c r="CBC20" t="s">
        <v>6984</v>
      </c>
      <c r="CBD20" t="s">
        <v>6984</v>
      </c>
      <c r="CBE20" t="s">
        <v>6984</v>
      </c>
      <c r="CBF20" t="s">
        <v>6984</v>
      </c>
      <c r="CBG20" t="s">
        <v>6984</v>
      </c>
      <c r="CBH20" t="s">
        <v>6984</v>
      </c>
      <c r="CBI20" t="s">
        <v>6984</v>
      </c>
      <c r="CBJ20" t="s">
        <v>6984</v>
      </c>
      <c r="CBK20" t="s">
        <v>6984</v>
      </c>
      <c r="CBL20" t="s">
        <v>6984</v>
      </c>
      <c r="CBM20" t="s">
        <v>6984</v>
      </c>
      <c r="CBN20" t="s">
        <v>6984</v>
      </c>
      <c r="CBO20" t="s">
        <v>6984</v>
      </c>
      <c r="CBP20" t="s">
        <v>6984</v>
      </c>
      <c r="CBQ20" t="s">
        <v>6984</v>
      </c>
      <c r="CBR20" t="s">
        <v>6984</v>
      </c>
      <c r="CBS20" t="s">
        <v>6984</v>
      </c>
      <c r="CBT20" t="s">
        <v>6984</v>
      </c>
      <c r="CBU20" t="s">
        <v>6984</v>
      </c>
      <c r="CBV20" t="s">
        <v>6984</v>
      </c>
      <c r="CBW20" t="s">
        <v>6984</v>
      </c>
      <c r="CBX20" t="s">
        <v>6984</v>
      </c>
      <c r="CBY20" t="s">
        <v>6984</v>
      </c>
      <c r="CBZ20" t="s">
        <v>6984</v>
      </c>
      <c r="CCA20" t="s">
        <v>6984</v>
      </c>
      <c r="CCB20" t="s">
        <v>6984</v>
      </c>
      <c r="CCC20" t="s">
        <v>6984</v>
      </c>
      <c r="CCD20" t="s">
        <v>6984</v>
      </c>
      <c r="CCE20" t="s">
        <v>6984</v>
      </c>
      <c r="CCF20" t="s">
        <v>6984</v>
      </c>
      <c r="CCG20" t="s">
        <v>6984</v>
      </c>
      <c r="CCH20" t="s">
        <v>6984</v>
      </c>
      <c r="CCI20" t="s">
        <v>6984</v>
      </c>
      <c r="CCJ20" t="s">
        <v>6984</v>
      </c>
      <c r="CCK20" t="s">
        <v>6984</v>
      </c>
      <c r="CCL20" t="s">
        <v>6984</v>
      </c>
      <c r="CCM20" t="s">
        <v>6984</v>
      </c>
      <c r="CCN20" t="s">
        <v>6984</v>
      </c>
      <c r="CCO20" t="s">
        <v>6984</v>
      </c>
      <c r="CCP20" t="s">
        <v>6984</v>
      </c>
      <c r="CCQ20" t="s">
        <v>6984</v>
      </c>
      <c r="CCR20" t="s">
        <v>6984</v>
      </c>
      <c r="CCS20" t="s">
        <v>6984</v>
      </c>
      <c r="CCT20" t="s">
        <v>6984</v>
      </c>
      <c r="CCU20" t="s">
        <v>6984</v>
      </c>
      <c r="CCV20" t="s">
        <v>6984</v>
      </c>
      <c r="CCW20" t="s">
        <v>6984</v>
      </c>
      <c r="CCX20" t="s">
        <v>6984</v>
      </c>
      <c r="CCY20" t="s">
        <v>6984</v>
      </c>
      <c r="CCZ20" t="s">
        <v>6984</v>
      </c>
      <c r="CDA20" t="s">
        <v>6984</v>
      </c>
      <c r="CDB20" t="s">
        <v>6984</v>
      </c>
      <c r="CDC20" t="s">
        <v>6984</v>
      </c>
      <c r="CDD20" t="s">
        <v>6984</v>
      </c>
      <c r="CDE20" t="s">
        <v>6984</v>
      </c>
      <c r="CDF20" t="s">
        <v>6984</v>
      </c>
      <c r="CDG20" t="s">
        <v>6984</v>
      </c>
      <c r="CDH20" t="s">
        <v>6984</v>
      </c>
      <c r="CDI20" t="s">
        <v>6984</v>
      </c>
      <c r="CDJ20" t="s">
        <v>6984</v>
      </c>
      <c r="CDK20" t="s">
        <v>6984</v>
      </c>
      <c r="CDL20" t="s">
        <v>6984</v>
      </c>
      <c r="CDM20" t="s">
        <v>6984</v>
      </c>
      <c r="CDN20" t="s">
        <v>6984</v>
      </c>
      <c r="CDO20" t="s">
        <v>6984</v>
      </c>
      <c r="CDP20" t="s">
        <v>6984</v>
      </c>
      <c r="CDQ20" t="s">
        <v>6984</v>
      </c>
      <c r="CDR20" t="s">
        <v>6984</v>
      </c>
      <c r="CDS20" t="s">
        <v>6984</v>
      </c>
      <c r="CDT20" t="s">
        <v>6984</v>
      </c>
      <c r="CDU20" t="s">
        <v>6984</v>
      </c>
      <c r="CDV20" t="s">
        <v>6984</v>
      </c>
      <c r="CDW20" t="s">
        <v>6984</v>
      </c>
      <c r="CDX20" t="s">
        <v>6984</v>
      </c>
      <c r="CDY20" t="s">
        <v>6984</v>
      </c>
      <c r="CDZ20" t="s">
        <v>6984</v>
      </c>
      <c r="CEA20" t="s">
        <v>6984</v>
      </c>
      <c r="CEB20" t="s">
        <v>6984</v>
      </c>
      <c r="CEC20" t="s">
        <v>6984</v>
      </c>
      <c r="CED20" t="s">
        <v>6984</v>
      </c>
      <c r="CEE20" t="s">
        <v>6984</v>
      </c>
      <c r="CEF20" t="s">
        <v>6984</v>
      </c>
      <c r="CEG20" t="s">
        <v>6984</v>
      </c>
      <c r="CEH20" t="s">
        <v>6984</v>
      </c>
      <c r="CEI20" t="s">
        <v>6984</v>
      </c>
      <c r="CEJ20" t="s">
        <v>6984</v>
      </c>
      <c r="CEK20" t="s">
        <v>6984</v>
      </c>
      <c r="CEL20" t="s">
        <v>6984</v>
      </c>
      <c r="CEM20" t="s">
        <v>6984</v>
      </c>
      <c r="CEN20" t="s">
        <v>6984</v>
      </c>
      <c r="CEO20" t="s">
        <v>6984</v>
      </c>
      <c r="CEP20" t="s">
        <v>6984</v>
      </c>
      <c r="CEQ20" t="s">
        <v>6984</v>
      </c>
      <c r="CER20" t="s">
        <v>6984</v>
      </c>
      <c r="CES20" t="s">
        <v>6984</v>
      </c>
      <c r="CET20" t="s">
        <v>6984</v>
      </c>
      <c r="CEU20" t="s">
        <v>6984</v>
      </c>
      <c r="CEV20" t="s">
        <v>6984</v>
      </c>
      <c r="CEW20" t="s">
        <v>6984</v>
      </c>
      <c r="CEX20" t="s">
        <v>6984</v>
      </c>
      <c r="CEY20" t="s">
        <v>6984</v>
      </c>
      <c r="CEZ20" t="s">
        <v>6984</v>
      </c>
      <c r="CFA20" t="s">
        <v>6984</v>
      </c>
      <c r="CFB20" t="s">
        <v>6984</v>
      </c>
      <c r="CFC20" t="s">
        <v>6984</v>
      </c>
      <c r="CFD20" t="s">
        <v>6984</v>
      </c>
      <c r="CFE20" t="s">
        <v>6984</v>
      </c>
      <c r="CFF20" t="s">
        <v>6984</v>
      </c>
      <c r="CFG20" t="s">
        <v>6984</v>
      </c>
      <c r="CFH20" t="s">
        <v>6984</v>
      </c>
      <c r="CFI20" t="s">
        <v>6984</v>
      </c>
      <c r="CFJ20" t="s">
        <v>6984</v>
      </c>
      <c r="CFK20" t="s">
        <v>6984</v>
      </c>
      <c r="CFL20" t="s">
        <v>6984</v>
      </c>
      <c r="CFM20" t="s">
        <v>6984</v>
      </c>
      <c r="CFN20" t="s">
        <v>6984</v>
      </c>
      <c r="CFO20" t="s">
        <v>6984</v>
      </c>
      <c r="CFP20" t="s">
        <v>6984</v>
      </c>
      <c r="CFQ20" t="s">
        <v>6984</v>
      </c>
      <c r="CFR20" t="s">
        <v>6984</v>
      </c>
      <c r="CFS20" t="s">
        <v>6984</v>
      </c>
      <c r="CFT20" t="s">
        <v>6984</v>
      </c>
      <c r="CFU20" t="s">
        <v>6984</v>
      </c>
      <c r="CFV20" t="s">
        <v>6984</v>
      </c>
      <c r="CFW20" t="s">
        <v>6984</v>
      </c>
      <c r="CFX20" t="s">
        <v>6984</v>
      </c>
      <c r="CFY20" t="s">
        <v>6984</v>
      </c>
      <c r="CFZ20" t="s">
        <v>6984</v>
      </c>
      <c r="CGA20" t="s">
        <v>6984</v>
      </c>
      <c r="CGB20" t="s">
        <v>6984</v>
      </c>
      <c r="CGC20" t="s">
        <v>6984</v>
      </c>
      <c r="CGD20" t="s">
        <v>6984</v>
      </c>
      <c r="CGE20" t="s">
        <v>6984</v>
      </c>
      <c r="CGF20" t="s">
        <v>6984</v>
      </c>
      <c r="CGG20" t="s">
        <v>6984</v>
      </c>
      <c r="CGH20" t="s">
        <v>6984</v>
      </c>
      <c r="CGI20" t="s">
        <v>6984</v>
      </c>
      <c r="CGJ20" t="s">
        <v>6984</v>
      </c>
      <c r="CGK20" t="s">
        <v>6984</v>
      </c>
      <c r="CGL20" t="s">
        <v>6984</v>
      </c>
      <c r="CGM20" t="s">
        <v>6984</v>
      </c>
      <c r="CGN20" t="s">
        <v>6984</v>
      </c>
      <c r="CGO20" t="s">
        <v>6984</v>
      </c>
      <c r="CGP20" t="s">
        <v>6984</v>
      </c>
      <c r="CGQ20" t="s">
        <v>6984</v>
      </c>
      <c r="CGR20" t="s">
        <v>6984</v>
      </c>
      <c r="CGS20" t="s">
        <v>6984</v>
      </c>
      <c r="CGT20" t="s">
        <v>6984</v>
      </c>
      <c r="CGU20" t="s">
        <v>6984</v>
      </c>
      <c r="CGV20" t="s">
        <v>6984</v>
      </c>
      <c r="CGW20" t="s">
        <v>6984</v>
      </c>
      <c r="CGX20" t="s">
        <v>6984</v>
      </c>
      <c r="CGY20" t="s">
        <v>6984</v>
      </c>
      <c r="CGZ20" t="s">
        <v>6984</v>
      </c>
      <c r="CHA20" t="s">
        <v>6984</v>
      </c>
      <c r="CHB20" t="s">
        <v>6984</v>
      </c>
      <c r="CHC20" t="s">
        <v>6984</v>
      </c>
      <c r="CHD20" t="s">
        <v>6984</v>
      </c>
      <c r="CHE20" t="s">
        <v>6984</v>
      </c>
      <c r="CHF20" t="s">
        <v>6984</v>
      </c>
      <c r="CHG20" t="s">
        <v>6984</v>
      </c>
      <c r="CHH20" t="s">
        <v>6984</v>
      </c>
      <c r="CHI20" t="s">
        <v>6984</v>
      </c>
      <c r="CHJ20" t="s">
        <v>6984</v>
      </c>
      <c r="CHK20" t="s">
        <v>6984</v>
      </c>
      <c r="CHL20" t="s">
        <v>6984</v>
      </c>
      <c r="CHM20" t="s">
        <v>6984</v>
      </c>
      <c r="CHN20" t="s">
        <v>6984</v>
      </c>
      <c r="CHO20" t="s">
        <v>6984</v>
      </c>
      <c r="CHP20" t="s">
        <v>6984</v>
      </c>
      <c r="CHQ20" t="s">
        <v>6984</v>
      </c>
      <c r="CHR20" t="s">
        <v>6984</v>
      </c>
      <c r="CHS20" t="s">
        <v>6984</v>
      </c>
      <c r="CHT20" t="s">
        <v>6984</v>
      </c>
      <c r="CHU20" t="s">
        <v>6984</v>
      </c>
      <c r="CHV20" t="s">
        <v>6984</v>
      </c>
      <c r="CHW20" t="s">
        <v>6984</v>
      </c>
      <c r="CHX20" t="s">
        <v>6984</v>
      </c>
      <c r="CHY20" t="s">
        <v>6984</v>
      </c>
      <c r="CHZ20" t="s">
        <v>6984</v>
      </c>
      <c r="CIA20" t="s">
        <v>6984</v>
      </c>
      <c r="CIB20" t="s">
        <v>6984</v>
      </c>
      <c r="CIC20" t="s">
        <v>6984</v>
      </c>
      <c r="CID20" t="s">
        <v>6984</v>
      </c>
      <c r="CIE20" t="s">
        <v>6984</v>
      </c>
      <c r="CIF20" t="s">
        <v>6984</v>
      </c>
      <c r="CIG20" t="s">
        <v>6984</v>
      </c>
      <c r="CIH20" t="s">
        <v>6984</v>
      </c>
      <c r="CII20" t="s">
        <v>6984</v>
      </c>
      <c r="CIJ20" t="s">
        <v>6984</v>
      </c>
      <c r="CIK20" t="s">
        <v>6984</v>
      </c>
      <c r="CIL20" t="s">
        <v>6984</v>
      </c>
      <c r="CIM20" t="s">
        <v>6984</v>
      </c>
      <c r="CIN20" t="s">
        <v>6984</v>
      </c>
      <c r="CIO20" t="s">
        <v>6984</v>
      </c>
      <c r="CIP20" t="s">
        <v>6984</v>
      </c>
      <c r="CIQ20" t="s">
        <v>6984</v>
      </c>
      <c r="CIR20" t="s">
        <v>6984</v>
      </c>
      <c r="CIS20" t="s">
        <v>6984</v>
      </c>
      <c r="CIT20" t="s">
        <v>6984</v>
      </c>
      <c r="CIU20" t="s">
        <v>6984</v>
      </c>
      <c r="CIV20" t="s">
        <v>6984</v>
      </c>
      <c r="CIW20" t="s">
        <v>6984</v>
      </c>
      <c r="CIX20" t="s">
        <v>6984</v>
      </c>
      <c r="CIY20" t="s">
        <v>6984</v>
      </c>
      <c r="CIZ20" t="s">
        <v>6984</v>
      </c>
      <c r="CJA20" t="s">
        <v>6984</v>
      </c>
      <c r="CJB20" t="s">
        <v>6984</v>
      </c>
      <c r="CJC20" t="s">
        <v>6984</v>
      </c>
      <c r="CJD20" t="s">
        <v>6984</v>
      </c>
      <c r="CJE20" t="s">
        <v>6984</v>
      </c>
      <c r="CJF20" t="s">
        <v>6984</v>
      </c>
      <c r="CJG20" t="s">
        <v>6984</v>
      </c>
      <c r="CJH20" t="s">
        <v>6984</v>
      </c>
      <c r="CJI20" t="s">
        <v>6984</v>
      </c>
      <c r="CJJ20" t="s">
        <v>6984</v>
      </c>
      <c r="CJK20" t="s">
        <v>6984</v>
      </c>
      <c r="CJL20" t="s">
        <v>6984</v>
      </c>
      <c r="CJM20" t="s">
        <v>6984</v>
      </c>
      <c r="CJN20" t="s">
        <v>6984</v>
      </c>
      <c r="CJO20" t="s">
        <v>6984</v>
      </c>
      <c r="CJP20" t="s">
        <v>6984</v>
      </c>
      <c r="CJQ20" t="s">
        <v>6984</v>
      </c>
      <c r="CJR20" t="s">
        <v>6984</v>
      </c>
      <c r="CJS20" t="s">
        <v>6984</v>
      </c>
      <c r="CJT20" t="s">
        <v>6984</v>
      </c>
      <c r="CJU20" t="s">
        <v>6984</v>
      </c>
      <c r="CJV20" t="s">
        <v>6984</v>
      </c>
      <c r="CJW20" t="s">
        <v>6984</v>
      </c>
      <c r="CJX20" t="s">
        <v>6984</v>
      </c>
      <c r="CJY20" t="s">
        <v>6984</v>
      </c>
      <c r="CJZ20" t="s">
        <v>6984</v>
      </c>
      <c r="CKA20" t="s">
        <v>6984</v>
      </c>
      <c r="CKB20" t="s">
        <v>6984</v>
      </c>
      <c r="CKC20" t="s">
        <v>6984</v>
      </c>
      <c r="CKD20" t="s">
        <v>6984</v>
      </c>
      <c r="CKE20" t="s">
        <v>6984</v>
      </c>
      <c r="CKF20" t="s">
        <v>6984</v>
      </c>
      <c r="CKG20" t="s">
        <v>6984</v>
      </c>
      <c r="CKH20" t="s">
        <v>6984</v>
      </c>
      <c r="CKI20" t="s">
        <v>6984</v>
      </c>
      <c r="CKJ20" t="s">
        <v>6984</v>
      </c>
      <c r="CKK20" t="s">
        <v>6984</v>
      </c>
      <c r="CKL20" t="s">
        <v>6984</v>
      </c>
      <c r="CKM20" t="s">
        <v>6984</v>
      </c>
      <c r="CKN20" t="s">
        <v>6984</v>
      </c>
      <c r="CKO20" t="s">
        <v>6984</v>
      </c>
      <c r="CKP20" t="s">
        <v>6984</v>
      </c>
      <c r="CKQ20" t="s">
        <v>6984</v>
      </c>
      <c r="CKR20" t="s">
        <v>6984</v>
      </c>
      <c r="CKS20" t="s">
        <v>6984</v>
      </c>
      <c r="CKT20" t="s">
        <v>6984</v>
      </c>
      <c r="CKU20" t="s">
        <v>6984</v>
      </c>
      <c r="CKV20" t="s">
        <v>6984</v>
      </c>
      <c r="CKW20" t="s">
        <v>6984</v>
      </c>
      <c r="CKX20" t="s">
        <v>6984</v>
      </c>
      <c r="CKY20" t="s">
        <v>6984</v>
      </c>
      <c r="CKZ20" t="s">
        <v>6984</v>
      </c>
      <c r="CLA20" t="s">
        <v>6984</v>
      </c>
      <c r="CLB20" t="s">
        <v>6984</v>
      </c>
      <c r="CLC20" t="s">
        <v>6984</v>
      </c>
      <c r="CLD20" t="s">
        <v>6984</v>
      </c>
      <c r="CLE20" t="s">
        <v>6984</v>
      </c>
      <c r="CLF20" t="s">
        <v>6984</v>
      </c>
      <c r="CLG20" t="s">
        <v>6984</v>
      </c>
      <c r="CLH20" t="s">
        <v>6984</v>
      </c>
      <c r="CLI20" t="s">
        <v>6984</v>
      </c>
      <c r="CLJ20" t="s">
        <v>6984</v>
      </c>
      <c r="CLK20" t="s">
        <v>6984</v>
      </c>
      <c r="CLL20" t="s">
        <v>6984</v>
      </c>
      <c r="CLM20" t="s">
        <v>6984</v>
      </c>
      <c r="CLN20" t="s">
        <v>6984</v>
      </c>
      <c r="CLO20" t="s">
        <v>6984</v>
      </c>
      <c r="CLP20" t="s">
        <v>6984</v>
      </c>
      <c r="CLQ20" t="s">
        <v>6984</v>
      </c>
      <c r="CLR20" t="s">
        <v>6984</v>
      </c>
      <c r="CLS20" t="s">
        <v>6984</v>
      </c>
      <c r="CLT20" t="s">
        <v>6984</v>
      </c>
      <c r="CLU20" t="s">
        <v>6984</v>
      </c>
      <c r="CLV20" t="s">
        <v>6984</v>
      </c>
      <c r="CLW20" t="s">
        <v>6984</v>
      </c>
      <c r="CLX20" t="s">
        <v>6984</v>
      </c>
      <c r="CLY20" t="s">
        <v>6984</v>
      </c>
      <c r="CLZ20" t="s">
        <v>6984</v>
      </c>
      <c r="CMA20" t="s">
        <v>6984</v>
      </c>
      <c r="CMB20" t="s">
        <v>6984</v>
      </c>
      <c r="CMC20" t="s">
        <v>6984</v>
      </c>
      <c r="CMD20" t="s">
        <v>6984</v>
      </c>
      <c r="CME20" t="s">
        <v>6984</v>
      </c>
      <c r="CMF20" t="s">
        <v>6984</v>
      </c>
      <c r="CMG20" t="s">
        <v>6984</v>
      </c>
      <c r="CMH20" t="s">
        <v>6984</v>
      </c>
      <c r="CMI20" t="s">
        <v>6984</v>
      </c>
      <c r="CMJ20" t="s">
        <v>6984</v>
      </c>
      <c r="CMK20" t="s">
        <v>6984</v>
      </c>
      <c r="CML20" t="s">
        <v>6984</v>
      </c>
      <c r="CMM20" t="s">
        <v>6984</v>
      </c>
      <c r="CMN20" t="s">
        <v>6984</v>
      </c>
      <c r="CMO20" t="s">
        <v>6984</v>
      </c>
      <c r="CMP20" t="s">
        <v>6984</v>
      </c>
      <c r="CMQ20" t="s">
        <v>6984</v>
      </c>
      <c r="CMR20" t="s">
        <v>6984</v>
      </c>
      <c r="CMS20" t="s">
        <v>6984</v>
      </c>
      <c r="CMT20" t="s">
        <v>6984</v>
      </c>
      <c r="CMU20" t="s">
        <v>6984</v>
      </c>
      <c r="CMV20" t="s">
        <v>6984</v>
      </c>
      <c r="CMW20" t="s">
        <v>6984</v>
      </c>
      <c r="CMX20" t="s">
        <v>6984</v>
      </c>
      <c r="CMY20" t="s">
        <v>6984</v>
      </c>
      <c r="CMZ20" t="s">
        <v>6984</v>
      </c>
      <c r="CNA20" t="s">
        <v>6984</v>
      </c>
      <c r="CNB20" t="s">
        <v>6984</v>
      </c>
      <c r="CNC20" t="s">
        <v>6984</v>
      </c>
      <c r="CND20" t="s">
        <v>6984</v>
      </c>
      <c r="CNE20" t="s">
        <v>6984</v>
      </c>
      <c r="CNF20" t="s">
        <v>6984</v>
      </c>
      <c r="CNG20" t="s">
        <v>6984</v>
      </c>
      <c r="CNH20" t="s">
        <v>6984</v>
      </c>
      <c r="CNI20" t="s">
        <v>6984</v>
      </c>
      <c r="CNJ20" t="s">
        <v>6984</v>
      </c>
      <c r="CNK20" t="s">
        <v>6984</v>
      </c>
      <c r="CNL20" t="s">
        <v>6984</v>
      </c>
      <c r="CNM20" t="s">
        <v>6984</v>
      </c>
      <c r="CNN20" t="s">
        <v>6984</v>
      </c>
      <c r="CNO20" t="s">
        <v>6984</v>
      </c>
      <c r="CNP20" t="s">
        <v>6984</v>
      </c>
      <c r="CNQ20" t="s">
        <v>6984</v>
      </c>
      <c r="CNR20" t="s">
        <v>6984</v>
      </c>
      <c r="CNS20" t="s">
        <v>6984</v>
      </c>
      <c r="CNT20" t="s">
        <v>6984</v>
      </c>
      <c r="CNU20" t="s">
        <v>6984</v>
      </c>
      <c r="CNV20" t="s">
        <v>6984</v>
      </c>
      <c r="CNW20" t="s">
        <v>6984</v>
      </c>
      <c r="CNX20" t="s">
        <v>6984</v>
      </c>
      <c r="CNY20" t="s">
        <v>6984</v>
      </c>
      <c r="CNZ20" t="s">
        <v>6984</v>
      </c>
      <c r="COA20" t="s">
        <v>6984</v>
      </c>
      <c r="COB20" t="s">
        <v>6984</v>
      </c>
      <c r="COC20" t="s">
        <v>6984</v>
      </c>
      <c r="COD20" t="s">
        <v>6984</v>
      </c>
      <c r="COE20" t="s">
        <v>6984</v>
      </c>
      <c r="COF20" t="s">
        <v>6984</v>
      </c>
      <c r="COG20" t="s">
        <v>6984</v>
      </c>
      <c r="COH20" t="s">
        <v>6984</v>
      </c>
      <c r="COI20" t="s">
        <v>6984</v>
      </c>
      <c r="COJ20" t="s">
        <v>6984</v>
      </c>
      <c r="COK20" t="s">
        <v>6984</v>
      </c>
      <c r="COL20" t="s">
        <v>6984</v>
      </c>
      <c r="COM20" t="s">
        <v>6984</v>
      </c>
      <c r="CON20" t="s">
        <v>6984</v>
      </c>
      <c r="COO20" t="s">
        <v>6984</v>
      </c>
      <c r="COP20" t="s">
        <v>6984</v>
      </c>
      <c r="COQ20" t="s">
        <v>6984</v>
      </c>
      <c r="COR20" t="s">
        <v>6984</v>
      </c>
      <c r="COS20" t="s">
        <v>6984</v>
      </c>
      <c r="COT20" t="s">
        <v>6984</v>
      </c>
      <c r="COU20" t="s">
        <v>6984</v>
      </c>
      <c r="COV20" t="s">
        <v>6984</v>
      </c>
      <c r="COW20" t="s">
        <v>6984</v>
      </c>
      <c r="COX20" t="s">
        <v>6984</v>
      </c>
      <c r="COY20" t="s">
        <v>6984</v>
      </c>
      <c r="COZ20" t="s">
        <v>6984</v>
      </c>
      <c r="CPA20" t="s">
        <v>6984</v>
      </c>
      <c r="CPB20" t="s">
        <v>6984</v>
      </c>
      <c r="CPC20" t="s">
        <v>6984</v>
      </c>
      <c r="CPD20" t="s">
        <v>6984</v>
      </c>
      <c r="CPE20" t="s">
        <v>6984</v>
      </c>
      <c r="CPF20" t="s">
        <v>6984</v>
      </c>
      <c r="CPG20" t="s">
        <v>6984</v>
      </c>
      <c r="CPH20" t="s">
        <v>6984</v>
      </c>
      <c r="CPI20" t="s">
        <v>6984</v>
      </c>
      <c r="CPJ20" t="s">
        <v>6984</v>
      </c>
      <c r="CPK20" t="s">
        <v>6984</v>
      </c>
      <c r="CPL20" t="s">
        <v>6984</v>
      </c>
      <c r="CPM20" t="s">
        <v>6984</v>
      </c>
      <c r="CPN20" t="s">
        <v>6984</v>
      </c>
      <c r="CPO20" t="s">
        <v>6984</v>
      </c>
      <c r="CPP20" t="s">
        <v>6984</v>
      </c>
      <c r="CPQ20" t="s">
        <v>6984</v>
      </c>
      <c r="CPR20" t="s">
        <v>6984</v>
      </c>
      <c r="CPS20" t="s">
        <v>6984</v>
      </c>
      <c r="CPT20" t="s">
        <v>6984</v>
      </c>
      <c r="CPU20" t="s">
        <v>6984</v>
      </c>
      <c r="CPV20" t="s">
        <v>6984</v>
      </c>
      <c r="CPW20" t="s">
        <v>6984</v>
      </c>
      <c r="CPX20" t="s">
        <v>6984</v>
      </c>
      <c r="CPY20" t="s">
        <v>6984</v>
      </c>
      <c r="CPZ20" t="s">
        <v>6984</v>
      </c>
      <c r="CQA20" t="s">
        <v>6984</v>
      </c>
      <c r="CQB20" t="s">
        <v>6984</v>
      </c>
      <c r="CQC20" t="s">
        <v>6984</v>
      </c>
      <c r="CQD20" t="s">
        <v>6984</v>
      </c>
      <c r="CQE20" t="s">
        <v>6984</v>
      </c>
      <c r="CQF20" t="s">
        <v>6984</v>
      </c>
      <c r="CQG20" t="s">
        <v>6984</v>
      </c>
      <c r="CQH20" t="s">
        <v>6984</v>
      </c>
      <c r="CQI20" t="s">
        <v>6984</v>
      </c>
      <c r="CQJ20" t="s">
        <v>6984</v>
      </c>
      <c r="CQK20" t="s">
        <v>6984</v>
      </c>
      <c r="CQL20" t="s">
        <v>6984</v>
      </c>
      <c r="CQM20" t="s">
        <v>6984</v>
      </c>
      <c r="CQN20" t="s">
        <v>6984</v>
      </c>
      <c r="CQO20" t="s">
        <v>6984</v>
      </c>
      <c r="CQP20" t="s">
        <v>6984</v>
      </c>
      <c r="CQQ20" t="s">
        <v>6984</v>
      </c>
      <c r="CQR20" t="s">
        <v>6984</v>
      </c>
      <c r="CQS20" t="s">
        <v>6984</v>
      </c>
      <c r="CQT20" t="s">
        <v>6984</v>
      </c>
      <c r="CQU20" t="s">
        <v>6984</v>
      </c>
      <c r="CQV20" t="s">
        <v>6984</v>
      </c>
      <c r="CQW20" t="s">
        <v>6984</v>
      </c>
      <c r="CQX20" t="s">
        <v>6984</v>
      </c>
      <c r="CQY20" t="s">
        <v>6984</v>
      </c>
      <c r="CQZ20" t="s">
        <v>6984</v>
      </c>
      <c r="CRA20" t="s">
        <v>6984</v>
      </c>
      <c r="CRB20" t="s">
        <v>6984</v>
      </c>
      <c r="CRC20" t="s">
        <v>6984</v>
      </c>
      <c r="CRD20" t="s">
        <v>6984</v>
      </c>
      <c r="CRE20" t="s">
        <v>6984</v>
      </c>
      <c r="CRF20" t="s">
        <v>6984</v>
      </c>
      <c r="CRG20" t="s">
        <v>6984</v>
      </c>
      <c r="CRH20" t="s">
        <v>6984</v>
      </c>
      <c r="CRI20" t="s">
        <v>6984</v>
      </c>
      <c r="CRJ20" t="s">
        <v>6984</v>
      </c>
      <c r="CRK20" t="s">
        <v>6984</v>
      </c>
      <c r="CRL20" t="s">
        <v>6984</v>
      </c>
      <c r="CRM20" t="s">
        <v>6984</v>
      </c>
      <c r="CRN20" t="s">
        <v>6984</v>
      </c>
      <c r="CRO20" t="s">
        <v>6984</v>
      </c>
      <c r="CRP20" t="s">
        <v>6984</v>
      </c>
      <c r="CRQ20" t="s">
        <v>6984</v>
      </c>
      <c r="CRR20" t="s">
        <v>6984</v>
      </c>
      <c r="CRS20" t="s">
        <v>6984</v>
      </c>
      <c r="CRT20" t="s">
        <v>6984</v>
      </c>
      <c r="CRU20" t="s">
        <v>6984</v>
      </c>
      <c r="CRV20" t="s">
        <v>6984</v>
      </c>
      <c r="CRW20" t="s">
        <v>6984</v>
      </c>
      <c r="CRX20" t="s">
        <v>6984</v>
      </c>
      <c r="CRY20" t="s">
        <v>6984</v>
      </c>
      <c r="CRZ20" t="s">
        <v>6984</v>
      </c>
      <c r="CSA20" t="s">
        <v>6984</v>
      </c>
      <c r="CSB20" t="s">
        <v>6984</v>
      </c>
      <c r="CSC20" t="s">
        <v>6984</v>
      </c>
      <c r="CSD20" t="s">
        <v>6984</v>
      </c>
      <c r="CSE20" t="s">
        <v>6984</v>
      </c>
      <c r="CSF20" t="s">
        <v>6984</v>
      </c>
      <c r="CSG20" t="s">
        <v>6984</v>
      </c>
      <c r="CSH20" t="s">
        <v>6984</v>
      </c>
      <c r="CSI20" t="s">
        <v>6984</v>
      </c>
      <c r="CSJ20" t="s">
        <v>6984</v>
      </c>
      <c r="CSK20" t="s">
        <v>6984</v>
      </c>
      <c r="CSL20" t="s">
        <v>6984</v>
      </c>
      <c r="CSM20" t="s">
        <v>6984</v>
      </c>
      <c r="CSN20" t="s">
        <v>6984</v>
      </c>
      <c r="CSO20" t="s">
        <v>6984</v>
      </c>
      <c r="CSP20" t="s">
        <v>6984</v>
      </c>
      <c r="CSQ20" t="s">
        <v>6984</v>
      </c>
      <c r="CSR20" t="s">
        <v>6984</v>
      </c>
      <c r="CSS20" t="s">
        <v>6984</v>
      </c>
      <c r="CST20" t="s">
        <v>6984</v>
      </c>
      <c r="CSU20" t="s">
        <v>6984</v>
      </c>
      <c r="CSV20" t="s">
        <v>6984</v>
      </c>
      <c r="CSW20" t="s">
        <v>6984</v>
      </c>
      <c r="CSX20" t="s">
        <v>6984</v>
      </c>
      <c r="CSY20" t="s">
        <v>6984</v>
      </c>
      <c r="CSZ20" t="s">
        <v>6984</v>
      </c>
      <c r="CTA20" t="s">
        <v>6984</v>
      </c>
      <c r="CTB20" t="s">
        <v>6984</v>
      </c>
      <c r="CTC20" t="s">
        <v>6984</v>
      </c>
      <c r="CTD20" t="s">
        <v>6984</v>
      </c>
      <c r="CTE20" t="s">
        <v>6984</v>
      </c>
      <c r="CTF20" t="s">
        <v>6984</v>
      </c>
      <c r="CTG20" t="s">
        <v>6984</v>
      </c>
      <c r="CTH20" t="s">
        <v>6984</v>
      </c>
      <c r="CTI20" t="s">
        <v>6984</v>
      </c>
      <c r="CTJ20" t="s">
        <v>6984</v>
      </c>
      <c r="CTK20" t="s">
        <v>6984</v>
      </c>
      <c r="CTL20" t="s">
        <v>6984</v>
      </c>
      <c r="CTM20" t="s">
        <v>6984</v>
      </c>
      <c r="CTN20" t="s">
        <v>6984</v>
      </c>
      <c r="CTO20" t="s">
        <v>6984</v>
      </c>
      <c r="CTP20" t="s">
        <v>6984</v>
      </c>
      <c r="CTQ20" t="s">
        <v>6984</v>
      </c>
      <c r="CTR20" t="s">
        <v>6984</v>
      </c>
      <c r="CTS20" t="s">
        <v>6984</v>
      </c>
      <c r="CTT20" t="s">
        <v>6984</v>
      </c>
      <c r="CTU20" t="s">
        <v>6984</v>
      </c>
      <c r="CTV20" t="s">
        <v>6984</v>
      </c>
      <c r="CTW20" t="s">
        <v>6984</v>
      </c>
      <c r="CTX20" t="s">
        <v>6984</v>
      </c>
      <c r="CTY20" t="s">
        <v>6984</v>
      </c>
      <c r="CTZ20" t="s">
        <v>6984</v>
      </c>
      <c r="CUA20" t="s">
        <v>6984</v>
      </c>
      <c r="CUB20" t="s">
        <v>6984</v>
      </c>
      <c r="CUC20" t="s">
        <v>6984</v>
      </c>
      <c r="CUD20" t="s">
        <v>6984</v>
      </c>
      <c r="CUE20" t="s">
        <v>6984</v>
      </c>
      <c r="CUF20" t="s">
        <v>6984</v>
      </c>
      <c r="CUG20" t="s">
        <v>6984</v>
      </c>
      <c r="CUH20" t="s">
        <v>6984</v>
      </c>
      <c r="CUI20" t="s">
        <v>6984</v>
      </c>
      <c r="CUJ20" t="s">
        <v>6984</v>
      </c>
      <c r="CUK20" t="s">
        <v>6984</v>
      </c>
      <c r="CUL20" t="s">
        <v>6984</v>
      </c>
      <c r="CUM20" t="s">
        <v>6984</v>
      </c>
      <c r="CUN20" t="s">
        <v>6984</v>
      </c>
      <c r="CUO20" t="s">
        <v>6984</v>
      </c>
      <c r="CUP20" t="s">
        <v>6984</v>
      </c>
      <c r="CUQ20" t="s">
        <v>6984</v>
      </c>
      <c r="CUR20" t="s">
        <v>6984</v>
      </c>
      <c r="CUS20" t="s">
        <v>6984</v>
      </c>
      <c r="CUT20" t="s">
        <v>6984</v>
      </c>
      <c r="CUU20" t="s">
        <v>6984</v>
      </c>
      <c r="CUV20" t="s">
        <v>6984</v>
      </c>
      <c r="CUW20" t="s">
        <v>6984</v>
      </c>
      <c r="CUX20" t="s">
        <v>6984</v>
      </c>
      <c r="CUY20" t="s">
        <v>6984</v>
      </c>
      <c r="CUZ20" t="s">
        <v>6984</v>
      </c>
      <c r="CVA20" t="s">
        <v>6984</v>
      </c>
      <c r="CVB20" t="s">
        <v>6984</v>
      </c>
      <c r="CVC20" t="s">
        <v>6984</v>
      </c>
      <c r="CVD20" t="s">
        <v>6984</v>
      </c>
      <c r="CVE20" t="s">
        <v>6984</v>
      </c>
      <c r="CVF20" t="s">
        <v>6984</v>
      </c>
      <c r="CVG20" t="s">
        <v>6984</v>
      </c>
      <c r="CVH20" t="s">
        <v>6984</v>
      </c>
      <c r="CVI20" t="s">
        <v>6984</v>
      </c>
      <c r="CVJ20" t="s">
        <v>6984</v>
      </c>
      <c r="CVK20" t="s">
        <v>6984</v>
      </c>
      <c r="CVL20" t="s">
        <v>6984</v>
      </c>
      <c r="CVM20" t="s">
        <v>6984</v>
      </c>
      <c r="CVN20" t="s">
        <v>6984</v>
      </c>
      <c r="CVO20" t="s">
        <v>6984</v>
      </c>
      <c r="CVP20" t="s">
        <v>6984</v>
      </c>
      <c r="CVQ20" t="s">
        <v>6984</v>
      </c>
      <c r="CVR20" t="s">
        <v>6984</v>
      </c>
      <c r="CVS20" t="s">
        <v>6984</v>
      </c>
      <c r="CVT20" t="s">
        <v>6984</v>
      </c>
      <c r="CVU20" t="s">
        <v>6984</v>
      </c>
      <c r="CVV20" t="s">
        <v>6984</v>
      </c>
      <c r="CVW20" t="s">
        <v>6984</v>
      </c>
      <c r="CVX20" t="s">
        <v>6984</v>
      </c>
      <c r="CVY20" t="s">
        <v>6984</v>
      </c>
      <c r="CVZ20" t="s">
        <v>6984</v>
      </c>
      <c r="CWA20" t="s">
        <v>6984</v>
      </c>
      <c r="CWB20" t="s">
        <v>6984</v>
      </c>
      <c r="CWC20" t="s">
        <v>6984</v>
      </c>
      <c r="CWD20" t="s">
        <v>6984</v>
      </c>
      <c r="CWE20" t="s">
        <v>6984</v>
      </c>
      <c r="CWF20" t="s">
        <v>6984</v>
      </c>
      <c r="CWG20" t="s">
        <v>6984</v>
      </c>
      <c r="CWH20" t="s">
        <v>6984</v>
      </c>
      <c r="CWI20" t="s">
        <v>6984</v>
      </c>
      <c r="CWJ20" t="s">
        <v>6984</v>
      </c>
      <c r="CWK20" t="s">
        <v>6984</v>
      </c>
      <c r="CWL20" t="s">
        <v>6984</v>
      </c>
      <c r="CWM20" t="s">
        <v>6984</v>
      </c>
      <c r="CWN20" t="s">
        <v>6984</v>
      </c>
      <c r="CWO20" t="s">
        <v>6984</v>
      </c>
      <c r="CWP20" t="s">
        <v>6984</v>
      </c>
      <c r="CWQ20" t="s">
        <v>6984</v>
      </c>
      <c r="CWR20" t="s">
        <v>6984</v>
      </c>
      <c r="CWS20" t="s">
        <v>6984</v>
      </c>
      <c r="CWT20" t="s">
        <v>6984</v>
      </c>
      <c r="CWU20" t="s">
        <v>6984</v>
      </c>
      <c r="CWV20" t="s">
        <v>6984</v>
      </c>
      <c r="CWW20" t="s">
        <v>6984</v>
      </c>
      <c r="CWX20" t="s">
        <v>6984</v>
      </c>
      <c r="CWY20" t="s">
        <v>6984</v>
      </c>
      <c r="CWZ20" t="s">
        <v>6984</v>
      </c>
      <c r="CXA20" t="s">
        <v>6984</v>
      </c>
      <c r="CXB20" t="s">
        <v>6984</v>
      </c>
      <c r="CXC20" t="s">
        <v>6984</v>
      </c>
      <c r="CXD20" t="s">
        <v>6984</v>
      </c>
      <c r="CXE20" t="s">
        <v>6984</v>
      </c>
      <c r="CXF20" t="s">
        <v>6984</v>
      </c>
      <c r="CXG20" t="s">
        <v>6984</v>
      </c>
      <c r="CXH20" t="s">
        <v>6984</v>
      </c>
      <c r="CXI20" t="s">
        <v>6984</v>
      </c>
      <c r="CXJ20" t="s">
        <v>6984</v>
      </c>
      <c r="CXK20" t="s">
        <v>6984</v>
      </c>
      <c r="CXL20" t="s">
        <v>6984</v>
      </c>
      <c r="CXM20" t="s">
        <v>6984</v>
      </c>
      <c r="CXN20" t="s">
        <v>6984</v>
      </c>
      <c r="CXO20" t="s">
        <v>6984</v>
      </c>
      <c r="CXP20" t="s">
        <v>6984</v>
      </c>
      <c r="CXQ20" t="s">
        <v>6984</v>
      </c>
      <c r="CXR20" t="s">
        <v>6984</v>
      </c>
      <c r="CXS20" t="s">
        <v>6984</v>
      </c>
      <c r="CXT20" t="s">
        <v>6984</v>
      </c>
      <c r="CXU20" t="s">
        <v>6984</v>
      </c>
      <c r="CXV20" t="s">
        <v>6984</v>
      </c>
      <c r="CXW20" t="s">
        <v>6984</v>
      </c>
      <c r="CXX20" t="s">
        <v>6984</v>
      </c>
      <c r="CXY20" t="s">
        <v>6984</v>
      </c>
      <c r="CXZ20" t="s">
        <v>6984</v>
      </c>
      <c r="CYA20" t="s">
        <v>6984</v>
      </c>
      <c r="CYB20" t="s">
        <v>6984</v>
      </c>
      <c r="CYC20" t="s">
        <v>6984</v>
      </c>
      <c r="CYD20" t="s">
        <v>6984</v>
      </c>
      <c r="CYE20" t="s">
        <v>6984</v>
      </c>
      <c r="CYF20" t="s">
        <v>6984</v>
      </c>
      <c r="CYG20" t="s">
        <v>6984</v>
      </c>
      <c r="CYH20" t="s">
        <v>6984</v>
      </c>
      <c r="CYI20" t="s">
        <v>6984</v>
      </c>
      <c r="CYJ20" t="s">
        <v>6984</v>
      </c>
      <c r="CYK20" t="s">
        <v>6984</v>
      </c>
      <c r="CYL20" t="s">
        <v>6984</v>
      </c>
      <c r="CYM20" t="s">
        <v>6984</v>
      </c>
      <c r="CYN20" t="s">
        <v>6984</v>
      </c>
      <c r="CYO20" t="s">
        <v>6984</v>
      </c>
      <c r="CYP20" t="s">
        <v>6984</v>
      </c>
      <c r="CYQ20" t="s">
        <v>6984</v>
      </c>
      <c r="CYR20" t="s">
        <v>6984</v>
      </c>
      <c r="CYS20" t="s">
        <v>6984</v>
      </c>
      <c r="CYT20" t="s">
        <v>6984</v>
      </c>
      <c r="CYU20" t="s">
        <v>6984</v>
      </c>
      <c r="CYV20" t="s">
        <v>6984</v>
      </c>
      <c r="CYW20" t="s">
        <v>6984</v>
      </c>
      <c r="CYX20" t="s">
        <v>6984</v>
      </c>
      <c r="CYY20" t="s">
        <v>6984</v>
      </c>
      <c r="CYZ20" t="s">
        <v>6984</v>
      </c>
      <c r="CZA20" t="s">
        <v>6984</v>
      </c>
      <c r="CZB20" t="s">
        <v>6984</v>
      </c>
      <c r="CZC20" t="s">
        <v>6984</v>
      </c>
      <c r="CZD20" t="s">
        <v>6984</v>
      </c>
      <c r="CZE20" t="s">
        <v>6984</v>
      </c>
      <c r="CZF20" t="s">
        <v>6984</v>
      </c>
      <c r="CZG20" t="s">
        <v>6984</v>
      </c>
      <c r="CZH20" t="s">
        <v>6984</v>
      </c>
      <c r="CZI20" t="s">
        <v>6984</v>
      </c>
      <c r="CZJ20" t="s">
        <v>6984</v>
      </c>
      <c r="CZK20" t="s">
        <v>6984</v>
      </c>
      <c r="CZL20" t="s">
        <v>6984</v>
      </c>
      <c r="CZM20" t="s">
        <v>6984</v>
      </c>
      <c r="CZN20" t="s">
        <v>6984</v>
      </c>
      <c r="CZO20" t="s">
        <v>6984</v>
      </c>
      <c r="CZP20" t="s">
        <v>6984</v>
      </c>
      <c r="CZQ20" t="s">
        <v>6984</v>
      </c>
      <c r="CZR20" t="s">
        <v>6984</v>
      </c>
      <c r="CZS20" t="s">
        <v>6984</v>
      </c>
      <c r="CZT20" t="s">
        <v>6984</v>
      </c>
      <c r="CZU20" t="s">
        <v>6984</v>
      </c>
      <c r="CZV20" t="s">
        <v>6984</v>
      </c>
      <c r="CZW20" t="s">
        <v>6984</v>
      </c>
      <c r="CZX20" t="s">
        <v>6984</v>
      </c>
      <c r="CZY20" t="s">
        <v>6984</v>
      </c>
      <c r="CZZ20" t="s">
        <v>6984</v>
      </c>
      <c r="DAA20" t="s">
        <v>6984</v>
      </c>
      <c r="DAB20" t="s">
        <v>6984</v>
      </c>
      <c r="DAC20" t="s">
        <v>6984</v>
      </c>
      <c r="DAD20" t="s">
        <v>6984</v>
      </c>
      <c r="DAE20" t="s">
        <v>6984</v>
      </c>
      <c r="DAF20" t="s">
        <v>6984</v>
      </c>
      <c r="DAG20" t="s">
        <v>6984</v>
      </c>
      <c r="DAH20" t="s">
        <v>6984</v>
      </c>
      <c r="DAI20" t="s">
        <v>6984</v>
      </c>
      <c r="DAJ20" t="s">
        <v>6984</v>
      </c>
      <c r="DAK20" t="s">
        <v>6984</v>
      </c>
      <c r="DAL20" t="s">
        <v>6984</v>
      </c>
      <c r="DAM20" t="s">
        <v>6984</v>
      </c>
      <c r="DAN20" t="s">
        <v>6984</v>
      </c>
      <c r="DAO20" t="s">
        <v>6984</v>
      </c>
      <c r="DAP20" t="s">
        <v>6984</v>
      </c>
      <c r="DAQ20" t="s">
        <v>6984</v>
      </c>
      <c r="DAR20" t="s">
        <v>6984</v>
      </c>
      <c r="DAS20" t="s">
        <v>6984</v>
      </c>
      <c r="DAT20" t="s">
        <v>6984</v>
      </c>
      <c r="DAU20" t="s">
        <v>6984</v>
      </c>
      <c r="DAV20" t="s">
        <v>6984</v>
      </c>
      <c r="DAW20" t="s">
        <v>6984</v>
      </c>
      <c r="DAX20" t="s">
        <v>6984</v>
      </c>
      <c r="DAY20" t="s">
        <v>6984</v>
      </c>
      <c r="DAZ20" t="s">
        <v>6984</v>
      </c>
      <c r="DBA20" t="s">
        <v>6984</v>
      </c>
      <c r="DBB20" t="s">
        <v>6984</v>
      </c>
      <c r="DBC20" t="s">
        <v>6984</v>
      </c>
      <c r="DBD20" t="s">
        <v>6984</v>
      </c>
      <c r="DBE20" t="s">
        <v>6984</v>
      </c>
      <c r="DBF20" t="s">
        <v>6984</v>
      </c>
      <c r="DBG20" t="s">
        <v>6984</v>
      </c>
      <c r="DBH20" t="s">
        <v>6984</v>
      </c>
      <c r="DBI20" t="s">
        <v>6984</v>
      </c>
      <c r="DBJ20" t="s">
        <v>6984</v>
      </c>
      <c r="DBK20" t="s">
        <v>6984</v>
      </c>
      <c r="DBL20" t="s">
        <v>6984</v>
      </c>
      <c r="DBM20" t="s">
        <v>6984</v>
      </c>
      <c r="DBN20" t="s">
        <v>6984</v>
      </c>
      <c r="DBO20" t="s">
        <v>6984</v>
      </c>
      <c r="DBP20" t="s">
        <v>6984</v>
      </c>
      <c r="DBQ20" t="s">
        <v>6984</v>
      </c>
      <c r="DBR20" t="s">
        <v>6984</v>
      </c>
      <c r="DBS20" t="s">
        <v>6984</v>
      </c>
      <c r="DBT20" t="s">
        <v>6984</v>
      </c>
      <c r="DBU20" t="s">
        <v>6984</v>
      </c>
      <c r="DBV20" t="s">
        <v>6984</v>
      </c>
      <c r="DBW20" t="s">
        <v>6984</v>
      </c>
      <c r="DBX20" t="s">
        <v>6984</v>
      </c>
      <c r="DBY20" t="s">
        <v>6984</v>
      </c>
      <c r="DBZ20" t="s">
        <v>6984</v>
      </c>
      <c r="DCA20" t="s">
        <v>6984</v>
      </c>
      <c r="DCB20" t="s">
        <v>6984</v>
      </c>
      <c r="DCC20" t="s">
        <v>6984</v>
      </c>
      <c r="DCD20" t="s">
        <v>6984</v>
      </c>
      <c r="DCE20" t="s">
        <v>6984</v>
      </c>
      <c r="DCF20" t="s">
        <v>6984</v>
      </c>
      <c r="DCG20" t="s">
        <v>6984</v>
      </c>
      <c r="DCH20" t="s">
        <v>6984</v>
      </c>
      <c r="DCI20" t="s">
        <v>6984</v>
      </c>
      <c r="DCJ20" t="s">
        <v>6984</v>
      </c>
      <c r="DCK20" t="s">
        <v>6984</v>
      </c>
      <c r="DCL20" t="s">
        <v>6984</v>
      </c>
      <c r="DCM20" t="s">
        <v>6984</v>
      </c>
      <c r="DCN20" t="s">
        <v>6984</v>
      </c>
      <c r="DCO20" t="s">
        <v>6984</v>
      </c>
      <c r="DCP20" t="s">
        <v>6984</v>
      </c>
      <c r="DCQ20" t="s">
        <v>6984</v>
      </c>
      <c r="DCR20" t="s">
        <v>6984</v>
      </c>
      <c r="DCS20" t="s">
        <v>6984</v>
      </c>
      <c r="DCT20" t="s">
        <v>6984</v>
      </c>
      <c r="DCU20" t="s">
        <v>6984</v>
      </c>
      <c r="DCV20" t="s">
        <v>6984</v>
      </c>
      <c r="DCW20" t="s">
        <v>6984</v>
      </c>
      <c r="DCX20" t="s">
        <v>6984</v>
      </c>
      <c r="DCY20" t="s">
        <v>6984</v>
      </c>
      <c r="DCZ20" t="s">
        <v>6984</v>
      </c>
      <c r="DDA20" t="s">
        <v>6984</v>
      </c>
      <c r="DDB20" t="s">
        <v>6984</v>
      </c>
      <c r="DDC20" t="s">
        <v>6984</v>
      </c>
      <c r="DDD20" t="s">
        <v>6984</v>
      </c>
      <c r="DDE20" t="s">
        <v>6984</v>
      </c>
      <c r="DDF20" t="s">
        <v>6984</v>
      </c>
      <c r="DDG20" t="s">
        <v>6984</v>
      </c>
      <c r="DDH20" t="s">
        <v>6984</v>
      </c>
      <c r="DDI20" t="s">
        <v>6984</v>
      </c>
      <c r="DDJ20" t="s">
        <v>6984</v>
      </c>
      <c r="DDK20" t="s">
        <v>6984</v>
      </c>
      <c r="DDL20" t="s">
        <v>6984</v>
      </c>
      <c r="DDM20" t="s">
        <v>6984</v>
      </c>
      <c r="DDN20" t="s">
        <v>6984</v>
      </c>
      <c r="DDO20" t="s">
        <v>6984</v>
      </c>
      <c r="DDP20" t="s">
        <v>6984</v>
      </c>
      <c r="DDQ20" t="s">
        <v>6984</v>
      </c>
      <c r="DDR20" t="s">
        <v>6984</v>
      </c>
      <c r="DDS20" t="s">
        <v>6984</v>
      </c>
      <c r="DDT20" t="s">
        <v>6984</v>
      </c>
      <c r="DDU20" t="s">
        <v>6984</v>
      </c>
      <c r="DDV20" t="s">
        <v>6984</v>
      </c>
      <c r="DDW20" t="s">
        <v>6984</v>
      </c>
      <c r="DDX20" t="s">
        <v>6984</v>
      </c>
      <c r="DDY20" t="s">
        <v>6984</v>
      </c>
      <c r="DDZ20" t="s">
        <v>6984</v>
      </c>
      <c r="DEA20" t="s">
        <v>6984</v>
      </c>
      <c r="DEB20" t="s">
        <v>6984</v>
      </c>
      <c r="DEC20" t="s">
        <v>6984</v>
      </c>
      <c r="DED20" t="s">
        <v>6984</v>
      </c>
      <c r="DEE20" t="s">
        <v>6984</v>
      </c>
      <c r="DEF20" t="s">
        <v>6984</v>
      </c>
      <c r="DEG20" t="s">
        <v>6984</v>
      </c>
      <c r="DEH20" t="s">
        <v>6984</v>
      </c>
      <c r="DEI20" t="s">
        <v>6984</v>
      </c>
      <c r="DEJ20" t="s">
        <v>6984</v>
      </c>
      <c r="DEK20" t="s">
        <v>6984</v>
      </c>
      <c r="DEL20" t="s">
        <v>6984</v>
      </c>
      <c r="DEM20" t="s">
        <v>6984</v>
      </c>
      <c r="DEN20" t="s">
        <v>6984</v>
      </c>
      <c r="DEO20" t="s">
        <v>6984</v>
      </c>
      <c r="DEP20" t="s">
        <v>6984</v>
      </c>
      <c r="DEQ20" t="s">
        <v>6984</v>
      </c>
      <c r="DER20" t="s">
        <v>6984</v>
      </c>
      <c r="DES20" t="s">
        <v>6984</v>
      </c>
      <c r="DET20" t="s">
        <v>6984</v>
      </c>
      <c r="DEU20" t="s">
        <v>6984</v>
      </c>
      <c r="DEV20" t="s">
        <v>6984</v>
      </c>
      <c r="DEW20" t="s">
        <v>6984</v>
      </c>
      <c r="DEX20" t="s">
        <v>6984</v>
      </c>
      <c r="DEY20" t="s">
        <v>6984</v>
      </c>
      <c r="DEZ20" t="s">
        <v>6984</v>
      </c>
      <c r="DFA20" t="s">
        <v>6984</v>
      </c>
      <c r="DFB20" t="s">
        <v>6984</v>
      </c>
      <c r="DFC20" t="s">
        <v>6984</v>
      </c>
      <c r="DFD20" t="s">
        <v>6984</v>
      </c>
      <c r="DFE20" t="s">
        <v>6984</v>
      </c>
      <c r="DFF20" t="s">
        <v>6984</v>
      </c>
      <c r="DFG20" t="s">
        <v>6984</v>
      </c>
      <c r="DFH20" t="s">
        <v>6984</v>
      </c>
      <c r="DFI20" t="s">
        <v>6984</v>
      </c>
      <c r="DFJ20" t="s">
        <v>6984</v>
      </c>
      <c r="DFK20" t="s">
        <v>6984</v>
      </c>
      <c r="DFL20" t="s">
        <v>6984</v>
      </c>
      <c r="DFM20" t="s">
        <v>6984</v>
      </c>
      <c r="DFN20" t="s">
        <v>6984</v>
      </c>
      <c r="DFO20" t="s">
        <v>6984</v>
      </c>
      <c r="DFP20" t="s">
        <v>6984</v>
      </c>
      <c r="DFQ20" t="s">
        <v>6984</v>
      </c>
      <c r="DFR20" t="s">
        <v>6984</v>
      </c>
      <c r="DFS20" t="s">
        <v>6984</v>
      </c>
      <c r="DFT20" t="s">
        <v>6984</v>
      </c>
      <c r="DFU20" t="s">
        <v>6984</v>
      </c>
      <c r="DFV20" t="s">
        <v>6984</v>
      </c>
      <c r="DFW20" t="s">
        <v>6984</v>
      </c>
      <c r="DFX20" t="s">
        <v>6984</v>
      </c>
      <c r="DFY20" t="s">
        <v>6984</v>
      </c>
      <c r="DFZ20" t="s">
        <v>6984</v>
      </c>
      <c r="DGA20" t="s">
        <v>6984</v>
      </c>
      <c r="DGB20" t="s">
        <v>6984</v>
      </c>
      <c r="DGC20" t="s">
        <v>6984</v>
      </c>
      <c r="DGD20" t="s">
        <v>6984</v>
      </c>
      <c r="DGE20" t="s">
        <v>6984</v>
      </c>
      <c r="DGF20" t="s">
        <v>6984</v>
      </c>
      <c r="DGG20" t="s">
        <v>6984</v>
      </c>
      <c r="DGH20" t="s">
        <v>6984</v>
      </c>
      <c r="DGI20" t="s">
        <v>6984</v>
      </c>
      <c r="DGJ20" t="s">
        <v>6984</v>
      </c>
      <c r="DGK20" t="s">
        <v>6984</v>
      </c>
      <c r="DGL20" t="s">
        <v>6984</v>
      </c>
      <c r="DGM20" t="s">
        <v>6984</v>
      </c>
      <c r="DGN20" t="s">
        <v>6984</v>
      </c>
      <c r="DGO20" t="s">
        <v>6984</v>
      </c>
      <c r="DGP20" t="s">
        <v>6984</v>
      </c>
      <c r="DGQ20" t="s">
        <v>6984</v>
      </c>
      <c r="DGR20" t="s">
        <v>6984</v>
      </c>
      <c r="DGS20" t="s">
        <v>6984</v>
      </c>
      <c r="DGT20" t="s">
        <v>6984</v>
      </c>
      <c r="DGU20" t="s">
        <v>6984</v>
      </c>
      <c r="DGV20" t="s">
        <v>6984</v>
      </c>
      <c r="DGW20" t="s">
        <v>6984</v>
      </c>
      <c r="DGX20" t="s">
        <v>6984</v>
      </c>
      <c r="DGY20" t="s">
        <v>6984</v>
      </c>
      <c r="DGZ20" t="s">
        <v>6984</v>
      </c>
      <c r="DHA20" t="s">
        <v>6984</v>
      </c>
      <c r="DHB20" t="s">
        <v>6984</v>
      </c>
      <c r="DHC20" t="s">
        <v>6984</v>
      </c>
      <c r="DHD20" t="s">
        <v>6984</v>
      </c>
      <c r="DHE20" t="s">
        <v>6984</v>
      </c>
      <c r="DHF20" t="s">
        <v>6984</v>
      </c>
      <c r="DHG20" t="s">
        <v>6984</v>
      </c>
      <c r="DHH20" t="s">
        <v>6984</v>
      </c>
      <c r="DHI20" t="s">
        <v>6984</v>
      </c>
      <c r="DHJ20" t="s">
        <v>6984</v>
      </c>
      <c r="DHK20" t="s">
        <v>6984</v>
      </c>
      <c r="DHL20" t="s">
        <v>6984</v>
      </c>
      <c r="DHM20" t="s">
        <v>6984</v>
      </c>
      <c r="DHN20" t="s">
        <v>6984</v>
      </c>
      <c r="DHO20" t="s">
        <v>6984</v>
      </c>
      <c r="DHP20" t="s">
        <v>6984</v>
      </c>
      <c r="DHQ20" t="s">
        <v>6984</v>
      </c>
      <c r="DHR20" t="s">
        <v>6984</v>
      </c>
      <c r="DHS20" t="s">
        <v>6984</v>
      </c>
      <c r="DHT20" t="s">
        <v>6984</v>
      </c>
      <c r="DHU20" t="s">
        <v>6984</v>
      </c>
      <c r="DHV20" t="s">
        <v>6984</v>
      </c>
      <c r="DHW20" t="s">
        <v>6984</v>
      </c>
      <c r="DHX20" t="s">
        <v>6984</v>
      </c>
      <c r="DHY20" t="s">
        <v>6984</v>
      </c>
      <c r="DHZ20" t="s">
        <v>6984</v>
      </c>
      <c r="DIA20" t="s">
        <v>6984</v>
      </c>
      <c r="DIB20" t="s">
        <v>6984</v>
      </c>
      <c r="DIC20" t="s">
        <v>6984</v>
      </c>
      <c r="DID20" t="s">
        <v>6984</v>
      </c>
      <c r="DIE20" t="s">
        <v>6984</v>
      </c>
      <c r="DIF20" t="s">
        <v>6984</v>
      </c>
      <c r="DIG20" t="s">
        <v>6984</v>
      </c>
      <c r="DIH20" t="s">
        <v>6984</v>
      </c>
      <c r="DII20" t="s">
        <v>6984</v>
      </c>
      <c r="DIJ20" t="s">
        <v>6984</v>
      </c>
      <c r="DIK20" t="s">
        <v>6984</v>
      </c>
      <c r="DIL20" t="s">
        <v>6984</v>
      </c>
      <c r="DIM20" t="s">
        <v>6984</v>
      </c>
      <c r="DIN20" t="s">
        <v>6984</v>
      </c>
      <c r="DIO20" t="s">
        <v>6984</v>
      </c>
      <c r="DIP20" t="s">
        <v>6984</v>
      </c>
      <c r="DIQ20" t="s">
        <v>6984</v>
      </c>
      <c r="DIR20" t="s">
        <v>6984</v>
      </c>
      <c r="DIS20" t="s">
        <v>6984</v>
      </c>
      <c r="DIT20" t="s">
        <v>6984</v>
      </c>
      <c r="DIU20" t="s">
        <v>6984</v>
      </c>
      <c r="DIV20" t="s">
        <v>6984</v>
      </c>
      <c r="DIW20" t="s">
        <v>6984</v>
      </c>
      <c r="DIX20" t="s">
        <v>6984</v>
      </c>
      <c r="DIY20" t="s">
        <v>6984</v>
      </c>
      <c r="DIZ20" t="s">
        <v>6984</v>
      </c>
      <c r="DJA20" t="s">
        <v>6984</v>
      </c>
      <c r="DJB20" t="s">
        <v>6984</v>
      </c>
      <c r="DJC20" t="s">
        <v>6984</v>
      </c>
      <c r="DJD20" t="s">
        <v>6984</v>
      </c>
      <c r="DJE20" t="s">
        <v>6984</v>
      </c>
      <c r="DJF20" t="s">
        <v>6984</v>
      </c>
      <c r="DJG20" t="s">
        <v>6984</v>
      </c>
      <c r="DJH20" t="s">
        <v>6984</v>
      </c>
      <c r="DJI20" t="s">
        <v>6984</v>
      </c>
      <c r="DJJ20" t="s">
        <v>6984</v>
      </c>
      <c r="DJK20" t="s">
        <v>6984</v>
      </c>
      <c r="DJL20" t="s">
        <v>6984</v>
      </c>
      <c r="DJM20" t="s">
        <v>6984</v>
      </c>
      <c r="DJN20" t="s">
        <v>6984</v>
      </c>
      <c r="DJO20" t="s">
        <v>6984</v>
      </c>
      <c r="DJP20" t="s">
        <v>6984</v>
      </c>
      <c r="DJQ20" t="s">
        <v>6984</v>
      </c>
      <c r="DJR20" t="s">
        <v>6984</v>
      </c>
      <c r="DJS20" t="s">
        <v>6984</v>
      </c>
      <c r="DJT20" t="s">
        <v>6984</v>
      </c>
      <c r="DJU20" t="s">
        <v>6984</v>
      </c>
      <c r="DJV20" t="s">
        <v>6984</v>
      </c>
      <c r="DJW20" t="s">
        <v>6984</v>
      </c>
      <c r="DJX20" t="s">
        <v>6984</v>
      </c>
      <c r="DJY20" t="s">
        <v>6984</v>
      </c>
      <c r="DJZ20" t="s">
        <v>6984</v>
      </c>
      <c r="DKA20" t="s">
        <v>6984</v>
      </c>
      <c r="DKB20" t="s">
        <v>6984</v>
      </c>
      <c r="DKC20" t="s">
        <v>6984</v>
      </c>
      <c r="DKD20" t="s">
        <v>6984</v>
      </c>
      <c r="DKE20" t="s">
        <v>6984</v>
      </c>
      <c r="DKF20" t="s">
        <v>6984</v>
      </c>
      <c r="DKG20" t="s">
        <v>6984</v>
      </c>
      <c r="DKH20" t="s">
        <v>6984</v>
      </c>
      <c r="DKI20" t="s">
        <v>6984</v>
      </c>
      <c r="DKJ20" t="s">
        <v>6984</v>
      </c>
      <c r="DKK20" t="s">
        <v>6984</v>
      </c>
      <c r="DKL20" t="s">
        <v>6984</v>
      </c>
      <c r="DKM20" t="s">
        <v>6984</v>
      </c>
      <c r="DKN20" t="s">
        <v>6984</v>
      </c>
      <c r="DKO20" t="s">
        <v>6984</v>
      </c>
      <c r="DKP20" t="s">
        <v>6984</v>
      </c>
      <c r="DKQ20" t="s">
        <v>6984</v>
      </c>
      <c r="DKR20" t="s">
        <v>6984</v>
      </c>
      <c r="DKS20" t="s">
        <v>6984</v>
      </c>
      <c r="DKT20" t="s">
        <v>6984</v>
      </c>
      <c r="DKU20" t="s">
        <v>6984</v>
      </c>
      <c r="DKV20" t="s">
        <v>6984</v>
      </c>
      <c r="DKW20" t="s">
        <v>6984</v>
      </c>
      <c r="DKX20" t="s">
        <v>6984</v>
      </c>
      <c r="DKY20" t="s">
        <v>6984</v>
      </c>
      <c r="DKZ20" t="s">
        <v>6984</v>
      </c>
      <c r="DLA20" t="s">
        <v>6984</v>
      </c>
      <c r="DLB20" t="s">
        <v>6984</v>
      </c>
      <c r="DLC20" t="s">
        <v>6984</v>
      </c>
      <c r="DLD20" t="s">
        <v>6984</v>
      </c>
      <c r="DLE20" t="s">
        <v>6984</v>
      </c>
      <c r="DLF20" t="s">
        <v>6984</v>
      </c>
      <c r="DLG20" t="s">
        <v>6984</v>
      </c>
      <c r="DLH20" t="s">
        <v>6984</v>
      </c>
      <c r="DLI20" t="s">
        <v>6984</v>
      </c>
      <c r="DLJ20" t="s">
        <v>6984</v>
      </c>
      <c r="DLK20" t="s">
        <v>6984</v>
      </c>
      <c r="DLL20" t="s">
        <v>6984</v>
      </c>
      <c r="DLM20" t="s">
        <v>6984</v>
      </c>
      <c r="DLN20" t="s">
        <v>6984</v>
      </c>
      <c r="DLO20" t="s">
        <v>6984</v>
      </c>
      <c r="DLP20" t="s">
        <v>6984</v>
      </c>
      <c r="DLQ20" t="s">
        <v>6984</v>
      </c>
      <c r="DLR20" t="s">
        <v>6984</v>
      </c>
      <c r="DLS20" t="s">
        <v>6984</v>
      </c>
      <c r="DLT20" t="s">
        <v>6984</v>
      </c>
      <c r="DLU20" t="s">
        <v>6984</v>
      </c>
      <c r="DLV20" t="s">
        <v>6984</v>
      </c>
      <c r="DLW20" t="s">
        <v>6984</v>
      </c>
      <c r="DLX20" t="s">
        <v>6984</v>
      </c>
      <c r="DLY20" t="s">
        <v>6984</v>
      </c>
      <c r="DLZ20" t="s">
        <v>6984</v>
      </c>
      <c r="DMA20" t="s">
        <v>6984</v>
      </c>
      <c r="DMB20" t="s">
        <v>6984</v>
      </c>
      <c r="DMC20" t="s">
        <v>6984</v>
      </c>
      <c r="DMD20" t="s">
        <v>6984</v>
      </c>
      <c r="DME20" t="s">
        <v>6984</v>
      </c>
      <c r="DMF20" t="s">
        <v>6984</v>
      </c>
      <c r="DMG20" t="s">
        <v>6984</v>
      </c>
      <c r="DMH20" t="s">
        <v>6984</v>
      </c>
      <c r="DMI20" t="s">
        <v>6984</v>
      </c>
      <c r="DMJ20" t="s">
        <v>6984</v>
      </c>
      <c r="DMK20" t="s">
        <v>6984</v>
      </c>
      <c r="DML20" t="s">
        <v>6984</v>
      </c>
      <c r="DMM20" t="s">
        <v>6984</v>
      </c>
      <c r="DMN20" t="s">
        <v>6984</v>
      </c>
      <c r="DMO20" t="s">
        <v>6984</v>
      </c>
      <c r="DMP20" t="s">
        <v>6984</v>
      </c>
      <c r="DMQ20" t="s">
        <v>6984</v>
      </c>
      <c r="DMR20" t="s">
        <v>6984</v>
      </c>
      <c r="DMS20" t="s">
        <v>6984</v>
      </c>
      <c r="DMT20" t="s">
        <v>6984</v>
      </c>
      <c r="DMU20" t="s">
        <v>6984</v>
      </c>
      <c r="DMV20" t="s">
        <v>6984</v>
      </c>
      <c r="DMW20" t="s">
        <v>6984</v>
      </c>
      <c r="DMX20" t="s">
        <v>6984</v>
      </c>
      <c r="DMY20" t="s">
        <v>6984</v>
      </c>
      <c r="DMZ20" t="s">
        <v>6984</v>
      </c>
      <c r="DNA20" t="s">
        <v>6984</v>
      </c>
      <c r="DNB20" t="s">
        <v>6984</v>
      </c>
      <c r="DNC20" t="s">
        <v>6984</v>
      </c>
      <c r="DND20" t="s">
        <v>6984</v>
      </c>
      <c r="DNE20" t="s">
        <v>6984</v>
      </c>
      <c r="DNF20" t="s">
        <v>6984</v>
      </c>
      <c r="DNG20" t="s">
        <v>6984</v>
      </c>
      <c r="DNH20" t="s">
        <v>6984</v>
      </c>
      <c r="DNI20" t="s">
        <v>6984</v>
      </c>
      <c r="DNJ20" t="s">
        <v>6984</v>
      </c>
      <c r="DNK20" t="s">
        <v>6984</v>
      </c>
      <c r="DNL20" t="s">
        <v>6984</v>
      </c>
      <c r="DNM20" t="s">
        <v>6984</v>
      </c>
      <c r="DNN20" t="s">
        <v>6984</v>
      </c>
      <c r="DNO20" t="s">
        <v>6984</v>
      </c>
      <c r="DNP20" t="s">
        <v>6984</v>
      </c>
      <c r="DNQ20" t="s">
        <v>6984</v>
      </c>
      <c r="DNR20" t="s">
        <v>6984</v>
      </c>
      <c r="DNS20" t="s">
        <v>6984</v>
      </c>
      <c r="DNT20" t="s">
        <v>6984</v>
      </c>
      <c r="DNU20" t="s">
        <v>6984</v>
      </c>
      <c r="DNV20" t="s">
        <v>6984</v>
      </c>
      <c r="DNW20" t="s">
        <v>6984</v>
      </c>
      <c r="DNX20" t="s">
        <v>6984</v>
      </c>
      <c r="DNY20" t="s">
        <v>6984</v>
      </c>
      <c r="DNZ20" t="s">
        <v>6984</v>
      </c>
      <c r="DOA20" t="s">
        <v>6984</v>
      </c>
      <c r="DOB20" t="s">
        <v>6984</v>
      </c>
      <c r="DOC20" t="s">
        <v>6984</v>
      </c>
      <c r="DOD20" t="s">
        <v>6984</v>
      </c>
      <c r="DOE20" t="s">
        <v>6984</v>
      </c>
      <c r="DOF20" t="s">
        <v>6984</v>
      </c>
      <c r="DOG20" t="s">
        <v>6984</v>
      </c>
      <c r="DOH20" t="s">
        <v>6984</v>
      </c>
      <c r="DOI20" t="s">
        <v>6984</v>
      </c>
      <c r="DOJ20" t="s">
        <v>6984</v>
      </c>
      <c r="DOK20" t="s">
        <v>6984</v>
      </c>
      <c r="DOL20" t="s">
        <v>6984</v>
      </c>
      <c r="DOM20" t="s">
        <v>6984</v>
      </c>
      <c r="DON20" t="s">
        <v>6984</v>
      </c>
      <c r="DOO20" t="s">
        <v>6984</v>
      </c>
      <c r="DOP20" t="s">
        <v>6984</v>
      </c>
      <c r="DOQ20" t="s">
        <v>6984</v>
      </c>
      <c r="DOR20" t="s">
        <v>6984</v>
      </c>
      <c r="DOS20" t="s">
        <v>6984</v>
      </c>
      <c r="DOT20" t="s">
        <v>6984</v>
      </c>
      <c r="DOU20" t="s">
        <v>6984</v>
      </c>
      <c r="DOV20" t="s">
        <v>6984</v>
      </c>
      <c r="DOW20" t="s">
        <v>6984</v>
      </c>
      <c r="DOX20" t="s">
        <v>6984</v>
      </c>
      <c r="DOY20" t="s">
        <v>6984</v>
      </c>
      <c r="DOZ20" t="s">
        <v>6984</v>
      </c>
      <c r="DPA20" t="s">
        <v>6984</v>
      </c>
      <c r="DPB20" t="s">
        <v>6984</v>
      </c>
      <c r="DPC20" t="s">
        <v>6984</v>
      </c>
      <c r="DPD20" t="s">
        <v>6984</v>
      </c>
      <c r="DPE20" t="s">
        <v>6984</v>
      </c>
      <c r="DPF20" t="s">
        <v>6984</v>
      </c>
      <c r="DPG20" t="s">
        <v>6984</v>
      </c>
      <c r="DPH20" t="s">
        <v>6984</v>
      </c>
      <c r="DPI20" t="s">
        <v>6984</v>
      </c>
      <c r="DPJ20" t="s">
        <v>6984</v>
      </c>
      <c r="DPK20" t="s">
        <v>6984</v>
      </c>
      <c r="DPL20" t="s">
        <v>6984</v>
      </c>
      <c r="DPM20" t="s">
        <v>6984</v>
      </c>
      <c r="DPN20" t="s">
        <v>6984</v>
      </c>
      <c r="DPO20" t="s">
        <v>6984</v>
      </c>
      <c r="DPP20" t="s">
        <v>6984</v>
      </c>
      <c r="DPQ20" t="s">
        <v>6984</v>
      </c>
      <c r="DPR20" t="s">
        <v>6984</v>
      </c>
      <c r="DPS20" t="s">
        <v>6984</v>
      </c>
      <c r="DPT20" t="s">
        <v>6984</v>
      </c>
      <c r="DPU20" t="s">
        <v>6984</v>
      </c>
      <c r="DPV20" t="s">
        <v>6984</v>
      </c>
      <c r="DPW20" t="s">
        <v>6984</v>
      </c>
      <c r="DPX20" t="s">
        <v>6984</v>
      </c>
      <c r="DPY20" t="s">
        <v>6984</v>
      </c>
      <c r="DPZ20" t="s">
        <v>6984</v>
      </c>
      <c r="DQA20" t="s">
        <v>6984</v>
      </c>
      <c r="DQB20" t="s">
        <v>6984</v>
      </c>
      <c r="DQC20" t="s">
        <v>6984</v>
      </c>
      <c r="DQD20" t="s">
        <v>6984</v>
      </c>
      <c r="DQE20" t="s">
        <v>6984</v>
      </c>
      <c r="DQF20" t="s">
        <v>6984</v>
      </c>
      <c r="DQG20" t="s">
        <v>6984</v>
      </c>
      <c r="DQH20" t="s">
        <v>6984</v>
      </c>
      <c r="DQI20" t="s">
        <v>6984</v>
      </c>
      <c r="DQJ20" t="s">
        <v>6984</v>
      </c>
      <c r="DQK20" t="s">
        <v>6984</v>
      </c>
      <c r="DQL20" t="s">
        <v>6984</v>
      </c>
      <c r="DQM20" t="s">
        <v>6984</v>
      </c>
      <c r="DQN20" t="s">
        <v>6984</v>
      </c>
      <c r="DQO20" t="s">
        <v>6984</v>
      </c>
      <c r="DQP20" t="s">
        <v>6984</v>
      </c>
      <c r="DQQ20" t="s">
        <v>6984</v>
      </c>
      <c r="DQR20" t="s">
        <v>6984</v>
      </c>
      <c r="DQS20" t="s">
        <v>6984</v>
      </c>
      <c r="DQT20" t="s">
        <v>6984</v>
      </c>
      <c r="DQU20" t="s">
        <v>6984</v>
      </c>
      <c r="DQV20" t="s">
        <v>6984</v>
      </c>
      <c r="DQW20" t="s">
        <v>6984</v>
      </c>
      <c r="DQX20" t="s">
        <v>6984</v>
      </c>
      <c r="DQY20" t="s">
        <v>6984</v>
      </c>
      <c r="DQZ20" t="s">
        <v>6984</v>
      </c>
      <c r="DRA20" t="s">
        <v>6984</v>
      </c>
      <c r="DRB20" t="s">
        <v>6984</v>
      </c>
      <c r="DRC20" t="s">
        <v>6984</v>
      </c>
      <c r="DRD20" t="s">
        <v>6984</v>
      </c>
      <c r="DRE20" t="s">
        <v>6984</v>
      </c>
      <c r="DRF20" t="s">
        <v>6984</v>
      </c>
      <c r="DRG20" t="s">
        <v>6984</v>
      </c>
      <c r="DRH20" t="s">
        <v>6984</v>
      </c>
      <c r="DRI20" t="s">
        <v>6984</v>
      </c>
      <c r="DRJ20" t="s">
        <v>6984</v>
      </c>
      <c r="DRK20" t="s">
        <v>6984</v>
      </c>
      <c r="DRL20" t="s">
        <v>6984</v>
      </c>
      <c r="DRM20" t="s">
        <v>6984</v>
      </c>
      <c r="DRN20" t="s">
        <v>6984</v>
      </c>
      <c r="DRO20" t="s">
        <v>6984</v>
      </c>
      <c r="DRP20" t="s">
        <v>6984</v>
      </c>
      <c r="DRQ20" t="s">
        <v>6984</v>
      </c>
      <c r="DRR20" t="s">
        <v>6984</v>
      </c>
      <c r="DRS20" t="s">
        <v>6984</v>
      </c>
      <c r="DRT20" t="s">
        <v>6984</v>
      </c>
      <c r="DRU20" t="s">
        <v>6984</v>
      </c>
      <c r="DRV20" t="s">
        <v>6984</v>
      </c>
      <c r="DRW20" t="s">
        <v>6984</v>
      </c>
      <c r="DRX20" t="s">
        <v>6984</v>
      </c>
      <c r="DRY20" t="s">
        <v>6984</v>
      </c>
      <c r="DRZ20" t="s">
        <v>6984</v>
      </c>
      <c r="DSA20" t="s">
        <v>6984</v>
      </c>
      <c r="DSB20" t="s">
        <v>6984</v>
      </c>
      <c r="DSC20" t="s">
        <v>6984</v>
      </c>
      <c r="DSD20" t="s">
        <v>6984</v>
      </c>
      <c r="DSE20" t="s">
        <v>6984</v>
      </c>
      <c r="DSF20" t="s">
        <v>6984</v>
      </c>
      <c r="DSG20" t="s">
        <v>6984</v>
      </c>
      <c r="DSH20" t="s">
        <v>6984</v>
      </c>
      <c r="DSI20" t="s">
        <v>6984</v>
      </c>
      <c r="DSJ20" t="s">
        <v>6984</v>
      </c>
      <c r="DSK20" t="s">
        <v>6984</v>
      </c>
      <c r="DSL20" t="s">
        <v>6984</v>
      </c>
      <c r="DSM20" t="s">
        <v>6984</v>
      </c>
      <c r="DSN20" t="s">
        <v>6984</v>
      </c>
      <c r="DSO20" t="s">
        <v>6984</v>
      </c>
      <c r="DSP20" t="s">
        <v>6984</v>
      </c>
      <c r="DSQ20" t="s">
        <v>6984</v>
      </c>
      <c r="DSR20" t="s">
        <v>6984</v>
      </c>
      <c r="DSS20" t="s">
        <v>6984</v>
      </c>
      <c r="DST20" t="s">
        <v>6984</v>
      </c>
      <c r="DSU20" t="s">
        <v>6984</v>
      </c>
      <c r="DSV20" t="s">
        <v>6984</v>
      </c>
      <c r="DSW20" t="s">
        <v>6984</v>
      </c>
      <c r="DSX20" t="s">
        <v>6984</v>
      </c>
      <c r="DSY20" t="s">
        <v>6984</v>
      </c>
      <c r="DSZ20" t="s">
        <v>6984</v>
      </c>
      <c r="DTA20" t="s">
        <v>6984</v>
      </c>
      <c r="DTB20" t="s">
        <v>6984</v>
      </c>
      <c r="DTC20" t="s">
        <v>6984</v>
      </c>
      <c r="DTD20" t="s">
        <v>6984</v>
      </c>
      <c r="DTE20" t="s">
        <v>6984</v>
      </c>
      <c r="DTF20" t="s">
        <v>6984</v>
      </c>
      <c r="DTG20" t="s">
        <v>6984</v>
      </c>
      <c r="DTH20" t="s">
        <v>6984</v>
      </c>
      <c r="DTI20" t="s">
        <v>6984</v>
      </c>
      <c r="DTJ20" t="s">
        <v>6984</v>
      </c>
      <c r="DTK20" t="s">
        <v>6984</v>
      </c>
      <c r="DTL20" t="s">
        <v>6984</v>
      </c>
      <c r="DTM20" t="s">
        <v>6984</v>
      </c>
      <c r="DTN20" t="s">
        <v>6984</v>
      </c>
      <c r="DTO20" t="s">
        <v>6984</v>
      </c>
      <c r="DTP20" t="s">
        <v>6984</v>
      </c>
      <c r="DTQ20" t="s">
        <v>6984</v>
      </c>
      <c r="DTR20" t="s">
        <v>6984</v>
      </c>
      <c r="DTS20" t="s">
        <v>6984</v>
      </c>
      <c r="DTT20" t="s">
        <v>6984</v>
      </c>
      <c r="DTU20" t="s">
        <v>6984</v>
      </c>
      <c r="DTV20" t="s">
        <v>6984</v>
      </c>
      <c r="DTW20" t="s">
        <v>6984</v>
      </c>
      <c r="DTX20" t="s">
        <v>6984</v>
      </c>
      <c r="DTY20" t="s">
        <v>6984</v>
      </c>
      <c r="DTZ20" t="s">
        <v>6984</v>
      </c>
      <c r="DUA20" t="s">
        <v>6984</v>
      </c>
      <c r="DUB20" t="s">
        <v>6984</v>
      </c>
      <c r="DUC20" t="s">
        <v>6984</v>
      </c>
      <c r="DUD20" t="s">
        <v>6984</v>
      </c>
      <c r="DUE20" t="s">
        <v>6984</v>
      </c>
      <c r="DUF20" t="s">
        <v>6984</v>
      </c>
      <c r="DUG20" t="s">
        <v>6984</v>
      </c>
      <c r="DUH20" t="s">
        <v>6984</v>
      </c>
      <c r="DUI20" t="s">
        <v>6984</v>
      </c>
      <c r="DUJ20" t="s">
        <v>6984</v>
      </c>
      <c r="DUK20" t="s">
        <v>6984</v>
      </c>
      <c r="DUL20" t="s">
        <v>6984</v>
      </c>
      <c r="DUM20" t="s">
        <v>6984</v>
      </c>
      <c r="DUN20" t="s">
        <v>6984</v>
      </c>
      <c r="DUO20" t="s">
        <v>6984</v>
      </c>
      <c r="DUP20" t="s">
        <v>6984</v>
      </c>
      <c r="DUQ20" t="s">
        <v>6984</v>
      </c>
      <c r="DUR20" t="s">
        <v>6984</v>
      </c>
      <c r="DUS20" t="s">
        <v>6984</v>
      </c>
      <c r="DUT20" t="s">
        <v>6984</v>
      </c>
      <c r="DUU20" t="s">
        <v>6984</v>
      </c>
      <c r="DUV20" t="s">
        <v>6984</v>
      </c>
      <c r="DUW20" t="s">
        <v>6984</v>
      </c>
      <c r="DUX20" t="s">
        <v>6984</v>
      </c>
      <c r="DUY20" t="s">
        <v>6984</v>
      </c>
      <c r="DUZ20" t="s">
        <v>6984</v>
      </c>
      <c r="DVA20" t="s">
        <v>6984</v>
      </c>
      <c r="DVB20" t="s">
        <v>6984</v>
      </c>
      <c r="DVC20" t="s">
        <v>6984</v>
      </c>
      <c r="DVD20" t="s">
        <v>6984</v>
      </c>
      <c r="DVE20" t="s">
        <v>6984</v>
      </c>
      <c r="DVF20" t="s">
        <v>6984</v>
      </c>
      <c r="DVG20" t="s">
        <v>6984</v>
      </c>
      <c r="DVH20" t="s">
        <v>6984</v>
      </c>
      <c r="DVI20" t="s">
        <v>6984</v>
      </c>
      <c r="DVJ20" t="s">
        <v>6984</v>
      </c>
      <c r="DVK20" t="s">
        <v>6984</v>
      </c>
      <c r="DVL20" t="s">
        <v>6984</v>
      </c>
      <c r="DVM20" t="s">
        <v>6984</v>
      </c>
      <c r="DVN20" t="s">
        <v>6984</v>
      </c>
      <c r="DVO20" t="s">
        <v>6984</v>
      </c>
      <c r="DVP20" t="s">
        <v>6984</v>
      </c>
      <c r="DVQ20" t="s">
        <v>6984</v>
      </c>
      <c r="DVR20" t="s">
        <v>6984</v>
      </c>
      <c r="DVS20" t="s">
        <v>6984</v>
      </c>
      <c r="DVT20" t="s">
        <v>6984</v>
      </c>
      <c r="DVU20" t="s">
        <v>6984</v>
      </c>
      <c r="DVV20" t="s">
        <v>6984</v>
      </c>
      <c r="DVW20" t="s">
        <v>6984</v>
      </c>
      <c r="DVX20" t="s">
        <v>6984</v>
      </c>
      <c r="DVY20" t="s">
        <v>6984</v>
      </c>
      <c r="DVZ20" t="s">
        <v>6984</v>
      </c>
      <c r="DWA20" t="s">
        <v>6984</v>
      </c>
      <c r="DWB20" t="s">
        <v>6984</v>
      </c>
      <c r="DWC20" t="s">
        <v>6984</v>
      </c>
      <c r="DWD20" t="s">
        <v>6984</v>
      </c>
      <c r="DWE20" t="s">
        <v>6984</v>
      </c>
      <c r="DWF20" t="s">
        <v>6984</v>
      </c>
      <c r="DWG20" t="s">
        <v>6984</v>
      </c>
      <c r="DWH20" t="s">
        <v>6984</v>
      </c>
      <c r="DWI20" t="s">
        <v>6984</v>
      </c>
      <c r="DWJ20" t="s">
        <v>6984</v>
      </c>
      <c r="DWK20" t="s">
        <v>6984</v>
      </c>
      <c r="DWL20" t="s">
        <v>6984</v>
      </c>
      <c r="DWM20" t="s">
        <v>6984</v>
      </c>
      <c r="DWN20" t="s">
        <v>6984</v>
      </c>
      <c r="DWO20" t="s">
        <v>6984</v>
      </c>
      <c r="DWP20" t="s">
        <v>6984</v>
      </c>
      <c r="DWQ20" t="s">
        <v>6984</v>
      </c>
      <c r="DWR20" t="s">
        <v>6984</v>
      </c>
      <c r="DWS20" t="s">
        <v>6984</v>
      </c>
      <c r="DWT20" t="s">
        <v>6984</v>
      </c>
      <c r="DWU20" t="s">
        <v>6984</v>
      </c>
      <c r="DWV20" t="s">
        <v>6984</v>
      </c>
      <c r="DWW20" t="s">
        <v>6984</v>
      </c>
      <c r="DWX20" t="s">
        <v>6984</v>
      </c>
      <c r="DWY20" t="s">
        <v>6984</v>
      </c>
      <c r="DWZ20" t="s">
        <v>6984</v>
      </c>
      <c r="DXA20" t="s">
        <v>6984</v>
      </c>
      <c r="DXB20" t="s">
        <v>6984</v>
      </c>
      <c r="DXC20" t="s">
        <v>6984</v>
      </c>
      <c r="DXD20" t="s">
        <v>6984</v>
      </c>
      <c r="DXE20" t="s">
        <v>6984</v>
      </c>
      <c r="DXF20" t="s">
        <v>6984</v>
      </c>
      <c r="DXG20" t="s">
        <v>6984</v>
      </c>
      <c r="DXH20" t="s">
        <v>6984</v>
      </c>
      <c r="DXI20" t="s">
        <v>6984</v>
      </c>
      <c r="DXJ20" t="s">
        <v>6984</v>
      </c>
      <c r="DXK20" t="s">
        <v>6984</v>
      </c>
      <c r="DXL20" t="s">
        <v>6984</v>
      </c>
      <c r="DXM20" t="s">
        <v>6984</v>
      </c>
      <c r="DXN20" t="s">
        <v>6984</v>
      </c>
      <c r="DXO20" t="s">
        <v>6984</v>
      </c>
      <c r="DXP20" t="s">
        <v>6984</v>
      </c>
      <c r="DXQ20" t="s">
        <v>6984</v>
      </c>
      <c r="DXR20" t="s">
        <v>6984</v>
      </c>
      <c r="DXS20" t="s">
        <v>6984</v>
      </c>
      <c r="DXT20" t="s">
        <v>6984</v>
      </c>
      <c r="DXU20" t="s">
        <v>6984</v>
      </c>
      <c r="DXV20" t="s">
        <v>6984</v>
      </c>
      <c r="DXW20" t="s">
        <v>6984</v>
      </c>
      <c r="DXX20" t="s">
        <v>6984</v>
      </c>
      <c r="DXY20" t="s">
        <v>6984</v>
      </c>
      <c r="DXZ20" t="s">
        <v>6984</v>
      </c>
      <c r="DYA20" t="s">
        <v>6984</v>
      </c>
      <c r="DYB20" t="s">
        <v>6984</v>
      </c>
      <c r="DYC20" t="s">
        <v>6984</v>
      </c>
      <c r="DYD20" t="s">
        <v>6984</v>
      </c>
      <c r="DYE20" t="s">
        <v>6984</v>
      </c>
      <c r="DYF20" t="s">
        <v>6984</v>
      </c>
      <c r="DYG20" t="s">
        <v>6984</v>
      </c>
      <c r="DYH20" t="s">
        <v>6984</v>
      </c>
      <c r="DYI20" t="s">
        <v>6984</v>
      </c>
      <c r="DYJ20" t="s">
        <v>6984</v>
      </c>
      <c r="DYK20" t="s">
        <v>6984</v>
      </c>
      <c r="DYL20" t="s">
        <v>6984</v>
      </c>
      <c r="DYM20" t="s">
        <v>6984</v>
      </c>
      <c r="DYN20" t="s">
        <v>6984</v>
      </c>
      <c r="DYO20" t="s">
        <v>6984</v>
      </c>
      <c r="DYP20" t="s">
        <v>6984</v>
      </c>
      <c r="DYQ20" t="s">
        <v>6984</v>
      </c>
      <c r="DYR20" t="s">
        <v>6984</v>
      </c>
      <c r="DYS20" t="s">
        <v>6984</v>
      </c>
      <c r="DYT20" t="s">
        <v>6984</v>
      </c>
      <c r="DYU20" t="s">
        <v>6984</v>
      </c>
      <c r="DYV20" t="s">
        <v>6984</v>
      </c>
      <c r="DYW20" t="s">
        <v>6984</v>
      </c>
      <c r="DYX20" t="s">
        <v>6984</v>
      </c>
      <c r="DYY20" t="s">
        <v>6984</v>
      </c>
      <c r="DYZ20" t="s">
        <v>6984</v>
      </c>
      <c r="DZA20" t="s">
        <v>6984</v>
      </c>
      <c r="DZB20" t="s">
        <v>6984</v>
      </c>
      <c r="DZC20" t="s">
        <v>6984</v>
      </c>
      <c r="DZD20" t="s">
        <v>6984</v>
      </c>
      <c r="DZE20" t="s">
        <v>6984</v>
      </c>
      <c r="DZF20" t="s">
        <v>6984</v>
      </c>
      <c r="DZG20" t="s">
        <v>6984</v>
      </c>
      <c r="DZH20" t="s">
        <v>6984</v>
      </c>
      <c r="DZI20" t="s">
        <v>6984</v>
      </c>
      <c r="DZJ20" t="s">
        <v>6984</v>
      </c>
      <c r="DZK20" t="s">
        <v>6984</v>
      </c>
      <c r="DZL20" t="s">
        <v>6984</v>
      </c>
      <c r="DZM20" t="s">
        <v>6984</v>
      </c>
      <c r="DZN20" t="s">
        <v>6984</v>
      </c>
      <c r="DZO20" t="s">
        <v>6984</v>
      </c>
      <c r="DZP20" t="s">
        <v>6984</v>
      </c>
      <c r="DZQ20" t="s">
        <v>6984</v>
      </c>
      <c r="DZR20" t="s">
        <v>6984</v>
      </c>
      <c r="DZS20" t="s">
        <v>6984</v>
      </c>
      <c r="DZT20" t="s">
        <v>6984</v>
      </c>
      <c r="DZU20" t="s">
        <v>6984</v>
      </c>
      <c r="DZV20" t="s">
        <v>6984</v>
      </c>
      <c r="DZW20" t="s">
        <v>6984</v>
      </c>
      <c r="DZX20" t="s">
        <v>6984</v>
      </c>
      <c r="DZY20" t="s">
        <v>6984</v>
      </c>
      <c r="DZZ20" t="s">
        <v>6984</v>
      </c>
      <c r="EAA20" t="s">
        <v>6984</v>
      </c>
      <c r="EAB20" t="s">
        <v>6984</v>
      </c>
      <c r="EAC20" t="s">
        <v>6984</v>
      </c>
      <c r="EAD20" t="s">
        <v>6984</v>
      </c>
      <c r="EAE20" t="s">
        <v>6984</v>
      </c>
      <c r="EAF20" t="s">
        <v>6984</v>
      </c>
      <c r="EAG20" t="s">
        <v>6984</v>
      </c>
      <c r="EAH20" t="s">
        <v>6984</v>
      </c>
      <c r="EAI20" t="s">
        <v>6984</v>
      </c>
      <c r="EAJ20" t="s">
        <v>6984</v>
      </c>
      <c r="EAK20" t="s">
        <v>6984</v>
      </c>
      <c r="EAL20" t="s">
        <v>6984</v>
      </c>
      <c r="EAM20" t="s">
        <v>6984</v>
      </c>
      <c r="EAN20" t="s">
        <v>6984</v>
      </c>
      <c r="EAO20" t="s">
        <v>6984</v>
      </c>
      <c r="EAP20" t="s">
        <v>6984</v>
      </c>
      <c r="EAQ20" t="s">
        <v>6984</v>
      </c>
      <c r="EAR20" t="s">
        <v>6984</v>
      </c>
      <c r="EAS20" t="s">
        <v>6984</v>
      </c>
      <c r="EAT20" t="s">
        <v>6984</v>
      </c>
      <c r="EAU20" t="s">
        <v>6984</v>
      </c>
      <c r="EAV20" t="s">
        <v>6984</v>
      </c>
      <c r="EAW20" t="s">
        <v>6984</v>
      </c>
      <c r="EAX20" t="s">
        <v>6984</v>
      </c>
      <c r="EAY20" t="s">
        <v>6984</v>
      </c>
      <c r="EAZ20" t="s">
        <v>6984</v>
      </c>
      <c r="EBA20" t="s">
        <v>6984</v>
      </c>
      <c r="EBB20" t="s">
        <v>6984</v>
      </c>
      <c r="EBC20" t="s">
        <v>6984</v>
      </c>
      <c r="EBD20" t="s">
        <v>6984</v>
      </c>
      <c r="EBE20" t="s">
        <v>6984</v>
      </c>
      <c r="EBF20" t="s">
        <v>6984</v>
      </c>
      <c r="EBG20" t="s">
        <v>6984</v>
      </c>
      <c r="EBH20" t="s">
        <v>6984</v>
      </c>
      <c r="EBI20" t="s">
        <v>6984</v>
      </c>
      <c r="EBJ20" t="s">
        <v>6984</v>
      </c>
      <c r="EBK20" t="s">
        <v>6984</v>
      </c>
      <c r="EBL20" t="s">
        <v>6984</v>
      </c>
      <c r="EBM20" t="s">
        <v>6984</v>
      </c>
      <c r="EBN20" t="s">
        <v>6984</v>
      </c>
      <c r="EBO20" t="s">
        <v>6984</v>
      </c>
      <c r="EBP20" t="s">
        <v>6984</v>
      </c>
      <c r="EBQ20" t="s">
        <v>6984</v>
      </c>
      <c r="EBR20" t="s">
        <v>6984</v>
      </c>
      <c r="EBS20" t="s">
        <v>6984</v>
      </c>
      <c r="EBT20" t="s">
        <v>6984</v>
      </c>
      <c r="EBU20" t="s">
        <v>6984</v>
      </c>
      <c r="EBV20" t="s">
        <v>6984</v>
      </c>
      <c r="EBW20" t="s">
        <v>6984</v>
      </c>
      <c r="EBX20" t="s">
        <v>6984</v>
      </c>
      <c r="EBY20" t="s">
        <v>6984</v>
      </c>
      <c r="EBZ20" t="s">
        <v>6984</v>
      </c>
      <c r="ECA20" t="s">
        <v>6984</v>
      </c>
      <c r="ECB20" t="s">
        <v>6984</v>
      </c>
      <c r="ECC20" t="s">
        <v>6984</v>
      </c>
      <c r="ECD20" t="s">
        <v>6984</v>
      </c>
      <c r="ECE20" t="s">
        <v>6984</v>
      </c>
      <c r="ECF20" t="s">
        <v>6984</v>
      </c>
      <c r="ECG20" t="s">
        <v>6984</v>
      </c>
      <c r="ECH20" t="s">
        <v>6984</v>
      </c>
      <c r="ECI20" t="s">
        <v>6984</v>
      </c>
      <c r="ECJ20" t="s">
        <v>6984</v>
      </c>
      <c r="ECK20" t="s">
        <v>6984</v>
      </c>
      <c r="ECL20" t="s">
        <v>6984</v>
      </c>
      <c r="ECM20" t="s">
        <v>6984</v>
      </c>
      <c r="ECN20" t="s">
        <v>6984</v>
      </c>
      <c r="ECO20" t="s">
        <v>6984</v>
      </c>
      <c r="ECP20" t="s">
        <v>6984</v>
      </c>
      <c r="ECQ20" t="s">
        <v>6984</v>
      </c>
      <c r="ECR20" t="s">
        <v>6984</v>
      </c>
      <c r="ECS20" t="s">
        <v>6984</v>
      </c>
      <c r="ECT20" t="s">
        <v>6984</v>
      </c>
      <c r="ECU20" t="s">
        <v>6984</v>
      </c>
      <c r="ECV20" t="s">
        <v>6984</v>
      </c>
      <c r="ECW20" t="s">
        <v>6984</v>
      </c>
      <c r="ECX20" t="s">
        <v>6984</v>
      </c>
      <c r="ECY20" t="s">
        <v>6984</v>
      </c>
      <c r="ECZ20" t="s">
        <v>6984</v>
      </c>
      <c r="EDA20" t="s">
        <v>6984</v>
      </c>
      <c r="EDB20" t="s">
        <v>6984</v>
      </c>
      <c r="EDC20" t="s">
        <v>6984</v>
      </c>
      <c r="EDD20" t="s">
        <v>6984</v>
      </c>
      <c r="EDE20" t="s">
        <v>6984</v>
      </c>
      <c r="EDF20" t="s">
        <v>6984</v>
      </c>
      <c r="EDG20" t="s">
        <v>6984</v>
      </c>
      <c r="EDH20" t="s">
        <v>6984</v>
      </c>
      <c r="EDI20" t="s">
        <v>6984</v>
      </c>
      <c r="EDJ20" t="s">
        <v>6984</v>
      </c>
      <c r="EDK20" t="s">
        <v>6984</v>
      </c>
      <c r="EDL20" t="s">
        <v>6984</v>
      </c>
      <c r="EDM20" t="s">
        <v>6984</v>
      </c>
      <c r="EDN20" t="s">
        <v>6984</v>
      </c>
      <c r="EDO20" t="s">
        <v>6984</v>
      </c>
      <c r="EDP20" t="s">
        <v>6984</v>
      </c>
      <c r="EDQ20" t="s">
        <v>6984</v>
      </c>
      <c r="EDR20" t="s">
        <v>6984</v>
      </c>
      <c r="EDS20" t="s">
        <v>6984</v>
      </c>
      <c r="EDT20" t="s">
        <v>6984</v>
      </c>
      <c r="EDU20" t="s">
        <v>6984</v>
      </c>
      <c r="EDV20" t="s">
        <v>6984</v>
      </c>
      <c r="EDW20" t="s">
        <v>6984</v>
      </c>
      <c r="EDX20" t="s">
        <v>6984</v>
      </c>
      <c r="EDY20" t="s">
        <v>6984</v>
      </c>
      <c r="EDZ20" t="s">
        <v>6984</v>
      </c>
      <c r="EEA20" t="s">
        <v>6984</v>
      </c>
      <c r="EEB20" t="s">
        <v>6984</v>
      </c>
      <c r="EEC20" t="s">
        <v>6984</v>
      </c>
      <c r="EED20" t="s">
        <v>6984</v>
      </c>
      <c r="EEE20" t="s">
        <v>6984</v>
      </c>
      <c r="EEF20" t="s">
        <v>6984</v>
      </c>
      <c r="EEG20" t="s">
        <v>6984</v>
      </c>
      <c r="EEH20" t="s">
        <v>6984</v>
      </c>
      <c r="EEI20" t="s">
        <v>6984</v>
      </c>
      <c r="EEJ20" t="s">
        <v>6984</v>
      </c>
      <c r="EEK20" t="s">
        <v>6984</v>
      </c>
      <c r="EEL20" t="s">
        <v>6984</v>
      </c>
      <c r="EEM20" t="s">
        <v>6984</v>
      </c>
      <c r="EEN20" t="s">
        <v>6984</v>
      </c>
      <c r="EEO20" t="s">
        <v>6984</v>
      </c>
      <c r="EEP20" t="s">
        <v>6984</v>
      </c>
      <c r="EEQ20" t="s">
        <v>6984</v>
      </c>
      <c r="EER20" t="s">
        <v>6984</v>
      </c>
      <c r="EES20" t="s">
        <v>6984</v>
      </c>
      <c r="EET20" t="s">
        <v>6984</v>
      </c>
      <c r="EEU20" t="s">
        <v>6984</v>
      </c>
      <c r="EEV20" t="s">
        <v>6984</v>
      </c>
      <c r="EEW20" t="s">
        <v>6984</v>
      </c>
      <c r="EEX20" t="s">
        <v>6984</v>
      </c>
      <c r="EEY20" t="s">
        <v>6984</v>
      </c>
      <c r="EEZ20" t="s">
        <v>6984</v>
      </c>
      <c r="EFA20" t="s">
        <v>6984</v>
      </c>
      <c r="EFB20" t="s">
        <v>6984</v>
      </c>
      <c r="EFC20" t="s">
        <v>6984</v>
      </c>
      <c r="EFD20" t="s">
        <v>6984</v>
      </c>
      <c r="EFE20" t="s">
        <v>6984</v>
      </c>
      <c r="EFF20" t="s">
        <v>6984</v>
      </c>
      <c r="EFG20" t="s">
        <v>6984</v>
      </c>
      <c r="EFH20" t="s">
        <v>6984</v>
      </c>
      <c r="EFI20" t="s">
        <v>6984</v>
      </c>
      <c r="EFJ20" t="s">
        <v>6984</v>
      </c>
      <c r="EFK20" t="s">
        <v>6984</v>
      </c>
      <c r="EFL20" t="s">
        <v>6984</v>
      </c>
      <c r="EFM20" t="s">
        <v>6984</v>
      </c>
      <c r="EFN20" t="s">
        <v>6984</v>
      </c>
      <c r="EFO20" t="s">
        <v>6984</v>
      </c>
      <c r="EFP20" t="s">
        <v>6984</v>
      </c>
      <c r="EFQ20" t="s">
        <v>6984</v>
      </c>
      <c r="EFR20" t="s">
        <v>6984</v>
      </c>
      <c r="EFS20" t="s">
        <v>6984</v>
      </c>
      <c r="EFT20" t="s">
        <v>6984</v>
      </c>
      <c r="EFU20" t="s">
        <v>6984</v>
      </c>
      <c r="EFV20" t="s">
        <v>6984</v>
      </c>
      <c r="EFW20" t="s">
        <v>6984</v>
      </c>
      <c r="EFX20" t="s">
        <v>6984</v>
      </c>
      <c r="EFY20" t="s">
        <v>6984</v>
      </c>
      <c r="EFZ20" t="s">
        <v>6984</v>
      </c>
      <c r="EGA20" t="s">
        <v>6984</v>
      </c>
      <c r="EGB20" t="s">
        <v>6984</v>
      </c>
      <c r="EGC20" t="s">
        <v>6984</v>
      </c>
      <c r="EGD20" t="s">
        <v>6984</v>
      </c>
      <c r="EGE20" t="s">
        <v>6984</v>
      </c>
      <c r="EGF20" t="s">
        <v>6984</v>
      </c>
      <c r="EGG20" t="s">
        <v>6984</v>
      </c>
      <c r="EGH20" t="s">
        <v>6984</v>
      </c>
      <c r="EGI20" t="s">
        <v>6984</v>
      </c>
      <c r="EGJ20" t="s">
        <v>6984</v>
      </c>
      <c r="EGK20" t="s">
        <v>6984</v>
      </c>
      <c r="EGL20" t="s">
        <v>6984</v>
      </c>
      <c r="EGM20" t="s">
        <v>6984</v>
      </c>
      <c r="EGN20" t="s">
        <v>6984</v>
      </c>
      <c r="EGO20" t="s">
        <v>6984</v>
      </c>
      <c r="EGP20" t="s">
        <v>6984</v>
      </c>
      <c r="EGQ20" t="s">
        <v>6984</v>
      </c>
      <c r="EGR20" t="s">
        <v>6984</v>
      </c>
      <c r="EGS20" t="s">
        <v>6984</v>
      </c>
      <c r="EGT20" t="s">
        <v>6984</v>
      </c>
      <c r="EGU20" t="s">
        <v>6984</v>
      </c>
      <c r="EGV20" t="s">
        <v>6984</v>
      </c>
      <c r="EGW20" t="s">
        <v>6984</v>
      </c>
      <c r="EGX20" t="s">
        <v>6984</v>
      </c>
      <c r="EGY20" t="s">
        <v>6984</v>
      </c>
      <c r="EGZ20" t="s">
        <v>6984</v>
      </c>
      <c r="EHA20" t="s">
        <v>6984</v>
      </c>
      <c r="EHB20" t="s">
        <v>6984</v>
      </c>
      <c r="EHC20" t="s">
        <v>6984</v>
      </c>
      <c r="EHD20" t="s">
        <v>6984</v>
      </c>
      <c r="EHE20" t="s">
        <v>6984</v>
      </c>
      <c r="EHF20" t="s">
        <v>6984</v>
      </c>
      <c r="EHG20" t="s">
        <v>6984</v>
      </c>
      <c r="EHH20" t="s">
        <v>6984</v>
      </c>
      <c r="EHI20" t="s">
        <v>6984</v>
      </c>
      <c r="EHJ20" t="s">
        <v>6984</v>
      </c>
      <c r="EHK20" t="s">
        <v>6984</v>
      </c>
      <c r="EHL20" t="s">
        <v>6984</v>
      </c>
      <c r="EHM20" t="s">
        <v>6984</v>
      </c>
      <c r="EHN20" t="s">
        <v>6984</v>
      </c>
      <c r="EHO20" t="s">
        <v>6984</v>
      </c>
      <c r="EHP20" t="s">
        <v>6984</v>
      </c>
      <c r="EHQ20" t="s">
        <v>6984</v>
      </c>
      <c r="EHR20" t="s">
        <v>6984</v>
      </c>
      <c r="EHS20" t="s">
        <v>6984</v>
      </c>
      <c r="EHT20" t="s">
        <v>6984</v>
      </c>
      <c r="EHU20" t="s">
        <v>6984</v>
      </c>
      <c r="EHV20" t="s">
        <v>6984</v>
      </c>
      <c r="EHW20" t="s">
        <v>6984</v>
      </c>
      <c r="EHX20" t="s">
        <v>6984</v>
      </c>
      <c r="EHY20" t="s">
        <v>6984</v>
      </c>
      <c r="EHZ20" t="s">
        <v>6984</v>
      </c>
      <c r="EIA20" t="s">
        <v>6984</v>
      </c>
      <c r="EIB20" t="s">
        <v>6984</v>
      </c>
      <c r="EIC20" t="s">
        <v>6984</v>
      </c>
      <c r="EID20" t="s">
        <v>6984</v>
      </c>
      <c r="EIE20" t="s">
        <v>6984</v>
      </c>
      <c r="EIF20" t="s">
        <v>6984</v>
      </c>
      <c r="EIG20" t="s">
        <v>6984</v>
      </c>
      <c r="EIH20" t="s">
        <v>6984</v>
      </c>
      <c r="EII20" t="s">
        <v>6984</v>
      </c>
      <c r="EIJ20" t="s">
        <v>6984</v>
      </c>
      <c r="EIK20" t="s">
        <v>6984</v>
      </c>
      <c r="EIL20" t="s">
        <v>6984</v>
      </c>
      <c r="EIM20" t="s">
        <v>6984</v>
      </c>
      <c r="EIN20" t="s">
        <v>6984</v>
      </c>
      <c r="EIO20" t="s">
        <v>6984</v>
      </c>
      <c r="EIP20" t="s">
        <v>6984</v>
      </c>
      <c r="EIQ20" t="s">
        <v>6984</v>
      </c>
      <c r="EIR20" t="s">
        <v>6984</v>
      </c>
      <c r="EIS20" t="s">
        <v>6984</v>
      </c>
      <c r="EIT20" t="s">
        <v>6984</v>
      </c>
      <c r="EIU20" t="s">
        <v>6984</v>
      </c>
      <c r="EIV20" t="s">
        <v>6984</v>
      </c>
      <c r="EIW20" t="s">
        <v>6984</v>
      </c>
      <c r="EIX20" t="s">
        <v>6984</v>
      </c>
      <c r="EIY20" t="s">
        <v>6984</v>
      </c>
      <c r="EIZ20" t="s">
        <v>6984</v>
      </c>
      <c r="EJA20" t="s">
        <v>6984</v>
      </c>
      <c r="EJB20" t="s">
        <v>6984</v>
      </c>
      <c r="EJC20" t="s">
        <v>6984</v>
      </c>
      <c r="EJD20" t="s">
        <v>6984</v>
      </c>
      <c r="EJE20" t="s">
        <v>6984</v>
      </c>
      <c r="EJF20" t="s">
        <v>6984</v>
      </c>
      <c r="EJG20" t="s">
        <v>6984</v>
      </c>
      <c r="EJH20" t="s">
        <v>6984</v>
      </c>
      <c r="EJI20" t="s">
        <v>6984</v>
      </c>
      <c r="EJJ20" t="s">
        <v>6984</v>
      </c>
      <c r="EJK20" t="s">
        <v>6984</v>
      </c>
      <c r="EJL20" t="s">
        <v>6984</v>
      </c>
      <c r="EJM20" t="s">
        <v>6984</v>
      </c>
      <c r="EJN20" t="s">
        <v>6984</v>
      </c>
      <c r="EJO20" t="s">
        <v>6984</v>
      </c>
      <c r="EJP20" t="s">
        <v>6984</v>
      </c>
      <c r="EJQ20" t="s">
        <v>6984</v>
      </c>
      <c r="EJR20" t="s">
        <v>6984</v>
      </c>
      <c r="EJS20" t="s">
        <v>6984</v>
      </c>
      <c r="EJT20" t="s">
        <v>6984</v>
      </c>
      <c r="EJU20" t="s">
        <v>6984</v>
      </c>
      <c r="EJV20" t="s">
        <v>6984</v>
      </c>
      <c r="EJW20" t="s">
        <v>6984</v>
      </c>
      <c r="EJX20" t="s">
        <v>6984</v>
      </c>
      <c r="EJY20" t="s">
        <v>6984</v>
      </c>
      <c r="EJZ20" t="s">
        <v>6984</v>
      </c>
      <c r="EKA20" t="s">
        <v>6984</v>
      </c>
      <c r="EKB20" t="s">
        <v>6984</v>
      </c>
      <c r="EKC20" t="s">
        <v>6984</v>
      </c>
      <c r="EKD20" t="s">
        <v>6984</v>
      </c>
      <c r="EKE20" t="s">
        <v>6984</v>
      </c>
      <c r="EKF20" t="s">
        <v>6984</v>
      </c>
      <c r="EKG20" t="s">
        <v>6984</v>
      </c>
      <c r="EKH20" t="s">
        <v>6984</v>
      </c>
      <c r="EKI20" t="s">
        <v>6984</v>
      </c>
      <c r="EKJ20" t="s">
        <v>6984</v>
      </c>
      <c r="EKK20" t="s">
        <v>6984</v>
      </c>
      <c r="EKL20" t="s">
        <v>6984</v>
      </c>
      <c r="EKM20" t="s">
        <v>6984</v>
      </c>
      <c r="EKN20" t="s">
        <v>6984</v>
      </c>
      <c r="EKO20" t="s">
        <v>6984</v>
      </c>
      <c r="EKP20" t="s">
        <v>6984</v>
      </c>
      <c r="EKQ20" t="s">
        <v>6984</v>
      </c>
      <c r="EKR20" t="s">
        <v>6984</v>
      </c>
      <c r="EKS20" t="s">
        <v>6984</v>
      </c>
      <c r="EKT20" t="s">
        <v>6984</v>
      </c>
      <c r="EKU20" t="s">
        <v>6984</v>
      </c>
      <c r="EKV20" t="s">
        <v>6984</v>
      </c>
      <c r="EKW20" t="s">
        <v>6984</v>
      </c>
      <c r="EKX20" t="s">
        <v>6984</v>
      </c>
      <c r="EKY20" t="s">
        <v>6984</v>
      </c>
      <c r="EKZ20" t="s">
        <v>6984</v>
      </c>
      <c r="ELA20" t="s">
        <v>6984</v>
      </c>
      <c r="ELB20" t="s">
        <v>6984</v>
      </c>
      <c r="ELC20" t="s">
        <v>6984</v>
      </c>
      <c r="ELD20" t="s">
        <v>6984</v>
      </c>
      <c r="ELE20" t="s">
        <v>6984</v>
      </c>
      <c r="ELF20" t="s">
        <v>6984</v>
      </c>
      <c r="ELG20" t="s">
        <v>6984</v>
      </c>
      <c r="ELH20" t="s">
        <v>6984</v>
      </c>
      <c r="ELI20" t="s">
        <v>6984</v>
      </c>
      <c r="ELJ20" t="s">
        <v>6984</v>
      </c>
      <c r="ELK20" t="s">
        <v>6984</v>
      </c>
      <c r="ELL20" t="s">
        <v>6984</v>
      </c>
      <c r="ELM20" t="s">
        <v>6984</v>
      </c>
      <c r="ELN20" t="s">
        <v>6984</v>
      </c>
      <c r="ELO20" t="s">
        <v>6984</v>
      </c>
      <c r="ELP20" t="s">
        <v>6984</v>
      </c>
      <c r="ELQ20" t="s">
        <v>6984</v>
      </c>
      <c r="ELR20" t="s">
        <v>6984</v>
      </c>
      <c r="ELS20" t="s">
        <v>6984</v>
      </c>
      <c r="ELT20" t="s">
        <v>6984</v>
      </c>
      <c r="ELU20" t="s">
        <v>6984</v>
      </c>
      <c r="ELV20" t="s">
        <v>6984</v>
      </c>
      <c r="ELW20" t="s">
        <v>6984</v>
      </c>
      <c r="ELX20" t="s">
        <v>6984</v>
      </c>
      <c r="ELY20" t="s">
        <v>6984</v>
      </c>
      <c r="ELZ20" t="s">
        <v>6984</v>
      </c>
      <c r="EMA20" t="s">
        <v>6984</v>
      </c>
      <c r="EMB20" t="s">
        <v>6984</v>
      </c>
      <c r="EMC20" t="s">
        <v>6984</v>
      </c>
      <c r="EMD20" t="s">
        <v>6984</v>
      </c>
      <c r="EME20" t="s">
        <v>6984</v>
      </c>
      <c r="EMF20" t="s">
        <v>6984</v>
      </c>
      <c r="EMG20" t="s">
        <v>6984</v>
      </c>
      <c r="EMH20" t="s">
        <v>6984</v>
      </c>
      <c r="EMI20" t="s">
        <v>6984</v>
      </c>
      <c r="EMJ20" t="s">
        <v>6984</v>
      </c>
      <c r="EMK20" t="s">
        <v>6984</v>
      </c>
      <c r="EML20" t="s">
        <v>6984</v>
      </c>
      <c r="EMM20" t="s">
        <v>6984</v>
      </c>
      <c r="EMN20" t="s">
        <v>6984</v>
      </c>
      <c r="EMO20" t="s">
        <v>6984</v>
      </c>
      <c r="EMP20" t="s">
        <v>6984</v>
      </c>
      <c r="EMQ20" t="s">
        <v>6984</v>
      </c>
      <c r="EMR20" t="s">
        <v>6984</v>
      </c>
      <c r="EMS20" t="s">
        <v>6984</v>
      </c>
      <c r="EMT20" t="s">
        <v>6984</v>
      </c>
      <c r="EMU20" t="s">
        <v>6984</v>
      </c>
      <c r="EMV20" t="s">
        <v>6984</v>
      </c>
      <c r="EMW20" t="s">
        <v>6984</v>
      </c>
      <c r="EMX20" t="s">
        <v>6984</v>
      </c>
      <c r="EMY20" t="s">
        <v>6984</v>
      </c>
      <c r="EMZ20" t="s">
        <v>6984</v>
      </c>
      <c r="ENA20" t="s">
        <v>6984</v>
      </c>
      <c r="ENB20" t="s">
        <v>6984</v>
      </c>
      <c r="ENC20" t="s">
        <v>6984</v>
      </c>
      <c r="END20" t="s">
        <v>6984</v>
      </c>
      <c r="ENE20" t="s">
        <v>6984</v>
      </c>
      <c r="ENF20" t="s">
        <v>6984</v>
      </c>
      <c r="ENG20" t="s">
        <v>6984</v>
      </c>
      <c r="ENH20" t="s">
        <v>6984</v>
      </c>
      <c r="ENI20" t="s">
        <v>6984</v>
      </c>
      <c r="ENJ20" t="s">
        <v>6984</v>
      </c>
      <c r="ENK20" t="s">
        <v>6984</v>
      </c>
      <c r="ENL20" t="s">
        <v>6984</v>
      </c>
      <c r="ENM20" t="s">
        <v>6984</v>
      </c>
      <c r="ENN20" t="s">
        <v>6984</v>
      </c>
      <c r="ENO20" t="s">
        <v>6984</v>
      </c>
      <c r="ENP20" t="s">
        <v>6984</v>
      </c>
      <c r="ENQ20" t="s">
        <v>6984</v>
      </c>
      <c r="ENR20" t="s">
        <v>6984</v>
      </c>
      <c r="ENS20" t="s">
        <v>6984</v>
      </c>
      <c r="ENT20" t="s">
        <v>6984</v>
      </c>
      <c r="ENU20" t="s">
        <v>6984</v>
      </c>
      <c r="ENV20" t="s">
        <v>6984</v>
      </c>
      <c r="ENW20" t="s">
        <v>6984</v>
      </c>
      <c r="ENX20" t="s">
        <v>6984</v>
      </c>
      <c r="ENY20" t="s">
        <v>6984</v>
      </c>
      <c r="ENZ20" t="s">
        <v>6984</v>
      </c>
      <c r="EOA20" t="s">
        <v>6984</v>
      </c>
      <c r="EOB20" t="s">
        <v>6984</v>
      </c>
      <c r="EOC20" t="s">
        <v>6984</v>
      </c>
      <c r="EOD20" t="s">
        <v>6984</v>
      </c>
      <c r="EOE20" t="s">
        <v>6984</v>
      </c>
      <c r="EOF20" t="s">
        <v>6984</v>
      </c>
      <c r="EOG20" t="s">
        <v>6984</v>
      </c>
      <c r="EOH20" t="s">
        <v>6984</v>
      </c>
      <c r="EOI20" t="s">
        <v>6984</v>
      </c>
      <c r="EOJ20" t="s">
        <v>6984</v>
      </c>
      <c r="EOK20" t="s">
        <v>6984</v>
      </c>
      <c r="EOL20" t="s">
        <v>6984</v>
      </c>
      <c r="EOM20" t="s">
        <v>6984</v>
      </c>
      <c r="EON20" t="s">
        <v>6984</v>
      </c>
      <c r="EOO20" t="s">
        <v>6984</v>
      </c>
      <c r="EOP20" t="s">
        <v>6984</v>
      </c>
      <c r="EOQ20" t="s">
        <v>6984</v>
      </c>
      <c r="EOR20" t="s">
        <v>6984</v>
      </c>
      <c r="EOS20" t="s">
        <v>6984</v>
      </c>
      <c r="EOT20" t="s">
        <v>6984</v>
      </c>
      <c r="EOU20" t="s">
        <v>6984</v>
      </c>
      <c r="EOV20" t="s">
        <v>6984</v>
      </c>
      <c r="EOW20" t="s">
        <v>6984</v>
      </c>
      <c r="EOX20" t="s">
        <v>6984</v>
      </c>
      <c r="EOY20" t="s">
        <v>6984</v>
      </c>
      <c r="EOZ20" t="s">
        <v>6984</v>
      </c>
      <c r="EPA20" t="s">
        <v>6984</v>
      </c>
      <c r="EPB20" t="s">
        <v>6984</v>
      </c>
      <c r="EPC20" t="s">
        <v>6984</v>
      </c>
      <c r="EPD20" t="s">
        <v>6984</v>
      </c>
      <c r="EPE20" t="s">
        <v>6984</v>
      </c>
      <c r="EPF20" t="s">
        <v>6984</v>
      </c>
      <c r="EPG20" t="s">
        <v>6984</v>
      </c>
      <c r="EPH20" t="s">
        <v>6984</v>
      </c>
      <c r="EPI20" t="s">
        <v>6984</v>
      </c>
      <c r="EPJ20" t="s">
        <v>6984</v>
      </c>
      <c r="EPK20" t="s">
        <v>6984</v>
      </c>
      <c r="EPL20" t="s">
        <v>6984</v>
      </c>
      <c r="EPM20" t="s">
        <v>6984</v>
      </c>
      <c r="EPN20" t="s">
        <v>6984</v>
      </c>
      <c r="EPO20" t="s">
        <v>6984</v>
      </c>
      <c r="EPP20" t="s">
        <v>6984</v>
      </c>
      <c r="EPQ20" t="s">
        <v>6984</v>
      </c>
      <c r="EPR20" t="s">
        <v>6984</v>
      </c>
      <c r="EPS20" t="s">
        <v>6984</v>
      </c>
      <c r="EPT20" t="s">
        <v>6984</v>
      </c>
      <c r="EPU20" t="s">
        <v>6984</v>
      </c>
      <c r="EPV20" t="s">
        <v>6984</v>
      </c>
      <c r="EPW20" t="s">
        <v>6984</v>
      </c>
      <c r="EPX20" t="s">
        <v>6984</v>
      </c>
      <c r="EPY20" t="s">
        <v>6984</v>
      </c>
      <c r="EPZ20" t="s">
        <v>6984</v>
      </c>
      <c r="EQA20" t="s">
        <v>6984</v>
      </c>
      <c r="EQB20" t="s">
        <v>6984</v>
      </c>
      <c r="EQC20" t="s">
        <v>6984</v>
      </c>
      <c r="EQD20" t="s">
        <v>6984</v>
      </c>
      <c r="EQE20" t="s">
        <v>6984</v>
      </c>
      <c r="EQF20" t="s">
        <v>6984</v>
      </c>
      <c r="EQG20" t="s">
        <v>6984</v>
      </c>
      <c r="EQH20" t="s">
        <v>6984</v>
      </c>
      <c r="EQI20" t="s">
        <v>6984</v>
      </c>
      <c r="EQJ20" t="s">
        <v>6984</v>
      </c>
      <c r="EQK20" t="s">
        <v>6984</v>
      </c>
      <c r="EQL20" t="s">
        <v>6984</v>
      </c>
      <c r="EQM20" t="s">
        <v>6984</v>
      </c>
      <c r="EQN20" t="s">
        <v>6984</v>
      </c>
      <c r="EQO20" t="s">
        <v>6984</v>
      </c>
      <c r="EQP20" t="s">
        <v>6984</v>
      </c>
      <c r="EQQ20" t="s">
        <v>6984</v>
      </c>
      <c r="EQR20" t="s">
        <v>6984</v>
      </c>
      <c r="EQS20" t="s">
        <v>6984</v>
      </c>
      <c r="EQT20" t="s">
        <v>6984</v>
      </c>
      <c r="EQU20" t="s">
        <v>6984</v>
      </c>
      <c r="EQV20" t="s">
        <v>6984</v>
      </c>
      <c r="EQW20" t="s">
        <v>6984</v>
      </c>
      <c r="EQX20" t="s">
        <v>6984</v>
      </c>
      <c r="EQY20" t="s">
        <v>6984</v>
      </c>
      <c r="EQZ20" t="s">
        <v>6984</v>
      </c>
      <c r="ERA20" t="s">
        <v>6984</v>
      </c>
      <c r="ERB20" t="s">
        <v>6984</v>
      </c>
      <c r="ERC20" t="s">
        <v>6984</v>
      </c>
      <c r="ERD20" t="s">
        <v>6984</v>
      </c>
      <c r="ERE20" t="s">
        <v>6984</v>
      </c>
      <c r="ERF20" t="s">
        <v>6984</v>
      </c>
      <c r="ERG20" t="s">
        <v>6984</v>
      </c>
      <c r="ERH20" t="s">
        <v>6984</v>
      </c>
      <c r="ERI20" t="s">
        <v>6984</v>
      </c>
      <c r="ERJ20" t="s">
        <v>6984</v>
      </c>
      <c r="ERK20" t="s">
        <v>6984</v>
      </c>
      <c r="ERL20" t="s">
        <v>6984</v>
      </c>
      <c r="ERM20" t="s">
        <v>6984</v>
      </c>
      <c r="ERN20" t="s">
        <v>6984</v>
      </c>
      <c r="ERO20" t="s">
        <v>6984</v>
      </c>
      <c r="ERP20" t="s">
        <v>6984</v>
      </c>
      <c r="ERQ20" t="s">
        <v>6984</v>
      </c>
      <c r="ERR20" t="s">
        <v>6984</v>
      </c>
      <c r="ERS20" t="s">
        <v>6984</v>
      </c>
      <c r="ERT20" t="s">
        <v>6984</v>
      </c>
      <c r="ERU20" t="s">
        <v>6984</v>
      </c>
      <c r="ERV20" t="s">
        <v>6984</v>
      </c>
      <c r="ERW20" t="s">
        <v>6984</v>
      </c>
      <c r="ERX20" t="s">
        <v>6984</v>
      </c>
      <c r="ERY20" t="s">
        <v>6984</v>
      </c>
      <c r="ERZ20" t="s">
        <v>6984</v>
      </c>
      <c r="ESA20" t="s">
        <v>6984</v>
      </c>
      <c r="ESB20" t="s">
        <v>6984</v>
      </c>
      <c r="ESC20" t="s">
        <v>6984</v>
      </c>
      <c r="ESD20" t="s">
        <v>6984</v>
      </c>
      <c r="ESE20" t="s">
        <v>6984</v>
      </c>
      <c r="ESF20" t="s">
        <v>6984</v>
      </c>
      <c r="ESG20" t="s">
        <v>6984</v>
      </c>
      <c r="ESH20" t="s">
        <v>6984</v>
      </c>
      <c r="ESI20" t="s">
        <v>6984</v>
      </c>
      <c r="ESJ20" t="s">
        <v>6984</v>
      </c>
      <c r="ESK20" t="s">
        <v>6984</v>
      </c>
      <c r="ESL20" t="s">
        <v>6984</v>
      </c>
      <c r="ESM20" t="s">
        <v>6984</v>
      </c>
      <c r="ESN20" t="s">
        <v>6984</v>
      </c>
      <c r="ESO20" t="s">
        <v>6984</v>
      </c>
      <c r="ESP20" t="s">
        <v>6984</v>
      </c>
      <c r="ESQ20" t="s">
        <v>6984</v>
      </c>
      <c r="ESR20" t="s">
        <v>6984</v>
      </c>
      <c r="ESS20" t="s">
        <v>6984</v>
      </c>
      <c r="EST20" t="s">
        <v>6984</v>
      </c>
      <c r="ESU20" t="s">
        <v>6984</v>
      </c>
      <c r="ESV20" t="s">
        <v>6984</v>
      </c>
      <c r="ESW20" t="s">
        <v>6984</v>
      </c>
      <c r="ESX20" t="s">
        <v>6984</v>
      </c>
      <c r="ESY20" t="s">
        <v>6984</v>
      </c>
      <c r="ESZ20" t="s">
        <v>6984</v>
      </c>
      <c r="ETA20" t="s">
        <v>6984</v>
      </c>
      <c r="ETB20" t="s">
        <v>6984</v>
      </c>
      <c r="ETC20" t="s">
        <v>6984</v>
      </c>
      <c r="ETD20" t="s">
        <v>6984</v>
      </c>
      <c r="ETE20" t="s">
        <v>6984</v>
      </c>
      <c r="ETF20" t="s">
        <v>6984</v>
      </c>
      <c r="ETG20" t="s">
        <v>6984</v>
      </c>
      <c r="ETH20" t="s">
        <v>6984</v>
      </c>
      <c r="ETI20" t="s">
        <v>6984</v>
      </c>
      <c r="ETJ20" t="s">
        <v>6984</v>
      </c>
      <c r="ETK20" t="s">
        <v>6984</v>
      </c>
      <c r="ETL20" t="s">
        <v>6984</v>
      </c>
      <c r="ETM20" t="s">
        <v>6984</v>
      </c>
      <c r="ETN20" t="s">
        <v>6984</v>
      </c>
      <c r="ETO20" t="s">
        <v>6984</v>
      </c>
      <c r="ETP20" t="s">
        <v>6984</v>
      </c>
      <c r="ETQ20" t="s">
        <v>6984</v>
      </c>
      <c r="ETR20" t="s">
        <v>6984</v>
      </c>
      <c r="ETS20" t="s">
        <v>6984</v>
      </c>
      <c r="ETT20" t="s">
        <v>6984</v>
      </c>
      <c r="ETU20" t="s">
        <v>6984</v>
      </c>
      <c r="ETV20" t="s">
        <v>6984</v>
      </c>
      <c r="ETW20" t="s">
        <v>6984</v>
      </c>
      <c r="ETX20" t="s">
        <v>6984</v>
      </c>
      <c r="ETY20" t="s">
        <v>6984</v>
      </c>
      <c r="ETZ20" t="s">
        <v>6984</v>
      </c>
      <c r="EUA20" t="s">
        <v>6984</v>
      </c>
      <c r="EUB20" t="s">
        <v>6984</v>
      </c>
      <c r="EUC20" t="s">
        <v>6984</v>
      </c>
      <c r="EUD20" t="s">
        <v>6984</v>
      </c>
      <c r="EUE20" t="s">
        <v>6984</v>
      </c>
      <c r="EUF20" t="s">
        <v>6984</v>
      </c>
      <c r="EUG20" t="s">
        <v>6984</v>
      </c>
      <c r="EUH20" t="s">
        <v>6984</v>
      </c>
      <c r="EUI20" t="s">
        <v>6984</v>
      </c>
      <c r="EUJ20" t="s">
        <v>6984</v>
      </c>
      <c r="EUK20" t="s">
        <v>6984</v>
      </c>
      <c r="EUL20" t="s">
        <v>6984</v>
      </c>
      <c r="EUM20" t="s">
        <v>6984</v>
      </c>
      <c r="EUN20" t="s">
        <v>6984</v>
      </c>
      <c r="EUO20" t="s">
        <v>6984</v>
      </c>
      <c r="EUP20" t="s">
        <v>6984</v>
      </c>
      <c r="EUQ20" t="s">
        <v>6984</v>
      </c>
      <c r="EUR20" t="s">
        <v>6984</v>
      </c>
      <c r="EUS20" t="s">
        <v>6984</v>
      </c>
      <c r="EUT20" t="s">
        <v>6984</v>
      </c>
      <c r="EUU20" t="s">
        <v>6984</v>
      </c>
      <c r="EUV20" t="s">
        <v>6984</v>
      </c>
      <c r="EUW20" t="s">
        <v>6984</v>
      </c>
      <c r="EUX20" t="s">
        <v>6984</v>
      </c>
      <c r="EUY20" t="s">
        <v>6984</v>
      </c>
      <c r="EUZ20" t="s">
        <v>6984</v>
      </c>
      <c r="EVA20" t="s">
        <v>6984</v>
      </c>
      <c r="EVB20" t="s">
        <v>6984</v>
      </c>
      <c r="EVC20" t="s">
        <v>6984</v>
      </c>
      <c r="EVD20" t="s">
        <v>6984</v>
      </c>
      <c r="EVE20" t="s">
        <v>6984</v>
      </c>
      <c r="EVF20" t="s">
        <v>6984</v>
      </c>
      <c r="EVG20" t="s">
        <v>6984</v>
      </c>
      <c r="EVH20" t="s">
        <v>6984</v>
      </c>
      <c r="EVI20" t="s">
        <v>6984</v>
      </c>
      <c r="EVJ20" t="s">
        <v>6984</v>
      </c>
      <c r="EVK20" t="s">
        <v>6984</v>
      </c>
      <c r="EVL20" t="s">
        <v>6984</v>
      </c>
      <c r="EVM20" t="s">
        <v>6984</v>
      </c>
      <c r="EVN20" t="s">
        <v>6984</v>
      </c>
      <c r="EVO20" t="s">
        <v>6984</v>
      </c>
      <c r="EVP20" t="s">
        <v>6984</v>
      </c>
      <c r="EVQ20" t="s">
        <v>6984</v>
      </c>
      <c r="EVR20" t="s">
        <v>6984</v>
      </c>
      <c r="EVS20" t="s">
        <v>6984</v>
      </c>
      <c r="EVT20" t="s">
        <v>6984</v>
      </c>
      <c r="EVU20" t="s">
        <v>6984</v>
      </c>
      <c r="EVV20" t="s">
        <v>6984</v>
      </c>
      <c r="EVW20" t="s">
        <v>6984</v>
      </c>
      <c r="EVX20" t="s">
        <v>6984</v>
      </c>
      <c r="EVY20" t="s">
        <v>6984</v>
      </c>
      <c r="EVZ20" t="s">
        <v>6984</v>
      </c>
      <c r="EWA20" t="s">
        <v>6984</v>
      </c>
      <c r="EWB20" t="s">
        <v>6984</v>
      </c>
      <c r="EWC20" t="s">
        <v>6984</v>
      </c>
      <c r="EWD20" t="s">
        <v>6984</v>
      </c>
      <c r="EWE20" t="s">
        <v>6984</v>
      </c>
      <c r="EWF20" t="s">
        <v>6984</v>
      </c>
      <c r="EWG20" t="s">
        <v>6984</v>
      </c>
      <c r="EWH20" t="s">
        <v>6984</v>
      </c>
      <c r="EWI20" t="s">
        <v>6984</v>
      </c>
      <c r="EWJ20" t="s">
        <v>6984</v>
      </c>
      <c r="EWK20" t="s">
        <v>6984</v>
      </c>
      <c r="EWL20" t="s">
        <v>6984</v>
      </c>
      <c r="EWM20" t="s">
        <v>6984</v>
      </c>
      <c r="EWN20" t="s">
        <v>6984</v>
      </c>
      <c r="EWO20" t="s">
        <v>6984</v>
      </c>
      <c r="EWP20" t="s">
        <v>6984</v>
      </c>
      <c r="EWQ20" t="s">
        <v>6984</v>
      </c>
      <c r="EWR20" t="s">
        <v>6984</v>
      </c>
      <c r="EWS20" t="s">
        <v>6984</v>
      </c>
      <c r="EWT20" t="s">
        <v>6984</v>
      </c>
      <c r="EWU20" t="s">
        <v>6984</v>
      </c>
      <c r="EWV20" t="s">
        <v>6984</v>
      </c>
      <c r="EWW20" t="s">
        <v>6984</v>
      </c>
      <c r="EWX20" t="s">
        <v>6984</v>
      </c>
      <c r="EWY20" t="s">
        <v>6984</v>
      </c>
      <c r="EWZ20" t="s">
        <v>6984</v>
      </c>
      <c r="EXA20" t="s">
        <v>6984</v>
      </c>
      <c r="EXB20" t="s">
        <v>6984</v>
      </c>
      <c r="EXC20" t="s">
        <v>6984</v>
      </c>
      <c r="EXD20" t="s">
        <v>6984</v>
      </c>
      <c r="EXE20" t="s">
        <v>6984</v>
      </c>
      <c r="EXF20" t="s">
        <v>6984</v>
      </c>
      <c r="EXG20" t="s">
        <v>6984</v>
      </c>
      <c r="EXH20" t="s">
        <v>6984</v>
      </c>
      <c r="EXI20" t="s">
        <v>6984</v>
      </c>
      <c r="EXJ20" t="s">
        <v>6984</v>
      </c>
      <c r="EXK20" t="s">
        <v>6984</v>
      </c>
      <c r="EXL20" t="s">
        <v>6984</v>
      </c>
      <c r="EXM20" t="s">
        <v>6984</v>
      </c>
      <c r="EXN20" t="s">
        <v>6984</v>
      </c>
      <c r="EXO20" t="s">
        <v>6984</v>
      </c>
      <c r="EXP20" t="s">
        <v>6984</v>
      </c>
      <c r="EXQ20" t="s">
        <v>6984</v>
      </c>
      <c r="EXR20" t="s">
        <v>6984</v>
      </c>
      <c r="EXS20" t="s">
        <v>6984</v>
      </c>
      <c r="EXT20" t="s">
        <v>6984</v>
      </c>
      <c r="EXU20" t="s">
        <v>6984</v>
      </c>
      <c r="EXV20" t="s">
        <v>6984</v>
      </c>
      <c r="EXW20" t="s">
        <v>6984</v>
      </c>
      <c r="EXX20" t="s">
        <v>6984</v>
      </c>
      <c r="EXY20" t="s">
        <v>6984</v>
      </c>
      <c r="EXZ20" t="s">
        <v>6984</v>
      </c>
      <c r="EYA20" t="s">
        <v>6984</v>
      </c>
      <c r="EYB20" t="s">
        <v>6984</v>
      </c>
      <c r="EYC20" t="s">
        <v>6984</v>
      </c>
      <c r="EYD20" t="s">
        <v>6984</v>
      </c>
      <c r="EYE20" t="s">
        <v>6984</v>
      </c>
      <c r="EYF20" t="s">
        <v>6984</v>
      </c>
      <c r="EYG20" t="s">
        <v>6984</v>
      </c>
      <c r="EYH20" t="s">
        <v>6984</v>
      </c>
      <c r="EYI20" t="s">
        <v>6984</v>
      </c>
      <c r="EYJ20" t="s">
        <v>6984</v>
      </c>
      <c r="EYK20" t="s">
        <v>6984</v>
      </c>
      <c r="EYL20" t="s">
        <v>6984</v>
      </c>
      <c r="EYM20" t="s">
        <v>6984</v>
      </c>
      <c r="EYN20" t="s">
        <v>6984</v>
      </c>
      <c r="EYO20" t="s">
        <v>6984</v>
      </c>
      <c r="EYP20" t="s">
        <v>6984</v>
      </c>
      <c r="EYQ20" t="s">
        <v>6984</v>
      </c>
      <c r="EYR20" t="s">
        <v>6984</v>
      </c>
      <c r="EYS20" t="s">
        <v>6984</v>
      </c>
      <c r="EYT20" t="s">
        <v>6984</v>
      </c>
      <c r="EYU20" t="s">
        <v>6984</v>
      </c>
      <c r="EYV20" t="s">
        <v>6984</v>
      </c>
      <c r="EYW20" t="s">
        <v>6984</v>
      </c>
      <c r="EYX20" t="s">
        <v>6984</v>
      </c>
      <c r="EYY20" t="s">
        <v>6984</v>
      </c>
      <c r="EYZ20" t="s">
        <v>6984</v>
      </c>
      <c r="EZA20" t="s">
        <v>6984</v>
      </c>
      <c r="EZB20" t="s">
        <v>6984</v>
      </c>
      <c r="EZC20" t="s">
        <v>6984</v>
      </c>
      <c r="EZD20" t="s">
        <v>6984</v>
      </c>
      <c r="EZE20" t="s">
        <v>6984</v>
      </c>
      <c r="EZF20" t="s">
        <v>6984</v>
      </c>
      <c r="EZG20" t="s">
        <v>6984</v>
      </c>
      <c r="EZH20" t="s">
        <v>6984</v>
      </c>
      <c r="EZI20" t="s">
        <v>6984</v>
      </c>
      <c r="EZJ20" t="s">
        <v>6984</v>
      </c>
      <c r="EZK20" t="s">
        <v>6984</v>
      </c>
      <c r="EZL20" t="s">
        <v>6984</v>
      </c>
      <c r="EZM20" t="s">
        <v>6984</v>
      </c>
      <c r="EZN20" t="s">
        <v>6984</v>
      </c>
      <c r="EZO20" t="s">
        <v>6984</v>
      </c>
      <c r="EZP20" t="s">
        <v>6984</v>
      </c>
      <c r="EZQ20" t="s">
        <v>6984</v>
      </c>
      <c r="EZR20" t="s">
        <v>6984</v>
      </c>
      <c r="EZS20" t="s">
        <v>6984</v>
      </c>
      <c r="EZT20" t="s">
        <v>6984</v>
      </c>
      <c r="EZU20" t="s">
        <v>6984</v>
      </c>
      <c r="EZV20" t="s">
        <v>6984</v>
      </c>
      <c r="EZW20" t="s">
        <v>6984</v>
      </c>
      <c r="EZX20" t="s">
        <v>6984</v>
      </c>
      <c r="EZY20" t="s">
        <v>6984</v>
      </c>
      <c r="EZZ20" t="s">
        <v>6984</v>
      </c>
      <c r="FAA20" t="s">
        <v>6984</v>
      </c>
      <c r="FAB20" t="s">
        <v>6984</v>
      </c>
      <c r="FAC20" t="s">
        <v>6984</v>
      </c>
      <c r="FAD20" t="s">
        <v>6984</v>
      </c>
      <c r="FAE20" t="s">
        <v>6984</v>
      </c>
      <c r="FAF20" t="s">
        <v>6984</v>
      </c>
      <c r="FAG20" t="s">
        <v>6984</v>
      </c>
      <c r="FAH20" t="s">
        <v>6984</v>
      </c>
      <c r="FAI20" t="s">
        <v>6984</v>
      </c>
      <c r="FAJ20" t="s">
        <v>6984</v>
      </c>
      <c r="FAK20" t="s">
        <v>6984</v>
      </c>
      <c r="FAL20" t="s">
        <v>6984</v>
      </c>
      <c r="FAM20" t="s">
        <v>6984</v>
      </c>
      <c r="FAN20" t="s">
        <v>6984</v>
      </c>
      <c r="FAO20" t="s">
        <v>6984</v>
      </c>
      <c r="FAP20" t="s">
        <v>6984</v>
      </c>
      <c r="FAQ20" t="s">
        <v>6984</v>
      </c>
      <c r="FAR20" t="s">
        <v>6984</v>
      </c>
      <c r="FAS20" t="s">
        <v>6984</v>
      </c>
      <c r="FAT20" t="s">
        <v>6984</v>
      </c>
      <c r="FAU20" t="s">
        <v>6984</v>
      </c>
      <c r="FAV20" t="s">
        <v>6984</v>
      </c>
      <c r="FAW20" t="s">
        <v>6984</v>
      </c>
      <c r="FAX20" t="s">
        <v>6984</v>
      </c>
      <c r="FAY20" t="s">
        <v>6984</v>
      </c>
      <c r="FAZ20" t="s">
        <v>6984</v>
      </c>
      <c r="FBA20" t="s">
        <v>6984</v>
      </c>
      <c r="FBB20" t="s">
        <v>6984</v>
      </c>
      <c r="FBC20" t="s">
        <v>6984</v>
      </c>
      <c r="FBD20" t="s">
        <v>6984</v>
      </c>
      <c r="FBE20" t="s">
        <v>6984</v>
      </c>
      <c r="FBF20" t="s">
        <v>6984</v>
      </c>
      <c r="FBG20" t="s">
        <v>6984</v>
      </c>
      <c r="FBH20" t="s">
        <v>6984</v>
      </c>
      <c r="FBI20" t="s">
        <v>6984</v>
      </c>
      <c r="FBJ20" t="s">
        <v>6984</v>
      </c>
      <c r="FBK20" t="s">
        <v>6984</v>
      </c>
      <c r="FBL20" t="s">
        <v>6984</v>
      </c>
      <c r="FBM20" t="s">
        <v>6984</v>
      </c>
      <c r="FBN20" t="s">
        <v>6984</v>
      </c>
      <c r="FBO20" t="s">
        <v>6984</v>
      </c>
      <c r="FBP20" t="s">
        <v>6984</v>
      </c>
      <c r="FBQ20" t="s">
        <v>6984</v>
      </c>
      <c r="FBR20" t="s">
        <v>6984</v>
      </c>
      <c r="FBS20" t="s">
        <v>6984</v>
      </c>
      <c r="FBT20" t="s">
        <v>6984</v>
      </c>
      <c r="FBU20" t="s">
        <v>6984</v>
      </c>
      <c r="FBV20" t="s">
        <v>6984</v>
      </c>
      <c r="FBW20" t="s">
        <v>6984</v>
      </c>
      <c r="FBX20" t="s">
        <v>6984</v>
      </c>
      <c r="FBY20" t="s">
        <v>6984</v>
      </c>
      <c r="FBZ20" t="s">
        <v>6984</v>
      </c>
      <c r="FCA20" t="s">
        <v>6984</v>
      </c>
      <c r="FCB20" t="s">
        <v>6984</v>
      </c>
      <c r="FCC20" t="s">
        <v>6984</v>
      </c>
      <c r="FCD20" t="s">
        <v>6984</v>
      </c>
      <c r="FCE20" t="s">
        <v>6984</v>
      </c>
      <c r="FCF20" t="s">
        <v>6984</v>
      </c>
      <c r="FCG20" t="s">
        <v>6984</v>
      </c>
      <c r="FCH20" t="s">
        <v>6984</v>
      </c>
      <c r="FCI20" t="s">
        <v>6984</v>
      </c>
      <c r="FCJ20" t="s">
        <v>6984</v>
      </c>
      <c r="FCK20" t="s">
        <v>6984</v>
      </c>
      <c r="FCL20" t="s">
        <v>6984</v>
      </c>
      <c r="FCM20" t="s">
        <v>6984</v>
      </c>
      <c r="FCN20" t="s">
        <v>6984</v>
      </c>
      <c r="FCO20" t="s">
        <v>6984</v>
      </c>
      <c r="FCP20" t="s">
        <v>6984</v>
      </c>
      <c r="FCQ20" t="s">
        <v>6984</v>
      </c>
      <c r="FCR20" t="s">
        <v>6984</v>
      </c>
      <c r="FCS20" t="s">
        <v>6984</v>
      </c>
      <c r="FCT20" t="s">
        <v>6984</v>
      </c>
      <c r="FCU20" t="s">
        <v>6984</v>
      </c>
      <c r="FCV20" t="s">
        <v>6984</v>
      </c>
      <c r="FCW20" t="s">
        <v>6984</v>
      </c>
      <c r="FCX20" t="s">
        <v>6984</v>
      </c>
      <c r="FCY20" t="s">
        <v>6984</v>
      </c>
      <c r="FCZ20" t="s">
        <v>6984</v>
      </c>
      <c r="FDA20" t="s">
        <v>6984</v>
      </c>
      <c r="FDB20" t="s">
        <v>6984</v>
      </c>
      <c r="FDC20" t="s">
        <v>6984</v>
      </c>
      <c r="FDD20" t="s">
        <v>6984</v>
      </c>
      <c r="FDE20" t="s">
        <v>6984</v>
      </c>
      <c r="FDF20" t="s">
        <v>6984</v>
      </c>
      <c r="FDG20" t="s">
        <v>6984</v>
      </c>
      <c r="FDH20" t="s">
        <v>6984</v>
      </c>
      <c r="FDI20" t="s">
        <v>6984</v>
      </c>
      <c r="FDJ20" t="s">
        <v>6984</v>
      </c>
      <c r="FDK20" t="s">
        <v>6984</v>
      </c>
      <c r="FDL20" t="s">
        <v>6984</v>
      </c>
      <c r="FDM20" t="s">
        <v>6984</v>
      </c>
      <c r="FDN20" t="s">
        <v>6984</v>
      </c>
      <c r="FDO20" t="s">
        <v>6984</v>
      </c>
      <c r="FDP20" t="s">
        <v>6984</v>
      </c>
      <c r="FDQ20" t="s">
        <v>6984</v>
      </c>
      <c r="FDR20" t="s">
        <v>6984</v>
      </c>
      <c r="FDS20" t="s">
        <v>6984</v>
      </c>
      <c r="FDT20" t="s">
        <v>6984</v>
      </c>
      <c r="FDU20" t="s">
        <v>6984</v>
      </c>
      <c r="FDV20" t="s">
        <v>6984</v>
      </c>
      <c r="FDW20" t="s">
        <v>6984</v>
      </c>
      <c r="FDX20" t="s">
        <v>6984</v>
      </c>
      <c r="FDY20" t="s">
        <v>6984</v>
      </c>
      <c r="FDZ20" t="s">
        <v>6984</v>
      </c>
      <c r="FEA20" t="s">
        <v>6984</v>
      </c>
      <c r="FEB20" t="s">
        <v>6984</v>
      </c>
      <c r="FEC20" t="s">
        <v>6984</v>
      </c>
      <c r="FED20" t="s">
        <v>6984</v>
      </c>
      <c r="FEE20" t="s">
        <v>6984</v>
      </c>
      <c r="FEF20" t="s">
        <v>6984</v>
      </c>
      <c r="FEG20" t="s">
        <v>6984</v>
      </c>
      <c r="FEH20" t="s">
        <v>6984</v>
      </c>
      <c r="FEI20" t="s">
        <v>6984</v>
      </c>
      <c r="FEJ20" t="s">
        <v>6984</v>
      </c>
      <c r="FEK20" t="s">
        <v>6984</v>
      </c>
      <c r="FEL20" t="s">
        <v>6984</v>
      </c>
      <c r="FEM20" t="s">
        <v>6984</v>
      </c>
      <c r="FEN20" t="s">
        <v>6984</v>
      </c>
      <c r="FEO20" t="s">
        <v>6984</v>
      </c>
      <c r="FEP20" t="s">
        <v>6984</v>
      </c>
      <c r="FEQ20" t="s">
        <v>6984</v>
      </c>
      <c r="FER20" t="s">
        <v>6984</v>
      </c>
      <c r="FES20" t="s">
        <v>6984</v>
      </c>
      <c r="FET20" t="s">
        <v>6984</v>
      </c>
      <c r="FEU20" t="s">
        <v>6984</v>
      </c>
      <c r="FEV20" t="s">
        <v>6984</v>
      </c>
      <c r="FEW20" t="s">
        <v>6984</v>
      </c>
      <c r="FEX20" t="s">
        <v>6984</v>
      </c>
      <c r="FEY20" t="s">
        <v>6984</v>
      </c>
      <c r="FEZ20" t="s">
        <v>6984</v>
      </c>
      <c r="FFA20" t="s">
        <v>6984</v>
      </c>
      <c r="FFB20" t="s">
        <v>6984</v>
      </c>
      <c r="FFC20" t="s">
        <v>6984</v>
      </c>
      <c r="FFD20" t="s">
        <v>6984</v>
      </c>
      <c r="FFE20" t="s">
        <v>6984</v>
      </c>
      <c r="FFF20" t="s">
        <v>6984</v>
      </c>
      <c r="FFG20" t="s">
        <v>6984</v>
      </c>
      <c r="FFH20" t="s">
        <v>6984</v>
      </c>
      <c r="FFI20" t="s">
        <v>6984</v>
      </c>
      <c r="FFJ20" t="s">
        <v>6984</v>
      </c>
      <c r="FFK20" t="s">
        <v>6984</v>
      </c>
      <c r="FFL20" t="s">
        <v>6984</v>
      </c>
      <c r="FFM20" t="s">
        <v>6984</v>
      </c>
      <c r="FFN20" t="s">
        <v>6984</v>
      </c>
      <c r="FFO20" t="s">
        <v>6984</v>
      </c>
      <c r="FFP20" t="s">
        <v>6984</v>
      </c>
      <c r="FFQ20" t="s">
        <v>6984</v>
      </c>
      <c r="FFR20" t="s">
        <v>6984</v>
      </c>
      <c r="FFS20" t="s">
        <v>6984</v>
      </c>
      <c r="FFT20" t="s">
        <v>6984</v>
      </c>
      <c r="FFU20" t="s">
        <v>6984</v>
      </c>
      <c r="FFV20" t="s">
        <v>6984</v>
      </c>
      <c r="FFW20" t="s">
        <v>6984</v>
      </c>
      <c r="FFX20" t="s">
        <v>6984</v>
      </c>
      <c r="FFY20" t="s">
        <v>6984</v>
      </c>
      <c r="FFZ20" t="s">
        <v>6984</v>
      </c>
      <c r="FGA20" t="s">
        <v>6984</v>
      </c>
      <c r="FGB20" t="s">
        <v>6984</v>
      </c>
      <c r="FGC20" t="s">
        <v>6984</v>
      </c>
      <c r="FGD20" t="s">
        <v>6984</v>
      </c>
      <c r="FGE20" t="s">
        <v>6984</v>
      </c>
      <c r="FGF20" t="s">
        <v>6984</v>
      </c>
      <c r="FGG20" t="s">
        <v>6984</v>
      </c>
      <c r="FGH20" t="s">
        <v>6984</v>
      </c>
      <c r="FGI20" t="s">
        <v>6984</v>
      </c>
      <c r="FGJ20" t="s">
        <v>6984</v>
      </c>
      <c r="FGK20" t="s">
        <v>6984</v>
      </c>
      <c r="FGL20" t="s">
        <v>6984</v>
      </c>
      <c r="FGM20" t="s">
        <v>6984</v>
      </c>
      <c r="FGN20" t="s">
        <v>6984</v>
      </c>
      <c r="FGO20" t="s">
        <v>6984</v>
      </c>
      <c r="FGP20" t="s">
        <v>6984</v>
      </c>
      <c r="FGQ20" t="s">
        <v>6984</v>
      </c>
      <c r="FGR20" t="s">
        <v>6984</v>
      </c>
      <c r="FGS20" t="s">
        <v>6984</v>
      </c>
      <c r="FGT20" t="s">
        <v>6984</v>
      </c>
      <c r="FGU20" t="s">
        <v>6984</v>
      </c>
      <c r="FGV20" t="s">
        <v>6984</v>
      </c>
      <c r="FGW20" t="s">
        <v>6984</v>
      </c>
      <c r="FGX20" t="s">
        <v>6984</v>
      </c>
      <c r="FGY20" t="s">
        <v>6984</v>
      </c>
      <c r="FGZ20" t="s">
        <v>6984</v>
      </c>
      <c r="FHA20" t="s">
        <v>6984</v>
      </c>
      <c r="FHB20" t="s">
        <v>6984</v>
      </c>
      <c r="FHC20" t="s">
        <v>6984</v>
      </c>
      <c r="FHD20" t="s">
        <v>6984</v>
      </c>
      <c r="FHE20" t="s">
        <v>6984</v>
      </c>
      <c r="FHF20" t="s">
        <v>6984</v>
      </c>
      <c r="FHG20" t="s">
        <v>6984</v>
      </c>
      <c r="FHH20" t="s">
        <v>6984</v>
      </c>
      <c r="FHI20" t="s">
        <v>6984</v>
      </c>
      <c r="FHJ20" t="s">
        <v>6984</v>
      </c>
      <c r="FHK20" t="s">
        <v>6984</v>
      </c>
      <c r="FHL20" t="s">
        <v>6984</v>
      </c>
      <c r="FHM20" t="s">
        <v>6984</v>
      </c>
      <c r="FHN20" t="s">
        <v>6984</v>
      </c>
      <c r="FHO20" t="s">
        <v>6984</v>
      </c>
      <c r="FHP20" t="s">
        <v>6984</v>
      </c>
      <c r="FHQ20" t="s">
        <v>6984</v>
      </c>
      <c r="FHR20" t="s">
        <v>6984</v>
      </c>
      <c r="FHS20" t="s">
        <v>6984</v>
      </c>
      <c r="FHT20" t="s">
        <v>6984</v>
      </c>
      <c r="FHU20" t="s">
        <v>6984</v>
      </c>
      <c r="FHV20" t="s">
        <v>6984</v>
      </c>
      <c r="FHW20" t="s">
        <v>6984</v>
      </c>
      <c r="FHX20" t="s">
        <v>6984</v>
      </c>
      <c r="FHY20" t="s">
        <v>6984</v>
      </c>
      <c r="FHZ20" t="s">
        <v>6984</v>
      </c>
      <c r="FIA20" t="s">
        <v>6984</v>
      </c>
      <c r="FIB20" t="s">
        <v>6984</v>
      </c>
      <c r="FIC20" t="s">
        <v>6984</v>
      </c>
      <c r="FID20" t="s">
        <v>6984</v>
      </c>
      <c r="FIE20" t="s">
        <v>6984</v>
      </c>
      <c r="FIF20" t="s">
        <v>6984</v>
      </c>
      <c r="FIG20" t="s">
        <v>6984</v>
      </c>
      <c r="FIH20" t="s">
        <v>6984</v>
      </c>
      <c r="FII20" t="s">
        <v>6984</v>
      </c>
      <c r="FIJ20" t="s">
        <v>6984</v>
      </c>
      <c r="FIK20" t="s">
        <v>6984</v>
      </c>
      <c r="FIL20" t="s">
        <v>6984</v>
      </c>
      <c r="FIM20" t="s">
        <v>6984</v>
      </c>
      <c r="FIN20" t="s">
        <v>6984</v>
      </c>
      <c r="FIO20" t="s">
        <v>6984</v>
      </c>
      <c r="FIP20" t="s">
        <v>6984</v>
      </c>
      <c r="FIQ20" t="s">
        <v>6984</v>
      </c>
      <c r="FIR20" t="s">
        <v>6984</v>
      </c>
      <c r="FIS20" t="s">
        <v>6984</v>
      </c>
      <c r="FIT20" t="s">
        <v>6984</v>
      </c>
      <c r="FIU20" t="s">
        <v>6984</v>
      </c>
      <c r="FIV20" t="s">
        <v>6984</v>
      </c>
      <c r="FIW20" t="s">
        <v>6984</v>
      </c>
      <c r="FIX20" t="s">
        <v>6984</v>
      </c>
      <c r="FIY20" t="s">
        <v>6984</v>
      </c>
      <c r="FIZ20" t="s">
        <v>6984</v>
      </c>
      <c r="FJA20" t="s">
        <v>6984</v>
      </c>
      <c r="FJB20" t="s">
        <v>6984</v>
      </c>
      <c r="FJC20" t="s">
        <v>6984</v>
      </c>
      <c r="FJD20" t="s">
        <v>6984</v>
      </c>
      <c r="FJE20" t="s">
        <v>6984</v>
      </c>
      <c r="FJF20" t="s">
        <v>6984</v>
      </c>
      <c r="FJG20" t="s">
        <v>6984</v>
      </c>
      <c r="FJH20" t="s">
        <v>6984</v>
      </c>
      <c r="FJI20" t="s">
        <v>6984</v>
      </c>
      <c r="FJJ20" t="s">
        <v>6984</v>
      </c>
      <c r="FJK20" t="s">
        <v>6984</v>
      </c>
      <c r="FJL20" t="s">
        <v>6984</v>
      </c>
      <c r="FJM20" t="s">
        <v>6984</v>
      </c>
      <c r="FJN20" t="s">
        <v>6984</v>
      </c>
      <c r="FJO20" t="s">
        <v>6984</v>
      </c>
      <c r="FJP20" t="s">
        <v>6984</v>
      </c>
      <c r="FJQ20" t="s">
        <v>6984</v>
      </c>
      <c r="FJR20" t="s">
        <v>6984</v>
      </c>
      <c r="FJS20" t="s">
        <v>6984</v>
      </c>
      <c r="FJT20" t="s">
        <v>6984</v>
      </c>
      <c r="FJU20" t="s">
        <v>6984</v>
      </c>
      <c r="FJV20" t="s">
        <v>6984</v>
      </c>
      <c r="FJW20" t="s">
        <v>6984</v>
      </c>
      <c r="FJX20" t="s">
        <v>6984</v>
      </c>
      <c r="FJY20" t="s">
        <v>6984</v>
      </c>
      <c r="FJZ20" t="s">
        <v>6984</v>
      </c>
      <c r="FKA20" t="s">
        <v>6984</v>
      </c>
      <c r="FKB20" t="s">
        <v>6984</v>
      </c>
      <c r="FKC20" t="s">
        <v>6984</v>
      </c>
      <c r="FKD20" t="s">
        <v>6984</v>
      </c>
      <c r="FKE20" t="s">
        <v>6984</v>
      </c>
      <c r="FKF20" t="s">
        <v>6984</v>
      </c>
      <c r="FKG20" t="s">
        <v>6984</v>
      </c>
      <c r="FKH20" t="s">
        <v>6984</v>
      </c>
      <c r="FKI20" t="s">
        <v>6984</v>
      </c>
      <c r="FKJ20" t="s">
        <v>6984</v>
      </c>
      <c r="FKK20" t="s">
        <v>6984</v>
      </c>
      <c r="FKL20" t="s">
        <v>6984</v>
      </c>
      <c r="FKM20" t="s">
        <v>6984</v>
      </c>
      <c r="FKN20" t="s">
        <v>6984</v>
      </c>
      <c r="FKO20" t="s">
        <v>6984</v>
      </c>
      <c r="FKP20" t="s">
        <v>6984</v>
      </c>
      <c r="FKQ20" t="s">
        <v>6984</v>
      </c>
      <c r="FKR20" t="s">
        <v>6984</v>
      </c>
      <c r="FKS20" t="s">
        <v>6984</v>
      </c>
      <c r="FKT20" t="s">
        <v>6984</v>
      </c>
      <c r="FKU20" t="s">
        <v>6984</v>
      </c>
      <c r="FKV20" t="s">
        <v>6984</v>
      </c>
      <c r="FKW20" t="s">
        <v>6984</v>
      </c>
      <c r="FKX20" t="s">
        <v>6984</v>
      </c>
      <c r="FKY20" t="s">
        <v>6984</v>
      </c>
      <c r="FKZ20" t="s">
        <v>6984</v>
      </c>
      <c r="FLA20" t="s">
        <v>6984</v>
      </c>
      <c r="FLB20" t="s">
        <v>6984</v>
      </c>
      <c r="FLC20" t="s">
        <v>6984</v>
      </c>
      <c r="FLD20" t="s">
        <v>6984</v>
      </c>
      <c r="FLE20" t="s">
        <v>6984</v>
      </c>
      <c r="FLF20" t="s">
        <v>6984</v>
      </c>
      <c r="FLG20" t="s">
        <v>6984</v>
      </c>
      <c r="FLH20" t="s">
        <v>6984</v>
      </c>
      <c r="FLI20" t="s">
        <v>6984</v>
      </c>
      <c r="FLJ20" t="s">
        <v>6984</v>
      </c>
      <c r="FLK20" t="s">
        <v>6984</v>
      </c>
      <c r="FLL20" t="s">
        <v>6984</v>
      </c>
      <c r="FLM20" t="s">
        <v>6984</v>
      </c>
      <c r="FLN20" t="s">
        <v>6984</v>
      </c>
      <c r="FLO20" t="s">
        <v>6984</v>
      </c>
      <c r="FLP20" t="s">
        <v>6984</v>
      </c>
      <c r="FLQ20" t="s">
        <v>6984</v>
      </c>
      <c r="FLR20" t="s">
        <v>6984</v>
      </c>
      <c r="FLS20" t="s">
        <v>6984</v>
      </c>
      <c r="FLT20" t="s">
        <v>6984</v>
      </c>
      <c r="FLU20" t="s">
        <v>6984</v>
      </c>
      <c r="FLV20" t="s">
        <v>6984</v>
      </c>
      <c r="FLW20" t="s">
        <v>6984</v>
      </c>
      <c r="FLX20" t="s">
        <v>6984</v>
      </c>
      <c r="FLY20" t="s">
        <v>6984</v>
      </c>
      <c r="FLZ20" t="s">
        <v>6984</v>
      </c>
      <c r="FMA20" t="s">
        <v>6984</v>
      </c>
      <c r="FMB20" t="s">
        <v>6984</v>
      </c>
      <c r="FMC20" t="s">
        <v>6984</v>
      </c>
      <c r="FMD20" t="s">
        <v>6984</v>
      </c>
      <c r="FME20" t="s">
        <v>6984</v>
      </c>
      <c r="FMF20" t="s">
        <v>6984</v>
      </c>
      <c r="FMG20" t="s">
        <v>6984</v>
      </c>
      <c r="FMH20" t="s">
        <v>6984</v>
      </c>
      <c r="FMI20" t="s">
        <v>6984</v>
      </c>
      <c r="FMJ20" t="s">
        <v>6984</v>
      </c>
      <c r="FMK20" t="s">
        <v>6984</v>
      </c>
      <c r="FML20" t="s">
        <v>6984</v>
      </c>
      <c r="FMM20" t="s">
        <v>6984</v>
      </c>
      <c r="FMN20" t="s">
        <v>6984</v>
      </c>
      <c r="FMO20" t="s">
        <v>6984</v>
      </c>
      <c r="FMP20" t="s">
        <v>6984</v>
      </c>
      <c r="FMQ20" t="s">
        <v>6984</v>
      </c>
      <c r="FMR20" t="s">
        <v>6984</v>
      </c>
      <c r="FMS20" t="s">
        <v>6984</v>
      </c>
      <c r="FMT20" t="s">
        <v>6984</v>
      </c>
      <c r="FMU20" t="s">
        <v>6984</v>
      </c>
      <c r="FMV20" t="s">
        <v>6984</v>
      </c>
      <c r="FMW20" t="s">
        <v>6984</v>
      </c>
      <c r="FMX20" t="s">
        <v>6984</v>
      </c>
      <c r="FMY20" t="s">
        <v>6984</v>
      </c>
      <c r="FMZ20" t="s">
        <v>6984</v>
      </c>
      <c r="FNA20" t="s">
        <v>6984</v>
      </c>
      <c r="FNB20" t="s">
        <v>6984</v>
      </c>
      <c r="FNC20" t="s">
        <v>6984</v>
      </c>
      <c r="FND20" t="s">
        <v>6984</v>
      </c>
      <c r="FNE20" t="s">
        <v>6984</v>
      </c>
      <c r="FNF20" t="s">
        <v>6984</v>
      </c>
      <c r="FNG20" t="s">
        <v>6984</v>
      </c>
      <c r="FNH20" t="s">
        <v>6984</v>
      </c>
      <c r="FNI20" t="s">
        <v>6984</v>
      </c>
      <c r="FNJ20" t="s">
        <v>6984</v>
      </c>
      <c r="FNK20" t="s">
        <v>6984</v>
      </c>
      <c r="FNL20" t="s">
        <v>6984</v>
      </c>
      <c r="FNM20" t="s">
        <v>6984</v>
      </c>
      <c r="FNN20" t="s">
        <v>6984</v>
      </c>
      <c r="FNO20" t="s">
        <v>6984</v>
      </c>
      <c r="FNP20" t="s">
        <v>6984</v>
      </c>
      <c r="FNQ20" t="s">
        <v>6984</v>
      </c>
      <c r="FNR20" t="s">
        <v>6984</v>
      </c>
      <c r="FNS20" t="s">
        <v>6984</v>
      </c>
      <c r="FNT20" t="s">
        <v>6984</v>
      </c>
      <c r="FNU20" t="s">
        <v>6984</v>
      </c>
      <c r="FNV20" t="s">
        <v>6984</v>
      </c>
      <c r="FNW20" t="s">
        <v>6984</v>
      </c>
      <c r="FNX20" t="s">
        <v>6984</v>
      </c>
      <c r="FNY20" t="s">
        <v>6984</v>
      </c>
      <c r="FNZ20" t="s">
        <v>6984</v>
      </c>
      <c r="FOA20" t="s">
        <v>6984</v>
      </c>
      <c r="FOB20" t="s">
        <v>6984</v>
      </c>
      <c r="FOC20" t="s">
        <v>6984</v>
      </c>
      <c r="FOD20" t="s">
        <v>6984</v>
      </c>
      <c r="FOE20" t="s">
        <v>6984</v>
      </c>
      <c r="FOF20" t="s">
        <v>6984</v>
      </c>
      <c r="FOG20" t="s">
        <v>6984</v>
      </c>
      <c r="FOH20" t="s">
        <v>6984</v>
      </c>
      <c r="FOI20" t="s">
        <v>6984</v>
      </c>
      <c r="FOJ20" t="s">
        <v>6984</v>
      </c>
      <c r="FOK20" t="s">
        <v>6984</v>
      </c>
      <c r="FOL20" t="s">
        <v>6984</v>
      </c>
      <c r="FOM20" t="s">
        <v>6984</v>
      </c>
      <c r="FON20" t="s">
        <v>6984</v>
      </c>
      <c r="FOO20" t="s">
        <v>6984</v>
      </c>
      <c r="FOP20" t="s">
        <v>6984</v>
      </c>
      <c r="FOQ20" t="s">
        <v>6984</v>
      </c>
      <c r="FOR20" t="s">
        <v>6984</v>
      </c>
      <c r="FOS20" t="s">
        <v>6984</v>
      </c>
      <c r="FOT20" t="s">
        <v>6984</v>
      </c>
      <c r="FOU20" t="s">
        <v>6984</v>
      </c>
      <c r="FOV20" t="s">
        <v>6984</v>
      </c>
      <c r="FOW20" t="s">
        <v>6984</v>
      </c>
      <c r="FOX20" t="s">
        <v>6984</v>
      </c>
      <c r="FOY20" t="s">
        <v>6984</v>
      </c>
      <c r="FOZ20" t="s">
        <v>6984</v>
      </c>
      <c r="FPA20" t="s">
        <v>6984</v>
      </c>
      <c r="FPB20" t="s">
        <v>6984</v>
      </c>
      <c r="FPC20" t="s">
        <v>6984</v>
      </c>
      <c r="FPD20" t="s">
        <v>6984</v>
      </c>
      <c r="FPE20" t="s">
        <v>6984</v>
      </c>
      <c r="FPF20" t="s">
        <v>6984</v>
      </c>
      <c r="FPG20" t="s">
        <v>6984</v>
      </c>
      <c r="FPH20" t="s">
        <v>6984</v>
      </c>
      <c r="FPI20" t="s">
        <v>6984</v>
      </c>
      <c r="FPJ20" t="s">
        <v>6984</v>
      </c>
      <c r="FPK20" t="s">
        <v>6984</v>
      </c>
      <c r="FPL20" t="s">
        <v>6984</v>
      </c>
      <c r="FPM20" t="s">
        <v>6984</v>
      </c>
      <c r="FPN20" t="s">
        <v>6984</v>
      </c>
      <c r="FPO20" t="s">
        <v>6984</v>
      </c>
      <c r="FPP20" t="s">
        <v>6984</v>
      </c>
      <c r="FPQ20" t="s">
        <v>6984</v>
      </c>
      <c r="FPR20" t="s">
        <v>6984</v>
      </c>
      <c r="FPS20" t="s">
        <v>6984</v>
      </c>
      <c r="FPT20" t="s">
        <v>6984</v>
      </c>
      <c r="FPU20" t="s">
        <v>6984</v>
      </c>
      <c r="FPV20" t="s">
        <v>6984</v>
      </c>
      <c r="FPW20" t="s">
        <v>6984</v>
      </c>
      <c r="FPX20" t="s">
        <v>6984</v>
      </c>
      <c r="FPY20" t="s">
        <v>6984</v>
      </c>
      <c r="FPZ20" t="s">
        <v>6984</v>
      </c>
      <c r="FQA20" t="s">
        <v>6984</v>
      </c>
      <c r="FQB20" t="s">
        <v>6984</v>
      </c>
      <c r="FQC20" t="s">
        <v>6984</v>
      </c>
      <c r="FQD20" t="s">
        <v>6984</v>
      </c>
      <c r="FQE20" t="s">
        <v>6984</v>
      </c>
      <c r="FQF20" t="s">
        <v>6984</v>
      </c>
      <c r="FQG20" t="s">
        <v>6984</v>
      </c>
      <c r="FQH20" t="s">
        <v>6984</v>
      </c>
      <c r="FQI20" t="s">
        <v>6984</v>
      </c>
      <c r="FQJ20" t="s">
        <v>6984</v>
      </c>
      <c r="FQK20" t="s">
        <v>6984</v>
      </c>
      <c r="FQL20" t="s">
        <v>6984</v>
      </c>
      <c r="FQM20" t="s">
        <v>6984</v>
      </c>
      <c r="FQN20" t="s">
        <v>6984</v>
      </c>
      <c r="FQO20" t="s">
        <v>6984</v>
      </c>
      <c r="FQP20" t="s">
        <v>6984</v>
      </c>
      <c r="FQQ20" t="s">
        <v>6984</v>
      </c>
      <c r="FQR20" t="s">
        <v>6984</v>
      </c>
      <c r="FQS20" t="s">
        <v>6984</v>
      </c>
      <c r="FQT20" t="s">
        <v>6984</v>
      </c>
      <c r="FQU20" t="s">
        <v>6984</v>
      </c>
      <c r="FQV20" t="s">
        <v>6984</v>
      </c>
      <c r="FQW20" t="s">
        <v>6984</v>
      </c>
      <c r="FQX20" t="s">
        <v>6984</v>
      </c>
      <c r="FQY20" t="s">
        <v>6984</v>
      </c>
      <c r="FQZ20" t="s">
        <v>6984</v>
      </c>
      <c r="FRA20" t="s">
        <v>6984</v>
      </c>
      <c r="FRB20" t="s">
        <v>6984</v>
      </c>
      <c r="FRC20" t="s">
        <v>6984</v>
      </c>
      <c r="FRD20" t="s">
        <v>6984</v>
      </c>
      <c r="FRE20" t="s">
        <v>6984</v>
      </c>
      <c r="FRF20" t="s">
        <v>6984</v>
      </c>
      <c r="FRG20" t="s">
        <v>6984</v>
      </c>
      <c r="FRH20" t="s">
        <v>6984</v>
      </c>
      <c r="FRI20" t="s">
        <v>6984</v>
      </c>
      <c r="FRJ20" t="s">
        <v>6984</v>
      </c>
      <c r="FRK20" t="s">
        <v>6984</v>
      </c>
      <c r="FRL20" t="s">
        <v>6984</v>
      </c>
      <c r="FRM20" t="s">
        <v>6984</v>
      </c>
      <c r="FRN20" t="s">
        <v>6984</v>
      </c>
      <c r="FRO20" t="s">
        <v>6984</v>
      </c>
      <c r="FRP20" t="s">
        <v>6984</v>
      </c>
      <c r="FRQ20" t="s">
        <v>6984</v>
      </c>
      <c r="FRR20" t="s">
        <v>6984</v>
      </c>
      <c r="FRS20" t="s">
        <v>6984</v>
      </c>
      <c r="FRT20" t="s">
        <v>6984</v>
      </c>
      <c r="FRU20" t="s">
        <v>6984</v>
      </c>
      <c r="FRV20" t="s">
        <v>6984</v>
      </c>
      <c r="FRW20" t="s">
        <v>6984</v>
      </c>
      <c r="FRX20" t="s">
        <v>6984</v>
      </c>
      <c r="FRY20" t="s">
        <v>6984</v>
      </c>
      <c r="FRZ20" t="s">
        <v>6984</v>
      </c>
      <c r="FSA20" t="s">
        <v>6984</v>
      </c>
      <c r="FSB20" t="s">
        <v>6984</v>
      </c>
      <c r="FSC20" t="s">
        <v>6984</v>
      </c>
      <c r="FSD20" t="s">
        <v>6984</v>
      </c>
      <c r="FSE20" t="s">
        <v>6984</v>
      </c>
      <c r="FSF20" t="s">
        <v>6984</v>
      </c>
      <c r="FSG20" t="s">
        <v>6984</v>
      </c>
      <c r="FSH20" t="s">
        <v>6984</v>
      </c>
      <c r="FSI20" t="s">
        <v>6984</v>
      </c>
      <c r="FSJ20" t="s">
        <v>6984</v>
      </c>
      <c r="FSK20" t="s">
        <v>6984</v>
      </c>
      <c r="FSL20" t="s">
        <v>6984</v>
      </c>
      <c r="FSM20" t="s">
        <v>6984</v>
      </c>
      <c r="FSN20" t="s">
        <v>6984</v>
      </c>
      <c r="FSO20" t="s">
        <v>6984</v>
      </c>
      <c r="FSP20" t="s">
        <v>6984</v>
      </c>
      <c r="FSQ20" t="s">
        <v>6984</v>
      </c>
      <c r="FSR20" t="s">
        <v>6984</v>
      </c>
      <c r="FSS20" t="s">
        <v>6984</v>
      </c>
      <c r="FST20" t="s">
        <v>6984</v>
      </c>
      <c r="FSU20" t="s">
        <v>6984</v>
      </c>
      <c r="FSV20" t="s">
        <v>6984</v>
      </c>
      <c r="FSW20" t="s">
        <v>6984</v>
      </c>
      <c r="FSX20" t="s">
        <v>6984</v>
      </c>
      <c r="FSY20" t="s">
        <v>6984</v>
      </c>
      <c r="FSZ20" t="s">
        <v>6984</v>
      </c>
      <c r="FTA20" t="s">
        <v>6984</v>
      </c>
      <c r="FTB20" t="s">
        <v>6984</v>
      </c>
      <c r="FTC20" t="s">
        <v>6984</v>
      </c>
      <c r="FTD20" t="s">
        <v>6984</v>
      </c>
      <c r="FTE20" t="s">
        <v>6984</v>
      </c>
      <c r="FTF20" t="s">
        <v>6984</v>
      </c>
      <c r="FTG20" t="s">
        <v>6984</v>
      </c>
      <c r="FTH20" t="s">
        <v>6984</v>
      </c>
      <c r="FTI20" t="s">
        <v>6984</v>
      </c>
      <c r="FTJ20" t="s">
        <v>6984</v>
      </c>
      <c r="FTK20" t="s">
        <v>6984</v>
      </c>
      <c r="FTL20" t="s">
        <v>6984</v>
      </c>
      <c r="FTM20" t="s">
        <v>6984</v>
      </c>
      <c r="FTN20" t="s">
        <v>6984</v>
      </c>
      <c r="FTO20" t="s">
        <v>6984</v>
      </c>
      <c r="FTP20" t="s">
        <v>6984</v>
      </c>
      <c r="FTQ20" t="s">
        <v>6984</v>
      </c>
      <c r="FTR20" t="s">
        <v>6984</v>
      </c>
      <c r="FTS20" t="s">
        <v>6984</v>
      </c>
      <c r="FTT20" t="s">
        <v>6984</v>
      </c>
      <c r="FTU20" t="s">
        <v>6984</v>
      </c>
      <c r="FTV20" t="s">
        <v>6984</v>
      </c>
      <c r="FTW20" t="s">
        <v>6984</v>
      </c>
      <c r="FTX20" t="s">
        <v>6984</v>
      </c>
      <c r="FTY20" t="s">
        <v>6984</v>
      </c>
      <c r="FTZ20" t="s">
        <v>6984</v>
      </c>
      <c r="FUA20" t="s">
        <v>6984</v>
      </c>
      <c r="FUB20" t="s">
        <v>6984</v>
      </c>
      <c r="FUC20" t="s">
        <v>6984</v>
      </c>
      <c r="FUD20" t="s">
        <v>6984</v>
      </c>
      <c r="FUE20" t="s">
        <v>6984</v>
      </c>
      <c r="FUF20" t="s">
        <v>6984</v>
      </c>
      <c r="FUG20" t="s">
        <v>6984</v>
      </c>
      <c r="FUH20" t="s">
        <v>6984</v>
      </c>
      <c r="FUI20" t="s">
        <v>6984</v>
      </c>
      <c r="FUJ20" t="s">
        <v>6984</v>
      </c>
      <c r="FUK20" t="s">
        <v>6984</v>
      </c>
      <c r="FUL20" t="s">
        <v>6984</v>
      </c>
      <c r="FUM20" t="s">
        <v>6984</v>
      </c>
      <c r="FUN20" t="s">
        <v>6984</v>
      </c>
      <c r="FUO20" t="s">
        <v>6984</v>
      </c>
      <c r="FUP20" t="s">
        <v>6984</v>
      </c>
      <c r="FUQ20" t="s">
        <v>6984</v>
      </c>
      <c r="FUR20" t="s">
        <v>6984</v>
      </c>
      <c r="FUS20" t="s">
        <v>6984</v>
      </c>
      <c r="FUT20" t="s">
        <v>6984</v>
      </c>
      <c r="FUU20" t="s">
        <v>6984</v>
      </c>
      <c r="FUV20" t="s">
        <v>6984</v>
      </c>
      <c r="FUW20" t="s">
        <v>6984</v>
      </c>
      <c r="FUX20" t="s">
        <v>6984</v>
      </c>
      <c r="FUY20" t="s">
        <v>6984</v>
      </c>
      <c r="FUZ20" t="s">
        <v>6984</v>
      </c>
      <c r="FVA20" t="s">
        <v>6984</v>
      </c>
      <c r="FVB20" t="s">
        <v>6984</v>
      </c>
      <c r="FVC20" t="s">
        <v>6984</v>
      </c>
      <c r="FVD20" t="s">
        <v>6984</v>
      </c>
      <c r="FVE20" t="s">
        <v>6984</v>
      </c>
      <c r="FVF20" t="s">
        <v>6984</v>
      </c>
      <c r="FVG20" t="s">
        <v>6984</v>
      </c>
      <c r="FVH20" t="s">
        <v>6984</v>
      </c>
      <c r="FVI20" t="s">
        <v>6984</v>
      </c>
      <c r="FVJ20" t="s">
        <v>6984</v>
      </c>
      <c r="FVK20" t="s">
        <v>6984</v>
      </c>
      <c r="FVL20" t="s">
        <v>6984</v>
      </c>
      <c r="FVM20" t="s">
        <v>6984</v>
      </c>
      <c r="FVN20" t="s">
        <v>6984</v>
      </c>
      <c r="FVO20" t="s">
        <v>6984</v>
      </c>
      <c r="FVP20" t="s">
        <v>6984</v>
      </c>
      <c r="FVQ20" t="s">
        <v>6984</v>
      </c>
      <c r="FVR20" t="s">
        <v>6984</v>
      </c>
      <c r="FVS20" t="s">
        <v>6984</v>
      </c>
      <c r="FVT20" t="s">
        <v>6984</v>
      </c>
      <c r="FVU20" t="s">
        <v>6984</v>
      </c>
      <c r="FVV20" t="s">
        <v>6984</v>
      </c>
      <c r="FVW20" t="s">
        <v>6984</v>
      </c>
      <c r="FVX20" t="s">
        <v>6984</v>
      </c>
      <c r="FVY20" t="s">
        <v>6984</v>
      </c>
      <c r="FVZ20" t="s">
        <v>6984</v>
      </c>
      <c r="FWA20" t="s">
        <v>6984</v>
      </c>
      <c r="FWB20" t="s">
        <v>6984</v>
      </c>
      <c r="FWC20" t="s">
        <v>6984</v>
      </c>
      <c r="FWD20" t="s">
        <v>6984</v>
      </c>
      <c r="FWE20" t="s">
        <v>6984</v>
      </c>
      <c r="FWF20" t="s">
        <v>6984</v>
      </c>
      <c r="FWG20" t="s">
        <v>6984</v>
      </c>
      <c r="FWH20" t="s">
        <v>6984</v>
      </c>
      <c r="FWI20" t="s">
        <v>6984</v>
      </c>
      <c r="FWJ20" t="s">
        <v>6984</v>
      </c>
      <c r="FWK20" t="s">
        <v>6984</v>
      </c>
      <c r="FWL20" t="s">
        <v>6984</v>
      </c>
      <c r="FWM20" t="s">
        <v>6984</v>
      </c>
      <c r="FWN20" t="s">
        <v>6984</v>
      </c>
      <c r="FWO20" t="s">
        <v>6984</v>
      </c>
      <c r="FWP20" t="s">
        <v>6984</v>
      </c>
      <c r="FWQ20" t="s">
        <v>6984</v>
      </c>
      <c r="FWR20" t="s">
        <v>6984</v>
      </c>
      <c r="FWS20" t="s">
        <v>6984</v>
      </c>
      <c r="FWT20" t="s">
        <v>6984</v>
      </c>
      <c r="FWU20" t="s">
        <v>6984</v>
      </c>
      <c r="FWV20" t="s">
        <v>6984</v>
      </c>
      <c r="FWW20" t="s">
        <v>6984</v>
      </c>
      <c r="FWX20" t="s">
        <v>6984</v>
      </c>
      <c r="FWY20" t="s">
        <v>6984</v>
      </c>
      <c r="FWZ20" t="s">
        <v>6984</v>
      </c>
      <c r="FXA20" t="s">
        <v>6984</v>
      </c>
      <c r="FXB20" t="s">
        <v>6984</v>
      </c>
      <c r="FXC20" t="s">
        <v>6984</v>
      </c>
      <c r="FXD20" t="s">
        <v>6984</v>
      </c>
      <c r="FXE20" t="s">
        <v>6984</v>
      </c>
      <c r="FXF20" t="s">
        <v>6984</v>
      </c>
      <c r="FXG20" t="s">
        <v>6984</v>
      </c>
      <c r="FXH20" t="s">
        <v>6984</v>
      </c>
      <c r="FXI20" t="s">
        <v>6984</v>
      </c>
      <c r="FXJ20" t="s">
        <v>6984</v>
      </c>
      <c r="FXK20" t="s">
        <v>6984</v>
      </c>
      <c r="FXL20" t="s">
        <v>6984</v>
      </c>
      <c r="FXM20" t="s">
        <v>6984</v>
      </c>
      <c r="FXN20" t="s">
        <v>6984</v>
      </c>
      <c r="FXO20" t="s">
        <v>6984</v>
      </c>
      <c r="FXP20" t="s">
        <v>6984</v>
      </c>
      <c r="FXQ20" t="s">
        <v>6984</v>
      </c>
      <c r="FXR20" t="s">
        <v>6984</v>
      </c>
      <c r="FXS20" t="s">
        <v>6984</v>
      </c>
      <c r="FXT20" t="s">
        <v>6984</v>
      </c>
      <c r="FXU20" t="s">
        <v>6984</v>
      </c>
      <c r="FXV20" t="s">
        <v>6984</v>
      </c>
      <c r="FXW20" t="s">
        <v>6984</v>
      </c>
      <c r="FXX20" t="s">
        <v>6984</v>
      </c>
      <c r="FXY20" t="s">
        <v>6984</v>
      </c>
      <c r="FXZ20" t="s">
        <v>6984</v>
      </c>
      <c r="FYA20" t="s">
        <v>6984</v>
      </c>
      <c r="FYB20" t="s">
        <v>6984</v>
      </c>
      <c r="FYC20" t="s">
        <v>6984</v>
      </c>
      <c r="FYD20" t="s">
        <v>6984</v>
      </c>
      <c r="FYE20" t="s">
        <v>6984</v>
      </c>
      <c r="FYF20" t="s">
        <v>6984</v>
      </c>
      <c r="FYG20" t="s">
        <v>6984</v>
      </c>
      <c r="FYH20" t="s">
        <v>6984</v>
      </c>
      <c r="FYI20" t="s">
        <v>6984</v>
      </c>
      <c r="FYJ20" t="s">
        <v>6984</v>
      </c>
      <c r="FYK20" t="s">
        <v>6984</v>
      </c>
      <c r="FYL20" t="s">
        <v>6984</v>
      </c>
      <c r="FYM20" t="s">
        <v>6984</v>
      </c>
      <c r="FYN20" t="s">
        <v>6984</v>
      </c>
      <c r="FYO20" t="s">
        <v>6984</v>
      </c>
      <c r="FYP20" t="s">
        <v>6984</v>
      </c>
      <c r="FYQ20" t="s">
        <v>6984</v>
      </c>
      <c r="FYR20" t="s">
        <v>6984</v>
      </c>
      <c r="FYS20" t="s">
        <v>6984</v>
      </c>
      <c r="FYT20" t="s">
        <v>6984</v>
      </c>
      <c r="FYU20" t="s">
        <v>6984</v>
      </c>
      <c r="FYV20" t="s">
        <v>6984</v>
      </c>
      <c r="FYW20" t="s">
        <v>6984</v>
      </c>
      <c r="FYX20" t="s">
        <v>6984</v>
      </c>
      <c r="FYY20" t="s">
        <v>6984</v>
      </c>
      <c r="FYZ20" t="s">
        <v>6984</v>
      </c>
      <c r="FZA20" t="s">
        <v>6984</v>
      </c>
      <c r="FZB20" t="s">
        <v>6984</v>
      </c>
      <c r="FZC20" t="s">
        <v>6984</v>
      </c>
      <c r="FZD20" t="s">
        <v>6984</v>
      </c>
      <c r="FZE20" t="s">
        <v>6984</v>
      </c>
      <c r="FZF20" t="s">
        <v>6984</v>
      </c>
      <c r="FZG20" t="s">
        <v>6984</v>
      </c>
      <c r="FZH20" t="s">
        <v>6984</v>
      </c>
      <c r="FZI20" t="s">
        <v>6984</v>
      </c>
      <c r="FZJ20" t="s">
        <v>6984</v>
      </c>
      <c r="FZK20" t="s">
        <v>6984</v>
      </c>
      <c r="FZL20" t="s">
        <v>6984</v>
      </c>
      <c r="FZM20" t="s">
        <v>6984</v>
      </c>
      <c r="FZN20" t="s">
        <v>6984</v>
      </c>
      <c r="FZO20" t="s">
        <v>6984</v>
      </c>
      <c r="FZP20" t="s">
        <v>6984</v>
      </c>
      <c r="FZQ20" t="s">
        <v>6984</v>
      </c>
      <c r="FZR20" t="s">
        <v>6984</v>
      </c>
      <c r="FZS20" t="s">
        <v>6984</v>
      </c>
      <c r="FZT20" t="s">
        <v>6984</v>
      </c>
      <c r="FZU20" t="s">
        <v>6984</v>
      </c>
      <c r="FZV20" t="s">
        <v>6984</v>
      </c>
      <c r="FZW20" t="s">
        <v>6984</v>
      </c>
      <c r="FZX20" t="s">
        <v>6984</v>
      </c>
      <c r="FZY20" t="s">
        <v>6984</v>
      </c>
      <c r="FZZ20" t="s">
        <v>6984</v>
      </c>
      <c r="GAA20" t="s">
        <v>6984</v>
      </c>
      <c r="GAB20" t="s">
        <v>6984</v>
      </c>
      <c r="GAC20" t="s">
        <v>6984</v>
      </c>
      <c r="GAD20" t="s">
        <v>6984</v>
      </c>
      <c r="GAE20" t="s">
        <v>6984</v>
      </c>
      <c r="GAF20" t="s">
        <v>6984</v>
      </c>
      <c r="GAG20" t="s">
        <v>6984</v>
      </c>
      <c r="GAH20" t="s">
        <v>6984</v>
      </c>
      <c r="GAI20" t="s">
        <v>6984</v>
      </c>
      <c r="GAJ20" t="s">
        <v>6984</v>
      </c>
      <c r="GAK20" t="s">
        <v>6984</v>
      </c>
      <c r="GAL20" t="s">
        <v>6984</v>
      </c>
      <c r="GAM20" t="s">
        <v>6984</v>
      </c>
      <c r="GAN20" t="s">
        <v>6984</v>
      </c>
      <c r="GAO20" t="s">
        <v>6984</v>
      </c>
      <c r="GAP20" t="s">
        <v>6984</v>
      </c>
      <c r="GAQ20" t="s">
        <v>6984</v>
      </c>
      <c r="GAR20" t="s">
        <v>6984</v>
      </c>
      <c r="GAS20" t="s">
        <v>6984</v>
      </c>
      <c r="GAT20" t="s">
        <v>6984</v>
      </c>
      <c r="GAU20" t="s">
        <v>6984</v>
      </c>
      <c r="GAV20" t="s">
        <v>6984</v>
      </c>
      <c r="GAW20" t="s">
        <v>6984</v>
      </c>
      <c r="GAX20" t="s">
        <v>6984</v>
      </c>
      <c r="GAY20" t="s">
        <v>6984</v>
      </c>
      <c r="GAZ20" t="s">
        <v>6984</v>
      </c>
      <c r="GBA20" t="s">
        <v>6984</v>
      </c>
      <c r="GBB20" t="s">
        <v>6984</v>
      </c>
      <c r="GBC20" t="s">
        <v>6984</v>
      </c>
      <c r="GBD20" t="s">
        <v>6984</v>
      </c>
      <c r="GBE20" t="s">
        <v>6984</v>
      </c>
      <c r="GBF20" t="s">
        <v>6984</v>
      </c>
      <c r="GBG20" t="s">
        <v>6984</v>
      </c>
      <c r="GBH20" t="s">
        <v>6984</v>
      </c>
      <c r="GBI20" t="s">
        <v>6984</v>
      </c>
      <c r="GBJ20" t="s">
        <v>6984</v>
      </c>
      <c r="GBK20" t="s">
        <v>6984</v>
      </c>
      <c r="GBL20" t="s">
        <v>6984</v>
      </c>
      <c r="GBM20" t="s">
        <v>6984</v>
      </c>
      <c r="GBN20" t="s">
        <v>6984</v>
      </c>
      <c r="GBO20" t="s">
        <v>6984</v>
      </c>
      <c r="GBP20" t="s">
        <v>6984</v>
      </c>
      <c r="GBQ20" t="s">
        <v>6984</v>
      </c>
      <c r="GBR20" t="s">
        <v>6984</v>
      </c>
      <c r="GBS20" t="s">
        <v>6984</v>
      </c>
      <c r="GBT20" t="s">
        <v>6984</v>
      </c>
      <c r="GBU20" t="s">
        <v>6984</v>
      </c>
      <c r="GBV20" t="s">
        <v>6984</v>
      </c>
      <c r="GBW20" t="s">
        <v>6984</v>
      </c>
      <c r="GBX20" t="s">
        <v>6984</v>
      </c>
      <c r="GBY20" t="s">
        <v>6984</v>
      </c>
      <c r="GBZ20" t="s">
        <v>6984</v>
      </c>
      <c r="GCA20" t="s">
        <v>6984</v>
      </c>
      <c r="GCB20" t="s">
        <v>6984</v>
      </c>
      <c r="GCC20" t="s">
        <v>6984</v>
      </c>
      <c r="GCD20" t="s">
        <v>6984</v>
      </c>
      <c r="GCE20" t="s">
        <v>6984</v>
      </c>
      <c r="GCF20" t="s">
        <v>6984</v>
      </c>
      <c r="GCG20" t="s">
        <v>6984</v>
      </c>
      <c r="GCH20" t="s">
        <v>6984</v>
      </c>
      <c r="GCI20" t="s">
        <v>6984</v>
      </c>
      <c r="GCJ20" t="s">
        <v>6984</v>
      </c>
      <c r="GCK20" t="s">
        <v>6984</v>
      </c>
      <c r="GCL20" t="s">
        <v>6984</v>
      </c>
      <c r="GCM20" t="s">
        <v>6984</v>
      </c>
      <c r="GCN20" t="s">
        <v>6984</v>
      </c>
      <c r="GCO20" t="s">
        <v>6984</v>
      </c>
      <c r="GCP20" t="s">
        <v>6984</v>
      </c>
      <c r="GCQ20" t="s">
        <v>6984</v>
      </c>
      <c r="GCR20" t="s">
        <v>6984</v>
      </c>
      <c r="GCS20" t="s">
        <v>6984</v>
      </c>
      <c r="GCT20" t="s">
        <v>6984</v>
      </c>
      <c r="GCU20" t="s">
        <v>6984</v>
      </c>
      <c r="GCV20" t="s">
        <v>6984</v>
      </c>
      <c r="GCW20" t="s">
        <v>6984</v>
      </c>
      <c r="GCX20" t="s">
        <v>6984</v>
      </c>
      <c r="GCY20" t="s">
        <v>6984</v>
      </c>
      <c r="GCZ20" t="s">
        <v>6984</v>
      </c>
      <c r="GDA20" t="s">
        <v>6984</v>
      </c>
      <c r="GDB20" t="s">
        <v>6984</v>
      </c>
      <c r="GDC20" t="s">
        <v>6984</v>
      </c>
      <c r="GDD20" t="s">
        <v>6984</v>
      </c>
      <c r="GDE20" t="s">
        <v>6984</v>
      </c>
      <c r="GDF20" t="s">
        <v>6984</v>
      </c>
      <c r="GDG20" t="s">
        <v>6984</v>
      </c>
      <c r="GDH20" t="s">
        <v>6984</v>
      </c>
      <c r="GDI20" t="s">
        <v>6984</v>
      </c>
      <c r="GDJ20" t="s">
        <v>6984</v>
      </c>
      <c r="GDK20" t="s">
        <v>6984</v>
      </c>
      <c r="GDL20" t="s">
        <v>6984</v>
      </c>
      <c r="GDM20" t="s">
        <v>6984</v>
      </c>
      <c r="GDN20" t="s">
        <v>6984</v>
      </c>
      <c r="GDO20" t="s">
        <v>6984</v>
      </c>
      <c r="GDP20" t="s">
        <v>6984</v>
      </c>
      <c r="GDQ20" t="s">
        <v>6984</v>
      </c>
      <c r="GDR20" t="s">
        <v>6984</v>
      </c>
      <c r="GDS20" t="s">
        <v>6984</v>
      </c>
      <c r="GDT20" t="s">
        <v>6984</v>
      </c>
      <c r="GDU20" t="s">
        <v>6984</v>
      </c>
      <c r="GDV20" t="s">
        <v>6984</v>
      </c>
      <c r="GDW20" t="s">
        <v>6984</v>
      </c>
      <c r="GDX20" t="s">
        <v>6984</v>
      </c>
      <c r="GDY20" t="s">
        <v>6984</v>
      </c>
      <c r="GDZ20" t="s">
        <v>6984</v>
      </c>
      <c r="GEA20" t="s">
        <v>6984</v>
      </c>
      <c r="GEB20" t="s">
        <v>6984</v>
      </c>
      <c r="GEC20" t="s">
        <v>6984</v>
      </c>
      <c r="GED20" t="s">
        <v>6984</v>
      </c>
      <c r="GEE20" t="s">
        <v>6984</v>
      </c>
      <c r="GEF20" t="s">
        <v>6984</v>
      </c>
      <c r="GEG20" t="s">
        <v>6984</v>
      </c>
      <c r="GEH20" t="s">
        <v>6984</v>
      </c>
      <c r="GEI20" t="s">
        <v>6984</v>
      </c>
      <c r="GEJ20" t="s">
        <v>6984</v>
      </c>
      <c r="GEK20" t="s">
        <v>6984</v>
      </c>
      <c r="GEL20" t="s">
        <v>6984</v>
      </c>
      <c r="GEM20" t="s">
        <v>6984</v>
      </c>
      <c r="GEN20" t="s">
        <v>6984</v>
      </c>
      <c r="GEO20" t="s">
        <v>6984</v>
      </c>
      <c r="GEP20" t="s">
        <v>6984</v>
      </c>
      <c r="GEQ20" t="s">
        <v>6984</v>
      </c>
      <c r="GER20" t="s">
        <v>6984</v>
      </c>
      <c r="GES20" t="s">
        <v>6984</v>
      </c>
      <c r="GET20" t="s">
        <v>6984</v>
      </c>
      <c r="GEU20" t="s">
        <v>6984</v>
      </c>
      <c r="GEV20" t="s">
        <v>6984</v>
      </c>
      <c r="GEW20" t="s">
        <v>6984</v>
      </c>
      <c r="GEX20" t="s">
        <v>6984</v>
      </c>
      <c r="GEY20" t="s">
        <v>6984</v>
      </c>
      <c r="GEZ20" t="s">
        <v>6984</v>
      </c>
      <c r="GFA20" t="s">
        <v>6984</v>
      </c>
      <c r="GFB20" t="s">
        <v>6984</v>
      </c>
      <c r="GFC20" t="s">
        <v>6984</v>
      </c>
      <c r="GFD20" t="s">
        <v>6984</v>
      </c>
      <c r="GFE20" t="s">
        <v>6984</v>
      </c>
      <c r="GFF20" t="s">
        <v>6984</v>
      </c>
      <c r="GFG20" t="s">
        <v>6984</v>
      </c>
      <c r="GFH20" t="s">
        <v>6984</v>
      </c>
      <c r="GFI20" t="s">
        <v>6984</v>
      </c>
      <c r="GFJ20" t="s">
        <v>6984</v>
      </c>
      <c r="GFK20" t="s">
        <v>6984</v>
      </c>
      <c r="GFL20" t="s">
        <v>6984</v>
      </c>
      <c r="GFM20" t="s">
        <v>6984</v>
      </c>
      <c r="GFN20" t="s">
        <v>6984</v>
      </c>
      <c r="GFO20" t="s">
        <v>6984</v>
      </c>
      <c r="GFP20" t="s">
        <v>6984</v>
      </c>
      <c r="GFQ20" t="s">
        <v>6984</v>
      </c>
      <c r="GFR20" t="s">
        <v>6984</v>
      </c>
      <c r="GFS20" t="s">
        <v>6984</v>
      </c>
      <c r="GFT20" t="s">
        <v>6984</v>
      </c>
      <c r="GFU20" t="s">
        <v>6984</v>
      </c>
      <c r="GFV20" t="s">
        <v>6984</v>
      </c>
      <c r="GFW20" t="s">
        <v>6984</v>
      </c>
      <c r="GFX20" t="s">
        <v>6984</v>
      </c>
      <c r="GFY20" t="s">
        <v>6984</v>
      </c>
      <c r="GFZ20" t="s">
        <v>6984</v>
      </c>
      <c r="GGA20" t="s">
        <v>6984</v>
      </c>
      <c r="GGB20" t="s">
        <v>6984</v>
      </c>
      <c r="GGC20" t="s">
        <v>6984</v>
      </c>
      <c r="GGD20" t="s">
        <v>6984</v>
      </c>
      <c r="GGE20" t="s">
        <v>6984</v>
      </c>
      <c r="GGF20" t="s">
        <v>6984</v>
      </c>
      <c r="GGG20" t="s">
        <v>6984</v>
      </c>
      <c r="GGH20" t="s">
        <v>6984</v>
      </c>
      <c r="GGI20" t="s">
        <v>6984</v>
      </c>
      <c r="GGJ20" t="s">
        <v>6984</v>
      </c>
      <c r="GGK20" t="s">
        <v>6984</v>
      </c>
      <c r="GGL20" t="s">
        <v>6984</v>
      </c>
      <c r="GGM20" t="s">
        <v>6984</v>
      </c>
      <c r="GGN20" t="s">
        <v>6984</v>
      </c>
      <c r="GGO20" t="s">
        <v>6984</v>
      </c>
      <c r="GGP20" t="s">
        <v>6984</v>
      </c>
      <c r="GGQ20" t="s">
        <v>6984</v>
      </c>
      <c r="GGR20" t="s">
        <v>6984</v>
      </c>
      <c r="GGS20" t="s">
        <v>6984</v>
      </c>
      <c r="GGT20" t="s">
        <v>6984</v>
      </c>
      <c r="GGU20" t="s">
        <v>6984</v>
      </c>
      <c r="GGV20" t="s">
        <v>6984</v>
      </c>
      <c r="GGW20" t="s">
        <v>6984</v>
      </c>
      <c r="GGX20" t="s">
        <v>6984</v>
      </c>
      <c r="GGY20" t="s">
        <v>6984</v>
      </c>
      <c r="GGZ20" t="s">
        <v>6984</v>
      </c>
      <c r="GHA20" t="s">
        <v>6984</v>
      </c>
      <c r="GHB20" t="s">
        <v>6984</v>
      </c>
      <c r="GHC20" t="s">
        <v>6984</v>
      </c>
      <c r="GHD20" t="s">
        <v>6984</v>
      </c>
      <c r="GHE20" t="s">
        <v>6984</v>
      </c>
      <c r="GHF20" t="s">
        <v>6984</v>
      </c>
      <c r="GHG20" t="s">
        <v>6984</v>
      </c>
      <c r="GHH20" t="s">
        <v>6984</v>
      </c>
      <c r="GHI20" t="s">
        <v>6984</v>
      </c>
      <c r="GHJ20" t="s">
        <v>6984</v>
      </c>
      <c r="GHK20" t="s">
        <v>6984</v>
      </c>
      <c r="GHL20" t="s">
        <v>6984</v>
      </c>
      <c r="GHM20" t="s">
        <v>6984</v>
      </c>
      <c r="GHN20" t="s">
        <v>6984</v>
      </c>
      <c r="GHO20" t="s">
        <v>6984</v>
      </c>
      <c r="GHP20" t="s">
        <v>6984</v>
      </c>
      <c r="GHQ20" t="s">
        <v>6984</v>
      </c>
      <c r="GHR20" t="s">
        <v>6984</v>
      </c>
      <c r="GHS20" t="s">
        <v>6984</v>
      </c>
      <c r="GHT20" t="s">
        <v>6984</v>
      </c>
      <c r="GHU20" t="s">
        <v>6984</v>
      </c>
      <c r="GHV20" t="s">
        <v>6984</v>
      </c>
      <c r="GHW20" t="s">
        <v>6984</v>
      </c>
      <c r="GHX20" t="s">
        <v>6984</v>
      </c>
      <c r="GHY20" t="s">
        <v>6984</v>
      </c>
      <c r="GHZ20" t="s">
        <v>6984</v>
      </c>
      <c r="GIA20" t="s">
        <v>6984</v>
      </c>
      <c r="GIB20" t="s">
        <v>6984</v>
      </c>
      <c r="GIC20" t="s">
        <v>6984</v>
      </c>
      <c r="GID20" t="s">
        <v>6984</v>
      </c>
      <c r="GIE20" t="s">
        <v>6984</v>
      </c>
      <c r="GIF20" t="s">
        <v>6984</v>
      </c>
      <c r="GIG20" t="s">
        <v>6984</v>
      </c>
      <c r="GIH20" t="s">
        <v>6984</v>
      </c>
      <c r="GII20" t="s">
        <v>6984</v>
      </c>
      <c r="GIJ20" t="s">
        <v>6984</v>
      </c>
      <c r="GIK20" t="s">
        <v>6984</v>
      </c>
      <c r="GIL20" t="s">
        <v>6984</v>
      </c>
      <c r="GIM20" t="s">
        <v>6984</v>
      </c>
      <c r="GIN20" t="s">
        <v>6984</v>
      </c>
      <c r="GIO20" t="s">
        <v>6984</v>
      </c>
      <c r="GIP20" t="s">
        <v>6984</v>
      </c>
      <c r="GIQ20" t="s">
        <v>6984</v>
      </c>
      <c r="GIR20" t="s">
        <v>6984</v>
      </c>
      <c r="GIS20" t="s">
        <v>6984</v>
      </c>
      <c r="GIT20" t="s">
        <v>6984</v>
      </c>
      <c r="GIU20" t="s">
        <v>6984</v>
      </c>
      <c r="GIV20" t="s">
        <v>6984</v>
      </c>
      <c r="GIW20" t="s">
        <v>6984</v>
      </c>
      <c r="GIX20" t="s">
        <v>6984</v>
      </c>
      <c r="GIY20" t="s">
        <v>6984</v>
      </c>
      <c r="GIZ20" t="s">
        <v>6984</v>
      </c>
      <c r="GJA20" t="s">
        <v>6984</v>
      </c>
      <c r="GJB20" t="s">
        <v>6984</v>
      </c>
      <c r="GJC20" t="s">
        <v>6984</v>
      </c>
      <c r="GJD20" t="s">
        <v>6984</v>
      </c>
      <c r="GJE20" t="s">
        <v>6984</v>
      </c>
      <c r="GJF20" t="s">
        <v>6984</v>
      </c>
      <c r="GJG20" t="s">
        <v>6984</v>
      </c>
      <c r="GJH20" t="s">
        <v>6984</v>
      </c>
      <c r="GJI20" t="s">
        <v>6984</v>
      </c>
      <c r="GJJ20" t="s">
        <v>6984</v>
      </c>
      <c r="GJK20" t="s">
        <v>6984</v>
      </c>
      <c r="GJL20" t="s">
        <v>6984</v>
      </c>
      <c r="GJM20" t="s">
        <v>6984</v>
      </c>
      <c r="GJN20" t="s">
        <v>6984</v>
      </c>
      <c r="GJO20" t="s">
        <v>6984</v>
      </c>
      <c r="GJP20" t="s">
        <v>6984</v>
      </c>
      <c r="GJQ20" t="s">
        <v>6984</v>
      </c>
      <c r="GJR20" t="s">
        <v>6984</v>
      </c>
      <c r="GJS20" t="s">
        <v>6984</v>
      </c>
      <c r="GJT20" t="s">
        <v>6984</v>
      </c>
      <c r="GJU20" t="s">
        <v>6984</v>
      </c>
      <c r="GJV20" t="s">
        <v>6984</v>
      </c>
      <c r="GJW20" t="s">
        <v>6984</v>
      </c>
      <c r="GJX20" t="s">
        <v>6984</v>
      </c>
      <c r="GJY20" t="s">
        <v>6984</v>
      </c>
      <c r="GJZ20" t="s">
        <v>6984</v>
      </c>
      <c r="GKA20" t="s">
        <v>6984</v>
      </c>
      <c r="GKB20" t="s">
        <v>6984</v>
      </c>
      <c r="GKC20" t="s">
        <v>6984</v>
      </c>
      <c r="GKD20" t="s">
        <v>6984</v>
      </c>
      <c r="GKE20" t="s">
        <v>6984</v>
      </c>
      <c r="GKF20" t="s">
        <v>6984</v>
      </c>
      <c r="GKG20" t="s">
        <v>6984</v>
      </c>
      <c r="GKH20" t="s">
        <v>6984</v>
      </c>
      <c r="GKI20" t="s">
        <v>6984</v>
      </c>
      <c r="GKJ20" t="s">
        <v>6984</v>
      </c>
      <c r="GKK20" t="s">
        <v>6984</v>
      </c>
      <c r="GKL20" t="s">
        <v>6984</v>
      </c>
      <c r="GKM20" t="s">
        <v>6984</v>
      </c>
      <c r="GKN20" t="s">
        <v>6984</v>
      </c>
      <c r="GKO20" t="s">
        <v>6984</v>
      </c>
      <c r="GKP20" t="s">
        <v>6984</v>
      </c>
      <c r="GKQ20" t="s">
        <v>6984</v>
      </c>
      <c r="GKR20" t="s">
        <v>6984</v>
      </c>
      <c r="GKS20" t="s">
        <v>6984</v>
      </c>
      <c r="GKT20" t="s">
        <v>6984</v>
      </c>
      <c r="GKU20" t="s">
        <v>6984</v>
      </c>
      <c r="GKV20" t="s">
        <v>6984</v>
      </c>
      <c r="GKW20" t="s">
        <v>6984</v>
      </c>
      <c r="GKX20" t="s">
        <v>6984</v>
      </c>
      <c r="GKY20" t="s">
        <v>6984</v>
      </c>
      <c r="GKZ20" t="s">
        <v>6984</v>
      </c>
      <c r="GLA20" t="s">
        <v>6984</v>
      </c>
      <c r="GLB20" t="s">
        <v>6984</v>
      </c>
      <c r="GLC20" t="s">
        <v>6984</v>
      </c>
      <c r="GLD20" t="s">
        <v>6984</v>
      </c>
      <c r="GLE20" t="s">
        <v>6984</v>
      </c>
      <c r="GLF20" t="s">
        <v>6984</v>
      </c>
      <c r="GLG20" t="s">
        <v>6984</v>
      </c>
      <c r="GLH20" t="s">
        <v>6984</v>
      </c>
      <c r="GLI20" t="s">
        <v>6984</v>
      </c>
      <c r="GLJ20" t="s">
        <v>6984</v>
      </c>
      <c r="GLK20" t="s">
        <v>6984</v>
      </c>
      <c r="GLL20" t="s">
        <v>6984</v>
      </c>
      <c r="GLM20" t="s">
        <v>6984</v>
      </c>
      <c r="GLN20" t="s">
        <v>6984</v>
      </c>
      <c r="GLO20" t="s">
        <v>6984</v>
      </c>
      <c r="GLP20" t="s">
        <v>6984</v>
      </c>
      <c r="GLQ20" t="s">
        <v>6984</v>
      </c>
      <c r="GLR20" t="s">
        <v>6984</v>
      </c>
      <c r="GLS20" t="s">
        <v>6984</v>
      </c>
      <c r="GLT20" t="s">
        <v>6984</v>
      </c>
      <c r="GLU20" t="s">
        <v>6984</v>
      </c>
      <c r="GLV20" t="s">
        <v>6984</v>
      </c>
      <c r="GLW20" t="s">
        <v>6984</v>
      </c>
      <c r="GLX20" t="s">
        <v>6984</v>
      </c>
      <c r="GLY20" t="s">
        <v>6984</v>
      </c>
      <c r="GLZ20" t="s">
        <v>6984</v>
      </c>
      <c r="GMA20" t="s">
        <v>6984</v>
      </c>
      <c r="GMB20" t="s">
        <v>6984</v>
      </c>
      <c r="GMC20" t="s">
        <v>6984</v>
      </c>
      <c r="GMD20" t="s">
        <v>6984</v>
      </c>
      <c r="GME20" t="s">
        <v>6984</v>
      </c>
      <c r="GMF20" t="s">
        <v>6984</v>
      </c>
      <c r="GMG20" t="s">
        <v>6984</v>
      </c>
      <c r="GMH20" t="s">
        <v>6984</v>
      </c>
      <c r="GMI20" t="s">
        <v>6984</v>
      </c>
      <c r="GMJ20" t="s">
        <v>6984</v>
      </c>
      <c r="GMK20" t="s">
        <v>6984</v>
      </c>
      <c r="GML20" t="s">
        <v>6984</v>
      </c>
      <c r="GMM20" t="s">
        <v>6984</v>
      </c>
      <c r="GMN20" t="s">
        <v>6984</v>
      </c>
      <c r="GMO20" t="s">
        <v>6984</v>
      </c>
      <c r="GMP20" t="s">
        <v>6984</v>
      </c>
      <c r="GMQ20" t="s">
        <v>6984</v>
      </c>
      <c r="GMR20" t="s">
        <v>6984</v>
      </c>
      <c r="GMS20" t="s">
        <v>6984</v>
      </c>
      <c r="GMT20" t="s">
        <v>6984</v>
      </c>
      <c r="GMU20" t="s">
        <v>6984</v>
      </c>
      <c r="GMV20" t="s">
        <v>6984</v>
      </c>
      <c r="GMW20" t="s">
        <v>6984</v>
      </c>
      <c r="GMX20" t="s">
        <v>6984</v>
      </c>
      <c r="GMY20" t="s">
        <v>6984</v>
      </c>
      <c r="GMZ20" t="s">
        <v>6984</v>
      </c>
      <c r="GNA20" t="s">
        <v>6984</v>
      </c>
      <c r="GNB20" t="s">
        <v>6984</v>
      </c>
      <c r="GNC20" t="s">
        <v>6984</v>
      </c>
      <c r="GND20" t="s">
        <v>6984</v>
      </c>
      <c r="GNE20" t="s">
        <v>6984</v>
      </c>
      <c r="GNF20" t="s">
        <v>6984</v>
      </c>
      <c r="GNG20" t="s">
        <v>6984</v>
      </c>
      <c r="GNH20" t="s">
        <v>6984</v>
      </c>
      <c r="GNI20" t="s">
        <v>6984</v>
      </c>
      <c r="GNJ20" t="s">
        <v>6984</v>
      </c>
      <c r="GNK20" t="s">
        <v>6984</v>
      </c>
      <c r="GNL20" t="s">
        <v>6984</v>
      </c>
      <c r="GNM20" t="s">
        <v>6984</v>
      </c>
      <c r="GNN20" t="s">
        <v>6984</v>
      </c>
      <c r="GNO20" t="s">
        <v>6984</v>
      </c>
      <c r="GNP20" t="s">
        <v>6984</v>
      </c>
      <c r="GNQ20" t="s">
        <v>6984</v>
      </c>
      <c r="GNR20" t="s">
        <v>6984</v>
      </c>
      <c r="GNS20" t="s">
        <v>6984</v>
      </c>
      <c r="GNT20" t="s">
        <v>6984</v>
      </c>
      <c r="GNU20" t="s">
        <v>6984</v>
      </c>
      <c r="GNV20" t="s">
        <v>6984</v>
      </c>
      <c r="GNW20" t="s">
        <v>6984</v>
      </c>
      <c r="GNX20" t="s">
        <v>6984</v>
      </c>
      <c r="GNY20" t="s">
        <v>6984</v>
      </c>
      <c r="GNZ20" t="s">
        <v>6984</v>
      </c>
      <c r="GOA20" t="s">
        <v>6984</v>
      </c>
      <c r="GOB20" t="s">
        <v>6984</v>
      </c>
      <c r="GOC20" t="s">
        <v>6984</v>
      </c>
      <c r="GOD20" t="s">
        <v>6984</v>
      </c>
      <c r="GOE20" t="s">
        <v>6984</v>
      </c>
      <c r="GOF20" t="s">
        <v>6984</v>
      </c>
      <c r="GOG20" t="s">
        <v>6984</v>
      </c>
      <c r="GOH20" t="s">
        <v>6984</v>
      </c>
      <c r="GOI20" t="s">
        <v>6984</v>
      </c>
      <c r="GOJ20" t="s">
        <v>6984</v>
      </c>
      <c r="GOK20" t="s">
        <v>6984</v>
      </c>
      <c r="GOL20" t="s">
        <v>6984</v>
      </c>
      <c r="GOM20" t="s">
        <v>6984</v>
      </c>
      <c r="GON20" t="s">
        <v>6984</v>
      </c>
      <c r="GOO20" t="s">
        <v>6984</v>
      </c>
      <c r="GOP20" t="s">
        <v>6984</v>
      </c>
      <c r="GOQ20" t="s">
        <v>6984</v>
      </c>
      <c r="GOR20" t="s">
        <v>6984</v>
      </c>
      <c r="GOS20" t="s">
        <v>6984</v>
      </c>
      <c r="GOT20" t="s">
        <v>6984</v>
      </c>
      <c r="GOU20" t="s">
        <v>6984</v>
      </c>
      <c r="GOV20" t="s">
        <v>6984</v>
      </c>
      <c r="GOW20" t="s">
        <v>6984</v>
      </c>
      <c r="GOX20" t="s">
        <v>6984</v>
      </c>
      <c r="GOY20" t="s">
        <v>6984</v>
      </c>
      <c r="GOZ20" t="s">
        <v>6984</v>
      </c>
      <c r="GPA20" t="s">
        <v>6984</v>
      </c>
      <c r="GPB20" t="s">
        <v>6984</v>
      </c>
      <c r="GPC20" t="s">
        <v>6984</v>
      </c>
      <c r="GPD20" t="s">
        <v>6984</v>
      </c>
      <c r="GPE20" t="s">
        <v>6984</v>
      </c>
      <c r="GPF20" t="s">
        <v>6984</v>
      </c>
      <c r="GPG20" t="s">
        <v>6984</v>
      </c>
      <c r="GPH20" t="s">
        <v>6984</v>
      </c>
      <c r="GPI20" t="s">
        <v>6984</v>
      </c>
      <c r="GPJ20" t="s">
        <v>6984</v>
      </c>
      <c r="GPK20" t="s">
        <v>6984</v>
      </c>
      <c r="GPL20" t="s">
        <v>6984</v>
      </c>
      <c r="GPM20" t="s">
        <v>6984</v>
      </c>
      <c r="GPN20" t="s">
        <v>6984</v>
      </c>
      <c r="GPO20" t="s">
        <v>6984</v>
      </c>
      <c r="GPP20" t="s">
        <v>6984</v>
      </c>
      <c r="GPQ20" t="s">
        <v>6984</v>
      </c>
      <c r="GPR20" t="s">
        <v>6984</v>
      </c>
      <c r="GPS20" t="s">
        <v>6984</v>
      </c>
      <c r="GPT20" t="s">
        <v>6984</v>
      </c>
      <c r="GPU20" t="s">
        <v>6984</v>
      </c>
      <c r="GPV20" t="s">
        <v>6984</v>
      </c>
      <c r="GPW20" t="s">
        <v>6984</v>
      </c>
      <c r="GPX20" t="s">
        <v>6984</v>
      </c>
      <c r="GPY20" t="s">
        <v>6984</v>
      </c>
      <c r="GPZ20" t="s">
        <v>6984</v>
      </c>
      <c r="GQA20" t="s">
        <v>6984</v>
      </c>
      <c r="GQB20" t="s">
        <v>6984</v>
      </c>
      <c r="GQC20" t="s">
        <v>6984</v>
      </c>
      <c r="GQD20" t="s">
        <v>6984</v>
      </c>
      <c r="GQE20" t="s">
        <v>6984</v>
      </c>
      <c r="GQF20" t="s">
        <v>6984</v>
      </c>
      <c r="GQG20" t="s">
        <v>6984</v>
      </c>
      <c r="GQH20" t="s">
        <v>6984</v>
      </c>
      <c r="GQI20" t="s">
        <v>6984</v>
      </c>
      <c r="GQJ20" t="s">
        <v>6984</v>
      </c>
      <c r="GQK20" t="s">
        <v>6984</v>
      </c>
      <c r="GQL20" t="s">
        <v>6984</v>
      </c>
      <c r="GQM20" t="s">
        <v>6984</v>
      </c>
      <c r="GQN20" t="s">
        <v>6984</v>
      </c>
      <c r="GQO20" t="s">
        <v>6984</v>
      </c>
      <c r="GQP20" t="s">
        <v>6984</v>
      </c>
      <c r="GQQ20" t="s">
        <v>6984</v>
      </c>
      <c r="GQR20" t="s">
        <v>6984</v>
      </c>
      <c r="GQS20" t="s">
        <v>6984</v>
      </c>
      <c r="GQT20" t="s">
        <v>6984</v>
      </c>
      <c r="GQU20" t="s">
        <v>6984</v>
      </c>
      <c r="GQV20" t="s">
        <v>6984</v>
      </c>
      <c r="GQW20" t="s">
        <v>6984</v>
      </c>
      <c r="GQX20" t="s">
        <v>6984</v>
      </c>
      <c r="GQY20" t="s">
        <v>6984</v>
      </c>
      <c r="GQZ20" t="s">
        <v>6984</v>
      </c>
      <c r="GRA20" t="s">
        <v>6984</v>
      </c>
      <c r="GRB20" t="s">
        <v>6984</v>
      </c>
      <c r="GRC20" t="s">
        <v>6984</v>
      </c>
      <c r="GRD20" t="s">
        <v>6984</v>
      </c>
      <c r="GRE20" t="s">
        <v>6984</v>
      </c>
      <c r="GRF20" t="s">
        <v>6984</v>
      </c>
      <c r="GRG20" t="s">
        <v>6984</v>
      </c>
      <c r="GRH20" t="s">
        <v>6984</v>
      </c>
      <c r="GRI20" t="s">
        <v>6984</v>
      </c>
      <c r="GRJ20" t="s">
        <v>6984</v>
      </c>
      <c r="GRK20" t="s">
        <v>6984</v>
      </c>
      <c r="GRL20" t="s">
        <v>6984</v>
      </c>
      <c r="GRM20" t="s">
        <v>6984</v>
      </c>
      <c r="GRN20" t="s">
        <v>6984</v>
      </c>
      <c r="GRO20" t="s">
        <v>6984</v>
      </c>
      <c r="GRP20" t="s">
        <v>6984</v>
      </c>
      <c r="GRQ20" t="s">
        <v>6984</v>
      </c>
      <c r="GRR20" t="s">
        <v>6984</v>
      </c>
      <c r="GRS20" t="s">
        <v>6984</v>
      </c>
      <c r="GRT20" t="s">
        <v>6984</v>
      </c>
      <c r="GRU20" t="s">
        <v>6984</v>
      </c>
      <c r="GRV20" t="s">
        <v>6984</v>
      </c>
      <c r="GRW20" t="s">
        <v>6984</v>
      </c>
      <c r="GRX20" t="s">
        <v>6984</v>
      </c>
      <c r="GRY20" t="s">
        <v>6984</v>
      </c>
      <c r="GRZ20" t="s">
        <v>6984</v>
      </c>
      <c r="GSA20" t="s">
        <v>6984</v>
      </c>
      <c r="GSB20" t="s">
        <v>6984</v>
      </c>
      <c r="GSC20" t="s">
        <v>6984</v>
      </c>
      <c r="GSD20" t="s">
        <v>6984</v>
      </c>
      <c r="GSE20" t="s">
        <v>6984</v>
      </c>
      <c r="GSF20" t="s">
        <v>6984</v>
      </c>
      <c r="GSG20" t="s">
        <v>6984</v>
      </c>
      <c r="GSH20" t="s">
        <v>6984</v>
      </c>
      <c r="GSI20" t="s">
        <v>6984</v>
      </c>
      <c r="GSJ20" t="s">
        <v>6984</v>
      </c>
      <c r="GSK20" t="s">
        <v>6984</v>
      </c>
      <c r="GSL20" t="s">
        <v>6984</v>
      </c>
      <c r="GSM20" t="s">
        <v>6984</v>
      </c>
      <c r="GSN20" t="s">
        <v>6984</v>
      </c>
      <c r="GSO20" t="s">
        <v>6984</v>
      </c>
      <c r="GSP20" t="s">
        <v>6984</v>
      </c>
      <c r="GSQ20" t="s">
        <v>6984</v>
      </c>
      <c r="GSR20" t="s">
        <v>6984</v>
      </c>
      <c r="GSS20" t="s">
        <v>6984</v>
      </c>
      <c r="GST20" t="s">
        <v>6984</v>
      </c>
      <c r="GSU20" t="s">
        <v>6984</v>
      </c>
      <c r="GSV20" t="s">
        <v>6984</v>
      </c>
      <c r="GSW20" t="s">
        <v>6984</v>
      </c>
      <c r="GSX20" t="s">
        <v>6984</v>
      </c>
      <c r="GSY20" t="s">
        <v>6984</v>
      </c>
      <c r="GSZ20" t="s">
        <v>6984</v>
      </c>
      <c r="GTA20" t="s">
        <v>6984</v>
      </c>
      <c r="GTB20" t="s">
        <v>6984</v>
      </c>
      <c r="GTC20" t="s">
        <v>6984</v>
      </c>
      <c r="GTD20" t="s">
        <v>6984</v>
      </c>
      <c r="GTE20" t="s">
        <v>6984</v>
      </c>
      <c r="GTF20" t="s">
        <v>6984</v>
      </c>
      <c r="GTG20" t="s">
        <v>6984</v>
      </c>
      <c r="GTH20" t="s">
        <v>6984</v>
      </c>
      <c r="GTI20" t="s">
        <v>6984</v>
      </c>
      <c r="GTJ20" t="s">
        <v>6984</v>
      </c>
      <c r="GTK20" t="s">
        <v>6984</v>
      </c>
      <c r="GTL20" t="s">
        <v>6984</v>
      </c>
      <c r="GTM20" t="s">
        <v>6984</v>
      </c>
      <c r="GTN20" t="s">
        <v>6984</v>
      </c>
      <c r="GTO20" t="s">
        <v>6984</v>
      </c>
      <c r="GTP20" t="s">
        <v>6984</v>
      </c>
      <c r="GTQ20" t="s">
        <v>6984</v>
      </c>
      <c r="GTR20" t="s">
        <v>6984</v>
      </c>
      <c r="GTS20" t="s">
        <v>6984</v>
      </c>
      <c r="GTT20" t="s">
        <v>6984</v>
      </c>
      <c r="GTU20" t="s">
        <v>6984</v>
      </c>
      <c r="GTV20" t="s">
        <v>6984</v>
      </c>
      <c r="GTW20" t="s">
        <v>6984</v>
      </c>
      <c r="GTX20" t="s">
        <v>6984</v>
      </c>
      <c r="GTY20" t="s">
        <v>6984</v>
      </c>
      <c r="GTZ20" t="s">
        <v>6984</v>
      </c>
      <c r="GUA20" t="s">
        <v>6984</v>
      </c>
      <c r="GUB20" t="s">
        <v>6984</v>
      </c>
      <c r="GUC20" t="s">
        <v>6984</v>
      </c>
      <c r="GUD20" t="s">
        <v>6984</v>
      </c>
      <c r="GUE20" t="s">
        <v>6984</v>
      </c>
      <c r="GUF20" t="s">
        <v>6984</v>
      </c>
      <c r="GUG20" t="s">
        <v>6984</v>
      </c>
      <c r="GUH20" t="s">
        <v>6984</v>
      </c>
      <c r="GUI20" t="s">
        <v>6984</v>
      </c>
      <c r="GUJ20" t="s">
        <v>6984</v>
      </c>
      <c r="GUK20" t="s">
        <v>6984</v>
      </c>
      <c r="GUL20" t="s">
        <v>6984</v>
      </c>
      <c r="GUM20" t="s">
        <v>6984</v>
      </c>
      <c r="GUN20" t="s">
        <v>6984</v>
      </c>
      <c r="GUO20" t="s">
        <v>6984</v>
      </c>
      <c r="GUP20" t="s">
        <v>6984</v>
      </c>
      <c r="GUQ20" t="s">
        <v>6984</v>
      </c>
      <c r="GUR20" t="s">
        <v>6984</v>
      </c>
      <c r="GUS20" t="s">
        <v>6984</v>
      </c>
      <c r="GUT20" t="s">
        <v>6984</v>
      </c>
      <c r="GUU20" t="s">
        <v>6984</v>
      </c>
      <c r="GUV20" t="s">
        <v>6984</v>
      </c>
      <c r="GUW20" t="s">
        <v>6984</v>
      </c>
      <c r="GUX20" t="s">
        <v>6984</v>
      </c>
      <c r="GUY20" t="s">
        <v>6984</v>
      </c>
      <c r="GUZ20" t="s">
        <v>6984</v>
      </c>
      <c r="GVA20" t="s">
        <v>6984</v>
      </c>
      <c r="GVB20" t="s">
        <v>6984</v>
      </c>
      <c r="GVC20" t="s">
        <v>6984</v>
      </c>
      <c r="GVD20" t="s">
        <v>6984</v>
      </c>
      <c r="GVE20" t="s">
        <v>6984</v>
      </c>
      <c r="GVF20" t="s">
        <v>6984</v>
      </c>
      <c r="GVG20" t="s">
        <v>6984</v>
      </c>
      <c r="GVH20" t="s">
        <v>6984</v>
      </c>
      <c r="GVI20" t="s">
        <v>6984</v>
      </c>
      <c r="GVJ20" t="s">
        <v>6984</v>
      </c>
      <c r="GVK20" t="s">
        <v>6984</v>
      </c>
      <c r="GVL20" t="s">
        <v>6984</v>
      </c>
      <c r="GVM20" t="s">
        <v>6984</v>
      </c>
      <c r="GVN20" t="s">
        <v>6984</v>
      </c>
      <c r="GVO20" t="s">
        <v>6984</v>
      </c>
      <c r="GVP20" t="s">
        <v>6984</v>
      </c>
      <c r="GVQ20" t="s">
        <v>6984</v>
      </c>
      <c r="GVR20" t="s">
        <v>6984</v>
      </c>
      <c r="GVS20" t="s">
        <v>6984</v>
      </c>
      <c r="GVT20" t="s">
        <v>6984</v>
      </c>
      <c r="GVU20" t="s">
        <v>6984</v>
      </c>
      <c r="GVV20" t="s">
        <v>6984</v>
      </c>
      <c r="GVW20" t="s">
        <v>6984</v>
      </c>
      <c r="GVX20" t="s">
        <v>6984</v>
      </c>
      <c r="GVY20" t="s">
        <v>6984</v>
      </c>
      <c r="GVZ20" t="s">
        <v>6984</v>
      </c>
      <c r="GWA20" t="s">
        <v>6984</v>
      </c>
      <c r="GWB20" t="s">
        <v>6984</v>
      </c>
      <c r="GWC20" t="s">
        <v>6984</v>
      </c>
      <c r="GWD20" t="s">
        <v>6984</v>
      </c>
      <c r="GWE20" t="s">
        <v>6984</v>
      </c>
      <c r="GWF20" t="s">
        <v>6984</v>
      </c>
      <c r="GWG20" t="s">
        <v>6984</v>
      </c>
      <c r="GWH20" t="s">
        <v>6984</v>
      </c>
      <c r="GWI20" t="s">
        <v>6984</v>
      </c>
      <c r="GWJ20" t="s">
        <v>6984</v>
      </c>
      <c r="GWK20" t="s">
        <v>6984</v>
      </c>
      <c r="GWL20" t="s">
        <v>6984</v>
      </c>
      <c r="GWM20" t="s">
        <v>6984</v>
      </c>
      <c r="GWN20" t="s">
        <v>6984</v>
      </c>
      <c r="GWO20" t="s">
        <v>6984</v>
      </c>
      <c r="GWP20" t="s">
        <v>6984</v>
      </c>
      <c r="GWQ20" t="s">
        <v>6984</v>
      </c>
      <c r="GWR20" t="s">
        <v>6984</v>
      </c>
      <c r="GWS20" t="s">
        <v>6984</v>
      </c>
      <c r="GWT20" t="s">
        <v>6984</v>
      </c>
      <c r="GWU20" t="s">
        <v>6984</v>
      </c>
      <c r="GWV20" t="s">
        <v>6984</v>
      </c>
      <c r="GWW20" t="s">
        <v>6984</v>
      </c>
      <c r="GWX20" t="s">
        <v>6984</v>
      </c>
      <c r="GWY20" t="s">
        <v>6984</v>
      </c>
      <c r="GWZ20" t="s">
        <v>6984</v>
      </c>
      <c r="GXA20" t="s">
        <v>6984</v>
      </c>
      <c r="GXB20" t="s">
        <v>6984</v>
      </c>
      <c r="GXC20" t="s">
        <v>6984</v>
      </c>
      <c r="GXD20" t="s">
        <v>6984</v>
      </c>
      <c r="GXE20" t="s">
        <v>6984</v>
      </c>
      <c r="GXF20" t="s">
        <v>6984</v>
      </c>
      <c r="GXG20" t="s">
        <v>6984</v>
      </c>
      <c r="GXH20" t="s">
        <v>6984</v>
      </c>
      <c r="GXI20" t="s">
        <v>6984</v>
      </c>
      <c r="GXJ20" t="s">
        <v>6984</v>
      </c>
      <c r="GXK20" t="s">
        <v>6984</v>
      </c>
      <c r="GXL20" t="s">
        <v>6984</v>
      </c>
      <c r="GXM20" t="s">
        <v>6984</v>
      </c>
      <c r="GXN20" t="s">
        <v>6984</v>
      </c>
      <c r="GXO20" t="s">
        <v>6984</v>
      </c>
      <c r="GXP20" t="s">
        <v>6984</v>
      </c>
      <c r="GXQ20" t="s">
        <v>6984</v>
      </c>
      <c r="GXR20" t="s">
        <v>6984</v>
      </c>
      <c r="GXS20" t="s">
        <v>6984</v>
      </c>
      <c r="GXT20" t="s">
        <v>6984</v>
      </c>
      <c r="GXU20" t="s">
        <v>6984</v>
      </c>
      <c r="GXV20" t="s">
        <v>6984</v>
      </c>
      <c r="GXW20" t="s">
        <v>6984</v>
      </c>
      <c r="GXX20" t="s">
        <v>6984</v>
      </c>
      <c r="GXY20" t="s">
        <v>6984</v>
      </c>
      <c r="GXZ20" t="s">
        <v>6984</v>
      </c>
      <c r="GYA20" t="s">
        <v>6984</v>
      </c>
      <c r="GYB20" t="s">
        <v>6984</v>
      </c>
      <c r="GYC20" t="s">
        <v>6984</v>
      </c>
      <c r="GYD20" t="s">
        <v>6984</v>
      </c>
      <c r="GYE20" t="s">
        <v>6984</v>
      </c>
      <c r="GYF20" t="s">
        <v>6984</v>
      </c>
      <c r="GYG20" t="s">
        <v>6984</v>
      </c>
      <c r="GYH20" t="s">
        <v>6984</v>
      </c>
      <c r="GYI20" t="s">
        <v>6984</v>
      </c>
      <c r="GYJ20" t="s">
        <v>6984</v>
      </c>
      <c r="GYK20" t="s">
        <v>6984</v>
      </c>
      <c r="GYL20" t="s">
        <v>6984</v>
      </c>
      <c r="GYM20" t="s">
        <v>6984</v>
      </c>
      <c r="GYN20" t="s">
        <v>6984</v>
      </c>
      <c r="GYO20" t="s">
        <v>6984</v>
      </c>
      <c r="GYP20" t="s">
        <v>6984</v>
      </c>
      <c r="GYQ20" t="s">
        <v>6984</v>
      </c>
      <c r="GYR20" t="s">
        <v>6984</v>
      </c>
      <c r="GYS20" t="s">
        <v>6984</v>
      </c>
      <c r="GYT20" t="s">
        <v>6984</v>
      </c>
      <c r="GYU20" t="s">
        <v>6984</v>
      </c>
      <c r="GYV20" t="s">
        <v>6984</v>
      </c>
      <c r="GYW20" t="s">
        <v>6984</v>
      </c>
      <c r="GYX20" t="s">
        <v>6984</v>
      </c>
      <c r="GYY20" t="s">
        <v>6984</v>
      </c>
      <c r="GYZ20" t="s">
        <v>6984</v>
      </c>
      <c r="GZA20" t="s">
        <v>6984</v>
      </c>
      <c r="GZB20" t="s">
        <v>6984</v>
      </c>
      <c r="GZC20" t="s">
        <v>6984</v>
      </c>
      <c r="GZD20" t="s">
        <v>6984</v>
      </c>
      <c r="GZE20" t="s">
        <v>6984</v>
      </c>
      <c r="GZF20" t="s">
        <v>6984</v>
      </c>
      <c r="GZG20" t="s">
        <v>6984</v>
      </c>
      <c r="GZH20" t="s">
        <v>6984</v>
      </c>
      <c r="GZI20" t="s">
        <v>6984</v>
      </c>
      <c r="GZJ20" t="s">
        <v>6984</v>
      </c>
      <c r="GZK20" t="s">
        <v>6984</v>
      </c>
      <c r="GZL20" t="s">
        <v>6984</v>
      </c>
      <c r="GZM20" t="s">
        <v>6984</v>
      </c>
      <c r="GZN20" t="s">
        <v>6984</v>
      </c>
      <c r="GZO20" t="s">
        <v>6984</v>
      </c>
      <c r="GZP20" t="s">
        <v>6984</v>
      </c>
      <c r="GZQ20" t="s">
        <v>6984</v>
      </c>
      <c r="GZR20" t="s">
        <v>6984</v>
      </c>
      <c r="GZS20" t="s">
        <v>6984</v>
      </c>
      <c r="GZT20" t="s">
        <v>6984</v>
      </c>
      <c r="GZU20" t="s">
        <v>6984</v>
      </c>
      <c r="GZV20" t="s">
        <v>6984</v>
      </c>
      <c r="GZW20" t="s">
        <v>6984</v>
      </c>
      <c r="GZX20" t="s">
        <v>6984</v>
      </c>
      <c r="GZY20" t="s">
        <v>6984</v>
      </c>
      <c r="GZZ20" t="s">
        <v>6984</v>
      </c>
      <c r="HAA20" t="s">
        <v>6984</v>
      </c>
      <c r="HAB20" t="s">
        <v>6984</v>
      </c>
      <c r="HAC20" t="s">
        <v>6984</v>
      </c>
      <c r="HAD20" t="s">
        <v>6984</v>
      </c>
      <c r="HAE20" t="s">
        <v>6984</v>
      </c>
      <c r="HAF20" t="s">
        <v>6984</v>
      </c>
      <c r="HAG20" t="s">
        <v>6984</v>
      </c>
      <c r="HAH20" t="s">
        <v>6984</v>
      </c>
      <c r="HAI20" t="s">
        <v>6984</v>
      </c>
      <c r="HAJ20" t="s">
        <v>6984</v>
      </c>
      <c r="HAK20" t="s">
        <v>6984</v>
      </c>
      <c r="HAL20" t="s">
        <v>6984</v>
      </c>
      <c r="HAM20" t="s">
        <v>6984</v>
      </c>
      <c r="HAN20" t="s">
        <v>6984</v>
      </c>
      <c r="HAO20" t="s">
        <v>6984</v>
      </c>
      <c r="HAP20" t="s">
        <v>6984</v>
      </c>
      <c r="HAQ20" t="s">
        <v>6984</v>
      </c>
      <c r="HAR20" t="s">
        <v>6984</v>
      </c>
      <c r="HAS20" t="s">
        <v>6984</v>
      </c>
      <c r="HAT20" t="s">
        <v>6984</v>
      </c>
      <c r="HAU20" t="s">
        <v>6984</v>
      </c>
      <c r="HAV20" t="s">
        <v>6984</v>
      </c>
      <c r="HAW20" t="s">
        <v>6984</v>
      </c>
      <c r="HAX20" t="s">
        <v>6984</v>
      </c>
      <c r="HAY20" t="s">
        <v>6984</v>
      </c>
      <c r="HAZ20" t="s">
        <v>6984</v>
      </c>
      <c r="HBA20" t="s">
        <v>6984</v>
      </c>
      <c r="HBB20" t="s">
        <v>6984</v>
      </c>
      <c r="HBC20" t="s">
        <v>6984</v>
      </c>
      <c r="HBD20" t="s">
        <v>6984</v>
      </c>
      <c r="HBE20" t="s">
        <v>6984</v>
      </c>
      <c r="HBF20" t="s">
        <v>6984</v>
      </c>
      <c r="HBG20" t="s">
        <v>6984</v>
      </c>
      <c r="HBH20" t="s">
        <v>6984</v>
      </c>
      <c r="HBI20" t="s">
        <v>6984</v>
      </c>
      <c r="HBJ20" t="s">
        <v>6984</v>
      </c>
      <c r="HBK20" t="s">
        <v>6984</v>
      </c>
      <c r="HBL20" t="s">
        <v>6984</v>
      </c>
      <c r="HBM20" t="s">
        <v>6984</v>
      </c>
      <c r="HBN20" t="s">
        <v>6984</v>
      </c>
      <c r="HBO20" t="s">
        <v>6984</v>
      </c>
      <c r="HBP20" t="s">
        <v>6984</v>
      </c>
      <c r="HBQ20" t="s">
        <v>6984</v>
      </c>
      <c r="HBR20" t="s">
        <v>6984</v>
      </c>
      <c r="HBS20" t="s">
        <v>6984</v>
      </c>
      <c r="HBT20" t="s">
        <v>6984</v>
      </c>
      <c r="HBU20" t="s">
        <v>6984</v>
      </c>
      <c r="HBV20" t="s">
        <v>6984</v>
      </c>
      <c r="HBW20" t="s">
        <v>6984</v>
      </c>
      <c r="HBX20" t="s">
        <v>6984</v>
      </c>
      <c r="HBY20" t="s">
        <v>6984</v>
      </c>
      <c r="HBZ20" t="s">
        <v>6984</v>
      </c>
      <c r="HCA20" t="s">
        <v>6984</v>
      </c>
      <c r="HCB20" t="s">
        <v>6984</v>
      </c>
      <c r="HCC20" t="s">
        <v>6984</v>
      </c>
      <c r="HCD20" t="s">
        <v>6984</v>
      </c>
      <c r="HCE20" t="s">
        <v>6984</v>
      </c>
      <c r="HCF20" t="s">
        <v>6984</v>
      </c>
      <c r="HCG20" t="s">
        <v>6984</v>
      </c>
      <c r="HCH20" t="s">
        <v>6984</v>
      </c>
      <c r="HCI20" t="s">
        <v>6984</v>
      </c>
      <c r="HCJ20" t="s">
        <v>6984</v>
      </c>
      <c r="HCK20" t="s">
        <v>6984</v>
      </c>
      <c r="HCL20" t="s">
        <v>6984</v>
      </c>
      <c r="HCM20" t="s">
        <v>6984</v>
      </c>
      <c r="HCN20" t="s">
        <v>6984</v>
      </c>
      <c r="HCO20" t="s">
        <v>6984</v>
      </c>
      <c r="HCP20" t="s">
        <v>6984</v>
      </c>
      <c r="HCQ20" t="s">
        <v>6984</v>
      </c>
      <c r="HCR20" t="s">
        <v>6984</v>
      </c>
      <c r="HCS20" t="s">
        <v>6984</v>
      </c>
      <c r="HCT20" t="s">
        <v>6984</v>
      </c>
      <c r="HCU20" t="s">
        <v>6984</v>
      </c>
      <c r="HCV20" t="s">
        <v>6984</v>
      </c>
      <c r="HCW20" t="s">
        <v>6984</v>
      </c>
      <c r="HCX20" t="s">
        <v>6984</v>
      </c>
      <c r="HCY20" t="s">
        <v>6984</v>
      </c>
      <c r="HCZ20" t="s">
        <v>6984</v>
      </c>
      <c r="HDA20" t="s">
        <v>6984</v>
      </c>
      <c r="HDB20" t="s">
        <v>6984</v>
      </c>
      <c r="HDC20" t="s">
        <v>6984</v>
      </c>
      <c r="HDD20" t="s">
        <v>6984</v>
      </c>
      <c r="HDE20" t="s">
        <v>6984</v>
      </c>
      <c r="HDF20" t="s">
        <v>6984</v>
      </c>
      <c r="HDG20" t="s">
        <v>6984</v>
      </c>
      <c r="HDH20" t="s">
        <v>6984</v>
      </c>
      <c r="HDI20" t="s">
        <v>6984</v>
      </c>
      <c r="HDJ20" t="s">
        <v>6984</v>
      </c>
      <c r="HDK20" t="s">
        <v>6984</v>
      </c>
      <c r="HDL20" t="s">
        <v>6984</v>
      </c>
      <c r="HDM20" t="s">
        <v>6984</v>
      </c>
      <c r="HDN20" t="s">
        <v>6984</v>
      </c>
      <c r="HDO20" t="s">
        <v>6984</v>
      </c>
      <c r="HDP20" t="s">
        <v>6984</v>
      </c>
      <c r="HDQ20" t="s">
        <v>6984</v>
      </c>
      <c r="HDR20" t="s">
        <v>6984</v>
      </c>
      <c r="HDS20" t="s">
        <v>6984</v>
      </c>
      <c r="HDT20" t="s">
        <v>6984</v>
      </c>
      <c r="HDU20" t="s">
        <v>6984</v>
      </c>
      <c r="HDV20" t="s">
        <v>6984</v>
      </c>
      <c r="HDW20" t="s">
        <v>6984</v>
      </c>
      <c r="HDX20" t="s">
        <v>6984</v>
      </c>
      <c r="HDY20" t="s">
        <v>6984</v>
      </c>
      <c r="HDZ20" t="s">
        <v>6984</v>
      </c>
      <c r="HEA20" t="s">
        <v>6984</v>
      </c>
      <c r="HEB20" t="s">
        <v>6984</v>
      </c>
      <c r="HEC20" t="s">
        <v>6984</v>
      </c>
      <c r="HED20" t="s">
        <v>6984</v>
      </c>
      <c r="HEE20" t="s">
        <v>6984</v>
      </c>
      <c r="HEF20" t="s">
        <v>6984</v>
      </c>
      <c r="HEG20" t="s">
        <v>6984</v>
      </c>
      <c r="HEH20" t="s">
        <v>6984</v>
      </c>
      <c r="HEI20" t="s">
        <v>6984</v>
      </c>
      <c r="HEJ20" t="s">
        <v>6984</v>
      </c>
      <c r="HEK20" t="s">
        <v>6984</v>
      </c>
      <c r="HEL20" t="s">
        <v>6984</v>
      </c>
      <c r="HEM20" t="s">
        <v>6984</v>
      </c>
      <c r="HEN20" t="s">
        <v>6984</v>
      </c>
      <c r="HEO20" t="s">
        <v>6984</v>
      </c>
      <c r="HEP20" t="s">
        <v>6984</v>
      </c>
      <c r="HEQ20" t="s">
        <v>6984</v>
      </c>
      <c r="HER20" t="s">
        <v>6984</v>
      </c>
      <c r="HES20" t="s">
        <v>6984</v>
      </c>
      <c r="HET20" t="s">
        <v>6984</v>
      </c>
      <c r="HEU20" t="s">
        <v>6984</v>
      </c>
      <c r="HEV20" t="s">
        <v>6984</v>
      </c>
      <c r="HEW20" t="s">
        <v>6984</v>
      </c>
      <c r="HEX20" t="s">
        <v>6984</v>
      </c>
      <c r="HEY20" t="s">
        <v>6984</v>
      </c>
      <c r="HEZ20" t="s">
        <v>6984</v>
      </c>
      <c r="HFA20" t="s">
        <v>6984</v>
      </c>
      <c r="HFB20" t="s">
        <v>6984</v>
      </c>
      <c r="HFC20" t="s">
        <v>6984</v>
      </c>
      <c r="HFD20" t="s">
        <v>6984</v>
      </c>
      <c r="HFE20" t="s">
        <v>6984</v>
      </c>
      <c r="HFF20" t="s">
        <v>6984</v>
      </c>
      <c r="HFG20" t="s">
        <v>6984</v>
      </c>
      <c r="HFH20" t="s">
        <v>6984</v>
      </c>
      <c r="HFI20" t="s">
        <v>6984</v>
      </c>
      <c r="HFJ20" t="s">
        <v>6984</v>
      </c>
      <c r="HFK20" t="s">
        <v>6984</v>
      </c>
      <c r="HFL20" t="s">
        <v>6984</v>
      </c>
      <c r="HFM20" t="s">
        <v>6984</v>
      </c>
      <c r="HFN20" t="s">
        <v>6984</v>
      </c>
      <c r="HFO20" t="s">
        <v>6984</v>
      </c>
      <c r="HFP20" t="s">
        <v>6984</v>
      </c>
      <c r="HFQ20" t="s">
        <v>6984</v>
      </c>
      <c r="HFR20" t="s">
        <v>6984</v>
      </c>
      <c r="HFS20" t="s">
        <v>6984</v>
      </c>
      <c r="HFT20" t="s">
        <v>6984</v>
      </c>
      <c r="HFU20" t="s">
        <v>6984</v>
      </c>
      <c r="HFV20" t="s">
        <v>6984</v>
      </c>
      <c r="HFW20" t="s">
        <v>6984</v>
      </c>
      <c r="HFX20" t="s">
        <v>6984</v>
      </c>
      <c r="HFY20" t="s">
        <v>6984</v>
      </c>
      <c r="HFZ20" t="s">
        <v>6984</v>
      </c>
      <c r="HGA20" t="s">
        <v>6984</v>
      </c>
      <c r="HGB20" t="s">
        <v>6984</v>
      </c>
      <c r="HGC20" t="s">
        <v>6984</v>
      </c>
      <c r="HGD20" t="s">
        <v>6984</v>
      </c>
      <c r="HGE20" t="s">
        <v>6984</v>
      </c>
      <c r="HGF20" t="s">
        <v>6984</v>
      </c>
      <c r="HGG20" t="s">
        <v>6984</v>
      </c>
      <c r="HGH20" t="s">
        <v>6984</v>
      </c>
      <c r="HGI20" t="s">
        <v>6984</v>
      </c>
      <c r="HGJ20" t="s">
        <v>6984</v>
      </c>
      <c r="HGK20" t="s">
        <v>6984</v>
      </c>
      <c r="HGL20" t="s">
        <v>6984</v>
      </c>
      <c r="HGM20" t="s">
        <v>6984</v>
      </c>
      <c r="HGN20" t="s">
        <v>6984</v>
      </c>
      <c r="HGO20" t="s">
        <v>6984</v>
      </c>
      <c r="HGP20" t="s">
        <v>6984</v>
      </c>
      <c r="HGQ20" t="s">
        <v>6984</v>
      </c>
      <c r="HGR20" t="s">
        <v>6984</v>
      </c>
      <c r="HGS20" t="s">
        <v>6984</v>
      </c>
      <c r="HGT20" t="s">
        <v>6984</v>
      </c>
      <c r="HGU20" t="s">
        <v>6984</v>
      </c>
      <c r="HGV20" t="s">
        <v>6984</v>
      </c>
      <c r="HGW20" t="s">
        <v>6984</v>
      </c>
      <c r="HGX20" t="s">
        <v>6984</v>
      </c>
      <c r="HGY20" t="s">
        <v>6984</v>
      </c>
      <c r="HGZ20" t="s">
        <v>6984</v>
      </c>
      <c r="HHA20" t="s">
        <v>6984</v>
      </c>
      <c r="HHB20" t="s">
        <v>6984</v>
      </c>
      <c r="HHC20" t="s">
        <v>6984</v>
      </c>
      <c r="HHD20" t="s">
        <v>6984</v>
      </c>
      <c r="HHE20" t="s">
        <v>6984</v>
      </c>
      <c r="HHF20" t="s">
        <v>6984</v>
      </c>
      <c r="HHG20" t="s">
        <v>6984</v>
      </c>
      <c r="HHH20" t="s">
        <v>6984</v>
      </c>
      <c r="HHI20" t="s">
        <v>6984</v>
      </c>
      <c r="HHJ20" t="s">
        <v>6984</v>
      </c>
      <c r="HHK20" t="s">
        <v>6984</v>
      </c>
      <c r="HHL20" t="s">
        <v>6984</v>
      </c>
      <c r="HHM20" t="s">
        <v>6984</v>
      </c>
      <c r="HHN20" t="s">
        <v>6984</v>
      </c>
      <c r="HHO20" t="s">
        <v>6984</v>
      </c>
      <c r="HHP20" t="s">
        <v>6984</v>
      </c>
      <c r="HHQ20" t="s">
        <v>6984</v>
      </c>
      <c r="HHR20" t="s">
        <v>6984</v>
      </c>
      <c r="HHS20" t="s">
        <v>6984</v>
      </c>
      <c r="HHT20" t="s">
        <v>6984</v>
      </c>
      <c r="HHU20" t="s">
        <v>6984</v>
      </c>
      <c r="HHV20" t="s">
        <v>6984</v>
      </c>
      <c r="HHW20" t="s">
        <v>6984</v>
      </c>
      <c r="HHX20" t="s">
        <v>6984</v>
      </c>
      <c r="HHY20" t="s">
        <v>6984</v>
      </c>
      <c r="HHZ20" t="s">
        <v>6984</v>
      </c>
      <c r="HIA20" t="s">
        <v>6984</v>
      </c>
      <c r="HIB20" t="s">
        <v>6984</v>
      </c>
      <c r="HIC20" t="s">
        <v>6984</v>
      </c>
      <c r="HID20" t="s">
        <v>6984</v>
      </c>
      <c r="HIE20" t="s">
        <v>6984</v>
      </c>
      <c r="HIF20" t="s">
        <v>6984</v>
      </c>
      <c r="HIG20" t="s">
        <v>6984</v>
      </c>
      <c r="HIH20" t="s">
        <v>6984</v>
      </c>
      <c r="HII20" t="s">
        <v>6984</v>
      </c>
      <c r="HIJ20" t="s">
        <v>6984</v>
      </c>
      <c r="HIK20" t="s">
        <v>6984</v>
      </c>
      <c r="HIL20" t="s">
        <v>6984</v>
      </c>
      <c r="HIM20" t="s">
        <v>6984</v>
      </c>
      <c r="HIN20" t="s">
        <v>6984</v>
      </c>
      <c r="HIO20" t="s">
        <v>6984</v>
      </c>
      <c r="HIP20" t="s">
        <v>6984</v>
      </c>
      <c r="HIQ20" t="s">
        <v>6984</v>
      </c>
      <c r="HIR20" t="s">
        <v>6984</v>
      </c>
      <c r="HIS20" t="s">
        <v>6984</v>
      </c>
      <c r="HIT20" t="s">
        <v>6984</v>
      </c>
      <c r="HIU20" t="s">
        <v>6984</v>
      </c>
      <c r="HIV20" t="s">
        <v>6984</v>
      </c>
      <c r="HIW20" t="s">
        <v>6984</v>
      </c>
      <c r="HIX20" t="s">
        <v>6984</v>
      </c>
      <c r="HIY20" t="s">
        <v>6984</v>
      </c>
      <c r="HIZ20" t="s">
        <v>6984</v>
      </c>
      <c r="HJA20" t="s">
        <v>6984</v>
      </c>
      <c r="HJB20" t="s">
        <v>6984</v>
      </c>
      <c r="HJC20" t="s">
        <v>6984</v>
      </c>
      <c r="HJD20" t="s">
        <v>6984</v>
      </c>
      <c r="HJE20" t="s">
        <v>6984</v>
      </c>
      <c r="HJF20" t="s">
        <v>6984</v>
      </c>
      <c r="HJG20" t="s">
        <v>6984</v>
      </c>
      <c r="HJH20" t="s">
        <v>6984</v>
      </c>
      <c r="HJI20" t="s">
        <v>6984</v>
      </c>
      <c r="HJJ20" t="s">
        <v>6984</v>
      </c>
      <c r="HJK20" t="s">
        <v>6984</v>
      </c>
      <c r="HJL20" t="s">
        <v>6984</v>
      </c>
      <c r="HJM20" t="s">
        <v>6984</v>
      </c>
      <c r="HJN20" t="s">
        <v>6984</v>
      </c>
      <c r="HJO20" t="s">
        <v>6984</v>
      </c>
      <c r="HJP20" t="s">
        <v>6984</v>
      </c>
      <c r="HJQ20" t="s">
        <v>6984</v>
      </c>
      <c r="HJR20" t="s">
        <v>6984</v>
      </c>
      <c r="HJS20" t="s">
        <v>6984</v>
      </c>
      <c r="HJT20" t="s">
        <v>6984</v>
      </c>
      <c r="HJU20" t="s">
        <v>6984</v>
      </c>
      <c r="HJV20" t="s">
        <v>6984</v>
      </c>
      <c r="HJW20" t="s">
        <v>6984</v>
      </c>
      <c r="HJX20" t="s">
        <v>6984</v>
      </c>
      <c r="HJY20" t="s">
        <v>6984</v>
      </c>
      <c r="HJZ20" t="s">
        <v>6984</v>
      </c>
      <c r="HKA20" t="s">
        <v>6984</v>
      </c>
      <c r="HKB20" t="s">
        <v>6984</v>
      </c>
      <c r="HKC20" t="s">
        <v>6984</v>
      </c>
      <c r="HKD20" t="s">
        <v>6984</v>
      </c>
      <c r="HKE20" t="s">
        <v>6984</v>
      </c>
      <c r="HKF20" t="s">
        <v>6984</v>
      </c>
      <c r="HKG20" t="s">
        <v>6984</v>
      </c>
      <c r="HKH20" t="s">
        <v>6984</v>
      </c>
      <c r="HKI20" t="s">
        <v>6984</v>
      </c>
      <c r="HKJ20" t="s">
        <v>6984</v>
      </c>
      <c r="HKK20" t="s">
        <v>6984</v>
      </c>
      <c r="HKL20" t="s">
        <v>6984</v>
      </c>
      <c r="HKM20" t="s">
        <v>6984</v>
      </c>
      <c r="HKN20" t="s">
        <v>6984</v>
      </c>
      <c r="HKO20" t="s">
        <v>6984</v>
      </c>
      <c r="HKP20" t="s">
        <v>6984</v>
      </c>
      <c r="HKQ20" t="s">
        <v>6984</v>
      </c>
      <c r="HKR20" t="s">
        <v>6984</v>
      </c>
      <c r="HKS20" t="s">
        <v>6984</v>
      </c>
      <c r="HKT20" t="s">
        <v>6984</v>
      </c>
      <c r="HKU20" t="s">
        <v>6984</v>
      </c>
      <c r="HKV20" t="s">
        <v>6984</v>
      </c>
      <c r="HKW20" t="s">
        <v>6984</v>
      </c>
      <c r="HKX20" t="s">
        <v>6984</v>
      </c>
      <c r="HKY20" t="s">
        <v>6984</v>
      </c>
      <c r="HKZ20" t="s">
        <v>6984</v>
      </c>
      <c r="HLA20" t="s">
        <v>6984</v>
      </c>
      <c r="HLB20" t="s">
        <v>6984</v>
      </c>
      <c r="HLC20" t="s">
        <v>6984</v>
      </c>
      <c r="HLD20" t="s">
        <v>6984</v>
      </c>
      <c r="HLE20" t="s">
        <v>6984</v>
      </c>
      <c r="HLF20" t="s">
        <v>6984</v>
      </c>
      <c r="HLG20" t="s">
        <v>6984</v>
      </c>
      <c r="HLH20" t="s">
        <v>6984</v>
      </c>
      <c r="HLI20" t="s">
        <v>6984</v>
      </c>
      <c r="HLJ20" t="s">
        <v>6984</v>
      </c>
      <c r="HLK20" t="s">
        <v>6984</v>
      </c>
      <c r="HLL20" t="s">
        <v>6984</v>
      </c>
      <c r="HLM20" t="s">
        <v>6984</v>
      </c>
      <c r="HLN20" t="s">
        <v>6984</v>
      </c>
      <c r="HLO20" t="s">
        <v>6984</v>
      </c>
      <c r="HLP20" t="s">
        <v>6984</v>
      </c>
      <c r="HLQ20" t="s">
        <v>6984</v>
      </c>
      <c r="HLR20" t="s">
        <v>6984</v>
      </c>
      <c r="HLS20" t="s">
        <v>6984</v>
      </c>
      <c r="HLT20" t="s">
        <v>6984</v>
      </c>
      <c r="HLU20" t="s">
        <v>6984</v>
      </c>
      <c r="HLV20" t="s">
        <v>6984</v>
      </c>
      <c r="HLW20" t="s">
        <v>6984</v>
      </c>
      <c r="HLX20" t="s">
        <v>6984</v>
      </c>
      <c r="HLY20" t="s">
        <v>6984</v>
      </c>
      <c r="HLZ20" t="s">
        <v>6984</v>
      </c>
      <c r="HMA20" t="s">
        <v>6984</v>
      </c>
      <c r="HMB20" t="s">
        <v>6984</v>
      </c>
      <c r="HMC20" t="s">
        <v>6984</v>
      </c>
      <c r="HMD20" t="s">
        <v>6984</v>
      </c>
      <c r="HME20" t="s">
        <v>6984</v>
      </c>
      <c r="HMF20" t="s">
        <v>6984</v>
      </c>
      <c r="HMG20" t="s">
        <v>6984</v>
      </c>
      <c r="HMH20" t="s">
        <v>6984</v>
      </c>
      <c r="HMI20" t="s">
        <v>6984</v>
      </c>
      <c r="HMJ20" t="s">
        <v>6984</v>
      </c>
      <c r="HMK20" t="s">
        <v>6984</v>
      </c>
      <c r="HML20" t="s">
        <v>6984</v>
      </c>
      <c r="HMM20" t="s">
        <v>6984</v>
      </c>
      <c r="HMN20" t="s">
        <v>6984</v>
      </c>
      <c r="HMO20" t="s">
        <v>6984</v>
      </c>
      <c r="HMP20" t="s">
        <v>6984</v>
      </c>
      <c r="HMQ20" t="s">
        <v>6984</v>
      </c>
      <c r="HMR20" t="s">
        <v>6984</v>
      </c>
      <c r="HMS20" t="s">
        <v>6984</v>
      </c>
      <c r="HMT20" t="s">
        <v>6984</v>
      </c>
      <c r="HMU20" t="s">
        <v>6984</v>
      </c>
      <c r="HMV20" t="s">
        <v>6984</v>
      </c>
      <c r="HMW20" t="s">
        <v>6984</v>
      </c>
      <c r="HMX20" t="s">
        <v>6984</v>
      </c>
      <c r="HMY20" t="s">
        <v>6984</v>
      </c>
      <c r="HMZ20" t="s">
        <v>6984</v>
      </c>
      <c r="HNA20" t="s">
        <v>6984</v>
      </c>
      <c r="HNB20" t="s">
        <v>6984</v>
      </c>
      <c r="HNC20" t="s">
        <v>6984</v>
      </c>
      <c r="HND20" t="s">
        <v>6984</v>
      </c>
      <c r="HNE20" t="s">
        <v>6984</v>
      </c>
      <c r="HNF20" t="s">
        <v>6984</v>
      </c>
      <c r="HNG20" t="s">
        <v>6984</v>
      </c>
      <c r="HNH20" t="s">
        <v>6984</v>
      </c>
      <c r="HNI20" t="s">
        <v>6984</v>
      </c>
      <c r="HNJ20" t="s">
        <v>6984</v>
      </c>
      <c r="HNK20" t="s">
        <v>6984</v>
      </c>
      <c r="HNL20" t="s">
        <v>6984</v>
      </c>
      <c r="HNM20" t="s">
        <v>6984</v>
      </c>
      <c r="HNN20" t="s">
        <v>6984</v>
      </c>
      <c r="HNO20" t="s">
        <v>6984</v>
      </c>
      <c r="HNP20" t="s">
        <v>6984</v>
      </c>
      <c r="HNQ20" t="s">
        <v>6984</v>
      </c>
      <c r="HNR20" t="s">
        <v>6984</v>
      </c>
      <c r="HNS20" t="s">
        <v>6984</v>
      </c>
      <c r="HNT20" t="s">
        <v>6984</v>
      </c>
      <c r="HNU20" t="s">
        <v>6984</v>
      </c>
      <c r="HNV20" t="s">
        <v>6984</v>
      </c>
      <c r="HNW20" t="s">
        <v>6984</v>
      </c>
      <c r="HNX20" t="s">
        <v>6984</v>
      </c>
      <c r="HNY20" t="s">
        <v>6984</v>
      </c>
      <c r="HNZ20" t="s">
        <v>6984</v>
      </c>
      <c r="HOA20" t="s">
        <v>6984</v>
      </c>
      <c r="HOB20" t="s">
        <v>6984</v>
      </c>
      <c r="HOC20" t="s">
        <v>6984</v>
      </c>
      <c r="HOD20" t="s">
        <v>6984</v>
      </c>
      <c r="HOE20" t="s">
        <v>6984</v>
      </c>
      <c r="HOF20" t="s">
        <v>6984</v>
      </c>
      <c r="HOG20" t="s">
        <v>6984</v>
      </c>
      <c r="HOH20" t="s">
        <v>6984</v>
      </c>
      <c r="HOI20" t="s">
        <v>6984</v>
      </c>
      <c r="HOJ20" t="s">
        <v>6984</v>
      </c>
      <c r="HOK20" t="s">
        <v>6984</v>
      </c>
      <c r="HOL20" t="s">
        <v>6984</v>
      </c>
      <c r="HOM20" t="s">
        <v>6984</v>
      </c>
      <c r="HON20" t="s">
        <v>6984</v>
      </c>
      <c r="HOO20" t="s">
        <v>6984</v>
      </c>
      <c r="HOP20" t="s">
        <v>6984</v>
      </c>
      <c r="HOQ20" t="s">
        <v>6984</v>
      </c>
      <c r="HOR20" t="s">
        <v>6984</v>
      </c>
      <c r="HOS20" t="s">
        <v>6984</v>
      </c>
      <c r="HOT20" t="s">
        <v>6984</v>
      </c>
      <c r="HOU20" t="s">
        <v>6984</v>
      </c>
      <c r="HOV20" t="s">
        <v>6984</v>
      </c>
      <c r="HOW20" t="s">
        <v>6984</v>
      </c>
      <c r="HOX20" t="s">
        <v>6984</v>
      </c>
      <c r="HOY20" t="s">
        <v>6984</v>
      </c>
      <c r="HOZ20" t="s">
        <v>6984</v>
      </c>
      <c r="HPA20" t="s">
        <v>6984</v>
      </c>
      <c r="HPB20" t="s">
        <v>6984</v>
      </c>
      <c r="HPC20" t="s">
        <v>6984</v>
      </c>
      <c r="HPD20" t="s">
        <v>6984</v>
      </c>
      <c r="HPE20" t="s">
        <v>6984</v>
      </c>
      <c r="HPF20" t="s">
        <v>6984</v>
      </c>
      <c r="HPG20" t="s">
        <v>6984</v>
      </c>
      <c r="HPH20" t="s">
        <v>6984</v>
      </c>
      <c r="HPI20" t="s">
        <v>6984</v>
      </c>
      <c r="HPJ20" t="s">
        <v>6984</v>
      </c>
      <c r="HPK20" t="s">
        <v>6984</v>
      </c>
      <c r="HPL20" t="s">
        <v>6984</v>
      </c>
      <c r="HPM20" t="s">
        <v>6984</v>
      </c>
      <c r="HPN20" t="s">
        <v>6984</v>
      </c>
      <c r="HPO20" t="s">
        <v>6984</v>
      </c>
      <c r="HPP20" t="s">
        <v>6984</v>
      </c>
      <c r="HPQ20" t="s">
        <v>6984</v>
      </c>
      <c r="HPR20" t="s">
        <v>6984</v>
      </c>
      <c r="HPS20" t="s">
        <v>6984</v>
      </c>
      <c r="HPT20" t="s">
        <v>6984</v>
      </c>
      <c r="HPU20" t="s">
        <v>6984</v>
      </c>
      <c r="HPV20" t="s">
        <v>6984</v>
      </c>
      <c r="HPW20" t="s">
        <v>6984</v>
      </c>
      <c r="HPX20" t="s">
        <v>6984</v>
      </c>
      <c r="HPY20" t="s">
        <v>6984</v>
      </c>
      <c r="HPZ20" t="s">
        <v>6984</v>
      </c>
      <c r="HQA20" t="s">
        <v>6984</v>
      </c>
      <c r="HQB20" t="s">
        <v>6984</v>
      </c>
      <c r="HQC20" t="s">
        <v>6984</v>
      </c>
      <c r="HQD20" t="s">
        <v>6984</v>
      </c>
      <c r="HQE20" t="s">
        <v>6984</v>
      </c>
      <c r="HQF20" t="s">
        <v>6984</v>
      </c>
      <c r="HQG20" t="s">
        <v>6984</v>
      </c>
      <c r="HQH20" t="s">
        <v>6984</v>
      </c>
      <c r="HQI20" t="s">
        <v>6984</v>
      </c>
      <c r="HQJ20" t="s">
        <v>6984</v>
      </c>
      <c r="HQK20" t="s">
        <v>6984</v>
      </c>
      <c r="HQL20" t="s">
        <v>6984</v>
      </c>
      <c r="HQM20" t="s">
        <v>6984</v>
      </c>
      <c r="HQN20" t="s">
        <v>6984</v>
      </c>
      <c r="HQO20" t="s">
        <v>6984</v>
      </c>
      <c r="HQP20" t="s">
        <v>6984</v>
      </c>
      <c r="HQQ20" t="s">
        <v>6984</v>
      </c>
      <c r="HQR20" t="s">
        <v>6984</v>
      </c>
      <c r="HQS20" t="s">
        <v>6984</v>
      </c>
      <c r="HQT20" t="s">
        <v>6984</v>
      </c>
      <c r="HQU20" t="s">
        <v>6984</v>
      </c>
      <c r="HQV20" t="s">
        <v>6984</v>
      </c>
      <c r="HQW20" t="s">
        <v>6984</v>
      </c>
      <c r="HQX20" t="s">
        <v>6984</v>
      </c>
      <c r="HQY20" t="s">
        <v>6984</v>
      </c>
      <c r="HQZ20" t="s">
        <v>6984</v>
      </c>
      <c r="HRA20" t="s">
        <v>6984</v>
      </c>
      <c r="HRB20" t="s">
        <v>6984</v>
      </c>
      <c r="HRC20" t="s">
        <v>6984</v>
      </c>
      <c r="HRD20" t="s">
        <v>6984</v>
      </c>
      <c r="HRE20" t="s">
        <v>6984</v>
      </c>
      <c r="HRF20" t="s">
        <v>6984</v>
      </c>
      <c r="HRG20" t="s">
        <v>6984</v>
      </c>
      <c r="HRH20" t="s">
        <v>6984</v>
      </c>
      <c r="HRI20" t="s">
        <v>6984</v>
      </c>
      <c r="HRJ20" t="s">
        <v>6984</v>
      </c>
      <c r="HRK20" t="s">
        <v>6984</v>
      </c>
      <c r="HRL20" t="s">
        <v>6984</v>
      </c>
      <c r="HRM20" t="s">
        <v>6984</v>
      </c>
      <c r="HRN20" t="s">
        <v>6984</v>
      </c>
      <c r="HRO20" t="s">
        <v>6984</v>
      </c>
      <c r="HRP20" t="s">
        <v>6984</v>
      </c>
      <c r="HRQ20" t="s">
        <v>6984</v>
      </c>
      <c r="HRR20" t="s">
        <v>6984</v>
      </c>
      <c r="HRS20" t="s">
        <v>6984</v>
      </c>
      <c r="HRT20" t="s">
        <v>6984</v>
      </c>
      <c r="HRU20" t="s">
        <v>6984</v>
      </c>
      <c r="HRV20" t="s">
        <v>6984</v>
      </c>
      <c r="HRW20" t="s">
        <v>6984</v>
      </c>
      <c r="HRX20" t="s">
        <v>6984</v>
      </c>
      <c r="HRY20" t="s">
        <v>6984</v>
      </c>
      <c r="HRZ20" t="s">
        <v>6984</v>
      </c>
      <c r="HSA20" t="s">
        <v>6984</v>
      </c>
      <c r="HSB20" t="s">
        <v>6984</v>
      </c>
      <c r="HSC20" t="s">
        <v>6984</v>
      </c>
      <c r="HSD20" t="s">
        <v>6984</v>
      </c>
      <c r="HSE20" t="s">
        <v>6984</v>
      </c>
      <c r="HSF20" t="s">
        <v>6984</v>
      </c>
      <c r="HSG20" t="s">
        <v>6984</v>
      </c>
      <c r="HSH20" t="s">
        <v>6984</v>
      </c>
      <c r="HSI20" t="s">
        <v>6984</v>
      </c>
      <c r="HSJ20" t="s">
        <v>6984</v>
      </c>
      <c r="HSK20" t="s">
        <v>6984</v>
      </c>
      <c r="HSL20" t="s">
        <v>6984</v>
      </c>
      <c r="HSM20" t="s">
        <v>6984</v>
      </c>
      <c r="HSN20" t="s">
        <v>6984</v>
      </c>
      <c r="HSO20" t="s">
        <v>6984</v>
      </c>
      <c r="HSP20" t="s">
        <v>6984</v>
      </c>
      <c r="HSQ20" t="s">
        <v>6984</v>
      </c>
      <c r="HSR20" t="s">
        <v>6984</v>
      </c>
      <c r="HSS20" t="s">
        <v>6984</v>
      </c>
      <c r="HST20" t="s">
        <v>6984</v>
      </c>
      <c r="HSU20" t="s">
        <v>6984</v>
      </c>
      <c r="HSV20" t="s">
        <v>6984</v>
      </c>
      <c r="HSW20" t="s">
        <v>6984</v>
      </c>
      <c r="HSX20" t="s">
        <v>6984</v>
      </c>
      <c r="HSY20" t="s">
        <v>6984</v>
      </c>
      <c r="HSZ20" t="s">
        <v>6984</v>
      </c>
      <c r="HTA20" t="s">
        <v>6984</v>
      </c>
      <c r="HTB20" t="s">
        <v>6984</v>
      </c>
      <c r="HTC20" t="s">
        <v>6984</v>
      </c>
      <c r="HTD20" t="s">
        <v>6984</v>
      </c>
      <c r="HTE20" t="s">
        <v>6984</v>
      </c>
      <c r="HTF20" t="s">
        <v>6984</v>
      </c>
      <c r="HTG20" t="s">
        <v>6984</v>
      </c>
      <c r="HTH20" t="s">
        <v>6984</v>
      </c>
      <c r="HTI20" t="s">
        <v>6984</v>
      </c>
      <c r="HTJ20" t="s">
        <v>6984</v>
      </c>
      <c r="HTK20" t="s">
        <v>6984</v>
      </c>
      <c r="HTL20" t="s">
        <v>6984</v>
      </c>
      <c r="HTM20" t="s">
        <v>6984</v>
      </c>
      <c r="HTN20" t="s">
        <v>6984</v>
      </c>
      <c r="HTO20" t="s">
        <v>6984</v>
      </c>
      <c r="HTP20" t="s">
        <v>6984</v>
      </c>
      <c r="HTQ20" t="s">
        <v>6984</v>
      </c>
      <c r="HTR20" t="s">
        <v>6984</v>
      </c>
      <c r="HTS20" t="s">
        <v>6984</v>
      </c>
      <c r="HTT20" t="s">
        <v>6984</v>
      </c>
      <c r="HTU20" t="s">
        <v>6984</v>
      </c>
      <c r="HTV20" t="s">
        <v>6984</v>
      </c>
      <c r="HTW20" t="s">
        <v>6984</v>
      </c>
      <c r="HTX20" t="s">
        <v>6984</v>
      </c>
      <c r="HTY20" t="s">
        <v>6984</v>
      </c>
      <c r="HTZ20" t="s">
        <v>6984</v>
      </c>
      <c r="HUA20" t="s">
        <v>6984</v>
      </c>
      <c r="HUB20" t="s">
        <v>6984</v>
      </c>
      <c r="HUC20" t="s">
        <v>6984</v>
      </c>
      <c r="HUD20" t="s">
        <v>6984</v>
      </c>
      <c r="HUE20" t="s">
        <v>6984</v>
      </c>
      <c r="HUF20" t="s">
        <v>6984</v>
      </c>
      <c r="HUG20" t="s">
        <v>6984</v>
      </c>
      <c r="HUH20" t="s">
        <v>6984</v>
      </c>
      <c r="HUI20" t="s">
        <v>6984</v>
      </c>
      <c r="HUJ20" t="s">
        <v>6984</v>
      </c>
      <c r="HUK20" t="s">
        <v>6984</v>
      </c>
      <c r="HUL20" t="s">
        <v>6984</v>
      </c>
      <c r="HUM20" t="s">
        <v>6984</v>
      </c>
      <c r="HUN20" t="s">
        <v>6984</v>
      </c>
      <c r="HUO20" t="s">
        <v>6984</v>
      </c>
      <c r="HUP20" t="s">
        <v>6984</v>
      </c>
      <c r="HUQ20" t="s">
        <v>6984</v>
      </c>
      <c r="HUR20" t="s">
        <v>6984</v>
      </c>
      <c r="HUS20" t="s">
        <v>6984</v>
      </c>
      <c r="HUT20" t="s">
        <v>6984</v>
      </c>
      <c r="HUU20" t="s">
        <v>6984</v>
      </c>
      <c r="HUV20" t="s">
        <v>6984</v>
      </c>
      <c r="HUW20" t="s">
        <v>6984</v>
      </c>
      <c r="HUX20" t="s">
        <v>6984</v>
      </c>
      <c r="HUY20" t="s">
        <v>6984</v>
      </c>
      <c r="HUZ20" t="s">
        <v>6984</v>
      </c>
      <c r="HVA20" t="s">
        <v>6984</v>
      </c>
      <c r="HVB20" t="s">
        <v>6984</v>
      </c>
      <c r="HVC20" t="s">
        <v>6984</v>
      </c>
      <c r="HVD20" t="s">
        <v>6984</v>
      </c>
      <c r="HVE20" t="s">
        <v>6984</v>
      </c>
      <c r="HVF20" t="s">
        <v>6984</v>
      </c>
      <c r="HVG20" t="s">
        <v>6984</v>
      </c>
      <c r="HVH20" t="s">
        <v>6984</v>
      </c>
      <c r="HVI20" t="s">
        <v>6984</v>
      </c>
      <c r="HVJ20" t="s">
        <v>6984</v>
      </c>
      <c r="HVK20" t="s">
        <v>6984</v>
      </c>
      <c r="HVL20" t="s">
        <v>6984</v>
      </c>
      <c r="HVM20" t="s">
        <v>6984</v>
      </c>
      <c r="HVN20" t="s">
        <v>6984</v>
      </c>
      <c r="HVO20" t="s">
        <v>6984</v>
      </c>
      <c r="HVP20" t="s">
        <v>6984</v>
      </c>
      <c r="HVQ20" t="s">
        <v>6984</v>
      </c>
      <c r="HVR20" t="s">
        <v>6984</v>
      </c>
      <c r="HVS20" t="s">
        <v>6984</v>
      </c>
      <c r="HVT20" t="s">
        <v>6984</v>
      </c>
      <c r="HVU20" t="s">
        <v>6984</v>
      </c>
      <c r="HVV20" t="s">
        <v>6984</v>
      </c>
      <c r="HVW20" t="s">
        <v>6984</v>
      </c>
      <c r="HVX20" t="s">
        <v>6984</v>
      </c>
      <c r="HVY20" t="s">
        <v>6984</v>
      </c>
      <c r="HVZ20" t="s">
        <v>6984</v>
      </c>
      <c r="HWA20" t="s">
        <v>6984</v>
      </c>
      <c r="HWB20" t="s">
        <v>6984</v>
      </c>
      <c r="HWC20" t="s">
        <v>6984</v>
      </c>
      <c r="HWD20" t="s">
        <v>6984</v>
      </c>
      <c r="HWE20" t="s">
        <v>6984</v>
      </c>
      <c r="HWF20" t="s">
        <v>6984</v>
      </c>
      <c r="HWG20" t="s">
        <v>6984</v>
      </c>
      <c r="HWH20" t="s">
        <v>6984</v>
      </c>
      <c r="HWI20" t="s">
        <v>6984</v>
      </c>
      <c r="HWJ20" t="s">
        <v>6984</v>
      </c>
      <c r="HWK20" t="s">
        <v>6984</v>
      </c>
      <c r="HWL20" t="s">
        <v>6984</v>
      </c>
      <c r="HWM20" t="s">
        <v>6984</v>
      </c>
      <c r="HWN20" t="s">
        <v>6984</v>
      </c>
      <c r="HWO20" t="s">
        <v>6984</v>
      </c>
      <c r="HWP20" t="s">
        <v>6984</v>
      </c>
      <c r="HWQ20" t="s">
        <v>6984</v>
      </c>
      <c r="HWR20" t="s">
        <v>6984</v>
      </c>
      <c r="HWS20" t="s">
        <v>6984</v>
      </c>
      <c r="HWT20" t="s">
        <v>6984</v>
      </c>
      <c r="HWU20" t="s">
        <v>6984</v>
      </c>
      <c r="HWV20" t="s">
        <v>6984</v>
      </c>
      <c r="HWW20" t="s">
        <v>6984</v>
      </c>
      <c r="HWX20" t="s">
        <v>6984</v>
      </c>
      <c r="HWY20" t="s">
        <v>6984</v>
      </c>
      <c r="HWZ20" t="s">
        <v>6984</v>
      </c>
      <c r="HXA20" t="s">
        <v>6984</v>
      </c>
      <c r="HXB20" t="s">
        <v>6984</v>
      </c>
      <c r="HXC20" t="s">
        <v>6984</v>
      </c>
      <c r="HXD20" t="s">
        <v>6984</v>
      </c>
      <c r="HXE20" t="s">
        <v>6984</v>
      </c>
      <c r="HXF20" t="s">
        <v>6984</v>
      </c>
      <c r="HXG20" t="s">
        <v>6984</v>
      </c>
      <c r="HXH20" t="s">
        <v>6984</v>
      </c>
      <c r="HXI20" t="s">
        <v>6984</v>
      </c>
      <c r="HXJ20" t="s">
        <v>6984</v>
      </c>
      <c r="HXK20" t="s">
        <v>6984</v>
      </c>
      <c r="HXL20" t="s">
        <v>6984</v>
      </c>
      <c r="HXM20" t="s">
        <v>6984</v>
      </c>
      <c r="HXN20" t="s">
        <v>6984</v>
      </c>
      <c r="HXO20" t="s">
        <v>6984</v>
      </c>
      <c r="HXP20" t="s">
        <v>6984</v>
      </c>
      <c r="HXQ20" t="s">
        <v>6984</v>
      </c>
      <c r="HXR20" t="s">
        <v>6984</v>
      </c>
      <c r="HXS20" t="s">
        <v>6984</v>
      </c>
      <c r="HXT20" t="s">
        <v>6984</v>
      </c>
      <c r="HXU20" t="s">
        <v>6984</v>
      </c>
      <c r="HXV20" t="s">
        <v>6984</v>
      </c>
      <c r="HXW20" t="s">
        <v>6984</v>
      </c>
      <c r="HXX20" t="s">
        <v>6984</v>
      </c>
      <c r="HXY20" t="s">
        <v>6984</v>
      </c>
      <c r="HXZ20" t="s">
        <v>6984</v>
      </c>
      <c r="HYA20" t="s">
        <v>6984</v>
      </c>
      <c r="HYB20" t="s">
        <v>6984</v>
      </c>
      <c r="HYC20" t="s">
        <v>6984</v>
      </c>
      <c r="HYD20" t="s">
        <v>6984</v>
      </c>
      <c r="HYE20" t="s">
        <v>6984</v>
      </c>
      <c r="HYF20" t="s">
        <v>6984</v>
      </c>
      <c r="HYG20" t="s">
        <v>6984</v>
      </c>
      <c r="HYH20" t="s">
        <v>6984</v>
      </c>
      <c r="HYI20" t="s">
        <v>6984</v>
      </c>
      <c r="HYJ20" t="s">
        <v>6984</v>
      </c>
      <c r="HYK20" t="s">
        <v>6984</v>
      </c>
      <c r="HYL20" t="s">
        <v>6984</v>
      </c>
      <c r="HYM20" t="s">
        <v>6984</v>
      </c>
      <c r="HYN20" t="s">
        <v>6984</v>
      </c>
      <c r="HYO20" t="s">
        <v>6984</v>
      </c>
      <c r="HYP20" t="s">
        <v>6984</v>
      </c>
      <c r="HYQ20" t="s">
        <v>6984</v>
      </c>
      <c r="HYR20" t="s">
        <v>6984</v>
      </c>
      <c r="HYS20" t="s">
        <v>6984</v>
      </c>
      <c r="HYT20" t="s">
        <v>6984</v>
      </c>
      <c r="HYU20" t="s">
        <v>6984</v>
      </c>
      <c r="HYV20" t="s">
        <v>6984</v>
      </c>
      <c r="HYW20" t="s">
        <v>6984</v>
      </c>
      <c r="HYX20" t="s">
        <v>6984</v>
      </c>
      <c r="HYY20" t="s">
        <v>6984</v>
      </c>
      <c r="HYZ20" t="s">
        <v>6984</v>
      </c>
      <c r="HZA20" t="s">
        <v>6984</v>
      </c>
      <c r="HZB20" t="s">
        <v>6984</v>
      </c>
      <c r="HZC20" t="s">
        <v>6984</v>
      </c>
      <c r="HZD20" t="s">
        <v>6984</v>
      </c>
      <c r="HZE20" t="s">
        <v>6984</v>
      </c>
      <c r="HZF20" t="s">
        <v>6984</v>
      </c>
      <c r="HZG20" t="s">
        <v>6984</v>
      </c>
      <c r="HZH20" t="s">
        <v>6984</v>
      </c>
      <c r="HZI20" t="s">
        <v>6984</v>
      </c>
      <c r="HZJ20" t="s">
        <v>6984</v>
      </c>
      <c r="HZK20" t="s">
        <v>6984</v>
      </c>
      <c r="HZL20" t="s">
        <v>6984</v>
      </c>
      <c r="HZM20" t="s">
        <v>6984</v>
      </c>
      <c r="HZN20" t="s">
        <v>6984</v>
      </c>
      <c r="HZO20" t="s">
        <v>6984</v>
      </c>
      <c r="HZP20" t="s">
        <v>6984</v>
      </c>
      <c r="HZQ20" t="s">
        <v>6984</v>
      </c>
      <c r="HZR20" t="s">
        <v>6984</v>
      </c>
      <c r="HZS20" t="s">
        <v>6984</v>
      </c>
      <c r="HZT20" t="s">
        <v>6984</v>
      </c>
      <c r="HZU20" t="s">
        <v>6984</v>
      </c>
      <c r="HZV20" t="s">
        <v>6984</v>
      </c>
      <c r="HZW20" t="s">
        <v>6984</v>
      </c>
      <c r="HZX20" t="s">
        <v>6984</v>
      </c>
      <c r="HZY20" t="s">
        <v>6984</v>
      </c>
      <c r="HZZ20" t="s">
        <v>6984</v>
      </c>
      <c r="IAA20" t="s">
        <v>6984</v>
      </c>
      <c r="IAB20" t="s">
        <v>6984</v>
      </c>
      <c r="IAC20" t="s">
        <v>6984</v>
      </c>
      <c r="IAD20" t="s">
        <v>6984</v>
      </c>
      <c r="IAE20" t="s">
        <v>6984</v>
      </c>
      <c r="IAF20" t="s">
        <v>6984</v>
      </c>
      <c r="IAG20" t="s">
        <v>6984</v>
      </c>
      <c r="IAH20" t="s">
        <v>6984</v>
      </c>
      <c r="IAI20" t="s">
        <v>6984</v>
      </c>
      <c r="IAJ20" t="s">
        <v>6984</v>
      </c>
      <c r="IAK20" t="s">
        <v>6984</v>
      </c>
      <c r="IAL20" t="s">
        <v>6984</v>
      </c>
      <c r="IAM20" t="s">
        <v>6984</v>
      </c>
      <c r="IAN20" t="s">
        <v>6984</v>
      </c>
      <c r="IAO20" t="s">
        <v>6984</v>
      </c>
      <c r="IAP20" t="s">
        <v>6984</v>
      </c>
      <c r="IAQ20" t="s">
        <v>6984</v>
      </c>
      <c r="IAR20" t="s">
        <v>6984</v>
      </c>
      <c r="IAS20" t="s">
        <v>6984</v>
      </c>
      <c r="IAT20" t="s">
        <v>6984</v>
      </c>
      <c r="IAU20" t="s">
        <v>6984</v>
      </c>
      <c r="IAV20" t="s">
        <v>6984</v>
      </c>
      <c r="IAW20" t="s">
        <v>6984</v>
      </c>
      <c r="IAX20" t="s">
        <v>6984</v>
      </c>
      <c r="IAY20" t="s">
        <v>6984</v>
      </c>
      <c r="IAZ20" t="s">
        <v>6984</v>
      </c>
      <c r="IBA20" t="s">
        <v>6984</v>
      </c>
      <c r="IBB20" t="s">
        <v>6984</v>
      </c>
      <c r="IBC20" t="s">
        <v>6984</v>
      </c>
      <c r="IBD20" t="s">
        <v>6984</v>
      </c>
      <c r="IBE20" t="s">
        <v>6984</v>
      </c>
      <c r="IBF20" t="s">
        <v>6984</v>
      </c>
      <c r="IBG20" t="s">
        <v>6984</v>
      </c>
      <c r="IBH20" t="s">
        <v>6984</v>
      </c>
      <c r="IBI20" t="s">
        <v>6984</v>
      </c>
      <c r="IBJ20" t="s">
        <v>6984</v>
      </c>
      <c r="IBK20" t="s">
        <v>6984</v>
      </c>
      <c r="IBL20" t="s">
        <v>6984</v>
      </c>
      <c r="IBM20" t="s">
        <v>6984</v>
      </c>
      <c r="IBN20" t="s">
        <v>6984</v>
      </c>
      <c r="IBO20" t="s">
        <v>6984</v>
      </c>
      <c r="IBP20" t="s">
        <v>6984</v>
      </c>
      <c r="IBQ20" t="s">
        <v>6984</v>
      </c>
      <c r="IBR20" t="s">
        <v>6984</v>
      </c>
      <c r="IBS20" t="s">
        <v>6984</v>
      </c>
      <c r="IBT20" t="s">
        <v>6984</v>
      </c>
      <c r="IBU20" t="s">
        <v>6984</v>
      </c>
      <c r="IBV20" t="s">
        <v>6984</v>
      </c>
      <c r="IBW20" t="s">
        <v>6984</v>
      </c>
      <c r="IBX20" t="s">
        <v>6984</v>
      </c>
      <c r="IBY20" t="s">
        <v>6984</v>
      </c>
      <c r="IBZ20" t="s">
        <v>6984</v>
      </c>
      <c r="ICA20" t="s">
        <v>6984</v>
      </c>
      <c r="ICB20" t="s">
        <v>6984</v>
      </c>
      <c r="ICC20" t="s">
        <v>6984</v>
      </c>
      <c r="ICD20" t="s">
        <v>6984</v>
      </c>
      <c r="ICE20" t="s">
        <v>6984</v>
      </c>
      <c r="ICF20" t="s">
        <v>6984</v>
      </c>
      <c r="ICG20" t="s">
        <v>6984</v>
      </c>
      <c r="ICH20" t="s">
        <v>6984</v>
      </c>
      <c r="ICI20" t="s">
        <v>6984</v>
      </c>
      <c r="ICJ20" t="s">
        <v>6984</v>
      </c>
      <c r="ICK20" t="s">
        <v>6984</v>
      </c>
      <c r="ICL20" t="s">
        <v>6984</v>
      </c>
      <c r="ICM20" t="s">
        <v>6984</v>
      </c>
      <c r="ICN20" t="s">
        <v>6984</v>
      </c>
      <c r="ICO20" t="s">
        <v>6984</v>
      </c>
      <c r="ICP20" t="s">
        <v>6984</v>
      </c>
      <c r="ICQ20" t="s">
        <v>6984</v>
      </c>
      <c r="ICR20" t="s">
        <v>6984</v>
      </c>
      <c r="ICS20" t="s">
        <v>6984</v>
      </c>
      <c r="ICT20" t="s">
        <v>6984</v>
      </c>
      <c r="ICU20" t="s">
        <v>6984</v>
      </c>
      <c r="ICV20" t="s">
        <v>6984</v>
      </c>
      <c r="ICW20" t="s">
        <v>6984</v>
      </c>
      <c r="ICX20" t="s">
        <v>6984</v>
      </c>
      <c r="ICY20" t="s">
        <v>6984</v>
      </c>
      <c r="ICZ20" t="s">
        <v>6984</v>
      </c>
      <c r="IDA20" t="s">
        <v>6984</v>
      </c>
      <c r="IDB20" t="s">
        <v>6984</v>
      </c>
      <c r="IDC20" t="s">
        <v>6984</v>
      </c>
      <c r="IDD20" t="s">
        <v>6984</v>
      </c>
      <c r="IDE20" t="s">
        <v>6984</v>
      </c>
      <c r="IDF20" t="s">
        <v>6984</v>
      </c>
      <c r="IDG20" t="s">
        <v>6984</v>
      </c>
      <c r="IDH20" t="s">
        <v>6984</v>
      </c>
      <c r="IDI20" t="s">
        <v>6984</v>
      </c>
      <c r="IDJ20" t="s">
        <v>6984</v>
      </c>
      <c r="IDK20" t="s">
        <v>6984</v>
      </c>
      <c r="IDL20" t="s">
        <v>6984</v>
      </c>
      <c r="IDM20" t="s">
        <v>6984</v>
      </c>
      <c r="IDN20" t="s">
        <v>6984</v>
      </c>
      <c r="IDO20" t="s">
        <v>6984</v>
      </c>
      <c r="IDP20" t="s">
        <v>6984</v>
      </c>
      <c r="IDQ20" t="s">
        <v>6984</v>
      </c>
      <c r="IDR20" t="s">
        <v>6984</v>
      </c>
      <c r="IDS20" t="s">
        <v>6984</v>
      </c>
      <c r="IDT20" t="s">
        <v>6984</v>
      </c>
      <c r="IDU20" t="s">
        <v>6984</v>
      </c>
      <c r="IDV20" t="s">
        <v>6984</v>
      </c>
      <c r="IDW20" t="s">
        <v>6984</v>
      </c>
      <c r="IDX20" t="s">
        <v>6984</v>
      </c>
      <c r="IDY20" t="s">
        <v>6984</v>
      </c>
      <c r="IDZ20" t="s">
        <v>6984</v>
      </c>
      <c r="IEA20" t="s">
        <v>6984</v>
      </c>
      <c r="IEB20" t="s">
        <v>6984</v>
      </c>
      <c r="IEC20" t="s">
        <v>6984</v>
      </c>
      <c r="IED20" t="s">
        <v>6984</v>
      </c>
      <c r="IEE20" t="s">
        <v>6984</v>
      </c>
      <c r="IEF20" t="s">
        <v>6984</v>
      </c>
      <c r="IEG20" t="s">
        <v>6984</v>
      </c>
      <c r="IEH20" t="s">
        <v>6984</v>
      </c>
      <c r="IEI20" t="s">
        <v>6984</v>
      </c>
      <c r="IEJ20" t="s">
        <v>6984</v>
      </c>
      <c r="IEK20" t="s">
        <v>6984</v>
      </c>
      <c r="IEL20" t="s">
        <v>6984</v>
      </c>
      <c r="IEM20" t="s">
        <v>6984</v>
      </c>
      <c r="IEN20" t="s">
        <v>6984</v>
      </c>
      <c r="IEO20" t="s">
        <v>6984</v>
      </c>
      <c r="IEP20" t="s">
        <v>6984</v>
      </c>
      <c r="IEQ20" t="s">
        <v>6984</v>
      </c>
      <c r="IER20" t="s">
        <v>6984</v>
      </c>
      <c r="IES20" t="s">
        <v>6984</v>
      </c>
      <c r="IET20" t="s">
        <v>6984</v>
      </c>
      <c r="IEU20" t="s">
        <v>6984</v>
      </c>
      <c r="IEV20" t="s">
        <v>6984</v>
      </c>
      <c r="IEW20" t="s">
        <v>6984</v>
      </c>
      <c r="IEX20" t="s">
        <v>6984</v>
      </c>
      <c r="IEY20" t="s">
        <v>6984</v>
      </c>
      <c r="IEZ20" t="s">
        <v>6984</v>
      </c>
      <c r="IFA20" t="s">
        <v>6984</v>
      </c>
      <c r="IFB20" t="s">
        <v>6984</v>
      </c>
      <c r="IFC20" t="s">
        <v>6984</v>
      </c>
      <c r="IFD20" t="s">
        <v>6984</v>
      </c>
      <c r="IFE20" t="s">
        <v>6984</v>
      </c>
      <c r="IFF20" t="s">
        <v>6984</v>
      </c>
      <c r="IFG20" t="s">
        <v>6984</v>
      </c>
      <c r="IFH20" t="s">
        <v>6984</v>
      </c>
      <c r="IFI20" t="s">
        <v>6984</v>
      </c>
      <c r="IFJ20" t="s">
        <v>6984</v>
      </c>
      <c r="IFK20" t="s">
        <v>6984</v>
      </c>
      <c r="IFL20" t="s">
        <v>6984</v>
      </c>
      <c r="IFM20" t="s">
        <v>6984</v>
      </c>
      <c r="IFN20" t="s">
        <v>6984</v>
      </c>
      <c r="IFO20" t="s">
        <v>6984</v>
      </c>
      <c r="IFP20" t="s">
        <v>6984</v>
      </c>
      <c r="IFQ20" t="s">
        <v>6984</v>
      </c>
      <c r="IFR20" t="s">
        <v>6984</v>
      </c>
      <c r="IFS20" t="s">
        <v>6984</v>
      </c>
      <c r="IFT20" t="s">
        <v>6984</v>
      </c>
      <c r="IFU20" t="s">
        <v>6984</v>
      </c>
      <c r="IFV20" t="s">
        <v>6984</v>
      </c>
      <c r="IFW20" t="s">
        <v>6984</v>
      </c>
      <c r="IFX20" t="s">
        <v>6984</v>
      </c>
      <c r="IFY20" t="s">
        <v>6984</v>
      </c>
      <c r="IFZ20" t="s">
        <v>6984</v>
      </c>
      <c r="IGA20" t="s">
        <v>6984</v>
      </c>
      <c r="IGB20" t="s">
        <v>6984</v>
      </c>
      <c r="IGC20" t="s">
        <v>6984</v>
      </c>
      <c r="IGD20" t="s">
        <v>6984</v>
      </c>
      <c r="IGE20" t="s">
        <v>6984</v>
      </c>
      <c r="IGF20" t="s">
        <v>6984</v>
      </c>
      <c r="IGG20" t="s">
        <v>6984</v>
      </c>
      <c r="IGH20" t="s">
        <v>6984</v>
      </c>
      <c r="IGI20" t="s">
        <v>6984</v>
      </c>
      <c r="IGJ20" t="s">
        <v>6984</v>
      </c>
      <c r="IGK20" t="s">
        <v>6984</v>
      </c>
      <c r="IGL20" t="s">
        <v>6984</v>
      </c>
      <c r="IGM20" t="s">
        <v>6984</v>
      </c>
      <c r="IGN20" t="s">
        <v>6984</v>
      </c>
      <c r="IGO20" t="s">
        <v>6984</v>
      </c>
      <c r="IGP20" t="s">
        <v>6984</v>
      </c>
      <c r="IGQ20" t="s">
        <v>6984</v>
      </c>
      <c r="IGR20" t="s">
        <v>6984</v>
      </c>
      <c r="IGS20" t="s">
        <v>6984</v>
      </c>
      <c r="IGT20" t="s">
        <v>6984</v>
      </c>
      <c r="IGU20" t="s">
        <v>6984</v>
      </c>
      <c r="IGV20" t="s">
        <v>6984</v>
      </c>
      <c r="IGW20" t="s">
        <v>6984</v>
      </c>
      <c r="IGX20" t="s">
        <v>6984</v>
      </c>
      <c r="IGY20" t="s">
        <v>6984</v>
      </c>
      <c r="IGZ20" t="s">
        <v>6984</v>
      </c>
      <c r="IHA20" t="s">
        <v>6984</v>
      </c>
      <c r="IHB20" t="s">
        <v>6984</v>
      </c>
      <c r="IHC20" t="s">
        <v>6984</v>
      </c>
      <c r="IHD20" t="s">
        <v>6984</v>
      </c>
      <c r="IHE20" t="s">
        <v>6984</v>
      </c>
      <c r="IHF20" t="s">
        <v>6984</v>
      </c>
      <c r="IHG20" t="s">
        <v>6984</v>
      </c>
      <c r="IHH20" t="s">
        <v>6984</v>
      </c>
      <c r="IHI20" t="s">
        <v>6984</v>
      </c>
      <c r="IHJ20" t="s">
        <v>6984</v>
      </c>
      <c r="IHK20" t="s">
        <v>6984</v>
      </c>
      <c r="IHL20" t="s">
        <v>6984</v>
      </c>
      <c r="IHM20" t="s">
        <v>6984</v>
      </c>
      <c r="IHN20" t="s">
        <v>6984</v>
      </c>
      <c r="IHO20" t="s">
        <v>6984</v>
      </c>
      <c r="IHP20" t="s">
        <v>6984</v>
      </c>
      <c r="IHQ20" t="s">
        <v>6984</v>
      </c>
      <c r="IHR20" t="s">
        <v>6984</v>
      </c>
      <c r="IHS20" t="s">
        <v>6984</v>
      </c>
      <c r="IHT20" t="s">
        <v>6984</v>
      </c>
      <c r="IHU20" t="s">
        <v>6984</v>
      </c>
      <c r="IHV20" t="s">
        <v>6984</v>
      </c>
      <c r="IHW20" t="s">
        <v>6984</v>
      </c>
      <c r="IHX20" t="s">
        <v>6984</v>
      </c>
      <c r="IHY20" t="s">
        <v>6984</v>
      </c>
      <c r="IHZ20" t="s">
        <v>6984</v>
      </c>
      <c r="IIA20" t="s">
        <v>6984</v>
      </c>
      <c r="IIB20" t="s">
        <v>6984</v>
      </c>
      <c r="IIC20" t="s">
        <v>6984</v>
      </c>
      <c r="IID20" t="s">
        <v>6984</v>
      </c>
      <c r="IIE20" t="s">
        <v>6984</v>
      </c>
      <c r="IIF20" t="s">
        <v>6984</v>
      </c>
      <c r="IIG20" t="s">
        <v>6984</v>
      </c>
      <c r="IIH20" t="s">
        <v>6984</v>
      </c>
      <c r="III20" t="s">
        <v>6984</v>
      </c>
      <c r="IIJ20" t="s">
        <v>6984</v>
      </c>
      <c r="IIK20" t="s">
        <v>6984</v>
      </c>
      <c r="IIL20" t="s">
        <v>6984</v>
      </c>
      <c r="IIM20" t="s">
        <v>6984</v>
      </c>
      <c r="IIN20" t="s">
        <v>6984</v>
      </c>
      <c r="IIO20" t="s">
        <v>6984</v>
      </c>
      <c r="IIP20" t="s">
        <v>6984</v>
      </c>
      <c r="IIQ20" t="s">
        <v>6984</v>
      </c>
      <c r="IIR20" t="s">
        <v>6984</v>
      </c>
      <c r="IIS20" t="s">
        <v>6984</v>
      </c>
      <c r="IIT20" t="s">
        <v>6984</v>
      </c>
      <c r="IIU20" t="s">
        <v>6984</v>
      </c>
      <c r="IIV20" t="s">
        <v>6984</v>
      </c>
      <c r="IIW20" t="s">
        <v>6984</v>
      </c>
      <c r="IIX20" t="s">
        <v>6984</v>
      </c>
      <c r="IIY20" t="s">
        <v>6984</v>
      </c>
      <c r="IIZ20" t="s">
        <v>6984</v>
      </c>
      <c r="IJA20" t="s">
        <v>6984</v>
      </c>
      <c r="IJB20" t="s">
        <v>6984</v>
      </c>
      <c r="IJC20" t="s">
        <v>6984</v>
      </c>
      <c r="IJD20" t="s">
        <v>6984</v>
      </c>
      <c r="IJE20" t="s">
        <v>6984</v>
      </c>
      <c r="IJF20" t="s">
        <v>6984</v>
      </c>
      <c r="IJG20" t="s">
        <v>6984</v>
      </c>
      <c r="IJH20" t="s">
        <v>6984</v>
      </c>
      <c r="IJI20" t="s">
        <v>6984</v>
      </c>
      <c r="IJJ20" t="s">
        <v>6984</v>
      </c>
      <c r="IJK20" t="s">
        <v>6984</v>
      </c>
      <c r="IJL20" t="s">
        <v>6984</v>
      </c>
      <c r="IJM20" t="s">
        <v>6984</v>
      </c>
      <c r="IJN20" t="s">
        <v>6984</v>
      </c>
      <c r="IJO20" t="s">
        <v>6984</v>
      </c>
      <c r="IJP20" t="s">
        <v>6984</v>
      </c>
      <c r="IJQ20" t="s">
        <v>6984</v>
      </c>
      <c r="IJR20" t="s">
        <v>6984</v>
      </c>
      <c r="IJS20" t="s">
        <v>6984</v>
      </c>
      <c r="IJT20" t="s">
        <v>6984</v>
      </c>
      <c r="IJU20" t="s">
        <v>6984</v>
      </c>
      <c r="IJV20" t="s">
        <v>6984</v>
      </c>
      <c r="IJW20" t="s">
        <v>6984</v>
      </c>
      <c r="IJX20" t="s">
        <v>6984</v>
      </c>
      <c r="IJY20" t="s">
        <v>6984</v>
      </c>
      <c r="IJZ20" t="s">
        <v>6984</v>
      </c>
      <c r="IKA20" t="s">
        <v>6984</v>
      </c>
      <c r="IKB20" t="s">
        <v>6984</v>
      </c>
      <c r="IKC20" t="s">
        <v>6984</v>
      </c>
      <c r="IKD20" t="s">
        <v>6984</v>
      </c>
      <c r="IKE20" t="s">
        <v>6984</v>
      </c>
      <c r="IKF20" t="s">
        <v>6984</v>
      </c>
      <c r="IKG20" t="s">
        <v>6984</v>
      </c>
      <c r="IKH20" t="s">
        <v>6984</v>
      </c>
      <c r="IKI20" t="s">
        <v>6984</v>
      </c>
      <c r="IKJ20" t="s">
        <v>6984</v>
      </c>
      <c r="IKK20" t="s">
        <v>6984</v>
      </c>
      <c r="IKL20" t="s">
        <v>6984</v>
      </c>
      <c r="IKM20" t="s">
        <v>6984</v>
      </c>
      <c r="IKN20" t="s">
        <v>6984</v>
      </c>
      <c r="IKO20" t="s">
        <v>6984</v>
      </c>
      <c r="IKP20" t="s">
        <v>6984</v>
      </c>
      <c r="IKQ20" t="s">
        <v>6984</v>
      </c>
      <c r="IKR20" t="s">
        <v>6984</v>
      </c>
      <c r="IKS20" t="s">
        <v>6984</v>
      </c>
      <c r="IKT20" t="s">
        <v>6984</v>
      </c>
      <c r="IKU20" t="s">
        <v>6984</v>
      </c>
      <c r="IKV20" t="s">
        <v>6984</v>
      </c>
      <c r="IKW20" t="s">
        <v>6984</v>
      </c>
      <c r="IKX20" t="s">
        <v>6984</v>
      </c>
      <c r="IKY20" t="s">
        <v>6984</v>
      </c>
      <c r="IKZ20" t="s">
        <v>6984</v>
      </c>
      <c r="ILA20" t="s">
        <v>6984</v>
      </c>
      <c r="ILB20" t="s">
        <v>6984</v>
      </c>
      <c r="ILC20" t="s">
        <v>6984</v>
      </c>
      <c r="ILD20" t="s">
        <v>6984</v>
      </c>
      <c r="ILE20" t="s">
        <v>6984</v>
      </c>
      <c r="ILF20" t="s">
        <v>6984</v>
      </c>
      <c r="ILG20" t="s">
        <v>6984</v>
      </c>
      <c r="ILH20" t="s">
        <v>6984</v>
      </c>
      <c r="ILI20" t="s">
        <v>6984</v>
      </c>
      <c r="ILJ20" t="s">
        <v>6984</v>
      </c>
      <c r="ILK20" t="s">
        <v>6984</v>
      </c>
      <c r="ILL20" t="s">
        <v>6984</v>
      </c>
      <c r="ILM20" t="s">
        <v>6984</v>
      </c>
      <c r="ILN20" t="s">
        <v>6984</v>
      </c>
      <c r="ILO20" t="s">
        <v>6984</v>
      </c>
      <c r="ILP20" t="s">
        <v>6984</v>
      </c>
      <c r="ILQ20" t="s">
        <v>6984</v>
      </c>
      <c r="ILR20" t="s">
        <v>6984</v>
      </c>
      <c r="ILS20" t="s">
        <v>6984</v>
      </c>
      <c r="ILT20" t="s">
        <v>6984</v>
      </c>
      <c r="ILU20" t="s">
        <v>6984</v>
      </c>
      <c r="ILV20" t="s">
        <v>6984</v>
      </c>
      <c r="ILW20" t="s">
        <v>6984</v>
      </c>
      <c r="ILX20" t="s">
        <v>6984</v>
      </c>
      <c r="ILY20" t="s">
        <v>6984</v>
      </c>
      <c r="ILZ20" t="s">
        <v>6984</v>
      </c>
      <c r="IMA20" t="s">
        <v>6984</v>
      </c>
      <c r="IMB20" t="s">
        <v>6984</v>
      </c>
      <c r="IMC20" t="s">
        <v>6984</v>
      </c>
      <c r="IMD20" t="s">
        <v>6984</v>
      </c>
      <c r="IME20" t="s">
        <v>6984</v>
      </c>
      <c r="IMF20" t="s">
        <v>6984</v>
      </c>
      <c r="IMG20" t="s">
        <v>6984</v>
      </c>
      <c r="IMH20" t="s">
        <v>6984</v>
      </c>
      <c r="IMI20" t="s">
        <v>6984</v>
      </c>
      <c r="IMJ20" t="s">
        <v>6984</v>
      </c>
      <c r="IMK20" t="s">
        <v>6984</v>
      </c>
      <c r="IML20" t="s">
        <v>6984</v>
      </c>
      <c r="IMM20" t="s">
        <v>6984</v>
      </c>
      <c r="IMN20" t="s">
        <v>6984</v>
      </c>
      <c r="IMO20" t="s">
        <v>6984</v>
      </c>
      <c r="IMP20" t="s">
        <v>6984</v>
      </c>
      <c r="IMQ20" t="s">
        <v>6984</v>
      </c>
      <c r="IMR20" t="s">
        <v>6984</v>
      </c>
      <c r="IMS20" t="s">
        <v>6984</v>
      </c>
      <c r="IMT20" t="s">
        <v>6984</v>
      </c>
      <c r="IMU20" t="s">
        <v>6984</v>
      </c>
      <c r="IMV20" t="s">
        <v>6984</v>
      </c>
      <c r="IMW20" t="s">
        <v>6984</v>
      </c>
      <c r="IMX20" t="s">
        <v>6984</v>
      </c>
      <c r="IMY20" t="s">
        <v>6984</v>
      </c>
      <c r="IMZ20" t="s">
        <v>6984</v>
      </c>
      <c r="INA20" t="s">
        <v>6984</v>
      </c>
      <c r="INB20" t="s">
        <v>6984</v>
      </c>
      <c r="INC20" t="s">
        <v>6984</v>
      </c>
      <c r="IND20" t="s">
        <v>6984</v>
      </c>
      <c r="INE20" t="s">
        <v>6984</v>
      </c>
      <c r="INF20" t="s">
        <v>6984</v>
      </c>
      <c r="ING20" t="s">
        <v>6984</v>
      </c>
      <c r="INH20" t="s">
        <v>6984</v>
      </c>
      <c r="INI20" t="s">
        <v>6984</v>
      </c>
      <c r="INJ20" t="s">
        <v>6984</v>
      </c>
      <c r="INK20" t="s">
        <v>6984</v>
      </c>
      <c r="INL20" t="s">
        <v>6984</v>
      </c>
      <c r="INM20" t="s">
        <v>6984</v>
      </c>
      <c r="INN20" t="s">
        <v>6984</v>
      </c>
      <c r="INO20" t="s">
        <v>6984</v>
      </c>
      <c r="INP20" t="s">
        <v>6984</v>
      </c>
      <c r="INQ20" t="s">
        <v>6984</v>
      </c>
      <c r="INR20" t="s">
        <v>6984</v>
      </c>
      <c r="INS20" t="s">
        <v>6984</v>
      </c>
      <c r="INT20" t="s">
        <v>6984</v>
      </c>
      <c r="INU20" t="s">
        <v>6984</v>
      </c>
      <c r="INV20" t="s">
        <v>6984</v>
      </c>
      <c r="INW20" t="s">
        <v>6984</v>
      </c>
      <c r="INX20" t="s">
        <v>6984</v>
      </c>
      <c r="INY20" t="s">
        <v>6984</v>
      </c>
      <c r="INZ20" t="s">
        <v>6984</v>
      </c>
      <c r="IOA20" t="s">
        <v>6984</v>
      </c>
      <c r="IOB20" t="s">
        <v>6984</v>
      </c>
      <c r="IOC20" t="s">
        <v>6984</v>
      </c>
      <c r="IOD20" t="s">
        <v>6984</v>
      </c>
      <c r="IOE20" t="s">
        <v>6984</v>
      </c>
      <c r="IOF20" t="s">
        <v>6984</v>
      </c>
      <c r="IOG20" t="s">
        <v>6984</v>
      </c>
      <c r="IOH20" t="s">
        <v>6984</v>
      </c>
      <c r="IOI20" t="s">
        <v>6984</v>
      </c>
      <c r="IOJ20" t="s">
        <v>6984</v>
      </c>
      <c r="IOK20" t="s">
        <v>6984</v>
      </c>
      <c r="IOL20" t="s">
        <v>6984</v>
      </c>
      <c r="IOM20" t="s">
        <v>6984</v>
      </c>
      <c r="ION20" t="s">
        <v>6984</v>
      </c>
      <c r="IOO20" t="s">
        <v>6984</v>
      </c>
      <c r="IOP20" t="s">
        <v>6984</v>
      </c>
      <c r="IOQ20" t="s">
        <v>6984</v>
      </c>
      <c r="IOR20" t="s">
        <v>6984</v>
      </c>
      <c r="IOS20" t="s">
        <v>6984</v>
      </c>
      <c r="IOT20" t="s">
        <v>6984</v>
      </c>
      <c r="IOU20" t="s">
        <v>6984</v>
      </c>
      <c r="IOV20" t="s">
        <v>6984</v>
      </c>
      <c r="IOW20" t="s">
        <v>6984</v>
      </c>
      <c r="IOX20" t="s">
        <v>6984</v>
      </c>
      <c r="IOY20" t="s">
        <v>6984</v>
      </c>
      <c r="IOZ20" t="s">
        <v>6984</v>
      </c>
      <c r="IPA20" t="s">
        <v>6984</v>
      </c>
      <c r="IPB20" t="s">
        <v>6984</v>
      </c>
      <c r="IPC20" t="s">
        <v>6984</v>
      </c>
      <c r="IPD20" t="s">
        <v>6984</v>
      </c>
      <c r="IPE20" t="s">
        <v>6984</v>
      </c>
      <c r="IPF20" t="s">
        <v>6984</v>
      </c>
      <c r="IPG20" t="s">
        <v>6984</v>
      </c>
      <c r="IPH20" t="s">
        <v>6984</v>
      </c>
      <c r="IPI20" t="s">
        <v>6984</v>
      </c>
      <c r="IPJ20" t="s">
        <v>6984</v>
      </c>
      <c r="IPK20" t="s">
        <v>6984</v>
      </c>
      <c r="IPL20" t="s">
        <v>6984</v>
      </c>
      <c r="IPM20" t="s">
        <v>6984</v>
      </c>
      <c r="IPN20" t="s">
        <v>6984</v>
      </c>
      <c r="IPO20" t="s">
        <v>6984</v>
      </c>
      <c r="IPP20" t="s">
        <v>6984</v>
      </c>
      <c r="IPQ20" t="s">
        <v>6984</v>
      </c>
      <c r="IPR20" t="s">
        <v>6984</v>
      </c>
      <c r="IPS20" t="s">
        <v>6984</v>
      </c>
      <c r="IPT20" t="s">
        <v>6984</v>
      </c>
      <c r="IPU20" t="s">
        <v>6984</v>
      </c>
      <c r="IPV20" t="s">
        <v>6984</v>
      </c>
      <c r="IPW20" t="s">
        <v>6984</v>
      </c>
      <c r="IPX20" t="s">
        <v>6984</v>
      </c>
      <c r="IPY20" t="s">
        <v>6984</v>
      </c>
      <c r="IPZ20" t="s">
        <v>6984</v>
      </c>
      <c r="IQA20" t="s">
        <v>6984</v>
      </c>
      <c r="IQB20" t="s">
        <v>6984</v>
      </c>
      <c r="IQC20" t="s">
        <v>6984</v>
      </c>
      <c r="IQD20" t="s">
        <v>6984</v>
      </c>
      <c r="IQE20" t="s">
        <v>6984</v>
      </c>
      <c r="IQF20" t="s">
        <v>6984</v>
      </c>
      <c r="IQG20" t="s">
        <v>6984</v>
      </c>
      <c r="IQH20" t="s">
        <v>6984</v>
      </c>
      <c r="IQI20" t="s">
        <v>6984</v>
      </c>
      <c r="IQJ20" t="s">
        <v>6984</v>
      </c>
      <c r="IQK20" t="s">
        <v>6984</v>
      </c>
      <c r="IQL20" t="s">
        <v>6984</v>
      </c>
      <c r="IQM20" t="s">
        <v>6984</v>
      </c>
      <c r="IQN20" t="s">
        <v>6984</v>
      </c>
      <c r="IQO20" t="s">
        <v>6984</v>
      </c>
      <c r="IQP20" t="s">
        <v>6984</v>
      </c>
      <c r="IQQ20" t="s">
        <v>6984</v>
      </c>
      <c r="IQR20" t="s">
        <v>6984</v>
      </c>
      <c r="IQS20" t="s">
        <v>6984</v>
      </c>
      <c r="IQT20" t="s">
        <v>6984</v>
      </c>
      <c r="IQU20" t="s">
        <v>6984</v>
      </c>
      <c r="IQV20" t="s">
        <v>6984</v>
      </c>
      <c r="IQW20" t="s">
        <v>6984</v>
      </c>
      <c r="IQX20" t="s">
        <v>6984</v>
      </c>
      <c r="IQY20" t="s">
        <v>6984</v>
      </c>
      <c r="IQZ20" t="s">
        <v>6984</v>
      </c>
      <c r="IRA20" t="s">
        <v>6984</v>
      </c>
      <c r="IRB20" t="s">
        <v>6984</v>
      </c>
      <c r="IRC20" t="s">
        <v>6984</v>
      </c>
      <c r="IRD20" t="s">
        <v>6984</v>
      </c>
      <c r="IRE20" t="s">
        <v>6984</v>
      </c>
      <c r="IRF20" t="s">
        <v>6984</v>
      </c>
      <c r="IRG20" t="s">
        <v>6984</v>
      </c>
      <c r="IRH20" t="s">
        <v>6984</v>
      </c>
      <c r="IRI20" t="s">
        <v>6984</v>
      </c>
      <c r="IRJ20" t="s">
        <v>6984</v>
      </c>
      <c r="IRK20" t="s">
        <v>6984</v>
      </c>
      <c r="IRL20" t="s">
        <v>6984</v>
      </c>
      <c r="IRM20" t="s">
        <v>6984</v>
      </c>
      <c r="IRN20" t="s">
        <v>6984</v>
      </c>
      <c r="IRO20" t="s">
        <v>6984</v>
      </c>
      <c r="IRP20" t="s">
        <v>6984</v>
      </c>
      <c r="IRQ20" t="s">
        <v>6984</v>
      </c>
      <c r="IRR20" t="s">
        <v>6984</v>
      </c>
      <c r="IRS20" t="s">
        <v>6984</v>
      </c>
      <c r="IRT20" t="s">
        <v>6984</v>
      </c>
      <c r="IRU20" t="s">
        <v>6984</v>
      </c>
      <c r="IRV20" t="s">
        <v>6984</v>
      </c>
      <c r="IRW20" t="s">
        <v>6984</v>
      </c>
      <c r="IRX20" t="s">
        <v>6984</v>
      </c>
      <c r="IRY20" t="s">
        <v>6984</v>
      </c>
      <c r="IRZ20" t="s">
        <v>6984</v>
      </c>
      <c r="ISA20" t="s">
        <v>6984</v>
      </c>
      <c r="ISB20" t="s">
        <v>6984</v>
      </c>
      <c r="ISC20" t="s">
        <v>6984</v>
      </c>
      <c r="ISD20" t="s">
        <v>6984</v>
      </c>
      <c r="ISE20" t="s">
        <v>6984</v>
      </c>
      <c r="ISF20" t="s">
        <v>6984</v>
      </c>
      <c r="ISG20" t="s">
        <v>6984</v>
      </c>
      <c r="ISH20" t="s">
        <v>6984</v>
      </c>
      <c r="ISI20" t="s">
        <v>6984</v>
      </c>
      <c r="ISJ20" t="s">
        <v>6984</v>
      </c>
      <c r="ISK20" t="s">
        <v>6984</v>
      </c>
      <c r="ISL20" t="s">
        <v>6984</v>
      </c>
      <c r="ISM20" t="s">
        <v>6984</v>
      </c>
      <c r="ISN20" t="s">
        <v>6984</v>
      </c>
      <c r="ISO20" t="s">
        <v>6984</v>
      </c>
      <c r="ISP20" t="s">
        <v>6984</v>
      </c>
      <c r="ISQ20" t="s">
        <v>6984</v>
      </c>
      <c r="ISR20" t="s">
        <v>6984</v>
      </c>
      <c r="ISS20" t="s">
        <v>6984</v>
      </c>
      <c r="IST20" t="s">
        <v>6984</v>
      </c>
      <c r="ISU20" t="s">
        <v>6984</v>
      </c>
      <c r="ISV20" t="s">
        <v>6984</v>
      </c>
      <c r="ISW20" t="s">
        <v>6984</v>
      </c>
      <c r="ISX20" t="s">
        <v>6984</v>
      </c>
      <c r="ISY20" t="s">
        <v>6984</v>
      </c>
      <c r="ISZ20" t="s">
        <v>6984</v>
      </c>
      <c r="ITA20" t="s">
        <v>6984</v>
      </c>
      <c r="ITB20" t="s">
        <v>6984</v>
      </c>
      <c r="ITC20" t="s">
        <v>6984</v>
      </c>
      <c r="ITD20" t="s">
        <v>6984</v>
      </c>
      <c r="ITE20" t="s">
        <v>6984</v>
      </c>
      <c r="ITF20" t="s">
        <v>6984</v>
      </c>
      <c r="ITG20" t="s">
        <v>6984</v>
      </c>
      <c r="ITH20" t="s">
        <v>6984</v>
      </c>
      <c r="ITI20" t="s">
        <v>6984</v>
      </c>
      <c r="ITJ20" t="s">
        <v>6984</v>
      </c>
      <c r="ITK20" t="s">
        <v>6984</v>
      </c>
      <c r="ITL20" t="s">
        <v>6984</v>
      </c>
      <c r="ITM20" t="s">
        <v>6984</v>
      </c>
      <c r="ITN20" t="s">
        <v>6984</v>
      </c>
      <c r="ITO20" t="s">
        <v>6984</v>
      </c>
      <c r="ITP20" t="s">
        <v>6984</v>
      </c>
      <c r="ITQ20" t="s">
        <v>6984</v>
      </c>
      <c r="ITR20" t="s">
        <v>6984</v>
      </c>
      <c r="ITS20" t="s">
        <v>6984</v>
      </c>
      <c r="ITT20" t="s">
        <v>6984</v>
      </c>
      <c r="ITU20" t="s">
        <v>6984</v>
      </c>
      <c r="ITV20" t="s">
        <v>6984</v>
      </c>
      <c r="ITW20" t="s">
        <v>6984</v>
      </c>
      <c r="ITX20" t="s">
        <v>6984</v>
      </c>
      <c r="ITY20" t="s">
        <v>6984</v>
      </c>
      <c r="ITZ20" t="s">
        <v>6984</v>
      </c>
      <c r="IUA20" t="s">
        <v>6984</v>
      </c>
      <c r="IUB20" t="s">
        <v>6984</v>
      </c>
      <c r="IUC20" t="s">
        <v>6984</v>
      </c>
      <c r="IUD20" t="s">
        <v>6984</v>
      </c>
      <c r="IUE20" t="s">
        <v>6984</v>
      </c>
      <c r="IUF20" t="s">
        <v>6984</v>
      </c>
      <c r="IUG20" t="s">
        <v>6984</v>
      </c>
      <c r="IUH20" t="s">
        <v>6984</v>
      </c>
      <c r="IUI20" t="s">
        <v>6984</v>
      </c>
      <c r="IUJ20" t="s">
        <v>6984</v>
      </c>
      <c r="IUK20" t="s">
        <v>6984</v>
      </c>
      <c r="IUL20" t="s">
        <v>6984</v>
      </c>
      <c r="IUM20" t="s">
        <v>6984</v>
      </c>
      <c r="IUN20" t="s">
        <v>6984</v>
      </c>
      <c r="IUO20" t="s">
        <v>6984</v>
      </c>
      <c r="IUP20" t="s">
        <v>6984</v>
      </c>
      <c r="IUQ20" t="s">
        <v>6984</v>
      </c>
      <c r="IUR20" t="s">
        <v>6984</v>
      </c>
      <c r="IUS20" t="s">
        <v>6984</v>
      </c>
      <c r="IUT20" t="s">
        <v>6984</v>
      </c>
      <c r="IUU20" t="s">
        <v>6984</v>
      </c>
      <c r="IUV20" t="s">
        <v>6984</v>
      </c>
      <c r="IUW20" t="s">
        <v>6984</v>
      </c>
      <c r="IUX20" t="s">
        <v>6984</v>
      </c>
      <c r="IUY20" t="s">
        <v>6984</v>
      </c>
      <c r="IUZ20" t="s">
        <v>6984</v>
      </c>
      <c r="IVA20" t="s">
        <v>6984</v>
      </c>
      <c r="IVB20" t="s">
        <v>6984</v>
      </c>
      <c r="IVC20" t="s">
        <v>6984</v>
      </c>
      <c r="IVD20" t="s">
        <v>6984</v>
      </c>
      <c r="IVE20" t="s">
        <v>6984</v>
      </c>
      <c r="IVF20" t="s">
        <v>6984</v>
      </c>
      <c r="IVG20" t="s">
        <v>6984</v>
      </c>
      <c r="IVH20" t="s">
        <v>6984</v>
      </c>
      <c r="IVI20" t="s">
        <v>6984</v>
      </c>
      <c r="IVJ20" t="s">
        <v>6984</v>
      </c>
      <c r="IVK20" t="s">
        <v>6984</v>
      </c>
      <c r="IVL20" t="s">
        <v>6984</v>
      </c>
      <c r="IVM20" t="s">
        <v>6984</v>
      </c>
      <c r="IVN20" t="s">
        <v>6984</v>
      </c>
      <c r="IVO20" t="s">
        <v>6984</v>
      </c>
      <c r="IVP20" t="s">
        <v>6984</v>
      </c>
      <c r="IVQ20" t="s">
        <v>6984</v>
      </c>
      <c r="IVR20" t="s">
        <v>6984</v>
      </c>
      <c r="IVS20" t="s">
        <v>6984</v>
      </c>
      <c r="IVT20" t="s">
        <v>6984</v>
      </c>
      <c r="IVU20" t="s">
        <v>6984</v>
      </c>
      <c r="IVV20" t="s">
        <v>6984</v>
      </c>
      <c r="IVW20" t="s">
        <v>6984</v>
      </c>
      <c r="IVX20" t="s">
        <v>6984</v>
      </c>
      <c r="IVY20" t="s">
        <v>6984</v>
      </c>
      <c r="IVZ20" t="s">
        <v>6984</v>
      </c>
      <c r="IWA20" t="s">
        <v>6984</v>
      </c>
      <c r="IWB20" t="s">
        <v>6984</v>
      </c>
      <c r="IWC20" t="s">
        <v>6984</v>
      </c>
      <c r="IWD20" t="s">
        <v>6984</v>
      </c>
      <c r="IWE20" t="s">
        <v>6984</v>
      </c>
      <c r="IWF20" t="s">
        <v>6984</v>
      </c>
      <c r="IWG20" t="s">
        <v>6984</v>
      </c>
      <c r="IWH20" t="s">
        <v>6984</v>
      </c>
      <c r="IWI20" t="s">
        <v>6984</v>
      </c>
      <c r="IWJ20" t="s">
        <v>6984</v>
      </c>
      <c r="IWK20" t="s">
        <v>6984</v>
      </c>
      <c r="IWL20" t="s">
        <v>6984</v>
      </c>
      <c r="IWM20" t="s">
        <v>6984</v>
      </c>
      <c r="IWN20" t="s">
        <v>6984</v>
      </c>
      <c r="IWO20" t="s">
        <v>6984</v>
      </c>
      <c r="IWP20" t="s">
        <v>6984</v>
      </c>
      <c r="IWQ20" t="s">
        <v>6984</v>
      </c>
      <c r="IWR20" t="s">
        <v>6984</v>
      </c>
      <c r="IWS20" t="s">
        <v>6984</v>
      </c>
      <c r="IWT20" t="s">
        <v>6984</v>
      </c>
      <c r="IWU20" t="s">
        <v>6984</v>
      </c>
      <c r="IWV20" t="s">
        <v>6984</v>
      </c>
      <c r="IWW20" t="s">
        <v>6984</v>
      </c>
      <c r="IWX20" t="s">
        <v>6984</v>
      </c>
      <c r="IWY20" t="s">
        <v>6984</v>
      </c>
      <c r="IWZ20" t="s">
        <v>6984</v>
      </c>
      <c r="IXA20" t="s">
        <v>6984</v>
      </c>
      <c r="IXB20" t="s">
        <v>6984</v>
      </c>
      <c r="IXC20" t="s">
        <v>6984</v>
      </c>
      <c r="IXD20" t="s">
        <v>6984</v>
      </c>
      <c r="IXE20" t="s">
        <v>6984</v>
      </c>
      <c r="IXF20" t="s">
        <v>6984</v>
      </c>
      <c r="IXG20" t="s">
        <v>6984</v>
      </c>
      <c r="IXH20" t="s">
        <v>6984</v>
      </c>
      <c r="IXI20" t="s">
        <v>6984</v>
      </c>
      <c r="IXJ20" t="s">
        <v>6984</v>
      </c>
      <c r="IXK20" t="s">
        <v>6984</v>
      </c>
      <c r="IXL20" t="s">
        <v>6984</v>
      </c>
      <c r="IXM20" t="s">
        <v>6984</v>
      </c>
      <c r="IXN20" t="s">
        <v>6984</v>
      </c>
      <c r="IXO20" t="s">
        <v>6984</v>
      </c>
      <c r="IXP20" t="s">
        <v>6984</v>
      </c>
      <c r="IXQ20" t="s">
        <v>6984</v>
      </c>
      <c r="IXR20" t="s">
        <v>6984</v>
      </c>
      <c r="IXS20" t="s">
        <v>6984</v>
      </c>
      <c r="IXT20" t="s">
        <v>6984</v>
      </c>
      <c r="IXU20" t="s">
        <v>6984</v>
      </c>
      <c r="IXV20" t="s">
        <v>6984</v>
      </c>
      <c r="IXW20" t="s">
        <v>6984</v>
      </c>
      <c r="IXX20" t="s">
        <v>6984</v>
      </c>
      <c r="IXY20" t="s">
        <v>6984</v>
      </c>
      <c r="IXZ20" t="s">
        <v>6984</v>
      </c>
      <c r="IYA20" t="s">
        <v>6984</v>
      </c>
      <c r="IYB20" t="s">
        <v>6984</v>
      </c>
      <c r="IYC20" t="s">
        <v>6984</v>
      </c>
      <c r="IYD20" t="s">
        <v>6984</v>
      </c>
      <c r="IYE20" t="s">
        <v>6984</v>
      </c>
      <c r="IYF20" t="s">
        <v>6984</v>
      </c>
      <c r="IYG20" t="s">
        <v>6984</v>
      </c>
      <c r="IYH20" t="s">
        <v>6984</v>
      </c>
      <c r="IYI20" t="s">
        <v>6984</v>
      </c>
      <c r="IYJ20" t="s">
        <v>6984</v>
      </c>
      <c r="IYK20" t="s">
        <v>6984</v>
      </c>
      <c r="IYL20" t="s">
        <v>6984</v>
      </c>
      <c r="IYM20" t="s">
        <v>6984</v>
      </c>
      <c r="IYN20" t="s">
        <v>6984</v>
      </c>
      <c r="IYO20" t="s">
        <v>6984</v>
      </c>
      <c r="IYP20" t="s">
        <v>6984</v>
      </c>
      <c r="IYQ20" t="s">
        <v>6984</v>
      </c>
      <c r="IYR20" t="s">
        <v>6984</v>
      </c>
      <c r="IYS20" t="s">
        <v>6984</v>
      </c>
      <c r="IYT20" t="s">
        <v>6984</v>
      </c>
      <c r="IYU20" t="s">
        <v>6984</v>
      </c>
      <c r="IYV20" t="s">
        <v>6984</v>
      </c>
      <c r="IYW20" t="s">
        <v>6984</v>
      </c>
      <c r="IYX20" t="s">
        <v>6984</v>
      </c>
      <c r="IYY20" t="s">
        <v>6984</v>
      </c>
      <c r="IYZ20" t="s">
        <v>6984</v>
      </c>
      <c r="IZA20" t="s">
        <v>6984</v>
      </c>
      <c r="IZB20" t="s">
        <v>6984</v>
      </c>
      <c r="IZC20" t="s">
        <v>6984</v>
      </c>
      <c r="IZD20" t="s">
        <v>6984</v>
      </c>
      <c r="IZE20" t="s">
        <v>6984</v>
      </c>
      <c r="IZF20" t="s">
        <v>6984</v>
      </c>
      <c r="IZG20" t="s">
        <v>6984</v>
      </c>
      <c r="IZH20" t="s">
        <v>6984</v>
      </c>
      <c r="IZI20" t="s">
        <v>6984</v>
      </c>
      <c r="IZJ20" t="s">
        <v>6984</v>
      </c>
      <c r="IZK20" t="s">
        <v>6984</v>
      </c>
      <c r="IZL20" t="s">
        <v>6984</v>
      </c>
      <c r="IZM20" t="s">
        <v>6984</v>
      </c>
      <c r="IZN20" t="s">
        <v>6984</v>
      </c>
      <c r="IZO20" t="s">
        <v>6984</v>
      </c>
      <c r="IZP20" t="s">
        <v>6984</v>
      </c>
      <c r="IZQ20" t="s">
        <v>6984</v>
      </c>
      <c r="IZR20" t="s">
        <v>6984</v>
      </c>
      <c r="IZS20" t="s">
        <v>6984</v>
      </c>
      <c r="IZT20" t="s">
        <v>6984</v>
      </c>
      <c r="IZU20" t="s">
        <v>6984</v>
      </c>
      <c r="IZV20" t="s">
        <v>6984</v>
      </c>
      <c r="IZW20" t="s">
        <v>6984</v>
      </c>
      <c r="IZX20" t="s">
        <v>6984</v>
      </c>
      <c r="IZY20" t="s">
        <v>6984</v>
      </c>
      <c r="IZZ20" t="s">
        <v>6984</v>
      </c>
      <c r="JAA20" t="s">
        <v>6984</v>
      </c>
      <c r="JAB20" t="s">
        <v>6984</v>
      </c>
      <c r="JAC20" t="s">
        <v>6984</v>
      </c>
      <c r="JAD20" t="s">
        <v>6984</v>
      </c>
      <c r="JAE20" t="s">
        <v>6984</v>
      </c>
      <c r="JAF20" t="s">
        <v>6984</v>
      </c>
      <c r="JAG20" t="s">
        <v>6984</v>
      </c>
      <c r="JAH20" t="s">
        <v>6984</v>
      </c>
      <c r="JAI20" t="s">
        <v>6984</v>
      </c>
      <c r="JAJ20" t="s">
        <v>6984</v>
      </c>
      <c r="JAK20" t="s">
        <v>6984</v>
      </c>
      <c r="JAL20" t="s">
        <v>6984</v>
      </c>
      <c r="JAM20" t="s">
        <v>6984</v>
      </c>
      <c r="JAN20" t="s">
        <v>6984</v>
      </c>
      <c r="JAO20" t="s">
        <v>6984</v>
      </c>
      <c r="JAP20" t="s">
        <v>6984</v>
      </c>
      <c r="JAQ20" t="s">
        <v>6984</v>
      </c>
      <c r="JAR20" t="s">
        <v>6984</v>
      </c>
      <c r="JAS20" t="s">
        <v>6984</v>
      </c>
      <c r="JAT20" t="s">
        <v>6984</v>
      </c>
      <c r="JAU20" t="s">
        <v>6984</v>
      </c>
      <c r="JAV20" t="s">
        <v>6984</v>
      </c>
      <c r="JAW20" t="s">
        <v>6984</v>
      </c>
      <c r="JAX20" t="s">
        <v>6984</v>
      </c>
      <c r="JAY20" t="s">
        <v>6984</v>
      </c>
      <c r="JAZ20" t="s">
        <v>6984</v>
      </c>
      <c r="JBA20" t="s">
        <v>6984</v>
      </c>
      <c r="JBB20" t="s">
        <v>6984</v>
      </c>
      <c r="JBC20" t="s">
        <v>6984</v>
      </c>
      <c r="JBD20" t="s">
        <v>6984</v>
      </c>
      <c r="JBE20" t="s">
        <v>6984</v>
      </c>
      <c r="JBF20" t="s">
        <v>6984</v>
      </c>
      <c r="JBG20" t="s">
        <v>6984</v>
      </c>
      <c r="JBH20" t="s">
        <v>6984</v>
      </c>
      <c r="JBI20" t="s">
        <v>6984</v>
      </c>
      <c r="JBJ20" t="s">
        <v>6984</v>
      </c>
      <c r="JBK20" t="s">
        <v>6984</v>
      </c>
      <c r="JBL20" t="s">
        <v>6984</v>
      </c>
      <c r="JBM20" t="s">
        <v>6984</v>
      </c>
      <c r="JBN20" t="s">
        <v>6984</v>
      </c>
      <c r="JBO20" t="s">
        <v>6984</v>
      </c>
      <c r="JBP20" t="s">
        <v>6984</v>
      </c>
      <c r="JBQ20" t="s">
        <v>6984</v>
      </c>
      <c r="JBR20" t="s">
        <v>6984</v>
      </c>
      <c r="JBS20" t="s">
        <v>6984</v>
      </c>
      <c r="JBT20" t="s">
        <v>6984</v>
      </c>
      <c r="JBU20" t="s">
        <v>6984</v>
      </c>
      <c r="JBV20" t="s">
        <v>6984</v>
      </c>
      <c r="JBW20" t="s">
        <v>6984</v>
      </c>
      <c r="JBX20" t="s">
        <v>6984</v>
      </c>
      <c r="JBY20" t="s">
        <v>6984</v>
      </c>
      <c r="JBZ20" t="s">
        <v>6984</v>
      </c>
      <c r="JCA20" t="s">
        <v>6984</v>
      </c>
      <c r="JCB20" t="s">
        <v>6984</v>
      </c>
      <c r="JCC20" t="s">
        <v>6984</v>
      </c>
      <c r="JCD20" t="s">
        <v>6984</v>
      </c>
      <c r="JCE20" t="s">
        <v>6984</v>
      </c>
      <c r="JCF20" t="s">
        <v>6984</v>
      </c>
      <c r="JCG20" t="s">
        <v>6984</v>
      </c>
      <c r="JCH20" t="s">
        <v>6984</v>
      </c>
      <c r="JCI20" t="s">
        <v>6984</v>
      </c>
      <c r="JCJ20" t="s">
        <v>6984</v>
      </c>
      <c r="JCK20" t="s">
        <v>6984</v>
      </c>
      <c r="JCL20" t="s">
        <v>6984</v>
      </c>
      <c r="JCM20" t="s">
        <v>6984</v>
      </c>
      <c r="JCN20" t="s">
        <v>6984</v>
      </c>
      <c r="JCO20" t="s">
        <v>6984</v>
      </c>
      <c r="JCP20" t="s">
        <v>6984</v>
      </c>
      <c r="JCQ20" t="s">
        <v>6984</v>
      </c>
      <c r="JCR20" t="s">
        <v>6984</v>
      </c>
      <c r="JCS20" t="s">
        <v>6984</v>
      </c>
      <c r="JCT20" t="s">
        <v>6984</v>
      </c>
      <c r="JCU20" t="s">
        <v>6984</v>
      </c>
      <c r="JCV20" t="s">
        <v>6984</v>
      </c>
      <c r="JCW20" t="s">
        <v>6984</v>
      </c>
      <c r="JCX20" t="s">
        <v>6984</v>
      </c>
      <c r="JCY20" t="s">
        <v>6984</v>
      </c>
      <c r="JCZ20" t="s">
        <v>6984</v>
      </c>
      <c r="JDA20" t="s">
        <v>6984</v>
      </c>
      <c r="JDB20" t="s">
        <v>6984</v>
      </c>
      <c r="JDC20" t="s">
        <v>6984</v>
      </c>
      <c r="JDD20" t="s">
        <v>6984</v>
      </c>
      <c r="JDE20" t="s">
        <v>6984</v>
      </c>
      <c r="JDF20" t="s">
        <v>6984</v>
      </c>
      <c r="JDG20" t="s">
        <v>6984</v>
      </c>
      <c r="JDH20" t="s">
        <v>6984</v>
      </c>
      <c r="JDI20" t="s">
        <v>6984</v>
      </c>
      <c r="JDJ20" t="s">
        <v>6984</v>
      </c>
      <c r="JDK20" t="s">
        <v>6984</v>
      </c>
      <c r="JDL20" t="s">
        <v>6984</v>
      </c>
      <c r="JDM20" t="s">
        <v>6984</v>
      </c>
      <c r="JDN20" t="s">
        <v>6984</v>
      </c>
      <c r="JDO20" t="s">
        <v>6984</v>
      </c>
      <c r="JDP20" t="s">
        <v>6984</v>
      </c>
      <c r="JDQ20" t="s">
        <v>6984</v>
      </c>
      <c r="JDR20" t="s">
        <v>6984</v>
      </c>
      <c r="JDS20" t="s">
        <v>6984</v>
      </c>
      <c r="JDT20" t="s">
        <v>6984</v>
      </c>
      <c r="JDU20" t="s">
        <v>6984</v>
      </c>
      <c r="JDV20" t="s">
        <v>6984</v>
      </c>
      <c r="JDW20" t="s">
        <v>6984</v>
      </c>
      <c r="JDX20" t="s">
        <v>6984</v>
      </c>
      <c r="JDY20" t="s">
        <v>6984</v>
      </c>
      <c r="JDZ20" t="s">
        <v>6984</v>
      </c>
      <c r="JEA20" t="s">
        <v>6984</v>
      </c>
      <c r="JEB20" t="s">
        <v>6984</v>
      </c>
      <c r="JEC20" t="s">
        <v>6984</v>
      </c>
      <c r="JED20" t="s">
        <v>6984</v>
      </c>
      <c r="JEE20" t="s">
        <v>6984</v>
      </c>
      <c r="JEF20" t="s">
        <v>6984</v>
      </c>
      <c r="JEG20" t="s">
        <v>6984</v>
      </c>
      <c r="JEH20" t="s">
        <v>6984</v>
      </c>
      <c r="JEI20" t="s">
        <v>6984</v>
      </c>
      <c r="JEJ20" t="s">
        <v>6984</v>
      </c>
      <c r="JEK20" t="s">
        <v>6984</v>
      </c>
      <c r="JEL20" t="s">
        <v>6984</v>
      </c>
      <c r="JEM20" t="s">
        <v>6984</v>
      </c>
      <c r="JEN20" t="s">
        <v>6984</v>
      </c>
      <c r="JEO20" t="s">
        <v>6984</v>
      </c>
      <c r="JEP20" t="s">
        <v>6984</v>
      </c>
      <c r="JEQ20" t="s">
        <v>6984</v>
      </c>
      <c r="JER20" t="s">
        <v>6984</v>
      </c>
      <c r="JES20" t="s">
        <v>6984</v>
      </c>
      <c r="JET20" t="s">
        <v>6984</v>
      </c>
      <c r="JEU20" t="s">
        <v>6984</v>
      </c>
      <c r="JEV20" t="s">
        <v>6984</v>
      </c>
      <c r="JEW20" t="s">
        <v>6984</v>
      </c>
      <c r="JEX20" t="s">
        <v>6984</v>
      </c>
      <c r="JEY20" t="s">
        <v>6984</v>
      </c>
      <c r="JEZ20" t="s">
        <v>6984</v>
      </c>
      <c r="JFA20" t="s">
        <v>6984</v>
      </c>
      <c r="JFB20" t="s">
        <v>6984</v>
      </c>
      <c r="JFC20" t="s">
        <v>6984</v>
      </c>
      <c r="JFD20" t="s">
        <v>6984</v>
      </c>
      <c r="JFE20" t="s">
        <v>6984</v>
      </c>
      <c r="JFF20" t="s">
        <v>6984</v>
      </c>
      <c r="JFG20" t="s">
        <v>6984</v>
      </c>
      <c r="JFH20" t="s">
        <v>6984</v>
      </c>
      <c r="JFI20" t="s">
        <v>6984</v>
      </c>
      <c r="JFJ20" t="s">
        <v>6984</v>
      </c>
      <c r="JFK20" t="s">
        <v>6984</v>
      </c>
      <c r="JFL20" t="s">
        <v>6984</v>
      </c>
      <c r="JFM20" t="s">
        <v>6984</v>
      </c>
      <c r="JFN20" t="s">
        <v>6984</v>
      </c>
      <c r="JFO20" t="s">
        <v>6984</v>
      </c>
      <c r="JFP20" t="s">
        <v>6984</v>
      </c>
      <c r="JFQ20" t="s">
        <v>6984</v>
      </c>
      <c r="JFR20" t="s">
        <v>6984</v>
      </c>
      <c r="JFS20" t="s">
        <v>6984</v>
      </c>
      <c r="JFT20" t="s">
        <v>6984</v>
      </c>
      <c r="JFU20" t="s">
        <v>6984</v>
      </c>
      <c r="JFV20" t="s">
        <v>6984</v>
      </c>
      <c r="JFW20" t="s">
        <v>6984</v>
      </c>
      <c r="JFX20" t="s">
        <v>6984</v>
      </c>
      <c r="JFY20" t="s">
        <v>6984</v>
      </c>
      <c r="JFZ20" t="s">
        <v>6984</v>
      </c>
      <c r="JGA20" t="s">
        <v>6984</v>
      </c>
      <c r="JGB20" t="s">
        <v>6984</v>
      </c>
      <c r="JGC20" t="s">
        <v>6984</v>
      </c>
      <c r="JGD20" t="s">
        <v>6984</v>
      </c>
      <c r="JGE20" t="s">
        <v>6984</v>
      </c>
      <c r="JGF20" t="s">
        <v>6984</v>
      </c>
      <c r="JGG20" t="s">
        <v>6984</v>
      </c>
      <c r="JGH20" t="s">
        <v>6984</v>
      </c>
      <c r="JGI20" t="s">
        <v>6984</v>
      </c>
      <c r="JGJ20" t="s">
        <v>6984</v>
      </c>
      <c r="JGK20" t="s">
        <v>6984</v>
      </c>
      <c r="JGL20" t="s">
        <v>6984</v>
      </c>
      <c r="JGM20" t="s">
        <v>6984</v>
      </c>
      <c r="JGN20" t="s">
        <v>6984</v>
      </c>
      <c r="JGO20" t="s">
        <v>6984</v>
      </c>
      <c r="JGP20" t="s">
        <v>6984</v>
      </c>
      <c r="JGQ20" t="s">
        <v>6984</v>
      </c>
      <c r="JGR20" t="s">
        <v>6984</v>
      </c>
      <c r="JGS20" t="s">
        <v>6984</v>
      </c>
      <c r="JGT20" t="s">
        <v>6984</v>
      </c>
      <c r="JGU20" t="s">
        <v>6984</v>
      </c>
      <c r="JGV20" t="s">
        <v>6984</v>
      </c>
      <c r="JGW20" t="s">
        <v>6984</v>
      </c>
      <c r="JGX20" t="s">
        <v>6984</v>
      </c>
      <c r="JGY20" t="s">
        <v>6984</v>
      </c>
      <c r="JGZ20" t="s">
        <v>6984</v>
      </c>
      <c r="JHA20" t="s">
        <v>6984</v>
      </c>
      <c r="JHB20" t="s">
        <v>6984</v>
      </c>
      <c r="JHC20" t="s">
        <v>6984</v>
      </c>
      <c r="JHD20" t="s">
        <v>6984</v>
      </c>
      <c r="JHE20" t="s">
        <v>6984</v>
      </c>
      <c r="JHF20" t="s">
        <v>6984</v>
      </c>
      <c r="JHG20" t="s">
        <v>6984</v>
      </c>
      <c r="JHH20" t="s">
        <v>6984</v>
      </c>
      <c r="JHI20" t="s">
        <v>6984</v>
      </c>
      <c r="JHJ20" t="s">
        <v>6984</v>
      </c>
      <c r="JHK20" t="s">
        <v>6984</v>
      </c>
      <c r="JHL20" t="s">
        <v>6984</v>
      </c>
      <c r="JHM20" t="s">
        <v>6984</v>
      </c>
      <c r="JHN20" t="s">
        <v>6984</v>
      </c>
      <c r="JHO20" t="s">
        <v>6984</v>
      </c>
      <c r="JHP20" t="s">
        <v>6984</v>
      </c>
      <c r="JHQ20" t="s">
        <v>6984</v>
      </c>
      <c r="JHR20" t="s">
        <v>6984</v>
      </c>
      <c r="JHS20" t="s">
        <v>6984</v>
      </c>
      <c r="JHT20" t="s">
        <v>6984</v>
      </c>
      <c r="JHU20" t="s">
        <v>6984</v>
      </c>
      <c r="JHV20" t="s">
        <v>6984</v>
      </c>
      <c r="JHW20" t="s">
        <v>6984</v>
      </c>
      <c r="JHX20" t="s">
        <v>6984</v>
      </c>
      <c r="JHY20" t="s">
        <v>6984</v>
      </c>
      <c r="JHZ20" t="s">
        <v>6984</v>
      </c>
      <c r="JIA20" t="s">
        <v>6984</v>
      </c>
      <c r="JIB20" t="s">
        <v>6984</v>
      </c>
      <c r="JIC20" t="s">
        <v>6984</v>
      </c>
      <c r="JID20" t="s">
        <v>6984</v>
      </c>
      <c r="JIE20" t="s">
        <v>6984</v>
      </c>
      <c r="JIF20" t="s">
        <v>6984</v>
      </c>
      <c r="JIG20" t="s">
        <v>6984</v>
      </c>
      <c r="JIH20" t="s">
        <v>6984</v>
      </c>
      <c r="JII20" t="s">
        <v>6984</v>
      </c>
      <c r="JIJ20" t="s">
        <v>6984</v>
      </c>
      <c r="JIK20" t="s">
        <v>6984</v>
      </c>
      <c r="JIL20" t="s">
        <v>6984</v>
      </c>
      <c r="JIM20" t="s">
        <v>6984</v>
      </c>
      <c r="JIN20" t="s">
        <v>6984</v>
      </c>
      <c r="JIO20" t="s">
        <v>6984</v>
      </c>
      <c r="JIP20" t="s">
        <v>6984</v>
      </c>
      <c r="JIQ20" t="s">
        <v>6984</v>
      </c>
      <c r="JIR20" t="s">
        <v>6984</v>
      </c>
      <c r="JIS20" t="s">
        <v>6984</v>
      </c>
      <c r="JIT20" t="s">
        <v>6984</v>
      </c>
      <c r="JIU20" t="s">
        <v>6984</v>
      </c>
      <c r="JIV20" t="s">
        <v>6984</v>
      </c>
      <c r="JIW20" t="s">
        <v>6984</v>
      </c>
      <c r="JIX20" t="s">
        <v>6984</v>
      </c>
      <c r="JIY20" t="s">
        <v>6984</v>
      </c>
      <c r="JIZ20" t="s">
        <v>6984</v>
      </c>
      <c r="JJA20" t="s">
        <v>6984</v>
      </c>
    </row>
    <row r="21" spans="1:7021" x14ac:dyDescent="0.25">
      <c r="A21" t="s">
        <v>7002</v>
      </c>
      <c r="B21">
        <v>96.2</v>
      </c>
      <c r="C21">
        <v>96.2</v>
      </c>
      <c r="D21">
        <v>96.2</v>
      </c>
      <c r="E21">
        <v>96.254999999999995</v>
      </c>
      <c r="F21">
        <v>96.194999999999993</v>
      </c>
      <c r="G21">
        <v>96.215000000000003</v>
      </c>
      <c r="H21">
        <v>96.26</v>
      </c>
      <c r="I21">
        <v>96.204999999999998</v>
      </c>
      <c r="J21">
        <v>96.144999999999996</v>
      </c>
      <c r="K21">
        <v>96.135000000000005</v>
      </c>
      <c r="L21">
        <v>96.114999999999995</v>
      </c>
      <c r="M21">
        <v>96.23</v>
      </c>
      <c r="N21">
        <v>96.265000000000001</v>
      </c>
      <c r="O21">
        <v>96.185000000000002</v>
      </c>
      <c r="P21">
        <v>96.185000000000002</v>
      </c>
      <c r="Q21">
        <v>96.24</v>
      </c>
      <c r="R21">
        <v>96.22</v>
      </c>
      <c r="S21">
        <v>96.185000000000002</v>
      </c>
      <c r="T21">
        <v>96.23</v>
      </c>
      <c r="U21">
        <v>96.144999999999996</v>
      </c>
      <c r="V21">
        <v>96.144999999999996</v>
      </c>
      <c r="W21">
        <v>96.09</v>
      </c>
      <c r="X21">
        <v>96.03</v>
      </c>
      <c r="Y21">
        <v>96.135000000000005</v>
      </c>
      <c r="Z21">
        <v>96.125</v>
      </c>
      <c r="AA21">
        <v>96.144999999999996</v>
      </c>
      <c r="AB21">
        <v>96.125</v>
      </c>
      <c r="AC21">
        <v>96.04</v>
      </c>
      <c r="AD21">
        <v>96.08</v>
      </c>
      <c r="AE21">
        <v>96.11</v>
      </c>
      <c r="AF21">
        <v>96.194999999999993</v>
      </c>
      <c r="AG21">
        <v>96.194999999999993</v>
      </c>
      <c r="AH21">
        <v>96.305000000000007</v>
      </c>
      <c r="AI21">
        <v>96.265000000000001</v>
      </c>
      <c r="AJ21">
        <v>96.234999999999999</v>
      </c>
      <c r="AK21">
        <v>96.254999999999995</v>
      </c>
      <c r="AL21">
        <v>96.33</v>
      </c>
      <c r="AM21">
        <v>96.37</v>
      </c>
      <c r="AN21">
        <v>96.36</v>
      </c>
      <c r="AO21">
        <v>96.305000000000007</v>
      </c>
      <c r="AP21">
        <v>96.245000000000005</v>
      </c>
      <c r="AQ21">
        <v>96.19</v>
      </c>
      <c r="AR21">
        <v>96.114999999999995</v>
      </c>
      <c r="AS21">
        <v>96.114999999999995</v>
      </c>
      <c r="AT21">
        <v>96.105000000000004</v>
      </c>
      <c r="AU21">
        <v>96.18</v>
      </c>
      <c r="AV21">
        <v>96.18</v>
      </c>
      <c r="AW21">
        <v>96.23</v>
      </c>
      <c r="AX21">
        <v>96.17</v>
      </c>
      <c r="AY21">
        <v>96.135000000000005</v>
      </c>
      <c r="AZ21">
        <v>96.01</v>
      </c>
      <c r="BA21">
        <v>96.155000000000001</v>
      </c>
      <c r="BB21">
        <v>96.09</v>
      </c>
      <c r="BC21">
        <v>96.27</v>
      </c>
      <c r="BD21">
        <v>96.34</v>
      </c>
      <c r="BE21">
        <v>96.504999999999995</v>
      </c>
      <c r="BF21">
        <v>96.43</v>
      </c>
      <c r="BG21">
        <v>96.25</v>
      </c>
      <c r="BH21">
        <v>96.31</v>
      </c>
      <c r="BI21">
        <v>96.21</v>
      </c>
      <c r="BJ21">
        <v>96.19</v>
      </c>
      <c r="BK21">
        <v>96.064999999999998</v>
      </c>
      <c r="BL21">
        <v>96.105000000000004</v>
      </c>
      <c r="BM21">
        <v>96.125</v>
      </c>
      <c r="BN21">
        <v>96.09</v>
      </c>
      <c r="BO21">
        <v>96.174999999999997</v>
      </c>
      <c r="BP21">
        <v>96.18</v>
      </c>
      <c r="BQ21">
        <v>96.15</v>
      </c>
      <c r="BR21">
        <v>96.165000000000006</v>
      </c>
      <c r="BS21">
        <v>96.13</v>
      </c>
      <c r="BT21">
        <v>96.12</v>
      </c>
      <c r="BU21">
        <v>96.17</v>
      </c>
      <c r="BV21">
        <v>96.125</v>
      </c>
      <c r="BW21">
        <v>96.16</v>
      </c>
      <c r="BX21">
        <v>96.25</v>
      </c>
      <c r="BY21">
        <v>96.114999999999995</v>
      </c>
      <c r="BZ21">
        <v>96.14</v>
      </c>
      <c r="CA21">
        <v>96.165000000000006</v>
      </c>
      <c r="CB21">
        <v>96.245000000000005</v>
      </c>
      <c r="CC21">
        <v>96.28</v>
      </c>
      <c r="CD21">
        <v>96.234999999999999</v>
      </c>
      <c r="CE21">
        <v>96.17</v>
      </c>
      <c r="CF21">
        <v>96.21</v>
      </c>
      <c r="CG21">
        <v>96.14</v>
      </c>
      <c r="CH21">
        <v>96.004999999999995</v>
      </c>
      <c r="CI21">
        <v>95.974999999999994</v>
      </c>
      <c r="CJ21">
        <v>95.89</v>
      </c>
      <c r="CK21">
        <v>95.844999999999999</v>
      </c>
      <c r="CL21">
        <v>95.84</v>
      </c>
      <c r="CM21">
        <v>95.92</v>
      </c>
      <c r="CN21">
        <v>95.92</v>
      </c>
      <c r="CO21">
        <v>95.85</v>
      </c>
      <c r="CP21">
        <v>95.73</v>
      </c>
      <c r="CQ21">
        <v>95.87</v>
      </c>
      <c r="CR21">
        <v>95.92</v>
      </c>
      <c r="CS21">
        <v>95.92</v>
      </c>
      <c r="CT21">
        <v>95.974999999999994</v>
      </c>
      <c r="CU21">
        <v>96.025000000000006</v>
      </c>
      <c r="CV21">
        <v>95.92</v>
      </c>
      <c r="CW21">
        <v>95.885000000000005</v>
      </c>
      <c r="CX21">
        <v>95.844999999999999</v>
      </c>
      <c r="CY21">
        <v>95.91</v>
      </c>
      <c r="CZ21">
        <v>95.86</v>
      </c>
      <c r="DA21">
        <v>95.87</v>
      </c>
      <c r="DB21">
        <v>95.894999999999996</v>
      </c>
      <c r="DC21">
        <v>95.784999999999997</v>
      </c>
      <c r="DD21">
        <v>95.78</v>
      </c>
      <c r="DE21">
        <v>95.814999999999998</v>
      </c>
      <c r="DF21">
        <v>95.85</v>
      </c>
      <c r="DG21">
        <v>95.81</v>
      </c>
      <c r="DH21">
        <v>95.81</v>
      </c>
      <c r="DI21">
        <v>95.805000000000007</v>
      </c>
      <c r="DJ21">
        <v>95.75</v>
      </c>
      <c r="DK21">
        <v>95.605000000000004</v>
      </c>
      <c r="DL21">
        <v>95.6</v>
      </c>
      <c r="DM21">
        <v>95.64</v>
      </c>
      <c r="DN21">
        <v>95.745000000000005</v>
      </c>
      <c r="DO21">
        <v>95.724999999999994</v>
      </c>
      <c r="DP21">
        <v>95.734999999999999</v>
      </c>
      <c r="DQ21">
        <v>95.82</v>
      </c>
      <c r="DR21">
        <v>95.88</v>
      </c>
      <c r="DS21">
        <v>95.9</v>
      </c>
      <c r="DT21">
        <v>95.89</v>
      </c>
      <c r="DU21">
        <v>95.89</v>
      </c>
      <c r="DV21">
        <v>95.924999999999997</v>
      </c>
      <c r="DW21">
        <v>95.84</v>
      </c>
      <c r="DX21">
        <v>95.894999999999996</v>
      </c>
      <c r="DY21">
        <v>95.88</v>
      </c>
      <c r="DZ21">
        <v>95.88</v>
      </c>
      <c r="EA21">
        <v>95.86</v>
      </c>
      <c r="EB21">
        <v>95.954999999999998</v>
      </c>
      <c r="EC21">
        <v>95.885000000000005</v>
      </c>
      <c r="ED21">
        <v>96.01</v>
      </c>
      <c r="EE21">
        <v>96.144999999999996</v>
      </c>
      <c r="EF21">
        <v>96.135000000000005</v>
      </c>
      <c r="EG21">
        <v>96.14</v>
      </c>
      <c r="EH21">
        <v>96.22</v>
      </c>
      <c r="EI21">
        <v>96.28</v>
      </c>
      <c r="EJ21">
        <v>96.34</v>
      </c>
      <c r="EK21">
        <v>96.364999999999995</v>
      </c>
      <c r="EL21">
        <v>96.405000000000001</v>
      </c>
      <c r="EM21">
        <v>96.364999999999995</v>
      </c>
      <c r="EN21">
        <v>96.36</v>
      </c>
      <c r="EO21">
        <v>96.33</v>
      </c>
      <c r="EP21">
        <v>96.364999999999995</v>
      </c>
      <c r="EQ21">
        <v>96.37</v>
      </c>
      <c r="ER21">
        <v>96.334999999999994</v>
      </c>
      <c r="ES21">
        <v>96.334999999999994</v>
      </c>
      <c r="ET21">
        <v>96.26</v>
      </c>
      <c r="EU21">
        <v>96.32</v>
      </c>
      <c r="EV21">
        <v>96.174999999999997</v>
      </c>
      <c r="EW21">
        <v>96.14</v>
      </c>
      <c r="EX21">
        <v>96.15</v>
      </c>
      <c r="EY21">
        <v>96.17</v>
      </c>
      <c r="EZ21">
        <v>96.135000000000005</v>
      </c>
      <c r="FA21">
        <v>96.125</v>
      </c>
      <c r="FB21">
        <v>96.125</v>
      </c>
      <c r="FC21">
        <v>96.1</v>
      </c>
      <c r="FD21">
        <v>96.12</v>
      </c>
      <c r="FE21">
        <v>96.165000000000006</v>
      </c>
      <c r="FF21">
        <v>96.224999999999994</v>
      </c>
      <c r="FG21">
        <v>96.185000000000002</v>
      </c>
      <c r="FH21">
        <v>96.09</v>
      </c>
      <c r="FI21">
        <v>96.26</v>
      </c>
      <c r="FJ21">
        <v>96.234999999999999</v>
      </c>
      <c r="FK21">
        <v>96.18</v>
      </c>
      <c r="FL21">
        <v>96.24</v>
      </c>
      <c r="FM21">
        <v>96.26</v>
      </c>
      <c r="FN21">
        <v>96.25</v>
      </c>
      <c r="FO21">
        <v>96.24</v>
      </c>
      <c r="FP21">
        <v>96.284999999999997</v>
      </c>
      <c r="FQ21">
        <v>96.31</v>
      </c>
      <c r="FR21">
        <v>96.26</v>
      </c>
      <c r="FS21">
        <v>96.3</v>
      </c>
      <c r="FT21">
        <v>96.325000000000003</v>
      </c>
      <c r="FU21">
        <v>96.44</v>
      </c>
      <c r="FV21">
        <v>96.42</v>
      </c>
      <c r="FW21">
        <v>96.51</v>
      </c>
      <c r="FX21">
        <v>96.495000000000005</v>
      </c>
      <c r="FY21">
        <v>96.4</v>
      </c>
      <c r="FZ21">
        <v>96.45</v>
      </c>
      <c r="GA21">
        <v>96.435000000000002</v>
      </c>
      <c r="GB21">
        <v>96.474999999999994</v>
      </c>
      <c r="GC21">
        <v>96.504999999999995</v>
      </c>
      <c r="GD21">
        <v>96.515000000000001</v>
      </c>
      <c r="GE21">
        <v>96.545000000000002</v>
      </c>
      <c r="GF21">
        <v>96.644999999999996</v>
      </c>
      <c r="GG21">
        <v>96.72</v>
      </c>
      <c r="GH21">
        <v>96.76</v>
      </c>
      <c r="GI21">
        <v>96.69</v>
      </c>
      <c r="GJ21">
        <v>96.73</v>
      </c>
      <c r="GK21">
        <v>96.7</v>
      </c>
      <c r="GL21">
        <v>96.69</v>
      </c>
      <c r="GM21">
        <v>96.73</v>
      </c>
      <c r="GN21">
        <v>96.73</v>
      </c>
      <c r="GO21">
        <v>96.75</v>
      </c>
      <c r="GP21">
        <v>96.74</v>
      </c>
      <c r="GQ21">
        <v>96.814999999999998</v>
      </c>
      <c r="GR21">
        <v>96.9</v>
      </c>
      <c r="GS21">
        <v>96.9</v>
      </c>
      <c r="GT21">
        <v>96.885000000000005</v>
      </c>
      <c r="GU21">
        <v>96.875</v>
      </c>
      <c r="GV21">
        <v>96.91</v>
      </c>
      <c r="GW21">
        <v>96.91</v>
      </c>
      <c r="GX21">
        <v>96.85</v>
      </c>
      <c r="GY21">
        <v>96.83</v>
      </c>
      <c r="GZ21">
        <v>96.83</v>
      </c>
      <c r="HA21">
        <v>96.795000000000002</v>
      </c>
      <c r="HB21">
        <v>96.745000000000005</v>
      </c>
      <c r="HC21">
        <v>96.665000000000006</v>
      </c>
      <c r="HD21">
        <v>96.665000000000006</v>
      </c>
      <c r="HE21">
        <v>96.71</v>
      </c>
      <c r="HF21">
        <v>96.724999999999994</v>
      </c>
      <c r="HG21">
        <v>96.734999999999999</v>
      </c>
      <c r="HH21">
        <v>96.754999999999995</v>
      </c>
      <c r="HI21">
        <v>96.745000000000005</v>
      </c>
      <c r="HJ21">
        <v>96.68</v>
      </c>
      <c r="HK21">
        <v>96.76</v>
      </c>
      <c r="HL21">
        <v>96.734999999999999</v>
      </c>
      <c r="HM21">
        <v>96.685000000000002</v>
      </c>
      <c r="HN21">
        <v>96.65</v>
      </c>
      <c r="HO21">
        <v>96.62</v>
      </c>
      <c r="HP21">
        <v>96.71</v>
      </c>
      <c r="HQ21">
        <v>96.674999999999997</v>
      </c>
      <c r="HR21">
        <v>96.64</v>
      </c>
      <c r="HS21">
        <v>96.594999999999999</v>
      </c>
      <c r="HT21">
        <v>96.52</v>
      </c>
      <c r="HU21">
        <v>96.54</v>
      </c>
      <c r="HV21">
        <v>96.625</v>
      </c>
      <c r="HW21">
        <v>96.715000000000003</v>
      </c>
      <c r="HX21">
        <v>96.73</v>
      </c>
      <c r="HY21">
        <v>96.58</v>
      </c>
      <c r="HZ21">
        <v>96.474999999999994</v>
      </c>
      <c r="IA21">
        <v>96.44</v>
      </c>
      <c r="IB21">
        <v>96.405000000000001</v>
      </c>
      <c r="IC21">
        <v>96.385000000000005</v>
      </c>
      <c r="ID21">
        <v>96.33</v>
      </c>
      <c r="IE21">
        <v>96.29</v>
      </c>
      <c r="IF21">
        <v>96.34</v>
      </c>
      <c r="IG21">
        <v>96.33</v>
      </c>
      <c r="IH21">
        <v>96.334999999999994</v>
      </c>
      <c r="II21">
        <v>96.385000000000005</v>
      </c>
      <c r="IJ21">
        <v>96.435000000000002</v>
      </c>
      <c r="IK21">
        <v>96.41</v>
      </c>
      <c r="IL21">
        <v>96.344999999999999</v>
      </c>
      <c r="IM21">
        <v>96.39</v>
      </c>
      <c r="IN21">
        <v>96.41</v>
      </c>
      <c r="IO21">
        <v>96.314999999999998</v>
      </c>
      <c r="IP21">
        <v>96.29</v>
      </c>
      <c r="IQ21">
        <v>96.325000000000003</v>
      </c>
      <c r="IR21">
        <v>96.32</v>
      </c>
      <c r="IS21">
        <v>96.25</v>
      </c>
      <c r="IT21">
        <v>96.25</v>
      </c>
      <c r="IU21">
        <v>96.144999999999996</v>
      </c>
      <c r="IV21">
        <v>96.094999999999999</v>
      </c>
      <c r="IW21">
        <v>96.26</v>
      </c>
      <c r="IX21">
        <v>96.314999999999998</v>
      </c>
      <c r="IY21">
        <v>96.284999999999997</v>
      </c>
      <c r="IZ21">
        <v>96.375</v>
      </c>
      <c r="JA21">
        <v>96.36</v>
      </c>
      <c r="JB21">
        <v>96.34</v>
      </c>
      <c r="JC21">
        <v>96.344999999999999</v>
      </c>
      <c r="JD21">
        <v>96.415000000000006</v>
      </c>
      <c r="JE21">
        <v>96.415000000000006</v>
      </c>
      <c r="JF21">
        <v>96.344999999999999</v>
      </c>
      <c r="JG21">
        <v>96.424999999999997</v>
      </c>
      <c r="JH21">
        <v>96.38</v>
      </c>
      <c r="JI21">
        <v>96.314999999999998</v>
      </c>
      <c r="JJ21">
        <v>96.2</v>
      </c>
      <c r="JK21">
        <v>96.12</v>
      </c>
      <c r="JL21">
        <v>96.17</v>
      </c>
      <c r="JM21">
        <v>96.314999999999998</v>
      </c>
      <c r="JN21">
        <v>96.31</v>
      </c>
      <c r="JO21">
        <v>96.275000000000006</v>
      </c>
      <c r="JP21">
        <v>96.194999999999993</v>
      </c>
      <c r="JQ21">
        <v>96.07</v>
      </c>
      <c r="JR21">
        <v>96.03</v>
      </c>
      <c r="JS21">
        <v>95.96</v>
      </c>
      <c r="JT21">
        <v>96.06</v>
      </c>
      <c r="JU21">
        <v>96.13</v>
      </c>
      <c r="JV21">
        <v>96.13</v>
      </c>
      <c r="JW21">
        <v>96.114999999999995</v>
      </c>
      <c r="JX21">
        <v>96.14</v>
      </c>
      <c r="JY21">
        <v>96.15</v>
      </c>
      <c r="JZ21">
        <v>96.125</v>
      </c>
      <c r="KA21">
        <v>96.135000000000005</v>
      </c>
      <c r="KB21">
        <v>96.18</v>
      </c>
      <c r="KC21">
        <v>96.194999999999993</v>
      </c>
      <c r="KD21">
        <v>96.105000000000004</v>
      </c>
      <c r="KE21">
        <v>96.07</v>
      </c>
      <c r="KF21">
        <v>96.045000000000002</v>
      </c>
      <c r="KG21">
        <v>96.094999999999999</v>
      </c>
      <c r="KH21">
        <v>96.064999999999998</v>
      </c>
      <c r="KI21">
        <v>96.11</v>
      </c>
      <c r="KJ21">
        <v>96.07</v>
      </c>
      <c r="KK21">
        <v>96.05</v>
      </c>
      <c r="KL21">
        <v>95.97</v>
      </c>
      <c r="KM21">
        <v>95.95</v>
      </c>
      <c r="KN21">
        <v>95.864999999999995</v>
      </c>
      <c r="KO21">
        <v>95.94</v>
      </c>
      <c r="KP21">
        <v>95.864999999999995</v>
      </c>
      <c r="KQ21">
        <v>95.825000000000003</v>
      </c>
      <c r="KR21">
        <v>95.875</v>
      </c>
      <c r="KS21">
        <v>95.944999999999993</v>
      </c>
      <c r="KT21">
        <v>95.92</v>
      </c>
      <c r="KU21">
        <v>95.935000000000002</v>
      </c>
      <c r="KV21">
        <v>95.905000000000001</v>
      </c>
      <c r="KW21">
        <v>95.965000000000003</v>
      </c>
      <c r="KX21">
        <v>95.89</v>
      </c>
      <c r="KY21">
        <v>95.93</v>
      </c>
      <c r="KZ21">
        <v>96.075000000000003</v>
      </c>
      <c r="LA21">
        <v>95.984999999999999</v>
      </c>
      <c r="LB21">
        <v>96.01</v>
      </c>
      <c r="LC21">
        <v>96.174999999999997</v>
      </c>
      <c r="LD21">
        <v>96.114999999999995</v>
      </c>
      <c r="LE21">
        <v>96.165000000000006</v>
      </c>
      <c r="LF21">
        <v>96.22</v>
      </c>
      <c r="LG21">
        <v>96.174999999999997</v>
      </c>
      <c r="LH21">
        <v>96.16</v>
      </c>
      <c r="LI21">
        <v>96.2</v>
      </c>
      <c r="LJ21">
        <v>96.344999999999999</v>
      </c>
      <c r="LK21">
        <v>96.344999999999999</v>
      </c>
      <c r="LL21">
        <v>96.314999999999998</v>
      </c>
      <c r="LM21">
        <v>96.28</v>
      </c>
      <c r="LN21">
        <v>96.25</v>
      </c>
      <c r="LO21">
        <v>96.29</v>
      </c>
      <c r="LP21">
        <v>96.23</v>
      </c>
      <c r="LQ21">
        <v>96.23</v>
      </c>
      <c r="LR21">
        <v>96.26</v>
      </c>
      <c r="LS21">
        <v>96.215000000000003</v>
      </c>
      <c r="LT21">
        <v>96.254999999999995</v>
      </c>
      <c r="LU21">
        <v>96.26</v>
      </c>
      <c r="LV21">
        <v>96.39</v>
      </c>
      <c r="LW21">
        <v>96.405000000000001</v>
      </c>
      <c r="LX21">
        <v>96.46</v>
      </c>
      <c r="LY21">
        <v>96.465000000000003</v>
      </c>
      <c r="LZ21">
        <v>96.465000000000003</v>
      </c>
      <c r="MA21">
        <v>96.454999999999998</v>
      </c>
      <c r="MB21">
        <v>96.42</v>
      </c>
      <c r="MC21">
        <v>96.33</v>
      </c>
      <c r="MD21">
        <v>96.36</v>
      </c>
      <c r="ME21">
        <v>96.29</v>
      </c>
      <c r="MF21">
        <v>96.28</v>
      </c>
      <c r="MG21">
        <v>96.26</v>
      </c>
      <c r="MH21">
        <v>96.275000000000006</v>
      </c>
      <c r="MI21">
        <v>96.284999999999997</v>
      </c>
      <c r="MJ21">
        <v>96.2</v>
      </c>
      <c r="MK21">
        <v>96.185000000000002</v>
      </c>
      <c r="ML21">
        <v>96.23</v>
      </c>
      <c r="MM21">
        <v>96.204999999999998</v>
      </c>
      <c r="MN21">
        <v>96.204999999999998</v>
      </c>
      <c r="MO21">
        <v>96.254999999999995</v>
      </c>
      <c r="MP21">
        <v>96.22</v>
      </c>
      <c r="MQ21">
        <v>96.174999999999997</v>
      </c>
      <c r="MR21">
        <v>96.314999999999998</v>
      </c>
      <c r="MS21">
        <v>96.295000000000002</v>
      </c>
      <c r="MT21">
        <v>96.31</v>
      </c>
      <c r="MU21">
        <v>96.394999999999996</v>
      </c>
      <c r="MV21">
        <v>96.415000000000006</v>
      </c>
      <c r="MW21">
        <v>96.32</v>
      </c>
      <c r="MX21">
        <v>96.454999999999998</v>
      </c>
      <c r="MY21">
        <v>96.63</v>
      </c>
      <c r="MZ21">
        <v>96.52</v>
      </c>
      <c r="NA21">
        <v>96.43</v>
      </c>
      <c r="NB21">
        <v>96.375</v>
      </c>
      <c r="NC21">
        <v>96.295000000000002</v>
      </c>
      <c r="ND21">
        <v>96.32</v>
      </c>
      <c r="NE21">
        <v>96.275000000000006</v>
      </c>
      <c r="NF21">
        <v>96.325000000000003</v>
      </c>
      <c r="NG21">
        <v>96.375</v>
      </c>
      <c r="NH21">
        <v>96.31</v>
      </c>
      <c r="NI21">
        <v>96.31</v>
      </c>
      <c r="NJ21">
        <v>96.364999999999995</v>
      </c>
      <c r="NK21">
        <v>96.394999999999996</v>
      </c>
      <c r="NL21">
        <v>96.52</v>
      </c>
      <c r="NM21">
        <v>96.52</v>
      </c>
      <c r="NN21">
        <v>96.52</v>
      </c>
      <c r="NO21">
        <v>96.465000000000003</v>
      </c>
      <c r="NP21">
        <v>96.48</v>
      </c>
      <c r="NQ21">
        <v>96.49</v>
      </c>
      <c r="NR21">
        <v>96.474999999999994</v>
      </c>
      <c r="NS21">
        <v>96.53</v>
      </c>
      <c r="NT21">
        <v>96.63</v>
      </c>
      <c r="NU21">
        <v>96.59</v>
      </c>
      <c r="NV21">
        <v>96.65</v>
      </c>
      <c r="NW21">
        <v>96.65</v>
      </c>
      <c r="NX21">
        <v>96.655000000000001</v>
      </c>
      <c r="NY21">
        <v>96.72</v>
      </c>
      <c r="NZ21">
        <v>96.614999999999995</v>
      </c>
      <c r="OA21">
        <v>96.59</v>
      </c>
      <c r="OB21">
        <v>96.59</v>
      </c>
      <c r="OC21">
        <v>96.625</v>
      </c>
      <c r="OD21">
        <v>96.644999999999996</v>
      </c>
      <c r="OE21">
        <v>96.625</v>
      </c>
      <c r="OF21">
        <v>96.6</v>
      </c>
      <c r="OG21">
        <v>96.63</v>
      </c>
      <c r="OH21">
        <v>96.61</v>
      </c>
      <c r="OI21">
        <v>96.515000000000001</v>
      </c>
      <c r="OJ21">
        <v>96.364999999999995</v>
      </c>
      <c r="OK21">
        <v>96.32</v>
      </c>
      <c r="OL21">
        <v>96.32</v>
      </c>
      <c r="OM21">
        <v>96.44</v>
      </c>
      <c r="ON21">
        <v>96.44</v>
      </c>
      <c r="OO21">
        <v>96.385000000000005</v>
      </c>
      <c r="OP21">
        <v>96.26</v>
      </c>
      <c r="OQ21">
        <v>96.314999999999998</v>
      </c>
      <c r="OR21">
        <v>96.2</v>
      </c>
      <c r="OS21">
        <v>96.284999999999997</v>
      </c>
      <c r="OT21">
        <v>96.23</v>
      </c>
      <c r="OU21">
        <v>96.165000000000006</v>
      </c>
      <c r="OV21">
        <v>96.045000000000002</v>
      </c>
      <c r="OW21">
        <v>96.114999999999995</v>
      </c>
      <c r="OX21">
        <v>96.114999999999995</v>
      </c>
      <c r="OY21">
        <v>96.114999999999995</v>
      </c>
      <c r="OZ21">
        <v>96.114999999999995</v>
      </c>
      <c r="PA21">
        <v>96.075000000000003</v>
      </c>
      <c r="PB21">
        <v>96.064999999999998</v>
      </c>
      <c r="PC21">
        <v>95.96</v>
      </c>
      <c r="PD21">
        <v>96.05</v>
      </c>
      <c r="PE21">
        <v>95.844999999999999</v>
      </c>
      <c r="PF21">
        <v>95.855000000000004</v>
      </c>
      <c r="PG21">
        <v>95.855000000000004</v>
      </c>
      <c r="PH21">
        <v>95.99</v>
      </c>
      <c r="PI21">
        <v>95.93</v>
      </c>
      <c r="PJ21">
        <v>95.814999999999998</v>
      </c>
      <c r="PK21">
        <v>95.924999999999997</v>
      </c>
      <c r="PL21">
        <v>95.795000000000002</v>
      </c>
      <c r="PM21">
        <v>95.674999999999997</v>
      </c>
      <c r="PN21">
        <v>95.58</v>
      </c>
      <c r="PO21">
        <v>95.57</v>
      </c>
      <c r="PP21">
        <v>95.58</v>
      </c>
      <c r="PQ21">
        <v>95.564999999999998</v>
      </c>
      <c r="PR21">
        <v>95.444999999999993</v>
      </c>
      <c r="PS21">
        <v>95.575000000000003</v>
      </c>
      <c r="PT21">
        <v>95.575000000000003</v>
      </c>
      <c r="PU21">
        <v>95.48</v>
      </c>
      <c r="PV21">
        <v>95.394999999999996</v>
      </c>
      <c r="PW21">
        <v>95.515000000000001</v>
      </c>
      <c r="PX21">
        <v>95.584999999999994</v>
      </c>
      <c r="PY21">
        <v>95.74</v>
      </c>
      <c r="PZ21">
        <v>95.825000000000003</v>
      </c>
      <c r="QA21">
        <v>95.724999999999994</v>
      </c>
      <c r="QB21">
        <v>95.84</v>
      </c>
      <c r="QC21">
        <v>95.775000000000006</v>
      </c>
      <c r="QD21">
        <v>95.78</v>
      </c>
      <c r="QE21">
        <v>95.63</v>
      </c>
      <c r="QF21">
        <v>95.69</v>
      </c>
      <c r="QG21">
        <v>95.66</v>
      </c>
      <c r="QH21">
        <v>95.605000000000004</v>
      </c>
      <c r="QI21">
        <v>95.734999999999999</v>
      </c>
      <c r="QJ21">
        <v>95.88</v>
      </c>
      <c r="QK21">
        <v>95.834999999999994</v>
      </c>
      <c r="QL21">
        <v>95.83</v>
      </c>
      <c r="QM21">
        <v>95.905000000000001</v>
      </c>
      <c r="QN21">
        <v>95.915000000000006</v>
      </c>
      <c r="QO21">
        <v>96.03</v>
      </c>
      <c r="QP21">
        <v>95.99</v>
      </c>
      <c r="QQ21">
        <v>96.15</v>
      </c>
      <c r="QR21">
        <v>96.155000000000001</v>
      </c>
      <c r="QS21">
        <v>96.2</v>
      </c>
      <c r="QT21">
        <v>96.19</v>
      </c>
      <c r="QU21">
        <v>96.224999999999994</v>
      </c>
      <c r="QV21">
        <v>96.254999999999995</v>
      </c>
      <c r="QW21">
        <v>96.234999999999999</v>
      </c>
      <c r="QX21">
        <v>96.21</v>
      </c>
      <c r="QY21">
        <v>96.234999999999999</v>
      </c>
      <c r="QZ21">
        <v>96.23</v>
      </c>
      <c r="RA21">
        <v>96.21</v>
      </c>
      <c r="RB21">
        <v>96.25</v>
      </c>
      <c r="RC21">
        <v>96.32</v>
      </c>
      <c r="RD21">
        <v>96.32</v>
      </c>
      <c r="RE21">
        <v>96.4</v>
      </c>
      <c r="RF21">
        <v>96.375</v>
      </c>
      <c r="RG21">
        <v>96.364999999999995</v>
      </c>
      <c r="RH21">
        <v>96.28</v>
      </c>
      <c r="RI21">
        <v>96.234999999999999</v>
      </c>
      <c r="RJ21">
        <v>96.23</v>
      </c>
      <c r="RK21">
        <v>96.25</v>
      </c>
      <c r="RL21">
        <v>96.1</v>
      </c>
      <c r="RM21">
        <v>96.084999999999994</v>
      </c>
      <c r="RN21">
        <v>96.185000000000002</v>
      </c>
      <c r="RO21">
        <v>96.11</v>
      </c>
      <c r="RP21">
        <v>96.2</v>
      </c>
      <c r="RQ21">
        <v>96.234999999999999</v>
      </c>
      <c r="RR21">
        <v>96.295000000000002</v>
      </c>
      <c r="RS21">
        <v>96.29</v>
      </c>
      <c r="RT21">
        <v>96.4</v>
      </c>
      <c r="RU21">
        <v>96.51</v>
      </c>
      <c r="RV21">
        <v>96.49</v>
      </c>
      <c r="RW21">
        <v>96.43</v>
      </c>
      <c r="RX21">
        <v>96.43</v>
      </c>
      <c r="RY21">
        <v>96.28</v>
      </c>
      <c r="RZ21">
        <v>96.405000000000001</v>
      </c>
      <c r="SA21">
        <v>96.44</v>
      </c>
      <c r="SB21">
        <v>96.53</v>
      </c>
      <c r="SC21">
        <v>96.52</v>
      </c>
      <c r="SD21">
        <v>96.47</v>
      </c>
      <c r="SE21">
        <v>96.64</v>
      </c>
      <c r="SF21">
        <v>96.56</v>
      </c>
      <c r="SG21">
        <v>96.635000000000005</v>
      </c>
      <c r="SH21">
        <v>96.644999999999996</v>
      </c>
      <c r="SI21">
        <v>96.63</v>
      </c>
      <c r="SJ21">
        <v>96.775000000000006</v>
      </c>
      <c r="SK21">
        <v>96.73</v>
      </c>
      <c r="SL21">
        <v>96.7</v>
      </c>
      <c r="SM21">
        <v>96.655000000000001</v>
      </c>
      <c r="SN21">
        <v>96.685000000000002</v>
      </c>
      <c r="SO21">
        <v>96.614999999999995</v>
      </c>
      <c r="SP21">
        <v>96.49</v>
      </c>
      <c r="SQ21">
        <v>96.435000000000002</v>
      </c>
      <c r="SR21">
        <v>96.355000000000004</v>
      </c>
      <c r="SS21">
        <v>96.4</v>
      </c>
      <c r="ST21">
        <v>96.55</v>
      </c>
      <c r="SU21">
        <v>96.66</v>
      </c>
      <c r="SV21">
        <v>96.66</v>
      </c>
      <c r="SW21">
        <v>96.694999999999993</v>
      </c>
      <c r="SX21">
        <v>96.655000000000001</v>
      </c>
      <c r="SY21">
        <v>96.81</v>
      </c>
      <c r="SZ21">
        <v>96.74</v>
      </c>
      <c r="TA21">
        <v>96.77</v>
      </c>
      <c r="TB21">
        <v>96.74</v>
      </c>
      <c r="TC21">
        <v>96.69</v>
      </c>
      <c r="TD21">
        <v>96.77</v>
      </c>
      <c r="TE21">
        <v>96.805000000000007</v>
      </c>
      <c r="TF21">
        <v>96.75</v>
      </c>
      <c r="TG21">
        <v>96.75</v>
      </c>
      <c r="TH21">
        <v>96.795000000000002</v>
      </c>
      <c r="TI21">
        <v>96.715000000000003</v>
      </c>
      <c r="TJ21">
        <v>96.67</v>
      </c>
      <c r="TK21">
        <v>96.76</v>
      </c>
      <c r="TL21">
        <v>96.754999999999995</v>
      </c>
      <c r="TM21">
        <v>96.78</v>
      </c>
      <c r="TN21">
        <v>96.704999999999998</v>
      </c>
      <c r="TO21">
        <v>96.795000000000002</v>
      </c>
      <c r="TP21">
        <v>96.78</v>
      </c>
      <c r="TQ21">
        <v>96.75</v>
      </c>
      <c r="TR21">
        <v>96.864999999999995</v>
      </c>
      <c r="TS21">
        <v>96.844999999999999</v>
      </c>
      <c r="TT21">
        <v>96.78</v>
      </c>
      <c r="TU21">
        <v>96.655000000000001</v>
      </c>
      <c r="TV21">
        <v>96.655000000000001</v>
      </c>
      <c r="TW21">
        <v>96.67</v>
      </c>
      <c r="TX21">
        <v>96.78</v>
      </c>
      <c r="TY21">
        <v>96.775000000000006</v>
      </c>
      <c r="TZ21">
        <v>96.734999999999999</v>
      </c>
      <c r="UA21">
        <v>96.75</v>
      </c>
      <c r="UB21">
        <v>96.8</v>
      </c>
      <c r="UC21">
        <v>96.875</v>
      </c>
      <c r="UD21">
        <v>96.91</v>
      </c>
      <c r="UE21">
        <v>96.954999999999998</v>
      </c>
      <c r="UF21">
        <v>96.984999999999999</v>
      </c>
      <c r="UG21">
        <v>97.05</v>
      </c>
      <c r="UH21">
        <v>97.004999999999995</v>
      </c>
      <c r="UI21">
        <v>96.92</v>
      </c>
      <c r="UJ21">
        <v>96.905000000000001</v>
      </c>
      <c r="UK21">
        <v>96.95</v>
      </c>
      <c r="UL21">
        <v>97.04</v>
      </c>
      <c r="UM21">
        <v>97.004999999999995</v>
      </c>
      <c r="UN21">
        <v>96.98</v>
      </c>
      <c r="UO21">
        <v>96.84</v>
      </c>
      <c r="UP21">
        <v>96.96</v>
      </c>
      <c r="UQ21">
        <v>96.894999999999996</v>
      </c>
      <c r="UR21">
        <v>96.984999999999999</v>
      </c>
      <c r="US21">
        <v>97.034999999999997</v>
      </c>
      <c r="UT21">
        <v>96.94</v>
      </c>
      <c r="UU21">
        <v>96.87</v>
      </c>
      <c r="UV21">
        <v>96.915000000000006</v>
      </c>
      <c r="UW21">
        <v>96.86</v>
      </c>
      <c r="UX21">
        <v>96.875</v>
      </c>
      <c r="UY21">
        <v>96.855000000000004</v>
      </c>
      <c r="UZ21">
        <v>96.915000000000006</v>
      </c>
      <c r="VA21">
        <v>96.99</v>
      </c>
      <c r="VB21">
        <v>97.045000000000002</v>
      </c>
      <c r="VC21">
        <v>97.02</v>
      </c>
      <c r="VD21">
        <v>97.02</v>
      </c>
      <c r="VE21">
        <v>97.064999999999998</v>
      </c>
      <c r="VF21">
        <v>97.144999999999996</v>
      </c>
      <c r="VG21">
        <v>97.13</v>
      </c>
      <c r="VH21">
        <v>97.11</v>
      </c>
      <c r="VI21">
        <v>97.015000000000001</v>
      </c>
      <c r="VJ21">
        <v>96.96</v>
      </c>
      <c r="VK21">
        <v>96.9</v>
      </c>
      <c r="VL21">
        <v>96.855000000000004</v>
      </c>
      <c r="VM21">
        <v>96.844999999999999</v>
      </c>
      <c r="VN21">
        <v>96.875</v>
      </c>
      <c r="VO21">
        <v>97.004999999999995</v>
      </c>
      <c r="VP21">
        <v>96.974999999999994</v>
      </c>
      <c r="VQ21">
        <v>96.875</v>
      </c>
      <c r="VR21">
        <v>96.784999999999997</v>
      </c>
      <c r="VS21">
        <v>96.864999999999995</v>
      </c>
      <c r="VT21">
        <v>96.984999999999999</v>
      </c>
      <c r="VU21">
        <v>96.8</v>
      </c>
      <c r="VV21">
        <v>96.885000000000005</v>
      </c>
      <c r="VW21">
        <v>96.825000000000003</v>
      </c>
      <c r="VX21">
        <v>96.89</v>
      </c>
      <c r="VY21">
        <v>96.885000000000005</v>
      </c>
      <c r="VZ21">
        <v>96.68</v>
      </c>
      <c r="WA21">
        <v>96.674999999999997</v>
      </c>
      <c r="WB21">
        <v>96.67</v>
      </c>
      <c r="WC21">
        <v>96.614999999999995</v>
      </c>
      <c r="WD21">
        <v>96.614999999999995</v>
      </c>
      <c r="WE21">
        <v>96.51</v>
      </c>
      <c r="WF21">
        <v>96.614999999999995</v>
      </c>
      <c r="WG21">
        <v>96.704999999999998</v>
      </c>
      <c r="WH21">
        <v>96.7</v>
      </c>
      <c r="WI21">
        <v>96.635000000000005</v>
      </c>
      <c r="WJ21">
        <v>96.69</v>
      </c>
      <c r="WK21">
        <v>96.63</v>
      </c>
      <c r="WL21">
        <v>96.605000000000004</v>
      </c>
      <c r="WM21">
        <v>96.754999999999995</v>
      </c>
      <c r="WN21">
        <v>96.754999999999995</v>
      </c>
      <c r="WO21">
        <v>96.734999999999999</v>
      </c>
      <c r="WP21">
        <v>96.77</v>
      </c>
      <c r="WQ21">
        <v>96.814999999999998</v>
      </c>
      <c r="WR21">
        <v>96.84</v>
      </c>
      <c r="WS21">
        <v>96.825000000000003</v>
      </c>
      <c r="WT21">
        <v>96.885000000000005</v>
      </c>
      <c r="WU21">
        <v>96.915000000000006</v>
      </c>
      <c r="WV21">
        <v>96.89</v>
      </c>
      <c r="WW21">
        <v>96.92</v>
      </c>
      <c r="WX21">
        <v>97.01</v>
      </c>
      <c r="WY21">
        <v>97.144999999999996</v>
      </c>
      <c r="WZ21">
        <v>97.16</v>
      </c>
      <c r="XA21">
        <v>97.03</v>
      </c>
      <c r="XB21">
        <v>96.98</v>
      </c>
      <c r="XC21">
        <v>97.03</v>
      </c>
      <c r="XD21">
        <v>97.08</v>
      </c>
      <c r="XE21">
        <v>97.12</v>
      </c>
      <c r="XF21">
        <v>97.114999999999995</v>
      </c>
      <c r="XG21">
        <v>97.045000000000002</v>
      </c>
      <c r="XH21">
        <v>97.075000000000003</v>
      </c>
      <c r="XI21">
        <v>97.18</v>
      </c>
      <c r="XJ21">
        <v>97.224999999999994</v>
      </c>
      <c r="XK21">
        <v>97.06</v>
      </c>
      <c r="XL21">
        <v>97.09</v>
      </c>
      <c r="XM21">
        <v>97.09</v>
      </c>
      <c r="XN21">
        <v>97.14</v>
      </c>
      <c r="XO21">
        <v>97.015000000000001</v>
      </c>
      <c r="XP21">
        <v>96.954999999999998</v>
      </c>
      <c r="XQ21">
        <v>97.064999999999998</v>
      </c>
      <c r="XR21">
        <v>97.015000000000001</v>
      </c>
      <c r="XS21">
        <v>96.84</v>
      </c>
      <c r="XT21">
        <v>96.84</v>
      </c>
      <c r="XU21">
        <v>96.734999999999999</v>
      </c>
      <c r="XV21">
        <v>96.68</v>
      </c>
      <c r="XW21">
        <v>96.68</v>
      </c>
      <c r="XX21">
        <v>96.64</v>
      </c>
      <c r="XY21">
        <v>96.605000000000004</v>
      </c>
      <c r="XZ21">
        <v>96.674999999999997</v>
      </c>
      <c r="YA21">
        <v>96.76</v>
      </c>
      <c r="YB21">
        <v>96.76</v>
      </c>
      <c r="YC21">
        <v>96.8</v>
      </c>
      <c r="YD21">
        <v>96.784999999999997</v>
      </c>
      <c r="YE21">
        <v>96.87</v>
      </c>
      <c r="YF21">
        <v>97</v>
      </c>
      <c r="YG21">
        <v>97.084999999999994</v>
      </c>
      <c r="YH21">
        <v>97.13</v>
      </c>
      <c r="YI21">
        <v>97.075000000000003</v>
      </c>
      <c r="YJ21">
        <v>97.07</v>
      </c>
      <c r="YK21">
        <v>96.965000000000003</v>
      </c>
      <c r="YL21">
        <v>97</v>
      </c>
      <c r="YM21">
        <v>97.09</v>
      </c>
      <c r="YN21">
        <v>97.215000000000003</v>
      </c>
      <c r="YO21">
        <v>97.105000000000004</v>
      </c>
      <c r="YP21">
        <v>97.02</v>
      </c>
      <c r="YQ21">
        <v>97.135000000000005</v>
      </c>
      <c r="YR21">
        <v>97.084999999999994</v>
      </c>
      <c r="YS21">
        <v>96.924999999999997</v>
      </c>
      <c r="YT21">
        <v>96.864999999999995</v>
      </c>
      <c r="YU21">
        <v>96.9</v>
      </c>
      <c r="YV21">
        <v>96.89</v>
      </c>
      <c r="YW21">
        <v>96.87</v>
      </c>
      <c r="YX21">
        <v>96.87</v>
      </c>
      <c r="YY21">
        <v>96.8</v>
      </c>
      <c r="YZ21">
        <v>96.704999999999998</v>
      </c>
      <c r="ZA21">
        <v>96.704999999999998</v>
      </c>
      <c r="ZB21">
        <v>96.78</v>
      </c>
      <c r="ZC21">
        <v>96.834999999999994</v>
      </c>
      <c r="ZD21">
        <v>96.71</v>
      </c>
      <c r="ZE21">
        <v>96.635000000000005</v>
      </c>
      <c r="ZF21">
        <v>96.685000000000002</v>
      </c>
      <c r="ZG21">
        <v>96.66</v>
      </c>
      <c r="ZH21">
        <v>96.35</v>
      </c>
      <c r="ZI21">
        <v>96.35</v>
      </c>
      <c r="ZJ21">
        <v>96.245000000000005</v>
      </c>
      <c r="ZK21">
        <v>96.26</v>
      </c>
      <c r="ZL21">
        <v>96.275000000000006</v>
      </c>
      <c r="ZM21">
        <v>96.31</v>
      </c>
      <c r="ZN21">
        <v>96.284999999999997</v>
      </c>
      <c r="ZO21">
        <v>96.275000000000006</v>
      </c>
      <c r="ZP21">
        <v>96.31</v>
      </c>
      <c r="ZQ21">
        <v>96.42</v>
      </c>
      <c r="ZR21">
        <v>96.344999999999999</v>
      </c>
      <c r="ZS21">
        <v>96.26</v>
      </c>
      <c r="ZT21">
        <v>96.12</v>
      </c>
      <c r="ZU21">
        <v>96.165000000000006</v>
      </c>
      <c r="ZV21">
        <v>96.135000000000005</v>
      </c>
      <c r="ZW21">
        <v>96.265000000000001</v>
      </c>
      <c r="ZX21">
        <v>96.405000000000001</v>
      </c>
      <c r="ZY21">
        <v>96.385000000000005</v>
      </c>
      <c r="ZZ21">
        <v>96.375</v>
      </c>
      <c r="AAA21">
        <v>96.42</v>
      </c>
      <c r="AAB21">
        <v>96.405000000000001</v>
      </c>
      <c r="AAC21">
        <v>96.364999999999995</v>
      </c>
      <c r="AAD21">
        <v>96.325000000000003</v>
      </c>
      <c r="AAE21">
        <v>96.4</v>
      </c>
      <c r="AAF21">
        <v>96.454999999999998</v>
      </c>
      <c r="AAG21">
        <v>96.52</v>
      </c>
      <c r="AAH21">
        <v>96.704999999999998</v>
      </c>
      <c r="AAI21">
        <v>96.594999999999999</v>
      </c>
      <c r="AAJ21">
        <v>96.405000000000001</v>
      </c>
      <c r="AAK21">
        <v>96.49</v>
      </c>
      <c r="AAL21">
        <v>96.534999999999997</v>
      </c>
      <c r="AAM21">
        <v>96.325000000000003</v>
      </c>
      <c r="AAN21">
        <v>96.415000000000006</v>
      </c>
      <c r="AAO21">
        <v>96.635000000000005</v>
      </c>
      <c r="AAP21">
        <v>96.61</v>
      </c>
      <c r="AAQ21">
        <v>96.81</v>
      </c>
      <c r="AAR21">
        <v>96.745000000000005</v>
      </c>
      <c r="AAS21">
        <v>96.83</v>
      </c>
      <c r="AAT21">
        <v>96.87</v>
      </c>
      <c r="AAU21">
        <v>96.87</v>
      </c>
      <c r="AAV21">
        <v>96.924999999999997</v>
      </c>
      <c r="AAW21">
        <v>96.894999999999996</v>
      </c>
      <c r="AAX21">
        <v>96.935000000000002</v>
      </c>
      <c r="AAY21">
        <v>96.97</v>
      </c>
      <c r="AAZ21">
        <v>97</v>
      </c>
      <c r="ABA21">
        <v>97.03</v>
      </c>
      <c r="ABB21">
        <v>96.935000000000002</v>
      </c>
      <c r="ABC21">
        <v>97.11</v>
      </c>
      <c r="ABD21">
        <v>97.11</v>
      </c>
      <c r="ABE21">
        <v>97.025000000000006</v>
      </c>
      <c r="ABF21">
        <v>97.194999999999993</v>
      </c>
      <c r="ABG21">
        <v>97.234999999999999</v>
      </c>
      <c r="ABH21">
        <v>97.22</v>
      </c>
      <c r="ABI21">
        <v>97.334999999999994</v>
      </c>
      <c r="ABJ21">
        <v>97.375</v>
      </c>
      <c r="ABK21">
        <v>97.295000000000002</v>
      </c>
      <c r="ABL21">
        <v>97.35</v>
      </c>
      <c r="ABM21">
        <v>97.39</v>
      </c>
      <c r="ABN21">
        <v>97.43</v>
      </c>
      <c r="ABO21">
        <v>97.56</v>
      </c>
      <c r="ABP21">
        <v>97.555000000000007</v>
      </c>
      <c r="ABQ21">
        <v>97.64</v>
      </c>
      <c r="ABR21">
        <v>97.644999999999996</v>
      </c>
      <c r="ABS21">
        <v>97.555000000000007</v>
      </c>
      <c r="ABT21">
        <v>97.504999999999995</v>
      </c>
      <c r="ABU21">
        <v>97.63</v>
      </c>
      <c r="ABV21">
        <v>97.61</v>
      </c>
      <c r="ABW21">
        <v>97.64</v>
      </c>
      <c r="ABX21">
        <v>97.545000000000002</v>
      </c>
      <c r="ABY21">
        <v>97.71</v>
      </c>
      <c r="ABZ21">
        <v>97.61</v>
      </c>
      <c r="ACA21">
        <v>97.594999999999999</v>
      </c>
      <c r="ACB21">
        <v>97.74</v>
      </c>
      <c r="ACC21">
        <v>97.69</v>
      </c>
      <c r="ACD21">
        <v>97.65</v>
      </c>
      <c r="ACE21">
        <v>97.58</v>
      </c>
      <c r="ACF21">
        <v>97.504999999999995</v>
      </c>
      <c r="ACG21">
        <v>97.465000000000003</v>
      </c>
      <c r="ACH21">
        <v>97.495000000000005</v>
      </c>
      <c r="ACI21">
        <v>97.375</v>
      </c>
      <c r="ACJ21">
        <v>97.24</v>
      </c>
      <c r="ACK21">
        <v>97.295000000000002</v>
      </c>
      <c r="ACL21">
        <v>97.34</v>
      </c>
      <c r="ACM21">
        <v>97.36</v>
      </c>
      <c r="ACN21">
        <v>97.3</v>
      </c>
      <c r="ACO21">
        <v>97.355000000000004</v>
      </c>
      <c r="ACP21">
        <v>97.254999999999995</v>
      </c>
      <c r="ACQ21">
        <v>97.204999999999998</v>
      </c>
      <c r="ACR21">
        <v>97.055000000000007</v>
      </c>
      <c r="ACS21">
        <v>97.135000000000005</v>
      </c>
      <c r="ACT21">
        <v>97.254999999999995</v>
      </c>
      <c r="ACU21">
        <v>97.35</v>
      </c>
      <c r="ACV21">
        <v>97.25</v>
      </c>
      <c r="ACW21">
        <v>97.25</v>
      </c>
      <c r="ACX21">
        <v>97.2</v>
      </c>
      <c r="ACY21">
        <v>97.06</v>
      </c>
      <c r="ACZ21">
        <v>96.97</v>
      </c>
      <c r="ADA21">
        <v>96.995000000000005</v>
      </c>
      <c r="ADB21">
        <v>97.06</v>
      </c>
      <c r="ADC21">
        <v>97.144999999999996</v>
      </c>
      <c r="ADD21">
        <v>97.05</v>
      </c>
      <c r="ADE21">
        <v>96.93</v>
      </c>
      <c r="ADF21">
        <v>97.015000000000001</v>
      </c>
      <c r="ADG21">
        <v>97.015000000000001</v>
      </c>
      <c r="ADH21">
        <v>96.954999999999998</v>
      </c>
      <c r="ADI21">
        <v>96.795000000000002</v>
      </c>
      <c r="ADJ21">
        <v>96.754999999999995</v>
      </c>
      <c r="ADK21">
        <v>96.875</v>
      </c>
      <c r="ADL21">
        <v>97.1</v>
      </c>
      <c r="ADM21">
        <v>97.19</v>
      </c>
      <c r="ADN21">
        <v>97.194999999999993</v>
      </c>
      <c r="ADO21">
        <v>97.24</v>
      </c>
      <c r="ADP21">
        <v>97.15</v>
      </c>
      <c r="ADQ21">
        <v>97.254999999999995</v>
      </c>
      <c r="ADR21">
        <v>97.305000000000007</v>
      </c>
      <c r="ADS21">
        <v>97.26</v>
      </c>
      <c r="ADT21">
        <v>97.35</v>
      </c>
      <c r="ADU21">
        <v>97.44</v>
      </c>
      <c r="ADV21">
        <v>97.44</v>
      </c>
      <c r="ADW21">
        <v>97.43</v>
      </c>
      <c r="ADX21">
        <v>97.44</v>
      </c>
      <c r="ADY21">
        <v>97.415000000000006</v>
      </c>
      <c r="ADZ21">
        <v>97.314999999999998</v>
      </c>
      <c r="AEA21">
        <v>97.38</v>
      </c>
      <c r="AEB21">
        <v>97.32</v>
      </c>
      <c r="AEC21">
        <v>97.3</v>
      </c>
      <c r="AED21">
        <v>97.2</v>
      </c>
      <c r="AEE21">
        <v>97.284999999999997</v>
      </c>
      <c r="AEF21">
        <v>97.185000000000002</v>
      </c>
      <c r="AEG21">
        <v>97.314999999999998</v>
      </c>
      <c r="AEH21">
        <v>97.25</v>
      </c>
      <c r="AEI21">
        <v>97.16</v>
      </c>
      <c r="AEJ21">
        <v>97.04</v>
      </c>
      <c r="AEK21">
        <v>96.99</v>
      </c>
      <c r="AEL21">
        <v>97.064999999999998</v>
      </c>
      <c r="AEM21">
        <v>97.194999999999993</v>
      </c>
      <c r="AEN21">
        <v>97.165000000000006</v>
      </c>
      <c r="AEO21">
        <v>97.11</v>
      </c>
      <c r="AEP21">
        <v>97.245000000000005</v>
      </c>
      <c r="AEQ21">
        <v>97.25</v>
      </c>
      <c r="AER21">
        <v>97.32</v>
      </c>
      <c r="AES21">
        <v>97.364999999999995</v>
      </c>
      <c r="AET21">
        <v>97.36</v>
      </c>
      <c r="AEU21">
        <v>97.275000000000006</v>
      </c>
      <c r="AEV21">
        <v>97.194999999999993</v>
      </c>
      <c r="AEW21">
        <v>97.284999999999997</v>
      </c>
      <c r="AEX21">
        <v>97.19</v>
      </c>
      <c r="AEY21">
        <v>97.254999999999995</v>
      </c>
      <c r="AEZ21">
        <v>97.31</v>
      </c>
      <c r="AFA21">
        <v>97.31</v>
      </c>
      <c r="AFB21">
        <v>97.44</v>
      </c>
      <c r="AFC21">
        <v>97.41</v>
      </c>
      <c r="AFD21">
        <v>97.334999999999994</v>
      </c>
      <c r="AFE21">
        <v>97.454999999999998</v>
      </c>
      <c r="AFF21">
        <v>97.534999999999997</v>
      </c>
      <c r="AFG21">
        <v>97.594999999999999</v>
      </c>
      <c r="AFH21">
        <v>97.655000000000001</v>
      </c>
      <c r="AFI21">
        <v>97.88</v>
      </c>
      <c r="AFJ21">
        <v>97.9</v>
      </c>
      <c r="AFK21">
        <v>97.94</v>
      </c>
      <c r="AFL21">
        <v>97.875</v>
      </c>
      <c r="AFM21">
        <v>97.8</v>
      </c>
      <c r="AFN21">
        <v>97.674999999999997</v>
      </c>
      <c r="AFO21">
        <v>97.625</v>
      </c>
      <c r="AFP21">
        <v>97.83</v>
      </c>
      <c r="AFQ21">
        <v>97.864999999999995</v>
      </c>
      <c r="AFR21">
        <v>97.814999999999998</v>
      </c>
      <c r="AFS21">
        <v>97.875</v>
      </c>
      <c r="AFT21">
        <v>98.03</v>
      </c>
      <c r="AFU21">
        <v>97.96</v>
      </c>
      <c r="AFV21">
        <v>97.915000000000006</v>
      </c>
      <c r="AFW21">
        <v>97.96</v>
      </c>
      <c r="AFX21">
        <v>97.984999999999999</v>
      </c>
      <c r="AFY21">
        <v>98.13</v>
      </c>
      <c r="AFZ21">
        <v>98.144999999999996</v>
      </c>
      <c r="AGA21">
        <v>98.215000000000003</v>
      </c>
      <c r="AGB21">
        <v>98.314999999999998</v>
      </c>
      <c r="AGC21">
        <v>98.43</v>
      </c>
      <c r="AGD21">
        <v>98.454999999999998</v>
      </c>
      <c r="AGE21">
        <v>98.3</v>
      </c>
      <c r="AGF21">
        <v>98.245000000000005</v>
      </c>
      <c r="AGG21">
        <v>98.424999999999997</v>
      </c>
      <c r="AGH21">
        <v>98.254999999999995</v>
      </c>
      <c r="AGI21">
        <v>98.105000000000004</v>
      </c>
      <c r="AGJ21">
        <v>98.114999999999995</v>
      </c>
      <c r="AGK21">
        <v>98.11</v>
      </c>
      <c r="AGL21">
        <v>98.144999999999996</v>
      </c>
      <c r="AGM21">
        <v>98.144999999999996</v>
      </c>
      <c r="AGN21">
        <v>98.144999999999996</v>
      </c>
      <c r="AGO21">
        <v>98.094999999999999</v>
      </c>
      <c r="AGP21">
        <v>98.01</v>
      </c>
      <c r="AGQ21">
        <v>98.015000000000001</v>
      </c>
      <c r="AGR21">
        <v>98.08</v>
      </c>
      <c r="AGS21">
        <v>98.13</v>
      </c>
      <c r="AGT21">
        <v>98.015000000000001</v>
      </c>
      <c r="AGU21">
        <v>98.09</v>
      </c>
      <c r="AGV21">
        <v>98.05</v>
      </c>
      <c r="AGW21">
        <v>98.094999999999999</v>
      </c>
      <c r="AGX21">
        <v>98.07</v>
      </c>
      <c r="AGY21">
        <v>98.194999999999993</v>
      </c>
      <c r="AGZ21">
        <v>98.265000000000001</v>
      </c>
      <c r="AHA21">
        <v>98.234999999999999</v>
      </c>
      <c r="AHB21">
        <v>98.23</v>
      </c>
      <c r="AHC21">
        <v>98.245000000000005</v>
      </c>
      <c r="AHD21">
        <v>98.194999999999993</v>
      </c>
      <c r="AHE21">
        <v>98.105000000000004</v>
      </c>
      <c r="AHF21">
        <v>98.185000000000002</v>
      </c>
      <c r="AHG21">
        <v>98.25</v>
      </c>
      <c r="AHH21">
        <v>98.22</v>
      </c>
      <c r="AHI21">
        <v>98.15</v>
      </c>
      <c r="AHJ21">
        <v>98.135000000000005</v>
      </c>
      <c r="AHK21">
        <v>98.08</v>
      </c>
      <c r="AHL21">
        <v>98.2</v>
      </c>
      <c r="AHM21">
        <v>98.2</v>
      </c>
      <c r="AHN21">
        <v>98.28</v>
      </c>
      <c r="AHO21">
        <v>98.245000000000005</v>
      </c>
      <c r="AHP21">
        <v>98.2</v>
      </c>
      <c r="AHQ21">
        <v>98.15</v>
      </c>
      <c r="AHR21">
        <v>98.17</v>
      </c>
      <c r="AHS21">
        <v>98.215000000000003</v>
      </c>
      <c r="AHT21">
        <v>98.254999999999995</v>
      </c>
      <c r="AHU21">
        <v>98.284999999999997</v>
      </c>
      <c r="AHV21">
        <v>98.325000000000003</v>
      </c>
      <c r="AHW21">
        <v>98.48</v>
      </c>
      <c r="AHX21">
        <v>98.46</v>
      </c>
      <c r="AHY21">
        <v>98.45</v>
      </c>
      <c r="AHZ21">
        <v>98.525000000000006</v>
      </c>
      <c r="AIA21">
        <v>98.515000000000001</v>
      </c>
      <c r="AIB21">
        <v>98.5</v>
      </c>
      <c r="AIC21">
        <v>98.5</v>
      </c>
      <c r="AID21">
        <v>98.52</v>
      </c>
      <c r="AIE21">
        <v>98.51</v>
      </c>
      <c r="AIF21">
        <v>98.605000000000004</v>
      </c>
      <c r="AIG21">
        <v>98.635000000000005</v>
      </c>
      <c r="AIH21">
        <v>98.605000000000004</v>
      </c>
      <c r="AII21">
        <v>98.53</v>
      </c>
      <c r="AIJ21">
        <v>98.54</v>
      </c>
      <c r="AIK21">
        <v>98.555000000000007</v>
      </c>
      <c r="AIL21">
        <v>98.504999999999995</v>
      </c>
      <c r="AIM21">
        <v>98.53</v>
      </c>
      <c r="AIN21">
        <v>98.495000000000005</v>
      </c>
      <c r="AIO21">
        <v>98.51</v>
      </c>
      <c r="AIP21">
        <v>98.56</v>
      </c>
      <c r="AIQ21">
        <v>98.7</v>
      </c>
      <c r="AIR21">
        <v>98.58</v>
      </c>
      <c r="AIS21">
        <v>98.605000000000004</v>
      </c>
      <c r="AIT21">
        <v>98.56</v>
      </c>
      <c r="AIU21">
        <v>98.474999999999994</v>
      </c>
      <c r="AIV21">
        <v>98.504999999999995</v>
      </c>
      <c r="AIW21">
        <v>98.334999999999994</v>
      </c>
      <c r="AIX21">
        <v>98.334999999999994</v>
      </c>
      <c r="AIY21">
        <v>98.305000000000007</v>
      </c>
      <c r="AIZ21">
        <v>98.355000000000004</v>
      </c>
      <c r="AJA21">
        <v>98.465000000000003</v>
      </c>
      <c r="AJB21">
        <v>98.4</v>
      </c>
      <c r="AJC21">
        <v>98.36</v>
      </c>
      <c r="AJD21">
        <v>98.334999999999994</v>
      </c>
      <c r="AJE21">
        <v>98.37</v>
      </c>
      <c r="AJF21">
        <v>98.405000000000001</v>
      </c>
      <c r="AJG21">
        <v>98.405000000000001</v>
      </c>
      <c r="AJH21">
        <v>98.44</v>
      </c>
      <c r="AJI21">
        <v>98.584999999999994</v>
      </c>
      <c r="AJJ21">
        <v>98.5</v>
      </c>
      <c r="AJK21">
        <v>98.56</v>
      </c>
      <c r="AJL21">
        <v>98.465000000000003</v>
      </c>
      <c r="AJM21">
        <v>98.42</v>
      </c>
      <c r="AJN21">
        <v>98.45</v>
      </c>
      <c r="AJO21">
        <v>98.47</v>
      </c>
      <c r="AJP21">
        <v>98.5</v>
      </c>
      <c r="AJQ21">
        <v>98.47</v>
      </c>
      <c r="AJR21">
        <v>98.46</v>
      </c>
      <c r="AJS21">
        <v>98.32</v>
      </c>
      <c r="AJT21">
        <v>98.314999999999998</v>
      </c>
      <c r="AJU21">
        <v>98.314999999999998</v>
      </c>
      <c r="AJV21">
        <v>98.275000000000006</v>
      </c>
      <c r="AJW21">
        <v>98.32</v>
      </c>
      <c r="AJX21">
        <v>98.325000000000003</v>
      </c>
      <c r="AJY21">
        <v>98.37</v>
      </c>
      <c r="AJZ21">
        <v>98.37</v>
      </c>
      <c r="AKA21">
        <v>98.43</v>
      </c>
      <c r="AKB21">
        <v>98.38</v>
      </c>
      <c r="AKC21">
        <v>98.33</v>
      </c>
      <c r="AKD21">
        <v>98.28</v>
      </c>
      <c r="AKE21">
        <v>98.295000000000002</v>
      </c>
      <c r="AKF21">
        <v>98.34</v>
      </c>
      <c r="AKG21">
        <v>98.39</v>
      </c>
      <c r="AKH21">
        <v>98.385000000000005</v>
      </c>
      <c r="AKI21">
        <v>98.435000000000002</v>
      </c>
      <c r="AKJ21">
        <v>98.42</v>
      </c>
      <c r="AKK21">
        <v>98.334999999999994</v>
      </c>
      <c r="AKL21">
        <v>98.32</v>
      </c>
      <c r="AKM21">
        <v>98.314999999999998</v>
      </c>
      <c r="AKN21">
        <v>98.38</v>
      </c>
      <c r="AKO21">
        <v>98.42</v>
      </c>
      <c r="AKP21">
        <v>98.47</v>
      </c>
      <c r="AKQ21">
        <v>98.555000000000007</v>
      </c>
      <c r="AKR21">
        <v>98.575000000000003</v>
      </c>
      <c r="AKS21">
        <v>98.58</v>
      </c>
      <c r="AKT21">
        <v>98.504999999999995</v>
      </c>
      <c r="AKU21">
        <v>98.564999999999998</v>
      </c>
      <c r="AKV21">
        <v>98.625</v>
      </c>
      <c r="AKW21">
        <v>98.69</v>
      </c>
      <c r="AKX21">
        <v>98.644999999999996</v>
      </c>
      <c r="AKY21">
        <v>98.63</v>
      </c>
      <c r="AKZ21">
        <v>98.685000000000002</v>
      </c>
      <c r="ALA21">
        <v>98.65</v>
      </c>
      <c r="ALB21">
        <v>98.614999999999995</v>
      </c>
      <c r="ALC21">
        <v>98.67</v>
      </c>
      <c r="ALD21">
        <v>98.67</v>
      </c>
      <c r="ALE21">
        <v>98.704999999999998</v>
      </c>
      <c r="ALF21">
        <v>98.694999999999993</v>
      </c>
      <c r="ALG21">
        <v>98.694999999999993</v>
      </c>
      <c r="ALH21">
        <v>98.71</v>
      </c>
      <c r="ALI21">
        <v>98.67</v>
      </c>
      <c r="ALJ21">
        <v>98.63</v>
      </c>
      <c r="ALK21">
        <v>98.64</v>
      </c>
      <c r="ALL21">
        <v>98.704999999999998</v>
      </c>
      <c r="ALM21">
        <v>98.74</v>
      </c>
      <c r="ALN21">
        <v>98.724999999999994</v>
      </c>
      <c r="ALO21">
        <v>98.75</v>
      </c>
      <c r="ALP21">
        <v>98.72</v>
      </c>
      <c r="ALQ21">
        <v>98.74</v>
      </c>
      <c r="ALR21">
        <v>98.745000000000005</v>
      </c>
      <c r="ALS21">
        <v>98.69</v>
      </c>
      <c r="ALT21">
        <v>98.61</v>
      </c>
      <c r="ALU21">
        <v>98.63</v>
      </c>
      <c r="ALV21">
        <v>98.635000000000005</v>
      </c>
      <c r="ALW21">
        <v>98.665000000000006</v>
      </c>
      <c r="ALX21">
        <v>98.715000000000003</v>
      </c>
      <c r="ALY21">
        <v>98.79</v>
      </c>
      <c r="ALZ21">
        <v>98.84</v>
      </c>
      <c r="AMA21">
        <v>98.864999999999995</v>
      </c>
      <c r="AMB21">
        <v>98.86</v>
      </c>
      <c r="AMC21">
        <v>98.775000000000006</v>
      </c>
      <c r="AMD21">
        <v>98.745000000000005</v>
      </c>
      <c r="AME21">
        <v>98.754999999999995</v>
      </c>
      <c r="AMF21">
        <v>98.8</v>
      </c>
      <c r="AMG21">
        <v>98.765000000000001</v>
      </c>
      <c r="AMH21">
        <v>98.754999999999995</v>
      </c>
      <c r="AMI21">
        <v>98.77</v>
      </c>
      <c r="AMJ21">
        <v>98.76</v>
      </c>
      <c r="AMK21">
        <v>98.86</v>
      </c>
      <c r="AML21">
        <v>98.875</v>
      </c>
      <c r="AMM21">
        <v>98.7</v>
      </c>
      <c r="AMN21">
        <v>98.7</v>
      </c>
      <c r="AMO21">
        <v>98.625</v>
      </c>
      <c r="AMP21">
        <v>98.555000000000007</v>
      </c>
      <c r="AMQ21">
        <v>98.61</v>
      </c>
      <c r="AMR21">
        <v>98.605000000000004</v>
      </c>
      <c r="AMS21">
        <v>98.69</v>
      </c>
      <c r="AMT21">
        <v>98.655000000000001</v>
      </c>
      <c r="AMU21">
        <v>98.605000000000004</v>
      </c>
      <c r="AMV21">
        <v>98.51</v>
      </c>
      <c r="AMW21">
        <v>98.51</v>
      </c>
      <c r="AMX21">
        <v>98.45</v>
      </c>
      <c r="AMY21">
        <v>98.495000000000005</v>
      </c>
      <c r="AMZ21">
        <v>98.454999999999998</v>
      </c>
      <c r="ANA21">
        <v>98.45</v>
      </c>
      <c r="ANB21">
        <v>98.405000000000001</v>
      </c>
      <c r="ANC21">
        <v>98.45</v>
      </c>
      <c r="AND21">
        <v>98.45</v>
      </c>
      <c r="ANE21">
        <v>98.484999999999999</v>
      </c>
      <c r="ANF21">
        <v>98.48</v>
      </c>
      <c r="ANG21">
        <v>98.5</v>
      </c>
      <c r="ANH21">
        <v>98.424999999999997</v>
      </c>
      <c r="ANI21">
        <v>98.305000000000007</v>
      </c>
      <c r="ANJ21">
        <v>98.525000000000006</v>
      </c>
      <c r="ANK21">
        <v>98.51</v>
      </c>
      <c r="ANL21">
        <v>98.54</v>
      </c>
      <c r="ANM21">
        <v>98.57</v>
      </c>
      <c r="ANN21">
        <v>98.54</v>
      </c>
      <c r="ANO21">
        <v>98.49</v>
      </c>
      <c r="ANP21">
        <v>98.444999999999993</v>
      </c>
      <c r="ANQ21">
        <v>98.44</v>
      </c>
      <c r="ANR21">
        <v>98.344999999999999</v>
      </c>
      <c r="ANS21">
        <v>98.394999999999996</v>
      </c>
      <c r="ANT21">
        <v>98.36</v>
      </c>
      <c r="ANU21">
        <v>98.405000000000001</v>
      </c>
      <c r="ANV21">
        <v>98.405000000000001</v>
      </c>
      <c r="ANW21">
        <v>98.4</v>
      </c>
      <c r="ANX21">
        <v>98.44</v>
      </c>
      <c r="ANY21">
        <v>98.45</v>
      </c>
      <c r="ANZ21">
        <v>98.39</v>
      </c>
      <c r="AOA21">
        <v>98.35</v>
      </c>
      <c r="AOB21">
        <v>98.364999999999995</v>
      </c>
      <c r="AOC21">
        <v>98.3</v>
      </c>
      <c r="AOD21">
        <v>98.355000000000004</v>
      </c>
      <c r="AOE21">
        <v>98.355000000000004</v>
      </c>
      <c r="AOF21">
        <v>98.364999999999995</v>
      </c>
      <c r="AOG21">
        <v>98.334999999999994</v>
      </c>
      <c r="AOH21">
        <v>98.275000000000006</v>
      </c>
      <c r="AOI21">
        <v>98.38</v>
      </c>
      <c r="AOJ21">
        <v>98.405000000000001</v>
      </c>
      <c r="AOK21">
        <v>98.41</v>
      </c>
      <c r="AOL21">
        <v>98.39</v>
      </c>
      <c r="AOM21">
        <v>98.36</v>
      </c>
      <c r="AON21">
        <v>98.334999999999994</v>
      </c>
      <c r="AOO21">
        <v>98.31</v>
      </c>
      <c r="AOP21">
        <v>98.275000000000006</v>
      </c>
      <c r="AOQ21">
        <v>98.275000000000006</v>
      </c>
      <c r="AOR21">
        <v>98.284999999999997</v>
      </c>
      <c r="AOS21">
        <v>98.295000000000002</v>
      </c>
      <c r="AOT21">
        <v>98.355000000000004</v>
      </c>
      <c r="AOU21">
        <v>98.364999999999995</v>
      </c>
      <c r="AOV21">
        <v>98.39</v>
      </c>
      <c r="AOW21">
        <v>98.39</v>
      </c>
      <c r="AOX21">
        <v>98.394999999999996</v>
      </c>
      <c r="AOY21">
        <v>98.37</v>
      </c>
      <c r="AOZ21">
        <v>98.385000000000005</v>
      </c>
      <c r="APA21">
        <v>98.424999999999997</v>
      </c>
      <c r="APB21">
        <v>98.28</v>
      </c>
      <c r="APC21">
        <v>98.28</v>
      </c>
      <c r="APD21">
        <v>98.185000000000002</v>
      </c>
      <c r="APE21">
        <v>98.2</v>
      </c>
      <c r="APF21">
        <v>98.23</v>
      </c>
      <c r="APG21">
        <v>98.18</v>
      </c>
      <c r="APH21">
        <v>98.155000000000001</v>
      </c>
      <c r="API21">
        <v>98.05</v>
      </c>
      <c r="APJ21">
        <v>98.02</v>
      </c>
      <c r="APK21">
        <v>98.094999999999999</v>
      </c>
      <c r="APL21">
        <v>98.04</v>
      </c>
      <c r="APM21">
        <v>98.08</v>
      </c>
      <c r="APN21">
        <v>98.12</v>
      </c>
      <c r="APO21">
        <v>98.194999999999993</v>
      </c>
      <c r="APP21">
        <v>98.254999999999995</v>
      </c>
      <c r="APQ21">
        <v>98.265000000000001</v>
      </c>
      <c r="APR21">
        <v>98.245000000000005</v>
      </c>
      <c r="APS21">
        <v>98.185000000000002</v>
      </c>
      <c r="APT21">
        <v>98.144999999999996</v>
      </c>
      <c r="APU21">
        <v>98.204999999999998</v>
      </c>
      <c r="APV21">
        <v>98.38</v>
      </c>
      <c r="APW21">
        <v>98.42</v>
      </c>
      <c r="APX21">
        <v>98.415000000000006</v>
      </c>
      <c r="APY21">
        <v>98.4</v>
      </c>
      <c r="APZ21">
        <v>98.47</v>
      </c>
      <c r="AQA21">
        <v>98.5</v>
      </c>
      <c r="AQB21">
        <v>98.47</v>
      </c>
      <c r="AQC21">
        <v>98.415000000000006</v>
      </c>
      <c r="AQD21">
        <v>98.48</v>
      </c>
      <c r="AQE21">
        <v>98.47</v>
      </c>
      <c r="AQF21">
        <v>98.534999999999997</v>
      </c>
      <c r="AQG21">
        <v>98.59</v>
      </c>
      <c r="AQH21">
        <v>98.55</v>
      </c>
      <c r="AQI21">
        <v>98.5</v>
      </c>
      <c r="AQJ21">
        <v>98.504999999999995</v>
      </c>
      <c r="AQK21">
        <v>98.685000000000002</v>
      </c>
      <c r="AQL21">
        <v>98.71</v>
      </c>
      <c r="AQM21">
        <v>98.7</v>
      </c>
      <c r="AQN21">
        <v>98.734999999999999</v>
      </c>
      <c r="AQO21">
        <v>98.78</v>
      </c>
      <c r="AQP21">
        <v>98.79</v>
      </c>
      <c r="AQQ21">
        <v>98.814999999999998</v>
      </c>
      <c r="AQR21">
        <v>98.935000000000002</v>
      </c>
      <c r="AQS21">
        <v>98.935000000000002</v>
      </c>
      <c r="AQT21">
        <v>98.995000000000005</v>
      </c>
      <c r="AQU21">
        <v>99.004999999999995</v>
      </c>
      <c r="AQV21">
        <v>98.99</v>
      </c>
      <c r="AQW21">
        <v>98.98</v>
      </c>
      <c r="AQX21">
        <v>99</v>
      </c>
      <c r="AQY21">
        <v>99.004999999999995</v>
      </c>
      <c r="AQZ21">
        <v>99.084999999999994</v>
      </c>
      <c r="ARA21">
        <v>99.1</v>
      </c>
      <c r="ARB21">
        <v>99.125</v>
      </c>
      <c r="ARC21">
        <v>99.125</v>
      </c>
      <c r="ARD21">
        <v>99.13</v>
      </c>
      <c r="ARE21">
        <v>99.16</v>
      </c>
      <c r="ARF21">
        <v>99.144999999999996</v>
      </c>
      <c r="ARG21">
        <v>99.15</v>
      </c>
      <c r="ARH21">
        <v>99.135000000000005</v>
      </c>
      <c r="ARI21">
        <v>99.13</v>
      </c>
      <c r="ARJ21">
        <v>99.144999999999996</v>
      </c>
      <c r="ARK21">
        <v>99.144999999999996</v>
      </c>
      <c r="ARL21">
        <v>99.135000000000005</v>
      </c>
      <c r="ARM21">
        <v>99.135000000000005</v>
      </c>
      <c r="ARN21">
        <v>99.16</v>
      </c>
      <c r="ARO21">
        <v>99.144999999999996</v>
      </c>
      <c r="ARP21">
        <v>99.12</v>
      </c>
      <c r="ARQ21">
        <v>99.125</v>
      </c>
      <c r="ARR21">
        <v>99.13</v>
      </c>
      <c r="ARS21">
        <v>99.17</v>
      </c>
      <c r="ART21">
        <v>99.295000000000002</v>
      </c>
      <c r="ARU21">
        <v>99.34</v>
      </c>
      <c r="ARV21">
        <v>99.35</v>
      </c>
      <c r="ARW21">
        <v>99.34</v>
      </c>
      <c r="ARX21">
        <v>99.34</v>
      </c>
      <c r="ARY21">
        <v>99.33</v>
      </c>
      <c r="ARZ21">
        <v>99.314999999999998</v>
      </c>
      <c r="ASA21">
        <v>99.31</v>
      </c>
      <c r="ASB21">
        <v>99.314999999999998</v>
      </c>
      <c r="ASC21">
        <v>99.314999999999998</v>
      </c>
      <c r="ASD21">
        <v>99.314999999999998</v>
      </c>
      <c r="ASE21">
        <v>99.32</v>
      </c>
      <c r="ASF21">
        <v>99.314999999999998</v>
      </c>
      <c r="ASG21">
        <v>99.314999999999998</v>
      </c>
      <c r="ASH21">
        <v>99.36</v>
      </c>
      <c r="ASI21">
        <v>99.37</v>
      </c>
      <c r="ASJ21">
        <v>99.444999999999993</v>
      </c>
      <c r="ASK21">
        <v>99.444999999999993</v>
      </c>
      <c r="ASL21">
        <v>99.444999999999993</v>
      </c>
      <c r="ASM21">
        <v>99.415000000000006</v>
      </c>
      <c r="ASN21">
        <v>99.564999999999998</v>
      </c>
      <c r="ASO21">
        <v>99.67</v>
      </c>
      <c r="ASP21">
        <v>99.67</v>
      </c>
      <c r="ASQ21">
        <v>99.68</v>
      </c>
      <c r="ASR21">
        <v>99.694999999999993</v>
      </c>
      <c r="ASS21">
        <v>99.7</v>
      </c>
      <c r="AST21">
        <v>99.704999999999998</v>
      </c>
      <c r="ASU21">
        <v>99.73</v>
      </c>
      <c r="ASV21">
        <v>99.734999999999999</v>
      </c>
      <c r="ASW21">
        <v>99.73</v>
      </c>
      <c r="ASX21">
        <v>99.73</v>
      </c>
      <c r="ASY21">
        <v>99.724999999999994</v>
      </c>
      <c r="ASZ21">
        <v>99.72</v>
      </c>
      <c r="ATA21">
        <v>99.734999999999999</v>
      </c>
      <c r="ATB21">
        <v>99.73</v>
      </c>
      <c r="ATC21">
        <v>99.73</v>
      </c>
      <c r="ATD21">
        <v>99.734999999999999</v>
      </c>
      <c r="ATE21">
        <v>99.724999999999994</v>
      </c>
      <c r="ATF21">
        <v>99.724999999999994</v>
      </c>
      <c r="ATG21">
        <v>99.72</v>
      </c>
      <c r="ATH21">
        <v>99.7</v>
      </c>
      <c r="ATI21">
        <v>99.7</v>
      </c>
      <c r="ATJ21">
        <v>99.734999999999999</v>
      </c>
      <c r="ATK21">
        <v>99.78</v>
      </c>
      <c r="ATL21">
        <v>99.784999999999997</v>
      </c>
      <c r="ATM21">
        <v>99.805000000000007</v>
      </c>
      <c r="ATN21">
        <v>99.775000000000006</v>
      </c>
      <c r="ATO21">
        <v>99.784999999999997</v>
      </c>
      <c r="ATP21">
        <v>99.78</v>
      </c>
      <c r="ATQ21">
        <v>99.784999999999997</v>
      </c>
      <c r="ATR21">
        <v>99.795000000000002</v>
      </c>
      <c r="ATS21">
        <v>99.795000000000002</v>
      </c>
      <c r="ATT21">
        <v>99.79</v>
      </c>
      <c r="ATU21">
        <v>99.78</v>
      </c>
      <c r="ATV21">
        <v>99.77</v>
      </c>
      <c r="ATW21">
        <v>99.795000000000002</v>
      </c>
      <c r="ATX21">
        <v>99.795000000000002</v>
      </c>
      <c r="ATY21">
        <v>99.805000000000007</v>
      </c>
      <c r="ATZ21">
        <v>99.814999999999998</v>
      </c>
      <c r="AUA21">
        <v>99.81</v>
      </c>
      <c r="AUB21">
        <v>99.814999999999998</v>
      </c>
      <c r="AUC21">
        <v>99.81</v>
      </c>
      <c r="AUD21">
        <v>99.795000000000002</v>
      </c>
      <c r="AUE21">
        <v>99.79</v>
      </c>
      <c r="AUF21">
        <v>99.805000000000007</v>
      </c>
      <c r="AUG21">
        <v>99.8</v>
      </c>
      <c r="AUH21">
        <v>99.825000000000003</v>
      </c>
      <c r="AUI21">
        <v>99.825000000000003</v>
      </c>
      <c r="AUJ21">
        <v>99.875</v>
      </c>
      <c r="AUK21">
        <v>99.875</v>
      </c>
      <c r="AUL21">
        <v>99.875</v>
      </c>
      <c r="AUM21">
        <v>99.88</v>
      </c>
      <c r="AUN21">
        <v>99.88</v>
      </c>
      <c r="AUO21">
        <v>99.89</v>
      </c>
      <c r="AUP21">
        <v>99.89</v>
      </c>
      <c r="AUQ21">
        <v>99.894999999999996</v>
      </c>
      <c r="AUR21">
        <v>99.894999999999996</v>
      </c>
      <c r="AUS21">
        <v>99.885000000000005</v>
      </c>
      <c r="AUT21">
        <v>99.864999999999995</v>
      </c>
      <c r="AUU21">
        <v>99.88</v>
      </c>
      <c r="AUV21">
        <v>99.875</v>
      </c>
      <c r="AUW21">
        <v>99.905000000000001</v>
      </c>
      <c r="AUX21">
        <v>99.91</v>
      </c>
      <c r="AUY21">
        <v>99.9</v>
      </c>
      <c r="AUZ21">
        <v>99.875</v>
      </c>
      <c r="AVA21">
        <v>99.87</v>
      </c>
      <c r="AVB21">
        <v>99.875</v>
      </c>
      <c r="AVC21">
        <v>99.864999999999995</v>
      </c>
      <c r="AVD21">
        <v>99.864999999999995</v>
      </c>
      <c r="AVE21">
        <v>99.894999999999996</v>
      </c>
      <c r="AVF21">
        <v>99.885000000000005</v>
      </c>
      <c r="AVG21">
        <v>99.894999999999996</v>
      </c>
      <c r="AVH21">
        <v>99.89</v>
      </c>
      <c r="AVI21">
        <v>99.885000000000005</v>
      </c>
      <c r="AVJ21">
        <v>99.864999999999995</v>
      </c>
      <c r="AVK21">
        <v>99.875</v>
      </c>
      <c r="AVL21">
        <v>99.88</v>
      </c>
      <c r="AVM21">
        <v>99.89</v>
      </c>
      <c r="AVN21">
        <v>99.885000000000005</v>
      </c>
      <c r="AVO21">
        <v>99.894999999999996</v>
      </c>
      <c r="AVP21">
        <v>99.894999999999996</v>
      </c>
      <c r="AVQ21">
        <v>99.885000000000005</v>
      </c>
      <c r="AVR21">
        <v>99.87</v>
      </c>
      <c r="AVS21">
        <v>99.86</v>
      </c>
      <c r="AVT21">
        <v>99.86</v>
      </c>
      <c r="AVU21">
        <v>99.864999999999995</v>
      </c>
      <c r="AVV21">
        <v>99.864999999999995</v>
      </c>
      <c r="AVW21">
        <v>99.9</v>
      </c>
      <c r="AVX21">
        <v>99.91</v>
      </c>
      <c r="AVY21">
        <v>99.93</v>
      </c>
      <c r="AVZ21">
        <v>99.935000000000002</v>
      </c>
      <c r="AWA21">
        <v>99.944999999999993</v>
      </c>
      <c r="AWB21">
        <v>99.935000000000002</v>
      </c>
      <c r="AWC21">
        <v>99.93</v>
      </c>
      <c r="AWD21">
        <v>99.924999999999997</v>
      </c>
      <c r="AWE21">
        <v>99.905000000000001</v>
      </c>
      <c r="AWF21">
        <v>99.894999999999996</v>
      </c>
      <c r="AWG21">
        <v>99.89</v>
      </c>
      <c r="AWH21">
        <v>99.9</v>
      </c>
      <c r="AWI21">
        <v>99.905000000000001</v>
      </c>
      <c r="AWJ21">
        <v>99.905000000000001</v>
      </c>
      <c r="AWK21">
        <v>99.9</v>
      </c>
      <c r="AWL21">
        <v>99.9</v>
      </c>
      <c r="AWM21">
        <v>99.894999999999996</v>
      </c>
      <c r="AWN21">
        <v>99.894999999999996</v>
      </c>
      <c r="AWO21">
        <v>99.89</v>
      </c>
      <c r="AWP21">
        <v>99.9</v>
      </c>
      <c r="AWQ21">
        <v>99.9</v>
      </c>
      <c r="AWR21">
        <v>99.915000000000006</v>
      </c>
      <c r="AWS21">
        <v>99.93</v>
      </c>
      <c r="AWT21">
        <v>99.915000000000006</v>
      </c>
      <c r="AWU21">
        <v>99.91</v>
      </c>
      <c r="AWV21">
        <v>99.905000000000001</v>
      </c>
      <c r="AWW21">
        <v>99.905000000000001</v>
      </c>
      <c r="AWX21">
        <v>99.905000000000001</v>
      </c>
      <c r="AWY21">
        <v>99.894999999999996</v>
      </c>
      <c r="AWZ21">
        <v>99.915000000000006</v>
      </c>
      <c r="AXA21">
        <v>99.915000000000006</v>
      </c>
      <c r="AXB21">
        <v>99.905000000000001</v>
      </c>
      <c r="AXC21">
        <v>99.885000000000005</v>
      </c>
      <c r="AXD21">
        <v>99.885000000000005</v>
      </c>
      <c r="AXE21">
        <v>99.885000000000005</v>
      </c>
      <c r="AXF21">
        <v>99.88</v>
      </c>
      <c r="AXG21">
        <v>99.87</v>
      </c>
      <c r="AXH21">
        <v>99.85</v>
      </c>
      <c r="AXI21">
        <v>99.844999999999999</v>
      </c>
      <c r="AXJ21">
        <v>99.834999999999994</v>
      </c>
      <c r="AXK21">
        <v>99.85</v>
      </c>
      <c r="AXL21">
        <v>99.84</v>
      </c>
      <c r="AXM21">
        <v>99.85</v>
      </c>
      <c r="AXN21">
        <v>99.825000000000003</v>
      </c>
      <c r="AXO21">
        <v>99.775000000000006</v>
      </c>
      <c r="AXP21">
        <v>99.74</v>
      </c>
      <c r="AXQ21">
        <v>99.734999999999999</v>
      </c>
      <c r="AXR21">
        <v>99.8</v>
      </c>
      <c r="AXS21">
        <v>99.814999999999998</v>
      </c>
      <c r="AXT21">
        <v>99.85</v>
      </c>
      <c r="AXU21">
        <v>99.855000000000004</v>
      </c>
      <c r="AXV21">
        <v>99.844999999999999</v>
      </c>
      <c r="AXW21">
        <v>99.825000000000003</v>
      </c>
      <c r="AXX21">
        <v>99.83</v>
      </c>
      <c r="AXY21">
        <v>99.834999999999994</v>
      </c>
      <c r="AXZ21">
        <v>99.84</v>
      </c>
      <c r="AYA21">
        <v>99.84</v>
      </c>
      <c r="AYB21">
        <v>99.834999999999994</v>
      </c>
      <c r="AYC21">
        <v>99.834999999999994</v>
      </c>
      <c r="AYD21">
        <v>99.84</v>
      </c>
      <c r="AYE21">
        <v>99.84</v>
      </c>
      <c r="AYF21">
        <v>99.885000000000005</v>
      </c>
      <c r="AYG21">
        <v>99.86</v>
      </c>
      <c r="AYH21">
        <v>99.85</v>
      </c>
      <c r="AYI21">
        <v>99.83</v>
      </c>
      <c r="AYJ21">
        <v>99.83</v>
      </c>
      <c r="AYK21">
        <v>99.85</v>
      </c>
      <c r="AYL21">
        <v>99.86</v>
      </c>
      <c r="AYM21">
        <v>99.805000000000007</v>
      </c>
      <c r="AYN21">
        <v>99.79</v>
      </c>
      <c r="AYO21">
        <v>99.795000000000002</v>
      </c>
      <c r="AYP21">
        <v>99.78</v>
      </c>
      <c r="AYQ21">
        <v>99.784999999999997</v>
      </c>
      <c r="AYR21">
        <v>99.775000000000006</v>
      </c>
      <c r="AYS21">
        <v>99.76</v>
      </c>
      <c r="AYT21">
        <v>99.754999999999995</v>
      </c>
      <c r="AYU21">
        <v>99.765000000000001</v>
      </c>
      <c r="AYV21">
        <v>99.765000000000001</v>
      </c>
      <c r="AYW21">
        <v>99.76</v>
      </c>
      <c r="AYX21">
        <v>99.77</v>
      </c>
      <c r="AYY21">
        <v>99.75</v>
      </c>
      <c r="AYZ21">
        <v>99.74</v>
      </c>
      <c r="AZA21">
        <v>99.724999999999994</v>
      </c>
      <c r="AZB21">
        <v>99.715000000000003</v>
      </c>
      <c r="AZC21">
        <v>99.685000000000002</v>
      </c>
      <c r="AZD21">
        <v>99.67</v>
      </c>
      <c r="AZE21">
        <v>99.68</v>
      </c>
      <c r="AZF21">
        <v>99.68</v>
      </c>
      <c r="AZG21">
        <v>99.66</v>
      </c>
      <c r="AZH21">
        <v>99.644999999999996</v>
      </c>
      <c r="AZI21">
        <v>99.69</v>
      </c>
      <c r="AZJ21">
        <v>99.75</v>
      </c>
      <c r="AZK21">
        <v>99.745000000000005</v>
      </c>
      <c r="AZL21">
        <v>99.76</v>
      </c>
      <c r="AZM21">
        <v>99.734999999999999</v>
      </c>
      <c r="AZN21">
        <v>99.765000000000001</v>
      </c>
      <c r="AZO21">
        <v>99.72</v>
      </c>
      <c r="AZP21">
        <v>99.7</v>
      </c>
      <c r="AZQ21">
        <v>99.67</v>
      </c>
      <c r="AZR21">
        <v>99.665000000000006</v>
      </c>
      <c r="AZS21">
        <v>99.724999999999994</v>
      </c>
      <c r="AZT21">
        <v>99.644999999999996</v>
      </c>
      <c r="AZU21">
        <v>99.584999999999994</v>
      </c>
      <c r="AZV21">
        <v>99.48</v>
      </c>
      <c r="AZW21">
        <v>99.605000000000004</v>
      </c>
      <c r="AZX21">
        <v>99.655000000000001</v>
      </c>
      <c r="AZY21">
        <v>99.58</v>
      </c>
      <c r="AZZ21">
        <v>99.62</v>
      </c>
      <c r="BAA21">
        <v>99.55</v>
      </c>
      <c r="BAB21">
        <v>99.54</v>
      </c>
      <c r="BAC21">
        <v>99.66</v>
      </c>
      <c r="BAD21">
        <v>99.584999999999994</v>
      </c>
      <c r="BAE21">
        <v>99.5</v>
      </c>
      <c r="BAF21">
        <v>99.45</v>
      </c>
      <c r="BAG21">
        <v>99.39</v>
      </c>
      <c r="BAH21">
        <v>99.32</v>
      </c>
      <c r="BAI21">
        <v>99.32</v>
      </c>
      <c r="BAJ21">
        <v>99.12</v>
      </c>
      <c r="BAK21">
        <v>99.064999999999998</v>
      </c>
      <c r="BAL21">
        <v>99.075000000000003</v>
      </c>
      <c r="BAM21">
        <v>99.02</v>
      </c>
      <c r="BAN21">
        <v>98.91</v>
      </c>
      <c r="BAO21">
        <v>98.844999999999999</v>
      </c>
      <c r="BAP21">
        <v>98.8</v>
      </c>
      <c r="BAQ21">
        <v>98.825000000000003</v>
      </c>
      <c r="BAR21">
        <v>98.795000000000002</v>
      </c>
      <c r="BAS21">
        <v>98.795000000000002</v>
      </c>
      <c r="BAT21">
        <v>98.76</v>
      </c>
      <c r="BAU21">
        <v>98.76</v>
      </c>
      <c r="BAV21">
        <v>98.8</v>
      </c>
      <c r="BAW21">
        <v>98.83</v>
      </c>
      <c r="BAX21">
        <v>98.795000000000002</v>
      </c>
      <c r="BAY21">
        <v>98.74</v>
      </c>
      <c r="BAZ21">
        <v>98.76</v>
      </c>
      <c r="BBA21">
        <v>98.8</v>
      </c>
      <c r="BBB21">
        <v>98.885000000000005</v>
      </c>
      <c r="BBC21">
        <v>98.9</v>
      </c>
      <c r="BBD21">
        <v>98.844999999999999</v>
      </c>
      <c r="BBE21">
        <v>98.8</v>
      </c>
      <c r="BBF21">
        <v>98.75</v>
      </c>
      <c r="BBG21">
        <v>98.784999999999997</v>
      </c>
      <c r="BBH21">
        <v>98.7</v>
      </c>
      <c r="BBI21">
        <v>98.644999999999996</v>
      </c>
      <c r="BBJ21">
        <v>98.625</v>
      </c>
      <c r="BBK21">
        <v>98.61</v>
      </c>
      <c r="BBL21">
        <v>98.555000000000007</v>
      </c>
      <c r="BBM21">
        <v>98.555000000000007</v>
      </c>
      <c r="BBN21">
        <v>98.57</v>
      </c>
      <c r="BBO21">
        <v>98.58</v>
      </c>
      <c r="BBP21">
        <v>98.57</v>
      </c>
      <c r="BBQ21">
        <v>98.555000000000007</v>
      </c>
      <c r="BBR21">
        <v>98.56</v>
      </c>
      <c r="BBS21">
        <v>98.545000000000002</v>
      </c>
      <c r="BBT21">
        <v>98.54</v>
      </c>
      <c r="BBU21">
        <v>98.584999999999994</v>
      </c>
      <c r="BBV21">
        <v>98.594999999999999</v>
      </c>
      <c r="BBW21">
        <v>98.6</v>
      </c>
      <c r="BBX21">
        <v>98.51</v>
      </c>
      <c r="BBY21">
        <v>98.5</v>
      </c>
      <c r="BBZ21">
        <v>98.5</v>
      </c>
      <c r="BCA21">
        <v>98.504999999999995</v>
      </c>
      <c r="BCB21">
        <v>98.504999999999995</v>
      </c>
      <c r="BCC21">
        <v>98.465000000000003</v>
      </c>
      <c r="BCD21">
        <v>98.465000000000003</v>
      </c>
      <c r="BCE21">
        <v>98.465000000000003</v>
      </c>
      <c r="BCF21">
        <v>98.444999999999993</v>
      </c>
      <c r="BCG21">
        <v>98.484999999999999</v>
      </c>
      <c r="BCH21">
        <v>98.5</v>
      </c>
      <c r="BCI21">
        <v>98.48</v>
      </c>
      <c r="BCJ21">
        <v>98.504999999999995</v>
      </c>
      <c r="BCK21">
        <v>98.515000000000001</v>
      </c>
      <c r="BCL21">
        <v>98.59</v>
      </c>
      <c r="BCM21">
        <v>98.51</v>
      </c>
      <c r="BCN21">
        <v>98.594999999999999</v>
      </c>
      <c r="BCO21">
        <v>98.555000000000007</v>
      </c>
      <c r="BCP21">
        <v>98.57</v>
      </c>
      <c r="BCQ21">
        <v>98.58</v>
      </c>
      <c r="BCR21">
        <v>98.64</v>
      </c>
      <c r="BCS21">
        <v>98.655000000000001</v>
      </c>
      <c r="BCT21">
        <v>98.73</v>
      </c>
      <c r="BCU21">
        <v>98.61</v>
      </c>
      <c r="BCV21">
        <v>98.644999999999996</v>
      </c>
      <c r="BCW21">
        <v>98.635000000000005</v>
      </c>
      <c r="BCX21">
        <v>98.635000000000005</v>
      </c>
      <c r="BCY21">
        <v>98.674999999999997</v>
      </c>
      <c r="BCZ21">
        <v>98.665000000000006</v>
      </c>
      <c r="BDA21">
        <v>98.65</v>
      </c>
      <c r="BDB21">
        <v>98.67</v>
      </c>
      <c r="BDC21">
        <v>98.7</v>
      </c>
      <c r="BDD21">
        <v>98.665000000000006</v>
      </c>
      <c r="BDE21">
        <v>98.64</v>
      </c>
      <c r="BDF21">
        <v>98.614999999999995</v>
      </c>
      <c r="BDG21">
        <v>98.625</v>
      </c>
      <c r="BDH21">
        <v>98.575000000000003</v>
      </c>
      <c r="BDI21">
        <v>98.525000000000006</v>
      </c>
      <c r="BDJ21">
        <v>98.495000000000005</v>
      </c>
      <c r="BDK21">
        <v>98.504999999999995</v>
      </c>
      <c r="BDL21">
        <v>98.49</v>
      </c>
      <c r="BDM21">
        <v>98.6</v>
      </c>
      <c r="BDN21">
        <v>98.575000000000003</v>
      </c>
      <c r="BDO21">
        <v>98.635000000000005</v>
      </c>
      <c r="BDP21">
        <v>98.685000000000002</v>
      </c>
      <c r="BDQ21">
        <v>98.754999999999995</v>
      </c>
      <c r="BDR21">
        <v>98.63</v>
      </c>
      <c r="BDS21">
        <v>98.61</v>
      </c>
      <c r="BDT21">
        <v>98.614999999999995</v>
      </c>
      <c r="BDU21">
        <v>98.644999999999996</v>
      </c>
      <c r="BDV21">
        <v>98.69</v>
      </c>
      <c r="BDW21">
        <v>98.7</v>
      </c>
      <c r="BDX21">
        <v>98.68</v>
      </c>
      <c r="BDY21">
        <v>98.655000000000001</v>
      </c>
      <c r="BDZ21">
        <v>98.694999999999993</v>
      </c>
      <c r="BEA21">
        <v>98.67</v>
      </c>
      <c r="BEB21">
        <v>98.694999999999993</v>
      </c>
      <c r="BEC21">
        <v>98.655000000000001</v>
      </c>
      <c r="BED21">
        <v>98.71</v>
      </c>
      <c r="BEE21">
        <v>98.69</v>
      </c>
      <c r="BEF21">
        <v>98.82</v>
      </c>
      <c r="BEG21">
        <v>98.885000000000005</v>
      </c>
      <c r="BEH21">
        <v>98.94</v>
      </c>
      <c r="BEI21">
        <v>98.93</v>
      </c>
      <c r="BEJ21">
        <v>99</v>
      </c>
      <c r="BEK21">
        <v>99.01</v>
      </c>
      <c r="BEL21">
        <v>98.91</v>
      </c>
      <c r="BEM21">
        <v>98.834999999999994</v>
      </c>
      <c r="BEN21">
        <v>98.765000000000001</v>
      </c>
      <c r="BEO21">
        <v>98.775000000000006</v>
      </c>
      <c r="BEP21">
        <v>98.765000000000001</v>
      </c>
      <c r="BEQ21">
        <v>98.75</v>
      </c>
      <c r="BER21">
        <v>98.85</v>
      </c>
      <c r="BES21">
        <v>98.754999999999995</v>
      </c>
      <c r="BET21">
        <v>98.715000000000003</v>
      </c>
      <c r="BEU21">
        <v>98.73</v>
      </c>
      <c r="BEV21">
        <v>98.694999999999993</v>
      </c>
      <c r="BEW21">
        <v>98.704999999999998</v>
      </c>
      <c r="BEX21">
        <v>98.665000000000006</v>
      </c>
      <c r="BEY21">
        <v>98.605000000000004</v>
      </c>
      <c r="BEZ21">
        <v>98.7</v>
      </c>
      <c r="BFA21">
        <v>98.784999999999997</v>
      </c>
      <c r="BFB21">
        <v>98.81</v>
      </c>
      <c r="BFC21">
        <v>98.91</v>
      </c>
      <c r="BFD21">
        <v>98.984999999999999</v>
      </c>
      <c r="BFE21">
        <v>98.99</v>
      </c>
      <c r="BFF21">
        <v>99.12</v>
      </c>
      <c r="BFG21">
        <v>99.08</v>
      </c>
      <c r="BFH21">
        <v>99</v>
      </c>
      <c r="BFI21">
        <v>99</v>
      </c>
      <c r="BFJ21">
        <v>98.974999999999994</v>
      </c>
      <c r="BFK21">
        <v>99.015000000000001</v>
      </c>
      <c r="BFL21">
        <v>98.97</v>
      </c>
      <c r="BFM21">
        <v>98.924999999999997</v>
      </c>
      <c r="BFN21">
        <v>98.95</v>
      </c>
      <c r="BFO21">
        <v>98.844999999999999</v>
      </c>
      <c r="BFP21">
        <v>98.875</v>
      </c>
      <c r="BFQ21">
        <v>98.91</v>
      </c>
      <c r="BFR21">
        <v>98.87</v>
      </c>
      <c r="BFS21">
        <v>98.93</v>
      </c>
      <c r="BFT21">
        <v>98.924999999999997</v>
      </c>
      <c r="BFU21">
        <v>98.855000000000004</v>
      </c>
      <c r="BFV21">
        <v>98.77</v>
      </c>
      <c r="BFW21">
        <v>98.875</v>
      </c>
      <c r="BFX21">
        <v>98.795000000000002</v>
      </c>
      <c r="BFY21">
        <v>98.84</v>
      </c>
      <c r="BFZ21">
        <v>98.915000000000006</v>
      </c>
      <c r="BGA21">
        <v>98.82</v>
      </c>
      <c r="BGB21">
        <v>98.885000000000005</v>
      </c>
      <c r="BGC21">
        <v>98.67</v>
      </c>
      <c r="BGD21">
        <v>98.65</v>
      </c>
      <c r="BGE21">
        <v>98.46</v>
      </c>
      <c r="BGF21">
        <v>98.47</v>
      </c>
      <c r="BGG21">
        <v>98.48</v>
      </c>
      <c r="BGH21">
        <v>98.46</v>
      </c>
      <c r="BGI21">
        <v>98.484999999999999</v>
      </c>
      <c r="BGJ21">
        <v>98.51</v>
      </c>
      <c r="BGK21">
        <v>98.504999999999995</v>
      </c>
      <c r="BGL21">
        <v>98.534999999999997</v>
      </c>
      <c r="BGM21">
        <v>98.515000000000001</v>
      </c>
      <c r="BGN21">
        <v>98.564999999999998</v>
      </c>
      <c r="BGO21">
        <v>98.48</v>
      </c>
      <c r="BGP21">
        <v>98.424999999999997</v>
      </c>
      <c r="BGQ21">
        <v>98.454999999999998</v>
      </c>
      <c r="BGR21">
        <v>98.45</v>
      </c>
      <c r="BGS21">
        <v>98.435000000000002</v>
      </c>
      <c r="BGT21">
        <v>98.484999999999999</v>
      </c>
      <c r="BGU21">
        <v>98.444999999999993</v>
      </c>
      <c r="BGV21">
        <v>98.465000000000003</v>
      </c>
      <c r="BGW21">
        <v>98.46</v>
      </c>
      <c r="BGX21">
        <v>98.545000000000002</v>
      </c>
      <c r="BGY21">
        <v>98.545000000000002</v>
      </c>
      <c r="BGZ21">
        <v>98.54</v>
      </c>
      <c r="BHA21">
        <v>98.49</v>
      </c>
      <c r="BHB21">
        <v>98.534999999999997</v>
      </c>
      <c r="BHC21">
        <v>98.55</v>
      </c>
      <c r="BHD21">
        <v>98.52</v>
      </c>
      <c r="BHE21">
        <v>98.605000000000004</v>
      </c>
      <c r="BHF21">
        <v>98.58</v>
      </c>
      <c r="BHG21">
        <v>98.53</v>
      </c>
      <c r="BHH21">
        <v>98.584999999999994</v>
      </c>
      <c r="BHI21">
        <v>98.59</v>
      </c>
      <c r="BHJ21">
        <v>98.484999999999999</v>
      </c>
      <c r="BHK21">
        <v>98.484999999999999</v>
      </c>
      <c r="BHL21">
        <v>98.504999999999995</v>
      </c>
      <c r="BHM21">
        <v>98.51</v>
      </c>
      <c r="BHN21">
        <v>98.44</v>
      </c>
      <c r="BHO21">
        <v>98.39</v>
      </c>
      <c r="BHP21">
        <v>98.385000000000005</v>
      </c>
      <c r="BHQ21">
        <v>98.424999999999997</v>
      </c>
      <c r="BHR21">
        <v>98.41</v>
      </c>
      <c r="BHS21">
        <v>98.465000000000003</v>
      </c>
      <c r="BHT21">
        <v>98.444999999999993</v>
      </c>
      <c r="BHU21">
        <v>98.49</v>
      </c>
      <c r="BHV21">
        <v>98.44</v>
      </c>
      <c r="BHW21">
        <v>98.3</v>
      </c>
      <c r="BHX21">
        <v>98.305000000000007</v>
      </c>
      <c r="BHY21">
        <v>98.27</v>
      </c>
      <c r="BHZ21">
        <v>98.215000000000003</v>
      </c>
      <c r="BIA21">
        <v>98.215000000000003</v>
      </c>
      <c r="BIB21">
        <v>98.245000000000005</v>
      </c>
      <c r="BIC21">
        <v>98.11</v>
      </c>
      <c r="BID21">
        <v>98.075000000000003</v>
      </c>
      <c r="BIE21">
        <v>98.105000000000004</v>
      </c>
      <c r="BIF21">
        <v>98.13</v>
      </c>
      <c r="BIG21">
        <v>98.12</v>
      </c>
      <c r="BIH21">
        <v>98.165000000000006</v>
      </c>
      <c r="BII21">
        <v>98.114999999999995</v>
      </c>
      <c r="BIJ21">
        <v>98.125</v>
      </c>
      <c r="BIK21">
        <v>98.05</v>
      </c>
      <c r="BIL21">
        <v>98.034999999999997</v>
      </c>
      <c r="BIM21">
        <v>98</v>
      </c>
      <c r="BIN21">
        <v>98.03</v>
      </c>
      <c r="BIO21">
        <v>97.974999999999994</v>
      </c>
      <c r="BIP21">
        <v>97.935000000000002</v>
      </c>
      <c r="BIQ21">
        <v>97.93</v>
      </c>
      <c r="BIR21">
        <v>97.99</v>
      </c>
      <c r="BIS21">
        <v>98.03</v>
      </c>
      <c r="BIT21">
        <v>98.004999999999995</v>
      </c>
      <c r="BIU21">
        <v>98.01</v>
      </c>
      <c r="BIV21">
        <v>97.96</v>
      </c>
      <c r="BIW21">
        <v>97.974999999999994</v>
      </c>
      <c r="BIX21">
        <v>97.92</v>
      </c>
      <c r="BIY21">
        <v>97.9</v>
      </c>
      <c r="BIZ21">
        <v>97.9</v>
      </c>
      <c r="BJA21">
        <v>97.9</v>
      </c>
      <c r="BJB21">
        <v>97.875</v>
      </c>
      <c r="BJC21">
        <v>97.87</v>
      </c>
      <c r="BJD21">
        <v>97.9</v>
      </c>
      <c r="BJE21">
        <v>97.894999999999996</v>
      </c>
      <c r="BJF21">
        <v>97.97</v>
      </c>
      <c r="BJG21">
        <v>98.004999999999995</v>
      </c>
      <c r="BJH21">
        <v>97.97</v>
      </c>
      <c r="BJI21">
        <v>97.935000000000002</v>
      </c>
      <c r="BJJ21">
        <v>97.944999999999993</v>
      </c>
      <c r="BJK21">
        <v>97.954999999999998</v>
      </c>
      <c r="BJL21">
        <v>97.965000000000003</v>
      </c>
      <c r="BJM21">
        <v>97.984999999999999</v>
      </c>
      <c r="BJN21">
        <v>97.974999999999994</v>
      </c>
      <c r="BJO21">
        <v>98.055000000000007</v>
      </c>
      <c r="BJP21">
        <v>98.13</v>
      </c>
      <c r="BJQ21">
        <v>98.165000000000006</v>
      </c>
      <c r="BJR21">
        <v>98.114999999999995</v>
      </c>
      <c r="BJS21">
        <v>98.144999999999996</v>
      </c>
      <c r="BJT21">
        <v>98.04</v>
      </c>
      <c r="BJU21">
        <v>97.924999999999997</v>
      </c>
      <c r="BJV21">
        <v>97.905000000000001</v>
      </c>
      <c r="BJW21">
        <v>97.814999999999998</v>
      </c>
      <c r="BJX21">
        <v>97.83</v>
      </c>
      <c r="BJY21">
        <v>97.834999999999994</v>
      </c>
      <c r="BJZ21">
        <v>97.805000000000007</v>
      </c>
      <c r="BKA21">
        <v>97.81</v>
      </c>
      <c r="BKB21">
        <v>97.79</v>
      </c>
      <c r="BKC21">
        <v>97.76</v>
      </c>
      <c r="BKD21">
        <v>97.77</v>
      </c>
      <c r="BKE21">
        <v>97.754999999999995</v>
      </c>
      <c r="BKF21">
        <v>97.68</v>
      </c>
      <c r="BKG21">
        <v>97.644999999999996</v>
      </c>
      <c r="BKH21">
        <v>97.65</v>
      </c>
      <c r="BKI21">
        <v>97.64</v>
      </c>
      <c r="BKJ21">
        <v>97.71</v>
      </c>
      <c r="BKK21">
        <v>97.73</v>
      </c>
      <c r="BKL21">
        <v>97.754999999999995</v>
      </c>
      <c r="BKM21">
        <v>97.724999999999994</v>
      </c>
      <c r="BKN21">
        <v>97.73</v>
      </c>
      <c r="BKO21">
        <v>97.685000000000002</v>
      </c>
      <c r="BKP21">
        <v>97.724999999999994</v>
      </c>
      <c r="BKQ21">
        <v>97.72</v>
      </c>
      <c r="BKR21">
        <v>97.704999999999998</v>
      </c>
      <c r="BKS21">
        <v>97.704999999999998</v>
      </c>
      <c r="BKT21">
        <v>97.71</v>
      </c>
      <c r="BKU21">
        <v>97.67</v>
      </c>
      <c r="BKV21">
        <v>97.73</v>
      </c>
      <c r="BKW21">
        <v>97.76</v>
      </c>
      <c r="BKX21">
        <v>97.784999999999997</v>
      </c>
      <c r="BKY21">
        <v>97.75</v>
      </c>
      <c r="BKZ21">
        <v>97.694999999999993</v>
      </c>
      <c r="BLA21">
        <v>97.685000000000002</v>
      </c>
      <c r="BLB21">
        <v>97.68</v>
      </c>
      <c r="BLC21">
        <v>97.7</v>
      </c>
      <c r="BLD21">
        <v>97.724999999999994</v>
      </c>
      <c r="BLE21">
        <v>97.655000000000001</v>
      </c>
      <c r="BLF21">
        <v>97.605000000000004</v>
      </c>
      <c r="BLG21">
        <v>97.6</v>
      </c>
      <c r="BLH21">
        <v>97.59</v>
      </c>
      <c r="BLI21">
        <v>97.614999999999995</v>
      </c>
      <c r="BLJ21">
        <v>97.6</v>
      </c>
      <c r="BLK21">
        <v>97.605000000000004</v>
      </c>
      <c r="BLL21">
        <v>97.56</v>
      </c>
      <c r="BLM21">
        <v>97.56</v>
      </c>
      <c r="BLN21">
        <v>97.63</v>
      </c>
      <c r="BLO21">
        <v>97.66</v>
      </c>
      <c r="BLP21">
        <v>97.685000000000002</v>
      </c>
      <c r="BLQ21">
        <v>97.674999999999997</v>
      </c>
      <c r="BLR21">
        <v>97.68</v>
      </c>
      <c r="BLS21">
        <v>97.665000000000006</v>
      </c>
      <c r="BLT21">
        <v>97.67</v>
      </c>
      <c r="BLU21">
        <v>97.66</v>
      </c>
      <c r="BLV21">
        <v>97.73</v>
      </c>
      <c r="BLW21">
        <v>97.775000000000006</v>
      </c>
      <c r="BLX21">
        <v>97.84</v>
      </c>
      <c r="BLY21">
        <v>97.655000000000001</v>
      </c>
      <c r="BLZ21">
        <v>97.665000000000006</v>
      </c>
      <c r="BMA21">
        <v>97.665000000000006</v>
      </c>
      <c r="BMB21">
        <v>97.66</v>
      </c>
      <c r="BMC21">
        <v>97.65</v>
      </c>
      <c r="BMD21">
        <v>97.594999999999999</v>
      </c>
      <c r="BME21">
        <v>97.57</v>
      </c>
      <c r="BMF21">
        <v>97.57</v>
      </c>
      <c r="BMG21">
        <v>97.51</v>
      </c>
      <c r="BMH21">
        <v>97.474999999999994</v>
      </c>
      <c r="BMI21">
        <v>97.465000000000003</v>
      </c>
      <c r="BMJ21">
        <v>97.465000000000003</v>
      </c>
      <c r="BMK21">
        <v>97.415000000000006</v>
      </c>
      <c r="BML21">
        <v>97.38</v>
      </c>
      <c r="BMM21">
        <v>97.35</v>
      </c>
      <c r="BMN21">
        <v>97.355000000000004</v>
      </c>
      <c r="BMO21">
        <v>97.39</v>
      </c>
      <c r="BMP21">
        <v>97.43</v>
      </c>
      <c r="BMQ21">
        <v>97.394999999999996</v>
      </c>
      <c r="BMR21">
        <v>97.355000000000004</v>
      </c>
      <c r="BMS21">
        <v>97.25</v>
      </c>
      <c r="BMT21">
        <v>97.25</v>
      </c>
      <c r="BMU21">
        <v>97.22</v>
      </c>
      <c r="BMV21">
        <v>97.24</v>
      </c>
      <c r="BMW21">
        <v>97.234999999999999</v>
      </c>
      <c r="BMX21">
        <v>97.23</v>
      </c>
      <c r="BMY21">
        <v>97.194999999999993</v>
      </c>
      <c r="BMZ21">
        <v>97.18</v>
      </c>
      <c r="BNA21">
        <v>97.19</v>
      </c>
      <c r="BNB21">
        <v>97.19</v>
      </c>
      <c r="BNC21">
        <v>97.19</v>
      </c>
      <c r="BND21">
        <v>97.2</v>
      </c>
      <c r="BNE21">
        <v>97.204999999999998</v>
      </c>
      <c r="BNF21">
        <v>97.17</v>
      </c>
      <c r="BNG21">
        <v>97.12</v>
      </c>
      <c r="BNH21">
        <v>97.11</v>
      </c>
      <c r="BNI21">
        <v>97.055000000000007</v>
      </c>
      <c r="BNJ21">
        <v>97.034999999999997</v>
      </c>
      <c r="BNK21">
        <v>97.015000000000001</v>
      </c>
      <c r="BNL21">
        <v>97</v>
      </c>
      <c r="BNM21">
        <v>97.034999999999997</v>
      </c>
      <c r="BNN21">
        <v>97.045000000000002</v>
      </c>
      <c r="BNO21">
        <v>97.055000000000007</v>
      </c>
      <c r="BNP21">
        <v>97.06</v>
      </c>
      <c r="BNQ21">
        <v>97.1</v>
      </c>
      <c r="BNR21">
        <v>97.09</v>
      </c>
      <c r="BNS21">
        <v>97.12</v>
      </c>
      <c r="BNT21">
        <v>97.12</v>
      </c>
      <c r="BNU21">
        <v>97.125</v>
      </c>
      <c r="BNV21">
        <v>97.055000000000007</v>
      </c>
      <c r="BNW21">
        <v>97.055000000000007</v>
      </c>
      <c r="BNX21">
        <v>97.025000000000006</v>
      </c>
      <c r="BNY21">
        <v>96.99</v>
      </c>
      <c r="BNZ21">
        <v>96.984999999999999</v>
      </c>
      <c r="BOA21">
        <v>97.004999999999995</v>
      </c>
      <c r="BOB21">
        <v>96.995000000000005</v>
      </c>
      <c r="BOC21">
        <v>96.995000000000005</v>
      </c>
      <c r="BOD21">
        <v>97</v>
      </c>
      <c r="BOE21">
        <v>97.01</v>
      </c>
      <c r="BOF21">
        <v>96.99</v>
      </c>
      <c r="BOG21">
        <v>96.94</v>
      </c>
      <c r="BOH21">
        <v>96.93</v>
      </c>
      <c r="BOI21">
        <v>96.935000000000002</v>
      </c>
      <c r="BOJ21">
        <v>96.94</v>
      </c>
      <c r="BOK21">
        <v>96.965000000000003</v>
      </c>
      <c r="BOL21">
        <v>97</v>
      </c>
      <c r="BOM21">
        <v>97.05</v>
      </c>
      <c r="BON21">
        <v>97.04</v>
      </c>
      <c r="BOO21">
        <v>97.04</v>
      </c>
      <c r="BOP21">
        <v>97.02</v>
      </c>
      <c r="BOQ21">
        <v>97.02</v>
      </c>
      <c r="BOR21">
        <v>97.01</v>
      </c>
      <c r="BOS21">
        <v>97.025000000000006</v>
      </c>
      <c r="BOT21">
        <v>97.03</v>
      </c>
      <c r="BOU21">
        <v>97.02</v>
      </c>
      <c r="BOV21">
        <v>97.04</v>
      </c>
      <c r="BOW21">
        <v>97.07</v>
      </c>
      <c r="BOX21">
        <v>97.1</v>
      </c>
      <c r="BOY21">
        <v>97.1</v>
      </c>
      <c r="BOZ21">
        <v>97.135000000000005</v>
      </c>
      <c r="BPA21">
        <v>97.16</v>
      </c>
      <c r="BPB21">
        <v>97.16</v>
      </c>
      <c r="BPC21">
        <v>97.21</v>
      </c>
      <c r="BPD21">
        <v>97.21</v>
      </c>
      <c r="BPE21">
        <v>97.27</v>
      </c>
      <c r="BPF21">
        <v>97.254999999999995</v>
      </c>
      <c r="BPG21">
        <v>97.26</v>
      </c>
      <c r="BPH21">
        <v>97.28</v>
      </c>
      <c r="BPI21">
        <v>97.28</v>
      </c>
      <c r="BPJ21">
        <v>97.245000000000005</v>
      </c>
      <c r="BPK21">
        <v>97.234999999999999</v>
      </c>
      <c r="BPL21">
        <v>97.25</v>
      </c>
      <c r="BPM21">
        <v>97.265000000000001</v>
      </c>
      <c r="BPN21">
        <v>97.284999999999997</v>
      </c>
      <c r="BPO21">
        <v>97.284999999999997</v>
      </c>
      <c r="BPP21">
        <v>97.305000000000007</v>
      </c>
      <c r="BPQ21">
        <v>97.295000000000002</v>
      </c>
      <c r="BPR21">
        <v>97.305000000000007</v>
      </c>
      <c r="BPS21">
        <v>97.28</v>
      </c>
      <c r="BPT21">
        <v>97.275000000000006</v>
      </c>
      <c r="BPU21">
        <v>97.295000000000002</v>
      </c>
      <c r="BPV21">
        <v>97.26</v>
      </c>
      <c r="BPW21">
        <v>97.284999999999997</v>
      </c>
      <c r="BPX21">
        <v>97.29</v>
      </c>
      <c r="BPY21">
        <v>97.224999999999994</v>
      </c>
      <c r="BPZ21">
        <v>97.21</v>
      </c>
      <c r="BQA21">
        <v>97.204999999999998</v>
      </c>
      <c r="BQB21">
        <v>97.21</v>
      </c>
      <c r="BQC21">
        <v>97.2</v>
      </c>
      <c r="BQD21">
        <v>97.19</v>
      </c>
      <c r="BQE21">
        <v>97.2</v>
      </c>
      <c r="BQF21">
        <v>97.204999999999998</v>
      </c>
      <c r="BQG21">
        <v>97.204999999999998</v>
      </c>
      <c r="BQH21">
        <v>97.194999999999993</v>
      </c>
      <c r="BQI21">
        <v>97.19</v>
      </c>
      <c r="BQJ21">
        <v>97.234999999999999</v>
      </c>
      <c r="BQK21">
        <v>97.234999999999999</v>
      </c>
      <c r="BQL21">
        <v>97.245000000000005</v>
      </c>
      <c r="BQM21">
        <v>97.28</v>
      </c>
      <c r="BQN21">
        <v>97.284999999999997</v>
      </c>
      <c r="BQO21">
        <v>97.27</v>
      </c>
      <c r="BQP21">
        <v>97.275000000000006</v>
      </c>
      <c r="BQQ21">
        <v>97.3</v>
      </c>
      <c r="BQR21">
        <v>97.31</v>
      </c>
      <c r="BQS21">
        <v>97.295000000000002</v>
      </c>
      <c r="BQT21">
        <v>97.3</v>
      </c>
      <c r="BQU21">
        <v>97.295000000000002</v>
      </c>
      <c r="BQV21">
        <v>97.305000000000007</v>
      </c>
      <c r="BQW21">
        <v>97.314999999999998</v>
      </c>
      <c r="BQX21">
        <v>97.295000000000002</v>
      </c>
      <c r="BQY21">
        <v>97.31</v>
      </c>
      <c r="BQZ21">
        <v>97.31</v>
      </c>
      <c r="BRA21">
        <v>97.305000000000007</v>
      </c>
      <c r="BRB21">
        <v>97.305000000000007</v>
      </c>
      <c r="BRC21">
        <v>97.31</v>
      </c>
      <c r="BRD21">
        <v>97.305000000000007</v>
      </c>
      <c r="BRE21">
        <v>97.26</v>
      </c>
      <c r="BRF21">
        <v>97.245000000000005</v>
      </c>
      <c r="BRG21">
        <v>97.215000000000003</v>
      </c>
      <c r="BRH21">
        <v>97.215000000000003</v>
      </c>
      <c r="BRI21">
        <v>97.204999999999998</v>
      </c>
      <c r="BRJ21">
        <v>97.21</v>
      </c>
      <c r="BRK21">
        <v>97.18</v>
      </c>
      <c r="BRL21">
        <v>97.19</v>
      </c>
      <c r="BRM21">
        <v>97.174999999999997</v>
      </c>
      <c r="BRN21">
        <v>97.174999999999997</v>
      </c>
      <c r="BRO21">
        <v>97.21</v>
      </c>
      <c r="BRP21">
        <v>97.224999999999994</v>
      </c>
      <c r="BRQ21">
        <v>97.234999999999999</v>
      </c>
      <c r="BRR21">
        <v>97.2</v>
      </c>
      <c r="BRS21">
        <v>97.19</v>
      </c>
      <c r="BRT21">
        <v>97.23</v>
      </c>
      <c r="BRU21">
        <v>97.21</v>
      </c>
      <c r="BRV21">
        <v>97.25</v>
      </c>
      <c r="BRW21">
        <v>97.32</v>
      </c>
      <c r="BRX21">
        <v>97.314999999999998</v>
      </c>
      <c r="BRY21">
        <v>97.41</v>
      </c>
      <c r="BRZ21">
        <v>97.194999999999993</v>
      </c>
      <c r="BSA21">
        <v>97.194999999999993</v>
      </c>
      <c r="BSB21">
        <v>97.165000000000006</v>
      </c>
      <c r="BSC21">
        <v>97.135000000000005</v>
      </c>
      <c r="BSD21">
        <v>97.084999999999994</v>
      </c>
      <c r="BSE21">
        <v>97.075000000000003</v>
      </c>
      <c r="BSF21">
        <v>97.09</v>
      </c>
      <c r="BSG21">
        <v>97.064999999999998</v>
      </c>
      <c r="BSH21">
        <v>97.08</v>
      </c>
      <c r="BSI21">
        <v>97.09</v>
      </c>
      <c r="BSJ21">
        <v>97.12</v>
      </c>
      <c r="BSK21">
        <v>97.125</v>
      </c>
      <c r="BSL21">
        <v>97.14</v>
      </c>
      <c r="BSM21">
        <v>97.16</v>
      </c>
      <c r="BSN21">
        <v>97.185000000000002</v>
      </c>
      <c r="BSO21">
        <v>97.194999999999993</v>
      </c>
      <c r="BSP21">
        <v>97.22</v>
      </c>
      <c r="BSQ21" t="s">
        <v>6984</v>
      </c>
      <c r="BSR21" t="s">
        <v>6984</v>
      </c>
      <c r="BSS21" t="s">
        <v>6984</v>
      </c>
      <c r="BST21" t="s">
        <v>6984</v>
      </c>
      <c r="BSU21" t="s">
        <v>6984</v>
      </c>
      <c r="BSV21" t="s">
        <v>6984</v>
      </c>
      <c r="BSW21" t="s">
        <v>6984</v>
      </c>
      <c r="BSX21" t="s">
        <v>6984</v>
      </c>
      <c r="BSY21" t="s">
        <v>6984</v>
      </c>
      <c r="BSZ21" t="s">
        <v>6984</v>
      </c>
      <c r="BTA21" t="s">
        <v>6984</v>
      </c>
      <c r="BTB21" t="s">
        <v>6984</v>
      </c>
      <c r="BTC21" t="s">
        <v>6984</v>
      </c>
      <c r="BTD21" t="s">
        <v>6984</v>
      </c>
      <c r="BTE21" t="s">
        <v>6984</v>
      </c>
      <c r="BTF21" t="s">
        <v>6984</v>
      </c>
      <c r="BTG21" t="s">
        <v>6984</v>
      </c>
      <c r="BTH21" t="s">
        <v>6984</v>
      </c>
      <c r="BTI21" t="s">
        <v>6984</v>
      </c>
      <c r="BTJ21" t="s">
        <v>6984</v>
      </c>
      <c r="BTK21" t="s">
        <v>6984</v>
      </c>
      <c r="BTL21" t="s">
        <v>6984</v>
      </c>
      <c r="BTM21" t="s">
        <v>6984</v>
      </c>
      <c r="BTN21" t="s">
        <v>6984</v>
      </c>
      <c r="BTO21" t="s">
        <v>6984</v>
      </c>
      <c r="BTP21" t="s">
        <v>6984</v>
      </c>
      <c r="BTQ21" t="s">
        <v>6984</v>
      </c>
      <c r="BTR21" t="s">
        <v>6984</v>
      </c>
      <c r="BTS21" t="s">
        <v>6984</v>
      </c>
      <c r="BTT21" t="s">
        <v>6984</v>
      </c>
      <c r="BTU21" t="s">
        <v>6984</v>
      </c>
      <c r="BTV21" t="s">
        <v>6984</v>
      </c>
      <c r="BTW21" t="s">
        <v>6984</v>
      </c>
      <c r="BTX21" t="s">
        <v>6984</v>
      </c>
      <c r="BTY21" t="s">
        <v>6984</v>
      </c>
      <c r="BTZ21" t="s">
        <v>6984</v>
      </c>
      <c r="BUA21" t="s">
        <v>6984</v>
      </c>
      <c r="BUB21" t="s">
        <v>6984</v>
      </c>
      <c r="BUC21" t="s">
        <v>6984</v>
      </c>
      <c r="BUD21" t="s">
        <v>6984</v>
      </c>
      <c r="BUE21" t="s">
        <v>6984</v>
      </c>
      <c r="BUF21" t="s">
        <v>6984</v>
      </c>
      <c r="BUG21" t="s">
        <v>6984</v>
      </c>
      <c r="BUH21" t="s">
        <v>6984</v>
      </c>
      <c r="BUI21" t="s">
        <v>6984</v>
      </c>
      <c r="BUJ21" t="s">
        <v>6984</v>
      </c>
      <c r="BUK21" t="s">
        <v>6984</v>
      </c>
      <c r="BUL21" t="s">
        <v>6984</v>
      </c>
      <c r="BUM21" t="s">
        <v>6984</v>
      </c>
      <c r="BUN21" t="s">
        <v>6984</v>
      </c>
      <c r="BUO21" t="s">
        <v>6984</v>
      </c>
      <c r="BUP21" t="s">
        <v>6984</v>
      </c>
      <c r="BUQ21" t="s">
        <v>6984</v>
      </c>
      <c r="BUR21" t="s">
        <v>6984</v>
      </c>
      <c r="BUS21" t="s">
        <v>6984</v>
      </c>
      <c r="BUT21" t="s">
        <v>6984</v>
      </c>
      <c r="BUU21" t="s">
        <v>6984</v>
      </c>
      <c r="BUV21" t="s">
        <v>6984</v>
      </c>
      <c r="BUW21" t="s">
        <v>6984</v>
      </c>
      <c r="BUX21" t="s">
        <v>6984</v>
      </c>
      <c r="BUY21" t="s">
        <v>6984</v>
      </c>
      <c r="BUZ21" t="s">
        <v>6984</v>
      </c>
      <c r="BVA21" t="s">
        <v>6984</v>
      </c>
      <c r="BVB21" t="s">
        <v>6984</v>
      </c>
      <c r="BVC21" t="s">
        <v>6984</v>
      </c>
      <c r="BVD21" t="s">
        <v>6984</v>
      </c>
      <c r="BVE21" t="s">
        <v>6984</v>
      </c>
      <c r="BVF21" t="s">
        <v>6984</v>
      </c>
      <c r="BVG21" t="s">
        <v>6984</v>
      </c>
      <c r="BVH21" t="s">
        <v>6984</v>
      </c>
      <c r="BVI21" t="s">
        <v>6984</v>
      </c>
      <c r="BVJ21" t="s">
        <v>6984</v>
      </c>
      <c r="BVK21" t="s">
        <v>6984</v>
      </c>
      <c r="BVL21" t="s">
        <v>6984</v>
      </c>
      <c r="BVM21" t="s">
        <v>6984</v>
      </c>
      <c r="BVN21" t="s">
        <v>6984</v>
      </c>
      <c r="BVO21" t="s">
        <v>6984</v>
      </c>
      <c r="BVP21" t="s">
        <v>6984</v>
      </c>
      <c r="BVQ21" t="s">
        <v>6984</v>
      </c>
      <c r="BVR21" t="s">
        <v>6984</v>
      </c>
      <c r="BVS21" t="s">
        <v>6984</v>
      </c>
      <c r="BVT21" t="s">
        <v>6984</v>
      </c>
      <c r="BVU21" t="s">
        <v>6984</v>
      </c>
      <c r="BVV21" t="s">
        <v>6984</v>
      </c>
      <c r="BVW21" t="s">
        <v>6984</v>
      </c>
      <c r="BVX21" t="s">
        <v>6984</v>
      </c>
      <c r="BVY21" t="s">
        <v>6984</v>
      </c>
      <c r="BVZ21" t="s">
        <v>6984</v>
      </c>
      <c r="BWA21" t="s">
        <v>6984</v>
      </c>
      <c r="BWB21" t="s">
        <v>6984</v>
      </c>
      <c r="BWC21" t="s">
        <v>6984</v>
      </c>
      <c r="BWD21" t="s">
        <v>6984</v>
      </c>
      <c r="BWE21" t="s">
        <v>6984</v>
      </c>
      <c r="BWF21" t="s">
        <v>6984</v>
      </c>
      <c r="BWG21" t="s">
        <v>6984</v>
      </c>
      <c r="BWH21" t="s">
        <v>6984</v>
      </c>
      <c r="BWI21" t="s">
        <v>6984</v>
      </c>
      <c r="BWJ21" t="s">
        <v>6984</v>
      </c>
      <c r="BWK21" t="s">
        <v>6984</v>
      </c>
      <c r="BWL21" t="s">
        <v>6984</v>
      </c>
      <c r="BWM21" t="s">
        <v>6984</v>
      </c>
      <c r="BWN21" t="s">
        <v>6984</v>
      </c>
      <c r="BWO21" t="s">
        <v>6984</v>
      </c>
      <c r="BWP21" t="s">
        <v>6984</v>
      </c>
      <c r="BWQ21" t="s">
        <v>6984</v>
      </c>
      <c r="BWR21" t="s">
        <v>6984</v>
      </c>
      <c r="BWS21" t="s">
        <v>6984</v>
      </c>
      <c r="BWT21" t="s">
        <v>6984</v>
      </c>
      <c r="BWU21" t="s">
        <v>6984</v>
      </c>
      <c r="BWV21" t="s">
        <v>6984</v>
      </c>
      <c r="BWW21" t="s">
        <v>6984</v>
      </c>
      <c r="BWX21" t="s">
        <v>6984</v>
      </c>
      <c r="BWY21" t="s">
        <v>6984</v>
      </c>
      <c r="BWZ21" t="s">
        <v>6984</v>
      </c>
      <c r="BXA21" t="s">
        <v>6984</v>
      </c>
      <c r="BXB21" t="s">
        <v>6984</v>
      </c>
      <c r="BXC21" t="s">
        <v>6984</v>
      </c>
      <c r="BXD21" t="s">
        <v>6984</v>
      </c>
      <c r="BXE21" t="s">
        <v>6984</v>
      </c>
      <c r="BXF21" t="s">
        <v>6984</v>
      </c>
      <c r="BXG21" t="s">
        <v>6984</v>
      </c>
      <c r="BXH21" t="s">
        <v>6984</v>
      </c>
      <c r="BXI21" t="s">
        <v>6984</v>
      </c>
      <c r="BXJ21" t="s">
        <v>6984</v>
      </c>
      <c r="BXK21" t="s">
        <v>6984</v>
      </c>
      <c r="BXL21" t="s">
        <v>6984</v>
      </c>
      <c r="BXM21" t="s">
        <v>6984</v>
      </c>
      <c r="BXN21" t="s">
        <v>6984</v>
      </c>
      <c r="BXO21" t="s">
        <v>6984</v>
      </c>
      <c r="BXP21" t="s">
        <v>6984</v>
      </c>
      <c r="BXQ21" t="s">
        <v>6984</v>
      </c>
      <c r="BXR21" t="s">
        <v>6984</v>
      </c>
      <c r="BXS21" t="s">
        <v>6984</v>
      </c>
      <c r="BXT21" t="s">
        <v>6984</v>
      </c>
      <c r="BXU21" t="s">
        <v>6984</v>
      </c>
      <c r="BXV21" t="s">
        <v>6984</v>
      </c>
      <c r="BXW21" t="s">
        <v>6984</v>
      </c>
      <c r="BXX21" t="s">
        <v>6984</v>
      </c>
      <c r="BXY21" t="s">
        <v>6984</v>
      </c>
      <c r="BXZ21" t="s">
        <v>6984</v>
      </c>
      <c r="BYA21" t="s">
        <v>6984</v>
      </c>
      <c r="BYB21" t="s">
        <v>6984</v>
      </c>
      <c r="BYC21" t="s">
        <v>6984</v>
      </c>
      <c r="BYD21" t="s">
        <v>6984</v>
      </c>
      <c r="BYE21" t="s">
        <v>6984</v>
      </c>
      <c r="BYF21" t="s">
        <v>6984</v>
      </c>
      <c r="BYG21" t="s">
        <v>6984</v>
      </c>
      <c r="BYH21" t="s">
        <v>6984</v>
      </c>
      <c r="BYI21" t="s">
        <v>6984</v>
      </c>
      <c r="BYJ21" t="s">
        <v>6984</v>
      </c>
      <c r="BYK21" t="s">
        <v>6984</v>
      </c>
      <c r="BYL21" t="s">
        <v>6984</v>
      </c>
      <c r="BYM21" t="s">
        <v>6984</v>
      </c>
      <c r="BYN21" t="s">
        <v>6984</v>
      </c>
      <c r="BYO21" t="s">
        <v>6984</v>
      </c>
      <c r="BYP21" t="s">
        <v>6984</v>
      </c>
      <c r="BYQ21" t="s">
        <v>6984</v>
      </c>
      <c r="BYR21" t="s">
        <v>6984</v>
      </c>
      <c r="BYS21" t="s">
        <v>6984</v>
      </c>
      <c r="BYT21" t="s">
        <v>6984</v>
      </c>
      <c r="BYU21" t="s">
        <v>6984</v>
      </c>
      <c r="BYV21" t="s">
        <v>6984</v>
      </c>
      <c r="BYW21" t="s">
        <v>6984</v>
      </c>
      <c r="BYX21" t="s">
        <v>6984</v>
      </c>
      <c r="BYY21" t="s">
        <v>6984</v>
      </c>
      <c r="BYZ21" t="s">
        <v>6984</v>
      </c>
      <c r="BZA21" t="s">
        <v>6984</v>
      </c>
      <c r="BZB21" t="s">
        <v>6984</v>
      </c>
      <c r="BZC21" t="s">
        <v>6984</v>
      </c>
      <c r="BZD21" t="s">
        <v>6984</v>
      </c>
      <c r="BZE21" t="s">
        <v>6984</v>
      </c>
      <c r="BZF21" t="s">
        <v>6984</v>
      </c>
      <c r="BZG21" t="s">
        <v>6984</v>
      </c>
      <c r="BZH21" t="s">
        <v>6984</v>
      </c>
      <c r="BZI21" t="s">
        <v>6984</v>
      </c>
      <c r="BZJ21" t="s">
        <v>6984</v>
      </c>
      <c r="BZK21" t="s">
        <v>6984</v>
      </c>
      <c r="BZL21" t="s">
        <v>6984</v>
      </c>
      <c r="BZM21" t="s">
        <v>6984</v>
      </c>
      <c r="BZN21" t="s">
        <v>6984</v>
      </c>
      <c r="BZO21" t="s">
        <v>6984</v>
      </c>
      <c r="BZP21" t="s">
        <v>6984</v>
      </c>
      <c r="BZQ21" t="s">
        <v>6984</v>
      </c>
      <c r="BZR21" t="s">
        <v>6984</v>
      </c>
      <c r="BZS21" t="s">
        <v>6984</v>
      </c>
      <c r="BZT21" t="s">
        <v>6984</v>
      </c>
      <c r="BZU21" t="s">
        <v>6984</v>
      </c>
      <c r="BZV21" t="s">
        <v>6984</v>
      </c>
      <c r="BZW21" t="s">
        <v>6984</v>
      </c>
      <c r="BZX21" t="s">
        <v>6984</v>
      </c>
      <c r="BZY21" t="s">
        <v>6984</v>
      </c>
      <c r="BZZ21" t="s">
        <v>6984</v>
      </c>
      <c r="CAA21" t="s">
        <v>6984</v>
      </c>
      <c r="CAB21" t="s">
        <v>6984</v>
      </c>
      <c r="CAC21" t="s">
        <v>6984</v>
      </c>
      <c r="CAD21" t="s">
        <v>6984</v>
      </c>
      <c r="CAE21" t="s">
        <v>6984</v>
      </c>
      <c r="CAF21" t="s">
        <v>6984</v>
      </c>
      <c r="CAG21" t="s">
        <v>6984</v>
      </c>
      <c r="CAH21" t="s">
        <v>6984</v>
      </c>
      <c r="CAI21" t="s">
        <v>6984</v>
      </c>
      <c r="CAJ21" t="s">
        <v>6984</v>
      </c>
      <c r="CAK21" t="s">
        <v>6984</v>
      </c>
      <c r="CAL21" t="s">
        <v>6984</v>
      </c>
      <c r="CAM21" t="s">
        <v>6984</v>
      </c>
      <c r="CAN21" t="s">
        <v>6984</v>
      </c>
      <c r="CAO21" t="s">
        <v>6984</v>
      </c>
      <c r="CAP21" t="s">
        <v>6984</v>
      </c>
      <c r="CAQ21" t="s">
        <v>6984</v>
      </c>
      <c r="CAR21" t="s">
        <v>6984</v>
      </c>
      <c r="CAS21" t="s">
        <v>6984</v>
      </c>
      <c r="CAT21" t="s">
        <v>6984</v>
      </c>
      <c r="CAU21" t="s">
        <v>6984</v>
      </c>
      <c r="CAV21" t="s">
        <v>6984</v>
      </c>
      <c r="CAW21" t="s">
        <v>6984</v>
      </c>
      <c r="CAX21" t="s">
        <v>6984</v>
      </c>
      <c r="CAY21" t="s">
        <v>6984</v>
      </c>
      <c r="CAZ21" t="s">
        <v>6984</v>
      </c>
      <c r="CBA21" t="s">
        <v>6984</v>
      </c>
      <c r="CBB21" t="s">
        <v>6984</v>
      </c>
      <c r="CBC21" t="s">
        <v>6984</v>
      </c>
      <c r="CBD21" t="s">
        <v>6984</v>
      </c>
      <c r="CBE21" t="s">
        <v>6984</v>
      </c>
      <c r="CBF21" t="s">
        <v>6984</v>
      </c>
      <c r="CBG21" t="s">
        <v>6984</v>
      </c>
      <c r="CBH21" t="s">
        <v>6984</v>
      </c>
      <c r="CBI21" t="s">
        <v>6984</v>
      </c>
      <c r="CBJ21" t="s">
        <v>6984</v>
      </c>
      <c r="CBK21" t="s">
        <v>6984</v>
      </c>
      <c r="CBL21" t="s">
        <v>6984</v>
      </c>
      <c r="CBM21" t="s">
        <v>6984</v>
      </c>
      <c r="CBN21" t="s">
        <v>6984</v>
      </c>
      <c r="CBO21" t="s">
        <v>6984</v>
      </c>
      <c r="CBP21" t="s">
        <v>6984</v>
      </c>
      <c r="CBQ21" t="s">
        <v>6984</v>
      </c>
      <c r="CBR21" t="s">
        <v>6984</v>
      </c>
      <c r="CBS21" t="s">
        <v>6984</v>
      </c>
      <c r="CBT21" t="s">
        <v>6984</v>
      </c>
      <c r="CBU21" t="s">
        <v>6984</v>
      </c>
      <c r="CBV21" t="s">
        <v>6984</v>
      </c>
      <c r="CBW21" t="s">
        <v>6984</v>
      </c>
      <c r="CBX21" t="s">
        <v>6984</v>
      </c>
      <c r="CBY21" t="s">
        <v>6984</v>
      </c>
      <c r="CBZ21" t="s">
        <v>6984</v>
      </c>
      <c r="CCA21" t="s">
        <v>6984</v>
      </c>
      <c r="CCB21" t="s">
        <v>6984</v>
      </c>
      <c r="CCC21" t="s">
        <v>6984</v>
      </c>
      <c r="CCD21" t="s">
        <v>6984</v>
      </c>
      <c r="CCE21" t="s">
        <v>6984</v>
      </c>
      <c r="CCF21" t="s">
        <v>6984</v>
      </c>
      <c r="CCG21" t="s">
        <v>6984</v>
      </c>
      <c r="CCH21" t="s">
        <v>6984</v>
      </c>
      <c r="CCI21" t="s">
        <v>6984</v>
      </c>
      <c r="CCJ21" t="s">
        <v>6984</v>
      </c>
      <c r="CCK21" t="s">
        <v>6984</v>
      </c>
      <c r="CCL21" t="s">
        <v>6984</v>
      </c>
      <c r="CCM21" t="s">
        <v>6984</v>
      </c>
      <c r="CCN21" t="s">
        <v>6984</v>
      </c>
      <c r="CCO21" t="s">
        <v>6984</v>
      </c>
      <c r="CCP21" t="s">
        <v>6984</v>
      </c>
      <c r="CCQ21" t="s">
        <v>6984</v>
      </c>
      <c r="CCR21" t="s">
        <v>6984</v>
      </c>
      <c r="CCS21" t="s">
        <v>6984</v>
      </c>
      <c r="CCT21" t="s">
        <v>6984</v>
      </c>
      <c r="CCU21" t="s">
        <v>6984</v>
      </c>
      <c r="CCV21" t="s">
        <v>6984</v>
      </c>
      <c r="CCW21" t="s">
        <v>6984</v>
      </c>
      <c r="CCX21" t="s">
        <v>6984</v>
      </c>
      <c r="CCY21" t="s">
        <v>6984</v>
      </c>
      <c r="CCZ21" t="s">
        <v>6984</v>
      </c>
      <c r="CDA21" t="s">
        <v>6984</v>
      </c>
      <c r="CDB21" t="s">
        <v>6984</v>
      </c>
      <c r="CDC21" t="s">
        <v>6984</v>
      </c>
      <c r="CDD21" t="s">
        <v>6984</v>
      </c>
      <c r="CDE21" t="s">
        <v>6984</v>
      </c>
      <c r="CDF21" t="s">
        <v>6984</v>
      </c>
      <c r="CDG21" t="s">
        <v>6984</v>
      </c>
      <c r="CDH21" t="s">
        <v>6984</v>
      </c>
      <c r="CDI21" t="s">
        <v>6984</v>
      </c>
      <c r="CDJ21" t="s">
        <v>6984</v>
      </c>
      <c r="CDK21" t="s">
        <v>6984</v>
      </c>
      <c r="CDL21" t="s">
        <v>6984</v>
      </c>
      <c r="CDM21" t="s">
        <v>6984</v>
      </c>
      <c r="CDN21" t="s">
        <v>6984</v>
      </c>
      <c r="CDO21" t="s">
        <v>6984</v>
      </c>
      <c r="CDP21" t="s">
        <v>6984</v>
      </c>
      <c r="CDQ21" t="s">
        <v>6984</v>
      </c>
      <c r="CDR21" t="s">
        <v>6984</v>
      </c>
      <c r="CDS21" t="s">
        <v>6984</v>
      </c>
      <c r="CDT21" t="s">
        <v>6984</v>
      </c>
      <c r="CDU21" t="s">
        <v>6984</v>
      </c>
      <c r="CDV21" t="s">
        <v>6984</v>
      </c>
      <c r="CDW21" t="s">
        <v>6984</v>
      </c>
      <c r="CDX21" t="s">
        <v>6984</v>
      </c>
      <c r="CDY21" t="s">
        <v>6984</v>
      </c>
      <c r="CDZ21" t="s">
        <v>6984</v>
      </c>
      <c r="CEA21" t="s">
        <v>6984</v>
      </c>
      <c r="CEB21" t="s">
        <v>6984</v>
      </c>
      <c r="CEC21" t="s">
        <v>6984</v>
      </c>
      <c r="CED21" t="s">
        <v>6984</v>
      </c>
      <c r="CEE21" t="s">
        <v>6984</v>
      </c>
      <c r="CEF21" t="s">
        <v>6984</v>
      </c>
      <c r="CEG21" t="s">
        <v>6984</v>
      </c>
      <c r="CEH21" t="s">
        <v>6984</v>
      </c>
      <c r="CEI21" t="s">
        <v>6984</v>
      </c>
      <c r="CEJ21" t="s">
        <v>6984</v>
      </c>
      <c r="CEK21" t="s">
        <v>6984</v>
      </c>
      <c r="CEL21" t="s">
        <v>6984</v>
      </c>
      <c r="CEM21" t="s">
        <v>6984</v>
      </c>
      <c r="CEN21" t="s">
        <v>6984</v>
      </c>
      <c r="CEO21" t="s">
        <v>6984</v>
      </c>
      <c r="CEP21" t="s">
        <v>6984</v>
      </c>
      <c r="CEQ21" t="s">
        <v>6984</v>
      </c>
      <c r="CER21" t="s">
        <v>6984</v>
      </c>
      <c r="CES21" t="s">
        <v>6984</v>
      </c>
      <c r="CET21" t="s">
        <v>6984</v>
      </c>
      <c r="CEU21" t="s">
        <v>6984</v>
      </c>
      <c r="CEV21" t="s">
        <v>6984</v>
      </c>
      <c r="CEW21" t="s">
        <v>6984</v>
      </c>
      <c r="CEX21" t="s">
        <v>6984</v>
      </c>
      <c r="CEY21" t="s">
        <v>6984</v>
      </c>
      <c r="CEZ21" t="s">
        <v>6984</v>
      </c>
      <c r="CFA21" t="s">
        <v>6984</v>
      </c>
      <c r="CFB21" t="s">
        <v>6984</v>
      </c>
      <c r="CFC21" t="s">
        <v>6984</v>
      </c>
      <c r="CFD21" t="s">
        <v>6984</v>
      </c>
      <c r="CFE21" t="s">
        <v>6984</v>
      </c>
      <c r="CFF21" t="s">
        <v>6984</v>
      </c>
      <c r="CFG21" t="s">
        <v>6984</v>
      </c>
      <c r="CFH21" t="s">
        <v>6984</v>
      </c>
      <c r="CFI21" t="s">
        <v>6984</v>
      </c>
      <c r="CFJ21" t="s">
        <v>6984</v>
      </c>
      <c r="CFK21" t="s">
        <v>6984</v>
      </c>
      <c r="CFL21" t="s">
        <v>6984</v>
      </c>
      <c r="CFM21" t="s">
        <v>6984</v>
      </c>
      <c r="CFN21" t="s">
        <v>6984</v>
      </c>
      <c r="CFO21" t="s">
        <v>6984</v>
      </c>
      <c r="CFP21" t="s">
        <v>6984</v>
      </c>
      <c r="CFQ21" t="s">
        <v>6984</v>
      </c>
      <c r="CFR21" t="s">
        <v>6984</v>
      </c>
      <c r="CFS21" t="s">
        <v>6984</v>
      </c>
      <c r="CFT21" t="s">
        <v>6984</v>
      </c>
      <c r="CFU21" t="s">
        <v>6984</v>
      </c>
      <c r="CFV21" t="s">
        <v>6984</v>
      </c>
      <c r="CFW21" t="s">
        <v>6984</v>
      </c>
      <c r="CFX21" t="s">
        <v>6984</v>
      </c>
      <c r="CFY21" t="s">
        <v>6984</v>
      </c>
      <c r="CFZ21" t="s">
        <v>6984</v>
      </c>
      <c r="CGA21" t="s">
        <v>6984</v>
      </c>
      <c r="CGB21" t="s">
        <v>6984</v>
      </c>
      <c r="CGC21" t="s">
        <v>6984</v>
      </c>
      <c r="CGD21" t="s">
        <v>6984</v>
      </c>
      <c r="CGE21" t="s">
        <v>6984</v>
      </c>
      <c r="CGF21" t="s">
        <v>6984</v>
      </c>
      <c r="CGG21" t="s">
        <v>6984</v>
      </c>
      <c r="CGH21" t="s">
        <v>6984</v>
      </c>
      <c r="CGI21" t="s">
        <v>6984</v>
      </c>
      <c r="CGJ21" t="s">
        <v>6984</v>
      </c>
      <c r="CGK21" t="s">
        <v>6984</v>
      </c>
      <c r="CGL21" t="s">
        <v>6984</v>
      </c>
      <c r="CGM21" t="s">
        <v>6984</v>
      </c>
      <c r="CGN21" t="s">
        <v>6984</v>
      </c>
      <c r="CGO21" t="s">
        <v>6984</v>
      </c>
      <c r="CGP21" t="s">
        <v>6984</v>
      </c>
      <c r="CGQ21" t="s">
        <v>6984</v>
      </c>
      <c r="CGR21" t="s">
        <v>6984</v>
      </c>
      <c r="CGS21" t="s">
        <v>6984</v>
      </c>
      <c r="CGT21" t="s">
        <v>6984</v>
      </c>
      <c r="CGU21" t="s">
        <v>6984</v>
      </c>
      <c r="CGV21" t="s">
        <v>6984</v>
      </c>
      <c r="CGW21" t="s">
        <v>6984</v>
      </c>
      <c r="CGX21" t="s">
        <v>6984</v>
      </c>
      <c r="CGY21" t="s">
        <v>6984</v>
      </c>
      <c r="CGZ21" t="s">
        <v>6984</v>
      </c>
      <c r="CHA21" t="s">
        <v>6984</v>
      </c>
      <c r="CHB21" t="s">
        <v>6984</v>
      </c>
      <c r="CHC21" t="s">
        <v>6984</v>
      </c>
      <c r="CHD21" t="s">
        <v>6984</v>
      </c>
      <c r="CHE21" t="s">
        <v>6984</v>
      </c>
      <c r="CHF21" t="s">
        <v>6984</v>
      </c>
      <c r="CHG21" t="s">
        <v>6984</v>
      </c>
      <c r="CHH21" t="s">
        <v>6984</v>
      </c>
      <c r="CHI21" t="s">
        <v>6984</v>
      </c>
      <c r="CHJ21" t="s">
        <v>6984</v>
      </c>
      <c r="CHK21" t="s">
        <v>6984</v>
      </c>
      <c r="CHL21" t="s">
        <v>6984</v>
      </c>
      <c r="CHM21" t="s">
        <v>6984</v>
      </c>
      <c r="CHN21" t="s">
        <v>6984</v>
      </c>
      <c r="CHO21" t="s">
        <v>6984</v>
      </c>
      <c r="CHP21" t="s">
        <v>6984</v>
      </c>
      <c r="CHQ21" t="s">
        <v>6984</v>
      </c>
      <c r="CHR21" t="s">
        <v>6984</v>
      </c>
      <c r="CHS21" t="s">
        <v>6984</v>
      </c>
      <c r="CHT21" t="s">
        <v>6984</v>
      </c>
      <c r="CHU21" t="s">
        <v>6984</v>
      </c>
      <c r="CHV21" t="s">
        <v>6984</v>
      </c>
      <c r="CHW21" t="s">
        <v>6984</v>
      </c>
      <c r="CHX21" t="s">
        <v>6984</v>
      </c>
      <c r="CHY21" t="s">
        <v>6984</v>
      </c>
      <c r="CHZ21" t="s">
        <v>6984</v>
      </c>
      <c r="CIA21" t="s">
        <v>6984</v>
      </c>
      <c r="CIB21" t="s">
        <v>6984</v>
      </c>
      <c r="CIC21" t="s">
        <v>6984</v>
      </c>
      <c r="CID21" t="s">
        <v>6984</v>
      </c>
      <c r="CIE21" t="s">
        <v>6984</v>
      </c>
      <c r="CIF21" t="s">
        <v>6984</v>
      </c>
      <c r="CIG21" t="s">
        <v>6984</v>
      </c>
      <c r="CIH21" t="s">
        <v>6984</v>
      </c>
      <c r="CII21" t="s">
        <v>6984</v>
      </c>
      <c r="CIJ21" t="s">
        <v>6984</v>
      </c>
      <c r="CIK21" t="s">
        <v>6984</v>
      </c>
      <c r="CIL21" t="s">
        <v>6984</v>
      </c>
      <c r="CIM21" t="s">
        <v>6984</v>
      </c>
      <c r="CIN21" t="s">
        <v>6984</v>
      </c>
      <c r="CIO21" t="s">
        <v>6984</v>
      </c>
      <c r="CIP21" t="s">
        <v>6984</v>
      </c>
      <c r="CIQ21" t="s">
        <v>6984</v>
      </c>
      <c r="CIR21" t="s">
        <v>6984</v>
      </c>
      <c r="CIS21" t="s">
        <v>6984</v>
      </c>
      <c r="CIT21" t="s">
        <v>6984</v>
      </c>
      <c r="CIU21" t="s">
        <v>6984</v>
      </c>
      <c r="CIV21" t="s">
        <v>6984</v>
      </c>
      <c r="CIW21" t="s">
        <v>6984</v>
      </c>
      <c r="CIX21" t="s">
        <v>6984</v>
      </c>
      <c r="CIY21" t="s">
        <v>6984</v>
      </c>
      <c r="CIZ21" t="s">
        <v>6984</v>
      </c>
      <c r="CJA21" t="s">
        <v>6984</v>
      </c>
      <c r="CJB21" t="s">
        <v>6984</v>
      </c>
      <c r="CJC21" t="s">
        <v>6984</v>
      </c>
      <c r="CJD21" t="s">
        <v>6984</v>
      </c>
      <c r="CJE21" t="s">
        <v>6984</v>
      </c>
      <c r="CJF21" t="s">
        <v>6984</v>
      </c>
      <c r="CJG21" t="s">
        <v>6984</v>
      </c>
      <c r="CJH21" t="s">
        <v>6984</v>
      </c>
      <c r="CJI21" t="s">
        <v>6984</v>
      </c>
      <c r="CJJ21" t="s">
        <v>6984</v>
      </c>
      <c r="CJK21" t="s">
        <v>6984</v>
      </c>
      <c r="CJL21" t="s">
        <v>6984</v>
      </c>
      <c r="CJM21" t="s">
        <v>6984</v>
      </c>
      <c r="CJN21" t="s">
        <v>6984</v>
      </c>
      <c r="CJO21" t="s">
        <v>6984</v>
      </c>
      <c r="CJP21" t="s">
        <v>6984</v>
      </c>
      <c r="CJQ21" t="s">
        <v>6984</v>
      </c>
      <c r="CJR21" t="s">
        <v>6984</v>
      </c>
      <c r="CJS21" t="s">
        <v>6984</v>
      </c>
      <c r="CJT21" t="s">
        <v>6984</v>
      </c>
      <c r="CJU21" t="s">
        <v>6984</v>
      </c>
      <c r="CJV21" t="s">
        <v>6984</v>
      </c>
      <c r="CJW21" t="s">
        <v>6984</v>
      </c>
      <c r="CJX21" t="s">
        <v>6984</v>
      </c>
      <c r="CJY21" t="s">
        <v>6984</v>
      </c>
      <c r="CJZ21" t="s">
        <v>6984</v>
      </c>
      <c r="CKA21" t="s">
        <v>6984</v>
      </c>
      <c r="CKB21" t="s">
        <v>6984</v>
      </c>
      <c r="CKC21" t="s">
        <v>6984</v>
      </c>
      <c r="CKD21" t="s">
        <v>6984</v>
      </c>
      <c r="CKE21" t="s">
        <v>6984</v>
      </c>
      <c r="CKF21" t="s">
        <v>6984</v>
      </c>
      <c r="CKG21" t="s">
        <v>6984</v>
      </c>
      <c r="CKH21" t="s">
        <v>6984</v>
      </c>
      <c r="CKI21" t="s">
        <v>6984</v>
      </c>
      <c r="CKJ21" t="s">
        <v>6984</v>
      </c>
      <c r="CKK21" t="s">
        <v>6984</v>
      </c>
      <c r="CKL21" t="s">
        <v>6984</v>
      </c>
      <c r="CKM21" t="s">
        <v>6984</v>
      </c>
      <c r="CKN21" t="s">
        <v>6984</v>
      </c>
      <c r="CKO21" t="s">
        <v>6984</v>
      </c>
      <c r="CKP21" t="s">
        <v>6984</v>
      </c>
      <c r="CKQ21" t="s">
        <v>6984</v>
      </c>
      <c r="CKR21" t="s">
        <v>6984</v>
      </c>
      <c r="CKS21" t="s">
        <v>6984</v>
      </c>
      <c r="CKT21" t="s">
        <v>6984</v>
      </c>
      <c r="CKU21" t="s">
        <v>6984</v>
      </c>
      <c r="CKV21" t="s">
        <v>6984</v>
      </c>
      <c r="CKW21" t="s">
        <v>6984</v>
      </c>
      <c r="CKX21" t="s">
        <v>6984</v>
      </c>
      <c r="CKY21" t="s">
        <v>6984</v>
      </c>
      <c r="CKZ21" t="s">
        <v>6984</v>
      </c>
      <c r="CLA21" t="s">
        <v>6984</v>
      </c>
      <c r="CLB21" t="s">
        <v>6984</v>
      </c>
      <c r="CLC21" t="s">
        <v>6984</v>
      </c>
      <c r="CLD21" t="s">
        <v>6984</v>
      </c>
      <c r="CLE21" t="s">
        <v>6984</v>
      </c>
      <c r="CLF21" t="s">
        <v>6984</v>
      </c>
      <c r="CLG21" t="s">
        <v>6984</v>
      </c>
      <c r="CLH21" t="s">
        <v>6984</v>
      </c>
      <c r="CLI21" t="s">
        <v>6984</v>
      </c>
      <c r="CLJ21" t="s">
        <v>6984</v>
      </c>
      <c r="CLK21" t="s">
        <v>6984</v>
      </c>
      <c r="CLL21" t="s">
        <v>6984</v>
      </c>
      <c r="CLM21" t="s">
        <v>6984</v>
      </c>
      <c r="CLN21" t="s">
        <v>6984</v>
      </c>
      <c r="CLO21" t="s">
        <v>6984</v>
      </c>
      <c r="CLP21" t="s">
        <v>6984</v>
      </c>
      <c r="CLQ21" t="s">
        <v>6984</v>
      </c>
      <c r="CLR21" t="s">
        <v>6984</v>
      </c>
      <c r="CLS21" t="s">
        <v>6984</v>
      </c>
      <c r="CLT21" t="s">
        <v>6984</v>
      </c>
      <c r="CLU21" t="s">
        <v>6984</v>
      </c>
      <c r="CLV21" t="s">
        <v>6984</v>
      </c>
      <c r="CLW21" t="s">
        <v>6984</v>
      </c>
      <c r="CLX21" t="s">
        <v>6984</v>
      </c>
      <c r="CLY21" t="s">
        <v>6984</v>
      </c>
      <c r="CLZ21" t="s">
        <v>6984</v>
      </c>
      <c r="CMA21" t="s">
        <v>6984</v>
      </c>
      <c r="CMB21" t="s">
        <v>6984</v>
      </c>
      <c r="CMC21" t="s">
        <v>6984</v>
      </c>
      <c r="CMD21" t="s">
        <v>6984</v>
      </c>
      <c r="CME21" t="s">
        <v>6984</v>
      </c>
      <c r="CMF21" t="s">
        <v>6984</v>
      </c>
      <c r="CMG21" t="s">
        <v>6984</v>
      </c>
      <c r="CMH21" t="s">
        <v>6984</v>
      </c>
      <c r="CMI21" t="s">
        <v>6984</v>
      </c>
      <c r="CMJ21" t="s">
        <v>6984</v>
      </c>
      <c r="CMK21" t="s">
        <v>6984</v>
      </c>
      <c r="CML21" t="s">
        <v>6984</v>
      </c>
      <c r="CMM21" t="s">
        <v>6984</v>
      </c>
      <c r="CMN21" t="s">
        <v>6984</v>
      </c>
      <c r="CMO21" t="s">
        <v>6984</v>
      </c>
      <c r="CMP21" t="s">
        <v>6984</v>
      </c>
      <c r="CMQ21" t="s">
        <v>6984</v>
      </c>
      <c r="CMR21" t="s">
        <v>6984</v>
      </c>
      <c r="CMS21" t="s">
        <v>6984</v>
      </c>
      <c r="CMT21" t="s">
        <v>6984</v>
      </c>
      <c r="CMU21" t="s">
        <v>6984</v>
      </c>
      <c r="CMV21" t="s">
        <v>6984</v>
      </c>
      <c r="CMW21" t="s">
        <v>6984</v>
      </c>
      <c r="CMX21" t="s">
        <v>6984</v>
      </c>
      <c r="CMY21" t="s">
        <v>6984</v>
      </c>
      <c r="CMZ21" t="s">
        <v>6984</v>
      </c>
      <c r="CNA21" t="s">
        <v>6984</v>
      </c>
      <c r="CNB21" t="s">
        <v>6984</v>
      </c>
      <c r="CNC21" t="s">
        <v>6984</v>
      </c>
      <c r="CND21" t="s">
        <v>6984</v>
      </c>
      <c r="CNE21" t="s">
        <v>6984</v>
      </c>
      <c r="CNF21" t="s">
        <v>6984</v>
      </c>
      <c r="CNG21" t="s">
        <v>6984</v>
      </c>
      <c r="CNH21" t="s">
        <v>6984</v>
      </c>
      <c r="CNI21" t="s">
        <v>6984</v>
      </c>
      <c r="CNJ21" t="s">
        <v>6984</v>
      </c>
      <c r="CNK21" t="s">
        <v>6984</v>
      </c>
      <c r="CNL21" t="s">
        <v>6984</v>
      </c>
      <c r="CNM21" t="s">
        <v>6984</v>
      </c>
      <c r="CNN21" t="s">
        <v>6984</v>
      </c>
      <c r="CNO21" t="s">
        <v>6984</v>
      </c>
      <c r="CNP21" t="s">
        <v>6984</v>
      </c>
      <c r="CNQ21" t="s">
        <v>6984</v>
      </c>
      <c r="CNR21" t="s">
        <v>6984</v>
      </c>
      <c r="CNS21" t="s">
        <v>6984</v>
      </c>
      <c r="CNT21" t="s">
        <v>6984</v>
      </c>
      <c r="CNU21" t="s">
        <v>6984</v>
      </c>
      <c r="CNV21" t="s">
        <v>6984</v>
      </c>
      <c r="CNW21" t="s">
        <v>6984</v>
      </c>
      <c r="CNX21" t="s">
        <v>6984</v>
      </c>
      <c r="CNY21" t="s">
        <v>6984</v>
      </c>
      <c r="CNZ21" t="s">
        <v>6984</v>
      </c>
      <c r="COA21" t="s">
        <v>6984</v>
      </c>
      <c r="COB21" t="s">
        <v>6984</v>
      </c>
      <c r="COC21" t="s">
        <v>6984</v>
      </c>
      <c r="COD21" t="s">
        <v>6984</v>
      </c>
      <c r="COE21" t="s">
        <v>6984</v>
      </c>
      <c r="COF21" t="s">
        <v>6984</v>
      </c>
      <c r="COG21" t="s">
        <v>6984</v>
      </c>
      <c r="COH21" t="s">
        <v>6984</v>
      </c>
      <c r="COI21" t="s">
        <v>6984</v>
      </c>
      <c r="COJ21" t="s">
        <v>6984</v>
      </c>
      <c r="COK21" t="s">
        <v>6984</v>
      </c>
      <c r="COL21" t="s">
        <v>6984</v>
      </c>
      <c r="COM21" t="s">
        <v>6984</v>
      </c>
      <c r="CON21" t="s">
        <v>6984</v>
      </c>
      <c r="COO21" t="s">
        <v>6984</v>
      </c>
      <c r="COP21" t="s">
        <v>6984</v>
      </c>
      <c r="COQ21" t="s">
        <v>6984</v>
      </c>
      <c r="COR21" t="s">
        <v>6984</v>
      </c>
      <c r="COS21" t="s">
        <v>6984</v>
      </c>
      <c r="COT21" t="s">
        <v>6984</v>
      </c>
      <c r="COU21" t="s">
        <v>6984</v>
      </c>
      <c r="COV21" t="s">
        <v>6984</v>
      </c>
      <c r="COW21" t="s">
        <v>6984</v>
      </c>
      <c r="COX21" t="s">
        <v>6984</v>
      </c>
      <c r="COY21" t="s">
        <v>6984</v>
      </c>
      <c r="COZ21" t="s">
        <v>6984</v>
      </c>
      <c r="CPA21" t="s">
        <v>6984</v>
      </c>
      <c r="CPB21" t="s">
        <v>6984</v>
      </c>
      <c r="CPC21" t="s">
        <v>6984</v>
      </c>
      <c r="CPD21" t="s">
        <v>6984</v>
      </c>
      <c r="CPE21" t="s">
        <v>6984</v>
      </c>
      <c r="CPF21" t="s">
        <v>6984</v>
      </c>
      <c r="CPG21" t="s">
        <v>6984</v>
      </c>
      <c r="CPH21" t="s">
        <v>6984</v>
      </c>
      <c r="CPI21" t="s">
        <v>6984</v>
      </c>
      <c r="CPJ21" t="s">
        <v>6984</v>
      </c>
      <c r="CPK21" t="s">
        <v>6984</v>
      </c>
      <c r="CPL21" t="s">
        <v>6984</v>
      </c>
      <c r="CPM21" t="s">
        <v>6984</v>
      </c>
      <c r="CPN21" t="s">
        <v>6984</v>
      </c>
      <c r="CPO21" t="s">
        <v>6984</v>
      </c>
      <c r="CPP21" t="s">
        <v>6984</v>
      </c>
      <c r="CPQ21" t="s">
        <v>6984</v>
      </c>
      <c r="CPR21" t="s">
        <v>6984</v>
      </c>
      <c r="CPS21" t="s">
        <v>6984</v>
      </c>
      <c r="CPT21" t="s">
        <v>6984</v>
      </c>
      <c r="CPU21" t="s">
        <v>6984</v>
      </c>
      <c r="CPV21" t="s">
        <v>6984</v>
      </c>
      <c r="CPW21" t="s">
        <v>6984</v>
      </c>
      <c r="CPX21" t="s">
        <v>6984</v>
      </c>
      <c r="CPY21" t="s">
        <v>6984</v>
      </c>
      <c r="CPZ21" t="s">
        <v>6984</v>
      </c>
      <c r="CQA21" t="s">
        <v>6984</v>
      </c>
      <c r="CQB21" t="s">
        <v>6984</v>
      </c>
      <c r="CQC21" t="s">
        <v>6984</v>
      </c>
      <c r="CQD21" t="s">
        <v>6984</v>
      </c>
      <c r="CQE21" t="s">
        <v>6984</v>
      </c>
      <c r="CQF21" t="s">
        <v>6984</v>
      </c>
      <c r="CQG21" t="s">
        <v>6984</v>
      </c>
      <c r="CQH21" t="s">
        <v>6984</v>
      </c>
      <c r="CQI21" t="s">
        <v>6984</v>
      </c>
      <c r="CQJ21" t="s">
        <v>6984</v>
      </c>
      <c r="CQK21" t="s">
        <v>6984</v>
      </c>
      <c r="CQL21" t="s">
        <v>6984</v>
      </c>
      <c r="CQM21" t="s">
        <v>6984</v>
      </c>
      <c r="CQN21" t="s">
        <v>6984</v>
      </c>
      <c r="CQO21" t="s">
        <v>6984</v>
      </c>
      <c r="CQP21" t="s">
        <v>6984</v>
      </c>
      <c r="CQQ21" t="s">
        <v>6984</v>
      </c>
      <c r="CQR21" t="s">
        <v>6984</v>
      </c>
      <c r="CQS21" t="s">
        <v>6984</v>
      </c>
      <c r="CQT21" t="s">
        <v>6984</v>
      </c>
      <c r="CQU21" t="s">
        <v>6984</v>
      </c>
      <c r="CQV21" t="s">
        <v>6984</v>
      </c>
      <c r="CQW21" t="s">
        <v>6984</v>
      </c>
      <c r="CQX21" t="s">
        <v>6984</v>
      </c>
      <c r="CQY21" t="s">
        <v>6984</v>
      </c>
      <c r="CQZ21" t="s">
        <v>6984</v>
      </c>
      <c r="CRA21" t="s">
        <v>6984</v>
      </c>
      <c r="CRB21" t="s">
        <v>6984</v>
      </c>
      <c r="CRC21" t="s">
        <v>6984</v>
      </c>
      <c r="CRD21" t="s">
        <v>6984</v>
      </c>
      <c r="CRE21" t="s">
        <v>6984</v>
      </c>
      <c r="CRF21" t="s">
        <v>6984</v>
      </c>
      <c r="CRG21" t="s">
        <v>6984</v>
      </c>
      <c r="CRH21" t="s">
        <v>6984</v>
      </c>
      <c r="CRI21" t="s">
        <v>6984</v>
      </c>
      <c r="CRJ21" t="s">
        <v>6984</v>
      </c>
      <c r="CRK21" t="s">
        <v>6984</v>
      </c>
      <c r="CRL21" t="s">
        <v>6984</v>
      </c>
      <c r="CRM21" t="s">
        <v>6984</v>
      </c>
      <c r="CRN21" t="s">
        <v>6984</v>
      </c>
      <c r="CRO21" t="s">
        <v>6984</v>
      </c>
      <c r="CRP21" t="s">
        <v>6984</v>
      </c>
      <c r="CRQ21" t="s">
        <v>6984</v>
      </c>
      <c r="CRR21" t="s">
        <v>6984</v>
      </c>
      <c r="CRS21" t="s">
        <v>6984</v>
      </c>
      <c r="CRT21" t="s">
        <v>6984</v>
      </c>
      <c r="CRU21" t="s">
        <v>6984</v>
      </c>
      <c r="CRV21" t="s">
        <v>6984</v>
      </c>
      <c r="CRW21" t="s">
        <v>6984</v>
      </c>
      <c r="CRX21" t="s">
        <v>6984</v>
      </c>
      <c r="CRY21" t="s">
        <v>6984</v>
      </c>
      <c r="CRZ21" t="s">
        <v>6984</v>
      </c>
      <c r="CSA21" t="s">
        <v>6984</v>
      </c>
      <c r="CSB21" t="s">
        <v>6984</v>
      </c>
      <c r="CSC21" t="s">
        <v>6984</v>
      </c>
      <c r="CSD21" t="s">
        <v>6984</v>
      </c>
      <c r="CSE21" t="s">
        <v>6984</v>
      </c>
      <c r="CSF21" t="s">
        <v>6984</v>
      </c>
      <c r="CSG21" t="s">
        <v>6984</v>
      </c>
      <c r="CSH21" t="s">
        <v>6984</v>
      </c>
      <c r="CSI21" t="s">
        <v>6984</v>
      </c>
      <c r="CSJ21" t="s">
        <v>6984</v>
      </c>
      <c r="CSK21" t="s">
        <v>6984</v>
      </c>
      <c r="CSL21" t="s">
        <v>6984</v>
      </c>
      <c r="CSM21" t="s">
        <v>6984</v>
      </c>
      <c r="CSN21" t="s">
        <v>6984</v>
      </c>
      <c r="CSO21" t="s">
        <v>6984</v>
      </c>
      <c r="CSP21" t="s">
        <v>6984</v>
      </c>
      <c r="CSQ21" t="s">
        <v>6984</v>
      </c>
      <c r="CSR21" t="s">
        <v>6984</v>
      </c>
      <c r="CSS21" t="s">
        <v>6984</v>
      </c>
      <c r="CST21" t="s">
        <v>6984</v>
      </c>
      <c r="CSU21" t="s">
        <v>6984</v>
      </c>
      <c r="CSV21" t="s">
        <v>6984</v>
      </c>
      <c r="CSW21" t="s">
        <v>6984</v>
      </c>
      <c r="CSX21" t="s">
        <v>6984</v>
      </c>
      <c r="CSY21" t="s">
        <v>6984</v>
      </c>
      <c r="CSZ21" t="s">
        <v>6984</v>
      </c>
      <c r="CTA21" t="s">
        <v>6984</v>
      </c>
      <c r="CTB21" t="s">
        <v>6984</v>
      </c>
      <c r="CTC21" t="s">
        <v>6984</v>
      </c>
      <c r="CTD21" t="s">
        <v>6984</v>
      </c>
      <c r="CTE21" t="s">
        <v>6984</v>
      </c>
      <c r="CTF21" t="s">
        <v>6984</v>
      </c>
      <c r="CTG21" t="s">
        <v>6984</v>
      </c>
      <c r="CTH21" t="s">
        <v>6984</v>
      </c>
      <c r="CTI21" t="s">
        <v>6984</v>
      </c>
      <c r="CTJ21" t="s">
        <v>6984</v>
      </c>
      <c r="CTK21" t="s">
        <v>6984</v>
      </c>
      <c r="CTL21" t="s">
        <v>6984</v>
      </c>
      <c r="CTM21" t="s">
        <v>6984</v>
      </c>
      <c r="CTN21" t="s">
        <v>6984</v>
      </c>
      <c r="CTO21" t="s">
        <v>6984</v>
      </c>
      <c r="CTP21" t="s">
        <v>6984</v>
      </c>
      <c r="CTQ21" t="s">
        <v>6984</v>
      </c>
      <c r="CTR21" t="s">
        <v>6984</v>
      </c>
      <c r="CTS21" t="s">
        <v>6984</v>
      </c>
      <c r="CTT21" t="s">
        <v>6984</v>
      </c>
      <c r="CTU21" t="s">
        <v>6984</v>
      </c>
      <c r="CTV21" t="s">
        <v>6984</v>
      </c>
      <c r="CTW21" t="s">
        <v>6984</v>
      </c>
      <c r="CTX21" t="s">
        <v>6984</v>
      </c>
      <c r="CTY21" t="s">
        <v>6984</v>
      </c>
      <c r="CTZ21" t="s">
        <v>6984</v>
      </c>
      <c r="CUA21" t="s">
        <v>6984</v>
      </c>
      <c r="CUB21" t="s">
        <v>6984</v>
      </c>
      <c r="CUC21" t="s">
        <v>6984</v>
      </c>
      <c r="CUD21" t="s">
        <v>6984</v>
      </c>
      <c r="CUE21" t="s">
        <v>6984</v>
      </c>
      <c r="CUF21" t="s">
        <v>6984</v>
      </c>
      <c r="CUG21" t="s">
        <v>6984</v>
      </c>
      <c r="CUH21" t="s">
        <v>6984</v>
      </c>
      <c r="CUI21" t="s">
        <v>6984</v>
      </c>
      <c r="CUJ21" t="s">
        <v>6984</v>
      </c>
      <c r="CUK21" t="s">
        <v>6984</v>
      </c>
      <c r="CUL21" t="s">
        <v>6984</v>
      </c>
      <c r="CUM21" t="s">
        <v>6984</v>
      </c>
      <c r="CUN21" t="s">
        <v>6984</v>
      </c>
      <c r="CUO21" t="s">
        <v>6984</v>
      </c>
      <c r="CUP21" t="s">
        <v>6984</v>
      </c>
      <c r="CUQ21" t="s">
        <v>6984</v>
      </c>
      <c r="CUR21" t="s">
        <v>6984</v>
      </c>
      <c r="CUS21" t="s">
        <v>6984</v>
      </c>
      <c r="CUT21" t="s">
        <v>6984</v>
      </c>
      <c r="CUU21" t="s">
        <v>6984</v>
      </c>
      <c r="CUV21" t="s">
        <v>6984</v>
      </c>
      <c r="CUW21" t="s">
        <v>6984</v>
      </c>
      <c r="CUX21" t="s">
        <v>6984</v>
      </c>
      <c r="CUY21" t="s">
        <v>6984</v>
      </c>
      <c r="CUZ21" t="s">
        <v>6984</v>
      </c>
      <c r="CVA21" t="s">
        <v>6984</v>
      </c>
      <c r="CVB21" t="s">
        <v>6984</v>
      </c>
      <c r="CVC21" t="s">
        <v>6984</v>
      </c>
      <c r="CVD21" t="s">
        <v>6984</v>
      </c>
      <c r="CVE21" t="s">
        <v>6984</v>
      </c>
      <c r="CVF21" t="s">
        <v>6984</v>
      </c>
      <c r="CVG21" t="s">
        <v>6984</v>
      </c>
      <c r="CVH21" t="s">
        <v>6984</v>
      </c>
      <c r="CVI21" t="s">
        <v>6984</v>
      </c>
      <c r="CVJ21" t="s">
        <v>6984</v>
      </c>
      <c r="CVK21" t="s">
        <v>6984</v>
      </c>
      <c r="CVL21" t="s">
        <v>6984</v>
      </c>
      <c r="CVM21" t="s">
        <v>6984</v>
      </c>
      <c r="CVN21" t="s">
        <v>6984</v>
      </c>
      <c r="CVO21" t="s">
        <v>6984</v>
      </c>
      <c r="CVP21" t="s">
        <v>6984</v>
      </c>
      <c r="CVQ21" t="s">
        <v>6984</v>
      </c>
      <c r="CVR21" t="s">
        <v>6984</v>
      </c>
      <c r="CVS21" t="s">
        <v>6984</v>
      </c>
      <c r="CVT21" t="s">
        <v>6984</v>
      </c>
      <c r="CVU21" t="s">
        <v>6984</v>
      </c>
      <c r="CVV21" t="s">
        <v>6984</v>
      </c>
      <c r="CVW21" t="s">
        <v>6984</v>
      </c>
      <c r="CVX21" t="s">
        <v>6984</v>
      </c>
      <c r="CVY21" t="s">
        <v>6984</v>
      </c>
      <c r="CVZ21" t="s">
        <v>6984</v>
      </c>
      <c r="CWA21" t="s">
        <v>6984</v>
      </c>
      <c r="CWB21" t="s">
        <v>6984</v>
      </c>
      <c r="CWC21" t="s">
        <v>6984</v>
      </c>
      <c r="CWD21" t="s">
        <v>6984</v>
      </c>
      <c r="CWE21" t="s">
        <v>6984</v>
      </c>
      <c r="CWF21" t="s">
        <v>6984</v>
      </c>
      <c r="CWG21" t="s">
        <v>6984</v>
      </c>
      <c r="CWH21" t="s">
        <v>6984</v>
      </c>
      <c r="CWI21" t="s">
        <v>6984</v>
      </c>
      <c r="CWJ21" t="s">
        <v>6984</v>
      </c>
      <c r="CWK21" t="s">
        <v>6984</v>
      </c>
      <c r="CWL21" t="s">
        <v>6984</v>
      </c>
      <c r="CWM21" t="s">
        <v>6984</v>
      </c>
      <c r="CWN21" t="s">
        <v>6984</v>
      </c>
      <c r="CWO21" t="s">
        <v>6984</v>
      </c>
      <c r="CWP21" t="s">
        <v>6984</v>
      </c>
      <c r="CWQ21" t="s">
        <v>6984</v>
      </c>
      <c r="CWR21" t="s">
        <v>6984</v>
      </c>
      <c r="CWS21" t="s">
        <v>6984</v>
      </c>
      <c r="CWT21" t="s">
        <v>6984</v>
      </c>
      <c r="CWU21" t="s">
        <v>6984</v>
      </c>
      <c r="CWV21" t="s">
        <v>6984</v>
      </c>
      <c r="CWW21" t="s">
        <v>6984</v>
      </c>
      <c r="CWX21" t="s">
        <v>6984</v>
      </c>
      <c r="CWY21" t="s">
        <v>6984</v>
      </c>
      <c r="CWZ21" t="s">
        <v>6984</v>
      </c>
      <c r="CXA21" t="s">
        <v>6984</v>
      </c>
      <c r="CXB21" t="s">
        <v>6984</v>
      </c>
      <c r="CXC21" t="s">
        <v>6984</v>
      </c>
      <c r="CXD21" t="s">
        <v>6984</v>
      </c>
      <c r="CXE21" t="s">
        <v>6984</v>
      </c>
      <c r="CXF21" t="s">
        <v>6984</v>
      </c>
      <c r="CXG21" t="s">
        <v>6984</v>
      </c>
      <c r="CXH21" t="s">
        <v>6984</v>
      </c>
      <c r="CXI21" t="s">
        <v>6984</v>
      </c>
      <c r="CXJ21" t="s">
        <v>6984</v>
      </c>
      <c r="CXK21" t="s">
        <v>6984</v>
      </c>
      <c r="CXL21" t="s">
        <v>6984</v>
      </c>
      <c r="CXM21" t="s">
        <v>6984</v>
      </c>
      <c r="CXN21" t="s">
        <v>6984</v>
      </c>
      <c r="CXO21" t="s">
        <v>6984</v>
      </c>
      <c r="CXP21" t="s">
        <v>6984</v>
      </c>
      <c r="CXQ21" t="s">
        <v>6984</v>
      </c>
      <c r="CXR21" t="s">
        <v>6984</v>
      </c>
      <c r="CXS21" t="s">
        <v>6984</v>
      </c>
      <c r="CXT21" t="s">
        <v>6984</v>
      </c>
      <c r="CXU21" t="s">
        <v>6984</v>
      </c>
      <c r="CXV21" t="s">
        <v>6984</v>
      </c>
      <c r="CXW21" t="s">
        <v>6984</v>
      </c>
      <c r="CXX21" t="s">
        <v>6984</v>
      </c>
      <c r="CXY21" t="s">
        <v>6984</v>
      </c>
      <c r="CXZ21" t="s">
        <v>6984</v>
      </c>
      <c r="CYA21" t="s">
        <v>6984</v>
      </c>
      <c r="CYB21" t="s">
        <v>6984</v>
      </c>
      <c r="CYC21" t="s">
        <v>6984</v>
      </c>
      <c r="CYD21" t="s">
        <v>6984</v>
      </c>
      <c r="CYE21" t="s">
        <v>6984</v>
      </c>
      <c r="CYF21" t="s">
        <v>6984</v>
      </c>
      <c r="CYG21" t="s">
        <v>6984</v>
      </c>
      <c r="CYH21" t="s">
        <v>6984</v>
      </c>
      <c r="CYI21" t="s">
        <v>6984</v>
      </c>
      <c r="CYJ21" t="s">
        <v>6984</v>
      </c>
      <c r="CYK21" t="s">
        <v>6984</v>
      </c>
      <c r="CYL21" t="s">
        <v>6984</v>
      </c>
      <c r="CYM21" t="s">
        <v>6984</v>
      </c>
      <c r="CYN21" t="s">
        <v>6984</v>
      </c>
      <c r="CYO21" t="s">
        <v>6984</v>
      </c>
      <c r="CYP21" t="s">
        <v>6984</v>
      </c>
      <c r="CYQ21" t="s">
        <v>6984</v>
      </c>
      <c r="CYR21" t="s">
        <v>6984</v>
      </c>
      <c r="CYS21" t="s">
        <v>6984</v>
      </c>
      <c r="CYT21" t="s">
        <v>6984</v>
      </c>
      <c r="CYU21" t="s">
        <v>6984</v>
      </c>
      <c r="CYV21" t="s">
        <v>6984</v>
      </c>
      <c r="CYW21" t="s">
        <v>6984</v>
      </c>
      <c r="CYX21" t="s">
        <v>6984</v>
      </c>
      <c r="CYY21" t="s">
        <v>6984</v>
      </c>
      <c r="CYZ21" t="s">
        <v>6984</v>
      </c>
      <c r="CZA21" t="s">
        <v>6984</v>
      </c>
      <c r="CZB21" t="s">
        <v>6984</v>
      </c>
      <c r="CZC21" t="s">
        <v>6984</v>
      </c>
      <c r="CZD21" t="s">
        <v>6984</v>
      </c>
      <c r="CZE21" t="s">
        <v>6984</v>
      </c>
      <c r="CZF21" t="s">
        <v>6984</v>
      </c>
      <c r="CZG21" t="s">
        <v>6984</v>
      </c>
      <c r="CZH21" t="s">
        <v>6984</v>
      </c>
      <c r="CZI21" t="s">
        <v>6984</v>
      </c>
      <c r="CZJ21" t="s">
        <v>6984</v>
      </c>
      <c r="CZK21" t="s">
        <v>6984</v>
      </c>
      <c r="CZL21" t="s">
        <v>6984</v>
      </c>
      <c r="CZM21" t="s">
        <v>6984</v>
      </c>
      <c r="CZN21" t="s">
        <v>6984</v>
      </c>
      <c r="CZO21" t="s">
        <v>6984</v>
      </c>
      <c r="CZP21" t="s">
        <v>6984</v>
      </c>
      <c r="CZQ21" t="s">
        <v>6984</v>
      </c>
      <c r="CZR21" t="s">
        <v>6984</v>
      </c>
      <c r="CZS21" t="s">
        <v>6984</v>
      </c>
      <c r="CZT21" t="s">
        <v>6984</v>
      </c>
      <c r="CZU21" t="s">
        <v>6984</v>
      </c>
      <c r="CZV21" t="s">
        <v>6984</v>
      </c>
      <c r="CZW21" t="s">
        <v>6984</v>
      </c>
      <c r="CZX21" t="s">
        <v>6984</v>
      </c>
      <c r="CZY21" t="s">
        <v>6984</v>
      </c>
      <c r="CZZ21" t="s">
        <v>6984</v>
      </c>
      <c r="DAA21" t="s">
        <v>6984</v>
      </c>
      <c r="DAB21" t="s">
        <v>6984</v>
      </c>
      <c r="DAC21" t="s">
        <v>6984</v>
      </c>
      <c r="DAD21" t="s">
        <v>6984</v>
      </c>
      <c r="DAE21" t="s">
        <v>6984</v>
      </c>
      <c r="DAF21" t="s">
        <v>6984</v>
      </c>
      <c r="DAG21" t="s">
        <v>6984</v>
      </c>
      <c r="DAH21" t="s">
        <v>6984</v>
      </c>
      <c r="DAI21" t="s">
        <v>6984</v>
      </c>
      <c r="DAJ21" t="s">
        <v>6984</v>
      </c>
      <c r="DAK21" t="s">
        <v>6984</v>
      </c>
      <c r="DAL21" t="s">
        <v>6984</v>
      </c>
      <c r="DAM21" t="s">
        <v>6984</v>
      </c>
      <c r="DAN21" t="s">
        <v>6984</v>
      </c>
      <c r="DAO21" t="s">
        <v>6984</v>
      </c>
      <c r="DAP21" t="s">
        <v>6984</v>
      </c>
      <c r="DAQ21" t="s">
        <v>6984</v>
      </c>
      <c r="DAR21" t="s">
        <v>6984</v>
      </c>
      <c r="DAS21" t="s">
        <v>6984</v>
      </c>
      <c r="DAT21" t="s">
        <v>6984</v>
      </c>
      <c r="DAU21" t="s">
        <v>6984</v>
      </c>
      <c r="DAV21" t="s">
        <v>6984</v>
      </c>
      <c r="DAW21" t="s">
        <v>6984</v>
      </c>
      <c r="DAX21" t="s">
        <v>6984</v>
      </c>
      <c r="DAY21" t="s">
        <v>6984</v>
      </c>
      <c r="DAZ21" t="s">
        <v>6984</v>
      </c>
      <c r="DBA21" t="s">
        <v>6984</v>
      </c>
      <c r="DBB21" t="s">
        <v>6984</v>
      </c>
      <c r="DBC21" t="s">
        <v>6984</v>
      </c>
      <c r="DBD21" t="s">
        <v>6984</v>
      </c>
      <c r="DBE21" t="s">
        <v>6984</v>
      </c>
      <c r="DBF21" t="s">
        <v>6984</v>
      </c>
      <c r="DBG21" t="s">
        <v>6984</v>
      </c>
      <c r="DBH21" t="s">
        <v>6984</v>
      </c>
      <c r="DBI21" t="s">
        <v>6984</v>
      </c>
      <c r="DBJ21" t="s">
        <v>6984</v>
      </c>
      <c r="DBK21" t="s">
        <v>6984</v>
      </c>
      <c r="DBL21" t="s">
        <v>6984</v>
      </c>
      <c r="DBM21" t="s">
        <v>6984</v>
      </c>
      <c r="DBN21" t="s">
        <v>6984</v>
      </c>
      <c r="DBO21" t="s">
        <v>6984</v>
      </c>
      <c r="DBP21" t="s">
        <v>6984</v>
      </c>
      <c r="DBQ21" t="s">
        <v>6984</v>
      </c>
      <c r="DBR21" t="s">
        <v>6984</v>
      </c>
      <c r="DBS21" t="s">
        <v>6984</v>
      </c>
      <c r="DBT21" t="s">
        <v>6984</v>
      </c>
      <c r="DBU21" t="s">
        <v>6984</v>
      </c>
      <c r="DBV21" t="s">
        <v>6984</v>
      </c>
      <c r="DBW21" t="s">
        <v>6984</v>
      </c>
      <c r="DBX21" t="s">
        <v>6984</v>
      </c>
      <c r="DBY21" t="s">
        <v>6984</v>
      </c>
      <c r="DBZ21" t="s">
        <v>6984</v>
      </c>
      <c r="DCA21" t="s">
        <v>6984</v>
      </c>
      <c r="DCB21" t="s">
        <v>6984</v>
      </c>
      <c r="DCC21" t="s">
        <v>6984</v>
      </c>
      <c r="DCD21" t="s">
        <v>6984</v>
      </c>
      <c r="DCE21" t="s">
        <v>6984</v>
      </c>
      <c r="DCF21" t="s">
        <v>6984</v>
      </c>
      <c r="DCG21" t="s">
        <v>6984</v>
      </c>
      <c r="DCH21" t="s">
        <v>6984</v>
      </c>
      <c r="DCI21" t="s">
        <v>6984</v>
      </c>
      <c r="DCJ21" t="s">
        <v>6984</v>
      </c>
      <c r="DCK21" t="s">
        <v>6984</v>
      </c>
      <c r="DCL21" t="s">
        <v>6984</v>
      </c>
      <c r="DCM21" t="s">
        <v>6984</v>
      </c>
      <c r="DCN21" t="s">
        <v>6984</v>
      </c>
      <c r="DCO21" t="s">
        <v>6984</v>
      </c>
      <c r="DCP21" t="s">
        <v>6984</v>
      </c>
      <c r="DCQ21" t="s">
        <v>6984</v>
      </c>
      <c r="DCR21" t="s">
        <v>6984</v>
      </c>
      <c r="DCS21" t="s">
        <v>6984</v>
      </c>
      <c r="DCT21" t="s">
        <v>6984</v>
      </c>
      <c r="DCU21" t="s">
        <v>6984</v>
      </c>
      <c r="DCV21" t="s">
        <v>6984</v>
      </c>
      <c r="DCW21" t="s">
        <v>6984</v>
      </c>
      <c r="DCX21" t="s">
        <v>6984</v>
      </c>
      <c r="DCY21" t="s">
        <v>6984</v>
      </c>
      <c r="DCZ21" t="s">
        <v>6984</v>
      </c>
      <c r="DDA21" t="s">
        <v>6984</v>
      </c>
      <c r="DDB21" t="s">
        <v>6984</v>
      </c>
      <c r="DDC21" t="s">
        <v>6984</v>
      </c>
      <c r="DDD21" t="s">
        <v>6984</v>
      </c>
      <c r="DDE21" t="s">
        <v>6984</v>
      </c>
      <c r="DDF21" t="s">
        <v>6984</v>
      </c>
      <c r="DDG21" t="s">
        <v>6984</v>
      </c>
      <c r="DDH21" t="s">
        <v>6984</v>
      </c>
      <c r="DDI21" t="s">
        <v>6984</v>
      </c>
      <c r="DDJ21" t="s">
        <v>6984</v>
      </c>
      <c r="DDK21" t="s">
        <v>6984</v>
      </c>
      <c r="DDL21" t="s">
        <v>6984</v>
      </c>
      <c r="DDM21" t="s">
        <v>6984</v>
      </c>
      <c r="DDN21" t="s">
        <v>6984</v>
      </c>
      <c r="DDO21" t="s">
        <v>6984</v>
      </c>
      <c r="DDP21" t="s">
        <v>6984</v>
      </c>
      <c r="DDQ21" t="s">
        <v>6984</v>
      </c>
      <c r="DDR21" t="s">
        <v>6984</v>
      </c>
      <c r="DDS21" t="s">
        <v>6984</v>
      </c>
      <c r="DDT21" t="s">
        <v>6984</v>
      </c>
      <c r="DDU21" t="s">
        <v>6984</v>
      </c>
      <c r="DDV21" t="s">
        <v>6984</v>
      </c>
      <c r="DDW21" t="s">
        <v>6984</v>
      </c>
      <c r="DDX21" t="s">
        <v>6984</v>
      </c>
      <c r="DDY21" t="s">
        <v>6984</v>
      </c>
      <c r="DDZ21" t="s">
        <v>6984</v>
      </c>
      <c r="DEA21" t="s">
        <v>6984</v>
      </c>
      <c r="DEB21" t="s">
        <v>6984</v>
      </c>
      <c r="DEC21" t="s">
        <v>6984</v>
      </c>
      <c r="DED21" t="s">
        <v>6984</v>
      </c>
      <c r="DEE21" t="s">
        <v>6984</v>
      </c>
      <c r="DEF21" t="s">
        <v>6984</v>
      </c>
      <c r="DEG21" t="s">
        <v>6984</v>
      </c>
      <c r="DEH21" t="s">
        <v>6984</v>
      </c>
      <c r="DEI21" t="s">
        <v>6984</v>
      </c>
      <c r="DEJ21" t="s">
        <v>6984</v>
      </c>
      <c r="DEK21" t="s">
        <v>6984</v>
      </c>
      <c r="DEL21" t="s">
        <v>6984</v>
      </c>
      <c r="DEM21" t="s">
        <v>6984</v>
      </c>
      <c r="DEN21" t="s">
        <v>6984</v>
      </c>
      <c r="DEO21" t="s">
        <v>6984</v>
      </c>
      <c r="DEP21" t="s">
        <v>6984</v>
      </c>
      <c r="DEQ21" t="s">
        <v>6984</v>
      </c>
      <c r="DER21" t="s">
        <v>6984</v>
      </c>
      <c r="DES21" t="s">
        <v>6984</v>
      </c>
      <c r="DET21" t="s">
        <v>6984</v>
      </c>
      <c r="DEU21" t="s">
        <v>6984</v>
      </c>
      <c r="DEV21" t="s">
        <v>6984</v>
      </c>
      <c r="DEW21" t="s">
        <v>6984</v>
      </c>
      <c r="DEX21" t="s">
        <v>6984</v>
      </c>
      <c r="DEY21" t="s">
        <v>6984</v>
      </c>
      <c r="DEZ21" t="s">
        <v>6984</v>
      </c>
      <c r="DFA21" t="s">
        <v>6984</v>
      </c>
      <c r="DFB21" t="s">
        <v>6984</v>
      </c>
      <c r="DFC21" t="s">
        <v>6984</v>
      </c>
      <c r="DFD21" t="s">
        <v>6984</v>
      </c>
      <c r="DFE21" t="s">
        <v>6984</v>
      </c>
      <c r="DFF21" t="s">
        <v>6984</v>
      </c>
      <c r="DFG21" t="s">
        <v>6984</v>
      </c>
      <c r="DFH21" t="s">
        <v>6984</v>
      </c>
      <c r="DFI21" t="s">
        <v>6984</v>
      </c>
      <c r="DFJ21" t="s">
        <v>6984</v>
      </c>
      <c r="DFK21" t="s">
        <v>6984</v>
      </c>
      <c r="DFL21" t="s">
        <v>6984</v>
      </c>
      <c r="DFM21" t="s">
        <v>6984</v>
      </c>
      <c r="DFN21" t="s">
        <v>6984</v>
      </c>
      <c r="DFO21" t="s">
        <v>6984</v>
      </c>
      <c r="DFP21" t="s">
        <v>6984</v>
      </c>
      <c r="DFQ21" t="s">
        <v>6984</v>
      </c>
      <c r="DFR21" t="s">
        <v>6984</v>
      </c>
      <c r="DFS21" t="s">
        <v>6984</v>
      </c>
      <c r="DFT21" t="s">
        <v>6984</v>
      </c>
      <c r="DFU21" t="s">
        <v>6984</v>
      </c>
      <c r="DFV21" t="s">
        <v>6984</v>
      </c>
      <c r="DFW21" t="s">
        <v>6984</v>
      </c>
      <c r="DFX21" t="s">
        <v>6984</v>
      </c>
      <c r="DFY21" t="s">
        <v>6984</v>
      </c>
      <c r="DFZ21" t="s">
        <v>6984</v>
      </c>
      <c r="DGA21" t="s">
        <v>6984</v>
      </c>
      <c r="DGB21" t="s">
        <v>6984</v>
      </c>
      <c r="DGC21" t="s">
        <v>6984</v>
      </c>
      <c r="DGD21" t="s">
        <v>6984</v>
      </c>
      <c r="DGE21" t="s">
        <v>6984</v>
      </c>
      <c r="DGF21" t="s">
        <v>6984</v>
      </c>
      <c r="DGG21" t="s">
        <v>6984</v>
      </c>
      <c r="DGH21" t="s">
        <v>6984</v>
      </c>
      <c r="DGI21" t="s">
        <v>6984</v>
      </c>
      <c r="DGJ21" t="s">
        <v>6984</v>
      </c>
      <c r="DGK21" t="s">
        <v>6984</v>
      </c>
      <c r="DGL21" t="s">
        <v>6984</v>
      </c>
      <c r="DGM21" t="s">
        <v>6984</v>
      </c>
      <c r="DGN21" t="s">
        <v>6984</v>
      </c>
      <c r="DGO21" t="s">
        <v>6984</v>
      </c>
      <c r="DGP21" t="s">
        <v>6984</v>
      </c>
      <c r="DGQ21" t="s">
        <v>6984</v>
      </c>
      <c r="DGR21" t="s">
        <v>6984</v>
      </c>
      <c r="DGS21" t="s">
        <v>6984</v>
      </c>
      <c r="DGT21" t="s">
        <v>6984</v>
      </c>
      <c r="DGU21" t="s">
        <v>6984</v>
      </c>
      <c r="DGV21" t="s">
        <v>6984</v>
      </c>
      <c r="DGW21" t="s">
        <v>6984</v>
      </c>
      <c r="DGX21" t="s">
        <v>6984</v>
      </c>
      <c r="DGY21" t="s">
        <v>6984</v>
      </c>
      <c r="DGZ21" t="s">
        <v>6984</v>
      </c>
      <c r="DHA21" t="s">
        <v>6984</v>
      </c>
      <c r="DHB21" t="s">
        <v>6984</v>
      </c>
      <c r="DHC21" t="s">
        <v>6984</v>
      </c>
      <c r="DHD21" t="s">
        <v>6984</v>
      </c>
      <c r="DHE21" t="s">
        <v>6984</v>
      </c>
      <c r="DHF21" t="s">
        <v>6984</v>
      </c>
      <c r="DHG21" t="s">
        <v>6984</v>
      </c>
      <c r="DHH21" t="s">
        <v>6984</v>
      </c>
      <c r="DHI21" t="s">
        <v>6984</v>
      </c>
      <c r="DHJ21" t="s">
        <v>6984</v>
      </c>
      <c r="DHK21" t="s">
        <v>6984</v>
      </c>
      <c r="DHL21" t="s">
        <v>6984</v>
      </c>
      <c r="DHM21" t="s">
        <v>6984</v>
      </c>
      <c r="DHN21" t="s">
        <v>6984</v>
      </c>
      <c r="DHO21" t="s">
        <v>6984</v>
      </c>
      <c r="DHP21" t="s">
        <v>6984</v>
      </c>
      <c r="DHQ21" t="s">
        <v>6984</v>
      </c>
      <c r="DHR21" t="s">
        <v>6984</v>
      </c>
      <c r="DHS21" t="s">
        <v>6984</v>
      </c>
      <c r="DHT21" t="s">
        <v>6984</v>
      </c>
      <c r="DHU21" t="s">
        <v>6984</v>
      </c>
      <c r="DHV21" t="s">
        <v>6984</v>
      </c>
      <c r="DHW21" t="s">
        <v>6984</v>
      </c>
      <c r="DHX21" t="s">
        <v>6984</v>
      </c>
      <c r="DHY21" t="s">
        <v>6984</v>
      </c>
      <c r="DHZ21" t="s">
        <v>6984</v>
      </c>
      <c r="DIA21" t="s">
        <v>6984</v>
      </c>
      <c r="DIB21" t="s">
        <v>6984</v>
      </c>
      <c r="DIC21" t="s">
        <v>6984</v>
      </c>
      <c r="DID21" t="s">
        <v>6984</v>
      </c>
      <c r="DIE21" t="s">
        <v>6984</v>
      </c>
      <c r="DIF21" t="s">
        <v>6984</v>
      </c>
      <c r="DIG21" t="s">
        <v>6984</v>
      </c>
      <c r="DIH21" t="s">
        <v>6984</v>
      </c>
      <c r="DII21" t="s">
        <v>6984</v>
      </c>
      <c r="DIJ21" t="s">
        <v>6984</v>
      </c>
      <c r="DIK21" t="s">
        <v>6984</v>
      </c>
      <c r="DIL21" t="s">
        <v>6984</v>
      </c>
      <c r="DIM21" t="s">
        <v>6984</v>
      </c>
      <c r="DIN21" t="s">
        <v>6984</v>
      </c>
      <c r="DIO21" t="s">
        <v>6984</v>
      </c>
      <c r="DIP21" t="s">
        <v>6984</v>
      </c>
      <c r="DIQ21" t="s">
        <v>6984</v>
      </c>
      <c r="DIR21" t="s">
        <v>6984</v>
      </c>
      <c r="DIS21" t="s">
        <v>6984</v>
      </c>
      <c r="DIT21" t="s">
        <v>6984</v>
      </c>
      <c r="DIU21" t="s">
        <v>6984</v>
      </c>
      <c r="DIV21" t="s">
        <v>6984</v>
      </c>
      <c r="DIW21" t="s">
        <v>6984</v>
      </c>
      <c r="DIX21" t="s">
        <v>6984</v>
      </c>
      <c r="DIY21" t="s">
        <v>6984</v>
      </c>
      <c r="DIZ21" t="s">
        <v>6984</v>
      </c>
      <c r="DJA21" t="s">
        <v>6984</v>
      </c>
      <c r="DJB21" t="s">
        <v>6984</v>
      </c>
      <c r="DJC21" t="s">
        <v>6984</v>
      </c>
      <c r="DJD21" t="s">
        <v>6984</v>
      </c>
      <c r="DJE21" t="s">
        <v>6984</v>
      </c>
      <c r="DJF21" t="s">
        <v>6984</v>
      </c>
      <c r="DJG21" t="s">
        <v>6984</v>
      </c>
      <c r="DJH21" t="s">
        <v>6984</v>
      </c>
      <c r="DJI21" t="s">
        <v>6984</v>
      </c>
      <c r="DJJ21" t="s">
        <v>6984</v>
      </c>
      <c r="DJK21" t="s">
        <v>6984</v>
      </c>
      <c r="DJL21" t="s">
        <v>6984</v>
      </c>
      <c r="DJM21" t="s">
        <v>6984</v>
      </c>
      <c r="DJN21" t="s">
        <v>6984</v>
      </c>
      <c r="DJO21" t="s">
        <v>6984</v>
      </c>
      <c r="DJP21" t="s">
        <v>6984</v>
      </c>
      <c r="DJQ21" t="s">
        <v>6984</v>
      </c>
      <c r="DJR21" t="s">
        <v>6984</v>
      </c>
      <c r="DJS21" t="s">
        <v>6984</v>
      </c>
      <c r="DJT21" t="s">
        <v>6984</v>
      </c>
      <c r="DJU21" t="s">
        <v>6984</v>
      </c>
      <c r="DJV21" t="s">
        <v>6984</v>
      </c>
      <c r="DJW21" t="s">
        <v>6984</v>
      </c>
      <c r="DJX21" t="s">
        <v>6984</v>
      </c>
      <c r="DJY21" t="s">
        <v>6984</v>
      </c>
      <c r="DJZ21" t="s">
        <v>6984</v>
      </c>
      <c r="DKA21" t="s">
        <v>6984</v>
      </c>
      <c r="DKB21" t="s">
        <v>6984</v>
      </c>
      <c r="DKC21" t="s">
        <v>6984</v>
      </c>
      <c r="DKD21" t="s">
        <v>6984</v>
      </c>
      <c r="DKE21" t="s">
        <v>6984</v>
      </c>
      <c r="DKF21" t="s">
        <v>6984</v>
      </c>
      <c r="DKG21" t="s">
        <v>6984</v>
      </c>
      <c r="DKH21" t="s">
        <v>6984</v>
      </c>
      <c r="DKI21" t="s">
        <v>6984</v>
      </c>
      <c r="DKJ21" t="s">
        <v>6984</v>
      </c>
      <c r="DKK21" t="s">
        <v>6984</v>
      </c>
      <c r="DKL21" t="s">
        <v>6984</v>
      </c>
      <c r="DKM21" t="s">
        <v>6984</v>
      </c>
      <c r="DKN21" t="s">
        <v>6984</v>
      </c>
      <c r="DKO21" t="s">
        <v>6984</v>
      </c>
      <c r="DKP21" t="s">
        <v>6984</v>
      </c>
      <c r="DKQ21" t="s">
        <v>6984</v>
      </c>
      <c r="DKR21" t="s">
        <v>6984</v>
      </c>
      <c r="DKS21" t="s">
        <v>6984</v>
      </c>
      <c r="DKT21" t="s">
        <v>6984</v>
      </c>
      <c r="DKU21" t="s">
        <v>6984</v>
      </c>
      <c r="DKV21" t="s">
        <v>6984</v>
      </c>
      <c r="DKW21" t="s">
        <v>6984</v>
      </c>
      <c r="DKX21" t="s">
        <v>6984</v>
      </c>
      <c r="DKY21" t="s">
        <v>6984</v>
      </c>
      <c r="DKZ21" t="s">
        <v>6984</v>
      </c>
      <c r="DLA21" t="s">
        <v>6984</v>
      </c>
      <c r="DLB21" t="s">
        <v>6984</v>
      </c>
      <c r="DLC21" t="s">
        <v>6984</v>
      </c>
      <c r="DLD21" t="s">
        <v>6984</v>
      </c>
      <c r="DLE21" t="s">
        <v>6984</v>
      </c>
      <c r="DLF21" t="s">
        <v>6984</v>
      </c>
      <c r="DLG21" t="s">
        <v>6984</v>
      </c>
      <c r="DLH21" t="s">
        <v>6984</v>
      </c>
      <c r="DLI21" t="s">
        <v>6984</v>
      </c>
      <c r="DLJ21" t="s">
        <v>6984</v>
      </c>
      <c r="DLK21" t="s">
        <v>6984</v>
      </c>
      <c r="DLL21" t="s">
        <v>6984</v>
      </c>
      <c r="DLM21" t="s">
        <v>6984</v>
      </c>
      <c r="DLN21" t="s">
        <v>6984</v>
      </c>
      <c r="DLO21" t="s">
        <v>6984</v>
      </c>
      <c r="DLP21" t="s">
        <v>6984</v>
      </c>
      <c r="DLQ21" t="s">
        <v>6984</v>
      </c>
      <c r="DLR21" t="s">
        <v>6984</v>
      </c>
      <c r="DLS21" t="s">
        <v>6984</v>
      </c>
      <c r="DLT21" t="s">
        <v>6984</v>
      </c>
      <c r="DLU21" t="s">
        <v>6984</v>
      </c>
      <c r="DLV21" t="s">
        <v>6984</v>
      </c>
      <c r="DLW21" t="s">
        <v>6984</v>
      </c>
      <c r="DLX21" t="s">
        <v>6984</v>
      </c>
      <c r="DLY21" t="s">
        <v>6984</v>
      </c>
      <c r="DLZ21" t="s">
        <v>6984</v>
      </c>
      <c r="DMA21" t="s">
        <v>6984</v>
      </c>
      <c r="DMB21" t="s">
        <v>6984</v>
      </c>
      <c r="DMC21" t="s">
        <v>6984</v>
      </c>
      <c r="DMD21" t="s">
        <v>6984</v>
      </c>
      <c r="DME21" t="s">
        <v>6984</v>
      </c>
      <c r="DMF21" t="s">
        <v>6984</v>
      </c>
      <c r="DMG21" t="s">
        <v>6984</v>
      </c>
      <c r="DMH21" t="s">
        <v>6984</v>
      </c>
      <c r="DMI21" t="s">
        <v>6984</v>
      </c>
      <c r="DMJ21" t="s">
        <v>6984</v>
      </c>
      <c r="DMK21" t="s">
        <v>6984</v>
      </c>
      <c r="DML21" t="s">
        <v>6984</v>
      </c>
      <c r="DMM21" t="s">
        <v>6984</v>
      </c>
      <c r="DMN21" t="s">
        <v>6984</v>
      </c>
      <c r="DMO21" t="s">
        <v>6984</v>
      </c>
      <c r="DMP21" t="s">
        <v>6984</v>
      </c>
      <c r="DMQ21" t="s">
        <v>6984</v>
      </c>
      <c r="DMR21" t="s">
        <v>6984</v>
      </c>
      <c r="DMS21" t="s">
        <v>6984</v>
      </c>
      <c r="DMT21" t="s">
        <v>6984</v>
      </c>
      <c r="DMU21" t="s">
        <v>6984</v>
      </c>
      <c r="DMV21" t="s">
        <v>6984</v>
      </c>
      <c r="DMW21" t="s">
        <v>6984</v>
      </c>
      <c r="DMX21" t="s">
        <v>6984</v>
      </c>
      <c r="DMY21" t="s">
        <v>6984</v>
      </c>
      <c r="DMZ21" t="s">
        <v>6984</v>
      </c>
      <c r="DNA21" t="s">
        <v>6984</v>
      </c>
      <c r="DNB21" t="s">
        <v>6984</v>
      </c>
      <c r="DNC21" t="s">
        <v>6984</v>
      </c>
      <c r="DND21" t="s">
        <v>6984</v>
      </c>
      <c r="DNE21" t="s">
        <v>6984</v>
      </c>
      <c r="DNF21" t="s">
        <v>6984</v>
      </c>
      <c r="DNG21" t="s">
        <v>6984</v>
      </c>
      <c r="DNH21" t="s">
        <v>6984</v>
      </c>
      <c r="DNI21" t="s">
        <v>6984</v>
      </c>
      <c r="DNJ21" t="s">
        <v>6984</v>
      </c>
      <c r="DNK21" t="s">
        <v>6984</v>
      </c>
      <c r="DNL21" t="s">
        <v>6984</v>
      </c>
      <c r="DNM21" t="s">
        <v>6984</v>
      </c>
      <c r="DNN21" t="s">
        <v>6984</v>
      </c>
      <c r="DNO21" t="s">
        <v>6984</v>
      </c>
      <c r="DNP21" t="s">
        <v>6984</v>
      </c>
      <c r="DNQ21" t="s">
        <v>6984</v>
      </c>
      <c r="DNR21" t="s">
        <v>6984</v>
      </c>
      <c r="DNS21" t="s">
        <v>6984</v>
      </c>
      <c r="DNT21" t="s">
        <v>6984</v>
      </c>
      <c r="DNU21" t="s">
        <v>6984</v>
      </c>
      <c r="DNV21" t="s">
        <v>6984</v>
      </c>
      <c r="DNW21" t="s">
        <v>6984</v>
      </c>
      <c r="DNX21" t="s">
        <v>6984</v>
      </c>
      <c r="DNY21" t="s">
        <v>6984</v>
      </c>
      <c r="DNZ21" t="s">
        <v>6984</v>
      </c>
      <c r="DOA21" t="s">
        <v>6984</v>
      </c>
      <c r="DOB21" t="s">
        <v>6984</v>
      </c>
      <c r="DOC21" t="s">
        <v>6984</v>
      </c>
      <c r="DOD21" t="s">
        <v>6984</v>
      </c>
      <c r="DOE21" t="s">
        <v>6984</v>
      </c>
      <c r="DOF21" t="s">
        <v>6984</v>
      </c>
      <c r="DOG21" t="s">
        <v>6984</v>
      </c>
      <c r="DOH21" t="s">
        <v>6984</v>
      </c>
      <c r="DOI21" t="s">
        <v>6984</v>
      </c>
      <c r="DOJ21" t="s">
        <v>6984</v>
      </c>
      <c r="DOK21" t="s">
        <v>6984</v>
      </c>
      <c r="DOL21" t="s">
        <v>6984</v>
      </c>
      <c r="DOM21" t="s">
        <v>6984</v>
      </c>
      <c r="DON21" t="s">
        <v>6984</v>
      </c>
      <c r="DOO21" t="s">
        <v>6984</v>
      </c>
      <c r="DOP21" t="s">
        <v>6984</v>
      </c>
      <c r="DOQ21" t="s">
        <v>6984</v>
      </c>
      <c r="DOR21" t="s">
        <v>6984</v>
      </c>
      <c r="DOS21" t="s">
        <v>6984</v>
      </c>
      <c r="DOT21" t="s">
        <v>6984</v>
      </c>
      <c r="DOU21" t="s">
        <v>6984</v>
      </c>
      <c r="DOV21" t="s">
        <v>6984</v>
      </c>
      <c r="DOW21" t="s">
        <v>6984</v>
      </c>
      <c r="DOX21" t="s">
        <v>6984</v>
      </c>
      <c r="DOY21" t="s">
        <v>6984</v>
      </c>
      <c r="DOZ21" t="s">
        <v>6984</v>
      </c>
      <c r="DPA21" t="s">
        <v>6984</v>
      </c>
      <c r="DPB21" t="s">
        <v>6984</v>
      </c>
      <c r="DPC21" t="s">
        <v>6984</v>
      </c>
      <c r="DPD21" t="s">
        <v>6984</v>
      </c>
      <c r="DPE21" t="s">
        <v>6984</v>
      </c>
      <c r="DPF21" t="s">
        <v>6984</v>
      </c>
      <c r="DPG21" t="s">
        <v>6984</v>
      </c>
      <c r="DPH21" t="s">
        <v>6984</v>
      </c>
      <c r="DPI21" t="s">
        <v>6984</v>
      </c>
      <c r="DPJ21" t="s">
        <v>6984</v>
      </c>
      <c r="DPK21" t="s">
        <v>6984</v>
      </c>
      <c r="DPL21" t="s">
        <v>6984</v>
      </c>
      <c r="DPM21" t="s">
        <v>6984</v>
      </c>
      <c r="DPN21" t="s">
        <v>6984</v>
      </c>
      <c r="DPO21" t="s">
        <v>6984</v>
      </c>
      <c r="DPP21" t="s">
        <v>6984</v>
      </c>
      <c r="DPQ21" t="s">
        <v>6984</v>
      </c>
      <c r="DPR21" t="s">
        <v>6984</v>
      </c>
      <c r="DPS21" t="s">
        <v>6984</v>
      </c>
      <c r="DPT21" t="s">
        <v>6984</v>
      </c>
      <c r="DPU21" t="s">
        <v>6984</v>
      </c>
      <c r="DPV21" t="s">
        <v>6984</v>
      </c>
      <c r="DPW21" t="s">
        <v>6984</v>
      </c>
      <c r="DPX21" t="s">
        <v>6984</v>
      </c>
      <c r="DPY21" t="s">
        <v>6984</v>
      </c>
      <c r="DPZ21" t="s">
        <v>6984</v>
      </c>
      <c r="DQA21" t="s">
        <v>6984</v>
      </c>
      <c r="DQB21" t="s">
        <v>6984</v>
      </c>
      <c r="DQC21" t="s">
        <v>6984</v>
      </c>
      <c r="DQD21" t="s">
        <v>6984</v>
      </c>
      <c r="DQE21" t="s">
        <v>6984</v>
      </c>
      <c r="DQF21" t="s">
        <v>6984</v>
      </c>
      <c r="DQG21" t="s">
        <v>6984</v>
      </c>
      <c r="DQH21" t="s">
        <v>6984</v>
      </c>
      <c r="DQI21" t="s">
        <v>6984</v>
      </c>
      <c r="DQJ21" t="s">
        <v>6984</v>
      </c>
      <c r="DQK21" t="s">
        <v>6984</v>
      </c>
      <c r="DQL21" t="s">
        <v>6984</v>
      </c>
      <c r="DQM21" t="s">
        <v>6984</v>
      </c>
      <c r="DQN21" t="s">
        <v>6984</v>
      </c>
      <c r="DQO21" t="s">
        <v>6984</v>
      </c>
      <c r="DQP21" t="s">
        <v>6984</v>
      </c>
      <c r="DQQ21" t="s">
        <v>6984</v>
      </c>
      <c r="DQR21" t="s">
        <v>6984</v>
      </c>
      <c r="DQS21" t="s">
        <v>6984</v>
      </c>
      <c r="DQT21" t="s">
        <v>6984</v>
      </c>
      <c r="DQU21" t="s">
        <v>6984</v>
      </c>
      <c r="DQV21" t="s">
        <v>6984</v>
      </c>
      <c r="DQW21" t="s">
        <v>6984</v>
      </c>
      <c r="DQX21" t="s">
        <v>6984</v>
      </c>
      <c r="DQY21" t="s">
        <v>6984</v>
      </c>
      <c r="DQZ21" t="s">
        <v>6984</v>
      </c>
      <c r="DRA21" t="s">
        <v>6984</v>
      </c>
      <c r="DRB21" t="s">
        <v>6984</v>
      </c>
      <c r="DRC21" t="s">
        <v>6984</v>
      </c>
      <c r="DRD21" t="s">
        <v>6984</v>
      </c>
      <c r="DRE21" t="s">
        <v>6984</v>
      </c>
      <c r="DRF21" t="s">
        <v>6984</v>
      </c>
      <c r="DRG21" t="s">
        <v>6984</v>
      </c>
      <c r="DRH21" t="s">
        <v>6984</v>
      </c>
      <c r="DRI21" t="s">
        <v>6984</v>
      </c>
      <c r="DRJ21" t="s">
        <v>6984</v>
      </c>
      <c r="DRK21" t="s">
        <v>6984</v>
      </c>
      <c r="DRL21" t="s">
        <v>6984</v>
      </c>
      <c r="DRM21" t="s">
        <v>6984</v>
      </c>
      <c r="DRN21" t="s">
        <v>6984</v>
      </c>
      <c r="DRO21" t="s">
        <v>6984</v>
      </c>
      <c r="DRP21" t="s">
        <v>6984</v>
      </c>
      <c r="DRQ21" t="s">
        <v>6984</v>
      </c>
      <c r="DRR21" t="s">
        <v>6984</v>
      </c>
      <c r="DRS21" t="s">
        <v>6984</v>
      </c>
      <c r="DRT21" t="s">
        <v>6984</v>
      </c>
      <c r="DRU21" t="s">
        <v>6984</v>
      </c>
      <c r="DRV21" t="s">
        <v>6984</v>
      </c>
      <c r="DRW21" t="s">
        <v>6984</v>
      </c>
      <c r="DRX21" t="s">
        <v>6984</v>
      </c>
      <c r="DRY21" t="s">
        <v>6984</v>
      </c>
      <c r="DRZ21" t="s">
        <v>6984</v>
      </c>
      <c r="DSA21" t="s">
        <v>6984</v>
      </c>
      <c r="DSB21" t="s">
        <v>6984</v>
      </c>
      <c r="DSC21" t="s">
        <v>6984</v>
      </c>
      <c r="DSD21" t="s">
        <v>6984</v>
      </c>
      <c r="DSE21" t="s">
        <v>6984</v>
      </c>
      <c r="DSF21" t="s">
        <v>6984</v>
      </c>
      <c r="DSG21" t="s">
        <v>6984</v>
      </c>
      <c r="DSH21" t="s">
        <v>6984</v>
      </c>
      <c r="DSI21" t="s">
        <v>6984</v>
      </c>
      <c r="DSJ21" t="s">
        <v>6984</v>
      </c>
      <c r="DSK21" t="s">
        <v>6984</v>
      </c>
      <c r="DSL21" t="s">
        <v>6984</v>
      </c>
      <c r="DSM21" t="s">
        <v>6984</v>
      </c>
      <c r="DSN21" t="s">
        <v>6984</v>
      </c>
      <c r="DSO21" t="s">
        <v>6984</v>
      </c>
      <c r="DSP21" t="s">
        <v>6984</v>
      </c>
      <c r="DSQ21" t="s">
        <v>6984</v>
      </c>
      <c r="DSR21" t="s">
        <v>6984</v>
      </c>
      <c r="DSS21" t="s">
        <v>6984</v>
      </c>
      <c r="DST21" t="s">
        <v>6984</v>
      </c>
      <c r="DSU21" t="s">
        <v>6984</v>
      </c>
      <c r="DSV21" t="s">
        <v>6984</v>
      </c>
      <c r="DSW21" t="s">
        <v>6984</v>
      </c>
      <c r="DSX21" t="s">
        <v>6984</v>
      </c>
      <c r="DSY21" t="s">
        <v>6984</v>
      </c>
      <c r="DSZ21" t="s">
        <v>6984</v>
      </c>
      <c r="DTA21" t="s">
        <v>6984</v>
      </c>
      <c r="DTB21" t="s">
        <v>6984</v>
      </c>
      <c r="DTC21" t="s">
        <v>6984</v>
      </c>
      <c r="DTD21" t="s">
        <v>6984</v>
      </c>
      <c r="DTE21" t="s">
        <v>6984</v>
      </c>
      <c r="DTF21" t="s">
        <v>6984</v>
      </c>
      <c r="DTG21" t="s">
        <v>6984</v>
      </c>
      <c r="DTH21" t="s">
        <v>6984</v>
      </c>
      <c r="DTI21" t="s">
        <v>6984</v>
      </c>
      <c r="DTJ21" t="s">
        <v>6984</v>
      </c>
      <c r="DTK21" t="s">
        <v>6984</v>
      </c>
      <c r="DTL21" t="s">
        <v>6984</v>
      </c>
      <c r="DTM21" t="s">
        <v>6984</v>
      </c>
      <c r="DTN21" t="s">
        <v>6984</v>
      </c>
      <c r="DTO21" t="s">
        <v>6984</v>
      </c>
      <c r="DTP21" t="s">
        <v>6984</v>
      </c>
      <c r="DTQ21" t="s">
        <v>6984</v>
      </c>
      <c r="DTR21" t="s">
        <v>6984</v>
      </c>
      <c r="DTS21" t="s">
        <v>6984</v>
      </c>
      <c r="DTT21" t="s">
        <v>6984</v>
      </c>
      <c r="DTU21" t="s">
        <v>6984</v>
      </c>
      <c r="DTV21" t="s">
        <v>6984</v>
      </c>
      <c r="DTW21" t="s">
        <v>6984</v>
      </c>
      <c r="DTX21" t="s">
        <v>6984</v>
      </c>
      <c r="DTY21" t="s">
        <v>6984</v>
      </c>
      <c r="DTZ21" t="s">
        <v>6984</v>
      </c>
      <c r="DUA21" t="s">
        <v>6984</v>
      </c>
      <c r="DUB21" t="s">
        <v>6984</v>
      </c>
      <c r="DUC21" t="s">
        <v>6984</v>
      </c>
      <c r="DUD21" t="s">
        <v>6984</v>
      </c>
      <c r="DUE21" t="s">
        <v>6984</v>
      </c>
      <c r="DUF21" t="s">
        <v>6984</v>
      </c>
      <c r="DUG21" t="s">
        <v>6984</v>
      </c>
      <c r="DUH21" t="s">
        <v>6984</v>
      </c>
      <c r="DUI21" t="s">
        <v>6984</v>
      </c>
      <c r="DUJ21" t="s">
        <v>6984</v>
      </c>
      <c r="DUK21" t="s">
        <v>6984</v>
      </c>
      <c r="DUL21" t="s">
        <v>6984</v>
      </c>
      <c r="DUM21" t="s">
        <v>6984</v>
      </c>
      <c r="DUN21" t="s">
        <v>6984</v>
      </c>
      <c r="DUO21" t="s">
        <v>6984</v>
      </c>
      <c r="DUP21" t="s">
        <v>6984</v>
      </c>
      <c r="DUQ21" t="s">
        <v>6984</v>
      </c>
      <c r="DUR21" t="s">
        <v>6984</v>
      </c>
      <c r="DUS21" t="s">
        <v>6984</v>
      </c>
      <c r="DUT21" t="s">
        <v>6984</v>
      </c>
      <c r="DUU21" t="s">
        <v>6984</v>
      </c>
      <c r="DUV21" t="s">
        <v>6984</v>
      </c>
      <c r="DUW21" t="s">
        <v>6984</v>
      </c>
      <c r="DUX21" t="s">
        <v>6984</v>
      </c>
      <c r="DUY21" t="s">
        <v>6984</v>
      </c>
      <c r="DUZ21" t="s">
        <v>6984</v>
      </c>
      <c r="DVA21" t="s">
        <v>6984</v>
      </c>
      <c r="DVB21" t="s">
        <v>6984</v>
      </c>
      <c r="DVC21" t="s">
        <v>6984</v>
      </c>
      <c r="DVD21" t="s">
        <v>6984</v>
      </c>
      <c r="DVE21" t="s">
        <v>6984</v>
      </c>
      <c r="DVF21" t="s">
        <v>6984</v>
      </c>
      <c r="DVG21" t="s">
        <v>6984</v>
      </c>
      <c r="DVH21" t="s">
        <v>6984</v>
      </c>
      <c r="DVI21" t="s">
        <v>6984</v>
      </c>
      <c r="DVJ21" t="s">
        <v>6984</v>
      </c>
      <c r="DVK21" t="s">
        <v>6984</v>
      </c>
      <c r="DVL21" t="s">
        <v>6984</v>
      </c>
      <c r="DVM21" t="s">
        <v>6984</v>
      </c>
      <c r="DVN21" t="s">
        <v>6984</v>
      </c>
      <c r="DVO21" t="s">
        <v>6984</v>
      </c>
      <c r="DVP21" t="s">
        <v>6984</v>
      </c>
      <c r="DVQ21" t="s">
        <v>6984</v>
      </c>
      <c r="DVR21" t="s">
        <v>6984</v>
      </c>
      <c r="DVS21" t="s">
        <v>6984</v>
      </c>
      <c r="DVT21" t="s">
        <v>6984</v>
      </c>
      <c r="DVU21" t="s">
        <v>6984</v>
      </c>
      <c r="DVV21" t="s">
        <v>6984</v>
      </c>
      <c r="DVW21" t="s">
        <v>6984</v>
      </c>
      <c r="DVX21" t="s">
        <v>6984</v>
      </c>
      <c r="DVY21" t="s">
        <v>6984</v>
      </c>
      <c r="DVZ21" t="s">
        <v>6984</v>
      </c>
      <c r="DWA21" t="s">
        <v>6984</v>
      </c>
      <c r="DWB21" t="s">
        <v>6984</v>
      </c>
      <c r="DWC21" t="s">
        <v>6984</v>
      </c>
      <c r="DWD21" t="s">
        <v>6984</v>
      </c>
      <c r="DWE21" t="s">
        <v>6984</v>
      </c>
      <c r="DWF21" t="s">
        <v>6984</v>
      </c>
      <c r="DWG21" t="s">
        <v>6984</v>
      </c>
      <c r="DWH21" t="s">
        <v>6984</v>
      </c>
      <c r="DWI21" t="s">
        <v>6984</v>
      </c>
      <c r="DWJ21" t="s">
        <v>6984</v>
      </c>
      <c r="DWK21" t="s">
        <v>6984</v>
      </c>
      <c r="DWL21" t="s">
        <v>6984</v>
      </c>
      <c r="DWM21" t="s">
        <v>6984</v>
      </c>
      <c r="DWN21" t="s">
        <v>6984</v>
      </c>
      <c r="DWO21" t="s">
        <v>6984</v>
      </c>
      <c r="DWP21" t="s">
        <v>6984</v>
      </c>
      <c r="DWQ21" t="s">
        <v>6984</v>
      </c>
      <c r="DWR21" t="s">
        <v>6984</v>
      </c>
      <c r="DWS21" t="s">
        <v>6984</v>
      </c>
      <c r="DWT21" t="s">
        <v>6984</v>
      </c>
      <c r="DWU21" t="s">
        <v>6984</v>
      </c>
      <c r="DWV21" t="s">
        <v>6984</v>
      </c>
      <c r="DWW21" t="s">
        <v>6984</v>
      </c>
      <c r="DWX21" t="s">
        <v>6984</v>
      </c>
      <c r="DWY21" t="s">
        <v>6984</v>
      </c>
      <c r="DWZ21" t="s">
        <v>6984</v>
      </c>
      <c r="DXA21" t="s">
        <v>6984</v>
      </c>
      <c r="DXB21" t="s">
        <v>6984</v>
      </c>
      <c r="DXC21" t="s">
        <v>6984</v>
      </c>
      <c r="DXD21" t="s">
        <v>6984</v>
      </c>
      <c r="DXE21" t="s">
        <v>6984</v>
      </c>
      <c r="DXF21" t="s">
        <v>6984</v>
      </c>
      <c r="DXG21" t="s">
        <v>6984</v>
      </c>
      <c r="DXH21" t="s">
        <v>6984</v>
      </c>
      <c r="DXI21" t="s">
        <v>6984</v>
      </c>
      <c r="DXJ21" t="s">
        <v>6984</v>
      </c>
      <c r="DXK21" t="s">
        <v>6984</v>
      </c>
      <c r="DXL21" t="s">
        <v>6984</v>
      </c>
      <c r="DXM21" t="s">
        <v>6984</v>
      </c>
      <c r="DXN21" t="s">
        <v>6984</v>
      </c>
      <c r="DXO21" t="s">
        <v>6984</v>
      </c>
      <c r="DXP21" t="s">
        <v>6984</v>
      </c>
      <c r="DXQ21" t="s">
        <v>6984</v>
      </c>
      <c r="DXR21" t="s">
        <v>6984</v>
      </c>
      <c r="DXS21" t="s">
        <v>6984</v>
      </c>
      <c r="DXT21" t="s">
        <v>6984</v>
      </c>
      <c r="DXU21" t="s">
        <v>6984</v>
      </c>
      <c r="DXV21" t="s">
        <v>6984</v>
      </c>
      <c r="DXW21" t="s">
        <v>6984</v>
      </c>
      <c r="DXX21" t="s">
        <v>6984</v>
      </c>
      <c r="DXY21" t="s">
        <v>6984</v>
      </c>
      <c r="DXZ21" t="s">
        <v>6984</v>
      </c>
      <c r="DYA21" t="s">
        <v>6984</v>
      </c>
      <c r="DYB21" t="s">
        <v>6984</v>
      </c>
      <c r="DYC21" t="s">
        <v>6984</v>
      </c>
      <c r="DYD21" t="s">
        <v>6984</v>
      </c>
      <c r="DYE21" t="s">
        <v>6984</v>
      </c>
      <c r="DYF21" t="s">
        <v>6984</v>
      </c>
      <c r="DYG21" t="s">
        <v>6984</v>
      </c>
      <c r="DYH21" t="s">
        <v>6984</v>
      </c>
      <c r="DYI21" t="s">
        <v>6984</v>
      </c>
      <c r="DYJ21" t="s">
        <v>6984</v>
      </c>
      <c r="DYK21" t="s">
        <v>6984</v>
      </c>
      <c r="DYL21" t="s">
        <v>6984</v>
      </c>
      <c r="DYM21" t="s">
        <v>6984</v>
      </c>
      <c r="DYN21" t="s">
        <v>6984</v>
      </c>
      <c r="DYO21" t="s">
        <v>6984</v>
      </c>
      <c r="DYP21" t="s">
        <v>6984</v>
      </c>
      <c r="DYQ21" t="s">
        <v>6984</v>
      </c>
      <c r="DYR21" t="s">
        <v>6984</v>
      </c>
      <c r="DYS21" t="s">
        <v>6984</v>
      </c>
      <c r="DYT21" t="s">
        <v>6984</v>
      </c>
      <c r="DYU21" t="s">
        <v>6984</v>
      </c>
      <c r="DYV21" t="s">
        <v>6984</v>
      </c>
      <c r="DYW21" t="s">
        <v>6984</v>
      </c>
      <c r="DYX21" t="s">
        <v>6984</v>
      </c>
      <c r="DYY21" t="s">
        <v>6984</v>
      </c>
      <c r="DYZ21" t="s">
        <v>6984</v>
      </c>
      <c r="DZA21" t="s">
        <v>6984</v>
      </c>
      <c r="DZB21" t="s">
        <v>6984</v>
      </c>
      <c r="DZC21" t="s">
        <v>6984</v>
      </c>
      <c r="DZD21" t="s">
        <v>6984</v>
      </c>
      <c r="DZE21" t="s">
        <v>6984</v>
      </c>
      <c r="DZF21" t="s">
        <v>6984</v>
      </c>
      <c r="DZG21" t="s">
        <v>6984</v>
      </c>
      <c r="DZH21" t="s">
        <v>6984</v>
      </c>
      <c r="DZI21" t="s">
        <v>6984</v>
      </c>
      <c r="DZJ21" t="s">
        <v>6984</v>
      </c>
      <c r="DZK21" t="s">
        <v>6984</v>
      </c>
      <c r="DZL21" t="s">
        <v>6984</v>
      </c>
      <c r="DZM21" t="s">
        <v>6984</v>
      </c>
      <c r="DZN21" t="s">
        <v>6984</v>
      </c>
      <c r="DZO21" t="s">
        <v>6984</v>
      </c>
      <c r="DZP21" t="s">
        <v>6984</v>
      </c>
      <c r="DZQ21" t="s">
        <v>6984</v>
      </c>
      <c r="DZR21" t="s">
        <v>6984</v>
      </c>
      <c r="DZS21" t="s">
        <v>6984</v>
      </c>
      <c r="DZT21" t="s">
        <v>6984</v>
      </c>
      <c r="DZU21" t="s">
        <v>6984</v>
      </c>
      <c r="DZV21" t="s">
        <v>6984</v>
      </c>
      <c r="DZW21" t="s">
        <v>6984</v>
      </c>
      <c r="DZX21" t="s">
        <v>6984</v>
      </c>
      <c r="DZY21" t="s">
        <v>6984</v>
      </c>
      <c r="DZZ21" t="s">
        <v>6984</v>
      </c>
      <c r="EAA21" t="s">
        <v>6984</v>
      </c>
      <c r="EAB21" t="s">
        <v>6984</v>
      </c>
      <c r="EAC21" t="s">
        <v>6984</v>
      </c>
      <c r="EAD21" t="s">
        <v>6984</v>
      </c>
      <c r="EAE21" t="s">
        <v>6984</v>
      </c>
      <c r="EAF21" t="s">
        <v>6984</v>
      </c>
      <c r="EAG21" t="s">
        <v>6984</v>
      </c>
      <c r="EAH21" t="s">
        <v>6984</v>
      </c>
      <c r="EAI21" t="s">
        <v>6984</v>
      </c>
      <c r="EAJ21" t="s">
        <v>6984</v>
      </c>
      <c r="EAK21" t="s">
        <v>6984</v>
      </c>
      <c r="EAL21" t="s">
        <v>6984</v>
      </c>
      <c r="EAM21" t="s">
        <v>6984</v>
      </c>
      <c r="EAN21" t="s">
        <v>6984</v>
      </c>
      <c r="EAO21" t="s">
        <v>6984</v>
      </c>
      <c r="EAP21" t="s">
        <v>6984</v>
      </c>
      <c r="EAQ21" t="s">
        <v>6984</v>
      </c>
      <c r="EAR21" t="s">
        <v>6984</v>
      </c>
      <c r="EAS21" t="s">
        <v>6984</v>
      </c>
      <c r="EAT21" t="s">
        <v>6984</v>
      </c>
      <c r="EAU21" t="s">
        <v>6984</v>
      </c>
      <c r="EAV21" t="s">
        <v>6984</v>
      </c>
      <c r="EAW21" t="s">
        <v>6984</v>
      </c>
      <c r="EAX21" t="s">
        <v>6984</v>
      </c>
      <c r="EAY21" t="s">
        <v>6984</v>
      </c>
      <c r="EAZ21" t="s">
        <v>6984</v>
      </c>
      <c r="EBA21" t="s">
        <v>6984</v>
      </c>
      <c r="EBB21" t="s">
        <v>6984</v>
      </c>
      <c r="EBC21" t="s">
        <v>6984</v>
      </c>
      <c r="EBD21" t="s">
        <v>6984</v>
      </c>
      <c r="EBE21" t="s">
        <v>6984</v>
      </c>
      <c r="EBF21" t="s">
        <v>6984</v>
      </c>
      <c r="EBG21" t="s">
        <v>6984</v>
      </c>
      <c r="EBH21" t="s">
        <v>6984</v>
      </c>
      <c r="EBI21" t="s">
        <v>6984</v>
      </c>
      <c r="EBJ21" t="s">
        <v>6984</v>
      </c>
      <c r="EBK21" t="s">
        <v>6984</v>
      </c>
      <c r="EBL21" t="s">
        <v>6984</v>
      </c>
      <c r="EBM21" t="s">
        <v>6984</v>
      </c>
      <c r="EBN21" t="s">
        <v>6984</v>
      </c>
      <c r="EBO21" t="s">
        <v>6984</v>
      </c>
      <c r="EBP21" t="s">
        <v>6984</v>
      </c>
      <c r="EBQ21" t="s">
        <v>6984</v>
      </c>
      <c r="EBR21" t="s">
        <v>6984</v>
      </c>
      <c r="EBS21" t="s">
        <v>6984</v>
      </c>
      <c r="EBT21" t="s">
        <v>6984</v>
      </c>
      <c r="EBU21" t="s">
        <v>6984</v>
      </c>
      <c r="EBV21" t="s">
        <v>6984</v>
      </c>
      <c r="EBW21" t="s">
        <v>6984</v>
      </c>
      <c r="EBX21" t="s">
        <v>6984</v>
      </c>
      <c r="EBY21" t="s">
        <v>6984</v>
      </c>
      <c r="EBZ21" t="s">
        <v>6984</v>
      </c>
      <c r="ECA21" t="s">
        <v>6984</v>
      </c>
      <c r="ECB21" t="s">
        <v>6984</v>
      </c>
      <c r="ECC21" t="s">
        <v>6984</v>
      </c>
      <c r="ECD21" t="s">
        <v>6984</v>
      </c>
      <c r="ECE21" t="s">
        <v>6984</v>
      </c>
      <c r="ECF21" t="s">
        <v>6984</v>
      </c>
      <c r="ECG21" t="s">
        <v>6984</v>
      </c>
      <c r="ECH21" t="s">
        <v>6984</v>
      </c>
      <c r="ECI21" t="s">
        <v>6984</v>
      </c>
      <c r="ECJ21" t="s">
        <v>6984</v>
      </c>
      <c r="ECK21" t="s">
        <v>6984</v>
      </c>
      <c r="ECL21" t="s">
        <v>6984</v>
      </c>
      <c r="ECM21" t="s">
        <v>6984</v>
      </c>
      <c r="ECN21" t="s">
        <v>6984</v>
      </c>
      <c r="ECO21" t="s">
        <v>6984</v>
      </c>
      <c r="ECP21" t="s">
        <v>6984</v>
      </c>
      <c r="ECQ21" t="s">
        <v>6984</v>
      </c>
      <c r="ECR21" t="s">
        <v>6984</v>
      </c>
      <c r="ECS21" t="s">
        <v>6984</v>
      </c>
      <c r="ECT21" t="s">
        <v>6984</v>
      </c>
      <c r="ECU21" t="s">
        <v>6984</v>
      </c>
      <c r="ECV21" t="s">
        <v>6984</v>
      </c>
      <c r="ECW21" t="s">
        <v>6984</v>
      </c>
      <c r="ECX21" t="s">
        <v>6984</v>
      </c>
      <c r="ECY21" t="s">
        <v>6984</v>
      </c>
      <c r="ECZ21" t="s">
        <v>6984</v>
      </c>
      <c r="EDA21" t="s">
        <v>6984</v>
      </c>
      <c r="EDB21" t="s">
        <v>6984</v>
      </c>
      <c r="EDC21" t="s">
        <v>6984</v>
      </c>
      <c r="EDD21" t="s">
        <v>6984</v>
      </c>
      <c r="EDE21" t="s">
        <v>6984</v>
      </c>
      <c r="EDF21" t="s">
        <v>6984</v>
      </c>
      <c r="EDG21" t="s">
        <v>6984</v>
      </c>
      <c r="EDH21" t="s">
        <v>6984</v>
      </c>
      <c r="EDI21" t="s">
        <v>6984</v>
      </c>
      <c r="EDJ21" t="s">
        <v>6984</v>
      </c>
      <c r="EDK21" t="s">
        <v>6984</v>
      </c>
      <c r="EDL21" t="s">
        <v>6984</v>
      </c>
      <c r="EDM21" t="s">
        <v>6984</v>
      </c>
      <c r="EDN21" t="s">
        <v>6984</v>
      </c>
      <c r="EDO21" t="s">
        <v>6984</v>
      </c>
      <c r="EDP21" t="s">
        <v>6984</v>
      </c>
      <c r="EDQ21" t="s">
        <v>6984</v>
      </c>
      <c r="EDR21" t="s">
        <v>6984</v>
      </c>
      <c r="EDS21" t="s">
        <v>6984</v>
      </c>
      <c r="EDT21" t="s">
        <v>6984</v>
      </c>
      <c r="EDU21" t="s">
        <v>6984</v>
      </c>
      <c r="EDV21" t="s">
        <v>6984</v>
      </c>
      <c r="EDW21" t="s">
        <v>6984</v>
      </c>
      <c r="EDX21" t="s">
        <v>6984</v>
      </c>
      <c r="EDY21" t="s">
        <v>6984</v>
      </c>
      <c r="EDZ21" t="s">
        <v>6984</v>
      </c>
      <c r="EEA21" t="s">
        <v>6984</v>
      </c>
      <c r="EEB21" t="s">
        <v>6984</v>
      </c>
      <c r="EEC21" t="s">
        <v>6984</v>
      </c>
      <c r="EED21" t="s">
        <v>6984</v>
      </c>
      <c r="EEE21" t="s">
        <v>6984</v>
      </c>
      <c r="EEF21" t="s">
        <v>6984</v>
      </c>
      <c r="EEG21" t="s">
        <v>6984</v>
      </c>
      <c r="EEH21" t="s">
        <v>6984</v>
      </c>
      <c r="EEI21" t="s">
        <v>6984</v>
      </c>
      <c r="EEJ21" t="s">
        <v>6984</v>
      </c>
      <c r="EEK21" t="s">
        <v>6984</v>
      </c>
      <c r="EEL21" t="s">
        <v>6984</v>
      </c>
      <c r="EEM21" t="s">
        <v>6984</v>
      </c>
      <c r="EEN21" t="s">
        <v>6984</v>
      </c>
      <c r="EEO21" t="s">
        <v>6984</v>
      </c>
      <c r="EEP21" t="s">
        <v>6984</v>
      </c>
      <c r="EEQ21" t="s">
        <v>6984</v>
      </c>
      <c r="EER21" t="s">
        <v>6984</v>
      </c>
      <c r="EES21" t="s">
        <v>6984</v>
      </c>
      <c r="EET21" t="s">
        <v>6984</v>
      </c>
      <c r="EEU21" t="s">
        <v>6984</v>
      </c>
      <c r="EEV21" t="s">
        <v>6984</v>
      </c>
      <c r="EEW21" t="s">
        <v>6984</v>
      </c>
      <c r="EEX21" t="s">
        <v>6984</v>
      </c>
      <c r="EEY21" t="s">
        <v>6984</v>
      </c>
      <c r="EEZ21" t="s">
        <v>6984</v>
      </c>
      <c r="EFA21" t="s">
        <v>6984</v>
      </c>
      <c r="EFB21" t="s">
        <v>6984</v>
      </c>
      <c r="EFC21" t="s">
        <v>6984</v>
      </c>
      <c r="EFD21" t="s">
        <v>6984</v>
      </c>
      <c r="EFE21" t="s">
        <v>6984</v>
      </c>
      <c r="EFF21" t="s">
        <v>6984</v>
      </c>
      <c r="EFG21" t="s">
        <v>6984</v>
      </c>
      <c r="EFH21" t="s">
        <v>6984</v>
      </c>
      <c r="EFI21" t="s">
        <v>6984</v>
      </c>
      <c r="EFJ21" t="s">
        <v>6984</v>
      </c>
      <c r="EFK21" t="s">
        <v>6984</v>
      </c>
      <c r="EFL21" t="s">
        <v>6984</v>
      </c>
      <c r="EFM21" t="s">
        <v>6984</v>
      </c>
      <c r="EFN21" t="s">
        <v>6984</v>
      </c>
      <c r="EFO21" t="s">
        <v>6984</v>
      </c>
      <c r="EFP21" t="s">
        <v>6984</v>
      </c>
      <c r="EFQ21" t="s">
        <v>6984</v>
      </c>
      <c r="EFR21" t="s">
        <v>6984</v>
      </c>
      <c r="EFS21" t="s">
        <v>6984</v>
      </c>
      <c r="EFT21" t="s">
        <v>6984</v>
      </c>
      <c r="EFU21" t="s">
        <v>6984</v>
      </c>
      <c r="EFV21" t="s">
        <v>6984</v>
      </c>
      <c r="EFW21" t="s">
        <v>6984</v>
      </c>
      <c r="EFX21" t="s">
        <v>6984</v>
      </c>
      <c r="EFY21" t="s">
        <v>6984</v>
      </c>
      <c r="EFZ21" t="s">
        <v>6984</v>
      </c>
      <c r="EGA21" t="s">
        <v>6984</v>
      </c>
      <c r="EGB21" t="s">
        <v>6984</v>
      </c>
      <c r="EGC21" t="s">
        <v>6984</v>
      </c>
      <c r="EGD21" t="s">
        <v>6984</v>
      </c>
      <c r="EGE21" t="s">
        <v>6984</v>
      </c>
      <c r="EGF21" t="s">
        <v>6984</v>
      </c>
      <c r="EGG21" t="s">
        <v>6984</v>
      </c>
      <c r="EGH21" t="s">
        <v>6984</v>
      </c>
      <c r="EGI21" t="s">
        <v>6984</v>
      </c>
      <c r="EGJ21" t="s">
        <v>6984</v>
      </c>
      <c r="EGK21" t="s">
        <v>6984</v>
      </c>
      <c r="EGL21" t="s">
        <v>6984</v>
      </c>
      <c r="EGM21" t="s">
        <v>6984</v>
      </c>
      <c r="EGN21" t="s">
        <v>6984</v>
      </c>
      <c r="EGO21" t="s">
        <v>6984</v>
      </c>
      <c r="EGP21" t="s">
        <v>6984</v>
      </c>
      <c r="EGQ21" t="s">
        <v>6984</v>
      </c>
      <c r="EGR21" t="s">
        <v>6984</v>
      </c>
      <c r="EGS21" t="s">
        <v>6984</v>
      </c>
      <c r="EGT21" t="s">
        <v>6984</v>
      </c>
      <c r="EGU21" t="s">
        <v>6984</v>
      </c>
      <c r="EGV21" t="s">
        <v>6984</v>
      </c>
      <c r="EGW21" t="s">
        <v>6984</v>
      </c>
      <c r="EGX21" t="s">
        <v>6984</v>
      </c>
      <c r="EGY21" t="s">
        <v>6984</v>
      </c>
      <c r="EGZ21" t="s">
        <v>6984</v>
      </c>
      <c r="EHA21" t="s">
        <v>6984</v>
      </c>
      <c r="EHB21" t="s">
        <v>6984</v>
      </c>
      <c r="EHC21" t="s">
        <v>6984</v>
      </c>
      <c r="EHD21" t="s">
        <v>6984</v>
      </c>
      <c r="EHE21" t="s">
        <v>6984</v>
      </c>
      <c r="EHF21" t="s">
        <v>6984</v>
      </c>
      <c r="EHG21" t="s">
        <v>6984</v>
      </c>
      <c r="EHH21" t="s">
        <v>6984</v>
      </c>
      <c r="EHI21" t="s">
        <v>6984</v>
      </c>
      <c r="EHJ21" t="s">
        <v>6984</v>
      </c>
      <c r="EHK21" t="s">
        <v>6984</v>
      </c>
      <c r="EHL21" t="s">
        <v>6984</v>
      </c>
      <c r="EHM21" t="s">
        <v>6984</v>
      </c>
      <c r="EHN21" t="s">
        <v>6984</v>
      </c>
      <c r="EHO21" t="s">
        <v>6984</v>
      </c>
      <c r="EHP21" t="s">
        <v>6984</v>
      </c>
      <c r="EHQ21" t="s">
        <v>6984</v>
      </c>
      <c r="EHR21" t="s">
        <v>6984</v>
      </c>
      <c r="EHS21" t="s">
        <v>6984</v>
      </c>
      <c r="EHT21" t="s">
        <v>6984</v>
      </c>
      <c r="EHU21" t="s">
        <v>6984</v>
      </c>
      <c r="EHV21" t="s">
        <v>6984</v>
      </c>
      <c r="EHW21" t="s">
        <v>6984</v>
      </c>
      <c r="EHX21" t="s">
        <v>6984</v>
      </c>
      <c r="EHY21" t="s">
        <v>6984</v>
      </c>
      <c r="EHZ21" t="s">
        <v>6984</v>
      </c>
      <c r="EIA21" t="s">
        <v>6984</v>
      </c>
      <c r="EIB21" t="s">
        <v>6984</v>
      </c>
      <c r="EIC21" t="s">
        <v>6984</v>
      </c>
      <c r="EID21" t="s">
        <v>6984</v>
      </c>
      <c r="EIE21" t="s">
        <v>6984</v>
      </c>
      <c r="EIF21" t="s">
        <v>6984</v>
      </c>
      <c r="EIG21" t="s">
        <v>6984</v>
      </c>
      <c r="EIH21" t="s">
        <v>6984</v>
      </c>
      <c r="EII21" t="s">
        <v>6984</v>
      </c>
      <c r="EIJ21" t="s">
        <v>6984</v>
      </c>
      <c r="EIK21" t="s">
        <v>6984</v>
      </c>
      <c r="EIL21" t="s">
        <v>6984</v>
      </c>
      <c r="EIM21" t="s">
        <v>6984</v>
      </c>
      <c r="EIN21" t="s">
        <v>6984</v>
      </c>
      <c r="EIO21" t="s">
        <v>6984</v>
      </c>
      <c r="EIP21" t="s">
        <v>6984</v>
      </c>
      <c r="EIQ21" t="s">
        <v>6984</v>
      </c>
      <c r="EIR21" t="s">
        <v>6984</v>
      </c>
      <c r="EIS21" t="s">
        <v>6984</v>
      </c>
      <c r="EIT21" t="s">
        <v>6984</v>
      </c>
      <c r="EIU21" t="s">
        <v>6984</v>
      </c>
      <c r="EIV21" t="s">
        <v>6984</v>
      </c>
      <c r="EIW21" t="s">
        <v>6984</v>
      </c>
      <c r="EIX21" t="s">
        <v>6984</v>
      </c>
      <c r="EIY21" t="s">
        <v>6984</v>
      </c>
      <c r="EIZ21" t="s">
        <v>6984</v>
      </c>
      <c r="EJA21" t="s">
        <v>6984</v>
      </c>
      <c r="EJB21" t="s">
        <v>6984</v>
      </c>
      <c r="EJC21" t="s">
        <v>6984</v>
      </c>
      <c r="EJD21" t="s">
        <v>6984</v>
      </c>
      <c r="EJE21" t="s">
        <v>6984</v>
      </c>
      <c r="EJF21" t="s">
        <v>6984</v>
      </c>
      <c r="EJG21" t="s">
        <v>6984</v>
      </c>
      <c r="EJH21" t="s">
        <v>6984</v>
      </c>
      <c r="EJI21" t="s">
        <v>6984</v>
      </c>
      <c r="EJJ21" t="s">
        <v>6984</v>
      </c>
      <c r="EJK21" t="s">
        <v>6984</v>
      </c>
      <c r="EJL21" t="s">
        <v>6984</v>
      </c>
      <c r="EJM21" t="s">
        <v>6984</v>
      </c>
      <c r="EJN21" t="s">
        <v>6984</v>
      </c>
      <c r="EJO21" t="s">
        <v>6984</v>
      </c>
      <c r="EJP21" t="s">
        <v>6984</v>
      </c>
      <c r="EJQ21" t="s">
        <v>6984</v>
      </c>
      <c r="EJR21" t="s">
        <v>6984</v>
      </c>
      <c r="EJS21" t="s">
        <v>6984</v>
      </c>
      <c r="EJT21" t="s">
        <v>6984</v>
      </c>
      <c r="EJU21" t="s">
        <v>6984</v>
      </c>
      <c r="EJV21" t="s">
        <v>6984</v>
      </c>
      <c r="EJW21" t="s">
        <v>6984</v>
      </c>
      <c r="EJX21" t="s">
        <v>6984</v>
      </c>
      <c r="EJY21" t="s">
        <v>6984</v>
      </c>
      <c r="EJZ21" t="s">
        <v>6984</v>
      </c>
      <c r="EKA21" t="s">
        <v>6984</v>
      </c>
      <c r="EKB21" t="s">
        <v>6984</v>
      </c>
      <c r="EKC21" t="s">
        <v>6984</v>
      </c>
      <c r="EKD21" t="s">
        <v>6984</v>
      </c>
      <c r="EKE21" t="s">
        <v>6984</v>
      </c>
      <c r="EKF21" t="s">
        <v>6984</v>
      </c>
      <c r="EKG21" t="s">
        <v>6984</v>
      </c>
      <c r="EKH21" t="s">
        <v>6984</v>
      </c>
      <c r="EKI21" t="s">
        <v>6984</v>
      </c>
      <c r="EKJ21" t="s">
        <v>6984</v>
      </c>
      <c r="EKK21" t="s">
        <v>6984</v>
      </c>
      <c r="EKL21" t="s">
        <v>6984</v>
      </c>
      <c r="EKM21" t="s">
        <v>6984</v>
      </c>
      <c r="EKN21" t="s">
        <v>6984</v>
      </c>
      <c r="EKO21" t="s">
        <v>6984</v>
      </c>
      <c r="EKP21" t="s">
        <v>6984</v>
      </c>
      <c r="EKQ21" t="s">
        <v>6984</v>
      </c>
      <c r="EKR21" t="s">
        <v>6984</v>
      </c>
      <c r="EKS21" t="s">
        <v>6984</v>
      </c>
      <c r="EKT21" t="s">
        <v>6984</v>
      </c>
      <c r="EKU21" t="s">
        <v>6984</v>
      </c>
      <c r="EKV21" t="s">
        <v>6984</v>
      </c>
      <c r="EKW21" t="s">
        <v>6984</v>
      </c>
      <c r="EKX21" t="s">
        <v>6984</v>
      </c>
      <c r="EKY21" t="s">
        <v>6984</v>
      </c>
      <c r="EKZ21" t="s">
        <v>6984</v>
      </c>
      <c r="ELA21" t="s">
        <v>6984</v>
      </c>
      <c r="ELB21" t="s">
        <v>6984</v>
      </c>
      <c r="ELC21" t="s">
        <v>6984</v>
      </c>
      <c r="ELD21" t="s">
        <v>6984</v>
      </c>
      <c r="ELE21" t="s">
        <v>6984</v>
      </c>
      <c r="ELF21" t="s">
        <v>6984</v>
      </c>
      <c r="ELG21" t="s">
        <v>6984</v>
      </c>
      <c r="ELH21" t="s">
        <v>6984</v>
      </c>
      <c r="ELI21" t="s">
        <v>6984</v>
      </c>
      <c r="ELJ21" t="s">
        <v>6984</v>
      </c>
      <c r="ELK21" t="s">
        <v>6984</v>
      </c>
      <c r="ELL21" t="s">
        <v>6984</v>
      </c>
      <c r="ELM21" t="s">
        <v>6984</v>
      </c>
      <c r="ELN21" t="s">
        <v>6984</v>
      </c>
      <c r="ELO21" t="s">
        <v>6984</v>
      </c>
      <c r="ELP21" t="s">
        <v>6984</v>
      </c>
      <c r="ELQ21" t="s">
        <v>6984</v>
      </c>
      <c r="ELR21" t="s">
        <v>6984</v>
      </c>
      <c r="ELS21" t="s">
        <v>6984</v>
      </c>
      <c r="ELT21" t="s">
        <v>6984</v>
      </c>
      <c r="ELU21" t="s">
        <v>6984</v>
      </c>
      <c r="ELV21" t="s">
        <v>6984</v>
      </c>
      <c r="ELW21" t="s">
        <v>6984</v>
      </c>
      <c r="ELX21" t="s">
        <v>6984</v>
      </c>
      <c r="ELY21" t="s">
        <v>6984</v>
      </c>
      <c r="ELZ21" t="s">
        <v>6984</v>
      </c>
      <c r="EMA21" t="s">
        <v>6984</v>
      </c>
      <c r="EMB21" t="s">
        <v>6984</v>
      </c>
      <c r="EMC21" t="s">
        <v>6984</v>
      </c>
      <c r="EMD21" t="s">
        <v>6984</v>
      </c>
      <c r="EME21" t="s">
        <v>6984</v>
      </c>
      <c r="EMF21" t="s">
        <v>6984</v>
      </c>
      <c r="EMG21" t="s">
        <v>6984</v>
      </c>
      <c r="EMH21" t="s">
        <v>6984</v>
      </c>
      <c r="EMI21" t="s">
        <v>6984</v>
      </c>
      <c r="EMJ21" t="s">
        <v>6984</v>
      </c>
      <c r="EMK21" t="s">
        <v>6984</v>
      </c>
      <c r="EML21" t="s">
        <v>6984</v>
      </c>
      <c r="EMM21" t="s">
        <v>6984</v>
      </c>
      <c r="EMN21" t="s">
        <v>6984</v>
      </c>
      <c r="EMO21" t="s">
        <v>6984</v>
      </c>
      <c r="EMP21" t="s">
        <v>6984</v>
      </c>
      <c r="EMQ21" t="s">
        <v>6984</v>
      </c>
      <c r="EMR21" t="s">
        <v>6984</v>
      </c>
      <c r="EMS21" t="s">
        <v>6984</v>
      </c>
      <c r="EMT21" t="s">
        <v>6984</v>
      </c>
      <c r="EMU21" t="s">
        <v>6984</v>
      </c>
      <c r="EMV21" t="s">
        <v>6984</v>
      </c>
      <c r="EMW21" t="s">
        <v>6984</v>
      </c>
      <c r="EMX21" t="s">
        <v>6984</v>
      </c>
      <c r="EMY21" t="s">
        <v>6984</v>
      </c>
      <c r="EMZ21" t="s">
        <v>6984</v>
      </c>
      <c r="ENA21" t="s">
        <v>6984</v>
      </c>
      <c r="ENB21" t="s">
        <v>6984</v>
      </c>
      <c r="ENC21" t="s">
        <v>6984</v>
      </c>
      <c r="END21" t="s">
        <v>6984</v>
      </c>
      <c r="ENE21" t="s">
        <v>6984</v>
      </c>
      <c r="ENF21" t="s">
        <v>6984</v>
      </c>
      <c r="ENG21" t="s">
        <v>6984</v>
      </c>
      <c r="ENH21" t="s">
        <v>6984</v>
      </c>
      <c r="ENI21" t="s">
        <v>6984</v>
      </c>
      <c r="ENJ21" t="s">
        <v>6984</v>
      </c>
      <c r="ENK21" t="s">
        <v>6984</v>
      </c>
      <c r="ENL21" t="s">
        <v>6984</v>
      </c>
      <c r="ENM21" t="s">
        <v>6984</v>
      </c>
      <c r="ENN21" t="s">
        <v>6984</v>
      </c>
      <c r="ENO21" t="s">
        <v>6984</v>
      </c>
      <c r="ENP21" t="s">
        <v>6984</v>
      </c>
      <c r="ENQ21" t="s">
        <v>6984</v>
      </c>
      <c r="ENR21" t="s">
        <v>6984</v>
      </c>
      <c r="ENS21" t="s">
        <v>6984</v>
      </c>
      <c r="ENT21" t="s">
        <v>6984</v>
      </c>
      <c r="ENU21" t="s">
        <v>6984</v>
      </c>
      <c r="ENV21" t="s">
        <v>6984</v>
      </c>
      <c r="ENW21" t="s">
        <v>6984</v>
      </c>
      <c r="ENX21" t="s">
        <v>6984</v>
      </c>
      <c r="ENY21" t="s">
        <v>6984</v>
      </c>
      <c r="ENZ21" t="s">
        <v>6984</v>
      </c>
      <c r="EOA21" t="s">
        <v>6984</v>
      </c>
      <c r="EOB21" t="s">
        <v>6984</v>
      </c>
      <c r="EOC21" t="s">
        <v>6984</v>
      </c>
      <c r="EOD21" t="s">
        <v>6984</v>
      </c>
      <c r="EOE21" t="s">
        <v>6984</v>
      </c>
      <c r="EOF21" t="s">
        <v>6984</v>
      </c>
      <c r="EOG21" t="s">
        <v>6984</v>
      </c>
      <c r="EOH21" t="s">
        <v>6984</v>
      </c>
      <c r="EOI21" t="s">
        <v>6984</v>
      </c>
      <c r="EOJ21" t="s">
        <v>6984</v>
      </c>
      <c r="EOK21" t="s">
        <v>6984</v>
      </c>
      <c r="EOL21" t="s">
        <v>6984</v>
      </c>
      <c r="EOM21" t="s">
        <v>6984</v>
      </c>
      <c r="EON21" t="s">
        <v>6984</v>
      </c>
      <c r="EOO21" t="s">
        <v>6984</v>
      </c>
      <c r="EOP21" t="s">
        <v>6984</v>
      </c>
      <c r="EOQ21" t="s">
        <v>6984</v>
      </c>
      <c r="EOR21" t="s">
        <v>6984</v>
      </c>
      <c r="EOS21" t="s">
        <v>6984</v>
      </c>
      <c r="EOT21" t="s">
        <v>6984</v>
      </c>
      <c r="EOU21" t="s">
        <v>6984</v>
      </c>
      <c r="EOV21" t="s">
        <v>6984</v>
      </c>
      <c r="EOW21" t="s">
        <v>6984</v>
      </c>
      <c r="EOX21" t="s">
        <v>6984</v>
      </c>
      <c r="EOY21" t="s">
        <v>6984</v>
      </c>
      <c r="EOZ21" t="s">
        <v>6984</v>
      </c>
      <c r="EPA21" t="s">
        <v>6984</v>
      </c>
      <c r="EPB21" t="s">
        <v>6984</v>
      </c>
      <c r="EPC21" t="s">
        <v>6984</v>
      </c>
      <c r="EPD21" t="s">
        <v>6984</v>
      </c>
      <c r="EPE21" t="s">
        <v>6984</v>
      </c>
      <c r="EPF21" t="s">
        <v>6984</v>
      </c>
      <c r="EPG21" t="s">
        <v>6984</v>
      </c>
      <c r="EPH21" t="s">
        <v>6984</v>
      </c>
      <c r="EPI21" t="s">
        <v>6984</v>
      </c>
      <c r="EPJ21" t="s">
        <v>6984</v>
      </c>
      <c r="EPK21" t="s">
        <v>6984</v>
      </c>
      <c r="EPL21" t="s">
        <v>6984</v>
      </c>
      <c r="EPM21" t="s">
        <v>6984</v>
      </c>
      <c r="EPN21" t="s">
        <v>6984</v>
      </c>
      <c r="EPO21" t="s">
        <v>6984</v>
      </c>
      <c r="EPP21" t="s">
        <v>6984</v>
      </c>
      <c r="EPQ21" t="s">
        <v>6984</v>
      </c>
      <c r="EPR21" t="s">
        <v>6984</v>
      </c>
      <c r="EPS21" t="s">
        <v>6984</v>
      </c>
      <c r="EPT21" t="s">
        <v>6984</v>
      </c>
      <c r="EPU21" t="s">
        <v>6984</v>
      </c>
      <c r="EPV21" t="s">
        <v>6984</v>
      </c>
      <c r="EPW21" t="s">
        <v>6984</v>
      </c>
      <c r="EPX21" t="s">
        <v>6984</v>
      </c>
      <c r="EPY21" t="s">
        <v>6984</v>
      </c>
      <c r="EPZ21" t="s">
        <v>6984</v>
      </c>
      <c r="EQA21" t="s">
        <v>6984</v>
      </c>
      <c r="EQB21" t="s">
        <v>6984</v>
      </c>
      <c r="EQC21" t="s">
        <v>6984</v>
      </c>
      <c r="EQD21" t="s">
        <v>6984</v>
      </c>
      <c r="EQE21" t="s">
        <v>6984</v>
      </c>
      <c r="EQF21" t="s">
        <v>6984</v>
      </c>
      <c r="EQG21" t="s">
        <v>6984</v>
      </c>
      <c r="EQH21" t="s">
        <v>6984</v>
      </c>
      <c r="EQI21" t="s">
        <v>6984</v>
      </c>
      <c r="EQJ21" t="s">
        <v>6984</v>
      </c>
      <c r="EQK21" t="s">
        <v>6984</v>
      </c>
      <c r="EQL21" t="s">
        <v>6984</v>
      </c>
      <c r="EQM21" t="s">
        <v>6984</v>
      </c>
      <c r="EQN21" t="s">
        <v>6984</v>
      </c>
      <c r="EQO21" t="s">
        <v>6984</v>
      </c>
      <c r="EQP21" t="s">
        <v>6984</v>
      </c>
      <c r="EQQ21" t="s">
        <v>6984</v>
      </c>
      <c r="EQR21" t="s">
        <v>6984</v>
      </c>
      <c r="EQS21" t="s">
        <v>6984</v>
      </c>
      <c r="EQT21" t="s">
        <v>6984</v>
      </c>
      <c r="EQU21" t="s">
        <v>6984</v>
      </c>
      <c r="EQV21" t="s">
        <v>6984</v>
      </c>
      <c r="EQW21" t="s">
        <v>6984</v>
      </c>
      <c r="EQX21" t="s">
        <v>6984</v>
      </c>
      <c r="EQY21" t="s">
        <v>6984</v>
      </c>
      <c r="EQZ21" t="s">
        <v>6984</v>
      </c>
      <c r="ERA21" t="s">
        <v>6984</v>
      </c>
      <c r="ERB21" t="s">
        <v>6984</v>
      </c>
      <c r="ERC21" t="s">
        <v>6984</v>
      </c>
      <c r="ERD21" t="s">
        <v>6984</v>
      </c>
      <c r="ERE21" t="s">
        <v>6984</v>
      </c>
      <c r="ERF21" t="s">
        <v>6984</v>
      </c>
      <c r="ERG21" t="s">
        <v>6984</v>
      </c>
      <c r="ERH21" t="s">
        <v>6984</v>
      </c>
      <c r="ERI21" t="s">
        <v>6984</v>
      </c>
      <c r="ERJ21" t="s">
        <v>6984</v>
      </c>
      <c r="ERK21" t="s">
        <v>6984</v>
      </c>
      <c r="ERL21" t="s">
        <v>6984</v>
      </c>
      <c r="ERM21" t="s">
        <v>6984</v>
      </c>
      <c r="ERN21" t="s">
        <v>6984</v>
      </c>
      <c r="ERO21" t="s">
        <v>6984</v>
      </c>
      <c r="ERP21" t="s">
        <v>6984</v>
      </c>
      <c r="ERQ21" t="s">
        <v>6984</v>
      </c>
      <c r="ERR21" t="s">
        <v>6984</v>
      </c>
      <c r="ERS21" t="s">
        <v>6984</v>
      </c>
      <c r="ERT21" t="s">
        <v>6984</v>
      </c>
      <c r="ERU21" t="s">
        <v>6984</v>
      </c>
      <c r="ERV21" t="s">
        <v>6984</v>
      </c>
      <c r="ERW21" t="s">
        <v>6984</v>
      </c>
      <c r="ERX21" t="s">
        <v>6984</v>
      </c>
      <c r="ERY21" t="s">
        <v>6984</v>
      </c>
      <c r="ERZ21" t="s">
        <v>6984</v>
      </c>
      <c r="ESA21" t="s">
        <v>6984</v>
      </c>
      <c r="ESB21" t="s">
        <v>6984</v>
      </c>
      <c r="ESC21" t="s">
        <v>6984</v>
      </c>
      <c r="ESD21" t="s">
        <v>6984</v>
      </c>
      <c r="ESE21" t="s">
        <v>6984</v>
      </c>
      <c r="ESF21" t="s">
        <v>6984</v>
      </c>
      <c r="ESG21" t="s">
        <v>6984</v>
      </c>
      <c r="ESH21" t="s">
        <v>6984</v>
      </c>
      <c r="ESI21" t="s">
        <v>6984</v>
      </c>
      <c r="ESJ21" t="s">
        <v>6984</v>
      </c>
      <c r="ESK21" t="s">
        <v>6984</v>
      </c>
      <c r="ESL21" t="s">
        <v>6984</v>
      </c>
      <c r="ESM21" t="s">
        <v>6984</v>
      </c>
      <c r="ESN21" t="s">
        <v>6984</v>
      </c>
      <c r="ESO21" t="s">
        <v>6984</v>
      </c>
      <c r="ESP21" t="s">
        <v>6984</v>
      </c>
      <c r="ESQ21" t="s">
        <v>6984</v>
      </c>
      <c r="ESR21" t="s">
        <v>6984</v>
      </c>
      <c r="ESS21" t="s">
        <v>6984</v>
      </c>
      <c r="EST21" t="s">
        <v>6984</v>
      </c>
      <c r="ESU21" t="s">
        <v>6984</v>
      </c>
      <c r="ESV21" t="s">
        <v>6984</v>
      </c>
      <c r="ESW21" t="s">
        <v>6984</v>
      </c>
      <c r="ESX21" t="s">
        <v>6984</v>
      </c>
      <c r="ESY21" t="s">
        <v>6984</v>
      </c>
      <c r="ESZ21" t="s">
        <v>6984</v>
      </c>
      <c r="ETA21" t="s">
        <v>6984</v>
      </c>
      <c r="ETB21" t="s">
        <v>6984</v>
      </c>
      <c r="ETC21" t="s">
        <v>6984</v>
      </c>
      <c r="ETD21" t="s">
        <v>6984</v>
      </c>
      <c r="ETE21" t="s">
        <v>6984</v>
      </c>
      <c r="ETF21" t="s">
        <v>6984</v>
      </c>
      <c r="ETG21" t="s">
        <v>6984</v>
      </c>
      <c r="ETH21" t="s">
        <v>6984</v>
      </c>
      <c r="ETI21" t="s">
        <v>6984</v>
      </c>
      <c r="ETJ21" t="s">
        <v>6984</v>
      </c>
      <c r="ETK21" t="s">
        <v>6984</v>
      </c>
      <c r="ETL21" t="s">
        <v>6984</v>
      </c>
      <c r="ETM21" t="s">
        <v>6984</v>
      </c>
      <c r="ETN21" t="s">
        <v>6984</v>
      </c>
      <c r="ETO21" t="s">
        <v>6984</v>
      </c>
      <c r="ETP21" t="s">
        <v>6984</v>
      </c>
      <c r="ETQ21" t="s">
        <v>6984</v>
      </c>
      <c r="ETR21" t="s">
        <v>6984</v>
      </c>
      <c r="ETS21" t="s">
        <v>6984</v>
      </c>
      <c r="ETT21" t="s">
        <v>6984</v>
      </c>
      <c r="ETU21" t="s">
        <v>6984</v>
      </c>
      <c r="ETV21" t="s">
        <v>6984</v>
      </c>
      <c r="ETW21" t="s">
        <v>6984</v>
      </c>
      <c r="ETX21" t="s">
        <v>6984</v>
      </c>
      <c r="ETY21" t="s">
        <v>6984</v>
      </c>
      <c r="ETZ21" t="s">
        <v>6984</v>
      </c>
      <c r="EUA21" t="s">
        <v>6984</v>
      </c>
      <c r="EUB21" t="s">
        <v>6984</v>
      </c>
      <c r="EUC21" t="s">
        <v>6984</v>
      </c>
      <c r="EUD21" t="s">
        <v>6984</v>
      </c>
      <c r="EUE21" t="s">
        <v>6984</v>
      </c>
      <c r="EUF21" t="s">
        <v>6984</v>
      </c>
      <c r="EUG21" t="s">
        <v>6984</v>
      </c>
      <c r="EUH21" t="s">
        <v>6984</v>
      </c>
      <c r="EUI21" t="s">
        <v>6984</v>
      </c>
      <c r="EUJ21" t="s">
        <v>6984</v>
      </c>
      <c r="EUK21" t="s">
        <v>6984</v>
      </c>
      <c r="EUL21" t="s">
        <v>6984</v>
      </c>
      <c r="EUM21" t="s">
        <v>6984</v>
      </c>
      <c r="EUN21" t="s">
        <v>6984</v>
      </c>
      <c r="EUO21" t="s">
        <v>6984</v>
      </c>
      <c r="EUP21" t="s">
        <v>6984</v>
      </c>
      <c r="EUQ21" t="s">
        <v>6984</v>
      </c>
      <c r="EUR21" t="s">
        <v>6984</v>
      </c>
      <c r="EUS21" t="s">
        <v>6984</v>
      </c>
      <c r="EUT21" t="s">
        <v>6984</v>
      </c>
      <c r="EUU21" t="s">
        <v>6984</v>
      </c>
      <c r="EUV21" t="s">
        <v>6984</v>
      </c>
      <c r="EUW21" t="s">
        <v>6984</v>
      </c>
      <c r="EUX21" t="s">
        <v>6984</v>
      </c>
      <c r="EUY21" t="s">
        <v>6984</v>
      </c>
      <c r="EUZ21" t="s">
        <v>6984</v>
      </c>
      <c r="EVA21" t="s">
        <v>6984</v>
      </c>
      <c r="EVB21" t="s">
        <v>6984</v>
      </c>
      <c r="EVC21" t="s">
        <v>6984</v>
      </c>
      <c r="EVD21" t="s">
        <v>6984</v>
      </c>
      <c r="EVE21" t="s">
        <v>6984</v>
      </c>
      <c r="EVF21" t="s">
        <v>6984</v>
      </c>
      <c r="EVG21" t="s">
        <v>6984</v>
      </c>
      <c r="EVH21" t="s">
        <v>6984</v>
      </c>
      <c r="EVI21" t="s">
        <v>6984</v>
      </c>
      <c r="EVJ21" t="s">
        <v>6984</v>
      </c>
      <c r="EVK21" t="s">
        <v>6984</v>
      </c>
      <c r="EVL21" t="s">
        <v>6984</v>
      </c>
      <c r="EVM21" t="s">
        <v>6984</v>
      </c>
      <c r="EVN21" t="s">
        <v>6984</v>
      </c>
      <c r="EVO21" t="s">
        <v>6984</v>
      </c>
      <c r="EVP21" t="s">
        <v>6984</v>
      </c>
      <c r="EVQ21" t="s">
        <v>6984</v>
      </c>
      <c r="EVR21" t="s">
        <v>6984</v>
      </c>
      <c r="EVS21" t="s">
        <v>6984</v>
      </c>
      <c r="EVT21" t="s">
        <v>6984</v>
      </c>
      <c r="EVU21" t="s">
        <v>6984</v>
      </c>
      <c r="EVV21" t="s">
        <v>6984</v>
      </c>
      <c r="EVW21" t="s">
        <v>6984</v>
      </c>
      <c r="EVX21" t="s">
        <v>6984</v>
      </c>
      <c r="EVY21" t="s">
        <v>6984</v>
      </c>
      <c r="EVZ21" t="s">
        <v>6984</v>
      </c>
      <c r="EWA21" t="s">
        <v>6984</v>
      </c>
      <c r="EWB21" t="s">
        <v>6984</v>
      </c>
      <c r="EWC21" t="s">
        <v>6984</v>
      </c>
      <c r="EWD21" t="s">
        <v>6984</v>
      </c>
      <c r="EWE21" t="s">
        <v>6984</v>
      </c>
      <c r="EWF21" t="s">
        <v>6984</v>
      </c>
      <c r="EWG21" t="s">
        <v>6984</v>
      </c>
      <c r="EWH21" t="s">
        <v>6984</v>
      </c>
      <c r="EWI21" t="s">
        <v>6984</v>
      </c>
      <c r="EWJ21" t="s">
        <v>6984</v>
      </c>
      <c r="EWK21" t="s">
        <v>6984</v>
      </c>
      <c r="EWL21" t="s">
        <v>6984</v>
      </c>
      <c r="EWM21" t="s">
        <v>6984</v>
      </c>
      <c r="EWN21" t="s">
        <v>6984</v>
      </c>
      <c r="EWO21" t="s">
        <v>6984</v>
      </c>
      <c r="EWP21" t="s">
        <v>6984</v>
      </c>
      <c r="EWQ21" t="s">
        <v>6984</v>
      </c>
      <c r="EWR21" t="s">
        <v>6984</v>
      </c>
      <c r="EWS21" t="s">
        <v>6984</v>
      </c>
      <c r="EWT21" t="s">
        <v>6984</v>
      </c>
      <c r="EWU21" t="s">
        <v>6984</v>
      </c>
      <c r="EWV21" t="s">
        <v>6984</v>
      </c>
      <c r="EWW21" t="s">
        <v>6984</v>
      </c>
      <c r="EWX21" t="s">
        <v>6984</v>
      </c>
      <c r="EWY21" t="s">
        <v>6984</v>
      </c>
      <c r="EWZ21" t="s">
        <v>6984</v>
      </c>
      <c r="EXA21" t="s">
        <v>6984</v>
      </c>
      <c r="EXB21" t="s">
        <v>6984</v>
      </c>
      <c r="EXC21" t="s">
        <v>6984</v>
      </c>
      <c r="EXD21" t="s">
        <v>6984</v>
      </c>
      <c r="EXE21" t="s">
        <v>6984</v>
      </c>
      <c r="EXF21" t="s">
        <v>6984</v>
      </c>
      <c r="EXG21" t="s">
        <v>6984</v>
      </c>
      <c r="EXH21" t="s">
        <v>6984</v>
      </c>
      <c r="EXI21" t="s">
        <v>6984</v>
      </c>
      <c r="EXJ21" t="s">
        <v>6984</v>
      </c>
      <c r="EXK21" t="s">
        <v>6984</v>
      </c>
      <c r="EXL21" t="s">
        <v>6984</v>
      </c>
      <c r="EXM21" t="s">
        <v>6984</v>
      </c>
      <c r="EXN21" t="s">
        <v>6984</v>
      </c>
      <c r="EXO21" t="s">
        <v>6984</v>
      </c>
      <c r="EXP21" t="s">
        <v>6984</v>
      </c>
      <c r="EXQ21" t="s">
        <v>6984</v>
      </c>
      <c r="EXR21" t="s">
        <v>6984</v>
      </c>
      <c r="EXS21" t="s">
        <v>6984</v>
      </c>
      <c r="EXT21" t="s">
        <v>6984</v>
      </c>
      <c r="EXU21" t="s">
        <v>6984</v>
      </c>
      <c r="EXV21" t="s">
        <v>6984</v>
      </c>
      <c r="EXW21" t="s">
        <v>6984</v>
      </c>
      <c r="EXX21" t="s">
        <v>6984</v>
      </c>
      <c r="EXY21" t="s">
        <v>6984</v>
      </c>
      <c r="EXZ21" t="s">
        <v>6984</v>
      </c>
      <c r="EYA21" t="s">
        <v>6984</v>
      </c>
      <c r="EYB21" t="s">
        <v>6984</v>
      </c>
      <c r="EYC21" t="s">
        <v>6984</v>
      </c>
      <c r="EYD21" t="s">
        <v>6984</v>
      </c>
      <c r="EYE21" t="s">
        <v>6984</v>
      </c>
      <c r="EYF21" t="s">
        <v>6984</v>
      </c>
      <c r="EYG21" t="s">
        <v>6984</v>
      </c>
      <c r="EYH21" t="s">
        <v>6984</v>
      </c>
      <c r="EYI21" t="s">
        <v>6984</v>
      </c>
      <c r="EYJ21" t="s">
        <v>6984</v>
      </c>
      <c r="EYK21" t="s">
        <v>6984</v>
      </c>
      <c r="EYL21" t="s">
        <v>6984</v>
      </c>
      <c r="EYM21" t="s">
        <v>6984</v>
      </c>
      <c r="EYN21" t="s">
        <v>6984</v>
      </c>
      <c r="EYO21" t="s">
        <v>6984</v>
      </c>
      <c r="EYP21" t="s">
        <v>6984</v>
      </c>
      <c r="EYQ21" t="s">
        <v>6984</v>
      </c>
      <c r="EYR21" t="s">
        <v>6984</v>
      </c>
      <c r="EYS21" t="s">
        <v>6984</v>
      </c>
      <c r="EYT21" t="s">
        <v>6984</v>
      </c>
      <c r="EYU21" t="s">
        <v>6984</v>
      </c>
      <c r="EYV21" t="s">
        <v>6984</v>
      </c>
      <c r="EYW21" t="s">
        <v>6984</v>
      </c>
      <c r="EYX21" t="s">
        <v>6984</v>
      </c>
      <c r="EYY21" t="s">
        <v>6984</v>
      </c>
      <c r="EYZ21" t="s">
        <v>6984</v>
      </c>
      <c r="EZA21" t="s">
        <v>6984</v>
      </c>
      <c r="EZB21" t="s">
        <v>6984</v>
      </c>
      <c r="EZC21" t="s">
        <v>6984</v>
      </c>
      <c r="EZD21" t="s">
        <v>6984</v>
      </c>
      <c r="EZE21" t="s">
        <v>6984</v>
      </c>
      <c r="EZF21" t="s">
        <v>6984</v>
      </c>
      <c r="EZG21" t="s">
        <v>6984</v>
      </c>
      <c r="EZH21" t="s">
        <v>6984</v>
      </c>
      <c r="EZI21" t="s">
        <v>6984</v>
      </c>
      <c r="EZJ21" t="s">
        <v>6984</v>
      </c>
      <c r="EZK21" t="s">
        <v>6984</v>
      </c>
      <c r="EZL21" t="s">
        <v>6984</v>
      </c>
      <c r="EZM21" t="s">
        <v>6984</v>
      </c>
      <c r="EZN21" t="s">
        <v>6984</v>
      </c>
      <c r="EZO21" t="s">
        <v>6984</v>
      </c>
      <c r="EZP21" t="s">
        <v>6984</v>
      </c>
      <c r="EZQ21" t="s">
        <v>6984</v>
      </c>
      <c r="EZR21" t="s">
        <v>6984</v>
      </c>
      <c r="EZS21" t="s">
        <v>6984</v>
      </c>
      <c r="EZT21" t="s">
        <v>6984</v>
      </c>
      <c r="EZU21" t="s">
        <v>6984</v>
      </c>
      <c r="EZV21" t="s">
        <v>6984</v>
      </c>
      <c r="EZW21" t="s">
        <v>6984</v>
      </c>
      <c r="EZX21" t="s">
        <v>6984</v>
      </c>
      <c r="EZY21" t="s">
        <v>6984</v>
      </c>
      <c r="EZZ21" t="s">
        <v>6984</v>
      </c>
      <c r="FAA21" t="s">
        <v>6984</v>
      </c>
      <c r="FAB21" t="s">
        <v>6984</v>
      </c>
      <c r="FAC21" t="s">
        <v>6984</v>
      </c>
      <c r="FAD21" t="s">
        <v>6984</v>
      </c>
      <c r="FAE21" t="s">
        <v>6984</v>
      </c>
      <c r="FAF21" t="s">
        <v>6984</v>
      </c>
      <c r="FAG21" t="s">
        <v>6984</v>
      </c>
      <c r="FAH21" t="s">
        <v>6984</v>
      </c>
      <c r="FAI21" t="s">
        <v>6984</v>
      </c>
      <c r="FAJ21" t="s">
        <v>6984</v>
      </c>
      <c r="FAK21" t="s">
        <v>6984</v>
      </c>
      <c r="FAL21" t="s">
        <v>6984</v>
      </c>
      <c r="FAM21" t="s">
        <v>6984</v>
      </c>
      <c r="FAN21" t="s">
        <v>6984</v>
      </c>
      <c r="FAO21" t="s">
        <v>6984</v>
      </c>
      <c r="FAP21" t="s">
        <v>6984</v>
      </c>
      <c r="FAQ21" t="s">
        <v>6984</v>
      </c>
      <c r="FAR21" t="s">
        <v>6984</v>
      </c>
      <c r="FAS21" t="s">
        <v>6984</v>
      </c>
      <c r="FAT21" t="s">
        <v>6984</v>
      </c>
      <c r="FAU21" t="s">
        <v>6984</v>
      </c>
      <c r="FAV21" t="s">
        <v>6984</v>
      </c>
      <c r="FAW21" t="s">
        <v>6984</v>
      </c>
      <c r="FAX21" t="s">
        <v>6984</v>
      </c>
      <c r="FAY21" t="s">
        <v>6984</v>
      </c>
      <c r="FAZ21" t="s">
        <v>6984</v>
      </c>
      <c r="FBA21" t="s">
        <v>6984</v>
      </c>
      <c r="FBB21" t="s">
        <v>6984</v>
      </c>
      <c r="FBC21" t="s">
        <v>6984</v>
      </c>
      <c r="FBD21" t="s">
        <v>6984</v>
      </c>
      <c r="FBE21" t="s">
        <v>6984</v>
      </c>
      <c r="FBF21" t="s">
        <v>6984</v>
      </c>
      <c r="FBG21" t="s">
        <v>6984</v>
      </c>
      <c r="FBH21" t="s">
        <v>6984</v>
      </c>
      <c r="FBI21" t="s">
        <v>6984</v>
      </c>
      <c r="FBJ21" t="s">
        <v>6984</v>
      </c>
      <c r="FBK21" t="s">
        <v>6984</v>
      </c>
      <c r="FBL21" t="s">
        <v>6984</v>
      </c>
      <c r="FBM21" t="s">
        <v>6984</v>
      </c>
      <c r="FBN21" t="s">
        <v>6984</v>
      </c>
      <c r="FBO21" t="s">
        <v>6984</v>
      </c>
      <c r="FBP21" t="s">
        <v>6984</v>
      </c>
      <c r="FBQ21" t="s">
        <v>6984</v>
      </c>
      <c r="FBR21" t="s">
        <v>6984</v>
      </c>
      <c r="FBS21" t="s">
        <v>6984</v>
      </c>
      <c r="FBT21" t="s">
        <v>6984</v>
      </c>
      <c r="FBU21" t="s">
        <v>6984</v>
      </c>
      <c r="FBV21" t="s">
        <v>6984</v>
      </c>
      <c r="FBW21" t="s">
        <v>6984</v>
      </c>
      <c r="FBX21" t="s">
        <v>6984</v>
      </c>
      <c r="FBY21" t="s">
        <v>6984</v>
      </c>
      <c r="FBZ21" t="s">
        <v>6984</v>
      </c>
      <c r="FCA21" t="s">
        <v>6984</v>
      </c>
      <c r="FCB21" t="s">
        <v>6984</v>
      </c>
      <c r="FCC21" t="s">
        <v>6984</v>
      </c>
      <c r="FCD21" t="s">
        <v>6984</v>
      </c>
      <c r="FCE21" t="s">
        <v>6984</v>
      </c>
      <c r="FCF21" t="s">
        <v>6984</v>
      </c>
      <c r="FCG21" t="s">
        <v>6984</v>
      </c>
      <c r="FCH21" t="s">
        <v>6984</v>
      </c>
      <c r="FCI21" t="s">
        <v>6984</v>
      </c>
      <c r="FCJ21" t="s">
        <v>6984</v>
      </c>
      <c r="FCK21" t="s">
        <v>6984</v>
      </c>
      <c r="FCL21" t="s">
        <v>6984</v>
      </c>
      <c r="FCM21" t="s">
        <v>6984</v>
      </c>
      <c r="FCN21" t="s">
        <v>6984</v>
      </c>
      <c r="FCO21" t="s">
        <v>6984</v>
      </c>
      <c r="FCP21" t="s">
        <v>6984</v>
      </c>
      <c r="FCQ21" t="s">
        <v>6984</v>
      </c>
      <c r="FCR21" t="s">
        <v>6984</v>
      </c>
      <c r="FCS21" t="s">
        <v>6984</v>
      </c>
      <c r="FCT21" t="s">
        <v>6984</v>
      </c>
      <c r="FCU21" t="s">
        <v>6984</v>
      </c>
      <c r="FCV21" t="s">
        <v>6984</v>
      </c>
      <c r="FCW21" t="s">
        <v>6984</v>
      </c>
      <c r="FCX21" t="s">
        <v>6984</v>
      </c>
      <c r="FCY21" t="s">
        <v>6984</v>
      </c>
      <c r="FCZ21" t="s">
        <v>6984</v>
      </c>
      <c r="FDA21" t="s">
        <v>6984</v>
      </c>
      <c r="FDB21" t="s">
        <v>6984</v>
      </c>
      <c r="FDC21" t="s">
        <v>6984</v>
      </c>
      <c r="FDD21" t="s">
        <v>6984</v>
      </c>
      <c r="FDE21" t="s">
        <v>6984</v>
      </c>
      <c r="FDF21" t="s">
        <v>6984</v>
      </c>
      <c r="FDG21" t="s">
        <v>6984</v>
      </c>
      <c r="FDH21" t="s">
        <v>6984</v>
      </c>
      <c r="FDI21" t="s">
        <v>6984</v>
      </c>
      <c r="FDJ21" t="s">
        <v>6984</v>
      </c>
      <c r="FDK21" t="s">
        <v>6984</v>
      </c>
      <c r="FDL21" t="s">
        <v>6984</v>
      </c>
      <c r="FDM21" t="s">
        <v>6984</v>
      </c>
      <c r="FDN21" t="s">
        <v>6984</v>
      </c>
      <c r="FDO21" t="s">
        <v>6984</v>
      </c>
      <c r="FDP21" t="s">
        <v>6984</v>
      </c>
      <c r="FDQ21" t="s">
        <v>6984</v>
      </c>
      <c r="FDR21" t="s">
        <v>6984</v>
      </c>
      <c r="FDS21" t="s">
        <v>6984</v>
      </c>
      <c r="FDT21" t="s">
        <v>6984</v>
      </c>
      <c r="FDU21" t="s">
        <v>6984</v>
      </c>
      <c r="FDV21" t="s">
        <v>6984</v>
      </c>
      <c r="FDW21" t="s">
        <v>6984</v>
      </c>
      <c r="FDX21" t="s">
        <v>6984</v>
      </c>
      <c r="FDY21" t="s">
        <v>6984</v>
      </c>
      <c r="FDZ21" t="s">
        <v>6984</v>
      </c>
      <c r="FEA21" t="s">
        <v>6984</v>
      </c>
      <c r="FEB21" t="s">
        <v>6984</v>
      </c>
      <c r="FEC21" t="s">
        <v>6984</v>
      </c>
      <c r="FED21" t="s">
        <v>6984</v>
      </c>
      <c r="FEE21" t="s">
        <v>6984</v>
      </c>
      <c r="FEF21" t="s">
        <v>6984</v>
      </c>
      <c r="FEG21" t="s">
        <v>6984</v>
      </c>
      <c r="FEH21" t="s">
        <v>6984</v>
      </c>
      <c r="FEI21" t="s">
        <v>6984</v>
      </c>
      <c r="FEJ21" t="s">
        <v>6984</v>
      </c>
      <c r="FEK21" t="s">
        <v>6984</v>
      </c>
      <c r="FEL21" t="s">
        <v>6984</v>
      </c>
      <c r="FEM21" t="s">
        <v>6984</v>
      </c>
      <c r="FEN21" t="s">
        <v>6984</v>
      </c>
      <c r="FEO21" t="s">
        <v>6984</v>
      </c>
      <c r="FEP21" t="s">
        <v>6984</v>
      </c>
      <c r="FEQ21" t="s">
        <v>6984</v>
      </c>
      <c r="FER21" t="s">
        <v>6984</v>
      </c>
      <c r="FES21" t="s">
        <v>6984</v>
      </c>
      <c r="FET21" t="s">
        <v>6984</v>
      </c>
      <c r="FEU21" t="s">
        <v>6984</v>
      </c>
      <c r="FEV21" t="s">
        <v>6984</v>
      </c>
      <c r="FEW21" t="s">
        <v>6984</v>
      </c>
      <c r="FEX21" t="s">
        <v>6984</v>
      </c>
      <c r="FEY21" t="s">
        <v>6984</v>
      </c>
      <c r="FEZ21" t="s">
        <v>6984</v>
      </c>
      <c r="FFA21" t="s">
        <v>6984</v>
      </c>
      <c r="FFB21" t="s">
        <v>6984</v>
      </c>
      <c r="FFC21" t="s">
        <v>6984</v>
      </c>
      <c r="FFD21" t="s">
        <v>6984</v>
      </c>
      <c r="FFE21" t="s">
        <v>6984</v>
      </c>
      <c r="FFF21" t="s">
        <v>6984</v>
      </c>
      <c r="FFG21" t="s">
        <v>6984</v>
      </c>
      <c r="FFH21" t="s">
        <v>6984</v>
      </c>
      <c r="FFI21" t="s">
        <v>6984</v>
      </c>
      <c r="FFJ21" t="s">
        <v>6984</v>
      </c>
      <c r="FFK21" t="s">
        <v>6984</v>
      </c>
      <c r="FFL21" t="s">
        <v>6984</v>
      </c>
      <c r="FFM21" t="s">
        <v>6984</v>
      </c>
      <c r="FFN21" t="s">
        <v>6984</v>
      </c>
      <c r="FFO21" t="s">
        <v>6984</v>
      </c>
      <c r="FFP21" t="s">
        <v>6984</v>
      </c>
      <c r="FFQ21" t="s">
        <v>6984</v>
      </c>
      <c r="FFR21" t="s">
        <v>6984</v>
      </c>
      <c r="FFS21" t="s">
        <v>6984</v>
      </c>
      <c r="FFT21" t="s">
        <v>6984</v>
      </c>
      <c r="FFU21" t="s">
        <v>6984</v>
      </c>
      <c r="FFV21" t="s">
        <v>6984</v>
      </c>
      <c r="FFW21" t="s">
        <v>6984</v>
      </c>
      <c r="FFX21" t="s">
        <v>6984</v>
      </c>
      <c r="FFY21" t="s">
        <v>6984</v>
      </c>
      <c r="FFZ21" t="s">
        <v>6984</v>
      </c>
      <c r="FGA21" t="s">
        <v>6984</v>
      </c>
      <c r="FGB21" t="s">
        <v>6984</v>
      </c>
      <c r="FGC21" t="s">
        <v>6984</v>
      </c>
      <c r="FGD21" t="s">
        <v>6984</v>
      </c>
      <c r="FGE21" t="s">
        <v>6984</v>
      </c>
      <c r="FGF21" t="s">
        <v>6984</v>
      </c>
      <c r="FGG21" t="s">
        <v>6984</v>
      </c>
      <c r="FGH21" t="s">
        <v>6984</v>
      </c>
      <c r="FGI21" t="s">
        <v>6984</v>
      </c>
      <c r="FGJ21" t="s">
        <v>6984</v>
      </c>
      <c r="FGK21" t="s">
        <v>6984</v>
      </c>
      <c r="FGL21" t="s">
        <v>6984</v>
      </c>
      <c r="FGM21" t="s">
        <v>6984</v>
      </c>
      <c r="FGN21" t="s">
        <v>6984</v>
      </c>
      <c r="FGO21" t="s">
        <v>6984</v>
      </c>
      <c r="FGP21" t="s">
        <v>6984</v>
      </c>
      <c r="FGQ21" t="s">
        <v>6984</v>
      </c>
      <c r="FGR21" t="s">
        <v>6984</v>
      </c>
      <c r="FGS21" t="s">
        <v>6984</v>
      </c>
      <c r="FGT21" t="s">
        <v>6984</v>
      </c>
      <c r="FGU21" t="s">
        <v>6984</v>
      </c>
      <c r="FGV21" t="s">
        <v>6984</v>
      </c>
      <c r="FGW21" t="s">
        <v>6984</v>
      </c>
      <c r="FGX21" t="s">
        <v>6984</v>
      </c>
      <c r="FGY21" t="s">
        <v>6984</v>
      </c>
      <c r="FGZ21" t="s">
        <v>6984</v>
      </c>
      <c r="FHA21" t="s">
        <v>6984</v>
      </c>
      <c r="FHB21" t="s">
        <v>6984</v>
      </c>
      <c r="FHC21" t="s">
        <v>6984</v>
      </c>
      <c r="FHD21" t="s">
        <v>6984</v>
      </c>
      <c r="FHE21" t="s">
        <v>6984</v>
      </c>
      <c r="FHF21" t="s">
        <v>6984</v>
      </c>
      <c r="FHG21" t="s">
        <v>6984</v>
      </c>
      <c r="FHH21" t="s">
        <v>6984</v>
      </c>
      <c r="FHI21" t="s">
        <v>6984</v>
      </c>
      <c r="FHJ21" t="s">
        <v>6984</v>
      </c>
      <c r="FHK21" t="s">
        <v>6984</v>
      </c>
      <c r="FHL21" t="s">
        <v>6984</v>
      </c>
      <c r="FHM21" t="s">
        <v>6984</v>
      </c>
      <c r="FHN21" t="s">
        <v>6984</v>
      </c>
      <c r="FHO21" t="s">
        <v>6984</v>
      </c>
      <c r="FHP21" t="s">
        <v>6984</v>
      </c>
      <c r="FHQ21" t="s">
        <v>6984</v>
      </c>
      <c r="FHR21" t="s">
        <v>6984</v>
      </c>
      <c r="FHS21" t="s">
        <v>6984</v>
      </c>
      <c r="FHT21" t="s">
        <v>6984</v>
      </c>
      <c r="FHU21" t="s">
        <v>6984</v>
      </c>
      <c r="FHV21" t="s">
        <v>6984</v>
      </c>
      <c r="FHW21" t="s">
        <v>6984</v>
      </c>
      <c r="FHX21" t="s">
        <v>6984</v>
      </c>
      <c r="FHY21" t="s">
        <v>6984</v>
      </c>
      <c r="FHZ21" t="s">
        <v>6984</v>
      </c>
      <c r="FIA21" t="s">
        <v>6984</v>
      </c>
      <c r="FIB21" t="s">
        <v>6984</v>
      </c>
      <c r="FIC21" t="s">
        <v>6984</v>
      </c>
      <c r="FID21" t="s">
        <v>6984</v>
      </c>
      <c r="FIE21" t="s">
        <v>6984</v>
      </c>
      <c r="FIF21" t="s">
        <v>6984</v>
      </c>
      <c r="FIG21" t="s">
        <v>6984</v>
      </c>
      <c r="FIH21" t="s">
        <v>6984</v>
      </c>
      <c r="FII21" t="s">
        <v>6984</v>
      </c>
      <c r="FIJ21" t="s">
        <v>6984</v>
      </c>
      <c r="FIK21" t="s">
        <v>6984</v>
      </c>
      <c r="FIL21" t="s">
        <v>6984</v>
      </c>
      <c r="FIM21" t="s">
        <v>6984</v>
      </c>
      <c r="FIN21" t="s">
        <v>6984</v>
      </c>
      <c r="FIO21" t="s">
        <v>6984</v>
      </c>
      <c r="FIP21" t="s">
        <v>6984</v>
      </c>
      <c r="FIQ21" t="s">
        <v>6984</v>
      </c>
      <c r="FIR21" t="s">
        <v>6984</v>
      </c>
      <c r="FIS21" t="s">
        <v>6984</v>
      </c>
      <c r="FIT21" t="s">
        <v>6984</v>
      </c>
      <c r="FIU21" t="s">
        <v>6984</v>
      </c>
      <c r="FIV21" t="s">
        <v>6984</v>
      </c>
      <c r="FIW21" t="s">
        <v>6984</v>
      </c>
      <c r="FIX21" t="s">
        <v>6984</v>
      </c>
      <c r="FIY21" t="s">
        <v>6984</v>
      </c>
      <c r="FIZ21" t="s">
        <v>6984</v>
      </c>
      <c r="FJA21" t="s">
        <v>6984</v>
      </c>
      <c r="FJB21" t="s">
        <v>6984</v>
      </c>
      <c r="FJC21" t="s">
        <v>6984</v>
      </c>
      <c r="FJD21" t="s">
        <v>6984</v>
      </c>
      <c r="FJE21" t="s">
        <v>6984</v>
      </c>
      <c r="FJF21" t="s">
        <v>6984</v>
      </c>
      <c r="FJG21" t="s">
        <v>6984</v>
      </c>
      <c r="FJH21" t="s">
        <v>6984</v>
      </c>
      <c r="FJI21" t="s">
        <v>6984</v>
      </c>
      <c r="FJJ21" t="s">
        <v>6984</v>
      </c>
      <c r="FJK21" t="s">
        <v>6984</v>
      </c>
      <c r="FJL21" t="s">
        <v>6984</v>
      </c>
      <c r="FJM21" t="s">
        <v>6984</v>
      </c>
      <c r="FJN21" t="s">
        <v>6984</v>
      </c>
      <c r="FJO21" t="s">
        <v>6984</v>
      </c>
      <c r="FJP21" t="s">
        <v>6984</v>
      </c>
      <c r="FJQ21" t="s">
        <v>6984</v>
      </c>
      <c r="FJR21" t="s">
        <v>6984</v>
      </c>
      <c r="FJS21" t="s">
        <v>6984</v>
      </c>
      <c r="FJT21" t="s">
        <v>6984</v>
      </c>
      <c r="FJU21" t="s">
        <v>6984</v>
      </c>
      <c r="FJV21" t="s">
        <v>6984</v>
      </c>
      <c r="FJW21" t="s">
        <v>6984</v>
      </c>
      <c r="FJX21" t="s">
        <v>6984</v>
      </c>
      <c r="FJY21" t="s">
        <v>6984</v>
      </c>
      <c r="FJZ21" t="s">
        <v>6984</v>
      </c>
      <c r="FKA21" t="s">
        <v>6984</v>
      </c>
      <c r="FKB21" t="s">
        <v>6984</v>
      </c>
      <c r="FKC21" t="s">
        <v>6984</v>
      </c>
      <c r="FKD21" t="s">
        <v>6984</v>
      </c>
      <c r="FKE21" t="s">
        <v>6984</v>
      </c>
      <c r="FKF21" t="s">
        <v>6984</v>
      </c>
      <c r="FKG21" t="s">
        <v>6984</v>
      </c>
      <c r="FKH21" t="s">
        <v>6984</v>
      </c>
      <c r="FKI21" t="s">
        <v>6984</v>
      </c>
      <c r="FKJ21" t="s">
        <v>6984</v>
      </c>
      <c r="FKK21" t="s">
        <v>6984</v>
      </c>
      <c r="FKL21" t="s">
        <v>6984</v>
      </c>
      <c r="FKM21" t="s">
        <v>6984</v>
      </c>
      <c r="FKN21" t="s">
        <v>6984</v>
      </c>
      <c r="FKO21" t="s">
        <v>6984</v>
      </c>
      <c r="FKP21" t="s">
        <v>6984</v>
      </c>
      <c r="FKQ21" t="s">
        <v>6984</v>
      </c>
      <c r="FKR21" t="s">
        <v>6984</v>
      </c>
      <c r="FKS21" t="s">
        <v>6984</v>
      </c>
      <c r="FKT21" t="s">
        <v>6984</v>
      </c>
      <c r="FKU21" t="s">
        <v>6984</v>
      </c>
      <c r="FKV21" t="s">
        <v>6984</v>
      </c>
      <c r="FKW21" t="s">
        <v>6984</v>
      </c>
      <c r="FKX21" t="s">
        <v>6984</v>
      </c>
      <c r="FKY21" t="s">
        <v>6984</v>
      </c>
      <c r="FKZ21" t="s">
        <v>6984</v>
      </c>
      <c r="FLA21" t="s">
        <v>6984</v>
      </c>
      <c r="FLB21" t="s">
        <v>6984</v>
      </c>
      <c r="FLC21" t="s">
        <v>6984</v>
      </c>
      <c r="FLD21" t="s">
        <v>6984</v>
      </c>
      <c r="FLE21" t="s">
        <v>6984</v>
      </c>
      <c r="FLF21" t="s">
        <v>6984</v>
      </c>
      <c r="FLG21" t="s">
        <v>6984</v>
      </c>
      <c r="FLH21" t="s">
        <v>6984</v>
      </c>
      <c r="FLI21" t="s">
        <v>6984</v>
      </c>
      <c r="FLJ21" t="s">
        <v>6984</v>
      </c>
      <c r="FLK21" t="s">
        <v>6984</v>
      </c>
      <c r="FLL21" t="s">
        <v>6984</v>
      </c>
      <c r="FLM21" t="s">
        <v>6984</v>
      </c>
      <c r="FLN21" t="s">
        <v>6984</v>
      </c>
      <c r="FLO21" t="s">
        <v>6984</v>
      </c>
      <c r="FLP21" t="s">
        <v>6984</v>
      </c>
      <c r="FLQ21" t="s">
        <v>6984</v>
      </c>
      <c r="FLR21" t="s">
        <v>6984</v>
      </c>
      <c r="FLS21" t="s">
        <v>6984</v>
      </c>
      <c r="FLT21" t="s">
        <v>6984</v>
      </c>
      <c r="FLU21" t="s">
        <v>6984</v>
      </c>
      <c r="FLV21" t="s">
        <v>6984</v>
      </c>
      <c r="FLW21" t="s">
        <v>6984</v>
      </c>
      <c r="FLX21" t="s">
        <v>6984</v>
      </c>
      <c r="FLY21" t="s">
        <v>6984</v>
      </c>
      <c r="FLZ21" t="s">
        <v>6984</v>
      </c>
      <c r="FMA21" t="s">
        <v>6984</v>
      </c>
      <c r="FMB21" t="s">
        <v>6984</v>
      </c>
      <c r="FMC21" t="s">
        <v>6984</v>
      </c>
      <c r="FMD21" t="s">
        <v>6984</v>
      </c>
      <c r="FME21" t="s">
        <v>6984</v>
      </c>
      <c r="FMF21" t="s">
        <v>6984</v>
      </c>
      <c r="FMG21" t="s">
        <v>6984</v>
      </c>
      <c r="FMH21" t="s">
        <v>6984</v>
      </c>
      <c r="FMI21" t="s">
        <v>6984</v>
      </c>
      <c r="FMJ21" t="s">
        <v>6984</v>
      </c>
      <c r="FMK21" t="s">
        <v>6984</v>
      </c>
      <c r="FML21" t="s">
        <v>6984</v>
      </c>
      <c r="FMM21" t="s">
        <v>6984</v>
      </c>
      <c r="FMN21" t="s">
        <v>6984</v>
      </c>
      <c r="FMO21" t="s">
        <v>6984</v>
      </c>
      <c r="FMP21" t="s">
        <v>6984</v>
      </c>
      <c r="FMQ21" t="s">
        <v>6984</v>
      </c>
      <c r="FMR21" t="s">
        <v>6984</v>
      </c>
      <c r="FMS21" t="s">
        <v>6984</v>
      </c>
      <c r="FMT21" t="s">
        <v>6984</v>
      </c>
      <c r="FMU21" t="s">
        <v>6984</v>
      </c>
      <c r="FMV21" t="s">
        <v>6984</v>
      </c>
      <c r="FMW21" t="s">
        <v>6984</v>
      </c>
      <c r="FMX21" t="s">
        <v>6984</v>
      </c>
      <c r="FMY21" t="s">
        <v>6984</v>
      </c>
      <c r="FMZ21" t="s">
        <v>6984</v>
      </c>
      <c r="FNA21" t="s">
        <v>6984</v>
      </c>
      <c r="FNB21" t="s">
        <v>6984</v>
      </c>
      <c r="FNC21" t="s">
        <v>6984</v>
      </c>
      <c r="FND21" t="s">
        <v>6984</v>
      </c>
      <c r="FNE21" t="s">
        <v>6984</v>
      </c>
      <c r="FNF21" t="s">
        <v>6984</v>
      </c>
      <c r="FNG21" t="s">
        <v>6984</v>
      </c>
      <c r="FNH21" t="s">
        <v>6984</v>
      </c>
      <c r="FNI21" t="s">
        <v>6984</v>
      </c>
      <c r="FNJ21" t="s">
        <v>6984</v>
      </c>
      <c r="FNK21" t="s">
        <v>6984</v>
      </c>
      <c r="FNL21" t="s">
        <v>6984</v>
      </c>
      <c r="FNM21" t="s">
        <v>6984</v>
      </c>
      <c r="FNN21" t="s">
        <v>6984</v>
      </c>
      <c r="FNO21" t="s">
        <v>6984</v>
      </c>
      <c r="FNP21" t="s">
        <v>6984</v>
      </c>
      <c r="FNQ21" t="s">
        <v>6984</v>
      </c>
      <c r="FNR21" t="s">
        <v>6984</v>
      </c>
      <c r="FNS21" t="s">
        <v>6984</v>
      </c>
      <c r="FNT21" t="s">
        <v>6984</v>
      </c>
      <c r="FNU21" t="s">
        <v>6984</v>
      </c>
      <c r="FNV21" t="s">
        <v>6984</v>
      </c>
      <c r="FNW21" t="s">
        <v>6984</v>
      </c>
      <c r="FNX21" t="s">
        <v>6984</v>
      </c>
      <c r="FNY21" t="s">
        <v>6984</v>
      </c>
      <c r="FNZ21" t="s">
        <v>6984</v>
      </c>
      <c r="FOA21" t="s">
        <v>6984</v>
      </c>
      <c r="FOB21" t="s">
        <v>6984</v>
      </c>
      <c r="FOC21" t="s">
        <v>6984</v>
      </c>
      <c r="FOD21" t="s">
        <v>6984</v>
      </c>
      <c r="FOE21" t="s">
        <v>6984</v>
      </c>
      <c r="FOF21" t="s">
        <v>6984</v>
      </c>
      <c r="FOG21" t="s">
        <v>6984</v>
      </c>
      <c r="FOH21" t="s">
        <v>6984</v>
      </c>
      <c r="FOI21" t="s">
        <v>6984</v>
      </c>
      <c r="FOJ21" t="s">
        <v>6984</v>
      </c>
      <c r="FOK21" t="s">
        <v>6984</v>
      </c>
      <c r="FOL21" t="s">
        <v>6984</v>
      </c>
      <c r="FOM21" t="s">
        <v>6984</v>
      </c>
      <c r="FON21" t="s">
        <v>6984</v>
      </c>
      <c r="FOO21" t="s">
        <v>6984</v>
      </c>
      <c r="FOP21" t="s">
        <v>6984</v>
      </c>
      <c r="FOQ21" t="s">
        <v>6984</v>
      </c>
      <c r="FOR21" t="s">
        <v>6984</v>
      </c>
      <c r="FOS21" t="s">
        <v>6984</v>
      </c>
      <c r="FOT21" t="s">
        <v>6984</v>
      </c>
      <c r="FOU21" t="s">
        <v>6984</v>
      </c>
      <c r="FOV21" t="s">
        <v>6984</v>
      </c>
      <c r="FOW21" t="s">
        <v>6984</v>
      </c>
      <c r="FOX21" t="s">
        <v>6984</v>
      </c>
      <c r="FOY21" t="s">
        <v>6984</v>
      </c>
      <c r="FOZ21" t="s">
        <v>6984</v>
      </c>
      <c r="FPA21" t="s">
        <v>6984</v>
      </c>
      <c r="FPB21" t="s">
        <v>6984</v>
      </c>
      <c r="FPC21" t="s">
        <v>6984</v>
      </c>
      <c r="FPD21" t="s">
        <v>6984</v>
      </c>
      <c r="FPE21" t="s">
        <v>6984</v>
      </c>
      <c r="FPF21" t="s">
        <v>6984</v>
      </c>
      <c r="FPG21" t="s">
        <v>6984</v>
      </c>
      <c r="FPH21" t="s">
        <v>6984</v>
      </c>
      <c r="FPI21" t="s">
        <v>6984</v>
      </c>
      <c r="FPJ21" t="s">
        <v>6984</v>
      </c>
      <c r="FPK21" t="s">
        <v>6984</v>
      </c>
      <c r="FPL21" t="s">
        <v>6984</v>
      </c>
      <c r="FPM21" t="s">
        <v>6984</v>
      </c>
      <c r="FPN21" t="s">
        <v>6984</v>
      </c>
      <c r="FPO21" t="s">
        <v>6984</v>
      </c>
      <c r="FPP21" t="s">
        <v>6984</v>
      </c>
      <c r="FPQ21" t="s">
        <v>6984</v>
      </c>
      <c r="FPR21" t="s">
        <v>6984</v>
      </c>
      <c r="FPS21" t="s">
        <v>6984</v>
      </c>
      <c r="FPT21" t="s">
        <v>6984</v>
      </c>
      <c r="FPU21" t="s">
        <v>6984</v>
      </c>
      <c r="FPV21" t="s">
        <v>6984</v>
      </c>
      <c r="FPW21" t="s">
        <v>6984</v>
      </c>
      <c r="FPX21" t="s">
        <v>6984</v>
      </c>
      <c r="FPY21" t="s">
        <v>6984</v>
      </c>
      <c r="FPZ21" t="s">
        <v>6984</v>
      </c>
      <c r="FQA21" t="s">
        <v>6984</v>
      </c>
      <c r="FQB21" t="s">
        <v>6984</v>
      </c>
      <c r="FQC21" t="s">
        <v>6984</v>
      </c>
      <c r="FQD21" t="s">
        <v>6984</v>
      </c>
      <c r="FQE21" t="s">
        <v>6984</v>
      </c>
      <c r="FQF21" t="s">
        <v>6984</v>
      </c>
      <c r="FQG21" t="s">
        <v>6984</v>
      </c>
      <c r="FQH21" t="s">
        <v>6984</v>
      </c>
      <c r="FQI21" t="s">
        <v>6984</v>
      </c>
      <c r="FQJ21" t="s">
        <v>6984</v>
      </c>
      <c r="FQK21" t="s">
        <v>6984</v>
      </c>
      <c r="FQL21" t="s">
        <v>6984</v>
      </c>
      <c r="FQM21" t="s">
        <v>6984</v>
      </c>
      <c r="FQN21" t="s">
        <v>6984</v>
      </c>
      <c r="FQO21" t="s">
        <v>6984</v>
      </c>
      <c r="FQP21" t="s">
        <v>6984</v>
      </c>
      <c r="FQQ21" t="s">
        <v>6984</v>
      </c>
      <c r="FQR21" t="s">
        <v>6984</v>
      </c>
      <c r="FQS21" t="s">
        <v>6984</v>
      </c>
      <c r="FQT21" t="s">
        <v>6984</v>
      </c>
      <c r="FQU21" t="s">
        <v>6984</v>
      </c>
      <c r="FQV21" t="s">
        <v>6984</v>
      </c>
      <c r="FQW21" t="s">
        <v>6984</v>
      </c>
      <c r="FQX21" t="s">
        <v>6984</v>
      </c>
      <c r="FQY21" t="s">
        <v>6984</v>
      </c>
      <c r="FQZ21" t="s">
        <v>6984</v>
      </c>
      <c r="FRA21" t="s">
        <v>6984</v>
      </c>
      <c r="FRB21" t="s">
        <v>6984</v>
      </c>
      <c r="FRC21" t="s">
        <v>6984</v>
      </c>
      <c r="FRD21" t="s">
        <v>6984</v>
      </c>
      <c r="FRE21" t="s">
        <v>6984</v>
      </c>
      <c r="FRF21" t="s">
        <v>6984</v>
      </c>
      <c r="FRG21" t="s">
        <v>6984</v>
      </c>
      <c r="FRH21" t="s">
        <v>6984</v>
      </c>
      <c r="FRI21" t="s">
        <v>6984</v>
      </c>
      <c r="FRJ21" t="s">
        <v>6984</v>
      </c>
      <c r="FRK21" t="s">
        <v>6984</v>
      </c>
      <c r="FRL21" t="s">
        <v>6984</v>
      </c>
      <c r="FRM21" t="s">
        <v>6984</v>
      </c>
      <c r="FRN21" t="s">
        <v>6984</v>
      </c>
      <c r="FRO21" t="s">
        <v>6984</v>
      </c>
      <c r="FRP21" t="s">
        <v>6984</v>
      </c>
      <c r="FRQ21" t="s">
        <v>6984</v>
      </c>
      <c r="FRR21" t="s">
        <v>6984</v>
      </c>
      <c r="FRS21" t="s">
        <v>6984</v>
      </c>
      <c r="FRT21" t="s">
        <v>6984</v>
      </c>
      <c r="FRU21" t="s">
        <v>6984</v>
      </c>
      <c r="FRV21" t="s">
        <v>6984</v>
      </c>
      <c r="FRW21" t="s">
        <v>6984</v>
      </c>
      <c r="FRX21" t="s">
        <v>6984</v>
      </c>
      <c r="FRY21" t="s">
        <v>6984</v>
      </c>
      <c r="FRZ21" t="s">
        <v>6984</v>
      </c>
      <c r="FSA21" t="s">
        <v>6984</v>
      </c>
      <c r="FSB21" t="s">
        <v>6984</v>
      </c>
      <c r="FSC21" t="s">
        <v>6984</v>
      </c>
      <c r="FSD21" t="s">
        <v>6984</v>
      </c>
      <c r="FSE21" t="s">
        <v>6984</v>
      </c>
      <c r="FSF21" t="s">
        <v>6984</v>
      </c>
      <c r="FSG21" t="s">
        <v>6984</v>
      </c>
      <c r="FSH21" t="s">
        <v>6984</v>
      </c>
      <c r="FSI21" t="s">
        <v>6984</v>
      </c>
      <c r="FSJ21" t="s">
        <v>6984</v>
      </c>
      <c r="FSK21" t="s">
        <v>6984</v>
      </c>
      <c r="FSL21" t="s">
        <v>6984</v>
      </c>
      <c r="FSM21" t="s">
        <v>6984</v>
      </c>
      <c r="FSN21" t="s">
        <v>6984</v>
      </c>
      <c r="FSO21" t="s">
        <v>6984</v>
      </c>
      <c r="FSP21" t="s">
        <v>6984</v>
      </c>
      <c r="FSQ21" t="s">
        <v>6984</v>
      </c>
      <c r="FSR21" t="s">
        <v>6984</v>
      </c>
      <c r="FSS21" t="s">
        <v>6984</v>
      </c>
      <c r="FST21" t="s">
        <v>6984</v>
      </c>
      <c r="FSU21" t="s">
        <v>6984</v>
      </c>
      <c r="FSV21" t="s">
        <v>6984</v>
      </c>
      <c r="FSW21" t="s">
        <v>6984</v>
      </c>
      <c r="FSX21" t="s">
        <v>6984</v>
      </c>
      <c r="FSY21" t="s">
        <v>6984</v>
      </c>
      <c r="FSZ21" t="s">
        <v>6984</v>
      </c>
      <c r="FTA21" t="s">
        <v>6984</v>
      </c>
      <c r="FTB21" t="s">
        <v>6984</v>
      </c>
      <c r="FTC21" t="s">
        <v>6984</v>
      </c>
      <c r="FTD21" t="s">
        <v>6984</v>
      </c>
      <c r="FTE21" t="s">
        <v>6984</v>
      </c>
      <c r="FTF21" t="s">
        <v>6984</v>
      </c>
      <c r="FTG21" t="s">
        <v>6984</v>
      </c>
      <c r="FTH21" t="s">
        <v>6984</v>
      </c>
      <c r="FTI21" t="s">
        <v>6984</v>
      </c>
      <c r="FTJ21" t="s">
        <v>6984</v>
      </c>
      <c r="FTK21" t="s">
        <v>6984</v>
      </c>
      <c r="FTL21" t="s">
        <v>6984</v>
      </c>
      <c r="FTM21" t="s">
        <v>6984</v>
      </c>
      <c r="FTN21" t="s">
        <v>6984</v>
      </c>
      <c r="FTO21" t="s">
        <v>6984</v>
      </c>
      <c r="FTP21" t="s">
        <v>6984</v>
      </c>
      <c r="FTQ21" t="s">
        <v>6984</v>
      </c>
      <c r="FTR21" t="s">
        <v>6984</v>
      </c>
      <c r="FTS21" t="s">
        <v>6984</v>
      </c>
      <c r="FTT21" t="s">
        <v>6984</v>
      </c>
      <c r="FTU21" t="s">
        <v>6984</v>
      </c>
      <c r="FTV21" t="s">
        <v>6984</v>
      </c>
      <c r="FTW21" t="s">
        <v>6984</v>
      </c>
      <c r="FTX21" t="s">
        <v>6984</v>
      </c>
      <c r="FTY21" t="s">
        <v>6984</v>
      </c>
      <c r="FTZ21" t="s">
        <v>6984</v>
      </c>
      <c r="FUA21" t="s">
        <v>6984</v>
      </c>
      <c r="FUB21" t="s">
        <v>6984</v>
      </c>
      <c r="FUC21" t="s">
        <v>6984</v>
      </c>
      <c r="FUD21" t="s">
        <v>6984</v>
      </c>
      <c r="FUE21" t="s">
        <v>6984</v>
      </c>
      <c r="FUF21" t="s">
        <v>6984</v>
      </c>
      <c r="FUG21" t="s">
        <v>6984</v>
      </c>
      <c r="FUH21" t="s">
        <v>6984</v>
      </c>
      <c r="FUI21" t="s">
        <v>6984</v>
      </c>
      <c r="FUJ21" t="s">
        <v>6984</v>
      </c>
      <c r="FUK21" t="s">
        <v>6984</v>
      </c>
      <c r="FUL21" t="s">
        <v>6984</v>
      </c>
      <c r="FUM21" t="s">
        <v>6984</v>
      </c>
      <c r="FUN21" t="s">
        <v>6984</v>
      </c>
      <c r="FUO21" t="s">
        <v>6984</v>
      </c>
      <c r="FUP21" t="s">
        <v>6984</v>
      </c>
      <c r="FUQ21" t="s">
        <v>6984</v>
      </c>
      <c r="FUR21" t="s">
        <v>6984</v>
      </c>
      <c r="FUS21" t="s">
        <v>6984</v>
      </c>
      <c r="FUT21" t="s">
        <v>6984</v>
      </c>
      <c r="FUU21" t="s">
        <v>6984</v>
      </c>
      <c r="FUV21" t="s">
        <v>6984</v>
      </c>
      <c r="FUW21" t="s">
        <v>6984</v>
      </c>
      <c r="FUX21" t="s">
        <v>6984</v>
      </c>
      <c r="FUY21" t="s">
        <v>6984</v>
      </c>
      <c r="FUZ21" t="s">
        <v>6984</v>
      </c>
      <c r="FVA21" t="s">
        <v>6984</v>
      </c>
      <c r="FVB21" t="s">
        <v>6984</v>
      </c>
      <c r="FVC21" t="s">
        <v>6984</v>
      </c>
      <c r="FVD21" t="s">
        <v>6984</v>
      </c>
      <c r="FVE21" t="s">
        <v>6984</v>
      </c>
      <c r="FVF21" t="s">
        <v>6984</v>
      </c>
      <c r="FVG21" t="s">
        <v>6984</v>
      </c>
      <c r="FVH21" t="s">
        <v>6984</v>
      </c>
      <c r="FVI21" t="s">
        <v>6984</v>
      </c>
      <c r="FVJ21" t="s">
        <v>6984</v>
      </c>
      <c r="FVK21" t="s">
        <v>6984</v>
      </c>
      <c r="FVL21" t="s">
        <v>6984</v>
      </c>
      <c r="FVM21" t="s">
        <v>6984</v>
      </c>
      <c r="FVN21" t="s">
        <v>6984</v>
      </c>
      <c r="FVO21" t="s">
        <v>6984</v>
      </c>
      <c r="FVP21" t="s">
        <v>6984</v>
      </c>
      <c r="FVQ21" t="s">
        <v>6984</v>
      </c>
      <c r="FVR21" t="s">
        <v>6984</v>
      </c>
      <c r="FVS21" t="s">
        <v>6984</v>
      </c>
      <c r="FVT21" t="s">
        <v>6984</v>
      </c>
      <c r="FVU21" t="s">
        <v>6984</v>
      </c>
      <c r="FVV21" t="s">
        <v>6984</v>
      </c>
      <c r="FVW21" t="s">
        <v>6984</v>
      </c>
      <c r="FVX21" t="s">
        <v>6984</v>
      </c>
      <c r="FVY21" t="s">
        <v>6984</v>
      </c>
      <c r="FVZ21" t="s">
        <v>6984</v>
      </c>
      <c r="FWA21" t="s">
        <v>6984</v>
      </c>
      <c r="FWB21" t="s">
        <v>6984</v>
      </c>
      <c r="FWC21" t="s">
        <v>6984</v>
      </c>
      <c r="FWD21" t="s">
        <v>6984</v>
      </c>
      <c r="FWE21" t="s">
        <v>6984</v>
      </c>
      <c r="FWF21" t="s">
        <v>6984</v>
      </c>
      <c r="FWG21" t="s">
        <v>6984</v>
      </c>
      <c r="FWH21" t="s">
        <v>6984</v>
      </c>
      <c r="FWI21" t="s">
        <v>6984</v>
      </c>
      <c r="FWJ21" t="s">
        <v>6984</v>
      </c>
      <c r="FWK21" t="s">
        <v>6984</v>
      </c>
      <c r="FWL21" t="s">
        <v>6984</v>
      </c>
      <c r="FWM21" t="s">
        <v>6984</v>
      </c>
      <c r="FWN21" t="s">
        <v>6984</v>
      </c>
      <c r="FWO21" t="s">
        <v>6984</v>
      </c>
      <c r="FWP21" t="s">
        <v>6984</v>
      </c>
      <c r="FWQ21" t="s">
        <v>6984</v>
      </c>
      <c r="FWR21" t="s">
        <v>6984</v>
      </c>
      <c r="FWS21" t="s">
        <v>6984</v>
      </c>
      <c r="FWT21" t="s">
        <v>6984</v>
      </c>
      <c r="FWU21" t="s">
        <v>6984</v>
      </c>
      <c r="FWV21" t="s">
        <v>6984</v>
      </c>
      <c r="FWW21" t="s">
        <v>6984</v>
      </c>
      <c r="FWX21" t="s">
        <v>6984</v>
      </c>
      <c r="FWY21" t="s">
        <v>6984</v>
      </c>
      <c r="FWZ21" t="s">
        <v>6984</v>
      </c>
      <c r="FXA21" t="s">
        <v>6984</v>
      </c>
      <c r="FXB21" t="s">
        <v>6984</v>
      </c>
      <c r="FXC21" t="s">
        <v>6984</v>
      </c>
      <c r="FXD21" t="s">
        <v>6984</v>
      </c>
      <c r="FXE21" t="s">
        <v>6984</v>
      </c>
      <c r="FXF21" t="s">
        <v>6984</v>
      </c>
      <c r="FXG21" t="s">
        <v>6984</v>
      </c>
      <c r="FXH21" t="s">
        <v>6984</v>
      </c>
      <c r="FXI21" t="s">
        <v>6984</v>
      </c>
      <c r="FXJ21" t="s">
        <v>6984</v>
      </c>
      <c r="FXK21" t="s">
        <v>6984</v>
      </c>
      <c r="FXL21" t="s">
        <v>6984</v>
      </c>
      <c r="FXM21" t="s">
        <v>6984</v>
      </c>
      <c r="FXN21" t="s">
        <v>6984</v>
      </c>
      <c r="FXO21" t="s">
        <v>6984</v>
      </c>
      <c r="FXP21" t="s">
        <v>6984</v>
      </c>
      <c r="FXQ21" t="s">
        <v>6984</v>
      </c>
      <c r="FXR21" t="s">
        <v>6984</v>
      </c>
      <c r="FXS21" t="s">
        <v>6984</v>
      </c>
      <c r="FXT21" t="s">
        <v>6984</v>
      </c>
      <c r="FXU21" t="s">
        <v>6984</v>
      </c>
      <c r="FXV21" t="s">
        <v>6984</v>
      </c>
      <c r="FXW21" t="s">
        <v>6984</v>
      </c>
      <c r="FXX21" t="s">
        <v>6984</v>
      </c>
      <c r="FXY21" t="s">
        <v>6984</v>
      </c>
      <c r="FXZ21" t="s">
        <v>6984</v>
      </c>
      <c r="FYA21" t="s">
        <v>6984</v>
      </c>
      <c r="FYB21" t="s">
        <v>6984</v>
      </c>
      <c r="FYC21" t="s">
        <v>6984</v>
      </c>
      <c r="FYD21" t="s">
        <v>6984</v>
      </c>
      <c r="FYE21" t="s">
        <v>6984</v>
      </c>
      <c r="FYF21" t="s">
        <v>6984</v>
      </c>
      <c r="FYG21" t="s">
        <v>6984</v>
      </c>
      <c r="FYH21" t="s">
        <v>6984</v>
      </c>
      <c r="FYI21" t="s">
        <v>6984</v>
      </c>
      <c r="FYJ21" t="s">
        <v>6984</v>
      </c>
      <c r="FYK21" t="s">
        <v>6984</v>
      </c>
      <c r="FYL21" t="s">
        <v>6984</v>
      </c>
      <c r="FYM21" t="s">
        <v>6984</v>
      </c>
      <c r="FYN21" t="s">
        <v>6984</v>
      </c>
      <c r="FYO21" t="s">
        <v>6984</v>
      </c>
      <c r="FYP21" t="s">
        <v>6984</v>
      </c>
      <c r="FYQ21" t="s">
        <v>6984</v>
      </c>
      <c r="FYR21" t="s">
        <v>6984</v>
      </c>
      <c r="FYS21" t="s">
        <v>6984</v>
      </c>
      <c r="FYT21" t="s">
        <v>6984</v>
      </c>
      <c r="FYU21" t="s">
        <v>6984</v>
      </c>
      <c r="FYV21" t="s">
        <v>6984</v>
      </c>
      <c r="FYW21" t="s">
        <v>6984</v>
      </c>
      <c r="FYX21" t="s">
        <v>6984</v>
      </c>
      <c r="FYY21" t="s">
        <v>6984</v>
      </c>
      <c r="FYZ21" t="s">
        <v>6984</v>
      </c>
      <c r="FZA21" t="s">
        <v>6984</v>
      </c>
      <c r="FZB21" t="s">
        <v>6984</v>
      </c>
      <c r="FZC21" t="s">
        <v>6984</v>
      </c>
      <c r="FZD21" t="s">
        <v>6984</v>
      </c>
      <c r="FZE21" t="s">
        <v>6984</v>
      </c>
      <c r="FZF21" t="s">
        <v>6984</v>
      </c>
      <c r="FZG21" t="s">
        <v>6984</v>
      </c>
      <c r="FZH21" t="s">
        <v>6984</v>
      </c>
      <c r="FZI21" t="s">
        <v>6984</v>
      </c>
      <c r="FZJ21" t="s">
        <v>6984</v>
      </c>
      <c r="FZK21" t="s">
        <v>6984</v>
      </c>
      <c r="FZL21" t="s">
        <v>6984</v>
      </c>
      <c r="FZM21" t="s">
        <v>6984</v>
      </c>
      <c r="FZN21" t="s">
        <v>6984</v>
      </c>
      <c r="FZO21" t="s">
        <v>6984</v>
      </c>
      <c r="FZP21" t="s">
        <v>6984</v>
      </c>
      <c r="FZQ21" t="s">
        <v>6984</v>
      </c>
      <c r="FZR21" t="s">
        <v>6984</v>
      </c>
      <c r="FZS21" t="s">
        <v>6984</v>
      </c>
      <c r="FZT21" t="s">
        <v>6984</v>
      </c>
      <c r="FZU21" t="s">
        <v>6984</v>
      </c>
      <c r="FZV21" t="s">
        <v>6984</v>
      </c>
      <c r="FZW21" t="s">
        <v>6984</v>
      </c>
      <c r="FZX21" t="s">
        <v>6984</v>
      </c>
      <c r="FZY21" t="s">
        <v>6984</v>
      </c>
      <c r="FZZ21" t="s">
        <v>6984</v>
      </c>
      <c r="GAA21" t="s">
        <v>6984</v>
      </c>
      <c r="GAB21" t="s">
        <v>6984</v>
      </c>
      <c r="GAC21" t="s">
        <v>6984</v>
      </c>
      <c r="GAD21" t="s">
        <v>6984</v>
      </c>
      <c r="GAE21" t="s">
        <v>6984</v>
      </c>
      <c r="GAF21" t="s">
        <v>6984</v>
      </c>
      <c r="GAG21" t="s">
        <v>6984</v>
      </c>
      <c r="GAH21" t="s">
        <v>6984</v>
      </c>
      <c r="GAI21" t="s">
        <v>6984</v>
      </c>
      <c r="GAJ21" t="s">
        <v>6984</v>
      </c>
      <c r="GAK21" t="s">
        <v>6984</v>
      </c>
      <c r="GAL21" t="s">
        <v>6984</v>
      </c>
      <c r="GAM21" t="s">
        <v>6984</v>
      </c>
      <c r="GAN21" t="s">
        <v>6984</v>
      </c>
      <c r="GAO21" t="s">
        <v>6984</v>
      </c>
      <c r="GAP21" t="s">
        <v>6984</v>
      </c>
      <c r="GAQ21" t="s">
        <v>6984</v>
      </c>
      <c r="GAR21" t="s">
        <v>6984</v>
      </c>
      <c r="GAS21" t="s">
        <v>6984</v>
      </c>
      <c r="GAT21" t="s">
        <v>6984</v>
      </c>
      <c r="GAU21" t="s">
        <v>6984</v>
      </c>
      <c r="GAV21" t="s">
        <v>6984</v>
      </c>
      <c r="GAW21" t="s">
        <v>6984</v>
      </c>
      <c r="GAX21" t="s">
        <v>6984</v>
      </c>
      <c r="GAY21" t="s">
        <v>6984</v>
      </c>
      <c r="GAZ21" t="s">
        <v>6984</v>
      </c>
      <c r="GBA21" t="s">
        <v>6984</v>
      </c>
      <c r="GBB21" t="s">
        <v>6984</v>
      </c>
      <c r="GBC21" t="s">
        <v>6984</v>
      </c>
      <c r="GBD21" t="s">
        <v>6984</v>
      </c>
      <c r="GBE21" t="s">
        <v>6984</v>
      </c>
      <c r="GBF21" t="s">
        <v>6984</v>
      </c>
      <c r="GBG21" t="s">
        <v>6984</v>
      </c>
      <c r="GBH21" t="s">
        <v>6984</v>
      </c>
      <c r="GBI21" t="s">
        <v>6984</v>
      </c>
      <c r="GBJ21" t="s">
        <v>6984</v>
      </c>
      <c r="GBK21" t="s">
        <v>6984</v>
      </c>
      <c r="GBL21" t="s">
        <v>6984</v>
      </c>
      <c r="GBM21" t="s">
        <v>6984</v>
      </c>
      <c r="GBN21" t="s">
        <v>6984</v>
      </c>
      <c r="GBO21" t="s">
        <v>6984</v>
      </c>
      <c r="GBP21" t="s">
        <v>6984</v>
      </c>
      <c r="GBQ21" t="s">
        <v>6984</v>
      </c>
      <c r="GBR21" t="s">
        <v>6984</v>
      </c>
      <c r="GBS21" t="s">
        <v>6984</v>
      </c>
      <c r="GBT21" t="s">
        <v>6984</v>
      </c>
      <c r="GBU21" t="s">
        <v>6984</v>
      </c>
      <c r="GBV21" t="s">
        <v>6984</v>
      </c>
      <c r="GBW21" t="s">
        <v>6984</v>
      </c>
      <c r="GBX21" t="s">
        <v>6984</v>
      </c>
      <c r="GBY21" t="s">
        <v>6984</v>
      </c>
      <c r="GBZ21" t="s">
        <v>6984</v>
      </c>
      <c r="GCA21" t="s">
        <v>6984</v>
      </c>
      <c r="GCB21" t="s">
        <v>6984</v>
      </c>
      <c r="GCC21" t="s">
        <v>6984</v>
      </c>
      <c r="GCD21" t="s">
        <v>6984</v>
      </c>
      <c r="GCE21" t="s">
        <v>6984</v>
      </c>
      <c r="GCF21" t="s">
        <v>6984</v>
      </c>
      <c r="GCG21" t="s">
        <v>6984</v>
      </c>
      <c r="GCH21" t="s">
        <v>6984</v>
      </c>
      <c r="GCI21" t="s">
        <v>6984</v>
      </c>
      <c r="GCJ21" t="s">
        <v>6984</v>
      </c>
      <c r="GCK21" t="s">
        <v>6984</v>
      </c>
      <c r="GCL21" t="s">
        <v>6984</v>
      </c>
      <c r="GCM21" t="s">
        <v>6984</v>
      </c>
      <c r="GCN21" t="s">
        <v>6984</v>
      </c>
      <c r="GCO21" t="s">
        <v>6984</v>
      </c>
      <c r="GCP21" t="s">
        <v>6984</v>
      </c>
      <c r="GCQ21" t="s">
        <v>6984</v>
      </c>
      <c r="GCR21" t="s">
        <v>6984</v>
      </c>
      <c r="GCS21" t="s">
        <v>6984</v>
      </c>
      <c r="GCT21" t="s">
        <v>6984</v>
      </c>
      <c r="GCU21" t="s">
        <v>6984</v>
      </c>
      <c r="GCV21" t="s">
        <v>6984</v>
      </c>
      <c r="GCW21" t="s">
        <v>6984</v>
      </c>
      <c r="GCX21" t="s">
        <v>6984</v>
      </c>
      <c r="GCY21" t="s">
        <v>6984</v>
      </c>
      <c r="GCZ21" t="s">
        <v>6984</v>
      </c>
      <c r="GDA21" t="s">
        <v>6984</v>
      </c>
      <c r="GDB21" t="s">
        <v>6984</v>
      </c>
      <c r="GDC21" t="s">
        <v>6984</v>
      </c>
      <c r="GDD21" t="s">
        <v>6984</v>
      </c>
      <c r="GDE21" t="s">
        <v>6984</v>
      </c>
      <c r="GDF21" t="s">
        <v>6984</v>
      </c>
      <c r="GDG21" t="s">
        <v>6984</v>
      </c>
      <c r="GDH21" t="s">
        <v>6984</v>
      </c>
      <c r="GDI21" t="s">
        <v>6984</v>
      </c>
      <c r="GDJ21" t="s">
        <v>6984</v>
      </c>
      <c r="GDK21" t="s">
        <v>6984</v>
      </c>
      <c r="GDL21" t="s">
        <v>6984</v>
      </c>
      <c r="GDM21" t="s">
        <v>6984</v>
      </c>
      <c r="GDN21" t="s">
        <v>6984</v>
      </c>
      <c r="GDO21" t="s">
        <v>6984</v>
      </c>
      <c r="GDP21" t="s">
        <v>6984</v>
      </c>
      <c r="GDQ21" t="s">
        <v>6984</v>
      </c>
      <c r="GDR21" t="s">
        <v>6984</v>
      </c>
      <c r="GDS21" t="s">
        <v>6984</v>
      </c>
      <c r="GDT21" t="s">
        <v>6984</v>
      </c>
      <c r="GDU21" t="s">
        <v>6984</v>
      </c>
      <c r="GDV21" t="s">
        <v>6984</v>
      </c>
      <c r="GDW21" t="s">
        <v>6984</v>
      </c>
      <c r="GDX21" t="s">
        <v>6984</v>
      </c>
      <c r="GDY21" t="s">
        <v>6984</v>
      </c>
      <c r="GDZ21" t="s">
        <v>6984</v>
      </c>
      <c r="GEA21" t="s">
        <v>6984</v>
      </c>
      <c r="GEB21" t="s">
        <v>6984</v>
      </c>
      <c r="GEC21" t="s">
        <v>6984</v>
      </c>
      <c r="GED21" t="s">
        <v>6984</v>
      </c>
      <c r="GEE21" t="s">
        <v>6984</v>
      </c>
      <c r="GEF21" t="s">
        <v>6984</v>
      </c>
      <c r="GEG21" t="s">
        <v>6984</v>
      </c>
      <c r="GEH21" t="s">
        <v>6984</v>
      </c>
      <c r="GEI21" t="s">
        <v>6984</v>
      </c>
      <c r="GEJ21" t="s">
        <v>6984</v>
      </c>
      <c r="GEK21" t="s">
        <v>6984</v>
      </c>
      <c r="GEL21" t="s">
        <v>6984</v>
      </c>
      <c r="GEM21" t="s">
        <v>6984</v>
      </c>
      <c r="GEN21" t="s">
        <v>6984</v>
      </c>
      <c r="GEO21" t="s">
        <v>6984</v>
      </c>
      <c r="GEP21" t="s">
        <v>6984</v>
      </c>
      <c r="GEQ21" t="s">
        <v>6984</v>
      </c>
      <c r="GER21" t="s">
        <v>6984</v>
      </c>
      <c r="GES21" t="s">
        <v>6984</v>
      </c>
      <c r="GET21" t="s">
        <v>6984</v>
      </c>
      <c r="GEU21" t="s">
        <v>6984</v>
      </c>
      <c r="GEV21" t="s">
        <v>6984</v>
      </c>
      <c r="GEW21" t="s">
        <v>6984</v>
      </c>
      <c r="GEX21" t="s">
        <v>6984</v>
      </c>
      <c r="GEY21" t="s">
        <v>6984</v>
      </c>
      <c r="GEZ21" t="s">
        <v>6984</v>
      </c>
      <c r="GFA21" t="s">
        <v>6984</v>
      </c>
      <c r="GFB21" t="s">
        <v>6984</v>
      </c>
      <c r="GFC21" t="s">
        <v>6984</v>
      </c>
      <c r="GFD21" t="s">
        <v>6984</v>
      </c>
      <c r="GFE21" t="s">
        <v>6984</v>
      </c>
      <c r="GFF21" t="s">
        <v>6984</v>
      </c>
      <c r="GFG21" t="s">
        <v>6984</v>
      </c>
      <c r="GFH21" t="s">
        <v>6984</v>
      </c>
      <c r="GFI21" t="s">
        <v>6984</v>
      </c>
      <c r="GFJ21" t="s">
        <v>6984</v>
      </c>
      <c r="GFK21" t="s">
        <v>6984</v>
      </c>
      <c r="GFL21" t="s">
        <v>6984</v>
      </c>
      <c r="GFM21" t="s">
        <v>6984</v>
      </c>
      <c r="GFN21" t="s">
        <v>6984</v>
      </c>
      <c r="GFO21" t="s">
        <v>6984</v>
      </c>
      <c r="GFP21" t="s">
        <v>6984</v>
      </c>
      <c r="GFQ21" t="s">
        <v>6984</v>
      </c>
      <c r="GFR21" t="s">
        <v>6984</v>
      </c>
      <c r="GFS21" t="s">
        <v>6984</v>
      </c>
      <c r="GFT21" t="s">
        <v>6984</v>
      </c>
      <c r="GFU21" t="s">
        <v>6984</v>
      </c>
      <c r="GFV21" t="s">
        <v>6984</v>
      </c>
      <c r="GFW21" t="s">
        <v>6984</v>
      </c>
      <c r="GFX21" t="s">
        <v>6984</v>
      </c>
      <c r="GFY21" t="s">
        <v>6984</v>
      </c>
      <c r="GFZ21" t="s">
        <v>6984</v>
      </c>
      <c r="GGA21" t="s">
        <v>6984</v>
      </c>
      <c r="GGB21" t="s">
        <v>6984</v>
      </c>
      <c r="GGC21" t="s">
        <v>6984</v>
      </c>
      <c r="GGD21" t="s">
        <v>6984</v>
      </c>
      <c r="GGE21" t="s">
        <v>6984</v>
      </c>
      <c r="GGF21" t="s">
        <v>6984</v>
      </c>
      <c r="GGG21" t="s">
        <v>6984</v>
      </c>
      <c r="GGH21" t="s">
        <v>6984</v>
      </c>
      <c r="GGI21" t="s">
        <v>6984</v>
      </c>
      <c r="GGJ21" t="s">
        <v>6984</v>
      </c>
      <c r="GGK21" t="s">
        <v>6984</v>
      </c>
      <c r="GGL21" t="s">
        <v>6984</v>
      </c>
      <c r="GGM21" t="s">
        <v>6984</v>
      </c>
      <c r="GGN21" t="s">
        <v>6984</v>
      </c>
      <c r="GGO21" t="s">
        <v>6984</v>
      </c>
      <c r="GGP21" t="s">
        <v>6984</v>
      </c>
      <c r="GGQ21" t="s">
        <v>6984</v>
      </c>
      <c r="GGR21" t="s">
        <v>6984</v>
      </c>
      <c r="GGS21" t="s">
        <v>6984</v>
      </c>
      <c r="GGT21" t="s">
        <v>6984</v>
      </c>
      <c r="GGU21" t="s">
        <v>6984</v>
      </c>
      <c r="GGV21" t="s">
        <v>6984</v>
      </c>
      <c r="GGW21" t="s">
        <v>6984</v>
      </c>
      <c r="GGX21" t="s">
        <v>6984</v>
      </c>
      <c r="GGY21" t="s">
        <v>6984</v>
      </c>
      <c r="GGZ21" t="s">
        <v>6984</v>
      </c>
      <c r="GHA21" t="s">
        <v>6984</v>
      </c>
      <c r="GHB21" t="s">
        <v>6984</v>
      </c>
      <c r="GHC21" t="s">
        <v>6984</v>
      </c>
      <c r="GHD21" t="s">
        <v>6984</v>
      </c>
      <c r="GHE21" t="s">
        <v>6984</v>
      </c>
      <c r="GHF21" t="s">
        <v>6984</v>
      </c>
      <c r="GHG21" t="s">
        <v>6984</v>
      </c>
      <c r="GHH21" t="s">
        <v>6984</v>
      </c>
      <c r="GHI21" t="s">
        <v>6984</v>
      </c>
      <c r="GHJ21" t="s">
        <v>6984</v>
      </c>
      <c r="GHK21" t="s">
        <v>6984</v>
      </c>
      <c r="GHL21" t="s">
        <v>6984</v>
      </c>
      <c r="GHM21" t="s">
        <v>6984</v>
      </c>
      <c r="GHN21" t="s">
        <v>6984</v>
      </c>
      <c r="GHO21" t="s">
        <v>6984</v>
      </c>
      <c r="GHP21" t="s">
        <v>6984</v>
      </c>
      <c r="GHQ21" t="s">
        <v>6984</v>
      </c>
      <c r="GHR21" t="s">
        <v>6984</v>
      </c>
      <c r="GHS21" t="s">
        <v>6984</v>
      </c>
      <c r="GHT21" t="s">
        <v>6984</v>
      </c>
      <c r="GHU21" t="s">
        <v>6984</v>
      </c>
      <c r="GHV21" t="s">
        <v>6984</v>
      </c>
      <c r="GHW21" t="s">
        <v>6984</v>
      </c>
      <c r="GHX21" t="s">
        <v>6984</v>
      </c>
      <c r="GHY21" t="s">
        <v>6984</v>
      </c>
      <c r="GHZ21" t="s">
        <v>6984</v>
      </c>
      <c r="GIA21" t="s">
        <v>6984</v>
      </c>
      <c r="GIB21" t="s">
        <v>6984</v>
      </c>
      <c r="GIC21" t="s">
        <v>6984</v>
      </c>
      <c r="GID21" t="s">
        <v>6984</v>
      </c>
      <c r="GIE21" t="s">
        <v>6984</v>
      </c>
      <c r="GIF21" t="s">
        <v>6984</v>
      </c>
      <c r="GIG21" t="s">
        <v>6984</v>
      </c>
      <c r="GIH21" t="s">
        <v>6984</v>
      </c>
      <c r="GII21" t="s">
        <v>6984</v>
      </c>
      <c r="GIJ21" t="s">
        <v>6984</v>
      </c>
      <c r="GIK21" t="s">
        <v>6984</v>
      </c>
      <c r="GIL21" t="s">
        <v>6984</v>
      </c>
      <c r="GIM21" t="s">
        <v>6984</v>
      </c>
      <c r="GIN21" t="s">
        <v>6984</v>
      </c>
      <c r="GIO21" t="s">
        <v>6984</v>
      </c>
      <c r="GIP21" t="s">
        <v>6984</v>
      </c>
      <c r="GIQ21" t="s">
        <v>6984</v>
      </c>
      <c r="GIR21" t="s">
        <v>6984</v>
      </c>
      <c r="GIS21" t="s">
        <v>6984</v>
      </c>
      <c r="GIT21" t="s">
        <v>6984</v>
      </c>
      <c r="GIU21" t="s">
        <v>6984</v>
      </c>
      <c r="GIV21" t="s">
        <v>6984</v>
      </c>
      <c r="GIW21" t="s">
        <v>6984</v>
      </c>
      <c r="GIX21" t="s">
        <v>6984</v>
      </c>
      <c r="GIY21" t="s">
        <v>6984</v>
      </c>
      <c r="GIZ21" t="s">
        <v>6984</v>
      </c>
      <c r="GJA21" t="s">
        <v>6984</v>
      </c>
      <c r="GJB21" t="s">
        <v>6984</v>
      </c>
      <c r="GJC21" t="s">
        <v>6984</v>
      </c>
      <c r="GJD21" t="s">
        <v>6984</v>
      </c>
      <c r="GJE21" t="s">
        <v>6984</v>
      </c>
      <c r="GJF21" t="s">
        <v>6984</v>
      </c>
      <c r="GJG21" t="s">
        <v>6984</v>
      </c>
      <c r="GJH21" t="s">
        <v>6984</v>
      </c>
      <c r="GJI21" t="s">
        <v>6984</v>
      </c>
      <c r="GJJ21" t="s">
        <v>6984</v>
      </c>
      <c r="GJK21" t="s">
        <v>6984</v>
      </c>
      <c r="GJL21" t="s">
        <v>6984</v>
      </c>
      <c r="GJM21" t="s">
        <v>6984</v>
      </c>
      <c r="GJN21" t="s">
        <v>6984</v>
      </c>
      <c r="GJO21" t="s">
        <v>6984</v>
      </c>
      <c r="GJP21" t="s">
        <v>6984</v>
      </c>
      <c r="GJQ21" t="s">
        <v>6984</v>
      </c>
      <c r="GJR21" t="s">
        <v>6984</v>
      </c>
      <c r="GJS21" t="s">
        <v>6984</v>
      </c>
      <c r="GJT21" t="s">
        <v>6984</v>
      </c>
      <c r="GJU21" t="s">
        <v>6984</v>
      </c>
      <c r="GJV21" t="s">
        <v>6984</v>
      </c>
      <c r="GJW21" t="s">
        <v>6984</v>
      </c>
      <c r="GJX21" t="s">
        <v>6984</v>
      </c>
      <c r="GJY21" t="s">
        <v>6984</v>
      </c>
      <c r="GJZ21" t="s">
        <v>6984</v>
      </c>
      <c r="GKA21" t="s">
        <v>6984</v>
      </c>
      <c r="GKB21" t="s">
        <v>6984</v>
      </c>
      <c r="GKC21" t="s">
        <v>6984</v>
      </c>
      <c r="GKD21" t="s">
        <v>6984</v>
      </c>
      <c r="GKE21" t="s">
        <v>6984</v>
      </c>
      <c r="GKF21" t="s">
        <v>6984</v>
      </c>
      <c r="GKG21" t="s">
        <v>6984</v>
      </c>
      <c r="GKH21" t="s">
        <v>6984</v>
      </c>
      <c r="GKI21" t="s">
        <v>6984</v>
      </c>
      <c r="GKJ21" t="s">
        <v>6984</v>
      </c>
      <c r="GKK21" t="s">
        <v>6984</v>
      </c>
      <c r="GKL21" t="s">
        <v>6984</v>
      </c>
      <c r="GKM21" t="s">
        <v>6984</v>
      </c>
      <c r="GKN21" t="s">
        <v>6984</v>
      </c>
      <c r="GKO21" t="s">
        <v>6984</v>
      </c>
      <c r="GKP21" t="s">
        <v>6984</v>
      </c>
      <c r="GKQ21" t="s">
        <v>6984</v>
      </c>
      <c r="GKR21" t="s">
        <v>6984</v>
      </c>
      <c r="GKS21" t="s">
        <v>6984</v>
      </c>
      <c r="GKT21" t="s">
        <v>6984</v>
      </c>
      <c r="GKU21" t="s">
        <v>6984</v>
      </c>
      <c r="GKV21" t="s">
        <v>6984</v>
      </c>
      <c r="GKW21" t="s">
        <v>6984</v>
      </c>
      <c r="GKX21" t="s">
        <v>6984</v>
      </c>
      <c r="GKY21" t="s">
        <v>6984</v>
      </c>
      <c r="GKZ21" t="s">
        <v>6984</v>
      </c>
      <c r="GLA21" t="s">
        <v>6984</v>
      </c>
      <c r="GLB21" t="s">
        <v>6984</v>
      </c>
      <c r="GLC21" t="s">
        <v>6984</v>
      </c>
      <c r="GLD21" t="s">
        <v>6984</v>
      </c>
      <c r="GLE21" t="s">
        <v>6984</v>
      </c>
      <c r="GLF21" t="s">
        <v>6984</v>
      </c>
      <c r="GLG21" t="s">
        <v>6984</v>
      </c>
      <c r="GLH21" t="s">
        <v>6984</v>
      </c>
      <c r="GLI21" t="s">
        <v>6984</v>
      </c>
      <c r="GLJ21" t="s">
        <v>6984</v>
      </c>
      <c r="GLK21" t="s">
        <v>6984</v>
      </c>
      <c r="GLL21" t="s">
        <v>6984</v>
      </c>
      <c r="GLM21" t="s">
        <v>6984</v>
      </c>
      <c r="GLN21" t="s">
        <v>6984</v>
      </c>
      <c r="GLO21" t="s">
        <v>6984</v>
      </c>
      <c r="GLP21" t="s">
        <v>6984</v>
      </c>
      <c r="GLQ21" t="s">
        <v>6984</v>
      </c>
      <c r="GLR21" t="s">
        <v>6984</v>
      </c>
      <c r="GLS21" t="s">
        <v>6984</v>
      </c>
      <c r="GLT21" t="s">
        <v>6984</v>
      </c>
      <c r="GLU21" t="s">
        <v>6984</v>
      </c>
      <c r="GLV21" t="s">
        <v>6984</v>
      </c>
      <c r="GLW21" t="s">
        <v>6984</v>
      </c>
      <c r="GLX21" t="s">
        <v>6984</v>
      </c>
      <c r="GLY21" t="s">
        <v>6984</v>
      </c>
      <c r="GLZ21" t="s">
        <v>6984</v>
      </c>
      <c r="GMA21" t="s">
        <v>6984</v>
      </c>
      <c r="GMB21" t="s">
        <v>6984</v>
      </c>
      <c r="GMC21" t="s">
        <v>6984</v>
      </c>
      <c r="GMD21" t="s">
        <v>6984</v>
      </c>
      <c r="GME21" t="s">
        <v>6984</v>
      </c>
      <c r="GMF21" t="s">
        <v>6984</v>
      </c>
      <c r="GMG21" t="s">
        <v>6984</v>
      </c>
      <c r="GMH21" t="s">
        <v>6984</v>
      </c>
      <c r="GMI21" t="s">
        <v>6984</v>
      </c>
      <c r="GMJ21" t="s">
        <v>6984</v>
      </c>
      <c r="GMK21" t="s">
        <v>6984</v>
      </c>
      <c r="GML21" t="s">
        <v>6984</v>
      </c>
      <c r="GMM21" t="s">
        <v>6984</v>
      </c>
      <c r="GMN21" t="s">
        <v>6984</v>
      </c>
      <c r="GMO21" t="s">
        <v>6984</v>
      </c>
      <c r="GMP21" t="s">
        <v>6984</v>
      </c>
      <c r="GMQ21" t="s">
        <v>6984</v>
      </c>
      <c r="GMR21" t="s">
        <v>6984</v>
      </c>
      <c r="GMS21" t="s">
        <v>6984</v>
      </c>
      <c r="GMT21" t="s">
        <v>6984</v>
      </c>
      <c r="GMU21" t="s">
        <v>6984</v>
      </c>
      <c r="GMV21" t="s">
        <v>6984</v>
      </c>
      <c r="GMW21" t="s">
        <v>6984</v>
      </c>
      <c r="GMX21" t="s">
        <v>6984</v>
      </c>
      <c r="GMY21" t="s">
        <v>6984</v>
      </c>
      <c r="GMZ21" t="s">
        <v>6984</v>
      </c>
      <c r="GNA21" t="s">
        <v>6984</v>
      </c>
      <c r="GNB21" t="s">
        <v>6984</v>
      </c>
      <c r="GNC21" t="s">
        <v>6984</v>
      </c>
      <c r="GND21" t="s">
        <v>6984</v>
      </c>
      <c r="GNE21" t="s">
        <v>6984</v>
      </c>
      <c r="GNF21" t="s">
        <v>6984</v>
      </c>
      <c r="GNG21" t="s">
        <v>6984</v>
      </c>
      <c r="GNH21" t="s">
        <v>6984</v>
      </c>
      <c r="GNI21" t="s">
        <v>6984</v>
      </c>
      <c r="GNJ21" t="s">
        <v>6984</v>
      </c>
      <c r="GNK21" t="s">
        <v>6984</v>
      </c>
      <c r="GNL21" t="s">
        <v>6984</v>
      </c>
      <c r="GNM21" t="s">
        <v>6984</v>
      </c>
      <c r="GNN21" t="s">
        <v>6984</v>
      </c>
      <c r="GNO21" t="s">
        <v>6984</v>
      </c>
      <c r="GNP21" t="s">
        <v>6984</v>
      </c>
      <c r="GNQ21" t="s">
        <v>6984</v>
      </c>
      <c r="GNR21" t="s">
        <v>6984</v>
      </c>
      <c r="GNS21" t="s">
        <v>6984</v>
      </c>
      <c r="GNT21" t="s">
        <v>6984</v>
      </c>
      <c r="GNU21" t="s">
        <v>6984</v>
      </c>
      <c r="GNV21" t="s">
        <v>6984</v>
      </c>
      <c r="GNW21" t="s">
        <v>6984</v>
      </c>
      <c r="GNX21" t="s">
        <v>6984</v>
      </c>
      <c r="GNY21" t="s">
        <v>6984</v>
      </c>
      <c r="GNZ21" t="s">
        <v>6984</v>
      </c>
      <c r="GOA21" t="s">
        <v>6984</v>
      </c>
      <c r="GOB21" t="s">
        <v>6984</v>
      </c>
      <c r="GOC21" t="s">
        <v>6984</v>
      </c>
      <c r="GOD21" t="s">
        <v>6984</v>
      </c>
      <c r="GOE21" t="s">
        <v>6984</v>
      </c>
      <c r="GOF21" t="s">
        <v>6984</v>
      </c>
      <c r="GOG21" t="s">
        <v>6984</v>
      </c>
      <c r="GOH21" t="s">
        <v>6984</v>
      </c>
      <c r="GOI21" t="s">
        <v>6984</v>
      </c>
      <c r="GOJ21" t="s">
        <v>6984</v>
      </c>
      <c r="GOK21" t="s">
        <v>6984</v>
      </c>
      <c r="GOL21" t="s">
        <v>6984</v>
      </c>
      <c r="GOM21" t="s">
        <v>6984</v>
      </c>
      <c r="GON21" t="s">
        <v>6984</v>
      </c>
      <c r="GOO21" t="s">
        <v>6984</v>
      </c>
      <c r="GOP21" t="s">
        <v>6984</v>
      </c>
      <c r="GOQ21" t="s">
        <v>6984</v>
      </c>
      <c r="GOR21" t="s">
        <v>6984</v>
      </c>
      <c r="GOS21" t="s">
        <v>6984</v>
      </c>
      <c r="GOT21" t="s">
        <v>6984</v>
      </c>
      <c r="GOU21" t="s">
        <v>6984</v>
      </c>
      <c r="GOV21" t="s">
        <v>6984</v>
      </c>
      <c r="GOW21" t="s">
        <v>6984</v>
      </c>
      <c r="GOX21" t="s">
        <v>6984</v>
      </c>
      <c r="GOY21" t="s">
        <v>6984</v>
      </c>
      <c r="GOZ21" t="s">
        <v>6984</v>
      </c>
      <c r="GPA21" t="s">
        <v>6984</v>
      </c>
      <c r="GPB21" t="s">
        <v>6984</v>
      </c>
      <c r="GPC21" t="s">
        <v>6984</v>
      </c>
      <c r="GPD21" t="s">
        <v>6984</v>
      </c>
      <c r="GPE21" t="s">
        <v>6984</v>
      </c>
      <c r="GPF21" t="s">
        <v>6984</v>
      </c>
      <c r="GPG21" t="s">
        <v>6984</v>
      </c>
      <c r="GPH21" t="s">
        <v>6984</v>
      </c>
      <c r="GPI21" t="s">
        <v>6984</v>
      </c>
      <c r="GPJ21" t="s">
        <v>6984</v>
      </c>
      <c r="GPK21" t="s">
        <v>6984</v>
      </c>
      <c r="GPL21" t="s">
        <v>6984</v>
      </c>
      <c r="GPM21" t="s">
        <v>6984</v>
      </c>
      <c r="GPN21" t="s">
        <v>6984</v>
      </c>
      <c r="GPO21" t="s">
        <v>6984</v>
      </c>
      <c r="GPP21" t="s">
        <v>6984</v>
      </c>
      <c r="GPQ21" t="s">
        <v>6984</v>
      </c>
      <c r="GPR21" t="s">
        <v>6984</v>
      </c>
      <c r="GPS21" t="s">
        <v>6984</v>
      </c>
      <c r="GPT21" t="s">
        <v>6984</v>
      </c>
      <c r="GPU21" t="s">
        <v>6984</v>
      </c>
      <c r="GPV21" t="s">
        <v>6984</v>
      </c>
      <c r="GPW21" t="s">
        <v>6984</v>
      </c>
      <c r="GPX21" t="s">
        <v>6984</v>
      </c>
      <c r="GPY21" t="s">
        <v>6984</v>
      </c>
      <c r="GPZ21" t="s">
        <v>6984</v>
      </c>
      <c r="GQA21" t="s">
        <v>6984</v>
      </c>
      <c r="GQB21" t="s">
        <v>6984</v>
      </c>
      <c r="GQC21" t="s">
        <v>6984</v>
      </c>
      <c r="GQD21" t="s">
        <v>6984</v>
      </c>
      <c r="GQE21" t="s">
        <v>6984</v>
      </c>
      <c r="GQF21" t="s">
        <v>6984</v>
      </c>
      <c r="GQG21" t="s">
        <v>6984</v>
      </c>
      <c r="GQH21" t="s">
        <v>6984</v>
      </c>
      <c r="GQI21" t="s">
        <v>6984</v>
      </c>
      <c r="GQJ21" t="s">
        <v>6984</v>
      </c>
      <c r="GQK21" t="s">
        <v>6984</v>
      </c>
      <c r="GQL21" t="s">
        <v>6984</v>
      </c>
      <c r="GQM21" t="s">
        <v>6984</v>
      </c>
      <c r="GQN21" t="s">
        <v>6984</v>
      </c>
      <c r="GQO21" t="s">
        <v>6984</v>
      </c>
      <c r="GQP21" t="s">
        <v>6984</v>
      </c>
      <c r="GQQ21" t="s">
        <v>6984</v>
      </c>
      <c r="GQR21" t="s">
        <v>6984</v>
      </c>
      <c r="GQS21" t="s">
        <v>6984</v>
      </c>
      <c r="GQT21" t="s">
        <v>6984</v>
      </c>
      <c r="GQU21" t="s">
        <v>6984</v>
      </c>
      <c r="GQV21" t="s">
        <v>6984</v>
      </c>
      <c r="GQW21" t="s">
        <v>6984</v>
      </c>
      <c r="GQX21" t="s">
        <v>6984</v>
      </c>
      <c r="GQY21" t="s">
        <v>6984</v>
      </c>
      <c r="GQZ21" t="s">
        <v>6984</v>
      </c>
      <c r="GRA21" t="s">
        <v>6984</v>
      </c>
      <c r="GRB21" t="s">
        <v>6984</v>
      </c>
      <c r="GRC21" t="s">
        <v>6984</v>
      </c>
      <c r="GRD21" t="s">
        <v>6984</v>
      </c>
      <c r="GRE21" t="s">
        <v>6984</v>
      </c>
      <c r="GRF21" t="s">
        <v>6984</v>
      </c>
      <c r="GRG21" t="s">
        <v>6984</v>
      </c>
      <c r="GRH21" t="s">
        <v>6984</v>
      </c>
      <c r="GRI21" t="s">
        <v>6984</v>
      </c>
      <c r="GRJ21" t="s">
        <v>6984</v>
      </c>
      <c r="GRK21" t="s">
        <v>6984</v>
      </c>
      <c r="GRL21" t="s">
        <v>6984</v>
      </c>
      <c r="GRM21" t="s">
        <v>6984</v>
      </c>
      <c r="GRN21" t="s">
        <v>6984</v>
      </c>
      <c r="GRO21" t="s">
        <v>6984</v>
      </c>
      <c r="GRP21" t="s">
        <v>6984</v>
      </c>
      <c r="GRQ21" t="s">
        <v>6984</v>
      </c>
      <c r="GRR21" t="s">
        <v>6984</v>
      </c>
      <c r="GRS21" t="s">
        <v>6984</v>
      </c>
      <c r="GRT21" t="s">
        <v>6984</v>
      </c>
      <c r="GRU21" t="s">
        <v>6984</v>
      </c>
      <c r="GRV21" t="s">
        <v>6984</v>
      </c>
      <c r="GRW21" t="s">
        <v>6984</v>
      </c>
      <c r="GRX21" t="s">
        <v>6984</v>
      </c>
      <c r="GRY21" t="s">
        <v>6984</v>
      </c>
      <c r="GRZ21" t="s">
        <v>6984</v>
      </c>
      <c r="GSA21" t="s">
        <v>6984</v>
      </c>
      <c r="GSB21" t="s">
        <v>6984</v>
      </c>
      <c r="GSC21" t="s">
        <v>6984</v>
      </c>
      <c r="GSD21" t="s">
        <v>6984</v>
      </c>
      <c r="GSE21" t="s">
        <v>6984</v>
      </c>
      <c r="GSF21" t="s">
        <v>6984</v>
      </c>
      <c r="GSG21" t="s">
        <v>6984</v>
      </c>
      <c r="GSH21" t="s">
        <v>6984</v>
      </c>
      <c r="GSI21" t="s">
        <v>6984</v>
      </c>
      <c r="GSJ21" t="s">
        <v>6984</v>
      </c>
      <c r="GSK21" t="s">
        <v>6984</v>
      </c>
      <c r="GSL21" t="s">
        <v>6984</v>
      </c>
      <c r="GSM21" t="s">
        <v>6984</v>
      </c>
      <c r="GSN21" t="s">
        <v>6984</v>
      </c>
      <c r="GSO21" t="s">
        <v>6984</v>
      </c>
      <c r="GSP21" t="s">
        <v>6984</v>
      </c>
      <c r="GSQ21" t="s">
        <v>6984</v>
      </c>
      <c r="GSR21" t="s">
        <v>6984</v>
      </c>
      <c r="GSS21" t="s">
        <v>6984</v>
      </c>
      <c r="GST21" t="s">
        <v>6984</v>
      </c>
      <c r="GSU21" t="s">
        <v>6984</v>
      </c>
      <c r="GSV21" t="s">
        <v>6984</v>
      </c>
      <c r="GSW21" t="s">
        <v>6984</v>
      </c>
      <c r="GSX21" t="s">
        <v>6984</v>
      </c>
      <c r="GSY21" t="s">
        <v>6984</v>
      </c>
      <c r="GSZ21" t="s">
        <v>6984</v>
      </c>
      <c r="GTA21" t="s">
        <v>6984</v>
      </c>
      <c r="GTB21" t="s">
        <v>6984</v>
      </c>
      <c r="GTC21" t="s">
        <v>6984</v>
      </c>
      <c r="GTD21" t="s">
        <v>6984</v>
      </c>
      <c r="GTE21" t="s">
        <v>6984</v>
      </c>
      <c r="GTF21" t="s">
        <v>6984</v>
      </c>
      <c r="GTG21" t="s">
        <v>6984</v>
      </c>
      <c r="GTH21" t="s">
        <v>6984</v>
      </c>
      <c r="GTI21" t="s">
        <v>6984</v>
      </c>
      <c r="GTJ21" t="s">
        <v>6984</v>
      </c>
      <c r="GTK21" t="s">
        <v>6984</v>
      </c>
      <c r="GTL21" t="s">
        <v>6984</v>
      </c>
      <c r="GTM21" t="s">
        <v>6984</v>
      </c>
      <c r="GTN21" t="s">
        <v>6984</v>
      </c>
      <c r="GTO21" t="s">
        <v>6984</v>
      </c>
      <c r="GTP21" t="s">
        <v>6984</v>
      </c>
      <c r="GTQ21" t="s">
        <v>6984</v>
      </c>
      <c r="GTR21" t="s">
        <v>6984</v>
      </c>
      <c r="GTS21" t="s">
        <v>6984</v>
      </c>
      <c r="GTT21" t="s">
        <v>6984</v>
      </c>
      <c r="GTU21" t="s">
        <v>6984</v>
      </c>
      <c r="GTV21" t="s">
        <v>6984</v>
      </c>
      <c r="GTW21" t="s">
        <v>6984</v>
      </c>
      <c r="GTX21" t="s">
        <v>6984</v>
      </c>
      <c r="GTY21" t="s">
        <v>6984</v>
      </c>
      <c r="GTZ21" t="s">
        <v>6984</v>
      </c>
      <c r="GUA21" t="s">
        <v>6984</v>
      </c>
      <c r="GUB21" t="s">
        <v>6984</v>
      </c>
      <c r="GUC21" t="s">
        <v>6984</v>
      </c>
      <c r="GUD21" t="s">
        <v>6984</v>
      </c>
      <c r="GUE21" t="s">
        <v>6984</v>
      </c>
      <c r="GUF21" t="s">
        <v>6984</v>
      </c>
      <c r="GUG21" t="s">
        <v>6984</v>
      </c>
      <c r="GUH21" t="s">
        <v>6984</v>
      </c>
      <c r="GUI21" t="s">
        <v>6984</v>
      </c>
      <c r="GUJ21" t="s">
        <v>6984</v>
      </c>
      <c r="GUK21" t="s">
        <v>6984</v>
      </c>
      <c r="GUL21" t="s">
        <v>6984</v>
      </c>
      <c r="GUM21" t="s">
        <v>6984</v>
      </c>
      <c r="GUN21" t="s">
        <v>6984</v>
      </c>
      <c r="GUO21" t="s">
        <v>6984</v>
      </c>
      <c r="GUP21" t="s">
        <v>6984</v>
      </c>
      <c r="GUQ21" t="s">
        <v>6984</v>
      </c>
      <c r="GUR21" t="s">
        <v>6984</v>
      </c>
      <c r="GUS21" t="s">
        <v>6984</v>
      </c>
      <c r="GUT21" t="s">
        <v>6984</v>
      </c>
      <c r="GUU21" t="s">
        <v>6984</v>
      </c>
      <c r="GUV21" t="s">
        <v>6984</v>
      </c>
      <c r="GUW21" t="s">
        <v>6984</v>
      </c>
      <c r="GUX21" t="s">
        <v>6984</v>
      </c>
      <c r="GUY21" t="s">
        <v>6984</v>
      </c>
      <c r="GUZ21" t="s">
        <v>6984</v>
      </c>
      <c r="GVA21" t="s">
        <v>6984</v>
      </c>
      <c r="GVB21" t="s">
        <v>6984</v>
      </c>
      <c r="GVC21" t="s">
        <v>6984</v>
      </c>
      <c r="GVD21" t="s">
        <v>6984</v>
      </c>
      <c r="GVE21" t="s">
        <v>6984</v>
      </c>
      <c r="GVF21" t="s">
        <v>6984</v>
      </c>
      <c r="GVG21" t="s">
        <v>6984</v>
      </c>
      <c r="GVH21" t="s">
        <v>6984</v>
      </c>
      <c r="GVI21" t="s">
        <v>6984</v>
      </c>
      <c r="GVJ21" t="s">
        <v>6984</v>
      </c>
      <c r="GVK21" t="s">
        <v>6984</v>
      </c>
      <c r="GVL21" t="s">
        <v>6984</v>
      </c>
      <c r="GVM21" t="s">
        <v>6984</v>
      </c>
      <c r="GVN21" t="s">
        <v>6984</v>
      </c>
      <c r="GVO21" t="s">
        <v>6984</v>
      </c>
      <c r="GVP21" t="s">
        <v>6984</v>
      </c>
      <c r="GVQ21" t="s">
        <v>6984</v>
      </c>
      <c r="GVR21" t="s">
        <v>6984</v>
      </c>
      <c r="GVS21" t="s">
        <v>6984</v>
      </c>
      <c r="GVT21" t="s">
        <v>6984</v>
      </c>
      <c r="GVU21" t="s">
        <v>6984</v>
      </c>
      <c r="GVV21" t="s">
        <v>6984</v>
      </c>
      <c r="GVW21" t="s">
        <v>6984</v>
      </c>
      <c r="GVX21" t="s">
        <v>6984</v>
      </c>
      <c r="GVY21" t="s">
        <v>6984</v>
      </c>
      <c r="GVZ21" t="s">
        <v>6984</v>
      </c>
      <c r="GWA21" t="s">
        <v>6984</v>
      </c>
      <c r="GWB21" t="s">
        <v>6984</v>
      </c>
      <c r="GWC21" t="s">
        <v>6984</v>
      </c>
      <c r="GWD21" t="s">
        <v>6984</v>
      </c>
      <c r="GWE21" t="s">
        <v>6984</v>
      </c>
      <c r="GWF21" t="s">
        <v>6984</v>
      </c>
      <c r="GWG21" t="s">
        <v>6984</v>
      </c>
      <c r="GWH21" t="s">
        <v>6984</v>
      </c>
      <c r="GWI21" t="s">
        <v>6984</v>
      </c>
      <c r="GWJ21" t="s">
        <v>6984</v>
      </c>
      <c r="GWK21" t="s">
        <v>6984</v>
      </c>
      <c r="GWL21" t="s">
        <v>6984</v>
      </c>
      <c r="GWM21" t="s">
        <v>6984</v>
      </c>
      <c r="GWN21" t="s">
        <v>6984</v>
      </c>
      <c r="GWO21" t="s">
        <v>6984</v>
      </c>
      <c r="GWP21" t="s">
        <v>6984</v>
      </c>
      <c r="GWQ21" t="s">
        <v>6984</v>
      </c>
      <c r="GWR21" t="s">
        <v>6984</v>
      </c>
      <c r="GWS21" t="s">
        <v>6984</v>
      </c>
      <c r="GWT21" t="s">
        <v>6984</v>
      </c>
      <c r="GWU21" t="s">
        <v>6984</v>
      </c>
      <c r="GWV21" t="s">
        <v>6984</v>
      </c>
      <c r="GWW21" t="s">
        <v>6984</v>
      </c>
      <c r="GWX21" t="s">
        <v>6984</v>
      </c>
      <c r="GWY21" t="s">
        <v>6984</v>
      </c>
      <c r="GWZ21" t="s">
        <v>6984</v>
      </c>
      <c r="GXA21" t="s">
        <v>6984</v>
      </c>
      <c r="GXB21" t="s">
        <v>6984</v>
      </c>
      <c r="GXC21" t="s">
        <v>6984</v>
      </c>
      <c r="GXD21" t="s">
        <v>6984</v>
      </c>
      <c r="GXE21" t="s">
        <v>6984</v>
      </c>
      <c r="GXF21" t="s">
        <v>6984</v>
      </c>
      <c r="GXG21" t="s">
        <v>6984</v>
      </c>
      <c r="GXH21" t="s">
        <v>6984</v>
      </c>
      <c r="GXI21" t="s">
        <v>6984</v>
      </c>
      <c r="GXJ21" t="s">
        <v>6984</v>
      </c>
      <c r="GXK21" t="s">
        <v>6984</v>
      </c>
      <c r="GXL21" t="s">
        <v>6984</v>
      </c>
      <c r="GXM21" t="s">
        <v>6984</v>
      </c>
      <c r="GXN21" t="s">
        <v>6984</v>
      </c>
      <c r="GXO21" t="s">
        <v>6984</v>
      </c>
      <c r="GXP21" t="s">
        <v>6984</v>
      </c>
      <c r="GXQ21" t="s">
        <v>6984</v>
      </c>
      <c r="GXR21" t="s">
        <v>6984</v>
      </c>
      <c r="GXS21" t="s">
        <v>6984</v>
      </c>
      <c r="GXT21" t="s">
        <v>6984</v>
      </c>
      <c r="GXU21" t="s">
        <v>6984</v>
      </c>
      <c r="GXV21" t="s">
        <v>6984</v>
      </c>
      <c r="GXW21" t="s">
        <v>6984</v>
      </c>
      <c r="GXX21" t="s">
        <v>6984</v>
      </c>
      <c r="GXY21" t="s">
        <v>6984</v>
      </c>
      <c r="GXZ21" t="s">
        <v>6984</v>
      </c>
      <c r="GYA21" t="s">
        <v>6984</v>
      </c>
      <c r="GYB21" t="s">
        <v>6984</v>
      </c>
      <c r="GYC21" t="s">
        <v>6984</v>
      </c>
      <c r="GYD21" t="s">
        <v>6984</v>
      </c>
      <c r="GYE21" t="s">
        <v>6984</v>
      </c>
      <c r="GYF21" t="s">
        <v>6984</v>
      </c>
      <c r="GYG21" t="s">
        <v>6984</v>
      </c>
      <c r="GYH21" t="s">
        <v>6984</v>
      </c>
      <c r="GYI21" t="s">
        <v>6984</v>
      </c>
      <c r="GYJ21" t="s">
        <v>6984</v>
      </c>
      <c r="GYK21" t="s">
        <v>6984</v>
      </c>
      <c r="GYL21" t="s">
        <v>6984</v>
      </c>
      <c r="GYM21" t="s">
        <v>6984</v>
      </c>
      <c r="GYN21" t="s">
        <v>6984</v>
      </c>
      <c r="GYO21" t="s">
        <v>6984</v>
      </c>
      <c r="GYP21" t="s">
        <v>6984</v>
      </c>
      <c r="GYQ21" t="s">
        <v>6984</v>
      </c>
      <c r="GYR21" t="s">
        <v>6984</v>
      </c>
      <c r="GYS21" t="s">
        <v>6984</v>
      </c>
      <c r="GYT21" t="s">
        <v>6984</v>
      </c>
      <c r="GYU21" t="s">
        <v>6984</v>
      </c>
      <c r="GYV21" t="s">
        <v>6984</v>
      </c>
      <c r="GYW21" t="s">
        <v>6984</v>
      </c>
      <c r="GYX21" t="s">
        <v>6984</v>
      </c>
      <c r="GYY21" t="s">
        <v>6984</v>
      </c>
      <c r="GYZ21" t="s">
        <v>6984</v>
      </c>
      <c r="GZA21" t="s">
        <v>6984</v>
      </c>
      <c r="GZB21" t="s">
        <v>6984</v>
      </c>
      <c r="GZC21" t="s">
        <v>6984</v>
      </c>
      <c r="GZD21" t="s">
        <v>6984</v>
      </c>
      <c r="GZE21" t="s">
        <v>6984</v>
      </c>
      <c r="GZF21" t="s">
        <v>6984</v>
      </c>
      <c r="GZG21" t="s">
        <v>6984</v>
      </c>
      <c r="GZH21" t="s">
        <v>6984</v>
      </c>
      <c r="GZI21" t="s">
        <v>6984</v>
      </c>
      <c r="GZJ21" t="s">
        <v>6984</v>
      </c>
      <c r="GZK21" t="s">
        <v>6984</v>
      </c>
      <c r="GZL21" t="s">
        <v>6984</v>
      </c>
      <c r="GZM21" t="s">
        <v>6984</v>
      </c>
      <c r="GZN21" t="s">
        <v>6984</v>
      </c>
      <c r="GZO21" t="s">
        <v>6984</v>
      </c>
      <c r="GZP21" t="s">
        <v>6984</v>
      </c>
      <c r="GZQ21" t="s">
        <v>6984</v>
      </c>
      <c r="GZR21" t="s">
        <v>6984</v>
      </c>
      <c r="GZS21" t="s">
        <v>6984</v>
      </c>
      <c r="GZT21" t="s">
        <v>6984</v>
      </c>
      <c r="GZU21" t="s">
        <v>6984</v>
      </c>
      <c r="GZV21" t="s">
        <v>6984</v>
      </c>
      <c r="GZW21" t="s">
        <v>6984</v>
      </c>
      <c r="GZX21" t="s">
        <v>6984</v>
      </c>
      <c r="GZY21" t="s">
        <v>6984</v>
      </c>
      <c r="GZZ21" t="s">
        <v>6984</v>
      </c>
      <c r="HAA21" t="s">
        <v>6984</v>
      </c>
      <c r="HAB21" t="s">
        <v>6984</v>
      </c>
      <c r="HAC21" t="s">
        <v>6984</v>
      </c>
      <c r="HAD21" t="s">
        <v>6984</v>
      </c>
      <c r="HAE21" t="s">
        <v>6984</v>
      </c>
      <c r="HAF21" t="s">
        <v>6984</v>
      </c>
      <c r="HAG21" t="s">
        <v>6984</v>
      </c>
      <c r="HAH21" t="s">
        <v>6984</v>
      </c>
      <c r="HAI21" t="s">
        <v>6984</v>
      </c>
      <c r="HAJ21" t="s">
        <v>6984</v>
      </c>
      <c r="HAK21" t="s">
        <v>6984</v>
      </c>
      <c r="HAL21" t="s">
        <v>6984</v>
      </c>
      <c r="HAM21" t="s">
        <v>6984</v>
      </c>
      <c r="HAN21" t="s">
        <v>6984</v>
      </c>
      <c r="HAO21" t="s">
        <v>6984</v>
      </c>
      <c r="HAP21" t="s">
        <v>6984</v>
      </c>
      <c r="HAQ21" t="s">
        <v>6984</v>
      </c>
      <c r="HAR21" t="s">
        <v>6984</v>
      </c>
      <c r="HAS21" t="s">
        <v>6984</v>
      </c>
      <c r="HAT21" t="s">
        <v>6984</v>
      </c>
      <c r="HAU21" t="s">
        <v>6984</v>
      </c>
      <c r="HAV21" t="s">
        <v>6984</v>
      </c>
      <c r="HAW21" t="s">
        <v>6984</v>
      </c>
      <c r="HAX21" t="s">
        <v>6984</v>
      </c>
      <c r="HAY21" t="s">
        <v>6984</v>
      </c>
      <c r="HAZ21" t="s">
        <v>6984</v>
      </c>
      <c r="HBA21" t="s">
        <v>6984</v>
      </c>
      <c r="HBB21" t="s">
        <v>6984</v>
      </c>
      <c r="HBC21" t="s">
        <v>6984</v>
      </c>
      <c r="HBD21" t="s">
        <v>6984</v>
      </c>
      <c r="HBE21" t="s">
        <v>6984</v>
      </c>
      <c r="HBF21" t="s">
        <v>6984</v>
      </c>
      <c r="HBG21" t="s">
        <v>6984</v>
      </c>
      <c r="HBH21" t="s">
        <v>6984</v>
      </c>
      <c r="HBI21" t="s">
        <v>6984</v>
      </c>
      <c r="HBJ21" t="s">
        <v>6984</v>
      </c>
      <c r="HBK21" t="s">
        <v>6984</v>
      </c>
      <c r="HBL21" t="s">
        <v>6984</v>
      </c>
      <c r="HBM21" t="s">
        <v>6984</v>
      </c>
      <c r="HBN21" t="s">
        <v>6984</v>
      </c>
      <c r="HBO21" t="s">
        <v>6984</v>
      </c>
      <c r="HBP21" t="s">
        <v>6984</v>
      </c>
      <c r="HBQ21" t="s">
        <v>6984</v>
      </c>
      <c r="HBR21" t="s">
        <v>6984</v>
      </c>
      <c r="HBS21" t="s">
        <v>6984</v>
      </c>
      <c r="HBT21" t="s">
        <v>6984</v>
      </c>
      <c r="HBU21" t="s">
        <v>6984</v>
      </c>
      <c r="HBV21" t="s">
        <v>6984</v>
      </c>
      <c r="HBW21" t="s">
        <v>6984</v>
      </c>
      <c r="HBX21" t="s">
        <v>6984</v>
      </c>
      <c r="HBY21" t="s">
        <v>6984</v>
      </c>
      <c r="HBZ21" t="s">
        <v>6984</v>
      </c>
      <c r="HCA21" t="s">
        <v>6984</v>
      </c>
      <c r="HCB21" t="s">
        <v>6984</v>
      </c>
      <c r="HCC21" t="s">
        <v>6984</v>
      </c>
      <c r="HCD21" t="s">
        <v>6984</v>
      </c>
      <c r="HCE21" t="s">
        <v>6984</v>
      </c>
      <c r="HCF21" t="s">
        <v>6984</v>
      </c>
      <c r="HCG21" t="s">
        <v>6984</v>
      </c>
      <c r="HCH21" t="s">
        <v>6984</v>
      </c>
      <c r="HCI21" t="s">
        <v>6984</v>
      </c>
      <c r="HCJ21" t="s">
        <v>6984</v>
      </c>
      <c r="HCK21" t="s">
        <v>6984</v>
      </c>
      <c r="HCL21" t="s">
        <v>6984</v>
      </c>
      <c r="HCM21" t="s">
        <v>6984</v>
      </c>
      <c r="HCN21" t="s">
        <v>6984</v>
      </c>
      <c r="HCO21" t="s">
        <v>6984</v>
      </c>
      <c r="HCP21" t="s">
        <v>6984</v>
      </c>
      <c r="HCQ21" t="s">
        <v>6984</v>
      </c>
      <c r="HCR21" t="s">
        <v>6984</v>
      </c>
      <c r="HCS21" t="s">
        <v>6984</v>
      </c>
      <c r="HCT21" t="s">
        <v>6984</v>
      </c>
      <c r="HCU21" t="s">
        <v>6984</v>
      </c>
      <c r="HCV21" t="s">
        <v>6984</v>
      </c>
      <c r="HCW21" t="s">
        <v>6984</v>
      </c>
      <c r="HCX21" t="s">
        <v>6984</v>
      </c>
      <c r="HCY21" t="s">
        <v>6984</v>
      </c>
      <c r="HCZ21" t="s">
        <v>6984</v>
      </c>
      <c r="HDA21" t="s">
        <v>6984</v>
      </c>
      <c r="HDB21" t="s">
        <v>6984</v>
      </c>
      <c r="HDC21" t="s">
        <v>6984</v>
      </c>
      <c r="HDD21" t="s">
        <v>6984</v>
      </c>
      <c r="HDE21" t="s">
        <v>6984</v>
      </c>
      <c r="HDF21" t="s">
        <v>6984</v>
      </c>
      <c r="HDG21" t="s">
        <v>6984</v>
      </c>
      <c r="HDH21" t="s">
        <v>6984</v>
      </c>
      <c r="HDI21" t="s">
        <v>6984</v>
      </c>
      <c r="HDJ21" t="s">
        <v>6984</v>
      </c>
      <c r="HDK21" t="s">
        <v>6984</v>
      </c>
      <c r="HDL21" t="s">
        <v>6984</v>
      </c>
      <c r="HDM21" t="s">
        <v>6984</v>
      </c>
      <c r="HDN21" t="s">
        <v>6984</v>
      </c>
      <c r="HDO21" t="s">
        <v>6984</v>
      </c>
      <c r="HDP21" t="s">
        <v>6984</v>
      </c>
      <c r="HDQ21" t="s">
        <v>6984</v>
      </c>
      <c r="HDR21" t="s">
        <v>6984</v>
      </c>
      <c r="HDS21" t="s">
        <v>6984</v>
      </c>
      <c r="HDT21" t="s">
        <v>6984</v>
      </c>
      <c r="HDU21" t="s">
        <v>6984</v>
      </c>
      <c r="HDV21" t="s">
        <v>6984</v>
      </c>
      <c r="HDW21" t="s">
        <v>6984</v>
      </c>
      <c r="HDX21" t="s">
        <v>6984</v>
      </c>
      <c r="HDY21" t="s">
        <v>6984</v>
      </c>
      <c r="HDZ21" t="s">
        <v>6984</v>
      </c>
      <c r="HEA21" t="s">
        <v>6984</v>
      </c>
      <c r="HEB21" t="s">
        <v>6984</v>
      </c>
      <c r="HEC21" t="s">
        <v>6984</v>
      </c>
      <c r="HED21" t="s">
        <v>6984</v>
      </c>
      <c r="HEE21" t="s">
        <v>6984</v>
      </c>
      <c r="HEF21" t="s">
        <v>6984</v>
      </c>
      <c r="HEG21" t="s">
        <v>6984</v>
      </c>
      <c r="HEH21" t="s">
        <v>6984</v>
      </c>
      <c r="HEI21" t="s">
        <v>6984</v>
      </c>
      <c r="HEJ21" t="s">
        <v>6984</v>
      </c>
      <c r="HEK21" t="s">
        <v>6984</v>
      </c>
      <c r="HEL21" t="s">
        <v>6984</v>
      </c>
      <c r="HEM21" t="s">
        <v>6984</v>
      </c>
      <c r="HEN21" t="s">
        <v>6984</v>
      </c>
      <c r="HEO21" t="s">
        <v>6984</v>
      </c>
      <c r="HEP21" t="s">
        <v>6984</v>
      </c>
      <c r="HEQ21" t="s">
        <v>6984</v>
      </c>
      <c r="HER21" t="s">
        <v>6984</v>
      </c>
      <c r="HES21" t="s">
        <v>6984</v>
      </c>
      <c r="HET21" t="s">
        <v>6984</v>
      </c>
      <c r="HEU21" t="s">
        <v>6984</v>
      </c>
      <c r="HEV21" t="s">
        <v>6984</v>
      </c>
      <c r="HEW21" t="s">
        <v>6984</v>
      </c>
      <c r="HEX21" t="s">
        <v>6984</v>
      </c>
      <c r="HEY21" t="s">
        <v>6984</v>
      </c>
      <c r="HEZ21" t="s">
        <v>6984</v>
      </c>
      <c r="HFA21" t="s">
        <v>6984</v>
      </c>
      <c r="HFB21" t="s">
        <v>6984</v>
      </c>
      <c r="HFC21" t="s">
        <v>6984</v>
      </c>
      <c r="HFD21" t="s">
        <v>6984</v>
      </c>
      <c r="HFE21" t="s">
        <v>6984</v>
      </c>
      <c r="HFF21" t="s">
        <v>6984</v>
      </c>
      <c r="HFG21" t="s">
        <v>6984</v>
      </c>
      <c r="HFH21" t="s">
        <v>6984</v>
      </c>
      <c r="HFI21" t="s">
        <v>6984</v>
      </c>
      <c r="HFJ21" t="s">
        <v>6984</v>
      </c>
      <c r="HFK21" t="s">
        <v>6984</v>
      </c>
      <c r="HFL21" t="s">
        <v>6984</v>
      </c>
      <c r="HFM21" t="s">
        <v>6984</v>
      </c>
      <c r="HFN21" t="s">
        <v>6984</v>
      </c>
      <c r="HFO21" t="s">
        <v>6984</v>
      </c>
      <c r="HFP21" t="s">
        <v>6984</v>
      </c>
      <c r="HFQ21" t="s">
        <v>6984</v>
      </c>
      <c r="HFR21" t="s">
        <v>6984</v>
      </c>
      <c r="HFS21" t="s">
        <v>6984</v>
      </c>
      <c r="HFT21" t="s">
        <v>6984</v>
      </c>
      <c r="HFU21" t="s">
        <v>6984</v>
      </c>
      <c r="HFV21" t="s">
        <v>6984</v>
      </c>
      <c r="HFW21" t="s">
        <v>6984</v>
      </c>
      <c r="HFX21" t="s">
        <v>6984</v>
      </c>
      <c r="HFY21" t="s">
        <v>6984</v>
      </c>
      <c r="HFZ21" t="s">
        <v>6984</v>
      </c>
      <c r="HGA21" t="s">
        <v>6984</v>
      </c>
      <c r="HGB21" t="s">
        <v>6984</v>
      </c>
      <c r="HGC21" t="s">
        <v>6984</v>
      </c>
      <c r="HGD21" t="s">
        <v>6984</v>
      </c>
      <c r="HGE21" t="s">
        <v>6984</v>
      </c>
      <c r="HGF21" t="s">
        <v>6984</v>
      </c>
      <c r="HGG21" t="s">
        <v>6984</v>
      </c>
      <c r="HGH21" t="s">
        <v>6984</v>
      </c>
      <c r="HGI21" t="s">
        <v>6984</v>
      </c>
      <c r="HGJ21" t="s">
        <v>6984</v>
      </c>
      <c r="HGK21" t="s">
        <v>6984</v>
      </c>
      <c r="HGL21" t="s">
        <v>6984</v>
      </c>
      <c r="HGM21" t="s">
        <v>6984</v>
      </c>
      <c r="HGN21" t="s">
        <v>6984</v>
      </c>
      <c r="HGO21" t="s">
        <v>6984</v>
      </c>
      <c r="HGP21" t="s">
        <v>6984</v>
      </c>
      <c r="HGQ21" t="s">
        <v>6984</v>
      </c>
      <c r="HGR21" t="s">
        <v>6984</v>
      </c>
      <c r="HGS21" t="s">
        <v>6984</v>
      </c>
      <c r="HGT21" t="s">
        <v>6984</v>
      </c>
      <c r="HGU21" t="s">
        <v>6984</v>
      </c>
      <c r="HGV21" t="s">
        <v>6984</v>
      </c>
      <c r="HGW21" t="s">
        <v>6984</v>
      </c>
      <c r="HGX21" t="s">
        <v>6984</v>
      </c>
      <c r="HGY21" t="s">
        <v>6984</v>
      </c>
      <c r="HGZ21" t="s">
        <v>6984</v>
      </c>
      <c r="HHA21" t="s">
        <v>6984</v>
      </c>
      <c r="HHB21" t="s">
        <v>6984</v>
      </c>
      <c r="HHC21" t="s">
        <v>6984</v>
      </c>
      <c r="HHD21" t="s">
        <v>6984</v>
      </c>
      <c r="HHE21" t="s">
        <v>6984</v>
      </c>
      <c r="HHF21" t="s">
        <v>6984</v>
      </c>
      <c r="HHG21" t="s">
        <v>6984</v>
      </c>
      <c r="HHH21" t="s">
        <v>6984</v>
      </c>
      <c r="HHI21" t="s">
        <v>6984</v>
      </c>
      <c r="HHJ21" t="s">
        <v>6984</v>
      </c>
      <c r="HHK21" t="s">
        <v>6984</v>
      </c>
      <c r="HHL21" t="s">
        <v>6984</v>
      </c>
      <c r="HHM21" t="s">
        <v>6984</v>
      </c>
      <c r="HHN21" t="s">
        <v>6984</v>
      </c>
      <c r="HHO21" t="s">
        <v>6984</v>
      </c>
      <c r="HHP21" t="s">
        <v>6984</v>
      </c>
      <c r="HHQ21" t="s">
        <v>6984</v>
      </c>
      <c r="HHR21" t="s">
        <v>6984</v>
      </c>
      <c r="HHS21" t="s">
        <v>6984</v>
      </c>
      <c r="HHT21" t="s">
        <v>6984</v>
      </c>
      <c r="HHU21" t="s">
        <v>6984</v>
      </c>
      <c r="HHV21" t="s">
        <v>6984</v>
      </c>
      <c r="HHW21" t="s">
        <v>6984</v>
      </c>
      <c r="HHX21" t="s">
        <v>6984</v>
      </c>
      <c r="HHY21" t="s">
        <v>6984</v>
      </c>
      <c r="HHZ21" t="s">
        <v>6984</v>
      </c>
      <c r="HIA21" t="s">
        <v>6984</v>
      </c>
      <c r="HIB21" t="s">
        <v>6984</v>
      </c>
      <c r="HIC21" t="s">
        <v>6984</v>
      </c>
      <c r="HID21" t="s">
        <v>6984</v>
      </c>
      <c r="HIE21" t="s">
        <v>6984</v>
      </c>
      <c r="HIF21" t="s">
        <v>6984</v>
      </c>
      <c r="HIG21" t="s">
        <v>6984</v>
      </c>
      <c r="HIH21" t="s">
        <v>6984</v>
      </c>
      <c r="HII21" t="s">
        <v>6984</v>
      </c>
      <c r="HIJ21" t="s">
        <v>6984</v>
      </c>
      <c r="HIK21" t="s">
        <v>6984</v>
      </c>
      <c r="HIL21" t="s">
        <v>6984</v>
      </c>
      <c r="HIM21" t="s">
        <v>6984</v>
      </c>
      <c r="HIN21" t="s">
        <v>6984</v>
      </c>
      <c r="HIO21" t="s">
        <v>6984</v>
      </c>
      <c r="HIP21" t="s">
        <v>6984</v>
      </c>
      <c r="HIQ21" t="s">
        <v>6984</v>
      </c>
      <c r="HIR21" t="s">
        <v>6984</v>
      </c>
      <c r="HIS21" t="s">
        <v>6984</v>
      </c>
      <c r="HIT21" t="s">
        <v>6984</v>
      </c>
      <c r="HIU21" t="s">
        <v>6984</v>
      </c>
      <c r="HIV21" t="s">
        <v>6984</v>
      </c>
      <c r="HIW21" t="s">
        <v>6984</v>
      </c>
      <c r="HIX21" t="s">
        <v>6984</v>
      </c>
      <c r="HIY21" t="s">
        <v>6984</v>
      </c>
      <c r="HIZ21" t="s">
        <v>6984</v>
      </c>
      <c r="HJA21" t="s">
        <v>6984</v>
      </c>
      <c r="HJB21" t="s">
        <v>6984</v>
      </c>
      <c r="HJC21" t="s">
        <v>6984</v>
      </c>
      <c r="HJD21" t="s">
        <v>6984</v>
      </c>
      <c r="HJE21" t="s">
        <v>6984</v>
      </c>
      <c r="HJF21" t="s">
        <v>6984</v>
      </c>
      <c r="HJG21" t="s">
        <v>6984</v>
      </c>
      <c r="HJH21" t="s">
        <v>6984</v>
      </c>
      <c r="HJI21" t="s">
        <v>6984</v>
      </c>
      <c r="HJJ21" t="s">
        <v>6984</v>
      </c>
      <c r="HJK21" t="s">
        <v>6984</v>
      </c>
      <c r="HJL21" t="s">
        <v>6984</v>
      </c>
      <c r="HJM21" t="s">
        <v>6984</v>
      </c>
      <c r="HJN21" t="s">
        <v>6984</v>
      </c>
      <c r="HJO21" t="s">
        <v>6984</v>
      </c>
      <c r="HJP21" t="s">
        <v>6984</v>
      </c>
      <c r="HJQ21" t="s">
        <v>6984</v>
      </c>
      <c r="HJR21" t="s">
        <v>6984</v>
      </c>
      <c r="HJS21" t="s">
        <v>6984</v>
      </c>
      <c r="HJT21" t="s">
        <v>6984</v>
      </c>
      <c r="HJU21" t="s">
        <v>6984</v>
      </c>
      <c r="HJV21" t="s">
        <v>6984</v>
      </c>
      <c r="HJW21" t="s">
        <v>6984</v>
      </c>
      <c r="HJX21" t="s">
        <v>6984</v>
      </c>
      <c r="HJY21" t="s">
        <v>6984</v>
      </c>
      <c r="HJZ21" t="s">
        <v>6984</v>
      </c>
      <c r="HKA21" t="s">
        <v>6984</v>
      </c>
      <c r="HKB21" t="s">
        <v>6984</v>
      </c>
      <c r="HKC21" t="s">
        <v>6984</v>
      </c>
      <c r="HKD21" t="s">
        <v>6984</v>
      </c>
      <c r="HKE21" t="s">
        <v>6984</v>
      </c>
      <c r="HKF21" t="s">
        <v>6984</v>
      </c>
      <c r="HKG21" t="s">
        <v>6984</v>
      </c>
      <c r="HKH21" t="s">
        <v>6984</v>
      </c>
      <c r="HKI21" t="s">
        <v>6984</v>
      </c>
      <c r="HKJ21" t="s">
        <v>6984</v>
      </c>
      <c r="HKK21" t="s">
        <v>6984</v>
      </c>
      <c r="HKL21" t="s">
        <v>6984</v>
      </c>
      <c r="HKM21" t="s">
        <v>6984</v>
      </c>
      <c r="HKN21" t="s">
        <v>6984</v>
      </c>
      <c r="HKO21" t="s">
        <v>6984</v>
      </c>
      <c r="HKP21" t="s">
        <v>6984</v>
      </c>
      <c r="HKQ21" t="s">
        <v>6984</v>
      </c>
      <c r="HKR21" t="s">
        <v>6984</v>
      </c>
      <c r="HKS21" t="s">
        <v>6984</v>
      </c>
      <c r="HKT21" t="s">
        <v>6984</v>
      </c>
      <c r="HKU21" t="s">
        <v>6984</v>
      </c>
      <c r="HKV21" t="s">
        <v>6984</v>
      </c>
      <c r="HKW21" t="s">
        <v>6984</v>
      </c>
      <c r="HKX21" t="s">
        <v>6984</v>
      </c>
      <c r="HKY21" t="s">
        <v>6984</v>
      </c>
      <c r="HKZ21" t="s">
        <v>6984</v>
      </c>
      <c r="HLA21" t="s">
        <v>6984</v>
      </c>
      <c r="HLB21" t="s">
        <v>6984</v>
      </c>
      <c r="HLC21" t="s">
        <v>6984</v>
      </c>
      <c r="HLD21" t="s">
        <v>6984</v>
      </c>
      <c r="HLE21" t="s">
        <v>6984</v>
      </c>
      <c r="HLF21" t="s">
        <v>6984</v>
      </c>
      <c r="HLG21" t="s">
        <v>6984</v>
      </c>
      <c r="HLH21" t="s">
        <v>6984</v>
      </c>
      <c r="HLI21" t="s">
        <v>6984</v>
      </c>
      <c r="HLJ21" t="s">
        <v>6984</v>
      </c>
      <c r="HLK21" t="s">
        <v>6984</v>
      </c>
      <c r="HLL21" t="s">
        <v>6984</v>
      </c>
      <c r="HLM21" t="s">
        <v>6984</v>
      </c>
      <c r="HLN21" t="s">
        <v>6984</v>
      </c>
      <c r="HLO21" t="s">
        <v>6984</v>
      </c>
      <c r="HLP21" t="s">
        <v>6984</v>
      </c>
      <c r="HLQ21" t="s">
        <v>6984</v>
      </c>
      <c r="HLR21" t="s">
        <v>6984</v>
      </c>
      <c r="HLS21" t="s">
        <v>6984</v>
      </c>
      <c r="HLT21" t="s">
        <v>6984</v>
      </c>
      <c r="HLU21" t="s">
        <v>6984</v>
      </c>
      <c r="HLV21" t="s">
        <v>6984</v>
      </c>
      <c r="HLW21" t="s">
        <v>6984</v>
      </c>
      <c r="HLX21" t="s">
        <v>6984</v>
      </c>
      <c r="HLY21" t="s">
        <v>6984</v>
      </c>
      <c r="HLZ21" t="s">
        <v>6984</v>
      </c>
      <c r="HMA21" t="s">
        <v>6984</v>
      </c>
      <c r="HMB21" t="s">
        <v>6984</v>
      </c>
      <c r="HMC21" t="s">
        <v>6984</v>
      </c>
      <c r="HMD21" t="s">
        <v>6984</v>
      </c>
      <c r="HME21" t="s">
        <v>6984</v>
      </c>
      <c r="HMF21" t="s">
        <v>6984</v>
      </c>
      <c r="HMG21" t="s">
        <v>6984</v>
      </c>
      <c r="HMH21" t="s">
        <v>6984</v>
      </c>
      <c r="HMI21" t="s">
        <v>6984</v>
      </c>
      <c r="HMJ21" t="s">
        <v>6984</v>
      </c>
      <c r="HMK21" t="s">
        <v>6984</v>
      </c>
      <c r="HML21" t="s">
        <v>6984</v>
      </c>
      <c r="HMM21" t="s">
        <v>6984</v>
      </c>
      <c r="HMN21" t="s">
        <v>6984</v>
      </c>
      <c r="HMO21" t="s">
        <v>6984</v>
      </c>
      <c r="HMP21" t="s">
        <v>6984</v>
      </c>
      <c r="HMQ21" t="s">
        <v>6984</v>
      </c>
      <c r="HMR21" t="s">
        <v>6984</v>
      </c>
      <c r="HMS21" t="s">
        <v>6984</v>
      </c>
      <c r="HMT21" t="s">
        <v>6984</v>
      </c>
      <c r="HMU21" t="s">
        <v>6984</v>
      </c>
      <c r="HMV21" t="s">
        <v>6984</v>
      </c>
      <c r="HMW21" t="s">
        <v>6984</v>
      </c>
      <c r="HMX21" t="s">
        <v>6984</v>
      </c>
      <c r="HMY21" t="s">
        <v>6984</v>
      </c>
      <c r="HMZ21" t="s">
        <v>6984</v>
      </c>
      <c r="HNA21" t="s">
        <v>6984</v>
      </c>
      <c r="HNB21" t="s">
        <v>6984</v>
      </c>
      <c r="HNC21" t="s">
        <v>6984</v>
      </c>
      <c r="HND21" t="s">
        <v>6984</v>
      </c>
      <c r="HNE21" t="s">
        <v>6984</v>
      </c>
      <c r="HNF21" t="s">
        <v>6984</v>
      </c>
      <c r="HNG21" t="s">
        <v>6984</v>
      </c>
      <c r="HNH21" t="s">
        <v>6984</v>
      </c>
      <c r="HNI21" t="s">
        <v>6984</v>
      </c>
      <c r="HNJ21" t="s">
        <v>6984</v>
      </c>
      <c r="HNK21" t="s">
        <v>6984</v>
      </c>
      <c r="HNL21" t="s">
        <v>6984</v>
      </c>
      <c r="HNM21" t="s">
        <v>6984</v>
      </c>
      <c r="HNN21" t="s">
        <v>6984</v>
      </c>
      <c r="HNO21" t="s">
        <v>6984</v>
      </c>
      <c r="HNP21" t="s">
        <v>6984</v>
      </c>
      <c r="HNQ21" t="s">
        <v>6984</v>
      </c>
      <c r="HNR21" t="s">
        <v>6984</v>
      </c>
      <c r="HNS21" t="s">
        <v>6984</v>
      </c>
      <c r="HNT21" t="s">
        <v>6984</v>
      </c>
      <c r="HNU21" t="s">
        <v>6984</v>
      </c>
      <c r="HNV21" t="s">
        <v>6984</v>
      </c>
      <c r="HNW21" t="s">
        <v>6984</v>
      </c>
      <c r="HNX21" t="s">
        <v>6984</v>
      </c>
      <c r="HNY21" t="s">
        <v>6984</v>
      </c>
      <c r="HNZ21" t="s">
        <v>6984</v>
      </c>
      <c r="HOA21" t="s">
        <v>6984</v>
      </c>
      <c r="HOB21" t="s">
        <v>6984</v>
      </c>
      <c r="HOC21" t="s">
        <v>6984</v>
      </c>
      <c r="HOD21" t="s">
        <v>6984</v>
      </c>
      <c r="HOE21" t="s">
        <v>6984</v>
      </c>
      <c r="HOF21" t="s">
        <v>6984</v>
      </c>
      <c r="HOG21" t="s">
        <v>6984</v>
      </c>
      <c r="HOH21" t="s">
        <v>6984</v>
      </c>
      <c r="HOI21" t="s">
        <v>6984</v>
      </c>
      <c r="HOJ21" t="s">
        <v>6984</v>
      </c>
      <c r="HOK21" t="s">
        <v>6984</v>
      </c>
      <c r="HOL21" t="s">
        <v>6984</v>
      </c>
      <c r="HOM21" t="s">
        <v>6984</v>
      </c>
      <c r="HON21" t="s">
        <v>6984</v>
      </c>
      <c r="HOO21" t="s">
        <v>6984</v>
      </c>
      <c r="HOP21" t="s">
        <v>6984</v>
      </c>
      <c r="HOQ21" t="s">
        <v>6984</v>
      </c>
      <c r="HOR21" t="s">
        <v>6984</v>
      </c>
      <c r="HOS21" t="s">
        <v>6984</v>
      </c>
      <c r="HOT21" t="s">
        <v>6984</v>
      </c>
      <c r="HOU21" t="s">
        <v>6984</v>
      </c>
      <c r="HOV21" t="s">
        <v>6984</v>
      </c>
      <c r="HOW21" t="s">
        <v>6984</v>
      </c>
      <c r="HOX21" t="s">
        <v>6984</v>
      </c>
      <c r="HOY21" t="s">
        <v>6984</v>
      </c>
      <c r="HOZ21" t="s">
        <v>6984</v>
      </c>
      <c r="HPA21" t="s">
        <v>6984</v>
      </c>
      <c r="HPB21" t="s">
        <v>6984</v>
      </c>
      <c r="HPC21" t="s">
        <v>6984</v>
      </c>
      <c r="HPD21" t="s">
        <v>6984</v>
      </c>
      <c r="HPE21" t="s">
        <v>6984</v>
      </c>
      <c r="HPF21" t="s">
        <v>6984</v>
      </c>
      <c r="HPG21" t="s">
        <v>6984</v>
      </c>
      <c r="HPH21" t="s">
        <v>6984</v>
      </c>
      <c r="HPI21" t="s">
        <v>6984</v>
      </c>
      <c r="HPJ21" t="s">
        <v>6984</v>
      </c>
      <c r="HPK21" t="s">
        <v>6984</v>
      </c>
      <c r="HPL21" t="s">
        <v>6984</v>
      </c>
      <c r="HPM21" t="s">
        <v>6984</v>
      </c>
      <c r="HPN21" t="s">
        <v>6984</v>
      </c>
      <c r="HPO21" t="s">
        <v>6984</v>
      </c>
      <c r="HPP21" t="s">
        <v>6984</v>
      </c>
      <c r="HPQ21" t="s">
        <v>6984</v>
      </c>
      <c r="HPR21" t="s">
        <v>6984</v>
      </c>
      <c r="HPS21" t="s">
        <v>6984</v>
      </c>
      <c r="HPT21" t="s">
        <v>6984</v>
      </c>
      <c r="HPU21" t="s">
        <v>6984</v>
      </c>
      <c r="HPV21" t="s">
        <v>6984</v>
      </c>
      <c r="HPW21" t="s">
        <v>6984</v>
      </c>
      <c r="HPX21" t="s">
        <v>6984</v>
      </c>
      <c r="HPY21" t="s">
        <v>6984</v>
      </c>
      <c r="HPZ21" t="s">
        <v>6984</v>
      </c>
      <c r="HQA21" t="s">
        <v>6984</v>
      </c>
      <c r="HQB21" t="s">
        <v>6984</v>
      </c>
      <c r="HQC21" t="s">
        <v>6984</v>
      </c>
      <c r="HQD21" t="s">
        <v>6984</v>
      </c>
      <c r="HQE21" t="s">
        <v>6984</v>
      </c>
      <c r="HQF21" t="s">
        <v>6984</v>
      </c>
      <c r="HQG21" t="s">
        <v>6984</v>
      </c>
      <c r="HQH21" t="s">
        <v>6984</v>
      </c>
      <c r="HQI21" t="s">
        <v>6984</v>
      </c>
      <c r="HQJ21" t="s">
        <v>6984</v>
      </c>
      <c r="HQK21" t="s">
        <v>6984</v>
      </c>
      <c r="HQL21" t="s">
        <v>6984</v>
      </c>
      <c r="HQM21" t="s">
        <v>6984</v>
      </c>
      <c r="HQN21" t="s">
        <v>6984</v>
      </c>
      <c r="HQO21" t="s">
        <v>6984</v>
      </c>
      <c r="HQP21" t="s">
        <v>6984</v>
      </c>
      <c r="HQQ21" t="s">
        <v>6984</v>
      </c>
      <c r="HQR21" t="s">
        <v>6984</v>
      </c>
      <c r="HQS21" t="s">
        <v>6984</v>
      </c>
      <c r="HQT21" t="s">
        <v>6984</v>
      </c>
      <c r="HQU21" t="s">
        <v>6984</v>
      </c>
      <c r="HQV21" t="s">
        <v>6984</v>
      </c>
      <c r="HQW21" t="s">
        <v>6984</v>
      </c>
      <c r="HQX21" t="s">
        <v>6984</v>
      </c>
      <c r="HQY21" t="s">
        <v>6984</v>
      </c>
      <c r="HQZ21" t="s">
        <v>6984</v>
      </c>
      <c r="HRA21" t="s">
        <v>6984</v>
      </c>
      <c r="HRB21" t="s">
        <v>6984</v>
      </c>
      <c r="HRC21" t="s">
        <v>6984</v>
      </c>
      <c r="HRD21" t="s">
        <v>6984</v>
      </c>
      <c r="HRE21" t="s">
        <v>6984</v>
      </c>
      <c r="HRF21" t="s">
        <v>6984</v>
      </c>
      <c r="HRG21" t="s">
        <v>6984</v>
      </c>
      <c r="HRH21" t="s">
        <v>6984</v>
      </c>
      <c r="HRI21" t="s">
        <v>6984</v>
      </c>
      <c r="HRJ21" t="s">
        <v>6984</v>
      </c>
      <c r="HRK21" t="s">
        <v>6984</v>
      </c>
      <c r="HRL21" t="s">
        <v>6984</v>
      </c>
      <c r="HRM21" t="s">
        <v>6984</v>
      </c>
      <c r="HRN21" t="s">
        <v>6984</v>
      </c>
      <c r="HRO21" t="s">
        <v>6984</v>
      </c>
      <c r="HRP21" t="s">
        <v>6984</v>
      </c>
      <c r="HRQ21" t="s">
        <v>6984</v>
      </c>
      <c r="HRR21" t="s">
        <v>6984</v>
      </c>
      <c r="HRS21" t="s">
        <v>6984</v>
      </c>
      <c r="HRT21" t="s">
        <v>6984</v>
      </c>
      <c r="HRU21" t="s">
        <v>6984</v>
      </c>
      <c r="HRV21" t="s">
        <v>6984</v>
      </c>
      <c r="HRW21" t="s">
        <v>6984</v>
      </c>
      <c r="HRX21" t="s">
        <v>6984</v>
      </c>
      <c r="HRY21" t="s">
        <v>6984</v>
      </c>
      <c r="HRZ21" t="s">
        <v>6984</v>
      </c>
      <c r="HSA21" t="s">
        <v>6984</v>
      </c>
      <c r="HSB21" t="s">
        <v>6984</v>
      </c>
      <c r="HSC21" t="s">
        <v>6984</v>
      </c>
      <c r="HSD21" t="s">
        <v>6984</v>
      </c>
      <c r="HSE21" t="s">
        <v>6984</v>
      </c>
      <c r="HSF21" t="s">
        <v>6984</v>
      </c>
      <c r="HSG21" t="s">
        <v>6984</v>
      </c>
      <c r="HSH21" t="s">
        <v>6984</v>
      </c>
      <c r="HSI21" t="s">
        <v>6984</v>
      </c>
      <c r="HSJ21" t="s">
        <v>6984</v>
      </c>
      <c r="HSK21" t="s">
        <v>6984</v>
      </c>
      <c r="HSL21" t="s">
        <v>6984</v>
      </c>
      <c r="HSM21" t="s">
        <v>6984</v>
      </c>
      <c r="HSN21" t="s">
        <v>6984</v>
      </c>
      <c r="HSO21" t="s">
        <v>6984</v>
      </c>
      <c r="HSP21" t="s">
        <v>6984</v>
      </c>
      <c r="HSQ21" t="s">
        <v>6984</v>
      </c>
      <c r="HSR21" t="s">
        <v>6984</v>
      </c>
      <c r="HSS21" t="s">
        <v>6984</v>
      </c>
      <c r="HST21" t="s">
        <v>6984</v>
      </c>
      <c r="HSU21" t="s">
        <v>6984</v>
      </c>
      <c r="HSV21" t="s">
        <v>6984</v>
      </c>
      <c r="HSW21" t="s">
        <v>6984</v>
      </c>
      <c r="HSX21" t="s">
        <v>6984</v>
      </c>
      <c r="HSY21" t="s">
        <v>6984</v>
      </c>
      <c r="HSZ21" t="s">
        <v>6984</v>
      </c>
      <c r="HTA21" t="s">
        <v>6984</v>
      </c>
      <c r="HTB21" t="s">
        <v>6984</v>
      </c>
      <c r="HTC21" t="s">
        <v>6984</v>
      </c>
      <c r="HTD21" t="s">
        <v>6984</v>
      </c>
      <c r="HTE21" t="s">
        <v>6984</v>
      </c>
      <c r="HTF21" t="s">
        <v>6984</v>
      </c>
      <c r="HTG21" t="s">
        <v>6984</v>
      </c>
      <c r="HTH21" t="s">
        <v>6984</v>
      </c>
      <c r="HTI21" t="s">
        <v>6984</v>
      </c>
      <c r="HTJ21" t="s">
        <v>6984</v>
      </c>
      <c r="HTK21" t="s">
        <v>6984</v>
      </c>
      <c r="HTL21" t="s">
        <v>6984</v>
      </c>
      <c r="HTM21" t="s">
        <v>6984</v>
      </c>
      <c r="HTN21" t="s">
        <v>6984</v>
      </c>
      <c r="HTO21" t="s">
        <v>6984</v>
      </c>
      <c r="HTP21" t="s">
        <v>6984</v>
      </c>
      <c r="HTQ21" t="s">
        <v>6984</v>
      </c>
      <c r="HTR21" t="s">
        <v>6984</v>
      </c>
      <c r="HTS21" t="s">
        <v>6984</v>
      </c>
      <c r="HTT21" t="s">
        <v>6984</v>
      </c>
      <c r="HTU21" t="s">
        <v>6984</v>
      </c>
      <c r="HTV21" t="s">
        <v>6984</v>
      </c>
      <c r="HTW21" t="s">
        <v>6984</v>
      </c>
      <c r="HTX21" t="s">
        <v>6984</v>
      </c>
      <c r="HTY21" t="s">
        <v>6984</v>
      </c>
      <c r="HTZ21" t="s">
        <v>6984</v>
      </c>
      <c r="HUA21" t="s">
        <v>6984</v>
      </c>
      <c r="HUB21" t="s">
        <v>6984</v>
      </c>
      <c r="HUC21" t="s">
        <v>6984</v>
      </c>
      <c r="HUD21" t="s">
        <v>6984</v>
      </c>
      <c r="HUE21" t="s">
        <v>6984</v>
      </c>
      <c r="HUF21" t="s">
        <v>6984</v>
      </c>
      <c r="HUG21" t="s">
        <v>6984</v>
      </c>
      <c r="HUH21" t="s">
        <v>6984</v>
      </c>
      <c r="HUI21" t="s">
        <v>6984</v>
      </c>
      <c r="HUJ21" t="s">
        <v>6984</v>
      </c>
      <c r="HUK21" t="s">
        <v>6984</v>
      </c>
      <c r="HUL21" t="s">
        <v>6984</v>
      </c>
      <c r="HUM21" t="s">
        <v>6984</v>
      </c>
      <c r="HUN21" t="s">
        <v>6984</v>
      </c>
      <c r="HUO21" t="s">
        <v>6984</v>
      </c>
      <c r="HUP21" t="s">
        <v>6984</v>
      </c>
      <c r="HUQ21" t="s">
        <v>6984</v>
      </c>
      <c r="HUR21" t="s">
        <v>6984</v>
      </c>
      <c r="HUS21" t="s">
        <v>6984</v>
      </c>
      <c r="HUT21" t="s">
        <v>6984</v>
      </c>
      <c r="HUU21" t="s">
        <v>6984</v>
      </c>
      <c r="HUV21" t="s">
        <v>6984</v>
      </c>
      <c r="HUW21" t="s">
        <v>6984</v>
      </c>
      <c r="HUX21" t="s">
        <v>6984</v>
      </c>
      <c r="HUY21" t="s">
        <v>6984</v>
      </c>
      <c r="HUZ21" t="s">
        <v>6984</v>
      </c>
      <c r="HVA21" t="s">
        <v>6984</v>
      </c>
      <c r="HVB21" t="s">
        <v>6984</v>
      </c>
      <c r="HVC21" t="s">
        <v>6984</v>
      </c>
      <c r="HVD21" t="s">
        <v>6984</v>
      </c>
      <c r="HVE21" t="s">
        <v>6984</v>
      </c>
      <c r="HVF21" t="s">
        <v>6984</v>
      </c>
      <c r="HVG21" t="s">
        <v>6984</v>
      </c>
      <c r="HVH21" t="s">
        <v>6984</v>
      </c>
      <c r="HVI21" t="s">
        <v>6984</v>
      </c>
      <c r="HVJ21" t="s">
        <v>6984</v>
      </c>
      <c r="HVK21" t="s">
        <v>6984</v>
      </c>
      <c r="HVL21" t="s">
        <v>6984</v>
      </c>
      <c r="HVM21" t="s">
        <v>6984</v>
      </c>
      <c r="HVN21" t="s">
        <v>6984</v>
      </c>
      <c r="HVO21" t="s">
        <v>6984</v>
      </c>
      <c r="HVP21" t="s">
        <v>6984</v>
      </c>
      <c r="HVQ21" t="s">
        <v>6984</v>
      </c>
      <c r="HVR21" t="s">
        <v>6984</v>
      </c>
      <c r="HVS21" t="s">
        <v>6984</v>
      </c>
      <c r="HVT21" t="s">
        <v>6984</v>
      </c>
      <c r="HVU21" t="s">
        <v>6984</v>
      </c>
      <c r="HVV21" t="s">
        <v>6984</v>
      </c>
      <c r="HVW21" t="s">
        <v>6984</v>
      </c>
      <c r="HVX21" t="s">
        <v>6984</v>
      </c>
      <c r="HVY21" t="s">
        <v>6984</v>
      </c>
      <c r="HVZ21" t="s">
        <v>6984</v>
      </c>
      <c r="HWA21" t="s">
        <v>6984</v>
      </c>
      <c r="HWB21" t="s">
        <v>6984</v>
      </c>
      <c r="HWC21" t="s">
        <v>6984</v>
      </c>
      <c r="HWD21" t="s">
        <v>6984</v>
      </c>
      <c r="HWE21" t="s">
        <v>6984</v>
      </c>
      <c r="HWF21" t="s">
        <v>6984</v>
      </c>
      <c r="HWG21" t="s">
        <v>6984</v>
      </c>
      <c r="HWH21" t="s">
        <v>6984</v>
      </c>
      <c r="HWI21" t="s">
        <v>6984</v>
      </c>
      <c r="HWJ21" t="s">
        <v>6984</v>
      </c>
      <c r="HWK21" t="s">
        <v>6984</v>
      </c>
      <c r="HWL21" t="s">
        <v>6984</v>
      </c>
      <c r="HWM21" t="s">
        <v>6984</v>
      </c>
      <c r="HWN21" t="s">
        <v>6984</v>
      </c>
      <c r="HWO21" t="s">
        <v>6984</v>
      </c>
      <c r="HWP21" t="s">
        <v>6984</v>
      </c>
      <c r="HWQ21" t="s">
        <v>6984</v>
      </c>
      <c r="HWR21" t="s">
        <v>6984</v>
      </c>
      <c r="HWS21" t="s">
        <v>6984</v>
      </c>
      <c r="HWT21" t="s">
        <v>6984</v>
      </c>
      <c r="HWU21" t="s">
        <v>6984</v>
      </c>
      <c r="HWV21" t="s">
        <v>6984</v>
      </c>
      <c r="HWW21" t="s">
        <v>6984</v>
      </c>
      <c r="HWX21" t="s">
        <v>6984</v>
      </c>
      <c r="HWY21" t="s">
        <v>6984</v>
      </c>
      <c r="HWZ21" t="s">
        <v>6984</v>
      </c>
      <c r="HXA21" t="s">
        <v>6984</v>
      </c>
      <c r="HXB21" t="s">
        <v>6984</v>
      </c>
      <c r="HXC21" t="s">
        <v>6984</v>
      </c>
      <c r="HXD21" t="s">
        <v>6984</v>
      </c>
      <c r="HXE21" t="s">
        <v>6984</v>
      </c>
      <c r="HXF21" t="s">
        <v>6984</v>
      </c>
      <c r="HXG21" t="s">
        <v>6984</v>
      </c>
      <c r="HXH21" t="s">
        <v>6984</v>
      </c>
      <c r="HXI21" t="s">
        <v>6984</v>
      </c>
      <c r="HXJ21" t="s">
        <v>6984</v>
      </c>
      <c r="HXK21" t="s">
        <v>6984</v>
      </c>
      <c r="HXL21" t="s">
        <v>6984</v>
      </c>
      <c r="HXM21" t="s">
        <v>6984</v>
      </c>
      <c r="HXN21" t="s">
        <v>6984</v>
      </c>
      <c r="HXO21" t="s">
        <v>6984</v>
      </c>
      <c r="HXP21" t="s">
        <v>6984</v>
      </c>
      <c r="HXQ21" t="s">
        <v>6984</v>
      </c>
      <c r="HXR21" t="s">
        <v>6984</v>
      </c>
      <c r="HXS21" t="s">
        <v>6984</v>
      </c>
      <c r="HXT21" t="s">
        <v>6984</v>
      </c>
      <c r="HXU21" t="s">
        <v>6984</v>
      </c>
      <c r="HXV21" t="s">
        <v>6984</v>
      </c>
      <c r="HXW21" t="s">
        <v>6984</v>
      </c>
      <c r="HXX21" t="s">
        <v>6984</v>
      </c>
      <c r="HXY21" t="s">
        <v>6984</v>
      </c>
      <c r="HXZ21" t="s">
        <v>6984</v>
      </c>
      <c r="HYA21" t="s">
        <v>6984</v>
      </c>
      <c r="HYB21" t="s">
        <v>6984</v>
      </c>
      <c r="HYC21" t="s">
        <v>6984</v>
      </c>
      <c r="HYD21" t="s">
        <v>6984</v>
      </c>
      <c r="HYE21" t="s">
        <v>6984</v>
      </c>
      <c r="HYF21" t="s">
        <v>6984</v>
      </c>
      <c r="HYG21" t="s">
        <v>6984</v>
      </c>
      <c r="HYH21" t="s">
        <v>6984</v>
      </c>
      <c r="HYI21" t="s">
        <v>6984</v>
      </c>
      <c r="HYJ21" t="s">
        <v>6984</v>
      </c>
      <c r="HYK21" t="s">
        <v>6984</v>
      </c>
      <c r="HYL21" t="s">
        <v>6984</v>
      </c>
      <c r="HYM21" t="s">
        <v>6984</v>
      </c>
      <c r="HYN21" t="s">
        <v>6984</v>
      </c>
      <c r="HYO21" t="s">
        <v>6984</v>
      </c>
      <c r="HYP21" t="s">
        <v>6984</v>
      </c>
      <c r="HYQ21" t="s">
        <v>6984</v>
      </c>
      <c r="HYR21" t="s">
        <v>6984</v>
      </c>
      <c r="HYS21" t="s">
        <v>6984</v>
      </c>
      <c r="HYT21" t="s">
        <v>6984</v>
      </c>
      <c r="HYU21" t="s">
        <v>6984</v>
      </c>
      <c r="HYV21" t="s">
        <v>6984</v>
      </c>
      <c r="HYW21" t="s">
        <v>6984</v>
      </c>
      <c r="HYX21" t="s">
        <v>6984</v>
      </c>
      <c r="HYY21" t="s">
        <v>6984</v>
      </c>
      <c r="HYZ21" t="s">
        <v>6984</v>
      </c>
      <c r="HZA21" t="s">
        <v>6984</v>
      </c>
      <c r="HZB21" t="s">
        <v>6984</v>
      </c>
      <c r="HZC21" t="s">
        <v>6984</v>
      </c>
      <c r="HZD21" t="s">
        <v>6984</v>
      </c>
      <c r="HZE21" t="s">
        <v>6984</v>
      </c>
      <c r="HZF21" t="s">
        <v>6984</v>
      </c>
      <c r="HZG21" t="s">
        <v>6984</v>
      </c>
      <c r="HZH21" t="s">
        <v>6984</v>
      </c>
      <c r="HZI21" t="s">
        <v>6984</v>
      </c>
      <c r="HZJ21" t="s">
        <v>6984</v>
      </c>
      <c r="HZK21" t="s">
        <v>6984</v>
      </c>
      <c r="HZL21" t="s">
        <v>6984</v>
      </c>
      <c r="HZM21" t="s">
        <v>6984</v>
      </c>
      <c r="HZN21" t="s">
        <v>6984</v>
      </c>
      <c r="HZO21" t="s">
        <v>6984</v>
      </c>
      <c r="HZP21" t="s">
        <v>6984</v>
      </c>
      <c r="HZQ21" t="s">
        <v>6984</v>
      </c>
      <c r="HZR21" t="s">
        <v>6984</v>
      </c>
      <c r="HZS21" t="s">
        <v>6984</v>
      </c>
      <c r="HZT21" t="s">
        <v>6984</v>
      </c>
      <c r="HZU21" t="s">
        <v>6984</v>
      </c>
      <c r="HZV21" t="s">
        <v>6984</v>
      </c>
      <c r="HZW21" t="s">
        <v>6984</v>
      </c>
      <c r="HZX21" t="s">
        <v>6984</v>
      </c>
      <c r="HZY21" t="s">
        <v>6984</v>
      </c>
      <c r="HZZ21" t="s">
        <v>6984</v>
      </c>
      <c r="IAA21" t="s">
        <v>6984</v>
      </c>
      <c r="IAB21" t="s">
        <v>6984</v>
      </c>
      <c r="IAC21" t="s">
        <v>6984</v>
      </c>
      <c r="IAD21" t="s">
        <v>6984</v>
      </c>
      <c r="IAE21" t="s">
        <v>6984</v>
      </c>
      <c r="IAF21" t="s">
        <v>6984</v>
      </c>
      <c r="IAG21" t="s">
        <v>6984</v>
      </c>
      <c r="IAH21" t="s">
        <v>6984</v>
      </c>
      <c r="IAI21" t="s">
        <v>6984</v>
      </c>
      <c r="IAJ21" t="s">
        <v>6984</v>
      </c>
      <c r="IAK21" t="s">
        <v>6984</v>
      </c>
      <c r="IAL21" t="s">
        <v>6984</v>
      </c>
      <c r="IAM21" t="s">
        <v>6984</v>
      </c>
      <c r="IAN21" t="s">
        <v>6984</v>
      </c>
      <c r="IAO21" t="s">
        <v>6984</v>
      </c>
      <c r="IAP21" t="s">
        <v>6984</v>
      </c>
      <c r="IAQ21" t="s">
        <v>6984</v>
      </c>
      <c r="IAR21" t="s">
        <v>6984</v>
      </c>
      <c r="IAS21" t="s">
        <v>6984</v>
      </c>
      <c r="IAT21" t="s">
        <v>6984</v>
      </c>
      <c r="IAU21" t="s">
        <v>6984</v>
      </c>
      <c r="IAV21" t="s">
        <v>6984</v>
      </c>
      <c r="IAW21" t="s">
        <v>6984</v>
      </c>
      <c r="IAX21" t="s">
        <v>6984</v>
      </c>
      <c r="IAY21" t="s">
        <v>6984</v>
      </c>
      <c r="IAZ21" t="s">
        <v>6984</v>
      </c>
      <c r="IBA21" t="s">
        <v>6984</v>
      </c>
      <c r="IBB21" t="s">
        <v>6984</v>
      </c>
      <c r="IBC21" t="s">
        <v>6984</v>
      </c>
      <c r="IBD21" t="s">
        <v>6984</v>
      </c>
      <c r="IBE21" t="s">
        <v>6984</v>
      </c>
      <c r="IBF21" t="s">
        <v>6984</v>
      </c>
      <c r="IBG21" t="s">
        <v>6984</v>
      </c>
      <c r="IBH21" t="s">
        <v>6984</v>
      </c>
      <c r="IBI21" t="s">
        <v>6984</v>
      </c>
      <c r="IBJ21" t="s">
        <v>6984</v>
      </c>
      <c r="IBK21" t="s">
        <v>6984</v>
      </c>
      <c r="IBL21" t="s">
        <v>6984</v>
      </c>
      <c r="IBM21" t="s">
        <v>6984</v>
      </c>
      <c r="IBN21" t="s">
        <v>6984</v>
      </c>
      <c r="IBO21" t="s">
        <v>6984</v>
      </c>
      <c r="IBP21" t="s">
        <v>6984</v>
      </c>
      <c r="IBQ21" t="s">
        <v>6984</v>
      </c>
      <c r="IBR21" t="s">
        <v>6984</v>
      </c>
      <c r="IBS21" t="s">
        <v>6984</v>
      </c>
      <c r="IBT21" t="s">
        <v>6984</v>
      </c>
      <c r="IBU21" t="s">
        <v>6984</v>
      </c>
      <c r="IBV21" t="s">
        <v>6984</v>
      </c>
      <c r="IBW21" t="s">
        <v>6984</v>
      </c>
      <c r="IBX21" t="s">
        <v>6984</v>
      </c>
      <c r="IBY21" t="s">
        <v>6984</v>
      </c>
      <c r="IBZ21" t="s">
        <v>6984</v>
      </c>
      <c r="ICA21" t="s">
        <v>6984</v>
      </c>
      <c r="ICB21" t="s">
        <v>6984</v>
      </c>
      <c r="ICC21" t="s">
        <v>6984</v>
      </c>
      <c r="ICD21" t="s">
        <v>6984</v>
      </c>
      <c r="ICE21" t="s">
        <v>6984</v>
      </c>
      <c r="ICF21" t="s">
        <v>6984</v>
      </c>
      <c r="ICG21" t="s">
        <v>6984</v>
      </c>
      <c r="ICH21" t="s">
        <v>6984</v>
      </c>
      <c r="ICI21" t="s">
        <v>6984</v>
      </c>
      <c r="ICJ21" t="s">
        <v>6984</v>
      </c>
      <c r="ICK21" t="s">
        <v>6984</v>
      </c>
      <c r="ICL21" t="s">
        <v>6984</v>
      </c>
      <c r="ICM21" t="s">
        <v>6984</v>
      </c>
      <c r="ICN21" t="s">
        <v>6984</v>
      </c>
      <c r="ICO21" t="s">
        <v>6984</v>
      </c>
      <c r="ICP21" t="s">
        <v>6984</v>
      </c>
      <c r="ICQ21" t="s">
        <v>6984</v>
      </c>
      <c r="ICR21" t="s">
        <v>6984</v>
      </c>
      <c r="ICS21" t="s">
        <v>6984</v>
      </c>
      <c r="ICT21" t="s">
        <v>6984</v>
      </c>
      <c r="ICU21" t="s">
        <v>6984</v>
      </c>
      <c r="ICV21" t="s">
        <v>6984</v>
      </c>
      <c r="ICW21" t="s">
        <v>6984</v>
      </c>
      <c r="ICX21" t="s">
        <v>6984</v>
      </c>
      <c r="ICY21" t="s">
        <v>6984</v>
      </c>
      <c r="ICZ21" t="s">
        <v>6984</v>
      </c>
      <c r="IDA21" t="s">
        <v>6984</v>
      </c>
      <c r="IDB21" t="s">
        <v>6984</v>
      </c>
      <c r="IDC21" t="s">
        <v>6984</v>
      </c>
      <c r="IDD21" t="s">
        <v>6984</v>
      </c>
      <c r="IDE21" t="s">
        <v>6984</v>
      </c>
      <c r="IDF21" t="s">
        <v>6984</v>
      </c>
      <c r="IDG21" t="s">
        <v>6984</v>
      </c>
      <c r="IDH21" t="s">
        <v>6984</v>
      </c>
      <c r="IDI21" t="s">
        <v>6984</v>
      </c>
      <c r="IDJ21" t="s">
        <v>6984</v>
      </c>
      <c r="IDK21" t="s">
        <v>6984</v>
      </c>
      <c r="IDL21" t="s">
        <v>6984</v>
      </c>
      <c r="IDM21" t="s">
        <v>6984</v>
      </c>
      <c r="IDN21" t="s">
        <v>6984</v>
      </c>
      <c r="IDO21" t="s">
        <v>6984</v>
      </c>
      <c r="IDP21" t="s">
        <v>6984</v>
      </c>
      <c r="IDQ21" t="s">
        <v>6984</v>
      </c>
      <c r="IDR21" t="s">
        <v>6984</v>
      </c>
      <c r="IDS21" t="s">
        <v>6984</v>
      </c>
      <c r="IDT21" t="s">
        <v>6984</v>
      </c>
      <c r="IDU21" t="s">
        <v>6984</v>
      </c>
      <c r="IDV21" t="s">
        <v>6984</v>
      </c>
      <c r="IDW21" t="s">
        <v>6984</v>
      </c>
      <c r="IDX21" t="s">
        <v>6984</v>
      </c>
      <c r="IDY21" t="s">
        <v>6984</v>
      </c>
      <c r="IDZ21" t="s">
        <v>6984</v>
      </c>
      <c r="IEA21" t="s">
        <v>6984</v>
      </c>
      <c r="IEB21" t="s">
        <v>6984</v>
      </c>
      <c r="IEC21" t="s">
        <v>6984</v>
      </c>
      <c r="IED21" t="s">
        <v>6984</v>
      </c>
      <c r="IEE21" t="s">
        <v>6984</v>
      </c>
      <c r="IEF21" t="s">
        <v>6984</v>
      </c>
      <c r="IEG21" t="s">
        <v>6984</v>
      </c>
      <c r="IEH21" t="s">
        <v>6984</v>
      </c>
      <c r="IEI21" t="s">
        <v>6984</v>
      </c>
      <c r="IEJ21" t="s">
        <v>6984</v>
      </c>
      <c r="IEK21" t="s">
        <v>6984</v>
      </c>
      <c r="IEL21" t="s">
        <v>6984</v>
      </c>
      <c r="IEM21" t="s">
        <v>6984</v>
      </c>
      <c r="IEN21" t="s">
        <v>6984</v>
      </c>
      <c r="IEO21" t="s">
        <v>6984</v>
      </c>
      <c r="IEP21" t="s">
        <v>6984</v>
      </c>
      <c r="IEQ21" t="s">
        <v>6984</v>
      </c>
      <c r="IER21" t="s">
        <v>6984</v>
      </c>
      <c r="IES21" t="s">
        <v>6984</v>
      </c>
      <c r="IET21" t="s">
        <v>6984</v>
      </c>
      <c r="IEU21" t="s">
        <v>6984</v>
      </c>
      <c r="IEV21" t="s">
        <v>6984</v>
      </c>
      <c r="IEW21" t="s">
        <v>6984</v>
      </c>
      <c r="IEX21" t="s">
        <v>6984</v>
      </c>
      <c r="IEY21" t="s">
        <v>6984</v>
      </c>
      <c r="IEZ21" t="s">
        <v>6984</v>
      </c>
      <c r="IFA21" t="s">
        <v>6984</v>
      </c>
      <c r="IFB21" t="s">
        <v>6984</v>
      </c>
      <c r="IFC21" t="s">
        <v>6984</v>
      </c>
      <c r="IFD21" t="s">
        <v>6984</v>
      </c>
      <c r="IFE21" t="s">
        <v>6984</v>
      </c>
      <c r="IFF21" t="s">
        <v>6984</v>
      </c>
      <c r="IFG21" t="s">
        <v>6984</v>
      </c>
      <c r="IFH21" t="s">
        <v>6984</v>
      </c>
      <c r="IFI21" t="s">
        <v>6984</v>
      </c>
      <c r="IFJ21" t="s">
        <v>6984</v>
      </c>
      <c r="IFK21" t="s">
        <v>6984</v>
      </c>
      <c r="IFL21" t="s">
        <v>6984</v>
      </c>
      <c r="IFM21" t="s">
        <v>6984</v>
      </c>
      <c r="IFN21" t="s">
        <v>6984</v>
      </c>
      <c r="IFO21" t="s">
        <v>6984</v>
      </c>
      <c r="IFP21" t="s">
        <v>6984</v>
      </c>
      <c r="IFQ21" t="s">
        <v>6984</v>
      </c>
      <c r="IFR21" t="s">
        <v>6984</v>
      </c>
      <c r="IFS21" t="s">
        <v>6984</v>
      </c>
      <c r="IFT21" t="s">
        <v>6984</v>
      </c>
      <c r="IFU21" t="s">
        <v>6984</v>
      </c>
      <c r="IFV21" t="s">
        <v>6984</v>
      </c>
      <c r="IFW21" t="s">
        <v>6984</v>
      </c>
      <c r="IFX21" t="s">
        <v>6984</v>
      </c>
      <c r="IFY21" t="s">
        <v>6984</v>
      </c>
      <c r="IFZ21" t="s">
        <v>6984</v>
      </c>
      <c r="IGA21" t="s">
        <v>6984</v>
      </c>
      <c r="IGB21" t="s">
        <v>6984</v>
      </c>
      <c r="IGC21" t="s">
        <v>6984</v>
      </c>
      <c r="IGD21" t="s">
        <v>6984</v>
      </c>
      <c r="IGE21" t="s">
        <v>6984</v>
      </c>
      <c r="IGF21" t="s">
        <v>6984</v>
      </c>
      <c r="IGG21" t="s">
        <v>6984</v>
      </c>
      <c r="IGH21" t="s">
        <v>6984</v>
      </c>
      <c r="IGI21" t="s">
        <v>6984</v>
      </c>
      <c r="IGJ21" t="s">
        <v>6984</v>
      </c>
      <c r="IGK21" t="s">
        <v>6984</v>
      </c>
      <c r="IGL21" t="s">
        <v>6984</v>
      </c>
      <c r="IGM21" t="s">
        <v>6984</v>
      </c>
      <c r="IGN21" t="s">
        <v>6984</v>
      </c>
      <c r="IGO21" t="s">
        <v>6984</v>
      </c>
      <c r="IGP21" t="s">
        <v>6984</v>
      </c>
      <c r="IGQ21" t="s">
        <v>6984</v>
      </c>
      <c r="IGR21" t="s">
        <v>6984</v>
      </c>
      <c r="IGS21" t="s">
        <v>6984</v>
      </c>
      <c r="IGT21" t="s">
        <v>6984</v>
      </c>
      <c r="IGU21" t="s">
        <v>6984</v>
      </c>
      <c r="IGV21" t="s">
        <v>6984</v>
      </c>
      <c r="IGW21" t="s">
        <v>6984</v>
      </c>
      <c r="IGX21" t="s">
        <v>6984</v>
      </c>
      <c r="IGY21" t="s">
        <v>6984</v>
      </c>
      <c r="IGZ21" t="s">
        <v>6984</v>
      </c>
      <c r="IHA21" t="s">
        <v>6984</v>
      </c>
      <c r="IHB21" t="s">
        <v>6984</v>
      </c>
      <c r="IHC21" t="s">
        <v>6984</v>
      </c>
      <c r="IHD21" t="s">
        <v>6984</v>
      </c>
      <c r="IHE21" t="s">
        <v>6984</v>
      </c>
      <c r="IHF21" t="s">
        <v>6984</v>
      </c>
      <c r="IHG21" t="s">
        <v>6984</v>
      </c>
      <c r="IHH21" t="s">
        <v>6984</v>
      </c>
      <c r="IHI21" t="s">
        <v>6984</v>
      </c>
      <c r="IHJ21" t="s">
        <v>6984</v>
      </c>
      <c r="IHK21" t="s">
        <v>6984</v>
      </c>
      <c r="IHL21" t="s">
        <v>6984</v>
      </c>
      <c r="IHM21" t="s">
        <v>6984</v>
      </c>
      <c r="IHN21" t="s">
        <v>6984</v>
      </c>
      <c r="IHO21" t="s">
        <v>6984</v>
      </c>
      <c r="IHP21" t="s">
        <v>6984</v>
      </c>
      <c r="IHQ21" t="s">
        <v>6984</v>
      </c>
      <c r="IHR21" t="s">
        <v>6984</v>
      </c>
      <c r="IHS21" t="s">
        <v>6984</v>
      </c>
      <c r="IHT21" t="s">
        <v>6984</v>
      </c>
      <c r="IHU21" t="s">
        <v>6984</v>
      </c>
      <c r="IHV21" t="s">
        <v>6984</v>
      </c>
      <c r="IHW21" t="s">
        <v>6984</v>
      </c>
      <c r="IHX21" t="s">
        <v>6984</v>
      </c>
      <c r="IHY21" t="s">
        <v>6984</v>
      </c>
      <c r="IHZ21" t="s">
        <v>6984</v>
      </c>
      <c r="IIA21" t="s">
        <v>6984</v>
      </c>
      <c r="IIB21" t="s">
        <v>6984</v>
      </c>
      <c r="IIC21" t="s">
        <v>6984</v>
      </c>
      <c r="IID21" t="s">
        <v>6984</v>
      </c>
      <c r="IIE21" t="s">
        <v>6984</v>
      </c>
      <c r="IIF21" t="s">
        <v>6984</v>
      </c>
      <c r="IIG21" t="s">
        <v>6984</v>
      </c>
      <c r="IIH21" t="s">
        <v>6984</v>
      </c>
      <c r="III21" t="s">
        <v>6984</v>
      </c>
      <c r="IIJ21" t="s">
        <v>6984</v>
      </c>
      <c r="IIK21" t="s">
        <v>6984</v>
      </c>
      <c r="IIL21" t="s">
        <v>6984</v>
      </c>
      <c r="IIM21" t="s">
        <v>6984</v>
      </c>
      <c r="IIN21" t="s">
        <v>6984</v>
      </c>
      <c r="IIO21" t="s">
        <v>6984</v>
      </c>
      <c r="IIP21" t="s">
        <v>6984</v>
      </c>
      <c r="IIQ21" t="s">
        <v>6984</v>
      </c>
      <c r="IIR21" t="s">
        <v>6984</v>
      </c>
      <c r="IIS21" t="s">
        <v>6984</v>
      </c>
      <c r="IIT21" t="s">
        <v>6984</v>
      </c>
      <c r="IIU21" t="s">
        <v>6984</v>
      </c>
      <c r="IIV21" t="s">
        <v>6984</v>
      </c>
      <c r="IIW21" t="s">
        <v>6984</v>
      </c>
      <c r="IIX21" t="s">
        <v>6984</v>
      </c>
      <c r="IIY21" t="s">
        <v>6984</v>
      </c>
      <c r="IIZ21" t="s">
        <v>6984</v>
      </c>
      <c r="IJA21" t="s">
        <v>6984</v>
      </c>
      <c r="IJB21" t="s">
        <v>6984</v>
      </c>
      <c r="IJC21" t="s">
        <v>6984</v>
      </c>
      <c r="IJD21" t="s">
        <v>6984</v>
      </c>
      <c r="IJE21" t="s">
        <v>6984</v>
      </c>
      <c r="IJF21" t="s">
        <v>6984</v>
      </c>
      <c r="IJG21" t="s">
        <v>6984</v>
      </c>
      <c r="IJH21" t="s">
        <v>6984</v>
      </c>
      <c r="IJI21" t="s">
        <v>6984</v>
      </c>
      <c r="IJJ21" t="s">
        <v>6984</v>
      </c>
      <c r="IJK21" t="s">
        <v>6984</v>
      </c>
      <c r="IJL21" t="s">
        <v>6984</v>
      </c>
      <c r="IJM21" t="s">
        <v>6984</v>
      </c>
      <c r="IJN21" t="s">
        <v>6984</v>
      </c>
      <c r="IJO21" t="s">
        <v>6984</v>
      </c>
      <c r="IJP21" t="s">
        <v>6984</v>
      </c>
      <c r="IJQ21" t="s">
        <v>6984</v>
      </c>
      <c r="IJR21" t="s">
        <v>6984</v>
      </c>
      <c r="IJS21" t="s">
        <v>6984</v>
      </c>
      <c r="IJT21" t="s">
        <v>6984</v>
      </c>
      <c r="IJU21" t="s">
        <v>6984</v>
      </c>
      <c r="IJV21" t="s">
        <v>6984</v>
      </c>
      <c r="IJW21" t="s">
        <v>6984</v>
      </c>
      <c r="IJX21" t="s">
        <v>6984</v>
      </c>
      <c r="IJY21" t="s">
        <v>6984</v>
      </c>
      <c r="IJZ21" t="s">
        <v>6984</v>
      </c>
      <c r="IKA21" t="s">
        <v>6984</v>
      </c>
      <c r="IKB21" t="s">
        <v>6984</v>
      </c>
      <c r="IKC21" t="s">
        <v>6984</v>
      </c>
      <c r="IKD21" t="s">
        <v>6984</v>
      </c>
      <c r="IKE21" t="s">
        <v>6984</v>
      </c>
      <c r="IKF21" t="s">
        <v>6984</v>
      </c>
      <c r="IKG21" t="s">
        <v>6984</v>
      </c>
      <c r="IKH21" t="s">
        <v>6984</v>
      </c>
      <c r="IKI21" t="s">
        <v>6984</v>
      </c>
      <c r="IKJ21" t="s">
        <v>6984</v>
      </c>
      <c r="IKK21" t="s">
        <v>6984</v>
      </c>
      <c r="IKL21" t="s">
        <v>6984</v>
      </c>
      <c r="IKM21" t="s">
        <v>6984</v>
      </c>
      <c r="IKN21" t="s">
        <v>6984</v>
      </c>
      <c r="IKO21" t="s">
        <v>6984</v>
      </c>
      <c r="IKP21" t="s">
        <v>6984</v>
      </c>
      <c r="IKQ21" t="s">
        <v>6984</v>
      </c>
      <c r="IKR21" t="s">
        <v>6984</v>
      </c>
      <c r="IKS21" t="s">
        <v>6984</v>
      </c>
      <c r="IKT21" t="s">
        <v>6984</v>
      </c>
      <c r="IKU21" t="s">
        <v>6984</v>
      </c>
      <c r="IKV21" t="s">
        <v>6984</v>
      </c>
      <c r="IKW21" t="s">
        <v>6984</v>
      </c>
      <c r="IKX21" t="s">
        <v>6984</v>
      </c>
      <c r="IKY21" t="s">
        <v>6984</v>
      </c>
      <c r="IKZ21" t="s">
        <v>6984</v>
      </c>
      <c r="ILA21" t="s">
        <v>6984</v>
      </c>
      <c r="ILB21" t="s">
        <v>6984</v>
      </c>
      <c r="ILC21" t="s">
        <v>6984</v>
      </c>
      <c r="ILD21" t="s">
        <v>6984</v>
      </c>
      <c r="ILE21" t="s">
        <v>6984</v>
      </c>
      <c r="ILF21" t="s">
        <v>6984</v>
      </c>
      <c r="ILG21" t="s">
        <v>6984</v>
      </c>
      <c r="ILH21" t="s">
        <v>6984</v>
      </c>
      <c r="ILI21" t="s">
        <v>6984</v>
      </c>
      <c r="ILJ21" t="s">
        <v>6984</v>
      </c>
      <c r="ILK21" t="s">
        <v>6984</v>
      </c>
      <c r="ILL21" t="s">
        <v>6984</v>
      </c>
      <c r="ILM21" t="s">
        <v>6984</v>
      </c>
      <c r="ILN21" t="s">
        <v>6984</v>
      </c>
      <c r="ILO21" t="s">
        <v>6984</v>
      </c>
      <c r="ILP21" t="s">
        <v>6984</v>
      </c>
      <c r="ILQ21" t="s">
        <v>6984</v>
      </c>
      <c r="ILR21" t="s">
        <v>6984</v>
      </c>
      <c r="ILS21" t="s">
        <v>6984</v>
      </c>
      <c r="ILT21" t="s">
        <v>6984</v>
      </c>
      <c r="ILU21" t="s">
        <v>6984</v>
      </c>
      <c r="ILV21" t="s">
        <v>6984</v>
      </c>
      <c r="ILW21" t="s">
        <v>6984</v>
      </c>
      <c r="ILX21" t="s">
        <v>6984</v>
      </c>
      <c r="ILY21" t="s">
        <v>6984</v>
      </c>
      <c r="ILZ21" t="s">
        <v>6984</v>
      </c>
      <c r="IMA21" t="s">
        <v>6984</v>
      </c>
      <c r="IMB21" t="s">
        <v>6984</v>
      </c>
      <c r="IMC21" t="s">
        <v>6984</v>
      </c>
      <c r="IMD21" t="s">
        <v>6984</v>
      </c>
      <c r="IME21" t="s">
        <v>6984</v>
      </c>
      <c r="IMF21" t="s">
        <v>6984</v>
      </c>
      <c r="IMG21" t="s">
        <v>6984</v>
      </c>
      <c r="IMH21" t="s">
        <v>6984</v>
      </c>
      <c r="IMI21" t="s">
        <v>6984</v>
      </c>
      <c r="IMJ21" t="s">
        <v>6984</v>
      </c>
      <c r="IMK21" t="s">
        <v>6984</v>
      </c>
      <c r="IML21" t="s">
        <v>6984</v>
      </c>
      <c r="IMM21" t="s">
        <v>6984</v>
      </c>
      <c r="IMN21" t="s">
        <v>6984</v>
      </c>
      <c r="IMO21" t="s">
        <v>6984</v>
      </c>
      <c r="IMP21" t="s">
        <v>6984</v>
      </c>
      <c r="IMQ21" t="s">
        <v>6984</v>
      </c>
      <c r="IMR21" t="s">
        <v>6984</v>
      </c>
      <c r="IMS21" t="s">
        <v>6984</v>
      </c>
      <c r="IMT21" t="s">
        <v>6984</v>
      </c>
      <c r="IMU21" t="s">
        <v>6984</v>
      </c>
      <c r="IMV21" t="s">
        <v>6984</v>
      </c>
      <c r="IMW21" t="s">
        <v>6984</v>
      </c>
      <c r="IMX21" t="s">
        <v>6984</v>
      </c>
      <c r="IMY21" t="s">
        <v>6984</v>
      </c>
      <c r="IMZ21" t="s">
        <v>6984</v>
      </c>
      <c r="INA21" t="s">
        <v>6984</v>
      </c>
      <c r="INB21" t="s">
        <v>6984</v>
      </c>
      <c r="INC21" t="s">
        <v>6984</v>
      </c>
      <c r="IND21" t="s">
        <v>6984</v>
      </c>
      <c r="INE21" t="s">
        <v>6984</v>
      </c>
      <c r="INF21" t="s">
        <v>6984</v>
      </c>
      <c r="ING21" t="s">
        <v>6984</v>
      </c>
      <c r="INH21" t="s">
        <v>6984</v>
      </c>
      <c r="INI21" t="s">
        <v>6984</v>
      </c>
      <c r="INJ21" t="s">
        <v>6984</v>
      </c>
      <c r="INK21" t="s">
        <v>6984</v>
      </c>
      <c r="INL21" t="s">
        <v>6984</v>
      </c>
      <c r="INM21" t="s">
        <v>6984</v>
      </c>
      <c r="INN21" t="s">
        <v>6984</v>
      </c>
      <c r="INO21" t="s">
        <v>6984</v>
      </c>
      <c r="INP21" t="s">
        <v>6984</v>
      </c>
      <c r="INQ21" t="s">
        <v>6984</v>
      </c>
      <c r="INR21" t="s">
        <v>6984</v>
      </c>
      <c r="INS21" t="s">
        <v>6984</v>
      </c>
      <c r="INT21" t="s">
        <v>6984</v>
      </c>
      <c r="INU21" t="s">
        <v>6984</v>
      </c>
      <c r="INV21" t="s">
        <v>6984</v>
      </c>
      <c r="INW21" t="s">
        <v>6984</v>
      </c>
      <c r="INX21" t="s">
        <v>6984</v>
      </c>
      <c r="INY21" t="s">
        <v>6984</v>
      </c>
      <c r="INZ21" t="s">
        <v>6984</v>
      </c>
      <c r="IOA21" t="s">
        <v>6984</v>
      </c>
      <c r="IOB21" t="s">
        <v>6984</v>
      </c>
      <c r="IOC21" t="s">
        <v>6984</v>
      </c>
      <c r="IOD21" t="s">
        <v>6984</v>
      </c>
      <c r="IOE21" t="s">
        <v>6984</v>
      </c>
      <c r="IOF21" t="s">
        <v>6984</v>
      </c>
      <c r="IOG21" t="s">
        <v>6984</v>
      </c>
      <c r="IOH21" t="s">
        <v>6984</v>
      </c>
      <c r="IOI21" t="s">
        <v>6984</v>
      </c>
      <c r="IOJ21" t="s">
        <v>6984</v>
      </c>
      <c r="IOK21" t="s">
        <v>6984</v>
      </c>
      <c r="IOL21" t="s">
        <v>6984</v>
      </c>
      <c r="IOM21" t="s">
        <v>6984</v>
      </c>
      <c r="ION21" t="s">
        <v>6984</v>
      </c>
      <c r="IOO21" t="s">
        <v>6984</v>
      </c>
      <c r="IOP21" t="s">
        <v>6984</v>
      </c>
      <c r="IOQ21" t="s">
        <v>6984</v>
      </c>
      <c r="IOR21" t="s">
        <v>6984</v>
      </c>
      <c r="IOS21" t="s">
        <v>6984</v>
      </c>
      <c r="IOT21" t="s">
        <v>6984</v>
      </c>
      <c r="IOU21" t="s">
        <v>6984</v>
      </c>
      <c r="IOV21" t="s">
        <v>6984</v>
      </c>
      <c r="IOW21" t="s">
        <v>6984</v>
      </c>
      <c r="IOX21" t="s">
        <v>6984</v>
      </c>
      <c r="IOY21" t="s">
        <v>6984</v>
      </c>
      <c r="IOZ21" t="s">
        <v>6984</v>
      </c>
      <c r="IPA21" t="s">
        <v>6984</v>
      </c>
      <c r="IPB21" t="s">
        <v>6984</v>
      </c>
      <c r="IPC21" t="s">
        <v>6984</v>
      </c>
      <c r="IPD21" t="s">
        <v>6984</v>
      </c>
      <c r="IPE21" t="s">
        <v>6984</v>
      </c>
      <c r="IPF21" t="s">
        <v>6984</v>
      </c>
      <c r="IPG21" t="s">
        <v>6984</v>
      </c>
      <c r="IPH21" t="s">
        <v>6984</v>
      </c>
      <c r="IPI21" t="s">
        <v>6984</v>
      </c>
      <c r="IPJ21" t="s">
        <v>6984</v>
      </c>
      <c r="IPK21" t="s">
        <v>6984</v>
      </c>
      <c r="IPL21" t="s">
        <v>6984</v>
      </c>
      <c r="IPM21" t="s">
        <v>6984</v>
      </c>
      <c r="IPN21" t="s">
        <v>6984</v>
      </c>
      <c r="IPO21" t="s">
        <v>6984</v>
      </c>
      <c r="IPP21" t="s">
        <v>6984</v>
      </c>
      <c r="IPQ21" t="s">
        <v>6984</v>
      </c>
      <c r="IPR21" t="s">
        <v>6984</v>
      </c>
      <c r="IPS21" t="s">
        <v>6984</v>
      </c>
      <c r="IPT21" t="s">
        <v>6984</v>
      </c>
      <c r="IPU21" t="s">
        <v>6984</v>
      </c>
      <c r="IPV21" t="s">
        <v>6984</v>
      </c>
      <c r="IPW21" t="s">
        <v>6984</v>
      </c>
      <c r="IPX21" t="s">
        <v>6984</v>
      </c>
      <c r="IPY21" t="s">
        <v>6984</v>
      </c>
      <c r="IPZ21" t="s">
        <v>6984</v>
      </c>
      <c r="IQA21" t="s">
        <v>6984</v>
      </c>
      <c r="IQB21" t="s">
        <v>6984</v>
      </c>
      <c r="IQC21" t="s">
        <v>6984</v>
      </c>
      <c r="IQD21" t="s">
        <v>6984</v>
      </c>
      <c r="IQE21" t="s">
        <v>6984</v>
      </c>
      <c r="IQF21" t="s">
        <v>6984</v>
      </c>
      <c r="IQG21" t="s">
        <v>6984</v>
      </c>
      <c r="IQH21" t="s">
        <v>6984</v>
      </c>
      <c r="IQI21" t="s">
        <v>6984</v>
      </c>
      <c r="IQJ21" t="s">
        <v>6984</v>
      </c>
      <c r="IQK21" t="s">
        <v>6984</v>
      </c>
      <c r="IQL21" t="s">
        <v>6984</v>
      </c>
      <c r="IQM21" t="s">
        <v>6984</v>
      </c>
      <c r="IQN21" t="s">
        <v>6984</v>
      </c>
      <c r="IQO21" t="s">
        <v>6984</v>
      </c>
      <c r="IQP21" t="s">
        <v>6984</v>
      </c>
      <c r="IQQ21" t="s">
        <v>6984</v>
      </c>
      <c r="IQR21" t="s">
        <v>6984</v>
      </c>
      <c r="IQS21" t="s">
        <v>6984</v>
      </c>
      <c r="IQT21" t="s">
        <v>6984</v>
      </c>
      <c r="IQU21" t="s">
        <v>6984</v>
      </c>
      <c r="IQV21" t="s">
        <v>6984</v>
      </c>
      <c r="IQW21" t="s">
        <v>6984</v>
      </c>
      <c r="IQX21" t="s">
        <v>6984</v>
      </c>
      <c r="IQY21" t="s">
        <v>6984</v>
      </c>
      <c r="IQZ21" t="s">
        <v>6984</v>
      </c>
      <c r="IRA21" t="s">
        <v>6984</v>
      </c>
      <c r="IRB21" t="s">
        <v>6984</v>
      </c>
      <c r="IRC21" t="s">
        <v>6984</v>
      </c>
      <c r="IRD21" t="s">
        <v>6984</v>
      </c>
      <c r="IRE21" t="s">
        <v>6984</v>
      </c>
      <c r="IRF21" t="s">
        <v>6984</v>
      </c>
      <c r="IRG21" t="s">
        <v>6984</v>
      </c>
      <c r="IRH21" t="s">
        <v>6984</v>
      </c>
      <c r="IRI21" t="s">
        <v>6984</v>
      </c>
      <c r="IRJ21" t="s">
        <v>6984</v>
      </c>
      <c r="IRK21" t="s">
        <v>6984</v>
      </c>
      <c r="IRL21" t="s">
        <v>6984</v>
      </c>
      <c r="IRM21" t="s">
        <v>6984</v>
      </c>
      <c r="IRN21" t="s">
        <v>6984</v>
      </c>
      <c r="IRO21" t="s">
        <v>6984</v>
      </c>
      <c r="IRP21" t="s">
        <v>6984</v>
      </c>
      <c r="IRQ21" t="s">
        <v>6984</v>
      </c>
      <c r="IRR21" t="s">
        <v>6984</v>
      </c>
      <c r="IRS21" t="s">
        <v>6984</v>
      </c>
      <c r="IRT21" t="s">
        <v>6984</v>
      </c>
      <c r="IRU21" t="s">
        <v>6984</v>
      </c>
      <c r="IRV21" t="s">
        <v>6984</v>
      </c>
      <c r="IRW21" t="s">
        <v>6984</v>
      </c>
      <c r="IRX21" t="s">
        <v>6984</v>
      </c>
      <c r="IRY21" t="s">
        <v>6984</v>
      </c>
      <c r="IRZ21" t="s">
        <v>6984</v>
      </c>
      <c r="ISA21" t="s">
        <v>6984</v>
      </c>
      <c r="ISB21" t="s">
        <v>6984</v>
      </c>
      <c r="ISC21" t="s">
        <v>6984</v>
      </c>
      <c r="ISD21" t="s">
        <v>6984</v>
      </c>
      <c r="ISE21" t="s">
        <v>6984</v>
      </c>
      <c r="ISF21" t="s">
        <v>6984</v>
      </c>
      <c r="ISG21" t="s">
        <v>6984</v>
      </c>
      <c r="ISH21" t="s">
        <v>6984</v>
      </c>
      <c r="ISI21" t="s">
        <v>6984</v>
      </c>
      <c r="ISJ21" t="s">
        <v>6984</v>
      </c>
      <c r="ISK21" t="s">
        <v>6984</v>
      </c>
      <c r="ISL21" t="s">
        <v>6984</v>
      </c>
      <c r="ISM21" t="s">
        <v>6984</v>
      </c>
      <c r="ISN21" t="s">
        <v>6984</v>
      </c>
      <c r="ISO21" t="s">
        <v>6984</v>
      </c>
      <c r="ISP21" t="s">
        <v>6984</v>
      </c>
      <c r="ISQ21" t="s">
        <v>6984</v>
      </c>
      <c r="ISR21" t="s">
        <v>6984</v>
      </c>
      <c r="ISS21" t="s">
        <v>6984</v>
      </c>
      <c r="IST21" t="s">
        <v>6984</v>
      </c>
      <c r="ISU21" t="s">
        <v>6984</v>
      </c>
      <c r="ISV21" t="s">
        <v>6984</v>
      </c>
      <c r="ISW21" t="s">
        <v>6984</v>
      </c>
      <c r="ISX21" t="s">
        <v>6984</v>
      </c>
      <c r="ISY21" t="s">
        <v>6984</v>
      </c>
      <c r="ISZ21" t="s">
        <v>6984</v>
      </c>
      <c r="ITA21" t="s">
        <v>6984</v>
      </c>
      <c r="ITB21" t="s">
        <v>6984</v>
      </c>
      <c r="ITC21" t="s">
        <v>6984</v>
      </c>
      <c r="ITD21" t="s">
        <v>6984</v>
      </c>
      <c r="ITE21" t="s">
        <v>6984</v>
      </c>
      <c r="ITF21" t="s">
        <v>6984</v>
      </c>
      <c r="ITG21" t="s">
        <v>6984</v>
      </c>
      <c r="ITH21" t="s">
        <v>6984</v>
      </c>
      <c r="ITI21" t="s">
        <v>6984</v>
      </c>
      <c r="ITJ21" t="s">
        <v>6984</v>
      </c>
      <c r="ITK21" t="s">
        <v>6984</v>
      </c>
      <c r="ITL21" t="s">
        <v>6984</v>
      </c>
      <c r="ITM21" t="s">
        <v>6984</v>
      </c>
      <c r="ITN21" t="s">
        <v>6984</v>
      </c>
      <c r="ITO21" t="s">
        <v>6984</v>
      </c>
      <c r="ITP21" t="s">
        <v>6984</v>
      </c>
      <c r="ITQ21" t="s">
        <v>6984</v>
      </c>
      <c r="ITR21" t="s">
        <v>6984</v>
      </c>
      <c r="ITS21" t="s">
        <v>6984</v>
      </c>
      <c r="ITT21" t="s">
        <v>6984</v>
      </c>
      <c r="ITU21" t="s">
        <v>6984</v>
      </c>
      <c r="ITV21" t="s">
        <v>6984</v>
      </c>
      <c r="ITW21" t="s">
        <v>6984</v>
      </c>
      <c r="ITX21" t="s">
        <v>6984</v>
      </c>
      <c r="ITY21" t="s">
        <v>6984</v>
      </c>
      <c r="ITZ21" t="s">
        <v>6984</v>
      </c>
      <c r="IUA21" t="s">
        <v>6984</v>
      </c>
      <c r="IUB21" t="s">
        <v>6984</v>
      </c>
      <c r="IUC21" t="s">
        <v>6984</v>
      </c>
      <c r="IUD21" t="s">
        <v>6984</v>
      </c>
      <c r="IUE21" t="s">
        <v>6984</v>
      </c>
      <c r="IUF21" t="s">
        <v>6984</v>
      </c>
      <c r="IUG21" t="s">
        <v>6984</v>
      </c>
      <c r="IUH21" t="s">
        <v>6984</v>
      </c>
      <c r="IUI21" t="s">
        <v>6984</v>
      </c>
      <c r="IUJ21" t="s">
        <v>6984</v>
      </c>
      <c r="IUK21" t="s">
        <v>6984</v>
      </c>
      <c r="IUL21" t="s">
        <v>6984</v>
      </c>
      <c r="IUM21" t="s">
        <v>6984</v>
      </c>
      <c r="IUN21" t="s">
        <v>6984</v>
      </c>
      <c r="IUO21" t="s">
        <v>6984</v>
      </c>
      <c r="IUP21" t="s">
        <v>6984</v>
      </c>
      <c r="IUQ21" t="s">
        <v>6984</v>
      </c>
      <c r="IUR21" t="s">
        <v>6984</v>
      </c>
      <c r="IUS21" t="s">
        <v>6984</v>
      </c>
      <c r="IUT21" t="s">
        <v>6984</v>
      </c>
      <c r="IUU21" t="s">
        <v>6984</v>
      </c>
      <c r="IUV21" t="s">
        <v>6984</v>
      </c>
      <c r="IUW21" t="s">
        <v>6984</v>
      </c>
      <c r="IUX21" t="s">
        <v>6984</v>
      </c>
      <c r="IUY21" t="s">
        <v>6984</v>
      </c>
      <c r="IUZ21" t="s">
        <v>6984</v>
      </c>
      <c r="IVA21" t="s">
        <v>6984</v>
      </c>
      <c r="IVB21" t="s">
        <v>6984</v>
      </c>
      <c r="IVC21" t="s">
        <v>6984</v>
      </c>
      <c r="IVD21" t="s">
        <v>6984</v>
      </c>
      <c r="IVE21" t="s">
        <v>6984</v>
      </c>
      <c r="IVF21" t="s">
        <v>6984</v>
      </c>
      <c r="IVG21" t="s">
        <v>6984</v>
      </c>
      <c r="IVH21" t="s">
        <v>6984</v>
      </c>
      <c r="IVI21" t="s">
        <v>6984</v>
      </c>
      <c r="IVJ21" t="s">
        <v>6984</v>
      </c>
      <c r="IVK21" t="s">
        <v>6984</v>
      </c>
      <c r="IVL21" t="s">
        <v>6984</v>
      </c>
      <c r="IVM21" t="s">
        <v>6984</v>
      </c>
      <c r="IVN21" t="s">
        <v>6984</v>
      </c>
      <c r="IVO21" t="s">
        <v>6984</v>
      </c>
      <c r="IVP21" t="s">
        <v>6984</v>
      </c>
      <c r="IVQ21" t="s">
        <v>6984</v>
      </c>
      <c r="IVR21" t="s">
        <v>6984</v>
      </c>
      <c r="IVS21" t="s">
        <v>6984</v>
      </c>
      <c r="IVT21" t="s">
        <v>6984</v>
      </c>
      <c r="IVU21" t="s">
        <v>6984</v>
      </c>
      <c r="IVV21" t="s">
        <v>6984</v>
      </c>
      <c r="IVW21" t="s">
        <v>6984</v>
      </c>
      <c r="IVX21" t="s">
        <v>6984</v>
      </c>
      <c r="IVY21" t="s">
        <v>6984</v>
      </c>
      <c r="IVZ21" t="s">
        <v>6984</v>
      </c>
      <c r="IWA21" t="s">
        <v>6984</v>
      </c>
      <c r="IWB21" t="s">
        <v>6984</v>
      </c>
      <c r="IWC21" t="s">
        <v>6984</v>
      </c>
      <c r="IWD21" t="s">
        <v>6984</v>
      </c>
      <c r="IWE21" t="s">
        <v>6984</v>
      </c>
      <c r="IWF21" t="s">
        <v>6984</v>
      </c>
      <c r="IWG21" t="s">
        <v>6984</v>
      </c>
      <c r="IWH21" t="s">
        <v>6984</v>
      </c>
      <c r="IWI21" t="s">
        <v>6984</v>
      </c>
      <c r="IWJ21" t="s">
        <v>6984</v>
      </c>
      <c r="IWK21" t="s">
        <v>6984</v>
      </c>
      <c r="IWL21" t="s">
        <v>6984</v>
      </c>
      <c r="IWM21" t="s">
        <v>6984</v>
      </c>
      <c r="IWN21" t="s">
        <v>6984</v>
      </c>
      <c r="IWO21" t="s">
        <v>6984</v>
      </c>
      <c r="IWP21" t="s">
        <v>6984</v>
      </c>
      <c r="IWQ21" t="s">
        <v>6984</v>
      </c>
      <c r="IWR21" t="s">
        <v>6984</v>
      </c>
      <c r="IWS21" t="s">
        <v>6984</v>
      </c>
      <c r="IWT21" t="s">
        <v>6984</v>
      </c>
      <c r="IWU21" t="s">
        <v>6984</v>
      </c>
      <c r="IWV21" t="s">
        <v>6984</v>
      </c>
      <c r="IWW21" t="s">
        <v>6984</v>
      </c>
      <c r="IWX21" t="s">
        <v>6984</v>
      </c>
      <c r="IWY21" t="s">
        <v>6984</v>
      </c>
      <c r="IWZ21" t="s">
        <v>6984</v>
      </c>
      <c r="IXA21" t="s">
        <v>6984</v>
      </c>
      <c r="IXB21" t="s">
        <v>6984</v>
      </c>
      <c r="IXC21" t="s">
        <v>6984</v>
      </c>
      <c r="IXD21" t="s">
        <v>6984</v>
      </c>
      <c r="IXE21" t="s">
        <v>6984</v>
      </c>
      <c r="IXF21" t="s">
        <v>6984</v>
      </c>
      <c r="IXG21" t="s">
        <v>6984</v>
      </c>
      <c r="IXH21" t="s">
        <v>6984</v>
      </c>
      <c r="IXI21" t="s">
        <v>6984</v>
      </c>
      <c r="IXJ21" t="s">
        <v>6984</v>
      </c>
      <c r="IXK21" t="s">
        <v>6984</v>
      </c>
      <c r="IXL21" t="s">
        <v>6984</v>
      </c>
      <c r="IXM21" t="s">
        <v>6984</v>
      </c>
      <c r="IXN21" t="s">
        <v>6984</v>
      </c>
      <c r="IXO21" t="s">
        <v>6984</v>
      </c>
      <c r="IXP21" t="s">
        <v>6984</v>
      </c>
      <c r="IXQ21" t="s">
        <v>6984</v>
      </c>
      <c r="IXR21" t="s">
        <v>6984</v>
      </c>
      <c r="IXS21" t="s">
        <v>6984</v>
      </c>
      <c r="IXT21" t="s">
        <v>6984</v>
      </c>
      <c r="IXU21" t="s">
        <v>6984</v>
      </c>
      <c r="IXV21" t="s">
        <v>6984</v>
      </c>
      <c r="IXW21" t="s">
        <v>6984</v>
      </c>
      <c r="IXX21" t="s">
        <v>6984</v>
      </c>
      <c r="IXY21" t="s">
        <v>6984</v>
      </c>
      <c r="IXZ21" t="s">
        <v>6984</v>
      </c>
      <c r="IYA21" t="s">
        <v>6984</v>
      </c>
      <c r="IYB21" t="s">
        <v>6984</v>
      </c>
      <c r="IYC21" t="s">
        <v>6984</v>
      </c>
      <c r="IYD21" t="s">
        <v>6984</v>
      </c>
      <c r="IYE21" t="s">
        <v>6984</v>
      </c>
      <c r="IYF21" t="s">
        <v>6984</v>
      </c>
      <c r="IYG21" t="s">
        <v>6984</v>
      </c>
      <c r="IYH21" t="s">
        <v>6984</v>
      </c>
      <c r="IYI21" t="s">
        <v>6984</v>
      </c>
      <c r="IYJ21" t="s">
        <v>6984</v>
      </c>
      <c r="IYK21" t="s">
        <v>6984</v>
      </c>
      <c r="IYL21" t="s">
        <v>6984</v>
      </c>
      <c r="IYM21" t="s">
        <v>6984</v>
      </c>
      <c r="IYN21" t="s">
        <v>6984</v>
      </c>
      <c r="IYO21" t="s">
        <v>6984</v>
      </c>
      <c r="IYP21" t="s">
        <v>6984</v>
      </c>
      <c r="IYQ21" t="s">
        <v>6984</v>
      </c>
      <c r="IYR21" t="s">
        <v>6984</v>
      </c>
      <c r="IYS21" t="s">
        <v>6984</v>
      </c>
      <c r="IYT21" t="s">
        <v>6984</v>
      </c>
      <c r="IYU21" t="s">
        <v>6984</v>
      </c>
      <c r="IYV21" t="s">
        <v>6984</v>
      </c>
      <c r="IYW21" t="s">
        <v>6984</v>
      </c>
      <c r="IYX21" t="s">
        <v>6984</v>
      </c>
      <c r="IYY21" t="s">
        <v>6984</v>
      </c>
      <c r="IYZ21" t="s">
        <v>6984</v>
      </c>
      <c r="IZA21" t="s">
        <v>6984</v>
      </c>
      <c r="IZB21" t="s">
        <v>6984</v>
      </c>
      <c r="IZC21" t="s">
        <v>6984</v>
      </c>
      <c r="IZD21" t="s">
        <v>6984</v>
      </c>
      <c r="IZE21" t="s">
        <v>6984</v>
      </c>
      <c r="IZF21" t="s">
        <v>6984</v>
      </c>
      <c r="IZG21" t="s">
        <v>6984</v>
      </c>
      <c r="IZH21" t="s">
        <v>6984</v>
      </c>
      <c r="IZI21" t="s">
        <v>6984</v>
      </c>
      <c r="IZJ21" t="s">
        <v>6984</v>
      </c>
      <c r="IZK21" t="s">
        <v>6984</v>
      </c>
      <c r="IZL21" t="s">
        <v>6984</v>
      </c>
      <c r="IZM21" t="s">
        <v>6984</v>
      </c>
      <c r="IZN21" t="s">
        <v>6984</v>
      </c>
      <c r="IZO21" t="s">
        <v>6984</v>
      </c>
      <c r="IZP21" t="s">
        <v>6984</v>
      </c>
      <c r="IZQ21" t="s">
        <v>6984</v>
      </c>
      <c r="IZR21" t="s">
        <v>6984</v>
      </c>
      <c r="IZS21" t="s">
        <v>6984</v>
      </c>
      <c r="IZT21" t="s">
        <v>6984</v>
      </c>
      <c r="IZU21" t="s">
        <v>6984</v>
      </c>
      <c r="IZV21" t="s">
        <v>6984</v>
      </c>
      <c r="IZW21" t="s">
        <v>6984</v>
      </c>
      <c r="IZX21" t="s">
        <v>6984</v>
      </c>
      <c r="IZY21" t="s">
        <v>6984</v>
      </c>
      <c r="IZZ21" t="s">
        <v>6984</v>
      </c>
      <c r="JAA21" t="s">
        <v>6984</v>
      </c>
      <c r="JAB21" t="s">
        <v>6984</v>
      </c>
      <c r="JAC21" t="s">
        <v>6984</v>
      </c>
      <c r="JAD21" t="s">
        <v>6984</v>
      </c>
      <c r="JAE21" t="s">
        <v>6984</v>
      </c>
      <c r="JAF21" t="s">
        <v>6984</v>
      </c>
      <c r="JAG21" t="s">
        <v>6984</v>
      </c>
      <c r="JAH21" t="s">
        <v>6984</v>
      </c>
      <c r="JAI21" t="s">
        <v>6984</v>
      </c>
      <c r="JAJ21" t="s">
        <v>6984</v>
      </c>
      <c r="JAK21" t="s">
        <v>6984</v>
      </c>
      <c r="JAL21" t="s">
        <v>6984</v>
      </c>
      <c r="JAM21" t="s">
        <v>6984</v>
      </c>
      <c r="JAN21" t="s">
        <v>6984</v>
      </c>
      <c r="JAO21" t="s">
        <v>6984</v>
      </c>
      <c r="JAP21" t="s">
        <v>6984</v>
      </c>
      <c r="JAQ21" t="s">
        <v>6984</v>
      </c>
      <c r="JAR21" t="s">
        <v>6984</v>
      </c>
      <c r="JAS21" t="s">
        <v>6984</v>
      </c>
      <c r="JAT21" t="s">
        <v>6984</v>
      </c>
      <c r="JAU21" t="s">
        <v>6984</v>
      </c>
      <c r="JAV21" t="s">
        <v>6984</v>
      </c>
      <c r="JAW21" t="s">
        <v>6984</v>
      </c>
      <c r="JAX21" t="s">
        <v>6984</v>
      </c>
      <c r="JAY21" t="s">
        <v>6984</v>
      </c>
      <c r="JAZ21" t="s">
        <v>6984</v>
      </c>
      <c r="JBA21" t="s">
        <v>6984</v>
      </c>
      <c r="JBB21" t="s">
        <v>6984</v>
      </c>
      <c r="JBC21" t="s">
        <v>6984</v>
      </c>
      <c r="JBD21" t="s">
        <v>6984</v>
      </c>
      <c r="JBE21" t="s">
        <v>6984</v>
      </c>
      <c r="JBF21" t="s">
        <v>6984</v>
      </c>
      <c r="JBG21" t="s">
        <v>6984</v>
      </c>
      <c r="JBH21" t="s">
        <v>6984</v>
      </c>
      <c r="JBI21" t="s">
        <v>6984</v>
      </c>
      <c r="JBJ21" t="s">
        <v>6984</v>
      </c>
      <c r="JBK21" t="s">
        <v>6984</v>
      </c>
      <c r="JBL21" t="s">
        <v>6984</v>
      </c>
      <c r="JBM21" t="s">
        <v>6984</v>
      </c>
      <c r="JBN21" t="s">
        <v>6984</v>
      </c>
      <c r="JBO21" t="s">
        <v>6984</v>
      </c>
      <c r="JBP21" t="s">
        <v>6984</v>
      </c>
      <c r="JBQ21" t="s">
        <v>6984</v>
      </c>
      <c r="JBR21" t="s">
        <v>6984</v>
      </c>
      <c r="JBS21" t="s">
        <v>6984</v>
      </c>
      <c r="JBT21" t="s">
        <v>6984</v>
      </c>
      <c r="JBU21" t="s">
        <v>6984</v>
      </c>
      <c r="JBV21" t="s">
        <v>6984</v>
      </c>
      <c r="JBW21" t="s">
        <v>6984</v>
      </c>
      <c r="JBX21" t="s">
        <v>6984</v>
      </c>
      <c r="JBY21" t="s">
        <v>6984</v>
      </c>
      <c r="JBZ21" t="s">
        <v>6984</v>
      </c>
      <c r="JCA21" t="s">
        <v>6984</v>
      </c>
      <c r="JCB21" t="s">
        <v>6984</v>
      </c>
      <c r="JCC21" t="s">
        <v>6984</v>
      </c>
      <c r="JCD21" t="s">
        <v>6984</v>
      </c>
      <c r="JCE21" t="s">
        <v>6984</v>
      </c>
      <c r="JCF21" t="s">
        <v>6984</v>
      </c>
      <c r="JCG21" t="s">
        <v>6984</v>
      </c>
      <c r="JCH21" t="s">
        <v>6984</v>
      </c>
      <c r="JCI21" t="s">
        <v>6984</v>
      </c>
      <c r="JCJ21" t="s">
        <v>6984</v>
      </c>
      <c r="JCK21" t="s">
        <v>6984</v>
      </c>
      <c r="JCL21" t="s">
        <v>6984</v>
      </c>
      <c r="JCM21" t="s">
        <v>6984</v>
      </c>
      <c r="JCN21" t="s">
        <v>6984</v>
      </c>
      <c r="JCO21" t="s">
        <v>6984</v>
      </c>
      <c r="JCP21" t="s">
        <v>6984</v>
      </c>
      <c r="JCQ21" t="s">
        <v>6984</v>
      </c>
      <c r="JCR21" t="s">
        <v>6984</v>
      </c>
      <c r="JCS21" t="s">
        <v>6984</v>
      </c>
      <c r="JCT21" t="s">
        <v>6984</v>
      </c>
      <c r="JCU21" t="s">
        <v>6984</v>
      </c>
      <c r="JCV21" t="s">
        <v>6984</v>
      </c>
      <c r="JCW21" t="s">
        <v>6984</v>
      </c>
      <c r="JCX21" t="s">
        <v>6984</v>
      </c>
      <c r="JCY21" t="s">
        <v>6984</v>
      </c>
      <c r="JCZ21" t="s">
        <v>6984</v>
      </c>
      <c r="JDA21" t="s">
        <v>6984</v>
      </c>
      <c r="JDB21" t="s">
        <v>6984</v>
      </c>
      <c r="JDC21" t="s">
        <v>6984</v>
      </c>
      <c r="JDD21" t="s">
        <v>6984</v>
      </c>
      <c r="JDE21" t="s">
        <v>6984</v>
      </c>
      <c r="JDF21" t="s">
        <v>6984</v>
      </c>
      <c r="JDG21" t="s">
        <v>6984</v>
      </c>
      <c r="JDH21" t="s">
        <v>6984</v>
      </c>
      <c r="JDI21" t="s">
        <v>6984</v>
      </c>
      <c r="JDJ21" t="s">
        <v>6984</v>
      </c>
      <c r="JDK21" t="s">
        <v>6984</v>
      </c>
      <c r="JDL21" t="s">
        <v>6984</v>
      </c>
      <c r="JDM21" t="s">
        <v>6984</v>
      </c>
      <c r="JDN21" t="s">
        <v>6984</v>
      </c>
      <c r="JDO21" t="s">
        <v>6984</v>
      </c>
      <c r="JDP21" t="s">
        <v>6984</v>
      </c>
      <c r="JDQ21" t="s">
        <v>6984</v>
      </c>
      <c r="JDR21" t="s">
        <v>6984</v>
      </c>
      <c r="JDS21" t="s">
        <v>6984</v>
      </c>
      <c r="JDT21" t="s">
        <v>6984</v>
      </c>
      <c r="JDU21" t="s">
        <v>6984</v>
      </c>
      <c r="JDV21" t="s">
        <v>6984</v>
      </c>
      <c r="JDW21" t="s">
        <v>6984</v>
      </c>
      <c r="JDX21" t="s">
        <v>6984</v>
      </c>
      <c r="JDY21" t="s">
        <v>6984</v>
      </c>
      <c r="JDZ21" t="s">
        <v>6984</v>
      </c>
      <c r="JEA21" t="s">
        <v>6984</v>
      </c>
      <c r="JEB21" t="s">
        <v>6984</v>
      </c>
      <c r="JEC21" t="s">
        <v>6984</v>
      </c>
      <c r="JED21" t="s">
        <v>6984</v>
      </c>
      <c r="JEE21" t="s">
        <v>6984</v>
      </c>
      <c r="JEF21" t="s">
        <v>6984</v>
      </c>
      <c r="JEG21" t="s">
        <v>6984</v>
      </c>
      <c r="JEH21" t="s">
        <v>6984</v>
      </c>
      <c r="JEI21" t="s">
        <v>6984</v>
      </c>
      <c r="JEJ21" t="s">
        <v>6984</v>
      </c>
      <c r="JEK21" t="s">
        <v>6984</v>
      </c>
      <c r="JEL21" t="s">
        <v>6984</v>
      </c>
      <c r="JEM21" t="s">
        <v>6984</v>
      </c>
      <c r="JEN21" t="s">
        <v>6984</v>
      </c>
      <c r="JEO21" t="s">
        <v>6984</v>
      </c>
      <c r="JEP21" t="s">
        <v>6984</v>
      </c>
      <c r="JEQ21" t="s">
        <v>6984</v>
      </c>
      <c r="JER21" t="s">
        <v>6984</v>
      </c>
      <c r="JES21" t="s">
        <v>6984</v>
      </c>
      <c r="JET21" t="s">
        <v>6984</v>
      </c>
      <c r="JEU21" t="s">
        <v>6984</v>
      </c>
      <c r="JEV21" t="s">
        <v>6984</v>
      </c>
      <c r="JEW21" t="s">
        <v>6984</v>
      </c>
      <c r="JEX21" t="s">
        <v>6984</v>
      </c>
      <c r="JEY21" t="s">
        <v>6984</v>
      </c>
      <c r="JEZ21" t="s">
        <v>6984</v>
      </c>
      <c r="JFA21" t="s">
        <v>6984</v>
      </c>
      <c r="JFB21" t="s">
        <v>6984</v>
      </c>
      <c r="JFC21" t="s">
        <v>6984</v>
      </c>
      <c r="JFD21" t="s">
        <v>6984</v>
      </c>
      <c r="JFE21" t="s">
        <v>6984</v>
      </c>
      <c r="JFF21" t="s">
        <v>6984</v>
      </c>
      <c r="JFG21" t="s">
        <v>6984</v>
      </c>
      <c r="JFH21" t="s">
        <v>6984</v>
      </c>
      <c r="JFI21" t="s">
        <v>6984</v>
      </c>
      <c r="JFJ21" t="s">
        <v>6984</v>
      </c>
      <c r="JFK21" t="s">
        <v>6984</v>
      </c>
      <c r="JFL21" t="s">
        <v>6984</v>
      </c>
      <c r="JFM21" t="s">
        <v>6984</v>
      </c>
      <c r="JFN21" t="s">
        <v>6984</v>
      </c>
      <c r="JFO21" t="s">
        <v>6984</v>
      </c>
      <c r="JFP21" t="s">
        <v>6984</v>
      </c>
      <c r="JFQ21" t="s">
        <v>6984</v>
      </c>
      <c r="JFR21" t="s">
        <v>6984</v>
      </c>
      <c r="JFS21" t="s">
        <v>6984</v>
      </c>
      <c r="JFT21" t="s">
        <v>6984</v>
      </c>
      <c r="JFU21" t="s">
        <v>6984</v>
      </c>
      <c r="JFV21" t="s">
        <v>6984</v>
      </c>
      <c r="JFW21" t="s">
        <v>6984</v>
      </c>
      <c r="JFX21" t="s">
        <v>6984</v>
      </c>
      <c r="JFY21" t="s">
        <v>6984</v>
      </c>
      <c r="JFZ21" t="s">
        <v>6984</v>
      </c>
      <c r="JGA21" t="s">
        <v>6984</v>
      </c>
      <c r="JGB21" t="s">
        <v>6984</v>
      </c>
      <c r="JGC21" t="s">
        <v>6984</v>
      </c>
      <c r="JGD21" t="s">
        <v>6984</v>
      </c>
      <c r="JGE21" t="s">
        <v>6984</v>
      </c>
      <c r="JGF21" t="s">
        <v>6984</v>
      </c>
      <c r="JGG21" t="s">
        <v>6984</v>
      </c>
      <c r="JGH21" t="s">
        <v>6984</v>
      </c>
      <c r="JGI21" t="s">
        <v>6984</v>
      </c>
      <c r="JGJ21" t="s">
        <v>6984</v>
      </c>
      <c r="JGK21" t="s">
        <v>6984</v>
      </c>
      <c r="JGL21" t="s">
        <v>6984</v>
      </c>
      <c r="JGM21" t="s">
        <v>6984</v>
      </c>
      <c r="JGN21" t="s">
        <v>6984</v>
      </c>
      <c r="JGO21" t="s">
        <v>6984</v>
      </c>
      <c r="JGP21" t="s">
        <v>6984</v>
      </c>
      <c r="JGQ21" t="s">
        <v>6984</v>
      </c>
      <c r="JGR21" t="s">
        <v>6984</v>
      </c>
      <c r="JGS21" t="s">
        <v>6984</v>
      </c>
      <c r="JGT21" t="s">
        <v>6984</v>
      </c>
      <c r="JGU21" t="s">
        <v>6984</v>
      </c>
      <c r="JGV21" t="s">
        <v>6984</v>
      </c>
      <c r="JGW21" t="s">
        <v>6984</v>
      </c>
      <c r="JGX21" t="s">
        <v>6984</v>
      </c>
      <c r="JGY21" t="s">
        <v>6984</v>
      </c>
      <c r="JGZ21" t="s">
        <v>6984</v>
      </c>
      <c r="JHA21" t="s">
        <v>6984</v>
      </c>
      <c r="JHB21" t="s">
        <v>6984</v>
      </c>
      <c r="JHC21" t="s">
        <v>6984</v>
      </c>
      <c r="JHD21" t="s">
        <v>6984</v>
      </c>
      <c r="JHE21" t="s">
        <v>6984</v>
      </c>
      <c r="JHF21" t="s">
        <v>6984</v>
      </c>
      <c r="JHG21" t="s">
        <v>6984</v>
      </c>
      <c r="JHH21" t="s">
        <v>6984</v>
      </c>
      <c r="JHI21" t="s">
        <v>6984</v>
      </c>
      <c r="JHJ21" t="s">
        <v>6984</v>
      </c>
      <c r="JHK21" t="s">
        <v>6984</v>
      </c>
      <c r="JHL21" t="s">
        <v>6984</v>
      </c>
      <c r="JHM21" t="s">
        <v>6984</v>
      </c>
      <c r="JHN21" t="s">
        <v>6984</v>
      </c>
      <c r="JHO21" t="s">
        <v>6984</v>
      </c>
      <c r="JHP21" t="s">
        <v>6984</v>
      </c>
      <c r="JHQ21" t="s">
        <v>6984</v>
      </c>
      <c r="JHR21" t="s">
        <v>6984</v>
      </c>
      <c r="JHS21" t="s">
        <v>6984</v>
      </c>
      <c r="JHT21" t="s">
        <v>6984</v>
      </c>
      <c r="JHU21" t="s">
        <v>6984</v>
      </c>
      <c r="JHV21" t="s">
        <v>6984</v>
      </c>
      <c r="JHW21" t="s">
        <v>6984</v>
      </c>
      <c r="JHX21" t="s">
        <v>6984</v>
      </c>
      <c r="JHY21" t="s">
        <v>6984</v>
      </c>
      <c r="JHZ21" t="s">
        <v>6984</v>
      </c>
      <c r="JIA21" t="s">
        <v>6984</v>
      </c>
      <c r="JIB21" t="s">
        <v>6984</v>
      </c>
      <c r="JIC21" t="s">
        <v>6984</v>
      </c>
      <c r="JID21" t="s">
        <v>6984</v>
      </c>
      <c r="JIE21" t="s">
        <v>6984</v>
      </c>
      <c r="JIF21" t="s">
        <v>6984</v>
      </c>
      <c r="JIG21" t="s">
        <v>6984</v>
      </c>
      <c r="JIH21" t="s">
        <v>6984</v>
      </c>
      <c r="JII21" t="s">
        <v>6984</v>
      </c>
      <c r="JIJ21" t="s">
        <v>6984</v>
      </c>
      <c r="JIK21" t="s">
        <v>6984</v>
      </c>
      <c r="JIL21" t="s">
        <v>6984</v>
      </c>
      <c r="JIM21" t="s">
        <v>6984</v>
      </c>
      <c r="JIN21" t="s">
        <v>6984</v>
      </c>
      <c r="JIO21" t="s">
        <v>6984</v>
      </c>
      <c r="JIP21" t="s">
        <v>6984</v>
      </c>
      <c r="JIQ21" t="s">
        <v>6984</v>
      </c>
      <c r="JIR21" t="s">
        <v>6984</v>
      </c>
      <c r="JIS21" t="s">
        <v>6984</v>
      </c>
      <c r="JIT21" t="s">
        <v>6984</v>
      </c>
      <c r="JIU21" t="s">
        <v>6984</v>
      </c>
      <c r="JIV21" t="s">
        <v>6984</v>
      </c>
      <c r="JIW21" t="s">
        <v>6984</v>
      </c>
      <c r="JIX21" t="s">
        <v>6984</v>
      </c>
      <c r="JIY21" t="s">
        <v>6984</v>
      </c>
      <c r="JIZ21" t="s">
        <v>6984</v>
      </c>
      <c r="JJA21" t="s">
        <v>6984</v>
      </c>
    </row>
    <row r="22" spans="1:7021" x14ac:dyDescent="0.25">
      <c r="A22" t="s">
        <v>7003</v>
      </c>
      <c r="B22">
        <v>96.15</v>
      </c>
      <c r="C22">
        <v>96.15</v>
      </c>
      <c r="D22">
        <v>96.15</v>
      </c>
      <c r="E22">
        <v>96.204999999999998</v>
      </c>
      <c r="F22">
        <v>96.14</v>
      </c>
      <c r="G22">
        <v>96.165000000000006</v>
      </c>
      <c r="H22">
        <v>96.21</v>
      </c>
      <c r="I22">
        <v>96.155000000000001</v>
      </c>
      <c r="J22">
        <v>96.1</v>
      </c>
      <c r="K22">
        <v>96.084999999999994</v>
      </c>
      <c r="L22">
        <v>96.07</v>
      </c>
      <c r="M22">
        <v>96.18</v>
      </c>
      <c r="N22">
        <v>96.215000000000003</v>
      </c>
      <c r="O22">
        <v>96.13</v>
      </c>
      <c r="P22">
        <v>96.13</v>
      </c>
      <c r="Q22">
        <v>96.185000000000002</v>
      </c>
      <c r="R22">
        <v>96.165000000000006</v>
      </c>
      <c r="S22">
        <v>96.13</v>
      </c>
      <c r="T22">
        <v>96.18</v>
      </c>
      <c r="U22">
        <v>96.094999999999999</v>
      </c>
      <c r="V22">
        <v>96.094999999999999</v>
      </c>
      <c r="W22">
        <v>96.034999999999997</v>
      </c>
      <c r="X22">
        <v>95.974999999999994</v>
      </c>
      <c r="Y22">
        <v>96.08</v>
      </c>
      <c r="Z22">
        <v>96.07</v>
      </c>
      <c r="AA22">
        <v>96.094999999999999</v>
      </c>
      <c r="AB22">
        <v>96.075000000000003</v>
      </c>
      <c r="AC22">
        <v>95.995000000000005</v>
      </c>
      <c r="AD22">
        <v>96.03</v>
      </c>
      <c r="AE22">
        <v>96.064999999999998</v>
      </c>
      <c r="AF22">
        <v>96.144999999999996</v>
      </c>
      <c r="AG22">
        <v>96.144999999999996</v>
      </c>
      <c r="AH22">
        <v>96.25</v>
      </c>
      <c r="AI22">
        <v>96.204999999999998</v>
      </c>
      <c r="AJ22">
        <v>96.18</v>
      </c>
      <c r="AK22">
        <v>96.2</v>
      </c>
      <c r="AL22">
        <v>96.27</v>
      </c>
      <c r="AM22">
        <v>96.31</v>
      </c>
      <c r="AN22">
        <v>96.3</v>
      </c>
      <c r="AO22">
        <v>96.245000000000005</v>
      </c>
      <c r="AP22">
        <v>96.185000000000002</v>
      </c>
      <c r="AQ22">
        <v>96.13</v>
      </c>
      <c r="AR22">
        <v>96.055000000000007</v>
      </c>
      <c r="AS22">
        <v>96.055000000000007</v>
      </c>
      <c r="AT22">
        <v>96.04</v>
      </c>
      <c r="AU22">
        <v>96.12</v>
      </c>
      <c r="AV22">
        <v>96.12</v>
      </c>
      <c r="AW22">
        <v>96.174999999999997</v>
      </c>
      <c r="AX22">
        <v>96.125</v>
      </c>
      <c r="AY22">
        <v>96.09</v>
      </c>
      <c r="AZ22">
        <v>95.965000000000003</v>
      </c>
      <c r="BA22">
        <v>96.11</v>
      </c>
      <c r="BB22">
        <v>96.05</v>
      </c>
      <c r="BC22">
        <v>96.22</v>
      </c>
      <c r="BD22">
        <v>96.295000000000002</v>
      </c>
      <c r="BE22">
        <v>96.465000000000003</v>
      </c>
      <c r="BF22">
        <v>96.385000000000005</v>
      </c>
      <c r="BG22">
        <v>96.215000000000003</v>
      </c>
      <c r="BH22">
        <v>96.275000000000006</v>
      </c>
      <c r="BI22">
        <v>96.174999999999997</v>
      </c>
      <c r="BJ22">
        <v>96.15</v>
      </c>
      <c r="BK22">
        <v>96.025000000000006</v>
      </c>
      <c r="BL22">
        <v>96.064999999999998</v>
      </c>
      <c r="BM22">
        <v>96.09</v>
      </c>
      <c r="BN22">
        <v>96.06</v>
      </c>
      <c r="BO22">
        <v>96.14</v>
      </c>
      <c r="BP22">
        <v>96.15</v>
      </c>
      <c r="BQ22">
        <v>96.114999999999995</v>
      </c>
      <c r="BR22">
        <v>96.13</v>
      </c>
      <c r="BS22">
        <v>96.094999999999999</v>
      </c>
      <c r="BT22">
        <v>96.084999999999994</v>
      </c>
      <c r="BU22">
        <v>96.135000000000005</v>
      </c>
      <c r="BV22">
        <v>96.094999999999999</v>
      </c>
      <c r="BW22">
        <v>96.125</v>
      </c>
      <c r="BX22">
        <v>96.215000000000003</v>
      </c>
      <c r="BY22">
        <v>96.084999999999994</v>
      </c>
      <c r="BZ22">
        <v>96.11</v>
      </c>
      <c r="CA22">
        <v>96.13</v>
      </c>
      <c r="CB22">
        <v>96.215000000000003</v>
      </c>
      <c r="CC22">
        <v>96.25</v>
      </c>
      <c r="CD22">
        <v>96.204999999999998</v>
      </c>
      <c r="CE22">
        <v>96.135000000000005</v>
      </c>
      <c r="CF22">
        <v>96.18</v>
      </c>
      <c r="CG22">
        <v>96.11</v>
      </c>
      <c r="CH22">
        <v>95.974999999999994</v>
      </c>
      <c r="CI22">
        <v>95.95</v>
      </c>
      <c r="CJ22">
        <v>95.864999999999995</v>
      </c>
      <c r="CK22">
        <v>95.82</v>
      </c>
      <c r="CL22">
        <v>95.814999999999998</v>
      </c>
      <c r="CM22">
        <v>95.894999999999996</v>
      </c>
      <c r="CN22">
        <v>95.894999999999996</v>
      </c>
      <c r="CO22">
        <v>95.825000000000003</v>
      </c>
      <c r="CP22">
        <v>95.71</v>
      </c>
      <c r="CQ22">
        <v>95.844999999999999</v>
      </c>
      <c r="CR22">
        <v>95.894999999999996</v>
      </c>
      <c r="CS22">
        <v>95.894999999999996</v>
      </c>
      <c r="CT22">
        <v>95.95</v>
      </c>
      <c r="CU22">
        <v>96</v>
      </c>
      <c r="CV22">
        <v>95.89</v>
      </c>
      <c r="CW22">
        <v>95.864999999999995</v>
      </c>
      <c r="CX22">
        <v>95.82</v>
      </c>
      <c r="CY22">
        <v>95.885000000000005</v>
      </c>
      <c r="CZ22">
        <v>95.834999999999994</v>
      </c>
      <c r="DA22">
        <v>95.844999999999999</v>
      </c>
      <c r="DB22">
        <v>95.87</v>
      </c>
      <c r="DC22">
        <v>95.76</v>
      </c>
      <c r="DD22">
        <v>95.76</v>
      </c>
      <c r="DE22">
        <v>95.8</v>
      </c>
      <c r="DF22">
        <v>95.83</v>
      </c>
      <c r="DG22">
        <v>95.784999999999997</v>
      </c>
      <c r="DH22">
        <v>95.784999999999997</v>
      </c>
      <c r="DI22">
        <v>95.784999999999997</v>
      </c>
      <c r="DJ22">
        <v>95.734999999999999</v>
      </c>
      <c r="DK22">
        <v>95.59</v>
      </c>
      <c r="DL22">
        <v>95.584999999999994</v>
      </c>
      <c r="DM22">
        <v>95.625</v>
      </c>
      <c r="DN22">
        <v>95.72</v>
      </c>
      <c r="DO22">
        <v>95.7</v>
      </c>
      <c r="DP22">
        <v>95.71</v>
      </c>
      <c r="DQ22">
        <v>95.795000000000002</v>
      </c>
      <c r="DR22">
        <v>95.855000000000004</v>
      </c>
      <c r="DS22">
        <v>95.87</v>
      </c>
      <c r="DT22">
        <v>95.864999999999995</v>
      </c>
      <c r="DU22">
        <v>95.864999999999995</v>
      </c>
      <c r="DV22">
        <v>95.905000000000001</v>
      </c>
      <c r="DW22">
        <v>95.82</v>
      </c>
      <c r="DX22">
        <v>95.875</v>
      </c>
      <c r="DY22">
        <v>95.86</v>
      </c>
      <c r="DZ22">
        <v>95.86</v>
      </c>
      <c r="EA22">
        <v>95.84</v>
      </c>
      <c r="EB22">
        <v>95.935000000000002</v>
      </c>
      <c r="EC22">
        <v>95.864999999999995</v>
      </c>
      <c r="ED22">
        <v>95.995000000000005</v>
      </c>
      <c r="EE22">
        <v>96.125</v>
      </c>
      <c r="EF22">
        <v>96.114999999999995</v>
      </c>
      <c r="EG22">
        <v>96.12</v>
      </c>
      <c r="EH22">
        <v>96.2</v>
      </c>
      <c r="EI22">
        <v>96.26</v>
      </c>
      <c r="EJ22">
        <v>96.32</v>
      </c>
      <c r="EK22">
        <v>96.344999999999999</v>
      </c>
      <c r="EL22">
        <v>96.385000000000005</v>
      </c>
      <c r="EM22">
        <v>96.344999999999999</v>
      </c>
      <c r="EN22">
        <v>96.34</v>
      </c>
      <c r="EO22">
        <v>96.31</v>
      </c>
      <c r="EP22">
        <v>96.344999999999999</v>
      </c>
      <c r="EQ22">
        <v>96.35</v>
      </c>
      <c r="ER22">
        <v>96.31</v>
      </c>
      <c r="ES22">
        <v>96.31</v>
      </c>
      <c r="ET22">
        <v>96.24</v>
      </c>
      <c r="EU22">
        <v>96.305000000000007</v>
      </c>
      <c r="EV22">
        <v>96.155000000000001</v>
      </c>
      <c r="EW22">
        <v>96.12</v>
      </c>
      <c r="EX22">
        <v>96.13</v>
      </c>
      <c r="EY22">
        <v>96.15</v>
      </c>
      <c r="EZ22">
        <v>96.114999999999995</v>
      </c>
      <c r="FA22">
        <v>96.105000000000004</v>
      </c>
      <c r="FB22">
        <v>96.105000000000004</v>
      </c>
      <c r="FC22">
        <v>96.08</v>
      </c>
      <c r="FD22">
        <v>96.1</v>
      </c>
      <c r="FE22">
        <v>96.155000000000001</v>
      </c>
      <c r="FF22">
        <v>96.21</v>
      </c>
      <c r="FG22">
        <v>96.17</v>
      </c>
      <c r="FH22">
        <v>96.07</v>
      </c>
      <c r="FI22">
        <v>96.245000000000005</v>
      </c>
      <c r="FJ22">
        <v>96.22</v>
      </c>
      <c r="FK22">
        <v>96.16</v>
      </c>
      <c r="FL22">
        <v>96.22</v>
      </c>
      <c r="FM22">
        <v>96.234999999999999</v>
      </c>
      <c r="FN22">
        <v>96.224999999999994</v>
      </c>
      <c r="FO22">
        <v>96.215000000000003</v>
      </c>
      <c r="FP22">
        <v>96.254999999999995</v>
      </c>
      <c r="FQ22">
        <v>96.28</v>
      </c>
      <c r="FR22">
        <v>96.23</v>
      </c>
      <c r="FS22">
        <v>96.27</v>
      </c>
      <c r="FT22">
        <v>96.295000000000002</v>
      </c>
      <c r="FU22">
        <v>96.41</v>
      </c>
      <c r="FV22">
        <v>96.394999999999996</v>
      </c>
      <c r="FW22">
        <v>96.484999999999999</v>
      </c>
      <c r="FX22">
        <v>96.465000000000003</v>
      </c>
      <c r="FY22">
        <v>96.37</v>
      </c>
      <c r="FZ22">
        <v>96.42</v>
      </c>
      <c r="GA22">
        <v>96.405000000000001</v>
      </c>
      <c r="GB22">
        <v>96.45</v>
      </c>
      <c r="GC22">
        <v>96.474999999999994</v>
      </c>
      <c r="GD22">
        <v>96.484999999999999</v>
      </c>
      <c r="GE22">
        <v>96.515000000000001</v>
      </c>
      <c r="GF22">
        <v>96.61</v>
      </c>
      <c r="GG22">
        <v>96.685000000000002</v>
      </c>
      <c r="GH22">
        <v>96.73</v>
      </c>
      <c r="GI22">
        <v>96.66</v>
      </c>
      <c r="GJ22">
        <v>96.7</v>
      </c>
      <c r="GK22">
        <v>96.67</v>
      </c>
      <c r="GL22">
        <v>96.655000000000001</v>
      </c>
      <c r="GM22">
        <v>96.694999999999993</v>
      </c>
      <c r="GN22">
        <v>96.7</v>
      </c>
      <c r="GO22">
        <v>96.715000000000003</v>
      </c>
      <c r="GP22">
        <v>96.704999999999998</v>
      </c>
      <c r="GQ22">
        <v>96.78</v>
      </c>
      <c r="GR22">
        <v>96.86</v>
      </c>
      <c r="GS22">
        <v>96.86</v>
      </c>
      <c r="GT22">
        <v>96.84</v>
      </c>
      <c r="GU22">
        <v>96.83</v>
      </c>
      <c r="GV22">
        <v>96.864999999999995</v>
      </c>
      <c r="GW22">
        <v>96.87</v>
      </c>
      <c r="GX22">
        <v>96.81</v>
      </c>
      <c r="GY22">
        <v>96.784999999999997</v>
      </c>
      <c r="GZ22">
        <v>96.79</v>
      </c>
      <c r="HA22">
        <v>96.754999999999995</v>
      </c>
      <c r="HB22">
        <v>96.704999999999998</v>
      </c>
      <c r="HC22">
        <v>96.625</v>
      </c>
      <c r="HD22">
        <v>96.625</v>
      </c>
      <c r="HE22">
        <v>96.67</v>
      </c>
      <c r="HF22">
        <v>96.685000000000002</v>
      </c>
      <c r="HG22">
        <v>96.694999999999993</v>
      </c>
      <c r="HH22">
        <v>96.715000000000003</v>
      </c>
      <c r="HI22">
        <v>96.704999999999998</v>
      </c>
      <c r="HJ22">
        <v>96.644999999999996</v>
      </c>
      <c r="HK22">
        <v>96.72</v>
      </c>
      <c r="HL22">
        <v>96.694999999999993</v>
      </c>
      <c r="HM22">
        <v>96.644999999999996</v>
      </c>
      <c r="HN22">
        <v>96.61</v>
      </c>
      <c r="HO22">
        <v>96.575000000000003</v>
      </c>
      <c r="HP22">
        <v>96.66</v>
      </c>
      <c r="HQ22">
        <v>96.625</v>
      </c>
      <c r="HR22">
        <v>96.59</v>
      </c>
      <c r="HS22">
        <v>96.55</v>
      </c>
      <c r="HT22">
        <v>96.47</v>
      </c>
      <c r="HU22">
        <v>96.49</v>
      </c>
      <c r="HV22">
        <v>96.575000000000003</v>
      </c>
      <c r="HW22">
        <v>96.67</v>
      </c>
      <c r="HX22">
        <v>96.68</v>
      </c>
      <c r="HY22">
        <v>96.534999999999997</v>
      </c>
      <c r="HZ22">
        <v>96.43</v>
      </c>
      <c r="IA22">
        <v>96.394999999999996</v>
      </c>
      <c r="IB22">
        <v>96.364999999999995</v>
      </c>
      <c r="IC22">
        <v>96.34</v>
      </c>
      <c r="ID22">
        <v>96.29</v>
      </c>
      <c r="IE22">
        <v>96.245000000000005</v>
      </c>
      <c r="IF22">
        <v>96.305000000000007</v>
      </c>
      <c r="IG22">
        <v>96.29</v>
      </c>
      <c r="IH22">
        <v>96.3</v>
      </c>
      <c r="II22">
        <v>96.344999999999999</v>
      </c>
      <c r="IJ22">
        <v>96.4</v>
      </c>
      <c r="IK22">
        <v>96.375</v>
      </c>
      <c r="IL22">
        <v>96.31</v>
      </c>
      <c r="IM22">
        <v>96.35</v>
      </c>
      <c r="IN22">
        <v>96.375</v>
      </c>
      <c r="IO22">
        <v>96.28</v>
      </c>
      <c r="IP22">
        <v>96.25</v>
      </c>
      <c r="IQ22">
        <v>96.29</v>
      </c>
      <c r="IR22">
        <v>96.284999999999997</v>
      </c>
      <c r="IS22">
        <v>96.215000000000003</v>
      </c>
      <c r="IT22">
        <v>96.215000000000003</v>
      </c>
      <c r="IU22">
        <v>96.11</v>
      </c>
      <c r="IV22">
        <v>96.064999999999998</v>
      </c>
      <c r="IW22">
        <v>96.23</v>
      </c>
      <c r="IX22">
        <v>96.284999999999997</v>
      </c>
      <c r="IY22">
        <v>96.254999999999995</v>
      </c>
      <c r="IZ22">
        <v>96.344999999999999</v>
      </c>
      <c r="JA22">
        <v>96.33</v>
      </c>
      <c r="JB22">
        <v>96.305000000000007</v>
      </c>
      <c r="JC22">
        <v>96.314999999999998</v>
      </c>
      <c r="JD22">
        <v>96.385000000000005</v>
      </c>
      <c r="JE22">
        <v>96.385000000000005</v>
      </c>
      <c r="JF22">
        <v>96.32</v>
      </c>
      <c r="JG22">
        <v>96.4</v>
      </c>
      <c r="JH22">
        <v>96.35</v>
      </c>
      <c r="JI22">
        <v>96.29</v>
      </c>
      <c r="JJ22">
        <v>96.174999999999997</v>
      </c>
      <c r="JK22">
        <v>96.094999999999999</v>
      </c>
      <c r="JL22">
        <v>96.14</v>
      </c>
      <c r="JM22">
        <v>96.284999999999997</v>
      </c>
      <c r="JN22">
        <v>96.28</v>
      </c>
      <c r="JO22">
        <v>96.245000000000005</v>
      </c>
      <c r="JP22">
        <v>96.165000000000006</v>
      </c>
      <c r="JQ22">
        <v>96.04</v>
      </c>
      <c r="JR22">
        <v>96</v>
      </c>
      <c r="JS22">
        <v>95.935000000000002</v>
      </c>
      <c r="JT22">
        <v>96.034999999999997</v>
      </c>
      <c r="JU22">
        <v>96.11</v>
      </c>
      <c r="JV22">
        <v>96.11</v>
      </c>
      <c r="JW22">
        <v>96.094999999999999</v>
      </c>
      <c r="JX22">
        <v>96.114999999999995</v>
      </c>
      <c r="JY22">
        <v>96.12</v>
      </c>
      <c r="JZ22">
        <v>96.09</v>
      </c>
      <c r="KA22">
        <v>96.105000000000004</v>
      </c>
      <c r="KB22">
        <v>96.15</v>
      </c>
      <c r="KC22">
        <v>96.16</v>
      </c>
      <c r="KD22">
        <v>96.075000000000003</v>
      </c>
      <c r="KE22">
        <v>96.04</v>
      </c>
      <c r="KF22">
        <v>96.015000000000001</v>
      </c>
      <c r="KG22">
        <v>96.07</v>
      </c>
      <c r="KH22">
        <v>96.034999999999997</v>
      </c>
      <c r="KI22">
        <v>96.08</v>
      </c>
      <c r="KJ22">
        <v>96.04</v>
      </c>
      <c r="KK22">
        <v>96.02</v>
      </c>
      <c r="KL22">
        <v>95.94</v>
      </c>
      <c r="KM22">
        <v>95.924999999999997</v>
      </c>
      <c r="KN22">
        <v>95.844999999999999</v>
      </c>
      <c r="KO22">
        <v>95.915000000000006</v>
      </c>
      <c r="KP22">
        <v>95.84</v>
      </c>
      <c r="KQ22">
        <v>95.8</v>
      </c>
      <c r="KR22">
        <v>95.85</v>
      </c>
      <c r="KS22">
        <v>95.924999999999997</v>
      </c>
      <c r="KT22">
        <v>95.9</v>
      </c>
      <c r="KU22">
        <v>95.915000000000006</v>
      </c>
      <c r="KV22">
        <v>95.885000000000005</v>
      </c>
      <c r="KW22">
        <v>95.944999999999993</v>
      </c>
      <c r="KX22">
        <v>95.87</v>
      </c>
      <c r="KY22">
        <v>95.905000000000001</v>
      </c>
      <c r="KZ22">
        <v>96.05</v>
      </c>
      <c r="LA22">
        <v>95.96</v>
      </c>
      <c r="LB22">
        <v>95.99</v>
      </c>
      <c r="LC22">
        <v>96.144999999999996</v>
      </c>
      <c r="LD22">
        <v>96.084999999999994</v>
      </c>
      <c r="LE22">
        <v>96.135000000000005</v>
      </c>
      <c r="LF22">
        <v>96.19</v>
      </c>
      <c r="LG22">
        <v>96.144999999999996</v>
      </c>
      <c r="LH22">
        <v>96.13</v>
      </c>
      <c r="LI22">
        <v>96.17</v>
      </c>
      <c r="LJ22">
        <v>96.314999999999998</v>
      </c>
      <c r="LK22">
        <v>96.314999999999998</v>
      </c>
      <c r="LL22">
        <v>96.284999999999997</v>
      </c>
      <c r="LM22">
        <v>96.245000000000005</v>
      </c>
      <c r="LN22">
        <v>96.215000000000003</v>
      </c>
      <c r="LO22">
        <v>96.254999999999995</v>
      </c>
      <c r="LP22">
        <v>96.194999999999993</v>
      </c>
      <c r="LQ22">
        <v>96.194999999999993</v>
      </c>
      <c r="LR22">
        <v>96.234999999999999</v>
      </c>
      <c r="LS22">
        <v>96.194999999999993</v>
      </c>
      <c r="LT22">
        <v>96.234999999999999</v>
      </c>
      <c r="LU22">
        <v>96.234999999999999</v>
      </c>
      <c r="LV22">
        <v>96.36</v>
      </c>
      <c r="LW22">
        <v>96.375</v>
      </c>
      <c r="LX22">
        <v>96.424999999999997</v>
      </c>
      <c r="LY22">
        <v>96.43</v>
      </c>
      <c r="LZ22">
        <v>96.435000000000002</v>
      </c>
      <c r="MA22">
        <v>96.43</v>
      </c>
      <c r="MB22">
        <v>96.39</v>
      </c>
      <c r="MC22">
        <v>96.3</v>
      </c>
      <c r="MD22">
        <v>96.33</v>
      </c>
      <c r="ME22">
        <v>96.265000000000001</v>
      </c>
      <c r="MF22">
        <v>96.254999999999995</v>
      </c>
      <c r="MG22">
        <v>96.234999999999999</v>
      </c>
      <c r="MH22">
        <v>96.254999999999995</v>
      </c>
      <c r="MI22">
        <v>96.265000000000001</v>
      </c>
      <c r="MJ22">
        <v>96.174999999999997</v>
      </c>
      <c r="MK22">
        <v>96.155000000000001</v>
      </c>
      <c r="ML22">
        <v>96.2</v>
      </c>
      <c r="MM22">
        <v>96.174999999999997</v>
      </c>
      <c r="MN22">
        <v>96.174999999999997</v>
      </c>
      <c r="MO22">
        <v>96.224999999999994</v>
      </c>
      <c r="MP22">
        <v>96.19</v>
      </c>
      <c r="MQ22">
        <v>96.144999999999996</v>
      </c>
      <c r="MR22">
        <v>96.28</v>
      </c>
      <c r="MS22">
        <v>96.26</v>
      </c>
      <c r="MT22">
        <v>96.275000000000006</v>
      </c>
      <c r="MU22">
        <v>96.36</v>
      </c>
      <c r="MV22">
        <v>96.375</v>
      </c>
      <c r="MW22">
        <v>96.28</v>
      </c>
      <c r="MX22">
        <v>96.415000000000006</v>
      </c>
      <c r="MY22">
        <v>96.59</v>
      </c>
      <c r="MZ22">
        <v>96.474999999999994</v>
      </c>
      <c r="NA22">
        <v>96.39</v>
      </c>
      <c r="NB22">
        <v>96.33</v>
      </c>
      <c r="NC22">
        <v>96.25</v>
      </c>
      <c r="ND22">
        <v>96.27</v>
      </c>
      <c r="NE22">
        <v>96.23</v>
      </c>
      <c r="NF22">
        <v>96.28</v>
      </c>
      <c r="NG22">
        <v>96.33</v>
      </c>
      <c r="NH22">
        <v>96.27</v>
      </c>
      <c r="NI22">
        <v>96.265000000000001</v>
      </c>
      <c r="NJ22">
        <v>96.32</v>
      </c>
      <c r="NK22">
        <v>96.344999999999999</v>
      </c>
      <c r="NL22">
        <v>96.47</v>
      </c>
      <c r="NM22">
        <v>96.47</v>
      </c>
      <c r="NN22">
        <v>96.474999999999994</v>
      </c>
      <c r="NO22">
        <v>96.424999999999997</v>
      </c>
      <c r="NP22">
        <v>96.435000000000002</v>
      </c>
      <c r="NQ22">
        <v>96.444999999999993</v>
      </c>
      <c r="NR22">
        <v>96.435000000000002</v>
      </c>
      <c r="NS22">
        <v>96.484999999999999</v>
      </c>
      <c r="NT22">
        <v>96.584999999999994</v>
      </c>
      <c r="NU22">
        <v>96.54</v>
      </c>
      <c r="NV22">
        <v>96.594999999999999</v>
      </c>
      <c r="NW22">
        <v>96.594999999999999</v>
      </c>
      <c r="NX22">
        <v>96.61</v>
      </c>
      <c r="NY22">
        <v>96.674999999999997</v>
      </c>
      <c r="NZ22">
        <v>96.57</v>
      </c>
      <c r="OA22">
        <v>96.55</v>
      </c>
      <c r="OB22">
        <v>96.55</v>
      </c>
      <c r="OC22">
        <v>96.58</v>
      </c>
      <c r="OD22">
        <v>96.61</v>
      </c>
      <c r="OE22">
        <v>96.594999999999999</v>
      </c>
      <c r="OF22">
        <v>96.564999999999998</v>
      </c>
      <c r="OG22">
        <v>96.594999999999999</v>
      </c>
      <c r="OH22">
        <v>96.575000000000003</v>
      </c>
      <c r="OI22">
        <v>96.48</v>
      </c>
      <c r="OJ22">
        <v>96.33</v>
      </c>
      <c r="OK22">
        <v>96.284999999999997</v>
      </c>
      <c r="OL22">
        <v>96.284999999999997</v>
      </c>
      <c r="OM22">
        <v>96.4</v>
      </c>
      <c r="ON22">
        <v>96.4</v>
      </c>
      <c r="OO22">
        <v>96.344999999999999</v>
      </c>
      <c r="OP22">
        <v>96.215000000000003</v>
      </c>
      <c r="OQ22">
        <v>96.265000000000001</v>
      </c>
      <c r="OR22">
        <v>96.15</v>
      </c>
      <c r="OS22">
        <v>96.234999999999999</v>
      </c>
      <c r="OT22">
        <v>96.174999999999997</v>
      </c>
      <c r="OU22">
        <v>96.12</v>
      </c>
      <c r="OV22">
        <v>96</v>
      </c>
      <c r="OW22">
        <v>96.07</v>
      </c>
      <c r="OX22">
        <v>96.07</v>
      </c>
      <c r="OY22">
        <v>96.064999999999998</v>
      </c>
      <c r="OZ22">
        <v>96.07</v>
      </c>
      <c r="PA22">
        <v>96.03</v>
      </c>
      <c r="PB22">
        <v>96.015000000000001</v>
      </c>
      <c r="PC22">
        <v>95.91</v>
      </c>
      <c r="PD22">
        <v>96</v>
      </c>
      <c r="PE22">
        <v>95.805000000000007</v>
      </c>
      <c r="PF22">
        <v>95.81</v>
      </c>
      <c r="PG22">
        <v>95.81</v>
      </c>
      <c r="PH22">
        <v>95.944999999999993</v>
      </c>
      <c r="PI22">
        <v>95.88</v>
      </c>
      <c r="PJ22">
        <v>95.765000000000001</v>
      </c>
      <c r="PK22">
        <v>95.87</v>
      </c>
      <c r="PL22">
        <v>95.745000000000005</v>
      </c>
      <c r="PM22">
        <v>95.62</v>
      </c>
      <c r="PN22">
        <v>95.53</v>
      </c>
      <c r="PO22">
        <v>95.52</v>
      </c>
      <c r="PP22">
        <v>95.53</v>
      </c>
      <c r="PQ22">
        <v>95.52</v>
      </c>
      <c r="PR22">
        <v>95.4</v>
      </c>
      <c r="PS22">
        <v>95.534999999999997</v>
      </c>
      <c r="PT22">
        <v>95.53</v>
      </c>
      <c r="PU22">
        <v>95.435000000000002</v>
      </c>
      <c r="PV22">
        <v>95.35</v>
      </c>
      <c r="PW22">
        <v>95.474999999999994</v>
      </c>
      <c r="PX22">
        <v>95.54</v>
      </c>
      <c r="PY22">
        <v>95.685000000000002</v>
      </c>
      <c r="PZ22">
        <v>95.775000000000006</v>
      </c>
      <c r="QA22">
        <v>95.674999999999997</v>
      </c>
      <c r="QB22">
        <v>95.79</v>
      </c>
      <c r="QC22">
        <v>95.715000000000003</v>
      </c>
      <c r="QD22">
        <v>95.72</v>
      </c>
      <c r="QE22">
        <v>95.575000000000003</v>
      </c>
      <c r="QF22">
        <v>95.635000000000005</v>
      </c>
      <c r="QG22">
        <v>95.605000000000004</v>
      </c>
      <c r="QH22">
        <v>95.55</v>
      </c>
      <c r="QI22">
        <v>95.68</v>
      </c>
      <c r="QJ22">
        <v>95.825000000000003</v>
      </c>
      <c r="QK22">
        <v>95.784999999999997</v>
      </c>
      <c r="QL22">
        <v>95.78</v>
      </c>
      <c r="QM22">
        <v>95.855000000000004</v>
      </c>
      <c r="QN22">
        <v>95.864999999999995</v>
      </c>
      <c r="QO22">
        <v>95.99</v>
      </c>
      <c r="QP22">
        <v>95.954999999999998</v>
      </c>
      <c r="QQ22">
        <v>96.114999999999995</v>
      </c>
      <c r="QR22">
        <v>96.12</v>
      </c>
      <c r="QS22">
        <v>96.165000000000006</v>
      </c>
      <c r="QT22">
        <v>96.155000000000001</v>
      </c>
      <c r="QU22">
        <v>96.185000000000002</v>
      </c>
      <c r="QV22">
        <v>96.224999999999994</v>
      </c>
      <c r="QW22">
        <v>96.204999999999998</v>
      </c>
      <c r="QX22">
        <v>96.174999999999997</v>
      </c>
      <c r="QY22">
        <v>96.204999999999998</v>
      </c>
      <c r="QZ22">
        <v>96.194999999999993</v>
      </c>
      <c r="RA22">
        <v>96.18</v>
      </c>
      <c r="RB22">
        <v>96.204999999999998</v>
      </c>
      <c r="RC22">
        <v>96.275000000000006</v>
      </c>
      <c r="RD22">
        <v>96.275000000000006</v>
      </c>
      <c r="RE22">
        <v>96.364999999999995</v>
      </c>
      <c r="RF22">
        <v>96.34</v>
      </c>
      <c r="RG22">
        <v>96.334999999999994</v>
      </c>
      <c r="RH22">
        <v>96.254999999999995</v>
      </c>
      <c r="RI22">
        <v>96.21</v>
      </c>
      <c r="RJ22">
        <v>96.204999999999998</v>
      </c>
      <c r="RK22">
        <v>96.224999999999994</v>
      </c>
      <c r="RL22">
        <v>96.075000000000003</v>
      </c>
      <c r="RM22">
        <v>96.055000000000007</v>
      </c>
      <c r="RN22">
        <v>96.155000000000001</v>
      </c>
      <c r="RO22">
        <v>96.08</v>
      </c>
      <c r="RP22">
        <v>96.17</v>
      </c>
      <c r="RQ22">
        <v>96.204999999999998</v>
      </c>
      <c r="RR22">
        <v>96.265000000000001</v>
      </c>
      <c r="RS22">
        <v>96.254999999999995</v>
      </c>
      <c r="RT22">
        <v>96.36</v>
      </c>
      <c r="RU22">
        <v>96.47</v>
      </c>
      <c r="RV22">
        <v>96.444999999999993</v>
      </c>
      <c r="RW22">
        <v>96.38</v>
      </c>
      <c r="RX22">
        <v>96.385000000000005</v>
      </c>
      <c r="RY22">
        <v>96.234999999999999</v>
      </c>
      <c r="RZ22">
        <v>96.364999999999995</v>
      </c>
      <c r="SA22">
        <v>96.405000000000001</v>
      </c>
      <c r="SB22">
        <v>96.495000000000005</v>
      </c>
      <c r="SC22">
        <v>96.484999999999999</v>
      </c>
      <c r="SD22">
        <v>96.44</v>
      </c>
      <c r="SE22">
        <v>96.61</v>
      </c>
      <c r="SF22">
        <v>96.54</v>
      </c>
      <c r="SG22">
        <v>96.61</v>
      </c>
      <c r="SH22">
        <v>96.614999999999995</v>
      </c>
      <c r="SI22">
        <v>96.6</v>
      </c>
      <c r="SJ22">
        <v>96.74</v>
      </c>
      <c r="SK22">
        <v>96.694999999999993</v>
      </c>
      <c r="SL22">
        <v>96.665000000000006</v>
      </c>
      <c r="SM22">
        <v>96.625</v>
      </c>
      <c r="SN22">
        <v>96.65</v>
      </c>
      <c r="SO22">
        <v>96.58</v>
      </c>
      <c r="SP22">
        <v>96.47</v>
      </c>
      <c r="SQ22">
        <v>96.41</v>
      </c>
      <c r="SR22">
        <v>96.344999999999999</v>
      </c>
      <c r="SS22">
        <v>96.394999999999996</v>
      </c>
      <c r="ST22">
        <v>96.54</v>
      </c>
      <c r="SU22">
        <v>96.65</v>
      </c>
      <c r="SV22">
        <v>96.65</v>
      </c>
      <c r="SW22">
        <v>96.685000000000002</v>
      </c>
      <c r="SX22">
        <v>96.64</v>
      </c>
      <c r="SY22">
        <v>96.79</v>
      </c>
      <c r="SZ22">
        <v>96.72</v>
      </c>
      <c r="TA22">
        <v>96.75</v>
      </c>
      <c r="TB22">
        <v>96.72</v>
      </c>
      <c r="TC22">
        <v>96.665000000000006</v>
      </c>
      <c r="TD22">
        <v>96.745000000000005</v>
      </c>
      <c r="TE22">
        <v>96.77</v>
      </c>
      <c r="TF22">
        <v>96.715000000000003</v>
      </c>
      <c r="TG22">
        <v>96.715000000000003</v>
      </c>
      <c r="TH22">
        <v>96.754999999999995</v>
      </c>
      <c r="TI22">
        <v>96.685000000000002</v>
      </c>
      <c r="TJ22">
        <v>96.63</v>
      </c>
      <c r="TK22">
        <v>96.715000000000003</v>
      </c>
      <c r="TL22">
        <v>96.715000000000003</v>
      </c>
      <c r="TM22">
        <v>96.734999999999999</v>
      </c>
      <c r="TN22">
        <v>96.66</v>
      </c>
      <c r="TO22">
        <v>96.75</v>
      </c>
      <c r="TP22">
        <v>96.74</v>
      </c>
      <c r="TQ22">
        <v>96.71</v>
      </c>
      <c r="TR22">
        <v>96.82</v>
      </c>
      <c r="TS22">
        <v>96.805000000000007</v>
      </c>
      <c r="TT22">
        <v>96.745000000000005</v>
      </c>
      <c r="TU22">
        <v>96.625</v>
      </c>
      <c r="TV22">
        <v>96.625</v>
      </c>
      <c r="TW22">
        <v>96.635000000000005</v>
      </c>
      <c r="TX22">
        <v>96.734999999999999</v>
      </c>
      <c r="TY22">
        <v>96.73</v>
      </c>
      <c r="TZ22">
        <v>96.69</v>
      </c>
      <c r="UA22">
        <v>96.7</v>
      </c>
      <c r="UB22">
        <v>96.75</v>
      </c>
      <c r="UC22">
        <v>96.825000000000003</v>
      </c>
      <c r="UD22">
        <v>96.855000000000004</v>
      </c>
      <c r="UE22">
        <v>96.9</v>
      </c>
      <c r="UF22">
        <v>96.935000000000002</v>
      </c>
      <c r="UG22">
        <v>96.995000000000005</v>
      </c>
      <c r="UH22">
        <v>96.95</v>
      </c>
      <c r="UI22">
        <v>96.875</v>
      </c>
      <c r="UJ22">
        <v>96.86</v>
      </c>
      <c r="UK22">
        <v>96.905000000000001</v>
      </c>
      <c r="UL22">
        <v>96.99</v>
      </c>
      <c r="UM22">
        <v>96.96</v>
      </c>
      <c r="UN22">
        <v>96.94</v>
      </c>
      <c r="UO22">
        <v>96.8</v>
      </c>
      <c r="UP22">
        <v>96.924999999999997</v>
      </c>
      <c r="UQ22">
        <v>96.86</v>
      </c>
      <c r="UR22">
        <v>96.95</v>
      </c>
      <c r="US22">
        <v>97</v>
      </c>
      <c r="UT22">
        <v>96.91</v>
      </c>
      <c r="UU22">
        <v>96.84</v>
      </c>
      <c r="UV22">
        <v>96.885000000000005</v>
      </c>
      <c r="UW22">
        <v>96.834999999999994</v>
      </c>
      <c r="UX22">
        <v>96.85</v>
      </c>
      <c r="UY22">
        <v>96.83</v>
      </c>
      <c r="UZ22">
        <v>96.89</v>
      </c>
      <c r="VA22">
        <v>96.96</v>
      </c>
      <c r="VB22">
        <v>97.015000000000001</v>
      </c>
      <c r="VC22">
        <v>96.995000000000005</v>
      </c>
      <c r="VD22">
        <v>96.99</v>
      </c>
      <c r="VE22">
        <v>97.04</v>
      </c>
      <c r="VF22">
        <v>97.12</v>
      </c>
      <c r="VG22">
        <v>97.105000000000004</v>
      </c>
      <c r="VH22">
        <v>97.08</v>
      </c>
      <c r="VI22">
        <v>96.984999999999999</v>
      </c>
      <c r="VJ22">
        <v>96.93</v>
      </c>
      <c r="VK22">
        <v>96.87</v>
      </c>
      <c r="VL22">
        <v>96.834999999999994</v>
      </c>
      <c r="VM22">
        <v>96.825000000000003</v>
      </c>
      <c r="VN22">
        <v>96.855000000000004</v>
      </c>
      <c r="VO22">
        <v>96.98</v>
      </c>
      <c r="VP22">
        <v>96.94</v>
      </c>
      <c r="VQ22">
        <v>96.844999999999999</v>
      </c>
      <c r="VR22">
        <v>96.77</v>
      </c>
      <c r="VS22">
        <v>96.844999999999999</v>
      </c>
      <c r="VT22">
        <v>96.954999999999998</v>
      </c>
      <c r="VU22">
        <v>96.78</v>
      </c>
      <c r="VV22">
        <v>96.855000000000004</v>
      </c>
      <c r="VW22">
        <v>96.78</v>
      </c>
      <c r="VX22">
        <v>96.855000000000004</v>
      </c>
      <c r="VY22">
        <v>96.86</v>
      </c>
      <c r="VZ22">
        <v>96.655000000000001</v>
      </c>
      <c r="WA22">
        <v>96.665000000000006</v>
      </c>
      <c r="WB22">
        <v>96.655000000000001</v>
      </c>
      <c r="WC22">
        <v>96.594999999999999</v>
      </c>
      <c r="WD22">
        <v>96.6</v>
      </c>
      <c r="WE22">
        <v>96.484999999999999</v>
      </c>
      <c r="WF22">
        <v>96.594999999999999</v>
      </c>
      <c r="WG22">
        <v>96.68</v>
      </c>
      <c r="WH22">
        <v>96.674999999999997</v>
      </c>
      <c r="WI22">
        <v>96.614999999999995</v>
      </c>
      <c r="WJ22">
        <v>96.67</v>
      </c>
      <c r="WK22">
        <v>96.61</v>
      </c>
      <c r="WL22">
        <v>96.584999999999994</v>
      </c>
      <c r="WM22">
        <v>96.734999999999999</v>
      </c>
      <c r="WN22">
        <v>96.734999999999999</v>
      </c>
      <c r="WO22">
        <v>96.715000000000003</v>
      </c>
      <c r="WP22">
        <v>96.75</v>
      </c>
      <c r="WQ22">
        <v>96.8</v>
      </c>
      <c r="WR22">
        <v>96.825000000000003</v>
      </c>
      <c r="WS22">
        <v>96.805000000000007</v>
      </c>
      <c r="WT22">
        <v>96.864999999999995</v>
      </c>
      <c r="WU22">
        <v>96.89</v>
      </c>
      <c r="WV22">
        <v>96.87</v>
      </c>
      <c r="WW22">
        <v>96.9</v>
      </c>
      <c r="WX22">
        <v>96.984999999999999</v>
      </c>
      <c r="WY22">
        <v>97.11</v>
      </c>
      <c r="WZ22">
        <v>97.125</v>
      </c>
      <c r="XA22">
        <v>97</v>
      </c>
      <c r="XB22">
        <v>96.954999999999998</v>
      </c>
      <c r="XC22">
        <v>97</v>
      </c>
      <c r="XD22">
        <v>97.05</v>
      </c>
      <c r="XE22">
        <v>97.084999999999994</v>
      </c>
      <c r="XF22">
        <v>97.084999999999994</v>
      </c>
      <c r="XG22">
        <v>97.01</v>
      </c>
      <c r="XH22">
        <v>97.04</v>
      </c>
      <c r="XI22">
        <v>97.144999999999996</v>
      </c>
      <c r="XJ22">
        <v>97.185000000000002</v>
      </c>
      <c r="XK22">
        <v>97.025000000000006</v>
      </c>
      <c r="XL22">
        <v>97.06</v>
      </c>
      <c r="XM22">
        <v>97.06</v>
      </c>
      <c r="XN22">
        <v>97.1</v>
      </c>
      <c r="XO22">
        <v>96.98</v>
      </c>
      <c r="XP22">
        <v>96.92</v>
      </c>
      <c r="XQ22">
        <v>97.034999999999997</v>
      </c>
      <c r="XR22">
        <v>96.984999999999999</v>
      </c>
      <c r="XS22">
        <v>96.814999999999998</v>
      </c>
      <c r="XT22">
        <v>96.81</v>
      </c>
      <c r="XU22">
        <v>96.704999999999998</v>
      </c>
      <c r="XV22">
        <v>96.644999999999996</v>
      </c>
      <c r="XW22">
        <v>96.644999999999996</v>
      </c>
      <c r="XX22">
        <v>96.61</v>
      </c>
      <c r="XY22">
        <v>96.57</v>
      </c>
      <c r="XZ22">
        <v>96.64</v>
      </c>
      <c r="YA22">
        <v>96.724999999999994</v>
      </c>
      <c r="YB22">
        <v>96.724999999999994</v>
      </c>
      <c r="YC22">
        <v>96.765000000000001</v>
      </c>
      <c r="YD22">
        <v>96.745000000000005</v>
      </c>
      <c r="YE22">
        <v>96.825000000000003</v>
      </c>
      <c r="YF22">
        <v>96.954999999999998</v>
      </c>
      <c r="YG22">
        <v>97.04</v>
      </c>
      <c r="YH22">
        <v>97.09</v>
      </c>
      <c r="YI22">
        <v>97.034999999999997</v>
      </c>
      <c r="YJ22">
        <v>97.034999999999997</v>
      </c>
      <c r="YK22">
        <v>96.93</v>
      </c>
      <c r="YL22">
        <v>96.965000000000003</v>
      </c>
      <c r="YM22">
        <v>97.055000000000007</v>
      </c>
      <c r="YN22">
        <v>97.18</v>
      </c>
      <c r="YO22">
        <v>97.07</v>
      </c>
      <c r="YP22">
        <v>96.98</v>
      </c>
      <c r="YQ22">
        <v>97.09</v>
      </c>
      <c r="YR22">
        <v>97.045000000000002</v>
      </c>
      <c r="YS22">
        <v>96.885000000000005</v>
      </c>
      <c r="YT22">
        <v>96.834999999999994</v>
      </c>
      <c r="YU22">
        <v>96.87</v>
      </c>
      <c r="YV22">
        <v>96.86</v>
      </c>
      <c r="YW22">
        <v>96.84</v>
      </c>
      <c r="YX22">
        <v>96.84</v>
      </c>
      <c r="YY22">
        <v>96.77</v>
      </c>
      <c r="YZ22">
        <v>96.674999999999997</v>
      </c>
      <c r="ZA22">
        <v>96.674999999999997</v>
      </c>
      <c r="ZB22">
        <v>96.745000000000005</v>
      </c>
      <c r="ZC22">
        <v>96.8</v>
      </c>
      <c r="ZD22">
        <v>96.674999999999997</v>
      </c>
      <c r="ZE22">
        <v>96.6</v>
      </c>
      <c r="ZF22">
        <v>96.65</v>
      </c>
      <c r="ZG22">
        <v>96.625</v>
      </c>
      <c r="ZH22">
        <v>96.325000000000003</v>
      </c>
      <c r="ZI22">
        <v>96.33</v>
      </c>
      <c r="ZJ22">
        <v>96.224999999999994</v>
      </c>
      <c r="ZK22">
        <v>96.234999999999999</v>
      </c>
      <c r="ZL22">
        <v>96.254999999999995</v>
      </c>
      <c r="ZM22">
        <v>96.284999999999997</v>
      </c>
      <c r="ZN22">
        <v>96.26</v>
      </c>
      <c r="ZO22">
        <v>96.245000000000005</v>
      </c>
      <c r="ZP22">
        <v>96.28</v>
      </c>
      <c r="ZQ22">
        <v>96.385000000000005</v>
      </c>
      <c r="ZR22">
        <v>96.314999999999998</v>
      </c>
      <c r="ZS22">
        <v>96.23</v>
      </c>
      <c r="ZT22">
        <v>96.09</v>
      </c>
      <c r="ZU22">
        <v>96.135000000000005</v>
      </c>
      <c r="ZV22">
        <v>96.114999999999995</v>
      </c>
      <c r="ZW22">
        <v>96.24</v>
      </c>
      <c r="ZX22">
        <v>96.38</v>
      </c>
      <c r="ZY22">
        <v>96.36</v>
      </c>
      <c r="ZZ22">
        <v>96.355000000000004</v>
      </c>
      <c r="AAA22">
        <v>96.4</v>
      </c>
      <c r="AAB22">
        <v>96.385000000000005</v>
      </c>
      <c r="AAC22">
        <v>96.344999999999999</v>
      </c>
      <c r="AAD22">
        <v>96.3</v>
      </c>
      <c r="AAE22">
        <v>96.385000000000005</v>
      </c>
      <c r="AAF22">
        <v>96.435000000000002</v>
      </c>
      <c r="AAG22">
        <v>96.495000000000005</v>
      </c>
      <c r="AAH22">
        <v>96.674999999999997</v>
      </c>
      <c r="AAI22">
        <v>96.57</v>
      </c>
      <c r="AAJ22">
        <v>96.385000000000005</v>
      </c>
      <c r="AAK22">
        <v>96.47</v>
      </c>
      <c r="AAL22">
        <v>96.515000000000001</v>
      </c>
      <c r="AAM22">
        <v>96.32</v>
      </c>
      <c r="AAN22">
        <v>96.415000000000006</v>
      </c>
      <c r="AAO22">
        <v>96.63</v>
      </c>
      <c r="AAP22">
        <v>96.594999999999999</v>
      </c>
      <c r="AAQ22">
        <v>96.784999999999997</v>
      </c>
      <c r="AAR22">
        <v>96.72</v>
      </c>
      <c r="AAS22">
        <v>96.805000000000007</v>
      </c>
      <c r="AAT22">
        <v>96.84</v>
      </c>
      <c r="AAU22">
        <v>96.844999999999999</v>
      </c>
      <c r="AAV22">
        <v>96.9</v>
      </c>
      <c r="AAW22">
        <v>96.87</v>
      </c>
      <c r="AAX22">
        <v>96.905000000000001</v>
      </c>
      <c r="AAY22">
        <v>96.944999999999993</v>
      </c>
      <c r="AAZ22">
        <v>96.97</v>
      </c>
      <c r="ABA22">
        <v>97</v>
      </c>
      <c r="ABB22">
        <v>96.905000000000001</v>
      </c>
      <c r="ABC22">
        <v>97.08</v>
      </c>
      <c r="ABD22">
        <v>97.08</v>
      </c>
      <c r="ABE22">
        <v>97.004999999999995</v>
      </c>
      <c r="ABF22">
        <v>97.18</v>
      </c>
      <c r="ABG22">
        <v>97.22</v>
      </c>
      <c r="ABH22">
        <v>97.2</v>
      </c>
      <c r="ABI22">
        <v>97.32</v>
      </c>
      <c r="ABJ22">
        <v>97.35</v>
      </c>
      <c r="ABK22">
        <v>97.27</v>
      </c>
      <c r="ABL22">
        <v>97.33</v>
      </c>
      <c r="ABM22">
        <v>97.37</v>
      </c>
      <c r="ABN22">
        <v>97.4</v>
      </c>
      <c r="ABO22">
        <v>97.534999999999997</v>
      </c>
      <c r="ABP22">
        <v>97.53</v>
      </c>
      <c r="ABQ22">
        <v>97.61</v>
      </c>
      <c r="ABR22">
        <v>97.61</v>
      </c>
      <c r="ABS22">
        <v>97.52</v>
      </c>
      <c r="ABT22">
        <v>97.465000000000003</v>
      </c>
      <c r="ABU22">
        <v>97.6</v>
      </c>
      <c r="ABV22">
        <v>97.59</v>
      </c>
      <c r="ABW22">
        <v>97.61</v>
      </c>
      <c r="ABX22">
        <v>97.52</v>
      </c>
      <c r="ABY22">
        <v>97.674999999999997</v>
      </c>
      <c r="ABZ22">
        <v>97.58</v>
      </c>
      <c r="ACA22">
        <v>97.57</v>
      </c>
      <c r="ACB22">
        <v>97.7</v>
      </c>
      <c r="ACC22">
        <v>97.644999999999996</v>
      </c>
      <c r="ACD22">
        <v>97.6</v>
      </c>
      <c r="ACE22">
        <v>97.534999999999997</v>
      </c>
      <c r="ACF22">
        <v>97.465000000000003</v>
      </c>
      <c r="ACG22">
        <v>97.424999999999997</v>
      </c>
      <c r="ACH22">
        <v>97.46</v>
      </c>
      <c r="ACI22">
        <v>97.344999999999999</v>
      </c>
      <c r="ACJ22">
        <v>97.215000000000003</v>
      </c>
      <c r="ACK22">
        <v>97.265000000000001</v>
      </c>
      <c r="ACL22">
        <v>97.31</v>
      </c>
      <c r="ACM22">
        <v>97.33</v>
      </c>
      <c r="ACN22">
        <v>97.265000000000001</v>
      </c>
      <c r="ACO22">
        <v>97.32</v>
      </c>
      <c r="ACP22">
        <v>97.215000000000003</v>
      </c>
      <c r="ACQ22">
        <v>97.165000000000006</v>
      </c>
      <c r="ACR22">
        <v>97.015000000000001</v>
      </c>
      <c r="ACS22">
        <v>97.094999999999999</v>
      </c>
      <c r="ACT22">
        <v>97.215000000000003</v>
      </c>
      <c r="ACU22">
        <v>97.3</v>
      </c>
      <c r="ACV22">
        <v>97.21</v>
      </c>
      <c r="ACW22">
        <v>97.21</v>
      </c>
      <c r="ACX22">
        <v>97.165000000000006</v>
      </c>
      <c r="ACY22">
        <v>97.03</v>
      </c>
      <c r="ACZ22">
        <v>96.94</v>
      </c>
      <c r="ADA22">
        <v>96.96</v>
      </c>
      <c r="ADB22">
        <v>97.025000000000006</v>
      </c>
      <c r="ADC22">
        <v>97.114999999999995</v>
      </c>
      <c r="ADD22">
        <v>97.02</v>
      </c>
      <c r="ADE22">
        <v>96.894999999999996</v>
      </c>
      <c r="ADF22">
        <v>96.984999999999999</v>
      </c>
      <c r="ADG22">
        <v>96.984999999999999</v>
      </c>
      <c r="ADH22">
        <v>96.92</v>
      </c>
      <c r="ADI22">
        <v>96.77</v>
      </c>
      <c r="ADJ22">
        <v>96.73</v>
      </c>
      <c r="ADK22">
        <v>96.85</v>
      </c>
      <c r="ADL22">
        <v>97.075000000000003</v>
      </c>
      <c r="ADM22">
        <v>97.16</v>
      </c>
      <c r="ADN22">
        <v>97.165000000000006</v>
      </c>
      <c r="ADO22">
        <v>97.21</v>
      </c>
      <c r="ADP22">
        <v>97.12</v>
      </c>
      <c r="ADQ22">
        <v>97.224999999999994</v>
      </c>
      <c r="ADR22">
        <v>97.275000000000006</v>
      </c>
      <c r="ADS22">
        <v>97.23</v>
      </c>
      <c r="ADT22">
        <v>97.31</v>
      </c>
      <c r="ADU22">
        <v>97.4</v>
      </c>
      <c r="ADV22">
        <v>97.4</v>
      </c>
      <c r="ADW22">
        <v>97.39</v>
      </c>
      <c r="ADX22">
        <v>97.4</v>
      </c>
      <c r="ADY22">
        <v>97.38</v>
      </c>
      <c r="ADZ22">
        <v>97.29</v>
      </c>
      <c r="AEA22">
        <v>97.36</v>
      </c>
      <c r="AEB22">
        <v>97.295000000000002</v>
      </c>
      <c r="AEC22">
        <v>97.27</v>
      </c>
      <c r="AED22">
        <v>97.165000000000006</v>
      </c>
      <c r="AEE22">
        <v>97.245000000000005</v>
      </c>
      <c r="AEF22">
        <v>97.155000000000001</v>
      </c>
      <c r="AEG22">
        <v>97.28</v>
      </c>
      <c r="AEH22">
        <v>97.215000000000003</v>
      </c>
      <c r="AEI22">
        <v>97.12</v>
      </c>
      <c r="AEJ22">
        <v>97</v>
      </c>
      <c r="AEK22">
        <v>96.95</v>
      </c>
      <c r="AEL22">
        <v>97.03</v>
      </c>
      <c r="AEM22">
        <v>97.165000000000006</v>
      </c>
      <c r="AEN22">
        <v>97.14</v>
      </c>
      <c r="AEO22">
        <v>97.084999999999994</v>
      </c>
      <c r="AEP22">
        <v>97.224999999999994</v>
      </c>
      <c r="AEQ22">
        <v>97.23</v>
      </c>
      <c r="AER22">
        <v>97.295000000000002</v>
      </c>
      <c r="AES22">
        <v>97.344999999999999</v>
      </c>
      <c r="AET22">
        <v>97.334999999999994</v>
      </c>
      <c r="AEU22">
        <v>97.245000000000005</v>
      </c>
      <c r="AEV22">
        <v>97.18</v>
      </c>
      <c r="AEW22">
        <v>97.265000000000001</v>
      </c>
      <c r="AEX22">
        <v>97.16</v>
      </c>
      <c r="AEY22">
        <v>97.22</v>
      </c>
      <c r="AEZ22">
        <v>97.28</v>
      </c>
      <c r="AFA22">
        <v>97.28</v>
      </c>
      <c r="AFB22">
        <v>97.41</v>
      </c>
      <c r="AFC22">
        <v>97.375</v>
      </c>
      <c r="AFD22">
        <v>97.31</v>
      </c>
      <c r="AFE22">
        <v>97.43</v>
      </c>
      <c r="AFF22">
        <v>97.515000000000001</v>
      </c>
      <c r="AFG22">
        <v>97.59</v>
      </c>
      <c r="AFH22">
        <v>97.66</v>
      </c>
      <c r="AFI22">
        <v>97.885000000000005</v>
      </c>
      <c r="AFJ22">
        <v>97.905000000000001</v>
      </c>
      <c r="AFK22">
        <v>97.93</v>
      </c>
      <c r="AFL22">
        <v>97.864999999999995</v>
      </c>
      <c r="AFM22">
        <v>97.79</v>
      </c>
      <c r="AFN22">
        <v>97.68</v>
      </c>
      <c r="AFO22">
        <v>97.63</v>
      </c>
      <c r="AFP22">
        <v>97.825000000000003</v>
      </c>
      <c r="AFQ22">
        <v>97.855000000000004</v>
      </c>
      <c r="AFR22">
        <v>97.805000000000007</v>
      </c>
      <c r="AFS22">
        <v>97.87</v>
      </c>
      <c r="AFT22">
        <v>98.02</v>
      </c>
      <c r="AFU22">
        <v>97.944999999999993</v>
      </c>
      <c r="AFV22">
        <v>97.905000000000001</v>
      </c>
      <c r="AFW22">
        <v>97.95</v>
      </c>
      <c r="AFX22">
        <v>97.974999999999994</v>
      </c>
      <c r="AFY22">
        <v>98.125</v>
      </c>
      <c r="AFZ22">
        <v>98.135000000000005</v>
      </c>
      <c r="AGA22">
        <v>98.204999999999998</v>
      </c>
      <c r="AGB22">
        <v>98.3</v>
      </c>
      <c r="AGC22">
        <v>98.415000000000006</v>
      </c>
      <c r="AGD22">
        <v>98.435000000000002</v>
      </c>
      <c r="AGE22">
        <v>98.28</v>
      </c>
      <c r="AGF22">
        <v>98.22</v>
      </c>
      <c r="AGG22">
        <v>98.4</v>
      </c>
      <c r="AGH22">
        <v>98.24</v>
      </c>
      <c r="AGI22">
        <v>98.094999999999999</v>
      </c>
      <c r="AGJ22">
        <v>98.1</v>
      </c>
      <c r="AGK22">
        <v>98.105000000000004</v>
      </c>
      <c r="AGL22">
        <v>98.14</v>
      </c>
      <c r="AGM22">
        <v>98.14</v>
      </c>
      <c r="AGN22">
        <v>98.14</v>
      </c>
      <c r="AGO22">
        <v>98.09</v>
      </c>
      <c r="AGP22">
        <v>98</v>
      </c>
      <c r="AGQ22">
        <v>98.01</v>
      </c>
      <c r="AGR22">
        <v>98.08</v>
      </c>
      <c r="AGS22">
        <v>98.13</v>
      </c>
      <c r="AGT22">
        <v>98.02</v>
      </c>
      <c r="AGU22">
        <v>98.094999999999999</v>
      </c>
      <c r="AGV22">
        <v>98.05</v>
      </c>
      <c r="AGW22">
        <v>98.094999999999999</v>
      </c>
      <c r="AGX22">
        <v>98.07</v>
      </c>
      <c r="AGY22">
        <v>98.19</v>
      </c>
      <c r="AGZ22">
        <v>98.26</v>
      </c>
      <c r="AHA22">
        <v>98.224999999999994</v>
      </c>
      <c r="AHB22">
        <v>98.224999999999994</v>
      </c>
      <c r="AHC22">
        <v>98.24</v>
      </c>
      <c r="AHD22">
        <v>98.194999999999993</v>
      </c>
      <c r="AHE22">
        <v>98.094999999999999</v>
      </c>
      <c r="AHF22">
        <v>98.174999999999997</v>
      </c>
      <c r="AHG22">
        <v>98.24</v>
      </c>
      <c r="AHH22">
        <v>98.215000000000003</v>
      </c>
      <c r="AHI22">
        <v>98.144999999999996</v>
      </c>
      <c r="AHJ22">
        <v>98.13</v>
      </c>
      <c r="AHK22">
        <v>98.075000000000003</v>
      </c>
      <c r="AHL22">
        <v>98.19</v>
      </c>
      <c r="AHM22">
        <v>98.19</v>
      </c>
      <c r="AHN22">
        <v>98.265000000000001</v>
      </c>
      <c r="AHO22">
        <v>98.23</v>
      </c>
      <c r="AHP22">
        <v>98.185000000000002</v>
      </c>
      <c r="AHQ22">
        <v>98.135000000000005</v>
      </c>
      <c r="AHR22">
        <v>98.15</v>
      </c>
      <c r="AHS22">
        <v>98.194999999999993</v>
      </c>
      <c r="AHT22">
        <v>98.23</v>
      </c>
      <c r="AHU22">
        <v>98.26</v>
      </c>
      <c r="AHV22">
        <v>98.3</v>
      </c>
      <c r="AHW22">
        <v>98.465000000000003</v>
      </c>
      <c r="AHX22">
        <v>98.444999999999993</v>
      </c>
      <c r="AHY22">
        <v>98.43</v>
      </c>
      <c r="AHZ22">
        <v>98.515000000000001</v>
      </c>
      <c r="AIA22">
        <v>98.504999999999995</v>
      </c>
      <c r="AIB22">
        <v>98.484999999999999</v>
      </c>
      <c r="AIC22">
        <v>98.484999999999999</v>
      </c>
      <c r="AID22">
        <v>98.51</v>
      </c>
      <c r="AIE22">
        <v>98.5</v>
      </c>
      <c r="AIF22">
        <v>98.594999999999999</v>
      </c>
      <c r="AIG22">
        <v>98.63</v>
      </c>
      <c r="AIH22">
        <v>98.594999999999999</v>
      </c>
      <c r="AII22">
        <v>98.52</v>
      </c>
      <c r="AIJ22">
        <v>98.534999999999997</v>
      </c>
      <c r="AIK22">
        <v>98.55</v>
      </c>
      <c r="AIL22">
        <v>98.495000000000005</v>
      </c>
      <c r="AIM22">
        <v>98.525000000000006</v>
      </c>
      <c r="AIN22">
        <v>98.49</v>
      </c>
      <c r="AIO22">
        <v>98.504999999999995</v>
      </c>
      <c r="AIP22">
        <v>98.555000000000007</v>
      </c>
      <c r="AIQ22">
        <v>98.694999999999993</v>
      </c>
      <c r="AIR22">
        <v>98.57</v>
      </c>
      <c r="AIS22">
        <v>98.594999999999999</v>
      </c>
      <c r="AIT22">
        <v>98.545000000000002</v>
      </c>
      <c r="AIU22">
        <v>98.45</v>
      </c>
      <c r="AIV22">
        <v>98.49</v>
      </c>
      <c r="AIW22">
        <v>98.314999999999998</v>
      </c>
      <c r="AIX22">
        <v>98.314999999999998</v>
      </c>
      <c r="AIY22">
        <v>98.28</v>
      </c>
      <c r="AIZ22">
        <v>98.334999999999994</v>
      </c>
      <c r="AJA22">
        <v>98.444999999999993</v>
      </c>
      <c r="AJB22">
        <v>98.375</v>
      </c>
      <c r="AJC22">
        <v>98.334999999999994</v>
      </c>
      <c r="AJD22">
        <v>98.31</v>
      </c>
      <c r="AJE22">
        <v>98.34</v>
      </c>
      <c r="AJF22">
        <v>98.38</v>
      </c>
      <c r="AJG22">
        <v>98.38</v>
      </c>
      <c r="AJH22">
        <v>98.415000000000006</v>
      </c>
      <c r="AJI22">
        <v>98.555000000000007</v>
      </c>
      <c r="AJJ22">
        <v>98.47</v>
      </c>
      <c r="AJK22">
        <v>98.525000000000006</v>
      </c>
      <c r="AJL22">
        <v>98.43</v>
      </c>
      <c r="AJM22">
        <v>98.385000000000005</v>
      </c>
      <c r="AJN22">
        <v>98.415000000000006</v>
      </c>
      <c r="AJO22">
        <v>98.44</v>
      </c>
      <c r="AJP22">
        <v>98.47</v>
      </c>
      <c r="AJQ22">
        <v>98.435000000000002</v>
      </c>
      <c r="AJR22">
        <v>98.43</v>
      </c>
      <c r="AJS22">
        <v>98.284999999999997</v>
      </c>
      <c r="AJT22">
        <v>98.28</v>
      </c>
      <c r="AJU22">
        <v>98.28</v>
      </c>
      <c r="AJV22">
        <v>98.234999999999999</v>
      </c>
      <c r="AJW22">
        <v>98.28</v>
      </c>
      <c r="AJX22">
        <v>98.29</v>
      </c>
      <c r="AJY22">
        <v>98.34</v>
      </c>
      <c r="AJZ22">
        <v>98.334999999999994</v>
      </c>
      <c r="AKA22">
        <v>98.394999999999996</v>
      </c>
      <c r="AKB22">
        <v>98.344999999999999</v>
      </c>
      <c r="AKC22">
        <v>98.29</v>
      </c>
      <c r="AKD22">
        <v>98.23</v>
      </c>
      <c r="AKE22">
        <v>98.245000000000005</v>
      </c>
      <c r="AKF22">
        <v>98.29</v>
      </c>
      <c r="AKG22">
        <v>98.34</v>
      </c>
      <c r="AKH22">
        <v>98.33</v>
      </c>
      <c r="AKI22">
        <v>98.38</v>
      </c>
      <c r="AKJ22">
        <v>98.364999999999995</v>
      </c>
      <c r="AKK22">
        <v>98.284999999999997</v>
      </c>
      <c r="AKL22">
        <v>98.27</v>
      </c>
      <c r="AKM22">
        <v>98.265000000000001</v>
      </c>
      <c r="AKN22">
        <v>98.334999999999994</v>
      </c>
      <c r="AKO22">
        <v>98.375</v>
      </c>
      <c r="AKP22">
        <v>98.435000000000002</v>
      </c>
      <c r="AKQ22">
        <v>98.52</v>
      </c>
      <c r="AKR22">
        <v>98.53</v>
      </c>
      <c r="AKS22">
        <v>98.534999999999997</v>
      </c>
      <c r="AKT22">
        <v>98.46</v>
      </c>
      <c r="AKU22">
        <v>98.525000000000006</v>
      </c>
      <c r="AKV22">
        <v>98.58</v>
      </c>
      <c r="AKW22">
        <v>98.655000000000001</v>
      </c>
      <c r="AKX22">
        <v>98.605000000000004</v>
      </c>
      <c r="AKY22">
        <v>98.59</v>
      </c>
      <c r="AKZ22">
        <v>98.644999999999996</v>
      </c>
      <c r="ALA22">
        <v>98.61</v>
      </c>
      <c r="ALB22">
        <v>98.57</v>
      </c>
      <c r="ALC22">
        <v>98.625</v>
      </c>
      <c r="ALD22">
        <v>98.625</v>
      </c>
      <c r="ALE22">
        <v>98.665000000000006</v>
      </c>
      <c r="ALF22">
        <v>98.655000000000001</v>
      </c>
      <c r="ALG22">
        <v>98.65</v>
      </c>
      <c r="ALH22">
        <v>98.67</v>
      </c>
      <c r="ALI22">
        <v>98.63</v>
      </c>
      <c r="ALJ22">
        <v>98.594999999999999</v>
      </c>
      <c r="ALK22">
        <v>98.605000000000004</v>
      </c>
      <c r="ALL22">
        <v>98.67</v>
      </c>
      <c r="ALM22">
        <v>98.704999999999998</v>
      </c>
      <c r="ALN22">
        <v>98.694999999999993</v>
      </c>
      <c r="ALO22">
        <v>98.72</v>
      </c>
      <c r="ALP22">
        <v>98.685000000000002</v>
      </c>
      <c r="ALQ22">
        <v>98.71</v>
      </c>
      <c r="ALR22">
        <v>98.715000000000003</v>
      </c>
      <c r="ALS22">
        <v>98.66</v>
      </c>
      <c r="ALT22">
        <v>98.58</v>
      </c>
      <c r="ALU22">
        <v>98.6</v>
      </c>
      <c r="ALV22">
        <v>98.61</v>
      </c>
      <c r="ALW22">
        <v>98.635000000000005</v>
      </c>
      <c r="ALX22">
        <v>98.68</v>
      </c>
      <c r="ALY22">
        <v>98.76</v>
      </c>
      <c r="ALZ22">
        <v>98.805000000000007</v>
      </c>
      <c r="AMA22">
        <v>98.83</v>
      </c>
      <c r="AMB22">
        <v>98.825000000000003</v>
      </c>
      <c r="AMC22">
        <v>98.734999999999999</v>
      </c>
      <c r="AMD22">
        <v>98.71</v>
      </c>
      <c r="AME22">
        <v>98.724999999999994</v>
      </c>
      <c r="AMF22">
        <v>98.765000000000001</v>
      </c>
      <c r="AMG22">
        <v>98.73</v>
      </c>
      <c r="AMH22">
        <v>98.715000000000003</v>
      </c>
      <c r="AMI22">
        <v>98.73</v>
      </c>
      <c r="AMJ22">
        <v>98.72</v>
      </c>
      <c r="AMK22">
        <v>98.825000000000003</v>
      </c>
      <c r="AML22">
        <v>98.844999999999999</v>
      </c>
      <c r="AMM22">
        <v>98.67</v>
      </c>
      <c r="AMN22">
        <v>98.674999999999997</v>
      </c>
      <c r="AMO22">
        <v>98.594999999999999</v>
      </c>
      <c r="AMP22">
        <v>98.52</v>
      </c>
      <c r="AMQ22">
        <v>98.575000000000003</v>
      </c>
      <c r="AMR22">
        <v>98.57</v>
      </c>
      <c r="AMS22">
        <v>98.655000000000001</v>
      </c>
      <c r="AMT22">
        <v>98.625</v>
      </c>
      <c r="AMU22">
        <v>98.575000000000003</v>
      </c>
      <c r="AMV22">
        <v>98.48</v>
      </c>
      <c r="AMW22">
        <v>98.48</v>
      </c>
      <c r="AMX22">
        <v>98.42</v>
      </c>
      <c r="AMY22">
        <v>98.46</v>
      </c>
      <c r="AMZ22">
        <v>98.42</v>
      </c>
      <c r="ANA22">
        <v>98.415000000000006</v>
      </c>
      <c r="ANB22">
        <v>98.36</v>
      </c>
      <c r="ANC22">
        <v>98.405000000000001</v>
      </c>
      <c r="AND22">
        <v>98.405000000000001</v>
      </c>
      <c r="ANE22">
        <v>98.44</v>
      </c>
      <c r="ANF22">
        <v>98.435000000000002</v>
      </c>
      <c r="ANG22">
        <v>98.46</v>
      </c>
      <c r="ANH22">
        <v>98.38</v>
      </c>
      <c r="ANI22">
        <v>98.254999999999995</v>
      </c>
      <c r="ANJ22">
        <v>98.43</v>
      </c>
      <c r="ANK22">
        <v>98.41</v>
      </c>
      <c r="ANL22">
        <v>98.44</v>
      </c>
      <c r="ANM22">
        <v>98.465000000000003</v>
      </c>
      <c r="ANN22">
        <v>98.435000000000002</v>
      </c>
      <c r="ANO22">
        <v>98.385000000000005</v>
      </c>
      <c r="ANP22">
        <v>98.34</v>
      </c>
      <c r="ANQ22">
        <v>98.33</v>
      </c>
      <c r="ANR22">
        <v>98.234999999999999</v>
      </c>
      <c r="ANS22">
        <v>98.284999999999997</v>
      </c>
      <c r="ANT22">
        <v>98.25</v>
      </c>
      <c r="ANU22">
        <v>98.3</v>
      </c>
      <c r="ANV22">
        <v>98.3</v>
      </c>
      <c r="ANW22">
        <v>98.295000000000002</v>
      </c>
      <c r="ANX22">
        <v>98.34</v>
      </c>
      <c r="ANY22">
        <v>98.35</v>
      </c>
      <c r="ANZ22">
        <v>98.29</v>
      </c>
      <c r="AOA22">
        <v>98.25</v>
      </c>
      <c r="AOB22">
        <v>98.265000000000001</v>
      </c>
      <c r="AOC22">
        <v>98.2</v>
      </c>
      <c r="AOD22">
        <v>98.25</v>
      </c>
      <c r="AOE22">
        <v>98.254999999999995</v>
      </c>
      <c r="AOF22">
        <v>98.265000000000001</v>
      </c>
      <c r="AOG22">
        <v>98.23</v>
      </c>
      <c r="AOH22">
        <v>98.174999999999997</v>
      </c>
      <c r="AOI22">
        <v>98.275000000000006</v>
      </c>
      <c r="AOJ22">
        <v>98.3</v>
      </c>
      <c r="AOK22">
        <v>98.31</v>
      </c>
      <c r="AOL22">
        <v>98.295000000000002</v>
      </c>
      <c r="AOM22">
        <v>98.26</v>
      </c>
      <c r="AON22">
        <v>98.234999999999999</v>
      </c>
      <c r="AOO22">
        <v>98.21</v>
      </c>
      <c r="AOP22">
        <v>98.174999999999997</v>
      </c>
      <c r="AOQ22">
        <v>98.174999999999997</v>
      </c>
      <c r="AOR22">
        <v>98.19</v>
      </c>
      <c r="AOS22">
        <v>98.2</v>
      </c>
      <c r="AOT22">
        <v>98.26</v>
      </c>
      <c r="AOU22">
        <v>98.27</v>
      </c>
      <c r="AOV22">
        <v>98.295000000000002</v>
      </c>
      <c r="AOW22">
        <v>98.295000000000002</v>
      </c>
      <c r="AOX22">
        <v>98.3</v>
      </c>
      <c r="AOY22">
        <v>98.275000000000006</v>
      </c>
      <c r="AOZ22">
        <v>98.29</v>
      </c>
      <c r="APA22">
        <v>98.33</v>
      </c>
      <c r="APB22">
        <v>98.185000000000002</v>
      </c>
      <c r="APC22">
        <v>98.174999999999997</v>
      </c>
      <c r="APD22">
        <v>98.08</v>
      </c>
      <c r="APE22">
        <v>98.094999999999999</v>
      </c>
      <c r="APF22">
        <v>98.125</v>
      </c>
      <c r="APG22">
        <v>98.075000000000003</v>
      </c>
      <c r="APH22">
        <v>98.05</v>
      </c>
      <c r="API22">
        <v>97.944999999999993</v>
      </c>
      <c r="APJ22">
        <v>97.924999999999997</v>
      </c>
      <c r="APK22">
        <v>97.995000000000005</v>
      </c>
      <c r="APL22">
        <v>97.935000000000002</v>
      </c>
      <c r="APM22">
        <v>97.97</v>
      </c>
      <c r="APN22">
        <v>98.004999999999995</v>
      </c>
      <c r="APO22">
        <v>98.084999999999994</v>
      </c>
      <c r="APP22">
        <v>98.144999999999996</v>
      </c>
      <c r="APQ22">
        <v>98.155000000000001</v>
      </c>
      <c r="APR22">
        <v>98.135000000000005</v>
      </c>
      <c r="APS22">
        <v>98.075000000000003</v>
      </c>
      <c r="APT22">
        <v>98.03</v>
      </c>
      <c r="APU22">
        <v>98.09</v>
      </c>
      <c r="APV22">
        <v>98.28</v>
      </c>
      <c r="APW22">
        <v>98.334999999999994</v>
      </c>
      <c r="APX22">
        <v>98.33</v>
      </c>
      <c r="APY22">
        <v>98.314999999999998</v>
      </c>
      <c r="APZ22">
        <v>98.385000000000005</v>
      </c>
      <c r="AQA22">
        <v>98.415000000000006</v>
      </c>
      <c r="AQB22">
        <v>98.385000000000005</v>
      </c>
      <c r="AQC22">
        <v>98.33</v>
      </c>
      <c r="AQD22">
        <v>98.394999999999996</v>
      </c>
      <c r="AQE22">
        <v>98.385000000000005</v>
      </c>
      <c r="AQF22">
        <v>98.45</v>
      </c>
      <c r="AQG22">
        <v>98.504999999999995</v>
      </c>
      <c r="AQH22">
        <v>98.465000000000003</v>
      </c>
      <c r="AQI22">
        <v>98.415000000000006</v>
      </c>
      <c r="AQJ22">
        <v>98.42</v>
      </c>
      <c r="AQK22">
        <v>98.584999999999994</v>
      </c>
      <c r="AQL22">
        <v>98.61</v>
      </c>
      <c r="AQM22">
        <v>98.6</v>
      </c>
      <c r="AQN22">
        <v>98.635000000000005</v>
      </c>
      <c r="AQO22">
        <v>98.68</v>
      </c>
      <c r="AQP22">
        <v>98.69</v>
      </c>
      <c r="AQQ22">
        <v>98.715000000000003</v>
      </c>
      <c r="AQR22">
        <v>98.834999999999994</v>
      </c>
      <c r="AQS22">
        <v>98.834999999999994</v>
      </c>
      <c r="AQT22">
        <v>98.905000000000001</v>
      </c>
      <c r="AQU22">
        <v>98.915000000000006</v>
      </c>
      <c r="AQV22">
        <v>98.9</v>
      </c>
      <c r="AQW22">
        <v>98.89</v>
      </c>
      <c r="AQX22">
        <v>98.91</v>
      </c>
      <c r="AQY22">
        <v>98.915000000000006</v>
      </c>
      <c r="AQZ22">
        <v>99</v>
      </c>
      <c r="ARA22">
        <v>99.015000000000001</v>
      </c>
      <c r="ARB22">
        <v>99.04</v>
      </c>
      <c r="ARC22">
        <v>99.04</v>
      </c>
      <c r="ARD22">
        <v>99.045000000000002</v>
      </c>
      <c r="ARE22">
        <v>99.075000000000003</v>
      </c>
      <c r="ARF22">
        <v>99.06</v>
      </c>
      <c r="ARG22">
        <v>99.064999999999998</v>
      </c>
      <c r="ARH22">
        <v>99.05</v>
      </c>
      <c r="ARI22">
        <v>99.045000000000002</v>
      </c>
      <c r="ARJ22">
        <v>99.06</v>
      </c>
      <c r="ARK22">
        <v>99.06</v>
      </c>
      <c r="ARL22">
        <v>99.05</v>
      </c>
      <c r="ARM22">
        <v>99.05</v>
      </c>
      <c r="ARN22">
        <v>99.08</v>
      </c>
      <c r="ARO22">
        <v>99.064999999999998</v>
      </c>
      <c r="ARP22">
        <v>99.04</v>
      </c>
      <c r="ARQ22">
        <v>99.045000000000002</v>
      </c>
      <c r="ARR22">
        <v>99.05</v>
      </c>
      <c r="ARS22">
        <v>99.09</v>
      </c>
      <c r="ART22">
        <v>99.224999999999994</v>
      </c>
      <c r="ARU22">
        <v>99.27</v>
      </c>
      <c r="ARV22">
        <v>99.28</v>
      </c>
      <c r="ARW22">
        <v>99.27</v>
      </c>
      <c r="ARX22">
        <v>99.27</v>
      </c>
      <c r="ARY22">
        <v>99.26</v>
      </c>
      <c r="ARZ22">
        <v>99.245000000000005</v>
      </c>
      <c r="ASA22">
        <v>99.24</v>
      </c>
      <c r="ASB22">
        <v>99.245000000000005</v>
      </c>
      <c r="ASC22">
        <v>99.245000000000005</v>
      </c>
      <c r="ASD22">
        <v>99.245000000000005</v>
      </c>
      <c r="ASE22">
        <v>99.25</v>
      </c>
      <c r="ASF22">
        <v>99.245000000000005</v>
      </c>
      <c r="ASG22">
        <v>99.245000000000005</v>
      </c>
      <c r="ASH22">
        <v>99.295000000000002</v>
      </c>
      <c r="ASI22">
        <v>99.305000000000007</v>
      </c>
      <c r="ASJ22">
        <v>99.375</v>
      </c>
      <c r="ASK22">
        <v>99.375</v>
      </c>
      <c r="ASL22">
        <v>99.375</v>
      </c>
      <c r="ASM22">
        <v>99.35</v>
      </c>
      <c r="ASN22">
        <v>99.555000000000007</v>
      </c>
      <c r="ASO22">
        <v>99.66</v>
      </c>
      <c r="ASP22">
        <v>99.66</v>
      </c>
      <c r="ASQ22">
        <v>99.67</v>
      </c>
      <c r="ASR22">
        <v>99.685000000000002</v>
      </c>
      <c r="ASS22">
        <v>99.69</v>
      </c>
      <c r="AST22">
        <v>99.694999999999993</v>
      </c>
      <c r="ASU22">
        <v>99.72</v>
      </c>
      <c r="ASV22">
        <v>99.724999999999994</v>
      </c>
      <c r="ASW22">
        <v>99.72</v>
      </c>
      <c r="ASX22">
        <v>99.72</v>
      </c>
      <c r="ASY22">
        <v>99.715000000000003</v>
      </c>
      <c r="ASZ22">
        <v>99.71</v>
      </c>
      <c r="ATA22">
        <v>99.724999999999994</v>
      </c>
      <c r="ATB22">
        <v>99.72</v>
      </c>
      <c r="ATC22">
        <v>99.72</v>
      </c>
      <c r="ATD22">
        <v>99.724999999999994</v>
      </c>
      <c r="ATE22">
        <v>99.715000000000003</v>
      </c>
      <c r="ATF22">
        <v>99.715000000000003</v>
      </c>
      <c r="ATG22">
        <v>99.71</v>
      </c>
      <c r="ATH22">
        <v>99.69</v>
      </c>
      <c r="ATI22">
        <v>99.69</v>
      </c>
      <c r="ATJ22">
        <v>99.724999999999994</v>
      </c>
      <c r="ATK22">
        <v>99.77</v>
      </c>
      <c r="ATL22">
        <v>99.775000000000006</v>
      </c>
      <c r="ATM22">
        <v>99.795000000000002</v>
      </c>
      <c r="ATN22">
        <v>99.765000000000001</v>
      </c>
      <c r="ATO22">
        <v>99.775000000000006</v>
      </c>
      <c r="ATP22">
        <v>99.77</v>
      </c>
      <c r="ATQ22">
        <v>99.775000000000006</v>
      </c>
      <c r="ATR22">
        <v>99.784999999999997</v>
      </c>
      <c r="ATS22">
        <v>99.784999999999997</v>
      </c>
      <c r="ATT22">
        <v>99.78</v>
      </c>
      <c r="ATU22">
        <v>99.77</v>
      </c>
      <c r="ATV22">
        <v>99.76</v>
      </c>
      <c r="ATW22">
        <v>99.784999999999997</v>
      </c>
      <c r="ATX22">
        <v>99.784999999999997</v>
      </c>
      <c r="ATY22">
        <v>99.795000000000002</v>
      </c>
      <c r="ATZ22">
        <v>99.805000000000007</v>
      </c>
      <c r="AUA22">
        <v>99.8</v>
      </c>
      <c r="AUB22">
        <v>99.805000000000007</v>
      </c>
      <c r="AUC22">
        <v>99.8</v>
      </c>
      <c r="AUD22">
        <v>99.784999999999997</v>
      </c>
      <c r="AUE22">
        <v>99.78</v>
      </c>
      <c r="AUF22">
        <v>99.795000000000002</v>
      </c>
      <c r="AUG22">
        <v>99.79</v>
      </c>
      <c r="AUH22">
        <v>99.814999999999998</v>
      </c>
      <c r="AUI22">
        <v>99.814999999999998</v>
      </c>
      <c r="AUJ22">
        <v>99.864999999999995</v>
      </c>
      <c r="AUK22">
        <v>99.864999999999995</v>
      </c>
      <c r="AUL22">
        <v>99.864999999999995</v>
      </c>
      <c r="AUM22">
        <v>99.87</v>
      </c>
      <c r="AUN22">
        <v>99.87</v>
      </c>
      <c r="AUO22">
        <v>99.88</v>
      </c>
      <c r="AUP22">
        <v>99.88</v>
      </c>
      <c r="AUQ22">
        <v>99.885000000000005</v>
      </c>
      <c r="AUR22">
        <v>99.885000000000005</v>
      </c>
      <c r="AUS22">
        <v>99.875</v>
      </c>
      <c r="AUT22">
        <v>99.855000000000004</v>
      </c>
      <c r="AUU22">
        <v>99.87</v>
      </c>
      <c r="AUV22">
        <v>99.864999999999995</v>
      </c>
      <c r="AUW22">
        <v>99.894999999999996</v>
      </c>
      <c r="AUX22">
        <v>99.9</v>
      </c>
      <c r="AUY22">
        <v>99.89</v>
      </c>
      <c r="AUZ22">
        <v>99.864999999999995</v>
      </c>
      <c r="AVA22">
        <v>99.86</v>
      </c>
      <c r="AVB22">
        <v>99.864999999999995</v>
      </c>
      <c r="AVC22">
        <v>99.855000000000004</v>
      </c>
      <c r="AVD22">
        <v>99.855000000000004</v>
      </c>
      <c r="AVE22">
        <v>99.885000000000005</v>
      </c>
      <c r="AVF22">
        <v>99.875</v>
      </c>
      <c r="AVG22">
        <v>99.885000000000005</v>
      </c>
      <c r="AVH22">
        <v>99.88</v>
      </c>
      <c r="AVI22">
        <v>99.875</v>
      </c>
      <c r="AVJ22">
        <v>99.855000000000004</v>
      </c>
      <c r="AVK22">
        <v>99.864999999999995</v>
      </c>
      <c r="AVL22">
        <v>99.87</v>
      </c>
      <c r="AVM22">
        <v>99.88</v>
      </c>
      <c r="AVN22">
        <v>99.875</v>
      </c>
      <c r="AVO22">
        <v>99.885000000000005</v>
      </c>
      <c r="AVP22">
        <v>99.885000000000005</v>
      </c>
      <c r="AVQ22">
        <v>99.875</v>
      </c>
      <c r="AVR22">
        <v>99.86</v>
      </c>
      <c r="AVS22">
        <v>99.85</v>
      </c>
      <c r="AVT22">
        <v>99.85</v>
      </c>
      <c r="AVU22">
        <v>99.855000000000004</v>
      </c>
      <c r="AVV22">
        <v>99.855000000000004</v>
      </c>
      <c r="AVW22">
        <v>99.89</v>
      </c>
      <c r="AVX22">
        <v>99.9</v>
      </c>
      <c r="AVY22">
        <v>99.92</v>
      </c>
      <c r="AVZ22">
        <v>99.924999999999997</v>
      </c>
      <c r="AWA22">
        <v>99.935000000000002</v>
      </c>
      <c r="AWB22">
        <v>99.924999999999997</v>
      </c>
      <c r="AWC22">
        <v>99.92</v>
      </c>
      <c r="AWD22">
        <v>99.915000000000006</v>
      </c>
      <c r="AWE22">
        <v>99.894999999999996</v>
      </c>
      <c r="AWF22">
        <v>99.885000000000005</v>
      </c>
      <c r="AWG22">
        <v>99.88</v>
      </c>
      <c r="AWH22">
        <v>99.89</v>
      </c>
      <c r="AWI22">
        <v>99.894999999999996</v>
      </c>
      <c r="AWJ22">
        <v>99.894999999999996</v>
      </c>
      <c r="AWK22">
        <v>99.89</v>
      </c>
      <c r="AWL22">
        <v>99.89</v>
      </c>
      <c r="AWM22">
        <v>99.885000000000005</v>
      </c>
      <c r="AWN22">
        <v>99.885000000000005</v>
      </c>
      <c r="AWO22">
        <v>99.88</v>
      </c>
      <c r="AWP22">
        <v>99.89</v>
      </c>
      <c r="AWQ22">
        <v>99.89</v>
      </c>
      <c r="AWR22">
        <v>99.905000000000001</v>
      </c>
      <c r="AWS22">
        <v>99.92</v>
      </c>
      <c r="AWT22">
        <v>99.905000000000001</v>
      </c>
      <c r="AWU22">
        <v>99.9</v>
      </c>
      <c r="AWV22">
        <v>99.894999999999996</v>
      </c>
      <c r="AWW22">
        <v>99.894999999999996</v>
      </c>
      <c r="AWX22">
        <v>99.894999999999996</v>
      </c>
      <c r="AWY22">
        <v>99.885000000000005</v>
      </c>
      <c r="AWZ22">
        <v>99.905000000000001</v>
      </c>
      <c r="AXA22">
        <v>99.905000000000001</v>
      </c>
      <c r="AXB22">
        <v>99.894999999999996</v>
      </c>
      <c r="AXC22">
        <v>99.875</v>
      </c>
      <c r="AXD22">
        <v>99.875</v>
      </c>
      <c r="AXE22">
        <v>99.875</v>
      </c>
      <c r="AXF22">
        <v>99.87</v>
      </c>
      <c r="AXG22">
        <v>99.86</v>
      </c>
      <c r="AXH22">
        <v>99.84</v>
      </c>
      <c r="AXI22">
        <v>99.834999999999994</v>
      </c>
      <c r="AXJ22">
        <v>99.825000000000003</v>
      </c>
      <c r="AXK22">
        <v>99.84</v>
      </c>
      <c r="AXL22">
        <v>99.83</v>
      </c>
      <c r="AXM22">
        <v>99.84</v>
      </c>
      <c r="AXN22">
        <v>99.814999999999998</v>
      </c>
      <c r="AXO22">
        <v>99.765000000000001</v>
      </c>
      <c r="AXP22">
        <v>99.73</v>
      </c>
      <c r="AXQ22">
        <v>99.724999999999994</v>
      </c>
      <c r="AXR22">
        <v>99.79</v>
      </c>
      <c r="AXS22">
        <v>99.805000000000007</v>
      </c>
      <c r="AXT22">
        <v>99.84</v>
      </c>
      <c r="AXU22">
        <v>99.844999999999999</v>
      </c>
      <c r="AXV22">
        <v>99.834999999999994</v>
      </c>
      <c r="AXW22">
        <v>99.814999999999998</v>
      </c>
      <c r="AXX22">
        <v>99.82</v>
      </c>
      <c r="AXY22">
        <v>99.825000000000003</v>
      </c>
      <c r="AXZ22">
        <v>99.83</v>
      </c>
      <c r="AYA22">
        <v>99.83</v>
      </c>
      <c r="AYB22">
        <v>99.825000000000003</v>
      </c>
      <c r="AYC22">
        <v>99.825000000000003</v>
      </c>
      <c r="AYD22">
        <v>99.83</v>
      </c>
      <c r="AYE22">
        <v>99.83</v>
      </c>
      <c r="AYF22">
        <v>99.875</v>
      </c>
      <c r="AYG22">
        <v>99.85</v>
      </c>
      <c r="AYH22">
        <v>99.84</v>
      </c>
      <c r="AYI22">
        <v>99.82</v>
      </c>
      <c r="AYJ22">
        <v>99.82</v>
      </c>
      <c r="AYK22">
        <v>99.84</v>
      </c>
      <c r="AYL22">
        <v>99.85</v>
      </c>
      <c r="AYM22">
        <v>99.795000000000002</v>
      </c>
      <c r="AYN22">
        <v>99.78</v>
      </c>
      <c r="AYO22">
        <v>99.784999999999997</v>
      </c>
      <c r="AYP22">
        <v>99.77</v>
      </c>
      <c r="AYQ22">
        <v>99.775000000000006</v>
      </c>
      <c r="AYR22">
        <v>99.765000000000001</v>
      </c>
      <c r="AYS22">
        <v>99.75</v>
      </c>
      <c r="AYT22">
        <v>99.745000000000005</v>
      </c>
      <c r="AYU22">
        <v>99.754999999999995</v>
      </c>
      <c r="AYV22">
        <v>99.754999999999995</v>
      </c>
      <c r="AYW22">
        <v>99.75</v>
      </c>
      <c r="AYX22">
        <v>99.76</v>
      </c>
      <c r="AYY22">
        <v>99.74</v>
      </c>
      <c r="AYZ22">
        <v>99.73</v>
      </c>
      <c r="AZA22">
        <v>99.715000000000003</v>
      </c>
      <c r="AZB22">
        <v>99.704999999999998</v>
      </c>
      <c r="AZC22">
        <v>99.674999999999997</v>
      </c>
      <c r="AZD22">
        <v>99.66</v>
      </c>
      <c r="AZE22">
        <v>99.67</v>
      </c>
      <c r="AZF22">
        <v>99.67</v>
      </c>
      <c r="AZG22">
        <v>99.65</v>
      </c>
      <c r="AZH22">
        <v>99.635000000000005</v>
      </c>
      <c r="AZI22">
        <v>99.68</v>
      </c>
      <c r="AZJ22">
        <v>99.74</v>
      </c>
      <c r="AZK22">
        <v>99.734999999999999</v>
      </c>
      <c r="AZL22">
        <v>99.75</v>
      </c>
      <c r="AZM22">
        <v>99.724999999999994</v>
      </c>
      <c r="AZN22">
        <v>99.754999999999995</v>
      </c>
      <c r="AZO22">
        <v>99.71</v>
      </c>
      <c r="AZP22">
        <v>99.69</v>
      </c>
      <c r="AZQ22">
        <v>99.66</v>
      </c>
      <c r="AZR22">
        <v>99.655000000000001</v>
      </c>
      <c r="AZS22">
        <v>99.715000000000003</v>
      </c>
      <c r="AZT22">
        <v>99.635000000000005</v>
      </c>
      <c r="AZU22">
        <v>99.575000000000003</v>
      </c>
      <c r="AZV22">
        <v>99.47</v>
      </c>
      <c r="AZW22">
        <v>99.584999999999994</v>
      </c>
      <c r="AZX22">
        <v>99.635000000000005</v>
      </c>
      <c r="AZY22">
        <v>99.56</v>
      </c>
      <c r="AZZ22">
        <v>99.6</v>
      </c>
      <c r="BAA22">
        <v>99.53</v>
      </c>
      <c r="BAB22">
        <v>99.52</v>
      </c>
      <c r="BAC22">
        <v>99.64</v>
      </c>
      <c r="BAD22">
        <v>99.564999999999998</v>
      </c>
      <c r="BAE22">
        <v>99.48</v>
      </c>
      <c r="BAF22">
        <v>99.43</v>
      </c>
      <c r="BAG22">
        <v>99.37</v>
      </c>
      <c r="BAH22">
        <v>99.3</v>
      </c>
      <c r="BAI22">
        <v>99.3</v>
      </c>
      <c r="BAJ22">
        <v>99.1</v>
      </c>
      <c r="BAK22">
        <v>99.045000000000002</v>
      </c>
      <c r="BAL22">
        <v>99.055000000000007</v>
      </c>
      <c r="BAM22">
        <v>99</v>
      </c>
      <c r="BAN22">
        <v>98.89</v>
      </c>
      <c r="BAO22">
        <v>98.825000000000003</v>
      </c>
      <c r="BAP22">
        <v>98.78</v>
      </c>
      <c r="BAQ22">
        <v>98.805000000000007</v>
      </c>
      <c r="BAR22">
        <v>98.775000000000006</v>
      </c>
      <c r="BAS22">
        <v>98.775000000000006</v>
      </c>
      <c r="BAT22">
        <v>98.74</v>
      </c>
      <c r="BAU22">
        <v>98.74</v>
      </c>
      <c r="BAV22">
        <v>98.78</v>
      </c>
      <c r="BAW22">
        <v>98.81</v>
      </c>
      <c r="BAX22">
        <v>98.775000000000006</v>
      </c>
      <c r="BAY22">
        <v>98.72</v>
      </c>
      <c r="BAZ22">
        <v>98.74</v>
      </c>
      <c r="BBA22">
        <v>98.78</v>
      </c>
      <c r="BBB22">
        <v>98.864999999999995</v>
      </c>
      <c r="BBC22">
        <v>98.88</v>
      </c>
      <c r="BBD22">
        <v>98.825000000000003</v>
      </c>
      <c r="BBE22">
        <v>98.78</v>
      </c>
      <c r="BBF22">
        <v>98.73</v>
      </c>
      <c r="BBG22">
        <v>98.765000000000001</v>
      </c>
      <c r="BBH22">
        <v>98.68</v>
      </c>
      <c r="BBI22">
        <v>98.625</v>
      </c>
      <c r="BBJ22">
        <v>98.605000000000004</v>
      </c>
      <c r="BBK22">
        <v>98.59</v>
      </c>
      <c r="BBL22">
        <v>98.534999999999997</v>
      </c>
      <c r="BBM22">
        <v>98.534999999999997</v>
      </c>
      <c r="BBN22">
        <v>98.55</v>
      </c>
      <c r="BBO22">
        <v>98.56</v>
      </c>
      <c r="BBP22">
        <v>98.55</v>
      </c>
      <c r="BBQ22">
        <v>98.534999999999997</v>
      </c>
      <c r="BBR22">
        <v>98.54</v>
      </c>
      <c r="BBS22">
        <v>98.525000000000006</v>
      </c>
      <c r="BBT22">
        <v>98.52</v>
      </c>
      <c r="BBU22">
        <v>98.564999999999998</v>
      </c>
      <c r="BBV22">
        <v>98.575000000000003</v>
      </c>
      <c r="BBW22">
        <v>98.58</v>
      </c>
      <c r="BBX22">
        <v>98.49</v>
      </c>
      <c r="BBY22">
        <v>98.48</v>
      </c>
      <c r="BBZ22">
        <v>98.48</v>
      </c>
      <c r="BCA22">
        <v>98.484999999999999</v>
      </c>
      <c r="BCB22">
        <v>98.484999999999999</v>
      </c>
      <c r="BCC22">
        <v>98.444999999999993</v>
      </c>
      <c r="BCD22">
        <v>98.444999999999993</v>
      </c>
      <c r="BCE22">
        <v>98.444999999999993</v>
      </c>
      <c r="BCF22">
        <v>98.424999999999997</v>
      </c>
      <c r="BCG22">
        <v>98.465000000000003</v>
      </c>
      <c r="BCH22">
        <v>98.48</v>
      </c>
      <c r="BCI22">
        <v>98.46</v>
      </c>
      <c r="BCJ22">
        <v>98.5</v>
      </c>
      <c r="BCK22">
        <v>98.51</v>
      </c>
      <c r="BCL22">
        <v>98.584999999999994</v>
      </c>
      <c r="BCM22">
        <v>98.504999999999995</v>
      </c>
      <c r="BCN22">
        <v>98.59</v>
      </c>
      <c r="BCO22">
        <v>98.55</v>
      </c>
      <c r="BCP22">
        <v>98.564999999999998</v>
      </c>
      <c r="BCQ22">
        <v>98.575000000000003</v>
      </c>
      <c r="BCR22">
        <v>98.635000000000005</v>
      </c>
      <c r="BCS22">
        <v>98.65</v>
      </c>
      <c r="BCT22">
        <v>98.724999999999994</v>
      </c>
      <c r="BCU22">
        <v>98.605000000000004</v>
      </c>
      <c r="BCV22">
        <v>98.64</v>
      </c>
      <c r="BCW22">
        <v>98.63</v>
      </c>
      <c r="BCX22">
        <v>98.63</v>
      </c>
      <c r="BCY22">
        <v>98.67</v>
      </c>
      <c r="BCZ22">
        <v>98.66</v>
      </c>
      <c r="BDA22">
        <v>98.644999999999996</v>
      </c>
      <c r="BDB22">
        <v>98.665000000000006</v>
      </c>
      <c r="BDC22">
        <v>98.694999999999993</v>
      </c>
      <c r="BDD22">
        <v>98.66</v>
      </c>
      <c r="BDE22">
        <v>98.635000000000005</v>
      </c>
      <c r="BDF22">
        <v>98.61</v>
      </c>
      <c r="BDG22">
        <v>98.62</v>
      </c>
      <c r="BDH22">
        <v>98.57</v>
      </c>
      <c r="BDI22">
        <v>98.52</v>
      </c>
      <c r="BDJ22">
        <v>98.49</v>
      </c>
      <c r="BDK22">
        <v>98.5</v>
      </c>
      <c r="BDL22">
        <v>98.484999999999999</v>
      </c>
      <c r="BDM22">
        <v>98.594999999999999</v>
      </c>
      <c r="BDN22">
        <v>98.57</v>
      </c>
      <c r="BDO22">
        <v>98.63</v>
      </c>
      <c r="BDP22">
        <v>98.68</v>
      </c>
      <c r="BDQ22">
        <v>98.75</v>
      </c>
      <c r="BDR22">
        <v>98.625</v>
      </c>
      <c r="BDS22">
        <v>98.605000000000004</v>
      </c>
      <c r="BDT22">
        <v>98.61</v>
      </c>
      <c r="BDU22">
        <v>98.64</v>
      </c>
      <c r="BDV22">
        <v>98.685000000000002</v>
      </c>
      <c r="BDW22">
        <v>98.694999999999993</v>
      </c>
      <c r="BDX22">
        <v>98.674999999999997</v>
      </c>
      <c r="BDY22">
        <v>98.65</v>
      </c>
      <c r="BDZ22">
        <v>98.69</v>
      </c>
      <c r="BEA22">
        <v>98.665000000000006</v>
      </c>
      <c r="BEB22">
        <v>98.69</v>
      </c>
      <c r="BEC22">
        <v>98.65</v>
      </c>
      <c r="BED22">
        <v>98.704999999999998</v>
      </c>
      <c r="BEE22">
        <v>98.685000000000002</v>
      </c>
      <c r="BEF22">
        <v>98.814999999999998</v>
      </c>
      <c r="BEG22">
        <v>98.88</v>
      </c>
      <c r="BEH22">
        <v>98.935000000000002</v>
      </c>
      <c r="BEI22">
        <v>98.924999999999997</v>
      </c>
      <c r="BEJ22">
        <v>98.995000000000005</v>
      </c>
      <c r="BEK22">
        <v>99.004999999999995</v>
      </c>
      <c r="BEL22">
        <v>98.905000000000001</v>
      </c>
      <c r="BEM22">
        <v>98.83</v>
      </c>
      <c r="BEN22">
        <v>98.76</v>
      </c>
      <c r="BEO22">
        <v>98.77</v>
      </c>
      <c r="BEP22">
        <v>98.76</v>
      </c>
      <c r="BEQ22">
        <v>98.745000000000005</v>
      </c>
      <c r="BER22">
        <v>98.844999999999999</v>
      </c>
      <c r="BES22">
        <v>98.75</v>
      </c>
      <c r="BET22">
        <v>98.71</v>
      </c>
      <c r="BEU22">
        <v>98.724999999999994</v>
      </c>
      <c r="BEV22">
        <v>98.69</v>
      </c>
      <c r="BEW22">
        <v>98.7</v>
      </c>
      <c r="BEX22">
        <v>98.66</v>
      </c>
      <c r="BEY22">
        <v>98.6</v>
      </c>
      <c r="BEZ22">
        <v>98.694999999999993</v>
      </c>
      <c r="BFA22">
        <v>98.78</v>
      </c>
      <c r="BFB22">
        <v>98.805000000000007</v>
      </c>
      <c r="BFC22">
        <v>98.905000000000001</v>
      </c>
      <c r="BFD22">
        <v>98.98</v>
      </c>
      <c r="BFE22">
        <v>98.984999999999999</v>
      </c>
      <c r="BFF22">
        <v>99.114999999999995</v>
      </c>
      <c r="BFG22">
        <v>99.075000000000003</v>
      </c>
      <c r="BFH22">
        <v>98.995000000000005</v>
      </c>
      <c r="BFI22">
        <v>98.995000000000005</v>
      </c>
      <c r="BFJ22">
        <v>98.97</v>
      </c>
      <c r="BFK22">
        <v>99.01</v>
      </c>
      <c r="BFL22">
        <v>98.965000000000003</v>
      </c>
      <c r="BFM22">
        <v>98.92</v>
      </c>
      <c r="BFN22">
        <v>98.944999999999993</v>
      </c>
      <c r="BFO22">
        <v>98.84</v>
      </c>
      <c r="BFP22">
        <v>98.87</v>
      </c>
      <c r="BFQ22">
        <v>98.905000000000001</v>
      </c>
      <c r="BFR22">
        <v>98.864999999999995</v>
      </c>
      <c r="BFS22">
        <v>98.924999999999997</v>
      </c>
      <c r="BFT22">
        <v>98.92</v>
      </c>
      <c r="BFU22">
        <v>98.85</v>
      </c>
      <c r="BFV22">
        <v>98.765000000000001</v>
      </c>
      <c r="BFW22">
        <v>98.87</v>
      </c>
      <c r="BFX22">
        <v>98.79</v>
      </c>
      <c r="BFY22">
        <v>98.834999999999994</v>
      </c>
      <c r="BFZ22">
        <v>98.91</v>
      </c>
      <c r="BGA22">
        <v>98.814999999999998</v>
      </c>
      <c r="BGB22">
        <v>98.88</v>
      </c>
      <c r="BGC22">
        <v>98.665000000000006</v>
      </c>
      <c r="BGD22">
        <v>98.644999999999996</v>
      </c>
      <c r="BGE22">
        <v>98.454999999999998</v>
      </c>
      <c r="BGF22">
        <v>98.465000000000003</v>
      </c>
      <c r="BGG22">
        <v>98.474999999999994</v>
      </c>
      <c r="BGH22">
        <v>98.454999999999998</v>
      </c>
      <c r="BGI22">
        <v>98.48</v>
      </c>
      <c r="BGJ22">
        <v>98.504999999999995</v>
      </c>
      <c r="BGK22">
        <v>98.5</v>
      </c>
      <c r="BGL22">
        <v>98.53</v>
      </c>
      <c r="BGM22">
        <v>98.51</v>
      </c>
      <c r="BGN22">
        <v>98.56</v>
      </c>
      <c r="BGO22">
        <v>98.474999999999994</v>
      </c>
      <c r="BGP22">
        <v>98.42</v>
      </c>
      <c r="BGQ22">
        <v>98.45</v>
      </c>
      <c r="BGR22">
        <v>98.444999999999993</v>
      </c>
      <c r="BGS22">
        <v>98.43</v>
      </c>
      <c r="BGT22">
        <v>98.48</v>
      </c>
      <c r="BGU22">
        <v>98.44</v>
      </c>
      <c r="BGV22">
        <v>98.46</v>
      </c>
      <c r="BGW22">
        <v>98.454999999999998</v>
      </c>
      <c r="BGX22">
        <v>98.54</v>
      </c>
      <c r="BGY22">
        <v>98.54</v>
      </c>
      <c r="BGZ22">
        <v>98.534999999999997</v>
      </c>
      <c r="BHA22">
        <v>98.484999999999999</v>
      </c>
      <c r="BHB22">
        <v>98.53</v>
      </c>
      <c r="BHC22">
        <v>98.545000000000002</v>
      </c>
      <c r="BHD22">
        <v>98.515000000000001</v>
      </c>
      <c r="BHE22">
        <v>98.6</v>
      </c>
      <c r="BHF22">
        <v>98.575000000000003</v>
      </c>
      <c r="BHG22">
        <v>98.525000000000006</v>
      </c>
      <c r="BHH22">
        <v>98.58</v>
      </c>
      <c r="BHI22">
        <v>98.584999999999994</v>
      </c>
      <c r="BHJ22">
        <v>98.48</v>
      </c>
      <c r="BHK22">
        <v>98.48</v>
      </c>
      <c r="BHL22">
        <v>98.5</v>
      </c>
      <c r="BHM22">
        <v>98.504999999999995</v>
      </c>
      <c r="BHN22">
        <v>98.435000000000002</v>
      </c>
      <c r="BHO22">
        <v>98.385000000000005</v>
      </c>
      <c r="BHP22">
        <v>98.38</v>
      </c>
      <c r="BHQ22">
        <v>98.42</v>
      </c>
      <c r="BHR22">
        <v>98.405000000000001</v>
      </c>
      <c r="BHS22">
        <v>98.46</v>
      </c>
      <c r="BHT22">
        <v>98.44</v>
      </c>
      <c r="BHU22">
        <v>98.484999999999999</v>
      </c>
      <c r="BHV22">
        <v>98.435000000000002</v>
      </c>
      <c r="BHW22">
        <v>98.295000000000002</v>
      </c>
      <c r="BHX22">
        <v>98.3</v>
      </c>
      <c r="BHY22">
        <v>98.265000000000001</v>
      </c>
      <c r="BHZ22">
        <v>98.21</v>
      </c>
      <c r="BIA22">
        <v>98.21</v>
      </c>
      <c r="BIB22">
        <v>98.24</v>
      </c>
      <c r="BIC22">
        <v>98.105000000000004</v>
      </c>
      <c r="BID22">
        <v>98.07</v>
      </c>
      <c r="BIE22">
        <v>98.1</v>
      </c>
      <c r="BIF22">
        <v>98.125</v>
      </c>
      <c r="BIG22">
        <v>98.114999999999995</v>
      </c>
      <c r="BIH22">
        <v>98.16</v>
      </c>
      <c r="BII22">
        <v>98.11</v>
      </c>
      <c r="BIJ22">
        <v>98.12</v>
      </c>
      <c r="BIK22">
        <v>98.045000000000002</v>
      </c>
      <c r="BIL22">
        <v>98.03</v>
      </c>
      <c r="BIM22">
        <v>97.995000000000005</v>
      </c>
      <c r="BIN22">
        <v>98.025000000000006</v>
      </c>
      <c r="BIO22">
        <v>97.97</v>
      </c>
      <c r="BIP22">
        <v>97.93</v>
      </c>
      <c r="BIQ22">
        <v>97.924999999999997</v>
      </c>
      <c r="BIR22">
        <v>97.984999999999999</v>
      </c>
      <c r="BIS22">
        <v>98.025000000000006</v>
      </c>
      <c r="BIT22">
        <v>98</v>
      </c>
      <c r="BIU22">
        <v>98.004999999999995</v>
      </c>
      <c r="BIV22">
        <v>97.954999999999998</v>
      </c>
      <c r="BIW22">
        <v>97.97</v>
      </c>
      <c r="BIX22">
        <v>97.915000000000006</v>
      </c>
      <c r="BIY22">
        <v>97.894999999999996</v>
      </c>
      <c r="BIZ22">
        <v>97.894999999999996</v>
      </c>
      <c r="BJA22">
        <v>97.894999999999996</v>
      </c>
      <c r="BJB22">
        <v>97.87</v>
      </c>
      <c r="BJC22">
        <v>97.864999999999995</v>
      </c>
      <c r="BJD22">
        <v>97.894999999999996</v>
      </c>
      <c r="BJE22">
        <v>97.89</v>
      </c>
      <c r="BJF22">
        <v>97.965000000000003</v>
      </c>
      <c r="BJG22">
        <v>98</v>
      </c>
      <c r="BJH22">
        <v>97.965000000000003</v>
      </c>
      <c r="BJI22">
        <v>97.93</v>
      </c>
      <c r="BJJ22">
        <v>97.94</v>
      </c>
      <c r="BJK22">
        <v>97.95</v>
      </c>
      <c r="BJL22">
        <v>97.96</v>
      </c>
      <c r="BJM22">
        <v>97.98</v>
      </c>
      <c r="BJN22">
        <v>97.97</v>
      </c>
      <c r="BJO22">
        <v>98.05</v>
      </c>
      <c r="BJP22">
        <v>98.125</v>
      </c>
      <c r="BJQ22">
        <v>98.16</v>
      </c>
      <c r="BJR22">
        <v>98.11</v>
      </c>
      <c r="BJS22">
        <v>98.14</v>
      </c>
      <c r="BJT22">
        <v>98.034999999999997</v>
      </c>
      <c r="BJU22">
        <v>97.92</v>
      </c>
      <c r="BJV22">
        <v>97.9</v>
      </c>
      <c r="BJW22">
        <v>97.81</v>
      </c>
      <c r="BJX22">
        <v>97.825000000000003</v>
      </c>
      <c r="BJY22">
        <v>97.83</v>
      </c>
      <c r="BJZ22">
        <v>97.8</v>
      </c>
      <c r="BKA22">
        <v>97.805000000000007</v>
      </c>
      <c r="BKB22">
        <v>97.784999999999997</v>
      </c>
      <c r="BKC22">
        <v>97.754999999999995</v>
      </c>
      <c r="BKD22">
        <v>97.765000000000001</v>
      </c>
      <c r="BKE22">
        <v>97.75</v>
      </c>
      <c r="BKF22">
        <v>97.674999999999997</v>
      </c>
      <c r="BKG22">
        <v>97.64</v>
      </c>
      <c r="BKH22">
        <v>97.644999999999996</v>
      </c>
      <c r="BKI22">
        <v>97.635000000000005</v>
      </c>
      <c r="BKJ22">
        <v>97.704999999999998</v>
      </c>
      <c r="BKK22">
        <v>97.724999999999994</v>
      </c>
      <c r="BKL22">
        <v>97.75</v>
      </c>
      <c r="BKM22">
        <v>97.72</v>
      </c>
      <c r="BKN22">
        <v>97.724999999999994</v>
      </c>
      <c r="BKO22">
        <v>97.68</v>
      </c>
      <c r="BKP22">
        <v>97.72</v>
      </c>
      <c r="BKQ22">
        <v>97.715000000000003</v>
      </c>
      <c r="BKR22">
        <v>97.7</v>
      </c>
      <c r="BKS22">
        <v>97.7</v>
      </c>
      <c r="BKT22">
        <v>97.704999999999998</v>
      </c>
      <c r="BKU22">
        <v>97.665000000000006</v>
      </c>
      <c r="BKV22">
        <v>97.724999999999994</v>
      </c>
      <c r="BKW22">
        <v>97.754999999999995</v>
      </c>
      <c r="BKX22">
        <v>97.78</v>
      </c>
      <c r="BKY22">
        <v>97.745000000000005</v>
      </c>
      <c r="BKZ22">
        <v>97.69</v>
      </c>
      <c r="BLA22">
        <v>97.68</v>
      </c>
      <c r="BLB22">
        <v>97.674999999999997</v>
      </c>
      <c r="BLC22">
        <v>97.694999999999993</v>
      </c>
      <c r="BLD22">
        <v>97.72</v>
      </c>
      <c r="BLE22">
        <v>97.65</v>
      </c>
      <c r="BLF22">
        <v>97.6</v>
      </c>
      <c r="BLG22">
        <v>97.594999999999999</v>
      </c>
      <c r="BLH22">
        <v>97.584999999999994</v>
      </c>
      <c r="BLI22">
        <v>97.61</v>
      </c>
      <c r="BLJ22">
        <v>97.594999999999999</v>
      </c>
      <c r="BLK22">
        <v>97.6</v>
      </c>
      <c r="BLL22">
        <v>97.555000000000007</v>
      </c>
      <c r="BLM22">
        <v>97.555000000000007</v>
      </c>
      <c r="BLN22">
        <v>97.625</v>
      </c>
      <c r="BLO22">
        <v>97.655000000000001</v>
      </c>
      <c r="BLP22">
        <v>97.68</v>
      </c>
      <c r="BLQ22">
        <v>97.67</v>
      </c>
      <c r="BLR22">
        <v>97.674999999999997</v>
      </c>
      <c r="BLS22">
        <v>97.66</v>
      </c>
      <c r="BLT22">
        <v>97.665000000000006</v>
      </c>
      <c r="BLU22">
        <v>97.655000000000001</v>
      </c>
      <c r="BLV22">
        <v>97.724999999999994</v>
      </c>
      <c r="BLW22">
        <v>97.77</v>
      </c>
      <c r="BLX22">
        <v>97.834999999999994</v>
      </c>
      <c r="BLY22">
        <v>97.65</v>
      </c>
      <c r="BLZ22">
        <v>97.66</v>
      </c>
      <c r="BMA22">
        <v>97.66</v>
      </c>
      <c r="BMB22">
        <v>97.655000000000001</v>
      </c>
      <c r="BMC22">
        <v>97.644999999999996</v>
      </c>
      <c r="BMD22">
        <v>97.59</v>
      </c>
      <c r="BME22">
        <v>97.564999999999998</v>
      </c>
      <c r="BMF22">
        <v>97.564999999999998</v>
      </c>
      <c r="BMG22">
        <v>97.504999999999995</v>
      </c>
      <c r="BMH22">
        <v>97.47</v>
      </c>
      <c r="BMI22">
        <v>97.46</v>
      </c>
      <c r="BMJ22">
        <v>97.46</v>
      </c>
      <c r="BMK22">
        <v>97.41</v>
      </c>
      <c r="BML22">
        <v>97.375</v>
      </c>
      <c r="BMM22">
        <v>97.344999999999999</v>
      </c>
      <c r="BMN22">
        <v>97.35</v>
      </c>
      <c r="BMO22">
        <v>97.385000000000005</v>
      </c>
      <c r="BMP22">
        <v>97.424999999999997</v>
      </c>
      <c r="BMQ22">
        <v>97.39</v>
      </c>
      <c r="BMR22">
        <v>97.35</v>
      </c>
      <c r="BMS22">
        <v>97.245000000000005</v>
      </c>
      <c r="BMT22">
        <v>97.245000000000005</v>
      </c>
      <c r="BMU22">
        <v>97.215000000000003</v>
      </c>
      <c r="BMV22">
        <v>97.234999999999999</v>
      </c>
      <c r="BMW22">
        <v>97.23</v>
      </c>
      <c r="BMX22">
        <v>97.224999999999994</v>
      </c>
      <c r="BMY22">
        <v>97.19</v>
      </c>
      <c r="BMZ22">
        <v>97.174999999999997</v>
      </c>
      <c r="BNA22">
        <v>97.185000000000002</v>
      </c>
      <c r="BNB22">
        <v>97.185000000000002</v>
      </c>
      <c r="BNC22">
        <v>97.185000000000002</v>
      </c>
      <c r="BND22">
        <v>97.194999999999993</v>
      </c>
      <c r="BNE22">
        <v>97.2</v>
      </c>
      <c r="BNF22">
        <v>97.165000000000006</v>
      </c>
      <c r="BNG22">
        <v>97.114999999999995</v>
      </c>
      <c r="BNH22">
        <v>97.105000000000004</v>
      </c>
      <c r="BNI22">
        <v>97.05</v>
      </c>
      <c r="BNJ22">
        <v>97.03</v>
      </c>
      <c r="BNK22">
        <v>97.01</v>
      </c>
      <c r="BNL22">
        <v>96.995000000000005</v>
      </c>
      <c r="BNM22">
        <v>97.03</v>
      </c>
      <c r="BNN22">
        <v>97.04</v>
      </c>
      <c r="BNO22">
        <v>97.05</v>
      </c>
      <c r="BNP22">
        <v>97.055000000000007</v>
      </c>
      <c r="BNQ22">
        <v>97.094999999999999</v>
      </c>
      <c r="BNR22">
        <v>97.084999999999994</v>
      </c>
      <c r="BNS22">
        <v>97.114999999999995</v>
      </c>
      <c r="BNT22">
        <v>97.114999999999995</v>
      </c>
      <c r="BNU22">
        <v>97.12</v>
      </c>
      <c r="BNV22">
        <v>97.05</v>
      </c>
      <c r="BNW22">
        <v>97.05</v>
      </c>
      <c r="BNX22">
        <v>97.02</v>
      </c>
      <c r="BNY22">
        <v>96.984999999999999</v>
      </c>
      <c r="BNZ22">
        <v>96.98</v>
      </c>
      <c r="BOA22">
        <v>97</v>
      </c>
      <c r="BOB22">
        <v>96.99</v>
      </c>
      <c r="BOC22">
        <v>96.99</v>
      </c>
      <c r="BOD22">
        <v>96.995000000000005</v>
      </c>
      <c r="BOE22">
        <v>97.004999999999995</v>
      </c>
      <c r="BOF22">
        <v>96.984999999999999</v>
      </c>
      <c r="BOG22">
        <v>96.935000000000002</v>
      </c>
      <c r="BOH22">
        <v>96.924999999999997</v>
      </c>
      <c r="BOI22">
        <v>96.93</v>
      </c>
      <c r="BOJ22">
        <v>96.935000000000002</v>
      </c>
      <c r="BOK22">
        <v>96.96</v>
      </c>
      <c r="BOL22">
        <v>96.995000000000005</v>
      </c>
      <c r="BOM22">
        <v>97.045000000000002</v>
      </c>
      <c r="BON22">
        <v>97.034999999999997</v>
      </c>
      <c r="BOO22">
        <v>97.034999999999997</v>
      </c>
      <c r="BOP22">
        <v>97.015000000000001</v>
      </c>
      <c r="BOQ22">
        <v>97.015000000000001</v>
      </c>
      <c r="BOR22">
        <v>97.004999999999995</v>
      </c>
      <c r="BOS22">
        <v>97.02</v>
      </c>
      <c r="BOT22">
        <v>97.025000000000006</v>
      </c>
      <c r="BOU22">
        <v>97.015000000000001</v>
      </c>
      <c r="BOV22">
        <v>97.034999999999997</v>
      </c>
      <c r="BOW22">
        <v>97.064999999999998</v>
      </c>
      <c r="BOX22">
        <v>97.094999999999999</v>
      </c>
      <c r="BOY22">
        <v>97.094999999999999</v>
      </c>
      <c r="BOZ22">
        <v>97.13</v>
      </c>
      <c r="BPA22">
        <v>97.155000000000001</v>
      </c>
      <c r="BPB22">
        <v>97.155000000000001</v>
      </c>
      <c r="BPC22">
        <v>97.204999999999998</v>
      </c>
      <c r="BPD22">
        <v>97.204999999999998</v>
      </c>
      <c r="BPE22">
        <v>97.265000000000001</v>
      </c>
      <c r="BPF22">
        <v>97.25</v>
      </c>
      <c r="BPG22">
        <v>97.254999999999995</v>
      </c>
      <c r="BPH22">
        <v>97.275000000000006</v>
      </c>
      <c r="BPI22">
        <v>97.275000000000006</v>
      </c>
      <c r="BPJ22">
        <v>97.24</v>
      </c>
      <c r="BPK22">
        <v>97.23</v>
      </c>
      <c r="BPL22">
        <v>97.245000000000005</v>
      </c>
      <c r="BPM22">
        <v>97.26</v>
      </c>
      <c r="BPN22">
        <v>97.28</v>
      </c>
      <c r="BPO22">
        <v>97.28</v>
      </c>
      <c r="BPP22">
        <v>97.3</v>
      </c>
      <c r="BPQ22">
        <v>97.29</v>
      </c>
      <c r="BPR22">
        <v>97.3</v>
      </c>
      <c r="BPS22">
        <v>97.275000000000006</v>
      </c>
      <c r="BPT22">
        <v>97.27</v>
      </c>
      <c r="BPU22">
        <v>97.29</v>
      </c>
      <c r="BPV22">
        <v>97.254999999999995</v>
      </c>
      <c r="BPW22">
        <v>97.28</v>
      </c>
      <c r="BPX22">
        <v>97.284999999999997</v>
      </c>
      <c r="BPY22">
        <v>97.22</v>
      </c>
      <c r="BPZ22">
        <v>97.204999999999998</v>
      </c>
      <c r="BQA22">
        <v>97.2</v>
      </c>
      <c r="BQB22">
        <v>97.204999999999998</v>
      </c>
      <c r="BQC22">
        <v>97.194999999999993</v>
      </c>
      <c r="BQD22">
        <v>97.185000000000002</v>
      </c>
      <c r="BQE22">
        <v>97.194999999999993</v>
      </c>
      <c r="BQF22">
        <v>97.2</v>
      </c>
      <c r="BQG22">
        <v>97.2</v>
      </c>
      <c r="BQH22">
        <v>97.19</v>
      </c>
      <c r="BQI22">
        <v>97.185000000000002</v>
      </c>
      <c r="BQJ22">
        <v>97.23</v>
      </c>
      <c r="BQK22">
        <v>97.23</v>
      </c>
      <c r="BQL22">
        <v>97.24</v>
      </c>
      <c r="BQM22">
        <v>97.275000000000006</v>
      </c>
      <c r="BQN22">
        <v>97.28</v>
      </c>
      <c r="BQO22">
        <v>97.265000000000001</v>
      </c>
      <c r="BQP22">
        <v>97.27</v>
      </c>
      <c r="BQQ22">
        <v>97.295000000000002</v>
      </c>
      <c r="BQR22">
        <v>97.305000000000007</v>
      </c>
      <c r="BQS22">
        <v>97.29</v>
      </c>
      <c r="BQT22">
        <v>97.295000000000002</v>
      </c>
      <c r="BQU22">
        <v>97.29</v>
      </c>
      <c r="BQV22">
        <v>97.3</v>
      </c>
      <c r="BQW22">
        <v>97.31</v>
      </c>
      <c r="BQX22">
        <v>97.29</v>
      </c>
      <c r="BQY22">
        <v>97.305000000000007</v>
      </c>
      <c r="BQZ22">
        <v>97.305000000000007</v>
      </c>
      <c r="BRA22">
        <v>97.3</v>
      </c>
      <c r="BRB22">
        <v>97.3</v>
      </c>
      <c r="BRC22">
        <v>97.305000000000007</v>
      </c>
      <c r="BRD22">
        <v>97.3</v>
      </c>
      <c r="BRE22">
        <v>97.254999999999995</v>
      </c>
      <c r="BRF22">
        <v>97.24</v>
      </c>
      <c r="BRG22">
        <v>97.21</v>
      </c>
      <c r="BRH22">
        <v>97.21</v>
      </c>
      <c r="BRI22">
        <v>97.2</v>
      </c>
      <c r="BRJ22">
        <v>97.204999999999998</v>
      </c>
      <c r="BRK22">
        <v>97.174999999999997</v>
      </c>
      <c r="BRL22">
        <v>97.185000000000002</v>
      </c>
      <c r="BRM22">
        <v>97.17</v>
      </c>
      <c r="BRN22">
        <v>97.17</v>
      </c>
      <c r="BRO22">
        <v>97.204999999999998</v>
      </c>
      <c r="BRP22">
        <v>97.22</v>
      </c>
      <c r="BRQ22">
        <v>97.23</v>
      </c>
      <c r="BRR22">
        <v>97.194999999999993</v>
      </c>
      <c r="BRS22">
        <v>97.185000000000002</v>
      </c>
      <c r="BRT22">
        <v>97.224999999999994</v>
      </c>
      <c r="BRU22">
        <v>97.204999999999998</v>
      </c>
      <c r="BRV22">
        <v>97.245000000000005</v>
      </c>
      <c r="BRW22">
        <v>97.314999999999998</v>
      </c>
      <c r="BRX22">
        <v>97.31</v>
      </c>
      <c r="BRY22">
        <v>97.405000000000001</v>
      </c>
      <c r="BRZ22">
        <v>97.19</v>
      </c>
      <c r="BSA22">
        <v>97.19</v>
      </c>
      <c r="BSB22">
        <v>97.16</v>
      </c>
      <c r="BSC22">
        <v>97.13</v>
      </c>
      <c r="BSD22">
        <v>97.08</v>
      </c>
      <c r="BSE22">
        <v>97.07</v>
      </c>
      <c r="BSF22">
        <v>97.084999999999994</v>
      </c>
      <c r="BSG22">
        <v>97.06</v>
      </c>
      <c r="BSH22">
        <v>97.075000000000003</v>
      </c>
      <c r="BSI22">
        <v>97.084999999999994</v>
      </c>
      <c r="BSJ22">
        <v>97.114999999999995</v>
      </c>
      <c r="BSK22">
        <v>97.12</v>
      </c>
      <c r="BSL22">
        <v>97.135000000000005</v>
      </c>
      <c r="BSM22">
        <v>97.155000000000001</v>
      </c>
      <c r="BSN22">
        <v>97.18</v>
      </c>
      <c r="BSO22">
        <v>97.19</v>
      </c>
      <c r="BSP22">
        <v>97.215000000000003</v>
      </c>
      <c r="BSQ22" t="s">
        <v>6984</v>
      </c>
      <c r="BSR22" t="s">
        <v>6984</v>
      </c>
      <c r="BSS22" t="s">
        <v>6984</v>
      </c>
      <c r="BST22" t="s">
        <v>6984</v>
      </c>
      <c r="BSU22" t="s">
        <v>6984</v>
      </c>
      <c r="BSV22" t="s">
        <v>6984</v>
      </c>
      <c r="BSW22" t="s">
        <v>6984</v>
      </c>
      <c r="BSX22" t="s">
        <v>6984</v>
      </c>
      <c r="BSY22" t="s">
        <v>6984</v>
      </c>
      <c r="BSZ22" t="s">
        <v>6984</v>
      </c>
      <c r="BTA22" t="s">
        <v>6984</v>
      </c>
      <c r="BTB22" t="s">
        <v>6984</v>
      </c>
      <c r="BTC22" t="s">
        <v>6984</v>
      </c>
      <c r="BTD22" t="s">
        <v>6984</v>
      </c>
      <c r="BTE22" t="s">
        <v>6984</v>
      </c>
      <c r="BTF22" t="s">
        <v>6984</v>
      </c>
      <c r="BTG22" t="s">
        <v>6984</v>
      </c>
      <c r="BTH22" t="s">
        <v>6984</v>
      </c>
      <c r="BTI22" t="s">
        <v>6984</v>
      </c>
      <c r="BTJ22" t="s">
        <v>6984</v>
      </c>
      <c r="BTK22" t="s">
        <v>6984</v>
      </c>
      <c r="BTL22" t="s">
        <v>6984</v>
      </c>
      <c r="BTM22" t="s">
        <v>6984</v>
      </c>
      <c r="BTN22" t="s">
        <v>6984</v>
      </c>
      <c r="BTO22" t="s">
        <v>6984</v>
      </c>
      <c r="BTP22" t="s">
        <v>6984</v>
      </c>
      <c r="BTQ22" t="s">
        <v>6984</v>
      </c>
      <c r="BTR22" t="s">
        <v>6984</v>
      </c>
      <c r="BTS22" t="s">
        <v>6984</v>
      </c>
      <c r="BTT22" t="s">
        <v>6984</v>
      </c>
      <c r="BTU22" t="s">
        <v>6984</v>
      </c>
      <c r="BTV22" t="s">
        <v>6984</v>
      </c>
      <c r="BTW22" t="s">
        <v>6984</v>
      </c>
      <c r="BTX22" t="s">
        <v>6984</v>
      </c>
      <c r="BTY22" t="s">
        <v>6984</v>
      </c>
      <c r="BTZ22" t="s">
        <v>6984</v>
      </c>
      <c r="BUA22" t="s">
        <v>6984</v>
      </c>
      <c r="BUB22" t="s">
        <v>6984</v>
      </c>
      <c r="BUC22" t="s">
        <v>6984</v>
      </c>
      <c r="BUD22" t="s">
        <v>6984</v>
      </c>
      <c r="BUE22" t="s">
        <v>6984</v>
      </c>
      <c r="BUF22" t="s">
        <v>6984</v>
      </c>
      <c r="BUG22" t="s">
        <v>6984</v>
      </c>
      <c r="BUH22" t="s">
        <v>6984</v>
      </c>
      <c r="BUI22" t="s">
        <v>6984</v>
      </c>
      <c r="BUJ22" t="s">
        <v>6984</v>
      </c>
      <c r="BUK22" t="s">
        <v>6984</v>
      </c>
      <c r="BUL22" t="s">
        <v>6984</v>
      </c>
      <c r="BUM22" t="s">
        <v>6984</v>
      </c>
      <c r="BUN22" t="s">
        <v>6984</v>
      </c>
      <c r="BUO22" t="s">
        <v>6984</v>
      </c>
      <c r="BUP22" t="s">
        <v>6984</v>
      </c>
      <c r="BUQ22" t="s">
        <v>6984</v>
      </c>
      <c r="BUR22" t="s">
        <v>6984</v>
      </c>
      <c r="BUS22" t="s">
        <v>6984</v>
      </c>
      <c r="BUT22" t="s">
        <v>6984</v>
      </c>
      <c r="BUU22" t="s">
        <v>6984</v>
      </c>
      <c r="BUV22" t="s">
        <v>6984</v>
      </c>
      <c r="BUW22" t="s">
        <v>6984</v>
      </c>
      <c r="BUX22" t="s">
        <v>6984</v>
      </c>
      <c r="BUY22" t="s">
        <v>6984</v>
      </c>
      <c r="BUZ22" t="s">
        <v>6984</v>
      </c>
      <c r="BVA22" t="s">
        <v>6984</v>
      </c>
      <c r="BVB22" t="s">
        <v>6984</v>
      </c>
      <c r="BVC22" t="s">
        <v>6984</v>
      </c>
      <c r="BVD22" t="s">
        <v>6984</v>
      </c>
      <c r="BVE22" t="s">
        <v>6984</v>
      </c>
      <c r="BVF22" t="s">
        <v>6984</v>
      </c>
      <c r="BVG22" t="s">
        <v>6984</v>
      </c>
      <c r="BVH22" t="s">
        <v>6984</v>
      </c>
      <c r="BVI22" t="s">
        <v>6984</v>
      </c>
      <c r="BVJ22" t="s">
        <v>6984</v>
      </c>
      <c r="BVK22" t="s">
        <v>6984</v>
      </c>
      <c r="BVL22" t="s">
        <v>6984</v>
      </c>
      <c r="BVM22" t="s">
        <v>6984</v>
      </c>
      <c r="BVN22" t="s">
        <v>6984</v>
      </c>
      <c r="BVO22" t="s">
        <v>6984</v>
      </c>
      <c r="BVP22" t="s">
        <v>6984</v>
      </c>
      <c r="BVQ22" t="s">
        <v>6984</v>
      </c>
      <c r="BVR22" t="s">
        <v>6984</v>
      </c>
      <c r="BVS22" t="s">
        <v>6984</v>
      </c>
      <c r="BVT22" t="s">
        <v>6984</v>
      </c>
      <c r="BVU22" t="s">
        <v>6984</v>
      </c>
      <c r="BVV22" t="s">
        <v>6984</v>
      </c>
      <c r="BVW22" t="s">
        <v>6984</v>
      </c>
      <c r="BVX22" t="s">
        <v>6984</v>
      </c>
      <c r="BVY22" t="s">
        <v>6984</v>
      </c>
      <c r="BVZ22" t="s">
        <v>6984</v>
      </c>
      <c r="BWA22" t="s">
        <v>6984</v>
      </c>
      <c r="BWB22" t="s">
        <v>6984</v>
      </c>
      <c r="BWC22" t="s">
        <v>6984</v>
      </c>
      <c r="BWD22" t="s">
        <v>6984</v>
      </c>
      <c r="BWE22" t="s">
        <v>6984</v>
      </c>
      <c r="BWF22" t="s">
        <v>6984</v>
      </c>
      <c r="BWG22" t="s">
        <v>6984</v>
      </c>
      <c r="BWH22" t="s">
        <v>6984</v>
      </c>
      <c r="BWI22" t="s">
        <v>6984</v>
      </c>
      <c r="BWJ22" t="s">
        <v>6984</v>
      </c>
      <c r="BWK22" t="s">
        <v>6984</v>
      </c>
      <c r="BWL22" t="s">
        <v>6984</v>
      </c>
      <c r="BWM22" t="s">
        <v>6984</v>
      </c>
      <c r="BWN22" t="s">
        <v>6984</v>
      </c>
      <c r="BWO22" t="s">
        <v>6984</v>
      </c>
      <c r="BWP22" t="s">
        <v>6984</v>
      </c>
      <c r="BWQ22" t="s">
        <v>6984</v>
      </c>
      <c r="BWR22" t="s">
        <v>6984</v>
      </c>
      <c r="BWS22" t="s">
        <v>6984</v>
      </c>
      <c r="BWT22" t="s">
        <v>6984</v>
      </c>
      <c r="BWU22" t="s">
        <v>6984</v>
      </c>
      <c r="BWV22" t="s">
        <v>6984</v>
      </c>
      <c r="BWW22" t="s">
        <v>6984</v>
      </c>
      <c r="BWX22" t="s">
        <v>6984</v>
      </c>
      <c r="BWY22" t="s">
        <v>6984</v>
      </c>
      <c r="BWZ22" t="s">
        <v>6984</v>
      </c>
      <c r="BXA22" t="s">
        <v>6984</v>
      </c>
      <c r="BXB22" t="s">
        <v>6984</v>
      </c>
      <c r="BXC22" t="s">
        <v>6984</v>
      </c>
      <c r="BXD22" t="s">
        <v>6984</v>
      </c>
      <c r="BXE22" t="s">
        <v>6984</v>
      </c>
      <c r="BXF22" t="s">
        <v>6984</v>
      </c>
      <c r="BXG22" t="s">
        <v>6984</v>
      </c>
      <c r="BXH22" t="s">
        <v>6984</v>
      </c>
      <c r="BXI22" t="s">
        <v>6984</v>
      </c>
      <c r="BXJ22" t="s">
        <v>6984</v>
      </c>
      <c r="BXK22" t="s">
        <v>6984</v>
      </c>
      <c r="BXL22" t="s">
        <v>6984</v>
      </c>
      <c r="BXM22" t="s">
        <v>6984</v>
      </c>
      <c r="BXN22" t="s">
        <v>6984</v>
      </c>
      <c r="BXO22" t="s">
        <v>6984</v>
      </c>
      <c r="BXP22" t="s">
        <v>6984</v>
      </c>
      <c r="BXQ22" t="s">
        <v>6984</v>
      </c>
      <c r="BXR22" t="s">
        <v>6984</v>
      </c>
      <c r="BXS22" t="s">
        <v>6984</v>
      </c>
      <c r="BXT22" t="s">
        <v>6984</v>
      </c>
      <c r="BXU22" t="s">
        <v>6984</v>
      </c>
      <c r="BXV22" t="s">
        <v>6984</v>
      </c>
      <c r="BXW22" t="s">
        <v>6984</v>
      </c>
      <c r="BXX22" t="s">
        <v>6984</v>
      </c>
      <c r="BXY22" t="s">
        <v>6984</v>
      </c>
      <c r="BXZ22" t="s">
        <v>6984</v>
      </c>
      <c r="BYA22" t="s">
        <v>6984</v>
      </c>
      <c r="BYB22" t="s">
        <v>6984</v>
      </c>
      <c r="BYC22" t="s">
        <v>6984</v>
      </c>
      <c r="BYD22" t="s">
        <v>6984</v>
      </c>
      <c r="BYE22" t="s">
        <v>6984</v>
      </c>
      <c r="BYF22" t="s">
        <v>6984</v>
      </c>
      <c r="BYG22" t="s">
        <v>6984</v>
      </c>
      <c r="BYH22" t="s">
        <v>6984</v>
      </c>
      <c r="BYI22" t="s">
        <v>6984</v>
      </c>
      <c r="BYJ22" t="s">
        <v>6984</v>
      </c>
      <c r="BYK22" t="s">
        <v>6984</v>
      </c>
      <c r="BYL22" t="s">
        <v>6984</v>
      </c>
      <c r="BYM22" t="s">
        <v>6984</v>
      </c>
      <c r="BYN22" t="s">
        <v>6984</v>
      </c>
      <c r="BYO22" t="s">
        <v>6984</v>
      </c>
      <c r="BYP22" t="s">
        <v>6984</v>
      </c>
      <c r="BYQ22" t="s">
        <v>6984</v>
      </c>
      <c r="BYR22" t="s">
        <v>6984</v>
      </c>
      <c r="BYS22" t="s">
        <v>6984</v>
      </c>
      <c r="BYT22" t="s">
        <v>6984</v>
      </c>
      <c r="BYU22" t="s">
        <v>6984</v>
      </c>
      <c r="BYV22" t="s">
        <v>6984</v>
      </c>
      <c r="BYW22" t="s">
        <v>6984</v>
      </c>
      <c r="BYX22" t="s">
        <v>6984</v>
      </c>
      <c r="BYY22" t="s">
        <v>6984</v>
      </c>
      <c r="BYZ22" t="s">
        <v>6984</v>
      </c>
      <c r="BZA22" t="s">
        <v>6984</v>
      </c>
      <c r="BZB22" t="s">
        <v>6984</v>
      </c>
      <c r="BZC22" t="s">
        <v>6984</v>
      </c>
      <c r="BZD22" t="s">
        <v>6984</v>
      </c>
      <c r="BZE22" t="s">
        <v>6984</v>
      </c>
      <c r="BZF22" t="s">
        <v>6984</v>
      </c>
      <c r="BZG22" t="s">
        <v>6984</v>
      </c>
      <c r="BZH22" t="s">
        <v>6984</v>
      </c>
      <c r="BZI22" t="s">
        <v>6984</v>
      </c>
      <c r="BZJ22" t="s">
        <v>6984</v>
      </c>
      <c r="BZK22" t="s">
        <v>6984</v>
      </c>
      <c r="BZL22" t="s">
        <v>6984</v>
      </c>
      <c r="BZM22" t="s">
        <v>6984</v>
      </c>
      <c r="BZN22" t="s">
        <v>6984</v>
      </c>
      <c r="BZO22" t="s">
        <v>6984</v>
      </c>
      <c r="BZP22" t="s">
        <v>6984</v>
      </c>
      <c r="BZQ22" t="s">
        <v>6984</v>
      </c>
      <c r="BZR22" t="s">
        <v>6984</v>
      </c>
      <c r="BZS22" t="s">
        <v>6984</v>
      </c>
      <c r="BZT22" t="s">
        <v>6984</v>
      </c>
      <c r="BZU22" t="s">
        <v>6984</v>
      </c>
      <c r="BZV22" t="s">
        <v>6984</v>
      </c>
      <c r="BZW22" t="s">
        <v>6984</v>
      </c>
      <c r="BZX22" t="s">
        <v>6984</v>
      </c>
      <c r="BZY22" t="s">
        <v>6984</v>
      </c>
      <c r="BZZ22" t="s">
        <v>6984</v>
      </c>
      <c r="CAA22" t="s">
        <v>6984</v>
      </c>
      <c r="CAB22" t="s">
        <v>6984</v>
      </c>
      <c r="CAC22" t="s">
        <v>6984</v>
      </c>
      <c r="CAD22" t="s">
        <v>6984</v>
      </c>
      <c r="CAE22" t="s">
        <v>6984</v>
      </c>
      <c r="CAF22" t="s">
        <v>6984</v>
      </c>
      <c r="CAG22" t="s">
        <v>6984</v>
      </c>
      <c r="CAH22" t="s">
        <v>6984</v>
      </c>
      <c r="CAI22" t="s">
        <v>6984</v>
      </c>
      <c r="CAJ22" t="s">
        <v>6984</v>
      </c>
      <c r="CAK22" t="s">
        <v>6984</v>
      </c>
      <c r="CAL22" t="s">
        <v>6984</v>
      </c>
      <c r="CAM22" t="s">
        <v>6984</v>
      </c>
      <c r="CAN22" t="s">
        <v>6984</v>
      </c>
      <c r="CAO22" t="s">
        <v>6984</v>
      </c>
      <c r="CAP22" t="s">
        <v>6984</v>
      </c>
      <c r="CAQ22" t="s">
        <v>6984</v>
      </c>
      <c r="CAR22" t="s">
        <v>6984</v>
      </c>
      <c r="CAS22" t="s">
        <v>6984</v>
      </c>
      <c r="CAT22" t="s">
        <v>6984</v>
      </c>
      <c r="CAU22" t="s">
        <v>6984</v>
      </c>
      <c r="CAV22" t="s">
        <v>6984</v>
      </c>
      <c r="CAW22" t="s">
        <v>6984</v>
      </c>
      <c r="CAX22" t="s">
        <v>6984</v>
      </c>
      <c r="CAY22" t="s">
        <v>6984</v>
      </c>
      <c r="CAZ22" t="s">
        <v>6984</v>
      </c>
      <c r="CBA22" t="s">
        <v>6984</v>
      </c>
      <c r="CBB22" t="s">
        <v>6984</v>
      </c>
      <c r="CBC22" t="s">
        <v>6984</v>
      </c>
      <c r="CBD22" t="s">
        <v>6984</v>
      </c>
      <c r="CBE22" t="s">
        <v>6984</v>
      </c>
      <c r="CBF22" t="s">
        <v>6984</v>
      </c>
      <c r="CBG22" t="s">
        <v>6984</v>
      </c>
      <c r="CBH22" t="s">
        <v>6984</v>
      </c>
      <c r="CBI22" t="s">
        <v>6984</v>
      </c>
      <c r="CBJ22" t="s">
        <v>6984</v>
      </c>
      <c r="CBK22" t="s">
        <v>6984</v>
      </c>
      <c r="CBL22" t="s">
        <v>6984</v>
      </c>
      <c r="CBM22" t="s">
        <v>6984</v>
      </c>
      <c r="CBN22" t="s">
        <v>6984</v>
      </c>
      <c r="CBO22" t="s">
        <v>6984</v>
      </c>
      <c r="CBP22" t="s">
        <v>6984</v>
      </c>
      <c r="CBQ22" t="s">
        <v>6984</v>
      </c>
      <c r="CBR22" t="s">
        <v>6984</v>
      </c>
      <c r="CBS22" t="s">
        <v>6984</v>
      </c>
      <c r="CBT22" t="s">
        <v>6984</v>
      </c>
      <c r="CBU22" t="s">
        <v>6984</v>
      </c>
      <c r="CBV22" t="s">
        <v>6984</v>
      </c>
      <c r="CBW22" t="s">
        <v>6984</v>
      </c>
      <c r="CBX22" t="s">
        <v>6984</v>
      </c>
      <c r="CBY22" t="s">
        <v>6984</v>
      </c>
      <c r="CBZ22" t="s">
        <v>6984</v>
      </c>
      <c r="CCA22" t="s">
        <v>6984</v>
      </c>
      <c r="CCB22" t="s">
        <v>6984</v>
      </c>
      <c r="CCC22" t="s">
        <v>6984</v>
      </c>
      <c r="CCD22" t="s">
        <v>6984</v>
      </c>
      <c r="CCE22" t="s">
        <v>6984</v>
      </c>
      <c r="CCF22" t="s">
        <v>6984</v>
      </c>
      <c r="CCG22" t="s">
        <v>6984</v>
      </c>
      <c r="CCH22" t="s">
        <v>6984</v>
      </c>
      <c r="CCI22" t="s">
        <v>6984</v>
      </c>
      <c r="CCJ22" t="s">
        <v>6984</v>
      </c>
      <c r="CCK22" t="s">
        <v>6984</v>
      </c>
      <c r="CCL22" t="s">
        <v>6984</v>
      </c>
      <c r="CCM22" t="s">
        <v>6984</v>
      </c>
      <c r="CCN22" t="s">
        <v>6984</v>
      </c>
      <c r="CCO22" t="s">
        <v>6984</v>
      </c>
      <c r="CCP22" t="s">
        <v>6984</v>
      </c>
      <c r="CCQ22" t="s">
        <v>6984</v>
      </c>
      <c r="CCR22" t="s">
        <v>6984</v>
      </c>
      <c r="CCS22" t="s">
        <v>6984</v>
      </c>
      <c r="CCT22" t="s">
        <v>6984</v>
      </c>
      <c r="CCU22" t="s">
        <v>6984</v>
      </c>
      <c r="CCV22" t="s">
        <v>6984</v>
      </c>
      <c r="CCW22" t="s">
        <v>6984</v>
      </c>
      <c r="CCX22" t="s">
        <v>6984</v>
      </c>
      <c r="CCY22" t="s">
        <v>6984</v>
      </c>
      <c r="CCZ22" t="s">
        <v>6984</v>
      </c>
      <c r="CDA22" t="s">
        <v>6984</v>
      </c>
      <c r="CDB22" t="s">
        <v>6984</v>
      </c>
      <c r="CDC22" t="s">
        <v>6984</v>
      </c>
      <c r="CDD22" t="s">
        <v>6984</v>
      </c>
      <c r="CDE22" t="s">
        <v>6984</v>
      </c>
      <c r="CDF22" t="s">
        <v>6984</v>
      </c>
      <c r="CDG22" t="s">
        <v>6984</v>
      </c>
      <c r="CDH22" t="s">
        <v>6984</v>
      </c>
      <c r="CDI22" t="s">
        <v>6984</v>
      </c>
      <c r="CDJ22" t="s">
        <v>6984</v>
      </c>
      <c r="CDK22" t="s">
        <v>6984</v>
      </c>
      <c r="CDL22" t="s">
        <v>6984</v>
      </c>
      <c r="CDM22" t="s">
        <v>6984</v>
      </c>
      <c r="CDN22" t="s">
        <v>6984</v>
      </c>
      <c r="CDO22" t="s">
        <v>6984</v>
      </c>
      <c r="CDP22" t="s">
        <v>6984</v>
      </c>
      <c r="CDQ22" t="s">
        <v>6984</v>
      </c>
      <c r="CDR22" t="s">
        <v>6984</v>
      </c>
      <c r="CDS22" t="s">
        <v>6984</v>
      </c>
      <c r="CDT22" t="s">
        <v>6984</v>
      </c>
      <c r="CDU22" t="s">
        <v>6984</v>
      </c>
      <c r="CDV22" t="s">
        <v>6984</v>
      </c>
      <c r="CDW22" t="s">
        <v>6984</v>
      </c>
      <c r="CDX22" t="s">
        <v>6984</v>
      </c>
      <c r="CDY22" t="s">
        <v>6984</v>
      </c>
      <c r="CDZ22" t="s">
        <v>6984</v>
      </c>
      <c r="CEA22" t="s">
        <v>6984</v>
      </c>
      <c r="CEB22" t="s">
        <v>6984</v>
      </c>
      <c r="CEC22" t="s">
        <v>6984</v>
      </c>
      <c r="CED22" t="s">
        <v>6984</v>
      </c>
      <c r="CEE22" t="s">
        <v>6984</v>
      </c>
      <c r="CEF22" t="s">
        <v>6984</v>
      </c>
      <c r="CEG22" t="s">
        <v>6984</v>
      </c>
      <c r="CEH22" t="s">
        <v>6984</v>
      </c>
      <c r="CEI22" t="s">
        <v>6984</v>
      </c>
      <c r="CEJ22" t="s">
        <v>6984</v>
      </c>
      <c r="CEK22" t="s">
        <v>6984</v>
      </c>
      <c r="CEL22" t="s">
        <v>6984</v>
      </c>
      <c r="CEM22" t="s">
        <v>6984</v>
      </c>
      <c r="CEN22" t="s">
        <v>6984</v>
      </c>
      <c r="CEO22" t="s">
        <v>6984</v>
      </c>
      <c r="CEP22" t="s">
        <v>6984</v>
      </c>
      <c r="CEQ22" t="s">
        <v>6984</v>
      </c>
      <c r="CER22" t="s">
        <v>6984</v>
      </c>
      <c r="CES22" t="s">
        <v>6984</v>
      </c>
      <c r="CET22" t="s">
        <v>6984</v>
      </c>
      <c r="CEU22" t="s">
        <v>6984</v>
      </c>
      <c r="CEV22" t="s">
        <v>6984</v>
      </c>
      <c r="CEW22" t="s">
        <v>6984</v>
      </c>
      <c r="CEX22" t="s">
        <v>6984</v>
      </c>
      <c r="CEY22" t="s">
        <v>6984</v>
      </c>
      <c r="CEZ22" t="s">
        <v>6984</v>
      </c>
      <c r="CFA22" t="s">
        <v>6984</v>
      </c>
      <c r="CFB22" t="s">
        <v>6984</v>
      </c>
      <c r="CFC22" t="s">
        <v>6984</v>
      </c>
      <c r="CFD22" t="s">
        <v>6984</v>
      </c>
      <c r="CFE22" t="s">
        <v>6984</v>
      </c>
      <c r="CFF22" t="s">
        <v>6984</v>
      </c>
      <c r="CFG22" t="s">
        <v>6984</v>
      </c>
      <c r="CFH22" t="s">
        <v>6984</v>
      </c>
      <c r="CFI22" t="s">
        <v>6984</v>
      </c>
      <c r="CFJ22" t="s">
        <v>6984</v>
      </c>
      <c r="CFK22" t="s">
        <v>6984</v>
      </c>
      <c r="CFL22" t="s">
        <v>6984</v>
      </c>
      <c r="CFM22" t="s">
        <v>6984</v>
      </c>
      <c r="CFN22" t="s">
        <v>6984</v>
      </c>
      <c r="CFO22" t="s">
        <v>6984</v>
      </c>
      <c r="CFP22" t="s">
        <v>6984</v>
      </c>
      <c r="CFQ22" t="s">
        <v>6984</v>
      </c>
      <c r="CFR22" t="s">
        <v>6984</v>
      </c>
      <c r="CFS22" t="s">
        <v>6984</v>
      </c>
      <c r="CFT22" t="s">
        <v>6984</v>
      </c>
      <c r="CFU22" t="s">
        <v>6984</v>
      </c>
      <c r="CFV22" t="s">
        <v>6984</v>
      </c>
      <c r="CFW22" t="s">
        <v>6984</v>
      </c>
      <c r="CFX22" t="s">
        <v>6984</v>
      </c>
      <c r="CFY22" t="s">
        <v>6984</v>
      </c>
      <c r="CFZ22" t="s">
        <v>6984</v>
      </c>
      <c r="CGA22" t="s">
        <v>6984</v>
      </c>
      <c r="CGB22" t="s">
        <v>6984</v>
      </c>
      <c r="CGC22" t="s">
        <v>6984</v>
      </c>
      <c r="CGD22" t="s">
        <v>6984</v>
      </c>
      <c r="CGE22" t="s">
        <v>6984</v>
      </c>
      <c r="CGF22" t="s">
        <v>6984</v>
      </c>
      <c r="CGG22" t="s">
        <v>6984</v>
      </c>
      <c r="CGH22" t="s">
        <v>6984</v>
      </c>
      <c r="CGI22" t="s">
        <v>6984</v>
      </c>
      <c r="CGJ22" t="s">
        <v>6984</v>
      </c>
      <c r="CGK22" t="s">
        <v>6984</v>
      </c>
      <c r="CGL22" t="s">
        <v>6984</v>
      </c>
      <c r="CGM22" t="s">
        <v>6984</v>
      </c>
      <c r="CGN22" t="s">
        <v>6984</v>
      </c>
      <c r="CGO22" t="s">
        <v>6984</v>
      </c>
      <c r="CGP22" t="s">
        <v>6984</v>
      </c>
      <c r="CGQ22" t="s">
        <v>6984</v>
      </c>
      <c r="CGR22" t="s">
        <v>6984</v>
      </c>
      <c r="CGS22" t="s">
        <v>6984</v>
      </c>
      <c r="CGT22" t="s">
        <v>6984</v>
      </c>
      <c r="CGU22" t="s">
        <v>6984</v>
      </c>
      <c r="CGV22" t="s">
        <v>6984</v>
      </c>
      <c r="CGW22" t="s">
        <v>6984</v>
      </c>
      <c r="CGX22" t="s">
        <v>6984</v>
      </c>
      <c r="CGY22" t="s">
        <v>6984</v>
      </c>
      <c r="CGZ22" t="s">
        <v>6984</v>
      </c>
      <c r="CHA22" t="s">
        <v>6984</v>
      </c>
      <c r="CHB22" t="s">
        <v>6984</v>
      </c>
      <c r="CHC22" t="s">
        <v>6984</v>
      </c>
      <c r="CHD22" t="s">
        <v>6984</v>
      </c>
      <c r="CHE22" t="s">
        <v>6984</v>
      </c>
      <c r="CHF22" t="s">
        <v>6984</v>
      </c>
      <c r="CHG22" t="s">
        <v>6984</v>
      </c>
      <c r="CHH22" t="s">
        <v>6984</v>
      </c>
      <c r="CHI22" t="s">
        <v>6984</v>
      </c>
      <c r="CHJ22" t="s">
        <v>6984</v>
      </c>
      <c r="CHK22" t="s">
        <v>6984</v>
      </c>
      <c r="CHL22" t="s">
        <v>6984</v>
      </c>
      <c r="CHM22" t="s">
        <v>6984</v>
      </c>
      <c r="CHN22" t="s">
        <v>6984</v>
      </c>
      <c r="CHO22" t="s">
        <v>6984</v>
      </c>
      <c r="CHP22" t="s">
        <v>6984</v>
      </c>
      <c r="CHQ22" t="s">
        <v>6984</v>
      </c>
      <c r="CHR22" t="s">
        <v>6984</v>
      </c>
      <c r="CHS22" t="s">
        <v>6984</v>
      </c>
      <c r="CHT22" t="s">
        <v>6984</v>
      </c>
      <c r="CHU22" t="s">
        <v>6984</v>
      </c>
      <c r="CHV22" t="s">
        <v>6984</v>
      </c>
      <c r="CHW22" t="s">
        <v>6984</v>
      </c>
      <c r="CHX22" t="s">
        <v>6984</v>
      </c>
      <c r="CHY22" t="s">
        <v>6984</v>
      </c>
      <c r="CHZ22" t="s">
        <v>6984</v>
      </c>
      <c r="CIA22" t="s">
        <v>6984</v>
      </c>
      <c r="CIB22" t="s">
        <v>6984</v>
      </c>
      <c r="CIC22" t="s">
        <v>6984</v>
      </c>
      <c r="CID22" t="s">
        <v>6984</v>
      </c>
      <c r="CIE22" t="s">
        <v>6984</v>
      </c>
      <c r="CIF22" t="s">
        <v>6984</v>
      </c>
      <c r="CIG22" t="s">
        <v>6984</v>
      </c>
      <c r="CIH22" t="s">
        <v>6984</v>
      </c>
      <c r="CII22" t="s">
        <v>6984</v>
      </c>
      <c r="CIJ22" t="s">
        <v>6984</v>
      </c>
      <c r="CIK22" t="s">
        <v>6984</v>
      </c>
      <c r="CIL22" t="s">
        <v>6984</v>
      </c>
      <c r="CIM22" t="s">
        <v>6984</v>
      </c>
      <c r="CIN22" t="s">
        <v>6984</v>
      </c>
      <c r="CIO22" t="s">
        <v>6984</v>
      </c>
      <c r="CIP22" t="s">
        <v>6984</v>
      </c>
      <c r="CIQ22" t="s">
        <v>6984</v>
      </c>
      <c r="CIR22" t="s">
        <v>6984</v>
      </c>
      <c r="CIS22" t="s">
        <v>6984</v>
      </c>
      <c r="CIT22" t="s">
        <v>6984</v>
      </c>
      <c r="CIU22" t="s">
        <v>6984</v>
      </c>
      <c r="CIV22" t="s">
        <v>6984</v>
      </c>
      <c r="CIW22" t="s">
        <v>6984</v>
      </c>
      <c r="CIX22" t="s">
        <v>6984</v>
      </c>
      <c r="CIY22" t="s">
        <v>6984</v>
      </c>
      <c r="CIZ22" t="s">
        <v>6984</v>
      </c>
      <c r="CJA22" t="s">
        <v>6984</v>
      </c>
      <c r="CJB22" t="s">
        <v>6984</v>
      </c>
      <c r="CJC22" t="s">
        <v>6984</v>
      </c>
      <c r="CJD22" t="s">
        <v>6984</v>
      </c>
      <c r="CJE22" t="s">
        <v>6984</v>
      </c>
      <c r="CJF22" t="s">
        <v>6984</v>
      </c>
      <c r="CJG22" t="s">
        <v>6984</v>
      </c>
      <c r="CJH22" t="s">
        <v>6984</v>
      </c>
      <c r="CJI22" t="s">
        <v>6984</v>
      </c>
      <c r="CJJ22" t="s">
        <v>6984</v>
      </c>
      <c r="CJK22" t="s">
        <v>6984</v>
      </c>
      <c r="CJL22" t="s">
        <v>6984</v>
      </c>
      <c r="CJM22" t="s">
        <v>6984</v>
      </c>
      <c r="CJN22" t="s">
        <v>6984</v>
      </c>
      <c r="CJO22" t="s">
        <v>6984</v>
      </c>
      <c r="CJP22" t="s">
        <v>6984</v>
      </c>
      <c r="CJQ22" t="s">
        <v>6984</v>
      </c>
      <c r="CJR22" t="s">
        <v>6984</v>
      </c>
      <c r="CJS22" t="s">
        <v>6984</v>
      </c>
      <c r="CJT22" t="s">
        <v>6984</v>
      </c>
      <c r="CJU22" t="s">
        <v>6984</v>
      </c>
      <c r="CJV22" t="s">
        <v>6984</v>
      </c>
      <c r="CJW22" t="s">
        <v>6984</v>
      </c>
      <c r="CJX22" t="s">
        <v>6984</v>
      </c>
      <c r="CJY22" t="s">
        <v>6984</v>
      </c>
      <c r="CJZ22" t="s">
        <v>6984</v>
      </c>
      <c r="CKA22" t="s">
        <v>6984</v>
      </c>
      <c r="CKB22" t="s">
        <v>6984</v>
      </c>
      <c r="CKC22" t="s">
        <v>6984</v>
      </c>
      <c r="CKD22" t="s">
        <v>6984</v>
      </c>
      <c r="CKE22" t="s">
        <v>6984</v>
      </c>
      <c r="CKF22" t="s">
        <v>6984</v>
      </c>
      <c r="CKG22" t="s">
        <v>6984</v>
      </c>
      <c r="CKH22" t="s">
        <v>6984</v>
      </c>
      <c r="CKI22" t="s">
        <v>6984</v>
      </c>
      <c r="CKJ22" t="s">
        <v>6984</v>
      </c>
      <c r="CKK22" t="s">
        <v>6984</v>
      </c>
      <c r="CKL22" t="s">
        <v>6984</v>
      </c>
      <c r="CKM22" t="s">
        <v>6984</v>
      </c>
      <c r="CKN22" t="s">
        <v>6984</v>
      </c>
      <c r="CKO22" t="s">
        <v>6984</v>
      </c>
      <c r="CKP22" t="s">
        <v>6984</v>
      </c>
      <c r="CKQ22" t="s">
        <v>6984</v>
      </c>
      <c r="CKR22" t="s">
        <v>6984</v>
      </c>
      <c r="CKS22" t="s">
        <v>6984</v>
      </c>
      <c r="CKT22" t="s">
        <v>6984</v>
      </c>
      <c r="CKU22" t="s">
        <v>6984</v>
      </c>
      <c r="CKV22" t="s">
        <v>6984</v>
      </c>
      <c r="CKW22" t="s">
        <v>6984</v>
      </c>
      <c r="CKX22" t="s">
        <v>6984</v>
      </c>
      <c r="CKY22" t="s">
        <v>6984</v>
      </c>
      <c r="CKZ22" t="s">
        <v>6984</v>
      </c>
      <c r="CLA22" t="s">
        <v>6984</v>
      </c>
      <c r="CLB22" t="s">
        <v>6984</v>
      </c>
      <c r="CLC22" t="s">
        <v>6984</v>
      </c>
      <c r="CLD22" t="s">
        <v>6984</v>
      </c>
      <c r="CLE22" t="s">
        <v>6984</v>
      </c>
      <c r="CLF22" t="s">
        <v>6984</v>
      </c>
      <c r="CLG22" t="s">
        <v>6984</v>
      </c>
      <c r="CLH22" t="s">
        <v>6984</v>
      </c>
      <c r="CLI22" t="s">
        <v>6984</v>
      </c>
      <c r="CLJ22" t="s">
        <v>6984</v>
      </c>
      <c r="CLK22" t="s">
        <v>6984</v>
      </c>
      <c r="CLL22" t="s">
        <v>6984</v>
      </c>
      <c r="CLM22" t="s">
        <v>6984</v>
      </c>
      <c r="CLN22" t="s">
        <v>6984</v>
      </c>
      <c r="CLO22" t="s">
        <v>6984</v>
      </c>
      <c r="CLP22" t="s">
        <v>6984</v>
      </c>
      <c r="CLQ22" t="s">
        <v>6984</v>
      </c>
      <c r="CLR22" t="s">
        <v>6984</v>
      </c>
      <c r="CLS22" t="s">
        <v>6984</v>
      </c>
      <c r="CLT22" t="s">
        <v>6984</v>
      </c>
      <c r="CLU22" t="s">
        <v>6984</v>
      </c>
      <c r="CLV22" t="s">
        <v>6984</v>
      </c>
      <c r="CLW22" t="s">
        <v>6984</v>
      </c>
      <c r="CLX22" t="s">
        <v>6984</v>
      </c>
      <c r="CLY22" t="s">
        <v>6984</v>
      </c>
      <c r="CLZ22" t="s">
        <v>6984</v>
      </c>
      <c r="CMA22" t="s">
        <v>6984</v>
      </c>
      <c r="CMB22" t="s">
        <v>6984</v>
      </c>
      <c r="CMC22" t="s">
        <v>6984</v>
      </c>
      <c r="CMD22" t="s">
        <v>6984</v>
      </c>
      <c r="CME22" t="s">
        <v>6984</v>
      </c>
      <c r="CMF22" t="s">
        <v>6984</v>
      </c>
      <c r="CMG22" t="s">
        <v>6984</v>
      </c>
      <c r="CMH22" t="s">
        <v>6984</v>
      </c>
      <c r="CMI22" t="s">
        <v>6984</v>
      </c>
      <c r="CMJ22" t="s">
        <v>6984</v>
      </c>
      <c r="CMK22" t="s">
        <v>6984</v>
      </c>
      <c r="CML22" t="s">
        <v>6984</v>
      </c>
      <c r="CMM22" t="s">
        <v>6984</v>
      </c>
      <c r="CMN22" t="s">
        <v>6984</v>
      </c>
      <c r="CMO22" t="s">
        <v>6984</v>
      </c>
      <c r="CMP22" t="s">
        <v>6984</v>
      </c>
      <c r="CMQ22" t="s">
        <v>6984</v>
      </c>
      <c r="CMR22" t="s">
        <v>6984</v>
      </c>
      <c r="CMS22" t="s">
        <v>6984</v>
      </c>
      <c r="CMT22" t="s">
        <v>6984</v>
      </c>
      <c r="CMU22" t="s">
        <v>6984</v>
      </c>
      <c r="CMV22" t="s">
        <v>6984</v>
      </c>
      <c r="CMW22" t="s">
        <v>6984</v>
      </c>
      <c r="CMX22" t="s">
        <v>6984</v>
      </c>
      <c r="CMY22" t="s">
        <v>6984</v>
      </c>
      <c r="CMZ22" t="s">
        <v>6984</v>
      </c>
      <c r="CNA22" t="s">
        <v>6984</v>
      </c>
      <c r="CNB22" t="s">
        <v>6984</v>
      </c>
      <c r="CNC22" t="s">
        <v>6984</v>
      </c>
      <c r="CND22" t="s">
        <v>6984</v>
      </c>
      <c r="CNE22" t="s">
        <v>6984</v>
      </c>
      <c r="CNF22" t="s">
        <v>6984</v>
      </c>
      <c r="CNG22" t="s">
        <v>6984</v>
      </c>
      <c r="CNH22" t="s">
        <v>6984</v>
      </c>
      <c r="CNI22" t="s">
        <v>6984</v>
      </c>
      <c r="CNJ22" t="s">
        <v>6984</v>
      </c>
      <c r="CNK22" t="s">
        <v>6984</v>
      </c>
      <c r="CNL22" t="s">
        <v>6984</v>
      </c>
      <c r="CNM22" t="s">
        <v>6984</v>
      </c>
      <c r="CNN22" t="s">
        <v>6984</v>
      </c>
      <c r="CNO22" t="s">
        <v>6984</v>
      </c>
      <c r="CNP22" t="s">
        <v>6984</v>
      </c>
      <c r="CNQ22" t="s">
        <v>6984</v>
      </c>
      <c r="CNR22" t="s">
        <v>6984</v>
      </c>
      <c r="CNS22" t="s">
        <v>6984</v>
      </c>
      <c r="CNT22" t="s">
        <v>6984</v>
      </c>
      <c r="CNU22" t="s">
        <v>6984</v>
      </c>
      <c r="CNV22" t="s">
        <v>6984</v>
      </c>
      <c r="CNW22" t="s">
        <v>6984</v>
      </c>
      <c r="CNX22" t="s">
        <v>6984</v>
      </c>
      <c r="CNY22" t="s">
        <v>6984</v>
      </c>
      <c r="CNZ22" t="s">
        <v>6984</v>
      </c>
      <c r="COA22" t="s">
        <v>6984</v>
      </c>
      <c r="COB22" t="s">
        <v>6984</v>
      </c>
      <c r="COC22" t="s">
        <v>6984</v>
      </c>
      <c r="COD22" t="s">
        <v>6984</v>
      </c>
      <c r="COE22" t="s">
        <v>6984</v>
      </c>
      <c r="COF22" t="s">
        <v>6984</v>
      </c>
      <c r="COG22" t="s">
        <v>6984</v>
      </c>
      <c r="COH22" t="s">
        <v>6984</v>
      </c>
      <c r="COI22" t="s">
        <v>6984</v>
      </c>
      <c r="COJ22" t="s">
        <v>6984</v>
      </c>
      <c r="COK22" t="s">
        <v>6984</v>
      </c>
      <c r="COL22" t="s">
        <v>6984</v>
      </c>
      <c r="COM22" t="s">
        <v>6984</v>
      </c>
      <c r="CON22" t="s">
        <v>6984</v>
      </c>
      <c r="COO22" t="s">
        <v>6984</v>
      </c>
      <c r="COP22" t="s">
        <v>6984</v>
      </c>
      <c r="COQ22" t="s">
        <v>6984</v>
      </c>
      <c r="COR22" t="s">
        <v>6984</v>
      </c>
      <c r="COS22" t="s">
        <v>6984</v>
      </c>
      <c r="COT22" t="s">
        <v>6984</v>
      </c>
      <c r="COU22" t="s">
        <v>6984</v>
      </c>
      <c r="COV22" t="s">
        <v>6984</v>
      </c>
      <c r="COW22" t="s">
        <v>6984</v>
      </c>
      <c r="COX22" t="s">
        <v>6984</v>
      </c>
      <c r="COY22" t="s">
        <v>6984</v>
      </c>
      <c r="COZ22" t="s">
        <v>6984</v>
      </c>
      <c r="CPA22" t="s">
        <v>6984</v>
      </c>
      <c r="CPB22" t="s">
        <v>6984</v>
      </c>
      <c r="CPC22" t="s">
        <v>6984</v>
      </c>
      <c r="CPD22" t="s">
        <v>6984</v>
      </c>
      <c r="CPE22" t="s">
        <v>6984</v>
      </c>
      <c r="CPF22" t="s">
        <v>6984</v>
      </c>
      <c r="CPG22" t="s">
        <v>6984</v>
      </c>
      <c r="CPH22" t="s">
        <v>6984</v>
      </c>
      <c r="CPI22" t="s">
        <v>6984</v>
      </c>
      <c r="CPJ22" t="s">
        <v>6984</v>
      </c>
      <c r="CPK22" t="s">
        <v>6984</v>
      </c>
      <c r="CPL22" t="s">
        <v>6984</v>
      </c>
      <c r="CPM22" t="s">
        <v>6984</v>
      </c>
      <c r="CPN22" t="s">
        <v>6984</v>
      </c>
      <c r="CPO22" t="s">
        <v>6984</v>
      </c>
      <c r="CPP22" t="s">
        <v>6984</v>
      </c>
      <c r="CPQ22" t="s">
        <v>6984</v>
      </c>
      <c r="CPR22" t="s">
        <v>6984</v>
      </c>
      <c r="CPS22" t="s">
        <v>6984</v>
      </c>
      <c r="CPT22" t="s">
        <v>6984</v>
      </c>
      <c r="CPU22" t="s">
        <v>6984</v>
      </c>
      <c r="CPV22" t="s">
        <v>6984</v>
      </c>
      <c r="CPW22" t="s">
        <v>6984</v>
      </c>
      <c r="CPX22" t="s">
        <v>6984</v>
      </c>
      <c r="CPY22" t="s">
        <v>6984</v>
      </c>
      <c r="CPZ22" t="s">
        <v>6984</v>
      </c>
      <c r="CQA22" t="s">
        <v>6984</v>
      </c>
      <c r="CQB22" t="s">
        <v>6984</v>
      </c>
      <c r="CQC22" t="s">
        <v>6984</v>
      </c>
      <c r="CQD22" t="s">
        <v>6984</v>
      </c>
      <c r="CQE22" t="s">
        <v>6984</v>
      </c>
      <c r="CQF22" t="s">
        <v>6984</v>
      </c>
      <c r="CQG22" t="s">
        <v>6984</v>
      </c>
      <c r="CQH22" t="s">
        <v>6984</v>
      </c>
      <c r="CQI22" t="s">
        <v>6984</v>
      </c>
      <c r="CQJ22" t="s">
        <v>6984</v>
      </c>
      <c r="CQK22" t="s">
        <v>6984</v>
      </c>
      <c r="CQL22" t="s">
        <v>6984</v>
      </c>
      <c r="CQM22" t="s">
        <v>6984</v>
      </c>
      <c r="CQN22" t="s">
        <v>6984</v>
      </c>
      <c r="CQO22" t="s">
        <v>6984</v>
      </c>
      <c r="CQP22" t="s">
        <v>6984</v>
      </c>
      <c r="CQQ22" t="s">
        <v>6984</v>
      </c>
      <c r="CQR22" t="s">
        <v>6984</v>
      </c>
      <c r="CQS22" t="s">
        <v>6984</v>
      </c>
      <c r="CQT22" t="s">
        <v>6984</v>
      </c>
      <c r="CQU22" t="s">
        <v>6984</v>
      </c>
      <c r="CQV22" t="s">
        <v>6984</v>
      </c>
      <c r="CQW22" t="s">
        <v>6984</v>
      </c>
      <c r="CQX22" t="s">
        <v>6984</v>
      </c>
      <c r="CQY22" t="s">
        <v>6984</v>
      </c>
      <c r="CQZ22" t="s">
        <v>6984</v>
      </c>
      <c r="CRA22" t="s">
        <v>6984</v>
      </c>
      <c r="CRB22" t="s">
        <v>6984</v>
      </c>
      <c r="CRC22" t="s">
        <v>6984</v>
      </c>
      <c r="CRD22" t="s">
        <v>6984</v>
      </c>
      <c r="CRE22" t="s">
        <v>6984</v>
      </c>
      <c r="CRF22" t="s">
        <v>6984</v>
      </c>
      <c r="CRG22" t="s">
        <v>6984</v>
      </c>
      <c r="CRH22" t="s">
        <v>6984</v>
      </c>
      <c r="CRI22" t="s">
        <v>6984</v>
      </c>
      <c r="CRJ22" t="s">
        <v>6984</v>
      </c>
      <c r="CRK22" t="s">
        <v>6984</v>
      </c>
      <c r="CRL22" t="s">
        <v>6984</v>
      </c>
      <c r="CRM22" t="s">
        <v>6984</v>
      </c>
      <c r="CRN22" t="s">
        <v>6984</v>
      </c>
      <c r="CRO22" t="s">
        <v>6984</v>
      </c>
      <c r="CRP22" t="s">
        <v>6984</v>
      </c>
      <c r="CRQ22" t="s">
        <v>6984</v>
      </c>
      <c r="CRR22" t="s">
        <v>6984</v>
      </c>
      <c r="CRS22" t="s">
        <v>6984</v>
      </c>
      <c r="CRT22" t="s">
        <v>6984</v>
      </c>
      <c r="CRU22" t="s">
        <v>6984</v>
      </c>
      <c r="CRV22" t="s">
        <v>6984</v>
      </c>
      <c r="CRW22" t="s">
        <v>6984</v>
      </c>
      <c r="CRX22" t="s">
        <v>6984</v>
      </c>
      <c r="CRY22" t="s">
        <v>6984</v>
      </c>
      <c r="CRZ22" t="s">
        <v>6984</v>
      </c>
      <c r="CSA22" t="s">
        <v>6984</v>
      </c>
      <c r="CSB22" t="s">
        <v>6984</v>
      </c>
      <c r="CSC22" t="s">
        <v>6984</v>
      </c>
      <c r="CSD22" t="s">
        <v>6984</v>
      </c>
      <c r="CSE22" t="s">
        <v>6984</v>
      </c>
      <c r="CSF22" t="s">
        <v>6984</v>
      </c>
      <c r="CSG22" t="s">
        <v>6984</v>
      </c>
      <c r="CSH22" t="s">
        <v>6984</v>
      </c>
      <c r="CSI22" t="s">
        <v>6984</v>
      </c>
      <c r="CSJ22" t="s">
        <v>6984</v>
      </c>
      <c r="CSK22" t="s">
        <v>6984</v>
      </c>
      <c r="CSL22" t="s">
        <v>6984</v>
      </c>
      <c r="CSM22" t="s">
        <v>6984</v>
      </c>
      <c r="CSN22" t="s">
        <v>6984</v>
      </c>
      <c r="CSO22" t="s">
        <v>6984</v>
      </c>
      <c r="CSP22" t="s">
        <v>6984</v>
      </c>
      <c r="CSQ22" t="s">
        <v>6984</v>
      </c>
      <c r="CSR22" t="s">
        <v>6984</v>
      </c>
      <c r="CSS22" t="s">
        <v>6984</v>
      </c>
      <c r="CST22" t="s">
        <v>6984</v>
      </c>
      <c r="CSU22" t="s">
        <v>6984</v>
      </c>
      <c r="CSV22" t="s">
        <v>6984</v>
      </c>
      <c r="CSW22" t="s">
        <v>6984</v>
      </c>
      <c r="CSX22" t="s">
        <v>6984</v>
      </c>
      <c r="CSY22" t="s">
        <v>6984</v>
      </c>
      <c r="CSZ22" t="s">
        <v>6984</v>
      </c>
      <c r="CTA22" t="s">
        <v>6984</v>
      </c>
      <c r="CTB22" t="s">
        <v>6984</v>
      </c>
      <c r="CTC22" t="s">
        <v>6984</v>
      </c>
      <c r="CTD22" t="s">
        <v>6984</v>
      </c>
      <c r="CTE22" t="s">
        <v>6984</v>
      </c>
      <c r="CTF22" t="s">
        <v>6984</v>
      </c>
      <c r="CTG22" t="s">
        <v>6984</v>
      </c>
      <c r="CTH22" t="s">
        <v>6984</v>
      </c>
      <c r="CTI22" t="s">
        <v>6984</v>
      </c>
      <c r="CTJ22" t="s">
        <v>6984</v>
      </c>
      <c r="CTK22" t="s">
        <v>6984</v>
      </c>
      <c r="CTL22" t="s">
        <v>6984</v>
      </c>
      <c r="CTM22" t="s">
        <v>6984</v>
      </c>
      <c r="CTN22" t="s">
        <v>6984</v>
      </c>
      <c r="CTO22" t="s">
        <v>6984</v>
      </c>
      <c r="CTP22" t="s">
        <v>6984</v>
      </c>
      <c r="CTQ22" t="s">
        <v>6984</v>
      </c>
      <c r="CTR22" t="s">
        <v>6984</v>
      </c>
      <c r="CTS22" t="s">
        <v>6984</v>
      </c>
      <c r="CTT22" t="s">
        <v>6984</v>
      </c>
      <c r="CTU22" t="s">
        <v>6984</v>
      </c>
      <c r="CTV22" t="s">
        <v>6984</v>
      </c>
      <c r="CTW22" t="s">
        <v>6984</v>
      </c>
      <c r="CTX22" t="s">
        <v>6984</v>
      </c>
      <c r="CTY22" t="s">
        <v>6984</v>
      </c>
      <c r="CTZ22" t="s">
        <v>6984</v>
      </c>
      <c r="CUA22" t="s">
        <v>6984</v>
      </c>
      <c r="CUB22" t="s">
        <v>6984</v>
      </c>
      <c r="CUC22" t="s">
        <v>6984</v>
      </c>
      <c r="CUD22" t="s">
        <v>6984</v>
      </c>
      <c r="CUE22" t="s">
        <v>6984</v>
      </c>
      <c r="CUF22" t="s">
        <v>6984</v>
      </c>
      <c r="CUG22" t="s">
        <v>6984</v>
      </c>
      <c r="CUH22" t="s">
        <v>6984</v>
      </c>
      <c r="CUI22" t="s">
        <v>6984</v>
      </c>
      <c r="CUJ22" t="s">
        <v>6984</v>
      </c>
      <c r="CUK22" t="s">
        <v>6984</v>
      </c>
      <c r="CUL22" t="s">
        <v>6984</v>
      </c>
      <c r="CUM22" t="s">
        <v>6984</v>
      </c>
      <c r="CUN22" t="s">
        <v>6984</v>
      </c>
      <c r="CUO22" t="s">
        <v>6984</v>
      </c>
      <c r="CUP22" t="s">
        <v>6984</v>
      </c>
      <c r="CUQ22" t="s">
        <v>6984</v>
      </c>
      <c r="CUR22" t="s">
        <v>6984</v>
      </c>
      <c r="CUS22" t="s">
        <v>6984</v>
      </c>
      <c r="CUT22" t="s">
        <v>6984</v>
      </c>
      <c r="CUU22" t="s">
        <v>6984</v>
      </c>
      <c r="CUV22" t="s">
        <v>6984</v>
      </c>
      <c r="CUW22" t="s">
        <v>6984</v>
      </c>
      <c r="CUX22" t="s">
        <v>6984</v>
      </c>
      <c r="CUY22" t="s">
        <v>6984</v>
      </c>
      <c r="CUZ22" t="s">
        <v>6984</v>
      </c>
      <c r="CVA22" t="s">
        <v>6984</v>
      </c>
      <c r="CVB22" t="s">
        <v>6984</v>
      </c>
      <c r="CVC22" t="s">
        <v>6984</v>
      </c>
      <c r="CVD22" t="s">
        <v>6984</v>
      </c>
      <c r="CVE22" t="s">
        <v>6984</v>
      </c>
      <c r="CVF22" t="s">
        <v>6984</v>
      </c>
      <c r="CVG22" t="s">
        <v>6984</v>
      </c>
      <c r="CVH22" t="s">
        <v>6984</v>
      </c>
      <c r="CVI22" t="s">
        <v>6984</v>
      </c>
      <c r="CVJ22" t="s">
        <v>6984</v>
      </c>
      <c r="CVK22" t="s">
        <v>6984</v>
      </c>
      <c r="CVL22" t="s">
        <v>6984</v>
      </c>
      <c r="CVM22" t="s">
        <v>6984</v>
      </c>
      <c r="CVN22" t="s">
        <v>6984</v>
      </c>
      <c r="CVO22" t="s">
        <v>6984</v>
      </c>
      <c r="CVP22" t="s">
        <v>6984</v>
      </c>
      <c r="CVQ22" t="s">
        <v>6984</v>
      </c>
      <c r="CVR22" t="s">
        <v>6984</v>
      </c>
      <c r="CVS22" t="s">
        <v>6984</v>
      </c>
      <c r="CVT22" t="s">
        <v>6984</v>
      </c>
      <c r="CVU22" t="s">
        <v>6984</v>
      </c>
      <c r="CVV22" t="s">
        <v>6984</v>
      </c>
      <c r="CVW22" t="s">
        <v>6984</v>
      </c>
      <c r="CVX22" t="s">
        <v>6984</v>
      </c>
      <c r="CVY22" t="s">
        <v>6984</v>
      </c>
      <c r="CVZ22" t="s">
        <v>6984</v>
      </c>
      <c r="CWA22" t="s">
        <v>6984</v>
      </c>
      <c r="CWB22" t="s">
        <v>6984</v>
      </c>
      <c r="CWC22" t="s">
        <v>6984</v>
      </c>
      <c r="CWD22" t="s">
        <v>6984</v>
      </c>
      <c r="CWE22" t="s">
        <v>6984</v>
      </c>
      <c r="CWF22" t="s">
        <v>6984</v>
      </c>
      <c r="CWG22" t="s">
        <v>6984</v>
      </c>
      <c r="CWH22" t="s">
        <v>6984</v>
      </c>
      <c r="CWI22" t="s">
        <v>6984</v>
      </c>
      <c r="CWJ22" t="s">
        <v>6984</v>
      </c>
      <c r="CWK22" t="s">
        <v>6984</v>
      </c>
      <c r="CWL22" t="s">
        <v>6984</v>
      </c>
      <c r="CWM22" t="s">
        <v>6984</v>
      </c>
      <c r="CWN22" t="s">
        <v>6984</v>
      </c>
      <c r="CWO22" t="s">
        <v>6984</v>
      </c>
      <c r="CWP22" t="s">
        <v>6984</v>
      </c>
      <c r="CWQ22" t="s">
        <v>6984</v>
      </c>
      <c r="CWR22" t="s">
        <v>6984</v>
      </c>
      <c r="CWS22" t="s">
        <v>6984</v>
      </c>
      <c r="CWT22" t="s">
        <v>6984</v>
      </c>
      <c r="CWU22" t="s">
        <v>6984</v>
      </c>
      <c r="CWV22" t="s">
        <v>6984</v>
      </c>
      <c r="CWW22" t="s">
        <v>6984</v>
      </c>
      <c r="CWX22" t="s">
        <v>6984</v>
      </c>
      <c r="CWY22" t="s">
        <v>6984</v>
      </c>
      <c r="CWZ22" t="s">
        <v>6984</v>
      </c>
      <c r="CXA22" t="s">
        <v>6984</v>
      </c>
      <c r="CXB22" t="s">
        <v>6984</v>
      </c>
      <c r="CXC22" t="s">
        <v>6984</v>
      </c>
      <c r="CXD22" t="s">
        <v>6984</v>
      </c>
      <c r="CXE22" t="s">
        <v>6984</v>
      </c>
      <c r="CXF22" t="s">
        <v>6984</v>
      </c>
      <c r="CXG22" t="s">
        <v>6984</v>
      </c>
      <c r="CXH22" t="s">
        <v>6984</v>
      </c>
      <c r="CXI22" t="s">
        <v>6984</v>
      </c>
      <c r="CXJ22" t="s">
        <v>6984</v>
      </c>
      <c r="CXK22" t="s">
        <v>6984</v>
      </c>
      <c r="CXL22" t="s">
        <v>6984</v>
      </c>
      <c r="CXM22" t="s">
        <v>6984</v>
      </c>
      <c r="CXN22" t="s">
        <v>6984</v>
      </c>
      <c r="CXO22" t="s">
        <v>6984</v>
      </c>
      <c r="CXP22" t="s">
        <v>6984</v>
      </c>
      <c r="CXQ22" t="s">
        <v>6984</v>
      </c>
      <c r="CXR22" t="s">
        <v>6984</v>
      </c>
      <c r="CXS22" t="s">
        <v>6984</v>
      </c>
      <c r="CXT22" t="s">
        <v>6984</v>
      </c>
      <c r="CXU22" t="s">
        <v>6984</v>
      </c>
      <c r="CXV22" t="s">
        <v>6984</v>
      </c>
      <c r="CXW22" t="s">
        <v>6984</v>
      </c>
      <c r="CXX22" t="s">
        <v>6984</v>
      </c>
      <c r="CXY22" t="s">
        <v>6984</v>
      </c>
      <c r="CXZ22" t="s">
        <v>6984</v>
      </c>
      <c r="CYA22" t="s">
        <v>6984</v>
      </c>
      <c r="CYB22" t="s">
        <v>6984</v>
      </c>
      <c r="CYC22" t="s">
        <v>6984</v>
      </c>
      <c r="CYD22" t="s">
        <v>6984</v>
      </c>
      <c r="CYE22" t="s">
        <v>6984</v>
      </c>
      <c r="CYF22" t="s">
        <v>6984</v>
      </c>
      <c r="CYG22" t="s">
        <v>6984</v>
      </c>
      <c r="CYH22" t="s">
        <v>6984</v>
      </c>
      <c r="CYI22" t="s">
        <v>6984</v>
      </c>
      <c r="CYJ22" t="s">
        <v>6984</v>
      </c>
      <c r="CYK22" t="s">
        <v>6984</v>
      </c>
      <c r="CYL22" t="s">
        <v>6984</v>
      </c>
      <c r="CYM22" t="s">
        <v>6984</v>
      </c>
      <c r="CYN22" t="s">
        <v>6984</v>
      </c>
      <c r="CYO22" t="s">
        <v>6984</v>
      </c>
      <c r="CYP22" t="s">
        <v>6984</v>
      </c>
      <c r="CYQ22" t="s">
        <v>6984</v>
      </c>
      <c r="CYR22" t="s">
        <v>6984</v>
      </c>
      <c r="CYS22" t="s">
        <v>6984</v>
      </c>
      <c r="CYT22" t="s">
        <v>6984</v>
      </c>
      <c r="CYU22" t="s">
        <v>6984</v>
      </c>
      <c r="CYV22" t="s">
        <v>6984</v>
      </c>
      <c r="CYW22" t="s">
        <v>6984</v>
      </c>
      <c r="CYX22" t="s">
        <v>6984</v>
      </c>
      <c r="CYY22" t="s">
        <v>6984</v>
      </c>
      <c r="CYZ22" t="s">
        <v>6984</v>
      </c>
      <c r="CZA22" t="s">
        <v>6984</v>
      </c>
      <c r="CZB22" t="s">
        <v>6984</v>
      </c>
      <c r="CZC22" t="s">
        <v>6984</v>
      </c>
      <c r="CZD22" t="s">
        <v>6984</v>
      </c>
      <c r="CZE22" t="s">
        <v>6984</v>
      </c>
      <c r="CZF22" t="s">
        <v>6984</v>
      </c>
      <c r="CZG22" t="s">
        <v>6984</v>
      </c>
      <c r="CZH22" t="s">
        <v>6984</v>
      </c>
      <c r="CZI22" t="s">
        <v>6984</v>
      </c>
      <c r="CZJ22" t="s">
        <v>6984</v>
      </c>
      <c r="CZK22" t="s">
        <v>6984</v>
      </c>
      <c r="CZL22" t="s">
        <v>6984</v>
      </c>
      <c r="CZM22" t="s">
        <v>6984</v>
      </c>
      <c r="CZN22" t="s">
        <v>6984</v>
      </c>
      <c r="CZO22" t="s">
        <v>6984</v>
      </c>
      <c r="CZP22" t="s">
        <v>6984</v>
      </c>
      <c r="CZQ22" t="s">
        <v>6984</v>
      </c>
      <c r="CZR22" t="s">
        <v>6984</v>
      </c>
      <c r="CZS22" t="s">
        <v>6984</v>
      </c>
      <c r="CZT22" t="s">
        <v>6984</v>
      </c>
      <c r="CZU22" t="s">
        <v>6984</v>
      </c>
      <c r="CZV22" t="s">
        <v>6984</v>
      </c>
      <c r="CZW22" t="s">
        <v>6984</v>
      </c>
      <c r="CZX22" t="s">
        <v>6984</v>
      </c>
      <c r="CZY22" t="s">
        <v>6984</v>
      </c>
      <c r="CZZ22" t="s">
        <v>6984</v>
      </c>
      <c r="DAA22" t="s">
        <v>6984</v>
      </c>
      <c r="DAB22" t="s">
        <v>6984</v>
      </c>
      <c r="DAC22" t="s">
        <v>6984</v>
      </c>
      <c r="DAD22" t="s">
        <v>6984</v>
      </c>
      <c r="DAE22" t="s">
        <v>6984</v>
      </c>
      <c r="DAF22" t="s">
        <v>6984</v>
      </c>
      <c r="DAG22" t="s">
        <v>6984</v>
      </c>
      <c r="DAH22" t="s">
        <v>6984</v>
      </c>
      <c r="DAI22" t="s">
        <v>6984</v>
      </c>
      <c r="DAJ22" t="s">
        <v>6984</v>
      </c>
      <c r="DAK22" t="s">
        <v>6984</v>
      </c>
      <c r="DAL22" t="s">
        <v>6984</v>
      </c>
      <c r="DAM22" t="s">
        <v>6984</v>
      </c>
      <c r="DAN22" t="s">
        <v>6984</v>
      </c>
      <c r="DAO22" t="s">
        <v>6984</v>
      </c>
      <c r="DAP22" t="s">
        <v>6984</v>
      </c>
      <c r="DAQ22" t="s">
        <v>6984</v>
      </c>
      <c r="DAR22" t="s">
        <v>6984</v>
      </c>
      <c r="DAS22" t="s">
        <v>6984</v>
      </c>
      <c r="DAT22" t="s">
        <v>6984</v>
      </c>
      <c r="DAU22" t="s">
        <v>6984</v>
      </c>
      <c r="DAV22" t="s">
        <v>6984</v>
      </c>
      <c r="DAW22" t="s">
        <v>6984</v>
      </c>
      <c r="DAX22" t="s">
        <v>6984</v>
      </c>
      <c r="DAY22" t="s">
        <v>6984</v>
      </c>
      <c r="DAZ22" t="s">
        <v>6984</v>
      </c>
      <c r="DBA22" t="s">
        <v>6984</v>
      </c>
      <c r="DBB22" t="s">
        <v>6984</v>
      </c>
      <c r="DBC22" t="s">
        <v>6984</v>
      </c>
      <c r="DBD22" t="s">
        <v>6984</v>
      </c>
      <c r="DBE22" t="s">
        <v>6984</v>
      </c>
      <c r="DBF22" t="s">
        <v>6984</v>
      </c>
      <c r="DBG22" t="s">
        <v>6984</v>
      </c>
      <c r="DBH22" t="s">
        <v>6984</v>
      </c>
      <c r="DBI22" t="s">
        <v>6984</v>
      </c>
      <c r="DBJ22" t="s">
        <v>6984</v>
      </c>
      <c r="DBK22" t="s">
        <v>6984</v>
      </c>
      <c r="DBL22" t="s">
        <v>6984</v>
      </c>
      <c r="DBM22" t="s">
        <v>6984</v>
      </c>
      <c r="DBN22" t="s">
        <v>6984</v>
      </c>
      <c r="DBO22" t="s">
        <v>6984</v>
      </c>
      <c r="DBP22" t="s">
        <v>6984</v>
      </c>
      <c r="DBQ22" t="s">
        <v>6984</v>
      </c>
      <c r="DBR22" t="s">
        <v>6984</v>
      </c>
      <c r="DBS22" t="s">
        <v>6984</v>
      </c>
      <c r="DBT22" t="s">
        <v>6984</v>
      </c>
      <c r="DBU22" t="s">
        <v>6984</v>
      </c>
      <c r="DBV22" t="s">
        <v>6984</v>
      </c>
      <c r="DBW22" t="s">
        <v>6984</v>
      </c>
      <c r="DBX22" t="s">
        <v>6984</v>
      </c>
      <c r="DBY22" t="s">
        <v>6984</v>
      </c>
      <c r="DBZ22" t="s">
        <v>6984</v>
      </c>
      <c r="DCA22" t="s">
        <v>6984</v>
      </c>
      <c r="DCB22" t="s">
        <v>6984</v>
      </c>
      <c r="DCC22" t="s">
        <v>6984</v>
      </c>
      <c r="DCD22" t="s">
        <v>6984</v>
      </c>
      <c r="DCE22" t="s">
        <v>6984</v>
      </c>
      <c r="DCF22" t="s">
        <v>6984</v>
      </c>
      <c r="DCG22" t="s">
        <v>6984</v>
      </c>
      <c r="DCH22" t="s">
        <v>6984</v>
      </c>
      <c r="DCI22" t="s">
        <v>6984</v>
      </c>
      <c r="DCJ22" t="s">
        <v>6984</v>
      </c>
      <c r="DCK22" t="s">
        <v>6984</v>
      </c>
      <c r="DCL22" t="s">
        <v>6984</v>
      </c>
      <c r="DCM22" t="s">
        <v>6984</v>
      </c>
      <c r="DCN22" t="s">
        <v>6984</v>
      </c>
      <c r="DCO22" t="s">
        <v>6984</v>
      </c>
      <c r="DCP22" t="s">
        <v>6984</v>
      </c>
      <c r="DCQ22" t="s">
        <v>6984</v>
      </c>
      <c r="DCR22" t="s">
        <v>6984</v>
      </c>
      <c r="DCS22" t="s">
        <v>6984</v>
      </c>
      <c r="DCT22" t="s">
        <v>6984</v>
      </c>
      <c r="DCU22" t="s">
        <v>6984</v>
      </c>
      <c r="DCV22" t="s">
        <v>6984</v>
      </c>
      <c r="DCW22" t="s">
        <v>6984</v>
      </c>
      <c r="DCX22" t="s">
        <v>6984</v>
      </c>
      <c r="DCY22" t="s">
        <v>6984</v>
      </c>
      <c r="DCZ22" t="s">
        <v>6984</v>
      </c>
      <c r="DDA22" t="s">
        <v>6984</v>
      </c>
      <c r="DDB22" t="s">
        <v>6984</v>
      </c>
      <c r="DDC22" t="s">
        <v>6984</v>
      </c>
      <c r="DDD22" t="s">
        <v>6984</v>
      </c>
      <c r="DDE22" t="s">
        <v>6984</v>
      </c>
      <c r="DDF22" t="s">
        <v>6984</v>
      </c>
      <c r="DDG22" t="s">
        <v>6984</v>
      </c>
      <c r="DDH22" t="s">
        <v>6984</v>
      </c>
      <c r="DDI22" t="s">
        <v>6984</v>
      </c>
      <c r="DDJ22" t="s">
        <v>6984</v>
      </c>
      <c r="DDK22" t="s">
        <v>6984</v>
      </c>
      <c r="DDL22" t="s">
        <v>6984</v>
      </c>
      <c r="DDM22" t="s">
        <v>6984</v>
      </c>
      <c r="DDN22" t="s">
        <v>6984</v>
      </c>
      <c r="DDO22" t="s">
        <v>6984</v>
      </c>
      <c r="DDP22" t="s">
        <v>6984</v>
      </c>
      <c r="DDQ22" t="s">
        <v>6984</v>
      </c>
      <c r="DDR22" t="s">
        <v>6984</v>
      </c>
      <c r="DDS22" t="s">
        <v>6984</v>
      </c>
      <c r="DDT22" t="s">
        <v>6984</v>
      </c>
      <c r="DDU22" t="s">
        <v>6984</v>
      </c>
      <c r="DDV22" t="s">
        <v>6984</v>
      </c>
      <c r="DDW22" t="s">
        <v>6984</v>
      </c>
      <c r="DDX22" t="s">
        <v>6984</v>
      </c>
      <c r="DDY22" t="s">
        <v>6984</v>
      </c>
      <c r="DDZ22" t="s">
        <v>6984</v>
      </c>
      <c r="DEA22" t="s">
        <v>6984</v>
      </c>
      <c r="DEB22" t="s">
        <v>6984</v>
      </c>
      <c r="DEC22" t="s">
        <v>6984</v>
      </c>
      <c r="DED22" t="s">
        <v>6984</v>
      </c>
      <c r="DEE22" t="s">
        <v>6984</v>
      </c>
      <c r="DEF22" t="s">
        <v>6984</v>
      </c>
      <c r="DEG22" t="s">
        <v>6984</v>
      </c>
      <c r="DEH22" t="s">
        <v>6984</v>
      </c>
      <c r="DEI22" t="s">
        <v>6984</v>
      </c>
      <c r="DEJ22" t="s">
        <v>6984</v>
      </c>
      <c r="DEK22" t="s">
        <v>6984</v>
      </c>
      <c r="DEL22" t="s">
        <v>6984</v>
      </c>
      <c r="DEM22" t="s">
        <v>6984</v>
      </c>
      <c r="DEN22" t="s">
        <v>6984</v>
      </c>
      <c r="DEO22" t="s">
        <v>6984</v>
      </c>
      <c r="DEP22" t="s">
        <v>6984</v>
      </c>
      <c r="DEQ22" t="s">
        <v>6984</v>
      </c>
      <c r="DER22" t="s">
        <v>6984</v>
      </c>
      <c r="DES22" t="s">
        <v>6984</v>
      </c>
      <c r="DET22" t="s">
        <v>6984</v>
      </c>
      <c r="DEU22" t="s">
        <v>6984</v>
      </c>
      <c r="DEV22" t="s">
        <v>6984</v>
      </c>
      <c r="DEW22" t="s">
        <v>6984</v>
      </c>
      <c r="DEX22" t="s">
        <v>6984</v>
      </c>
      <c r="DEY22" t="s">
        <v>6984</v>
      </c>
      <c r="DEZ22" t="s">
        <v>6984</v>
      </c>
      <c r="DFA22" t="s">
        <v>6984</v>
      </c>
      <c r="DFB22" t="s">
        <v>6984</v>
      </c>
      <c r="DFC22" t="s">
        <v>6984</v>
      </c>
      <c r="DFD22" t="s">
        <v>6984</v>
      </c>
      <c r="DFE22" t="s">
        <v>6984</v>
      </c>
      <c r="DFF22" t="s">
        <v>6984</v>
      </c>
      <c r="DFG22" t="s">
        <v>6984</v>
      </c>
      <c r="DFH22" t="s">
        <v>6984</v>
      </c>
      <c r="DFI22" t="s">
        <v>6984</v>
      </c>
      <c r="DFJ22" t="s">
        <v>6984</v>
      </c>
      <c r="DFK22" t="s">
        <v>6984</v>
      </c>
      <c r="DFL22" t="s">
        <v>6984</v>
      </c>
      <c r="DFM22" t="s">
        <v>6984</v>
      </c>
      <c r="DFN22" t="s">
        <v>6984</v>
      </c>
      <c r="DFO22" t="s">
        <v>6984</v>
      </c>
      <c r="DFP22" t="s">
        <v>6984</v>
      </c>
      <c r="DFQ22" t="s">
        <v>6984</v>
      </c>
      <c r="DFR22" t="s">
        <v>6984</v>
      </c>
      <c r="DFS22" t="s">
        <v>6984</v>
      </c>
      <c r="DFT22" t="s">
        <v>6984</v>
      </c>
      <c r="DFU22" t="s">
        <v>6984</v>
      </c>
      <c r="DFV22" t="s">
        <v>6984</v>
      </c>
      <c r="DFW22" t="s">
        <v>6984</v>
      </c>
      <c r="DFX22" t="s">
        <v>6984</v>
      </c>
      <c r="DFY22" t="s">
        <v>6984</v>
      </c>
      <c r="DFZ22" t="s">
        <v>6984</v>
      </c>
      <c r="DGA22" t="s">
        <v>6984</v>
      </c>
      <c r="DGB22" t="s">
        <v>6984</v>
      </c>
      <c r="DGC22" t="s">
        <v>6984</v>
      </c>
      <c r="DGD22" t="s">
        <v>6984</v>
      </c>
      <c r="DGE22" t="s">
        <v>6984</v>
      </c>
      <c r="DGF22" t="s">
        <v>6984</v>
      </c>
      <c r="DGG22" t="s">
        <v>6984</v>
      </c>
      <c r="DGH22" t="s">
        <v>6984</v>
      </c>
      <c r="DGI22" t="s">
        <v>6984</v>
      </c>
      <c r="DGJ22" t="s">
        <v>6984</v>
      </c>
      <c r="DGK22" t="s">
        <v>6984</v>
      </c>
      <c r="DGL22" t="s">
        <v>6984</v>
      </c>
      <c r="DGM22" t="s">
        <v>6984</v>
      </c>
      <c r="DGN22" t="s">
        <v>6984</v>
      </c>
      <c r="DGO22" t="s">
        <v>6984</v>
      </c>
      <c r="DGP22" t="s">
        <v>6984</v>
      </c>
      <c r="DGQ22" t="s">
        <v>6984</v>
      </c>
      <c r="DGR22" t="s">
        <v>6984</v>
      </c>
      <c r="DGS22" t="s">
        <v>6984</v>
      </c>
      <c r="DGT22" t="s">
        <v>6984</v>
      </c>
      <c r="DGU22" t="s">
        <v>6984</v>
      </c>
      <c r="DGV22" t="s">
        <v>6984</v>
      </c>
      <c r="DGW22" t="s">
        <v>6984</v>
      </c>
      <c r="DGX22" t="s">
        <v>6984</v>
      </c>
      <c r="DGY22" t="s">
        <v>6984</v>
      </c>
      <c r="DGZ22" t="s">
        <v>6984</v>
      </c>
      <c r="DHA22" t="s">
        <v>6984</v>
      </c>
      <c r="DHB22" t="s">
        <v>6984</v>
      </c>
      <c r="DHC22" t="s">
        <v>6984</v>
      </c>
      <c r="DHD22" t="s">
        <v>6984</v>
      </c>
      <c r="DHE22" t="s">
        <v>6984</v>
      </c>
      <c r="DHF22" t="s">
        <v>6984</v>
      </c>
      <c r="DHG22" t="s">
        <v>6984</v>
      </c>
      <c r="DHH22" t="s">
        <v>6984</v>
      </c>
      <c r="DHI22" t="s">
        <v>6984</v>
      </c>
      <c r="DHJ22" t="s">
        <v>6984</v>
      </c>
      <c r="DHK22" t="s">
        <v>6984</v>
      </c>
      <c r="DHL22" t="s">
        <v>6984</v>
      </c>
      <c r="DHM22" t="s">
        <v>6984</v>
      </c>
      <c r="DHN22" t="s">
        <v>6984</v>
      </c>
      <c r="DHO22" t="s">
        <v>6984</v>
      </c>
      <c r="DHP22" t="s">
        <v>6984</v>
      </c>
      <c r="DHQ22" t="s">
        <v>6984</v>
      </c>
      <c r="DHR22" t="s">
        <v>6984</v>
      </c>
      <c r="DHS22" t="s">
        <v>6984</v>
      </c>
      <c r="DHT22" t="s">
        <v>6984</v>
      </c>
      <c r="DHU22" t="s">
        <v>6984</v>
      </c>
      <c r="DHV22" t="s">
        <v>6984</v>
      </c>
      <c r="DHW22" t="s">
        <v>6984</v>
      </c>
      <c r="DHX22" t="s">
        <v>6984</v>
      </c>
      <c r="DHY22" t="s">
        <v>6984</v>
      </c>
      <c r="DHZ22" t="s">
        <v>6984</v>
      </c>
      <c r="DIA22" t="s">
        <v>6984</v>
      </c>
      <c r="DIB22" t="s">
        <v>6984</v>
      </c>
      <c r="DIC22" t="s">
        <v>6984</v>
      </c>
      <c r="DID22" t="s">
        <v>6984</v>
      </c>
      <c r="DIE22" t="s">
        <v>6984</v>
      </c>
      <c r="DIF22" t="s">
        <v>6984</v>
      </c>
      <c r="DIG22" t="s">
        <v>6984</v>
      </c>
      <c r="DIH22" t="s">
        <v>6984</v>
      </c>
      <c r="DII22" t="s">
        <v>6984</v>
      </c>
      <c r="DIJ22" t="s">
        <v>6984</v>
      </c>
      <c r="DIK22" t="s">
        <v>6984</v>
      </c>
      <c r="DIL22" t="s">
        <v>6984</v>
      </c>
      <c r="DIM22" t="s">
        <v>6984</v>
      </c>
      <c r="DIN22" t="s">
        <v>6984</v>
      </c>
      <c r="DIO22" t="s">
        <v>6984</v>
      </c>
      <c r="DIP22" t="s">
        <v>6984</v>
      </c>
      <c r="DIQ22" t="s">
        <v>6984</v>
      </c>
      <c r="DIR22" t="s">
        <v>6984</v>
      </c>
      <c r="DIS22" t="s">
        <v>6984</v>
      </c>
      <c r="DIT22" t="s">
        <v>6984</v>
      </c>
      <c r="DIU22" t="s">
        <v>6984</v>
      </c>
      <c r="DIV22" t="s">
        <v>6984</v>
      </c>
      <c r="DIW22" t="s">
        <v>6984</v>
      </c>
      <c r="DIX22" t="s">
        <v>6984</v>
      </c>
      <c r="DIY22" t="s">
        <v>6984</v>
      </c>
      <c r="DIZ22" t="s">
        <v>6984</v>
      </c>
      <c r="DJA22" t="s">
        <v>6984</v>
      </c>
      <c r="DJB22" t="s">
        <v>6984</v>
      </c>
      <c r="DJC22" t="s">
        <v>6984</v>
      </c>
      <c r="DJD22" t="s">
        <v>6984</v>
      </c>
      <c r="DJE22" t="s">
        <v>6984</v>
      </c>
      <c r="DJF22" t="s">
        <v>6984</v>
      </c>
      <c r="DJG22" t="s">
        <v>6984</v>
      </c>
      <c r="DJH22" t="s">
        <v>6984</v>
      </c>
      <c r="DJI22" t="s">
        <v>6984</v>
      </c>
      <c r="DJJ22" t="s">
        <v>6984</v>
      </c>
      <c r="DJK22" t="s">
        <v>6984</v>
      </c>
      <c r="DJL22" t="s">
        <v>6984</v>
      </c>
      <c r="DJM22" t="s">
        <v>6984</v>
      </c>
      <c r="DJN22" t="s">
        <v>6984</v>
      </c>
      <c r="DJO22" t="s">
        <v>6984</v>
      </c>
      <c r="DJP22" t="s">
        <v>6984</v>
      </c>
      <c r="DJQ22" t="s">
        <v>6984</v>
      </c>
      <c r="DJR22" t="s">
        <v>6984</v>
      </c>
      <c r="DJS22" t="s">
        <v>6984</v>
      </c>
      <c r="DJT22" t="s">
        <v>6984</v>
      </c>
      <c r="DJU22" t="s">
        <v>6984</v>
      </c>
      <c r="DJV22" t="s">
        <v>6984</v>
      </c>
      <c r="DJW22" t="s">
        <v>6984</v>
      </c>
      <c r="DJX22" t="s">
        <v>6984</v>
      </c>
      <c r="DJY22" t="s">
        <v>6984</v>
      </c>
      <c r="DJZ22" t="s">
        <v>6984</v>
      </c>
      <c r="DKA22" t="s">
        <v>6984</v>
      </c>
      <c r="DKB22" t="s">
        <v>6984</v>
      </c>
      <c r="DKC22" t="s">
        <v>6984</v>
      </c>
      <c r="DKD22" t="s">
        <v>6984</v>
      </c>
      <c r="DKE22" t="s">
        <v>6984</v>
      </c>
      <c r="DKF22" t="s">
        <v>6984</v>
      </c>
      <c r="DKG22" t="s">
        <v>6984</v>
      </c>
      <c r="DKH22" t="s">
        <v>6984</v>
      </c>
      <c r="DKI22" t="s">
        <v>6984</v>
      </c>
      <c r="DKJ22" t="s">
        <v>6984</v>
      </c>
      <c r="DKK22" t="s">
        <v>6984</v>
      </c>
      <c r="DKL22" t="s">
        <v>6984</v>
      </c>
      <c r="DKM22" t="s">
        <v>6984</v>
      </c>
      <c r="DKN22" t="s">
        <v>6984</v>
      </c>
      <c r="DKO22" t="s">
        <v>6984</v>
      </c>
      <c r="DKP22" t="s">
        <v>6984</v>
      </c>
      <c r="DKQ22" t="s">
        <v>6984</v>
      </c>
      <c r="DKR22" t="s">
        <v>6984</v>
      </c>
      <c r="DKS22" t="s">
        <v>6984</v>
      </c>
      <c r="DKT22" t="s">
        <v>6984</v>
      </c>
      <c r="DKU22" t="s">
        <v>6984</v>
      </c>
      <c r="DKV22" t="s">
        <v>6984</v>
      </c>
      <c r="DKW22" t="s">
        <v>6984</v>
      </c>
      <c r="DKX22" t="s">
        <v>6984</v>
      </c>
      <c r="DKY22" t="s">
        <v>6984</v>
      </c>
      <c r="DKZ22" t="s">
        <v>6984</v>
      </c>
      <c r="DLA22" t="s">
        <v>6984</v>
      </c>
      <c r="DLB22" t="s">
        <v>6984</v>
      </c>
      <c r="DLC22" t="s">
        <v>6984</v>
      </c>
      <c r="DLD22" t="s">
        <v>6984</v>
      </c>
      <c r="DLE22" t="s">
        <v>6984</v>
      </c>
      <c r="DLF22" t="s">
        <v>6984</v>
      </c>
      <c r="DLG22" t="s">
        <v>6984</v>
      </c>
      <c r="DLH22" t="s">
        <v>6984</v>
      </c>
      <c r="DLI22" t="s">
        <v>6984</v>
      </c>
      <c r="DLJ22" t="s">
        <v>6984</v>
      </c>
      <c r="DLK22" t="s">
        <v>6984</v>
      </c>
      <c r="DLL22" t="s">
        <v>6984</v>
      </c>
      <c r="DLM22" t="s">
        <v>6984</v>
      </c>
      <c r="DLN22" t="s">
        <v>6984</v>
      </c>
      <c r="DLO22" t="s">
        <v>6984</v>
      </c>
      <c r="DLP22" t="s">
        <v>6984</v>
      </c>
      <c r="DLQ22" t="s">
        <v>6984</v>
      </c>
      <c r="DLR22" t="s">
        <v>6984</v>
      </c>
      <c r="DLS22" t="s">
        <v>6984</v>
      </c>
      <c r="DLT22" t="s">
        <v>6984</v>
      </c>
      <c r="DLU22" t="s">
        <v>6984</v>
      </c>
      <c r="DLV22" t="s">
        <v>6984</v>
      </c>
      <c r="DLW22" t="s">
        <v>6984</v>
      </c>
      <c r="DLX22" t="s">
        <v>6984</v>
      </c>
      <c r="DLY22" t="s">
        <v>6984</v>
      </c>
      <c r="DLZ22" t="s">
        <v>6984</v>
      </c>
      <c r="DMA22" t="s">
        <v>6984</v>
      </c>
      <c r="DMB22" t="s">
        <v>6984</v>
      </c>
      <c r="DMC22" t="s">
        <v>6984</v>
      </c>
      <c r="DMD22" t="s">
        <v>6984</v>
      </c>
      <c r="DME22" t="s">
        <v>6984</v>
      </c>
      <c r="DMF22" t="s">
        <v>6984</v>
      </c>
      <c r="DMG22" t="s">
        <v>6984</v>
      </c>
      <c r="DMH22" t="s">
        <v>6984</v>
      </c>
      <c r="DMI22" t="s">
        <v>6984</v>
      </c>
      <c r="DMJ22" t="s">
        <v>6984</v>
      </c>
      <c r="DMK22" t="s">
        <v>6984</v>
      </c>
      <c r="DML22" t="s">
        <v>6984</v>
      </c>
      <c r="DMM22" t="s">
        <v>6984</v>
      </c>
      <c r="DMN22" t="s">
        <v>6984</v>
      </c>
      <c r="DMO22" t="s">
        <v>6984</v>
      </c>
      <c r="DMP22" t="s">
        <v>6984</v>
      </c>
      <c r="DMQ22" t="s">
        <v>6984</v>
      </c>
      <c r="DMR22" t="s">
        <v>6984</v>
      </c>
      <c r="DMS22" t="s">
        <v>6984</v>
      </c>
      <c r="DMT22" t="s">
        <v>6984</v>
      </c>
      <c r="DMU22" t="s">
        <v>6984</v>
      </c>
      <c r="DMV22" t="s">
        <v>6984</v>
      </c>
      <c r="DMW22" t="s">
        <v>6984</v>
      </c>
      <c r="DMX22" t="s">
        <v>6984</v>
      </c>
      <c r="DMY22" t="s">
        <v>6984</v>
      </c>
      <c r="DMZ22" t="s">
        <v>6984</v>
      </c>
      <c r="DNA22" t="s">
        <v>6984</v>
      </c>
      <c r="DNB22" t="s">
        <v>6984</v>
      </c>
      <c r="DNC22" t="s">
        <v>6984</v>
      </c>
      <c r="DND22" t="s">
        <v>6984</v>
      </c>
      <c r="DNE22" t="s">
        <v>6984</v>
      </c>
      <c r="DNF22" t="s">
        <v>6984</v>
      </c>
      <c r="DNG22" t="s">
        <v>6984</v>
      </c>
      <c r="DNH22" t="s">
        <v>6984</v>
      </c>
      <c r="DNI22" t="s">
        <v>6984</v>
      </c>
      <c r="DNJ22" t="s">
        <v>6984</v>
      </c>
      <c r="DNK22" t="s">
        <v>6984</v>
      </c>
      <c r="DNL22" t="s">
        <v>6984</v>
      </c>
      <c r="DNM22" t="s">
        <v>6984</v>
      </c>
      <c r="DNN22" t="s">
        <v>6984</v>
      </c>
      <c r="DNO22" t="s">
        <v>6984</v>
      </c>
      <c r="DNP22" t="s">
        <v>6984</v>
      </c>
      <c r="DNQ22" t="s">
        <v>6984</v>
      </c>
      <c r="DNR22" t="s">
        <v>6984</v>
      </c>
      <c r="DNS22" t="s">
        <v>6984</v>
      </c>
      <c r="DNT22" t="s">
        <v>6984</v>
      </c>
      <c r="DNU22" t="s">
        <v>6984</v>
      </c>
      <c r="DNV22" t="s">
        <v>6984</v>
      </c>
      <c r="DNW22" t="s">
        <v>6984</v>
      </c>
      <c r="DNX22" t="s">
        <v>6984</v>
      </c>
      <c r="DNY22" t="s">
        <v>6984</v>
      </c>
      <c r="DNZ22" t="s">
        <v>6984</v>
      </c>
      <c r="DOA22" t="s">
        <v>6984</v>
      </c>
      <c r="DOB22" t="s">
        <v>6984</v>
      </c>
      <c r="DOC22" t="s">
        <v>6984</v>
      </c>
      <c r="DOD22" t="s">
        <v>6984</v>
      </c>
      <c r="DOE22" t="s">
        <v>6984</v>
      </c>
      <c r="DOF22" t="s">
        <v>6984</v>
      </c>
      <c r="DOG22" t="s">
        <v>6984</v>
      </c>
      <c r="DOH22" t="s">
        <v>6984</v>
      </c>
      <c r="DOI22" t="s">
        <v>6984</v>
      </c>
      <c r="DOJ22" t="s">
        <v>6984</v>
      </c>
      <c r="DOK22" t="s">
        <v>6984</v>
      </c>
      <c r="DOL22" t="s">
        <v>6984</v>
      </c>
      <c r="DOM22" t="s">
        <v>6984</v>
      </c>
      <c r="DON22" t="s">
        <v>6984</v>
      </c>
      <c r="DOO22" t="s">
        <v>6984</v>
      </c>
      <c r="DOP22" t="s">
        <v>6984</v>
      </c>
      <c r="DOQ22" t="s">
        <v>6984</v>
      </c>
      <c r="DOR22" t="s">
        <v>6984</v>
      </c>
      <c r="DOS22" t="s">
        <v>6984</v>
      </c>
      <c r="DOT22" t="s">
        <v>6984</v>
      </c>
      <c r="DOU22" t="s">
        <v>6984</v>
      </c>
      <c r="DOV22" t="s">
        <v>6984</v>
      </c>
      <c r="DOW22" t="s">
        <v>6984</v>
      </c>
      <c r="DOX22" t="s">
        <v>6984</v>
      </c>
      <c r="DOY22" t="s">
        <v>6984</v>
      </c>
      <c r="DOZ22" t="s">
        <v>6984</v>
      </c>
      <c r="DPA22" t="s">
        <v>6984</v>
      </c>
      <c r="DPB22" t="s">
        <v>6984</v>
      </c>
      <c r="DPC22" t="s">
        <v>6984</v>
      </c>
      <c r="DPD22" t="s">
        <v>6984</v>
      </c>
      <c r="DPE22" t="s">
        <v>6984</v>
      </c>
      <c r="DPF22" t="s">
        <v>6984</v>
      </c>
      <c r="DPG22" t="s">
        <v>6984</v>
      </c>
      <c r="DPH22" t="s">
        <v>6984</v>
      </c>
      <c r="DPI22" t="s">
        <v>6984</v>
      </c>
      <c r="DPJ22" t="s">
        <v>6984</v>
      </c>
      <c r="DPK22" t="s">
        <v>6984</v>
      </c>
      <c r="DPL22" t="s">
        <v>6984</v>
      </c>
      <c r="DPM22" t="s">
        <v>6984</v>
      </c>
      <c r="DPN22" t="s">
        <v>6984</v>
      </c>
      <c r="DPO22" t="s">
        <v>6984</v>
      </c>
      <c r="DPP22" t="s">
        <v>6984</v>
      </c>
      <c r="DPQ22" t="s">
        <v>6984</v>
      </c>
      <c r="DPR22" t="s">
        <v>6984</v>
      </c>
      <c r="DPS22" t="s">
        <v>6984</v>
      </c>
      <c r="DPT22" t="s">
        <v>6984</v>
      </c>
      <c r="DPU22" t="s">
        <v>6984</v>
      </c>
      <c r="DPV22" t="s">
        <v>6984</v>
      </c>
      <c r="DPW22" t="s">
        <v>6984</v>
      </c>
      <c r="DPX22" t="s">
        <v>6984</v>
      </c>
      <c r="DPY22" t="s">
        <v>6984</v>
      </c>
      <c r="DPZ22" t="s">
        <v>6984</v>
      </c>
      <c r="DQA22" t="s">
        <v>6984</v>
      </c>
      <c r="DQB22" t="s">
        <v>6984</v>
      </c>
      <c r="DQC22" t="s">
        <v>6984</v>
      </c>
      <c r="DQD22" t="s">
        <v>6984</v>
      </c>
      <c r="DQE22" t="s">
        <v>6984</v>
      </c>
      <c r="DQF22" t="s">
        <v>6984</v>
      </c>
      <c r="DQG22" t="s">
        <v>6984</v>
      </c>
      <c r="DQH22" t="s">
        <v>6984</v>
      </c>
      <c r="DQI22" t="s">
        <v>6984</v>
      </c>
      <c r="DQJ22" t="s">
        <v>6984</v>
      </c>
      <c r="DQK22" t="s">
        <v>6984</v>
      </c>
      <c r="DQL22" t="s">
        <v>6984</v>
      </c>
      <c r="DQM22" t="s">
        <v>6984</v>
      </c>
      <c r="DQN22" t="s">
        <v>6984</v>
      </c>
      <c r="DQO22" t="s">
        <v>6984</v>
      </c>
      <c r="DQP22" t="s">
        <v>6984</v>
      </c>
      <c r="DQQ22" t="s">
        <v>6984</v>
      </c>
      <c r="DQR22" t="s">
        <v>6984</v>
      </c>
      <c r="DQS22" t="s">
        <v>6984</v>
      </c>
      <c r="DQT22" t="s">
        <v>6984</v>
      </c>
      <c r="DQU22" t="s">
        <v>6984</v>
      </c>
      <c r="DQV22" t="s">
        <v>6984</v>
      </c>
      <c r="DQW22" t="s">
        <v>6984</v>
      </c>
      <c r="DQX22" t="s">
        <v>6984</v>
      </c>
      <c r="DQY22" t="s">
        <v>6984</v>
      </c>
      <c r="DQZ22" t="s">
        <v>6984</v>
      </c>
      <c r="DRA22" t="s">
        <v>6984</v>
      </c>
      <c r="DRB22" t="s">
        <v>6984</v>
      </c>
      <c r="DRC22" t="s">
        <v>6984</v>
      </c>
      <c r="DRD22" t="s">
        <v>6984</v>
      </c>
      <c r="DRE22" t="s">
        <v>6984</v>
      </c>
      <c r="DRF22" t="s">
        <v>6984</v>
      </c>
      <c r="DRG22" t="s">
        <v>6984</v>
      </c>
      <c r="DRH22" t="s">
        <v>6984</v>
      </c>
      <c r="DRI22" t="s">
        <v>6984</v>
      </c>
      <c r="DRJ22" t="s">
        <v>6984</v>
      </c>
      <c r="DRK22" t="s">
        <v>6984</v>
      </c>
      <c r="DRL22" t="s">
        <v>6984</v>
      </c>
      <c r="DRM22" t="s">
        <v>6984</v>
      </c>
      <c r="DRN22" t="s">
        <v>6984</v>
      </c>
      <c r="DRO22" t="s">
        <v>6984</v>
      </c>
      <c r="DRP22" t="s">
        <v>6984</v>
      </c>
      <c r="DRQ22" t="s">
        <v>6984</v>
      </c>
      <c r="DRR22" t="s">
        <v>6984</v>
      </c>
      <c r="DRS22" t="s">
        <v>6984</v>
      </c>
      <c r="DRT22" t="s">
        <v>6984</v>
      </c>
      <c r="DRU22" t="s">
        <v>6984</v>
      </c>
      <c r="DRV22" t="s">
        <v>6984</v>
      </c>
      <c r="DRW22" t="s">
        <v>6984</v>
      </c>
      <c r="DRX22" t="s">
        <v>6984</v>
      </c>
      <c r="DRY22" t="s">
        <v>6984</v>
      </c>
      <c r="DRZ22" t="s">
        <v>6984</v>
      </c>
      <c r="DSA22" t="s">
        <v>6984</v>
      </c>
      <c r="DSB22" t="s">
        <v>6984</v>
      </c>
      <c r="DSC22" t="s">
        <v>6984</v>
      </c>
      <c r="DSD22" t="s">
        <v>6984</v>
      </c>
      <c r="DSE22" t="s">
        <v>6984</v>
      </c>
      <c r="DSF22" t="s">
        <v>6984</v>
      </c>
      <c r="DSG22" t="s">
        <v>6984</v>
      </c>
      <c r="DSH22" t="s">
        <v>6984</v>
      </c>
      <c r="DSI22" t="s">
        <v>6984</v>
      </c>
      <c r="DSJ22" t="s">
        <v>6984</v>
      </c>
      <c r="DSK22" t="s">
        <v>6984</v>
      </c>
      <c r="DSL22" t="s">
        <v>6984</v>
      </c>
      <c r="DSM22" t="s">
        <v>6984</v>
      </c>
      <c r="DSN22" t="s">
        <v>6984</v>
      </c>
      <c r="DSO22" t="s">
        <v>6984</v>
      </c>
      <c r="DSP22" t="s">
        <v>6984</v>
      </c>
      <c r="DSQ22" t="s">
        <v>6984</v>
      </c>
      <c r="DSR22" t="s">
        <v>6984</v>
      </c>
      <c r="DSS22" t="s">
        <v>6984</v>
      </c>
      <c r="DST22" t="s">
        <v>6984</v>
      </c>
      <c r="DSU22" t="s">
        <v>6984</v>
      </c>
      <c r="DSV22" t="s">
        <v>6984</v>
      </c>
      <c r="DSW22" t="s">
        <v>6984</v>
      </c>
      <c r="DSX22" t="s">
        <v>6984</v>
      </c>
      <c r="DSY22" t="s">
        <v>6984</v>
      </c>
      <c r="DSZ22" t="s">
        <v>6984</v>
      </c>
      <c r="DTA22" t="s">
        <v>6984</v>
      </c>
      <c r="DTB22" t="s">
        <v>6984</v>
      </c>
      <c r="DTC22" t="s">
        <v>6984</v>
      </c>
      <c r="DTD22" t="s">
        <v>6984</v>
      </c>
      <c r="DTE22" t="s">
        <v>6984</v>
      </c>
      <c r="DTF22" t="s">
        <v>6984</v>
      </c>
      <c r="DTG22" t="s">
        <v>6984</v>
      </c>
      <c r="DTH22" t="s">
        <v>6984</v>
      </c>
      <c r="DTI22" t="s">
        <v>6984</v>
      </c>
      <c r="DTJ22" t="s">
        <v>6984</v>
      </c>
      <c r="DTK22" t="s">
        <v>6984</v>
      </c>
      <c r="DTL22" t="s">
        <v>6984</v>
      </c>
      <c r="DTM22" t="s">
        <v>6984</v>
      </c>
      <c r="DTN22" t="s">
        <v>6984</v>
      </c>
      <c r="DTO22" t="s">
        <v>6984</v>
      </c>
      <c r="DTP22" t="s">
        <v>6984</v>
      </c>
      <c r="DTQ22" t="s">
        <v>6984</v>
      </c>
      <c r="DTR22" t="s">
        <v>6984</v>
      </c>
      <c r="DTS22" t="s">
        <v>6984</v>
      </c>
      <c r="DTT22" t="s">
        <v>6984</v>
      </c>
      <c r="DTU22" t="s">
        <v>6984</v>
      </c>
      <c r="DTV22" t="s">
        <v>6984</v>
      </c>
      <c r="DTW22" t="s">
        <v>6984</v>
      </c>
      <c r="DTX22" t="s">
        <v>6984</v>
      </c>
      <c r="DTY22" t="s">
        <v>6984</v>
      </c>
      <c r="DTZ22" t="s">
        <v>6984</v>
      </c>
      <c r="DUA22" t="s">
        <v>6984</v>
      </c>
      <c r="DUB22" t="s">
        <v>6984</v>
      </c>
      <c r="DUC22" t="s">
        <v>6984</v>
      </c>
      <c r="DUD22" t="s">
        <v>6984</v>
      </c>
      <c r="DUE22" t="s">
        <v>6984</v>
      </c>
      <c r="DUF22" t="s">
        <v>6984</v>
      </c>
      <c r="DUG22" t="s">
        <v>6984</v>
      </c>
      <c r="DUH22" t="s">
        <v>6984</v>
      </c>
      <c r="DUI22" t="s">
        <v>6984</v>
      </c>
      <c r="DUJ22" t="s">
        <v>6984</v>
      </c>
      <c r="DUK22" t="s">
        <v>6984</v>
      </c>
      <c r="DUL22" t="s">
        <v>6984</v>
      </c>
      <c r="DUM22" t="s">
        <v>6984</v>
      </c>
      <c r="DUN22" t="s">
        <v>6984</v>
      </c>
      <c r="DUO22" t="s">
        <v>6984</v>
      </c>
      <c r="DUP22" t="s">
        <v>6984</v>
      </c>
      <c r="DUQ22" t="s">
        <v>6984</v>
      </c>
      <c r="DUR22" t="s">
        <v>6984</v>
      </c>
      <c r="DUS22" t="s">
        <v>6984</v>
      </c>
      <c r="DUT22" t="s">
        <v>6984</v>
      </c>
      <c r="DUU22" t="s">
        <v>6984</v>
      </c>
      <c r="DUV22" t="s">
        <v>6984</v>
      </c>
      <c r="DUW22" t="s">
        <v>6984</v>
      </c>
      <c r="DUX22" t="s">
        <v>6984</v>
      </c>
      <c r="DUY22" t="s">
        <v>6984</v>
      </c>
      <c r="DUZ22" t="s">
        <v>6984</v>
      </c>
      <c r="DVA22" t="s">
        <v>6984</v>
      </c>
      <c r="DVB22" t="s">
        <v>6984</v>
      </c>
      <c r="DVC22" t="s">
        <v>6984</v>
      </c>
      <c r="DVD22" t="s">
        <v>6984</v>
      </c>
      <c r="DVE22" t="s">
        <v>6984</v>
      </c>
      <c r="DVF22" t="s">
        <v>6984</v>
      </c>
      <c r="DVG22" t="s">
        <v>6984</v>
      </c>
      <c r="DVH22" t="s">
        <v>6984</v>
      </c>
      <c r="DVI22" t="s">
        <v>6984</v>
      </c>
      <c r="DVJ22" t="s">
        <v>6984</v>
      </c>
      <c r="DVK22" t="s">
        <v>6984</v>
      </c>
      <c r="DVL22" t="s">
        <v>6984</v>
      </c>
      <c r="DVM22" t="s">
        <v>6984</v>
      </c>
      <c r="DVN22" t="s">
        <v>6984</v>
      </c>
      <c r="DVO22" t="s">
        <v>6984</v>
      </c>
      <c r="DVP22" t="s">
        <v>6984</v>
      </c>
      <c r="DVQ22" t="s">
        <v>6984</v>
      </c>
      <c r="DVR22" t="s">
        <v>6984</v>
      </c>
      <c r="DVS22" t="s">
        <v>6984</v>
      </c>
      <c r="DVT22" t="s">
        <v>6984</v>
      </c>
      <c r="DVU22" t="s">
        <v>6984</v>
      </c>
      <c r="DVV22" t="s">
        <v>6984</v>
      </c>
      <c r="DVW22" t="s">
        <v>6984</v>
      </c>
      <c r="DVX22" t="s">
        <v>6984</v>
      </c>
      <c r="DVY22" t="s">
        <v>6984</v>
      </c>
      <c r="DVZ22" t="s">
        <v>6984</v>
      </c>
      <c r="DWA22" t="s">
        <v>6984</v>
      </c>
      <c r="DWB22" t="s">
        <v>6984</v>
      </c>
      <c r="DWC22" t="s">
        <v>6984</v>
      </c>
      <c r="DWD22" t="s">
        <v>6984</v>
      </c>
      <c r="DWE22" t="s">
        <v>6984</v>
      </c>
      <c r="DWF22" t="s">
        <v>6984</v>
      </c>
      <c r="DWG22" t="s">
        <v>6984</v>
      </c>
      <c r="DWH22" t="s">
        <v>6984</v>
      </c>
      <c r="DWI22" t="s">
        <v>6984</v>
      </c>
      <c r="DWJ22" t="s">
        <v>6984</v>
      </c>
      <c r="DWK22" t="s">
        <v>6984</v>
      </c>
      <c r="DWL22" t="s">
        <v>6984</v>
      </c>
      <c r="DWM22" t="s">
        <v>6984</v>
      </c>
      <c r="DWN22" t="s">
        <v>6984</v>
      </c>
      <c r="DWO22" t="s">
        <v>6984</v>
      </c>
      <c r="DWP22" t="s">
        <v>6984</v>
      </c>
      <c r="DWQ22" t="s">
        <v>6984</v>
      </c>
      <c r="DWR22" t="s">
        <v>6984</v>
      </c>
      <c r="DWS22" t="s">
        <v>6984</v>
      </c>
      <c r="DWT22" t="s">
        <v>6984</v>
      </c>
      <c r="DWU22" t="s">
        <v>6984</v>
      </c>
      <c r="DWV22" t="s">
        <v>6984</v>
      </c>
      <c r="DWW22" t="s">
        <v>6984</v>
      </c>
      <c r="DWX22" t="s">
        <v>6984</v>
      </c>
      <c r="DWY22" t="s">
        <v>6984</v>
      </c>
      <c r="DWZ22" t="s">
        <v>6984</v>
      </c>
      <c r="DXA22" t="s">
        <v>6984</v>
      </c>
      <c r="DXB22" t="s">
        <v>6984</v>
      </c>
      <c r="DXC22" t="s">
        <v>6984</v>
      </c>
      <c r="DXD22" t="s">
        <v>6984</v>
      </c>
      <c r="DXE22" t="s">
        <v>6984</v>
      </c>
      <c r="DXF22" t="s">
        <v>6984</v>
      </c>
      <c r="DXG22" t="s">
        <v>6984</v>
      </c>
      <c r="DXH22" t="s">
        <v>6984</v>
      </c>
      <c r="DXI22" t="s">
        <v>6984</v>
      </c>
      <c r="DXJ22" t="s">
        <v>6984</v>
      </c>
      <c r="DXK22" t="s">
        <v>6984</v>
      </c>
      <c r="DXL22" t="s">
        <v>6984</v>
      </c>
      <c r="DXM22" t="s">
        <v>6984</v>
      </c>
      <c r="DXN22" t="s">
        <v>6984</v>
      </c>
      <c r="DXO22" t="s">
        <v>6984</v>
      </c>
      <c r="DXP22" t="s">
        <v>6984</v>
      </c>
      <c r="DXQ22" t="s">
        <v>6984</v>
      </c>
      <c r="DXR22" t="s">
        <v>6984</v>
      </c>
      <c r="DXS22" t="s">
        <v>6984</v>
      </c>
      <c r="DXT22" t="s">
        <v>6984</v>
      </c>
      <c r="DXU22" t="s">
        <v>6984</v>
      </c>
      <c r="DXV22" t="s">
        <v>6984</v>
      </c>
      <c r="DXW22" t="s">
        <v>6984</v>
      </c>
      <c r="DXX22" t="s">
        <v>6984</v>
      </c>
      <c r="DXY22" t="s">
        <v>6984</v>
      </c>
      <c r="DXZ22" t="s">
        <v>6984</v>
      </c>
      <c r="DYA22" t="s">
        <v>6984</v>
      </c>
      <c r="DYB22" t="s">
        <v>6984</v>
      </c>
      <c r="DYC22" t="s">
        <v>6984</v>
      </c>
      <c r="DYD22" t="s">
        <v>6984</v>
      </c>
      <c r="DYE22" t="s">
        <v>6984</v>
      </c>
      <c r="DYF22" t="s">
        <v>6984</v>
      </c>
      <c r="DYG22" t="s">
        <v>6984</v>
      </c>
      <c r="DYH22" t="s">
        <v>6984</v>
      </c>
      <c r="DYI22" t="s">
        <v>6984</v>
      </c>
      <c r="DYJ22" t="s">
        <v>6984</v>
      </c>
      <c r="DYK22" t="s">
        <v>6984</v>
      </c>
      <c r="DYL22" t="s">
        <v>6984</v>
      </c>
      <c r="DYM22" t="s">
        <v>6984</v>
      </c>
      <c r="DYN22" t="s">
        <v>6984</v>
      </c>
      <c r="DYO22" t="s">
        <v>6984</v>
      </c>
      <c r="DYP22" t="s">
        <v>6984</v>
      </c>
      <c r="DYQ22" t="s">
        <v>6984</v>
      </c>
      <c r="DYR22" t="s">
        <v>6984</v>
      </c>
      <c r="DYS22" t="s">
        <v>6984</v>
      </c>
      <c r="DYT22" t="s">
        <v>6984</v>
      </c>
      <c r="DYU22" t="s">
        <v>6984</v>
      </c>
      <c r="DYV22" t="s">
        <v>6984</v>
      </c>
      <c r="DYW22" t="s">
        <v>6984</v>
      </c>
      <c r="DYX22" t="s">
        <v>6984</v>
      </c>
      <c r="DYY22" t="s">
        <v>6984</v>
      </c>
      <c r="DYZ22" t="s">
        <v>6984</v>
      </c>
      <c r="DZA22" t="s">
        <v>6984</v>
      </c>
      <c r="DZB22" t="s">
        <v>6984</v>
      </c>
      <c r="DZC22" t="s">
        <v>6984</v>
      </c>
      <c r="DZD22" t="s">
        <v>6984</v>
      </c>
      <c r="DZE22" t="s">
        <v>6984</v>
      </c>
      <c r="DZF22" t="s">
        <v>6984</v>
      </c>
      <c r="DZG22" t="s">
        <v>6984</v>
      </c>
      <c r="DZH22" t="s">
        <v>6984</v>
      </c>
      <c r="DZI22" t="s">
        <v>6984</v>
      </c>
      <c r="DZJ22" t="s">
        <v>6984</v>
      </c>
      <c r="DZK22" t="s">
        <v>6984</v>
      </c>
      <c r="DZL22" t="s">
        <v>6984</v>
      </c>
      <c r="DZM22" t="s">
        <v>6984</v>
      </c>
      <c r="DZN22" t="s">
        <v>6984</v>
      </c>
      <c r="DZO22" t="s">
        <v>6984</v>
      </c>
      <c r="DZP22" t="s">
        <v>6984</v>
      </c>
      <c r="DZQ22" t="s">
        <v>6984</v>
      </c>
      <c r="DZR22" t="s">
        <v>6984</v>
      </c>
      <c r="DZS22" t="s">
        <v>6984</v>
      </c>
      <c r="DZT22" t="s">
        <v>6984</v>
      </c>
      <c r="DZU22" t="s">
        <v>6984</v>
      </c>
      <c r="DZV22" t="s">
        <v>6984</v>
      </c>
      <c r="DZW22" t="s">
        <v>6984</v>
      </c>
      <c r="DZX22" t="s">
        <v>6984</v>
      </c>
      <c r="DZY22" t="s">
        <v>6984</v>
      </c>
      <c r="DZZ22" t="s">
        <v>6984</v>
      </c>
      <c r="EAA22" t="s">
        <v>6984</v>
      </c>
      <c r="EAB22" t="s">
        <v>6984</v>
      </c>
      <c r="EAC22" t="s">
        <v>6984</v>
      </c>
      <c r="EAD22" t="s">
        <v>6984</v>
      </c>
      <c r="EAE22" t="s">
        <v>6984</v>
      </c>
      <c r="EAF22" t="s">
        <v>6984</v>
      </c>
      <c r="EAG22" t="s">
        <v>6984</v>
      </c>
      <c r="EAH22" t="s">
        <v>6984</v>
      </c>
      <c r="EAI22" t="s">
        <v>6984</v>
      </c>
      <c r="EAJ22" t="s">
        <v>6984</v>
      </c>
      <c r="EAK22" t="s">
        <v>6984</v>
      </c>
      <c r="EAL22" t="s">
        <v>6984</v>
      </c>
      <c r="EAM22" t="s">
        <v>6984</v>
      </c>
      <c r="EAN22" t="s">
        <v>6984</v>
      </c>
      <c r="EAO22" t="s">
        <v>6984</v>
      </c>
      <c r="EAP22" t="s">
        <v>6984</v>
      </c>
      <c r="EAQ22" t="s">
        <v>6984</v>
      </c>
      <c r="EAR22" t="s">
        <v>6984</v>
      </c>
      <c r="EAS22" t="s">
        <v>6984</v>
      </c>
      <c r="EAT22" t="s">
        <v>6984</v>
      </c>
      <c r="EAU22" t="s">
        <v>6984</v>
      </c>
      <c r="EAV22" t="s">
        <v>6984</v>
      </c>
      <c r="EAW22" t="s">
        <v>6984</v>
      </c>
      <c r="EAX22" t="s">
        <v>6984</v>
      </c>
      <c r="EAY22" t="s">
        <v>6984</v>
      </c>
      <c r="EAZ22" t="s">
        <v>6984</v>
      </c>
      <c r="EBA22" t="s">
        <v>6984</v>
      </c>
      <c r="EBB22" t="s">
        <v>6984</v>
      </c>
      <c r="EBC22" t="s">
        <v>6984</v>
      </c>
      <c r="EBD22" t="s">
        <v>6984</v>
      </c>
      <c r="EBE22" t="s">
        <v>6984</v>
      </c>
      <c r="EBF22" t="s">
        <v>6984</v>
      </c>
      <c r="EBG22" t="s">
        <v>6984</v>
      </c>
      <c r="EBH22" t="s">
        <v>6984</v>
      </c>
      <c r="EBI22" t="s">
        <v>6984</v>
      </c>
      <c r="EBJ22" t="s">
        <v>6984</v>
      </c>
      <c r="EBK22" t="s">
        <v>6984</v>
      </c>
      <c r="EBL22" t="s">
        <v>6984</v>
      </c>
      <c r="EBM22" t="s">
        <v>6984</v>
      </c>
      <c r="EBN22" t="s">
        <v>6984</v>
      </c>
      <c r="EBO22" t="s">
        <v>6984</v>
      </c>
      <c r="EBP22" t="s">
        <v>6984</v>
      </c>
      <c r="EBQ22" t="s">
        <v>6984</v>
      </c>
      <c r="EBR22" t="s">
        <v>6984</v>
      </c>
      <c r="EBS22" t="s">
        <v>6984</v>
      </c>
      <c r="EBT22" t="s">
        <v>6984</v>
      </c>
      <c r="EBU22" t="s">
        <v>6984</v>
      </c>
      <c r="EBV22" t="s">
        <v>6984</v>
      </c>
      <c r="EBW22" t="s">
        <v>6984</v>
      </c>
      <c r="EBX22" t="s">
        <v>6984</v>
      </c>
      <c r="EBY22" t="s">
        <v>6984</v>
      </c>
      <c r="EBZ22" t="s">
        <v>6984</v>
      </c>
      <c r="ECA22" t="s">
        <v>6984</v>
      </c>
      <c r="ECB22" t="s">
        <v>6984</v>
      </c>
      <c r="ECC22" t="s">
        <v>6984</v>
      </c>
      <c r="ECD22" t="s">
        <v>6984</v>
      </c>
      <c r="ECE22" t="s">
        <v>6984</v>
      </c>
      <c r="ECF22" t="s">
        <v>6984</v>
      </c>
      <c r="ECG22" t="s">
        <v>6984</v>
      </c>
      <c r="ECH22" t="s">
        <v>6984</v>
      </c>
      <c r="ECI22" t="s">
        <v>6984</v>
      </c>
      <c r="ECJ22" t="s">
        <v>6984</v>
      </c>
      <c r="ECK22" t="s">
        <v>6984</v>
      </c>
      <c r="ECL22" t="s">
        <v>6984</v>
      </c>
      <c r="ECM22" t="s">
        <v>6984</v>
      </c>
      <c r="ECN22" t="s">
        <v>6984</v>
      </c>
      <c r="ECO22" t="s">
        <v>6984</v>
      </c>
      <c r="ECP22" t="s">
        <v>6984</v>
      </c>
      <c r="ECQ22" t="s">
        <v>6984</v>
      </c>
      <c r="ECR22" t="s">
        <v>6984</v>
      </c>
      <c r="ECS22" t="s">
        <v>6984</v>
      </c>
      <c r="ECT22" t="s">
        <v>6984</v>
      </c>
      <c r="ECU22" t="s">
        <v>6984</v>
      </c>
      <c r="ECV22" t="s">
        <v>6984</v>
      </c>
      <c r="ECW22" t="s">
        <v>6984</v>
      </c>
      <c r="ECX22" t="s">
        <v>6984</v>
      </c>
      <c r="ECY22" t="s">
        <v>6984</v>
      </c>
      <c r="ECZ22" t="s">
        <v>6984</v>
      </c>
      <c r="EDA22" t="s">
        <v>6984</v>
      </c>
      <c r="EDB22" t="s">
        <v>6984</v>
      </c>
      <c r="EDC22" t="s">
        <v>6984</v>
      </c>
      <c r="EDD22" t="s">
        <v>6984</v>
      </c>
      <c r="EDE22" t="s">
        <v>6984</v>
      </c>
      <c r="EDF22" t="s">
        <v>6984</v>
      </c>
      <c r="EDG22" t="s">
        <v>6984</v>
      </c>
      <c r="EDH22" t="s">
        <v>6984</v>
      </c>
      <c r="EDI22" t="s">
        <v>6984</v>
      </c>
      <c r="EDJ22" t="s">
        <v>6984</v>
      </c>
      <c r="EDK22" t="s">
        <v>6984</v>
      </c>
      <c r="EDL22" t="s">
        <v>6984</v>
      </c>
      <c r="EDM22" t="s">
        <v>6984</v>
      </c>
      <c r="EDN22" t="s">
        <v>6984</v>
      </c>
      <c r="EDO22" t="s">
        <v>6984</v>
      </c>
      <c r="EDP22" t="s">
        <v>6984</v>
      </c>
      <c r="EDQ22" t="s">
        <v>6984</v>
      </c>
      <c r="EDR22" t="s">
        <v>6984</v>
      </c>
      <c r="EDS22" t="s">
        <v>6984</v>
      </c>
      <c r="EDT22" t="s">
        <v>6984</v>
      </c>
      <c r="EDU22" t="s">
        <v>6984</v>
      </c>
      <c r="EDV22" t="s">
        <v>6984</v>
      </c>
      <c r="EDW22" t="s">
        <v>6984</v>
      </c>
      <c r="EDX22" t="s">
        <v>6984</v>
      </c>
      <c r="EDY22" t="s">
        <v>6984</v>
      </c>
      <c r="EDZ22" t="s">
        <v>6984</v>
      </c>
      <c r="EEA22" t="s">
        <v>6984</v>
      </c>
      <c r="EEB22" t="s">
        <v>6984</v>
      </c>
      <c r="EEC22" t="s">
        <v>6984</v>
      </c>
      <c r="EED22" t="s">
        <v>6984</v>
      </c>
      <c r="EEE22" t="s">
        <v>6984</v>
      </c>
      <c r="EEF22" t="s">
        <v>6984</v>
      </c>
      <c r="EEG22" t="s">
        <v>6984</v>
      </c>
      <c r="EEH22" t="s">
        <v>6984</v>
      </c>
      <c r="EEI22" t="s">
        <v>6984</v>
      </c>
      <c r="EEJ22" t="s">
        <v>6984</v>
      </c>
      <c r="EEK22" t="s">
        <v>6984</v>
      </c>
      <c r="EEL22" t="s">
        <v>6984</v>
      </c>
      <c r="EEM22" t="s">
        <v>6984</v>
      </c>
      <c r="EEN22" t="s">
        <v>6984</v>
      </c>
      <c r="EEO22" t="s">
        <v>6984</v>
      </c>
      <c r="EEP22" t="s">
        <v>6984</v>
      </c>
      <c r="EEQ22" t="s">
        <v>6984</v>
      </c>
      <c r="EER22" t="s">
        <v>6984</v>
      </c>
      <c r="EES22" t="s">
        <v>6984</v>
      </c>
      <c r="EET22" t="s">
        <v>6984</v>
      </c>
      <c r="EEU22" t="s">
        <v>6984</v>
      </c>
      <c r="EEV22" t="s">
        <v>6984</v>
      </c>
      <c r="EEW22" t="s">
        <v>6984</v>
      </c>
      <c r="EEX22" t="s">
        <v>6984</v>
      </c>
      <c r="EEY22" t="s">
        <v>6984</v>
      </c>
      <c r="EEZ22" t="s">
        <v>6984</v>
      </c>
      <c r="EFA22" t="s">
        <v>6984</v>
      </c>
      <c r="EFB22" t="s">
        <v>6984</v>
      </c>
      <c r="EFC22" t="s">
        <v>6984</v>
      </c>
      <c r="EFD22" t="s">
        <v>6984</v>
      </c>
      <c r="EFE22" t="s">
        <v>6984</v>
      </c>
      <c r="EFF22" t="s">
        <v>6984</v>
      </c>
      <c r="EFG22" t="s">
        <v>6984</v>
      </c>
      <c r="EFH22" t="s">
        <v>6984</v>
      </c>
      <c r="EFI22" t="s">
        <v>6984</v>
      </c>
      <c r="EFJ22" t="s">
        <v>6984</v>
      </c>
      <c r="EFK22" t="s">
        <v>6984</v>
      </c>
      <c r="EFL22" t="s">
        <v>6984</v>
      </c>
      <c r="EFM22" t="s">
        <v>6984</v>
      </c>
      <c r="EFN22" t="s">
        <v>6984</v>
      </c>
      <c r="EFO22" t="s">
        <v>6984</v>
      </c>
      <c r="EFP22" t="s">
        <v>6984</v>
      </c>
      <c r="EFQ22" t="s">
        <v>6984</v>
      </c>
      <c r="EFR22" t="s">
        <v>6984</v>
      </c>
      <c r="EFS22" t="s">
        <v>6984</v>
      </c>
      <c r="EFT22" t="s">
        <v>6984</v>
      </c>
      <c r="EFU22" t="s">
        <v>6984</v>
      </c>
      <c r="EFV22" t="s">
        <v>6984</v>
      </c>
      <c r="EFW22" t="s">
        <v>6984</v>
      </c>
      <c r="EFX22" t="s">
        <v>6984</v>
      </c>
      <c r="EFY22" t="s">
        <v>6984</v>
      </c>
      <c r="EFZ22" t="s">
        <v>6984</v>
      </c>
      <c r="EGA22" t="s">
        <v>6984</v>
      </c>
      <c r="EGB22" t="s">
        <v>6984</v>
      </c>
      <c r="EGC22" t="s">
        <v>6984</v>
      </c>
      <c r="EGD22" t="s">
        <v>6984</v>
      </c>
      <c r="EGE22" t="s">
        <v>6984</v>
      </c>
      <c r="EGF22" t="s">
        <v>6984</v>
      </c>
      <c r="EGG22" t="s">
        <v>6984</v>
      </c>
      <c r="EGH22" t="s">
        <v>6984</v>
      </c>
      <c r="EGI22" t="s">
        <v>6984</v>
      </c>
      <c r="EGJ22" t="s">
        <v>6984</v>
      </c>
      <c r="EGK22" t="s">
        <v>6984</v>
      </c>
      <c r="EGL22" t="s">
        <v>6984</v>
      </c>
      <c r="EGM22" t="s">
        <v>6984</v>
      </c>
      <c r="EGN22" t="s">
        <v>6984</v>
      </c>
      <c r="EGO22" t="s">
        <v>6984</v>
      </c>
      <c r="EGP22" t="s">
        <v>6984</v>
      </c>
      <c r="EGQ22" t="s">
        <v>6984</v>
      </c>
      <c r="EGR22" t="s">
        <v>6984</v>
      </c>
      <c r="EGS22" t="s">
        <v>6984</v>
      </c>
      <c r="EGT22" t="s">
        <v>6984</v>
      </c>
      <c r="EGU22" t="s">
        <v>6984</v>
      </c>
      <c r="EGV22" t="s">
        <v>6984</v>
      </c>
      <c r="EGW22" t="s">
        <v>6984</v>
      </c>
      <c r="EGX22" t="s">
        <v>6984</v>
      </c>
      <c r="EGY22" t="s">
        <v>6984</v>
      </c>
      <c r="EGZ22" t="s">
        <v>6984</v>
      </c>
      <c r="EHA22" t="s">
        <v>6984</v>
      </c>
      <c r="EHB22" t="s">
        <v>6984</v>
      </c>
      <c r="EHC22" t="s">
        <v>6984</v>
      </c>
      <c r="EHD22" t="s">
        <v>6984</v>
      </c>
      <c r="EHE22" t="s">
        <v>6984</v>
      </c>
      <c r="EHF22" t="s">
        <v>6984</v>
      </c>
      <c r="EHG22" t="s">
        <v>6984</v>
      </c>
      <c r="EHH22" t="s">
        <v>6984</v>
      </c>
      <c r="EHI22" t="s">
        <v>6984</v>
      </c>
      <c r="EHJ22" t="s">
        <v>6984</v>
      </c>
      <c r="EHK22" t="s">
        <v>6984</v>
      </c>
      <c r="EHL22" t="s">
        <v>6984</v>
      </c>
      <c r="EHM22" t="s">
        <v>6984</v>
      </c>
      <c r="EHN22" t="s">
        <v>6984</v>
      </c>
      <c r="EHO22" t="s">
        <v>6984</v>
      </c>
      <c r="EHP22" t="s">
        <v>6984</v>
      </c>
      <c r="EHQ22" t="s">
        <v>6984</v>
      </c>
      <c r="EHR22" t="s">
        <v>6984</v>
      </c>
      <c r="EHS22" t="s">
        <v>6984</v>
      </c>
      <c r="EHT22" t="s">
        <v>6984</v>
      </c>
      <c r="EHU22" t="s">
        <v>6984</v>
      </c>
      <c r="EHV22" t="s">
        <v>6984</v>
      </c>
      <c r="EHW22" t="s">
        <v>6984</v>
      </c>
      <c r="EHX22" t="s">
        <v>6984</v>
      </c>
      <c r="EHY22" t="s">
        <v>6984</v>
      </c>
      <c r="EHZ22" t="s">
        <v>6984</v>
      </c>
      <c r="EIA22" t="s">
        <v>6984</v>
      </c>
      <c r="EIB22" t="s">
        <v>6984</v>
      </c>
      <c r="EIC22" t="s">
        <v>6984</v>
      </c>
      <c r="EID22" t="s">
        <v>6984</v>
      </c>
      <c r="EIE22" t="s">
        <v>6984</v>
      </c>
      <c r="EIF22" t="s">
        <v>6984</v>
      </c>
      <c r="EIG22" t="s">
        <v>6984</v>
      </c>
      <c r="EIH22" t="s">
        <v>6984</v>
      </c>
      <c r="EII22" t="s">
        <v>6984</v>
      </c>
      <c r="EIJ22" t="s">
        <v>6984</v>
      </c>
      <c r="EIK22" t="s">
        <v>6984</v>
      </c>
      <c r="EIL22" t="s">
        <v>6984</v>
      </c>
      <c r="EIM22" t="s">
        <v>6984</v>
      </c>
      <c r="EIN22" t="s">
        <v>6984</v>
      </c>
      <c r="EIO22" t="s">
        <v>6984</v>
      </c>
      <c r="EIP22" t="s">
        <v>6984</v>
      </c>
      <c r="EIQ22" t="s">
        <v>6984</v>
      </c>
      <c r="EIR22" t="s">
        <v>6984</v>
      </c>
      <c r="EIS22" t="s">
        <v>6984</v>
      </c>
      <c r="EIT22" t="s">
        <v>6984</v>
      </c>
      <c r="EIU22" t="s">
        <v>6984</v>
      </c>
      <c r="EIV22" t="s">
        <v>6984</v>
      </c>
      <c r="EIW22" t="s">
        <v>6984</v>
      </c>
      <c r="EIX22" t="s">
        <v>6984</v>
      </c>
      <c r="EIY22" t="s">
        <v>6984</v>
      </c>
      <c r="EIZ22" t="s">
        <v>6984</v>
      </c>
      <c r="EJA22" t="s">
        <v>6984</v>
      </c>
      <c r="EJB22" t="s">
        <v>6984</v>
      </c>
      <c r="EJC22" t="s">
        <v>6984</v>
      </c>
      <c r="EJD22" t="s">
        <v>6984</v>
      </c>
      <c r="EJE22" t="s">
        <v>6984</v>
      </c>
      <c r="EJF22" t="s">
        <v>6984</v>
      </c>
      <c r="EJG22" t="s">
        <v>6984</v>
      </c>
      <c r="EJH22" t="s">
        <v>6984</v>
      </c>
      <c r="EJI22" t="s">
        <v>6984</v>
      </c>
      <c r="EJJ22" t="s">
        <v>6984</v>
      </c>
      <c r="EJK22" t="s">
        <v>6984</v>
      </c>
      <c r="EJL22" t="s">
        <v>6984</v>
      </c>
      <c r="EJM22" t="s">
        <v>6984</v>
      </c>
      <c r="EJN22" t="s">
        <v>6984</v>
      </c>
      <c r="EJO22" t="s">
        <v>6984</v>
      </c>
      <c r="EJP22" t="s">
        <v>6984</v>
      </c>
      <c r="EJQ22" t="s">
        <v>6984</v>
      </c>
      <c r="EJR22" t="s">
        <v>6984</v>
      </c>
      <c r="EJS22" t="s">
        <v>6984</v>
      </c>
      <c r="EJT22" t="s">
        <v>6984</v>
      </c>
      <c r="EJU22" t="s">
        <v>6984</v>
      </c>
      <c r="EJV22" t="s">
        <v>6984</v>
      </c>
      <c r="EJW22" t="s">
        <v>6984</v>
      </c>
      <c r="EJX22" t="s">
        <v>6984</v>
      </c>
      <c r="EJY22" t="s">
        <v>6984</v>
      </c>
      <c r="EJZ22" t="s">
        <v>6984</v>
      </c>
      <c r="EKA22" t="s">
        <v>6984</v>
      </c>
      <c r="EKB22" t="s">
        <v>6984</v>
      </c>
      <c r="EKC22" t="s">
        <v>6984</v>
      </c>
      <c r="EKD22" t="s">
        <v>6984</v>
      </c>
      <c r="EKE22" t="s">
        <v>6984</v>
      </c>
      <c r="EKF22" t="s">
        <v>6984</v>
      </c>
      <c r="EKG22" t="s">
        <v>6984</v>
      </c>
      <c r="EKH22" t="s">
        <v>6984</v>
      </c>
      <c r="EKI22" t="s">
        <v>6984</v>
      </c>
      <c r="EKJ22" t="s">
        <v>6984</v>
      </c>
      <c r="EKK22" t="s">
        <v>6984</v>
      </c>
      <c r="EKL22" t="s">
        <v>6984</v>
      </c>
      <c r="EKM22" t="s">
        <v>6984</v>
      </c>
      <c r="EKN22" t="s">
        <v>6984</v>
      </c>
      <c r="EKO22" t="s">
        <v>6984</v>
      </c>
      <c r="EKP22" t="s">
        <v>6984</v>
      </c>
      <c r="EKQ22" t="s">
        <v>6984</v>
      </c>
      <c r="EKR22" t="s">
        <v>6984</v>
      </c>
      <c r="EKS22" t="s">
        <v>6984</v>
      </c>
      <c r="EKT22" t="s">
        <v>6984</v>
      </c>
      <c r="EKU22" t="s">
        <v>6984</v>
      </c>
      <c r="EKV22" t="s">
        <v>6984</v>
      </c>
      <c r="EKW22" t="s">
        <v>6984</v>
      </c>
      <c r="EKX22" t="s">
        <v>6984</v>
      </c>
      <c r="EKY22" t="s">
        <v>6984</v>
      </c>
      <c r="EKZ22" t="s">
        <v>6984</v>
      </c>
      <c r="ELA22" t="s">
        <v>6984</v>
      </c>
      <c r="ELB22" t="s">
        <v>6984</v>
      </c>
      <c r="ELC22" t="s">
        <v>6984</v>
      </c>
      <c r="ELD22" t="s">
        <v>6984</v>
      </c>
      <c r="ELE22" t="s">
        <v>6984</v>
      </c>
      <c r="ELF22" t="s">
        <v>6984</v>
      </c>
      <c r="ELG22" t="s">
        <v>6984</v>
      </c>
      <c r="ELH22" t="s">
        <v>6984</v>
      </c>
      <c r="ELI22" t="s">
        <v>6984</v>
      </c>
      <c r="ELJ22" t="s">
        <v>6984</v>
      </c>
      <c r="ELK22" t="s">
        <v>6984</v>
      </c>
      <c r="ELL22" t="s">
        <v>6984</v>
      </c>
      <c r="ELM22" t="s">
        <v>6984</v>
      </c>
      <c r="ELN22" t="s">
        <v>6984</v>
      </c>
      <c r="ELO22" t="s">
        <v>6984</v>
      </c>
      <c r="ELP22" t="s">
        <v>6984</v>
      </c>
      <c r="ELQ22" t="s">
        <v>6984</v>
      </c>
      <c r="ELR22" t="s">
        <v>6984</v>
      </c>
      <c r="ELS22" t="s">
        <v>6984</v>
      </c>
      <c r="ELT22" t="s">
        <v>6984</v>
      </c>
      <c r="ELU22" t="s">
        <v>6984</v>
      </c>
      <c r="ELV22" t="s">
        <v>6984</v>
      </c>
      <c r="ELW22" t="s">
        <v>6984</v>
      </c>
      <c r="ELX22" t="s">
        <v>6984</v>
      </c>
      <c r="ELY22" t="s">
        <v>6984</v>
      </c>
      <c r="ELZ22" t="s">
        <v>6984</v>
      </c>
      <c r="EMA22" t="s">
        <v>6984</v>
      </c>
      <c r="EMB22" t="s">
        <v>6984</v>
      </c>
      <c r="EMC22" t="s">
        <v>6984</v>
      </c>
      <c r="EMD22" t="s">
        <v>6984</v>
      </c>
      <c r="EME22" t="s">
        <v>6984</v>
      </c>
      <c r="EMF22" t="s">
        <v>6984</v>
      </c>
      <c r="EMG22" t="s">
        <v>6984</v>
      </c>
      <c r="EMH22" t="s">
        <v>6984</v>
      </c>
      <c r="EMI22" t="s">
        <v>6984</v>
      </c>
      <c r="EMJ22" t="s">
        <v>6984</v>
      </c>
      <c r="EMK22" t="s">
        <v>6984</v>
      </c>
      <c r="EML22" t="s">
        <v>6984</v>
      </c>
      <c r="EMM22" t="s">
        <v>6984</v>
      </c>
      <c r="EMN22" t="s">
        <v>6984</v>
      </c>
      <c r="EMO22" t="s">
        <v>6984</v>
      </c>
      <c r="EMP22" t="s">
        <v>6984</v>
      </c>
      <c r="EMQ22" t="s">
        <v>6984</v>
      </c>
      <c r="EMR22" t="s">
        <v>6984</v>
      </c>
      <c r="EMS22" t="s">
        <v>6984</v>
      </c>
      <c r="EMT22" t="s">
        <v>6984</v>
      </c>
      <c r="EMU22" t="s">
        <v>6984</v>
      </c>
      <c r="EMV22" t="s">
        <v>6984</v>
      </c>
      <c r="EMW22" t="s">
        <v>6984</v>
      </c>
      <c r="EMX22" t="s">
        <v>6984</v>
      </c>
      <c r="EMY22" t="s">
        <v>6984</v>
      </c>
      <c r="EMZ22" t="s">
        <v>6984</v>
      </c>
      <c r="ENA22" t="s">
        <v>6984</v>
      </c>
      <c r="ENB22" t="s">
        <v>6984</v>
      </c>
      <c r="ENC22" t="s">
        <v>6984</v>
      </c>
      <c r="END22" t="s">
        <v>6984</v>
      </c>
      <c r="ENE22" t="s">
        <v>6984</v>
      </c>
      <c r="ENF22" t="s">
        <v>6984</v>
      </c>
      <c r="ENG22" t="s">
        <v>6984</v>
      </c>
      <c r="ENH22" t="s">
        <v>6984</v>
      </c>
      <c r="ENI22" t="s">
        <v>6984</v>
      </c>
      <c r="ENJ22" t="s">
        <v>6984</v>
      </c>
      <c r="ENK22" t="s">
        <v>6984</v>
      </c>
      <c r="ENL22" t="s">
        <v>6984</v>
      </c>
      <c r="ENM22" t="s">
        <v>6984</v>
      </c>
      <c r="ENN22" t="s">
        <v>6984</v>
      </c>
      <c r="ENO22" t="s">
        <v>6984</v>
      </c>
      <c r="ENP22" t="s">
        <v>6984</v>
      </c>
      <c r="ENQ22" t="s">
        <v>6984</v>
      </c>
      <c r="ENR22" t="s">
        <v>6984</v>
      </c>
      <c r="ENS22" t="s">
        <v>6984</v>
      </c>
      <c r="ENT22" t="s">
        <v>6984</v>
      </c>
      <c r="ENU22" t="s">
        <v>6984</v>
      </c>
      <c r="ENV22" t="s">
        <v>6984</v>
      </c>
      <c r="ENW22" t="s">
        <v>6984</v>
      </c>
      <c r="ENX22" t="s">
        <v>6984</v>
      </c>
      <c r="ENY22" t="s">
        <v>6984</v>
      </c>
      <c r="ENZ22" t="s">
        <v>6984</v>
      </c>
      <c r="EOA22" t="s">
        <v>6984</v>
      </c>
      <c r="EOB22" t="s">
        <v>6984</v>
      </c>
      <c r="EOC22" t="s">
        <v>6984</v>
      </c>
      <c r="EOD22" t="s">
        <v>6984</v>
      </c>
      <c r="EOE22" t="s">
        <v>6984</v>
      </c>
      <c r="EOF22" t="s">
        <v>6984</v>
      </c>
      <c r="EOG22" t="s">
        <v>6984</v>
      </c>
      <c r="EOH22" t="s">
        <v>6984</v>
      </c>
      <c r="EOI22" t="s">
        <v>6984</v>
      </c>
      <c r="EOJ22" t="s">
        <v>6984</v>
      </c>
      <c r="EOK22" t="s">
        <v>6984</v>
      </c>
      <c r="EOL22" t="s">
        <v>6984</v>
      </c>
      <c r="EOM22" t="s">
        <v>6984</v>
      </c>
      <c r="EON22" t="s">
        <v>6984</v>
      </c>
      <c r="EOO22" t="s">
        <v>6984</v>
      </c>
      <c r="EOP22" t="s">
        <v>6984</v>
      </c>
      <c r="EOQ22" t="s">
        <v>6984</v>
      </c>
      <c r="EOR22" t="s">
        <v>6984</v>
      </c>
      <c r="EOS22" t="s">
        <v>6984</v>
      </c>
      <c r="EOT22" t="s">
        <v>6984</v>
      </c>
      <c r="EOU22" t="s">
        <v>6984</v>
      </c>
      <c r="EOV22" t="s">
        <v>6984</v>
      </c>
      <c r="EOW22" t="s">
        <v>6984</v>
      </c>
      <c r="EOX22" t="s">
        <v>6984</v>
      </c>
      <c r="EOY22" t="s">
        <v>6984</v>
      </c>
      <c r="EOZ22" t="s">
        <v>6984</v>
      </c>
      <c r="EPA22" t="s">
        <v>6984</v>
      </c>
      <c r="EPB22" t="s">
        <v>6984</v>
      </c>
      <c r="EPC22" t="s">
        <v>6984</v>
      </c>
      <c r="EPD22" t="s">
        <v>6984</v>
      </c>
      <c r="EPE22" t="s">
        <v>6984</v>
      </c>
      <c r="EPF22" t="s">
        <v>6984</v>
      </c>
      <c r="EPG22" t="s">
        <v>6984</v>
      </c>
      <c r="EPH22" t="s">
        <v>6984</v>
      </c>
      <c r="EPI22" t="s">
        <v>6984</v>
      </c>
      <c r="EPJ22" t="s">
        <v>6984</v>
      </c>
      <c r="EPK22" t="s">
        <v>6984</v>
      </c>
      <c r="EPL22" t="s">
        <v>6984</v>
      </c>
      <c r="EPM22" t="s">
        <v>6984</v>
      </c>
      <c r="EPN22" t="s">
        <v>6984</v>
      </c>
      <c r="EPO22" t="s">
        <v>6984</v>
      </c>
      <c r="EPP22" t="s">
        <v>6984</v>
      </c>
      <c r="EPQ22" t="s">
        <v>6984</v>
      </c>
      <c r="EPR22" t="s">
        <v>6984</v>
      </c>
      <c r="EPS22" t="s">
        <v>6984</v>
      </c>
      <c r="EPT22" t="s">
        <v>6984</v>
      </c>
      <c r="EPU22" t="s">
        <v>6984</v>
      </c>
      <c r="EPV22" t="s">
        <v>6984</v>
      </c>
      <c r="EPW22" t="s">
        <v>6984</v>
      </c>
      <c r="EPX22" t="s">
        <v>6984</v>
      </c>
      <c r="EPY22" t="s">
        <v>6984</v>
      </c>
      <c r="EPZ22" t="s">
        <v>6984</v>
      </c>
      <c r="EQA22" t="s">
        <v>6984</v>
      </c>
      <c r="EQB22" t="s">
        <v>6984</v>
      </c>
      <c r="EQC22" t="s">
        <v>6984</v>
      </c>
      <c r="EQD22" t="s">
        <v>6984</v>
      </c>
      <c r="EQE22" t="s">
        <v>6984</v>
      </c>
      <c r="EQF22" t="s">
        <v>6984</v>
      </c>
      <c r="EQG22" t="s">
        <v>6984</v>
      </c>
      <c r="EQH22" t="s">
        <v>6984</v>
      </c>
      <c r="EQI22" t="s">
        <v>6984</v>
      </c>
      <c r="EQJ22" t="s">
        <v>6984</v>
      </c>
      <c r="EQK22" t="s">
        <v>6984</v>
      </c>
      <c r="EQL22" t="s">
        <v>6984</v>
      </c>
      <c r="EQM22" t="s">
        <v>6984</v>
      </c>
      <c r="EQN22" t="s">
        <v>6984</v>
      </c>
      <c r="EQO22" t="s">
        <v>6984</v>
      </c>
      <c r="EQP22" t="s">
        <v>6984</v>
      </c>
      <c r="EQQ22" t="s">
        <v>6984</v>
      </c>
      <c r="EQR22" t="s">
        <v>6984</v>
      </c>
      <c r="EQS22" t="s">
        <v>6984</v>
      </c>
      <c r="EQT22" t="s">
        <v>6984</v>
      </c>
      <c r="EQU22" t="s">
        <v>6984</v>
      </c>
      <c r="EQV22" t="s">
        <v>6984</v>
      </c>
      <c r="EQW22" t="s">
        <v>6984</v>
      </c>
      <c r="EQX22" t="s">
        <v>6984</v>
      </c>
      <c r="EQY22" t="s">
        <v>6984</v>
      </c>
      <c r="EQZ22" t="s">
        <v>6984</v>
      </c>
      <c r="ERA22" t="s">
        <v>6984</v>
      </c>
      <c r="ERB22" t="s">
        <v>6984</v>
      </c>
      <c r="ERC22" t="s">
        <v>6984</v>
      </c>
      <c r="ERD22" t="s">
        <v>6984</v>
      </c>
      <c r="ERE22" t="s">
        <v>6984</v>
      </c>
      <c r="ERF22" t="s">
        <v>6984</v>
      </c>
      <c r="ERG22" t="s">
        <v>6984</v>
      </c>
      <c r="ERH22" t="s">
        <v>6984</v>
      </c>
      <c r="ERI22" t="s">
        <v>6984</v>
      </c>
      <c r="ERJ22" t="s">
        <v>6984</v>
      </c>
      <c r="ERK22" t="s">
        <v>6984</v>
      </c>
      <c r="ERL22" t="s">
        <v>6984</v>
      </c>
      <c r="ERM22" t="s">
        <v>6984</v>
      </c>
      <c r="ERN22" t="s">
        <v>6984</v>
      </c>
      <c r="ERO22" t="s">
        <v>6984</v>
      </c>
      <c r="ERP22" t="s">
        <v>6984</v>
      </c>
      <c r="ERQ22" t="s">
        <v>6984</v>
      </c>
      <c r="ERR22" t="s">
        <v>6984</v>
      </c>
      <c r="ERS22" t="s">
        <v>6984</v>
      </c>
      <c r="ERT22" t="s">
        <v>6984</v>
      </c>
      <c r="ERU22" t="s">
        <v>6984</v>
      </c>
      <c r="ERV22" t="s">
        <v>6984</v>
      </c>
      <c r="ERW22" t="s">
        <v>6984</v>
      </c>
      <c r="ERX22" t="s">
        <v>6984</v>
      </c>
      <c r="ERY22" t="s">
        <v>6984</v>
      </c>
      <c r="ERZ22" t="s">
        <v>6984</v>
      </c>
      <c r="ESA22" t="s">
        <v>6984</v>
      </c>
      <c r="ESB22" t="s">
        <v>6984</v>
      </c>
      <c r="ESC22" t="s">
        <v>6984</v>
      </c>
      <c r="ESD22" t="s">
        <v>6984</v>
      </c>
      <c r="ESE22" t="s">
        <v>6984</v>
      </c>
      <c r="ESF22" t="s">
        <v>6984</v>
      </c>
      <c r="ESG22" t="s">
        <v>6984</v>
      </c>
      <c r="ESH22" t="s">
        <v>6984</v>
      </c>
      <c r="ESI22" t="s">
        <v>6984</v>
      </c>
      <c r="ESJ22" t="s">
        <v>6984</v>
      </c>
      <c r="ESK22" t="s">
        <v>6984</v>
      </c>
      <c r="ESL22" t="s">
        <v>6984</v>
      </c>
      <c r="ESM22" t="s">
        <v>6984</v>
      </c>
      <c r="ESN22" t="s">
        <v>6984</v>
      </c>
      <c r="ESO22" t="s">
        <v>6984</v>
      </c>
      <c r="ESP22" t="s">
        <v>6984</v>
      </c>
      <c r="ESQ22" t="s">
        <v>6984</v>
      </c>
      <c r="ESR22" t="s">
        <v>6984</v>
      </c>
      <c r="ESS22" t="s">
        <v>6984</v>
      </c>
      <c r="EST22" t="s">
        <v>6984</v>
      </c>
      <c r="ESU22" t="s">
        <v>6984</v>
      </c>
      <c r="ESV22" t="s">
        <v>6984</v>
      </c>
      <c r="ESW22" t="s">
        <v>6984</v>
      </c>
      <c r="ESX22" t="s">
        <v>6984</v>
      </c>
      <c r="ESY22" t="s">
        <v>6984</v>
      </c>
      <c r="ESZ22" t="s">
        <v>6984</v>
      </c>
      <c r="ETA22" t="s">
        <v>6984</v>
      </c>
      <c r="ETB22" t="s">
        <v>6984</v>
      </c>
      <c r="ETC22" t="s">
        <v>6984</v>
      </c>
      <c r="ETD22" t="s">
        <v>6984</v>
      </c>
      <c r="ETE22" t="s">
        <v>6984</v>
      </c>
      <c r="ETF22" t="s">
        <v>6984</v>
      </c>
      <c r="ETG22" t="s">
        <v>6984</v>
      </c>
      <c r="ETH22" t="s">
        <v>6984</v>
      </c>
      <c r="ETI22" t="s">
        <v>6984</v>
      </c>
      <c r="ETJ22" t="s">
        <v>6984</v>
      </c>
      <c r="ETK22" t="s">
        <v>6984</v>
      </c>
      <c r="ETL22" t="s">
        <v>6984</v>
      </c>
      <c r="ETM22" t="s">
        <v>6984</v>
      </c>
      <c r="ETN22" t="s">
        <v>6984</v>
      </c>
      <c r="ETO22" t="s">
        <v>6984</v>
      </c>
      <c r="ETP22" t="s">
        <v>6984</v>
      </c>
      <c r="ETQ22" t="s">
        <v>6984</v>
      </c>
      <c r="ETR22" t="s">
        <v>6984</v>
      </c>
      <c r="ETS22" t="s">
        <v>6984</v>
      </c>
      <c r="ETT22" t="s">
        <v>6984</v>
      </c>
      <c r="ETU22" t="s">
        <v>6984</v>
      </c>
      <c r="ETV22" t="s">
        <v>6984</v>
      </c>
      <c r="ETW22" t="s">
        <v>6984</v>
      </c>
      <c r="ETX22" t="s">
        <v>6984</v>
      </c>
      <c r="ETY22" t="s">
        <v>6984</v>
      </c>
      <c r="ETZ22" t="s">
        <v>6984</v>
      </c>
      <c r="EUA22" t="s">
        <v>6984</v>
      </c>
      <c r="EUB22" t="s">
        <v>6984</v>
      </c>
      <c r="EUC22" t="s">
        <v>6984</v>
      </c>
      <c r="EUD22" t="s">
        <v>6984</v>
      </c>
      <c r="EUE22" t="s">
        <v>6984</v>
      </c>
      <c r="EUF22" t="s">
        <v>6984</v>
      </c>
      <c r="EUG22" t="s">
        <v>6984</v>
      </c>
      <c r="EUH22" t="s">
        <v>6984</v>
      </c>
      <c r="EUI22" t="s">
        <v>6984</v>
      </c>
      <c r="EUJ22" t="s">
        <v>6984</v>
      </c>
      <c r="EUK22" t="s">
        <v>6984</v>
      </c>
      <c r="EUL22" t="s">
        <v>6984</v>
      </c>
      <c r="EUM22" t="s">
        <v>6984</v>
      </c>
      <c r="EUN22" t="s">
        <v>6984</v>
      </c>
      <c r="EUO22" t="s">
        <v>6984</v>
      </c>
      <c r="EUP22" t="s">
        <v>6984</v>
      </c>
      <c r="EUQ22" t="s">
        <v>6984</v>
      </c>
      <c r="EUR22" t="s">
        <v>6984</v>
      </c>
      <c r="EUS22" t="s">
        <v>6984</v>
      </c>
      <c r="EUT22" t="s">
        <v>6984</v>
      </c>
      <c r="EUU22" t="s">
        <v>6984</v>
      </c>
      <c r="EUV22" t="s">
        <v>6984</v>
      </c>
      <c r="EUW22" t="s">
        <v>6984</v>
      </c>
      <c r="EUX22" t="s">
        <v>6984</v>
      </c>
      <c r="EUY22" t="s">
        <v>6984</v>
      </c>
      <c r="EUZ22" t="s">
        <v>6984</v>
      </c>
      <c r="EVA22" t="s">
        <v>6984</v>
      </c>
      <c r="EVB22" t="s">
        <v>6984</v>
      </c>
      <c r="EVC22" t="s">
        <v>6984</v>
      </c>
      <c r="EVD22" t="s">
        <v>6984</v>
      </c>
      <c r="EVE22" t="s">
        <v>6984</v>
      </c>
      <c r="EVF22" t="s">
        <v>6984</v>
      </c>
      <c r="EVG22" t="s">
        <v>6984</v>
      </c>
      <c r="EVH22" t="s">
        <v>6984</v>
      </c>
      <c r="EVI22" t="s">
        <v>6984</v>
      </c>
      <c r="EVJ22" t="s">
        <v>6984</v>
      </c>
      <c r="EVK22" t="s">
        <v>6984</v>
      </c>
      <c r="EVL22" t="s">
        <v>6984</v>
      </c>
      <c r="EVM22" t="s">
        <v>6984</v>
      </c>
      <c r="EVN22" t="s">
        <v>6984</v>
      </c>
      <c r="EVO22" t="s">
        <v>6984</v>
      </c>
      <c r="EVP22" t="s">
        <v>6984</v>
      </c>
      <c r="EVQ22" t="s">
        <v>6984</v>
      </c>
      <c r="EVR22" t="s">
        <v>6984</v>
      </c>
      <c r="EVS22" t="s">
        <v>6984</v>
      </c>
      <c r="EVT22" t="s">
        <v>6984</v>
      </c>
      <c r="EVU22" t="s">
        <v>6984</v>
      </c>
      <c r="EVV22" t="s">
        <v>6984</v>
      </c>
      <c r="EVW22" t="s">
        <v>6984</v>
      </c>
      <c r="EVX22" t="s">
        <v>6984</v>
      </c>
      <c r="EVY22" t="s">
        <v>6984</v>
      </c>
      <c r="EVZ22" t="s">
        <v>6984</v>
      </c>
      <c r="EWA22" t="s">
        <v>6984</v>
      </c>
      <c r="EWB22" t="s">
        <v>6984</v>
      </c>
      <c r="EWC22" t="s">
        <v>6984</v>
      </c>
      <c r="EWD22" t="s">
        <v>6984</v>
      </c>
      <c r="EWE22" t="s">
        <v>6984</v>
      </c>
      <c r="EWF22" t="s">
        <v>6984</v>
      </c>
      <c r="EWG22" t="s">
        <v>6984</v>
      </c>
      <c r="EWH22" t="s">
        <v>6984</v>
      </c>
      <c r="EWI22" t="s">
        <v>6984</v>
      </c>
      <c r="EWJ22" t="s">
        <v>6984</v>
      </c>
      <c r="EWK22" t="s">
        <v>6984</v>
      </c>
      <c r="EWL22" t="s">
        <v>6984</v>
      </c>
      <c r="EWM22" t="s">
        <v>6984</v>
      </c>
      <c r="EWN22" t="s">
        <v>6984</v>
      </c>
      <c r="EWO22" t="s">
        <v>6984</v>
      </c>
      <c r="EWP22" t="s">
        <v>6984</v>
      </c>
      <c r="EWQ22" t="s">
        <v>6984</v>
      </c>
      <c r="EWR22" t="s">
        <v>6984</v>
      </c>
      <c r="EWS22" t="s">
        <v>6984</v>
      </c>
      <c r="EWT22" t="s">
        <v>6984</v>
      </c>
      <c r="EWU22" t="s">
        <v>6984</v>
      </c>
      <c r="EWV22" t="s">
        <v>6984</v>
      </c>
      <c r="EWW22" t="s">
        <v>6984</v>
      </c>
      <c r="EWX22" t="s">
        <v>6984</v>
      </c>
      <c r="EWY22" t="s">
        <v>6984</v>
      </c>
      <c r="EWZ22" t="s">
        <v>6984</v>
      </c>
      <c r="EXA22" t="s">
        <v>6984</v>
      </c>
      <c r="EXB22" t="s">
        <v>6984</v>
      </c>
      <c r="EXC22" t="s">
        <v>6984</v>
      </c>
      <c r="EXD22" t="s">
        <v>6984</v>
      </c>
      <c r="EXE22" t="s">
        <v>6984</v>
      </c>
      <c r="EXF22" t="s">
        <v>6984</v>
      </c>
      <c r="EXG22" t="s">
        <v>6984</v>
      </c>
      <c r="EXH22" t="s">
        <v>6984</v>
      </c>
      <c r="EXI22" t="s">
        <v>6984</v>
      </c>
      <c r="EXJ22" t="s">
        <v>6984</v>
      </c>
      <c r="EXK22" t="s">
        <v>6984</v>
      </c>
      <c r="EXL22" t="s">
        <v>6984</v>
      </c>
      <c r="EXM22" t="s">
        <v>6984</v>
      </c>
      <c r="EXN22" t="s">
        <v>6984</v>
      </c>
      <c r="EXO22" t="s">
        <v>6984</v>
      </c>
      <c r="EXP22" t="s">
        <v>6984</v>
      </c>
      <c r="EXQ22" t="s">
        <v>6984</v>
      </c>
      <c r="EXR22" t="s">
        <v>6984</v>
      </c>
      <c r="EXS22" t="s">
        <v>6984</v>
      </c>
      <c r="EXT22" t="s">
        <v>6984</v>
      </c>
      <c r="EXU22" t="s">
        <v>6984</v>
      </c>
      <c r="EXV22" t="s">
        <v>6984</v>
      </c>
      <c r="EXW22" t="s">
        <v>6984</v>
      </c>
      <c r="EXX22" t="s">
        <v>6984</v>
      </c>
      <c r="EXY22" t="s">
        <v>6984</v>
      </c>
      <c r="EXZ22" t="s">
        <v>6984</v>
      </c>
      <c r="EYA22" t="s">
        <v>6984</v>
      </c>
      <c r="EYB22" t="s">
        <v>6984</v>
      </c>
      <c r="EYC22" t="s">
        <v>6984</v>
      </c>
      <c r="EYD22" t="s">
        <v>6984</v>
      </c>
      <c r="EYE22" t="s">
        <v>6984</v>
      </c>
      <c r="EYF22" t="s">
        <v>6984</v>
      </c>
      <c r="EYG22" t="s">
        <v>6984</v>
      </c>
      <c r="EYH22" t="s">
        <v>6984</v>
      </c>
      <c r="EYI22" t="s">
        <v>6984</v>
      </c>
      <c r="EYJ22" t="s">
        <v>6984</v>
      </c>
      <c r="EYK22" t="s">
        <v>6984</v>
      </c>
      <c r="EYL22" t="s">
        <v>6984</v>
      </c>
      <c r="EYM22" t="s">
        <v>6984</v>
      </c>
      <c r="EYN22" t="s">
        <v>6984</v>
      </c>
      <c r="EYO22" t="s">
        <v>6984</v>
      </c>
      <c r="EYP22" t="s">
        <v>6984</v>
      </c>
      <c r="EYQ22" t="s">
        <v>6984</v>
      </c>
      <c r="EYR22" t="s">
        <v>6984</v>
      </c>
      <c r="EYS22" t="s">
        <v>6984</v>
      </c>
      <c r="EYT22" t="s">
        <v>6984</v>
      </c>
      <c r="EYU22" t="s">
        <v>6984</v>
      </c>
      <c r="EYV22" t="s">
        <v>6984</v>
      </c>
      <c r="EYW22" t="s">
        <v>6984</v>
      </c>
      <c r="EYX22" t="s">
        <v>6984</v>
      </c>
      <c r="EYY22" t="s">
        <v>6984</v>
      </c>
      <c r="EYZ22" t="s">
        <v>6984</v>
      </c>
      <c r="EZA22" t="s">
        <v>6984</v>
      </c>
      <c r="EZB22" t="s">
        <v>6984</v>
      </c>
      <c r="EZC22" t="s">
        <v>6984</v>
      </c>
      <c r="EZD22" t="s">
        <v>6984</v>
      </c>
      <c r="EZE22" t="s">
        <v>6984</v>
      </c>
      <c r="EZF22" t="s">
        <v>6984</v>
      </c>
      <c r="EZG22" t="s">
        <v>6984</v>
      </c>
      <c r="EZH22" t="s">
        <v>6984</v>
      </c>
      <c r="EZI22" t="s">
        <v>6984</v>
      </c>
      <c r="EZJ22" t="s">
        <v>6984</v>
      </c>
      <c r="EZK22" t="s">
        <v>6984</v>
      </c>
      <c r="EZL22" t="s">
        <v>6984</v>
      </c>
      <c r="EZM22" t="s">
        <v>6984</v>
      </c>
      <c r="EZN22" t="s">
        <v>6984</v>
      </c>
      <c r="EZO22" t="s">
        <v>6984</v>
      </c>
      <c r="EZP22" t="s">
        <v>6984</v>
      </c>
      <c r="EZQ22" t="s">
        <v>6984</v>
      </c>
      <c r="EZR22" t="s">
        <v>6984</v>
      </c>
      <c r="EZS22" t="s">
        <v>6984</v>
      </c>
      <c r="EZT22" t="s">
        <v>6984</v>
      </c>
      <c r="EZU22" t="s">
        <v>6984</v>
      </c>
      <c r="EZV22" t="s">
        <v>6984</v>
      </c>
      <c r="EZW22" t="s">
        <v>6984</v>
      </c>
      <c r="EZX22" t="s">
        <v>6984</v>
      </c>
      <c r="EZY22" t="s">
        <v>6984</v>
      </c>
      <c r="EZZ22" t="s">
        <v>6984</v>
      </c>
      <c r="FAA22" t="s">
        <v>6984</v>
      </c>
      <c r="FAB22" t="s">
        <v>6984</v>
      </c>
      <c r="FAC22" t="s">
        <v>6984</v>
      </c>
      <c r="FAD22" t="s">
        <v>6984</v>
      </c>
      <c r="FAE22" t="s">
        <v>6984</v>
      </c>
      <c r="FAF22" t="s">
        <v>6984</v>
      </c>
      <c r="FAG22" t="s">
        <v>6984</v>
      </c>
      <c r="FAH22" t="s">
        <v>6984</v>
      </c>
      <c r="FAI22" t="s">
        <v>6984</v>
      </c>
      <c r="FAJ22" t="s">
        <v>6984</v>
      </c>
      <c r="FAK22" t="s">
        <v>6984</v>
      </c>
      <c r="FAL22" t="s">
        <v>6984</v>
      </c>
      <c r="FAM22" t="s">
        <v>6984</v>
      </c>
      <c r="FAN22" t="s">
        <v>6984</v>
      </c>
      <c r="FAO22" t="s">
        <v>6984</v>
      </c>
      <c r="FAP22" t="s">
        <v>6984</v>
      </c>
      <c r="FAQ22" t="s">
        <v>6984</v>
      </c>
      <c r="FAR22" t="s">
        <v>6984</v>
      </c>
      <c r="FAS22" t="s">
        <v>6984</v>
      </c>
      <c r="FAT22" t="s">
        <v>6984</v>
      </c>
      <c r="FAU22" t="s">
        <v>6984</v>
      </c>
      <c r="FAV22" t="s">
        <v>6984</v>
      </c>
      <c r="FAW22" t="s">
        <v>6984</v>
      </c>
      <c r="FAX22" t="s">
        <v>6984</v>
      </c>
      <c r="FAY22" t="s">
        <v>6984</v>
      </c>
      <c r="FAZ22" t="s">
        <v>6984</v>
      </c>
      <c r="FBA22" t="s">
        <v>6984</v>
      </c>
      <c r="FBB22" t="s">
        <v>6984</v>
      </c>
      <c r="FBC22" t="s">
        <v>6984</v>
      </c>
      <c r="FBD22" t="s">
        <v>6984</v>
      </c>
      <c r="FBE22" t="s">
        <v>6984</v>
      </c>
      <c r="FBF22" t="s">
        <v>6984</v>
      </c>
      <c r="FBG22" t="s">
        <v>6984</v>
      </c>
      <c r="FBH22" t="s">
        <v>6984</v>
      </c>
      <c r="FBI22" t="s">
        <v>6984</v>
      </c>
      <c r="FBJ22" t="s">
        <v>6984</v>
      </c>
      <c r="FBK22" t="s">
        <v>6984</v>
      </c>
      <c r="FBL22" t="s">
        <v>6984</v>
      </c>
      <c r="FBM22" t="s">
        <v>6984</v>
      </c>
      <c r="FBN22" t="s">
        <v>6984</v>
      </c>
      <c r="FBO22" t="s">
        <v>6984</v>
      </c>
      <c r="FBP22" t="s">
        <v>6984</v>
      </c>
      <c r="FBQ22" t="s">
        <v>6984</v>
      </c>
      <c r="FBR22" t="s">
        <v>6984</v>
      </c>
      <c r="FBS22" t="s">
        <v>6984</v>
      </c>
      <c r="FBT22" t="s">
        <v>6984</v>
      </c>
      <c r="FBU22" t="s">
        <v>6984</v>
      </c>
      <c r="FBV22" t="s">
        <v>6984</v>
      </c>
      <c r="FBW22" t="s">
        <v>6984</v>
      </c>
      <c r="FBX22" t="s">
        <v>6984</v>
      </c>
      <c r="FBY22" t="s">
        <v>6984</v>
      </c>
      <c r="FBZ22" t="s">
        <v>6984</v>
      </c>
      <c r="FCA22" t="s">
        <v>6984</v>
      </c>
      <c r="FCB22" t="s">
        <v>6984</v>
      </c>
      <c r="FCC22" t="s">
        <v>6984</v>
      </c>
      <c r="FCD22" t="s">
        <v>6984</v>
      </c>
      <c r="FCE22" t="s">
        <v>6984</v>
      </c>
      <c r="FCF22" t="s">
        <v>6984</v>
      </c>
      <c r="FCG22" t="s">
        <v>6984</v>
      </c>
      <c r="FCH22" t="s">
        <v>6984</v>
      </c>
      <c r="FCI22" t="s">
        <v>6984</v>
      </c>
      <c r="FCJ22" t="s">
        <v>6984</v>
      </c>
      <c r="FCK22" t="s">
        <v>6984</v>
      </c>
      <c r="FCL22" t="s">
        <v>6984</v>
      </c>
      <c r="FCM22" t="s">
        <v>6984</v>
      </c>
      <c r="FCN22" t="s">
        <v>6984</v>
      </c>
      <c r="FCO22" t="s">
        <v>6984</v>
      </c>
      <c r="FCP22" t="s">
        <v>6984</v>
      </c>
      <c r="FCQ22" t="s">
        <v>6984</v>
      </c>
      <c r="FCR22" t="s">
        <v>6984</v>
      </c>
      <c r="FCS22" t="s">
        <v>6984</v>
      </c>
      <c r="FCT22" t="s">
        <v>6984</v>
      </c>
      <c r="FCU22" t="s">
        <v>6984</v>
      </c>
      <c r="FCV22" t="s">
        <v>6984</v>
      </c>
      <c r="FCW22" t="s">
        <v>6984</v>
      </c>
      <c r="FCX22" t="s">
        <v>6984</v>
      </c>
      <c r="FCY22" t="s">
        <v>6984</v>
      </c>
      <c r="FCZ22" t="s">
        <v>6984</v>
      </c>
      <c r="FDA22" t="s">
        <v>6984</v>
      </c>
      <c r="FDB22" t="s">
        <v>6984</v>
      </c>
      <c r="FDC22" t="s">
        <v>6984</v>
      </c>
      <c r="FDD22" t="s">
        <v>6984</v>
      </c>
      <c r="FDE22" t="s">
        <v>6984</v>
      </c>
      <c r="FDF22" t="s">
        <v>6984</v>
      </c>
      <c r="FDG22" t="s">
        <v>6984</v>
      </c>
      <c r="FDH22" t="s">
        <v>6984</v>
      </c>
      <c r="FDI22" t="s">
        <v>6984</v>
      </c>
      <c r="FDJ22" t="s">
        <v>6984</v>
      </c>
      <c r="FDK22" t="s">
        <v>6984</v>
      </c>
      <c r="FDL22" t="s">
        <v>6984</v>
      </c>
      <c r="FDM22" t="s">
        <v>6984</v>
      </c>
      <c r="FDN22" t="s">
        <v>6984</v>
      </c>
      <c r="FDO22" t="s">
        <v>6984</v>
      </c>
      <c r="FDP22" t="s">
        <v>6984</v>
      </c>
      <c r="FDQ22" t="s">
        <v>6984</v>
      </c>
      <c r="FDR22" t="s">
        <v>6984</v>
      </c>
      <c r="FDS22" t="s">
        <v>6984</v>
      </c>
      <c r="FDT22" t="s">
        <v>6984</v>
      </c>
      <c r="FDU22" t="s">
        <v>6984</v>
      </c>
      <c r="FDV22" t="s">
        <v>6984</v>
      </c>
      <c r="FDW22" t="s">
        <v>6984</v>
      </c>
      <c r="FDX22" t="s">
        <v>6984</v>
      </c>
      <c r="FDY22" t="s">
        <v>6984</v>
      </c>
      <c r="FDZ22" t="s">
        <v>6984</v>
      </c>
      <c r="FEA22" t="s">
        <v>6984</v>
      </c>
      <c r="FEB22" t="s">
        <v>6984</v>
      </c>
      <c r="FEC22" t="s">
        <v>6984</v>
      </c>
      <c r="FED22" t="s">
        <v>6984</v>
      </c>
      <c r="FEE22" t="s">
        <v>6984</v>
      </c>
      <c r="FEF22" t="s">
        <v>6984</v>
      </c>
      <c r="FEG22" t="s">
        <v>6984</v>
      </c>
      <c r="FEH22" t="s">
        <v>6984</v>
      </c>
      <c r="FEI22" t="s">
        <v>6984</v>
      </c>
      <c r="FEJ22" t="s">
        <v>6984</v>
      </c>
      <c r="FEK22" t="s">
        <v>6984</v>
      </c>
      <c r="FEL22" t="s">
        <v>6984</v>
      </c>
      <c r="FEM22" t="s">
        <v>6984</v>
      </c>
      <c r="FEN22" t="s">
        <v>6984</v>
      </c>
      <c r="FEO22" t="s">
        <v>6984</v>
      </c>
      <c r="FEP22" t="s">
        <v>6984</v>
      </c>
      <c r="FEQ22" t="s">
        <v>6984</v>
      </c>
      <c r="FER22" t="s">
        <v>6984</v>
      </c>
      <c r="FES22" t="s">
        <v>6984</v>
      </c>
      <c r="FET22" t="s">
        <v>6984</v>
      </c>
      <c r="FEU22" t="s">
        <v>6984</v>
      </c>
      <c r="FEV22" t="s">
        <v>6984</v>
      </c>
      <c r="FEW22" t="s">
        <v>6984</v>
      </c>
      <c r="FEX22" t="s">
        <v>6984</v>
      </c>
      <c r="FEY22" t="s">
        <v>6984</v>
      </c>
      <c r="FEZ22" t="s">
        <v>6984</v>
      </c>
      <c r="FFA22" t="s">
        <v>6984</v>
      </c>
      <c r="FFB22" t="s">
        <v>6984</v>
      </c>
      <c r="FFC22" t="s">
        <v>6984</v>
      </c>
      <c r="FFD22" t="s">
        <v>6984</v>
      </c>
      <c r="FFE22" t="s">
        <v>6984</v>
      </c>
      <c r="FFF22" t="s">
        <v>6984</v>
      </c>
      <c r="FFG22" t="s">
        <v>6984</v>
      </c>
      <c r="FFH22" t="s">
        <v>6984</v>
      </c>
      <c r="FFI22" t="s">
        <v>6984</v>
      </c>
      <c r="FFJ22" t="s">
        <v>6984</v>
      </c>
      <c r="FFK22" t="s">
        <v>6984</v>
      </c>
      <c r="FFL22" t="s">
        <v>6984</v>
      </c>
      <c r="FFM22" t="s">
        <v>6984</v>
      </c>
      <c r="FFN22" t="s">
        <v>6984</v>
      </c>
      <c r="FFO22" t="s">
        <v>6984</v>
      </c>
      <c r="FFP22" t="s">
        <v>6984</v>
      </c>
      <c r="FFQ22" t="s">
        <v>6984</v>
      </c>
      <c r="FFR22" t="s">
        <v>6984</v>
      </c>
      <c r="FFS22" t="s">
        <v>6984</v>
      </c>
      <c r="FFT22" t="s">
        <v>6984</v>
      </c>
      <c r="FFU22" t="s">
        <v>6984</v>
      </c>
      <c r="FFV22" t="s">
        <v>6984</v>
      </c>
      <c r="FFW22" t="s">
        <v>6984</v>
      </c>
      <c r="FFX22" t="s">
        <v>6984</v>
      </c>
      <c r="FFY22" t="s">
        <v>6984</v>
      </c>
      <c r="FFZ22" t="s">
        <v>6984</v>
      </c>
      <c r="FGA22" t="s">
        <v>6984</v>
      </c>
      <c r="FGB22" t="s">
        <v>6984</v>
      </c>
      <c r="FGC22" t="s">
        <v>6984</v>
      </c>
      <c r="FGD22" t="s">
        <v>6984</v>
      </c>
      <c r="FGE22" t="s">
        <v>6984</v>
      </c>
      <c r="FGF22" t="s">
        <v>6984</v>
      </c>
      <c r="FGG22" t="s">
        <v>6984</v>
      </c>
      <c r="FGH22" t="s">
        <v>6984</v>
      </c>
      <c r="FGI22" t="s">
        <v>6984</v>
      </c>
      <c r="FGJ22" t="s">
        <v>6984</v>
      </c>
      <c r="FGK22" t="s">
        <v>6984</v>
      </c>
      <c r="FGL22" t="s">
        <v>6984</v>
      </c>
      <c r="FGM22" t="s">
        <v>6984</v>
      </c>
      <c r="FGN22" t="s">
        <v>6984</v>
      </c>
      <c r="FGO22" t="s">
        <v>6984</v>
      </c>
      <c r="FGP22" t="s">
        <v>6984</v>
      </c>
      <c r="FGQ22" t="s">
        <v>6984</v>
      </c>
      <c r="FGR22" t="s">
        <v>6984</v>
      </c>
      <c r="FGS22" t="s">
        <v>6984</v>
      </c>
      <c r="FGT22" t="s">
        <v>6984</v>
      </c>
      <c r="FGU22" t="s">
        <v>6984</v>
      </c>
      <c r="FGV22" t="s">
        <v>6984</v>
      </c>
      <c r="FGW22" t="s">
        <v>6984</v>
      </c>
      <c r="FGX22" t="s">
        <v>6984</v>
      </c>
      <c r="FGY22" t="s">
        <v>6984</v>
      </c>
      <c r="FGZ22" t="s">
        <v>6984</v>
      </c>
      <c r="FHA22" t="s">
        <v>6984</v>
      </c>
      <c r="FHB22" t="s">
        <v>6984</v>
      </c>
      <c r="FHC22" t="s">
        <v>6984</v>
      </c>
      <c r="FHD22" t="s">
        <v>6984</v>
      </c>
      <c r="FHE22" t="s">
        <v>6984</v>
      </c>
      <c r="FHF22" t="s">
        <v>6984</v>
      </c>
      <c r="FHG22" t="s">
        <v>6984</v>
      </c>
      <c r="FHH22" t="s">
        <v>6984</v>
      </c>
      <c r="FHI22" t="s">
        <v>6984</v>
      </c>
      <c r="FHJ22" t="s">
        <v>6984</v>
      </c>
      <c r="FHK22" t="s">
        <v>6984</v>
      </c>
      <c r="FHL22" t="s">
        <v>6984</v>
      </c>
      <c r="FHM22" t="s">
        <v>6984</v>
      </c>
      <c r="FHN22" t="s">
        <v>6984</v>
      </c>
      <c r="FHO22" t="s">
        <v>6984</v>
      </c>
      <c r="FHP22" t="s">
        <v>6984</v>
      </c>
      <c r="FHQ22" t="s">
        <v>6984</v>
      </c>
      <c r="FHR22" t="s">
        <v>6984</v>
      </c>
      <c r="FHS22" t="s">
        <v>6984</v>
      </c>
      <c r="FHT22" t="s">
        <v>6984</v>
      </c>
      <c r="FHU22" t="s">
        <v>6984</v>
      </c>
      <c r="FHV22" t="s">
        <v>6984</v>
      </c>
      <c r="FHW22" t="s">
        <v>6984</v>
      </c>
      <c r="FHX22" t="s">
        <v>6984</v>
      </c>
      <c r="FHY22" t="s">
        <v>6984</v>
      </c>
      <c r="FHZ22" t="s">
        <v>6984</v>
      </c>
      <c r="FIA22" t="s">
        <v>6984</v>
      </c>
      <c r="FIB22" t="s">
        <v>6984</v>
      </c>
      <c r="FIC22" t="s">
        <v>6984</v>
      </c>
      <c r="FID22" t="s">
        <v>6984</v>
      </c>
      <c r="FIE22" t="s">
        <v>6984</v>
      </c>
      <c r="FIF22" t="s">
        <v>6984</v>
      </c>
      <c r="FIG22" t="s">
        <v>6984</v>
      </c>
      <c r="FIH22" t="s">
        <v>6984</v>
      </c>
      <c r="FII22" t="s">
        <v>6984</v>
      </c>
      <c r="FIJ22" t="s">
        <v>6984</v>
      </c>
      <c r="FIK22" t="s">
        <v>6984</v>
      </c>
      <c r="FIL22" t="s">
        <v>6984</v>
      </c>
      <c r="FIM22" t="s">
        <v>6984</v>
      </c>
      <c r="FIN22" t="s">
        <v>6984</v>
      </c>
      <c r="FIO22" t="s">
        <v>6984</v>
      </c>
      <c r="FIP22" t="s">
        <v>6984</v>
      </c>
      <c r="FIQ22" t="s">
        <v>6984</v>
      </c>
      <c r="FIR22" t="s">
        <v>6984</v>
      </c>
      <c r="FIS22" t="s">
        <v>6984</v>
      </c>
      <c r="FIT22" t="s">
        <v>6984</v>
      </c>
      <c r="FIU22" t="s">
        <v>6984</v>
      </c>
      <c r="FIV22" t="s">
        <v>6984</v>
      </c>
      <c r="FIW22" t="s">
        <v>6984</v>
      </c>
      <c r="FIX22" t="s">
        <v>6984</v>
      </c>
      <c r="FIY22" t="s">
        <v>6984</v>
      </c>
      <c r="FIZ22" t="s">
        <v>6984</v>
      </c>
      <c r="FJA22" t="s">
        <v>6984</v>
      </c>
      <c r="FJB22" t="s">
        <v>6984</v>
      </c>
      <c r="FJC22" t="s">
        <v>6984</v>
      </c>
      <c r="FJD22" t="s">
        <v>6984</v>
      </c>
      <c r="FJE22" t="s">
        <v>6984</v>
      </c>
      <c r="FJF22" t="s">
        <v>6984</v>
      </c>
      <c r="FJG22" t="s">
        <v>6984</v>
      </c>
      <c r="FJH22" t="s">
        <v>6984</v>
      </c>
      <c r="FJI22" t="s">
        <v>6984</v>
      </c>
      <c r="FJJ22" t="s">
        <v>6984</v>
      </c>
      <c r="FJK22" t="s">
        <v>6984</v>
      </c>
      <c r="FJL22" t="s">
        <v>6984</v>
      </c>
      <c r="FJM22" t="s">
        <v>6984</v>
      </c>
      <c r="FJN22" t="s">
        <v>6984</v>
      </c>
      <c r="FJO22" t="s">
        <v>6984</v>
      </c>
      <c r="FJP22" t="s">
        <v>6984</v>
      </c>
      <c r="FJQ22" t="s">
        <v>6984</v>
      </c>
      <c r="FJR22" t="s">
        <v>6984</v>
      </c>
      <c r="FJS22" t="s">
        <v>6984</v>
      </c>
      <c r="FJT22" t="s">
        <v>6984</v>
      </c>
      <c r="FJU22" t="s">
        <v>6984</v>
      </c>
      <c r="FJV22" t="s">
        <v>6984</v>
      </c>
      <c r="FJW22" t="s">
        <v>6984</v>
      </c>
      <c r="FJX22" t="s">
        <v>6984</v>
      </c>
      <c r="FJY22" t="s">
        <v>6984</v>
      </c>
      <c r="FJZ22" t="s">
        <v>6984</v>
      </c>
      <c r="FKA22" t="s">
        <v>6984</v>
      </c>
      <c r="FKB22" t="s">
        <v>6984</v>
      </c>
      <c r="FKC22" t="s">
        <v>6984</v>
      </c>
      <c r="FKD22" t="s">
        <v>6984</v>
      </c>
      <c r="FKE22" t="s">
        <v>6984</v>
      </c>
      <c r="FKF22" t="s">
        <v>6984</v>
      </c>
      <c r="FKG22" t="s">
        <v>6984</v>
      </c>
      <c r="FKH22" t="s">
        <v>6984</v>
      </c>
      <c r="FKI22" t="s">
        <v>6984</v>
      </c>
      <c r="FKJ22" t="s">
        <v>6984</v>
      </c>
      <c r="FKK22" t="s">
        <v>6984</v>
      </c>
      <c r="FKL22" t="s">
        <v>6984</v>
      </c>
      <c r="FKM22" t="s">
        <v>6984</v>
      </c>
      <c r="FKN22" t="s">
        <v>6984</v>
      </c>
      <c r="FKO22" t="s">
        <v>6984</v>
      </c>
      <c r="FKP22" t="s">
        <v>6984</v>
      </c>
      <c r="FKQ22" t="s">
        <v>6984</v>
      </c>
      <c r="FKR22" t="s">
        <v>6984</v>
      </c>
      <c r="FKS22" t="s">
        <v>6984</v>
      </c>
      <c r="FKT22" t="s">
        <v>6984</v>
      </c>
      <c r="FKU22" t="s">
        <v>6984</v>
      </c>
      <c r="FKV22" t="s">
        <v>6984</v>
      </c>
      <c r="FKW22" t="s">
        <v>6984</v>
      </c>
      <c r="FKX22" t="s">
        <v>6984</v>
      </c>
      <c r="FKY22" t="s">
        <v>6984</v>
      </c>
      <c r="FKZ22" t="s">
        <v>6984</v>
      </c>
      <c r="FLA22" t="s">
        <v>6984</v>
      </c>
      <c r="FLB22" t="s">
        <v>6984</v>
      </c>
      <c r="FLC22" t="s">
        <v>6984</v>
      </c>
      <c r="FLD22" t="s">
        <v>6984</v>
      </c>
      <c r="FLE22" t="s">
        <v>6984</v>
      </c>
      <c r="FLF22" t="s">
        <v>6984</v>
      </c>
      <c r="FLG22" t="s">
        <v>6984</v>
      </c>
      <c r="FLH22" t="s">
        <v>6984</v>
      </c>
      <c r="FLI22" t="s">
        <v>6984</v>
      </c>
      <c r="FLJ22" t="s">
        <v>6984</v>
      </c>
      <c r="FLK22" t="s">
        <v>6984</v>
      </c>
      <c r="FLL22" t="s">
        <v>6984</v>
      </c>
      <c r="FLM22" t="s">
        <v>6984</v>
      </c>
      <c r="FLN22" t="s">
        <v>6984</v>
      </c>
      <c r="FLO22" t="s">
        <v>6984</v>
      </c>
      <c r="FLP22" t="s">
        <v>6984</v>
      </c>
      <c r="FLQ22" t="s">
        <v>6984</v>
      </c>
      <c r="FLR22" t="s">
        <v>6984</v>
      </c>
      <c r="FLS22" t="s">
        <v>6984</v>
      </c>
      <c r="FLT22" t="s">
        <v>6984</v>
      </c>
      <c r="FLU22" t="s">
        <v>6984</v>
      </c>
      <c r="FLV22" t="s">
        <v>6984</v>
      </c>
      <c r="FLW22" t="s">
        <v>6984</v>
      </c>
      <c r="FLX22" t="s">
        <v>6984</v>
      </c>
      <c r="FLY22" t="s">
        <v>6984</v>
      </c>
      <c r="FLZ22" t="s">
        <v>6984</v>
      </c>
      <c r="FMA22" t="s">
        <v>6984</v>
      </c>
      <c r="FMB22" t="s">
        <v>6984</v>
      </c>
      <c r="FMC22" t="s">
        <v>6984</v>
      </c>
      <c r="FMD22" t="s">
        <v>6984</v>
      </c>
      <c r="FME22" t="s">
        <v>6984</v>
      </c>
      <c r="FMF22" t="s">
        <v>6984</v>
      </c>
      <c r="FMG22" t="s">
        <v>6984</v>
      </c>
      <c r="FMH22" t="s">
        <v>6984</v>
      </c>
      <c r="FMI22" t="s">
        <v>6984</v>
      </c>
      <c r="FMJ22" t="s">
        <v>6984</v>
      </c>
      <c r="FMK22" t="s">
        <v>6984</v>
      </c>
      <c r="FML22" t="s">
        <v>6984</v>
      </c>
      <c r="FMM22" t="s">
        <v>6984</v>
      </c>
      <c r="FMN22" t="s">
        <v>6984</v>
      </c>
      <c r="FMO22" t="s">
        <v>6984</v>
      </c>
      <c r="FMP22" t="s">
        <v>6984</v>
      </c>
      <c r="FMQ22" t="s">
        <v>6984</v>
      </c>
      <c r="FMR22" t="s">
        <v>6984</v>
      </c>
      <c r="FMS22" t="s">
        <v>6984</v>
      </c>
      <c r="FMT22" t="s">
        <v>6984</v>
      </c>
      <c r="FMU22" t="s">
        <v>6984</v>
      </c>
      <c r="FMV22" t="s">
        <v>6984</v>
      </c>
      <c r="FMW22" t="s">
        <v>6984</v>
      </c>
      <c r="FMX22" t="s">
        <v>6984</v>
      </c>
      <c r="FMY22" t="s">
        <v>6984</v>
      </c>
      <c r="FMZ22" t="s">
        <v>6984</v>
      </c>
      <c r="FNA22" t="s">
        <v>6984</v>
      </c>
      <c r="FNB22" t="s">
        <v>6984</v>
      </c>
      <c r="FNC22" t="s">
        <v>6984</v>
      </c>
      <c r="FND22" t="s">
        <v>6984</v>
      </c>
      <c r="FNE22" t="s">
        <v>6984</v>
      </c>
      <c r="FNF22" t="s">
        <v>6984</v>
      </c>
      <c r="FNG22" t="s">
        <v>6984</v>
      </c>
      <c r="FNH22" t="s">
        <v>6984</v>
      </c>
      <c r="FNI22" t="s">
        <v>6984</v>
      </c>
      <c r="FNJ22" t="s">
        <v>6984</v>
      </c>
      <c r="FNK22" t="s">
        <v>6984</v>
      </c>
      <c r="FNL22" t="s">
        <v>6984</v>
      </c>
      <c r="FNM22" t="s">
        <v>6984</v>
      </c>
      <c r="FNN22" t="s">
        <v>6984</v>
      </c>
      <c r="FNO22" t="s">
        <v>6984</v>
      </c>
      <c r="FNP22" t="s">
        <v>6984</v>
      </c>
      <c r="FNQ22" t="s">
        <v>6984</v>
      </c>
      <c r="FNR22" t="s">
        <v>6984</v>
      </c>
      <c r="FNS22" t="s">
        <v>6984</v>
      </c>
      <c r="FNT22" t="s">
        <v>6984</v>
      </c>
      <c r="FNU22" t="s">
        <v>6984</v>
      </c>
      <c r="FNV22" t="s">
        <v>6984</v>
      </c>
      <c r="FNW22" t="s">
        <v>6984</v>
      </c>
      <c r="FNX22" t="s">
        <v>6984</v>
      </c>
      <c r="FNY22" t="s">
        <v>6984</v>
      </c>
      <c r="FNZ22" t="s">
        <v>6984</v>
      </c>
      <c r="FOA22" t="s">
        <v>6984</v>
      </c>
      <c r="FOB22" t="s">
        <v>6984</v>
      </c>
      <c r="FOC22" t="s">
        <v>6984</v>
      </c>
      <c r="FOD22" t="s">
        <v>6984</v>
      </c>
      <c r="FOE22" t="s">
        <v>6984</v>
      </c>
      <c r="FOF22" t="s">
        <v>6984</v>
      </c>
      <c r="FOG22" t="s">
        <v>6984</v>
      </c>
      <c r="FOH22" t="s">
        <v>6984</v>
      </c>
      <c r="FOI22" t="s">
        <v>6984</v>
      </c>
      <c r="FOJ22" t="s">
        <v>6984</v>
      </c>
      <c r="FOK22" t="s">
        <v>6984</v>
      </c>
      <c r="FOL22" t="s">
        <v>6984</v>
      </c>
      <c r="FOM22" t="s">
        <v>6984</v>
      </c>
      <c r="FON22" t="s">
        <v>6984</v>
      </c>
      <c r="FOO22" t="s">
        <v>6984</v>
      </c>
      <c r="FOP22" t="s">
        <v>6984</v>
      </c>
      <c r="FOQ22" t="s">
        <v>6984</v>
      </c>
      <c r="FOR22" t="s">
        <v>6984</v>
      </c>
      <c r="FOS22" t="s">
        <v>6984</v>
      </c>
      <c r="FOT22" t="s">
        <v>6984</v>
      </c>
      <c r="FOU22" t="s">
        <v>6984</v>
      </c>
      <c r="FOV22" t="s">
        <v>6984</v>
      </c>
      <c r="FOW22" t="s">
        <v>6984</v>
      </c>
      <c r="FOX22" t="s">
        <v>6984</v>
      </c>
      <c r="FOY22" t="s">
        <v>6984</v>
      </c>
      <c r="FOZ22" t="s">
        <v>6984</v>
      </c>
      <c r="FPA22" t="s">
        <v>6984</v>
      </c>
      <c r="FPB22" t="s">
        <v>6984</v>
      </c>
      <c r="FPC22" t="s">
        <v>6984</v>
      </c>
      <c r="FPD22" t="s">
        <v>6984</v>
      </c>
      <c r="FPE22" t="s">
        <v>6984</v>
      </c>
      <c r="FPF22" t="s">
        <v>6984</v>
      </c>
      <c r="FPG22" t="s">
        <v>6984</v>
      </c>
      <c r="FPH22" t="s">
        <v>6984</v>
      </c>
      <c r="FPI22" t="s">
        <v>6984</v>
      </c>
      <c r="FPJ22" t="s">
        <v>6984</v>
      </c>
      <c r="FPK22" t="s">
        <v>6984</v>
      </c>
      <c r="FPL22" t="s">
        <v>6984</v>
      </c>
      <c r="FPM22" t="s">
        <v>6984</v>
      </c>
      <c r="FPN22" t="s">
        <v>6984</v>
      </c>
      <c r="FPO22" t="s">
        <v>6984</v>
      </c>
      <c r="FPP22" t="s">
        <v>6984</v>
      </c>
      <c r="FPQ22" t="s">
        <v>6984</v>
      </c>
      <c r="FPR22" t="s">
        <v>6984</v>
      </c>
      <c r="FPS22" t="s">
        <v>6984</v>
      </c>
      <c r="FPT22" t="s">
        <v>6984</v>
      </c>
      <c r="FPU22" t="s">
        <v>6984</v>
      </c>
      <c r="FPV22" t="s">
        <v>6984</v>
      </c>
      <c r="FPW22" t="s">
        <v>6984</v>
      </c>
      <c r="FPX22" t="s">
        <v>6984</v>
      </c>
      <c r="FPY22" t="s">
        <v>6984</v>
      </c>
      <c r="FPZ22" t="s">
        <v>6984</v>
      </c>
      <c r="FQA22" t="s">
        <v>6984</v>
      </c>
      <c r="FQB22" t="s">
        <v>6984</v>
      </c>
      <c r="FQC22" t="s">
        <v>6984</v>
      </c>
      <c r="FQD22" t="s">
        <v>6984</v>
      </c>
      <c r="FQE22" t="s">
        <v>6984</v>
      </c>
      <c r="FQF22" t="s">
        <v>6984</v>
      </c>
      <c r="FQG22" t="s">
        <v>6984</v>
      </c>
      <c r="FQH22" t="s">
        <v>6984</v>
      </c>
      <c r="FQI22" t="s">
        <v>6984</v>
      </c>
      <c r="FQJ22" t="s">
        <v>6984</v>
      </c>
      <c r="FQK22" t="s">
        <v>6984</v>
      </c>
      <c r="FQL22" t="s">
        <v>6984</v>
      </c>
      <c r="FQM22" t="s">
        <v>6984</v>
      </c>
      <c r="FQN22" t="s">
        <v>6984</v>
      </c>
      <c r="FQO22" t="s">
        <v>6984</v>
      </c>
      <c r="FQP22" t="s">
        <v>6984</v>
      </c>
      <c r="FQQ22" t="s">
        <v>6984</v>
      </c>
      <c r="FQR22" t="s">
        <v>6984</v>
      </c>
      <c r="FQS22" t="s">
        <v>6984</v>
      </c>
      <c r="FQT22" t="s">
        <v>6984</v>
      </c>
      <c r="FQU22" t="s">
        <v>6984</v>
      </c>
      <c r="FQV22" t="s">
        <v>6984</v>
      </c>
      <c r="FQW22" t="s">
        <v>6984</v>
      </c>
      <c r="FQX22" t="s">
        <v>6984</v>
      </c>
      <c r="FQY22" t="s">
        <v>6984</v>
      </c>
      <c r="FQZ22" t="s">
        <v>6984</v>
      </c>
      <c r="FRA22" t="s">
        <v>6984</v>
      </c>
      <c r="FRB22" t="s">
        <v>6984</v>
      </c>
      <c r="FRC22" t="s">
        <v>6984</v>
      </c>
      <c r="FRD22" t="s">
        <v>6984</v>
      </c>
      <c r="FRE22" t="s">
        <v>6984</v>
      </c>
      <c r="FRF22" t="s">
        <v>6984</v>
      </c>
      <c r="FRG22" t="s">
        <v>6984</v>
      </c>
      <c r="FRH22" t="s">
        <v>6984</v>
      </c>
      <c r="FRI22" t="s">
        <v>6984</v>
      </c>
      <c r="FRJ22" t="s">
        <v>6984</v>
      </c>
      <c r="FRK22" t="s">
        <v>6984</v>
      </c>
      <c r="FRL22" t="s">
        <v>6984</v>
      </c>
      <c r="FRM22" t="s">
        <v>6984</v>
      </c>
      <c r="FRN22" t="s">
        <v>6984</v>
      </c>
      <c r="FRO22" t="s">
        <v>6984</v>
      </c>
      <c r="FRP22" t="s">
        <v>6984</v>
      </c>
      <c r="FRQ22" t="s">
        <v>6984</v>
      </c>
      <c r="FRR22" t="s">
        <v>6984</v>
      </c>
      <c r="FRS22" t="s">
        <v>6984</v>
      </c>
      <c r="FRT22" t="s">
        <v>6984</v>
      </c>
      <c r="FRU22" t="s">
        <v>6984</v>
      </c>
      <c r="FRV22" t="s">
        <v>6984</v>
      </c>
      <c r="FRW22" t="s">
        <v>6984</v>
      </c>
      <c r="FRX22" t="s">
        <v>6984</v>
      </c>
      <c r="FRY22" t="s">
        <v>6984</v>
      </c>
      <c r="FRZ22" t="s">
        <v>6984</v>
      </c>
      <c r="FSA22" t="s">
        <v>6984</v>
      </c>
      <c r="FSB22" t="s">
        <v>6984</v>
      </c>
      <c r="FSC22" t="s">
        <v>6984</v>
      </c>
      <c r="FSD22" t="s">
        <v>6984</v>
      </c>
      <c r="FSE22" t="s">
        <v>6984</v>
      </c>
      <c r="FSF22" t="s">
        <v>6984</v>
      </c>
      <c r="FSG22" t="s">
        <v>6984</v>
      </c>
      <c r="FSH22" t="s">
        <v>6984</v>
      </c>
      <c r="FSI22" t="s">
        <v>6984</v>
      </c>
      <c r="FSJ22" t="s">
        <v>6984</v>
      </c>
      <c r="FSK22" t="s">
        <v>6984</v>
      </c>
      <c r="FSL22" t="s">
        <v>6984</v>
      </c>
      <c r="FSM22" t="s">
        <v>6984</v>
      </c>
      <c r="FSN22" t="s">
        <v>6984</v>
      </c>
      <c r="FSO22" t="s">
        <v>6984</v>
      </c>
      <c r="FSP22" t="s">
        <v>6984</v>
      </c>
      <c r="FSQ22" t="s">
        <v>6984</v>
      </c>
      <c r="FSR22" t="s">
        <v>6984</v>
      </c>
      <c r="FSS22" t="s">
        <v>6984</v>
      </c>
      <c r="FST22" t="s">
        <v>6984</v>
      </c>
      <c r="FSU22" t="s">
        <v>6984</v>
      </c>
      <c r="FSV22" t="s">
        <v>6984</v>
      </c>
      <c r="FSW22" t="s">
        <v>6984</v>
      </c>
      <c r="FSX22" t="s">
        <v>6984</v>
      </c>
      <c r="FSY22" t="s">
        <v>6984</v>
      </c>
      <c r="FSZ22" t="s">
        <v>6984</v>
      </c>
      <c r="FTA22" t="s">
        <v>6984</v>
      </c>
      <c r="FTB22" t="s">
        <v>6984</v>
      </c>
      <c r="FTC22" t="s">
        <v>6984</v>
      </c>
      <c r="FTD22" t="s">
        <v>6984</v>
      </c>
      <c r="FTE22" t="s">
        <v>6984</v>
      </c>
      <c r="FTF22" t="s">
        <v>6984</v>
      </c>
      <c r="FTG22" t="s">
        <v>6984</v>
      </c>
      <c r="FTH22" t="s">
        <v>6984</v>
      </c>
      <c r="FTI22" t="s">
        <v>6984</v>
      </c>
      <c r="FTJ22" t="s">
        <v>6984</v>
      </c>
      <c r="FTK22" t="s">
        <v>6984</v>
      </c>
      <c r="FTL22" t="s">
        <v>6984</v>
      </c>
      <c r="FTM22" t="s">
        <v>6984</v>
      </c>
      <c r="FTN22" t="s">
        <v>6984</v>
      </c>
      <c r="FTO22" t="s">
        <v>6984</v>
      </c>
      <c r="FTP22" t="s">
        <v>6984</v>
      </c>
      <c r="FTQ22" t="s">
        <v>6984</v>
      </c>
      <c r="FTR22" t="s">
        <v>6984</v>
      </c>
      <c r="FTS22" t="s">
        <v>6984</v>
      </c>
      <c r="FTT22" t="s">
        <v>6984</v>
      </c>
      <c r="FTU22" t="s">
        <v>6984</v>
      </c>
      <c r="FTV22" t="s">
        <v>6984</v>
      </c>
      <c r="FTW22" t="s">
        <v>6984</v>
      </c>
      <c r="FTX22" t="s">
        <v>6984</v>
      </c>
      <c r="FTY22" t="s">
        <v>6984</v>
      </c>
      <c r="FTZ22" t="s">
        <v>6984</v>
      </c>
      <c r="FUA22" t="s">
        <v>6984</v>
      </c>
      <c r="FUB22" t="s">
        <v>6984</v>
      </c>
      <c r="FUC22" t="s">
        <v>6984</v>
      </c>
      <c r="FUD22" t="s">
        <v>6984</v>
      </c>
      <c r="FUE22" t="s">
        <v>6984</v>
      </c>
      <c r="FUF22" t="s">
        <v>6984</v>
      </c>
      <c r="FUG22" t="s">
        <v>6984</v>
      </c>
      <c r="FUH22" t="s">
        <v>6984</v>
      </c>
      <c r="FUI22" t="s">
        <v>6984</v>
      </c>
      <c r="FUJ22" t="s">
        <v>6984</v>
      </c>
      <c r="FUK22" t="s">
        <v>6984</v>
      </c>
      <c r="FUL22" t="s">
        <v>6984</v>
      </c>
      <c r="FUM22" t="s">
        <v>6984</v>
      </c>
      <c r="FUN22" t="s">
        <v>6984</v>
      </c>
      <c r="FUO22" t="s">
        <v>6984</v>
      </c>
      <c r="FUP22" t="s">
        <v>6984</v>
      </c>
      <c r="FUQ22" t="s">
        <v>6984</v>
      </c>
      <c r="FUR22" t="s">
        <v>6984</v>
      </c>
      <c r="FUS22" t="s">
        <v>6984</v>
      </c>
      <c r="FUT22" t="s">
        <v>6984</v>
      </c>
      <c r="FUU22" t="s">
        <v>6984</v>
      </c>
      <c r="FUV22" t="s">
        <v>6984</v>
      </c>
      <c r="FUW22" t="s">
        <v>6984</v>
      </c>
      <c r="FUX22" t="s">
        <v>6984</v>
      </c>
      <c r="FUY22" t="s">
        <v>6984</v>
      </c>
      <c r="FUZ22" t="s">
        <v>6984</v>
      </c>
      <c r="FVA22" t="s">
        <v>6984</v>
      </c>
      <c r="FVB22" t="s">
        <v>6984</v>
      </c>
      <c r="FVC22" t="s">
        <v>6984</v>
      </c>
      <c r="FVD22" t="s">
        <v>6984</v>
      </c>
      <c r="FVE22" t="s">
        <v>6984</v>
      </c>
      <c r="FVF22" t="s">
        <v>6984</v>
      </c>
      <c r="FVG22" t="s">
        <v>6984</v>
      </c>
      <c r="FVH22" t="s">
        <v>6984</v>
      </c>
      <c r="FVI22" t="s">
        <v>6984</v>
      </c>
      <c r="FVJ22" t="s">
        <v>6984</v>
      </c>
      <c r="FVK22" t="s">
        <v>6984</v>
      </c>
      <c r="FVL22" t="s">
        <v>6984</v>
      </c>
      <c r="FVM22" t="s">
        <v>6984</v>
      </c>
      <c r="FVN22" t="s">
        <v>6984</v>
      </c>
      <c r="FVO22" t="s">
        <v>6984</v>
      </c>
      <c r="FVP22" t="s">
        <v>6984</v>
      </c>
      <c r="FVQ22" t="s">
        <v>6984</v>
      </c>
      <c r="FVR22" t="s">
        <v>6984</v>
      </c>
      <c r="FVS22" t="s">
        <v>6984</v>
      </c>
      <c r="FVT22" t="s">
        <v>6984</v>
      </c>
      <c r="FVU22" t="s">
        <v>6984</v>
      </c>
      <c r="FVV22" t="s">
        <v>6984</v>
      </c>
      <c r="FVW22" t="s">
        <v>6984</v>
      </c>
      <c r="FVX22" t="s">
        <v>6984</v>
      </c>
      <c r="FVY22" t="s">
        <v>6984</v>
      </c>
      <c r="FVZ22" t="s">
        <v>6984</v>
      </c>
      <c r="FWA22" t="s">
        <v>6984</v>
      </c>
      <c r="FWB22" t="s">
        <v>6984</v>
      </c>
      <c r="FWC22" t="s">
        <v>6984</v>
      </c>
      <c r="FWD22" t="s">
        <v>6984</v>
      </c>
      <c r="FWE22" t="s">
        <v>6984</v>
      </c>
      <c r="FWF22" t="s">
        <v>6984</v>
      </c>
      <c r="FWG22" t="s">
        <v>6984</v>
      </c>
      <c r="FWH22" t="s">
        <v>6984</v>
      </c>
      <c r="FWI22" t="s">
        <v>6984</v>
      </c>
      <c r="FWJ22" t="s">
        <v>6984</v>
      </c>
      <c r="FWK22" t="s">
        <v>6984</v>
      </c>
      <c r="FWL22" t="s">
        <v>6984</v>
      </c>
      <c r="FWM22" t="s">
        <v>6984</v>
      </c>
      <c r="FWN22" t="s">
        <v>6984</v>
      </c>
      <c r="FWO22" t="s">
        <v>6984</v>
      </c>
      <c r="FWP22" t="s">
        <v>6984</v>
      </c>
      <c r="FWQ22" t="s">
        <v>6984</v>
      </c>
      <c r="FWR22" t="s">
        <v>6984</v>
      </c>
      <c r="FWS22" t="s">
        <v>6984</v>
      </c>
      <c r="FWT22" t="s">
        <v>6984</v>
      </c>
      <c r="FWU22" t="s">
        <v>6984</v>
      </c>
      <c r="FWV22" t="s">
        <v>6984</v>
      </c>
      <c r="FWW22" t="s">
        <v>6984</v>
      </c>
      <c r="FWX22" t="s">
        <v>6984</v>
      </c>
      <c r="FWY22" t="s">
        <v>6984</v>
      </c>
      <c r="FWZ22" t="s">
        <v>6984</v>
      </c>
      <c r="FXA22" t="s">
        <v>6984</v>
      </c>
      <c r="FXB22" t="s">
        <v>6984</v>
      </c>
      <c r="FXC22" t="s">
        <v>6984</v>
      </c>
      <c r="FXD22" t="s">
        <v>6984</v>
      </c>
      <c r="FXE22" t="s">
        <v>6984</v>
      </c>
      <c r="FXF22" t="s">
        <v>6984</v>
      </c>
      <c r="FXG22" t="s">
        <v>6984</v>
      </c>
      <c r="FXH22" t="s">
        <v>6984</v>
      </c>
      <c r="FXI22" t="s">
        <v>6984</v>
      </c>
      <c r="FXJ22" t="s">
        <v>6984</v>
      </c>
      <c r="FXK22" t="s">
        <v>6984</v>
      </c>
      <c r="FXL22" t="s">
        <v>6984</v>
      </c>
      <c r="FXM22" t="s">
        <v>6984</v>
      </c>
      <c r="FXN22" t="s">
        <v>6984</v>
      </c>
      <c r="FXO22" t="s">
        <v>6984</v>
      </c>
      <c r="FXP22" t="s">
        <v>6984</v>
      </c>
      <c r="FXQ22" t="s">
        <v>6984</v>
      </c>
      <c r="FXR22" t="s">
        <v>6984</v>
      </c>
      <c r="FXS22" t="s">
        <v>6984</v>
      </c>
      <c r="FXT22" t="s">
        <v>6984</v>
      </c>
      <c r="FXU22" t="s">
        <v>6984</v>
      </c>
      <c r="FXV22" t="s">
        <v>6984</v>
      </c>
      <c r="FXW22" t="s">
        <v>6984</v>
      </c>
      <c r="FXX22" t="s">
        <v>6984</v>
      </c>
      <c r="FXY22" t="s">
        <v>6984</v>
      </c>
      <c r="FXZ22" t="s">
        <v>6984</v>
      </c>
      <c r="FYA22" t="s">
        <v>6984</v>
      </c>
      <c r="FYB22" t="s">
        <v>6984</v>
      </c>
      <c r="FYC22" t="s">
        <v>6984</v>
      </c>
      <c r="FYD22" t="s">
        <v>6984</v>
      </c>
      <c r="FYE22" t="s">
        <v>6984</v>
      </c>
      <c r="FYF22" t="s">
        <v>6984</v>
      </c>
      <c r="FYG22" t="s">
        <v>6984</v>
      </c>
      <c r="FYH22" t="s">
        <v>6984</v>
      </c>
      <c r="FYI22" t="s">
        <v>6984</v>
      </c>
      <c r="FYJ22" t="s">
        <v>6984</v>
      </c>
      <c r="FYK22" t="s">
        <v>6984</v>
      </c>
      <c r="FYL22" t="s">
        <v>6984</v>
      </c>
      <c r="FYM22" t="s">
        <v>6984</v>
      </c>
      <c r="FYN22" t="s">
        <v>6984</v>
      </c>
      <c r="FYO22" t="s">
        <v>6984</v>
      </c>
      <c r="FYP22" t="s">
        <v>6984</v>
      </c>
      <c r="FYQ22" t="s">
        <v>6984</v>
      </c>
      <c r="FYR22" t="s">
        <v>6984</v>
      </c>
      <c r="FYS22" t="s">
        <v>6984</v>
      </c>
      <c r="FYT22" t="s">
        <v>6984</v>
      </c>
      <c r="FYU22" t="s">
        <v>6984</v>
      </c>
      <c r="FYV22" t="s">
        <v>6984</v>
      </c>
      <c r="FYW22" t="s">
        <v>6984</v>
      </c>
      <c r="FYX22" t="s">
        <v>6984</v>
      </c>
      <c r="FYY22" t="s">
        <v>6984</v>
      </c>
      <c r="FYZ22" t="s">
        <v>6984</v>
      </c>
      <c r="FZA22" t="s">
        <v>6984</v>
      </c>
      <c r="FZB22" t="s">
        <v>6984</v>
      </c>
      <c r="FZC22" t="s">
        <v>6984</v>
      </c>
      <c r="FZD22" t="s">
        <v>6984</v>
      </c>
      <c r="FZE22" t="s">
        <v>6984</v>
      </c>
      <c r="FZF22" t="s">
        <v>6984</v>
      </c>
      <c r="FZG22" t="s">
        <v>6984</v>
      </c>
      <c r="FZH22" t="s">
        <v>6984</v>
      </c>
      <c r="FZI22" t="s">
        <v>6984</v>
      </c>
      <c r="FZJ22" t="s">
        <v>6984</v>
      </c>
      <c r="FZK22" t="s">
        <v>6984</v>
      </c>
      <c r="FZL22" t="s">
        <v>6984</v>
      </c>
      <c r="FZM22" t="s">
        <v>6984</v>
      </c>
      <c r="FZN22" t="s">
        <v>6984</v>
      </c>
      <c r="FZO22" t="s">
        <v>6984</v>
      </c>
      <c r="FZP22" t="s">
        <v>6984</v>
      </c>
      <c r="FZQ22" t="s">
        <v>6984</v>
      </c>
      <c r="FZR22" t="s">
        <v>6984</v>
      </c>
      <c r="FZS22" t="s">
        <v>6984</v>
      </c>
      <c r="FZT22" t="s">
        <v>6984</v>
      </c>
      <c r="FZU22" t="s">
        <v>6984</v>
      </c>
      <c r="FZV22" t="s">
        <v>6984</v>
      </c>
      <c r="FZW22" t="s">
        <v>6984</v>
      </c>
      <c r="FZX22" t="s">
        <v>6984</v>
      </c>
      <c r="FZY22" t="s">
        <v>6984</v>
      </c>
      <c r="FZZ22" t="s">
        <v>6984</v>
      </c>
      <c r="GAA22" t="s">
        <v>6984</v>
      </c>
      <c r="GAB22" t="s">
        <v>6984</v>
      </c>
      <c r="GAC22" t="s">
        <v>6984</v>
      </c>
      <c r="GAD22" t="s">
        <v>6984</v>
      </c>
      <c r="GAE22" t="s">
        <v>6984</v>
      </c>
      <c r="GAF22" t="s">
        <v>6984</v>
      </c>
      <c r="GAG22" t="s">
        <v>6984</v>
      </c>
      <c r="GAH22" t="s">
        <v>6984</v>
      </c>
      <c r="GAI22" t="s">
        <v>6984</v>
      </c>
      <c r="GAJ22" t="s">
        <v>6984</v>
      </c>
      <c r="GAK22" t="s">
        <v>6984</v>
      </c>
      <c r="GAL22" t="s">
        <v>6984</v>
      </c>
      <c r="GAM22" t="s">
        <v>6984</v>
      </c>
      <c r="GAN22" t="s">
        <v>6984</v>
      </c>
      <c r="GAO22" t="s">
        <v>6984</v>
      </c>
      <c r="GAP22" t="s">
        <v>6984</v>
      </c>
      <c r="GAQ22" t="s">
        <v>6984</v>
      </c>
      <c r="GAR22" t="s">
        <v>6984</v>
      </c>
      <c r="GAS22" t="s">
        <v>6984</v>
      </c>
      <c r="GAT22" t="s">
        <v>6984</v>
      </c>
      <c r="GAU22" t="s">
        <v>6984</v>
      </c>
      <c r="GAV22" t="s">
        <v>6984</v>
      </c>
      <c r="GAW22" t="s">
        <v>6984</v>
      </c>
      <c r="GAX22" t="s">
        <v>6984</v>
      </c>
      <c r="GAY22" t="s">
        <v>6984</v>
      </c>
      <c r="GAZ22" t="s">
        <v>6984</v>
      </c>
      <c r="GBA22" t="s">
        <v>6984</v>
      </c>
      <c r="GBB22" t="s">
        <v>6984</v>
      </c>
      <c r="GBC22" t="s">
        <v>6984</v>
      </c>
      <c r="GBD22" t="s">
        <v>6984</v>
      </c>
      <c r="GBE22" t="s">
        <v>6984</v>
      </c>
      <c r="GBF22" t="s">
        <v>6984</v>
      </c>
      <c r="GBG22" t="s">
        <v>6984</v>
      </c>
      <c r="GBH22" t="s">
        <v>6984</v>
      </c>
      <c r="GBI22" t="s">
        <v>6984</v>
      </c>
      <c r="GBJ22" t="s">
        <v>6984</v>
      </c>
      <c r="GBK22" t="s">
        <v>6984</v>
      </c>
      <c r="GBL22" t="s">
        <v>6984</v>
      </c>
      <c r="GBM22" t="s">
        <v>6984</v>
      </c>
      <c r="GBN22" t="s">
        <v>6984</v>
      </c>
      <c r="GBO22" t="s">
        <v>6984</v>
      </c>
      <c r="GBP22" t="s">
        <v>6984</v>
      </c>
      <c r="GBQ22" t="s">
        <v>6984</v>
      </c>
      <c r="GBR22" t="s">
        <v>6984</v>
      </c>
      <c r="GBS22" t="s">
        <v>6984</v>
      </c>
      <c r="GBT22" t="s">
        <v>6984</v>
      </c>
      <c r="GBU22" t="s">
        <v>6984</v>
      </c>
      <c r="GBV22" t="s">
        <v>6984</v>
      </c>
      <c r="GBW22" t="s">
        <v>6984</v>
      </c>
      <c r="GBX22" t="s">
        <v>6984</v>
      </c>
      <c r="GBY22" t="s">
        <v>6984</v>
      </c>
      <c r="GBZ22" t="s">
        <v>6984</v>
      </c>
      <c r="GCA22" t="s">
        <v>6984</v>
      </c>
      <c r="GCB22" t="s">
        <v>6984</v>
      </c>
      <c r="GCC22" t="s">
        <v>6984</v>
      </c>
      <c r="GCD22" t="s">
        <v>6984</v>
      </c>
      <c r="GCE22" t="s">
        <v>6984</v>
      </c>
      <c r="GCF22" t="s">
        <v>6984</v>
      </c>
      <c r="GCG22" t="s">
        <v>6984</v>
      </c>
      <c r="GCH22" t="s">
        <v>6984</v>
      </c>
      <c r="GCI22" t="s">
        <v>6984</v>
      </c>
      <c r="GCJ22" t="s">
        <v>6984</v>
      </c>
      <c r="GCK22" t="s">
        <v>6984</v>
      </c>
      <c r="GCL22" t="s">
        <v>6984</v>
      </c>
      <c r="GCM22" t="s">
        <v>6984</v>
      </c>
      <c r="GCN22" t="s">
        <v>6984</v>
      </c>
      <c r="GCO22" t="s">
        <v>6984</v>
      </c>
      <c r="GCP22" t="s">
        <v>6984</v>
      </c>
      <c r="GCQ22" t="s">
        <v>6984</v>
      </c>
      <c r="GCR22" t="s">
        <v>6984</v>
      </c>
      <c r="GCS22" t="s">
        <v>6984</v>
      </c>
      <c r="GCT22" t="s">
        <v>6984</v>
      </c>
      <c r="GCU22" t="s">
        <v>6984</v>
      </c>
      <c r="GCV22" t="s">
        <v>6984</v>
      </c>
      <c r="GCW22" t="s">
        <v>6984</v>
      </c>
      <c r="GCX22" t="s">
        <v>6984</v>
      </c>
      <c r="GCY22" t="s">
        <v>6984</v>
      </c>
      <c r="GCZ22" t="s">
        <v>6984</v>
      </c>
      <c r="GDA22" t="s">
        <v>6984</v>
      </c>
      <c r="GDB22" t="s">
        <v>6984</v>
      </c>
      <c r="GDC22" t="s">
        <v>6984</v>
      </c>
      <c r="GDD22" t="s">
        <v>6984</v>
      </c>
      <c r="GDE22" t="s">
        <v>6984</v>
      </c>
      <c r="GDF22" t="s">
        <v>6984</v>
      </c>
      <c r="GDG22" t="s">
        <v>6984</v>
      </c>
      <c r="GDH22" t="s">
        <v>6984</v>
      </c>
      <c r="GDI22" t="s">
        <v>6984</v>
      </c>
      <c r="GDJ22" t="s">
        <v>6984</v>
      </c>
      <c r="GDK22" t="s">
        <v>6984</v>
      </c>
      <c r="GDL22" t="s">
        <v>6984</v>
      </c>
      <c r="GDM22" t="s">
        <v>6984</v>
      </c>
      <c r="GDN22" t="s">
        <v>6984</v>
      </c>
      <c r="GDO22" t="s">
        <v>6984</v>
      </c>
      <c r="GDP22" t="s">
        <v>6984</v>
      </c>
      <c r="GDQ22" t="s">
        <v>6984</v>
      </c>
      <c r="GDR22" t="s">
        <v>6984</v>
      </c>
      <c r="GDS22" t="s">
        <v>6984</v>
      </c>
      <c r="GDT22" t="s">
        <v>6984</v>
      </c>
      <c r="GDU22" t="s">
        <v>6984</v>
      </c>
      <c r="GDV22" t="s">
        <v>6984</v>
      </c>
      <c r="GDW22" t="s">
        <v>6984</v>
      </c>
      <c r="GDX22" t="s">
        <v>6984</v>
      </c>
      <c r="GDY22" t="s">
        <v>6984</v>
      </c>
      <c r="GDZ22" t="s">
        <v>6984</v>
      </c>
      <c r="GEA22" t="s">
        <v>6984</v>
      </c>
      <c r="GEB22" t="s">
        <v>6984</v>
      </c>
      <c r="GEC22" t="s">
        <v>6984</v>
      </c>
      <c r="GED22" t="s">
        <v>6984</v>
      </c>
      <c r="GEE22" t="s">
        <v>6984</v>
      </c>
      <c r="GEF22" t="s">
        <v>6984</v>
      </c>
      <c r="GEG22" t="s">
        <v>6984</v>
      </c>
      <c r="GEH22" t="s">
        <v>6984</v>
      </c>
      <c r="GEI22" t="s">
        <v>6984</v>
      </c>
      <c r="GEJ22" t="s">
        <v>6984</v>
      </c>
      <c r="GEK22" t="s">
        <v>6984</v>
      </c>
      <c r="GEL22" t="s">
        <v>6984</v>
      </c>
      <c r="GEM22" t="s">
        <v>6984</v>
      </c>
      <c r="GEN22" t="s">
        <v>6984</v>
      </c>
      <c r="GEO22" t="s">
        <v>6984</v>
      </c>
      <c r="GEP22" t="s">
        <v>6984</v>
      </c>
      <c r="GEQ22" t="s">
        <v>6984</v>
      </c>
      <c r="GER22" t="s">
        <v>6984</v>
      </c>
      <c r="GES22" t="s">
        <v>6984</v>
      </c>
      <c r="GET22" t="s">
        <v>6984</v>
      </c>
      <c r="GEU22" t="s">
        <v>6984</v>
      </c>
      <c r="GEV22" t="s">
        <v>6984</v>
      </c>
      <c r="GEW22" t="s">
        <v>6984</v>
      </c>
      <c r="GEX22" t="s">
        <v>6984</v>
      </c>
      <c r="GEY22" t="s">
        <v>6984</v>
      </c>
      <c r="GEZ22" t="s">
        <v>6984</v>
      </c>
      <c r="GFA22" t="s">
        <v>6984</v>
      </c>
      <c r="GFB22" t="s">
        <v>6984</v>
      </c>
      <c r="GFC22" t="s">
        <v>6984</v>
      </c>
      <c r="GFD22" t="s">
        <v>6984</v>
      </c>
      <c r="GFE22" t="s">
        <v>6984</v>
      </c>
      <c r="GFF22" t="s">
        <v>6984</v>
      </c>
      <c r="GFG22" t="s">
        <v>6984</v>
      </c>
      <c r="GFH22" t="s">
        <v>6984</v>
      </c>
      <c r="GFI22" t="s">
        <v>6984</v>
      </c>
      <c r="GFJ22" t="s">
        <v>6984</v>
      </c>
      <c r="GFK22" t="s">
        <v>6984</v>
      </c>
      <c r="GFL22" t="s">
        <v>6984</v>
      </c>
      <c r="GFM22" t="s">
        <v>6984</v>
      </c>
      <c r="GFN22" t="s">
        <v>6984</v>
      </c>
      <c r="GFO22" t="s">
        <v>6984</v>
      </c>
      <c r="GFP22" t="s">
        <v>6984</v>
      </c>
      <c r="GFQ22" t="s">
        <v>6984</v>
      </c>
      <c r="GFR22" t="s">
        <v>6984</v>
      </c>
      <c r="GFS22" t="s">
        <v>6984</v>
      </c>
      <c r="GFT22" t="s">
        <v>6984</v>
      </c>
      <c r="GFU22" t="s">
        <v>6984</v>
      </c>
      <c r="GFV22" t="s">
        <v>6984</v>
      </c>
      <c r="GFW22" t="s">
        <v>6984</v>
      </c>
      <c r="GFX22" t="s">
        <v>6984</v>
      </c>
      <c r="GFY22" t="s">
        <v>6984</v>
      </c>
      <c r="GFZ22" t="s">
        <v>6984</v>
      </c>
      <c r="GGA22" t="s">
        <v>6984</v>
      </c>
      <c r="GGB22" t="s">
        <v>6984</v>
      </c>
      <c r="GGC22" t="s">
        <v>6984</v>
      </c>
      <c r="GGD22" t="s">
        <v>6984</v>
      </c>
      <c r="GGE22" t="s">
        <v>6984</v>
      </c>
      <c r="GGF22" t="s">
        <v>6984</v>
      </c>
      <c r="GGG22" t="s">
        <v>6984</v>
      </c>
      <c r="GGH22" t="s">
        <v>6984</v>
      </c>
      <c r="GGI22" t="s">
        <v>6984</v>
      </c>
      <c r="GGJ22" t="s">
        <v>6984</v>
      </c>
      <c r="GGK22" t="s">
        <v>6984</v>
      </c>
      <c r="GGL22" t="s">
        <v>6984</v>
      </c>
      <c r="GGM22" t="s">
        <v>6984</v>
      </c>
      <c r="GGN22" t="s">
        <v>6984</v>
      </c>
      <c r="GGO22" t="s">
        <v>6984</v>
      </c>
      <c r="GGP22" t="s">
        <v>6984</v>
      </c>
      <c r="GGQ22" t="s">
        <v>6984</v>
      </c>
      <c r="GGR22" t="s">
        <v>6984</v>
      </c>
      <c r="GGS22" t="s">
        <v>6984</v>
      </c>
      <c r="GGT22" t="s">
        <v>6984</v>
      </c>
      <c r="GGU22" t="s">
        <v>6984</v>
      </c>
      <c r="GGV22" t="s">
        <v>6984</v>
      </c>
      <c r="GGW22" t="s">
        <v>6984</v>
      </c>
      <c r="GGX22" t="s">
        <v>6984</v>
      </c>
      <c r="GGY22" t="s">
        <v>6984</v>
      </c>
      <c r="GGZ22" t="s">
        <v>6984</v>
      </c>
      <c r="GHA22" t="s">
        <v>6984</v>
      </c>
      <c r="GHB22" t="s">
        <v>6984</v>
      </c>
      <c r="GHC22" t="s">
        <v>6984</v>
      </c>
      <c r="GHD22" t="s">
        <v>6984</v>
      </c>
      <c r="GHE22" t="s">
        <v>6984</v>
      </c>
      <c r="GHF22" t="s">
        <v>6984</v>
      </c>
      <c r="GHG22" t="s">
        <v>6984</v>
      </c>
      <c r="GHH22" t="s">
        <v>6984</v>
      </c>
      <c r="GHI22" t="s">
        <v>6984</v>
      </c>
      <c r="GHJ22" t="s">
        <v>6984</v>
      </c>
      <c r="GHK22" t="s">
        <v>6984</v>
      </c>
      <c r="GHL22" t="s">
        <v>6984</v>
      </c>
      <c r="GHM22" t="s">
        <v>6984</v>
      </c>
      <c r="GHN22" t="s">
        <v>6984</v>
      </c>
      <c r="GHO22" t="s">
        <v>6984</v>
      </c>
      <c r="GHP22" t="s">
        <v>6984</v>
      </c>
      <c r="GHQ22" t="s">
        <v>6984</v>
      </c>
      <c r="GHR22" t="s">
        <v>6984</v>
      </c>
      <c r="GHS22" t="s">
        <v>6984</v>
      </c>
      <c r="GHT22" t="s">
        <v>6984</v>
      </c>
      <c r="GHU22" t="s">
        <v>6984</v>
      </c>
      <c r="GHV22" t="s">
        <v>6984</v>
      </c>
      <c r="GHW22" t="s">
        <v>6984</v>
      </c>
      <c r="GHX22" t="s">
        <v>6984</v>
      </c>
      <c r="GHY22" t="s">
        <v>6984</v>
      </c>
      <c r="GHZ22" t="s">
        <v>6984</v>
      </c>
      <c r="GIA22" t="s">
        <v>6984</v>
      </c>
      <c r="GIB22" t="s">
        <v>6984</v>
      </c>
      <c r="GIC22" t="s">
        <v>6984</v>
      </c>
      <c r="GID22" t="s">
        <v>6984</v>
      </c>
      <c r="GIE22" t="s">
        <v>6984</v>
      </c>
      <c r="GIF22" t="s">
        <v>6984</v>
      </c>
      <c r="GIG22" t="s">
        <v>6984</v>
      </c>
      <c r="GIH22" t="s">
        <v>6984</v>
      </c>
      <c r="GII22" t="s">
        <v>6984</v>
      </c>
      <c r="GIJ22" t="s">
        <v>6984</v>
      </c>
      <c r="GIK22" t="s">
        <v>6984</v>
      </c>
      <c r="GIL22" t="s">
        <v>6984</v>
      </c>
      <c r="GIM22" t="s">
        <v>6984</v>
      </c>
      <c r="GIN22" t="s">
        <v>6984</v>
      </c>
      <c r="GIO22" t="s">
        <v>6984</v>
      </c>
      <c r="GIP22" t="s">
        <v>6984</v>
      </c>
      <c r="GIQ22" t="s">
        <v>6984</v>
      </c>
      <c r="GIR22" t="s">
        <v>6984</v>
      </c>
      <c r="GIS22" t="s">
        <v>6984</v>
      </c>
      <c r="GIT22" t="s">
        <v>6984</v>
      </c>
      <c r="GIU22" t="s">
        <v>6984</v>
      </c>
      <c r="GIV22" t="s">
        <v>6984</v>
      </c>
      <c r="GIW22" t="s">
        <v>6984</v>
      </c>
      <c r="GIX22" t="s">
        <v>6984</v>
      </c>
      <c r="GIY22" t="s">
        <v>6984</v>
      </c>
      <c r="GIZ22" t="s">
        <v>6984</v>
      </c>
      <c r="GJA22" t="s">
        <v>6984</v>
      </c>
      <c r="GJB22" t="s">
        <v>6984</v>
      </c>
      <c r="GJC22" t="s">
        <v>6984</v>
      </c>
      <c r="GJD22" t="s">
        <v>6984</v>
      </c>
      <c r="GJE22" t="s">
        <v>6984</v>
      </c>
      <c r="GJF22" t="s">
        <v>6984</v>
      </c>
      <c r="GJG22" t="s">
        <v>6984</v>
      </c>
      <c r="GJH22" t="s">
        <v>6984</v>
      </c>
      <c r="GJI22" t="s">
        <v>6984</v>
      </c>
      <c r="GJJ22" t="s">
        <v>6984</v>
      </c>
      <c r="GJK22" t="s">
        <v>6984</v>
      </c>
      <c r="GJL22" t="s">
        <v>6984</v>
      </c>
      <c r="GJM22" t="s">
        <v>6984</v>
      </c>
      <c r="GJN22" t="s">
        <v>6984</v>
      </c>
      <c r="GJO22" t="s">
        <v>6984</v>
      </c>
      <c r="GJP22" t="s">
        <v>6984</v>
      </c>
      <c r="GJQ22" t="s">
        <v>6984</v>
      </c>
      <c r="GJR22" t="s">
        <v>6984</v>
      </c>
      <c r="GJS22" t="s">
        <v>6984</v>
      </c>
      <c r="GJT22" t="s">
        <v>6984</v>
      </c>
      <c r="GJU22" t="s">
        <v>6984</v>
      </c>
      <c r="GJV22" t="s">
        <v>6984</v>
      </c>
      <c r="GJW22" t="s">
        <v>6984</v>
      </c>
      <c r="GJX22" t="s">
        <v>6984</v>
      </c>
      <c r="GJY22" t="s">
        <v>6984</v>
      </c>
      <c r="GJZ22" t="s">
        <v>6984</v>
      </c>
      <c r="GKA22" t="s">
        <v>6984</v>
      </c>
      <c r="GKB22" t="s">
        <v>6984</v>
      </c>
      <c r="GKC22" t="s">
        <v>6984</v>
      </c>
      <c r="GKD22" t="s">
        <v>6984</v>
      </c>
      <c r="GKE22" t="s">
        <v>6984</v>
      </c>
      <c r="GKF22" t="s">
        <v>6984</v>
      </c>
      <c r="GKG22" t="s">
        <v>6984</v>
      </c>
      <c r="GKH22" t="s">
        <v>6984</v>
      </c>
      <c r="GKI22" t="s">
        <v>6984</v>
      </c>
      <c r="GKJ22" t="s">
        <v>6984</v>
      </c>
      <c r="GKK22" t="s">
        <v>6984</v>
      </c>
      <c r="GKL22" t="s">
        <v>6984</v>
      </c>
      <c r="GKM22" t="s">
        <v>6984</v>
      </c>
      <c r="GKN22" t="s">
        <v>6984</v>
      </c>
      <c r="GKO22" t="s">
        <v>6984</v>
      </c>
      <c r="GKP22" t="s">
        <v>6984</v>
      </c>
      <c r="GKQ22" t="s">
        <v>6984</v>
      </c>
      <c r="GKR22" t="s">
        <v>6984</v>
      </c>
      <c r="GKS22" t="s">
        <v>6984</v>
      </c>
      <c r="GKT22" t="s">
        <v>6984</v>
      </c>
      <c r="GKU22" t="s">
        <v>6984</v>
      </c>
      <c r="GKV22" t="s">
        <v>6984</v>
      </c>
      <c r="GKW22" t="s">
        <v>6984</v>
      </c>
      <c r="GKX22" t="s">
        <v>6984</v>
      </c>
      <c r="GKY22" t="s">
        <v>6984</v>
      </c>
      <c r="GKZ22" t="s">
        <v>6984</v>
      </c>
      <c r="GLA22" t="s">
        <v>6984</v>
      </c>
      <c r="GLB22" t="s">
        <v>6984</v>
      </c>
      <c r="GLC22" t="s">
        <v>6984</v>
      </c>
      <c r="GLD22" t="s">
        <v>6984</v>
      </c>
      <c r="GLE22" t="s">
        <v>6984</v>
      </c>
      <c r="GLF22" t="s">
        <v>6984</v>
      </c>
      <c r="GLG22" t="s">
        <v>6984</v>
      </c>
      <c r="GLH22" t="s">
        <v>6984</v>
      </c>
      <c r="GLI22" t="s">
        <v>6984</v>
      </c>
      <c r="GLJ22" t="s">
        <v>6984</v>
      </c>
      <c r="GLK22" t="s">
        <v>6984</v>
      </c>
      <c r="GLL22" t="s">
        <v>6984</v>
      </c>
      <c r="GLM22" t="s">
        <v>6984</v>
      </c>
      <c r="GLN22" t="s">
        <v>6984</v>
      </c>
      <c r="GLO22" t="s">
        <v>6984</v>
      </c>
      <c r="GLP22" t="s">
        <v>6984</v>
      </c>
      <c r="GLQ22" t="s">
        <v>6984</v>
      </c>
      <c r="GLR22" t="s">
        <v>6984</v>
      </c>
      <c r="GLS22" t="s">
        <v>6984</v>
      </c>
      <c r="GLT22" t="s">
        <v>6984</v>
      </c>
      <c r="GLU22" t="s">
        <v>6984</v>
      </c>
      <c r="GLV22" t="s">
        <v>6984</v>
      </c>
      <c r="GLW22" t="s">
        <v>6984</v>
      </c>
      <c r="GLX22" t="s">
        <v>6984</v>
      </c>
      <c r="GLY22" t="s">
        <v>6984</v>
      </c>
      <c r="GLZ22" t="s">
        <v>6984</v>
      </c>
      <c r="GMA22" t="s">
        <v>6984</v>
      </c>
      <c r="GMB22" t="s">
        <v>6984</v>
      </c>
      <c r="GMC22" t="s">
        <v>6984</v>
      </c>
      <c r="GMD22" t="s">
        <v>6984</v>
      </c>
      <c r="GME22" t="s">
        <v>6984</v>
      </c>
      <c r="GMF22" t="s">
        <v>6984</v>
      </c>
      <c r="GMG22" t="s">
        <v>6984</v>
      </c>
      <c r="GMH22" t="s">
        <v>6984</v>
      </c>
      <c r="GMI22" t="s">
        <v>6984</v>
      </c>
      <c r="GMJ22" t="s">
        <v>6984</v>
      </c>
      <c r="GMK22" t="s">
        <v>6984</v>
      </c>
      <c r="GML22" t="s">
        <v>6984</v>
      </c>
      <c r="GMM22" t="s">
        <v>6984</v>
      </c>
      <c r="GMN22" t="s">
        <v>6984</v>
      </c>
      <c r="GMO22" t="s">
        <v>6984</v>
      </c>
      <c r="GMP22" t="s">
        <v>6984</v>
      </c>
      <c r="GMQ22" t="s">
        <v>6984</v>
      </c>
      <c r="GMR22" t="s">
        <v>6984</v>
      </c>
      <c r="GMS22" t="s">
        <v>6984</v>
      </c>
      <c r="GMT22" t="s">
        <v>6984</v>
      </c>
      <c r="GMU22" t="s">
        <v>6984</v>
      </c>
      <c r="GMV22" t="s">
        <v>6984</v>
      </c>
      <c r="GMW22" t="s">
        <v>6984</v>
      </c>
      <c r="GMX22" t="s">
        <v>6984</v>
      </c>
      <c r="GMY22" t="s">
        <v>6984</v>
      </c>
      <c r="GMZ22" t="s">
        <v>6984</v>
      </c>
      <c r="GNA22" t="s">
        <v>6984</v>
      </c>
      <c r="GNB22" t="s">
        <v>6984</v>
      </c>
      <c r="GNC22" t="s">
        <v>6984</v>
      </c>
      <c r="GND22" t="s">
        <v>6984</v>
      </c>
      <c r="GNE22" t="s">
        <v>6984</v>
      </c>
      <c r="GNF22" t="s">
        <v>6984</v>
      </c>
      <c r="GNG22" t="s">
        <v>6984</v>
      </c>
      <c r="GNH22" t="s">
        <v>6984</v>
      </c>
      <c r="GNI22" t="s">
        <v>6984</v>
      </c>
      <c r="GNJ22" t="s">
        <v>6984</v>
      </c>
      <c r="GNK22" t="s">
        <v>6984</v>
      </c>
      <c r="GNL22" t="s">
        <v>6984</v>
      </c>
      <c r="GNM22" t="s">
        <v>6984</v>
      </c>
      <c r="GNN22" t="s">
        <v>6984</v>
      </c>
      <c r="GNO22" t="s">
        <v>6984</v>
      </c>
      <c r="GNP22" t="s">
        <v>6984</v>
      </c>
      <c r="GNQ22" t="s">
        <v>6984</v>
      </c>
      <c r="GNR22" t="s">
        <v>6984</v>
      </c>
      <c r="GNS22" t="s">
        <v>6984</v>
      </c>
      <c r="GNT22" t="s">
        <v>6984</v>
      </c>
      <c r="GNU22" t="s">
        <v>6984</v>
      </c>
      <c r="GNV22" t="s">
        <v>6984</v>
      </c>
      <c r="GNW22" t="s">
        <v>6984</v>
      </c>
      <c r="GNX22" t="s">
        <v>6984</v>
      </c>
      <c r="GNY22" t="s">
        <v>6984</v>
      </c>
      <c r="GNZ22" t="s">
        <v>6984</v>
      </c>
      <c r="GOA22" t="s">
        <v>6984</v>
      </c>
      <c r="GOB22" t="s">
        <v>6984</v>
      </c>
      <c r="GOC22" t="s">
        <v>6984</v>
      </c>
      <c r="GOD22" t="s">
        <v>6984</v>
      </c>
      <c r="GOE22" t="s">
        <v>6984</v>
      </c>
      <c r="GOF22" t="s">
        <v>6984</v>
      </c>
      <c r="GOG22" t="s">
        <v>6984</v>
      </c>
      <c r="GOH22" t="s">
        <v>6984</v>
      </c>
      <c r="GOI22" t="s">
        <v>6984</v>
      </c>
      <c r="GOJ22" t="s">
        <v>6984</v>
      </c>
      <c r="GOK22" t="s">
        <v>6984</v>
      </c>
      <c r="GOL22" t="s">
        <v>6984</v>
      </c>
      <c r="GOM22" t="s">
        <v>6984</v>
      </c>
      <c r="GON22" t="s">
        <v>6984</v>
      </c>
      <c r="GOO22" t="s">
        <v>6984</v>
      </c>
      <c r="GOP22" t="s">
        <v>6984</v>
      </c>
      <c r="GOQ22" t="s">
        <v>6984</v>
      </c>
      <c r="GOR22" t="s">
        <v>6984</v>
      </c>
      <c r="GOS22" t="s">
        <v>6984</v>
      </c>
      <c r="GOT22" t="s">
        <v>6984</v>
      </c>
      <c r="GOU22" t="s">
        <v>6984</v>
      </c>
      <c r="GOV22" t="s">
        <v>6984</v>
      </c>
      <c r="GOW22" t="s">
        <v>6984</v>
      </c>
      <c r="GOX22" t="s">
        <v>6984</v>
      </c>
      <c r="GOY22" t="s">
        <v>6984</v>
      </c>
      <c r="GOZ22" t="s">
        <v>6984</v>
      </c>
      <c r="GPA22" t="s">
        <v>6984</v>
      </c>
      <c r="GPB22" t="s">
        <v>6984</v>
      </c>
      <c r="GPC22" t="s">
        <v>6984</v>
      </c>
      <c r="GPD22" t="s">
        <v>6984</v>
      </c>
      <c r="GPE22" t="s">
        <v>6984</v>
      </c>
      <c r="GPF22" t="s">
        <v>6984</v>
      </c>
      <c r="GPG22" t="s">
        <v>6984</v>
      </c>
      <c r="GPH22" t="s">
        <v>6984</v>
      </c>
      <c r="GPI22" t="s">
        <v>6984</v>
      </c>
      <c r="GPJ22" t="s">
        <v>6984</v>
      </c>
      <c r="GPK22" t="s">
        <v>6984</v>
      </c>
      <c r="GPL22" t="s">
        <v>6984</v>
      </c>
      <c r="GPM22" t="s">
        <v>6984</v>
      </c>
      <c r="GPN22" t="s">
        <v>6984</v>
      </c>
      <c r="GPO22" t="s">
        <v>6984</v>
      </c>
      <c r="GPP22" t="s">
        <v>6984</v>
      </c>
      <c r="GPQ22" t="s">
        <v>6984</v>
      </c>
      <c r="GPR22" t="s">
        <v>6984</v>
      </c>
      <c r="GPS22" t="s">
        <v>6984</v>
      </c>
      <c r="GPT22" t="s">
        <v>6984</v>
      </c>
      <c r="GPU22" t="s">
        <v>6984</v>
      </c>
      <c r="GPV22" t="s">
        <v>6984</v>
      </c>
      <c r="GPW22" t="s">
        <v>6984</v>
      </c>
      <c r="GPX22" t="s">
        <v>6984</v>
      </c>
      <c r="GPY22" t="s">
        <v>6984</v>
      </c>
      <c r="GPZ22" t="s">
        <v>6984</v>
      </c>
      <c r="GQA22" t="s">
        <v>6984</v>
      </c>
      <c r="GQB22" t="s">
        <v>6984</v>
      </c>
      <c r="GQC22" t="s">
        <v>6984</v>
      </c>
      <c r="GQD22" t="s">
        <v>6984</v>
      </c>
      <c r="GQE22" t="s">
        <v>6984</v>
      </c>
      <c r="GQF22" t="s">
        <v>6984</v>
      </c>
      <c r="GQG22" t="s">
        <v>6984</v>
      </c>
      <c r="GQH22" t="s">
        <v>6984</v>
      </c>
      <c r="GQI22" t="s">
        <v>6984</v>
      </c>
      <c r="GQJ22" t="s">
        <v>6984</v>
      </c>
      <c r="GQK22" t="s">
        <v>6984</v>
      </c>
      <c r="GQL22" t="s">
        <v>6984</v>
      </c>
      <c r="GQM22" t="s">
        <v>6984</v>
      </c>
      <c r="GQN22" t="s">
        <v>6984</v>
      </c>
      <c r="GQO22" t="s">
        <v>6984</v>
      </c>
      <c r="GQP22" t="s">
        <v>6984</v>
      </c>
      <c r="GQQ22" t="s">
        <v>6984</v>
      </c>
      <c r="GQR22" t="s">
        <v>6984</v>
      </c>
      <c r="GQS22" t="s">
        <v>6984</v>
      </c>
      <c r="GQT22" t="s">
        <v>6984</v>
      </c>
      <c r="GQU22" t="s">
        <v>6984</v>
      </c>
      <c r="GQV22" t="s">
        <v>6984</v>
      </c>
      <c r="GQW22" t="s">
        <v>6984</v>
      </c>
      <c r="GQX22" t="s">
        <v>6984</v>
      </c>
      <c r="GQY22" t="s">
        <v>6984</v>
      </c>
      <c r="GQZ22" t="s">
        <v>6984</v>
      </c>
      <c r="GRA22" t="s">
        <v>6984</v>
      </c>
      <c r="GRB22" t="s">
        <v>6984</v>
      </c>
      <c r="GRC22" t="s">
        <v>6984</v>
      </c>
      <c r="GRD22" t="s">
        <v>6984</v>
      </c>
      <c r="GRE22" t="s">
        <v>6984</v>
      </c>
      <c r="GRF22" t="s">
        <v>6984</v>
      </c>
      <c r="GRG22" t="s">
        <v>6984</v>
      </c>
      <c r="GRH22" t="s">
        <v>6984</v>
      </c>
      <c r="GRI22" t="s">
        <v>6984</v>
      </c>
      <c r="GRJ22" t="s">
        <v>6984</v>
      </c>
      <c r="GRK22" t="s">
        <v>6984</v>
      </c>
      <c r="GRL22" t="s">
        <v>6984</v>
      </c>
      <c r="GRM22" t="s">
        <v>6984</v>
      </c>
      <c r="GRN22" t="s">
        <v>6984</v>
      </c>
      <c r="GRO22" t="s">
        <v>6984</v>
      </c>
      <c r="GRP22" t="s">
        <v>6984</v>
      </c>
      <c r="GRQ22" t="s">
        <v>6984</v>
      </c>
      <c r="GRR22" t="s">
        <v>6984</v>
      </c>
      <c r="GRS22" t="s">
        <v>6984</v>
      </c>
      <c r="GRT22" t="s">
        <v>6984</v>
      </c>
      <c r="GRU22" t="s">
        <v>6984</v>
      </c>
      <c r="GRV22" t="s">
        <v>6984</v>
      </c>
      <c r="GRW22" t="s">
        <v>6984</v>
      </c>
      <c r="GRX22" t="s">
        <v>6984</v>
      </c>
      <c r="GRY22" t="s">
        <v>6984</v>
      </c>
      <c r="GRZ22" t="s">
        <v>6984</v>
      </c>
      <c r="GSA22" t="s">
        <v>6984</v>
      </c>
      <c r="GSB22" t="s">
        <v>6984</v>
      </c>
      <c r="GSC22" t="s">
        <v>6984</v>
      </c>
      <c r="GSD22" t="s">
        <v>6984</v>
      </c>
      <c r="GSE22" t="s">
        <v>6984</v>
      </c>
      <c r="GSF22" t="s">
        <v>6984</v>
      </c>
      <c r="GSG22" t="s">
        <v>6984</v>
      </c>
      <c r="GSH22" t="s">
        <v>6984</v>
      </c>
      <c r="GSI22" t="s">
        <v>6984</v>
      </c>
      <c r="GSJ22" t="s">
        <v>6984</v>
      </c>
      <c r="GSK22" t="s">
        <v>6984</v>
      </c>
      <c r="GSL22" t="s">
        <v>6984</v>
      </c>
      <c r="GSM22" t="s">
        <v>6984</v>
      </c>
      <c r="GSN22" t="s">
        <v>6984</v>
      </c>
      <c r="GSO22" t="s">
        <v>6984</v>
      </c>
      <c r="GSP22" t="s">
        <v>6984</v>
      </c>
      <c r="GSQ22" t="s">
        <v>6984</v>
      </c>
      <c r="GSR22" t="s">
        <v>6984</v>
      </c>
      <c r="GSS22" t="s">
        <v>6984</v>
      </c>
      <c r="GST22" t="s">
        <v>6984</v>
      </c>
      <c r="GSU22" t="s">
        <v>6984</v>
      </c>
      <c r="GSV22" t="s">
        <v>6984</v>
      </c>
      <c r="GSW22" t="s">
        <v>6984</v>
      </c>
      <c r="GSX22" t="s">
        <v>6984</v>
      </c>
      <c r="GSY22" t="s">
        <v>6984</v>
      </c>
      <c r="GSZ22" t="s">
        <v>6984</v>
      </c>
      <c r="GTA22" t="s">
        <v>6984</v>
      </c>
      <c r="GTB22" t="s">
        <v>6984</v>
      </c>
      <c r="GTC22" t="s">
        <v>6984</v>
      </c>
      <c r="GTD22" t="s">
        <v>6984</v>
      </c>
      <c r="GTE22" t="s">
        <v>6984</v>
      </c>
      <c r="GTF22" t="s">
        <v>6984</v>
      </c>
      <c r="GTG22" t="s">
        <v>6984</v>
      </c>
      <c r="GTH22" t="s">
        <v>6984</v>
      </c>
      <c r="GTI22" t="s">
        <v>6984</v>
      </c>
      <c r="GTJ22" t="s">
        <v>6984</v>
      </c>
      <c r="GTK22" t="s">
        <v>6984</v>
      </c>
      <c r="GTL22" t="s">
        <v>6984</v>
      </c>
      <c r="GTM22" t="s">
        <v>6984</v>
      </c>
      <c r="GTN22" t="s">
        <v>6984</v>
      </c>
      <c r="GTO22" t="s">
        <v>6984</v>
      </c>
      <c r="GTP22" t="s">
        <v>6984</v>
      </c>
      <c r="GTQ22" t="s">
        <v>6984</v>
      </c>
      <c r="GTR22" t="s">
        <v>6984</v>
      </c>
      <c r="GTS22" t="s">
        <v>6984</v>
      </c>
      <c r="GTT22" t="s">
        <v>6984</v>
      </c>
      <c r="GTU22" t="s">
        <v>6984</v>
      </c>
      <c r="GTV22" t="s">
        <v>6984</v>
      </c>
      <c r="GTW22" t="s">
        <v>6984</v>
      </c>
      <c r="GTX22" t="s">
        <v>6984</v>
      </c>
      <c r="GTY22" t="s">
        <v>6984</v>
      </c>
      <c r="GTZ22" t="s">
        <v>6984</v>
      </c>
      <c r="GUA22" t="s">
        <v>6984</v>
      </c>
      <c r="GUB22" t="s">
        <v>6984</v>
      </c>
      <c r="GUC22" t="s">
        <v>6984</v>
      </c>
      <c r="GUD22" t="s">
        <v>6984</v>
      </c>
      <c r="GUE22" t="s">
        <v>6984</v>
      </c>
      <c r="GUF22" t="s">
        <v>6984</v>
      </c>
      <c r="GUG22" t="s">
        <v>6984</v>
      </c>
      <c r="GUH22" t="s">
        <v>6984</v>
      </c>
      <c r="GUI22" t="s">
        <v>6984</v>
      </c>
      <c r="GUJ22" t="s">
        <v>6984</v>
      </c>
      <c r="GUK22" t="s">
        <v>6984</v>
      </c>
      <c r="GUL22" t="s">
        <v>6984</v>
      </c>
      <c r="GUM22" t="s">
        <v>6984</v>
      </c>
      <c r="GUN22" t="s">
        <v>6984</v>
      </c>
      <c r="GUO22" t="s">
        <v>6984</v>
      </c>
      <c r="GUP22" t="s">
        <v>6984</v>
      </c>
      <c r="GUQ22" t="s">
        <v>6984</v>
      </c>
      <c r="GUR22" t="s">
        <v>6984</v>
      </c>
      <c r="GUS22" t="s">
        <v>6984</v>
      </c>
      <c r="GUT22" t="s">
        <v>6984</v>
      </c>
      <c r="GUU22" t="s">
        <v>6984</v>
      </c>
      <c r="GUV22" t="s">
        <v>6984</v>
      </c>
      <c r="GUW22" t="s">
        <v>6984</v>
      </c>
      <c r="GUX22" t="s">
        <v>6984</v>
      </c>
      <c r="GUY22" t="s">
        <v>6984</v>
      </c>
      <c r="GUZ22" t="s">
        <v>6984</v>
      </c>
      <c r="GVA22" t="s">
        <v>6984</v>
      </c>
      <c r="GVB22" t="s">
        <v>6984</v>
      </c>
      <c r="GVC22" t="s">
        <v>6984</v>
      </c>
      <c r="GVD22" t="s">
        <v>6984</v>
      </c>
      <c r="GVE22" t="s">
        <v>6984</v>
      </c>
      <c r="GVF22" t="s">
        <v>6984</v>
      </c>
      <c r="GVG22" t="s">
        <v>6984</v>
      </c>
      <c r="GVH22" t="s">
        <v>6984</v>
      </c>
      <c r="GVI22" t="s">
        <v>6984</v>
      </c>
      <c r="GVJ22" t="s">
        <v>6984</v>
      </c>
      <c r="GVK22" t="s">
        <v>6984</v>
      </c>
      <c r="GVL22" t="s">
        <v>6984</v>
      </c>
      <c r="GVM22" t="s">
        <v>6984</v>
      </c>
      <c r="GVN22" t="s">
        <v>6984</v>
      </c>
      <c r="GVO22" t="s">
        <v>6984</v>
      </c>
      <c r="GVP22" t="s">
        <v>6984</v>
      </c>
      <c r="GVQ22" t="s">
        <v>6984</v>
      </c>
      <c r="GVR22" t="s">
        <v>6984</v>
      </c>
      <c r="GVS22" t="s">
        <v>6984</v>
      </c>
      <c r="GVT22" t="s">
        <v>6984</v>
      </c>
      <c r="GVU22" t="s">
        <v>6984</v>
      </c>
      <c r="GVV22" t="s">
        <v>6984</v>
      </c>
      <c r="GVW22" t="s">
        <v>6984</v>
      </c>
      <c r="GVX22" t="s">
        <v>6984</v>
      </c>
      <c r="GVY22" t="s">
        <v>6984</v>
      </c>
      <c r="GVZ22" t="s">
        <v>6984</v>
      </c>
      <c r="GWA22" t="s">
        <v>6984</v>
      </c>
      <c r="GWB22" t="s">
        <v>6984</v>
      </c>
      <c r="GWC22" t="s">
        <v>6984</v>
      </c>
      <c r="GWD22" t="s">
        <v>6984</v>
      </c>
      <c r="GWE22" t="s">
        <v>6984</v>
      </c>
      <c r="GWF22" t="s">
        <v>6984</v>
      </c>
      <c r="GWG22" t="s">
        <v>6984</v>
      </c>
      <c r="GWH22" t="s">
        <v>6984</v>
      </c>
      <c r="GWI22" t="s">
        <v>6984</v>
      </c>
      <c r="GWJ22" t="s">
        <v>6984</v>
      </c>
      <c r="GWK22" t="s">
        <v>6984</v>
      </c>
      <c r="GWL22" t="s">
        <v>6984</v>
      </c>
      <c r="GWM22" t="s">
        <v>6984</v>
      </c>
      <c r="GWN22" t="s">
        <v>6984</v>
      </c>
      <c r="GWO22" t="s">
        <v>6984</v>
      </c>
      <c r="GWP22" t="s">
        <v>6984</v>
      </c>
      <c r="GWQ22" t="s">
        <v>6984</v>
      </c>
      <c r="GWR22" t="s">
        <v>6984</v>
      </c>
      <c r="GWS22" t="s">
        <v>6984</v>
      </c>
      <c r="GWT22" t="s">
        <v>6984</v>
      </c>
      <c r="GWU22" t="s">
        <v>6984</v>
      </c>
      <c r="GWV22" t="s">
        <v>6984</v>
      </c>
      <c r="GWW22" t="s">
        <v>6984</v>
      </c>
      <c r="GWX22" t="s">
        <v>6984</v>
      </c>
      <c r="GWY22" t="s">
        <v>6984</v>
      </c>
      <c r="GWZ22" t="s">
        <v>6984</v>
      </c>
      <c r="GXA22" t="s">
        <v>6984</v>
      </c>
      <c r="GXB22" t="s">
        <v>6984</v>
      </c>
      <c r="GXC22" t="s">
        <v>6984</v>
      </c>
      <c r="GXD22" t="s">
        <v>6984</v>
      </c>
      <c r="GXE22" t="s">
        <v>6984</v>
      </c>
      <c r="GXF22" t="s">
        <v>6984</v>
      </c>
      <c r="GXG22" t="s">
        <v>6984</v>
      </c>
      <c r="GXH22" t="s">
        <v>6984</v>
      </c>
      <c r="GXI22" t="s">
        <v>6984</v>
      </c>
      <c r="GXJ22" t="s">
        <v>6984</v>
      </c>
      <c r="GXK22" t="s">
        <v>6984</v>
      </c>
      <c r="GXL22" t="s">
        <v>6984</v>
      </c>
      <c r="GXM22" t="s">
        <v>6984</v>
      </c>
      <c r="GXN22" t="s">
        <v>6984</v>
      </c>
      <c r="GXO22" t="s">
        <v>6984</v>
      </c>
      <c r="GXP22" t="s">
        <v>6984</v>
      </c>
      <c r="GXQ22" t="s">
        <v>6984</v>
      </c>
      <c r="GXR22" t="s">
        <v>6984</v>
      </c>
      <c r="GXS22" t="s">
        <v>6984</v>
      </c>
      <c r="GXT22" t="s">
        <v>6984</v>
      </c>
      <c r="GXU22" t="s">
        <v>6984</v>
      </c>
      <c r="GXV22" t="s">
        <v>6984</v>
      </c>
      <c r="GXW22" t="s">
        <v>6984</v>
      </c>
      <c r="GXX22" t="s">
        <v>6984</v>
      </c>
      <c r="GXY22" t="s">
        <v>6984</v>
      </c>
      <c r="GXZ22" t="s">
        <v>6984</v>
      </c>
      <c r="GYA22" t="s">
        <v>6984</v>
      </c>
      <c r="GYB22" t="s">
        <v>6984</v>
      </c>
      <c r="GYC22" t="s">
        <v>6984</v>
      </c>
      <c r="GYD22" t="s">
        <v>6984</v>
      </c>
      <c r="GYE22" t="s">
        <v>6984</v>
      </c>
      <c r="GYF22" t="s">
        <v>6984</v>
      </c>
      <c r="GYG22" t="s">
        <v>6984</v>
      </c>
      <c r="GYH22" t="s">
        <v>6984</v>
      </c>
      <c r="GYI22" t="s">
        <v>6984</v>
      </c>
      <c r="GYJ22" t="s">
        <v>6984</v>
      </c>
      <c r="GYK22" t="s">
        <v>6984</v>
      </c>
      <c r="GYL22" t="s">
        <v>6984</v>
      </c>
      <c r="GYM22" t="s">
        <v>6984</v>
      </c>
      <c r="GYN22" t="s">
        <v>6984</v>
      </c>
      <c r="GYO22" t="s">
        <v>6984</v>
      </c>
      <c r="GYP22" t="s">
        <v>6984</v>
      </c>
      <c r="GYQ22" t="s">
        <v>6984</v>
      </c>
      <c r="GYR22" t="s">
        <v>6984</v>
      </c>
      <c r="GYS22" t="s">
        <v>6984</v>
      </c>
      <c r="GYT22" t="s">
        <v>6984</v>
      </c>
      <c r="GYU22" t="s">
        <v>6984</v>
      </c>
      <c r="GYV22" t="s">
        <v>6984</v>
      </c>
      <c r="GYW22" t="s">
        <v>6984</v>
      </c>
      <c r="GYX22" t="s">
        <v>6984</v>
      </c>
      <c r="GYY22" t="s">
        <v>6984</v>
      </c>
      <c r="GYZ22" t="s">
        <v>6984</v>
      </c>
      <c r="GZA22" t="s">
        <v>6984</v>
      </c>
      <c r="GZB22" t="s">
        <v>6984</v>
      </c>
      <c r="GZC22" t="s">
        <v>6984</v>
      </c>
      <c r="GZD22" t="s">
        <v>6984</v>
      </c>
      <c r="GZE22" t="s">
        <v>6984</v>
      </c>
      <c r="GZF22" t="s">
        <v>6984</v>
      </c>
      <c r="GZG22" t="s">
        <v>6984</v>
      </c>
      <c r="GZH22" t="s">
        <v>6984</v>
      </c>
      <c r="GZI22" t="s">
        <v>6984</v>
      </c>
      <c r="GZJ22" t="s">
        <v>6984</v>
      </c>
      <c r="GZK22" t="s">
        <v>6984</v>
      </c>
      <c r="GZL22" t="s">
        <v>6984</v>
      </c>
      <c r="GZM22" t="s">
        <v>6984</v>
      </c>
      <c r="GZN22" t="s">
        <v>6984</v>
      </c>
      <c r="GZO22" t="s">
        <v>6984</v>
      </c>
      <c r="GZP22" t="s">
        <v>6984</v>
      </c>
      <c r="GZQ22" t="s">
        <v>6984</v>
      </c>
      <c r="GZR22" t="s">
        <v>6984</v>
      </c>
      <c r="GZS22" t="s">
        <v>6984</v>
      </c>
      <c r="GZT22" t="s">
        <v>6984</v>
      </c>
      <c r="GZU22" t="s">
        <v>6984</v>
      </c>
      <c r="GZV22" t="s">
        <v>6984</v>
      </c>
      <c r="GZW22" t="s">
        <v>6984</v>
      </c>
      <c r="GZX22" t="s">
        <v>6984</v>
      </c>
      <c r="GZY22" t="s">
        <v>6984</v>
      </c>
      <c r="GZZ22" t="s">
        <v>6984</v>
      </c>
      <c r="HAA22" t="s">
        <v>6984</v>
      </c>
      <c r="HAB22" t="s">
        <v>6984</v>
      </c>
      <c r="HAC22" t="s">
        <v>6984</v>
      </c>
      <c r="HAD22" t="s">
        <v>6984</v>
      </c>
      <c r="HAE22" t="s">
        <v>6984</v>
      </c>
      <c r="HAF22" t="s">
        <v>6984</v>
      </c>
      <c r="HAG22" t="s">
        <v>6984</v>
      </c>
      <c r="HAH22" t="s">
        <v>6984</v>
      </c>
      <c r="HAI22" t="s">
        <v>6984</v>
      </c>
      <c r="HAJ22" t="s">
        <v>6984</v>
      </c>
      <c r="HAK22" t="s">
        <v>6984</v>
      </c>
      <c r="HAL22" t="s">
        <v>6984</v>
      </c>
      <c r="HAM22" t="s">
        <v>6984</v>
      </c>
      <c r="HAN22" t="s">
        <v>6984</v>
      </c>
      <c r="HAO22" t="s">
        <v>6984</v>
      </c>
      <c r="HAP22" t="s">
        <v>6984</v>
      </c>
      <c r="HAQ22" t="s">
        <v>6984</v>
      </c>
      <c r="HAR22" t="s">
        <v>6984</v>
      </c>
      <c r="HAS22" t="s">
        <v>6984</v>
      </c>
      <c r="HAT22" t="s">
        <v>6984</v>
      </c>
      <c r="HAU22" t="s">
        <v>6984</v>
      </c>
      <c r="HAV22" t="s">
        <v>6984</v>
      </c>
      <c r="HAW22" t="s">
        <v>6984</v>
      </c>
      <c r="HAX22" t="s">
        <v>6984</v>
      </c>
      <c r="HAY22" t="s">
        <v>6984</v>
      </c>
      <c r="HAZ22" t="s">
        <v>6984</v>
      </c>
      <c r="HBA22" t="s">
        <v>6984</v>
      </c>
      <c r="HBB22" t="s">
        <v>6984</v>
      </c>
      <c r="HBC22" t="s">
        <v>6984</v>
      </c>
      <c r="HBD22" t="s">
        <v>6984</v>
      </c>
      <c r="HBE22" t="s">
        <v>6984</v>
      </c>
      <c r="HBF22" t="s">
        <v>6984</v>
      </c>
      <c r="HBG22" t="s">
        <v>6984</v>
      </c>
      <c r="HBH22" t="s">
        <v>6984</v>
      </c>
      <c r="HBI22" t="s">
        <v>6984</v>
      </c>
      <c r="HBJ22" t="s">
        <v>6984</v>
      </c>
      <c r="HBK22" t="s">
        <v>6984</v>
      </c>
      <c r="HBL22" t="s">
        <v>6984</v>
      </c>
      <c r="HBM22" t="s">
        <v>6984</v>
      </c>
      <c r="HBN22" t="s">
        <v>6984</v>
      </c>
      <c r="HBO22" t="s">
        <v>6984</v>
      </c>
      <c r="HBP22" t="s">
        <v>6984</v>
      </c>
      <c r="HBQ22" t="s">
        <v>6984</v>
      </c>
      <c r="HBR22" t="s">
        <v>6984</v>
      </c>
      <c r="HBS22" t="s">
        <v>6984</v>
      </c>
      <c r="HBT22" t="s">
        <v>6984</v>
      </c>
      <c r="HBU22" t="s">
        <v>6984</v>
      </c>
      <c r="HBV22" t="s">
        <v>6984</v>
      </c>
      <c r="HBW22" t="s">
        <v>6984</v>
      </c>
      <c r="HBX22" t="s">
        <v>6984</v>
      </c>
      <c r="HBY22" t="s">
        <v>6984</v>
      </c>
      <c r="HBZ22" t="s">
        <v>6984</v>
      </c>
      <c r="HCA22" t="s">
        <v>6984</v>
      </c>
      <c r="HCB22" t="s">
        <v>6984</v>
      </c>
      <c r="HCC22" t="s">
        <v>6984</v>
      </c>
      <c r="HCD22" t="s">
        <v>6984</v>
      </c>
      <c r="HCE22" t="s">
        <v>6984</v>
      </c>
      <c r="HCF22" t="s">
        <v>6984</v>
      </c>
      <c r="HCG22" t="s">
        <v>6984</v>
      </c>
      <c r="HCH22" t="s">
        <v>6984</v>
      </c>
      <c r="HCI22" t="s">
        <v>6984</v>
      </c>
      <c r="HCJ22" t="s">
        <v>6984</v>
      </c>
      <c r="HCK22" t="s">
        <v>6984</v>
      </c>
      <c r="HCL22" t="s">
        <v>6984</v>
      </c>
      <c r="HCM22" t="s">
        <v>6984</v>
      </c>
      <c r="HCN22" t="s">
        <v>6984</v>
      </c>
      <c r="HCO22" t="s">
        <v>6984</v>
      </c>
      <c r="HCP22" t="s">
        <v>6984</v>
      </c>
      <c r="HCQ22" t="s">
        <v>6984</v>
      </c>
      <c r="HCR22" t="s">
        <v>6984</v>
      </c>
      <c r="HCS22" t="s">
        <v>6984</v>
      </c>
      <c r="HCT22" t="s">
        <v>6984</v>
      </c>
      <c r="HCU22" t="s">
        <v>6984</v>
      </c>
      <c r="HCV22" t="s">
        <v>6984</v>
      </c>
      <c r="HCW22" t="s">
        <v>6984</v>
      </c>
      <c r="HCX22" t="s">
        <v>6984</v>
      </c>
      <c r="HCY22" t="s">
        <v>6984</v>
      </c>
      <c r="HCZ22" t="s">
        <v>6984</v>
      </c>
      <c r="HDA22" t="s">
        <v>6984</v>
      </c>
      <c r="HDB22" t="s">
        <v>6984</v>
      </c>
      <c r="HDC22" t="s">
        <v>6984</v>
      </c>
      <c r="HDD22" t="s">
        <v>6984</v>
      </c>
      <c r="HDE22" t="s">
        <v>6984</v>
      </c>
      <c r="HDF22" t="s">
        <v>6984</v>
      </c>
      <c r="HDG22" t="s">
        <v>6984</v>
      </c>
      <c r="HDH22" t="s">
        <v>6984</v>
      </c>
      <c r="HDI22" t="s">
        <v>6984</v>
      </c>
      <c r="HDJ22" t="s">
        <v>6984</v>
      </c>
      <c r="HDK22" t="s">
        <v>6984</v>
      </c>
      <c r="HDL22" t="s">
        <v>6984</v>
      </c>
      <c r="HDM22" t="s">
        <v>6984</v>
      </c>
      <c r="HDN22" t="s">
        <v>6984</v>
      </c>
      <c r="HDO22" t="s">
        <v>6984</v>
      </c>
      <c r="HDP22" t="s">
        <v>6984</v>
      </c>
      <c r="HDQ22" t="s">
        <v>6984</v>
      </c>
      <c r="HDR22" t="s">
        <v>6984</v>
      </c>
      <c r="HDS22" t="s">
        <v>6984</v>
      </c>
      <c r="HDT22" t="s">
        <v>6984</v>
      </c>
      <c r="HDU22" t="s">
        <v>6984</v>
      </c>
      <c r="HDV22" t="s">
        <v>6984</v>
      </c>
      <c r="HDW22" t="s">
        <v>6984</v>
      </c>
      <c r="HDX22" t="s">
        <v>6984</v>
      </c>
      <c r="HDY22" t="s">
        <v>6984</v>
      </c>
      <c r="HDZ22" t="s">
        <v>6984</v>
      </c>
      <c r="HEA22" t="s">
        <v>6984</v>
      </c>
      <c r="HEB22" t="s">
        <v>6984</v>
      </c>
      <c r="HEC22" t="s">
        <v>6984</v>
      </c>
      <c r="HED22" t="s">
        <v>6984</v>
      </c>
      <c r="HEE22" t="s">
        <v>6984</v>
      </c>
      <c r="HEF22" t="s">
        <v>6984</v>
      </c>
      <c r="HEG22" t="s">
        <v>6984</v>
      </c>
      <c r="HEH22" t="s">
        <v>6984</v>
      </c>
      <c r="HEI22" t="s">
        <v>6984</v>
      </c>
      <c r="HEJ22" t="s">
        <v>6984</v>
      </c>
      <c r="HEK22" t="s">
        <v>6984</v>
      </c>
      <c r="HEL22" t="s">
        <v>6984</v>
      </c>
      <c r="HEM22" t="s">
        <v>6984</v>
      </c>
      <c r="HEN22" t="s">
        <v>6984</v>
      </c>
      <c r="HEO22" t="s">
        <v>6984</v>
      </c>
      <c r="HEP22" t="s">
        <v>6984</v>
      </c>
      <c r="HEQ22" t="s">
        <v>6984</v>
      </c>
      <c r="HER22" t="s">
        <v>6984</v>
      </c>
      <c r="HES22" t="s">
        <v>6984</v>
      </c>
      <c r="HET22" t="s">
        <v>6984</v>
      </c>
      <c r="HEU22" t="s">
        <v>6984</v>
      </c>
      <c r="HEV22" t="s">
        <v>6984</v>
      </c>
      <c r="HEW22" t="s">
        <v>6984</v>
      </c>
      <c r="HEX22" t="s">
        <v>6984</v>
      </c>
      <c r="HEY22" t="s">
        <v>6984</v>
      </c>
      <c r="HEZ22" t="s">
        <v>6984</v>
      </c>
      <c r="HFA22" t="s">
        <v>6984</v>
      </c>
      <c r="HFB22" t="s">
        <v>6984</v>
      </c>
      <c r="HFC22" t="s">
        <v>6984</v>
      </c>
      <c r="HFD22" t="s">
        <v>6984</v>
      </c>
      <c r="HFE22" t="s">
        <v>6984</v>
      </c>
      <c r="HFF22" t="s">
        <v>6984</v>
      </c>
      <c r="HFG22" t="s">
        <v>6984</v>
      </c>
      <c r="HFH22" t="s">
        <v>6984</v>
      </c>
      <c r="HFI22" t="s">
        <v>6984</v>
      </c>
      <c r="HFJ22" t="s">
        <v>6984</v>
      </c>
      <c r="HFK22" t="s">
        <v>6984</v>
      </c>
      <c r="HFL22" t="s">
        <v>6984</v>
      </c>
      <c r="HFM22" t="s">
        <v>6984</v>
      </c>
      <c r="HFN22" t="s">
        <v>6984</v>
      </c>
      <c r="HFO22" t="s">
        <v>6984</v>
      </c>
      <c r="HFP22" t="s">
        <v>6984</v>
      </c>
      <c r="HFQ22" t="s">
        <v>6984</v>
      </c>
      <c r="HFR22" t="s">
        <v>6984</v>
      </c>
      <c r="HFS22" t="s">
        <v>6984</v>
      </c>
      <c r="HFT22" t="s">
        <v>6984</v>
      </c>
      <c r="HFU22" t="s">
        <v>6984</v>
      </c>
      <c r="HFV22" t="s">
        <v>6984</v>
      </c>
      <c r="HFW22" t="s">
        <v>6984</v>
      </c>
      <c r="HFX22" t="s">
        <v>6984</v>
      </c>
      <c r="HFY22" t="s">
        <v>6984</v>
      </c>
      <c r="HFZ22" t="s">
        <v>6984</v>
      </c>
      <c r="HGA22" t="s">
        <v>6984</v>
      </c>
      <c r="HGB22" t="s">
        <v>6984</v>
      </c>
      <c r="HGC22" t="s">
        <v>6984</v>
      </c>
      <c r="HGD22" t="s">
        <v>6984</v>
      </c>
      <c r="HGE22" t="s">
        <v>6984</v>
      </c>
      <c r="HGF22" t="s">
        <v>6984</v>
      </c>
      <c r="HGG22" t="s">
        <v>6984</v>
      </c>
      <c r="HGH22" t="s">
        <v>6984</v>
      </c>
      <c r="HGI22" t="s">
        <v>6984</v>
      </c>
      <c r="HGJ22" t="s">
        <v>6984</v>
      </c>
      <c r="HGK22" t="s">
        <v>6984</v>
      </c>
      <c r="HGL22" t="s">
        <v>6984</v>
      </c>
      <c r="HGM22" t="s">
        <v>6984</v>
      </c>
      <c r="HGN22" t="s">
        <v>6984</v>
      </c>
      <c r="HGO22" t="s">
        <v>6984</v>
      </c>
      <c r="HGP22" t="s">
        <v>6984</v>
      </c>
      <c r="HGQ22" t="s">
        <v>6984</v>
      </c>
      <c r="HGR22" t="s">
        <v>6984</v>
      </c>
      <c r="HGS22" t="s">
        <v>6984</v>
      </c>
      <c r="HGT22" t="s">
        <v>6984</v>
      </c>
      <c r="HGU22" t="s">
        <v>6984</v>
      </c>
      <c r="HGV22" t="s">
        <v>6984</v>
      </c>
      <c r="HGW22" t="s">
        <v>6984</v>
      </c>
      <c r="HGX22" t="s">
        <v>6984</v>
      </c>
      <c r="HGY22" t="s">
        <v>6984</v>
      </c>
      <c r="HGZ22" t="s">
        <v>6984</v>
      </c>
      <c r="HHA22" t="s">
        <v>6984</v>
      </c>
      <c r="HHB22" t="s">
        <v>6984</v>
      </c>
      <c r="HHC22" t="s">
        <v>6984</v>
      </c>
      <c r="HHD22" t="s">
        <v>6984</v>
      </c>
      <c r="HHE22" t="s">
        <v>6984</v>
      </c>
      <c r="HHF22" t="s">
        <v>6984</v>
      </c>
      <c r="HHG22" t="s">
        <v>6984</v>
      </c>
      <c r="HHH22" t="s">
        <v>6984</v>
      </c>
      <c r="HHI22" t="s">
        <v>6984</v>
      </c>
      <c r="HHJ22" t="s">
        <v>6984</v>
      </c>
      <c r="HHK22" t="s">
        <v>6984</v>
      </c>
      <c r="HHL22" t="s">
        <v>6984</v>
      </c>
      <c r="HHM22" t="s">
        <v>6984</v>
      </c>
      <c r="HHN22" t="s">
        <v>6984</v>
      </c>
      <c r="HHO22" t="s">
        <v>6984</v>
      </c>
      <c r="HHP22" t="s">
        <v>6984</v>
      </c>
      <c r="HHQ22" t="s">
        <v>6984</v>
      </c>
      <c r="HHR22" t="s">
        <v>6984</v>
      </c>
      <c r="HHS22" t="s">
        <v>6984</v>
      </c>
      <c r="HHT22" t="s">
        <v>6984</v>
      </c>
      <c r="HHU22" t="s">
        <v>6984</v>
      </c>
      <c r="HHV22" t="s">
        <v>6984</v>
      </c>
      <c r="HHW22" t="s">
        <v>6984</v>
      </c>
      <c r="HHX22" t="s">
        <v>6984</v>
      </c>
      <c r="HHY22" t="s">
        <v>6984</v>
      </c>
      <c r="HHZ22" t="s">
        <v>6984</v>
      </c>
      <c r="HIA22" t="s">
        <v>6984</v>
      </c>
      <c r="HIB22" t="s">
        <v>6984</v>
      </c>
      <c r="HIC22" t="s">
        <v>6984</v>
      </c>
      <c r="HID22" t="s">
        <v>6984</v>
      </c>
      <c r="HIE22" t="s">
        <v>6984</v>
      </c>
      <c r="HIF22" t="s">
        <v>6984</v>
      </c>
      <c r="HIG22" t="s">
        <v>6984</v>
      </c>
      <c r="HIH22" t="s">
        <v>6984</v>
      </c>
      <c r="HII22" t="s">
        <v>6984</v>
      </c>
      <c r="HIJ22" t="s">
        <v>6984</v>
      </c>
      <c r="HIK22" t="s">
        <v>6984</v>
      </c>
      <c r="HIL22" t="s">
        <v>6984</v>
      </c>
      <c r="HIM22" t="s">
        <v>6984</v>
      </c>
      <c r="HIN22" t="s">
        <v>6984</v>
      </c>
      <c r="HIO22" t="s">
        <v>6984</v>
      </c>
      <c r="HIP22" t="s">
        <v>6984</v>
      </c>
      <c r="HIQ22" t="s">
        <v>6984</v>
      </c>
      <c r="HIR22" t="s">
        <v>6984</v>
      </c>
      <c r="HIS22" t="s">
        <v>6984</v>
      </c>
      <c r="HIT22" t="s">
        <v>6984</v>
      </c>
      <c r="HIU22" t="s">
        <v>6984</v>
      </c>
      <c r="HIV22" t="s">
        <v>6984</v>
      </c>
      <c r="HIW22" t="s">
        <v>6984</v>
      </c>
      <c r="HIX22" t="s">
        <v>6984</v>
      </c>
      <c r="HIY22" t="s">
        <v>6984</v>
      </c>
      <c r="HIZ22" t="s">
        <v>6984</v>
      </c>
      <c r="HJA22" t="s">
        <v>6984</v>
      </c>
      <c r="HJB22" t="s">
        <v>6984</v>
      </c>
      <c r="HJC22" t="s">
        <v>6984</v>
      </c>
      <c r="HJD22" t="s">
        <v>6984</v>
      </c>
      <c r="HJE22" t="s">
        <v>6984</v>
      </c>
      <c r="HJF22" t="s">
        <v>6984</v>
      </c>
      <c r="HJG22" t="s">
        <v>6984</v>
      </c>
      <c r="HJH22" t="s">
        <v>6984</v>
      </c>
      <c r="HJI22" t="s">
        <v>6984</v>
      </c>
      <c r="HJJ22" t="s">
        <v>6984</v>
      </c>
      <c r="HJK22" t="s">
        <v>6984</v>
      </c>
      <c r="HJL22" t="s">
        <v>6984</v>
      </c>
      <c r="HJM22" t="s">
        <v>6984</v>
      </c>
      <c r="HJN22" t="s">
        <v>6984</v>
      </c>
      <c r="HJO22" t="s">
        <v>6984</v>
      </c>
      <c r="HJP22" t="s">
        <v>6984</v>
      </c>
      <c r="HJQ22" t="s">
        <v>6984</v>
      </c>
      <c r="HJR22" t="s">
        <v>6984</v>
      </c>
      <c r="HJS22" t="s">
        <v>6984</v>
      </c>
      <c r="HJT22" t="s">
        <v>6984</v>
      </c>
      <c r="HJU22" t="s">
        <v>6984</v>
      </c>
      <c r="HJV22" t="s">
        <v>6984</v>
      </c>
      <c r="HJW22" t="s">
        <v>6984</v>
      </c>
      <c r="HJX22" t="s">
        <v>6984</v>
      </c>
      <c r="HJY22" t="s">
        <v>6984</v>
      </c>
      <c r="HJZ22" t="s">
        <v>6984</v>
      </c>
      <c r="HKA22" t="s">
        <v>6984</v>
      </c>
      <c r="HKB22" t="s">
        <v>6984</v>
      </c>
      <c r="HKC22" t="s">
        <v>6984</v>
      </c>
      <c r="HKD22" t="s">
        <v>6984</v>
      </c>
      <c r="HKE22" t="s">
        <v>6984</v>
      </c>
      <c r="HKF22" t="s">
        <v>6984</v>
      </c>
      <c r="HKG22" t="s">
        <v>6984</v>
      </c>
      <c r="HKH22" t="s">
        <v>6984</v>
      </c>
      <c r="HKI22" t="s">
        <v>6984</v>
      </c>
      <c r="HKJ22" t="s">
        <v>6984</v>
      </c>
      <c r="HKK22" t="s">
        <v>6984</v>
      </c>
      <c r="HKL22" t="s">
        <v>6984</v>
      </c>
      <c r="HKM22" t="s">
        <v>6984</v>
      </c>
      <c r="HKN22" t="s">
        <v>6984</v>
      </c>
      <c r="HKO22" t="s">
        <v>6984</v>
      </c>
      <c r="HKP22" t="s">
        <v>6984</v>
      </c>
      <c r="HKQ22" t="s">
        <v>6984</v>
      </c>
      <c r="HKR22" t="s">
        <v>6984</v>
      </c>
      <c r="HKS22" t="s">
        <v>6984</v>
      </c>
      <c r="HKT22" t="s">
        <v>6984</v>
      </c>
      <c r="HKU22" t="s">
        <v>6984</v>
      </c>
      <c r="HKV22" t="s">
        <v>6984</v>
      </c>
      <c r="HKW22" t="s">
        <v>6984</v>
      </c>
      <c r="HKX22" t="s">
        <v>6984</v>
      </c>
      <c r="HKY22" t="s">
        <v>6984</v>
      </c>
      <c r="HKZ22" t="s">
        <v>6984</v>
      </c>
      <c r="HLA22" t="s">
        <v>6984</v>
      </c>
      <c r="HLB22" t="s">
        <v>6984</v>
      </c>
      <c r="HLC22" t="s">
        <v>6984</v>
      </c>
      <c r="HLD22" t="s">
        <v>6984</v>
      </c>
      <c r="HLE22" t="s">
        <v>6984</v>
      </c>
      <c r="HLF22" t="s">
        <v>6984</v>
      </c>
      <c r="HLG22" t="s">
        <v>6984</v>
      </c>
      <c r="HLH22" t="s">
        <v>6984</v>
      </c>
      <c r="HLI22" t="s">
        <v>6984</v>
      </c>
      <c r="HLJ22" t="s">
        <v>6984</v>
      </c>
      <c r="HLK22" t="s">
        <v>6984</v>
      </c>
      <c r="HLL22" t="s">
        <v>6984</v>
      </c>
      <c r="HLM22" t="s">
        <v>6984</v>
      </c>
      <c r="HLN22" t="s">
        <v>6984</v>
      </c>
      <c r="HLO22" t="s">
        <v>6984</v>
      </c>
      <c r="HLP22" t="s">
        <v>6984</v>
      </c>
      <c r="HLQ22" t="s">
        <v>6984</v>
      </c>
      <c r="HLR22" t="s">
        <v>6984</v>
      </c>
      <c r="HLS22" t="s">
        <v>6984</v>
      </c>
      <c r="HLT22" t="s">
        <v>6984</v>
      </c>
      <c r="HLU22" t="s">
        <v>6984</v>
      </c>
      <c r="HLV22" t="s">
        <v>6984</v>
      </c>
      <c r="HLW22" t="s">
        <v>6984</v>
      </c>
      <c r="HLX22" t="s">
        <v>6984</v>
      </c>
      <c r="HLY22" t="s">
        <v>6984</v>
      </c>
      <c r="HLZ22" t="s">
        <v>6984</v>
      </c>
      <c r="HMA22" t="s">
        <v>6984</v>
      </c>
      <c r="HMB22" t="s">
        <v>6984</v>
      </c>
      <c r="HMC22" t="s">
        <v>6984</v>
      </c>
      <c r="HMD22" t="s">
        <v>6984</v>
      </c>
      <c r="HME22" t="s">
        <v>6984</v>
      </c>
      <c r="HMF22" t="s">
        <v>6984</v>
      </c>
      <c r="HMG22" t="s">
        <v>6984</v>
      </c>
      <c r="HMH22" t="s">
        <v>6984</v>
      </c>
      <c r="HMI22" t="s">
        <v>6984</v>
      </c>
      <c r="HMJ22" t="s">
        <v>6984</v>
      </c>
      <c r="HMK22" t="s">
        <v>6984</v>
      </c>
      <c r="HML22" t="s">
        <v>6984</v>
      </c>
      <c r="HMM22" t="s">
        <v>6984</v>
      </c>
      <c r="HMN22" t="s">
        <v>6984</v>
      </c>
      <c r="HMO22" t="s">
        <v>6984</v>
      </c>
      <c r="HMP22" t="s">
        <v>6984</v>
      </c>
      <c r="HMQ22" t="s">
        <v>6984</v>
      </c>
      <c r="HMR22" t="s">
        <v>6984</v>
      </c>
      <c r="HMS22" t="s">
        <v>6984</v>
      </c>
      <c r="HMT22" t="s">
        <v>6984</v>
      </c>
      <c r="HMU22" t="s">
        <v>6984</v>
      </c>
      <c r="HMV22" t="s">
        <v>6984</v>
      </c>
      <c r="HMW22" t="s">
        <v>6984</v>
      </c>
      <c r="HMX22" t="s">
        <v>6984</v>
      </c>
      <c r="HMY22" t="s">
        <v>6984</v>
      </c>
      <c r="HMZ22" t="s">
        <v>6984</v>
      </c>
      <c r="HNA22" t="s">
        <v>6984</v>
      </c>
      <c r="HNB22" t="s">
        <v>6984</v>
      </c>
      <c r="HNC22" t="s">
        <v>6984</v>
      </c>
      <c r="HND22" t="s">
        <v>6984</v>
      </c>
      <c r="HNE22" t="s">
        <v>6984</v>
      </c>
      <c r="HNF22" t="s">
        <v>6984</v>
      </c>
      <c r="HNG22" t="s">
        <v>6984</v>
      </c>
      <c r="HNH22" t="s">
        <v>6984</v>
      </c>
      <c r="HNI22" t="s">
        <v>6984</v>
      </c>
      <c r="HNJ22" t="s">
        <v>6984</v>
      </c>
      <c r="HNK22" t="s">
        <v>6984</v>
      </c>
      <c r="HNL22" t="s">
        <v>6984</v>
      </c>
      <c r="HNM22" t="s">
        <v>6984</v>
      </c>
      <c r="HNN22" t="s">
        <v>6984</v>
      </c>
      <c r="HNO22" t="s">
        <v>6984</v>
      </c>
      <c r="HNP22" t="s">
        <v>6984</v>
      </c>
      <c r="HNQ22" t="s">
        <v>6984</v>
      </c>
      <c r="HNR22" t="s">
        <v>6984</v>
      </c>
      <c r="HNS22" t="s">
        <v>6984</v>
      </c>
      <c r="HNT22" t="s">
        <v>6984</v>
      </c>
      <c r="HNU22" t="s">
        <v>6984</v>
      </c>
      <c r="HNV22" t="s">
        <v>6984</v>
      </c>
      <c r="HNW22" t="s">
        <v>6984</v>
      </c>
      <c r="HNX22" t="s">
        <v>6984</v>
      </c>
      <c r="HNY22" t="s">
        <v>6984</v>
      </c>
      <c r="HNZ22" t="s">
        <v>6984</v>
      </c>
      <c r="HOA22" t="s">
        <v>6984</v>
      </c>
      <c r="HOB22" t="s">
        <v>6984</v>
      </c>
      <c r="HOC22" t="s">
        <v>6984</v>
      </c>
      <c r="HOD22" t="s">
        <v>6984</v>
      </c>
      <c r="HOE22" t="s">
        <v>6984</v>
      </c>
      <c r="HOF22" t="s">
        <v>6984</v>
      </c>
      <c r="HOG22" t="s">
        <v>6984</v>
      </c>
      <c r="HOH22" t="s">
        <v>6984</v>
      </c>
      <c r="HOI22" t="s">
        <v>6984</v>
      </c>
      <c r="HOJ22" t="s">
        <v>6984</v>
      </c>
      <c r="HOK22" t="s">
        <v>6984</v>
      </c>
      <c r="HOL22" t="s">
        <v>6984</v>
      </c>
      <c r="HOM22" t="s">
        <v>6984</v>
      </c>
      <c r="HON22" t="s">
        <v>6984</v>
      </c>
      <c r="HOO22" t="s">
        <v>6984</v>
      </c>
      <c r="HOP22" t="s">
        <v>6984</v>
      </c>
      <c r="HOQ22" t="s">
        <v>6984</v>
      </c>
      <c r="HOR22" t="s">
        <v>6984</v>
      </c>
      <c r="HOS22" t="s">
        <v>6984</v>
      </c>
      <c r="HOT22" t="s">
        <v>6984</v>
      </c>
      <c r="HOU22" t="s">
        <v>6984</v>
      </c>
      <c r="HOV22" t="s">
        <v>6984</v>
      </c>
      <c r="HOW22" t="s">
        <v>6984</v>
      </c>
      <c r="HOX22" t="s">
        <v>6984</v>
      </c>
      <c r="HOY22" t="s">
        <v>6984</v>
      </c>
      <c r="HOZ22" t="s">
        <v>6984</v>
      </c>
      <c r="HPA22" t="s">
        <v>6984</v>
      </c>
      <c r="HPB22" t="s">
        <v>6984</v>
      </c>
      <c r="HPC22" t="s">
        <v>6984</v>
      </c>
      <c r="HPD22" t="s">
        <v>6984</v>
      </c>
      <c r="HPE22" t="s">
        <v>6984</v>
      </c>
      <c r="HPF22" t="s">
        <v>6984</v>
      </c>
      <c r="HPG22" t="s">
        <v>6984</v>
      </c>
      <c r="HPH22" t="s">
        <v>6984</v>
      </c>
      <c r="HPI22" t="s">
        <v>6984</v>
      </c>
      <c r="HPJ22" t="s">
        <v>6984</v>
      </c>
      <c r="HPK22" t="s">
        <v>6984</v>
      </c>
      <c r="HPL22" t="s">
        <v>6984</v>
      </c>
      <c r="HPM22" t="s">
        <v>6984</v>
      </c>
      <c r="HPN22" t="s">
        <v>6984</v>
      </c>
      <c r="HPO22" t="s">
        <v>6984</v>
      </c>
      <c r="HPP22" t="s">
        <v>6984</v>
      </c>
      <c r="HPQ22" t="s">
        <v>6984</v>
      </c>
      <c r="HPR22" t="s">
        <v>6984</v>
      </c>
      <c r="HPS22" t="s">
        <v>6984</v>
      </c>
      <c r="HPT22" t="s">
        <v>6984</v>
      </c>
      <c r="HPU22" t="s">
        <v>6984</v>
      </c>
      <c r="HPV22" t="s">
        <v>6984</v>
      </c>
      <c r="HPW22" t="s">
        <v>6984</v>
      </c>
      <c r="HPX22" t="s">
        <v>6984</v>
      </c>
      <c r="HPY22" t="s">
        <v>6984</v>
      </c>
      <c r="HPZ22" t="s">
        <v>6984</v>
      </c>
      <c r="HQA22" t="s">
        <v>6984</v>
      </c>
      <c r="HQB22" t="s">
        <v>6984</v>
      </c>
      <c r="HQC22" t="s">
        <v>6984</v>
      </c>
      <c r="HQD22" t="s">
        <v>6984</v>
      </c>
      <c r="HQE22" t="s">
        <v>6984</v>
      </c>
      <c r="HQF22" t="s">
        <v>6984</v>
      </c>
      <c r="HQG22" t="s">
        <v>6984</v>
      </c>
      <c r="HQH22" t="s">
        <v>6984</v>
      </c>
      <c r="HQI22" t="s">
        <v>6984</v>
      </c>
      <c r="HQJ22" t="s">
        <v>6984</v>
      </c>
      <c r="HQK22" t="s">
        <v>6984</v>
      </c>
      <c r="HQL22" t="s">
        <v>6984</v>
      </c>
      <c r="HQM22" t="s">
        <v>6984</v>
      </c>
      <c r="HQN22" t="s">
        <v>6984</v>
      </c>
      <c r="HQO22" t="s">
        <v>6984</v>
      </c>
      <c r="HQP22" t="s">
        <v>6984</v>
      </c>
      <c r="HQQ22" t="s">
        <v>6984</v>
      </c>
      <c r="HQR22" t="s">
        <v>6984</v>
      </c>
      <c r="HQS22" t="s">
        <v>6984</v>
      </c>
      <c r="HQT22" t="s">
        <v>6984</v>
      </c>
      <c r="HQU22" t="s">
        <v>6984</v>
      </c>
      <c r="HQV22" t="s">
        <v>6984</v>
      </c>
      <c r="HQW22" t="s">
        <v>6984</v>
      </c>
      <c r="HQX22" t="s">
        <v>6984</v>
      </c>
      <c r="HQY22" t="s">
        <v>6984</v>
      </c>
      <c r="HQZ22" t="s">
        <v>6984</v>
      </c>
      <c r="HRA22" t="s">
        <v>6984</v>
      </c>
      <c r="HRB22" t="s">
        <v>6984</v>
      </c>
      <c r="HRC22" t="s">
        <v>6984</v>
      </c>
      <c r="HRD22" t="s">
        <v>6984</v>
      </c>
      <c r="HRE22" t="s">
        <v>6984</v>
      </c>
      <c r="HRF22" t="s">
        <v>6984</v>
      </c>
      <c r="HRG22" t="s">
        <v>6984</v>
      </c>
      <c r="HRH22" t="s">
        <v>6984</v>
      </c>
      <c r="HRI22" t="s">
        <v>6984</v>
      </c>
      <c r="HRJ22" t="s">
        <v>6984</v>
      </c>
      <c r="HRK22" t="s">
        <v>6984</v>
      </c>
      <c r="HRL22" t="s">
        <v>6984</v>
      </c>
      <c r="HRM22" t="s">
        <v>6984</v>
      </c>
      <c r="HRN22" t="s">
        <v>6984</v>
      </c>
      <c r="HRO22" t="s">
        <v>6984</v>
      </c>
      <c r="HRP22" t="s">
        <v>6984</v>
      </c>
      <c r="HRQ22" t="s">
        <v>6984</v>
      </c>
      <c r="HRR22" t="s">
        <v>6984</v>
      </c>
      <c r="HRS22" t="s">
        <v>6984</v>
      </c>
      <c r="HRT22" t="s">
        <v>6984</v>
      </c>
      <c r="HRU22" t="s">
        <v>6984</v>
      </c>
      <c r="HRV22" t="s">
        <v>6984</v>
      </c>
      <c r="HRW22" t="s">
        <v>6984</v>
      </c>
      <c r="HRX22" t="s">
        <v>6984</v>
      </c>
      <c r="HRY22" t="s">
        <v>6984</v>
      </c>
      <c r="HRZ22" t="s">
        <v>6984</v>
      </c>
      <c r="HSA22" t="s">
        <v>6984</v>
      </c>
      <c r="HSB22" t="s">
        <v>6984</v>
      </c>
      <c r="HSC22" t="s">
        <v>6984</v>
      </c>
      <c r="HSD22" t="s">
        <v>6984</v>
      </c>
      <c r="HSE22" t="s">
        <v>6984</v>
      </c>
      <c r="HSF22" t="s">
        <v>6984</v>
      </c>
      <c r="HSG22" t="s">
        <v>6984</v>
      </c>
      <c r="HSH22" t="s">
        <v>6984</v>
      </c>
      <c r="HSI22" t="s">
        <v>6984</v>
      </c>
      <c r="HSJ22" t="s">
        <v>6984</v>
      </c>
      <c r="HSK22" t="s">
        <v>6984</v>
      </c>
      <c r="HSL22" t="s">
        <v>6984</v>
      </c>
      <c r="HSM22" t="s">
        <v>6984</v>
      </c>
      <c r="HSN22" t="s">
        <v>6984</v>
      </c>
      <c r="HSO22" t="s">
        <v>6984</v>
      </c>
      <c r="HSP22" t="s">
        <v>6984</v>
      </c>
      <c r="HSQ22" t="s">
        <v>6984</v>
      </c>
      <c r="HSR22" t="s">
        <v>6984</v>
      </c>
      <c r="HSS22" t="s">
        <v>6984</v>
      </c>
      <c r="HST22" t="s">
        <v>6984</v>
      </c>
      <c r="HSU22" t="s">
        <v>6984</v>
      </c>
      <c r="HSV22" t="s">
        <v>6984</v>
      </c>
      <c r="HSW22" t="s">
        <v>6984</v>
      </c>
      <c r="HSX22" t="s">
        <v>6984</v>
      </c>
      <c r="HSY22" t="s">
        <v>6984</v>
      </c>
      <c r="HSZ22" t="s">
        <v>6984</v>
      </c>
      <c r="HTA22" t="s">
        <v>6984</v>
      </c>
      <c r="HTB22" t="s">
        <v>6984</v>
      </c>
      <c r="HTC22" t="s">
        <v>6984</v>
      </c>
      <c r="HTD22" t="s">
        <v>6984</v>
      </c>
      <c r="HTE22" t="s">
        <v>6984</v>
      </c>
      <c r="HTF22" t="s">
        <v>6984</v>
      </c>
      <c r="HTG22" t="s">
        <v>6984</v>
      </c>
      <c r="HTH22" t="s">
        <v>6984</v>
      </c>
      <c r="HTI22" t="s">
        <v>6984</v>
      </c>
      <c r="HTJ22" t="s">
        <v>6984</v>
      </c>
      <c r="HTK22" t="s">
        <v>6984</v>
      </c>
      <c r="HTL22" t="s">
        <v>6984</v>
      </c>
      <c r="HTM22" t="s">
        <v>6984</v>
      </c>
      <c r="HTN22" t="s">
        <v>6984</v>
      </c>
      <c r="HTO22" t="s">
        <v>6984</v>
      </c>
      <c r="HTP22" t="s">
        <v>6984</v>
      </c>
      <c r="HTQ22" t="s">
        <v>6984</v>
      </c>
      <c r="HTR22" t="s">
        <v>6984</v>
      </c>
      <c r="HTS22" t="s">
        <v>6984</v>
      </c>
      <c r="HTT22" t="s">
        <v>6984</v>
      </c>
      <c r="HTU22" t="s">
        <v>6984</v>
      </c>
      <c r="HTV22" t="s">
        <v>6984</v>
      </c>
      <c r="HTW22" t="s">
        <v>6984</v>
      </c>
      <c r="HTX22" t="s">
        <v>6984</v>
      </c>
      <c r="HTY22" t="s">
        <v>6984</v>
      </c>
      <c r="HTZ22" t="s">
        <v>6984</v>
      </c>
      <c r="HUA22" t="s">
        <v>6984</v>
      </c>
      <c r="HUB22" t="s">
        <v>6984</v>
      </c>
      <c r="HUC22" t="s">
        <v>6984</v>
      </c>
      <c r="HUD22" t="s">
        <v>6984</v>
      </c>
      <c r="HUE22" t="s">
        <v>6984</v>
      </c>
      <c r="HUF22" t="s">
        <v>6984</v>
      </c>
      <c r="HUG22" t="s">
        <v>6984</v>
      </c>
      <c r="HUH22" t="s">
        <v>6984</v>
      </c>
      <c r="HUI22" t="s">
        <v>6984</v>
      </c>
      <c r="HUJ22" t="s">
        <v>6984</v>
      </c>
      <c r="HUK22" t="s">
        <v>6984</v>
      </c>
      <c r="HUL22" t="s">
        <v>6984</v>
      </c>
      <c r="HUM22" t="s">
        <v>6984</v>
      </c>
      <c r="HUN22" t="s">
        <v>6984</v>
      </c>
      <c r="HUO22" t="s">
        <v>6984</v>
      </c>
      <c r="HUP22" t="s">
        <v>6984</v>
      </c>
      <c r="HUQ22" t="s">
        <v>6984</v>
      </c>
      <c r="HUR22" t="s">
        <v>6984</v>
      </c>
      <c r="HUS22" t="s">
        <v>6984</v>
      </c>
      <c r="HUT22" t="s">
        <v>6984</v>
      </c>
      <c r="HUU22" t="s">
        <v>6984</v>
      </c>
      <c r="HUV22" t="s">
        <v>6984</v>
      </c>
      <c r="HUW22" t="s">
        <v>6984</v>
      </c>
      <c r="HUX22" t="s">
        <v>6984</v>
      </c>
      <c r="HUY22" t="s">
        <v>6984</v>
      </c>
      <c r="HUZ22" t="s">
        <v>6984</v>
      </c>
      <c r="HVA22" t="s">
        <v>6984</v>
      </c>
      <c r="HVB22" t="s">
        <v>6984</v>
      </c>
      <c r="HVC22" t="s">
        <v>6984</v>
      </c>
      <c r="HVD22" t="s">
        <v>6984</v>
      </c>
      <c r="HVE22" t="s">
        <v>6984</v>
      </c>
      <c r="HVF22" t="s">
        <v>6984</v>
      </c>
      <c r="HVG22" t="s">
        <v>6984</v>
      </c>
      <c r="HVH22" t="s">
        <v>6984</v>
      </c>
      <c r="HVI22" t="s">
        <v>6984</v>
      </c>
      <c r="HVJ22" t="s">
        <v>6984</v>
      </c>
      <c r="HVK22" t="s">
        <v>6984</v>
      </c>
      <c r="HVL22" t="s">
        <v>6984</v>
      </c>
      <c r="HVM22" t="s">
        <v>6984</v>
      </c>
      <c r="HVN22" t="s">
        <v>6984</v>
      </c>
      <c r="HVO22" t="s">
        <v>6984</v>
      </c>
      <c r="HVP22" t="s">
        <v>6984</v>
      </c>
      <c r="HVQ22" t="s">
        <v>6984</v>
      </c>
      <c r="HVR22" t="s">
        <v>6984</v>
      </c>
      <c r="HVS22" t="s">
        <v>6984</v>
      </c>
      <c r="HVT22" t="s">
        <v>6984</v>
      </c>
      <c r="HVU22" t="s">
        <v>6984</v>
      </c>
      <c r="HVV22" t="s">
        <v>6984</v>
      </c>
      <c r="HVW22" t="s">
        <v>6984</v>
      </c>
      <c r="HVX22" t="s">
        <v>6984</v>
      </c>
      <c r="HVY22" t="s">
        <v>6984</v>
      </c>
      <c r="HVZ22" t="s">
        <v>6984</v>
      </c>
      <c r="HWA22" t="s">
        <v>6984</v>
      </c>
      <c r="HWB22" t="s">
        <v>6984</v>
      </c>
      <c r="HWC22" t="s">
        <v>6984</v>
      </c>
      <c r="HWD22" t="s">
        <v>6984</v>
      </c>
      <c r="HWE22" t="s">
        <v>6984</v>
      </c>
      <c r="HWF22" t="s">
        <v>6984</v>
      </c>
      <c r="HWG22" t="s">
        <v>6984</v>
      </c>
      <c r="HWH22" t="s">
        <v>6984</v>
      </c>
      <c r="HWI22" t="s">
        <v>6984</v>
      </c>
      <c r="HWJ22" t="s">
        <v>6984</v>
      </c>
      <c r="HWK22" t="s">
        <v>6984</v>
      </c>
      <c r="HWL22" t="s">
        <v>6984</v>
      </c>
      <c r="HWM22" t="s">
        <v>6984</v>
      </c>
      <c r="HWN22" t="s">
        <v>6984</v>
      </c>
      <c r="HWO22" t="s">
        <v>6984</v>
      </c>
      <c r="HWP22" t="s">
        <v>6984</v>
      </c>
      <c r="HWQ22" t="s">
        <v>6984</v>
      </c>
      <c r="HWR22" t="s">
        <v>6984</v>
      </c>
      <c r="HWS22" t="s">
        <v>6984</v>
      </c>
      <c r="HWT22" t="s">
        <v>6984</v>
      </c>
      <c r="HWU22" t="s">
        <v>6984</v>
      </c>
      <c r="HWV22" t="s">
        <v>6984</v>
      </c>
      <c r="HWW22" t="s">
        <v>6984</v>
      </c>
      <c r="HWX22" t="s">
        <v>6984</v>
      </c>
      <c r="HWY22" t="s">
        <v>6984</v>
      </c>
      <c r="HWZ22" t="s">
        <v>6984</v>
      </c>
      <c r="HXA22" t="s">
        <v>6984</v>
      </c>
      <c r="HXB22" t="s">
        <v>6984</v>
      </c>
      <c r="HXC22" t="s">
        <v>6984</v>
      </c>
      <c r="HXD22" t="s">
        <v>6984</v>
      </c>
      <c r="HXE22" t="s">
        <v>6984</v>
      </c>
      <c r="HXF22" t="s">
        <v>6984</v>
      </c>
      <c r="HXG22" t="s">
        <v>6984</v>
      </c>
      <c r="HXH22" t="s">
        <v>6984</v>
      </c>
      <c r="HXI22" t="s">
        <v>6984</v>
      </c>
      <c r="HXJ22" t="s">
        <v>6984</v>
      </c>
      <c r="HXK22" t="s">
        <v>6984</v>
      </c>
      <c r="HXL22" t="s">
        <v>6984</v>
      </c>
      <c r="HXM22" t="s">
        <v>6984</v>
      </c>
      <c r="HXN22" t="s">
        <v>6984</v>
      </c>
      <c r="HXO22" t="s">
        <v>6984</v>
      </c>
      <c r="HXP22" t="s">
        <v>6984</v>
      </c>
      <c r="HXQ22" t="s">
        <v>6984</v>
      </c>
      <c r="HXR22" t="s">
        <v>6984</v>
      </c>
      <c r="HXS22" t="s">
        <v>6984</v>
      </c>
      <c r="HXT22" t="s">
        <v>6984</v>
      </c>
      <c r="HXU22" t="s">
        <v>6984</v>
      </c>
      <c r="HXV22" t="s">
        <v>6984</v>
      </c>
      <c r="HXW22" t="s">
        <v>6984</v>
      </c>
      <c r="HXX22" t="s">
        <v>6984</v>
      </c>
      <c r="HXY22" t="s">
        <v>6984</v>
      </c>
      <c r="HXZ22" t="s">
        <v>6984</v>
      </c>
      <c r="HYA22" t="s">
        <v>6984</v>
      </c>
      <c r="HYB22" t="s">
        <v>6984</v>
      </c>
      <c r="HYC22" t="s">
        <v>6984</v>
      </c>
      <c r="HYD22" t="s">
        <v>6984</v>
      </c>
      <c r="HYE22" t="s">
        <v>6984</v>
      </c>
      <c r="HYF22" t="s">
        <v>6984</v>
      </c>
      <c r="HYG22" t="s">
        <v>6984</v>
      </c>
      <c r="HYH22" t="s">
        <v>6984</v>
      </c>
      <c r="HYI22" t="s">
        <v>6984</v>
      </c>
      <c r="HYJ22" t="s">
        <v>6984</v>
      </c>
      <c r="HYK22" t="s">
        <v>6984</v>
      </c>
      <c r="HYL22" t="s">
        <v>6984</v>
      </c>
      <c r="HYM22" t="s">
        <v>6984</v>
      </c>
      <c r="HYN22" t="s">
        <v>6984</v>
      </c>
      <c r="HYO22" t="s">
        <v>6984</v>
      </c>
      <c r="HYP22" t="s">
        <v>6984</v>
      </c>
      <c r="HYQ22" t="s">
        <v>6984</v>
      </c>
      <c r="HYR22" t="s">
        <v>6984</v>
      </c>
      <c r="HYS22" t="s">
        <v>6984</v>
      </c>
      <c r="HYT22" t="s">
        <v>6984</v>
      </c>
      <c r="HYU22" t="s">
        <v>6984</v>
      </c>
      <c r="HYV22" t="s">
        <v>6984</v>
      </c>
      <c r="HYW22" t="s">
        <v>6984</v>
      </c>
      <c r="HYX22" t="s">
        <v>6984</v>
      </c>
      <c r="HYY22" t="s">
        <v>6984</v>
      </c>
      <c r="HYZ22" t="s">
        <v>6984</v>
      </c>
      <c r="HZA22" t="s">
        <v>6984</v>
      </c>
      <c r="HZB22" t="s">
        <v>6984</v>
      </c>
      <c r="HZC22" t="s">
        <v>6984</v>
      </c>
      <c r="HZD22" t="s">
        <v>6984</v>
      </c>
      <c r="HZE22" t="s">
        <v>6984</v>
      </c>
      <c r="HZF22" t="s">
        <v>6984</v>
      </c>
      <c r="HZG22" t="s">
        <v>6984</v>
      </c>
      <c r="HZH22" t="s">
        <v>6984</v>
      </c>
      <c r="HZI22" t="s">
        <v>6984</v>
      </c>
      <c r="HZJ22" t="s">
        <v>6984</v>
      </c>
      <c r="HZK22" t="s">
        <v>6984</v>
      </c>
      <c r="HZL22" t="s">
        <v>6984</v>
      </c>
      <c r="HZM22" t="s">
        <v>6984</v>
      </c>
      <c r="HZN22" t="s">
        <v>6984</v>
      </c>
      <c r="HZO22" t="s">
        <v>6984</v>
      </c>
      <c r="HZP22" t="s">
        <v>6984</v>
      </c>
      <c r="HZQ22" t="s">
        <v>6984</v>
      </c>
      <c r="HZR22" t="s">
        <v>6984</v>
      </c>
      <c r="HZS22" t="s">
        <v>6984</v>
      </c>
      <c r="HZT22" t="s">
        <v>6984</v>
      </c>
      <c r="HZU22" t="s">
        <v>6984</v>
      </c>
      <c r="HZV22" t="s">
        <v>6984</v>
      </c>
      <c r="HZW22" t="s">
        <v>6984</v>
      </c>
      <c r="HZX22" t="s">
        <v>6984</v>
      </c>
      <c r="HZY22" t="s">
        <v>6984</v>
      </c>
      <c r="HZZ22" t="s">
        <v>6984</v>
      </c>
      <c r="IAA22" t="s">
        <v>6984</v>
      </c>
      <c r="IAB22" t="s">
        <v>6984</v>
      </c>
      <c r="IAC22" t="s">
        <v>6984</v>
      </c>
      <c r="IAD22" t="s">
        <v>6984</v>
      </c>
      <c r="IAE22" t="s">
        <v>6984</v>
      </c>
      <c r="IAF22" t="s">
        <v>6984</v>
      </c>
      <c r="IAG22" t="s">
        <v>6984</v>
      </c>
      <c r="IAH22" t="s">
        <v>6984</v>
      </c>
      <c r="IAI22" t="s">
        <v>6984</v>
      </c>
      <c r="IAJ22" t="s">
        <v>6984</v>
      </c>
      <c r="IAK22" t="s">
        <v>6984</v>
      </c>
      <c r="IAL22" t="s">
        <v>6984</v>
      </c>
      <c r="IAM22" t="s">
        <v>6984</v>
      </c>
      <c r="IAN22" t="s">
        <v>6984</v>
      </c>
      <c r="IAO22" t="s">
        <v>6984</v>
      </c>
      <c r="IAP22" t="s">
        <v>6984</v>
      </c>
      <c r="IAQ22" t="s">
        <v>6984</v>
      </c>
      <c r="IAR22" t="s">
        <v>6984</v>
      </c>
      <c r="IAS22" t="s">
        <v>6984</v>
      </c>
      <c r="IAT22" t="s">
        <v>6984</v>
      </c>
      <c r="IAU22" t="s">
        <v>6984</v>
      </c>
      <c r="IAV22" t="s">
        <v>6984</v>
      </c>
      <c r="IAW22" t="s">
        <v>6984</v>
      </c>
      <c r="IAX22" t="s">
        <v>6984</v>
      </c>
      <c r="IAY22" t="s">
        <v>6984</v>
      </c>
      <c r="IAZ22" t="s">
        <v>6984</v>
      </c>
      <c r="IBA22" t="s">
        <v>6984</v>
      </c>
      <c r="IBB22" t="s">
        <v>6984</v>
      </c>
      <c r="IBC22" t="s">
        <v>6984</v>
      </c>
      <c r="IBD22" t="s">
        <v>6984</v>
      </c>
      <c r="IBE22" t="s">
        <v>6984</v>
      </c>
      <c r="IBF22" t="s">
        <v>6984</v>
      </c>
      <c r="IBG22" t="s">
        <v>6984</v>
      </c>
      <c r="IBH22" t="s">
        <v>6984</v>
      </c>
      <c r="IBI22" t="s">
        <v>6984</v>
      </c>
      <c r="IBJ22" t="s">
        <v>6984</v>
      </c>
      <c r="IBK22" t="s">
        <v>6984</v>
      </c>
      <c r="IBL22" t="s">
        <v>6984</v>
      </c>
      <c r="IBM22" t="s">
        <v>6984</v>
      </c>
      <c r="IBN22" t="s">
        <v>6984</v>
      </c>
      <c r="IBO22" t="s">
        <v>6984</v>
      </c>
      <c r="IBP22" t="s">
        <v>6984</v>
      </c>
      <c r="IBQ22" t="s">
        <v>6984</v>
      </c>
      <c r="IBR22" t="s">
        <v>6984</v>
      </c>
      <c r="IBS22" t="s">
        <v>6984</v>
      </c>
      <c r="IBT22" t="s">
        <v>6984</v>
      </c>
      <c r="IBU22" t="s">
        <v>6984</v>
      </c>
      <c r="IBV22" t="s">
        <v>6984</v>
      </c>
      <c r="IBW22" t="s">
        <v>6984</v>
      </c>
      <c r="IBX22" t="s">
        <v>6984</v>
      </c>
      <c r="IBY22" t="s">
        <v>6984</v>
      </c>
      <c r="IBZ22" t="s">
        <v>6984</v>
      </c>
      <c r="ICA22" t="s">
        <v>6984</v>
      </c>
      <c r="ICB22" t="s">
        <v>6984</v>
      </c>
      <c r="ICC22" t="s">
        <v>6984</v>
      </c>
      <c r="ICD22" t="s">
        <v>6984</v>
      </c>
      <c r="ICE22" t="s">
        <v>6984</v>
      </c>
      <c r="ICF22" t="s">
        <v>6984</v>
      </c>
      <c r="ICG22" t="s">
        <v>6984</v>
      </c>
      <c r="ICH22" t="s">
        <v>6984</v>
      </c>
      <c r="ICI22" t="s">
        <v>6984</v>
      </c>
      <c r="ICJ22" t="s">
        <v>6984</v>
      </c>
      <c r="ICK22" t="s">
        <v>6984</v>
      </c>
      <c r="ICL22" t="s">
        <v>6984</v>
      </c>
      <c r="ICM22" t="s">
        <v>6984</v>
      </c>
      <c r="ICN22" t="s">
        <v>6984</v>
      </c>
      <c r="ICO22" t="s">
        <v>6984</v>
      </c>
      <c r="ICP22" t="s">
        <v>6984</v>
      </c>
      <c r="ICQ22" t="s">
        <v>6984</v>
      </c>
      <c r="ICR22" t="s">
        <v>6984</v>
      </c>
      <c r="ICS22" t="s">
        <v>6984</v>
      </c>
      <c r="ICT22" t="s">
        <v>6984</v>
      </c>
      <c r="ICU22" t="s">
        <v>6984</v>
      </c>
      <c r="ICV22" t="s">
        <v>6984</v>
      </c>
      <c r="ICW22" t="s">
        <v>6984</v>
      </c>
      <c r="ICX22" t="s">
        <v>6984</v>
      </c>
      <c r="ICY22" t="s">
        <v>6984</v>
      </c>
      <c r="ICZ22" t="s">
        <v>6984</v>
      </c>
      <c r="IDA22" t="s">
        <v>6984</v>
      </c>
      <c r="IDB22" t="s">
        <v>6984</v>
      </c>
      <c r="IDC22" t="s">
        <v>6984</v>
      </c>
      <c r="IDD22" t="s">
        <v>6984</v>
      </c>
      <c r="IDE22" t="s">
        <v>6984</v>
      </c>
      <c r="IDF22" t="s">
        <v>6984</v>
      </c>
      <c r="IDG22" t="s">
        <v>6984</v>
      </c>
      <c r="IDH22" t="s">
        <v>6984</v>
      </c>
      <c r="IDI22" t="s">
        <v>6984</v>
      </c>
      <c r="IDJ22" t="s">
        <v>6984</v>
      </c>
      <c r="IDK22" t="s">
        <v>6984</v>
      </c>
      <c r="IDL22" t="s">
        <v>6984</v>
      </c>
      <c r="IDM22" t="s">
        <v>6984</v>
      </c>
      <c r="IDN22" t="s">
        <v>6984</v>
      </c>
      <c r="IDO22" t="s">
        <v>6984</v>
      </c>
      <c r="IDP22" t="s">
        <v>6984</v>
      </c>
      <c r="IDQ22" t="s">
        <v>6984</v>
      </c>
      <c r="IDR22" t="s">
        <v>6984</v>
      </c>
      <c r="IDS22" t="s">
        <v>6984</v>
      </c>
      <c r="IDT22" t="s">
        <v>6984</v>
      </c>
      <c r="IDU22" t="s">
        <v>6984</v>
      </c>
      <c r="IDV22" t="s">
        <v>6984</v>
      </c>
      <c r="IDW22" t="s">
        <v>6984</v>
      </c>
      <c r="IDX22" t="s">
        <v>6984</v>
      </c>
      <c r="IDY22" t="s">
        <v>6984</v>
      </c>
      <c r="IDZ22" t="s">
        <v>6984</v>
      </c>
      <c r="IEA22" t="s">
        <v>6984</v>
      </c>
      <c r="IEB22" t="s">
        <v>6984</v>
      </c>
      <c r="IEC22" t="s">
        <v>6984</v>
      </c>
      <c r="IED22" t="s">
        <v>6984</v>
      </c>
      <c r="IEE22" t="s">
        <v>6984</v>
      </c>
      <c r="IEF22" t="s">
        <v>6984</v>
      </c>
      <c r="IEG22" t="s">
        <v>6984</v>
      </c>
      <c r="IEH22" t="s">
        <v>6984</v>
      </c>
      <c r="IEI22" t="s">
        <v>6984</v>
      </c>
      <c r="IEJ22" t="s">
        <v>6984</v>
      </c>
      <c r="IEK22" t="s">
        <v>6984</v>
      </c>
      <c r="IEL22" t="s">
        <v>6984</v>
      </c>
      <c r="IEM22" t="s">
        <v>6984</v>
      </c>
      <c r="IEN22" t="s">
        <v>6984</v>
      </c>
      <c r="IEO22" t="s">
        <v>6984</v>
      </c>
      <c r="IEP22" t="s">
        <v>6984</v>
      </c>
      <c r="IEQ22" t="s">
        <v>6984</v>
      </c>
      <c r="IER22" t="s">
        <v>6984</v>
      </c>
      <c r="IES22" t="s">
        <v>6984</v>
      </c>
      <c r="IET22" t="s">
        <v>6984</v>
      </c>
      <c r="IEU22" t="s">
        <v>6984</v>
      </c>
      <c r="IEV22" t="s">
        <v>6984</v>
      </c>
      <c r="IEW22" t="s">
        <v>6984</v>
      </c>
      <c r="IEX22" t="s">
        <v>6984</v>
      </c>
      <c r="IEY22" t="s">
        <v>6984</v>
      </c>
      <c r="IEZ22" t="s">
        <v>6984</v>
      </c>
      <c r="IFA22" t="s">
        <v>6984</v>
      </c>
      <c r="IFB22" t="s">
        <v>6984</v>
      </c>
      <c r="IFC22" t="s">
        <v>6984</v>
      </c>
      <c r="IFD22" t="s">
        <v>6984</v>
      </c>
      <c r="IFE22" t="s">
        <v>6984</v>
      </c>
      <c r="IFF22" t="s">
        <v>6984</v>
      </c>
      <c r="IFG22" t="s">
        <v>6984</v>
      </c>
      <c r="IFH22" t="s">
        <v>6984</v>
      </c>
      <c r="IFI22" t="s">
        <v>6984</v>
      </c>
      <c r="IFJ22" t="s">
        <v>6984</v>
      </c>
      <c r="IFK22" t="s">
        <v>6984</v>
      </c>
      <c r="IFL22" t="s">
        <v>6984</v>
      </c>
      <c r="IFM22" t="s">
        <v>6984</v>
      </c>
      <c r="IFN22" t="s">
        <v>6984</v>
      </c>
      <c r="IFO22" t="s">
        <v>6984</v>
      </c>
      <c r="IFP22" t="s">
        <v>6984</v>
      </c>
      <c r="IFQ22" t="s">
        <v>6984</v>
      </c>
      <c r="IFR22" t="s">
        <v>6984</v>
      </c>
      <c r="IFS22" t="s">
        <v>6984</v>
      </c>
      <c r="IFT22" t="s">
        <v>6984</v>
      </c>
      <c r="IFU22" t="s">
        <v>6984</v>
      </c>
      <c r="IFV22" t="s">
        <v>6984</v>
      </c>
      <c r="IFW22" t="s">
        <v>6984</v>
      </c>
      <c r="IFX22" t="s">
        <v>6984</v>
      </c>
      <c r="IFY22" t="s">
        <v>6984</v>
      </c>
      <c r="IFZ22" t="s">
        <v>6984</v>
      </c>
      <c r="IGA22" t="s">
        <v>6984</v>
      </c>
      <c r="IGB22" t="s">
        <v>6984</v>
      </c>
      <c r="IGC22" t="s">
        <v>6984</v>
      </c>
      <c r="IGD22" t="s">
        <v>6984</v>
      </c>
      <c r="IGE22" t="s">
        <v>6984</v>
      </c>
      <c r="IGF22" t="s">
        <v>6984</v>
      </c>
      <c r="IGG22" t="s">
        <v>6984</v>
      </c>
      <c r="IGH22" t="s">
        <v>6984</v>
      </c>
      <c r="IGI22" t="s">
        <v>6984</v>
      </c>
      <c r="IGJ22" t="s">
        <v>6984</v>
      </c>
      <c r="IGK22" t="s">
        <v>6984</v>
      </c>
      <c r="IGL22" t="s">
        <v>6984</v>
      </c>
      <c r="IGM22" t="s">
        <v>6984</v>
      </c>
      <c r="IGN22" t="s">
        <v>6984</v>
      </c>
      <c r="IGO22" t="s">
        <v>6984</v>
      </c>
      <c r="IGP22" t="s">
        <v>6984</v>
      </c>
      <c r="IGQ22" t="s">
        <v>6984</v>
      </c>
      <c r="IGR22" t="s">
        <v>6984</v>
      </c>
      <c r="IGS22" t="s">
        <v>6984</v>
      </c>
      <c r="IGT22" t="s">
        <v>6984</v>
      </c>
      <c r="IGU22" t="s">
        <v>6984</v>
      </c>
      <c r="IGV22" t="s">
        <v>6984</v>
      </c>
      <c r="IGW22" t="s">
        <v>6984</v>
      </c>
      <c r="IGX22" t="s">
        <v>6984</v>
      </c>
      <c r="IGY22" t="s">
        <v>6984</v>
      </c>
      <c r="IGZ22" t="s">
        <v>6984</v>
      </c>
      <c r="IHA22" t="s">
        <v>6984</v>
      </c>
      <c r="IHB22" t="s">
        <v>6984</v>
      </c>
      <c r="IHC22" t="s">
        <v>6984</v>
      </c>
      <c r="IHD22" t="s">
        <v>6984</v>
      </c>
      <c r="IHE22" t="s">
        <v>6984</v>
      </c>
      <c r="IHF22" t="s">
        <v>6984</v>
      </c>
      <c r="IHG22" t="s">
        <v>6984</v>
      </c>
      <c r="IHH22" t="s">
        <v>6984</v>
      </c>
      <c r="IHI22" t="s">
        <v>6984</v>
      </c>
      <c r="IHJ22" t="s">
        <v>6984</v>
      </c>
      <c r="IHK22" t="s">
        <v>6984</v>
      </c>
      <c r="IHL22" t="s">
        <v>6984</v>
      </c>
      <c r="IHM22" t="s">
        <v>6984</v>
      </c>
      <c r="IHN22" t="s">
        <v>6984</v>
      </c>
      <c r="IHO22" t="s">
        <v>6984</v>
      </c>
      <c r="IHP22" t="s">
        <v>6984</v>
      </c>
      <c r="IHQ22" t="s">
        <v>6984</v>
      </c>
      <c r="IHR22" t="s">
        <v>6984</v>
      </c>
      <c r="IHS22" t="s">
        <v>6984</v>
      </c>
      <c r="IHT22" t="s">
        <v>6984</v>
      </c>
      <c r="IHU22" t="s">
        <v>6984</v>
      </c>
      <c r="IHV22" t="s">
        <v>6984</v>
      </c>
      <c r="IHW22" t="s">
        <v>6984</v>
      </c>
      <c r="IHX22" t="s">
        <v>6984</v>
      </c>
      <c r="IHY22" t="s">
        <v>6984</v>
      </c>
      <c r="IHZ22" t="s">
        <v>6984</v>
      </c>
      <c r="IIA22" t="s">
        <v>6984</v>
      </c>
      <c r="IIB22" t="s">
        <v>6984</v>
      </c>
      <c r="IIC22" t="s">
        <v>6984</v>
      </c>
      <c r="IID22" t="s">
        <v>6984</v>
      </c>
      <c r="IIE22" t="s">
        <v>6984</v>
      </c>
      <c r="IIF22" t="s">
        <v>6984</v>
      </c>
      <c r="IIG22" t="s">
        <v>6984</v>
      </c>
      <c r="IIH22" t="s">
        <v>6984</v>
      </c>
      <c r="III22" t="s">
        <v>6984</v>
      </c>
      <c r="IIJ22" t="s">
        <v>6984</v>
      </c>
      <c r="IIK22" t="s">
        <v>6984</v>
      </c>
      <c r="IIL22" t="s">
        <v>6984</v>
      </c>
      <c r="IIM22" t="s">
        <v>6984</v>
      </c>
      <c r="IIN22" t="s">
        <v>6984</v>
      </c>
      <c r="IIO22" t="s">
        <v>6984</v>
      </c>
      <c r="IIP22" t="s">
        <v>6984</v>
      </c>
      <c r="IIQ22" t="s">
        <v>6984</v>
      </c>
      <c r="IIR22" t="s">
        <v>6984</v>
      </c>
      <c r="IIS22" t="s">
        <v>6984</v>
      </c>
      <c r="IIT22" t="s">
        <v>6984</v>
      </c>
      <c r="IIU22" t="s">
        <v>6984</v>
      </c>
      <c r="IIV22" t="s">
        <v>6984</v>
      </c>
      <c r="IIW22" t="s">
        <v>6984</v>
      </c>
      <c r="IIX22" t="s">
        <v>6984</v>
      </c>
      <c r="IIY22" t="s">
        <v>6984</v>
      </c>
      <c r="IIZ22" t="s">
        <v>6984</v>
      </c>
      <c r="IJA22" t="s">
        <v>6984</v>
      </c>
      <c r="IJB22" t="s">
        <v>6984</v>
      </c>
      <c r="IJC22" t="s">
        <v>6984</v>
      </c>
      <c r="IJD22" t="s">
        <v>6984</v>
      </c>
      <c r="IJE22" t="s">
        <v>6984</v>
      </c>
      <c r="IJF22" t="s">
        <v>6984</v>
      </c>
      <c r="IJG22" t="s">
        <v>6984</v>
      </c>
      <c r="IJH22" t="s">
        <v>6984</v>
      </c>
      <c r="IJI22" t="s">
        <v>6984</v>
      </c>
      <c r="IJJ22" t="s">
        <v>6984</v>
      </c>
      <c r="IJK22" t="s">
        <v>6984</v>
      </c>
      <c r="IJL22" t="s">
        <v>6984</v>
      </c>
      <c r="IJM22" t="s">
        <v>6984</v>
      </c>
      <c r="IJN22" t="s">
        <v>6984</v>
      </c>
      <c r="IJO22" t="s">
        <v>6984</v>
      </c>
      <c r="IJP22" t="s">
        <v>6984</v>
      </c>
      <c r="IJQ22" t="s">
        <v>6984</v>
      </c>
      <c r="IJR22" t="s">
        <v>6984</v>
      </c>
      <c r="IJS22" t="s">
        <v>6984</v>
      </c>
      <c r="IJT22" t="s">
        <v>6984</v>
      </c>
      <c r="IJU22" t="s">
        <v>6984</v>
      </c>
      <c r="IJV22" t="s">
        <v>6984</v>
      </c>
      <c r="IJW22" t="s">
        <v>6984</v>
      </c>
      <c r="IJX22" t="s">
        <v>6984</v>
      </c>
      <c r="IJY22" t="s">
        <v>6984</v>
      </c>
      <c r="IJZ22" t="s">
        <v>6984</v>
      </c>
      <c r="IKA22" t="s">
        <v>6984</v>
      </c>
      <c r="IKB22" t="s">
        <v>6984</v>
      </c>
      <c r="IKC22" t="s">
        <v>6984</v>
      </c>
      <c r="IKD22" t="s">
        <v>6984</v>
      </c>
      <c r="IKE22" t="s">
        <v>6984</v>
      </c>
      <c r="IKF22" t="s">
        <v>6984</v>
      </c>
      <c r="IKG22" t="s">
        <v>6984</v>
      </c>
      <c r="IKH22" t="s">
        <v>6984</v>
      </c>
      <c r="IKI22" t="s">
        <v>6984</v>
      </c>
      <c r="IKJ22" t="s">
        <v>6984</v>
      </c>
      <c r="IKK22" t="s">
        <v>6984</v>
      </c>
      <c r="IKL22" t="s">
        <v>6984</v>
      </c>
      <c r="IKM22" t="s">
        <v>6984</v>
      </c>
      <c r="IKN22" t="s">
        <v>6984</v>
      </c>
      <c r="IKO22" t="s">
        <v>6984</v>
      </c>
      <c r="IKP22" t="s">
        <v>6984</v>
      </c>
      <c r="IKQ22" t="s">
        <v>6984</v>
      </c>
      <c r="IKR22" t="s">
        <v>6984</v>
      </c>
      <c r="IKS22" t="s">
        <v>6984</v>
      </c>
      <c r="IKT22" t="s">
        <v>6984</v>
      </c>
      <c r="IKU22" t="s">
        <v>6984</v>
      </c>
      <c r="IKV22" t="s">
        <v>6984</v>
      </c>
      <c r="IKW22" t="s">
        <v>6984</v>
      </c>
      <c r="IKX22" t="s">
        <v>6984</v>
      </c>
      <c r="IKY22" t="s">
        <v>6984</v>
      </c>
      <c r="IKZ22" t="s">
        <v>6984</v>
      </c>
      <c r="ILA22" t="s">
        <v>6984</v>
      </c>
      <c r="ILB22" t="s">
        <v>6984</v>
      </c>
      <c r="ILC22" t="s">
        <v>6984</v>
      </c>
      <c r="ILD22" t="s">
        <v>6984</v>
      </c>
      <c r="ILE22" t="s">
        <v>6984</v>
      </c>
      <c r="ILF22" t="s">
        <v>6984</v>
      </c>
      <c r="ILG22" t="s">
        <v>6984</v>
      </c>
      <c r="ILH22" t="s">
        <v>6984</v>
      </c>
      <c r="ILI22" t="s">
        <v>6984</v>
      </c>
      <c r="ILJ22" t="s">
        <v>6984</v>
      </c>
      <c r="ILK22" t="s">
        <v>6984</v>
      </c>
      <c r="ILL22" t="s">
        <v>6984</v>
      </c>
      <c r="ILM22" t="s">
        <v>6984</v>
      </c>
      <c r="ILN22" t="s">
        <v>6984</v>
      </c>
      <c r="ILO22" t="s">
        <v>6984</v>
      </c>
      <c r="ILP22" t="s">
        <v>6984</v>
      </c>
      <c r="ILQ22" t="s">
        <v>6984</v>
      </c>
      <c r="ILR22" t="s">
        <v>6984</v>
      </c>
      <c r="ILS22" t="s">
        <v>6984</v>
      </c>
      <c r="ILT22" t="s">
        <v>6984</v>
      </c>
      <c r="ILU22" t="s">
        <v>6984</v>
      </c>
      <c r="ILV22" t="s">
        <v>6984</v>
      </c>
      <c r="ILW22" t="s">
        <v>6984</v>
      </c>
      <c r="ILX22" t="s">
        <v>6984</v>
      </c>
      <c r="ILY22" t="s">
        <v>6984</v>
      </c>
      <c r="ILZ22" t="s">
        <v>6984</v>
      </c>
      <c r="IMA22" t="s">
        <v>6984</v>
      </c>
      <c r="IMB22" t="s">
        <v>6984</v>
      </c>
      <c r="IMC22" t="s">
        <v>6984</v>
      </c>
      <c r="IMD22" t="s">
        <v>6984</v>
      </c>
      <c r="IME22" t="s">
        <v>6984</v>
      </c>
      <c r="IMF22" t="s">
        <v>6984</v>
      </c>
      <c r="IMG22" t="s">
        <v>6984</v>
      </c>
      <c r="IMH22" t="s">
        <v>6984</v>
      </c>
      <c r="IMI22" t="s">
        <v>6984</v>
      </c>
      <c r="IMJ22" t="s">
        <v>6984</v>
      </c>
      <c r="IMK22" t="s">
        <v>6984</v>
      </c>
      <c r="IML22" t="s">
        <v>6984</v>
      </c>
      <c r="IMM22" t="s">
        <v>6984</v>
      </c>
      <c r="IMN22" t="s">
        <v>6984</v>
      </c>
      <c r="IMO22" t="s">
        <v>6984</v>
      </c>
      <c r="IMP22" t="s">
        <v>6984</v>
      </c>
      <c r="IMQ22" t="s">
        <v>6984</v>
      </c>
      <c r="IMR22" t="s">
        <v>6984</v>
      </c>
      <c r="IMS22" t="s">
        <v>6984</v>
      </c>
      <c r="IMT22" t="s">
        <v>6984</v>
      </c>
      <c r="IMU22" t="s">
        <v>6984</v>
      </c>
      <c r="IMV22" t="s">
        <v>6984</v>
      </c>
      <c r="IMW22" t="s">
        <v>6984</v>
      </c>
      <c r="IMX22" t="s">
        <v>6984</v>
      </c>
      <c r="IMY22" t="s">
        <v>6984</v>
      </c>
      <c r="IMZ22" t="s">
        <v>6984</v>
      </c>
      <c r="INA22" t="s">
        <v>6984</v>
      </c>
      <c r="INB22" t="s">
        <v>6984</v>
      </c>
      <c r="INC22" t="s">
        <v>6984</v>
      </c>
      <c r="IND22" t="s">
        <v>6984</v>
      </c>
      <c r="INE22" t="s">
        <v>6984</v>
      </c>
      <c r="INF22" t="s">
        <v>6984</v>
      </c>
      <c r="ING22" t="s">
        <v>6984</v>
      </c>
      <c r="INH22" t="s">
        <v>6984</v>
      </c>
      <c r="INI22" t="s">
        <v>6984</v>
      </c>
      <c r="INJ22" t="s">
        <v>6984</v>
      </c>
      <c r="INK22" t="s">
        <v>6984</v>
      </c>
      <c r="INL22" t="s">
        <v>6984</v>
      </c>
      <c r="INM22" t="s">
        <v>6984</v>
      </c>
      <c r="INN22" t="s">
        <v>6984</v>
      </c>
      <c r="INO22" t="s">
        <v>6984</v>
      </c>
      <c r="INP22" t="s">
        <v>6984</v>
      </c>
      <c r="INQ22" t="s">
        <v>6984</v>
      </c>
      <c r="INR22" t="s">
        <v>6984</v>
      </c>
      <c r="INS22" t="s">
        <v>6984</v>
      </c>
      <c r="INT22" t="s">
        <v>6984</v>
      </c>
      <c r="INU22" t="s">
        <v>6984</v>
      </c>
      <c r="INV22" t="s">
        <v>6984</v>
      </c>
      <c r="INW22" t="s">
        <v>6984</v>
      </c>
      <c r="INX22" t="s">
        <v>6984</v>
      </c>
      <c r="INY22" t="s">
        <v>6984</v>
      </c>
      <c r="INZ22" t="s">
        <v>6984</v>
      </c>
      <c r="IOA22" t="s">
        <v>6984</v>
      </c>
      <c r="IOB22" t="s">
        <v>6984</v>
      </c>
      <c r="IOC22" t="s">
        <v>6984</v>
      </c>
      <c r="IOD22" t="s">
        <v>6984</v>
      </c>
      <c r="IOE22" t="s">
        <v>6984</v>
      </c>
      <c r="IOF22" t="s">
        <v>6984</v>
      </c>
      <c r="IOG22" t="s">
        <v>6984</v>
      </c>
      <c r="IOH22" t="s">
        <v>6984</v>
      </c>
      <c r="IOI22" t="s">
        <v>6984</v>
      </c>
      <c r="IOJ22" t="s">
        <v>6984</v>
      </c>
      <c r="IOK22" t="s">
        <v>6984</v>
      </c>
      <c r="IOL22" t="s">
        <v>6984</v>
      </c>
      <c r="IOM22" t="s">
        <v>6984</v>
      </c>
      <c r="ION22" t="s">
        <v>6984</v>
      </c>
      <c r="IOO22" t="s">
        <v>6984</v>
      </c>
      <c r="IOP22" t="s">
        <v>6984</v>
      </c>
      <c r="IOQ22" t="s">
        <v>6984</v>
      </c>
      <c r="IOR22" t="s">
        <v>6984</v>
      </c>
      <c r="IOS22" t="s">
        <v>6984</v>
      </c>
      <c r="IOT22" t="s">
        <v>6984</v>
      </c>
      <c r="IOU22" t="s">
        <v>6984</v>
      </c>
      <c r="IOV22" t="s">
        <v>6984</v>
      </c>
      <c r="IOW22" t="s">
        <v>6984</v>
      </c>
      <c r="IOX22" t="s">
        <v>6984</v>
      </c>
      <c r="IOY22" t="s">
        <v>6984</v>
      </c>
      <c r="IOZ22" t="s">
        <v>6984</v>
      </c>
      <c r="IPA22" t="s">
        <v>6984</v>
      </c>
      <c r="IPB22" t="s">
        <v>6984</v>
      </c>
      <c r="IPC22" t="s">
        <v>6984</v>
      </c>
      <c r="IPD22" t="s">
        <v>6984</v>
      </c>
      <c r="IPE22" t="s">
        <v>6984</v>
      </c>
      <c r="IPF22" t="s">
        <v>6984</v>
      </c>
      <c r="IPG22" t="s">
        <v>6984</v>
      </c>
      <c r="IPH22" t="s">
        <v>6984</v>
      </c>
      <c r="IPI22" t="s">
        <v>6984</v>
      </c>
      <c r="IPJ22" t="s">
        <v>6984</v>
      </c>
      <c r="IPK22" t="s">
        <v>6984</v>
      </c>
      <c r="IPL22" t="s">
        <v>6984</v>
      </c>
      <c r="IPM22" t="s">
        <v>6984</v>
      </c>
      <c r="IPN22" t="s">
        <v>6984</v>
      </c>
      <c r="IPO22" t="s">
        <v>6984</v>
      </c>
      <c r="IPP22" t="s">
        <v>6984</v>
      </c>
      <c r="IPQ22" t="s">
        <v>6984</v>
      </c>
      <c r="IPR22" t="s">
        <v>6984</v>
      </c>
      <c r="IPS22" t="s">
        <v>6984</v>
      </c>
      <c r="IPT22" t="s">
        <v>6984</v>
      </c>
      <c r="IPU22" t="s">
        <v>6984</v>
      </c>
      <c r="IPV22" t="s">
        <v>6984</v>
      </c>
      <c r="IPW22" t="s">
        <v>6984</v>
      </c>
      <c r="IPX22" t="s">
        <v>6984</v>
      </c>
      <c r="IPY22" t="s">
        <v>6984</v>
      </c>
      <c r="IPZ22" t="s">
        <v>6984</v>
      </c>
      <c r="IQA22" t="s">
        <v>6984</v>
      </c>
      <c r="IQB22" t="s">
        <v>6984</v>
      </c>
      <c r="IQC22" t="s">
        <v>6984</v>
      </c>
      <c r="IQD22" t="s">
        <v>6984</v>
      </c>
      <c r="IQE22" t="s">
        <v>6984</v>
      </c>
      <c r="IQF22" t="s">
        <v>6984</v>
      </c>
      <c r="IQG22" t="s">
        <v>6984</v>
      </c>
      <c r="IQH22" t="s">
        <v>6984</v>
      </c>
      <c r="IQI22" t="s">
        <v>6984</v>
      </c>
      <c r="IQJ22" t="s">
        <v>6984</v>
      </c>
      <c r="IQK22" t="s">
        <v>6984</v>
      </c>
      <c r="IQL22" t="s">
        <v>6984</v>
      </c>
      <c r="IQM22" t="s">
        <v>6984</v>
      </c>
      <c r="IQN22" t="s">
        <v>6984</v>
      </c>
      <c r="IQO22" t="s">
        <v>6984</v>
      </c>
      <c r="IQP22" t="s">
        <v>6984</v>
      </c>
      <c r="IQQ22" t="s">
        <v>6984</v>
      </c>
      <c r="IQR22" t="s">
        <v>6984</v>
      </c>
      <c r="IQS22" t="s">
        <v>6984</v>
      </c>
      <c r="IQT22" t="s">
        <v>6984</v>
      </c>
      <c r="IQU22" t="s">
        <v>6984</v>
      </c>
      <c r="IQV22" t="s">
        <v>6984</v>
      </c>
      <c r="IQW22" t="s">
        <v>6984</v>
      </c>
      <c r="IQX22" t="s">
        <v>6984</v>
      </c>
      <c r="IQY22" t="s">
        <v>6984</v>
      </c>
      <c r="IQZ22" t="s">
        <v>6984</v>
      </c>
      <c r="IRA22" t="s">
        <v>6984</v>
      </c>
      <c r="IRB22" t="s">
        <v>6984</v>
      </c>
      <c r="IRC22" t="s">
        <v>6984</v>
      </c>
      <c r="IRD22" t="s">
        <v>6984</v>
      </c>
      <c r="IRE22" t="s">
        <v>6984</v>
      </c>
      <c r="IRF22" t="s">
        <v>6984</v>
      </c>
      <c r="IRG22" t="s">
        <v>6984</v>
      </c>
      <c r="IRH22" t="s">
        <v>6984</v>
      </c>
      <c r="IRI22" t="s">
        <v>6984</v>
      </c>
      <c r="IRJ22" t="s">
        <v>6984</v>
      </c>
      <c r="IRK22" t="s">
        <v>6984</v>
      </c>
      <c r="IRL22" t="s">
        <v>6984</v>
      </c>
      <c r="IRM22" t="s">
        <v>6984</v>
      </c>
      <c r="IRN22" t="s">
        <v>6984</v>
      </c>
      <c r="IRO22" t="s">
        <v>6984</v>
      </c>
      <c r="IRP22" t="s">
        <v>6984</v>
      </c>
      <c r="IRQ22" t="s">
        <v>6984</v>
      </c>
      <c r="IRR22" t="s">
        <v>6984</v>
      </c>
      <c r="IRS22" t="s">
        <v>6984</v>
      </c>
      <c r="IRT22" t="s">
        <v>6984</v>
      </c>
      <c r="IRU22" t="s">
        <v>6984</v>
      </c>
      <c r="IRV22" t="s">
        <v>6984</v>
      </c>
      <c r="IRW22" t="s">
        <v>6984</v>
      </c>
      <c r="IRX22" t="s">
        <v>6984</v>
      </c>
      <c r="IRY22" t="s">
        <v>6984</v>
      </c>
      <c r="IRZ22" t="s">
        <v>6984</v>
      </c>
      <c r="ISA22" t="s">
        <v>6984</v>
      </c>
      <c r="ISB22" t="s">
        <v>6984</v>
      </c>
      <c r="ISC22" t="s">
        <v>6984</v>
      </c>
      <c r="ISD22" t="s">
        <v>6984</v>
      </c>
      <c r="ISE22" t="s">
        <v>6984</v>
      </c>
      <c r="ISF22" t="s">
        <v>6984</v>
      </c>
      <c r="ISG22" t="s">
        <v>6984</v>
      </c>
      <c r="ISH22" t="s">
        <v>6984</v>
      </c>
      <c r="ISI22" t="s">
        <v>6984</v>
      </c>
      <c r="ISJ22" t="s">
        <v>6984</v>
      </c>
      <c r="ISK22" t="s">
        <v>6984</v>
      </c>
      <c r="ISL22" t="s">
        <v>6984</v>
      </c>
      <c r="ISM22" t="s">
        <v>6984</v>
      </c>
      <c r="ISN22" t="s">
        <v>6984</v>
      </c>
      <c r="ISO22" t="s">
        <v>6984</v>
      </c>
      <c r="ISP22" t="s">
        <v>6984</v>
      </c>
      <c r="ISQ22" t="s">
        <v>6984</v>
      </c>
      <c r="ISR22" t="s">
        <v>6984</v>
      </c>
      <c r="ISS22" t="s">
        <v>6984</v>
      </c>
      <c r="IST22" t="s">
        <v>6984</v>
      </c>
      <c r="ISU22" t="s">
        <v>6984</v>
      </c>
      <c r="ISV22" t="s">
        <v>6984</v>
      </c>
      <c r="ISW22" t="s">
        <v>6984</v>
      </c>
      <c r="ISX22" t="s">
        <v>6984</v>
      </c>
      <c r="ISY22" t="s">
        <v>6984</v>
      </c>
      <c r="ISZ22" t="s">
        <v>6984</v>
      </c>
      <c r="ITA22" t="s">
        <v>6984</v>
      </c>
      <c r="ITB22" t="s">
        <v>6984</v>
      </c>
      <c r="ITC22" t="s">
        <v>6984</v>
      </c>
      <c r="ITD22" t="s">
        <v>6984</v>
      </c>
      <c r="ITE22" t="s">
        <v>6984</v>
      </c>
      <c r="ITF22" t="s">
        <v>6984</v>
      </c>
      <c r="ITG22" t="s">
        <v>6984</v>
      </c>
      <c r="ITH22" t="s">
        <v>6984</v>
      </c>
      <c r="ITI22" t="s">
        <v>6984</v>
      </c>
      <c r="ITJ22" t="s">
        <v>6984</v>
      </c>
      <c r="ITK22" t="s">
        <v>6984</v>
      </c>
      <c r="ITL22" t="s">
        <v>6984</v>
      </c>
      <c r="ITM22" t="s">
        <v>6984</v>
      </c>
      <c r="ITN22" t="s">
        <v>6984</v>
      </c>
      <c r="ITO22" t="s">
        <v>6984</v>
      </c>
      <c r="ITP22" t="s">
        <v>6984</v>
      </c>
      <c r="ITQ22" t="s">
        <v>6984</v>
      </c>
      <c r="ITR22" t="s">
        <v>6984</v>
      </c>
      <c r="ITS22" t="s">
        <v>6984</v>
      </c>
      <c r="ITT22" t="s">
        <v>6984</v>
      </c>
      <c r="ITU22" t="s">
        <v>6984</v>
      </c>
      <c r="ITV22" t="s">
        <v>6984</v>
      </c>
      <c r="ITW22" t="s">
        <v>6984</v>
      </c>
      <c r="ITX22" t="s">
        <v>6984</v>
      </c>
      <c r="ITY22" t="s">
        <v>6984</v>
      </c>
      <c r="ITZ22" t="s">
        <v>6984</v>
      </c>
      <c r="IUA22" t="s">
        <v>6984</v>
      </c>
      <c r="IUB22" t="s">
        <v>6984</v>
      </c>
      <c r="IUC22" t="s">
        <v>6984</v>
      </c>
      <c r="IUD22" t="s">
        <v>6984</v>
      </c>
      <c r="IUE22" t="s">
        <v>6984</v>
      </c>
      <c r="IUF22" t="s">
        <v>6984</v>
      </c>
      <c r="IUG22" t="s">
        <v>6984</v>
      </c>
      <c r="IUH22" t="s">
        <v>6984</v>
      </c>
      <c r="IUI22" t="s">
        <v>6984</v>
      </c>
      <c r="IUJ22" t="s">
        <v>6984</v>
      </c>
      <c r="IUK22" t="s">
        <v>6984</v>
      </c>
      <c r="IUL22" t="s">
        <v>6984</v>
      </c>
      <c r="IUM22" t="s">
        <v>6984</v>
      </c>
      <c r="IUN22" t="s">
        <v>6984</v>
      </c>
      <c r="IUO22" t="s">
        <v>6984</v>
      </c>
      <c r="IUP22" t="s">
        <v>6984</v>
      </c>
      <c r="IUQ22" t="s">
        <v>6984</v>
      </c>
      <c r="IUR22" t="s">
        <v>6984</v>
      </c>
      <c r="IUS22" t="s">
        <v>6984</v>
      </c>
      <c r="IUT22" t="s">
        <v>6984</v>
      </c>
      <c r="IUU22" t="s">
        <v>6984</v>
      </c>
      <c r="IUV22" t="s">
        <v>6984</v>
      </c>
      <c r="IUW22" t="s">
        <v>6984</v>
      </c>
      <c r="IUX22" t="s">
        <v>6984</v>
      </c>
      <c r="IUY22" t="s">
        <v>6984</v>
      </c>
      <c r="IUZ22" t="s">
        <v>6984</v>
      </c>
      <c r="IVA22" t="s">
        <v>6984</v>
      </c>
      <c r="IVB22" t="s">
        <v>6984</v>
      </c>
      <c r="IVC22" t="s">
        <v>6984</v>
      </c>
      <c r="IVD22" t="s">
        <v>6984</v>
      </c>
      <c r="IVE22" t="s">
        <v>6984</v>
      </c>
      <c r="IVF22" t="s">
        <v>6984</v>
      </c>
      <c r="IVG22" t="s">
        <v>6984</v>
      </c>
      <c r="IVH22" t="s">
        <v>6984</v>
      </c>
      <c r="IVI22" t="s">
        <v>6984</v>
      </c>
      <c r="IVJ22" t="s">
        <v>6984</v>
      </c>
      <c r="IVK22" t="s">
        <v>6984</v>
      </c>
      <c r="IVL22" t="s">
        <v>6984</v>
      </c>
      <c r="IVM22" t="s">
        <v>6984</v>
      </c>
      <c r="IVN22" t="s">
        <v>6984</v>
      </c>
      <c r="IVO22" t="s">
        <v>6984</v>
      </c>
      <c r="IVP22" t="s">
        <v>6984</v>
      </c>
      <c r="IVQ22" t="s">
        <v>6984</v>
      </c>
      <c r="IVR22" t="s">
        <v>6984</v>
      </c>
      <c r="IVS22" t="s">
        <v>6984</v>
      </c>
      <c r="IVT22" t="s">
        <v>6984</v>
      </c>
      <c r="IVU22" t="s">
        <v>6984</v>
      </c>
      <c r="IVV22" t="s">
        <v>6984</v>
      </c>
      <c r="IVW22" t="s">
        <v>6984</v>
      </c>
      <c r="IVX22" t="s">
        <v>6984</v>
      </c>
      <c r="IVY22" t="s">
        <v>6984</v>
      </c>
      <c r="IVZ22" t="s">
        <v>6984</v>
      </c>
      <c r="IWA22" t="s">
        <v>6984</v>
      </c>
      <c r="IWB22" t="s">
        <v>6984</v>
      </c>
      <c r="IWC22" t="s">
        <v>6984</v>
      </c>
      <c r="IWD22" t="s">
        <v>6984</v>
      </c>
      <c r="IWE22" t="s">
        <v>6984</v>
      </c>
      <c r="IWF22" t="s">
        <v>6984</v>
      </c>
      <c r="IWG22" t="s">
        <v>6984</v>
      </c>
      <c r="IWH22" t="s">
        <v>6984</v>
      </c>
      <c r="IWI22" t="s">
        <v>6984</v>
      </c>
      <c r="IWJ22" t="s">
        <v>6984</v>
      </c>
      <c r="IWK22" t="s">
        <v>6984</v>
      </c>
      <c r="IWL22" t="s">
        <v>6984</v>
      </c>
      <c r="IWM22" t="s">
        <v>6984</v>
      </c>
      <c r="IWN22" t="s">
        <v>6984</v>
      </c>
      <c r="IWO22" t="s">
        <v>6984</v>
      </c>
      <c r="IWP22" t="s">
        <v>6984</v>
      </c>
      <c r="IWQ22" t="s">
        <v>6984</v>
      </c>
      <c r="IWR22" t="s">
        <v>6984</v>
      </c>
      <c r="IWS22" t="s">
        <v>6984</v>
      </c>
      <c r="IWT22" t="s">
        <v>6984</v>
      </c>
      <c r="IWU22" t="s">
        <v>6984</v>
      </c>
      <c r="IWV22" t="s">
        <v>6984</v>
      </c>
      <c r="IWW22" t="s">
        <v>6984</v>
      </c>
      <c r="IWX22" t="s">
        <v>6984</v>
      </c>
      <c r="IWY22" t="s">
        <v>6984</v>
      </c>
      <c r="IWZ22" t="s">
        <v>6984</v>
      </c>
      <c r="IXA22" t="s">
        <v>6984</v>
      </c>
      <c r="IXB22" t="s">
        <v>6984</v>
      </c>
      <c r="IXC22" t="s">
        <v>6984</v>
      </c>
      <c r="IXD22" t="s">
        <v>6984</v>
      </c>
      <c r="IXE22" t="s">
        <v>6984</v>
      </c>
      <c r="IXF22" t="s">
        <v>6984</v>
      </c>
      <c r="IXG22" t="s">
        <v>6984</v>
      </c>
      <c r="IXH22" t="s">
        <v>6984</v>
      </c>
      <c r="IXI22" t="s">
        <v>6984</v>
      </c>
      <c r="IXJ22" t="s">
        <v>6984</v>
      </c>
      <c r="IXK22" t="s">
        <v>6984</v>
      </c>
      <c r="IXL22" t="s">
        <v>6984</v>
      </c>
      <c r="IXM22" t="s">
        <v>6984</v>
      </c>
      <c r="IXN22" t="s">
        <v>6984</v>
      </c>
      <c r="IXO22" t="s">
        <v>6984</v>
      </c>
      <c r="IXP22" t="s">
        <v>6984</v>
      </c>
      <c r="IXQ22" t="s">
        <v>6984</v>
      </c>
      <c r="IXR22" t="s">
        <v>6984</v>
      </c>
      <c r="IXS22" t="s">
        <v>6984</v>
      </c>
      <c r="IXT22" t="s">
        <v>6984</v>
      </c>
      <c r="IXU22" t="s">
        <v>6984</v>
      </c>
      <c r="IXV22" t="s">
        <v>6984</v>
      </c>
      <c r="IXW22" t="s">
        <v>6984</v>
      </c>
      <c r="IXX22" t="s">
        <v>6984</v>
      </c>
      <c r="IXY22" t="s">
        <v>6984</v>
      </c>
      <c r="IXZ22" t="s">
        <v>6984</v>
      </c>
      <c r="IYA22" t="s">
        <v>6984</v>
      </c>
      <c r="IYB22" t="s">
        <v>6984</v>
      </c>
      <c r="IYC22" t="s">
        <v>6984</v>
      </c>
      <c r="IYD22" t="s">
        <v>6984</v>
      </c>
      <c r="IYE22" t="s">
        <v>6984</v>
      </c>
      <c r="IYF22" t="s">
        <v>6984</v>
      </c>
      <c r="IYG22" t="s">
        <v>6984</v>
      </c>
      <c r="IYH22" t="s">
        <v>6984</v>
      </c>
      <c r="IYI22" t="s">
        <v>6984</v>
      </c>
      <c r="IYJ22" t="s">
        <v>6984</v>
      </c>
      <c r="IYK22" t="s">
        <v>6984</v>
      </c>
      <c r="IYL22" t="s">
        <v>6984</v>
      </c>
      <c r="IYM22" t="s">
        <v>6984</v>
      </c>
      <c r="IYN22" t="s">
        <v>6984</v>
      </c>
      <c r="IYO22" t="s">
        <v>6984</v>
      </c>
      <c r="IYP22" t="s">
        <v>6984</v>
      </c>
      <c r="IYQ22" t="s">
        <v>6984</v>
      </c>
      <c r="IYR22" t="s">
        <v>6984</v>
      </c>
      <c r="IYS22" t="s">
        <v>6984</v>
      </c>
      <c r="IYT22" t="s">
        <v>6984</v>
      </c>
      <c r="IYU22" t="s">
        <v>6984</v>
      </c>
      <c r="IYV22" t="s">
        <v>6984</v>
      </c>
      <c r="IYW22" t="s">
        <v>6984</v>
      </c>
      <c r="IYX22" t="s">
        <v>6984</v>
      </c>
      <c r="IYY22" t="s">
        <v>6984</v>
      </c>
      <c r="IYZ22" t="s">
        <v>6984</v>
      </c>
      <c r="IZA22" t="s">
        <v>6984</v>
      </c>
      <c r="IZB22" t="s">
        <v>6984</v>
      </c>
      <c r="IZC22" t="s">
        <v>6984</v>
      </c>
      <c r="IZD22" t="s">
        <v>6984</v>
      </c>
      <c r="IZE22" t="s">
        <v>6984</v>
      </c>
      <c r="IZF22" t="s">
        <v>6984</v>
      </c>
      <c r="IZG22" t="s">
        <v>6984</v>
      </c>
      <c r="IZH22" t="s">
        <v>6984</v>
      </c>
      <c r="IZI22" t="s">
        <v>6984</v>
      </c>
      <c r="IZJ22" t="s">
        <v>6984</v>
      </c>
      <c r="IZK22" t="s">
        <v>6984</v>
      </c>
      <c r="IZL22" t="s">
        <v>6984</v>
      </c>
      <c r="IZM22" t="s">
        <v>6984</v>
      </c>
      <c r="IZN22" t="s">
        <v>6984</v>
      </c>
      <c r="IZO22" t="s">
        <v>6984</v>
      </c>
      <c r="IZP22" t="s">
        <v>6984</v>
      </c>
      <c r="IZQ22" t="s">
        <v>6984</v>
      </c>
      <c r="IZR22" t="s">
        <v>6984</v>
      </c>
      <c r="IZS22" t="s">
        <v>6984</v>
      </c>
      <c r="IZT22" t="s">
        <v>6984</v>
      </c>
      <c r="IZU22" t="s">
        <v>6984</v>
      </c>
      <c r="IZV22" t="s">
        <v>6984</v>
      </c>
      <c r="IZW22" t="s">
        <v>6984</v>
      </c>
      <c r="IZX22" t="s">
        <v>6984</v>
      </c>
      <c r="IZY22" t="s">
        <v>6984</v>
      </c>
      <c r="IZZ22" t="s">
        <v>6984</v>
      </c>
      <c r="JAA22" t="s">
        <v>6984</v>
      </c>
      <c r="JAB22" t="s">
        <v>6984</v>
      </c>
      <c r="JAC22" t="s">
        <v>6984</v>
      </c>
      <c r="JAD22" t="s">
        <v>6984</v>
      </c>
      <c r="JAE22" t="s">
        <v>6984</v>
      </c>
      <c r="JAF22" t="s">
        <v>6984</v>
      </c>
      <c r="JAG22" t="s">
        <v>6984</v>
      </c>
      <c r="JAH22" t="s">
        <v>6984</v>
      </c>
      <c r="JAI22" t="s">
        <v>6984</v>
      </c>
      <c r="JAJ22" t="s">
        <v>6984</v>
      </c>
      <c r="JAK22" t="s">
        <v>6984</v>
      </c>
      <c r="JAL22" t="s">
        <v>6984</v>
      </c>
      <c r="JAM22" t="s">
        <v>6984</v>
      </c>
      <c r="JAN22" t="s">
        <v>6984</v>
      </c>
      <c r="JAO22" t="s">
        <v>6984</v>
      </c>
      <c r="JAP22" t="s">
        <v>6984</v>
      </c>
      <c r="JAQ22" t="s">
        <v>6984</v>
      </c>
      <c r="JAR22" t="s">
        <v>6984</v>
      </c>
      <c r="JAS22" t="s">
        <v>6984</v>
      </c>
      <c r="JAT22" t="s">
        <v>6984</v>
      </c>
      <c r="JAU22" t="s">
        <v>6984</v>
      </c>
      <c r="JAV22" t="s">
        <v>6984</v>
      </c>
      <c r="JAW22" t="s">
        <v>6984</v>
      </c>
      <c r="JAX22" t="s">
        <v>6984</v>
      </c>
      <c r="JAY22" t="s">
        <v>6984</v>
      </c>
      <c r="JAZ22" t="s">
        <v>6984</v>
      </c>
      <c r="JBA22" t="s">
        <v>6984</v>
      </c>
      <c r="JBB22" t="s">
        <v>6984</v>
      </c>
      <c r="JBC22" t="s">
        <v>6984</v>
      </c>
      <c r="JBD22" t="s">
        <v>6984</v>
      </c>
      <c r="JBE22" t="s">
        <v>6984</v>
      </c>
      <c r="JBF22" t="s">
        <v>6984</v>
      </c>
      <c r="JBG22" t="s">
        <v>6984</v>
      </c>
      <c r="JBH22" t="s">
        <v>6984</v>
      </c>
      <c r="JBI22" t="s">
        <v>6984</v>
      </c>
      <c r="JBJ22" t="s">
        <v>6984</v>
      </c>
      <c r="JBK22" t="s">
        <v>6984</v>
      </c>
      <c r="JBL22" t="s">
        <v>6984</v>
      </c>
      <c r="JBM22" t="s">
        <v>6984</v>
      </c>
      <c r="JBN22" t="s">
        <v>6984</v>
      </c>
      <c r="JBO22" t="s">
        <v>6984</v>
      </c>
      <c r="JBP22" t="s">
        <v>6984</v>
      </c>
      <c r="JBQ22" t="s">
        <v>6984</v>
      </c>
      <c r="JBR22" t="s">
        <v>6984</v>
      </c>
      <c r="JBS22" t="s">
        <v>6984</v>
      </c>
      <c r="JBT22" t="s">
        <v>6984</v>
      </c>
      <c r="JBU22" t="s">
        <v>6984</v>
      </c>
      <c r="JBV22" t="s">
        <v>6984</v>
      </c>
      <c r="JBW22" t="s">
        <v>6984</v>
      </c>
      <c r="JBX22" t="s">
        <v>6984</v>
      </c>
      <c r="JBY22" t="s">
        <v>6984</v>
      </c>
      <c r="JBZ22" t="s">
        <v>6984</v>
      </c>
      <c r="JCA22" t="s">
        <v>6984</v>
      </c>
      <c r="JCB22" t="s">
        <v>6984</v>
      </c>
      <c r="JCC22" t="s">
        <v>6984</v>
      </c>
      <c r="JCD22" t="s">
        <v>6984</v>
      </c>
      <c r="JCE22" t="s">
        <v>6984</v>
      </c>
      <c r="JCF22" t="s">
        <v>6984</v>
      </c>
      <c r="JCG22" t="s">
        <v>6984</v>
      </c>
      <c r="JCH22" t="s">
        <v>6984</v>
      </c>
      <c r="JCI22" t="s">
        <v>6984</v>
      </c>
      <c r="JCJ22" t="s">
        <v>6984</v>
      </c>
      <c r="JCK22" t="s">
        <v>6984</v>
      </c>
      <c r="JCL22" t="s">
        <v>6984</v>
      </c>
      <c r="JCM22" t="s">
        <v>6984</v>
      </c>
      <c r="JCN22" t="s">
        <v>6984</v>
      </c>
      <c r="JCO22" t="s">
        <v>6984</v>
      </c>
      <c r="JCP22" t="s">
        <v>6984</v>
      </c>
      <c r="JCQ22" t="s">
        <v>6984</v>
      </c>
      <c r="JCR22" t="s">
        <v>6984</v>
      </c>
      <c r="JCS22" t="s">
        <v>6984</v>
      </c>
      <c r="JCT22" t="s">
        <v>6984</v>
      </c>
      <c r="JCU22" t="s">
        <v>6984</v>
      </c>
      <c r="JCV22" t="s">
        <v>6984</v>
      </c>
      <c r="JCW22" t="s">
        <v>6984</v>
      </c>
      <c r="JCX22" t="s">
        <v>6984</v>
      </c>
      <c r="JCY22" t="s">
        <v>6984</v>
      </c>
      <c r="JCZ22" t="s">
        <v>6984</v>
      </c>
      <c r="JDA22" t="s">
        <v>6984</v>
      </c>
      <c r="JDB22" t="s">
        <v>6984</v>
      </c>
      <c r="JDC22" t="s">
        <v>6984</v>
      </c>
      <c r="JDD22" t="s">
        <v>6984</v>
      </c>
      <c r="JDE22" t="s">
        <v>6984</v>
      </c>
      <c r="JDF22" t="s">
        <v>6984</v>
      </c>
      <c r="JDG22" t="s">
        <v>6984</v>
      </c>
      <c r="JDH22" t="s">
        <v>6984</v>
      </c>
      <c r="JDI22" t="s">
        <v>6984</v>
      </c>
      <c r="JDJ22" t="s">
        <v>6984</v>
      </c>
      <c r="JDK22" t="s">
        <v>6984</v>
      </c>
      <c r="JDL22" t="s">
        <v>6984</v>
      </c>
      <c r="JDM22" t="s">
        <v>6984</v>
      </c>
      <c r="JDN22" t="s">
        <v>6984</v>
      </c>
      <c r="JDO22" t="s">
        <v>6984</v>
      </c>
      <c r="JDP22" t="s">
        <v>6984</v>
      </c>
      <c r="JDQ22" t="s">
        <v>6984</v>
      </c>
      <c r="JDR22" t="s">
        <v>6984</v>
      </c>
      <c r="JDS22" t="s">
        <v>6984</v>
      </c>
      <c r="JDT22" t="s">
        <v>6984</v>
      </c>
      <c r="JDU22" t="s">
        <v>6984</v>
      </c>
      <c r="JDV22" t="s">
        <v>6984</v>
      </c>
      <c r="JDW22" t="s">
        <v>6984</v>
      </c>
      <c r="JDX22" t="s">
        <v>6984</v>
      </c>
      <c r="JDY22" t="s">
        <v>6984</v>
      </c>
      <c r="JDZ22" t="s">
        <v>6984</v>
      </c>
      <c r="JEA22" t="s">
        <v>6984</v>
      </c>
      <c r="JEB22" t="s">
        <v>6984</v>
      </c>
      <c r="JEC22" t="s">
        <v>6984</v>
      </c>
      <c r="JED22" t="s">
        <v>6984</v>
      </c>
      <c r="JEE22" t="s">
        <v>6984</v>
      </c>
      <c r="JEF22" t="s">
        <v>6984</v>
      </c>
      <c r="JEG22" t="s">
        <v>6984</v>
      </c>
      <c r="JEH22" t="s">
        <v>6984</v>
      </c>
      <c r="JEI22" t="s">
        <v>6984</v>
      </c>
      <c r="JEJ22" t="s">
        <v>6984</v>
      </c>
      <c r="JEK22" t="s">
        <v>6984</v>
      </c>
      <c r="JEL22" t="s">
        <v>6984</v>
      </c>
      <c r="JEM22" t="s">
        <v>6984</v>
      </c>
      <c r="JEN22" t="s">
        <v>6984</v>
      </c>
      <c r="JEO22" t="s">
        <v>6984</v>
      </c>
      <c r="JEP22" t="s">
        <v>6984</v>
      </c>
      <c r="JEQ22" t="s">
        <v>6984</v>
      </c>
      <c r="JER22" t="s">
        <v>6984</v>
      </c>
      <c r="JES22" t="s">
        <v>6984</v>
      </c>
      <c r="JET22" t="s">
        <v>6984</v>
      </c>
      <c r="JEU22" t="s">
        <v>6984</v>
      </c>
      <c r="JEV22" t="s">
        <v>6984</v>
      </c>
      <c r="JEW22" t="s">
        <v>6984</v>
      </c>
      <c r="JEX22" t="s">
        <v>6984</v>
      </c>
      <c r="JEY22" t="s">
        <v>6984</v>
      </c>
      <c r="JEZ22" t="s">
        <v>6984</v>
      </c>
      <c r="JFA22" t="s">
        <v>6984</v>
      </c>
      <c r="JFB22" t="s">
        <v>6984</v>
      </c>
      <c r="JFC22" t="s">
        <v>6984</v>
      </c>
      <c r="JFD22" t="s">
        <v>6984</v>
      </c>
      <c r="JFE22" t="s">
        <v>6984</v>
      </c>
      <c r="JFF22" t="s">
        <v>6984</v>
      </c>
      <c r="JFG22" t="s">
        <v>6984</v>
      </c>
      <c r="JFH22" t="s">
        <v>6984</v>
      </c>
      <c r="JFI22" t="s">
        <v>6984</v>
      </c>
      <c r="JFJ22" t="s">
        <v>6984</v>
      </c>
      <c r="JFK22" t="s">
        <v>6984</v>
      </c>
      <c r="JFL22" t="s">
        <v>6984</v>
      </c>
      <c r="JFM22" t="s">
        <v>6984</v>
      </c>
      <c r="JFN22" t="s">
        <v>6984</v>
      </c>
      <c r="JFO22" t="s">
        <v>6984</v>
      </c>
      <c r="JFP22" t="s">
        <v>6984</v>
      </c>
      <c r="JFQ22" t="s">
        <v>6984</v>
      </c>
      <c r="JFR22" t="s">
        <v>6984</v>
      </c>
      <c r="JFS22" t="s">
        <v>6984</v>
      </c>
      <c r="JFT22" t="s">
        <v>6984</v>
      </c>
      <c r="JFU22" t="s">
        <v>6984</v>
      </c>
      <c r="JFV22" t="s">
        <v>6984</v>
      </c>
      <c r="JFW22" t="s">
        <v>6984</v>
      </c>
      <c r="JFX22" t="s">
        <v>6984</v>
      </c>
      <c r="JFY22" t="s">
        <v>6984</v>
      </c>
      <c r="JFZ22" t="s">
        <v>6984</v>
      </c>
      <c r="JGA22" t="s">
        <v>6984</v>
      </c>
      <c r="JGB22" t="s">
        <v>6984</v>
      </c>
      <c r="JGC22" t="s">
        <v>6984</v>
      </c>
      <c r="JGD22" t="s">
        <v>6984</v>
      </c>
      <c r="JGE22" t="s">
        <v>6984</v>
      </c>
      <c r="JGF22" t="s">
        <v>6984</v>
      </c>
      <c r="JGG22" t="s">
        <v>6984</v>
      </c>
      <c r="JGH22" t="s">
        <v>6984</v>
      </c>
      <c r="JGI22" t="s">
        <v>6984</v>
      </c>
      <c r="JGJ22" t="s">
        <v>6984</v>
      </c>
      <c r="JGK22" t="s">
        <v>6984</v>
      </c>
      <c r="JGL22" t="s">
        <v>6984</v>
      </c>
      <c r="JGM22" t="s">
        <v>6984</v>
      </c>
      <c r="JGN22" t="s">
        <v>6984</v>
      </c>
      <c r="JGO22" t="s">
        <v>6984</v>
      </c>
      <c r="JGP22" t="s">
        <v>6984</v>
      </c>
      <c r="JGQ22" t="s">
        <v>6984</v>
      </c>
      <c r="JGR22" t="s">
        <v>6984</v>
      </c>
      <c r="JGS22" t="s">
        <v>6984</v>
      </c>
      <c r="JGT22" t="s">
        <v>6984</v>
      </c>
      <c r="JGU22" t="s">
        <v>6984</v>
      </c>
      <c r="JGV22" t="s">
        <v>6984</v>
      </c>
      <c r="JGW22" t="s">
        <v>6984</v>
      </c>
      <c r="JGX22" t="s">
        <v>6984</v>
      </c>
      <c r="JGY22" t="s">
        <v>6984</v>
      </c>
      <c r="JGZ22" t="s">
        <v>6984</v>
      </c>
      <c r="JHA22" t="s">
        <v>6984</v>
      </c>
      <c r="JHB22" t="s">
        <v>6984</v>
      </c>
      <c r="JHC22" t="s">
        <v>6984</v>
      </c>
      <c r="JHD22" t="s">
        <v>6984</v>
      </c>
      <c r="JHE22" t="s">
        <v>6984</v>
      </c>
      <c r="JHF22" t="s">
        <v>6984</v>
      </c>
      <c r="JHG22" t="s">
        <v>6984</v>
      </c>
      <c r="JHH22" t="s">
        <v>6984</v>
      </c>
      <c r="JHI22" t="s">
        <v>6984</v>
      </c>
      <c r="JHJ22" t="s">
        <v>6984</v>
      </c>
      <c r="JHK22" t="s">
        <v>6984</v>
      </c>
      <c r="JHL22" t="s">
        <v>6984</v>
      </c>
      <c r="JHM22" t="s">
        <v>6984</v>
      </c>
      <c r="JHN22" t="s">
        <v>6984</v>
      </c>
      <c r="JHO22" t="s">
        <v>6984</v>
      </c>
      <c r="JHP22" t="s">
        <v>6984</v>
      </c>
      <c r="JHQ22" t="s">
        <v>6984</v>
      </c>
      <c r="JHR22" t="s">
        <v>6984</v>
      </c>
      <c r="JHS22" t="s">
        <v>6984</v>
      </c>
      <c r="JHT22" t="s">
        <v>6984</v>
      </c>
      <c r="JHU22" t="s">
        <v>6984</v>
      </c>
      <c r="JHV22" t="s">
        <v>6984</v>
      </c>
      <c r="JHW22" t="s">
        <v>6984</v>
      </c>
      <c r="JHX22" t="s">
        <v>6984</v>
      </c>
      <c r="JHY22" t="s">
        <v>6984</v>
      </c>
      <c r="JHZ22" t="s">
        <v>6984</v>
      </c>
      <c r="JIA22" t="s">
        <v>6984</v>
      </c>
      <c r="JIB22" t="s">
        <v>6984</v>
      </c>
      <c r="JIC22" t="s">
        <v>6984</v>
      </c>
      <c r="JID22" t="s">
        <v>6984</v>
      </c>
      <c r="JIE22" t="s">
        <v>6984</v>
      </c>
      <c r="JIF22" t="s">
        <v>6984</v>
      </c>
      <c r="JIG22" t="s">
        <v>6984</v>
      </c>
      <c r="JIH22" t="s">
        <v>6984</v>
      </c>
      <c r="JII22" t="s">
        <v>6984</v>
      </c>
      <c r="JIJ22" t="s">
        <v>6984</v>
      </c>
      <c r="JIK22" t="s">
        <v>6984</v>
      </c>
      <c r="JIL22" t="s">
        <v>6984</v>
      </c>
      <c r="JIM22" t="s">
        <v>6984</v>
      </c>
      <c r="JIN22" t="s">
        <v>6984</v>
      </c>
      <c r="JIO22" t="s">
        <v>6984</v>
      </c>
      <c r="JIP22" t="s">
        <v>6984</v>
      </c>
      <c r="JIQ22" t="s">
        <v>6984</v>
      </c>
      <c r="JIR22" t="s">
        <v>6984</v>
      </c>
      <c r="JIS22" t="s">
        <v>6984</v>
      </c>
      <c r="JIT22" t="s">
        <v>6984</v>
      </c>
      <c r="JIU22" t="s">
        <v>6984</v>
      </c>
      <c r="JIV22" t="s">
        <v>6984</v>
      </c>
      <c r="JIW22" t="s">
        <v>6984</v>
      </c>
      <c r="JIX22" t="s">
        <v>6984</v>
      </c>
      <c r="JIY22" t="s">
        <v>6984</v>
      </c>
      <c r="JIZ22" t="s">
        <v>6984</v>
      </c>
      <c r="JJA22" t="s">
        <v>6984</v>
      </c>
    </row>
    <row r="23" spans="1:7021" x14ac:dyDescent="0.25">
      <c r="A23" t="s">
        <v>7004</v>
      </c>
      <c r="B23">
        <v>96.1</v>
      </c>
      <c r="C23">
        <v>96.1</v>
      </c>
      <c r="D23">
        <v>96.1</v>
      </c>
      <c r="E23">
        <v>96.15</v>
      </c>
      <c r="F23">
        <v>96.09</v>
      </c>
      <c r="G23">
        <v>96.114999999999995</v>
      </c>
      <c r="H23">
        <v>96.16</v>
      </c>
      <c r="I23">
        <v>96.105000000000004</v>
      </c>
      <c r="J23">
        <v>96.055000000000007</v>
      </c>
      <c r="K23">
        <v>96.04</v>
      </c>
      <c r="L23">
        <v>96.025000000000006</v>
      </c>
      <c r="M23">
        <v>96.13</v>
      </c>
      <c r="N23">
        <v>96.16</v>
      </c>
      <c r="O23">
        <v>96.08</v>
      </c>
      <c r="P23">
        <v>96.075000000000003</v>
      </c>
      <c r="Q23">
        <v>96.135000000000005</v>
      </c>
      <c r="R23">
        <v>96.114999999999995</v>
      </c>
      <c r="S23">
        <v>96.08</v>
      </c>
      <c r="T23">
        <v>96.13</v>
      </c>
      <c r="U23">
        <v>96.04</v>
      </c>
      <c r="V23">
        <v>96.04</v>
      </c>
      <c r="W23">
        <v>95.98</v>
      </c>
      <c r="X23">
        <v>95.924999999999997</v>
      </c>
      <c r="Y23">
        <v>96.03</v>
      </c>
      <c r="Z23">
        <v>96.02</v>
      </c>
      <c r="AA23">
        <v>96.045000000000002</v>
      </c>
      <c r="AB23">
        <v>96.03</v>
      </c>
      <c r="AC23">
        <v>95.95</v>
      </c>
      <c r="AD23">
        <v>95.984999999999999</v>
      </c>
      <c r="AE23">
        <v>96.02</v>
      </c>
      <c r="AF23">
        <v>96.094999999999999</v>
      </c>
      <c r="AG23">
        <v>96.094999999999999</v>
      </c>
      <c r="AH23">
        <v>96.2</v>
      </c>
      <c r="AI23">
        <v>96.15</v>
      </c>
      <c r="AJ23">
        <v>96.125</v>
      </c>
      <c r="AK23">
        <v>96.15</v>
      </c>
      <c r="AL23">
        <v>96.21</v>
      </c>
      <c r="AM23">
        <v>96.25</v>
      </c>
      <c r="AN23">
        <v>96.245000000000005</v>
      </c>
      <c r="AO23">
        <v>96.185000000000002</v>
      </c>
      <c r="AP23">
        <v>96.135000000000005</v>
      </c>
      <c r="AQ23">
        <v>96.08</v>
      </c>
      <c r="AR23">
        <v>96.004999999999995</v>
      </c>
      <c r="AS23">
        <v>95.995000000000005</v>
      </c>
      <c r="AT23">
        <v>95.98</v>
      </c>
      <c r="AU23">
        <v>96.064999999999998</v>
      </c>
      <c r="AV23">
        <v>96.064999999999998</v>
      </c>
      <c r="AW23">
        <v>96.13</v>
      </c>
      <c r="AX23">
        <v>96.08</v>
      </c>
      <c r="AY23">
        <v>96.045000000000002</v>
      </c>
      <c r="AZ23">
        <v>95.924999999999997</v>
      </c>
      <c r="BA23">
        <v>96.064999999999998</v>
      </c>
      <c r="BB23">
        <v>96.015000000000001</v>
      </c>
      <c r="BC23">
        <v>96.18</v>
      </c>
      <c r="BD23">
        <v>96.254999999999995</v>
      </c>
      <c r="BE23">
        <v>96.424999999999997</v>
      </c>
      <c r="BF23">
        <v>96.344999999999999</v>
      </c>
      <c r="BG23">
        <v>96.18</v>
      </c>
      <c r="BH23">
        <v>96.24</v>
      </c>
      <c r="BI23">
        <v>96.135000000000005</v>
      </c>
      <c r="BJ23">
        <v>96.11</v>
      </c>
      <c r="BK23">
        <v>95.99</v>
      </c>
      <c r="BL23">
        <v>96.03</v>
      </c>
      <c r="BM23">
        <v>96.055000000000007</v>
      </c>
      <c r="BN23">
        <v>96.03</v>
      </c>
      <c r="BO23">
        <v>96.105000000000004</v>
      </c>
      <c r="BP23">
        <v>96.12</v>
      </c>
      <c r="BQ23">
        <v>96.08</v>
      </c>
      <c r="BR23">
        <v>96.1</v>
      </c>
      <c r="BS23">
        <v>96.064999999999998</v>
      </c>
      <c r="BT23">
        <v>96.05</v>
      </c>
      <c r="BU23">
        <v>96.1</v>
      </c>
      <c r="BV23">
        <v>96.064999999999998</v>
      </c>
      <c r="BW23">
        <v>96.094999999999999</v>
      </c>
      <c r="BX23">
        <v>96.185000000000002</v>
      </c>
      <c r="BY23">
        <v>96.055000000000007</v>
      </c>
      <c r="BZ23">
        <v>96.08</v>
      </c>
      <c r="CA23">
        <v>96.105000000000004</v>
      </c>
      <c r="CB23">
        <v>96.18</v>
      </c>
      <c r="CC23">
        <v>96.22</v>
      </c>
      <c r="CD23">
        <v>96.17</v>
      </c>
      <c r="CE23">
        <v>96.105000000000004</v>
      </c>
      <c r="CF23">
        <v>96.15</v>
      </c>
      <c r="CG23">
        <v>96.08</v>
      </c>
      <c r="CH23">
        <v>95.944999999999993</v>
      </c>
      <c r="CI23">
        <v>95.92</v>
      </c>
      <c r="CJ23">
        <v>95.834999999999994</v>
      </c>
      <c r="CK23">
        <v>95.79</v>
      </c>
      <c r="CL23">
        <v>95.79</v>
      </c>
      <c r="CM23">
        <v>95.864999999999995</v>
      </c>
      <c r="CN23">
        <v>95.864999999999995</v>
      </c>
      <c r="CO23">
        <v>95.8</v>
      </c>
      <c r="CP23">
        <v>95.685000000000002</v>
      </c>
      <c r="CQ23">
        <v>95.82</v>
      </c>
      <c r="CR23">
        <v>95.87</v>
      </c>
      <c r="CS23">
        <v>95.87</v>
      </c>
      <c r="CT23">
        <v>95.924999999999997</v>
      </c>
      <c r="CU23">
        <v>95.974999999999994</v>
      </c>
      <c r="CV23">
        <v>95.864999999999995</v>
      </c>
      <c r="CW23">
        <v>95.84</v>
      </c>
      <c r="CX23">
        <v>95.795000000000002</v>
      </c>
      <c r="CY23">
        <v>95.86</v>
      </c>
      <c r="CZ23">
        <v>95.814999999999998</v>
      </c>
      <c r="DA23">
        <v>95.825000000000003</v>
      </c>
      <c r="DB23">
        <v>95.85</v>
      </c>
      <c r="DC23">
        <v>95.74</v>
      </c>
      <c r="DD23">
        <v>95.74</v>
      </c>
      <c r="DE23">
        <v>95.78</v>
      </c>
      <c r="DF23">
        <v>95.81</v>
      </c>
      <c r="DG23">
        <v>95.765000000000001</v>
      </c>
      <c r="DH23">
        <v>95.765000000000001</v>
      </c>
      <c r="DI23">
        <v>95.765000000000001</v>
      </c>
      <c r="DJ23">
        <v>95.72</v>
      </c>
      <c r="DK23">
        <v>95.575000000000003</v>
      </c>
      <c r="DL23">
        <v>95.57</v>
      </c>
      <c r="DM23">
        <v>95.61</v>
      </c>
      <c r="DN23">
        <v>95.694999999999993</v>
      </c>
      <c r="DO23">
        <v>95.68</v>
      </c>
      <c r="DP23">
        <v>95.69</v>
      </c>
      <c r="DQ23">
        <v>95.775000000000006</v>
      </c>
      <c r="DR23">
        <v>95.83</v>
      </c>
      <c r="DS23">
        <v>95.844999999999999</v>
      </c>
      <c r="DT23">
        <v>95.84</v>
      </c>
      <c r="DU23">
        <v>95.84</v>
      </c>
      <c r="DV23">
        <v>95.88</v>
      </c>
      <c r="DW23">
        <v>95.8</v>
      </c>
      <c r="DX23">
        <v>95.855000000000004</v>
      </c>
      <c r="DY23">
        <v>95.84</v>
      </c>
      <c r="DZ23">
        <v>95.84</v>
      </c>
      <c r="EA23">
        <v>95.814999999999998</v>
      </c>
      <c r="EB23">
        <v>95.915000000000006</v>
      </c>
      <c r="EC23">
        <v>95.844999999999999</v>
      </c>
      <c r="ED23">
        <v>95.974999999999994</v>
      </c>
      <c r="EE23">
        <v>96.11</v>
      </c>
      <c r="EF23">
        <v>96.094999999999999</v>
      </c>
      <c r="EG23">
        <v>96.1</v>
      </c>
      <c r="EH23">
        <v>96.18</v>
      </c>
      <c r="EI23">
        <v>96.24</v>
      </c>
      <c r="EJ23">
        <v>96.3</v>
      </c>
      <c r="EK23">
        <v>96.325000000000003</v>
      </c>
      <c r="EL23">
        <v>96.364999999999995</v>
      </c>
      <c r="EM23">
        <v>96.33</v>
      </c>
      <c r="EN23">
        <v>96.32</v>
      </c>
      <c r="EO23">
        <v>96.29</v>
      </c>
      <c r="EP23">
        <v>96.325000000000003</v>
      </c>
      <c r="EQ23">
        <v>96.325000000000003</v>
      </c>
      <c r="ER23">
        <v>96.284999999999997</v>
      </c>
      <c r="ES23">
        <v>96.284999999999997</v>
      </c>
      <c r="ET23">
        <v>96.22</v>
      </c>
      <c r="EU23">
        <v>96.284999999999997</v>
      </c>
      <c r="EV23">
        <v>96.135000000000005</v>
      </c>
      <c r="EW23">
        <v>96.1</v>
      </c>
      <c r="EX23">
        <v>96.105000000000004</v>
      </c>
      <c r="EY23">
        <v>96.135000000000005</v>
      </c>
      <c r="EZ23">
        <v>96.094999999999999</v>
      </c>
      <c r="FA23">
        <v>96.084999999999994</v>
      </c>
      <c r="FB23">
        <v>96.09</v>
      </c>
      <c r="FC23">
        <v>96.06</v>
      </c>
      <c r="FD23">
        <v>96.08</v>
      </c>
      <c r="FE23">
        <v>96.14</v>
      </c>
      <c r="FF23">
        <v>96.194999999999993</v>
      </c>
      <c r="FG23">
        <v>96.155000000000001</v>
      </c>
      <c r="FH23">
        <v>96.05</v>
      </c>
      <c r="FI23">
        <v>96.224999999999994</v>
      </c>
      <c r="FJ23">
        <v>96.2</v>
      </c>
      <c r="FK23">
        <v>96.14</v>
      </c>
      <c r="FL23">
        <v>96.2</v>
      </c>
      <c r="FM23">
        <v>96.215000000000003</v>
      </c>
      <c r="FN23">
        <v>96.194999999999993</v>
      </c>
      <c r="FO23">
        <v>96.19</v>
      </c>
      <c r="FP23">
        <v>96.23</v>
      </c>
      <c r="FQ23">
        <v>96.254999999999995</v>
      </c>
      <c r="FR23">
        <v>96.204999999999998</v>
      </c>
      <c r="FS23">
        <v>96.24</v>
      </c>
      <c r="FT23">
        <v>96.265000000000001</v>
      </c>
      <c r="FU23">
        <v>96.38</v>
      </c>
      <c r="FV23">
        <v>96.364999999999995</v>
      </c>
      <c r="FW23">
        <v>96.46</v>
      </c>
      <c r="FX23">
        <v>96.44</v>
      </c>
      <c r="FY23">
        <v>96.344999999999999</v>
      </c>
      <c r="FZ23">
        <v>96.39</v>
      </c>
      <c r="GA23">
        <v>96.375</v>
      </c>
      <c r="GB23">
        <v>96.42</v>
      </c>
      <c r="GC23">
        <v>96.444999999999993</v>
      </c>
      <c r="GD23">
        <v>96.454999999999998</v>
      </c>
      <c r="GE23">
        <v>96.49</v>
      </c>
      <c r="GF23">
        <v>96.58</v>
      </c>
      <c r="GG23">
        <v>96.65</v>
      </c>
      <c r="GH23">
        <v>96.694999999999993</v>
      </c>
      <c r="GI23">
        <v>96.625</v>
      </c>
      <c r="GJ23">
        <v>96.665000000000006</v>
      </c>
      <c r="GK23">
        <v>96.635000000000005</v>
      </c>
      <c r="GL23">
        <v>96.62</v>
      </c>
      <c r="GM23">
        <v>96.66</v>
      </c>
      <c r="GN23">
        <v>96.665000000000006</v>
      </c>
      <c r="GO23">
        <v>96.68</v>
      </c>
      <c r="GP23">
        <v>96.665000000000006</v>
      </c>
      <c r="GQ23">
        <v>96.74</v>
      </c>
      <c r="GR23">
        <v>96.825000000000003</v>
      </c>
      <c r="GS23">
        <v>96.82</v>
      </c>
      <c r="GT23">
        <v>96.8</v>
      </c>
      <c r="GU23">
        <v>96.79</v>
      </c>
      <c r="GV23">
        <v>96.825000000000003</v>
      </c>
      <c r="GW23">
        <v>96.83</v>
      </c>
      <c r="GX23">
        <v>96.77</v>
      </c>
      <c r="GY23">
        <v>96.745000000000005</v>
      </c>
      <c r="GZ23">
        <v>96.75</v>
      </c>
      <c r="HA23">
        <v>96.715000000000003</v>
      </c>
      <c r="HB23">
        <v>96.665000000000006</v>
      </c>
      <c r="HC23">
        <v>96.584999999999994</v>
      </c>
      <c r="HD23">
        <v>96.584999999999994</v>
      </c>
      <c r="HE23">
        <v>96.63</v>
      </c>
      <c r="HF23">
        <v>96.644999999999996</v>
      </c>
      <c r="HG23">
        <v>96.655000000000001</v>
      </c>
      <c r="HH23">
        <v>96.674999999999997</v>
      </c>
      <c r="HI23">
        <v>96.665000000000006</v>
      </c>
      <c r="HJ23">
        <v>96.605000000000004</v>
      </c>
      <c r="HK23">
        <v>96.68</v>
      </c>
      <c r="HL23">
        <v>96.655000000000001</v>
      </c>
      <c r="HM23">
        <v>96.605000000000004</v>
      </c>
      <c r="HN23">
        <v>96.57</v>
      </c>
      <c r="HO23">
        <v>96.534999999999997</v>
      </c>
      <c r="HP23">
        <v>96.614999999999995</v>
      </c>
      <c r="HQ23">
        <v>96.58</v>
      </c>
      <c r="HR23">
        <v>96.545000000000002</v>
      </c>
      <c r="HS23">
        <v>96.504999999999995</v>
      </c>
      <c r="HT23">
        <v>96.424999999999997</v>
      </c>
      <c r="HU23">
        <v>96.44</v>
      </c>
      <c r="HV23">
        <v>96.525000000000006</v>
      </c>
      <c r="HW23">
        <v>96.62</v>
      </c>
      <c r="HX23">
        <v>96.63</v>
      </c>
      <c r="HY23">
        <v>96.495000000000005</v>
      </c>
      <c r="HZ23">
        <v>96.39</v>
      </c>
      <c r="IA23">
        <v>96.355000000000004</v>
      </c>
      <c r="IB23">
        <v>96.325000000000003</v>
      </c>
      <c r="IC23">
        <v>96.3</v>
      </c>
      <c r="ID23">
        <v>96.25</v>
      </c>
      <c r="IE23">
        <v>96.204999999999998</v>
      </c>
      <c r="IF23">
        <v>96.265000000000001</v>
      </c>
      <c r="IG23">
        <v>96.25</v>
      </c>
      <c r="IH23">
        <v>96.26</v>
      </c>
      <c r="II23">
        <v>96.31</v>
      </c>
      <c r="IJ23">
        <v>96.364999999999995</v>
      </c>
      <c r="IK23">
        <v>96.344999999999999</v>
      </c>
      <c r="IL23">
        <v>96.275000000000006</v>
      </c>
      <c r="IM23">
        <v>96.314999999999998</v>
      </c>
      <c r="IN23">
        <v>96.334999999999994</v>
      </c>
      <c r="IO23">
        <v>96.245000000000005</v>
      </c>
      <c r="IP23">
        <v>96.215000000000003</v>
      </c>
      <c r="IQ23">
        <v>96.254999999999995</v>
      </c>
      <c r="IR23">
        <v>96.25</v>
      </c>
      <c r="IS23">
        <v>96.18</v>
      </c>
      <c r="IT23">
        <v>96.18</v>
      </c>
      <c r="IU23">
        <v>96.075000000000003</v>
      </c>
      <c r="IV23">
        <v>96.03</v>
      </c>
      <c r="IW23">
        <v>96.194999999999993</v>
      </c>
      <c r="IX23">
        <v>96.254999999999995</v>
      </c>
      <c r="IY23">
        <v>96.22</v>
      </c>
      <c r="IZ23">
        <v>96.31</v>
      </c>
      <c r="JA23">
        <v>96.295000000000002</v>
      </c>
      <c r="JB23">
        <v>96.27</v>
      </c>
      <c r="JC23">
        <v>96.28</v>
      </c>
      <c r="JD23">
        <v>96.355000000000004</v>
      </c>
      <c r="JE23">
        <v>96.355000000000004</v>
      </c>
      <c r="JF23">
        <v>96.29</v>
      </c>
      <c r="JG23">
        <v>96.37</v>
      </c>
      <c r="JH23">
        <v>96.314999999999998</v>
      </c>
      <c r="JI23">
        <v>96.26</v>
      </c>
      <c r="JJ23">
        <v>96.144999999999996</v>
      </c>
      <c r="JK23">
        <v>96.064999999999998</v>
      </c>
      <c r="JL23">
        <v>96.11</v>
      </c>
      <c r="JM23">
        <v>96.254999999999995</v>
      </c>
      <c r="JN23">
        <v>96.25</v>
      </c>
      <c r="JO23">
        <v>96.215000000000003</v>
      </c>
      <c r="JP23">
        <v>96.13</v>
      </c>
      <c r="JQ23">
        <v>96.004999999999995</v>
      </c>
      <c r="JR23">
        <v>95.97</v>
      </c>
      <c r="JS23">
        <v>95.91</v>
      </c>
      <c r="JT23">
        <v>96.01</v>
      </c>
      <c r="JU23">
        <v>96.084999999999994</v>
      </c>
      <c r="JV23">
        <v>96.084999999999994</v>
      </c>
      <c r="JW23">
        <v>96.07</v>
      </c>
      <c r="JX23">
        <v>96.084999999999994</v>
      </c>
      <c r="JY23">
        <v>96.09</v>
      </c>
      <c r="JZ23">
        <v>96.06</v>
      </c>
      <c r="KA23">
        <v>96.075000000000003</v>
      </c>
      <c r="KB23">
        <v>96.12</v>
      </c>
      <c r="KC23">
        <v>96.125</v>
      </c>
      <c r="KD23">
        <v>96.045000000000002</v>
      </c>
      <c r="KE23">
        <v>96.01</v>
      </c>
      <c r="KF23">
        <v>95.984999999999999</v>
      </c>
      <c r="KG23">
        <v>96.04</v>
      </c>
      <c r="KH23">
        <v>96.01</v>
      </c>
      <c r="KI23">
        <v>96.05</v>
      </c>
      <c r="KJ23">
        <v>96.01</v>
      </c>
      <c r="KK23">
        <v>95.99</v>
      </c>
      <c r="KL23">
        <v>95.91</v>
      </c>
      <c r="KM23">
        <v>95.894999999999996</v>
      </c>
      <c r="KN23">
        <v>95.82</v>
      </c>
      <c r="KO23">
        <v>95.89</v>
      </c>
      <c r="KP23">
        <v>95.81</v>
      </c>
      <c r="KQ23">
        <v>95.77</v>
      </c>
      <c r="KR23">
        <v>95.825000000000003</v>
      </c>
      <c r="KS23">
        <v>95.9</v>
      </c>
      <c r="KT23">
        <v>95.88</v>
      </c>
      <c r="KU23">
        <v>95.894999999999996</v>
      </c>
      <c r="KV23">
        <v>95.86</v>
      </c>
      <c r="KW23">
        <v>95.92</v>
      </c>
      <c r="KX23">
        <v>95.844999999999999</v>
      </c>
      <c r="KY23">
        <v>95.88</v>
      </c>
      <c r="KZ23">
        <v>96.025000000000006</v>
      </c>
      <c r="LA23">
        <v>95.935000000000002</v>
      </c>
      <c r="LB23">
        <v>95.965000000000003</v>
      </c>
      <c r="LC23">
        <v>96.12</v>
      </c>
      <c r="LD23">
        <v>96.06</v>
      </c>
      <c r="LE23">
        <v>96.105000000000004</v>
      </c>
      <c r="LF23">
        <v>96.16</v>
      </c>
      <c r="LG23">
        <v>96.114999999999995</v>
      </c>
      <c r="LH23">
        <v>96.1</v>
      </c>
      <c r="LI23">
        <v>96.144999999999996</v>
      </c>
      <c r="LJ23">
        <v>96.28</v>
      </c>
      <c r="LK23">
        <v>96.28</v>
      </c>
      <c r="LL23">
        <v>96.25</v>
      </c>
      <c r="LM23">
        <v>96.215000000000003</v>
      </c>
      <c r="LN23">
        <v>96.185000000000002</v>
      </c>
      <c r="LO23">
        <v>96.22</v>
      </c>
      <c r="LP23">
        <v>96.16</v>
      </c>
      <c r="LQ23">
        <v>96.165000000000006</v>
      </c>
      <c r="LR23">
        <v>96.204999999999998</v>
      </c>
      <c r="LS23">
        <v>96.165000000000006</v>
      </c>
      <c r="LT23">
        <v>96.204999999999998</v>
      </c>
      <c r="LU23">
        <v>96.204999999999998</v>
      </c>
      <c r="LV23">
        <v>96.325000000000003</v>
      </c>
      <c r="LW23">
        <v>96.34</v>
      </c>
      <c r="LX23">
        <v>96.39</v>
      </c>
      <c r="LY23">
        <v>96.394999999999996</v>
      </c>
      <c r="LZ23">
        <v>96.4</v>
      </c>
      <c r="MA23">
        <v>96.394999999999996</v>
      </c>
      <c r="MB23">
        <v>96.355000000000004</v>
      </c>
      <c r="MC23">
        <v>96.265000000000001</v>
      </c>
      <c r="MD23">
        <v>96.295000000000002</v>
      </c>
      <c r="ME23">
        <v>96.23</v>
      </c>
      <c r="MF23">
        <v>96.224999999999994</v>
      </c>
      <c r="MG23">
        <v>96.204999999999998</v>
      </c>
      <c r="MH23">
        <v>96.224999999999994</v>
      </c>
      <c r="MI23">
        <v>96.24</v>
      </c>
      <c r="MJ23">
        <v>96.15</v>
      </c>
      <c r="MK23">
        <v>96.125</v>
      </c>
      <c r="ML23">
        <v>96.17</v>
      </c>
      <c r="MM23">
        <v>96.15</v>
      </c>
      <c r="MN23">
        <v>96.15</v>
      </c>
      <c r="MO23">
        <v>96.194999999999993</v>
      </c>
      <c r="MP23">
        <v>96.16</v>
      </c>
      <c r="MQ23">
        <v>96.12</v>
      </c>
      <c r="MR23">
        <v>96.245000000000005</v>
      </c>
      <c r="MS23">
        <v>96.224999999999994</v>
      </c>
      <c r="MT23">
        <v>96.24</v>
      </c>
      <c r="MU23">
        <v>96.325000000000003</v>
      </c>
      <c r="MV23">
        <v>96.34</v>
      </c>
      <c r="MW23">
        <v>96.245000000000005</v>
      </c>
      <c r="MX23">
        <v>96.38</v>
      </c>
      <c r="MY23">
        <v>96.55</v>
      </c>
      <c r="MZ23">
        <v>96.435000000000002</v>
      </c>
      <c r="NA23">
        <v>96.35</v>
      </c>
      <c r="NB23">
        <v>96.284999999999997</v>
      </c>
      <c r="NC23">
        <v>96.204999999999998</v>
      </c>
      <c r="ND23">
        <v>96.23</v>
      </c>
      <c r="NE23">
        <v>96.19</v>
      </c>
      <c r="NF23">
        <v>96.234999999999999</v>
      </c>
      <c r="NG23">
        <v>96.29</v>
      </c>
      <c r="NH23">
        <v>96.23</v>
      </c>
      <c r="NI23">
        <v>96.224999999999994</v>
      </c>
      <c r="NJ23">
        <v>96.28</v>
      </c>
      <c r="NK23">
        <v>96.3</v>
      </c>
      <c r="NL23">
        <v>96.424999999999997</v>
      </c>
      <c r="NM23">
        <v>96.424999999999997</v>
      </c>
      <c r="NN23">
        <v>96.43</v>
      </c>
      <c r="NO23">
        <v>96.385000000000005</v>
      </c>
      <c r="NP23">
        <v>96.394999999999996</v>
      </c>
      <c r="NQ23">
        <v>96.405000000000001</v>
      </c>
      <c r="NR23">
        <v>96.394999999999996</v>
      </c>
      <c r="NS23">
        <v>96.444999999999993</v>
      </c>
      <c r="NT23">
        <v>96.545000000000002</v>
      </c>
      <c r="NU23">
        <v>96.5</v>
      </c>
      <c r="NV23">
        <v>96.55</v>
      </c>
      <c r="NW23">
        <v>96.55</v>
      </c>
      <c r="NX23">
        <v>96.57</v>
      </c>
      <c r="NY23">
        <v>96.635000000000005</v>
      </c>
      <c r="NZ23">
        <v>96.53</v>
      </c>
      <c r="OA23">
        <v>96.515000000000001</v>
      </c>
      <c r="OB23">
        <v>96.515000000000001</v>
      </c>
      <c r="OC23">
        <v>96.545000000000002</v>
      </c>
      <c r="OD23">
        <v>96.575000000000003</v>
      </c>
      <c r="OE23">
        <v>96.56</v>
      </c>
      <c r="OF23">
        <v>96.53</v>
      </c>
      <c r="OG23">
        <v>96.56</v>
      </c>
      <c r="OH23">
        <v>96.534999999999997</v>
      </c>
      <c r="OI23">
        <v>96.44</v>
      </c>
      <c r="OJ23">
        <v>96.295000000000002</v>
      </c>
      <c r="OK23">
        <v>96.25</v>
      </c>
      <c r="OL23">
        <v>96.245000000000005</v>
      </c>
      <c r="OM23">
        <v>96.36</v>
      </c>
      <c r="ON23">
        <v>96.36</v>
      </c>
      <c r="OO23">
        <v>96.3</v>
      </c>
      <c r="OP23">
        <v>96.17</v>
      </c>
      <c r="OQ23">
        <v>96.215000000000003</v>
      </c>
      <c r="OR23">
        <v>96.1</v>
      </c>
      <c r="OS23">
        <v>96.185000000000002</v>
      </c>
      <c r="OT23">
        <v>96.12</v>
      </c>
      <c r="OU23">
        <v>96.08</v>
      </c>
      <c r="OV23">
        <v>95.96</v>
      </c>
      <c r="OW23">
        <v>96.03</v>
      </c>
      <c r="OX23">
        <v>96.03</v>
      </c>
      <c r="OY23">
        <v>96.02</v>
      </c>
      <c r="OZ23">
        <v>96.03</v>
      </c>
      <c r="PA23">
        <v>95.99</v>
      </c>
      <c r="PB23">
        <v>95.974999999999994</v>
      </c>
      <c r="PC23">
        <v>95.87</v>
      </c>
      <c r="PD23">
        <v>95.96</v>
      </c>
      <c r="PE23">
        <v>95.77</v>
      </c>
      <c r="PF23">
        <v>95.775000000000006</v>
      </c>
      <c r="PG23">
        <v>95.77</v>
      </c>
      <c r="PH23">
        <v>95.905000000000001</v>
      </c>
      <c r="PI23">
        <v>95.834999999999994</v>
      </c>
      <c r="PJ23">
        <v>95.72</v>
      </c>
      <c r="PK23">
        <v>95.825000000000003</v>
      </c>
      <c r="PL23">
        <v>95.704999999999998</v>
      </c>
      <c r="PM23">
        <v>95.575000000000003</v>
      </c>
      <c r="PN23">
        <v>95.484999999999999</v>
      </c>
      <c r="PO23">
        <v>95.474999999999994</v>
      </c>
      <c r="PP23">
        <v>95.484999999999999</v>
      </c>
      <c r="PQ23">
        <v>95.48</v>
      </c>
      <c r="PR23">
        <v>95.36</v>
      </c>
      <c r="PS23">
        <v>95.5</v>
      </c>
      <c r="PT23">
        <v>95.495000000000005</v>
      </c>
      <c r="PU23">
        <v>95.394999999999996</v>
      </c>
      <c r="PV23">
        <v>95.314999999999998</v>
      </c>
      <c r="PW23">
        <v>95.44</v>
      </c>
      <c r="PX23">
        <v>95.5</v>
      </c>
      <c r="PY23">
        <v>95.64</v>
      </c>
      <c r="PZ23">
        <v>95.73</v>
      </c>
      <c r="QA23">
        <v>95.625</v>
      </c>
      <c r="QB23">
        <v>95.74</v>
      </c>
      <c r="QC23">
        <v>95.665000000000006</v>
      </c>
      <c r="QD23">
        <v>95.66</v>
      </c>
      <c r="QE23">
        <v>95.52</v>
      </c>
      <c r="QF23">
        <v>95.58</v>
      </c>
      <c r="QG23">
        <v>95.555000000000007</v>
      </c>
      <c r="QH23">
        <v>95.5</v>
      </c>
      <c r="QI23">
        <v>95.63</v>
      </c>
      <c r="QJ23">
        <v>95.775000000000006</v>
      </c>
      <c r="QK23">
        <v>95.734999999999999</v>
      </c>
      <c r="QL23">
        <v>95.734999999999999</v>
      </c>
      <c r="QM23">
        <v>95.81</v>
      </c>
      <c r="QN23">
        <v>95.82</v>
      </c>
      <c r="QO23">
        <v>95.954999999999998</v>
      </c>
      <c r="QP23">
        <v>95.92</v>
      </c>
      <c r="QQ23">
        <v>96.084999999999994</v>
      </c>
      <c r="QR23">
        <v>96.084999999999994</v>
      </c>
      <c r="QS23">
        <v>96.13</v>
      </c>
      <c r="QT23">
        <v>96.114999999999995</v>
      </c>
      <c r="QU23">
        <v>96.144999999999996</v>
      </c>
      <c r="QV23">
        <v>96.19</v>
      </c>
      <c r="QW23">
        <v>96.17</v>
      </c>
      <c r="QX23">
        <v>96.135000000000005</v>
      </c>
      <c r="QY23">
        <v>96.17</v>
      </c>
      <c r="QZ23">
        <v>96.16</v>
      </c>
      <c r="RA23">
        <v>96.144999999999996</v>
      </c>
      <c r="RB23">
        <v>96.16</v>
      </c>
      <c r="RC23">
        <v>96.23</v>
      </c>
      <c r="RD23">
        <v>96.23</v>
      </c>
      <c r="RE23">
        <v>96.325000000000003</v>
      </c>
      <c r="RF23">
        <v>96.3</v>
      </c>
      <c r="RG23">
        <v>96.3</v>
      </c>
      <c r="RH23">
        <v>96.224999999999994</v>
      </c>
      <c r="RI23">
        <v>96.185000000000002</v>
      </c>
      <c r="RJ23">
        <v>96.185000000000002</v>
      </c>
      <c r="RK23">
        <v>96.204999999999998</v>
      </c>
      <c r="RL23">
        <v>96.05</v>
      </c>
      <c r="RM23">
        <v>96.03</v>
      </c>
      <c r="RN23">
        <v>96.125</v>
      </c>
      <c r="RO23">
        <v>96.05</v>
      </c>
      <c r="RP23">
        <v>96.14</v>
      </c>
      <c r="RQ23">
        <v>96.174999999999997</v>
      </c>
      <c r="RR23">
        <v>96.234999999999999</v>
      </c>
      <c r="RS23">
        <v>96.22</v>
      </c>
      <c r="RT23">
        <v>96.325000000000003</v>
      </c>
      <c r="RU23">
        <v>96.43</v>
      </c>
      <c r="RV23">
        <v>96.4</v>
      </c>
      <c r="RW23">
        <v>96.334999999999994</v>
      </c>
      <c r="RX23">
        <v>96.34</v>
      </c>
      <c r="RY23">
        <v>96.19</v>
      </c>
      <c r="RZ23">
        <v>96.325000000000003</v>
      </c>
      <c r="SA23">
        <v>96.37</v>
      </c>
      <c r="SB23">
        <v>96.46</v>
      </c>
      <c r="SC23">
        <v>96.454999999999998</v>
      </c>
      <c r="SD23">
        <v>96.41</v>
      </c>
      <c r="SE23">
        <v>96.58</v>
      </c>
      <c r="SF23">
        <v>96.515000000000001</v>
      </c>
      <c r="SG23">
        <v>96.58</v>
      </c>
      <c r="SH23">
        <v>96.59</v>
      </c>
      <c r="SI23">
        <v>96.57</v>
      </c>
      <c r="SJ23">
        <v>96.704999999999998</v>
      </c>
      <c r="SK23">
        <v>96.66</v>
      </c>
      <c r="SL23">
        <v>96.635000000000005</v>
      </c>
      <c r="SM23">
        <v>96.594999999999999</v>
      </c>
      <c r="SN23">
        <v>96.614999999999995</v>
      </c>
      <c r="SO23">
        <v>96.55</v>
      </c>
      <c r="SP23">
        <v>96.454999999999998</v>
      </c>
      <c r="SQ23">
        <v>96.39</v>
      </c>
      <c r="SR23">
        <v>96.334999999999994</v>
      </c>
      <c r="SS23">
        <v>96.394999999999996</v>
      </c>
      <c r="ST23">
        <v>96.534999999999997</v>
      </c>
      <c r="SU23">
        <v>96.64</v>
      </c>
      <c r="SV23">
        <v>96.64</v>
      </c>
      <c r="SW23">
        <v>96.674999999999997</v>
      </c>
      <c r="SX23">
        <v>96.625</v>
      </c>
      <c r="SY23">
        <v>96.77</v>
      </c>
      <c r="SZ23">
        <v>96.7</v>
      </c>
      <c r="TA23">
        <v>96.73</v>
      </c>
      <c r="TB23">
        <v>96.7</v>
      </c>
      <c r="TC23">
        <v>96.644999999999996</v>
      </c>
      <c r="TD23">
        <v>96.72</v>
      </c>
      <c r="TE23">
        <v>96.745000000000005</v>
      </c>
      <c r="TF23">
        <v>96.685000000000002</v>
      </c>
      <c r="TG23">
        <v>96.685000000000002</v>
      </c>
      <c r="TH23">
        <v>96.724999999999994</v>
      </c>
      <c r="TI23">
        <v>96.655000000000001</v>
      </c>
      <c r="TJ23">
        <v>96.594999999999999</v>
      </c>
      <c r="TK23">
        <v>96.674999999999997</v>
      </c>
      <c r="TL23">
        <v>96.68</v>
      </c>
      <c r="TM23">
        <v>96.694999999999993</v>
      </c>
      <c r="TN23">
        <v>96.62</v>
      </c>
      <c r="TO23">
        <v>96.71</v>
      </c>
      <c r="TP23">
        <v>96.694999999999993</v>
      </c>
      <c r="TQ23">
        <v>96.67</v>
      </c>
      <c r="TR23">
        <v>96.775000000000006</v>
      </c>
      <c r="TS23">
        <v>96.76</v>
      </c>
      <c r="TT23">
        <v>96.704999999999998</v>
      </c>
      <c r="TU23">
        <v>96.59</v>
      </c>
      <c r="TV23">
        <v>96.59</v>
      </c>
      <c r="TW23">
        <v>96.59</v>
      </c>
      <c r="TX23">
        <v>96.685000000000002</v>
      </c>
      <c r="TY23">
        <v>96.685000000000002</v>
      </c>
      <c r="TZ23">
        <v>96.644999999999996</v>
      </c>
      <c r="UA23">
        <v>96.65</v>
      </c>
      <c r="UB23">
        <v>96.7</v>
      </c>
      <c r="UC23">
        <v>96.77</v>
      </c>
      <c r="UD23">
        <v>96.795000000000002</v>
      </c>
      <c r="UE23">
        <v>96.84</v>
      </c>
      <c r="UF23">
        <v>96.88</v>
      </c>
      <c r="UG23">
        <v>96.94</v>
      </c>
      <c r="UH23">
        <v>96.894999999999996</v>
      </c>
      <c r="UI23">
        <v>96.825000000000003</v>
      </c>
      <c r="UJ23">
        <v>96.814999999999998</v>
      </c>
      <c r="UK23">
        <v>96.86</v>
      </c>
      <c r="UL23">
        <v>96.935000000000002</v>
      </c>
      <c r="UM23">
        <v>96.915000000000006</v>
      </c>
      <c r="UN23">
        <v>96.9</v>
      </c>
      <c r="UO23">
        <v>96.765000000000001</v>
      </c>
      <c r="UP23">
        <v>96.894999999999996</v>
      </c>
      <c r="UQ23">
        <v>96.83</v>
      </c>
      <c r="UR23">
        <v>96.91</v>
      </c>
      <c r="US23">
        <v>96.96</v>
      </c>
      <c r="UT23">
        <v>96.88</v>
      </c>
      <c r="UU23">
        <v>96.814999999999998</v>
      </c>
      <c r="UV23">
        <v>96.86</v>
      </c>
      <c r="UW23">
        <v>96.81</v>
      </c>
      <c r="UX23">
        <v>96.83</v>
      </c>
      <c r="UY23">
        <v>96.81</v>
      </c>
      <c r="UZ23">
        <v>96.87</v>
      </c>
      <c r="VA23">
        <v>96.93</v>
      </c>
      <c r="VB23">
        <v>96.984999999999999</v>
      </c>
      <c r="VC23">
        <v>96.97</v>
      </c>
      <c r="VD23">
        <v>96.965000000000003</v>
      </c>
      <c r="VE23">
        <v>97.02</v>
      </c>
      <c r="VF23">
        <v>97.094999999999999</v>
      </c>
      <c r="VG23">
        <v>97.08</v>
      </c>
      <c r="VH23">
        <v>97.05</v>
      </c>
      <c r="VI23">
        <v>96.96</v>
      </c>
      <c r="VJ23">
        <v>96.905000000000001</v>
      </c>
      <c r="VK23">
        <v>96.85</v>
      </c>
      <c r="VL23">
        <v>96.825000000000003</v>
      </c>
      <c r="VM23">
        <v>96.814999999999998</v>
      </c>
      <c r="VN23">
        <v>96.844999999999999</v>
      </c>
      <c r="VO23">
        <v>96.974999999999994</v>
      </c>
      <c r="VP23">
        <v>96.924999999999997</v>
      </c>
      <c r="VQ23">
        <v>96.84</v>
      </c>
      <c r="VR23">
        <v>96.775000000000006</v>
      </c>
      <c r="VS23">
        <v>96.844999999999999</v>
      </c>
      <c r="VT23">
        <v>96.95</v>
      </c>
      <c r="VU23">
        <v>96.784999999999997</v>
      </c>
      <c r="VV23">
        <v>96.85</v>
      </c>
      <c r="VW23">
        <v>96.745000000000005</v>
      </c>
      <c r="VX23">
        <v>96.825000000000003</v>
      </c>
      <c r="VY23">
        <v>96.83</v>
      </c>
      <c r="VZ23">
        <v>96.625</v>
      </c>
      <c r="WA23">
        <v>96.655000000000001</v>
      </c>
      <c r="WB23">
        <v>96.64</v>
      </c>
      <c r="WC23">
        <v>96.575000000000003</v>
      </c>
      <c r="WD23">
        <v>96.575000000000003</v>
      </c>
      <c r="WE23">
        <v>96.46</v>
      </c>
      <c r="WF23">
        <v>96.57</v>
      </c>
      <c r="WG23">
        <v>96.655000000000001</v>
      </c>
      <c r="WH23">
        <v>96.65</v>
      </c>
      <c r="WI23">
        <v>96.594999999999999</v>
      </c>
      <c r="WJ23">
        <v>96.644999999999996</v>
      </c>
      <c r="WK23">
        <v>96.59</v>
      </c>
      <c r="WL23">
        <v>96.564999999999998</v>
      </c>
      <c r="WM23">
        <v>96.715000000000003</v>
      </c>
      <c r="WN23">
        <v>96.715000000000003</v>
      </c>
      <c r="WO23">
        <v>96.694999999999993</v>
      </c>
      <c r="WP23">
        <v>96.73</v>
      </c>
      <c r="WQ23">
        <v>96.784999999999997</v>
      </c>
      <c r="WR23">
        <v>96.805000000000007</v>
      </c>
      <c r="WS23">
        <v>96.78</v>
      </c>
      <c r="WT23">
        <v>96.84</v>
      </c>
      <c r="WU23">
        <v>96.864999999999995</v>
      </c>
      <c r="WV23">
        <v>96.844999999999999</v>
      </c>
      <c r="WW23">
        <v>96.875</v>
      </c>
      <c r="WX23">
        <v>96.96</v>
      </c>
      <c r="WY23">
        <v>97.075000000000003</v>
      </c>
      <c r="WZ23">
        <v>97.094999999999999</v>
      </c>
      <c r="XA23">
        <v>96.97</v>
      </c>
      <c r="XB23">
        <v>96.935000000000002</v>
      </c>
      <c r="XC23">
        <v>96.974999999999994</v>
      </c>
      <c r="XD23">
        <v>97.025000000000006</v>
      </c>
      <c r="XE23">
        <v>97.055000000000007</v>
      </c>
      <c r="XF23">
        <v>97.055000000000007</v>
      </c>
      <c r="XG23">
        <v>96.98</v>
      </c>
      <c r="XH23">
        <v>97.015000000000001</v>
      </c>
      <c r="XI23">
        <v>97.11</v>
      </c>
      <c r="XJ23">
        <v>97.144999999999996</v>
      </c>
      <c r="XK23">
        <v>96.99</v>
      </c>
      <c r="XL23">
        <v>97.03</v>
      </c>
      <c r="XM23">
        <v>97.03</v>
      </c>
      <c r="XN23">
        <v>97.06</v>
      </c>
      <c r="XO23">
        <v>96.944999999999993</v>
      </c>
      <c r="XP23">
        <v>96.89</v>
      </c>
      <c r="XQ23">
        <v>97.004999999999995</v>
      </c>
      <c r="XR23">
        <v>96.954999999999998</v>
      </c>
      <c r="XS23">
        <v>96.795000000000002</v>
      </c>
      <c r="XT23">
        <v>96.784999999999997</v>
      </c>
      <c r="XU23">
        <v>96.68</v>
      </c>
      <c r="XV23">
        <v>96.62</v>
      </c>
      <c r="XW23">
        <v>96.62</v>
      </c>
      <c r="XX23">
        <v>96.584999999999994</v>
      </c>
      <c r="XY23">
        <v>96.534999999999997</v>
      </c>
      <c r="XZ23">
        <v>96.61</v>
      </c>
      <c r="YA23">
        <v>96.694999999999993</v>
      </c>
      <c r="YB23">
        <v>96.694999999999993</v>
      </c>
      <c r="YC23">
        <v>96.73</v>
      </c>
      <c r="YD23">
        <v>96.71</v>
      </c>
      <c r="YE23">
        <v>96.784999999999997</v>
      </c>
      <c r="YF23">
        <v>96.915000000000006</v>
      </c>
      <c r="YG23">
        <v>97</v>
      </c>
      <c r="YH23">
        <v>97.055000000000007</v>
      </c>
      <c r="YI23">
        <v>97</v>
      </c>
      <c r="YJ23">
        <v>97</v>
      </c>
      <c r="YK23">
        <v>96.9</v>
      </c>
      <c r="YL23">
        <v>96.935000000000002</v>
      </c>
      <c r="YM23">
        <v>97.025000000000006</v>
      </c>
      <c r="YN23">
        <v>97.144999999999996</v>
      </c>
      <c r="YO23">
        <v>97.034999999999997</v>
      </c>
      <c r="YP23">
        <v>96.94</v>
      </c>
      <c r="YQ23">
        <v>97.045000000000002</v>
      </c>
      <c r="YR23">
        <v>97</v>
      </c>
      <c r="YS23">
        <v>96.84</v>
      </c>
      <c r="YT23">
        <v>96.8</v>
      </c>
      <c r="YU23">
        <v>96.84</v>
      </c>
      <c r="YV23">
        <v>96.83</v>
      </c>
      <c r="YW23">
        <v>96.81</v>
      </c>
      <c r="YX23">
        <v>96.81</v>
      </c>
      <c r="YY23">
        <v>96.745000000000005</v>
      </c>
      <c r="YZ23">
        <v>96.65</v>
      </c>
      <c r="ZA23">
        <v>96.644999999999996</v>
      </c>
      <c r="ZB23">
        <v>96.715000000000003</v>
      </c>
      <c r="ZC23">
        <v>96.77</v>
      </c>
      <c r="ZD23">
        <v>96.644999999999996</v>
      </c>
      <c r="ZE23">
        <v>96.57</v>
      </c>
      <c r="ZF23">
        <v>96.62</v>
      </c>
      <c r="ZG23">
        <v>96.594999999999999</v>
      </c>
      <c r="ZH23">
        <v>96.295000000000002</v>
      </c>
      <c r="ZI23">
        <v>96.31</v>
      </c>
      <c r="ZJ23">
        <v>96.204999999999998</v>
      </c>
      <c r="ZK23">
        <v>96.215000000000003</v>
      </c>
      <c r="ZL23">
        <v>96.24</v>
      </c>
      <c r="ZM23">
        <v>96.26</v>
      </c>
      <c r="ZN23">
        <v>96.24</v>
      </c>
      <c r="ZO23">
        <v>96.22</v>
      </c>
      <c r="ZP23">
        <v>96.254999999999995</v>
      </c>
      <c r="ZQ23">
        <v>96.35</v>
      </c>
      <c r="ZR23">
        <v>96.284999999999997</v>
      </c>
      <c r="ZS23">
        <v>96.2</v>
      </c>
      <c r="ZT23">
        <v>96.06</v>
      </c>
      <c r="ZU23">
        <v>96.105000000000004</v>
      </c>
      <c r="ZV23">
        <v>96.1</v>
      </c>
      <c r="ZW23">
        <v>96.22</v>
      </c>
      <c r="ZX23">
        <v>96.355000000000004</v>
      </c>
      <c r="ZY23">
        <v>96.334999999999994</v>
      </c>
      <c r="ZZ23">
        <v>96.334999999999994</v>
      </c>
      <c r="AAA23">
        <v>96.38</v>
      </c>
      <c r="AAB23">
        <v>96.36</v>
      </c>
      <c r="AAC23">
        <v>96.325000000000003</v>
      </c>
      <c r="AAD23">
        <v>96.28</v>
      </c>
      <c r="AAE23">
        <v>96.37</v>
      </c>
      <c r="AAF23">
        <v>96.42</v>
      </c>
      <c r="AAG23">
        <v>96.47</v>
      </c>
      <c r="AAH23">
        <v>96.65</v>
      </c>
      <c r="AAI23">
        <v>96.545000000000002</v>
      </c>
      <c r="AAJ23">
        <v>96.364999999999995</v>
      </c>
      <c r="AAK23">
        <v>96.444999999999993</v>
      </c>
      <c r="AAL23">
        <v>96.49</v>
      </c>
      <c r="AAM23">
        <v>96.305000000000007</v>
      </c>
      <c r="AAN23">
        <v>96.405000000000001</v>
      </c>
      <c r="AAO23">
        <v>96.62</v>
      </c>
      <c r="AAP23">
        <v>96.57</v>
      </c>
      <c r="AAQ23">
        <v>96.754999999999995</v>
      </c>
      <c r="AAR23">
        <v>96.694999999999993</v>
      </c>
      <c r="AAS23">
        <v>96.784999999999997</v>
      </c>
      <c r="AAT23">
        <v>96.81</v>
      </c>
      <c r="AAU23">
        <v>96.82</v>
      </c>
      <c r="AAV23">
        <v>96.88</v>
      </c>
      <c r="AAW23">
        <v>96.85</v>
      </c>
      <c r="AAX23">
        <v>96.875</v>
      </c>
      <c r="AAY23">
        <v>96.92</v>
      </c>
      <c r="AAZ23">
        <v>96.944999999999993</v>
      </c>
      <c r="ABA23">
        <v>96.97</v>
      </c>
      <c r="ABB23">
        <v>96.875</v>
      </c>
      <c r="ABC23">
        <v>97.05</v>
      </c>
      <c r="ABD23">
        <v>97.05</v>
      </c>
      <c r="ABE23">
        <v>96.984999999999999</v>
      </c>
      <c r="ABF23">
        <v>97.16</v>
      </c>
      <c r="ABG23">
        <v>97.204999999999998</v>
      </c>
      <c r="ABH23">
        <v>97.18</v>
      </c>
      <c r="ABI23">
        <v>97.295000000000002</v>
      </c>
      <c r="ABJ23">
        <v>97.325000000000003</v>
      </c>
      <c r="ABK23">
        <v>97.24</v>
      </c>
      <c r="ABL23">
        <v>97.305000000000007</v>
      </c>
      <c r="ABM23">
        <v>97.344999999999999</v>
      </c>
      <c r="ABN23">
        <v>97.375</v>
      </c>
      <c r="ABO23">
        <v>97.51</v>
      </c>
      <c r="ABP23">
        <v>97.5</v>
      </c>
      <c r="ABQ23">
        <v>97.58</v>
      </c>
      <c r="ABR23">
        <v>97.575000000000003</v>
      </c>
      <c r="ABS23">
        <v>97.484999999999999</v>
      </c>
      <c r="ABT23">
        <v>97.424999999999997</v>
      </c>
      <c r="ABU23">
        <v>97.57</v>
      </c>
      <c r="ABV23">
        <v>97.57</v>
      </c>
      <c r="ABW23">
        <v>97.58</v>
      </c>
      <c r="ABX23">
        <v>97.49</v>
      </c>
      <c r="ABY23">
        <v>97.64</v>
      </c>
      <c r="ABZ23">
        <v>97.55</v>
      </c>
      <c r="ACA23">
        <v>97.54</v>
      </c>
      <c r="ACB23">
        <v>97.66</v>
      </c>
      <c r="ACC23">
        <v>97.6</v>
      </c>
      <c r="ACD23">
        <v>97.55</v>
      </c>
      <c r="ACE23">
        <v>97.49</v>
      </c>
      <c r="ACF23">
        <v>97.424999999999997</v>
      </c>
      <c r="ACG23">
        <v>97.385000000000005</v>
      </c>
      <c r="ACH23">
        <v>97.424999999999997</v>
      </c>
      <c r="ACI23">
        <v>97.31</v>
      </c>
      <c r="ACJ23">
        <v>97.19</v>
      </c>
      <c r="ACK23">
        <v>97.234999999999999</v>
      </c>
      <c r="ACL23">
        <v>97.275000000000006</v>
      </c>
      <c r="ACM23">
        <v>97.3</v>
      </c>
      <c r="ACN23">
        <v>97.234999999999999</v>
      </c>
      <c r="ACO23">
        <v>97.28</v>
      </c>
      <c r="ACP23">
        <v>97.174999999999997</v>
      </c>
      <c r="ACQ23">
        <v>97.125</v>
      </c>
      <c r="ACR23">
        <v>96.974999999999994</v>
      </c>
      <c r="ACS23">
        <v>97.055000000000007</v>
      </c>
      <c r="ACT23">
        <v>97.174999999999997</v>
      </c>
      <c r="ACU23">
        <v>97.26</v>
      </c>
      <c r="ACV23">
        <v>97.17</v>
      </c>
      <c r="ACW23">
        <v>97.17</v>
      </c>
      <c r="ACX23">
        <v>97.13</v>
      </c>
      <c r="ACY23">
        <v>97</v>
      </c>
      <c r="ACZ23">
        <v>96.91</v>
      </c>
      <c r="ADA23">
        <v>96.93</v>
      </c>
      <c r="ADB23">
        <v>96.99</v>
      </c>
      <c r="ADC23">
        <v>97.084999999999994</v>
      </c>
      <c r="ADD23">
        <v>96.984999999999999</v>
      </c>
      <c r="ADE23">
        <v>96.86</v>
      </c>
      <c r="ADF23">
        <v>96.954999999999998</v>
      </c>
      <c r="ADG23">
        <v>96.954999999999998</v>
      </c>
      <c r="ADH23">
        <v>96.885000000000005</v>
      </c>
      <c r="ADI23">
        <v>96.745000000000005</v>
      </c>
      <c r="ADJ23">
        <v>96.704999999999998</v>
      </c>
      <c r="ADK23">
        <v>96.82</v>
      </c>
      <c r="ADL23">
        <v>97.045000000000002</v>
      </c>
      <c r="ADM23">
        <v>97.125</v>
      </c>
      <c r="ADN23">
        <v>97.13</v>
      </c>
      <c r="ADO23">
        <v>97.18</v>
      </c>
      <c r="ADP23">
        <v>97.084999999999994</v>
      </c>
      <c r="ADQ23">
        <v>97.19</v>
      </c>
      <c r="ADR23">
        <v>97.24</v>
      </c>
      <c r="ADS23">
        <v>97.2</v>
      </c>
      <c r="ADT23">
        <v>97.27</v>
      </c>
      <c r="ADU23">
        <v>97.36</v>
      </c>
      <c r="ADV23">
        <v>97.36</v>
      </c>
      <c r="ADW23">
        <v>97.344999999999999</v>
      </c>
      <c r="ADX23">
        <v>97.36</v>
      </c>
      <c r="ADY23">
        <v>97.344999999999999</v>
      </c>
      <c r="ADZ23">
        <v>97.27</v>
      </c>
      <c r="AEA23">
        <v>97.34</v>
      </c>
      <c r="AEB23">
        <v>97.27</v>
      </c>
      <c r="AEC23">
        <v>97.245000000000005</v>
      </c>
      <c r="AED23">
        <v>97.135000000000005</v>
      </c>
      <c r="AEE23">
        <v>97.21</v>
      </c>
      <c r="AEF23">
        <v>97.125</v>
      </c>
      <c r="AEG23">
        <v>97.25</v>
      </c>
      <c r="AEH23">
        <v>97.185000000000002</v>
      </c>
      <c r="AEI23">
        <v>97.084999999999994</v>
      </c>
      <c r="AEJ23">
        <v>96.97</v>
      </c>
      <c r="AEK23">
        <v>96.92</v>
      </c>
      <c r="AEL23">
        <v>97</v>
      </c>
      <c r="AEM23">
        <v>97.135000000000005</v>
      </c>
      <c r="AEN23">
        <v>97.12</v>
      </c>
      <c r="AEO23">
        <v>97.06</v>
      </c>
      <c r="AEP23">
        <v>97.2</v>
      </c>
      <c r="AEQ23">
        <v>97.21</v>
      </c>
      <c r="AER23">
        <v>97.275000000000006</v>
      </c>
      <c r="AES23">
        <v>97.325000000000003</v>
      </c>
      <c r="AET23">
        <v>97.314999999999998</v>
      </c>
      <c r="AEU23">
        <v>97.224999999999994</v>
      </c>
      <c r="AEV23">
        <v>97.165000000000006</v>
      </c>
      <c r="AEW23">
        <v>97.245000000000005</v>
      </c>
      <c r="AEX23">
        <v>97.14</v>
      </c>
      <c r="AEY23">
        <v>97.194999999999993</v>
      </c>
      <c r="AEZ23">
        <v>97.254999999999995</v>
      </c>
      <c r="AFA23">
        <v>97.254999999999995</v>
      </c>
      <c r="AFB23">
        <v>97.385000000000005</v>
      </c>
      <c r="AFC23">
        <v>97.35</v>
      </c>
      <c r="AFD23">
        <v>97.29</v>
      </c>
      <c r="AFE23">
        <v>97.415000000000006</v>
      </c>
      <c r="AFF23">
        <v>97.5</v>
      </c>
      <c r="AFG23">
        <v>97.59</v>
      </c>
      <c r="AFH23">
        <v>97.67</v>
      </c>
      <c r="AFI23">
        <v>97.885000000000005</v>
      </c>
      <c r="AFJ23">
        <v>97.905000000000001</v>
      </c>
      <c r="AFK23">
        <v>97.924999999999997</v>
      </c>
      <c r="AFL23">
        <v>97.86</v>
      </c>
      <c r="AFM23">
        <v>97.79</v>
      </c>
      <c r="AFN23">
        <v>97.685000000000002</v>
      </c>
      <c r="AFO23">
        <v>97.635000000000005</v>
      </c>
      <c r="AFP23">
        <v>97.82</v>
      </c>
      <c r="AFQ23">
        <v>97.85</v>
      </c>
      <c r="AFR23">
        <v>97.795000000000002</v>
      </c>
      <c r="AFS23">
        <v>97.86</v>
      </c>
      <c r="AFT23">
        <v>98.01</v>
      </c>
      <c r="AFU23">
        <v>97.93</v>
      </c>
      <c r="AFV23">
        <v>97.894999999999996</v>
      </c>
      <c r="AFW23">
        <v>97.93</v>
      </c>
      <c r="AFX23">
        <v>97.954999999999998</v>
      </c>
      <c r="AFY23">
        <v>98.11</v>
      </c>
      <c r="AFZ23">
        <v>98.12</v>
      </c>
      <c r="AGA23">
        <v>98.19</v>
      </c>
      <c r="AGB23">
        <v>98.28</v>
      </c>
      <c r="AGC23">
        <v>98.4</v>
      </c>
      <c r="AGD23">
        <v>98.415000000000006</v>
      </c>
      <c r="AGE23">
        <v>98.26</v>
      </c>
      <c r="AGF23">
        <v>98.2</v>
      </c>
      <c r="AGG23">
        <v>98.375</v>
      </c>
      <c r="AGH23">
        <v>98.23</v>
      </c>
      <c r="AGI23">
        <v>98.084999999999994</v>
      </c>
      <c r="AGJ23">
        <v>98.09</v>
      </c>
      <c r="AGK23">
        <v>98.1</v>
      </c>
      <c r="AGL23">
        <v>98.135000000000005</v>
      </c>
      <c r="AGM23">
        <v>98.135000000000005</v>
      </c>
      <c r="AGN23">
        <v>98.135000000000005</v>
      </c>
      <c r="AGO23">
        <v>98.084999999999994</v>
      </c>
      <c r="AGP23">
        <v>97.995000000000005</v>
      </c>
      <c r="AGQ23">
        <v>98.004999999999995</v>
      </c>
      <c r="AGR23">
        <v>98.08</v>
      </c>
      <c r="AGS23">
        <v>98.13</v>
      </c>
      <c r="AGT23">
        <v>98.02</v>
      </c>
      <c r="AGU23">
        <v>98.09</v>
      </c>
      <c r="AGV23">
        <v>98.045000000000002</v>
      </c>
      <c r="AGW23">
        <v>98.084999999999994</v>
      </c>
      <c r="AGX23">
        <v>98.07</v>
      </c>
      <c r="AGY23">
        <v>98.18</v>
      </c>
      <c r="AGZ23">
        <v>98.25</v>
      </c>
      <c r="AHA23">
        <v>98.215000000000003</v>
      </c>
      <c r="AHB23">
        <v>98.215000000000003</v>
      </c>
      <c r="AHC23">
        <v>98.224999999999994</v>
      </c>
      <c r="AHD23">
        <v>98.185000000000002</v>
      </c>
      <c r="AHE23">
        <v>98.084999999999994</v>
      </c>
      <c r="AHF23">
        <v>98.16</v>
      </c>
      <c r="AHG23">
        <v>98.224999999999994</v>
      </c>
      <c r="AHH23">
        <v>98.2</v>
      </c>
      <c r="AHI23">
        <v>98.13</v>
      </c>
      <c r="AHJ23">
        <v>98.114999999999995</v>
      </c>
      <c r="AHK23">
        <v>98.064999999999998</v>
      </c>
      <c r="AHL23">
        <v>98.174999999999997</v>
      </c>
      <c r="AHM23">
        <v>98.174999999999997</v>
      </c>
      <c r="AHN23">
        <v>98.25</v>
      </c>
      <c r="AHO23">
        <v>98.215000000000003</v>
      </c>
      <c r="AHP23">
        <v>98.17</v>
      </c>
      <c r="AHQ23">
        <v>98.114999999999995</v>
      </c>
      <c r="AHR23">
        <v>98.13</v>
      </c>
      <c r="AHS23">
        <v>98.17</v>
      </c>
      <c r="AHT23">
        <v>98.204999999999998</v>
      </c>
      <c r="AHU23">
        <v>98.234999999999999</v>
      </c>
      <c r="AHV23">
        <v>98.275000000000006</v>
      </c>
      <c r="AHW23">
        <v>98.44</v>
      </c>
      <c r="AHX23">
        <v>98.42</v>
      </c>
      <c r="AHY23">
        <v>98.41</v>
      </c>
      <c r="AHZ23">
        <v>98.495000000000005</v>
      </c>
      <c r="AIA23">
        <v>98.484999999999999</v>
      </c>
      <c r="AIB23">
        <v>98.465000000000003</v>
      </c>
      <c r="AIC23">
        <v>98.465000000000003</v>
      </c>
      <c r="AID23">
        <v>98.49</v>
      </c>
      <c r="AIE23">
        <v>98.474999999999994</v>
      </c>
      <c r="AIF23">
        <v>98.57</v>
      </c>
      <c r="AIG23">
        <v>98.61</v>
      </c>
      <c r="AIH23">
        <v>98.58</v>
      </c>
      <c r="AII23">
        <v>98.495000000000005</v>
      </c>
      <c r="AIJ23">
        <v>98.525000000000006</v>
      </c>
      <c r="AIK23">
        <v>98.545000000000002</v>
      </c>
      <c r="AIL23">
        <v>98.484999999999999</v>
      </c>
      <c r="AIM23">
        <v>98.52</v>
      </c>
      <c r="AIN23">
        <v>98.48</v>
      </c>
      <c r="AIO23">
        <v>98.5</v>
      </c>
      <c r="AIP23">
        <v>98.545000000000002</v>
      </c>
      <c r="AIQ23">
        <v>98.685000000000002</v>
      </c>
      <c r="AIR23">
        <v>98.56</v>
      </c>
      <c r="AIS23">
        <v>98.58</v>
      </c>
      <c r="AIT23">
        <v>98.52</v>
      </c>
      <c r="AIU23">
        <v>98.42</v>
      </c>
      <c r="AIV23">
        <v>98.465000000000003</v>
      </c>
      <c r="AIW23">
        <v>98.29</v>
      </c>
      <c r="AIX23">
        <v>98.29</v>
      </c>
      <c r="AIY23">
        <v>98.254999999999995</v>
      </c>
      <c r="AIZ23">
        <v>98.31</v>
      </c>
      <c r="AJA23">
        <v>98.42</v>
      </c>
      <c r="AJB23">
        <v>98.344999999999999</v>
      </c>
      <c r="AJC23">
        <v>98.31</v>
      </c>
      <c r="AJD23">
        <v>98.284999999999997</v>
      </c>
      <c r="AJE23">
        <v>98.314999999999998</v>
      </c>
      <c r="AJF23">
        <v>98.355000000000004</v>
      </c>
      <c r="AJG23">
        <v>98.36</v>
      </c>
      <c r="AJH23">
        <v>98.394999999999996</v>
      </c>
      <c r="AJI23">
        <v>98.525000000000006</v>
      </c>
      <c r="AJJ23">
        <v>98.44</v>
      </c>
      <c r="AJK23">
        <v>98.49</v>
      </c>
      <c r="AJL23">
        <v>98.394999999999996</v>
      </c>
      <c r="AJM23">
        <v>98.355000000000004</v>
      </c>
      <c r="AJN23">
        <v>98.38</v>
      </c>
      <c r="AJO23">
        <v>98.41</v>
      </c>
      <c r="AJP23">
        <v>98.44</v>
      </c>
      <c r="AJQ23">
        <v>98.405000000000001</v>
      </c>
      <c r="AJR23">
        <v>98.405000000000001</v>
      </c>
      <c r="AJS23">
        <v>98.254999999999995</v>
      </c>
      <c r="AJT23">
        <v>98.25</v>
      </c>
      <c r="AJU23">
        <v>98.25</v>
      </c>
      <c r="AJV23">
        <v>98.2</v>
      </c>
      <c r="AJW23">
        <v>98.24</v>
      </c>
      <c r="AJX23">
        <v>98.254999999999995</v>
      </c>
      <c r="AJY23">
        <v>98.314999999999998</v>
      </c>
      <c r="AJZ23">
        <v>98.305000000000007</v>
      </c>
      <c r="AKA23">
        <v>98.36</v>
      </c>
      <c r="AKB23">
        <v>98.314999999999998</v>
      </c>
      <c r="AKC23">
        <v>98.25</v>
      </c>
      <c r="AKD23">
        <v>98.185000000000002</v>
      </c>
      <c r="AKE23">
        <v>98.194999999999993</v>
      </c>
      <c r="AKF23">
        <v>98.24</v>
      </c>
      <c r="AKG23">
        <v>98.295000000000002</v>
      </c>
      <c r="AKH23">
        <v>98.28</v>
      </c>
      <c r="AKI23">
        <v>98.33</v>
      </c>
      <c r="AKJ23">
        <v>98.314999999999998</v>
      </c>
      <c r="AKK23">
        <v>98.234999999999999</v>
      </c>
      <c r="AKL23">
        <v>98.22</v>
      </c>
      <c r="AKM23">
        <v>98.224999999999994</v>
      </c>
      <c r="AKN23">
        <v>98.295000000000002</v>
      </c>
      <c r="AKO23">
        <v>98.334999999999994</v>
      </c>
      <c r="AKP23">
        <v>98.4</v>
      </c>
      <c r="AKQ23">
        <v>98.49</v>
      </c>
      <c r="AKR23">
        <v>98.49</v>
      </c>
      <c r="AKS23">
        <v>98.495000000000005</v>
      </c>
      <c r="AKT23">
        <v>98.42</v>
      </c>
      <c r="AKU23">
        <v>98.484999999999999</v>
      </c>
      <c r="AKV23">
        <v>98.534999999999997</v>
      </c>
      <c r="AKW23">
        <v>98.61</v>
      </c>
      <c r="AKX23">
        <v>98.555000000000007</v>
      </c>
      <c r="AKY23">
        <v>98.54</v>
      </c>
      <c r="AKZ23">
        <v>98.594999999999999</v>
      </c>
      <c r="ALA23">
        <v>98.56</v>
      </c>
      <c r="ALB23">
        <v>98.52</v>
      </c>
      <c r="ALC23">
        <v>98.575000000000003</v>
      </c>
      <c r="ALD23">
        <v>98.575000000000003</v>
      </c>
      <c r="ALE23">
        <v>98.614999999999995</v>
      </c>
      <c r="ALF23">
        <v>98.605000000000004</v>
      </c>
      <c r="ALG23">
        <v>98.6</v>
      </c>
      <c r="ALH23">
        <v>98.62</v>
      </c>
      <c r="ALI23">
        <v>98.584999999999994</v>
      </c>
      <c r="ALJ23">
        <v>98.55</v>
      </c>
      <c r="ALK23">
        <v>98.56</v>
      </c>
      <c r="ALL23">
        <v>98.625</v>
      </c>
      <c r="ALM23">
        <v>98.665000000000006</v>
      </c>
      <c r="ALN23">
        <v>98.655000000000001</v>
      </c>
      <c r="ALO23">
        <v>98.68</v>
      </c>
      <c r="ALP23">
        <v>98.64</v>
      </c>
      <c r="ALQ23">
        <v>98.67</v>
      </c>
      <c r="ALR23">
        <v>98.674999999999997</v>
      </c>
      <c r="ALS23">
        <v>98.62</v>
      </c>
      <c r="ALT23">
        <v>98.54</v>
      </c>
      <c r="ALU23">
        <v>98.555000000000007</v>
      </c>
      <c r="ALV23">
        <v>98.57</v>
      </c>
      <c r="ALW23">
        <v>98.594999999999999</v>
      </c>
      <c r="ALX23">
        <v>98.635000000000005</v>
      </c>
      <c r="ALY23">
        <v>98.72</v>
      </c>
      <c r="ALZ23">
        <v>98.76</v>
      </c>
      <c r="AMA23">
        <v>98.78</v>
      </c>
      <c r="AMB23">
        <v>98.775000000000006</v>
      </c>
      <c r="AMC23">
        <v>98.685000000000002</v>
      </c>
      <c r="AMD23">
        <v>98.66</v>
      </c>
      <c r="AME23">
        <v>98.68</v>
      </c>
      <c r="AMF23">
        <v>98.715000000000003</v>
      </c>
      <c r="AMG23">
        <v>98.68</v>
      </c>
      <c r="AMH23">
        <v>98.665000000000006</v>
      </c>
      <c r="AMI23">
        <v>98.68</v>
      </c>
      <c r="AMJ23">
        <v>98.67</v>
      </c>
      <c r="AMK23">
        <v>98.775000000000006</v>
      </c>
      <c r="AML23">
        <v>98.805000000000007</v>
      </c>
      <c r="AMM23">
        <v>98.63</v>
      </c>
      <c r="AMN23">
        <v>98.635000000000005</v>
      </c>
      <c r="AMO23">
        <v>98.55</v>
      </c>
      <c r="AMP23">
        <v>98.47</v>
      </c>
      <c r="AMQ23">
        <v>98.525000000000006</v>
      </c>
      <c r="AMR23">
        <v>98.52</v>
      </c>
      <c r="AMS23">
        <v>98.61</v>
      </c>
      <c r="AMT23">
        <v>98.58</v>
      </c>
      <c r="AMU23">
        <v>98.53</v>
      </c>
      <c r="AMV23">
        <v>98.435000000000002</v>
      </c>
      <c r="AMW23">
        <v>98.435000000000002</v>
      </c>
      <c r="AMX23">
        <v>98.375</v>
      </c>
      <c r="AMY23">
        <v>98.415000000000006</v>
      </c>
      <c r="AMZ23">
        <v>98.37</v>
      </c>
      <c r="ANA23">
        <v>98.364999999999995</v>
      </c>
      <c r="ANB23">
        <v>98.305000000000007</v>
      </c>
      <c r="ANC23">
        <v>98.35</v>
      </c>
      <c r="AND23">
        <v>98.344999999999999</v>
      </c>
      <c r="ANE23">
        <v>98.38</v>
      </c>
      <c r="ANF23">
        <v>98.375</v>
      </c>
      <c r="ANG23">
        <v>98.41</v>
      </c>
      <c r="ANH23">
        <v>98.325000000000003</v>
      </c>
      <c r="ANI23">
        <v>98.19</v>
      </c>
      <c r="ANJ23">
        <v>98.364999999999995</v>
      </c>
      <c r="ANK23">
        <v>98.344999999999999</v>
      </c>
      <c r="ANL23">
        <v>98.375</v>
      </c>
      <c r="ANM23">
        <v>98.394999999999996</v>
      </c>
      <c r="ANN23">
        <v>98.36</v>
      </c>
      <c r="ANO23">
        <v>98.31</v>
      </c>
      <c r="ANP23">
        <v>98.265000000000001</v>
      </c>
      <c r="ANQ23">
        <v>98.254999999999995</v>
      </c>
      <c r="ANR23">
        <v>98.16</v>
      </c>
      <c r="ANS23">
        <v>98.21</v>
      </c>
      <c r="ANT23">
        <v>98.174999999999997</v>
      </c>
      <c r="ANU23">
        <v>98.224999999999994</v>
      </c>
      <c r="ANV23">
        <v>98.224999999999994</v>
      </c>
      <c r="ANW23">
        <v>98.22</v>
      </c>
      <c r="ANX23">
        <v>98.265000000000001</v>
      </c>
      <c r="ANY23">
        <v>98.275000000000006</v>
      </c>
      <c r="ANZ23">
        <v>98.22</v>
      </c>
      <c r="AOA23">
        <v>98.18</v>
      </c>
      <c r="AOB23">
        <v>98.19</v>
      </c>
      <c r="AOC23">
        <v>98.125</v>
      </c>
      <c r="AOD23">
        <v>98.174999999999997</v>
      </c>
      <c r="AOE23">
        <v>98.18</v>
      </c>
      <c r="AOF23">
        <v>98.19</v>
      </c>
      <c r="AOG23">
        <v>98.15</v>
      </c>
      <c r="AOH23">
        <v>98.094999999999999</v>
      </c>
      <c r="AOI23">
        <v>98.194999999999993</v>
      </c>
      <c r="AOJ23">
        <v>98.22</v>
      </c>
      <c r="AOK23">
        <v>98.234999999999999</v>
      </c>
      <c r="AOL23">
        <v>98.224999999999994</v>
      </c>
      <c r="AOM23">
        <v>98.19</v>
      </c>
      <c r="AON23">
        <v>98.165000000000006</v>
      </c>
      <c r="AOO23">
        <v>98.14</v>
      </c>
      <c r="AOP23">
        <v>98.105000000000004</v>
      </c>
      <c r="AOQ23">
        <v>98.105000000000004</v>
      </c>
      <c r="AOR23">
        <v>98.12</v>
      </c>
      <c r="AOS23">
        <v>98.13</v>
      </c>
      <c r="AOT23">
        <v>98.19</v>
      </c>
      <c r="AOU23">
        <v>98.2</v>
      </c>
      <c r="AOV23">
        <v>98.224999999999994</v>
      </c>
      <c r="AOW23">
        <v>98.224999999999994</v>
      </c>
      <c r="AOX23">
        <v>98.23</v>
      </c>
      <c r="AOY23">
        <v>98.204999999999998</v>
      </c>
      <c r="AOZ23">
        <v>98.22</v>
      </c>
      <c r="APA23">
        <v>98.26</v>
      </c>
      <c r="APB23">
        <v>98.114999999999995</v>
      </c>
      <c r="APC23">
        <v>98.105000000000004</v>
      </c>
      <c r="APD23">
        <v>98.01</v>
      </c>
      <c r="APE23">
        <v>98.02</v>
      </c>
      <c r="APF23">
        <v>98.05</v>
      </c>
      <c r="APG23">
        <v>98</v>
      </c>
      <c r="APH23">
        <v>97.974999999999994</v>
      </c>
      <c r="API23">
        <v>97.87</v>
      </c>
      <c r="APJ23">
        <v>97.855000000000004</v>
      </c>
      <c r="APK23">
        <v>97.92</v>
      </c>
      <c r="APL23">
        <v>97.855000000000004</v>
      </c>
      <c r="APM23">
        <v>97.89</v>
      </c>
      <c r="APN23">
        <v>97.915000000000006</v>
      </c>
      <c r="APO23">
        <v>97.995000000000005</v>
      </c>
      <c r="APP23">
        <v>98.055000000000007</v>
      </c>
      <c r="APQ23">
        <v>98.07</v>
      </c>
      <c r="APR23">
        <v>98.05</v>
      </c>
      <c r="APS23">
        <v>97.99</v>
      </c>
      <c r="APT23">
        <v>97.944999999999993</v>
      </c>
      <c r="APU23">
        <v>98.02</v>
      </c>
      <c r="APV23">
        <v>98.21</v>
      </c>
      <c r="APW23">
        <v>98.234999999999999</v>
      </c>
      <c r="APX23">
        <v>98.23</v>
      </c>
      <c r="APY23">
        <v>98.215000000000003</v>
      </c>
      <c r="APZ23">
        <v>98.284999999999997</v>
      </c>
      <c r="AQA23">
        <v>98.32</v>
      </c>
      <c r="AQB23">
        <v>98.29</v>
      </c>
      <c r="AQC23">
        <v>98.234999999999999</v>
      </c>
      <c r="AQD23">
        <v>98.3</v>
      </c>
      <c r="AQE23">
        <v>98.29</v>
      </c>
      <c r="AQF23">
        <v>98.355000000000004</v>
      </c>
      <c r="AQG23">
        <v>98.41</v>
      </c>
      <c r="AQH23">
        <v>98.37</v>
      </c>
      <c r="AQI23">
        <v>98.32</v>
      </c>
      <c r="AQJ23">
        <v>98.325000000000003</v>
      </c>
      <c r="AQK23">
        <v>98.474999999999994</v>
      </c>
      <c r="AQL23">
        <v>98.5</v>
      </c>
      <c r="AQM23">
        <v>98.49</v>
      </c>
      <c r="AQN23">
        <v>98.525000000000006</v>
      </c>
      <c r="AQO23">
        <v>98.57</v>
      </c>
      <c r="AQP23">
        <v>98.59</v>
      </c>
      <c r="AQQ23">
        <v>98.614999999999995</v>
      </c>
      <c r="AQR23">
        <v>98.734999999999999</v>
      </c>
      <c r="AQS23">
        <v>98.734999999999999</v>
      </c>
      <c r="AQT23">
        <v>98.805000000000007</v>
      </c>
      <c r="AQU23">
        <v>98.814999999999998</v>
      </c>
      <c r="AQV23">
        <v>98.8</v>
      </c>
      <c r="AQW23">
        <v>98.79</v>
      </c>
      <c r="AQX23">
        <v>98.81</v>
      </c>
      <c r="AQY23">
        <v>98.814999999999998</v>
      </c>
      <c r="AQZ23">
        <v>98.91</v>
      </c>
      <c r="ARA23">
        <v>98.924999999999997</v>
      </c>
      <c r="ARB23">
        <v>98.95</v>
      </c>
      <c r="ARC23">
        <v>98.95</v>
      </c>
      <c r="ARD23">
        <v>98.954999999999998</v>
      </c>
      <c r="ARE23">
        <v>98.96</v>
      </c>
      <c r="ARF23">
        <v>98.954999999999998</v>
      </c>
      <c r="ARG23">
        <v>98.96</v>
      </c>
      <c r="ARH23">
        <v>98.96</v>
      </c>
      <c r="ARI23">
        <v>98.954999999999998</v>
      </c>
      <c r="ARJ23">
        <v>98.97</v>
      </c>
      <c r="ARK23">
        <v>98.97</v>
      </c>
      <c r="ARL23">
        <v>98.96</v>
      </c>
      <c r="ARM23">
        <v>98.96</v>
      </c>
      <c r="ARN23">
        <v>98.995000000000005</v>
      </c>
      <c r="ARO23">
        <v>98.98</v>
      </c>
      <c r="ARP23">
        <v>98.954999999999998</v>
      </c>
      <c r="ARQ23">
        <v>98.96</v>
      </c>
      <c r="ARR23">
        <v>98.965000000000003</v>
      </c>
      <c r="ARS23">
        <v>99.004999999999995</v>
      </c>
      <c r="ART23">
        <v>99.144999999999996</v>
      </c>
      <c r="ARU23">
        <v>99.19</v>
      </c>
      <c r="ARV23">
        <v>99.2</v>
      </c>
      <c r="ARW23">
        <v>99.19</v>
      </c>
      <c r="ARX23">
        <v>99.19</v>
      </c>
      <c r="ARY23">
        <v>99.18</v>
      </c>
      <c r="ARZ23">
        <v>99.165000000000006</v>
      </c>
      <c r="ASA23">
        <v>99.16</v>
      </c>
      <c r="ASB23">
        <v>99.165000000000006</v>
      </c>
      <c r="ASC23">
        <v>99.165000000000006</v>
      </c>
      <c r="ASD23">
        <v>99.165000000000006</v>
      </c>
      <c r="ASE23">
        <v>99.17</v>
      </c>
      <c r="ASF23">
        <v>99.165000000000006</v>
      </c>
      <c r="ASG23">
        <v>99.165000000000006</v>
      </c>
      <c r="ASH23">
        <v>99.224999999999994</v>
      </c>
      <c r="ASI23">
        <v>99.234999999999999</v>
      </c>
      <c r="ASJ23">
        <v>99.31</v>
      </c>
      <c r="ASK23">
        <v>99.31</v>
      </c>
      <c r="ASL23">
        <v>99.31</v>
      </c>
      <c r="ASM23">
        <v>99.28</v>
      </c>
      <c r="ASN23">
        <v>99.545000000000002</v>
      </c>
      <c r="ASO23">
        <v>99.65</v>
      </c>
      <c r="ASP23">
        <v>99.65</v>
      </c>
      <c r="ASQ23">
        <v>99.66</v>
      </c>
      <c r="ASR23">
        <v>99.674999999999997</v>
      </c>
      <c r="ASS23">
        <v>99.68</v>
      </c>
      <c r="AST23">
        <v>99.685000000000002</v>
      </c>
      <c r="ASU23">
        <v>99.71</v>
      </c>
      <c r="ASV23">
        <v>99.715000000000003</v>
      </c>
      <c r="ASW23">
        <v>99.71</v>
      </c>
      <c r="ASX23">
        <v>99.71</v>
      </c>
      <c r="ASY23">
        <v>99.704999999999998</v>
      </c>
      <c r="ASZ23">
        <v>99.7</v>
      </c>
      <c r="ATA23">
        <v>99.715000000000003</v>
      </c>
      <c r="ATB23">
        <v>99.71</v>
      </c>
      <c r="ATC23">
        <v>99.71</v>
      </c>
      <c r="ATD23">
        <v>99.715000000000003</v>
      </c>
      <c r="ATE23">
        <v>99.704999999999998</v>
      </c>
      <c r="ATF23">
        <v>99.704999999999998</v>
      </c>
      <c r="ATG23">
        <v>99.7</v>
      </c>
      <c r="ATH23">
        <v>99.68</v>
      </c>
      <c r="ATI23">
        <v>99.68</v>
      </c>
      <c r="ATJ23">
        <v>99.715000000000003</v>
      </c>
      <c r="ATK23">
        <v>99.76</v>
      </c>
      <c r="ATL23">
        <v>99.765000000000001</v>
      </c>
      <c r="ATM23">
        <v>99.784999999999997</v>
      </c>
      <c r="ATN23">
        <v>99.754999999999995</v>
      </c>
      <c r="ATO23">
        <v>99.765000000000001</v>
      </c>
      <c r="ATP23">
        <v>99.76</v>
      </c>
      <c r="ATQ23">
        <v>99.765000000000001</v>
      </c>
      <c r="ATR23">
        <v>99.775000000000006</v>
      </c>
      <c r="ATS23">
        <v>99.775000000000006</v>
      </c>
      <c r="ATT23">
        <v>99.77</v>
      </c>
      <c r="ATU23">
        <v>99.76</v>
      </c>
      <c r="ATV23">
        <v>99.75</v>
      </c>
      <c r="ATW23">
        <v>99.775000000000006</v>
      </c>
      <c r="ATX23">
        <v>99.775000000000006</v>
      </c>
      <c r="ATY23">
        <v>99.784999999999997</v>
      </c>
      <c r="ATZ23">
        <v>99.795000000000002</v>
      </c>
      <c r="AUA23">
        <v>99.79</v>
      </c>
      <c r="AUB23">
        <v>99.795000000000002</v>
      </c>
      <c r="AUC23">
        <v>99.79</v>
      </c>
      <c r="AUD23">
        <v>99.775000000000006</v>
      </c>
      <c r="AUE23">
        <v>99.77</v>
      </c>
      <c r="AUF23">
        <v>99.784999999999997</v>
      </c>
      <c r="AUG23">
        <v>99.78</v>
      </c>
      <c r="AUH23">
        <v>99.805000000000007</v>
      </c>
      <c r="AUI23">
        <v>99.805000000000007</v>
      </c>
      <c r="AUJ23">
        <v>99.855000000000004</v>
      </c>
      <c r="AUK23">
        <v>99.855000000000004</v>
      </c>
      <c r="AUL23">
        <v>99.855000000000004</v>
      </c>
      <c r="AUM23">
        <v>99.86</v>
      </c>
      <c r="AUN23">
        <v>99.86</v>
      </c>
      <c r="AUO23">
        <v>99.87</v>
      </c>
      <c r="AUP23">
        <v>99.87</v>
      </c>
      <c r="AUQ23">
        <v>99.875</v>
      </c>
      <c r="AUR23">
        <v>99.875</v>
      </c>
      <c r="AUS23">
        <v>99.864999999999995</v>
      </c>
      <c r="AUT23">
        <v>99.844999999999999</v>
      </c>
      <c r="AUU23">
        <v>99.86</v>
      </c>
      <c r="AUV23">
        <v>99.855000000000004</v>
      </c>
      <c r="AUW23">
        <v>99.885000000000005</v>
      </c>
      <c r="AUX23">
        <v>99.89</v>
      </c>
      <c r="AUY23">
        <v>99.88</v>
      </c>
      <c r="AUZ23">
        <v>99.855000000000004</v>
      </c>
      <c r="AVA23">
        <v>99.85</v>
      </c>
      <c r="AVB23">
        <v>99.855000000000004</v>
      </c>
      <c r="AVC23">
        <v>99.844999999999999</v>
      </c>
      <c r="AVD23">
        <v>99.844999999999999</v>
      </c>
      <c r="AVE23">
        <v>99.875</v>
      </c>
      <c r="AVF23">
        <v>99.864999999999995</v>
      </c>
      <c r="AVG23">
        <v>99.875</v>
      </c>
      <c r="AVH23">
        <v>99.87</v>
      </c>
      <c r="AVI23">
        <v>99.864999999999995</v>
      </c>
      <c r="AVJ23">
        <v>99.844999999999999</v>
      </c>
      <c r="AVK23">
        <v>99.855000000000004</v>
      </c>
      <c r="AVL23">
        <v>99.86</v>
      </c>
      <c r="AVM23">
        <v>99.87</v>
      </c>
      <c r="AVN23">
        <v>99.864999999999995</v>
      </c>
      <c r="AVO23">
        <v>99.875</v>
      </c>
      <c r="AVP23">
        <v>99.875</v>
      </c>
      <c r="AVQ23">
        <v>99.864999999999995</v>
      </c>
      <c r="AVR23">
        <v>99.85</v>
      </c>
      <c r="AVS23">
        <v>99.84</v>
      </c>
      <c r="AVT23">
        <v>99.84</v>
      </c>
      <c r="AVU23">
        <v>99.844999999999999</v>
      </c>
      <c r="AVV23">
        <v>99.844999999999999</v>
      </c>
      <c r="AVW23">
        <v>99.88</v>
      </c>
      <c r="AVX23">
        <v>99.89</v>
      </c>
      <c r="AVY23">
        <v>99.91</v>
      </c>
      <c r="AVZ23">
        <v>99.915000000000006</v>
      </c>
      <c r="AWA23">
        <v>99.924999999999997</v>
      </c>
      <c r="AWB23">
        <v>99.915000000000006</v>
      </c>
      <c r="AWC23">
        <v>99.91</v>
      </c>
      <c r="AWD23">
        <v>99.905000000000001</v>
      </c>
      <c r="AWE23">
        <v>99.885000000000005</v>
      </c>
      <c r="AWF23">
        <v>99.875</v>
      </c>
      <c r="AWG23">
        <v>99.87</v>
      </c>
      <c r="AWH23">
        <v>99.88</v>
      </c>
      <c r="AWI23">
        <v>99.885000000000005</v>
      </c>
      <c r="AWJ23">
        <v>99.885000000000005</v>
      </c>
      <c r="AWK23">
        <v>99.88</v>
      </c>
      <c r="AWL23">
        <v>99.88</v>
      </c>
      <c r="AWM23">
        <v>99.875</v>
      </c>
      <c r="AWN23">
        <v>99.875</v>
      </c>
      <c r="AWO23">
        <v>99.87</v>
      </c>
      <c r="AWP23">
        <v>99.88</v>
      </c>
      <c r="AWQ23">
        <v>99.88</v>
      </c>
      <c r="AWR23">
        <v>99.894999999999996</v>
      </c>
      <c r="AWS23">
        <v>99.91</v>
      </c>
      <c r="AWT23">
        <v>99.894999999999996</v>
      </c>
      <c r="AWU23">
        <v>99.89</v>
      </c>
      <c r="AWV23">
        <v>99.885000000000005</v>
      </c>
      <c r="AWW23">
        <v>99.885000000000005</v>
      </c>
      <c r="AWX23">
        <v>99.885000000000005</v>
      </c>
      <c r="AWY23">
        <v>99.875</v>
      </c>
      <c r="AWZ23">
        <v>99.894999999999996</v>
      </c>
      <c r="AXA23">
        <v>99.894999999999996</v>
      </c>
      <c r="AXB23">
        <v>99.885000000000005</v>
      </c>
      <c r="AXC23">
        <v>99.864999999999995</v>
      </c>
      <c r="AXD23">
        <v>99.864999999999995</v>
      </c>
      <c r="AXE23">
        <v>99.864999999999995</v>
      </c>
      <c r="AXF23">
        <v>99.86</v>
      </c>
      <c r="AXG23">
        <v>99.85</v>
      </c>
      <c r="AXH23">
        <v>99.83</v>
      </c>
      <c r="AXI23">
        <v>99.825000000000003</v>
      </c>
      <c r="AXJ23">
        <v>99.814999999999998</v>
      </c>
      <c r="AXK23">
        <v>99.83</v>
      </c>
      <c r="AXL23">
        <v>99.82</v>
      </c>
      <c r="AXM23">
        <v>99.83</v>
      </c>
      <c r="AXN23">
        <v>99.805000000000007</v>
      </c>
      <c r="AXO23">
        <v>99.754999999999995</v>
      </c>
      <c r="AXP23">
        <v>99.72</v>
      </c>
      <c r="AXQ23">
        <v>99.715000000000003</v>
      </c>
      <c r="AXR23">
        <v>99.78</v>
      </c>
      <c r="AXS23">
        <v>99.795000000000002</v>
      </c>
      <c r="AXT23">
        <v>99.83</v>
      </c>
      <c r="AXU23">
        <v>99.834999999999994</v>
      </c>
      <c r="AXV23">
        <v>99.825000000000003</v>
      </c>
      <c r="AXW23">
        <v>99.805000000000007</v>
      </c>
      <c r="AXX23">
        <v>99.81</v>
      </c>
      <c r="AXY23">
        <v>99.814999999999998</v>
      </c>
      <c r="AXZ23">
        <v>99.82</v>
      </c>
      <c r="AYA23">
        <v>99.82</v>
      </c>
      <c r="AYB23">
        <v>99.814999999999998</v>
      </c>
      <c r="AYC23">
        <v>99.814999999999998</v>
      </c>
      <c r="AYD23">
        <v>99.82</v>
      </c>
      <c r="AYE23">
        <v>99.82</v>
      </c>
      <c r="AYF23">
        <v>99.864999999999995</v>
      </c>
      <c r="AYG23">
        <v>99.84</v>
      </c>
      <c r="AYH23">
        <v>99.83</v>
      </c>
      <c r="AYI23">
        <v>99.81</v>
      </c>
      <c r="AYJ23">
        <v>99.81</v>
      </c>
      <c r="AYK23">
        <v>99.83</v>
      </c>
      <c r="AYL23">
        <v>99.84</v>
      </c>
      <c r="AYM23">
        <v>99.784999999999997</v>
      </c>
      <c r="AYN23">
        <v>99.77</v>
      </c>
      <c r="AYO23">
        <v>99.775000000000006</v>
      </c>
      <c r="AYP23">
        <v>99.76</v>
      </c>
      <c r="AYQ23">
        <v>99.765000000000001</v>
      </c>
      <c r="AYR23">
        <v>99.754999999999995</v>
      </c>
      <c r="AYS23">
        <v>99.74</v>
      </c>
      <c r="AYT23">
        <v>99.734999999999999</v>
      </c>
      <c r="AYU23">
        <v>99.745000000000005</v>
      </c>
      <c r="AYV23">
        <v>99.745000000000005</v>
      </c>
      <c r="AYW23">
        <v>99.74</v>
      </c>
      <c r="AYX23">
        <v>99.75</v>
      </c>
      <c r="AYY23">
        <v>99.73</v>
      </c>
      <c r="AYZ23">
        <v>99.72</v>
      </c>
      <c r="AZA23">
        <v>99.704999999999998</v>
      </c>
      <c r="AZB23">
        <v>99.694999999999993</v>
      </c>
      <c r="AZC23">
        <v>99.665000000000006</v>
      </c>
      <c r="AZD23">
        <v>99.65</v>
      </c>
      <c r="AZE23">
        <v>99.66</v>
      </c>
      <c r="AZF23">
        <v>99.66</v>
      </c>
      <c r="AZG23">
        <v>99.64</v>
      </c>
      <c r="AZH23">
        <v>99.625</v>
      </c>
      <c r="AZI23">
        <v>99.67</v>
      </c>
      <c r="AZJ23">
        <v>99.73</v>
      </c>
      <c r="AZK23">
        <v>99.724999999999994</v>
      </c>
      <c r="AZL23">
        <v>99.74</v>
      </c>
      <c r="AZM23">
        <v>99.715000000000003</v>
      </c>
      <c r="AZN23">
        <v>99.745000000000005</v>
      </c>
      <c r="AZO23">
        <v>99.7</v>
      </c>
      <c r="AZP23">
        <v>99.68</v>
      </c>
      <c r="AZQ23">
        <v>99.65</v>
      </c>
      <c r="AZR23">
        <v>99.644999999999996</v>
      </c>
      <c r="AZS23">
        <v>99.704999999999998</v>
      </c>
      <c r="AZT23">
        <v>99.625</v>
      </c>
      <c r="AZU23">
        <v>99.564999999999998</v>
      </c>
      <c r="AZV23">
        <v>99.46</v>
      </c>
      <c r="AZW23">
        <v>99.575000000000003</v>
      </c>
      <c r="AZX23">
        <v>99.625</v>
      </c>
      <c r="AZY23">
        <v>99.55</v>
      </c>
      <c r="AZZ23">
        <v>99.59</v>
      </c>
      <c r="BAA23">
        <v>99.52</v>
      </c>
      <c r="BAB23">
        <v>99.51</v>
      </c>
      <c r="BAC23">
        <v>99.63</v>
      </c>
      <c r="BAD23">
        <v>99.555000000000007</v>
      </c>
      <c r="BAE23">
        <v>99.47</v>
      </c>
      <c r="BAF23">
        <v>99.42</v>
      </c>
      <c r="BAG23">
        <v>99.36</v>
      </c>
      <c r="BAH23">
        <v>99.29</v>
      </c>
      <c r="BAI23">
        <v>99.29</v>
      </c>
      <c r="BAJ23">
        <v>99.09</v>
      </c>
      <c r="BAK23">
        <v>99.034999999999997</v>
      </c>
      <c r="BAL23">
        <v>99.045000000000002</v>
      </c>
      <c r="BAM23">
        <v>98.99</v>
      </c>
      <c r="BAN23">
        <v>98.88</v>
      </c>
      <c r="BAO23">
        <v>98.814999999999998</v>
      </c>
      <c r="BAP23">
        <v>98.77</v>
      </c>
      <c r="BAQ23">
        <v>98.795000000000002</v>
      </c>
      <c r="BAR23">
        <v>98.765000000000001</v>
      </c>
      <c r="BAS23">
        <v>98.765000000000001</v>
      </c>
      <c r="BAT23">
        <v>98.73</v>
      </c>
      <c r="BAU23">
        <v>98.73</v>
      </c>
      <c r="BAV23">
        <v>98.77</v>
      </c>
      <c r="BAW23">
        <v>98.8</v>
      </c>
      <c r="BAX23">
        <v>98.765000000000001</v>
      </c>
      <c r="BAY23">
        <v>98.71</v>
      </c>
      <c r="BAZ23">
        <v>98.73</v>
      </c>
      <c r="BBA23">
        <v>98.77</v>
      </c>
      <c r="BBB23">
        <v>98.855000000000004</v>
      </c>
      <c r="BBC23">
        <v>98.87</v>
      </c>
      <c r="BBD23">
        <v>98.814999999999998</v>
      </c>
      <c r="BBE23">
        <v>98.77</v>
      </c>
      <c r="BBF23">
        <v>98.72</v>
      </c>
      <c r="BBG23">
        <v>98.754999999999995</v>
      </c>
      <c r="BBH23">
        <v>98.67</v>
      </c>
      <c r="BBI23">
        <v>98.614999999999995</v>
      </c>
      <c r="BBJ23">
        <v>98.594999999999999</v>
      </c>
      <c r="BBK23">
        <v>98.58</v>
      </c>
      <c r="BBL23">
        <v>98.525000000000006</v>
      </c>
      <c r="BBM23">
        <v>98.525000000000006</v>
      </c>
      <c r="BBN23">
        <v>98.54</v>
      </c>
      <c r="BBO23">
        <v>98.55</v>
      </c>
      <c r="BBP23">
        <v>98.54</v>
      </c>
      <c r="BBQ23">
        <v>98.525000000000006</v>
      </c>
      <c r="BBR23">
        <v>98.53</v>
      </c>
      <c r="BBS23">
        <v>98.515000000000001</v>
      </c>
      <c r="BBT23">
        <v>98.51</v>
      </c>
      <c r="BBU23">
        <v>98.555000000000007</v>
      </c>
      <c r="BBV23">
        <v>98.564999999999998</v>
      </c>
      <c r="BBW23">
        <v>98.57</v>
      </c>
      <c r="BBX23">
        <v>98.48</v>
      </c>
      <c r="BBY23">
        <v>98.47</v>
      </c>
      <c r="BBZ23">
        <v>98.47</v>
      </c>
      <c r="BCA23">
        <v>98.474999999999994</v>
      </c>
      <c r="BCB23">
        <v>98.474999999999994</v>
      </c>
      <c r="BCC23">
        <v>98.435000000000002</v>
      </c>
      <c r="BCD23">
        <v>98.435000000000002</v>
      </c>
      <c r="BCE23">
        <v>98.435000000000002</v>
      </c>
      <c r="BCF23">
        <v>98.415000000000006</v>
      </c>
      <c r="BCG23">
        <v>98.454999999999998</v>
      </c>
      <c r="BCH23">
        <v>98.47</v>
      </c>
      <c r="BCI23">
        <v>98.45</v>
      </c>
      <c r="BCJ23">
        <v>98.48</v>
      </c>
      <c r="BCK23">
        <v>98.49</v>
      </c>
      <c r="BCL23">
        <v>98.564999999999998</v>
      </c>
      <c r="BCM23">
        <v>98.484999999999999</v>
      </c>
      <c r="BCN23">
        <v>98.57</v>
      </c>
      <c r="BCO23">
        <v>98.53</v>
      </c>
      <c r="BCP23">
        <v>98.545000000000002</v>
      </c>
      <c r="BCQ23">
        <v>98.555000000000007</v>
      </c>
      <c r="BCR23">
        <v>98.614999999999995</v>
      </c>
      <c r="BCS23">
        <v>98.63</v>
      </c>
      <c r="BCT23">
        <v>98.704999999999998</v>
      </c>
      <c r="BCU23">
        <v>98.584999999999994</v>
      </c>
      <c r="BCV23">
        <v>98.62</v>
      </c>
      <c r="BCW23">
        <v>98.61</v>
      </c>
      <c r="BCX23">
        <v>98.61</v>
      </c>
      <c r="BCY23">
        <v>98.65</v>
      </c>
      <c r="BCZ23">
        <v>98.64</v>
      </c>
      <c r="BDA23">
        <v>98.625</v>
      </c>
      <c r="BDB23">
        <v>98.644999999999996</v>
      </c>
      <c r="BDC23">
        <v>98.674999999999997</v>
      </c>
      <c r="BDD23">
        <v>98.64</v>
      </c>
      <c r="BDE23">
        <v>98.614999999999995</v>
      </c>
      <c r="BDF23">
        <v>98.59</v>
      </c>
      <c r="BDG23">
        <v>98.6</v>
      </c>
      <c r="BDH23">
        <v>98.55</v>
      </c>
      <c r="BDI23">
        <v>98.5</v>
      </c>
      <c r="BDJ23">
        <v>98.47</v>
      </c>
      <c r="BDK23">
        <v>98.48</v>
      </c>
      <c r="BDL23">
        <v>98.465000000000003</v>
      </c>
      <c r="BDM23">
        <v>98.575000000000003</v>
      </c>
      <c r="BDN23">
        <v>98.55</v>
      </c>
      <c r="BDO23">
        <v>98.61</v>
      </c>
      <c r="BDP23">
        <v>98.66</v>
      </c>
      <c r="BDQ23">
        <v>98.73</v>
      </c>
      <c r="BDR23">
        <v>98.605000000000004</v>
      </c>
      <c r="BDS23">
        <v>98.584999999999994</v>
      </c>
      <c r="BDT23">
        <v>98.59</v>
      </c>
      <c r="BDU23">
        <v>98.62</v>
      </c>
      <c r="BDV23">
        <v>98.665000000000006</v>
      </c>
      <c r="BDW23">
        <v>98.674999999999997</v>
      </c>
      <c r="BDX23">
        <v>98.655000000000001</v>
      </c>
      <c r="BDY23">
        <v>98.63</v>
      </c>
      <c r="BDZ23">
        <v>98.67</v>
      </c>
      <c r="BEA23">
        <v>98.644999999999996</v>
      </c>
      <c r="BEB23">
        <v>98.67</v>
      </c>
      <c r="BEC23">
        <v>98.63</v>
      </c>
      <c r="BED23">
        <v>98.685000000000002</v>
      </c>
      <c r="BEE23">
        <v>98.665000000000006</v>
      </c>
      <c r="BEF23">
        <v>98.795000000000002</v>
      </c>
      <c r="BEG23">
        <v>98.86</v>
      </c>
      <c r="BEH23">
        <v>98.915000000000006</v>
      </c>
      <c r="BEI23">
        <v>98.905000000000001</v>
      </c>
      <c r="BEJ23">
        <v>98.974999999999994</v>
      </c>
      <c r="BEK23">
        <v>98.984999999999999</v>
      </c>
      <c r="BEL23">
        <v>98.885000000000005</v>
      </c>
      <c r="BEM23">
        <v>98.81</v>
      </c>
      <c r="BEN23">
        <v>98.74</v>
      </c>
      <c r="BEO23">
        <v>98.75</v>
      </c>
      <c r="BEP23">
        <v>98.694999999999993</v>
      </c>
      <c r="BEQ23">
        <v>98.694999999999993</v>
      </c>
      <c r="BER23">
        <v>98.694999999999993</v>
      </c>
      <c r="BES23">
        <v>98.694999999999993</v>
      </c>
      <c r="BET23">
        <v>98.694999999999993</v>
      </c>
      <c r="BEU23">
        <v>98.694999999999993</v>
      </c>
      <c r="BEV23">
        <v>98.694999999999993</v>
      </c>
      <c r="BEW23">
        <v>98.694999999999993</v>
      </c>
      <c r="BEX23">
        <v>98.655000000000001</v>
      </c>
      <c r="BEY23">
        <v>98.594999999999999</v>
      </c>
      <c r="BEZ23">
        <v>98.474999999999994</v>
      </c>
      <c r="BFA23">
        <v>98.474999999999994</v>
      </c>
      <c r="BFB23">
        <v>98.474999999999994</v>
      </c>
      <c r="BFC23">
        <v>98.474999999999994</v>
      </c>
      <c r="BFD23">
        <v>98.474999999999994</v>
      </c>
      <c r="BFE23">
        <v>98.474999999999994</v>
      </c>
      <c r="BFF23">
        <v>98.474999999999994</v>
      </c>
      <c r="BFG23">
        <v>98.474999999999994</v>
      </c>
      <c r="BFH23">
        <v>98.474999999999994</v>
      </c>
      <c r="BFI23">
        <v>98.474999999999994</v>
      </c>
      <c r="BFJ23">
        <v>98.474999999999994</v>
      </c>
      <c r="BFK23">
        <v>98.474999999999994</v>
      </c>
      <c r="BFL23">
        <v>98.474999999999994</v>
      </c>
      <c r="BFM23">
        <v>98.474999999999994</v>
      </c>
      <c r="BFN23">
        <v>98.474999999999994</v>
      </c>
      <c r="BFO23">
        <v>98.474999999999994</v>
      </c>
      <c r="BFP23">
        <v>98.474999999999994</v>
      </c>
      <c r="BFQ23">
        <v>98.474999999999994</v>
      </c>
      <c r="BFR23">
        <v>98.474999999999994</v>
      </c>
      <c r="BFS23">
        <v>98.474999999999994</v>
      </c>
      <c r="BFT23">
        <v>98.474999999999994</v>
      </c>
      <c r="BFU23">
        <v>98.474999999999994</v>
      </c>
      <c r="BFV23">
        <v>98.474999999999994</v>
      </c>
      <c r="BFW23">
        <v>98.474999999999994</v>
      </c>
      <c r="BFX23">
        <v>98.474999999999994</v>
      </c>
      <c r="BFY23">
        <v>98.474999999999994</v>
      </c>
      <c r="BFZ23">
        <v>98.474999999999994</v>
      </c>
      <c r="BGA23">
        <v>98.474999999999994</v>
      </c>
      <c r="BGB23">
        <v>98.474999999999994</v>
      </c>
      <c r="BGC23">
        <v>98.474999999999994</v>
      </c>
      <c r="BGD23">
        <v>98.474999999999994</v>
      </c>
      <c r="BGE23">
        <v>98.474999999999994</v>
      </c>
      <c r="BGF23">
        <v>98.474999999999994</v>
      </c>
      <c r="BGG23">
        <v>98.474999999999994</v>
      </c>
      <c r="BGH23">
        <v>98.474999999999994</v>
      </c>
      <c r="BGI23">
        <v>98.474999999999994</v>
      </c>
      <c r="BGJ23">
        <v>98.474999999999994</v>
      </c>
      <c r="BGK23">
        <v>98.474999999999994</v>
      </c>
      <c r="BGL23">
        <v>98.474999999999994</v>
      </c>
      <c r="BGM23">
        <v>98.474999999999994</v>
      </c>
      <c r="BGN23">
        <v>98.474999999999994</v>
      </c>
      <c r="BGO23">
        <v>98.474999999999994</v>
      </c>
      <c r="BGP23">
        <v>98.474999999999994</v>
      </c>
      <c r="BGQ23">
        <v>98.474999999999994</v>
      </c>
      <c r="BGR23">
        <v>98.474999999999994</v>
      </c>
      <c r="BGS23">
        <v>98.474999999999994</v>
      </c>
      <c r="BGT23">
        <v>98.474999999999994</v>
      </c>
      <c r="BGU23">
        <v>98.474999999999994</v>
      </c>
      <c r="BGV23">
        <v>98.474999999999994</v>
      </c>
      <c r="BGW23">
        <v>98.474999999999994</v>
      </c>
      <c r="BGX23">
        <v>98.474999999999994</v>
      </c>
      <c r="BGY23">
        <v>98.474999999999994</v>
      </c>
      <c r="BGZ23">
        <v>98.474999999999994</v>
      </c>
      <c r="BHA23">
        <v>98.474999999999994</v>
      </c>
      <c r="BHB23">
        <v>98.474999999999994</v>
      </c>
      <c r="BHC23">
        <v>98.474999999999994</v>
      </c>
      <c r="BHD23">
        <v>98.474999999999994</v>
      </c>
      <c r="BHE23">
        <v>98.474999999999994</v>
      </c>
      <c r="BHF23">
        <v>98.474999999999994</v>
      </c>
      <c r="BHG23">
        <v>98.474999999999994</v>
      </c>
      <c r="BHH23">
        <v>98.474999999999994</v>
      </c>
      <c r="BHI23">
        <v>98.474999999999994</v>
      </c>
      <c r="BHJ23">
        <v>98.474999999999994</v>
      </c>
      <c r="BHK23">
        <v>98.474999999999994</v>
      </c>
      <c r="BHL23">
        <v>98.495000000000005</v>
      </c>
      <c r="BHM23">
        <v>97.805000000000007</v>
      </c>
      <c r="BHN23">
        <v>97.805000000000007</v>
      </c>
      <c r="BHO23">
        <v>97.805000000000007</v>
      </c>
      <c r="BHP23">
        <v>97.805000000000007</v>
      </c>
      <c r="BHQ23">
        <v>97.805000000000007</v>
      </c>
      <c r="BHR23">
        <v>97.805000000000007</v>
      </c>
      <c r="BHS23">
        <v>97.805000000000007</v>
      </c>
      <c r="BHT23">
        <v>97.805000000000007</v>
      </c>
      <c r="BHU23">
        <v>97.805000000000007</v>
      </c>
      <c r="BHV23">
        <v>97.805000000000007</v>
      </c>
      <c r="BHW23">
        <v>97.805000000000007</v>
      </c>
      <c r="BHX23">
        <v>97.805000000000007</v>
      </c>
      <c r="BHY23">
        <v>97.805000000000007</v>
      </c>
      <c r="BHZ23">
        <v>97.805000000000007</v>
      </c>
      <c r="BIA23">
        <v>97.805000000000007</v>
      </c>
      <c r="BIB23">
        <v>97.805000000000007</v>
      </c>
      <c r="BIC23">
        <v>97.805000000000007</v>
      </c>
      <c r="BID23">
        <v>97.805000000000007</v>
      </c>
      <c r="BIE23">
        <v>97.805000000000007</v>
      </c>
      <c r="BIF23">
        <v>97.805000000000007</v>
      </c>
      <c r="BIG23">
        <v>97.805000000000007</v>
      </c>
      <c r="BIH23">
        <v>97.805000000000007</v>
      </c>
      <c r="BII23">
        <v>97.805000000000007</v>
      </c>
      <c r="BIJ23">
        <v>97.805000000000007</v>
      </c>
      <c r="BIK23">
        <v>97.805000000000007</v>
      </c>
      <c r="BIL23">
        <v>97.805000000000007</v>
      </c>
      <c r="BIM23">
        <v>97.805000000000007</v>
      </c>
      <c r="BIN23">
        <v>97.805000000000007</v>
      </c>
      <c r="BIO23">
        <v>97.805000000000007</v>
      </c>
      <c r="BIP23">
        <v>97.805000000000007</v>
      </c>
      <c r="BIQ23">
        <v>97.805000000000007</v>
      </c>
      <c r="BIR23">
        <v>97.805000000000007</v>
      </c>
      <c r="BIS23">
        <v>97.805000000000007</v>
      </c>
      <c r="BIT23">
        <v>97.805000000000007</v>
      </c>
      <c r="BIU23">
        <v>97.805000000000007</v>
      </c>
      <c r="BIV23">
        <v>97.805000000000007</v>
      </c>
      <c r="BIW23">
        <v>97.805000000000007</v>
      </c>
      <c r="BIX23">
        <v>97.805000000000007</v>
      </c>
      <c r="BIY23">
        <v>97.805000000000007</v>
      </c>
      <c r="BIZ23">
        <v>97.805000000000007</v>
      </c>
      <c r="BJA23">
        <v>97.805000000000007</v>
      </c>
      <c r="BJB23">
        <v>97.805000000000007</v>
      </c>
      <c r="BJC23">
        <v>97.805000000000007</v>
      </c>
      <c r="BJD23">
        <v>97.805000000000007</v>
      </c>
      <c r="BJE23">
        <v>97.805000000000007</v>
      </c>
      <c r="BJF23">
        <v>97.805000000000007</v>
      </c>
      <c r="BJG23">
        <v>97.805000000000007</v>
      </c>
      <c r="BJH23">
        <v>97.805000000000007</v>
      </c>
      <c r="BJI23">
        <v>97.805000000000007</v>
      </c>
      <c r="BJJ23">
        <v>97.805000000000007</v>
      </c>
      <c r="BJK23">
        <v>97.805000000000007</v>
      </c>
      <c r="BJL23">
        <v>97.805000000000007</v>
      </c>
      <c r="BJM23">
        <v>97.805000000000007</v>
      </c>
      <c r="BJN23">
        <v>97.805000000000007</v>
      </c>
      <c r="BJO23">
        <v>97.805000000000007</v>
      </c>
      <c r="BJP23">
        <v>97.805000000000007</v>
      </c>
      <c r="BJQ23">
        <v>97.805000000000007</v>
      </c>
      <c r="BJR23">
        <v>97.805000000000007</v>
      </c>
      <c r="BJS23">
        <v>97.805000000000007</v>
      </c>
      <c r="BJT23">
        <v>97.805000000000007</v>
      </c>
      <c r="BJU23">
        <v>97.805000000000007</v>
      </c>
      <c r="BJV23">
        <v>97.805000000000007</v>
      </c>
      <c r="BJW23">
        <v>97.805000000000007</v>
      </c>
      <c r="BJX23">
        <v>97.82</v>
      </c>
      <c r="BJY23">
        <v>97.454999999999998</v>
      </c>
      <c r="BJZ23">
        <v>97.454999999999998</v>
      </c>
      <c r="BKA23">
        <v>97.454999999999998</v>
      </c>
      <c r="BKB23">
        <v>97.454999999999998</v>
      </c>
      <c r="BKC23">
        <v>97.454999999999998</v>
      </c>
      <c r="BKD23">
        <v>97.454999999999998</v>
      </c>
      <c r="BKE23">
        <v>97.454999999999998</v>
      </c>
      <c r="BKF23">
        <v>97.454999999999998</v>
      </c>
      <c r="BKG23">
        <v>97.454999999999998</v>
      </c>
      <c r="BKH23">
        <v>97.454999999999998</v>
      </c>
      <c r="BKI23">
        <v>97.454999999999998</v>
      </c>
      <c r="BKJ23">
        <v>97.454999999999998</v>
      </c>
      <c r="BKK23">
        <v>97.454999999999998</v>
      </c>
      <c r="BKL23">
        <v>97.454999999999998</v>
      </c>
      <c r="BKM23">
        <v>97.454999999999998</v>
      </c>
      <c r="BKN23">
        <v>97.454999999999998</v>
      </c>
      <c r="BKO23">
        <v>97.454999999999998</v>
      </c>
      <c r="BKP23">
        <v>97.454999999999998</v>
      </c>
      <c r="BKQ23">
        <v>97.454999999999998</v>
      </c>
      <c r="BKR23">
        <v>97.454999999999998</v>
      </c>
      <c r="BKS23">
        <v>97.454999999999998</v>
      </c>
      <c r="BKT23">
        <v>97.454999999999998</v>
      </c>
      <c r="BKU23">
        <v>97.454999999999998</v>
      </c>
      <c r="BKV23">
        <v>97.454999999999998</v>
      </c>
      <c r="BKW23">
        <v>97.454999999999998</v>
      </c>
      <c r="BKX23">
        <v>97.454999999999998</v>
      </c>
      <c r="BKY23">
        <v>97.454999999999998</v>
      </c>
      <c r="BKZ23">
        <v>97.454999999999998</v>
      </c>
      <c r="BLA23">
        <v>97.454999999999998</v>
      </c>
      <c r="BLB23">
        <v>97.454999999999998</v>
      </c>
      <c r="BLC23">
        <v>97.454999999999998</v>
      </c>
      <c r="BLD23">
        <v>97.454999999999998</v>
      </c>
      <c r="BLE23">
        <v>97.454999999999998</v>
      </c>
      <c r="BLF23">
        <v>97.454999999999998</v>
      </c>
      <c r="BLG23">
        <v>97.454999999999998</v>
      </c>
      <c r="BLH23">
        <v>97.454999999999998</v>
      </c>
      <c r="BLI23">
        <v>97.454999999999998</v>
      </c>
      <c r="BLJ23">
        <v>97.454999999999998</v>
      </c>
      <c r="BLK23">
        <v>97.454999999999998</v>
      </c>
      <c r="BLL23">
        <v>97.454999999999998</v>
      </c>
      <c r="BLM23">
        <v>97.454999999999998</v>
      </c>
      <c r="BLN23">
        <v>97.454999999999998</v>
      </c>
      <c r="BLO23">
        <v>97.454999999999998</v>
      </c>
      <c r="BLP23">
        <v>97.454999999999998</v>
      </c>
      <c r="BLQ23">
        <v>97.454999999999998</v>
      </c>
      <c r="BLR23">
        <v>97.454999999999998</v>
      </c>
      <c r="BLS23">
        <v>97.454999999999998</v>
      </c>
      <c r="BLT23">
        <v>97.454999999999998</v>
      </c>
      <c r="BLU23">
        <v>97.454999999999998</v>
      </c>
      <c r="BLV23">
        <v>97.454999999999998</v>
      </c>
      <c r="BLW23">
        <v>97.454999999999998</v>
      </c>
      <c r="BLX23">
        <v>97.454999999999998</v>
      </c>
      <c r="BLY23">
        <v>97.454999999999998</v>
      </c>
      <c r="BLZ23">
        <v>97.454999999999998</v>
      </c>
      <c r="BMA23">
        <v>97.454999999999998</v>
      </c>
      <c r="BMB23">
        <v>97.454999999999998</v>
      </c>
      <c r="BMC23">
        <v>97.454999999999998</v>
      </c>
      <c r="BMD23">
        <v>97.454999999999998</v>
      </c>
      <c r="BME23">
        <v>97.454999999999998</v>
      </c>
      <c r="BMF23">
        <v>97.454999999999998</v>
      </c>
      <c r="BMG23">
        <v>97.454999999999998</v>
      </c>
      <c r="BMH23">
        <v>97.454999999999998</v>
      </c>
      <c r="BMI23">
        <v>97.454999999999998</v>
      </c>
      <c r="BMJ23">
        <v>97.454999999999998</v>
      </c>
      <c r="BMK23">
        <v>97.405000000000001</v>
      </c>
      <c r="BML23">
        <v>97.37</v>
      </c>
      <c r="BMM23">
        <v>97.06</v>
      </c>
      <c r="BMN23">
        <v>97.06</v>
      </c>
      <c r="BMO23">
        <v>97.06</v>
      </c>
      <c r="BMP23">
        <v>97.06</v>
      </c>
      <c r="BMQ23">
        <v>97.06</v>
      </c>
      <c r="BMR23">
        <v>97.06</v>
      </c>
      <c r="BMS23">
        <v>97.06</v>
      </c>
      <c r="BMT23">
        <v>97.06</v>
      </c>
      <c r="BMU23">
        <v>97.06</v>
      </c>
      <c r="BMV23">
        <v>97.06</v>
      </c>
      <c r="BMW23">
        <v>97.06</v>
      </c>
      <c r="BMX23">
        <v>97.06</v>
      </c>
      <c r="BMY23">
        <v>97.06</v>
      </c>
      <c r="BMZ23">
        <v>97.06</v>
      </c>
      <c r="BNA23">
        <v>97.06</v>
      </c>
      <c r="BNB23">
        <v>97.06</v>
      </c>
      <c r="BNC23">
        <v>97.06</v>
      </c>
      <c r="BND23">
        <v>97.06</v>
      </c>
      <c r="BNE23">
        <v>97.06</v>
      </c>
      <c r="BNF23">
        <v>97.06</v>
      </c>
      <c r="BNG23">
        <v>97.06</v>
      </c>
      <c r="BNH23">
        <v>97.06</v>
      </c>
      <c r="BNI23">
        <v>97.06</v>
      </c>
      <c r="BNJ23">
        <v>97.06</v>
      </c>
      <c r="BNK23">
        <v>97.06</v>
      </c>
      <c r="BNL23">
        <v>97.06</v>
      </c>
      <c r="BNM23">
        <v>97.06</v>
      </c>
      <c r="BNN23">
        <v>97.06</v>
      </c>
      <c r="BNO23">
        <v>97.06</v>
      </c>
      <c r="BNP23">
        <v>97.06</v>
      </c>
      <c r="BNQ23">
        <v>97.06</v>
      </c>
      <c r="BNR23">
        <v>97.06</v>
      </c>
      <c r="BNS23">
        <v>97.06</v>
      </c>
      <c r="BNT23">
        <v>97.06</v>
      </c>
      <c r="BNU23">
        <v>97.06</v>
      </c>
      <c r="BNV23">
        <v>97.06</v>
      </c>
      <c r="BNW23">
        <v>97.06</v>
      </c>
      <c r="BNX23">
        <v>97.06</v>
      </c>
      <c r="BNY23">
        <v>97.06</v>
      </c>
      <c r="BNZ23">
        <v>97.06</v>
      </c>
      <c r="BOA23">
        <v>97.06</v>
      </c>
      <c r="BOB23">
        <v>97.06</v>
      </c>
      <c r="BOC23">
        <v>97.06</v>
      </c>
      <c r="BOD23">
        <v>97.06</v>
      </c>
      <c r="BOE23">
        <v>97.06</v>
      </c>
      <c r="BOF23">
        <v>97.06</v>
      </c>
      <c r="BOG23">
        <v>97.06</v>
      </c>
      <c r="BOH23">
        <v>97.06</v>
      </c>
      <c r="BOI23">
        <v>97.06</v>
      </c>
      <c r="BOJ23">
        <v>97.06</v>
      </c>
      <c r="BOK23">
        <v>97.06</v>
      </c>
      <c r="BOL23">
        <v>97.06</v>
      </c>
      <c r="BOM23">
        <v>97.06</v>
      </c>
      <c r="BON23">
        <v>97.06</v>
      </c>
      <c r="BOO23">
        <v>97.06</v>
      </c>
      <c r="BOP23">
        <v>97.06</v>
      </c>
      <c r="BOQ23">
        <v>97.06</v>
      </c>
      <c r="BOR23">
        <v>97.06</v>
      </c>
      <c r="BOS23">
        <v>97.06</v>
      </c>
      <c r="BOT23">
        <v>97.06</v>
      </c>
      <c r="BOU23">
        <v>97.06</v>
      </c>
      <c r="BOV23">
        <v>97.06</v>
      </c>
      <c r="BOW23">
        <v>97.06</v>
      </c>
      <c r="BOX23">
        <v>97.09</v>
      </c>
      <c r="BOY23">
        <v>97.09</v>
      </c>
      <c r="BOZ23" t="s">
        <v>6984</v>
      </c>
      <c r="BPA23" t="s">
        <v>6984</v>
      </c>
      <c r="BPB23" t="s">
        <v>6984</v>
      </c>
      <c r="BPC23" t="s">
        <v>6984</v>
      </c>
      <c r="BPD23" t="s">
        <v>6984</v>
      </c>
      <c r="BPE23" t="s">
        <v>6984</v>
      </c>
      <c r="BPF23" t="s">
        <v>6984</v>
      </c>
      <c r="BPG23" t="s">
        <v>6984</v>
      </c>
      <c r="BPH23" t="s">
        <v>6984</v>
      </c>
      <c r="BPI23" t="s">
        <v>6984</v>
      </c>
      <c r="BPJ23" t="s">
        <v>6984</v>
      </c>
      <c r="BPK23" t="s">
        <v>6984</v>
      </c>
      <c r="BPL23" t="s">
        <v>6984</v>
      </c>
      <c r="BPM23" t="s">
        <v>6984</v>
      </c>
      <c r="BPN23" t="s">
        <v>6984</v>
      </c>
      <c r="BPO23" t="s">
        <v>6984</v>
      </c>
      <c r="BPP23" t="s">
        <v>6984</v>
      </c>
      <c r="BPQ23" t="s">
        <v>6984</v>
      </c>
      <c r="BPR23" t="s">
        <v>6984</v>
      </c>
      <c r="BPS23" t="s">
        <v>6984</v>
      </c>
      <c r="BPT23" t="s">
        <v>6984</v>
      </c>
      <c r="BPU23" t="s">
        <v>6984</v>
      </c>
      <c r="BPV23" t="s">
        <v>6984</v>
      </c>
      <c r="BPW23" t="s">
        <v>6984</v>
      </c>
      <c r="BPX23" t="s">
        <v>6984</v>
      </c>
      <c r="BPY23" t="s">
        <v>6984</v>
      </c>
      <c r="BPZ23" t="s">
        <v>6984</v>
      </c>
      <c r="BQA23" t="s">
        <v>6984</v>
      </c>
      <c r="BQB23" t="s">
        <v>6984</v>
      </c>
      <c r="BQC23" t="s">
        <v>6984</v>
      </c>
      <c r="BQD23" t="s">
        <v>6984</v>
      </c>
      <c r="BQE23" t="s">
        <v>6984</v>
      </c>
      <c r="BQF23" t="s">
        <v>6984</v>
      </c>
      <c r="BQG23" t="s">
        <v>6984</v>
      </c>
      <c r="BQH23" t="s">
        <v>6984</v>
      </c>
      <c r="BQI23" t="s">
        <v>6984</v>
      </c>
      <c r="BQJ23" t="s">
        <v>6984</v>
      </c>
      <c r="BQK23" t="s">
        <v>6984</v>
      </c>
      <c r="BQL23" t="s">
        <v>6984</v>
      </c>
      <c r="BQM23" t="s">
        <v>6984</v>
      </c>
      <c r="BQN23" t="s">
        <v>6984</v>
      </c>
      <c r="BQO23" t="s">
        <v>6984</v>
      </c>
      <c r="BQP23" t="s">
        <v>6984</v>
      </c>
      <c r="BQQ23" t="s">
        <v>6984</v>
      </c>
      <c r="BQR23" t="s">
        <v>6984</v>
      </c>
      <c r="BQS23" t="s">
        <v>6984</v>
      </c>
      <c r="BQT23" t="s">
        <v>6984</v>
      </c>
      <c r="BQU23" t="s">
        <v>6984</v>
      </c>
      <c r="BQV23" t="s">
        <v>6984</v>
      </c>
      <c r="BQW23" t="s">
        <v>6984</v>
      </c>
      <c r="BQX23" t="s">
        <v>6984</v>
      </c>
      <c r="BQY23" t="s">
        <v>6984</v>
      </c>
      <c r="BQZ23" t="s">
        <v>6984</v>
      </c>
      <c r="BRA23" t="s">
        <v>6984</v>
      </c>
      <c r="BRB23" t="s">
        <v>6984</v>
      </c>
      <c r="BRC23" t="s">
        <v>6984</v>
      </c>
      <c r="BRD23" t="s">
        <v>6984</v>
      </c>
      <c r="BRE23" t="s">
        <v>6984</v>
      </c>
      <c r="BRF23" t="s">
        <v>6984</v>
      </c>
      <c r="BRG23" t="s">
        <v>6984</v>
      </c>
      <c r="BRH23" t="s">
        <v>6984</v>
      </c>
      <c r="BRI23" t="s">
        <v>6984</v>
      </c>
      <c r="BRJ23" t="s">
        <v>6984</v>
      </c>
      <c r="BRK23" t="s">
        <v>6984</v>
      </c>
      <c r="BRL23" t="s">
        <v>6984</v>
      </c>
      <c r="BRM23" t="s">
        <v>6984</v>
      </c>
      <c r="BRN23" t="s">
        <v>6984</v>
      </c>
      <c r="BRO23" t="s">
        <v>6984</v>
      </c>
      <c r="BRP23" t="s">
        <v>6984</v>
      </c>
      <c r="BRQ23" t="s">
        <v>6984</v>
      </c>
      <c r="BRR23" t="s">
        <v>6984</v>
      </c>
      <c r="BRS23" t="s">
        <v>6984</v>
      </c>
      <c r="BRT23" t="s">
        <v>6984</v>
      </c>
      <c r="BRU23" t="s">
        <v>6984</v>
      </c>
      <c r="BRV23" t="s">
        <v>6984</v>
      </c>
      <c r="BRW23" t="s">
        <v>6984</v>
      </c>
      <c r="BRX23" t="s">
        <v>6984</v>
      </c>
      <c r="BRY23" t="s">
        <v>6984</v>
      </c>
      <c r="BRZ23" t="s">
        <v>6984</v>
      </c>
      <c r="BSA23" t="s">
        <v>6984</v>
      </c>
      <c r="BSB23" t="s">
        <v>6984</v>
      </c>
      <c r="BSC23" t="s">
        <v>6984</v>
      </c>
      <c r="BSD23" t="s">
        <v>6984</v>
      </c>
      <c r="BSE23" t="s">
        <v>6984</v>
      </c>
      <c r="BSF23" t="s">
        <v>6984</v>
      </c>
      <c r="BSG23" t="s">
        <v>6984</v>
      </c>
      <c r="BSH23" t="s">
        <v>6984</v>
      </c>
      <c r="BSI23" t="s">
        <v>6984</v>
      </c>
      <c r="BSJ23" t="s">
        <v>6984</v>
      </c>
      <c r="BSK23" t="s">
        <v>6984</v>
      </c>
      <c r="BSL23" t="s">
        <v>6984</v>
      </c>
      <c r="BSM23" t="s">
        <v>6984</v>
      </c>
      <c r="BSN23" t="s">
        <v>6984</v>
      </c>
      <c r="BSO23" t="s">
        <v>6984</v>
      </c>
      <c r="BSP23" t="s">
        <v>6984</v>
      </c>
      <c r="BSQ23" t="s">
        <v>6984</v>
      </c>
      <c r="BSR23" t="s">
        <v>6984</v>
      </c>
      <c r="BSS23" t="s">
        <v>6984</v>
      </c>
      <c r="BST23" t="s">
        <v>6984</v>
      </c>
      <c r="BSU23" t="s">
        <v>6984</v>
      </c>
      <c r="BSV23" t="s">
        <v>6984</v>
      </c>
      <c r="BSW23" t="s">
        <v>6984</v>
      </c>
      <c r="BSX23" t="s">
        <v>6984</v>
      </c>
      <c r="BSY23" t="s">
        <v>6984</v>
      </c>
      <c r="BSZ23" t="s">
        <v>6984</v>
      </c>
      <c r="BTA23" t="s">
        <v>6984</v>
      </c>
      <c r="BTB23" t="s">
        <v>6984</v>
      </c>
      <c r="BTC23" t="s">
        <v>6984</v>
      </c>
      <c r="BTD23" t="s">
        <v>6984</v>
      </c>
      <c r="BTE23" t="s">
        <v>6984</v>
      </c>
      <c r="BTF23" t="s">
        <v>6984</v>
      </c>
      <c r="BTG23" t="s">
        <v>6984</v>
      </c>
      <c r="BTH23" t="s">
        <v>6984</v>
      </c>
      <c r="BTI23" t="s">
        <v>6984</v>
      </c>
      <c r="BTJ23" t="s">
        <v>6984</v>
      </c>
      <c r="BTK23" t="s">
        <v>6984</v>
      </c>
      <c r="BTL23" t="s">
        <v>6984</v>
      </c>
      <c r="BTM23" t="s">
        <v>6984</v>
      </c>
      <c r="BTN23" t="s">
        <v>6984</v>
      </c>
      <c r="BTO23" t="s">
        <v>6984</v>
      </c>
      <c r="BTP23" t="s">
        <v>6984</v>
      </c>
      <c r="BTQ23" t="s">
        <v>6984</v>
      </c>
      <c r="BTR23" t="s">
        <v>6984</v>
      </c>
      <c r="BTS23" t="s">
        <v>6984</v>
      </c>
      <c r="BTT23" t="s">
        <v>6984</v>
      </c>
      <c r="BTU23" t="s">
        <v>6984</v>
      </c>
      <c r="BTV23" t="s">
        <v>6984</v>
      </c>
      <c r="BTW23" t="s">
        <v>6984</v>
      </c>
      <c r="BTX23" t="s">
        <v>6984</v>
      </c>
      <c r="BTY23" t="s">
        <v>6984</v>
      </c>
      <c r="BTZ23" t="s">
        <v>6984</v>
      </c>
      <c r="BUA23" t="s">
        <v>6984</v>
      </c>
      <c r="BUB23" t="s">
        <v>6984</v>
      </c>
      <c r="BUC23" t="s">
        <v>6984</v>
      </c>
      <c r="BUD23" t="s">
        <v>6984</v>
      </c>
      <c r="BUE23" t="s">
        <v>6984</v>
      </c>
      <c r="BUF23" t="s">
        <v>6984</v>
      </c>
      <c r="BUG23" t="s">
        <v>6984</v>
      </c>
      <c r="BUH23" t="s">
        <v>6984</v>
      </c>
      <c r="BUI23" t="s">
        <v>6984</v>
      </c>
      <c r="BUJ23" t="s">
        <v>6984</v>
      </c>
      <c r="BUK23" t="s">
        <v>6984</v>
      </c>
      <c r="BUL23" t="s">
        <v>6984</v>
      </c>
      <c r="BUM23" t="s">
        <v>6984</v>
      </c>
      <c r="BUN23" t="s">
        <v>6984</v>
      </c>
      <c r="BUO23" t="s">
        <v>6984</v>
      </c>
      <c r="BUP23" t="s">
        <v>6984</v>
      </c>
      <c r="BUQ23" t="s">
        <v>6984</v>
      </c>
      <c r="BUR23" t="s">
        <v>6984</v>
      </c>
      <c r="BUS23" t="s">
        <v>6984</v>
      </c>
      <c r="BUT23" t="s">
        <v>6984</v>
      </c>
      <c r="BUU23" t="s">
        <v>6984</v>
      </c>
      <c r="BUV23" t="s">
        <v>6984</v>
      </c>
      <c r="BUW23" t="s">
        <v>6984</v>
      </c>
      <c r="BUX23" t="s">
        <v>6984</v>
      </c>
      <c r="BUY23" t="s">
        <v>6984</v>
      </c>
      <c r="BUZ23" t="s">
        <v>6984</v>
      </c>
      <c r="BVA23" t="s">
        <v>6984</v>
      </c>
      <c r="BVB23" t="s">
        <v>6984</v>
      </c>
      <c r="BVC23" t="s">
        <v>6984</v>
      </c>
      <c r="BVD23" t="s">
        <v>6984</v>
      </c>
      <c r="BVE23" t="s">
        <v>6984</v>
      </c>
      <c r="BVF23" t="s">
        <v>6984</v>
      </c>
      <c r="BVG23" t="s">
        <v>6984</v>
      </c>
      <c r="BVH23" t="s">
        <v>6984</v>
      </c>
      <c r="BVI23" t="s">
        <v>6984</v>
      </c>
      <c r="BVJ23" t="s">
        <v>6984</v>
      </c>
      <c r="BVK23" t="s">
        <v>6984</v>
      </c>
      <c r="BVL23" t="s">
        <v>6984</v>
      </c>
      <c r="BVM23" t="s">
        <v>6984</v>
      </c>
      <c r="BVN23" t="s">
        <v>6984</v>
      </c>
      <c r="BVO23" t="s">
        <v>6984</v>
      </c>
      <c r="BVP23" t="s">
        <v>6984</v>
      </c>
      <c r="BVQ23" t="s">
        <v>6984</v>
      </c>
      <c r="BVR23" t="s">
        <v>6984</v>
      </c>
      <c r="BVS23" t="s">
        <v>6984</v>
      </c>
      <c r="BVT23" t="s">
        <v>6984</v>
      </c>
      <c r="BVU23" t="s">
        <v>6984</v>
      </c>
      <c r="BVV23" t="s">
        <v>6984</v>
      </c>
      <c r="BVW23" t="s">
        <v>6984</v>
      </c>
      <c r="BVX23" t="s">
        <v>6984</v>
      </c>
      <c r="BVY23" t="s">
        <v>6984</v>
      </c>
      <c r="BVZ23" t="s">
        <v>6984</v>
      </c>
      <c r="BWA23" t="s">
        <v>6984</v>
      </c>
      <c r="BWB23" t="s">
        <v>6984</v>
      </c>
      <c r="BWC23" t="s">
        <v>6984</v>
      </c>
      <c r="BWD23" t="s">
        <v>6984</v>
      </c>
      <c r="BWE23" t="s">
        <v>6984</v>
      </c>
      <c r="BWF23" t="s">
        <v>6984</v>
      </c>
      <c r="BWG23" t="s">
        <v>6984</v>
      </c>
      <c r="BWH23" t="s">
        <v>6984</v>
      </c>
      <c r="BWI23" t="s">
        <v>6984</v>
      </c>
      <c r="BWJ23" t="s">
        <v>6984</v>
      </c>
      <c r="BWK23" t="s">
        <v>6984</v>
      </c>
      <c r="BWL23" t="s">
        <v>6984</v>
      </c>
      <c r="BWM23" t="s">
        <v>6984</v>
      </c>
      <c r="BWN23" t="s">
        <v>6984</v>
      </c>
      <c r="BWO23" t="s">
        <v>6984</v>
      </c>
      <c r="BWP23" t="s">
        <v>6984</v>
      </c>
      <c r="BWQ23" t="s">
        <v>6984</v>
      </c>
      <c r="BWR23" t="s">
        <v>6984</v>
      </c>
      <c r="BWS23" t="s">
        <v>6984</v>
      </c>
      <c r="BWT23" t="s">
        <v>6984</v>
      </c>
      <c r="BWU23" t="s">
        <v>6984</v>
      </c>
      <c r="BWV23" t="s">
        <v>6984</v>
      </c>
      <c r="BWW23" t="s">
        <v>6984</v>
      </c>
      <c r="BWX23" t="s">
        <v>6984</v>
      </c>
      <c r="BWY23" t="s">
        <v>6984</v>
      </c>
      <c r="BWZ23" t="s">
        <v>6984</v>
      </c>
      <c r="BXA23" t="s">
        <v>6984</v>
      </c>
      <c r="BXB23" t="s">
        <v>6984</v>
      </c>
      <c r="BXC23" t="s">
        <v>6984</v>
      </c>
      <c r="BXD23" t="s">
        <v>6984</v>
      </c>
      <c r="BXE23" t="s">
        <v>6984</v>
      </c>
      <c r="BXF23" t="s">
        <v>6984</v>
      </c>
      <c r="BXG23" t="s">
        <v>6984</v>
      </c>
      <c r="BXH23" t="s">
        <v>6984</v>
      </c>
      <c r="BXI23" t="s">
        <v>6984</v>
      </c>
      <c r="BXJ23" t="s">
        <v>6984</v>
      </c>
      <c r="BXK23" t="s">
        <v>6984</v>
      </c>
      <c r="BXL23" t="s">
        <v>6984</v>
      </c>
      <c r="BXM23" t="s">
        <v>6984</v>
      </c>
      <c r="BXN23" t="s">
        <v>6984</v>
      </c>
      <c r="BXO23" t="s">
        <v>6984</v>
      </c>
      <c r="BXP23" t="s">
        <v>6984</v>
      </c>
      <c r="BXQ23" t="s">
        <v>6984</v>
      </c>
      <c r="BXR23" t="s">
        <v>6984</v>
      </c>
      <c r="BXS23" t="s">
        <v>6984</v>
      </c>
      <c r="BXT23" t="s">
        <v>6984</v>
      </c>
      <c r="BXU23" t="s">
        <v>6984</v>
      </c>
      <c r="BXV23" t="s">
        <v>6984</v>
      </c>
      <c r="BXW23" t="s">
        <v>6984</v>
      </c>
      <c r="BXX23" t="s">
        <v>6984</v>
      </c>
      <c r="BXY23" t="s">
        <v>6984</v>
      </c>
      <c r="BXZ23" t="s">
        <v>6984</v>
      </c>
      <c r="BYA23" t="s">
        <v>6984</v>
      </c>
      <c r="BYB23" t="s">
        <v>6984</v>
      </c>
      <c r="BYC23" t="s">
        <v>6984</v>
      </c>
      <c r="BYD23" t="s">
        <v>6984</v>
      </c>
      <c r="BYE23" t="s">
        <v>6984</v>
      </c>
      <c r="BYF23" t="s">
        <v>6984</v>
      </c>
      <c r="BYG23" t="s">
        <v>6984</v>
      </c>
      <c r="BYH23" t="s">
        <v>6984</v>
      </c>
      <c r="BYI23" t="s">
        <v>6984</v>
      </c>
      <c r="BYJ23" t="s">
        <v>6984</v>
      </c>
      <c r="BYK23" t="s">
        <v>6984</v>
      </c>
      <c r="BYL23" t="s">
        <v>6984</v>
      </c>
      <c r="BYM23" t="s">
        <v>6984</v>
      </c>
      <c r="BYN23" t="s">
        <v>6984</v>
      </c>
      <c r="BYO23" t="s">
        <v>6984</v>
      </c>
      <c r="BYP23" t="s">
        <v>6984</v>
      </c>
      <c r="BYQ23" t="s">
        <v>6984</v>
      </c>
      <c r="BYR23" t="s">
        <v>6984</v>
      </c>
      <c r="BYS23" t="s">
        <v>6984</v>
      </c>
      <c r="BYT23" t="s">
        <v>6984</v>
      </c>
      <c r="BYU23" t="s">
        <v>6984</v>
      </c>
      <c r="BYV23" t="s">
        <v>6984</v>
      </c>
      <c r="BYW23" t="s">
        <v>6984</v>
      </c>
      <c r="BYX23" t="s">
        <v>6984</v>
      </c>
      <c r="BYY23" t="s">
        <v>6984</v>
      </c>
      <c r="BYZ23" t="s">
        <v>6984</v>
      </c>
      <c r="BZA23" t="s">
        <v>6984</v>
      </c>
      <c r="BZB23" t="s">
        <v>6984</v>
      </c>
      <c r="BZC23" t="s">
        <v>6984</v>
      </c>
      <c r="BZD23" t="s">
        <v>6984</v>
      </c>
      <c r="BZE23" t="s">
        <v>6984</v>
      </c>
      <c r="BZF23" t="s">
        <v>6984</v>
      </c>
      <c r="BZG23" t="s">
        <v>6984</v>
      </c>
      <c r="BZH23" t="s">
        <v>6984</v>
      </c>
      <c r="BZI23" t="s">
        <v>6984</v>
      </c>
      <c r="BZJ23" t="s">
        <v>6984</v>
      </c>
      <c r="BZK23" t="s">
        <v>6984</v>
      </c>
      <c r="BZL23" t="s">
        <v>6984</v>
      </c>
      <c r="BZM23" t="s">
        <v>6984</v>
      </c>
      <c r="BZN23" t="s">
        <v>6984</v>
      </c>
      <c r="BZO23" t="s">
        <v>6984</v>
      </c>
      <c r="BZP23" t="s">
        <v>6984</v>
      </c>
      <c r="BZQ23" t="s">
        <v>6984</v>
      </c>
      <c r="BZR23" t="s">
        <v>6984</v>
      </c>
      <c r="BZS23" t="s">
        <v>6984</v>
      </c>
      <c r="BZT23" t="s">
        <v>6984</v>
      </c>
      <c r="BZU23" t="s">
        <v>6984</v>
      </c>
      <c r="BZV23" t="s">
        <v>6984</v>
      </c>
      <c r="BZW23" t="s">
        <v>6984</v>
      </c>
      <c r="BZX23" t="s">
        <v>6984</v>
      </c>
      <c r="BZY23" t="s">
        <v>6984</v>
      </c>
      <c r="BZZ23" t="s">
        <v>6984</v>
      </c>
      <c r="CAA23" t="s">
        <v>6984</v>
      </c>
      <c r="CAB23" t="s">
        <v>6984</v>
      </c>
      <c r="CAC23" t="s">
        <v>6984</v>
      </c>
      <c r="CAD23" t="s">
        <v>6984</v>
      </c>
      <c r="CAE23" t="s">
        <v>6984</v>
      </c>
      <c r="CAF23" t="s">
        <v>6984</v>
      </c>
      <c r="CAG23" t="s">
        <v>6984</v>
      </c>
      <c r="CAH23" t="s">
        <v>6984</v>
      </c>
      <c r="CAI23" t="s">
        <v>6984</v>
      </c>
      <c r="CAJ23" t="s">
        <v>6984</v>
      </c>
      <c r="CAK23" t="s">
        <v>6984</v>
      </c>
      <c r="CAL23" t="s">
        <v>6984</v>
      </c>
      <c r="CAM23" t="s">
        <v>6984</v>
      </c>
      <c r="CAN23" t="s">
        <v>6984</v>
      </c>
      <c r="CAO23" t="s">
        <v>6984</v>
      </c>
      <c r="CAP23" t="s">
        <v>6984</v>
      </c>
      <c r="CAQ23" t="s">
        <v>6984</v>
      </c>
      <c r="CAR23" t="s">
        <v>6984</v>
      </c>
      <c r="CAS23" t="s">
        <v>6984</v>
      </c>
      <c r="CAT23" t="s">
        <v>6984</v>
      </c>
      <c r="CAU23" t="s">
        <v>6984</v>
      </c>
      <c r="CAV23" t="s">
        <v>6984</v>
      </c>
      <c r="CAW23" t="s">
        <v>6984</v>
      </c>
      <c r="CAX23" t="s">
        <v>6984</v>
      </c>
      <c r="CAY23" t="s">
        <v>6984</v>
      </c>
      <c r="CAZ23" t="s">
        <v>6984</v>
      </c>
      <c r="CBA23" t="s">
        <v>6984</v>
      </c>
      <c r="CBB23" t="s">
        <v>6984</v>
      </c>
      <c r="CBC23" t="s">
        <v>6984</v>
      </c>
      <c r="CBD23" t="s">
        <v>6984</v>
      </c>
      <c r="CBE23" t="s">
        <v>6984</v>
      </c>
      <c r="CBF23" t="s">
        <v>6984</v>
      </c>
      <c r="CBG23" t="s">
        <v>6984</v>
      </c>
      <c r="CBH23" t="s">
        <v>6984</v>
      </c>
      <c r="CBI23" t="s">
        <v>6984</v>
      </c>
      <c r="CBJ23" t="s">
        <v>6984</v>
      </c>
      <c r="CBK23" t="s">
        <v>6984</v>
      </c>
      <c r="CBL23" t="s">
        <v>6984</v>
      </c>
      <c r="CBM23" t="s">
        <v>6984</v>
      </c>
      <c r="CBN23" t="s">
        <v>6984</v>
      </c>
      <c r="CBO23" t="s">
        <v>6984</v>
      </c>
      <c r="CBP23" t="s">
        <v>6984</v>
      </c>
      <c r="CBQ23" t="s">
        <v>6984</v>
      </c>
      <c r="CBR23" t="s">
        <v>6984</v>
      </c>
      <c r="CBS23" t="s">
        <v>6984</v>
      </c>
      <c r="CBT23" t="s">
        <v>6984</v>
      </c>
      <c r="CBU23" t="s">
        <v>6984</v>
      </c>
      <c r="CBV23" t="s">
        <v>6984</v>
      </c>
      <c r="CBW23" t="s">
        <v>6984</v>
      </c>
      <c r="CBX23" t="s">
        <v>6984</v>
      </c>
      <c r="CBY23" t="s">
        <v>6984</v>
      </c>
      <c r="CBZ23" t="s">
        <v>6984</v>
      </c>
      <c r="CCA23" t="s">
        <v>6984</v>
      </c>
      <c r="CCB23" t="s">
        <v>6984</v>
      </c>
      <c r="CCC23" t="s">
        <v>6984</v>
      </c>
      <c r="CCD23" t="s">
        <v>6984</v>
      </c>
      <c r="CCE23" t="s">
        <v>6984</v>
      </c>
      <c r="CCF23" t="s">
        <v>6984</v>
      </c>
      <c r="CCG23" t="s">
        <v>6984</v>
      </c>
      <c r="CCH23" t="s">
        <v>6984</v>
      </c>
      <c r="CCI23" t="s">
        <v>6984</v>
      </c>
      <c r="CCJ23" t="s">
        <v>6984</v>
      </c>
      <c r="CCK23" t="s">
        <v>6984</v>
      </c>
      <c r="CCL23" t="s">
        <v>6984</v>
      </c>
      <c r="CCM23" t="s">
        <v>6984</v>
      </c>
      <c r="CCN23" t="s">
        <v>6984</v>
      </c>
      <c r="CCO23" t="s">
        <v>6984</v>
      </c>
      <c r="CCP23" t="s">
        <v>6984</v>
      </c>
      <c r="CCQ23" t="s">
        <v>6984</v>
      </c>
      <c r="CCR23" t="s">
        <v>6984</v>
      </c>
      <c r="CCS23" t="s">
        <v>6984</v>
      </c>
      <c r="CCT23" t="s">
        <v>6984</v>
      </c>
      <c r="CCU23" t="s">
        <v>6984</v>
      </c>
      <c r="CCV23" t="s">
        <v>6984</v>
      </c>
      <c r="CCW23" t="s">
        <v>6984</v>
      </c>
      <c r="CCX23" t="s">
        <v>6984</v>
      </c>
      <c r="CCY23" t="s">
        <v>6984</v>
      </c>
      <c r="CCZ23" t="s">
        <v>6984</v>
      </c>
      <c r="CDA23" t="s">
        <v>6984</v>
      </c>
      <c r="CDB23" t="s">
        <v>6984</v>
      </c>
      <c r="CDC23" t="s">
        <v>6984</v>
      </c>
      <c r="CDD23" t="s">
        <v>6984</v>
      </c>
      <c r="CDE23" t="s">
        <v>6984</v>
      </c>
      <c r="CDF23" t="s">
        <v>6984</v>
      </c>
      <c r="CDG23" t="s">
        <v>6984</v>
      </c>
      <c r="CDH23" t="s">
        <v>6984</v>
      </c>
      <c r="CDI23" t="s">
        <v>6984</v>
      </c>
      <c r="CDJ23" t="s">
        <v>6984</v>
      </c>
      <c r="CDK23" t="s">
        <v>6984</v>
      </c>
      <c r="CDL23" t="s">
        <v>6984</v>
      </c>
      <c r="CDM23" t="s">
        <v>6984</v>
      </c>
      <c r="CDN23" t="s">
        <v>6984</v>
      </c>
      <c r="CDO23" t="s">
        <v>6984</v>
      </c>
      <c r="CDP23" t="s">
        <v>6984</v>
      </c>
      <c r="CDQ23" t="s">
        <v>6984</v>
      </c>
      <c r="CDR23" t="s">
        <v>6984</v>
      </c>
      <c r="CDS23" t="s">
        <v>6984</v>
      </c>
      <c r="CDT23" t="s">
        <v>6984</v>
      </c>
      <c r="CDU23" t="s">
        <v>6984</v>
      </c>
      <c r="CDV23" t="s">
        <v>6984</v>
      </c>
      <c r="CDW23" t="s">
        <v>6984</v>
      </c>
      <c r="CDX23" t="s">
        <v>6984</v>
      </c>
      <c r="CDY23" t="s">
        <v>6984</v>
      </c>
      <c r="CDZ23" t="s">
        <v>6984</v>
      </c>
      <c r="CEA23" t="s">
        <v>6984</v>
      </c>
      <c r="CEB23" t="s">
        <v>6984</v>
      </c>
      <c r="CEC23" t="s">
        <v>6984</v>
      </c>
      <c r="CED23" t="s">
        <v>6984</v>
      </c>
      <c r="CEE23" t="s">
        <v>6984</v>
      </c>
      <c r="CEF23" t="s">
        <v>6984</v>
      </c>
      <c r="CEG23" t="s">
        <v>6984</v>
      </c>
      <c r="CEH23" t="s">
        <v>6984</v>
      </c>
      <c r="CEI23" t="s">
        <v>6984</v>
      </c>
      <c r="CEJ23" t="s">
        <v>6984</v>
      </c>
      <c r="CEK23" t="s">
        <v>6984</v>
      </c>
      <c r="CEL23" t="s">
        <v>6984</v>
      </c>
      <c r="CEM23" t="s">
        <v>6984</v>
      </c>
      <c r="CEN23" t="s">
        <v>6984</v>
      </c>
      <c r="CEO23" t="s">
        <v>6984</v>
      </c>
      <c r="CEP23" t="s">
        <v>6984</v>
      </c>
      <c r="CEQ23" t="s">
        <v>6984</v>
      </c>
      <c r="CER23" t="s">
        <v>6984</v>
      </c>
      <c r="CES23" t="s">
        <v>6984</v>
      </c>
      <c r="CET23" t="s">
        <v>6984</v>
      </c>
      <c r="CEU23" t="s">
        <v>6984</v>
      </c>
      <c r="CEV23" t="s">
        <v>6984</v>
      </c>
      <c r="CEW23" t="s">
        <v>6984</v>
      </c>
      <c r="CEX23" t="s">
        <v>6984</v>
      </c>
      <c r="CEY23" t="s">
        <v>6984</v>
      </c>
      <c r="CEZ23" t="s">
        <v>6984</v>
      </c>
      <c r="CFA23" t="s">
        <v>6984</v>
      </c>
      <c r="CFB23" t="s">
        <v>6984</v>
      </c>
      <c r="CFC23" t="s">
        <v>6984</v>
      </c>
      <c r="CFD23" t="s">
        <v>6984</v>
      </c>
      <c r="CFE23" t="s">
        <v>6984</v>
      </c>
      <c r="CFF23" t="s">
        <v>6984</v>
      </c>
      <c r="CFG23" t="s">
        <v>6984</v>
      </c>
      <c r="CFH23" t="s">
        <v>6984</v>
      </c>
      <c r="CFI23" t="s">
        <v>6984</v>
      </c>
      <c r="CFJ23" t="s">
        <v>6984</v>
      </c>
      <c r="CFK23" t="s">
        <v>6984</v>
      </c>
      <c r="CFL23" t="s">
        <v>6984</v>
      </c>
      <c r="CFM23" t="s">
        <v>6984</v>
      </c>
      <c r="CFN23" t="s">
        <v>6984</v>
      </c>
      <c r="CFO23" t="s">
        <v>6984</v>
      </c>
      <c r="CFP23" t="s">
        <v>6984</v>
      </c>
      <c r="CFQ23" t="s">
        <v>6984</v>
      </c>
      <c r="CFR23" t="s">
        <v>6984</v>
      </c>
      <c r="CFS23" t="s">
        <v>6984</v>
      </c>
      <c r="CFT23" t="s">
        <v>6984</v>
      </c>
      <c r="CFU23" t="s">
        <v>6984</v>
      </c>
      <c r="CFV23" t="s">
        <v>6984</v>
      </c>
      <c r="CFW23" t="s">
        <v>6984</v>
      </c>
      <c r="CFX23" t="s">
        <v>6984</v>
      </c>
      <c r="CFY23" t="s">
        <v>6984</v>
      </c>
      <c r="CFZ23" t="s">
        <v>6984</v>
      </c>
      <c r="CGA23" t="s">
        <v>6984</v>
      </c>
      <c r="CGB23" t="s">
        <v>6984</v>
      </c>
      <c r="CGC23" t="s">
        <v>6984</v>
      </c>
      <c r="CGD23" t="s">
        <v>6984</v>
      </c>
      <c r="CGE23" t="s">
        <v>6984</v>
      </c>
      <c r="CGF23" t="s">
        <v>6984</v>
      </c>
      <c r="CGG23" t="s">
        <v>6984</v>
      </c>
      <c r="CGH23" t="s">
        <v>6984</v>
      </c>
      <c r="CGI23" t="s">
        <v>6984</v>
      </c>
      <c r="CGJ23" t="s">
        <v>6984</v>
      </c>
      <c r="CGK23" t="s">
        <v>6984</v>
      </c>
      <c r="CGL23" t="s">
        <v>6984</v>
      </c>
      <c r="CGM23" t="s">
        <v>6984</v>
      </c>
      <c r="CGN23" t="s">
        <v>6984</v>
      </c>
      <c r="CGO23" t="s">
        <v>6984</v>
      </c>
      <c r="CGP23" t="s">
        <v>6984</v>
      </c>
      <c r="CGQ23" t="s">
        <v>6984</v>
      </c>
      <c r="CGR23" t="s">
        <v>6984</v>
      </c>
      <c r="CGS23" t="s">
        <v>6984</v>
      </c>
      <c r="CGT23" t="s">
        <v>6984</v>
      </c>
      <c r="CGU23" t="s">
        <v>6984</v>
      </c>
      <c r="CGV23" t="s">
        <v>6984</v>
      </c>
      <c r="CGW23" t="s">
        <v>6984</v>
      </c>
      <c r="CGX23" t="s">
        <v>6984</v>
      </c>
      <c r="CGY23" t="s">
        <v>6984</v>
      </c>
      <c r="CGZ23" t="s">
        <v>6984</v>
      </c>
      <c r="CHA23" t="s">
        <v>6984</v>
      </c>
      <c r="CHB23" t="s">
        <v>6984</v>
      </c>
      <c r="CHC23" t="s">
        <v>6984</v>
      </c>
      <c r="CHD23" t="s">
        <v>6984</v>
      </c>
      <c r="CHE23" t="s">
        <v>6984</v>
      </c>
      <c r="CHF23" t="s">
        <v>6984</v>
      </c>
      <c r="CHG23" t="s">
        <v>6984</v>
      </c>
      <c r="CHH23" t="s">
        <v>6984</v>
      </c>
      <c r="CHI23" t="s">
        <v>6984</v>
      </c>
      <c r="CHJ23" t="s">
        <v>6984</v>
      </c>
      <c r="CHK23" t="s">
        <v>6984</v>
      </c>
      <c r="CHL23" t="s">
        <v>6984</v>
      </c>
      <c r="CHM23" t="s">
        <v>6984</v>
      </c>
      <c r="CHN23" t="s">
        <v>6984</v>
      </c>
      <c r="CHO23" t="s">
        <v>6984</v>
      </c>
      <c r="CHP23" t="s">
        <v>6984</v>
      </c>
      <c r="CHQ23" t="s">
        <v>6984</v>
      </c>
      <c r="CHR23" t="s">
        <v>6984</v>
      </c>
      <c r="CHS23" t="s">
        <v>6984</v>
      </c>
      <c r="CHT23" t="s">
        <v>6984</v>
      </c>
      <c r="CHU23" t="s">
        <v>6984</v>
      </c>
      <c r="CHV23" t="s">
        <v>6984</v>
      </c>
      <c r="CHW23" t="s">
        <v>6984</v>
      </c>
      <c r="CHX23" t="s">
        <v>6984</v>
      </c>
      <c r="CHY23" t="s">
        <v>6984</v>
      </c>
      <c r="CHZ23" t="s">
        <v>6984</v>
      </c>
      <c r="CIA23" t="s">
        <v>6984</v>
      </c>
      <c r="CIB23" t="s">
        <v>6984</v>
      </c>
      <c r="CIC23" t="s">
        <v>6984</v>
      </c>
      <c r="CID23" t="s">
        <v>6984</v>
      </c>
      <c r="CIE23" t="s">
        <v>6984</v>
      </c>
      <c r="CIF23" t="s">
        <v>6984</v>
      </c>
      <c r="CIG23" t="s">
        <v>6984</v>
      </c>
      <c r="CIH23" t="s">
        <v>6984</v>
      </c>
      <c r="CII23" t="s">
        <v>6984</v>
      </c>
      <c r="CIJ23" t="s">
        <v>6984</v>
      </c>
      <c r="CIK23" t="s">
        <v>6984</v>
      </c>
      <c r="CIL23" t="s">
        <v>6984</v>
      </c>
      <c r="CIM23" t="s">
        <v>6984</v>
      </c>
      <c r="CIN23" t="s">
        <v>6984</v>
      </c>
      <c r="CIO23" t="s">
        <v>6984</v>
      </c>
      <c r="CIP23" t="s">
        <v>6984</v>
      </c>
      <c r="CIQ23" t="s">
        <v>6984</v>
      </c>
      <c r="CIR23" t="s">
        <v>6984</v>
      </c>
      <c r="CIS23" t="s">
        <v>6984</v>
      </c>
      <c r="CIT23" t="s">
        <v>6984</v>
      </c>
      <c r="CIU23" t="s">
        <v>6984</v>
      </c>
      <c r="CIV23" t="s">
        <v>6984</v>
      </c>
      <c r="CIW23" t="s">
        <v>6984</v>
      </c>
      <c r="CIX23" t="s">
        <v>6984</v>
      </c>
      <c r="CIY23" t="s">
        <v>6984</v>
      </c>
      <c r="CIZ23" t="s">
        <v>6984</v>
      </c>
      <c r="CJA23" t="s">
        <v>6984</v>
      </c>
      <c r="CJB23" t="s">
        <v>6984</v>
      </c>
      <c r="CJC23" t="s">
        <v>6984</v>
      </c>
      <c r="CJD23" t="s">
        <v>6984</v>
      </c>
      <c r="CJE23" t="s">
        <v>6984</v>
      </c>
      <c r="CJF23" t="s">
        <v>6984</v>
      </c>
      <c r="CJG23" t="s">
        <v>6984</v>
      </c>
      <c r="CJH23" t="s">
        <v>6984</v>
      </c>
      <c r="CJI23" t="s">
        <v>6984</v>
      </c>
      <c r="CJJ23" t="s">
        <v>6984</v>
      </c>
      <c r="CJK23" t="s">
        <v>6984</v>
      </c>
      <c r="CJL23" t="s">
        <v>6984</v>
      </c>
      <c r="CJM23" t="s">
        <v>6984</v>
      </c>
      <c r="CJN23" t="s">
        <v>6984</v>
      </c>
      <c r="CJO23" t="s">
        <v>6984</v>
      </c>
      <c r="CJP23" t="s">
        <v>6984</v>
      </c>
      <c r="CJQ23" t="s">
        <v>6984</v>
      </c>
      <c r="CJR23" t="s">
        <v>6984</v>
      </c>
      <c r="CJS23" t="s">
        <v>6984</v>
      </c>
      <c r="CJT23" t="s">
        <v>6984</v>
      </c>
      <c r="CJU23" t="s">
        <v>6984</v>
      </c>
      <c r="CJV23" t="s">
        <v>6984</v>
      </c>
      <c r="CJW23" t="s">
        <v>6984</v>
      </c>
      <c r="CJX23" t="s">
        <v>6984</v>
      </c>
      <c r="CJY23" t="s">
        <v>6984</v>
      </c>
      <c r="CJZ23" t="s">
        <v>6984</v>
      </c>
      <c r="CKA23" t="s">
        <v>6984</v>
      </c>
      <c r="CKB23" t="s">
        <v>6984</v>
      </c>
      <c r="CKC23" t="s">
        <v>6984</v>
      </c>
      <c r="CKD23" t="s">
        <v>6984</v>
      </c>
      <c r="CKE23" t="s">
        <v>6984</v>
      </c>
      <c r="CKF23" t="s">
        <v>6984</v>
      </c>
      <c r="CKG23" t="s">
        <v>6984</v>
      </c>
      <c r="CKH23" t="s">
        <v>6984</v>
      </c>
      <c r="CKI23" t="s">
        <v>6984</v>
      </c>
      <c r="CKJ23" t="s">
        <v>6984</v>
      </c>
      <c r="CKK23" t="s">
        <v>6984</v>
      </c>
      <c r="CKL23" t="s">
        <v>6984</v>
      </c>
      <c r="CKM23" t="s">
        <v>6984</v>
      </c>
      <c r="CKN23" t="s">
        <v>6984</v>
      </c>
      <c r="CKO23" t="s">
        <v>6984</v>
      </c>
      <c r="CKP23" t="s">
        <v>6984</v>
      </c>
      <c r="CKQ23" t="s">
        <v>6984</v>
      </c>
      <c r="CKR23" t="s">
        <v>6984</v>
      </c>
      <c r="CKS23" t="s">
        <v>6984</v>
      </c>
      <c r="CKT23" t="s">
        <v>6984</v>
      </c>
      <c r="CKU23" t="s">
        <v>6984</v>
      </c>
      <c r="CKV23" t="s">
        <v>6984</v>
      </c>
      <c r="CKW23" t="s">
        <v>6984</v>
      </c>
      <c r="CKX23" t="s">
        <v>6984</v>
      </c>
      <c r="CKY23" t="s">
        <v>6984</v>
      </c>
      <c r="CKZ23" t="s">
        <v>6984</v>
      </c>
      <c r="CLA23" t="s">
        <v>6984</v>
      </c>
      <c r="CLB23" t="s">
        <v>6984</v>
      </c>
      <c r="CLC23" t="s">
        <v>6984</v>
      </c>
      <c r="CLD23" t="s">
        <v>6984</v>
      </c>
      <c r="CLE23" t="s">
        <v>6984</v>
      </c>
      <c r="CLF23" t="s">
        <v>6984</v>
      </c>
      <c r="CLG23" t="s">
        <v>6984</v>
      </c>
      <c r="CLH23" t="s">
        <v>6984</v>
      </c>
      <c r="CLI23" t="s">
        <v>6984</v>
      </c>
      <c r="CLJ23" t="s">
        <v>6984</v>
      </c>
      <c r="CLK23" t="s">
        <v>6984</v>
      </c>
      <c r="CLL23" t="s">
        <v>6984</v>
      </c>
      <c r="CLM23" t="s">
        <v>6984</v>
      </c>
      <c r="CLN23" t="s">
        <v>6984</v>
      </c>
      <c r="CLO23" t="s">
        <v>6984</v>
      </c>
      <c r="CLP23" t="s">
        <v>6984</v>
      </c>
      <c r="CLQ23" t="s">
        <v>6984</v>
      </c>
      <c r="CLR23" t="s">
        <v>6984</v>
      </c>
      <c r="CLS23" t="s">
        <v>6984</v>
      </c>
      <c r="CLT23" t="s">
        <v>6984</v>
      </c>
      <c r="CLU23" t="s">
        <v>6984</v>
      </c>
      <c r="CLV23" t="s">
        <v>6984</v>
      </c>
      <c r="CLW23" t="s">
        <v>6984</v>
      </c>
      <c r="CLX23" t="s">
        <v>6984</v>
      </c>
      <c r="CLY23" t="s">
        <v>6984</v>
      </c>
      <c r="CLZ23" t="s">
        <v>6984</v>
      </c>
      <c r="CMA23" t="s">
        <v>6984</v>
      </c>
      <c r="CMB23" t="s">
        <v>6984</v>
      </c>
      <c r="CMC23" t="s">
        <v>6984</v>
      </c>
      <c r="CMD23" t="s">
        <v>6984</v>
      </c>
      <c r="CME23" t="s">
        <v>6984</v>
      </c>
      <c r="CMF23" t="s">
        <v>6984</v>
      </c>
      <c r="CMG23" t="s">
        <v>6984</v>
      </c>
      <c r="CMH23" t="s">
        <v>6984</v>
      </c>
      <c r="CMI23" t="s">
        <v>6984</v>
      </c>
      <c r="CMJ23" t="s">
        <v>6984</v>
      </c>
      <c r="CMK23" t="s">
        <v>6984</v>
      </c>
      <c r="CML23" t="s">
        <v>6984</v>
      </c>
      <c r="CMM23" t="s">
        <v>6984</v>
      </c>
      <c r="CMN23" t="s">
        <v>6984</v>
      </c>
      <c r="CMO23" t="s">
        <v>6984</v>
      </c>
      <c r="CMP23" t="s">
        <v>6984</v>
      </c>
      <c r="CMQ23" t="s">
        <v>6984</v>
      </c>
      <c r="CMR23" t="s">
        <v>6984</v>
      </c>
      <c r="CMS23" t="s">
        <v>6984</v>
      </c>
      <c r="CMT23" t="s">
        <v>6984</v>
      </c>
      <c r="CMU23" t="s">
        <v>6984</v>
      </c>
      <c r="CMV23" t="s">
        <v>6984</v>
      </c>
      <c r="CMW23" t="s">
        <v>6984</v>
      </c>
      <c r="CMX23" t="s">
        <v>6984</v>
      </c>
      <c r="CMY23" t="s">
        <v>6984</v>
      </c>
      <c r="CMZ23" t="s">
        <v>6984</v>
      </c>
      <c r="CNA23" t="s">
        <v>6984</v>
      </c>
      <c r="CNB23" t="s">
        <v>6984</v>
      </c>
      <c r="CNC23" t="s">
        <v>6984</v>
      </c>
      <c r="CND23" t="s">
        <v>6984</v>
      </c>
      <c r="CNE23" t="s">
        <v>6984</v>
      </c>
      <c r="CNF23" t="s">
        <v>6984</v>
      </c>
      <c r="CNG23" t="s">
        <v>6984</v>
      </c>
      <c r="CNH23" t="s">
        <v>6984</v>
      </c>
      <c r="CNI23" t="s">
        <v>6984</v>
      </c>
      <c r="CNJ23" t="s">
        <v>6984</v>
      </c>
      <c r="CNK23" t="s">
        <v>6984</v>
      </c>
      <c r="CNL23" t="s">
        <v>6984</v>
      </c>
      <c r="CNM23" t="s">
        <v>6984</v>
      </c>
      <c r="CNN23" t="s">
        <v>6984</v>
      </c>
      <c r="CNO23" t="s">
        <v>6984</v>
      </c>
      <c r="CNP23" t="s">
        <v>6984</v>
      </c>
      <c r="CNQ23" t="s">
        <v>6984</v>
      </c>
      <c r="CNR23" t="s">
        <v>6984</v>
      </c>
      <c r="CNS23" t="s">
        <v>6984</v>
      </c>
      <c r="CNT23" t="s">
        <v>6984</v>
      </c>
      <c r="CNU23" t="s">
        <v>6984</v>
      </c>
      <c r="CNV23" t="s">
        <v>6984</v>
      </c>
      <c r="CNW23" t="s">
        <v>6984</v>
      </c>
      <c r="CNX23" t="s">
        <v>6984</v>
      </c>
      <c r="CNY23" t="s">
        <v>6984</v>
      </c>
      <c r="CNZ23" t="s">
        <v>6984</v>
      </c>
      <c r="COA23" t="s">
        <v>6984</v>
      </c>
      <c r="COB23" t="s">
        <v>6984</v>
      </c>
      <c r="COC23" t="s">
        <v>6984</v>
      </c>
      <c r="COD23" t="s">
        <v>6984</v>
      </c>
      <c r="COE23" t="s">
        <v>6984</v>
      </c>
      <c r="COF23" t="s">
        <v>6984</v>
      </c>
      <c r="COG23" t="s">
        <v>6984</v>
      </c>
      <c r="COH23" t="s">
        <v>6984</v>
      </c>
      <c r="COI23" t="s">
        <v>6984</v>
      </c>
      <c r="COJ23" t="s">
        <v>6984</v>
      </c>
      <c r="COK23" t="s">
        <v>6984</v>
      </c>
      <c r="COL23" t="s">
        <v>6984</v>
      </c>
      <c r="COM23" t="s">
        <v>6984</v>
      </c>
      <c r="CON23" t="s">
        <v>6984</v>
      </c>
      <c r="COO23" t="s">
        <v>6984</v>
      </c>
      <c r="COP23" t="s">
        <v>6984</v>
      </c>
      <c r="COQ23" t="s">
        <v>6984</v>
      </c>
      <c r="COR23" t="s">
        <v>6984</v>
      </c>
      <c r="COS23" t="s">
        <v>6984</v>
      </c>
      <c r="COT23" t="s">
        <v>6984</v>
      </c>
      <c r="COU23" t="s">
        <v>6984</v>
      </c>
      <c r="COV23" t="s">
        <v>6984</v>
      </c>
      <c r="COW23" t="s">
        <v>6984</v>
      </c>
      <c r="COX23" t="s">
        <v>6984</v>
      </c>
      <c r="COY23" t="s">
        <v>6984</v>
      </c>
      <c r="COZ23" t="s">
        <v>6984</v>
      </c>
      <c r="CPA23" t="s">
        <v>6984</v>
      </c>
      <c r="CPB23" t="s">
        <v>6984</v>
      </c>
      <c r="CPC23" t="s">
        <v>6984</v>
      </c>
      <c r="CPD23" t="s">
        <v>6984</v>
      </c>
      <c r="CPE23" t="s">
        <v>6984</v>
      </c>
      <c r="CPF23" t="s">
        <v>6984</v>
      </c>
      <c r="CPG23" t="s">
        <v>6984</v>
      </c>
      <c r="CPH23" t="s">
        <v>6984</v>
      </c>
      <c r="CPI23" t="s">
        <v>6984</v>
      </c>
      <c r="CPJ23" t="s">
        <v>6984</v>
      </c>
      <c r="CPK23" t="s">
        <v>6984</v>
      </c>
      <c r="CPL23" t="s">
        <v>6984</v>
      </c>
      <c r="CPM23" t="s">
        <v>6984</v>
      </c>
      <c r="CPN23" t="s">
        <v>6984</v>
      </c>
      <c r="CPO23" t="s">
        <v>6984</v>
      </c>
      <c r="CPP23" t="s">
        <v>6984</v>
      </c>
      <c r="CPQ23" t="s">
        <v>6984</v>
      </c>
      <c r="CPR23" t="s">
        <v>6984</v>
      </c>
      <c r="CPS23" t="s">
        <v>6984</v>
      </c>
      <c r="CPT23" t="s">
        <v>6984</v>
      </c>
      <c r="CPU23" t="s">
        <v>6984</v>
      </c>
      <c r="CPV23" t="s">
        <v>6984</v>
      </c>
      <c r="CPW23" t="s">
        <v>6984</v>
      </c>
      <c r="CPX23" t="s">
        <v>6984</v>
      </c>
      <c r="CPY23" t="s">
        <v>6984</v>
      </c>
      <c r="CPZ23" t="s">
        <v>6984</v>
      </c>
      <c r="CQA23" t="s">
        <v>6984</v>
      </c>
      <c r="CQB23" t="s">
        <v>6984</v>
      </c>
      <c r="CQC23" t="s">
        <v>6984</v>
      </c>
      <c r="CQD23" t="s">
        <v>6984</v>
      </c>
      <c r="CQE23" t="s">
        <v>6984</v>
      </c>
      <c r="CQF23" t="s">
        <v>6984</v>
      </c>
      <c r="CQG23" t="s">
        <v>6984</v>
      </c>
      <c r="CQH23" t="s">
        <v>6984</v>
      </c>
      <c r="CQI23" t="s">
        <v>6984</v>
      </c>
      <c r="CQJ23" t="s">
        <v>6984</v>
      </c>
      <c r="CQK23" t="s">
        <v>6984</v>
      </c>
      <c r="CQL23" t="s">
        <v>6984</v>
      </c>
      <c r="CQM23" t="s">
        <v>6984</v>
      </c>
      <c r="CQN23" t="s">
        <v>6984</v>
      </c>
      <c r="CQO23" t="s">
        <v>6984</v>
      </c>
      <c r="CQP23" t="s">
        <v>6984</v>
      </c>
      <c r="CQQ23" t="s">
        <v>6984</v>
      </c>
      <c r="CQR23" t="s">
        <v>6984</v>
      </c>
      <c r="CQS23" t="s">
        <v>6984</v>
      </c>
      <c r="CQT23" t="s">
        <v>6984</v>
      </c>
      <c r="CQU23" t="s">
        <v>6984</v>
      </c>
      <c r="CQV23" t="s">
        <v>6984</v>
      </c>
      <c r="CQW23" t="s">
        <v>6984</v>
      </c>
      <c r="CQX23" t="s">
        <v>6984</v>
      </c>
      <c r="CQY23" t="s">
        <v>6984</v>
      </c>
      <c r="CQZ23" t="s">
        <v>6984</v>
      </c>
      <c r="CRA23" t="s">
        <v>6984</v>
      </c>
      <c r="CRB23" t="s">
        <v>6984</v>
      </c>
      <c r="CRC23" t="s">
        <v>6984</v>
      </c>
      <c r="CRD23" t="s">
        <v>6984</v>
      </c>
      <c r="CRE23" t="s">
        <v>6984</v>
      </c>
      <c r="CRF23" t="s">
        <v>6984</v>
      </c>
      <c r="CRG23" t="s">
        <v>6984</v>
      </c>
      <c r="CRH23" t="s">
        <v>6984</v>
      </c>
      <c r="CRI23" t="s">
        <v>6984</v>
      </c>
      <c r="CRJ23" t="s">
        <v>6984</v>
      </c>
      <c r="CRK23" t="s">
        <v>6984</v>
      </c>
      <c r="CRL23" t="s">
        <v>6984</v>
      </c>
      <c r="CRM23" t="s">
        <v>6984</v>
      </c>
      <c r="CRN23" t="s">
        <v>6984</v>
      </c>
      <c r="CRO23" t="s">
        <v>6984</v>
      </c>
      <c r="CRP23" t="s">
        <v>6984</v>
      </c>
      <c r="CRQ23" t="s">
        <v>6984</v>
      </c>
      <c r="CRR23" t="s">
        <v>6984</v>
      </c>
      <c r="CRS23" t="s">
        <v>6984</v>
      </c>
      <c r="CRT23" t="s">
        <v>6984</v>
      </c>
      <c r="CRU23" t="s">
        <v>6984</v>
      </c>
      <c r="CRV23" t="s">
        <v>6984</v>
      </c>
      <c r="CRW23" t="s">
        <v>6984</v>
      </c>
      <c r="CRX23" t="s">
        <v>6984</v>
      </c>
      <c r="CRY23" t="s">
        <v>6984</v>
      </c>
      <c r="CRZ23" t="s">
        <v>6984</v>
      </c>
      <c r="CSA23" t="s">
        <v>6984</v>
      </c>
      <c r="CSB23" t="s">
        <v>6984</v>
      </c>
      <c r="CSC23" t="s">
        <v>6984</v>
      </c>
      <c r="CSD23" t="s">
        <v>6984</v>
      </c>
      <c r="CSE23" t="s">
        <v>6984</v>
      </c>
      <c r="CSF23" t="s">
        <v>6984</v>
      </c>
      <c r="CSG23" t="s">
        <v>6984</v>
      </c>
      <c r="CSH23" t="s">
        <v>6984</v>
      </c>
      <c r="CSI23" t="s">
        <v>6984</v>
      </c>
      <c r="CSJ23" t="s">
        <v>6984</v>
      </c>
      <c r="CSK23" t="s">
        <v>6984</v>
      </c>
      <c r="CSL23" t="s">
        <v>6984</v>
      </c>
      <c r="CSM23" t="s">
        <v>6984</v>
      </c>
      <c r="CSN23" t="s">
        <v>6984</v>
      </c>
      <c r="CSO23" t="s">
        <v>6984</v>
      </c>
      <c r="CSP23" t="s">
        <v>6984</v>
      </c>
      <c r="CSQ23" t="s">
        <v>6984</v>
      </c>
      <c r="CSR23" t="s">
        <v>6984</v>
      </c>
      <c r="CSS23" t="s">
        <v>6984</v>
      </c>
      <c r="CST23" t="s">
        <v>6984</v>
      </c>
      <c r="CSU23" t="s">
        <v>6984</v>
      </c>
      <c r="CSV23" t="s">
        <v>6984</v>
      </c>
      <c r="CSW23" t="s">
        <v>6984</v>
      </c>
      <c r="CSX23" t="s">
        <v>6984</v>
      </c>
      <c r="CSY23" t="s">
        <v>6984</v>
      </c>
      <c r="CSZ23" t="s">
        <v>6984</v>
      </c>
      <c r="CTA23" t="s">
        <v>6984</v>
      </c>
      <c r="CTB23" t="s">
        <v>6984</v>
      </c>
      <c r="CTC23" t="s">
        <v>6984</v>
      </c>
      <c r="CTD23" t="s">
        <v>6984</v>
      </c>
      <c r="CTE23" t="s">
        <v>6984</v>
      </c>
      <c r="CTF23" t="s">
        <v>6984</v>
      </c>
      <c r="CTG23" t="s">
        <v>6984</v>
      </c>
      <c r="CTH23" t="s">
        <v>6984</v>
      </c>
      <c r="CTI23" t="s">
        <v>6984</v>
      </c>
      <c r="CTJ23" t="s">
        <v>6984</v>
      </c>
      <c r="CTK23" t="s">
        <v>6984</v>
      </c>
      <c r="CTL23" t="s">
        <v>6984</v>
      </c>
      <c r="CTM23" t="s">
        <v>6984</v>
      </c>
      <c r="CTN23" t="s">
        <v>6984</v>
      </c>
      <c r="CTO23" t="s">
        <v>6984</v>
      </c>
      <c r="CTP23" t="s">
        <v>6984</v>
      </c>
      <c r="CTQ23" t="s">
        <v>6984</v>
      </c>
      <c r="CTR23" t="s">
        <v>6984</v>
      </c>
      <c r="CTS23" t="s">
        <v>6984</v>
      </c>
      <c r="CTT23" t="s">
        <v>6984</v>
      </c>
      <c r="CTU23" t="s">
        <v>6984</v>
      </c>
      <c r="CTV23" t="s">
        <v>6984</v>
      </c>
      <c r="CTW23" t="s">
        <v>6984</v>
      </c>
      <c r="CTX23" t="s">
        <v>6984</v>
      </c>
      <c r="CTY23" t="s">
        <v>6984</v>
      </c>
      <c r="CTZ23" t="s">
        <v>6984</v>
      </c>
      <c r="CUA23" t="s">
        <v>6984</v>
      </c>
      <c r="CUB23" t="s">
        <v>6984</v>
      </c>
      <c r="CUC23" t="s">
        <v>6984</v>
      </c>
      <c r="CUD23" t="s">
        <v>6984</v>
      </c>
      <c r="CUE23" t="s">
        <v>6984</v>
      </c>
      <c r="CUF23" t="s">
        <v>6984</v>
      </c>
      <c r="CUG23" t="s">
        <v>6984</v>
      </c>
      <c r="CUH23" t="s">
        <v>6984</v>
      </c>
      <c r="CUI23" t="s">
        <v>6984</v>
      </c>
      <c r="CUJ23" t="s">
        <v>6984</v>
      </c>
      <c r="CUK23" t="s">
        <v>6984</v>
      </c>
      <c r="CUL23" t="s">
        <v>6984</v>
      </c>
      <c r="CUM23" t="s">
        <v>6984</v>
      </c>
      <c r="CUN23" t="s">
        <v>6984</v>
      </c>
      <c r="CUO23" t="s">
        <v>6984</v>
      </c>
      <c r="CUP23" t="s">
        <v>6984</v>
      </c>
      <c r="CUQ23" t="s">
        <v>6984</v>
      </c>
      <c r="CUR23" t="s">
        <v>6984</v>
      </c>
      <c r="CUS23" t="s">
        <v>6984</v>
      </c>
      <c r="CUT23" t="s">
        <v>6984</v>
      </c>
      <c r="CUU23" t="s">
        <v>6984</v>
      </c>
      <c r="CUV23" t="s">
        <v>6984</v>
      </c>
      <c r="CUW23" t="s">
        <v>6984</v>
      </c>
      <c r="CUX23" t="s">
        <v>6984</v>
      </c>
      <c r="CUY23" t="s">
        <v>6984</v>
      </c>
      <c r="CUZ23" t="s">
        <v>6984</v>
      </c>
      <c r="CVA23" t="s">
        <v>6984</v>
      </c>
      <c r="CVB23" t="s">
        <v>6984</v>
      </c>
      <c r="CVC23" t="s">
        <v>6984</v>
      </c>
      <c r="CVD23" t="s">
        <v>6984</v>
      </c>
      <c r="CVE23" t="s">
        <v>6984</v>
      </c>
      <c r="CVF23" t="s">
        <v>6984</v>
      </c>
      <c r="CVG23" t="s">
        <v>6984</v>
      </c>
      <c r="CVH23" t="s">
        <v>6984</v>
      </c>
      <c r="CVI23" t="s">
        <v>6984</v>
      </c>
      <c r="CVJ23" t="s">
        <v>6984</v>
      </c>
      <c r="CVK23" t="s">
        <v>6984</v>
      </c>
      <c r="CVL23" t="s">
        <v>6984</v>
      </c>
      <c r="CVM23" t="s">
        <v>6984</v>
      </c>
      <c r="CVN23" t="s">
        <v>6984</v>
      </c>
      <c r="CVO23" t="s">
        <v>6984</v>
      </c>
      <c r="CVP23" t="s">
        <v>6984</v>
      </c>
      <c r="CVQ23" t="s">
        <v>6984</v>
      </c>
      <c r="CVR23" t="s">
        <v>6984</v>
      </c>
      <c r="CVS23" t="s">
        <v>6984</v>
      </c>
      <c r="CVT23" t="s">
        <v>6984</v>
      </c>
      <c r="CVU23" t="s">
        <v>6984</v>
      </c>
      <c r="CVV23" t="s">
        <v>6984</v>
      </c>
      <c r="CVW23" t="s">
        <v>6984</v>
      </c>
      <c r="CVX23" t="s">
        <v>6984</v>
      </c>
      <c r="CVY23" t="s">
        <v>6984</v>
      </c>
      <c r="CVZ23" t="s">
        <v>6984</v>
      </c>
      <c r="CWA23" t="s">
        <v>6984</v>
      </c>
      <c r="CWB23" t="s">
        <v>6984</v>
      </c>
      <c r="CWC23" t="s">
        <v>6984</v>
      </c>
      <c r="CWD23" t="s">
        <v>6984</v>
      </c>
      <c r="CWE23" t="s">
        <v>6984</v>
      </c>
      <c r="CWF23" t="s">
        <v>6984</v>
      </c>
      <c r="CWG23" t="s">
        <v>6984</v>
      </c>
      <c r="CWH23" t="s">
        <v>6984</v>
      </c>
      <c r="CWI23" t="s">
        <v>6984</v>
      </c>
      <c r="CWJ23" t="s">
        <v>6984</v>
      </c>
      <c r="CWK23" t="s">
        <v>6984</v>
      </c>
      <c r="CWL23" t="s">
        <v>6984</v>
      </c>
      <c r="CWM23" t="s">
        <v>6984</v>
      </c>
      <c r="CWN23" t="s">
        <v>6984</v>
      </c>
      <c r="CWO23" t="s">
        <v>6984</v>
      </c>
      <c r="CWP23" t="s">
        <v>6984</v>
      </c>
      <c r="CWQ23" t="s">
        <v>6984</v>
      </c>
      <c r="CWR23" t="s">
        <v>6984</v>
      </c>
      <c r="CWS23" t="s">
        <v>6984</v>
      </c>
      <c r="CWT23" t="s">
        <v>6984</v>
      </c>
      <c r="CWU23" t="s">
        <v>6984</v>
      </c>
      <c r="CWV23" t="s">
        <v>6984</v>
      </c>
      <c r="CWW23" t="s">
        <v>6984</v>
      </c>
      <c r="CWX23" t="s">
        <v>6984</v>
      </c>
      <c r="CWY23" t="s">
        <v>6984</v>
      </c>
      <c r="CWZ23" t="s">
        <v>6984</v>
      </c>
      <c r="CXA23" t="s">
        <v>6984</v>
      </c>
      <c r="CXB23" t="s">
        <v>6984</v>
      </c>
      <c r="CXC23" t="s">
        <v>6984</v>
      </c>
      <c r="CXD23" t="s">
        <v>6984</v>
      </c>
      <c r="CXE23" t="s">
        <v>6984</v>
      </c>
      <c r="CXF23" t="s">
        <v>6984</v>
      </c>
      <c r="CXG23" t="s">
        <v>6984</v>
      </c>
      <c r="CXH23" t="s">
        <v>6984</v>
      </c>
      <c r="CXI23" t="s">
        <v>6984</v>
      </c>
      <c r="CXJ23" t="s">
        <v>6984</v>
      </c>
      <c r="CXK23" t="s">
        <v>6984</v>
      </c>
      <c r="CXL23" t="s">
        <v>6984</v>
      </c>
      <c r="CXM23" t="s">
        <v>6984</v>
      </c>
      <c r="CXN23" t="s">
        <v>6984</v>
      </c>
      <c r="CXO23" t="s">
        <v>6984</v>
      </c>
      <c r="CXP23" t="s">
        <v>6984</v>
      </c>
      <c r="CXQ23" t="s">
        <v>6984</v>
      </c>
      <c r="CXR23" t="s">
        <v>6984</v>
      </c>
      <c r="CXS23" t="s">
        <v>6984</v>
      </c>
      <c r="CXT23" t="s">
        <v>6984</v>
      </c>
      <c r="CXU23" t="s">
        <v>6984</v>
      </c>
      <c r="CXV23" t="s">
        <v>6984</v>
      </c>
      <c r="CXW23" t="s">
        <v>6984</v>
      </c>
      <c r="CXX23" t="s">
        <v>6984</v>
      </c>
      <c r="CXY23" t="s">
        <v>6984</v>
      </c>
      <c r="CXZ23" t="s">
        <v>6984</v>
      </c>
      <c r="CYA23" t="s">
        <v>6984</v>
      </c>
      <c r="CYB23" t="s">
        <v>6984</v>
      </c>
      <c r="CYC23" t="s">
        <v>6984</v>
      </c>
      <c r="CYD23" t="s">
        <v>6984</v>
      </c>
      <c r="CYE23" t="s">
        <v>6984</v>
      </c>
      <c r="CYF23" t="s">
        <v>6984</v>
      </c>
      <c r="CYG23" t="s">
        <v>6984</v>
      </c>
      <c r="CYH23" t="s">
        <v>6984</v>
      </c>
      <c r="CYI23" t="s">
        <v>6984</v>
      </c>
      <c r="CYJ23" t="s">
        <v>6984</v>
      </c>
      <c r="CYK23" t="s">
        <v>6984</v>
      </c>
      <c r="CYL23" t="s">
        <v>6984</v>
      </c>
      <c r="CYM23" t="s">
        <v>6984</v>
      </c>
      <c r="CYN23" t="s">
        <v>6984</v>
      </c>
      <c r="CYO23" t="s">
        <v>6984</v>
      </c>
      <c r="CYP23" t="s">
        <v>6984</v>
      </c>
      <c r="CYQ23" t="s">
        <v>6984</v>
      </c>
      <c r="CYR23" t="s">
        <v>6984</v>
      </c>
      <c r="CYS23" t="s">
        <v>6984</v>
      </c>
      <c r="CYT23" t="s">
        <v>6984</v>
      </c>
      <c r="CYU23" t="s">
        <v>6984</v>
      </c>
      <c r="CYV23" t="s">
        <v>6984</v>
      </c>
      <c r="CYW23" t="s">
        <v>6984</v>
      </c>
      <c r="CYX23" t="s">
        <v>6984</v>
      </c>
      <c r="CYY23" t="s">
        <v>6984</v>
      </c>
      <c r="CYZ23" t="s">
        <v>6984</v>
      </c>
      <c r="CZA23" t="s">
        <v>6984</v>
      </c>
      <c r="CZB23" t="s">
        <v>6984</v>
      </c>
      <c r="CZC23" t="s">
        <v>6984</v>
      </c>
      <c r="CZD23" t="s">
        <v>6984</v>
      </c>
      <c r="CZE23" t="s">
        <v>6984</v>
      </c>
      <c r="CZF23" t="s">
        <v>6984</v>
      </c>
      <c r="CZG23" t="s">
        <v>6984</v>
      </c>
      <c r="CZH23" t="s">
        <v>6984</v>
      </c>
      <c r="CZI23" t="s">
        <v>6984</v>
      </c>
      <c r="CZJ23" t="s">
        <v>6984</v>
      </c>
      <c r="CZK23" t="s">
        <v>6984</v>
      </c>
      <c r="CZL23" t="s">
        <v>6984</v>
      </c>
      <c r="CZM23" t="s">
        <v>6984</v>
      </c>
      <c r="CZN23" t="s">
        <v>6984</v>
      </c>
      <c r="CZO23" t="s">
        <v>6984</v>
      </c>
      <c r="CZP23" t="s">
        <v>6984</v>
      </c>
      <c r="CZQ23" t="s">
        <v>6984</v>
      </c>
      <c r="CZR23" t="s">
        <v>6984</v>
      </c>
      <c r="CZS23" t="s">
        <v>6984</v>
      </c>
      <c r="CZT23" t="s">
        <v>6984</v>
      </c>
      <c r="CZU23" t="s">
        <v>6984</v>
      </c>
      <c r="CZV23" t="s">
        <v>6984</v>
      </c>
      <c r="CZW23" t="s">
        <v>6984</v>
      </c>
      <c r="CZX23" t="s">
        <v>6984</v>
      </c>
      <c r="CZY23" t="s">
        <v>6984</v>
      </c>
      <c r="CZZ23" t="s">
        <v>6984</v>
      </c>
      <c r="DAA23" t="s">
        <v>6984</v>
      </c>
      <c r="DAB23" t="s">
        <v>6984</v>
      </c>
      <c r="DAC23" t="s">
        <v>6984</v>
      </c>
      <c r="DAD23" t="s">
        <v>6984</v>
      </c>
      <c r="DAE23" t="s">
        <v>6984</v>
      </c>
      <c r="DAF23" t="s">
        <v>6984</v>
      </c>
      <c r="DAG23" t="s">
        <v>6984</v>
      </c>
      <c r="DAH23" t="s">
        <v>6984</v>
      </c>
      <c r="DAI23" t="s">
        <v>6984</v>
      </c>
      <c r="DAJ23" t="s">
        <v>6984</v>
      </c>
      <c r="DAK23" t="s">
        <v>6984</v>
      </c>
      <c r="DAL23" t="s">
        <v>6984</v>
      </c>
      <c r="DAM23" t="s">
        <v>6984</v>
      </c>
      <c r="DAN23" t="s">
        <v>6984</v>
      </c>
      <c r="DAO23" t="s">
        <v>6984</v>
      </c>
      <c r="DAP23" t="s">
        <v>6984</v>
      </c>
      <c r="DAQ23" t="s">
        <v>6984</v>
      </c>
      <c r="DAR23" t="s">
        <v>6984</v>
      </c>
      <c r="DAS23" t="s">
        <v>6984</v>
      </c>
      <c r="DAT23" t="s">
        <v>6984</v>
      </c>
      <c r="DAU23" t="s">
        <v>6984</v>
      </c>
      <c r="DAV23" t="s">
        <v>6984</v>
      </c>
      <c r="DAW23" t="s">
        <v>6984</v>
      </c>
      <c r="DAX23" t="s">
        <v>6984</v>
      </c>
      <c r="DAY23" t="s">
        <v>6984</v>
      </c>
      <c r="DAZ23" t="s">
        <v>6984</v>
      </c>
      <c r="DBA23" t="s">
        <v>6984</v>
      </c>
      <c r="DBB23" t="s">
        <v>6984</v>
      </c>
      <c r="DBC23" t="s">
        <v>6984</v>
      </c>
      <c r="DBD23" t="s">
        <v>6984</v>
      </c>
      <c r="DBE23" t="s">
        <v>6984</v>
      </c>
      <c r="DBF23" t="s">
        <v>6984</v>
      </c>
      <c r="DBG23" t="s">
        <v>6984</v>
      </c>
      <c r="DBH23" t="s">
        <v>6984</v>
      </c>
      <c r="DBI23" t="s">
        <v>6984</v>
      </c>
      <c r="DBJ23" t="s">
        <v>6984</v>
      </c>
      <c r="DBK23" t="s">
        <v>6984</v>
      </c>
      <c r="DBL23" t="s">
        <v>6984</v>
      </c>
      <c r="DBM23" t="s">
        <v>6984</v>
      </c>
      <c r="DBN23" t="s">
        <v>6984</v>
      </c>
      <c r="DBO23" t="s">
        <v>6984</v>
      </c>
      <c r="DBP23" t="s">
        <v>6984</v>
      </c>
      <c r="DBQ23" t="s">
        <v>6984</v>
      </c>
      <c r="DBR23" t="s">
        <v>6984</v>
      </c>
      <c r="DBS23" t="s">
        <v>6984</v>
      </c>
      <c r="DBT23" t="s">
        <v>6984</v>
      </c>
      <c r="DBU23" t="s">
        <v>6984</v>
      </c>
      <c r="DBV23" t="s">
        <v>6984</v>
      </c>
      <c r="DBW23" t="s">
        <v>6984</v>
      </c>
      <c r="DBX23" t="s">
        <v>6984</v>
      </c>
      <c r="DBY23" t="s">
        <v>6984</v>
      </c>
      <c r="DBZ23" t="s">
        <v>6984</v>
      </c>
      <c r="DCA23" t="s">
        <v>6984</v>
      </c>
      <c r="DCB23" t="s">
        <v>6984</v>
      </c>
      <c r="DCC23" t="s">
        <v>6984</v>
      </c>
      <c r="DCD23" t="s">
        <v>6984</v>
      </c>
      <c r="DCE23" t="s">
        <v>6984</v>
      </c>
      <c r="DCF23" t="s">
        <v>6984</v>
      </c>
      <c r="DCG23" t="s">
        <v>6984</v>
      </c>
      <c r="DCH23" t="s">
        <v>6984</v>
      </c>
      <c r="DCI23" t="s">
        <v>6984</v>
      </c>
      <c r="DCJ23" t="s">
        <v>6984</v>
      </c>
      <c r="DCK23" t="s">
        <v>6984</v>
      </c>
      <c r="DCL23" t="s">
        <v>6984</v>
      </c>
      <c r="DCM23" t="s">
        <v>6984</v>
      </c>
      <c r="DCN23" t="s">
        <v>6984</v>
      </c>
      <c r="DCO23" t="s">
        <v>6984</v>
      </c>
      <c r="DCP23" t="s">
        <v>6984</v>
      </c>
      <c r="DCQ23" t="s">
        <v>6984</v>
      </c>
      <c r="DCR23" t="s">
        <v>6984</v>
      </c>
      <c r="DCS23" t="s">
        <v>6984</v>
      </c>
      <c r="DCT23" t="s">
        <v>6984</v>
      </c>
      <c r="DCU23" t="s">
        <v>6984</v>
      </c>
      <c r="DCV23" t="s">
        <v>6984</v>
      </c>
      <c r="DCW23" t="s">
        <v>6984</v>
      </c>
      <c r="DCX23" t="s">
        <v>6984</v>
      </c>
      <c r="DCY23" t="s">
        <v>6984</v>
      </c>
      <c r="DCZ23" t="s">
        <v>6984</v>
      </c>
      <c r="DDA23" t="s">
        <v>6984</v>
      </c>
      <c r="DDB23" t="s">
        <v>6984</v>
      </c>
      <c r="DDC23" t="s">
        <v>6984</v>
      </c>
      <c r="DDD23" t="s">
        <v>6984</v>
      </c>
      <c r="DDE23" t="s">
        <v>6984</v>
      </c>
      <c r="DDF23" t="s">
        <v>6984</v>
      </c>
      <c r="DDG23" t="s">
        <v>6984</v>
      </c>
      <c r="DDH23" t="s">
        <v>6984</v>
      </c>
      <c r="DDI23" t="s">
        <v>6984</v>
      </c>
      <c r="DDJ23" t="s">
        <v>6984</v>
      </c>
      <c r="DDK23" t="s">
        <v>6984</v>
      </c>
      <c r="DDL23" t="s">
        <v>6984</v>
      </c>
      <c r="DDM23" t="s">
        <v>6984</v>
      </c>
      <c r="DDN23" t="s">
        <v>6984</v>
      </c>
      <c r="DDO23" t="s">
        <v>6984</v>
      </c>
      <c r="DDP23" t="s">
        <v>6984</v>
      </c>
      <c r="DDQ23" t="s">
        <v>6984</v>
      </c>
      <c r="DDR23" t="s">
        <v>6984</v>
      </c>
      <c r="DDS23" t="s">
        <v>6984</v>
      </c>
      <c r="DDT23" t="s">
        <v>6984</v>
      </c>
      <c r="DDU23" t="s">
        <v>6984</v>
      </c>
      <c r="DDV23" t="s">
        <v>6984</v>
      </c>
      <c r="DDW23" t="s">
        <v>6984</v>
      </c>
      <c r="DDX23" t="s">
        <v>6984</v>
      </c>
      <c r="DDY23" t="s">
        <v>6984</v>
      </c>
      <c r="DDZ23" t="s">
        <v>6984</v>
      </c>
      <c r="DEA23" t="s">
        <v>6984</v>
      </c>
      <c r="DEB23" t="s">
        <v>6984</v>
      </c>
      <c r="DEC23" t="s">
        <v>6984</v>
      </c>
      <c r="DED23" t="s">
        <v>6984</v>
      </c>
      <c r="DEE23" t="s">
        <v>6984</v>
      </c>
      <c r="DEF23" t="s">
        <v>6984</v>
      </c>
      <c r="DEG23" t="s">
        <v>6984</v>
      </c>
      <c r="DEH23" t="s">
        <v>6984</v>
      </c>
      <c r="DEI23" t="s">
        <v>6984</v>
      </c>
      <c r="DEJ23" t="s">
        <v>6984</v>
      </c>
      <c r="DEK23" t="s">
        <v>6984</v>
      </c>
      <c r="DEL23" t="s">
        <v>6984</v>
      </c>
      <c r="DEM23" t="s">
        <v>6984</v>
      </c>
      <c r="DEN23" t="s">
        <v>6984</v>
      </c>
      <c r="DEO23" t="s">
        <v>6984</v>
      </c>
      <c r="DEP23" t="s">
        <v>6984</v>
      </c>
      <c r="DEQ23" t="s">
        <v>6984</v>
      </c>
      <c r="DER23" t="s">
        <v>6984</v>
      </c>
      <c r="DES23" t="s">
        <v>6984</v>
      </c>
      <c r="DET23" t="s">
        <v>6984</v>
      </c>
      <c r="DEU23" t="s">
        <v>6984</v>
      </c>
      <c r="DEV23" t="s">
        <v>6984</v>
      </c>
      <c r="DEW23" t="s">
        <v>6984</v>
      </c>
      <c r="DEX23" t="s">
        <v>6984</v>
      </c>
      <c r="DEY23" t="s">
        <v>6984</v>
      </c>
      <c r="DEZ23" t="s">
        <v>6984</v>
      </c>
      <c r="DFA23" t="s">
        <v>6984</v>
      </c>
      <c r="DFB23" t="s">
        <v>6984</v>
      </c>
      <c r="DFC23" t="s">
        <v>6984</v>
      </c>
      <c r="DFD23" t="s">
        <v>6984</v>
      </c>
      <c r="DFE23" t="s">
        <v>6984</v>
      </c>
      <c r="DFF23" t="s">
        <v>6984</v>
      </c>
      <c r="DFG23" t="s">
        <v>6984</v>
      </c>
      <c r="DFH23" t="s">
        <v>6984</v>
      </c>
      <c r="DFI23" t="s">
        <v>6984</v>
      </c>
      <c r="DFJ23" t="s">
        <v>6984</v>
      </c>
      <c r="DFK23" t="s">
        <v>6984</v>
      </c>
      <c r="DFL23" t="s">
        <v>6984</v>
      </c>
      <c r="DFM23" t="s">
        <v>6984</v>
      </c>
      <c r="DFN23" t="s">
        <v>6984</v>
      </c>
      <c r="DFO23" t="s">
        <v>6984</v>
      </c>
      <c r="DFP23" t="s">
        <v>6984</v>
      </c>
      <c r="DFQ23" t="s">
        <v>6984</v>
      </c>
      <c r="DFR23" t="s">
        <v>6984</v>
      </c>
      <c r="DFS23" t="s">
        <v>6984</v>
      </c>
      <c r="DFT23" t="s">
        <v>6984</v>
      </c>
      <c r="DFU23" t="s">
        <v>6984</v>
      </c>
      <c r="DFV23" t="s">
        <v>6984</v>
      </c>
      <c r="DFW23" t="s">
        <v>6984</v>
      </c>
      <c r="DFX23" t="s">
        <v>6984</v>
      </c>
      <c r="DFY23" t="s">
        <v>6984</v>
      </c>
      <c r="DFZ23" t="s">
        <v>6984</v>
      </c>
      <c r="DGA23" t="s">
        <v>6984</v>
      </c>
      <c r="DGB23" t="s">
        <v>6984</v>
      </c>
      <c r="DGC23" t="s">
        <v>6984</v>
      </c>
      <c r="DGD23" t="s">
        <v>6984</v>
      </c>
      <c r="DGE23" t="s">
        <v>6984</v>
      </c>
      <c r="DGF23" t="s">
        <v>6984</v>
      </c>
      <c r="DGG23" t="s">
        <v>6984</v>
      </c>
      <c r="DGH23" t="s">
        <v>6984</v>
      </c>
      <c r="DGI23" t="s">
        <v>6984</v>
      </c>
      <c r="DGJ23" t="s">
        <v>6984</v>
      </c>
      <c r="DGK23" t="s">
        <v>6984</v>
      </c>
      <c r="DGL23" t="s">
        <v>6984</v>
      </c>
      <c r="DGM23" t="s">
        <v>6984</v>
      </c>
      <c r="DGN23" t="s">
        <v>6984</v>
      </c>
      <c r="DGO23" t="s">
        <v>6984</v>
      </c>
      <c r="DGP23" t="s">
        <v>6984</v>
      </c>
      <c r="DGQ23" t="s">
        <v>6984</v>
      </c>
      <c r="DGR23" t="s">
        <v>6984</v>
      </c>
      <c r="DGS23" t="s">
        <v>6984</v>
      </c>
      <c r="DGT23" t="s">
        <v>6984</v>
      </c>
      <c r="DGU23" t="s">
        <v>6984</v>
      </c>
      <c r="DGV23" t="s">
        <v>6984</v>
      </c>
      <c r="DGW23" t="s">
        <v>6984</v>
      </c>
      <c r="DGX23" t="s">
        <v>6984</v>
      </c>
      <c r="DGY23" t="s">
        <v>6984</v>
      </c>
      <c r="DGZ23" t="s">
        <v>6984</v>
      </c>
      <c r="DHA23" t="s">
        <v>6984</v>
      </c>
      <c r="DHB23" t="s">
        <v>6984</v>
      </c>
      <c r="DHC23" t="s">
        <v>6984</v>
      </c>
      <c r="DHD23" t="s">
        <v>6984</v>
      </c>
      <c r="DHE23" t="s">
        <v>6984</v>
      </c>
      <c r="DHF23" t="s">
        <v>6984</v>
      </c>
      <c r="DHG23" t="s">
        <v>6984</v>
      </c>
      <c r="DHH23" t="s">
        <v>6984</v>
      </c>
      <c r="DHI23" t="s">
        <v>6984</v>
      </c>
      <c r="DHJ23" t="s">
        <v>6984</v>
      </c>
      <c r="DHK23" t="s">
        <v>6984</v>
      </c>
      <c r="DHL23" t="s">
        <v>6984</v>
      </c>
      <c r="DHM23" t="s">
        <v>6984</v>
      </c>
      <c r="DHN23" t="s">
        <v>6984</v>
      </c>
      <c r="DHO23" t="s">
        <v>6984</v>
      </c>
      <c r="DHP23" t="s">
        <v>6984</v>
      </c>
      <c r="DHQ23" t="s">
        <v>6984</v>
      </c>
      <c r="DHR23" t="s">
        <v>6984</v>
      </c>
      <c r="DHS23" t="s">
        <v>6984</v>
      </c>
      <c r="DHT23" t="s">
        <v>6984</v>
      </c>
      <c r="DHU23" t="s">
        <v>6984</v>
      </c>
      <c r="DHV23" t="s">
        <v>6984</v>
      </c>
      <c r="DHW23" t="s">
        <v>6984</v>
      </c>
      <c r="DHX23" t="s">
        <v>6984</v>
      </c>
      <c r="DHY23" t="s">
        <v>6984</v>
      </c>
      <c r="DHZ23" t="s">
        <v>6984</v>
      </c>
      <c r="DIA23" t="s">
        <v>6984</v>
      </c>
      <c r="DIB23" t="s">
        <v>6984</v>
      </c>
      <c r="DIC23" t="s">
        <v>6984</v>
      </c>
      <c r="DID23" t="s">
        <v>6984</v>
      </c>
      <c r="DIE23" t="s">
        <v>6984</v>
      </c>
      <c r="DIF23" t="s">
        <v>6984</v>
      </c>
      <c r="DIG23" t="s">
        <v>6984</v>
      </c>
      <c r="DIH23" t="s">
        <v>6984</v>
      </c>
      <c r="DII23" t="s">
        <v>6984</v>
      </c>
      <c r="DIJ23" t="s">
        <v>6984</v>
      </c>
      <c r="DIK23" t="s">
        <v>6984</v>
      </c>
      <c r="DIL23" t="s">
        <v>6984</v>
      </c>
      <c r="DIM23" t="s">
        <v>6984</v>
      </c>
      <c r="DIN23" t="s">
        <v>6984</v>
      </c>
      <c r="DIO23" t="s">
        <v>6984</v>
      </c>
      <c r="DIP23" t="s">
        <v>6984</v>
      </c>
      <c r="DIQ23" t="s">
        <v>6984</v>
      </c>
      <c r="DIR23" t="s">
        <v>6984</v>
      </c>
      <c r="DIS23" t="s">
        <v>6984</v>
      </c>
      <c r="DIT23" t="s">
        <v>6984</v>
      </c>
      <c r="DIU23" t="s">
        <v>6984</v>
      </c>
      <c r="DIV23" t="s">
        <v>6984</v>
      </c>
      <c r="DIW23" t="s">
        <v>6984</v>
      </c>
      <c r="DIX23" t="s">
        <v>6984</v>
      </c>
      <c r="DIY23" t="s">
        <v>6984</v>
      </c>
      <c r="DIZ23" t="s">
        <v>6984</v>
      </c>
      <c r="DJA23" t="s">
        <v>6984</v>
      </c>
      <c r="DJB23" t="s">
        <v>6984</v>
      </c>
      <c r="DJC23" t="s">
        <v>6984</v>
      </c>
      <c r="DJD23" t="s">
        <v>6984</v>
      </c>
      <c r="DJE23" t="s">
        <v>6984</v>
      </c>
      <c r="DJF23" t="s">
        <v>6984</v>
      </c>
      <c r="DJG23" t="s">
        <v>6984</v>
      </c>
      <c r="DJH23" t="s">
        <v>6984</v>
      </c>
      <c r="DJI23" t="s">
        <v>6984</v>
      </c>
      <c r="DJJ23" t="s">
        <v>6984</v>
      </c>
      <c r="DJK23" t="s">
        <v>6984</v>
      </c>
      <c r="DJL23" t="s">
        <v>6984</v>
      </c>
      <c r="DJM23" t="s">
        <v>6984</v>
      </c>
      <c r="DJN23" t="s">
        <v>6984</v>
      </c>
      <c r="DJO23" t="s">
        <v>6984</v>
      </c>
      <c r="DJP23" t="s">
        <v>6984</v>
      </c>
      <c r="DJQ23" t="s">
        <v>6984</v>
      </c>
      <c r="DJR23" t="s">
        <v>6984</v>
      </c>
      <c r="DJS23" t="s">
        <v>6984</v>
      </c>
      <c r="DJT23" t="s">
        <v>6984</v>
      </c>
      <c r="DJU23" t="s">
        <v>6984</v>
      </c>
      <c r="DJV23" t="s">
        <v>6984</v>
      </c>
      <c r="DJW23" t="s">
        <v>6984</v>
      </c>
      <c r="DJX23" t="s">
        <v>6984</v>
      </c>
      <c r="DJY23" t="s">
        <v>6984</v>
      </c>
      <c r="DJZ23" t="s">
        <v>6984</v>
      </c>
      <c r="DKA23" t="s">
        <v>6984</v>
      </c>
      <c r="DKB23" t="s">
        <v>6984</v>
      </c>
      <c r="DKC23" t="s">
        <v>6984</v>
      </c>
      <c r="DKD23" t="s">
        <v>6984</v>
      </c>
      <c r="DKE23" t="s">
        <v>6984</v>
      </c>
      <c r="DKF23" t="s">
        <v>6984</v>
      </c>
      <c r="DKG23" t="s">
        <v>6984</v>
      </c>
      <c r="DKH23" t="s">
        <v>6984</v>
      </c>
      <c r="DKI23" t="s">
        <v>6984</v>
      </c>
      <c r="DKJ23" t="s">
        <v>6984</v>
      </c>
      <c r="DKK23" t="s">
        <v>6984</v>
      </c>
      <c r="DKL23" t="s">
        <v>6984</v>
      </c>
      <c r="DKM23" t="s">
        <v>6984</v>
      </c>
      <c r="DKN23" t="s">
        <v>6984</v>
      </c>
      <c r="DKO23" t="s">
        <v>6984</v>
      </c>
      <c r="DKP23" t="s">
        <v>6984</v>
      </c>
      <c r="DKQ23" t="s">
        <v>6984</v>
      </c>
      <c r="DKR23" t="s">
        <v>6984</v>
      </c>
      <c r="DKS23" t="s">
        <v>6984</v>
      </c>
      <c r="DKT23" t="s">
        <v>6984</v>
      </c>
      <c r="DKU23" t="s">
        <v>6984</v>
      </c>
      <c r="DKV23" t="s">
        <v>6984</v>
      </c>
      <c r="DKW23" t="s">
        <v>6984</v>
      </c>
      <c r="DKX23" t="s">
        <v>6984</v>
      </c>
      <c r="DKY23" t="s">
        <v>6984</v>
      </c>
      <c r="DKZ23" t="s">
        <v>6984</v>
      </c>
      <c r="DLA23" t="s">
        <v>6984</v>
      </c>
      <c r="DLB23" t="s">
        <v>6984</v>
      </c>
      <c r="DLC23" t="s">
        <v>6984</v>
      </c>
      <c r="DLD23" t="s">
        <v>6984</v>
      </c>
      <c r="DLE23" t="s">
        <v>6984</v>
      </c>
      <c r="DLF23" t="s">
        <v>6984</v>
      </c>
      <c r="DLG23" t="s">
        <v>6984</v>
      </c>
      <c r="DLH23" t="s">
        <v>6984</v>
      </c>
      <c r="DLI23" t="s">
        <v>6984</v>
      </c>
      <c r="DLJ23" t="s">
        <v>6984</v>
      </c>
      <c r="DLK23" t="s">
        <v>6984</v>
      </c>
      <c r="DLL23" t="s">
        <v>6984</v>
      </c>
      <c r="DLM23" t="s">
        <v>6984</v>
      </c>
      <c r="DLN23" t="s">
        <v>6984</v>
      </c>
      <c r="DLO23" t="s">
        <v>6984</v>
      </c>
      <c r="DLP23" t="s">
        <v>6984</v>
      </c>
      <c r="DLQ23" t="s">
        <v>6984</v>
      </c>
      <c r="DLR23" t="s">
        <v>6984</v>
      </c>
      <c r="DLS23" t="s">
        <v>6984</v>
      </c>
      <c r="DLT23" t="s">
        <v>6984</v>
      </c>
      <c r="DLU23" t="s">
        <v>6984</v>
      </c>
      <c r="DLV23" t="s">
        <v>6984</v>
      </c>
      <c r="DLW23" t="s">
        <v>6984</v>
      </c>
      <c r="DLX23" t="s">
        <v>6984</v>
      </c>
      <c r="DLY23" t="s">
        <v>6984</v>
      </c>
      <c r="DLZ23" t="s">
        <v>6984</v>
      </c>
      <c r="DMA23" t="s">
        <v>6984</v>
      </c>
      <c r="DMB23" t="s">
        <v>6984</v>
      </c>
      <c r="DMC23" t="s">
        <v>6984</v>
      </c>
      <c r="DMD23" t="s">
        <v>6984</v>
      </c>
      <c r="DME23" t="s">
        <v>6984</v>
      </c>
      <c r="DMF23" t="s">
        <v>6984</v>
      </c>
      <c r="DMG23" t="s">
        <v>6984</v>
      </c>
      <c r="DMH23" t="s">
        <v>6984</v>
      </c>
      <c r="DMI23" t="s">
        <v>6984</v>
      </c>
      <c r="DMJ23" t="s">
        <v>6984</v>
      </c>
      <c r="DMK23" t="s">
        <v>6984</v>
      </c>
      <c r="DML23" t="s">
        <v>6984</v>
      </c>
      <c r="DMM23" t="s">
        <v>6984</v>
      </c>
      <c r="DMN23" t="s">
        <v>6984</v>
      </c>
      <c r="DMO23" t="s">
        <v>6984</v>
      </c>
      <c r="DMP23" t="s">
        <v>6984</v>
      </c>
      <c r="DMQ23" t="s">
        <v>6984</v>
      </c>
      <c r="DMR23" t="s">
        <v>6984</v>
      </c>
      <c r="DMS23" t="s">
        <v>6984</v>
      </c>
      <c r="DMT23" t="s">
        <v>6984</v>
      </c>
      <c r="DMU23" t="s">
        <v>6984</v>
      </c>
      <c r="DMV23" t="s">
        <v>6984</v>
      </c>
      <c r="DMW23" t="s">
        <v>6984</v>
      </c>
      <c r="DMX23" t="s">
        <v>6984</v>
      </c>
      <c r="DMY23" t="s">
        <v>6984</v>
      </c>
      <c r="DMZ23" t="s">
        <v>6984</v>
      </c>
      <c r="DNA23" t="s">
        <v>6984</v>
      </c>
      <c r="DNB23" t="s">
        <v>6984</v>
      </c>
      <c r="DNC23" t="s">
        <v>6984</v>
      </c>
      <c r="DND23" t="s">
        <v>6984</v>
      </c>
      <c r="DNE23" t="s">
        <v>6984</v>
      </c>
      <c r="DNF23" t="s">
        <v>6984</v>
      </c>
      <c r="DNG23" t="s">
        <v>6984</v>
      </c>
      <c r="DNH23" t="s">
        <v>6984</v>
      </c>
      <c r="DNI23" t="s">
        <v>6984</v>
      </c>
      <c r="DNJ23" t="s">
        <v>6984</v>
      </c>
      <c r="DNK23" t="s">
        <v>6984</v>
      </c>
      <c r="DNL23" t="s">
        <v>6984</v>
      </c>
      <c r="DNM23" t="s">
        <v>6984</v>
      </c>
      <c r="DNN23" t="s">
        <v>6984</v>
      </c>
      <c r="DNO23" t="s">
        <v>6984</v>
      </c>
      <c r="DNP23" t="s">
        <v>6984</v>
      </c>
      <c r="DNQ23" t="s">
        <v>6984</v>
      </c>
      <c r="DNR23" t="s">
        <v>6984</v>
      </c>
      <c r="DNS23" t="s">
        <v>6984</v>
      </c>
      <c r="DNT23" t="s">
        <v>6984</v>
      </c>
      <c r="DNU23" t="s">
        <v>6984</v>
      </c>
      <c r="DNV23" t="s">
        <v>6984</v>
      </c>
      <c r="DNW23" t="s">
        <v>6984</v>
      </c>
      <c r="DNX23" t="s">
        <v>6984</v>
      </c>
      <c r="DNY23" t="s">
        <v>6984</v>
      </c>
      <c r="DNZ23" t="s">
        <v>6984</v>
      </c>
      <c r="DOA23" t="s">
        <v>6984</v>
      </c>
      <c r="DOB23" t="s">
        <v>6984</v>
      </c>
      <c r="DOC23" t="s">
        <v>6984</v>
      </c>
      <c r="DOD23" t="s">
        <v>6984</v>
      </c>
      <c r="DOE23" t="s">
        <v>6984</v>
      </c>
      <c r="DOF23" t="s">
        <v>6984</v>
      </c>
      <c r="DOG23" t="s">
        <v>6984</v>
      </c>
      <c r="DOH23" t="s">
        <v>6984</v>
      </c>
      <c r="DOI23" t="s">
        <v>6984</v>
      </c>
      <c r="DOJ23" t="s">
        <v>6984</v>
      </c>
      <c r="DOK23" t="s">
        <v>6984</v>
      </c>
      <c r="DOL23" t="s">
        <v>6984</v>
      </c>
      <c r="DOM23" t="s">
        <v>6984</v>
      </c>
      <c r="DON23" t="s">
        <v>6984</v>
      </c>
      <c r="DOO23" t="s">
        <v>6984</v>
      </c>
      <c r="DOP23" t="s">
        <v>6984</v>
      </c>
      <c r="DOQ23" t="s">
        <v>6984</v>
      </c>
      <c r="DOR23" t="s">
        <v>6984</v>
      </c>
      <c r="DOS23" t="s">
        <v>6984</v>
      </c>
      <c r="DOT23" t="s">
        <v>6984</v>
      </c>
      <c r="DOU23" t="s">
        <v>6984</v>
      </c>
      <c r="DOV23" t="s">
        <v>6984</v>
      </c>
      <c r="DOW23" t="s">
        <v>6984</v>
      </c>
      <c r="DOX23" t="s">
        <v>6984</v>
      </c>
      <c r="DOY23" t="s">
        <v>6984</v>
      </c>
      <c r="DOZ23" t="s">
        <v>6984</v>
      </c>
      <c r="DPA23" t="s">
        <v>6984</v>
      </c>
      <c r="DPB23" t="s">
        <v>6984</v>
      </c>
      <c r="DPC23" t="s">
        <v>6984</v>
      </c>
      <c r="DPD23" t="s">
        <v>6984</v>
      </c>
      <c r="DPE23" t="s">
        <v>6984</v>
      </c>
      <c r="DPF23" t="s">
        <v>6984</v>
      </c>
      <c r="DPG23" t="s">
        <v>6984</v>
      </c>
      <c r="DPH23" t="s">
        <v>6984</v>
      </c>
      <c r="DPI23" t="s">
        <v>6984</v>
      </c>
      <c r="DPJ23" t="s">
        <v>6984</v>
      </c>
      <c r="DPK23" t="s">
        <v>6984</v>
      </c>
      <c r="DPL23" t="s">
        <v>6984</v>
      </c>
      <c r="DPM23" t="s">
        <v>6984</v>
      </c>
      <c r="DPN23" t="s">
        <v>6984</v>
      </c>
      <c r="DPO23" t="s">
        <v>6984</v>
      </c>
      <c r="DPP23" t="s">
        <v>6984</v>
      </c>
      <c r="DPQ23" t="s">
        <v>6984</v>
      </c>
      <c r="DPR23" t="s">
        <v>6984</v>
      </c>
      <c r="DPS23" t="s">
        <v>6984</v>
      </c>
      <c r="DPT23" t="s">
        <v>6984</v>
      </c>
      <c r="DPU23" t="s">
        <v>6984</v>
      </c>
      <c r="DPV23" t="s">
        <v>6984</v>
      </c>
      <c r="DPW23" t="s">
        <v>6984</v>
      </c>
      <c r="DPX23" t="s">
        <v>6984</v>
      </c>
      <c r="DPY23" t="s">
        <v>6984</v>
      </c>
      <c r="DPZ23" t="s">
        <v>6984</v>
      </c>
      <c r="DQA23" t="s">
        <v>6984</v>
      </c>
      <c r="DQB23" t="s">
        <v>6984</v>
      </c>
      <c r="DQC23" t="s">
        <v>6984</v>
      </c>
      <c r="DQD23" t="s">
        <v>6984</v>
      </c>
      <c r="DQE23" t="s">
        <v>6984</v>
      </c>
      <c r="DQF23" t="s">
        <v>6984</v>
      </c>
      <c r="DQG23" t="s">
        <v>6984</v>
      </c>
      <c r="DQH23" t="s">
        <v>6984</v>
      </c>
      <c r="DQI23" t="s">
        <v>6984</v>
      </c>
      <c r="DQJ23" t="s">
        <v>6984</v>
      </c>
      <c r="DQK23" t="s">
        <v>6984</v>
      </c>
      <c r="DQL23" t="s">
        <v>6984</v>
      </c>
      <c r="DQM23" t="s">
        <v>6984</v>
      </c>
      <c r="DQN23" t="s">
        <v>6984</v>
      </c>
      <c r="DQO23" t="s">
        <v>6984</v>
      </c>
      <c r="DQP23" t="s">
        <v>6984</v>
      </c>
      <c r="DQQ23" t="s">
        <v>6984</v>
      </c>
      <c r="DQR23" t="s">
        <v>6984</v>
      </c>
      <c r="DQS23" t="s">
        <v>6984</v>
      </c>
      <c r="DQT23" t="s">
        <v>6984</v>
      </c>
      <c r="DQU23" t="s">
        <v>6984</v>
      </c>
      <c r="DQV23" t="s">
        <v>6984</v>
      </c>
      <c r="DQW23" t="s">
        <v>6984</v>
      </c>
      <c r="DQX23" t="s">
        <v>6984</v>
      </c>
      <c r="DQY23" t="s">
        <v>6984</v>
      </c>
      <c r="DQZ23" t="s">
        <v>6984</v>
      </c>
      <c r="DRA23" t="s">
        <v>6984</v>
      </c>
      <c r="DRB23" t="s">
        <v>6984</v>
      </c>
      <c r="DRC23" t="s">
        <v>6984</v>
      </c>
      <c r="DRD23" t="s">
        <v>6984</v>
      </c>
      <c r="DRE23" t="s">
        <v>6984</v>
      </c>
      <c r="DRF23" t="s">
        <v>6984</v>
      </c>
      <c r="DRG23" t="s">
        <v>6984</v>
      </c>
      <c r="DRH23" t="s">
        <v>6984</v>
      </c>
      <c r="DRI23" t="s">
        <v>6984</v>
      </c>
      <c r="DRJ23" t="s">
        <v>6984</v>
      </c>
      <c r="DRK23" t="s">
        <v>6984</v>
      </c>
      <c r="DRL23" t="s">
        <v>6984</v>
      </c>
      <c r="DRM23" t="s">
        <v>6984</v>
      </c>
      <c r="DRN23" t="s">
        <v>6984</v>
      </c>
      <c r="DRO23" t="s">
        <v>6984</v>
      </c>
      <c r="DRP23" t="s">
        <v>6984</v>
      </c>
      <c r="DRQ23" t="s">
        <v>6984</v>
      </c>
      <c r="DRR23" t="s">
        <v>6984</v>
      </c>
      <c r="DRS23" t="s">
        <v>6984</v>
      </c>
      <c r="DRT23" t="s">
        <v>6984</v>
      </c>
      <c r="DRU23" t="s">
        <v>6984</v>
      </c>
      <c r="DRV23" t="s">
        <v>6984</v>
      </c>
      <c r="DRW23" t="s">
        <v>6984</v>
      </c>
      <c r="DRX23" t="s">
        <v>6984</v>
      </c>
      <c r="DRY23" t="s">
        <v>6984</v>
      </c>
      <c r="DRZ23" t="s">
        <v>6984</v>
      </c>
      <c r="DSA23" t="s">
        <v>6984</v>
      </c>
      <c r="DSB23" t="s">
        <v>6984</v>
      </c>
      <c r="DSC23" t="s">
        <v>6984</v>
      </c>
      <c r="DSD23" t="s">
        <v>6984</v>
      </c>
      <c r="DSE23" t="s">
        <v>6984</v>
      </c>
      <c r="DSF23" t="s">
        <v>6984</v>
      </c>
      <c r="DSG23" t="s">
        <v>6984</v>
      </c>
      <c r="DSH23" t="s">
        <v>6984</v>
      </c>
      <c r="DSI23" t="s">
        <v>6984</v>
      </c>
      <c r="DSJ23" t="s">
        <v>6984</v>
      </c>
      <c r="DSK23" t="s">
        <v>6984</v>
      </c>
      <c r="DSL23" t="s">
        <v>6984</v>
      </c>
      <c r="DSM23" t="s">
        <v>6984</v>
      </c>
      <c r="DSN23" t="s">
        <v>6984</v>
      </c>
      <c r="DSO23" t="s">
        <v>6984</v>
      </c>
      <c r="DSP23" t="s">
        <v>6984</v>
      </c>
      <c r="DSQ23" t="s">
        <v>6984</v>
      </c>
      <c r="DSR23" t="s">
        <v>6984</v>
      </c>
      <c r="DSS23" t="s">
        <v>6984</v>
      </c>
      <c r="DST23" t="s">
        <v>6984</v>
      </c>
      <c r="DSU23" t="s">
        <v>6984</v>
      </c>
      <c r="DSV23" t="s">
        <v>6984</v>
      </c>
      <c r="DSW23" t="s">
        <v>6984</v>
      </c>
      <c r="DSX23" t="s">
        <v>6984</v>
      </c>
      <c r="DSY23" t="s">
        <v>6984</v>
      </c>
      <c r="DSZ23" t="s">
        <v>6984</v>
      </c>
      <c r="DTA23" t="s">
        <v>6984</v>
      </c>
      <c r="DTB23" t="s">
        <v>6984</v>
      </c>
      <c r="DTC23" t="s">
        <v>6984</v>
      </c>
      <c r="DTD23" t="s">
        <v>6984</v>
      </c>
      <c r="DTE23" t="s">
        <v>6984</v>
      </c>
      <c r="DTF23" t="s">
        <v>6984</v>
      </c>
      <c r="DTG23" t="s">
        <v>6984</v>
      </c>
      <c r="DTH23" t="s">
        <v>6984</v>
      </c>
      <c r="DTI23" t="s">
        <v>6984</v>
      </c>
      <c r="DTJ23" t="s">
        <v>6984</v>
      </c>
      <c r="DTK23" t="s">
        <v>6984</v>
      </c>
      <c r="DTL23" t="s">
        <v>6984</v>
      </c>
      <c r="DTM23" t="s">
        <v>6984</v>
      </c>
      <c r="DTN23" t="s">
        <v>6984</v>
      </c>
      <c r="DTO23" t="s">
        <v>6984</v>
      </c>
      <c r="DTP23" t="s">
        <v>6984</v>
      </c>
      <c r="DTQ23" t="s">
        <v>6984</v>
      </c>
      <c r="DTR23" t="s">
        <v>6984</v>
      </c>
      <c r="DTS23" t="s">
        <v>6984</v>
      </c>
      <c r="DTT23" t="s">
        <v>6984</v>
      </c>
      <c r="DTU23" t="s">
        <v>6984</v>
      </c>
      <c r="DTV23" t="s">
        <v>6984</v>
      </c>
      <c r="DTW23" t="s">
        <v>6984</v>
      </c>
      <c r="DTX23" t="s">
        <v>6984</v>
      </c>
      <c r="DTY23" t="s">
        <v>6984</v>
      </c>
      <c r="DTZ23" t="s">
        <v>6984</v>
      </c>
      <c r="DUA23" t="s">
        <v>6984</v>
      </c>
      <c r="DUB23" t="s">
        <v>6984</v>
      </c>
      <c r="DUC23" t="s">
        <v>6984</v>
      </c>
      <c r="DUD23" t="s">
        <v>6984</v>
      </c>
      <c r="DUE23" t="s">
        <v>6984</v>
      </c>
      <c r="DUF23" t="s">
        <v>6984</v>
      </c>
      <c r="DUG23" t="s">
        <v>6984</v>
      </c>
      <c r="DUH23" t="s">
        <v>6984</v>
      </c>
      <c r="DUI23" t="s">
        <v>6984</v>
      </c>
      <c r="DUJ23" t="s">
        <v>6984</v>
      </c>
      <c r="DUK23" t="s">
        <v>6984</v>
      </c>
      <c r="DUL23" t="s">
        <v>6984</v>
      </c>
      <c r="DUM23" t="s">
        <v>6984</v>
      </c>
      <c r="DUN23" t="s">
        <v>6984</v>
      </c>
      <c r="DUO23" t="s">
        <v>6984</v>
      </c>
      <c r="DUP23" t="s">
        <v>6984</v>
      </c>
      <c r="DUQ23" t="s">
        <v>6984</v>
      </c>
      <c r="DUR23" t="s">
        <v>6984</v>
      </c>
      <c r="DUS23" t="s">
        <v>6984</v>
      </c>
      <c r="DUT23" t="s">
        <v>6984</v>
      </c>
      <c r="DUU23" t="s">
        <v>6984</v>
      </c>
      <c r="DUV23" t="s">
        <v>6984</v>
      </c>
      <c r="DUW23" t="s">
        <v>6984</v>
      </c>
      <c r="DUX23" t="s">
        <v>6984</v>
      </c>
      <c r="DUY23" t="s">
        <v>6984</v>
      </c>
      <c r="DUZ23" t="s">
        <v>6984</v>
      </c>
      <c r="DVA23" t="s">
        <v>6984</v>
      </c>
      <c r="DVB23" t="s">
        <v>6984</v>
      </c>
      <c r="DVC23" t="s">
        <v>6984</v>
      </c>
      <c r="DVD23" t="s">
        <v>6984</v>
      </c>
      <c r="DVE23" t="s">
        <v>6984</v>
      </c>
      <c r="DVF23" t="s">
        <v>6984</v>
      </c>
      <c r="DVG23" t="s">
        <v>6984</v>
      </c>
      <c r="DVH23" t="s">
        <v>6984</v>
      </c>
      <c r="DVI23" t="s">
        <v>6984</v>
      </c>
      <c r="DVJ23" t="s">
        <v>6984</v>
      </c>
      <c r="DVK23" t="s">
        <v>6984</v>
      </c>
      <c r="DVL23" t="s">
        <v>6984</v>
      </c>
      <c r="DVM23" t="s">
        <v>6984</v>
      </c>
      <c r="DVN23" t="s">
        <v>6984</v>
      </c>
      <c r="DVO23" t="s">
        <v>6984</v>
      </c>
      <c r="DVP23" t="s">
        <v>6984</v>
      </c>
      <c r="DVQ23" t="s">
        <v>6984</v>
      </c>
      <c r="DVR23" t="s">
        <v>6984</v>
      </c>
      <c r="DVS23" t="s">
        <v>6984</v>
      </c>
      <c r="DVT23" t="s">
        <v>6984</v>
      </c>
      <c r="DVU23" t="s">
        <v>6984</v>
      </c>
      <c r="DVV23" t="s">
        <v>6984</v>
      </c>
      <c r="DVW23" t="s">
        <v>6984</v>
      </c>
      <c r="DVX23" t="s">
        <v>6984</v>
      </c>
      <c r="DVY23" t="s">
        <v>6984</v>
      </c>
      <c r="DVZ23" t="s">
        <v>6984</v>
      </c>
      <c r="DWA23" t="s">
        <v>6984</v>
      </c>
      <c r="DWB23" t="s">
        <v>6984</v>
      </c>
      <c r="DWC23" t="s">
        <v>6984</v>
      </c>
      <c r="DWD23" t="s">
        <v>6984</v>
      </c>
      <c r="DWE23" t="s">
        <v>6984</v>
      </c>
      <c r="DWF23" t="s">
        <v>6984</v>
      </c>
      <c r="DWG23" t="s">
        <v>6984</v>
      </c>
      <c r="DWH23" t="s">
        <v>6984</v>
      </c>
      <c r="DWI23" t="s">
        <v>6984</v>
      </c>
      <c r="DWJ23" t="s">
        <v>6984</v>
      </c>
      <c r="DWK23" t="s">
        <v>6984</v>
      </c>
      <c r="DWL23" t="s">
        <v>6984</v>
      </c>
      <c r="DWM23" t="s">
        <v>6984</v>
      </c>
      <c r="DWN23" t="s">
        <v>6984</v>
      </c>
      <c r="DWO23" t="s">
        <v>6984</v>
      </c>
      <c r="DWP23" t="s">
        <v>6984</v>
      </c>
      <c r="DWQ23" t="s">
        <v>6984</v>
      </c>
      <c r="DWR23" t="s">
        <v>6984</v>
      </c>
      <c r="DWS23" t="s">
        <v>6984</v>
      </c>
      <c r="DWT23" t="s">
        <v>6984</v>
      </c>
      <c r="DWU23" t="s">
        <v>6984</v>
      </c>
      <c r="DWV23" t="s">
        <v>6984</v>
      </c>
      <c r="DWW23" t="s">
        <v>6984</v>
      </c>
      <c r="DWX23" t="s">
        <v>6984</v>
      </c>
      <c r="DWY23" t="s">
        <v>6984</v>
      </c>
      <c r="DWZ23" t="s">
        <v>6984</v>
      </c>
      <c r="DXA23" t="s">
        <v>6984</v>
      </c>
      <c r="DXB23" t="s">
        <v>6984</v>
      </c>
      <c r="DXC23" t="s">
        <v>6984</v>
      </c>
      <c r="DXD23" t="s">
        <v>6984</v>
      </c>
      <c r="DXE23" t="s">
        <v>6984</v>
      </c>
      <c r="DXF23" t="s">
        <v>6984</v>
      </c>
      <c r="DXG23" t="s">
        <v>6984</v>
      </c>
      <c r="DXH23" t="s">
        <v>6984</v>
      </c>
      <c r="DXI23" t="s">
        <v>6984</v>
      </c>
      <c r="DXJ23" t="s">
        <v>6984</v>
      </c>
      <c r="DXK23" t="s">
        <v>6984</v>
      </c>
      <c r="DXL23" t="s">
        <v>6984</v>
      </c>
      <c r="DXM23" t="s">
        <v>6984</v>
      </c>
      <c r="DXN23" t="s">
        <v>6984</v>
      </c>
      <c r="DXO23" t="s">
        <v>6984</v>
      </c>
      <c r="DXP23" t="s">
        <v>6984</v>
      </c>
      <c r="DXQ23" t="s">
        <v>6984</v>
      </c>
      <c r="DXR23" t="s">
        <v>6984</v>
      </c>
      <c r="DXS23" t="s">
        <v>6984</v>
      </c>
      <c r="DXT23" t="s">
        <v>6984</v>
      </c>
      <c r="DXU23" t="s">
        <v>6984</v>
      </c>
      <c r="DXV23" t="s">
        <v>6984</v>
      </c>
      <c r="DXW23" t="s">
        <v>6984</v>
      </c>
      <c r="DXX23" t="s">
        <v>6984</v>
      </c>
      <c r="DXY23" t="s">
        <v>6984</v>
      </c>
      <c r="DXZ23" t="s">
        <v>6984</v>
      </c>
      <c r="DYA23" t="s">
        <v>6984</v>
      </c>
      <c r="DYB23" t="s">
        <v>6984</v>
      </c>
      <c r="DYC23" t="s">
        <v>6984</v>
      </c>
      <c r="DYD23" t="s">
        <v>6984</v>
      </c>
      <c r="DYE23" t="s">
        <v>6984</v>
      </c>
      <c r="DYF23" t="s">
        <v>6984</v>
      </c>
      <c r="DYG23" t="s">
        <v>6984</v>
      </c>
      <c r="DYH23" t="s">
        <v>6984</v>
      </c>
      <c r="DYI23" t="s">
        <v>6984</v>
      </c>
      <c r="DYJ23" t="s">
        <v>6984</v>
      </c>
      <c r="DYK23" t="s">
        <v>6984</v>
      </c>
      <c r="DYL23" t="s">
        <v>6984</v>
      </c>
      <c r="DYM23" t="s">
        <v>6984</v>
      </c>
      <c r="DYN23" t="s">
        <v>6984</v>
      </c>
      <c r="DYO23" t="s">
        <v>6984</v>
      </c>
      <c r="DYP23" t="s">
        <v>6984</v>
      </c>
      <c r="DYQ23" t="s">
        <v>6984</v>
      </c>
      <c r="DYR23" t="s">
        <v>6984</v>
      </c>
      <c r="DYS23" t="s">
        <v>6984</v>
      </c>
      <c r="DYT23" t="s">
        <v>6984</v>
      </c>
      <c r="DYU23" t="s">
        <v>6984</v>
      </c>
      <c r="DYV23" t="s">
        <v>6984</v>
      </c>
      <c r="DYW23" t="s">
        <v>6984</v>
      </c>
      <c r="DYX23" t="s">
        <v>6984</v>
      </c>
      <c r="DYY23" t="s">
        <v>6984</v>
      </c>
      <c r="DYZ23" t="s">
        <v>6984</v>
      </c>
      <c r="DZA23" t="s">
        <v>6984</v>
      </c>
      <c r="DZB23" t="s">
        <v>6984</v>
      </c>
      <c r="DZC23" t="s">
        <v>6984</v>
      </c>
      <c r="DZD23" t="s">
        <v>6984</v>
      </c>
      <c r="DZE23" t="s">
        <v>6984</v>
      </c>
      <c r="DZF23" t="s">
        <v>6984</v>
      </c>
      <c r="DZG23" t="s">
        <v>6984</v>
      </c>
      <c r="DZH23" t="s">
        <v>6984</v>
      </c>
      <c r="DZI23" t="s">
        <v>6984</v>
      </c>
      <c r="DZJ23" t="s">
        <v>6984</v>
      </c>
      <c r="DZK23" t="s">
        <v>6984</v>
      </c>
      <c r="DZL23" t="s">
        <v>6984</v>
      </c>
      <c r="DZM23" t="s">
        <v>6984</v>
      </c>
      <c r="DZN23" t="s">
        <v>6984</v>
      </c>
      <c r="DZO23" t="s">
        <v>6984</v>
      </c>
      <c r="DZP23" t="s">
        <v>6984</v>
      </c>
      <c r="DZQ23" t="s">
        <v>6984</v>
      </c>
      <c r="DZR23" t="s">
        <v>6984</v>
      </c>
      <c r="DZS23" t="s">
        <v>6984</v>
      </c>
      <c r="DZT23" t="s">
        <v>6984</v>
      </c>
      <c r="DZU23" t="s">
        <v>6984</v>
      </c>
      <c r="DZV23" t="s">
        <v>6984</v>
      </c>
      <c r="DZW23" t="s">
        <v>6984</v>
      </c>
      <c r="DZX23" t="s">
        <v>6984</v>
      </c>
      <c r="DZY23" t="s">
        <v>6984</v>
      </c>
      <c r="DZZ23" t="s">
        <v>6984</v>
      </c>
      <c r="EAA23" t="s">
        <v>6984</v>
      </c>
      <c r="EAB23" t="s">
        <v>6984</v>
      </c>
      <c r="EAC23" t="s">
        <v>6984</v>
      </c>
      <c r="EAD23" t="s">
        <v>6984</v>
      </c>
      <c r="EAE23" t="s">
        <v>6984</v>
      </c>
      <c r="EAF23" t="s">
        <v>6984</v>
      </c>
      <c r="EAG23" t="s">
        <v>6984</v>
      </c>
      <c r="EAH23" t="s">
        <v>6984</v>
      </c>
      <c r="EAI23" t="s">
        <v>6984</v>
      </c>
      <c r="EAJ23" t="s">
        <v>6984</v>
      </c>
      <c r="EAK23" t="s">
        <v>6984</v>
      </c>
      <c r="EAL23" t="s">
        <v>6984</v>
      </c>
      <c r="EAM23" t="s">
        <v>6984</v>
      </c>
      <c r="EAN23" t="s">
        <v>6984</v>
      </c>
      <c r="EAO23" t="s">
        <v>6984</v>
      </c>
      <c r="EAP23" t="s">
        <v>6984</v>
      </c>
      <c r="EAQ23" t="s">
        <v>6984</v>
      </c>
      <c r="EAR23" t="s">
        <v>6984</v>
      </c>
      <c r="EAS23" t="s">
        <v>6984</v>
      </c>
      <c r="EAT23" t="s">
        <v>6984</v>
      </c>
      <c r="EAU23" t="s">
        <v>6984</v>
      </c>
      <c r="EAV23" t="s">
        <v>6984</v>
      </c>
      <c r="EAW23" t="s">
        <v>6984</v>
      </c>
      <c r="EAX23" t="s">
        <v>6984</v>
      </c>
      <c r="EAY23" t="s">
        <v>6984</v>
      </c>
      <c r="EAZ23" t="s">
        <v>6984</v>
      </c>
      <c r="EBA23" t="s">
        <v>6984</v>
      </c>
      <c r="EBB23" t="s">
        <v>6984</v>
      </c>
      <c r="EBC23" t="s">
        <v>6984</v>
      </c>
      <c r="EBD23" t="s">
        <v>6984</v>
      </c>
      <c r="EBE23" t="s">
        <v>6984</v>
      </c>
      <c r="EBF23" t="s">
        <v>6984</v>
      </c>
      <c r="EBG23" t="s">
        <v>6984</v>
      </c>
      <c r="EBH23" t="s">
        <v>6984</v>
      </c>
      <c r="EBI23" t="s">
        <v>6984</v>
      </c>
      <c r="EBJ23" t="s">
        <v>6984</v>
      </c>
      <c r="EBK23" t="s">
        <v>6984</v>
      </c>
      <c r="EBL23" t="s">
        <v>6984</v>
      </c>
      <c r="EBM23" t="s">
        <v>6984</v>
      </c>
      <c r="EBN23" t="s">
        <v>6984</v>
      </c>
      <c r="EBO23" t="s">
        <v>6984</v>
      </c>
      <c r="EBP23" t="s">
        <v>6984</v>
      </c>
      <c r="EBQ23" t="s">
        <v>6984</v>
      </c>
      <c r="EBR23" t="s">
        <v>6984</v>
      </c>
      <c r="EBS23" t="s">
        <v>6984</v>
      </c>
      <c r="EBT23" t="s">
        <v>6984</v>
      </c>
      <c r="EBU23" t="s">
        <v>6984</v>
      </c>
      <c r="EBV23" t="s">
        <v>6984</v>
      </c>
      <c r="EBW23" t="s">
        <v>6984</v>
      </c>
      <c r="EBX23" t="s">
        <v>6984</v>
      </c>
      <c r="EBY23" t="s">
        <v>6984</v>
      </c>
      <c r="EBZ23" t="s">
        <v>6984</v>
      </c>
      <c r="ECA23" t="s">
        <v>6984</v>
      </c>
      <c r="ECB23" t="s">
        <v>6984</v>
      </c>
      <c r="ECC23" t="s">
        <v>6984</v>
      </c>
      <c r="ECD23" t="s">
        <v>6984</v>
      </c>
      <c r="ECE23" t="s">
        <v>6984</v>
      </c>
      <c r="ECF23" t="s">
        <v>6984</v>
      </c>
      <c r="ECG23" t="s">
        <v>6984</v>
      </c>
      <c r="ECH23" t="s">
        <v>6984</v>
      </c>
      <c r="ECI23" t="s">
        <v>6984</v>
      </c>
      <c r="ECJ23" t="s">
        <v>6984</v>
      </c>
      <c r="ECK23" t="s">
        <v>6984</v>
      </c>
      <c r="ECL23" t="s">
        <v>6984</v>
      </c>
      <c r="ECM23" t="s">
        <v>6984</v>
      </c>
      <c r="ECN23" t="s">
        <v>6984</v>
      </c>
      <c r="ECO23" t="s">
        <v>6984</v>
      </c>
      <c r="ECP23" t="s">
        <v>6984</v>
      </c>
      <c r="ECQ23" t="s">
        <v>6984</v>
      </c>
      <c r="ECR23" t="s">
        <v>6984</v>
      </c>
      <c r="ECS23" t="s">
        <v>6984</v>
      </c>
      <c r="ECT23" t="s">
        <v>6984</v>
      </c>
      <c r="ECU23" t="s">
        <v>6984</v>
      </c>
      <c r="ECV23" t="s">
        <v>6984</v>
      </c>
      <c r="ECW23" t="s">
        <v>6984</v>
      </c>
      <c r="ECX23" t="s">
        <v>6984</v>
      </c>
      <c r="ECY23" t="s">
        <v>6984</v>
      </c>
      <c r="ECZ23" t="s">
        <v>6984</v>
      </c>
      <c r="EDA23" t="s">
        <v>6984</v>
      </c>
      <c r="EDB23" t="s">
        <v>6984</v>
      </c>
      <c r="EDC23" t="s">
        <v>6984</v>
      </c>
      <c r="EDD23" t="s">
        <v>6984</v>
      </c>
      <c r="EDE23" t="s">
        <v>6984</v>
      </c>
      <c r="EDF23" t="s">
        <v>6984</v>
      </c>
      <c r="EDG23" t="s">
        <v>6984</v>
      </c>
      <c r="EDH23" t="s">
        <v>6984</v>
      </c>
      <c r="EDI23" t="s">
        <v>6984</v>
      </c>
      <c r="EDJ23" t="s">
        <v>6984</v>
      </c>
      <c r="EDK23" t="s">
        <v>6984</v>
      </c>
      <c r="EDL23" t="s">
        <v>6984</v>
      </c>
      <c r="EDM23" t="s">
        <v>6984</v>
      </c>
      <c r="EDN23" t="s">
        <v>6984</v>
      </c>
      <c r="EDO23" t="s">
        <v>6984</v>
      </c>
      <c r="EDP23" t="s">
        <v>6984</v>
      </c>
      <c r="EDQ23" t="s">
        <v>6984</v>
      </c>
      <c r="EDR23" t="s">
        <v>6984</v>
      </c>
      <c r="EDS23" t="s">
        <v>6984</v>
      </c>
      <c r="EDT23" t="s">
        <v>6984</v>
      </c>
      <c r="EDU23" t="s">
        <v>6984</v>
      </c>
      <c r="EDV23" t="s">
        <v>6984</v>
      </c>
      <c r="EDW23" t="s">
        <v>6984</v>
      </c>
      <c r="EDX23" t="s">
        <v>6984</v>
      </c>
      <c r="EDY23" t="s">
        <v>6984</v>
      </c>
      <c r="EDZ23" t="s">
        <v>6984</v>
      </c>
      <c r="EEA23" t="s">
        <v>6984</v>
      </c>
      <c r="EEB23" t="s">
        <v>6984</v>
      </c>
      <c r="EEC23" t="s">
        <v>6984</v>
      </c>
      <c r="EED23" t="s">
        <v>6984</v>
      </c>
      <c r="EEE23" t="s">
        <v>6984</v>
      </c>
      <c r="EEF23" t="s">
        <v>6984</v>
      </c>
      <c r="EEG23" t="s">
        <v>6984</v>
      </c>
      <c r="EEH23" t="s">
        <v>6984</v>
      </c>
      <c r="EEI23" t="s">
        <v>6984</v>
      </c>
      <c r="EEJ23" t="s">
        <v>6984</v>
      </c>
      <c r="EEK23" t="s">
        <v>6984</v>
      </c>
      <c r="EEL23" t="s">
        <v>6984</v>
      </c>
      <c r="EEM23" t="s">
        <v>6984</v>
      </c>
      <c r="EEN23" t="s">
        <v>6984</v>
      </c>
      <c r="EEO23" t="s">
        <v>6984</v>
      </c>
      <c r="EEP23" t="s">
        <v>6984</v>
      </c>
      <c r="EEQ23" t="s">
        <v>6984</v>
      </c>
      <c r="EER23" t="s">
        <v>6984</v>
      </c>
      <c r="EES23" t="s">
        <v>6984</v>
      </c>
      <c r="EET23" t="s">
        <v>6984</v>
      </c>
      <c r="EEU23" t="s">
        <v>6984</v>
      </c>
      <c r="EEV23" t="s">
        <v>6984</v>
      </c>
      <c r="EEW23" t="s">
        <v>6984</v>
      </c>
      <c r="EEX23" t="s">
        <v>6984</v>
      </c>
      <c r="EEY23" t="s">
        <v>6984</v>
      </c>
      <c r="EEZ23" t="s">
        <v>6984</v>
      </c>
      <c r="EFA23" t="s">
        <v>6984</v>
      </c>
      <c r="EFB23" t="s">
        <v>6984</v>
      </c>
      <c r="EFC23" t="s">
        <v>6984</v>
      </c>
      <c r="EFD23" t="s">
        <v>6984</v>
      </c>
      <c r="EFE23" t="s">
        <v>6984</v>
      </c>
      <c r="EFF23" t="s">
        <v>6984</v>
      </c>
      <c r="EFG23" t="s">
        <v>6984</v>
      </c>
      <c r="EFH23" t="s">
        <v>6984</v>
      </c>
      <c r="EFI23" t="s">
        <v>6984</v>
      </c>
      <c r="EFJ23" t="s">
        <v>6984</v>
      </c>
      <c r="EFK23" t="s">
        <v>6984</v>
      </c>
      <c r="EFL23" t="s">
        <v>6984</v>
      </c>
      <c r="EFM23" t="s">
        <v>6984</v>
      </c>
      <c r="EFN23" t="s">
        <v>6984</v>
      </c>
      <c r="EFO23" t="s">
        <v>6984</v>
      </c>
      <c r="EFP23" t="s">
        <v>6984</v>
      </c>
      <c r="EFQ23" t="s">
        <v>6984</v>
      </c>
      <c r="EFR23" t="s">
        <v>6984</v>
      </c>
      <c r="EFS23" t="s">
        <v>6984</v>
      </c>
      <c r="EFT23" t="s">
        <v>6984</v>
      </c>
      <c r="EFU23" t="s">
        <v>6984</v>
      </c>
      <c r="EFV23" t="s">
        <v>6984</v>
      </c>
      <c r="EFW23" t="s">
        <v>6984</v>
      </c>
      <c r="EFX23" t="s">
        <v>6984</v>
      </c>
      <c r="EFY23" t="s">
        <v>6984</v>
      </c>
      <c r="EFZ23" t="s">
        <v>6984</v>
      </c>
      <c r="EGA23" t="s">
        <v>6984</v>
      </c>
      <c r="EGB23" t="s">
        <v>6984</v>
      </c>
      <c r="EGC23" t="s">
        <v>6984</v>
      </c>
      <c r="EGD23" t="s">
        <v>6984</v>
      </c>
      <c r="EGE23" t="s">
        <v>6984</v>
      </c>
      <c r="EGF23" t="s">
        <v>6984</v>
      </c>
      <c r="EGG23" t="s">
        <v>6984</v>
      </c>
      <c r="EGH23" t="s">
        <v>6984</v>
      </c>
      <c r="EGI23" t="s">
        <v>6984</v>
      </c>
      <c r="EGJ23" t="s">
        <v>6984</v>
      </c>
      <c r="EGK23" t="s">
        <v>6984</v>
      </c>
      <c r="EGL23" t="s">
        <v>6984</v>
      </c>
      <c r="EGM23" t="s">
        <v>6984</v>
      </c>
      <c r="EGN23" t="s">
        <v>6984</v>
      </c>
      <c r="EGO23" t="s">
        <v>6984</v>
      </c>
      <c r="EGP23" t="s">
        <v>6984</v>
      </c>
      <c r="EGQ23" t="s">
        <v>6984</v>
      </c>
      <c r="EGR23" t="s">
        <v>6984</v>
      </c>
      <c r="EGS23" t="s">
        <v>6984</v>
      </c>
      <c r="EGT23" t="s">
        <v>6984</v>
      </c>
      <c r="EGU23" t="s">
        <v>6984</v>
      </c>
      <c r="EGV23" t="s">
        <v>6984</v>
      </c>
      <c r="EGW23" t="s">
        <v>6984</v>
      </c>
      <c r="EGX23" t="s">
        <v>6984</v>
      </c>
      <c r="EGY23" t="s">
        <v>6984</v>
      </c>
      <c r="EGZ23" t="s">
        <v>6984</v>
      </c>
      <c r="EHA23" t="s">
        <v>6984</v>
      </c>
      <c r="EHB23" t="s">
        <v>6984</v>
      </c>
      <c r="EHC23" t="s">
        <v>6984</v>
      </c>
      <c r="EHD23" t="s">
        <v>6984</v>
      </c>
      <c r="EHE23" t="s">
        <v>6984</v>
      </c>
      <c r="EHF23" t="s">
        <v>6984</v>
      </c>
      <c r="EHG23" t="s">
        <v>6984</v>
      </c>
      <c r="EHH23" t="s">
        <v>6984</v>
      </c>
      <c r="EHI23" t="s">
        <v>6984</v>
      </c>
      <c r="EHJ23" t="s">
        <v>6984</v>
      </c>
      <c r="EHK23" t="s">
        <v>6984</v>
      </c>
      <c r="EHL23" t="s">
        <v>6984</v>
      </c>
      <c r="EHM23" t="s">
        <v>6984</v>
      </c>
      <c r="EHN23" t="s">
        <v>6984</v>
      </c>
      <c r="EHO23" t="s">
        <v>6984</v>
      </c>
      <c r="EHP23" t="s">
        <v>6984</v>
      </c>
      <c r="EHQ23" t="s">
        <v>6984</v>
      </c>
      <c r="EHR23" t="s">
        <v>6984</v>
      </c>
      <c r="EHS23" t="s">
        <v>6984</v>
      </c>
      <c r="EHT23" t="s">
        <v>6984</v>
      </c>
      <c r="EHU23" t="s">
        <v>6984</v>
      </c>
      <c r="EHV23" t="s">
        <v>6984</v>
      </c>
      <c r="EHW23" t="s">
        <v>6984</v>
      </c>
      <c r="EHX23" t="s">
        <v>6984</v>
      </c>
      <c r="EHY23" t="s">
        <v>6984</v>
      </c>
      <c r="EHZ23" t="s">
        <v>6984</v>
      </c>
      <c r="EIA23" t="s">
        <v>6984</v>
      </c>
      <c r="EIB23" t="s">
        <v>6984</v>
      </c>
      <c r="EIC23" t="s">
        <v>6984</v>
      </c>
      <c r="EID23" t="s">
        <v>6984</v>
      </c>
      <c r="EIE23" t="s">
        <v>6984</v>
      </c>
      <c r="EIF23" t="s">
        <v>6984</v>
      </c>
      <c r="EIG23" t="s">
        <v>6984</v>
      </c>
      <c r="EIH23" t="s">
        <v>6984</v>
      </c>
      <c r="EII23" t="s">
        <v>6984</v>
      </c>
      <c r="EIJ23" t="s">
        <v>6984</v>
      </c>
      <c r="EIK23" t="s">
        <v>6984</v>
      </c>
      <c r="EIL23" t="s">
        <v>6984</v>
      </c>
      <c r="EIM23" t="s">
        <v>6984</v>
      </c>
      <c r="EIN23" t="s">
        <v>6984</v>
      </c>
      <c r="EIO23" t="s">
        <v>6984</v>
      </c>
      <c r="EIP23" t="s">
        <v>6984</v>
      </c>
      <c r="EIQ23" t="s">
        <v>6984</v>
      </c>
      <c r="EIR23" t="s">
        <v>6984</v>
      </c>
      <c r="EIS23" t="s">
        <v>6984</v>
      </c>
      <c r="EIT23" t="s">
        <v>6984</v>
      </c>
      <c r="EIU23" t="s">
        <v>6984</v>
      </c>
      <c r="EIV23" t="s">
        <v>6984</v>
      </c>
      <c r="EIW23" t="s">
        <v>6984</v>
      </c>
      <c r="EIX23" t="s">
        <v>6984</v>
      </c>
      <c r="EIY23" t="s">
        <v>6984</v>
      </c>
      <c r="EIZ23" t="s">
        <v>6984</v>
      </c>
      <c r="EJA23" t="s">
        <v>6984</v>
      </c>
      <c r="EJB23" t="s">
        <v>6984</v>
      </c>
      <c r="EJC23" t="s">
        <v>6984</v>
      </c>
      <c r="EJD23" t="s">
        <v>6984</v>
      </c>
      <c r="EJE23" t="s">
        <v>6984</v>
      </c>
      <c r="EJF23" t="s">
        <v>6984</v>
      </c>
      <c r="EJG23" t="s">
        <v>6984</v>
      </c>
      <c r="EJH23" t="s">
        <v>6984</v>
      </c>
      <c r="EJI23" t="s">
        <v>6984</v>
      </c>
      <c r="EJJ23" t="s">
        <v>6984</v>
      </c>
      <c r="EJK23" t="s">
        <v>6984</v>
      </c>
      <c r="EJL23" t="s">
        <v>6984</v>
      </c>
      <c r="EJM23" t="s">
        <v>6984</v>
      </c>
      <c r="EJN23" t="s">
        <v>6984</v>
      </c>
      <c r="EJO23" t="s">
        <v>6984</v>
      </c>
      <c r="EJP23" t="s">
        <v>6984</v>
      </c>
      <c r="EJQ23" t="s">
        <v>6984</v>
      </c>
      <c r="EJR23" t="s">
        <v>6984</v>
      </c>
      <c r="EJS23" t="s">
        <v>6984</v>
      </c>
      <c r="EJT23" t="s">
        <v>6984</v>
      </c>
      <c r="EJU23" t="s">
        <v>6984</v>
      </c>
      <c r="EJV23" t="s">
        <v>6984</v>
      </c>
      <c r="EJW23" t="s">
        <v>6984</v>
      </c>
      <c r="EJX23" t="s">
        <v>6984</v>
      </c>
      <c r="EJY23" t="s">
        <v>6984</v>
      </c>
      <c r="EJZ23" t="s">
        <v>6984</v>
      </c>
      <c r="EKA23" t="s">
        <v>6984</v>
      </c>
      <c r="EKB23" t="s">
        <v>6984</v>
      </c>
      <c r="EKC23" t="s">
        <v>6984</v>
      </c>
      <c r="EKD23" t="s">
        <v>6984</v>
      </c>
      <c r="EKE23" t="s">
        <v>6984</v>
      </c>
      <c r="EKF23" t="s">
        <v>6984</v>
      </c>
      <c r="EKG23" t="s">
        <v>6984</v>
      </c>
      <c r="EKH23" t="s">
        <v>6984</v>
      </c>
      <c r="EKI23" t="s">
        <v>6984</v>
      </c>
      <c r="EKJ23" t="s">
        <v>6984</v>
      </c>
      <c r="EKK23" t="s">
        <v>6984</v>
      </c>
      <c r="EKL23" t="s">
        <v>6984</v>
      </c>
      <c r="EKM23" t="s">
        <v>6984</v>
      </c>
      <c r="EKN23" t="s">
        <v>6984</v>
      </c>
      <c r="EKO23" t="s">
        <v>6984</v>
      </c>
      <c r="EKP23" t="s">
        <v>6984</v>
      </c>
      <c r="EKQ23" t="s">
        <v>6984</v>
      </c>
      <c r="EKR23" t="s">
        <v>6984</v>
      </c>
      <c r="EKS23" t="s">
        <v>6984</v>
      </c>
      <c r="EKT23" t="s">
        <v>6984</v>
      </c>
      <c r="EKU23" t="s">
        <v>6984</v>
      </c>
      <c r="EKV23" t="s">
        <v>6984</v>
      </c>
      <c r="EKW23" t="s">
        <v>6984</v>
      </c>
      <c r="EKX23" t="s">
        <v>6984</v>
      </c>
      <c r="EKY23" t="s">
        <v>6984</v>
      </c>
      <c r="EKZ23" t="s">
        <v>6984</v>
      </c>
      <c r="ELA23" t="s">
        <v>6984</v>
      </c>
      <c r="ELB23" t="s">
        <v>6984</v>
      </c>
      <c r="ELC23" t="s">
        <v>6984</v>
      </c>
      <c r="ELD23" t="s">
        <v>6984</v>
      </c>
      <c r="ELE23" t="s">
        <v>6984</v>
      </c>
      <c r="ELF23" t="s">
        <v>6984</v>
      </c>
      <c r="ELG23" t="s">
        <v>6984</v>
      </c>
      <c r="ELH23" t="s">
        <v>6984</v>
      </c>
      <c r="ELI23" t="s">
        <v>6984</v>
      </c>
      <c r="ELJ23" t="s">
        <v>6984</v>
      </c>
      <c r="ELK23" t="s">
        <v>6984</v>
      </c>
      <c r="ELL23" t="s">
        <v>6984</v>
      </c>
      <c r="ELM23" t="s">
        <v>6984</v>
      </c>
      <c r="ELN23" t="s">
        <v>6984</v>
      </c>
      <c r="ELO23" t="s">
        <v>6984</v>
      </c>
      <c r="ELP23" t="s">
        <v>6984</v>
      </c>
      <c r="ELQ23" t="s">
        <v>6984</v>
      </c>
      <c r="ELR23" t="s">
        <v>6984</v>
      </c>
      <c r="ELS23" t="s">
        <v>6984</v>
      </c>
      <c r="ELT23" t="s">
        <v>6984</v>
      </c>
      <c r="ELU23" t="s">
        <v>6984</v>
      </c>
      <c r="ELV23" t="s">
        <v>6984</v>
      </c>
      <c r="ELW23" t="s">
        <v>6984</v>
      </c>
      <c r="ELX23" t="s">
        <v>6984</v>
      </c>
      <c r="ELY23" t="s">
        <v>6984</v>
      </c>
      <c r="ELZ23" t="s">
        <v>6984</v>
      </c>
      <c r="EMA23" t="s">
        <v>6984</v>
      </c>
      <c r="EMB23" t="s">
        <v>6984</v>
      </c>
      <c r="EMC23" t="s">
        <v>6984</v>
      </c>
      <c r="EMD23" t="s">
        <v>6984</v>
      </c>
      <c r="EME23" t="s">
        <v>6984</v>
      </c>
      <c r="EMF23" t="s">
        <v>6984</v>
      </c>
      <c r="EMG23" t="s">
        <v>6984</v>
      </c>
      <c r="EMH23" t="s">
        <v>6984</v>
      </c>
      <c r="EMI23" t="s">
        <v>6984</v>
      </c>
      <c r="EMJ23" t="s">
        <v>6984</v>
      </c>
      <c r="EMK23" t="s">
        <v>6984</v>
      </c>
      <c r="EML23" t="s">
        <v>6984</v>
      </c>
      <c r="EMM23" t="s">
        <v>6984</v>
      </c>
      <c r="EMN23" t="s">
        <v>6984</v>
      </c>
      <c r="EMO23" t="s">
        <v>6984</v>
      </c>
      <c r="EMP23" t="s">
        <v>6984</v>
      </c>
      <c r="EMQ23" t="s">
        <v>6984</v>
      </c>
      <c r="EMR23" t="s">
        <v>6984</v>
      </c>
      <c r="EMS23" t="s">
        <v>6984</v>
      </c>
      <c r="EMT23" t="s">
        <v>6984</v>
      </c>
      <c r="EMU23" t="s">
        <v>6984</v>
      </c>
      <c r="EMV23" t="s">
        <v>6984</v>
      </c>
      <c r="EMW23" t="s">
        <v>6984</v>
      </c>
      <c r="EMX23" t="s">
        <v>6984</v>
      </c>
      <c r="EMY23" t="s">
        <v>6984</v>
      </c>
      <c r="EMZ23" t="s">
        <v>6984</v>
      </c>
      <c r="ENA23" t="s">
        <v>6984</v>
      </c>
      <c r="ENB23" t="s">
        <v>6984</v>
      </c>
      <c r="ENC23" t="s">
        <v>6984</v>
      </c>
      <c r="END23" t="s">
        <v>6984</v>
      </c>
      <c r="ENE23" t="s">
        <v>6984</v>
      </c>
      <c r="ENF23" t="s">
        <v>6984</v>
      </c>
      <c r="ENG23" t="s">
        <v>6984</v>
      </c>
      <c r="ENH23" t="s">
        <v>6984</v>
      </c>
      <c r="ENI23" t="s">
        <v>6984</v>
      </c>
      <c r="ENJ23" t="s">
        <v>6984</v>
      </c>
      <c r="ENK23" t="s">
        <v>6984</v>
      </c>
      <c r="ENL23" t="s">
        <v>6984</v>
      </c>
      <c r="ENM23" t="s">
        <v>6984</v>
      </c>
      <c r="ENN23" t="s">
        <v>6984</v>
      </c>
      <c r="ENO23" t="s">
        <v>6984</v>
      </c>
      <c r="ENP23" t="s">
        <v>6984</v>
      </c>
      <c r="ENQ23" t="s">
        <v>6984</v>
      </c>
      <c r="ENR23" t="s">
        <v>6984</v>
      </c>
      <c r="ENS23" t="s">
        <v>6984</v>
      </c>
      <c r="ENT23" t="s">
        <v>6984</v>
      </c>
      <c r="ENU23" t="s">
        <v>6984</v>
      </c>
      <c r="ENV23" t="s">
        <v>6984</v>
      </c>
      <c r="ENW23" t="s">
        <v>6984</v>
      </c>
      <c r="ENX23" t="s">
        <v>6984</v>
      </c>
      <c r="ENY23" t="s">
        <v>6984</v>
      </c>
      <c r="ENZ23" t="s">
        <v>6984</v>
      </c>
      <c r="EOA23" t="s">
        <v>6984</v>
      </c>
      <c r="EOB23" t="s">
        <v>6984</v>
      </c>
      <c r="EOC23" t="s">
        <v>6984</v>
      </c>
      <c r="EOD23" t="s">
        <v>6984</v>
      </c>
      <c r="EOE23" t="s">
        <v>6984</v>
      </c>
      <c r="EOF23" t="s">
        <v>6984</v>
      </c>
      <c r="EOG23" t="s">
        <v>6984</v>
      </c>
      <c r="EOH23" t="s">
        <v>6984</v>
      </c>
      <c r="EOI23" t="s">
        <v>6984</v>
      </c>
      <c r="EOJ23" t="s">
        <v>6984</v>
      </c>
      <c r="EOK23" t="s">
        <v>6984</v>
      </c>
      <c r="EOL23" t="s">
        <v>6984</v>
      </c>
      <c r="EOM23" t="s">
        <v>6984</v>
      </c>
      <c r="EON23" t="s">
        <v>6984</v>
      </c>
      <c r="EOO23" t="s">
        <v>6984</v>
      </c>
      <c r="EOP23" t="s">
        <v>6984</v>
      </c>
      <c r="EOQ23" t="s">
        <v>6984</v>
      </c>
      <c r="EOR23" t="s">
        <v>6984</v>
      </c>
      <c r="EOS23" t="s">
        <v>6984</v>
      </c>
      <c r="EOT23" t="s">
        <v>6984</v>
      </c>
      <c r="EOU23" t="s">
        <v>6984</v>
      </c>
      <c r="EOV23" t="s">
        <v>6984</v>
      </c>
      <c r="EOW23" t="s">
        <v>6984</v>
      </c>
      <c r="EOX23" t="s">
        <v>6984</v>
      </c>
      <c r="EOY23" t="s">
        <v>6984</v>
      </c>
      <c r="EOZ23" t="s">
        <v>6984</v>
      </c>
      <c r="EPA23" t="s">
        <v>6984</v>
      </c>
      <c r="EPB23" t="s">
        <v>6984</v>
      </c>
      <c r="EPC23" t="s">
        <v>6984</v>
      </c>
      <c r="EPD23" t="s">
        <v>6984</v>
      </c>
      <c r="EPE23" t="s">
        <v>6984</v>
      </c>
      <c r="EPF23" t="s">
        <v>6984</v>
      </c>
      <c r="EPG23" t="s">
        <v>6984</v>
      </c>
      <c r="EPH23" t="s">
        <v>6984</v>
      </c>
      <c r="EPI23" t="s">
        <v>6984</v>
      </c>
      <c r="EPJ23" t="s">
        <v>6984</v>
      </c>
      <c r="EPK23" t="s">
        <v>6984</v>
      </c>
      <c r="EPL23" t="s">
        <v>6984</v>
      </c>
      <c r="EPM23" t="s">
        <v>6984</v>
      </c>
      <c r="EPN23" t="s">
        <v>6984</v>
      </c>
      <c r="EPO23" t="s">
        <v>6984</v>
      </c>
      <c r="EPP23" t="s">
        <v>6984</v>
      </c>
      <c r="EPQ23" t="s">
        <v>6984</v>
      </c>
      <c r="EPR23" t="s">
        <v>6984</v>
      </c>
      <c r="EPS23" t="s">
        <v>6984</v>
      </c>
      <c r="EPT23" t="s">
        <v>6984</v>
      </c>
      <c r="EPU23" t="s">
        <v>6984</v>
      </c>
      <c r="EPV23" t="s">
        <v>6984</v>
      </c>
      <c r="EPW23" t="s">
        <v>6984</v>
      </c>
      <c r="EPX23" t="s">
        <v>6984</v>
      </c>
      <c r="EPY23" t="s">
        <v>6984</v>
      </c>
      <c r="EPZ23" t="s">
        <v>6984</v>
      </c>
      <c r="EQA23" t="s">
        <v>6984</v>
      </c>
      <c r="EQB23" t="s">
        <v>6984</v>
      </c>
      <c r="EQC23" t="s">
        <v>6984</v>
      </c>
      <c r="EQD23" t="s">
        <v>6984</v>
      </c>
      <c r="EQE23" t="s">
        <v>6984</v>
      </c>
      <c r="EQF23" t="s">
        <v>6984</v>
      </c>
      <c r="EQG23" t="s">
        <v>6984</v>
      </c>
      <c r="EQH23" t="s">
        <v>6984</v>
      </c>
      <c r="EQI23" t="s">
        <v>6984</v>
      </c>
      <c r="EQJ23" t="s">
        <v>6984</v>
      </c>
      <c r="EQK23" t="s">
        <v>6984</v>
      </c>
      <c r="EQL23" t="s">
        <v>6984</v>
      </c>
      <c r="EQM23" t="s">
        <v>6984</v>
      </c>
      <c r="EQN23" t="s">
        <v>6984</v>
      </c>
      <c r="EQO23" t="s">
        <v>6984</v>
      </c>
      <c r="EQP23" t="s">
        <v>6984</v>
      </c>
      <c r="EQQ23" t="s">
        <v>6984</v>
      </c>
      <c r="EQR23" t="s">
        <v>6984</v>
      </c>
      <c r="EQS23" t="s">
        <v>6984</v>
      </c>
      <c r="EQT23" t="s">
        <v>6984</v>
      </c>
      <c r="EQU23" t="s">
        <v>6984</v>
      </c>
      <c r="EQV23" t="s">
        <v>6984</v>
      </c>
      <c r="EQW23" t="s">
        <v>6984</v>
      </c>
      <c r="EQX23" t="s">
        <v>6984</v>
      </c>
      <c r="EQY23" t="s">
        <v>6984</v>
      </c>
      <c r="EQZ23" t="s">
        <v>6984</v>
      </c>
      <c r="ERA23" t="s">
        <v>6984</v>
      </c>
      <c r="ERB23" t="s">
        <v>6984</v>
      </c>
      <c r="ERC23" t="s">
        <v>6984</v>
      </c>
      <c r="ERD23" t="s">
        <v>6984</v>
      </c>
      <c r="ERE23" t="s">
        <v>6984</v>
      </c>
      <c r="ERF23" t="s">
        <v>6984</v>
      </c>
      <c r="ERG23" t="s">
        <v>6984</v>
      </c>
      <c r="ERH23" t="s">
        <v>6984</v>
      </c>
      <c r="ERI23" t="s">
        <v>6984</v>
      </c>
      <c r="ERJ23" t="s">
        <v>6984</v>
      </c>
      <c r="ERK23" t="s">
        <v>6984</v>
      </c>
      <c r="ERL23" t="s">
        <v>6984</v>
      </c>
      <c r="ERM23" t="s">
        <v>6984</v>
      </c>
      <c r="ERN23" t="s">
        <v>6984</v>
      </c>
      <c r="ERO23" t="s">
        <v>6984</v>
      </c>
      <c r="ERP23" t="s">
        <v>6984</v>
      </c>
      <c r="ERQ23" t="s">
        <v>6984</v>
      </c>
      <c r="ERR23" t="s">
        <v>6984</v>
      </c>
      <c r="ERS23" t="s">
        <v>6984</v>
      </c>
      <c r="ERT23" t="s">
        <v>6984</v>
      </c>
      <c r="ERU23" t="s">
        <v>6984</v>
      </c>
      <c r="ERV23" t="s">
        <v>6984</v>
      </c>
      <c r="ERW23" t="s">
        <v>6984</v>
      </c>
      <c r="ERX23" t="s">
        <v>6984</v>
      </c>
      <c r="ERY23" t="s">
        <v>6984</v>
      </c>
      <c r="ERZ23" t="s">
        <v>6984</v>
      </c>
      <c r="ESA23" t="s">
        <v>6984</v>
      </c>
      <c r="ESB23" t="s">
        <v>6984</v>
      </c>
      <c r="ESC23" t="s">
        <v>6984</v>
      </c>
      <c r="ESD23" t="s">
        <v>6984</v>
      </c>
      <c r="ESE23" t="s">
        <v>6984</v>
      </c>
      <c r="ESF23" t="s">
        <v>6984</v>
      </c>
      <c r="ESG23" t="s">
        <v>6984</v>
      </c>
      <c r="ESH23" t="s">
        <v>6984</v>
      </c>
      <c r="ESI23" t="s">
        <v>6984</v>
      </c>
      <c r="ESJ23" t="s">
        <v>6984</v>
      </c>
      <c r="ESK23" t="s">
        <v>6984</v>
      </c>
      <c r="ESL23" t="s">
        <v>6984</v>
      </c>
      <c r="ESM23" t="s">
        <v>6984</v>
      </c>
      <c r="ESN23" t="s">
        <v>6984</v>
      </c>
      <c r="ESO23" t="s">
        <v>6984</v>
      </c>
      <c r="ESP23" t="s">
        <v>6984</v>
      </c>
      <c r="ESQ23" t="s">
        <v>6984</v>
      </c>
      <c r="ESR23" t="s">
        <v>6984</v>
      </c>
      <c r="ESS23" t="s">
        <v>6984</v>
      </c>
      <c r="EST23" t="s">
        <v>6984</v>
      </c>
      <c r="ESU23" t="s">
        <v>6984</v>
      </c>
      <c r="ESV23" t="s">
        <v>6984</v>
      </c>
      <c r="ESW23" t="s">
        <v>6984</v>
      </c>
      <c r="ESX23" t="s">
        <v>6984</v>
      </c>
      <c r="ESY23" t="s">
        <v>6984</v>
      </c>
      <c r="ESZ23" t="s">
        <v>6984</v>
      </c>
      <c r="ETA23" t="s">
        <v>6984</v>
      </c>
      <c r="ETB23" t="s">
        <v>6984</v>
      </c>
      <c r="ETC23" t="s">
        <v>6984</v>
      </c>
      <c r="ETD23" t="s">
        <v>6984</v>
      </c>
      <c r="ETE23" t="s">
        <v>6984</v>
      </c>
      <c r="ETF23" t="s">
        <v>6984</v>
      </c>
      <c r="ETG23" t="s">
        <v>6984</v>
      </c>
      <c r="ETH23" t="s">
        <v>6984</v>
      </c>
      <c r="ETI23" t="s">
        <v>6984</v>
      </c>
      <c r="ETJ23" t="s">
        <v>6984</v>
      </c>
      <c r="ETK23" t="s">
        <v>6984</v>
      </c>
      <c r="ETL23" t="s">
        <v>6984</v>
      </c>
      <c r="ETM23" t="s">
        <v>6984</v>
      </c>
      <c r="ETN23" t="s">
        <v>6984</v>
      </c>
      <c r="ETO23" t="s">
        <v>6984</v>
      </c>
      <c r="ETP23" t="s">
        <v>6984</v>
      </c>
      <c r="ETQ23" t="s">
        <v>6984</v>
      </c>
      <c r="ETR23" t="s">
        <v>6984</v>
      </c>
      <c r="ETS23" t="s">
        <v>6984</v>
      </c>
      <c r="ETT23" t="s">
        <v>6984</v>
      </c>
      <c r="ETU23" t="s">
        <v>6984</v>
      </c>
      <c r="ETV23" t="s">
        <v>6984</v>
      </c>
      <c r="ETW23" t="s">
        <v>6984</v>
      </c>
      <c r="ETX23" t="s">
        <v>6984</v>
      </c>
      <c r="ETY23" t="s">
        <v>6984</v>
      </c>
      <c r="ETZ23" t="s">
        <v>6984</v>
      </c>
      <c r="EUA23" t="s">
        <v>6984</v>
      </c>
      <c r="EUB23" t="s">
        <v>6984</v>
      </c>
      <c r="EUC23" t="s">
        <v>6984</v>
      </c>
      <c r="EUD23" t="s">
        <v>6984</v>
      </c>
      <c r="EUE23" t="s">
        <v>6984</v>
      </c>
      <c r="EUF23" t="s">
        <v>6984</v>
      </c>
      <c r="EUG23" t="s">
        <v>6984</v>
      </c>
      <c r="EUH23" t="s">
        <v>6984</v>
      </c>
      <c r="EUI23" t="s">
        <v>6984</v>
      </c>
      <c r="EUJ23" t="s">
        <v>6984</v>
      </c>
      <c r="EUK23" t="s">
        <v>6984</v>
      </c>
      <c r="EUL23" t="s">
        <v>6984</v>
      </c>
      <c r="EUM23" t="s">
        <v>6984</v>
      </c>
      <c r="EUN23" t="s">
        <v>6984</v>
      </c>
      <c r="EUO23" t="s">
        <v>6984</v>
      </c>
      <c r="EUP23" t="s">
        <v>6984</v>
      </c>
      <c r="EUQ23" t="s">
        <v>6984</v>
      </c>
      <c r="EUR23" t="s">
        <v>6984</v>
      </c>
      <c r="EUS23" t="s">
        <v>6984</v>
      </c>
      <c r="EUT23" t="s">
        <v>6984</v>
      </c>
      <c r="EUU23" t="s">
        <v>6984</v>
      </c>
      <c r="EUV23" t="s">
        <v>6984</v>
      </c>
      <c r="EUW23" t="s">
        <v>6984</v>
      </c>
      <c r="EUX23" t="s">
        <v>6984</v>
      </c>
      <c r="EUY23" t="s">
        <v>6984</v>
      </c>
      <c r="EUZ23" t="s">
        <v>6984</v>
      </c>
      <c r="EVA23" t="s">
        <v>6984</v>
      </c>
      <c r="EVB23" t="s">
        <v>6984</v>
      </c>
      <c r="EVC23" t="s">
        <v>6984</v>
      </c>
      <c r="EVD23" t="s">
        <v>6984</v>
      </c>
      <c r="EVE23" t="s">
        <v>6984</v>
      </c>
      <c r="EVF23" t="s">
        <v>6984</v>
      </c>
      <c r="EVG23" t="s">
        <v>6984</v>
      </c>
      <c r="EVH23" t="s">
        <v>6984</v>
      </c>
      <c r="EVI23" t="s">
        <v>6984</v>
      </c>
      <c r="EVJ23" t="s">
        <v>6984</v>
      </c>
      <c r="EVK23" t="s">
        <v>6984</v>
      </c>
      <c r="EVL23" t="s">
        <v>6984</v>
      </c>
      <c r="EVM23" t="s">
        <v>6984</v>
      </c>
      <c r="EVN23" t="s">
        <v>6984</v>
      </c>
      <c r="EVO23" t="s">
        <v>6984</v>
      </c>
      <c r="EVP23" t="s">
        <v>6984</v>
      </c>
      <c r="EVQ23" t="s">
        <v>6984</v>
      </c>
      <c r="EVR23" t="s">
        <v>6984</v>
      </c>
      <c r="EVS23" t="s">
        <v>6984</v>
      </c>
      <c r="EVT23" t="s">
        <v>6984</v>
      </c>
      <c r="EVU23" t="s">
        <v>6984</v>
      </c>
      <c r="EVV23" t="s">
        <v>6984</v>
      </c>
      <c r="EVW23" t="s">
        <v>6984</v>
      </c>
      <c r="EVX23" t="s">
        <v>6984</v>
      </c>
      <c r="EVY23" t="s">
        <v>6984</v>
      </c>
      <c r="EVZ23" t="s">
        <v>6984</v>
      </c>
      <c r="EWA23" t="s">
        <v>6984</v>
      </c>
      <c r="EWB23" t="s">
        <v>6984</v>
      </c>
      <c r="EWC23" t="s">
        <v>6984</v>
      </c>
      <c r="EWD23" t="s">
        <v>6984</v>
      </c>
      <c r="EWE23" t="s">
        <v>6984</v>
      </c>
      <c r="EWF23" t="s">
        <v>6984</v>
      </c>
      <c r="EWG23" t="s">
        <v>6984</v>
      </c>
      <c r="EWH23" t="s">
        <v>6984</v>
      </c>
      <c r="EWI23" t="s">
        <v>6984</v>
      </c>
      <c r="EWJ23" t="s">
        <v>6984</v>
      </c>
      <c r="EWK23" t="s">
        <v>6984</v>
      </c>
      <c r="EWL23" t="s">
        <v>6984</v>
      </c>
      <c r="EWM23" t="s">
        <v>6984</v>
      </c>
      <c r="EWN23" t="s">
        <v>6984</v>
      </c>
      <c r="EWO23" t="s">
        <v>6984</v>
      </c>
      <c r="EWP23" t="s">
        <v>6984</v>
      </c>
      <c r="EWQ23" t="s">
        <v>6984</v>
      </c>
      <c r="EWR23" t="s">
        <v>6984</v>
      </c>
      <c r="EWS23" t="s">
        <v>6984</v>
      </c>
      <c r="EWT23" t="s">
        <v>6984</v>
      </c>
      <c r="EWU23" t="s">
        <v>6984</v>
      </c>
      <c r="EWV23" t="s">
        <v>6984</v>
      </c>
      <c r="EWW23" t="s">
        <v>6984</v>
      </c>
      <c r="EWX23" t="s">
        <v>6984</v>
      </c>
      <c r="EWY23" t="s">
        <v>6984</v>
      </c>
      <c r="EWZ23" t="s">
        <v>6984</v>
      </c>
      <c r="EXA23" t="s">
        <v>6984</v>
      </c>
      <c r="EXB23" t="s">
        <v>6984</v>
      </c>
      <c r="EXC23" t="s">
        <v>6984</v>
      </c>
      <c r="EXD23" t="s">
        <v>6984</v>
      </c>
      <c r="EXE23" t="s">
        <v>6984</v>
      </c>
      <c r="EXF23" t="s">
        <v>6984</v>
      </c>
      <c r="EXG23" t="s">
        <v>6984</v>
      </c>
      <c r="EXH23" t="s">
        <v>6984</v>
      </c>
      <c r="EXI23" t="s">
        <v>6984</v>
      </c>
      <c r="EXJ23" t="s">
        <v>6984</v>
      </c>
      <c r="EXK23" t="s">
        <v>6984</v>
      </c>
      <c r="EXL23" t="s">
        <v>6984</v>
      </c>
      <c r="EXM23" t="s">
        <v>6984</v>
      </c>
      <c r="EXN23" t="s">
        <v>6984</v>
      </c>
      <c r="EXO23" t="s">
        <v>6984</v>
      </c>
      <c r="EXP23" t="s">
        <v>6984</v>
      </c>
      <c r="EXQ23" t="s">
        <v>6984</v>
      </c>
      <c r="EXR23" t="s">
        <v>6984</v>
      </c>
      <c r="EXS23" t="s">
        <v>6984</v>
      </c>
      <c r="EXT23" t="s">
        <v>6984</v>
      </c>
      <c r="EXU23" t="s">
        <v>6984</v>
      </c>
      <c r="EXV23" t="s">
        <v>6984</v>
      </c>
      <c r="EXW23" t="s">
        <v>6984</v>
      </c>
      <c r="EXX23" t="s">
        <v>6984</v>
      </c>
      <c r="EXY23" t="s">
        <v>6984</v>
      </c>
      <c r="EXZ23" t="s">
        <v>6984</v>
      </c>
      <c r="EYA23" t="s">
        <v>6984</v>
      </c>
      <c r="EYB23" t="s">
        <v>6984</v>
      </c>
      <c r="EYC23" t="s">
        <v>6984</v>
      </c>
      <c r="EYD23" t="s">
        <v>6984</v>
      </c>
      <c r="EYE23" t="s">
        <v>6984</v>
      </c>
      <c r="EYF23" t="s">
        <v>6984</v>
      </c>
      <c r="EYG23" t="s">
        <v>6984</v>
      </c>
      <c r="EYH23" t="s">
        <v>6984</v>
      </c>
      <c r="EYI23" t="s">
        <v>6984</v>
      </c>
      <c r="EYJ23" t="s">
        <v>6984</v>
      </c>
      <c r="EYK23" t="s">
        <v>6984</v>
      </c>
      <c r="EYL23" t="s">
        <v>6984</v>
      </c>
      <c r="EYM23" t="s">
        <v>6984</v>
      </c>
      <c r="EYN23" t="s">
        <v>6984</v>
      </c>
      <c r="EYO23" t="s">
        <v>6984</v>
      </c>
      <c r="EYP23" t="s">
        <v>6984</v>
      </c>
      <c r="EYQ23" t="s">
        <v>6984</v>
      </c>
      <c r="EYR23" t="s">
        <v>6984</v>
      </c>
      <c r="EYS23" t="s">
        <v>6984</v>
      </c>
      <c r="EYT23" t="s">
        <v>6984</v>
      </c>
      <c r="EYU23" t="s">
        <v>6984</v>
      </c>
      <c r="EYV23" t="s">
        <v>6984</v>
      </c>
      <c r="EYW23" t="s">
        <v>6984</v>
      </c>
      <c r="EYX23" t="s">
        <v>6984</v>
      </c>
      <c r="EYY23" t="s">
        <v>6984</v>
      </c>
      <c r="EYZ23" t="s">
        <v>6984</v>
      </c>
      <c r="EZA23" t="s">
        <v>6984</v>
      </c>
      <c r="EZB23" t="s">
        <v>6984</v>
      </c>
      <c r="EZC23" t="s">
        <v>6984</v>
      </c>
      <c r="EZD23" t="s">
        <v>6984</v>
      </c>
      <c r="EZE23" t="s">
        <v>6984</v>
      </c>
      <c r="EZF23" t="s">
        <v>6984</v>
      </c>
      <c r="EZG23" t="s">
        <v>6984</v>
      </c>
      <c r="EZH23" t="s">
        <v>6984</v>
      </c>
      <c r="EZI23" t="s">
        <v>6984</v>
      </c>
      <c r="EZJ23" t="s">
        <v>6984</v>
      </c>
      <c r="EZK23" t="s">
        <v>6984</v>
      </c>
      <c r="EZL23" t="s">
        <v>6984</v>
      </c>
      <c r="EZM23" t="s">
        <v>6984</v>
      </c>
      <c r="EZN23" t="s">
        <v>6984</v>
      </c>
      <c r="EZO23" t="s">
        <v>6984</v>
      </c>
      <c r="EZP23" t="s">
        <v>6984</v>
      </c>
      <c r="EZQ23" t="s">
        <v>6984</v>
      </c>
      <c r="EZR23" t="s">
        <v>6984</v>
      </c>
      <c r="EZS23" t="s">
        <v>6984</v>
      </c>
      <c r="EZT23" t="s">
        <v>6984</v>
      </c>
      <c r="EZU23" t="s">
        <v>6984</v>
      </c>
      <c r="EZV23" t="s">
        <v>6984</v>
      </c>
      <c r="EZW23" t="s">
        <v>6984</v>
      </c>
      <c r="EZX23" t="s">
        <v>6984</v>
      </c>
      <c r="EZY23" t="s">
        <v>6984</v>
      </c>
      <c r="EZZ23" t="s">
        <v>6984</v>
      </c>
      <c r="FAA23" t="s">
        <v>6984</v>
      </c>
      <c r="FAB23" t="s">
        <v>6984</v>
      </c>
      <c r="FAC23" t="s">
        <v>6984</v>
      </c>
      <c r="FAD23" t="s">
        <v>6984</v>
      </c>
      <c r="FAE23" t="s">
        <v>6984</v>
      </c>
      <c r="FAF23" t="s">
        <v>6984</v>
      </c>
      <c r="FAG23" t="s">
        <v>6984</v>
      </c>
      <c r="FAH23" t="s">
        <v>6984</v>
      </c>
      <c r="FAI23" t="s">
        <v>6984</v>
      </c>
      <c r="FAJ23" t="s">
        <v>6984</v>
      </c>
      <c r="FAK23" t="s">
        <v>6984</v>
      </c>
      <c r="FAL23" t="s">
        <v>6984</v>
      </c>
      <c r="FAM23" t="s">
        <v>6984</v>
      </c>
      <c r="FAN23" t="s">
        <v>6984</v>
      </c>
      <c r="FAO23" t="s">
        <v>6984</v>
      </c>
      <c r="FAP23" t="s">
        <v>6984</v>
      </c>
      <c r="FAQ23" t="s">
        <v>6984</v>
      </c>
      <c r="FAR23" t="s">
        <v>6984</v>
      </c>
      <c r="FAS23" t="s">
        <v>6984</v>
      </c>
      <c r="FAT23" t="s">
        <v>6984</v>
      </c>
      <c r="FAU23" t="s">
        <v>6984</v>
      </c>
      <c r="FAV23" t="s">
        <v>6984</v>
      </c>
      <c r="FAW23" t="s">
        <v>6984</v>
      </c>
      <c r="FAX23" t="s">
        <v>6984</v>
      </c>
      <c r="FAY23" t="s">
        <v>6984</v>
      </c>
      <c r="FAZ23" t="s">
        <v>6984</v>
      </c>
      <c r="FBA23" t="s">
        <v>6984</v>
      </c>
      <c r="FBB23" t="s">
        <v>6984</v>
      </c>
      <c r="FBC23" t="s">
        <v>6984</v>
      </c>
      <c r="FBD23" t="s">
        <v>6984</v>
      </c>
      <c r="FBE23" t="s">
        <v>6984</v>
      </c>
      <c r="FBF23" t="s">
        <v>6984</v>
      </c>
      <c r="FBG23" t="s">
        <v>6984</v>
      </c>
      <c r="FBH23" t="s">
        <v>6984</v>
      </c>
      <c r="FBI23" t="s">
        <v>6984</v>
      </c>
      <c r="FBJ23" t="s">
        <v>6984</v>
      </c>
      <c r="FBK23" t="s">
        <v>6984</v>
      </c>
      <c r="FBL23" t="s">
        <v>6984</v>
      </c>
      <c r="FBM23" t="s">
        <v>6984</v>
      </c>
      <c r="FBN23" t="s">
        <v>6984</v>
      </c>
      <c r="FBO23" t="s">
        <v>6984</v>
      </c>
      <c r="FBP23" t="s">
        <v>6984</v>
      </c>
      <c r="FBQ23" t="s">
        <v>6984</v>
      </c>
      <c r="FBR23" t="s">
        <v>6984</v>
      </c>
      <c r="FBS23" t="s">
        <v>6984</v>
      </c>
      <c r="FBT23" t="s">
        <v>6984</v>
      </c>
      <c r="FBU23" t="s">
        <v>6984</v>
      </c>
      <c r="FBV23" t="s">
        <v>6984</v>
      </c>
      <c r="FBW23" t="s">
        <v>6984</v>
      </c>
      <c r="FBX23" t="s">
        <v>6984</v>
      </c>
      <c r="FBY23" t="s">
        <v>6984</v>
      </c>
      <c r="FBZ23" t="s">
        <v>6984</v>
      </c>
      <c r="FCA23" t="s">
        <v>6984</v>
      </c>
      <c r="FCB23" t="s">
        <v>6984</v>
      </c>
      <c r="FCC23" t="s">
        <v>6984</v>
      </c>
      <c r="FCD23" t="s">
        <v>6984</v>
      </c>
      <c r="FCE23" t="s">
        <v>6984</v>
      </c>
      <c r="FCF23" t="s">
        <v>6984</v>
      </c>
      <c r="FCG23" t="s">
        <v>6984</v>
      </c>
      <c r="FCH23" t="s">
        <v>6984</v>
      </c>
      <c r="FCI23" t="s">
        <v>6984</v>
      </c>
      <c r="FCJ23" t="s">
        <v>6984</v>
      </c>
      <c r="FCK23" t="s">
        <v>6984</v>
      </c>
      <c r="FCL23" t="s">
        <v>6984</v>
      </c>
      <c r="FCM23" t="s">
        <v>6984</v>
      </c>
      <c r="FCN23" t="s">
        <v>6984</v>
      </c>
      <c r="FCO23" t="s">
        <v>6984</v>
      </c>
      <c r="FCP23" t="s">
        <v>6984</v>
      </c>
      <c r="FCQ23" t="s">
        <v>6984</v>
      </c>
      <c r="FCR23" t="s">
        <v>6984</v>
      </c>
      <c r="FCS23" t="s">
        <v>6984</v>
      </c>
      <c r="FCT23" t="s">
        <v>6984</v>
      </c>
      <c r="FCU23" t="s">
        <v>6984</v>
      </c>
      <c r="FCV23" t="s">
        <v>6984</v>
      </c>
      <c r="FCW23" t="s">
        <v>6984</v>
      </c>
      <c r="FCX23" t="s">
        <v>6984</v>
      </c>
      <c r="FCY23" t="s">
        <v>6984</v>
      </c>
      <c r="FCZ23" t="s">
        <v>6984</v>
      </c>
      <c r="FDA23" t="s">
        <v>6984</v>
      </c>
      <c r="FDB23" t="s">
        <v>6984</v>
      </c>
      <c r="FDC23" t="s">
        <v>6984</v>
      </c>
      <c r="FDD23" t="s">
        <v>6984</v>
      </c>
      <c r="FDE23" t="s">
        <v>6984</v>
      </c>
      <c r="FDF23" t="s">
        <v>6984</v>
      </c>
      <c r="FDG23" t="s">
        <v>6984</v>
      </c>
      <c r="FDH23" t="s">
        <v>6984</v>
      </c>
      <c r="FDI23" t="s">
        <v>6984</v>
      </c>
      <c r="FDJ23" t="s">
        <v>6984</v>
      </c>
      <c r="FDK23" t="s">
        <v>6984</v>
      </c>
      <c r="FDL23" t="s">
        <v>6984</v>
      </c>
      <c r="FDM23" t="s">
        <v>6984</v>
      </c>
      <c r="FDN23" t="s">
        <v>6984</v>
      </c>
      <c r="FDO23" t="s">
        <v>6984</v>
      </c>
      <c r="FDP23" t="s">
        <v>6984</v>
      </c>
      <c r="FDQ23" t="s">
        <v>6984</v>
      </c>
      <c r="FDR23" t="s">
        <v>6984</v>
      </c>
      <c r="FDS23" t="s">
        <v>6984</v>
      </c>
      <c r="FDT23" t="s">
        <v>6984</v>
      </c>
      <c r="FDU23" t="s">
        <v>6984</v>
      </c>
      <c r="FDV23" t="s">
        <v>6984</v>
      </c>
      <c r="FDW23" t="s">
        <v>6984</v>
      </c>
      <c r="FDX23" t="s">
        <v>6984</v>
      </c>
      <c r="FDY23" t="s">
        <v>6984</v>
      </c>
      <c r="FDZ23" t="s">
        <v>6984</v>
      </c>
      <c r="FEA23" t="s">
        <v>6984</v>
      </c>
      <c r="FEB23" t="s">
        <v>6984</v>
      </c>
      <c r="FEC23" t="s">
        <v>6984</v>
      </c>
      <c r="FED23" t="s">
        <v>6984</v>
      </c>
      <c r="FEE23" t="s">
        <v>6984</v>
      </c>
      <c r="FEF23" t="s">
        <v>6984</v>
      </c>
      <c r="FEG23" t="s">
        <v>6984</v>
      </c>
      <c r="FEH23" t="s">
        <v>6984</v>
      </c>
      <c r="FEI23" t="s">
        <v>6984</v>
      </c>
      <c r="FEJ23" t="s">
        <v>6984</v>
      </c>
      <c r="FEK23" t="s">
        <v>6984</v>
      </c>
      <c r="FEL23" t="s">
        <v>6984</v>
      </c>
      <c r="FEM23" t="s">
        <v>6984</v>
      </c>
      <c r="FEN23" t="s">
        <v>6984</v>
      </c>
      <c r="FEO23" t="s">
        <v>6984</v>
      </c>
      <c r="FEP23" t="s">
        <v>6984</v>
      </c>
      <c r="FEQ23" t="s">
        <v>6984</v>
      </c>
      <c r="FER23" t="s">
        <v>6984</v>
      </c>
      <c r="FES23" t="s">
        <v>6984</v>
      </c>
      <c r="FET23" t="s">
        <v>6984</v>
      </c>
      <c r="FEU23" t="s">
        <v>6984</v>
      </c>
      <c r="FEV23" t="s">
        <v>6984</v>
      </c>
      <c r="FEW23" t="s">
        <v>6984</v>
      </c>
      <c r="FEX23" t="s">
        <v>6984</v>
      </c>
      <c r="FEY23" t="s">
        <v>6984</v>
      </c>
      <c r="FEZ23" t="s">
        <v>6984</v>
      </c>
      <c r="FFA23" t="s">
        <v>6984</v>
      </c>
      <c r="FFB23" t="s">
        <v>6984</v>
      </c>
      <c r="FFC23" t="s">
        <v>6984</v>
      </c>
      <c r="FFD23" t="s">
        <v>6984</v>
      </c>
      <c r="FFE23" t="s">
        <v>6984</v>
      </c>
      <c r="FFF23" t="s">
        <v>6984</v>
      </c>
      <c r="FFG23" t="s">
        <v>6984</v>
      </c>
      <c r="FFH23" t="s">
        <v>6984</v>
      </c>
      <c r="FFI23" t="s">
        <v>6984</v>
      </c>
      <c r="FFJ23" t="s">
        <v>6984</v>
      </c>
      <c r="FFK23" t="s">
        <v>6984</v>
      </c>
      <c r="FFL23" t="s">
        <v>6984</v>
      </c>
      <c r="FFM23" t="s">
        <v>6984</v>
      </c>
      <c r="FFN23" t="s">
        <v>6984</v>
      </c>
      <c r="FFO23" t="s">
        <v>6984</v>
      </c>
      <c r="FFP23" t="s">
        <v>6984</v>
      </c>
      <c r="FFQ23" t="s">
        <v>6984</v>
      </c>
      <c r="FFR23" t="s">
        <v>6984</v>
      </c>
      <c r="FFS23" t="s">
        <v>6984</v>
      </c>
      <c r="FFT23" t="s">
        <v>6984</v>
      </c>
      <c r="FFU23" t="s">
        <v>6984</v>
      </c>
      <c r="FFV23" t="s">
        <v>6984</v>
      </c>
      <c r="FFW23" t="s">
        <v>6984</v>
      </c>
      <c r="FFX23" t="s">
        <v>6984</v>
      </c>
      <c r="FFY23" t="s">
        <v>6984</v>
      </c>
      <c r="FFZ23" t="s">
        <v>6984</v>
      </c>
      <c r="FGA23" t="s">
        <v>6984</v>
      </c>
      <c r="FGB23" t="s">
        <v>6984</v>
      </c>
      <c r="FGC23" t="s">
        <v>6984</v>
      </c>
      <c r="FGD23" t="s">
        <v>6984</v>
      </c>
      <c r="FGE23" t="s">
        <v>6984</v>
      </c>
      <c r="FGF23" t="s">
        <v>6984</v>
      </c>
      <c r="FGG23" t="s">
        <v>6984</v>
      </c>
      <c r="FGH23" t="s">
        <v>6984</v>
      </c>
      <c r="FGI23" t="s">
        <v>6984</v>
      </c>
      <c r="FGJ23" t="s">
        <v>6984</v>
      </c>
      <c r="FGK23" t="s">
        <v>6984</v>
      </c>
      <c r="FGL23" t="s">
        <v>6984</v>
      </c>
      <c r="FGM23" t="s">
        <v>6984</v>
      </c>
      <c r="FGN23" t="s">
        <v>6984</v>
      </c>
      <c r="FGO23" t="s">
        <v>6984</v>
      </c>
      <c r="FGP23" t="s">
        <v>6984</v>
      </c>
      <c r="FGQ23" t="s">
        <v>6984</v>
      </c>
      <c r="FGR23" t="s">
        <v>6984</v>
      </c>
      <c r="FGS23" t="s">
        <v>6984</v>
      </c>
      <c r="FGT23" t="s">
        <v>6984</v>
      </c>
      <c r="FGU23" t="s">
        <v>6984</v>
      </c>
      <c r="FGV23" t="s">
        <v>6984</v>
      </c>
      <c r="FGW23" t="s">
        <v>6984</v>
      </c>
      <c r="FGX23" t="s">
        <v>6984</v>
      </c>
      <c r="FGY23" t="s">
        <v>6984</v>
      </c>
      <c r="FGZ23" t="s">
        <v>6984</v>
      </c>
      <c r="FHA23" t="s">
        <v>6984</v>
      </c>
      <c r="FHB23" t="s">
        <v>6984</v>
      </c>
      <c r="FHC23" t="s">
        <v>6984</v>
      </c>
      <c r="FHD23" t="s">
        <v>6984</v>
      </c>
      <c r="FHE23" t="s">
        <v>6984</v>
      </c>
      <c r="FHF23" t="s">
        <v>6984</v>
      </c>
      <c r="FHG23" t="s">
        <v>6984</v>
      </c>
      <c r="FHH23" t="s">
        <v>6984</v>
      </c>
      <c r="FHI23" t="s">
        <v>6984</v>
      </c>
      <c r="FHJ23" t="s">
        <v>6984</v>
      </c>
      <c r="FHK23" t="s">
        <v>6984</v>
      </c>
      <c r="FHL23" t="s">
        <v>6984</v>
      </c>
      <c r="FHM23" t="s">
        <v>6984</v>
      </c>
      <c r="FHN23" t="s">
        <v>6984</v>
      </c>
      <c r="FHO23" t="s">
        <v>6984</v>
      </c>
      <c r="FHP23" t="s">
        <v>6984</v>
      </c>
      <c r="FHQ23" t="s">
        <v>6984</v>
      </c>
      <c r="FHR23" t="s">
        <v>6984</v>
      </c>
      <c r="FHS23" t="s">
        <v>6984</v>
      </c>
      <c r="FHT23" t="s">
        <v>6984</v>
      </c>
      <c r="FHU23" t="s">
        <v>6984</v>
      </c>
      <c r="FHV23" t="s">
        <v>6984</v>
      </c>
      <c r="FHW23" t="s">
        <v>6984</v>
      </c>
      <c r="FHX23" t="s">
        <v>6984</v>
      </c>
      <c r="FHY23" t="s">
        <v>6984</v>
      </c>
      <c r="FHZ23" t="s">
        <v>6984</v>
      </c>
      <c r="FIA23" t="s">
        <v>6984</v>
      </c>
      <c r="FIB23" t="s">
        <v>6984</v>
      </c>
      <c r="FIC23" t="s">
        <v>6984</v>
      </c>
      <c r="FID23" t="s">
        <v>6984</v>
      </c>
      <c r="FIE23" t="s">
        <v>6984</v>
      </c>
      <c r="FIF23" t="s">
        <v>6984</v>
      </c>
      <c r="FIG23" t="s">
        <v>6984</v>
      </c>
      <c r="FIH23" t="s">
        <v>6984</v>
      </c>
      <c r="FII23" t="s">
        <v>6984</v>
      </c>
      <c r="FIJ23" t="s">
        <v>6984</v>
      </c>
      <c r="FIK23" t="s">
        <v>6984</v>
      </c>
      <c r="FIL23" t="s">
        <v>6984</v>
      </c>
      <c r="FIM23" t="s">
        <v>6984</v>
      </c>
      <c r="FIN23" t="s">
        <v>6984</v>
      </c>
      <c r="FIO23" t="s">
        <v>6984</v>
      </c>
      <c r="FIP23" t="s">
        <v>6984</v>
      </c>
      <c r="FIQ23" t="s">
        <v>6984</v>
      </c>
      <c r="FIR23" t="s">
        <v>6984</v>
      </c>
      <c r="FIS23" t="s">
        <v>6984</v>
      </c>
      <c r="FIT23" t="s">
        <v>6984</v>
      </c>
      <c r="FIU23" t="s">
        <v>6984</v>
      </c>
      <c r="FIV23" t="s">
        <v>6984</v>
      </c>
      <c r="FIW23" t="s">
        <v>6984</v>
      </c>
      <c r="FIX23" t="s">
        <v>6984</v>
      </c>
      <c r="FIY23" t="s">
        <v>6984</v>
      </c>
      <c r="FIZ23" t="s">
        <v>6984</v>
      </c>
      <c r="FJA23" t="s">
        <v>6984</v>
      </c>
      <c r="FJB23" t="s">
        <v>6984</v>
      </c>
      <c r="FJC23" t="s">
        <v>6984</v>
      </c>
      <c r="FJD23" t="s">
        <v>6984</v>
      </c>
      <c r="FJE23" t="s">
        <v>6984</v>
      </c>
      <c r="FJF23" t="s">
        <v>6984</v>
      </c>
      <c r="FJG23" t="s">
        <v>6984</v>
      </c>
      <c r="FJH23" t="s">
        <v>6984</v>
      </c>
      <c r="FJI23" t="s">
        <v>6984</v>
      </c>
      <c r="FJJ23" t="s">
        <v>6984</v>
      </c>
      <c r="FJK23" t="s">
        <v>6984</v>
      </c>
      <c r="FJL23" t="s">
        <v>6984</v>
      </c>
      <c r="FJM23" t="s">
        <v>6984</v>
      </c>
      <c r="FJN23" t="s">
        <v>6984</v>
      </c>
      <c r="FJO23" t="s">
        <v>6984</v>
      </c>
      <c r="FJP23" t="s">
        <v>6984</v>
      </c>
      <c r="FJQ23" t="s">
        <v>6984</v>
      </c>
      <c r="FJR23" t="s">
        <v>6984</v>
      </c>
      <c r="FJS23" t="s">
        <v>6984</v>
      </c>
      <c r="FJT23" t="s">
        <v>6984</v>
      </c>
      <c r="FJU23" t="s">
        <v>6984</v>
      </c>
      <c r="FJV23" t="s">
        <v>6984</v>
      </c>
      <c r="FJW23" t="s">
        <v>6984</v>
      </c>
      <c r="FJX23" t="s">
        <v>6984</v>
      </c>
      <c r="FJY23" t="s">
        <v>6984</v>
      </c>
      <c r="FJZ23" t="s">
        <v>6984</v>
      </c>
      <c r="FKA23" t="s">
        <v>6984</v>
      </c>
      <c r="FKB23" t="s">
        <v>6984</v>
      </c>
      <c r="FKC23" t="s">
        <v>6984</v>
      </c>
      <c r="FKD23" t="s">
        <v>6984</v>
      </c>
      <c r="FKE23" t="s">
        <v>6984</v>
      </c>
      <c r="FKF23" t="s">
        <v>6984</v>
      </c>
      <c r="FKG23" t="s">
        <v>6984</v>
      </c>
      <c r="FKH23" t="s">
        <v>6984</v>
      </c>
      <c r="FKI23" t="s">
        <v>6984</v>
      </c>
      <c r="FKJ23" t="s">
        <v>6984</v>
      </c>
      <c r="FKK23" t="s">
        <v>6984</v>
      </c>
      <c r="FKL23" t="s">
        <v>6984</v>
      </c>
      <c r="FKM23" t="s">
        <v>6984</v>
      </c>
      <c r="FKN23" t="s">
        <v>6984</v>
      </c>
      <c r="FKO23" t="s">
        <v>6984</v>
      </c>
      <c r="FKP23" t="s">
        <v>6984</v>
      </c>
      <c r="FKQ23" t="s">
        <v>6984</v>
      </c>
      <c r="FKR23" t="s">
        <v>6984</v>
      </c>
      <c r="FKS23" t="s">
        <v>6984</v>
      </c>
      <c r="FKT23" t="s">
        <v>6984</v>
      </c>
      <c r="FKU23" t="s">
        <v>6984</v>
      </c>
      <c r="FKV23" t="s">
        <v>6984</v>
      </c>
      <c r="FKW23" t="s">
        <v>6984</v>
      </c>
      <c r="FKX23" t="s">
        <v>6984</v>
      </c>
      <c r="FKY23" t="s">
        <v>6984</v>
      </c>
      <c r="FKZ23" t="s">
        <v>6984</v>
      </c>
      <c r="FLA23" t="s">
        <v>6984</v>
      </c>
      <c r="FLB23" t="s">
        <v>6984</v>
      </c>
      <c r="FLC23" t="s">
        <v>6984</v>
      </c>
      <c r="FLD23" t="s">
        <v>6984</v>
      </c>
      <c r="FLE23" t="s">
        <v>6984</v>
      </c>
      <c r="FLF23" t="s">
        <v>6984</v>
      </c>
      <c r="FLG23" t="s">
        <v>6984</v>
      </c>
      <c r="FLH23" t="s">
        <v>6984</v>
      </c>
      <c r="FLI23" t="s">
        <v>6984</v>
      </c>
      <c r="FLJ23" t="s">
        <v>6984</v>
      </c>
      <c r="FLK23" t="s">
        <v>6984</v>
      </c>
      <c r="FLL23" t="s">
        <v>6984</v>
      </c>
      <c r="FLM23" t="s">
        <v>6984</v>
      </c>
      <c r="FLN23" t="s">
        <v>6984</v>
      </c>
      <c r="FLO23" t="s">
        <v>6984</v>
      </c>
      <c r="FLP23" t="s">
        <v>6984</v>
      </c>
      <c r="FLQ23" t="s">
        <v>6984</v>
      </c>
      <c r="FLR23" t="s">
        <v>6984</v>
      </c>
      <c r="FLS23" t="s">
        <v>6984</v>
      </c>
      <c r="FLT23" t="s">
        <v>6984</v>
      </c>
      <c r="FLU23" t="s">
        <v>6984</v>
      </c>
      <c r="FLV23" t="s">
        <v>6984</v>
      </c>
      <c r="FLW23" t="s">
        <v>6984</v>
      </c>
      <c r="FLX23" t="s">
        <v>6984</v>
      </c>
      <c r="FLY23" t="s">
        <v>6984</v>
      </c>
      <c r="FLZ23" t="s">
        <v>6984</v>
      </c>
      <c r="FMA23" t="s">
        <v>6984</v>
      </c>
      <c r="FMB23" t="s">
        <v>6984</v>
      </c>
      <c r="FMC23" t="s">
        <v>6984</v>
      </c>
      <c r="FMD23" t="s">
        <v>6984</v>
      </c>
      <c r="FME23" t="s">
        <v>6984</v>
      </c>
      <c r="FMF23" t="s">
        <v>6984</v>
      </c>
      <c r="FMG23" t="s">
        <v>6984</v>
      </c>
      <c r="FMH23" t="s">
        <v>6984</v>
      </c>
      <c r="FMI23" t="s">
        <v>6984</v>
      </c>
      <c r="FMJ23" t="s">
        <v>6984</v>
      </c>
      <c r="FMK23" t="s">
        <v>6984</v>
      </c>
      <c r="FML23" t="s">
        <v>6984</v>
      </c>
      <c r="FMM23" t="s">
        <v>6984</v>
      </c>
      <c r="FMN23" t="s">
        <v>6984</v>
      </c>
      <c r="FMO23" t="s">
        <v>6984</v>
      </c>
      <c r="FMP23" t="s">
        <v>6984</v>
      </c>
      <c r="FMQ23" t="s">
        <v>6984</v>
      </c>
      <c r="FMR23" t="s">
        <v>6984</v>
      </c>
      <c r="FMS23" t="s">
        <v>6984</v>
      </c>
      <c r="FMT23" t="s">
        <v>6984</v>
      </c>
      <c r="FMU23" t="s">
        <v>6984</v>
      </c>
      <c r="FMV23" t="s">
        <v>6984</v>
      </c>
      <c r="FMW23" t="s">
        <v>6984</v>
      </c>
      <c r="FMX23" t="s">
        <v>6984</v>
      </c>
      <c r="FMY23" t="s">
        <v>6984</v>
      </c>
      <c r="FMZ23" t="s">
        <v>6984</v>
      </c>
      <c r="FNA23" t="s">
        <v>6984</v>
      </c>
      <c r="FNB23" t="s">
        <v>6984</v>
      </c>
      <c r="FNC23" t="s">
        <v>6984</v>
      </c>
      <c r="FND23" t="s">
        <v>6984</v>
      </c>
      <c r="FNE23" t="s">
        <v>6984</v>
      </c>
      <c r="FNF23" t="s">
        <v>6984</v>
      </c>
      <c r="FNG23" t="s">
        <v>6984</v>
      </c>
      <c r="FNH23" t="s">
        <v>6984</v>
      </c>
      <c r="FNI23" t="s">
        <v>6984</v>
      </c>
      <c r="FNJ23" t="s">
        <v>6984</v>
      </c>
      <c r="FNK23" t="s">
        <v>6984</v>
      </c>
      <c r="FNL23" t="s">
        <v>6984</v>
      </c>
      <c r="FNM23" t="s">
        <v>6984</v>
      </c>
      <c r="FNN23" t="s">
        <v>6984</v>
      </c>
      <c r="FNO23" t="s">
        <v>6984</v>
      </c>
      <c r="FNP23" t="s">
        <v>6984</v>
      </c>
      <c r="FNQ23" t="s">
        <v>6984</v>
      </c>
      <c r="FNR23" t="s">
        <v>6984</v>
      </c>
      <c r="FNS23" t="s">
        <v>6984</v>
      </c>
      <c r="FNT23" t="s">
        <v>6984</v>
      </c>
      <c r="FNU23" t="s">
        <v>6984</v>
      </c>
      <c r="FNV23" t="s">
        <v>6984</v>
      </c>
      <c r="FNW23" t="s">
        <v>6984</v>
      </c>
      <c r="FNX23" t="s">
        <v>6984</v>
      </c>
      <c r="FNY23" t="s">
        <v>6984</v>
      </c>
      <c r="FNZ23" t="s">
        <v>6984</v>
      </c>
      <c r="FOA23" t="s">
        <v>6984</v>
      </c>
      <c r="FOB23" t="s">
        <v>6984</v>
      </c>
      <c r="FOC23" t="s">
        <v>6984</v>
      </c>
      <c r="FOD23" t="s">
        <v>6984</v>
      </c>
      <c r="FOE23" t="s">
        <v>6984</v>
      </c>
      <c r="FOF23" t="s">
        <v>6984</v>
      </c>
      <c r="FOG23" t="s">
        <v>6984</v>
      </c>
      <c r="FOH23" t="s">
        <v>6984</v>
      </c>
      <c r="FOI23" t="s">
        <v>6984</v>
      </c>
      <c r="FOJ23" t="s">
        <v>6984</v>
      </c>
      <c r="FOK23" t="s">
        <v>6984</v>
      </c>
      <c r="FOL23" t="s">
        <v>6984</v>
      </c>
      <c r="FOM23" t="s">
        <v>6984</v>
      </c>
      <c r="FON23" t="s">
        <v>6984</v>
      </c>
      <c r="FOO23" t="s">
        <v>6984</v>
      </c>
      <c r="FOP23" t="s">
        <v>6984</v>
      </c>
      <c r="FOQ23" t="s">
        <v>6984</v>
      </c>
      <c r="FOR23" t="s">
        <v>6984</v>
      </c>
      <c r="FOS23" t="s">
        <v>6984</v>
      </c>
      <c r="FOT23" t="s">
        <v>6984</v>
      </c>
      <c r="FOU23" t="s">
        <v>6984</v>
      </c>
      <c r="FOV23" t="s">
        <v>6984</v>
      </c>
      <c r="FOW23" t="s">
        <v>6984</v>
      </c>
      <c r="FOX23" t="s">
        <v>6984</v>
      </c>
      <c r="FOY23" t="s">
        <v>6984</v>
      </c>
      <c r="FOZ23" t="s">
        <v>6984</v>
      </c>
      <c r="FPA23" t="s">
        <v>6984</v>
      </c>
      <c r="FPB23" t="s">
        <v>6984</v>
      </c>
      <c r="FPC23" t="s">
        <v>6984</v>
      </c>
      <c r="FPD23" t="s">
        <v>6984</v>
      </c>
      <c r="FPE23" t="s">
        <v>6984</v>
      </c>
      <c r="FPF23" t="s">
        <v>6984</v>
      </c>
      <c r="FPG23" t="s">
        <v>6984</v>
      </c>
      <c r="FPH23" t="s">
        <v>6984</v>
      </c>
      <c r="FPI23" t="s">
        <v>6984</v>
      </c>
      <c r="FPJ23" t="s">
        <v>6984</v>
      </c>
      <c r="FPK23" t="s">
        <v>6984</v>
      </c>
      <c r="FPL23" t="s">
        <v>6984</v>
      </c>
      <c r="FPM23" t="s">
        <v>6984</v>
      </c>
      <c r="FPN23" t="s">
        <v>6984</v>
      </c>
      <c r="FPO23" t="s">
        <v>6984</v>
      </c>
      <c r="FPP23" t="s">
        <v>6984</v>
      </c>
      <c r="FPQ23" t="s">
        <v>6984</v>
      </c>
      <c r="FPR23" t="s">
        <v>6984</v>
      </c>
      <c r="FPS23" t="s">
        <v>6984</v>
      </c>
      <c r="FPT23" t="s">
        <v>6984</v>
      </c>
      <c r="FPU23" t="s">
        <v>6984</v>
      </c>
      <c r="FPV23" t="s">
        <v>6984</v>
      </c>
      <c r="FPW23" t="s">
        <v>6984</v>
      </c>
      <c r="FPX23" t="s">
        <v>6984</v>
      </c>
      <c r="FPY23" t="s">
        <v>6984</v>
      </c>
      <c r="FPZ23" t="s">
        <v>6984</v>
      </c>
      <c r="FQA23" t="s">
        <v>6984</v>
      </c>
      <c r="FQB23" t="s">
        <v>6984</v>
      </c>
      <c r="FQC23" t="s">
        <v>6984</v>
      </c>
      <c r="FQD23" t="s">
        <v>6984</v>
      </c>
      <c r="FQE23" t="s">
        <v>6984</v>
      </c>
      <c r="FQF23" t="s">
        <v>6984</v>
      </c>
      <c r="FQG23" t="s">
        <v>6984</v>
      </c>
      <c r="FQH23" t="s">
        <v>6984</v>
      </c>
      <c r="FQI23" t="s">
        <v>6984</v>
      </c>
      <c r="FQJ23" t="s">
        <v>6984</v>
      </c>
      <c r="FQK23" t="s">
        <v>6984</v>
      </c>
      <c r="FQL23" t="s">
        <v>6984</v>
      </c>
      <c r="FQM23" t="s">
        <v>6984</v>
      </c>
      <c r="FQN23" t="s">
        <v>6984</v>
      </c>
      <c r="FQO23" t="s">
        <v>6984</v>
      </c>
      <c r="FQP23" t="s">
        <v>6984</v>
      </c>
      <c r="FQQ23" t="s">
        <v>6984</v>
      </c>
      <c r="FQR23" t="s">
        <v>6984</v>
      </c>
      <c r="FQS23" t="s">
        <v>6984</v>
      </c>
      <c r="FQT23" t="s">
        <v>6984</v>
      </c>
      <c r="FQU23" t="s">
        <v>6984</v>
      </c>
      <c r="FQV23" t="s">
        <v>6984</v>
      </c>
      <c r="FQW23" t="s">
        <v>6984</v>
      </c>
      <c r="FQX23" t="s">
        <v>6984</v>
      </c>
      <c r="FQY23" t="s">
        <v>6984</v>
      </c>
      <c r="FQZ23" t="s">
        <v>6984</v>
      </c>
      <c r="FRA23" t="s">
        <v>6984</v>
      </c>
      <c r="FRB23" t="s">
        <v>6984</v>
      </c>
      <c r="FRC23" t="s">
        <v>6984</v>
      </c>
      <c r="FRD23" t="s">
        <v>6984</v>
      </c>
      <c r="FRE23" t="s">
        <v>6984</v>
      </c>
      <c r="FRF23" t="s">
        <v>6984</v>
      </c>
      <c r="FRG23" t="s">
        <v>6984</v>
      </c>
      <c r="FRH23" t="s">
        <v>6984</v>
      </c>
      <c r="FRI23" t="s">
        <v>6984</v>
      </c>
      <c r="FRJ23" t="s">
        <v>6984</v>
      </c>
      <c r="FRK23" t="s">
        <v>6984</v>
      </c>
      <c r="FRL23" t="s">
        <v>6984</v>
      </c>
      <c r="FRM23" t="s">
        <v>6984</v>
      </c>
      <c r="FRN23" t="s">
        <v>6984</v>
      </c>
      <c r="FRO23" t="s">
        <v>6984</v>
      </c>
      <c r="FRP23" t="s">
        <v>6984</v>
      </c>
      <c r="FRQ23" t="s">
        <v>6984</v>
      </c>
      <c r="FRR23" t="s">
        <v>6984</v>
      </c>
      <c r="FRS23" t="s">
        <v>6984</v>
      </c>
      <c r="FRT23" t="s">
        <v>6984</v>
      </c>
      <c r="FRU23" t="s">
        <v>6984</v>
      </c>
      <c r="FRV23" t="s">
        <v>6984</v>
      </c>
      <c r="FRW23" t="s">
        <v>6984</v>
      </c>
      <c r="FRX23" t="s">
        <v>6984</v>
      </c>
      <c r="FRY23" t="s">
        <v>6984</v>
      </c>
      <c r="FRZ23" t="s">
        <v>6984</v>
      </c>
      <c r="FSA23" t="s">
        <v>6984</v>
      </c>
      <c r="FSB23" t="s">
        <v>6984</v>
      </c>
      <c r="FSC23" t="s">
        <v>6984</v>
      </c>
      <c r="FSD23" t="s">
        <v>6984</v>
      </c>
      <c r="FSE23" t="s">
        <v>6984</v>
      </c>
      <c r="FSF23" t="s">
        <v>6984</v>
      </c>
      <c r="FSG23" t="s">
        <v>6984</v>
      </c>
      <c r="FSH23" t="s">
        <v>6984</v>
      </c>
      <c r="FSI23" t="s">
        <v>6984</v>
      </c>
      <c r="FSJ23" t="s">
        <v>6984</v>
      </c>
      <c r="FSK23" t="s">
        <v>6984</v>
      </c>
      <c r="FSL23" t="s">
        <v>6984</v>
      </c>
      <c r="FSM23" t="s">
        <v>6984</v>
      </c>
      <c r="FSN23" t="s">
        <v>6984</v>
      </c>
      <c r="FSO23" t="s">
        <v>6984</v>
      </c>
      <c r="FSP23" t="s">
        <v>6984</v>
      </c>
      <c r="FSQ23" t="s">
        <v>6984</v>
      </c>
      <c r="FSR23" t="s">
        <v>6984</v>
      </c>
      <c r="FSS23" t="s">
        <v>6984</v>
      </c>
      <c r="FST23" t="s">
        <v>6984</v>
      </c>
      <c r="FSU23" t="s">
        <v>6984</v>
      </c>
      <c r="FSV23" t="s">
        <v>6984</v>
      </c>
      <c r="FSW23" t="s">
        <v>6984</v>
      </c>
      <c r="FSX23" t="s">
        <v>6984</v>
      </c>
      <c r="FSY23" t="s">
        <v>6984</v>
      </c>
      <c r="FSZ23" t="s">
        <v>6984</v>
      </c>
      <c r="FTA23" t="s">
        <v>6984</v>
      </c>
      <c r="FTB23" t="s">
        <v>6984</v>
      </c>
      <c r="FTC23" t="s">
        <v>6984</v>
      </c>
      <c r="FTD23" t="s">
        <v>6984</v>
      </c>
      <c r="FTE23" t="s">
        <v>6984</v>
      </c>
      <c r="FTF23" t="s">
        <v>6984</v>
      </c>
      <c r="FTG23" t="s">
        <v>6984</v>
      </c>
      <c r="FTH23" t="s">
        <v>6984</v>
      </c>
      <c r="FTI23" t="s">
        <v>6984</v>
      </c>
      <c r="FTJ23" t="s">
        <v>6984</v>
      </c>
      <c r="FTK23" t="s">
        <v>6984</v>
      </c>
      <c r="FTL23" t="s">
        <v>6984</v>
      </c>
      <c r="FTM23" t="s">
        <v>6984</v>
      </c>
      <c r="FTN23" t="s">
        <v>6984</v>
      </c>
      <c r="FTO23" t="s">
        <v>6984</v>
      </c>
      <c r="FTP23" t="s">
        <v>6984</v>
      </c>
      <c r="FTQ23" t="s">
        <v>6984</v>
      </c>
      <c r="FTR23" t="s">
        <v>6984</v>
      </c>
      <c r="FTS23" t="s">
        <v>6984</v>
      </c>
      <c r="FTT23" t="s">
        <v>6984</v>
      </c>
      <c r="FTU23" t="s">
        <v>6984</v>
      </c>
      <c r="FTV23" t="s">
        <v>6984</v>
      </c>
      <c r="FTW23" t="s">
        <v>6984</v>
      </c>
      <c r="FTX23" t="s">
        <v>6984</v>
      </c>
      <c r="FTY23" t="s">
        <v>6984</v>
      </c>
      <c r="FTZ23" t="s">
        <v>6984</v>
      </c>
      <c r="FUA23" t="s">
        <v>6984</v>
      </c>
      <c r="FUB23" t="s">
        <v>6984</v>
      </c>
      <c r="FUC23" t="s">
        <v>6984</v>
      </c>
      <c r="FUD23" t="s">
        <v>6984</v>
      </c>
      <c r="FUE23" t="s">
        <v>6984</v>
      </c>
      <c r="FUF23" t="s">
        <v>6984</v>
      </c>
      <c r="FUG23" t="s">
        <v>6984</v>
      </c>
      <c r="FUH23" t="s">
        <v>6984</v>
      </c>
      <c r="FUI23" t="s">
        <v>6984</v>
      </c>
      <c r="FUJ23" t="s">
        <v>6984</v>
      </c>
      <c r="FUK23" t="s">
        <v>6984</v>
      </c>
      <c r="FUL23" t="s">
        <v>6984</v>
      </c>
      <c r="FUM23" t="s">
        <v>6984</v>
      </c>
      <c r="FUN23" t="s">
        <v>6984</v>
      </c>
      <c r="FUO23" t="s">
        <v>6984</v>
      </c>
      <c r="FUP23" t="s">
        <v>6984</v>
      </c>
      <c r="FUQ23" t="s">
        <v>6984</v>
      </c>
      <c r="FUR23" t="s">
        <v>6984</v>
      </c>
      <c r="FUS23" t="s">
        <v>6984</v>
      </c>
      <c r="FUT23" t="s">
        <v>6984</v>
      </c>
      <c r="FUU23" t="s">
        <v>6984</v>
      </c>
      <c r="FUV23" t="s">
        <v>6984</v>
      </c>
      <c r="FUW23" t="s">
        <v>6984</v>
      </c>
      <c r="FUX23" t="s">
        <v>6984</v>
      </c>
      <c r="FUY23" t="s">
        <v>6984</v>
      </c>
      <c r="FUZ23" t="s">
        <v>6984</v>
      </c>
      <c r="FVA23" t="s">
        <v>6984</v>
      </c>
      <c r="FVB23" t="s">
        <v>6984</v>
      </c>
      <c r="FVC23" t="s">
        <v>6984</v>
      </c>
      <c r="FVD23" t="s">
        <v>6984</v>
      </c>
      <c r="FVE23" t="s">
        <v>6984</v>
      </c>
      <c r="FVF23" t="s">
        <v>6984</v>
      </c>
      <c r="FVG23" t="s">
        <v>6984</v>
      </c>
      <c r="FVH23" t="s">
        <v>6984</v>
      </c>
      <c r="FVI23" t="s">
        <v>6984</v>
      </c>
      <c r="FVJ23" t="s">
        <v>6984</v>
      </c>
      <c r="FVK23" t="s">
        <v>6984</v>
      </c>
      <c r="FVL23" t="s">
        <v>6984</v>
      </c>
      <c r="FVM23" t="s">
        <v>6984</v>
      </c>
      <c r="FVN23" t="s">
        <v>6984</v>
      </c>
      <c r="FVO23" t="s">
        <v>6984</v>
      </c>
      <c r="FVP23" t="s">
        <v>6984</v>
      </c>
      <c r="FVQ23" t="s">
        <v>6984</v>
      </c>
      <c r="FVR23" t="s">
        <v>6984</v>
      </c>
      <c r="FVS23" t="s">
        <v>6984</v>
      </c>
      <c r="FVT23" t="s">
        <v>6984</v>
      </c>
      <c r="FVU23" t="s">
        <v>6984</v>
      </c>
      <c r="FVV23" t="s">
        <v>6984</v>
      </c>
      <c r="FVW23" t="s">
        <v>6984</v>
      </c>
      <c r="FVX23" t="s">
        <v>6984</v>
      </c>
      <c r="FVY23" t="s">
        <v>6984</v>
      </c>
      <c r="FVZ23" t="s">
        <v>6984</v>
      </c>
      <c r="FWA23" t="s">
        <v>6984</v>
      </c>
      <c r="FWB23" t="s">
        <v>6984</v>
      </c>
      <c r="FWC23" t="s">
        <v>6984</v>
      </c>
      <c r="FWD23" t="s">
        <v>6984</v>
      </c>
      <c r="FWE23" t="s">
        <v>6984</v>
      </c>
      <c r="FWF23" t="s">
        <v>6984</v>
      </c>
      <c r="FWG23" t="s">
        <v>6984</v>
      </c>
      <c r="FWH23" t="s">
        <v>6984</v>
      </c>
      <c r="FWI23" t="s">
        <v>6984</v>
      </c>
      <c r="FWJ23" t="s">
        <v>6984</v>
      </c>
      <c r="FWK23" t="s">
        <v>6984</v>
      </c>
      <c r="FWL23" t="s">
        <v>6984</v>
      </c>
      <c r="FWM23" t="s">
        <v>6984</v>
      </c>
      <c r="FWN23" t="s">
        <v>6984</v>
      </c>
      <c r="FWO23" t="s">
        <v>6984</v>
      </c>
      <c r="FWP23" t="s">
        <v>6984</v>
      </c>
      <c r="FWQ23" t="s">
        <v>6984</v>
      </c>
      <c r="FWR23" t="s">
        <v>6984</v>
      </c>
      <c r="FWS23" t="s">
        <v>6984</v>
      </c>
      <c r="FWT23" t="s">
        <v>6984</v>
      </c>
      <c r="FWU23" t="s">
        <v>6984</v>
      </c>
      <c r="FWV23" t="s">
        <v>6984</v>
      </c>
      <c r="FWW23" t="s">
        <v>6984</v>
      </c>
      <c r="FWX23" t="s">
        <v>6984</v>
      </c>
      <c r="FWY23" t="s">
        <v>6984</v>
      </c>
      <c r="FWZ23" t="s">
        <v>6984</v>
      </c>
      <c r="FXA23" t="s">
        <v>6984</v>
      </c>
      <c r="FXB23" t="s">
        <v>6984</v>
      </c>
      <c r="FXC23" t="s">
        <v>6984</v>
      </c>
      <c r="FXD23" t="s">
        <v>6984</v>
      </c>
      <c r="FXE23" t="s">
        <v>6984</v>
      </c>
      <c r="FXF23" t="s">
        <v>6984</v>
      </c>
      <c r="FXG23" t="s">
        <v>6984</v>
      </c>
      <c r="FXH23" t="s">
        <v>6984</v>
      </c>
      <c r="FXI23" t="s">
        <v>6984</v>
      </c>
      <c r="FXJ23" t="s">
        <v>6984</v>
      </c>
      <c r="FXK23" t="s">
        <v>6984</v>
      </c>
      <c r="FXL23" t="s">
        <v>6984</v>
      </c>
      <c r="FXM23" t="s">
        <v>6984</v>
      </c>
      <c r="FXN23" t="s">
        <v>6984</v>
      </c>
      <c r="FXO23" t="s">
        <v>6984</v>
      </c>
      <c r="FXP23" t="s">
        <v>6984</v>
      </c>
      <c r="FXQ23" t="s">
        <v>6984</v>
      </c>
      <c r="FXR23" t="s">
        <v>6984</v>
      </c>
      <c r="FXS23" t="s">
        <v>6984</v>
      </c>
      <c r="FXT23" t="s">
        <v>6984</v>
      </c>
      <c r="FXU23" t="s">
        <v>6984</v>
      </c>
      <c r="FXV23" t="s">
        <v>6984</v>
      </c>
      <c r="FXW23" t="s">
        <v>6984</v>
      </c>
      <c r="FXX23" t="s">
        <v>6984</v>
      </c>
      <c r="FXY23" t="s">
        <v>6984</v>
      </c>
      <c r="FXZ23" t="s">
        <v>6984</v>
      </c>
      <c r="FYA23" t="s">
        <v>6984</v>
      </c>
      <c r="FYB23" t="s">
        <v>6984</v>
      </c>
      <c r="FYC23" t="s">
        <v>6984</v>
      </c>
      <c r="FYD23" t="s">
        <v>6984</v>
      </c>
      <c r="FYE23" t="s">
        <v>6984</v>
      </c>
      <c r="FYF23" t="s">
        <v>6984</v>
      </c>
      <c r="FYG23" t="s">
        <v>6984</v>
      </c>
      <c r="FYH23" t="s">
        <v>6984</v>
      </c>
      <c r="FYI23" t="s">
        <v>6984</v>
      </c>
      <c r="FYJ23" t="s">
        <v>6984</v>
      </c>
      <c r="FYK23" t="s">
        <v>6984</v>
      </c>
      <c r="FYL23" t="s">
        <v>6984</v>
      </c>
      <c r="FYM23" t="s">
        <v>6984</v>
      </c>
      <c r="FYN23" t="s">
        <v>6984</v>
      </c>
      <c r="FYO23" t="s">
        <v>6984</v>
      </c>
      <c r="FYP23" t="s">
        <v>6984</v>
      </c>
      <c r="FYQ23" t="s">
        <v>6984</v>
      </c>
      <c r="FYR23" t="s">
        <v>6984</v>
      </c>
      <c r="FYS23" t="s">
        <v>6984</v>
      </c>
      <c r="FYT23" t="s">
        <v>6984</v>
      </c>
      <c r="FYU23" t="s">
        <v>6984</v>
      </c>
      <c r="FYV23" t="s">
        <v>6984</v>
      </c>
      <c r="FYW23" t="s">
        <v>6984</v>
      </c>
      <c r="FYX23" t="s">
        <v>6984</v>
      </c>
      <c r="FYY23" t="s">
        <v>6984</v>
      </c>
      <c r="FYZ23" t="s">
        <v>6984</v>
      </c>
      <c r="FZA23" t="s">
        <v>6984</v>
      </c>
      <c r="FZB23" t="s">
        <v>6984</v>
      </c>
      <c r="FZC23" t="s">
        <v>6984</v>
      </c>
      <c r="FZD23" t="s">
        <v>6984</v>
      </c>
      <c r="FZE23" t="s">
        <v>6984</v>
      </c>
      <c r="FZF23" t="s">
        <v>6984</v>
      </c>
      <c r="FZG23" t="s">
        <v>6984</v>
      </c>
      <c r="FZH23" t="s">
        <v>6984</v>
      </c>
      <c r="FZI23" t="s">
        <v>6984</v>
      </c>
      <c r="FZJ23" t="s">
        <v>6984</v>
      </c>
      <c r="FZK23" t="s">
        <v>6984</v>
      </c>
      <c r="FZL23" t="s">
        <v>6984</v>
      </c>
      <c r="FZM23" t="s">
        <v>6984</v>
      </c>
      <c r="FZN23" t="s">
        <v>6984</v>
      </c>
      <c r="FZO23" t="s">
        <v>6984</v>
      </c>
      <c r="FZP23" t="s">
        <v>6984</v>
      </c>
      <c r="FZQ23" t="s">
        <v>6984</v>
      </c>
      <c r="FZR23" t="s">
        <v>6984</v>
      </c>
      <c r="FZS23" t="s">
        <v>6984</v>
      </c>
      <c r="FZT23" t="s">
        <v>6984</v>
      </c>
      <c r="FZU23" t="s">
        <v>6984</v>
      </c>
      <c r="FZV23" t="s">
        <v>6984</v>
      </c>
      <c r="FZW23" t="s">
        <v>6984</v>
      </c>
      <c r="FZX23" t="s">
        <v>6984</v>
      </c>
      <c r="FZY23" t="s">
        <v>6984</v>
      </c>
      <c r="FZZ23" t="s">
        <v>6984</v>
      </c>
      <c r="GAA23" t="s">
        <v>6984</v>
      </c>
      <c r="GAB23" t="s">
        <v>6984</v>
      </c>
      <c r="GAC23" t="s">
        <v>6984</v>
      </c>
      <c r="GAD23" t="s">
        <v>6984</v>
      </c>
      <c r="GAE23" t="s">
        <v>6984</v>
      </c>
      <c r="GAF23" t="s">
        <v>6984</v>
      </c>
      <c r="GAG23" t="s">
        <v>6984</v>
      </c>
      <c r="GAH23" t="s">
        <v>6984</v>
      </c>
      <c r="GAI23" t="s">
        <v>6984</v>
      </c>
      <c r="GAJ23" t="s">
        <v>6984</v>
      </c>
      <c r="GAK23" t="s">
        <v>6984</v>
      </c>
      <c r="GAL23" t="s">
        <v>6984</v>
      </c>
      <c r="GAM23" t="s">
        <v>6984</v>
      </c>
      <c r="GAN23" t="s">
        <v>6984</v>
      </c>
      <c r="GAO23" t="s">
        <v>6984</v>
      </c>
      <c r="GAP23" t="s">
        <v>6984</v>
      </c>
      <c r="GAQ23" t="s">
        <v>6984</v>
      </c>
      <c r="GAR23" t="s">
        <v>6984</v>
      </c>
      <c r="GAS23" t="s">
        <v>6984</v>
      </c>
      <c r="GAT23" t="s">
        <v>6984</v>
      </c>
      <c r="GAU23" t="s">
        <v>6984</v>
      </c>
      <c r="GAV23" t="s">
        <v>6984</v>
      </c>
      <c r="GAW23" t="s">
        <v>6984</v>
      </c>
      <c r="GAX23" t="s">
        <v>6984</v>
      </c>
      <c r="GAY23" t="s">
        <v>6984</v>
      </c>
      <c r="GAZ23" t="s">
        <v>6984</v>
      </c>
      <c r="GBA23" t="s">
        <v>6984</v>
      </c>
      <c r="GBB23" t="s">
        <v>6984</v>
      </c>
      <c r="GBC23" t="s">
        <v>6984</v>
      </c>
      <c r="GBD23" t="s">
        <v>6984</v>
      </c>
      <c r="GBE23" t="s">
        <v>6984</v>
      </c>
      <c r="GBF23" t="s">
        <v>6984</v>
      </c>
      <c r="GBG23" t="s">
        <v>6984</v>
      </c>
      <c r="GBH23" t="s">
        <v>6984</v>
      </c>
      <c r="GBI23" t="s">
        <v>6984</v>
      </c>
      <c r="GBJ23" t="s">
        <v>6984</v>
      </c>
      <c r="GBK23" t="s">
        <v>6984</v>
      </c>
      <c r="GBL23" t="s">
        <v>6984</v>
      </c>
      <c r="GBM23" t="s">
        <v>6984</v>
      </c>
      <c r="GBN23" t="s">
        <v>6984</v>
      </c>
      <c r="GBO23" t="s">
        <v>6984</v>
      </c>
      <c r="GBP23" t="s">
        <v>6984</v>
      </c>
      <c r="GBQ23" t="s">
        <v>6984</v>
      </c>
      <c r="GBR23" t="s">
        <v>6984</v>
      </c>
      <c r="GBS23" t="s">
        <v>6984</v>
      </c>
      <c r="GBT23" t="s">
        <v>6984</v>
      </c>
      <c r="GBU23" t="s">
        <v>6984</v>
      </c>
      <c r="GBV23" t="s">
        <v>6984</v>
      </c>
      <c r="GBW23" t="s">
        <v>6984</v>
      </c>
      <c r="GBX23" t="s">
        <v>6984</v>
      </c>
      <c r="GBY23" t="s">
        <v>6984</v>
      </c>
      <c r="GBZ23" t="s">
        <v>6984</v>
      </c>
      <c r="GCA23" t="s">
        <v>6984</v>
      </c>
      <c r="GCB23" t="s">
        <v>6984</v>
      </c>
      <c r="GCC23" t="s">
        <v>6984</v>
      </c>
      <c r="GCD23" t="s">
        <v>6984</v>
      </c>
      <c r="GCE23" t="s">
        <v>6984</v>
      </c>
      <c r="GCF23" t="s">
        <v>6984</v>
      </c>
      <c r="GCG23" t="s">
        <v>6984</v>
      </c>
      <c r="GCH23" t="s">
        <v>6984</v>
      </c>
      <c r="GCI23" t="s">
        <v>6984</v>
      </c>
      <c r="GCJ23" t="s">
        <v>6984</v>
      </c>
      <c r="GCK23" t="s">
        <v>6984</v>
      </c>
      <c r="GCL23" t="s">
        <v>6984</v>
      </c>
      <c r="GCM23" t="s">
        <v>6984</v>
      </c>
      <c r="GCN23" t="s">
        <v>6984</v>
      </c>
      <c r="GCO23" t="s">
        <v>6984</v>
      </c>
      <c r="GCP23" t="s">
        <v>6984</v>
      </c>
      <c r="GCQ23" t="s">
        <v>6984</v>
      </c>
      <c r="GCR23" t="s">
        <v>6984</v>
      </c>
      <c r="GCS23" t="s">
        <v>6984</v>
      </c>
      <c r="GCT23" t="s">
        <v>6984</v>
      </c>
      <c r="GCU23" t="s">
        <v>6984</v>
      </c>
      <c r="GCV23" t="s">
        <v>6984</v>
      </c>
      <c r="GCW23" t="s">
        <v>6984</v>
      </c>
      <c r="GCX23" t="s">
        <v>6984</v>
      </c>
      <c r="GCY23" t="s">
        <v>6984</v>
      </c>
      <c r="GCZ23" t="s">
        <v>6984</v>
      </c>
      <c r="GDA23" t="s">
        <v>6984</v>
      </c>
      <c r="GDB23" t="s">
        <v>6984</v>
      </c>
      <c r="GDC23" t="s">
        <v>6984</v>
      </c>
      <c r="GDD23" t="s">
        <v>6984</v>
      </c>
      <c r="GDE23" t="s">
        <v>6984</v>
      </c>
      <c r="GDF23" t="s">
        <v>6984</v>
      </c>
      <c r="GDG23" t="s">
        <v>6984</v>
      </c>
      <c r="GDH23" t="s">
        <v>6984</v>
      </c>
      <c r="GDI23" t="s">
        <v>6984</v>
      </c>
      <c r="GDJ23" t="s">
        <v>6984</v>
      </c>
      <c r="GDK23" t="s">
        <v>6984</v>
      </c>
      <c r="GDL23" t="s">
        <v>6984</v>
      </c>
      <c r="GDM23" t="s">
        <v>6984</v>
      </c>
      <c r="GDN23" t="s">
        <v>6984</v>
      </c>
      <c r="GDO23" t="s">
        <v>6984</v>
      </c>
      <c r="GDP23" t="s">
        <v>6984</v>
      </c>
      <c r="GDQ23" t="s">
        <v>6984</v>
      </c>
      <c r="GDR23" t="s">
        <v>6984</v>
      </c>
      <c r="GDS23" t="s">
        <v>6984</v>
      </c>
      <c r="GDT23" t="s">
        <v>6984</v>
      </c>
      <c r="GDU23" t="s">
        <v>6984</v>
      </c>
      <c r="GDV23" t="s">
        <v>6984</v>
      </c>
      <c r="GDW23" t="s">
        <v>6984</v>
      </c>
      <c r="GDX23" t="s">
        <v>6984</v>
      </c>
      <c r="GDY23" t="s">
        <v>6984</v>
      </c>
      <c r="GDZ23" t="s">
        <v>6984</v>
      </c>
      <c r="GEA23" t="s">
        <v>6984</v>
      </c>
      <c r="GEB23" t="s">
        <v>6984</v>
      </c>
      <c r="GEC23" t="s">
        <v>6984</v>
      </c>
      <c r="GED23" t="s">
        <v>6984</v>
      </c>
      <c r="GEE23" t="s">
        <v>6984</v>
      </c>
      <c r="GEF23" t="s">
        <v>6984</v>
      </c>
      <c r="GEG23" t="s">
        <v>6984</v>
      </c>
      <c r="GEH23" t="s">
        <v>6984</v>
      </c>
      <c r="GEI23" t="s">
        <v>6984</v>
      </c>
      <c r="GEJ23" t="s">
        <v>6984</v>
      </c>
      <c r="GEK23" t="s">
        <v>6984</v>
      </c>
      <c r="GEL23" t="s">
        <v>6984</v>
      </c>
      <c r="GEM23" t="s">
        <v>6984</v>
      </c>
      <c r="GEN23" t="s">
        <v>6984</v>
      </c>
      <c r="GEO23" t="s">
        <v>6984</v>
      </c>
      <c r="GEP23" t="s">
        <v>6984</v>
      </c>
      <c r="GEQ23" t="s">
        <v>6984</v>
      </c>
      <c r="GER23" t="s">
        <v>6984</v>
      </c>
      <c r="GES23" t="s">
        <v>6984</v>
      </c>
      <c r="GET23" t="s">
        <v>6984</v>
      </c>
      <c r="GEU23" t="s">
        <v>6984</v>
      </c>
      <c r="GEV23" t="s">
        <v>6984</v>
      </c>
      <c r="GEW23" t="s">
        <v>6984</v>
      </c>
      <c r="GEX23" t="s">
        <v>6984</v>
      </c>
      <c r="GEY23" t="s">
        <v>6984</v>
      </c>
      <c r="GEZ23" t="s">
        <v>6984</v>
      </c>
      <c r="GFA23" t="s">
        <v>6984</v>
      </c>
      <c r="GFB23" t="s">
        <v>6984</v>
      </c>
      <c r="GFC23" t="s">
        <v>6984</v>
      </c>
      <c r="GFD23" t="s">
        <v>6984</v>
      </c>
      <c r="GFE23" t="s">
        <v>6984</v>
      </c>
      <c r="GFF23" t="s">
        <v>6984</v>
      </c>
      <c r="GFG23" t="s">
        <v>6984</v>
      </c>
      <c r="GFH23" t="s">
        <v>6984</v>
      </c>
      <c r="GFI23" t="s">
        <v>6984</v>
      </c>
      <c r="GFJ23" t="s">
        <v>6984</v>
      </c>
      <c r="GFK23" t="s">
        <v>6984</v>
      </c>
      <c r="GFL23" t="s">
        <v>6984</v>
      </c>
      <c r="GFM23" t="s">
        <v>6984</v>
      </c>
      <c r="GFN23" t="s">
        <v>6984</v>
      </c>
      <c r="GFO23" t="s">
        <v>6984</v>
      </c>
      <c r="GFP23" t="s">
        <v>6984</v>
      </c>
      <c r="GFQ23" t="s">
        <v>6984</v>
      </c>
      <c r="GFR23" t="s">
        <v>6984</v>
      </c>
      <c r="GFS23" t="s">
        <v>6984</v>
      </c>
      <c r="GFT23" t="s">
        <v>6984</v>
      </c>
      <c r="GFU23" t="s">
        <v>6984</v>
      </c>
      <c r="GFV23" t="s">
        <v>6984</v>
      </c>
      <c r="GFW23" t="s">
        <v>6984</v>
      </c>
      <c r="GFX23" t="s">
        <v>6984</v>
      </c>
      <c r="GFY23" t="s">
        <v>6984</v>
      </c>
      <c r="GFZ23" t="s">
        <v>6984</v>
      </c>
      <c r="GGA23" t="s">
        <v>6984</v>
      </c>
      <c r="GGB23" t="s">
        <v>6984</v>
      </c>
      <c r="GGC23" t="s">
        <v>6984</v>
      </c>
      <c r="GGD23" t="s">
        <v>6984</v>
      </c>
      <c r="GGE23" t="s">
        <v>6984</v>
      </c>
      <c r="GGF23" t="s">
        <v>6984</v>
      </c>
      <c r="GGG23" t="s">
        <v>6984</v>
      </c>
      <c r="GGH23" t="s">
        <v>6984</v>
      </c>
      <c r="GGI23" t="s">
        <v>6984</v>
      </c>
      <c r="GGJ23" t="s">
        <v>6984</v>
      </c>
      <c r="GGK23" t="s">
        <v>6984</v>
      </c>
      <c r="GGL23" t="s">
        <v>6984</v>
      </c>
      <c r="GGM23" t="s">
        <v>6984</v>
      </c>
      <c r="GGN23" t="s">
        <v>6984</v>
      </c>
      <c r="GGO23" t="s">
        <v>6984</v>
      </c>
      <c r="GGP23" t="s">
        <v>6984</v>
      </c>
      <c r="GGQ23" t="s">
        <v>6984</v>
      </c>
      <c r="GGR23" t="s">
        <v>6984</v>
      </c>
      <c r="GGS23" t="s">
        <v>6984</v>
      </c>
      <c r="GGT23" t="s">
        <v>6984</v>
      </c>
      <c r="GGU23" t="s">
        <v>6984</v>
      </c>
      <c r="GGV23" t="s">
        <v>6984</v>
      </c>
      <c r="GGW23" t="s">
        <v>6984</v>
      </c>
      <c r="GGX23" t="s">
        <v>6984</v>
      </c>
      <c r="GGY23" t="s">
        <v>6984</v>
      </c>
      <c r="GGZ23" t="s">
        <v>6984</v>
      </c>
      <c r="GHA23" t="s">
        <v>6984</v>
      </c>
      <c r="GHB23" t="s">
        <v>6984</v>
      </c>
      <c r="GHC23" t="s">
        <v>6984</v>
      </c>
      <c r="GHD23" t="s">
        <v>6984</v>
      </c>
      <c r="GHE23" t="s">
        <v>6984</v>
      </c>
      <c r="GHF23" t="s">
        <v>6984</v>
      </c>
      <c r="GHG23" t="s">
        <v>6984</v>
      </c>
      <c r="GHH23" t="s">
        <v>6984</v>
      </c>
      <c r="GHI23" t="s">
        <v>6984</v>
      </c>
      <c r="GHJ23" t="s">
        <v>6984</v>
      </c>
      <c r="GHK23" t="s">
        <v>6984</v>
      </c>
      <c r="GHL23" t="s">
        <v>6984</v>
      </c>
      <c r="GHM23" t="s">
        <v>6984</v>
      </c>
      <c r="GHN23" t="s">
        <v>6984</v>
      </c>
      <c r="GHO23" t="s">
        <v>6984</v>
      </c>
      <c r="GHP23" t="s">
        <v>6984</v>
      </c>
      <c r="GHQ23" t="s">
        <v>6984</v>
      </c>
      <c r="GHR23" t="s">
        <v>6984</v>
      </c>
      <c r="GHS23" t="s">
        <v>6984</v>
      </c>
      <c r="GHT23" t="s">
        <v>6984</v>
      </c>
      <c r="GHU23" t="s">
        <v>6984</v>
      </c>
      <c r="GHV23" t="s">
        <v>6984</v>
      </c>
      <c r="GHW23" t="s">
        <v>6984</v>
      </c>
      <c r="GHX23" t="s">
        <v>6984</v>
      </c>
      <c r="GHY23" t="s">
        <v>6984</v>
      </c>
      <c r="GHZ23" t="s">
        <v>6984</v>
      </c>
      <c r="GIA23" t="s">
        <v>6984</v>
      </c>
      <c r="GIB23" t="s">
        <v>6984</v>
      </c>
      <c r="GIC23" t="s">
        <v>6984</v>
      </c>
      <c r="GID23" t="s">
        <v>6984</v>
      </c>
      <c r="GIE23" t="s">
        <v>6984</v>
      </c>
      <c r="GIF23" t="s">
        <v>6984</v>
      </c>
      <c r="GIG23" t="s">
        <v>6984</v>
      </c>
      <c r="GIH23" t="s">
        <v>6984</v>
      </c>
      <c r="GII23" t="s">
        <v>6984</v>
      </c>
      <c r="GIJ23" t="s">
        <v>6984</v>
      </c>
      <c r="GIK23" t="s">
        <v>6984</v>
      </c>
      <c r="GIL23" t="s">
        <v>6984</v>
      </c>
      <c r="GIM23" t="s">
        <v>6984</v>
      </c>
      <c r="GIN23" t="s">
        <v>6984</v>
      </c>
      <c r="GIO23" t="s">
        <v>6984</v>
      </c>
      <c r="GIP23" t="s">
        <v>6984</v>
      </c>
      <c r="GIQ23" t="s">
        <v>6984</v>
      </c>
      <c r="GIR23" t="s">
        <v>6984</v>
      </c>
      <c r="GIS23" t="s">
        <v>6984</v>
      </c>
      <c r="GIT23" t="s">
        <v>6984</v>
      </c>
      <c r="GIU23" t="s">
        <v>6984</v>
      </c>
      <c r="GIV23" t="s">
        <v>6984</v>
      </c>
      <c r="GIW23" t="s">
        <v>6984</v>
      </c>
      <c r="GIX23" t="s">
        <v>6984</v>
      </c>
      <c r="GIY23" t="s">
        <v>6984</v>
      </c>
      <c r="GIZ23" t="s">
        <v>6984</v>
      </c>
      <c r="GJA23" t="s">
        <v>6984</v>
      </c>
      <c r="GJB23" t="s">
        <v>6984</v>
      </c>
      <c r="GJC23" t="s">
        <v>6984</v>
      </c>
      <c r="GJD23" t="s">
        <v>6984</v>
      </c>
      <c r="GJE23" t="s">
        <v>6984</v>
      </c>
      <c r="GJF23" t="s">
        <v>6984</v>
      </c>
      <c r="GJG23" t="s">
        <v>6984</v>
      </c>
      <c r="GJH23" t="s">
        <v>6984</v>
      </c>
      <c r="GJI23" t="s">
        <v>6984</v>
      </c>
      <c r="GJJ23" t="s">
        <v>6984</v>
      </c>
      <c r="GJK23" t="s">
        <v>6984</v>
      </c>
      <c r="GJL23" t="s">
        <v>6984</v>
      </c>
      <c r="GJM23" t="s">
        <v>6984</v>
      </c>
      <c r="GJN23" t="s">
        <v>6984</v>
      </c>
      <c r="GJO23" t="s">
        <v>6984</v>
      </c>
      <c r="GJP23" t="s">
        <v>6984</v>
      </c>
      <c r="GJQ23" t="s">
        <v>6984</v>
      </c>
      <c r="GJR23" t="s">
        <v>6984</v>
      </c>
      <c r="GJS23" t="s">
        <v>6984</v>
      </c>
      <c r="GJT23" t="s">
        <v>6984</v>
      </c>
      <c r="GJU23" t="s">
        <v>6984</v>
      </c>
      <c r="GJV23" t="s">
        <v>6984</v>
      </c>
      <c r="GJW23" t="s">
        <v>6984</v>
      </c>
      <c r="GJX23" t="s">
        <v>6984</v>
      </c>
      <c r="GJY23" t="s">
        <v>6984</v>
      </c>
      <c r="GJZ23" t="s">
        <v>6984</v>
      </c>
      <c r="GKA23" t="s">
        <v>6984</v>
      </c>
      <c r="GKB23" t="s">
        <v>6984</v>
      </c>
      <c r="GKC23" t="s">
        <v>6984</v>
      </c>
      <c r="GKD23" t="s">
        <v>6984</v>
      </c>
      <c r="GKE23" t="s">
        <v>6984</v>
      </c>
      <c r="GKF23" t="s">
        <v>6984</v>
      </c>
      <c r="GKG23" t="s">
        <v>6984</v>
      </c>
      <c r="GKH23" t="s">
        <v>6984</v>
      </c>
      <c r="GKI23" t="s">
        <v>6984</v>
      </c>
      <c r="GKJ23" t="s">
        <v>6984</v>
      </c>
      <c r="GKK23" t="s">
        <v>6984</v>
      </c>
      <c r="GKL23" t="s">
        <v>6984</v>
      </c>
      <c r="GKM23" t="s">
        <v>6984</v>
      </c>
      <c r="GKN23" t="s">
        <v>6984</v>
      </c>
      <c r="GKO23" t="s">
        <v>6984</v>
      </c>
      <c r="GKP23" t="s">
        <v>6984</v>
      </c>
      <c r="GKQ23" t="s">
        <v>6984</v>
      </c>
      <c r="GKR23" t="s">
        <v>6984</v>
      </c>
      <c r="GKS23" t="s">
        <v>6984</v>
      </c>
      <c r="GKT23" t="s">
        <v>6984</v>
      </c>
      <c r="GKU23" t="s">
        <v>6984</v>
      </c>
      <c r="GKV23" t="s">
        <v>6984</v>
      </c>
      <c r="GKW23" t="s">
        <v>6984</v>
      </c>
      <c r="GKX23" t="s">
        <v>6984</v>
      </c>
      <c r="GKY23" t="s">
        <v>6984</v>
      </c>
      <c r="GKZ23" t="s">
        <v>6984</v>
      </c>
      <c r="GLA23" t="s">
        <v>6984</v>
      </c>
      <c r="GLB23" t="s">
        <v>6984</v>
      </c>
      <c r="GLC23" t="s">
        <v>6984</v>
      </c>
      <c r="GLD23" t="s">
        <v>6984</v>
      </c>
      <c r="GLE23" t="s">
        <v>6984</v>
      </c>
      <c r="GLF23" t="s">
        <v>6984</v>
      </c>
      <c r="GLG23" t="s">
        <v>6984</v>
      </c>
      <c r="GLH23" t="s">
        <v>6984</v>
      </c>
      <c r="GLI23" t="s">
        <v>6984</v>
      </c>
      <c r="GLJ23" t="s">
        <v>6984</v>
      </c>
      <c r="GLK23" t="s">
        <v>6984</v>
      </c>
      <c r="GLL23" t="s">
        <v>6984</v>
      </c>
      <c r="GLM23" t="s">
        <v>6984</v>
      </c>
      <c r="GLN23" t="s">
        <v>6984</v>
      </c>
      <c r="GLO23" t="s">
        <v>6984</v>
      </c>
      <c r="GLP23" t="s">
        <v>6984</v>
      </c>
      <c r="GLQ23" t="s">
        <v>6984</v>
      </c>
      <c r="GLR23" t="s">
        <v>6984</v>
      </c>
      <c r="GLS23" t="s">
        <v>6984</v>
      </c>
      <c r="GLT23" t="s">
        <v>6984</v>
      </c>
      <c r="GLU23" t="s">
        <v>6984</v>
      </c>
      <c r="GLV23" t="s">
        <v>6984</v>
      </c>
      <c r="GLW23" t="s">
        <v>6984</v>
      </c>
      <c r="GLX23" t="s">
        <v>6984</v>
      </c>
      <c r="GLY23" t="s">
        <v>6984</v>
      </c>
      <c r="GLZ23" t="s">
        <v>6984</v>
      </c>
      <c r="GMA23" t="s">
        <v>6984</v>
      </c>
      <c r="GMB23" t="s">
        <v>6984</v>
      </c>
      <c r="GMC23" t="s">
        <v>6984</v>
      </c>
      <c r="GMD23" t="s">
        <v>6984</v>
      </c>
      <c r="GME23" t="s">
        <v>6984</v>
      </c>
      <c r="GMF23" t="s">
        <v>6984</v>
      </c>
      <c r="GMG23" t="s">
        <v>6984</v>
      </c>
      <c r="GMH23" t="s">
        <v>6984</v>
      </c>
      <c r="GMI23" t="s">
        <v>6984</v>
      </c>
      <c r="GMJ23" t="s">
        <v>6984</v>
      </c>
      <c r="GMK23" t="s">
        <v>6984</v>
      </c>
      <c r="GML23" t="s">
        <v>6984</v>
      </c>
      <c r="GMM23" t="s">
        <v>6984</v>
      </c>
      <c r="GMN23" t="s">
        <v>6984</v>
      </c>
      <c r="GMO23" t="s">
        <v>6984</v>
      </c>
      <c r="GMP23" t="s">
        <v>6984</v>
      </c>
      <c r="GMQ23" t="s">
        <v>6984</v>
      </c>
      <c r="GMR23" t="s">
        <v>6984</v>
      </c>
      <c r="GMS23" t="s">
        <v>6984</v>
      </c>
      <c r="GMT23" t="s">
        <v>6984</v>
      </c>
      <c r="GMU23" t="s">
        <v>6984</v>
      </c>
      <c r="GMV23" t="s">
        <v>6984</v>
      </c>
      <c r="GMW23" t="s">
        <v>6984</v>
      </c>
      <c r="GMX23" t="s">
        <v>6984</v>
      </c>
      <c r="GMY23" t="s">
        <v>6984</v>
      </c>
      <c r="GMZ23" t="s">
        <v>6984</v>
      </c>
      <c r="GNA23" t="s">
        <v>6984</v>
      </c>
      <c r="GNB23" t="s">
        <v>6984</v>
      </c>
      <c r="GNC23" t="s">
        <v>6984</v>
      </c>
      <c r="GND23" t="s">
        <v>6984</v>
      </c>
      <c r="GNE23" t="s">
        <v>6984</v>
      </c>
      <c r="GNF23" t="s">
        <v>6984</v>
      </c>
      <c r="GNG23" t="s">
        <v>6984</v>
      </c>
      <c r="GNH23" t="s">
        <v>6984</v>
      </c>
      <c r="GNI23" t="s">
        <v>6984</v>
      </c>
      <c r="GNJ23" t="s">
        <v>6984</v>
      </c>
      <c r="GNK23" t="s">
        <v>6984</v>
      </c>
      <c r="GNL23" t="s">
        <v>6984</v>
      </c>
      <c r="GNM23" t="s">
        <v>6984</v>
      </c>
      <c r="GNN23" t="s">
        <v>6984</v>
      </c>
      <c r="GNO23" t="s">
        <v>6984</v>
      </c>
      <c r="GNP23" t="s">
        <v>6984</v>
      </c>
      <c r="GNQ23" t="s">
        <v>6984</v>
      </c>
      <c r="GNR23" t="s">
        <v>6984</v>
      </c>
      <c r="GNS23" t="s">
        <v>6984</v>
      </c>
      <c r="GNT23" t="s">
        <v>6984</v>
      </c>
      <c r="GNU23" t="s">
        <v>6984</v>
      </c>
      <c r="GNV23" t="s">
        <v>6984</v>
      </c>
      <c r="GNW23" t="s">
        <v>6984</v>
      </c>
      <c r="GNX23" t="s">
        <v>6984</v>
      </c>
      <c r="GNY23" t="s">
        <v>6984</v>
      </c>
      <c r="GNZ23" t="s">
        <v>6984</v>
      </c>
      <c r="GOA23" t="s">
        <v>6984</v>
      </c>
      <c r="GOB23" t="s">
        <v>6984</v>
      </c>
      <c r="GOC23" t="s">
        <v>6984</v>
      </c>
      <c r="GOD23" t="s">
        <v>6984</v>
      </c>
      <c r="GOE23" t="s">
        <v>6984</v>
      </c>
      <c r="GOF23" t="s">
        <v>6984</v>
      </c>
      <c r="GOG23" t="s">
        <v>6984</v>
      </c>
      <c r="GOH23" t="s">
        <v>6984</v>
      </c>
      <c r="GOI23" t="s">
        <v>6984</v>
      </c>
      <c r="GOJ23" t="s">
        <v>6984</v>
      </c>
      <c r="GOK23" t="s">
        <v>6984</v>
      </c>
      <c r="GOL23" t="s">
        <v>6984</v>
      </c>
      <c r="GOM23" t="s">
        <v>6984</v>
      </c>
      <c r="GON23" t="s">
        <v>6984</v>
      </c>
      <c r="GOO23" t="s">
        <v>6984</v>
      </c>
      <c r="GOP23" t="s">
        <v>6984</v>
      </c>
      <c r="GOQ23" t="s">
        <v>6984</v>
      </c>
      <c r="GOR23" t="s">
        <v>6984</v>
      </c>
      <c r="GOS23" t="s">
        <v>6984</v>
      </c>
      <c r="GOT23" t="s">
        <v>6984</v>
      </c>
      <c r="GOU23" t="s">
        <v>6984</v>
      </c>
      <c r="GOV23" t="s">
        <v>6984</v>
      </c>
      <c r="GOW23" t="s">
        <v>6984</v>
      </c>
      <c r="GOX23" t="s">
        <v>6984</v>
      </c>
      <c r="GOY23" t="s">
        <v>6984</v>
      </c>
      <c r="GOZ23" t="s">
        <v>6984</v>
      </c>
      <c r="GPA23" t="s">
        <v>6984</v>
      </c>
      <c r="GPB23" t="s">
        <v>6984</v>
      </c>
      <c r="GPC23" t="s">
        <v>6984</v>
      </c>
      <c r="GPD23" t="s">
        <v>6984</v>
      </c>
      <c r="GPE23" t="s">
        <v>6984</v>
      </c>
      <c r="GPF23" t="s">
        <v>6984</v>
      </c>
      <c r="GPG23" t="s">
        <v>6984</v>
      </c>
      <c r="GPH23" t="s">
        <v>6984</v>
      </c>
      <c r="GPI23" t="s">
        <v>6984</v>
      </c>
      <c r="GPJ23" t="s">
        <v>6984</v>
      </c>
      <c r="GPK23" t="s">
        <v>6984</v>
      </c>
      <c r="GPL23" t="s">
        <v>6984</v>
      </c>
      <c r="GPM23" t="s">
        <v>6984</v>
      </c>
      <c r="GPN23" t="s">
        <v>6984</v>
      </c>
      <c r="GPO23" t="s">
        <v>6984</v>
      </c>
      <c r="GPP23" t="s">
        <v>6984</v>
      </c>
      <c r="GPQ23" t="s">
        <v>6984</v>
      </c>
      <c r="GPR23" t="s">
        <v>6984</v>
      </c>
      <c r="GPS23" t="s">
        <v>6984</v>
      </c>
      <c r="GPT23" t="s">
        <v>6984</v>
      </c>
      <c r="GPU23" t="s">
        <v>6984</v>
      </c>
      <c r="GPV23" t="s">
        <v>6984</v>
      </c>
      <c r="GPW23" t="s">
        <v>6984</v>
      </c>
      <c r="GPX23" t="s">
        <v>6984</v>
      </c>
      <c r="GPY23" t="s">
        <v>6984</v>
      </c>
      <c r="GPZ23" t="s">
        <v>6984</v>
      </c>
      <c r="GQA23" t="s">
        <v>6984</v>
      </c>
      <c r="GQB23" t="s">
        <v>6984</v>
      </c>
      <c r="GQC23" t="s">
        <v>6984</v>
      </c>
      <c r="GQD23" t="s">
        <v>6984</v>
      </c>
      <c r="GQE23" t="s">
        <v>6984</v>
      </c>
      <c r="GQF23" t="s">
        <v>6984</v>
      </c>
      <c r="GQG23" t="s">
        <v>6984</v>
      </c>
      <c r="GQH23" t="s">
        <v>6984</v>
      </c>
      <c r="GQI23" t="s">
        <v>6984</v>
      </c>
      <c r="GQJ23" t="s">
        <v>6984</v>
      </c>
      <c r="GQK23" t="s">
        <v>6984</v>
      </c>
      <c r="GQL23" t="s">
        <v>6984</v>
      </c>
      <c r="GQM23" t="s">
        <v>6984</v>
      </c>
      <c r="GQN23" t="s">
        <v>6984</v>
      </c>
      <c r="GQO23" t="s">
        <v>6984</v>
      </c>
      <c r="GQP23" t="s">
        <v>6984</v>
      </c>
      <c r="GQQ23" t="s">
        <v>6984</v>
      </c>
      <c r="GQR23" t="s">
        <v>6984</v>
      </c>
      <c r="GQS23" t="s">
        <v>6984</v>
      </c>
      <c r="GQT23" t="s">
        <v>6984</v>
      </c>
      <c r="GQU23" t="s">
        <v>6984</v>
      </c>
      <c r="GQV23" t="s">
        <v>6984</v>
      </c>
      <c r="GQW23" t="s">
        <v>6984</v>
      </c>
      <c r="GQX23" t="s">
        <v>6984</v>
      </c>
      <c r="GQY23" t="s">
        <v>6984</v>
      </c>
      <c r="GQZ23" t="s">
        <v>6984</v>
      </c>
      <c r="GRA23" t="s">
        <v>6984</v>
      </c>
      <c r="GRB23" t="s">
        <v>6984</v>
      </c>
      <c r="GRC23" t="s">
        <v>6984</v>
      </c>
      <c r="GRD23" t="s">
        <v>6984</v>
      </c>
      <c r="GRE23" t="s">
        <v>6984</v>
      </c>
      <c r="GRF23" t="s">
        <v>6984</v>
      </c>
      <c r="GRG23" t="s">
        <v>6984</v>
      </c>
      <c r="GRH23" t="s">
        <v>6984</v>
      </c>
      <c r="GRI23" t="s">
        <v>6984</v>
      </c>
      <c r="GRJ23" t="s">
        <v>6984</v>
      </c>
      <c r="GRK23" t="s">
        <v>6984</v>
      </c>
      <c r="GRL23" t="s">
        <v>6984</v>
      </c>
      <c r="GRM23" t="s">
        <v>6984</v>
      </c>
      <c r="GRN23" t="s">
        <v>6984</v>
      </c>
      <c r="GRO23" t="s">
        <v>6984</v>
      </c>
      <c r="GRP23" t="s">
        <v>6984</v>
      </c>
      <c r="GRQ23" t="s">
        <v>6984</v>
      </c>
      <c r="GRR23" t="s">
        <v>6984</v>
      </c>
      <c r="GRS23" t="s">
        <v>6984</v>
      </c>
      <c r="GRT23" t="s">
        <v>6984</v>
      </c>
      <c r="GRU23" t="s">
        <v>6984</v>
      </c>
      <c r="GRV23" t="s">
        <v>6984</v>
      </c>
      <c r="GRW23" t="s">
        <v>6984</v>
      </c>
      <c r="GRX23" t="s">
        <v>6984</v>
      </c>
      <c r="GRY23" t="s">
        <v>6984</v>
      </c>
      <c r="GRZ23" t="s">
        <v>6984</v>
      </c>
      <c r="GSA23" t="s">
        <v>6984</v>
      </c>
      <c r="GSB23" t="s">
        <v>6984</v>
      </c>
      <c r="GSC23" t="s">
        <v>6984</v>
      </c>
      <c r="GSD23" t="s">
        <v>6984</v>
      </c>
      <c r="GSE23" t="s">
        <v>6984</v>
      </c>
      <c r="GSF23" t="s">
        <v>6984</v>
      </c>
      <c r="GSG23" t="s">
        <v>6984</v>
      </c>
      <c r="GSH23" t="s">
        <v>6984</v>
      </c>
      <c r="GSI23" t="s">
        <v>6984</v>
      </c>
      <c r="GSJ23" t="s">
        <v>6984</v>
      </c>
      <c r="GSK23" t="s">
        <v>6984</v>
      </c>
      <c r="GSL23" t="s">
        <v>6984</v>
      </c>
      <c r="GSM23" t="s">
        <v>6984</v>
      </c>
      <c r="GSN23" t="s">
        <v>6984</v>
      </c>
      <c r="GSO23" t="s">
        <v>6984</v>
      </c>
      <c r="GSP23" t="s">
        <v>6984</v>
      </c>
      <c r="GSQ23" t="s">
        <v>6984</v>
      </c>
      <c r="GSR23" t="s">
        <v>6984</v>
      </c>
      <c r="GSS23" t="s">
        <v>6984</v>
      </c>
      <c r="GST23" t="s">
        <v>6984</v>
      </c>
      <c r="GSU23" t="s">
        <v>6984</v>
      </c>
      <c r="GSV23" t="s">
        <v>6984</v>
      </c>
      <c r="GSW23" t="s">
        <v>6984</v>
      </c>
      <c r="GSX23" t="s">
        <v>6984</v>
      </c>
      <c r="GSY23" t="s">
        <v>6984</v>
      </c>
      <c r="GSZ23" t="s">
        <v>6984</v>
      </c>
      <c r="GTA23" t="s">
        <v>6984</v>
      </c>
      <c r="GTB23" t="s">
        <v>6984</v>
      </c>
      <c r="GTC23" t="s">
        <v>6984</v>
      </c>
      <c r="GTD23" t="s">
        <v>6984</v>
      </c>
      <c r="GTE23" t="s">
        <v>6984</v>
      </c>
      <c r="GTF23" t="s">
        <v>6984</v>
      </c>
      <c r="GTG23" t="s">
        <v>6984</v>
      </c>
      <c r="GTH23" t="s">
        <v>6984</v>
      </c>
      <c r="GTI23" t="s">
        <v>6984</v>
      </c>
      <c r="GTJ23" t="s">
        <v>6984</v>
      </c>
      <c r="GTK23" t="s">
        <v>6984</v>
      </c>
      <c r="GTL23" t="s">
        <v>6984</v>
      </c>
      <c r="GTM23" t="s">
        <v>6984</v>
      </c>
      <c r="GTN23" t="s">
        <v>6984</v>
      </c>
      <c r="GTO23" t="s">
        <v>6984</v>
      </c>
      <c r="GTP23" t="s">
        <v>6984</v>
      </c>
      <c r="GTQ23" t="s">
        <v>6984</v>
      </c>
      <c r="GTR23" t="s">
        <v>6984</v>
      </c>
      <c r="GTS23" t="s">
        <v>6984</v>
      </c>
      <c r="GTT23" t="s">
        <v>6984</v>
      </c>
      <c r="GTU23" t="s">
        <v>6984</v>
      </c>
      <c r="GTV23" t="s">
        <v>6984</v>
      </c>
      <c r="GTW23" t="s">
        <v>6984</v>
      </c>
      <c r="GTX23" t="s">
        <v>6984</v>
      </c>
      <c r="GTY23" t="s">
        <v>6984</v>
      </c>
      <c r="GTZ23" t="s">
        <v>6984</v>
      </c>
      <c r="GUA23" t="s">
        <v>6984</v>
      </c>
      <c r="GUB23" t="s">
        <v>6984</v>
      </c>
      <c r="GUC23" t="s">
        <v>6984</v>
      </c>
      <c r="GUD23" t="s">
        <v>6984</v>
      </c>
      <c r="GUE23" t="s">
        <v>6984</v>
      </c>
      <c r="GUF23" t="s">
        <v>6984</v>
      </c>
      <c r="GUG23" t="s">
        <v>6984</v>
      </c>
      <c r="GUH23" t="s">
        <v>6984</v>
      </c>
      <c r="GUI23" t="s">
        <v>6984</v>
      </c>
      <c r="GUJ23" t="s">
        <v>6984</v>
      </c>
      <c r="GUK23" t="s">
        <v>6984</v>
      </c>
      <c r="GUL23" t="s">
        <v>6984</v>
      </c>
      <c r="GUM23" t="s">
        <v>6984</v>
      </c>
      <c r="GUN23" t="s">
        <v>6984</v>
      </c>
      <c r="GUO23" t="s">
        <v>6984</v>
      </c>
      <c r="GUP23" t="s">
        <v>6984</v>
      </c>
      <c r="GUQ23" t="s">
        <v>6984</v>
      </c>
      <c r="GUR23" t="s">
        <v>6984</v>
      </c>
      <c r="GUS23" t="s">
        <v>6984</v>
      </c>
      <c r="GUT23" t="s">
        <v>6984</v>
      </c>
      <c r="GUU23" t="s">
        <v>6984</v>
      </c>
      <c r="GUV23" t="s">
        <v>6984</v>
      </c>
      <c r="GUW23" t="s">
        <v>6984</v>
      </c>
      <c r="GUX23" t="s">
        <v>6984</v>
      </c>
      <c r="GUY23" t="s">
        <v>6984</v>
      </c>
      <c r="GUZ23" t="s">
        <v>6984</v>
      </c>
      <c r="GVA23" t="s">
        <v>6984</v>
      </c>
      <c r="GVB23" t="s">
        <v>6984</v>
      </c>
      <c r="GVC23" t="s">
        <v>6984</v>
      </c>
      <c r="GVD23" t="s">
        <v>6984</v>
      </c>
      <c r="GVE23" t="s">
        <v>6984</v>
      </c>
      <c r="GVF23" t="s">
        <v>6984</v>
      </c>
      <c r="GVG23" t="s">
        <v>6984</v>
      </c>
      <c r="GVH23" t="s">
        <v>6984</v>
      </c>
      <c r="GVI23" t="s">
        <v>6984</v>
      </c>
      <c r="GVJ23" t="s">
        <v>6984</v>
      </c>
      <c r="GVK23" t="s">
        <v>6984</v>
      </c>
      <c r="GVL23" t="s">
        <v>6984</v>
      </c>
      <c r="GVM23" t="s">
        <v>6984</v>
      </c>
      <c r="GVN23" t="s">
        <v>6984</v>
      </c>
      <c r="GVO23" t="s">
        <v>6984</v>
      </c>
      <c r="GVP23" t="s">
        <v>6984</v>
      </c>
      <c r="GVQ23" t="s">
        <v>6984</v>
      </c>
      <c r="GVR23" t="s">
        <v>6984</v>
      </c>
      <c r="GVS23" t="s">
        <v>6984</v>
      </c>
      <c r="GVT23" t="s">
        <v>6984</v>
      </c>
      <c r="GVU23" t="s">
        <v>6984</v>
      </c>
      <c r="GVV23" t="s">
        <v>6984</v>
      </c>
      <c r="GVW23" t="s">
        <v>6984</v>
      </c>
      <c r="GVX23" t="s">
        <v>6984</v>
      </c>
      <c r="GVY23" t="s">
        <v>6984</v>
      </c>
      <c r="GVZ23" t="s">
        <v>6984</v>
      </c>
      <c r="GWA23" t="s">
        <v>6984</v>
      </c>
      <c r="GWB23" t="s">
        <v>6984</v>
      </c>
      <c r="GWC23" t="s">
        <v>6984</v>
      </c>
      <c r="GWD23" t="s">
        <v>6984</v>
      </c>
      <c r="GWE23" t="s">
        <v>6984</v>
      </c>
      <c r="GWF23" t="s">
        <v>6984</v>
      </c>
      <c r="GWG23" t="s">
        <v>6984</v>
      </c>
      <c r="GWH23" t="s">
        <v>6984</v>
      </c>
      <c r="GWI23" t="s">
        <v>6984</v>
      </c>
      <c r="GWJ23" t="s">
        <v>6984</v>
      </c>
      <c r="GWK23" t="s">
        <v>6984</v>
      </c>
      <c r="GWL23" t="s">
        <v>6984</v>
      </c>
      <c r="GWM23" t="s">
        <v>6984</v>
      </c>
      <c r="GWN23" t="s">
        <v>6984</v>
      </c>
      <c r="GWO23" t="s">
        <v>6984</v>
      </c>
      <c r="GWP23" t="s">
        <v>6984</v>
      </c>
      <c r="GWQ23" t="s">
        <v>6984</v>
      </c>
      <c r="GWR23" t="s">
        <v>6984</v>
      </c>
      <c r="GWS23" t="s">
        <v>6984</v>
      </c>
      <c r="GWT23" t="s">
        <v>6984</v>
      </c>
      <c r="GWU23" t="s">
        <v>6984</v>
      </c>
      <c r="GWV23" t="s">
        <v>6984</v>
      </c>
      <c r="GWW23" t="s">
        <v>6984</v>
      </c>
      <c r="GWX23" t="s">
        <v>6984</v>
      </c>
      <c r="GWY23" t="s">
        <v>6984</v>
      </c>
      <c r="GWZ23" t="s">
        <v>6984</v>
      </c>
      <c r="GXA23" t="s">
        <v>6984</v>
      </c>
      <c r="GXB23" t="s">
        <v>6984</v>
      </c>
      <c r="GXC23" t="s">
        <v>6984</v>
      </c>
      <c r="GXD23" t="s">
        <v>6984</v>
      </c>
      <c r="GXE23" t="s">
        <v>6984</v>
      </c>
      <c r="GXF23" t="s">
        <v>6984</v>
      </c>
      <c r="GXG23" t="s">
        <v>6984</v>
      </c>
      <c r="GXH23" t="s">
        <v>6984</v>
      </c>
      <c r="GXI23" t="s">
        <v>6984</v>
      </c>
      <c r="GXJ23" t="s">
        <v>6984</v>
      </c>
      <c r="GXK23" t="s">
        <v>6984</v>
      </c>
      <c r="GXL23" t="s">
        <v>6984</v>
      </c>
      <c r="GXM23" t="s">
        <v>6984</v>
      </c>
      <c r="GXN23" t="s">
        <v>6984</v>
      </c>
      <c r="GXO23" t="s">
        <v>6984</v>
      </c>
      <c r="GXP23" t="s">
        <v>6984</v>
      </c>
      <c r="GXQ23" t="s">
        <v>6984</v>
      </c>
      <c r="GXR23" t="s">
        <v>6984</v>
      </c>
      <c r="GXS23" t="s">
        <v>6984</v>
      </c>
      <c r="GXT23" t="s">
        <v>6984</v>
      </c>
      <c r="GXU23" t="s">
        <v>6984</v>
      </c>
      <c r="GXV23" t="s">
        <v>6984</v>
      </c>
      <c r="GXW23" t="s">
        <v>6984</v>
      </c>
      <c r="GXX23" t="s">
        <v>6984</v>
      </c>
      <c r="GXY23" t="s">
        <v>6984</v>
      </c>
      <c r="GXZ23" t="s">
        <v>6984</v>
      </c>
      <c r="GYA23" t="s">
        <v>6984</v>
      </c>
      <c r="GYB23" t="s">
        <v>6984</v>
      </c>
      <c r="GYC23" t="s">
        <v>6984</v>
      </c>
      <c r="GYD23" t="s">
        <v>6984</v>
      </c>
      <c r="GYE23" t="s">
        <v>6984</v>
      </c>
      <c r="GYF23" t="s">
        <v>6984</v>
      </c>
      <c r="GYG23" t="s">
        <v>6984</v>
      </c>
      <c r="GYH23" t="s">
        <v>6984</v>
      </c>
      <c r="GYI23" t="s">
        <v>6984</v>
      </c>
      <c r="GYJ23" t="s">
        <v>6984</v>
      </c>
      <c r="GYK23" t="s">
        <v>6984</v>
      </c>
      <c r="GYL23" t="s">
        <v>6984</v>
      </c>
      <c r="GYM23" t="s">
        <v>6984</v>
      </c>
      <c r="GYN23" t="s">
        <v>6984</v>
      </c>
      <c r="GYO23" t="s">
        <v>6984</v>
      </c>
      <c r="GYP23" t="s">
        <v>6984</v>
      </c>
      <c r="GYQ23" t="s">
        <v>6984</v>
      </c>
      <c r="GYR23" t="s">
        <v>6984</v>
      </c>
      <c r="GYS23" t="s">
        <v>6984</v>
      </c>
      <c r="GYT23" t="s">
        <v>6984</v>
      </c>
      <c r="GYU23" t="s">
        <v>6984</v>
      </c>
      <c r="GYV23" t="s">
        <v>6984</v>
      </c>
      <c r="GYW23" t="s">
        <v>6984</v>
      </c>
      <c r="GYX23" t="s">
        <v>6984</v>
      </c>
      <c r="GYY23" t="s">
        <v>6984</v>
      </c>
      <c r="GYZ23" t="s">
        <v>6984</v>
      </c>
      <c r="GZA23" t="s">
        <v>6984</v>
      </c>
      <c r="GZB23" t="s">
        <v>6984</v>
      </c>
      <c r="GZC23" t="s">
        <v>6984</v>
      </c>
      <c r="GZD23" t="s">
        <v>6984</v>
      </c>
      <c r="GZE23" t="s">
        <v>6984</v>
      </c>
      <c r="GZF23" t="s">
        <v>6984</v>
      </c>
      <c r="GZG23" t="s">
        <v>6984</v>
      </c>
      <c r="GZH23" t="s">
        <v>6984</v>
      </c>
      <c r="GZI23" t="s">
        <v>6984</v>
      </c>
      <c r="GZJ23" t="s">
        <v>6984</v>
      </c>
      <c r="GZK23" t="s">
        <v>6984</v>
      </c>
      <c r="GZL23" t="s">
        <v>6984</v>
      </c>
      <c r="GZM23" t="s">
        <v>6984</v>
      </c>
      <c r="GZN23" t="s">
        <v>6984</v>
      </c>
      <c r="GZO23" t="s">
        <v>6984</v>
      </c>
      <c r="GZP23" t="s">
        <v>6984</v>
      </c>
      <c r="GZQ23" t="s">
        <v>6984</v>
      </c>
      <c r="GZR23" t="s">
        <v>6984</v>
      </c>
      <c r="GZS23" t="s">
        <v>6984</v>
      </c>
      <c r="GZT23" t="s">
        <v>6984</v>
      </c>
      <c r="GZU23" t="s">
        <v>6984</v>
      </c>
      <c r="GZV23" t="s">
        <v>6984</v>
      </c>
      <c r="GZW23" t="s">
        <v>6984</v>
      </c>
      <c r="GZX23" t="s">
        <v>6984</v>
      </c>
      <c r="GZY23" t="s">
        <v>6984</v>
      </c>
      <c r="GZZ23" t="s">
        <v>6984</v>
      </c>
      <c r="HAA23" t="s">
        <v>6984</v>
      </c>
      <c r="HAB23" t="s">
        <v>6984</v>
      </c>
      <c r="HAC23" t="s">
        <v>6984</v>
      </c>
      <c r="HAD23" t="s">
        <v>6984</v>
      </c>
      <c r="HAE23" t="s">
        <v>6984</v>
      </c>
      <c r="HAF23" t="s">
        <v>6984</v>
      </c>
      <c r="HAG23" t="s">
        <v>6984</v>
      </c>
      <c r="HAH23" t="s">
        <v>6984</v>
      </c>
      <c r="HAI23" t="s">
        <v>6984</v>
      </c>
      <c r="HAJ23" t="s">
        <v>6984</v>
      </c>
      <c r="HAK23" t="s">
        <v>6984</v>
      </c>
      <c r="HAL23" t="s">
        <v>6984</v>
      </c>
      <c r="HAM23" t="s">
        <v>6984</v>
      </c>
      <c r="HAN23" t="s">
        <v>6984</v>
      </c>
      <c r="HAO23" t="s">
        <v>6984</v>
      </c>
      <c r="HAP23" t="s">
        <v>6984</v>
      </c>
      <c r="HAQ23" t="s">
        <v>6984</v>
      </c>
      <c r="HAR23" t="s">
        <v>6984</v>
      </c>
      <c r="HAS23" t="s">
        <v>6984</v>
      </c>
      <c r="HAT23" t="s">
        <v>6984</v>
      </c>
      <c r="HAU23" t="s">
        <v>6984</v>
      </c>
      <c r="HAV23" t="s">
        <v>6984</v>
      </c>
      <c r="HAW23" t="s">
        <v>6984</v>
      </c>
      <c r="HAX23" t="s">
        <v>6984</v>
      </c>
      <c r="HAY23" t="s">
        <v>6984</v>
      </c>
      <c r="HAZ23" t="s">
        <v>6984</v>
      </c>
      <c r="HBA23" t="s">
        <v>6984</v>
      </c>
      <c r="HBB23" t="s">
        <v>6984</v>
      </c>
      <c r="HBC23" t="s">
        <v>6984</v>
      </c>
      <c r="HBD23" t="s">
        <v>6984</v>
      </c>
      <c r="HBE23" t="s">
        <v>6984</v>
      </c>
      <c r="HBF23" t="s">
        <v>6984</v>
      </c>
      <c r="HBG23" t="s">
        <v>6984</v>
      </c>
      <c r="HBH23" t="s">
        <v>6984</v>
      </c>
      <c r="HBI23" t="s">
        <v>6984</v>
      </c>
      <c r="HBJ23" t="s">
        <v>6984</v>
      </c>
      <c r="HBK23" t="s">
        <v>6984</v>
      </c>
      <c r="HBL23" t="s">
        <v>6984</v>
      </c>
      <c r="HBM23" t="s">
        <v>6984</v>
      </c>
      <c r="HBN23" t="s">
        <v>6984</v>
      </c>
      <c r="HBO23" t="s">
        <v>6984</v>
      </c>
      <c r="HBP23" t="s">
        <v>6984</v>
      </c>
      <c r="HBQ23" t="s">
        <v>6984</v>
      </c>
      <c r="HBR23" t="s">
        <v>6984</v>
      </c>
      <c r="HBS23" t="s">
        <v>6984</v>
      </c>
      <c r="HBT23" t="s">
        <v>6984</v>
      </c>
      <c r="HBU23" t="s">
        <v>6984</v>
      </c>
      <c r="HBV23" t="s">
        <v>6984</v>
      </c>
      <c r="HBW23" t="s">
        <v>6984</v>
      </c>
      <c r="HBX23" t="s">
        <v>6984</v>
      </c>
      <c r="HBY23" t="s">
        <v>6984</v>
      </c>
      <c r="HBZ23" t="s">
        <v>6984</v>
      </c>
      <c r="HCA23" t="s">
        <v>6984</v>
      </c>
      <c r="HCB23" t="s">
        <v>6984</v>
      </c>
      <c r="HCC23" t="s">
        <v>6984</v>
      </c>
      <c r="HCD23" t="s">
        <v>6984</v>
      </c>
      <c r="HCE23" t="s">
        <v>6984</v>
      </c>
      <c r="HCF23" t="s">
        <v>6984</v>
      </c>
      <c r="HCG23" t="s">
        <v>6984</v>
      </c>
      <c r="HCH23" t="s">
        <v>6984</v>
      </c>
      <c r="HCI23" t="s">
        <v>6984</v>
      </c>
      <c r="HCJ23" t="s">
        <v>6984</v>
      </c>
      <c r="HCK23" t="s">
        <v>6984</v>
      </c>
      <c r="HCL23" t="s">
        <v>6984</v>
      </c>
      <c r="HCM23" t="s">
        <v>6984</v>
      </c>
      <c r="HCN23" t="s">
        <v>6984</v>
      </c>
      <c r="HCO23" t="s">
        <v>6984</v>
      </c>
      <c r="HCP23" t="s">
        <v>6984</v>
      </c>
      <c r="HCQ23" t="s">
        <v>6984</v>
      </c>
      <c r="HCR23" t="s">
        <v>6984</v>
      </c>
      <c r="HCS23" t="s">
        <v>6984</v>
      </c>
      <c r="HCT23" t="s">
        <v>6984</v>
      </c>
      <c r="HCU23" t="s">
        <v>6984</v>
      </c>
      <c r="HCV23" t="s">
        <v>6984</v>
      </c>
      <c r="HCW23" t="s">
        <v>6984</v>
      </c>
      <c r="HCX23" t="s">
        <v>6984</v>
      </c>
      <c r="HCY23" t="s">
        <v>6984</v>
      </c>
      <c r="HCZ23" t="s">
        <v>6984</v>
      </c>
      <c r="HDA23" t="s">
        <v>6984</v>
      </c>
      <c r="HDB23" t="s">
        <v>6984</v>
      </c>
      <c r="HDC23" t="s">
        <v>6984</v>
      </c>
      <c r="HDD23" t="s">
        <v>6984</v>
      </c>
      <c r="HDE23" t="s">
        <v>6984</v>
      </c>
      <c r="HDF23" t="s">
        <v>6984</v>
      </c>
      <c r="HDG23" t="s">
        <v>6984</v>
      </c>
      <c r="HDH23" t="s">
        <v>6984</v>
      </c>
      <c r="HDI23" t="s">
        <v>6984</v>
      </c>
      <c r="HDJ23" t="s">
        <v>6984</v>
      </c>
      <c r="HDK23" t="s">
        <v>6984</v>
      </c>
      <c r="HDL23" t="s">
        <v>6984</v>
      </c>
      <c r="HDM23" t="s">
        <v>6984</v>
      </c>
      <c r="HDN23" t="s">
        <v>6984</v>
      </c>
      <c r="HDO23" t="s">
        <v>6984</v>
      </c>
      <c r="HDP23" t="s">
        <v>6984</v>
      </c>
      <c r="HDQ23" t="s">
        <v>6984</v>
      </c>
      <c r="HDR23" t="s">
        <v>6984</v>
      </c>
      <c r="HDS23" t="s">
        <v>6984</v>
      </c>
      <c r="HDT23" t="s">
        <v>6984</v>
      </c>
      <c r="HDU23" t="s">
        <v>6984</v>
      </c>
      <c r="HDV23" t="s">
        <v>6984</v>
      </c>
      <c r="HDW23" t="s">
        <v>6984</v>
      </c>
      <c r="HDX23" t="s">
        <v>6984</v>
      </c>
      <c r="HDY23" t="s">
        <v>6984</v>
      </c>
      <c r="HDZ23" t="s">
        <v>6984</v>
      </c>
      <c r="HEA23" t="s">
        <v>6984</v>
      </c>
      <c r="HEB23" t="s">
        <v>6984</v>
      </c>
      <c r="HEC23" t="s">
        <v>6984</v>
      </c>
      <c r="HED23" t="s">
        <v>6984</v>
      </c>
      <c r="HEE23" t="s">
        <v>6984</v>
      </c>
      <c r="HEF23" t="s">
        <v>6984</v>
      </c>
      <c r="HEG23" t="s">
        <v>6984</v>
      </c>
      <c r="HEH23" t="s">
        <v>6984</v>
      </c>
      <c r="HEI23" t="s">
        <v>6984</v>
      </c>
      <c r="HEJ23" t="s">
        <v>6984</v>
      </c>
      <c r="HEK23" t="s">
        <v>6984</v>
      </c>
      <c r="HEL23" t="s">
        <v>6984</v>
      </c>
      <c r="HEM23" t="s">
        <v>6984</v>
      </c>
      <c r="HEN23" t="s">
        <v>6984</v>
      </c>
      <c r="HEO23" t="s">
        <v>6984</v>
      </c>
      <c r="HEP23" t="s">
        <v>6984</v>
      </c>
      <c r="HEQ23" t="s">
        <v>6984</v>
      </c>
      <c r="HER23" t="s">
        <v>6984</v>
      </c>
      <c r="HES23" t="s">
        <v>6984</v>
      </c>
      <c r="HET23" t="s">
        <v>6984</v>
      </c>
      <c r="HEU23" t="s">
        <v>6984</v>
      </c>
      <c r="HEV23" t="s">
        <v>6984</v>
      </c>
      <c r="HEW23" t="s">
        <v>6984</v>
      </c>
      <c r="HEX23" t="s">
        <v>6984</v>
      </c>
      <c r="HEY23" t="s">
        <v>6984</v>
      </c>
      <c r="HEZ23" t="s">
        <v>6984</v>
      </c>
      <c r="HFA23" t="s">
        <v>6984</v>
      </c>
      <c r="HFB23" t="s">
        <v>6984</v>
      </c>
      <c r="HFC23" t="s">
        <v>6984</v>
      </c>
      <c r="HFD23" t="s">
        <v>6984</v>
      </c>
      <c r="HFE23" t="s">
        <v>6984</v>
      </c>
      <c r="HFF23" t="s">
        <v>6984</v>
      </c>
      <c r="HFG23" t="s">
        <v>6984</v>
      </c>
      <c r="HFH23" t="s">
        <v>6984</v>
      </c>
      <c r="HFI23" t="s">
        <v>6984</v>
      </c>
      <c r="HFJ23" t="s">
        <v>6984</v>
      </c>
      <c r="HFK23" t="s">
        <v>6984</v>
      </c>
      <c r="HFL23" t="s">
        <v>6984</v>
      </c>
      <c r="HFM23" t="s">
        <v>6984</v>
      </c>
      <c r="HFN23" t="s">
        <v>6984</v>
      </c>
      <c r="HFO23" t="s">
        <v>6984</v>
      </c>
      <c r="HFP23" t="s">
        <v>6984</v>
      </c>
      <c r="HFQ23" t="s">
        <v>6984</v>
      </c>
      <c r="HFR23" t="s">
        <v>6984</v>
      </c>
      <c r="HFS23" t="s">
        <v>6984</v>
      </c>
      <c r="HFT23" t="s">
        <v>6984</v>
      </c>
      <c r="HFU23" t="s">
        <v>6984</v>
      </c>
      <c r="HFV23" t="s">
        <v>6984</v>
      </c>
      <c r="HFW23" t="s">
        <v>6984</v>
      </c>
      <c r="HFX23" t="s">
        <v>6984</v>
      </c>
      <c r="HFY23" t="s">
        <v>6984</v>
      </c>
      <c r="HFZ23" t="s">
        <v>6984</v>
      </c>
      <c r="HGA23" t="s">
        <v>6984</v>
      </c>
      <c r="HGB23" t="s">
        <v>6984</v>
      </c>
      <c r="HGC23" t="s">
        <v>6984</v>
      </c>
      <c r="HGD23" t="s">
        <v>6984</v>
      </c>
      <c r="HGE23" t="s">
        <v>6984</v>
      </c>
      <c r="HGF23" t="s">
        <v>6984</v>
      </c>
      <c r="HGG23" t="s">
        <v>6984</v>
      </c>
      <c r="HGH23" t="s">
        <v>6984</v>
      </c>
      <c r="HGI23" t="s">
        <v>6984</v>
      </c>
      <c r="HGJ23" t="s">
        <v>6984</v>
      </c>
      <c r="HGK23" t="s">
        <v>6984</v>
      </c>
      <c r="HGL23" t="s">
        <v>6984</v>
      </c>
      <c r="HGM23" t="s">
        <v>6984</v>
      </c>
      <c r="HGN23" t="s">
        <v>6984</v>
      </c>
      <c r="HGO23" t="s">
        <v>6984</v>
      </c>
      <c r="HGP23" t="s">
        <v>6984</v>
      </c>
      <c r="HGQ23" t="s">
        <v>6984</v>
      </c>
      <c r="HGR23" t="s">
        <v>6984</v>
      </c>
      <c r="HGS23" t="s">
        <v>6984</v>
      </c>
      <c r="HGT23" t="s">
        <v>6984</v>
      </c>
      <c r="HGU23" t="s">
        <v>6984</v>
      </c>
      <c r="HGV23" t="s">
        <v>6984</v>
      </c>
      <c r="HGW23" t="s">
        <v>6984</v>
      </c>
      <c r="HGX23" t="s">
        <v>6984</v>
      </c>
      <c r="HGY23" t="s">
        <v>6984</v>
      </c>
      <c r="HGZ23" t="s">
        <v>6984</v>
      </c>
      <c r="HHA23" t="s">
        <v>6984</v>
      </c>
      <c r="HHB23" t="s">
        <v>6984</v>
      </c>
      <c r="HHC23" t="s">
        <v>6984</v>
      </c>
      <c r="HHD23" t="s">
        <v>6984</v>
      </c>
      <c r="HHE23" t="s">
        <v>6984</v>
      </c>
      <c r="HHF23" t="s">
        <v>6984</v>
      </c>
      <c r="HHG23" t="s">
        <v>6984</v>
      </c>
      <c r="HHH23" t="s">
        <v>6984</v>
      </c>
      <c r="HHI23" t="s">
        <v>6984</v>
      </c>
      <c r="HHJ23" t="s">
        <v>6984</v>
      </c>
      <c r="HHK23" t="s">
        <v>6984</v>
      </c>
      <c r="HHL23" t="s">
        <v>6984</v>
      </c>
      <c r="HHM23" t="s">
        <v>6984</v>
      </c>
      <c r="HHN23" t="s">
        <v>6984</v>
      </c>
      <c r="HHO23" t="s">
        <v>6984</v>
      </c>
      <c r="HHP23" t="s">
        <v>6984</v>
      </c>
      <c r="HHQ23" t="s">
        <v>6984</v>
      </c>
      <c r="HHR23" t="s">
        <v>6984</v>
      </c>
      <c r="HHS23" t="s">
        <v>6984</v>
      </c>
      <c r="HHT23" t="s">
        <v>6984</v>
      </c>
      <c r="HHU23" t="s">
        <v>6984</v>
      </c>
      <c r="HHV23" t="s">
        <v>6984</v>
      </c>
      <c r="HHW23" t="s">
        <v>6984</v>
      </c>
      <c r="HHX23" t="s">
        <v>6984</v>
      </c>
      <c r="HHY23" t="s">
        <v>6984</v>
      </c>
      <c r="HHZ23" t="s">
        <v>6984</v>
      </c>
      <c r="HIA23" t="s">
        <v>6984</v>
      </c>
      <c r="HIB23" t="s">
        <v>6984</v>
      </c>
      <c r="HIC23" t="s">
        <v>6984</v>
      </c>
      <c r="HID23" t="s">
        <v>6984</v>
      </c>
      <c r="HIE23" t="s">
        <v>6984</v>
      </c>
      <c r="HIF23" t="s">
        <v>6984</v>
      </c>
      <c r="HIG23" t="s">
        <v>6984</v>
      </c>
      <c r="HIH23" t="s">
        <v>6984</v>
      </c>
      <c r="HII23" t="s">
        <v>6984</v>
      </c>
      <c r="HIJ23" t="s">
        <v>6984</v>
      </c>
      <c r="HIK23" t="s">
        <v>6984</v>
      </c>
      <c r="HIL23" t="s">
        <v>6984</v>
      </c>
      <c r="HIM23" t="s">
        <v>6984</v>
      </c>
      <c r="HIN23" t="s">
        <v>6984</v>
      </c>
      <c r="HIO23" t="s">
        <v>6984</v>
      </c>
      <c r="HIP23" t="s">
        <v>6984</v>
      </c>
      <c r="HIQ23" t="s">
        <v>6984</v>
      </c>
      <c r="HIR23" t="s">
        <v>6984</v>
      </c>
      <c r="HIS23" t="s">
        <v>6984</v>
      </c>
      <c r="HIT23" t="s">
        <v>6984</v>
      </c>
      <c r="HIU23" t="s">
        <v>6984</v>
      </c>
      <c r="HIV23" t="s">
        <v>6984</v>
      </c>
      <c r="HIW23" t="s">
        <v>6984</v>
      </c>
      <c r="HIX23" t="s">
        <v>6984</v>
      </c>
      <c r="HIY23" t="s">
        <v>6984</v>
      </c>
      <c r="HIZ23" t="s">
        <v>6984</v>
      </c>
      <c r="HJA23" t="s">
        <v>6984</v>
      </c>
      <c r="HJB23" t="s">
        <v>6984</v>
      </c>
      <c r="HJC23" t="s">
        <v>6984</v>
      </c>
      <c r="HJD23" t="s">
        <v>6984</v>
      </c>
      <c r="HJE23" t="s">
        <v>6984</v>
      </c>
      <c r="HJF23" t="s">
        <v>6984</v>
      </c>
      <c r="HJG23" t="s">
        <v>6984</v>
      </c>
      <c r="HJH23" t="s">
        <v>6984</v>
      </c>
      <c r="HJI23" t="s">
        <v>6984</v>
      </c>
      <c r="HJJ23" t="s">
        <v>6984</v>
      </c>
      <c r="HJK23" t="s">
        <v>6984</v>
      </c>
      <c r="HJL23" t="s">
        <v>6984</v>
      </c>
      <c r="HJM23" t="s">
        <v>6984</v>
      </c>
      <c r="HJN23" t="s">
        <v>6984</v>
      </c>
      <c r="HJO23" t="s">
        <v>6984</v>
      </c>
      <c r="HJP23" t="s">
        <v>6984</v>
      </c>
      <c r="HJQ23" t="s">
        <v>6984</v>
      </c>
      <c r="HJR23" t="s">
        <v>6984</v>
      </c>
      <c r="HJS23" t="s">
        <v>6984</v>
      </c>
      <c r="HJT23" t="s">
        <v>6984</v>
      </c>
      <c r="HJU23" t="s">
        <v>6984</v>
      </c>
      <c r="HJV23" t="s">
        <v>6984</v>
      </c>
      <c r="HJW23" t="s">
        <v>6984</v>
      </c>
      <c r="HJX23" t="s">
        <v>6984</v>
      </c>
      <c r="HJY23" t="s">
        <v>6984</v>
      </c>
      <c r="HJZ23" t="s">
        <v>6984</v>
      </c>
      <c r="HKA23" t="s">
        <v>6984</v>
      </c>
      <c r="HKB23" t="s">
        <v>6984</v>
      </c>
      <c r="HKC23" t="s">
        <v>6984</v>
      </c>
      <c r="HKD23" t="s">
        <v>6984</v>
      </c>
      <c r="HKE23" t="s">
        <v>6984</v>
      </c>
      <c r="HKF23" t="s">
        <v>6984</v>
      </c>
      <c r="HKG23" t="s">
        <v>6984</v>
      </c>
      <c r="HKH23" t="s">
        <v>6984</v>
      </c>
      <c r="HKI23" t="s">
        <v>6984</v>
      </c>
      <c r="HKJ23" t="s">
        <v>6984</v>
      </c>
      <c r="HKK23" t="s">
        <v>6984</v>
      </c>
      <c r="HKL23" t="s">
        <v>6984</v>
      </c>
      <c r="HKM23" t="s">
        <v>6984</v>
      </c>
      <c r="HKN23" t="s">
        <v>6984</v>
      </c>
      <c r="HKO23" t="s">
        <v>6984</v>
      </c>
      <c r="HKP23" t="s">
        <v>6984</v>
      </c>
      <c r="HKQ23" t="s">
        <v>6984</v>
      </c>
      <c r="HKR23" t="s">
        <v>6984</v>
      </c>
      <c r="HKS23" t="s">
        <v>6984</v>
      </c>
      <c r="HKT23" t="s">
        <v>6984</v>
      </c>
      <c r="HKU23" t="s">
        <v>6984</v>
      </c>
      <c r="HKV23" t="s">
        <v>6984</v>
      </c>
      <c r="HKW23" t="s">
        <v>6984</v>
      </c>
      <c r="HKX23" t="s">
        <v>6984</v>
      </c>
      <c r="HKY23" t="s">
        <v>6984</v>
      </c>
      <c r="HKZ23" t="s">
        <v>6984</v>
      </c>
      <c r="HLA23" t="s">
        <v>6984</v>
      </c>
      <c r="HLB23" t="s">
        <v>6984</v>
      </c>
      <c r="HLC23" t="s">
        <v>6984</v>
      </c>
      <c r="HLD23" t="s">
        <v>6984</v>
      </c>
      <c r="HLE23" t="s">
        <v>6984</v>
      </c>
      <c r="HLF23" t="s">
        <v>6984</v>
      </c>
      <c r="HLG23" t="s">
        <v>6984</v>
      </c>
      <c r="HLH23" t="s">
        <v>6984</v>
      </c>
      <c r="HLI23" t="s">
        <v>6984</v>
      </c>
      <c r="HLJ23" t="s">
        <v>6984</v>
      </c>
      <c r="HLK23" t="s">
        <v>6984</v>
      </c>
      <c r="HLL23" t="s">
        <v>6984</v>
      </c>
      <c r="HLM23" t="s">
        <v>6984</v>
      </c>
      <c r="HLN23" t="s">
        <v>6984</v>
      </c>
      <c r="HLO23" t="s">
        <v>6984</v>
      </c>
      <c r="HLP23" t="s">
        <v>6984</v>
      </c>
      <c r="HLQ23" t="s">
        <v>6984</v>
      </c>
      <c r="HLR23" t="s">
        <v>6984</v>
      </c>
      <c r="HLS23" t="s">
        <v>6984</v>
      </c>
      <c r="HLT23" t="s">
        <v>6984</v>
      </c>
      <c r="HLU23" t="s">
        <v>6984</v>
      </c>
      <c r="HLV23" t="s">
        <v>6984</v>
      </c>
      <c r="HLW23" t="s">
        <v>6984</v>
      </c>
      <c r="HLX23" t="s">
        <v>6984</v>
      </c>
      <c r="HLY23" t="s">
        <v>6984</v>
      </c>
      <c r="HLZ23" t="s">
        <v>6984</v>
      </c>
      <c r="HMA23" t="s">
        <v>6984</v>
      </c>
      <c r="HMB23" t="s">
        <v>6984</v>
      </c>
      <c r="HMC23" t="s">
        <v>6984</v>
      </c>
      <c r="HMD23" t="s">
        <v>6984</v>
      </c>
      <c r="HME23" t="s">
        <v>6984</v>
      </c>
      <c r="HMF23" t="s">
        <v>6984</v>
      </c>
      <c r="HMG23" t="s">
        <v>6984</v>
      </c>
      <c r="HMH23" t="s">
        <v>6984</v>
      </c>
      <c r="HMI23" t="s">
        <v>6984</v>
      </c>
      <c r="HMJ23" t="s">
        <v>6984</v>
      </c>
      <c r="HMK23" t="s">
        <v>6984</v>
      </c>
      <c r="HML23" t="s">
        <v>6984</v>
      </c>
      <c r="HMM23" t="s">
        <v>6984</v>
      </c>
      <c r="HMN23" t="s">
        <v>6984</v>
      </c>
      <c r="HMO23" t="s">
        <v>6984</v>
      </c>
      <c r="HMP23" t="s">
        <v>6984</v>
      </c>
      <c r="HMQ23" t="s">
        <v>6984</v>
      </c>
      <c r="HMR23" t="s">
        <v>6984</v>
      </c>
      <c r="HMS23" t="s">
        <v>6984</v>
      </c>
      <c r="HMT23" t="s">
        <v>6984</v>
      </c>
      <c r="HMU23" t="s">
        <v>6984</v>
      </c>
      <c r="HMV23" t="s">
        <v>6984</v>
      </c>
      <c r="HMW23" t="s">
        <v>6984</v>
      </c>
      <c r="HMX23" t="s">
        <v>6984</v>
      </c>
      <c r="HMY23" t="s">
        <v>6984</v>
      </c>
      <c r="HMZ23" t="s">
        <v>6984</v>
      </c>
      <c r="HNA23" t="s">
        <v>6984</v>
      </c>
      <c r="HNB23" t="s">
        <v>6984</v>
      </c>
      <c r="HNC23" t="s">
        <v>6984</v>
      </c>
      <c r="HND23" t="s">
        <v>6984</v>
      </c>
      <c r="HNE23" t="s">
        <v>6984</v>
      </c>
      <c r="HNF23" t="s">
        <v>6984</v>
      </c>
      <c r="HNG23" t="s">
        <v>6984</v>
      </c>
      <c r="HNH23" t="s">
        <v>6984</v>
      </c>
      <c r="HNI23" t="s">
        <v>6984</v>
      </c>
      <c r="HNJ23" t="s">
        <v>6984</v>
      </c>
      <c r="HNK23" t="s">
        <v>6984</v>
      </c>
      <c r="HNL23" t="s">
        <v>6984</v>
      </c>
      <c r="HNM23" t="s">
        <v>6984</v>
      </c>
      <c r="HNN23" t="s">
        <v>6984</v>
      </c>
      <c r="HNO23" t="s">
        <v>6984</v>
      </c>
      <c r="HNP23" t="s">
        <v>6984</v>
      </c>
      <c r="HNQ23" t="s">
        <v>6984</v>
      </c>
      <c r="HNR23" t="s">
        <v>6984</v>
      </c>
      <c r="HNS23" t="s">
        <v>6984</v>
      </c>
      <c r="HNT23" t="s">
        <v>6984</v>
      </c>
      <c r="HNU23" t="s">
        <v>6984</v>
      </c>
      <c r="HNV23" t="s">
        <v>6984</v>
      </c>
      <c r="HNW23" t="s">
        <v>6984</v>
      </c>
      <c r="HNX23" t="s">
        <v>6984</v>
      </c>
      <c r="HNY23" t="s">
        <v>6984</v>
      </c>
      <c r="HNZ23" t="s">
        <v>6984</v>
      </c>
      <c r="HOA23" t="s">
        <v>6984</v>
      </c>
      <c r="HOB23" t="s">
        <v>6984</v>
      </c>
      <c r="HOC23" t="s">
        <v>6984</v>
      </c>
      <c r="HOD23" t="s">
        <v>6984</v>
      </c>
      <c r="HOE23" t="s">
        <v>6984</v>
      </c>
      <c r="HOF23" t="s">
        <v>6984</v>
      </c>
      <c r="HOG23" t="s">
        <v>6984</v>
      </c>
      <c r="HOH23" t="s">
        <v>6984</v>
      </c>
      <c r="HOI23" t="s">
        <v>6984</v>
      </c>
      <c r="HOJ23" t="s">
        <v>6984</v>
      </c>
      <c r="HOK23" t="s">
        <v>6984</v>
      </c>
      <c r="HOL23" t="s">
        <v>6984</v>
      </c>
      <c r="HOM23" t="s">
        <v>6984</v>
      </c>
      <c r="HON23" t="s">
        <v>6984</v>
      </c>
      <c r="HOO23" t="s">
        <v>6984</v>
      </c>
      <c r="HOP23" t="s">
        <v>6984</v>
      </c>
      <c r="HOQ23" t="s">
        <v>6984</v>
      </c>
      <c r="HOR23" t="s">
        <v>6984</v>
      </c>
      <c r="HOS23" t="s">
        <v>6984</v>
      </c>
      <c r="HOT23" t="s">
        <v>6984</v>
      </c>
      <c r="HOU23" t="s">
        <v>6984</v>
      </c>
      <c r="HOV23" t="s">
        <v>6984</v>
      </c>
      <c r="HOW23" t="s">
        <v>6984</v>
      </c>
      <c r="HOX23" t="s">
        <v>6984</v>
      </c>
      <c r="HOY23" t="s">
        <v>6984</v>
      </c>
      <c r="HOZ23" t="s">
        <v>6984</v>
      </c>
      <c r="HPA23" t="s">
        <v>6984</v>
      </c>
      <c r="HPB23" t="s">
        <v>6984</v>
      </c>
      <c r="HPC23" t="s">
        <v>6984</v>
      </c>
      <c r="HPD23" t="s">
        <v>6984</v>
      </c>
      <c r="HPE23" t="s">
        <v>6984</v>
      </c>
      <c r="HPF23" t="s">
        <v>6984</v>
      </c>
      <c r="HPG23" t="s">
        <v>6984</v>
      </c>
      <c r="HPH23" t="s">
        <v>6984</v>
      </c>
      <c r="HPI23" t="s">
        <v>6984</v>
      </c>
      <c r="HPJ23" t="s">
        <v>6984</v>
      </c>
      <c r="HPK23" t="s">
        <v>6984</v>
      </c>
      <c r="HPL23" t="s">
        <v>6984</v>
      </c>
      <c r="HPM23" t="s">
        <v>6984</v>
      </c>
      <c r="HPN23" t="s">
        <v>6984</v>
      </c>
      <c r="HPO23" t="s">
        <v>6984</v>
      </c>
      <c r="HPP23" t="s">
        <v>6984</v>
      </c>
      <c r="HPQ23" t="s">
        <v>6984</v>
      </c>
      <c r="HPR23" t="s">
        <v>6984</v>
      </c>
      <c r="HPS23" t="s">
        <v>6984</v>
      </c>
      <c r="HPT23" t="s">
        <v>6984</v>
      </c>
      <c r="HPU23" t="s">
        <v>6984</v>
      </c>
      <c r="HPV23" t="s">
        <v>6984</v>
      </c>
      <c r="HPW23" t="s">
        <v>6984</v>
      </c>
      <c r="HPX23" t="s">
        <v>6984</v>
      </c>
      <c r="HPY23" t="s">
        <v>6984</v>
      </c>
      <c r="HPZ23" t="s">
        <v>6984</v>
      </c>
      <c r="HQA23" t="s">
        <v>6984</v>
      </c>
      <c r="HQB23" t="s">
        <v>6984</v>
      </c>
      <c r="HQC23" t="s">
        <v>6984</v>
      </c>
      <c r="HQD23" t="s">
        <v>6984</v>
      </c>
      <c r="HQE23" t="s">
        <v>6984</v>
      </c>
      <c r="HQF23" t="s">
        <v>6984</v>
      </c>
      <c r="HQG23" t="s">
        <v>6984</v>
      </c>
      <c r="HQH23" t="s">
        <v>6984</v>
      </c>
      <c r="HQI23" t="s">
        <v>6984</v>
      </c>
      <c r="HQJ23" t="s">
        <v>6984</v>
      </c>
      <c r="HQK23" t="s">
        <v>6984</v>
      </c>
      <c r="HQL23" t="s">
        <v>6984</v>
      </c>
      <c r="HQM23" t="s">
        <v>6984</v>
      </c>
      <c r="HQN23" t="s">
        <v>6984</v>
      </c>
      <c r="HQO23" t="s">
        <v>6984</v>
      </c>
      <c r="HQP23" t="s">
        <v>6984</v>
      </c>
      <c r="HQQ23" t="s">
        <v>6984</v>
      </c>
      <c r="HQR23" t="s">
        <v>6984</v>
      </c>
      <c r="HQS23" t="s">
        <v>6984</v>
      </c>
      <c r="HQT23" t="s">
        <v>6984</v>
      </c>
      <c r="HQU23" t="s">
        <v>6984</v>
      </c>
      <c r="HQV23" t="s">
        <v>6984</v>
      </c>
      <c r="HQW23" t="s">
        <v>6984</v>
      </c>
      <c r="HQX23" t="s">
        <v>6984</v>
      </c>
      <c r="HQY23" t="s">
        <v>6984</v>
      </c>
      <c r="HQZ23" t="s">
        <v>6984</v>
      </c>
      <c r="HRA23" t="s">
        <v>6984</v>
      </c>
      <c r="HRB23" t="s">
        <v>6984</v>
      </c>
      <c r="HRC23" t="s">
        <v>6984</v>
      </c>
      <c r="HRD23" t="s">
        <v>6984</v>
      </c>
      <c r="HRE23" t="s">
        <v>6984</v>
      </c>
      <c r="HRF23" t="s">
        <v>6984</v>
      </c>
      <c r="HRG23" t="s">
        <v>6984</v>
      </c>
      <c r="HRH23" t="s">
        <v>6984</v>
      </c>
      <c r="HRI23" t="s">
        <v>6984</v>
      </c>
      <c r="HRJ23" t="s">
        <v>6984</v>
      </c>
      <c r="HRK23" t="s">
        <v>6984</v>
      </c>
      <c r="HRL23" t="s">
        <v>6984</v>
      </c>
      <c r="HRM23" t="s">
        <v>6984</v>
      </c>
      <c r="HRN23" t="s">
        <v>6984</v>
      </c>
      <c r="HRO23" t="s">
        <v>6984</v>
      </c>
      <c r="HRP23" t="s">
        <v>6984</v>
      </c>
      <c r="HRQ23" t="s">
        <v>6984</v>
      </c>
      <c r="HRR23" t="s">
        <v>6984</v>
      </c>
      <c r="HRS23" t="s">
        <v>6984</v>
      </c>
      <c r="HRT23" t="s">
        <v>6984</v>
      </c>
      <c r="HRU23" t="s">
        <v>6984</v>
      </c>
      <c r="HRV23" t="s">
        <v>6984</v>
      </c>
      <c r="HRW23" t="s">
        <v>6984</v>
      </c>
      <c r="HRX23" t="s">
        <v>6984</v>
      </c>
      <c r="HRY23" t="s">
        <v>6984</v>
      </c>
      <c r="HRZ23" t="s">
        <v>6984</v>
      </c>
      <c r="HSA23" t="s">
        <v>6984</v>
      </c>
      <c r="HSB23" t="s">
        <v>6984</v>
      </c>
      <c r="HSC23" t="s">
        <v>6984</v>
      </c>
      <c r="HSD23" t="s">
        <v>6984</v>
      </c>
      <c r="HSE23" t="s">
        <v>6984</v>
      </c>
      <c r="HSF23" t="s">
        <v>6984</v>
      </c>
      <c r="HSG23" t="s">
        <v>6984</v>
      </c>
      <c r="HSH23" t="s">
        <v>6984</v>
      </c>
      <c r="HSI23" t="s">
        <v>6984</v>
      </c>
      <c r="HSJ23" t="s">
        <v>6984</v>
      </c>
      <c r="HSK23" t="s">
        <v>6984</v>
      </c>
      <c r="HSL23" t="s">
        <v>6984</v>
      </c>
      <c r="HSM23" t="s">
        <v>6984</v>
      </c>
      <c r="HSN23" t="s">
        <v>6984</v>
      </c>
      <c r="HSO23" t="s">
        <v>6984</v>
      </c>
      <c r="HSP23" t="s">
        <v>6984</v>
      </c>
      <c r="HSQ23" t="s">
        <v>6984</v>
      </c>
      <c r="HSR23" t="s">
        <v>6984</v>
      </c>
      <c r="HSS23" t="s">
        <v>6984</v>
      </c>
      <c r="HST23" t="s">
        <v>6984</v>
      </c>
      <c r="HSU23" t="s">
        <v>6984</v>
      </c>
      <c r="HSV23" t="s">
        <v>6984</v>
      </c>
      <c r="HSW23" t="s">
        <v>6984</v>
      </c>
      <c r="HSX23" t="s">
        <v>6984</v>
      </c>
      <c r="HSY23" t="s">
        <v>6984</v>
      </c>
      <c r="HSZ23" t="s">
        <v>6984</v>
      </c>
      <c r="HTA23" t="s">
        <v>6984</v>
      </c>
      <c r="HTB23" t="s">
        <v>6984</v>
      </c>
      <c r="HTC23" t="s">
        <v>6984</v>
      </c>
      <c r="HTD23" t="s">
        <v>6984</v>
      </c>
      <c r="HTE23" t="s">
        <v>6984</v>
      </c>
      <c r="HTF23" t="s">
        <v>6984</v>
      </c>
      <c r="HTG23" t="s">
        <v>6984</v>
      </c>
      <c r="HTH23" t="s">
        <v>6984</v>
      </c>
      <c r="HTI23" t="s">
        <v>6984</v>
      </c>
      <c r="HTJ23" t="s">
        <v>6984</v>
      </c>
      <c r="HTK23" t="s">
        <v>6984</v>
      </c>
      <c r="HTL23" t="s">
        <v>6984</v>
      </c>
      <c r="HTM23" t="s">
        <v>6984</v>
      </c>
      <c r="HTN23" t="s">
        <v>6984</v>
      </c>
      <c r="HTO23" t="s">
        <v>6984</v>
      </c>
      <c r="HTP23" t="s">
        <v>6984</v>
      </c>
      <c r="HTQ23" t="s">
        <v>6984</v>
      </c>
      <c r="HTR23" t="s">
        <v>6984</v>
      </c>
      <c r="HTS23" t="s">
        <v>6984</v>
      </c>
      <c r="HTT23" t="s">
        <v>6984</v>
      </c>
      <c r="HTU23" t="s">
        <v>6984</v>
      </c>
      <c r="HTV23" t="s">
        <v>6984</v>
      </c>
      <c r="HTW23" t="s">
        <v>6984</v>
      </c>
      <c r="HTX23" t="s">
        <v>6984</v>
      </c>
      <c r="HTY23" t="s">
        <v>6984</v>
      </c>
      <c r="HTZ23" t="s">
        <v>6984</v>
      </c>
      <c r="HUA23" t="s">
        <v>6984</v>
      </c>
      <c r="HUB23" t="s">
        <v>6984</v>
      </c>
      <c r="HUC23" t="s">
        <v>6984</v>
      </c>
      <c r="HUD23" t="s">
        <v>6984</v>
      </c>
      <c r="HUE23" t="s">
        <v>6984</v>
      </c>
      <c r="HUF23" t="s">
        <v>6984</v>
      </c>
      <c r="HUG23" t="s">
        <v>6984</v>
      </c>
      <c r="HUH23" t="s">
        <v>6984</v>
      </c>
      <c r="HUI23" t="s">
        <v>6984</v>
      </c>
      <c r="HUJ23" t="s">
        <v>6984</v>
      </c>
      <c r="HUK23" t="s">
        <v>6984</v>
      </c>
      <c r="HUL23" t="s">
        <v>6984</v>
      </c>
      <c r="HUM23" t="s">
        <v>6984</v>
      </c>
      <c r="HUN23" t="s">
        <v>6984</v>
      </c>
      <c r="HUO23" t="s">
        <v>6984</v>
      </c>
      <c r="HUP23" t="s">
        <v>6984</v>
      </c>
      <c r="HUQ23" t="s">
        <v>6984</v>
      </c>
      <c r="HUR23" t="s">
        <v>6984</v>
      </c>
      <c r="HUS23" t="s">
        <v>6984</v>
      </c>
      <c r="HUT23" t="s">
        <v>6984</v>
      </c>
      <c r="HUU23" t="s">
        <v>6984</v>
      </c>
      <c r="HUV23" t="s">
        <v>6984</v>
      </c>
      <c r="HUW23" t="s">
        <v>6984</v>
      </c>
      <c r="HUX23" t="s">
        <v>6984</v>
      </c>
      <c r="HUY23" t="s">
        <v>6984</v>
      </c>
      <c r="HUZ23" t="s">
        <v>6984</v>
      </c>
      <c r="HVA23" t="s">
        <v>6984</v>
      </c>
      <c r="HVB23" t="s">
        <v>6984</v>
      </c>
      <c r="HVC23" t="s">
        <v>6984</v>
      </c>
      <c r="HVD23" t="s">
        <v>6984</v>
      </c>
      <c r="HVE23" t="s">
        <v>6984</v>
      </c>
      <c r="HVF23" t="s">
        <v>6984</v>
      </c>
      <c r="HVG23" t="s">
        <v>6984</v>
      </c>
      <c r="HVH23" t="s">
        <v>6984</v>
      </c>
      <c r="HVI23" t="s">
        <v>6984</v>
      </c>
      <c r="HVJ23" t="s">
        <v>6984</v>
      </c>
      <c r="HVK23" t="s">
        <v>6984</v>
      </c>
      <c r="HVL23" t="s">
        <v>6984</v>
      </c>
      <c r="HVM23" t="s">
        <v>6984</v>
      </c>
      <c r="HVN23" t="s">
        <v>6984</v>
      </c>
      <c r="HVO23" t="s">
        <v>6984</v>
      </c>
      <c r="HVP23" t="s">
        <v>6984</v>
      </c>
      <c r="HVQ23" t="s">
        <v>6984</v>
      </c>
      <c r="HVR23" t="s">
        <v>6984</v>
      </c>
      <c r="HVS23" t="s">
        <v>6984</v>
      </c>
      <c r="HVT23" t="s">
        <v>6984</v>
      </c>
      <c r="HVU23" t="s">
        <v>6984</v>
      </c>
      <c r="HVV23" t="s">
        <v>6984</v>
      </c>
      <c r="HVW23" t="s">
        <v>6984</v>
      </c>
      <c r="HVX23" t="s">
        <v>6984</v>
      </c>
      <c r="HVY23" t="s">
        <v>6984</v>
      </c>
      <c r="HVZ23" t="s">
        <v>6984</v>
      </c>
      <c r="HWA23" t="s">
        <v>6984</v>
      </c>
      <c r="HWB23" t="s">
        <v>6984</v>
      </c>
      <c r="HWC23" t="s">
        <v>6984</v>
      </c>
      <c r="HWD23" t="s">
        <v>6984</v>
      </c>
      <c r="HWE23" t="s">
        <v>6984</v>
      </c>
      <c r="HWF23" t="s">
        <v>6984</v>
      </c>
      <c r="HWG23" t="s">
        <v>6984</v>
      </c>
      <c r="HWH23" t="s">
        <v>6984</v>
      </c>
      <c r="HWI23" t="s">
        <v>6984</v>
      </c>
      <c r="HWJ23" t="s">
        <v>6984</v>
      </c>
      <c r="HWK23" t="s">
        <v>6984</v>
      </c>
      <c r="HWL23" t="s">
        <v>6984</v>
      </c>
      <c r="HWM23" t="s">
        <v>6984</v>
      </c>
      <c r="HWN23" t="s">
        <v>6984</v>
      </c>
      <c r="HWO23" t="s">
        <v>6984</v>
      </c>
      <c r="HWP23" t="s">
        <v>6984</v>
      </c>
      <c r="HWQ23" t="s">
        <v>6984</v>
      </c>
      <c r="HWR23" t="s">
        <v>6984</v>
      </c>
      <c r="HWS23" t="s">
        <v>6984</v>
      </c>
      <c r="HWT23" t="s">
        <v>6984</v>
      </c>
      <c r="HWU23" t="s">
        <v>6984</v>
      </c>
      <c r="HWV23" t="s">
        <v>6984</v>
      </c>
      <c r="HWW23" t="s">
        <v>6984</v>
      </c>
      <c r="HWX23" t="s">
        <v>6984</v>
      </c>
      <c r="HWY23" t="s">
        <v>6984</v>
      </c>
      <c r="HWZ23" t="s">
        <v>6984</v>
      </c>
      <c r="HXA23" t="s">
        <v>6984</v>
      </c>
      <c r="HXB23" t="s">
        <v>6984</v>
      </c>
      <c r="HXC23" t="s">
        <v>6984</v>
      </c>
      <c r="HXD23" t="s">
        <v>6984</v>
      </c>
      <c r="HXE23" t="s">
        <v>6984</v>
      </c>
      <c r="HXF23" t="s">
        <v>6984</v>
      </c>
      <c r="HXG23" t="s">
        <v>6984</v>
      </c>
      <c r="HXH23" t="s">
        <v>6984</v>
      </c>
      <c r="HXI23" t="s">
        <v>6984</v>
      </c>
      <c r="HXJ23" t="s">
        <v>6984</v>
      </c>
      <c r="HXK23" t="s">
        <v>6984</v>
      </c>
      <c r="HXL23" t="s">
        <v>6984</v>
      </c>
      <c r="HXM23" t="s">
        <v>6984</v>
      </c>
      <c r="HXN23" t="s">
        <v>6984</v>
      </c>
      <c r="HXO23" t="s">
        <v>6984</v>
      </c>
      <c r="HXP23" t="s">
        <v>6984</v>
      </c>
      <c r="HXQ23" t="s">
        <v>6984</v>
      </c>
      <c r="HXR23" t="s">
        <v>6984</v>
      </c>
      <c r="HXS23" t="s">
        <v>6984</v>
      </c>
      <c r="HXT23" t="s">
        <v>6984</v>
      </c>
      <c r="HXU23" t="s">
        <v>6984</v>
      </c>
      <c r="HXV23" t="s">
        <v>6984</v>
      </c>
      <c r="HXW23" t="s">
        <v>6984</v>
      </c>
      <c r="HXX23" t="s">
        <v>6984</v>
      </c>
      <c r="HXY23" t="s">
        <v>6984</v>
      </c>
      <c r="HXZ23" t="s">
        <v>6984</v>
      </c>
      <c r="HYA23" t="s">
        <v>6984</v>
      </c>
      <c r="HYB23" t="s">
        <v>6984</v>
      </c>
      <c r="HYC23" t="s">
        <v>6984</v>
      </c>
      <c r="HYD23" t="s">
        <v>6984</v>
      </c>
      <c r="HYE23" t="s">
        <v>6984</v>
      </c>
      <c r="HYF23" t="s">
        <v>6984</v>
      </c>
      <c r="HYG23" t="s">
        <v>6984</v>
      </c>
      <c r="HYH23" t="s">
        <v>6984</v>
      </c>
      <c r="HYI23" t="s">
        <v>6984</v>
      </c>
      <c r="HYJ23" t="s">
        <v>6984</v>
      </c>
      <c r="HYK23" t="s">
        <v>6984</v>
      </c>
      <c r="HYL23" t="s">
        <v>6984</v>
      </c>
      <c r="HYM23" t="s">
        <v>6984</v>
      </c>
      <c r="HYN23" t="s">
        <v>6984</v>
      </c>
      <c r="HYO23" t="s">
        <v>6984</v>
      </c>
      <c r="HYP23" t="s">
        <v>6984</v>
      </c>
      <c r="HYQ23" t="s">
        <v>6984</v>
      </c>
      <c r="HYR23" t="s">
        <v>6984</v>
      </c>
      <c r="HYS23" t="s">
        <v>6984</v>
      </c>
      <c r="HYT23" t="s">
        <v>6984</v>
      </c>
      <c r="HYU23" t="s">
        <v>6984</v>
      </c>
      <c r="HYV23" t="s">
        <v>6984</v>
      </c>
      <c r="HYW23" t="s">
        <v>6984</v>
      </c>
      <c r="HYX23" t="s">
        <v>6984</v>
      </c>
      <c r="HYY23" t="s">
        <v>6984</v>
      </c>
      <c r="HYZ23" t="s">
        <v>6984</v>
      </c>
      <c r="HZA23" t="s">
        <v>6984</v>
      </c>
      <c r="HZB23" t="s">
        <v>6984</v>
      </c>
      <c r="HZC23" t="s">
        <v>6984</v>
      </c>
      <c r="HZD23" t="s">
        <v>6984</v>
      </c>
      <c r="HZE23" t="s">
        <v>6984</v>
      </c>
      <c r="HZF23" t="s">
        <v>6984</v>
      </c>
      <c r="HZG23" t="s">
        <v>6984</v>
      </c>
      <c r="HZH23" t="s">
        <v>6984</v>
      </c>
      <c r="HZI23" t="s">
        <v>6984</v>
      </c>
      <c r="HZJ23" t="s">
        <v>6984</v>
      </c>
      <c r="HZK23" t="s">
        <v>6984</v>
      </c>
      <c r="HZL23" t="s">
        <v>6984</v>
      </c>
      <c r="HZM23" t="s">
        <v>6984</v>
      </c>
      <c r="HZN23" t="s">
        <v>6984</v>
      </c>
      <c r="HZO23" t="s">
        <v>6984</v>
      </c>
      <c r="HZP23" t="s">
        <v>6984</v>
      </c>
      <c r="HZQ23" t="s">
        <v>6984</v>
      </c>
      <c r="HZR23" t="s">
        <v>6984</v>
      </c>
      <c r="HZS23" t="s">
        <v>6984</v>
      </c>
      <c r="HZT23" t="s">
        <v>6984</v>
      </c>
      <c r="HZU23" t="s">
        <v>6984</v>
      </c>
      <c r="HZV23" t="s">
        <v>6984</v>
      </c>
      <c r="HZW23" t="s">
        <v>6984</v>
      </c>
      <c r="HZX23" t="s">
        <v>6984</v>
      </c>
      <c r="HZY23" t="s">
        <v>6984</v>
      </c>
      <c r="HZZ23" t="s">
        <v>6984</v>
      </c>
      <c r="IAA23" t="s">
        <v>6984</v>
      </c>
      <c r="IAB23" t="s">
        <v>6984</v>
      </c>
      <c r="IAC23" t="s">
        <v>6984</v>
      </c>
      <c r="IAD23" t="s">
        <v>6984</v>
      </c>
      <c r="IAE23" t="s">
        <v>6984</v>
      </c>
      <c r="IAF23" t="s">
        <v>6984</v>
      </c>
      <c r="IAG23" t="s">
        <v>6984</v>
      </c>
      <c r="IAH23" t="s">
        <v>6984</v>
      </c>
      <c r="IAI23" t="s">
        <v>6984</v>
      </c>
      <c r="IAJ23" t="s">
        <v>6984</v>
      </c>
      <c r="IAK23" t="s">
        <v>6984</v>
      </c>
      <c r="IAL23" t="s">
        <v>6984</v>
      </c>
      <c r="IAM23" t="s">
        <v>6984</v>
      </c>
      <c r="IAN23" t="s">
        <v>6984</v>
      </c>
      <c r="IAO23" t="s">
        <v>6984</v>
      </c>
      <c r="IAP23" t="s">
        <v>6984</v>
      </c>
      <c r="IAQ23" t="s">
        <v>6984</v>
      </c>
      <c r="IAR23" t="s">
        <v>6984</v>
      </c>
      <c r="IAS23" t="s">
        <v>6984</v>
      </c>
      <c r="IAT23" t="s">
        <v>6984</v>
      </c>
      <c r="IAU23" t="s">
        <v>6984</v>
      </c>
      <c r="IAV23" t="s">
        <v>6984</v>
      </c>
      <c r="IAW23" t="s">
        <v>6984</v>
      </c>
      <c r="IAX23" t="s">
        <v>6984</v>
      </c>
      <c r="IAY23" t="s">
        <v>6984</v>
      </c>
      <c r="IAZ23" t="s">
        <v>6984</v>
      </c>
      <c r="IBA23" t="s">
        <v>6984</v>
      </c>
      <c r="IBB23" t="s">
        <v>6984</v>
      </c>
      <c r="IBC23" t="s">
        <v>6984</v>
      </c>
      <c r="IBD23" t="s">
        <v>6984</v>
      </c>
      <c r="IBE23" t="s">
        <v>6984</v>
      </c>
      <c r="IBF23" t="s">
        <v>6984</v>
      </c>
      <c r="IBG23" t="s">
        <v>6984</v>
      </c>
      <c r="IBH23" t="s">
        <v>6984</v>
      </c>
      <c r="IBI23" t="s">
        <v>6984</v>
      </c>
      <c r="IBJ23" t="s">
        <v>6984</v>
      </c>
      <c r="IBK23" t="s">
        <v>6984</v>
      </c>
      <c r="IBL23" t="s">
        <v>6984</v>
      </c>
      <c r="IBM23" t="s">
        <v>6984</v>
      </c>
      <c r="IBN23" t="s">
        <v>6984</v>
      </c>
      <c r="IBO23" t="s">
        <v>6984</v>
      </c>
      <c r="IBP23" t="s">
        <v>6984</v>
      </c>
      <c r="IBQ23" t="s">
        <v>6984</v>
      </c>
      <c r="IBR23" t="s">
        <v>6984</v>
      </c>
      <c r="IBS23" t="s">
        <v>6984</v>
      </c>
      <c r="IBT23" t="s">
        <v>6984</v>
      </c>
      <c r="IBU23" t="s">
        <v>6984</v>
      </c>
      <c r="IBV23" t="s">
        <v>6984</v>
      </c>
      <c r="IBW23" t="s">
        <v>6984</v>
      </c>
      <c r="IBX23" t="s">
        <v>6984</v>
      </c>
      <c r="IBY23" t="s">
        <v>6984</v>
      </c>
      <c r="IBZ23" t="s">
        <v>6984</v>
      </c>
      <c r="ICA23" t="s">
        <v>6984</v>
      </c>
      <c r="ICB23" t="s">
        <v>6984</v>
      </c>
      <c r="ICC23" t="s">
        <v>6984</v>
      </c>
      <c r="ICD23" t="s">
        <v>6984</v>
      </c>
      <c r="ICE23" t="s">
        <v>6984</v>
      </c>
      <c r="ICF23" t="s">
        <v>6984</v>
      </c>
      <c r="ICG23" t="s">
        <v>6984</v>
      </c>
      <c r="ICH23" t="s">
        <v>6984</v>
      </c>
      <c r="ICI23" t="s">
        <v>6984</v>
      </c>
      <c r="ICJ23" t="s">
        <v>6984</v>
      </c>
      <c r="ICK23" t="s">
        <v>6984</v>
      </c>
      <c r="ICL23" t="s">
        <v>6984</v>
      </c>
      <c r="ICM23" t="s">
        <v>6984</v>
      </c>
      <c r="ICN23" t="s">
        <v>6984</v>
      </c>
      <c r="ICO23" t="s">
        <v>6984</v>
      </c>
      <c r="ICP23" t="s">
        <v>6984</v>
      </c>
      <c r="ICQ23" t="s">
        <v>6984</v>
      </c>
      <c r="ICR23" t="s">
        <v>6984</v>
      </c>
      <c r="ICS23" t="s">
        <v>6984</v>
      </c>
      <c r="ICT23" t="s">
        <v>6984</v>
      </c>
      <c r="ICU23" t="s">
        <v>6984</v>
      </c>
      <c r="ICV23" t="s">
        <v>6984</v>
      </c>
      <c r="ICW23" t="s">
        <v>6984</v>
      </c>
      <c r="ICX23" t="s">
        <v>6984</v>
      </c>
      <c r="ICY23" t="s">
        <v>6984</v>
      </c>
      <c r="ICZ23" t="s">
        <v>6984</v>
      </c>
      <c r="IDA23" t="s">
        <v>6984</v>
      </c>
      <c r="IDB23" t="s">
        <v>6984</v>
      </c>
      <c r="IDC23" t="s">
        <v>6984</v>
      </c>
      <c r="IDD23" t="s">
        <v>6984</v>
      </c>
      <c r="IDE23" t="s">
        <v>6984</v>
      </c>
      <c r="IDF23" t="s">
        <v>6984</v>
      </c>
      <c r="IDG23" t="s">
        <v>6984</v>
      </c>
      <c r="IDH23" t="s">
        <v>6984</v>
      </c>
      <c r="IDI23" t="s">
        <v>6984</v>
      </c>
      <c r="IDJ23" t="s">
        <v>6984</v>
      </c>
      <c r="IDK23" t="s">
        <v>6984</v>
      </c>
      <c r="IDL23" t="s">
        <v>6984</v>
      </c>
      <c r="IDM23" t="s">
        <v>6984</v>
      </c>
      <c r="IDN23" t="s">
        <v>6984</v>
      </c>
      <c r="IDO23" t="s">
        <v>6984</v>
      </c>
      <c r="IDP23" t="s">
        <v>6984</v>
      </c>
      <c r="IDQ23" t="s">
        <v>6984</v>
      </c>
      <c r="IDR23" t="s">
        <v>6984</v>
      </c>
      <c r="IDS23" t="s">
        <v>6984</v>
      </c>
      <c r="IDT23" t="s">
        <v>6984</v>
      </c>
      <c r="IDU23" t="s">
        <v>6984</v>
      </c>
      <c r="IDV23" t="s">
        <v>6984</v>
      </c>
      <c r="IDW23" t="s">
        <v>6984</v>
      </c>
      <c r="IDX23" t="s">
        <v>6984</v>
      </c>
      <c r="IDY23" t="s">
        <v>6984</v>
      </c>
      <c r="IDZ23" t="s">
        <v>6984</v>
      </c>
      <c r="IEA23" t="s">
        <v>6984</v>
      </c>
      <c r="IEB23" t="s">
        <v>6984</v>
      </c>
      <c r="IEC23" t="s">
        <v>6984</v>
      </c>
      <c r="IED23" t="s">
        <v>6984</v>
      </c>
      <c r="IEE23" t="s">
        <v>6984</v>
      </c>
      <c r="IEF23" t="s">
        <v>6984</v>
      </c>
      <c r="IEG23" t="s">
        <v>6984</v>
      </c>
      <c r="IEH23" t="s">
        <v>6984</v>
      </c>
      <c r="IEI23" t="s">
        <v>6984</v>
      </c>
      <c r="IEJ23" t="s">
        <v>6984</v>
      </c>
      <c r="IEK23" t="s">
        <v>6984</v>
      </c>
      <c r="IEL23" t="s">
        <v>6984</v>
      </c>
      <c r="IEM23" t="s">
        <v>6984</v>
      </c>
      <c r="IEN23" t="s">
        <v>6984</v>
      </c>
      <c r="IEO23" t="s">
        <v>6984</v>
      </c>
      <c r="IEP23" t="s">
        <v>6984</v>
      </c>
      <c r="IEQ23" t="s">
        <v>6984</v>
      </c>
      <c r="IER23" t="s">
        <v>6984</v>
      </c>
      <c r="IES23" t="s">
        <v>6984</v>
      </c>
      <c r="IET23" t="s">
        <v>6984</v>
      </c>
      <c r="IEU23" t="s">
        <v>6984</v>
      </c>
      <c r="IEV23" t="s">
        <v>6984</v>
      </c>
      <c r="IEW23" t="s">
        <v>6984</v>
      </c>
      <c r="IEX23" t="s">
        <v>6984</v>
      </c>
      <c r="IEY23" t="s">
        <v>6984</v>
      </c>
      <c r="IEZ23" t="s">
        <v>6984</v>
      </c>
      <c r="IFA23" t="s">
        <v>6984</v>
      </c>
      <c r="IFB23" t="s">
        <v>6984</v>
      </c>
      <c r="IFC23" t="s">
        <v>6984</v>
      </c>
      <c r="IFD23" t="s">
        <v>6984</v>
      </c>
      <c r="IFE23" t="s">
        <v>6984</v>
      </c>
      <c r="IFF23" t="s">
        <v>6984</v>
      </c>
      <c r="IFG23" t="s">
        <v>6984</v>
      </c>
      <c r="IFH23" t="s">
        <v>6984</v>
      </c>
      <c r="IFI23" t="s">
        <v>6984</v>
      </c>
      <c r="IFJ23" t="s">
        <v>6984</v>
      </c>
      <c r="IFK23" t="s">
        <v>6984</v>
      </c>
      <c r="IFL23" t="s">
        <v>6984</v>
      </c>
      <c r="IFM23" t="s">
        <v>6984</v>
      </c>
      <c r="IFN23" t="s">
        <v>6984</v>
      </c>
      <c r="IFO23" t="s">
        <v>6984</v>
      </c>
      <c r="IFP23" t="s">
        <v>6984</v>
      </c>
      <c r="IFQ23" t="s">
        <v>6984</v>
      </c>
      <c r="IFR23" t="s">
        <v>6984</v>
      </c>
      <c r="IFS23" t="s">
        <v>6984</v>
      </c>
      <c r="IFT23" t="s">
        <v>6984</v>
      </c>
      <c r="IFU23" t="s">
        <v>6984</v>
      </c>
      <c r="IFV23" t="s">
        <v>6984</v>
      </c>
      <c r="IFW23" t="s">
        <v>6984</v>
      </c>
      <c r="IFX23" t="s">
        <v>6984</v>
      </c>
      <c r="IFY23" t="s">
        <v>6984</v>
      </c>
      <c r="IFZ23" t="s">
        <v>6984</v>
      </c>
      <c r="IGA23" t="s">
        <v>6984</v>
      </c>
      <c r="IGB23" t="s">
        <v>6984</v>
      </c>
      <c r="IGC23" t="s">
        <v>6984</v>
      </c>
      <c r="IGD23" t="s">
        <v>6984</v>
      </c>
      <c r="IGE23" t="s">
        <v>6984</v>
      </c>
      <c r="IGF23" t="s">
        <v>6984</v>
      </c>
      <c r="IGG23" t="s">
        <v>6984</v>
      </c>
      <c r="IGH23" t="s">
        <v>6984</v>
      </c>
      <c r="IGI23" t="s">
        <v>6984</v>
      </c>
      <c r="IGJ23" t="s">
        <v>6984</v>
      </c>
      <c r="IGK23" t="s">
        <v>6984</v>
      </c>
      <c r="IGL23" t="s">
        <v>6984</v>
      </c>
      <c r="IGM23" t="s">
        <v>6984</v>
      </c>
      <c r="IGN23" t="s">
        <v>6984</v>
      </c>
      <c r="IGO23" t="s">
        <v>6984</v>
      </c>
      <c r="IGP23" t="s">
        <v>6984</v>
      </c>
      <c r="IGQ23" t="s">
        <v>6984</v>
      </c>
      <c r="IGR23" t="s">
        <v>6984</v>
      </c>
      <c r="IGS23" t="s">
        <v>6984</v>
      </c>
      <c r="IGT23" t="s">
        <v>6984</v>
      </c>
      <c r="IGU23" t="s">
        <v>6984</v>
      </c>
      <c r="IGV23" t="s">
        <v>6984</v>
      </c>
      <c r="IGW23" t="s">
        <v>6984</v>
      </c>
      <c r="IGX23" t="s">
        <v>6984</v>
      </c>
      <c r="IGY23" t="s">
        <v>6984</v>
      </c>
      <c r="IGZ23" t="s">
        <v>6984</v>
      </c>
      <c r="IHA23" t="s">
        <v>6984</v>
      </c>
      <c r="IHB23" t="s">
        <v>6984</v>
      </c>
      <c r="IHC23" t="s">
        <v>6984</v>
      </c>
      <c r="IHD23" t="s">
        <v>6984</v>
      </c>
      <c r="IHE23" t="s">
        <v>6984</v>
      </c>
      <c r="IHF23" t="s">
        <v>6984</v>
      </c>
      <c r="IHG23" t="s">
        <v>6984</v>
      </c>
      <c r="IHH23" t="s">
        <v>6984</v>
      </c>
      <c r="IHI23" t="s">
        <v>6984</v>
      </c>
      <c r="IHJ23" t="s">
        <v>6984</v>
      </c>
      <c r="IHK23" t="s">
        <v>6984</v>
      </c>
      <c r="IHL23" t="s">
        <v>6984</v>
      </c>
      <c r="IHM23" t="s">
        <v>6984</v>
      </c>
      <c r="IHN23" t="s">
        <v>6984</v>
      </c>
      <c r="IHO23" t="s">
        <v>6984</v>
      </c>
      <c r="IHP23" t="s">
        <v>6984</v>
      </c>
      <c r="IHQ23" t="s">
        <v>6984</v>
      </c>
      <c r="IHR23" t="s">
        <v>6984</v>
      </c>
      <c r="IHS23" t="s">
        <v>6984</v>
      </c>
      <c r="IHT23" t="s">
        <v>6984</v>
      </c>
      <c r="IHU23" t="s">
        <v>6984</v>
      </c>
      <c r="IHV23" t="s">
        <v>6984</v>
      </c>
      <c r="IHW23" t="s">
        <v>6984</v>
      </c>
      <c r="IHX23" t="s">
        <v>6984</v>
      </c>
      <c r="IHY23" t="s">
        <v>6984</v>
      </c>
      <c r="IHZ23" t="s">
        <v>6984</v>
      </c>
      <c r="IIA23" t="s">
        <v>6984</v>
      </c>
      <c r="IIB23" t="s">
        <v>6984</v>
      </c>
      <c r="IIC23" t="s">
        <v>6984</v>
      </c>
      <c r="IID23" t="s">
        <v>6984</v>
      </c>
      <c r="IIE23" t="s">
        <v>6984</v>
      </c>
      <c r="IIF23" t="s">
        <v>6984</v>
      </c>
      <c r="IIG23" t="s">
        <v>6984</v>
      </c>
      <c r="IIH23" t="s">
        <v>6984</v>
      </c>
      <c r="III23" t="s">
        <v>6984</v>
      </c>
      <c r="IIJ23" t="s">
        <v>6984</v>
      </c>
      <c r="IIK23" t="s">
        <v>6984</v>
      </c>
      <c r="IIL23" t="s">
        <v>6984</v>
      </c>
      <c r="IIM23" t="s">
        <v>6984</v>
      </c>
      <c r="IIN23" t="s">
        <v>6984</v>
      </c>
      <c r="IIO23" t="s">
        <v>6984</v>
      </c>
      <c r="IIP23" t="s">
        <v>6984</v>
      </c>
      <c r="IIQ23" t="s">
        <v>6984</v>
      </c>
      <c r="IIR23" t="s">
        <v>6984</v>
      </c>
      <c r="IIS23" t="s">
        <v>6984</v>
      </c>
      <c r="IIT23" t="s">
        <v>6984</v>
      </c>
      <c r="IIU23" t="s">
        <v>6984</v>
      </c>
      <c r="IIV23" t="s">
        <v>6984</v>
      </c>
      <c r="IIW23" t="s">
        <v>6984</v>
      </c>
      <c r="IIX23" t="s">
        <v>6984</v>
      </c>
      <c r="IIY23" t="s">
        <v>6984</v>
      </c>
      <c r="IIZ23" t="s">
        <v>6984</v>
      </c>
      <c r="IJA23" t="s">
        <v>6984</v>
      </c>
      <c r="IJB23" t="s">
        <v>6984</v>
      </c>
      <c r="IJC23" t="s">
        <v>6984</v>
      </c>
      <c r="IJD23" t="s">
        <v>6984</v>
      </c>
      <c r="IJE23" t="s">
        <v>6984</v>
      </c>
      <c r="IJF23" t="s">
        <v>6984</v>
      </c>
      <c r="IJG23" t="s">
        <v>6984</v>
      </c>
      <c r="IJH23" t="s">
        <v>6984</v>
      </c>
      <c r="IJI23" t="s">
        <v>6984</v>
      </c>
      <c r="IJJ23" t="s">
        <v>6984</v>
      </c>
      <c r="IJK23" t="s">
        <v>6984</v>
      </c>
      <c r="IJL23" t="s">
        <v>6984</v>
      </c>
      <c r="IJM23" t="s">
        <v>6984</v>
      </c>
      <c r="IJN23" t="s">
        <v>6984</v>
      </c>
      <c r="IJO23" t="s">
        <v>6984</v>
      </c>
      <c r="IJP23" t="s">
        <v>6984</v>
      </c>
      <c r="IJQ23" t="s">
        <v>6984</v>
      </c>
      <c r="IJR23" t="s">
        <v>6984</v>
      </c>
      <c r="IJS23" t="s">
        <v>6984</v>
      </c>
      <c r="IJT23" t="s">
        <v>6984</v>
      </c>
      <c r="IJU23" t="s">
        <v>6984</v>
      </c>
      <c r="IJV23" t="s">
        <v>6984</v>
      </c>
      <c r="IJW23" t="s">
        <v>6984</v>
      </c>
      <c r="IJX23" t="s">
        <v>6984</v>
      </c>
      <c r="IJY23" t="s">
        <v>6984</v>
      </c>
      <c r="IJZ23" t="s">
        <v>6984</v>
      </c>
      <c r="IKA23" t="s">
        <v>6984</v>
      </c>
      <c r="IKB23" t="s">
        <v>6984</v>
      </c>
      <c r="IKC23" t="s">
        <v>6984</v>
      </c>
      <c r="IKD23" t="s">
        <v>6984</v>
      </c>
      <c r="IKE23" t="s">
        <v>6984</v>
      </c>
      <c r="IKF23" t="s">
        <v>6984</v>
      </c>
      <c r="IKG23" t="s">
        <v>6984</v>
      </c>
      <c r="IKH23" t="s">
        <v>6984</v>
      </c>
      <c r="IKI23" t="s">
        <v>6984</v>
      </c>
      <c r="IKJ23" t="s">
        <v>6984</v>
      </c>
      <c r="IKK23" t="s">
        <v>6984</v>
      </c>
      <c r="IKL23" t="s">
        <v>6984</v>
      </c>
      <c r="IKM23" t="s">
        <v>6984</v>
      </c>
      <c r="IKN23" t="s">
        <v>6984</v>
      </c>
      <c r="IKO23" t="s">
        <v>6984</v>
      </c>
      <c r="IKP23" t="s">
        <v>6984</v>
      </c>
      <c r="IKQ23" t="s">
        <v>6984</v>
      </c>
      <c r="IKR23" t="s">
        <v>6984</v>
      </c>
      <c r="IKS23" t="s">
        <v>6984</v>
      </c>
      <c r="IKT23" t="s">
        <v>6984</v>
      </c>
      <c r="IKU23" t="s">
        <v>6984</v>
      </c>
      <c r="IKV23" t="s">
        <v>6984</v>
      </c>
      <c r="IKW23" t="s">
        <v>6984</v>
      </c>
      <c r="IKX23" t="s">
        <v>6984</v>
      </c>
      <c r="IKY23" t="s">
        <v>6984</v>
      </c>
      <c r="IKZ23" t="s">
        <v>6984</v>
      </c>
      <c r="ILA23" t="s">
        <v>6984</v>
      </c>
      <c r="ILB23" t="s">
        <v>6984</v>
      </c>
      <c r="ILC23" t="s">
        <v>6984</v>
      </c>
      <c r="ILD23" t="s">
        <v>6984</v>
      </c>
      <c r="ILE23" t="s">
        <v>6984</v>
      </c>
      <c r="ILF23" t="s">
        <v>6984</v>
      </c>
      <c r="ILG23" t="s">
        <v>6984</v>
      </c>
      <c r="ILH23" t="s">
        <v>6984</v>
      </c>
      <c r="ILI23" t="s">
        <v>6984</v>
      </c>
      <c r="ILJ23" t="s">
        <v>6984</v>
      </c>
      <c r="ILK23" t="s">
        <v>6984</v>
      </c>
      <c r="ILL23" t="s">
        <v>6984</v>
      </c>
      <c r="ILM23" t="s">
        <v>6984</v>
      </c>
      <c r="ILN23" t="s">
        <v>6984</v>
      </c>
      <c r="ILO23" t="s">
        <v>6984</v>
      </c>
      <c r="ILP23" t="s">
        <v>6984</v>
      </c>
      <c r="ILQ23" t="s">
        <v>6984</v>
      </c>
      <c r="ILR23" t="s">
        <v>6984</v>
      </c>
      <c r="ILS23" t="s">
        <v>6984</v>
      </c>
      <c r="ILT23" t="s">
        <v>6984</v>
      </c>
      <c r="ILU23" t="s">
        <v>6984</v>
      </c>
      <c r="ILV23" t="s">
        <v>6984</v>
      </c>
      <c r="ILW23" t="s">
        <v>6984</v>
      </c>
      <c r="ILX23" t="s">
        <v>6984</v>
      </c>
      <c r="ILY23" t="s">
        <v>6984</v>
      </c>
      <c r="ILZ23" t="s">
        <v>6984</v>
      </c>
      <c r="IMA23" t="s">
        <v>6984</v>
      </c>
      <c r="IMB23" t="s">
        <v>6984</v>
      </c>
      <c r="IMC23" t="s">
        <v>6984</v>
      </c>
      <c r="IMD23" t="s">
        <v>6984</v>
      </c>
      <c r="IME23" t="s">
        <v>6984</v>
      </c>
      <c r="IMF23" t="s">
        <v>6984</v>
      </c>
      <c r="IMG23" t="s">
        <v>6984</v>
      </c>
      <c r="IMH23" t="s">
        <v>6984</v>
      </c>
      <c r="IMI23" t="s">
        <v>6984</v>
      </c>
      <c r="IMJ23" t="s">
        <v>6984</v>
      </c>
      <c r="IMK23" t="s">
        <v>6984</v>
      </c>
      <c r="IML23" t="s">
        <v>6984</v>
      </c>
      <c r="IMM23" t="s">
        <v>6984</v>
      </c>
      <c r="IMN23" t="s">
        <v>6984</v>
      </c>
      <c r="IMO23" t="s">
        <v>6984</v>
      </c>
      <c r="IMP23" t="s">
        <v>6984</v>
      </c>
      <c r="IMQ23" t="s">
        <v>6984</v>
      </c>
      <c r="IMR23" t="s">
        <v>6984</v>
      </c>
      <c r="IMS23" t="s">
        <v>6984</v>
      </c>
      <c r="IMT23" t="s">
        <v>6984</v>
      </c>
      <c r="IMU23" t="s">
        <v>6984</v>
      </c>
      <c r="IMV23" t="s">
        <v>6984</v>
      </c>
      <c r="IMW23" t="s">
        <v>6984</v>
      </c>
      <c r="IMX23" t="s">
        <v>6984</v>
      </c>
      <c r="IMY23" t="s">
        <v>6984</v>
      </c>
      <c r="IMZ23" t="s">
        <v>6984</v>
      </c>
      <c r="INA23" t="s">
        <v>6984</v>
      </c>
      <c r="INB23" t="s">
        <v>6984</v>
      </c>
      <c r="INC23" t="s">
        <v>6984</v>
      </c>
      <c r="IND23" t="s">
        <v>6984</v>
      </c>
      <c r="INE23" t="s">
        <v>6984</v>
      </c>
      <c r="INF23" t="s">
        <v>6984</v>
      </c>
      <c r="ING23" t="s">
        <v>6984</v>
      </c>
      <c r="INH23" t="s">
        <v>6984</v>
      </c>
      <c r="INI23" t="s">
        <v>6984</v>
      </c>
      <c r="INJ23" t="s">
        <v>6984</v>
      </c>
      <c r="INK23" t="s">
        <v>6984</v>
      </c>
      <c r="INL23" t="s">
        <v>6984</v>
      </c>
      <c r="INM23" t="s">
        <v>6984</v>
      </c>
      <c r="INN23" t="s">
        <v>6984</v>
      </c>
      <c r="INO23" t="s">
        <v>6984</v>
      </c>
      <c r="INP23" t="s">
        <v>6984</v>
      </c>
      <c r="INQ23" t="s">
        <v>6984</v>
      </c>
      <c r="INR23" t="s">
        <v>6984</v>
      </c>
      <c r="INS23" t="s">
        <v>6984</v>
      </c>
      <c r="INT23" t="s">
        <v>6984</v>
      </c>
      <c r="INU23" t="s">
        <v>6984</v>
      </c>
      <c r="INV23" t="s">
        <v>6984</v>
      </c>
      <c r="INW23" t="s">
        <v>6984</v>
      </c>
      <c r="INX23" t="s">
        <v>6984</v>
      </c>
      <c r="INY23" t="s">
        <v>6984</v>
      </c>
      <c r="INZ23" t="s">
        <v>6984</v>
      </c>
      <c r="IOA23" t="s">
        <v>6984</v>
      </c>
      <c r="IOB23" t="s">
        <v>6984</v>
      </c>
      <c r="IOC23" t="s">
        <v>6984</v>
      </c>
      <c r="IOD23" t="s">
        <v>6984</v>
      </c>
      <c r="IOE23" t="s">
        <v>6984</v>
      </c>
      <c r="IOF23" t="s">
        <v>6984</v>
      </c>
      <c r="IOG23" t="s">
        <v>6984</v>
      </c>
      <c r="IOH23" t="s">
        <v>6984</v>
      </c>
      <c r="IOI23" t="s">
        <v>6984</v>
      </c>
      <c r="IOJ23" t="s">
        <v>6984</v>
      </c>
      <c r="IOK23" t="s">
        <v>6984</v>
      </c>
      <c r="IOL23" t="s">
        <v>6984</v>
      </c>
      <c r="IOM23" t="s">
        <v>6984</v>
      </c>
      <c r="ION23" t="s">
        <v>6984</v>
      </c>
      <c r="IOO23" t="s">
        <v>6984</v>
      </c>
      <c r="IOP23" t="s">
        <v>6984</v>
      </c>
      <c r="IOQ23" t="s">
        <v>6984</v>
      </c>
      <c r="IOR23" t="s">
        <v>6984</v>
      </c>
      <c r="IOS23" t="s">
        <v>6984</v>
      </c>
      <c r="IOT23" t="s">
        <v>6984</v>
      </c>
      <c r="IOU23" t="s">
        <v>6984</v>
      </c>
      <c r="IOV23" t="s">
        <v>6984</v>
      </c>
      <c r="IOW23" t="s">
        <v>6984</v>
      </c>
      <c r="IOX23" t="s">
        <v>6984</v>
      </c>
      <c r="IOY23" t="s">
        <v>6984</v>
      </c>
      <c r="IOZ23" t="s">
        <v>6984</v>
      </c>
      <c r="IPA23" t="s">
        <v>6984</v>
      </c>
      <c r="IPB23" t="s">
        <v>6984</v>
      </c>
      <c r="IPC23" t="s">
        <v>6984</v>
      </c>
      <c r="IPD23" t="s">
        <v>6984</v>
      </c>
      <c r="IPE23" t="s">
        <v>6984</v>
      </c>
      <c r="IPF23" t="s">
        <v>6984</v>
      </c>
      <c r="IPG23" t="s">
        <v>6984</v>
      </c>
      <c r="IPH23" t="s">
        <v>6984</v>
      </c>
      <c r="IPI23" t="s">
        <v>6984</v>
      </c>
      <c r="IPJ23" t="s">
        <v>6984</v>
      </c>
      <c r="IPK23" t="s">
        <v>6984</v>
      </c>
      <c r="IPL23" t="s">
        <v>6984</v>
      </c>
      <c r="IPM23" t="s">
        <v>6984</v>
      </c>
      <c r="IPN23" t="s">
        <v>6984</v>
      </c>
      <c r="IPO23" t="s">
        <v>6984</v>
      </c>
      <c r="IPP23" t="s">
        <v>6984</v>
      </c>
      <c r="IPQ23" t="s">
        <v>6984</v>
      </c>
      <c r="IPR23" t="s">
        <v>6984</v>
      </c>
      <c r="IPS23" t="s">
        <v>6984</v>
      </c>
      <c r="IPT23" t="s">
        <v>6984</v>
      </c>
      <c r="IPU23" t="s">
        <v>6984</v>
      </c>
      <c r="IPV23" t="s">
        <v>6984</v>
      </c>
      <c r="IPW23" t="s">
        <v>6984</v>
      </c>
      <c r="IPX23" t="s">
        <v>6984</v>
      </c>
      <c r="IPY23" t="s">
        <v>6984</v>
      </c>
      <c r="IPZ23" t="s">
        <v>6984</v>
      </c>
      <c r="IQA23" t="s">
        <v>6984</v>
      </c>
      <c r="IQB23" t="s">
        <v>6984</v>
      </c>
      <c r="IQC23" t="s">
        <v>6984</v>
      </c>
      <c r="IQD23" t="s">
        <v>6984</v>
      </c>
      <c r="IQE23" t="s">
        <v>6984</v>
      </c>
      <c r="IQF23" t="s">
        <v>6984</v>
      </c>
      <c r="IQG23" t="s">
        <v>6984</v>
      </c>
      <c r="IQH23" t="s">
        <v>6984</v>
      </c>
      <c r="IQI23" t="s">
        <v>6984</v>
      </c>
      <c r="IQJ23" t="s">
        <v>6984</v>
      </c>
      <c r="IQK23" t="s">
        <v>6984</v>
      </c>
      <c r="IQL23" t="s">
        <v>6984</v>
      </c>
      <c r="IQM23" t="s">
        <v>6984</v>
      </c>
      <c r="IQN23" t="s">
        <v>6984</v>
      </c>
      <c r="IQO23" t="s">
        <v>6984</v>
      </c>
      <c r="IQP23" t="s">
        <v>6984</v>
      </c>
      <c r="IQQ23" t="s">
        <v>6984</v>
      </c>
      <c r="IQR23" t="s">
        <v>6984</v>
      </c>
      <c r="IQS23" t="s">
        <v>6984</v>
      </c>
      <c r="IQT23" t="s">
        <v>6984</v>
      </c>
      <c r="IQU23" t="s">
        <v>6984</v>
      </c>
      <c r="IQV23" t="s">
        <v>6984</v>
      </c>
      <c r="IQW23" t="s">
        <v>6984</v>
      </c>
      <c r="IQX23" t="s">
        <v>6984</v>
      </c>
      <c r="IQY23" t="s">
        <v>6984</v>
      </c>
      <c r="IQZ23" t="s">
        <v>6984</v>
      </c>
      <c r="IRA23" t="s">
        <v>6984</v>
      </c>
      <c r="IRB23" t="s">
        <v>6984</v>
      </c>
      <c r="IRC23" t="s">
        <v>6984</v>
      </c>
      <c r="IRD23" t="s">
        <v>6984</v>
      </c>
      <c r="IRE23" t="s">
        <v>6984</v>
      </c>
      <c r="IRF23" t="s">
        <v>6984</v>
      </c>
      <c r="IRG23" t="s">
        <v>6984</v>
      </c>
      <c r="IRH23" t="s">
        <v>6984</v>
      </c>
      <c r="IRI23" t="s">
        <v>6984</v>
      </c>
      <c r="IRJ23" t="s">
        <v>6984</v>
      </c>
      <c r="IRK23" t="s">
        <v>6984</v>
      </c>
      <c r="IRL23" t="s">
        <v>6984</v>
      </c>
      <c r="IRM23" t="s">
        <v>6984</v>
      </c>
      <c r="IRN23" t="s">
        <v>6984</v>
      </c>
      <c r="IRO23" t="s">
        <v>6984</v>
      </c>
      <c r="IRP23" t="s">
        <v>6984</v>
      </c>
      <c r="IRQ23" t="s">
        <v>6984</v>
      </c>
      <c r="IRR23" t="s">
        <v>6984</v>
      </c>
      <c r="IRS23" t="s">
        <v>6984</v>
      </c>
      <c r="IRT23" t="s">
        <v>6984</v>
      </c>
      <c r="IRU23" t="s">
        <v>6984</v>
      </c>
      <c r="IRV23" t="s">
        <v>6984</v>
      </c>
      <c r="IRW23" t="s">
        <v>6984</v>
      </c>
      <c r="IRX23" t="s">
        <v>6984</v>
      </c>
      <c r="IRY23" t="s">
        <v>6984</v>
      </c>
      <c r="IRZ23" t="s">
        <v>6984</v>
      </c>
      <c r="ISA23" t="s">
        <v>6984</v>
      </c>
      <c r="ISB23" t="s">
        <v>6984</v>
      </c>
      <c r="ISC23" t="s">
        <v>6984</v>
      </c>
      <c r="ISD23" t="s">
        <v>6984</v>
      </c>
      <c r="ISE23" t="s">
        <v>6984</v>
      </c>
      <c r="ISF23" t="s">
        <v>6984</v>
      </c>
      <c r="ISG23" t="s">
        <v>6984</v>
      </c>
      <c r="ISH23" t="s">
        <v>6984</v>
      </c>
      <c r="ISI23" t="s">
        <v>6984</v>
      </c>
      <c r="ISJ23" t="s">
        <v>6984</v>
      </c>
      <c r="ISK23" t="s">
        <v>6984</v>
      </c>
      <c r="ISL23" t="s">
        <v>6984</v>
      </c>
      <c r="ISM23" t="s">
        <v>6984</v>
      </c>
      <c r="ISN23" t="s">
        <v>6984</v>
      </c>
      <c r="ISO23" t="s">
        <v>6984</v>
      </c>
      <c r="ISP23" t="s">
        <v>6984</v>
      </c>
      <c r="ISQ23" t="s">
        <v>6984</v>
      </c>
      <c r="ISR23" t="s">
        <v>6984</v>
      </c>
      <c r="ISS23" t="s">
        <v>6984</v>
      </c>
      <c r="IST23" t="s">
        <v>6984</v>
      </c>
      <c r="ISU23" t="s">
        <v>6984</v>
      </c>
      <c r="ISV23" t="s">
        <v>6984</v>
      </c>
      <c r="ISW23" t="s">
        <v>6984</v>
      </c>
      <c r="ISX23" t="s">
        <v>6984</v>
      </c>
      <c r="ISY23" t="s">
        <v>6984</v>
      </c>
      <c r="ISZ23" t="s">
        <v>6984</v>
      </c>
      <c r="ITA23" t="s">
        <v>6984</v>
      </c>
      <c r="ITB23" t="s">
        <v>6984</v>
      </c>
      <c r="ITC23" t="s">
        <v>6984</v>
      </c>
      <c r="ITD23" t="s">
        <v>6984</v>
      </c>
      <c r="ITE23" t="s">
        <v>6984</v>
      </c>
      <c r="ITF23" t="s">
        <v>6984</v>
      </c>
      <c r="ITG23" t="s">
        <v>6984</v>
      </c>
      <c r="ITH23" t="s">
        <v>6984</v>
      </c>
      <c r="ITI23" t="s">
        <v>6984</v>
      </c>
      <c r="ITJ23" t="s">
        <v>6984</v>
      </c>
      <c r="ITK23" t="s">
        <v>6984</v>
      </c>
      <c r="ITL23" t="s">
        <v>6984</v>
      </c>
      <c r="ITM23" t="s">
        <v>6984</v>
      </c>
      <c r="ITN23" t="s">
        <v>6984</v>
      </c>
      <c r="ITO23" t="s">
        <v>6984</v>
      </c>
      <c r="ITP23" t="s">
        <v>6984</v>
      </c>
      <c r="ITQ23" t="s">
        <v>6984</v>
      </c>
      <c r="ITR23" t="s">
        <v>6984</v>
      </c>
      <c r="ITS23" t="s">
        <v>6984</v>
      </c>
      <c r="ITT23" t="s">
        <v>6984</v>
      </c>
      <c r="ITU23" t="s">
        <v>6984</v>
      </c>
      <c r="ITV23" t="s">
        <v>6984</v>
      </c>
      <c r="ITW23" t="s">
        <v>6984</v>
      </c>
      <c r="ITX23" t="s">
        <v>6984</v>
      </c>
      <c r="ITY23" t="s">
        <v>6984</v>
      </c>
      <c r="ITZ23" t="s">
        <v>6984</v>
      </c>
      <c r="IUA23" t="s">
        <v>6984</v>
      </c>
      <c r="IUB23" t="s">
        <v>6984</v>
      </c>
      <c r="IUC23" t="s">
        <v>6984</v>
      </c>
      <c r="IUD23" t="s">
        <v>6984</v>
      </c>
      <c r="IUE23" t="s">
        <v>6984</v>
      </c>
      <c r="IUF23" t="s">
        <v>6984</v>
      </c>
      <c r="IUG23" t="s">
        <v>6984</v>
      </c>
      <c r="IUH23" t="s">
        <v>6984</v>
      </c>
      <c r="IUI23" t="s">
        <v>6984</v>
      </c>
      <c r="IUJ23" t="s">
        <v>6984</v>
      </c>
      <c r="IUK23" t="s">
        <v>6984</v>
      </c>
      <c r="IUL23" t="s">
        <v>6984</v>
      </c>
      <c r="IUM23" t="s">
        <v>6984</v>
      </c>
      <c r="IUN23" t="s">
        <v>6984</v>
      </c>
      <c r="IUO23" t="s">
        <v>6984</v>
      </c>
      <c r="IUP23" t="s">
        <v>6984</v>
      </c>
      <c r="IUQ23" t="s">
        <v>6984</v>
      </c>
      <c r="IUR23" t="s">
        <v>6984</v>
      </c>
      <c r="IUS23" t="s">
        <v>6984</v>
      </c>
      <c r="IUT23" t="s">
        <v>6984</v>
      </c>
      <c r="IUU23" t="s">
        <v>6984</v>
      </c>
      <c r="IUV23" t="s">
        <v>6984</v>
      </c>
      <c r="IUW23" t="s">
        <v>6984</v>
      </c>
      <c r="IUX23" t="s">
        <v>6984</v>
      </c>
      <c r="IUY23" t="s">
        <v>6984</v>
      </c>
      <c r="IUZ23" t="s">
        <v>6984</v>
      </c>
      <c r="IVA23" t="s">
        <v>6984</v>
      </c>
      <c r="IVB23" t="s">
        <v>6984</v>
      </c>
      <c r="IVC23" t="s">
        <v>6984</v>
      </c>
      <c r="IVD23" t="s">
        <v>6984</v>
      </c>
      <c r="IVE23" t="s">
        <v>6984</v>
      </c>
      <c r="IVF23" t="s">
        <v>6984</v>
      </c>
      <c r="IVG23" t="s">
        <v>6984</v>
      </c>
      <c r="IVH23" t="s">
        <v>6984</v>
      </c>
      <c r="IVI23" t="s">
        <v>6984</v>
      </c>
      <c r="IVJ23" t="s">
        <v>6984</v>
      </c>
      <c r="IVK23" t="s">
        <v>6984</v>
      </c>
      <c r="IVL23" t="s">
        <v>6984</v>
      </c>
      <c r="IVM23" t="s">
        <v>6984</v>
      </c>
      <c r="IVN23" t="s">
        <v>6984</v>
      </c>
      <c r="IVO23" t="s">
        <v>6984</v>
      </c>
      <c r="IVP23" t="s">
        <v>6984</v>
      </c>
      <c r="IVQ23" t="s">
        <v>6984</v>
      </c>
      <c r="IVR23" t="s">
        <v>6984</v>
      </c>
      <c r="IVS23" t="s">
        <v>6984</v>
      </c>
      <c r="IVT23" t="s">
        <v>6984</v>
      </c>
      <c r="IVU23" t="s">
        <v>6984</v>
      </c>
      <c r="IVV23" t="s">
        <v>6984</v>
      </c>
      <c r="IVW23" t="s">
        <v>6984</v>
      </c>
      <c r="IVX23" t="s">
        <v>6984</v>
      </c>
      <c r="IVY23" t="s">
        <v>6984</v>
      </c>
      <c r="IVZ23" t="s">
        <v>6984</v>
      </c>
      <c r="IWA23" t="s">
        <v>6984</v>
      </c>
      <c r="IWB23" t="s">
        <v>6984</v>
      </c>
      <c r="IWC23" t="s">
        <v>6984</v>
      </c>
      <c r="IWD23" t="s">
        <v>6984</v>
      </c>
      <c r="IWE23" t="s">
        <v>6984</v>
      </c>
      <c r="IWF23" t="s">
        <v>6984</v>
      </c>
      <c r="IWG23" t="s">
        <v>6984</v>
      </c>
      <c r="IWH23" t="s">
        <v>6984</v>
      </c>
      <c r="IWI23" t="s">
        <v>6984</v>
      </c>
      <c r="IWJ23" t="s">
        <v>6984</v>
      </c>
      <c r="IWK23" t="s">
        <v>6984</v>
      </c>
      <c r="IWL23" t="s">
        <v>6984</v>
      </c>
      <c r="IWM23" t="s">
        <v>6984</v>
      </c>
      <c r="IWN23" t="s">
        <v>6984</v>
      </c>
      <c r="IWO23" t="s">
        <v>6984</v>
      </c>
      <c r="IWP23" t="s">
        <v>6984</v>
      </c>
      <c r="IWQ23" t="s">
        <v>6984</v>
      </c>
      <c r="IWR23" t="s">
        <v>6984</v>
      </c>
      <c r="IWS23" t="s">
        <v>6984</v>
      </c>
      <c r="IWT23" t="s">
        <v>6984</v>
      </c>
      <c r="IWU23" t="s">
        <v>6984</v>
      </c>
      <c r="IWV23" t="s">
        <v>6984</v>
      </c>
      <c r="IWW23" t="s">
        <v>6984</v>
      </c>
      <c r="IWX23" t="s">
        <v>6984</v>
      </c>
      <c r="IWY23" t="s">
        <v>6984</v>
      </c>
      <c r="IWZ23" t="s">
        <v>6984</v>
      </c>
      <c r="IXA23" t="s">
        <v>6984</v>
      </c>
      <c r="IXB23" t="s">
        <v>6984</v>
      </c>
      <c r="IXC23" t="s">
        <v>6984</v>
      </c>
      <c r="IXD23" t="s">
        <v>6984</v>
      </c>
      <c r="IXE23" t="s">
        <v>6984</v>
      </c>
      <c r="IXF23" t="s">
        <v>6984</v>
      </c>
      <c r="IXG23" t="s">
        <v>6984</v>
      </c>
      <c r="IXH23" t="s">
        <v>6984</v>
      </c>
      <c r="IXI23" t="s">
        <v>6984</v>
      </c>
      <c r="IXJ23" t="s">
        <v>6984</v>
      </c>
      <c r="IXK23" t="s">
        <v>6984</v>
      </c>
      <c r="IXL23" t="s">
        <v>6984</v>
      </c>
      <c r="IXM23" t="s">
        <v>6984</v>
      </c>
      <c r="IXN23" t="s">
        <v>6984</v>
      </c>
      <c r="IXO23" t="s">
        <v>6984</v>
      </c>
      <c r="IXP23" t="s">
        <v>6984</v>
      </c>
      <c r="IXQ23" t="s">
        <v>6984</v>
      </c>
      <c r="IXR23" t="s">
        <v>6984</v>
      </c>
      <c r="IXS23" t="s">
        <v>6984</v>
      </c>
      <c r="IXT23" t="s">
        <v>6984</v>
      </c>
      <c r="IXU23" t="s">
        <v>6984</v>
      </c>
      <c r="IXV23" t="s">
        <v>6984</v>
      </c>
      <c r="IXW23" t="s">
        <v>6984</v>
      </c>
      <c r="IXX23" t="s">
        <v>6984</v>
      </c>
      <c r="IXY23" t="s">
        <v>6984</v>
      </c>
      <c r="IXZ23" t="s">
        <v>6984</v>
      </c>
      <c r="IYA23" t="s">
        <v>6984</v>
      </c>
      <c r="IYB23" t="s">
        <v>6984</v>
      </c>
      <c r="IYC23" t="s">
        <v>6984</v>
      </c>
      <c r="IYD23" t="s">
        <v>6984</v>
      </c>
      <c r="IYE23" t="s">
        <v>6984</v>
      </c>
      <c r="IYF23" t="s">
        <v>6984</v>
      </c>
      <c r="IYG23" t="s">
        <v>6984</v>
      </c>
      <c r="IYH23" t="s">
        <v>6984</v>
      </c>
      <c r="IYI23" t="s">
        <v>6984</v>
      </c>
      <c r="IYJ23" t="s">
        <v>6984</v>
      </c>
      <c r="IYK23" t="s">
        <v>6984</v>
      </c>
      <c r="IYL23" t="s">
        <v>6984</v>
      </c>
      <c r="IYM23" t="s">
        <v>6984</v>
      </c>
      <c r="IYN23" t="s">
        <v>6984</v>
      </c>
      <c r="IYO23" t="s">
        <v>6984</v>
      </c>
      <c r="IYP23" t="s">
        <v>6984</v>
      </c>
      <c r="IYQ23" t="s">
        <v>6984</v>
      </c>
      <c r="IYR23" t="s">
        <v>6984</v>
      </c>
      <c r="IYS23" t="s">
        <v>6984</v>
      </c>
      <c r="IYT23" t="s">
        <v>6984</v>
      </c>
      <c r="IYU23" t="s">
        <v>6984</v>
      </c>
      <c r="IYV23" t="s">
        <v>6984</v>
      </c>
      <c r="IYW23" t="s">
        <v>6984</v>
      </c>
      <c r="IYX23" t="s">
        <v>6984</v>
      </c>
      <c r="IYY23" t="s">
        <v>6984</v>
      </c>
      <c r="IYZ23" t="s">
        <v>6984</v>
      </c>
      <c r="IZA23" t="s">
        <v>6984</v>
      </c>
      <c r="IZB23" t="s">
        <v>6984</v>
      </c>
      <c r="IZC23" t="s">
        <v>6984</v>
      </c>
      <c r="IZD23" t="s">
        <v>6984</v>
      </c>
      <c r="IZE23" t="s">
        <v>6984</v>
      </c>
      <c r="IZF23" t="s">
        <v>6984</v>
      </c>
      <c r="IZG23" t="s">
        <v>6984</v>
      </c>
      <c r="IZH23" t="s">
        <v>6984</v>
      </c>
      <c r="IZI23" t="s">
        <v>6984</v>
      </c>
      <c r="IZJ23" t="s">
        <v>6984</v>
      </c>
      <c r="IZK23" t="s">
        <v>6984</v>
      </c>
      <c r="IZL23" t="s">
        <v>6984</v>
      </c>
      <c r="IZM23" t="s">
        <v>6984</v>
      </c>
      <c r="IZN23" t="s">
        <v>6984</v>
      </c>
      <c r="IZO23" t="s">
        <v>6984</v>
      </c>
      <c r="IZP23" t="s">
        <v>6984</v>
      </c>
      <c r="IZQ23" t="s">
        <v>6984</v>
      </c>
      <c r="IZR23" t="s">
        <v>6984</v>
      </c>
      <c r="IZS23" t="s">
        <v>6984</v>
      </c>
      <c r="IZT23" t="s">
        <v>6984</v>
      </c>
      <c r="IZU23" t="s">
        <v>6984</v>
      </c>
      <c r="IZV23" t="s">
        <v>6984</v>
      </c>
      <c r="IZW23" t="s">
        <v>6984</v>
      </c>
      <c r="IZX23" t="s">
        <v>6984</v>
      </c>
      <c r="IZY23" t="s">
        <v>6984</v>
      </c>
      <c r="IZZ23" t="s">
        <v>6984</v>
      </c>
      <c r="JAA23" t="s">
        <v>6984</v>
      </c>
      <c r="JAB23" t="s">
        <v>6984</v>
      </c>
      <c r="JAC23" t="s">
        <v>6984</v>
      </c>
      <c r="JAD23" t="s">
        <v>6984</v>
      </c>
      <c r="JAE23" t="s">
        <v>6984</v>
      </c>
      <c r="JAF23" t="s">
        <v>6984</v>
      </c>
      <c r="JAG23" t="s">
        <v>6984</v>
      </c>
      <c r="JAH23" t="s">
        <v>6984</v>
      </c>
      <c r="JAI23" t="s">
        <v>6984</v>
      </c>
      <c r="JAJ23" t="s">
        <v>6984</v>
      </c>
      <c r="JAK23" t="s">
        <v>6984</v>
      </c>
      <c r="JAL23" t="s">
        <v>6984</v>
      </c>
      <c r="JAM23" t="s">
        <v>6984</v>
      </c>
      <c r="JAN23" t="s">
        <v>6984</v>
      </c>
      <c r="JAO23" t="s">
        <v>6984</v>
      </c>
      <c r="JAP23" t="s">
        <v>6984</v>
      </c>
      <c r="JAQ23" t="s">
        <v>6984</v>
      </c>
      <c r="JAR23" t="s">
        <v>6984</v>
      </c>
      <c r="JAS23" t="s">
        <v>6984</v>
      </c>
      <c r="JAT23" t="s">
        <v>6984</v>
      </c>
      <c r="JAU23" t="s">
        <v>6984</v>
      </c>
      <c r="JAV23" t="s">
        <v>6984</v>
      </c>
      <c r="JAW23" t="s">
        <v>6984</v>
      </c>
      <c r="JAX23" t="s">
        <v>6984</v>
      </c>
      <c r="JAY23" t="s">
        <v>6984</v>
      </c>
      <c r="JAZ23" t="s">
        <v>6984</v>
      </c>
      <c r="JBA23" t="s">
        <v>6984</v>
      </c>
      <c r="JBB23" t="s">
        <v>6984</v>
      </c>
      <c r="JBC23" t="s">
        <v>6984</v>
      </c>
      <c r="JBD23" t="s">
        <v>6984</v>
      </c>
      <c r="JBE23" t="s">
        <v>6984</v>
      </c>
      <c r="JBF23" t="s">
        <v>6984</v>
      </c>
      <c r="JBG23" t="s">
        <v>6984</v>
      </c>
      <c r="JBH23" t="s">
        <v>6984</v>
      </c>
      <c r="JBI23" t="s">
        <v>6984</v>
      </c>
      <c r="JBJ23" t="s">
        <v>6984</v>
      </c>
      <c r="JBK23" t="s">
        <v>6984</v>
      </c>
      <c r="JBL23" t="s">
        <v>6984</v>
      </c>
      <c r="JBM23" t="s">
        <v>6984</v>
      </c>
      <c r="JBN23" t="s">
        <v>6984</v>
      </c>
      <c r="JBO23" t="s">
        <v>6984</v>
      </c>
      <c r="JBP23" t="s">
        <v>6984</v>
      </c>
      <c r="JBQ23" t="s">
        <v>6984</v>
      </c>
      <c r="JBR23" t="s">
        <v>6984</v>
      </c>
      <c r="JBS23" t="s">
        <v>6984</v>
      </c>
      <c r="JBT23" t="s">
        <v>6984</v>
      </c>
      <c r="JBU23" t="s">
        <v>6984</v>
      </c>
      <c r="JBV23" t="s">
        <v>6984</v>
      </c>
      <c r="JBW23" t="s">
        <v>6984</v>
      </c>
      <c r="JBX23" t="s">
        <v>6984</v>
      </c>
      <c r="JBY23" t="s">
        <v>6984</v>
      </c>
      <c r="JBZ23" t="s">
        <v>6984</v>
      </c>
      <c r="JCA23" t="s">
        <v>6984</v>
      </c>
      <c r="JCB23" t="s">
        <v>6984</v>
      </c>
      <c r="JCC23" t="s">
        <v>6984</v>
      </c>
      <c r="JCD23" t="s">
        <v>6984</v>
      </c>
      <c r="JCE23" t="s">
        <v>6984</v>
      </c>
      <c r="JCF23" t="s">
        <v>6984</v>
      </c>
      <c r="JCG23" t="s">
        <v>6984</v>
      </c>
      <c r="JCH23" t="s">
        <v>6984</v>
      </c>
      <c r="JCI23" t="s">
        <v>6984</v>
      </c>
      <c r="JCJ23" t="s">
        <v>6984</v>
      </c>
      <c r="JCK23" t="s">
        <v>6984</v>
      </c>
      <c r="JCL23" t="s">
        <v>6984</v>
      </c>
      <c r="JCM23" t="s">
        <v>6984</v>
      </c>
      <c r="JCN23" t="s">
        <v>6984</v>
      </c>
      <c r="JCO23" t="s">
        <v>6984</v>
      </c>
      <c r="JCP23" t="s">
        <v>6984</v>
      </c>
      <c r="JCQ23" t="s">
        <v>6984</v>
      </c>
      <c r="JCR23" t="s">
        <v>6984</v>
      </c>
      <c r="JCS23" t="s">
        <v>6984</v>
      </c>
      <c r="JCT23" t="s">
        <v>6984</v>
      </c>
      <c r="JCU23" t="s">
        <v>6984</v>
      </c>
      <c r="JCV23" t="s">
        <v>6984</v>
      </c>
      <c r="JCW23" t="s">
        <v>6984</v>
      </c>
      <c r="JCX23" t="s">
        <v>6984</v>
      </c>
      <c r="JCY23" t="s">
        <v>6984</v>
      </c>
      <c r="JCZ23" t="s">
        <v>6984</v>
      </c>
      <c r="JDA23" t="s">
        <v>6984</v>
      </c>
      <c r="JDB23" t="s">
        <v>6984</v>
      </c>
      <c r="JDC23" t="s">
        <v>6984</v>
      </c>
      <c r="JDD23" t="s">
        <v>6984</v>
      </c>
      <c r="JDE23" t="s">
        <v>6984</v>
      </c>
      <c r="JDF23" t="s">
        <v>6984</v>
      </c>
      <c r="JDG23" t="s">
        <v>6984</v>
      </c>
      <c r="JDH23" t="s">
        <v>6984</v>
      </c>
      <c r="JDI23" t="s">
        <v>6984</v>
      </c>
      <c r="JDJ23" t="s">
        <v>6984</v>
      </c>
      <c r="JDK23" t="s">
        <v>6984</v>
      </c>
      <c r="JDL23" t="s">
        <v>6984</v>
      </c>
      <c r="JDM23" t="s">
        <v>6984</v>
      </c>
      <c r="JDN23" t="s">
        <v>6984</v>
      </c>
      <c r="JDO23" t="s">
        <v>6984</v>
      </c>
      <c r="JDP23" t="s">
        <v>6984</v>
      </c>
      <c r="JDQ23" t="s">
        <v>6984</v>
      </c>
      <c r="JDR23" t="s">
        <v>6984</v>
      </c>
      <c r="JDS23" t="s">
        <v>6984</v>
      </c>
      <c r="JDT23" t="s">
        <v>6984</v>
      </c>
      <c r="JDU23" t="s">
        <v>6984</v>
      </c>
      <c r="JDV23" t="s">
        <v>6984</v>
      </c>
      <c r="JDW23" t="s">
        <v>6984</v>
      </c>
      <c r="JDX23" t="s">
        <v>6984</v>
      </c>
      <c r="JDY23" t="s">
        <v>6984</v>
      </c>
      <c r="JDZ23" t="s">
        <v>6984</v>
      </c>
      <c r="JEA23" t="s">
        <v>6984</v>
      </c>
      <c r="JEB23" t="s">
        <v>6984</v>
      </c>
      <c r="JEC23" t="s">
        <v>6984</v>
      </c>
      <c r="JED23" t="s">
        <v>6984</v>
      </c>
      <c r="JEE23" t="s">
        <v>6984</v>
      </c>
      <c r="JEF23" t="s">
        <v>6984</v>
      </c>
      <c r="JEG23" t="s">
        <v>6984</v>
      </c>
      <c r="JEH23" t="s">
        <v>6984</v>
      </c>
      <c r="JEI23" t="s">
        <v>6984</v>
      </c>
      <c r="JEJ23" t="s">
        <v>6984</v>
      </c>
      <c r="JEK23" t="s">
        <v>6984</v>
      </c>
      <c r="JEL23" t="s">
        <v>6984</v>
      </c>
      <c r="JEM23" t="s">
        <v>6984</v>
      </c>
      <c r="JEN23" t="s">
        <v>6984</v>
      </c>
      <c r="JEO23" t="s">
        <v>6984</v>
      </c>
      <c r="JEP23" t="s">
        <v>6984</v>
      </c>
      <c r="JEQ23" t="s">
        <v>6984</v>
      </c>
      <c r="JER23" t="s">
        <v>6984</v>
      </c>
      <c r="JES23" t="s">
        <v>6984</v>
      </c>
      <c r="JET23" t="s">
        <v>6984</v>
      </c>
      <c r="JEU23" t="s">
        <v>6984</v>
      </c>
      <c r="JEV23" t="s">
        <v>6984</v>
      </c>
      <c r="JEW23" t="s">
        <v>6984</v>
      </c>
      <c r="JEX23" t="s">
        <v>6984</v>
      </c>
      <c r="JEY23" t="s">
        <v>6984</v>
      </c>
      <c r="JEZ23" t="s">
        <v>6984</v>
      </c>
      <c r="JFA23" t="s">
        <v>6984</v>
      </c>
      <c r="JFB23" t="s">
        <v>6984</v>
      </c>
      <c r="JFC23" t="s">
        <v>6984</v>
      </c>
      <c r="JFD23" t="s">
        <v>6984</v>
      </c>
      <c r="JFE23" t="s">
        <v>6984</v>
      </c>
      <c r="JFF23" t="s">
        <v>6984</v>
      </c>
      <c r="JFG23" t="s">
        <v>6984</v>
      </c>
      <c r="JFH23" t="s">
        <v>6984</v>
      </c>
      <c r="JFI23" t="s">
        <v>6984</v>
      </c>
      <c r="JFJ23" t="s">
        <v>6984</v>
      </c>
      <c r="JFK23" t="s">
        <v>6984</v>
      </c>
      <c r="JFL23" t="s">
        <v>6984</v>
      </c>
      <c r="JFM23" t="s">
        <v>6984</v>
      </c>
      <c r="JFN23" t="s">
        <v>6984</v>
      </c>
      <c r="JFO23" t="s">
        <v>6984</v>
      </c>
      <c r="JFP23" t="s">
        <v>6984</v>
      </c>
      <c r="JFQ23" t="s">
        <v>6984</v>
      </c>
      <c r="JFR23" t="s">
        <v>6984</v>
      </c>
      <c r="JFS23" t="s">
        <v>6984</v>
      </c>
      <c r="JFT23" t="s">
        <v>6984</v>
      </c>
      <c r="JFU23" t="s">
        <v>6984</v>
      </c>
      <c r="JFV23" t="s">
        <v>6984</v>
      </c>
      <c r="JFW23" t="s">
        <v>6984</v>
      </c>
      <c r="JFX23" t="s">
        <v>6984</v>
      </c>
      <c r="JFY23" t="s">
        <v>6984</v>
      </c>
      <c r="JFZ23" t="s">
        <v>6984</v>
      </c>
      <c r="JGA23" t="s">
        <v>6984</v>
      </c>
      <c r="JGB23" t="s">
        <v>6984</v>
      </c>
      <c r="JGC23" t="s">
        <v>6984</v>
      </c>
      <c r="JGD23" t="s">
        <v>6984</v>
      </c>
      <c r="JGE23" t="s">
        <v>6984</v>
      </c>
      <c r="JGF23" t="s">
        <v>6984</v>
      </c>
      <c r="JGG23" t="s">
        <v>6984</v>
      </c>
      <c r="JGH23" t="s">
        <v>6984</v>
      </c>
      <c r="JGI23" t="s">
        <v>6984</v>
      </c>
      <c r="JGJ23" t="s">
        <v>6984</v>
      </c>
      <c r="JGK23" t="s">
        <v>6984</v>
      </c>
      <c r="JGL23" t="s">
        <v>6984</v>
      </c>
      <c r="JGM23" t="s">
        <v>6984</v>
      </c>
      <c r="JGN23" t="s">
        <v>6984</v>
      </c>
      <c r="JGO23" t="s">
        <v>6984</v>
      </c>
      <c r="JGP23" t="s">
        <v>6984</v>
      </c>
      <c r="JGQ23" t="s">
        <v>6984</v>
      </c>
      <c r="JGR23" t="s">
        <v>6984</v>
      </c>
      <c r="JGS23" t="s">
        <v>6984</v>
      </c>
      <c r="JGT23" t="s">
        <v>6984</v>
      </c>
      <c r="JGU23" t="s">
        <v>6984</v>
      </c>
      <c r="JGV23" t="s">
        <v>6984</v>
      </c>
      <c r="JGW23" t="s">
        <v>6984</v>
      </c>
      <c r="JGX23" t="s">
        <v>6984</v>
      </c>
      <c r="JGY23" t="s">
        <v>6984</v>
      </c>
      <c r="JGZ23" t="s">
        <v>6984</v>
      </c>
      <c r="JHA23" t="s">
        <v>6984</v>
      </c>
      <c r="JHB23" t="s">
        <v>6984</v>
      </c>
      <c r="JHC23" t="s">
        <v>6984</v>
      </c>
      <c r="JHD23" t="s">
        <v>6984</v>
      </c>
      <c r="JHE23" t="s">
        <v>6984</v>
      </c>
      <c r="JHF23" t="s">
        <v>6984</v>
      </c>
      <c r="JHG23" t="s">
        <v>6984</v>
      </c>
      <c r="JHH23" t="s">
        <v>6984</v>
      </c>
      <c r="JHI23" t="s">
        <v>6984</v>
      </c>
      <c r="JHJ23" t="s">
        <v>6984</v>
      </c>
      <c r="JHK23" t="s">
        <v>6984</v>
      </c>
      <c r="JHL23" t="s">
        <v>6984</v>
      </c>
      <c r="JHM23" t="s">
        <v>6984</v>
      </c>
      <c r="JHN23" t="s">
        <v>6984</v>
      </c>
      <c r="JHO23" t="s">
        <v>6984</v>
      </c>
      <c r="JHP23" t="s">
        <v>6984</v>
      </c>
      <c r="JHQ23" t="s">
        <v>6984</v>
      </c>
      <c r="JHR23" t="s">
        <v>6984</v>
      </c>
      <c r="JHS23" t="s">
        <v>6984</v>
      </c>
      <c r="JHT23" t="s">
        <v>6984</v>
      </c>
      <c r="JHU23" t="s">
        <v>6984</v>
      </c>
      <c r="JHV23" t="s">
        <v>6984</v>
      </c>
      <c r="JHW23" t="s">
        <v>6984</v>
      </c>
      <c r="JHX23" t="s">
        <v>6984</v>
      </c>
      <c r="JHY23" t="s">
        <v>6984</v>
      </c>
      <c r="JHZ23" t="s">
        <v>6984</v>
      </c>
      <c r="JIA23" t="s">
        <v>6984</v>
      </c>
      <c r="JIB23" t="s">
        <v>6984</v>
      </c>
      <c r="JIC23" t="s">
        <v>6984</v>
      </c>
      <c r="JID23" t="s">
        <v>6984</v>
      </c>
      <c r="JIE23" t="s">
        <v>6984</v>
      </c>
      <c r="JIF23" t="s">
        <v>6984</v>
      </c>
      <c r="JIG23" t="s">
        <v>6984</v>
      </c>
      <c r="JIH23" t="s">
        <v>6984</v>
      </c>
      <c r="JII23" t="s">
        <v>6984</v>
      </c>
      <c r="JIJ23" t="s">
        <v>6984</v>
      </c>
      <c r="JIK23" t="s">
        <v>6984</v>
      </c>
      <c r="JIL23" t="s">
        <v>6984</v>
      </c>
      <c r="JIM23" t="s">
        <v>6984</v>
      </c>
      <c r="JIN23" t="s">
        <v>6984</v>
      </c>
      <c r="JIO23" t="s">
        <v>6984</v>
      </c>
      <c r="JIP23" t="s">
        <v>6984</v>
      </c>
      <c r="JIQ23" t="s">
        <v>6984</v>
      </c>
      <c r="JIR23" t="s">
        <v>6984</v>
      </c>
      <c r="JIS23" t="s">
        <v>6984</v>
      </c>
      <c r="JIT23" t="s">
        <v>6984</v>
      </c>
      <c r="JIU23" t="s">
        <v>6984</v>
      </c>
      <c r="JIV23" t="s">
        <v>6984</v>
      </c>
      <c r="JIW23" t="s">
        <v>6984</v>
      </c>
      <c r="JIX23" t="s">
        <v>6984</v>
      </c>
      <c r="JIY23" t="s">
        <v>6984</v>
      </c>
      <c r="JIZ23" t="s">
        <v>6984</v>
      </c>
      <c r="JJA23" t="s">
        <v>6984</v>
      </c>
    </row>
    <row r="24" spans="1:7021" x14ac:dyDescent="0.25">
      <c r="A24" t="s">
        <v>7005</v>
      </c>
      <c r="B24">
        <v>96.05</v>
      </c>
      <c r="C24">
        <v>96.05</v>
      </c>
      <c r="D24">
        <v>96.05</v>
      </c>
      <c r="E24">
        <v>96.1</v>
      </c>
      <c r="F24">
        <v>96.04</v>
      </c>
      <c r="G24">
        <v>96.07</v>
      </c>
      <c r="H24">
        <v>96.114999999999995</v>
      </c>
      <c r="I24">
        <v>96.055000000000007</v>
      </c>
      <c r="J24">
        <v>96.004999999999995</v>
      </c>
      <c r="K24">
        <v>95.99</v>
      </c>
      <c r="L24">
        <v>95.98</v>
      </c>
      <c r="M24">
        <v>96.084999999999994</v>
      </c>
      <c r="N24">
        <v>96.11</v>
      </c>
      <c r="O24">
        <v>96.03</v>
      </c>
      <c r="P24">
        <v>96.025000000000006</v>
      </c>
      <c r="Q24">
        <v>96.084999999999994</v>
      </c>
      <c r="R24">
        <v>96.064999999999998</v>
      </c>
      <c r="S24">
        <v>96.03</v>
      </c>
      <c r="T24">
        <v>96.08</v>
      </c>
      <c r="U24">
        <v>95.99</v>
      </c>
      <c r="V24">
        <v>95.99</v>
      </c>
      <c r="W24">
        <v>95.924999999999997</v>
      </c>
      <c r="X24">
        <v>95.87</v>
      </c>
      <c r="Y24">
        <v>95.974999999999994</v>
      </c>
      <c r="Z24">
        <v>95.97</v>
      </c>
      <c r="AA24">
        <v>95.995000000000005</v>
      </c>
      <c r="AB24">
        <v>95.974999999999994</v>
      </c>
      <c r="AC24">
        <v>95.9</v>
      </c>
      <c r="AD24">
        <v>95.935000000000002</v>
      </c>
      <c r="AE24">
        <v>95.974999999999994</v>
      </c>
      <c r="AF24">
        <v>96.045000000000002</v>
      </c>
      <c r="AG24">
        <v>96.045000000000002</v>
      </c>
      <c r="AH24">
        <v>96.144999999999996</v>
      </c>
      <c r="AI24">
        <v>96.094999999999999</v>
      </c>
      <c r="AJ24">
        <v>96.075000000000003</v>
      </c>
      <c r="AK24">
        <v>96.1</v>
      </c>
      <c r="AL24">
        <v>96.155000000000001</v>
      </c>
      <c r="AM24">
        <v>96.2</v>
      </c>
      <c r="AN24">
        <v>96.194999999999993</v>
      </c>
      <c r="AO24">
        <v>96.135000000000005</v>
      </c>
      <c r="AP24">
        <v>96.084999999999994</v>
      </c>
      <c r="AQ24">
        <v>96.025000000000006</v>
      </c>
      <c r="AR24">
        <v>95.954999999999998</v>
      </c>
      <c r="AS24">
        <v>95.94</v>
      </c>
      <c r="AT24">
        <v>95.92</v>
      </c>
      <c r="AU24">
        <v>96.01</v>
      </c>
      <c r="AV24">
        <v>96.01</v>
      </c>
      <c r="AW24">
        <v>96.08</v>
      </c>
      <c r="AX24">
        <v>96.034999999999997</v>
      </c>
      <c r="AY24">
        <v>96</v>
      </c>
      <c r="AZ24">
        <v>95.88</v>
      </c>
      <c r="BA24">
        <v>96.02</v>
      </c>
      <c r="BB24">
        <v>95.974999999999994</v>
      </c>
      <c r="BC24">
        <v>96.135000000000005</v>
      </c>
      <c r="BD24">
        <v>96.215000000000003</v>
      </c>
      <c r="BE24">
        <v>96.385000000000005</v>
      </c>
      <c r="BF24">
        <v>96.305000000000007</v>
      </c>
      <c r="BG24">
        <v>96.144999999999996</v>
      </c>
      <c r="BH24">
        <v>96.204999999999998</v>
      </c>
      <c r="BI24">
        <v>96.1</v>
      </c>
      <c r="BJ24">
        <v>96.07</v>
      </c>
      <c r="BK24">
        <v>95.95</v>
      </c>
      <c r="BL24">
        <v>95.995000000000005</v>
      </c>
      <c r="BM24">
        <v>96.02</v>
      </c>
      <c r="BN24">
        <v>95.995000000000005</v>
      </c>
      <c r="BO24">
        <v>96.075000000000003</v>
      </c>
      <c r="BP24">
        <v>96.09</v>
      </c>
      <c r="BQ24">
        <v>96.05</v>
      </c>
      <c r="BR24">
        <v>96.07</v>
      </c>
      <c r="BS24">
        <v>96.034999999999997</v>
      </c>
      <c r="BT24">
        <v>96.015000000000001</v>
      </c>
      <c r="BU24">
        <v>96.07</v>
      </c>
      <c r="BV24">
        <v>96.034999999999997</v>
      </c>
      <c r="BW24">
        <v>96.064999999999998</v>
      </c>
      <c r="BX24">
        <v>96.16</v>
      </c>
      <c r="BY24">
        <v>96.03</v>
      </c>
      <c r="BZ24">
        <v>96.055000000000007</v>
      </c>
      <c r="CA24">
        <v>96.08</v>
      </c>
      <c r="CB24">
        <v>96.15</v>
      </c>
      <c r="CC24">
        <v>96.194999999999993</v>
      </c>
      <c r="CD24">
        <v>96.14</v>
      </c>
      <c r="CE24">
        <v>96.08</v>
      </c>
      <c r="CF24">
        <v>96.125</v>
      </c>
      <c r="CG24">
        <v>96.055000000000007</v>
      </c>
      <c r="CH24">
        <v>95.92</v>
      </c>
      <c r="CI24">
        <v>95.894999999999996</v>
      </c>
      <c r="CJ24">
        <v>95.81</v>
      </c>
      <c r="CK24">
        <v>95.765000000000001</v>
      </c>
      <c r="CL24">
        <v>95.765000000000001</v>
      </c>
      <c r="CM24">
        <v>95.84</v>
      </c>
      <c r="CN24">
        <v>95.84</v>
      </c>
      <c r="CO24">
        <v>95.775000000000006</v>
      </c>
      <c r="CP24">
        <v>95.66</v>
      </c>
      <c r="CQ24">
        <v>95.795000000000002</v>
      </c>
      <c r="CR24">
        <v>95.844999999999999</v>
      </c>
      <c r="CS24">
        <v>95.844999999999999</v>
      </c>
      <c r="CT24">
        <v>95.9</v>
      </c>
      <c r="CU24">
        <v>95.95</v>
      </c>
      <c r="CV24">
        <v>95.84</v>
      </c>
      <c r="CW24">
        <v>95.814999999999998</v>
      </c>
      <c r="CX24">
        <v>95.77</v>
      </c>
      <c r="CY24">
        <v>95.84</v>
      </c>
      <c r="CZ24">
        <v>95.795000000000002</v>
      </c>
      <c r="DA24">
        <v>95.805000000000007</v>
      </c>
      <c r="DB24">
        <v>95.83</v>
      </c>
      <c r="DC24">
        <v>95.72</v>
      </c>
      <c r="DD24">
        <v>95.72</v>
      </c>
      <c r="DE24">
        <v>95.76</v>
      </c>
      <c r="DF24">
        <v>95.79</v>
      </c>
      <c r="DG24">
        <v>95.745000000000005</v>
      </c>
      <c r="DH24">
        <v>95.745000000000005</v>
      </c>
      <c r="DI24">
        <v>95.745000000000005</v>
      </c>
      <c r="DJ24">
        <v>95.704999999999998</v>
      </c>
      <c r="DK24">
        <v>95.56</v>
      </c>
      <c r="DL24">
        <v>95.55</v>
      </c>
      <c r="DM24">
        <v>95.59</v>
      </c>
      <c r="DN24">
        <v>95.67</v>
      </c>
      <c r="DO24">
        <v>95.655000000000001</v>
      </c>
      <c r="DP24">
        <v>95.665000000000006</v>
      </c>
      <c r="DQ24">
        <v>95.75</v>
      </c>
      <c r="DR24">
        <v>95.805000000000007</v>
      </c>
      <c r="DS24">
        <v>95.82</v>
      </c>
      <c r="DT24">
        <v>95.814999999999998</v>
      </c>
      <c r="DU24">
        <v>95.814999999999998</v>
      </c>
      <c r="DV24">
        <v>95.855000000000004</v>
      </c>
      <c r="DW24">
        <v>95.775000000000006</v>
      </c>
      <c r="DX24">
        <v>95.83</v>
      </c>
      <c r="DY24">
        <v>95.814999999999998</v>
      </c>
      <c r="DZ24">
        <v>95.814999999999998</v>
      </c>
      <c r="EA24">
        <v>95.79</v>
      </c>
      <c r="EB24">
        <v>95.89</v>
      </c>
      <c r="EC24">
        <v>95.82</v>
      </c>
      <c r="ED24">
        <v>95.95</v>
      </c>
      <c r="EE24">
        <v>96.09</v>
      </c>
      <c r="EF24">
        <v>96.075000000000003</v>
      </c>
      <c r="EG24">
        <v>96.075000000000003</v>
      </c>
      <c r="EH24">
        <v>96.16</v>
      </c>
      <c r="EI24">
        <v>96.22</v>
      </c>
      <c r="EJ24">
        <v>96.28</v>
      </c>
      <c r="EK24">
        <v>96.305000000000007</v>
      </c>
      <c r="EL24">
        <v>96.344999999999999</v>
      </c>
      <c r="EM24">
        <v>96.31</v>
      </c>
      <c r="EN24">
        <v>96.295000000000002</v>
      </c>
      <c r="EO24">
        <v>96.265000000000001</v>
      </c>
      <c r="EP24">
        <v>96.3</v>
      </c>
      <c r="EQ24">
        <v>96.3</v>
      </c>
      <c r="ER24">
        <v>96.265000000000001</v>
      </c>
      <c r="ES24">
        <v>96.265000000000001</v>
      </c>
      <c r="ET24">
        <v>96.2</v>
      </c>
      <c r="EU24">
        <v>96.265000000000001</v>
      </c>
      <c r="EV24">
        <v>96.114999999999995</v>
      </c>
      <c r="EW24">
        <v>96.08</v>
      </c>
      <c r="EX24">
        <v>96.08</v>
      </c>
      <c r="EY24">
        <v>96.11</v>
      </c>
      <c r="EZ24">
        <v>96.075000000000003</v>
      </c>
      <c r="FA24">
        <v>96.064999999999998</v>
      </c>
      <c r="FB24">
        <v>96.07</v>
      </c>
      <c r="FC24">
        <v>96.034999999999997</v>
      </c>
      <c r="FD24">
        <v>96.06</v>
      </c>
      <c r="FE24">
        <v>96.12</v>
      </c>
      <c r="FF24">
        <v>96.174999999999997</v>
      </c>
      <c r="FG24">
        <v>96.13</v>
      </c>
      <c r="FH24">
        <v>96.025000000000006</v>
      </c>
      <c r="FI24">
        <v>96.2</v>
      </c>
      <c r="FJ24">
        <v>96.174999999999997</v>
      </c>
      <c r="FK24">
        <v>96.114999999999995</v>
      </c>
      <c r="FL24">
        <v>96.174999999999997</v>
      </c>
      <c r="FM24">
        <v>96.19</v>
      </c>
      <c r="FN24">
        <v>96.165000000000006</v>
      </c>
      <c r="FO24">
        <v>96.16</v>
      </c>
      <c r="FP24">
        <v>96.2</v>
      </c>
      <c r="FQ24">
        <v>96.224999999999994</v>
      </c>
      <c r="FR24">
        <v>96.174999999999997</v>
      </c>
      <c r="FS24">
        <v>96.204999999999998</v>
      </c>
      <c r="FT24">
        <v>96.23</v>
      </c>
      <c r="FU24">
        <v>96.344999999999999</v>
      </c>
      <c r="FV24">
        <v>96.33</v>
      </c>
      <c r="FW24">
        <v>96.43</v>
      </c>
      <c r="FX24">
        <v>96.41</v>
      </c>
      <c r="FY24">
        <v>96.314999999999998</v>
      </c>
      <c r="FZ24">
        <v>96.355000000000004</v>
      </c>
      <c r="GA24">
        <v>96.344999999999999</v>
      </c>
      <c r="GB24">
        <v>96.39</v>
      </c>
      <c r="GC24">
        <v>96.415000000000006</v>
      </c>
      <c r="GD24">
        <v>96.424999999999997</v>
      </c>
      <c r="GE24">
        <v>96.46</v>
      </c>
      <c r="GF24">
        <v>96.545000000000002</v>
      </c>
      <c r="GG24">
        <v>96.614999999999995</v>
      </c>
      <c r="GH24">
        <v>96.66</v>
      </c>
      <c r="GI24">
        <v>96.59</v>
      </c>
      <c r="GJ24">
        <v>96.63</v>
      </c>
      <c r="GK24">
        <v>96.6</v>
      </c>
      <c r="GL24">
        <v>96.58</v>
      </c>
      <c r="GM24">
        <v>96.62</v>
      </c>
      <c r="GN24">
        <v>96.625</v>
      </c>
      <c r="GO24">
        <v>96.64</v>
      </c>
      <c r="GP24">
        <v>96.625</v>
      </c>
      <c r="GQ24">
        <v>96.7</v>
      </c>
      <c r="GR24">
        <v>96.784999999999997</v>
      </c>
      <c r="GS24">
        <v>96.78</v>
      </c>
      <c r="GT24">
        <v>96.76</v>
      </c>
      <c r="GU24">
        <v>96.75</v>
      </c>
      <c r="GV24">
        <v>96.78</v>
      </c>
      <c r="GW24">
        <v>96.784999999999997</v>
      </c>
      <c r="GX24">
        <v>96.73</v>
      </c>
      <c r="GY24">
        <v>96.704999999999998</v>
      </c>
      <c r="GZ24">
        <v>96.71</v>
      </c>
      <c r="HA24">
        <v>96.674999999999997</v>
      </c>
      <c r="HB24">
        <v>96.625</v>
      </c>
      <c r="HC24">
        <v>96.545000000000002</v>
      </c>
      <c r="HD24">
        <v>96.545000000000002</v>
      </c>
      <c r="HE24">
        <v>96.59</v>
      </c>
      <c r="HF24">
        <v>96.605000000000004</v>
      </c>
      <c r="HG24">
        <v>96.62</v>
      </c>
      <c r="HH24">
        <v>96.64</v>
      </c>
      <c r="HI24">
        <v>96.63</v>
      </c>
      <c r="HJ24">
        <v>96.57</v>
      </c>
      <c r="HK24">
        <v>96.644999999999996</v>
      </c>
      <c r="HL24">
        <v>96.62</v>
      </c>
      <c r="HM24">
        <v>96.57</v>
      </c>
      <c r="HN24">
        <v>96.53</v>
      </c>
      <c r="HO24">
        <v>96.495000000000005</v>
      </c>
      <c r="HP24">
        <v>96.57</v>
      </c>
      <c r="HQ24">
        <v>96.534999999999997</v>
      </c>
      <c r="HR24">
        <v>96.504999999999995</v>
      </c>
      <c r="HS24">
        <v>96.465000000000003</v>
      </c>
      <c r="HT24">
        <v>96.385000000000005</v>
      </c>
      <c r="HU24">
        <v>96.394999999999996</v>
      </c>
      <c r="HV24">
        <v>96.48</v>
      </c>
      <c r="HW24">
        <v>96.575000000000003</v>
      </c>
      <c r="HX24">
        <v>96.584999999999994</v>
      </c>
      <c r="HY24">
        <v>96.45</v>
      </c>
      <c r="HZ24">
        <v>96.35</v>
      </c>
      <c r="IA24">
        <v>96.314999999999998</v>
      </c>
      <c r="IB24">
        <v>96.28</v>
      </c>
      <c r="IC24">
        <v>96.254999999999995</v>
      </c>
      <c r="ID24">
        <v>96.21</v>
      </c>
      <c r="IE24">
        <v>96.165000000000006</v>
      </c>
      <c r="IF24">
        <v>96.23</v>
      </c>
      <c r="IG24">
        <v>96.215000000000003</v>
      </c>
      <c r="IH24">
        <v>96.224999999999994</v>
      </c>
      <c r="II24">
        <v>96.275000000000006</v>
      </c>
      <c r="IJ24">
        <v>96.33</v>
      </c>
      <c r="IK24">
        <v>96.305000000000007</v>
      </c>
      <c r="IL24">
        <v>96.234999999999999</v>
      </c>
      <c r="IM24">
        <v>96.28</v>
      </c>
      <c r="IN24">
        <v>96.3</v>
      </c>
      <c r="IO24">
        <v>96.21</v>
      </c>
      <c r="IP24">
        <v>96.18</v>
      </c>
      <c r="IQ24">
        <v>96.22</v>
      </c>
      <c r="IR24">
        <v>96.215000000000003</v>
      </c>
      <c r="IS24">
        <v>96.144999999999996</v>
      </c>
      <c r="IT24">
        <v>96.144999999999996</v>
      </c>
      <c r="IU24">
        <v>96.04</v>
      </c>
      <c r="IV24">
        <v>95.995000000000005</v>
      </c>
      <c r="IW24">
        <v>96.155000000000001</v>
      </c>
      <c r="IX24">
        <v>96.22</v>
      </c>
      <c r="IY24">
        <v>96.185000000000002</v>
      </c>
      <c r="IZ24">
        <v>96.275000000000006</v>
      </c>
      <c r="JA24">
        <v>96.265000000000001</v>
      </c>
      <c r="JB24">
        <v>96.24</v>
      </c>
      <c r="JC24">
        <v>96.25</v>
      </c>
      <c r="JD24">
        <v>96.32</v>
      </c>
      <c r="JE24">
        <v>96.32</v>
      </c>
      <c r="JF24">
        <v>96.26</v>
      </c>
      <c r="JG24">
        <v>96.34</v>
      </c>
      <c r="JH24">
        <v>96.28</v>
      </c>
      <c r="JI24">
        <v>96.224999999999994</v>
      </c>
      <c r="JJ24">
        <v>96.11</v>
      </c>
      <c r="JK24">
        <v>96.03</v>
      </c>
      <c r="JL24">
        <v>96.075000000000003</v>
      </c>
      <c r="JM24">
        <v>96.22</v>
      </c>
      <c r="JN24">
        <v>96.215000000000003</v>
      </c>
      <c r="JO24">
        <v>96.18</v>
      </c>
      <c r="JP24">
        <v>96.094999999999999</v>
      </c>
      <c r="JQ24">
        <v>95.97</v>
      </c>
      <c r="JR24">
        <v>95.94</v>
      </c>
      <c r="JS24">
        <v>95.88</v>
      </c>
      <c r="JT24">
        <v>95.98</v>
      </c>
      <c r="JU24">
        <v>96.055000000000007</v>
      </c>
      <c r="JV24">
        <v>96.055000000000007</v>
      </c>
      <c r="JW24">
        <v>96.04</v>
      </c>
      <c r="JX24">
        <v>96.05</v>
      </c>
      <c r="JY24">
        <v>96.055000000000007</v>
      </c>
      <c r="JZ24">
        <v>96.025000000000006</v>
      </c>
      <c r="KA24">
        <v>96.04</v>
      </c>
      <c r="KB24">
        <v>96.084999999999994</v>
      </c>
      <c r="KC24">
        <v>96.09</v>
      </c>
      <c r="KD24">
        <v>96.015000000000001</v>
      </c>
      <c r="KE24">
        <v>95.98</v>
      </c>
      <c r="KF24">
        <v>95.954999999999998</v>
      </c>
      <c r="KG24">
        <v>96.01</v>
      </c>
      <c r="KH24">
        <v>95.98</v>
      </c>
      <c r="KI24">
        <v>96.02</v>
      </c>
      <c r="KJ24">
        <v>95.98</v>
      </c>
      <c r="KK24">
        <v>95.96</v>
      </c>
      <c r="KL24">
        <v>95.88</v>
      </c>
      <c r="KM24">
        <v>95.864999999999995</v>
      </c>
      <c r="KN24">
        <v>95.795000000000002</v>
      </c>
      <c r="KO24">
        <v>95.864999999999995</v>
      </c>
      <c r="KP24">
        <v>95.784999999999997</v>
      </c>
      <c r="KQ24">
        <v>95.745000000000005</v>
      </c>
      <c r="KR24">
        <v>95.8</v>
      </c>
      <c r="KS24">
        <v>95.875</v>
      </c>
      <c r="KT24">
        <v>95.855000000000004</v>
      </c>
      <c r="KU24">
        <v>95.87</v>
      </c>
      <c r="KV24">
        <v>95.834999999999994</v>
      </c>
      <c r="KW24">
        <v>95.894999999999996</v>
      </c>
      <c r="KX24">
        <v>95.82</v>
      </c>
      <c r="KY24">
        <v>95.855000000000004</v>
      </c>
      <c r="KZ24">
        <v>95.995000000000005</v>
      </c>
      <c r="LA24">
        <v>95.905000000000001</v>
      </c>
      <c r="LB24">
        <v>95.935000000000002</v>
      </c>
      <c r="LC24">
        <v>96.09</v>
      </c>
      <c r="LD24">
        <v>96.03</v>
      </c>
      <c r="LE24">
        <v>96.075000000000003</v>
      </c>
      <c r="LF24">
        <v>96.13</v>
      </c>
      <c r="LG24">
        <v>96.08</v>
      </c>
      <c r="LH24">
        <v>96.07</v>
      </c>
      <c r="LI24">
        <v>96.114999999999995</v>
      </c>
      <c r="LJ24">
        <v>96.245000000000005</v>
      </c>
      <c r="LK24">
        <v>96.245000000000005</v>
      </c>
      <c r="LL24">
        <v>96.215000000000003</v>
      </c>
      <c r="LM24">
        <v>96.18</v>
      </c>
      <c r="LN24">
        <v>96.15</v>
      </c>
      <c r="LO24">
        <v>96.185000000000002</v>
      </c>
      <c r="LP24">
        <v>96.125</v>
      </c>
      <c r="LQ24">
        <v>96.13</v>
      </c>
      <c r="LR24">
        <v>96.18</v>
      </c>
      <c r="LS24">
        <v>96.14</v>
      </c>
      <c r="LT24">
        <v>96.18</v>
      </c>
      <c r="LU24">
        <v>96.174999999999997</v>
      </c>
      <c r="LV24">
        <v>96.29</v>
      </c>
      <c r="LW24">
        <v>96.31</v>
      </c>
      <c r="LX24">
        <v>96.36</v>
      </c>
      <c r="LY24">
        <v>96.36</v>
      </c>
      <c r="LZ24">
        <v>96.37</v>
      </c>
      <c r="MA24">
        <v>96.364999999999995</v>
      </c>
      <c r="MB24">
        <v>96.325000000000003</v>
      </c>
      <c r="MC24">
        <v>96.234999999999999</v>
      </c>
      <c r="MD24">
        <v>96.26</v>
      </c>
      <c r="ME24">
        <v>96.2</v>
      </c>
      <c r="MF24">
        <v>96.194999999999993</v>
      </c>
      <c r="MG24">
        <v>96.18</v>
      </c>
      <c r="MH24">
        <v>96.2</v>
      </c>
      <c r="MI24">
        <v>96.21</v>
      </c>
      <c r="MJ24">
        <v>96.12</v>
      </c>
      <c r="MK24">
        <v>96.094999999999999</v>
      </c>
      <c r="ML24">
        <v>96.14</v>
      </c>
      <c r="MM24">
        <v>96.12</v>
      </c>
      <c r="MN24">
        <v>96.12</v>
      </c>
      <c r="MO24">
        <v>96.16</v>
      </c>
      <c r="MP24">
        <v>96.13</v>
      </c>
      <c r="MQ24">
        <v>96.09</v>
      </c>
      <c r="MR24">
        <v>96.21</v>
      </c>
      <c r="MS24">
        <v>96.19</v>
      </c>
      <c r="MT24">
        <v>96.204999999999998</v>
      </c>
      <c r="MU24">
        <v>96.29</v>
      </c>
      <c r="MV24">
        <v>96.305000000000007</v>
      </c>
      <c r="MW24">
        <v>96.21</v>
      </c>
      <c r="MX24">
        <v>96.34</v>
      </c>
      <c r="MY24">
        <v>96.51</v>
      </c>
      <c r="MZ24">
        <v>96.394999999999996</v>
      </c>
      <c r="NA24">
        <v>96.31</v>
      </c>
      <c r="NB24">
        <v>96.24</v>
      </c>
      <c r="NC24">
        <v>96.16</v>
      </c>
      <c r="ND24">
        <v>96.185000000000002</v>
      </c>
      <c r="NE24">
        <v>96.15</v>
      </c>
      <c r="NF24">
        <v>96.194999999999993</v>
      </c>
      <c r="NG24">
        <v>96.25</v>
      </c>
      <c r="NH24">
        <v>96.194999999999993</v>
      </c>
      <c r="NI24">
        <v>96.185000000000002</v>
      </c>
      <c r="NJ24">
        <v>96.24</v>
      </c>
      <c r="NK24">
        <v>96.26</v>
      </c>
      <c r="NL24">
        <v>96.385000000000005</v>
      </c>
      <c r="NM24">
        <v>96.385000000000005</v>
      </c>
      <c r="NN24">
        <v>96.39</v>
      </c>
      <c r="NO24">
        <v>96.35</v>
      </c>
      <c r="NP24">
        <v>96.36</v>
      </c>
      <c r="NQ24">
        <v>96.364999999999995</v>
      </c>
      <c r="NR24">
        <v>96.355000000000004</v>
      </c>
      <c r="NS24">
        <v>96.41</v>
      </c>
      <c r="NT24">
        <v>96.504999999999995</v>
      </c>
      <c r="NU24">
        <v>96.46</v>
      </c>
      <c r="NV24">
        <v>96.51</v>
      </c>
      <c r="NW24">
        <v>96.51</v>
      </c>
      <c r="NX24">
        <v>96.534999999999997</v>
      </c>
      <c r="NY24">
        <v>96.6</v>
      </c>
      <c r="NZ24">
        <v>96.495000000000005</v>
      </c>
      <c r="OA24">
        <v>96.48</v>
      </c>
      <c r="OB24">
        <v>96.48</v>
      </c>
      <c r="OC24">
        <v>96.515000000000001</v>
      </c>
      <c r="OD24">
        <v>96.545000000000002</v>
      </c>
      <c r="OE24">
        <v>96.53</v>
      </c>
      <c r="OF24">
        <v>96.495000000000005</v>
      </c>
      <c r="OG24">
        <v>96.53</v>
      </c>
      <c r="OH24">
        <v>96.504999999999995</v>
      </c>
      <c r="OI24">
        <v>96.405000000000001</v>
      </c>
      <c r="OJ24">
        <v>96.26</v>
      </c>
      <c r="OK24">
        <v>96.215000000000003</v>
      </c>
      <c r="OL24">
        <v>96.21</v>
      </c>
      <c r="OM24">
        <v>96.32</v>
      </c>
      <c r="ON24">
        <v>96.32</v>
      </c>
      <c r="OO24">
        <v>96.26</v>
      </c>
      <c r="OP24">
        <v>96.13</v>
      </c>
      <c r="OQ24">
        <v>96.17</v>
      </c>
      <c r="OR24">
        <v>96.055000000000007</v>
      </c>
      <c r="OS24">
        <v>96.14</v>
      </c>
      <c r="OT24">
        <v>96.075000000000003</v>
      </c>
      <c r="OU24">
        <v>96.04</v>
      </c>
      <c r="OV24">
        <v>95.92</v>
      </c>
      <c r="OW24">
        <v>95.99</v>
      </c>
      <c r="OX24">
        <v>95.99</v>
      </c>
      <c r="OY24">
        <v>95.98</v>
      </c>
      <c r="OZ24">
        <v>95.995000000000005</v>
      </c>
      <c r="PA24">
        <v>95.954999999999998</v>
      </c>
      <c r="PB24">
        <v>95.935000000000002</v>
      </c>
      <c r="PC24">
        <v>95.834999999999994</v>
      </c>
      <c r="PD24">
        <v>95.92</v>
      </c>
      <c r="PE24">
        <v>95.734999999999999</v>
      </c>
      <c r="PF24">
        <v>95.74</v>
      </c>
      <c r="PG24">
        <v>95.73</v>
      </c>
      <c r="PH24">
        <v>95.864999999999995</v>
      </c>
      <c r="PI24">
        <v>95.79</v>
      </c>
      <c r="PJ24">
        <v>95.674999999999997</v>
      </c>
      <c r="PK24">
        <v>95.784999999999997</v>
      </c>
      <c r="PL24">
        <v>95.665000000000006</v>
      </c>
      <c r="PM24">
        <v>95.534999999999997</v>
      </c>
      <c r="PN24">
        <v>95.444999999999993</v>
      </c>
      <c r="PO24">
        <v>95.435000000000002</v>
      </c>
      <c r="PP24">
        <v>95.444999999999993</v>
      </c>
      <c r="PQ24">
        <v>95.44</v>
      </c>
      <c r="PR24">
        <v>95.325000000000003</v>
      </c>
      <c r="PS24">
        <v>95.465000000000003</v>
      </c>
      <c r="PT24">
        <v>95.46</v>
      </c>
      <c r="PU24">
        <v>95.355000000000004</v>
      </c>
      <c r="PV24">
        <v>95.28</v>
      </c>
      <c r="PW24">
        <v>95.41</v>
      </c>
      <c r="PX24">
        <v>95.465000000000003</v>
      </c>
      <c r="PY24">
        <v>95.605000000000004</v>
      </c>
      <c r="PZ24">
        <v>95.69</v>
      </c>
      <c r="QA24">
        <v>95.584999999999994</v>
      </c>
      <c r="QB24">
        <v>95.7</v>
      </c>
      <c r="QC24">
        <v>95.614999999999995</v>
      </c>
      <c r="QD24">
        <v>95.61</v>
      </c>
      <c r="QE24">
        <v>95.474999999999994</v>
      </c>
      <c r="QF24">
        <v>95.534999999999997</v>
      </c>
      <c r="QG24">
        <v>95.51</v>
      </c>
      <c r="QH24">
        <v>95.454999999999998</v>
      </c>
      <c r="QI24">
        <v>95.584999999999994</v>
      </c>
      <c r="QJ24">
        <v>95.73</v>
      </c>
      <c r="QK24">
        <v>95.69</v>
      </c>
      <c r="QL24">
        <v>95.694999999999993</v>
      </c>
      <c r="QM24">
        <v>95.77</v>
      </c>
      <c r="QN24">
        <v>95.78</v>
      </c>
      <c r="QO24">
        <v>95.92</v>
      </c>
      <c r="QP24">
        <v>95.89</v>
      </c>
      <c r="QQ24">
        <v>96.055000000000007</v>
      </c>
      <c r="QR24">
        <v>96.055000000000007</v>
      </c>
      <c r="QS24">
        <v>96.094999999999999</v>
      </c>
      <c r="QT24">
        <v>96.075000000000003</v>
      </c>
      <c r="QU24">
        <v>96.105000000000004</v>
      </c>
      <c r="QV24">
        <v>96.16</v>
      </c>
      <c r="QW24">
        <v>96.14</v>
      </c>
      <c r="QX24">
        <v>96.1</v>
      </c>
      <c r="QY24">
        <v>96.14</v>
      </c>
      <c r="QZ24">
        <v>96.13</v>
      </c>
      <c r="RA24">
        <v>96.114999999999995</v>
      </c>
      <c r="RB24">
        <v>96.12</v>
      </c>
      <c r="RC24">
        <v>96.19</v>
      </c>
      <c r="RD24">
        <v>96.19</v>
      </c>
      <c r="RE24">
        <v>96.284999999999997</v>
      </c>
      <c r="RF24">
        <v>96.26</v>
      </c>
      <c r="RG24">
        <v>96.265000000000001</v>
      </c>
      <c r="RH24">
        <v>96.194999999999993</v>
      </c>
      <c r="RI24">
        <v>96.155000000000001</v>
      </c>
      <c r="RJ24">
        <v>96.155000000000001</v>
      </c>
      <c r="RK24">
        <v>96.174999999999997</v>
      </c>
      <c r="RL24">
        <v>96.025000000000006</v>
      </c>
      <c r="RM24">
        <v>96</v>
      </c>
      <c r="RN24">
        <v>96.094999999999999</v>
      </c>
      <c r="RO24">
        <v>96.02</v>
      </c>
      <c r="RP24">
        <v>96.105000000000004</v>
      </c>
      <c r="RQ24">
        <v>96.14</v>
      </c>
      <c r="RR24">
        <v>96.2</v>
      </c>
      <c r="RS24">
        <v>96.185000000000002</v>
      </c>
      <c r="RT24">
        <v>96.284999999999997</v>
      </c>
      <c r="RU24">
        <v>96.39</v>
      </c>
      <c r="RV24">
        <v>96.355000000000004</v>
      </c>
      <c r="RW24">
        <v>96.29</v>
      </c>
      <c r="RX24">
        <v>96.295000000000002</v>
      </c>
      <c r="RY24">
        <v>96.144999999999996</v>
      </c>
      <c r="RZ24">
        <v>96.284999999999997</v>
      </c>
      <c r="SA24">
        <v>96.334999999999994</v>
      </c>
      <c r="SB24">
        <v>96.424999999999997</v>
      </c>
      <c r="SC24">
        <v>96.42</v>
      </c>
      <c r="SD24">
        <v>96.375</v>
      </c>
      <c r="SE24">
        <v>96.545000000000002</v>
      </c>
      <c r="SF24">
        <v>96.484999999999999</v>
      </c>
      <c r="SG24">
        <v>96.545000000000002</v>
      </c>
      <c r="SH24">
        <v>96.555000000000007</v>
      </c>
      <c r="SI24">
        <v>96.534999999999997</v>
      </c>
      <c r="SJ24">
        <v>96.665000000000006</v>
      </c>
      <c r="SK24">
        <v>96.625</v>
      </c>
      <c r="SL24">
        <v>96.6</v>
      </c>
      <c r="SM24">
        <v>96.56</v>
      </c>
      <c r="SN24">
        <v>96.575000000000003</v>
      </c>
      <c r="SO24">
        <v>96.52</v>
      </c>
      <c r="SP24">
        <v>96.43</v>
      </c>
      <c r="SQ24">
        <v>96.364999999999995</v>
      </c>
      <c r="SR24">
        <v>96.32</v>
      </c>
      <c r="SS24">
        <v>96.38</v>
      </c>
      <c r="ST24">
        <v>96.52</v>
      </c>
      <c r="SU24">
        <v>96.625</v>
      </c>
      <c r="SV24">
        <v>96.625</v>
      </c>
      <c r="SW24">
        <v>96.66</v>
      </c>
      <c r="SX24">
        <v>96.6</v>
      </c>
      <c r="SY24">
        <v>96.745000000000005</v>
      </c>
      <c r="SZ24">
        <v>96.68</v>
      </c>
      <c r="TA24">
        <v>96.71</v>
      </c>
      <c r="TB24">
        <v>96.68</v>
      </c>
      <c r="TC24">
        <v>96.62</v>
      </c>
      <c r="TD24">
        <v>96.694999999999993</v>
      </c>
      <c r="TE24">
        <v>96.724999999999994</v>
      </c>
      <c r="TF24">
        <v>96.66</v>
      </c>
      <c r="TG24">
        <v>96.66</v>
      </c>
      <c r="TH24">
        <v>96.694999999999993</v>
      </c>
      <c r="TI24">
        <v>96.63</v>
      </c>
      <c r="TJ24">
        <v>96.564999999999998</v>
      </c>
      <c r="TK24">
        <v>96.64</v>
      </c>
      <c r="TL24">
        <v>96.644999999999996</v>
      </c>
      <c r="TM24">
        <v>96.655000000000001</v>
      </c>
      <c r="TN24">
        <v>96.58</v>
      </c>
      <c r="TO24">
        <v>96.68</v>
      </c>
      <c r="TP24">
        <v>96.665000000000006</v>
      </c>
      <c r="TQ24">
        <v>96.635000000000005</v>
      </c>
      <c r="TR24">
        <v>96.734999999999999</v>
      </c>
      <c r="TS24">
        <v>96.72</v>
      </c>
      <c r="TT24">
        <v>96.67</v>
      </c>
      <c r="TU24">
        <v>96.56</v>
      </c>
      <c r="TV24">
        <v>96.56</v>
      </c>
      <c r="TW24">
        <v>96.55</v>
      </c>
      <c r="TX24">
        <v>96.64</v>
      </c>
      <c r="TY24">
        <v>96.644999999999996</v>
      </c>
      <c r="TZ24">
        <v>96.605000000000004</v>
      </c>
      <c r="UA24">
        <v>96.605000000000004</v>
      </c>
      <c r="UB24">
        <v>96.655000000000001</v>
      </c>
      <c r="UC24">
        <v>96.72</v>
      </c>
      <c r="UD24">
        <v>96.74</v>
      </c>
      <c r="UE24">
        <v>96.79</v>
      </c>
      <c r="UF24">
        <v>96.83</v>
      </c>
      <c r="UG24">
        <v>96.885000000000005</v>
      </c>
      <c r="UH24">
        <v>96.84</v>
      </c>
      <c r="UI24">
        <v>96.77</v>
      </c>
      <c r="UJ24">
        <v>96.77</v>
      </c>
      <c r="UK24">
        <v>96.814999999999998</v>
      </c>
      <c r="UL24">
        <v>96.89</v>
      </c>
      <c r="UM24">
        <v>96.875</v>
      </c>
      <c r="UN24">
        <v>96.864999999999995</v>
      </c>
      <c r="UO24">
        <v>96.73</v>
      </c>
      <c r="UP24">
        <v>96.86</v>
      </c>
      <c r="UQ24">
        <v>96.795000000000002</v>
      </c>
      <c r="UR24">
        <v>96.87</v>
      </c>
      <c r="US24">
        <v>96.92</v>
      </c>
      <c r="UT24">
        <v>96.85</v>
      </c>
      <c r="UU24">
        <v>96.79</v>
      </c>
      <c r="UV24">
        <v>96.834999999999994</v>
      </c>
      <c r="UW24">
        <v>96.784999999999997</v>
      </c>
      <c r="UX24">
        <v>96.805000000000007</v>
      </c>
      <c r="UY24">
        <v>96.78</v>
      </c>
      <c r="UZ24">
        <v>96.84</v>
      </c>
      <c r="VA24">
        <v>96.894999999999996</v>
      </c>
      <c r="VB24">
        <v>96.95</v>
      </c>
      <c r="VC24">
        <v>96.94</v>
      </c>
      <c r="VD24">
        <v>96.935000000000002</v>
      </c>
      <c r="VE24">
        <v>96.984999999999999</v>
      </c>
      <c r="VF24">
        <v>97.06</v>
      </c>
      <c r="VG24">
        <v>97.045000000000002</v>
      </c>
      <c r="VH24">
        <v>97.015000000000001</v>
      </c>
      <c r="VI24">
        <v>96.93</v>
      </c>
      <c r="VJ24">
        <v>96.875</v>
      </c>
      <c r="VK24">
        <v>96.83</v>
      </c>
      <c r="VL24">
        <v>96.805000000000007</v>
      </c>
      <c r="VM24">
        <v>96.795000000000002</v>
      </c>
      <c r="VN24">
        <v>96.825000000000003</v>
      </c>
      <c r="VO24">
        <v>96.944999999999993</v>
      </c>
      <c r="VP24">
        <v>96.894999999999996</v>
      </c>
      <c r="VQ24">
        <v>96.825000000000003</v>
      </c>
      <c r="VR24">
        <v>96.77</v>
      </c>
      <c r="VS24">
        <v>96.84</v>
      </c>
      <c r="VT24">
        <v>96.93</v>
      </c>
      <c r="VU24">
        <v>96.765000000000001</v>
      </c>
      <c r="VV24">
        <v>96.834999999999994</v>
      </c>
      <c r="VW24">
        <v>96.745000000000005</v>
      </c>
      <c r="VX24">
        <v>96.81</v>
      </c>
      <c r="VY24">
        <v>96.8</v>
      </c>
      <c r="VZ24">
        <v>96.6</v>
      </c>
      <c r="WA24">
        <v>96.635000000000005</v>
      </c>
      <c r="WB24">
        <v>96.62</v>
      </c>
      <c r="WC24">
        <v>96.55</v>
      </c>
      <c r="WD24">
        <v>96.55</v>
      </c>
      <c r="WE24">
        <v>96.435000000000002</v>
      </c>
      <c r="WF24">
        <v>96.54</v>
      </c>
      <c r="WG24">
        <v>96.625</v>
      </c>
      <c r="WH24">
        <v>96.62</v>
      </c>
      <c r="WI24">
        <v>96.57</v>
      </c>
      <c r="WJ24">
        <v>96.62</v>
      </c>
      <c r="WK24">
        <v>96.564999999999998</v>
      </c>
      <c r="WL24">
        <v>96.534999999999997</v>
      </c>
      <c r="WM24">
        <v>96.685000000000002</v>
      </c>
      <c r="WN24">
        <v>96.685000000000002</v>
      </c>
      <c r="WO24">
        <v>96.665000000000006</v>
      </c>
      <c r="WP24">
        <v>96.7</v>
      </c>
      <c r="WQ24">
        <v>96.765000000000001</v>
      </c>
      <c r="WR24">
        <v>96.775000000000006</v>
      </c>
      <c r="WS24">
        <v>96.75</v>
      </c>
      <c r="WT24">
        <v>96.81</v>
      </c>
      <c r="WU24">
        <v>96.834999999999994</v>
      </c>
      <c r="WV24">
        <v>96.814999999999998</v>
      </c>
      <c r="WW24">
        <v>96.844999999999999</v>
      </c>
      <c r="WX24">
        <v>96.924999999999997</v>
      </c>
      <c r="WY24">
        <v>97.034999999999997</v>
      </c>
      <c r="WZ24">
        <v>97.06</v>
      </c>
      <c r="XA24">
        <v>96.935000000000002</v>
      </c>
      <c r="XB24">
        <v>96.905000000000001</v>
      </c>
      <c r="XC24">
        <v>96.944999999999993</v>
      </c>
      <c r="XD24">
        <v>96.995000000000005</v>
      </c>
      <c r="XE24">
        <v>97.02</v>
      </c>
      <c r="XF24">
        <v>97.02</v>
      </c>
      <c r="XG24">
        <v>96.944999999999993</v>
      </c>
      <c r="XH24">
        <v>96.98</v>
      </c>
      <c r="XI24">
        <v>97.07</v>
      </c>
      <c r="XJ24">
        <v>97.1</v>
      </c>
      <c r="XK24">
        <v>96.95</v>
      </c>
      <c r="XL24">
        <v>96.995000000000005</v>
      </c>
      <c r="XM24">
        <v>96.995000000000005</v>
      </c>
      <c r="XN24">
        <v>97.02</v>
      </c>
      <c r="XO24">
        <v>96.91</v>
      </c>
      <c r="XP24">
        <v>96.855000000000004</v>
      </c>
      <c r="XQ24">
        <v>96.97</v>
      </c>
      <c r="XR24">
        <v>96.924999999999997</v>
      </c>
      <c r="XS24">
        <v>96.77</v>
      </c>
      <c r="XT24">
        <v>96.76</v>
      </c>
      <c r="XU24">
        <v>96.655000000000001</v>
      </c>
      <c r="XV24">
        <v>96.59</v>
      </c>
      <c r="XW24">
        <v>96.59</v>
      </c>
      <c r="XX24">
        <v>96.555000000000007</v>
      </c>
      <c r="XY24">
        <v>96.5</v>
      </c>
      <c r="XZ24">
        <v>96.58</v>
      </c>
      <c r="YA24">
        <v>96.665000000000006</v>
      </c>
      <c r="YB24">
        <v>96.665000000000006</v>
      </c>
      <c r="YC24">
        <v>96.694999999999993</v>
      </c>
      <c r="YD24">
        <v>96.67</v>
      </c>
      <c r="YE24">
        <v>96.745000000000005</v>
      </c>
      <c r="YF24">
        <v>96.88</v>
      </c>
      <c r="YG24">
        <v>96.965000000000003</v>
      </c>
      <c r="YH24">
        <v>97.03</v>
      </c>
      <c r="YI24">
        <v>96.97</v>
      </c>
      <c r="YJ24">
        <v>96.97</v>
      </c>
      <c r="YK24">
        <v>96.87</v>
      </c>
      <c r="YL24">
        <v>96.905000000000001</v>
      </c>
      <c r="YM24">
        <v>96.995000000000005</v>
      </c>
      <c r="YN24">
        <v>97.11</v>
      </c>
      <c r="YO24">
        <v>97</v>
      </c>
      <c r="YP24">
        <v>96.905000000000001</v>
      </c>
      <c r="YQ24">
        <v>97.004999999999995</v>
      </c>
      <c r="YR24">
        <v>96.96</v>
      </c>
      <c r="YS24">
        <v>96.8</v>
      </c>
      <c r="YT24">
        <v>96.765000000000001</v>
      </c>
      <c r="YU24">
        <v>96.81</v>
      </c>
      <c r="YV24">
        <v>96.795000000000002</v>
      </c>
      <c r="YW24">
        <v>96.78</v>
      </c>
      <c r="YX24">
        <v>96.78</v>
      </c>
      <c r="YY24">
        <v>96.71</v>
      </c>
      <c r="YZ24">
        <v>96.614999999999995</v>
      </c>
      <c r="ZA24">
        <v>96.605000000000004</v>
      </c>
      <c r="ZB24">
        <v>96.674999999999997</v>
      </c>
      <c r="ZC24">
        <v>96.73</v>
      </c>
      <c r="ZD24">
        <v>96.61</v>
      </c>
      <c r="ZE24">
        <v>96.534999999999997</v>
      </c>
      <c r="ZF24">
        <v>96.584999999999994</v>
      </c>
      <c r="ZG24">
        <v>96.56</v>
      </c>
      <c r="ZH24">
        <v>96.26</v>
      </c>
      <c r="ZI24">
        <v>96.284999999999997</v>
      </c>
      <c r="ZJ24">
        <v>96.18</v>
      </c>
      <c r="ZK24">
        <v>96.19</v>
      </c>
      <c r="ZL24">
        <v>96.215000000000003</v>
      </c>
      <c r="ZM24">
        <v>96.23</v>
      </c>
      <c r="ZN24">
        <v>96.21</v>
      </c>
      <c r="ZO24">
        <v>96.19</v>
      </c>
      <c r="ZP24">
        <v>96.22</v>
      </c>
      <c r="ZQ24">
        <v>96.314999999999998</v>
      </c>
      <c r="ZR24">
        <v>96.254999999999995</v>
      </c>
      <c r="ZS24">
        <v>96.165000000000006</v>
      </c>
      <c r="ZT24">
        <v>96.025000000000006</v>
      </c>
      <c r="ZU24">
        <v>96.07</v>
      </c>
      <c r="ZV24">
        <v>96.075000000000003</v>
      </c>
      <c r="ZW24">
        <v>96.194999999999993</v>
      </c>
      <c r="ZX24">
        <v>96.33</v>
      </c>
      <c r="ZY24">
        <v>96.31</v>
      </c>
      <c r="ZZ24">
        <v>96.314999999999998</v>
      </c>
      <c r="AAA24">
        <v>96.36</v>
      </c>
      <c r="AAB24">
        <v>96.344999999999999</v>
      </c>
      <c r="AAC24">
        <v>96.305000000000007</v>
      </c>
      <c r="AAD24">
        <v>96.26</v>
      </c>
      <c r="AAE24">
        <v>96.35</v>
      </c>
      <c r="AAF24">
        <v>96.4</v>
      </c>
      <c r="AAG24">
        <v>96.45</v>
      </c>
      <c r="AAH24">
        <v>96.62</v>
      </c>
      <c r="AAI24">
        <v>96.52</v>
      </c>
      <c r="AAJ24">
        <v>96.344999999999999</v>
      </c>
      <c r="AAK24">
        <v>96.42</v>
      </c>
      <c r="AAL24">
        <v>96.465000000000003</v>
      </c>
      <c r="AAM24">
        <v>96.29</v>
      </c>
      <c r="AAN24">
        <v>96.394999999999996</v>
      </c>
      <c r="AAO24">
        <v>96.6</v>
      </c>
      <c r="AAP24">
        <v>96.54</v>
      </c>
      <c r="AAQ24">
        <v>96.72</v>
      </c>
      <c r="AAR24">
        <v>96.665000000000006</v>
      </c>
      <c r="AAS24">
        <v>96.754999999999995</v>
      </c>
      <c r="AAT24">
        <v>96.775000000000006</v>
      </c>
      <c r="AAU24">
        <v>96.79</v>
      </c>
      <c r="AAV24">
        <v>96.86</v>
      </c>
      <c r="AAW24">
        <v>96.83</v>
      </c>
      <c r="AAX24">
        <v>96.85</v>
      </c>
      <c r="AAY24">
        <v>96.894999999999996</v>
      </c>
      <c r="AAZ24">
        <v>96.915000000000006</v>
      </c>
      <c r="ABA24">
        <v>96.94</v>
      </c>
      <c r="ABB24">
        <v>96.844999999999999</v>
      </c>
      <c r="ABC24">
        <v>97.02</v>
      </c>
      <c r="ABD24">
        <v>97.02</v>
      </c>
      <c r="ABE24">
        <v>96.96</v>
      </c>
      <c r="ABF24">
        <v>97.135000000000005</v>
      </c>
      <c r="ABG24">
        <v>97.18</v>
      </c>
      <c r="ABH24">
        <v>97.15</v>
      </c>
      <c r="ABI24">
        <v>97.265000000000001</v>
      </c>
      <c r="ABJ24">
        <v>97.29</v>
      </c>
      <c r="ABK24">
        <v>97.204999999999998</v>
      </c>
      <c r="ABL24">
        <v>97.27</v>
      </c>
      <c r="ABM24">
        <v>97.31</v>
      </c>
      <c r="ABN24">
        <v>97.34</v>
      </c>
      <c r="ABO24">
        <v>97.474999999999994</v>
      </c>
      <c r="ABP24">
        <v>97.46</v>
      </c>
      <c r="ABQ24">
        <v>97.54</v>
      </c>
      <c r="ABR24">
        <v>97.53</v>
      </c>
      <c r="ABS24">
        <v>97.44</v>
      </c>
      <c r="ABT24">
        <v>97.385000000000005</v>
      </c>
      <c r="ABU24">
        <v>97.53</v>
      </c>
      <c r="ABV24">
        <v>97.54</v>
      </c>
      <c r="ABW24">
        <v>97.54</v>
      </c>
      <c r="ABX24">
        <v>97.45</v>
      </c>
      <c r="ABY24">
        <v>97.6</v>
      </c>
      <c r="ABZ24">
        <v>97.51</v>
      </c>
      <c r="ACA24">
        <v>97.5</v>
      </c>
      <c r="ACB24">
        <v>97.61</v>
      </c>
      <c r="ACC24">
        <v>97.55</v>
      </c>
      <c r="ACD24">
        <v>97.5</v>
      </c>
      <c r="ACE24">
        <v>97.444999999999993</v>
      </c>
      <c r="ACF24">
        <v>97.38</v>
      </c>
      <c r="ACG24">
        <v>97.344999999999999</v>
      </c>
      <c r="ACH24">
        <v>97.39</v>
      </c>
      <c r="ACI24">
        <v>97.275000000000006</v>
      </c>
      <c r="ACJ24">
        <v>97.16</v>
      </c>
      <c r="ACK24">
        <v>97.2</v>
      </c>
      <c r="ACL24">
        <v>97.24</v>
      </c>
      <c r="ACM24">
        <v>97.265000000000001</v>
      </c>
      <c r="ACN24">
        <v>97.2</v>
      </c>
      <c r="ACO24">
        <v>97.245000000000005</v>
      </c>
      <c r="ACP24">
        <v>97.135000000000005</v>
      </c>
      <c r="ACQ24">
        <v>97.084999999999994</v>
      </c>
      <c r="ACR24">
        <v>96.935000000000002</v>
      </c>
      <c r="ACS24">
        <v>97.015000000000001</v>
      </c>
      <c r="ACT24">
        <v>97.135000000000005</v>
      </c>
      <c r="ACU24">
        <v>97.22</v>
      </c>
      <c r="ACV24">
        <v>97.135000000000005</v>
      </c>
      <c r="ACW24">
        <v>97.135000000000005</v>
      </c>
      <c r="ACX24">
        <v>97.094999999999999</v>
      </c>
      <c r="ACY24">
        <v>96.97</v>
      </c>
      <c r="ACZ24">
        <v>96.88</v>
      </c>
      <c r="ADA24">
        <v>96.9</v>
      </c>
      <c r="ADB24">
        <v>96.954999999999998</v>
      </c>
      <c r="ADC24">
        <v>97.05</v>
      </c>
      <c r="ADD24">
        <v>96.95</v>
      </c>
      <c r="ADE24">
        <v>96.825000000000003</v>
      </c>
      <c r="ADF24">
        <v>96.92</v>
      </c>
      <c r="ADG24">
        <v>96.92</v>
      </c>
      <c r="ADH24">
        <v>96.85</v>
      </c>
      <c r="ADI24">
        <v>96.72</v>
      </c>
      <c r="ADJ24">
        <v>96.685000000000002</v>
      </c>
      <c r="ADK24">
        <v>96.79</v>
      </c>
      <c r="ADL24">
        <v>97.01</v>
      </c>
      <c r="ADM24">
        <v>97.09</v>
      </c>
      <c r="ADN24">
        <v>97.09</v>
      </c>
      <c r="ADO24">
        <v>97.14</v>
      </c>
      <c r="ADP24">
        <v>97.045000000000002</v>
      </c>
      <c r="ADQ24">
        <v>97.15</v>
      </c>
      <c r="ADR24">
        <v>97.2</v>
      </c>
      <c r="ADS24">
        <v>97.16</v>
      </c>
      <c r="ADT24">
        <v>97.224999999999994</v>
      </c>
      <c r="ADU24">
        <v>97.314999999999998</v>
      </c>
      <c r="ADV24">
        <v>97.314999999999998</v>
      </c>
      <c r="ADW24">
        <v>97.3</v>
      </c>
      <c r="ADX24">
        <v>97.32</v>
      </c>
      <c r="ADY24">
        <v>97.31</v>
      </c>
      <c r="ADZ24">
        <v>97.245000000000005</v>
      </c>
      <c r="AEA24">
        <v>97.31</v>
      </c>
      <c r="AEB24">
        <v>97.234999999999999</v>
      </c>
      <c r="AEC24">
        <v>97.21</v>
      </c>
      <c r="AED24">
        <v>97.094999999999999</v>
      </c>
      <c r="AEE24">
        <v>97.17</v>
      </c>
      <c r="AEF24">
        <v>97.094999999999999</v>
      </c>
      <c r="AEG24">
        <v>97.215000000000003</v>
      </c>
      <c r="AEH24">
        <v>97.144999999999996</v>
      </c>
      <c r="AEI24">
        <v>97.04</v>
      </c>
      <c r="AEJ24">
        <v>96.93</v>
      </c>
      <c r="AEK24">
        <v>96.88</v>
      </c>
      <c r="AEL24">
        <v>96.965000000000003</v>
      </c>
      <c r="AEM24">
        <v>97.1</v>
      </c>
      <c r="AEN24">
        <v>97.094999999999999</v>
      </c>
      <c r="AEO24">
        <v>97.034999999999997</v>
      </c>
      <c r="AEP24">
        <v>97.174999999999997</v>
      </c>
      <c r="AEQ24">
        <v>97.185000000000002</v>
      </c>
      <c r="AER24">
        <v>97.25</v>
      </c>
      <c r="AES24">
        <v>97.305000000000007</v>
      </c>
      <c r="AET24">
        <v>97.295000000000002</v>
      </c>
      <c r="AEU24">
        <v>97.204999999999998</v>
      </c>
      <c r="AEV24">
        <v>97.144999999999996</v>
      </c>
      <c r="AEW24">
        <v>97.224999999999994</v>
      </c>
      <c r="AEX24">
        <v>97.12</v>
      </c>
      <c r="AEY24">
        <v>97.17</v>
      </c>
      <c r="AEZ24">
        <v>97.234999999999999</v>
      </c>
      <c r="AFA24">
        <v>97.234999999999999</v>
      </c>
      <c r="AFB24">
        <v>97.364999999999995</v>
      </c>
      <c r="AFC24">
        <v>97.33</v>
      </c>
      <c r="AFD24">
        <v>97.275000000000006</v>
      </c>
      <c r="AFE24">
        <v>97.4</v>
      </c>
      <c r="AFF24">
        <v>97.484999999999999</v>
      </c>
      <c r="AFG24">
        <v>97.59</v>
      </c>
      <c r="AFH24">
        <v>97.674999999999997</v>
      </c>
      <c r="AFI24">
        <v>97.88</v>
      </c>
      <c r="AFJ24">
        <v>97.9</v>
      </c>
      <c r="AFK24">
        <v>97.92</v>
      </c>
      <c r="AFL24">
        <v>97.855000000000004</v>
      </c>
      <c r="AFM24">
        <v>97.79</v>
      </c>
      <c r="AFN24">
        <v>97.69</v>
      </c>
      <c r="AFO24">
        <v>97.64</v>
      </c>
      <c r="AFP24">
        <v>97.81</v>
      </c>
      <c r="AFQ24">
        <v>97.84</v>
      </c>
      <c r="AFR24">
        <v>97.784999999999997</v>
      </c>
      <c r="AFS24">
        <v>97.85</v>
      </c>
      <c r="AFT24">
        <v>97.995000000000005</v>
      </c>
      <c r="AFU24">
        <v>97.915000000000006</v>
      </c>
      <c r="AFV24">
        <v>97.89</v>
      </c>
      <c r="AFW24">
        <v>97.92</v>
      </c>
      <c r="AFX24">
        <v>97.94</v>
      </c>
      <c r="AFY24">
        <v>98.1</v>
      </c>
      <c r="AFZ24">
        <v>98.11</v>
      </c>
      <c r="AGA24">
        <v>98.185000000000002</v>
      </c>
      <c r="AGB24">
        <v>98.275000000000006</v>
      </c>
      <c r="AGC24">
        <v>98.39</v>
      </c>
      <c r="AGD24">
        <v>98.394999999999996</v>
      </c>
      <c r="AGE24">
        <v>98.245000000000005</v>
      </c>
      <c r="AGF24">
        <v>98.194999999999993</v>
      </c>
      <c r="AGG24">
        <v>98.355000000000004</v>
      </c>
      <c r="AGH24">
        <v>98.22</v>
      </c>
      <c r="AGI24">
        <v>98.075000000000003</v>
      </c>
      <c r="AGJ24">
        <v>98.08</v>
      </c>
      <c r="AGK24">
        <v>98.094999999999999</v>
      </c>
      <c r="AGL24">
        <v>98.135000000000005</v>
      </c>
      <c r="AGM24">
        <v>98.13</v>
      </c>
      <c r="AGN24">
        <v>98.13</v>
      </c>
      <c r="AGO24">
        <v>98.08</v>
      </c>
      <c r="AGP24">
        <v>97.99</v>
      </c>
      <c r="AGQ24">
        <v>98</v>
      </c>
      <c r="AGR24">
        <v>98.08</v>
      </c>
      <c r="AGS24">
        <v>98.13</v>
      </c>
      <c r="AGT24">
        <v>98.02</v>
      </c>
      <c r="AGU24">
        <v>98.09</v>
      </c>
      <c r="AGV24">
        <v>98.045000000000002</v>
      </c>
      <c r="AGW24">
        <v>98.084999999999994</v>
      </c>
      <c r="AGX24">
        <v>98.07</v>
      </c>
      <c r="AGY24">
        <v>98.174999999999997</v>
      </c>
      <c r="AGZ24">
        <v>98.245000000000005</v>
      </c>
      <c r="AHA24">
        <v>98.21</v>
      </c>
      <c r="AHB24">
        <v>98.21</v>
      </c>
      <c r="AHC24">
        <v>98.22</v>
      </c>
      <c r="AHD24">
        <v>98.18</v>
      </c>
      <c r="AHE24">
        <v>98.08</v>
      </c>
      <c r="AHF24">
        <v>98.15</v>
      </c>
      <c r="AHG24">
        <v>98.215000000000003</v>
      </c>
      <c r="AHH24">
        <v>98.194999999999993</v>
      </c>
      <c r="AHI24">
        <v>98.125</v>
      </c>
      <c r="AHJ24">
        <v>98.11</v>
      </c>
      <c r="AHK24">
        <v>98.06</v>
      </c>
      <c r="AHL24">
        <v>98.165000000000006</v>
      </c>
      <c r="AHM24">
        <v>98.165000000000006</v>
      </c>
      <c r="AHN24">
        <v>98.24</v>
      </c>
      <c r="AHO24">
        <v>98.204999999999998</v>
      </c>
      <c r="AHP24">
        <v>98.16</v>
      </c>
      <c r="AHQ24">
        <v>98.11</v>
      </c>
      <c r="AHR24">
        <v>98.12</v>
      </c>
      <c r="AHS24">
        <v>98.155000000000001</v>
      </c>
      <c r="AHT24">
        <v>98.19</v>
      </c>
      <c r="AHU24">
        <v>98.22</v>
      </c>
      <c r="AHV24">
        <v>98.265000000000001</v>
      </c>
      <c r="AHW24">
        <v>98.43</v>
      </c>
      <c r="AHX24">
        <v>98.41</v>
      </c>
      <c r="AHY24">
        <v>98.405000000000001</v>
      </c>
      <c r="AHZ24">
        <v>98.49</v>
      </c>
      <c r="AIA24">
        <v>98.48</v>
      </c>
      <c r="AIB24">
        <v>98.454999999999998</v>
      </c>
      <c r="AIC24">
        <v>98.454999999999998</v>
      </c>
      <c r="AID24">
        <v>98.48</v>
      </c>
      <c r="AIE24">
        <v>98.46</v>
      </c>
      <c r="AIF24">
        <v>98.555000000000007</v>
      </c>
      <c r="AIG24">
        <v>98.6</v>
      </c>
      <c r="AIH24">
        <v>98.564999999999998</v>
      </c>
      <c r="AII24">
        <v>98.495000000000005</v>
      </c>
      <c r="AIJ24">
        <v>98.504999999999995</v>
      </c>
      <c r="AIK24">
        <v>98.525000000000006</v>
      </c>
      <c r="AIL24">
        <v>98.465000000000003</v>
      </c>
      <c r="AIM24">
        <v>98.495000000000005</v>
      </c>
      <c r="AIN24">
        <v>98.46</v>
      </c>
      <c r="AIO24">
        <v>98.48</v>
      </c>
      <c r="AIP24">
        <v>98.525000000000006</v>
      </c>
      <c r="AIQ24">
        <v>98.665000000000006</v>
      </c>
      <c r="AIR24">
        <v>98.534999999999997</v>
      </c>
      <c r="AIS24">
        <v>98.55</v>
      </c>
      <c r="AIT24">
        <v>98.48</v>
      </c>
      <c r="AIU24">
        <v>98.38</v>
      </c>
      <c r="AIV24">
        <v>98.43</v>
      </c>
      <c r="AIW24">
        <v>98.254999999999995</v>
      </c>
      <c r="AIX24">
        <v>98.254999999999995</v>
      </c>
      <c r="AIY24">
        <v>98.215000000000003</v>
      </c>
      <c r="AIZ24">
        <v>98.275000000000006</v>
      </c>
      <c r="AJA24">
        <v>98.385000000000005</v>
      </c>
      <c r="AJB24">
        <v>98.31</v>
      </c>
      <c r="AJC24">
        <v>98.275000000000006</v>
      </c>
      <c r="AJD24">
        <v>98.25</v>
      </c>
      <c r="AJE24">
        <v>98.28</v>
      </c>
      <c r="AJF24">
        <v>98.32</v>
      </c>
      <c r="AJG24">
        <v>98.325000000000003</v>
      </c>
      <c r="AJH24">
        <v>98.36</v>
      </c>
      <c r="AJI24">
        <v>98.484999999999999</v>
      </c>
      <c r="AJJ24">
        <v>98.394999999999996</v>
      </c>
      <c r="AJK24">
        <v>98.444999999999993</v>
      </c>
      <c r="AJL24">
        <v>98.35</v>
      </c>
      <c r="AJM24">
        <v>98.314999999999998</v>
      </c>
      <c r="AJN24">
        <v>98.334999999999994</v>
      </c>
      <c r="AJO24">
        <v>98.364999999999995</v>
      </c>
      <c r="AJP24">
        <v>98.4</v>
      </c>
      <c r="AJQ24">
        <v>98.364999999999995</v>
      </c>
      <c r="AJR24">
        <v>98.37</v>
      </c>
      <c r="AJS24">
        <v>98.215000000000003</v>
      </c>
      <c r="AJT24">
        <v>98.204999999999998</v>
      </c>
      <c r="AJU24">
        <v>98.204999999999998</v>
      </c>
      <c r="AJV24">
        <v>98.155000000000001</v>
      </c>
      <c r="AJW24">
        <v>98.194999999999993</v>
      </c>
      <c r="AJX24">
        <v>98.21</v>
      </c>
      <c r="AJY24">
        <v>98.28</v>
      </c>
      <c r="AJZ24">
        <v>98.265000000000001</v>
      </c>
      <c r="AKA24">
        <v>98.32</v>
      </c>
      <c r="AKB24">
        <v>98.275000000000006</v>
      </c>
      <c r="AKC24">
        <v>98.2</v>
      </c>
      <c r="AKD24">
        <v>98.135000000000005</v>
      </c>
      <c r="AKE24">
        <v>98.14</v>
      </c>
      <c r="AKF24">
        <v>98.185000000000002</v>
      </c>
      <c r="AKG24">
        <v>98.24</v>
      </c>
      <c r="AKH24">
        <v>98.224999999999994</v>
      </c>
      <c r="AKI24">
        <v>98.275000000000006</v>
      </c>
      <c r="AKJ24">
        <v>98.254999999999995</v>
      </c>
      <c r="AKK24">
        <v>98.18</v>
      </c>
      <c r="AKL24">
        <v>98.165000000000006</v>
      </c>
      <c r="AKM24">
        <v>98.17</v>
      </c>
      <c r="AKN24">
        <v>98.245000000000005</v>
      </c>
      <c r="AKO24">
        <v>98.29</v>
      </c>
      <c r="AKP24">
        <v>98.36</v>
      </c>
      <c r="AKQ24">
        <v>98.45</v>
      </c>
      <c r="AKR24">
        <v>98.44</v>
      </c>
      <c r="AKS24">
        <v>98.444999999999993</v>
      </c>
      <c r="AKT24">
        <v>98.37</v>
      </c>
      <c r="AKU24">
        <v>98.44</v>
      </c>
      <c r="AKV24">
        <v>98.484999999999999</v>
      </c>
      <c r="AKW24">
        <v>98.57</v>
      </c>
      <c r="AKX24">
        <v>98.51</v>
      </c>
      <c r="AKY24">
        <v>98.49</v>
      </c>
      <c r="AKZ24">
        <v>98.555000000000007</v>
      </c>
      <c r="ALA24">
        <v>98.515000000000001</v>
      </c>
      <c r="ALB24">
        <v>98.474999999999994</v>
      </c>
      <c r="ALC24">
        <v>98.53</v>
      </c>
      <c r="ALD24">
        <v>98.53</v>
      </c>
      <c r="ALE24">
        <v>98.57</v>
      </c>
      <c r="ALF24">
        <v>98.56</v>
      </c>
      <c r="ALG24">
        <v>98.555000000000007</v>
      </c>
      <c r="ALH24">
        <v>98.575000000000003</v>
      </c>
      <c r="ALI24">
        <v>98.545000000000002</v>
      </c>
      <c r="ALJ24">
        <v>98.51</v>
      </c>
      <c r="ALK24">
        <v>98.52</v>
      </c>
      <c r="ALL24">
        <v>98.59</v>
      </c>
      <c r="ALM24">
        <v>98.63</v>
      </c>
      <c r="ALN24">
        <v>98.62</v>
      </c>
      <c r="ALO24">
        <v>98.644999999999996</v>
      </c>
      <c r="ALP24">
        <v>98.605000000000004</v>
      </c>
      <c r="ALQ24">
        <v>98.635000000000005</v>
      </c>
      <c r="ALR24">
        <v>98.64</v>
      </c>
      <c r="ALS24">
        <v>98.59</v>
      </c>
      <c r="ALT24">
        <v>98.504999999999995</v>
      </c>
      <c r="ALU24">
        <v>98.52</v>
      </c>
      <c r="ALV24">
        <v>98.534999999999997</v>
      </c>
      <c r="ALW24">
        <v>98.56</v>
      </c>
      <c r="ALX24">
        <v>98.6</v>
      </c>
      <c r="ALY24">
        <v>98.685000000000002</v>
      </c>
      <c r="ALZ24">
        <v>98.724999999999994</v>
      </c>
      <c r="AMA24">
        <v>98.734999999999999</v>
      </c>
      <c r="AMB24">
        <v>98.734999999999999</v>
      </c>
      <c r="AMC24">
        <v>98.644999999999996</v>
      </c>
      <c r="AMD24">
        <v>98.62</v>
      </c>
      <c r="AME24">
        <v>98.64</v>
      </c>
      <c r="AMF24">
        <v>98.674999999999997</v>
      </c>
      <c r="AMG24">
        <v>98.635000000000005</v>
      </c>
      <c r="AMH24">
        <v>98.62</v>
      </c>
      <c r="AMI24">
        <v>98.64</v>
      </c>
      <c r="AMJ24">
        <v>98.63</v>
      </c>
      <c r="AMK24">
        <v>98.734999999999999</v>
      </c>
      <c r="AML24">
        <v>98.775000000000006</v>
      </c>
      <c r="AMM24">
        <v>98.6</v>
      </c>
      <c r="AMN24">
        <v>98.6</v>
      </c>
      <c r="AMO24">
        <v>98.51</v>
      </c>
      <c r="AMP24">
        <v>98.43</v>
      </c>
      <c r="AMQ24">
        <v>98.484999999999999</v>
      </c>
      <c r="AMR24">
        <v>98.48</v>
      </c>
      <c r="AMS24">
        <v>98.57</v>
      </c>
      <c r="AMT24">
        <v>98.55</v>
      </c>
      <c r="AMU24">
        <v>98.49</v>
      </c>
      <c r="AMV24">
        <v>98.4</v>
      </c>
      <c r="AMW24">
        <v>98.4</v>
      </c>
      <c r="AMX24">
        <v>98.34</v>
      </c>
      <c r="AMY24">
        <v>98.38</v>
      </c>
      <c r="AMZ24">
        <v>98.325000000000003</v>
      </c>
      <c r="ANA24">
        <v>98.32</v>
      </c>
      <c r="ANB24">
        <v>98.254999999999995</v>
      </c>
      <c r="ANC24">
        <v>98.305000000000007</v>
      </c>
      <c r="AND24">
        <v>98.3</v>
      </c>
      <c r="ANE24">
        <v>98.334999999999994</v>
      </c>
      <c r="ANF24">
        <v>98.334999999999994</v>
      </c>
      <c r="ANG24">
        <v>98.37</v>
      </c>
      <c r="ANH24">
        <v>98.275000000000006</v>
      </c>
      <c r="ANI24">
        <v>98.135000000000005</v>
      </c>
      <c r="ANJ24">
        <v>98.29</v>
      </c>
      <c r="ANK24">
        <v>98.27</v>
      </c>
      <c r="ANL24">
        <v>98.29</v>
      </c>
      <c r="ANM24">
        <v>98.31</v>
      </c>
      <c r="ANN24">
        <v>98.275000000000006</v>
      </c>
      <c r="ANO24">
        <v>98.224999999999994</v>
      </c>
      <c r="ANP24">
        <v>98.18</v>
      </c>
      <c r="ANQ24">
        <v>98.17</v>
      </c>
      <c r="ANR24">
        <v>98.075000000000003</v>
      </c>
      <c r="ANS24">
        <v>98.125</v>
      </c>
      <c r="ANT24">
        <v>98.09</v>
      </c>
      <c r="ANU24">
        <v>98.14</v>
      </c>
      <c r="ANV24">
        <v>98.14</v>
      </c>
      <c r="ANW24">
        <v>98.135000000000005</v>
      </c>
      <c r="ANX24">
        <v>98.18</v>
      </c>
      <c r="ANY24">
        <v>98.19</v>
      </c>
      <c r="ANZ24">
        <v>98.135000000000005</v>
      </c>
      <c r="AOA24">
        <v>98.094999999999999</v>
      </c>
      <c r="AOB24">
        <v>98.105000000000004</v>
      </c>
      <c r="AOC24">
        <v>98.04</v>
      </c>
      <c r="AOD24">
        <v>98.09</v>
      </c>
      <c r="AOE24">
        <v>98.094999999999999</v>
      </c>
      <c r="AOF24">
        <v>98.105000000000004</v>
      </c>
      <c r="AOG24">
        <v>98.064999999999998</v>
      </c>
      <c r="AOH24">
        <v>98.01</v>
      </c>
      <c r="AOI24">
        <v>98.11</v>
      </c>
      <c r="AOJ24">
        <v>98.135000000000005</v>
      </c>
      <c r="AOK24">
        <v>98.15</v>
      </c>
      <c r="AOL24">
        <v>98.144999999999996</v>
      </c>
      <c r="AOM24">
        <v>98.105000000000004</v>
      </c>
      <c r="AON24">
        <v>98.08</v>
      </c>
      <c r="AOO24">
        <v>98.055000000000007</v>
      </c>
      <c r="AOP24">
        <v>98.02</v>
      </c>
      <c r="AOQ24">
        <v>98.02</v>
      </c>
      <c r="AOR24">
        <v>98.05</v>
      </c>
      <c r="AOS24">
        <v>98.06</v>
      </c>
      <c r="AOT24">
        <v>98.12</v>
      </c>
      <c r="AOU24">
        <v>98.13</v>
      </c>
      <c r="AOV24">
        <v>98.155000000000001</v>
      </c>
      <c r="AOW24">
        <v>98.14</v>
      </c>
      <c r="AOX24">
        <v>98.144999999999996</v>
      </c>
      <c r="AOY24">
        <v>98.12</v>
      </c>
      <c r="AOZ24">
        <v>98.135000000000005</v>
      </c>
      <c r="APA24">
        <v>98.174999999999997</v>
      </c>
      <c r="APB24">
        <v>98.03</v>
      </c>
      <c r="APC24">
        <v>98.02</v>
      </c>
      <c r="APD24">
        <v>97.924999999999997</v>
      </c>
      <c r="APE24">
        <v>97.935000000000002</v>
      </c>
      <c r="APF24">
        <v>97.965000000000003</v>
      </c>
      <c r="APG24">
        <v>97.924999999999997</v>
      </c>
      <c r="APH24">
        <v>97.9</v>
      </c>
      <c r="API24">
        <v>97.795000000000002</v>
      </c>
      <c r="APJ24">
        <v>97.78</v>
      </c>
      <c r="APK24">
        <v>97.844999999999999</v>
      </c>
      <c r="APL24">
        <v>97.77</v>
      </c>
      <c r="APM24">
        <v>97.805000000000007</v>
      </c>
      <c r="APN24">
        <v>97.83</v>
      </c>
      <c r="APO24">
        <v>97.91</v>
      </c>
      <c r="APP24">
        <v>97.97</v>
      </c>
      <c r="APQ24">
        <v>97.98</v>
      </c>
      <c r="APR24">
        <v>97.96</v>
      </c>
      <c r="APS24">
        <v>97.9</v>
      </c>
      <c r="APT24">
        <v>97.855000000000004</v>
      </c>
      <c r="APU24">
        <v>97.95</v>
      </c>
      <c r="APV24">
        <v>98.14</v>
      </c>
      <c r="APW24">
        <v>98.165000000000006</v>
      </c>
      <c r="APX24">
        <v>98.16</v>
      </c>
      <c r="APY24">
        <v>98.144999999999996</v>
      </c>
      <c r="APZ24">
        <v>98.215000000000003</v>
      </c>
      <c r="AQA24">
        <v>98.25</v>
      </c>
      <c r="AQB24">
        <v>98.22</v>
      </c>
      <c r="AQC24">
        <v>98.165000000000006</v>
      </c>
      <c r="AQD24">
        <v>98.23</v>
      </c>
      <c r="AQE24">
        <v>98.22</v>
      </c>
      <c r="AQF24">
        <v>98.284999999999997</v>
      </c>
      <c r="AQG24">
        <v>98.34</v>
      </c>
      <c r="AQH24">
        <v>98.3</v>
      </c>
      <c r="AQI24">
        <v>98.245000000000005</v>
      </c>
      <c r="AQJ24">
        <v>98.25</v>
      </c>
      <c r="AQK24">
        <v>98.39</v>
      </c>
      <c r="AQL24">
        <v>98.415000000000006</v>
      </c>
      <c r="AQM24">
        <v>98.405000000000001</v>
      </c>
      <c r="AQN24">
        <v>98.44</v>
      </c>
      <c r="AQO24">
        <v>98.484999999999999</v>
      </c>
      <c r="AQP24">
        <v>98.51</v>
      </c>
      <c r="AQQ24">
        <v>98.534999999999997</v>
      </c>
      <c r="AQR24">
        <v>98.655000000000001</v>
      </c>
      <c r="AQS24">
        <v>98.655000000000001</v>
      </c>
      <c r="AQT24">
        <v>98.724999999999994</v>
      </c>
      <c r="AQU24">
        <v>98.734999999999999</v>
      </c>
      <c r="AQV24">
        <v>98.72</v>
      </c>
      <c r="AQW24">
        <v>98.71</v>
      </c>
      <c r="AQX24">
        <v>98.73</v>
      </c>
      <c r="AQY24">
        <v>98.734999999999999</v>
      </c>
      <c r="AQZ24">
        <v>98.84</v>
      </c>
      <c r="ARA24">
        <v>98.855000000000004</v>
      </c>
      <c r="ARB24">
        <v>98.88</v>
      </c>
      <c r="ARC24">
        <v>98.88</v>
      </c>
      <c r="ARD24">
        <v>98.885000000000005</v>
      </c>
      <c r="ARE24">
        <v>98.89</v>
      </c>
      <c r="ARF24">
        <v>98.885000000000005</v>
      </c>
      <c r="ARG24">
        <v>98.89</v>
      </c>
      <c r="ARH24">
        <v>98.89</v>
      </c>
      <c r="ARI24">
        <v>98.885000000000005</v>
      </c>
      <c r="ARJ24">
        <v>98.9</v>
      </c>
      <c r="ARK24">
        <v>98.9</v>
      </c>
      <c r="ARL24">
        <v>98.89</v>
      </c>
      <c r="ARM24">
        <v>98.89</v>
      </c>
      <c r="ARN24">
        <v>98.92</v>
      </c>
      <c r="ARO24">
        <v>98.905000000000001</v>
      </c>
      <c r="ARP24">
        <v>98.88</v>
      </c>
      <c r="ARQ24">
        <v>98.885000000000005</v>
      </c>
      <c r="ARR24">
        <v>98.89</v>
      </c>
      <c r="ARS24">
        <v>98.93</v>
      </c>
      <c r="ART24">
        <v>99.08</v>
      </c>
      <c r="ARU24">
        <v>99.125</v>
      </c>
      <c r="ARV24">
        <v>99.135000000000005</v>
      </c>
      <c r="ARW24">
        <v>99.125</v>
      </c>
      <c r="ARX24">
        <v>99.125</v>
      </c>
      <c r="ARY24">
        <v>99.114999999999995</v>
      </c>
      <c r="ARZ24">
        <v>99.1</v>
      </c>
      <c r="ASA24">
        <v>99.094999999999999</v>
      </c>
      <c r="ASB24">
        <v>99.1</v>
      </c>
      <c r="ASC24">
        <v>99.1</v>
      </c>
      <c r="ASD24">
        <v>99.1</v>
      </c>
      <c r="ASE24">
        <v>99.105000000000004</v>
      </c>
      <c r="ASF24">
        <v>99.1</v>
      </c>
      <c r="ASG24">
        <v>99.1</v>
      </c>
      <c r="ASH24">
        <v>99.165000000000006</v>
      </c>
      <c r="ASI24">
        <v>99.174999999999997</v>
      </c>
      <c r="ASJ24">
        <v>99.24</v>
      </c>
      <c r="ASK24">
        <v>99.24</v>
      </c>
      <c r="ASL24">
        <v>99.24</v>
      </c>
      <c r="ASM24">
        <v>99.204999999999998</v>
      </c>
      <c r="ASN24">
        <v>99.534999999999997</v>
      </c>
      <c r="ASO24">
        <v>99.64</v>
      </c>
      <c r="ASP24">
        <v>99.64</v>
      </c>
      <c r="ASQ24">
        <v>99.65</v>
      </c>
      <c r="ASR24">
        <v>99.665000000000006</v>
      </c>
      <c r="ASS24">
        <v>99.67</v>
      </c>
      <c r="AST24">
        <v>99.674999999999997</v>
      </c>
      <c r="ASU24">
        <v>99.7</v>
      </c>
      <c r="ASV24">
        <v>99.704999999999998</v>
      </c>
      <c r="ASW24">
        <v>99.7</v>
      </c>
      <c r="ASX24">
        <v>99.7</v>
      </c>
      <c r="ASY24">
        <v>99.694999999999993</v>
      </c>
      <c r="ASZ24">
        <v>99.69</v>
      </c>
      <c r="ATA24">
        <v>99.704999999999998</v>
      </c>
      <c r="ATB24">
        <v>99.7</v>
      </c>
      <c r="ATC24">
        <v>99.7</v>
      </c>
      <c r="ATD24">
        <v>99.704999999999998</v>
      </c>
      <c r="ATE24">
        <v>99.694999999999993</v>
      </c>
      <c r="ATF24">
        <v>99.694999999999993</v>
      </c>
      <c r="ATG24">
        <v>99.69</v>
      </c>
      <c r="ATH24">
        <v>99.67</v>
      </c>
      <c r="ATI24">
        <v>99.67</v>
      </c>
      <c r="ATJ24">
        <v>99.704999999999998</v>
      </c>
      <c r="ATK24">
        <v>99.75</v>
      </c>
      <c r="ATL24">
        <v>99.754999999999995</v>
      </c>
      <c r="ATM24">
        <v>99.775000000000006</v>
      </c>
      <c r="ATN24">
        <v>99.745000000000005</v>
      </c>
      <c r="ATO24">
        <v>99.754999999999995</v>
      </c>
      <c r="ATP24">
        <v>99.75</v>
      </c>
      <c r="ATQ24">
        <v>99.754999999999995</v>
      </c>
      <c r="ATR24">
        <v>99.765000000000001</v>
      </c>
      <c r="ATS24">
        <v>99.765000000000001</v>
      </c>
      <c r="ATT24">
        <v>99.76</v>
      </c>
      <c r="ATU24">
        <v>99.75</v>
      </c>
      <c r="ATV24">
        <v>99.74</v>
      </c>
      <c r="ATW24">
        <v>99.765000000000001</v>
      </c>
      <c r="ATX24">
        <v>99.765000000000001</v>
      </c>
      <c r="ATY24">
        <v>99.775000000000006</v>
      </c>
      <c r="ATZ24">
        <v>99.784999999999997</v>
      </c>
      <c r="AUA24">
        <v>99.78</v>
      </c>
      <c r="AUB24">
        <v>99.784999999999997</v>
      </c>
      <c r="AUC24">
        <v>99.78</v>
      </c>
      <c r="AUD24">
        <v>99.765000000000001</v>
      </c>
      <c r="AUE24">
        <v>99.76</v>
      </c>
      <c r="AUF24">
        <v>99.775000000000006</v>
      </c>
      <c r="AUG24">
        <v>99.77</v>
      </c>
      <c r="AUH24">
        <v>99.795000000000002</v>
      </c>
      <c r="AUI24">
        <v>99.795000000000002</v>
      </c>
      <c r="AUJ24">
        <v>99.844999999999999</v>
      </c>
      <c r="AUK24">
        <v>99.844999999999999</v>
      </c>
      <c r="AUL24">
        <v>99.844999999999999</v>
      </c>
      <c r="AUM24">
        <v>99.85</v>
      </c>
      <c r="AUN24">
        <v>99.85</v>
      </c>
      <c r="AUO24">
        <v>99.86</v>
      </c>
      <c r="AUP24">
        <v>99.86</v>
      </c>
      <c r="AUQ24">
        <v>99.864999999999995</v>
      </c>
      <c r="AUR24">
        <v>99.864999999999995</v>
      </c>
      <c r="AUS24">
        <v>99.855000000000004</v>
      </c>
      <c r="AUT24">
        <v>99.834999999999994</v>
      </c>
      <c r="AUU24">
        <v>99.85</v>
      </c>
      <c r="AUV24">
        <v>99.844999999999999</v>
      </c>
      <c r="AUW24">
        <v>99.875</v>
      </c>
      <c r="AUX24">
        <v>99.88</v>
      </c>
      <c r="AUY24">
        <v>99.87</v>
      </c>
      <c r="AUZ24">
        <v>99.844999999999999</v>
      </c>
      <c r="AVA24">
        <v>99.84</v>
      </c>
      <c r="AVB24">
        <v>99.844999999999999</v>
      </c>
      <c r="AVC24">
        <v>99.834999999999994</v>
      </c>
      <c r="AVD24">
        <v>99.834999999999994</v>
      </c>
      <c r="AVE24">
        <v>99.864999999999995</v>
      </c>
      <c r="AVF24">
        <v>99.855000000000004</v>
      </c>
      <c r="AVG24">
        <v>99.864999999999995</v>
      </c>
      <c r="AVH24">
        <v>99.86</v>
      </c>
      <c r="AVI24">
        <v>99.855000000000004</v>
      </c>
      <c r="AVJ24">
        <v>99.834999999999994</v>
      </c>
      <c r="AVK24">
        <v>99.844999999999999</v>
      </c>
      <c r="AVL24">
        <v>99.85</v>
      </c>
      <c r="AVM24">
        <v>99.86</v>
      </c>
      <c r="AVN24">
        <v>99.855000000000004</v>
      </c>
      <c r="AVO24">
        <v>99.864999999999995</v>
      </c>
      <c r="AVP24">
        <v>99.864999999999995</v>
      </c>
      <c r="AVQ24">
        <v>99.855000000000004</v>
      </c>
      <c r="AVR24">
        <v>99.84</v>
      </c>
      <c r="AVS24">
        <v>99.83</v>
      </c>
      <c r="AVT24">
        <v>99.83</v>
      </c>
      <c r="AVU24">
        <v>99.834999999999994</v>
      </c>
      <c r="AVV24">
        <v>99.834999999999994</v>
      </c>
      <c r="AVW24">
        <v>99.87</v>
      </c>
      <c r="AVX24">
        <v>99.88</v>
      </c>
      <c r="AVY24">
        <v>99.9</v>
      </c>
      <c r="AVZ24">
        <v>99.905000000000001</v>
      </c>
      <c r="AWA24">
        <v>99.915000000000006</v>
      </c>
      <c r="AWB24">
        <v>99.905000000000001</v>
      </c>
      <c r="AWC24">
        <v>99.9</v>
      </c>
      <c r="AWD24">
        <v>99.894999999999996</v>
      </c>
      <c r="AWE24">
        <v>99.875</v>
      </c>
      <c r="AWF24">
        <v>99.864999999999995</v>
      </c>
      <c r="AWG24">
        <v>99.86</v>
      </c>
      <c r="AWH24">
        <v>99.87</v>
      </c>
      <c r="AWI24">
        <v>99.875</v>
      </c>
      <c r="AWJ24">
        <v>99.875</v>
      </c>
      <c r="AWK24">
        <v>99.87</v>
      </c>
      <c r="AWL24">
        <v>99.87</v>
      </c>
      <c r="AWM24">
        <v>99.864999999999995</v>
      </c>
      <c r="AWN24">
        <v>99.864999999999995</v>
      </c>
      <c r="AWO24">
        <v>99.86</v>
      </c>
      <c r="AWP24">
        <v>99.87</v>
      </c>
      <c r="AWQ24">
        <v>99.87</v>
      </c>
      <c r="AWR24">
        <v>99.885000000000005</v>
      </c>
      <c r="AWS24">
        <v>99.9</v>
      </c>
      <c r="AWT24">
        <v>99.885000000000005</v>
      </c>
      <c r="AWU24">
        <v>99.88</v>
      </c>
      <c r="AWV24">
        <v>99.875</v>
      </c>
      <c r="AWW24">
        <v>99.875</v>
      </c>
      <c r="AWX24">
        <v>99.875</v>
      </c>
      <c r="AWY24">
        <v>99.864999999999995</v>
      </c>
      <c r="AWZ24">
        <v>99.885000000000005</v>
      </c>
      <c r="AXA24">
        <v>99.885000000000005</v>
      </c>
      <c r="AXB24">
        <v>99.875</v>
      </c>
      <c r="AXC24">
        <v>99.855000000000004</v>
      </c>
      <c r="AXD24">
        <v>99.855000000000004</v>
      </c>
      <c r="AXE24">
        <v>99.855000000000004</v>
      </c>
      <c r="AXF24">
        <v>99.85</v>
      </c>
      <c r="AXG24">
        <v>99.84</v>
      </c>
      <c r="AXH24">
        <v>99.82</v>
      </c>
      <c r="AXI24">
        <v>99.814999999999998</v>
      </c>
      <c r="AXJ24">
        <v>99.805000000000007</v>
      </c>
      <c r="AXK24">
        <v>99.82</v>
      </c>
      <c r="AXL24">
        <v>99.81</v>
      </c>
      <c r="AXM24">
        <v>99.82</v>
      </c>
      <c r="AXN24">
        <v>99.795000000000002</v>
      </c>
      <c r="AXO24">
        <v>99.745000000000005</v>
      </c>
      <c r="AXP24">
        <v>99.71</v>
      </c>
      <c r="AXQ24">
        <v>99.704999999999998</v>
      </c>
      <c r="AXR24">
        <v>99.77</v>
      </c>
      <c r="AXS24">
        <v>99.784999999999997</v>
      </c>
      <c r="AXT24">
        <v>99.82</v>
      </c>
      <c r="AXU24">
        <v>99.825000000000003</v>
      </c>
      <c r="AXV24">
        <v>99.814999999999998</v>
      </c>
      <c r="AXW24">
        <v>99.795000000000002</v>
      </c>
      <c r="AXX24">
        <v>99.8</v>
      </c>
      <c r="AXY24">
        <v>99.805000000000007</v>
      </c>
      <c r="AXZ24">
        <v>99.81</v>
      </c>
      <c r="AYA24">
        <v>99.81</v>
      </c>
      <c r="AYB24">
        <v>99.805000000000007</v>
      </c>
      <c r="AYC24">
        <v>99.805000000000007</v>
      </c>
      <c r="AYD24">
        <v>99.81</v>
      </c>
      <c r="AYE24">
        <v>99.81</v>
      </c>
      <c r="AYF24">
        <v>99.855000000000004</v>
      </c>
      <c r="AYG24">
        <v>99.83</v>
      </c>
      <c r="AYH24">
        <v>99.82</v>
      </c>
      <c r="AYI24">
        <v>99.8</v>
      </c>
      <c r="AYJ24">
        <v>99.8</v>
      </c>
      <c r="AYK24">
        <v>99.82</v>
      </c>
      <c r="AYL24">
        <v>99.83</v>
      </c>
      <c r="AYM24">
        <v>99.775000000000006</v>
      </c>
      <c r="AYN24">
        <v>99.76</v>
      </c>
      <c r="AYO24">
        <v>99.765000000000001</v>
      </c>
      <c r="AYP24">
        <v>99.75</v>
      </c>
      <c r="AYQ24">
        <v>99.754999999999995</v>
      </c>
      <c r="AYR24">
        <v>99.745000000000005</v>
      </c>
      <c r="AYS24">
        <v>99.73</v>
      </c>
      <c r="AYT24">
        <v>99.724999999999994</v>
      </c>
      <c r="AYU24">
        <v>99.734999999999999</v>
      </c>
      <c r="AYV24">
        <v>99.734999999999999</v>
      </c>
      <c r="AYW24">
        <v>99.73</v>
      </c>
      <c r="AYX24">
        <v>99.74</v>
      </c>
      <c r="AYY24">
        <v>99.72</v>
      </c>
      <c r="AYZ24">
        <v>99.71</v>
      </c>
      <c r="AZA24">
        <v>99.694999999999993</v>
      </c>
      <c r="AZB24">
        <v>99.685000000000002</v>
      </c>
      <c r="AZC24">
        <v>99.655000000000001</v>
      </c>
      <c r="AZD24">
        <v>99.64</v>
      </c>
      <c r="AZE24">
        <v>99.65</v>
      </c>
      <c r="AZF24">
        <v>99.65</v>
      </c>
      <c r="AZG24">
        <v>99.63</v>
      </c>
      <c r="AZH24">
        <v>99.614999999999995</v>
      </c>
      <c r="AZI24">
        <v>99.66</v>
      </c>
      <c r="AZJ24">
        <v>99.72</v>
      </c>
      <c r="AZK24">
        <v>99.715000000000003</v>
      </c>
      <c r="AZL24">
        <v>99.73</v>
      </c>
      <c r="AZM24">
        <v>99.704999999999998</v>
      </c>
      <c r="AZN24">
        <v>99.734999999999999</v>
      </c>
      <c r="AZO24">
        <v>99.69</v>
      </c>
      <c r="AZP24">
        <v>99.67</v>
      </c>
      <c r="AZQ24">
        <v>99.64</v>
      </c>
      <c r="AZR24">
        <v>99.635000000000005</v>
      </c>
      <c r="AZS24">
        <v>99.694999999999993</v>
      </c>
      <c r="AZT24">
        <v>99.614999999999995</v>
      </c>
      <c r="AZU24">
        <v>99.555000000000007</v>
      </c>
      <c r="AZV24">
        <v>99.45</v>
      </c>
      <c r="AZW24">
        <v>99.564999999999998</v>
      </c>
      <c r="AZX24">
        <v>99.614999999999995</v>
      </c>
      <c r="AZY24">
        <v>99.54</v>
      </c>
      <c r="AZZ24">
        <v>99.58</v>
      </c>
      <c r="BAA24">
        <v>99.51</v>
      </c>
      <c r="BAB24">
        <v>99.5</v>
      </c>
      <c r="BAC24">
        <v>99.62</v>
      </c>
      <c r="BAD24">
        <v>99.545000000000002</v>
      </c>
      <c r="BAE24">
        <v>99.46</v>
      </c>
      <c r="BAF24">
        <v>99.41</v>
      </c>
      <c r="BAG24">
        <v>99.35</v>
      </c>
      <c r="BAH24">
        <v>99.28</v>
      </c>
      <c r="BAI24">
        <v>99.28</v>
      </c>
      <c r="BAJ24">
        <v>99.08</v>
      </c>
      <c r="BAK24">
        <v>99.025000000000006</v>
      </c>
      <c r="BAL24">
        <v>99.034999999999997</v>
      </c>
      <c r="BAM24">
        <v>98.98</v>
      </c>
      <c r="BAN24">
        <v>98.87</v>
      </c>
      <c r="BAO24">
        <v>98.805000000000007</v>
      </c>
      <c r="BAP24">
        <v>98.76</v>
      </c>
      <c r="BAQ24">
        <v>98.784999999999997</v>
      </c>
      <c r="BAR24">
        <v>98.754999999999995</v>
      </c>
      <c r="BAS24">
        <v>98.754999999999995</v>
      </c>
      <c r="BAT24">
        <v>98.72</v>
      </c>
      <c r="BAU24">
        <v>98.72</v>
      </c>
      <c r="BAV24">
        <v>98.76</v>
      </c>
      <c r="BAW24">
        <v>98.79</v>
      </c>
      <c r="BAX24">
        <v>98.754999999999995</v>
      </c>
      <c r="BAY24">
        <v>98.7</v>
      </c>
      <c r="BAZ24">
        <v>98.72</v>
      </c>
      <c r="BBA24">
        <v>98.76</v>
      </c>
      <c r="BBB24">
        <v>98.844999999999999</v>
      </c>
      <c r="BBC24">
        <v>98.86</v>
      </c>
      <c r="BBD24">
        <v>98.805000000000007</v>
      </c>
      <c r="BBE24">
        <v>98.76</v>
      </c>
      <c r="BBF24">
        <v>98.71</v>
      </c>
      <c r="BBG24">
        <v>98.745000000000005</v>
      </c>
      <c r="BBH24">
        <v>98.66</v>
      </c>
      <c r="BBI24">
        <v>98.605000000000004</v>
      </c>
      <c r="BBJ24">
        <v>98.584999999999994</v>
      </c>
      <c r="BBK24">
        <v>98.57</v>
      </c>
      <c r="BBL24">
        <v>98.515000000000001</v>
      </c>
      <c r="BBM24">
        <v>98.515000000000001</v>
      </c>
      <c r="BBN24">
        <v>98.53</v>
      </c>
      <c r="BBO24">
        <v>98.54</v>
      </c>
      <c r="BBP24">
        <v>98.53</v>
      </c>
      <c r="BBQ24">
        <v>98.515000000000001</v>
      </c>
      <c r="BBR24">
        <v>98.52</v>
      </c>
      <c r="BBS24">
        <v>98.504999999999995</v>
      </c>
      <c r="BBT24">
        <v>98.5</v>
      </c>
      <c r="BBU24">
        <v>98.545000000000002</v>
      </c>
      <c r="BBV24">
        <v>98.555000000000007</v>
      </c>
      <c r="BBW24">
        <v>98.56</v>
      </c>
      <c r="BBX24">
        <v>98.47</v>
      </c>
      <c r="BBY24">
        <v>98.46</v>
      </c>
      <c r="BBZ24">
        <v>98.46</v>
      </c>
      <c r="BCA24">
        <v>98.465000000000003</v>
      </c>
      <c r="BCB24">
        <v>98.465000000000003</v>
      </c>
      <c r="BCC24">
        <v>98.424999999999997</v>
      </c>
      <c r="BCD24">
        <v>98.424999999999997</v>
      </c>
      <c r="BCE24">
        <v>98.424999999999997</v>
      </c>
      <c r="BCF24">
        <v>98.405000000000001</v>
      </c>
      <c r="BCG24">
        <v>98.444999999999993</v>
      </c>
      <c r="BCH24">
        <v>98.46</v>
      </c>
      <c r="BCI24">
        <v>98.44</v>
      </c>
      <c r="BCJ24">
        <v>98.47</v>
      </c>
      <c r="BCK24">
        <v>98.48</v>
      </c>
      <c r="BCL24">
        <v>98.555000000000007</v>
      </c>
      <c r="BCM24">
        <v>98.474999999999994</v>
      </c>
      <c r="BCN24">
        <v>98.56</v>
      </c>
      <c r="BCO24">
        <v>98.52</v>
      </c>
      <c r="BCP24">
        <v>98.534999999999997</v>
      </c>
      <c r="BCQ24">
        <v>98.545000000000002</v>
      </c>
      <c r="BCR24">
        <v>98.605000000000004</v>
      </c>
      <c r="BCS24">
        <v>98.62</v>
      </c>
      <c r="BCT24">
        <v>98.694999999999993</v>
      </c>
      <c r="BCU24">
        <v>98.575000000000003</v>
      </c>
      <c r="BCV24">
        <v>98.61</v>
      </c>
      <c r="BCW24">
        <v>98.6</v>
      </c>
      <c r="BCX24">
        <v>98.6</v>
      </c>
      <c r="BCY24">
        <v>98.64</v>
      </c>
      <c r="BCZ24">
        <v>98.63</v>
      </c>
      <c r="BDA24">
        <v>98.614999999999995</v>
      </c>
      <c r="BDB24">
        <v>98.635000000000005</v>
      </c>
      <c r="BDC24">
        <v>98.665000000000006</v>
      </c>
      <c r="BDD24">
        <v>98.63</v>
      </c>
      <c r="BDE24">
        <v>98.605000000000004</v>
      </c>
      <c r="BDF24">
        <v>98.58</v>
      </c>
      <c r="BDG24">
        <v>98.59</v>
      </c>
      <c r="BDH24">
        <v>98.54</v>
      </c>
      <c r="BDI24">
        <v>98.49</v>
      </c>
      <c r="BDJ24">
        <v>98.46</v>
      </c>
      <c r="BDK24">
        <v>98.47</v>
      </c>
      <c r="BDL24">
        <v>98.454999999999998</v>
      </c>
      <c r="BDM24">
        <v>98.564999999999998</v>
      </c>
      <c r="BDN24">
        <v>98.54</v>
      </c>
      <c r="BDO24">
        <v>98.6</v>
      </c>
      <c r="BDP24">
        <v>98.65</v>
      </c>
      <c r="BDQ24">
        <v>98.72</v>
      </c>
      <c r="BDR24">
        <v>98.594999999999999</v>
      </c>
      <c r="BDS24">
        <v>98.575000000000003</v>
      </c>
      <c r="BDT24">
        <v>98.58</v>
      </c>
      <c r="BDU24">
        <v>98.61</v>
      </c>
      <c r="BDV24">
        <v>98.655000000000001</v>
      </c>
      <c r="BDW24">
        <v>98.665000000000006</v>
      </c>
      <c r="BDX24">
        <v>98.644999999999996</v>
      </c>
      <c r="BDY24">
        <v>98.62</v>
      </c>
      <c r="BDZ24">
        <v>98.66</v>
      </c>
      <c r="BEA24">
        <v>98.635000000000005</v>
      </c>
      <c r="BEB24">
        <v>98.66</v>
      </c>
      <c r="BEC24">
        <v>98.62</v>
      </c>
      <c r="BED24">
        <v>98.674999999999997</v>
      </c>
      <c r="BEE24">
        <v>98.655000000000001</v>
      </c>
      <c r="BEF24">
        <v>98.784999999999997</v>
      </c>
      <c r="BEG24">
        <v>98.85</v>
      </c>
      <c r="BEH24">
        <v>98.905000000000001</v>
      </c>
      <c r="BEI24">
        <v>98.894999999999996</v>
      </c>
      <c r="BEJ24">
        <v>98.965000000000003</v>
      </c>
      <c r="BEK24">
        <v>98.974999999999994</v>
      </c>
      <c r="BEL24">
        <v>98.875</v>
      </c>
      <c r="BEM24">
        <v>98.8</v>
      </c>
      <c r="BEN24">
        <v>98.73</v>
      </c>
      <c r="BEO24">
        <v>98.74</v>
      </c>
      <c r="BEP24" t="s">
        <v>6984</v>
      </c>
      <c r="BEQ24" t="s">
        <v>6984</v>
      </c>
      <c r="BER24" t="s">
        <v>6984</v>
      </c>
      <c r="BES24" t="s">
        <v>6984</v>
      </c>
      <c r="BET24" t="s">
        <v>6984</v>
      </c>
      <c r="BEU24" t="s">
        <v>6984</v>
      </c>
      <c r="BEV24" t="s">
        <v>6984</v>
      </c>
      <c r="BEW24" t="s">
        <v>6984</v>
      </c>
      <c r="BEX24" t="s">
        <v>6984</v>
      </c>
      <c r="BEY24" t="s">
        <v>6984</v>
      </c>
      <c r="BEZ24" t="s">
        <v>6984</v>
      </c>
      <c r="BFA24" t="s">
        <v>6984</v>
      </c>
      <c r="BFB24" t="s">
        <v>6984</v>
      </c>
      <c r="BFC24" t="s">
        <v>6984</v>
      </c>
      <c r="BFD24" t="s">
        <v>6984</v>
      </c>
      <c r="BFE24" t="s">
        <v>6984</v>
      </c>
      <c r="BFF24" t="s">
        <v>6984</v>
      </c>
      <c r="BFG24" t="s">
        <v>6984</v>
      </c>
      <c r="BFH24" t="s">
        <v>6984</v>
      </c>
      <c r="BFI24" t="s">
        <v>6984</v>
      </c>
      <c r="BFJ24" t="s">
        <v>6984</v>
      </c>
      <c r="BFK24" t="s">
        <v>6984</v>
      </c>
      <c r="BFL24" t="s">
        <v>6984</v>
      </c>
      <c r="BFM24" t="s">
        <v>6984</v>
      </c>
      <c r="BFN24" t="s">
        <v>6984</v>
      </c>
      <c r="BFO24" t="s">
        <v>6984</v>
      </c>
      <c r="BFP24" t="s">
        <v>6984</v>
      </c>
      <c r="BFQ24" t="s">
        <v>6984</v>
      </c>
      <c r="BFR24" t="s">
        <v>6984</v>
      </c>
      <c r="BFS24" t="s">
        <v>6984</v>
      </c>
      <c r="BFT24" t="s">
        <v>6984</v>
      </c>
      <c r="BFU24" t="s">
        <v>6984</v>
      </c>
      <c r="BFV24" t="s">
        <v>6984</v>
      </c>
      <c r="BFW24" t="s">
        <v>6984</v>
      </c>
      <c r="BFX24" t="s">
        <v>6984</v>
      </c>
      <c r="BFY24" t="s">
        <v>6984</v>
      </c>
      <c r="BFZ24" t="s">
        <v>6984</v>
      </c>
      <c r="BGA24" t="s">
        <v>6984</v>
      </c>
      <c r="BGB24" t="s">
        <v>6984</v>
      </c>
      <c r="BGC24" t="s">
        <v>6984</v>
      </c>
      <c r="BGD24" t="s">
        <v>6984</v>
      </c>
      <c r="BGE24" t="s">
        <v>6984</v>
      </c>
      <c r="BGF24" t="s">
        <v>6984</v>
      </c>
      <c r="BGG24" t="s">
        <v>6984</v>
      </c>
      <c r="BGH24" t="s">
        <v>6984</v>
      </c>
      <c r="BGI24" t="s">
        <v>6984</v>
      </c>
      <c r="BGJ24" t="s">
        <v>6984</v>
      </c>
      <c r="BGK24" t="s">
        <v>6984</v>
      </c>
      <c r="BGL24" t="s">
        <v>6984</v>
      </c>
      <c r="BGM24" t="s">
        <v>6984</v>
      </c>
      <c r="BGN24" t="s">
        <v>6984</v>
      </c>
      <c r="BGO24" t="s">
        <v>6984</v>
      </c>
      <c r="BGP24" t="s">
        <v>6984</v>
      </c>
      <c r="BGQ24" t="s">
        <v>6984</v>
      </c>
      <c r="BGR24" t="s">
        <v>6984</v>
      </c>
      <c r="BGS24" t="s">
        <v>6984</v>
      </c>
      <c r="BGT24" t="s">
        <v>6984</v>
      </c>
      <c r="BGU24" t="s">
        <v>6984</v>
      </c>
      <c r="BGV24" t="s">
        <v>6984</v>
      </c>
      <c r="BGW24" t="s">
        <v>6984</v>
      </c>
      <c r="BGX24" t="s">
        <v>6984</v>
      </c>
      <c r="BGY24" t="s">
        <v>6984</v>
      </c>
      <c r="BGZ24" t="s">
        <v>6984</v>
      </c>
      <c r="BHA24" t="s">
        <v>6984</v>
      </c>
      <c r="BHB24" t="s">
        <v>6984</v>
      </c>
      <c r="BHC24" t="s">
        <v>6984</v>
      </c>
      <c r="BHD24" t="s">
        <v>6984</v>
      </c>
      <c r="BHE24" t="s">
        <v>6984</v>
      </c>
      <c r="BHF24" t="s">
        <v>6984</v>
      </c>
      <c r="BHG24" t="s">
        <v>6984</v>
      </c>
      <c r="BHH24" t="s">
        <v>6984</v>
      </c>
      <c r="BHI24" t="s">
        <v>6984</v>
      </c>
      <c r="BHJ24" t="s">
        <v>6984</v>
      </c>
      <c r="BHK24" t="s">
        <v>6984</v>
      </c>
      <c r="BHL24" t="s">
        <v>6984</v>
      </c>
      <c r="BHM24" t="s">
        <v>6984</v>
      </c>
      <c r="BHN24" t="s">
        <v>6984</v>
      </c>
      <c r="BHO24" t="s">
        <v>6984</v>
      </c>
      <c r="BHP24" t="s">
        <v>6984</v>
      </c>
      <c r="BHQ24" t="s">
        <v>6984</v>
      </c>
      <c r="BHR24" t="s">
        <v>6984</v>
      </c>
      <c r="BHS24" t="s">
        <v>6984</v>
      </c>
      <c r="BHT24" t="s">
        <v>6984</v>
      </c>
      <c r="BHU24" t="s">
        <v>6984</v>
      </c>
      <c r="BHV24" t="s">
        <v>6984</v>
      </c>
      <c r="BHW24" t="s">
        <v>6984</v>
      </c>
      <c r="BHX24" t="s">
        <v>6984</v>
      </c>
      <c r="BHY24" t="s">
        <v>6984</v>
      </c>
      <c r="BHZ24" t="s">
        <v>6984</v>
      </c>
      <c r="BIA24" t="s">
        <v>6984</v>
      </c>
      <c r="BIB24" t="s">
        <v>6984</v>
      </c>
      <c r="BIC24" t="s">
        <v>6984</v>
      </c>
      <c r="BID24" t="s">
        <v>6984</v>
      </c>
      <c r="BIE24" t="s">
        <v>6984</v>
      </c>
      <c r="BIF24" t="s">
        <v>6984</v>
      </c>
      <c r="BIG24" t="s">
        <v>6984</v>
      </c>
      <c r="BIH24" t="s">
        <v>6984</v>
      </c>
      <c r="BII24" t="s">
        <v>6984</v>
      </c>
      <c r="BIJ24" t="s">
        <v>6984</v>
      </c>
      <c r="BIK24" t="s">
        <v>6984</v>
      </c>
      <c r="BIL24" t="s">
        <v>6984</v>
      </c>
      <c r="BIM24" t="s">
        <v>6984</v>
      </c>
      <c r="BIN24" t="s">
        <v>6984</v>
      </c>
      <c r="BIO24" t="s">
        <v>6984</v>
      </c>
      <c r="BIP24" t="s">
        <v>6984</v>
      </c>
      <c r="BIQ24" t="s">
        <v>6984</v>
      </c>
      <c r="BIR24" t="s">
        <v>6984</v>
      </c>
      <c r="BIS24" t="s">
        <v>6984</v>
      </c>
      <c r="BIT24" t="s">
        <v>6984</v>
      </c>
      <c r="BIU24" t="s">
        <v>6984</v>
      </c>
      <c r="BIV24" t="s">
        <v>6984</v>
      </c>
      <c r="BIW24" t="s">
        <v>6984</v>
      </c>
      <c r="BIX24" t="s">
        <v>6984</v>
      </c>
      <c r="BIY24" t="s">
        <v>6984</v>
      </c>
      <c r="BIZ24" t="s">
        <v>6984</v>
      </c>
      <c r="BJA24" t="s">
        <v>6984</v>
      </c>
      <c r="BJB24" t="s">
        <v>6984</v>
      </c>
      <c r="BJC24" t="s">
        <v>6984</v>
      </c>
      <c r="BJD24" t="s">
        <v>6984</v>
      </c>
      <c r="BJE24" t="s">
        <v>6984</v>
      </c>
      <c r="BJF24" t="s">
        <v>6984</v>
      </c>
      <c r="BJG24" t="s">
        <v>6984</v>
      </c>
      <c r="BJH24" t="s">
        <v>6984</v>
      </c>
      <c r="BJI24" t="s">
        <v>6984</v>
      </c>
      <c r="BJJ24" t="s">
        <v>6984</v>
      </c>
      <c r="BJK24" t="s">
        <v>6984</v>
      </c>
      <c r="BJL24" t="s">
        <v>6984</v>
      </c>
      <c r="BJM24" t="s">
        <v>6984</v>
      </c>
      <c r="BJN24" t="s">
        <v>6984</v>
      </c>
      <c r="BJO24" t="s">
        <v>6984</v>
      </c>
      <c r="BJP24" t="s">
        <v>6984</v>
      </c>
      <c r="BJQ24" t="s">
        <v>6984</v>
      </c>
      <c r="BJR24" t="s">
        <v>6984</v>
      </c>
      <c r="BJS24" t="s">
        <v>6984</v>
      </c>
      <c r="BJT24" t="s">
        <v>6984</v>
      </c>
      <c r="BJU24" t="s">
        <v>6984</v>
      </c>
      <c r="BJV24" t="s">
        <v>6984</v>
      </c>
      <c r="BJW24" t="s">
        <v>6984</v>
      </c>
      <c r="BJX24" t="s">
        <v>6984</v>
      </c>
      <c r="BJY24" t="s">
        <v>6984</v>
      </c>
      <c r="BJZ24" t="s">
        <v>6984</v>
      </c>
      <c r="BKA24" t="s">
        <v>6984</v>
      </c>
      <c r="BKB24" t="s">
        <v>6984</v>
      </c>
      <c r="BKC24" t="s">
        <v>6984</v>
      </c>
      <c r="BKD24" t="s">
        <v>6984</v>
      </c>
      <c r="BKE24" t="s">
        <v>6984</v>
      </c>
      <c r="BKF24" t="s">
        <v>6984</v>
      </c>
      <c r="BKG24" t="s">
        <v>6984</v>
      </c>
      <c r="BKH24" t="s">
        <v>6984</v>
      </c>
      <c r="BKI24" t="s">
        <v>6984</v>
      </c>
      <c r="BKJ24" t="s">
        <v>6984</v>
      </c>
      <c r="BKK24" t="s">
        <v>6984</v>
      </c>
      <c r="BKL24" t="s">
        <v>6984</v>
      </c>
      <c r="BKM24" t="s">
        <v>6984</v>
      </c>
      <c r="BKN24" t="s">
        <v>6984</v>
      </c>
      <c r="BKO24" t="s">
        <v>6984</v>
      </c>
      <c r="BKP24" t="s">
        <v>6984</v>
      </c>
      <c r="BKQ24" t="s">
        <v>6984</v>
      </c>
      <c r="BKR24" t="s">
        <v>6984</v>
      </c>
      <c r="BKS24" t="s">
        <v>6984</v>
      </c>
      <c r="BKT24" t="s">
        <v>6984</v>
      </c>
      <c r="BKU24" t="s">
        <v>6984</v>
      </c>
      <c r="BKV24" t="s">
        <v>6984</v>
      </c>
      <c r="BKW24" t="s">
        <v>6984</v>
      </c>
      <c r="BKX24" t="s">
        <v>6984</v>
      </c>
      <c r="BKY24" t="s">
        <v>6984</v>
      </c>
      <c r="BKZ24" t="s">
        <v>6984</v>
      </c>
      <c r="BLA24" t="s">
        <v>6984</v>
      </c>
      <c r="BLB24" t="s">
        <v>6984</v>
      </c>
      <c r="BLC24" t="s">
        <v>6984</v>
      </c>
      <c r="BLD24" t="s">
        <v>6984</v>
      </c>
      <c r="BLE24" t="s">
        <v>6984</v>
      </c>
      <c r="BLF24" t="s">
        <v>6984</v>
      </c>
      <c r="BLG24" t="s">
        <v>6984</v>
      </c>
      <c r="BLH24" t="s">
        <v>6984</v>
      </c>
      <c r="BLI24" t="s">
        <v>6984</v>
      </c>
      <c r="BLJ24" t="s">
        <v>6984</v>
      </c>
      <c r="BLK24" t="s">
        <v>6984</v>
      </c>
      <c r="BLL24" t="s">
        <v>6984</v>
      </c>
      <c r="BLM24" t="s">
        <v>6984</v>
      </c>
      <c r="BLN24" t="s">
        <v>6984</v>
      </c>
      <c r="BLO24" t="s">
        <v>6984</v>
      </c>
      <c r="BLP24" t="s">
        <v>6984</v>
      </c>
      <c r="BLQ24" t="s">
        <v>6984</v>
      </c>
      <c r="BLR24" t="s">
        <v>6984</v>
      </c>
      <c r="BLS24" t="s">
        <v>6984</v>
      </c>
      <c r="BLT24" t="s">
        <v>6984</v>
      </c>
      <c r="BLU24" t="s">
        <v>6984</v>
      </c>
      <c r="BLV24" t="s">
        <v>6984</v>
      </c>
      <c r="BLW24" t="s">
        <v>6984</v>
      </c>
      <c r="BLX24" t="s">
        <v>6984</v>
      </c>
      <c r="BLY24" t="s">
        <v>6984</v>
      </c>
      <c r="BLZ24" t="s">
        <v>6984</v>
      </c>
      <c r="BMA24" t="s">
        <v>6984</v>
      </c>
      <c r="BMB24" t="s">
        <v>6984</v>
      </c>
      <c r="BMC24" t="s">
        <v>6984</v>
      </c>
      <c r="BMD24" t="s">
        <v>6984</v>
      </c>
      <c r="BME24" t="s">
        <v>6984</v>
      </c>
      <c r="BMF24" t="s">
        <v>6984</v>
      </c>
      <c r="BMG24" t="s">
        <v>6984</v>
      </c>
      <c r="BMH24" t="s">
        <v>6984</v>
      </c>
      <c r="BMI24" t="s">
        <v>6984</v>
      </c>
      <c r="BMJ24" t="s">
        <v>6984</v>
      </c>
      <c r="BMK24" t="s">
        <v>6984</v>
      </c>
      <c r="BML24" t="s">
        <v>6984</v>
      </c>
      <c r="BMM24" t="s">
        <v>6984</v>
      </c>
      <c r="BMN24" t="s">
        <v>6984</v>
      </c>
      <c r="BMO24" t="s">
        <v>6984</v>
      </c>
      <c r="BMP24" t="s">
        <v>6984</v>
      </c>
      <c r="BMQ24" t="s">
        <v>6984</v>
      </c>
      <c r="BMR24" t="s">
        <v>6984</v>
      </c>
      <c r="BMS24" t="s">
        <v>6984</v>
      </c>
      <c r="BMT24" t="s">
        <v>6984</v>
      </c>
      <c r="BMU24" t="s">
        <v>6984</v>
      </c>
      <c r="BMV24" t="s">
        <v>6984</v>
      </c>
      <c r="BMW24" t="s">
        <v>6984</v>
      </c>
      <c r="BMX24" t="s">
        <v>6984</v>
      </c>
      <c r="BMY24" t="s">
        <v>6984</v>
      </c>
      <c r="BMZ24" t="s">
        <v>6984</v>
      </c>
      <c r="BNA24" t="s">
        <v>6984</v>
      </c>
      <c r="BNB24" t="s">
        <v>6984</v>
      </c>
      <c r="BNC24" t="s">
        <v>6984</v>
      </c>
      <c r="BND24" t="s">
        <v>6984</v>
      </c>
      <c r="BNE24" t="s">
        <v>6984</v>
      </c>
      <c r="BNF24" t="s">
        <v>6984</v>
      </c>
      <c r="BNG24" t="s">
        <v>6984</v>
      </c>
      <c r="BNH24" t="s">
        <v>6984</v>
      </c>
      <c r="BNI24" t="s">
        <v>6984</v>
      </c>
      <c r="BNJ24" t="s">
        <v>6984</v>
      </c>
      <c r="BNK24" t="s">
        <v>6984</v>
      </c>
      <c r="BNL24" t="s">
        <v>6984</v>
      </c>
      <c r="BNM24" t="s">
        <v>6984</v>
      </c>
      <c r="BNN24" t="s">
        <v>6984</v>
      </c>
      <c r="BNO24" t="s">
        <v>6984</v>
      </c>
      <c r="BNP24" t="s">
        <v>6984</v>
      </c>
      <c r="BNQ24" t="s">
        <v>6984</v>
      </c>
      <c r="BNR24" t="s">
        <v>6984</v>
      </c>
      <c r="BNS24" t="s">
        <v>6984</v>
      </c>
      <c r="BNT24" t="s">
        <v>6984</v>
      </c>
      <c r="BNU24" t="s">
        <v>6984</v>
      </c>
      <c r="BNV24" t="s">
        <v>6984</v>
      </c>
      <c r="BNW24" t="s">
        <v>6984</v>
      </c>
      <c r="BNX24" t="s">
        <v>6984</v>
      </c>
      <c r="BNY24" t="s">
        <v>6984</v>
      </c>
      <c r="BNZ24" t="s">
        <v>6984</v>
      </c>
      <c r="BOA24" t="s">
        <v>6984</v>
      </c>
      <c r="BOB24" t="s">
        <v>6984</v>
      </c>
      <c r="BOC24" t="s">
        <v>6984</v>
      </c>
      <c r="BOD24" t="s">
        <v>6984</v>
      </c>
      <c r="BOE24" t="s">
        <v>6984</v>
      </c>
      <c r="BOF24" t="s">
        <v>6984</v>
      </c>
      <c r="BOG24" t="s">
        <v>6984</v>
      </c>
      <c r="BOH24" t="s">
        <v>6984</v>
      </c>
      <c r="BOI24" t="s">
        <v>6984</v>
      </c>
      <c r="BOJ24" t="s">
        <v>6984</v>
      </c>
      <c r="BOK24" t="s">
        <v>6984</v>
      </c>
      <c r="BOL24" t="s">
        <v>6984</v>
      </c>
      <c r="BOM24" t="s">
        <v>6984</v>
      </c>
      <c r="BON24" t="s">
        <v>6984</v>
      </c>
      <c r="BOO24" t="s">
        <v>6984</v>
      </c>
      <c r="BOP24" t="s">
        <v>6984</v>
      </c>
      <c r="BOQ24" t="s">
        <v>6984</v>
      </c>
      <c r="BOR24" t="s">
        <v>6984</v>
      </c>
      <c r="BOS24" t="s">
        <v>6984</v>
      </c>
      <c r="BOT24" t="s">
        <v>6984</v>
      </c>
      <c r="BOU24" t="s">
        <v>6984</v>
      </c>
      <c r="BOV24" t="s">
        <v>6984</v>
      </c>
      <c r="BOW24" t="s">
        <v>6984</v>
      </c>
      <c r="BOX24" t="s">
        <v>6984</v>
      </c>
      <c r="BOY24" t="s">
        <v>6984</v>
      </c>
      <c r="BOZ24" t="s">
        <v>6984</v>
      </c>
      <c r="BPA24" t="s">
        <v>6984</v>
      </c>
      <c r="BPB24" t="s">
        <v>6984</v>
      </c>
      <c r="BPC24" t="s">
        <v>6984</v>
      </c>
      <c r="BPD24" t="s">
        <v>6984</v>
      </c>
      <c r="BPE24" t="s">
        <v>6984</v>
      </c>
      <c r="BPF24" t="s">
        <v>6984</v>
      </c>
      <c r="BPG24" t="s">
        <v>6984</v>
      </c>
      <c r="BPH24" t="s">
        <v>6984</v>
      </c>
      <c r="BPI24" t="s">
        <v>6984</v>
      </c>
      <c r="BPJ24" t="s">
        <v>6984</v>
      </c>
      <c r="BPK24" t="s">
        <v>6984</v>
      </c>
      <c r="BPL24" t="s">
        <v>6984</v>
      </c>
      <c r="BPM24" t="s">
        <v>6984</v>
      </c>
      <c r="BPN24" t="s">
        <v>6984</v>
      </c>
      <c r="BPO24" t="s">
        <v>6984</v>
      </c>
      <c r="BPP24" t="s">
        <v>6984</v>
      </c>
      <c r="BPQ24" t="s">
        <v>6984</v>
      </c>
      <c r="BPR24" t="s">
        <v>6984</v>
      </c>
      <c r="BPS24" t="s">
        <v>6984</v>
      </c>
      <c r="BPT24" t="s">
        <v>6984</v>
      </c>
      <c r="BPU24" t="s">
        <v>6984</v>
      </c>
      <c r="BPV24" t="s">
        <v>6984</v>
      </c>
      <c r="BPW24" t="s">
        <v>6984</v>
      </c>
      <c r="BPX24" t="s">
        <v>6984</v>
      </c>
      <c r="BPY24" t="s">
        <v>6984</v>
      </c>
      <c r="BPZ24" t="s">
        <v>6984</v>
      </c>
      <c r="BQA24" t="s">
        <v>6984</v>
      </c>
      <c r="BQB24" t="s">
        <v>6984</v>
      </c>
      <c r="BQC24" t="s">
        <v>6984</v>
      </c>
      <c r="BQD24" t="s">
        <v>6984</v>
      </c>
      <c r="BQE24" t="s">
        <v>6984</v>
      </c>
      <c r="BQF24" t="s">
        <v>6984</v>
      </c>
      <c r="BQG24" t="s">
        <v>6984</v>
      </c>
      <c r="BQH24" t="s">
        <v>6984</v>
      </c>
      <c r="BQI24" t="s">
        <v>6984</v>
      </c>
      <c r="BQJ24" t="s">
        <v>6984</v>
      </c>
      <c r="BQK24" t="s">
        <v>6984</v>
      </c>
      <c r="BQL24" t="s">
        <v>6984</v>
      </c>
      <c r="BQM24" t="s">
        <v>6984</v>
      </c>
      <c r="BQN24" t="s">
        <v>6984</v>
      </c>
      <c r="BQO24" t="s">
        <v>6984</v>
      </c>
      <c r="BQP24" t="s">
        <v>6984</v>
      </c>
      <c r="BQQ24" t="s">
        <v>6984</v>
      </c>
      <c r="BQR24" t="s">
        <v>6984</v>
      </c>
      <c r="BQS24" t="s">
        <v>6984</v>
      </c>
      <c r="BQT24" t="s">
        <v>6984</v>
      </c>
      <c r="BQU24" t="s">
        <v>6984</v>
      </c>
      <c r="BQV24" t="s">
        <v>6984</v>
      </c>
      <c r="BQW24" t="s">
        <v>6984</v>
      </c>
      <c r="BQX24" t="s">
        <v>6984</v>
      </c>
      <c r="BQY24" t="s">
        <v>6984</v>
      </c>
      <c r="BQZ24" t="s">
        <v>6984</v>
      </c>
      <c r="BRA24" t="s">
        <v>6984</v>
      </c>
      <c r="BRB24" t="s">
        <v>6984</v>
      </c>
      <c r="BRC24" t="s">
        <v>6984</v>
      </c>
      <c r="BRD24" t="s">
        <v>6984</v>
      </c>
      <c r="BRE24" t="s">
        <v>6984</v>
      </c>
      <c r="BRF24" t="s">
        <v>6984</v>
      </c>
      <c r="BRG24" t="s">
        <v>6984</v>
      </c>
      <c r="BRH24" t="s">
        <v>6984</v>
      </c>
      <c r="BRI24" t="s">
        <v>6984</v>
      </c>
      <c r="BRJ24" t="s">
        <v>6984</v>
      </c>
      <c r="BRK24" t="s">
        <v>6984</v>
      </c>
      <c r="BRL24" t="s">
        <v>6984</v>
      </c>
      <c r="BRM24" t="s">
        <v>6984</v>
      </c>
      <c r="BRN24" t="s">
        <v>6984</v>
      </c>
      <c r="BRO24" t="s">
        <v>6984</v>
      </c>
      <c r="BRP24" t="s">
        <v>6984</v>
      </c>
      <c r="BRQ24" t="s">
        <v>6984</v>
      </c>
      <c r="BRR24" t="s">
        <v>6984</v>
      </c>
      <c r="BRS24" t="s">
        <v>6984</v>
      </c>
      <c r="BRT24" t="s">
        <v>6984</v>
      </c>
      <c r="BRU24" t="s">
        <v>6984</v>
      </c>
      <c r="BRV24" t="s">
        <v>6984</v>
      </c>
      <c r="BRW24" t="s">
        <v>6984</v>
      </c>
      <c r="BRX24" t="s">
        <v>6984</v>
      </c>
      <c r="BRY24" t="s">
        <v>6984</v>
      </c>
      <c r="BRZ24" t="s">
        <v>6984</v>
      </c>
      <c r="BSA24" t="s">
        <v>6984</v>
      </c>
      <c r="BSB24" t="s">
        <v>6984</v>
      </c>
      <c r="BSC24" t="s">
        <v>6984</v>
      </c>
      <c r="BSD24" t="s">
        <v>6984</v>
      </c>
      <c r="BSE24" t="s">
        <v>6984</v>
      </c>
      <c r="BSF24" t="s">
        <v>6984</v>
      </c>
      <c r="BSG24" t="s">
        <v>6984</v>
      </c>
      <c r="BSH24" t="s">
        <v>6984</v>
      </c>
      <c r="BSI24" t="s">
        <v>6984</v>
      </c>
      <c r="BSJ24" t="s">
        <v>6984</v>
      </c>
      <c r="BSK24" t="s">
        <v>6984</v>
      </c>
      <c r="BSL24" t="s">
        <v>6984</v>
      </c>
      <c r="BSM24" t="s">
        <v>6984</v>
      </c>
      <c r="BSN24" t="s">
        <v>6984</v>
      </c>
      <c r="BSO24" t="s">
        <v>6984</v>
      </c>
      <c r="BSP24" t="s">
        <v>6984</v>
      </c>
      <c r="BSQ24" t="s">
        <v>6984</v>
      </c>
      <c r="BSR24" t="s">
        <v>6984</v>
      </c>
      <c r="BSS24" t="s">
        <v>6984</v>
      </c>
      <c r="BST24" t="s">
        <v>6984</v>
      </c>
      <c r="BSU24" t="s">
        <v>6984</v>
      </c>
      <c r="BSV24" t="s">
        <v>6984</v>
      </c>
      <c r="BSW24" t="s">
        <v>6984</v>
      </c>
      <c r="BSX24" t="s">
        <v>6984</v>
      </c>
      <c r="BSY24" t="s">
        <v>6984</v>
      </c>
      <c r="BSZ24" t="s">
        <v>6984</v>
      </c>
      <c r="BTA24" t="s">
        <v>6984</v>
      </c>
      <c r="BTB24" t="s">
        <v>6984</v>
      </c>
      <c r="BTC24" t="s">
        <v>6984</v>
      </c>
      <c r="BTD24" t="s">
        <v>6984</v>
      </c>
      <c r="BTE24" t="s">
        <v>6984</v>
      </c>
      <c r="BTF24" t="s">
        <v>6984</v>
      </c>
      <c r="BTG24" t="s">
        <v>6984</v>
      </c>
      <c r="BTH24" t="s">
        <v>6984</v>
      </c>
      <c r="BTI24" t="s">
        <v>6984</v>
      </c>
      <c r="BTJ24" t="s">
        <v>6984</v>
      </c>
      <c r="BTK24" t="s">
        <v>6984</v>
      </c>
      <c r="BTL24" t="s">
        <v>6984</v>
      </c>
      <c r="BTM24" t="s">
        <v>6984</v>
      </c>
      <c r="BTN24" t="s">
        <v>6984</v>
      </c>
      <c r="BTO24" t="s">
        <v>6984</v>
      </c>
      <c r="BTP24" t="s">
        <v>6984</v>
      </c>
      <c r="BTQ24" t="s">
        <v>6984</v>
      </c>
      <c r="BTR24" t="s">
        <v>6984</v>
      </c>
      <c r="BTS24" t="s">
        <v>6984</v>
      </c>
      <c r="BTT24" t="s">
        <v>6984</v>
      </c>
      <c r="BTU24" t="s">
        <v>6984</v>
      </c>
      <c r="BTV24" t="s">
        <v>6984</v>
      </c>
      <c r="BTW24" t="s">
        <v>6984</v>
      </c>
      <c r="BTX24" t="s">
        <v>6984</v>
      </c>
      <c r="BTY24" t="s">
        <v>6984</v>
      </c>
      <c r="BTZ24" t="s">
        <v>6984</v>
      </c>
      <c r="BUA24" t="s">
        <v>6984</v>
      </c>
      <c r="BUB24" t="s">
        <v>6984</v>
      </c>
      <c r="BUC24" t="s">
        <v>6984</v>
      </c>
      <c r="BUD24" t="s">
        <v>6984</v>
      </c>
      <c r="BUE24" t="s">
        <v>6984</v>
      </c>
      <c r="BUF24" t="s">
        <v>6984</v>
      </c>
      <c r="BUG24" t="s">
        <v>6984</v>
      </c>
      <c r="BUH24" t="s">
        <v>6984</v>
      </c>
      <c r="BUI24" t="s">
        <v>6984</v>
      </c>
      <c r="BUJ24" t="s">
        <v>6984</v>
      </c>
      <c r="BUK24" t="s">
        <v>6984</v>
      </c>
      <c r="BUL24" t="s">
        <v>6984</v>
      </c>
      <c r="BUM24" t="s">
        <v>6984</v>
      </c>
      <c r="BUN24" t="s">
        <v>6984</v>
      </c>
      <c r="BUO24" t="s">
        <v>6984</v>
      </c>
      <c r="BUP24" t="s">
        <v>6984</v>
      </c>
      <c r="BUQ24" t="s">
        <v>6984</v>
      </c>
      <c r="BUR24" t="s">
        <v>6984</v>
      </c>
      <c r="BUS24" t="s">
        <v>6984</v>
      </c>
      <c r="BUT24" t="s">
        <v>6984</v>
      </c>
      <c r="BUU24" t="s">
        <v>6984</v>
      </c>
      <c r="BUV24" t="s">
        <v>6984</v>
      </c>
      <c r="BUW24" t="s">
        <v>6984</v>
      </c>
      <c r="BUX24" t="s">
        <v>6984</v>
      </c>
      <c r="BUY24" t="s">
        <v>6984</v>
      </c>
      <c r="BUZ24" t="s">
        <v>6984</v>
      </c>
      <c r="BVA24" t="s">
        <v>6984</v>
      </c>
      <c r="BVB24" t="s">
        <v>6984</v>
      </c>
      <c r="BVC24" t="s">
        <v>6984</v>
      </c>
      <c r="BVD24" t="s">
        <v>6984</v>
      </c>
      <c r="BVE24" t="s">
        <v>6984</v>
      </c>
      <c r="BVF24" t="s">
        <v>6984</v>
      </c>
      <c r="BVG24" t="s">
        <v>6984</v>
      </c>
      <c r="BVH24" t="s">
        <v>6984</v>
      </c>
      <c r="BVI24" t="s">
        <v>6984</v>
      </c>
      <c r="BVJ24" t="s">
        <v>6984</v>
      </c>
      <c r="BVK24" t="s">
        <v>6984</v>
      </c>
      <c r="BVL24" t="s">
        <v>6984</v>
      </c>
      <c r="BVM24" t="s">
        <v>6984</v>
      </c>
      <c r="BVN24" t="s">
        <v>6984</v>
      </c>
      <c r="BVO24" t="s">
        <v>6984</v>
      </c>
      <c r="BVP24" t="s">
        <v>6984</v>
      </c>
      <c r="BVQ24" t="s">
        <v>6984</v>
      </c>
      <c r="BVR24" t="s">
        <v>6984</v>
      </c>
      <c r="BVS24" t="s">
        <v>6984</v>
      </c>
      <c r="BVT24" t="s">
        <v>6984</v>
      </c>
      <c r="BVU24" t="s">
        <v>6984</v>
      </c>
      <c r="BVV24" t="s">
        <v>6984</v>
      </c>
      <c r="BVW24" t="s">
        <v>6984</v>
      </c>
      <c r="BVX24" t="s">
        <v>6984</v>
      </c>
      <c r="BVY24" t="s">
        <v>6984</v>
      </c>
      <c r="BVZ24" t="s">
        <v>6984</v>
      </c>
      <c r="BWA24" t="s">
        <v>6984</v>
      </c>
      <c r="BWB24" t="s">
        <v>6984</v>
      </c>
      <c r="BWC24" t="s">
        <v>6984</v>
      </c>
      <c r="BWD24" t="s">
        <v>6984</v>
      </c>
      <c r="BWE24" t="s">
        <v>6984</v>
      </c>
      <c r="BWF24" t="s">
        <v>6984</v>
      </c>
      <c r="BWG24" t="s">
        <v>6984</v>
      </c>
      <c r="BWH24" t="s">
        <v>6984</v>
      </c>
      <c r="BWI24" t="s">
        <v>6984</v>
      </c>
      <c r="BWJ24" t="s">
        <v>6984</v>
      </c>
      <c r="BWK24" t="s">
        <v>6984</v>
      </c>
      <c r="BWL24" t="s">
        <v>6984</v>
      </c>
      <c r="BWM24" t="s">
        <v>6984</v>
      </c>
      <c r="BWN24" t="s">
        <v>6984</v>
      </c>
      <c r="BWO24" t="s">
        <v>6984</v>
      </c>
      <c r="BWP24" t="s">
        <v>6984</v>
      </c>
      <c r="BWQ24" t="s">
        <v>6984</v>
      </c>
      <c r="BWR24" t="s">
        <v>6984</v>
      </c>
      <c r="BWS24" t="s">
        <v>6984</v>
      </c>
      <c r="BWT24" t="s">
        <v>6984</v>
      </c>
      <c r="BWU24" t="s">
        <v>6984</v>
      </c>
      <c r="BWV24" t="s">
        <v>6984</v>
      </c>
      <c r="BWW24" t="s">
        <v>6984</v>
      </c>
      <c r="BWX24" t="s">
        <v>6984</v>
      </c>
      <c r="BWY24" t="s">
        <v>6984</v>
      </c>
      <c r="BWZ24" t="s">
        <v>6984</v>
      </c>
      <c r="BXA24" t="s">
        <v>6984</v>
      </c>
      <c r="BXB24" t="s">
        <v>6984</v>
      </c>
      <c r="BXC24" t="s">
        <v>6984</v>
      </c>
      <c r="BXD24" t="s">
        <v>6984</v>
      </c>
      <c r="BXE24" t="s">
        <v>6984</v>
      </c>
      <c r="BXF24" t="s">
        <v>6984</v>
      </c>
      <c r="BXG24" t="s">
        <v>6984</v>
      </c>
      <c r="BXH24" t="s">
        <v>6984</v>
      </c>
      <c r="BXI24" t="s">
        <v>6984</v>
      </c>
      <c r="BXJ24" t="s">
        <v>6984</v>
      </c>
      <c r="BXK24" t="s">
        <v>6984</v>
      </c>
      <c r="BXL24" t="s">
        <v>6984</v>
      </c>
      <c r="BXM24" t="s">
        <v>6984</v>
      </c>
      <c r="BXN24" t="s">
        <v>6984</v>
      </c>
      <c r="BXO24" t="s">
        <v>6984</v>
      </c>
      <c r="BXP24" t="s">
        <v>6984</v>
      </c>
      <c r="BXQ24" t="s">
        <v>6984</v>
      </c>
      <c r="BXR24" t="s">
        <v>6984</v>
      </c>
      <c r="BXS24" t="s">
        <v>6984</v>
      </c>
      <c r="BXT24" t="s">
        <v>6984</v>
      </c>
      <c r="BXU24" t="s">
        <v>6984</v>
      </c>
      <c r="BXV24" t="s">
        <v>6984</v>
      </c>
      <c r="BXW24" t="s">
        <v>6984</v>
      </c>
      <c r="BXX24" t="s">
        <v>6984</v>
      </c>
      <c r="BXY24" t="s">
        <v>6984</v>
      </c>
      <c r="BXZ24" t="s">
        <v>6984</v>
      </c>
      <c r="BYA24" t="s">
        <v>6984</v>
      </c>
      <c r="BYB24" t="s">
        <v>6984</v>
      </c>
      <c r="BYC24" t="s">
        <v>6984</v>
      </c>
      <c r="BYD24" t="s">
        <v>6984</v>
      </c>
      <c r="BYE24" t="s">
        <v>6984</v>
      </c>
      <c r="BYF24" t="s">
        <v>6984</v>
      </c>
      <c r="BYG24" t="s">
        <v>6984</v>
      </c>
      <c r="BYH24" t="s">
        <v>6984</v>
      </c>
      <c r="BYI24" t="s">
        <v>6984</v>
      </c>
      <c r="BYJ24" t="s">
        <v>6984</v>
      </c>
      <c r="BYK24" t="s">
        <v>6984</v>
      </c>
      <c r="BYL24" t="s">
        <v>6984</v>
      </c>
      <c r="BYM24" t="s">
        <v>6984</v>
      </c>
      <c r="BYN24" t="s">
        <v>6984</v>
      </c>
      <c r="BYO24" t="s">
        <v>6984</v>
      </c>
      <c r="BYP24" t="s">
        <v>6984</v>
      </c>
      <c r="BYQ24" t="s">
        <v>6984</v>
      </c>
      <c r="BYR24" t="s">
        <v>6984</v>
      </c>
      <c r="BYS24" t="s">
        <v>6984</v>
      </c>
      <c r="BYT24" t="s">
        <v>6984</v>
      </c>
      <c r="BYU24" t="s">
        <v>6984</v>
      </c>
      <c r="BYV24" t="s">
        <v>6984</v>
      </c>
      <c r="BYW24" t="s">
        <v>6984</v>
      </c>
      <c r="BYX24" t="s">
        <v>6984</v>
      </c>
      <c r="BYY24" t="s">
        <v>6984</v>
      </c>
      <c r="BYZ24" t="s">
        <v>6984</v>
      </c>
      <c r="BZA24" t="s">
        <v>6984</v>
      </c>
      <c r="BZB24" t="s">
        <v>6984</v>
      </c>
      <c r="BZC24" t="s">
        <v>6984</v>
      </c>
      <c r="BZD24" t="s">
        <v>6984</v>
      </c>
      <c r="BZE24" t="s">
        <v>6984</v>
      </c>
      <c r="BZF24" t="s">
        <v>6984</v>
      </c>
      <c r="BZG24" t="s">
        <v>6984</v>
      </c>
      <c r="BZH24" t="s">
        <v>6984</v>
      </c>
      <c r="BZI24" t="s">
        <v>6984</v>
      </c>
      <c r="BZJ24" t="s">
        <v>6984</v>
      </c>
      <c r="BZK24" t="s">
        <v>6984</v>
      </c>
      <c r="BZL24" t="s">
        <v>6984</v>
      </c>
      <c r="BZM24" t="s">
        <v>6984</v>
      </c>
      <c r="BZN24" t="s">
        <v>6984</v>
      </c>
      <c r="BZO24" t="s">
        <v>6984</v>
      </c>
      <c r="BZP24" t="s">
        <v>6984</v>
      </c>
      <c r="BZQ24" t="s">
        <v>6984</v>
      </c>
      <c r="BZR24" t="s">
        <v>6984</v>
      </c>
      <c r="BZS24" t="s">
        <v>6984</v>
      </c>
      <c r="BZT24" t="s">
        <v>6984</v>
      </c>
      <c r="BZU24" t="s">
        <v>6984</v>
      </c>
      <c r="BZV24" t="s">
        <v>6984</v>
      </c>
      <c r="BZW24" t="s">
        <v>6984</v>
      </c>
      <c r="BZX24" t="s">
        <v>6984</v>
      </c>
      <c r="BZY24" t="s">
        <v>6984</v>
      </c>
      <c r="BZZ24" t="s">
        <v>6984</v>
      </c>
      <c r="CAA24" t="s">
        <v>6984</v>
      </c>
      <c r="CAB24" t="s">
        <v>6984</v>
      </c>
      <c r="CAC24" t="s">
        <v>6984</v>
      </c>
      <c r="CAD24" t="s">
        <v>6984</v>
      </c>
      <c r="CAE24" t="s">
        <v>6984</v>
      </c>
      <c r="CAF24" t="s">
        <v>6984</v>
      </c>
      <c r="CAG24" t="s">
        <v>6984</v>
      </c>
      <c r="CAH24" t="s">
        <v>6984</v>
      </c>
      <c r="CAI24" t="s">
        <v>6984</v>
      </c>
      <c r="CAJ24" t="s">
        <v>6984</v>
      </c>
      <c r="CAK24" t="s">
        <v>6984</v>
      </c>
      <c r="CAL24" t="s">
        <v>6984</v>
      </c>
      <c r="CAM24" t="s">
        <v>6984</v>
      </c>
      <c r="CAN24" t="s">
        <v>6984</v>
      </c>
      <c r="CAO24" t="s">
        <v>6984</v>
      </c>
      <c r="CAP24" t="s">
        <v>6984</v>
      </c>
      <c r="CAQ24" t="s">
        <v>6984</v>
      </c>
      <c r="CAR24" t="s">
        <v>6984</v>
      </c>
      <c r="CAS24" t="s">
        <v>6984</v>
      </c>
      <c r="CAT24" t="s">
        <v>6984</v>
      </c>
      <c r="CAU24" t="s">
        <v>6984</v>
      </c>
      <c r="CAV24" t="s">
        <v>6984</v>
      </c>
      <c r="CAW24" t="s">
        <v>6984</v>
      </c>
      <c r="CAX24" t="s">
        <v>6984</v>
      </c>
      <c r="CAY24" t="s">
        <v>6984</v>
      </c>
      <c r="CAZ24" t="s">
        <v>6984</v>
      </c>
      <c r="CBA24" t="s">
        <v>6984</v>
      </c>
      <c r="CBB24" t="s">
        <v>6984</v>
      </c>
      <c r="CBC24" t="s">
        <v>6984</v>
      </c>
      <c r="CBD24" t="s">
        <v>6984</v>
      </c>
      <c r="CBE24" t="s">
        <v>6984</v>
      </c>
      <c r="CBF24" t="s">
        <v>6984</v>
      </c>
      <c r="CBG24" t="s">
        <v>6984</v>
      </c>
      <c r="CBH24" t="s">
        <v>6984</v>
      </c>
      <c r="CBI24" t="s">
        <v>6984</v>
      </c>
      <c r="CBJ24" t="s">
        <v>6984</v>
      </c>
      <c r="CBK24" t="s">
        <v>6984</v>
      </c>
      <c r="CBL24" t="s">
        <v>6984</v>
      </c>
      <c r="CBM24" t="s">
        <v>6984</v>
      </c>
      <c r="CBN24" t="s">
        <v>6984</v>
      </c>
      <c r="CBO24" t="s">
        <v>6984</v>
      </c>
      <c r="CBP24" t="s">
        <v>6984</v>
      </c>
      <c r="CBQ24" t="s">
        <v>6984</v>
      </c>
      <c r="CBR24" t="s">
        <v>6984</v>
      </c>
      <c r="CBS24" t="s">
        <v>6984</v>
      </c>
      <c r="CBT24" t="s">
        <v>6984</v>
      </c>
      <c r="CBU24" t="s">
        <v>6984</v>
      </c>
      <c r="CBV24" t="s">
        <v>6984</v>
      </c>
      <c r="CBW24" t="s">
        <v>6984</v>
      </c>
      <c r="CBX24" t="s">
        <v>6984</v>
      </c>
      <c r="CBY24" t="s">
        <v>6984</v>
      </c>
      <c r="CBZ24" t="s">
        <v>6984</v>
      </c>
      <c r="CCA24" t="s">
        <v>6984</v>
      </c>
      <c r="CCB24" t="s">
        <v>6984</v>
      </c>
      <c r="CCC24" t="s">
        <v>6984</v>
      </c>
      <c r="CCD24" t="s">
        <v>6984</v>
      </c>
      <c r="CCE24" t="s">
        <v>6984</v>
      </c>
      <c r="CCF24" t="s">
        <v>6984</v>
      </c>
      <c r="CCG24" t="s">
        <v>6984</v>
      </c>
      <c r="CCH24" t="s">
        <v>6984</v>
      </c>
      <c r="CCI24" t="s">
        <v>6984</v>
      </c>
      <c r="CCJ24" t="s">
        <v>6984</v>
      </c>
      <c r="CCK24" t="s">
        <v>6984</v>
      </c>
      <c r="CCL24" t="s">
        <v>6984</v>
      </c>
      <c r="CCM24" t="s">
        <v>6984</v>
      </c>
      <c r="CCN24" t="s">
        <v>6984</v>
      </c>
      <c r="CCO24" t="s">
        <v>6984</v>
      </c>
      <c r="CCP24" t="s">
        <v>6984</v>
      </c>
      <c r="CCQ24" t="s">
        <v>6984</v>
      </c>
      <c r="CCR24" t="s">
        <v>6984</v>
      </c>
      <c r="CCS24" t="s">
        <v>6984</v>
      </c>
      <c r="CCT24" t="s">
        <v>6984</v>
      </c>
      <c r="CCU24" t="s">
        <v>6984</v>
      </c>
      <c r="CCV24" t="s">
        <v>6984</v>
      </c>
      <c r="CCW24" t="s">
        <v>6984</v>
      </c>
      <c r="CCX24" t="s">
        <v>6984</v>
      </c>
      <c r="CCY24" t="s">
        <v>6984</v>
      </c>
      <c r="CCZ24" t="s">
        <v>6984</v>
      </c>
      <c r="CDA24" t="s">
        <v>6984</v>
      </c>
      <c r="CDB24" t="s">
        <v>6984</v>
      </c>
      <c r="CDC24" t="s">
        <v>6984</v>
      </c>
      <c r="CDD24" t="s">
        <v>6984</v>
      </c>
      <c r="CDE24" t="s">
        <v>6984</v>
      </c>
      <c r="CDF24" t="s">
        <v>6984</v>
      </c>
      <c r="CDG24" t="s">
        <v>6984</v>
      </c>
      <c r="CDH24" t="s">
        <v>6984</v>
      </c>
      <c r="CDI24" t="s">
        <v>6984</v>
      </c>
      <c r="CDJ24" t="s">
        <v>6984</v>
      </c>
      <c r="CDK24" t="s">
        <v>6984</v>
      </c>
      <c r="CDL24" t="s">
        <v>6984</v>
      </c>
      <c r="CDM24" t="s">
        <v>6984</v>
      </c>
      <c r="CDN24" t="s">
        <v>6984</v>
      </c>
      <c r="CDO24" t="s">
        <v>6984</v>
      </c>
      <c r="CDP24" t="s">
        <v>6984</v>
      </c>
      <c r="CDQ24" t="s">
        <v>6984</v>
      </c>
      <c r="CDR24" t="s">
        <v>6984</v>
      </c>
      <c r="CDS24" t="s">
        <v>6984</v>
      </c>
      <c r="CDT24" t="s">
        <v>6984</v>
      </c>
      <c r="CDU24" t="s">
        <v>6984</v>
      </c>
      <c r="CDV24" t="s">
        <v>6984</v>
      </c>
      <c r="CDW24" t="s">
        <v>6984</v>
      </c>
      <c r="CDX24" t="s">
        <v>6984</v>
      </c>
      <c r="CDY24" t="s">
        <v>6984</v>
      </c>
      <c r="CDZ24" t="s">
        <v>6984</v>
      </c>
      <c r="CEA24" t="s">
        <v>6984</v>
      </c>
      <c r="CEB24" t="s">
        <v>6984</v>
      </c>
      <c r="CEC24" t="s">
        <v>6984</v>
      </c>
      <c r="CED24" t="s">
        <v>6984</v>
      </c>
      <c r="CEE24" t="s">
        <v>6984</v>
      </c>
      <c r="CEF24" t="s">
        <v>6984</v>
      </c>
      <c r="CEG24" t="s">
        <v>6984</v>
      </c>
      <c r="CEH24" t="s">
        <v>6984</v>
      </c>
      <c r="CEI24" t="s">
        <v>6984</v>
      </c>
      <c r="CEJ24" t="s">
        <v>6984</v>
      </c>
      <c r="CEK24" t="s">
        <v>6984</v>
      </c>
      <c r="CEL24" t="s">
        <v>6984</v>
      </c>
      <c r="CEM24" t="s">
        <v>6984</v>
      </c>
      <c r="CEN24" t="s">
        <v>6984</v>
      </c>
      <c r="CEO24" t="s">
        <v>6984</v>
      </c>
      <c r="CEP24" t="s">
        <v>6984</v>
      </c>
      <c r="CEQ24" t="s">
        <v>6984</v>
      </c>
      <c r="CER24" t="s">
        <v>6984</v>
      </c>
      <c r="CES24" t="s">
        <v>6984</v>
      </c>
      <c r="CET24" t="s">
        <v>6984</v>
      </c>
      <c r="CEU24" t="s">
        <v>6984</v>
      </c>
      <c r="CEV24" t="s">
        <v>6984</v>
      </c>
      <c r="CEW24" t="s">
        <v>6984</v>
      </c>
      <c r="CEX24" t="s">
        <v>6984</v>
      </c>
      <c r="CEY24" t="s">
        <v>6984</v>
      </c>
      <c r="CEZ24" t="s">
        <v>6984</v>
      </c>
      <c r="CFA24" t="s">
        <v>6984</v>
      </c>
      <c r="CFB24" t="s">
        <v>6984</v>
      </c>
      <c r="CFC24" t="s">
        <v>6984</v>
      </c>
      <c r="CFD24" t="s">
        <v>6984</v>
      </c>
      <c r="CFE24" t="s">
        <v>6984</v>
      </c>
      <c r="CFF24" t="s">
        <v>6984</v>
      </c>
      <c r="CFG24" t="s">
        <v>6984</v>
      </c>
      <c r="CFH24" t="s">
        <v>6984</v>
      </c>
      <c r="CFI24" t="s">
        <v>6984</v>
      </c>
      <c r="CFJ24" t="s">
        <v>6984</v>
      </c>
      <c r="CFK24" t="s">
        <v>6984</v>
      </c>
      <c r="CFL24" t="s">
        <v>6984</v>
      </c>
      <c r="CFM24" t="s">
        <v>6984</v>
      </c>
      <c r="CFN24" t="s">
        <v>6984</v>
      </c>
      <c r="CFO24" t="s">
        <v>6984</v>
      </c>
      <c r="CFP24" t="s">
        <v>6984</v>
      </c>
      <c r="CFQ24" t="s">
        <v>6984</v>
      </c>
      <c r="CFR24" t="s">
        <v>6984</v>
      </c>
      <c r="CFS24" t="s">
        <v>6984</v>
      </c>
      <c r="CFT24" t="s">
        <v>6984</v>
      </c>
      <c r="CFU24" t="s">
        <v>6984</v>
      </c>
      <c r="CFV24" t="s">
        <v>6984</v>
      </c>
      <c r="CFW24" t="s">
        <v>6984</v>
      </c>
      <c r="CFX24" t="s">
        <v>6984</v>
      </c>
      <c r="CFY24" t="s">
        <v>6984</v>
      </c>
      <c r="CFZ24" t="s">
        <v>6984</v>
      </c>
      <c r="CGA24" t="s">
        <v>6984</v>
      </c>
      <c r="CGB24" t="s">
        <v>6984</v>
      </c>
      <c r="CGC24" t="s">
        <v>6984</v>
      </c>
      <c r="CGD24" t="s">
        <v>6984</v>
      </c>
      <c r="CGE24" t="s">
        <v>6984</v>
      </c>
      <c r="CGF24" t="s">
        <v>6984</v>
      </c>
      <c r="CGG24" t="s">
        <v>6984</v>
      </c>
      <c r="CGH24" t="s">
        <v>6984</v>
      </c>
      <c r="CGI24" t="s">
        <v>6984</v>
      </c>
      <c r="CGJ24" t="s">
        <v>6984</v>
      </c>
      <c r="CGK24" t="s">
        <v>6984</v>
      </c>
      <c r="CGL24" t="s">
        <v>6984</v>
      </c>
      <c r="CGM24" t="s">
        <v>6984</v>
      </c>
      <c r="CGN24" t="s">
        <v>6984</v>
      </c>
      <c r="CGO24" t="s">
        <v>6984</v>
      </c>
      <c r="CGP24" t="s">
        <v>6984</v>
      </c>
      <c r="CGQ24" t="s">
        <v>6984</v>
      </c>
      <c r="CGR24" t="s">
        <v>6984</v>
      </c>
      <c r="CGS24" t="s">
        <v>6984</v>
      </c>
      <c r="CGT24" t="s">
        <v>6984</v>
      </c>
      <c r="CGU24" t="s">
        <v>6984</v>
      </c>
      <c r="CGV24" t="s">
        <v>6984</v>
      </c>
      <c r="CGW24" t="s">
        <v>6984</v>
      </c>
      <c r="CGX24" t="s">
        <v>6984</v>
      </c>
      <c r="CGY24" t="s">
        <v>6984</v>
      </c>
      <c r="CGZ24" t="s">
        <v>6984</v>
      </c>
      <c r="CHA24" t="s">
        <v>6984</v>
      </c>
      <c r="CHB24" t="s">
        <v>6984</v>
      </c>
      <c r="CHC24" t="s">
        <v>6984</v>
      </c>
      <c r="CHD24" t="s">
        <v>6984</v>
      </c>
      <c r="CHE24" t="s">
        <v>6984</v>
      </c>
      <c r="CHF24" t="s">
        <v>6984</v>
      </c>
      <c r="CHG24" t="s">
        <v>6984</v>
      </c>
      <c r="CHH24" t="s">
        <v>6984</v>
      </c>
      <c r="CHI24" t="s">
        <v>6984</v>
      </c>
      <c r="CHJ24" t="s">
        <v>6984</v>
      </c>
      <c r="CHK24" t="s">
        <v>6984</v>
      </c>
      <c r="CHL24" t="s">
        <v>6984</v>
      </c>
      <c r="CHM24" t="s">
        <v>6984</v>
      </c>
      <c r="CHN24" t="s">
        <v>6984</v>
      </c>
      <c r="CHO24" t="s">
        <v>6984</v>
      </c>
      <c r="CHP24" t="s">
        <v>6984</v>
      </c>
      <c r="CHQ24" t="s">
        <v>6984</v>
      </c>
      <c r="CHR24" t="s">
        <v>6984</v>
      </c>
      <c r="CHS24" t="s">
        <v>6984</v>
      </c>
      <c r="CHT24" t="s">
        <v>6984</v>
      </c>
      <c r="CHU24" t="s">
        <v>6984</v>
      </c>
      <c r="CHV24" t="s">
        <v>6984</v>
      </c>
      <c r="CHW24" t="s">
        <v>6984</v>
      </c>
      <c r="CHX24" t="s">
        <v>6984</v>
      </c>
      <c r="CHY24" t="s">
        <v>6984</v>
      </c>
      <c r="CHZ24" t="s">
        <v>6984</v>
      </c>
      <c r="CIA24" t="s">
        <v>6984</v>
      </c>
      <c r="CIB24" t="s">
        <v>6984</v>
      </c>
      <c r="CIC24" t="s">
        <v>6984</v>
      </c>
      <c r="CID24" t="s">
        <v>6984</v>
      </c>
      <c r="CIE24" t="s">
        <v>6984</v>
      </c>
      <c r="CIF24" t="s">
        <v>6984</v>
      </c>
      <c r="CIG24" t="s">
        <v>6984</v>
      </c>
      <c r="CIH24" t="s">
        <v>6984</v>
      </c>
      <c r="CII24" t="s">
        <v>6984</v>
      </c>
      <c r="CIJ24" t="s">
        <v>6984</v>
      </c>
      <c r="CIK24" t="s">
        <v>6984</v>
      </c>
      <c r="CIL24" t="s">
        <v>6984</v>
      </c>
      <c r="CIM24" t="s">
        <v>6984</v>
      </c>
      <c r="CIN24" t="s">
        <v>6984</v>
      </c>
      <c r="CIO24" t="s">
        <v>6984</v>
      </c>
      <c r="CIP24" t="s">
        <v>6984</v>
      </c>
      <c r="CIQ24" t="s">
        <v>6984</v>
      </c>
      <c r="CIR24" t="s">
        <v>6984</v>
      </c>
      <c r="CIS24" t="s">
        <v>6984</v>
      </c>
      <c r="CIT24" t="s">
        <v>6984</v>
      </c>
      <c r="CIU24" t="s">
        <v>6984</v>
      </c>
      <c r="CIV24" t="s">
        <v>6984</v>
      </c>
      <c r="CIW24" t="s">
        <v>6984</v>
      </c>
      <c r="CIX24" t="s">
        <v>6984</v>
      </c>
      <c r="CIY24" t="s">
        <v>6984</v>
      </c>
      <c r="CIZ24" t="s">
        <v>6984</v>
      </c>
      <c r="CJA24" t="s">
        <v>6984</v>
      </c>
      <c r="CJB24" t="s">
        <v>6984</v>
      </c>
      <c r="CJC24" t="s">
        <v>6984</v>
      </c>
      <c r="CJD24" t="s">
        <v>6984</v>
      </c>
      <c r="CJE24" t="s">
        <v>6984</v>
      </c>
      <c r="CJF24" t="s">
        <v>6984</v>
      </c>
      <c r="CJG24" t="s">
        <v>6984</v>
      </c>
      <c r="CJH24" t="s">
        <v>6984</v>
      </c>
      <c r="CJI24" t="s">
        <v>6984</v>
      </c>
      <c r="CJJ24" t="s">
        <v>6984</v>
      </c>
      <c r="CJK24" t="s">
        <v>6984</v>
      </c>
      <c r="CJL24" t="s">
        <v>6984</v>
      </c>
      <c r="CJM24" t="s">
        <v>6984</v>
      </c>
      <c r="CJN24" t="s">
        <v>6984</v>
      </c>
      <c r="CJO24" t="s">
        <v>6984</v>
      </c>
      <c r="CJP24" t="s">
        <v>6984</v>
      </c>
      <c r="CJQ24" t="s">
        <v>6984</v>
      </c>
      <c r="CJR24" t="s">
        <v>6984</v>
      </c>
      <c r="CJS24" t="s">
        <v>6984</v>
      </c>
      <c r="CJT24" t="s">
        <v>6984</v>
      </c>
      <c r="CJU24" t="s">
        <v>6984</v>
      </c>
      <c r="CJV24" t="s">
        <v>6984</v>
      </c>
      <c r="CJW24" t="s">
        <v>6984</v>
      </c>
      <c r="CJX24" t="s">
        <v>6984</v>
      </c>
      <c r="CJY24" t="s">
        <v>6984</v>
      </c>
      <c r="CJZ24" t="s">
        <v>6984</v>
      </c>
      <c r="CKA24" t="s">
        <v>6984</v>
      </c>
      <c r="CKB24" t="s">
        <v>6984</v>
      </c>
      <c r="CKC24" t="s">
        <v>6984</v>
      </c>
      <c r="CKD24" t="s">
        <v>6984</v>
      </c>
      <c r="CKE24" t="s">
        <v>6984</v>
      </c>
      <c r="CKF24" t="s">
        <v>6984</v>
      </c>
      <c r="CKG24" t="s">
        <v>6984</v>
      </c>
      <c r="CKH24" t="s">
        <v>6984</v>
      </c>
      <c r="CKI24" t="s">
        <v>6984</v>
      </c>
      <c r="CKJ24" t="s">
        <v>6984</v>
      </c>
      <c r="CKK24" t="s">
        <v>6984</v>
      </c>
      <c r="CKL24" t="s">
        <v>6984</v>
      </c>
      <c r="CKM24" t="s">
        <v>6984</v>
      </c>
      <c r="CKN24" t="s">
        <v>6984</v>
      </c>
      <c r="CKO24" t="s">
        <v>6984</v>
      </c>
      <c r="CKP24" t="s">
        <v>6984</v>
      </c>
      <c r="CKQ24" t="s">
        <v>6984</v>
      </c>
      <c r="CKR24" t="s">
        <v>6984</v>
      </c>
      <c r="CKS24" t="s">
        <v>6984</v>
      </c>
      <c r="CKT24" t="s">
        <v>6984</v>
      </c>
      <c r="CKU24" t="s">
        <v>6984</v>
      </c>
      <c r="CKV24" t="s">
        <v>6984</v>
      </c>
      <c r="CKW24" t="s">
        <v>6984</v>
      </c>
      <c r="CKX24" t="s">
        <v>6984</v>
      </c>
      <c r="CKY24" t="s">
        <v>6984</v>
      </c>
      <c r="CKZ24" t="s">
        <v>6984</v>
      </c>
      <c r="CLA24" t="s">
        <v>6984</v>
      </c>
      <c r="CLB24" t="s">
        <v>6984</v>
      </c>
      <c r="CLC24" t="s">
        <v>6984</v>
      </c>
      <c r="CLD24" t="s">
        <v>6984</v>
      </c>
      <c r="CLE24" t="s">
        <v>6984</v>
      </c>
      <c r="CLF24" t="s">
        <v>6984</v>
      </c>
      <c r="CLG24" t="s">
        <v>6984</v>
      </c>
      <c r="CLH24" t="s">
        <v>6984</v>
      </c>
      <c r="CLI24" t="s">
        <v>6984</v>
      </c>
      <c r="CLJ24" t="s">
        <v>6984</v>
      </c>
      <c r="CLK24" t="s">
        <v>6984</v>
      </c>
      <c r="CLL24" t="s">
        <v>6984</v>
      </c>
      <c r="CLM24" t="s">
        <v>6984</v>
      </c>
      <c r="CLN24" t="s">
        <v>6984</v>
      </c>
      <c r="CLO24" t="s">
        <v>6984</v>
      </c>
      <c r="CLP24" t="s">
        <v>6984</v>
      </c>
      <c r="CLQ24" t="s">
        <v>6984</v>
      </c>
      <c r="CLR24" t="s">
        <v>6984</v>
      </c>
      <c r="CLS24" t="s">
        <v>6984</v>
      </c>
      <c r="CLT24" t="s">
        <v>6984</v>
      </c>
      <c r="CLU24" t="s">
        <v>6984</v>
      </c>
      <c r="CLV24" t="s">
        <v>6984</v>
      </c>
      <c r="CLW24" t="s">
        <v>6984</v>
      </c>
      <c r="CLX24" t="s">
        <v>6984</v>
      </c>
      <c r="CLY24" t="s">
        <v>6984</v>
      </c>
      <c r="CLZ24" t="s">
        <v>6984</v>
      </c>
      <c r="CMA24" t="s">
        <v>6984</v>
      </c>
      <c r="CMB24" t="s">
        <v>6984</v>
      </c>
      <c r="CMC24" t="s">
        <v>6984</v>
      </c>
      <c r="CMD24" t="s">
        <v>6984</v>
      </c>
      <c r="CME24" t="s">
        <v>6984</v>
      </c>
      <c r="CMF24" t="s">
        <v>6984</v>
      </c>
      <c r="CMG24" t="s">
        <v>6984</v>
      </c>
      <c r="CMH24" t="s">
        <v>6984</v>
      </c>
      <c r="CMI24" t="s">
        <v>6984</v>
      </c>
      <c r="CMJ24" t="s">
        <v>6984</v>
      </c>
      <c r="CMK24" t="s">
        <v>6984</v>
      </c>
      <c r="CML24" t="s">
        <v>6984</v>
      </c>
      <c r="CMM24" t="s">
        <v>6984</v>
      </c>
      <c r="CMN24" t="s">
        <v>6984</v>
      </c>
      <c r="CMO24" t="s">
        <v>6984</v>
      </c>
      <c r="CMP24" t="s">
        <v>6984</v>
      </c>
      <c r="CMQ24" t="s">
        <v>6984</v>
      </c>
      <c r="CMR24" t="s">
        <v>6984</v>
      </c>
      <c r="CMS24" t="s">
        <v>6984</v>
      </c>
      <c r="CMT24" t="s">
        <v>6984</v>
      </c>
      <c r="CMU24" t="s">
        <v>6984</v>
      </c>
      <c r="CMV24" t="s">
        <v>6984</v>
      </c>
      <c r="CMW24" t="s">
        <v>6984</v>
      </c>
      <c r="CMX24" t="s">
        <v>6984</v>
      </c>
      <c r="CMY24" t="s">
        <v>6984</v>
      </c>
      <c r="CMZ24" t="s">
        <v>6984</v>
      </c>
      <c r="CNA24" t="s">
        <v>6984</v>
      </c>
      <c r="CNB24" t="s">
        <v>6984</v>
      </c>
      <c r="CNC24" t="s">
        <v>6984</v>
      </c>
      <c r="CND24" t="s">
        <v>6984</v>
      </c>
      <c r="CNE24" t="s">
        <v>6984</v>
      </c>
      <c r="CNF24" t="s">
        <v>6984</v>
      </c>
      <c r="CNG24" t="s">
        <v>6984</v>
      </c>
      <c r="CNH24" t="s">
        <v>6984</v>
      </c>
      <c r="CNI24" t="s">
        <v>6984</v>
      </c>
      <c r="CNJ24" t="s">
        <v>6984</v>
      </c>
      <c r="CNK24" t="s">
        <v>6984</v>
      </c>
      <c r="CNL24" t="s">
        <v>6984</v>
      </c>
      <c r="CNM24" t="s">
        <v>6984</v>
      </c>
      <c r="CNN24" t="s">
        <v>6984</v>
      </c>
      <c r="CNO24" t="s">
        <v>6984</v>
      </c>
      <c r="CNP24" t="s">
        <v>6984</v>
      </c>
      <c r="CNQ24" t="s">
        <v>6984</v>
      </c>
      <c r="CNR24" t="s">
        <v>6984</v>
      </c>
      <c r="CNS24" t="s">
        <v>6984</v>
      </c>
      <c r="CNT24" t="s">
        <v>6984</v>
      </c>
      <c r="CNU24" t="s">
        <v>6984</v>
      </c>
      <c r="CNV24" t="s">
        <v>6984</v>
      </c>
      <c r="CNW24" t="s">
        <v>6984</v>
      </c>
      <c r="CNX24" t="s">
        <v>6984</v>
      </c>
      <c r="CNY24" t="s">
        <v>6984</v>
      </c>
      <c r="CNZ24" t="s">
        <v>6984</v>
      </c>
      <c r="COA24" t="s">
        <v>6984</v>
      </c>
      <c r="COB24" t="s">
        <v>6984</v>
      </c>
      <c r="COC24" t="s">
        <v>6984</v>
      </c>
      <c r="COD24" t="s">
        <v>6984</v>
      </c>
      <c r="COE24" t="s">
        <v>6984</v>
      </c>
      <c r="COF24" t="s">
        <v>6984</v>
      </c>
      <c r="COG24" t="s">
        <v>6984</v>
      </c>
      <c r="COH24" t="s">
        <v>6984</v>
      </c>
      <c r="COI24" t="s">
        <v>6984</v>
      </c>
      <c r="COJ24" t="s">
        <v>6984</v>
      </c>
      <c r="COK24" t="s">
        <v>6984</v>
      </c>
      <c r="COL24" t="s">
        <v>6984</v>
      </c>
      <c r="COM24" t="s">
        <v>6984</v>
      </c>
      <c r="CON24" t="s">
        <v>6984</v>
      </c>
      <c r="COO24" t="s">
        <v>6984</v>
      </c>
      <c r="COP24" t="s">
        <v>6984</v>
      </c>
      <c r="COQ24" t="s">
        <v>6984</v>
      </c>
      <c r="COR24" t="s">
        <v>6984</v>
      </c>
      <c r="COS24" t="s">
        <v>6984</v>
      </c>
      <c r="COT24" t="s">
        <v>6984</v>
      </c>
      <c r="COU24" t="s">
        <v>6984</v>
      </c>
      <c r="COV24" t="s">
        <v>6984</v>
      </c>
      <c r="COW24" t="s">
        <v>6984</v>
      </c>
      <c r="COX24" t="s">
        <v>6984</v>
      </c>
      <c r="COY24" t="s">
        <v>6984</v>
      </c>
      <c r="COZ24" t="s">
        <v>6984</v>
      </c>
      <c r="CPA24" t="s">
        <v>6984</v>
      </c>
      <c r="CPB24" t="s">
        <v>6984</v>
      </c>
      <c r="CPC24" t="s">
        <v>6984</v>
      </c>
      <c r="CPD24" t="s">
        <v>6984</v>
      </c>
      <c r="CPE24" t="s">
        <v>6984</v>
      </c>
      <c r="CPF24" t="s">
        <v>6984</v>
      </c>
      <c r="CPG24" t="s">
        <v>6984</v>
      </c>
      <c r="CPH24" t="s">
        <v>6984</v>
      </c>
      <c r="CPI24" t="s">
        <v>6984</v>
      </c>
      <c r="CPJ24" t="s">
        <v>6984</v>
      </c>
      <c r="CPK24" t="s">
        <v>6984</v>
      </c>
      <c r="CPL24" t="s">
        <v>6984</v>
      </c>
      <c r="CPM24" t="s">
        <v>6984</v>
      </c>
      <c r="CPN24" t="s">
        <v>6984</v>
      </c>
      <c r="CPO24" t="s">
        <v>6984</v>
      </c>
      <c r="CPP24" t="s">
        <v>6984</v>
      </c>
      <c r="CPQ24" t="s">
        <v>6984</v>
      </c>
      <c r="CPR24" t="s">
        <v>6984</v>
      </c>
      <c r="CPS24" t="s">
        <v>6984</v>
      </c>
      <c r="CPT24" t="s">
        <v>6984</v>
      </c>
      <c r="CPU24" t="s">
        <v>6984</v>
      </c>
      <c r="CPV24" t="s">
        <v>6984</v>
      </c>
      <c r="CPW24" t="s">
        <v>6984</v>
      </c>
      <c r="CPX24" t="s">
        <v>6984</v>
      </c>
      <c r="CPY24" t="s">
        <v>6984</v>
      </c>
      <c r="CPZ24" t="s">
        <v>6984</v>
      </c>
      <c r="CQA24" t="s">
        <v>6984</v>
      </c>
      <c r="CQB24" t="s">
        <v>6984</v>
      </c>
      <c r="CQC24" t="s">
        <v>6984</v>
      </c>
      <c r="CQD24" t="s">
        <v>6984</v>
      </c>
      <c r="CQE24" t="s">
        <v>6984</v>
      </c>
      <c r="CQF24" t="s">
        <v>6984</v>
      </c>
      <c r="CQG24" t="s">
        <v>6984</v>
      </c>
      <c r="CQH24" t="s">
        <v>6984</v>
      </c>
      <c r="CQI24" t="s">
        <v>6984</v>
      </c>
      <c r="CQJ24" t="s">
        <v>6984</v>
      </c>
      <c r="CQK24" t="s">
        <v>6984</v>
      </c>
      <c r="CQL24" t="s">
        <v>6984</v>
      </c>
      <c r="CQM24" t="s">
        <v>6984</v>
      </c>
      <c r="CQN24" t="s">
        <v>6984</v>
      </c>
      <c r="CQO24" t="s">
        <v>6984</v>
      </c>
      <c r="CQP24" t="s">
        <v>6984</v>
      </c>
      <c r="CQQ24" t="s">
        <v>6984</v>
      </c>
      <c r="CQR24" t="s">
        <v>6984</v>
      </c>
      <c r="CQS24" t="s">
        <v>6984</v>
      </c>
      <c r="CQT24" t="s">
        <v>6984</v>
      </c>
      <c r="CQU24" t="s">
        <v>6984</v>
      </c>
      <c r="CQV24" t="s">
        <v>6984</v>
      </c>
      <c r="CQW24" t="s">
        <v>6984</v>
      </c>
      <c r="CQX24" t="s">
        <v>6984</v>
      </c>
      <c r="CQY24" t="s">
        <v>6984</v>
      </c>
      <c r="CQZ24" t="s">
        <v>6984</v>
      </c>
      <c r="CRA24" t="s">
        <v>6984</v>
      </c>
      <c r="CRB24" t="s">
        <v>6984</v>
      </c>
      <c r="CRC24" t="s">
        <v>6984</v>
      </c>
      <c r="CRD24" t="s">
        <v>6984</v>
      </c>
      <c r="CRE24" t="s">
        <v>6984</v>
      </c>
      <c r="CRF24" t="s">
        <v>6984</v>
      </c>
      <c r="CRG24" t="s">
        <v>6984</v>
      </c>
      <c r="CRH24" t="s">
        <v>6984</v>
      </c>
      <c r="CRI24" t="s">
        <v>6984</v>
      </c>
      <c r="CRJ24" t="s">
        <v>6984</v>
      </c>
      <c r="CRK24" t="s">
        <v>6984</v>
      </c>
      <c r="CRL24" t="s">
        <v>6984</v>
      </c>
      <c r="CRM24" t="s">
        <v>6984</v>
      </c>
      <c r="CRN24" t="s">
        <v>6984</v>
      </c>
      <c r="CRO24" t="s">
        <v>6984</v>
      </c>
      <c r="CRP24" t="s">
        <v>6984</v>
      </c>
      <c r="CRQ24" t="s">
        <v>6984</v>
      </c>
      <c r="CRR24" t="s">
        <v>6984</v>
      </c>
      <c r="CRS24" t="s">
        <v>6984</v>
      </c>
      <c r="CRT24" t="s">
        <v>6984</v>
      </c>
      <c r="CRU24" t="s">
        <v>6984</v>
      </c>
      <c r="CRV24" t="s">
        <v>6984</v>
      </c>
      <c r="CRW24" t="s">
        <v>6984</v>
      </c>
      <c r="CRX24" t="s">
        <v>6984</v>
      </c>
      <c r="CRY24" t="s">
        <v>6984</v>
      </c>
      <c r="CRZ24" t="s">
        <v>6984</v>
      </c>
      <c r="CSA24" t="s">
        <v>6984</v>
      </c>
      <c r="CSB24" t="s">
        <v>6984</v>
      </c>
      <c r="CSC24" t="s">
        <v>6984</v>
      </c>
      <c r="CSD24" t="s">
        <v>6984</v>
      </c>
      <c r="CSE24" t="s">
        <v>6984</v>
      </c>
      <c r="CSF24" t="s">
        <v>6984</v>
      </c>
      <c r="CSG24" t="s">
        <v>6984</v>
      </c>
      <c r="CSH24" t="s">
        <v>6984</v>
      </c>
      <c r="CSI24" t="s">
        <v>6984</v>
      </c>
      <c r="CSJ24" t="s">
        <v>6984</v>
      </c>
      <c r="CSK24" t="s">
        <v>6984</v>
      </c>
      <c r="CSL24" t="s">
        <v>6984</v>
      </c>
      <c r="CSM24" t="s">
        <v>6984</v>
      </c>
      <c r="CSN24" t="s">
        <v>6984</v>
      </c>
      <c r="CSO24" t="s">
        <v>6984</v>
      </c>
      <c r="CSP24" t="s">
        <v>6984</v>
      </c>
      <c r="CSQ24" t="s">
        <v>6984</v>
      </c>
      <c r="CSR24" t="s">
        <v>6984</v>
      </c>
      <c r="CSS24" t="s">
        <v>6984</v>
      </c>
      <c r="CST24" t="s">
        <v>6984</v>
      </c>
      <c r="CSU24" t="s">
        <v>6984</v>
      </c>
      <c r="CSV24" t="s">
        <v>6984</v>
      </c>
      <c r="CSW24" t="s">
        <v>6984</v>
      </c>
      <c r="CSX24" t="s">
        <v>6984</v>
      </c>
      <c r="CSY24" t="s">
        <v>6984</v>
      </c>
      <c r="CSZ24" t="s">
        <v>6984</v>
      </c>
      <c r="CTA24" t="s">
        <v>6984</v>
      </c>
      <c r="CTB24" t="s">
        <v>6984</v>
      </c>
      <c r="CTC24" t="s">
        <v>6984</v>
      </c>
      <c r="CTD24" t="s">
        <v>6984</v>
      </c>
      <c r="CTE24" t="s">
        <v>6984</v>
      </c>
      <c r="CTF24" t="s">
        <v>6984</v>
      </c>
      <c r="CTG24" t="s">
        <v>6984</v>
      </c>
      <c r="CTH24" t="s">
        <v>6984</v>
      </c>
      <c r="CTI24" t="s">
        <v>6984</v>
      </c>
      <c r="CTJ24" t="s">
        <v>6984</v>
      </c>
      <c r="CTK24" t="s">
        <v>6984</v>
      </c>
      <c r="CTL24" t="s">
        <v>6984</v>
      </c>
      <c r="CTM24" t="s">
        <v>6984</v>
      </c>
      <c r="CTN24" t="s">
        <v>6984</v>
      </c>
      <c r="CTO24" t="s">
        <v>6984</v>
      </c>
      <c r="CTP24" t="s">
        <v>6984</v>
      </c>
      <c r="CTQ24" t="s">
        <v>6984</v>
      </c>
      <c r="CTR24" t="s">
        <v>6984</v>
      </c>
      <c r="CTS24" t="s">
        <v>6984</v>
      </c>
      <c r="CTT24" t="s">
        <v>6984</v>
      </c>
      <c r="CTU24" t="s">
        <v>6984</v>
      </c>
      <c r="CTV24" t="s">
        <v>6984</v>
      </c>
      <c r="CTW24" t="s">
        <v>6984</v>
      </c>
      <c r="CTX24" t="s">
        <v>6984</v>
      </c>
      <c r="CTY24" t="s">
        <v>6984</v>
      </c>
      <c r="CTZ24" t="s">
        <v>6984</v>
      </c>
      <c r="CUA24" t="s">
        <v>6984</v>
      </c>
      <c r="CUB24" t="s">
        <v>6984</v>
      </c>
      <c r="CUC24" t="s">
        <v>6984</v>
      </c>
      <c r="CUD24" t="s">
        <v>6984</v>
      </c>
      <c r="CUE24" t="s">
        <v>6984</v>
      </c>
      <c r="CUF24" t="s">
        <v>6984</v>
      </c>
      <c r="CUG24" t="s">
        <v>6984</v>
      </c>
      <c r="CUH24" t="s">
        <v>6984</v>
      </c>
      <c r="CUI24" t="s">
        <v>6984</v>
      </c>
      <c r="CUJ24" t="s">
        <v>6984</v>
      </c>
      <c r="CUK24" t="s">
        <v>6984</v>
      </c>
      <c r="CUL24" t="s">
        <v>6984</v>
      </c>
      <c r="CUM24" t="s">
        <v>6984</v>
      </c>
      <c r="CUN24" t="s">
        <v>6984</v>
      </c>
      <c r="CUO24" t="s">
        <v>6984</v>
      </c>
      <c r="CUP24" t="s">
        <v>6984</v>
      </c>
      <c r="CUQ24" t="s">
        <v>6984</v>
      </c>
      <c r="CUR24" t="s">
        <v>6984</v>
      </c>
      <c r="CUS24" t="s">
        <v>6984</v>
      </c>
      <c r="CUT24" t="s">
        <v>6984</v>
      </c>
      <c r="CUU24" t="s">
        <v>6984</v>
      </c>
      <c r="CUV24" t="s">
        <v>6984</v>
      </c>
      <c r="CUW24" t="s">
        <v>6984</v>
      </c>
      <c r="CUX24" t="s">
        <v>6984</v>
      </c>
      <c r="CUY24" t="s">
        <v>6984</v>
      </c>
      <c r="CUZ24" t="s">
        <v>6984</v>
      </c>
      <c r="CVA24" t="s">
        <v>6984</v>
      </c>
      <c r="CVB24" t="s">
        <v>6984</v>
      </c>
      <c r="CVC24" t="s">
        <v>6984</v>
      </c>
      <c r="CVD24" t="s">
        <v>6984</v>
      </c>
      <c r="CVE24" t="s">
        <v>6984</v>
      </c>
      <c r="CVF24" t="s">
        <v>6984</v>
      </c>
      <c r="CVG24" t="s">
        <v>6984</v>
      </c>
      <c r="CVH24" t="s">
        <v>6984</v>
      </c>
      <c r="CVI24" t="s">
        <v>6984</v>
      </c>
      <c r="CVJ24" t="s">
        <v>6984</v>
      </c>
      <c r="CVK24" t="s">
        <v>6984</v>
      </c>
      <c r="CVL24" t="s">
        <v>6984</v>
      </c>
      <c r="CVM24" t="s">
        <v>6984</v>
      </c>
      <c r="CVN24" t="s">
        <v>6984</v>
      </c>
      <c r="CVO24" t="s">
        <v>6984</v>
      </c>
      <c r="CVP24" t="s">
        <v>6984</v>
      </c>
      <c r="CVQ24" t="s">
        <v>6984</v>
      </c>
      <c r="CVR24" t="s">
        <v>6984</v>
      </c>
      <c r="CVS24" t="s">
        <v>6984</v>
      </c>
      <c r="CVT24" t="s">
        <v>6984</v>
      </c>
      <c r="CVU24" t="s">
        <v>6984</v>
      </c>
      <c r="CVV24" t="s">
        <v>6984</v>
      </c>
      <c r="CVW24" t="s">
        <v>6984</v>
      </c>
      <c r="CVX24" t="s">
        <v>6984</v>
      </c>
      <c r="CVY24" t="s">
        <v>6984</v>
      </c>
      <c r="CVZ24" t="s">
        <v>6984</v>
      </c>
      <c r="CWA24" t="s">
        <v>6984</v>
      </c>
      <c r="CWB24" t="s">
        <v>6984</v>
      </c>
      <c r="CWC24" t="s">
        <v>6984</v>
      </c>
      <c r="CWD24" t="s">
        <v>6984</v>
      </c>
      <c r="CWE24" t="s">
        <v>6984</v>
      </c>
      <c r="CWF24" t="s">
        <v>6984</v>
      </c>
      <c r="CWG24" t="s">
        <v>6984</v>
      </c>
      <c r="CWH24" t="s">
        <v>6984</v>
      </c>
      <c r="CWI24" t="s">
        <v>6984</v>
      </c>
      <c r="CWJ24" t="s">
        <v>6984</v>
      </c>
      <c r="CWK24" t="s">
        <v>6984</v>
      </c>
      <c r="CWL24" t="s">
        <v>6984</v>
      </c>
      <c r="CWM24" t="s">
        <v>6984</v>
      </c>
      <c r="CWN24" t="s">
        <v>6984</v>
      </c>
      <c r="CWO24" t="s">
        <v>6984</v>
      </c>
      <c r="CWP24" t="s">
        <v>6984</v>
      </c>
      <c r="CWQ24" t="s">
        <v>6984</v>
      </c>
      <c r="CWR24" t="s">
        <v>6984</v>
      </c>
      <c r="CWS24" t="s">
        <v>6984</v>
      </c>
      <c r="CWT24" t="s">
        <v>6984</v>
      </c>
      <c r="CWU24" t="s">
        <v>6984</v>
      </c>
      <c r="CWV24" t="s">
        <v>6984</v>
      </c>
      <c r="CWW24" t="s">
        <v>6984</v>
      </c>
      <c r="CWX24" t="s">
        <v>6984</v>
      </c>
      <c r="CWY24" t="s">
        <v>6984</v>
      </c>
      <c r="CWZ24" t="s">
        <v>6984</v>
      </c>
      <c r="CXA24" t="s">
        <v>6984</v>
      </c>
      <c r="CXB24" t="s">
        <v>6984</v>
      </c>
      <c r="CXC24" t="s">
        <v>6984</v>
      </c>
      <c r="CXD24" t="s">
        <v>6984</v>
      </c>
      <c r="CXE24" t="s">
        <v>6984</v>
      </c>
      <c r="CXF24" t="s">
        <v>6984</v>
      </c>
      <c r="CXG24" t="s">
        <v>6984</v>
      </c>
      <c r="CXH24" t="s">
        <v>6984</v>
      </c>
      <c r="CXI24" t="s">
        <v>6984</v>
      </c>
      <c r="CXJ24" t="s">
        <v>6984</v>
      </c>
      <c r="CXK24" t="s">
        <v>6984</v>
      </c>
      <c r="CXL24" t="s">
        <v>6984</v>
      </c>
      <c r="CXM24" t="s">
        <v>6984</v>
      </c>
      <c r="CXN24" t="s">
        <v>6984</v>
      </c>
      <c r="CXO24" t="s">
        <v>6984</v>
      </c>
      <c r="CXP24" t="s">
        <v>6984</v>
      </c>
      <c r="CXQ24" t="s">
        <v>6984</v>
      </c>
      <c r="CXR24" t="s">
        <v>6984</v>
      </c>
      <c r="CXS24" t="s">
        <v>6984</v>
      </c>
      <c r="CXT24" t="s">
        <v>6984</v>
      </c>
      <c r="CXU24" t="s">
        <v>6984</v>
      </c>
      <c r="CXV24" t="s">
        <v>6984</v>
      </c>
      <c r="CXW24" t="s">
        <v>6984</v>
      </c>
      <c r="CXX24" t="s">
        <v>6984</v>
      </c>
      <c r="CXY24" t="s">
        <v>6984</v>
      </c>
      <c r="CXZ24" t="s">
        <v>6984</v>
      </c>
      <c r="CYA24" t="s">
        <v>6984</v>
      </c>
      <c r="CYB24" t="s">
        <v>6984</v>
      </c>
      <c r="CYC24" t="s">
        <v>6984</v>
      </c>
      <c r="CYD24" t="s">
        <v>6984</v>
      </c>
      <c r="CYE24" t="s">
        <v>6984</v>
      </c>
      <c r="CYF24" t="s">
        <v>6984</v>
      </c>
      <c r="CYG24" t="s">
        <v>6984</v>
      </c>
      <c r="CYH24" t="s">
        <v>6984</v>
      </c>
      <c r="CYI24" t="s">
        <v>6984</v>
      </c>
      <c r="CYJ24" t="s">
        <v>6984</v>
      </c>
      <c r="CYK24" t="s">
        <v>6984</v>
      </c>
      <c r="CYL24" t="s">
        <v>6984</v>
      </c>
      <c r="CYM24" t="s">
        <v>6984</v>
      </c>
      <c r="CYN24" t="s">
        <v>6984</v>
      </c>
      <c r="CYO24" t="s">
        <v>6984</v>
      </c>
      <c r="CYP24" t="s">
        <v>6984</v>
      </c>
      <c r="CYQ24" t="s">
        <v>6984</v>
      </c>
      <c r="CYR24" t="s">
        <v>6984</v>
      </c>
      <c r="CYS24" t="s">
        <v>6984</v>
      </c>
      <c r="CYT24" t="s">
        <v>6984</v>
      </c>
      <c r="CYU24" t="s">
        <v>6984</v>
      </c>
      <c r="CYV24" t="s">
        <v>6984</v>
      </c>
      <c r="CYW24" t="s">
        <v>6984</v>
      </c>
      <c r="CYX24" t="s">
        <v>6984</v>
      </c>
      <c r="CYY24" t="s">
        <v>6984</v>
      </c>
      <c r="CYZ24" t="s">
        <v>6984</v>
      </c>
      <c r="CZA24" t="s">
        <v>6984</v>
      </c>
      <c r="CZB24" t="s">
        <v>6984</v>
      </c>
      <c r="CZC24" t="s">
        <v>6984</v>
      </c>
      <c r="CZD24" t="s">
        <v>6984</v>
      </c>
      <c r="CZE24" t="s">
        <v>6984</v>
      </c>
      <c r="CZF24" t="s">
        <v>6984</v>
      </c>
      <c r="CZG24" t="s">
        <v>6984</v>
      </c>
      <c r="CZH24" t="s">
        <v>6984</v>
      </c>
      <c r="CZI24" t="s">
        <v>6984</v>
      </c>
      <c r="CZJ24" t="s">
        <v>6984</v>
      </c>
      <c r="CZK24" t="s">
        <v>6984</v>
      </c>
      <c r="CZL24" t="s">
        <v>6984</v>
      </c>
      <c r="CZM24" t="s">
        <v>6984</v>
      </c>
      <c r="CZN24" t="s">
        <v>6984</v>
      </c>
      <c r="CZO24" t="s">
        <v>6984</v>
      </c>
      <c r="CZP24" t="s">
        <v>6984</v>
      </c>
      <c r="CZQ24" t="s">
        <v>6984</v>
      </c>
      <c r="CZR24" t="s">
        <v>6984</v>
      </c>
      <c r="CZS24" t="s">
        <v>6984</v>
      </c>
      <c r="CZT24" t="s">
        <v>6984</v>
      </c>
      <c r="CZU24" t="s">
        <v>6984</v>
      </c>
      <c r="CZV24" t="s">
        <v>6984</v>
      </c>
      <c r="CZW24" t="s">
        <v>6984</v>
      </c>
      <c r="CZX24" t="s">
        <v>6984</v>
      </c>
      <c r="CZY24" t="s">
        <v>6984</v>
      </c>
      <c r="CZZ24" t="s">
        <v>6984</v>
      </c>
      <c r="DAA24" t="s">
        <v>6984</v>
      </c>
      <c r="DAB24" t="s">
        <v>6984</v>
      </c>
      <c r="DAC24" t="s">
        <v>6984</v>
      </c>
      <c r="DAD24" t="s">
        <v>6984</v>
      </c>
      <c r="DAE24" t="s">
        <v>6984</v>
      </c>
      <c r="DAF24" t="s">
        <v>6984</v>
      </c>
      <c r="DAG24" t="s">
        <v>6984</v>
      </c>
      <c r="DAH24" t="s">
        <v>6984</v>
      </c>
      <c r="DAI24" t="s">
        <v>6984</v>
      </c>
      <c r="DAJ24" t="s">
        <v>6984</v>
      </c>
      <c r="DAK24" t="s">
        <v>6984</v>
      </c>
      <c r="DAL24" t="s">
        <v>6984</v>
      </c>
      <c r="DAM24" t="s">
        <v>6984</v>
      </c>
      <c r="DAN24" t="s">
        <v>6984</v>
      </c>
      <c r="DAO24" t="s">
        <v>6984</v>
      </c>
      <c r="DAP24" t="s">
        <v>6984</v>
      </c>
      <c r="DAQ24" t="s">
        <v>6984</v>
      </c>
      <c r="DAR24" t="s">
        <v>6984</v>
      </c>
      <c r="DAS24" t="s">
        <v>6984</v>
      </c>
      <c r="DAT24" t="s">
        <v>6984</v>
      </c>
      <c r="DAU24" t="s">
        <v>6984</v>
      </c>
      <c r="DAV24" t="s">
        <v>6984</v>
      </c>
      <c r="DAW24" t="s">
        <v>6984</v>
      </c>
      <c r="DAX24" t="s">
        <v>6984</v>
      </c>
      <c r="DAY24" t="s">
        <v>6984</v>
      </c>
      <c r="DAZ24" t="s">
        <v>6984</v>
      </c>
      <c r="DBA24" t="s">
        <v>6984</v>
      </c>
      <c r="DBB24" t="s">
        <v>6984</v>
      </c>
      <c r="DBC24" t="s">
        <v>6984</v>
      </c>
      <c r="DBD24" t="s">
        <v>6984</v>
      </c>
      <c r="DBE24" t="s">
        <v>6984</v>
      </c>
      <c r="DBF24" t="s">
        <v>6984</v>
      </c>
      <c r="DBG24" t="s">
        <v>6984</v>
      </c>
      <c r="DBH24" t="s">
        <v>6984</v>
      </c>
      <c r="DBI24" t="s">
        <v>6984</v>
      </c>
      <c r="DBJ24" t="s">
        <v>6984</v>
      </c>
      <c r="DBK24" t="s">
        <v>6984</v>
      </c>
      <c r="DBL24" t="s">
        <v>6984</v>
      </c>
      <c r="DBM24" t="s">
        <v>6984</v>
      </c>
      <c r="DBN24" t="s">
        <v>6984</v>
      </c>
      <c r="DBO24" t="s">
        <v>6984</v>
      </c>
      <c r="DBP24" t="s">
        <v>6984</v>
      </c>
      <c r="DBQ24" t="s">
        <v>6984</v>
      </c>
      <c r="DBR24" t="s">
        <v>6984</v>
      </c>
      <c r="DBS24" t="s">
        <v>6984</v>
      </c>
      <c r="DBT24" t="s">
        <v>6984</v>
      </c>
      <c r="DBU24" t="s">
        <v>6984</v>
      </c>
      <c r="DBV24" t="s">
        <v>6984</v>
      </c>
      <c r="DBW24" t="s">
        <v>6984</v>
      </c>
      <c r="DBX24" t="s">
        <v>6984</v>
      </c>
      <c r="DBY24" t="s">
        <v>6984</v>
      </c>
      <c r="DBZ24" t="s">
        <v>6984</v>
      </c>
      <c r="DCA24" t="s">
        <v>6984</v>
      </c>
      <c r="DCB24" t="s">
        <v>6984</v>
      </c>
      <c r="DCC24" t="s">
        <v>6984</v>
      </c>
      <c r="DCD24" t="s">
        <v>6984</v>
      </c>
      <c r="DCE24" t="s">
        <v>6984</v>
      </c>
      <c r="DCF24" t="s">
        <v>6984</v>
      </c>
      <c r="DCG24" t="s">
        <v>6984</v>
      </c>
      <c r="DCH24" t="s">
        <v>6984</v>
      </c>
      <c r="DCI24" t="s">
        <v>6984</v>
      </c>
      <c r="DCJ24" t="s">
        <v>6984</v>
      </c>
      <c r="DCK24" t="s">
        <v>6984</v>
      </c>
      <c r="DCL24" t="s">
        <v>6984</v>
      </c>
      <c r="DCM24" t="s">
        <v>6984</v>
      </c>
      <c r="DCN24" t="s">
        <v>6984</v>
      </c>
      <c r="DCO24" t="s">
        <v>6984</v>
      </c>
      <c r="DCP24" t="s">
        <v>6984</v>
      </c>
      <c r="DCQ24" t="s">
        <v>6984</v>
      </c>
      <c r="DCR24" t="s">
        <v>6984</v>
      </c>
      <c r="DCS24" t="s">
        <v>6984</v>
      </c>
      <c r="DCT24" t="s">
        <v>6984</v>
      </c>
      <c r="DCU24" t="s">
        <v>6984</v>
      </c>
      <c r="DCV24" t="s">
        <v>6984</v>
      </c>
      <c r="DCW24" t="s">
        <v>6984</v>
      </c>
      <c r="DCX24" t="s">
        <v>6984</v>
      </c>
      <c r="DCY24" t="s">
        <v>6984</v>
      </c>
      <c r="DCZ24" t="s">
        <v>6984</v>
      </c>
      <c r="DDA24" t="s">
        <v>6984</v>
      </c>
      <c r="DDB24" t="s">
        <v>6984</v>
      </c>
      <c r="DDC24" t="s">
        <v>6984</v>
      </c>
      <c r="DDD24" t="s">
        <v>6984</v>
      </c>
      <c r="DDE24" t="s">
        <v>6984</v>
      </c>
      <c r="DDF24" t="s">
        <v>6984</v>
      </c>
      <c r="DDG24" t="s">
        <v>6984</v>
      </c>
      <c r="DDH24" t="s">
        <v>6984</v>
      </c>
      <c r="DDI24" t="s">
        <v>6984</v>
      </c>
      <c r="DDJ24" t="s">
        <v>6984</v>
      </c>
      <c r="DDK24" t="s">
        <v>6984</v>
      </c>
      <c r="DDL24" t="s">
        <v>6984</v>
      </c>
      <c r="DDM24" t="s">
        <v>6984</v>
      </c>
      <c r="DDN24" t="s">
        <v>6984</v>
      </c>
      <c r="DDO24" t="s">
        <v>6984</v>
      </c>
      <c r="DDP24" t="s">
        <v>6984</v>
      </c>
      <c r="DDQ24" t="s">
        <v>6984</v>
      </c>
      <c r="DDR24" t="s">
        <v>6984</v>
      </c>
      <c r="DDS24" t="s">
        <v>6984</v>
      </c>
      <c r="DDT24" t="s">
        <v>6984</v>
      </c>
      <c r="DDU24" t="s">
        <v>6984</v>
      </c>
      <c r="DDV24" t="s">
        <v>6984</v>
      </c>
      <c r="DDW24" t="s">
        <v>6984</v>
      </c>
      <c r="DDX24" t="s">
        <v>6984</v>
      </c>
      <c r="DDY24" t="s">
        <v>6984</v>
      </c>
      <c r="DDZ24" t="s">
        <v>6984</v>
      </c>
      <c r="DEA24" t="s">
        <v>6984</v>
      </c>
      <c r="DEB24" t="s">
        <v>6984</v>
      </c>
      <c r="DEC24" t="s">
        <v>6984</v>
      </c>
      <c r="DED24" t="s">
        <v>6984</v>
      </c>
      <c r="DEE24" t="s">
        <v>6984</v>
      </c>
      <c r="DEF24" t="s">
        <v>6984</v>
      </c>
      <c r="DEG24" t="s">
        <v>6984</v>
      </c>
      <c r="DEH24" t="s">
        <v>6984</v>
      </c>
      <c r="DEI24" t="s">
        <v>6984</v>
      </c>
      <c r="DEJ24" t="s">
        <v>6984</v>
      </c>
      <c r="DEK24" t="s">
        <v>6984</v>
      </c>
      <c r="DEL24" t="s">
        <v>6984</v>
      </c>
      <c r="DEM24" t="s">
        <v>6984</v>
      </c>
      <c r="DEN24" t="s">
        <v>6984</v>
      </c>
      <c r="DEO24" t="s">
        <v>6984</v>
      </c>
      <c r="DEP24" t="s">
        <v>6984</v>
      </c>
      <c r="DEQ24" t="s">
        <v>6984</v>
      </c>
      <c r="DER24" t="s">
        <v>6984</v>
      </c>
      <c r="DES24" t="s">
        <v>6984</v>
      </c>
      <c r="DET24" t="s">
        <v>6984</v>
      </c>
      <c r="DEU24" t="s">
        <v>6984</v>
      </c>
      <c r="DEV24" t="s">
        <v>6984</v>
      </c>
      <c r="DEW24" t="s">
        <v>6984</v>
      </c>
      <c r="DEX24" t="s">
        <v>6984</v>
      </c>
      <c r="DEY24" t="s">
        <v>6984</v>
      </c>
      <c r="DEZ24" t="s">
        <v>6984</v>
      </c>
      <c r="DFA24" t="s">
        <v>6984</v>
      </c>
      <c r="DFB24" t="s">
        <v>6984</v>
      </c>
      <c r="DFC24" t="s">
        <v>6984</v>
      </c>
      <c r="DFD24" t="s">
        <v>6984</v>
      </c>
      <c r="DFE24" t="s">
        <v>6984</v>
      </c>
      <c r="DFF24" t="s">
        <v>6984</v>
      </c>
      <c r="DFG24" t="s">
        <v>6984</v>
      </c>
      <c r="DFH24" t="s">
        <v>6984</v>
      </c>
      <c r="DFI24" t="s">
        <v>6984</v>
      </c>
      <c r="DFJ24" t="s">
        <v>6984</v>
      </c>
      <c r="DFK24" t="s">
        <v>6984</v>
      </c>
      <c r="DFL24" t="s">
        <v>6984</v>
      </c>
      <c r="DFM24" t="s">
        <v>6984</v>
      </c>
      <c r="DFN24" t="s">
        <v>6984</v>
      </c>
      <c r="DFO24" t="s">
        <v>6984</v>
      </c>
      <c r="DFP24" t="s">
        <v>6984</v>
      </c>
      <c r="DFQ24" t="s">
        <v>6984</v>
      </c>
      <c r="DFR24" t="s">
        <v>6984</v>
      </c>
      <c r="DFS24" t="s">
        <v>6984</v>
      </c>
      <c r="DFT24" t="s">
        <v>6984</v>
      </c>
      <c r="DFU24" t="s">
        <v>6984</v>
      </c>
      <c r="DFV24" t="s">
        <v>6984</v>
      </c>
      <c r="DFW24" t="s">
        <v>6984</v>
      </c>
      <c r="DFX24" t="s">
        <v>6984</v>
      </c>
      <c r="DFY24" t="s">
        <v>6984</v>
      </c>
      <c r="DFZ24" t="s">
        <v>6984</v>
      </c>
      <c r="DGA24" t="s">
        <v>6984</v>
      </c>
      <c r="DGB24" t="s">
        <v>6984</v>
      </c>
      <c r="DGC24" t="s">
        <v>6984</v>
      </c>
      <c r="DGD24" t="s">
        <v>6984</v>
      </c>
      <c r="DGE24" t="s">
        <v>6984</v>
      </c>
      <c r="DGF24" t="s">
        <v>6984</v>
      </c>
      <c r="DGG24" t="s">
        <v>6984</v>
      </c>
      <c r="DGH24" t="s">
        <v>6984</v>
      </c>
      <c r="DGI24" t="s">
        <v>6984</v>
      </c>
      <c r="DGJ24" t="s">
        <v>6984</v>
      </c>
      <c r="DGK24" t="s">
        <v>6984</v>
      </c>
      <c r="DGL24" t="s">
        <v>6984</v>
      </c>
      <c r="DGM24" t="s">
        <v>6984</v>
      </c>
      <c r="DGN24" t="s">
        <v>6984</v>
      </c>
      <c r="DGO24" t="s">
        <v>6984</v>
      </c>
      <c r="DGP24" t="s">
        <v>6984</v>
      </c>
      <c r="DGQ24" t="s">
        <v>6984</v>
      </c>
      <c r="DGR24" t="s">
        <v>6984</v>
      </c>
      <c r="DGS24" t="s">
        <v>6984</v>
      </c>
      <c r="DGT24" t="s">
        <v>6984</v>
      </c>
      <c r="DGU24" t="s">
        <v>6984</v>
      </c>
      <c r="DGV24" t="s">
        <v>6984</v>
      </c>
      <c r="DGW24" t="s">
        <v>6984</v>
      </c>
      <c r="DGX24" t="s">
        <v>6984</v>
      </c>
      <c r="DGY24" t="s">
        <v>6984</v>
      </c>
      <c r="DGZ24" t="s">
        <v>6984</v>
      </c>
      <c r="DHA24" t="s">
        <v>6984</v>
      </c>
      <c r="DHB24" t="s">
        <v>6984</v>
      </c>
      <c r="DHC24" t="s">
        <v>6984</v>
      </c>
      <c r="DHD24" t="s">
        <v>6984</v>
      </c>
      <c r="DHE24" t="s">
        <v>6984</v>
      </c>
      <c r="DHF24" t="s">
        <v>6984</v>
      </c>
      <c r="DHG24" t="s">
        <v>6984</v>
      </c>
      <c r="DHH24" t="s">
        <v>6984</v>
      </c>
      <c r="DHI24" t="s">
        <v>6984</v>
      </c>
      <c r="DHJ24" t="s">
        <v>6984</v>
      </c>
      <c r="DHK24" t="s">
        <v>6984</v>
      </c>
      <c r="DHL24" t="s">
        <v>6984</v>
      </c>
      <c r="DHM24" t="s">
        <v>6984</v>
      </c>
      <c r="DHN24" t="s">
        <v>6984</v>
      </c>
      <c r="DHO24" t="s">
        <v>6984</v>
      </c>
      <c r="DHP24" t="s">
        <v>6984</v>
      </c>
      <c r="DHQ24" t="s">
        <v>6984</v>
      </c>
      <c r="DHR24" t="s">
        <v>6984</v>
      </c>
      <c r="DHS24" t="s">
        <v>6984</v>
      </c>
      <c r="DHT24" t="s">
        <v>6984</v>
      </c>
      <c r="DHU24" t="s">
        <v>6984</v>
      </c>
      <c r="DHV24" t="s">
        <v>6984</v>
      </c>
      <c r="DHW24" t="s">
        <v>6984</v>
      </c>
      <c r="DHX24" t="s">
        <v>6984</v>
      </c>
      <c r="DHY24" t="s">
        <v>6984</v>
      </c>
      <c r="DHZ24" t="s">
        <v>6984</v>
      </c>
      <c r="DIA24" t="s">
        <v>6984</v>
      </c>
      <c r="DIB24" t="s">
        <v>6984</v>
      </c>
      <c r="DIC24" t="s">
        <v>6984</v>
      </c>
      <c r="DID24" t="s">
        <v>6984</v>
      </c>
      <c r="DIE24" t="s">
        <v>6984</v>
      </c>
      <c r="DIF24" t="s">
        <v>6984</v>
      </c>
      <c r="DIG24" t="s">
        <v>6984</v>
      </c>
      <c r="DIH24" t="s">
        <v>6984</v>
      </c>
      <c r="DII24" t="s">
        <v>6984</v>
      </c>
      <c r="DIJ24" t="s">
        <v>6984</v>
      </c>
      <c r="DIK24" t="s">
        <v>6984</v>
      </c>
      <c r="DIL24" t="s">
        <v>6984</v>
      </c>
      <c r="DIM24" t="s">
        <v>6984</v>
      </c>
      <c r="DIN24" t="s">
        <v>6984</v>
      </c>
      <c r="DIO24" t="s">
        <v>6984</v>
      </c>
      <c r="DIP24" t="s">
        <v>6984</v>
      </c>
      <c r="DIQ24" t="s">
        <v>6984</v>
      </c>
      <c r="DIR24" t="s">
        <v>6984</v>
      </c>
      <c r="DIS24" t="s">
        <v>6984</v>
      </c>
      <c r="DIT24" t="s">
        <v>6984</v>
      </c>
      <c r="DIU24" t="s">
        <v>6984</v>
      </c>
      <c r="DIV24" t="s">
        <v>6984</v>
      </c>
      <c r="DIW24" t="s">
        <v>6984</v>
      </c>
      <c r="DIX24" t="s">
        <v>6984</v>
      </c>
      <c r="DIY24" t="s">
        <v>6984</v>
      </c>
      <c r="DIZ24" t="s">
        <v>6984</v>
      </c>
      <c r="DJA24" t="s">
        <v>6984</v>
      </c>
      <c r="DJB24" t="s">
        <v>6984</v>
      </c>
      <c r="DJC24" t="s">
        <v>6984</v>
      </c>
      <c r="DJD24" t="s">
        <v>6984</v>
      </c>
      <c r="DJE24" t="s">
        <v>6984</v>
      </c>
      <c r="DJF24" t="s">
        <v>6984</v>
      </c>
      <c r="DJG24" t="s">
        <v>6984</v>
      </c>
      <c r="DJH24" t="s">
        <v>6984</v>
      </c>
      <c r="DJI24" t="s">
        <v>6984</v>
      </c>
      <c r="DJJ24" t="s">
        <v>6984</v>
      </c>
      <c r="DJK24" t="s">
        <v>6984</v>
      </c>
      <c r="DJL24" t="s">
        <v>6984</v>
      </c>
      <c r="DJM24" t="s">
        <v>6984</v>
      </c>
      <c r="DJN24" t="s">
        <v>6984</v>
      </c>
      <c r="DJO24" t="s">
        <v>6984</v>
      </c>
      <c r="DJP24" t="s">
        <v>6984</v>
      </c>
      <c r="DJQ24" t="s">
        <v>6984</v>
      </c>
      <c r="DJR24" t="s">
        <v>6984</v>
      </c>
      <c r="DJS24" t="s">
        <v>6984</v>
      </c>
      <c r="DJT24" t="s">
        <v>6984</v>
      </c>
      <c r="DJU24" t="s">
        <v>6984</v>
      </c>
      <c r="DJV24" t="s">
        <v>6984</v>
      </c>
      <c r="DJW24" t="s">
        <v>6984</v>
      </c>
      <c r="DJX24" t="s">
        <v>6984</v>
      </c>
      <c r="DJY24" t="s">
        <v>6984</v>
      </c>
      <c r="DJZ24" t="s">
        <v>6984</v>
      </c>
      <c r="DKA24" t="s">
        <v>6984</v>
      </c>
      <c r="DKB24" t="s">
        <v>6984</v>
      </c>
      <c r="DKC24" t="s">
        <v>6984</v>
      </c>
      <c r="DKD24" t="s">
        <v>6984</v>
      </c>
      <c r="DKE24" t="s">
        <v>6984</v>
      </c>
      <c r="DKF24" t="s">
        <v>6984</v>
      </c>
      <c r="DKG24" t="s">
        <v>6984</v>
      </c>
      <c r="DKH24" t="s">
        <v>6984</v>
      </c>
      <c r="DKI24" t="s">
        <v>6984</v>
      </c>
      <c r="DKJ24" t="s">
        <v>6984</v>
      </c>
      <c r="DKK24" t="s">
        <v>6984</v>
      </c>
      <c r="DKL24" t="s">
        <v>6984</v>
      </c>
      <c r="DKM24" t="s">
        <v>6984</v>
      </c>
      <c r="DKN24" t="s">
        <v>6984</v>
      </c>
      <c r="DKO24" t="s">
        <v>6984</v>
      </c>
      <c r="DKP24" t="s">
        <v>6984</v>
      </c>
      <c r="DKQ24" t="s">
        <v>6984</v>
      </c>
      <c r="DKR24" t="s">
        <v>6984</v>
      </c>
      <c r="DKS24" t="s">
        <v>6984</v>
      </c>
      <c r="DKT24" t="s">
        <v>6984</v>
      </c>
      <c r="DKU24" t="s">
        <v>6984</v>
      </c>
      <c r="DKV24" t="s">
        <v>6984</v>
      </c>
      <c r="DKW24" t="s">
        <v>6984</v>
      </c>
      <c r="DKX24" t="s">
        <v>6984</v>
      </c>
      <c r="DKY24" t="s">
        <v>6984</v>
      </c>
      <c r="DKZ24" t="s">
        <v>6984</v>
      </c>
      <c r="DLA24" t="s">
        <v>6984</v>
      </c>
      <c r="DLB24" t="s">
        <v>6984</v>
      </c>
      <c r="DLC24" t="s">
        <v>6984</v>
      </c>
      <c r="DLD24" t="s">
        <v>6984</v>
      </c>
      <c r="DLE24" t="s">
        <v>6984</v>
      </c>
      <c r="DLF24" t="s">
        <v>6984</v>
      </c>
      <c r="DLG24" t="s">
        <v>6984</v>
      </c>
      <c r="DLH24" t="s">
        <v>6984</v>
      </c>
      <c r="DLI24" t="s">
        <v>6984</v>
      </c>
      <c r="DLJ24" t="s">
        <v>6984</v>
      </c>
      <c r="DLK24" t="s">
        <v>6984</v>
      </c>
      <c r="DLL24" t="s">
        <v>6984</v>
      </c>
      <c r="DLM24" t="s">
        <v>6984</v>
      </c>
      <c r="DLN24" t="s">
        <v>6984</v>
      </c>
      <c r="DLO24" t="s">
        <v>6984</v>
      </c>
      <c r="DLP24" t="s">
        <v>6984</v>
      </c>
      <c r="DLQ24" t="s">
        <v>6984</v>
      </c>
      <c r="DLR24" t="s">
        <v>6984</v>
      </c>
      <c r="DLS24" t="s">
        <v>6984</v>
      </c>
      <c r="DLT24" t="s">
        <v>6984</v>
      </c>
      <c r="DLU24" t="s">
        <v>6984</v>
      </c>
      <c r="DLV24" t="s">
        <v>6984</v>
      </c>
      <c r="DLW24" t="s">
        <v>6984</v>
      </c>
      <c r="DLX24" t="s">
        <v>6984</v>
      </c>
      <c r="DLY24" t="s">
        <v>6984</v>
      </c>
      <c r="DLZ24" t="s">
        <v>6984</v>
      </c>
      <c r="DMA24" t="s">
        <v>6984</v>
      </c>
      <c r="DMB24" t="s">
        <v>6984</v>
      </c>
      <c r="DMC24" t="s">
        <v>6984</v>
      </c>
      <c r="DMD24" t="s">
        <v>6984</v>
      </c>
      <c r="DME24" t="s">
        <v>6984</v>
      </c>
      <c r="DMF24" t="s">
        <v>6984</v>
      </c>
      <c r="DMG24" t="s">
        <v>6984</v>
      </c>
      <c r="DMH24" t="s">
        <v>6984</v>
      </c>
      <c r="DMI24" t="s">
        <v>6984</v>
      </c>
      <c r="DMJ24" t="s">
        <v>6984</v>
      </c>
      <c r="DMK24" t="s">
        <v>6984</v>
      </c>
      <c r="DML24" t="s">
        <v>6984</v>
      </c>
      <c r="DMM24" t="s">
        <v>6984</v>
      </c>
      <c r="DMN24" t="s">
        <v>6984</v>
      </c>
      <c r="DMO24" t="s">
        <v>6984</v>
      </c>
      <c r="DMP24" t="s">
        <v>6984</v>
      </c>
      <c r="DMQ24" t="s">
        <v>6984</v>
      </c>
      <c r="DMR24" t="s">
        <v>6984</v>
      </c>
      <c r="DMS24" t="s">
        <v>6984</v>
      </c>
      <c r="DMT24" t="s">
        <v>6984</v>
      </c>
      <c r="DMU24" t="s">
        <v>6984</v>
      </c>
      <c r="DMV24" t="s">
        <v>6984</v>
      </c>
      <c r="DMW24" t="s">
        <v>6984</v>
      </c>
      <c r="DMX24" t="s">
        <v>6984</v>
      </c>
      <c r="DMY24" t="s">
        <v>6984</v>
      </c>
      <c r="DMZ24" t="s">
        <v>6984</v>
      </c>
      <c r="DNA24" t="s">
        <v>6984</v>
      </c>
      <c r="DNB24" t="s">
        <v>6984</v>
      </c>
      <c r="DNC24" t="s">
        <v>6984</v>
      </c>
      <c r="DND24" t="s">
        <v>6984</v>
      </c>
      <c r="DNE24" t="s">
        <v>6984</v>
      </c>
      <c r="DNF24" t="s">
        <v>6984</v>
      </c>
      <c r="DNG24" t="s">
        <v>6984</v>
      </c>
      <c r="DNH24" t="s">
        <v>6984</v>
      </c>
      <c r="DNI24" t="s">
        <v>6984</v>
      </c>
      <c r="DNJ24" t="s">
        <v>6984</v>
      </c>
      <c r="DNK24" t="s">
        <v>6984</v>
      </c>
      <c r="DNL24" t="s">
        <v>6984</v>
      </c>
      <c r="DNM24" t="s">
        <v>6984</v>
      </c>
      <c r="DNN24" t="s">
        <v>6984</v>
      </c>
      <c r="DNO24" t="s">
        <v>6984</v>
      </c>
      <c r="DNP24" t="s">
        <v>6984</v>
      </c>
      <c r="DNQ24" t="s">
        <v>6984</v>
      </c>
      <c r="DNR24" t="s">
        <v>6984</v>
      </c>
      <c r="DNS24" t="s">
        <v>6984</v>
      </c>
      <c r="DNT24" t="s">
        <v>6984</v>
      </c>
      <c r="DNU24" t="s">
        <v>6984</v>
      </c>
      <c r="DNV24" t="s">
        <v>6984</v>
      </c>
      <c r="DNW24" t="s">
        <v>6984</v>
      </c>
      <c r="DNX24" t="s">
        <v>6984</v>
      </c>
      <c r="DNY24" t="s">
        <v>6984</v>
      </c>
      <c r="DNZ24" t="s">
        <v>6984</v>
      </c>
      <c r="DOA24" t="s">
        <v>6984</v>
      </c>
      <c r="DOB24" t="s">
        <v>6984</v>
      </c>
      <c r="DOC24" t="s">
        <v>6984</v>
      </c>
      <c r="DOD24" t="s">
        <v>6984</v>
      </c>
      <c r="DOE24" t="s">
        <v>6984</v>
      </c>
      <c r="DOF24" t="s">
        <v>6984</v>
      </c>
      <c r="DOG24" t="s">
        <v>6984</v>
      </c>
      <c r="DOH24" t="s">
        <v>6984</v>
      </c>
      <c r="DOI24" t="s">
        <v>6984</v>
      </c>
      <c r="DOJ24" t="s">
        <v>6984</v>
      </c>
      <c r="DOK24" t="s">
        <v>6984</v>
      </c>
      <c r="DOL24" t="s">
        <v>6984</v>
      </c>
      <c r="DOM24" t="s">
        <v>6984</v>
      </c>
      <c r="DON24" t="s">
        <v>6984</v>
      </c>
      <c r="DOO24" t="s">
        <v>6984</v>
      </c>
      <c r="DOP24" t="s">
        <v>6984</v>
      </c>
      <c r="DOQ24" t="s">
        <v>6984</v>
      </c>
      <c r="DOR24" t="s">
        <v>6984</v>
      </c>
      <c r="DOS24" t="s">
        <v>6984</v>
      </c>
      <c r="DOT24" t="s">
        <v>6984</v>
      </c>
      <c r="DOU24" t="s">
        <v>6984</v>
      </c>
      <c r="DOV24" t="s">
        <v>6984</v>
      </c>
      <c r="DOW24" t="s">
        <v>6984</v>
      </c>
      <c r="DOX24" t="s">
        <v>6984</v>
      </c>
      <c r="DOY24" t="s">
        <v>6984</v>
      </c>
      <c r="DOZ24" t="s">
        <v>6984</v>
      </c>
      <c r="DPA24" t="s">
        <v>6984</v>
      </c>
      <c r="DPB24" t="s">
        <v>6984</v>
      </c>
      <c r="DPC24" t="s">
        <v>6984</v>
      </c>
      <c r="DPD24" t="s">
        <v>6984</v>
      </c>
      <c r="DPE24" t="s">
        <v>6984</v>
      </c>
      <c r="DPF24" t="s">
        <v>6984</v>
      </c>
      <c r="DPG24" t="s">
        <v>6984</v>
      </c>
      <c r="DPH24" t="s">
        <v>6984</v>
      </c>
      <c r="DPI24" t="s">
        <v>6984</v>
      </c>
      <c r="DPJ24" t="s">
        <v>6984</v>
      </c>
      <c r="DPK24" t="s">
        <v>6984</v>
      </c>
      <c r="DPL24" t="s">
        <v>6984</v>
      </c>
      <c r="DPM24" t="s">
        <v>6984</v>
      </c>
      <c r="DPN24" t="s">
        <v>6984</v>
      </c>
      <c r="DPO24" t="s">
        <v>6984</v>
      </c>
      <c r="DPP24" t="s">
        <v>6984</v>
      </c>
      <c r="DPQ24" t="s">
        <v>6984</v>
      </c>
      <c r="DPR24" t="s">
        <v>6984</v>
      </c>
      <c r="DPS24" t="s">
        <v>6984</v>
      </c>
      <c r="DPT24" t="s">
        <v>6984</v>
      </c>
      <c r="DPU24" t="s">
        <v>6984</v>
      </c>
      <c r="DPV24" t="s">
        <v>6984</v>
      </c>
      <c r="DPW24" t="s">
        <v>6984</v>
      </c>
      <c r="DPX24" t="s">
        <v>6984</v>
      </c>
      <c r="DPY24" t="s">
        <v>6984</v>
      </c>
      <c r="DPZ24" t="s">
        <v>6984</v>
      </c>
      <c r="DQA24" t="s">
        <v>6984</v>
      </c>
      <c r="DQB24" t="s">
        <v>6984</v>
      </c>
      <c r="DQC24" t="s">
        <v>6984</v>
      </c>
      <c r="DQD24" t="s">
        <v>6984</v>
      </c>
      <c r="DQE24" t="s">
        <v>6984</v>
      </c>
      <c r="DQF24" t="s">
        <v>6984</v>
      </c>
      <c r="DQG24" t="s">
        <v>6984</v>
      </c>
      <c r="DQH24" t="s">
        <v>6984</v>
      </c>
      <c r="DQI24" t="s">
        <v>6984</v>
      </c>
      <c r="DQJ24" t="s">
        <v>6984</v>
      </c>
      <c r="DQK24" t="s">
        <v>6984</v>
      </c>
      <c r="DQL24" t="s">
        <v>6984</v>
      </c>
      <c r="DQM24" t="s">
        <v>6984</v>
      </c>
      <c r="DQN24" t="s">
        <v>6984</v>
      </c>
      <c r="DQO24" t="s">
        <v>6984</v>
      </c>
      <c r="DQP24" t="s">
        <v>6984</v>
      </c>
      <c r="DQQ24" t="s">
        <v>6984</v>
      </c>
      <c r="DQR24" t="s">
        <v>6984</v>
      </c>
      <c r="DQS24" t="s">
        <v>6984</v>
      </c>
      <c r="DQT24" t="s">
        <v>6984</v>
      </c>
      <c r="DQU24" t="s">
        <v>6984</v>
      </c>
      <c r="DQV24" t="s">
        <v>6984</v>
      </c>
      <c r="DQW24" t="s">
        <v>6984</v>
      </c>
      <c r="DQX24" t="s">
        <v>6984</v>
      </c>
      <c r="DQY24" t="s">
        <v>6984</v>
      </c>
      <c r="DQZ24" t="s">
        <v>6984</v>
      </c>
      <c r="DRA24" t="s">
        <v>6984</v>
      </c>
      <c r="DRB24" t="s">
        <v>6984</v>
      </c>
      <c r="DRC24" t="s">
        <v>6984</v>
      </c>
      <c r="DRD24" t="s">
        <v>6984</v>
      </c>
      <c r="DRE24" t="s">
        <v>6984</v>
      </c>
      <c r="DRF24" t="s">
        <v>6984</v>
      </c>
      <c r="DRG24" t="s">
        <v>6984</v>
      </c>
      <c r="DRH24" t="s">
        <v>6984</v>
      </c>
      <c r="DRI24" t="s">
        <v>6984</v>
      </c>
      <c r="DRJ24" t="s">
        <v>6984</v>
      </c>
      <c r="DRK24" t="s">
        <v>6984</v>
      </c>
      <c r="DRL24" t="s">
        <v>6984</v>
      </c>
      <c r="DRM24" t="s">
        <v>6984</v>
      </c>
      <c r="DRN24" t="s">
        <v>6984</v>
      </c>
      <c r="DRO24" t="s">
        <v>6984</v>
      </c>
      <c r="DRP24" t="s">
        <v>6984</v>
      </c>
      <c r="DRQ24" t="s">
        <v>6984</v>
      </c>
      <c r="DRR24" t="s">
        <v>6984</v>
      </c>
      <c r="DRS24" t="s">
        <v>6984</v>
      </c>
      <c r="DRT24" t="s">
        <v>6984</v>
      </c>
      <c r="DRU24" t="s">
        <v>6984</v>
      </c>
      <c r="DRV24" t="s">
        <v>6984</v>
      </c>
      <c r="DRW24" t="s">
        <v>6984</v>
      </c>
      <c r="DRX24" t="s">
        <v>6984</v>
      </c>
      <c r="DRY24" t="s">
        <v>6984</v>
      </c>
      <c r="DRZ24" t="s">
        <v>6984</v>
      </c>
      <c r="DSA24" t="s">
        <v>6984</v>
      </c>
      <c r="DSB24" t="s">
        <v>6984</v>
      </c>
      <c r="DSC24" t="s">
        <v>6984</v>
      </c>
      <c r="DSD24" t="s">
        <v>6984</v>
      </c>
      <c r="DSE24" t="s">
        <v>6984</v>
      </c>
      <c r="DSF24" t="s">
        <v>6984</v>
      </c>
      <c r="DSG24" t="s">
        <v>6984</v>
      </c>
      <c r="DSH24" t="s">
        <v>6984</v>
      </c>
      <c r="DSI24" t="s">
        <v>6984</v>
      </c>
      <c r="DSJ24" t="s">
        <v>6984</v>
      </c>
      <c r="DSK24" t="s">
        <v>6984</v>
      </c>
      <c r="DSL24" t="s">
        <v>6984</v>
      </c>
      <c r="DSM24" t="s">
        <v>6984</v>
      </c>
      <c r="DSN24" t="s">
        <v>6984</v>
      </c>
      <c r="DSO24" t="s">
        <v>6984</v>
      </c>
      <c r="DSP24" t="s">
        <v>6984</v>
      </c>
      <c r="DSQ24" t="s">
        <v>6984</v>
      </c>
      <c r="DSR24" t="s">
        <v>6984</v>
      </c>
      <c r="DSS24" t="s">
        <v>6984</v>
      </c>
      <c r="DST24" t="s">
        <v>6984</v>
      </c>
      <c r="DSU24" t="s">
        <v>6984</v>
      </c>
      <c r="DSV24" t="s">
        <v>6984</v>
      </c>
      <c r="DSW24" t="s">
        <v>6984</v>
      </c>
      <c r="DSX24" t="s">
        <v>6984</v>
      </c>
      <c r="DSY24" t="s">
        <v>6984</v>
      </c>
      <c r="DSZ24" t="s">
        <v>6984</v>
      </c>
      <c r="DTA24" t="s">
        <v>6984</v>
      </c>
      <c r="DTB24" t="s">
        <v>6984</v>
      </c>
      <c r="DTC24" t="s">
        <v>6984</v>
      </c>
      <c r="DTD24" t="s">
        <v>6984</v>
      </c>
      <c r="DTE24" t="s">
        <v>6984</v>
      </c>
      <c r="DTF24" t="s">
        <v>6984</v>
      </c>
      <c r="DTG24" t="s">
        <v>6984</v>
      </c>
      <c r="DTH24" t="s">
        <v>6984</v>
      </c>
      <c r="DTI24" t="s">
        <v>6984</v>
      </c>
      <c r="DTJ24" t="s">
        <v>6984</v>
      </c>
      <c r="DTK24" t="s">
        <v>6984</v>
      </c>
      <c r="DTL24" t="s">
        <v>6984</v>
      </c>
      <c r="DTM24" t="s">
        <v>6984</v>
      </c>
      <c r="DTN24" t="s">
        <v>6984</v>
      </c>
      <c r="DTO24" t="s">
        <v>6984</v>
      </c>
      <c r="DTP24" t="s">
        <v>6984</v>
      </c>
      <c r="DTQ24" t="s">
        <v>6984</v>
      </c>
      <c r="DTR24" t="s">
        <v>6984</v>
      </c>
      <c r="DTS24" t="s">
        <v>6984</v>
      </c>
      <c r="DTT24" t="s">
        <v>6984</v>
      </c>
      <c r="DTU24" t="s">
        <v>6984</v>
      </c>
      <c r="DTV24" t="s">
        <v>6984</v>
      </c>
      <c r="DTW24" t="s">
        <v>6984</v>
      </c>
      <c r="DTX24" t="s">
        <v>6984</v>
      </c>
      <c r="DTY24" t="s">
        <v>6984</v>
      </c>
      <c r="DTZ24" t="s">
        <v>6984</v>
      </c>
      <c r="DUA24" t="s">
        <v>6984</v>
      </c>
      <c r="DUB24" t="s">
        <v>6984</v>
      </c>
      <c r="DUC24" t="s">
        <v>6984</v>
      </c>
      <c r="DUD24" t="s">
        <v>6984</v>
      </c>
      <c r="DUE24" t="s">
        <v>6984</v>
      </c>
      <c r="DUF24" t="s">
        <v>6984</v>
      </c>
      <c r="DUG24" t="s">
        <v>6984</v>
      </c>
      <c r="DUH24" t="s">
        <v>6984</v>
      </c>
      <c r="DUI24" t="s">
        <v>6984</v>
      </c>
      <c r="DUJ24" t="s">
        <v>6984</v>
      </c>
      <c r="DUK24" t="s">
        <v>6984</v>
      </c>
      <c r="DUL24" t="s">
        <v>6984</v>
      </c>
      <c r="DUM24" t="s">
        <v>6984</v>
      </c>
      <c r="DUN24" t="s">
        <v>6984</v>
      </c>
      <c r="DUO24" t="s">
        <v>6984</v>
      </c>
      <c r="DUP24" t="s">
        <v>6984</v>
      </c>
      <c r="DUQ24" t="s">
        <v>6984</v>
      </c>
      <c r="DUR24" t="s">
        <v>6984</v>
      </c>
      <c r="DUS24" t="s">
        <v>6984</v>
      </c>
      <c r="DUT24" t="s">
        <v>6984</v>
      </c>
      <c r="DUU24" t="s">
        <v>6984</v>
      </c>
      <c r="DUV24" t="s">
        <v>6984</v>
      </c>
      <c r="DUW24" t="s">
        <v>6984</v>
      </c>
      <c r="DUX24" t="s">
        <v>6984</v>
      </c>
      <c r="DUY24" t="s">
        <v>6984</v>
      </c>
      <c r="DUZ24" t="s">
        <v>6984</v>
      </c>
      <c r="DVA24" t="s">
        <v>6984</v>
      </c>
      <c r="DVB24" t="s">
        <v>6984</v>
      </c>
      <c r="DVC24" t="s">
        <v>6984</v>
      </c>
      <c r="DVD24" t="s">
        <v>6984</v>
      </c>
      <c r="DVE24" t="s">
        <v>6984</v>
      </c>
      <c r="DVF24" t="s">
        <v>6984</v>
      </c>
      <c r="DVG24" t="s">
        <v>6984</v>
      </c>
      <c r="DVH24" t="s">
        <v>6984</v>
      </c>
      <c r="DVI24" t="s">
        <v>6984</v>
      </c>
      <c r="DVJ24" t="s">
        <v>6984</v>
      </c>
      <c r="DVK24" t="s">
        <v>6984</v>
      </c>
      <c r="DVL24" t="s">
        <v>6984</v>
      </c>
      <c r="DVM24" t="s">
        <v>6984</v>
      </c>
      <c r="DVN24" t="s">
        <v>6984</v>
      </c>
      <c r="DVO24" t="s">
        <v>6984</v>
      </c>
      <c r="DVP24" t="s">
        <v>6984</v>
      </c>
      <c r="DVQ24" t="s">
        <v>6984</v>
      </c>
      <c r="DVR24" t="s">
        <v>6984</v>
      </c>
      <c r="DVS24" t="s">
        <v>6984</v>
      </c>
      <c r="DVT24" t="s">
        <v>6984</v>
      </c>
      <c r="DVU24" t="s">
        <v>6984</v>
      </c>
      <c r="DVV24" t="s">
        <v>6984</v>
      </c>
      <c r="DVW24" t="s">
        <v>6984</v>
      </c>
      <c r="DVX24" t="s">
        <v>6984</v>
      </c>
      <c r="DVY24" t="s">
        <v>6984</v>
      </c>
      <c r="DVZ24" t="s">
        <v>6984</v>
      </c>
      <c r="DWA24" t="s">
        <v>6984</v>
      </c>
      <c r="DWB24" t="s">
        <v>6984</v>
      </c>
      <c r="DWC24" t="s">
        <v>6984</v>
      </c>
      <c r="DWD24" t="s">
        <v>6984</v>
      </c>
      <c r="DWE24" t="s">
        <v>6984</v>
      </c>
      <c r="DWF24" t="s">
        <v>6984</v>
      </c>
      <c r="DWG24" t="s">
        <v>6984</v>
      </c>
      <c r="DWH24" t="s">
        <v>6984</v>
      </c>
      <c r="DWI24" t="s">
        <v>6984</v>
      </c>
      <c r="DWJ24" t="s">
        <v>6984</v>
      </c>
      <c r="DWK24" t="s">
        <v>6984</v>
      </c>
      <c r="DWL24" t="s">
        <v>6984</v>
      </c>
      <c r="DWM24" t="s">
        <v>6984</v>
      </c>
      <c r="DWN24" t="s">
        <v>6984</v>
      </c>
      <c r="DWO24" t="s">
        <v>6984</v>
      </c>
      <c r="DWP24" t="s">
        <v>6984</v>
      </c>
      <c r="DWQ24" t="s">
        <v>6984</v>
      </c>
      <c r="DWR24" t="s">
        <v>6984</v>
      </c>
      <c r="DWS24" t="s">
        <v>6984</v>
      </c>
      <c r="DWT24" t="s">
        <v>6984</v>
      </c>
      <c r="DWU24" t="s">
        <v>6984</v>
      </c>
      <c r="DWV24" t="s">
        <v>6984</v>
      </c>
      <c r="DWW24" t="s">
        <v>6984</v>
      </c>
      <c r="DWX24" t="s">
        <v>6984</v>
      </c>
      <c r="DWY24" t="s">
        <v>6984</v>
      </c>
      <c r="DWZ24" t="s">
        <v>6984</v>
      </c>
      <c r="DXA24" t="s">
        <v>6984</v>
      </c>
      <c r="DXB24" t="s">
        <v>6984</v>
      </c>
      <c r="DXC24" t="s">
        <v>6984</v>
      </c>
      <c r="DXD24" t="s">
        <v>6984</v>
      </c>
      <c r="DXE24" t="s">
        <v>6984</v>
      </c>
      <c r="DXF24" t="s">
        <v>6984</v>
      </c>
      <c r="DXG24" t="s">
        <v>6984</v>
      </c>
      <c r="DXH24" t="s">
        <v>6984</v>
      </c>
      <c r="DXI24" t="s">
        <v>6984</v>
      </c>
      <c r="DXJ24" t="s">
        <v>6984</v>
      </c>
      <c r="DXK24" t="s">
        <v>6984</v>
      </c>
      <c r="DXL24" t="s">
        <v>6984</v>
      </c>
      <c r="DXM24" t="s">
        <v>6984</v>
      </c>
      <c r="DXN24" t="s">
        <v>6984</v>
      </c>
      <c r="DXO24" t="s">
        <v>6984</v>
      </c>
      <c r="DXP24" t="s">
        <v>6984</v>
      </c>
      <c r="DXQ24" t="s">
        <v>6984</v>
      </c>
      <c r="DXR24" t="s">
        <v>6984</v>
      </c>
      <c r="DXS24" t="s">
        <v>6984</v>
      </c>
      <c r="DXT24" t="s">
        <v>6984</v>
      </c>
      <c r="DXU24" t="s">
        <v>6984</v>
      </c>
      <c r="DXV24" t="s">
        <v>6984</v>
      </c>
      <c r="DXW24" t="s">
        <v>6984</v>
      </c>
      <c r="DXX24" t="s">
        <v>6984</v>
      </c>
      <c r="DXY24" t="s">
        <v>6984</v>
      </c>
      <c r="DXZ24" t="s">
        <v>6984</v>
      </c>
      <c r="DYA24" t="s">
        <v>6984</v>
      </c>
      <c r="DYB24" t="s">
        <v>6984</v>
      </c>
      <c r="DYC24" t="s">
        <v>6984</v>
      </c>
      <c r="DYD24" t="s">
        <v>6984</v>
      </c>
      <c r="DYE24" t="s">
        <v>6984</v>
      </c>
      <c r="DYF24" t="s">
        <v>6984</v>
      </c>
      <c r="DYG24" t="s">
        <v>6984</v>
      </c>
      <c r="DYH24" t="s">
        <v>6984</v>
      </c>
      <c r="DYI24" t="s">
        <v>6984</v>
      </c>
      <c r="DYJ24" t="s">
        <v>6984</v>
      </c>
      <c r="DYK24" t="s">
        <v>6984</v>
      </c>
      <c r="DYL24" t="s">
        <v>6984</v>
      </c>
      <c r="DYM24" t="s">
        <v>6984</v>
      </c>
      <c r="DYN24" t="s">
        <v>6984</v>
      </c>
      <c r="DYO24" t="s">
        <v>6984</v>
      </c>
      <c r="DYP24" t="s">
        <v>6984</v>
      </c>
      <c r="DYQ24" t="s">
        <v>6984</v>
      </c>
      <c r="DYR24" t="s">
        <v>6984</v>
      </c>
      <c r="DYS24" t="s">
        <v>6984</v>
      </c>
      <c r="DYT24" t="s">
        <v>6984</v>
      </c>
      <c r="DYU24" t="s">
        <v>6984</v>
      </c>
      <c r="DYV24" t="s">
        <v>6984</v>
      </c>
      <c r="DYW24" t="s">
        <v>6984</v>
      </c>
      <c r="DYX24" t="s">
        <v>6984</v>
      </c>
      <c r="DYY24" t="s">
        <v>6984</v>
      </c>
      <c r="DYZ24" t="s">
        <v>6984</v>
      </c>
      <c r="DZA24" t="s">
        <v>6984</v>
      </c>
      <c r="DZB24" t="s">
        <v>6984</v>
      </c>
      <c r="DZC24" t="s">
        <v>6984</v>
      </c>
      <c r="DZD24" t="s">
        <v>6984</v>
      </c>
      <c r="DZE24" t="s">
        <v>6984</v>
      </c>
      <c r="DZF24" t="s">
        <v>6984</v>
      </c>
      <c r="DZG24" t="s">
        <v>6984</v>
      </c>
      <c r="DZH24" t="s">
        <v>6984</v>
      </c>
      <c r="DZI24" t="s">
        <v>6984</v>
      </c>
      <c r="DZJ24" t="s">
        <v>6984</v>
      </c>
      <c r="DZK24" t="s">
        <v>6984</v>
      </c>
      <c r="DZL24" t="s">
        <v>6984</v>
      </c>
      <c r="DZM24" t="s">
        <v>6984</v>
      </c>
      <c r="DZN24" t="s">
        <v>6984</v>
      </c>
      <c r="DZO24" t="s">
        <v>6984</v>
      </c>
      <c r="DZP24" t="s">
        <v>6984</v>
      </c>
      <c r="DZQ24" t="s">
        <v>6984</v>
      </c>
      <c r="DZR24" t="s">
        <v>6984</v>
      </c>
      <c r="DZS24" t="s">
        <v>6984</v>
      </c>
      <c r="DZT24" t="s">
        <v>6984</v>
      </c>
      <c r="DZU24" t="s">
        <v>6984</v>
      </c>
      <c r="DZV24" t="s">
        <v>6984</v>
      </c>
      <c r="DZW24" t="s">
        <v>6984</v>
      </c>
      <c r="DZX24" t="s">
        <v>6984</v>
      </c>
      <c r="DZY24" t="s">
        <v>6984</v>
      </c>
      <c r="DZZ24" t="s">
        <v>6984</v>
      </c>
      <c r="EAA24" t="s">
        <v>6984</v>
      </c>
      <c r="EAB24" t="s">
        <v>6984</v>
      </c>
      <c r="EAC24" t="s">
        <v>6984</v>
      </c>
      <c r="EAD24" t="s">
        <v>6984</v>
      </c>
      <c r="EAE24" t="s">
        <v>6984</v>
      </c>
      <c r="EAF24" t="s">
        <v>6984</v>
      </c>
      <c r="EAG24" t="s">
        <v>6984</v>
      </c>
      <c r="EAH24" t="s">
        <v>6984</v>
      </c>
      <c r="EAI24" t="s">
        <v>6984</v>
      </c>
      <c r="EAJ24" t="s">
        <v>6984</v>
      </c>
      <c r="EAK24" t="s">
        <v>6984</v>
      </c>
      <c r="EAL24" t="s">
        <v>6984</v>
      </c>
      <c r="EAM24" t="s">
        <v>6984</v>
      </c>
      <c r="EAN24" t="s">
        <v>6984</v>
      </c>
      <c r="EAO24" t="s">
        <v>6984</v>
      </c>
      <c r="EAP24" t="s">
        <v>6984</v>
      </c>
      <c r="EAQ24" t="s">
        <v>6984</v>
      </c>
      <c r="EAR24" t="s">
        <v>6984</v>
      </c>
      <c r="EAS24" t="s">
        <v>6984</v>
      </c>
      <c r="EAT24" t="s">
        <v>6984</v>
      </c>
      <c r="EAU24" t="s">
        <v>6984</v>
      </c>
      <c r="EAV24" t="s">
        <v>6984</v>
      </c>
      <c r="EAW24" t="s">
        <v>6984</v>
      </c>
      <c r="EAX24" t="s">
        <v>6984</v>
      </c>
      <c r="EAY24" t="s">
        <v>6984</v>
      </c>
      <c r="EAZ24" t="s">
        <v>6984</v>
      </c>
      <c r="EBA24" t="s">
        <v>6984</v>
      </c>
      <c r="EBB24" t="s">
        <v>6984</v>
      </c>
      <c r="EBC24" t="s">
        <v>6984</v>
      </c>
      <c r="EBD24" t="s">
        <v>6984</v>
      </c>
      <c r="EBE24" t="s">
        <v>6984</v>
      </c>
      <c r="EBF24" t="s">
        <v>6984</v>
      </c>
      <c r="EBG24" t="s">
        <v>6984</v>
      </c>
      <c r="EBH24" t="s">
        <v>6984</v>
      </c>
      <c r="EBI24" t="s">
        <v>6984</v>
      </c>
      <c r="EBJ24" t="s">
        <v>6984</v>
      </c>
      <c r="EBK24" t="s">
        <v>6984</v>
      </c>
      <c r="EBL24" t="s">
        <v>6984</v>
      </c>
      <c r="EBM24" t="s">
        <v>6984</v>
      </c>
      <c r="EBN24" t="s">
        <v>6984</v>
      </c>
      <c r="EBO24" t="s">
        <v>6984</v>
      </c>
      <c r="EBP24" t="s">
        <v>6984</v>
      </c>
      <c r="EBQ24" t="s">
        <v>6984</v>
      </c>
      <c r="EBR24" t="s">
        <v>6984</v>
      </c>
      <c r="EBS24" t="s">
        <v>6984</v>
      </c>
      <c r="EBT24" t="s">
        <v>6984</v>
      </c>
      <c r="EBU24" t="s">
        <v>6984</v>
      </c>
      <c r="EBV24" t="s">
        <v>6984</v>
      </c>
      <c r="EBW24" t="s">
        <v>6984</v>
      </c>
      <c r="EBX24" t="s">
        <v>6984</v>
      </c>
      <c r="EBY24" t="s">
        <v>6984</v>
      </c>
      <c r="EBZ24" t="s">
        <v>6984</v>
      </c>
      <c r="ECA24" t="s">
        <v>6984</v>
      </c>
      <c r="ECB24" t="s">
        <v>6984</v>
      </c>
      <c r="ECC24" t="s">
        <v>6984</v>
      </c>
      <c r="ECD24" t="s">
        <v>6984</v>
      </c>
      <c r="ECE24" t="s">
        <v>6984</v>
      </c>
      <c r="ECF24" t="s">
        <v>6984</v>
      </c>
      <c r="ECG24" t="s">
        <v>6984</v>
      </c>
      <c r="ECH24" t="s">
        <v>6984</v>
      </c>
      <c r="ECI24" t="s">
        <v>6984</v>
      </c>
      <c r="ECJ24" t="s">
        <v>6984</v>
      </c>
      <c r="ECK24" t="s">
        <v>6984</v>
      </c>
      <c r="ECL24" t="s">
        <v>6984</v>
      </c>
      <c r="ECM24" t="s">
        <v>6984</v>
      </c>
      <c r="ECN24" t="s">
        <v>6984</v>
      </c>
      <c r="ECO24" t="s">
        <v>6984</v>
      </c>
      <c r="ECP24" t="s">
        <v>6984</v>
      </c>
      <c r="ECQ24" t="s">
        <v>6984</v>
      </c>
      <c r="ECR24" t="s">
        <v>6984</v>
      </c>
      <c r="ECS24" t="s">
        <v>6984</v>
      </c>
      <c r="ECT24" t="s">
        <v>6984</v>
      </c>
      <c r="ECU24" t="s">
        <v>6984</v>
      </c>
      <c r="ECV24" t="s">
        <v>6984</v>
      </c>
      <c r="ECW24" t="s">
        <v>6984</v>
      </c>
      <c r="ECX24" t="s">
        <v>6984</v>
      </c>
      <c r="ECY24" t="s">
        <v>6984</v>
      </c>
      <c r="ECZ24" t="s">
        <v>6984</v>
      </c>
      <c r="EDA24" t="s">
        <v>6984</v>
      </c>
      <c r="EDB24" t="s">
        <v>6984</v>
      </c>
      <c r="EDC24" t="s">
        <v>6984</v>
      </c>
      <c r="EDD24" t="s">
        <v>6984</v>
      </c>
      <c r="EDE24" t="s">
        <v>6984</v>
      </c>
      <c r="EDF24" t="s">
        <v>6984</v>
      </c>
      <c r="EDG24" t="s">
        <v>6984</v>
      </c>
      <c r="EDH24" t="s">
        <v>6984</v>
      </c>
      <c r="EDI24" t="s">
        <v>6984</v>
      </c>
      <c r="EDJ24" t="s">
        <v>6984</v>
      </c>
      <c r="EDK24" t="s">
        <v>6984</v>
      </c>
      <c r="EDL24" t="s">
        <v>6984</v>
      </c>
      <c r="EDM24" t="s">
        <v>6984</v>
      </c>
      <c r="EDN24" t="s">
        <v>6984</v>
      </c>
      <c r="EDO24" t="s">
        <v>6984</v>
      </c>
      <c r="EDP24" t="s">
        <v>6984</v>
      </c>
      <c r="EDQ24" t="s">
        <v>6984</v>
      </c>
      <c r="EDR24" t="s">
        <v>6984</v>
      </c>
      <c r="EDS24" t="s">
        <v>6984</v>
      </c>
      <c r="EDT24" t="s">
        <v>6984</v>
      </c>
      <c r="EDU24" t="s">
        <v>6984</v>
      </c>
      <c r="EDV24" t="s">
        <v>6984</v>
      </c>
      <c r="EDW24" t="s">
        <v>6984</v>
      </c>
      <c r="EDX24" t="s">
        <v>6984</v>
      </c>
      <c r="EDY24" t="s">
        <v>6984</v>
      </c>
      <c r="EDZ24" t="s">
        <v>6984</v>
      </c>
      <c r="EEA24" t="s">
        <v>6984</v>
      </c>
      <c r="EEB24" t="s">
        <v>6984</v>
      </c>
      <c r="EEC24" t="s">
        <v>6984</v>
      </c>
      <c r="EED24" t="s">
        <v>6984</v>
      </c>
      <c r="EEE24" t="s">
        <v>6984</v>
      </c>
      <c r="EEF24" t="s">
        <v>6984</v>
      </c>
      <c r="EEG24" t="s">
        <v>6984</v>
      </c>
      <c r="EEH24" t="s">
        <v>6984</v>
      </c>
      <c r="EEI24" t="s">
        <v>6984</v>
      </c>
      <c r="EEJ24" t="s">
        <v>6984</v>
      </c>
      <c r="EEK24" t="s">
        <v>6984</v>
      </c>
      <c r="EEL24" t="s">
        <v>6984</v>
      </c>
      <c r="EEM24" t="s">
        <v>6984</v>
      </c>
      <c r="EEN24" t="s">
        <v>6984</v>
      </c>
      <c r="EEO24" t="s">
        <v>6984</v>
      </c>
      <c r="EEP24" t="s">
        <v>6984</v>
      </c>
      <c r="EEQ24" t="s">
        <v>6984</v>
      </c>
      <c r="EER24" t="s">
        <v>6984</v>
      </c>
      <c r="EES24" t="s">
        <v>6984</v>
      </c>
      <c r="EET24" t="s">
        <v>6984</v>
      </c>
      <c r="EEU24" t="s">
        <v>6984</v>
      </c>
      <c r="EEV24" t="s">
        <v>6984</v>
      </c>
      <c r="EEW24" t="s">
        <v>6984</v>
      </c>
      <c r="EEX24" t="s">
        <v>6984</v>
      </c>
      <c r="EEY24" t="s">
        <v>6984</v>
      </c>
      <c r="EEZ24" t="s">
        <v>6984</v>
      </c>
      <c r="EFA24" t="s">
        <v>6984</v>
      </c>
      <c r="EFB24" t="s">
        <v>6984</v>
      </c>
      <c r="EFC24" t="s">
        <v>6984</v>
      </c>
      <c r="EFD24" t="s">
        <v>6984</v>
      </c>
      <c r="EFE24" t="s">
        <v>6984</v>
      </c>
      <c r="EFF24" t="s">
        <v>6984</v>
      </c>
      <c r="EFG24" t="s">
        <v>6984</v>
      </c>
      <c r="EFH24" t="s">
        <v>6984</v>
      </c>
      <c r="EFI24" t="s">
        <v>6984</v>
      </c>
      <c r="EFJ24" t="s">
        <v>6984</v>
      </c>
      <c r="EFK24" t="s">
        <v>6984</v>
      </c>
      <c r="EFL24" t="s">
        <v>6984</v>
      </c>
      <c r="EFM24" t="s">
        <v>6984</v>
      </c>
      <c r="EFN24" t="s">
        <v>6984</v>
      </c>
      <c r="EFO24" t="s">
        <v>6984</v>
      </c>
      <c r="EFP24" t="s">
        <v>6984</v>
      </c>
      <c r="EFQ24" t="s">
        <v>6984</v>
      </c>
      <c r="EFR24" t="s">
        <v>6984</v>
      </c>
      <c r="EFS24" t="s">
        <v>6984</v>
      </c>
      <c r="EFT24" t="s">
        <v>6984</v>
      </c>
      <c r="EFU24" t="s">
        <v>6984</v>
      </c>
      <c r="EFV24" t="s">
        <v>6984</v>
      </c>
      <c r="EFW24" t="s">
        <v>6984</v>
      </c>
      <c r="EFX24" t="s">
        <v>6984</v>
      </c>
      <c r="EFY24" t="s">
        <v>6984</v>
      </c>
      <c r="EFZ24" t="s">
        <v>6984</v>
      </c>
      <c r="EGA24" t="s">
        <v>6984</v>
      </c>
      <c r="EGB24" t="s">
        <v>6984</v>
      </c>
      <c r="EGC24" t="s">
        <v>6984</v>
      </c>
      <c r="EGD24" t="s">
        <v>6984</v>
      </c>
      <c r="EGE24" t="s">
        <v>6984</v>
      </c>
      <c r="EGF24" t="s">
        <v>6984</v>
      </c>
      <c r="EGG24" t="s">
        <v>6984</v>
      </c>
      <c r="EGH24" t="s">
        <v>6984</v>
      </c>
      <c r="EGI24" t="s">
        <v>6984</v>
      </c>
      <c r="EGJ24" t="s">
        <v>6984</v>
      </c>
      <c r="EGK24" t="s">
        <v>6984</v>
      </c>
      <c r="EGL24" t="s">
        <v>6984</v>
      </c>
      <c r="EGM24" t="s">
        <v>6984</v>
      </c>
      <c r="EGN24" t="s">
        <v>6984</v>
      </c>
      <c r="EGO24" t="s">
        <v>6984</v>
      </c>
      <c r="EGP24" t="s">
        <v>6984</v>
      </c>
      <c r="EGQ24" t="s">
        <v>6984</v>
      </c>
      <c r="EGR24" t="s">
        <v>6984</v>
      </c>
      <c r="EGS24" t="s">
        <v>6984</v>
      </c>
      <c r="EGT24" t="s">
        <v>6984</v>
      </c>
      <c r="EGU24" t="s">
        <v>6984</v>
      </c>
      <c r="EGV24" t="s">
        <v>6984</v>
      </c>
      <c r="EGW24" t="s">
        <v>6984</v>
      </c>
      <c r="EGX24" t="s">
        <v>6984</v>
      </c>
      <c r="EGY24" t="s">
        <v>6984</v>
      </c>
      <c r="EGZ24" t="s">
        <v>6984</v>
      </c>
      <c r="EHA24" t="s">
        <v>6984</v>
      </c>
      <c r="EHB24" t="s">
        <v>6984</v>
      </c>
      <c r="EHC24" t="s">
        <v>6984</v>
      </c>
      <c r="EHD24" t="s">
        <v>6984</v>
      </c>
      <c r="EHE24" t="s">
        <v>6984</v>
      </c>
      <c r="EHF24" t="s">
        <v>6984</v>
      </c>
      <c r="EHG24" t="s">
        <v>6984</v>
      </c>
      <c r="EHH24" t="s">
        <v>6984</v>
      </c>
      <c r="EHI24" t="s">
        <v>6984</v>
      </c>
      <c r="EHJ24" t="s">
        <v>6984</v>
      </c>
      <c r="EHK24" t="s">
        <v>6984</v>
      </c>
      <c r="EHL24" t="s">
        <v>6984</v>
      </c>
      <c r="EHM24" t="s">
        <v>6984</v>
      </c>
      <c r="EHN24" t="s">
        <v>6984</v>
      </c>
      <c r="EHO24" t="s">
        <v>6984</v>
      </c>
      <c r="EHP24" t="s">
        <v>6984</v>
      </c>
      <c r="EHQ24" t="s">
        <v>6984</v>
      </c>
      <c r="EHR24" t="s">
        <v>6984</v>
      </c>
      <c r="EHS24" t="s">
        <v>6984</v>
      </c>
      <c r="EHT24" t="s">
        <v>6984</v>
      </c>
      <c r="EHU24" t="s">
        <v>6984</v>
      </c>
      <c r="EHV24" t="s">
        <v>6984</v>
      </c>
      <c r="EHW24" t="s">
        <v>6984</v>
      </c>
      <c r="EHX24" t="s">
        <v>6984</v>
      </c>
      <c r="EHY24" t="s">
        <v>6984</v>
      </c>
      <c r="EHZ24" t="s">
        <v>6984</v>
      </c>
      <c r="EIA24" t="s">
        <v>6984</v>
      </c>
      <c r="EIB24" t="s">
        <v>6984</v>
      </c>
      <c r="EIC24" t="s">
        <v>6984</v>
      </c>
      <c r="EID24" t="s">
        <v>6984</v>
      </c>
      <c r="EIE24" t="s">
        <v>6984</v>
      </c>
      <c r="EIF24" t="s">
        <v>6984</v>
      </c>
      <c r="EIG24" t="s">
        <v>6984</v>
      </c>
      <c r="EIH24" t="s">
        <v>6984</v>
      </c>
      <c r="EII24" t="s">
        <v>6984</v>
      </c>
      <c r="EIJ24" t="s">
        <v>6984</v>
      </c>
      <c r="EIK24" t="s">
        <v>6984</v>
      </c>
      <c r="EIL24" t="s">
        <v>6984</v>
      </c>
      <c r="EIM24" t="s">
        <v>6984</v>
      </c>
      <c r="EIN24" t="s">
        <v>6984</v>
      </c>
      <c r="EIO24" t="s">
        <v>6984</v>
      </c>
      <c r="EIP24" t="s">
        <v>6984</v>
      </c>
      <c r="EIQ24" t="s">
        <v>6984</v>
      </c>
      <c r="EIR24" t="s">
        <v>6984</v>
      </c>
      <c r="EIS24" t="s">
        <v>6984</v>
      </c>
      <c r="EIT24" t="s">
        <v>6984</v>
      </c>
      <c r="EIU24" t="s">
        <v>6984</v>
      </c>
      <c r="EIV24" t="s">
        <v>6984</v>
      </c>
      <c r="EIW24" t="s">
        <v>6984</v>
      </c>
      <c r="EIX24" t="s">
        <v>6984</v>
      </c>
      <c r="EIY24" t="s">
        <v>6984</v>
      </c>
      <c r="EIZ24" t="s">
        <v>6984</v>
      </c>
      <c r="EJA24" t="s">
        <v>6984</v>
      </c>
      <c r="EJB24" t="s">
        <v>6984</v>
      </c>
      <c r="EJC24" t="s">
        <v>6984</v>
      </c>
      <c r="EJD24" t="s">
        <v>6984</v>
      </c>
      <c r="EJE24" t="s">
        <v>6984</v>
      </c>
      <c r="EJF24" t="s">
        <v>6984</v>
      </c>
      <c r="EJG24" t="s">
        <v>6984</v>
      </c>
      <c r="EJH24" t="s">
        <v>6984</v>
      </c>
      <c r="EJI24" t="s">
        <v>6984</v>
      </c>
      <c r="EJJ24" t="s">
        <v>6984</v>
      </c>
      <c r="EJK24" t="s">
        <v>6984</v>
      </c>
      <c r="EJL24" t="s">
        <v>6984</v>
      </c>
      <c r="EJM24" t="s">
        <v>6984</v>
      </c>
      <c r="EJN24" t="s">
        <v>6984</v>
      </c>
      <c r="EJO24" t="s">
        <v>6984</v>
      </c>
      <c r="EJP24" t="s">
        <v>6984</v>
      </c>
      <c r="EJQ24" t="s">
        <v>6984</v>
      </c>
      <c r="EJR24" t="s">
        <v>6984</v>
      </c>
      <c r="EJS24" t="s">
        <v>6984</v>
      </c>
      <c r="EJT24" t="s">
        <v>6984</v>
      </c>
      <c r="EJU24" t="s">
        <v>6984</v>
      </c>
      <c r="EJV24" t="s">
        <v>6984</v>
      </c>
      <c r="EJW24" t="s">
        <v>6984</v>
      </c>
      <c r="EJX24" t="s">
        <v>6984</v>
      </c>
      <c r="EJY24" t="s">
        <v>6984</v>
      </c>
      <c r="EJZ24" t="s">
        <v>6984</v>
      </c>
      <c r="EKA24" t="s">
        <v>6984</v>
      </c>
      <c r="EKB24" t="s">
        <v>6984</v>
      </c>
      <c r="EKC24" t="s">
        <v>6984</v>
      </c>
      <c r="EKD24" t="s">
        <v>6984</v>
      </c>
      <c r="EKE24" t="s">
        <v>6984</v>
      </c>
      <c r="EKF24" t="s">
        <v>6984</v>
      </c>
      <c r="EKG24" t="s">
        <v>6984</v>
      </c>
      <c r="EKH24" t="s">
        <v>6984</v>
      </c>
      <c r="EKI24" t="s">
        <v>6984</v>
      </c>
      <c r="EKJ24" t="s">
        <v>6984</v>
      </c>
      <c r="EKK24" t="s">
        <v>6984</v>
      </c>
      <c r="EKL24" t="s">
        <v>6984</v>
      </c>
      <c r="EKM24" t="s">
        <v>6984</v>
      </c>
      <c r="EKN24" t="s">
        <v>6984</v>
      </c>
      <c r="EKO24" t="s">
        <v>6984</v>
      </c>
      <c r="EKP24" t="s">
        <v>6984</v>
      </c>
      <c r="EKQ24" t="s">
        <v>6984</v>
      </c>
      <c r="EKR24" t="s">
        <v>6984</v>
      </c>
      <c r="EKS24" t="s">
        <v>6984</v>
      </c>
      <c r="EKT24" t="s">
        <v>6984</v>
      </c>
      <c r="EKU24" t="s">
        <v>6984</v>
      </c>
      <c r="EKV24" t="s">
        <v>6984</v>
      </c>
      <c r="EKW24" t="s">
        <v>6984</v>
      </c>
      <c r="EKX24" t="s">
        <v>6984</v>
      </c>
      <c r="EKY24" t="s">
        <v>6984</v>
      </c>
      <c r="EKZ24" t="s">
        <v>6984</v>
      </c>
      <c r="ELA24" t="s">
        <v>6984</v>
      </c>
      <c r="ELB24" t="s">
        <v>6984</v>
      </c>
      <c r="ELC24" t="s">
        <v>6984</v>
      </c>
      <c r="ELD24" t="s">
        <v>6984</v>
      </c>
      <c r="ELE24" t="s">
        <v>6984</v>
      </c>
      <c r="ELF24" t="s">
        <v>6984</v>
      </c>
      <c r="ELG24" t="s">
        <v>6984</v>
      </c>
      <c r="ELH24" t="s">
        <v>6984</v>
      </c>
      <c r="ELI24" t="s">
        <v>6984</v>
      </c>
      <c r="ELJ24" t="s">
        <v>6984</v>
      </c>
      <c r="ELK24" t="s">
        <v>6984</v>
      </c>
      <c r="ELL24" t="s">
        <v>6984</v>
      </c>
      <c r="ELM24" t="s">
        <v>6984</v>
      </c>
      <c r="ELN24" t="s">
        <v>6984</v>
      </c>
      <c r="ELO24" t="s">
        <v>6984</v>
      </c>
      <c r="ELP24" t="s">
        <v>6984</v>
      </c>
      <c r="ELQ24" t="s">
        <v>6984</v>
      </c>
      <c r="ELR24" t="s">
        <v>6984</v>
      </c>
      <c r="ELS24" t="s">
        <v>6984</v>
      </c>
      <c r="ELT24" t="s">
        <v>6984</v>
      </c>
      <c r="ELU24" t="s">
        <v>6984</v>
      </c>
      <c r="ELV24" t="s">
        <v>6984</v>
      </c>
      <c r="ELW24" t="s">
        <v>6984</v>
      </c>
      <c r="ELX24" t="s">
        <v>6984</v>
      </c>
      <c r="ELY24" t="s">
        <v>6984</v>
      </c>
      <c r="ELZ24" t="s">
        <v>6984</v>
      </c>
      <c r="EMA24" t="s">
        <v>6984</v>
      </c>
      <c r="EMB24" t="s">
        <v>6984</v>
      </c>
      <c r="EMC24" t="s">
        <v>6984</v>
      </c>
      <c r="EMD24" t="s">
        <v>6984</v>
      </c>
      <c r="EME24" t="s">
        <v>6984</v>
      </c>
      <c r="EMF24" t="s">
        <v>6984</v>
      </c>
      <c r="EMG24" t="s">
        <v>6984</v>
      </c>
      <c r="EMH24" t="s">
        <v>6984</v>
      </c>
      <c r="EMI24" t="s">
        <v>6984</v>
      </c>
      <c r="EMJ24" t="s">
        <v>6984</v>
      </c>
      <c r="EMK24" t="s">
        <v>6984</v>
      </c>
      <c r="EML24" t="s">
        <v>6984</v>
      </c>
      <c r="EMM24" t="s">
        <v>6984</v>
      </c>
      <c r="EMN24" t="s">
        <v>6984</v>
      </c>
      <c r="EMO24" t="s">
        <v>6984</v>
      </c>
      <c r="EMP24" t="s">
        <v>6984</v>
      </c>
      <c r="EMQ24" t="s">
        <v>6984</v>
      </c>
      <c r="EMR24" t="s">
        <v>6984</v>
      </c>
      <c r="EMS24" t="s">
        <v>6984</v>
      </c>
      <c r="EMT24" t="s">
        <v>6984</v>
      </c>
      <c r="EMU24" t="s">
        <v>6984</v>
      </c>
      <c r="EMV24" t="s">
        <v>6984</v>
      </c>
      <c r="EMW24" t="s">
        <v>6984</v>
      </c>
      <c r="EMX24" t="s">
        <v>6984</v>
      </c>
      <c r="EMY24" t="s">
        <v>6984</v>
      </c>
      <c r="EMZ24" t="s">
        <v>6984</v>
      </c>
      <c r="ENA24" t="s">
        <v>6984</v>
      </c>
      <c r="ENB24" t="s">
        <v>6984</v>
      </c>
      <c r="ENC24" t="s">
        <v>6984</v>
      </c>
      <c r="END24" t="s">
        <v>6984</v>
      </c>
      <c r="ENE24" t="s">
        <v>6984</v>
      </c>
      <c r="ENF24" t="s">
        <v>6984</v>
      </c>
      <c r="ENG24" t="s">
        <v>6984</v>
      </c>
      <c r="ENH24" t="s">
        <v>6984</v>
      </c>
      <c r="ENI24" t="s">
        <v>6984</v>
      </c>
      <c r="ENJ24" t="s">
        <v>6984</v>
      </c>
      <c r="ENK24" t="s">
        <v>6984</v>
      </c>
      <c r="ENL24" t="s">
        <v>6984</v>
      </c>
      <c r="ENM24" t="s">
        <v>6984</v>
      </c>
      <c r="ENN24" t="s">
        <v>6984</v>
      </c>
      <c r="ENO24" t="s">
        <v>6984</v>
      </c>
      <c r="ENP24" t="s">
        <v>6984</v>
      </c>
      <c r="ENQ24" t="s">
        <v>6984</v>
      </c>
      <c r="ENR24" t="s">
        <v>6984</v>
      </c>
      <c r="ENS24" t="s">
        <v>6984</v>
      </c>
      <c r="ENT24" t="s">
        <v>6984</v>
      </c>
      <c r="ENU24" t="s">
        <v>6984</v>
      </c>
      <c r="ENV24" t="s">
        <v>6984</v>
      </c>
      <c r="ENW24" t="s">
        <v>6984</v>
      </c>
      <c r="ENX24" t="s">
        <v>6984</v>
      </c>
      <c r="ENY24" t="s">
        <v>6984</v>
      </c>
      <c r="ENZ24" t="s">
        <v>6984</v>
      </c>
      <c r="EOA24" t="s">
        <v>6984</v>
      </c>
      <c r="EOB24" t="s">
        <v>6984</v>
      </c>
      <c r="EOC24" t="s">
        <v>6984</v>
      </c>
      <c r="EOD24" t="s">
        <v>6984</v>
      </c>
      <c r="EOE24" t="s">
        <v>6984</v>
      </c>
      <c r="EOF24" t="s">
        <v>6984</v>
      </c>
      <c r="EOG24" t="s">
        <v>6984</v>
      </c>
      <c r="EOH24" t="s">
        <v>6984</v>
      </c>
      <c r="EOI24" t="s">
        <v>6984</v>
      </c>
      <c r="EOJ24" t="s">
        <v>6984</v>
      </c>
      <c r="EOK24" t="s">
        <v>6984</v>
      </c>
      <c r="EOL24" t="s">
        <v>6984</v>
      </c>
      <c r="EOM24" t="s">
        <v>6984</v>
      </c>
      <c r="EON24" t="s">
        <v>6984</v>
      </c>
      <c r="EOO24" t="s">
        <v>6984</v>
      </c>
      <c r="EOP24" t="s">
        <v>6984</v>
      </c>
      <c r="EOQ24" t="s">
        <v>6984</v>
      </c>
      <c r="EOR24" t="s">
        <v>6984</v>
      </c>
      <c r="EOS24" t="s">
        <v>6984</v>
      </c>
      <c r="EOT24" t="s">
        <v>6984</v>
      </c>
      <c r="EOU24" t="s">
        <v>6984</v>
      </c>
      <c r="EOV24" t="s">
        <v>6984</v>
      </c>
      <c r="EOW24" t="s">
        <v>6984</v>
      </c>
      <c r="EOX24" t="s">
        <v>6984</v>
      </c>
      <c r="EOY24" t="s">
        <v>6984</v>
      </c>
      <c r="EOZ24" t="s">
        <v>6984</v>
      </c>
      <c r="EPA24" t="s">
        <v>6984</v>
      </c>
      <c r="EPB24" t="s">
        <v>6984</v>
      </c>
      <c r="EPC24" t="s">
        <v>6984</v>
      </c>
      <c r="EPD24" t="s">
        <v>6984</v>
      </c>
      <c r="EPE24" t="s">
        <v>6984</v>
      </c>
      <c r="EPF24" t="s">
        <v>6984</v>
      </c>
      <c r="EPG24" t="s">
        <v>6984</v>
      </c>
      <c r="EPH24" t="s">
        <v>6984</v>
      </c>
      <c r="EPI24" t="s">
        <v>6984</v>
      </c>
      <c r="EPJ24" t="s">
        <v>6984</v>
      </c>
      <c r="EPK24" t="s">
        <v>6984</v>
      </c>
      <c r="EPL24" t="s">
        <v>6984</v>
      </c>
      <c r="EPM24" t="s">
        <v>6984</v>
      </c>
      <c r="EPN24" t="s">
        <v>6984</v>
      </c>
      <c r="EPO24" t="s">
        <v>6984</v>
      </c>
      <c r="EPP24" t="s">
        <v>6984</v>
      </c>
      <c r="EPQ24" t="s">
        <v>6984</v>
      </c>
      <c r="EPR24" t="s">
        <v>6984</v>
      </c>
      <c r="EPS24" t="s">
        <v>6984</v>
      </c>
      <c r="EPT24" t="s">
        <v>6984</v>
      </c>
      <c r="EPU24" t="s">
        <v>6984</v>
      </c>
      <c r="EPV24" t="s">
        <v>6984</v>
      </c>
      <c r="EPW24" t="s">
        <v>6984</v>
      </c>
      <c r="EPX24" t="s">
        <v>6984</v>
      </c>
      <c r="EPY24" t="s">
        <v>6984</v>
      </c>
      <c r="EPZ24" t="s">
        <v>6984</v>
      </c>
      <c r="EQA24" t="s">
        <v>6984</v>
      </c>
      <c r="EQB24" t="s">
        <v>6984</v>
      </c>
      <c r="EQC24" t="s">
        <v>6984</v>
      </c>
      <c r="EQD24" t="s">
        <v>6984</v>
      </c>
      <c r="EQE24" t="s">
        <v>6984</v>
      </c>
      <c r="EQF24" t="s">
        <v>6984</v>
      </c>
      <c r="EQG24" t="s">
        <v>6984</v>
      </c>
      <c r="EQH24" t="s">
        <v>6984</v>
      </c>
      <c r="EQI24" t="s">
        <v>6984</v>
      </c>
      <c r="EQJ24" t="s">
        <v>6984</v>
      </c>
      <c r="EQK24" t="s">
        <v>6984</v>
      </c>
      <c r="EQL24" t="s">
        <v>6984</v>
      </c>
      <c r="EQM24" t="s">
        <v>6984</v>
      </c>
      <c r="EQN24" t="s">
        <v>6984</v>
      </c>
      <c r="EQO24" t="s">
        <v>6984</v>
      </c>
      <c r="EQP24" t="s">
        <v>6984</v>
      </c>
      <c r="EQQ24" t="s">
        <v>6984</v>
      </c>
      <c r="EQR24" t="s">
        <v>6984</v>
      </c>
      <c r="EQS24" t="s">
        <v>6984</v>
      </c>
      <c r="EQT24" t="s">
        <v>6984</v>
      </c>
      <c r="EQU24" t="s">
        <v>6984</v>
      </c>
      <c r="EQV24" t="s">
        <v>6984</v>
      </c>
      <c r="EQW24" t="s">
        <v>6984</v>
      </c>
      <c r="EQX24" t="s">
        <v>6984</v>
      </c>
      <c r="EQY24" t="s">
        <v>6984</v>
      </c>
      <c r="EQZ24" t="s">
        <v>6984</v>
      </c>
      <c r="ERA24" t="s">
        <v>6984</v>
      </c>
      <c r="ERB24" t="s">
        <v>6984</v>
      </c>
      <c r="ERC24" t="s">
        <v>6984</v>
      </c>
      <c r="ERD24" t="s">
        <v>6984</v>
      </c>
      <c r="ERE24" t="s">
        <v>6984</v>
      </c>
      <c r="ERF24" t="s">
        <v>6984</v>
      </c>
      <c r="ERG24" t="s">
        <v>6984</v>
      </c>
      <c r="ERH24" t="s">
        <v>6984</v>
      </c>
      <c r="ERI24" t="s">
        <v>6984</v>
      </c>
      <c r="ERJ24" t="s">
        <v>6984</v>
      </c>
      <c r="ERK24" t="s">
        <v>6984</v>
      </c>
      <c r="ERL24" t="s">
        <v>6984</v>
      </c>
      <c r="ERM24" t="s">
        <v>6984</v>
      </c>
      <c r="ERN24" t="s">
        <v>6984</v>
      </c>
      <c r="ERO24" t="s">
        <v>6984</v>
      </c>
      <c r="ERP24" t="s">
        <v>6984</v>
      </c>
      <c r="ERQ24" t="s">
        <v>6984</v>
      </c>
      <c r="ERR24" t="s">
        <v>6984</v>
      </c>
      <c r="ERS24" t="s">
        <v>6984</v>
      </c>
      <c r="ERT24" t="s">
        <v>6984</v>
      </c>
      <c r="ERU24" t="s">
        <v>6984</v>
      </c>
      <c r="ERV24" t="s">
        <v>6984</v>
      </c>
      <c r="ERW24" t="s">
        <v>6984</v>
      </c>
      <c r="ERX24" t="s">
        <v>6984</v>
      </c>
      <c r="ERY24" t="s">
        <v>6984</v>
      </c>
      <c r="ERZ24" t="s">
        <v>6984</v>
      </c>
      <c r="ESA24" t="s">
        <v>6984</v>
      </c>
      <c r="ESB24" t="s">
        <v>6984</v>
      </c>
      <c r="ESC24" t="s">
        <v>6984</v>
      </c>
      <c r="ESD24" t="s">
        <v>6984</v>
      </c>
      <c r="ESE24" t="s">
        <v>6984</v>
      </c>
      <c r="ESF24" t="s">
        <v>6984</v>
      </c>
      <c r="ESG24" t="s">
        <v>6984</v>
      </c>
      <c r="ESH24" t="s">
        <v>6984</v>
      </c>
      <c r="ESI24" t="s">
        <v>6984</v>
      </c>
      <c r="ESJ24" t="s">
        <v>6984</v>
      </c>
      <c r="ESK24" t="s">
        <v>6984</v>
      </c>
      <c r="ESL24" t="s">
        <v>6984</v>
      </c>
      <c r="ESM24" t="s">
        <v>6984</v>
      </c>
      <c r="ESN24" t="s">
        <v>6984</v>
      </c>
      <c r="ESO24" t="s">
        <v>6984</v>
      </c>
      <c r="ESP24" t="s">
        <v>6984</v>
      </c>
      <c r="ESQ24" t="s">
        <v>6984</v>
      </c>
      <c r="ESR24" t="s">
        <v>6984</v>
      </c>
      <c r="ESS24" t="s">
        <v>6984</v>
      </c>
      <c r="EST24" t="s">
        <v>6984</v>
      </c>
      <c r="ESU24" t="s">
        <v>6984</v>
      </c>
      <c r="ESV24" t="s">
        <v>6984</v>
      </c>
      <c r="ESW24" t="s">
        <v>6984</v>
      </c>
      <c r="ESX24" t="s">
        <v>6984</v>
      </c>
      <c r="ESY24" t="s">
        <v>6984</v>
      </c>
      <c r="ESZ24" t="s">
        <v>6984</v>
      </c>
      <c r="ETA24" t="s">
        <v>6984</v>
      </c>
      <c r="ETB24" t="s">
        <v>6984</v>
      </c>
      <c r="ETC24" t="s">
        <v>6984</v>
      </c>
      <c r="ETD24" t="s">
        <v>6984</v>
      </c>
      <c r="ETE24" t="s">
        <v>6984</v>
      </c>
      <c r="ETF24" t="s">
        <v>6984</v>
      </c>
      <c r="ETG24" t="s">
        <v>6984</v>
      </c>
      <c r="ETH24" t="s">
        <v>6984</v>
      </c>
      <c r="ETI24" t="s">
        <v>6984</v>
      </c>
      <c r="ETJ24" t="s">
        <v>6984</v>
      </c>
      <c r="ETK24" t="s">
        <v>6984</v>
      </c>
      <c r="ETL24" t="s">
        <v>6984</v>
      </c>
      <c r="ETM24" t="s">
        <v>6984</v>
      </c>
      <c r="ETN24" t="s">
        <v>6984</v>
      </c>
      <c r="ETO24" t="s">
        <v>6984</v>
      </c>
      <c r="ETP24" t="s">
        <v>6984</v>
      </c>
      <c r="ETQ24" t="s">
        <v>6984</v>
      </c>
      <c r="ETR24" t="s">
        <v>6984</v>
      </c>
      <c r="ETS24" t="s">
        <v>6984</v>
      </c>
      <c r="ETT24" t="s">
        <v>6984</v>
      </c>
      <c r="ETU24" t="s">
        <v>6984</v>
      </c>
      <c r="ETV24" t="s">
        <v>6984</v>
      </c>
      <c r="ETW24" t="s">
        <v>6984</v>
      </c>
      <c r="ETX24" t="s">
        <v>6984</v>
      </c>
      <c r="ETY24" t="s">
        <v>6984</v>
      </c>
      <c r="ETZ24" t="s">
        <v>6984</v>
      </c>
      <c r="EUA24" t="s">
        <v>6984</v>
      </c>
      <c r="EUB24" t="s">
        <v>6984</v>
      </c>
      <c r="EUC24" t="s">
        <v>6984</v>
      </c>
      <c r="EUD24" t="s">
        <v>6984</v>
      </c>
      <c r="EUE24" t="s">
        <v>6984</v>
      </c>
      <c r="EUF24" t="s">
        <v>6984</v>
      </c>
      <c r="EUG24" t="s">
        <v>6984</v>
      </c>
      <c r="EUH24" t="s">
        <v>6984</v>
      </c>
      <c r="EUI24" t="s">
        <v>6984</v>
      </c>
      <c r="EUJ24" t="s">
        <v>6984</v>
      </c>
      <c r="EUK24" t="s">
        <v>6984</v>
      </c>
      <c r="EUL24" t="s">
        <v>6984</v>
      </c>
      <c r="EUM24" t="s">
        <v>6984</v>
      </c>
      <c r="EUN24" t="s">
        <v>6984</v>
      </c>
      <c r="EUO24" t="s">
        <v>6984</v>
      </c>
      <c r="EUP24" t="s">
        <v>6984</v>
      </c>
      <c r="EUQ24" t="s">
        <v>6984</v>
      </c>
      <c r="EUR24" t="s">
        <v>6984</v>
      </c>
      <c r="EUS24" t="s">
        <v>6984</v>
      </c>
      <c r="EUT24" t="s">
        <v>6984</v>
      </c>
      <c r="EUU24" t="s">
        <v>6984</v>
      </c>
      <c r="EUV24" t="s">
        <v>6984</v>
      </c>
      <c r="EUW24" t="s">
        <v>6984</v>
      </c>
      <c r="EUX24" t="s">
        <v>6984</v>
      </c>
      <c r="EUY24" t="s">
        <v>6984</v>
      </c>
      <c r="EUZ24" t="s">
        <v>6984</v>
      </c>
      <c r="EVA24" t="s">
        <v>6984</v>
      </c>
      <c r="EVB24" t="s">
        <v>6984</v>
      </c>
      <c r="EVC24" t="s">
        <v>6984</v>
      </c>
      <c r="EVD24" t="s">
        <v>6984</v>
      </c>
      <c r="EVE24" t="s">
        <v>6984</v>
      </c>
      <c r="EVF24" t="s">
        <v>6984</v>
      </c>
      <c r="EVG24" t="s">
        <v>6984</v>
      </c>
      <c r="EVH24" t="s">
        <v>6984</v>
      </c>
      <c r="EVI24" t="s">
        <v>6984</v>
      </c>
      <c r="EVJ24" t="s">
        <v>6984</v>
      </c>
      <c r="EVK24" t="s">
        <v>6984</v>
      </c>
      <c r="EVL24" t="s">
        <v>6984</v>
      </c>
      <c r="EVM24" t="s">
        <v>6984</v>
      </c>
      <c r="EVN24" t="s">
        <v>6984</v>
      </c>
      <c r="EVO24" t="s">
        <v>6984</v>
      </c>
      <c r="EVP24" t="s">
        <v>6984</v>
      </c>
      <c r="EVQ24" t="s">
        <v>6984</v>
      </c>
      <c r="EVR24" t="s">
        <v>6984</v>
      </c>
      <c r="EVS24" t="s">
        <v>6984</v>
      </c>
      <c r="EVT24" t="s">
        <v>6984</v>
      </c>
      <c r="EVU24" t="s">
        <v>6984</v>
      </c>
      <c r="EVV24" t="s">
        <v>6984</v>
      </c>
      <c r="EVW24" t="s">
        <v>6984</v>
      </c>
      <c r="EVX24" t="s">
        <v>6984</v>
      </c>
      <c r="EVY24" t="s">
        <v>6984</v>
      </c>
      <c r="EVZ24" t="s">
        <v>6984</v>
      </c>
      <c r="EWA24" t="s">
        <v>6984</v>
      </c>
      <c r="EWB24" t="s">
        <v>6984</v>
      </c>
      <c r="EWC24" t="s">
        <v>6984</v>
      </c>
      <c r="EWD24" t="s">
        <v>6984</v>
      </c>
      <c r="EWE24" t="s">
        <v>6984</v>
      </c>
      <c r="EWF24" t="s">
        <v>6984</v>
      </c>
      <c r="EWG24" t="s">
        <v>6984</v>
      </c>
      <c r="EWH24" t="s">
        <v>6984</v>
      </c>
      <c r="EWI24" t="s">
        <v>6984</v>
      </c>
      <c r="EWJ24" t="s">
        <v>6984</v>
      </c>
      <c r="EWK24" t="s">
        <v>6984</v>
      </c>
      <c r="EWL24" t="s">
        <v>6984</v>
      </c>
      <c r="EWM24" t="s">
        <v>6984</v>
      </c>
      <c r="EWN24" t="s">
        <v>6984</v>
      </c>
      <c r="EWO24" t="s">
        <v>6984</v>
      </c>
      <c r="EWP24" t="s">
        <v>6984</v>
      </c>
      <c r="EWQ24" t="s">
        <v>6984</v>
      </c>
      <c r="EWR24" t="s">
        <v>6984</v>
      </c>
      <c r="EWS24" t="s">
        <v>6984</v>
      </c>
      <c r="EWT24" t="s">
        <v>6984</v>
      </c>
      <c r="EWU24" t="s">
        <v>6984</v>
      </c>
      <c r="EWV24" t="s">
        <v>6984</v>
      </c>
      <c r="EWW24" t="s">
        <v>6984</v>
      </c>
      <c r="EWX24" t="s">
        <v>6984</v>
      </c>
      <c r="EWY24" t="s">
        <v>6984</v>
      </c>
      <c r="EWZ24" t="s">
        <v>6984</v>
      </c>
      <c r="EXA24" t="s">
        <v>6984</v>
      </c>
      <c r="EXB24" t="s">
        <v>6984</v>
      </c>
      <c r="EXC24" t="s">
        <v>6984</v>
      </c>
      <c r="EXD24" t="s">
        <v>6984</v>
      </c>
      <c r="EXE24" t="s">
        <v>6984</v>
      </c>
      <c r="EXF24" t="s">
        <v>6984</v>
      </c>
      <c r="EXG24" t="s">
        <v>6984</v>
      </c>
      <c r="EXH24" t="s">
        <v>6984</v>
      </c>
      <c r="EXI24" t="s">
        <v>6984</v>
      </c>
      <c r="EXJ24" t="s">
        <v>6984</v>
      </c>
      <c r="EXK24" t="s">
        <v>6984</v>
      </c>
      <c r="EXL24" t="s">
        <v>6984</v>
      </c>
      <c r="EXM24" t="s">
        <v>6984</v>
      </c>
      <c r="EXN24" t="s">
        <v>6984</v>
      </c>
      <c r="EXO24" t="s">
        <v>6984</v>
      </c>
      <c r="EXP24" t="s">
        <v>6984</v>
      </c>
      <c r="EXQ24" t="s">
        <v>6984</v>
      </c>
      <c r="EXR24" t="s">
        <v>6984</v>
      </c>
      <c r="EXS24" t="s">
        <v>6984</v>
      </c>
      <c r="EXT24" t="s">
        <v>6984</v>
      </c>
      <c r="EXU24" t="s">
        <v>6984</v>
      </c>
      <c r="EXV24" t="s">
        <v>6984</v>
      </c>
      <c r="EXW24" t="s">
        <v>6984</v>
      </c>
      <c r="EXX24" t="s">
        <v>6984</v>
      </c>
      <c r="EXY24" t="s">
        <v>6984</v>
      </c>
      <c r="EXZ24" t="s">
        <v>6984</v>
      </c>
      <c r="EYA24" t="s">
        <v>6984</v>
      </c>
      <c r="EYB24" t="s">
        <v>6984</v>
      </c>
      <c r="EYC24" t="s">
        <v>6984</v>
      </c>
      <c r="EYD24" t="s">
        <v>6984</v>
      </c>
      <c r="EYE24" t="s">
        <v>6984</v>
      </c>
      <c r="EYF24" t="s">
        <v>6984</v>
      </c>
      <c r="EYG24" t="s">
        <v>6984</v>
      </c>
      <c r="EYH24" t="s">
        <v>6984</v>
      </c>
      <c r="EYI24" t="s">
        <v>6984</v>
      </c>
      <c r="EYJ24" t="s">
        <v>6984</v>
      </c>
      <c r="EYK24" t="s">
        <v>6984</v>
      </c>
      <c r="EYL24" t="s">
        <v>6984</v>
      </c>
      <c r="EYM24" t="s">
        <v>6984</v>
      </c>
      <c r="EYN24" t="s">
        <v>6984</v>
      </c>
      <c r="EYO24" t="s">
        <v>6984</v>
      </c>
      <c r="EYP24" t="s">
        <v>6984</v>
      </c>
      <c r="EYQ24" t="s">
        <v>6984</v>
      </c>
      <c r="EYR24" t="s">
        <v>6984</v>
      </c>
      <c r="EYS24" t="s">
        <v>6984</v>
      </c>
      <c r="EYT24" t="s">
        <v>6984</v>
      </c>
      <c r="EYU24" t="s">
        <v>6984</v>
      </c>
      <c r="EYV24" t="s">
        <v>6984</v>
      </c>
      <c r="EYW24" t="s">
        <v>6984</v>
      </c>
      <c r="EYX24" t="s">
        <v>6984</v>
      </c>
      <c r="EYY24" t="s">
        <v>6984</v>
      </c>
      <c r="EYZ24" t="s">
        <v>6984</v>
      </c>
      <c r="EZA24" t="s">
        <v>6984</v>
      </c>
      <c r="EZB24" t="s">
        <v>6984</v>
      </c>
      <c r="EZC24" t="s">
        <v>6984</v>
      </c>
      <c r="EZD24" t="s">
        <v>6984</v>
      </c>
      <c r="EZE24" t="s">
        <v>6984</v>
      </c>
      <c r="EZF24" t="s">
        <v>6984</v>
      </c>
      <c r="EZG24" t="s">
        <v>6984</v>
      </c>
      <c r="EZH24" t="s">
        <v>6984</v>
      </c>
      <c r="EZI24" t="s">
        <v>6984</v>
      </c>
      <c r="EZJ24" t="s">
        <v>6984</v>
      </c>
      <c r="EZK24" t="s">
        <v>6984</v>
      </c>
      <c r="EZL24" t="s">
        <v>6984</v>
      </c>
      <c r="EZM24" t="s">
        <v>6984</v>
      </c>
      <c r="EZN24" t="s">
        <v>6984</v>
      </c>
      <c r="EZO24" t="s">
        <v>6984</v>
      </c>
      <c r="EZP24" t="s">
        <v>6984</v>
      </c>
      <c r="EZQ24" t="s">
        <v>6984</v>
      </c>
      <c r="EZR24" t="s">
        <v>6984</v>
      </c>
      <c r="EZS24" t="s">
        <v>6984</v>
      </c>
      <c r="EZT24" t="s">
        <v>6984</v>
      </c>
      <c r="EZU24" t="s">
        <v>6984</v>
      </c>
      <c r="EZV24" t="s">
        <v>6984</v>
      </c>
      <c r="EZW24" t="s">
        <v>6984</v>
      </c>
      <c r="EZX24" t="s">
        <v>6984</v>
      </c>
      <c r="EZY24" t="s">
        <v>6984</v>
      </c>
      <c r="EZZ24" t="s">
        <v>6984</v>
      </c>
      <c r="FAA24" t="s">
        <v>6984</v>
      </c>
      <c r="FAB24" t="s">
        <v>6984</v>
      </c>
      <c r="FAC24" t="s">
        <v>6984</v>
      </c>
      <c r="FAD24" t="s">
        <v>6984</v>
      </c>
      <c r="FAE24" t="s">
        <v>6984</v>
      </c>
      <c r="FAF24" t="s">
        <v>6984</v>
      </c>
      <c r="FAG24" t="s">
        <v>6984</v>
      </c>
      <c r="FAH24" t="s">
        <v>6984</v>
      </c>
      <c r="FAI24" t="s">
        <v>6984</v>
      </c>
      <c r="FAJ24" t="s">
        <v>6984</v>
      </c>
      <c r="FAK24" t="s">
        <v>6984</v>
      </c>
      <c r="FAL24" t="s">
        <v>6984</v>
      </c>
      <c r="FAM24" t="s">
        <v>6984</v>
      </c>
      <c r="FAN24" t="s">
        <v>6984</v>
      </c>
      <c r="FAO24" t="s">
        <v>6984</v>
      </c>
      <c r="FAP24" t="s">
        <v>6984</v>
      </c>
      <c r="FAQ24" t="s">
        <v>6984</v>
      </c>
      <c r="FAR24" t="s">
        <v>6984</v>
      </c>
      <c r="FAS24" t="s">
        <v>6984</v>
      </c>
      <c r="FAT24" t="s">
        <v>6984</v>
      </c>
      <c r="FAU24" t="s">
        <v>6984</v>
      </c>
      <c r="FAV24" t="s">
        <v>6984</v>
      </c>
      <c r="FAW24" t="s">
        <v>6984</v>
      </c>
      <c r="FAX24" t="s">
        <v>6984</v>
      </c>
      <c r="FAY24" t="s">
        <v>6984</v>
      </c>
      <c r="FAZ24" t="s">
        <v>6984</v>
      </c>
      <c r="FBA24" t="s">
        <v>6984</v>
      </c>
      <c r="FBB24" t="s">
        <v>6984</v>
      </c>
      <c r="FBC24" t="s">
        <v>6984</v>
      </c>
      <c r="FBD24" t="s">
        <v>6984</v>
      </c>
      <c r="FBE24" t="s">
        <v>6984</v>
      </c>
      <c r="FBF24" t="s">
        <v>6984</v>
      </c>
      <c r="FBG24" t="s">
        <v>6984</v>
      </c>
      <c r="FBH24" t="s">
        <v>6984</v>
      </c>
      <c r="FBI24" t="s">
        <v>6984</v>
      </c>
      <c r="FBJ24" t="s">
        <v>6984</v>
      </c>
      <c r="FBK24" t="s">
        <v>6984</v>
      </c>
      <c r="FBL24" t="s">
        <v>6984</v>
      </c>
      <c r="FBM24" t="s">
        <v>6984</v>
      </c>
      <c r="FBN24" t="s">
        <v>6984</v>
      </c>
      <c r="FBO24" t="s">
        <v>6984</v>
      </c>
      <c r="FBP24" t="s">
        <v>6984</v>
      </c>
      <c r="FBQ24" t="s">
        <v>6984</v>
      </c>
      <c r="FBR24" t="s">
        <v>6984</v>
      </c>
      <c r="FBS24" t="s">
        <v>6984</v>
      </c>
      <c r="FBT24" t="s">
        <v>6984</v>
      </c>
      <c r="FBU24" t="s">
        <v>6984</v>
      </c>
      <c r="FBV24" t="s">
        <v>6984</v>
      </c>
      <c r="FBW24" t="s">
        <v>6984</v>
      </c>
      <c r="FBX24" t="s">
        <v>6984</v>
      </c>
      <c r="FBY24" t="s">
        <v>6984</v>
      </c>
      <c r="FBZ24" t="s">
        <v>6984</v>
      </c>
      <c r="FCA24" t="s">
        <v>6984</v>
      </c>
      <c r="FCB24" t="s">
        <v>6984</v>
      </c>
      <c r="FCC24" t="s">
        <v>6984</v>
      </c>
      <c r="FCD24" t="s">
        <v>6984</v>
      </c>
      <c r="FCE24" t="s">
        <v>6984</v>
      </c>
      <c r="FCF24" t="s">
        <v>6984</v>
      </c>
      <c r="FCG24" t="s">
        <v>6984</v>
      </c>
      <c r="FCH24" t="s">
        <v>6984</v>
      </c>
      <c r="FCI24" t="s">
        <v>6984</v>
      </c>
      <c r="FCJ24" t="s">
        <v>6984</v>
      </c>
      <c r="FCK24" t="s">
        <v>6984</v>
      </c>
      <c r="FCL24" t="s">
        <v>6984</v>
      </c>
      <c r="FCM24" t="s">
        <v>6984</v>
      </c>
      <c r="FCN24" t="s">
        <v>6984</v>
      </c>
      <c r="FCO24" t="s">
        <v>6984</v>
      </c>
      <c r="FCP24" t="s">
        <v>6984</v>
      </c>
      <c r="FCQ24" t="s">
        <v>6984</v>
      </c>
      <c r="FCR24" t="s">
        <v>6984</v>
      </c>
      <c r="FCS24" t="s">
        <v>6984</v>
      </c>
      <c r="FCT24" t="s">
        <v>6984</v>
      </c>
      <c r="FCU24" t="s">
        <v>6984</v>
      </c>
      <c r="FCV24" t="s">
        <v>6984</v>
      </c>
      <c r="FCW24" t="s">
        <v>6984</v>
      </c>
      <c r="FCX24" t="s">
        <v>6984</v>
      </c>
      <c r="FCY24" t="s">
        <v>6984</v>
      </c>
      <c r="FCZ24" t="s">
        <v>6984</v>
      </c>
      <c r="FDA24" t="s">
        <v>6984</v>
      </c>
      <c r="FDB24" t="s">
        <v>6984</v>
      </c>
      <c r="FDC24" t="s">
        <v>6984</v>
      </c>
      <c r="FDD24" t="s">
        <v>6984</v>
      </c>
      <c r="FDE24" t="s">
        <v>6984</v>
      </c>
      <c r="FDF24" t="s">
        <v>6984</v>
      </c>
      <c r="FDG24" t="s">
        <v>6984</v>
      </c>
      <c r="FDH24" t="s">
        <v>6984</v>
      </c>
      <c r="FDI24" t="s">
        <v>6984</v>
      </c>
      <c r="FDJ24" t="s">
        <v>6984</v>
      </c>
      <c r="FDK24" t="s">
        <v>6984</v>
      </c>
      <c r="FDL24" t="s">
        <v>6984</v>
      </c>
      <c r="FDM24" t="s">
        <v>6984</v>
      </c>
      <c r="FDN24" t="s">
        <v>6984</v>
      </c>
      <c r="FDO24" t="s">
        <v>6984</v>
      </c>
      <c r="FDP24" t="s">
        <v>6984</v>
      </c>
      <c r="FDQ24" t="s">
        <v>6984</v>
      </c>
      <c r="FDR24" t="s">
        <v>6984</v>
      </c>
      <c r="FDS24" t="s">
        <v>6984</v>
      </c>
      <c r="FDT24" t="s">
        <v>6984</v>
      </c>
      <c r="FDU24" t="s">
        <v>6984</v>
      </c>
      <c r="FDV24" t="s">
        <v>6984</v>
      </c>
      <c r="FDW24" t="s">
        <v>6984</v>
      </c>
      <c r="FDX24" t="s">
        <v>6984</v>
      </c>
      <c r="FDY24" t="s">
        <v>6984</v>
      </c>
      <c r="FDZ24" t="s">
        <v>6984</v>
      </c>
      <c r="FEA24" t="s">
        <v>6984</v>
      </c>
      <c r="FEB24" t="s">
        <v>6984</v>
      </c>
      <c r="FEC24" t="s">
        <v>6984</v>
      </c>
      <c r="FED24" t="s">
        <v>6984</v>
      </c>
      <c r="FEE24" t="s">
        <v>6984</v>
      </c>
      <c r="FEF24" t="s">
        <v>6984</v>
      </c>
      <c r="FEG24" t="s">
        <v>6984</v>
      </c>
      <c r="FEH24" t="s">
        <v>6984</v>
      </c>
      <c r="FEI24" t="s">
        <v>6984</v>
      </c>
      <c r="FEJ24" t="s">
        <v>6984</v>
      </c>
      <c r="FEK24" t="s">
        <v>6984</v>
      </c>
      <c r="FEL24" t="s">
        <v>6984</v>
      </c>
      <c r="FEM24" t="s">
        <v>6984</v>
      </c>
      <c r="FEN24" t="s">
        <v>6984</v>
      </c>
      <c r="FEO24" t="s">
        <v>6984</v>
      </c>
      <c r="FEP24" t="s">
        <v>6984</v>
      </c>
      <c r="FEQ24" t="s">
        <v>6984</v>
      </c>
      <c r="FER24" t="s">
        <v>6984</v>
      </c>
      <c r="FES24" t="s">
        <v>6984</v>
      </c>
      <c r="FET24" t="s">
        <v>6984</v>
      </c>
      <c r="FEU24" t="s">
        <v>6984</v>
      </c>
      <c r="FEV24" t="s">
        <v>6984</v>
      </c>
      <c r="FEW24" t="s">
        <v>6984</v>
      </c>
      <c r="FEX24" t="s">
        <v>6984</v>
      </c>
      <c r="FEY24" t="s">
        <v>6984</v>
      </c>
      <c r="FEZ24" t="s">
        <v>6984</v>
      </c>
      <c r="FFA24" t="s">
        <v>6984</v>
      </c>
      <c r="FFB24" t="s">
        <v>6984</v>
      </c>
      <c r="FFC24" t="s">
        <v>6984</v>
      </c>
      <c r="FFD24" t="s">
        <v>6984</v>
      </c>
      <c r="FFE24" t="s">
        <v>6984</v>
      </c>
      <c r="FFF24" t="s">
        <v>6984</v>
      </c>
      <c r="FFG24" t="s">
        <v>6984</v>
      </c>
      <c r="FFH24" t="s">
        <v>6984</v>
      </c>
      <c r="FFI24" t="s">
        <v>6984</v>
      </c>
      <c r="FFJ24" t="s">
        <v>6984</v>
      </c>
      <c r="FFK24" t="s">
        <v>6984</v>
      </c>
      <c r="FFL24" t="s">
        <v>6984</v>
      </c>
      <c r="FFM24" t="s">
        <v>6984</v>
      </c>
      <c r="FFN24" t="s">
        <v>6984</v>
      </c>
      <c r="FFO24" t="s">
        <v>6984</v>
      </c>
      <c r="FFP24" t="s">
        <v>6984</v>
      </c>
      <c r="FFQ24" t="s">
        <v>6984</v>
      </c>
      <c r="FFR24" t="s">
        <v>6984</v>
      </c>
      <c r="FFS24" t="s">
        <v>6984</v>
      </c>
      <c r="FFT24" t="s">
        <v>6984</v>
      </c>
      <c r="FFU24" t="s">
        <v>6984</v>
      </c>
      <c r="FFV24" t="s">
        <v>6984</v>
      </c>
      <c r="FFW24" t="s">
        <v>6984</v>
      </c>
      <c r="FFX24" t="s">
        <v>6984</v>
      </c>
      <c r="FFY24" t="s">
        <v>6984</v>
      </c>
      <c r="FFZ24" t="s">
        <v>6984</v>
      </c>
      <c r="FGA24" t="s">
        <v>6984</v>
      </c>
      <c r="FGB24" t="s">
        <v>6984</v>
      </c>
      <c r="FGC24" t="s">
        <v>6984</v>
      </c>
      <c r="FGD24" t="s">
        <v>6984</v>
      </c>
      <c r="FGE24" t="s">
        <v>6984</v>
      </c>
      <c r="FGF24" t="s">
        <v>6984</v>
      </c>
      <c r="FGG24" t="s">
        <v>6984</v>
      </c>
      <c r="FGH24" t="s">
        <v>6984</v>
      </c>
      <c r="FGI24" t="s">
        <v>6984</v>
      </c>
      <c r="FGJ24" t="s">
        <v>6984</v>
      </c>
      <c r="FGK24" t="s">
        <v>6984</v>
      </c>
      <c r="FGL24" t="s">
        <v>6984</v>
      </c>
      <c r="FGM24" t="s">
        <v>6984</v>
      </c>
      <c r="FGN24" t="s">
        <v>6984</v>
      </c>
      <c r="FGO24" t="s">
        <v>6984</v>
      </c>
      <c r="FGP24" t="s">
        <v>6984</v>
      </c>
      <c r="FGQ24" t="s">
        <v>6984</v>
      </c>
      <c r="FGR24" t="s">
        <v>6984</v>
      </c>
      <c r="FGS24" t="s">
        <v>6984</v>
      </c>
      <c r="FGT24" t="s">
        <v>6984</v>
      </c>
      <c r="FGU24" t="s">
        <v>6984</v>
      </c>
      <c r="FGV24" t="s">
        <v>6984</v>
      </c>
      <c r="FGW24" t="s">
        <v>6984</v>
      </c>
      <c r="FGX24" t="s">
        <v>6984</v>
      </c>
      <c r="FGY24" t="s">
        <v>6984</v>
      </c>
      <c r="FGZ24" t="s">
        <v>6984</v>
      </c>
      <c r="FHA24" t="s">
        <v>6984</v>
      </c>
      <c r="FHB24" t="s">
        <v>6984</v>
      </c>
      <c r="FHC24" t="s">
        <v>6984</v>
      </c>
      <c r="FHD24" t="s">
        <v>6984</v>
      </c>
      <c r="FHE24" t="s">
        <v>6984</v>
      </c>
      <c r="FHF24" t="s">
        <v>6984</v>
      </c>
      <c r="FHG24" t="s">
        <v>6984</v>
      </c>
      <c r="FHH24" t="s">
        <v>6984</v>
      </c>
      <c r="FHI24" t="s">
        <v>6984</v>
      </c>
      <c r="FHJ24" t="s">
        <v>6984</v>
      </c>
      <c r="FHK24" t="s">
        <v>6984</v>
      </c>
      <c r="FHL24" t="s">
        <v>6984</v>
      </c>
      <c r="FHM24" t="s">
        <v>6984</v>
      </c>
      <c r="FHN24" t="s">
        <v>6984</v>
      </c>
      <c r="FHO24" t="s">
        <v>6984</v>
      </c>
      <c r="FHP24" t="s">
        <v>6984</v>
      </c>
      <c r="FHQ24" t="s">
        <v>6984</v>
      </c>
      <c r="FHR24" t="s">
        <v>6984</v>
      </c>
      <c r="FHS24" t="s">
        <v>6984</v>
      </c>
      <c r="FHT24" t="s">
        <v>6984</v>
      </c>
      <c r="FHU24" t="s">
        <v>6984</v>
      </c>
      <c r="FHV24" t="s">
        <v>6984</v>
      </c>
      <c r="FHW24" t="s">
        <v>6984</v>
      </c>
      <c r="FHX24" t="s">
        <v>6984</v>
      </c>
      <c r="FHY24" t="s">
        <v>6984</v>
      </c>
      <c r="FHZ24" t="s">
        <v>6984</v>
      </c>
      <c r="FIA24" t="s">
        <v>6984</v>
      </c>
      <c r="FIB24" t="s">
        <v>6984</v>
      </c>
      <c r="FIC24" t="s">
        <v>6984</v>
      </c>
      <c r="FID24" t="s">
        <v>6984</v>
      </c>
      <c r="FIE24" t="s">
        <v>6984</v>
      </c>
      <c r="FIF24" t="s">
        <v>6984</v>
      </c>
      <c r="FIG24" t="s">
        <v>6984</v>
      </c>
      <c r="FIH24" t="s">
        <v>6984</v>
      </c>
      <c r="FII24" t="s">
        <v>6984</v>
      </c>
      <c r="FIJ24" t="s">
        <v>6984</v>
      </c>
      <c r="FIK24" t="s">
        <v>6984</v>
      </c>
      <c r="FIL24" t="s">
        <v>6984</v>
      </c>
      <c r="FIM24" t="s">
        <v>6984</v>
      </c>
      <c r="FIN24" t="s">
        <v>6984</v>
      </c>
      <c r="FIO24" t="s">
        <v>6984</v>
      </c>
      <c r="FIP24" t="s">
        <v>6984</v>
      </c>
      <c r="FIQ24" t="s">
        <v>6984</v>
      </c>
      <c r="FIR24" t="s">
        <v>6984</v>
      </c>
      <c r="FIS24" t="s">
        <v>6984</v>
      </c>
      <c r="FIT24" t="s">
        <v>6984</v>
      </c>
      <c r="FIU24" t="s">
        <v>6984</v>
      </c>
      <c r="FIV24" t="s">
        <v>6984</v>
      </c>
      <c r="FIW24" t="s">
        <v>6984</v>
      </c>
      <c r="FIX24" t="s">
        <v>6984</v>
      </c>
      <c r="FIY24" t="s">
        <v>6984</v>
      </c>
      <c r="FIZ24" t="s">
        <v>6984</v>
      </c>
      <c r="FJA24" t="s">
        <v>6984</v>
      </c>
      <c r="FJB24" t="s">
        <v>6984</v>
      </c>
      <c r="FJC24" t="s">
        <v>6984</v>
      </c>
      <c r="FJD24" t="s">
        <v>6984</v>
      </c>
      <c r="FJE24" t="s">
        <v>6984</v>
      </c>
      <c r="FJF24" t="s">
        <v>6984</v>
      </c>
      <c r="FJG24" t="s">
        <v>6984</v>
      </c>
      <c r="FJH24" t="s">
        <v>6984</v>
      </c>
      <c r="FJI24" t="s">
        <v>6984</v>
      </c>
      <c r="FJJ24" t="s">
        <v>6984</v>
      </c>
      <c r="FJK24" t="s">
        <v>6984</v>
      </c>
      <c r="FJL24" t="s">
        <v>6984</v>
      </c>
      <c r="FJM24" t="s">
        <v>6984</v>
      </c>
      <c r="FJN24" t="s">
        <v>6984</v>
      </c>
      <c r="FJO24" t="s">
        <v>6984</v>
      </c>
      <c r="FJP24" t="s">
        <v>6984</v>
      </c>
      <c r="FJQ24" t="s">
        <v>6984</v>
      </c>
      <c r="FJR24" t="s">
        <v>6984</v>
      </c>
      <c r="FJS24" t="s">
        <v>6984</v>
      </c>
      <c r="FJT24" t="s">
        <v>6984</v>
      </c>
      <c r="FJU24" t="s">
        <v>6984</v>
      </c>
      <c r="FJV24" t="s">
        <v>6984</v>
      </c>
      <c r="FJW24" t="s">
        <v>6984</v>
      </c>
      <c r="FJX24" t="s">
        <v>6984</v>
      </c>
      <c r="FJY24" t="s">
        <v>6984</v>
      </c>
      <c r="FJZ24" t="s">
        <v>6984</v>
      </c>
      <c r="FKA24" t="s">
        <v>6984</v>
      </c>
      <c r="FKB24" t="s">
        <v>6984</v>
      </c>
      <c r="FKC24" t="s">
        <v>6984</v>
      </c>
      <c r="FKD24" t="s">
        <v>6984</v>
      </c>
      <c r="FKE24" t="s">
        <v>6984</v>
      </c>
      <c r="FKF24" t="s">
        <v>6984</v>
      </c>
      <c r="FKG24" t="s">
        <v>6984</v>
      </c>
      <c r="FKH24" t="s">
        <v>6984</v>
      </c>
      <c r="FKI24" t="s">
        <v>6984</v>
      </c>
      <c r="FKJ24" t="s">
        <v>6984</v>
      </c>
      <c r="FKK24" t="s">
        <v>6984</v>
      </c>
      <c r="FKL24" t="s">
        <v>6984</v>
      </c>
      <c r="FKM24" t="s">
        <v>6984</v>
      </c>
      <c r="FKN24" t="s">
        <v>6984</v>
      </c>
      <c r="FKO24" t="s">
        <v>6984</v>
      </c>
      <c r="FKP24" t="s">
        <v>6984</v>
      </c>
      <c r="FKQ24" t="s">
        <v>6984</v>
      </c>
      <c r="FKR24" t="s">
        <v>6984</v>
      </c>
      <c r="FKS24" t="s">
        <v>6984</v>
      </c>
      <c r="FKT24" t="s">
        <v>6984</v>
      </c>
      <c r="FKU24" t="s">
        <v>6984</v>
      </c>
      <c r="FKV24" t="s">
        <v>6984</v>
      </c>
      <c r="FKW24" t="s">
        <v>6984</v>
      </c>
      <c r="FKX24" t="s">
        <v>6984</v>
      </c>
      <c r="FKY24" t="s">
        <v>6984</v>
      </c>
      <c r="FKZ24" t="s">
        <v>6984</v>
      </c>
      <c r="FLA24" t="s">
        <v>6984</v>
      </c>
      <c r="FLB24" t="s">
        <v>6984</v>
      </c>
      <c r="FLC24" t="s">
        <v>6984</v>
      </c>
      <c r="FLD24" t="s">
        <v>6984</v>
      </c>
      <c r="FLE24" t="s">
        <v>6984</v>
      </c>
      <c r="FLF24" t="s">
        <v>6984</v>
      </c>
      <c r="FLG24" t="s">
        <v>6984</v>
      </c>
      <c r="FLH24" t="s">
        <v>6984</v>
      </c>
      <c r="FLI24" t="s">
        <v>6984</v>
      </c>
      <c r="FLJ24" t="s">
        <v>6984</v>
      </c>
      <c r="FLK24" t="s">
        <v>6984</v>
      </c>
      <c r="FLL24" t="s">
        <v>6984</v>
      </c>
      <c r="FLM24" t="s">
        <v>6984</v>
      </c>
      <c r="FLN24" t="s">
        <v>6984</v>
      </c>
      <c r="FLO24" t="s">
        <v>6984</v>
      </c>
      <c r="FLP24" t="s">
        <v>6984</v>
      </c>
      <c r="FLQ24" t="s">
        <v>6984</v>
      </c>
      <c r="FLR24" t="s">
        <v>6984</v>
      </c>
      <c r="FLS24" t="s">
        <v>6984</v>
      </c>
      <c r="FLT24" t="s">
        <v>6984</v>
      </c>
      <c r="FLU24" t="s">
        <v>6984</v>
      </c>
      <c r="FLV24" t="s">
        <v>6984</v>
      </c>
      <c r="FLW24" t="s">
        <v>6984</v>
      </c>
      <c r="FLX24" t="s">
        <v>6984</v>
      </c>
      <c r="FLY24" t="s">
        <v>6984</v>
      </c>
      <c r="FLZ24" t="s">
        <v>6984</v>
      </c>
      <c r="FMA24" t="s">
        <v>6984</v>
      </c>
      <c r="FMB24" t="s">
        <v>6984</v>
      </c>
      <c r="FMC24" t="s">
        <v>6984</v>
      </c>
      <c r="FMD24" t="s">
        <v>6984</v>
      </c>
      <c r="FME24" t="s">
        <v>6984</v>
      </c>
      <c r="FMF24" t="s">
        <v>6984</v>
      </c>
      <c r="FMG24" t="s">
        <v>6984</v>
      </c>
      <c r="FMH24" t="s">
        <v>6984</v>
      </c>
      <c r="FMI24" t="s">
        <v>6984</v>
      </c>
      <c r="FMJ24" t="s">
        <v>6984</v>
      </c>
      <c r="FMK24" t="s">
        <v>6984</v>
      </c>
      <c r="FML24" t="s">
        <v>6984</v>
      </c>
      <c r="FMM24" t="s">
        <v>6984</v>
      </c>
      <c r="FMN24" t="s">
        <v>6984</v>
      </c>
      <c r="FMO24" t="s">
        <v>6984</v>
      </c>
      <c r="FMP24" t="s">
        <v>6984</v>
      </c>
      <c r="FMQ24" t="s">
        <v>6984</v>
      </c>
      <c r="FMR24" t="s">
        <v>6984</v>
      </c>
      <c r="FMS24" t="s">
        <v>6984</v>
      </c>
      <c r="FMT24" t="s">
        <v>6984</v>
      </c>
      <c r="FMU24" t="s">
        <v>6984</v>
      </c>
      <c r="FMV24" t="s">
        <v>6984</v>
      </c>
      <c r="FMW24" t="s">
        <v>6984</v>
      </c>
      <c r="FMX24" t="s">
        <v>6984</v>
      </c>
      <c r="FMY24" t="s">
        <v>6984</v>
      </c>
      <c r="FMZ24" t="s">
        <v>6984</v>
      </c>
      <c r="FNA24" t="s">
        <v>6984</v>
      </c>
      <c r="FNB24" t="s">
        <v>6984</v>
      </c>
      <c r="FNC24" t="s">
        <v>6984</v>
      </c>
      <c r="FND24" t="s">
        <v>6984</v>
      </c>
      <c r="FNE24" t="s">
        <v>6984</v>
      </c>
      <c r="FNF24" t="s">
        <v>6984</v>
      </c>
      <c r="FNG24" t="s">
        <v>6984</v>
      </c>
      <c r="FNH24" t="s">
        <v>6984</v>
      </c>
      <c r="FNI24" t="s">
        <v>6984</v>
      </c>
      <c r="FNJ24" t="s">
        <v>6984</v>
      </c>
      <c r="FNK24" t="s">
        <v>6984</v>
      </c>
      <c r="FNL24" t="s">
        <v>6984</v>
      </c>
      <c r="FNM24" t="s">
        <v>6984</v>
      </c>
      <c r="FNN24" t="s">
        <v>6984</v>
      </c>
      <c r="FNO24" t="s">
        <v>6984</v>
      </c>
      <c r="FNP24" t="s">
        <v>6984</v>
      </c>
      <c r="FNQ24" t="s">
        <v>6984</v>
      </c>
      <c r="FNR24" t="s">
        <v>6984</v>
      </c>
      <c r="FNS24" t="s">
        <v>6984</v>
      </c>
      <c r="FNT24" t="s">
        <v>6984</v>
      </c>
      <c r="FNU24" t="s">
        <v>6984</v>
      </c>
      <c r="FNV24" t="s">
        <v>6984</v>
      </c>
      <c r="FNW24" t="s">
        <v>6984</v>
      </c>
      <c r="FNX24" t="s">
        <v>6984</v>
      </c>
      <c r="FNY24" t="s">
        <v>6984</v>
      </c>
      <c r="FNZ24" t="s">
        <v>6984</v>
      </c>
      <c r="FOA24" t="s">
        <v>6984</v>
      </c>
      <c r="FOB24" t="s">
        <v>6984</v>
      </c>
      <c r="FOC24" t="s">
        <v>6984</v>
      </c>
      <c r="FOD24" t="s">
        <v>6984</v>
      </c>
      <c r="FOE24" t="s">
        <v>6984</v>
      </c>
      <c r="FOF24" t="s">
        <v>6984</v>
      </c>
      <c r="FOG24" t="s">
        <v>6984</v>
      </c>
      <c r="FOH24" t="s">
        <v>6984</v>
      </c>
      <c r="FOI24" t="s">
        <v>6984</v>
      </c>
      <c r="FOJ24" t="s">
        <v>6984</v>
      </c>
      <c r="FOK24" t="s">
        <v>6984</v>
      </c>
      <c r="FOL24" t="s">
        <v>6984</v>
      </c>
      <c r="FOM24" t="s">
        <v>6984</v>
      </c>
      <c r="FON24" t="s">
        <v>6984</v>
      </c>
      <c r="FOO24" t="s">
        <v>6984</v>
      </c>
      <c r="FOP24" t="s">
        <v>6984</v>
      </c>
      <c r="FOQ24" t="s">
        <v>6984</v>
      </c>
      <c r="FOR24" t="s">
        <v>6984</v>
      </c>
      <c r="FOS24" t="s">
        <v>6984</v>
      </c>
      <c r="FOT24" t="s">
        <v>6984</v>
      </c>
      <c r="FOU24" t="s">
        <v>6984</v>
      </c>
      <c r="FOV24" t="s">
        <v>6984</v>
      </c>
      <c r="FOW24" t="s">
        <v>6984</v>
      </c>
      <c r="FOX24" t="s">
        <v>6984</v>
      </c>
      <c r="FOY24" t="s">
        <v>6984</v>
      </c>
      <c r="FOZ24" t="s">
        <v>6984</v>
      </c>
      <c r="FPA24" t="s">
        <v>6984</v>
      </c>
      <c r="FPB24" t="s">
        <v>6984</v>
      </c>
      <c r="FPC24" t="s">
        <v>6984</v>
      </c>
      <c r="FPD24" t="s">
        <v>6984</v>
      </c>
      <c r="FPE24" t="s">
        <v>6984</v>
      </c>
      <c r="FPF24" t="s">
        <v>6984</v>
      </c>
      <c r="FPG24" t="s">
        <v>6984</v>
      </c>
      <c r="FPH24" t="s">
        <v>6984</v>
      </c>
      <c r="FPI24" t="s">
        <v>6984</v>
      </c>
      <c r="FPJ24" t="s">
        <v>6984</v>
      </c>
      <c r="FPK24" t="s">
        <v>6984</v>
      </c>
      <c r="FPL24" t="s">
        <v>6984</v>
      </c>
      <c r="FPM24" t="s">
        <v>6984</v>
      </c>
      <c r="FPN24" t="s">
        <v>6984</v>
      </c>
      <c r="FPO24" t="s">
        <v>6984</v>
      </c>
      <c r="FPP24" t="s">
        <v>6984</v>
      </c>
      <c r="FPQ24" t="s">
        <v>6984</v>
      </c>
      <c r="FPR24" t="s">
        <v>6984</v>
      </c>
      <c r="FPS24" t="s">
        <v>6984</v>
      </c>
      <c r="FPT24" t="s">
        <v>6984</v>
      </c>
      <c r="FPU24" t="s">
        <v>6984</v>
      </c>
      <c r="FPV24" t="s">
        <v>6984</v>
      </c>
      <c r="FPW24" t="s">
        <v>6984</v>
      </c>
      <c r="FPX24" t="s">
        <v>6984</v>
      </c>
      <c r="FPY24" t="s">
        <v>6984</v>
      </c>
      <c r="FPZ24" t="s">
        <v>6984</v>
      </c>
      <c r="FQA24" t="s">
        <v>6984</v>
      </c>
      <c r="FQB24" t="s">
        <v>6984</v>
      </c>
      <c r="FQC24" t="s">
        <v>6984</v>
      </c>
      <c r="FQD24" t="s">
        <v>6984</v>
      </c>
      <c r="FQE24" t="s">
        <v>6984</v>
      </c>
      <c r="FQF24" t="s">
        <v>6984</v>
      </c>
      <c r="FQG24" t="s">
        <v>6984</v>
      </c>
      <c r="FQH24" t="s">
        <v>6984</v>
      </c>
      <c r="FQI24" t="s">
        <v>6984</v>
      </c>
      <c r="FQJ24" t="s">
        <v>6984</v>
      </c>
      <c r="FQK24" t="s">
        <v>6984</v>
      </c>
      <c r="FQL24" t="s">
        <v>6984</v>
      </c>
      <c r="FQM24" t="s">
        <v>6984</v>
      </c>
      <c r="FQN24" t="s">
        <v>6984</v>
      </c>
      <c r="FQO24" t="s">
        <v>6984</v>
      </c>
      <c r="FQP24" t="s">
        <v>6984</v>
      </c>
      <c r="FQQ24" t="s">
        <v>6984</v>
      </c>
      <c r="FQR24" t="s">
        <v>6984</v>
      </c>
      <c r="FQS24" t="s">
        <v>6984</v>
      </c>
      <c r="FQT24" t="s">
        <v>6984</v>
      </c>
      <c r="FQU24" t="s">
        <v>6984</v>
      </c>
      <c r="FQV24" t="s">
        <v>6984</v>
      </c>
      <c r="FQW24" t="s">
        <v>6984</v>
      </c>
      <c r="FQX24" t="s">
        <v>6984</v>
      </c>
      <c r="FQY24" t="s">
        <v>6984</v>
      </c>
      <c r="FQZ24" t="s">
        <v>6984</v>
      </c>
      <c r="FRA24" t="s">
        <v>6984</v>
      </c>
      <c r="FRB24" t="s">
        <v>6984</v>
      </c>
      <c r="FRC24" t="s">
        <v>6984</v>
      </c>
      <c r="FRD24" t="s">
        <v>6984</v>
      </c>
      <c r="FRE24" t="s">
        <v>6984</v>
      </c>
      <c r="FRF24" t="s">
        <v>6984</v>
      </c>
      <c r="FRG24" t="s">
        <v>6984</v>
      </c>
      <c r="FRH24" t="s">
        <v>6984</v>
      </c>
      <c r="FRI24" t="s">
        <v>6984</v>
      </c>
      <c r="FRJ24" t="s">
        <v>6984</v>
      </c>
      <c r="FRK24" t="s">
        <v>6984</v>
      </c>
      <c r="FRL24" t="s">
        <v>6984</v>
      </c>
      <c r="FRM24" t="s">
        <v>6984</v>
      </c>
      <c r="FRN24" t="s">
        <v>6984</v>
      </c>
      <c r="FRO24" t="s">
        <v>6984</v>
      </c>
      <c r="FRP24" t="s">
        <v>6984</v>
      </c>
      <c r="FRQ24" t="s">
        <v>6984</v>
      </c>
      <c r="FRR24" t="s">
        <v>6984</v>
      </c>
      <c r="FRS24" t="s">
        <v>6984</v>
      </c>
      <c r="FRT24" t="s">
        <v>6984</v>
      </c>
      <c r="FRU24" t="s">
        <v>6984</v>
      </c>
      <c r="FRV24" t="s">
        <v>6984</v>
      </c>
      <c r="FRW24" t="s">
        <v>6984</v>
      </c>
      <c r="FRX24" t="s">
        <v>6984</v>
      </c>
      <c r="FRY24" t="s">
        <v>6984</v>
      </c>
      <c r="FRZ24" t="s">
        <v>6984</v>
      </c>
      <c r="FSA24" t="s">
        <v>6984</v>
      </c>
      <c r="FSB24" t="s">
        <v>6984</v>
      </c>
      <c r="FSC24" t="s">
        <v>6984</v>
      </c>
      <c r="FSD24" t="s">
        <v>6984</v>
      </c>
      <c r="FSE24" t="s">
        <v>6984</v>
      </c>
      <c r="FSF24" t="s">
        <v>6984</v>
      </c>
      <c r="FSG24" t="s">
        <v>6984</v>
      </c>
      <c r="FSH24" t="s">
        <v>6984</v>
      </c>
      <c r="FSI24" t="s">
        <v>6984</v>
      </c>
      <c r="FSJ24" t="s">
        <v>6984</v>
      </c>
      <c r="FSK24" t="s">
        <v>6984</v>
      </c>
      <c r="FSL24" t="s">
        <v>6984</v>
      </c>
      <c r="FSM24" t="s">
        <v>6984</v>
      </c>
      <c r="FSN24" t="s">
        <v>6984</v>
      </c>
      <c r="FSO24" t="s">
        <v>6984</v>
      </c>
      <c r="FSP24" t="s">
        <v>6984</v>
      </c>
      <c r="FSQ24" t="s">
        <v>6984</v>
      </c>
      <c r="FSR24" t="s">
        <v>6984</v>
      </c>
      <c r="FSS24" t="s">
        <v>6984</v>
      </c>
      <c r="FST24" t="s">
        <v>6984</v>
      </c>
      <c r="FSU24" t="s">
        <v>6984</v>
      </c>
      <c r="FSV24" t="s">
        <v>6984</v>
      </c>
      <c r="FSW24" t="s">
        <v>6984</v>
      </c>
      <c r="FSX24" t="s">
        <v>6984</v>
      </c>
      <c r="FSY24" t="s">
        <v>6984</v>
      </c>
      <c r="FSZ24" t="s">
        <v>6984</v>
      </c>
      <c r="FTA24" t="s">
        <v>6984</v>
      </c>
      <c r="FTB24" t="s">
        <v>6984</v>
      </c>
      <c r="FTC24" t="s">
        <v>6984</v>
      </c>
      <c r="FTD24" t="s">
        <v>6984</v>
      </c>
      <c r="FTE24" t="s">
        <v>6984</v>
      </c>
      <c r="FTF24" t="s">
        <v>6984</v>
      </c>
      <c r="FTG24" t="s">
        <v>6984</v>
      </c>
      <c r="FTH24" t="s">
        <v>6984</v>
      </c>
      <c r="FTI24" t="s">
        <v>6984</v>
      </c>
      <c r="FTJ24" t="s">
        <v>6984</v>
      </c>
      <c r="FTK24" t="s">
        <v>6984</v>
      </c>
      <c r="FTL24" t="s">
        <v>6984</v>
      </c>
      <c r="FTM24" t="s">
        <v>6984</v>
      </c>
      <c r="FTN24" t="s">
        <v>6984</v>
      </c>
      <c r="FTO24" t="s">
        <v>6984</v>
      </c>
      <c r="FTP24" t="s">
        <v>6984</v>
      </c>
      <c r="FTQ24" t="s">
        <v>6984</v>
      </c>
      <c r="FTR24" t="s">
        <v>6984</v>
      </c>
      <c r="FTS24" t="s">
        <v>6984</v>
      </c>
      <c r="FTT24" t="s">
        <v>6984</v>
      </c>
      <c r="FTU24" t="s">
        <v>6984</v>
      </c>
      <c r="FTV24" t="s">
        <v>6984</v>
      </c>
      <c r="FTW24" t="s">
        <v>6984</v>
      </c>
      <c r="FTX24" t="s">
        <v>6984</v>
      </c>
      <c r="FTY24" t="s">
        <v>6984</v>
      </c>
      <c r="FTZ24" t="s">
        <v>6984</v>
      </c>
      <c r="FUA24" t="s">
        <v>6984</v>
      </c>
      <c r="FUB24" t="s">
        <v>6984</v>
      </c>
      <c r="FUC24" t="s">
        <v>6984</v>
      </c>
      <c r="FUD24" t="s">
        <v>6984</v>
      </c>
      <c r="FUE24" t="s">
        <v>6984</v>
      </c>
      <c r="FUF24" t="s">
        <v>6984</v>
      </c>
      <c r="FUG24" t="s">
        <v>6984</v>
      </c>
      <c r="FUH24" t="s">
        <v>6984</v>
      </c>
      <c r="FUI24" t="s">
        <v>6984</v>
      </c>
      <c r="FUJ24" t="s">
        <v>6984</v>
      </c>
      <c r="FUK24" t="s">
        <v>6984</v>
      </c>
      <c r="FUL24" t="s">
        <v>6984</v>
      </c>
      <c r="FUM24" t="s">
        <v>6984</v>
      </c>
      <c r="FUN24" t="s">
        <v>6984</v>
      </c>
      <c r="FUO24" t="s">
        <v>6984</v>
      </c>
      <c r="FUP24" t="s">
        <v>6984</v>
      </c>
      <c r="FUQ24" t="s">
        <v>6984</v>
      </c>
      <c r="FUR24" t="s">
        <v>6984</v>
      </c>
      <c r="FUS24" t="s">
        <v>6984</v>
      </c>
      <c r="FUT24" t="s">
        <v>6984</v>
      </c>
      <c r="FUU24" t="s">
        <v>6984</v>
      </c>
      <c r="FUV24" t="s">
        <v>6984</v>
      </c>
      <c r="FUW24" t="s">
        <v>6984</v>
      </c>
      <c r="FUX24" t="s">
        <v>6984</v>
      </c>
      <c r="FUY24" t="s">
        <v>6984</v>
      </c>
      <c r="FUZ24" t="s">
        <v>6984</v>
      </c>
      <c r="FVA24" t="s">
        <v>6984</v>
      </c>
      <c r="FVB24" t="s">
        <v>6984</v>
      </c>
      <c r="FVC24" t="s">
        <v>6984</v>
      </c>
      <c r="FVD24" t="s">
        <v>6984</v>
      </c>
      <c r="FVE24" t="s">
        <v>6984</v>
      </c>
      <c r="FVF24" t="s">
        <v>6984</v>
      </c>
      <c r="FVG24" t="s">
        <v>6984</v>
      </c>
      <c r="FVH24" t="s">
        <v>6984</v>
      </c>
      <c r="FVI24" t="s">
        <v>6984</v>
      </c>
      <c r="FVJ24" t="s">
        <v>6984</v>
      </c>
      <c r="FVK24" t="s">
        <v>6984</v>
      </c>
      <c r="FVL24" t="s">
        <v>6984</v>
      </c>
      <c r="FVM24" t="s">
        <v>6984</v>
      </c>
      <c r="FVN24" t="s">
        <v>6984</v>
      </c>
      <c r="FVO24" t="s">
        <v>6984</v>
      </c>
      <c r="FVP24" t="s">
        <v>6984</v>
      </c>
      <c r="FVQ24" t="s">
        <v>6984</v>
      </c>
      <c r="FVR24" t="s">
        <v>6984</v>
      </c>
      <c r="FVS24" t="s">
        <v>6984</v>
      </c>
      <c r="FVT24" t="s">
        <v>6984</v>
      </c>
      <c r="FVU24" t="s">
        <v>6984</v>
      </c>
      <c r="FVV24" t="s">
        <v>6984</v>
      </c>
      <c r="FVW24" t="s">
        <v>6984</v>
      </c>
      <c r="FVX24" t="s">
        <v>6984</v>
      </c>
      <c r="FVY24" t="s">
        <v>6984</v>
      </c>
      <c r="FVZ24" t="s">
        <v>6984</v>
      </c>
      <c r="FWA24" t="s">
        <v>6984</v>
      </c>
      <c r="FWB24" t="s">
        <v>6984</v>
      </c>
      <c r="FWC24" t="s">
        <v>6984</v>
      </c>
      <c r="FWD24" t="s">
        <v>6984</v>
      </c>
      <c r="FWE24" t="s">
        <v>6984</v>
      </c>
      <c r="FWF24" t="s">
        <v>6984</v>
      </c>
      <c r="FWG24" t="s">
        <v>6984</v>
      </c>
      <c r="FWH24" t="s">
        <v>6984</v>
      </c>
      <c r="FWI24" t="s">
        <v>6984</v>
      </c>
      <c r="FWJ24" t="s">
        <v>6984</v>
      </c>
      <c r="FWK24" t="s">
        <v>6984</v>
      </c>
      <c r="FWL24" t="s">
        <v>6984</v>
      </c>
      <c r="FWM24" t="s">
        <v>6984</v>
      </c>
      <c r="FWN24" t="s">
        <v>6984</v>
      </c>
      <c r="FWO24" t="s">
        <v>6984</v>
      </c>
      <c r="FWP24" t="s">
        <v>6984</v>
      </c>
      <c r="FWQ24" t="s">
        <v>6984</v>
      </c>
      <c r="FWR24" t="s">
        <v>6984</v>
      </c>
      <c r="FWS24" t="s">
        <v>6984</v>
      </c>
      <c r="FWT24" t="s">
        <v>6984</v>
      </c>
      <c r="FWU24" t="s">
        <v>6984</v>
      </c>
      <c r="FWV24" t="s">
        <v>6984</v>
      </c>
      <c r="FWW24" t="s">
        <v>6984</v>
      </c>
      <c r="FWX24" t="s">
        <v>6984</v>
      </c>
      <c r="FWY24" t="s">
        <v>6984</v>
      </c>
      <c r="FWZ24" t="s">
        <v>6984</v>
      </c>
      <c r="FXA24" t="s">
        <v>6984</v>
      </c>
      <c r="FXB24" t="s">
        <v>6984</v>
      </c>
      <c r="FXC24" t="s">
        <v>6984</v>
      </c>
      <c r="FXD24" t="s">
        <v>6984</v>
      </c>
      <c r="FXE24" t="s">
        <v>6984</v>
      </c>
      <c r="FXF24" t="s">
        <v>6984</v>
      </c>
      <c r="FXG24" t="s">
        <v>6984</v>
      </c>
      <c r="FXH24" t="s">
        <v>6984</v>
      </c>
      <c r="FXI24" t="s">
        <v>6984</v>
      </c>
      <c r="FXJ24" t="s">
        <v>6984</v>
      </c>
      <c r="FXK24" t="s">
        <v>6984</v>
      </c>
      <c r="FXL24" t="s">
        <v>6984</v>
      </c>
      <c r="FXM24" t="s">
        <v>6984</v>
      </c>
      <c r="FXN24" t="s">
        <v>6984</v>
      </c>
      <c r="FXO24" t="s">
        <v>6984</v>
      </c>
      <c r="FXP24" t="s">
        <v>6984</v>
      </c>
      <c r="FXQ24" t="s">
        <v>6984</v>
      </c>
      <c r="FXR24" t="s">
        <v>6984</v>
      </c>
      <c r="FXS24" t="s">
        <v>6984</v>
      </c>
      <c r="FXT24" t="s">
        <v>6984</v>
      </c>
      <c r="FXU24" t="s">
        <v>6984</v>
      </c>
      <c r="FXV24" t="s">
        <v>6984</v>
      </c>
      <c r="FXW24" t="s">
        <v>6984</v>
      </c>
      <c r="FXX24" t="s">
        <v>6984</v>
      </c>
      <c r="FXY24" t="s">
        <v>6984</v>
      </c>
      <c r="FXZ24" t="s">
        <v>6984</v>
      </c>
      <c r="FYA24" t="s">
        <v>6984</v>
      </c>
      <c r="FYB24" t="s">
        <v>6984</v>
      </c>
      <c r="FYC24" t="s">
        <v>6984</v>
      </c>
      <c r="FYD24" t="s">
        <v>6984</v>
      </c>
      <c r="FYE24" t="s">
        <v>6984</v>
      </c>
      <c r="FYF24" t="s">
        <v>6984</v>
      </c>
      <c r="FYG24" t="s">
        <v>6984</v>
      </c>
      <c r="FYH24" t="s">
        <v>6984</v>
      </c>
      <c r="FYI24" t="s">
        <v>6984</v>
      </c>
      <c r="FYJ24" t="s">
        <v>6984</v>
      </c>
      <c r="FYK24" t="s">
        <v>6984</v>
      </c>
      <c r="FYL24" t="s">
        <v>6984</v>
      </c>
      <c r="FYM24" t="s">
        <v>6984</v>
      </c>
      <c r="FYN24" t="s">
        <v>6984</v>
      </c>
      <c r="FYO24" t="s">
        <v>6984</v>
      </c>
      <c r="FYP24" t="s">
        <v>6984</v>
      </c>
      <c r="FYQ24" t="s">
        <v>6984</v>
      </c>
      <c r="FYR24" t="s">
        <v>6984</v>
      </c>
      <c r="FYS24" t="s">
        <v>6984</v>
      </c>
      <c r="FYT24" t="s">
        <v>6984</v>
      </c>
      <c r="FYU24" t="s">
        <v>6984</v>
      </c>
      <c r="FYV24" t="s">
        <v>6984</v>
      </c>
      <c r="FYW24" t="s">
        <v>6984</v>
      </c>
      <c r="FYX24" t="s">
        <v>6984</v>
      </c>
      <c r="FYY24" t="s">
        <v>6984</v>
      </c>
      <c r="FYZ24" t="s">
        <v>6984</v>
      </c>
      <c r="FZA24" t="s">
        <v>6984</v>
      </c>
      <c r="FZB24" t="s">
        <v>6984</v>
      </c>
      <c r="FZC24" t="s">
        <v>6984</v>
      </c>
      <c r="FZD24" t="s">
        <v>6984</v>
      </c>
      <c r="FZE24" t="s">
        <v>6984</v>
      </c>
      <c r="FZF24" t="s">
        <v>6984</v>
      </c>
      <c r="FZG24" t="s">
        <v>6984</v>
      </c>
      <c r="FZH24" t="s">
        <v>6984</v>
      </c>
      <c r="FZI24" t="s">
        <v>6984</v>
      </c>
      <c r="FZJ24" t="s">
        <v>6984</v>
      </c>
      <c r="FZK24" t="s">
        <v>6984</v>
      </c>
      <c r="FZL24" t="s">
        <v>6984</v>
      </c>
      <c r="FZM24" t="s">
        <v>6984</v>
      </c>
      <c r="FZN24" t="s">
        <v>6984</v>
      </c>
      <c r="FZO24" t="s">
        <v>6984</v>
      </c>
      <c r="FZP24" t="s">
        <v>6984</v>
      </c>
      <c r="FZQ24" t="s">
        <v>6984</v>
      </c>
      <c r="FZR24" t="s">
        <v>6984</v>
      </c>
      <c r="FZS24" t="s">
        <v>6984</v>
      </c>
      <c r="FZT24" t="s">
        <v>6984</v>
      </c>
      <c r="FZU24" t="s">
        <v>6984</v>
      </c>
      <c r="FZV24" t="s">
        <v>6984</v>
      </c>
      <c r="FZW24" t="s">
        <v>6984</v>
      </c>
      <c r="FZX24" t="s">
        <v>6984</v>
      </c>
      <c r="FZY24" t="s">
        <v>6984</v>
      </c>
      <c r="FZZ24" t="s">
        <v>6984</v>
      </c>
      <c r="GAA24" t="s">
        <v>6984</v>
      </c>
      <c r="GAB24" t="s">
        <v>6984</v>
      </c>
      <c r="GAC24" t="s">
        <v>6984</v>
      </c>
      <c r="GAD24" t="s">
        <v>6984</v>
      </c>
      <c r="GAE24" t="s">
        <v>6984</v>
      </c>
      <c r="GAF24" t="s">
        <v>6984</v>
      </c>
      <c r="GAG24" t="s">
        <v>6984</v>
      </c>
      <c r="GAH24" t="s">
        <v>6984</v>
      </c>
      <c r="GAI24" t="s">
        <v>6984</v>
      </c>
      <c r="GAJ24" t="s">
        <v>6984</v>
      </c>
      <c r="GAK24" t="s">
        <v>6984</v>
      </c>
      <c r="GAL24" t="s">
        <v>6984</v>
      </c>
      <c r="GAM24" t="s">
        <v>6984</v>
      </c>
      <c r="GAN24" t="s">
        <v>6984</v>
      </c>
      <c r="GAO24" t="s">
        <v>6984</v>
      </c>
      <c r="GAP24" t="s">
        <v>6984</v>
      </c>
      <c r="GAQ24" t="s">
        <v>6984</v>
      </c>
      <c r="GAR24" t="s">
        <v>6984</v>
      </c>
      <c r="GAS24" t="s">
        <v>6984</v>
      </c>
      <c r="GAT24" t="s">
        <v>6984</v>
      </c>
      <c r="GAU24" t="s">
        <v>6984</v>
      </c>
      <c r="GAV24" t="s">
        <v>6984</v>
      </c>
      <c r="GAW24" t="s">
        <v>6984</v>
      </c>
      <c r="GAX24" t="s">
        <v>6984</v>
      </c>
      <c r="GAY24" t="s">
        <v>6984</v>
      </c>
      <c r="GAZ24" t="s">
        <v>6984</v>
      </c>
      <c r="GBA24" t="s">
        <v>6984</v>
      </c>
      <c r="GBB24" t="s">
        <v>6984</v>
      </c>
      <c r="GBC24" t="s">
        <v>6984</v>
      </c>
      <c r="GBD24" t="s">
        <v>6984</v>
      </c>
      <c r="GBE24" t="s">
        <v>6984</v>
      </c>
      <c r="GBF24" t="s">
        <v>6984</v>
      </c>
      <c r="GBG24" t="s">
        <v>6984</v>
      </c>
      <c r="GBH24" t="s">
        <v>6984</v>
      </c>
      <c r="GBI24" t="s">
        <v>6984</v>
      </c>
      <c r="GBJ24" t="s">
        <v>6984</v>
      </c>
      <c r="GBK24" t="s">
        <v>6984</v>
      </c>
      <c r="GBL24" t="s">
        <v>6984</v>
      </c>
      <c r="GBM24" t="s">
        <v>6984</v>
      </c>
      <c r="GBN24" t="s">
        <v>6984</v>
      </c>
      <c r="GBO24" t="s">
        <v>6984</v>
      </c>
      <c r="GBP24" t="s">
        <v>6984</v>
      </c>
      <c r="GBQ24" t="s">
        <v>6984</v>
      </c>
      <c r="GBR24" t="s">
        <v>6984</v>
      </c>
      <c r="GBS24" t="s">
        <v>6984</v>
      </c>
      <c r="GBT24" t="s">
        <v>6984</v>
      </c>
      <c r="GBU24" t="s">
        <v>6984</v>
      </c>
      <c r="GBV24" t="s">
        <v>6984</v>
      </c>
      <c r="GBW24" t="s">
        <v>6984</v>
      </c>
      <c r="GBX24" t="s">
        <v>6984</v>
      </c>
      <c r="GBY24" t="s">
        <v>6984</v>
      </c>
      <c r="GBZ24" t="s">
        <v>6984</v>
      </c>
      <c r="GCA24" t="s">
        <v>6984</v>
      </c>
      <c r="GCB24" t="s">
        <v>6984</v>
      </c>
      <c r="GCC24" t="s">
        <v>6984</v>
      </c>
      <c r="GCD24" t="s">
        <v>6984</v>
      </c>
      <c r="GCE24" t="s">
        <v>6984</v>
      </c>
      <c r="GCF24" t="s">
        <v>6984</v>
      </c>
      <c r="GCG24" t="s">
        <v>6984</v>
      </c>
      <c r="GCH24" t="s">
        <v>6984</v>
      </c>
      <c r="GCI24" t="s">
        <v>6984</v>
      </c>
      <c r="GCJ24" t="s">
        <v>6984</v>
      </c>
      <c r="GCK24" t="s">
        <v>6984</v>
      </c>
      <c r="GCL24" t="s">
        <v>6984</v>
      </c>
      <c r="GCM24" t="s">
        <v>6984</v>
      </c>
      <c r="GCN24" t="s">
        <v>6984</v>
      </c>
      <c r="GCO24" t="s">
        <v>6984</v>
      </c>
      <c r="GCP24" t="s">
        <v>6984</v>
      </c>
      <c r="GCQ24" t="s">
        <v>6984</v>
      </c>
      <c r="GCR24" t="s">
        <v>6984</v>
      </c>
      <c r="GCS24" t="s">
        <v>6984</v>
      </c>
      <c r="GCT24" t="s">
        <v>6984</v>
      </c>
      <c r="GCU24" t="s">
        <v>6984</v>
      </c>
      <c r="GCV24" t="s">
        <v>6984</v>
      </c>
      <c r="GCW24" t="s">
        <v>6984</v>
      </c>
      <c r="GCX24" t="s">
        <v>6984</v>
      </c>
      <c r="GCY24" t="s">
        <v>6984</v>
      </c>
      <c r="GCZ24" t="s">
        <v>6984</v>
      </c>
      <c r="GDA24" t="s">
        <v>6984</v>
      </c>
      <c r="GDB24" t="s">
        <v>6984</v>
      </c>
      <c r="GDC24" t="s">
        <v>6984</v>
      </c>
      <c r="GDD24" t="s">
        <v>6984</v>
      </c>
      <c r="GDE24" t="s">
        <v>6984</v>
      </c>
      <c r="GDF24" t="s">
        <v>6984</v>
      </c>
      <c r="GDG24" t="s">
        <v>6984</v>
      </c>
      <c r="GDH24" t="s">
        <v>6984</v>
      </c>
      <c r="GDI24" t="s">
        <v>6984</v>
      </c>
      <c r="GDJ24" t="s">
        <v>6984</v>
      </c>
      <c r="GDK24" t="s">
        <v>6984</v>
      </c>
      <c r="GDL24" t="s">
        <v>6984</v>
      </c>
      <c r="GDM24" t="s">
        <v>6984</v>
      </c>
      <c r="GDN24" t="s">
        <v>6984</v>
      </c>
      <c r="GDO24" t="s">
        <v>6984</v>
      </c>
      <c r="GDP24" t="s">
        <v>6984</v>
      </c>
      <c r="GDQ24" t="s">
        <v>6984</v>
      </c>
      <c r="GDR24" t="s">
        <v>6984</v>
      </c>
      <c r="GDS24" t="s">
        <v>6984</v>
      </c>
      <c r="GDT24" t="s">
        <v>6984</v>
      </c>
      <c r="GDU24" t="s">
        <v>6984</v>
      </c>
      <c r="GDV24" t="s">
        <v>6984</v>
      </c>
      <c r="GDW24" t="s">
        <v>6984</v>
      </c>
      <c r="GDX24" t="s">
        <v>6984</v>
      </c>
      <c r="GDY24" t="s">
        <v>6984</v>
      </c>
      <c r="GDZ24" t="s">
        <v>6984</v>
      </c>
      <c r="GEA24" t="s">
        <v>6984</v>
      </c>
      <c r="GEB24" t="s">
        <v>6984</v>
      </c>
      <c r="GEC24" t="s">
        <v>6984</v>
      </c>
      <c r="GED24" t="s">
        <v>6984</v>
      </c>
      <c r="GEE24" t="s">
        <v>6984</v>
      </c>
      <c r="GEF24" t="s">
        <v>6984</v>
      </c>
      <c r="GEG24" t="s">
        <v>6984</v>
      </c>
      <c r="GEH24" t="s">
        <v>6984</v>
      </c>
      <c r="GEI24" t="s">
        <v>6984</v>
      </c>
      <c r="GEJ24" t="s">
        <v>6984</v>
      </c>
      <c r="GEK24" t="s">
        <v>6984</v>
      </c>
      <c r="GEL24" t="s">
        <v>6984</v>
      </c>
      <c r="GEM24" t="s">
        <v>6984</v>
      </c>
      <c r="GEN24" t="s">
        <v>6984</v>
      </c>
      <c r="GEO24" t="s">
        <v>6984</v>
      </c>
      <c r="GEP24" t="s">
        <v>6984</v>
      </c>
      <c r="GEQ24" t="s">
        <v>6984</v>
      </c>
      <c r="GER24" t="s">
        <v>6984</v>
      </c>
      <c r="GES24" t="s">
        <v>6984</v>
      </c>
      <c r="GET24" t="s">
        <v>6984</v>
      </c>
      <c r="GEU24" t="s">
        <v>6984</v>
      </c>
      <c r="GEV24" t="s">
        <v>6984</v>
      </c>
      <c r="GEW24" t="s">
        <v>6984</v>
      </c>
      <c r="GEX24" t="s">
        <v>6984</v>
      </c>
      <c r="GEY24" t="s">
        <v>6984</v>
      </c>
      <c r="GEZ24" t="s">
        <v>6984</v>
      </c>
      <c r="GFA24" t="s">
        <v>6984</v>
      </c>
      <c r="GFB24" t="s">
        <v>6984</v>
      </c>
      <c r="GFC24" t="s">
        <v>6984</v>
      </c>
      <c r="GFD24" t="s">
        <v>6984</v>
      </c>
      <c r="GFE24" t="s">
        <v>6984</v>
      </c>
      <c r="GFF24" t="s">
        <v>6984</v>
      </c>
      <c r="GFG24" t="s">
        <v>6984</v>
      </c>
      <c r="GFH24" t="s">
        <v>6984</v>
      </c>
      <c r="GFI24" t="s">
        <v>6984</v>
      </c>
      <c r="GFJ24" t="s">
        <v>6984</v>
      </c>
      <c r="GFK24" t="s">
        <v>6984</v>
      </c>
      <c r="GFL24" t="s">
        <v>6984</v>
      </c>
      <c r="GFM24" t="s">
        <v>6984</v>
      </c>
      <c r="GFN24" t="s">
        <v>6984</v>
      </c>
      <c r="GFO24" t="s">
        <v>6984</v>
      </c>
      <c r="GFP24" t="s">
        <v>6984</v>
      </c>
      <c r="GFQ24" t="s">
        <v>6984</v>
      </c>
      <c r="GFR24" t="s">
        <v>6984</v>
      </c>
      <c r="GFS24" t="s">
        <v>6984</v>
      </c>
      <c r="GFT24" t="s">
        <v>6984</v>
      </c>
      <c r="GFU24" t="s">
        <v>6984</v>
      </c>
      <c r="GFV24" t="s">
        <v>6984</v>
      </c>
      <c r="GFW24" t="s">
        <v>6984</v>
      </c>
      <c r="GFX24" t="s">
        <v>6984</v>
      </c>
      <c r="GFY24" t="s">
        <v>6984</v>
      </c>
      <c r="GFZ24" t="s">
        <v>6984</v>
      </c>
      <c r="GGA24" t="s">
        <v>6984</v>
      </c>
      <c r="GGB24" t="s">
        <v>6984</v>
      </c>
      <c r="GGC24" t="s">
        <v>6984</v>
      </c>
      <c r="GGD24" t="s">
        <v>6984</v>
      </c>
      <c r="GGE24" t="s">
        <v>6984</v>
      </c>
      <c r="GGF24" t="s">
        <v>6984</v>
      </c>
      <c r="GGG24" t="s">
        <v>6984</v>
      </c>
      <c r="GGH24" t="s">
        <v>6984</v>
      </c>
      <c r="GGI24" t="s">
        <v>6984</v>
      </c>
      <c r="GGJ24" t="s">
        <v>6984</v>
      </c>
      <c r="GGK24" t="s">
        <v>6984</v>
      </c>
      <c r="GGL24" t="s">
        <v>6984</v>
      </c>
      <c r="GGM24" t="s">
        <v>6984</v>
      </c>
      <c r="GGN24" t="s">
        <v>6984</v>
      </c>
      <c r="GGO24" t="s">
        <v>6984</v>
      </c>
      <c r="GGP24" t="s">
        <v>6984</v>
      </c>
      <c r="GGQ24" t="s">
        <v>6984</v>
      </c>
      <c r="GGR24" t="s">
        <v>6984</v>
      </c>
      <c r="GGS24" t="s">
        <v>6984</v>
      </c>
      <c r="GGT24" t="s">
        <v>6984</v>
      </c>
      <c r="GGU24" t="s">
        <v>6984</v>
      </c>
      <c r="GGV24" t="s">
        <v>6984</v>
      </c>
      <c r="GGW24" t="s">
        <v>6984</v>
      </c>
      <c r="GGX24" t="s">
        <v>6984</v>
      </c>
      <c r="GGY24" t="s">
        <v>6984</v>
      </c>
      <c r="GGZ24" t="s">
        <v>6984</v>
      </c>
      <c r="GHA24" t="s">
        <v>6984</v>
      </c>
      <c r="GHB24" t="s">
        <v>6984</v>
      </c>
      <c r="GHC24" t="s">
        <v>6984</v>
      </c>
      <c r="GHD24" t="s">
        <v>6984</v>
      </c>
      <c r="GHE24" t="s">
        <v>6984</v>
      </c>
      <c r="GHF24" t="s">
        <v>6984</v>
      </c>
      <c r="GHG24" t="s">
        <v>6984</v>
      </c>
      <c r="GHH24" t="s">
        <v>6984</v>
      </c>
      <c r="GHI24" t="s">
        <v>6984</v>
      </c>
      <c r="GHJ24" t="s">
        <v>6984</v>
      </c>
      <c r="GHK24" t="s">
        <v>6984</v>
      </c>
      <c r="GHL24" t="s">
        <v>6984</v>
      </c>
      <c r="GHM24" t="s">
        <v>6984</v>
      </c>
      <c r="GHN24" t="s">
        <v>6984</v>
      </c>
      <c r="GHO24" t="s">
        <v>6984</v>
      </c>
      <c r="GHP24" t="s">
        <v>6984</v>
      </c>
      <c r="GHQ24" t="s">
        <v>6984</v>
      </c>
      <c r="GHR24" t="s">
        <v>6984</v>
      </c>
      <c r="GHS24" t="s">
        <v>6984</v>
      </c>
      <c r="GHT24" t="s">
        <v>6984</v>
      </c>
      <c r="GHU24" t="s">
        <v>6984</v>
      </c>
      <c r="GHV24" t="s">
        <v>6984</v>
      </c>
      <c r="GHW24" t="s">
        <v>6984</v>
      </c>
      <c r="GHX24" t="s">
        <v>6984</v>
      </c>
      <c r="GHY24" t="s">
        <v>6984</v>
      </c>
      <c r="GHZ24" t="s">
        <v>6984</v>
      </c>
      <c r="GIA24" t="s">
        <v>6984</v>
      </c>
      <c r="GIB24" t="s">
        <v>6984</v>
      </c>
      <c r="GIC24" t="s">
        <v>6984</v>
      </c>
      <c r="GID24" t="s">
        <v>6984</v>
      </c>
      <c r="GIE24" t="s">
        <v>6984</v>
      </c>
      <c r="GIF24" t="s">
        <v>6984</v>
      </c>
      <c r="GIG24" t="s">
        <v>6984</v>
      </c>
      <c r="GIH24" t="s">
        <v>6984</v>
      </c>
      <c r="GII24" t="s">
        <v>6984</v>
      </c>
      <c r="GIJ24" t="s">
        <v>6984</v>
      </c>
      <c r="GIK24" t="s">
        <v>6984</v>
      </c>
      <c r="GIL24" t="s">
        <v>6984</v>
      </c>
      <c r="GIM24" t="s">
        <v>6984</v>
      </c>
      <c r="GIN24" t="s">
        <v>6984</v>
      </c>
      <c r="GIO24" t="s">
        <v>6984</v>
      </c>
      <c r="GIP24" t="s">
        <v>6984</v>
      </c>
      <c r="GIQ24" t="s">
        <v>6984</v>
      </c>
      <c r="GIR24" t="s">
        <v>6984</v>
      </c>
      <c r="GIS24" t="s">
        <v>6984</v>
      </c>
      <c r="GIT24" t="s">
        <v>6984</v>
      </c>
      <c r="GIU24" t="s">
        <v>6984</v>
      </c>
      <c r="GIV24" t="s">
        <v>6984</v>
      </c>
      <c r="GIW24" t="s">
        <v>6984</v>
      </c>
      <c r="GIX24" t="s">
        <v>6984</v>
      </c>
      <c r="GIY24" t="s">
        <v>6984</v>
      </c>
      <c r="GIZ24" t="s">
        <v>6984</v>
      </c>
      <c r="GJA24" t="s">
        <v>6984</v>
      </c>
      <c r="GJB24" t="s">
        <v>6984</v>
      </c>
      <c r="GJC24" t="s">
        <v>6984</v>
      </c>
      <c r="GJD24" t="s">
        <v>6984</v>
      </c>
      <c r="GJE24" t="s">
        <v>6984</v>
      </c>
      <c r="GJF24" t="s">
        <v>6984</v>
      </c>
      <c r="GJG24" t="s">
        <v>6984</v>
      </c>
      <c r="GJH24" t="s">
        <v>6984</v>
      </c>
      <c r="GJI24" t="s">
        <v>6984</v>
      </c>
      <c r="GJJ24" t="s">
        <v>6984</v>
      </c>
      <c r="GJK24" t="s">
        <v>6984</v>
      </c>
      <c r="GJL24" t="s">
        <v>6984</v>
      </c>
      <c r="GJM24" t="s">
        <v>6984</v>
      </c>
      <c r="GJN24" t="s">
        <v>6984</v>
      </c>
      <c r="GJO24" t="s">
        <v>6984</v>
      </c>
      <c r="GJP24" t="s">
        <v>6984</v>
      </c>
      <c r="GJQ24" t="s">
        <v>6984</v>
      </c>
      <c r="GJR24" t="s">
        <v>6984</v>
      </c>
      <c r="GJS24" t="s">
        <v>6984</v>
      </c>
      <c r="GJT24" t="s">
        <v>6984</v>
      </c>
      <c r="GJU24" t="s">
        <v>6984</v>
      </c>
      <c r="GJV24" t="s">
        <v>6984</v>
      </c>
      <c r="GJW24" t="s">
        <v>6984</v>
      </c>
      <c r="GJX24" t="s">
        <v>6984</v>
      </c>
      <c r="GJY24" t="s">
        <v>6984</v>
      </c>
      <c r="GJZ24" t="s">
        <v>6984</v>
      </c>
      <c r="GKA24" t="s">
        <v>6984</v>
      </c>
      <c r="GKB24" t="s">
        <v>6984</v>
      </c>
      <c r="GKC24" t="s">
        <v>6984</v>
      </c>
      <c r="GKD24" t="s">
        <v>6984</v>
      </c>
      <c r="GKE24" t="s">
        <v>6984</v>
      </c>
      <c r="GKF24" t="s">
        <v>6984</v>
      </c>
      <c r="GKG24" t="s">
        <v>6984</v>
      </c>
      <c r="GKH24" t="s">
        <v>6984</v>
      </c>
      <c r="GKI24" t="s">
        <v>6984</v>
      </c>
      <c r="GKJ24" t="s">
        <v>6984</v>
      </c>
      <c r="GKK24" t="s">
        <v>6984</v>
      </c>
      <c r="GKL24" t="s">
        <v>6984</v>
      </c>
      <c r="GKM24" t="s">
        <v>6984</v>
      </c>
      <c r="GKN24" t="s">
        <v>6984</v>
      </c>
      <c r="GKO24" t="s">
        <v>6984</v>
      </c>
      <c r="GKP24" t="s">
        <v>6984</v>
      </c>
      <c r="GKQ24" t="s">
        <v>6984</v>
      </c>
      <c r="GKR24" t="s">
        <v>6984</v>
      </c>
      <c r="GKS24" t="s">
        <v>6984</v>
      </c>
      <c r="GKT24" t="s">
        <v>6984</v>
      </c>
      <c r="GKU24" t="s">
        <v>6984</v>
      </c>
      <c r="GKV24" t="s">
        <v>6984</v>
      </c>
      <c r="GKW24" t="s">
        <v>6984</v>
      </c>
      <c r="GKX24" t="s">
        <v>6984</v>
      </c>
      <c r="GKY24" t="s">
        <v>6984</v>
      </c>
      <c r="GKZ24" t="s">
        <v>6984</v>
      </c>
      <c r="GLA24" t="s">
        <v>6984</v>
      </c>
      <c r="GLB24" t="s">
        <v>6984</v>
      </c>
      <c r="GLC24" t="s">
        <v>6984</v>
      </c>
      <c r="GLD24" t="s">
        <v>6984</v>
      </c>
      <c r="GLE24" t="s">
        <v>6984</v>
      </c>
      <c r="GLF24" t="s">
        <v>6984</v>
      </c>
      <c r="GLG24" t="s">
        <v>6984</v>
      </c>
      <c r="GLH24" t="s">
        <v>6984</v>
      </c>
      <c r="GLI24" t="s">
        <v>6984</v>
      </c>
      <c r="GLJ24" t="s">
        <v>6984</v>
      </c>
      <c r="GLK24" t="s">
        <v>6984</v>
      </c>
      <c r="GLL24" t="s">
        <v>6984</v>
      </c>
      <c r="GLM24" t="s">
        <v>6984</v>
      </c>
      <c r="GLN24" t="s">
        <v>6984</v>
      </c>
      <c r="GLO24" t="s">
        <v>6984</v>
      </c>
      <c r="GLP24" t="s">
        <v>6984</v>
      </c>
      <c r="GLQ24" t="s">
        <v>6984</v>
      </c>
      <c r="GLR24" t="s">
        <v>6984</v>
      </c>
      <c r="GLS24" t="s">
        <v>6984</v>
      </c>
      <c r="GLT24" t="s">
        <v>6984</v>
      </c>
      <c r="GLU24" t="s">
        <v>6984</v>
      </c>
      <c r="GLV24" t="s">
        <v>6984</v>
      </c>
      <c r="GLW24" t="s">
        <v>6984</v>
      </c>
      <c r="GLX24" t="s">
        <v>6984</v>
      </c>
      <c r="GLY24" t="s">
        <v>6984</v>
      </c>
      <c r="GLZ24" t="s">
        <v>6984</v>
      </c>
      <c r="GMA24" t="s">
        <v>6984</v>
      </c>
      <c r="GMB24" t="s">
        <v>6984</v>
      </c>
      <c r="GMC24" t="s">
        <v>6984</v>
      </c>
      <c r="GMD24" t="s">
        <v>6984</v>
      </c>
      <c r="GME24" t="s">
        <v>6984</v>
      </c>
      <c r="GMF24" t="s">
        <v>6984</v>
      </c>
      <c r="GMG24" t="s">
        <v>6984</v>
      </c>
      <c r="GMH24" t="s">
        <v>6984</v>
      </c>
      <c r="GMI24" t="s">
        <v>6984</v>
      </c>
      <c r="GMJ24" t="s">
        <v>6984</v>
      </c>
      <c r="GMK24" t="s">
        <v>6984</v>
      </c>
      <c r="GML24" t="s">
        <v>6984</v>
      </c>
      <c r="GMM24" t="s">
        <v>6984</v>
      </c>
      <c r="GMN24" t="s">
        <v>6984</v>
      </c>
      <c r="GMO24" t="s">
        <v>6984</v>
      </c>
      <c r="GMP24" t="s">
        <v>6984</v>
      </c>
      <c r="GMQ24" t="s">
        <v>6984</v>
      </c>
      <c r="GMR24" t="s">
        <v>6984</v>
      </c>
      <c r="GMS24" t="s">
        <v>6984</v>
      </c>
      <c r="GMT24" t="s">
        <v>6984</v>
      </c>
      <c r="GMU24" t="s">
        <v>6984</v>
      </c>
      <c r="GMV24" t="s">
        <v>6984</v>
      </c>
      <c r="GMW24" t="s">
        <v>6984</v>
      </c>
      <c r="GMX24" t="s">
        <v>6984</v>
      </c>
      <c r="GMY24" t="s">
        <v>6984</v>
      </c>
      <c r="GMZ24" t="s">
        <v>6984</v>
      </c>
      <c r="GNA24" t="s">
        <v>6984</v>
      </c>
      <c r="GNB24" t="s">
        <v>6984</v>
      </c>
      <c r="GNC24" t="s">
        <v>6984</v>
      </c>
      <c r="GND24" t="s">
        <v>6984</v>
      </c>
      <c r="GNE24" t="s">
        <v>6984</v>
      </c>
      <c r="GNF24" t="s">
        <v>6984</v>
      </c>
      <c r="GNG24" t="s">
        <v>6984</v>
      </c>
      <c r="GNH24" t="s">
        <v>6984</v>
      </c>
      <c r="GNI24" t="s">
        <v>6984</v>
      </c>
      <c r="GNJ24" t="s">
        <v>6984</v>
      </c>
      <c r="GNK24" t="s">
        <v>6984</v>
      </c>
      <c r="GNL24" t="s">
        <v>6984</v>
      </c>
      <c r="GNM24" t="s">
        <v>6984</v>
      </c>
      <c r="GNN24" t="s">
        <v>6984</v>
      </c>
      <c r="GNO24" t="s">
        <v>6984</v>
      </c>
      <c r="GNP24" t="s">
        <v>6984</v>
      </c>
      <c r="GNQ24" t="s">
        <v>6984</v>
      </c>
      <c r="GNR24" t="s">
        <v>6984</v>
      </c>
      <c r="GNS24" t="s">
        <v>6984</v>
      </c>
      <c r="GNT24" t="s">
        <v>6984</v>
      </c>
      <c r="GNU24" t="s">
        <v>6984</v>
      </c>
      <c r="GNV24" t="s">
        <v>6984</v>
      </c>
      <c r="GNW24" t="s">
        <v>6984</v>
      </c>
      <c r="GNX24" t="s">
        <v>6984</v>
      </c>
      <c r="GNY24" t="s">
        <v>6984</v>
      </c>
      <c r="GNZ24" t="s">
        <v>6984</v>
      </c>
      <c r="GOA24" t="s">
        <v>6984</v>
      </c>
      <c r="GOB24" t="s">
        <v>6984</v>
      </c>
      <c r="GOC24" t="s">
        <v>6984</v>
      </c>
      <c r="GOD24" t="s">
        <v>6984</v>
      </c>
      <c r="GOE24" t="s">
        <v>6984</v>
      </c>
      <c r="GOF24" t="s">
        <v>6984</v>
      </c>
      <c r="GOG24" t="s">
        <v>6984</v>
      </c>
      <c r="GOH24" t="s">
        <v>6984</v>
      </c>
      <c r="GOI24" t="s">
        <v>6984</v>
      </c>
      <c r="GOJ24" t="s">
        <v>6984</v>
      </c>
      <c r="GOK24" t="s">
        <v>6984</v>
      </c>
      <c r="GOL24" t="s">
        <v>6984</v>
      </c>
      <c r="GOM24" t="s">
        <v>6984</v>
      </c>
      <c r="GON24" t="s">
        <v>6984</v>
      </c>
      <c r="GOO24" t="s">
        <v>6984</v>
      </c>
      <c r="GOP24" t="s">
        <v>6984</v>
      </c>
      <c r="GOQ24" t="s">
        <v>6984</v>
      </c>
      <c r="GOR24" t="s">
        <v>6984</v>
      </c>
      <c r="GOS24" t="s">
        <v>6984</v>
      </c>
      <c r="GOT24" t="s">
        <v>6984</v>
      </c>
      <c r="GOU24" t="s">
        <v>6984</v>
      </c>
      <c r="GOV24" t="s">
        <v>6984</v>
      </c>
      <c r="GOW24" t="s">
        <v>6984</v>
      </c>
      <c r="GOX24" t="s">
        <v>6984</v>
      </c>
      <c r="GOY24" t="s">
        <v>6984</v>
      </c>
      <c r="GOZ24" t="s">
        <v>6984</v>
      </c>
      <c r="GPA24" t="s">
        <v>6984</v>
      </c>
      <c r="GPB24" t="s">
        <v>6984</v>
      </c>
      <c r="GPC24" t="s">
        <v>6984</v>
      </c>
      <c r="GPD24" t="s">
        <v>6984</v>
      </c>
      <c r="GPE24" t="s">
        <v>6984</v>
      </c>
      <c r="GPF24" t="s">
        <v>6984</v>
      </c>
      <c r="GPG24" t="s">
        <v>6984</v>
      </c>
      <c r="GPH24" t="s">
        <v>6984</v>
      </c>
      <c r="GPI24" t="s">
        <v>6984</v>
      </c>
      <c r="GPJ24" t="s">
        <v>6984</v>
      </c>
      <c r="GPK24" t="s">
        <v>6984</v>
      </c>
      <c r="GPL24" t="s">
        <v>6984</v>
      </c>
      <c r="GPM24" t="s">
        <v>6984</v>
      </c>
      <c r="GPN24" t="s">
        <v>6984</v>
      </c>
      <c r="GPO24" t="s">
        <v>6984</v>
      </c>
      <c r="GPP24" t="s">
        <v>6984</v>
      </c>
      <c r="GPQ24" t="s">
        <v>6984</v>
      </c>
      <c r="GPR24" t="s">
        <v>6984</v>
      </c>
      <c r="GPS24" t="s">
        <v>6984</v>
      </c>
      <c r="GPT24" t="s">
        <v>6984</v>
      </c>
      <c r="GPU24" t="s">
        <v>6984</v>
      </c>
      <c r="GPV24" t="s">
        <v>6984</v>
      </c>
      <c r="GPW24" t="s">
        <v>6984</v>
      </c>
      <c r="GPX24" t="s">
        <v>6984</v>
      </c>
      <c r="GPY24" t="s">
        <v>6984</v>
      </c>
      <c r="GPZ24" t="s">
        <v>6984</v>
      </c>
      <c r="GQA24" t="s">
        <v>6984</v>
      </c>
      <c r="GQB24" t="s">
        <v>6984</v>
      </c>
      <c r="GQC24" t="s">
        <v>6984</v>
      </c>
      <c r="GQD24" t="s">
        <v>6984</v>
      </c>
      <c r="GQE24" t="s">
        <v>6984</v>
      </c>
      <c r="GQF24" t="s">
        <v>6984</v>
      </c>
      <c r="GQG24" t="s">
        <v>6984</v>
      </c>
      <c r="GQH24" t="s">
        <v>6984</v>
      </c>
      <c r="GQI24" t="s">
        <v>6984</v>
      </c>
      <c r="GQJ24" t="s">
        <v>6984</v>
      </c>
      <c r="GQK24" t="s">
        <v>6984</v>
      </c>
      <c r="GQL24" t="s">
        <v>6984</v>
      </c>
      <c r="GQM24" t="s">
        <v>6984</v>
      </c>
      <c r="GQN24" t="s">
        <v>6984</v>
      </c>
      <c r="GQO24" t="s">
        <v>6984</v>
      </c>
      <c r="GQP24" t="s">
        <v>6984</v>
      </c>
      <c r="GQQ24" t="s">
        <v>6984</v>
      </c>
      <c r="GQR24" t="s">
        <v>6984</v>
      </c>
      <c r="GQS24" t="s">
        <v>6984</v>
      </c>
      <c r="GQT24" t="s">
        <v>6984</v>
      </c>
      <c r="GQU24" t="s">
        <v>6984</v>
      </c>
      <c r="GQV24" t="s">
        <v>6984</v>
      </c>
      <c r="GQW24" t="s">
        <v>6984</v>
      </c>
      <c r="GQX24" t="s">
        <v>6984</v>
      </c>
      <c r="GQY24" t="s">
        <v>6984</v>
      </c>
      <c r="GQZ24" t="s">
        <v>6984</v>
      </c>
      <c r="GRA24" t="s">
        <v>6984</v>
      </c>
      <c r="GRB24" t="s">
        <v>6984</v>
      </c>
      <c r="GRC24" t="s">
        <v>6984</v>
      </c>
      <c r="GRD24" t="s">
        <v>6984</v>
      </c>
      <c r="GRE24" t="s">
        <v>6984</v>
      </c>
      <c r="GRF24" t="s">
        <v>6984</v>
      </c>
      <c r="GRG24" t="s">
        <v>6984</v>
      </c>
      <c r="GRH24" t="s">
        <v>6984</v>
      </c>
      <c r="GRI24" t="s">
        <v>6984</v>
      </c>
      <c r="GRJ24" t="s">
        <v>6984</v>
      </c>
      <c r="GRK24" t="s">
        <v>6984</v>
      </c>
      <c r="GRL24" t="s">
        <v>6984</v>
      </c>
      <c r="GRM24" t="s">
        <v>6984</v>
      </c>
      <c r="GRN24" t="s">
        <v>6984</v>
      </c>
      <c r="GRO24" t="s">
        <v>6984</v>
      </c>
      <c r="GRP24" t="s">
        <v>6984</v>
      </c>
      <c r="GRQ24" t="s">
        <v>6984</v>
      </c>
      <c r="GRR24" t="s">
        <v>6984</v>
      </c>
      <c r="GRS24" t="s">
        <v>6984</v>
      </c>
      <c r="GRT24" t="s">
        <v>6984</v>
      </c>
      <c r="GRU24" t="s">
        <v>6984</v>
      </c>
      <c r="GRV24" t="s">
        <v>6984</v>
      </c>
      <c r="GRW24" t="s">
        <v>6984</v>
      </c>
      <c r="GRX24" t="s">
        <v>6984</v>
      </c>
      <c r="GRY24" t="s">
        <v>6984</v>
      </c>
      <c r="GRZ24" t="s">
        <v>6984</v>
      </c>
      <c r="GSA24" t="s">
        <v>6984</v>
      </c>
      <c r="GSB24" t="s">
        <v>6984</v>
      </c>
      <c r="GSC24" t="s">
        <v>6984</v>
      </c>
      <c r="GSD24" t="s">
        <v>6984</v>
      </c>
      <c r="GSE24" t="s">
        <v>6984</v>
      </c>
      <c r="GSF24" t="s">
        <v>6984</v>
      </c>
      <c r="GSG24" t="s">
        <v>6984</v>
      </c>
      <c r="GSH24" t="s">
        <v>6984</v>
      </c>
      <c r="GSI24" t="s">
        <v>6984</v>
      </c>
      <c r="GSJ24" t="s">
        <v>6984</v>
      </c>
      <c r="GSK24" t="s">
        <v>6984</v>
      </c>
      <c r="GSL24" t="s">
        <v>6984</v>
      </c>
      <c r="GSM24" t="s">
        <v>6984</v>
      </c>
      <c r="GSN24" t="s">
        <v>6984</v>
      </c>
      <c r="GSO24" t="s">
        <v>6984</v>
      </c>
      <c r="GSP24" t="s">
        <v>6984</v>
      </c>
      <c r="GSQ24" t="s">
        <v>6984</v>
      </c>
      <c r="GSR24" t="s">
        <v>6984</v>
      </c>
      <c r="GSS24" t="s">
        <v>6984</v>
      </c>
      <c r="GST24" t="s">
        <v>6984</v>
      </c>
      <c r="GSU24" t="s">
        <v>6984</v>
      </c>
      <c r="GSV24" t="s">
        <v>6984</v>
      </c>
      <c r="GSW24" t="s">
        <v>6984</v>
      </c>
      <c r="GSX24" t="s">
        <v>6984</v>
      </c>
      <c r="GSY24" t="s">
        <v>6984</v>
      </c>
      <c r="GSZ24" t="s">
        <v>6984</v>
      </c>
      <c r="GTA24" t="s">
        <v>6984</v>
      </c>
      <c r="GTB24" t="s">
        <v>6984</v>
      </c>
      <c r="GTC24" t="s">
        <v>6984</v>
      </c>
      <c r="GTD24" t="s">
        <v>6984</v>
      </c>
      <c r="GTE24" t="s">
        <v>6984</v>
      </c>
      <c r="GTF24" t="s">
        <v>6984</v>
      </c>
      <c r="GTG24" t="s">
        <v>6984</v>
      </c>
      <c r="GTH24" t="s">
        <v>6984</v>
      </c>
      <c r="GTI24" t="s">
        <v>6984</v>
      </c>
      <c r="GTJ24" t="s">
        <v>6984</v>
      </c>
      <c r="GTK24" t="s">
        <v>6984</v>
      </c>
      <c r="GTL24" t="s">
        <v>6984</v>
      </c>
      <c r="GTM24" t="s">
        <v>6984</v>
      </c>
      <c r="GTN24" t="s">
        <v>6984</v>
      </c>
      <c r="GTO24" t="s">
        <v>6984</v>
      </c>
      <c r="GTP24" t="s">
        <v>6984</v>
      </c>
      <c r="GTQ24" t="s">
        <v>6984</v>
      </c>
      <c r="GTR24" t="s">
        <v>6984</v>
      </c>
      <c r="GTS24" t="s">
        <v>6984</v>
      </c>
      <c r="GTT24" t="s">
        <v>6984</v>
      </c>
      <c r="GTU24" t="s">
        <v>6984</v>
      </c>
      <c r="GTV24" t="s">
        <v>6984</v>
      </c>
      <c r="GTW24" t="s">
        <v>6984</v>
      </c>
      <c r="GTX24" t="s">
        <v>6984</v>
      </c>
      <c r="GTY24" t="s">
        <v>6984</v>
      </c>
      <c r="GTZ24" t="s">
        <v>6984</v>
      </c>
      <c r="GUA24" t="s">
        <v>6984</v>
      </c>
      <c r="GUB24" t="s">
        <v>6984</v>
      </c>
      <c r="GUC24" t="s">
        <v>6984</v>
      </c>
      <c r="GUD24" t="s">
        <v>6984</v>
      </c>
      <c r="GUE24" t="s">
        <v>6984</v>
      </c>
      <c r="GUF24" t="s">
        <v>6984</v>
      </c>
      <c r="GUG24" t="s">
        <v>6984</v>
      </c>
      <c r="GUH24" t="s">
        <v>6984</v>
      </c>
      <c r="GUI24" t="s">
        <v>6984</v>
      </c>
      <c r="GUJ24" t="s">
        <v>6984</v>
      </c>
      <c r="GUK24" t="s">
        <v>6984</v>
      </c>
      <c r="GUL24" t="s">
        <v>6984</v>
      </c>
      <c r="GUM24" t="s">
        <v>6984</v>
      </c>
      <c r="GUN24" t="s">
        <v>6984</v>
      </c>
      <c r="GUO24" t="s">
        <v>6984</v>
      </c>
      <c r="GUP24" t="s">
        <v>6984</v>
      </c>
      <c r="GUQ24" t="s">
        <v>6984</v>
      </c>
      <c r="GUR24" t="s">
        <v>6984</v>
      </c>
      <c r="GUS24" t="s">
        <v>6984</v>
      </c>
      <c r="GUT24" t="s">
        <v>6984</v>
      </c>
      <c r="GUU24" t="s">
        <v>6984</v>
      </c>
      <c r="GUV24" t="s">
        <v>6984</v>
      </c>
      <c r="GUW24" t="s">
        <v>6984</v>
      </c>
      <c r="GUX24" t="s">
        <v>6984</v>
      </c>
      <c r="GUY24" t="s">
        <v>6984</v>
      </c>
      <c r="GUZ24" t="s">
        <v>6984</v>
      </c>
      <c r="GVA24" t="s">
        <v>6984</v>
      </c>
      <c r="GVB24" t="s">
        <v>6984</v>
      </c>
      <c r="GVC24" t="s">
        <v>6984</v>
      </c>
      <c r="GVD24" t="s">
        <v>6984</v>
      </c>
      <c r="GVE24" t="s">
        <v>6984</v>
      </c>
      <c r="GVF24" t="s">
        <v>6984</v>
      </c>
      <c r="GVG24" t="s">
        <v>6984</v>
      </c>
      <c r="GVH24" t="s">
        <v>6984</v>
      </c>
      <c r="GVI24" t="s">
        <v>6984</v>
      </c>
      <c r="GVJ24" t="s">
        <v>6984</v>
      </c>
      <c r="GVK24" t="s">
        <v>6984</v>
      </c>
      <c r="GVL24" t="s">
        <v>6984</v>
      </c>
      <c r="GVM24" t="s">
        <v>6984</v>
      </c>
      <c r="GVN24" t="s">
        <v>6984</v>
      </c>
      <c r="GVO24" t="s">
        <v>6984</v>
      </c>
      <c r="GVP24" t="s">
        <v>6984</v>
      </c>
      <c r="GVQ24" t="s">
        <v>6984</v>
      </c>
      <c r="GVR24" t="s">
        <v>6984</v>
      </c>
      <c r="GVS24" t="s">
        <v>6984</v>
      </c>
      <c r="GVT24" t="s">
        <v>6984</v>
      </c>
      <c r="GVU24" t="s">
        <v>6984</v>
      </c>
      <c r="GVV24" t="s">
        <v>6984</v>
      </c>
      <c r="GVW24" t="s">
        <v>6984</v>
      </c>
      <c r="GVX24" t="s">
        <v>6984</v>
      </c>
      <c r="GVY24" t="s">
        <v>6984</v>
      </c>
      <c r="GVZ24" t="s">
        <v>6984</v>
      </c>
      <c r="GWA24" t="s">
        <v>6984</v>
      </c>
      <c r="GWB24" t="s">
        <v>6984</v>
      </c>
      <c r="GWC24" t="s">
        <v>6984</v>
      </c>
      <c r="GWD24" t="s">
        <v>6984</v>
      </c>
      <c r="GWE24" t="s">
        <v>6984</v>
      </c>
      <c r="GWF24" t="s">
        <v>6984</v>
      </c>
      <c r="GWG24" t="s">
        <v>6984</v>
      </c>
      <c r="GWH24" t="s">
        <v>6984</v>
      </c>
      <c r="GWI24" t="s">
        <v>6984</v>
      </c>
      <c r="GWJ24" t="s">
        <v>6984</v>
      </c>
      <c r="GWK24" t="s">
        <v>6984</v>
      </c>
      <c r="GWL24" t="s">
        <v>6984</v>
      </c>
      <c r="GWM24" t="s">
        <v>6984</v>
      </c>
      <c r="GWN24" t="s">
        <v>6984</v>
      </c>
      <c r="GWO24" t="s">
        <v>6984</v>
      </c>
      <c r="GWP24" t="s">
        <v>6984</v>
      </c>
      <c r="GWQ24" t="s">
        <v>6984</v>
      </c>
      <c r="GWR24" t="s">
        <v>6984</v>
      </c>
      <c r="GWS24" t="s">
        <v>6984</v>
      </c>
      <c r="GWT24" t="s">
        <v>6984</v>
      </c>
      <c r="GWU24" t="s">
        <v>6984</v>
      </c>
      <c r="GWV24" t="s">
        <v>6984</v>
      </c>
      <c r="GWW24" t="s">
        <v>6984</v>
      </c>
      <c r="GWX24" t="s">
        <v>6984</v>
      </c>
      <c r="GWY24" t="s">
        <v>6984</v>
      </c>
      <c r="GWZ24" t="s">
        <v>6984</v>
      </c>
      <c r="GXA24" t="s">
        <v>6984</v>
      </c>
      <c r="GXB24" t="s">
        <v>6984</v>
      </c>
      <c r="GXC24" t="s">
        <v>6984</v>
      </c>
      <c r="GXD24" t="s">
        <v>6984</v>
      </c>
      <c r="GXE24" t="s">
        <v>6984</v>
      </c>
      <c r="GXF24" t="s">
        <v>6984</v>
      </c>
      <c r="GXG24" t="s">
        <v>6984</v>
      </c>
      <c r="GXH24" t="s">
        <v>6984</v>
      </c>
      <c r="GXI24" t="s">
        <v>6984</v>
      </c>
      <c r="GXJ24" t="s">
        <v>6984</v>
      </c>
      <c r="GXK24" t="s">
        <v>6984</v>
      </c>
      <c r="GXL24" t="s">
        <v>6984</v>
      </c>
      <c r="GXM24" t="s">
        <v>6984</v>
      </c>
      <c r="GXN24" t="s">
        <v>6984</v>
      </c>
      <c r="GXO24" t="s">
        <v>6984</v>
      </c>
      <c r="GXP24" t="s">
        <v>6984</v>
      </c>
      <c r="GXQ24" t="s">
        <v>6984</v>
      </c>
      <c r="GXR24" t="s">
        <v>6984</v>
      </c>
      <c r="GXS24" t="s">
        <v>6984</v>
      </c>
      <c r="GXT24" t="s">
        <v>6984</v>
      </c>
      <c r="GXU24" t="s">
        <v>6984</v>
      </c>
      <c r="GXV24" t="s">
        <v>6984</v>
      </c>
      <c r="GXW24" t="s">
        <v>6984</v>
      </c>
      <c r="GXX24" t="s">
        <v>6984</v>
      </c>
      <c r="GXY24" t="s">
        <v>6984</v>
      </c>
      <c r="GXZ24" t="s">
        <v>6984</v>
      </c>
      <c r="GYA24" t="s">
        <v>6984</v>
      </c>
      <c r="GYB24" t="s">
        <v>6984</v>
      </c>
      <c r="GYC24" t="s">
        <v>6984</v>
      </c>
      <c r="GYD24" t="s">
        <v>6984</v>
      </c>
      <c r="GYE24" t="s">
        <v>6984</v>
      </c>
      <c r="GYF24" t="s">
        <v>6984</v>
      </c>
      <c r="GYG24" t="s">
        <v>6984</v>
      </c>
      <c r="GYH24" t="s">
        <v>6984</v>
      </c>
      <c r="GYI24" t="s">
        <v>6984</v>
      </c>
      <c r="GYJ24" t="s">
        <v>6984</v>
      </c>
      <c r="GYK24" t="s">
        <v>6984</v>
      </c>
      <c r="GYL24" t="s">
        <v>6984</v>
      </c>
      <c r="GYM24" t="s">
        <v>6984</v>
      </c>
      <c r="GYN24" t="s">
        <v>6984</v>
      </c>
      <c r="GYO24" t="s">
        <v>6984</v>
      </c>
      <c r="GYP24" t="s">
        <v>6984</v>
      </c>
      <c r="GYQ24" t="s">
        <v>6984</v>
      </c>
      <c r="GYR24" t="s">
        <v>6984</v>
      </c>
      <c r="GYS24" t="s">
        <v>6984</v>
      </c>
      <c r="GYT24" t="s">
        <v>6984</v>
      </c>
      <c r="GYU24" t="s">
        <v>6984</v>
      </c>
      <c r="GYV24" t="s">
        <v>6984</v>
      </c>
      <c r="GYW24" t="s">
        <v>6984</v>
      </c>
      <c r="GYX24" t="s">
        <v>6984</v>
      </c>
      <c r="GYY24" t="s">
        <v>6984</v>
      </c>
      <c r="GYZ24" t="s">
        <v>6984</v>
      </c>
      <c r="GZA24" t="s">
        <v>6984</v>
      </c>
      <c r="GZB24" t="s">
        <v>6984</v>
      </c>
      <c r="GZC24" t="s">
        <v>6984</v>
      </c>
      <c r="GZD24" t="s">
        <v>6984</v>
      </c>
      <c r="GZE24" t="s">
        <v>6984</v>
      </c>
      <c r="GZF24" t="s">
        <v>6984</v>
      </c>
      <c r="GZG24" t="s">
        <v>6984</v>
      </c>
      <c r="GZH24" t="s">
        <v>6984</v>
      </c>
      <c r="GZI24" t="s">
        <v>6984</v>
      </c>
      <c r="GZJ24" t="s">
        <v>6984</v>
      </c>
      <c r="GZK24" t="s">
        <v>6984</v>
      </c>
      <c r="GZL24" t="s">
        <v>6984</v>
      </c>
      <c r="GZM24" t="s">
        <v>6984</v>
      </c>
      <c r="GZN24" t="s">
        <v>6984</v>
      </c>
      <c r="GZO24" t="s">
        <v>6984</v>
      </c>
      <c r="GZP24" t="s">
        <v>6984</v>
      </c>
      <c r="GZQ24" t="s">
        <v>6984</v>
      </c>
      <c r="GZR24" t="s">
        <v>6984</v>
      </c>
      <c r="GZS24" t="s">
        <v>6984</v>
      </c>
      <c r="GZT24" t="s">
        <v>6984</v>
      </c>
      <c r="GZU24" t="s">
        <v>6984</v>
      </c>
      <c r="GZV24" t="s">
        <v>6984</v>
      </c>
      <c r="GZW24" t="s">
        <v>6984</v>
      </c>
      <c r="GZX24" t="s">
        <v>6984</v>
      </c>
      <c r="GZY24" t="s">
        <v>6984</v>
      </c>
      <c r="GZZ24" t="s">
        <v>6984</v>
      </c>
      <c r="HAA24" t="s">
        <v>6984</v>
      </c>
      <c r="HAB24" t="s">
        <v>6984</v>
      </c>
      <c r="HAC24" t="s">
        <v>6984</v>
      </c>
      <c r="HAD24" t="s">
        <v>6984</v>
      </c>
      <c r="HAE24" t="s">
        <v>6984</v>
      </c>
      <c r="HAF24" t="s">
        <v>6984</v>
      </c>
      <c r="HAG24" t="s">
        <v>6984</v>
      </c>
      <c r="HAH24" t="s">
        <v>6984</v>
      </c>
      <c r="HAI24" t="s">
        <v>6984</v>
      </c>
      <c r="HAJ24" t="s">
        <v>6984</v>
      </c>
      <c r="HAK24" t="s">
        <v>6984</v>
      </c>
      <c r="HAL24" t="s">
        <v>6984</v>
      </c>
      <c r="HAM24" t="s">
        <v>6984</v>
      </c>
      <c r="HAN24" t="s">
        <v>6984</v>
      </c>
      <c r="HAO24" t="s">
        <v>6984</v>
      </c>
      <c r="HAP24" t="s">
        <v>6984</v>
      </c>
      <c r="HAQ24" t="s">
        <v>6984</v>
      </c>
      <c r="HAR24" t="s">
        <v>6984</v>
      </c>
      <c r="HAS24" t="s">
        <v>6984</v>
      </c>
      <c r="HAT24" t="s">
        <v>6984</v>
      </c>
      <c r="HAU24" t="s">
        <v>6984</v>
      </c>
      <c r="HAV24" t="s">
        <v>6984</v>
      </c>
      <c r="HAW24" t="s">
        <v>6984</v>
      </c>
      <c r="HAX24" t="s">
        <v>6984</v>
      </c>
      <c r="HAY24" t="s">
        <v>6984</v>
      </c>
      <c r="HAZ24" t="s">
        <v>6984</v>
      </c>
      <c r="HBA24" t="s">
        <v>6984</v>
      </c>
      <c r="HBB24" t="s">
        <v>6984</v>
      </c>
      <c r="HBC24" t="s">
        <v>6984</v>
      </c>
      <c r="HBD24" t="s">
        <v>6984</v>
      </c>
      <c r="HBE24" t="s">
        <v>6984</v>
      </c>
      <c r="HBF24" t="s">
        <v>6984</v>
      </c>
      <c r="HBG24" t="s">
        <v>6984</v>
      </c>
      <c r="HBH24" t="s">
        <v>6984</v>
      </c>
      <c r="HBI24" t="s">
        <v>6984</v>
      </c>
      <c r="HBJ24" t="s">
        <v>6984</v>
      </c>
      <c r="HBK24" t="s">
        <v>6984</v>
      </c>
      <c r="HBL24" t="s">
        <v>6984</v>
      </c>
      <c r="HBM24" t="s">
        <v>6984</v>
      </c>
      <c r="HBN24" t="s">
        <v>6984</v>
      </c>
      <c r="HBO24" t="s">
        <v>6984</v>
      </c>
      <c r="HBP24" t="s">
        <v>6984</v>
      </c>
      <c r="HBQ24" t="s">
        <v>6984</v>
      </c>
      <c r="HBR24" t="s">
        <v>6984</v>
      </c>
      <c r="HBS24" t="s">
        <v>6984</v>
      </c>
      <c r="HBT24" t="s">
        <v>6984</v>
      </c>
      <c r="HBU24" t="s">
        <v>6984</v>
      </c>
      <c r="HBV24" t="s">
        <v>6984</v>
      </c>
      <c r="HBW24" t="s">
        <v>6984</v>
      </c>
      <c r="HBX24" t="s">
        <v>6984</v>
      </c>
      <c r="HBY24" t="s">
        <v>6984</v>
      </c>
      <c r="HBZ24" t="s">
        <v>6984</v>
      </c>
      <c r="HCA24" t="s">
        <v>6984</v>
      </c>
      <c r="HCB24" t="s">
        <v>6984</v>
      </c>
      <c r="HCC24" t="s">
        <v>6984</v>
      </c>
      <c r="HCD24" t="s">
        <v>6984</v>
      </c>
      <c r="HCE24" t="s">
        <v>6984</v>
      </c>
      <c r="HCF24" t="s">
        <v>6984</v>
      </c>
      <c r="HCG24" t="s">
        <v>6984</v>
      </c>
      <c r="HCH24" t="s">
        <v>6984</v>
      </c>
      <c r="HCI24" t="s">
        <v>6984</v>
      </c>
      <c r="HCJ24" t="s">
        <v>6984</v>
      </c>
      <c r="HCK24" t="s">
        <v>6984</v>
      </c>
      <c r="HCL24" t="s">
        <v>6984</v>
      </c>
      <c r="HCM24" t="s">
        <v>6984</v>
      </c>
      <c r="HCN24" t="s">
        <v>6984</v>
      </c>
      <c r="HCO24" t="s">
        <v>6984</v>
      </c>
      <c r="HCP24" t="s">
        <v>6984</v>
      </c>
      <c r="HCQ24" t="s">
        <v>6984</v>
      </c>
      <c r="HCR24" t="s">
        <v>6984</v>
      </c>
      <c r="HCS24" t="s">
        <v>6984</v>
      </c>
      <c r="HCT24" t="s">
        <v>6984</v>
      </c>
      <c r="HCU24" t="s">
        <v>6984</v>
      </c>
      <c r="HCV24" t="s">
        <v>6984</v>
      </c>
      <c r="HCW24" t="s">
        <v>6984</v>
      </c>
      <c r="HCX24" t="s">
        <v>6984</v>
      </c>
      <c r="HCY24" t="s">
        <v>6984</v>
      </c>
      <c r="HCZ24" t="s">
        <v>6984</v>
      </c>
      <c r="HDA24" t="s">
        <v>6984</v>
      </c>
      <c r="HDB24" t="s">
        <v>6984</v>
      </c>
      <c r="HDC24" t="s">
        <v>6984</v>
      </c>
      <c r="HDD24" t="s">
        <v>6984</v>
      </c>
      <c r="HDE24" t="s">
        <v>6984</v>
      </c>
      <c r="HDF24" t="s">
        <v>6984</v>
      </c>
      <c r="HDG24" t="s">
        <v>6984</v>
      </c>
      <c r="HDH24" t="s">
        <v>6984</v>
      </c>
      <c r="HDI24" t="s">
        <v>6984</v>
      </c>
      <c r="HDJ24" t="s">
        <v>6984</v>
      </c>
      <c r="HDK24" t="s">
        <v>6984</v>
      </c>
      <c r="HDL24" t="s">
        <v>6984</v>
      </c>
      <c r="HDM24" t="s">
        <v>6984</v>
      </c>
      <c r="HDN24" t="s">
        <v>6984</v>
      </c>
      <c r="HDO24" t="s">
        <v>6984</v>
      </c>
      <c r="HDP24" t="s">
        <v>6984</v>
      </c>
      <c r="HDQ24" t="s">
        <v>6984</v>
      </c>
      <c r="HDR24" t="s">
        <v>6984</v>
      </c>
      <c r="HDS24" t="s">
        <v>6984</v>
      </c>
      <c r="HDT24" t="s">
        <v>6984</v>
      </c>
      <c r="HDU24" t="s">
        <v>6984</v>
      </c>
      <c r="HDV24" t="s">
        <v>6984</v>
      </c>
      <c r="HDW24" t="s">
        <v>6984</v>
      </c>
      <c r="HDX24" t="s">
        <v>6984</v>
      </c>
      <c r="HDY24" t="s">
        <v>6984</v>
      </c>
      <c r="HDZ24" t="s">
        <v>6984</v>
      </c>
      <c r="HEA24" t="s">
        <v>6984</v>
      </c>
      <c r="HEB24" t="s">
        <v>6984</v>
      </c>
      <c r="HEC24" t="s">
        <v>6984</v>
      </c>
      <c r="HED24" t="s">
        <v>6984</v>
      </c>
      <c r="HEE24" t="s">
        <v>6984</v>
      </c>
      <c r="HEF24" t="s">
        <v>6984</v>
      </c>
      <c r="HEG24" t="s">
        <v>6984</v>
      </c>
      <c r="HEH24" t="s">
        <v>6984</v>
      </c>
      <c r="HEI24" t="s">
        <v>6984</v>
      </c>
      <c r="HEJ24" t="s">
        <v>6984</v>
      </c>
      <c r="HEK24" t="s">
        <v>6984</v>
      </c>
      <c r="HEL24" t="s">
        <v>6984</v>
      </c>
      <c r="HEM24" t="s">
        <v>6984</v>
      </c>
      <c r="HEN24" t="s">
        <v>6984</v>
      </c>
      <c r="HEO24" t="s">
        <v>6984</v>
      </c>
      <c r="HEP24" t="s">
        <v>6984</v>
      </c>
      <c r="HEQ24" t="s">
        <v>6984</v>
      </c>
      <c r="HER24" t="s">
        <v>6984</v>
      </c>
      <c r="HES24" t="s">
        <v>6984</v>
      </c>
      <c r="HET24" t="s">
        <v>6984</v>
      </c>
      <c r="HEU24" t="s">
        <v>6984</v>
      </c>
      <c r="HEV24" t="s">
        <v>6984</v>
      </c>
      <c r="HEW24" t="s">
        <v>6984</v>
      </c>
      <c r="HEX24" t="s">
        <v>6984</v>
      </c>
      <c r="HEY24" t="s">
        <v>6984</v>
      </c>
      <c r="HEZ24" t="s">
        <v>6984</v>
      </c>
      <c r="HFA24" t="s">
        <v>6984</v>
      </c>
      <c r="HFB24" t="s">
        <v>6984</v>
      </c>
      <c r="HFC24" t="s">
        <v>6984</v>
      </c>
      <c r="HFD24" t="s">
        <v>6984</v>
      </c>
      <c r="HFE24" t="s">
        <v>6984</v>
      </c>
      <c r="HFF24" t="s">
        <v>6984</v>
      </c>
      <c r="HFG24" t="s">
        <v>6984</v>
      </c>
      <c r="HFH24" t="s">
        <v>6984</v>
      </c>
      <c r="HFI24" t="s">
        <v>6984</v>
      </c>
      <c r="HFJ24" t="s">
        <v>6984</v>
      </c>
      <c r="HFK24" t="s">
        <v>6984</v>
      </c>
      <c r="HFL24" t="s">
        <v>6984</v>
      </c>
      <c r="HFM24" t="s">
        <v>6984</v>
      </c>
      <c r="HFN24" t="s">
        <v>6984</v>
      </c>
      <c r="HFO24" t="s">
        <v>6984</v>
      </c>
      <c r="HFP24" t="s">
        <v>6984</v>
      </c>
      <c r="HFQ24" t="s">
        <v>6984</v>
      </c>
      <c r="HFR24" t="s">
        <v>6984</v>
      </c>
      <c r="HFS24" t="s">
        <v>6984</v>
      </c>
      <c r="HFT24" t="s">
        <v>6984</v>
      </c>
      <c r="HFU24" t="s">
        <v>6984</v>
      </c>
      <c r="HFV24" t="s">
        <v>6984</v>
      </c>
      <c r="HFW24" t="s">
        <v>6984</v>
      </c>
      <c r="HFX24" t="s">
        <v>6984</v>
      </c>
      <c r="HFY24" t="s">
        <v>6984</v>
      </c>
      <c r="HFZ24" t="s">
        <v>6984</v>
      </c>
      <c r="HGA24" t="s">
        <v>6984</v>
      </c>
      <c r="HGB24" t="s">
        <v>6984</v>
      </c>
      <c r="HGC24" t="s">
        <v>6984</v>
      </c>
      <c r="HGD24" t="s">
        <v>6984</v>
      </c>
      <c r="HGE24" t="s">
        <v>6984</v>
      </c>
      <c r="HGF24" t="s">
        <v>6984</v>
      </c>
      <c r="HGG24" t="s">
        <v>6984</v>
      </c>
      <c r="HGH24" t="s">
        <v>6984</v>
      </c>
      <c r="HGI24" t="s">
        <v>6984</v>
      </c>
      <c r="HGJ24" t="s">
        <v>6984</v>
      </c>
      <c r="HGK24" t="s">
        <v>6984</v>
      </c>
      <c r="HGL24" t="s">
        <v>6984</v>
      </c>
      <c r="HGM24" t="s">
        <v>6984</v>
      </c>
      <c r="HGN24" t="s">
        <v>6984</v>
      </c>
      <c r="HGO24" t="s">
        <v>6984</v>
      </c>
      <c r="HGP24" t="s">
        <v>6984</v>
      </c>
      <c r="HGQ24" t="s">
        <v>6984</v>
      </c>
      <c r="HGR24" t="s">
        <v>6984</v>
      </c>
      <c r="HGS24" t="s">
        <v>6984</v>
      </c>
      <c r="HGT24" t="s">
        <v>6984</v>
      </c>
      <c r="HGU24" t="s">
        <v>6984</v>
      </c>
      <c r="HGV24" t="s">
        <v>6984</v>
      </c>
      <c r="HGW24" t="s">
        <v>6984</v>
      </c>
      <c r="HGX24" t="s">
        <v>6984</v>
      </c>
      <c r="HGY24" t="s">
        <v>6984</v>
      </c>
      <c r="HGZ24" t="s">
        <v>6984</v>
      </c>
      <c r="HHA24" t="s">
        <v>6984</v>
      </c>
      <c r="HHB24" t="s">
        <v>6984</v>
      </c>
      <c r="HHC24" t="s">
        <v>6984</v>
      </c>
      <c r="HHD24" t="s">
        <v>6984</v>
      </c>
      <c r="HHE24" t="s">
        <v>6984</v>
      </c>
      <c r="HHF24" t="s">
        <v>6984</v>
      </c>
      <c r="HHG24" t="s">
        <v>6984</v>
      </c>
      <c r="HHH24" t="s">
        <v>6984</v>
      </c>
      <c r="HHI24" t="s">
        <v>6984</v>
      </c>
      <c r="HHJ24" t="s">
        <v>6984</v>
      </c>
      <c r="HHK24" t="s">
        <v>6984</v>
      </c>
      <c r="HHL24" t="s">
        <v>6984</v>
      </c>
      <c r="HHM24" t="s">
        <v>6984</v>
      </c>
      <c r="HHN24" t="s">
        <v>6984</v>
      </c>
      <c r="HHO24" t="s">
        <v>6984</v>
      </c>
      <c r="HHP24" t="s">
        <v>6984</v>
      </c>
      <c r="HHQ24" t="s">
        <v>6984</v>
      </c>
      <c r="HHR24" t="s">
        <v>6984</v>
      </c>
      <c r="HHS24" t="s">
        <v>6984</v>
      </c>
      <c r="HHT24" t="s">
        <v>6984</v>
      </c>
      <c r="HHU24" t="s">
        <v>6984</v>
      </c>
      <c r="HHV24" t="s">
        <v>6984</v>
      </c>
      <c r="HHW24" t="s">
        <v>6984</v>
      </c>
      <c r="HHX24" t="s">
        <v>6984</v>
      </c>
      <c r="HHY24" t="s">
        <v>6984</v>
      </c>
      <c r="HHZ24" t="s">
        <v>6984</v>
      </c>
      <c r="HIA24" t="s">
        <v>6984</v>
      </c>
      <c r="HIB24" t="s">
        <v>6984</v>
      </c>
      <c r="HIC24" t="s">
        <v>6984</v>
      </c>
      <c r="HID24" t="s">
        <v>6984</v>
      </c>
      <c r="HIE24" t="s">
        <v>6984</v>
      </c>
      <c r="HIF24" t="s">
        <v>6984</v>
      </c>
      <c r="HIG24" t="s">
        <v>6984</v>
      </c>
      <c r="HIH24" t="s">
        <v>6984</v>
      </c>
      <c r="HII24" t="s">
        <v>6984</v>
      </c>
      <c r="HIJ24" t="s">
        <v>6984</v>
      </c>
      <c r="HIK24" t="s">
        <v>6984</v>
      </c>
      <c r="HIL24" t="s">
        <v>6984</v>
      </c>
      <c r="HIM24" t="s">
        <v>6984</v>
      </c>
      <c r="HIN24" t="s">
        <v>6984</v>
      </c>
      <c r="HIO24" t="s">
        <v>6984</v>
      </c>
      <c r="HIP24" t="s">
        <v>6984</v>
      </c>
      <c r="HIQ24" t="s">
        <v>6984</v>
      </c>
      <c r="HIR24" t="s">
        <v>6984</v>
      </c>
      <c r="HIS24" t="s">
        <v>6984</v>
      </c>
      <c r="HIT24" t="s">
        <v>6984</v>
      </c>
      <c r="HIU24" t="s">
        <v>6984</v>
      </c>
      <c r="HIV24" t="s">
        <v>6984</v>
      </c>
      <c r="HIW24" t="s">
        <v>6984</v>
      </c>
      <c r="HIX24" t="s">
        <v>6984</v>
      </c>
      <c r="HIY24" t="s">
        <v>6984</v>
      </c>
      <c r="HIZ24" t="s">
        <v>6984</v>
      </c>
      <c r="HJA24" t="s">
        <v>6984</v>
      </c>
      <c r="HJB24" t="s">
        <v>6984</v>
      </c>
      <c r="HJC24" t="s">
        <v>6984</v>
      </c>
      <c r="HJD24" t="s">
        <v>6984</v>
      </c>
      <c r="HJE24" t="s">
        <v>6984</v>
      </c>
      <c r="HJF24" t="s">
        <v>6984</v>
      </c>
      <c r="HJG24" t="s">
        <v>6984</v>
      </c>
      <c r="HJH24" t="s">
        <v>6984</v>
      </c>
      <c r="HJI24" t="s">
        <v>6984</v>
      </c>
      <c r="HJJ24" t="s">
        <v>6984</v>
      </c>
      <c r="HJK24" t="s">
        <v>6984</v>
      </c>
      <c r="HJL24" t="s">
        <v>6984</v>
      </c>
      <c r="HJM24" t="s">
        <v>6984</v>
      </c>
      <c r="HJN24" t="s">
        <v>6984</v>
      </c>
      <c r="HJO24" t="s">
        <v>6984</v>
      </c>
      <c r="HJP24" t="s">
        <v>6984</v>
      </c>
      <c r="HJQ24" t="s">
        <v>6984</v>
      </c>
      <c r="HJR24" t="s">
        <v>6984</v>
      </c>
      <c r="HJS24" t="s">
        <v>6984</v>
      </c>
      <c r="HJT24" t="s">
        <v>6984</v>
      </c>
      <c r="HJU24" t="s">
        <v>6984</v>
      </c>
      <c r="HJV24" t="s">
        <v>6984</v>
      </c>
      <c r="HJW24" t="s">
        <v>6984</v>
      </c>
      <c r="HJX24" t="s">
        <v>6984</v>
      </c>
      <c r="HJY24" t="s">
        <v>6984</v>
      </c>
      <c r="HJZ24" t="s">
        <v>6984</v>
      </c>
      <c r="HKA24" t="s">
        <v>6984</v>
      </c>
      <c r="HKB24" t="s">
        <v>6984</v>
      </c>
      <c r="HKC24" t="s">
        <v>6984</v>
      </c>
      <c r="HKD24" t="s">
        <v>6984</v>
      </c>
      <c r="HKE24" t="s">
        <v>6984</v>
      </c>
      <c r="HKF24" t="s">
        <v>6984</v>
      </c>
      <c r="HKG24" t="s">
        <v>6984</v>
      </c>
      <c r="HKH24" t="s">
        <v>6984</v>
      </c>
      <c r="HKI24" t="s">
        <v>6984</v>
      </c>
      <c r="HKJ24" t="s">
        <v>6984</v>
      </c>
      <c r="HKK24" t="s">
        <v>6984</v>
      </c>
      <c r="HKL24" t="s">
        <v>6984</v>
      </c>
      <c r="HKM24" t="s">
        <v>6984</v>
      </c>
      <c r="HKN24" t="s">
        <v>6984</v>
      </c>
      <c r="HKO24" t="s">
        <v>6984</v>
      </c>
      <c r="HKP24" t="s">
        <v>6984</v>
      </c>
      <c r="HKQ24" t="s">
        <v>6984</v>
      </c>
      <c r="HKR24" t="s">
        <v>6984</v>
      </c>
      <c r="HKS24" t="s">
        <v>6984</v>
      </c>
      <c r="HKT24" t="s">
        <v>6984</v>
      </c>
      <c r="HKU24" t="s">
        <v>6984</v>
      </c>
      <c r="HKV24" t="s">
        <v>6984</v>
      </c>
      <c r="HKW24" t="s">
        <v>6984</v>
      </c>
      <c r="HKX24" t="s">
        <v>6984</v>
      </c>
      <c r="HKY24" t="s">
        <v>6984</v>
      </c>
      <c r="HKZ24" t="s">
        <v>6984</v>
      </c>
      <c r="HLA24" t="s">
        <v>6984</v>
      </c>
      <c r="HLB24" t="s">
        <v>6984</v>
      </c>
      <c r="HLC24" t="s">
        <v>6984</v>
      </c>
      <c r="HLD24" t="s">
        <v>6984</v>
      </c>
      <c r="HLE24" t="s">
        <v>6984</v>
      </c>
      <c r="HLF24" t="s">
        <v>6984</v>
      </c>
      <c r="HLG24" t="s">
        <v>6984</v>
      </c>
      <c r="HLH24" t="s">
        <v>6984</v>
      </c>
      <c r="HLI24" t="s">
        <v>6984</v>
      </c>
      <c r="HLJ24" t="s">
        <v>6984</v>
      </c>
      <c r="HLK24" t="s">
        <v>6984</v>
      </c>
      <c r="HLL24" t="s">
        <v>6984</v>
      </c>
      <c r="HLM24" t="s">
        <v>6984</v>
      </c>
      <c r="HLN24" t="s">
        <v>6984</v>
      </c>
      <c r="HLO24" t="s">
        <v>6984</v>
      </c>
      <c r="HLP24" t="s">
        <v>6984</v>
      </c>
      <c r="HLQ24" t="s">
        <v>6984</v>
      </c>
      <c r="HLR24" t="s">
        <v>6984</v>
      </c>
      <c r="HLS24" t="s">
        <v>6984</v>
      </c>
      <c r="HLT24" t="s">
        <v>6984</v>
      </c>
      <c r="HLU24" t="s">
        <v>6984</v>
      </c>
      <c r="HLV24" t="s">
        <v>6984</v>
      </c>
      <c r="HLW24" t="s">
        <v>6984</v>
      </c>
      <c r="HLX24" t="s">
        <v>6984</v>
      </c>
      <c r="HLY24" t="s">
        <v>6984</v>
      </c>
      <c r="HLZ24" t="s">
        <v>6984</v>
      </c>
      <c r="HMA24" t="s">
        <v>6984</v>
      </c>
      <c r="HMB24" t="s">
        <v>6984</v>
      </c>
      <c r="HMC24" t="s">
        <v>6984</v>
      </c>
      <c r="HMD24" t="s">
        <v>6984</v>
      </c>
      <c r="HME24" t="s">
        <v>6984</v>
      </c>
      <c r="HMF24" t="s">
        <v>6984</v>
      </c>
      <c r="HMG24" t="s">
        <v>6984</v>
      </c>
      <c r="HMH24" t="s">
        <v>6984</v>
      </c>
      <c r="HMI24" t="s">
        <v>6984</v>
      </c>
      <c r="HMJ24" t="s">
        <v>6984</v>
      </c>
      <c r="HMK24" t="s">
        <v>6984</v>
      </c>
      <c r="HML24" t="s">
        <v>6984</v>
      </c>
      <c r="HMM24" t="s">
        <v>6984</v>
      </c>
      <c r="HMN24" t="s">
        <v>6984</v>
      </c>
      <c r="HMO24" t="s">
        <v>6984</v>
      </c>
      <c r="HMP24" t="s">
        <v>6984</v>
      </c>
      <c r="HMQ24" t="s">
        <v>6984</v>
      </c>
      <c r="HMR24" t="s">
        <v>6984</v>
      </c>
      <c r="HMS24" t="s">
        <v>6984</v>
      </c>
      <c r="HMT24" t="s">
        <v>6984</v>
      </c>
      <c r="HMU24" t="s">
        <v>6984</v>
      </c>
      <c r="HMV24" t="s">
        <v>6984</v>
      </c>
      <c r="HMW24" t="s">
        <v>6984</v>
      </c>
      <c r="HMX24" t="s">
        <v>6984</v>
      </c>
      <c r="HMY24" t="s">
        <v>6984</v>
      </c>
      <c r="HMZ24" t="s">
        <v>6984</v>
      </c>
      <c r="HNA24" t="s">
        <v>6984</v>
      </c>
      <c r="HNB24" t="s">
        <v>6984</v>
      </c>
      <c r="HNC24" t="s">
        <v>6984</v>
      </c>
      <c r="HND24" t="s">
        <v>6984</v>
      </c>
      <c r="HNE24" t="s">
        <v>6984</v>
      </c>
      <c r="HNF24" t="s">
        <v>6984</v>
      </c>
      <c r="HNG24" t="s">
        <v>6984</v>
      </c>
      <c r="HNH24" t="s">
        <v>6984</v>
      </c>
      <c r="HNI24" t="s">
        <v>6984</v>
      </c>
      <c r="HNJ24" t="s">
        <v>6984</v>
      </c>
      <c r="HNK24" t="s">
        <v>6984</v>
      </c>
      <c r="HNL24" t="s">
        <v>6984</v>
      </c>
      <c r="HNM24" t="s">
        <v>6984</v>
      </c>
      <c r="HNN24" t="s">
        <v>6984</v>
      </c>
      <c r="HNO24" t="s">
        <v>6984</v>
      </c>
      <c r="HNP24" t="s">
        <v>6984</v>
      </c>
      <c r="HNQ24" t="s">
        <v>6984</v>
      </c>
      <c r="HNR24" t="s">
        <v>6984</v>
      </c>
      <c r="HNS24" t="s">
        <v>6984</v>
      </c>
      <c r="HNT24" t="s">
        <v>6984</v>
      </c>
      <c r="HNU24" t="s">
        <v>6984</v>
      </c>
      <c r="HNV24" t="s">
        <v>6984</v>
      </c>
      <c r="HNW24" t="s">
        <v>6984</v>
      </c>
      <c r="HNX24" t="s">
        <v>6984</v>
      </c>
      <c r="HNY24" t="s">
        <v>6984</v>
      </c>
      <c r="HNZ24" t="s">
        <v>6984</v>
      </c>
      <c r="HOA24" t="s">
        <v>6984</v>
      </c>
      <c r="HOB24" t="s">
        <v>6984</v>
      </c>
      <c r="HOC24" t="s">
        <v>6984</v>
      </c>
      <c r="HOD24" t="s">
        <v>6984</v>
      </c>
      <c r="HOE24" t="s">
        <v>6984</v>
      </c>
      <c r="HOF24" t="s">
        <v>6984</v>
      </c>
      <c r="HOG24" t="s">
        <v>6984</v>
      </c>
      <c r="HOH24" t="s">
        <v>6984</v>
      </c>
      <c r="HOI24" t="s">
        <v>6984</v>
      </c>
      <c r="HOJ24" t="s">
        <v>6984</v>
      </c>
      <c r="HOK24" t="s">
        <v>6984</v>
      </c>
      <c r="HOL24" t="s">
        <v>6984</v>
      </c>
      <c r="HOM24" t="s">
        <v>6984</v>
      </c>
      <c r="HON24" t="s">
        <v>6984</v>
      </c>
      <c r="HOO24" t="s">
        <v>6984</v>
      </c>
      <c r="HOP24" t="s">
        <v>6984</v>
      </c>
      <c r="HOQ24" t="s">
        <v>6984</v>
      </c>
      <c r="HOR24" t="s">
        <v>6984</v>
      </c>
      <c r="HOS24" t="s">
        <v>6984</v>
      </c>
      <c r="HOT24" t="s">
        <v>6984</v>
      </c>
      <c r="HOU24" t="s">
        <v>6984</v>
      </c>
      <c r="HOV24" t="s">
        <v>6984</v>
      </c>
      <c r="HOW24" t="s">
        <v>6984</v>
      </c>
      <c r="HOX24" t="s">
        <v>6984</v>
      </c>
      <c r="HOY24" t="s">
        <v>6984</v>
      </c>
      <c r="HOZ24" t="s">
        <v>6984</v>
      </c>
      <c r="HPA24" t="s">
        <v>6984</v>
      </c>
      <c r="HPB24" t="s">
        <v>6984</v>
      </c>
      <c r="HPC24" t="s">
        <v>6984</v>
      </c>
      <c r="HPD24" t="s">
        <v>6984</v>
      </c>
      <c r="HPE24" t="s">
        <v>6984</v>
      </c>
      <c r="HPF24" t="s">
        <v>6984</v>
      </c>
      <c r="HPG24" t="s">
        <v>6984</v>
      </c>
      <c r="HPH24" t="s">
        <v>6984</v>
      </c>
      <c r="HPI24" t="s">
        <v>6984</v>
      </c>
      <c r="HPJ24" t="s">
        <v>6984</v>
      </c>
      <c r="HPK24" t="s">
        <v>6984</v>
      </c>
      <c r="HPL24" t="s">
        <v>6984</v>
      </c>
      <c r="HPM24" t="s">
        <v>6984</v>
      </c>
      <c r="HPN24" t="s">
        <v>6984</v>
      </c>
      <c r="HPO24" t="s">
        <v>6984</v>
      </c>
      <c r="HPP24" t="s">
        <v>6984</v>
      </c>
      <c r="HPQ24" t="s">
        <v>6984</v>
      </c>
      <c r="HPR24" t="s">
        <v>6984</v>
      </c>
      <c r="HPS24" t="s">
        <v>6984</v>
      </c>
      <c r="HPT24" t="s">
        <v>6984</v>
      </c>
      <c r="HPU24" t="s">
        <v>6984</v>
      </c>
      <c r="HPV24" t="s">
        <v>6984</v>
      </c>
      <c r="HPW24" t="s">
        <v>6984</v>
      </c>
      <c r="HPX24" t="s">
        <v>6984</v>
      </c>
      <c r="HPY24" t="s">
        <v>6984</v>
      </c>
      <c r="HPZ24" t="s">
        <v>6984</v>
      </c>
      <c r="HQA24" t="s">
        <v>6984</v>
      </c>
      <c r="HQB24" t="s">
        <v>6984</v>
      </c>
      <c r="HQC24" t="s">
        <v>6984</v>
      </c>
      <c r="HQD24" t="s">
        <v>6984</v>
      </c>
      <c r="HQE24" t="s">
        <v>6984</v>
      </c>
      <c r="HQF24" t="s">
        <v>6984</v>
      </c>
      <c r="HQG24" t="s">
        <v>6984</v>
      </c>
      <c r="HQH24" t="s">
        <v>6984</v>
      </c>
      <c r="HQI24" t="s">
        <v>6984</v>
      </c>
      <c r="HQJ24" t="s">
        <v>6984</v>
      </c>
      <c r="HQK24" t="s">
        <v>6984</v>
      </c>
      <c r="HQL24" t="s">
        <v>6984</v>
      </c>
      <c r="HQM24" t="s">
        <v>6984</v>
      </c>
      <c r="HQN24" t="s">
        <v>6984</v>
      </c>
      <c r="HQO24" t="s">
        <v>6984</v>
      </c>
      <c r="HQP24" t="s">
        <v>6984</v>
      </c>
      <c r="HQQ24" t="s">
        <v>6984</v>
      </c>
      <c r="HQR24" t="s">
        <v>6984</v>
      </c>
      <c r="HQS24" t="s">
        <v>6984</v>
      </c>
      <c r="HQT24" t="s">
        <v>6984</v>
      </c>
      <c r="HQU24" t="s">
        <v>6984</v>
      </c>
      <c r="HQV24" t="s">
        <v>6984</v>
      </c>
      <c r="HQW24" t="s">
        <v>6984</v>
      </c>
      <c r="HQX24" t="s">
        <v>6984</v>
      </c>
      <c r="HQY24" t="s">
        <v>6984</v>
      </c>
      <c r="HQZ24" t="s">
        <v>6984</v>
      </c>
      <c r="HRA24" t="s">
        <v>6984</v>
      </c>
      <c r="HRB24" t="s">
        <v>6984</v>
      </c>
      <c r="HRC24" t="s">
        <v>6984</v>
      </c>
      <c r="HRD24" t="s">
        <v>6984</v>
      </c>
      <c r="HRE24" t="s">
        <v>6984</v>
      </c>
      <c r="HRF24" t="s">
        <v>6984</v>
      </c>
      <c r="HRG24" t="s">
        <v>6984</v>
      </c>
      <c r="HRH24" t="s">
        <v>6984</v>
      </c>
      <c r="HRI24" t="s">
        <v>6984</v>
      </c>
      <c r="HRJ24" t="s">
        <v>6984</v>
      </c>
      <c r="HRK24" t="s">
        <v>6984</v>
      </c>
      <c r="HRL24" t="s">
        <v>6984</v>
      </c>
      <c r="HRM24" t="s">
        <v>6984</v>
      </c>
      <c r="HRN24" t="s">
        <v>6984</v>
      </c>
      <c r="HRO24" t="s">
        <v>6984</v>
      </c>
      <c r="HRP24" t="s">
        <v>6984</v>
      </c>
      <c r="HRQ24" t="s">
        <v>6984</v>
      </c>
      <c r="HRR24" t="s">
        <v>6984</v>
      </c>
      <c r="HRS24" t="s">
        <v>6984</v>
      </c>
      <c r="HRT24" t="s">
        <v>6984</v>
      </c>
      <c r="HRU24" t="s">
        <v>6984</v>
      </c>
      <c r="HRV24" t="s">
        <v>6984</v>
      </c>
      <c r="HRW24" t="s">
        <v>6984</v>
      </c>
      <c r="HRX24" t="s">
        <v>6984</v>
      </c>
      <c r="HRY24" t="s">
        <v>6984</v>
      </c>
      <c r="HRZ24" t="s">
        <v>6984</v>
      </c>
      <c r="HSA24" t="s">
        <v>6984</v>
      </c>
      <c r="HSB24" t="s">
        <v>6984</v>
      </c>
      <c r="HSC24" t="s">
        <v>6984</v>
      </c>
      <c r="HSD24" t="s">
        <v>6984</v>
      </c>
      <c r="HSE24" t="s">
        <v>6984</v>
      </c>
      <c r="HSF24" t="s">
        <v>6984</v>
      </c>
      <c r="HSG24" t="s">
        <v>6984</v>
      </c>
      <c r="HSH24" t="s">
        <v>6984</v>
      </c>
      <c r="HSI24" t="s">
        <v>6984</v>
      </c>
      <c r="HSJ24" t="s">
        <v>6984</v>
      </c>
      <c r="HSK24" t="s">
        <v>6984</v>
      </c>
      <c r="HSL24" t="s">
        <v>6984</v>
      </c>
      <c r="HSM24" t="s">
        <v>6984</v>
      </c>
      <c r="HSN24" t="s">
        <v>6984</v>
      </c>
      <c r="HSO24" t="s">
        <v>6984</v>
      </c>
      <c r="HSP24" t="s">
        <v>6984</v>
      </c>
      <c r="HSQ24" t="s">
        <v>6984</v>
      </c>
      <c r="HSR24" t="s">
        <v>6984</v>
      </c>
      <c r="HSS24" t="s">
        <v>6984</v>
      </c>
      <c r="HST24" t="s">
        <v>6984</v>
      </c>
      <c r="HSU24" t="s">
        <v>6984</v>
      </c>
      <c r="HSV24" t="s">
        <v>6984</v>
      </c>
      <c r="HSW24" t="s">
        <v>6984</v>
      </c>
      <c r="HSX24" t="s">
        <v>6984</v>
      </c>
      <c r="HSY24" t="s">
        <v>6984</v>
      </c>
      <c r="HSZ24" t="s">
        <v>6984</v>
      </c>
      <c r="HTA24" t="s">
        <v>6984</v>
      </c>
      <c r="HTB24" t="s">
        <v>6984</v>
      </c>
      <c r="HTC24" t="s">
        <v>6984</v>
      </c>
      <c r="HTD24" t="s">
        <v>6984</v>
      </c>
      <c r="HTE24" t="s">
        <v>6984</v>
      </c>
      <c r="HTF24" t="s">
        <v>6984</v>
      </c>
      <c r="HTG24" t="s">
        <v>6984</v>
      </c>
      <c r="HTH24" t="s">
        <v>6984</v>
      </c>
      <c r="HTI24" t="s">
        <v>6984</v>
      </c>
      <c r="HTJ24" t="s">
        <v>6984</v>
      </c>
      <c r="HTK24" t="s">
        <v>6984</v>
      </c>
      <c r="HTL24" t="s">
        <v>6984</v>
      </c>
      <c r="HTM24" t="s">
        <v>6984</v>
      </c>
      <c r="HTN24" t="s">
        <v>6984</v>
      </c>
      <c r="HTO24" t="s">
        <v>6984</v>
      </c>
      <c r="HTP24" t="s">
        <v>6984</v>
      </c>
      <c r="HTQ24" t="s">
        <v>6984</v>
      </c>
      <c r="HTR24" t="s">
        <v>6984</v>
      </c>
      <c r="HTS24" t="s">
        <v>6984</v>
      </c>
      <c r="HTT24" t="s">
        <v>6984</v>
      </c>
      <c r="HTU24" t="s">
        <v>6984</v>
      </c>
      <c r="HTV24" t="s">
        <v>6984</v>
      </c>
      <c r="HTW24" t="s">
        <v>6984</v>
      </c>
      <c r="HTX24" t="s">
        <v>6984</v>
      </c>
      <c r="HTY24" t="s">
        <v>6984</v>
      </c>
      <c r="HTZ24" t="s">
        <v>6984</v>
      </c>
      <c r="HUA24" t="s">
        <v>6984</v>
      </c>
      <c r="HUB24" t="s">
        <v>6984</v>
      </c>
      <c r="HUC24" t="s">
        <v>6984</v>
      </c>
      <c r="HUD24" t="s">
        <v>6984</v>
      </c>
      <c r="HUE24" t="s">
        <v>6984</v>
      </c>
      <c r="HUF24" t="s">
        <v>6984</v>
      </c>
      <c r="HUG24" t="s">
        <v>6984</v>
      </c>
      <c r="HUH24" t="s">
        <v>6984</v>
      </c>
      <c r="HUI24" t="s">
        <v>6984</v>
      </c>
      <c r="HUJ24" t="s">
        <v>6984</v>
      </c>
      <c r="HUK24" t="s">
        <v>6984</v>
      </c>
      <c r="HUL24" t="s">
        <v>6984</v>
      </c>
      <c r="HUM24" t="s">
        <v>6984</v>
      </c>
      <c r="HUN24" t="s">
        <v>6984</v>
      </c>
      <c r="HUO24" t="s">
        <v>6984</v>
      </c>
      <c r="HUP24" t="s">
        <v>6984</v>
      </c>
      <c r="HUQ24" t="s">
        <v>6984</v>
      </c>
      <c r="HUR24" t="s">
        <v>6984</v>
      </c>
      <c r="HUS24" t="s">
        <v>6984</v>
      </c>
      <c r="HUT24" t="s">
        <v>6984</v>
      </c>
      <c r="HUU24" t="s">
        <v>6984</v>
      </c>
      <c r="HUV24" t="s">
        <v>6984</v>
      </c>
      <c r="HUW24" t="s">
        <v>6984</v>
      </c>
      <c r="HUX24" t="s">
        <v>6984</v>
      </c>
      <c r="HUY24" t="s">
        <v>6984</v>
      </c>
      <c r="HUZ24" t="s">
        <v>6984</v>
      </c>
      <c r="HVA24" t="s">
        <v>6984</v>
      </c>
      <c r="HVB24" t="s">
        <v>6984</v>
      </c>
      <c r="HVC24" t="s">
        <v>6984</v>
      </c>
      <c r="HVD24" t="s">
        <v>6984</v>
      </c>
      <c r="HVE24" t="s">
        <v>6984</v>
      </c>
      <c r="HVF24" t="s">
        <v>6984</v>
      </c>
      <c r="HVG24" t="s">
        <v>6984</v>
      </c>
      <c r="HVH24" t="s">
        <v>6984</v>
      </c>
      <c r="HVI24" t="s">
        <v>6984</v>
      </c>
      <c r="HVJ24" t="s">
        <v>6984</v>
      </c>
      <c r="HVK24" t="s">
        <v>6984</v>
      </c>
      <c r="HVL24" t="s">
        <v>6984</v>
      </c>
      <c r="HVM24" t="s">
        <v>6984</v>
      </c>
      <c r="HVN24" t="s">
        <v>6984</v>
      </c>
      <c r="HVO24" t="s">
        <v>6984</v>
      </c>
      <c r="HVP24" t="s">
        <v>6984</v>
      </c>
      <c r="HVQ24" t="s">
        <v>6984</v>
      </c>
      <c r="HVR24" t="s">
        <v>6984</v>
      </c>
      <c r="HVS24" t="s">
        <v>6984</v>
      </c>
      <c r="HVT24" t="s">
        <v>6984</v>
      </c>
      <c r="HVU24" t="s">
        <v>6984</v>
      </c>
      <c r="HVV24" t="s">
        <v>6984</v>
      </c>
      <c r="HVW24" t="s">
        <v>6984</v>
      </c>
      <c r="HVX24" t="s">
        <v>6984</v>
      </c>
      <c r="HVY24" t="s">
        <v>6984</v>
      </c>
      <c r="HVZ24" t="s">
        <v>6984</v>
      </c>
      <c r="HWA24" t="s">
        <v>6984</v>
      </c>
      <c r="HWB24" t="s">
        <v>6984</v>
      </c>
      <c r="HWC24" t="s">
        <v>6984</v>
      </c>
      <c r="HWD24" t="s">
        <v>6984</v>
      </c>
      <c r="HWE24" t="s">
        <v>6984</v>
      </c>
      <c r="HWF24" t="s">
        <v>6984</v>
      </c>
      <c r="HWG24" t="s">
        <v>6984</v>
      </c>
      <c r="HWH24" t="s">
        <v>6984</v>
      </c>
      <c r="HWI24" t="s">
        <v>6984</v>
      </c>
      <c r="HWJ24" t="s">
        <v>6984</v>
      </c>
      <c r="HWK24" t="s">
        <v>6984</v>
      </c>
      <c r="HWL24" t="s">
        <v>6984</v>
      </c>
      <c r="HWM24" t="s">
        <v>6984</v>
      </c>
      <c r="HWN24" t="s">
        <v>6984</v>
      </c>
      <c r="HWO24" t="s">
        <v>6984</v>
      </c>
      <c r="HWP24" t="s">
        <v>6984</v>
      </c>
      <c r="HWQ24" t="s">
        <v>6984</v>
      </c>
      <c r="HWR24" t="s">
        <v>6984</v>
      </c>
      <c r="HWS24" t="s">
        <v>6984</v>
      </c>
      <c r="HWT24" t="s">
        <v>6984</v>
      </c>
      <c r="HWU24" t="s">
        <v>6984</v>
      </c>
      <c r="HWV24" t="s">
        <v>6984</v>
      </c>
      <c r="HWW24" t="s">
        <v>6984</v>
      </c>
      <c r="HWX24" t="s">
        <v>6984</v>
      </c>
      <c r="HWY24" t="s">
        <v>6984</v>
      </c>
      <c r="HWZ24" t="s">
        <v>6984</v>
      </c>
      <c r="HXA24" t="s">
        <v>6984</v>
      </c>
      <c r="HXB24" t="s">
        <v>6984</v>
      </c>
      <c r="HXC24" t="s">
        <v>6984</v>
      </c>
      <c r="HXD24" t="s">
        <v>6984</v>
      </c>
      <c r="HXE24" t="s">
        <v>6984</v>
      </c>
      <c r="HXF24" t="s">
        <v>6984</v>
      </c>
      <c r="HXG24" t="s">
        <v>6984</v>
      </c>
      <c r="HXH24" t="s">
        <v>6984</v>
      </c>
      <c r="HXI24" t="s">
        <v>6984</v>
      </c>
      <c r="HXJ24" t="s">
        <v>6984</v>
      </c>
      <c r="HXK24" t="s">
        <v>6984</v>
      </c>
      <c r="HXL24" t="s">
        <v>6984</v>
      </c>
      <c r="HXM24" t="s">
        <v>6984</v>
      </c>
      <c r="HXN24" t="s">
        <v>6984</v>
      </c>
      <c r="HXO24" t="s">
        <v>6984</v>
      </c>
      <c r="HXP24" t="s">
        <v>6984</v>
      </c>
      <c r="HXQ24" t="s">
        <v>6984</v>
      </c>
      <c r="HXR24" t="s">
        <v>6984</v>
      </c>
      <c r="HXS24" t="s">
        <v>6984</v>
      </c>
      <c r="HXT24" t="s">
        <v>6984</v>
      </c>
      <c r="HXU24" t="s">
        <v>6984</v>
      </c>
      <c r="HXV24" t="s">
        <v>6984</v>
      </c>
      <c r="HXW24" t="s">
        <v>6984</v>
      </c>
      <c r="HXX24" t="s">
        <v>6984</v>
      </c>
      <c r="HXY24" t="s">
        <v>6984</v>
      </c>
      <c r="HXZ24" t="s">
        <v>6984</v>
      </c>
      <c r="HYA24" t="s">
        <v>6984</v>
      </c>
      <c r="HYB24" t="s">
        <v>6984</v>
      </c>
      <c r="HYC24" t="s">
        <v>6984</v>
      </c>
      <c r="HYD24" t="s">
        <v>6984</v>
      </c>
      <c r="HYE24" t="s">
        <v>6984</v>
      </c>
      <c r="HYF24" t="s">
        <v>6984</v>
      </c>
      <c r="HYG24" t="s">
        <v>6984</v>
      </c>
      <c r="HYH24" t="s">
        <v>6984</v>
      </c>
      <c r="HYI24" t="s">
        <v>6984</v>
      </c>
      <c r="HYJ24" t="s">
        <v>6984</v>
      </c>
      <c r="HYK24" t="s">
        <v>6984</v>
      </c>
      <c r="HYL24" t="s">
        <v>6984</v>
      </c>
      <c r="HYM24" t="s">
        <v>6984</v>
      </c>
      <c r="HYN24" t="s">
        <v>6984</v>
      </c>
      <c r="HYO24" t="s">
        <v>6984</v>
      </c>
      <c r="HYP24" t="s">
        <v>6984</v>
      </c>
      <c r="HYQ24" t="s">
        <v>6984</v>
      </c>
      <c r="HYR24" t="s">
        <v>6984</v>
      </c>
      <c r="HYS24" t="s">
        <v>6984</v>
      </c>
      <c r="HYT24" t="s">
        <v>6984</v>
      </c>
      <c r="HYU24" t="s">
        <v>6984</v>
      </c>
      <c r="HYV24" t="s">
        <v>6984</v>
      </c>
      <c r="HYW24" t="s">
        <v>6984</v>
      </c>
      <c r="HYX24" t="s">
        <v>6984</v>
      </c>
      <c r="HYY24" t="s">
        <v>6984</v>
      </c>
      <c r="HYZ24" t="s">
        <v>6984</v>
      </c>
      <c r="HZA24" t="s">
        <v>6984</v>
      </c>
      <c r="HZB24" t="s">
        <v>6984</v>
      </c>
      <c r="HZC24" t="s">
        <v>6984</v>
      </c>
      <c r="HZD24" t="s">
        <v>6984</v>
      </c>
      <c r="HZE24" t="s">
        <v>6984</v>
      </c>
      <c r="HZF24" t="s">
        <v>6984</v>
      </c>
      <c r="HZG24" t="s">
        <v>6984</v>
      </c>
      <c r="HZH24" t="s">
        <v>6984</v>
      </c>
      <c r="HZI24" t="s">
        <v>6984</v>
      </c>
      <c r="HZJ24" t="s">
        <v>6984</v>
      </c>
      <c r="HZK24" t="s">
        <v>6984</v>
      </c>
      <c r="HZL24" t="s">
        <v>6984</v>
      </c>
      <c r="HZM24" t="s">
        <v>6984</v>
      </c>
      <c r="HZN24" t="s">
        <v>6984</v>
      </c>
      <c r="HZO24" t="s">
        <v>6984</v>
      </c>
      <c r="HZP24" t="s">
        <v>6984</v>
      </c>
      <c r="HZQ24" t="s">
        <v>6984</v>
      </c>
      <c r="HZR24" t="s">
        <v>6984</v>
      </c>
      <c r="HZS24" t="s">
        <v>6984</v>
      </c>
      <c r="HZT24" t="s">
        <v>6984</v>
      </c>
      <c r="HZU24" t="s">
        <v>6984</v>
      </c>
      <c r="HZV24" t="s">
        <v>6984</v>
      </c>
      <c r="HZW24" t="s">
        <v>6984</v>
      </c>
      <c r="HZX24" t="s">
        <v>6984</v>
      </c>
      <c r="HZY24" t="s">
        <v>6984</v>
      </c>
      <c r="HZZ24" t="s">
        <v>6984</v>
      </c>
      <c r="IAA24" t="s">
        <v>6984</v>
      </c>
      <c r="IAB24" t="s">
        <v>6984</v>
      </c>
      <c r="IAC24" t="s">
        <v>6984</v>
      </c>
      <c r="IAD24" t="s">
        <v>6984</v>
      </c>
      <c r="IAE24" t="s">
        <v>6984</v>
      </c>
      <c r="IAF24" t="s">
        <v>6984</v>
      </c>
      <c r="IAG24" t="s">
        <v>6984</v>
      </c>
      <c r="IAH24" t="s">
        <v>6984</v>
      </c>
      <c r="IAI24" t="s">
        <v>6984</v>
      </c>
      <c r="IAJ24" t="s">
        <v>6984</v>
      </c>
      <c r="IAK24" t="s">
        <v>6984</v>
      </c>
      <c r="IAL24" t="s">
        <v>6984</v>
      </c>
      <c r="IAM24" t="s">
        <v>6984</v>
      </c>
      <c r="IAN24" t="s">
        <v>6984</v>
      </c>
      <c r="IAO24" t="s">
        <v>6984</v>
      </c>
      <c r="IAP24" t="s">
        <v>6984</v>
      </c>
      <c r="IAQ24" t="s">
        <v>6984</v>
      </c>
      <c r="IAR24" t="s">
        <v>6984</v>
      </c>
      <c r="IAS24" t="s">
        <v>6984</v>
      </c>
      <c r="IAT24" t="s">
        <v>6984</v>
      </c>
      <c r="IAU24" t="s">
        <v>6984</v>
      </c>
      <c r="IAV24" t="s">
        <v>6984</v>
      </c>
      <c r="IAW24" t="s">
        <v>6984</v>
      </c>
      <c r="IAX24" t="s">
        <v>6984</v>
      </c>
      <c r="IAY24" t="s">
        <v>6984</v>
      </c>
      <c r="IAZ24" t="s">
        <v>6984</v>
      </c>
      <c r="IBA24" t="s">
        <v>6984</v>
      </c>
      <c r="IBB24" t="s">
        <v>6984</v>
      </c>
      <c r="IBC24" t="s">
        <v>6984</v>
      </c>
      <c r="IBD24" t="s">
        <v>6984</v>
      </c>
      <c r="IBE24" t="s">
        <v>6984</v>
      </c>
      <c r="IBF24" t="s">
        <v>6984</v>
      </c>
      <c r="IBG24" t="s">
        <v>6984</v>
      </c>
      <c r="IBH24" t="s">
        <v>6984</v>
      </c>
      <c r="IBI24" t="s">
        <v>6984</v>
      </c>
      <c r="IBJ24" t="s">
        <v>6984</v>
      </c>
      <c r="IBK24" t="s">
        <v>6984</v>
      </c>
      <c r="IBL24" t="s">
        <v>6984</v>
      </c>
      <c r="IBM24" t="s">
        <v>6984</v>
      </c>
      <c r="IBN24" t="s">
        <v>6984</v>
      </c>
      <c r="IBO24" t="s">
        <v>6984</v>
      </c>
      <c r="IBP24" t="s">
        <v>6984</v>
      </c>
      <c r="IBQ24" t="s">
        <v>6984</v>
      </c>
      <c r="IBR24" t="s">
        <v>6984</v>
      </c>
      <c r="IBS24" t="s">
        <v>6984</v>
      </c>
      <c r="IBT24" t="s">
        <v>6984</v>
      </c>
      <c r="IBU24" t="s">
        <v>6984</v>
      </c>
      <c r="IBV24" t="s">
        <v>6984</v>
      </c>
      <c r="IBW24" t="s">
        <v>6984</v>
      </c>
      <c r="IBX24" t="s">
        <v>6984</v>
      </c>
      <c r="IBY24" t="s">
        <v>6984</v>
      </c>
      <c r="IBZ24" t="s">
        <v>6984</v>
      </c>
      <c r="ICA24" t="s">
        <v>6984</v>
      </c>
      <c r="ICB24" t="s">
        <v>6984</v>
      </c>
      <c r="ICC24" t="s">
        <v>6984</v>
      </c>
      <c r="ICD24" t="s">
        <v>6984</v>
      </c>
      <c r="ICE24" t="s">
        <v>6984</v>
      </c>
      <c r="ICF24" t="s">
        <v>6984</v>
      </c>
      <c r="ICG24" t="s">
        <v>6984</v>
      </c>
      <c r="ICH24" t="s">
        <v>6984</v>
      </c>
      <c r="ICI24" t="s">
        <v>6984</v>
      </c>
      <c r="ICJ24" t="s">
        <v>6984</v>
      </c>
      <c r="ICK24" t="s">
        <v>6984</v>
      </c>
      <c r="ICL24" t="s">
        <v>6984</v>
      </c>
      <c r="ICM24" t="s">
        <v>6984</v>
      </c>
      <c r="ICN24" t="s">
        <v>6984</v>
      </c>
      <c r="ICO24" t="s">
        <v>6984</v>
      </c>
      <c r="ICP24" t="s">
        <v>6984</v>
      </c>
      <c r="ICQ24" t="s">
        <v>6984</v>
      </c>
      <c r="ICR24" t="s">
        <v>6984</v>
      </c>
      <c r="ICS24" t="s">
        <v>6984</v>
      </c>
      <c r="ICT24" t="s">
        <v>6984</v>
      </c>
      <c r="ICU24" t="s">
        <v>6984</v>
      </c>
      <c r="ICV24" t="s">
        <v>6984</v>
      </c>
      <c r="ICW24" t="s">
        <v>6984</v>
      </c>
      <c r="ICX24" t="s">
        <v>6984</v>
      </c>
      <c r="ICY24" t="s">
        <v>6984</v>
      </c>
      <c r="ICZ24" t="s">
        <v>6984</v>
      </c>
      <c r="IDA24" t="s">
        <v>6984</v>
      </c>
      <c r="IDB24" t="s">
        <v>6984</v>
      </c>
      <c r="IDC24" t="s">
        <v>6984</v>
      </c>
      <c r="IDD24" t="s">
        <v>6984</v>
      </c>
      <c r="IDE24" t="s">
        <v>6984</v>
      </c>
      <c r="IDF24" t="s">
        <v>6984</v>
      </c>
      <c r="IDG24" t="s">
        <v>6984</v>
      </c>
      <c r="IDH24" t="s">
        <v>6984</v>
      </c>
      <c r="IDI24" t="s">
        <v>6984</v>
      </c>
      <c r="IDJ24" t="s">
        <v>6984</v>
      </c>
      <c r="IDK24" t="s">
        <v>6984</v>
      </c>
      <c r="IDL24" t="s">
        <v>6984</v>
      </c>
      <c r="IDM24" t="s">
        <v>6984</v>
      </c>
      <c r="IDN24" t="s">
        <v>6984</v>
      </c>
      <c r="IDO24" t="s">
        <v>6984</v>
      </c>
      <c r="IDP24" t="s">
        <v>6984</v>
      </c>
      <c r="IDQ24" t="s">
        <v>6984</v>
      </c>
      <c r="IDR24" t="s">
        <v>6984</v>
      </c>
      <c r="IDS24" t="s">
        <v>6984</v>
      </c>
      <c r="IDT24" t="s">
        <v>6984</v>
      </c>
      <c r="IDU24" t="s">
        <v>6984</v>
      </c>
      <c r="IDV24" t="s">
        <v>6984</v>
      </c>
      <c r="IDW24" t="s">
        <v>6984</v>
      </c>
      <c r="IDX24" t="s">
        <v>6984</v>
      </c>
      <c r="IDY24" t="s">
        <v>6984</v>
      </c>
      <c r="IDZ24" t="s">
        <v>6984</v>
      </c>
      <c r="IEA24" t="s">
        <v>6984</v>
      </c>
      <c r="IEB24" t="s">
        <v>6984</v>
      </c>
      <c r="IEC24" t="s">
        <v>6984</v>
      </c>
      <c r="IED24" t="s">
        <v>6984</v>
      </c>
      <c r="IEE24" t="s">
        <v>6984</v>
      </c>
      <c r="IEF24" t="s">
        <v>6984</v>
      </c>
      <c r="IEG24" t="s">
        <v>6984</v>
      </c>
      <c r="IEH24" t="s">
        <v>6984</v>
      </c>
      <c r="IEI24" t="s">
        <v>6984</v>
      </c>
      <c r="IEJ24" t="s">
        <v>6984</v>
      </c>
      <c r="IEK24" t="s">
        <v>6984</v>
      </c>
      <c r="IEL24" t="s">
        <v>6984</v>
      </c>
      <c r="IEM24" t="s">
        <v>6984</v>
      </c>
      <c r="IEN24" t="s">
        <v>6984</v>
      </c>
      <c r="IEO24" t="s">
        <v>6984</v>
      </c>
      <c r="IEP24" t="s">
        <v>6984</v>
      </c>
      <c r="IEQ24" t="s">
        <v>6984</v>
      </c>
      <c r="IER24" t="s">
        <v>6984</v>
      </c>
      <c r="IES24" t="s">
        <v>6984</v>
      </c>
      <c r="IET24" t="s">
        <v>6984</v>
      </c>
      <c r="IEU24" t="s">
        <v>6984</v>
      </c>
      <c r="IEV24" t="s">
        <v>6984</v>
      </c>
      <c r="IEW24" t="s">
        <v>6984</v>
      </c>
      <c r="IEX24" t="s">
        <v>6984</v>
      </c>
      <c r="IEY24" t="s">
        <v>6984</v>
      </c>
      <c r="IEZ24" t="s">
        <v>6984</v>
      </c>
      <c r="IFA24" t="s">
        <v>6984</v>
      </c>
      <c r="IFB24" t="s">
        <v>6984</v>
      </c>
      <c r="IFC24" t="s">
        <v>6984</v>
      </c>
      <c r="IFD24" t="s">
        <v>6984</v>
      </c>
      <c r="IFE24" t="s">
        <v>6984</v>
      </c>
      <c r="IFF24" t="s">
        <v>6984</v>
      </c>
      <c r="IFG24" t="s">
        <v>6984</v>
      </c>
      <c r="IFH24" t="s">
        <v>6984</v>
      </c>
      <c r="IFI24" t="s">
        <v>6984</v>
      </c>
      <c r="IFJ24" t="s">
        <v>6984</v>
      </c>
      <c r="IFK24" t="s">
        <v>6984</v>
      </c>
      <c r="IFL24" t="s">
        <v>6984</v>
      </c>
      <c r="IFM24" t="s">
        <v>6984</v>
      </c>
      <c r="IFN24" t="s">
        <v>6984</v>
      </c>
      <c r="IFO24" t="s">
        <v>6984</v>
      </c>
      <c r="IFP24" t="s">
        <v>6984</v>
      </c>
      <c r="IFQ24" t="s">
        <v>6984</v>
      </c>
      <c r="IFR24" t="s">
        <v>6984</v>
      </c>
      <c r="IFS24" t="s">
        <v>6984</v>
      </c>
      <c r="IFT24" t="s">
        <v>6984</v>
      </c>
      <c r="IFU24" t="s">
        <v>6984</v>
      </c>
      <c r="IFV24" t="s">
        <v>6984</v>
      </c>
      <c r="IFW24" t="s">
        <v>6984</v>
      </c>
      <c r="IFX24" t="s">
        <v>6984</v>
      </c>
      <c r="IFY24" t="s">
        <v>6984</v>
      </c>
      <c r="IFZ24" t="s">
        <v>6984</v>
      </c>
      <c r="IGA24" t="s">
        <v>6984</v>
      </c>
      <c r="IGB24" t="s">
        <v>6984</v>
      </c>
      <c r="IGC24" t="s">
        <v>6984</v>
      </c>
      <c r="IGD24" t="s">
        <v>6984</v>
      </c>
      <c r="IGE24" t="s">
        <v>6984</v>
      </c>
      <c r="IGF24" t="s">
        <v>6984</v>
      </c>
      <c r="IGG24" t="s">
        <v>6984</v>
      </c>
      <c r="IGH24" t="s">
        <v>6984</v>
      </c>
      <c r="IGI24" t="s">
        <v>6984</v>
      </c>
      <c r="IGJ24" t="s">
        <v>6984</v>
      </c>
      <c r="IGK24" t="s">
        <v>6984</v>
      </c>
      <c r="IGL24" t="s">
        <v>6984</v>
      </c>
      <c r="IGM24" t="s">
        <v>6984</v>
      </c>
      <c r="IGN24" t="s">
        <v>6984</v>
      </c>
      <c r="IGO24" t="s">
        <v>6984</v>
      </c>
      <c r="IGP24" t="s">
        <v>6984</v>
      </c>
      <c r="IGQ24" t="s">
        <v>6984</v>
      </c>
      <c r="IGR24" t="s">
        <v>6984</v>
      </c>
      <c r="IGS24" t="s">
        <v>6984</v>
      </c>
      <c r="IGT24" t="s">
        <v>6984</v>
      </c>
      <c r="IGU24" t="s">
        <v>6984</v>
      </c>
      <c r="IGV24" t="s">
        <v>6984</v>
      </c>
      <c r="IGW24" t="s">
        <v>6984</v>
      </c>
      <c r="IGX24" t="s">
        <v>6984</v>
      </c>
      <c r="IGY24" t="s">
        <v>6984</v>
      </c>
      <c r="IGZ24" t="s">
        <v>6984</v>
      </c>
      <c r="IHA24" t="s">
        <v>6984</v>
      </c>
      <c r="IHB24" t="s">
        <v>6984</v>
      </c>
      <c r="IHC24" t="s">
        <v>6984</v>
      </c>
      <c r="IHD24" t="s">
        <v>6984</v>
      </c>
      <c r="IHE24" t="s">
        <v>6984</v>
      </c>
      <c r="IHF24" t="s">
        <v>6984</v>
      </c>
      <c r="IHG24" t="s">
        <v>6984</v>
      </c>
      <c r="IHH24" t="s">
        <v>6984</v>
      </c>
      <c r="IHI24" t="s">
        <v>6984</v>
      </c>
      <c r="IHJ24" t="s">
        <v>6984</v>
      </c>
      <c r="IHK24" t="s">
        <v>6984</v>
      </c>
      <c r="IHL24" t="s">
        <v>6984</v>
      </c>
      <c r="IHM24" t="s">
        <v>6984</v>
      </c>
      <c r="IHN24" t="s">
        <v>6984</v>
      </c>
      <c r="IHO24" t="s">
        <v>6984</v>
      </c>
      <c r="IHP24" t="s">
        <v>6984</v>
      </c>
      <c r="IHQ24" t="s">
        <v>6984</v>
      </c>
      <c r="IHR24" t="s">
        <v>6984</v>
      </c>
      <c r="IHS24" t="s">
        <v>6984</v>
      </c>
      <c r="IHT24" t="s">
        <v>6984</v>
      </c>
      <c r="IHU24" t="s">
        <v>6984</v>
      </c>
      <c r="IHV24" t="s">
        <v>6984</v>
      </c>
      <c r="IHW24" t="s">
        <v>6984</v>
      </c>
      <c r="IHX24" t="s">
        <v>6984</v>
      </c>
      <c r="IHY24" t="s">
        <v>6984</v>
      </c>
      <c r="IHZ24" t="s">
        <v>6984</v>
      </c>
      <c r="IIA24" t="s">
        <v>6984</v>
      </c>
      <c r="IIB24" t="s">
        <v>6984</v>
      </c>
      <c r="IIC24" t="s">
        <v>6984</v>
      </c>
      <c r="IID24" t="s">
        <v>6984</v>
      </c>
      <c r="IIE24" t="s">
        <v>6984</v>
      </c>
      <c r="IIF24" t="s">
        <v>6984</v>
      </c>
      <c r="IIG24" t="s">
        <v>6984</v>
      </c>
      <c r="IIH24" t="s">
        <v>6984</v>
      </c>
      <c r="III24" t="s">
        <v>6984</v>
      </c>
      <c r="IIJ24" t="s">
        <v>6984</v>
      </c>
      <c r="IIK24" t="s">
        <v>6984</v>
      </c>
      <c r="IIL24" t="s">
        <v>6984</v>
      </c>
      <c r="IIM24" t="s">
        <v>6984</v>
      </c>
      <c r="IIN24" t="s">
        <v>6984</v>
      </c>
      <c r="IIO24" t="s">
        <v>6984</v>
      </c>
      <c r="IIP24" t="s">
        <v>6984</v>
      </c>
      <c r="IIQ24" t="s">
        <v>6984</v>
      </c>
      <c r="IIR24" t="s">
        <v>6984</v>
      </c>
      <c r="IIS24" t="s">
        <v>6984</v>
      </c>
      <c r="IIT24" t="s">
        <v>6984</v>
      </c>
      <c r="IIU24" t="s">
        <v>6984</v>
      </c>
      <c r="IIV24" t="s">
        <v>6984</v>
      </c>
      <c r="IIW24" t="s">
        <v>6984</v>
      </c>
      <c r="IIX24" t="s">
        <v>6984</v>
      </c>
      <c r="IIY24" t="s">
        <v>6984</v>
      </c>
      <c r="IIZ24" t="s">
        <v>6984</v>
      </c>
      <c r="IJA24" t="s">
        <v>6984</v>
      </c>
      <c r="IJB24" t="s">
        <v>6984</v>
      </c>
      <c r="IJC24" t="s">
        <v>6984</v>
      </c>
      <c r="IJD24" t="s">
        <v>6984</v>
      </c>
      <c r="IJE24" t="s">
        <v>6984</v>
      </c>
      <c r="IJF24" t="s">
        <v>6984</v>
      </c>
      <c r="IJG24" t="s">
        <v>6984</v>
      </c>
      <c r="IJH24" t="s">
        <v>6984</v>
      </c>
      <c r="IJI24" t="s">
        <v>6984</v>
      </c>
      <c r="IJJ24" t="s">
        <v>6984</v>
      </c>
      <c r="IJK24" t="s">
        <v>6984</v>
      </c>
      <c r="IJL24" t="s">
        <v>6984</v>
      </c>
      <c r="IJM24" t="s">
        <v>6984</v>
      </c>
      <c r="IJN24" t="s">
        <v>6984</v>
      </c>
      <c r="IJO24" t="s">
        <v>6984</v>
      </c>
      <c r="IJP24" t="s">
        <v>6984</v>
      </c>
      <c r="IJQ24" t="s">
        <v>6984</v>
      </c>
      <c r="IJR24" t="s">
        <v>6984</v>
      </c>
      <c r="IJS24" t="s">
        <v>6984</v>
      </c>
      <c r="IJT24" t="s">
        <v>6984</v>
      </c>
      <c r="IJU24" t="s">
        <v>6984</v>
      </c>
      <c r="IJV24" t="s">
        <v>6984</v>
      </c>
      <c r="IJW24" t="s">
        <v>6984</v>
      </c>
      <c r="IJX24" t="s">
        <v>6984</v>
      </c>
      <c r="IJY24" t="s">
        <v>6984</v>
      </c>
      <c r="IJZ24" t="s">
        <v>6984</v>
      </c>
      <c r="IKA24" t="s">
        <v>6984</v>
      </c>
      <c r="IKB24" t="s">
        <v>6984</v>
      </c>
      <c r="IKC24" t="s">
        <v>6984</v>
      </c>
      <c r="IKD24" t="s">
        <v>6984</v>
      </c>
      <c r="IKE24" t="s">
        <v>6984</v>
      </c>
      <c r="IKF24" t="s">
        <v>6984</v>
      </c>
      <c r="IKG24" t="s">
        <v>6984</v>
      </c>
      <c r="IKH24" t="s">
        <v>6984</v>
      </c>
      <c r="IKI24" t="s">
        <v>6984</v>
      </c>
      <c r="IKJ24" t="s">
        <v>6984</v>
      </c>
      <c r="IKK24" t="s">
        <v>6984</v>
      </c>
      <c r="IKL24" t="s">
        <v>6984</v>
      </c>
      <c r="IKM24" t="s">
        <v>6984</v>
      </c>
      <c r="IKN24" t="s">
        <v>6984</v>
      </c>
      <c r="IKO24" t="s">
        <v>6984</v>
      </c>
      <c r="IKP24" t="s">
        <v>6984</v>
      </c>
      <c r="IKQ24" t="s">
        <v>6984</v>
      </c>
      <c r="IKR24" t="s">
        <v>6984</v>
      </c>
      <c r="IKS24" t="s">
        <v>6984</v>
      </c>
      <c r="IKT24" t="s">
        <v>6984</v>
      </c>
      <c r="IKU24" t="s">
        <v>6984</v>
      </c>
      <c r="IKV24" t="s">
        <v>6984</v>
      </c>
      <c r="IKW24" t="s">
        <v>6984</v>
      </c>
      <c r="IKX24" t="s">
        <v>6984</v>
      </c>
      <c r="IKY24" t="s">
        <v>6984</v>
      </c>
      <c r="IKZ24" t="s">
        <v>6984</v>
      </c>
      <c r="ILA24" t="s">
        <v>6984</v>
      </c>
      <c r="ILB24" t="s">
        <v>6984</v>
      </c>
      <c r="ILC24" t="s">
        <v>6984</v>
      </c>
      <c r="ILD24" t="s">
        <v>6984</v>
      </c>
      <c r="ILE24" t="s">
        <v>6984</v>
      </c>
      <c r="ILF24" t="s">
        <v>6984</v>
      </c>
      <c r="ILG24" t="s">
        <v>6984</v>
      </c>
      <c r="ILH24" t="s">
        <v>6984</v>
      </c>
      <c r="ILI24" t="s">
        <v>6984</v>
      </c>
      <c r="ILJ24" t="s">
        <v>6984</v>
      </c>
      <c r="ILK24" t="s">
        <v>6984</v>
      </c>
      <c r="ILL24" t="s">
        <v>6984</v>
      </c>
      <c r="ILM24" t="s">
        <v>6984</v>
      </c>
      <c r="ILN24" t="s">
        <v>6984</v>
      </c>
      <c r="ILO24" t="s">
        <v>6984</v>
      </c>
      <c r="ILP24" t="s">
        <v>6984</v>
      </c>
      <c r="ILQ24" t="s">
        <v>6984</v>
      </c>
      <c r="ILR24" t="s">
        <v>6984</v>
      </c>
      <c r="ILS24" t="s">
        <v>6984</v>
      </c>
      <c r="ILT24" t="s">
        <v>6984</v>
      </c>
      <c r="ILU24" t="s">
        <v>6984</v>
      </c>
      <c r="ILV24" t="s">
        <v>6984</v>
      </c>
      <c r="ILW24" t="s">
        <v>6984</v>
      </c>
      <c r="ILX24" t="s">
        <v>6984</v>
      </c>
      <c r="ILY24" t="s">
        <v>6984</v>
      </c>
      <c r="ILZ24" t="s">
        <v>6984</v>
      </c>
      <c r="IMA24" t="s">
        <v>6984</v>
      </c>
      <c r="IMB24" t="s">
        <v>6984</v>
      </c>
      <c r="IMC24" t="s">
        <v>6984</v>
      </c>
      <c r="IMD24" t="s">
        <v>6984</v>
      </c>
      <c r="IME24" t="s">
        <v>6984</v>
      </c>
      <c r="IMF24" t="s">
        <v>6984</v>
      </c>
      <c r="IMG24" t="s">
        <v>6984</v>
      </c>
      <c r="IMH24" t="s">
        <v>6984</v>
      </c>
      <c r="IMI24" t="s">
        <v>6984</v>
      </c>
      <c r="IMJ24" t="s">
        <v>6984</v>
      </c>
      <c r="IMK24" t="s">
        <v>6984</v>
      </c>
      <c r="IML24" t="s">
        <v>6984</v>
      </c>
      <c r="IMM24" t="s">
        <v>6984</v>
      </c>
      <c r="IMN24" t="s">
        <v>6984</v>
      </c>
      <c r="IMO24" t="s">
        <v>6984</v>
      </c>
      <c r="IMP24" t="s">
        <v>6984</v>
      </c>
      <c r="IMQ24" t="s">
        <v>6984</v>
      </c>
      <c r="IMR24" t="s">
        <v>6984</v>
      </c>
      <c r="IMS24" t="s">
        <v>6984</v>
      </c>
      <c r="IMT24" t="s">
        <v>6984</v>
      </c>
      <c r="IMU24" t="s">
        <v>6984</v>
      </c>
      <c r="IMV24" t="s">
        <v>6984</v>
      </c>
      <c r="IMW24" t="s">
        <v>6984</v>
      </c>
      <c r="IMX24" t="s">
        <v>6984</v>
      </c>
      <c r="IMY24" t="s">
        <v>6984</v>
      </c>
      <c r="IMZ24" t="s">
        <v>6984</v>
      </c>
      <c r="INA24" t="s">
        <v>6984</v>
      </c>
      <c r="INB24" t="s">
        <v>6984</v>
      </c>
      <c r="INC24" t="s">
        <v>6984</v>
      </c>
      <c r="IND24" t="s">
        <v>6984</v>
      </c>
      <c r="INE24" t="s">
        <v>6984</v>
      </c>
      <c r="INF24" t="s">
        <v>6984</v>
      </c>
      <c r="ING24" t="s">
        <v>6984</v>
      </c>
      <c r="INH24" t="s">
        <v>6984</v>
      </c>
      <c r="INI24" t="s">
        <v>6984</v>
      </c>
      <c r="INJ24" t="s">
        <v>6984</v>
      </c>
      <c r="INK24" t="s">
        <v>6984</v>
      </c>
      <c r="INL24" t="s">
        <v>6984</v>
      </c>
      <c r="INM24" t="s">
        <v>6984</v>
      </c>
      <c r="INN24" t="s">
        <v>6984</v>
      </c>
      <c r="INO24" t="s">
        <v>6984</v>
      </c>
      <c r="INP24" t="s">
        <v>6984</v>
      </c>
      <c r="INQ24" t="s">
        <v>6984</v>
      </c>
      <c r="INR24" t="s">
        <v>6984</v>
      </c>
      <c r="INS24" t="s">
        <v>6984</v>
      </c>
      <c r="INT24" t="s">
        <v>6984</v>
      </c>
      <c r="INU24" t="s">
        <v>6984</v>
      </c>
      <c r="INV24" t="s">
        <v>6984</v>
      </c>
      <c r="INW24" t="s">
        <v>6984</v>
      </c>
      <c r="INX24" t="s">
        <v>6984</v>
      </c>
      <c r="INY24" t="s">
        <v>6984</v>
      </c>
      <c r="INZ24" t="s">
        <v>6984</v>
      </c>
      <c r="IOA24" t="s">
        <v>6984</v>
      </c>
      <c r="IOB24" t="s">
        <v>6984</v>
      </c>
      <c r="IOC24" t="s">
        <v>6984</v>
      </c>
      <c r="IOD24" t="s">
        <v>6984</v>
      </c>
      <c r="IOE24" t="s">
        <v>6984</v>
      </c>
      <c r="IOF24" t="s">
        <v>6984</v>
      </c>
      <c r="IOG24" t="s">
        <v>6984</v>
      </c>
      <c r="IOH24" t="s">
        <v>6984</v>
      </c>
      <c r="IOI24" t="s">
        <v>6984</v>
      </c>
      <c r="IOJ24" t="s">
        <v>6984</v>
      </c>
      <c r="IOK24" t="s">
        <v>6984</v>
      </c>
      <c r="IOL24" t="s">
        <v>6984</v>
      </c>
      <c r="IOM24" t="s">
        <v>6984</v>
      </c>
      <c r="ION24" t="s">
        <v>6984</v>
      </c>
      <c r="IOO24" t="s">
        <v>6984</v>
      </c>
      <c r="IOP24" t="s">
        <v>6984</v>
      </c>
      <c r="IOQ24" t="s">
        <v>6984</v>
      </c>
      <c r="IOR24" t="s">
        <v>6984</v>
      </c>
      <c r="IOS24" t="s">
        <v>6984</v>
      </c>
      <c r="IOT24" t="s">
        <v>6984</v>
      </c>
      <c r="IOU24" t="s">
        <v>6984</v>
      </c>
      <c r="IOV24" t="s">
        <v>6984</v>
      </c>
      <c r="IOW24" t="s">
        <v>6984</v>
      </c>
      <c r="IOX24" t="s">
        <v>6984</v>
      </c>
      <c r="IOY24" t="s">
        <v>6984</v>
      </c>
      <c r="IOZ24" t="s">
        <v>6984</v>
      </c>
      <c r="IPA24" t="s">
        <v>6984</v>
      </c>
      <c r="IPB24" t="s">
        <v>6984</v>
      </c>
      <c r="IPC24" t="s">
        <v>6984</v>
      </c>
      <c r="IPD24" t="s">
        <v>6984</v>
      </c>
      <c r="IPE24" t="s">
        <v>6984</v>
      </c>
      <c r="IPF24" t="s">
        <v>6984</v>
      </c>
      <c r="IPG24" t="s">
        <v>6984</v>
      </c>
      <c r="IPH24" t="s">
        <v>6984</v>
      </c>
      <c r="IPI24" t="s">
        <v>6984</v>
      </c>
      <c r="IPJ24" t="s">
        <v>6984</v>
      </c>
      <c r="IPK24" t="s">
        <v>6984</v>
      </c>
      <c r="IPL24" t="s">
        <v>6984</v>
      </c>
      <c r="IPM24" t="s">
        <v>6984</v>
      </c>
      <c r="IPN24" t="s">
        <v>6984</v>
      </c>
      <c r="IPO24" t="s">
        <v>6984</v>
      </c>
      <c r="IPP24" t="s">
        <v>6984</v>
      </c>
      <c r="IPQ24" t="s">
        <v>6984</v>
      </c>
      <c r="IPR24" t="s">
        <v>6984</v>
      </c>
      <c r="IPS24" t="s">
        <v>6984</v>
      </c>
      <c r="IPT24" t="s">
        <v>6984</v>
      </c>
      <c r="IPU24" t="s">
        <v>6984</v>
      </c>
      <c r="IPV24" t="s">
        <v>6984</v>
      </c>
      <c r="IPW24" t="s">
        <v>6984</v>
      </c>
      <c r="IPX24" t="s">
        <v>6984</v>
      </c>
      <c r="IPY24" t="s">
        <v>6984</v>
      </c>
      <c r="IPZ24" t="s">
        <v>6984</v>
      </c>
      <c r="IQA24" t="s">
        <v>6984</v>
      </c>
      <c r="IQB24" t="s">
        <v>6984</v>
      </c>
      <c r="IQC24" t="s">
        <v>6984</v>
      </c>
      <c r="IQD24" t="s">
        <v>6984</v>
      </c>
      <c r="IQE24" t="s">
        <v>6984</v>
      </c>
      <c r="IQF24" t="s">
        <v>6984</v>
      </c>
      <c r="IQG24" t="s">
        <v>6984</v>
      </c>
      <c r="IQH24" t="s">
        <v>6984</v>
      </c>
      <c r="IQI24" t="s">
        <v>6984</v>
      </c>
      <c r="IQJ24" t="s">
        <v>6984</v>
      </c>
      <c r="IQK24" t="s">
        <v>6984</v>
      </c>
      <c r="IQL24" t="s">
        <v>6984</v>
      </c>
      <c r="IQM24" t="s">
        <v>6984</v>
      </c>
      <c r="IQN24" t="s">
        <v>6984</v>
      </c>
      <c r="IQO24" t="s">
        <v>6984</v>
      </c>
      <c r="IQP24" t="s">
        <v>6984</v>
      </c>
      <c r="IQQ24" t="s">
        <v>6984</v>
      </c>
      <c r="IQR24" t="s">
        <v>6984</v>
      </c>
      <c r="IQS24" t="s">
        <v>6984</v>
      </c>
      <c r="IQT24" t="s">
        <v>6984</v>
      </c>
      <c r="IQU24" t="s">
        <v>6984</v>
      </c>
      <c r="IQV24" t="s">
        <v>6984</v>
      </c>
      <c r="IQW24" t="s">
        <v>6984</v>
      </c>
      <c r="IQX24" t="s">
        <v>6984</v>
      </c>
      <c r="IQY24" t="s">
        <v>6984</v>
      </c>
      <c r="IQZ24" t="s">
        <v>6984</v>
      </c>
      <c r="IRA24" t="s">
        <v>6984</v>
      </c>
      <c r="IRB24" t="s">
        <v>6984</v>
      </c>
      <c r="IRC24" t="s">
        <v>6984</v>
      </c>
      <c r="IRD24" t="s">
        <v>6984</v>
      </c>
      <c r="IRE24" t="s">
        <v>6984</v>
      </c>
      <c r="IRF24" t="s">
        <v>6984</v>
      </c>
      <c r="IRG24" t="s">
        <v>6984</v>
      </c>
      <c r="IRH24" t="s">
        <v>6984</v>
      </c>
      <c r="IRI24" t="s">
        <v>6984</v>
      </c>
      <c r="IRJ24" t="s">
        <v>6984</v>
      </c>
      <c r="IRK24" t="s">
        <v>6984</v>
      </c>
      <c r="IRL24" t="s">
        <v>6984</v>
      </c>
      <c r="IRM24" t="s">
        <v>6984</v>
      </c>
      <c r="IRN24" t="s">
        <v>6984</v>
      </c>
      <c r="IRO24" t="s">
        <v>6984</v>
      </c>
      <c r="IRP24" t="s">
        <v>6984</v>
      </c>
      <c r="IRQ24" t="s">
        <v>6984</v>
      </c>
      <c r="IRR24" t="s">
        <v>6984</v>
      </c>
      <c r="IRS24" t="s">
        <v>6984</v>
      </c>
      <c r="IRT24" t="s">
        <v>6984</v>
      </c>
      <c r="IRU24" t="s">
        <v>6984</v>
      </c>
      <c r="IRV24" t="s">
        <v>6984</v>
      </c>
      <c r="IRW24" t="s">
        <v>6984</v>
      </c>
      <c r="IRX24" t="s">
        <v>6984</v>
      </c>
      <c r="IRY24" t="s">
        <v>6984</v>
      </c>
      <c r="IRZ24" t="s">
        <v>6984</v>
      </c>
      <c r="ISA24" t="s">
        <v>6984</v>
      </c>
      <c r="ISB24" t="s">
        <v>6984</v>
      </c>
      <c r="ISC24" t="s">
        <v>6984</v>
      </c>
      <c r="ISD24" t="s">
        <v>6984</v>
      </c>
      <c r="ISE24" t="s">
        <v>6984</v>
      </c>
      <c r="ISF24" t="s">
        <v>6984</v>
      </c>
      <c r="ISG24" t="s">
        <v>6984</v>
      </c>
      <c r="ISH24" t="s">
        <v>6984</v>
      </c>
      <c r="ISI24" t="s">
        <v>6984</v>
      </c>
      <c r="ISJ24" t="s">
        <v>6984</v>
      </c>
      <c r="ISK24" t="s">
        <v>6984</v>
      </c>
      <c r="ISL24" t="s">
        <v>6984</v>
      </c>
      <c r="ISM24" t="s">
        <v>6984</v>
      </c>
      <c r="ISN24" t="s">
        <v>6984</v>
      </c>
      <c r="ISO24" t="s">
        <v>6984</v>
      </c>
      <c r="ISP24" t="s">
        <v>6984</v>
      </c>
      <c r="ISQ24" t="s">
        <v>6984</v>
      </c>
      <c r="ISR24" t="s">
        <v>6984</v>
      </c>
      <c r="ISS24" t="s">
        <v>6984</v>
      </c>
      <c r="IST24" t="s">
        <v>6984</v>
      </c>
      <c r="ISU24" t="s">
        <v>6984</v>
      </c>
      <c r="ISV24" t="s">
        <v>6984</v>
      </c>
      <c r="ISW24" t="s">
        <v>6984</v>
      </c>
      <c r="ISX24" t="s">
        <v>6984</v>
      </c>
      <c r="ISY24" t="s">
        <v>6984</v>
      </c>
      <c r="ISZ24" t="s">
        <v>6984</v>
      </c>
      <c r="ITA24" t="s">
        <v>6984</v>
      </c>
      <c r="ITB24" t="s">
        <v>6984</v>
      </c>
      <c r="ITC24" t="s">
        <v>6984</v>
      </c>
      <c r="ITD24" t="s">
        <v>6984</v>
      </c>
      <c r="ITE24" t="s">
        <v>6984</v>
      </c>
      <c r="ITF24" t="s">
        <v>6984</v>
      </c>
      <c r="ITG24" t="s">
        <v>6984</v>
      </c>
      <c r="ITH24" t="s">
        <v>6984</v>
      </c>
      <c r="ITI24" t="s">
        <v>6984</v>
      </c>
      <c r="ITJ24" t="s">
        <v>6984</v>
      </c>
      <c r="ITK24" t="s">
        <v>6984</v>
      </c>
      <c r="ITL24" t="s">
        <v>6984</v>
      </c>
      <c r="ITM24" t="s">
        <v>6984</v>
      </c>
      <c r="ITN24" t="s">
        <v>6984</v>
      </c>
      <c r="ITO24" t="s">
        <v>6984</v>
      </c>
      <c r="ITP24" t="s">
        <v>6984</v>
      </c>
      <c r="ITQ24" t="s">
        <v>6984</v>
      </c>
      <c r="ITR24" t="s">
        <v>6984</v>
      </c>
      <c r="ITS24" t="s">
        <v>6984</v>
      </c>
      <c r="ITT24" t="s">
        <v>6984</v>
      </c>
      <c r="ITU24" t="s">
        <v>6984</v>
      </c>
      <c r="ITV24" t="s">
        <v>6984</v>
      </c>
      <c r="ITW24" t="s">
        <v>6984</v>
      </c>
      <c r="ITX24" t="s">
        <v>6984</v>
      </c>
      <c r="ITY24" t="s">
        <v>6984</v>
      </c>
      <c r="ITZ24" t="s">
        <v>6984</v>
      </c>
      <c r="IUA24" t="s">
        <v>6984</v>
      </c>
      <c r="IUB24" t="s">
        <v>6984</v>
      </c>
      <c r="IUC24" t="s">
        <v>6984</v>
      </c>
      <c r="IUD24" t="s">
        <v>6984</v>
      </c>
      <c r="IUE24" t="s">
        <v>6984</v>
      </c>
      <c r="IUF24" t="s">
        <v>6984</v>
      </c>
      <c r="IUG24" t="s">
        <v>6984</v>
      </c>
      <c r="IUH24" t="s">
        <v>6984</v>
      </c>
      <c r="IUI24" t="s">
        <v>6984</v>
      </c>
      <c r="IUJ24" t="s">
        <v>6984</v>
      </c>
      <c r="IUK24" t="s">
        <v>6984</v>
      </c>
      <c r="IUL24" t="s">
        <v>6984</v>
      </c>
      <c r="IUM24" t="s">
        <v>6984</v>
      </c>
      <c r="IUN24" t="s">
        <v>6984</v>
      </c>
      <c r="IUO24" t="s">
        <v>6984</v>
      </c>
      <c r="IUP24" t="s">
        <v>6984</v>
      </c>
      <c r="IUQ24" t="s">
        <v>6984</v>
      </c>
      <c r="IUR24" t="s">
        <v>6984</v>
      </c>
      <c r="IUS24" t="s">
        <v>6984</v>
      </c>
      <c r="IUT24" t="s">
        <v>6984</v>
      </c>
      <c r="IUU24" t="s">
        <v>6984</v>
      </c>
      <c r="IUV24" t="s">
        <v>6984</v>
      </c>
      <c r="IUW24" t="s">
        <v>6984</v>
      </c>
      <c r="IUX24" t="s">
        <v>6984</v>
      </c>
      <c r="IUY24" t="s">
        <v>6984</v>
      </c>
      <c r="IUZ24" t="s">
        <v>6984</v>
      </c>
      <c r="IVA24" t="s">
        <v>6984</v>
      </c>
      <c r="IVB24" t="s">
        <v>6984</v>
      </c>
      <c r="IVC24" t="s">
        <v>6984</v>
      </c>
      <c r="IVD24" t="s">
        <v>6984</v>
      </c>
      <c r="IVE24" t="s">
        <v>6984</v>
      </c>
      <c r="IVF24" t="s">
        <v>6984</v>
      </c>
      <c r="IVG24" t="s">
        <v>6984</v>
      </c>
      <c r="IVH24" t="s">
        <v>6984</v>
      </c>
      <c r="IVI24" t="s">
        <v>6984</v>
      </c>
      <c r="IVJ24" t="s">
        <v>6984</v>
      </c>
      <c r="IVK24" t="s">
        <v>6984</v>
      </c>
      <c r="IVL24" t="s">
        <v>6984</v>
      </c>
      <c r="IVM24" t="s">
        <v>6984</v>
      </c>
      <c r="IVN24" t="s">
        <v>6984</v>
      </c>
      <c r="IVO24" t="s">
        <v>6984</v>
      </c>
      <c r="IVP24" t="s">
        <v>6984</v>
      </c>
      <c r="IVQ24" t="s">
        <v>6984</v>
      </c>
      <c r="IVR24" t="s">
        <v>6984</v>
      </c>
      <c r="IVS24" t="s">
        <v>6984</v>
      </c>
      <c r="IVT24" t="s">
        <v>6984</v>
      </c>
      <c r="IVU24" t="s">
        <v>6984</v>
      </c>
      <c r="IVV24" t="s">
        <v>6984</v>
      </c>
      <c r="IVW24" t="s">
        <v>6984</v>
      </c>
      <c r="IVX24" t="s">
        <v>6984</v>
      </c>
      <c r="IVY24" t="s">
        <v>6984</v>
      </c>
      <c r="IVZ24" t="s">
        <v>6984</v>
      </c>
      <c r="IWA24" t="s">
        <v>6984</v>
      </c>
      <c r="IWB24" t="s">
        <v>6984</v>
      </c>
      <c r="IWC24" t="s">
        <v>6984</v>
      </c>
      <c r="IWD24" t="s">
        <v>6984</v>
      </c>
      <c r="IWE24" t="s">
        <v>6984</v>
      </c>
      <c r="IWF24" t="s">
        <v>6984</v>
      </c>
      <c r="IWG24" t="s">
        <v>6984</v>
      </c>
      <c r="IWH24" t="s">
        <v>6984</v>
      </c>
      <c r="IWI24" t="s">
        <v>6984</v>
      </c>
      <c r="IWJ24" t="s">
        <v>6984</v>
      </c>
      <c r="IWK24" t="s">
        <v>6984</v>
      </c>
      <c r="IWL24" t="s">
        <v>6984</v>
      </c>
      <c r="IWM24" t="s">
        <v>6984</v>
      </c>
      <c r="IWN24" t="s">
        <v>6984</v>
      </c>
      <c r="IWO24" t="s">
        <v>6984</v>
      </c>
      <c r="IWP24" t="s">
        <v>6984</v>
      </c>
      <c r="IWQ24" t="s">
        <v>6984</v>
      </c>
      <c r="IWR24" t="s">
        <v>6984</v>
      </c>
      <c r="IWS24" t="s">
        <v>6984</v>
      </c>
      <c r="IWT24" t="s">
        <v>6984</v>
      </c>
      <c r="IWU24" t="s">
        <v>6984</v>
      </c>
      <c r="IWV24" t="s">
        <v>6984</v>
      </c>
      <c r="IWW24" t="s">
        <v>6984</v>
      </c>
      <c r="IWX24" t="s">
        <v>6984</v>
      </c>
      <c r="IWY24" t="s">
        <v>6984</v>
      </c>
      <c r="IWZ24" t="s">
        <v>6984</v>
      </c>
      <c r="IXA24" t="s">
        <v>6984</v>
      </c>
      <c r="IXB24" t="s">
        <v>6984</v>
      </c>
      <c r="IXC24" t="s">
        <v>6984</v>
      </c>
      <c r="IXD24" t="s">
        <v>6984</v>
      </c>
      <c r="IXE24" t="s">
        <v>6984</v>
      </c>
      <c r="IXF24" t="s">
        <v>6984</v>
      </c>
      <c r="IXG24" t="s">
        <v>6984</v>
      </c>
      <c r="IXH24" t="s">
        <v>6984</v>
      </c>
      <c r="IXI24" t="s">
        <v>6984</v>
      </c>
      <c r="IXJ24" t="s">
        <v>6984</v>
      </c>
      <c r="IXK24" t="s">
        <v>6984</v>
      </c>
      <c r="IXL24" t="s">
        <v>6984</v>
      </c>
      <c r="IXM24" t="s">
        <v>6984</v>
      </c>
      <c r="IXN24" t="s">
        <v>6984</v>
      </c>
      <c r="IXO24" t="s">
        <v>6984</v>
      </c>
      <c r="IXP24" t="s">
        <v>6984</v>
      </c>
      <c r="IXQ24" t="s">
        <v>6984</v>
      </c>
      <c r="IXR24" t="s">
        <v>6984</v>
      </c>
      <c r="IXS24" t="s">
        <v>6984</v>
      </c>
      <c r="IXT24" t="s">
        <v>6984</v>
      </c>
      <c r="IXU24" t="s">
        <v>6984</v>
      </c>
      <c r="IXV24" t="s">
        <v>6984</v>
      </c>
      <c r="IXW24" t="s">
        <v>6984</v>
      </c>
      <c r="IXX24" t="s">
        <v>6984</v>
      </c>
      <c r="IXY24" t="s">
        <v>6984</v>
      </c>
      <c r="IXZ24" t="s">
        <v>6984</v>
      </c>
      <c r="IYA24" t="s">
        <v>6984</v>
      </c>
      <c r="IYB24" t="s">
        <v>6984</v>
      </c>
      <c r="IYC24" t="s">
        <v>6984</v>
      </c>
      <c r="IYD24" t="s">
        <v>6984</v>
      </c>
      <c r="IYE24" t="s">
        <v>6984</v>
      </c>
      <c r="IYF24" t="s">
        <v>6984</v>
      </c>
      <c r="IYG24" t="s">
        <v>6984</v>
      </c>
      <c r="IYH24" t="s">
        <v>6984</v>
      </c>
      <c r="IYI24" t="s">
        <v>6984</v>
      </c>
      <c r="IYJ24" t="s">
        <v>6984</v>
      </c>
      <c r="IYK24" t="s">
        <v>6984</v>
      </c>
      <c r="IYL24" t="s">
        <v>6984</v>
      </c>
      <c r="IYM24" t="s">
        <v>6984</v>
      </c>
      <c r="IYN24" t="s">
        <v>6984</v>
      </c>
      <c r="IYO24" t="s">
        <v>6984</v>
      </c>
      <c r="IYP24" t="s">
        <v>6984</v>
      </c>
      <c r="IYQ24" t="s">
        <v>6984</v>
      </c>
      <c r="IYR24" t="s">
        <v>6984</v>
      </c>
      <c r="IYS24" t="s">
        <v>6984</v>
      </c>
      <c r="IYT24" t="s">
        <v>6984</v>
      </c>
      <c r="IYU24" t="s">
        <v>6984</v>
      </c>
      <c r="IYV24" t="s">
        <v>6984</v>
      </c>
      <c r="IYW24" t="s">
        <v>6984</v>
      </c>
      <c r="IYX24" t="s">
        <v>6984</v>
      </c>
      <c r="IYY24" t="s">
        <v>6984</v>
      </c>
      <c r="IYZ24" t="s">
        <v>6984</v>
      </c>
      <c r="IZA24" t="s">
        <v>6984</v>
      </c>
      <c r="IZB24" t="s">
        <v>6984</v>
      </c>
      <c r="IZC24" t="s">
        <v>6984</v>
      </c>
      <c r="IZD24" t="s">
        <v>6984</v>
      </c>
      <c r="IZE24" t="s">
        <v>6984</v>
      </c>
      <c r="IZF24" t="s">
        <v>6984</v>
      </c>
      <c r="IZG24" t="s">
        <v>6984</v>
      </c>
      <c r="IZH24" t="s">
        <v>6984</v>
      </c>
      <c r="IZI24" t="s">
        <v>6984</v>
      </c>
      <c r="IZJ24" t="s">
        <v>6984</v>
      </c>
      <c r="IZK24" t="s">
        <v>6984</v>
      </c>
      <c r="IZL24" t="s">
        <v>6984</v>
      </c>
      <c r="IZM24" t="s">
        <v>6984</v>
      </c>
      <c r="IZN24" t="s">
        <v>6984</v>
      </c>
      <c r="IZO24" t="s">
        <v>6984</v>
      </c>
      <c r="IZP24" t="s">
        <v>6984</v>
      </c>
      <c r="IZQ24" t="s">
        <v>6984</v>
      </c>
      <c r="IZR24" t="s">
        <v>6984</v>
      </c>
      <c r="IZS24" t="s">
        <v>6984</v>
      </c>
      <c r="IZT24" t="s">
        <v>6984</v>
      </c>
      <c r="IZU24" t="s">
        <v>6984</v>
      </c>
      <c r="IZV24" t="s">
        <v>6984</v>
      </c>
      <c r="IZW24" t="s">
        <v>6984</v>
      </c>
      <c r="IZX24" t="s">
        <v>6984</v>
      </c>
      <c r="IZY24" t="s">
        <v>6984</v>
      </c>
      <c r="IZZ24" t="s">
        <v>6984</v>
      </c>
      <c r="JAA24" t="s">
        <v>6984</v>
      </c>
      <c r="JAB24" t="s">
        <v>6984</v>
      </c>
      <c r="JAC24" t="s">
        <v>6984</v>
      </c>
      <c r="JAD24" t="s">
        <v>6984</v>
      </c>
      <c r="JAE24" t="s">
        <v>6984</v>
      </c>
      <c r="JAF24" t="s">
        <v>6984</v>
      </c>
      <c r="JAG24" t="s">
        <v>6984</v>
      </c>
      <c r="JAH24" t="s">
        <v>6984</v>
      </c>
      <c r="JAI24" t="s">
        <v>6984</v>
      </c>
      <c r="JAJ24" t="s">
        <v>6984</v>
      </c>
      <c r="JAK24" t="s">
        <v>6984</v>
      </c>
      <c r="JAL24" t="s">
        <v>6984</v>
      </c>
      <c r="JAM24" t="s">
        <v>6984</v>
      </c>
      <c r="JAN24" t="s">
        <v>6984</v>
      </c>
      <c r="JAO24" t="s">
        <v>6984</v>
      </c>
      <c r="JAP24" t="s">
        <v>6984</v>
      </c>
      <c r="JAQ24" t="s">
        <v>6984</v>
      </c>
      <c r="JAR24" t="s">
        <v>6984</v>
      </c>
      <c r="JAS24" t="s">
        <v>6984</v>
      </c>
      <c r="JAT24" t="s">
        <v>6984</v>
      </c>
      <c r="JAU24" t="s">
        <v>6984</v>
      </c>
      <c r="JAV24" t="s">
        <v>6984</v>
      </c>
      <c r="JAW24" t="s">
        <v>6984</v>
      </c>
      <c r="JAX24" t="s">
        <v>6984</v>
      </c>
      <c r="JAY24" t="s">
        <v>6984</v>
      </c>
      <c r="JAZ24" t="s">
        <v>6984</v>
      </c>
      <c r="JBA24" t="s">
        <v>6984</v>
      </c>
      <c r="JBB24" t="s">
        <v>6984</v>
      </c>
      <c r="JBC24" t="s">
        <v>6984</v>
      </c>
      <c r="JBD24" t="s">
        <v>6984</v>
      </c>
      <c r="JBE24" t="s">
        <v>6984</v>
      </c>
      <c r="JBF24" t="s">
        <v>6984</v>
      </c>
      <c r="JBG24" t="s">
        <v>6984</v>
      </c>
      <c r="JBH24" t="s">
        <v>6984</v>
      </c>
      <c r="JBI24" t="s">
        <v>6984</v>
      </c>
      <c r="JBJ24" t="s">
        <v>6984</v>
      </c>
      <c r="JBK24" t="s">
        <v>6984</v>
      </c>
      <c r="JBL24" t="s">
        <v>6984</v>
      </c>
      <c r="JBM24" t="s">
        <v>6984</v>
      </c>
      <c r="JBN24" t="s">
        <v>6984</v>
      </c>
      <c r="JBO24" t="s">
        <v>6984</v>
      </c>
      <c r="JBP24" t="s">
        <v>6984</v>
      </c>
      <c r="JBQ24" t="s">
        <v>6984</v>
      </c>
      <c r="JBR24" t="s">
        <v>6984</v>
      </c>
      <c r="JBS24" t="s">
        <v>6984</v>
      </c>
      <c r="JBT24" t="s">
        <v>6984</v>
      </c>
      <c r="JBU24" t="s">
        <v>6984</v>
      </c>
      <c r="JBV24" t="s">
        <v>6984</v>
      </c>
      <c r="JBW24" t="s">
        <v>6984</v>
      </c>
      <c r="JBX24" t="s">
        <v>6984</v>
      </c>
      <c r="JBY24" t="s">
        <v>6984</v>
      </c>
      <c r="JBZ24" t="s">
        <v>6984</v>
      </c>
      <c r="JCA24" t="s">
        <v>6984</v>
      </c>
      <c r="JCB24" t="s">
        <v>6984</v>
      </c>
      <c r="JCC24" t="s">
        <v>6984</v>
      </c>
      <c r="JCD24" t="s">
        <v>6984</v>
      </c>
      <c r="JCE24" t="s">
        <v>6984</v>
      </c>
      <c r="JCF24" t="s">
        <v>6984</v>
      </c>
      <c r="JCG24" t="s">
        <v>6984</v>
      </c>
      <c r="JCH24" t="s">
        <v>6984</v>
      </c>
      <c r="JCI24" t="s">
        <v>6984</v>
      </c>
      <c r="JCJ24" t="s">
        <v>6984</v>
      </c>
      <c r="JCK24" t="s">
        <v>6984</v>
      </c>
      <c r="JCL24" t="s">
        <v>6984</v>
      </c>
      <c r="JCM24" t="s">
        <v>6984</v>
      </c>
      <c r="JCN24" t="s">
        <v>6984</v>
      </c>
      <c r="JCO24" t="s">
        <v>6984</v>
      </c>
      <c r="JCP24" t="s">
        <v>6984</v>
      </c>
      <c r="JCQ24" t="s">
        <v>6984</v>
      </c>
      <c r="JCR24" t="s">
        <v>6984</v>
      </c>
      <c r="JCS24" t="s">
        <v>6984</v>
      </c>
      <c r="JCT24" t="s">
        <v>6984</v>
      </c>
      <c r="JCU24" t="s">
        <v>6984</v>
      </c>
      <c r="JCV24" t="s">
        <v>6984</v>
      </c>
      <c r="JCW24" t="s">
        <v>6984</v>
      </c>
      <c r="JCX24" t="s">
        <v>6984</v>
      </c>
      <c r="JCY24" t="s">
        <v>6984</v>
      </c>
      <c r="JCZ24" t="s">
        <v>6984</v>
      </c>
      <c r="JDA24" t="s">
        <v>6984</v>
      </c>
      <c r="JDB24" t="s">
        <v>6984</v>
      </c>
      <c r="JDC24" t="s">
        <v>6984</v>
      </c>
      <c r="JDD24" t="s">
        <v>6984</v>
      </c>
      <c r="JDE24" t="s">
        <v>6984</v>
      </c>
      <c r="JDF24" t="s">
        <v>6984</v>
      </c>
      <c r="JDG24" t="s">
        <v>6984</v>
      </c>
      <c r="JDH24" t="s">
        <v>6984</v>
      </c>
      <c r="JDI24" t="s">
        <v>6984</v>
      </c>
      <c r="JDJ24" t="s">
        <v>6984</v>
      </c>
      <c r="JDK24" t="s">
        <v>6984</v>
      </c>
      <c r="JDL24" t="s">
        <v>6984</v>
      </c>
      <c r="JDM24" t="s">
        <v>6984</v>
      </c>
      <c r="JDN24" t="s">
        <v>6984</v>
      </c>
      <c r="JDO24" t="s">
        <v>6984</v>
      </c>
      <c r="JDP24" t="s">
        <v>6984</v>
      </c>
      <c r="JDQ24" t="s">
        <v>6984</v>
      </c>
      <c r="JDR24" t="s">
        <v>6984</v>
      </c>
      <c r="JDS24" t="s">
        <v>6984</v>
      </c>
      <c r="JDT24" t="s">
        <v>6984</v>
      </c>
      <c r="JDU24" t="s">
        <v>6984</v>
      </c>
      <c r="JDV24" t="s">
        <v>6984</v>
      </c>
      <c r="JDW24" t="s">
        <v>6984</v>
      </c>
      <c r="JDX24" t="s">
        <v>6984</v>
      </c>
      <c r="JDY24" t="s">
        <v>6984</v>
      </c>
      <c r="JDZ24" t="s">
        <v>6984</v>
      </c>
      <c r="JEA24" t="s">
        <v>6984</v>
      </c>
      <c r="JEB24" t="s">
        <v>6984</v>
      </c>
      <c r="JEC24" t="s">
        <v>6984</v>
      </c>
      <c r="JED24" t="s">
        <v>6984</v>
      </c>
      <c r="JEE24" t="s">
        <v>6984</v>
      </c>
      <c r="JEF24" t="s">
        <v>6984</v>
      </c>
      <c r="JEG24" t="s">
        <v>6984</v>
      </c>
      <c r="JEH24" t="s">
        <v>6984</v>
      </c>
      <c r="JEI24" t="s">
        <v>6984</v>
      </c>
      <c r="JEJ24" t="s">
        <v>6984</v>
      </c>
      <c r="JEK24" t="s">
        <v>6984</v>
      </c>
      <c r="JEL24" t="s">
        <v>6984</v>
      </c>
      <c r="JEM24" t="s">
        <v>6984</v>
      </c>
      <c r="JEN24" t="s">
        <v>6984</v>
      </c>
      <c r="JEO24" t="s">
        <v>6984</v>
      </c>
      <c r="JEP24" t="s">
        <v>6984</v>
      </c>
      <c r="JEQ24" t="s">
        <v>6984</v>
      </c>
      <c r="JER24" t="s">
        <v>6984</v>
      </c>
      <c r="JES24" t="s">
        <v>6984</v>
      </c>
      <c r="JET24" t="s">
        <v>6984</v>
      </c>
      <c r="JEU24" t="s">
        <v>6984</v>
      </c>
      <c r="JEV24" t="s">
        <v>6984</v>
      </c>
      <c r="JEW24" t="s">
        <v>6984</v>
      </c>
      <c r="JEX24" t="s">
        <v>6984</v>
      </c>
      <c r="JEY24" t="s">
        <v>6984</v>
      </c>
      <c r="JEZ24" t="s">
        <v>6984</v>
      </c>
      <c r="JFA24" t="s">
        <v>6984</v>
      </c>
      <c r="JFB24" t="s">
        <v>6984</v>
      </c>
      <c r="JFC24" t="s">
        <v>6984</v>
      </c>
      <c r="JFD24" t="s">
        <v>6984</v>
      </c>
      <c r="JFE24" t="s">
        <v>6984</v>
      </c>
      <c r="JFF24" t="s">
        <v>6984</v>
      </c>
      <c r="JFG24" t="s">
        <v>6984</v>
      </c>
      <c r="JFH24" t="s">
        <v>6984</v>
      </c>
      <c r="JFI24" t="s">
        <v>6984</v>
      </c>
      <c r="JFJ24" t="s">
        <v>6984</v>
      </c>
      <c r="JFK24" t="s">
        <v>6984</v>
      </c>
      <c r="JFL24" t="s">
        <v>6984</v>
      </c>
      <c r="JFM24" t="s">
        <v>6984</v>
      </c>
      <c r="JFN24" t="s">
        <v>6984</v>
      </c>
      <c r="JFO24" t="s">
        <v>6984</v>
      </c>
      <c r="JFP24" t="s">
        <v>6984</v>
      </c>
      <c r="JFQ24" t="s">
        <v>6984</v>
      </c>
      <c r="JFR24" t="s">
        <v>6984</v>
      </c>
      <c r="JFS24" t="s">
        <v>6984</v>
      </c>
      <c r="JFT24" t="s">
        <v>6984</v>
      </c>
      <c r="JFU24" t="s">
        <v>6984</v>
      </c>
      <c r="JFV24" t="s">
        <v>6984</v>
      </c>
      <c r="JFW24" t="s">
        <v>6984</v>
      </c>
      <c r="JFX24" t="s">
        <v>6984</v>
      </c>
      <c r="JFY24" t="s">
        <v>6984</v>
      </c>
      <c r="JFZ24" t="s">
        <v>6984</v>
      </c>
      <c r="JGA24" t="s">
        <v>6984</v>
      </c>
      <c r="JGB24" t="s">
        <v>6984</v>
      </c>
      <c r="JGC24" t="s">
        <v>6984</v>
      </c>
      <c r="JGD24" t="s">
        <v>6984</v>
      </c>
      <c r="JGE24" t="s">
        <v>6984</v>
      </c>
      <c r="JGF24" t="s">
        <v>6984</v>
      </c>
      <c r="JGG24" t="s">
        <v>6984</v>
      </c>
      <c r="JGH24" t="s">
        <v>6984</v>
      </c>
      <c r="JGI24" t="s">
        <v>6984</v>
      </c>
      <c r="JGJ24" t="s">
        <v>6984</v>
      </c>
      <c r="JGK24" t="s">
        <v>6984</v>
      </c>
      <c r="JGL24" t="s">
        <v>6984</v>
      </c>
      <c r="JGM24" t="s">
        <v>6984</v>
      </c>
      <c r="JGN24" t="s">
        <v>6984</v>
      </c>
      <c r="JGO24" t="s">
        <v>6984</v>
      </c>
      <c r="JGP24" t="s">
        <v>6984</v>
      </c>
      <c r="JGQ24" t="s">
        <v>6984</v>
      </c>
      <c r="JGR24" t="s">
        <v>6984</v>
      </c>
      <c r="JGS24" t="s">
        <v>6984</v>
      </c>
      <c r="JGT24" t="s">
        <v>6984</v>
      </c>
      <c r="JGU24" t="s">
        <v>6984</v>
      </c>
      <c r="JGV24" t="s">
        <v>6984</v>
      </c>
      <c r="JGW24" t="s">
        <v>6984</v>
      </c>
      <c r="JGX24" t="s">
        <v>6984</v>
      </c>
      <c r="JGY24" t="s">
        <v>6984</v>
      </c>
      <c r="JGZ24" t="s">
        <v>6984</v>
      </c>
      <c r="JHA24" t="s">
        <v>6984</v>
      </c>
      <c r="JHB24" t="s">
        <v>6984</v>
      </c>
      <c r="JHC24" t="s">
        <v>6984</v>
      </c>
      <c r="JHD24" t="s">
        <v>6984</v>
      </c>
      <c r="JHE24" t="s">
        <v>6984</v>
      </c>
      <c r="JHF24" t="s">
        <v>6984</v>
      </c>
      <c r="JHG24" t="s">
        <v>6984</v>
      </c>
      <c r="JHH24" t="s">
        <v>6984</v>
      </c>
      <c r="JHI24" t="s">
        <v>6984</v>
      </c>
      <c r="JHJ24" t="s">
        <v>6984</v>
      </c>
      <c r="JHK24" t="s">
        <v>6984</v>
      </c>
      <c r="JHL24" t="s">
        <v>6984</v>
      </c>
      <c r="JHM24" t="s">
        <v>6984</v>
      </c>
      <c r="JHN24" t="s">
        <v>6984</v>
      </c>
      <c r="JHO24" t="s">
        <v>6984</v>
      </c>
      <c r="JHP24" t="s">
        <v>6984</v>
      </c>
      <c r="JHQ24" t="s">
        <v>6984</v>
      </c>
      <c r="JHR24" t="s">
        <v>6984</v>
      </c>
      <c r="JHS24" t="s">
        <v>6984</v>
      </c>
      <c r="JHT24" t="s">
        <v>6984</v>
      </c>
      <c r="JHU24" t="s">
        <v>6984</v>
      </c>
      <c r="JHV24" t="s">
        <v>6984</v>
      </c>
      <c r="JHW24" t="s">
        <v>6984</v>
      </c>
      <c r="JHX24" t="s">
        <v>6984</v>
      </c>
      <c r="JHY24" t="s">
        <v>6984</v>
      </c>
      <c r="JHZ24" t="s">
        <v>6984</v>
      </c>
      <c r="JIA24" t="s">
        <v>6984</v>
      </c>
      <c r="JIB24" t="s">
        <v>6984</v>
      </c>
      <c r="JIC24" t="s">
        <v>6984</v>
      </c>
      <c r="JID24" t="s">
        <v>6984</v>
      </c>
      <c r="JIE24" t="s">
        <v>6984</v>
      </c>
      <c r="JIF24" t="s">
        <v>6984</v>
      </c>
      <c r="JIG24" t="s">
        <v>6984</v>
      </c>
      <c r="JIH24" t="s">
        <v>6984</v>
      </c>
      <c r="JII24" t="s">
        <v>6984</v>
      </c>
      <c r="JIJ24" t="s">
        <v>6984</v>
      </c>
      <c r="JIK24" t="s">
        <v>6984</v>
      </c>
      <c r="JIL24" t="s">
        <v>6984</v>
      </c>
      <c r="JIM24" t="s">
        <v>6984</v>
      </c>
      <c r="JIN24" t="s">
        <v>6984</v>
      </c>
      <c r="JIO24" t="s">
        <v>6984</v>
      </c>
      <c r="JIP24" t="s">
        <v>6984</v>
      </c>
      <c r="JIQ24" t="s">
        <v>6984</v>
      </c>
      <c r="JIR24" t="s">
        <v>6984</v>
      </c>
      <c r="JIS24" t="s">
        <v>6984</v>
      </c>
      <c r="JIT24" t="s">
        <v>6984</v>
      </c>
      <c r="JIU24" t="s">
        <v>6984</v>
      </c>
      <c r="JIV24" t="s">
        <v>6984</v>
      </c>
      <c r="JIW24" t="s">
        <v>6984</v>
      </c>
      <c r="JIX24" t="s">
        <v>6984</v>
      </c>
      <c r="JIY24" t="s">
        <v>6984</v>
      </c>
      <c r="JIZ24" t="s">
        <v>6984</v>
      </c>
      <c r="JJA24" t="s">
        <v>6984</v>
      </c>
    </row>
    <row r="25" spans="1:7021" x14ac:dyDescent="0.25">
      <c r="A25" t="s">
        <v>7006</v>
      </c>
      <c r="B25">
        <v>95.99</v>
      </c>
      <c r="C25">
        <v>95.99</v>
      </c>
      <c r="D25">
        <v>95.99</v>
      </c>
      <c r="E25">
        <v>96.05</v>
      </c>
      <c r="F25">
        <v>95.99</v>
      </c>
      <c r="G25">
        <v>96.02</v>
      </c>
      <c r="H25">
        <v>96.064999999999998</v>
      </c>
      <c r="I25">
        <v>96.004999999999995</v>
      </c>
      <c r="J25">
        <v>95.954999999999998</v>
      </c>
      <c r="K25">
        <v>95.94</v>
      </c>
      <c r="L25">
        <v>95.935000000000002</v>
      </c>
      <c r="M25">
        <v>96.04</v>
      </c>
      <c r="N25">
        <v>96.055000000000007</v>
      </c>
      <c r="O25">
        <v>95.974999999999994</v>
      </c>
      <c r="P25">
        <v>95.97</v>
      </c>
      <c r="Q25">
        <v>96.03</v>
      </c>
      <c r="R25">
        <v>96.01</v>
      </c>
      <c r="S25">
        <v>95.98</v>
      </c>
      <c r="T25">
        <v>96.025000000000006</v>
      </c>
      <c r="U25">
        <v>95.935000000000002</v>
      </c>
      <c r="V25">
        <v>95.935000000000002</v>
      </c>
      <c r="W25">
        <v>95.864999999999995</v>
      </c>
      <c r="X25">
        <v>95.81</v>
      </c>
      <c r="Y25">
        <v>95.915000000000006</v>
      </c>
      <c r="Z25">
        <v>95.915000000000006</v>
      </c>
      <c r="AA25">
        <v>95.94</v>
      </c>
      <c r="AB25">
        <v>95.92</v>
      </c>
      <c r="AC25">
        <v>95.844999999999999</v>
      </c>
      <c r="AD25">
        <v>95.88</v>
      </c>
      <c r="AE25">
        <v>95.924999999999997</v>
      </c>
      <c r="AF25">
        <v>95.99</v>
      </c>
      <c r="AG25">
        <v>95.99</v>
      </c>
      <c r="AH25">
        <v>96.09</v>
      </c>
      <c r="AI25">
        <v>96.04</v>
      </c>
      <c r="AJ25">
        <v>96.02</v>
      </c>
      <c r="AK25">
        <v>96.05</v>
      </c>
      <c r="AL25">
        <v>96.1</v>
      </c>
      <c r="AM25">
        <v>96.144999999999996</v>
      </c>
      <c r="AN25">
        <v>96.14</v>
      </c>
      <c r="AO25">
        <v>96.08</v>
      </c>
      <c r="AP25">
        <v>96.03</v>
      </c>
      <c r="AQ25">
        <v>95.97</v>
      </c>
      <c r="AR25">
        <v>95.9</v>
      </c>
      <c r="AS25">
        <v>95.88</v>
      </c>
      <c r="AT25">
        <v>95.855000000000004</v>
      </c>
      <c r="AU25">
        <v>95.954999999999998</v>
      </c>
      <c r="AV25">
        <v>95.954999999999998</v>
      </c>
      <c r="AW25">
        <v>96.03</v>
      </c>
      <c r="AX25">
        <v>95.99</v>
      </c>
      <c r="AY25">
        <v>95.954999999999998</v>
      </c>
      <c r="AZ25">
        <v>95.834999999999994</v>
      </c>
      <c r="BA25">
        <v>95.974999999999994</v>
      </c>
      <c r="BB25">
        <v>95.935000000000002</v>
      </c>
      <c r="BC25">
        <v>96.094999999999999</v>
      </c>
      <c r="BD25">
        <v>96.174999999999997</v>
      </c>
      <c r="BE25">
        <v>96.344999999999999</v>
      </c>
      <c r="BF25">
        <v>96.265000000000001</v>
      </c>
      <c r="BG25">
        <v>96.11</v>
      </c>
      <c r="BH25">
        <v>96.17</v>
      </c>
      <c r="BI25">
        <v>96.064999999999998</v>
      </c>
      <c r="BJ25">
        <v>96.034999999999997</v>
      </c>
      <c r="BK25">
        <v>95.915000000000006</v>
      </c>
      <c r="BL25">
        <v>95.965000000000003</v>
      </c>
      <c r="BM25">
        <v>95.99</v>
      </c>
      <c r="BN25">
        <v>95.965000000000003</v>
      </c>
      <c r="BO25">
        <v>96.045000000000002</v>
      </c>
      <c r="BP25">
        <v>96.06</v>
      </c>
      <c r="BQ25">
        <v>96.02</v>
      </c>
      <c r="BR25">
        <v>96.04</v>
      </c>
      <c r="BS25">
        <v>96.004999999999995</v>
      </c>
      <c r="BT25">
        <v>95.98</v>
      </c>
      <c r="BU25">
        <v>96.04</v>
      </c>
      <c r="BV25">
        <v>96.01</v>
      </c>
      <c r="BW25">
        <v>96.04</v>
      </c>
      <c r="BX25">
        <v>96.135000000000005</v>
      </c>
      <c r="BY25">
        <v>96.004999999999995</v>
      </c>
      <c r="BZ25">
        <v>96.03</v>
      </c>
      <c r="CA25">
        <v>96.055000000000007</v>
      </c>
      <c r="CB25">
        <v>96.12</v>
      </c>
      <c r="CC25">
        <v>96.165000000000006</v>
      </c>
      <c r="CD25">
        <v>96.11</v>
      </c>
      <c r="CE25">
        <v>96.05</v>
      </c>
      <c r="CF25">
        <v>96.094999999999999</v>
      </c>
      <c r="CG25">
        <v>96.025000000000006</v>
      </c>
      <c r="CH25">
        <v>95.89</v>
      </c>
      <c r="CI25">
        <v>95.864999999999995</v>
      </c>
      <c r="CJ25">
        <v>95.784999999999997</v>
      </c>
      <c r="CK25">
        <v>95.74</v>
      </c>
      <c r="CL25">
        <v>95.74</v>
      </c>
      <c r="CM25">
        <v>95.814999999999998</v>
      </c>
      <c r="CN25">
        <v>95.814999999999998</v>
      </c>
      <c r="CO25">
        <v>95.75</v>
      </c>
      <c r="CP25">
        <v>95.635000000000005</v>
      </c>
      <c r="CQ25">
        <v>95.77</v>
      </c>
      <c r="CR25">
        <v>95.82</v>
      </c>
      <c r="CS25">
        <v>95.82</v>
      </c>
      <c r="CT25">
        <v>95.875</v>
      </c>
      <c r="CU25">
        <v>95.924999999999997</v>
      </c>
      <c r="CV25">
        <v>95.814999999999998</v>
      </c>
      <c r="CW25">
        <v>95.79</v>
      </c>
      <c r="CX25">
        <v>95.745000000000005</v>
      </c>
      <c r="CY25">
        <v>95.814999999999998</v>
      </c>
      <c r="CZ25">
        <v>95.77</v>
      </c>
      <c r="DA25">
        <v>95.78</v>
      </c>
      <c r="DB25">
        <v>95.805000000000007</v>
      </c>
      <c r="DC25">
        <v>95.694999999999993</v>
      </c>
      <c r="DD25">
        <v>95.694999999999993</v>
      </c>
      <c r="DE25">
        <v>95.74</v>
      </c>
      <c r="DF25">
        <v>95.77</v>
      </c>
      <c r="DG25">
        <v>95.724999999999994</v>
      </c>
      <c r="DH25">
        <v>95.724999999999994</v>
      </c>
      <c r="DI25">
        <v>95.724999999999994</v>
      </c>
      <c r="DJ25">
        <v>95.685000000000002</v>
      </c>
      <c r="DK25">
        <v>95.54</v>
      </c>
      <c r="DL25">
        <v>95.525000000000006</v>
      </c>
      <c r="DM25">
        <v>95.564999999999998</v>
      </c>
      <c r="DN25">
        <v>95.64</v>
      </c>
      <c r="DO25">
        <v>95.625</v>
      </c>
      <c r="DP25">
        <v>95.635000000000005</v>
      </c>
      <c r="DQ25">
        <v>95.72</v>
      </c>
      <c r="DR25">
        <v>95.775000000000006</v>
      </c>
      <c r="DS25">
        <v>95.79</v>
      </c>
      <c r="DT25">
        <v>95.784999999999997</v>
      </c>
      <c r="DU25">
        <v>95.784999999999997</v>
      </c>
      <c r="DV25">
        <v>95.825000000000003</v>
      </c>
      <c r="DW25">
        <v>95.745000000000005</v>
      </c>
      <c r="DX25">
        <v>95.805000000000007</v>
      </c>
      <c r="DY25">
        <v>95.79</v>
      </c>
      <c r="DZ25">
        <v>95.79</v>
      </c>
      <c r="EA25">
        <v>95.765000000000001</v>
      </c>
      <c r="EB25">
        <v>95.864999999999995</v>
      </c>
      <c r="EC25">
        <v>95.795000000000002</v>
      </c>
      <c r="ED25">
        <v>95.924999999999997</v>
      </c>
      <c r="EE25">
        <v>96.064999999999998</v>
      </c>
      <c r="EF25">
        <v>96.05</v>
      </c>
      <c r="EG25">
        <v>96.05</v>
      </c>
      <c r="EH25">
        <v>96.135000000000005</v>
      </c>
      <c r="EI25">
        <v>96.194999999999993</v>
      </c>
      <c r="EJ25">
        <v>96.254999999999995</v>
      </c>
      <c r="EK25">
        <v>96.28</v>
      </c>
      <c r="EL25">
        <v>96.32</v>
      </c>
      <c r="EM25">
        <v>96.284999999999997</v>
      </c>
      <c r="EN25">
        <v>96.27</v>
      </c>
      <c r="EO25">
        <v>96.24</v>
      </c>
      <c r="EP25">
        <v>96.275000000000006</v>
      </c>
      <c r="EQ25">
        <v>96.275000000000006</v>
      </c>
      <c r="ER25">
        <v>96.24</v>
      </c>
      <c r="ES25">
        <v>96.24</v>
      </c>
      <c r="ET25">
        <v>96.174999999999997</v>
      </c>
      <c r="EU25">
        <v>96.24</v>
      </c>
      <c r="EV25">
        <v>96.09</v>
      </c>
      <c r="EW25">
        <v>96.055000000000007</v>
      </c>
      <c r="EX25">
        <v>96.055000000000007</v>
      </c>
      <c r="EY25">
        <v>96.084999999999994</v>
      </c>
      <c r="EZ25">
        <v>96.05</v>
      </c>
      <c r="FA25">
        <v>96.04</v>
      </c>
      <c r="FB25">
        <v>96.045000000000002</v>
      </c>
      <c r="FC25">
        <v>96.01</v>
      </c>
      <c r="FD25">
        <v>96.034999999999997</v>
      </c>
      <c r="FE25">
        <v>96.094999999999999</v>
      </c>
      <c r="FF25">
        <v>96.15</v>
      </c>
      <c r="FG25">
        <v>96.105000000000004</v>
      </c>
      <c r="FH25">
        <v>96</v>
      </c>
      <c r="FI25">
        <v>96.174999999999997</v>
      </c>
      <c r="FJ25">
        <v>96.15</v>
      </c>
      <c r="FK25">
        <v>96.084999999999994</v>
      </c>
      <c r="FL25">
        <v>96.144999999999996</v>
      </c>
      <c r="FM25">
        <v>96.16</v>
      </c>
      <c r="FN25">
        <v>96.13</v>
      </c>
      <c r="FO25">
        <v>96.125</v>
      </c>
      <c r="FP25">
        <v>96.165000000000006</v>
      </c>
      <c r="FQ25">
        <v>96.19</v>
      </c>
      <c r="FR25">
        <v>96.14</v>
      </c>
      <c r="FS25">
        <v>96.17</v>
      </c>
      <c r="FT25">
        <v>96.194999999999993</v>
      </c>
      <c r="FU25">
        <v>96.31</v>
      </c>
      <c r="FV25">
        <v>96.295000000000002</v>
      </c>
      <c r="FW25">
        <v>96.394999999999996</v>
      </c>
      <c r="FX25">
        <v>96.375</v>
      </c>
      <c r="FY25">
        <v>96.28</v>
      </c>
      <c r="FZ25">
        <v>96.32</v>
      </c>
      <c r="GA25">
        <v>96.31</v>
      </c>
      <c r="GB25">
        <v>96.355000000000004</v>
      </c>
      <c r="GC25">
        <v>96.38</v>
      </c>
      <c r="GD25">
        <v>96.394999999999996</v>
      </c>
      <c r="GE25">
        <v>96.43</v>
      </c>
      <c r="GF25">
        <v>96.51</v>
      </c>
      <c r="GG25">
        <v>96.58</v>
      </c>
      <c r="GH25">
        <v>96.625</v>
      </c>
      <c r="GI25">
        <v>96.555000000000007</v>
      </c>
      <c r="GJ25">
        <v>96.594999999999999</v>
      </c>
      <c r="GK25">
        <v>96.564999999999998</v>
      </c>
      <c r="GL25">
        <v>96.545000000000002</v>
      </c>
      <c r="GM25">
        <v>96.584999999999994</v>
      </c>
      <c r="GN25">
        <v>96.59</v>
      </c>
      <c r="GO25">
        <v>96.605000000000004</v>
      </c>
      <c r="GP25">
        <v>96.584999999999994</v>
      </c>
      <c r="GQ25">
        <v>96.66</v>
      </c>
      <c r="GR25">
        <v>96.74</v>
      </c>
      <c r="GS25">
        <v>96.734999999999999</v>
      </c>
      <c r="GT25">
        <v>96.715000000000003</v>
      </c>
      <c r="GU25">
        <v>96.704999999999998</v>
      </c>
      <c r="GV25">
        <v>96.734999999999999</v>
      </c>
      <c r="GW25">
        <v>96.74</v>
      </c>
      <c r="GX25">
        <v>96.685000000000002</v>
      </c>
      <c r="GY25">
        <v>96.66</v>
      </c>
      <c r="GZ25">
        <v>96.67</v>
      </c>
      <c r="HA25">
        <v>96.635000000000005</v>
      </c>
      <c r="HB25">
        <v>96.584999999999994</v>
      </c>
      <c r="HC25">
        <v>96.504999999999995</v>
      </c>
      <c r="HD25">
        <v>96.504999999999995</v>
      </c>
      <c r="HE25">
        <v>96.55</v>
      </c>
      <c r="HF25">
        <v>96.564999999999998</v>
      </c>
      <c r="HG25">
        <v>96.58</v>
      </c>
      <c r="HH25">
        <v>96.6</v>
      </c>
      <c r="HI25">
        <v>96.59</v>
      </c>
      <c r="HJ25">
        <v>96.53</v>
      </c>
      <c r="HK25">
        <v>96.605000000000004</v>
      </c>
      <c r="HL25">
        <v>96.58</v>
      </c>
      <c r="HM25">
        <v>96.53</v>
      </c>
      <c r="HN25">
        <v>96.49</v>
      </c>
      <c r="HO25">
        <v>96.45</v>
      </c>
      <c r="HP25">
        <v>96.525000000000006</v>
      </c>
      <c r="HQ25">
        <v>96.49</v>
      </c>
      <c r="HR25">
        <v>96.46</v>
      </c>
      <c r="HS25">
        <v>96.42</v>
      </c>
      <c r="HT25">
        <v>96.34</v>
      </c>
      <c r="HU25">
        <v>96.35</v>
      </c>
      <c r="HV25">
        <v>96.435000000000002</v>
      </c>
      <c r="HW25">
        <v>96.534999999999997</v>
      </c>
      <c r="HX25">
        <v>96.545000000000002</v>
      </c>
      <c r="HY25">
        <v>96.41</v>
      </c>
      <c r="HZ25">
        <v>96.31</v>
      </c>
      <c r="IA25">
        <v>96.275000000000006</v>
      </c>
      <c r="IB25">
        <v>96.24</v>
      </c>
      <c r="IC25">
        <v>96.215000000000003</v>
      </c>
      <c r="ID25">
        <v>96.17</v>
      </c>
      <c r="IE25">
        <v>96.125</v>
      </c>
      <c r="IF25">
        <v>96.194999999999993</v>
      </c>
      <c r="IG25">
        <v>96.18</v>
      </c>
      <c r="IH25">
        <v>96.19</v>
      </c>
      <c r="II25">
        <v>96.24</v>
      </c>
      <c r="IJ25">
        <v>96.295000000000002</v>
      </c>
      <c r="IK25">
        <v>96.27</v>
      </c>
      <c r="IL25">
        <v>96.194999999999993</v>
      </c>
      <c r="IM25">
        <v>96.24</v>
      </c>
      <c r="IN25">
        <v>96.26</v>
      </c>
      <c r="IO25">
        <v>96.174999999999997</v>
      </c>
      <c r="IP25">
        <v>96.144999999999996</v>
      </c>
      <c r="IQ25">
        <v>96.185000000000002</v>
      </c>
      <c r="IR25">
        <v>96.18</v>
      </c>
      <c r="IS25">
        <v>96.11</v>
      </c>
      <c r="IT25">
        <v>96.11</v>
      </c>
      <c r="IU25">
        <v>96.004999999999995</v>
      </c>
      <c r="IV25">
        <v>95.96</v>
      </c>
      <c r="IW25">
        <v>96.12</v>
      </c>
      <c r="IX25">
        <v>96.185000000000002</v>
      </c>
      <c r="IY25">
        <v>96.15</v>
      </c>
      <c r="IZ25">
        <v>96.24</v>
      </c>
      <c r="JA25">
        <v>96.23</v>
      </c>
      <c r="JB25">
        <v>96.204999999999998</v>
      </c>
      <c r="JC25">
        <v>96.215000000000003</v>
      </c>
      <c r="JD25">
        <v>96.29</v>
      </c>
      <c r="JE25">
        <v>96.29</v>
      </c>
      <c r="JF25">
        <v>96.23</v>
      </c>
      <c r="JG25">
        <v>96.31</v>
      </c>
      <c r="JH25">
        <v>96.245000000000005</v>
      </c>
      <c r="JI25">
        <v>96.19</v>
      </c>
      <c r="JJ25">
        <v>96.075000000000003</v>
      </c>
      <c r="JK25">
        <v>95.995000000000005</v>
      </c>
      <c r="JL25">
        <v>96.04</v>
      </c>
      <c r="JM25">
        <v>96.185000000000002</v>
      </c>
      <c r="JN25">
        <v>96.185000000000002</v>
      </c>
      <c r="JO25">
        <v>96.15</v>
      </c>
      <c r="JP25">
        <v>96.064999999999998</v>
      </c>
      <c r="JQ25">
        <v>95.94</v>
      </c>
      <c r="JR25">
        <v>95.915000000000006</v>
      </c>
      <c r="JS25">
        <v>95.855000000000004</v>
      </c>
      <c r="JT25">
        <v>95.954999999999998</v>
      </c>
      <c r="JU25">
        <v>96.03</v>
      </c>
      <c r="JV25">
        <v>96.03</v>
      </c>
      <c r="JW25">
        <v>96.015000000000001</v>
      </c>
      <c r="JX25">
        <v>96.02</v>
      </c>
      <c r="JY25">
        <v>96.025000000000006</v>
      </c>
      <c r="JZ25">
        <v>95.995000000000005</v>
      </c>
      <c r="KA25">
        <v>96.01</v>
      </c>
      <c r="KB25">
        <v>96.055000000000007</v>
      </c>
      <c r="KC25">
        <v>96.06</v>
      </c>
      <c r="KD25">
        <v>95.99</v>
      </c>
      <c r="KE25">
        <v>95.954999999999998</v>
      </c>
      <c r="KF25">
        <v>95.93</v>
      </c>
      <c r="KG25">
        <v>95.984999999999999</v>
      </c>
      <c r="KH25">
        <v>95.954999999999998</v>
      </c>
      <c r="KI25">
        <v>95.995000000000005</v>
      </c>
      <c r="KJ25">
        <v>95.95</v>
      </c>
      <c r="KK25">
        <v>95.93</v>
      </c>
      <c r="KL25">
        <v>95.855000000000004</v>
      </c>
      <c r="KM25">
        <v>95.84</v>
      </c>
      <c r="KN25">
        <v>95.77</v>
      </c>
      <c r="KO25">
        <v>95.84</v>
      </c>
      <c r="KP25">
        <v>95.76</v>
      </c>
      <c r="KQ25">
        <v>95.72</v>
      </c>
      <c r="KR25">
        <v>95.775000000000006</v>
      </c>
      <c r="KS25">
        <v>95.85</v>
      </c>
      <c r="KT25">
        <v>95.83</v>
      </c>
      <c r="KU25">
        <v>95.844999999999999</v>
      </c>
      <c r="KV25">
        <v>95.81</v>
      </c>
      <c r="KW25">
        <v>95.87</v>
      </c>
      <c r="KX25">
        <v>95.795000000000002</v>
      </c>
      <c r="KY25">
        <v>95.83</v>
      </c>
      <c r="KZ25">
        <v>95.97</v>
      </c>
      <c r="LA25">
        <v>95.88</v>
      </c>
      <c r="LB25">
        <v>95.91</v>
      </c>
      <c r="LC25">
        <v>96.064999999999998</v>
      </c>
      <c r="LD25">
        <v>96.004999999999995</v>
      </c>
      <c r="LE25">
        <v>96.05</v>
      </c>
      <c r="LF25">
        <v>96.1</v>
      </c>
      <c r="LG25">
        <v>96.05</v>
      </c>
      <c r="LH25">
        <v>96.04</v>
      </c>
      <c r="LI25">
        <v>96.084999999999994</v>
      </c>
      <c r="LJ25">
        <v>96.215000000000003</v>
      </c>
      <c r="LK25">
        <v>96.215000000000003</v>
      </c>
      <c r="LL25">
        <v>96.185000000000002</v>
      </c>
      <c r="LM25">
        <v>96.15</v>
      </c>
      <c r="LN25">
        <v>96.12</v>
      </c>
      <c r="LO25">
        <v>96.155000000000001</v>
      </c>
      <c r="LP25">
        <v>96.094999999999999</v>
      </c>
      <c r="LQ25">
        <v>96.1</v>
      </c>
      <c r="LR25">
        <v>96.15</v>
      </c>
      <c r="LS25">
        <v>96.114999999999995</v>
      </c>
      <c r="LT25">
        <v>96.155000000000001</v>
      </c>
      <c r="LU25">
        <v>96.144999999999996</v>
      </c>
      <c r="LV25">
        <v>96.26</v>
      </c>
      <c r="LW25">
        <v>96.275000000000006</v>
      </c>
      <c r="LX25">
        <v>96.325000000000003</v>
      </c>
      <c r="LY25">
        <v>96.325000000000003</v>
      </c>
      <c r="LZ25">
        <v>96.34</v>
      </c>
      <c r="MA25">
        <v>96.334999999999994</v>
      </c>
      <c r="MB25">
        <v>96.295000000000002</v>
      </c>
      <c r="MC25">
        <v>96.204999999999998</v>
      </c>
      <c r="MD25">
        <v>96.23</v>
      </c>
      <c r="ME25">
        <v>96.17</v>
      </c>
      <c r="MF25">
        <v>96.165000000000006</v>
      </c>
      <c r="MG25">
        <v>96.155000000000001</v>
      </c>
      <c r="MH25">
        <v>96.174999999999997</v>
      </c>
      <c r="MI25">
        <v>96.185000000000002</v>
      </c>
      <c r="MJ25">
        <v>96.094999999999999</v>
      </c>
      <c r="MK25">
        <v>96.07</v>
      </c>
      <c r="ML25">
        <v>96.114999999999995</v>
      </c>
      <c r="MM25">
        <v>96.094999999999999</v>
      </c>
      <c r="MN25">
        <v>96.094999999999999</v>
      </c>
      <c r="MO25">
        <v>96.135000000000005</v>
      </c>
      <c r="MP25">
        <v>96.105000000000004</v>
      </c>
      <c r="MQ25">
        <v>96.064999999999998</v>
      </c>
      <c r="MR25">
        <v>96.174999999999997</v>
      </c>
      <c r="MS25">
        <v>96.155000000000001</v>
      </c>
      <c r="MT25">
        <v>96.17</v>
      </c>
      <c r="MU25">
        <v>96.254999999999995</v>
      </c>
      <c r="MV25">
        <v>96.27</v>
      </c>
      <c r="MW25">
        <v>96.18</v>
      </c>
      <c r="MX25">
        <v>96.31</v>
      </c>
      <c r="MY25">
        <v>96.474999999999994</v>
      </c>
      <c r="MZ25">
        <v>96.355000000000004</v>
      </c>
      <c r="NA25">
        <v>96.27</v>
      </c>
      <c r="NB25">
        <v>96.2</v>
      </c>
      <c r="NC25">
        <v>96.125</v>
      </c>
      <c r="ND25">
        <v>96.15</v>
      </c>
      <c r="NE25">
        <v>96.12</v>
      </c>
      <c r="NF25">
        <v>96.165000000000006</v>
      </c>
      <c r="NG25">
        <v>96.22</v>
      </c>
      <c r="NH25">
        <v>96.165000000000006</v>
      </c>
      <c r="NI25">
        <v>96.155000000000001</v>
      </c>
      <c r="NJ25">
        <v>96.204999999999998</v>
      </c>
      <c r="NK25">
        <v>96.22</v>
      </c>
      <c r="NL25">
        <v>96.344999999999999</v>
      </c>
      <c r="NM25">
        <v>96.344999999999999</v>
      </c>
      <c r="NN25">
        <v>96.355000000000004</v>
      </c>
      <c r="NO25">
        <v>96.314999999999998</v>
      </c>
      <c r="NP25">
        <v>96.325000000000003</v>
      </c>
      <c r="NQ25">
        <v>96.33</v>
      </c>
      <c r="NR25">
        <v>96.32</v>
      </c>
      <c r="NS25">
        <v>96.375</v>
      </c>
      <c r="NT25">
        <v>96.465000000000003</v>
      </c>
      <c r="NU25">
        <v>96.42</v>
      </c>
      <c r="NV25">
        <v>96.47</v>
      </c>
      <c r="NW25">
        <v>96.47</v>
      </c>
      <c r="NX25">
        <v>96.495000000000005</v>
      </c>
      <c r="NY25">
        <v>96.564999999999998</v>
      </c>
      <c r="NZ25">
        <v>96.46</v>
      </c>
      <c r="OA25">
        <v>96.444999999999993</v>
      </c>
      <c r="OB25">
        <v>96.444999999999993</v>
      </c>
      <c r="OC25">
        <v>96.48</v>
      </c>
      <c r="OD25">
        <v>96.515000000000001</v>
      </c>
      <c r="OE25">
        <v>96.5</v>
      </c>
      <c r="OF25">
        <v>96.465000000000003</v>
      </c>
      <c r="OG25">
        <v>96.5</v>
      </c>
      <c r="OH25">
        <v>96.474999999999994</v>
      </c>
      <c r="OI25">
        <v>96.375</v>
      </c>
      <c r="OJ25">
        <v>96.23</v>
      </c>
      <c r="OK25">
        <v>96.185000000000002</v>
      </c>
      <c r="OL25">
        <v>96.18</v>
      </c>
      <c r="OM25">
        <v>96.29</v>
      </c>
      <c r="ON25">
        <v>96.284999999999997</v>
      </c>
      <c r="OO25">
        <v>96.22</v>
      </c>
      <c r="OP25">
        <v>96.09</v>
      </c>
      <c r="OQ25">
        <v>96.125</v>
      </c>
      <c r="OR25">
        <v>96.01</v>
      </c>
      <c r="OS25">
        <v>96.094999999999999</v>
      </c>
      <c r="OT25">
        <v>96.03</v>
      </c>
      <c r="OU25">
        <v>96.004999999999995</v>
      </c>
      <c r="OV25">
        <v>95.885000000000005</v>
      </c>
      <c r="OW25">
        <v>95.954999999999998</v>
      </c>
      <c r="OX25">
        <v>95.954999999999998</v>
      </c>
      <c r="OY25">
        <v>95.944999999999993</v>
      </c>
      <c r="OZ25">
        <v>95.96</v>
      </c>
      <c r="PA25">
        <v>95.92</v>
      </c>
      <c r="PB25">
        <v>95.9</v>
      </c>
      <c r="PC25">
        <v>95.8</v>
      </c>
      <c r="PD25">
        <v>95.885000000000005</v>
      </c>
      <c r="PE25">
        <v>95.7</v>
      </c>
      <c r="PF25">
        <v>95.704999999999998</v>
      </c>
      <c r="PG25">
        <v>95.694999999999993</v>
      </c>
      <c r="PH25">
        <v>95.83</v>
      </c>
      <c r="PI25">
        <v>95.75</v>
      </c>
      <c r="PJ25">
        <v>95.635000000000005</v>
      </c>
      <c r="PK25">
        <v>95.745000000000005</v>
      </c>
      <c r="PL25">
        <v>95.625</v>
      </c>
      <c r="PM25">
        <v>95.495000000000005</v>
      </c>
      <c r="PN25">
        <v>95.405000000000001</v>
      </c>
      <c r="PO25">
        <v>95.394999999999996</v>
      </c>
      <c r="PP25">
        <v>95.405000000000001</v>
      </c>
      <c r="PQ25">
        <v>95.405000000000001</v>
      </c>
      <c r="PR25">
        <v>95.295000000000002</v>
      </c>
      <c r="PS25">
        <v>95.435000000000002</v>
      </c>
      <c r="PT25">
        <v>95.43</v>
      </c>
      <c r="PU25">
        <v>95.325000000000003</v>
      </c>
      <c r="PV25">
        <v>95.25</v>
      </c>
      <c r="PW25">
        <v>95.38</v>
      </c>
      <c r="PX25">
        <v>95.43</v>
      </c>
      <c r="PY25">
        <v>95.564999999999998</v>
      </c>
      <c r="PZ25">
        <v>95.65</v>
      </c>
      <c r="QA25">
        <v>95.545000000000002</v>
      </c>
      <c r="QB25">
        <v>95.66</v>
      </c>
      <c r="QC25">
        <v>95.575000000000003</v>
      </c>
      <c r="QD25">
        <v>95.56</v>
      </c>
      <c r="QE25">
        <v>95.43</v>
      </c>
      <c r="QF25">
        <v>95.49</v>
      </c>
      <c r="QG25">
        <v>95.465000000000003</v>
      </c>
      <c r="QH25">
        <v>95.41</v>
      </c>
      <c r="QI25">
        <v>95.54</v>
      </c>
      <c r="QJ25">
        <v>95.685000000000002</v>
      </c>
      <c r="QK25">
        <v>95.65</v>
      </c>
      <c r="QL25">
        <v>95.655000000000001</v>
      </c>
      <c r="QM25">
        <v>95.73</v>
      </c>
      <c r="QN25">
        <v>95.74</v>
      </c>
      <c r="QO25">
        <v>95.89</v>
      </c>
      <c r="QP25">
        <v>95.86</v>
      </c>
      <c r="QQ25">
        <v>96.025000000000006</v>
      </c>
      <c r="QR25">
        <v>96.025000000000006</v>
      </c>
      <c r="QS25">
        <v>96.06</v>
      </c>
      <c r="QT25">
        <v>96.04</v>
      </c>
      <c r="QU25">
        <v>96.075000000000003</v>
      </c>
      <c r="QV25">
        <v>96.13</v>
      </c>
      <c r="QW25">
        <v>96.11</v>
      </c>
      <c r="QX25">
        <v>96.064999999999998</v>
      </c>
      <c r="QY25">
        <v>96.105000000000004</v>
      </c>
      <c r="QZ25">
        <v>96.094999999999999</v>
      </c>
      <c r="RA25">
        <v>96.08</v>
      </c>
      <c r="RB25">
        <v>96.08</v>
      </c>
      <c r="RC25">
        <v>96.15</v>
      </c>
      <c r="RD25">
        <v>96.15</v>
      </c>
      <c r="RE25">
        <v>96.245000000000005</v>
      </c>
      <c r="RF25">
        <v>96.22</v>
      </c>
      <c r="RG25">
        <v>96.224999999999994</v>
      </c>
      <c r="RH25">
        <v>96.165000000000006</v>
      </c>
      <c r="RI25">
        <v>96.125</v>
      </c>
      <c r="RJ25">
        <v>96.12</v>
      </c>
      <c r="RK25">
        <v>96.144999999999996</v>
      </c>
      <c r="RL25">
        <v>95.995000000000005</v>
      </c>
      <c r="RM25">
        <v>95.97</v>
      </c>
      <c r="RN25">
        <v>96.064999999999998</v>
      </c>
      <c r="RO25">
        <v>95.99</v>
      </c>
      <c r="RP25">
        <v>96.075000000000003</v>
      </c>
      <c r="RQ25">
        <v>96.11</v>
      </c>
      <c r="RR25">
        <v>96.17</v>
      </c>
      <c r="RS25">
        <v>96.15</v>
      </c>
      <c r="RT25">
        <v>96.245000000000005</v>
      </c>
      <c r="RU25">
        <v>96.35</v>
      </c>
      <c r="RV25">
        <v>96.314999999999998</v>
      </c>
      <c r="RW25">
        <v>96.25</v>
      </c>
      <c r="RX25">
        <v>96.254999999999995</v>
      </c>
      <c r="RY25">
        <v>96.105000000000004</v>
      </c>
      <c r="RZ25">
        <v>96.25</v>
      </c>
      <c r="SA25">
        <v>96.3</v>
      </c>
      <c r="SB25">
        <v>96.39</v>
      </c>
      <c r="SC25">
        <v>96.385000000000005</v>
      </c>
      <c r="SD25">
        <v>96.34</v>
      </c>
      <c r="SE25">
        <v>96.51</v>
      </c>
      <c r="SF25">
        <v>96.454999999999998</v>
      </c>
      <c r="SG25">
        <v>96.515000000000001</v>
      </c>
      <c r="SH25">
        <v>96.525000000000006</v>
      </c>
      <c r="SI25">
        <v>96.504999999999995</v>
      </c>
      <c r="SJ25">
        <v>96.63</v>
      </c>
      <c r="SK25">
        <v>96.59</v>
      </c>
      <c r="SL25">
        <v>96.564999999999998</v>
      </c>
      <c r="SM25">
        <v>96.525000000000006</v>
      </c>
      <c r="SN25">
        <v>96.54</v>
      </c>
      <c r="SO25">
        <v>96.495000000000005</v>
      </c>
      <c r="SP25">
        <v>96.405000000000001</v>
      </c>
      <c r="SQ25">
        <v>96.34</v>
      </c>
      <c r="SR25">
        <v>96.3</v>
      </c>
      <c r="SS25">
        <v>96.36</v>
      </c>
      <c r="ST25">
        <v>96.495000000000005</v>
      </c>
      <c r="SU25">
        <v>96.6</v>
      </c>
      <c r="SV25">
        <v>96.6</v>
      </c>
      <c r="SW25">
        <v>96.635000000000005</v>
      </c>
      <c r="SX25">
        <v>96.57</v>
      </c>
      <c r="SY25">
        <v>96.715000000000003</v>
      </c>
      <c r="SZ25">
        <v>96.655000000000001</v>
      </c>
      <c r="TA25">
        <v>96.685000000000002</v>
      </c>
      <c r="TB25">
        <v>96.655000000000001</v>
      </c>
      <c r="TC25">
        <v>96.59</v>
      </c>
      <c r="TD25">
        <v>96.665000000000006</v>
      </c>
      <c r="TE25">
        <v>96.7</v>
      </c>
      <c r="TF25">
        <v>96.63</v>
      </c>
      <c r="TG25">
        <v>96.63</v>
      </c>
      <c r="TH25">
        <v>96.665000000000006</v>
      </c>
      <c r="TI25">
        <v>96.6</v>
      </c>
      <c r="TJ25">
        <v>96.53</v>
      </c>
      <c r="TK25">
        <v>96.605000000000004</v>
      </c>
      <c r="TL25">
        <v>96.61</v>
      </c>
      <c r="TM25">
        <v>96.614999999999995</v>
      </c>
      <c r="TN25">
        <v>96.54</v>
      </c>
      <c r="TO25">
        <v>96.644999999999996</v>
      </c>
      <c r="TP25">
        <v>96.625</v>
      </c>
      <c r="TQ25">
        <v>96.594999999999999</v>
      </c>
      <c r="TR25">
        <v>96.694999999999993</v>
      </c>
      <c r="TS25">
        <v>96.68</v>
      </c>
      <c r="TT25">
        <v>96.635000000000005</v>
      </c>
      <c r="TU25">
        <v>96.525000000000006</v>
      </c>
      <c r="TV25">
        <v>96.525000000000006</v>
      </c>
      <c r="TW25">
        <v>96.51</v>
      </c>
      <c r="TX25">
        <v>96.594999999999999</v>
      </c>
      <c r="TY25">
        <v>96.6</v>
      </c>
      <c r="TZ25">
        <v>96.564999999999998</v>
      </c>
      <c r="UA25">
        <v>96.56</v>
      </c>
      <c r="UB25">
        <v>96.61</v>
      </c>
      <c r="UC25">
        <v>96.674999999999997</v>
      </c>
      <c r="UD25">
        <v>96.69</v>
      </c>
      <c r="UE25">
        <v>96.74</v>
      </c>
      <c r="UF25">
        <v>96.78</v>
      </c>
      <c r="UG25">
        <v>96.834999999999994</v>
      </c>
      <c r="UH25">
        <v>96.79</v>
      </c>
      <c r="UI25">
        <v>96.72</v>
      </c>
      <c r="UJ25">
        <v>96.724999999999994</v>
      </c>
      <c r="UK25">
        <v>96.77</v>
      </c>
      <c r="UL25">
        <v>96.844999999999999</v>
      </c>
      <c r="UM25">
        <v>96.834999999999994</v>
      </c>
      <c r="UN25">
        <v>96.83</v>
      </c>
      <c r="UO25">
        <v>96.7</v>
      </c>
      <c r="UP25">
        <v>96.83</v>
      </c>
      <c r="UQ25">
        <v>96.765000000000001</v>
      </c>
      <c r="UR25">
        <v>96.84</v>
      </c>
      <c r="US25">
        <v>96.89</v>
      </c>
      <c r="UT25">
        <v>96.82</v>
      </c>
      <c r="UU25">
        <v>96.765000000000001</v>
      </c>
      <c r="UV25">
        <v>96.81</v>
      </c>
      <c r="UW25">
        <v>96.76</v>
      </c>
      <c r="UX25">
        <v>96.78</v>
      </c>
      <c r="UY25">
        <v>96.75</v>
      </c>
      <c r="UZ25">
        <v>96.81</v>
      </c>
      <c r="VA25">
        <v>96.864999999999995</v>
      </c>
      <c r="VB25">
        <v>96.92</v>
      </c>
      <c r="VC25">
        <v>96.91</v>
      </c>
      <c r="VD25">
        <v>96.9</v>
      </c>
      <c r="VE25">
        <v>96.954999999999998</v>
      </c>
      <c r="VF25">
        <v>97.03</v>
      </c>
      <c r="VG25">
        <v>97.015000000000001</v>
      </c>
      <c r="VH25">
        <v>96.98</v>
      </c>
      <c r="VI25">
        <v>96.9</v>
      </c>
      <c r="VJ25">
        <v>96.844999999999999</v>
      </c>
      <c r="VK25">
        <v>96.8</v>
      </c>
      <c r="VL25">
        <v>96.775000000000006</v>
      </c>
      <c r="VM25">
        <v>96.765000000000001</v>
      </c>
      <c r="VN25">
        <v>96.795000000000002</v>
      </c>
      <c r="VO25">
        <v>96.915000000000006</v>
      </c>
      <c r="VP25">
        <v>96.875</v>
      </c>
      <c r="VQ25">
        <v>96.805000000000007</v>
      </c>
      <c r="VR25">
        <v>96.75</v>
      </c>
      <c r="VS25">
        <v>96.814999999999998</v>
      </c>
      <c r="VT25">
        <v>96.905000000000001</v>
      </c>
      <c r="VU25">
        <v>96.74</v>
      </c>
      <c r="VV25">
        <v>96.81</v>
      </c>
      <c r="VW25">
        <v>96.74</v>
      </c>
      <c r="VX25">
        <v>96.795000000000002</v>
      </c>
      <c r="VY25">
        <v>96.775000000000006</v>
      </c>
      <c r="VZ25">
        <v>96.575000000000003</v>
      </c>
      <c r="WA25">
        <v>96.62</v>
      </c>
      <c r="WB25">
        <v>96.605000000000004</v>
      </c>
      <c r="WC25">
        <v>96.53</v>
      </c>
      <c r="WD25">
        <v>96.53</v>
      </c>
      <c r="WE25">
        <v>96.405000000000001</v>
      </c>
      <c r="WF25">
        <v>96.51</v>
      </c>
      <c r="WG25">
        <v>96.594999999999999</v>
      </c>
      <c r="WH25">
        <v>96.594999999999999</v>
      </c>
      <c r="WI25">
        <v>96.55</v>
      </c>
      <c r="WJ25">
        <v>96.6</v>
      </c>
      <c r="WK25">
        <v>96.545000000000002</v>
      </c>
      <c r="WL25">
        <v>96.51</v>
      </c>
      <c r="WM25">
        <v>96.66</v>
      </c>
      <c r="WN25">
        <v>96.66</v>
      </c>
      <c r="WO25">
        <v>96.64</v>
      </c>
      <c r="WP25">
        <v>96.68</v>
      </c>
      <c r="WQ25">
        <v>96.745000000000005</v>
      </c>
      <c r="WR25">
        <v>96.754999999999995</v>
      </c>
      <c r="WS25">
        <v>96.724999999999994</v>
      </c>
      <c r="WT25">
        <v>96.784999999999997</v>
      </c>
      <c r="WU25">
        <v>96.81</v>
      </c>
      <c r="WV25">
        <v>96.79</v>
      </c>
      <c r="WW25">
        <v>96.82</v>
      </c>
      <c r="WX25">
        <v>96.9</v>
      </c>
      <c r="WY25">
        <v>97</v>
      </c>
      <c r="WZ25">
        <v>97.03</v>
      </c>
      <c r="XA25">
        <v>96.905000000000001</v>
      </c>
      <c r="XB25">
        <v>96.875</v>
      </c>
      <c r="XC25">
        <v>96.915000000000006</v>
      </c>
      <c r="XD25">
        <v>96.965000000000003</v>
      </c>
      <c r="XE25">
        <v>96.984999999999999</v>
      </c>
      <c r="XF25">
        <v>96.984999999999999</v>
      </c>
      <c r="XG25">
        <v>96.91</v>
      </c>
      <c r="XH25">
        <v>96.944999999999993</v>
      </c>
      <c r="XI25">
        <v>97.034999999999997</v>
      </c>
      <c r="XJ25">
        <v>97.064999999999998</v>
      </c>
      <c r="XK25">
        <v>96.92</v>
      </c>
      <c r="XL25">
        <v>96.965000000000003</v>
      </c>
      <c r="XM25">
        <v>96.965000000000003</v>
      </c>
      <c r="XN25">
        <v>96.99</v>
      </c>
      <c r="XO25">
        <v>96.885000000000005</v>
      </c>
      <c r="XP25">
        <v>96.83</v>
      </c>
      <c r="XQ25">
        <v>96.944999999999993</v>
      </c>
      <c r="XR25">
        <v>96.9</v>
      </c>
      <c r="XS25">
        <v>96.745000000000005</v>
      </c>
      <c r="XT25">
        <v>96.734999999999999</v>
      </c>
      <c r="XU25">
        <v>96.63</v>
      </c>
      <c r="XV25">
        <v>96.56</v>
      </c>
      <c r="XW25">
        <v>96.56</v>
      </c>
      <c r="XX25">
        <v>96.525000000000006</v>
      </c>
      <c r="XY25">
        <v>96.47</v>
      </c>
      <c r="XZ25">
        <v>96.555000000000007</v>
      </c>
      <c r="YA25">
        <v>96.64</v>
      </c>
      <c r="YB25">
        <v>96.64</v>
      </c>
      <c r="YC25">
        <v>96.67</v>
      </c>
      <c r="YD25">
        <v>96.644999999999996</v>
      </c>
      <c r="YE25">
        <v>96.71</v>
      </c>
      <c r="YF25">
        <v>96.844999999999999</v>
      </c>
      <c r="YG25">
        <v>96.935000000000002</v>
      </c>
      <c r="YH25">
        <v>97</v>
      </c>
      <c r="YI25">
        <v>96.94</v>
      </c>
      <c r="YJ25">
        <v>96.94</v>
      </c>
      <c r="YK25">
        <v>96.84</v>
      </c>
      <c r="YL25">
        <v>96.875</v>
      </c>
      <c r="YM25">
        <v>96.965000000000003</v>
      </c>
      <c r="YN25">
        <v>97.075000000000003</v>
      </c>
      <c r="YO25">
        <v>96.965000000000003</v>
      </c>
      <c r="YP25">
        <v>96.87</v>
      </c>
      <c r="YQ25">
        <v>96.97</v>
      </c>
      <c r="YR25">
        <v>96.924999999999997</v>
      </c>
      <c r="YS25">
        <v>96.765000000000001</v>
      </c>
      <c r="YT25">
        <v>96.734999999999999</v>
      </c>
      <c r="YU25">
        <v>96.78</v>
      </c>
      <c r="YV25">
        <v>96.765000000000001</v>
      </c>
      <c r="YW25">
        <v>96.75</v>
      </c>
      <c r="YX25">
        <v>96.75</v>
      </c>
      <c r="YY25">
        <v>96.68</v>
      </c>
      <c r="YZ25">
        <v>96.58</v>
      </c>
      <c r="ZA25">
        <v>96.57</v>
      </c>
      <c r="ZB25">
        <v>96.64</v>
      </c>
      <c r="ZC25">
        <v>96.694999999999993</v>
      </c>
      <c r="ZD25">
        <v>96.57</v>
      </c>
      <c r="ZE25">
        <v>96.495000000000005</v>
      </c>
      <c r="ZF25">
        <v>96.545000000000002</v>
      </c>
      <c r="ZG25">
        <v>96.525000000000006</v>
      </c>
      <c r="ZH25">
        <v>96.224999999999994</v>
      </c>
      <c r="ZI25">
        <v>96.254999999999995</v>
      </c>
      <c r="ZJ25">
        <v>96.15</v>
      </c>
      <c r="ZK25">
        <v>96.16</v>
      </c>
      <c r="ZL25">
        <v>96.19</v>
      </c>
      <c r="ZM25">
        <v>96.204999999999998</v>
      </c>
      <c r="ZN25">
        <v>96.185000000000002</v>
      </c>
      <c r="ZO25">
        <v>96.165000000000006</v>
      </c>
      <c r="ZP25">
        <v>96.194999999999993</v>
      </c>
      <c r="ZQ25">
        <v>96.284999999999997</v>
      </c>
      <c r="ZR25">
        <v>96.224999999999994</v>
      </c>
      <c r="ZS25">
        <v>96.135000000000005</v>
      </c>
      <c r="ZT25">
        <v>95.995000000000005</v>
      </c>
      <c r="ZU25">
        <v>96.04</v>
      </c>
      <c r="ZV25">
        <v>96.055000000000007</v>
      </c>
      <c r="ZW25">
        <v>96.18</v>
      </c>
      <c r="ZX25">
        <v>96.31</v>
      </c>
      <c r="ZY25">
        <v>96.29</v>
      </c>
      <c r="ZZ25">
        <v>96.295000000000002</v>
      </c>
      <c r="AAA25">
        <v>96.34</v>
      </c>
      <c r="AAB25">
        <v>96.325000000000003</v>
      </c>
      <c r="AAC25">
        <v>96.284999999999997</v>
      </c>
      <c r="AAD25">
        <v>96.24</v>
      </c>
      <c r="AAE25">
        <v>96.33</v>
      </c>
      <c r="AAF25">
        <v>96.38</v>
      </c>
      <c r="AAG25">
        <v>96.435000000000002</v>
      </c>
      <c r="AAH25">
        <v>96.594999999999999</v>
      </c>
      <c r="AAI25">
        <v>96.5</v>
      </c>
      <c r="AAJ25">
        <v>96.33</v>
      </c>
      <c r="AAK25">
        <v>96.394999999999996</v>
      </c>
      <c r="AAL25">
        <v>96.44</v>
      </c>
      <c r="AAM25">
        <v>96.275000000000006</v>
      </c>
      <c r="AAN25">
        <v>96.385000000000005</v>
      </c>
      <c r="AAO25">
        <v>96.584999999999994</v>
      </c>
      <c r="AAP25">
        <v>96.515000000000001</v>
      </c>
      <c r="AAQ25">
        <v>96.694999999999993</v>
      </c>
      <c r="AAR25">
        <v>96.63</v>
      </c>
      <c r="AAS25">
        <v>96.72</v>
      </c>
      <c r="AAT25">
        <v>96.74</v>
      </c>
      <c r="AAU25">
        <v>96.76</v>
      </c>
      <c r="AAV25">
        <v>96.834999999999994</v>
      </c>
      <c r="AAW25">
        <v>96.805000000000007</v>
      </c>
      <c r="AAX25">
        <v>96.814999999999998</v>
      </c>
      <c r="AAY25">
        <v>96.864999999999995</v>
      </c>
      <c r="AAZ25">
        <v>96.88</v>
      </c>
      <c r="ABA25">
        <v>96.905000000000001</v>
      </c>
      <c r="ABB25">
        <v>96.81</v>
      </c>
      <c r="ABC25">
        <v>96.98</v>
      </c>
      <c r="ABD25">
        <v>96.98</v>
      </c>
      <c r="ABE25">
        <v>96.924999999999997</v>
      </c>
      <c r="ABF25">
        <v>97.1</v>
      </c>
      <c r="ABG25">
        <v>97.15</v>
      </c>
      <c r="ABH25">
        <v>97.114999999999995</v>
      </c>
      <c r="ABI25">
        <v>97.224999999999994</v>
      </c>
      <c r="ABJ25">
        <v>97.25</v>
      </c>
      <c r="ABK25">
        <v>97.165000000000006</v>
      </c>
      <c r="ABL25">
        <v>97.234999999999999</v>
      </c>
      <c r="ABM25">
        <v>97.27</v>
      </c>
      <c r="ABN25">
        <v>97.295000000000002</v>
      </c>
      <c r="ABO25">
        <v>97.43</v>
      </c>
      <c r="ABP25">
        <v>97.415000000000006</v>
      </c>
      <c r="ABQ25">
        <v>97.495000000000005</v>
      </c>
      <c r="ABR25">
        <v>97.48</v>
      </c>
      <c r="ABS25">
        <v>97.394999999999996</v>
      </c>
      <c r="ABT25">
        <v>97.34</v>
      </c>
      <c r="ABU25">
        <v>97.49</v>
      </c>
      <c r="ABV25">
        <v>97.504999999999995</v>
      </c>
      <c r="ABW25">
        <v>97.5</v>
      </c>
      <c r="ABX25">
        <v>97.41</v>
      </c>
      <c r="ABY25">
        <v>97.56</v>
      </c>
      <c r="ABZ25">
        <v>97.47</v>
      </c>
      <c r="ACA25">
        <v>97.46</v>
      </c>
      <c r="ACB25">
        <v>97.555000000000007</v>
      </c>
      <c r="ACC25">
        <v>97.495000000000005</v>
      </c>
      <c r="ACD25">
        <v>97.444999999999993</v>
      </c>
      <c r="ACE25">
        <v>97.394999999999996</v>
      </c>
      <c r="ACF25">
        <v>97.33</v>
      </c>
      <c r="ACG25">
        <v>97.295000000000002</v>
      </c>
      <c r="ACH25">
        <v>97.344999999999999</v>
      </c>
      <c r="ACI25">
        <v>97.234999999999999</v>
      </c>
      <c r="ACJ25">
        <v>97.12</v>
      </c>
      <c r="ACK25">
        <v>97.16</v>
      </c>
      <c r="ACL25">
        <v>97.194999999999993</v>
      </c>
      <c r="ACM25">
        <v>97.22</v>
      </c>
      <c r="ACN25">
        <v>97.155000000000001</v>
      </c>
      <c r="ACO25">
        <v>97.2</v>
      </c>
      <c r="ACP25">
        <v>97.09</v>
      </c>
      <c r="ACQ25">
        <v>97.04</v>
      </c>
      <c r="ACR25">
        <v>96.894999999999996</v>
      </c>
      <c r="ACS25">
        <v>96.98</v>
      </c>
      <c r="ACT25">
        <v>97.094999999999999</v>
      </c>
      <c r="ACU25">
        <v>97.18</v>
      </c>
      <c r="ACV25">
        <v>97.094999999999999</v>
      </c>
      <c r="ACW25">
        <v>97.094999999999999</v>
      </c>
      <c r="ACX25">
        <v>97.055000000000007</v>
      </c>
      <c r="ACY25">
        <v>96.93</v>
      </c>
      <c r="ACZ25">
        <v>96.84</v>
      </c>
      <c r="ADA25">
        <v>96.86</v>
      </c>
      <c r="ADB25">
        <v>96.915000000000006</v>
      </c>
      <c r="ADC25">
        <v>97.01</v>
      </c>
      <c r="ADD25">
        <v>96.91</v>
      </c>
      <c r="ADE25">
        <v>96.784999999999997</v>
      </c>
      <c r="ADF25">
        <v>96.88</v>
      </c>
      <c r="ADG25">
        <v>96.88</v>
      </c>
      <c r="ADH25">
        <v>96.805000000000007</v>
      </c>
      <c r="ADI25">
        <v>96.685000000000002</v>
      </c>
      <c r="ADJ25">
        <v>96.66</v>
      </c>
      <c r="ADK25">
        <v>96.76</v>
      </c>
      <c r="ADL25">
        <v>96.98</v>
      </c>
      <c r="ADM25">
        <v>97.055000000000007</v>
      </c>
      <c r="ADN25">
        <v>97.055000000000007</v>
      </c>
      <c r="ADO25">
        <v>97.105000000000004</v>
      </c>
      <c r="ADP25">
        <v>97.01</v>
      </c>
      <c r="ADQ25">
        <v>97.114999999999995</v>
      </c>
      <c r="ADR25">
        <v>97.165000000000006</v>
      </c>
      <c r="ADS25">
        <v>97.125</v>
      </c>
      <c r="ADT25">
        <v>97.18</v>
      </c>
      <c r="ADU25">
        <v>97.27</v>
      </c>
      <c r="ADV25">
        <v>97.27</v>
      </c>
      <c r="ADW25">
        <v>97.254999999999995</v>
      </c>
      <c r="ADX25">
        <v>97.28</v>
      </c>
      <c r="ADY25">
        <v>97.28</v>
      </c>
      <c r="ADZ25">
        <v>97.22</v>
      </c>
      <c r="AEA25">
        <v>97.28</v>
      </c>
      <c r="AEB25">
        <v>97.204999999999998</v>
      </c>
      <c r="AEC25">
        <v>97.174999999999997</v>
      </c>
      <c r="AED25">
        <v>97.06</v>
      </c>
      <c r="AEE25">
        <v>97.135000000000005</v>
      </c>
      <c r="AEF25">
        <v>97.06</v>
      </c>
      <c r="AEG25">
        <v>97.185000000000002</v>
      </c>
      <c r="AEH25">
        <v>97.105000000000004</v>
      </c>
      <c r="AEI25">
        <v>97</v>
      </c>
      <c r="AEJ25">
        <v>96.89</v>
      </c>
      <c r="AEK25">
        <v>96.844999999999999</v>
      </c>
      <c r="AEL25">
        <v>96.93</v>
      </c>
      <c r="AEM25">
        <v>97.075000000000003</v>
      </c>
      <c r="AEN25">
        <v>97.075000000000003</v>
      </c>
      <c r="AEO25">
        <v>97.015000000000001</v>
      </c>
      <c r="AEP25">
        <v>97.155000000000001</v>
      </c>
      <c r="AEQ25">
        <v>97.165000000000006</v>
      </c>
      <c r="AER25">
        <v>97.23</v>
      </c>
      <c r="AES25">
        <v>97.284999999999997</v>
      </c>
      <c r="AET25">
        <v>97.275000000000006</v>
      </c>
      <c r="AEU25">
        <v>97.185000000000002</v>
      </c>
      <c r="AEV25">
        <v>97.135000000000005</v>
      </c>
      <c r="AEW25">
        <v>97.204999999999998</v>
      </c>
      <c r="AEX25">
        <v>97.1</v>
      </c>
      <c r="AEY25">
        <v>97.15</v>
      </c>
      <c r="AEZ25">
        <v>97.22</v>
      </c>
      <c r="AFA25">
        <v>97.22</v>
      </c>
      <c r="AFB25">
        <v>97.35</v>
      </c>
      <c r="AFC25">
        <v>97.314999999999998</v>
      </c>
      <c r="AFD25">
        <v>97.27</v>
      </c>
      <c r="AFE25">
        <v>97.394999999999996</v>
      </c>
      <c r="AFF25">
        <v>97.48</v>
      </c>
      <c r="AFG25">
        <v>97.59</v>
      </c>
      <c r="AFH25">
        <v>97.685000000000002</v>
      </c>
      <c r="AFI25">
        <v>97.88</v>
      </c>
      <c r="AFJ25">
        <v>97.9</v>
      </c>
      <c r="AFK25">
        <v>97.915000000000006</v>
      </c>
      <c r="AFL25">
        <v>97.855000000000004</v>
      </c>
      <c r="AFM25">
        <v>97.795000000000002</v>
      </c>
      <c r="AFN25">
        <v>97.7</v>
      </c>
      <c r="AFO25">
        <v>97.65</v>
      </c>
      <c r="AFP25">
        <v>97.81</v>
      </c>
      <c r="AFQ25">
        <v>97.834999999999994</v>
      </c>
      <c r="AFR25">
        <v>97.78</v>
      </c>
      <c r="AFS25">
        <v>97.844999999999999</v>
      </c>
      <c r="AFT25">
        <v>97.984999999999999</v>
      </c>
      <c r="AFU25">
        <v>97.91</v>
      </c>
      <c r="AFV25">
        <v>97.885000000000005</v>
      </c>
      <c r="AFW25">
        <v>97.905000000000001</v>
      </c>
      <c r="AFX25">
        <v>97.93</v>
      </c>
      <c r="AFY25">
        <v>98.09</v>
      </c>
      <c r="AFZ25">
        <v>98.1</v>
      </c>
      <c r="AGA25">
        <v>98.174999999999997</v>
      </c>
      <c r="AGB25">
        <v>98.265000000000001</v>
      </c>
      <c r="AGC25">
        <v>98.38</v>
      </c>
      <c r="AGD25">
        <v>98.38</v>
      </c>
      <c r="AGE25">
        <v>98.23</v>
      </c>
      <c r="AGF25">
        <v>98.18</v>
      </c>
      <c r="AGG25">
        <v>98.33</v>
      </c>
      <c r="AGH25">
        <v>98.21</v>
      </c>
      <c r="AGI25">
        <v>98.064999999999998</v>
      </c>
      <c r="AGJ25">
        <v>98.07</v>
      </c>
      <c r="AGK25">
        <v>98.09</v>
      </c>
      <c r="AGL25">
        <v>98.125</v>
      </c>
      <c r="AGM25">
        <v>98.12</v>
      </c>
      <c r="AGN25">
        <v>98.12</v>
      </c>
      <c r="AGO25">
        <v>98.07</v>
      </c>
      <c r="AGP25">
        <v>97.98</v>
      </c>
      <c r="AGQ25">
        <v>97.99</v>
      </c>
      <c r="AGR25">
        <v>98.075000000000003</v>
      </c>
      <c r="AGS25">
        <v>98.125</v>
      </c>
      <c r="AGT25">
        <v>98.015000000000001</v>
      </c>
      <c r="AGU25">
        <v>98.08</v>
      </c>
      <c r="AGV25">
        <v>98.034999999999997</v>
      </c>
      <c r="AGW25">
        <v>98.075000000000003</v>
      </c>
      <c r="AGX25">
        <v>98.06</v>
      </c>
      <c r="AGY25">
        <v>98.16</v>
      </c>
      <c r="AGZ25">
        <v>98.23</v>
      </c>
      <c r="AHA25">
        <v>98.194999999999993</v>
      </c>
      <c r="AHB25">
        <v>98.204999999999998</v>
      </c>
      <c r="AHC25">
        <v>98.215000000000003</v>
      </c>
      <c r="AHD25">
        <v>98.17</v>
      </c>
      <c r="AHE25">
        <v>98.064999999999998</v>
      </c>
      <c r="AHF25">
        <v>98.135000000000005</v>
      </c>
      <c r="AHG25">
        <v>98.2</v>
      </c>
      <c r="AHH25">
        <v>98.18</v>
      </c>
      <c r="AHI25">
        <v>98.11</v>
      </c>
      <c r="AHJ25">
        <v>98.094999999999999</v>
      </c>
      <c r="AHK25">
        <v>98.045000000000002</v>
      </c>
      <c r="AHL25">
        <v>98.15</v>
      </c>
      <c r="AHM25">
        <v>98.15</v>
      </c>
      <c r="AHN25">
        <v>98.23</v>
      </c>
      <c r="AHO25">
        <v>98.194999999999993</v>
      </c>
      <c r="AHP25">
        <v>98.15</v>
      </c>
      <c r="AHQ25">
        <v>98.1</v>
      </c>
      <c r="AHR25">
        <v>98.105000000000004</v>
      </c>
      <c r="AHS25">
        <v>98.14</v>
      </c>
      <c r="AHT25">
        <v>98.17</v>
      </c>
      <c r="AHU25">
        <v>98.2</v>
      </c>
      <c r="AHV25">
        <v>98.245000000000005</v>
      </c>
      <c r="AHW25">
        <v>98.415000000000006</v>
      </c>
      <c r="AHX25">
        <v>98.4</v>
      </c>
      <c r="AHY25">
        <v>98.39</v>
      </c>
      <c r="AHZ25">
        <v>98.48</v>
      </c>
      <c r="AIA25">
        <v>98.46</v>
      </c>
      <c r="AIB25">
        <v>98.435000000000002</v>
      </c>
      <c r="AIC25">
        <v>98.435000000000002</v>
      </c>
      <c r="AID25">
        <v>98.46</v>
      </c>
      <c r="AIE25">
        <v>98.435000000000002</v>
      </c>
      <c r="AIF25">
        <v>98.525000000000006</v>
      </c>
      <c r="AIG25">
        <v>98.575000000000003</v>
      </c>
      <c r="AIH25">
        <v>98.54</v>
      </c>
      <c r="AII25">
        <v>98.484999999999999</v>
      </c>
      <c r="AIJ25">
        <v>98.5</v>
      </c>
      <c r="AIK25">
        <v>98.515000000000001</v>
      </c>
      <c r="AIL25">
        <v>98.454999999999998</v>
      </c>
      <c r="AIM25">
        <v>98.484999999999999</v>
      </c>
      <c r="AIN25">
        <v>98.444999999999993</v>
      </c>
      <c r="AIO25">
        <v>98.465000000000003</v>
      </c>
      <c r="AIP25">
        <v>98.51</v>
      </c>
      <c r="AIQ25">
        <v>98.655000000000001</v>
      </c>
      <c r="AIR25">
        <v>98.52</v>
      </c>
      <c r="AIS25">
        <v>98.53</v>
      </c>
      <c r="AIT25">
        <v>98.46</v>
      </c>
      <c r="AIU25">
        <v>98.35</v>
      </c>
      <c r="AIV25">
        <v>98.41</v>
      </c>
      <c r="AIW25">
        <v>98.234999999999999</v>
      </c>
      <c r="AIX25">
        <v>98.234999999999999</v>
      </c>
      <c r="AIY25">
        <v>98.194999999999993</v>
      </c>
      <c r="AIZ25">
        <v>98.26</v>
      </c>
      <c r="AJA25">
        <v>98.364999999999995</v>
      </c>
      <c r="AJB25">
        <v>98.29</v>
      </c>
      <c r="AJC25">
        <v>98.26</v>
      </c>
      <c r="AJD25">
        <v>98.234999999999999</v>
      </c>
      <c r="AJE25">
        <v>98.27</v>
      </c>
      <c r="AJF25">
        <v>98.31</v>
      </c>
      <c r="AJG25">
        <v>98.314999999999998</v>
      </c>
      <c r="AJH25">
        <v>98.35</v>
      </c>
      <c r="AJI25">
        <v>98.465000000000003</v>
      </c>
      <c r="AJJ25">
        <v>98.375</v>
      </c>
      <c r="AJK25">
        <v>98.415000000000006</v>
      </c>
      <c r="AJL25">
        <v>98.32</v>
      </c>
      <c r="AJM25">
        <v>98.29</v>
      </c>
      <c r="AJN25">
        <v>98.31</v>
      </c>
      <c r="AJO25">
        <v>98.34</v>
      </c>
      <c r="AJP25">
        <v>98.375</v>
      </c>
      <c r="AJQ25">
        <v>98.34</v>
      </c>
      <c r="AJR25">
        <v>98.344999999999999</v>
      </c>
      <c r="AJS25">
        <v>98.19</v>
      </c>
      <c r="AJT25">
        <v>98.18</v>
      </c>
      <c r="AJU25">
        <v>98.18</v>
      </c>
      <c r="AJV25">
        <v>98.13</v>
      </c>
      <c r="AJW25">
        <v>98.165000000000006</v>
      </c>
      <c r="AJX25">
        <v>98.185000000000002</v>
      </c>
      <c r="AJY25">
        <v>98.26</v>
      </c>
      <c r="AJZ25">
        <v>98.24</v>
      </c>
      <c r="AKA25">
        <v>98.295000000000002</v>
      </c>
      <c r="AKB25">
        <v>98.25</v>
      </c>
      <c r="AKC25">
        <v>98.17</v>
      </c>
      <c r="AKD25">
        <v>98.1</v>
      </c>
      <c r="AKE25">
        <v>98.105000000000004</v>
      </c>
      <c r="AKF25">
        <v>98.15</v>
      </c>
      <c r="AKG25">
        <v>98.204999999999998</v>
      </c>
      <c r="AKH25">
        <v>98.185000000000002</v>
      </c>
      <c r="AKI25">
        <v>98.24</v>
      </c>
      <c r="AKJ25">
        <v>98.22</v>
      </c>
      <c r="AKK25">
        <v>98.15</v>
      </c>
      <c r="AKL25">
        <v>98.135000000000005</v>
      </c>
      <c r="AKM25">
        <v>98.144999999999996</v>
      </c>
      <c r="AKN25">
        <v>98.224999999999994</v>
      </c>
      <c r="AKO25">
        <v>98.27</v>
      </c>
      <c r="AKP25">
        <v>98.34</v>
      </c>
      <c r="AKQ25">
        <v>98.43</v>
      </c>
      <c r="AKR25">
        <v>98.415000000000006</v>
      </c>
      <c r="AKS25">
        <v>98.42</v>
      </c>
      <c r="AKT25">
        <v>98.344999999999999</v>
      </c>
      <c r="AKU25">
        <v>98.41</v>
      </c>
      <c r="AKV25">
        <v>98.454999999999998</v>
      </c>
      <c r="AKW25">
        <v>98.52</v>
      </c>
      <c r="AKX25">
        <v>98.454999999999998</v>
      </c>
      <c r="AKY25">
        <v>98.435000000000002</v>
      </c>
      <c r="AKZ25">
        <v>98.5</v>
      </c>
      <c r="ALA25">
        <v>98.46</v>
      </c>
      <c r="ALB25">
        <v>98.415000000000006</v>
      </c>
      <c r="ALC25">
        <v>98.47</v>
      </c>
      <c r="ALD25">
        <v>98.47</v>
      </c>
      <c r="ALE25">
        <v>98.51</v>
      </c>
      <c r="ALF25">
        <v>98.5</v>
      </c>
      <c r="ALG25">
        <v>98.495000000000005</v>
      </c>
      <c r="ALH25">
        <v>98.52</v>
      </c>
      <c r="ALI25">
        <v>98.495000000000005</v>
      </c>
      <c r="ALJ25">
        <v>98.46</v>
      </c>
      <c r="ALK25">
        <v>98.47</v>
      </c>
      <c r="ALL25">
        <v>98.54</v>
      </c>
      <c r="ALM25">
        <v>98.584999999999994</v>
      </c>
      <c r="ALN25">
        <v>98.575000000000003</v>
      </c>
      <c r="ALO25">
        <v>98.6</v>
      </c>
      <c r="ALP25">
        <v>98.56</v>
      </c>
      <c r="ALQ25">
        <v>98.59</v>
      </c>
      <c r="ALR25">
        <v>98.594999999999999</v>
      </c>
      <c r="ALS25">
        <v>98.545000000000002</v>
      </c>
      <c r="ALT25">
        <v>98.454999999999998</v>
      </c>
      <c r="ALU25">
        <v>98.47</v>
      </c>
      <c r="ALV25">
        <v>98.484999999999999</v>
      </c>
      <c r="ALW25">
        <v>98.51</v>
      </c>
      <c r="ALX25">
        <v>98.55</v>
      </c>
      <c r="ALY25">
        <v>98.635000000000005</v>
      </c>
      <c r="ALZ25">
        <v>98.674999999999997</v>
      </c>
      <c r="AMA25">
        <v>98.68</v>
      </c>
      <c r="AMB25">
        <v>98.68</v>
      </c>
      <c r="AMC25">
        <v>98.59</v>
      </c>
      <c r="AMD25">
        <v>98.564999999999998</v>
      </c>
      <c r="AME25">
        <v>98.584999999999994</v>
      </c>
      <c r="AMF25">
        <v>98.62</v>
      </c>
      <c r="AMG25">
        <v>98.58</v>
      </c>
      <c r="AMH25">
        <v>98.564999999999998</v>
      </c>
      <c r="AMI25">
        <v>98.584999999999994</v>
      </c>
      <c r="AMJ25">
        <v>98.575000000000003</v>
      </c>
      <c r="AMK25">
        <v>98.68</v>
      </c>
      <c r="AML25">
        <v>98.73</v>
      </c>
      <c r="AMM25">
        <v>98.555000000000007</v>
      </c>
      <c r="AMN25">
        <v>98.555000000000007</v>
      </c>
      <c r="AMO25">
        <v>98.46</v>
      </c>
      <c r="AMP25">
        <v>98.38</v>
      </c>
      <c r="AMQ25">
        <v>98.435000000000002</v>
      </c>
      <c r="AMR25">
        <v>98.43</v>
      </c>
      <c r="AMS25">
        <v>98.52</v>
      </c>
      <c r="AMT25">
        <v>98.504999999999995</v>
      </c>
      <c r="AMU25">
        <v>98.444999999999993</v>
      </c>
      <c r="AMV25">
        <v>98.355000000000004</v>
      </c>
      <c r="AMW25">
        <v>98.355000000000004</v>
      </c>
      <c r="AMX25">
        <v>98.29</v>
      </c>
      <c r="AMY25">
        <v>98.33</v>
      </c>
      <c r="AMZ25">
        <v>98.275000000000006</v>
      </c>
      <c r="ANA25">
        <v>98.265000000000001</v>
      </c>
      <c r="ANB25">
        <v>98.2</v>
      </c>
      <c r="ANC25">
        <v>98.25</v>
      </c>
      <c r="AND25">
        <v>98.245000000000005</v>
      </c>
      <c r="ANE25">
        <v>98.28</v>
      </c>
      <c r="ANF25">
        <v>98.275000000000006</v>
      </c>
      <c r="ANG25">
        <v>98.314999999999998</v>
      </c>
      <c r="ANH25">
        <v>98.215000000000003</v>
      </c>
      <c r="ANI25">
        <v>98.075000000000003</v>
      </c>
      <c r="ANJ25">
        <v>98.23</v>
      </c>
      <c r="ANK25">
        <v>98.21</v>
      </c>
      <c r="ANL25">
        <v>98.22</v>
      </c>
      <c r="ANM25">
        <v>98.24</v>
      </c>
      <c r="ANN25">
        <v>98.204999999999998</v>
      </c>
      <c r="ANO25">
        <v>98.155000000000001</v>
      </c>
      <c r="ANP25">
        <v>98.11</v>
      </c>
      <c r="ANQ25">
        <v>98.1</v>
      </c>
      <c r="ANR25">
        <v>98.004999999999995</v>
      </c>
      <c r="ANS25">
        <v>98.055000000000007</v>
      </c>
      <c r="ANT25">
        <v>98.02</v>
      </c>
      <c r="ANU25">
        <v>98.064999999999998</v>
      </c>
      <c r="ANV25">
        <v>98.064999999999998</v>
      </c>
      <c r="ANW25">
        <v>98.06</v>
      </c>
      <c r="ANX25">
        <v>98.11</v>
      </c>
      <c r="ANY25">
        <v>98.12</v>
      </c>
      <c r="ANZ25">
        <v>98.064999999999998</v>
      </c>
      <c r="AOA25">
        <v>98.025000000000006</v>
      </c>
      <c r="AOB25">
        <v>98.034999999999997</v>
      </c>
      <c r="AOC25">
        <v>97.97</v>
      </c>
      <c r="AOD25">
        <v>98.02</v>
      </c>
      <c r="AOE25">
        <v>98.025000000000006</v>
      </c>
      <c r="AOF25">
        <v>98.034999999999997</v>
      </c>
      <c r="AOG25">
        <v>97.995000000000005</v>
      </c>
      <c r="AOH25">
        <v>97.94</v>
      </c>
      <c r="AOI25">
        <v>98.034999999999997</v>
      </c>
      <c r="AOJ25">
        <v>98.06</v>
      </c>
      <c r="AOK25">
        <v>98.08</v>
      </c>
      <c r="AOL25">
        <v>98.08</v>
      </c>
      <c r="AOM25">
        <v>98.04</v>
      </c>
      <c r="AON25">
        <v>98.015000000000001</v>
      </c>
      <c r="AOO25">
        <v>97.99</v>
      </c>
      <c r="AOP25">
        <v>97.954999999999998</v>
      </c>
      <c r="AOQ25">
        <v>97.954999999999998</v>
      </c>
      <c r="AOR25">
        <v>97.984999999999999</v>
      </c>
      <c r="AOS25">
        <v>97.995000000000005</v>
      </c>
      <c r="AOT25">
        <v>98.055000000000007</v>
      </c>
      <c r="AOU25">
        <v>98.064999999999998</v>
      </c>
      <c r="AOV25">
        <v>98.09</v>
      </c>
      <c r="AOW25">
        <v>98.07</v>
      </c>
      <c r="AOX25">
        <v>98.075000000000003</v>
      </c>
      <c r="AOY25">
        <v>98.05</v>
      </c>
      <c r="AOZ25">
        <v>98.064999999999998</v>
      </c>
      <c r="APA25">
        <v>98.105000000000004</v>
      </c>
      <c r="APB25">
        <v>97.96</v>
      </c>
      <c r="APC25">
        <v>97.95</v>
      </c>
      <c r="APD25">
        <v>97.855000000000004</v>
      </c>
      <c r="APE25">
        <v>97.864999999999995</v>
      </c>
      <c r="APF25">
        <v>97.894999999999996</v>
      </c>
      <c r="APG25">
        <v>97.86</v>
      </c>
      <c r="APH25">
        <v>97.834999999999994</v>
      </c>
      <c r="API25">
        <v>97.73</v>
      </c>
      <c r="APJ25">
        <v>97.715000000000003</v>
      </c>
      <c r="APK25">
        <v>97.78</v>
      </c>
      <c r="APL25">
        <v>97.7</v>
      </c>
      <c r="APM25">
        <v>97.734999999999999</v>
      </c>
      <c r="APN25">
        <v>97.76</v>
      </c>
      <c r="APO25">
        <v>97.84</v>
      </c>
      <c r="APP25">
        <v>97.9</v>
      </c>
      <c r="APQ25">
        <v>97.905000000000001</v>
      </c>
      <c r="APR25">
        <v>97.885000000000005</v>
      </c>
      <c r="APS25">
        <v>97.825000000000003</v>
      </c>
      <c r="APT25">
        <v>97.78</v>
      </c>
      <c r="APU25">
        <v>97.885000000000005</v>
      </c>
      <c r="APV25">
        <v>98.075000000000003</v>
      </c>
      <c r="APW25">
        <v>98.094999999999999</v>
      </c>
      <c r="APX25">
        <v>98.09</v>
      </c>
      <c r="APY25">
        <v>98.075000000000003</v>
      </c>
      <c r="APZ25">
        <v>98.144999999999996</v>
      </c>
      <c r="AQA25">
        <v>98.174999999999997</v>
      </c>
      <c r="AQB25">
        <v>98.144999999999996</v>
      </c>
      <c r="AQC25">
        <v>98.09</v>
      </c>
      <c r="AQD25">
        <v>98.155000000000001</v>
      </c>
      <c r="AQE25">
        <v>98.144999999999996</v>
      </c>
      <c r="AQF25">
        <v>98.21</v>
      </c>
      <c r="AQG25">
        <v>98.265000000000001</v>
      </c>
      <c r="AQH25">
        <v>98.224999999999994</v>
      </c>
      <c r="AQI25">
        <v>98.165000000000006</v>
      </c>
      <c r="AQJ25">
        <v>98.17</v>
      </c>
      <c r="AQK25">
        <v>98.305000000000007</v>
      </c>
      <c r="AQL25">
        <v>98.33</v>
      </c>
      <c r="AQM25">
        <v>98.32</v>
      </c>
      <c r="AQN25">
        <v>98.355000000000004</v>
      </c>
      <c r="AQO25">
        <v>98.4</v>
      </c>
      <c r="AQP25">
        <v>98.424999999999997</v>
      </c>
      <c r="AQQ25">
        <v>98.45</v>
      </c>
      <c r="AQR25">
        <v>98.57</v>
      </c>
      <c r="AQS25">
        <v>98.57</v>
      </c>
      <c r="AQT25">
        <v>98.644999999999996</v>
      </c>
      <c r="AQU25">
        <v>98.655000000000001</v>
      </c>
      <c r="AQV25">
        <v>98.64</v>
      </c>
      <c r="AQW25">
        <v>98.63</v>
      </c>
      <c r="AQX25">
        <v>98.65</v>
      </c>
      <c r="AQY25">
        <v>98.655000000000001</v>
      </c>
      <c r="AQZ25">
        <v>98.77</v>
      </c>
      <c r="ARA25">
        <v>98.784999999999997</v>
      </c>
      <c r="ARB25">
        <v>98.81</v>
      </c>
      <c r="ARC25">
        <v>98.81</v>
      </c>
      <c r="ARD25">
        <v>98.814999999999998</v>
      </c>
      <c r="ARE25">
        <v>98.814999999999998</v>
      </c>
      <c r="ARF25">
        <v>98.81</v>
      </c>
      <c r="ARG25">
        <v>98.814999999999998</v>
      </c>
      <c r="ARH25">
        <v>98.814999999999998</v>
      </c>
      <c r="ARI25">
        <v>98.81</v>
      </c>
      <c r="ARJ25">
        <v>98.825000000000003</v>
      </c>
      <c r="ARK25">
        <v>98.825000000000003</v>
      </c>
      <c r="ARL25">
        <v>98.814999999999998</v>
      </c>
      <c r="ARM25">
        <v>98.814999999999998</v>
      </c>
      <c r="ARN25">
        <v>98.844999999999999</v>
      </c>
      <c r="ARO25">
        <v>98.83</v>
      </c>
      <c r="ARP25">
        <v>98.805000000000007</v>
      </c>
      <c r="ARQ25">
        <v>98.81</v>
      </c>
      <c r="ARR25">
        <v>98.814999999999998</v>
      </c>
      <c r="ARS25">
        <v>98.855000000000004</v>
      </c>
      <c r="ART25">
        <v>99.01</v>
      </c>
      <c r="ARU25">
        <v>99.055000000000007</v>
      </c>
      <c r="ARV25">
        <v>99.064999999999998</v>
      </c>
      <c r="ARW25">
        <v>99.055000000000007</v>
      </c>
      <c r="ARX25">
        <v>99.055000000000007</v>
      </c>
      <c r="ARY25">
        <v>99.045000000000002</v>
      </c>
      <c r="ARZ25">
        <v>99.03</v>
      </c>
      <c r="ASA25">
        <v>99.025000000000006</v>
      </c>
      <c r="ASB25">
        <v>99.03</v>
      </c>
      <c r="ASC25">
        <v>99.03</v>
      </c>
      <c r="ASD25">
        <v>99.03</v>
      </c>
      <c r="ASE25">
        <v>99.034999999999997</v>
      </c>
      <c r="ASF25">
        <v>99.03</v>
      </c>
      <c r="ASG25">
        <v>99.03</v>
      </c>
      <c r="ASH25">
        <v>99.1</v>
      </c>
      <c r="ASI25">
        <v>99.11</v>
      </c>
      <c r="ASJ25">
        <v>99.18</v>
      </c>
      <c r="ASK25">
        <v>99.18</v>
      </c>
      <c r="ASL25">
        <v>99.18</v>
      </c>
      <c r="ASM25">
        <v>99.144999999999996</v>
      </c>
      <c r="ASN25">
        <v>99.525000000000006</v>
      </c>
      <c r="ASO25">
        <v>99.63</v>
      </c>
      <c r="ASP25">
        <v>99.63</v>
      </c>
      <c r="ASQ25">
        <v>99.64</v>
      </c>
      <c r="ASR25">
        <v>99.655000000000001</v>
      </c>
      <c r="ASS25">
        <v>99.66</v>
      </c>
      <c r="AST25">
        <v>99.665000000000006</v>
      </c>
      <c r="ASU25">
        <v>99.69</v>
      </c>
      <c r="ASV25">
        <v>99.694999999999993</v>
      </c>
      <c r="ASW25">
        <v>99.69</v>
      </c>
      <c r="ASX25">
        <v>99.69</v>
      </c>
      <c r="ASY25">
        <v>99.685000000000002</v>
      </c>
      <c r="ASZ25">
        <v>99.68</v>
      </c>
      <c r="ATA25">
        <v>99.694999999999993</v>
      </c>
      <c r="ATB25">
        <v>99.69</v>
      </c>
      <c r="ATC25">
        <v>99.69</v>
      </c>
      <c r="ATD25">
        <v>99.694999999999993</v>
      </c>
      <c r="ATE25">
        <v>99.685000000000002</v>
      </c>
      <c r="ATF25">
        <v>99.685000000000002</v>
      </c>
      <c r="ATG25">
        <v>99.68</v>
      </c>
      <c r="ATH25">
        <v>99.66</v>
      </c>
      <c r="ATI25">
        <v>99.66</v>
      </c>
      <c r="ATJ25">
        <v>99.694999999999993</v>
      </c>
      <c r="ATK25">
        <v>99.74</v>
      </c>
      <c r="ATL25">
        <v>99.745000000000005</v>
      </c>
      <c r="ATM25">
        <v>99.765000000000001</v>
      </c>
      <c r="ATN25">
        <v>99.734999999999999</v>
      </c>
      <c r="ATO25">
        <v>99.745000000000005</v>
      </c>
      <c r="ATP25">
        <v>99.74</v>
      </c>
      <c r="ATQ25">
        <v>99.745000000000005</v>
      </c>
      <c r="ATR25">
        <v>99.754999999999995</v>
      </c>
      <c r="ATS25">
        <v>99.754999999999995</v>
      </c>
      <c r="ATT25">
        <v>99.75</v>
      </c>
      <c r="ATU25">
        <v>99.74</v>
      </c>
      <c r="ATV25">
        <v>99.73</v>
      </c>
      <c r="ATW25">
        <v>99.754999999999995</v>
      </c>
      <c r="ATX25">
        <v>99.754999999999995</v>
      </c>
      <c r="ATY25">
        <v>99.765000000000001</v>
      </c>
      <c r="ATZ25">
        <v>99.775000000000006</v>
      </c>
      <c r="AUA25">
        <v>99.77</v>
      </c>
      <c r="AUB25">
        <v>99.775000000000006</v>
      </c>
      <c r="AUC25">
        <v>99.77</v>
      </c>
      <c r="AUD25">
        <v>99.754999999999995</v>
      </c>
      <c r="AUE25">
        <v>99.75</v>
      </c>
      <c r="AUF25">
        <v>99.765000000000001</v>
      </c>
      <c r="AUG25">
        <v>99.76</v>
      </c>
      <c r="AUH25">
        <v>99.784999999999997</v>
      </c>
      <c r="AUI25">
        <v>99.784999999999997</v>
      </c>
      <c r="AUJ25">
        <v>99.834999999999994</v>
      </c>
      <c r="AUK25">
        <v>99.834999999999994</v>
      </c>
      <c r="AUL25">
        <v>99.834999999999994</v>
      </c>
      <c r="AUM25">
        <v>99.84</v>
      </c>
      <c r="AUN25">
        <v>99.84</v>
      </c>
      <c r="AUO25">
        <v>99.85</v>
      </c>
      <c r="AUP25">
        <v>99.85</v>
      </c>
      <c r="AUQ25">
        <v>99.855000000000004</v>
      </c>
      <c r="AUR25">
        <v>99.855000000000004</v>
      </c>
      <c r="AUS25">
        <v>99.844999999999999</v>
      </c>
      <c r="AUT25">
        <v>99.825000000000003</v>
      </c>
      <c r="AUU25">
        <v>99.84</v>
      </c>
      <c r="AUV25">
        <v>99.834999999999994</v>
      </c>
      <c r="AUW25">
        <v>99.864999999999995</v>
      </c>
      <c r="AUX25">
        <v>99.87</v>
      </c>
      <c r="AUY25">
        <v>99.86</v>
      </c>
      <c r="AUZ25">
        <v>99.834999999999994</v>
      </c>
      <c r="AVA25">
        <v>99.83</v>
      </c>
      <c r="AVB25">
        <v>99.834999999999994</v>
      </c>
      <c r="AVC25">
        <v>99.825000000000003</v>
      </c>
      <c r="AVD25">
        <v>99.825000000000003</v>
      </c>
      <c r="AVE25">
        <v>99.855000000000004</v>
      </c>
      <c r="AVF25">
        <v>99.844999999999999</v>
      </c>
      <c r="AVG25">
        <v>99.855000000000004</v>
      </c>
      <c r="AVH25">
        <v>99.85</v>
      </c>
      <c r="AVI25">
        <v>99.844999999999999</v>
      </c>
      <c r="AVJ25">
        <v>99.825000000000003</v>
      </c>
      <c r="AVK25">
        <v>99.834999999999994</v>
      </c>
      <c r="AVL25">
        <v>99.84</v>
      </c>
      <c r="AVM25">
        <v>99.85</v>
      </c>
      <c r="AVN25">
        <v>99.844999999999999</v>
      </c>
      <c r="AVO25">
        <v>99.855000000000004</v>
      </c>
      <c r="AVP25">
        <v>99.855000000000004</v>
      </c>
      <c r="AVQ25">
        <v>99.844999999999999</v>
      </c>
      <c r="AVR25">
        <v>99.83</v>
      </c>
      <c r="AVS25">
        <v>99.82</v>
      </c>
      <c r="AVT25">
        <v>99.82</v>
      </c>
      <c r="AVU25">
        <v>99.825000000000003</v>
      </c>
      <c r="AVV25">
        <v>99.825000000000003</v>
      </c>
      <c r="AVW25">
        <v>99.86</v>
      </c>
      <c r="AVX25">
        <v>99.87</v>
      </c>
      <c r="AVY25">
        <v>99.89</v>
      </c>
      <c r="AVZ25">
        <v>99.894999999999996</v>
      </c>
      <c r="AWA25">
        <v>99.905000000000001</v>
      </c>
      <c r="AWB25">
        <v>99.894999999999996</v>
      </c>
      <c r="AWC25">
        <v>99.89</v>
      </c>
      <c r="AWD25">
        <v>99.885000000000005</v>
      </c>
      <c r="AWE25">
        <v>99.864999999999995</v>
      </c>
      <c r="AWF25">
        <v>99.855000000000004</v>
      </c>
      <c r="AWG25">
        <v>99.85</v>
      </c>
      <c r="AWH25">
        <v>99.86</v>
      </c>
      <c r="AWI25">
        <v>99.864999999999995</v>
      </c>
      <c r="AWJ25">
        <v>99.864999999999995</v>
      </c>
      <c r="AWK25">
        <v>99.86</v>
      </c>
      <c r="AWL25">
        <v>99.86</v>
      </c>
      <c r="AWM25">
        <v>99.855000000000004</v>
      </c>
      <c r="AWN25">
        <v>99.855000000000004</v>
      </c>
      <c r="AWO25">
        <v>99.85</v>
      </c>
      <c r="AWP25">
        <v>99.86</v>
      </c>
      <c r="AWQ25">
        <v>99.86</v>
      </c>
      <c r="AWR25">
        <v>99.875</v>
      </c>
      <c r="AWS25">
        <v>99.89</v>
      </c>
      <c r="AWT25">
        <v>99.875</v>
      </c>
      <c r="AWU25">
        <v>99.87</v>
      </c>
      <c r="AWV25">
        <v>99.864999999999995</v>
      </c>
      <c r="AWW25">
        <v>99.864999999999995</v>
      </c>
      <c r="AWX25">
        <v>99.864999999999995</v>
      </c>
      <c r="AWY25">
        <v>99.855000000000004</v>
      </c>
      <c r="AWZ25">
        <v>99.875</v>
      </c>
      <c r="AXA25">
        <v>99.875</v>
      </c>
      <c r="AXB25">
        <v>99.864999999999995</v>
      </c>
      <c r="AXC25">
        <v>99.844999999999999</v>
      </c>
      <c r="AXD25">
        <v>99.844999999999999</v>
      </c>
      <c r="AXE25">
        <v>99.844999999999999</v>
      </c>
      <c r="AXF25">
        <v>99.84</v>
      </c>
      <c r="AXG25">
        <v>99.83</v>
      </c>
      <c r="AXH25">
        <v>99.81</v>
      </c>
      <c r="AXI25">
        <v>99.805000000000007</v>
      </c>
      <c r="AXJ25">
        <v>99.795000000000002</v>
      </c>
      <c r="AXK25">
        <v>99.81</v>
      </c>
      <c r="AXL25">
        <v>99.8</v>
      </c>
      <c r="AXM25">
        <v>99.81</v>
      </c>
      <c r="AXN25">
        <v>99.784999999999997</v>
      </c>
      <c r="AXO25">
        <v>99.734999999999999</v>
      </c>
      <c r="AXP25">
        <v>99.7</v>
      </c>
      <c r="AXQ25">
        <v>99.694999999999993</v>
      </c>
      <c r="AXR25">
        <v>99.76</v>
      </c>
      <c r="AXS25">
        <v>99.775000000000006</v>
      </c>
      <c r="AXT25">
        <v>99.81</v>
      </c>
      <c r="AXU25">
        <v>99.814999999999998</v>
      </c>
      <c r="AXV25">
        <v>99.805000000000007</v>
      </c>
      <c r="AXW25">
        <v>99.784999999999997</v>
      </c>
      <c r="AXX25">
        <v>99.79</v>
      </c>
      <c r="AXY25">
        <v>99.795000000000002</v>
      </c>
      <c r="AXZ25">
        <v>99.8</v>
      </c>
      <c r="AYA25">
        <v>99.8</v>
      </c>
      <c r="AYB25">
        <v>99.795000000000002</v>
      </c>
      <c r="AYC25">
        <v>99.795000000000002</v>
      </c>
      <c r="AYD25">
        <v>99.8</v>
      </c>
      <c r="AYE25">
        <v>99.8</v>
      </c>
      <c r="AYF25">
        <v>99.844999999999999</v>
      </c>
      <c r="AYG25">
        <v>99.82</v>
      </c>
      <c r="AYH25">
        <v>99.81</v>
      </c>
      <c r="AYI25">
        <v>99.79</v>
      </c>
      <c r="AYJ25">
        <v>99.79</v>
      </c>
      <c r="AYK25">
        <v>99.81</v>
      </c>
      <c r="AYL25">
        <v>99.82</v>
      </c>
      <c r="AYM25">
        <v>99.765000000000001</v>
      </c>
      <c r="AYN25">
        <v>99.75</v>
      </c>
      <c r="AYO25">
        <v>99.754999999999995</v>
      </c>
      <c r="AYP25">
        <v>99.74</v>
      </c>
      <c r="AYQ25">
        <v>99.745000000000005</v>
      </c>
      <c r="AYR25">
        <v>99.734999999999999</v>
      </c>
      <c r="AYS25">
        <v>99.72</v>
      </c>
      <c r="AYT25">
        <v>99.715000000000003</v>
      </c>
      <c r="AYU25">
        <v>99.724999999999994</v>
      </c>
      <c r="AYV25">
        <v>99.724999999999994</v>
      </c>
      <c r="AYW25">
        <v>99.72</v>
      </c>
      <c r="AYX25">
        <v>99.73</v>
      </c>
      <c r="AYY25">
        <v>99.71</v>
      </c>
      <c r="AYZ25">
        <v>99.7</v>
      </c>
      <c r="AZA25">
        <v>99.685000000000002</v>
      </c>
      <c r="AZB25">
        <v>99.674999999999997</v>
      </c>
      <c r="AZC25">
        <v>99.644999999999996</v>
      </c>
      <c r="AZD25">
        <v>99.63</v>
      </c>
      <c r="AZE25">
        <v>99.64</v>
      </c>
      <c r="AZF25">
        <v>99.64</v>
      </c>
      <c r="AZG25">
        <v>99.62</v>
      </c>
      <c r="AZH25">
        <v>99.605000000000004</v>
      </c>
      <c r="AZI25">
        <v>99.65</v>
      </c>
      <c r="AZJ25">
        <v>99.71</v>
      </c>
      <c r="AZK25">
        <v>99.704999999999998</v>
      </c>
      <c r="AZL25">
        <v>99.72</v>
      </c>
      <c r="AZM25">
        <v>99.694999999999993</v>
      </c>
      <c r="AZN25">
        <v>99.724999999999994</v>
      </c>
      <c r="AZO25">
        <v>99.68</v>
      </c>
      <c r="AZP25">
        <v>99.66</v>
      </c>
      <c r="AZQ25">
        <v>99.63</v>
      </c>
      <c r="AZR25">
        <v>99.625</v>
      </c>
      <c r="AZS25">
        <v>99.685000000000002</v>
      </c>
      <c r="AZT25">
        <v>99.605000000000004</v>
      </c>
      <c r="AZU25">
        <v>99.545000000000002</v>
      </c>
      <c r="AZV25">
        <v>99.44</v>
      </c>
      <c r="AZW25">
        <v>99.555000000000007</v>
      </c>
      <c r="AZX25">
        <v>99.605000000000004</v>
      </c>
      <c r="AZY25">
        <v>99.53</v>
      </c>
      <c r="AZZ25">
        <v>99.57</v>
      </c>
      <c r="BAA25">
        <v>99.5</v>
      </c>
      <c r="BAB25">
        <v>99.49</v>
      </c>
      <c r="BAC25">
        <v>99.61</v>
      </c>
      <c r="BAD25">
        <v>99.534999999999997</v>
      </c>
      <c r="BAE25">
        <v>99.45</v>
      </c>
      <c r="BAF25">
        <v>99.4</v>
      </c>
      <c r="BAG25">
        <v>99.34</v>
      </c>
      <c r="BAH25">
        <v>99.27</v>
      </c>
      <c r="BAI25">
        <v>99.27</v>
      </c>
      <c r="BAJ25">
        <v>99.07</v>
      </c>
      <c r="BAK25">
        <v>99.015000000000001</v>
      </c>
      <c r="BAL25">
        <v>99.025000000000006</v>
      </c>
      <c r="BAM25">
        <v>98.97</v>
      </c>
      <c r="BAN25">
        <v>98.86</v>
      </c>
      <c r="BAO25">
        <v>98.795000000000002</v>
      </c>
      <c r="BAP25">
        <v>98.75</v>
      </c>
      <c r="BAQ25">
        <v>98.775000000000006</v>
      </c>
      <c r="BAR25">
        <v>98.745000000000005</v>
      </c>
      <c r="BAS25">
        <v>98.745000000000005</v>
      </c>
      <c r="BAT25">
        <v>98.71</v>
      </c>
      <c r="BAU25">
        <v>98.71</v>
      </c>
      <c r="BAV25">
        <v>98.75</v>
      </c>
      <c r="BAW25">
        <v>98.78</v>
      </c>
      <c r="BAX25">
        <v>98.745000000000005</v>
      </c>
      <c r="BAY25">
        <v>98.69</v>
      </c>
      <c r="BAZ25">
        <v>98.71</v>
      </c>
      <c r="BBA25">
        <v>98.75</v>
      </c>
      <c r="BBB25">
        <v>98.834999999999994</v>
      </c>
      <c r="BBC25">
        <v>98.85</v>
      </c>
      <c r="BBD25">
        <v>98.795000000000002</v>
      </c>
      <c r="BBE25">
        <v>98.75</v>
      </c>
      <c r="BBF25">
        <v>98.7</v>
      </c>
      <c r="BBG25">
        <v>98.734999999999999</v>
      </c>
      <c r="BBH25">
        <v>98.65</v>
      </c>
      <c r="BBI25">
        <v>98.594999999999999</v>
      </c>
      <c r="BBJ25">
        <v>98.575000000000003</v>
      </c>
      <c r="BBK25">
        <v>98.56</v>
      </c>
      <c r="BBL25">
        <v>98.504999999999995</v>
      </c>
      <c r="BBM25">
        <v>98.504999999999995</v>
      </c>
      <c r="BBN25">
        <v>98.52</v>
      </c>
      <c r="BBO25">
        <v>98.53</v>
      </c>
      <c r="BBP25">
        <v>98.52</v>
      </c>
      <c r="BBQ25">
        <v>98.504999999999995</v>
      </c>
      <c r="BBR25">
        <v>98.51</v>
      </c>
      <c r="BBS25">
        <v>98.495000000000005</v>
      </c>
      <c r="BBT25">
        <v>98.49</v>
      </c>
      <c r="BBU25">
        <v>98.534999999999997</v>
      </c>
      <c r="BBV25">
        <v>98.545000000000002</v>
      </c>
      <c r="BBW25">
        <v>98.55</v>
      </c>
      <c r="BBX25">
        <v>98.46</v>
      </c>
      <c r="BBY25">
        <v>98.45</v>
      </c>
      <c r="BBZ25">
        <v>98.45</v>
      </c>
      <c r="BCA25">
        <v>98.454999999999998</v>
      </c>
      <c r="BCB25">
        <v>98.454999999999998</v>
      </c>
      <c r="BCC25">
        <v>98.415000000000006</v>
      </c>
      <c r="BCD25">
        <v>98.415000000000006</v>
      </c>
      <c r="BCE25">
        <v>98.415000000000006</v>
      </c>
      <c r="BCF25">
        <v>98.394999999999996</v>
      </c>
      <c r="BCG25">
        <v>98.435000000000002</v>
      </c>
      <c r="BCH25">
        <v>98.45</v>
      </c>
      <c r="BCI25">
        <v>98.43</v>
      </c>
      <c r="BCJ25">
        <v>98.46</v>
      </c>
      <c r="BCK25">
        <v>98.47</v>
      </c>
      <c r="BCL25">
        <v>98.545000000000002</v>
      </c>
      <c r="BCM25">
        <v>98.465000000000003</v>
      </c>
      <c r="BCN25">
        <v>98.55</v>
      </c>
      <c r="BCO25">
        <v>98.51</v>
      </c>
      <c r="BCP25">
        <v>98.525000000000006</v>
      </c>
      <c r="BCQ25">
        <v>98.534999999999997</v>
      </c>
      <c r="BCR25">
        <v>98.594999999999999</v>
      </c>
      <c r="BCS25">
        <v>98.61</v>
      </c>
      <c r="BCT25">
        <v>98.685000000000002</v>
      </c>
      <c r="BCU25">
        <v>98.564999999999998</v>
      </c>
      <c r="BCV25">
        <v>98.6</v>
      </c>
      <c r="BCW25">
        <v>98.59</v>
      </c>
      <c r="BCX25">
        <v>98.59</v>
      </c>
      <c r="BCY25">
        <v>98.63</v>
      </c>
      <c r="BCZ25">
        <v>98.62</v>
      </c>
      <c r="BDA25">
        <v>98.605000000000004</v>
      </c>
      <c r="BDB25">
        <v>98.625</v>
      </c>
      <c r="BDC25">
        <v>98.655000000000001</v>
      </c>
      <c r="BDD25">
        <v>98.62</v>
      </c>
      <c r="BDE25">
        <v>98.594999999999999</v>
      </c>
      <c r="BDF25">
        <v>98.57</v>
      </c>
      <c r="BDG25">
        <v>98.58</v>
      </c>
      <c r="BDH25">
        <v>98.53</v>
      </c>
      <c r="BDI25">
        <v>98.48</v>
      </c>
      <c r="BDJ25">
        <v>98.45</v>
      </c>
      <c r="BDK25">
        <v>98.46</v>
      </c>
      <c r="BDL25">
        <v>98.444999999999993</v>
      </c>
      <c r="BDM25">
        <v>98.555000000000007</v>
      </c>
      <c r="BDN25">
        <v>98.53</v>
      </c>
      <c r="BDO25">
        <v>98.59</v>
      </c>
      <c r="BDP25">
        <v>98.64</v>
      </c>
      <c r="BDQ25">
        <v>98.71</v>
      </c>
      <c r="BDR25">
        <v>98.584999999999994</v>
      </c>
      <c r="BDS25">
        <v>98.564999999999998</v>
      </c>
      <c r="BDT25">
        <v>98.57</v>
      </c>
      <c r="BDU25">
        <v>98.6</v>
      </c>
      <c r="BDV25">
        <v>98.644999999999996</v>
      </c>
      <c r="BDW25">
        <v>98.655000000000001</v>
      </c>
      <c r="BDX25">
        <v>98.635000000000005</v>
      </c>
      <c r="BDY25">
        <v>98.61</v>
      </c>
      <c r="BDZ25">
        <v>98.65</v>
      </c>
      <c r="BEA25">
        <v>98.625</v>
      </c>
      <c r="BEB25">
        <v>98.65</v>
      </c>
      <c r="BEC25">
        <v>98.61</v>
      </c>
      <c r="BED25">
        <v>98.665000000000006</v>
      </c>
      <c r="BEE25">
        <v>98.644999999999996</v>
      </c>
      <c r="BEF25">
        <v>98.775000000000006</v>
      </c>
      <c r="BEG25">
        <v>98.84</v>
      </c>
      <c r="BEH25">
        <v>98.894999999999996</v>
      </c>
      <c r="BEI25">
        <v>98.885000000000005</v>
      </c>
      <c r="BEJ25">
        <v>98.954999999999998</v>
      </c>
      <c r="BEK25">
        <v>98.965000000000003</v>
      </c>
      <c r="BEL25">
        <v>98.864999999999995</v>
      </c>
      <c r="BEM25">
        <v>98.79</v>
      </c>
      <c r="BEN25">
        <v>98.72</v>
      </c>
      <c r="BEO25">
        <v>98.73</v>
      </c>
      <c r="BEP25" t="s">
        <v>6984</v>
      </c>
      <c r="BEQ25" t="s">
        <v>6984</v>
      </c>
      <c r="BER25" t="s">
        <v>6984</v>
      </c>
      <c r="BES25" t="s">
        <v>6984</v>
      </c>
      <c r="BET25" t="s">
        <v>6984</v>
      </c>
      <c r="BEU25" t="s">
        <v>6984</v>
      </c>
      <c r="BEV25" t="s">
        <v>6984</v>
      </c>
      <c r="BEW25" t="s">
        <v>6984</v>
      </c>
      <c r="BEX25" t="s">
        <v>6984</v>
      </c>
      <c r="BEY25" t="s">
        <v>6984</v>
      </c>
      <c r="BEZ25" t="s">
        <v>6984</v>
      </c>
      <c r="BFA25" t="s">
        <v>6984</v>
      </c>
      <c r="BFB25" t="s">
        <v>6984</v>
      </c>
      <c r="BFC25" t="s">
        <v>6984</v>
      </c>
      <c r="BFD25" t="s">
        <v>6984</v>
      </c>
      <c r="BFE25" t="s">
        <v>6984</v>
      </c>
      <c r="BFF25" t="s">
        <v>6984</v>
      </c>
      <c r="BFG25" t="s">
        <v>6984</v>
      </c>
      <c r="BFH25" t="s">
        <v>6984</v>
      </c>
      <c r="BFI25" t="s">
        <v>6984</v>
      </c>
      <c r="BFJ25" t="s">
        <v>6984</v>
      </c>
      <c r="BFK25" t="s">
        <v>6984</v>
      </c>
      <c r="BFL25" t="s">
        <v>6984</v>
      </c>
      <c r="BFM25" t="s">
        <v>6984</v>
      </c>
      <c r="BFN25" t="s">
        <v>6984</v>
      </c>
      <c r="BFO25" t="s">
        <v>6984</v>
      </c>
      <c r="BFP25" t="s">
        <v>6984</v>
      </c>
      <c r="BFQ25" t="s">
        <v>6984</v>
      </c>
      <c r="BFR25" t="s">
        <v>6984</v>
      </c>
      <c r="BFS25" t="s">
        <v>6984</v>
      </c>
      <c r="BFT25" t="s">
        <v>6984</v>
      </c>
      <c r="BFU25" t="s">
        <v>6984</v>
      </c>
      <c r="BFV25" t="s">
        <v>6984</v>
      </c>
      <c r="BFW25" t="s">
        <v>6984</v>
      </c>
      <c r="BFX25" t="s">
        <v>6984</v>
      </c>
      <c r="BFY25" t="s">
        <v>6984</v>
      </c>
      <c r="BFZ25" t="s">
        <v>6984</v>
      </c>
      <c r="BGA25" t="s">
        <v>6984</v>
      </c>
      <c r="BGB25" t="s">
        <v>6984</v>
      </c>
      <c r="BGC25" t="s">
        <v>6984</v>
      </c>
      <c r="BGD25" t="s">
        <v>6984</v>
      </c>
      <c r="BGE25" t="s">
        <v>6984</v>
      </c>
      <c r="BGF25" t="s">
        <v>6984</v>
      </c>
      <c r="BGG25" t="s">
        <v>6984</v>
      </c>
      <c r="BGH25" t="s">
        <v>6984</v>
      </c>
      <c r="BGI25" t="s">
        <v>6984</v>
      </c>
      <c r="BGJ25" t="s">
        <v>6984</v>
      </c>
      <c r="BGK25" t="s">
        <v>6984</v>
      </c>
      <c r="BGL25" t="s">
        <v>6984</v>
      </c>
      <c r="BGM25" t="s">
        <v>6984</v>
      </c>
      <c r="BGN25" t="s">
        <v>6984</v>
      </c>
      <c r="BGO25" t="s">
        <v>6984</v>
      </c>
      <c r="BGP25" t="s">
        <v>6984</v>
      </c>
      <c r="BGQ25" t="s">
        <v>6984</v>
      </c>
      <c r="BGR25" t="s">
        <v>6984</v>
      </c>
      <c r="BGS25" t="s">
        <v>6984</v>
      </c>
      <c r="BGT25" t="s">
        <v>6984</v>
      </c>
      <c r="BGU25" t="s">
        <v>6984</v>
      </c>
      <c r="BGV25" t="s">
        <v>6984</v>
      </c>
      <c r="BGW25" t="s">
        <v>6984</v>
      </c>
      <c r="BGX25" t="s">
        <v>6984</v>
      </c>
      <c r="BGY25" t="s">
        <v>6984</v>
      </c>
      <c r="BGZ25" t="s">
        <v>6984</v>
      </c>
      <c r="BHA25" t="s">
        <v>6984</v>
      </c>
      <c r="BHB25" t="s">
        <v>6984</v>
      </c>
      <c r="BHC25" t="s">
        <v>6984</v>
      </c>
      <c r="BHD25" t="s">
        <v>6984</v>
      </c>
      <c r="BHE25" t="s">
        <v>6984</v>
      </c>
      <c r="BHF25" t="s">
        <v>6984</v>
      </c>
      <c r="BHG25" t="s">
        <v>6984</v>
      </c>
      <c r="BHH25" t="s">
        <v>6984</v>
      </c>
      <c r="BHI25" t="s">
        <v>6984</v>
      </c>
      <c r="BHJ25" t="s">
        <v>6984</v>
      </c>
      <c r="BHK25" t="s">
        <v>6984</v>
      </c>
      <c r="BHL25" t="s">
        <v>6984</v>
      </c>
      <c r="BHM25" t="s">
        <v>6984</v>
      </c>
      <c r="BHN25" t="s">
        <v>6984</v>
      </c>
      <c r="BHO25" t="s">
        <v>6984</v>
      </c>
      <c r="BHP25" t="s">
        <v>6984</v>
      </c>
      <c r="BHQ25" t="s">
        <v>6984</v>
      </c>
      <c r="BHR25" t="s">
        <v>6984</v>
      </c>
      <c r="BHS25" t="s">
        <v>6984</v>
      </c>
      <c r="BHT25" t="s">
        <v>6984</v>
      </c>
      <c r="BHU25" t="s">
        <v>6984</v>
      </c>
      <c r="BHV25" t="s">
        <v>6984</v>
      </c>
      <c r="BHW25" t="s">
        <v>6984</v>
      </c>
      <c r="BHX25" t="s">
        <v>6984</v>
      </c>
      <c r="BHY25" t="s">
        <v>6984</v>
      </c>
      <c r="BHZ25" t="s">
        <v>6984</v>
      </c>
      <c r="BIA25" t="s">
        <v>6984</v>
      </c>
      <c r="BIB25" t="s">
        <v>6984</v>
      </c>
      <c r="BIC25" t="s">
        <v>6984</v>
      </c>
      <c r="BID25" t="s">
        <v>6984</v>
      </c>
      <c r="BIE25" t="s">
        <v>6984</v>
      </c>
      <c r="BIF25" t="s">
        <v>6984</v>
      </c>
      <c r="BIG25" t="s">
        <v>6984</v>
      </c>
      <c r="BIH25" t="s">
        <v>6984</v>
      </c>
      <c r="BII25" t="s">
        <v>6984</v>
      </c>
      <c r="BIJ25" t="s">
        <v>6984</v>
      </c>
      <c r="BIK25" t="s">
        <v>6984</v>
      </c>
      <c r="BIL25" t="s">
        <v>6984</v>
      </c>
      <c r="BIM25" t="s">
        <v>6984</v>
      </c>
      <c r="BIN25" t="s">
        <v>6984</v>
      </c>
      <c r="BIO25" t="s">
        <v>6984</v>
      </c>
      <c r="BIP25" t="s">
        <v>6984</v>
      </c>
      <c r="BIQ25" t="s">
        <v>6984</v>
      </c>
      <c r="BIR25" t="s">
        <v>6984</v>
      </c>
      <c r="BIS25" t="s">
        <v>6984</v>
      </c>
      <c r="BIT25" t="s">
        <v>6984</v>
      </c>
      <c r="BIU25" t="s">
        <v>6984</v>
      </c>
      <c r="BIV25" t="s">
        <v>6984</v>
      </c>
      <c r="BIW25" t="s">
        <v>6984</v>
      </c>
      <c r="BIX25" t="s">
        <v>6984</v>
      </c>
      <c r="BIY25" t="s">
        <v>6984</v>
      </c>
      <c r="BIZ25" t="s">
        <v>6984</v>
      </c>
      <c r="BJA25" t="s">
        <v>6984</v>
      </c>
      <c r="BJB25" t="s">
        <v>6984</v>
      </c>
      <c r="BJC25" t="s">
        <v>6984</v>
      </c>
      <c r="BJD25" t="s">
        <v>6984</v>
      </c>
      <c r="BJE25" t="s">
        <v>6984</v>
      </c>
      <c r="BJF25" t="s">
        <v>6984</v>
      </c>
      <c r="BJG25" t="s">
        <v>6984</v>
      </c>
      <c r="BJH25" t="s">
        <v>6984</v>
      </c>
      <c r="BJI25" t="s">
        <v>6984</v>
      </c>
      <c r="BJJ25" t="s">
        <v>6984</v>
      </c>
      <c r="BJK25" t="s">
        <v>6984</v>
      </c>
      <c r="BJL25" t="s">
        <v>6984</v>
      </c>
      <c r="BJM25" t="s">
        <v>6984</v>
      </c>
      <c r="BJN25" t="s">
        <v>6984</v>
      </c>
      <c r="BJO25" t="s">
        <v>6984</v>
      </c>
      <c r="BJP25" t="s">
        <v>6984</v>
      </c>
      <c r="BJQ25" t="s">
        <v>6984</v>
      </c>
      <c r="BJR25" t="s">
        <v>6984</v>
      </c>
      <c r="BJS25" t="s">
        <v>6984</v>
      </c>
      <c r="BJT25" t="s">
        <v>6984</v>
      </c>
      <c r="BJU25" t="s">
        <v>6984</v>
      </c>
      <c r="BJV25" t="s">
        <v>6984</v>
      </c>
      <c r="BJW25" t="s">
        <v>6984</v>
      </c>
      <c r="BJX25" t="s">
        <v>6984</v>
      </c>
      <c r="BJY25" t="s">
        <v>6984</v>
      </c>
      <c r="BJZ25" t="s">
        <v>6984</v>
      </c>
      <c r="BKA25" t="s">
        <v>6984</v>
      </c>
      <c r="BKB25" t="s">
        <v>6984</v>
      </c>
      <c r="BKC25" t="s">
        <v>6984</v>
      </c>
      <c r="BKD25" t="s">
        <v>6984</v>
      </c>
      <c r="BKE25" t="s">
        <v>6984</v>
      </c>
      <c r="BKF25" t="s">
        <v>6984</v>
      </c>
      <c r="BKG25" t="s">
        <v>6984</v>
      </c>
      <c r="BKH25" t="s">
        <v>6984</v>
      </c>
      <c r="BKI25" t="s">
        <v>6984</v>
      </c>
      <c r="BKJ25" t="s">
        <v>6984</v>
      </c>
      <c r="BKK25" t="s">
        <v>6984</v>
      </c>
      <c r="BKL25" t="s">
        <v>6984</v>
      </c>
      <c r="BKM25" t="s">
        <v>6984</v>
      </c>
      <c r="BKN25" t="s">
        <v>6984</v>
      </c>
      <c r="BKO25" t="s">
        <v>6984</v>
      </c>
      <c r="BKP25" t="s">
        <v>6984</v>
      </c>
      <c r="BKQ25" t="s">
        <v>6984</v>
      </c>
      <c r="BKR25" t="s">
        <v>6984</v>
      </c>
      <c r="BKS25" t="s">
        <v>6984</v>
      </c>
      <c r="BKT25" t="s">
        <v>6984</v>
      </c>
      <c r="BKU25" t="s">
        <v>6984</v>
      </c>
      <c r="BKV25" t="s">
        <v>6984</v>
      </c>
      <c r="BKW25" t="s">
        <v>6984</v>
      </c>
      <c r="BKX25" t="s">
        <v>6984</v>
      </c>
      <c r="BKY25" t="s">
        <v>6984</v>
      </c>
      <c r="BKZ25" t="s">
        <v>6984</v>
      </c>
      <c r="BLA25" t="s">
        <v>6984</v>
      </c>
      <c r="BLB25" t="s">
        <v>6984</v>
      </c>
      <c r="BLC25" t="s">
        <v>6984</v>
      </c>
      <c r="BLD25" t="s">
        <v>6984</v>
      </c>
      <c r="BLE25" t="s">
        <v>6984</v>
      </c>
      <c r="BLF25" t="s">
        <v>6984</v>
      </c>
      <c r="BLG25" t="s">
        <v>6984</v>
      </c>
      <c r="BLH25" t="s">
        <v>6984</v>
      </c>
      <c r="BLI25" t="s">
        <v>6984</v>
      </c>
      <c r="BLJ25" t="s">
        <v>6984</v>
      </c>
      <c r="BLK25" t="s">
        <v>6984</v>
      </c>
      <c r="BLL25" t="s">
        <v>6984</v>
      </c>
      <c r="BLM25" t="s">
        <v>6984</v>
      </c>
      <c r="BLN25" t="s">
        <v>6984</v>
      </c>
      <c r="BLO25" t="s">
        <v>6984</v>
      </c>
      <c r="BLP25" t="s">
        <v>6984</v>
      </c>
      <c r="BLQ25" t="s">
        <v>6984</v>
      </c>
      <c r="BLR25" t="s">
        <v>6984</v>
      </c>
      <c r="BLS25" t="s">
        <v>6984</v>
      </c>
      <c r="BLT25" t="s">
        <v>6984</v>
      </c>
      <c r="BLU25" t="s">
        <v>6984</v>
      </c>
      <c r="BLV25" t="s">
        <v>6984</v>
      </c>
      <c r="BLW25" t="s">
        <v>6984</v>
      </c>
      <c r="BLX25" t="s">
        <v>6984</v>
      </c>
      <c r="BLY25" t="s">
        <v>6984</v>
      </c>
      <c r="BLZ25" t="s">
        <v>6984</v>
      </c>
      <c r="BMA25" t="s">
        <v>6984</v>
      </c>
      <c r="BMB25" t="s">
        <v>6984</v>
      </c>
      <c r="BMC25" t="s">
        <v>6984</v>
      </c>
      <c r="BMD25" t="s">
        <v>6984</v>
      </c>
      <c r="BME25" t="s">
        <v>6984</v>
      </c>
      <c r="BMF25" t="s">
        <v>6984</v>
      </c>
      <c r="BMG25" t="s">
        <v>6984</v>
      </c>
      <c r="BMH25" t="s">
        <v>6984</v>
      </c>
      <c r="BMI25" t="s">
        <v>6984</v>
      </c>
      <c r="BMJ25" t="s">
        <v>6984</v>
      </c>
      <c r="BMK25" t="s">
        <v>6984</v>
      </c>
      <c r="BML25" t="s">
        <v>6984</v>
      </c>
      <c r="BMM25" t="s">
        <v>6984</v>
      </c>
      <c r="BMN25" t="s">
        <v>6984</v>
      </c>
      <c r="BMO25" t="s">
        <v>6984</v>
      </c>
      <c r="BMP25" t="s">
        <v>6984</v>
      </c>
      <c r="BMQ25" t="s">
        <v>6984</v>
      </c>
      <c r="BMR25" t="s">
        <v>6984</v>
      </c>
      <c r="BMS25" t="s">
        <v>6984</v>
      </c>
      <c r="BMT25" t="s">
        <v>6984</v>
      </c>
      <c r="BMU25" t="s">
        <v>6984</v>
      </c>
      <c r="BMV25" t="s">
        <v>6984</v>
      </c>
      <c r="BMW25" t="s">
        <v>6984</v>
      </c>
      <c r="BMX25" t="s">
        <v>6984</v>
      </c>
      <c r="BMY25" t="s">
        <v>6984</v>
      </c>
      <c r="BMZ25" t="s">
        <v>6984</v>
      </c>
      <c r="BNA25" t="s">
        <v>6984</v>
      </c>
      <c r="BNB25" t="s">
        <v>6984</v>
      </c>
      <c r="BNC25" t="s">
        <v>6984</v>
      </c>
      <c r="BND25" t="s">
        <v>6984</v>
      </c>
      <c r="BNE25" t="s">
        <v>6984</v>
      </c>
      <c r="BNF25" t="s">
        <v>6984</v>
      </c>
      <c r="BNG25" t="s">
        <v>6984</v>
      </c>
      <c r="BNH25" t="s">
        <v>6984</v>
      </c>
      <c r="BNI25" t="s">
        <v>6984</v>
      </c>
      <c r="BNJ25" t="s">
        <v>6984</v>
      </c>
      <c r="BNK25" t="s">
        <v>6984</v>
      </c>
      <c r="BNL25" t="s">
        <v>6984</v>
      </c>
      <c r="BNM25" t="s">
        <v>6984</v>
      </c>
      <c r="BNN25" t="s">
        <v>6984</v>
      </c>
      <c r="BNO25" t="s">
        <v>6984</v>
      </c>
      <c r="BNP25" t="s">
        <v>6984</v>
      </c>
      <c r="BNQ25" t="s">
        <v>6984</v>
      </c>
      <c r="BNR25" t="s">
        <v>6984</v>
      </c>
      <c r="BNS25" t="s">
        <v>6984</v>
      </c>
      <c r="BNT25" t="s">
        <v>6984</v>
      </c>
      <c r="BNU25" t="s">
        <v>6984</v>
      </c>
      <c r="BNV25" t="s">
        <v>6984</v>
      </c>
      <c r="BNW25" t="s">
        <v>6984</v>
      </c>
      <c r="BNX25" t="s">
        <v>6984</v>
      </c>
      <c r="BNY25" t="s">
        <v>6984</v>
      </c>
      <c r="BNZ25" t="s">
        <v>6984</v>
      </c>
      <c r="BOA25" t="s">
        <v>6984</v>
      </c>
      <c r="BOB25" t="s">
        <v>6984</v>
      </c>
      <c r="BOC25" t="s">
        <v>6984</v>
      </c>
      <c r="BOD25" t="s">
        <v>6984</v>
      </c>
      <c r="BOE25" t="s">
        <v>6984</v>
      </c>
      <c r="BOF25" t="s">
        <v>6984</v>
      </c>
      <c r="BOG25" t="s">
        <v>6984</v>
      </c>
      <c r="BOH25" t="s">
        <v>6984</v>
      </c>
      <c r="BOI25" t="s">
        <v>6984</v>
      </c>
      <c r="BOJ25" t="s">
        <v>6984</v>
      </c>
      <c r="BOK25" t="s">
        <v>6984</v>
      </c>
      <c r="BOL25" t="s">
        <v>6984</v>
      </c>
      <c r="BOM25" t="s">
        <v>6984</v>
      </c>
      <c r="BON25" t="s">
        <v>6984</v>
      </c>
      <c r="BOO25" t="s">
        <v>6984</v>
      </c>
      <c r="BOP25" t="s">
        <v>6984</v>
      </c>
      <c r="BOQ25" t="s">
        <v>6984</v>
      </c>
      <c r="BOR25" t="s">
        <v>6984</v>
      </c>
      <c r="BOS25" t="s">
        <v>6984</v>
      </c>
      <c r="BOT25" t="s">
        <v>6984</v>
      </c>
      <c r="BOU25" t="s">
        <v>6984</v>
      </c>
      <c r="BOV25" t="s">
        <v>6984</v>
      </c>
      <c r="BOW25" t="s">
        <v>6984</v>
      </c>
      <c r="BOX25" t="s">
        <v>6984</v>
      </c>
      <c r="BOY25" t="s">
        <v>6984</v>
      </c>
      <c r="BOZ25" t="s">
        <v>6984</v>
      </c>
      <c r="BPA25" t="s">
        <v>6984</v>
      </c>
      <c r="BPB25" t="s">
        <v>6984</v>
      </c>
      <c r="BPC25" t="s">
        <v>6984</v>
      </c>
      <c r="BPD25" t="s">
        <v>6984</v>
      </c>
      <c r="BPE25" t="s">
        <v>6984</v>
      </c>
      <c r="BPF25" t="s">
        <v>6984</v>
      </c>
      <c r="BPG25" t="s">
        <v>6984</v>
      </c>
      <c r="BPH25" t="s">
        <v>6984</v>
      </c>
      <c r="BPI25" t="s">
        <v>6984</v>
      </c>
      <c r="BPJ25" t="s">
        <v>6984</v>
      </c>
      <c r="BPK25" t="s">
        <v>6984</v>
      </c>
      <c r="BPL25" t="s">
        <v>6984</v>
      </c>
      <c r="BPM25" t="s">
        <v>6984</v>
      </c>
      <c r="BPN25" t="s">
        <v>6984</v>
      </c>
      <c r="BPO25" t="s">
        <v>6984</v>
      </c>
      <c r="BPP25" t="s">
        <v>6984</v>
      </c>
      <c r="BPQ25" t="s">
        <v>6984</v>
      </c>
      <c r="BPR25" t="s">
        <v>6984</v>
      </c>
      <c r="BPS25" t="s">
        <v>6984</v>
      </c>
      <c r="BPT25" t="s">
        <v>6984</v>
      </c>
      <c r="BPU25" t="s">
        <v>6984</v>
      </c>
      <c r="BPV25" t="s">
        <v>6984</v>
      </c>
      <c r="BPW25" t="s">
        <v>6984</v>
      </c>
      <c r="BPX25" t="s">
        <v>6984</v>
      </c>
      <c r="BPY25" t="s">
        <v>6984</v>
      </c>
      <c r="BPZ25" t="s">
        <v>6984</v>
      </c>
      <c r="BQA25" t="s">
        <v>6984</v>
      </c>
      <c r="BQB25" t="s">
        <v>6984</v>
      </c>
      <c r="BQC25" t="s">
        <v>6984</v>
      </c>
      <c r="BQD25" t="s">
        <v>6984</v>
      </c>
      <c r="BQE25" t="s">
        <v>6984</v>
      </c>
      <c r="BQF25" t="s">
        <v>6984</v>
      </c>
      <c r="BQG25" t="s">
        <v>6984</v>
      </c>
      <c r="BQH25" t="s">
        <v>6984</v>
      </c>
      <c r="BQI25" t="s">
        <v>6984</v>
      </c>
      <c r="BQJ25" t="s">
        <v>6984</v>
      </c>
      <c r="BQK25" t="s">
        <v>6984</v>
      </c>
      <c r="BQL25" t="s">
        <v>6984</v>
      </c>
      <c r="BQM25" t="s">
        <v>6984</v>
      </c>
      <c r="BQN25" t="s">
        <v>6984</v>
      </c>
      <c r="BQO25" t="s">
        <v>6984</v>
      </c>
      <c r="BQP25" t="s">
        <v>6984</v>
      </c>
      <c r="BQQ25" t="s">
        <v>6984</v>
      </c>
      <c r="BQR25" t="s">
        <v>6984</v>
      </c>
      <c r="BQS25" t="s">
        <v>6984</v>
      </c>
      <c r="BQT25" t="s">
        <v>6984</v>
      </c>
      <c r="BQU25" t="s">
        <v>6984</v>
      </c>
      <c r="BQV25" t="s">
        <v>6984</v>
      </c>
      <c r="BQW25" t="s">
        <v>6984</v>
      </c>
      <c r="BQX25" t="s">
        <v>6984</v>
      </c>
      <c r="BQY25" t="s">
        <v>6984</v>
      </c>
      <c r="BQZ25" t="s">
        <v>6984</v>
      </c>
      <c r="BRA25" t="s">
        <v>6984</v>
      </c>
      <c r="BRB25" t="s">
        <v>6984</v>
      </c>
      <c r="BRC25" t="s">
        <v>6984</v>
      </c>
      <c r="BRD25" t="s">
        <v>6984</v>
      </c>
      <c r="BRE25" t="s">
        <v>6984</v>
      </c>
      <c r="BRF25" t="s">
        <v>6984</v>
      </c>
      <c r="BRG25" t="s">
        <v>6984</v>
      </c>
      <c r="BRH25" t="s">
        <v>6984</v>
      </c>
      <c r="BRI25" t="s">
        <v>6984</v>
      </c>
      <c r="BRJ25" t="s">
        <v>6984</v>
      </c>
      <c r="BRK25" t="s">
        <v>6984</v>
      </c>
      <c r="BRL25" t="s">
        <v>6984</v>
      </c>
      <c r="BRM25" t="s">
        <v>6984</v>
      </c>
      <c r="BRN25" t="s">
        <v>6984</v>
      </c>
      <c r="BRO25" t="s">
        <v>6984</v>
      </c>
      <c r="BRP25" t="s">
        <v>6984</v>
      </c>
      <c r="BRQ25" t="s">
        <v>6984</v>
      </c>
      <c r="BRR25" t="s">
        <v>6984</v>
      </c>
      <c r="BRS25" t="s">
        <v>6984</v>
      </c>
      <c r="BRT25" t="s">
        <v>6984</v>
      </c>
      <c r="BRU25" t="s">
        <v>6984</v>
      </c>
      <c r="BRV25" t="s">
        <v>6984</v>
      </c>
      <c r="BRW25" t="s">
        <v>6984</v>
      </c>
      <c r="BRX25" t="s">
        <v>6984</v>
      </c>
      <c r="BRY25" t="s">
        <v>6984</v>
      </c>
      <c r="BRZ25" t="s">
        <v>6984</v>
      </c>
      <c r="BSA25" t="s">
        <v>6984</v>
      </c>
      <c r="BSB25" t="s">
        <v>6984</v>
      </c>
      <c r="BSC25" t="s">
        <v>6984</v>
      </c>
      <c r="BSD25" t="s">
        <v>6984</v>
      </c>
      <c r="BSE25" t="s">
        <v>6984</v>
      </c>
      <c r="BSF25" t="s">
        <v>6984</v>
      </c>
      <c r="BSG25" t="s">
        <v>6984</v>
      </c>
      <c r="BSH25" t="s">
        <v>6984</v>
      </c>
      <c r="BSI25" t="s">
        <v>6984</v>
      </c>
      <c r="BSJ25" t="s">
        <v>6984</v>
      </c>
      <c r="BSK25" t="s">
        <v>6984</v>
      </c>
      <c r="BSL25" t="s">
        <v>6984</v>
      </c>
      <c r="BSM25" t="s">
        <v>6984</v>
      </c>
      <c r="BSN25" t="s">
        <v>6984</v>
      </c>
      <c r="BSO25" t="s">
        <v>6984</v>
      </c>
      <c r="BSP25" t="s">
        <v>6984</v>
      </c>
      <c r="BSQ25" t="s">
        <v>6984</v>
      </c>
      <c r="BSR25" t="s">
        <v>6984</v>
      </c>
      <c r="BSS25" t="s">
        <v>6984</v>
      </c>
      <c r="BST25" t="s">
        <v>6984</v>
      </c>
      <c r="BSU25" t="s">
        <v>6984</v>
      </c>
      <c r="BSV25" t="s">
        <v>6984</v>
      </c>
      <c r="BSW25" t="s">
        <v>6984</v>
      </c>
      <c r="BSX25" t="s">
        <v>6984</v>
      </c>
      <c r="BSY25" t="s">
        <v>6984</v>
      </c>
      <c r="BSZ25" t="s">
        <v>6984</v>
      </c>
      <c r="BTA25" t="s">
        <v>6984</v>
      </c>
      <c r="BTB25" t="s">
        <v>6984</v>
      </c>
      <c r="BTC25" t="s">
        <v>6984</v>
      </c>
      <c r="BTD25" t="s">
        <v>6984</v>
      </c>
      <c r="BTE25" t="s">
        <v>6984</v>
      </c>
      <c r="BTF25" t="s">
        <v>6984</v>
      </c>
      <c r="BTG25" t="s">
        <v>6984</v>
      </c>
      <c r="BTH25" t="s">
        <v>6984</v>
      </c>
      <c r="BTI25" t="s">
        <v>6984</v>
      </c>
      <c r="BTJ25" t="s">
        <v>6984</v>
      </c>
      <c r="BTK25" t="s">
        <v>6984</v>
      </c>
      <c r="BTL25" t="s">
        <v>6984</v>
      </c>
      <c r="BTM25" t="s">
        <v>6984</v>
      </c>
      <c r="BTN25" t="s">
        <v>6984</v>
      </c>
      <c r="BTO25" t="s">
        <v>6984</v>
      </c>
      <c r="BTP25" t="s">
        <v>6984</v>
      </c>
      <c r="BTQ25" t="s">
        <v>6984</v>
      </c>
      <c r="BTR25" t="s">
        <v>6984</v>
      </c>
      <c r="BTS25" t="s">
        <v>6984</v>
      </c>
      <c r="BTT25" t="s">
        <v>6984</v>
      </c>
      <c r="BTU25" t="s">
        <v>6984</v>
      </c>
      <c r="BTV25" t="s">
        <v>6984</v>
      </c>
      <c r="BTW25" t="s">
        <v>6984</v>
      </c>
      <c r="BTX25" t="s">
        <v>6984</v>
      </c>
      <c r="BTY25" t="s">
        <v>6984</v>
      </c>
      <c r="BTZ25" t="s">
        <v>6984</v>
      </c>
      <c r="BUA25" t="s">
        <v>6984</v>
      </c>
      <c r="BUB25" t="s">
        <v>6984</v>
      </c>
      <c r="BUC25" t="s">
        <v>6984</v>
      </c>
      <c r="BUD25" t="s">
        <v>6984</v>
      </c>
      <c r="BUE25" t="s">
        <v>6984</v>
      </c>
      <c r="BUF25" t="s">
        <v>6984</v>
      </c>
      <c r="BUG25" t="s">
        <v>6984</v>
      </c>
      <c r="BUH25" t="s">
        <v>6984</v>
      </c>
      <c r="BUI25" t="s">
        <v>6984</v>
      </c>
      <c r="BUJ25" t="s">
        <v>6984</v>
      </c>
      <c r="BUK25" t="s">
        <v>6984</v>
      </c>
      <c r="BUL25" t="s">
        <v>6984</v>
      </c>
      <c r="BUM25" t="s">
        <v>6984</v>
      </c>
      <c r="BUN25" t="s">
        <v>6984</v>
      </c>
      <c r="BUO25" t="s">
        <v>6984</v>
      </c>
      <c r="BUP25" t="s">
        <v>6984</v>
      </c>
      <c r="BUQ25" t="s">
        <v>6984</v>
      </c>
      <c r="BUR25" t="s">
        <v>6984</v>
      </c>
      <c r="BUS25" t="s">
        <v>6984</v>
      </c>
      <c r="BUT25" t="s">
        <v>6984</v>
      </c>
      <c r="BUU25" t="s">
        <v>6984</v>
      </c>
      <c r="BUV25" t="s">
        <v>6984</v>
      </c>
      <c r="BUW25" t="s">
        <v>6984</v>
      </c>
      <c r="BUX25" t="s">
        <v>6984</v>
      </c>
      <c r="BUY25" t="s">
        <v>6984</v>
      </c>
      <c r="BUZ25" t="s">
        <v>6984</v>
      </c>
      <c r="BVA25" t="s">
        <v>6984</v>
      </c>
      <c r="BVB25" t="s">
        <v>6984</v>
      </c>
      <c r="BVC25" t="s">
        <v>6984</v>
      </c>
      <c r="BVD25" t="s">
        <v>6984</v>
      </c>
      <c r="BVE25" t="s">
        <v>6984</v>
      </c>
      <c r="BVF25" t="s">
        <v>6984</v>
      </c>
      <c r="BVG25" t="s">
        <v>6984</v>
      </c>
      <c r="BVH25" t="s">
        <v>6984</v>
      </c>
      <c r="BVI25" t="s">
        <v>6984</v>
      </c>
      <c r="BVJ25" t="s">
        <v>6984</v>
      </c>
      <c r="BVK25" t="s">
        <v>6984</v>
      </c>
      <c r="BVL25" t="s">
        <v>6984</v>
      </c>
      <c r="BVM25" t="s">
        <v>6984</v>
      </c>
      <c r="BVN25" t="s">
        <v>6984</v>
      </c>
      <c r="BVO25" t="s">
        <v>6984</v>
      </c>
      <c r="BVP25" t="s">
        <v>6984</v>
      </c>
      <c r="BVQ25" t="s">
        <v>6984</v>
      </c>
      <c r="BVR25" t="s">
        <v>6984</v>
      </c>
      <c r="BVS25" t="s">
        <v>6984</v>
      </c>
      <c r="BVT25" t="s">
        <v>6984</v>
      </c>
      <c r="BVU25" t="s">
        <v>6984</v>
      </c>
      <c r="BVV25" t="s">
        <v>6984</v>
      </c>
      <c r="BVW25" t="s">
        <v>6984</v>
      </c>
      <c r="BVX25" t="s">
        <v>6984</v>
      </c>
      <c r="BVY25" t="s">
        <v>6984</v>
      </c>
      <c r="BVZ25" t="s">
        <v>6984</v>
      </c>
      <c r="BWA25" t="s">
        <v>6984</v>
      </c>
      <c r="BWB25" t="s">
        <v>6984</v>
      </c>
      <c r="BWC25" t="s">
        <v>6984</v>
      </c>
      <c r="BWD25" t="s">
        <v>6984</v>
      </c>
      <c r="BWE25" t="s">
        <v>6984</v>
      </c>
      <c r="BWF25" t="s">
        <v>6984</v>
      </c>
      <c r="BWG25" t="s">
        <v>6984</v>
      </c>
      <c r="BWH25" t="s">
        <v>6984</v>
      </c>
      <c r="BWI25" t="s">
        <v>6984</v>
      </c>
      <c r="BWJ25" t="s">
        <v>6984</v>
      </c>
      <c r="BWK25" t="s">
        <v>6984</v>
      </c>
      <c r="BWL25" t="s">
        <v>6984</v>
      </c>
      <c r="BWM25" t="s">
        <v>6984</v>
      </c>
      <c r="BWN25" t="s">
        <v>6984</v>
      </c>
      <c r="BWO25" t="s">
        <v>6984</v>
      </c>
      <c r="BWP25" t="s">
        <v>6984</v>
      </c>
      <c r="BWQ25" t="s">
        <v>6984</v>
      </c>
      <c r="BWR25" t="s">
        <v>6984</v>
      </c>
      <c r="BWS25" t="s">
        <v>6984</v>
      </c>
      <c r="BWT25" t="s">
        <v>6984</v>
      </c>
      <c r="BWU25" t="s">
        <v>6984</v>
      </c>
      <c r="BWV25" t="s">
        <v>6984</v>
      </c>
      <c r="BWW25" t="s">
        <v>6984</v>
      </c>
      <c r="BWX25" t="s">
        <v>6984</v>
      </c>
      <c r="BWY25" t="s">
        <v>6984</v>
      </c>
      <c r="BWZ25" t="s">
        <v>6984</v>
      </c>
      <c r="BXA25" t="s">
        <v>6984</v>
      </c>
      <c r="BXB25" t="s">
        <v>6984</v>
      </c>
      <c r="BXC25" t="s">
        <v>6984</v>
      </c>
      <c r="BXD25" t="s">
        <v>6984</v>
      </c>
      <c r="BXE25" t="s">
        <v>6984</v>
      </c>
      <c r="BXF25" t="s">
        <v>6984</v>
      </c>
      <c r="BXG25" t="s">
        <v>6984</v>
      </c>
      <c r="BXH25" t="s">
        <v>6984</v>
      </c>
      <c r="BXI25" t="s">
        <v>6984</v>
      </c>
      <c r="BXJ25" t="s">
        <v>6984</v>
      </c>
      <c r="BXK25" t="s">
        <v>6984</v>
      </c>
      <c r="BXL25" t="s">
        <v>6984</v>
      </c>
      <c r="BXM25" t="s">
        <v>6984</v>
      </c>
      <c r="BXN25" t="s">
        <v>6984</v>
      </c>
      <c r="BXO25" t="s">
        <v>6984</v>
      </c>
      <c r="BXP25" t="s">
        <v>6984</v>
      </c>
      <c r="BXQ25" t="s">
        <v>6984</v>
      </c>
      <c r="BXR25" t="s">
        <v>6984</v>
      </c>
      <c r="BXS25" t="s">
        <v>6984</v>
      </c>
      <c r="BXT25" t="s">
        <v>6984</v>
      </c>
      <c r="BXU25" t="s">
        <v>6984</v>
      </c>
      <c r="BXV25" t="s">
        <v>6984</v>
      </c>
      <c r="BXW25" t="s">
        <v>6984</v>
      </c>
      <c r="BXX25" t="s">
        <v>6984</v>
      </c>
      <c r="BXY25" t="s">
        <v>6984</v>
      </c>
      <c r="BXZ25" t="s">
        <v>6984</v>
      </c>
      <c r="BYA25" t="s">
        <v>6984</v>
      </c>
      <c r="BYB25" t="s">
        <v>6984</v>
      </c>
      <c r="BYC25" t="s">
        <v>6984</v>
      </c>
      <c r="BYD25" t="s">
        <v>6984</v>
      </c>
      <c r="BYE25" t="s">
        <v>6984</v>
      </c>
      <c r="BYF25" t="s">
        <v>6984</v>
      </c>
      <c r="BYG25" t="s">
        <v>6984</v>
      </c>
      <c r="BYH25" t="s">
        <v>6984</v>
      </c>
      <c r="BYI25" t="s">
        <v>6984</v>
      </c>
      <c r="BYJ25" t="s">
        <v>6984</v>
      </c>
      <c r="BYK25" t="s">
        <v>6984</v>
      </c>
      <c r="BYL25" t="s">
        <v>6984</v>
      </c>
      <c r="BYM25" t="s">
        <v>6984</v>
      </c>
      <c r="BYN25" t="s">
        <v>6984</v>
      </c>
      <c r="BYO25" t="s">
        <v>6984</v>
      </c>
      <c r="BYP25" t="s">
        <v>6984</v>
      </c>
      <c r="BYQ25" t="s">
        <v>6984</v>
      </c>
      <c r="BYR25" t="s">
        <v>6984</v>
      </c>
      <c r="BYS25" t="s">
        <v>6984</v>
      </c>
      <c r="BYT25" t="s">
        <v>6984</v>
      </c>
      <c r="BYU25" t="s">
        <v>6984</v>
      </c>
      <c r="BYV25" t="s">
        <v>6984</v>
      </c>
      <c r="BYW25" t="s">
        <v>6984</v>
      </c>
      <c r="BYX25" t="s">
        <v>6984</v>
      </c>
      <c r="BYY25" t="s">
        <v>6984</v>
      </c>
      <c r="BYZ25" t="s">
        <v>6984</v>
      </c>
      <c r="BZA25" t="s">
        <v>6984</v>
      </c>
      <c r="BZB25" t="s">
        <v>6984</v>
      </c>
      <c r="BZC25" t="s">
        <v>6984</v>
      </c>
      <c r="BZD25" t="s">
        <v>6984</v>
      </c>
      <c r="BZE25" t="s">
        <v>6984</v>
      </c>
      <c r="BZF25" t="s">
        <v>6984</v>
      </c>
      <c r="BZG25" t="s">
        <v>6984</v>
      </c>
      <c r="BZH25" t="s">
        <v>6984</v>
      </c>
      <c r="BZI25" t="s">
        <v>6984</v>
      </c>
      <c r="BZJ25" t="s">
        <v>6984</v>
      </c>
      <c r="BZK25" t="s">
        <v>6984</v>
      </c>
      <c r="BZL25" t="s">
        <v>6984</v>
      </c>
      <c r="BZM25" t="s">
        <v>6984</v>
      </c>
      <c r="BZN25" t="s">
        <v>6984</v>
      </c>
      <c r="BZO25" t="s">
        <v>6984</v>
      </c>
      <c r="BZP25" t="s">
        <v>6984</v>
      </c>
      <c r="BZQ25" t="s">
        <v>6984</v>
      </c>
      <c r="BZR25" t="s">
        <v>6984</v>
      </c>
      <c r="BZS25" t="s">
        <v>6984</v>
      </c>
      <c r="BZT25" t="s">
        <v>6984</v>
      </c>
      <c r="BZU25" t="s">
        <v>6984</v>
      </c>
      <c r="BZV25" t="s">
        <v>6984</v>
      </c>
      <c r="BZW25" t="s">
        <v>6984</v>
      </c>
      <c r="BZX25" t="s">
        <v>6984</v>
      </c>
      <c r="BZY25" t="s">
        <v>6984</v>
      </c>
      <c r="BZZ25" t="s">
        <v>6984</v>
      </c>
      <c r="CAA25" t="s">
        <v>6984</v>
      </c>
      <c r="CAB25" t="s">
        <v>6984</v>
      </c>
      <c r="CAC25" t="s">
        <v>6984</v>
      </c>
      <c r="CAD25" t="s">
        <v>6984</v>
      </c>
      <c r="CAE25" t="s">
        <v>6984</v>
      </c>
      <c r="CAF25" t="s">
        <v>6984</v>
      </c>
      <c r="CAG25" t="s">
        <v>6984</v>
      </c>
      <c r="CAH25" t="s">
        <v>6984</v>
      </c>
      <c r="CAI25" t="s">
        <v>6984</v>
      </c>
      <c r="CAJ25" t="s">
        <v>6984</v>
      </c>
      <c r="CAK25" t="s">
        <v>6984</v>
      </c>
      <c r="CAL25" t="s">
        <v>6984</v>
      </c>
      <c r="CAM25" t="s">
        <v>6984</v>
      </c>
      <c r="CAN25" t="s">
        <v>6984</v>
      </c>
      <c r="CAO25" t="s">
        <v>6984</v>
      </c>
      <c r="CAP25" t="s">
        <v>6984</v>
      </c>
      <c r="CAQ25" t="s">
        <v>6984</v>
      </c>
      <c r="CAR25" t="s">
        <v>6984</v>
      </c>
      <c r="CAS25" t="s">
        <v>6984</v>
      </c>
      <c r="CAT25" t="s">
        <v>6984</v>
      </c>
      <c r="CAU25" t="s">
        <v>6984</v>
      </c>
      <c r="CAV25" t="s">
        <v>6984</v>
      </c>
      <c r="CAW25" t="s">
        <v>6984</v>
      </c>
      <c r="CAX25" t="s">
        <v>6984</v>
      </c>
      <c r="CAY25" t="s">
        <v>6984</v>
      </c>
      <c r="CAZ25" t="s">
        <v>6984</v>
      </c>
      <c r="CBA25" t="s">
        <v>6984</v>
      </c>
      <c r="CBB25" t="s">
        <v>6984</v>
      </c>
      <c r="CBC25" t="s">
        <v>6984</v>
      </c>
      <c r="CBD25" t="s">
        <v>6984</v>
      </c>
      <c r="CBE25" t="s">
        <v>6984</v>
      </c>
      <c r="CBF25" t="s">
        <v>6984</v>
      </c>
      <c r="CBG25" t="s">
        <v>6984</v>
      </c>
      <c r="CBH25" t="s">
        <v>6984</v>
      </c>
      <c r="CBI25" t="s">
        <v>6984</v>
      </c>
      <c r="CBJ25" t="s">
        <v>6984</v>
      </c>
      <c r="CBK25" t="s">
        <v>6984</v>
      </c>
      <c r="CBL25" t="s">
        <v>6984</v>
      </c>
      <c r="CBM25" t="s">
        <v>6984</v>
      </c>
      <c r="CBN25" t="s">
        <v>6984</v>
      </c>
      <c r="CBO25" t="s">
        <v>6984</v>
      </c>
      <c r="CBP25" t="s">
        <v>6984</v>
      </c>
      <c r="CBQ25" t="s">
        <v>6984</v>
      </c>
      <c r="CBR25" t="s">
        <v>6984</v>
      </c>
      <c r="CBS25" t="s">
        <v>6984</v>
      </c>
      <c r="CBT25" t="s">
        <v>6984</v>
      </c>
      <c r="CBU25" t="s">
        <v>6984</v>
      </c>
      <c r="CBV25" t="s">
        <v>6984</v>
      </c>
      <c r="CBW25" t="s">
        <v>6984</v>
      </c>
      <c r="CBX25" t="s">
        <v>6984</v>
      </c>
      <c r="CBY25" t="s">
        <v>6984</v>
      </c>
      <c r="CBZ25" t="s">
        <v>6984</v>
      </c>
      <c r="CCA25" t="s">
        <v>6984</v>
      </c>
      <c r="CCB25" t="s">
        <v>6984</v>
      </c>
      <c r="CCC25" t="s">
        <v>6984</v>
      </c>
      <c r="CCD25" t="s">
        <v>6984</v>
      </c>
      <c r="CCE25" t="s">
        <v>6984</v>
      </c>
      <c r="CCF25" t="s">
        <v>6984</v>
      </c>
      <c r="CCG25" t="s">
        <v>6984</v>
      </c>
      <c r="CCH25" t="s">
        <v>6984</v>
      </c>
      <c r="CCI25" t="s">
        <v>6984</v>
      </c>
      <c r="CCJ25" t="s">
        <v>6984</v>
      </c>
      <c r="CCK25" t="s">
        <v>6984</v>
      </c>
      <c r="CCL25" t="s">
        <v>6984</v>
      </c>
      <c r="CCM25" t="s">
        <v>6984</v>
      </c>
      <c r="CCN25" t="s">
        <v>6984</v>
      </c>
      <c r="CCO25" t="s">
        <v>6984</v>
      </c>
      <c r="CCP25" t="s">
        <v>6984</v>
      </c>
      <c r="CCQ25" t="s">
        <v>6984</v>
      </c>
      <c r="CCR25" t="s">
        <v>6984</v>
      </c>
      <c r="CCS25" t="s">
        <v>6984</v>
      </c>
      <c r="CCT25" t="s">
        <v>6984</v>
      </c>
      <c r="CCU25" t="s">
        <v>6984</v>
      </c>
      <c r="CCV25" t="s">
        <v>6984</v>
      </c>
      <c r="CCW25" t="s">
        <v>6984</v>
      </c>
      <c r="CCX25" t="s">
        <v>6984</v>
      </c>
      <c r="CCY25" t="s">
        <v>6984</v>
      </c>
      <c r="CCZ25" t="s">
        <v>6984</v>
      </c>
      <c r="CDA25" t="s">
        <v>6984</v>
      </c>
      <c r="CDB25" t="s">
        <v>6984</v>
      </c>
      <c r="CDC25" t="s">
        <v>6984</v>
      </c>
      <c r="CDD25" t="s">
        <v>6984</v>
      </c>
      <c r="CDE25" t="s">
        <v>6984</v>
      </c>
      <c r="CDF25" t="s">
        <v>6984</v>
      </c>
      <c r="CDG25" t="s">
        <v>6984</v>
      </c>
      <c r="CDH25" t="s">
        <v>6984</v>
      </c>
      <c r="CDI25" t="s">
        <v>6984</v>
      </c>
      <c r="CDJ25" t="s">
        <v>6984</v>
      </c>
      <c r="CDK25" t="s">
        <v>6984</v>
      </c>
      <c r="CDL25" t="s">
        <v>6984</v>
      </c>
      <c r="CDM25" t="s">
        <v>6984</v>
      </c>
      <c r="CDN25" t="s">
        <v>6984</v>
      </c>
      <c r="CDO25" t="s">
        <v>6984</v>
      </c>
      <c r="CDP25" t="s">
        <v>6984</v>
      </c>
      <c r="CDQ25" t="s">
        <v>6984</v>
      </c>
      <c r="CDR25" t="s">
        <v>6984</v>
      </c>
      <c r="CDS25" t="s">
        <v>6984</v>
      </c>
      <c r="CDT25" t="s">
        <v>6984</v>
      </c>
      <c r="CDU25" t="s">
        <v>6984</v>
      </c>
      <c r="CDV25" t="s">
        <v>6984</v>
      </c>
      <c r="CDW25" t="s">
        <v>6984</v>
      </c>
      <c r="CDX25" t="s">
        <v>6984</v>
      </c>
      <c r="CDY25" t="s">
        <v>6984</v>
      </c>
      <c r="CDZ25" t="s">
        <v>6984</v>
      </c>
      <c r="CEA25" t="s">
        <v>6984</v>
      </c>
      <c r="CEB25" t="s">
        <v>6984</v>
      </c>
      <c r="CEC25" t="s">
        <v>6984</v>
      </c>
      <c r="CED25" t="s">
        <v>6984</v>
      </c>
      <c r="CEE25" t="s">
        <v>6984</v>
      </c>
      <c r="CEF25" t="s">
        <v>6984</v>
      </c>
      <c r="CEG25" t="s">
        <v>6984</v>
      </c>
      <c r="CEH25" t="s">
        <v>6984</v>
      </c>
      <c r="CEI25" t="s">
        <v>6984</v>
      </c>
      <c r="CEJ25" t="s">
        <v>6984</v>
      </c>
      <c r="CEK25" t="s">
        <v>6984</v>
      </c>
      <c r="CEL25" t="s">
        <v>6984</v>
      </c>
      <c r="CEM25" t="s">
        <v>6984</v>
      </c>
      <c r="CEN25" t="s">
        <v>6984</v>
      </c>
      <c r="CEO25" t="s">
        <v>6984</v>
      </c>
      <c r="CEP25" t="s">
        <v>6984</v>
      </c>
      <c r="CEQ25" t="s">
        <v>6984</v>
      </c>
      <c r="CER25" t="s">
        <v>6984</v>
      </c>
      <c r="CES25" t="s">
        <v>6984</v>
      </c>
      <c r="CET25" t="s">
        <v>6984</v>
      </c>
      <c r="CEU25" t="s">
        <v>6984</v>
      </c>
      <c r="CEV25" t="s">
        <v>6984</v>
      </c>
      <c r="CEW25" t="s">
        <v>6984</v>
      </c>
      <c r="CEX25" t="s">
        <v>6984</v>
      </c>
      <c r="CEY25" t="s">
        <v>6984</v>
      </c>
      <c r="CEZ25" t="s">
        <v>6984</v>
      </c>
      <c r="CFA25" t="s">
        <v>6984</v>
      </c>
      <c r="CFB25" t="s">
        <v>6984</v>
      </c>
      <c r="CFC25" t="s">
        <v>6984</v>
      </c>
      <c r="CFD25" t="s">
        <v>6984</v>
      </c>
      <c r="CFE25" t="s">
        <v>6984</v>
      </c>
      <c r="CFF25" t="s">
        <v>6984</v>
      </c>
      <c r="CFG25" t="s">
        <v>6984</v>
      </c>
      <c r="CFH25" t="s">
        <v>6984</v>
      </c>
      <c r="CFI25" t="s">
        <v>6984</v>
      </c>
      <c r="CFJ25" t="s">
        <v>6984</v>
      </c>
      <c r="CFK25" t="s">
        <v>6984</v>
      </c>
      <c r="CFL25" t="s">
        <v>6984</v>
      </c>
      <c r="CFM25" t="s">
        <v>6984</v>
      </c>
      <c r="CFN25" t="s">
        <v>6984</v>
      </c>
      <c r="CFO25" t="s">
        <v>6984</v>
      </c>
      <c r="CFP25" t="s">
        <v>6984</v>
      </c>
      <c r="CFQ25" t="s">
        <v>6984</v>
      </c>
      <c r="CFR25" t="s">
        <v>6984</v>
      </c>
      <c r="CFS25" t="s">
        <v>6984</v>
      </c>
      <c r="CFT25" t="s">
        <v>6984</v>
      </c>
      <c r="CFU25" t="s">
        <v>6984</v>
      </c>
      <c r="CFV25" t="s">
        <v>6984</v>
      </c>
      <c r="CFW25" t="s">
        <v>6984</v>
      </c>
      <c r="CFX25" t="s">
        <v>6984</v>
      </c>
      <c r="CFY25" t="s">
        <v>6984</v>
      </c>
      <c r="CFZ25" t="s">
        <v>6984</v>
      </c>
      <c r="CGA25" t="s">
        <v>6984</v>
      </c>
      <c r="CGB25" t="s">
        <v>6984</v>
      </c>
      <c r="CGC25" t="s">
        <v>6984</v>
      </c>
      <c r="CGD25" t="s">
        <v>6984</v>
      </c>
      <c r="CGE25" t="s">
        <v>6984</v>
      </c>
      <c r="CGF25" t="s">
        <v>6984</v>
      </c>
      <c r="CGG25" t="s">
        <v>6984</v>
      </c>
      <c r="CGH25" t="s">
        <v>6984</v>
      </c>
      <c r="CGI25" t="s">
        <v>6984</v>
      </c>
      <c r="CGJ25" t="s">
        <v>6984</v>
      </c>
      <c r="CGK25" t="s">
        <v>6984</v>
      </c>
      <c r="CGL25" t="s">
        <v>6984</v>
      </c>
      <c r="CGM25" t="s">
        <v>6984</v>
      </c>
      <c r="CGN25" t="s">
        <v>6984</v>
      </c>
      <c r="CGO25" t="s">
        <v>6984</v>
      </c>
      <c r="CGP25" t="s">
        <v>6984</v>
      </c>
      <c r="CGQ25" t="s">
        <v>6984</v>
      </c>
      <c r="CGR25" t="s">
        <v>6984</v>
      </c>
      <c r="CGS25" t="s">
        <v>6984</v>
      </c>
      <c r="CGT25" t="s">
        <v>6984</v>
      </c>
      <c r="CGU25" t="s">
        <v>6984</v>
      </c>
      <c r="CGV25" t="s">
        <v>6984</v>
      </c>
      <c r="CGW25" t="s">
        <v>6984</v>
      </c>
      <c r="CGX25" t="s">
        <v>6984</v>
      </c>
      <c r="CGY25" t="s">
        <v>6984</v>
      </c>
      <c r="CGZ25" t="s">
        <v>6984</v>
      </c>
      <c r="CHA25" t="s">
        <v>6984</v>
      </c>
      <c r="CHB25" t="s">
        <v>6984</v>
      </c>
      <c r="CHC25" t="s">
        <v>6984</v>
      </c>
      <c r="CHD25" t="s">
        <v>6984</v>
      </c>
      <c r="CHE25" t="s">
        <v>6984</v>
      </c>
      <c r="CHF25" t="s">
        <v>6984</v>
      </c>
      <c r="CHG25" t="s">
        <v>6984</v>
      </c>
      <c r="CHH25" t="s">
        <v>6984</v>
      </c>
      <c r="CHI25" t="s">
        <v>6984</v>
      </c>
      <c r="CHJ25" t="s">
        <v>6984</v>
      </c>
      <c r="CHK25" t="s">
        <v>6984</v>
      </c>
      <c r="CHL25" t="s">
        <v>6984</v>
      </c>
      <c r="CHM25" t="s">
        <v>6984</v>
      </c>
      <c r="CHN25" t="s">
        <v>6984</v>
      </c>
      <c r="CHO25" t="s">
        <v>6984</v>
      </c>
      <c r="CHP25" t="s">
        <v>6984</v>
      </c>
      <c r="CHQ25" t="s">
        <v>6984</v>
      </c>
      <c r="CHR25" t="s">
        <v>6984</v>
      </c>
      <c r="CHS25" t="s">
        <v>6984</v>
      </c>
      <c r="CHT25" t="s">
        <v>6984</v>
      </c>
      <c r="CHU25" t="s">
        <v>6984</v>
      </c>
      <c r="CHV25" t="s">
        <v>6984</v>
      </c>
      <c r="CHW25" t="s">
        <v>6984</v>
      </c>
      <c r="CHX25" t="s">
        <v>6984</v>
      </c>
      <c r="CHY25" t="s">
        <v>6984</v>
      </c>
      <c r="CHZ25" t="s">
        <v>6984</v>
      </c>
      <c r="CIA25" t="s">
        <v>6984</v>
      </c>
      <c r="CIB25" t="s">
        <v>6984</v>
      </c>
      <c r="CIC25" t="s">
        <v>6984</v>
      </c>
      <c r="CID25" t="s">
        <v>6984</v>
      </c>
      <c r="CIE25" t="s">
        <v>6984</v>
      </c>
      <c r="CIF25" t="s">
        <v>6984</v>
      </c>
      <c r="CIG25" t="s">
        <v>6984</v>
      </c>
      <c r="CIH25" t="s">
        <v>6984</v>
      </c>
      <c r="CII25" t="s">
        <v>6984</v>
      </c>
      <c r="CIJ25" t="s">
        <v>6984</v>
      </c>
      <c r="CIK25" t="s">
        <v>6984</v>
      </c>
      <c r="CIL25" t="s">
        <v>6984</v>
      </c>
      <c r="CIM25" t="s">
        <v>6984</v>
      </c>
      <c r="CIN25" t="s">
        <v>6984</v>
      </c>
      <c r="CIO25" t="s">
        <v>6984</v>
      </c>
      <c r="CIP25" t="s">
        <v>6984</v>
      </c>
      <c r="CIQ25" t="s">
        <v>6984</v>
      </c>
      <c r="CIR25" t="s">
        <v>6984</v>
      </c>
      <c r="CIS25" t="s">
        <v>6984</v>
      </c>
      <c r="CIT25" t="s">
        <v>6984</v>
      </c>
      <c r="CIU25" t="s">
        <v>6984</v>
      </c>
      <c r="CIV25" t="s">
        <v>6984</v>
      </c>
      <c r="CIW25" t="s">
        <v>6984</v>
      </c>
      <c r="CIX25" t="s">
        <v>6984</v>
      </c>
      <c r="CIY25" t="s">
        <v>6984</v>
      </c>
      <c r="CIZ25" t="s">
        <v>6984</v>
      </c>
      <c r="CJA25" t="s">
        <v>6984</v>
      </c>
      <c r="CJB25" t="s">
        <v>6984</v>
      </c>
      <c r="CJC25" t="s">
        <v>6984</v>
      </c>
      <c r="CJD25" t="s">
        <v>6984</v>
      </c>
      <c r="CJE25" t="s">
        <v>6984</v>
      </c>
      <c r="CJF25" t="s">
        <v>6984</v>
      </c>
      <c r="CJG25" t="s">
        <v>6984</v>
      </c>
      <c r="CJH25" t="s">
        <v>6984</v>
      </c>
      <c r="CJI25" t="s">
        <v>6984</v>
      </c>
      <c r="CJJ25" t="s">
        <v>6984</v>
      </c>
      <c r="CJK25" t="s">
        <v>6984</v>
      </c>
      <c r="CJL25" t="s">
        <v>6984</v>
      </c>
      <c r="CJM25" t="s">
        <v>6984</v>
      </c>
      <c r="CJN25" t="s">
        <v>6984</v>
      </c>
      <c r="CJO25" t="s">
        <v>6984</v>
      </c>
      <c r="CJP25" t="s">
        <v>6984</v>
      </c>
      <c r="CJQ25" t="s">
        <v>6984</v>
      </c>
      <c r="CJR25" t="s">
        <v>6984</v>
      </c>
      <c r="CJS25" t="s">
        <v>6984</v>
      </c>
      <c r="CJT25" t="s">
        <v>6984</v>
      </c>
      <c r="CJU25" t="s">
        <v>6984</v>
      </c>
      <c r="CJV25" t="s">
        <v>6984</v>
      </c>
      <c r="CJW25" t="s">
        <v>6984</v>
      </c>
      <c r="CJX25" t="s">
        <v>6984</v>
      </c>
      <c r="CJY25" t="s">
        <v>6984</v>
      </c>
      <c r="CJZ25" t="s">
        <v>6984</v>
      </c>
      <c r="CKA25" t="s">
        <v>6984</v>
      </c>
      <c r="CKB25" t="s">
        <v>6984</v>
      </c>
      <c r="CKC25" t="s">
        <v>6984</v>
      </c>
      <c r="CKD25" t="s">
        <v>6984</v>
      </c>
      <c r="CKE25" t="s">
        <v>6984</v>
      </c>
      <c r="CKF25" t="s">
        <v>6984</v>
      </c>
      <c r="CKG25" t="s">
        <v>6984</v>
      </c>
      <c r="CKH25" t="s">
        <v>6984</v>
      </c>
      <c r="CKI25" t="s">
        <v>6984</v>
      </c>
      <c r="CKJ25" t="s">
        <v>6984</v>
      </c>
      <c r="CKK25" t="s">
        <v>6984</v>
      </c>
      <c r="CKL25" t="s">
        <v>6984</v>
      </c>
      <c r="CKM25" t="s">
        <v>6984</v>
      </c>
      <c r="CKN25" t="s">
        <v>6984</v>
      </c>
      <c r="CKO25" t="s">
        <v>6984</v>
      </c>
      <c r="CKP25" t="s">
        <v>6984</v>
      </c>
      <c r="CKQ25" t="s">
        <v>6984</v>
      </c>
      <c r="CKR25" t="s">
        <v>6984</v>
      </c>
      <c r="CKS25" t="s">
        <v>6984</v>
      </c>
      <c r="CKT25" t="s">
        <v>6984</v>
      </c>
      <c r="CKU25" t="s">
        <v>6984</v>
      </c>
      <c r="CKV25" t="s">
        <v>6984</v>
      </c>
      <c r="CKW25" t="s">
        <v>6984</v>
      </c>
      <c r="CKX25" t="s">
        <v>6984</v>
      </c>
      <c r="CKY25" t="s">
        <v>6984</v>
      </c>
      <c r="CKZ25" t="s">
        <v>6984</v>
      </c>
      <c r="CLA25" t="s">
        <v>6984</v>
      </c>
      <c r="CLB25" t="s">
        <v>6984</v>
      </c>
      <c r="CLC25" t="s">
        <v>6984</v>
      </c>
      <c r="CLD25" t="s">
        <v>6984</v>
      </c>
      <c r="CLE25" t="s">
        <v>6984</v>
      </c>
      <c r="CLF25" t="s">
        <v>6984</v>
      </c>
      <c r="CLG25" t="s">
        <v>6984</v>
      </c>
      <c r="CLH25" t="s">
        <v>6984</v>
      </c>
      <c r="CLI25" t="s">
        <v>6984</v>
      </c>
      <c r="CLJ25" t="s">
        <v>6984</v>
      </c>
      <c r="CLK25" t="s">
        <v>6984</v>
      </c>
      <c r="CLL25" t="s">
        <v>6984</v>
      </c>
      <c r="CLM25" t="s">
        <v>6984</v>
      </c>
      <c r="CLN25" t="s">
        <v>6984</v>
      </c>
      <c r="CLO25" t="s">
        <v>6984</v>
      </c>
      <c r="CLP25" t="s">
        <v>6984</v>
      </c>
      <c r="CLQ25" t="s">
        <v>6984</v>
      </c>
      <c r="CLR25" t="s">
        <v>6984</v>
      </c>
      <c r="CLS25" t="s">
        <v>6984</v>
      </c>
      <c r="CLT25" t="s">
        <v>6984</v>
      </c>
      <c r="CLU25" t="s">
        <v>6984</v>
      </c>
      <c r="CLV25" t="s">
        <v>6984</v>
      </c>
      <c r="CLW25" t="s">
        <v>6984</v>
      </c>
      <c r="CLX25" t="s">
        <v>6984</v>
      </c>
      <c r="CLY25" t="s">
        <v>6984</v>
      </c>
      <c r="CLZ25" t="s">
        <v>6984</v>
      </c>
      <c r="CMA25" t="s">
        <v>6984</v>
      </c>
      <c r="CMB25" t="s">
        <v>6984</v>
      </c>
      <c r="CMC25" t="s">
        <v>6984</v>
      </c>
      <c r="CMD25" t="s">
        <v>6984</v>
      </c>
      <c r="CME25" t="s">
        <v>6984</v>
      </c>
      <c r="CMF25" t="s">
        <v>6984</v>
      </c>
      <c r="CMG25" t="s">
        <v>6984</v>
      </c>
      <c r="CMH25" t="s">
        <v>6984</v>
      </c>
      <c r="CMI25" t="s">
        <v>6984</v>
      </c>
      <c r="CMJ25" t="s">
        <v>6984</v>
      </c>
      <c r="CMK25" t="s">
        <v>6984</v>
      </c>
      <c r="CML25" t="s">
        <v>6984</v>
      </c>
      <c r="CMM25" t="s">
        <v>6984</v>
      </c>
      <c r="CMN25" t="s">
        <v>6984</v>
      </c>
      <c r="CMO25" t="s">
        <v>6984</v>
      </c>
      <c r="CMP25" t="s">
        <v>6984</v>
      </c>
      <c r="CMQ25" t="s">
        <v>6984</v>
      </c>
      <c r="CMR25" t="s">
        <v>6984</v>
      </c>
      <c r="CMS25" t="s">
        <v>6984</v>
      </c>
      <c r="CMT25" t="s">
        <v>6984</v>
      </c>
      <c r="CMU25" t="s">
        <v>6984</v>
      </c>
      <c r="CMV25" t="s">
        <v>6984</v>
      </c>
      <c r="CMW25" t="s">
        <v>6984</v>
      </c>
      <c r="CMX25" t="s">
        <v>6984</v>
      </c>
      <c r="CMY25" t="s">
        <v>6984</v>
      </c>
      <c r="CMZ25" t="s">
        <v>6984</v>
      </c>
      <c r="CNA25" t="s">
        <v>6984</v>
      </c>
      <c r="CNB25" t="s">
        <v>6984</v>
      </c>
      <c r="CNC25" t="s">
        <v>6984</v>
      </c>
      <c r="CND25" t="s">
        <v>6984</v>
      </c>
      <c r="CNE25" t="s">
        <v>6984</v>
      </c>
      <c r="CNF25" t="s">
        <v>6984</v>
      </c>
      <c r="CNG25" t="s">
        <v>6984</v>
      </c>
      <c r="CNH25" t="s">
        <v>6984</v>
      </c>
      <c r="CNI25" t="s">
        <v>6984</v>
      </c>
      <c r="CNJ25" t="s">
        <v>6984</v>
      </c>
      <c r="CNK25" t="s">
        <v>6984</v>
      </c>
      <c r="CNL25" t="s">
        <v>6984</v>
      </c>
      <c r="CNM25" t="s">
        <v>6984</v>
      </c>
      <c r="CNN25" t="s">
        <v>6984</v>
      </c>
      <c r="CNO25" t="s">
        <v>6984</v>
      </c>
      <c r="CNP25" t="s">
        <v>6984</v>
      </c>
      <c r="CNQ25" t="s">
        <v>6984</v>
      </c>
      <c r="CNR25" t="s">
        <v>6984</v>
      </c>
      <c r="CNS25" t="s">
        <v>6984</v>
      </c>
      <c r="CNT25" t="s">
        <v>6984</v>
      </c>
      <c r="CNU25" t="s">
        <v>6984</v>
      </c>
      <c r="CNV25" t="s">
        <v>6984</v>
      </c>
      <c r="CNW25" t="s">
        <v>6984</v>
      </c>
      <c r="CNX25" t="s">
        <v>6984</v>
      </c>
      <c r="CNY25" t="s">
        <v>6984</v>
      </c>
      <c r="CNZ25" t="s">
        <v>6984</v>
      </c>
      <c r="COA25" t="s">
        <v>6984</v>
      </c>
      <c r="COB25" t="s">
        <v>6984</v>
      </c>
      <c r="COC25" t="s">
        <v>6984</v>
      </c>
      <c r="COD25" t="s">
        <v>6984</v>
      </c>
      <c r="COE25" t="s">
        <v>6984</v>
      </c>
      <c r="COF25" t="s">
        <v>6984</v>
      </c>
      <c r="COG25" t="s">
        <v>6984</v>
      </c>
      <c r="COH25" t="s">
        <v>6984</v>
      </c>
      <c r="COI25" t="s">
        <v>6984</v>
      </c>
      <c r="COJ25" t="s">
        <v>6984</v>
      </c>
      <c r="COK25" t="s">
        <v>6984</v>
      </c>
      <c r="COL25" t="s">
        <v>6984</v>
      </c>
      <c r="COM25" t="s">
        <v>6984</v>
      </c>
      <c r="CON25" t="s">
        <v>6984</v>
      </c>
      <c r="COO25" t="s">
        <v>6984</v>
      </c>
      <c r="COP25" t="s">
        <v>6984</v>
      </c>
      <c r="COQ25" t="s">
        <v>6984</v>
      </c>
      <c r="COR25" t="s">
        <v>6984</v>
      </c>
      <c r="COS25" t="s">
        <v>6984</v>
      </c>
      <c r="COT25" t="s">
        <v>6984</v>
      </c>
      <c r="COU25" t="s">
        <v>6984</v>
      </c>
      <c r="COV25" t="s">
        <v>6984</v>
      </c>
      <c r="COW25" t="s">
        <v>6984</v>
      </c>
      <c r="COX25" t="s">
        <v>6984</v>
      </c>
      <c r="COY25" t="s">
        <v>6984</v>
      </c>
      <c r="COZ25" t="s">
        <v>6984</v>
      </c>
      <c r="CPA25" t="s">
        <v>6984</v>
      </c>
      <c r="CPB25" t="s">
        <v>6984</v>
      </c>
      <c r="CPC25" t="s">
        <v>6984</v>
      </c>
      <c r="CPD25" t="s">
        <v>6984</v>
      </c>
      <c r="CPE25" t="s">
        <v>6984</v>
      </c>
      <c r="CPF25" t="s">
        <v>6984</v>
      </c>
      <c r="CPG25" t="s">
        <v>6984</v>
      </c>
      <c r="CPH25" t="s">
        <v>6984</v>
      </c>
      <c r="CPI25" t="s">
        <v>6984</v>
      </c>
      <c r="CPJ25" t="s">
        <v>6984</v>
      </c>
      <c r="CPK25" t="s">
        <v>6984</v>
      </c>
      <c r="CPL25" t="s">
        <v>6984</v>
      </c>
      <c r="CPM25" t="s">
        <v>6984</v>
      </c>
      <c r="CPN25" t="s">
        <v>6984</v>
      </c>
      <c r="CPO25" t="s">
        <v>6984</v>
      </c>
      <c r="CPP25" t="s">
        <v>6984</v>
      </c>
      <c r="CPQ25" t="s">
        <v>6984</v>
      </c>
      <c r="CPR25" t="s">
        <v>6984</v>
      </c>
      <c r="CPS25" t="s">
        <v>6984</v>
      </c>
      <c r="CPT25" t="s">
        <v>6984</v>
      </c>
      <c r="CPU25" t="s">
        <v>6984</v>
      </c>
      <c r="CPV25" t="s">
        <v>6984</v>
      </c>
      <c r="CPW25" t="s">
        <v>6984</v>
      </c>
      <c r="CPX25" t="s">
        <v>6984</v>
      </c>
      <c r="CPY25" t="s">
        <v>6984</v>
      </c>
      <c r="CPZ25" t="s">
        <v>6984</v>
      </c>
      <c r="CQA25" t="s">
        <v>6984</v>
      </c>
      <c r="CQB25" t="s">
        <v>6984</v>
      </c>
      <c r="CQC25" t="s">
        <v>6984</v>
      </c>
      <c r="CQD25" t="s">
        <v>6984</v>
      </c>
      <c r="CQE25" t="s">
        <v>6984</v>
      </c>
      <c r="CQF25" t="s">
        <v>6984</v>
      </c>
      <c r="CQG25" t="s">
        <v>6984</v>
      </c>
      <c r="CQH25" t="s">
        <v>6984</v>
      </c>
      <c r="CQI25" t="s">
        <v>6984</v>
      </c>
      <c r="CQJ25" t="s">
        <v>6984</v>
      </c>
      <c r="CQK25" t="s">
        <v>6984</v>
      </c>
      <c r="CQL25" t="s">
        <v>6984</v>
      </c>
      <c r="CQM25" t="s">
        <v>6984</v>
      </c>
      <c r="CQN25" t="s">
        <v>6984</v>
      </c>
      <c r="CQO25" t="s">
        <v>6984</v>
      </c>
      <c r="CQP25" t="s">
        <v>6984</v>
      </c>
      <c r="CQQ25" t="s">
        <v>6984</v>
      </c>
      <c r="CQR25" t="s">
        <v>6984</v>
      </c>
      <c r="CQS25" t="s">
        <v>6984</v>
      </c>
      <c r="CQT25" t="s">
        <v>6984</v>
      </c>
      <c r="CQU25" t="s">
        <v>6984</v>
      </c>
      <c r="CQV25" t="s">
        <v>6984</v>
      </c>
      <c r="CQW25" t="s">
        <v>6984</v>
      </c>
      <c r="CQX25" t="s">
        <v>6984</v>
      </c>
      <c r="CQY25" t="s">
        <v>6984</v>
      </c>
      <c r="CQZ25" t="s">
        <v>6984</v>
      </c>
      <c r="CRA25" t="s">
        <v>6984</v>
      </c>
      <c r="CRB25" t="s">
        <v>6984</v>
      </c>
      <c r="CRC25" t="s">
        <v>6984</v>
      </c>
      <c r="CRD25" t="s">
        <v>6984</v>
      </c>
      <c r="CRE25" t="s">
        <v>6984</v>
      </c>
      <c r="CRF25" t="s">
        <v>6984</v>
      </c>
      <c r="CRG25" t="s">
        <v>6984</v>
      </c>
      <c r="CRH25" t="s">
        <v>6984</v>
      </c>
      <c r="CRI25" t="s">
        <v>6984</v>
      </c>
      <c r="CRJ25" t="s">
        <v>6984</v>
      </c>
      <c r="CRK25" t="s">
        <v>6984</v>
      </c>
      <c r="CRL25" t="s">
        <v>6984</v>
      </c>
      <c r="CRM25" t="s">
        <v>6984</v>
      </c>
      <c r="CRN25" t="s">
        <v>6984</v>
      </c>
      <c r="CRO25" t="s">
        <v>6984</v>
      </c>
      <c r="CRP25" t="s">
        <v>6984</v>
      </c>
      <c r="CRQ25" t="s">
        <v>6984</v>
      </c>
      <c r="CRR25" t="s">
        <v>6984</v>
      </c>
      <c r="CRS25" t="s">
        <v>6984</v>
      </c>
      <c r="CRT25" t="s">
        <v>6984</v>
      </c>
      <c r="CRU25" t="s">
        <v>6984</v>
      </c>
      <c r="CRV25" t="s">
        <v>6984</v>
      </c>
      <c r="CRW25" t="s">
        <v>6984</v>
      </c>
      <c r="CRX25" t="s">
        <v>6984</v>
      </c>
      <c r="CRY25" t="s">
        <v>6984</v>
      </c>
      <c r="CRZ25" t="s">
        <v>6984</v>
      </c>
      <c r="CSA25" t="s">
        <v>6984</v>
      </c>
      <c r="CSB25" t="s">
        <v>6984</v>
      </c>
      <c r="CSC25" t="s">
        <v>6984</v>
      </c>
      <c r="CSD25" t="s">
        <v>6984</v>
      </c>
      <c r="CSE25" t="s">
        <v>6984</v>
      </c>
      <c r="CSF25" t="s">
        <v>6984</v>
      </c>
      <c r="CSG25" t="s">
        <v>6984</v>
      </c>
      <c r="CSH25" t="s">
        <v>6984</v>
      </c>
      <c r="CSI25" t="s">
        <v>6984</v>
      </c>
      <c r="CSJ25" t="s">
        <v>6984</v>
      </c>
      <c r="CSK25" t="s">
        <v>6984</v>
      </c>
      <c r="CSL25" t="s">
        <v>6984</v>
      </c>
      <c r="CSM25" t="s">
        <v>6984</v>
      </c>
      <c r="CSN25" t="s">
        <v>6984</v>
      </c>
      <c r="CSO25" t="s">
        <v>6984</v>
      </c>
      <c r="CSP25" t="s">
        <v>6984</v>
      </c>
      <c r="CSQ25" t="s">
        <v>6984</v>
      </c>
      <c r="CSR25" t="s">
        <v>6984</v>
      </c>
      <c r="CSS25" t="s">
        <v>6984</v>
      </c>
      <c r="CST25" t="s">
        <v>6984</v>
      </c>
      <c r="CSU25" t="s">
        <v>6984</v>
      </c>
      <c r="CSV25" t="s">
        <v>6984</v>
      </c>
      <c r="CSW25" t="s">
        <v>6984</v>
      </c>
      <c r="CSX25" t="s">
        <v>6984</v>
      </c>
      <c r="CSY25" t="s">
        <v>6984</v>
      </c>
      <c r="CSZ25" t="s">
        <v>6984</v>
      </c>
      <c r="CTA25" t="s">
        <v>6984</v>
      </c>
      <c r="CTB25" t="s">
        <v>6984</v>
      </c>
      <c r="CTC25" t="s">
        <v>6984</v>
      </c>
      <c r="CTD25" t="s">
        <v>6984</v>
      </c>
      <c r="CTE25" t="s">
        <v>6984</v>
      </c>
      <c r="CTF25" t="s">
        <v>6984</v>
      </c>
      <c r="CTG25" t="s">
        <v>6984</v>
      </c>
      <c r="CTH25" t="s">
        <v>6984</v>
      </c>
      <c r="CTI25" t="s">
        <v>6984</v>
      </c>
      <c r="CTJ25" t="s">
        <v>6984</v>
      </c>
      <c r="CTK25" t="s">
        <v>6984</v>
      </c>
      <c r="CTL25" t="s">
        <v>6984</v>
      </c>
      <c r="CTM25" t="s">
        <v>6984</v>
      </c>
      <c r="CTN25" t="s">
        <v>6984</v>
      </c>
      <c r="CTO25" t="s">
        <v>6984</v>
      </c>
      <c r="CTP25" t="s">
        <v>6984</v>
      </c>
      <c r="CTQ25" t="s">
        <v>6984</v>
      </c>
      <c r="CTR25" t="s">
        <v>6984</v>
      </c>
      <c r="CTS25" t="s">
        <v>6984</v>
      </c>
      <c r="CTT25" t="s">
        <v>6984</v>
      </c>
      <c r="CTU25" t="s">
        <v>6984</v>
      </c>
      <c r="CTV25" t="s">
        <v>6984</v>
      </c>
      <c r="CTW25" t="s">
        <v>6984</v>
      </c>
      <c r="CTX25" t="s">
        <v>6984</v>
      </c>
      <c r="CTY25" t="s">
        <v>6984</v>
      </c>
      <c r="CTZ25" t="s">
        <v>6984</v>
      </c>
      <c r="CUA25" t="s">
        <v>6984</v>
      </c>
      <c r="CUB25" t="s">
        <v>6984</v>
      </c>
      <c r="CUC25" t="s">
        <v>6984</v>
      </c>
      <c r="CUD25" t="s">
        <v>6984</v>
      </c>
      <c r="CUE25" t="s">
        <v>6984</v>
      </c>
      <c r="CUF25" t="s">
        <v>6984</v>
      </c>
      <c r="CUG25" t="s">
        <v>6984</v>
      </c>
      <c r="CUH25" t="s">
        <v>6984</v>
      </c>
      <c r="CUI25" t="s">
        <v>6984</v>
      </c>
      <c r="CUJ25" t="s">
        <v>6984</v>
      </c>
      <c r="CUK25" t="s">
        <v>6984</v>
      </c>
      <c r="CUL25" t="s">
        <v>6984</v>
      </c>
      <c r="CUM25" t="s">
        <v>6984</v>
      </c>
      <c r="CUN25" t="s">
        <v>6984</v>
      </c>
      <c r="CUO25" t="s">
        <v>6984</v>
      </c>
      <c r="CUP25" t="s">
        <v>6984</v>
      </c>
      <c r="CUQ25" t="s">
        <v>6984</v>
      </c>
      <c r="CUR25" t="s">
        <v>6984</v>
      </c>
      <c r="CUS25" t="s">
        <v>6984</v>
      </c>
      <c r="CUT25" t="s">
        <v>6984</v>
      </c>
      <c r="CUU25" t="s">
        <v>6984</v>
      </c>
      <c r="CUV25" t="s">
        <v>6984</v>
      </c>
      <c r="CUW25" t="s">
        <v>6984</v>
      </c>
      <c r="CUX25" t="s">
        <v>6984</v>
      </c>
      <c r="CUY25" t="s">
        <v>6984</v>
      </c>
      <c r="CUZ25" t="s">
        <v>6984</v>
      </c>
      <c r="CVA25" t="s">
        <v>6984</v>
      </c>
      <c r="CVB25" t="s">
        <v>6984</v>
      </c>
      <c r="CVC25" t="s">
        <v>6984</v>
      </c>
      <c r="CVD25" t="s">
        <v>6984</v>
      </c>
      <c r="CVE25" t="s">
        <v>6984</v>
      </c>
      <c r="CVF25" t="s">
        <v>6984</v>
      </c>
      <c r="CVG25" t="s">
        <v>6984</v>
      </c>
      <c r="CVH25" t="s">
        <v>6984</v>
      </c>
      <c r="CVI25" t="s">
        <v>6984</v>
      </c>
      <c r="CVJ25" t="s">
        <v>6984</v>
      </c>
      <c r="CVK25" t="s">
        <v>6984</v>
      </c>
      <c r="CVL25" t="s">
        <v>6984</v>
      </c>
      <c r="CVM25" t="s">
        <v>6984</v>
      </c>
      <c r="CVN25" t="s">
        <v>6984</v>
      </c>
      <c r="CVO25" t="s">
        <v>6984</v>
      </c>
      <c r="CVP25" t="s">
        <v>6984</v>
      </c>
      <c r="CVQ25" t="s">
        <v>6984</v>
      </c>
      <c r="CVR25" t="s">
        <v>6984</v>
      </c>
      <c r="CVS25" t="s">
        <v>6984</v>
      </c>
      <c r="CVT25" t="s">
        <v>6984</v>
      </c>
      <c r="CVU25" t="s">
        <v>6984</v>
      </c>
      <c r="CVV25" t="s">
        <v>6984</v>
      </c>
      <c r="CVW25" t="s">
        <v>6984</v>
      </c>
      <c r="CVX25" t="s">
        <v>6984</v>
      </c>
      <c r="CVY25" t="s">
        <v>6984</v>
      </c>
      <c r="CVZ25" t="s">
        <v>6984</v>
      </c>
      <c r="CWA25" t="s">
        <v>6984</v>
      </c>
      <c r="CWB25" t="s">
        <v>6984</v>
      </c>
      <c r="CWC25" t="s">
        <v>6984</v>
      </c>
      <c r="CWD25" t="s">
        <v>6984</v>
      </c>
      <c r="CWE25" t="s">
        <v>6984</v>
      </c>
      <c r="CWF25" t="s">
        <v>6984</v>
      </c>
      <c r="CWG25" t="s">
        <v>6984</v>
      </c>
      <c r="CWH25" t="s">
        <v>6984</v>
      </c>
      <c r="CWI25" t="s">
        <v>6984</v>
      </c>
      <c r="CWJ25" t="s">
        <v>6984</v>
      </c>
      <c r="CWK25" t="s">
        <v>6984</v>
      </c>
      <c r="CWL25" t="s">
        <v>6984</v>
      </c>
      <c r="CWM25" t="s">
        <v>6984</v>
      </c>
      <c r="CWN25" t="s">
        <v>6984</v>
      </c>
      <c r="CWO25" t="s">
        <v>6984</v>
      </c>
      <c r="CWP25" t="s">
        <v>6984</v>
      </c>
      <c r="CWQ25" t="s">
        <v>6984</v>
      </c>
      <c r="CWR25" t="s">
        <v>6984</v>
      </c>
      <c r="CWS25" t="s">
        <v>6984</v>
      </c>
      <c r="CWT25" t="s">
        <v>6984</v>
      </c>
      <c r="CWU25" t="s">
        <v>6984</v>
      </c>
      <c r="CWV25" t="s">
        <v>6984</v>
      </c>
      <c r="CWW25" t="s">
        <v>6984</v>
      </c>
      <c r="CWX25" t="s">
        <v>6984</v>
      </c>
      <c r="CWY25" t="s">
        <v>6984</v>
      </c>
      <c r="CWZ25" t="s">
        <v>6984</v>
      </c>
      <c r="CXA25" t="s">
        <v>6984</v>
      </c>
      <c r="CXB25" t="s">
        <v>6984</v>
      </c>
      <c r="CXC25" t="s">
        <v>6984</v>
      </c>
      <c r="CXD25" t="s">
        <v>6984</v>
      </c>
      <c r="CXE25" t="s">
        <v>6984</v>
      </c>
      <c r="CXF25" t="s">
        <v>6984</v>
      </c>
      <c r="CXG25" t="s">
        <v>6984</v>
      </c>
      <c r="CXH25" t="s">
        <v>6984</v>
      </c>
      <c r="CXI25" t="s">
        <v>6984</v>
      </c>
      <c r="CXJ25" t="s">
        <v>6984</v>
      </c>
      <c r="CXK25" t="s">
        <v>6984</v>
      </c>
      <c r="CXL25" t="s">
        <v>6984</v>
      </c>
      <c r="CXM25" t="s">
        <v>6984</v>
      </c>
      <c r="CXN25" t="s">
        <v>6984</v>
      </c>
      <c r="CXO25" t="s">
        <v>6984</v>
      </c>
      <c r="CXP25" t="s">
        <v>6984</v>
      </c>
      <c r="CXQ25" t="s">
        <v>6984</v>
      </c>
      <c r="CXR25" t="s">
        <v>6984</v>
      </c>
      <c r="CXS25" t="s">
        <v>6984</v>
      </c>
      <c r="CXT25" t="s">
        <v>6984</v>
      </c>
      <c r="CXU25" t="s">
        <v>6984</v>
      </c>
      <c r="CXV25" t="s">
        <v>6984</v>
      </c>
      <c r="CXW25" t="s">
        <v>6984</v>
      </c>
      <c r="CXX25" t="s">
        <v>6984</v>
      </c>
      <c r="CXY25" t="s">
        <v>6984</v>
      </c>
      <c r="CXZ25" t="s">
        <v>6984</v>
      </c>
      <c r="CYA25" t="s">
        <v>6984</v>
      </c>
      <c r="CYB25" t="s">
        <v>6984</v>
      </c>
      <c r="CYC25" t="s">
        <v>6984</v>
      </c>
      <c r="CYD25" t="s">
        <v>6984</v>
      </c>
      <c r="CYE25" t="s">
        <v>6984</v>
      </c>
      <c r="CYF25" t="s">
        <v>6984</v>
      </c>
      <c r="CYG25" t="s">
        <v>6984</v>
      </c>
      <c r="CYH25" t="s">
        <v>6984</v>
      </c>
      <c r="CYI25" t="s">
        <v>6984</v>
      </c>
      <c r="CYJ25" t="s">
        <v>6984</v>
      </c>
      <c r="CYK25" t="s">
        <v>6984</v>
      </c>
      <c r="CYL25" t="s">
        <v>6984</v>
      </c>
      <c r="CYM25" t="s">
        <v>6984</v>
      </c>
      <c r="CYN25" t="s">
        <v>6984</v>
      </c>
      <c r="CYO25" t="s">
        <v>6984</v>
      </c>
      <c r="CYP25" t="s">
        <v>6984</v>
      </c>
      <c r="CYQ25" t="s">
        <v>6984</v>
      </c>
      <c r="CYR25" t="s">
        <v>6984</v>
      </c>
      <c r="CYS25" t="s">
        <v>6984</v>
      </c>
      <c r="CYT25" t="s">
        <v>6984</v>
      </c>
      <c r="CYU25" t="s">
        <v>6984</v>
      </c>
      <c r="CYV25" t="s">
        <v>6984</v>
      </c>
      <c r="CYW25" t="s">
        <v>6984</v>
      </c>
      <c r="CYX25" t="s">
        <v>6984</v>
      </c>
      <c r="CYY25" t="s">
        <v>6984</v>
      </c>
      <c r="CYZ25" t="s">
        <v>6984</v>
      </c>
      <c r="CZA25" t="s">
        <v>6984</v>
      </c>
      <c r="CZB25" t="s">
        <v>6984</v>
      </c>
      <c r="CZC25" t="s">
        <v>6984</v>
      </c>
      <c r="CZD25" t="s">
        <v>6984</v>
      </c>
      <c r="CZE25" t="s">
        <v>6984</v>
      </c>
      <c r="CZF25" t="s">
        <v>6984</v>
      </c>
      <c r="CZG25" t="s">
        <v>6984</v>
      </c>
      <c r="CZH25" t="s">
        <v>6984</v>
      </c>
      <c r="CZI25" t="s">
        <v>6984</v>
      </c>
      <c r="CZJ25" t="s">
        <v>6984</v>
      </c>
      <c r="CZK25" t="s">
        <v>6984</v>
      </c>
      <c r="CZL25" t="s">
        <v>6984</v>
      </c>
      <c r="CZM25" t="s">
        <v>6984</v>
      </c>
      <c r="CZN25" t="s">
        <v>6984</v>
      </c>
      <c r="CZO25" t="s">
        <v>6984</v>
      </c>
      <c r="CZP25" t="s">
        <v>6984</v>
      </c>
      <c r="CZQ25" t="s">
        <v>6984</v>
      </c>
      <c r="CZR25" t="s">
        <v>6984</v>
      </c>
      <c r="CZS25" t="s">
        <v>6984</v>
      </c>
      <c r="CZT25" t="s">
        <v>6984</v>
      </c>
      <c r="CZU25" t="s">
        <v>6984</v>
      </c>
      <c r="CZV25" t="s">
        <v>6984</v>
      </c>
      <c r="CZW25" t="s">
        <v>6984</v>
      </c>
      <c r="CZX25" t="s">
        <v>6984</v>
      </c>
      <c r="CZY25" t="s">
        <v>6984</v>
      </c>
      <c r="CZZ25" t="s">
        <v>6984</v>
      </c>
      <c r="DAA25" t="s">
        <v>6984</v>
      </c>
      <c r="DAB25" t="s">
        <v>6984</v>
      </c>
      <c r="DAC25" t="s">
        <v>6984</v>
      </c>
      <c r="DAD25" t="s">
        <v>6984</v>
      </c>
      <c r="DAE25" t="s">
        <v>6984</v>
      </c>
      <c r="DAF25" t="s">
        <v>6984</v>
      </c>
      <c r="DAG25" t="s">
        <v>6984</v>
      </c>
      <c r="DAH25" t="s">
        <v>6984</v>
      </c>
      <c r="DAI25" t="s">
        <v>6984</v>
      </c>
      <c r="DAJ25" t="s">
        <v>6984</v>
      </c>
      <c r="DAK25" t="s">
        <v>6984</v>
      </c>
      <c r="DAL25" t="s">
        <v>6984</v>
      </c>
      <c r="DAM25" t="s">
        <v>6984</v>
      </c>
      <c r="DAN25" t="s">
        <v>6984</v>
      </c>
      <c r="DAO25" t="s">
        <v>6984</v>
      </c>
      <c r="DAP25" t="s">
        <v>6984</v>
      </c>
      <c r="DAQ25" t="s">
        <v>6984</v>
      </c>
      <c r="DAR25" t="s">
        <v>6984</v>
      </c>
      <c r="DAS25" t="s">
        <v>6984</v>
      </c>
      <c r="DAT25" t="s">
        <v>6984</v>
      </c>
      <c r="DAU25" t="s">
        <v>6984</v>
      </c>
      <c r="DAV25" t="s">
        <v>6984</v>
      </c>
      <c r="DAW25" t="s">
        <v>6984</v>
      </c>
      <c r="DAX25" t="s">
        <v>6984</v>
      </c>
      <c r="DAY25" t="s">
        <v>6984</v>
      </c>
      <c r="DAZ25" t="s">
        <v>6984</v>
      </c>
      <c r="DBA25" t="s">
        <v>6984</v>
      </c>
      <c r="DBB25" t="s">
        <v>6984</v>
      </c>
      <c r="DBC25" t="s">
        <v>6984</v>
      </c>
      <c r="DBD25" t="s">
        <v>6984</v>
      </c>
      <c r="DBE25" t="s">
        <v>6984</v>
      </c>
      <c r="DBF25" t="s">
        <v>6984</v>
      </c>
      <c r="DBG25" t="s">
        <v>6984</v>
      </c>
      <c r="DBH25" t="s">
        <v>6984</v>
      </c>
      <c r="DBI25" t="s">
        <v>6984</v>
      </c>
      <c r="DBJ25" t="s">
        <v>6984</v>
      </c>
      <c r="DBK25" t="s">
        <v>6984</v>
      </c>
      <c r="DBL25" t="s">
        <v>6984</v>
      </c>
      <c r="DBM25" t="s">
        <v>6984</v>
      </c>
      <c r="DBN25" t="s">
        <v>6984</v>
      </c>
      <c r="DBO25" t="s">
        <v>6984</v>
      </c>
      <c r="DBP25" t="s">
        <v>6984</v>
      </c>
      <c r="DBQ25" t="s">
        <v>6984</v>
      </c>
      <c r="DBR25" t="s">
        <v>6984</v>
      </c>
      <c r="DBS25" t="s">
        <v>6984</v>
      </c>
      <c r="DBT25" t="s">
        <v>6984</v>
      </c>
      <c r="DBU25" t="s">
        <v>6984</v>
      </c>
      <c r="DBV25" t="s">
        <v>6984</v>
      </c>
      <c r="DBW25" t="s">
        <v>6984</v>
      </c>
      <c r="DBX25" t="s">
        <v>6984</v>
      </c>
      <c r="DBY25" t="s">
        <v>6984</v>
      </c>
      <c r="DBZ25" t="s">
        <v>6984</v>
      </c>
      <c r="DCA25" t="s">
        <v>6984</v>
      </c>
      <c r="DCB25" t="s">
        <v>6984</v>
      </c>
      <c r="DCC25" t="s">
        <v>6984</v>
      </c>
      <c r="DCD25" t="s">
        <v>6984</v>
      </c>
      <c r="DCE25" t="s">
        <v>6984</v>
      </c>
      <c r="DCF25" t="s">
        <v>6984</v>
      </c>
      <c r="DCG25" t="s">
        <v>6984</v>
      </c>
      <c r="DCH25" t="s">
        <v>6984</v>
      </c>
      <c r="DCI25" t="s">
        <v>6984</v>
      </c>
      <c r="DCJ25" t="s">
        <v>6984</v>
      </c>
      <c r="DCK25" t="s">
        <v>6984</v>
      </c>
      <c r="DCL25" t="s">
        <v>6984</v>
      </c>
      <c r="DCM25" t="s">
        <v>6984</v>
      </c>
      <c r="DCN25" t="s">
        <v>6984</v>
      </c>
      <c r="DCO25" t="s">
        <v>6984</v>
      </c>
      <c r="DCP25" t="s">
        <v>6984</v>
      </c>
      <c r="DCQ25" t="s">
        <v>6984</v>
      </c>
      <c r="DCR25" t="s">
        <v>6984</v>
      </c>
      <c r="DCS25" t="s">
        <v>6984</v>
      </c>
      <c r="DCT25" t="s">
        <v>6984</v>
      </c>
      <c r="DCU25" t="s">
        <v>6984</v>
      </c>
      <c r="DCV25" t="s">
        <v>6984</v>
      </c>
      <c r="DCW25" t="s">
        <v>6984</v>
      </c>
      <c r="DCX25" t="s">
        <v>6984</v>
      </c>
      <c r="DCY25" t="s">
        <v>6984</v>
      </c>
      <c r="DCZ25" t="s">
        <v>6984</v>
      </c>
      <c r="DDA25" t="s">
        <v>6984</v>
      </c>
      <c r="DDB25" t="s">
        <v>6984</v>
      </c>
      <c r="DDC25" t="s">
        <v>6984</v>
      </c>
      <c r="DDD25" t="s">
        <v>6984</v>
      </c>
      <c r="DDE25" t="s">
        <v>6984</v>
      </c>
      <c r="DDF25" t="s">
        <v>6984</v>
      </c>
      <c r="DDG25" t="s">
        <v>6984</v>
      </c>
      <c r="DDH25" t="s">
        <v>6984</v>
      </c>
      <c r="DDI25" t="s">
        <v>6984</v>
      </c>
      <c r="DDJ25" t="s">
        <v>6984</v>
      </c>
      <c r="DDK25" t="s">
        <v>6984</v>
      </c>
      <c r="DDL25" t="s">
        <v>6984</v>
      </c>
      <c r="DDM25" t="s">
        <v>6984</v>
      </c>
      <c r="DDN25" t="s">
        <v>6984</v>
      </c>
      <c r="DDO25" t="s">
        <v>6984</v>
      </c>
      <c r="DDP25" t="s">
        <v>6984</v>
      </c>
      <c r="DDQ25" t="s">
        <v>6984</v>
      </c>
      <c r="DDR25" t="s">
        <v>6984</v>
      </c>
      <c r="DDS25" t="s">
        <v>6984</v>
      </c>
      <c r="DDT25" t="s">
        <v>6984</v>
      </c>
      <c r="DDU25" t="s">
        <v>6984</v>
      </c>
      <c r="DDV25" t="s">
        <v>6984</v>
      </c>
      <c r="DDW25" t="s">
        <v>6984</v>
      </c>
      <c r="DDX25" t="s">
        <v>6984</v>
      </c>
      <c r="DDY25" t="s">
        <v>6984</v>
      </c>
      <c r="DDZ25" t="s">
        <v>6984</v>
      </c>
      <c r="DEA25" t="s">
        <v>6984</v>
      </c>
      <c r="DEB25" t="s">
        <v>6984</v>
      </c>
      <c r="DEC25" t="s">
        <v>6984</v>
      </c>
      <c r="DED25" t="s">
        <v>6984</v>
      </c>
      <c r="DEE25" t="s">
        <v>6984</v>
      </c>
      <c r="DEF25" t="s">
        <v>6984</v>
      </c>
      <c r="DEG25" t="s">
        <v>6984</v>
      </c>
      <c r="DEH25" t="s">
        <v>6984</v>
      </c>
      <c r="DEI25" t="s">
        <v>6984</v>
      </c>
      <c r="DEJ25" t="s">
        <v>6984</v>
      </c>
      <c r="DEK25" t="s">
        <v>6984</v>
      </c>
      <c r="DEL25" t="s">
        <v>6984</v>
      </c>
      <c r="DEM25" t="s">
        <v>6984</v>
      </c>
      <c r="DEN25" t="s">
        <v>6984</v>
      </c>
      <c r="DEO25" t="s">
        <v>6984</v>
      </c>
      <c r="DEP25" t="s">
        <v>6984</v>
      </c>
      <c r="DEQ25" t="s">
        <v>6984</v>
      </c>
      <c r="DER25" t="s">
        <v>6984</v>
      </c>
      <c r="DES25" t="s">
        <v>6984</v>
      </c>
      <c r="DET25" t="s">
        <v>6984</v>
      </c>
      <c r="DEU25" t="s">
        <v>6984</v>
      </c>
      <c r="DEV25" t="s">
        <v>6984</v>
      </c>
      <c r="DEW25" t="s">
        <v>6984</v>
      </c>
      <c r="DEX25" t="s">
        <v>6984</v>
      </c>
      <c r="DEY25" t="s">
        <v>6984</v>
      </c>
      <c r="DEZ25" t="s">
        <v>6984</v>
      </c>
      <c r="DFA25" t="s">
        <v>6984</v>
      </c>
      <c r="DFB25" t="s">
        <v>6984</v>
      </c>
      <c r="DFC25" t="s">
        <v>6984</v>
      </c>
      <c r="DFD25" t="s">
        <v>6984</v>
      </c>
      <c r="DFE25" t="s">
        <v>6984</v>
      </c>
      <c r="DFF25" t="s">
        <v>6984</v>
      </c>
      <c r="DFG25" t="s">
        <v>6984</v>
      </c>
      <c r="DFH25" t="s">
        <v>6984</v>
      </c>
      <c r="DFI25" t="s">
        <v>6984</v>
      </c>
      <c r="DFJ25" t="s">
        <v>6984</v>
      </c>
      <c r="DFK25" t="s">
        <v>6984</v>
      </c>
      <c r="DFL25" t="s">
        <v>6984</v>
      </c>
      <c r="DFM25" t="s">
        <v>6984</v>
      </c>
      <c r="DFN25" t="s">
        <v>6984</v>
      </c>
      <c r="DFO25" t="s">
        <v>6984</v>
      </c>
      <c r="DFP25" t="s">
        <v>6984</v>
      </c>
      <c r="DFQ25" t="s">
        <v>6984</v>
      </c>
      <c r="DFR25" t="s">
        <v>6984</v>
      </c>
      <c r="DFS25" t="s">
        <v>6984</v>
      </c>
      <c r="DFT25" t="s">
        <v>6984</v>
      </c>
      <c r="DFU25" t="s">
        <v>6984</v>
      </c>
      <c r="DFV25" t="s">
        <v>6984</v>
      </c>
      <c r="DFW25" t="s">
        <v>6984</v>
      </c>
      <c r="DFX25" t="s">
        <v>6984</v>
      </c>
      <c r="DFY25" t="s">
        <v>6984</v>
      </c>
      <c r="DFZ25" t="s">
        <v>6984</v>
      </c>
      <c r="DGA25" t="s">
        <v>6984</v>
      </c>
      <c r="DGB25" t="s">
        <v>6984</v>
      </c>
      <c r="DGC25" t="s">
        <v>6984</v>
      </c>
      <c r="DGD25" t="s">
        <v>6984</v>
      </c>
      <c r="DGE25" t="s">
        <v>6984</v>
      </c>
      <c r="DGF25" t="s">
        <v>6984</v>
      </c>
      <c r="DGG25" t="s">
        <v>6984</v>
      </c>
      <c r="DGH25" t="s">
        <v>6984</v>
      </c>
      <c r="DGI25" t="s">
        <v>6984</v>
      </c>
      <c r="DGJ25" t="s">
        <v>6984</v>
      </c>
      <c r="DGK25" t="s">
        <v>6984</v>
      </c>
      <c r="DGL25" t="s">
        <v>6984</v>
      </c>
      <c r="DGM25" t="s">
        <v>6984</v>
      </c>
      <c r="DGN25" t="s">
        <v>6984</v>
      </c>
      <c r="DGO25" t="s">
        <v>6984</v>
      </c>
      <c r="DGP25" t="s">
        <v>6984</v>
      </c>
      <c r="DGQ25" t="s">
        <v>6984</v>
      </c>
      <c r="DGR25" t="s">
        <v>6984</v>
      </c>
      <c r="DGS25" t="s">
        <v>6984</v>
      </c>
      <c r="DGT25" t="s">
        <v>6984</v>
      </c>
      <c r="DGU25" t="s">
        <v>6984</v>
      </c>
      <c r="DGV25" t="s">
        <v>6984</v>
      </c>
      <c r="DGW25" t="s">
        <v>6984</v>
      </c>
      <c r="DGX25" t="s">
        <v>6984</v>
      </c>
      <c r="DGY25" t="s">
        <v>6984</v>
      </c>
      <c r="DGZ25" t="s">
        <v>6984</v>
      </c>
      <c r="DHA25" t="s">
        <v>6984</v>
      </c>
      <c r="DHB25" t="s">
        <v>6984</v>
      </c>
      <c r="DHC25" t="s">
        <v>6984</v>
      </c>
      <c r="DHD25" t="s">
        <v>6984</v>
      </c>
      <c r="DHE25" t="s">
        <v>6984</v>
      </c>
      <c r="DHF25" t="s">
        <v>6984</v>
      </c>
      <c r="DHG25" t="s">
        <v>6984</v>
      </c>
      <c r="DHH25" t="s">
        <v>6984</v>
      </c>
      <c r="DHI25" t="s">
        <v>6984</v>
      </c>
      <c r="DHJ25" t="s">
        <v>6984</v>
      </c>
      <c r="DHK25" t="s">
        <v>6984</v>
      </c>
      <c r="DHL25" t="s">
        <v>6984</v>
      </c>
      <c r="DHM25" t="s">
        <v>6984</v>
      </c>
      <c r="DHN25" t="s">
        <v>6984</v>
      </c>
      <c r="DHO25" t="s">
        <v>6984</v>
      </c>
      <c r="DHP25" t="s">
        <v>6984</v>
      </c>
      <c r="DHQ25" t="s">
        <v>6984</v>
      </c>
      <c r="DHR25" t="s">
        <v>6984</v>
      </c>
      <c r="DHS25" t="s">
        <v>6984</v>
      </c>
      <c r="DHT25" t="s">
        <v>6984</v>
      </c>
      <c r="DHU25" t="s">
        <v>6984</v>
      </c>
      <c r="DHV25" t="s">
        <v>6984</v>
      </c>
      <c r="DHW25" t="s">
        <v>6984</v>
      </c>
      <c r="DHX25" t="s">
        <v>6984</v>
      </c>
      <c r="DHY25" t="s">
        <v>6984</v>
      </c>
      <c r="DHZ25" t="s">
        <v>6984</v>
      </c>
      <c r="DIA25" t="s">
        <v>6984</v>
      </c>
      <c r="DIB25" t="s">
        <v>6984</v>
      </c>
      <c r="DIC25" t="s">
        <v>6984</v>
      </c>
      <c r="DID25" t="s">
        <v>6984</v>
      </c>
      <c r="DIE25" t="s">
        <v>6984</v>
      </c>
      <c r="DIF25" t="s">
        <v>6984</v>
      </c>
      <c r="DIG25" t="s">
        <v>6984</v>
      </c>
      <c r="DIH25" t="s">
        <v>6984</v>
      </c>
      <c r="DII25" t="s">
        <v>6984</v>
      </c>
      <c r="DIJ25" t="s">
        <v>6984</v>
      </c>
      <c r="DIK25" t="s">
        <v>6984</v>
      </c>
      <c r="DIL25" t="s">
        <v>6984</v>
      </c>
      <c r="DIM25" t="s">
        <v>6984</v>
      </c>
      <c r="DIN25" t="s">
        <v>6984</v>
      </c>
      <c r="DIO25" t="s">
        <v>6984</v>
      </c>
      <c r="DIP25" t="s">
        <v>6984</v>
      </c>
      <c r="DIQ25" t="s">
        <v>6984</v>
      </c>
      <c r="DIR25" t="s">
        <v>6984</v>
      </c>
      <c r="DIS25" t="s">
        <v>6984</v>
      </c>
      <c r="DIT25" t="s">
        <v>6984</v>
      </c>
      <c r="DIU25" t="s">
        <v>6984</v>
      </c>
      <c r="DIV25" t="s">
        <v>6984</v>
      </c>
      <c r="DIW25" t="s">
        <v>6984</v>
      </c>
      <c r="DIX25" t="s">
        <v>6984</v>
      </c>
      <c r="DIY25" t="s">
        <v>6984</v>
      </c>
      <c r="DIZ25" t="s">
        <v>6984</v>
      </c>
      <c r="DJA25" t="s">
        <v>6984</v>
      </c>
      <c r="DJB25" t="s">
        <v>6984</v>
      </c>
      <c r="DJC25" t="s">
        <v>6984</v>
      </c>
      <c r="DJD25" t="s">
        <v>6984</v>
      </c>
      <c r="DJE25" t="s">
        <v>6984</v>
      </c>
      <c r="DJF25" t="s">
        <v>6984</v>
      </c>
      <c r="DJG25" t="s">
        <v>6984</v>
      </c>
      <c r="DJH25" t="s">
        <v>6984</v>
      </c>
      <c r="DJI25" t="s">
        <v>6984</v>
      </c>
      <c r="DJJ25" t="s">
        <v>6984</v>
      </c>
      <c r="DJK25" t="s">
        <v>6984</v>
      </c>
      <c r="DJL25" t="s">
        <v>6984</v>
      </c>
      <c r="DJM25" t="s">
        <v>6984</v>
      </c>
      <c r="DJN25" t="s">
        <v>6984</v>
      </c>
      <c r="DJO25" t="s">
        <v>6984</v>
      </c>
      <c r="DJP25" t="s">
        <v>6984</v>
      </c>
      <c r="DJQ25" t="s">
        <v>6984</v>
      </c>
      <c r="DJR25" t="s">
        <v>6984</v>
      </c>
      <c r="DJS25" t="s">
        <v>6984</v>
      </c>
      <c r="DJT25" t="s">
        <v>6984</v>
      </c>
      <c r="DJU25" t="s">
        <v>6984</v>
      </c>
      <c r="DJV25" t="s">
        <v>6984</v>
      </c>
      <c r="DJW25" t="s">
        <v>6984</v>
      </c>
      <c r="DJX25" t="s">
        <v>6984</v>
      </c>
      <c r="DJY25" t="s">
        <v>6984</v>
      </c>
      <c r="DJZ25" t="s">
        <v>6984</v>
      </c>
      <c r="DKA25" t="s">
        <v>6984</v>
      </c>
      <c r="DKB25" t="s">
        <v>6984</v>
      </c>
      <c r="DKC25" t="s">
        <v>6984</v>
      </c>
      <c r="DKD25" t="s">
        <v>6984</v>
      </c>
      <c r="DKE25" t="s">
        <v>6984</v>
      </c>
      <c r="DKF25" t="s">
        <v>6984</v>
      </c>
      <c r="DKG25" t="s">
        <v>6984</v>
      </c>
      <c r="DKH25" t="s">
        <v>6984</v>
      </c>
      <c r="DKI25" t="s">
        <v>6984</v>
      </c>
      <c r="DKJ25" t="s">
        <v>6984</v>
      </c>
      <c r="DKK25" t="s">
        <v>6984</v>
      </c>
      <c r="DKL25" t="s">
        <v>6984</v>
      </c>
      <c r="DKM25" t="s">
        <v>6984</v>
      </c>
      <c r="DKN25" t="s">
        <v>6984</v>
      </c>
      <c r="DKO25" t="s">
        <v>6984</v>
      </c>
      <c r="DKP25" t="s">
        <v>6984</v>
      </c>
      <c r="DKQ25" t="s">
        <v>6984</v>
      </c>
      <c r="DKR25" t="s">
        <v>6984</v>
      </c>
      <c r="DKS25" t="s">
        <v>6984</v>
      </c>
      <c r="DKT25" t="s">
        <v>6984</v>
      </c>
      <c r="DKU25" t="s">
        <v>6984</v>
      </c>
      <c r="DKV25" t="s">
        <v>6984</v>
      </c>
      <c r="DKW25" t="s">
        <v>6984</v>
      </c>
      <c r="DKX25" t="s">
        <v>6984</v>
      </c>
      <c r="DKY25" t="s">
        <v>6984</v>
      </c>
      <c r="DKZ25" t="s">
        <v>6984</v>
      </c>
      <c r="DLA25" t="s">
        <v>6984</v>
      </c>
      <c r="DLB25" t="s">
        <v>6984</v>
      </c>
      <c r="DLC25" t="s">
        <v>6984</v>
      </c>
      <c r="DLD25" t="s">
        <v>6984</v>
      </c>
      <c r="DLE25" t="s">
        <v>6984</v>
      </c>
      <c r="DLF25" t="s">
        <v>6984</v>
      </c>
      <c r="DLG25" t="s">
        <v>6984</v>
      </c>
      <c r="DLH25" t="s">
        <v>6984</v>
      </c>
      <c r="DLI25" t="s">
        <v>6984</v>
      </c>
      <c r="DLJ25" t="s">
        <v>6984</v>
      </c>
      <c r="DLK25" t="s">
        <v>6984</v>
      </c>
      <c r="DLL25" t="s">
        <v>6984</v>
      </c>
      <c r="DLM25" t="s">
        <v>6984</v>
      </c>
      <c r="DLN25" t="s">
        <v>6984</v>
      </c>
      <c r="DLO25" t="s">
        <v>6984</v>
      </c>
      <c r="DLP25" t="s">
        <v>6984</v>
      </c>
      <c r="DLQ25" t="s">
        <v>6984</v>
      </c>
      <c r="DLR25" t="s">
        <v>6984</v>
      </c>
      <c r="DLS25" t="s">
        <v>6984</v>
      </c>
      <c r="DLT25" t="s">
        <v>6984</v>
      </c>
      <c r="DLU25" t="s">
        <v>6984</v>
      </c>
      <c r="DLV25" t="s">
        <v>6984</v>
      </c>
      <c r="DLW25" t="s">
        <v>6984</v>
      </c>
      <c r="DLX25" t="s">
        <v>6984</v>
      </c>
      <c r="DLY25" t="s">
        <v>6984</v>
      </c>
      <c r="DLZ25" t="s">
        <v>6984</v>
      </c>
      <c r="DMA25" t="s">
        <v>6984</v>
      </c>
      <c r="DMB25" t="s">
        <v>6984</v>
      </c>
      <c r="DMC25" t="s">
        <v>6984</v>
      </c>
      <c r="DMD25" t="s">
        <v>6984</v>
      </c>
      <c r="DME25" t="s">
        <v>6984</v>
      </c>
      <c r="DMF25" t="s">
        <v>6984</v>
      </c>
      <c r="DMG25" t="s">
        <v>6984</v>
      </c>
      <c r="DMH25" t="s">
        <v>6984</v>
      </c>
      <c r="DMI25" t="s">
        <v>6984</v>
      </c>
      <c r="DMJ25" t="s">
        <v>6984</v>
      </c>
      <c r="DMK25" t="s">
        <v>6984</v>
      </c>
      <c r="DML25" t="s">
        <v>6984</v>
      </c>
      <c r="DMM25" t="s">
        <v>6984</v>
      </c>
      <c r="DMN25" t="s">
        <v>6984</v>
      </c>
      <c r="DMO25" t="s">
        <v>6984</v>
      </c>
      <c r="DMP25" t="s">
        <v>6984</v>
      </c>
      <c r="DMQ25" t="s">
        <v>6984</v>
      </c>
      <c r="DMR25" t="s">
        <v>6984</v>
      </c>
      <c r="DMS25" t="s">
        <v>6984</v>
      </c>
      <c r="DMT25" t="s">
        <v>6984</v>
      </c>
      <c r="DMU25" t="s">
        <v>6984</v>
      </c>
      <c r="DMV25" t="s">
        <v>6984</v>
      </c>
      <c r="DMW25" t="s">
        <v>6984</v>
      </c>
      <c r="DMX25" t="s">
        <v>6984</v>
      </c>
      <c r="DMY25" t="s">
        <v>6984</v>
      </c>
      <c r="DMZ25" t="s">
        <v>6984</v>
      </c>
      <c r="DNA25" t="s">
        <v>6984</v>
      </c>
      <c r="DNB25" t="s">
        <v>6984</v>
      </c>
      <c r="DNC25" t="s">
        <v>6984</v>
      </c>
      <c r="DND25" t="s">
        <v>6984</v>
      </c>
      <c r="DNE25" t="s">
        <v>6984</v>
      </c>
      <c r="DNF25" t="s">
        <v>6984</v>
      </c>
      <c r="DNG25" t="s">
        <v>6984</v>
      </c>
      <c r="DNH25" t="s">
        <v>6984</v>
      </c>
      <c r="DNI25" t="s">
        <v>6984</v>
      </c>
      <c r="DNJ25" t="s">
        <v>6984</v>
      </c>
      <c r="DNK25" t="s">
        <v>6984</v>
      </c>
      <c r="DNL25" t="s">
        <v>6984</v>
      </c>
      <c r="DNM25" t="s">
        <v>6984</v>
      </c>
      <c r="DNN25" t="s">
        <v>6984</v>
      </c>
      <c r="DNO25" t="s">
        <v>6984</v>
      </c>
      <c r="DNP25" t="s">
        <v>6984</v>
      </c>
      <c r="DNQ25" t="s">
        <v>6984</v>
      </c>
      <c r="DNR25" t="s">
        <v>6984</v>
      </c>
      <c r="DNS25" t="s">
        <v>6984</v>
      </c>
      <c r="DNT25" t="s">
        <v>6984</v>
      </c>
      <c r="DNU25" t="s">
        <v>6984</v>
      </c>
      <c r="DNV25" t="s">
        <v>6984</v>
      </c>
      <c r="DNW25" t="s">
        <v>6984</v>
      </c>
      <c r="DNX25" t="s">
        <v>6984</v>
      </c>
      <c r="DNY25" t="s">
        <v>6984</v>
      </c>
      <c r="DNZ25" t="s">
        <v>6984</v>
      </c>
      <c r="DOA25" t="s">
        <v>6984</v>
      </c>
      <c r="DOB25" t="s">
        <v>6984</v>
      </c>
      <c r="DOC25" t="s">
        <v>6984</v>
      </c>
      <c r="DOD25" t="s">
        <v>6984</v>
      </c>
      <c r="DOE25" t="s">
        <v>6984</v>
      </c>
      <c r="DOF25" t="s">
        <v>6984</v>
      </c>
      <c r="DOG25" t="s">
        <v>6984</v>
      </c>
      <c r="DOH25" t="s">
        <v>6984</v>
      </c>
      <c r="DOI25" t="s">
        <v>6984</v>
      </c>
      <c r="DOJ25" t="s">
        <v>6984</v>
      </c>
      <c r="DOK25" t="s">
        <v>6984</v>
      </c>
      <c r="DOL25" t="s">
        <v>6984</v>
      </c>
      <c r="DOM25" t="s">
        <v>6984</v>
      </c>
      <c r="DON25" t="s">
        <v>6984</v>
      </c>
      <c r="DOO25" t="s">
        <v>6984</v>
      </c>
      <c r="DOP25" t="s">
        <v>6984</v>
      </c>
      <c r="DOQ25" t="s">
        <v>6984</v>
      </c>
      <c r="DOR25" t="s">
        <v>6984</v>
      </c>
      <c r="DOS25" t="s">
        <v>6984</v>
      </c>
      <c r="DOT25" t="s">
        <v>6984</v>
      </c>
      <c r="DOU25" t="s">
        <v>6984</v>
      </c>
      <c r="DOV25" t="s">
        <v>6984</v>
      </c>
      <c r="DOW25" t="s">
        <v>6984</v>
      </c>
      <c r="DOX25" t="s">
        <v>6984</v>
      </c>
      <c r="DOY25" t="s">
        <v>6984</v>
      </c>
      <c r="DOZ25" t="s">
        <v>6984</v>
      </c>
      <c r="DPA25" t="s">
        <v>6984</v>
      </c>
      <c r="DPB25" t="s">
        <v>6984</v>
      </c>
      <c r="DPC25" t="s">
        <v>6984</v>
      </c>
      <c r="DPD25" t="s">
        <v>6984</v>
      </c>
      <c r="DPE25" t="s">
        <v>6984</v>
      </c>
      <c r="DPF25" t="s">
        <v>6984</v>
      </c>
      <c r="DPG25" t="s">
        <v>6984</v>
      </c>
      <c r="DPH25" t="s">
        <v>6984</v>
      </c>
      <c r="DPI25" t="s">
        <v>6984</v>
      </c>
      <c r="DPJ25" t="s">
        <v>6984</v>
      </c>
      <c r="DPK25" t="s">
        <v>6984</v>
      </c>
      <c r="DPL25" t="s">
        <v>6984</v>
      </c>
      <c r="DPM25" t="s">
        <v>6984</v>
      </c>
      <c r="DPN25" t="s">
        <v>6984</v>
      </c>
      <c r="DPO25" t="s">
        <v>6984</v>
      </c>
      <c r="DPP25" t="s">
        <v>6984</v>
      </c>
      <c r="DPQ25" t="s">
        <v>6984</v>
      </c>
      <c r="DPR25" t="s">
        <v>6984</v>
      </c>
      <c r="DPS25" t="s">
        <v>6984</v>
      </c>
      <c r="DPT25" t="s">
        <v>6984</v>
      </c>
      <c r="DPU25" t="s">
        <v>6984</v>
      </c>
      <c r="DPV25" t="s">
        <v>6984</v>
      </c>
      <c r="DPW25" t="s">
        <v>6984</v>
      </c>
      <c r="DPX25" t="s">
        <v>6984</v>
      </c>
      <c r="DPY25" t="s">
        <v>6984</v>
      </c>
      <c r="DPZ25" t="s">
        <v>6984</v>
      </c>
      <c r="DQA25" t="s">
        <v>6984</v>
      </c>
      <c r="DQB25" t="s">
        <v>6984</v>
      </c>
      <c r="DQC25" t="s">
        <v>6984</v>
      </c>
      <c r="DQD25" t="s">
        <v>6984</v>
      </c>
      <c r="DQE25" t="s">
        <v>6984</v>
      </c>
      <c r="DQF25" t="s">
        <v>6984</v>
      </c>
      <c r="DQG25" t="s">
        <v>6984</v>
      </c>
      <c r="DQH25" t="s">
        <v>6984</v>
      </c>
      <c r="DQI25" t="s">
        <v>6984</v>
      </c>
      <c r="DQJ25" t="s">
        <v>6984</v>
      </c>
      <c r="DQK25" t="s">
        <v>6984</v>
      </c>
      <c r="DQL25" t="s">
        <v>6984</v>
      </c>
      <c r="DQM25" t="s">
        <v>6984</v>
      </c>
      <c r="DQN25" t="s">
        <v>6984</v>
      </c>
      <c r="DQO25" t="s">
        <v>6984</v>
      </c>
      <c r="DQP25" t="s">
        <v>6984</v>
      </c>
      <c r="DQQ25" t="s">
        <v>6984</v>
      </c>
      <c r="DQR25" t="s">
        <v>6984</v>
      </c>
      <c r="DQS25" t="s">
        <v>6984</v>
      </c>
      <c r="DQT25" t="s">
        <v>6984</v>
      </c>
      <c r="DQU25" t="s">
        <v>6984</v>
      </c>
      <c r="DQV25" t="s">
        <v>6984</v>
      </c>
      <c r="DQW25" t="s">
        <v>6984</v>
      </c>
      <c r="DQX25" t="s">
        <v>6984</v>
      </c>
      <c r="DQY25" t="s">
        <v>6984</v>
      </c>
      <c r="DQZ25" t="s">
        <v>6984</v>
      </c>
      <c r="DRA25" t="s">
        <v>6984</v>
      </c>
      <c r="DRB25" t="s">
        <v>6984</v>
      </c>
      <c r="DRC25" t="s">
        <v>6984</v>
      </c>
      <c r="DRD25" t="s">
        <v>6984</v>
      </c>
      <c r="DRE25" t="s">
        <v>6984</v>
      </c>
      <c r="DRF25" t="s">
        <v>6984</v>
      </c>
      <c r="DRG25" t="s">
        <v>6984</v>
      </c>
      <c r="DRH25" t="s">
        <v>6984</v>
      </c>
      <c r="DRI25" t="s">
        <v>6984</v>
      </c>
      <c r="DRJ25" t="s">
        <v>6984</v>
      </c>
      <c r="DRK25" t="s">
        <v>6984</v>
      </c>
      <c r="DRL25" t="s">
        <v>6984</v>
      </c>
      <c r="DRM25" t="s">
        <v>6984</v>
      </c>
      <c r="DRN25" t="s">
        <v>6984</v>
      </c>
      <c r="DRO25" t="s">
        <v>6984</v>
      </c>
      <c r="DRP25" t="s">
        <v>6984</v>
      </c>
      <c r="DRQ25" t="s">
        <v>6984</v>
      </c>
      <c r="DRR25" t="s">
        <v>6984</v>
      </c>
      <c r="DRS25" t="s">
        <v>6984</v>
      </c>
      <c r="DRT25" t="s">
        <v>6984</v>
      </c>
      <c r="DRU25" t="s">
        <v>6984</v>
      </c>
      <c r="DRV25" t="s">
        <v>6984</v>
      </c>
      <c r="DRW25" t="s">
        <v>6984</v>
      </c>
      <c r="DRX25" t="s">
        <v>6984</v>
      </c>
      <c r="DRY25" t="s">
        <v>6984</v>
      </c>
      <c r="DRZ25" t="s">
        <v>6984</v>
      </c>
      <c r="DSA25" t="s">
        <v>6984</v>
      </c>
      <c r="DSB25" t="s">
        <v>6984</v>
      </c>
      <c r="DSC25" t="s">
        <v>6984</v>
      </c>
      <c r="DSD25" t="s">
        <v>6984</v>
      </c>
      <c r="DSE25" t="s">
        <v>6984</v>
      </c>
      <c r="DSF25" t="s">
        <v>6984</v>
      </c>
      <c r="DSG25" t="s">
        <v>6984</v>
      </c>
      <c r="DSH25" t="s">
        <v>6984</v>
      </c>
      <c r="DSI25" t="s">
        <v>6984</v>
      </c>
      <c r="DSJ25" t="s">
        <v>6984</v>
      </c>
      <c r="DSK25" t="s">
        <v>6984</v>
      </c>
      <c r="DSL25" t="s">
        <v>6984</v>
      </c>
      <c r="DSM25" t="s">
        <v>6984</v>
      </c>
      <c r="DSN25" t="s">
        <v>6984</v>
      </c>
      <c r="DSO25" t="s">
        <v>6984</v>
      </c>
      <c r="DSP25" t="s">
        <v>6984</v>
      </c>
      <c r="DSQ25" t="s">
        <v>6984</v>
      </c>
      <c r="DSR25" t="s">
        <v>6984</v>
      </c>
      <c r="DSS25" t="s">
        <v>6984</v>
      </c>
      <c r="DST25" t="s">
        <v>6984</v>
      </c>
      <c r="DSU25" t="s">
        <v>6984</v>
      </c>
      <c r="DSV25" t="s">
        <v>6984</v>
      </c>
      <c r="DSW25" t="s">
        <v>6984</v>
      </c>
      <c r="DSX25" t="s">
        <v>6984</v>
      </c>
      <c r="DSY25" t="s">
        <v>6984</v>
      </c>
      <c r="DSZ25" t="s">
        <v>6984</v>
      </c>
      <c r="DTA25" t="s">
        <v>6984</v>
      </c>
      <c r="DTB25" t="s">
        <v>6984</v>
      </c>
      <c r="DTC25" t="s">
        <v>6984</v>
      </c>
      <c r="DTD25" t="s">
        <v>6984</v>
      </c>
      <c r="DTE25" t="s">
        <v>6984</v>
      </c>
      <c r="DTF25" t="s">
        <v>6984</v>
      </c>
      <c r="DTG25" t="s">
        <v>6984</v>
      </c>
      <c r="DTH25" t="s">
        <v>6984</v>
      </c>
      <c r="DTI25" t="s">
        <v>6984</v>
      </c>
      <c r="DTJ25" t="s">
        <v>6984</v>
      </c>
      <c r="DTK25" t="s">
        <v>6984</v>
      </c>
      <c r="DTL25" t="s">
        <v>6984</v>
      </c>
      <c r="DTM25" t="s">
        <v>6984</v>
      </c>
      <c r="DTN25" t="s">
        <v>6984</v>
      </c>
      <c r="DTO25" t="s">
        <v>6984</v>
      </c>
      <c r="DTP25" t="s">
        <v>6984</v>
      </c>
      <c r="DTQ25" t="s">
        <v>6984</v>
      </c>
      <c r="DTR25" t="s">
        <v>6984</v>
      </c>
      <c r="DTS25" t="s">
        <v>6984</v>
      </c>
      <c r="DTT25" t="s">
        <v>6984</v>
      </c>
      <c r="DTU25" t="s">
        <v>6984</v>
      </c>
      <c r="DTV25" t="s">
        <v>6984</v>
      </c>
      <c r="DTW25" t="s">
        <v>6984</v>
      </c>
      <c r="DTX25" t="s">
        <v>6984</v>
      </c>
      <c r="DTY25" t="s">
        <v>6984</v>
      </c>
      <c r="DTZ25" t="s">
        <v>6984</v>
      </c>
      <c r="DUA25" t="s">
        <v>6984</v>
      </c>
      <c r="DUB25" t="s">
        <v>6984</v>
      </c>
      <c r="DUC25" t="s">
        <v>6984</v>
      </c>
      <c r="DUD25" t="s">
        <v>6984</v>
      </c>
      <c r="DUE25" t="s">
        <v>6984</v>
      </c>
      <c r="DUF25" t="s">
        <v>6984</v>
      </c>
      <c r="DUG25" t="s">
        <v>6984</v>
      </c>
      <c r="DUH25" t="s">
        <v>6984</v>
      </c>
      <c r="DUI25" t="s">
        <v>6984</v>
      </c>
      <c r="DUJ25" t="s">
        <v>6984</v>
      </c>
      <c r="DUK25" t="s">
        <v>6984</v>
      </c>
      <c r="DUL25" t="s">
        <v>6984</v>
      </c>
      <c r="DUM25" t="s">
        <v>6984</v>
      </c>
      <c r="DUN25" t="s">
        <v>6984</v>
      </c>
      <c r="DUO25" t="s">
        <v>6984</v>
      </c>
      <c r="DUP25" t="s">
        <v>6984</v>
      </c>
      <c r="DUQ25" t="s">
        <v>6984</v>
      </c>
      <c r="DUR25" t="s">
        <v>6984</v>
      </c>
      <c r="DUS25" t="s">
        <v>6984</v>
      </c>
      <c r="DUT25" t="s">
        <v>6984</v>
      </c>
      <c r="DUU25" t="s">
        <v>6984</v>
      </c>
      <c r="DUV25" t="s">
        <v>6984</v>
      </c>
      <c r="DUW25" t="s">
        <v>6984</v>
      </c>
      <c r="DUX25" t="s">
        <v>6984</v>
      </c>
      <c r="DUY25" t="s">
        <v>6984</v>
      </c>
      <c r="DUZ25" t="s">
        <v>6984</v>
      </c>
      <c r="DVA25" t="s">
        <v>6984</v>
      </c>
      <c r="DVB25" t="s">
        <v>6984</v>
      </c>
      <c r="DVC25" t="s">
        <v>6984</v>
      </c>
      <c r="DVD25" t="s">
        <v>6984</v>
      </c>
      <c r="DVE25" t="s">
        <v>6984</v>
      </c>
      <c r="DVF25" t="s">
        <v>6984</v>
      </c>
      <c r="DVG25" t="s">
        <v>6984</v>
      </c>
      <c r="DVH25" t="s">
        <v>6984</v>
      </c>
      <c r="DVI25" t="s">
        <v>6984</v>
      </c>
      <c r="DVJ25" t="s">
        <v>6984</v>
      </c>
      <c r="DVK25" t="s">
        <v>6984</v>
      </c>
      <c r="DVL25" t="s">
        <v>6984</v>
      </c>
      <c r="DVM25" t="s">
        <v>6984</v>
      </c>
      <c r="DVN25" t="s">
        <v>6984</v>
      </c>
      <c r="DVO25" t="s">
        <v>6984</v>
      </c>
      <c r="DVP25" t="s">
        <v>6984</v>
      </c>
      <c r="DVQ25" t="s">
        <v>6984</v>
      </c>
      <c r="DVR25" t="s">
        <v>6984</v>
      </c>
      <c r="DVS25" t="s">
        <v>6984</v>
      </c>
      <c r="DVT25" t="s">
        <v>6984</v>
      </c>
      <c r="DVU25" t="s">
        <v>6984</v>
      </c>
      <c r="DVV25" t="s">
        <v>6984</v>
      </c>
      <c r="DVW25" t="s">
        <v>6984</v>
      </c>
      <c r="DVX25" t="s">
        <v>6984</v>
      </c>
      <c r="DVY25" t="s">
        <v>6984</v>
      </c>
      <c r="DVZ25" t="s">
        <v>6984</v>
      </c>
      <c r="DWA25" t="s">
        <v>6984</v>
      </c>
      <c r="DWB25" t="s">
        <v>6984</v>
      </c>
      <c r="DWC25" t="s">
        <v>6984</v>
      </c>
      <c r="DWD25" t="s">
        <v>6984</v>
      </c>
      <c r="DWE25" t="s">
        <v>6984</v>
      </c>
      <c r="DWF25" t="s">
        <v>6984</v>
      </c>
      <c r="DWG25" t="s">
        <v>6984</v>
      </c>
      <c r="DWH25" t="s">
        <v>6984</v>
      </c>
      <c r="DWI25" t="s">
        <v>6984</v>
      </c>
      <c r="DWJ25" t="s">
        <v>6984</v>
      </c>
      <c r="DWK25" t="s">
        <v>6984</v>
      </c>
      <c r="DWL25" t="s">
        <v>6984</v>
      </c>
      <c r="DWM25" t="s">
        <v>6984</v>
      </c>
      <c r="DWN25" t="s">
        <v>6984</v>
      </c>
      <c r="DWO25" t="s">
        <v>6984</v>
      </c>
      <c r="DWP25" t="s">
        <v>6984</v>
      </c>
      <c r="DWQ25" t="s">
        <v>6984</v>
      </c>
      <c r="DWR25" t="s">
        <v>6984</v>
      </c>
      <c r="DWS25" t="s">
        <v>6984</v>
      </c>
      <c r="DWT25" t="s">
        <v>6984</v>
      </c>
      <c r="DWU25" t="s">
        <v>6984</v>
      </c>
      <c r="DWV25" t="s">
        <v>6984</v>
      </c>
      <c r="DWW25" t="s">
        <v>6984</v>
      </c>
      <c r="DWX25" t="s">
        <v>6984</v>
      </c>
      <c r="DWY25" t="s">
        <v>6984</v>
      </c>
      <c r="DWZ25" t="s">
        <v>6984</v>
      </c>
      <c r="DXA25" t="s">
        <v>6984</v>
      </c>
      <c r="DXB25" t="s">
        <v>6984</v>
      </c>
      <c r="DXC25" t="s">
        <v>6984</v>
      </c>
      <c r="DXD25" t="s">
        <v>6984</v>
      </c>
      <c r="DXE25" t="s">
        <v>6984</v>
      </c>
      <c r="DXF25" t="s">
        <v>6984</v>
      </c>
      <c r="DXG25" t="s">
        <v>6984</v>
      </c>
      <c r="DXH25" t="s">
        <v>6984</v>
      </c>
      <c r="DXI25" t="s">
        <v>6984</v>
      </c>
      <c r="DXJ25" t="s">
        <v>6984</v>
      </c>
      <c r="DXK25" t="s">
        <v>6984</v>
      </c>
      <c r="DXL25" t="s">
        <v>6984</v>
      </c>
      <c r="DXM25" t="s">
        <v>6984</v>
      </c>
      <c r="DXN25" t="s">
        <v>6984</v>
      </c>
      <c r="DXO25" t="s">
        <v>6984</v>
      </c>
      <c r="DXP25" t="s">
        <v>6984</v>
      </c>
      <c r="DXQ25" t="s">
        <v>6984</v>
      </c>
      <c r="DXR25" t="s">
        <v>6984</v>
      </c>
      <c r="DXS25" t="s">
        <v>6984</v>
      </c>
      <c r="DXT25" t="s">
        <v>6984</v>
      </c>
      <c r="DXU25" t="s">
        <v>6984</v>
      </c>
      <c r="DXV25" t="s">
        <v>6984</v>
      </c>
      <c r="DXW25" t="s">
        <v>6984</v>
      </c>
      <c r="DXX25" t="s">
        <v>6984</v>
      </c>
      <c r="DXY25" t="s">
        <v>6984</v>
      </c>
      <c r="DXZ25" t="s">
        <v>6984</v>
      </c>
      <c r="DYA25" t="s">
        <v>6984</v>
      </c>
      <c r="DYB25" t="s">
        <v>6984</v>
      </c>
      <c r="DYC25" t="s">
        <v>6984</v>
      </c>
      <c r="DYD25" t="s">
        <v>6984</v>
      </c>
      <c r="DYE25" t="s">
        <v>6984</v>
      </c>
      <c r="DYF25" t="s">
        <v>6984</v>
      </c>
      <c r="DYG25" t="s">
        <v>6984</v>
      </c>
      <c r="DYH25" t="s">
        <v>6984</v>
      </c>
      <c r="DYI25" t="s">
        <v>6984</v>
      </c>
      <c r="DYJ25" t="s">
        <v>6984</v>
      </c>
      <c r="DYK25" t="s">
        <v>6984</v>
      </c>
      <c r="DYL25" t="s">
        <v>6984</v>
      </c>
      <c r="DYM25" t="s">
        <v>6984</v>
      </c>
      <c r="DYN25" t="s">
        <v>6984</v>
      </c>
      <c r="DYO25" t="s">
        <v>6984</v>
      </c>
      <c r="DYP25" t="s">
        <v>6984</v>
      </c>
      <c r="DYQ25" t="s">
        <v>6984</v>
      </c>
      <c r="DYR25" t="s">
        <v>6984</v>
      </c>
      <c r="DYS25" t="s">
        <v>6984</v>
      </c>
      <c r="DYT25" t="s">
        <v>6984</v>
      </c>
      <c r="DYU25" t="s">
        <v>6984</v>
      </c>
      <c r="DYV25" t="s">
        <v>6984</v>
      </c>
      <c r="DYW25" t="s">
        <v>6984</v>
      </c>
      <c r="DYX25" t="s">
        <v>6984</v>
      </c>
      <c r="DYY25" t="s">
        <v>6984</v>
      </c>
      <c r="DYZ25" t="s">
        <v>6984</v>
      </c>
      <c r="DZA25" t="s">
        <v>6984</v>
      </c>
      <c r="DZB25" t="s">
        <v>6984</v>
      </c>
      <c r="DZC25" t="s">
        <v>6984</v>
      </c>
      <c r="DZD25" t="s">
        <v>6984</v>
      </c>
      <c r="DZE25" t="s">
        <v>6984</v>
      </c>
      <c r="DZF25" t="s">
        <v>6984</v>
      </c>
      <c r="DZG25" t="s">
        <v>6984</v>
      </c>
      <c r="DZH25" t="s">
        <v>6984</v>
      </c>
      <c r="DZI25" t="s">
        <v>6984</v>
      </c>
      <c r="DZJ25" t="s">
        <v>6984</v>
      </c>
      <c r="DZK25" t="s">
        <v>6984</v>
      </c>
      <c r="DZL25" t="s">
        <v>6984</v>
      </c>
      <c r="DZM25" t="s">
        <v>6984</v>
      </c>
      <c r="DZN25" t="s">
        <v>6984</v>
      </c>
      <c r="DZO25" t="s">
        <v>6984</v>
      </c>
      <c r="DZP25" t="s">
        <v>6984</v>
      </c>
      <c r="DZQ25" t="s">
        <v>6984</v>
      </c>
      <c r="DZR25" t="s">
        <v>6984</v>
      </c>
      <c r="DZS25" t="s">
        <v>6984</v>
      </c>
      <c r="DZT25" t="s">
        <v>6984</v>
      </c>
      <c r="DZU25" t="s">
        <v>6984</v>
      </c>
      <c r="DZV25" t="s">
        <v>6984</v>
      </c>
      <c r="DZW25" t="s">
        <v>6984</v>
      </c>
      <c r="DZX25" t="s">
        <v>6984</v>
      </c>
      <c r="DZY25" t="s">
        <v>6984</v>
      </c>
      <c r="DZZ25" t="s">
        <v>6984</v>
      </c>
      <c r="EAA25" t="s">
        <v>6984</v>
      </c>
      <c r="EAB25" t="s">
        <v>6984</v>
      </c>
      <c r="EAC25" t="s">
        <v>6984</v>
      </c>
      <c r="EAD25" t="s">
        <v>6984</v>
      </c>
      <c r="EAE25" t="s">
        <v>6984</v>
      </c>
      <c r="EAF25" t="s">
        <v>6984</v>
      </c>
      <c r="EAG25" t="s">
        <v>6984</v>
      </c>
      <c r="EAH25" t="s">
        <v>6984</v>
      </c>
      <c r="EAI25" t="s">
        <v>6984</v>
      </c>
      <c r="EAJ25" t="s">
        <v>6984</v>
      </c>
      <c r="EAK25" t="s">
        <v>6984</v>
      </c>
      <c r="EAL25" t="s">
        <v>6984</v>
      </c>
      <c r="EAM25" t="s">
        <v>6984</v>
      </c>
      <c r="EAN25" t="s">
        <v>6984</v>
      </c>
      <c r="EAO25" t="s">
        <v>6984</v>
      </c>
      <c r="EAP25" t="s">
        <v>6984</v>
      </c>
      <c r="EAQ25" t="s">
        <v>6984</v>
      </c>
      <c r="EAR25" t="s">
        <v>6984</v>
      </c>
      <c r="EAS25" t="s">
        <v>6984</v>
      </c>
      <c r="EAT25" t="s">
        <v>6984</v>
      </c>
      <c r="EAU25" t="s">
        <v>6984</v>
      </c>
      <c r="EAV25" t="s">
        <v>6984</v>
      </c>
      <c r="EAW25" t="s">
        <v>6984</v>
      </c>
      <c r="EAX25" t="s">
        <v>6984</v>
      </c>
      <c r="EAY25" t="s">
        <v>6984</v>
      </c>
      <c r="EAZ25" t="s">
        <v>6984</v>
      </c>
      <c r="EBA25" t="s">
        <v>6984</v>
      </c>
      <c r="EBB25" t="s">
        <v>6984</v>
      </c>
      <c r="EBC25" t="s">
        <v>6984</v>
      </c>
      <c r="EBD25" t="s">
        <v>6984</v>
      </c>
      <c r="EBE25" t="s">
        <v>6984</v>
      </c>
      <c r="EBF25" t="s">
        <v>6984</v>
      </c>
      <c r="EBG25" t="s">
        <v>6984</v>
      </c>
      <c r="EBH25" t="s">
        <v>6984</v>
      </c>
      <c r="EBI25" t="s">
        <v>6984</v>
      </c>
      <c r="EBJ25" t="s">
        <v>6984</v>
      </c>
      <c r="EBK25" t="s">
        <v>6984</v>
      </c>
      <c r="EBL25" t="s">
        <v>6984</v>
      </c>
      <c r="EBM25" t="s">
        <v>6984</v>
      </c>
      <c r="EBN25" t="s">
        <v>6984</v>
      </c>
      <c r="EBO25" t="s">
        <v>6984</v>
      </c>
      <c r="EBP25" t="s">
        <v>6984</v>
      </c>
      <c r="EBQ25" t="s">
        <v>6984</v>
      </c>
      <c r="EBR25" t="s">
        <v>6984</v>
      </c>
      <c r="EBS25" t="s">
        <v>6984</v>
      </c>
      <c r="EBT25" t="s">
        <v>6984</v>
      </c>
      <c r="EBU25" t="s">
        <v>6984</v>
      </c>
      <c r="EBV25" t="s">
        <v>6984</v>
      </c>
      <c r="EBW25" t="s">
        <v>6984</v>
      </c>
      <c r="EBX25" t="s">
        <v>6984</v>
      </c>
      <c r="EBY25" t="s">
        <v>6984</v>
      </c>
      <c r="EBZ25" t="s">
        <v>6984</v>
      </c>
      <c r="ECA25" t="s">
        <v>6984</v>
      </c>
      <c r="ECB25" t="s">
        <v>6984</v>
      </c>
      <c r="ECC25" t="s">
        <v>6984</v>
      </c>
      <c r="ECD25" t="s">
        <v>6984</v>
      </c>
      <c r="ECE25" t="s">
        <v>6984</v>
      </c>
      <c r="ECF25" t="s">
        <v>6984</v>
      </c>
      <c r="ECG25" t="s">
        <v>6984</v>
      </c>
      <c r="ECH25" t="s">
        <v>6984</v>
      </c>
      <c r="ECI25" t="s">
        <v>6984</v>
      </c>
      <c r="ECJ25" t="s">
        <v>6984</v>
      </c>
      <c r="ECK25" t="s">
        <v>6984</v>
      </c>
      <c r="ECL25" t="s">
        <v>6984</v>
      </c>
      <c r="ECM25" t="s">
        <v>6984</v>
      </c>
      <c r="ECN25" t="s">
        <v>6984</v>
      </c>
      <c r="ECO25" t="s">
        <v>6984</v>
      </c>
      <c r="ECP25" t="s">
        <v>6984</v>
      </c>
      <c r="ECQ25" t="s">
        <v>6984</v>
      </c>
      <c r="ECR25" t="s">
        <v>6984</v>
      </c>
      <c r="ECS25" t="s">
        <v>6984</v>
      </c>
      <c r="ECT25" t="s">
        <v>6984</v>
      </c>
      <c r="ECU25" t="s">
        <v>6984</v>
      </c>
      <c r="ECV25" t="s">
        <v>6984</v>
      </c>
      <c r="ECW25" t="s">
        <v>6984</v>
      </c>
      <c r="ECX25" t="s">
        <v>6984</v>
      </c>
      <c r="ECY25" t="s">
        <v>6984</v>
      </c>
      <c r="ECZ25" t="s">
        <v>6984</v>
      </c>
      <c r="EDA25" t="s">
        <v>6984</v>
      </c>
      <c r="EDB25" t="s">
        <v>6984</v>
      </c>
      <c r="EDC25" t="s">
        <v>6984</v>
      </c>
      <c r="EDD25" t="s">
        <v>6984</v>
      </c>
      <c r="EDE25" t="s">
        <v>6984</v>
      </c>
      <c r="EDF25" t="s">
        <v>6984</v>
      </c>
      <c r="EDG25" t="s">
        <v>6984</v>
      </c>
      <c r="EDH25" t="s">
        <v>6984</v>
      </c>
      <c r="EDI25" t="s">
        <v>6984</v>
      </c>
      <c r="EDJ25" t="s">
        <v>6984</v>
      </c>
      <c r="EDK25" t="s">
        <v>6984</v>
      </c>
      <c r="EDL25" t="s">
        <v>6984</v>
      </c>
      <c r="EDM25" t="s">
        <v>6984</v>
      </c>
      <c r="EDN25" t="s">
        <v>6984</v>
      </c>
      <c r="EDO25" t="s">
        <v>6984</v>
      </c>
      <c r="EDP25" t="s">
        <v>6984</v>
      </c>
      <c r="EDQ25" t="s">
        <v>6984</v>
      </c>
      <c r="EDR25" t="s">
        <v>6984</v>
      </c>
      <c r="EDS25" t="s">
        <v>6984</v>
      </c>
      <c r="EDT25" t="s">
        <v>6984</v>
      </c>
      <c r="EDU25" t="s">
        <v>6984</v>
      </c>
      <c r="EDV25" t="s">
        <v>6984</v>
      </c>
      <c r="EDW25" t="s">
        <v>6984</v>
      </c>
      <c r="EDX25" t="s">
        <v>6984</v>
      </c>
      <c r="EDY25" t="s">
        <v>6984</v>
      </c>
      <c r="EDZ25" t="s">
        <v>6984</v>
      </c>
      <c r="EEA25" t="s">
        <v>6984</v>
      </c>
      <c r="EEB25" t="s">
        <v>6984</v>
      </c>
      <c r="EEC25" t="s">
        <v>6984</v>
      </c>
      <c r="EED25" t="s">
        <v>6984</v>
      </c>
      <c r="EEE25" t="s">
        <v>6984</v>
      </c>
      <c r="EEF25" t="s">
        <v>6984</v>
      </c>
      <c r="EEG25" t="s">
        <v>6984</v>
      </c>
      <c r="EEH25" t="s">
        <v>6984</v>
      </c>
      <c r="EEI25" t="s">
        <v>6984</v>
      </c>
      <c r="EEJ25" t="s">
        <v>6984</v>
      </c>
      <c r="EEK25" t="s">
        <v>6984</v>
      </c>
      <c r="EEL25" t="s">
        <v>6984</v>
      </c>
      <c r="EEM25" t="s">
        <v>6984</v>
      </c>
      <c r="EEN25" t="s">
        <v>6984</v>
      </c>
      <c r="EEO25" t="s">
        <v>6984</v>
      </c>
      <c r="EEP25" t="s">
        <v>6984</v>
      </c>
      <c r="EEQ25" t="s">
        <v>6984</v>
      </c>
      <c r="EER25" t="s">
        <v>6984</v>
      </c>
      <c r="EES25" t="s">
        <v>6984</v>
      </c>
      <c r="EET25" t="s">
        <v>6984</v>
      </c>
      <c r="EEU25" t="s">
        <v>6984</v>
      </c>
      <c r="EEV25" t="s">
        <v>6984</v>
      </c>
      <c r="EEW25" t="s">
        <v>6984</v>
      </c>
      <c r="EEX25" t="s">
        <v>6984</v>
      </c>
      <c r="EEY25" t="s">
        <v>6984</v>
      </c>
      <c r="EEZ25" t="s">
        <v>6984</v>
      </c>
      <c r="EFA25" t="s">
        <v>6984</v>
      </c>
      <c r="EFB25" t="s">
        <v>6984</v>
      </c>
      <c r="EFC25" t="s">
        <v>6984</v>
      </c>
      <c r="EFD25" t="s">
        <v>6984</v>
      </c>
      <c r="EFE25" t="s">
        <v>6984</v>
      </c>
      <c r="EFF25" t="s">
        <v>6984</v>
      </c>
      <c r="EFG25" t="s">
        <v>6984</v>
      </c>
      <c r="EFH25" t="s">
        <v>6984</v>
      </c>
      <c r="EFI25" t="s">
        <v>6984</v>
      </c>
      <c r="EFJ25" t="s">
        <v>6984</v>
      </c>
      <c r="EFK25" t="s">
        <v>6984</v>
      </c>
      <c r="EFL25" t="s">
        <v>6984</v>
      </c>
      <c r="EFM25" t="s">
        <v>6984</v>
      </c>
      <c r="EFN25" t="s">
        <v>6984</v>
      </c>
      <c r="EFO25" t="s">
        <v>6984</v>
      </c>
      <c r="EFP25" t="s">
        <v>6984</v>
      </c>
      <c r="EFQ25" t="s">
        <v>6984</v>
      </c>
      <c r="EFR25" t="s">
        <v>6984</v>
      </c>
      <c r="EFS25" t="s">
        <v>6984</v>
      </c>
      <c r="EFT25" t="s">
        <v>6984</v>
      </c>
      <c r="EFU25" t="s">
        <v>6984</v>
      </c>
      <c r="EFV25" t="s">
        <v>6984</v>
      </c>
      <c r="EFW25" t="s">
        <v>6984</v>
      </c>
      <c r="EFX25" t="s">
        <v>6984</v>
      </c>
      <c r="EFY25" t="s">
        <v>6984</v>
      </c>
      <c r="EFZ25" t="s">
        <v>6984</v>
      </c>
      <c r="EGA25" t="s">
        <v>6984</v>
      </c>
      <c r="EGB25" t="s">
        <v>6984</v>
      </c>
      <c r="EGC25" t="s">
        <v>6984</v>
      </c>
      <c r="EGD25" t="s">
        <v>6984</v>
      </c>
      <c r="EGE25" t="s">
        <v>6984</v>
      </c>
      <c r="EGF25" t="s">
        <v>6984</v>
      </c>
      <c r="EGG25" t="s">
        <v>6984</v>
      </c>
      <c r="EGH25" t="s">
        <v>6984</v>
      </c>
      <c r="EGI25" t="s">
        <v>6984</v>
      </c>
      <c r="EGJ25" t="s">
        <v>6984</v>
      </c>
      <c r="EGK25" t="s">
        <v>6984</v>
      </c>
      <c r="EGL25" t="s">
        <v>6984</v>
      </c>
      <c r="EGM25" t="s">
        <v>6984</v>
      </c>
      <c r="EGN25" t="s">
        <v>6984</v>
      </c>
      <c r="EGO25" t="s">
        <v>6984</v>
      </c>
      <c r="EGP25" t="s">
        <v>6984</v>
      </c>
      <c r="EGQ25" t="s">
        <v>6984</v>
      </c>
      <c r="EGR25" t="s">
        <v>6984</v>
      </c>
      <c r="EGS25" t="s">
        <v>6984</v>
      </c>
      <c r="EGT25" t="s">
        <v>6984</v>
      </c>
      <c r="EGU25" t="s">
        <v>6984</v>
      </c>
      <c r="EGV25" t="s">
        <v>6984</v>
      </c>
      <c r="EGW25" t="s">
        <v>6984</v>
      </c>
      <c r="EGX25" t="s">
        <v>6984</v>
      </c>
      <c r="EGY25" t="s">
        <v>6984</v>
      </c>
      <c r="EGZ25" t="s">
        <v>6984</v>
      </c>
      <c r="EHA25" t="s">
        <v>6984</v>
      </c>
      <c r="EHB25" t="s">
        <v>6984</v>
      </c>
      <c r="EHC25" t="s">
        <v>6984</v>
      </c>
      <c r="EHD25" t="s">
        <v>6984</v>
      </c>
      <c r="EHE25" t="s">
        <v>6984</v>
      </c>
      <c r="EHF25" t="s">
        <v>6984</v>
      </c>
      <c r="EHG25" t="s">
        <v>6984</v>
      </c>
      <c r="EHH25" t="s">
        <v>6984</v>
      </c>
      <c r="EHI25" t="s">
        <v>6984</v>
      </c>
      <c r="EHJ25" t="s">
        <v>6984</v>
      </c>
      <c r="EHK25" t="s">
        <v>6984</v>
      </c>
      <c r="EHL25" t="s">
        <v>6984</v>
      </c>
      <c r="EHM25" t="s">
        <v>6984</v>
      </c>
      <c r="EHN25" t="s">
        <v>6984</v>
      </c>
      <c r="EHO25" t="s">
        <v>6984</v>
      </c>
      <c r="EHP25" t="s">
        <v>6984</v>
      </c>
      <c r="EHQ25" t="s">
        <v>6984</v>
      </c>
      <c r="EHR25" t="s">
        <v>6984</v>
      </c>
      <c r="EHS25" t="s">
        <v>6984</v>
      </c>
      <c r="EHT25" t="s">
        <v>6984</v>
      </c>
      <c r="EHU25" t="s">
        <v>6984</v>
      </c>
      <c r="EHV25" t="s">
        <v>6984</v>
      </c>
      <c r="EHW25" t="s">
        <v>6984</v>
      </c>
      <c r="EHX25" t="s">
        <v>6984</v>
      </c>
      <c r="EHY25" t="s">
        <v>6984</v>
      </c>
      <c r="EHZ25" t="s">
        <v>6984</v>
      </c>
      <c r="EIA25" t="s">
        <v>6984</v>
      </c>
      <c r="EIB25" t="s">
        <v>6984</v>
      </c>
      <c r="EIC25" t="s">
        <v>6984</v>
      </c>
      <c r="EID25" t="s">
        <v>6984</v>
      </c>
      <c r="EIE25" t="s">
        <v>6984</v>
      </c>
      <c r="EIF25" t="s">
        <v>6984</v>
      </c>
      <c r="EIG25" t="s">
        <v>6984</v>
      </c>
      <c r="EIH25" t="s">
        <v>6984</v>
      </c>
      <c r="EII25" t="s">
        <v>6984</v>
      </c>
      <c r="EIJ25" t="s">
        <v>6984</v>
      </c>
      <c r="EIK25" t="s">
        <v>6984</v>
      </c>
      <c r="EIL25" t="s">
        <v>6984</v>
      </c>
      <c r="EIM25" t="s">
        <v>6984</v>
      </c>
      <c r="EIN25" t="s">
        <v>6984</v>
      </c>
      <c r="EIO25" t="s">
        <v>6984</v>
      </c>
      <c r="EIP25" t="s">
        <v>6984</v>
      </c>
      <c r="EIQ25" t="s">
        <v>6984</v>
      </c>
      <c r="EIR25" t="s">
        <v>6984</v>
      </c>
      <c r="EIS25" t="s">
        <v>6984</v>
      </c>
      <c r="EIT25" t="s">
        <v>6984</v>
      </c>
      <c r="EIU25" t="s">
        <v>6984</v>
      </c>
      <c r="EIV25" t="s">
        <v>6984</v>
      </c>
      <c r="EIW25" t="s">
        <v>6984</v>
      </c>
      <c r="EIX25" t="s">
        <v>6984</v>
      </c>
      <c r="EIY25" t="s">
        <v>6984</v>
      </c>
      <c r="EIZ25" t="s">
        <v>6984</v>
      </c>
      <c r="EJA25" t="s">
        <v>6984</v>
      </c>
      <c r="EJB25" t="s">
        <v>6984</v>
      </c>
      <c r="EJC25" t="s">
        <v>6984</v>
      </c>
      <c r="EJD25" t="s">
        <v>6984</v>
      </c>
      <c r="EJE25" t="s">
        <v>6984</v>
      </c>
      <c r="EJF25" t="s">
        <v>6984</v>
      </c>
      <c r="EJG25" t="s">
        <v>6984</v>
      </c>
      <c r="EJH25" t="s">
        <v>6984</v>
      </c>
      <c r="EJI25" t="s">
        <v>6984</v>
      </c>
      <c r="EJJ25" t="s">
        <v>6984</v>
      </c>
      <c r="EJK25" t="s">
        <v>6984</v>
      </c>
      <c r="EJL25" t="s">
        <v>6984</v>
      </c>
      <c r="EJM25" t="s">
        <v>6984</v>
      </c>
      <c r="EJN25" t="s">
        <v>6984</v>
      </c>
      <c r="EJO25" t="s">
        <v>6984</v>
      </c>
      <c r="EJP25" t="s">
        <v>6984</v>
      </c>
      <c r="EJQ25" t="s">
        <v>6984</v>
      </c>
      <c r="EJR25" t="s">
        <v>6984</v>
      </c>
      <c r="EJS25" t="s">
        <v>6984</v>
      </c>
      <c r="EJT25" t="s">
        <v>6984</v>
      </c>
      <c r="EJU25" t="s">
        <v>6984</v>
      </c>
      <c r="EJV25" t="s">
        <v>6984</v>
      </c>
      <c r="EJW25" t="s">
        <v>6984</v>
      </c>
      <c r="EJX25" t="s">
        <v>6984</v>
      </c>
      <c r="EJY25" t="s">
        <v>6984</v>
      </c>
      <c r="EJZ25" t="s">
        <v>6984</v>
      </c>
      <c r="EKA25" t="s">
        <v>6984</v>
      </c>
      <c r="EKB25" t="s">
        <v>6984</v>
      </c>
      <c r="EKC25" t="s">
        <v>6984</v>
      </c>
      <c r="EKD25" t="s">
        <v>6984</v>
      </c>
      <c r="EKE25" t="s">
        <v>6984</v>
      </c>
      <c r="EKF25" t="s">
        <v>6984</v>
      </c>
      <c r="EKG25" t="s">
        <v>6984</v>
      </c>
      <c r="EKH25" t="s">
        <v>6984</v>
      </c>
      <c r="EKI25" t="s">
        <v>6984</v>
      </c>
      <c r="EKJ25" t="s">
        <v>6984</v>
      </c>
      <c r="EKK25" t="s">
        <v>6984</v>
      </c>
      <c r="EKL25" t="s">
        <v>6984</v>
      </c>
      <c r="EKM25" t="s">
        <v>6984</v>
      </c>
      <c r="EKN25" t="s">
        <v>6984</v>
      </c>
      <c r="EKO25" t="s">
        <v>6984</v>
      </c>
      <c r="EKP25" t="s">
        <v>6984</v>
      </c>
      <c r="EKQ25" t="s">
        <v>6984</v>
      </c>
      <c r="EKR25" t="s">
        <v>6984</v>
      </c>
      <c r="EKS25" t="s">
        <v>6984</v>
      </c>
      <c r="EKT25" t="s">
        <v>6984</v>
      </c>
      <c r="EKU25" t="s">
        <v>6984</v>
      </c>
      <c r="EKV25" t="s">
        <v>6984</v>
      </c>
      <c r="EKW25" t="s">
        <v>6984</v>
      </c>
      <c r="EKX25" t="s">
        <v>6984</v>
      </c>
      <c r="EKY25" t="s">
        <v>6984</v>
      </c>
      <c r="EKZ25" t="s">
        <v>6984</v>
      </c>
      <c r="ELA25" t="s">
        <v>6984</v>
      </c>
      <c r="ELB25" t="s">
        <v>6984</v>
      </c>
      <c r="ELC25" t="s">
        <v>6984</v>
      </c>
      <c r="ELD25" t="s">
        <v>6984</v>
      </c>
      <c r="ELE25" t="s">
        <v>6984</v>
      </c>
      <c r="ELF25" t="s">
        <v>6984</v>
      </c>
      <c r="ELG25" t="s">
        <v>6984</v>
      </c>
      <c r="ELH25" t="s">
        <v>6984</v>
      </c>
      <c r="ELI25" t="s">
        <v>6984</v>
      </c>
      <c r="ELJ25" t="s">
        <v>6984</v>
      </c>
      <c r="ELK25" t="s">
        <v>6984</v>
      </c>
      <c r="ELL25" t="s">
        <v>6984</v>
      </c>
      <c r="ELM25" t="s">
        <v>6984</v>
      </c>
      <c r="ELN25" t="s">
        <v>6984</v>
      </c>
      <c r="ELO25" t="s">
        <v>6984</v>
      </c>
      <c r="ELP25" t="s">
        <v>6984</v>
      </c>
      <c r="ELQ25" t="s">
        <v>6984</v>
      </c>
      <c r="ELR25" t="s">
        <v>6984</v>
      </c>
      <c r="ELS25" t="s">
        <v>6984</v>
      </c>
      <c r="ELT25" t="s">
        <v>6984</v>
      </c>
      <c r="ELU25" t="s">
        <v>6984</v>
      </c>
      <c r="ELV25" t="s">
        <v>6984</v>
      </c>
      <c r="ELW25" t="s">
        <v>6984</v>
      </c>
      <c r="ELX25" t="s">
        <v>6984</v>
      </c>
      <c r="ELY25" t="s">
        <v>6984</v>
      </c>
      <c r="ELZ25" t="s">
        <v>6984</v>
      </c>
      <c r="EMA25" t="s">
        <v>6984</v>
      </c>
      <c r="EMB25" t="s">
        <v>6984</v>
      </c>
      <c r="EMC25" t="s">
        <v>6984</v>
      </c>
      <c r="EMD25" t="s">
        <v>6984</v>
      </c>
      <c r="EME25" t="s">
        <v>6984</v>
      </c>
      <c r="EMF25" t="s">
        <v>6984</v>
      </c>
      <c r="EMG25" t="s">
        <v>6984</v>
      </c>
      <c r="EMH25" t="s">
        <v>6984</v>
      </c>
      <c r="EMI25" t="s">
        <v>6984</v>
      </c>
      <c r="EMJ25" t="s">
        <v>6984</v>
      </c>
      <c r="EMK25" t="s">
        <v>6984</v>
      </c>
      <c r="EML25" t="s">
        <v>6984</v>
      </c>
      <c r="EMM25" t="s">
        <v>6984</v>
      </c>
      <c r="EMN25" t="s">
        <v>6984</v>
      </c>
      <c r="EMO25" t="s">
        <v>6984</v>
      </c>
      <c r="EMP25" t="s">
        <v>6984</v>
      </c>
      <c r="EMQ25" t="s">
        <v>6984</v>
      </c>
      <c r="EMR25" t="s">
        <v>6984</v>
      </c>
      <c r="EMS25" t="s">
        <v>6984</v>
      </c>
      <c r="EMT25" t="s">
        <v>6984</v>
      </c>
      <c r="EMU25" t="s">
        <v>6984</v>
      </c>
      <c r="EMV25" t="s">
        <v>6984</v>
      </c>
      <c r="EMW25" t="s">
        <v>6984</v>
      </c>
      <c r="EMX25" t="s">
        <v>6984</v>
      </c>
      <c r="EMY25" t="s">
        <v>6984</v>
      </c>
      <c r="EMZ25" t="s">
        <v>6984</v>
      </c>
      <c r="ENA25" t="s">
        <v>6984</v>
      </c>
      <c r="ENB25" t="s">
        <v>6984</v>
      </c>
      <c r="ENC25" t="s">
        <v>6984</v>
      </c>
      <c r="END25" t="s">
        <v>6984</v>
      </c>
      <c r="ENE25" t="s">
        <v>6984</v>
      </c>
      <c r="ENF25" t="s">
        <v>6984</v>
      </c>
      <c r="ENG25" t="s">
        <v>6984</v>
      </c>
      <c r="ENH25" t="s">
        <v>6984</v>
      </c>
      <c r="ENI25" t="s">
        <v>6984</v>
      </c>
      <c r="ENJ25" t="s">
        <v>6984</v>
      </c>
      <c r="ENK25" t="s">
        <v>6984</v>
      </c>
      <c r="ENL25" t="s">
        <v>6984</v>
      </c>
      <c r="ENM25" t="s">
        <v>6984</v>
      </c>
      <c r="ENN25" t="s">
        <v>6984</v>
      </c>
      <c r="ENO25" t="s">
        <v>6984</v>
      </c>
      <c r="ENP25" t="s">
        <v>6984</v>
      </c>
      <c r="ENQ25" t="s">
        <v>6984</v>
      </c>
      <c r="ENR25" t="s">
        <v>6984</v>
      </c>
      <c r="ENS25" t="s">
        <v>6984</v>
      </c>
      <c r="ENT25" t="s">
        <v>6984</v>
      </c>
      <c r="ENU25" t="s">
        <v>6984</v>
      </c>
      <c r="ENV25" t="s">
        <v>6984</v>
      </c>
      <c r="ENW25" t="s">
        <v>6984</v>
      </c>
      <c r="ENX25" t="s">
        <v>6984</v>
      </c>
      <c r="ENY25" t="s">
        <v>6984</v>
      </c>
      <c r="ENZ25" t="s">
        <v>6984</v>
      </c>
      <c r="EOA25" t="s">
        <v>6984</v>
      </c>
      <c r="EOB25" t="s">
        <v>6984</v>
      </c>
      <c r="EOC25" t="s">
        <v>6984</v>
      </c>
      <c r="EOD25" t="s">
        <v>6984</v>
      </c>
      <c r="EOE25" t="s">
        <v>6984</v>
      </c>
      <c r="EOF25" t="s">
        <v>6984</v>
      </c>
      <c r="EOG25" t="s">
        <v>6984</v>
      </c>
      <c r="EOH25" t="s">
        <v>6984</v>
      </c>
      <c r="EOI25" t="s">
        <v>6984</v>
      </c>
      <c r="EOJ25" t="s">
        <v>6984</v>
      </c>
      <c r="EOK25" t="s">
        <v>6984</v>
      </c>
      <c r="EOL25" t="s">
        <v>6984</v>
      </c>
      <c r="EOM25" t="s">
        <v>6984</v>
      </c>
      <c r="EON25" t="s">
        <v>6984</v>
      </c>
      <c r="EOO25" t="s">
        <v>6984</v>
      </c>
      <c r="EOP25" t="s">
        <v>6984</v>
      </c>
      <c r="EOQ25" t="s">
        <v>6984</v>
      </c>
      <c r="EOR25" t="s">
        <v>6984</v>
      </c>
      <c r="EOS25" t="s">
        <v>6984</v>
      </c>
      <c r="EOT25" t="s">
        <v>6984</v>
      </c>
      <c r="EOU25" t="s">
        <v>6984</v>
      </c>
      <c r="EOV25" t="s">
        <v>6984</v>
      </c>
      <c r="EOW25" t="s">
        <v>6984</v>
      </c>
      <c r="EOX25" t="s">
        <v>6984</v>
      </c>
      <c r="EOY25" t="s">
        <v>6984</v>
      </c>
      <c r="EOZ25" t="s">
        <v>6984</v>
      </c>
      <c r="EPA25" t="s">
        <v>6984</v>
      </c>
      <c r="EPB25" t="s">
        <v>6984</v>
      </c>
      <c r="EPC25" t="s">
        <v>6984</v>
      </c>
      <c r="EPD25" t="s">
        <v>6984</v>
      </c>
      <c r="EPE25" t="s">
        <v>6984</v>
      </c>
      <c r="EPF25" t="s">
        <v>6984</v>
      </c>
      <c r="EPG25" t="s">
        <v>6984</v>
      </c>
      <c r="EPH25" t="s">
        <v>6984</v>
      </c>
      <c r="EPI25" t="s">
        <v>6984</v>
      </c>
      <c r="EPJ25" t="s">
        <v>6984</v>
      </c>
      <c r="EPK25" t="s">
        <v>6984</v>
      </c>
      <c r="EPL25" t="s">
        <v>6984</v>
      </c>
      <c r="EPM25" t="s">
        <v>6984</v>
      </c>
      <c r="EPN25" t="s">
        <v>6984</v>
      </c>
      <c r="EPO25" t="s">
        <v>6984</v>
      </c>
      <c r="EPP25" t="s">
        <v>6984</v>
      </c>
      <c r="EPQ25" t="s">
        <v>6984</v>
      </c>
      <c r="EPR25" t="s">
        <v>6984</v>
      </c>
      <c r="EPS25" t="s">
        <v>6984</v>
      </c>
      <c r="EPT25" t="s">
        <v>6984</v>
      </c>
      <c r="EPU25" t="s">
        <v>6984</v>
      </c>
      <c r="EPV25" t="s">
        <v>6984</v>
      </c>
      <c r="EPW25" t="s">
        <v>6984</v>
      </c>
      <c r="EPX25" t="s">
        <v>6984</v>
      </c>
      <c r="EPY25" t="s">
        <v>6984</v>
      </c>
      <c r="EPZ25" t="s">
        <v>6984</v>
      </c>
      <c r="EQA25" t="s">
        <v>6984</v>
      </c>
      <c r="EQB25" t="s">
        <v>6984</v>
      </c>
      <c r="EQC25" t="s">
        <v>6984</v>
      </c>
      <c r="EQD25" t="s">
        <v>6984</v>
      </c>
      <c r="EQE25" t="s">
        <v>6984</v>
      </c>
      <c r="EQF25" t="s">
        <v>6984</v>
      </c>
      <c r="EQG25" t="s">
        <v>6984</v>
      </c>
      <c r="EQH25" t="s">
        <v>6984</v>
      </c>
      <c r="EQI25" t="s">
        <v>6984</v>
      </c>
      <c r="EQJ25" t="s">
        <v>6984</v>
      </c>
      <c r="EQK25" t="s">
        <v>6984</v>
      </c>
      <c r="EQL25" t="s">
        <v>6984</v>
      </c>
      <c r="EQM25" t="s">
        <v>6984</v>
      </c>
      <c r="EQN25" t="s">
        <v>6984</v>
      </c>
      <c r="EQO25" t="s">
        <v>6984</v>
      </c>
      <c r="EQP25" t="s">
        <v>6984</v>
      </c>
      <c r="EQQ25" t="s">
        <v>6984</v>
      </c>
      <c r="EQR25" t="s">
        <v>6984</v>
      </c>
      <c r="EQS25" t="s">
        <v>6984</v>
      </c>
      <c r="EQT25" t="s">
        <v>6984</v>
      </c>
      <c r="EQU25" t="s">
        <v>6984</v>
      </c>
      <c r="EQV25" t="s">
        <v>6984</v>
      </c>
      <c r="EQW25" t="s">
        <v>6984</v>
      </c>
      <c r="EQX25" t="s">
        <v>6984</v>
      </c>
      <c r="EQY25" t="s">
        <v>6984</v>
      </c>
      <c r="EQZ25" t="s">
        <v>6984</v>
      </c>
      <c r="ERA25" t="s">
        <v>6984</v>
      </c>
      <c r="ERB25" t="s">
        <v>6984</v>
      </c>
      <c r="ERC25" t="s">
        <v>6984</v>
      </c>
      <c r="ERD25" t="s">
        <v>6984</v>
      </c>
      <c r="ERE25" t="s">
        <v>6984</v>
      </c>
      <c r="ERF25" t="s">
        <v>6984</v>
      </c>
      <c r="ERG25" t="s">
        <v>6984</v>
      </c>
      <c r="ERH25" t="s">
        <v>6984</v>
      </c>
      <c r="ERI25" t="s">
        <v>6984</v>
      </c>
      <c r="ERJ25" t="s">
        <v>6984</v>
      </c>
      <c r="ERK25" t="s">
        <v>6984</v>
      </c>
      <c r="ERL25" t="s">
        <v>6984</v>
      </c>
      <c r="ERM25" t="s">
        <v>6984</v>
      </c>
      <c r="ERN25" t="s">
        <v>6984</v>
      </c>
      <c r="ERO25" t="s">
        <v>6984</v>
      </c>
      <c r="ERP25" t="s">
        <v>6984</v>
      </c>
      <c r="ERQ25" t="s">
        <v>6984</v>
      </c>
      <c r="ERR25" t="s">
        <v>6984</v>
      </c>
      <c r="ERS25" t="s">
        <v>6984</v>
      </c>
      <c r="ERT25" t="s">
        <v>6984</v>
      </c>
      <c r="ERU25" t="s">
        <v>6984</v>
      </c>
      <c r="ERV25" t="s">
        <v>6984</v>
      </c>
      <c r="ERW25" t="s">
        <v>6984</v>
      </c>
      <c r="ERX25" t="s">
        <v>6984</v>
      </c>
      <c r="ERY25" t="s">
        <v>6984</v>
      </c>
      <c r="ERZ25" t="s">
        <v>6984</v>
      </c>
      <c r="ESA25" t="s">
        <v>6984</v>
      </c>
      <c r="ESB25" t="s">
        <v>6984</v>
      </c>
      <c r="ESC25" t="s">
        <v>6984</v>
      </c>
      <c r="ESD25" t="s">
        <v>6984</v>
      </c>
      <c r="ESE25" t="s">
        <v>6984</v>
      </c>
      <c r="ESF25" t="s">
        <v>6984</v>
      </c>
      <c r="ESG25" t="s">
        <v>6984</v>
      </c>
      <c r="ESH25" t="s">
        <v>6984</v>
      </c>
      <c r="ESI25" t="s">
        <v>6984</v>
      </c>
      <c r="ESJ25" t="s">
        <v>6984</v>
      </c>
      <c r="ESK25" t="s">
        <v>6984</v>
      </c>
      <c r="ESL25" t="s">
        <v>6984</v>
      </c>
      <c r="ESM25" t="s">
        <v>6984</v>
      </c>
      <c r="ESN25" t="s">
        <v>6984</v>
      </c>
      <c r="ESO25" t="s">
        <v>6984</v>
      </c>
      <c r="ESP25" t="s">
        <v>6984</v>
      </c>
      <c r="ESQ25" t="s">
        <v>6984</v>
      </c>
      <c r="ESR25" t="s">
        <v>6984</v>
      </c>
      <c r="ESS25" t="s">
        <v>6984</v>
      </c>
      <c r="EST25" t="s">
        <v>6984</v>
      </c>
      <c r="ESU25" t="s">
        <v>6984</v>
      </c>
      <c r="ESV25" t="s">
        <v>6984</v>
      </c>
      <c r="ESW25" t="s">
        <v>6984</v>
      </c>
      <c r="ESX25" t="s">
        <v>6984</v>
      </c>
      <c r="ESY25" t="s">
        <v>6984</v>
      </c>
      <c r="ESZ25" t="s">
        <v>6984</v>
      </c>
      <c r="ETA25" t="s">
        <v>6984</v>
      </c>
      <c r="ETB25" t="s">
        <v>6984</v>
      </c>
      <c r="ETC25" t="s">
        <v>6984</v>
      </c>
      <c r="ETD25" t="s">
        <v>6984</v>
      </c>
      <c r="ETE25" t="s">
        <v>6984</v>
      </c>
      <c r="ETF25" t="s">
        <v>6984</v>
      </c>
      <c r="ETG25" t="s">
        <v>6984</v>
      </c>
      <c r="ETH25" t="s">
        <v>6984</v>
      </c>
      <c r="ETI25" t="s">
        <v>6984</v>
      </c>
      <c r="ETJ25" t="s">
        <v>6984</v>
      </c>
      <c r="ETK25" t="s">
        <v>6984</v>
      </c>
      <c r="ETL25" t="s">
        <v>6984</v>
      </c>
      <c r="ETM25" t="s">
        <v>6984</v>
      </c>
      <c r="ETN25" t="s">
        <v>6984</v>
      </c>
      <c r="ETO25" t="s">
        <v>6984</v>
      </c>
      <c r="ETP25" t="s">
        <v>6984</v>
      </c>
      <c r="ETQ25" t="s">
        <v>6984</v>
      </c>
      <c r="ETR25" t="s">
        <v>6984</v>
      </c>
      <c r="ETS25" t="s">
        <v>6984</v>
      </c>
      <c r="ETT25" t="s">
        <v>6984</v>
      </c>
      <c r="ETU25" t="s">
        <v>6984</v>
      </c>
      <c r="ETV25" t="s">
        <v>6984</v>
      </c>
      <c r="ETW25" t="s">
        <v>6984</v>
      </c>
      <c r="ETX25" t="s">
        <v>6984</v>
      </c>
      <c r="ETY25" t="s">
        <v>6984</v>
      </c>
      <c r="ETZ25" t="s">
        <v>6984</v>
      </c>
      <c r="EUA25" t="s">
        <v>6984</v>
      </c>
      <c r="EUB25" t="s">
        <v>6984</v>
      </c>
      <c r="EUC25" t="s">
        <v>6984</v>
      </c>
      <c r="EUD25" t="s">
        <v>6984</v>
      </c>
      <c r="EUE25" t="s">
        <v>6984</v>
      </c>
      <c r="EUF25" t="s">
        <v>6984</v>
      </c>
      <c r="EUG25" t="s">
        <v>6984</v>
      </c>
      <c r="EUH25" t="s">
        <v>6984</v>
      </c>
      <c r="EUI25" t="s">
        <v>6984</v>
      </c>
      <c r="EUJ25" t="s">
        <v>6984</v>
      </c>
      <c r="EUK25" t="s">
        <v>6984</v>
      </c>
      <c r="EUL25" t="s">
        <v>6984</v>
      </c>
      <c r="EUM25" t="s">
        <v>6984</v>
      </c>
      <c r="EUN25" t="s">
        <v>6984</v>
      </c>
      <c r="EUO25" t="s">
        <v>6984</v>
      </c>
      <c r="EUP25" t="s">
        <v>6984</v>
      </c>
      <c r="EUQ25" t="s">
        <v>6984</v>
      </c>
      <c r="EUR25" t="s">
        <v>6984</v>
      </c>
      <c r="EUS25" t="s">
        <v>6984</v>
      </c>
      <c r="EUT25" t="s">
        <v>6984</v>
      </c>
      <c r="EUU25" t="s">
        <v>6984</v>
      </c>
      <c r="EUV25" t="s">
        <v>6984</v>
      </c>
      <c r="EUW25" t="s">
        <v>6984</v>
      </c>
      <c r="EUX25" t="s">
        <v>6984</v>
      </c>
      <c r="EUY25" t="s">
        <v>6984</v>
      </c>
      <c r="EUZ25" t="s">
        <v>6984</v>
      </c>
      <c r="EVA25" t="s">
        <v>6984</v>
      </c>
      <c r="EVB25" t="s">
        <v>6984</v>
      </c>
      <c r="EVC25" t="s">
        <v>6984</v>
      </c>
      <c r="EVD25" t="s">
        <v>6984</v>
      </c>
      <c r="EVE25" t="s">
        <v>6984</v>
      </c>
      <c r="EVF25" t="s">
        <v>6984</v>
      </c>
      <c r="EVG25" t="s">
        <v>6984</v>
      </c>
      <c r="EVH25" t="s">
        <v>6984</v>
      </c>
      <c r="EVI25" t="s">
        <v>6984</v>
      </c>
      <c r="EVJ25" t="s">
        <v>6984</v>
      </c>
      <c r="EVK25" t="s">
        <v>6984</v>
      </c>
      <c r="EVL25" t="s">
        <v>6984</v>
      </c>
      <c r="EVM25" t="s">
        <v>6984</v>
      </c>
      <c r="EVN25" t="s">
        <v>6984</v>
      </c>
      <c r="EVO25" t="s">
        <v>6984</v>
      </c>
      <c r="EVP25" t="s">
        <v>6984</v>
      </c>
      <c r="EVQ25" t="s">
        <v>6984</v>
      </c>
      <c r="EVR25" t="s">
        <v>6984</v>
      </c>
      <c r="EVS25" t="s">
        <v>6984</v>
      </c>
      <c r="EVT25" t="s">
        <v>6984</v>
      </c>
      <c r="EVU25" t="s">
        <v>6984</v>
      </c>
      <c r="EVV25" t="s">
        <v>6984</v>
      </c>
      <c r="EVW25" t="s">
        <v>6984</v>
      </c>
      <c r="EVX25" t="s">
        <v>6984</v>
      </c>
      <c r="EVY25" t="s">
        <v>6984</v>
      </c>
      <c r="EVZ25" t="s">
        <v>6984</v>
      </c>
      <c r="EWA25" t="s">
        <v>6984</v>
      </c>
      <c r="EWB25" t="s">
        <v>6984</v>
      </c>
      <c r="EWC25" t="s">
        <v>6984</v>
      </c>
      <c r="EWD25" t="s">
        <v>6984</v>
      </c>
      <c r="EWE25" t="s">
        <v>6984</v>
      </c>
      <c r="EWF25" t="s">
        <v>6984</v>
      </c>
      <c r="EWG25" t="s">
        <v>6984</v>
      </c>
      <c r="EWH25" t="s">
        <v>6984</v>
      </c>
      <c r="EWI25" t="s">
        <v>6984</v>
      </c>
      <c r="EWJ25" t="s">
        <v>6984</v>
      </c>
      <c r="EWK25" t="s">
        <v>6984</v>
      </c>
      <c r="EWL25" t="s">
        <v>6984</v>
      </c>
      <c r="EWM25" t="s">
        <v>6984</v>
      </c>
      <c r="EWN25" t="s">
        <v>6984</v>
      </c>
      <c r="EWO25" t="s">
        <v>6984</v>
      </c>
      <c r="EWP25" t="s">
        <v>6984</v>
      </c>
      <c r="EWQ25" t="s">
        <v>6984</v>
      </c>
      <c r="EWR25" t="s">
        <v>6984</v>
      </c>
      <c r="EWS25" t="s">
        <v>6984</v>
      </c>
      <c r="EWT25" t="s">
        <v>6984</v>
      </c>
      <c r="EWU25" t="s">
        <v>6984</v>
      </c>
      <c r="EWV25" t="s">
        <v>6984</v>
      </c>
      <c r="EWW25" t="s">
        <v>6984</v>
      </c>
      <c r="EWX25" t="s">
        <v>6984</v>
      </c>
      <c r="EWY25" t="s">
        <v>6984</v>
      </c>
      <c r="EWZ25" t="s">
        <v>6984</v>
      </c>
      <c r="EXA25" t="s">
        <v>6984</v>
      </c>
      <c r="EXB25" t="s">
        <v>6984</v>
      </c>
      <c r="EXC25" t="s">
        <v>6984</v>
      </c>
      <c r="EXD25" t="s">
        <v>6984</v>
      </c>
      <c r="EXE25" t="s">
        <v>6984</v>
      </c>
      <c r="EXF25" t="s">
        <v>6984</v>
      </c>
      <c r="EXG25" t="s">
        <v>6984</v>
      </c>
      <c r="EXH25" t="s">
        <v>6984</v>
      </c>
      <c r="EXI25" t="s">
        <v>6984</v>
      </c>
      <c r="EXJ25" t="s">
        <v>6984</v>
      </c>
      <c r="EXK25" t="s">
        <v>6984</v>
      </c>
      <c r="EXL25" t="s">
        <v>6984</v>
      </c>
      <c r="EXM25" t="s">
        <v>6984</v>
      </c>
      <c r="EXN25" t="s">
        <v>6984</v>
      </c>
      <c r="EXO25" t="s">
        <v>6984</v>
      </c>
      <c r="EXP25" t="s">
        <v>6984</v>
      </c>
      <c r="EXQ25" t="s">
        <v>6984</v>
      </c>
      <c r="EXR25" t="s">
        <v>6984</v>
      </c>
      <c r="EXS25" t="s">
        <v>6984</v>
      </c>
      <c r="EXT25" t="s">
        <v>6984</v>
      </c>
      <c r="EXU25" t="s">
        <v>6984</v>
      </c>
      <c r="EXV25" t="s">
        <v>6984</v>
      </c>
      <c r="EXW25" t="s">
        <v>6984</v>
      </c>
      <c r="EXX25" t="s">
        <v>6984</v>
      </c>
      <c r="EXY25" t="s">
        <v>6984</v>
      </c>
      <c r="EXZ25" t="s">
        <v>6984</v>
      </c>
      <c r="EYA25" t="s">
        <v>6984</v>
      </c>
      <c r="EYB25" t="s">
        <v>6984</v>
      </c>
      <c r="EYC25" t="s">
        <v>6984</v>
      </c>
      <c r="EYD25" t="s">
        <v>6984</v>
      </c>
      <c r="EYE25" t="s">
        <v>6984</v>
      </c>
      <c r="EYF25" t="s">
        <v>6984</v>
      </c>
      <c r="EYG25" t="s">
        <v>6984</v>
      </c>
      <c r="EYH25" t="s">
        <v>6984</v>
      </c>
      <c r="EYI25" t="s">
        <v>6984</v>
      </c>
      <c r="EYJ25" t="s">
        <v>6984</v>
      </c>
      <c r="EYK25" t="s">
        <v>6984</v>
      </c>
      <c r="EYL25" t="s">
        <v>6984</v>
      </c>
      <c r="EYM25" t="s">
        <v>6984</v>
      </c>
      <c r="EYN25" t="s">
        <v>6984</v>
      </c>
      <c r="EYO25" t="s">
        <v>6984</v>
      </c>
      <c r="EYP25" t="s">
        <v>6984</v>
      </c>
      <c r="EYQ25" t="s">
        <v>6984</v>
      </c>
      <c r="EYR25" t="s">
        <v>6984</v>
      </c>
      <c r="EYS25" t="s">
        <v>6984</v>
      </c>
      <c r="EYT25" t="s">
        <v>6984</v>
      </c>
      <c r="EYU25" t="s">
        <v>6984</v>
      </c>
      <c r="EYV25" t="s">
        <v>6984</v>
      </c>
      <c r="EYW25" t="s">
        <v>6984</v>
      </c>
      <c r="EYX25" t="s">
        <v>6984</v>
      </c>
      <c r="EYY25" t="s">
        <v>6984</v>
      </c>
      <c r="EYZ25" t="s">
        <v>6984</v>
      </c>
      <c r="EZA25" t="s">
        <v>6984</v>
      </c>
      <c r="EZB25" t="s">
        <v>6984</v>
      </c>
      <c r="EZC25" t="s">
        <v>6984</v>
      </c>
      <c r="EZD25" t="s">
        <v>6984</v>
      </c>
      <c r="EZE25" t="s">
        <v>6984</v>
      </c>
      <c r="EZF25" t="s">
        <v>6984</v>
      </c>
      <c r="EZG25" t="s">
        <v>6984</v>
      </c>
      <c r="EZH25" t="s">
        <v>6984</v>
      </c>
      <c r="EZI25" t="s">
        <v>6984</v>
      </c>
      <c r="EZJ25" t="s">
        <v>6984</v>
      </c>
      <c r="EZK25" t="s">
        <v>6984</v>
      </c>
      <c r="EZL25" t="s">
        <v>6984</v>
      </c>
      <c r="EZM25" t="s">
        <v>6984</v>
      </c>
      <c r="EZN25" t="s">
        <v>6984</v>
      </c>
      <c r="EZO25" t="s">
        <v>6984</v>
      </c>
      <c r="EZP25" t="s">
        <v>6984</v>
      </c>
      <c r="EZQ25" t="s">
        <v>6984</v>
      </c>
      <c r="EZR25" t="s">
        <v>6984</v>
      </c>
      <c r="EZS25" t="s">
        <v>6984</v>
      </c>
      <c r="EZT25" t="s">
        <v>6984</v>
      </c>
      <c r="EZU25" t="s">
        <v>6984</v>
      </c>
      <c r="EZV25" t="s">
        <v>6984</v>
      </c>
      <c r="EZW25" t="s">
        <v>6984</v>
      </c>
      <c r="EZX25" t="s">
        <v>6984</v>
      </c>
      <c r="EZY25" t="s">
        <v>6984</v>
      </c>
      <c r="EZZ25" t="s">
        <v>6984</v>
      </c>
      <c r="FAA25" t="s">
        <v>6984</v>
      </c>
      <c r="FAB25" t="s">
        <v>6984</v>
      </c>
      <c r="FAC25" t="s">
        <v>6984</v>
      </c>
      <c r="FAD25" t="s">
        <v>6984</v>
      </c>
      <c r="FAE25" t="s">
        <v>6984</v>
      </c>
      <c r="FAF25" t="s">
        <v>6984</v>
      </c>
      <c r="FAG25" t="s">
        <v>6984</v>
      </c>
      <c r="FAH25" t="s">
        <v>6984</v>
      </c>
      <c r="FAI25" t="s">
        <v>6984</v>
      </c>
      <c r="FAJ25" t="s">
        <v>6984</v>
      </c>
      <c r="FAK25" t="s">
        <v>6984</v>
      </c>
      <c r="FAL25" t="s">
        <v>6984</v>
      </c>
      <c r="FAM25" t="s">
        <v>6984</v>
      </c>
      <c r="FAN25" t="s">
        <v>6984</v>
      </c>
      <c r="FAO25" t="s">
        <v>6984</v>
      </c>
      <c r="FAP25" t="s">
        <v>6984</v>
      </c>
      <c r="FAQ25" t="s">
        <v>6984</v>
      </c>
      <c r="FAR25" t="s">
        <v>6984</v>
      </c>
      <c r="FAS25" t="s">
        <v>6984</v>
      </c>
      <c r="FAT25" t="s">
        <v>6984</v>
      </c>
      <c r="FAU25" t="s">
        <v>6984</v>
      </c>
      <c r="FAV25" t="s">
        <v>6984</v>
      </c>
      <c r="FAW25" t="s">
        <v>6984</v>
      </c>
      <c r="FAX25" t="s">
        <v>6984</v>
      </c>
      <c r="FAY25" t="s">
        <v>6984</v>
      </c>
      <c r="FAZ25" t="s">
        <v>6984</v>
      </c>
      <c r="FBA25" t="s">
        <v>6984</v>
      </c>
      <c r="FBB25" t="s">
        <v>6984</v>
      </c>
      <c r="FBC25" t="s">
        <v>6984</v>
      </c>
      <c r="FBD25" t="s">
        <v>6984</v>
      </c>
      <c r="FBE25" t="s">
        <v>6984</v>
      </c>
      <c r="FBF25" t="s">
        <v>6984</v>
      </c>
      <c r="FBG25" t="s">
        <v>6984</v>
      </c>
      <c r="FBH25" t="s">
        <v>6984</v>
      </c>
      <c r="FBI25" t="s">
        <v>6984</v>
      </c>
      <c r="FBJ25" t="s">
        <v>6984</v>
      </c>
      <c r="FBK25" t="s">
        <v>6984</v>
      </c>
      <c r="FBL25" t="s">
        <v>6984</v>
      </c>
      <c r="FBM25" t="s">
        <v>6984</v>
      </c>
      <c r="FBN25" t="s">
        <v>6984</v>
      </c>
      <c r="FBO25" t="s">
        <v>6984</v>
      </c>
      <c r="FBP25" t="s">
        <v>6984</v>
      </c>
      <c r="FBQ25" t="s">
        <v>6984</v>
      </c>
      <c r="FBR25" t="s">
        <v>6984</v>
      </c>
      <c r="FBS25" t="s">
        <v>6984</v>
      </c>
      <c r="FBT25" t="s">
        <v>6984</v>
      </c>
      <c r="FBU25" t="s">
        <v>6984</v>
      </c>
      <c r="FBV25" t="s">
        <v>6984</v>
      </c>
      <c r="FBW25" t="s">
        <v>6984</v>
      </c>
      <c r="FBX25" t="s">
        <v>6984</v>
      </c>
      <c r="FBY25" t="s">
        <v>6984</v>
      </c>
      <c r="FBZ25" t="s">
        <v>6984</v>
      </c>
      <c r="FCA25" t="s">
        <v>6984</v>
      </c>
      <c r="FCB25" t="s">
        <v>6984</v>
      </c>
      <c r="FCC25" t="s">
        <v>6984</v>
      </c>
      <c r="FCD25" t="s">
        <v>6984</v>
      </c>
      <c r="FCE25" t="s">
        <v>6984</v>
      </c>
      <c r="FCF25" t="s">
        <v>6984</v>
      </c>
      <c r="FCG25" t="s">
        <v>6984</v>
      </c>
      <c r="FCH25" t="s">
        <v>6984</v>
      </c>
      <c r="FCI25" t="s">
        <v>6984</v>
      </c>
      <c r="FCJ25" t="s">
        <v>6984</v>
      </c>
      <c r="FCK25" t="s">
        <v>6984</v>
      </c>
      <c r="FCL25" t="s">
        <v>6984</v>
      </c>
      <c r="FCM25" t="s">
        <v>6984</v>
      </c>
      <c r="FCN25" t="s">
        <v>6984</v>
      </c>
      <c r="FCO25" t="s">
        <v>6984</v>
      </c>
      <c r="FCP25" t="s">
        <v>6984</v>
      </c>
      <c r="FCQ25" t="s">
        <v>6984</v>
      </c>
      <c r="FCR25" t="s">
        <v>6984</v>
      </c>
      <c r="FCS25" t="s">
        <v>6984</v>
      </c>
      <c r="FCT25" t="s">
        <v>6984</v>
      </c>
      <c r="FCU25" t="s">
        <v>6984</v>
      </c>
      <c r="FCV25" t="s">
        <v>6984</v>
      </c>
      <c r="FCW25" t="s">
        <v>6984</v>
      </c>
      <c r="FCX25" t="s">
        <v>6984</v>
      </c>
      <c r="FCY25" t="s">
        <v>6984</v>
      </c>
      <c r="FCZ25" t="s">
        <v>6984</v>
      </c>
      <c r="FDA25" t="s">
        <v>6984</v>
      </c>
      <c r="FDB25" t="s">
        <v>6984</v>
      </c>
      <c r="FDC25" t="s">
        <v>6984</v>
      </c>
      <c r="FDD25" t="s">
        <v>6984</v>
      </c>
      <c r="FDE25" t="s">
        <v>6984</v>
      </c>
      <c r="FDF25" t="s">
        <v>6984</v>
      </c>
      <c r="FDG25" t="s">
        <v>6984</v>
      </c>
      <c r="FDH25" t="s">
        <v>6984</v>
      </c>
      <c r="FDI25" t="s">
        <v>6984</v>
      </c>
      <c r="FDJ25" t="s">
        <v>6984</v>
      </c>
      <c r="FDK25" t="s">
        <v>6984</v>
      </c>
      <c r="FDL25" t="s">
        <v>6984</v>
      </c>
      <c r="FDM25" t="s">
        <v>6984</v>
      </c>
      <c r="FDN25" t="s">
        <v>6984</v>
      </c>
      <c r="FDO25" t="s">
        <v>6984</v>
      </c>
      <c r="FDP25" t="s">
        <v>6984</v>
      </c>
      <c r="FDQ25" t="s">
        <v>6984</v>
      </c>
      <c r="FDR25" t="s">
        <v>6984</v>
      </c>
      <c r="FDS25" t="s">
        <v>6984</v>
      </c>
      <c r="FDT25" t="s">
        <v>6984</v>
      </c>
      <c r="FDU25" t="s">
        <v>6984</v>
      </c>
      <c r="FDV25" t="s">
        <v>6984</v>
      </c>
      <c r="FDW25" t="s">
        <v>6984</v>
      </c>
      <c r="FDX25" t="s">
        <v>6984</v>
      </c>
      <c r="FDY25" t="s">
        <v>6984</v>
      </c>
      <c r="FDZ25" t="s">
        <v>6984</v>
      </c>
      <c r="FEA25" t="s">
        <v>6984</v>
      </c>
      <c r="FEB25" t="s">
        <v>6984</v>
      </c>
      <c r="FEC25" t="s">
        <v>6984</v>
      </c>
      <c r="FED25" t="s">
        <v>6984</v>
      </c>
      <c r="FEE25" t="s">
        <v>6984</v>
      </c>
      <c r="FEF25" t="s">
        <v>6984</v>
      </c>
      <c r="FEG25" t="s">
        <v>6984</v>
      </c>
      <c r="FEH25" t="s">
        <v>6984</v>
      </c>
      <c r="FEI25" t="s">
        <v>6984</v>
      </c>
      <c r="FEJ25" t="s">
        <v>6984</v>
      </c>
      <c r="FEK25" t="s">
        <v>6984</v>
      </c>
      <c r="FEL25" t="s">
        <v>6984</v>
      </c>
      <c r="FEM25" t="s">
        <v>6984</v>
      </c>
      <c r="FEN25" t="s">
        <v>6984</v>
      </c>
      <c r="FEO25" t="s">
        <v>6984</v>
      </c>
      <c r="FEP25" t="s">
        <v>6984</v>
      </c>
      <c r="FEQ25" t="s">
        <v>6984</v>
      </c>
      <c r="FER25" t="s">
        <v>6984</v>
      </c>
      <c r="FES25" t="s">
        <v>6984</v>
      </c>
      <c r="FET25" t="s">
        <v>6984</v>
      </c>
      <c r="FEU25" t="s">
        <v>6984</v>
      </c>
      <c r="FEV25" t="s">
        <v>6984</v>
      </c>
      <c r="FEW25" t="s">
        <v>6984</v>
      </c>
      <c r="FEX25" t="s">
        <v>6984</v>
      </c>
      <c r="FEY25" t="s">
        <v>6984</v>
      </c>
      <c r="FEZ25" t="s">
        <v>6984</v>
      </c>
      <c r="FFA25" t="s">
        <v>6984</v>
      </c>
      <c r="FFB25" t="s">
        <v>6984</v>
      </c>
      <c r="FFC25" t="s">
        <v>6984</v>
      </c>
      <c r="FFD25" t="s">
        <v>6984</v>
      </c>
      <c r="FFE25" t="s">
        <v>6984</v>
      </c>
      <c r="FFF25" t="s">
        <v>6984</v>
      </c>
      <c r="FFG25" t="s">
        <v>6984</v>
      </c>
      <c r="FFH25" t="s">
        <v>6984</v>
      </c>
      <c r="FFI25" t="s">
        <v>6984</v>
      </c>
      <c r="FFJ25" t="s">
        <v>6984</v>
      </c>
      <c r="FFK25" t="s">
        <v>6984</v>
      </c>
      <c r="FFL25" t="s">
        <v>6984</v>
      </c>
      <c r="FFM25" t="s">
        <v>6984</v>
      </c>
      <c r="FFN25" t="s">
        <v>6984</v>
      </c>
      <c r="FFO25" t="s">
        <v>6984</v>
      </c>
      <c r="FFP25" t="s">
        <v>6984</v>
      </c>
      <c r="FFQ25" t="s">
        <v>6984</v>
      </c>
      <c r="FFR25" t="s">
        <v>6984</v>
      </c>
      <c r="FFS25" t="s">
        <v>6984</v>
      </c>
      <c r="FFT25" t="s">
        <v>6984</v>
      </c>
      <c r="FFU25" t="s">
        <v>6984</v>
      </c>
      <c r="FFV25" t="s">
        <v>6984</v>
      </c>
      <c r="FFW25" t="s">
        <v>6984</v>
      </c>
      <c r="FFX25" t="s">
        <v>6984</v>
      </c>
      <c r="FFY25" t="s">
        <v>6984</v>
      </c>
      <c r="FFZ25" t="s">
        <v>6984</v>
      </c>
      <c r="FGA25" t="s">
        <v>6984</v>
      </c>
      <c r="FGB25" t="s">
        <v>6984</v>
      </c>
      <c r="FGC25" t="s">
        <v>6984</v>
      </c>
      <c r="FGD25" t="s">
        <v>6984</v>
      </c>
      <c r="FGE25" t="s">
        <v>6984</v>
      </c>
      <c r="FGF25" t="s">
        <v>6984</v>
      </c>
      <c r="FGG25" t="s">
        <v>6984</v>
      </c>
      <c r="FGH25" t="s">
        <v>6984</v>
      </c>
      <c r="FGI25" t="s">
        <v>6984</v>
      </c>
      <c r="FGJ25" t="s">
        <v>6984</v>
      </c>
      <c r="FGK25" t="s">
        <v>6984</v>
      </c>
      <c r="FGL25" t="s">
        <v>6984</v>
      </c>
      <c r="FGM25" t="s">
        <v>6984</v>
      </c>
      <c r="FGN25" t="s">
        <v>6984</v>
      </c>
      <c r="FGO25" t="s">
        <v>6984</v>
      </c>
      <c r="FGP25" t="s">
        <v>6984</v>
      </c>
      <c r="FGQ25" t="s">
        <v>6984</v>
      </c>
      <c r="FGR25" t="s">
        <v>6984</v>
      </c>
      <c r="FGS25" t="s">
        <v>6984</v>
      </c>
      <c r="FGT25" t="s">
        <v>6984</v>
      </c>
      <c r="FGU25" t="s">
        <v>6984</v>
      </c>
      <c r="FGV25" t="s">
        <v>6984</v>
      </c>
      <c r="FGW25" t="s">
        <v>6984</v>
      </c>
      <c r="FGX25" t="s">
        <v>6984</v>
      </c>
      <c r="FGY25" t="s">
        <v>6984</v>
      </c>
      <c r="FGZ25" t="s">
        <v>6984</v>
      </c>
      <c r="FHA25" t="s">
        <v>6984</v>
      </c>
      <c r="FHB25" t="s">
        <v>6984</v>
      </c>
      <c r="FHC25" t="s">
        <v>6984</v>
      </c>
      <c r="FHD25" t="s">
        <v>6984</v>
      </c>
      <c r="FHE25" t="s">
        <v>6984</v>
      </c>
      <c r="FHF25" t="s">
        <v>6984</v>
      </c>
      <c r="FHG25" t="s">
        <v>6984</v>
      </c>
      <c r="FHH25" t="s">
        <v>6984</v>
      </c>
      <c r="FHI25" t="s">
        <v>6984</v>
      </c>
      <c r="FHJ25" t="s">
        <v>6984</v>
      </c>
      <c r="FHK25" t="s">
        <v>6984</v>
      </c>
      <c r="FHL25" t="s">
        <v>6984</v>
      </c>
      <c r="FHM25" t="s">
        <v>6984</v>
      </c>
      <c r="FHN25" t="s">
        <v>6984</v>
      </c>
      <c r="FHO25" t="s">
        <v>6984</v>
      </c>
      <c r="FHP25" t="s">
        <v>6984</v>
      </c>
      <c r="FHQ25" t="s">
        <v>6984</v>
      </c>
      <c r="FHR25" t="s">
        <v>6984</v>
      </c>
      <c r="FHS25" t="s">
        <v>6984</v>
      </c>
      <c r="FHT25" t="s">
        <v>6984</v>
      </c>
      <c r="FHU25" t="s">
        <v>6984</v>
      </c>
      <c r="FHV25" t="s">
        <v>6984</v>
      </c>
      <c r="FHW25" t="s">
        <v>6984</v>
      </c>
      <c r="FHX25" t="s">
        <v>6984</v>
      </c>
      <c r="FHY25" t="s">
        <v>6984</v>
      </c>
      <c r="FHZ25" t="s">
        <v>6984</v>
      </c>
      <c r="FIA25" t="s">
        <v>6984</v>
      </c>
      <c r="FIB25" t="s">
        <v>6984</v>
      </c>
      <c r="FIC25" t="s">
        <v>6984</v>
      </c>
      <c r="FID25" t="s">
        <v>6984</v>
      </c>
      <c r="FIE25" t="s">
        <v>6984</v>
      </c>
      <c r="FIF25" t="s">
        <v>6984</v>
      </c>
      <c r="FIG25" t="s">
        <v>6984</v>
      </c>
      <c r="FIH25" t="s">
        <v>6984</v>
      </c>
      <c r="FII25" t="s">
        <v>6984</v>
      </c>
      <c r="FIJ25" t="s">
        <v>6984</v>
      </c>
      <c r="FIK25" t="s">
        <v>6984</v>
      </c>
      <c r="FIL25" t="s">
        <v>6984</v>
      </c>
      <c r="FIM25" t="s">
        <v>6984</v>
      </c>
      <c r="FIN25" t="s">
        <v>6984</v>
      </c>
      <c r="FIO25" t="s">
        <v>6984</v>
      </c>
      <c r="FIP25" t="s">
        <v>6984</v>
      </c>
      <c r="FIQ25" t="s">
        <v>6984</v>
      </c>
      <c r="FIR25" t="s">
        <v>6984</v>
      </c>
      <c r="FIS25" t="s">
        <v>6984</v>
      </c>
      <c r="FIT25" t="s">
        <v>6984</v>
      </c>
      <c r="FIU25" t="s">
        <v>6984</v>
      </c>
      <c r="FIV25" t="s">
        <v>6984</v>
      </c>
      <c r="FIW25" t="s">
        <v>6984</v>
      </c>
      <c r="FIX25" t="s">
        <v>6984</v>
      </c>
      <c r="FIY25" t="s">
        <v>6984</v>
      </c>
      <c r="FIZ25" t="s">
        <v>6984</v>
      </c>
      <c r="FJA25" t="s">
        <v>6984</v>
      </c>
      <c r="FJB25" t="s">
        <v>6984</v>
      </c>
      <c r="FJC25" t="s">
        <v>6984</v>
      </c>
      <c r="FJD25" t="s">
        <v>6984</v>
      </c>
      <c r="FJE25" t="s">
        <v>6984</v>
      </c>
      <c r="FJF25" t="s">
        <v>6984</v>
      </c>
      <c r="FJG25" t="s">
        <v>6984</v>
      </c>
      <c r="FJH25" t="s">
        <v>6984</v>
      </c>
      <c r="FJI25" t="s">
        <v>6984</v>
      </c>
      <c r="FJJ25" t="s">
        <v>6984</v>
      </c>
      <c r="FJK25" t="s">
        <v>6984</v>
      </c>
      <c r="FJL25" t="s">
        <v>6984</v>
      </c>
      <c r="FJM25" t="s">
        <v>6984</v>
      </c>
      <c r="FJN25" t="s">
        <v>6984</v>
      </c>
      <c r="FJO25" t="s">
        <v>6984</v>
      </c>
      <c r="FJP25" t="s">
        <v>6984</v>
      </c>
      <c r="FJQ25" t="s">
        <v>6984</v>
      </c>
      <c r="FJR25" t="s">
        <v>6984</v>
      </c>
      <c r="FJS25" t="s">
        <v>6984</v>
      </c>
      <c r="FJT25" t="s">
        <v>6984</v>
      </c>
      <c r="FJU25" t="s">
        <v>6984</v>
      </c>
      <c r="FJV25" t="s">
        <v>6984</v>
      </c>
      <c r="FJW25" t="s">
        <v>6984</v>
      </c>
      <c r="FJX25" t="s">
        <v>6984</v>
      </c>
      <c r="FJY25" t="s">
        <v>6984</v>
      </c>
      <c r="FJZ25" t="s">
        <v>6984</v>
      </c>
      <c r="FKA25" t="s">
        <v>6984</v>
      </c>
      <c r="FKB25" t="s">
        <v>6984</v>
      </c>
      <c r="FKC25" t="s">
        <v>6984</v>
      </c>
      <c r="FKD25" t="s">
        <v>6984</v>
      </c>
      <c r="FKE25" t="s">
        <v>6984</v>
      </c>
      <c r="FKF25" t="s">
        <v>6984</v>
      </c>
      <c r="FKG25" t="s">
        <v>6984</v>
      </c>
      <c r="FKH25" t="s">
        <v>6984</v>
      </c>
      <c r="FKI25" t="s">
        <v>6984</v>
      </c>
      <c r="FKJ25" t="s">
        <v>6984</v>
      </c>
      <c r="FKK25" t="s">
        <v>6984</v>
      </c>
      <c r="FKL25" t="s">
        <v>6984</v>
      </c>
      <c r="FKM25" t="s">
        <v>6984</v>
      </c>
      <c r="FKN25" t="s">
        <v>6984</v>
      </c>
      <c r="FKO25" t="s">
        <v>6984</v>
      </c>
      <c r="FKP25" t="s">
        <v>6984</v>
      </c>
      <c r="FKQ25" t="s">
        <v>6984</v>
      </c>
      <c r="FKR25" t="s">
        <v>6984</v>
      </c>
      <c r="FKS25" t="s">
        <v>6984</v>
      </c>
      <c r="FKT25" t="s">
        <v>6984</v>
      </c>
      <c r="FKU25" t="s">
        <v>6984</v>
      </c>
      <c r="FKV25" t="s">
        <v>6984</v>
      </c>
      <c r="FKW25" t="s">
        <v>6984</v>
      </c>
      <c r="FKX25" t="s">
        <v>6984</v>
      </c>
      <c r="FKY25" t="s">
        <v>6984</v>
      </c>
      <c r="FKZ25" t="s">
        <v>6984</v>
      </c>
      <c r="FLA25" t="s">
        <v>6984</v>
      </c>
      <c r="FLB25" t="s">
        <v>6984</v>
      </c>
      <c r="FLC25" t="s">
        <v>6984</v>
      </c>
      <c r="FLD25" t="s">
        <v>6984</v>
      </c>
      <c r="FLE25" t="s">
        <v>6984</v>
      </c>
      <c r="FLF25" t="s">
        <v>6984</v>
      </c>
      <c r="FLG25" t="s">
        <v>6984</v>
      </c>
      <c r="FLH25" t="s">
        <v>6984</v>
      </c>
      <c r="FLI25" t="s">
        <v>6984</v>
      </c>
      <c r="FLJ25" t="s">
        <v>6984</v>
      </c>
      <c r="FLK25" t="s">
        <v>6984</v>
      </c>
      <c r="FLL25" t="s">
        <v>6984</v>
      </c>
      <c r="FLM25" t="s">
        <v>6984</v>
      </c>
      <c r="FLN25" t="s">
        <v>6984</v>
      </c>
      <c r="FLO25" t="s">
        <v>6984</v>
      </c>
      <c r="FLP25" t="s">
        <v>6984</v>
      </c>
      <c r="FLQ25" t="s">
        <v>6984</v>
      </c>
      <c r="FLR25" t="s">
        <v>6984</v>
      </c>
      <c r="FLS25" t="s">
        <v>6984</v>
      </c>
      <c r="FLT25" t="s">
        <v>6984</v>
      </c>
      <c r="FLU25" t="s">
        <v>6984</v>
      </c>
      <c r="FLV25" t="s">
        <v>6984</v>
      </c>
      <c r="FLW25" t="s">
        <v>6984</v>
      </c>
      <c r="FLX25" t="s">
        <v>6984</v>
      </c>
      <c r="FLY25" t="s">
        <v>6984</v>
      </c>
      <c r="FLZ25" t="s">
        <v>6984</v>
      </c>
      <c r="FMA25" t="s">
        <v>6984</v>
      </c>
      <c r="FMB25" t="s">
        <v>6984</v>
      </c>
      <c r="FMC25" t="s">
        <v>6984</v>
      </c>
      <c r="FMD25" t="s">
        <v>6984</v>
      </c>
      <c r="FME25" t="s">
        <v>6984</v>
      </c>
      <c r="FMF25" t="s">
        <v>6984</v>
      </c>
      <c r="FMG25" t="s">
        <v>6984</v>
      </c>
      <c r="FMH25" t="s">
        <v>6984</v>
      </c>
      <c r="FMI25" t="s">
        <v>6984</v>
      </c>
      <c r="FMJ25" t="s">
        <v>6984</v>
      </c>
      <c r="FMK25" t="s">
        <v>6984</v>
      </c>
      <c r="FML25" t="s">
        <v>6984</v>
      </c>
      <c r="FMM25" t="s">
        <v>6984</v>
      </c>
      <c r="FMN25" t="s">
        <v>6984</v>
      </c>
      <c r="FMO25" t="s">
        <v>6984</v>
      </c>
      <c r="FMP25" t="s">
        <v>6984</v>
      </c>
      <c r="FMQ25" t="s">
        <v>6984</v>
      </c>
      <c r="FMR25" t="s">
        <v>6984</v>
      </c>
      <c r="FMS25" t="s">
        <v>6984</v>
      </c>
      <c r="FMT25" t="s">
        <v>6984</v>
      </c>
      <c r="FMU25" t="s">
        <v>6984</v>
      </c>
      <c r="FMV25" t="s">
        <v>6984</v>
      </c>
      <c r="FMW25" t="s">
        <v>6984</v>
      </c>
      <c r="FMX25" t="s">
        <v>6984</v>
      </c>
      <c r="FMY25" t="s">
        <v>6984</v>
      </c>
      <c r="FMZ25" t="s">
        <v>6984</v>
      </c>
      <c r="FNA25" t="s">
        <v>6984</v>
      </c>
      <c r="FNB25" t="s">
        <v>6984</v>
      </c>
      <c r="FNC25" t="s">
        <v>6984</v>
      </c>
      <c r="FND25" t="s">
        <v>6984</v>
      </c>
      <c r="FNE25" t="s">
        <v>6984</v>
      </c>
      <c r="FNF25" t="s">
        <v>6984</v>
      </c>
      <c r="FNG25" t="s">
        <v>6984</v>
      </c>
      <c r="FNH25" t="s">
        <v>6984</v>
      </c>
      <c r="FNI25" t="s">
        <v>6984</v>
      </c>
      <c r="FNJ25" t="s">
        <v>6984</v>
      </c>
      <c r="FNK25" t="s">
        <v>6984</v>
      </c>
      <c r="FNL25" t="s">
        <v>6984</v>
      </c>
      <c r="FNM25" t="s">
        <v>6984</v>
      </c>
      <c r="FNN25" t="s">
        <v>6984</v>
      </c>
      <c r="FNO25" t="s">
        <v>6984</v>
      </c>
      <c r="FNP25" t="s">
        <v>6984</v>
      </c>
      <c r="FNQ25" t="s">
        <v>6984</v>
      </c>
      <c r="FNR25" t="s">
        <v>6984</v>
      </c>
      <c r="FNS25" t="s">
        <v>6984</v>
      </c>
      <c r="FNT25" t="s">
        <v>6984</v>
      </c>
      <c r="FNU25" t="s">
        <v>6984</v>
      </c>
      <c r="FNV25" t="s">
        <v>6984</v>
      </c>
      <c r="FNW25" t="s">
        <v>6984</v>
      </c>
      <c r="FNX25" t="s">
        <v>6984</v>
      </c>
      <c r="FNY25" t="s">
        <v>6984</v>
      </c>
      <c r="FNZ25" t="s">
        <v>6984</v>
      </c>
      <c r="FOA25" t="s">
        <v>6984</v>
      </c>
      <c r="FOB25" t="s">
        <v>6984</v>
      </c>
      <c r="FOC25" t="s">
        <v>6984</v>
      </c>
      <c r="FOD25" t="s">
        <v>6984</v>
      </c>
      <c r="FOE25" t="s">
        <v>6984</v>
      </c>
      <c r="FOF25" t="s">
        <v>6984</v>
      </c>
      <c r="FOG25" t="s">
        <v>6984</v>
      </c>
      <c r="FOH25" t="s">
        <v>6984</v>
      </c>
      <c r="FOI25" t="s">
        <v>6984</v>
      </c>
      <c r="FOJ25" t="s">
        <v>6984</v>
      </c>
      <c r="FOK25" t="s">
        <v>6984</v>
      </c>
      <c r="FOL25" t="s">
        <v>6984</v>
      </c>
      <c r="FOM25" t="s">
        <v>6984</v>
      </c>
      <c r="FON25" t="s">
        <v>6984</v>
      </c>
      <c r="FOO25" t="s">
        <v>6984</v>
      </c>
      <c r="FOP25" t="s">
        <v>6984</v>
      </c>
      <c r="FOQ25" t="s">
        <v>6984</v>
      </c>
      <c r="FOR25" t="s">
        <v>6984</v>
      </c>
      <c r="FOS25" t="s">
        <v>6984</v>
      </c>
      <c r="FOT25" t="s">
        <v>6984</v>
      </c>
      <c r="FOU25" t="s">
        <v>6984</v>
      </c>
      <c r="FOV25" t="s">
        <v>6984</v>
      </c>
      <c r="FOW25" t="s">
        <v>6984</v>
      </c>
      <c r="FOX25" t="s">
        <v>6984</v>
      </c>
      <c r="FOY25" t="s">
        <v>6984</v>
      </c>
      <c r="FOZ25" t="s">
        <v>6984</v>
      </c>
      <c r="FPA25" t="s">
        <v>6984</v>
      </c>
      <c r="FPB25" t="s">
        <v>6984</v>
      </c>
      <c r="FPC25" t="s">
        <v>6984</v>
      </c>
      <c r="FPD25" t="s">
        <v>6984</v>
      </c>
      <c r="FPE25" t="s">
        <v>6984</v>
      </c>
      <c r="FPF25" t="s">
        <v>6984</v>
      </c>
      <c r="FPG25" t="s">
        <v>6984</v>
      </c>
      <c r="FPH25" t="s">
        <v>6984</v>
      </c>
      <c r="FPI25" t="s">
        <v>6984</v>
      </c>
      <c r="FPJ25" t="s">
        <v>6984</v>
      </c>
      <c r="FPK25" t="s">
        <v>6984</v>
      </c>
      <c r="FPL25" t="s">
        <v>6984</v>
      </c>
      <c r="FPM25" t="s">
        <v>6984</v>
      </c>
      <c r="FPN25" t="s">
        <v>6984</v>
      </c>
      <c r="FPO25" t="s">
        <v>6984</v>
      </c>
      <c r="FPP25" t="s">
        <v>6984</v>
      </c>
      <c r="FPQ25" t="s">
        <v>6984</v>
      </c>
      <c r="FPR25" t="s">
        <v>6984</v>
      </c>
      <c r="FPS25" t="s">
        <v>6984</v>
      </c>
      <c r="FPT25" t="s">
        <v>6984</v>
      </c>
      <c r="FPU25" t="s">
        <v>6984</v>
      </c>
      <c r="FPV25" t="s">
        <v>6984</v>
      </c>
      <c r="FPW25" t="s">
        <v>6984</v>
      </c>
      <c r="FPX25" t="s">
        <v>6984</v>
      </c>
      <c r="FPY25" t="s">
        <v>6984</v>
      </c>
      <c r="FPZ25" t="s">
        <v>6984</v>
      </c>
      <c r="FQA25" t="s">
        <v>6984</v>
      </c>
      <c r="FQB25" t="s">
        <v>6984</v>
      </c>
      <c r="FQC25" t="s">
        <v>6984</v>
      </c>
      <c r="FQD25" t="s">
        <v>6984</v>
      </c>
      <c r="FQE25" t="s">
        <v>6984</v>
      </c>
      <c r="FQF25" t="s">
        <v>6984</v>
      </c>
      <c r="FQG25" t="s">
        <v>6984</v>
      </c>
      <c r="FQH25" t="s">
        <v>6984</v>
      </c>
      <c r="FQI25" t="s">
        <v>6984</v>
      </c>
      <c r="FQJ25" t="s">
        <v>6984</v>
      </c>
      <c r="FQK25" t="s">
        <v>6984</v>
      </c>
      <c r="FQL25" t="s">
        <v>6984</v>
      </c>
      <c r="FQM25" t="s">
        <v>6984</v>
      </c>
      <c r="FQN25" t="s">
        <v>6984</v>
      </c>
      <c r="FQO25" t="s">
        <v>6984</v>
      </c>
      <c r="FQP25" t="s">
        <v>6984</v>
      </c>
      <c r="FQQ25" t="s">
        <v>6984</v>
      </c>
      <c r="FQR25" t="s">
        <v>6984</v>
      </c>
      <c r="FQS25" t="s">
        <v>6984</v>
      </c>
      <c r="FQT25" t="s">
        <v>6984</v>
      </c>
      <c r="FQU25" t="s">
        <v>6984</v>
      </c>
      <c r="FQV25" t="s">
        <v>6984</v>
      </c>
      <c r="FQW25" t="s">
        <v>6984</v>
      </c>
      <c r="FQX25" t="s">
        <v>6984</v>
      </c>
      <c r="FQY25" t="s">
        <v>6984</v>
      </c>
      <c r="FQZ25" t="s">
        <v>6984</v>
      </c>
      <c r="FRA25" t="s">
        <v>6984</v>
      </c>
      <c r="FRB25" t="s">
        <v>6984</v>
      </c>
      <c r="FRC25" t="s">
        <v>6984</v>
      </c>
      <c r="FRD25" t="s">
        <v>6984</v>
      </c>
      <c r="FRE25" t="s">
        <v>6984</v>
      </c>
      <c r="FRF25" t="s">
        <v>6984</v>
      </c>
      <c r="FRG25" t="s">
        <v>6984</v>
      </c>
      <c r="FRH25" t="s">
        <v>6984</v>
      </c>
      <c r="FRI25" t="s">
        <v>6984</v>
      </c>
      <c r="FRJ25" t="s">
        <v>6984</v>
      </c>
      <c r="FRK25" t="s">
        <v>6984</v>
      </c>
      <c r="FRL25" t="s">
        <v>6984</v>
      </c>
      <c r="FRM25" t="s">
        <v>6984</v>
      </c>
      <c r="FRN25" t="s">
        <v>6984</v>
      </c>
      <c r="FRO25" t="s">
        <v>6984</v>
      </c>
      <c r="FRP25" t="s">
        <v>6984</v>
      </c>
      <c r="FRQ25" t="s">
        <v>6984</v>
      </c>
      <c r="FRR25" t="s">
        <v>6984</v>
      </c>
      <c r="FRS25" t="s">
        <v>6984</v>
      </c>
      <c r="FRT25" t="s">
        <v>6984</v>
      </c>
      <c r="FRU25" t="s">
        <v>6984</v>
      </c>
      <c r="FRV25" t="s">
        <v>6984</v>
      </c>
      <c r="FRW25" t="s">
        <v>6984</v>
      </c>
      <c r="FRX25" t="s">
        <v>6984</v>
      </c>
      <c r="FRY25" t="s">
        <v>6984</v>
      </c>
      <c r="FRZ25" t="s">
        <v>6984</v>
      </c>
      <c r="FSA25" t="s">
        <v>6984</v>
      </c>
      <c r="FSB25" t="s">
        <v>6984</v>
      </c>
      <c r="FSC25" t="s">
        <v>6984</v>
      </c>
      <c r="FSD25" t="s">
        <v>6984</v>
      </c>
      <c r="FSE25" t="s">
        <v>6984</v>
      </c>
      <c r="FSF25" t="s">
        <v>6984</v>
      </c>
      <c r="FSG25" t="s">
        <v>6984</v>
      </c>
      <c r="FSH25" t="s">
        <v>6984</v>
      </c>
      <c r="FSI25" t="s">
        <v>6984</v>
      </c>
      <c r="FSJ25" t="s">
        <v>6984</v>
      </c>
      <c r="FSK25" t="s">
        <v>6984</v>
      </c>
      <c r="FSL25" t="s">
        <v>6984</v>
      </c>
      <c r="FSM25" t="s">
        <v>6984</v>
      </c>
      <c r="FSN25" t="s">
        <v>6984</v>
      </c>
      <c r="FSO25" t="s">
        <v>6984</v>
      </c>
      <c r="FSP25" t="s">
        <v>6984</v>
      </c>
      <c r="FSQ25" t="s">
        <v>6984</v>
      </c>
      <c r="FSR25" t="s">
        <v>6984</v>
      </c>
      <c r="FSS25" t="s">
        <v>6984</v>
      </c>
      <c r="FST25" t="s">
        <v>6984</v>
      </c>
      <c r="FSU25" t="s">
        <v>6984</v>
      </c>
      <c r="FSV25" t="s">
        <v>6984</v>
      </c>
      <c r="FSW25" t="s">
        <v>6984</v>
      </c>
      <c r="FSX25" t="s">
        <v>6984</v>
      </c>
      <c r="FSY25" t="s">
        <v>6984</v>
      </c>
      <c r="FSZ25" t="s">
        <v>6984</v>
      </c>
      <c r="FTA25" t="s">
        <v>6984</v>
      </c>
      <c r="FTB25" t="s">
        <v>6984</v>
      </c>
      <c r="FTC25" t="s">
        <v>6984</v>
      </c>
      <c r="FTD25" t="s">
        <v>6984</v>
      </c>
      <c r="FTE25" t="s">
        <v>6984</v>
      </c>
      <c r="FTF25" t="s">
        <v>6984</v>
      </c>
      <c r="FTG25" t="s">
        <v>6984</v>
      </c>
      <c r="FTH25" t="s">
        <v>6984</v>
      </c>
      <c r="FTI25" t="s">
        <v>6984</v>
      </c>
      <c r="FTJ25" t="s">
        <v>6984</v>
      </c>
      <c r="FTK25" t="s">
        <v>6984</v>
      </c>
      <c r="FTL25" t="s">
        <v>6984</v>
      </c>
      <c r="FTM25" t="s">
        <v>6984</v>
      </c>
      <c r="FTN25" t="s">
        <v>6984</v>
      </c>
      <c r="FTO25" t="s">
        <v>6984</v>
      </c>
      <c r="FTP25" t="s">
        <v>6984</v>
      </c>
      <c r="FTQ25" t="s">
        <v>6984</v>
      </c>
      <c r="FTR25" t="s">
        <v>6984</v>
      </c>
      <c r="FTS25" t="s">
        <v>6984</v>
      </c>
      <c r="FTT25" t="s">
        <v>6984</v>
      </c>
      <c r="FTU25" t="s">
        <v>6984</v>
      </c>
      <c r="FTV25" t="s">
        <v>6984</v>
      </c>
      <c r="FTW25" t="s">
        <v>6984</v>
      </c>
      <c r="FTX25" t="s">
        <v>6984</v>
      </c>
      <c r="FTY25" t="s">
        <v>6984</v>
      </c>
      <c r="FTZ25" t="s">
        <v>6984</v>
      </c>
      <c r="FUA25" t="s">
        <v>6984</v>
      </c>
      <c r="FUB25" t="s">
        <v>6984</v>
      </c>
      <c r="FUC25" t="s">
        <v>6984</v>
      </c>
      <c r="FUD25" t="s">
        <v>6984</v>
      </c>
      <c r="FUE25" t="s">
        <v>6984</v>
      </c>
      <c r="FUF25" t="s">
        <v>6984</v>
      </c>
      <c r="FUG25" t="s">
        <v>6984</v>
      </c>
      <c r="FUH25" t="s">
        <v>6984</v>
      </c>
      <c r="FUI25" t="s">
        <v>6984</v>
      </c>
      <c r="FUJ25" t="s">
        <v>6984</v>
      </c>
      <c r="FUK25" t="s">
        <v>6984</v>
      </c>
      <c r="FUL25" t="s">
        <v>6984</v>
      </c>
      <c r="FUM25" t="s">
        <v>6984</v>
      </c>
      <c r="FUN25" t="s">
        <v>6984</v>
      </c>
      <c r="FUO25" t="s">
        <v>6984</v>
      </c>
      <c r="FUP25" t="s">
        <v>6984</v>
      </c>
      <c r="FUQ25" t="s">
        <v>6984</v>
      </c>
      <c r="FUR25" t="s">
        <v>6984</v>
      </c>
      <c r="FUS25" t="s">
        <v>6984</v>
      </c>
      <c r="FUT25" t="s">
        <v>6984</v>
      </c>
      <c r="FUU25" t="s">
        <v>6984</v>
      </c>
      <c r="FUV25" t="s">
        <v>6984</v>
      </c>
      <c r="FUW25" t="s">
        <v>6984</v>
      </c>
      <c r="FUX25" t="s">
        <v>6984</v>
      </c>
      <c r="FUY25" t="s">
        <v>6984</v>
      </c>
      <c r="FUZ25" t="s">
        <v>6984</v>
      </c>
      <c r="FVA25" t="s">
        <v>6984</v>
      </c>
      <c r="FVB25" t="s">
        <v>6984</v>
      </c>
      <c r="FVC25" t="s">
        <v>6984</v>
      </c>
      <c r="FVD25" t="s">
        <v>6984</v>
      </c>
      <c r="FVE25" t="s">
        <v>6984</v>
      </c>
      <c r="FVF25" t="s">
        <v>6984</v>
      </c>
      <c r="FVG25" t="s">
        <v>6984</v>
      </c>
      <c r="FVH25" t="s">
        <v>6984</v>
      </c>
      <c r="FVI25" t="s">
        <v>6984</v>
      </c>
      <c r="FVJ25" t="s">
        <v>6984</v>
      </c>
      <c r="FVK25" t="s">
        <v>6984</v>
      </c>
      <c r="FVL25" t="s">
        <v>6984</v>
      </c>
      <c r="FVM25" t="s">
        <v>6984</v>
      </c>
      <c r="FVN25" t="s">
        <v>6984</v>
      </c>
      <c r="FVO25" t="s">
        <v>6984</v>
      </c>
      <c r="FVP25" t="s">
        <v>6984</v>
      </c>
      <c r="FVQ25" t="s">
        <v>6984</v>
      </c>
      <c r="FVR25" t="s">
        <v>6984</v>
      </c>
      <c r="FVS25" t="s">
        <v>6984</v>
      </c>
      <c r="FVT25" t="s">
        <v>6984</v>
      </c>
      <c r="FVU25" t="s">
        <v>6984</v>
      </c>
      <c r="FVV25" t="s">
        <v>6984</v>
      </c>
      <c r="FVW25" t="s">
        <v>6984</v>
      </c>
      <c r="FVX25" t="s">
        <v>6984</v>
      </c>
      <c r="FVY25" t="s">
        <v>6984</v>
      </c>
      <c r="FVZ25" t="s">
        <v>6984</v>
      </c>
      <c r="FWA25" t="s">
        <v>6984</v>
      </c>
      <c r="FWB25" t="s">
        <v>6984</v>
      </c>
      <c r="FWC25" t="s">
        <v>6984</v>
      </c>
      <c r="FWD25" t="s">
        <v>6984</v>
      </c>
      <c r="FWE25" t="s">
        <v>6984</v>
      </c>
      <c r="FWF25" t="s">
        <v>6984</v>
      </c>
      <c r="FWG25" t="s">
        <v>6984</v>
      </c>
      <c r="FWH25" t="s">
        <v>6984</v>
      </c>
      <c r="FWI25" t="s">
        <v>6984</v>
      </c>
      <c r="FWJ25" t="s">
        <v>6984</v>
      </c>
      <c r="FWK25" t="s">
        <v>6984</v>
      </c>
      <c r="FWL25" t="s">
        <v>6984</v>
      </c>
      <c r="FWM25" t="s">
        <v>6984</v>
      </c>
      <c r="FWN25" t="s">
        <v>6984</v>
      </c>
      <c r="FWO25" t="s">
        <v>6984</v>
      </c>
      <c r="FWP25" t="s">
        <v>6984</v>
      </c>
      <c r="FWQ25" t="s">
        <v>6984</v>
      </c>
      <c r="FWR25" t="s">
        <v>6984</v>
      </c>
      <c r="FWS25" t="s">
        <v>6984</v>
      </c>
      <c r="FWT25" t="s">
        <v>6984</v>
      </c>
      <c r="FWU25" t="s">
        <v>6984</v>
      </c>
      <c r="FWV25" t="s">
        <v>6984</v>
      </c>
      <c r="FWW25" t="s">
        <v>6984</v>
      </c>
      <c r="FWX25" t="s">
        <v>6984</v>
      </c>
      <c r="FWY25" t="s">
        <v>6984</v>
      </c>
      <c r="FWZ25" t="s">
        <v>6984</v>
      </c>
      <c r="FXA25" t="s">
        <v>6984</v>
      </c>
      <c r="FXB25" t="s">
        <v>6984</v>
      </c>
      <c r="FXC25" t="s">
        <v>6984</v>
      </c>
      <c r="FXD25" t="s">
        <v>6984</v>
      </c>
      <c r="FXE25" t="s">
        <v>6984</v>
      </c>
      <c r="FXF25" t="s">
        <v>6984</v>
      </c>
      <c r="FXG25" t="s">
        <v>6984</v>
      </c>
      <c r="FXH25" t="s">
        <v>6984</v>
      </c>
      <c r="FXI25" t="s">
        <v>6984</v>
      </c>
      <c r="FXJ25" t="s">
        <v>6984</v>
      </c>
      <c r="FXK25" t="s">
        <v>6984</v>
      </c>
      <c r="FXL25" t="s">
        <v>6984</v>
      </c>
      <c r="FXM25" t="s">
        <v>6984</v>
      </c>
      <c r="FXN25" t="s">
        <v>6984</v>
      </c>
      <c r="FXO25" t="s">
        <v>6984</v>
      </c>
      <c r="FXP25" t="s">
        <v>6984</v>
      </c>
      <c r="FXQ25" t="s">
        <v>6984</v>
      </c>
      <c r="FXR25" t="s">
        <v>6984</v>
      </c>
      <c r="FXS25" t="s">
        <v>6984</v>
      </c>
      <c r="FXT25" t="s">
        <v>6984</v>
      </c>
      <c r="FXU25" t="s">
        <v>6984</v>
      </c>
      <c r="FXV25" t="s">
        <v>6984</v>
      </c>
      <c r="FXW25" t="s">
        <v>6984</v>
      </c>
      <c r="FXX25" t="s">
        <v>6984</v>
      </c>
      <c r="FXY25" t="s">
        <v>6984</v>
      </c>
      <c r="FXZ25" t="s">
        <v>6984</v>
      </c>
      <c r="FYA25" t="s">
        <v>6984</v>
      </c>
      <c r="FYB25" t="s">
        <v>6984</v>
      </c>
      <c r="FYC25" t="s">
        <v>6984</v>
      </c>
      <c r="FYD25" t="s">
        <v>6984</v>
      </c>
      <c r="FYE25" t="s">
        <v>6984</v>
      </c>
      <c r="FYF25" t="s">
        <v>6984</v>
      </c>
      <c r="FYG25" t="s">
        <v>6984</v>
      </c>
      <c r="FYH25" t="s">
        <v>6984</v>
      </c>
      <c r="FYI25" t="s">
        <v>6984</v>
      </c>
      <c r="FYJ25" t="s">
        <v>6984</v>
      </c>
      <c r="FYK25" t="s">
        <v>6984</v>
      </c>
      <c r="FYL25" t="s">
        <v>6984</v>
      </c>
      <c r="FYM25" t="s">
        <v>6984</v>
      </c>
      <c r="FYN25" t="s">
        <v>6984</v>
      </c>
      <c r="FYO25" t="s">
        <v>6984</v>
      </c>
      <c r="FYP25" t="s">
        <v>6984</v>
      </c>
      <c r="FYQ25" t="s">
        <v>6984</v>
      </c>
      <c r="FYR25" t="s">
        <v>6984</v>
      </c>
      <c r="FYS25" t="s">
        <v>6984</v>
      </c>
      <c r="FYT25" t="s">
        <v>6984</v>
      </c>
      <c r="FYU25" t="s">
        <v>6984</v>
      </c>
      <c r="FYV25" t="s">
        <v>6984</v>
      </c>
      <c r="FYW25" t="s">
        <v>6984</v>
      </c>
      <c r="FYX25" t="s">
        <v>6984</v>
      </c>
      <c r="FYY25" t="s">
        <v>6984</v>
      </c>
      <c r="FYZ25" t="s">
        <v>6984</v>
      </c>
      <c r="FZA25" t="s">
        <v>6984</v>
      </c>
      <c r="FZB25" t="s">
        <v>6984</v>
      </c>
      <c r="FZC25" t="s">
        <v>6984</v>
      </c>
      <c r="FZD25" t="s">
        <v>6984</v>
      </c>
      <c r="FZE25" t="s">
        <v>6984</v>
      </c>
      <c r="FZF25" t="s">
        <v>6984</v>
      </c>
      <c r="FZG25" t="s">
        <v>6984</v>
      </c>
      <c r="FZH25" t="s">
        <v>6984</v>
      </c>
      <c r="FZI25" t="s">
        <v>6984</v>
      </c>
      <c r="FZJ25" t="s">
        <v>6984</v>
      </c>
      <c r="FZK25" t="s">
        <v>6984</v>
      </c>
      <c r="FZL25" t="s">
        <v>6984</v>
      </c>
      <c r="FZM25" t="s">
        <v>6984</v>
      </c>
      <c r="FZN25" t="s">
        <v>6984</v>
      </c>
      <c r="FZO25" t="s">
        <v>6984</v>
      </c>
      <c r="FZP25" t="s">
        <v>6984</v>
      </c>
      <c r="FZQ25" t="s">
        <v>6984</v>
      </c>
      <c r="FZR25" t="s">
        <v>6984</v>
      </c>
      <c r="FZS25" t="s">
        <v>6984</v>
      </c>
      <c r="FZT25" t="s">
        <v>6984</v>
      </c>
      <c r="FZU25" t="s">
        <v>6984</v>
      </c>
      <c r="FZV25" t="s">
        <v>6984</v>
      </c>
      <c r="FZW25" t="s">
        <v>6984</v>
      </c>
      <c r="FZX25" t="s">
        <v>6984</v>
      </c>
      <c r="FZY25" t="s">
        <v>6984</v>
      </c>
      <c r="FZZ25" t="s">
        <v>6984</v>
      </c>
      <c r="GAA25" t="s">
        <v>6984</v>
      </c>
      <c r="GAB25" t="s">
        <v>6984</v>
      </c>
      <c r="GAC25" t="s">
        <v>6984</v>
      </c>
      <c r="GAD25" t="s">
        <v>6984</v>
      </c>
      <c r="GAE25" t="s">
        <v>6984</v>
      </c>
      <c r="GAF25" t="s">
        <v>6984</v>
      </c>
      <c r="GAG25" t="s">
        <v>6984</v>
      </c>
      <c r="GAH25" t="s">
        <v>6984</v>
      </c>
      <c r="GAI25" t="s">
        <v>6984</v>
      </c>
      <c r="GAJ25" t="s">
        <v>6984</v>
      </c>
      <c r="GAK25" t="s">
        <v>6984</v>
      </c>
      <c r="GAL25" t="s">
        <v>6984</v>
      </c>
      <c r="GAM25" t="s">
        <v>6984</v>
      </c>
      <c r="GAN25" t="s">
        <v>6984</v>
      </c>
      <c r="GAO25" t="s">
        <v>6984</v>
      </c>
      <c r="GAP25" t="s">
        <v>6984</v>
      </c>
      <c r="GAQ25" t="s">
        <v>6984</v>
      </c>
      <c r="GAR25" t="s">
        <v>6984</v>
      </c>
      <c r="GAS25" t="s">
        <v>6984</v>
      </c>
      <c r="GAT25" t="s">
        <v>6984</v>
      </c>
      <c r="GAU25" t="s">
        <v>6984</v>
      </c>
      <c r="GAV25" t="s">
        <v>6984</v>
      </c>
      <c r="GAW25" t="s">
        <v>6984</v>
      </c>
      <c r="GAX25" t="s">
        <v>6984</v>
      </c>
      <c r="GAY25" t="s">
        <v>6984</v>
      </c>
      <c r="GAZ25" t="s">
        <v>6984</v>
      </c>
      <c r="GBA25" t="s">
        <v>6984</v>
      </c>
      <c r="GBB25" t="s">
        <v>6984</v>
      </c>
      <c r="GBC25" t="s">
        <v>6984</v>
      </c>
      <c r="GBD25" t="s">
        <v>6984</v>
      </c>
      <c r="GBE25" t="s">
        <v>6984</v>
      </c>
      <c r="GBF25" t="s">
        <v>6984</v>
      </c>
      <c r="GBG25" t="s">
        <v>6984</v>
      </c>
      <c r="GBH25" t="s">
        <v>6984</v>
      </c>
      <c r="GBI25" t="s">
        <v>6984</v>
      </c>
      <c r="GBJ25" t="s">
        <v>6984</v>
      </c>
      <c r="GBK25" t="s">
        <v>6984</v>
      </c>
      <c r="GBL25" t="s">
        <v>6984</v>
      </c>
      <c r="GBM25" t="s">
        <v>6984</v>
      </c>
      <c r="GBN25" t="s">
        <v>6984</v>
      </c>
      <c r="GBO25" t="s">
        <v>6984</v>
      </c>
      <c r="GBP25" t="s">
        <v>6984</v>
      </c>
      <c r="GBQ25" t="s">
        <v>6984</v>
      </c>
      <c r="GBR25" t="s">
        <v>6984</v>
      </c>
      <c r="GBS25" t="s">
        <v>6984</v>
      </c>
      <c r="GBT25" t="s">
        <v>6984</v>
      </c>
      <c r="GBU25" t="s">
        <v>6984</v>
      </c>
      <c r="GBV25" t="s">
        <v>6984</v>
      </c>
      <c r="GBW25" t="s">
        <v>6984</v>
      </c>
      <c r="GBX25" t="s">
        <v>6984</v>
      </c>
      <c r="GBY25" t="s">
        <v>6984</v>
      </c>
      <c r="GBZ25" t="s">
        <v>6984</v>
      </c>
      <c r="GCA25" t="s">
        <v>6984</v>
      </c>
      <c r="GCB25" t="s">
        <v>6984</v>
      </c>
      <c r="GCC25" t="s">
        <v>6984</v>
      </c>
      <c r="GCD25" t="s">
        <v>6984</v>
      </c>
      <c r="GCE25" t="s">
        <v>6984</v>
      </c>
      <c r="GCF25" t="s">
        <v>6984</v>
      </c>
      <c r="GCG25" t="s">
        <v>6984</v>
      </c>
      <c r="GCH25" t="s">
        <v>6984</v>
      </c>
      <c r="GCI25" t="s">
        <v>6984</v>
      </c>
      <c r="GCJ25" t="s">
        <v>6984</v>
      </c>
      <c r="GCK25" t="s">
        <v>6984</v>
      </c>
      <c r="GCL25" t="s">
        <v>6984</v>
      </c>
      <c r="GCM25" t="s">
        <v>6984</v>
      </c>
      <c r="GCN25" t="s">
        <v>6984</v>
      </c>
      <c r="GCO25" t="s">
        <v>6984</v>
      </c>
      <c r="GCP25" t="s">
        <v>6984</v>
      </c>
      <c r="GCQ25" t="s">
        <v>6984</v>
      </c>
      <c r="GCR25" t="s">
        <v>6984</v>
      </c>
      <c r="GCS25" t="s">
        <v>6984</v>
      </c>
      <c r="GCT25" t="s">
        <v>6984</v>
      </c>
      <c r="GCU25" t="s">
        <v>6984</v>
      </c>
      <c r="GCV25" t="s">
        <v>6984</v>
      </c>
      <c r="GCW25" t="s">
        <v>6984</v>
      </c>
      <c r="GCX25" t="s">
        <v>6984</v>
      </c>
      <c r="GCY25" t="s">
        <v>6984</v>
      </c>
      <c r="GCZ25" t="s">
        <v>6984</v>
      </c>
      <c r="GDA25" t="s">
        <v>6984</v>
      </c>
      <c r="GDB25" t="s">
        <v>6984</v>
      </c>
      <c r="GDC25" t="s">
        <v>6984</v>
      </c>
      <c r="GDD25" t="s">
        <v>6984</v>
      </c>
      <c r="GDE25" t="s">
        <v>6984</v>
      </c>
      <c r="GDF25" t="s">
        <v>6984</v>
      </c>
      <c r="GDG25" t="s">
        <v>6984</v>
      </c>
      <c r="GDH25" t="s">
        <v>6984</v>
      </c>
      <c r="GDI25" t="s">
        <v>6984</v>
      </c>
      <c r="GDJ25" t="s">
        <v>6984</v>
      </c>
      <c r="GDK25" t="s">
        <v>6984</v>
      </c>
      <c r="GDL25" t="s">
        <v>6984</v>
      </c>
      <c r="GDM25" t="s">
        <v>6984</v>
      </c>
      <c r="GDN25" t="s">
        <v>6984</v>
      </c>
      <c r="GDO25" t="s">
        <v>6984</v>
      </c>
      <c r="GDP25" t="s">
        <v>6984</v>
      </c>
      <c r="GDQ25" t="s">
        <v>6984</v>
      </c>
      <c r="GDR25" t="s">
        <v>6984</v>
      </c>
      <c r="GDS25" t="s">
        <v>6984</v>
      </c>
      <c r="GDT25" t="s">
        <v>6984</v>
      </c>
      <c r="GDU25" t="s">
        <v>6984</v>
      </c>
      <c r="GDV25" t="s">
        <v>6984</v>
      </c>
      <c r="GDW25" t="s">
        <v>6984</v>
      </c>
      <c r="GDX25" t="s">
        <v>6984</v>
      </c>
      <c r="GDY25" t="s">
        <v>6984</v>
      </c>
      <c r="GDZ25" t="s">
        <v>6984</v>
      </c>
      <c r="GEA25" t="s">
        <v>6984</v>
      </c>
      <c r="GEB25" t="s">
        <v>6984</v>
      </c>
      <c r="GEC25" t="s">
        <v>6984</v>
      </c>
      <c r="GED25" t="s">
        <v>6984</v>
      </c>
      <c r="GEE25" t="s">
        <v>6984</v>
      </c>
      <c r="GEF25" t="s">
        <v>6984</v>
      </c>
      <c r="GEG25" t="s">
        <v>6984</v>
      </c>
      <c r="GEH25" t="s">
        <v>6984</v>
      </c>
      <c r="GEI25" t="s">
        <v>6984</v>
      </c>
      <c r="GEJ25" t="s">
        <v>6984</v>
      </c>
      <c r="GEK25" t="s">
        <v>6984</v>
      </c>
      <c r="GEL25" t="s">
        <v>6984</v>
      </c>
      <c r="GEM25" t="s">
        <v>6984</v>
      </c>
      <c r="GEN25" t="s">
        <v>6984</v>
      </c>
      <c r="GEO25" t="s">
        <v>6984</v>
      </c>
      <c r="GEP25" t="s">
        <v>6984</v>
      </c>
      <c r="GEQ25" t="s">
        <v>6984</v>
      </c>
      <c r="GER25" t="s">
        <v>6984</v>
      </c>
      <c r="GES25" t="s">
        <v>6984</v>
      </c>
      <c r="GET25" t="s">
        <v>6984</v>
      </c>
      <c r="GEU25" t="s">
        <v>6984</v>
      </c>
      <c r="GEV25" t="s">
        <v>6984</v>
      </c>
      <c r="GEW25" t="s">
        <v>6984</v>
      </c>
      <c r="GEX25" t="s">
        <v>6984</v>
      </c>
      <c r="GEY25" t="s">
        <v>6984</v>
      </c>
      <c r="GEZ25" t="s">
        <v>6984</v>
      </c>
      <c r="GFA25" t="s">
        <v>6984</v>
      </c>
      <c r="GFB25" t="s">
        <v>6984</v>
      </c>
      <c r="GFC25" t="s">
        <v>6984</v>
      </c>
      <c r="GFD25" t="s">
        <v>6984</v>
      </c>
      <c r="GFE25" t="s">
        <v>6984</v>
      </c>
      <c r="GFF25" t="s">
        <v>6984</v>
      </c>
      <c r="GFG25" t="s">
        <v>6984</v>
      </c>
      <c r="GFH25" t="s">
        <v>6984</v>
      </c>
      <c r="GFI25" t="s">
        <v>6984</v>
      </c>
      <c r="GFJ25" t="s">
        <v>6984</v>
      </c>
      <c r="GFK25" t="s">
        <v>6984</v>
      </c>
      <c r="GFL25" t="s">
        <v>6984</v>
      </c>
      <c r="GFM25" t="s">
        <v>6984</v>
      </c>
      <c r="GFN25" t="s">
        <v>6984</v>
      </c>
      <c r="GFO25" t="s">
        <v>6984</v>
      </c>
      <c r="GFP25" t="s">
        <v>6984</v>
      </c>
      <c r="GFQ25" t="s">
        <v>6984</v>
      </c>
      <c r="GFR25" t="s">
        <v>6984</v>
      </c>
      <c r="GFS25" t="s">
        <v>6984</v>
      </c>
      <c r="GFT25" t="s">
        <v>6984</v>
      </c>
      <c r="GFU25" t="s">
        <v>6984</v>
      </c>
      <c r="GFV25" t="s">
        <v>6984</v>
      </c>
      <c r="GFW25" t="s">
        <v>6984</v>
      </c>
      <c r="GFX25" t="s">
        <v>6984</v>
      </c>
      <c r="GFY25" t="s">
        <v>6984</v>
      </c>
      <c r="GFZ25" t="s">
        <v>6984</v>
      </c>
      <c r="GGA25" t="s">
        <v>6984</v>
      </c>
      <c r="GGB25" t="s">
        <v>6984</v>
      </c>
      <c r="GGC25" t="s">
        <v>6984</v>
      </c>
      <c r="GGD25" t="s">
        <v>6984</v>
      </c>
      <c r="GGE25" t="s">
        <v>6984</v>
      </c>
      <c r="GGF25" t="s">
        <v>6984</v>
      </c>
      <c r="GGG25" t="s">
        <v>6984</v>
      </c>
      <c r="GGH25" t="s">
        <v>6984</v>
      </c>
      <c r="GGI25" t="s">
        <v>6984</v>
      </c>
      <c r="GGJ25" t="s">
        <v>6984</v>
      </c>
      <c r="GGK25" t="s">
        <v>6984</v>
      </c>
      <c r="GGL25" t="s">
        <v>6984</v>
      </c>
      <c r="GGM25" t="s">
        <v>6984</v>
      </c>
      <c r="GGN25" t="s">
        <v>6984</v>
      </c>
      <c r="GGO25" t="s">
        <v>6984</v>
      </c>
      <c r="GGP25" t="s">
        <v>6984</v>
      </c>
      <c r="GGQ25" t="s">
        <v>6984</v>
      </c>
      <c r="GGR25" t="s">
        <v>6984</v>
      </c>
      <c r="GGS25" t="s">
        <v>6984</v>
      </c>
      <c r="GGT25" t="s">
        <v>6984</v>
      </c>
      <c r="GGU25" t="s">
        <v>6984</v>
      </c>
      <c r="GGV25" t="s">
        <v>6984</v>
      </c>
      <c r="GGW25" t="s">
        <v>6984</v>
      </c>
      <c r="GGX25" t="s">
        <v>6984</v>
      </c>
      <c r="GGY25" t="s">
        <v>6984</v>
      </c>
      <c r="GGZ25" t="s">
        <v>6984</v>
      </c>
      <c r="GHA25" t="s">
        <v>6984</v>
      </c>
      <c r="GHB25" t="s">
        <v>6984</v>
      </c>
      <c r="GHC25" t="s">
        <v>6984</v>
      </c>
      <c r="GHD25" t="s">
        <v>6984</v>
      </c>
      <c r="GHE25" t="s">
        <v>6984</v>
      </c>
      <c r="GHF25" t="s">
        <v>6984</v>
      </c>
      <c r="GHG25" t="s">
        <v>6984</v>
      </c>
      <c r="GHH25" t="s">
        <v>6984</v>
      </c>
      <c r="GHI25" t="s">
        <v>6984</v>
      </c>
      <c r="GHJ25" t="s">
        <v>6984</v>
      </c>
      <c r="GHK25" t="s">
        <v>6984</v>
      </c>
      <c r="GHL25" t="s">
        <v>6984</v>
      </c>
      <c r="GHM25" t="s">
        <v>6984</v>
      </c>
      <c r="GHN25" t="s">
        <v>6984</v>
      </c>
      <c r="GHO25" t="s">
        <v>6984</v>
      </c>
      <c r="GHP25" t="s">
        <v>6984</v>
      </c>
      <c r="GHQ25" t="s">
        <v>6984</v>
      </c>
      <c r="GHR25" t="s">
        <v>6984</v>
      </c>
      <c r="GHS25" t="s">
        <v>6984</v>
      </c>
      <c r="GHT25" t="s">
        <v>6984</v>
      </c>
      <c r="GHU25" t="s">
        <v>6984</v>
      </c>
      <c r="GHV25" t="s">
        <v>6984</v>
      </c>
      <c r="GHW25" t="s">
        <v>6984</v>
      </c>
      <c r="GHX25" t="s">
        <v>6984</v>
      </c>
      <c r="GHY25" t="s">
        <v>6984</v>
      </c>
      <c r="GHZ25" t="s">
        <v>6984</v>
      </c>
      <c r="GIA25" t="s">
        <v>6984</v>
      </c>
      <c r="GIB25" t="s">
        <v>6984</v>
      </c>
      <c r="GIC25" t="s">
        <v>6984</v>
      </c>
      <c r="GID25" t="s">
        <v>6984</v>
      </c>
      <c r="GIE25" t="s">
        <v>6984</v>
      </c>
      <c r="GIF25" t="s">
        <v>6984</v>
      </c>
      <c r="GIG25" t="s">
        <v>6984</v>
      </c>
      <c r="GIH25" t="s">
        <v>6984</v>
      </c>
      <c r="GII25" t="s">
        <v>6984</v>
      </c>
      <c r="GIJ25" t="s">
        <v>6984</v>
      </c>
      <c r="GIK25" t="s">
        <v>6984</v>
      </c>
      <c r="GIL25" t="s">
        <v>6984</v>
      </c>
      <c r="GIM25" t="s">
        <v>6984</v>
      </c>
      <c r="GIN25" t="s">
        <v>6984</v>
      </c>
      <c r="GIO25" t="s">
        <v>6984</v>
      </c>
      <c r="GIP25" t="s">
        <v>6984</v>
      </c>
      <c r="GIQ25" t="s">
        <v>6984</v>
      </c>
      <c r="GIR25" t="s">
        <v>6984</v>
      </c>
      <c r="GIS25" t="s">
        <v>6984</v>
      </c>
      <c r="GIT25" t="s">
        <v>6984</v>
      </c>
      <c r="GIU25" t="s">
        <v>6984</v>
      </c>
      <c r="GIV25" t="s">
        <v>6984</v>
      </c>
      <c r="GIW25" t="s">
        <v>6984</v>
      </c>
      <c r="GIX25" t="s">
        <v>6984</v>
      </c>
      <c r="GIY25" t="s">
        <v>6984</v>
      </c>
      <c r="GIZ25" t="s">
        <v>6984</v>
      </c>
      <c r="GJA25" t="s">
        <v>6984</v>
      </c>
      <c r="GJB25" t="s">
        <v>6984</v>
      </c>
      <c r="GJC25" t="s">
        <v>6984</v>
      </c>
      <c r="GJD25" t="s">
        <v>6984</v>
      </c>
      <c r="GJE25" t="s">
        <v>6984</v>
      </c>
      <c r="GJF25" t="s">
        <v>6984</v>
      </c>
      <c r="GJG25" t="s">
        <v>6984</v>
      </c>
      <c r="GJH25" t="s">
        <v>6984</v>
      </c>
      <c r="GJI25" t="s">
        <v>6984</v>
      </c>
      <c r="GJJ25" t="s">
        <v>6984</v>
      </c>
      <c r="GJK25" t="s">
        <v>6984</v>
      </c>
      <c r="GJL25" t="s">
        <v>6984</v>
      </c>
      <c r="GJM25" t="s">
        <v>6984</v>
      </c>
      <c r="GJN25" t="s">
        <v>6984</v>
      </c>
      <c r="GJO25" t="s">
        <v>6984</v>
      </c>
      <c r="GJP25" t="s">
        <v>6984</v>
      </c>
      <c r="GJQ25" t="s">
        <v>6984</v>
      </c>
      <c r="GJR25" t="s">
        <v>6984</v>
      </c>
      <c r="GJS25" t="s">
        <v>6984</v>
      </c>
      <c r="GJT25" t="s">
        <v>6984</v>
      </c>
      <c r="GJU25" t="s">
        <v>6984</v>
      </c>
      <c r="GJV25" t="s">
        <v>6984</v>
      </c>
      <c r="GJW25" t="s">
        <v>6984</v>
      </c>
      <c r="GJX25" t="s">
        <v>6984</v>
      </c>
      <c r="GJY25" t="s">
        <v>6984</v>
      </c>
      <c r="GJZ25" t="s">
        <v>6984</v>
      </c>
      <c r="GKA25" t="s">
        <v>6984</v>
      </c>
      <c r="GKB25" t="s">
        <v>6984</v>
      </c>
      <c r="GKC25" t="s">
        <v>6984</v>
      </c>
      <c r="GKD25" t="s">
        <v>6984</v>
      </c>
      <c r="GKE25" t="s">
        <v>6984</v>
      </c>
      <c r="GKF25" t="s">
        <v>6984</v>
      </c>
      <c r="GKG25" t="s">
        <v>6984</v>
      </c>
      <c r="GKH25" t="s">
        <v>6984</v>
      </c>
      <c r="GKI25" t="s">
        <v>6984</v>
      </c>
      <c r="GKJ25" t="s">
        <v>6984</v>
      </c>
      <c r="GKK25" t="s">
        <v>6984</v>
      </c>
      <c r="GKL25" t="s">
        <v>6984</v>
      </c>
      <c r="GKM25" t="s">
        <v>6984</v>
      </c>
      <c r="GKN25" t="s">
        <v>6984</v>
      </c>
      <c r="GKO25" t="s">
        <v>6984</v>
      </c>
      <c r="GKP25" t="s">
        <v>6984</v>
      </c>
      <c r="GKQ25" t="s">
        <v>6984</v>
      </c>
      <c r="GKR25" t="s">
        <v>6984</v>
      </c>
      <c r="GKS25" t="s">
        <v>6984</v>
      </c>
      <c r="GKT25" t="s">
        <v>6984</v>
      </c>
      <c r="GKU25" t="s">
        <v>6984</v>
      </c>
      <c r="GKV25" t="s">
        <v>6984</v>
      </c>
      <c r="GKW25" t="s">
        <v>6984</v>
      </c>
      <c r="GKX25" t="s">
        <v>6984</v>
      </c>
      <c r="GKY25" t="s">
        <v>6984</v>
      </c>
      <c r="GKZ25" t="s">
        <v>6984</v>
      </c>
      <c r="GLA25" t="s">
        <v>6984</v>
      </c>
      <c r="GLB25" t="s">
        <v>6984</v>
      </c>
      <c r="GLC25" t="s">
        <v>6984</v>
      </c>
      <c r="GLD25" t="s">
        <v>6984</v>
      </c>
      <c r="GLE25" t="s">
        <v>6984</v>
      </c>
      <c r="GLF25" t="s">
        <v>6984</v>
      </c>
      <c r="GLG25" t="s">
        <v>6984</v>
      </c>
      <c r="GLH25" t="s">
        <v>6984</v>
      </c>
      <c r="GLI25" t="s">
        <v>6984</v>
      </c>
      <c r="GLJ25" t="s">
        <v>6984</v>
      </c>
      <c r="GLK25" t="s">
        <v>6984</v>
      </c>
      <c r="GLL25" t="s">
        <v>6984</v>
      </c>
      <c r="GLM25" t="s">
        <v>6984</v>
      </c>
      <c r="GLN25" t="s">
        <v>6984</v>
      </c>
      <c r="GLO25" t="s">
        <v>6984</v>
      </c>
      <c r="GLP25" t="s">
        <v>6984</v>
      </c>
      <c r="GLQ25" t="s">
        <v>6984</v>
      </c>
      <c r="GLR25" t="s">
        <v>6984</v>
      </c>
      <c r="GLS25" t="s">
        <v>6984</v>
      </c>
      <c r="GLT25" t="s">
        <v>6984</v>
      </c>
      <c r="GLU25" t="s">
        <v>6984</v>
      </c>
      <c r="GLV25" t="s">
        <v>6984</v>
      </c>
      <c r="GLW25" t="s">
        <v>6984</v>
      </c>
      <c r="GLX25" t="s">
        <v>6984</v>
      </c>
      <c r="GLY25" t="s">
        <v>6984</v>
      </c>
      <c r="GLZ25" t="s">
        <v>6984</v>
      </c>
      <c r="GMA25" t="s">
        <v>6984</v>
      </c>
      <c r="GMB25" t="s">
        <v>6984</v>
      </c>
      <c r="GMC25" t="s">
        <v>6984</v>
      </c>
      <c r="GMD25" t="s">
        <v>6984</v>
      </c>
      <c r="GME25" t="s">
        <v>6984</v>
      </c>
      <c r="GMF25" t="s">
        <v>6984</v>
      </c>
      <c r="GMG25" t="s">
        <v>6984</v>
      </c>
      <c r="GMH25" t="s">
        <v>6984</v>
      </c>
      <c r="GMI25" t="s">
        <v>6984</v>
      </c>
      <c r="GMJ25" t="s">
        <v>6984</v>
      </c>
      <c r="GMK25" t="s">
        <v>6984</v>
      </c>
      <c r="GML25" t="s">
        <v>6984</v>
      </c>
      <c r="GMM25" t="s">
        <v>6984</v>
      </c>
      <c r="GMN25" t="s">
        <v>6984</v>
      </c>
      <c r="GMO25" t="s">
        <v>6984</v>
      </c>
      <c r="GMP25" t="s">
        <v>6984</v>
      </c>
      <c r="GMQ25" t="s">
        <v>6984</v>
      </c>
      <c r="GMR25" t="s">
        <v>6984</v>
      </c>
      <c r="GMS25" t="s">
        <v>6984</v>
      </c>
      <c r="GMT25" t="s">
        <v>6984</v>
      </c>
      <c r="GMU25" t="s">
        <v>6984</v>
      </c>
      <c r="GMV25" t="s">
        <v>6984</v>
      </c>
      <c r="GMW25" t="s">
        <v>6984</v>
      </c>
      <c r="GMX25" t="s">
        <v>6984</v>
      </c>
      <c r="GMY25" t="s">
        <v>6984</v>
      </c>
      <c r="GMZ25" t="s">
        <v>6984</v>
      </c>
      <c r="GNA25" t="s">
        <v>6984</v>
      </c>
      <c r="GNB25" t="s">
        <v>6984</v>
      </c>
      <c r="GNC25" t="s">
        <v>6984</v>
      </c>
      <c r="GND25" t="s">
        <v>6984</v>
      </c>
      <c r="GNE25" t="s">
        <v>6984</v>
      </c>
      <c r="GNF25" t="s">
        <v>6984</v>
      </c>
      <c r="GNG25" t="s">
        <v>6984</v>
      </c>
      <c r="GNH25" t="s">
        <v>6984</v>
      </c>
      <c r="GNI25" t="s">
        <v>6984</v>
      </c>
      <c r="GNJ25" t="s">
        <v>6984</v>
      </c>
      <c r="GNK25" t="s">
        <v>6984</v>
      </c>
      <c r="GNL25" t="s">
        <v>6984</v>
      </c>
      <c r="GNM25" t="s">
        <v>6984</v>
      </c>
      <c r="GNN25" t="s">
        <v>6984</v>
      </c>
      <c r="GNO25" t="s">
        <v>6984</v>
      </c>
      <c r="GNP25" t="s">
        <v>6984</v>
      </c>
      <c r="GNQ25" t="s">
        <v>6984</v>
      </c>
      <c r="GNR25" t="s">
        <v>6984</v>
      </c>
      <c r="GNS25" t="s">
        <v>6984</v>
      </c>
      <c r="GNT25" t="s">
        <v>6984</v>
      </c>
      <c r="GNU25" t="s">
        <v>6984</v>
      </c>
      <c r="GNV25" t="s">
        <v>6984</v>
      </c>
      <c r="GNW25" t="s">
        <v>6984</v>
      </c>
      <c r="GNX25" t="s">
        <v>6984</v>
      </c>
      <c r="GNY25" t="s">
        <v>6984</v>
      </c>
      <c r="GNZ25" t="s">
        <v>6984</v>
      </c>
      <c r="GOA25" t="s">
        <v>6984</v>
      </c>
      <c r="GOB25" t="s">
        <v>6984</v>
      </c>
      <c r="GOC25" t="s">
        <v>6984</v>
      </c>
      <c r="GOD25" t="s">
        <v>6984</v>
      </c>
      <c r="GOE25" t="s">
        <v>6984</v>
      </c>
      <c r="GOF25" t="s">
        <v>6984</v>
      </c>
      <c r="GOG25" t="s">
        <v>6984</v>
      </c>
      <c r="GOH25" t="s">
        <v>6984</v>
      </c>
      <c r="GOI25" t="s">
        <v>6984</v>
      </c>
      <c r="GOJ25" t="s">
        <v>6984</v>
      </c>
      <c r="GOK25" t="s">
        <v>6984</v>
      </c>
      <c r="GOL25" t="s">
        <v>6984</v>
      </c>
      <c r="GOM25" t="s">
        <v>6984</v>
      </c>
      <c r="GON25" t="s">
        <v>6984</v>
      </c>
      <c r="GOO25" t="s">
        <v>6984</v>
      </c>
      <c r="GOP25" t="s">
        <v>6984</v>
      </c>
      <c r="GOQ25" t="s">
        <v>6984</v>
      </c>
      <c r="GOR25" t="s">
        <v>6984</v>
      </c>
      <c r="GOS25" t="s">
        <v>6984</v>
      </c>
      <c r="GOT25" t="s">
        <v>6984</v>
      </c>
      <c r="GOU25" t="s">
        <v>6984</v>
      </c>
      <c r="GOV25" t="s">
        <v>6984</v>
      </c>
      <c r="GOW25" t="s">
        <v>6984</v>
      </c>
      <c r="GOX25" t="s">
        <v>6984</v>
      </c>
      <c r="GOY25" t="s">
        <v>6984</v>
      </c>
      <c r="GOZ25" t="s">
        <v>6984</v>
      </c>
      <c r="GPA25" t="s">
        <v>6984</v>
      </c>
      <c r="GPB25" t="s">
        <v>6984</v>
      </c>
      <c r="GPC25" t="s">
        <v>6984</v>
      </c>
      <c r="GPD25" t="s">
        <v>6984</v>
      </c>
      <c r="GPE25" t="s">
        <v>6984</v>
      </c>
      <c r="GPF25" t="s">
        <v>6984</v>
      </c>
      <c r="GPG25" t="s">
        <v>6984</v>
      </c>
      <c r="GPH25" t="s">
        <v>6984</v>
      </c>
      <c r="GPI25" t="s">
        <v>6984</v>
      </c>
      <c r="GPJ25" t="s">
        <v>6984</v>
      </c>
      <c r="GPK25" t="s">
        <v>6984</v>
      </c>
      <c r="GPL25" t="s">
        <v>6984</v>
      </c>
      <c r="GPM25" t="s">
        <v>6984</v>
      </c>
      <c r="GPN25" t="s">
        <v>6984</v>
      </c>
      <c r="GPO25" t="s">
        <v>6984</v>
      </c>
      <c r="GPP25" t="s">
        <v>6984</v>
      </c>
      <c r="GPQ25" t="s">
        <v>6984</v>
      </c>
      <c r="GPR25" t="s">
        <v>6984</v>
      </c>
      <c r="GPS25" t="s">
        <v>6984</v>
      </c>
      <c r="GPT25" t="s">
        <v>6984</v>
      </c>
      <c r="GPU25" t="s">
        <v>6984</v>
      </c>
      <c r="GPV25" t="s">
        <v>6984</v>
      </c>
      <c r="GPW25" t="s">
        <v>6984</v>
      </c>
      <c r="GPX25" t="s">
        <v>6984</v>
      </c>
      <c r="GPY25" t="s">
        <v>6984</v>
      </c>
      <c r="GPZ25" t="s">
        <v>6984</v>
      </c>
      <c r="GQA25" t="s">
        <v>6984</v>
      </c>
      <c r="GQB25" t="s">
        <v>6984</v>
      </c>
      <c r="GQC25" t="s">
        <v>6984</v>
      </c>
      <c r="GQD25" t="s">
        <v>6984</v>
      </c>
      <c r="GQE25" t="s">
        <v>6984</v>
      </c>
      <c r="GQF25" t="s">
        <v>6984</v>
      </c>
      <c r="GQG25" t="s">
        <v>6984</v>
      </c>
      <c r="GQH25" t="s">
        <v>6984</v>
      </c>
      <c r="GQI25" t="s">
        <v>6984</v>
      </c>
      <c r="GQJ25" t="s">
        <v>6984</v>
      </c>
      <c r="GQK25" t="s">
        <v>6984</v>
      </c>
      <c r="GQL25" t="s">
        <v>6984</v>
      </c>
      <c r="GQM25" t="s">
        <v>6984</v>
      </c>
      <c r="GQN25" t="s">
        <v>6984</v>
      </c>
      <c r="GQO25" t="s">
        <v>6984</v>
      </c>
      <c r="GQP25" t="s">
        <v>6984</v>
      </c>
      <c r="GQQ25" t="s">
        <v>6984</v>
      </c>
      <c r="GQR25" t="s">
        <v>6984</v>
      </c>
      <c r="GQS25" t="s">
        <v>6984</v>
      </c>
      <c r="GQT25" t="s">
        <v>6984</v>
      </c>
      <c r="GQU25" t="s">
        <v>6984</v>
      </c>
      <c r="GQV25" t="s">
        <v>6984</v>
      </c>
      <c r="GQW25" t="s">
        <v>6984</v>
      </c>
      <c r="GQX25" t="s">
        <v>6984</v>
      </c>
      <c r="GQY25" t="s">
        <v>6984</v>
      </c>
      <c r="GQZ25" t="s">
        <v>6984</v>
      </c>
      <c r="GRA25" t="s">
        <v>6984</v>
      </c>
      <c r="GRB25" t="s">
        <v>6984</v>
      </c>
      <c r="GRC25" t="s">
        <v>6984</v>
      </c>
      <c r="GRD25" t="s">
        <v>6984</v>
      </c>
      <c r="GRE25" t="s">
        <v>6984</v>
      </c>
      <c r="GRF25" t="s">
        <v>6984</v>
      </c>
      <c r="GRG25" t="s">
        <v>6984</v>
      </c>
      <c r="GRH25" t="s">
        <v>6984</v>
      </c>
      <c r="GRI25" t="s">
        <v>6984</v>
      </c>
      <c r="GRJ25" t="s">
        <v>6984</v>
      </c>
      <c r="GRK25" t="s">
        <v>6984</v>
      </c>
      <c r="GRL25" t="s">
        <v>6984</v>
      </c>
      <c r="GRM25" t="s">
        <v>6984</v>
      </c>
      <c r="GRN25" t="s">
        <v>6984</v>
      </c>
      <c r="GRO25" t="s">
        <v>6984</v>
      </c>
      <c r="GRP25" t="s">
        <v>6984</v>
      </c>
      <c r="GRQ25" t="s">
        <v>6984</v>
      </c>
      <c r="GRR25" t="s">
        <v>6984</v>
      </c>
      <c r="GRS25" t="s">
        <v>6984</v>
      </c>
      <c r="GRT25" t="s">
        <v>6984</v>
      </c>
      <c r="GRU25" t="s">
        <v>6984</v>
      </c>
      <c r="GRV25" t="s">
        <v>6984</v>
      </c>
      <c r="GRW25" t="s">
        <v>6984</v>
      </c>
      <c r="GRX25" t="s">
        <v>6984</v>
      </c>
      <c r="GRY25" t="s">
        <v>6984</v>
      </c>
      <c r="GRZ25" t="s">
        <v>6984</v>
      </c>
      <c r="GSA25" t="s">
        <v>6984</v>
      </c>
      <c r="GSB25" t="s">
        <v>6984</v>
      </c>
      <c r="GSC25" t="s">
        <v>6984</v>
      </c>
      <c r="GSD25" t="s">
        <v>6984</v>
      </c>
      <c r="GSE25" t="s">
        <v>6984</v>
      </c>
      <c r="GSF25" t="s">
        <v>6984</v>
      </c>
      <c r="GSG25" t="s">
        <v>6984</v>
      </c>
      <c r="GSH25" t="s">
        <v>6984</v>
      </c>
      <c r="GSI25" t="s">
        <v>6984</v>
      </c>
      <c r="GSJ25" t="s">
        <v>6984</v>
      </c>
      <c r="GSK25" t="s">
        <v>6984</v>
      </c>
      <c r="GSL25" t="s">
        <v>6984</v>
      </c>
      <c r="GSM25" t="s">
        <v>6984</v>
      </c>
      <c r="GSN25" t="s">
        <v>6984</v>
      </c>
      <c r="GSO25" t="s">
        <v>6984</v>
      </c>
      <c r="GSP25" t="s">
        <v>6984</v>
      </c>
      <c r="GSQ25" t="s">
        <v>6984</v>
      </c>
      <c r="GSR25" t="s">
        <v>6984</v>
      </c>
      <c r="GSS25" t="s">
        <v>6984</v>
      </c>
      <c r="GST25" t="s">
        <v>6984</v>
      </c>
      <c r="GSU25" t="s">
        <v>6984</v>
      </c>
      <c r="GSV25" t="s">
        <v>6984</v>
      </c>
      <c r="GSW25" t="s">
        <v>6984</v>
      </c>
      <c r="GSX25" t="s">
        <v>6984</v>
      </c>
      <c r="GSY25" t="s">
        <v>6984</v>
      </c>
      <c r="GSZ25" t="s">
        <v>6984</v>
      </c>
      <c r="GTA25" t="s">
        <v>6984</v>
      </c>
      <c r="GTB25" t="s">
        <v>6984</v>
      </c>
      <c r="GTC25" t="s">
        <v>6984</v>
      </c>
      <c r="GTD25" t="s">
        <v>6984</v>
      </c>
      <c r="GTE25" t="s">
        <v>6984</v>
      </c>
      <c r="GTF25" t="s">
        <v>6984</v>
      </c>
      <c r="GTG25" t="s">
        <v>6984</v>
      </c>
      <c r="GTH25" t="s">
        <v>6984</v>
      </c>
      <c r="GTI25" t="s">
        <v>6984</v>
      </c>
      <c r="GTJ25" t="s">
        <v>6984</v>
      </c>
      <c r="GTK25" t="s">
        <v>6984</v>
      </c>
      <c r="GTL25" t="s">
        <v>6984</v>
      </c>
      <c r="GTM25" t="s">
        <v>6984</v>
      </c>
      <c r="GTN25" t="s">
        <v>6984</v>
      </c>
      <c r="GTO25" t="s">
        <v>6984</v>
      </c>
      <c r="GTP25" t="s">
        <v>6984</v>
      </c>
      <c r="GTQ25" t="s">
        <v>6984</v>
      </c>
      <c r="GTR25" t="s">
        <v>6984</v>
      </c>
      <c r="GTS25" t="s">
        <v>6984</v>
      </c>
      <c r="GTT25" t="s">
        <v>6984</v>
      </c>
      <c r="GTU25" t="s">
        <v>6984</v>
      </c>
      <c r="GTV25" t="s">
        <v>6984</v>
      </c>
      <c r="GTW25" t="s">
        <v>6984</v>
      </c>
      <c r="GTX25" t="s">
        <v>6984</v>
      </c>
      <c r="GTY25" t="s">
        <v>6984</v>
      </c>
      <c r="GTZ25" t="s">
        <v>6984</v>
      </c>
      <c r="GUA25" t="s">
        <v>6984</v>
      </c>
      <c r="GUB25" t="s">
        <v>6984</v>
      </c>
      <c r="GUC25" t="s">
        <v>6984</v>
      </c>
      <c r="GUD25" t="s">
        <v>6984</v>
      </c>
      <c r="GUE25" t="s">
        <v>6984</v>
      </c>
      <c r="GUF25" t="s">
        <v>6984</v>
      </c>
      <c r="GUG25" t="s">
        <v>6984</v>
      </c>
      <c r="GUH25" t="s">
        <v>6984</v>
      </c>
      <c r="GUI25" t="s">
        <v>6984</v>
      </c>
      <c r="GUJ25" t="s">
        <v>6984</v>
      </c>
      <c r="GUK25" t="s">
        <v>6984</v>
      </c>
      <c r="GUL25" t="s">
        <v>6984</v>
      </c>
      <c r="GUM25" t="s">
        <v>6984</v>
      </c>
      <c r="GUN25" t="s">
        <v>6984</v>
      </c>
      <c r="GUO25" t="s">
        <v>6984</v>
      </c>
      <c r="GUP25" t="s">
        <v>6984</v>
      </c>
      <c r="GUQ25" t="s">
        <v>6984</v>
      </c>
      <c r="GUR25" t="s">
        <v>6984</v>
      </c>
      <c r="GUS25" t="s">
        <v>6984</v>
      </c>
      <c r="GUT25" t="s">
        <v>6984</v>
      </c>
      <c r="GUU25" t="s">
        <v>6984</v>
      </c>
      <c r="GUV25" t="s">
        <v>6984</v>
      </c>
      <c r="GUW25" t="s">
        <v>6984</v>
      </c>
      <c r="GUX25" t="s">
        <v>6984</v>
      </c>
      <c r="GUY25" t="s">
        <v>6984</v>
      </c>
      <c r="GUZ25" t="s">
        <v>6984</v>
      </c>
      <c r="GVA25" t="s">
        <v>6984</v>
      </c>
      <c r="GVB25" t="s">
        <v>6984</v>
      </c>
      <c r="GVC25" t="s">
        <v>6984</v>
      </c>
      <c r="GVD25" t="s">
        <v>6984</v>
      </c>
      <c r="GVE25" t="s">
        <v>6984</v>
      </c>
      <c r="GVF25" t="s">
        <v>6984</v>
      </c>
      <c r="GVG25" t="s">
        <v>6984</v>
      </c>
      <c r="GVH25" t="s">
        <v>6984</v>
      </c>
      <c r="GVI25" t="s">
        <v>6984</v>
      </c>
      <c r="GVJ25" t="s">
        <v>6984</v>
      </c>
      <c r="GVK25" t="s">
        <v>6984</v>
      </c>
      <c r="GVL25" t="s">
        <v>6984</v>
      </c>
      <c r="GVM25" t="s">
        <v>6984</v>
      </c>
      <c r="GVN25" t="s">
        <v>6984</v>
      </c>
      <c r="GVO25" t="s">
        <v>6984</v>
      </c>
      <c r="GVP25" t="s">
        <v>6984</v>
      </c>
      <c r="GVQ25" t="s">
        <v>6984</v>
      </c>
      <c r="GVR25" t="s">
        <v>6984</v>
      </c>
      <c r="GVS25" t="s">
        <v>6984</v>
      </c>
      <c r="GVT25" t="s">
        <v>6984</v>
      </c>
      <c r="GVU25" t="s">
        <v>6984</v>
      </c>
      <c r="GVV25" t="s">
        <v>6984</v>
      </c>
      <c r="GVW25" t="s">
        <v>6984</v>
      </c>
      <c r="GVX25" t="s">
        <v>6984</v>
      </c>
      <c r="GVY25" t="s">
        <v>6984</v>
      </c>
      <c r="GVZ25" t="s">
        <v>6984</v>
      </c>
      <c r="GWA25" t="s">
        <v>6984</v>
      </c>
      <c r="GWB25" t="s">
        <v>6984</v>
      </c>
      <c r="GWC25" t="s">
        <v>6984</v>
      </c>
      <c r="GWD25" t="s">
        <v>6984</v>
      </c>
      <c r="GWE25" t="s">
        <v>6984</v>
      </c>
      <c r="GWF25" t="s">
        <v>6984</v>
      </c>
      <c r="GWG25" t="s">
        <v>6984</v>
      </c>
      <c r="GWH25" t="s">
        <v>6984</v>
      </c>
      <c r="GWI25" t="s">
        <v>6984</v>
      </c>
      <c r="GWJ25" t="s">
        <v>6984</v>
      </c>
      <c r="GWK25" t="s">
        <v>6984</v>
      </c>
      <c r="GWL25" t="s">
        <v>6984</v>
      </c>
      <c r="GWM25" t="s">
        <v>6984</v>
      </c>
      <c r="GWN25" t="s">
        <v>6984</v>
      </c>
      <c r="GWO25" t="s">
        <v>6984</v>
      </c>
      <c r="GWP25" t="s">
        <v>6984</v>
      </c>
      <c r="GWQ25" t="s">
        <v>6984</v>
      </c>
      <c r="GWR25" t="s">
        <v>6984</v>
      </c>
      <c r="GWS25" t="s">
        <v>6984</v>
      </c>
      <c r="GWT25" t="s">
        <v>6984</v>
      </c>
      <c r="GWU25" t="s">
        <v>6984</v>
      </c>
      <c r="GWV25" t="s">
        <v>6984</v>
      </c>
      <c r="GWW25" t="s">
        <v>6984</v>
      </c>
      <c r="GWX25" t="s">
        <v>6984</v>
      </c>
      <c r="GWY25" t="s">
        <v>6984</v>
      </c>
      <c r="GWZ25" t="s">
        <v>6984</v>
      </c>
      <c r="GXA25" t="s">
        <v>6984</v>
      </c>
      <c r="GXB25" t="s">
        <v>6984</v>
      </c>
      <c r="GXC25" t="s">
        <v>6984</v>
      </c>
      <c r="GXD25" t="s">
        <v>6984</v>
      </c>
      <c r="GXE25" t="s">
        <v>6984</v>
      </c>
      <c r="GXF25" t="s">
        <v>6984</v>
      </c>
      <c r="GXG25" t="s">
        <v>6984</v>
      </c>
      <c r="GXH25" t="s">
        <v>6984</v>
      </c>
      <c r="GXI25" t="s">
        <v>6984</v>
      </c>
      <c r="GXJ25" t="s">
        <v>6984</v>
      </c>
      <c r="GXK25" t="s">
        <v>6984</v>
      </c>
      <c r="GXL25" t="s">
        <v>6984</v>
      </c>
      <c r="GXM25" t="s">
        <v>6984</v>
      </c>
      <c r="GXN25" t="s">
        <v>6984</v>
      </c>
      <c r="GXO25" t="s">
        <v>6984</v>
      </c>
      <c r="GXP25" t="s">
        <v>6984</v>
      </c>
      <c r="GXQ25" t="s">
        <v>6984</v>
      </c>
      <c r="GXR25" t="s">
        <v>6984</v>
      </c>
      <c r="GXS25" t="s">
        <v>6984</v>
      </c>
      <c r="GXT25" t="s">
        <v>6984</v>
      </c>
      <c r="GXU25" t="s">
        <v>6984</v>
      </c>
      <c r="GXV25" t="s">
        <v>6984</v>
      </c>
      <c r="GXW25" t="s">
        <v>6984</v>
      </c>
      <c r="GXX25" t="s">
        <v>6984</v>
      </c>
      <c r="GXY25" t="s">
        <v>6984</v>
      </c>
      <c r="GXZ25" t="s">
        <v>6984</v>
      </c>
      <c r="GYA25" t="s">
        <v>6984</v>
      </c>
      <c r="GYB25" t="s">
        <v>6984</v>
      </c>
      <c r="GYC25" t="s">
        <v>6984</v>
      </c>
      <c r="GYD25" t="s">
        <v>6984</v>
      </c>
      <c r="GYE25" t="s">
        <v>6984</v>
      </c>
      <c r="GYF25" t="s">
        <v>6984</v>
      </c>
      <c r="GYG25" t="s">
        <v>6984</v>
      </c>
      <c r="GYH25" t="s">
        <v>6984</v>
      </c>
      <c r="GYI25" t="s">
        <v>6984</v>
      </c>
      <c r="GYJ25" t="s">
        <v>6984</v>
      </c>
      <c r="GYK25" t="s">
        <v>6984</v>
      </c>
      <c r="GYL25" t="s">
        <v>6984</v>
      </c>
      <c r="GYM25" t="s">
        <v>6984</v>
      </c>
      <c r="GYN25" t="s">
        <v>6984</v>
      </c>
      <c r="GYO25" t="s">
        <v>6984</v>
      </c>
      <c r="GYP25" t="s">
        <v>6984</v>
      </c>
      <c r="GYQ25" t="s">
        <v>6984</v>
      </c>
      <c r="GYR25" t="s">
        <v>6984</v>
      </c>
      <c r="GYS25" t="s">
        <v>6984</v>
      </c>
      <c r="GYT25" t="s">
        <v>6984</v>
      </c>
      <c r="GYU25" t="s">
        <v>6984</v>
      </c>
      <c r="GYV25" t="s">
        <v>6984</v>
      </c>
      <c r="GYW25" t="s">
        <v>6984</v>
      </c>
      <c r="GYX25" t="s">
        <v>6984</v>
      </c>
      <c r="GYY25" t="s">
        <v>6984</v>
      </c>
      <c r="GYZ25" t="s">
        <v>6984</v>
      </c>
      <c r="GZA25" t="s">
        <v>6984</v>
      </c>
      <c r="GZB25" t="s">
        <v>6984</v>
      </c>
      <c r="GZC25" t="s">
        <v>6984</v>
      </c>
      <c r="GZD25" t="s">
        <v>6984</v>
      </c>
      <c r="GZE25" t="s">
        <v>6984</v>
      </c>
      <c r="GZF25" t="s">
        <v>6984</v>
      </c>
      <c r="GZG25" t="s">
        <v>6984</v>
      </c>
      <c r="GZH25" t="s">
        <v>6984</v>
      </c>
      <c r="GZI25" t="s">
        <v>6984</v>
      </c>
      <c r="GZJ25" t="s">
        <v>6984</v>
      </c>
      <c r="GZK25" t="s">
        <v>6984</v>
      </c>
      <c r="GZL25" t="s">
        <v>6984</v>
      </c>
      <c r="GZM25" t="s">
        <v>6984</v>
      </c>
      <c r="GZN25" t="s">
        <v>6984</v>
      </c>
      <c r="GZO25" t="s">
        <v>6984</v>
      </c>
      <c r="GZP25" t="s">
        <v>6984</v>
      </c>
      <c r="GZQ25" t="s">
        <v>6984</v>
      </c>
      <c r="GZR25" t="s">
        <v>6984</v>
      </c>
      <c r="GZS25" t="s">
        <v>6984</v>
      </c>
      <c r="GZT25" t="s">
        <v>6984</v>
      </c>
      <c r="GZU25" t="s">
        <v>6984</v>
      </c>
      <c r="GZV25" t="s">
        <v>6984</v>
      </c>
      <c r="GZW25" t="s">
        <v>6984</v>
      </c>
      <c r="GZX25" t="s">
        <v>6984</v>
      </c>
      <c r="GZY25" t="s">
        <v>6984</v>
      </c>
      <c r="GZZ25" t="s">
        <v>6984</v>
      </c>
      <c r="HAA25" t="s">
        <v>6984</v>
      </c>
      <c r="HAB25" t="s">
        <v>6984</v>
      </c>
      <c r="HAC25" t="s">
        <v>6984</v>
      </c>
      <c r="HAD25" t="s">
        <v>6984</v>
      </c>
      <c r="HAE25" t="s">
        <v>6984</v>
      </c>
      <c r="HAF25" t="s">
        <v>6984</v>
      </c>
      <c r="HAG25" t="s">
        <v>6984</v>
      </c>
      <c r="HAH25" t="s">
        <v>6984</v>
      </c>
      <c r="HAI25" t="s">
        <v>6984</v>
      </c>
      <c r="HAJ25" t="s">
        <v>6984</v>
      </c>
      <c r="HAK25" t="s">
        <v>6984</v>
      </c>
      <c r="HAL25" t="s">
        <v>6984</v>
      </c>
      <c r="HAM25" t="s">
        <v>6984</v>
      </c>
      <c r="HAN25" t="s">
        <v>6984</v>
      </c>
      <c r="HAO25" t="s">
        <v>6984</v>
      </c>
      <c r="HAP25" t="s">
        <v>6984</v>
      </c>
      <c r="HAQ25" t="s">
        <v>6984</v>
      </c>
      <c r="HAR25" t="s">
        <v>6984</v>
      </c>
      <c r="HAS25" t="s">
        <v>6984</v>
      </c>
      <c r="HAT25" t="s">
        <v>6984</v>
      </c>
      <c r="HAU25" t="s">
        <v>6984</v>
      </c>
      <c r="HAV25" t="s">
        <v>6984</v>
      </c>
      <c r="HAW25" t="s">
        <v>6984</v>
      </c>
      <c r="HAX25" t="s">
        <v>6984</v>
      </c>
      <c r="HAY25" t="s">
        <v>6984</v>
      </c>
      <c r="HAZ25" t="s">
        <v>6984</v>
      </c>
      <c r="HBA25" t="s">
        <v>6984</v>
      </c>
      <c r="HBB25" t="s">
        <v>6984</v>
      </c>
      <c r="HBC25" t="s">
        <v>6984</v>
      </c>
      <c r="HBD25" t="s">
        <v>6984</v>
      </c>
      <c r="HBE25" t="s">
        <v>6984</v>
      </c>
      <c r="HBF25" t="s">
        <v>6984</v>
      </c>
      <c r="HBG25" t="s">
        <v>6984</v>
      </c>
      <c r="HBH25" t="s">
        <v>6984</v>
      </c>
      <c r="HBI25" t="s">
        <v>6984</v>
      </c>
      <c r="HBJ25" t="s">
        <v>6984</v>
      </c>
      <c r="HBK25" t="s">
        <v>6984</v>
      </c>
      <c r="HBL25" t="s">
        <v>6984</v>
      </c>
      <c r="HBM25" t="s">
        <v>6984</v>
      </c>
      <c r="HBN25" t="s">
        <v>6984</v>
      </c>
      <c r="HBO25" t="s">
        <v>6984</v>
      </c>
      <c r="HBP25" t="s">
        <v>6984</v>
      </c>
      <c r="HBQ25" t="s">
        <v>6984</v>
      </c>
      <c r="HBR25" t="s">
        <v>6984</v>
      </c>
      <c r="HBS25" t="s">
        <v>6984</v>
      </c>
      <c r="HBT25" t="s">
        <v>6984</v>
      </c>
      <c r="HBU25" t="s">
        <v>6984</v>
      </c>
      <c r="HBV25" t="s">
        <v>6984</v>
      </c>
      <c r="HBW25" t="s">
        <v>6984</v>
      </c>
      <c r="HBX25" t="s">
        <v>6984</v>
      </c>
      <c r="HBY25" t="s">
        <v>6984</v>
      </c>
      <c r="HBZ25" t="s">
        <v>6984</v>
      </c>
      <c r="HCA25" t="s">
        <v>6984</v>
      </c>
      <c r="HCB25" t="s">
        <v>6984</v>
      </c>
      <c r="HCC25" t="s">
        <v>6984</v>
      </c>
      <c r="HCD25" t="s">
        <v>6984</v>
      </c>
      <c r="HCE25" t="s">
        <v>6984</v>
      </c>
      <c r="HCF25" t="s">
        <v>6984</v>
      </c>
      <c r="HCG25" t="s">
        <v>6984</v>
      </c>
      <c r="HCH25" t="s">
        <v>6984</v>
      </c>
      <c r="HCI25" t="s">
        <v>6984</v>
      </c>
      <c r="HCJ25" t="s">
        <v>6984</v>
      </c>
      <c r="HCK25" t="s">
        <v>6984</v>
      </c>
      <c r="HCL25" t="s">
        <v>6984</v>
      </c>
      <c r="HCM25" t="s">
        <v>6984</v>
      </c>
      <c r="HCN25" t="s">
        <v>6984</v>
      </c>
      <c r="HCO25" t="s">
        <v>6984</v>
      </c>
      <c r="HCP25" t="s">
        <v>6984</v>
      </c>
      <c r="HCQ25" t="s">
        <v>6984</v>
      </c>
      <c r="HCR25" t="s">
        <v>6984</v>
      </c>
      <c r="HCS25" t="s">
        <v>6984</v>
      </c>
      <c r="HCT25" t="s">
        <v>6984</v>
      </c>
      <c r="HCU25" t="s">
        <v>6984</v>
      </c>
      <c r="HCV25" t="s">
        <v>6984</v>
      </c>
      <c r="HCW25" t="s">
        <v>6984</v>
      </c>
      <c r="HCX25" t="s">
        <v>6984</v>
      </c>
      <c r="HCY25" t="s">
        <v>6984</v>
      </c>
      <c r="HCZ25" t="s">
        <v>6984</v>
      </c>
      <c r="HDA25" t="s">
        <v>6984</v>
      </c>
      <c r="HDB25" t="s">
        <v>6984</v>
      </c>
      <c r="HDC25" t="s">
        <v>6984</v>
      </c>
      <c r="HDD25" t="s">
        <v>6984</v>
      </c>
      <c r="HDE25" t="s">
        <v>6984</v>
      </c>
      <c r="HDF25" t="s">
        <v>6984</v>
      </c>
      <c r="HDG25" t="s">
        <v>6984</v>
      </c>
      <c r="HDH25" t="s">
        <v>6984</v>
      </c>
      <c r="HDI25" t="s">
        <v>6984</v>
      </c>
      <c r="HDJ25" t="s">
        <v>6984</v>
      </c>
      <c r="HDK25" t="s">
        <v>6984</v>
      </c>
      <c r="HDL25" t="s">
        <v>6984</v>
      </c>
      <c r="HDM25" t="s">
        <v>6984</v>
      </c>
      <c r="HDN25" t="s">
        <v>6984</v>
      </c>
      <c r="HDO25" t="s">
        <v>6984</v>
      </c>
      <c r="HDP25" t="s">
        <v>6984</v>
      </c>
      <c r="HDQ25" t="s">
        <v>6984</v>
      </c>
      <c r="HDR25" t="s">
        <v>6984</v>
      </c>
      <c r="HDS25" t="s">
        <v>6984</v>
      </c>
      <c r="HDT25" t="s">
        <v>6984</v>
      </c>
      <c r="HDU25" t="s">
        <v>6984</v>
      </c>
      <c r="HDV25" t="s">
        <v>6984</v>
      </c>
      <c r="HDW25" t="s">
        <v>6984</v>
      </c>
      <c r="HDX25" t="s">
        <v>6984</v>
      </c>
      <c r="HDY25" t="s">
        <v>6984</v>
      </c>
      <c r="HDZ25" t="s">
        <v>6984</v>
      </c>
      <c r="HEA25" t="s">
        <v>6984</v>
      </c>
      <c r="HEB25" t="s">
        <v>6984</v>
      </c>
      <c r="HEC25" t="s">
        <v>6984</v>
      </c>
      <c r="HED25" t="s">
        <v>6984</v>
      </c>
      <c r="HEE25" t="s">
        <v>6984</v>
      </c>
      <c r="HEF25" t="s">
        <v>6984</v>
      </c>
      <c r="HEG25" t="s">
        <v>6984</v>
      </c>
      <c r="HEH25" t="s">
        <v>6984</v>
      </c>
      <c r="HEI25" t="s">
        <v>6984</v>
      </c>
      <c r="HEJ25" t="s">
        <v>6984</v>
      </c>
      <c r="HEK25" t="s">
        <v>6984</v>
      </c>
      <c r="HEL25" t="s">
        <v>6984</v>
      </c>
      <c r="HEM25" t="s">
        <v>6984</v>
      </c>
      <c r="HEN25" t="s">
        <v>6984</v>
      </c>
      <c r="HEO25" t="s">
        <v>6984</v>
      </c>
      <c r="HEP25" t="s">
        <v>6984</v>
      </c>
      <c r="HEQ25" t="s">
        <v>6984</v>
      </c>
      <c r="HER25" t="s">
        <v>6984</v>
      </c>
      <c r="HES25" t="s">
        <v>6984</v>
      </c>
      <c r="HET25" t="s">
        <v>6984</v>
      </c>
      <c r="HEU25" t="s">
        <v>6984</v>
      </c>
      <c r="HEV25" t="s">
        <v>6984</v>
      </c>
      <c r="HEW25" t="s">
        <v>6984</v>
      </c>
      <c r="HEX25" t="s">
        <v>6984</v>
      </c>
      <c r="HEY25" t="s">
        <v>6984</v>
      </c>
      <c r="HEZ25" t="s">
        <v>6984</v>
      </c>
      <c r="HFA25" t="s">
        <v>6984</v>
      </c>
      <c r="HFB25" t="s">
        <v>6984</v>
      </c>
      <c r="HFC25" t="s">
        <v>6984</v>
      </c>
      <c r="HFD25" t="s">
        <v>6984</v>
      </c>
      <c r="HFE25" t="s">
        <v>6984</v>
      </c>
      <c r="HFF25" t="s">
        <v>6984</v>
      </c>
      <c r="HFG25" t="s">
        <v>6984</v>
      </c>
      <c r="HFH25" t="s">
        <v>6984</v>
      </c>
      <c r="HFI25" t="s">
        <v>6984</v>
      </c>
      <c r="HFJ25" t="s">
        <v>6984</v>
      </c>
      <c r="HFK25" t="s">
        <v>6984</v>
      </c>
      <c r="HFL25" t="s">
        <v>6984</v>
      </c>
      <c r="HFM25" t="s">
        <v>6984</v>
      </c>
      <c r="HFN25" t="s">
        <v>6984</v>
      </c>
      <c r="HFO25" t="s">
        <v>6984</v>
      </c>
      <c r="HFP25" t="s">
        <v>6984</v>
      </c>
      <c r="HFQ25" t="s">
        <v>6984</v>
      </c>
      <c r="HFR25" t="s">
        <v>6984</v>
      </c>
      <c r="HFS25" t="s">
        <v>6984</v>
      </c>
      <c r="HFT25" t="s">
        <v>6984</v>
      </c>
      <c r="HFU25" t="s">
        <v>6984</v>
      </c>
      <c r="HFV25" t="s">
        <v>6984</v>
      </c>
      <c r="HFW25" t="s">
        <v>6984</v>
      </c>
      <c r="HFX25" t="s">
        <v>6984</v>
      </c>
      <c r="HFY25" t="s">
        <v>6984</v>
      </c>
      <c r="HFZ25" t="s">
        <v>6984</v>
      </c>
      <c r="HGA25" t="s">
        <v>6984</v>
      </c>
      <c r="HGB25" t="s">
        <v>6984</v>
      </c>
      <c r="HGC25" t="s">
        <v>6984</v>
      </c>
      <c r="HGD25" t="s">
        <v>6984</v>
      </c>
      <c r="HGE25" t="s">
        <v>6984</v>
      </c>
      <c r="HGF25" t="s">
        <v>6984</v>
      </c>
      <c r="HGG25" t="s">
        <v>6984</v>
      </c>
      <c r="HGH25" t="s">
        <v>6984</v>
      </c>
      <c r="HGI25" t="s">
        <v>6984</v>
      </c>
      <c r="HGJ25" t="s">
        <v>6984</v>
      </c>
      <c r="HGK25" t="s">
        <v>6984</v>
      </c>
      <c r="HGL25" t="s">
        <v>6984</v>
      </c>
      <c r="HGM25" t="s">
        <v>6984</v>
      </c>
      <c r="HGN25" t="s">
        <v>6984</v>
      </c>
      <c r="HGO25" t="s">
        <v>6984</v>
      </c>
      <c r="HGP25" t="s">
        <v>6984</v>
      </c>
      <c r="HGQ25" t="s">
        <v>6984</v>
      </c>
      <c r="HGR25" t="s">
        <v>6984</v>
      </c>
      <c r="HGS25" t="s">
        <v>6984</v>
      </c>
      <c r="HGT25" t="s">
        <v>6984</v>
      </c>
      <c r="HGU25" t="s">
        <v>6984</v>
      </c>
      <c r="HGV25" t="s">
        <v>6984</v>
      </c>
      <c r="HGW25" t="s">
        <v>6984</v>
      </c>
      <c r="HGX25" t="s">
        <v>6984</v>
      </c>
      <c r="HGY25" t="s">
        <v>6984</v>
      </c>
      <c r="HGZ25" t="s">
        <v>6984</v>
      </c>
      <c r="HHA25" t="s">
        <v>6984</v>
      </c>
      <c r="HHB25" t="s">
        <v>6984</v>
      </c>
      <c r="HHC25" t="s">
        <v>6984</v>
      </c>
      <c r="HHD25" t="s">
        <v>6984</v>
      </c>
      <c r="HHE25" t="s">
        <v>6984</v>
      </c>
      <c r="HHF25" t="s">
        <v>6984</v>
      </c>
      <c r="HHG25" t="s">
        <v>6984</v>
      </c>
      <c r="HHH25" t="s">
        <v>6984</v>
      </c>
      <c r="HHI25" t="s">
        <v>6984</v>
      </c>
      <c r="HHJ25" t="s">
        <v>6984</v>
      </c>
      <c r="HHK25" t="s">
        <v>6984</v>
      </c>
      <c r="HHL25" t="s">
        <v>6984</v>
      </c>
      <c r="HHM25" t="s">
        <v>6984</v>
      </c>
      <c r="HHN25" t="s">
        <v>6984</v>
      </c>
      <c r="HHO25" t="s">
        <v>6984</v>
      </c>
      <c r="HHP25" t="s">
        <v>6984</v>
      </c>
      <c r="HHQ25" t="s">
        <v>6984</v>
      </c>
      <c r="HHR25" t="s">
        <v>6984</v>
      </c>
      <c r="HHS25" t="s">
        <v>6984</v>
      </c>
      <c r="HHT25" t="s">
        <v>6984</v>
      </c>
      <c r="HHU25" t="s">
        <v>6984</v>
      </c>
      <c r="HHV25" t="s">
        <v>6984</v>
      </c>
      <c r="HHW25" t="s">
        <v>6984</v>
      </c>
      <c r="HHX25" t="s">
        <v>6984</v>
      </c>
      <c r="HHY25" t="s">
        <v>6984</v>
      </c>
      <c r="HHZ25" t="s">
        <v>6984</v>
      </c>
      <c r="HIA25" t="s">
        <v>6984</v>
      </c>
      <c r="HIB25" t="s">
        <v>6984</v>
      </c>
      <c r="HIC25" t="s">
        <v>6984</v>
      </c>
      <c r="HID25" t="s">
        <v>6984</v>
      </c>
      <c r="HIE25" t="s">
        <v>6984</v>
      </c>
      <c r="HIF25" t="s">
        <v>6984</v>
      </c>
      <c r="HIG25" t="s">
        <v>6984</v>
      </c>
      <c r="HIH25" t="s">
        <v>6984</v>
      </c>
      <c r="HII25" t="s">
        <v>6984</v>
      </c>
      <c r="HIJ25" t="s">
        <v>6984</v>
      </c>
      <c r="HIK25" t="s">
        <v>6984</v>
      </c>
      <c r="HIL25" t="s">
        <v>6984</v>
      </c>
      <c r="HIM25" t="s">
        <v>6984</v>
      </c>
      <c r="HIN25" t="s">
        <v>6984</v>
      </c>
      <c r="HIO25" t="s">
        <v>6984</v>
      </c>
      <c r="HIP25" t="s">
        <v>6984</v>
      </c>
      <c r="HIQ25" t="s">
        <v>6984</v>
      </c>
      <c r="HIR25" t="s">
        <v>6984</v>
      </c>
      <c r="HIS25" t="s">
        <v>6984</v>
      </c>
      <c r="HIT25" t="s">
        <v>6984</v>
      </c>
      <c r="HIU25" t="s">
        <v>6984</v>
      </c>
      <c r="HIV25" t="s">
        <v>6984</v>
      </c>
      <c r="HIW25" t="s">
        <v>6984</v>
      </c>
      <c r="HIX25" t="s">
        <v>6984</v>
      </c>
      <c r="HIY25" t="s">
        <v>6984</v>
      </c>
      <c r="HIZ25" t="s">
        <v>6984</v>
      </c>
      <c r="HJA25" t="s">
        <v>6984</v>
      </c>
      <c r="HJB25" t="s">
        <v>6984</v>
      </c>
      <c r="HJC25" t="s">
        <v>6984</v>
      </c>
      <c r="HJD25" t="s">
        <v>6984</v>
      </c>
      <c r="HJE25" t="s">
        <v>6984</v>
      </c>
      <c r="HJF25" t="s">
        <v>6984</v>
      </c>
      <c r="HJG25" t="s">
        <v>6984</v>
      </c>
      <c r="HJH25" t="s">
        <v>6984</v>
      </c>
      <c r="HJI25" t="s">
        <v>6984</v>
      </c>
      <c r="HJJ25" t="s">
        <v>6984</v>
      </c>
      <c r="HJK25" t="s">
        <v>6984</v>
      </c>
      <c r="HJL25" t="s">
        <v>6984</v>
      </c>
      <c r="HJM25" t="s">
        <v>6984</v>
      </c>
      <c r="HJN25" t="s">
        <v>6984</v>
      </c>
      <c r="HJO25" t="s">
        <v>6984</v>
      </c>
      <c r="HJP25" t="s">
        <v>6984</v>
      </c>
      <c r="HJQ25" t="s">
        <v>6984</v>
      </c>
      <c r="HJR25" t="s">
        <v>6984</v>
      </c>
      <c r="HJS25" t="s">
        <v>6984</v>
      </c>
      <c r="HJT25" t="s">
        <v>6984</v>
      </c>
      <c r="HJU25" t="s">
        <v>6984</v>
      </c>
      <c r="HJV25" t="s">
        <v>6984</v>
      </c>
      <c r="HJW25" t="s">
        <v>6984</v>
      </c>
      <c r="HJX25" t="s">
        <v>6984</v>
      </c>
      <c r="HJY25" t="s">
        <v>6984</v>
      </c>
      <c r="HJZ25" t="s">
        <v>6984</v>
      </c>
      <c r="HKA25" t="s">
        <v>6984</v>
      </c>
      <c r="HKB25" t="s">
        <v>6984</v>
      </c>
      <c r="HKC25" t="s">
        <v>6984</v>
      </c>
      <c r="HKD25" t="s">
        <v>6984</v>
      </c>
      <c r="HKE25" t="s">
        <v>6984</v>
      </c>
      <c r="HKF25" t="s">
        <v>6984</v>
      </c>
      <c r="HKG25" t="s">
        <v>6984</v>
      </c>
      <c r="HKH25" t="s">
        <v>6984</v>
      </c>
      <c r="HKI25" t="s">
        <v>6984</v>
      </c>
      <c r="HKJ25" t="s">
        <v>6984</v>
      </c>
      <c r="HKK25" t="s">
        <v>6984</v>
      </c>
      <c r="HKL25" t="s">
        <v>6984</v>
      </c>
      <c r="HKM25" t="s">
        <v>6984</v>
      </c>
      <c r="HKN25" t="s">
        <v>6984</v>
      </c>
      <c r="HKO25" t="s">
        <v>6984</v>
      </c>
      <c r="HKP25" t="s">
        <v>6984</v>
      </c>
      <c r="HKQ25" t="s">
        <v>6984</v>
      </c>
      <c r="HKR25" t="s">
        <v>6984</v>
      </c>
      <c r="HKS25" t="s">
        <v>6984</v>
      </c>
      <c r="HKT25" t="s">
        <v>6984</v>
      </c>
      <c r="HKU25" t="s">
        <v>6984</v>
      </c>
      <c r="HKV25" t="s">
        <v>6984</v>
      </c>
      <c r="HKW25" t="s">
        <v>6984</v>
      </c>
      <c r="HKX25" t="s">
        <v>6984</v>
      </c>
      <c r="HKY25" t="s">
        <v>6984</v>
      </c>
      <c r="HKZ25" t="s">
        <v>6984</v>
      </c>
      <c r="HLA25" t="s">
        <v>6984</v>
      </c>
      <c r="HLB25" t="s">
        <v>6984</v>
      </c>
      <c r="HLC25" t="s">
        <v>6984</v>
      </c>
      <c r="HLD25" t="s">
        <v>6984</v>
      </c>
      <c r="HLE25" t="s">
        <v>6984</v>
      </c>
      <c r="HLF25" t="s">
        <v>6984</v>
      </c>
      <c r="HLG25" t="s">
        <v>6984</v>
      </c>
      <c r="HLH25" t="s">
        <v>6984</v>
      </c>
      <c r="HLI25" t="s">
        <v>6984</v>
      </c>
      <c r="HLJ25" t="s">
        <v>6984</v>
      </c>
      <c r="HLK25" t="s">
        <v>6984</v>
      </c>
      <c r="HLL25" t="s">
        <v>6984</v>
      </c>
      <c r="HLM25" t="s">
        <v>6984</v>
      </c>
      <c r="HLN25" t="s">
        <v>6984</v>
      </c>
      <c r="HLO25" t="s">
        <v>6984</v>
      </c>
      <c r="HLP25" t="s">
        <v>6984</v>
      </c>
      <c r="HLQ25" t="s">
        <v>6984</v>
      </c>
      <c r="HLR25" t="s">
        <v>6984</v>
      </c>
      <c r="HLS25" t="s">
        <v>6984</v>
      </c>
      <c r="HLT25" t="s">
        <v>6984</v>
      </c>
      <c r="HLU25" t="s">
        <v>6984</v>
      </c>
      <c r="HLV25" t="s">
        <v>6984</v>
      </c>
      <c r="HLW25" t="s">
        <v>6984</v>
      </c>
      <c r="HLX25" t="s">
        <v>6984</v>
      </c>
      <c r="HLY25" t="s">
        <v>6984</v>
      </c>
      <c r="HLZ25" t="s">
        <v>6984</v>
      </c>
      <c r="HMA25" t="s">
        <v>6984</v>
      </c>
      <c r="HMB25" t="s">
        <v>6984</v>
      </c>
      <c r="HMC25" t="s">
        <v>6984</v>
      </c>
      <c r="HMD25" t="s">
        <v>6984</v>
      </c>
      <c r="HME25" t="s">
        <v>6984</v>
      </c>
      <c r="HMF25" t="s">
        <v>6984</v>
      </c>
      <c r="HMG25" t="s">
        <v>6984</v>
      </c>
      <c r="HMH25" t="s">
        <v>6984</v>
      </c>
      <c r="HMI25" t="s">
        <v>6984</v>
      </c>
      <c r="HMJ25" t="s">
        <v>6984</v>
      </c>
      <c r="HMK25" t="s">
        <v>6984</v>
      </c>
      <c r="HML25" t="s">
        <v>6984</v>
      </c>
      <c r="HMM25" t="s">
        <v>6984</v>
      </c>
      <c r="HMN25" t="s">
        <v>6984</v>
      </c>
      <c r="HMO25" t="s">
        <v>6984</v>
      </c>
      <c r="HMP25" t="s">
        <v>6984</v>
      </c>
      <c r="HMQ25" t="s">
        <v>6984</v>
      </c>
      <c r="HMR25" t="s">
        <v>6984</v>
      </c>
      <c r="HMS25" t="s">
        <v>6984</v>
      </c>
      <c r="HMT25" t="s">
        <v>6984</v>
      </c>
      <c r="HMU25" t="s">
        <v>6984</v>
      </c>
      <c r="HMV25" t="s">
        <v>6984</v>
      </c>
      <c r="HMW25" t="s">
        <v>6984</v>
      </c>
      <c r="HMX25" t="s">
        <v>6984</v>
      </c>
      <c r="HMY25" t="s">
        <v>6984</v>
      </c>
      <c r="HMZ25" t="s">
        <v>6984</v>
      </c>
      <c r="HNA25" t="s">
        <v>6984</v>
      </c>
      <c r="HNB25" t="s">
        <v>6984</v>
      </c>
      <c r="HNC25" t="s">
        <v>6984</v>
      </c>
      <c r="HND25" t="s">
        <v>6984</v>
      </c>
      <c r="HNE25" t="s">
        <v>6984</v>
      </c>
      <c r="HNF25" t="s">
        <v>6984</v>
      </c>
      <c r="HNG25" t="s">
        <v>6984</v>
      </c>
      <c r="HNH25" t="s">
        <v>6984</v>
      </c>
      <c r="HNI25" t="s">
        <v>6984</v>
      </c>
      <c r="HNJ25" t="s">
        <v>6984</v>
      </c>
      <c r="HNK25" t="s">
        <v>6984</v>
      </c>
      <c r="HNL25" t="s">
        <v>6984</v>
      </c>
      <c r="HNM25" t="s">
        <v>6984</v>
      </c>
      <c r="HNN25" t="s">
        <v>6984</v>
      </c>
      <c r="HNO25" t="s">
        <v>6984</v>
      </c>
      <c r="HNP25" t="s">
        <v>6984</v>
      </c>
      <c r="HNQ25" t="s">
        <v>6984</v>
      </c>
      <c r="HNR25" t="s">
        <v>6984</v>
      </c>
      <c r="HNS25" t="s">
        <v>6984</v>
      </c>
      <c r="HNT25" t="s">
        <v>6984</v>
      </c>
      <c r="HNU25" t="s">
        <v>6984</v>
      </c>
      <c r="HNV25" t="s">
        <v>6984</v>
      </c>
      <c r="HNW25" t="s">
        <v>6984</v>
      </c>
      <c r="HNX25" t="s">
        <v>6984</v>
      </c>
      <c r="HNY25" t="s">
        <v>6984</v>
      </c>
      <c r="HNZ25" t="s">
        <v>6984</v>
      </c>
      <c r="HOA25" t="s">
        <v>6984</v>
      </c>
      <c r="HOB25" t="s">
        <v>6984</v>
      </c>
      <c r="HOC25" t="s">
        <v>6984</v>
      </c>
      <c r="HOD25" t="s">
        <v>6984</v>
      </c>
      <c r="HOE25" t="s">
        <v>6984</v>
      </c>
      <c r="HOF25" t="s">
        <v>6984</v>
      </c>
      <c r="HOG25" t="s">
        <v>6984</v>
      </c>
      <c r="HOH25" t="s">
        <v>6984</v>
      </c>
      <c r="HOI25" t="s">
        <v>6984</v>
      </c>
      <c r="HOJ25" t="s">
        <v>6984</v>
      </c>
      <c r="HOK25" t="s">
        <v>6984</v>
      </c>
      <c r="HOL25" t="s">
        <v>6984</v>
      </c>
      <c r="HOM25" t="s">
        <v>6984</v>
      </c>
      <c r="HON25" t="s">
        <v>6984</v>
      </c>
      <c r="HOO25" t="s">
        <v>6984</v>
      </c>
      <c r="HOP25" t="s">
        <v>6984</v>
      </c>
      <c r="HOQ25" t="s">
        <v>6984</v>
      </c>
      <c r="HOR25" t="s">
        <v>6984</v>
      </c>
      <c r="HOS25" t="s">
        <v>6984</v>
      </c>
      <c r="HOT25" t="s">
        <v>6984</v>
      </c>
      <c r="HOU25" t="s">
        <v>6984</v>
      </c>
      <c r="HOV25" t="s">
        <v>6984</v>
      </c>
      <c r="HOW25" t="s">
        <v>6984</v>
      </c>
      <c r="HOX25" t="s">
        <v>6984</v>
      </c>
      <c r="HOY25" t="s">
        <v>6984</v>
      </c>
      <c r="HOZ25" t="s">
        <v>6984</v>
      </c>
      <c r="HPA25" t="s">
        <v>6984</v>
      </c>
      <c r="HPB25" t="s">
        <v>6984</v>
      </c>
      <c r="HPC25" t="s">
        <v>6984</v>
      </c>
      <c r="HPD25" t="s">
        <v>6984</v>
      </c>
      <c r="HPE25" t="s">
        <v>6984</v>
      </c>
      <c r="HPF25" t="s">
        <v>6984</v>
      </c>
      <c r="HPG25" t="s">
        <v>6984</v>
      </c>
      <c r="HPH25" t="s">
        <v>6984</v>
      </c>
      <c r="HPI25" t="s">
        <v>6984</v>
      </c>
      <c r="HPJ25" t="s">
        <v>6984</v>
      </c>
      <c r="HPK25" t="s">
        <v>6984</v>
      </c>
      <c r="HPL25" t="s">
        <v>6984</v>
      </c>
      <c r="HPM25" t="s">
        <v>6984</v>
      </c>
      <c r="HPN25" t="s">
        <v>6984</v>
      </c>
      <c r="HPO25" t="s">
        <v>6984</v>
      </c>
      <c r="HPP25" t="s">
        <v>6984</v>
      </c>
      <c r="HPQ25" t="s">
        <v>6984</v>
      </c>
      <c r="HPR25" t="s">
        <v>6984</v>
      </c>
      <c r="HPS25" t="s">
        <v>6984</v>
      </c>
      <c r="HPT25" t="s">
        <v>6984</v>
      </c>
      <c r="HPU25" t="s">
        <v>6984</v>
      </c>
      <c r="HPV25" t="s">
        <v>6984</v>
      </c>
      <c r="HPW25" t="s">
        <v>6984</v>
      </c>
      <c r="HPX25" t="s">
        <v>6984</v>
      </c>
      <c r="HPY25" t="s">
        <v>6984</v>
      </c>
      <c r="HPZ25" t="s">
        <v>6984</v>
      </c>
      <c r="HQA25" t="s">
        <v>6984</v>
      </c>
      <c r="HQB25" t="s">
        <v>6984</v>
      </c>
      <c r="HQC25" t="s">
        <v>6984</v>
      </c>
      <c r="HQD25" t="s">
        <v>6984</v>
      </c>
      <c r="HQE25" t="s">
        <v>6984</v>
      </c>
      <c r="HQF25" t="s">
        <v>6984</v>
      </c>
      <c r="HQG25" t="s">
        <v>6984</v>
      </c>
      <c r="HQH25" t="s">
        <v>6984</v>
      </c>
      <c r="HQI25" t="s">
        <v>6984</v>
      </c>
      <c r="HQJ25" t="s">
        <v>6984</v>
      </c>
      <c r="HQK25" t="s">
        <v>6984</v>
      </c>
      <c r="HQL25" t="s">
        <v>6984</v>
      </c>
      <c r="HQM25" t="s">
        <v>6984</v>
      </c>
      <c r="HQN25" t="s">
        <v>6984</v>
      </c>
      <c r="HQO25" t="s">
        <v>6984</v>
      </c>
      <c r="HQP25" t="s">
        <v>6984</v>
      </c>
      <c r="HQQ25" t="s">
        <v>6984</v>
      </c>
      <c r="HQR25" t="s">
        <v>6984</v>
      </c>
      <c r="HQS25" t="s">
        <v>6984</v>
      </c>
      <c r="HQT25" t="s">
        <v>6984</v>
      </c>
      <c r="HQU25" t="s">
        <v>6984</v>
      </c>
      <c r="HQV25" t="s">
        <v>6984</v>
      </c>
      <c r="HQW25" t="s">
        <v>6984</v>
      </c>
      <c r="HQX25" t="s">
        <v>6984</v>
      </c>
      <c r="HQY25" t="s">
        <v>6984</v>
      </c>
      <c r="HQZ25" t="s">
        <v>6984</v>
      </c>
      <c r="HRA25" t="s">
        <v>6984</v>
      </c>
      <c r="HRB25" t="s">
        <v>6984</v>
      </c>
      <c r="HRC25" t="s">
        <v>6984</v>
      </c>
      <c r="HRD25" t="s">
        <v>6984</v>
      </c>
      <c r="HRE25" t="s">
        <v>6984</v>
      </c>
      <c r="HRF25" t="s">
        <v>6984</v>
      </c>
      <c r="HRG25" t="s">
        <v>6984</v>
      </c>
      <c r="HRH25" t="s">
        <v>6984</v>
      </c>
      <c r="HRI25" t="s">
        <v>6984</v>
      </c>
      <c r="HRJ25" t="s">
        <v>6984</v>
      </c>
      <c r="HRK25" t="s">
        <v>6984</v>
      </c>
      <c r="HRL25" t="s">
        <v>6984</v>
      </c>
      <c r="HRM25" t="s">
        <v>6984</v>
      </c>
      <c r="HRN25" t="s">
        <v>6984</v>
      </c>
      <c r="HRO25" t="s">
        <v>6984</v>
      </c>
      <c r="HRP25" t="s">
        <v>6984</v>
      </c>
      <c r="HRQ25" t="s">
        <v>6984</v>
      </c>
      <c r="HRR25" t="s">
        <v>6984</v>
      </c>
      <c r="HRS25" t="s">
        <v>6984</v>
      </c>
      <c r="HRT25" t="s">
        <v>6984</v>
      </c>
      <c r="HRU25" t="s">
        <v>6984</v>
      </c>
      <c r="HRV25" t="s">
        <v>6984</v>
      </c>
      <c r="HRW25" t="s">
        <v>6984</v>
      </c>
      <c r="HRX25" t="s">
        <v>6984</v>
      </c>
      <c r="HRY25" t="s">
        <v>6984</v>
      </c>
      <c r="HRZ25" t="s">
        <v>6984</v>
      </c>
      <c r="HSA25" t="s">
        <v>6984</v>
      </c>
      <c r="HSB25" t="s">
        <v>6984</v>
      </c>
      <c r="HSC25" t="s">
        <v>6984</v>
      </c>
      <c r="HSD25" t="s">
        <v>6984</v>
      </c>
      <c r="HSE25" t="s">
        <v>6984</v>
      </c>
      <c r="HSF25" t="s">
        <v>6984</v>
      </c>
      <c r="HSG25" t="s">
        <v>6984</v>
      </c>
      <c r="HSH25" t="s">
        <v>6984</v>
      </c>
      <c r="HSI25" t="s">
        <v>6984</v>
      </c>
      <c r="HSJ25" t="s">
        <v>6984</v>
      </c>
      <c r="HSK25" t="s">
        <v>6984</v>
      </c>
      <c r="HSL25" t="s">
        <v>6984</v>
      </c>
      <c r="HSM25" t="s">
        <v>6984</v>
      </c>
      <c r="HSN25" t="s">
        <v>6984</v>
      </c>
      <c r="HSO25" t="s">
        <v>6984</v>
      </c>
      <c r="HSP25" t="s">
        <v>6984</v>
      </c>
      <c r="HSQ25" t="s">
        <v>6984</v>
      </c>
      <c r="HSR25" t="s">
        <v>6984</v>
      </c>
      <c r="HSS25" t="s">
        <v>6984</v>
      </c>
      <c r="HST25" t="s">
        <v>6984</v>
      </c>
      <c r="HSU25" t="s">
        <v>6984</v>
      </c>
      <c r="HSV25" t="s">
        <v>6984</v>
      </c>
      <c r="HSW25" t="s">
        <v>6984</v>
      </c>
      <c r="HSX25" t="s">
        <v>6984</v>
      </c>
      <c r="HSY25" t="s">
        <v>6984</v>
      </c>
      <c r="HSZ25" t="s">
        <v>6984</v>
      </c>
      <c r="HTA25" t="s">
        <v>6984</v>
      </c>
      <c r="HTB25" t="s">
        <v>6984</v>
      </c>
      <c r="HTC25" t="s">
        <v>6984</v>
      </c>
      <c r="HTD25" t="s">
        <v>6984</v>
      </c>
      <c r="HTE25" t="s">
        <v>6984</v>
      </c>
      <c r="HTF25" t="s">
        <v>6984</v>
      </c>
      <c r="HTG25" t="s">
        <v>6984</v>
      </c>
      <c r="HTH25" t="s">
        <v>6984</v>
      </c>
      <c r="HTI25" t="s">
        <v>6984</v>
      </c>
      <c r="HTJ25" t="s">
        <v>6984</v>
      </c>
      <c r="HTK25" t="s">
        <v>6984</v>
      </c>
      <c r="HTL25" t="s">
        <v>6984</v>
      </c>
      <c r="HTM25" t="s">
        <v>6984</v>
      </c>
      <c r="HTN25" t="s">
        <v>6984</v>
      </c>
      <c r="HTO25" t="s">
        <v>6984</v>
      </c>
      <c r="HTP25" t="s">
        <v>6984</v>
      </c>
      <c r="HTQ25" t="s">
        <v>6984</v>
      </c>
      <c r="HTR25" t="s">
        <v>6984</v>
      </c>
      <c r="HTS25" t="s">
        <v>6984</v>
      </c>
      <c r="HTT25" t="s">
        <v>6984</v>
      </c>
      <c r="HTU25" t="s">
        <v>6984</v>
      </c>
      <c r="HTV25" t="s">
        <v>6984</v>
      </c>
      <c r="HTW25" t="s">
        <v>6984</v>
      </c>
      <c r="HTX25" t="s">
        <v>6984</v>
      </c>
      <c r="HTY25" t="s">
        <v>6984</v>
      </c>
      <c r="HTZ25" t="s">
        <v>6984</v>
      </c>
      <c r="HUA25" t="s">
        <v>6984</v>
      </c>
      <c r="HUB25" t="s">
        <v>6984</v>
      </c>
      <c r="HUC25" t="s">
        <v>6984</v>
      </c>
      <c r="HUD25" t="s">
        <v>6984</v>
      </c>
      <c r="HUE25" t="s">
        <v>6984</v>
      </c>
      <c r="HUF25" t="s">
        <v>6984</v>
      </c>
      <c r="HUG25" t="s">
        <v>6984</v>
      </c>
      <c r="HUH25" t="s">
        <v>6984</v>
      </c>
      <c r="HUI25" t="s">
        <v>6984</v>
      </c>
      <c r="HUJ25" t="s">
        <v>6984</v>
      </c>
      <c r="HUK25" t="s">
        <v>6984</v>
      </c>
      <c r="HUL25" t="s">
        <v>6984</v>
      </c>
      <c r="HUM25" t="s">
        <v>6984</v>
      </c>
      <c r="HUN25" t="s">
        <v>6984</v>
      </c>
      <c r="HUO25" t="s">
        <v>6984</v>
      </c>
      <c r="HUP25" t="s">
        <v>6984</v>
      </c>
      <c r="HUQ25" t="s">
        <v>6984</v>
      </c>
      <c r="HUR25" t="s">
        <v>6984</v>
      </c>
      <c r="HUS25" t="s">
        <v>6984</v>
      </c>
      <c r="HUT25" t="s">
        <v>6984</v>
      </c>
      <c r="HUU25" t="s">
        <v>6984</v>
      </c>
      <c r="HUV25" t="s">
        <v>6984</v>
      </c>
      <c r="HUW25" t="s">
        <v>6984</v>
      </c>
      <c r="HUX25" t="s">
        <v>6984</v>
      </c>
      <c r="HUY25" t="s">
        <v>6984</v>
      </c>
      <c r="HUZ25" t="s">
        <v>6984</v>
      </c>
      <c r="HVA25" t="s">
        <v>6984</v>
      </c>
      <c r="HVB25" t="s">
        <v>6984</v>
      </c>
      <c r="HVC25" t="s">
        <v>6984</v>
      </c>
      <c r="HVD25" t="s">
        <v>6984</v>
      </c>
      <c r="HVE25" t="s">
        <v>6984</v>
      </c>
      <c r="HVF25" t="s">
        <v>6984</v>
      </c>
      <c r="HVG25" t="s">
        <v>6984</v>
      </c>
      <c r="HVH25" t="s">
        <v>6984</v>
      </c>
      <c r="HVI25" t="s">
        <v>6984</v>
      </c>
      <c r="HVJ25" t="s">
        <v>6984</v>
      </c>
      <c r="HVK25" t="s">
        <v>6984</v>
      </c>
      <c r="HVL25" t="s">
        <v>6984</v>
      </c>
      <c r="HVM25" t="s">
        <v>6984</v>
      </c>
      <c r="HVN25" t="s">
        <v>6984</v>
      </c>
      <c r="HVO25" t="s">
        <v>6984</v>
      </c>
      <c r="HVP25" t="s">
        <v>6984</v>
      </c>
      <c r="HVQ25" t="s">
        <v>6984</v>
      </c>
      <c r="HVR25" t="s">
        <v>6984</v>
      </c>
      <c r="HVS25" t="s">
        <v>6984</v>
      </c>
      <c r="HVT25" t="s">
        <v>6984</v>
      </c>
      <c r="HVU25" t="s">
        <v>6984</v>
      </c>
      <c r="HVV25" t="s">
        <v>6984</v>
      </c>
      <c r="HVW25" t="s">
        <v>6984</v>
      </c>
      <c r="HVX25" t="s">
        <v>6984</v>
      </c>
      <c r="HVY25" t="s">
        <v>6984</v>
      </c>
      <c r="HVZ25" t="s">
        <v>6984</v>
      </c>
      <c r="HWA25" t="s">
        <v>6984</v>
      </c>
      <c r="HWB25" t="s">
        <v>6984</v>
      </c>
      <c r="HWC25" t="s">
        <v>6984</v>
      </c>
      <c r="HWD25" t="s">
        <v>6984</v>
      </c>
      <c r="HWE25" t="s">
        <v>6984</v>
      </c>
      <c r="HWF25" t="s">
        <v>6984</v>
      </c>
      <c r="HWG25" t="s">
        <v>6984</v>
      </c>
      <c r="HWH25" t="s">
        <v>6984</v>
      </c>
      <c r="HWI25" t="s">
        <v>6984</v>
      </c>
      <c r="HWJ25" t="s">
        <v>6984</v>
      </c>
      <c r="HWK25" t="s">
        <v>6984</v>
      </c>
      <c r="HWL25" t="s">
        <v>6984</v>
      </c>
      <c r="HWM25" t="s">
        <v>6984</v>
      </c>
      <c r="HWN25" t="s">
        <v>6984</v>
      </c>
      <c r="HWO25" t="s">
        <v>6984</v>
      </c>
      <c r="HWP25" t="s">
        <v>6984</v>
      </c>
      <c r="HWQ25" t="s">
        <v>6984</v>
      </c>
      <c r="HWR25" t="s">
        <v>6984</v>
      </c>
      <c r="HWS25" t="s">
        <v>6984</v>
      </c>
      <c r="HWT25" t="s">
        <v>6984</v>
      </c>
      <c r="HWU25" t="s">
        <v>6984</v>
      </c>
      <c r="HWV25" t="s">
        <v>6984</v>
      </c>
      <c r="HWW25" t="s">
        <v>6984</v>
      </c>
      <c r="HWX25" t="s">
        <v>6984</v>
      </c>
      <c r="HWY25" t="s">
        <v>6984</v>
      </c>
      <c r="HWZ25" t="s">
        <v>6984</v>
      </c>
      <c r="HXA25" t="s">
        <v>6984</v>
      </c>
      <c r="HXB25" t="s">
        <v>6984</v>
      </c>
      <c r="HXC25" t="s">
        <v>6984</v>
      </c>
      <c r="HXD25" t="s">
        <v>6984</v>
      </c>
      <c r="HXE25" t="s">
        <v>6984</v>
      </c>
      <c r="HXF25" t="s">
        <v>6984</v>
      </c>
      <c r="HXG25" t="s">
        <v>6984</v>
      </c>
      <c r="HXH25" t="s">
        <v>6984</v>
      </c>
      <c r="HXI25" t="s">
        <v>6984</v>
      </c>
      <c r="HXJ25" t="s">
        <v>6984</v>
      </c>
      <c r="HXK25" t="s">
        <v>6984</v>
      </c>
      <c r="HXL25" t="s">
        <v>6984</v>
      </c>
      <c r="HXM25" t="s">
        <v>6984</v>
      </c>
      <c r="HXN25" t="s">
        <v>6984</v>
      </c>
      <c r="HXO25" t="s">
        <v>6984</v>
      </c>
      <c r="HXP25" t="s">
        <v>6984</v>
      </c>
      <c r="HXQ25" t="s">
        <v>6984</v>
      </c>
      <c r="HXR25" t="s">
        <v>6984</v>
      </c>
      <c r="HXS25" t="s">
        <v>6984</v>
      </c>
      <c r="HXT25" t="s">
        <v>6984</v>
      </c>
      <c r="HXU25" t="s">
        <v>6984</v>
      </c>
      <c r="HXV25" t="s">
        <v>6984</v>
      </c>
      <c r="HXW25" t="s">
        <v>6984</v>
      </c>
      <c r="HXX25" t="s">
        <v>6984</v>
      </c>
      <c r="HXY25" t="s">
        <v>6984</v>
      </c>
      <c r="HXZ25" t="s">
        <v>6984</v>
      </c>
      <c r="HYA25" t="s">
        <v>6984</v>
      </c>
      <c r="HYB25" t="s">
        <v>6984</v>
      </c>
      <c r="HYC25" t="s">
        <v>6984</v>
      </c>
      <c r="HYD25" t="s">
        <v>6984</v>
      </c>
      <c r="HYE25" t="s">
        <v>6984</v>
      </c>
      <c r="HYF25" t="s">
        <v>6984</v>
      </c>
      <c r="HYG25" t="s">
        <v>6984</v>
      </c>
      <c r="HYH25" t="s">
        <v>6984</v>
      </c>
      <c r="HYI25" t="s">
        <v>6984</v>
      </c>
      <c r="HYJ25" t="s">
        <v>6984</v>
      </c>
      <c r="HYK25" t="s">
        <v>6984</v>
      </c>
      <c r="HYL25" t="s">
        <v>6984</v>
      </c>
      <c r="HYM25" t="s">
        <v>6984</v>
      </c>
      <c r="HYN25" t="s">
        <v>6984</v>
      </c>
      <c r="HYO25" t="s">
        <v>6984</v>
      </c>
      <c r="HYP25" t="s">
        <v>6984</v>
      </c>
      <c r="HYQ25" t="s">
        <v>6984</v>
      </c>
      <c r="HYR25" t="s">
        <v>6984</v>
      </c>
      <c r="HYS25" t="s">
        <v>6984</v>
      </c>
      <c r="HYT25" t="s">
        <v>6984</v>
      </c>
      <c r="HYU25" t="s">
        <v>6984</v>
      </c>
      <c r="HYV25" t="s">
        <v>6984</v>
      </c>
      <c r="HYW25" t="s">
        <v>6984</v>
      </c>
      <c r="HYX25" t="s">
        <v>6984</v>
      </c>
      <c r="HYY25" t="s">
        <v>6984</v>
      </c>
      <c r="HYZ25" t="s">
        <v>6984</v>
      </c>
      <c r="HZA25" t="s">
        <v>6984</v>
      </c>
      <c r="HZB25" t="s">
        <v>6984</v>
      </c>
      <c r="HZC25" t="s">
        <v>6984</v>
      </c>
      <c r="HZD25" t="s">
        <v>6984</v>
      </c>
      <c r="HZE25" t="s">
        <v>6984</v>
      </c>
      <c r="HZF25" t="s">
        <v>6984</v>
      </c>
      <c r="HZG25" t="s">
        <v>6984</v>
      </c>
      <c r="HZH25" t="s">
        <v>6984</v>
      </c>
      <c r="HZI25" t="s">
        <v>6984</v>
      </c>
      <c r="HZJ25" t="s">
        <v>6984</v>
      </c>
      <c r="HZK25" t="s">
        <v>6984</v>
      </c>
      <c r="HZL25" t="s">
        <v>6984</v>
      </c>
      <c r="HZM25" t="s">
        <v>6984</v>
      </c>
      <c r="HZN25" t="s">
        <v>6984</v>
      </c>
      <c r="HZO25" t="s">
        <v>6984</v>
      </c>
      <c r="HZP25" t="s">
        <v>6984</v>
      </c>
      <c r="HZQ25" t="s">
        <v>6984</v>
      </c>
      <c r="HZR25" t="s">
        <v>6984</v>
      </c>
      <c r="HZS25" t="s">
        <v>6984</v>
      </c>
      <c r="HZT25" t="s">
        <v>6984</v>
      </c>
      <c r="HZU25" t="s">
        <v>6984</v>
      </c>
      <c r="HZV25" t="s">
        <v>6984</v>
      </c>
      <c r="HZW25" t="s">
        <v>6984</v>
      </c>
      <c r="HZX25" t="s">
        <v>6984</v>
      </c>
      <c r="HZY25" t="s">
        <v>6984</v>
      </c>
      <c r="HZZ25" t="s">
        <v>6984</v>
      </c>
      <c r="IAA25" t="s">
        <v>6984</v>
      </c>
      <c r="IAB25" t="s">
        <v>6984</v>
      </c>
      <c r="IAC25" t="s">
        <v>6984</v>
      </c>
      <c r="IAD25" t="s">
        <v>6984</v>
      </c>
      <c r="IAE25" t="s">
        <v>6984</v>
      </c>
      <c r="IAF25" t="s">
        <v>6984</v>
      </c>
      <c r="IAG25" t="s">
        <v>6984</v>
      </c>
      <c r="IAH25" t="s">
        <v>6984</v>
      </c>
      <c r="IAI25" t="s">
        <v>6984</v>
      </c>
      <c r="IAJ25" t="s">
        <v>6984</v>
      </c>
      <c r="IAK25" t="s">
        <v>6984</v>
      </c>
      <c r="IAL25" t="s">
        <v>6984</v>
      </c>
      <c r="IAM25" t="s">
        <v>6984</v>
      </c>
      <c r="IAN25" t="s">
        <v>6984</v>
      </c>
      <c r="IAO25" t="s">
        <v>6984</v>
      </c>
      <c r="IAP25" t="s">
        <v>6984</v>
      </c>
      <c r="IAQ25" t="s">
        <v>6984</v>
      </c>
      <c r="IAR25" t="s">
        <v>6984</v>
      </c>
      <c r="IAS25" t="s">
        <v>6984</v>
      </c>
      <c r="IAT25" t="s">
        <v>6984</v>
      </c>
      <c r="IAU25" t="s">
        <v>6984</v>
      </c>
      <c r="IAV25" t="s">
        <v>6984</v>
      </c>
      <c r="IAW25" t="s">
        <v>6984</v>
      </c>
      <c r="IAX25" t="s">
        <v>6984</v>
      </c>
      <c r="IAY25" t="s">
        <v>6984</v>
      </c>
      <c r="IAZ25" t="s">
        <v>6984</v>
      </c>
      <c r="IBA25" t="s">
        <v>6984</v>
      </c>
      <c r="IBB25" t="s">
        <v>6984</v>
      </c>
      <c r="IBC25" t="s">
        <v>6984</v>
      </c>
      <c r="IBD25" t="s">
        <v>6984</v>
      </c>
      <c r="IBE25" t="s">
        <v>6984</v>
      </c>
      <c r="IBF25" t="s">
        <v>6984</v>
      </c>
      <c r="IBG25" t="s">
        <v>6984</v>
      </c>
      <c r="IBH25" t="s">
        <v>6984</v>
      </c>
      <c r="IBI25" t="s">
        <v>6984</v>
      </c>
      <c r="IBJ25" t="s">
        <v>6984</v>
      </c>
      <c r="IBK25" t="s">
        <v>6984</v>
      </c>
      <c r="IBL25" t="s">
        <v>6984</v>
      </c>
      <c r="IBM25" t="s">
        <v>6984</v>
      </c>
      <c r="IBN25" t="s">
        <v>6984</v>
      </c>
      <c r="IBO25" t="s">
        <v>6984</v>
      </c>
      <c r="IBP25" t="s">
        <v>6984</v>
      </c>
      <c r="IBQ25" t="s">
        <v>6984</v>
      </c>
      <c r="IBR25" t="s">
        <v>6984</v>
      </c>
      <c r="IBS25" t="s">
        <v>6984</v>
      </c>
      <c r="IBT25" t="s">
        <v>6984</v>
      </c>
      <c r="IBU25" t="s">
        <v>6984</v>
      </c>
      <c r="IBV25" t="s">
        <v>6984</v>
      </c>
      <c r="IBW25" t="s">
        <v>6984</v>
      </c>
      <c r="IBX25" t="s">
        <v>6984</v>
      </c>
      <c r="IBY25" t="s">
        <v>6984</v>
      </c>
      <c r="IBZ25" t="s">
        <v>6984</v>
      </c>
      <c r="ICA25" t="s">
        <v>6984</v>
      </c>
      <c r="ICB25" t="s">
        <v>6984</v>
      </c>
      <c r="ICC25" t="s">
        <v>6984</v>
      </c>
      <c r="ICD25" t="s">
        <v>6984</v>
      </c>
      <c r="ICE25" t="s">
        <v>6984</v>
      </c>
      <c r="ICF25" t="s">
        <v>6984</v>
      </c>
      <c r="ICG25" t="s">
        <v>6984</v>
      </c>
      <c r="ICH25" t="s">
        <v>6984</v>
      </c>
      <c r="ICI25" t="s">
        <v>6984</v>
      </c>
      <c r="ICJ25" t="s">
        <v>6984</v>
      </c>
      <c r="ICK25" t="s">
        <v>6984</v>
      </c>
      <c r="ICL25" t="s">
        <v>6984</v>
      </c>
      <c r="ICM25" t="s">
        <v>6984</v>
      </c>
      <c r="ICN25" t="s">
        <v>6984</v>
      </c>
      <c r="ICO25" t="s">
        <v>6984</v>
      </c>
      <c r="ICP25" t="s">
        <v>6984</v>
      </c>
      <c r="ICQ25" t="s">
        <v>6984</v>
      </c>
      <c r="ICR25" t="s">
        <v>6984</v>
      </c>
      <c r="ICS25" t="s">
        <v>6984</v>
      </c>
      <c r="ICT25" t="s">
        <v>6984</v>
      </c>
      <c r="ICU25" t="s">
        <v>6984</v>
      </c>
      <c r="ICV25" t="s">
        <v>6984</v>
      </c>
      <c r="ICW25" t="s">
        <v>6984</v>
      </c>
      <c r="ICX25" t="s">
        <v>6984</v>
      </c>
      <c r="ICY25" t="s">
        <v>6984</v>
      </c>
      <c r="ICZ25" t="s">
        <v>6984</v>
      </c>
      <c r="IDA25" t="s">
        <v>6984</v>
      </c>
      <c r="IDB25" t="s">
        <v>6984</v>
      </c>
      <c r="IDC25" t="s">
        <v>6984</v>
      </c>
      <c r="IDD25" t="s">
        <v>6984</v>
      </c>
      <c r="IDE25" t="s">
        <v>6984</v>
      </c>
      <c r="IDF25" t="s">
        <v>6984</v>
      </c>
      <c r="IDG25" t="s">
        <v>6984</v>
      </c>
      <c r="IDH25" t="s">
        <v>6984</v>
      </c>
      <c r="IDI25" t="s">
        <v>6984</v>
      </c>
      <c r="IDJ25" t="s">
        <v>6984</v>
      </c>
      <c r="IDK25" t="s">
        <v>6984</v>
      </c>
      <c r="IDL25" t="s">
        <v>6984</v>
      </c>
      <c r="IDM25" t="s">
        <v>6984</v>
      </c>
      <c r="IDN25" t="s">
        <v>6984</v>
      </c>
      <c r="IDO25" t="s">
        <v>6984</v>
      </c>
      <c r="IDP25" t="s">
        <v>6984</v>
      </c>
      <c r="IDQ25" t="s">
        <v>6984</v>
      </c>
      <c r="IDR25" t="s">
        <v>6984</v>
      </c>
      <c r="IDS25" t="s">
        <v>6984</v>
      </c>
      <c r="IDT25" t="s">
        <v>6984</v>
      </c>
      <c r="IDU25" t="s">
        <v>6984</v>
      </c>
      <c r="IDV25" t="s">
        <v>6984</v>
      </c>
      <c r="IDW25" t="s">
        <v>6984</v>
      </c>
      <c r="IDX25" t="s">
        <v>6984</v>
      </c>
      <c r="IDY25" t="s">
        <v>6984</v>
      </c>
      <c r="IDZ25" t="s">
        <v>6984</v>
      </c>
      <c r="IEA25" t="s">
        <v>6984</v>
      </c>
      <c r="IEB25" t="s">
        <v>6984</v>
      </c>
      <c r="IEC25" t="s">
        <v>6984</v>
      </c>
      <c r="IED25" t="s">
        <v>6984</v>
      </c>
      <c r="IEE25" t="s">
        <v>6984</v>
      </c>
      <c r="IEF25" t="s">
        <v>6984</v>
      </c>
      <c r="IEG25" t="s">
        <v>6984</v>
      </c>
      <c r="IEH25" t="s">
        <v>6984</v>
      </c>
      <c r="IEI25" t="s">
        <v>6984</v>
      </c>
      <c r="IEJ25" t="s">
        <v>6984</v>
      </c>
      <c r="IEK25" t="s">
        <v>6984</v>
      </c>
      <c r="IEL25" t="s">
        <v>6984</v>
      </c>
      <c r="IEM25" t="s">
        <v>6984</v>
      </c>
      <c r="IEN25" t="s">
        <v>6984</v>
      </c>
      <c r="IEO25" t="s">
        <v>6984</v>
      </c>
      <c r="IEP25" t="s">
        <v>6984</v>
      </c>
      <c r="IEQ25" t="s">
        <v>6984</v>
      </c>
      <c r="IER25" t="s">
        <v>6984</v>
      </c>
      <c r="IES25" t="s">
        <v>6984</v>
      </c>
      <c r="IET25" t="s">
        <v>6984</v>
      </c>
      <c r="IEU25" t="s">
        <v>6984</v>
      </c>
      <c r="IEV25" t="s">
        <v>6984</v>
      </c>
      <c r="IEW25" t="s">
        <v>6984</v>
      </c>
      <c r="IEX25" t="s">
        <v>6984</v>
      </c>
      <c r="IEY25" t="s">
        <v>6984</v>
      </c>
      <c r="IEZ25" t="s">
        <v>6984</v>
      </c>
      <c r="IFA25" t="s">
        <v>6984</v>
      </c>
      <c r="IFB25" t="s">
        <v>6984</v>
      </c>
      <c r="IFC25" t="s">
        <v>6984</v>
      </c>
      <c r="IFD25" t="s">
        <v>6984</v>
      </c>
      <c r="IFE25" t="s">
        <v>6984</v>
      </c>
      <c r="IFF25" t="s">
        <v>6984</v>
      </c>
      <c r="IFG25" t="s">
        <v>6984</v>
      </c>
      <c r="IFH25" t="s">
        <v>6984</v>
      </c>
      <c r="IFI25" t="s">
        <v>6984</v>
      </c>
      <c r="IFJ25" t="s">
        <v>6984</v>
      </c>
      <c r="IFK25" t="s">
        <v>6984</v>
      </c>
      <c r="IFL25" t="s">
        <v>6984</v>
      </c>
      <c r="IFM25" t="s">
        <v>6984</v>
      </c>
      <c r="IFN25" t="s">
        <v>6984</v>
      </c>
      <c r="IFO25" t="s">
        <v>6984</v>
      </c>
      <c r="IFP25" t="s">
        <v>6984</v>
      </c>
      <c r="IFQ25" t="s">
        <v>6984</v>
      </c>
      <c r="IFR25" t="s">
        <v>6984</v>
      </c>
      <c r="IFS25" t="s">
        <v>6984</v>
      </c>
      <c r="IFT25" t="s">
        <v>6984</v>
      </c>
      <c r="IFU25" t="s">
        <v>6984</v>
      </c>
      <c r="IFV25" t="s">
        <v>6984</v>
      </c>
      <c r="IFW25" t="s">
        <v>6984</v>
      </c>
      <c r="IFX25" t="s">
        <v>6984</v>
      </c>
      <c r="IFY25" t="s">
        <v>6984</v>
      </c>
      <c r="IFZ25" t="s">
        <v>6984</v>
      </c>
      <c r="IGA25" t="s">
        <v>6984</v>
      </c>
      <c r="IGB25" t="s">
        <v>6984</v>
      </c>
      <c r="IGC25" t="s">
        <v>6984</v>
      </c>
      <c r="IGD25" t="s">
        <v>6984</v>
      </c>
      <c r="IGE25" t="s">
        <v>6984</v>
      </c>
      <c r="IGF25" t="s">
        <v>6984</v>
      </c>
      <c r="IGG25" t="s">
        <v>6984</v>
      </c>
      <c r="IGH25" t="s">
        <v>6984</v>
      </c>
      <c r="IGI25" t="s">
        <v>6984</v>
      </c>
      <c r="IGJ25" t="s">
        <v>6984</v>
      </c>
      <c r="IGK25" t="s">
        <v>6984</v>
      </c>
      <c r="IGL25" t="s">
        <v>6984</v>
      </c>
      <c r="IGM25" t="s">
        <v>6984</v>
      </c>
      <c r="IGN25" t="s">
        <v>6984</v>
      </c>
      <c r="IGO25" t="s">
        <v>6984</v>
      </c>
      <c r="IGP25" t="s">
        <v>6984</v>
      </c>
      <c r="IGQ25" t="s">
        <v>6984</v>
      </c>
      <c r="IGR25" t="s">
        <v>6984</v>
      </c>
      <c r="IGS25" t="s">
        <v>6984</v>
      </c>
      <c r="IGT25" t="s">
        <v>6984</v>
      </c>
      <c r="IGU25" t="s">
        <v>6984</v>
      </c>
      <c r="IGV25" t="s">
        <v>6984</v>
      </c>
      <c r="IGW25" t="s">
        <v>6984</v>
      </c>
      <c r="IGX25" t="s">
        <v>6984</v>
      </c>
      <c r="IGY25" t="s">
        <v>6984</v>
      </c>
      <c r="IGZ25" t="s">
        <v>6984</v>
      </c>
      <c r="IHA25" t="s">
        <v>6984</v>
      </c>
      <c r="IHB25" t="s">
        <v>6984</v>
      </c>
      <c r="IHC25" t="s">
        <v>6984</v>
      </c>
      <c r="IHD25" t="s">
        <v>6984</v>
      </c>
      <c r="IHE25" t="s">
        <v>6984</v>
      </c>
      <c r="IHF25" t="s">
        <v>6984</v>
      </c>
      <c r="IHG25" t="s">
        <v>6984</v>
      </c>
      <c r="IHH25" t="s">
        <v>6984</v>
      </c>
      <c r="IHI25" t="s">
        <v>6984</v>
      </c>
      <c r="IHJ25" t="s">
        <v>6984</v>
      </c>
      <c r="IHK25" t="s">
        <v>6984</v>
      </c>
      <c r="IHL25" t="s">
        <v>6984</v>
      </c>
      <c r="IHM25" t="s">
        <v>6984</v>
      </c>
      <c r="IHN25" t="s">
        <v>6984</v>
      </c>
      <c r="IHO25" t="s">
        <v>6984</v>
      </c>
      <c r="IHP25" t="s">
        <v>6984</v>
      </c>
      <c r="IHQ25" t="s">
        <v>6984</v>
      </c>
      <c r="IHR25" t="s">
        <v>6984</v>
      </c>
      <c r="IHS25" t="s">
        <v>6984</v>
      </c>
      <c r="IHT25" t="s">
        <v>6984</v>
      </c>
      <c r="IHU25" t="s">
        <v>6984</v>
      </c>
      <c r="IHV25" t="s">
        <v>6984</v>
      </c>
      <c r="IHW25" t="s">
        <v>6984</v>
      </c>
      <c r="IHX25" t="s">
        <v>6984</v>
      </c>
      <c r="IHY25" t="s">
        <v>6984</v>
      </c>
      <c r="IHZ25" t="s">
        <v>6984</v>
      </c>
      <c r="IIA25" t="s">
        <v>6984</v>
      </c>
      <c r="IIB25" t="s">
        <v>6984</v>
      </c>
      <c r="IIC25" t="s">
        <v>6984</v>
      </c>
      <c r="IID25" t="s">
        <v>6984</v>
      </c>
      <c r="IIE25" t="s">
        <v>6984</v>
      </c>
      <c r="IIF25" t="s">
        <v>6984</v>
      </c>
      <c r="IIG25" t="s">
        <v>6984</v>
      </c>
      <c r="IIH25" t="s">
        <v>6984</v>
      </c>
      <c r="III25" t="s">
        <v>6984</v>
      </c>
      <c r="IIJ25" t="s">
        <v>6984</v>
      </c>
      <c r="IIK25" t="s">
        <v>6984</v>
      </c>
      <c r="IIL25" t="s">
        <v>6984</v>
      </c>
      <c r="IIM25" t="s">
        <v>6984</v>
      </c>
      <c r="IIN25" t="s">
        <v>6984</v>
      </c>
      <c r="IIO25" t="s">
        <v>6984</v>
      </c>
      <c r="IIP25" t="s">
        <v>6984</v>
      </c>
      <c r="IIQ25" t="s">
        <v>6984</v>
      </c>
      <c r="IIR25" t="s">
        <v>6984</v>
      </c>
      <c r="IIS25" t="s">
        <v>6984</v>
      </c>
      <c r="IIT25" t="s">
        <v>6984</v>
      </c>
      <c r="IIU25" t="s">
        <v>6984</v>
      </c>
      <c r="IIV25" t="s">
        <v>6984</v>
      </c>
      <c r="IIW25" t="s">
        <v>6984</v>
      </c>
      <c r="IIX25" t="s">
        <v>6984</v>
      </c>
      <c r="IIY25" t="s">
        <v>6984</v>
      </c>
      <c r="IIZ25" t="s">
        <v>6984</v>
      </c>
      <c r="IJA25" t="s">
        <v>6984</v>
      </c>
      <c r="IJB25" t="s">
        <v>6984</v>
      </c>
      <c r="IJC25" t="s">
        <v>6984</v>
      </c>
      <c r="IJD25" t="s">
        <v>6984</v>
      </c>
      <c r="IJE25" t="s">
        <v>6984</v>
      </c>
      <c r="IJF25" t="s">
        <v>6984</v>
      </c>
      <c r="IJG25" t="s">
        <v>6984</v>
      </c>
      <c r="IJH25" t="s">
        <v>6984</v>
      </c>
      <c r="IJI25" t="s">
        <v>6984</v>
      </c>
      <c r="IJJ25" t="s">
        <v>6984</v>
      </c>
      <c r="IJK25" t="s">
        <v>6984</v>
      </c>
      <c r="IJL25" t="s">
        <v>6984</v>
      </c>
      <c r="IJM25" t="s">
        <v>6984</v>
      </c>
      <c r="IJN25" t="s">
        <v>6984</v>
      </c>
      <c r="IJO25" t="s">
        <v>6984</v>
      </c>
      <c r="IJP25" t="s">
        <v>6984</v>
      </c>
      <c r="IJQ25" t="s">
        <v>6984</v>
      </c>
      <c r="IJR25" t="s">
        <v>6984</v>
      </c>
      <c r="IJS25" t="s">
        <v>6984</v>
      </c>
      <c r="IJT25" t="s">
        <v>6984</v>
      </c>
      <c r="IJU25" t="s">
        <v>6984</v>
      </c>
      <c r="IJV25" t="s">
        <v>6984</v>
      </c>
      <c r="IJW25" t="s">
        <v>6984</v>
      </c>
      <c r="IJX25" t="s">
        <v>6984</v>
      </c>
      <c r="IJY25" t="s">
        <v>6984</v>
      </c>
      <c r="IJZ25" t="s">
        <v>6984</v>
      </c>
      <c r="IKA25" t="s">
        <v>6984</v>
      </c>
      <c r="IKB25" t="s">
        <v>6984</v>
      </c>
      <c r="IKC25" t="s">
        <v>6984</v>
      </c>
      <c r="IKD25" t="s">
        <v>6984</v>
      </c>
      <c r="IKE25" t="s">
        <v>6984</v>
      </c>
      <c r="IKF25" t="s">
        <v>6984</v>
      </c>
      <c r="IKG25" t="s">
        <v>6984</v>
      </c>
      <c r="IKH25" t="s">
        <v>6984</v>
      </c>
      <c r="IKI25" t="s">
        <v>6984</v>
      </c>
      <c r="IKJ25" t="s">
        <v>6984</v>
      </c>
      <c r="IKK25" t="s">
        <v>6984</v>
      </c>
      <c r="IKL25" t="s">
        <v>6984</v>
      </c>
      <c r="IKM25" t="s">
        <v>6984</v>
      </c>
      <c r="IKN25" t="s">
        <v>6984</v>
      </c>
      <c r="IKO25" t="s">
        <v>6984</v>
      </c>
      <c r="IKP25" t="s">
        <v>6984</v>
      </c>
      <c r="IKQ25" t="s">
        <v>6984</v>
      </c>
      <c r="IKR25" t="s">
        <v>6984</v>
      </c>
      <c r="IKS25" t="s">
        <v>6984</v>
      </c>
      <c r="IKT25" t="s">
        <v>6984</v>
      </c>
      <c r="IKU25" t="s">
        <v>6984</v>
      </c>
      <c r="IKV25" t="s">
        <v>6984</v>
      </c>
      <c r="IKW25" t="s">
        <v>6984</v>
      </c>
      <c r="IKX25" t="s">
        <v>6984</v>
      </c>
      <c r="IKY25" t="s">
        <v>6984</v>
      </c>
      <c r="IKZ25" t="s">
        <v>6984</v>
      </c>
      <c r="ILA25" t="s">
        <v>6984</v>
      </c>
      <c r="ILB25" t="s">
        <v>6984</v>
      </c>
      <c r="ILC25" t="s">
        <v>6984</v>
      </c>
      <c r="ILD25" t="s">
        <v>6984</v>
      </c>
      <c r="ILE25" t="s">
        <v>6984</v>
      </c>
      <c r="ILF25" t="s">
        <v>6984</v>
      </c>
      <c r="ILG25" t="s">
        <v>6984</v>
      </c>
      <c r="ILH25" t="s">
        <v>6984</v>
      </c>
      <c r="ILI25" t="s">
        <v>6984</v>
      </c>
      <c r="ILJ25" t="s">
        <v>6984</v>
      </c>
      <c r="ILK25" t="s">
        <v>6984</v>
      </c>
      <c r="ILL25" t="s">
        <v>6984</v>
      </c>
      <c r="ILM25" t="s">
        <v>6984</v>
      </c>
      <c r="ILN25" t="s">
        <v>6984</v>
      </c>
      <c r="ILO25" t="s">
        <v>6984</v>
      </c>
      <c r="ILP25" t="s">
        <v>6984</v>
      </c>
      <c r="ILQ25" t="s">
        <v>6984</v>
      </c>
      <c r="ILR25" t="s">
        <v>6984</v>
      </c>
      <c r="ILS25" t="s">
        <v>6984</v>
      </c>
      <c r="ILT25" t="s">
        <v>6984</v>
      </c>
      <c r="ILU25" t="s">
        <v>6984</v>
      </c>
      <c r="ILV25" t="s">
        <v>6984</v>
      </c>
      <c r="ILW25" t="s">
        <v>6984</v>
      </c>
      <c r="ILX25" t="s">
        <v>6984</v>
      </c>
      <c r="ILY25" t="s">
        <v>6984</v>
      </c>
      <c r="ILZ25" t="s">
        <v>6984</v>
      </c>
      <c r="IMA25" t="s">
        <v>6984</v>
      </c>
      <c r="IMB25" t="s">
        <v>6984</v>
      </c>
      <c r="IMC25" t="s">
        <v>6984</v>
      </c>
      <c r="IMD25" t="s">
        <v>6984</v>
      </c>
      <c r="IME25" t="s">
        <v>6984</v>
      </c>
      <c r="IMF25" t="s">
        <v>6984</v>
      </c>
      <c r="IMG25" t="s">
        <v>6984</v>
      </c>
      <c r="IMH25" t="s">
        <v>6984</v>
      </c>
      <c r="IMI25" t="s">
        <v>6984</v>
      </c>
      <c r="IMJ25" t="s">
        <v>6984</v>
      </c>
      <c r="IMK25" t="s">
        <v>6984</v>
      </c>
      <c r="IML25" t="s">
        <v>6984</v>
      </c>
      <c r="IMM25" t="s">
        <v>6984</v>
      </c>
      <c r="IMN25" t="s">
        <v>6984</v>
      </c>
      <c r="IMO25" t="s">
        <v>6984</v>
      </c>
      <c r="IMP25" t="s">
        <v>6984</v>
      </c>
      <c r="IMQ25" t="s">
        <v>6984</v>
      </c>
      <c r="IMR25" t="s">
        <v>6984</v>
      </c>
      <c r="IMS25" t="s">
        <v>6984</v>
      </c>
      <c r="IMT25" t="s">
        <v>6984</v>
      </c>
      <c r="IMU25" t="s">
        <v>6984</v>
      </c>
      <c r="IMV25" t="s">
        <v>6984</v>
      </c>
      <c r="IMW25" t="s">
        <v>6984</v>
      </c>
      <c r="IMX25" t="s">
        <v>6984</v>
      </c>
      <c r="IMY25" t="s">
        <v>6984</v>
      </c>
      <c r="IMZ25" t="s">
        <v>6984</v>
      </c>
      <c r="INA25" t="s">
        <v>6984</v>
      </c>
      <c r="INB25" t="s">
        <v>6984</v>
      </c>
      <c r="INC25" t="s">
        <v>6984</v>
      </c>
      <c r="IND25" t="s">
        <v>6984</v>
      </c>
      <c r="INE25" t="s">
        <v>6984</v>
      </c>
      <c r="INF25" t="s">
        <v>6984</v>
      </c>
      <c r="ING25" t="s">
        <v>6984</v>
      </c>
      <c r="INH25" t="s">
        <v>6984</v>
      </c>
      <c r="INI25" t="s">
        <v>6984</v>
      </c>
      <c r="INJ25" t="s">
        <v>6984</v>
      </c>
      <c r="INK25" t="s">
        <v>6984</v>
      </c>
      <c r="INL25" t="s">
        <v>6984</v>
      </c>
      <c r="INM25" t="s">
        <v>6984</v>
      </c>
      <c r="INN25" t="s">
        <v>6984</v>
      </c>
      <c r="INO25" t="s">
        <v>6984</v>
      </c>
      <c r="INP25" t="s">
        <v>6984</v>
      </c>
      <c r="INQ25" t="s">
        <v>6984</v>
      </c>
      <c r="INR25" t="s">
        <v>6984</v>
      </c>
      <c r="INS25" t="s">
        <v>6984</v>
      </c>
      <c r="INT25" t="s">
        <v>6984</v>
      </c>
      <c r="INU25" t="s">
        <v>6984</v>
      </c>
      <c r="INV25" t="s">
        <v>6984</v>
      </c>
      <c r="INW25" t="s">
        <v>6984</v>
      </c>
      <c r="INX25" t="s">
        <v>6984</v>
      </c>
      <c r="INY25" t="s">
        <v>6984</v>
      </c>
      <c r="INZ25" t="s">
        <v>6984</v>
      </c>
      <c r="IOA25" t="s">
        <v>6984</v>
      </c>
      <c r="IOB25" t="s">
        <v>6984</v>
      </c>
      <c r="IOC25" t="s">
        <v>6984</v>
      </c>
      <c r="IOD25" t="s">
        <v>6984</v>
      </c>
      <c r="IOE25" t="s">
        <v>6984</v>
      </c>
      <c r="IOF25" t="s">
        <v>6984</v>
      </c>
      <c r="IOG25" t="s">
        <v>6984</v>
      </c>
      <c r="IOH25" t="s">
        <v>6984</v>
      </c>
      <c r="IOI25" t="s">
        <v>6984</v>
      </c>
      <c r="IOJ25" t="s">
        <v>6984</v>
      </c>
      <c r="IOK25" t="s">
        <v>6984</v>
      </c>
      <c r="IOL25" t="s">
        <v>6984</v>
      </c>
      <c r="IOM25" t="s">
        <v>6984</v>
      </c>
      <c r="ION25" t="s">
        <v>6984</v>
      </c>
      <c r="IOO25" t="s">
        <v>6984</v>
      </c>
      <c r="IOP25" t="s">
        <v>6984</v>
      </c>
      <c r="IOQ25" t="s">
        <v>6984</v>
      </c>
      <c r="IOR25" t="s">
        <v>6984</v>
      </c>
      <c r="IOS25" t="s">
        <v>6984</v>
      </c>
      <c r="IOT25" t="s">
        <v>6984</v>
      </c>
      <c r="IOU25" t="s">
        <v>6984</v>
      </c>
      <c r="IOV25" t="s">
        <v>6984</v>
      </c>
      <c r="IOW25" t="s">
        <v>6984</v>
      </c>
      <c r="IOX25" t="s">
        <v>6984</v>
      </c>
      <c r="IOY25" t="s">
        <v>6984</v>
      </c>
      <c r="IOZ25" t="s">
        <v>6984</v>
      </c>
      <c r="IPA25" t="s">
        <v>6984</v>
      </c>
      <c r="IPB25" t="s">
        <v>6984</v>
      </c>
      <c r="IPC25" t="s">
        <v>6984</v>
      </c>
      <c r="IPD25" t="s">
        <v>6984</v>
      </c>
      <c r="IPE25" t="s">
        <v>6984</v>
      </c>
      <c r="IPF25" t="s">
        <v>6984</v>
      </c>
      <c r="IPG25" t="s">
        <v>6984</v>
      </c>
      <c r="IPH25" t="s">
        <v>6984</v>
      </c>
      <c r="IPI25" t="s">
        <v>6984</v>
      </c>
      <c r="IPJ25" t="s">
        <v>6984</v>
      </c>
      <c r="IPK25" t="s">
        <v>6984</v>
      </c>
      <c r="IPL25" t="s">
        <v>6984</v>
      </c>
      <c r="IPM25" t="s">
        <v>6984</v>
      </c>
      <c r="IPN25" t="s">
        <v>6984</v>
      </c>
      <c r="IPO25" t="s">
        <v>6984</v>
      </c>
      <c r="IPP25" t="s">
        <v>6984</v>
      </c>
      <c r="IPQ25" t="s">
        <v>6984</v>
      </c>
      <c r="IPR25" t="s">
        <v>6984</v>
      </c>
      <c r="IPS25" t="s">
        <v>6984</v>
      </c>
      <c r="IPT25" t="s">
        <v>6984</v>
      </c>
      <c r="IPU25" t="s">
        <v>6984</v>
      </c>
      <c r="IPV25" t="s">
        <v>6984</v>
      </c>
      <c r="IPW25" t="s">
        <v>6984</v>
      </c>
      <c r="IPX25" t="s">
        <v>6984</v>
      </c>
      <c r="IPY25" t="s">
        <v>6984</v>
      </c>
      <c r="IPZ25" t="s">
        <v>6984</v>
      </c>
      <c r="IQA25" t="s">
        <v>6984</v>
      </c>
      <c r="IQB25" t="s">
        <v>6984</v>
      </c>
      <c r="IQC25" t="s">
        <v>6984</v>
      </c>
      <c r="IQD25" t="s">
        <v>6984</v>
      </c>
      <c r="IQE25" t="s">
        <v>6984</v>
      </c>
      <c r="IQF25" t="s">
        <v>6984</v>
      </c>
      <c r="IQG25" t="s">
        <v>6984</v>
      </c>
      <c r="IQH25" t="s">
        <v>6984</v>
      </c>
      <c r="IQI25" t="s">
        <v>6984</v>
      </c>
      <c r="IQJ25" t="s">
        <v>6984</v>
      </c>
      <c r="IQK25" t="s">
        <v>6984</v>
      </c>
      <c r="IQL25" t="s">
        <v>6984</v>
      </c>
      <c r="IQM25" t="s">
        <v>6984</v>
      </c>
      <c r="IQN25" t="s">
        <v>6984</v>
      </c>
      <c r="IQO25" t="s">
        <v>6984</v>
      </c>
      <c r="IQP25" t="s">
        <v>6984</v>
      </c>
      <c r="IQQ25" t="s">
        <v>6984</v>
      </c>
      <c r="IQR25" t="s">
        <v>6984</v>
      </c>
      <c r="IQS25" t="s">
        <v>6984</v>
      </c>
      <c r="IQT25" t="s">
        <v>6984</v>
      </c>
      <c r="IQU25" t="s">
        <v>6984</v>
      </c>
      <c r="IQV25" t="s">
        <v>6984</v>
      </c>
      <c r="IQW25" t="s">
        <v>6984</v>
      </c>
      <c r="IQX25" t="s">
        <v>6984</v>
      </c>
      <c r="IQY25" t="s">
        <v>6984</v>
      </c>
      <c r="IQZ25" t="s">
        <v>6984</v>
      </c>
      <c r="IRA25" t="s">
        <v>6984</v>
      </c>
      <c r="IRB25" t="s">
        <v>6984</v>
      </c>
      <c r="IRC25" t="s">
        <v>6984</v>
      </c>
      <c r="IRD25" t="s">
        <v>6984</v>
      </c>
      <c r="IRE25" t="s">
        <v>6984</v>
      </c>
      <c r="IRF25" t="s">
        <v>6984</v>
      </c>
      <c r="IRG25" t="s">
        <v>6984</v>
      </c>
      <c r="IRH25" t="s">
        <v>6984</v>
      </c>
      <c r="IRI25" t="s">
        <v>6984</v>
      </c>
      <c r="IRJ25" t="s">
        <v>6984</v>
      </c>
      <c r="IRK25" t="s">
        <v>6984</v>
      </c>
      <c r="IRL25" t="s">
        <v>6984</v>
      </c>
      <c r="IRM25" t="s">
        <v>6984</v>
      </c>
      <c r="IRN25" t="s">
        <v>6984</v>
      </c>
      <c r="IRO25" t="s">
        <v>6984</v>
      </c>
      <c r="IRP25" t="s">
        <v>6984</v>
      </c>
      <c r="IRQ25" t="s">
        <v>6984</v>
      </c>
      <c r="IRR25" t="s">
        <v>6984</v>
      </c>
      <c r="IRS25" t="s">
        <v>6984</v>
      </c>
      <c r="IRT25" t="s">
        <v>6984</v>
      </c>
      <c r="IRU25" t="s">
        <v>6984</v>
      </c>
      <c r="IRV25" t="s">
        <v>6984</v>
      </c>
      <c r="IRW25" t="s">
        <v>6984</v>
      </c>
      <c r="IRX25" t="s">
        <v>6984</v>
      </c>
      <c r="IRY25" t="s">
        <v>6984</v>
      </c>
      <c r="IRZ25" t="s">
        <v>6984</v>
      </c>
      <c r="ISA25" t="s">
        <v>6984</v>
      </c>
      <c r="ISB25" t="s">
        <v>6984</v>
      </c>
      <c r="ISC25" t="s">
        <v>6984</v>
      </c>
      <c r="ISD25" t="s">
        <v>6984</v>
      </c>
      <c r="ISE25" t="s">
        <v>6984</v>
      </c>
      <c r="ISF25" t="s">
        <v>6984</v>
      </c>
      <c r="ISG25" t="s">
        <v>6984</v>
      </c>
      <c r="ISH25" t="s">
        <v>6984</v>
      </c>
      <c r="ISI25" t="s">
        <v>6984</v>
      </c>
      <c r="ISJ25" t="s">
        <v>6984</v>
      </c>
      <c r="ISK25" t="s">
        <v>6984</v>
      </c>
      <c r="ISL25" t="s">
        <v>6984</v>
      </c>
      <c r="ISM25" t="s">
        <v>6984</v>
      </c>
      <c r="ISN25" t="s">
        <v>6984</v>
      </c>
      <c r="ISO25" t="s">
        <v>6984</v>
      </c>
      <c r="ISP25" t="s">
        <v>6984</v>
      </c>
      <c r="ISQ25" t="s">
        <v>6984</v>
      </c>
      <c r="ISR25" t="s">
        <v>6984</v>
      </c>
      <c r="ISS25" t="s">
        <v>6984</v>
      </c>
      <c r="IST25" t="s">
        <v>6984</v>
      </c>
      <c r="ISU25" t="s">
        <v>6984</v>
      </c>
      <c r="ISV25" t="s">
        <v>6984</v>
      </c>
      <c r="ISW25" t="s">
        <v>6984</v>
      </c>
      <c r="ISX25" t="s">
        <v>6984</v>
      </c>
      <c r="ISY25" t="s">
        <v>6984</v>
      </c>
      <c r="ISZ25" t="s">
        <v>6984</v>
      </c>
      <c r="ITA25" t="s">
        <v>6984</v>
      </c>
      <c r="ITB25" t="s">
        <v>6984</v>
      </c>
      <c r="ITC25" t="s">
        <v>6984</v>
      </c>
      <c r="ITD25" t="s">
        <v>6984</v>
      </c>
      <c r="ITE25" t="s">
        <v>6984</v>
      </c>
      <c r="ITF25" t="s">
        <v>6984</v>
      </c>
      <c r="ITG25" t="s">
        <v>6984</v>
      </c>
      <c r="ITH25" t="s">
        <v>6984</v>
      </c>
      <c r="ITI25" t="s">
        <v>6984</v>
      </c>
      <c r="ITJ25" t="s">
        <v>6984</v>
      </c>
      <c r="ITK25" t="s">
        <v>6984</v>
      </c>
      <c r="ITL25" t="s">
        <v>6984</v>
      </c>
      <c r="ITM25" t="s">
        <v>6984</v>
      </c>
      <c r="ITN25" t="s">
        <v>6984</v>
      </c>
      <c r="ITO25" t="s">
        <v>6984</v>
      </c>
      <c r="ITP25" t="s">
        <v>6984</v>
      </c>
      <c r="ITQ25" t="s">
        <v>6984</v>
      </c>
      <c r="ITR25" t="s">
        <v>6984</v>
      </c>
      <c r="ITS25" t="s">
        <v>6984</v>
      </c>
      <c r="ITT25" t="s">
        <v>6984</v>
      </c>
      <c r="ITU25" t="s">
        <v>6984</v>
      </c>
      <c r="ITV25" t="s">
        <v>6984</v>
      </c>
      <c r="ITW25" t="s">
        <v>6984</v>
      </c>
      <c r="ITX25" t="s">
        <v>6984</v>
      </c>
      <c r="ITY25" t="s">
        <v>6984</v>
      </c>
      <c r="ITZ25" t="s">
        <v>6984</v>
      </c>
      <c r="IUA25" t="s">
        <v>6984</v>
      </c>
      <c r="IUB25" t="s">
        <v>6984</v>
      </c>
      <c r="IUC25" t="s">
        <v>6984</v>
      </c>
      <c r="IUD25" t="s">
        <v>6984</v>
      </c>
      <c r="IUE25" t="s">
        <v>6984</v>
      </c>
      <c r="IUF25" t="s">
        <v>6984</v>
      </c>
      <c r="IUG25" t="s">
        <v>6984</v>
      </c>
      <c r="IUH25" t="s">
        <v>6984</v>
      </c>
      <c r="IUI25" t="s">
        <v>6984</v>
      </c>
      <c r="IUJ25" t="s">
        <v>6984</v>
      </c>
      <c r="IUK25" t="s">
        <v>6984</v>
      </c>
      <c r="IUL25" t="s">
        <v>6984</v>
      </c>
      <c r="IUM25" t="s">
        <v>6984</v>
      </c>
      <c r="IUN25" t="s">
        <v>6984</v>
      </c>
      <c r="IUO25" t="s">
        <v>6984</v>
      </c>
      <c r="IUP25" t="s">
        <v>6984</v>
      </c>
      <c r="IUQ25" t="s">
        <v>6984</v>
      </c>
      <c r="IUR25" t="s">
        <v>6984</v>
      </c>
      <c r="IUS25" t="s">
        <v>6984</v>
      </c>
      <c r="IUT25" t="s">
        <v>6984</v>
      </c>
      <c r="IUU25" t="s">
        <v>6984</v>
      </c>
      <c r="IUV25" t="s">
        <v>6984</v>
      </c>
      <c r="IUW25" t="s">
        <v>6984</v>
      </c>
      <c r="IUX25" t="s">
        <v>6984</v>
      </c>
      <c r="IUY25" t="s">
        <v>6984</v>
      </c>
      <c r="IUZ25" t="s">
        <v>6984</v>
      </c>
      <c r="IVA25" t="s">
        <v>6984</v>
      </c>
      <c r="IVB25" t="s">
        <v>6984</v>
      </c>
      <c r="IVC25" t="s">
        <v>6984</v>
      </c>
      <c r="IVD25" t="s">
        <v>6984</v>
      </c>
      <c r="IVE25" t="s">
        <v>6984</v>
      </c>
      <c r="IVF25" t="s">
        <v>6984</v>
      </c>
      <c r="IVG25" t="s">
        <v>6984</v>
      </c>
      <c r="IVH25" t="s">
        <v>6984</v>
      </c>
      <c r="IVI25" t="s">
        <v>6984</v>
      </c>
      <c r="IVJ25" t="s">
        <v>6984</v>
      </c>
      <c r="IVK25" t="s">
        <v>6984</v>
      </c>
      <c r="IVL25" t="s">
        <v>6984</v>
      </c>
      <c r="IVM25" t="s">
        <v>6984</v>
      </c>
      <c r="IVN25" t="s">
        <v>6984</v>
      </c>
      <c r="IVO25" t="s">
        <v>6984</v>
      </c>
      <c r="IVP25" t="s">
        <v>6984</v>
      </c>
      <c r="IVQ25" t="s">
        <v>6984</v>
      </c>
      <c r="IVR25" t="s">
        <v>6984</v>
      </c>
      <c r="IVS25" t="s">
        <v>6984</v>
      </c>
      <c r="IVT25" t="s">
        <v>6984</v>
      </c>
      <c r="IVU25" t="s">
        <v>6984</v>
      </c>
      <c r="IVV25" t="s">
        <v>6984</v>
      </c>
      <c r="IVW25" t="s">
        <v>6984</v>
      </c>
      <c r="IVX25" t="s">
        <v>6984</v>
      </c>
      <c r="IVY25" t="s">
        <v>6984</v>
      </c>
      <c r="IVZ25" t="s">
        <v>6984</v>
      </c>
      <c r="IWA25" t="s">
        <v>6984</v>
      </c>
      <c r="IWB25" t="s">
        <v>6984</v>
      </c>
      <c r="IWC25" t="s">
        <v>6984</v>
      </c>
      <c r="IWD25" t="s">
        <v>6984</v>
      </c>
      <c r="IWE25" t="s">
        <v>6984</v>
      </c>
      <c r="IWF25" t="s">
        <v>6984</v>
      </c>
      <c r="IWG25" t="s">
        <v>6984</v>
      </c>
      <c r="IWH25" t="s">
        <v>6984</v>
      </c>
      <c r="IWI25" t="s">
        <v>6984</v>
      </c>
      <c r="IWJ25" t="s">
        <v>6984</v>
      </c>
      <c r="IWK25" t="s">
        <v>6984</v>
      </c>
      <c r="IWL25" t="s">
        <v>6984</v>
      </c>
      <c r="IWM25" t="s">
        <v>6984</v>
      </c>
      <c r="IWN25" t="s">
        <v>6984</v>
      </c>
      <c r="IWO25" t="s">
        <v>6984</v>
      </c>
      <c r="IWP25" t="s">
        <v>6984</v>
      </c>
      <c r="IWQ25" t="s">
        <v>6984</v>
      </c>
      <c r="IWR25" t="s">
        <v>6984</v>
      </c>
      <c r="IWS25" t="s">
        <v>6984</v>
      </c>
      <c r="IWT25" t="s">
        <v>6984</v>
      </c>
      <c r="IWU25" t="s">
        <v>6984</v>
      </c>
      <c r="IWV25" t="s">
        <v>6984</v>
      </c>
      <c r="IWW25" t="s">
        <v>6984</v>
      </c>
      <c r="IWX25" t="s">
        <v>6984</v>
      </c>
      <c r="IWY25" t="s">
        <v>6984</v>
      </c>
      <c r="IWZ25" t="s">
        <v>6984</v>
      </c>
      <c r="IXA25" t="s">
        <v>6984</v>
      </c>
      <c r="IXB25" t="s">
        <v>6984</v>
      </c>
      <c r="IXC25" t="s">
        <v>6984</v>
      </c>
      <c r="IXD25" t="s">
        <v>6984</v>
      </c>
      <c r="IXE25" t="s">
        <v>6984</v>
      </c>
      <c r="IXF25" t="s">
        <v>6984</v>
      </c>
      <c r="IXG25" t="s">
        <v>6984</v>
      </c>
      <c r="IXH25" t="s">
        <v>6984</v>
      </c>
      <c r="IXI25" t="s">
        <v>6984</v>
      </c>
      <c r="IXJ25" t="s">
        <v>6984</v>
      </c>
      <c r="IXK25" t="s">
        <v>6984</v>
      </c>
      <c r="IXL25" t="s">
        <v>6984</v>
      </c>
      <c r="IXM25" t="s">
        <v>6984</v>
      </c>
      <c r="IXN25" t="s">
        <v>6984</v>
      </c>
      <c r="IXO25" t="s">
        <v>6984</v>
      </c>
      <c r="IXP25" t="s">
        <v>6984</v>
      </c>
      <c r="IXQ25" t="s">
        <v>6984</v>
      </c>
      <c r="IXR25" t="s">
        <v>6984</v>
      </c>
      <c r="IXS25" t="s">
        <v>6984</v>
      </c>
      <c r="IXT25" t="s">
        <v>6984</v>
      </c>
      <c r="IXU25" t="s">
        <v>6984</v>
      </c>
      <c r="IXV25" t="s">
        <v>6984</v>
      </c>
      <c r="IXW25" t="s">
        <v>6984</v>
      </c>
      <c r="IXX25" t="s">
        <v>6984</v>
      </c>
      <c r="IXY25" t="s">
        <v>6984</v>
      </c>
      <c r="IXZ25" t="s">
        <v>6984</v>
      </c>
      <c r="IYA25" t="s">
        <v>6984</v>
      </c>
      <c r="IYB25" t="s">
        <v>6984</v>
      </c>
      <c r="IYC25" t="s">
        <v>6984</v>
      </c>
      <c r="IYD25" t="s">
        <v>6984</v>
      </c>
      <c r="IYE25" t="s">
        <v>6984</v>
      </c>
      <c r="IYF25" t="s">
        <v>6984</v>
      </c>
      <c r="IYG25" t="s">
        <v>6984</v>
      </c>
      <c r="IYH25" t="s">
        <v>6984</v>
      </c>
      <c r="IYI25" t="s">
        <v>6984</v>
      </c>
      <c r="IYJ25" t="s">
        <v>6984</v>
      </c>
      <c r="IYK25" t="s">
        <v>6984</v>
      </c>
      <c r="IYL25" t="s">
        <v>6984</v>
      </c>
      <c r="IYM25" t="s">
        <v>6984</v>
      </c>
      <c r="IYN25" t="s">
        <v>6984</v>
      </c>
      <c r="IYO25" t="s">
        <v>6984</v>
      </c>
      <c r="IYP25" t="s">
        <v>6984</v>
      </c>
      <c r="IYQ25" t="s">
        <v>6984</v>
      </c>
      <c r="IYR25" t="s">
        <v>6984</v>
      </c>
      <c r="IYS25" t="s">
        <v>6984</v>
      </c>
      <c r="IYT25" t="s">
        <v>6984</v>
      </c>
      <c r="IYU25" t="s">
        <v>6984</v>
      </c>
      <c r="IYV25" t="s">
        <v>6984</v>
      </c>
      <c r="IYW25" t="s">
        <v>6984</v>
      </c>
      <c r="IYX25" t="s">
        <v>6984</v>
      </c>
      <c r="IYY25" t="s">
        <v>6984</v>
      </c>
      <c r="IYZ25" t="s">
        <v>6984</v>
      </c>
      <c r="IZA25" t="s">
        <v>6984</v>
      </c>
      <c r="IZB25" t="s">
        <v>6984</v>
      </c>
      <c r="IZC25" t="s">
        <v>6984</v>
      </c>
      <c r="IZD25" t="s">
        <v>6984</v>
      </c>
      <c r="IZE25" t="s">
        <v>6984</v>
      </c>
      <c r="IZF25" t="s">
        <v>6984</v>
      </c>
      <c r="IZG25" t="s">
        <v>6984</v>
      </c>
      <c r="IZH25" t="s">
        <v>6984</v>
      </c>
      <c r="IZI25" t="s">
        <v>6984</v>
      </c>
      <c r="IZJ25" t="s">
        <v>6984</v>
      </c>
      <c r="IZK25" t="s">
        <v>6984</v>
      </c>
      <c r="IZL25" t="s">
        <v>6984</v>
      </c>
      <c r="IZM25" t="s">
        <v>6984</v>
      </c>
      <c r="IZN25" t="s">
        <v>6984</v>
      </c>
      <c r="IZO25" t="s">
        <v>6984</v>
      </c>
      <c r="IZP25" t="s">
        <v>6984</v>
      </c>
      <c r="IZQ25" t="s">
        <v>6984</v>
      </c>
      <c r="IZR25" t="s">
        <v>6984</v>
      </c>
      <c r="IZS25" t="s">
        <v>6984</v>
      </c>
      <c r="IZT25" t="s">
        <v>6984</v>
      </c>
      <c r="IZU25" t="s">
        <v>6984</v>
      </c>
      <c r="IZV25" t="s">
        <v>6984</v>
      </c>
      <c r="IZW25" t="s">
        <v>6984</v>
      </c>
      <c r="IZX25" t="s">
        <v>6984</v>
      </c>
      <c r="IZY25" t="s">
        <v>6984</v>
      </c>
      <c r="IZZ25" t="s">
        <v>6984</v>
      </c>
      <c r="JAA25" t="s">
        <v>6984</v>
      </c>
      <c r="JAB25" t="s">
        <v>6984</v>
      </c>
      <c r="JAC25" t="s">
        <v>6984</v>
      </c>
      <c r="JAD25" t="s">
        <v>6984</v>
      </c>
      <c r="JAE25" t="s">
        <v>6984</v>
      </c>
      <c r="JAF25" t="s">
        <v>6984</v>
      </c>
      <c r="JAG25" t="s">
        <v>6984</v>
      </c>
      <c r="JAH25" t="s">
        <v>6984</v>
      </c>
      <c r="JAI25" t="s">
        <v>6984</v>
      </c>
      <c r="JAJ25" t="s">
        <v>6984</v>
      </c>
      <c r="JAK25" t="s">
        <v>6984</v>
      </c>
      <c r="JAL25" t="s">
        <v>6984</v>
      </c>
      <c r="JAM25" t="s">
        <v>6984</v>
      </c>
      <c r="JAN25" t="s">
        <v>6984</v>
      </c>
      <c r="JAO25" t="s">
        <v>6984</v>
      </c>
      <c r="JAP25" t="s">
        <v>6984</v>
      </c>
      <c r="JAQ25" t="s">
        <v>6984</v>
      </c>
      <c r="JAR25" t="s">
        <v>6984</v>
      </c>
      <c r="JAS25" t="s">
        <v>6984</v>
      </c>
      <c r="JAT25" t="s">
        <v>6984</v>
      </c>
      <c r="JAU25" t="s">
        <v>6984</v>
      </c>
      <c r="JAV25" t="s">
        <v>6984</v>
      </c>
      <c r="JAW25" t="s">
        <v>6984</v>
      </c>
      <c r="JAX25" t="s">
        <v>6984</v>
      </c>
      <c r="JAY25" t="s">
        <v>6984</v>
      </c>
      <c r="JAZ25" t="s">
        <v>6984</v>
      </c>
      <c r="JBA25" t="s">
        <v>6984</v>
      </c>
      <c r="JBB25" t="s">
        <v>6984</v>
      </c>
      <c r="JBC25" t="s">
        <v>6984</v>
      </c>
      <c r="JBD25" t="s">
        <v>6984</v>
      </c>
      <c r="JBE25" t="s">
        <v>6984</v>
      </c>
      <c r="JBF25" t="s">
        <v>6984</v>
      </c>
      <c r="JBG25" t="s">
        <v>6984</v>
      </c>
      <c r="JBH25" t="s">
        <v>6984</v>
      </c>
      <c r="JBI25" t="s">
        <v>6984</v>
      </c>
      <c r="JBJ25" t="s">
        <v>6984</v>
      </c>
      <c r="JBK25" t="s">
        <v>6984</v>
      </c>
      <c r="JBL25" t="s">
        <v>6984</v>
      </c>
      <c r="JBM25" t="s">
        <v>6984</v>
      </c>
      <c r="JBN25" t="s">
        <v>6984</v>
      </c>
      <c r="JBO25" t="s">
        <v>6984</v>
      </c>
      <c r="JBP25" t="s">
        <v>6984</v>
      </c>
      <c r="JBQ25" t="s">
        <v>6984</v>
      </c>
      <c r="JBR25" t="s">
        <v>6984</v>
      </c>
      <c r="JBS25" t="s">
        <v>6984</v>
      </c>
      <c r="JBT25" t="s">
        <v>6984</v>
      </c>
      <c r="JBU25" t="s">
        <v>6984</v>
      </c>
      <c r="JBV25" t="s">
        <v>6984</v>
      </c>
      <c r="JBW25" t="s">
        <v>6984</v>
      </c>
      <c r="JBX25" t="s">
        <v>6984</v>
      </c>
      <c r="JBY25" t="s">
        <v>6984</v>
      </c>
      <c r="JBZ25" t="s">
        <v>6984</v>
      </c>
      <c r="JCA25" t="s">
        <v>6984</v>
      </c>
      <c r="JCB25" t="s">
        <v>6984</v>
      </c>
      <c r="JCC25" t="s">
        <v>6984</v>
      </c>
      <c r="JCD25" t="s">
        <v>6984</v>
      </c>
      <c r="JCE25" t="s">
        <v>6984</v>
      </c>
      <c r="JCF25" t="s">
        <v>6984</v>
      </c>
      <c r="JCG25" t="s">
        <v>6984</v>
      </c>
      <c r="JCH25" t="s">
        <v>6984</v>
      </c>
      <c r="JCI25" t="s">
        <v>6984</v>
      </c>
      <c r="JCJ25" t="s">
        <v>6984</v>
      </c>
      <c r="JCK25" t="s">
        <v>6984</v>
      </c>
      <c r="JCL25" t="s">
        <v>6984</v>
      </c>
      <c r="JCM25" t="s">
        <v>6984</v>
      </c>
      <c r="JCN25" t="s">
        <v>6984</v>
      </c>
      <c r="JCO25" t="s">
        <v>6984</v>
      </c>
      <c r="JCP25" t="s">
        <v>6984</v>
      </c>
      <c r="JCQ25" t="s">
        <v>6984</v>
      </c>
      <c r="JCR25" t="s">
        <v>6984</v>
      </c>
      <c r="JCS25" t="s">
        <v>6984</v>
      </c>
      <c r="JCT25" t="s">
        <v>6984</v>
      </c>
      <c r="JCU25" t="s">
        <v>6984</v>
      </c>
      <c r="JCV25" t="s">
        <v>6984</v>
      </c>
      <c r="JCW25" t="s">
        <v>6984</v>
      </c>
      <c r="JCX25" t="s">
        <v>6984</v>
      </c>
      <c r="JCY25" t="s">
        <v>6984</v>
      </c>
      <c r="JCZ25" t="s">
        <v>6984</v>
      </c>
      <c r="JDA25" t="s">
        <v>6984</v>
      </c>
      <c r="JDB25" t="s">
        <v>6984</v>
      </c>
      <c r="JDC25" t="s">
        <v>6984</v>
      </c>
      <c r="JDD25" t="s">
        <v>6984</v>
      </c>
      <c r="JDE25" t="s">
        <v>6984</v>
      </c>
      <c r="JDF25" t="s">
        <v>6984</v>
      </c>
      <c r="JDG25" t="s">
        <v>6984</v>
      </c>
      <c r="JDH25" t="s">
        <v>6984</v>
      </c>
      <c r="JDI25" t="s">
        <v>6984</v>
      </c>
      <c r="JDJ25" t="s">
        <v>6984</v>
      </c>
      <c r="JDK25" t="s">
        <v>6984</v>
      </c>
      <c r="JDL25" t="s">
        <v>6984</v>
      </c>
      <c r="JDM25" t="s">
        <v>6984</v>
      </c>
      <c r="JDN25" t="s">
        <v>6984</v>
      </c>
      <c r="JDO25" t="s">
        <v>6984</v>
      </c>
      <c r="JDP25" t="s">
        <v>6984</v>
      </c>
      <c r="JDQ25" t="s">
        <v>6984</v>
      </c>
      <c r="JDR25" t="s">
        <v>6984</v>
      </c>
      <c r="JDS25" t="s">
        <v>6984</v>
      </c>
      <c r="JDT25" t="s">
        <v>6984</v>
      </c>
      <c r="JDU25" t="s">
        <v>6984</v>
      </c>
      <c r="JDV25" t="s">
        <v>6984</v>
      </c>
      <c r="JDW25" t="s">
        <v>6984</v>
      </c>
      <c r="JDX25" t="s">
        <v>6984</v>
      </c>
      <c r="JDY25" t="s">
        <v>6984</v>
      </c>
      <c r="JDZ25" t="s">
        <v>6984</v>
      </c>
      <c r="JEA25" t="s">
        <v>6984</v>
      </c>
      <c r="JEB25" t="s">
        <v>6984</v>
      </c>
      <c r="JEC25" t="s">
        <v>6984</v>
      </c>
      <c r="JED25" t="s">
        <v>6984</v>
      </c>
      <c r="JEE25" t="s">
        <v>6984</v>
      </c>
      <c r="JEF25" t="s">
        <v>6984</v>
      </c>
      <c r="JEG25" t="s">
        <v>6984</v>
      </c>
      <c r="JEH25" t="s">
        <v>6984</v>
      </c>
      <c r="JEI25" t="s">
        <v>6984</v>
      </c>
      <c r="JEJ25" t="s">
        <v>6984</v>
      </c>
      <c r="JEK25" t="s">
        <v>6984</v>
      </c>
      <c r="JEL25" t="s">
        <v>6984</v>
      </c>
      <c r="JEM25" t="s">
        <v>6984</v>
      </c>
      <c r="JEN25" t="s">
        <v>6984</v>
      </c>
      <c r="JEO25" t="s">
        <v>6984</v>
      </c>
      <c r="JEP25" t="s">
        <v>6984</v>
      </c>
      <c r="JEQ25" t="s">
        <v>6984</v>
      </c>
      <c r="JER25" t="s">
        <v>6984</v>
      </c>
      <c r="JES25" t="s">
        <v>6984</v>
      </c>
      <c r="JET25" t="s">
        <v>6984</v>
      </c>
      <c r="JEU25" t="s">
        <v>6984</v>
      </c>
      <c r="JEV25" t="s">
        <v>6984</v>
      </c>
      <c r="JEW25" t="s">
        <v>6984</v>
      </c>
      <c r="JEX25" t="s">
        <v>6984</v>
      </c>
      <c r="JEY25" t="s">
        <v>6984</v>
      </c>
      <c r="JEZ25" t="s">
        <v>6984</v>
      </c>
      <c r="JFA25" t="s">
        <v>6984</v>
      </c>
      <c r="JFB25" t="s">
        <v>6984</v>
      </c>
      <c r="JFC25" t="s">
        <v>6984</v>
      </c>
      <c r="JFD25" t="s">
        <v>6984</v>
      </c>
      <c r="JFE25" t="s">
        <v>6984</v>
      </c>
      <c r="JFF25" t="s">
        <v>6984</v>
      </c>
      <c r="JFG25" t="s">
        <v>6984</v>
      </c>
      <c r="JFH25" t="s">
        <v>6984</v>
      </c>
      <c r="JFI25" t="s">
        <v>6984</v>
      </c>
      <c r="JFJ25" t="s">
        <v>6984</v>
      </c>
      <c r="JFK25" t="s">
        <v>6984</v>
      </c>
      <c r="JFL25" t="s">
        <v>6984</v>
      </c>
      <c r="JFM25" t="s">
        <v>6984</v>
      </c>
      <c r="JFN25" t="s">
        <v>6984</v>
      </c>
      <c r="JFO25" t="s">
        <v>6984</v>
      </c>
      <c r="JFP25" t="s">
        <v>6984</v>
      </c>
      <c r="JFQ25" t="s">
        <v>6984</v>
      </c>
      <c r="JFR25" t="s">
        <v>6984</v>
      </c>
      <c r="JFS25" t="s">
        <v>6984</v>
      </c>
      <c r="JFT25" t="s">
        <v>6984</v>
      </c>
      <c r="JFU25" t="s">
        <v>6984</v>
      </c>
      <c r="JFV25" t="s">
        <v>6984</v>
      </c>
      <c r="JFW25" t="s">
        <v>6984</v>
      </c>
      <c r="JFX25" t="s">
        <v>6984</v>
      </c>
      <c r="JFY25" t="s">
        <v>6984</v>
      </c>
      <c r="JFZ25" t="s">
        <v>6984</v>
      </c>
      <c r="JGA25" t="s">
        <v>6984</v>
      </c>
      <c r="JGB25" t="s">
        <v>6984</v>
      </c>
      <c r="JGC25" t="s">
        <v>6984</v>
      </c>
      <c r="JGD25" t="s">
        <v>6984</v>
      </c>
      <c r="JGE25" t="s">
        <v>6984</v>
      </c>
      <c r="JGF25" t="s">
        <v>6984</v>
      </c>
      <c r="JGG25" t="s">
        <v>6984</v>
      </c>
      <c r="JGH25" t="s">
        <v>6984</v>
      </c>
      <c r="JGI25" t="s">
        <v>6984</v>
      </c>
      <c r="JGJ25" t="s">
        <v>6984</v>
      </c>
      <c r="JGK25" t="s">
        <v>6984</v>
      </c>
      <c r="JGL25" t="s">
        <v>6984</v>
      </c>
      <c r="JGM25" t="s">
        <v>6984</v>
      </c>
      <c r="JGN25" t="s">
        <v>6984</v>
      </c>
      <c r="JGO25" t="s">
        <v>6984</v>
      </c>
      <c r="JGP25" t="s">
        <v>6984</v>
      </c>
      <c r="JGQ25" t="s">
        <v>6984</v>
      </c>
      <c r="JGR25" t="s">
        <v>6984</v>
      </c>
      <c r="JGS25" t="s">
        <v>6984</v>
      </c>
      <c r="JGT25" t="s">
        <v>6984</v>
      </c>
      <c r="JGU25" t="s">
        <v>6984</v>
      </c>
      <c r="JGV25" t="s">
        <v>6984</v>
      </c>
      <c r="JGW25" t="s">
        <v>6984</v>
      </c>
      <c r="JGX25" t="s">
        <v>6984</v>
      </c>
      <c r="JGY25" t="s">
        <v>6984</v>
      </c>
      <c r="JGZ25" t="s">
        <v>6984</v>
      </c>
      <c r="JHA25" t="s">
        <v>6984</v>
      </c>
      <c r="JHB25" t="s">
        <v>6984</v>
      </c>
      <c r="JHC25" t="s">
        <v>6984</v>
      </c>
      <c r="JHD25" t="s">
        <v>6984</v>
      </c>
      <c r="JHE25" t="s">
        <v>6984</v>
      </c>
      <c r="JHF25" t="s">
        <v>6984</v>
      </c>
      <c r="JHG25" t="s">
        <v>6984</v>
      </c>
      <c r="JHH25" t="s">
        <v>6984</v>
      </c>
      <c r="JHI25" t="s">
        <v>6984</v>
      </c>
      <c r="JHJ25" t="s">
        <v>6984</v>
      </c>
      <c r="JHK25" t="s">
        <v>6984</v>
      </c>
      <c r="JHL25" t="s">
        <v>6984</v>
      </c>
      <c r="JHM25" t="s">
        <v>6984</v>
      </c>
      <c r="JHN25" t="s">
        <v>6984</v>
      </c>
      <c r="JHO25" t="s">
        <v>6984</v>
      </c>
      <c r="JHP25" t="s">
        <v>6984</v>
      </c>
      <c r="JHQ25" t="s">
        <v>6984</v>
      </c>
      <c r="JHR25" t="s">
        <v>6984</v>
      </c>
      <c r="JHS25" t="s">
        <v>6984</v>
      </c>
      <c r="JHT25" t="s">
        <v>6984</v>
      </c>
      <c r="JHU25" t="s">
        <v>6984</v>
      </c>
      <c r="JHV25" t="s">
        <v>6984</v>
      </c>
      <c r="JHW25" t="s">
        <v>6984</v>
      </c>
      <c r="JHX25" t="s">
        <v>6984</v>
      </c>
      <c r="JHY25" t="s">
        <v>6984</v>
      </c>
      <c r="JHZ25" t="s">
        <v>6984</v>
      </c>
      <c r="JIA25" t="s">
        <v>6984</v>
      </c>
      <c r="JIB25" t="s">
        <v>6984</v>
      </c>
      <c r="JIC25" t="s">
        <v>6984</v>
      </c>
      <c r="JID25" t="s">
        <v>6984</v>
      </c>
      <c r="JIE25" t="s">
        <v>6984</v>
      </c>
      <c r="JIF25" t="s">
        <v>6984</v>
      </c>
      <c r="JIG25" t="s">
        <v>6984</v>
      </c>
      <c r="JIH25" t="s">
        <v>6984</v>
      </c>
      <c r="JII25" t="s">
        <v>6984</v>
      </c>
      <c r="JIJ25" t="s">
        <v>6984</v>
      </c>
      <c r="JIK25" t="s">
        <v>6984</v>
      </c>
      <c r="JIL25" t="s">
        <v>6984</v>
      </c>
      <c r="JIM25" t="s">
        <v>6984</v>
      </c>
      <c r="JIN25" t="s">
        <v>6984</v>
      </c>
      <c r="JIO25" t="s">
        <v>6984</v>
      </c>
      <c r="JIP25" t="s">
        <v>6984</v>
      </c>
      <c r="JIQ25" t="s">
        <v>6984</v>
      </c>
      <c r="JIR25" t="s">
        <v>6984</v>
      </c>
      <c r="JIS25" t="s">
        <v>6984</v>
      </c>
      <c r="JIT25" t="s">
        <v>6984</v>
      </c>
      <c r="JIU25" t="s">
        <v>6984</v>
      </c>
      <c r="JIV25" t="s">
        <v>6984</v>
      </c>
      <c r="JIW25" t="s">
        <v>6984</v>
      </c>
      <c r="JIX25" t="s">
        <v>6984</v>
      </c>
      <c r="JIY25" t="s">
        <v>6984</v>
      </c>
      <c r="JIZ25" t="s">
        <v>6984</v>
      </c>
      <c r="JJA25" t="s">
        <v>6984</v>
      </c>
    </row>
    <row r="26" spans="1:7021" x14ac:dyDescent="0.25">
      <c r="A26" t="s">
        <v>7007</v>
      </c>
      <c r="B26">
        <v>95.935000000000002</v>
      </c>
      <c r="C26">
        <v>95.935000000000002</v>
      </c>
      <c r="D26">
        <v>95.935000000000002</v>
      </c>
      <c r="E26">
        <v>95.995000000000005</v>
      </c>
      <c r="F26">
        <v>95.935000000000002</v>
      </c>
      <c r="G26">
        <v>95.965000000000003</v>
      </c>
      <c r="H26">
        <v>96.015000000000001</v>
      </c>
      <c r="I26">
        <v>95.954999999999998</v>
      </c>
      <c r="J26">
        <v>95.905000000000001</v>
      </c>
      <c r="K26">
        <v>95.89</v>
      </c>
      <c r="L26">
        <v>95.885000000000005</v>
      </c>
      <c r="M26">
        <v>95.99</v>
      </c>
      <c r="N26">
        <v>96.004999999999995</v>
      </c>
      <c r="O26">
        <v>95.92</v>
      </c>
      <c r="P26">
        <v>95.915000000000006</v>
      </c>
      <c r="Q26">
        <v>95.974999999999994</v>
      </c>
      <c r="R26">
        <v>95.954999999999998</v>
      </c>
      <c r="S26">
        <v>95.924999999999997</v>
      </c>
      <c r="T26">
        <v>95.974999999999994</v>
      </c>
      <c r="U26">
        <v>95.885000000000005</v>
      </c>
      <c r="V26">
        <v>95.885000000000005</v>
      </c>
      <c r="W26">
        <v>95.81</v>
      </c>
      <c r="X26">
        <v>95.75</v>
      </c>
      <c r="Y26">
        <v>95.855000000000004</v>
      </c>
      <c r="Z26">
        <v>95.855000000000004</v>
      </c>
      <c r="AA26">
        <v>95.89</v>
      </c>
      <c r="AB26">
        <v>95.87</v>
      </c>
      <c r="AC26">
        <v>95.795000000000002</v>
      </c>
      <c r="AD26">
        <v>95.83</v>
      </c>
      <c r="AE26">
        <v>95.875</v>
      </c>
      <c r="AF26">
        <v>95.94</v>
      </c>
      <c r="AG26">
        <v>95.94</v>
      </c>
      <c r="AH26">
        <v>96.034999999999997</v>
      </c>
      <c r="AI26">
        <v>95.984999999999999</v>
      </c>
      <c r="AJ26">
        <v>95.97</v>
      </c>
      <c r="AK26">
        <v>96</v>
      </c>
      <c r="AL26">
        <v>96.05</v>
      </c>
      <c r="AM26">
        <v>96.094999999999999</v>
      </c>
      <c r="AN26">
        <v>96.09</v>
      </c>
      <c r="AO26">
        <v>96.03</v>
      </c>
      <c r="AP26">
        <v>95.98</v>
      </c>
      <c r="AQ26">
        <v>95.92</v>
      </c>
      <c r="AR26">
        <v>95.85</v>
      </c>
      <c r="AS26">
        <v>95.83</v>
      </c>
      <c r="AT26">
        <v>95.79</v>
      </c>
      <c r="AU26">
        <v>95.905000000000001</v>
      </c>
      <c r="AV26">
        <v>95.905000000000001</v>
      </c>
      <c r="AW26">
        <v>95.98</v>
      </c>
      <c r="AX26">
        <v>95.94</v>
      </c>
      <c r="AY26">
        <v>95.915000000000006</v>
      </c>
      <c r="AZ26">
        <v>95.795000000000002</v>
      </c>
      <c r="BA26">
        <v>95.935000000000002</v>
      </c>
      <c r="BB26">
        <v>95.9</v>
      </c>
      <c r="BC26">
        <v>96.06</v>
      </c>
      <c r="BD26">
        <v>96.14</v>
      </c>
      <c r="BE26">
        <v>96.31</v>
      </c>
      <c r="BF26">
        <v>96.23</v>
      </c>
      <c r="BG26">
        <v>96.08</v>
      </c>
      <c r="BH26">
        <v>96.14</v>
      </c>
      <c r="BI26">
        <v>96.034999999999997</v>
      </c>
      <c r="BJ26">
        <v>96.004999999999995</v>
      </c>
      <c r="BK26">
        <v>95.885000000000005</v>
      </c>
      <c r="BL26">
        <v>95.94</v>
      </c>
      <c r="BM26">
        <v>95.965000000000003</v>
      </c>
      <c r="BN26">
        <v>95.94</v>
      </c>
      <c r="BO26">
        <v>96.02</v>
      </c>
      <c r="BP26">
        <v>96.034999999999997</v>
      </c>
      <c r="BQ26">
        <v>95.995000000000005</v>
      </c>
      <c r="BR26">
        <v>96.01</v>
      </c>
      <c r="BS26">
        <v>95.974999999999994</v>
      </c>
      <c r="BT26">
        <v>95.95</v>
      </c>
      <c r="BU26">
        <v>96.015000000000001</v>
      </c>
      <c r="BV26">
        <v>95.984999999999999</v>
      </c>
      <c r="BW26">
        <v>96.015000000000001</v>
      </c>
      <c r="BX26">
        <v>96.11</v>
      </c>
      <c r="BY26">
        <v>95.98</v>
      </c>
      <c r="BZ26">
        <v>96.004999999999995</v>
      </c>
      <c r="CA26">
        <v>96.03</v>
      </c>
      <c r="CB26">
        <v>96.094999999999999</v>
      </c>
      <c r="CC26">
        <v>96.14</v>
      </c>
      <c r="CD26">
        <v>96.084999999999994</v>
      </c>
      <c r="CE26">
        <v>96.025000000000006</v>
      </c>
      <c r="CF26">
        <v>96.07</v>
      </c>
      <c r="CG26">
        <v>96</v>
      </c>
      <c r="CH26">
        <v>95.864999999999995</v>
      </c>
      <c r="CI26">
        <v>95.84</v>
      </c>
      <c r="CJ26">
        <v>95.76</v>
      </c>
      <c r="CK26">
        <v>95.71</v>
      </c>
      <c r="CL26">
        <v>95.71</v>
      </c>
      <c r="CM26">
        <v>95.79</v>
      </c>
      <c r="CN26">
        <v>95.79</v>
      </c>
      <c r="CO26">
        <v>95.724999999999994</v>
      </c>
      <c r="CP26">
        <v>95.61</v>
      </c>
      <c r="CQ26">
        <v>95.745000000000005</v>
      </c>
      <c r="CR26">
        <v>95.795000000000002</v>
      </c>
      <c r="CS26">
        <v>95.795000000000002</v>
      </c>
      <c r="CT26">
        <v>95.85</v>
      </c>
      <c r="CU26">
        <v>95.9</v>
      </c>
      <c r="CV26">
        <v>95.79</v>
      </c>
      <c r="CW26">
        <v>95.765000000000001</v>
      </c>
      <c r="CX26">
        <v>95.72</v>
      </c>
      <c r="CY26">
        <v>95.79</v>
      </c>
      <c r="CZ26">
        <v>95.745000000000005</v>
      </c>
      <c r="DA26">
        <v>95.754999999999995</v>
      </c>
      <c r="DB26">
        <v>95.78</v>
      </c>
      <c r="DC26">
        <v>95.67</v>
      </c>
      <c r="DD26">
        <v>95.67</v>
      </c>
      <c r="DE26">
        <v>95.715000000000003</v>
      </c>
      <c r="DF26">
        <v>95.745000000000005</v>
      </c>
      <c r="DG26">
        <v>95.7</v>
      </c>
      <c r="DH26">
        <v>95.7</v>
      </c>
      <c r="DI26">
        <v>95.7</v>
      </c>
      <c r="DJ26">
        <v>95.66</v>
      </c>
      <c r="DK26">
        <v>95.515000000000001</v>
      </c>
      <c r="DL26">
        <v>95.5</v>
      </c>
      <c r="DM26">
        <v>95.54</v>
      </c>
      <c r="DN26">
        <v>95.61</v>
      </c>
      <c r="DO26">
        <v>95.594999999999999</v>
      </c>
      <c r="DP26">
        <v>95.605000000000004</v>
      </c>
      <c r="DQ26">
        <v>95.69</v>
      </c>
      <c r="DR26">
        <v>95.745000000000005</v>
      </c>
      <c r="DS26">
        <v>95.76</v>
      </c>
      <c r="DT26">
        <v>95.754999999999995</v>
      </c>
      <c r="DU26">
        <v>95.754999999999995</v>
      </c>
      <c r="DV26">
        <v>95.795000000000002</v>
      </c>
      <c r="DW26">
        <v>95.715000000000003</v>
      </c>
      <c r="DX26">
        <v>95.775000000000006</v>
      </c>
      <c r="DY26">
        <v>95.76</v>
      </c>
      <c r="DZ26">
        <v>95.76</v>
      </c>
      <c r="EA26">
        <v>95.734999999999999</v>
      </c>
      <c r="EB26">
        <v>95.834999999999994</v>
      </c>
      <c r="EC26">
        <v>95.765000000000001</v>
      </c>
      <c r="ED26">
        <v>95.894999999999996</v>
      </c>
      <c r="EE26">
        <v>96.04</v>
      </c>
      <c r="EF26">
        <v>96.025000000000006</v>
      </c>
      <c r="EG26">
        <v>96.025000000000006</v>
      </c>
      <c r="EH26">
        <v>96.11</v>
      </c>
      <c r="EI26">
        <v>96.17</v>
      </c>
      <c r="EJ26">
        <v>96.23</v>
      </c>
      <c r="EK26">
        <v>96.254999999999995</v>
      </c>
      <c r="EL26">
        <v>96.295000000000002</v>
      </c>
      <c r="EM26">
        <v>96.26</v>
      </c>
      <c r="EN26">
        <v>96.245000000000005</v>
      </c>
      <c r="EO26">
        <v>96.215000000000003</v>
      </c>
      <c r="EP26">
        <v>96.25</v>
      </c>
      <c r="EQ26">
        <v>96.25</v>
      </c>
      <c r="ER26">
        <v>96.215000000000003</v>
      </c>
      <c r="ES26">
        <v>96.215000000000003</v>
      </c>
      <c r="ET26">
        <v>96.15</v>
      </c>
      <c r="EU26">
        <v>96.215000000000003</v>
      </c>
      <c r="EV26">
        <v>96.064999999999998</v>
      </c>
      <c r="EW26">
        <v>96.03</v>
      </c>
      <c r="EX26">
        <v>96.03</v>
      </c>
      <c r="EY26">
        <v>96.06</v>
      </c>
      <c r="EZ26">
        <v>96.025000000000006</v>
      </c>
      <c r="FA26">
        <v>96.015000000000001</v>
      </c>
      <c r="FB26">
        <v>96.02</v>
      </c>
      <c r="FC26">
        <v>95.984999999999999</v>
      </c>
      <c r="FD26">
        <v>96.01</v>
      </c>
      <c r="FE26">
        <v>96.07</v>
      </c>
      <c r="FF26">
        <v>96.125</v>
      </c>
      <c r="FG26">
        <v>96.08</v>
      </c>
      <c r="FH26">
        <v>95.974999999999994</v>
      </c>
      <c r="FI26">
        <v>96.144999999999996</v>
      </c>
      <c r="FJ26">
        <v>96.12</v>
      </c>
      <c r="FK26">
        <v>96.055000000000007</v>
      </c>
      <c r="FL26">
        <v>96.114999999999995</v>
      </c>
      <c r="FM26">
        <v>96.125</v>
      </c>
      <c r="FN26">
        <v>96.094999999999999</v>
      </c>
      <c r="FO26">
        <v>96.09</v>
      </c>
      <c r="FP26">
        <v>96.13</v>
      </c>
      <c r="FQ26">
        <v>96.155000000000001</v>
      </c>
      <c r="FR26">
        <v>96.105000000000004</v>
      </c>
      <c r="FS26">
        <v>96.135000000000005</v>
      </c>
      <c r="FT26">
        <v>96.16</v>
      </c>
      <c r="FU26">
        <v>96.275000000000006</v>
      </c>
      <c r="FV26">
        <v>96.26</v>
      </c>
      <c r="FW26">
        <v>96.36</v>
      </c>
      <c r="FX26">
        <v>96.34</v>
      </c>
      <c r="FY26">
        <v>96.245000000000005</v>
      </c>
      <c r="FZ26">
        <v>96.284999999999997</v>
      </c>
      <c r="GA26">
        <v>96.275000000000006</v>
      </c>
      <c r="GB26">
        <v>96.32</v>
      </c>
      <c r="GC26">
        <v>96.344999999999999</v>
      </c>
      <c r="GD26">
        <v>96.36</v>
      </c>
      <c r="GE26">
        <v>96.394999999999996</v>
      </c>
      <c r="GF26">
        <v>96.474999999999994</v>
      </c>
      <c r="GG26">
        <v>96.545000000000002</v>
      </c>
      <c r="GH26">
        <v>96.59</v>
      </c>
      <c r="GI26">
        <v>96.52</v>
      </c>
      <c r="GJ26">
        <v>96.56</v>
      </c>
      <c r="GK26">
        <v>96.53</v>
      </c>
      <c r="GL26">
        <v>96.51</v>
      </c>
      <c r="GM26">
        <v>96.55</v>
      </c>
      <c r="GN26">
        <v>96.555000000000007</v>
      </c>
      <c r="GO26">
        <v>96.57</v>
      </c>
      <c r="GP26">
        <v>96.55</v>
      </c>
      <c r="GQ26">
        <v>96.625</v>
      </c>
      <c r="GR26">
        <v>96.7</v>
      </c>
      <c r="GS26">
        <v>96.694999999999993</v>
      </c>
      <c r="GT26">
        <v>96.674999999999997</v>
      </c>
      <c r="GU26">
        <v>96.665000000000006</v>
      </c>
      <c r="GV26">
        <v>96.694999999999993</v>
      </c>
      <c r="GW26">
        <v>96.7</v>
      </c>
      <c r="GX26">
        <v>96.644999999999996</v>
      </c>
      <c r="GY26">
        <v>96.62</v>
      </c>
      <c r="GZ26">
        <v>96.635000000000005</v>
      </c>
      <c r="HA26">
        <v>96.6</v>
      </c>
      <c r="HB26">
        <v>96.55</v>
      </c>
      <c r="HC26">
        <v>96.47</v>
      </c>
      <c r="HD26">
        <v>96.47</v>
      </c>
      <c r="HE26">
        <v>96.515000000000001</v>
      </c>
      <c r="HF26">
        <v>96.53</v>
      </c>
      <c r="HG26">
        <v>96.545000000000002</v>
      </c>
      <c r="HH26">
        <v>96.564999999999998</v>
      </c>
      <c r="HI26">
        <v>96.555000000000007</v>
      </c>
      <c r="HJ26">
        <v>96.495000000000005</v>
      </c>
      <c r="HK26">
        <v>96.57</v>
      </c>
      <c r="HL26">
        <v>96.545000000000002</v>
      </c>
      <c r="HM26">
        <v>96.495000000000005</v>
      </c>
      <c r="HN26">
        <v>96.454999999999998</v>
      </c>
      <c r="HO26">
        <v>96.415000000000006</v>
      </c>
      <c r="HP26">
        <v>96.484999999999999</v>
      </c>
      <c r="HQ26">
        <v>96.45</v>
      </c>
      <c r="HR26">
        <v>96.42</v>
      </c>
      <c r="HS26">
        <v>96.38</v>
      </c>
      <c r="HT26">
        <v>96.3</v>
      </c>
      <c r="HU26">
        <v>96.31</v>
      </c>
      <c r="HV26">
        <v>96.394999999999996</v>
      </c>
      <c r="HW26">
        <v>96.495000000000005</v>
      </c>
      <c r="HX26">
        <v>96.504999999999995</v>
      </c>
      <c r="HY26">
        <v>96.375</v>
      </c>
      <c r="HZ26">
        <v>96.275000000000006</v>
      </c>
      <c r="IA26">
        <v>96.24</v>
      </c>
      <c r="IB26">
        <v>96.204999999999998</v>
      </c>
      <c r="IC26">
        <v>96.18</v>
      </c>
      <c r="ID26">
        <v>96.135000000000005</v>
      </c>
      <c r="IE26">
        <v>96.09</v>
      </c>
      <c r="IF26">
        <v>96.16</v>
      </c>
      <c r="IG26">
        <v>96.144999999999996</v>
      </c>
      <c r="IH26">
        <v>96.155000000000001</v>
      </c>
      <c r="II26">
        <v>96.204999999999998</v>
      </c>
      <c r="IJ26">
        <v>96.26</v>
      </c>
      <c r="IK26">
        <v>96.234999999999999</v>
      </c>
      <c r="IL26">
        <v>96.16</v>
      </c>
      <c r="IM26">
        <v>96.204999999999998</v>
      </c>
      <c r="IN26">
        <v>96.224999999999994</v>
      </c>
      <c r="IO26">
        <v>96.14</v>
      </c>
      <c r="IP26">
        <v>96.11</v>
      </c>
      <c r="IQ26">
        <v>96.15</v>
      </c>
      <c r="IR26">
        <v>96.144999999999996</v>
      </c>
      <c r="IS26">
        <v>96.08</v>
      </c>
      <c r="IT26">
        <v>96.08</v>
      </c>
      <c r="IU26">
        <v>95.974999999999994</v>
      </c>
      <c r="IV26">
        <v>95.935000000000002</v>
      </c>
      <c r="IW26">
        <v>96.094999999999999</v>
      </c>
      <c r="IX26">
        <v>96.16</v>
      </c>
      <c r="IY26">
        <v>96.125</v>
      </c>
      <c r="IZ26">
        <v>96.215000000000003</v>
      </c>
      <c r="JA26">
        <v>96.204999999999998</v>
      </c>
      <c r="JB26">
        <v>96.18</v>
      </c>
      <c r="JC26">
        <v>96.19</v>
      </c>
      <c r="JD26">
        <v>96.254999999999995</v>
      </c>
      <c r="JE26">
        <v>96.254999999999995</v>
      </c>
      <c r="JF26">
        <v>96.194999999999993</v>
      </c>
      <c r="JG26">
        <v>96.275000000000006</v>
      </c>
      <c r="JH26">
        <v>96.21</v>
      </c>
      <c r="JI26">
        <v>96.155000000000001</v>
      </c>
      <c r="JJ26">
        <v>96.04</v>
      </c>
      <c r="JK26">
        <v>95.96</v>
      </c>
      <c r="JL26">
        <v>96.004999999999995</v>
      </c>
      <c r="JM26">
        <v>96.155000000000001</v>
      </c>
      <c r="JN26">
        <v>96.155000000000001</v>
      </c>
      <c r="JO26">
        <v>96.12</v>
      </c>
      <c r="JP26">
        <v>96.034999999999997</v>
      </c>
      <c r="JQ26">
        <v>95.91</v>
      </c>
      <c r="JR26">
        <v>95.885000000000005</v>
      </c>
      <c r="JS26">
        <v>95.825000000000003</v>
      </c>
      <c r="JT26">
        <v>95.93</v>
      </c>
      <c r="JU26">
        <v>96.004999999999995</v>
      </c>
      <c r="JV26">
        <v>96.004999999999995</v>
      </c>
      <c r="JW26">
        <v>95.984999999999999</v>
      </c>
      <c r="JX26">
        <v>95.99</v>
      </c>
      <c r="JY26">
        <v>95.995000000000005</v>
      </c>
      <c r="JZ26">
        <v>95.965000000000003</v>
      </c>
      <c r="KA26">
        <v>95.984999999999999</v>
      </c>
      <c r="KB26">
        <v>96.03</v>
      </c>
      <c r="KC26">
        <v>96.034999999999997</v>
      </c>
      <c r="KD26">
        <v>95.965000000000003</v>
      </c>
      <c r="KE26">
        <v>95.93</v>
      </c>
      <c r="KF26">
        <v>95.905000000000001</v>
      </c>
      <c r="KG26">
        <v>95.96</v>
      </c>
      <c r="KH26">
        <v>95.93</v>
      </c>
      <c r="KI26">
        <v>95.97</v>
      </c>
      <c r="KJ26">
        <v>95.924999999999997</v>
      </c>
      <c r="KK26">
        <v>95.905000000000001</v>
      </c>
      <c r="KL26">
        <v>95.83</v>
      </c>
      <c r="KM26">
        <v>95.814999999999998</v>
      </c>
      <c r="KN26">
        <v>95.745000000000005</v>
      </c>
      <c r="KO26">
        <v>95.814999999999998</v>
      </c>
      <c r="KP26">
        <v>95.734999999999999</v>
      </c>
      <c r="KQ26">
        <v>95.694999999999993</v>
      </c>
      <c r="KR26">
        <v>95.754999999999995</v>
      </c>
      <c r="KS26">
        <v>95.83</v>
      </c>
      <c r="KT26">
        <v>95.81</v>
      </c>
      <c r="KU26">
        <v>95.825000000000003</v>
      </c>
      <c r="KV26">
        <v>95.79</v>
      </c>
      <c r="KW26">
        <v>95.85</v>
      </c>
      <c r="KX26">
        <v>95.775000000000006</v>
      </c>
      <c r="KY26">
        <v>95.81</v>
      </c>
      <c r="KZ26">
        <v>95.95</v>
      </c>
      <c r="LA26">
        <v>95.86</v>
      </c>
      <c r="LB26">
        <v>95.89</v>
      </c>
      <c r="LC26">
        <v>96.04</v>
      </c>
      <c r="LD26">
        <v>95.98</v>
      </c>
      <c r="LE26">
        <v>96.025000000000006</v>
      </c>
      <c r="LF26">
        <v>96.075000000000003</v>
      </c>
      <c r="LG26">
        <v>96.025000000000006</v>
      </c>
      <c r="LH26">
        <v>96.015000000000001</v>
      </c>
      <c r="LI26">
        <v>96.06</v>
      </c>
      <c r="LJ26">
        <v>96.19</v>
      </c>
      <c r="LK26">
        <v>96.19</v>
      </c>
      <c r="LL26">
        <v>96.155000000000001</v>
      </c>
      <c r="LM26">
        <v>96.12</v>
      </c>
      <c r="LN26">
        <v>96.09</v>
      </c>
      <c r="LO26">
        <v>96.125</v>
      </c>
      <c r="LP26">
        <v>96.064999999999998</v>
      </c>
      <c r="LQ26">
        <v>96.07</v>
      </c>
      <c r="LR26">
        <v>96.12</v>
      </c>
      <c r="LS26">
        <v>96.084999999999994</v>
      </c>
      <c r="LT26">
        <v>96.125</v>
      </c>
      <c r="LU26">
        <v>96.114999999999995</v>
      </c>
      <c r="LV26">
        <v>96.224999999999994</v>
      </c>
      <c r="LW26">
        <v>96.24</v>
      </c>
      <c r="LX26">
        <v>96.29</v>
      </c>
      <c r="LY26">
        <v>96.29</v>
      </c>
      <c r="LZ26">
        <v>96.31</v>
      </c>
      <c r="MA26">
        <v>96.305000000000007</v>
      </c>
      <c r="MB26">
        <v>96.265000000000001</v>
      </c>
      <c r="MC26">
        <v>96.174999999999997</v>
      </c>
      <c r="MD26">
        <v>96.2</v>
      </c>
      <c r="ME26">
        <v>96.144999999999996</v>
      </c>
      <c r="MF26">
        <v>96.14</v>
      </c>
      <c r="MG26">
        <v>96.135000000000005</v>
      </c>
      <c r="MH26">
        <v>96.155000000000001</v>
      </c>
      <c r="MI26">
        <v>96.165000000000006</v>
      </c>
      <c r="MJ26">
        <v>96.07</v>
      </c>
      <c r="MK26">
        <v>96.045000000000002</v>
      </c>
      <c r="ML26">
        <v>96.09</v>
      </c>
      <c r="MM26">
        <v>96.07</v>
      </c>
      <c r="MN26">
        <v>96.07</v>
      </c>
      <c r="MO26">
        <v>96.11</v>
      </c>
      <c r="MP26">
        <v>96.08</v>
      </c>
      <c r="MQ26">
        <v>96.04</v>
      </c>
      <c r="MR26">
        <v>96.144999999999996</v>
      </c>
      <c r="MS26">
        <v>96.125</v>
      </c>
      <c r="MT26">
        <v>96.14</v>
      </c>
      <c r="MU26">
        <v>96.224999999999994</v>
      </c>
      <c r="MV26">
        <v>96.24</v>
      </c>
      <c r="MW26">
        <v>96.15</v>
      </c>
      <c r="MX26">
        <v>96.28</v>
      </c>
      <c r="MY26">
        <v>96.44</v>
      </c>
      <c r="MZ26">
        <v>96.32</v>
      </c>
      <c r="NA26">
        <v>96.234999999999999</v>
      </c>
      <c r="NB26">
        <v>96.165000000000006</v>
      </c>
      <c r="NC26">
        <v>96.09</v>
      </c>
      <c r="ND26">
        <v>96.12</v>
      </c>
      <c r="NE26">
        <v>96.09</v>
      </c>
      <c r="NF26">
        <v>96.135000000000005</v>
      </c>
      <c r="NG26">
        <v>96.19</v>
      </c>
      <c r="NH26">
        <v>96.135000000000005</v>
      </c>
      <c r="NI26">
        <v>96.125</v>
      </c>
      <c r="NJ26">
        <v>96.17</v>
      </c>
      <c r="NK26">
        <v>96.185000000000002</v>
      </c>
      <c r="NL26">
        <v>96.31</v>
      </c>
      <c r="NM26">
        <v>96.31</v>
      </c>
      <c r="NN26">
        <v>96.32</v>
      </c>
      <c r="NO26">
        <v>96.28</v>
      </c>
      <c r="NP26">
        <v>96.29</v>
      </c>
      <c r="NQ26">
        <v>96.295000000000002</v>
      </c>
      <c r="NR26">
        <v>96.284999999999997</v>
      </c>
      <c r="NS26">
        <v>96.34</v>
      </c>
      <c r="NT26">
        <v>96.43</v>
      </c>
      <c r="NU26">
        <v>96.385000000000005</v>
      </c>
      <c r="NV26">
        <v>96.435000000000002</v>
      </c>
      <c r="NW26">
        <v>96.435000000000002</v>
      </c>
      <c r="NX26">
        <v>96.46</v>
      </c>
      <c r="NY26">
        <v>96.534999999999997</v>
      </c>
      <c r="NZ26">
        <v>96.43</v>
      </c>
      <c r="OA26">
        <v>96.415000000000006</v>
      </c>
      <c r="OB26">
        <v>96.415000000000006</v>
      </c>
      <c r="OC26">
        <v>96.45</v>
      </c>
      <c r="OD26">
        <v>96.484999999999999</v>
      </c>
      <c r="OE26">
        <v>96.47</v>
      </c>
      <c r="OF26">
        <v>96.435000000000002</v>
      </c>
      <c r="OG26">
        <v>96.47</v>
      </c>
      <c r="OH26">
        <v>96.444999999999993</v>
      </c>
      <c r="OI26">
        <v>96.344999999999999</v>
      </c>
      <c r="OJ26">
        <v>96.2</v>
      </c>
      <c r="OK26">
        <v>96.15</v>
      </c>
      <c r="OL26">
        <v>96.144999999999996</v>
      </c>
      <c r="OM26">
        <v>96.254999999999995</v>
      </c>
      <c r="ON26">
        <v>96.25</v>
      </c>
      <c r="OO26">
        <v>96.185000000000002</v>
      </c>
      <c r="OP26">
        <v>96.05</v>
      </c>
      <c r="OQ26">
        <v>96.084999999999994</v>
      </c>
      <c r="OR26">
        <v>95.97</v>
      </c>
      <c r="OS26">
        <v>96.055000000000007</v>
      </c>
      <c r="OT26">
        <v>95.984999999999999</v>
      </c>
      <c r="OU26">
        <v>95.97</v>
      </c>
      <c r="OV26">
        <v>95.855000000000004</v>
      </c>
      <c r="OW26">
        <v>95.924999999999997</v>
      </c>
      <c r="OX26">
        <v>95.924999999999997</v>
      </c>
      <c r="OY26">
        <v>95.915000000000006</v>
      </c>
      <c r="OZ26">
        <v>95.93</v>
      </c>
      <c r="PA26">
        <v>95.885000000000005</v>
      </c>
      <c r="PB26">
        <v>95.864999999999995</v>
      </c>
      <c r="PC26">
        <v>95.77</v>
      </c>
      <c r="PD26">
        <v>95.855000000000004</v>
      </c>
      <c r="PE26">
        <v>95.67</v>
      </c>
      <c r="PF26">
        <v>95.67</v>
      </c>
      <c r="PG26">
        <v>95.66</v>
      </c>
      <c r="PH26">
        <v>95.795000000000002</v>
      </c>
      <c r="PI26">
        <v>95.715000000000003</v>
      </c>
      <c r="PJ26">
        <v>95.6</v>
      </c>
      <c r="PK26">
        <v>95.71</v>
      </c>
      <c r="PL26">
        <v>95.59</v>
      </c>
      <c r="PM26">
        <v>95.46</v>
      </c>
      <c r="PN26">
        <v>95.37</v>
      </c>
      <c r="PO26">
        <v>95.36</v>
      </c>
      <c r="PP26">
        <v>95.37</v>
      </c>
      <c r="PQ26">
        <v>95.37</v>
      </c>
      <c r="PR26">
        <v>95.26</v>
      </c>
      <c r="PS26">
        <v>95.4</v>
      </c>
      <c r="PT26">
        <v>95.394999999999996</v>
      </c>
      <c r="PU26">
        <v>95.29</v>
      </c>
      <c r="PV26">
        <v>95.215000000000003</v>
      </c>
      <c r="PW26">
        <v>95.344999999999999</v>
      </c>
      <c r="PX26">
        <v>95.394999999999996</v>
      </c>
      <c r="PY26">
        <v>95.525000000000006</v>
      </c>
      <c r="PZ26">
        <v>95.61</v>
      </c>
      <c r="QA26">
        <v>95.504999999999995</v>
      </c>
      <c r="QB26">
        <v>95.62</v>
      </c>
      <c r="QC26">
        <v>95.534999999999997</v>
      </c>
      <c r="QD26">
        <v>95.515000000000001</v>
      </c>
      <c r="QE26">
        <v>95.39</v>
      </c>
      <c r="QF26">
        <v>95.45</v>
      </c>
      <c r="QG26">
        <v>95.424999999999997</v>
      </c>
      <c r="QH26">
        <v>95.37</v>
      </c>
      <c r="QI26">
        <v>95.5</v>
      </c>
      <c r="QJ26">
        <v>95.644999999999996</v>
      </c>
      <c r="QK26">
        <v>95.614999999999995</v>
      </c>
      <c r="QL26">
        <v>95.62</v>
      </c>
      <c r="QM26">
        <v>95.694999999999993</v>
      </c>
      <c r="QN26">
        <v>95.704999999999998</v>
      </c>
      <c r="QO26">
        <v>95.855000000000004</v>
      </c>
      <c r="QP26">
        <v>95.825000000000003</v>
      </c>
      <c r="QQ26">
        <v>95.99</v>
      </c>
      <c r="QR26">
        <v>95.995000000000005</v>
      </c>
      <c r="QS26">
        <v>96.03</v>
      </c>
      <c r="QT26">
        <v>96.01</v>
      </c>
      <c r="QU26">
        <v>96.045000000000002</v>
      </c>
      <c r="QV26">
        <v>96.1</v>
      </c>
      <c r="QW26">
        <v>96.08</v>
      </c>
      <c r="QX26">
        <v>96.034999999999997</v>
      </c>
      <c r="QY26">
        <v>96.075000000000003</v>
      </c>
      <c r="QZ26">
        <v>96.064999999999998</v>
      </c>
      <c r="RA26">
        <v>96.05</v>
      </c>
      <c r="RB26">
        <v>96.045000000000002</v>
      </c>
      <c r="RC26">
        <v>96.114999999999995</v>
      </c>
      <c r="RD26">
        <v>96.114999999999995</v>
      </c>
      <c r="RE26">
        <v>96.21</v>
      </c>
      <c r="RF26">
        <v>96.185000000000002</v>
      </c>
      <c r="RG26">
        <v>96.19</v>
      </c>
      <c r="RH26">
        <v>96.14</v>
      </c>
      <c r="RI26">
        <v>96.1</v>
      </c>
      <c r="RJ26">
        <v>96.094999999999999</v>
      </c>
      <c r="RK26">
        <v>96.12</v>
      </c>
      <c r="RL26">
        <v>95.97</v>
      </c>
      <c r="RM26">
        <v>95.944999999999993</v>
      </c>
      <c r="RN26">
        <v>96.04</v>
      </c>
      <c r="RO26">
        <v>95.965000000000003</v>
      </c>
      <c r="RP26">
        <v>96.05</v>
      </c>
      <c r="RQ26">
        <v>96.084999999999994</v>
      </c>
      <c r="RR26">
        <v>96.144999999999996</v>
      </c>
      <c r="RS26">
        <v>96.12</v>
      </c>
      <c r="RT26">
        <v>96.21</v>
      </c>
      <c r="RU26">
        <v>96.314999999999998</v>
      </c>
      <c r="RV26">
        <v>96.28</v>
      </c>
      <c r="RW26">
        <v>96.215000000000003</v>
      </c>
      <c r="RX26">
        <v>96.22</v>
      </c>
      <c r="RY26">
        <v>96.075000000000003</v>
      </c>
      <c r="RZ26">
        <v>96.22</v>
      </c>
      <c r="SA26">
        <v>96.275000000000006</v>
      </c>
      <c r="SB26">
        <v>96.364999999999995</v>
      </c>
      <c r="SC26">
        <v>96.36</v>
      </c>
      <c r="SD26">
        <v>96.314999999999998</v>
      </c>
      <c r="SE26">
        <v>96.484999999999999</v>
      </c>
      <c r="SF26">
        <v>96.435000000000002</v>
      </c>
      <c r="SG26">
        <v>96.495000000000005</v>
      </c>
      <c r="SH26">
        <v>96.504999999999995</v>
      </c>
      <c r="SI26">
        <v>96.484999999999999</v>
      </c>
      <c r="SJ26">
        <v>96.605000000000004</v>
      </c>
      <c r="SK26">
        <v>96.564999999999998</v>
      </c>
      <c r="SL26">
        <v>96.545000000000002</v>
      </c>
      <c r="SM26">
        <v>96.504999999999995</v>
      </c>
      <c r="SN26">
        <v>96.52</v>
      </c>
      <c r="SO26">
        <v>96.474999999999994</v>
      </c>
      <c r="SP26">
        <v>96.385000000000005</v>
      </c>
      <c r="SQ26">
        <v>96.32</v>
      </c>
      <c r="SR26">
        <v>96.28</v>
      </c>
      <c r="SS26">
        <v>96.34</v>
      </c>
      <c r="ST26">
        <v>96.474999999999994</v>
      </c>
      <c r="SU26">
        <v>96.58</v>
      </c>
      <c r="SV26">
        <v>96.58</v>
      </c>
      <c r="SW26">
        <v>96.614999999999995</v>
      </c>
      <c r="SX26">
        <v>96.55</v>
      </c>
      <c r="SY26">
        <v>96.694999999999993</v>
      </c>
      <c r="SZ26">
        <v>96.635000000000005</v>
      </c>
      <c r="TA26">
        <v>96.665000000000006</v>
      </c>
      <c r="TB26">
        <v>96.635000000000005</v>
      </c>
      <c r="TC26">
        <v>96.564999999999998</v>
      </c>
      <c r="TD26">
        <v>96.64</v>
      </c>
      <c r="TE26">
        <v>96.67</v>
      </c>
      <c r="TF26">
        <v>96.6</v>
      </c>
      <c r="TG26">
        <v>96.6</v>
      </c>
      <c r="TH26">
        <v>96.635000000000005</v>
      </c>
      <c r="TI26">
        <v>96.57</v>
      </c>
      <c r="TJ26">
        <v>96.495000000000005</v>
      </c>
      <c r="TK26">
        <v>96.57</v>
      </c>
      <c r="TL26">
        <v>96.575000000000003</v>
      </c>
      <c r="TM26">
        <v>96.58</v>
      </c>
      <c r="TN26">
        <v>96.504999999999995</v>
      </c>
      <c r="TO26">
        <v>96.61</v>
      </c>
      <c r="TP26">
        <v>96.59</v>
      </c>
      <c r="TQ26">
        <v>96.56</v>
      </c>
      <c r="TR26">
        <v>96.66</v>
      </c>
      <c r="TS26">
        <v>96.644999999999996</v>
      </c>
      <c r="TT26">
        <v>96.6</v>
      </c>
      <c r="TU26">
        <v>96.49</v>
      </c>
      <c r="TV26">
        <v>96.49</v>
      </c>
      <c r="TW26">
        <v>96.47</v>
      </c>
      <c r="TX26">
        <v>96.555000000000007</v>
      </c>
      <c r="TY26">
        <v>96.56</v>
      </c>
      <c r="TZ26">
        <v>96.53</v>
      </c>
      <c r="UA26">
        <v>96.52</v>
      </c>
      <c r="UB26">
        <v>96.57</v>
      </c>
      <c r="UC26">
        <v>96.635000000000005</v>
      </c>
      <c r="UD26">
        <v>96.65</v>
      </c>
      <c r="UE26">
        <v>96.704999999999998</v>
      </c>
      <c r="UF26">
        <v>96.745000000000005</v>
      </c>
      <c r="UG26">
        <v>96.795000000000002</v>
      </c>
      <c r="UH26">
        <v>96.75</v>
      </c>
      <c r="UI26">
        <v>96.685000000000002</v>
      </c>
      <c r="UJ26">
        <v>96.69</v>
      </c>
      <c r="UK26">
        <v>96.734999999999999</v>
      </c>
      <c r="UL26">
        <v>96.805000000000007</v>
      </c>
      <c r="UM26">
        <v>96.795000000000002</v>
      </c>
      <c r="UN26">
        <v>96.79</v>
      </c>
      <c r="UO26">
        <v>96.665000000000006</v>
      </c>
      <c r="UP26">
        <v>96.79</v>
      </c>
      <c r="UQ26">
        <v>96.734999999999999</v>
      </c>
      <c r="UR26">
        <v>96.81</v>
      </c>
      <c r="US26">
        <v>96.86</v>
      </c>
      <c r="UT26">
        <v>96.79</v>
      </c>
      <c r="UU26">
        <v>96.734999999999999</v>
      </c>
      <c r="UV26">
        <v>96.78</v>
      </c>
      <c r="UW26">
        <v>96.73</v>
      </c>
      <c r="UX26">
        <v>96.75</v>
      </c>
      <c r="UY26">
        <v>96.715000000000003</v>
      </c>
      <c r="UZ26">
        <v>96.775000000000006</v>
      </c>
      <c r="VA26">
        <v>96.83</v>
      </c>
      <c r="VB26">
        <v>96.885000000000005</v>
      </c>
      <c r="VC26">
        <v>96.88</v>
      </c>
      <c r="VD26">
        <v>96.87</v>
      </c>
      <c r="VE26">
        <v>96.924999999999997</v>
      </c>
      <c r="VF26">
        <v>97</v>
      </c>
      <c r="VG26">
        <v>96.984999999999999</v>
      </c>
      <c r="VH26">
        <v>96.95</v>
      </c>
      <c r="VI26">
        <v>96.875</v>
      </c>
      <c r="VJ26">
        <v>96.82</v>
      </c>
      <c r="VK26">
        <v>96.78</v>
      </c>
      <c r="VL26">
        <v>96.754999999999995</v>
      </c>
      <c r="VM26">
        <v>96.745000000000005</v>
      </c>
      <c r="VN26">
        <v>96.775000000000006</v>
      </c>
      <c r="VO26">
        <v>96.894999999999996</v>
      </c>
      <c r="VP26">
        <v>96.855000000000004</v>
      </c>
      <c r="VQ26">
        <v>96.79</v>
      </c>
      <c r="VR26">
        <v>96.734999999999999</v>
      </c>
      <c r="VS26">
        <v>96.78</v>
      </c>
      <c r="VT26">
        <v>96.87</v>
      </c>
      <c r="VU26">
        <v>96.704999999999998</v>
      </c>
      <c r="VV26">
        <v>96.77</v>
      </c>
      <c r="VW26">
        <v>96.715000000000003</v>
      </c>
      <c r="VX26">
        <v>96.77</v>
      </c>
      <c r="VY26">
        <v>96.75</v>
      </c>
      <c r="VZ26">
        <v>96.55</v>
      </c>
      <c r="WA26">
        <v>96.594999999999999</v>
      </c>
      <c r="WB26">
        <v>96.58</v>
      </c>
      <c r="WC26">
        <v>96.504999999999995</v>
      </c>
      <c r="WD26">
        <v>96.504999999999995</v>
      </c>
      <c r="WE26">
        <v>96.38</v>
      </c>
      <c r="WF26">
        <v>96.484999999999999</v>
      </c>
      <c r="WG26">
        <v>96.57</v>
      </c>
      <c r="WH26">
        <v>96.57</v>
      </c>
      <c r="WI26">
        <v>96.525000000000006</v>
      </c>
      <c r="WJ26">
        <v>96.575000000000003</v>
      </c>
      <c r="WK26">
        <v>96.525000000000006</v>
      </c>
      <c r="WL26">
        <v>96.49</v>
      </c>
      <c r="WM26">
        <v>96.64</v>
      </c>
      <c r="WN26">
        <v>96.64</v>
      </c>
      <c r="WO26">
        <v>96.62</v>
      </c>
      <c r="WP26">
        <v>96.66</v>
      </c>
      <c r="WQ26">
        <v>96.724999999999994</v>
      </c>
      <c r="WR26">
        <v>96.73</v>
      </c>
      <c r="WS26">
        <v>96.7</v>
      </c>
      <c r="WT26">
        <v>96.765000000000001</v>
      </c>
      <c r="WU26">
        <v>96.784999999999997</v>
      </c>
      <c r="WV26">
        <v>96.765000000000001</v>
      </c>
      <c r="WW26">
        <v>96.79</v>
      </c>
      <c r="WX26">
        <v>96.87</v>
      </c>
      <c r="WY26">
        <v>96.97</v>
      </c>
      <c r="WZ26">
        <v>97</v>
      </c>
      <c r="XA26">
        <v>96.875</v>
      </c>
      <c r="XB26">
        <v>96.844999999999999</v>
      </c>
      <c r="XC26">
        <v>96.885000000000005</v>
      </c>
      <c r="XD26">
        <v>96.935000000000002</v>
      </c>
      <c r="XE26">
        <v>96.95</v>
      </c>
      <c r="XF26">
        <v>96.95</v>
      </c>
      <c r="XG26">
        <v>96.875</v>
      </c>
      <c r="XH26">
        <v>96.91</v>
      </c>
      <c r="XI26">
        <v>97</v>
      </c>
      <c r="XJ26">
        <v>97.03</v>
      </c>
      <c r="XK26">
        <v>96.89</v>
      </c>
      <c r="XL26">
        <v>96.935000000000002</v>
      </c>
      <c r="XM26">
        <v>96.935000000000002</v>
      </c>
      <c r="XN26">
        <v>96.96</v>
      </c>
      <c r="XO26">
        <v>96.86</v>
      </c>
      <c r="XP26">
        <v>96.805000000000007</v>
      </c>
      <c r="XQ26">
        <v>96.92</v>
      </c>
      <c r="XR26">
        <v>96.875</v>
      </c>
      <c r="XS26">
        <v>96.72</v>
      </c>
      <c r="XT26">
        <v>96.704999999999998</v>
      </c>
      <c r="XU26">
        <v>96.6</v>
      </c>
      <c r="XV26">
        <v>96.53</v>
      </c>
      <c r="XW26">
        <v>96.53</v>
      </c>
      <c r="XX26">
        <v>96.495000000000005</v>
      </c>
      <c r="XY26">
        <v>96.44</v>
      </c>
      <c r="XZ26">
        <v>96.525000000000006</v>
      </c>
      <c r="YA26">
        <v>96.61</v>
      </c>
      <c r="YB26">
        <v>96.61</v>
      </c>
      <c r="YC26">
        <v>96.64</v>
      </c>
      <c r="YD26">
        <v>96.614999999999995</v>
      </c>
      <c r="YE26">
        <v>96.68</v>
      </c>
      <c r="YF26">
        <v>96.814999999999998</v>
      </c>
      <c r="YG26">
        <v>96.905000000000001</v>
      </c>
      <c r="YH26">
        <v>96.97</v>
      </c>
      <c r="YI26">
        <v>96.91</v>
      </c>
      <c r="YJ26">
        <v>96.91</v>
      </c>
      <c r="YK26">
        <v>96.81</v>
      </c>
      <c r="YL26">
        <v>96.844999999999999</v>
      </c>
      <c r="YM26">
        <v>96.935000000000002</v>
      </c>
      <c r="YN26">
        <v>97.045000000000002</v>
      </c>
      <c r="YO26">
        <v>96.935000000000002</v>
      </c>
      <c r="YP26">
        <v>96.84</v>
      </c>
      <c r="YQ26">
        <v>96.94</v>
      </c>
      <c r="YR26">
        <v>96.894999999999996</v>
      </c>
      <c r="YS26">
        <v>96.734999999999999</v>
      </c>
      <c r="YT26">
        <v>96.704999999999998</v>
      </c>
      <c r="YU26">
        <v>96.75</v>
      </c>
      <c r="YV26">
        <v>96.734999999999999</v>
      </c>
      <c r="YW26">
        <v>96.72</v>
      </c>
      <c r="YX26">
        <v>96.72</v>
      </c>
      <c r="YY26">
        <v>96.65</v>
      </c>
      <c r="YZ26">
        <v>96.55</v>
      </c>
      <c r="ZA26">
        <v>96.534999999999997</v>
      </c>
      <c r="ZB26">
        <v>96.605000000000004</v>
      </c>
      <c r="ZC26">
        <v>96.66</v>
      </c>
      <c r="ZD26">
        <v>96.534999999999997</v>
      </c>
      <c r="ZE26">
        <v>96.46</v>
      </c>
      <c r="ZF26">
        <v>96.51</v>
      </c>
      <c r="ZG26">
        <v>96.49</v>
      </c>
      <c r="ZH26">
        <v>96.19</v>
      </c>
      <c r="ZI26">
        <v>96.22</v>
      </c>
      <c r="ZJ26">
        <v>96.125</v>
      </c>
      <c r="ZK26">
        <v>96.135000000000005</v>
      </c>
      <c r="ZL26">
        <v>96.165000000000006</v>
      </c>
      <c r="ZM26">
        <v>96.18</v>
      </c>
      <c r="ZN26">
        <v>96.16</v>
      </c>
      <c r="ZO26">
        <v>96.14</v>
      </c>
      <c r="ZP26">
        <v>96.17</v>
      </c>
      <c r="ZQ26">
        <v>96.26</v>
      </c>
      <c r="ZR26">
        <v>96.2</v>
      </c>
      <c r="ZS26">
        <v>96.11</v>
      </c>
      <c r="ZT26">
        <v>95.97</v>
      </c>
      <c r="ZU26">
        <v>96.015000000000001</v>
      </c>
      <c r="ZV26">
        <v>96.04</v>
      </c>
      <c r="ZW26">
        <v>96.165000000000006</v>
      </c>
      <c r="ZX26">
        <v>96.29</v>
      </c>
      <c r="ZY26">
        <v>96.27</v>
      </c>
      <c r="ZZ26">
        <v>96.28</v>
      </c>
      <c r="AAA26">
        <v>96.325000000000003</v>
      </c>
      <c r="AAB26">
        <v>96.31</v>
      </c>
      <c r="AAC26">
        <v>96.27</v>
      </c>
      <c r="AAD26">
        <v>96.22</v>
      </c>
      <c r="AAE26">
        <v>96.314999999999998</v>
      </c>
      <c r="AAF26">
        <v>96.36</v>
      </c>
      <c r="AAG26">
        <v>96.42</v>
      </c>
      <c r="AAH26">
        <v>96.575000000000003</v>
      </c>
      <c r="AAI26">
        <v>96.48</v>
      </c>
      <c r="AAJ26">
        <v>96.314999999999998</v>
      </c>
      <c r="AAK26">
        <v>96.38</v>
      </c>
      <c r="AAL26">
        <v>96.424999999999997</v>
      </c>
      <c r="AAM26">
        <v>96.265000000000001</v>
      </c>
      <c r="AAN26">
        <v>96.375</v>
      </c>
      <c r="AAO26">
        <v>96.575000000000003</v>
      </c>
      <c r="AAP26">
        <v>96.495000000000005</v>
      </c>
      <c r="AAQ26">
        <v>96.674999999999997</v>
      </c>
      <c r="AAR26">
        <v>96.605000000000004</v>
      </c>
      <c r="AAS26">
        <v>96.694999999999993</v>
      </c>
      <c r="AAT26">
        <v>96.71</v>
      </c>
      <c r="AAU26">
        <v>96.734999999999999</v>
      </c>
      <c r="AAV26">
        <v>96.81</v>
      </c>
      <c r="AAW26">
        <v>96.78</v>
      </c>
      <c r="AAX26">
        <v>96.784999999999997</v>
      </c>
      <c r="AAY26">
        <v>96.84</v>
      </c>
      <c r="AAZ26">
        <v>96.844999999999999</v>
      </c>
      <c r="ABA26">
        <v>96.87</v>
      </c>
      <c r="ABB26">
        <v>96.775000000000006</v>
      </c>
      <c r="ABC26">
        <v>96.944999999999993</v>
      </c>
      <c r="ABD26">
        <v>96.944999999999993</v>
      </c>
      <c r="ABE26">
        <v>96.894999999999996</v>
      </c>
      <c r="ABF26">
        <v>97.07</v>
      </c>
      <c r="ABG26">
        <v>97.125</v>
      </c>
      <c r="ABH26">
        <v>97.084999999999994</v>
      </c>
      <c r="ABI26">
        <v>97.194999999999993</v>
      </c>
      <c r="ABJ26">
        <v>97.215000000000003</v>
      </c>
      <c r="ABK26">
        <v>97.13</v>
      </c>
      <c r="ABL26">
        <v>97.204999999999998</v>
      </c>
      <c r="ABM26">
        <v>97.234999999999999</v>
      </c>
      <c r="ABN26">
        <v>97.26</v>
      </c>
      <c r="ABO26">
        <v>97.394999999999996</v>
      </c>
      <c r="ABP26">
        <v>97.385000000000005</v>
      </c>
      <c r="ABQ26">
        <v>97.454999999999998</v>
      </c>
      <c r="ABR26">
        <v>97.44</v>
      </c>
      <c r="ABS26">
        <v>97.355000000000004</v>
      </c>
      <c r="ABT26">
        <v>97.3</v>
      </c>
      <c r="ABU26">
        <v>97.454999999999998</v>
      </c>
      <c r="ABV26">
        <v>97.474999999999994</v>
      </c>
      <c r="ABW26">
        <v>97.47</v>
      </c>
      <c r="ABX26">
        <v>97.38</v>
      </c>
      <c r="ABY26">
        <v>97.525000000000006</v>
      </c>
      <c r="ABZ26">
        <v>97.44</v>
      </c>
      <c r="ACA26">
        <v>97.43</v>
      </c>
      <c r="ACB26">
        <v>97.515000000000001</v>
      </c>
      <c r="ACC26">
        <v>97.45</v>
      </c>
      <c r="ACD26">
        <v>97.4</v>
      </c>
      <c r="ACE26">
        <v>97.35</v>
      </c>
      <c r="ACF26">
        <v>97.29</v>
      </c>
      <c r="ACG26">
        <v>97.254999999999995</v>
      </c>
      <c r="ACH26">
        <v>97.31</v>
      </c>
      <c r="ACI26">
        <v>97.204999999999998</v>
      </c>
      <c r="ACJ26">
        <v>97.09</v>
      </c>
      <c r="ACK26">
        <v>97.13</v>
      </c>
      <c r="ACL26">
        <v>97.165000000000006</v>
      </c>
      <c r="ACM26">
        <v>97.19</v>
      </c>
      <c r="ACN26">
        <v>97.12</v>
      </c>
      <c r="ACO26">
        <v>97.165000000000006</v>
      </c>
      <c r="ACP26">
        <v>97.055000000000007</v>
      </c>
      <c r="ACQ26">
        <v>97.004999999999995</v>
      </c>
      <c r="ACR26">
        <v>96.86</v>
      </c>
      <c r="ACS26">
        <v>96.944999999999993</v>
      </c>
      <c r="ACT26">
        <v>97.06</v>
      </c>
      <c r="ACU26">
        <v>97.144999999999996</v>
      </c>
      <c r="ACV26">
        <v>97.064999999999998</v>
      </c>
      <c r="ACW26">
        <v>97.064999999999998</v>
      </c>
      <c r="ACX26">
        <v>97.03</v>
      </c>
      <c r="ACY26">
        <v>96.9</v>
      </c>
      <c r="ACZ26">
        <v>96.81</v>
      </c>
      <c r="ADA26">
        <v>96.83</v>
      </c>
      <c r="ADB26">
        <v>96.885000000000005</v>
      </c>
      <c r="ADC26">
        <v>96.98</v>
      </c>
      <c r="ADD26">
        <v>96.88</v>
      </c>
      <c r="ADE26">
        <v>96.754999999999995</v>
      </c>
      <c r="ADF26">
        <v>96.85</v>
      </c>
      <c r="ADG26">
        <v>96.85</v>
      </c>
      <c r="ADH26">
        <v>96.77</v>
      </c>
      <c r="ADI26">
        <v>96.66</v>
      </c>
      <c r="ADJ26">
        <v>96.63</v>
      </c>
      <c r="ADK26">
        <v>96.73</v>
      </c>
      <c r="ADL26">
        <v>96.944999999999993</v>
      </c>
      <c r="ADM26">
        <v>97.015000000000001</v>
      </c>
      <c r="ADN26">
        <v>97.015000000000001</v>
      </c>
      <c r="ADO26">
        <v>97.064999999999998</v>
      </c>
      <c r="ADP26">
        <v>96.97</v>
      </c>
      <c r="ADQ26">
        <v>97.075000000000003</v>
      </c>
      <c r="ADR26">
        <v>97.125</v>
      </c>
      <c r="ADS26">
        <v>97.084999999999994</v>
      </c>
      <c r="ADT26">
        <v>97.135000000000005</v>
      </c>
      <c r="ADU26">
        <v>97.224999999999994</v>
      </c>
      <c r="ADV26">
        <v>97.224999999999994</v>
      </c>
      <c r="ADW26">
        <v>97.21</v>
      </c>
      <c r="ADX26">
        <v>97.234999999999999</v>
      </c>
      <c r="ADY26">
        <v>97.24</v>
      </c>
      <c r="ADZ26">
        <v>97.185000000000002</v>
      </c>
      <c r="AEA26">
        <v>97.245000000000005</v>
      </c>
      <c r="AEB26">
        <v>97.17</v>
      </c>
      <c r="AEC26">
        <v>97.135000000000005</v>
      </c>
      <c r="AED26">
        <v>97.015000000000001</v>
      </c>
      <c r="AEE26">
        <v>97.09</v>
      </c>
      <c r="AEF26">
        <v>97.025000000000006</v>
      </c>
      <c r="AEG26">
        <v>97.144999999999996</v>
      </c>
      <c r="AEH26">
        <v>97.064999999999998</v>
      </c>
      <c r="AEI26">
        <v>96.95</v>
      </c>
      <c r="AEJ26">
        <v>96.84</v>
      </c>
      <c r="AEK26">
        <v>96.8</v>
      </c>
      <c r="AEL26">
        <v>96.89</v>
      </c>
      <c r="AEM26">
        <v>97.045000000000002</v>
      </c>
      <c r="AEN26">
        <v>97.045000000000002</v>
      </c>
      <c r="AEO26">
        <v>96.984999999999999</v>
      </c>
      <c r="AEP26">
        <v>97.13</v>
      </c>
      <c r="AEQ26">
        <v>97.135000000000005</v>
      </c>
      <c r="AER26">
        <v>97.2</v>
      </c>
      <c r="AES26">
        <v>97.26</v>
      </c>
      <c r="AET26">
        <v>97.245000000000005</v>
      </c>
      <c r="AEU26">
        <v>97.16</v>
      </c>
      <c r="AEV26">
        <v>97.114999999999995</v>
      </c>
      <c r="AEW26">
        <v>97.18</v>
      </c>
      <c r="AEX26">
        <v>97.075000000000003</v>
      </c>
      <c r="AEY26">
        <v>97.12</v>
      </c>
      <c r="AEZ26">
        <v>97.2</v>
      </c>
      <c r="AFA26">
        <v>97.2</v>
      </c>
      <c r="AFB26">
        <v>97.33</v>
      </c>
      <c r="AFC26">
        <v>97.29</v>
      </c>
      <c r="AFD26">
        <v>97.254999999999995</v>
      </c>
      <c r="AFE26">
        <v>97.38</v>
      </c>
      <c r="AFF26">
        <v>97.47</v>
      </c>
      <c r="AFG26">
        <v>97.584999999999994</v>
      </c>
      <c r="AFH26">
        <v>97.685000000000002</v>
      </c>
      <c r="AFI26">
        <v>97.86</v>
      </c>
      <c r="AFJ26">
        <v>97.88</v>
      </c>
      <c r="AFK26">
        <v>97.894999999999996</v>
      </c>
      <c r="AFL26">
        <v>97.844999999999999</v>
      </c>
      <c r="AFM26">
        <v>97.784999999999997</v>
      </c>
      <c r="AFN26">
        <v>97.694999999999993</v>
      </c>
      <c r="AFO26">
        <v>97.65</v>
      </c>
      <c r="AFP26">
        <v>97.805000000000007</v>
      </c>
      <c r="AFQ26">
        <v>97.825000000000003</v>
      </c>
      <c r="AFR26">
        <v>97.77</v>
      </c>
      <c r="AFS26">
        <v>97.834999999999994</v>
      </c>
      <c r="AFT26">
        <v>97.98</v>
      </c>
      <c r="AFU26">
        <v>97.905000000000001</v>
      </c>
      <c r="AFV26">
        <v>97.88</v>
      </c>
      <c r="AFW26">
        <v>97.9</v>
      </c>
      <c r="AFX26">
        <v>97.924999999999997</v>
      </c>
      <c r="AFY26">
        <v>98.084999999999994</v>
      </c>
      <c r="AFZ26">
        <v>98.094999999999999</v>
      </c>
      <c r="AGA26">
        <v>98.165000000000006</v>
      </c>
      <c r="AGB26">
        <v>98.26</v>
      </c>
      <c r="AGC26">
        <v>98.375</v>
      </c>
      <c r="AGD26">
        <v>98.364999999999995</v>
      </c>
      <c r="AGE26">
        <v>98.224999999999994</v>
      </c>
      <c r="AGF26">
        <v>98.174999999999997</v>
      </c>
      <c r="AGG26">
        <v>98.325000000000003</v>
      </c>
      <c r="AGH26">
        <v>98.204999999999998</v>
      </c>
      <c r="AGI26">
        <v>98.064999999999998</v>
      </c>
      <c r="AGJ26">
        <v>98.07</v>
      </c>
      <c r="AGK26">
        <v>98.09</v>
      </c>
      <c r="AGL26">
        <v>98.13</v>
      </c>
      <c r="AGM26">
        <v>98.12</v>
      </c>
      <c r="AGN26">
        <v>98.12</v>
      </c>
      <c r="AGO26">
        <v>98.07</v>
      </c>
      <c r="AGP26">
        <v>97.98</v>
      </c>
      <c r="AGQ26">
        <v>97.99</v>
      </c>
      <c r="AGR26">
        <v>98.075000000000003</v>
      </c>
      <c r="AGS26">
        <v>98.125</v>
      </c>
      <c r="AGT26">
        <v>98.015000000000001</v>
      </c>
      <c r="AGU26">
        <v>98.08</v>
      </c>
      <c r="AGV26">
        <v>98.03</v>
      </c>
      <c r="AGW26">
        <v>98.07</v>
      </c>
      <c r="AGX26">
        <v>98.055000000000007</v>
      </c>
      <c r="AGY26">
        <v>98.155000000000001</v>
      </c>
      <c r="AGZ26">
        <v>98.224999999999994</v>
      </c>
      <c r="AHA26">
        <v>98.19</v>
      </c>
      <c r="AHB26">
        <v>98.2</v>
      </c>
      <c r="AHC26">
        <v>98.21</v>
      </c>
      <c r="AHD26">
        <v>98.165000000000006</v>
      </c>
      <c r="AHE26">
        <v>98.06</v>
      </c>
      <c r="AHF26">
        <v>98.13</v>
      </c>
      <c r="AHG26">
        <v>98.194999999999993</v>
      </c>
      <c r="AHH26">
        <v>98.174999999999997</v>
      </c>
      <c r="AHI26">
        <v>98.105000000000004</v>
      </c>
      <c r="AHJ26">
        <v>98.09</v>
      </c>
      <c r="AHK26">
        <v>98.034999999999997</v>
      </c>
      <c r="AHL26">
        <v>98.14</v>
      </c>
      <c r="AHM26">
        <v>98.14</v>
      </c>
      <c r="AHN26">
        <v>98.224999999999994</v>
      </c>
      <c r="AHO26">
        <v>98.19</v>
      </c>
      <c r="AHP26">
        <v>98.144999999999996</v>
      </c>
      <c r="AHQ26">
        <v>98.094999999999999</v>
      </c>
      <c r="AHR26">
        <v>98.1</v>
      </c>
      <c r="AHS26">
        <v>98.13</v>
      </c>
      <c r="AHT26">
        <v>98.16</v>
      </c>
      <c r="AHU26">
        <v>98.19</v>
      </c>
      <c r="AHV26">
        <v>98.234999999999999</v>
      </c>
      <c r="AHW26">
        <v>98.405000000000001</v>
      </c>
      <c r="AHX26">
        <v>98.39</v>
      </c>
      <c r="AHY26">
        <v>98.38</v>
      </c>
      <c r="AHZ26">
        <v>98.474999999999994</v>
      </c>
      <c r="AIA26">
        <v>98.45</v>
      </c>
      <c r="AIB26">
        <v>98.42</v>
      </c>
      <c r="AIC26">
        <v>98.42</v>
      </c>
      <c r="AID26">
        <v>98.444999999999993</v>
      </c>
      <c r="AIE26">
        <v>98.415000000000006</v>
      </c>
      <c r="AIF26">
        <v>98.504999999999995</v>
      </c>
      <c r="AIG26">
        <v>98.56</v>
      </c>
      <c r="AIH26">
        <v>98.525000000000006</v>
      </c>
      <c r="AII26">
        <v>98.48</v>
      </c>
      <c r="AIJ26">
        <v>98.484999999999999</v>
      </c>
      <c r="AIK26">
        <v>98.495000000000005</v>
      </c>
      <c r="AIL26">
        <v>98.435000000000002</v>
      </c>
      <c r="AIM26">
        <v>98.46</v>
      </c>
      <c r="AIN26">
        <v>98.42</v>
      </c>
      <c r="AIO26">
        <v>98.44</v>
      </c>
      <c r="AIP26">
        <v>98.484999999999999</v>
      </c>
      <c r="AIQ26">
        <v>98.635000000000005</v>
      </c>
      <c r="AIR26">
        <v>98.5</v>
      </c>
      <c r="AIS26">
        <v>98.5</v>
      </c>
      <c r="AIT26">
        <v>98.43</v>
      </c>
      <c r="AIU26">
        <v>98.314999999999998</v>
      </c>
      <c r="AIV26">
        <v>98.385000000000005</v>
      </c>
      <c r="AIW26">
        <v>98.21</v>
      </c>
      <c r="AIX26">
        <v>98.21</v>
      </c>
      <c r="AIY26">
        <v>98.17</v>
      </c>
      <c r="AIZ26">
        <v>98.234999999999999</v>
      </c>
      <c r="AJA26">
        <v>98.34</v>
      </c>
      <c r="AJB26">
        <v>98.265000000000001</v>
      </c>
      <c r="AJC26">
        <v>98.234999999999999</v>
      </c>
      <c r="AJD26">
        <v>98.21</v>
      </c>
      <c r="AJE26">
        <v>98.245000000000005</v>
      </c>
      <c r="AJF26">
        <v>98.284999999999997</v>
      </c>
      <c r="AJG26">
        <v>98.295000000000002</v>
      </c>
      <c r="AJH26">
        <v>98.325000000000003</v>
      </c>
      <c r="AJI26">
        <v>98.435000000000002</v>
      </c>
      <c r="AJJ26">
        <v>98.34</v>
      </c>
      <c r="AJK26">
        <v>98.375</v>
      </c>
      <c r="AJL26">
        <v>98.28</v>
      </c>
      <c r="AJM26">
        <v>98.25</v>
      </c>
      <c r="AJN26">
        <v>98.27</v>
      </c>
      <c r="AJO26">
        <v>98.3</v>
      </c>
      <c r="AJP26">
        <v>98.34</v>
      </c>
      <c r="AJQ26">
        <v>98.305000000000007</v>
      </c>
      <c r="AJR26">
        <v>98.31</v>
      </c>
      <c r="AJS26">
        <v>98.155000000000001</v>
      </c>
      <c r="AJT26">
        <v>98.144999999999996</v>
      </c>
      <c r="AJU26">
        <v>98.14</v>
      </c>
      <c r="AJV26">
        <v>98.09</v>
      </c>
      <c r="AJW26">
        <v>98.125</v>
      </c>
      <c r="AJX26">
        <v>98.144999999999996</v>
      </c>
      <c r="AJY26">
        <v>98.224999999999994</v>
      </c>
      <c r="AJZ26">
        <v>98.204999999999998</v>
      </c>
      <c r="AKA26">
        <v>98.26</v>
      </c>
      <c r="AKB26">
        <v>98.22</v>
      </c>
      <c r="AKC26">
        <v>98.135000000000005</v>
      </c>
      <c r="AKD26">
        <v>98.055000000000007</v>
      </c>
      <c r="AKE26">
        <v>98.06</v>
      </c>
      <c r="AKF26">
        <v>98.105000000000004</v>
      </c>
      <c r="AKG26">
        <v>98.16</v>
      </c>
      <c r="AKH26">
        <v>98.14</v>
      </c>
      <c r="AKI26">
        <v>98.194999999999993</v>
      </c>
      <c r="AKJ26">
        <v>98.174999999999997</v>
      </c>
      <c r="AKK26">
        <v>98.11</v>
      </c>
      <c r="AKL26">
        <v>98.094999999999999</v>
      </c>
      <c r="AKM26">
        <v>98.105000000000004</v>
      </c>
      <c r="AKN26">
        <v>98.19</v>
      </c>
      <c r="AKO26">
        <v>98.234999999999999</v>
      </c>
      <c r="AKP26">
        <v>98.31</v>
      </c>
      <c r="AKQ26">
        <v>98.4</v>
      </c>
      <c r="AKR26">
        <v>98.375</v>
      </c>
      <c r="AKS26">
        <v>98.38</v>
      </c>
      <c r="AKT26">
        <v>98.305000000000007</v>
      </c>
      <c r="AKU26">
        <v>98.37</v>
      </c>
      <c r="AKV26">
        <v>98.415000000000006</v>
      </c>
      <c r="AKW26">
        <v>98.49</v>
      </c>
      <c r="AKX26">
        <v>98.42</v>
      </c>
      <c r="AKY26">
        <v>98.4</v>
      </c>
      <c r="AKZ26">
        <v>98.465000000000003</v>
      </c>
      <c r="ALA26">
        <v>98.43</v>
      </c>
      <c r="ALB26">
        <v>98.38</v>
      </c>
      <c r="ALC26">
        <v>98.43</v>
      </c>
      <c r="ALD26">
        <v>98.43</v>
      </c>
      <c r="ALE26">
        <v>98.48</v>
      </c>
      <c r="ALF26">
        <v>98.47</v>
      </c>
      <c r="ALG26">
        <v>98.465000000000003</v>
      </c>
      <c r="ALH26">
        <v>98.49</v>
      </c>
      <c r="ALI26">
        <v>98.465000000000003</v>
      </c>
      <c r="ALJ26">
        <v>98.435000000000002</v>
      </c>
      <c r="ALK26">
        <v>98.444999999999993</v>
      </c>
      <c r="ALL26">
        <v>98.515000000000001</v>
      </c>
      <c r="ALM26">
        <v>98.56</v>
      </c>
      <c r="ALN26">
        <v>98.55</v>
      </c>
      <c r="ALO26">
        <v>98.58</v>
      </c>
      <c r="ALP26">
        <v>98.534999999999997</v>
      </c>
      <c r="ALQ26">
        <v>98.564999999999998</v>
      </c>
      <c r="ALR26">
        <v>98.57</v>
      </c>
      <c r="ALS26">
        <v>98.52</v>
      </c>
      <c r="ALT26">
        <v>98.43</v>
      </c>
      <c r="ALU26">
        <v>98.444999999999993</v>
      </c>
      <c r="ALV26">
        <v>98.46</v>
      </c>
      <c r="ALW26">
        <v>98.484999999999999</v>
      </c>
      <c r="ALX26">
        <v>98.525000000000006</v>
      </c>
      <c r="ALY26">
        <v>98.61</v>
      </c>
      <c r="ALZ26">
        <v>98.644999999999996</v>
      </c>
      <c r="AMA26">
        <v>98.65</v>
      </c>
      <c r="AMB26">
        <v>98.65</v>
      </c>
      <c r="AMC26">
        <v>98.555000000000007</v>
      </c>
      <c r="AMD26">
        <v>98.534999999999997</v>
      </c>
      <c r="AME26">
        <v>98.555000000000007</v>
      </c>
      <c r="AMF26">
        <v>98.584999999999994</v>
      </c>
      <c r="AMG26">
        <v>98.545000000000002</v>
      </c>
      <c r="AMH26">
        <v>98.53</v>
      </c>
      <c r="AMI26">
        <v>98.55</v>
      </c>
      <c r="AMJ26">
        <v>98.545000000000002</v>
      </c>
      <c r="AMK26">
        <v>98.65</v>
      </c>
      <c r="AML26">
        <v>98.704999999999998</v>
      </c>
      <c r="AMM26">
        <v>98.534999999999997</v>
      </c>
      <c r="AMN26">
        <v>98.534999999999997</v>
      </c>
      <c r="AMO26">
        <v>98.43</v>
      </c>
      <c r="AMP26">
        <v>98.35</v>
      </c>
      <c r="AMQ26">
        <v>98.405000000000001</v>
      </c>
      <c r="AMR26">
        <v>98.4</v>
      </c>
      <c r="AMS26">
        <v>98.495000000000005</v>
      </c>
      <c r="AMT26">
        <v>98.48</v>
      </c>
      <c r="AMU26">
        <v>98.42</v>
      </c>
      <c r="AMV26">
        <v>98.33</v>
      </c>
      <c r="AMW26">
        <v>98.33</v>
      </c>
      <c r="AMX26">
        <v>98.265000000000001</v>
      </c>
      <c r="AMY26">
        <v>98.3</v>
      </c>
      <c r="AMZ26">
        <v>98.245000000000005</v>
      </c>
      <c r="ANA26">
        <v>98.234999999999999</v>
      </c>
      <c r="ANB26">
        <v>98.16</v>
      </c>
      <c r="ANC26">
        <v>98.21</v>
      </c>
      <c r="AND26">
        <v>98.204999999999998</v>
      </c>
      <c r="ANE26">
        <v>98.24</v>
      </c>
      <c r="ANF26">
        <v>98.234999999999999</v>
      </c>
      <c r="ANG26">
        <v>98.28</v>
      </c>
      <c r="ANH26">
        <v>98.18</v>
      </c>
      <c r="ANI26">
        <v>98.04</v>
      </c>
      <c r="ANJ26">
        <v>98.16</v>
      </c>
      <c r="ANK26">
        <v>98.14</v>
      </c>
      <c r="ANL26">
        <v>98.14</v>
      </c>
      <c r="ANM26">
        <v>98.16</v>
      </c>
      <c r="ANN26">
        <v>98.125</v>
      </c>
      <c r="ANO26">
        <v>98.075000000000003</v>
      </c>
      <c r="ANP26">
        <v>98.03</v>
      </c>
      <c r="ANQ26">
        <v>98.02</v>
      </c>
      <c r="ANR26">
        <v>97.924999999999997</v>
      </c>
      <c r="ANS26">
        <v>97.974999999999994</v>
      </c>
      <c r="ANT26">
        <v>97.94</v>
      </c>
      <c r="ANU26">
        <v>97.984999999999999</v>
      </c>
      <c r="ANV26">
        <v>97.984999999999999</v>
      </c>
      <c r="ANW26">
        <v>97.98</v>
      </c>
      <c r="ANX26">
        <v>98.03</v>
      </c>
      <c r="ANY26">
        <v>98.045000000000002</v>
      </c>
      <c r="ANZ26">
        <v>97.984999999999999</v>
      </c>
      <c r="AOA26">
        <v>97.944999999999993</v>
      </c>
      <c r="AOB26">
        <v>97.954999999999998</v>
      </c>
      <c r="AOC26">
        <v>97.89</v>
      </c>
      <c r="AOD26">
        <v>97.94</v>
      </c>
      <c r="AOE26">
        <v>97.944999999999993</v>
      </c>
      <c r="AOF26">
        <v>97.954999999999998</v>
      </c>
      <c r="AOG26">
        <v>97.915000000000006</v>
      </c>
      <c r="AOH26">
        <v>97.86</v>
      </c>
      <c r="AOI26">
        <v>97.954999999999998</v>
      </c>
      <c r="AOJ26">
        <v>97.98</v>
      </c>
      <c r="AOK26">
        <v>98</v>
      </c>
      <c r="AOL26">
        <v>98.004999999999995</v>
      </c>
      <c r="AOM26">
        <v>97.97</v>
      </c>
      <c r="AON26">
        <v>97.944999999999993</v>
      </c>
      <c r="AOO26">
        <v>97.92</v>
      </c>
      <c r="AOP26">
        <v>97.885000000000005</v>
      </c>
      <c r="AOQ26">
        <v>97.885000000000005</v>
      </c>
      <c r="AOR26">
        <v>97.91</v>
      </c>
      <c r="AOS26">
        <v>97.92</v>
      </c>
      <c r="AOT26">
        <v>97.98</v>
      </c>
      <c r="AOU26">
        <v>97.99</v>
      </c>
      <c r="AOV26">
        <v>98.015000000000001</v>
      </c>
      <c r="AOW26">
        <v>98</v>
      </c>
      <c r="AOX26">
        <v>98.004999999999995</v>
      </c>
      <c r="AOY26">
        <v>97.98</v>
      </c>
      <c r="AOZ26">
        <v>97.995000000000005</v>
      </c>
      <c r="APA26">
        <v>98.034999999999997</v>
      </c>
      <c r="APB26">
        <v>97.89</v>
      </c>
      <c r="APC26">
        <v>97.88</v>
      </c>
      <c r="APD26">
        <v>97.784999999999997</v>
      </c>
      <c r="APE26">
        <v>97.795000000000002</v>
      </c>
      <c r="APF26">
        <v>97.825000000000003</v>
      </c>
      <c r="APG26">
        <v>97.795000000000002</v>
      </c>
      <c r="APH26">
        <v>97.77</v>
      </c>
      <c r="API26">
        <v>97.665000000000006</v>
      </c>
      <c r="APJ26">
        <v>97.65</v>
      </c>
      <c r="APK26">
        <v>97.715000000000003</v>
      </c>
      <c r="APL26">
        <v>97.625</v>
      </c>
      <c r="APM26">
        <v>97.66</v>
      </c>
      <c r="APN26">
        <v>97.685000000000002</v>
      </c>
      <c r="APO26">
        <v>97.765000000000001</v>
      </c>
      <c r="APP26">
        <v>97.825000000000003</v>
      </c>
      <c r="APQ26">
        <v>97.825000000000003</v>
      </c>
      <c r="APR26">
        <v>97.805000000000007</v>
      </c>
      <c r="APS26">
        <v>97.745000000000005</v>
      </c>
      <c r="APT26">
        <v>97.7</v>
      </c>
      <c r="APU26">
        <v>97.81</v>
      </c>
      <c r="APV26">
        <v>98</v>
      </c>
      <c r="APW26">
        <v>98.03</v>
      </c>
      <c r="APX26">
        <v>98.025000000000006</v>
      </c>
      <c r="APY26">
        <v>98.01</v>
      </c>
      <c r="APZ26">
        <v>98.08</v>
      </c>
      <c r="AQA26">
        <v>98.1</v>
      </c>
      <c r="AQB26">
        <v>98.07</v>
      </c>
      <c r="AQC26">
        <v>98.015000000000001</v>
      </c>
      <c r="AQD26">
        <v>98.08</v>
      </c>
      <c r="AQE26">
        <v>98.07</v>
      </c>
      <c r="AQF26">
        <v>98.135000000000005</v>
      </c>
      <c r="AQG26">
        <v>98.19</v>
      </c>
      <c r="AQH26">
        <v>98.15</v>
      </c>
      <c r="AQI26">
        <v>98.09</v>
      </c>
      <c r="AQJ26">
        <v>98.094999999999999</v>
      </c>
      <c r="AQK26">
        <v>98.224999999999994</v>
      </c>
      <c r="AQL26">
        <v>98.25</v>
      </c>
      <c r="AQM26">
        <v>98.24</v>
      </c>
      <c r="AQN26">
        <v>98.275000000000006</v>
      </c>
      <c r="AQO26">
        <v>98.32</v>
      </c>
      <c r="AQP26">
        <v>98.34</v>
      </c>
      <c r="AQQ26">
        <v>98.364999999999995</v>
      </c>
      <c r="AQR26">
        <v>98.484999999999999</v>
      </c>
      <c r="AQS26">
        <v>98.484999999999999</v>
      </c>
      <c r="AQT26">
        <v>98.57</v>
      </c>
      <c r="AQU26">
        <v>98.58</v>
      </c>
      <c r="AQV26">
        <v>98.564999999999998</v>
      </c>
      <c r="AQW26">
        <v>98.555000000000007</v>
      </c>
      <c r="AQX26">
        <v>98.575000000000003</v>
      </c>
      <c r="AQY26">
        <v>98.58</v>
      </c>
      <c r="AQZ26">
        <v>98.7</v>
      </c>
      <c r="ARA26">
        <v>98.715000000000003</v>
      </c>
      <c r="ARB26">
        <v>98.74</v>
      </c>
      <c r="ARC26">
        <v>98.74</v>
      </c>
      <c r="ARD26">
        <v>98.745000000000005</v>
      </c>
      <c r="ARE26">
        <v>98.745000000000005</v>
      </c>
      <c r="ARF26">
        <v>98.74</v>
      </c>
      <c r="ARG26">
        <v>98.745000000000005</v>
      </c>
      <c r="ARH26">
        <v>98.745000000000005</v>
      </c>
      <c r="ARI26">
        <v>98.74</v>
      </c>
      <c r="ARJ26">
        <v>98.754999999999995</v>
      </c>
      <c r="ARK26">
        <v>98.754999999999995</v>
      </c>
      <c r="ARL26">
        <v>98.745000000000005</v>
      </c>
      <c r="ARM26">
        <v>98.745000000000005</v>
      </c>
      <c r="ARN26">
        <v>98.775000000000006</v>
      </c>
      <c r="ARO26">
        <v>98.76</v>
      </c>
      <c r="ARP26">
        <v>98.734999999999999</v>
      </c>
      <c r="ARQ26">
        <v>98.74</v>
      </c>
      <c r="ARR26">
        <v>98.745000000000005</v>
      </c>
      <c r="ARS26">
        <v>98.784999999999997</v>
      </c>
      <c r="ART26">
        <v>98.944999999999993</v>
      </c>
      <c r="ARU26">
        <v>98.99</v>
      </c>
      <c r="ARV26">
        <v>99</v>
      </c>
      <c r="ARW26">
        <v>98.99</v>
      </c>
      <c r="ARX26">
        <v>98.99</v>
      </c>
      <c r="ARY26">
        <v>98.98</v>
      </c>
      <c r="ARZ26">
        <v>98.965000000000003</v>
      </c>
      <c r="ASA26">
        <v>98.96</v>
      </c>
      <c r="ASB26">
        <v>98.965000000000003</v>
      </c>
      <c r="ASC26">
        <v>98.965000000000003</v>
      </c>
      <c r="ASD26">
        <v>98.965000000000003</v>
      </c>
      <c r="ASE26">
        <v>98.97</v>
      </c>
      <c r="ASF26">
        <v>98.965000000000003</v>
      </c>
      <c r="ASG26">
        <v>98.965000000000003</v>
      </c>
      <c r="ASH26">
        <v>99.034999999999997</v>
      </c>
      <c r="ASI26">
        <v>99.045000000000002</v>
      </c>
      <c r="ASJ26">
        <v>99.114999999999995</v>
      </c>
      <c r="ASK26">
        <v>99.114999999999995</v>
      </c>
      <c r="ASL26">
        <v>99.114999999999995</v>
      </c>
      <c r="ASM26">
        <v>99.135000000000005</v>
      </c>
      <c r="ASN26">
        <v>99.515000000000001</v>
      </c>
      <c r="ASO26">
        <v>99.62</v>
      </c>
      <c r="ASP26">
        <v>99.62</v>
      </c>
      <c r="ASQ26">
        <v>99.63</v>
      </c>
      <c r="ASR26">
        <v>99.644999999999996</v>
      </c>
      <c r="ASS26">
        <v>99.65</v>
      </c>
      <c r="AST26">
        <v>99.655000000000001</v>
      </c>
      <c r="ASU26">
        <v>99.68</v>
      </c>
      <c r="ASV26">
        <v>99.685000000000002</v>
      </c>
      <c r="ASW26">
        <v>99.68</v>
      </c>
      <c r="ASX26">
        <v>99.68</v>
      </c>
      <c r="ASY26">
        <v>99.674999999999997</v>
      </c>
      <c r="ASZ26">
        <v>99.67</v>
      </c>
      <c r="ATA26">
        <v>99.685000000000002</v>
      </c>
      <c r="ATB26">
        <v>99.68</v>
      </c>
      <c r="ATC26">
        <v>99.68</v>
      </c>
      <c r="ATD26">
        <v>99.685000000000002</v>
      </c>
      <c r="ATE26">
        <v>99.674999999999997</v>
      </c>
      <c r="ATF26">
        <v>99.674999999999997</v>
      </c>
      <c r="ATG26">
        <v>99.67</v>
      </c>
      <c r="ATH26">
        <v>99.65</v>
      </c>
      <c r="ATI26">
        <v>99.65</v>
      </c>
      <c r="ATJ26">
        <v>99.685000000000002</v>
      </c>
      <c r="ATK26">
        <v>99.73</v>
      </c>
      <c r="ATL26">
        <v>99.734999999999999</v>
      </c>
      <c r="ATM26">
        <v>99.754999999999995</v>
      </c>
      <c r="ATN26">
        <v>99.724999999999994</v>
      </c>
      <c r="ATO26">
        <v>99.734999999999999</v>
      </c>
      <c r="ATP26">
        <v>99.73</v>
      </c>
      <c r="ATQ26">
        <v>99.734999999999999</v>
      </c>
      <c r="ATR26">
        <v>99.745000000000005</v>
      </c>
      <c r="ATS26">
        <v>99.745000000000005</v>
      </c>
      <c r="ATT26">
        <v>99.74</v>
      </c>
      <c r="ATU26">
        <v>99.73</v>
      </c>
      <c r="ATV26">
        <v>99.72</v>
      </c>
      <c r="ATW26">
        <v>99.745000000000005</v>
      </c>
      <c r="ATX26">
        <v>99.745000000000005</v>
      </c>
      <c r="ATY26">
        <v>99.754999999999995</v>
      </c>
      <c r="ATZ26">
        <v>99.765000000000001</v>
      </c>
      <c r="AUA26">
        <v>99.76</v>
      </c>
      <c r="AUB26">
        <v>99.765000000000001</v>
      </c>
      <c r="AUC26">
        <v>99.76</v>
      </c>
      <c r="AUD26">
        <v>99.745000000000005</v>
      </c>
      <c r="AUE26">
        <v>99.74</v>
      </c>
      <c r="AUF26">
        <v>99.754999999999995</v>
      </c>
      <c r="AUG26">
        <v>99.75</v>
      </c>
      <c r="AUH26">
        <v>99.775000000000006</v>
      </c>
      <c r="AUI26">
        <v>99.775000000000006</v>
      </c>
      <c r="AUJ26">
        <v>99.825000000000003</v>
      </c>
      <c r="AUK26">
        <v>99.825000000000003</v>
      </c>
      <c r="AUL26">
        <v>99.825000000000003</v>
      </c>
      <c r="AUM26">
        <v>99.83</v>
      </c>
      <c r="AUN26">
        <v>99.83</v>
      </c>
      <c r="AUO26">
        <v>99.84</v>
      </c>
      <c r="AUP26">
        <v>99.84</v>
      </c>
      <c r="AUQ26">
        <v>99.844999999999999</v>
      </c>
      <c r="AUR26">
        <v>99.844999999999999</v>
      </c>
      <c r="AUS26">
        <v>99.834999999999994</v>
      </c>
      <c r="AUT26">
        <v>99.814999999999998</v>
      </c>
      <c r="AUU26">
        <v>99.83</v>
      </c>
      <c r="AUV26">
        <v>99.825000000000003</v>
      </c>
      <c r="AUW26">
        <v>99.855000000000004</v>
      </c>
      <c r="AUX26">
        <v>99.86</v>
      </c>
      <c r="AUY26">
        <v>99.85</v>
      </c>
      <c r="AUZ26">
        <v>99.825000000000003</v>
      </c>
      <c r="AVA26">
        <v>99.82</v>
      </c>
      <c r="AVB26">
        <v>99.825000000000003</v>
      </c>
      <c r="AVC26">
        <v>99.814999999999998</v>
      </c>
      <c r="AVD26">
        <v>99.814999999999998</v>
      </c>
      <c r="AVE26">
        <v>99.844999999999999</v>
      </c>
      <c r="AVF26">
        <v>99.834999999999994</v>
      </c>
      <c r="AVG26">
        <v>99.844999999999999</v>
      </c>
      <c r="AVH26">
        <v>99.84</v>
      </c>
      <c r="AVI26">
        <v>99.834999999999994</v>
      </c>
      <c r="AVJ26">
        <v>99.814999999999998</v>
      </c>
      <c r="AVK26">
        <v>99.825000000000003</v>
      </c>
      <c r="AVL26">
        <v>99.83</v>
      </c>
      <c r="AVM26">
        <v>99.84</v>
      </c>
      <c r="AVN26">
        <v>99.834999999999994</v>
      </c>
      <c r="AVO26">
        <v>99.844999999999999</v>
      </c>
      <c r="AVP26">
        <v>99.844999999999999</v>
      </c>
      <c r="AVQ26">
        <v>99.834999999999994</v>
      </c>
      <c r="AVR26">
        <v>99.82</v>
      </c>
      <c r="AVS26">
        <v>99.81</v>
      </c>
      <c r="AVT26">
        <v>99.81</v>
      </c>
      <c r="AVU26">
        <v>99.814999999999998</v>
      </c>
      <c r="AVV26">
        <v>99.814999999999998</v>
      </c>
      <c r="AVW26">
        <v>99.85</v>
      </c>
      <c r="AVX26">
        <v>99.86</v>
      </c>
      <c r="AVY26">
        <v>99.88</v>
      </c>
      <c r="AVZ26">
        <v>99.885000000000005</v>
      </c>
      <c r="AWA26">
        <v>99.894999999999996</v>
      </c>
      <c r="AWB26">
        <v>99.885000000000005</v>
      </c>
      <c r="AWC26">
        <v>99.88</v>
      </c>
      <c r="AWD26">
        <v>99.875</v>
      </c>
      <c r="AWE26">
        <v>99.855000000000004</v>
      </c>
      <c r="AWF26">
        <v>99.844999999999999</v>
      </c>
      <c r="AWG26">
        <v>99.84</v>
      </c>
      <c r="AWH26">
        <v>99.85</v>
      </c>
      <c r="AWI26">
        <v>99.855000000000004</v>
      </c>
      <c r="AWJ26">
        <v>99.855000000000004</v>
      </c>
      <c r="AWK26">
        <v>99.85</v>
      </c>
      <c r="AWL26">
        <v>99.85</v>
      </c>
      <c r="AWM26">
        <v>99.844999999999999</v>
      </c>
      <c r="AWN26">
        <v>99.844999999999999</v>
      </c>
      <c r="AWO26">
        <v>99.84</v>
      </c>
      <c r="AWP26">
        <v>99.85</v>
      </c>
      <c r="AWQ26">
        <v>99.85</v>
      </c>
      <c r="AWR26">
        <v>99.864999999999995</v>
      </c>
      <c r="AWS26">
        <v>99.88</v>
      </c>
      <c r="AWT26">
        <v>99.864999999999995</v>
      </c>
      <c r="AWU26">
        <v>99.86</v>
      </c>
      <c r="AWV26">
        <v>99.855000000000004</v>
      </c>
      <c r="AWW26">
        <v>99.855000000000004</v>
      </c>
      <c r="AWX26">
        <v>99.855000000000004</v>
      </c>
      <c r="AWY26">
        <v>99.844999999999999</v>
      </c>
      <c r="AWZ26">
        <v>99.864999999999995</v>
      </c>
      <c r="AXA26">
        <v>99.864999999999995</v>
      </c>
      <c r="AXB26">
        <v>99.855000000000004</v>
      </c>
      <c r="AXC26">
        <v>99.834999999999994</v>
      </c>
      <c r="AXD26">
        <v>99.834999999999994</v>
      </c>
      <c r="AXE26">
        <v>99.834999999999994</v>
      </c>
      <c r="AXF26">
        <v>99.83</v>
      </c>
      <c r="AXG26">
        <v>99.82</v>
      </c>
      <c r="AXH26">
        <v>99.8</v>
      </c>
      <c r="AXI26">
        <v>99.795000000000002</v>
      </c>
      <c r="AXJ26">
        <v>99.784999999999997</v>
      </c>
      <c r="AXK26">
        <v>99.8</v>
      </c>
      <c r="AXL26">
        <v>99.79</v>
      </c>
      <c r="AXM26">
        <v>99.8</v>
      </c>
      <c r="AXN26">
        <v>99.775000000000006</v>
      </c>
      <c r="AXO26">
        <v>99.724999999999994</v>
      </c>
      <c r="AXP26">
        <v>99.69</v>
      </c>
      <c r="AXQ26">
        <v>99.685000000000002</v>
      </c>
      <c r="AXR26">
        <v>99.75</v>
      </c>
      <c r="AXS26">
        <v>99.765000000000001</v>
      </c>
      <c r="AXT26">
        <v>99.8</v>
      </c>
      <c r="AXU26">
        <v>99.805000000000007</v>
      </c>
      <c r="AXV26">
        <v>99.795000000000002</v>
      </c>
      <c r="AXW26">
        <v>99.775000000000006</v>
      </c>
      <c r="AXX26">
        <v>99.78</v>
      </c>
      <c r="AXY26">
        <v>99.784999999999997</v>
      </c>
      <c r="AXZ26">
        <v>99.79</v>
      </c>
      <c r="AYA26">
        <v>99.79</v>
      </c>
      <c r="AYB26">
        <v>99.784999999999997</v>
      </c>
      <c r="AYC26">
        <v>99.784999999999997</v>
      </c>
      <c r="AYD26">
        <v>99.79</v>
      </c>
      <c r="AYE26">
        <v>99.79</v>
      </c>
      <c r="AYF26">
        <v>99.834999999999994</v>
      </c>
      <c r="AYG26">
        <v>99.81</v>
      </c>
      <c r="AYH26">
        <v>99.8</v>
      </c>
      <c r="AYI26">
        <v>99.78</v>
      </c>
      <c r="AYJ26">
        <v>99.78</v>
      </c>
      <c r="AYK26">
        <v>99.8</v>
      </c>
      <c r="AYL26">
        <v>99.81</v>
      </c>
      <c r="AYM26">
        <v>99.754999999999995</v>
      </c>
      <c r="AYN26">
        <v>99.74</v>
      </c>
      <c r="AYO26">
        <v>99.745000000000005</v>
      </c>
      <c r="AYP26">
        <v>99.73</v>
      </c>
      <c r="AYQ26">
        <v>99.734999999999999</v>
      </c>
      <c r="AYR26">
        <v>99.724999999999994</v>
      </c>
      <c r="AYS26">
        <v>99.71</v>
      </c>
      <c r="AYT26">
        <v>99.704999999999998</v>
      </c>
      <c r="AYU26">
        <v>99.715000000000003</v>
      </c>
      <c r="AYV26">
        <v>99.715000000000003</v>
      </c>
      <c r="AYW26">
        <v>99.71</v>
      </c>
      <c r="AYX26">
        <v>99.72</v>
      </c>
      <c r="AYY26">
        <v>99.7</v>
      </c>
      <c r="AYZ26">
        <v>99.69</v>
      </c>
      <c r="AZA26">
        <v>99.674999999999997</v>
      </c>
      <c r="AZB26">
        <v>99.665000000000006</v>
      </c>
      <c r="AZC26">
        <v>99.635000000000005</v>
      </c>
      <c r="AZD26">
        <v>99.62</v>
      </c>
      <c r="AZE26">
        <v>99.63</v>
      </c>
      <c r="AZF26">
        <v>99.63</v>
      </c>
      <c r="AZG26">
        <v>99.61</v>
      </c>
      <c r="AZH26">
        <v>99.594999999999999</v>
      </c>
      <c r="AZI26">
        <v>99.64</v>
      </c>
      <c r="AZJ26">
        <v>99.7</v>
      </c>
      <c r="AZK26">
        <v>99.694999999999993</v>
      </c>
      <c r="AZL26">
        <v>99.71</v>
      </c>
      <c r="AZM26">
        <v>99.685000000000002</v>
      </c>
      <c r="AZN26">
        <v>99.715000000000003</v>
      </c>
      <c r="AZO26">
        <v>99.67</v>
      </c>
      <c r="AZP26">
        <v>99.65</v>
      </c>
      <c r="AZQ26">
        <v>99.62</v>
      </c>
      <c r="AZR26">
        <v>99.614999999999995</v>
      </c>
      <c r="AZS26">
        <v>99.674999999999997</v>
      </c>
      <c r="AZT26">
        <v>99.594999999999999</v>
      </c>
      <c r="AZU26">
        <v>99.534999999999997</v>
      </c>
      <c r="AZV26">
        <v>99.43</v>
      </c>
      <c r="AZW26">
        <v>99.545000000000002</v>
      </c>
      <c r="AZX26">
        <v>99.594999999999999</v>
      </c>
      <c r="AZY26">
        <v>99.52</v>
      </c>
      <c r="AZZ26">
        <v>99.56</v>
      </c>
      <c r="BAA26">
        <v>99.49</v>
      </c>
      <c r="BAB26">
        <v>99.48</v>
      </c>
      <c r="BAC26">
        <v>99.6</v>
      </c>
      <c r="BAD26">
        <v>99.525000000000006</v>
      </c>
      <c r="BAE26">
        <v>99.44</v>
      </c>
      <c r="BAF26">
        <v>99.39</v>
      </c>
      <c r="BAG26">
        <v>99.33</v>
      </c>
      <c r="BAH26">
        <v>99.26</v>
      </c>
      <c r="BAI26">
        <v>99.26</v>
      </c>
      <c r="BAJ26">
        <v>99.06</v>
      </c>
      <c r="BAK26">
        <v>99.004999999999995</v>
      </c>
      <c r="BAL26">
        <v>99.015000000000001</v>
      </c>
      <c r="BAM26">
        <v>98.96</v>
      </c>
      <c r="BAN26">
        <v>98.85</v>
      </c>
      <c r="BAO26">
        <v>98.784999999999997</v>
      </c>
      <c r="BAP26">
        <v>98.74</v>
      </c>
      <c r="BAQ26">
        <v>98.765000000000001</v>
      </c>
      <c r="BAR26">
        <v>98.734999999999999</v>
      </c>
      <c r="BAS26">
        <v>98.734999999999999</v>
      </c>
      <c r="BAT26">
        <v>98.7</v>
      </c>
      <c r="BAU26">
        <v>98.7</v>
      </c>
      <c r="BAV26">
        <v>98.74</v>
      </c>
      <c r="BAW26">
        <v>98.77</v>
      </c>
      <c r="BAX26">
        <v>98.734999999999999</v>
      </c>
      <c r="BAY26">
        <v>98.68</v>
      </c>
      <c r="BAZ26">
        <v>98.7</v>
      </c>
      <c r="BBA26">
        <v>98.74</v>
      </c>
      <c r="BBB26">
        <v>98.825000000000003</v>
      </c>
      <c r="BBC26">
        <v>98.84</v>
      </c>
      <c r="BBD26">
        <v>98.784999999999997</v>
      </c>
      <c r="BBE26">
        <v>98.74</v>
      </c>
      <c r="BBF26">
        <v>98.69</v>
      </c>
      <c r="BBG26">
        <v>98.724999999999994</v>
      </c>
      <c r="BBH26">
        <v>98.64</v>
      </c>
      <c r="BBI26">
        <v>98.584999999999994</v>
      </c>
      <c r="BBJ26">
        <v>98.564999999999998</v>
      </c>
      <c r="BBK26">
        <v>98.55</v>
      </c>
      <c r="BBL26">
        <v>98.495000000000005</v>
      </c>
      <c r="BBM26">
        <v>98.495000000000005</v>
      </c>
      <c r="BBN26">
        <v>98.51</v>
      </c>
      <c r="BBO26">
        <v>98.52</v>
      </c>
      <c r="BBP26">
        <v>98.51</v>
      </c>
      <c r="BBQ26">
        <v>98.495000000000005</v>
      </c>
      <c r="BBR26">
        <v>98.5</v>
      </c>
      <c r="BBS26">
        <v>98.484999999999999</v>
      </c>
      <c r="BBT26">
        <v>98.48</v>
      </c>
      <c r="BBU26">
        <v>98.525000000000006</v>
      </c>
      <c r="BBV26">
        <v>98.534999999999997</v>
      </c>
      <c r="BBW26">
        <v>98.54</v>
      </c>
      <c r="BBX26">
        <v>98.45</v>
      </c>
      <c r="BBY26">
        <v>98.44</v>
      </c>
      <c r="BBZ26">
        <v>98.44</v>
      </c>
      <c r="BCA26">
        <v>98.444999999999993</v>
      </c>
      <c r="BCB26">
        <v>98.444999999999993</v>
      </c>
      <c r="BCC26">
        <v>98.405000000000001</v>
      </c>
      <c r="BCD26">
        <v>98.405000000000001</v>
      </c>
      <c r="BCE26">
        <v>98.405000000000001</v>
      </c>
      <c r="BCF26">
        <v>98.385000000000005</v>
      </c>
      <c r="BCG26">
        <v>98.424999999999997</v>
      </c>
      <c r="BCH26">
        <v>98.44</v>
      </c>
      <c r="BCI26">
        <v>98.42</v>
      </c>
      <c r="BCJ26">
        <v>98.45</v>
      </c>
      <c r="BCK26">
        <v>98.46</v>
      </c>
      <c r="BCL26">
        <v>98.534999999999997</v>
      </c>
      <c r="BCM26">
        <v>98.454999999999998</v>
      </c>
      <c r="BCN26">
        <v>98.54</v>
      </c>
      <c r="BCO26">
        <v>98.5</v>
      </c>
      <c r="BCP26">
        <v>98.515000000000001</v>
      </c>
      <c r="BCQ26">
        <v>98.525000000000006</v>
      </c>
      <c r="BCR26">
        <v>98.584999999999994</v>
      </c>
      <c r="BCS26">
        <v>98.6</v>
      </c>
      <c r="BCT26">
        <v>98.674999999999997</v>
      </c>
      <c r="BCU26">
        <v>98.555000000000007</v>
      </c>
      <c r="BCV26">
        <v>98.59</v>
      </c>
      <c r="BCW26">
        <v>98.58</v>
      </c>
      <c r="BCX26">
        <v>98.58</v>
      </c>
      <c r="BCY26">
        <v>98.62</v>
      </c>
      <c r="BCZ26">
        <v>98.61</v>
      </c>
      <c r="BDA26">
        <v>98.594999999999999</v>
      </c>
      <c r="BDB26">
        <v>98.614999999999995</v>
      </c>
      <c r="BDC26">
        <v>98.644999999999996</v>
      </c>
      <c r="BDD26">
        <v>98.61</v>
      </c>
      <c r="BDE26">
        <v>98.584999999999994</v>
      </c>
      <c r="BDF26">
        <v>98.56</v>
      </c>
      <c r="BDG26">
        <v>98.57</v>
      </c>
      <c r="BDH26">
        <v>98.52</v>
      </c>
      <c r="BDI26">
        <v>98.47</v>
      </c>
      <c r="BDJ26">
        <v>98.44</v>
      </c>
      <c r="BDK26">
        <v>98.45</v>
      </c>
      <c r="BDL26">
        <v>98.435000000000002</v>
      </c>
      <c r="BDM26">
        <v>98.545000000000002</v>
      </c>
      <c r="BDN26">
        <v>98.52</v>
      </c>
      <c r="BDO26">
        <v>98.58</v>
      </c>
      <c r="BDP26">
        <v>98.63</v>
      </c>
      <c r="BDQ26">
        <v>98.7</v>
      </c>
      <c r="BDR26">
        <v>98.575000000000003</v>
      </c>
      <c r="BDS26">
        <v>98.555000000000007</v>
      </c>
      <c r="BDT26">
        <v>98.56</v>
      </c>
      <c r="BDU26">
        <v>98.59</v>
      </c>
      <c r="BDV26">
        <v>98.635000000000005</v>
      </c>
      <c r="BDW26">
        <v>98.644999999999996</v>
      </c>
      <c r="BDX26">
        <v>98.625</v>
      </c>
      <c r="BDY26">
        <v>98.6</v>
      </c>
      <c r="BDZ26">
        <v>98.64</v>
      </c>
      <c r="BEA26">
        <v>98.614999999999995</v>
      </c>
      <c r="BEB26">
        <v>98.64</v>
      </c>
      <c r="BEC26">
        <v>98.6</v>
      </c>
      <c r="BED26">
        <v>98.655000000000001</v>
      </c>
      <c r="BEE26">
        <v>98.635000000000005</v>
      </c>
      <c r="BEF26">
        <v>98.765000000000001</v>
      </c>
      <c r="BEG26">
        <v>98.83</v>
      </c>
      <c r="BEH26">
        <v>98.885000000000005</v>
      </c>
      <c r="BEI26">
        <v>98.875</v>
      </c>
      <c r="BEJ26">
        <v>98.944999999999993</v>
      </c>
      <c r="BEK26">
        <v>98.954999999999998</v>
      </c>
      <c r="BEL26">
        <v>98.855000000000004</v>
      </c>
      <c r="BEM26">
        <v>98.78</v>
      </c>
      <c r="BEN26">
        <v>98.71</v>
      </c>
      <c r="BEO26">
        <v>98.72</v>
      </c>
      <c r="BEP26" t="s">
        <v>6984</v>
      </c>
      <c r="BEQ26" t="s">
        <v>6984</v>
      </c>
      <c r="BER26" t="s">
        <v>6984</v>
      </c>
      <c r="BES26" t="s">
        <v>6984</v>
      </c>
      <c r="BET26" t="s">
        <v>6984</v>
      </c>
      <c r="BEU26" t="s">
        <v>6984</v>
      </c>
      <c r="BEV26" t="s">
        <v>6984</v>
      </c>
      <c r="BEW26" t="s">
        <v>6984</v>
      </c>
      <c r="BEX26" t="s">
        <v>6984</v>
      </c>
      <c r="BEY26" t="s">
        <v>6984</v>
      </c>
      <c r="BEZ26" t="s">
        <v>6984</v>
      </c>
      <c r="BFA26" t="s">
        <v>6984</v>
      </c>
      <c r="BFB26" t="s">
        <v>6984</v>
      </c>
      <c r="BFC26" t="s">
        <v>6984</v>
      </c>
      <c r="BFD26" t="s">
        <v>6984</v>
      </c>
      <c r="BFE26" t="s">
        <v>6984</v>
      </c>
      <c r="BFF26" t="s">
        <v>6984</v>
      </c>
      <c r="BFG26" t="s">
        <v>6984</v>
      </c>
      <c r="BFH26" t="s">
        <v>6984</v>
      </c>
      <c r="BFI26" t="s">
        <v>6984</v>
      </c>
      <c r="BFJ26" t="s">
        <v>6984</v>
      </c>
      <c r="BFK26" t="s">
        <v>6984</v>
      </c>
      <c r="BFL26" t="s">
        <v>6984</v>
      </c>
      <c r="BFM26" t="s">
        <v>6984</v>
      </c>
      <c r="BFN26" t="s">
        <v>6984</v>
      </c>
      <c r="BFO26" t="s">
        <v>6984</v>
      </c>
      <c r="BFP26" t="s">
        <v>6984</v>
      </c>
      <c r="BFQ26" t="s">
        <v>6984</v>
      </c>
      <c r="BFR26" t="s">
        <v>6984</v>
      </c>
      <c r="BFS26" t="s">
        <v>6984</v>
      </c>
      <c r="BFT26" t="s">
        <v>6984</v>
      </c>
      <c r="BFU26" t="s">
        <v>6984</v>
      </c>
      <c r="BFV26" t="s">
        <v>6984</v>
      </c>
      <c r="BFW26" t="s">
        <v>6984</v>
      </c>
      <c r="BFX26" t="s">
        <v>6984</v>
      </c>
      <c r="BFY26" t="s">
        <v>6984</v>
      </c>
      <c r="BFZ26" t="s">
        <v>6984</v>
      </c>
      <c r="BGA26" t="s">
        <v>6984</v>
      </c>
      <c r="BGB26" t="s">
        <v>6984</v>
      </c>
      <c r="BGC26" t="s">
        <v>6984</v>
      </c>
      <c r="BGD26" t="s">
        <v>6984</v>
      </c>
      <c r="BGE26" t="s">
        <v>6984</v>
      </c>
      <c r="BGF26" t="s">
        <v>6984</v>
      </c>
      <c r="BGG26" t="s">
        <v>6984</v>
      </c>
      <c r="BGH26" t="s">
        <v>6984</v>
      </c>
      <c r="BGI26" t="s">
        <v>6984</v>
      </c>
      <c r="BGJ26" t="s">
        <v>6984</v>
      </c>
      <c r="BGK26" t="s">
        <v>6984</v>
      </c>
      <c r="BGL26" t="s">
        <v>6984</v>
      </c>
      <c r="BGM26" t="s">
        <v>6984</v>
      </c>
      <c r="BGN26" t="s">
        <v>6984</v>
      </c>
      <c r="BGO26" t="s">
        <v>6984</v>
      </c>
      <c r="BGP26" t="s">
        <v>6984</v>
      </c>
      <c r="BGQ26" t="s">
        <v>6984</v>
      </c>
      <c r="BGR26" t="s">
        <v>6984</v>
      </c>
      <c r="BGS26" t="s">
        <v>6984</v>
      </c>
      <c r="BGT26" t="s">
        <v>6984</v>
      </c>
      <c r="BGU26" t="s">
        <v>6984</v>
      </c>
      <c r="BGV26" t="s">
        <v>6984</v>
      </c>
      <c r="BGW26" t="s">
        <v>6984</v>
      </c>
      <c r="BGX26" t="s">
        <v>6984</v>
      </c>
      <c r="BGY26" t="s">
        <v>6984</v>
      </c>
      <c r="BGZ26" t="s">
        <v>6984</v>
      </c>
      <c r="BHA26" t="s">
        <v>6984</v>
      </c>
      <c r="BHB26" t="s">
        <v>6984</v>
      </c>
      <c r="BHC26" t="s">
        <v>6984</v>
      </c>
      <c r="BHD26" t="s">
        <v>6984</v>
      </c>
      <c r="BHE26" t="s">
        <v>6984</v>
      </c>
      <c r="BHF26" t="s">
        <v>6984</v>
      </c>
      <c r="BHG26" t="s">
        <v>6984</v>
      </c>
      <c r="BHH26" t="s">
        <v>6984</v>
      </c>
      <c r="BHI26" t="s">
        <v>6984</v>
      </c>
      <c r="BHJ26" t="s">
        <v>6984</v>
      </c>
      <c r="BHK26" t="s">
        <v>6984</v>
      </c>
      <c r="BHL26" t="s">
        <v>6984</v>
      </c>
      <c r="BHM26" t="s">
        <v>6984</v>
      </c>
      <c r="BHN26" t="s">
        <v>6984</v>
      </c>
      <c r="BHO26" t="s">
        <v>6984</v>
      </c>
      <c r="BHP26" t="s">
        <v>6984</v>
      </c>
      <c r="BHQ26" t="s">
        <v>6984</v>
      </c>
      <c r="BHR26" t="s">
        <v>6984</v>
      </c>
      <c r="BHS26" t="s">
        <v>6984</v>
      </c>
      <c r="BHT26" t="s">
        <v>6984</v>
      </c>
      <c r="BHU26" t="s">
        <v>6984</v>
      </c>
      <c r="BHV26" t="s">
        <v>6984</v>
      </c>
      <c r="BHW26" t="s">
        <v>6984</v>
      </c>
      <c r="BHX26" t="s">
        <v>6984</v>
      </c>
      <c r="BHY26" t="s">
        <v>6984</v>
      </c>
      <c r="BHZ26" t="s">
        <v>6984</v>
      </c>
      <c r="BIA26" t="s">
        <v>6984</v>
      </c>
      <c r="BIB26" t="s">
        <v>6984</v>
      </c>
      <c r="BIC26" t="s">
        <v>6984</v>
      </c>
      <c r="BID26" t="s">
        <v>6984</v>
      </c>
      <c r="BIE26" t="s">
        <v>6984</v>
      </c>
      <c r="BIF26" t="s">
        <v>6984</v>
      </c>
      <c r="BIG26" t="s">
        <v>6984</v>
      </c>
      <c r="BIH26" t="s">
        <v>6984</v>
      </c>
      <c r="BII26" t="s">
        <v>6984</v>
      </c>
      <c r="BIJ26" t="s">
        <v>6984</v>
      </c>
      <c r="BIK26" t="s">
        <v>6984</v>
      </c>
      <c r="BIL26" t="s">
        <v>6984</v>
      </c>
      <c r="BIM26" t="s">
        <v>6984</v>
      </c>
      <c r="BIN26" t="s">
        <v>6984</v>
      </c>
      <c r="BIO26" t="s">
        <v>6984</v>
      </c>
      <c r="BIP26" t="s">
        <v>6984</v>
      </c>
      <c r="BIQ26" t="s">
        <v>6984</v>
      </c>
      <c r="BIR26" t="s">
        <v>6984</v>
      </c>
      <c r="BIS26" t="s">
        <v>6984</v>
      </c>
      <c r="BIT26" t="s">
        <v>6984</v>
      </c>
      <c r="BIU26" t="s">
        <v>6984</v>
      </c>
      <c r="BIV26" t="s">
        <v>6984</v>
      </c>
      <c r="BIW26" t="s">
        <v>6984</v>
      </c>
      <c r="BIX26" t="s">
        <v>6984</v>
      </c>
      <c r="BIY26" t="s">
        <v>6984</v>
      </c>
      <c r="BIZ26" t="s">
        <v>6984</v>
      </c>
      <c r="BJA26" t="s">
        <v>6984</v>
      </c>
      <c r="BJB26" t="s">
        <v>6984</v>
      </c>
      <c r="BJC26" t="s">
        <v>6984</v>
      </c>
      <c r="BJD26" t="s">
        <v>6984</v>
      </c>
      <c r="BJE26" t="s">
        <v>6984</v>
      </c>
      <c r="BJF26" t="s">
        <v>6984</v>
      </c>
      <c r="BJG26" t="s">
        <v>6984</v>
      </c>
      <c r="BJH26" t="s">
        <v>6984</v>
      </c>
      <c r="BJI26" t="s">
        <v>6984</v>
      </c>
      <c r="BJJ26" t="s">
        <v>6984</v>
      </c>
      <c r="BJK26" t="s">
        <v>6984</v>
      </c>
      <c r="BJL26" t="s">
        <v>6984</v>
      </c>
      <c r="BJM26" t="s">
        <v>6984</v>
      </c>
      <c r="BJN26" t="s">
        <v>6984</v>
      </c>
      <c r="BJO26" t="s">
        <v>6984</v>
      </c>
      <c r="BJP26" t="s">
        <v>6984</v>
      </c>
      <c r="BJQ26" t="s">
        <v>6984</v>
      </c>
      <c r="BJR26" t="s">
        <v>6984</v>
      </c>
      <c r="BJS26" t="s">
        <v>6984</v>
      </c>
      <c r="BJT26" t="s">
        <v>6984</v>
      </c>
      <c r="BJU26" t="s">
        <v>6984</v>
      </c>
      <c r="BJV26" t="s">
        <v>6984</v>
      </c>
      <c r="BJW26" t="s">
        <v>6984</v>
      </c>
      <c r="BJX26" t="s">
        <v>6984</v>
      </c>
      <c r="BJY26" t="s">
        <v>6984</v>
      </c>
      <c r="BJZ26" t="s">
        <v>6984</v>
      </c>
      <c r="BKA26" t="s">
        <v>6984</v>
      </c>
      <c r="BKB26" t="s">
        <v>6984</v>
      </c>
      <c r="BKC26" t="s">
        <v>6984</v>
      </c>
      <c r="BKD26" t="s">
        <v>6984</v>
      </c>
      <c r="BKE26" t="s">
        <v>6984</v>
      </c>
      <c r="BKF26" t="s">
        <v>6984</v>
      </c>
      <c r="BKG26" t="s">
        <v>6984</v>
      </c>
      <c r="BKH26" t="s">
        <v>6984</v>
      </c>
      <c r="BKI26" t="s">
        <v>6984</v>
      </c>
      <c r="BKJ26" t="s">
        <v>6984</v>
      </c>
      <c r="BKK26" t="s">
        <v>6984</v>
      </c>
      <c r="BKL26" t="s">
        <v>6984</v>
      </c>
      <c r="BKM26" t="s">
        <v>6984</v>
      </c>
      <c r="BKN26" t="s">
        <v>6984</v>
      </c>
      <c r="BKO26" t="s">
        <v>6984</v>
      </c>
      <c r="BKP26" t="s">
        <v>6984</v>
      </c>
      <c r="BKQ26" t="s">
        <v>6984</v>
      </c>
      <c r="BKR26" t="s">
        <v>6984</v>
      </c>
      <c r="BKS26" t="s">
        <v>6984</v>
      </c>
      <c r="BKT26" t="s">
        <v>6984</v>
      </c>
      <c r="BKU26" t="s">
        <v>6984</v>
      </c>
      <c r="BKV26" t="s">
        <v>6984</v>
      </c>
      <c r="BKW26" t="s">
        <v>6984</v>
      </c>
      <c r="BKX26" t="s">
        <v>6984</v>
      </c>
      <c r="BKY26" t="s">
        <v>6984</v>
      </c>
      <c r="BKZ26" t="s">
        <v>6984</v>
      </c>
      <c r="BLA26" t="s">
        <v>6984</v>
      </c>
      <c r="BLB26" t="s">
        <v>6984</v>
      </c>
      <c r="BLC26" t="s">
        <v>6984</v>
      </c>
      <c r="BLD26" t="s">
        <v>6984</v>
      </c>
      <c r="BLE26" t="s">
        <v>6984</v>
      </c>
      <c r="BLF26" t="s">
        <v>6984</v>
      </c>
      <c r="BLG26" t="s">
        <v>6984</v>
      </c>
      <c r="BLH26" t="s">
        <v>6984</v>
      </c>
      <c r="BLI26" t="s">
        <v>6984</v>
      </c>
      <c r="BLJ26" t="s">
        <v>6984</v>
      </c>
      <c r="BLK26" t="s">
        <v>6984</v>
      </c>
      <c r="BLL26" t="s">
        <v>6984</v>
      </c>
      <c r="BLM26" t="s">
        <v>6984</v>
      </c>
      <c r="BLN26" t="s">
        <v>6984</v>
      </c>
      <c r="BLO26" t="s">
        <v>6984</v>
      </c>
      <c r="BLP26" t="s">
        <v>6984</v>
      </c>
      <c r="BLQ26" t="s">
        <v>6984</v>
      </c>
      <c r="BLR26" t="s">
        <v>6984</v>
      </c>
      <c r="BLS26" t="s">
        <v>6984</v>
      </c>
      <c r="BLT26" t="s">
        <v>6984</v>
      </c>
      <c r="BLU26" t="s">
        <v>6984</v>
      </c>
      <c r="BLV26" t="s">
        <v>6984</v>
      </c>
      <c r="BLW26" t="s">
        <v>6984</v>
      </c>
      <c r="BLX26" t="s">
        <v>6984</v>
      </c>
      <c r="BLY26" t="s">
        <v>6984</v>
      </c>
      <c r="BLZ26" t="s">
        <v>6984</v>
      </c>
      <c r="BMA26" t="s">
        <v>6984</v>
      </c>
      <c r="BMB26" t="s">
        <v>6984</v>
      </c>
      <c r="BMC26" t="s">
        <v>6984</v>
      </c>
      <c r="BMD26" t="s">
        <v>6984</v>
      </c>
      <c r="BME26" t="s">
        <v>6984</v>
      </c>
      <c r="BMF26" t="s">
        <v>6984</v>
      </c>
      <c r="BMG26" t="s">
        <v>6984</v>
      </c>
      <c r="BMH26" t="s">
        <v>6984</v>
      </c>
      <c r="BMI26" t="s">
        <v>6984</v>
      </c>
      <c r="BMJ26" t="s">
        <v>6984</v>
      </c>
      <c r="BMK26" t="s">
        <v>6984</v>
      </c>
      <c r="BML26" t="s">
        <v>6984</v>
      </c>
      <c r="BMM26" t="s">
        <v>6984</v>
      </c>
      <c r="BMN26" t="s">
        <v>6984</v>
      </c>
      <c r="BMO26" t="s">
        <v>6984</v>
      </c>
      <c r="BMP26" t="s">
        <v>6984</v>
      </c>
      <c r="BMQ26" t="s">
        <v>6984</v>
      </c>
      <c r="BMR26" t="s">
        <v>6984</v>
      </c>
      <c r="BMS26" t="s">
        <v>6984</v>
      </c>
      <c r="BMT26" t="s">
        <v>6984</v>
      </c>
      <c r="BMU26" t="s">
        <v>6984</v>
      </c>
      <c r="BMV26" t="s">
        <v>6984</v>
      </c>
      <c r="BMW26" t="s">
        <v>6984</v>
      </c>
      <c r="BMX26" t="s">
        <v>6984</v>
      </c>
      <c r="BMY26" t="s">
        <v>6984</v>
      </c>
      <c r="BMZ26" t="s">
        <v>6984</v>
      </c>
      <c r="BNA26" t="s">
        <v>6984</v>
      </c>
      <c r="BNB26" t="s">
        <v>6984</v>
      </c>
      <c r="BNC26" t="s">
        <v>6984</v>
      </c>
      <c r="BND26" t="s">
        <v>6984</v>
      </c>
      <c r="BNE26" t="s">
        <v>6984</v>
      </c>
      <c r="BNF26" t="s">
        <v>6984</v>
      </c>
      <c r="BNG26" t="s">
        <v>6984</v>
      </c>
      <c r="BNH26" t="s">
        <v>6984</v>
      </c>
      <c r="BNI26" t="s">
        <v>6984</v>
      </c>
      <c r="BNJ26" t="s">
        <v>6984</v>
      </c>
      <c r="BNK26" t="s">
        <v>6984</v>
      </c>
      <c r="BNL26" t="s">
        <v>6984</v>
      </c>
      <c r="BNM26" t="s">
        <v>6984</v>
      </c>
      <c r="BNN26" t="s">
        <v>6984</v>
      </c>
      <c r="BNO26" t="s">
        <v>6984</v>
      </c>
      <c r="BNP26" t="s">
        <v>6984</v>
      </c>
      <c r="BNQ26" t="s">
        <v>6984</v>
      </c>
      <c r="BNR26" t="s">
        <v>6984</v>
      </c>
      <c r="BNS26" t="s">
        <v>6984</v>
      </c>
      <c r="BNT26" t="s">
        <v>6984</v>
      </c>
      <c r="BNU26" t="s">
        <v>6984</v>
      </c>
      <c r="BNV26" t="s">
        <v>6984</v>
      </c>
      <c r="BNW26" t="s">
        <v>6984</v>
      </c>
      <c r="BNX26" t="s">
        <v>6984</v>
      </c>
      <c r="BNY26" t="s">
        <v>6984</v>
      </c>
      <c r="BNZ26" t="s">
        <v>6984</v>
      </c>
      <c r="BOA26" t="s">
        <v>6984</v>
      </c>
      <c r="BOB26" t="s">
        <v>6984</v>
      </c>
      <c r="BOC26" t="s">
        <v>6984</v>
      </c>
      <c r="BOD26" t="s">
        <v>6984</v>
      </c>
      <c r="BOE26" t="s">
        <v>6984</v>
      </c>
      <c r="BOF26" t="s">
        <v>6984</v>
      </c>
      <c r="BOG26" t="s">
        <v>6984</v>
      </c>
      <c r="BOH26" t="s">
        <v>6984</v>
      </c>
      <c r="BOI26" t="s">
        <v>6984</v>
      </c>
      <c r="BOJ26" t="s">
        <v>6984</v>
      </c>
      <c r="BOK26" t="s">
        <v>6984</v>
      </c>
      <c r="BOL26" t="s">
        <v>6984</v>
      </c>
      <c r="BOM26" t="s">
        <v>6984</v>
      </c>
      <c r="BON26" t="s">
        <v>6984</v>
      </c>
      <c r="BOO26" t="s">
        <v>6984</v>
      </c>
      <c r="BOP26" t="s">
        <v>6984</v>
      </c>
      <c r="BOQ26" t="s">
        <v>6984</v>
      </c>
      <c r="BOR26" t="s">
        <v>6984</v>
      </c>
      <c r="BOS26" t="s">
        <v>6984</v>
      </c>
      <c r="BOT26" t="s">
        <v>6984</v>
      </c>
      <c r="BOU26" t="s">
        <v>6984</v>
      </c>
      <c r="BOV26" t="s">
        <v>6984</v>
      </c>
      <c r="BOW26" t="s">
        <v>6984</v>
      </c>
      <c r="BOX26" t="s">
        <v>6984</v>
      </c>
      <c r="BOY26" t="s">
        <v>6984</v>
      </c>
      <c r="BOZ26" t="s">
        <v>6984</v>
      </c>
      <c r="BPA26" t="s">
        <v>6984</v>
      </c>
      <c r="BPB26" t="s">
        <v>6984</v>
      </c>
      <c r="BPC26" t="s">
        <v>6984</v>
      </c>
      <c r="BPD26" t="s">
        <v>6984</v>
      </c>
      <c r="BPE26" t="s">
        <v>6984</v>
      </c>
      <c r="BPF26" t="s">
        <v>6984</v>
      </c>
      <c r="BPG26" t="s">
        <v>6984</v>
      </c>
      <c r="BPH26" t="s">
        <v>6984</v>
      </c>
      <c r="BPI26" t="s">
        <v>6984</v>
      </c>
      <c r="BPJ26" t="s">
        <v>6984</v>
      </c>
      <c r="BPK26" t="s">
        <v>6984</v>
      </c>
      <c r="BPL26" t="s">
        <v>6984</v>
      </c>
      <c r="BPM26" t="s">
        <v>6984</v>
      </c>
      <c r="BPN26" t="s">
        <v>6984</v>
      </c>
      <c r="BPO26" t="s">
        <v>6984</v>
      </c>
      <c r="BPP26" t="s">
        <v>6984</v>
      </c>
      <c r="BPQ26" t="s">
        <v>6984</v>
      </c>
      <c r="BPR26" t="s">
        <v>6984</v>
      </c>
      <c r="BPS26" t="s">
        <v>6984</v>
      </c>
      <c r="BPT26" t="s">
        <v>6984</v>
      </c>
      <c r="BPU26" t="s">
        <v>6984</v>
      </c>
      <c r="BPV26" t="s">
        <v>6984</v>
      </c>
      <c r="BPW26" t="s">
        <v>6984</v>
      </c>
      <c r="BPX26" t="s">
        <v>6984</v>
      </c>
      <c r="BPY26" t="s">
        <v>6984</v>
      </c>
      <c r="BPZ26" t="s">
        <v>6984</v>
      </c>
      <c r="BQA26" t="s">
        <v>6984</v>
      </c>
      <c r="BQB26" t="s">
        <v>6984</v>
      </c>
      <c r="BQC26" t="s">
        <v>6984</v>
      </c>
      <c r="BQD26" t="s">
        <v>6984</v>
      </c>
      <c r="BQE26" t="s">
        <v>6984</v>
      </c>
      <c r="BQF26" t="s">
        <v>6984</v>
      </c>
      <c r="BQG26" t="s">
        <v>6984</v>
      </c>
      <c r="BQH26" t="s">
        <v>6984</v>
      </c>
      <c r="BQI26" t="s">
        <v>6984</v>
      </c>
      <c r="BQJ26" t="s">
        <v>6984</v>
      </c>
      <c r="BQK26" t="s">
        <v>6984</v>
      </c>
      <c r="BQL26" t="s">
        <v>6984</v>
      </c>
      <c r="BQM26" t="s">
        <v>6984</v>
      </c>
      <c r="BQN26" t="s">
        <v>6984</v>
      </c>
      <c r="BQO26" t="s">
        <v>6984</v>
      </c>
      <c r="BQP26" t="s">
        <v>6984</v>
      </c>
      <c r="BQQ26" t="s">
        <v>6984</v>
      </c>
      <c r="BQR26" t="s">
        <v>6984</v>
      </c>
      <c r="BQS26" t="s">
        <v>6984</v>
      </c>
      <c r="BQT26" t="s">
        <v>6984</v>
      </c>
      <c r="BQU26" t="s">
        <v>6984</v>
      </c>
      <c r="BQV26" t="s">
        <v>6984</v>
      </c>
      <c r="BQW26" t="s">
        <v>6984</v>
      </c>
      <c r="BQX26" t="s">
        <v>6984</v>
      </c>
      <c r="BQY26" t="s">
        <v>6984</v>
      </c>
      <c r="BQZ26" t="s">
        <v>6984</v>
      </c>
      <c r="BRA26" t="s">
        <v>6984</v>
      </c>
      <c r="BRB26" t="s">
        <v>6984</v>
      </c>
      <c r="BRC26" t="s">
        <v>6984</v>
      </c>
      <c r="BRD26" t="s">
        <v>6984</v>
      </c>
      <c r="BRE26" t="s">
        <v>6984</v>
      </c>
      <c r="BRF26" t="s">
        <v>6984</v>
      </c>
      <c r="BRG26" t="s">
        <v>6984</v>
      </c>
      <c r="BRH26" t="s">
        <v>6984</v>
      </c>
      <c r="BRI26" t="s">
        <v>6984</v>
      </c>
      <c r="BRJ26" t="s">
        <v>6984</v>
      </c>
      <c r="BRK26" t="s">
        <v>6984</v>
      </c>
      <c r="BRL26" t="s">
        <v>6984</v>
      </c>
      <c r="BRM26" t="s">
        <v>6984</v>
      </c>
      <c r="BRN26" t="s">
        <v>6984</v>
      </c>
      <c r="BRO26" t="s">
        <v>6984</v>
      </c>
      <c r="BRP26" t="s">
        <v>6984</v>
      </c>
      <c r="BRQ26" t="s">
        <v>6984</v>
      </c>
      <c r="BRR26" t="s">
        <v>6984</v>
      </c>
      <c r="BRS26" t="s">
        <v>6984</v>
      </c>
      <c r="BRT26" t="s">
        <v>6984</v>
      </c>
      <c r="BRU26" t="s">
        <v>6984</v>
      </c>
      <c r="BRV26" t="s">
        <v>6984</v>
      </c>
      <c r="BRW26" t="s">
        <v>6984</v>
      </c>
      <c r="BRX26" t="s">
        <v>6984</v>
      </c>
      <c r="BRY26" t="s">
        <v>6984</v>
      </c>
      <c r="BRZ26" t="s">
        <v>6984</v>
      </c>
      <c r="BSA26" t="s">
        <v>6984</v>
      </c>
      <c r="BSB26" t="s">
        <v>6984</v>
      </c>
      <c r="BSC26" t="s">
        <v>6984</v>
      </c>
      <c r="BSD26" t="s">
        <v>6984</v>
      </c>
      <c r="BSE26" t="s">
        <v>6984</v>
      </c>
      <c r="BSF26" t="s">
        <v>6984</v>
      </c>
      <c r="BSG26" t="s">
        <v>6984</v>
      </c>
      <c r="BSH26" t="s">
        <v>6984</v>
      </c>
      <c r="BSI26" t="s">
        <v>6984</v>
      </c>
      <c r="BSJ26" t="s">
        <v>6984</v>
      </c>
      <c r="BSK26" t="s">
        <v>6984</v>
      </c>
      <c r="BSL26" t="s">
        <v>6984</v>
      </c>
      <c r="BSM26" t="s">
        <v>6984</v>
      </c>
      <c r="BSN26" t="s">
        <v>6984</v>
      </c>
      <c r="BSO26" t="s">
        <v>6984</v>
      </c>
      <c r="BSP26" t="s">
        <v>6984</v>
      </c>
      <c r="BSQ26" t="s">
        <v>6984</v>
      </c>
      <c r="BSR26" t="s">
        <v>6984</v>
      </c>
      <c r="BSS26" t="s">
        <v>6984</v>
      </c>
      <c r="BST26" t="s">
        <v>6984</v>
      </c>
      <c r="BSU26" t="s">
        <v>6984</v>
      </c>
      <c r="BSV26" t="s">
        <v>6984</v>
      </c>
      <c r="BSW26" t="s">
        <v>6984</v>
      </c>
      <c r="BSX26" t="s">
        <v>6984</v>
      </c>
      <c r="BSY26" t="s">
        <v>6984</v>
      </c>
      <c r="BSZ26" t="s">
        <v>6984</v>
      </c>
      <c r="BTA26" t="s">
        <v>6984</v>
      </c>
      <c r="BTB26" t="s">
        <v>6984</v>
      </c>
      <c r="BTC26" t="s">
        <v>6984</v>
      </c>
      <c r="BTD26" t="s">
        <v>6984</v>
      </c>
      <c r="BTE26" t="s">
        <v>6984</v>
      </c>
      <c r="BTF26" t="s">
        <v>6984</v>
      </c>
      <c r="BTG26" t="s">
        <v>6984</v>
      </c>
      <c r="BTH26" t="s">
        <v>6984</v>
      </c>
      <c r="BTI26" t="s">
        <v>6984</v>
      </c>
      <c r="BTJ26" t="s">
        <v>6984</v>
      </c>
      <c r="BTK26" t="s">
        <v>6984</v>
      </c>
      <c r="BTL26" t="s">
        <v>6984</v>
      </c>
      <c r="BTM26" t="s">
        <v>6984</v>
      </c>
      <c r="BTN26" t="s">
        <v>6984</v>
      </c>
      <c r="BTO26" t="s">
        <v>6984</v>
      </c>
      <c r="BTP26" t="s">
        <v>6984</v>
      </c>
      <c r="BTQ26" t="s">
        <v>6984</v>
      </c>
      <c r="BTR26" t="s">
        <v>6984</v>
      </c>
      <c r="BTS26" t="s">
        <v>6984</v>
      </c>
      <c r="BTT26" t="s">
        <v>6984</v>
      </c>
      <c r="BTU26" t="s">
        <v>6984</v>
      </c>
      <c r="BTV26" t="s">
        <v>6984</v>
      </c>
      <c r="BTW26" t="s">
        <v>6984</v>
      </c>
      <c r="BTX26" t="s">
        <v>6984</v>
      </c>
      <c r="BTY26" t="s">
        <v>6984</v>
      </c>
      <c r="BTZ26" t="s">
        <v>6984</v>
      </c>
      <c r="BUA26" t="s">
        <v>6984</v>
      </c>
      <c r="BUB26" t="s">
        <v>6984</v>
      </c>
      <c r="BUC26" t="s">
        <v>6984</v>
      </c>
      <c r="BUD26" t="s">
        <v>6984</v>
      </c>
      <c r="BUE26" t="s">
        <v>6984</v>
      </c>
      <c r="BUF26" t="s">
        <v>6984</v>
      </c>
      <c r="BUG26" t="s">
        <v>6984</v>
      </c>
      <c r="BUH26" t="s">
        <v>6984</v>
      </c>
      <c r="BUI26" t="s">
        <v>6984</v>
      </c>
      <c r="BUJ26" t="s">
        <v>6984</v>
      </c>
      <c r="BUK26" t="s">
        <v>6984</v>
      </c>
      <c r="BUL26" t="s">
        <v>6984</v>
      </c>
      <c r="BUM26" t="s">
        <v>6984</v>
      </c>
      <c r="BUN26" t="s">
        <v>6984</v>
      </c>
      <c r="BUO26" t="s">
        <v>6984</v>
      </c>
      <c r="BUP26" t="s">
        <v>6984</v>
      </c>
      <c r="BUQ26" t="s">
        <v>6984</v>
      </c>
      <c r="BUR26" t="s">
        <v>6984</v>
      </c>
      <c r="BUS26" t="s">
        <v>6984</v>
      </c>
      <c r="BUT26" t="s">
        <v>6984</v>
      </c>
      <c r="BUU26" t="s">
        <v>6984</v>
      </c>
      <c r="BUV26" t="s">
        <v>6984</v>
      </c>
      <c r="BUW26" t="s">
        <v>6984</v>
      </c>
      <c r="BUX26" t="s">
        <v>6984</v>
      </c>
      <c r="BUY26" t="s">
        <v>6984</v>
      </c>
      <c r="BUZ26" t="s">
        <v>6984</v>
      </c>
      <c r="BVA26" t="s">
        <v>6984</v>
      </c>
      <c r="BVB26" t="s">
        <v>6984</v>
      </c>
      <c r="BVC26" t="s">
        <v>6984</v>
      </c>
      <c r="BVD26" t="s">
        <v>6984</v>
      </c>
      <c r="BVE26" t="s">
        <v>6984</v>
      </c>
      <c r="BVF26" t="s">
        <v>6984</v>
      </c>
      <c r="BVG26" t="s">
        <v>6984</v>
      </c>
      <c r="BVH26" t="s">
        <v>6984</v>
      </c>
      <c r="BVI26" t="s">
        <v>6984</v>
      </c>
      <c r="BVJ26" t="s">
        <v>6984</v>
      </c>
      <c r="BVK26" t="s">
        <v>6984</v>
      </c>
      <c r="BVL26" t="s">
        <v>6984</v>
      </c>
      <c r="BVM26" t="s">
        <v>6984</v>
      </c>
      <c r="BVN26" t="s">
        <v>6984</v>
      </c>
      <c r="BVO26" t="s">
        <v>6984</v>
      </c>
      <c r="BVP26" t="s">
        <v>6984</v>
      </c>
      <c r="BVQ26" t="s">
        <v>6984</v>
      </c>
      <c r="BVR26" t="s">
        <v>6984</v>
      </c>
      <c r="BVS26" t="s">
        <v>6984</v>
      </c>
      <c r="BVT26" t="s">
        <v>6984</v>
      </c>
      <c r="BVU26" t="s">
        <v>6984</v>
      </c>
      <c r="BVV26" t="s">
        <v>6984</v>
      </c>
      <c r="BVW26" t="s">
        <v>6984</v>
      </c>
      <c r="BVX26" t="s">
        <v>6984</v>
      </c>
      <c r="BVY26" t="s">
        <v>6984</v>
      </c>
      <c r="BVZ26" t="s">
        <v>6984</v>
      </c>
      <c r="BWA26" t="s">
        <v>6984</v>
      </c>
      <c r="BWB26" t="s">
        <v>6984</v>
      </c>
      <c r="BWC26" t="s">
        <v>6984</v>
      </c>
      <c r="BWD26" t="s">
        <v>6984</v>
      </c>
      <c r="BWE26" t="s">
        <v>6984</v>
      </c>
      <c r="BWF26" t="s">
        <v>6984</v>
      </c>
      <c r="BWG26" t="s">
        <v>6984</v>
      </c>
      <c r="BWH26" t="s">
        <v>6984</v>
      </c>
      <c r="BWI26" t="s">
        <v>6984</v>
      </c>
      <c r="BWJ26" t="s">
        <v>6984</v>
      </c>
      <c r="BWK26" t="s">
        <v>6984</v>
      </c>
      <c r="BWL26" t="s">
        <v>6984</v>
      </c>
      <c r="BWM26" t="s">
        <v>6984</v>
      </c>
      <c r="BWN26" t="s">
        <v>6984</v>
      </c>
      <c r="BWO26" t="s">
        <v>6984</v>
      </c>
      <c r="BWP26" t="s">
        <v>6984</v>
      </c>
      <c r="BWQ26" t="s">
        <v>6984</v>
      </c>
      <c r="BWR26" t="s">
        <v>6984</v>
      </c>
      <c r="BWS26" t="s">
        <v>6984</v>
      </c>
      <c r="BWT26" t="s">
        <v>6984</v>
      </c>
      <c r="BWU26" t="s">
        <v>6984</v>
      </c>
      <c r="BWV26" t="s">
        <v>6984</v>
      </c>
      <c r="BWW26" t="s">
        <v>6984</v>
      </c>
      <c r="BWX26" t="s">
        <v>6984</v>
      </c>
      <c r="BWY26" t="s">
        <v>6984</v>
      </c>
      <c r="BWZ26" t="s">
        <v>6984</v>
      </c>
      <c r="BXA26" t="s">
        <v>6984</v>
      </c>
      <c r="BXB26" t="s">
        <v>6984</v>
      </c>
      <c r="BXC26" t="s">
        <v>6984</v>
      </c>
      <c r="BXD26" t="s">
        <v>6984</v>
      </c>
      <c r="BXE26" t="s">
        <v>6984</v>
      </c>
      <c r="BXF26" t="s">
        <v>6984</v>
      </c>
      <c r="BXG26" t="s">
        <v>6984</v>
      </c>
      <c r="BXH26" t="s">
        <v>6984</v>
      </c>
      <c r="BXI26" t="s">
        <v>6984</v>
      </c>
      <c r="BXJ26" t="s">
        <v>6984</v>
      </c>
      <c r="BXK26" t="s">
        <v>6984</v>
      </c>
      <c r="BXL26" t="s">
        <v>6984</v>
      </c>
      <c r="BXM26" t="s">
        <v>6984</v>
      </c>
      <c r="BXN26" t="s">
        <v>6984</v>
      </c>
      <c r="BXO26" t="s">
        <v>6984</v>
      </c>
      <c r="BXP26" t="s">
        <v>6984</v>
      </c>
      <c r="BXQ26" t="s">
        <v>6984</v>
      </c>
      <c r="BXR26" t="s">
        <v>6984</v>
      </c>
      <c r="BXS26" t="s">
        <v>6984</v>
      </c>
      <c r="BXT26" t="s">
        <v>6984</v>
      </c>
      <c r="BXU26" t="s">
        <v>6984</v>
      </c>
      <c r="BXV26" t="s">
        <v>6984</v>
      </c>
      <c r="BXW26" t="s">
        <v>6984</v>
      </c>
      <c r="BXX26" t="s">
        <v>6984</v>
      </c>
      <c r="BXY26" t="s">
        <v>6984</v>
      </c>
      <c r="BXZ26" t="s">
        <v>6984</v>
      </c>
      <c r="BYA26" t="s">
        <v>6984</v>
      </c>
      <c r="BYB26" t="s">
        <v>6984</v>
      </c>
      <c r="BYC26" t="s">
        <v>6984</v>
      </c>
      <c r="BYD26" t="s">
        <v>6984</v>
      </c>
      <c r="BYE26" t="s">
        <v>6984</v>
      </c>
      <c r="BYF26" t="s">
        <v>6984</v>
      </c>
      <c r="BYG26" t="s">
        <v>6984</v>
      </c>
      <c r="BYH26" t="s">
        <v>6984</v>
      </c>
      <c r="BYI26" t="s">
        <v>6984</v>
      </c>
      <c r="BYJ26" t="s">
        <v>6984</v>
      </c>
      <c r="BYK26" t="s">
        <v>6984</v>
      </c>
      <c r="BYL26" t="s">
        <v>6984</v>
      </c>
      <c r="BYM26" t="s">
        <v>6984</v>
      </c>
      <c r="BYN26" t="s">
        <v>6984</v>
      </c>
      <c r="BYO26" t="s">
        <v>6984</v>
      </c>
      <c r="BYP26" t="s">
        <v>6984</v>
      </c>
      <c r="BYQ26" t="s">
        <v>6984</v>
      </c>
      <c r="BYR26" t="s">
        <v>6984</v>
      </c>
      <c r="BYS26" t="s">
        <v>6984</v>
      </c>
      <c r="BYT26" t="s">
        <v>6984</v>
      </c>
      <c r="BYU26" t="s">
        <v>6984</v>
      </c>
      <c r="BYV26" t="s">
        <v>6984</v>
      </c>
      <c r="BYW26" t="s">
        <v>6984</v>
      </c>
      <c r="BYX26" t="s">
        <v>6984</v>
      </c>
      <c r="BYY26" t="s">
        <v>6984</v>
      </c>
      <c r="BYZ26" t="s">
        <v>6984</v>
      </c>
      <c r="BZA26" t="s">
        <v>6984</v>
      </c>
      <c r="BZB26" t="s">
        <v>6984</v>
      </c>
      <c r="BZC26" t="s">
        <v>6984</v>
      </c>
      <c r="BZD26" t="s">
        <v>6984</v>
      </c>
      <c r="BZE26" t="s">
        <v>6984</v>
      </c>
      <c r="BZF26" t="s">
        <v>6984</v>
      </c>
      <c r="BZG26" t="s">
        <v>6984</v>
      </c>
      <c r="BZH26" t="s">
        <v>6984</v>
      </c>
      <c r="BZI26" t="s">
        <v>6984</v>
      </c>
      <c r="BZJ26" t="s">
        <v>6984</v>
      </c>
      <c r="BZK26" t="s">
        <v>6984</v>
      </c>
      <c r="BZL26" t="s">
        <v>6984</v>
      </c>
      <c r="BZM26" t="s">
        <v>6984</v>
      </c>
      <c r="BZN26" t="s">
        <v>6984</v>
      </c>
      <c r="BZO26" t="s">
        <v>6984</v>
      </c>
      <c r="BZP26" t="s">
        <v>6984</v>
      </c>
      <c r="BZQ26" t="s">
        <v>6984</v>
      </c>
      <c r="BZR26" t="s">
        <v>6984</v>
      </c>
      <c r="BZS26" t="s">
        <v>6984</v>
      </c>
      <c r="BZT26" t="s">
        <v>6984</v>
      </c>
      <c r="BZU26" t="s">
        <v>6984</v>
      </c>
      <c r="BZV26" t="s">
        <v>6984</v>
      </c>
      <c r="BZW26" t="s">
        <v>6984</v>
      </c>
      <c r="BZX26" t="s">
        <v>6984</v>
      </c>
      <c r="BZY26" t="s">
        <v>6984</v>
      </c>
      <c r="BZZ26" t="s">
        <v>6984</v>
      </c>
      <c r="CAA26" t="s">
        <v>6984</v>
      </c>
      <c r="CAB26" t="s">
        <v>6984</v>
      </c>
      <c r="CAC26" t="s">
        <v>6984</v>
      </c>
      <c r="CAD26" t="s">
        <v>6984</v>
      </c>
      <c r="CAE26" t="s">
        <v>6984</v>
      </c>
      <c r="CAF26" t="s">
        <v>6984</v>
      </c>
      <c r="CAG26" t="s">
        <v>6984</v>
      </c>
      <c r="CAH26" t="s">
        <v>6984</v>
      </c>
      <c r="CAI26" t="s">
        <v>6984</v>
      </c>
      <c r="CAJ26" t="s">
        <v>6984</v>
      </c>
      <c r="CAK26" t="s">
        <v>6984</v>
      </c>
      <c r="CAL26" t="s">
        <v>6984</v>
      </c>
      <c r="CAM26" t="s">
        <v>6984</v>
      </c>
      <c r="CAN26" t="s">
        <v>6984</v>
      </c>
      <c r="CAO26" t="s">
        <v>6984</v>
      </c>
      <c r="CAP26" t="s">
        <v>6984</v>
      </c>
      <c r="CAQ26" t="s">
        <v>6984</v>
      </c>
      <c r="CAR26" t="s">
        <v>6984</v>
      </c>
      <c r="CAS26" t="s">
        <v>6984</v>
      </c>
      <c r="CAT26" t="s">
        <v>6984</v>
      </c>
      <c r="CAU26" t="s">
        <v>6984</v>
      </c>
      <c r="CAV26" t="s">
        <v>6984</v>
      </c>
      <c r="CAW26" t="s">
        <v>6984</v>
      </c>
      <c r="CAX26" t="s">
        <v>6984</v>
      </c>
      <c r="CAY26" t="s">
        <v>6984</v>
      </c>
      <c r="CAZ26" t="s">
        <v>6984</v>
      </c>
      <c r="CBA26" t="s">
        <v>6984</v>
      </c>
      <c r="CBB26" t="s">
        <v>6984</v>
      </c>
      <c r="CBC26" t="s">
        <v>6984</v>
      </c>
      <c r="CBD26" t="s">
        <v>6984</v>
      </c>
      <c r="CBE26" t="s">
        <v>6984</v>
      </c>
      <c r="CBF26" t="s">
        <v>6984</v>
      </c>
      <c r="CBG26" t="s">
        <v>6984</v>
      </c>
      <c r="CBH26" t="s">
        <v>6984</v>
      </c>
      <c r="CBI26" t="s">
        <v>6984</v>
      </c>
      <c r="CBJ26" t="s">
        <v>6984</v>
      </c>
      <c r="CBK26" t="s">
        <v>6984</v>
      </c>
      <c r="CBL26" t="s">
        <v>6984</v>
      </c>
      <c r="CBM26" t="s">
        <v>6984</v>
      </c>
      <c r="CBN26" t="s">
        <v>6984</v>
      </c>
      <c r="CBO26" t="s">
        <v>6984</v>
      </c>
      <c r="CBP26" t="s">
        <v>6984</v>
      </c>
      <c r="CBQ26" t="s">
        <v>6984</v>
      </c>
      <c r="CBR26" t="s">
        <v>6984</v>
      </c>
      <c r="CBS26" t="s">
        <v>6984</v>
      </c>
      <c r="CBT26" t="s">
        <v>6984</v>
      </c>
      <c r="CBU26" t="s">
        <v>6984</v>
      </c>
      <c r="CBV26" t="s">
        <v>6984</v>
      </c>
      <c r="CBW26" t="s">
        <v>6984</v>
      </c>
      <c r="CBX26" t="s">
        <v>6984</v>
      </c>
      <c r="CBY26" t="s">
        <v>6984</v>
      </c>
      <c r="CBZ26" t="s">
        <v>6984</v>
      </c>
      <c r="CCA26" t="s">
        <v>6984</v>
      </c>
      <c r="CCB26" t="s">
        <v>6984</v>
      </c>
      <c r="CCC26" t="s">
        <v>6984</v>
      </c>
      <c r="CCD26" t="s">
        <v>6984</v>
      </c>
      <c r="CCE26" t="s">
        <v>6984</v>
      </c>
      <c r="CCF26" t="s">
        <v>6984</v>
      </c>
      <c r="CCG26" t="s">
        <v>6984</v>
      </c>
      <c r="CCH26" t="s">
        <v>6984</v>
      </c>
      <c r="CCI26" t="s">
        <v>6984</v>
      </c>
      <c r="CCJ26" t="s">
        <v>6984</v>
      </c>
      <c r="CCK26" t="s">
        <v>6984</v>
      </c>
      <c r="CCL26" t="s">
        <v>6984</v>
      </c>
      <c r="CCM26" t="s">
        <v>6984</v>
      </c>
      <c r="CCN26" t="s">
        <v>6984</v>
      </c>
      <c r="CCO26" t="s">
        <v>6984</v>
      </c>
      <c r="CCP26" t="s">
        <v>6984</v>
      </c>
      <c r="CCQ26" t="s">
        <v>6984</v>
      </c>
      <c r="CCR26" t="s">
        <v>6984</v>
      </c>
      <c r="CCS26" t="s">
        <v>6984</v>
      </c>
      <c r="CCT26" t="s">
        <v>6984</v>
      </c>
      <c r="CCU26" t="s">
        <v>6984</v>
      </c>
      <c r="CCV26" t="s">
        <v>6984</v>
      </c>
      <c r="CCW26" t="s">
        <v>6984</v>
      </c>
      <c r="CCX26" t="s">
        <v>6984</v>
      </c>
      <c r="CCY26" t="s">
        <v>6984</v>
      </c>
      <c r="CCZ26" t="s">
        <v>6984</v>
      </c>
      <c r="CDA26" t="s">
        <v>6984</v>
      </c>
      <c r="CDB26" t="s">
        <v>6984</v>
      </c>
      <c r="CDC26" t="s">
        <v>6984</v>
      </c>
      <c r="CDD26" t="s">
        <v>6984</v>
      </c>
      <c r="CDE26" t="s">
        <v>6984</v>
      </c>
      <c r="CDF26" t="s">
        <v>6984</v>
      </c>
      <c r="CDG26" t="s">
        <v>6984</v>
      </c>
      <c r="CDH26" t="s">
        <v>6984</v>
      </c>
      <c r="CDI26" t="s">
        <v>6984</v>
      </c>
      <c r="CDJ26" t="s">
        <v>6984</v>
      </c>
      <c r="CDK26" t="s">
        <v>6984</v>
      </c>
      <c r="CDL26" t="s">
        <v>6984</v>
      </c>
      <c r="CDM26" t="s">
        <v>6984</v>
      </c>
      <c r="CDN26" t="s">
        <v>6984</v>
      </c>
      <c r="CDO26" t="s">
        <v>6984</v>
      </c>
      <c r="CDP26" t="s">
        <v>6984</v>
      </c>
      <c r="CDQ26" t="s">
        <v>6984</v>
      </c>
      <c r="CDR26" t="s">
        <v>6984</v>
      </c>
      <c r="CDS26" t="s">
        <v>6984</v>
      </c>
      <c r="CDT26" t="s">
        <v>6984</v>
      </c>
      <c r="CDU26" t="s">
        <v>6984</v>
      </c>
      <c r="CDV26" t="s">
        <v>6984</v>
      </c>
      <c r="CDW26" t="s">
        <v>6984</v>
      </c>
      <c r="CDX26" t="s">
        <v>6984</v>
      </c>
      <c r="CDY26" t="s">
        <v>6984</v>
      </c>
      <c r="CDZ26" t="s">
        <v>6984</v>
      </c>
      <c r="CEA26" t="s">
        <v>6984</v>
      </c>
      <c r="CEB26" t="s">
        <v>6984</v>
      </c>
      <c r="CEC26" t="s">
        <v>6984</v>
      </c>
      <c r="CED26" t="s">
        <v>6984</v>
      </c>
      <c r="CEE26" t="s">
        <v>6984</v>
      </c>
      <c r="CEF26" t="s">
        <v>6984</v>
      </c>
      <c r="CEG26" t="s">
        <v>6984</v>
      </c>
      <c r="CEH26" t="s">
        <v>6984</v>
      </c>
      <c r="CEI26" t="s">
        <v>6984</v>
      </c>
      <c r="CEJ26" t="s">
        <v>6984</v>
      </c>
      <c r="CEK26" t="s">
        <v>6984</v>
      </c>
      <c r="CEL26" t="s">
        <v>6984</v>
      </c>
      <c r="CEM26" t="s">
        <v>6984</v>
      </c>
      <c r="CEN26" t="s">
        <v>6984</v>
      </c>
      <c r="CEO26" t="s">
        <v>6984</v>
      </c>
      <c r="CEP26" t="s">
        <v>6984</v>
      </c>
      <c r="CEQ26" t="s">
        <v>6984</v>
      </c>
      <c r="CER26" t="s">
        <v>6984</v>
      </c>
      <c r="CES26" t="s">
        <v>6984</v>
      </c>
      <c r="CET26" t="s">
        <v>6984</v>
      </c>
      <c r="CEU26" t="s">
        <v>6984</v>
      </c>
      <c r="CEV26" t="s">
        <v>6984</v>
      </c>
      <c r="CEW26" t="s">
        <v>6984</v>
      </c>
      <c r="CEX26" t="s">
        <v>6984</v>
      </c>
      <c r="CEY26" t="s">
        <v>6984</v>
      </c>
      <c r="CEZ26" t="s">
        <v>6984</v>
      </c>
      <c r="CFA26" t="s">
        <v>6984</v>
      </c>
      <c r="CFB26" t="s">
        <v>6984</v>
      </c>
      <c r="CFC26" t="s">
        <v>6984</v>
      </c>
      <c r="CFD26" t="s">
        <v>6984</v>
      </c>
      <c r="CFE26" t="s">
        <v>6984</v>
      </c>
      <c r="CFF26" t="s">
        <v>6984</v>
      </c>
      <c r="CFG26" t="s">
        <v>6984</v>
      </c>
      <c r="CFH26" t="s">
        <v>6984</v>
      </c>
      <c r="CFI26" t="s">
        <v>6984</v>
      </c>
      <c r="CFJ26" t="s">
        <v>6984</v>
      </c>
      <c r="CFK26" t="s">
        <v>6984</v>
      </c>
      <c r="CFL26" t="s">
        <v>6984</v>
      </c>
      <c r="CFM26" t="s">
        <v>6984</v>
      </c>
      <c r="CFN26" t="s">
        <v>6984</v>
      </c>
      <c r="CFO26" t="s">
        <v>6984</v>
      </c>
      <c r="CFP26" t="s">
        <v>6984</v>
      </c>
      <c r="CFQ26" t="s">
        <v>6984</v>
      </c>
      <c r="CFR26" t="s">
        <v>6984</v>
      </c>
      <c r="CFS26" t="s">
        <v>6984</v>
      </c>
      <c r="CFT26" t="s">
        <v>6984</v>
      </c>
      <c r="CFU26" t="s">
        <v>6984</v>
      </c>
      <c r="CFV26" t="s">
        <v>6984</v>
      </c>
      <c r="CFW26" t="s">
        <v>6984</v>
      </c>
      <c r="CFX26" t="s">
        <v>6984</v>
      </c>
      <c r="CFY26" t="s">
        <v>6984</v>
      </c>
      <c r="CFZ26" t="s">
        <v>6984</v>
      </c>
      <c r="CGA26" t="s">
        <v>6984</v>
      </c>
      <c r="CGB26" t="s">
        <v>6984</v>
      </c>
      <c r="CGC26" t="s">
        <v>6984</v>
      </c>
      <c r="CGD26" t="s">
        <v>6984</v>
      </c>
      <c r="CGE26" t="s">
        <v>6984</v>
      </c>
      <c r="CGF26" t="s">
        <v>6984</v>
      </c>
      <c r="CGG26" t="s">
        <v>6984</v>
      </c>
      <c r="CGH26" t="s">
        <v>6984</v>
      </c>
      <c r="CGI26" t="s">
        <v>6984</v>
      </c>
      <c r="CGJ26" t="s">
        <v>6984</v>
      </c>
      <c r="CGK26" t="s">
        <v>6984</v>
      </c>
      <c r="CGL26" t="s">
        <v>6984</v>
      </c>
      <c r="CGM26" t="s">
        <v>6984</v>
      </c>
      <c r="CGN26" t="s">
        <v>6984</v>
      </c>
      <c r="CGO26" t="s">
        <v>6984</v>
      </c>
      <c r="CGP26" t="s">
        <v>6984</v>
      </c>
      <c r="CGQ26" t="s">
        <v>6984</v>
      </c>
      <c r="CGR26" t="s">
        <v>6984</v>
      </c>
      <c r="CGS26" t="s">
        <v>6984</v>
      </c>
      <c r="CGT26" t="s">
        <v>6984</v>
      </c>
      <c r="CGU26" t="s">
        <v>6984</v>
      </c>
      <c r="CGV26" t="s">
        <v>6984</v>
      </c>
      <c r="CGW26" t="s">
        <v>6984</v>
      </c>
      <c r="CGX26" t="s">
        <v>6984</v>
      </c>
      <c r="CGY26" t="s">
        <v>6984</v>
      </c>
      <c r="CGZ26" t="s">
        <v>6984</v>
      </c>
      <c r="CHA26" t="s">
        <v>6984</v>
      </c>
      <c r="CHB26" t="s">
        <v>6984</v>
      </c>
      <c r="CHC26" t="s">
        <v>6984</v>
      </c>
      <c r="CHD26" t="s">
        <v>6984</v>
      </c>
      <c r="CHE26" t="s">
        <v>6984</v>
      </c>
      <c r="CHF26" t="s">
        <v>6984</v>
      </c>
      <c r="CHG26" t="s">
        <v>6984</v>
      </c>
      <c r="CHH26" t="s">
        <v>6984</v>
      </c>
      <c r="CHI26" t="s">
        <v>6984</v>
      </c>
      <c r="CHJ26" t="s">
        <v>6984</v>
      </c>
      <c r="CHK26" t="s">
        <v>6984</v>
      </c>
      <c r="CHL26" t="s">
        <v>6984</v>
      </c>
      <c r="CHM26" t="s">
        <v>6984</v>
      </c>
      <c r="CHN26" t="s">
        <v>6984</v>
      </c>
      <c r="CHO26" t="s">
        <v>6984</v>
      </c>
      <c r="CHP26" t="s">
        <v>6984</v>
      </c>
      <c r="CHQ26" t="s">
        <v>6984</v>
      </c>
      <c r="CHR26" t="s">
        <v>6984</v>
      </c>
      <c r="CHS26" t="s">
        <v>6984</v>
      </c>
      <c r="CHT26" t="s">
        <v>6984</v>
      </c>
      <c r="CHU26" t="s">
        <v>6984</v>
      </c>
      <c r="CHV26" t="s">
        <v>6984</v>
      </c>
      <c r="CHW26" t="s">
        <v>6984</v>
      </c>
      <c r="CHX26" t="s">
        <v>6984</v>
      </c>
      <c r="CHY26" t="s">
        <v>6984</v>
      </c>
      <c r="CHZ26" t="s">
        <v>6984</v>
      </c>
      <c r="CIA26" t="s">
        <v>6984</v>
      </c>
      <c r="CIB26" t="s">
        <v>6984</v>
      </c>
      <c r="CIC26" t="s">
        <v>6984</v>
      </c>
      <c r="CID26" t="s">
        <v>6984</v>
      </c>
      <c r="CIE26" t="s">
        <v>6984</v>
      </c>
      <c r="CIF26" t="s">
        <v>6984</v>
      </c>
      <c r="CIG26" t="s">
        <v>6984</v>
      </c>
      <c r="CIH26" t="s">
        <v>6984</v>
      </c>
      <c r="CII26" t="s">
        <v>6984</v>
      </c>
      <c r="CIJ26" t="s">
        <v>6984</v>
      </c>
      <c r="CIK26" t="s">
        <v>6984</v>
      </c>
      <c r="CIL26" t="s">
        <v>6984</v>
      </c>
      <c r="CIM26" t="s">
        <v>6984</v>
      </c>
      <c r="CIN26" t="s">
        <v>6984</v>
      </c>
      <c r="CIO26" t="s">
        <v>6984</v>
      </c>
      <c r="CIP26" t="s">
        <v>6984</v>
      </c>
      <c r="CIQ26" t="s">
        <v>6984</v>
      </c>
      <c r="CIR26" t="s">
        <v>6984</v>
      </c>
      <c r="CIS26" t="s">
        <v>6984</v>
      </c>
      <c r="CIT26" t="s">
        <v>6984</v>
      </c>
      <c r="CIU26" t="s">
        <v>6984</v>
      </c>
      <c r="CIV26" t="s">
        <v>6984</v>
      </c>
      <c r="CIW26" t="s">
        <v>6984</v>
      </c>
      <c r="CIX26" t="s">
        <v>6984</v>
      </c>
      <c r="CIY26" t="s">
        <v>6984</v>
      </c>
      <c r="CIZ26" t="s">
        <v>6984</v>
      </c>
      <c r="CJA26" t="s">
        <v>6984</v>
      </c>
      <c r="CJB26" t="s">
        <v>6984</v>
      </c>
      <c r="CJC26" t="s">
        <v>6984</v>
      </c>
      <c r="CJD26" t="s">
        <v>6984</v>
      </c>
      <c r="CJE26" t="s">
        <v>6984</v>
      </c>
      <c r="CJF26" t="s">
        <v>6984</v>
      </c>
      <c r="CJG26" t="s">
        <v>6984</v>
      </c>
      <c r="CJH26" t="s">
        <v>6984</v>
      </c>
      <c r="CJI26" t="s">
        <v>6984</v>
      </c>
      <c r="CJJ26" t="s">
        <v>6984</v>
      </c>
      <c r="CJK26" t="s">
        <v>6984</v>
      </c>
      <c r="CJL26" t="s">
        <v>6984</v>
      </c>
      <c r="CJM26" t="s">
        <v>6984</v>
      </c>
      <c r="CJN26" t="s">
        <v>6984</v>
      </c>
      <c r="CJO26" t="s">
        <v>6984</v>
      </c>
      <c r="CJP26" t="s">
        <v>6984</v>
      </c>
      <c r="CJQ26" t="s">
        <v>6984</v>
      </c>
      <c r="CJR26" t="s">
        <v>6984</v>
      </c>
      <c r="CJS26" t="s">
        <v>6984</v>
      </c>
      <c r="CJT26" t="s">
        <v>6984</v>
      </c>
      <c r="CJU26" t="s">
        <v>6984</v>
      </c>
      <c r="CJV26" t="s">
        <v>6984</v>
      </c>
      <c r="CJW26" t="s">
        <v>6984</v>
      </c>
      <c r="CJX26" t="s">
        <v>6984</v>
      </c>
      <c r="CJY26" t="s">
        <v>6984</v>
      </c>
      <c r="CJZ26" t="s">
        <v>6984</v>
      </c>
      <c r="CKA26" t="s">
        <v>6984</v>
      </c>
      <c r="CKB26" t="s">
        <v>6984</v>
      </c>
      <c r="CKC26" t="s">
        <v>6984</v>
      </c>
      <c r="CKD26" t="s">
        <v>6984</v>
      </c>
      <c r="CKE26" t="s">
        <v>6984</v>
      </c>
      <c r="CKF26" t="s">
        <v>6984</v>
      </c>
      <c r="CKG26" t="s">
        <v>6984</v>
      </c>
      <c r="CKH26" t="s">
        <v>6984</v>
      </c>
      <c r="CKI26" t="s">
        <v>6984</v>
      </c>
      <c r="CKJ26" t="s">
        <v>6984</v>
      </c>
      <c r="CKK26" t="s">
        <v>6984</v>
      </c>
      <c r="CKL26" t="s">
        <v>6984</v>
      </c>
      <c r="CKM26" t="s">
        <v>6984</v>
      </c>
      <c r="CKN26" t="s">
        <v>6984</v>
      </c>
      <c r="CKO26" t="s">
        <v>6984</v>
      </c>
      <c r="CKP26" t="s">
        <v>6984</v>
      </c>
      <c r="CKQ26" t="s">
        <v>6984</v>
      </c>
      <c r="CKR26" t="s">
        <v>6984</v>
      </c>
      <c r="CKS26" t="s">
        <v>6984</v>
      </c>
      <c r="CKT26" t="s">
        <v>6984</v>
      </c>
      <c r="CKU26" t="s">
        <v>6984</v>
      </c>
      <c r="CKV26" t="s">
        <v>6984</v>
      </c>
      <c r="CKW26" t="s">
        <v>6984</v>
      </c>
      <c r="CKX26" t="s">
        <v>6984</v>
      </c>
      <c r="CKY26" t="s">
        <v>6984</v>
      </c>
      <c r="CKZ26" t="s">
        <v>6984</v>
      </c>
      <c r="CLA26" t="s">
        <v>6984</v>
      </c>
      <c r="CLB26" t="s">
        <v>6984</v>
      </c>
      <c r="CLC26" t="s">
        <v>6984</v>
      </c>
      <c r="CLD26" t="s">
        <v>6984</v>
      </c>
      <c r="CLE26" t="s">
        <v>6984</v>
      </c>
      <c r="CLF26" t="s">
        <v>6984</v>
      </c>
      <c r="CLG26" t="s">
        <v>6984</v>
      </c>
      <c r="CLH26" t="s">
        <v>6984</v>
      </c>
      <c r="CLI26" t="s">
        <v>6984</v>
      </c>
      <c r="CLJ26" t="s">
        <v>6984</v>
      </c>
      <c r="CLK26" t="s">
        <v>6984</v>
      </c>
      <c r="CLL26" t="s">
        <v>6984</v>
      </c>
      <c r="CLM26" t="s">
        <v>6984</v>
      </c>
      <c r="CLN26" t="s">
        <v>6984</v>
      </c>
      <c r="CLO26" t="s">
        <v>6984</v>
      </c>
      <c r="CLP26" t="s">
        <v>6984</v>
      </c>
      <c r="CLQ26" t="s">
        <v>6984</v>
      </c>
      <c r="CLR26" t="s">
        <v>6984</v>
      </c>
      <c r="CLS26" t="s">
        <v>6984</v>
      </c>
      <c r="CLT26" t="s">
        <v>6984</v>
      </c>
      <c r="CLU26" t="s">
        <v>6984</v>
      </c>
      <c r="CLV26" t="s">
        <v>6984</v>
      </c>
      <c r="CLW26" t="s">
        <v>6984</v>
      </c>
      <c r="CLX26" t="s">
        <v>6984</v>
      </c>
      <c r="CLY26" t="s">
        <v>6984</v>
      </c>
      <c r="CLZ26" t="s">
        <v>6984</v>
      </c>
      <c r="CMA26" t="s">
        <v>6984</v>
      </c>
      <c r="CMB26" t="s">
        <v>6984</v>
      </c>
      <c r="CMC26" t="s">
        <v>6984</v>
      </c>
      <c r="CMD26" t="s">
        <v>6984</v>
      </c>
      <c r="CME26" t="s">
        <v>6984</v>
      </c>
      <c r="CMF26" t="s">
        <v>6984</v>
      </c>
      <c r="CMG26" t="s">
        <v>6984</v>
      </c>
      <c r="CMH26" t="s">
        <v>6984</v>
      </c>
      <c r="CMI26" t="s">
        <v>6984</v>
      </c>
      <c r="CMJ26" t="s">
        <v>6984</v>
      </c>
      <c r="CMK26" t="s">
        <v>6984</v>
      </c>
      <c r="CML26" t="s">
        <v>6984</v>
      </c>
      <c r="CMM26" t="s">
        <v>6984</v>
      </c>
      <c r="CMN26" t="s">
        <v>6984</v>
      </c>
      <c r="CMO26" t="s">
        <v>6984</v>
      </c>
      <c r="CMP26" t="s">
        <v>6984</v>
      </c>
      <c r="CMQ26" t="s">
        <v>6984</v>
      </c>
      <c r="CMR26" t="s">
        <v>6984</v>
      </c>
      <c r="CMS26" t="s">
        <v>6984</v>
      </c>
      <c r="CMT26" t="s">
        <v>6984</v>
      </c>
      <c r="CMU26" t="s">
        <v>6984</v>
      </c>
      <c r="CMV26" t="s">
        <v>6984</v>
      </c>
      <c r="CMW26" t="s">
        <v>6984</v>
      </c>
      <c r="CMX26" t="s">
        <v>6984</v>
      </c>
      <c r="CMY26" t="s">
        <v>6984</v>
      </c>
      <c r="CMZ26" t="s">
        <v>6984</v>
      </c>
      <c r="CNA26" t="s">
        <v>6984</v>
      </c>
      <c r="CNB26" t="s">
        <v>6984</v>
      </c>
      <c r="CNC26" t="s">
        <v>6984</v>
      </c>
      <c r="CND26" t="s">
        <v>6984</v>
      </c>
      <c r="CNE26" t="s">
        <v>6984</v>
      </c>
      <c r="CNF26" t="s">
        <v>6984</v>
      </c>
      <c r="CNG26" t="s">
        <v>6984</v>
      </c>
      <c r="CNH26" t="s">
        <v>6984</v>
      </c>
      <c r="CNI26" t="s">
        <v>6984</v>
      </c>
      <c r="CNJ26" t="s">
        <v>6984</v>
      </c>
      <c r="CNK26" t="s">
        <v>6984</v>
      </c>
      <c r="CNL26" t="s">
        <v>6984</v>
      </c>
      <c r="CNM26" t="s">
        <v>6984</v>
      </c>
      <c r="CNN26" t="s">
        <v>6984</v>
      </c>
      <c r="CNO26" t="s">
        <v>6984</v>
      </c>
      <c r="CNP26" t="s">
        <v>6984</v>
      </c>
      <c r="CNQ26" t="s">
        <v>6984</v>
      </c>
      <c r="CNR26" t="s">
        <v>6984</v>
      </c>
      <c r="CNS26" t="s">
        <v>6984</v>
      </c>
      <c r="CNT26" t="s">
        <v>6984</v>
      </c>
      <c r="CNU26" t="s">
        <v>6984</v>
      </c>
      <c r="CNV26" t="s">
        <v>6984</v>
      </c>
      <c r="CNW26" t="s">
        <v>6984</v>
      </c>
      <c r="CNX26" t="s">
        <v>6984</v>
      </c>
      <c r="CNY26" t="s">
        <v>6984</v>
      </c>
      <c r="CNZ26" t="s">
        <v>6984</v>
      </c>
      <c r="COA26" t="s">
        <v>6984</v>
      </c>
      <c r="COB26" t="s">
        <v>6984</v>
      </c>
      <c r="COC26" t="s">
        <v>6984</v>
      </c>
      <c r="COD26" t="s">
        <v>6984</v>
      </c>
      <c r="COE26" t="s">
        <v>6984</v>
      </c>
      <c r="COF26" t="s">
        <v>6984</v>
      </c>
      <c r="COG26" t="s">
        <v>6984</v>
      </c>
      <c r="COH26" t="s">
        <v>6984</v>
      </c>
      <c r="COI26" t="s">
        <v>6984</v>
      </c>
      <c r="COJ26" t="s">
        <v>6984</v>
      </c>
      <c r="COK26" t="s">
        <v>6984</v>
      </c>
      <c r="COL26" t="s">
        <v>6984</v>
      </c>
      <c r="COM26" t="s">
        <v>6984</v>
      </c>
      <c r="CON26" t="s">
        <v>6984</v>
      </c>
      <c r="COO26" t="s">
        <v>6984</v>
      </c>
      <c r="COP26" t="s">
        <v>6984</v>
      </c>
      <c r="COQ26" t="s">
        <v>6984</v>
      </c>
      <c r="COR26" t="s">
        <v>6984</v>
      </c>
      <c r="COS26" t="s">
        <v>6984</v>
      </c>
      <c r="COT26" t="s">
        <v>6984</v>
      </c>
      <c r="COU26" t="s">
        <v>6984</v>
      </c>
      <c r="COV26" t="s">
        <v>6984</v>
      </c>
      <c r="COW26" t="s">
        <v>6984</v>
      </c>
      <c r="COX26" t="s">
        <v>6984</v>
      </c>
      <c r="COY26" t="s">
        <v>6984</v>
      </c>
      <c r="COZ26" t="s">
        <v>6984</v>
      </c>
      <c r="CPA26" t="s">
        <v>6984</v>
      </c>
      <c r="CPB26" t="s">
        <v>6984</v>
      </c>
      <c r="CPC26" t="s">
        <v>6984</v>
      </c>
      <c r="CPD26" t="s">
        <v>6984</v>
      </c>
      <c r="CPE26" t="s">
        <v>6984</v>
      </c>
      <c r="CPF26" t="s">
        <v>6984</v>
      </c>
      <c r="CPG26" t="s">
        <v>6984</v>
      </c>
      <c r="CPH26" t="s">
        <v>6984</v>
      </c>
      <c r="CPI26" t="s">
        <v>6984</v>
      </c>
      <c r="CPJ26" t="s">
        <v>6984</v>
      </c>
      <c r="CPK26" t="s">
        <v>6984</v>
      </c>
      <c r="CPL26" t="s">
        <v>6984</v>
      </c>
      <c r="CPM26" t="s">
        <v>6984</v>
      </c>
      <c r="CPN26" t="s">
        <v>6984</v>
      </c>
      <c r="CPO26" t="s">
        <v>6984</v>
      </c>
      <c r="CPP26" t="s">
        <v>6984</v>
      </c>
      <c r="CPQ26" t="s">
        <v>6984</v>
      </c>
      <c r="CPR26" t="s">
        <v>6984</v>
      </c>
      <c r="CPS26" t="s">
        <v>6984</v>
      </c>
      <c r="CPT26" t="s">
        <v>6984</v>
      </c>
      <c r="CPU26" t="s">
        <v>6984</v>
      </c>
      <c r="CPV26" t="s">
        <v>6984</v>
      </c>
      <c r="CPW26" t="s">
        <v>6984</v>
      </c>
      <c r="CPX26" t="s">
        <v>6984</v>
      </c>
      <c r="CPY26" t="s">
        <v>6984</v>
      </c>
      <c r="CPZ26" t="s">
        <v>6984</v>
      </c>
      <c r="CQA26" t="s">
        <v>6984</v>
      </c>
      <c r="CQB26" t="s">
        <v>6984</v>
      </c>
      <c r="CQC26" t="s">
        <v>6984</v>
      </c>
      <c r="CQD26" t="s">
        <v>6984</v>
      </c>
      <c r="CQE26" t="s">
        <v>6984</v>
      </c>
      <c r="CQF26" t="s">
        <v>6984</v>
      </c>
      <c r="CQG26" t="s">
        <v>6984</v>
      </c>
      <c r="CQH26" t="s">
        <v>6984</v>
      </c>
      <c r="CQI26" t="s">
        <v>6984</v>
      </c>
      <c r="CQJ26" t="s">
        <v>6984</v>
      </c>
      <c r="CQK26" t="s">
        <v>6984</v>
      </c>
      <c r="CQL26" t="s">
        <v>6984</v>
      </c>
      <c r="CQM26" t="s">
        <v>6984</v>
      </c>
      <c r="CQN26" t="s">
        <v>6984</v>
      </c>
      <c r="CQO26" t="s">
        <v>6984</v>
      </c>
      <c r="CQP26" t="s">
        <v>6984</v>
      </c>
      <c r="CQQ26" t="s">
        <v>6984</v>
      </c>
      <c r="CQR26" t="s">
        <v>6984</v>
      </c>
      <c r="CQS26" t="s">
        <v>6984</v>
      </c>
      <c r="CQT26" t="s">
        <v>6984</v>
      </c>
      <c r="CQU26" t="s">
        <v>6984</v>
      </c>
      <c r="CQV26" t="s">
        <v>6984</v>
      </c>
      <c r="CQW26" t="s">
        <v>6984</v>
      </c>
      <c r="CQX26" t="s">
        <v>6984</v>
      </c>
      <c r="CQY26" t="s">
        <v>6984</v>
      </c>
      <c r="CQZ26" t="s">
        <v>6984</v>
      </c>
      <c r="CRA26" t="s">
        <v>6984</v>
      </c>
      <c r="CRB26" t="s">
        <v>6984</v>
      </c>
      <c r="CRC26" t="s">
        <v>6984</v>
      </c>
      <c r="CRD26" t="s">
        <v>6984</v>
      </c>
      <c r="CRE26" t="s">
        <v>6984</v>
      </c>
      <c r="CRF26" t="s">
        <v>6984</v>
      </c>
      <c r="CRG26" t="s">
        <v>6984</v>
      </c>
      <c r="CRH26" t="s">
        <v>6984</v>
      </c>
      <c r="CRI26" t="s">
        <v>6984</v>
      </c>
      <c r="CRJ26" t="s">
        <v>6984</v>
      </c>
      <c r="CRK26" t="s">
        <v>6984</v>
      </c>
      <c r="CRL26" t="s">
        <v>6984</v>
      </c>
      <c r="CRM26" t="s">
        <v>6984</v>
      </c>
      <c r="CRN26" t="s">
        <v>6984</v>
      </c>
      <c r="CRO26" t="s">
        <v>6984</v>
      </c>
      <c r="CRP26" t="s">
        <v>6984</v>
      </c>
      <c r="CRQ26" t="s">
        <v>6984</v>
      </c>
      <c r="CRR26" t="s">
        <v>6984</v>
      </c>
      <c r="CRS26" t="s">
        <v>6984</v>
      </c>
      <c r="CRT26" t="s">
        <v>6984</v>
      </c>
      <c r="CRU26" t="s">
        <v>6984</v>
      </c>
      <c r="CRV26" t="s">
        <v>6984</v>
      </c>
      <c r="CRW26" t="s">
        <v>6984</v>
      </c>
      <c r="CRX26" t="s">
        <v>6984</v>
      </c>
      <c r="CRY26" t="s">
        <v>6984</v>
      </c>
      <c r="CRZ26" t="s">
        <v>6984</v>
      </c>
      <c r="CSA26" t="s">
        <v>6984</v>
      </c>
      <c r="CSB26" t="s">
        <v>6984</v>
      </c>
      <c r="CSC26" t="s">
        <v>6984</v>
      </c>
      <c r="CSD26" t="s">
        <v>6984</v>
      </c>
      <c r="CSE26" t="s">
        <v>6984</v>
      </c>
      <c r="CSF26" t="s">
        <v>6984</v>
      </c>
      <c r="CSG26" t="s">
        <v>6984</v>
      </c>
      <c r="CSH26" t="s">
        <v>6984</v>
      </c>
      <c r="CSI26" t="s">
        <v>6984</v>
      </c>
      <c r="CSJ26" t="s">
        <v>6984</v>
      </c>
      <c r="CSK26" t="s">
        <v>6984</v>
      </c>
      <c r="CSL26" t="s">
        <v>6984</v>
      </c>
      <c r="CSM26" t="s">
        <v>6984</v>
      </c>
      <c r="CSN26" t="s">
        <v>6984</v>
      </c>
      <c r="CSO26" t="s">
        <v>6984</v>
      </c>
      <c r="CSP26" t="s">
        <v>6984</v>
      </c>
      <c r="CSQ26" t="s">
        <v>6984</v>
      </c>
      <c r="CSR26" t="s">
        <v>6984</v>
      </c>
      <c r="CSS26" t="s">
        <v>6984</v>
      </c>
      <c r="CST26" t="s">
        <v>6984</v>
      </c>
      <c r="CSU26" t="s">
        <v>6984</v>
      </c>
      <c r="CSV26" t="s">
        <v>6984</v>
      </c>
      <c r="CSW26" t="s">
        <v>6984</v>
      </c>
      <c r="CSX26" t="s">
        <v>6984</v>
      </c>
      <c r="CSY26" t="s">
        <v>6984</v>
      </c>
      <c r="CSZ26" t="s">
        <v>6984</v>
      </c>
      <c r="CTA26" t="s">
        <v>6984</v>
      </c>
      <c r="CTB26" t="s">
        <v>6984</v>
      </c>
      <c r="CTC26" t="s">
        <v>6984</v>
      </c>
      <c r="CTD26" t="s">
        <v>6984</v>
      </c>
      <c r="CTE26" t="s">
        <v>6984</v>
      </c>
      <c r="CTF26" t="s">
        <v>6984</v>
      </c>
      <c r="CTG26" t="s">
        <v>6984</v>
      </c>
      <c r="CTH26" t="s">
        <v>6984</v>
      </c>
      <c r="CTI26" t="s">
        <v>6984</v>
      </c>
      <c r="CTJ26" t="s">
        <v>6984</v>
      </c>
      <c r="CTK26" t="s">
        <v>6984</v>
      </c>
      <c r="CTL26" t="s">
        <v>6984</v>
      </c>
      <c r="CTM26" t="s">
        <v>6984</v>
      </c>
      <c r="CTN26" t="s">
        <v>6984</v>
      </c>
      <c r="CTO26" t="s">
        <v>6984</v>
      </c>
      <c r="CTP26" t="s">
        <v>6984</v>
      </c>
      <c r="CTQ26" t="s">
        <v>6984</v>
      </c>
      <c r="CTR26" t="s">
        <v>6984</v>
      </c>
      <c r="CTS26" t="s">
        <v>6984</v>
      </c>
      <c r="CTT26" t="s">
        <v>6984</v>
      </c>
      <c r="CTU26" t="s">
        <v>6984</v>
      </c>
      <c r="CTV26" t="s">
        <v>6984</v>
      </c>
      <c r="CTW26" t="s">
        <v>6984</v>
      </c>
      <c r="CTX26" t="s">
        <v>6984</v>
      </c>
      <c r="CTY26" t="s">
        <v>6984</v>
      </c>
      <c r="CTZ26" t="s">
        <v>6984</v>
      </c>
      <c r="CUA26" t="s">
        <v>6984</v>
      </c>
      <c r="CUB26" t="s">
        <v>6984</v>
      </c>
      <c r="CUC26" t="s">
        <v>6984</v>
      </c>
      <c r="CUD26" t="s">
        <v>6984</v>
      </c>
      <c r="CUE26" t="s">
        <v>6984</v>
      </c>
      <c r="CUF26" t="s">
        <v>6984</v>
      </c>
      <c r="CUG26" t="s">
        <v>6984</v>
      </c>
      <c r="CUH26" t="s">
        <v>6984</v>
      </c>
      <c r="CUI26" t="s">
        <v>6984</v>
      </c>
      <c r="CUJ26" t="s">
        <v>6984</v>
      </c>
      <c r="CUK26" t="s">
        <v>6984</v>
      </c>
      <c r="CUL26" t="s">
        <v>6984</v>
      </c>
      <c r="CUM26" t="s">
        <v>6984</v>
      </c>
      <c r="CUN26" t="s">
        <v>6984</v>
      </c>
      <c r="CUO26" t="s">
        <v>6984</v>
      </c>
      <c r="CUP26" t="s">
        <v>6984</v>
      </c>
      <c r="CUQ26" t="s">
        <v>6984</v>
      </c>
      <c r="CUR26" t="s">
        <v>6984</v>
      </c>
      <c r="CUS26" t="s">
        <v>6984</v>
      </c>
      <c r="CUT26" t="s">
        <v>6984</v>
      </c>
      <c r="CUU26" t="s">
        <v>6984</v>
      </c>
      <c r="CUV26" t="s">
        <v>6984</v>
      </c>
      <c r="CUW26" t="s">
        <v>6984</v>
      </c>
      <c r="CUX26" t="s">
        <v>6984</v>
      </c>
      <c r="CUY26" t="s">
        <v>6984</v>
      </c>
      <c r="CUZ26" t="s">
        <v>6984</v>
      </c>
      <c r="CVA26" t="s">
        <v>6984</v>
      </c>
      <c r="CVB26" t="s">
        <v>6984</v>
      </c>
      <c r="CVC26" t="s">
        <v>6984</v>
      </c>
      <c r="CVD26" t="s">
        <v>6984</v>
      </c>
      <c r="CVE26" t="s">
        <v>6984</v>
      </c>
      <c r="CVF26" t="s">
        <v>6984</v>
      </c>
      <c r="CVG26" t="s">
        <v>6984</v>
      </c>
      <c r="CVH26" t="s">
        <v>6984</v>
      </c>
      <c r="CVI26" t="s">
        <v>6984</v>
      </c>
      <c r="CVJ26" t="s">
        <v>6984</v>
      </c>
      <c r="CVK26" t="s">
        <v>6984</v>
      </c>
      <c r="CVL26" t="s">
        <v>6984</v>
      </c>
      <c r="CVM26" t="s">
        <v>6984</v>
      </c>
      <c r="CVN26" t="s">
        <v>6984</v>
      </c>
      <c r="CVO26" t="s">
        <v>6984</v>
      </c>
      <c r="CVP26" t="s">
        <v>6984</v>
      </c>
      <c r="CVQ26" t="s">
        <v>6984</v>
      </c>
      <c r="CVR26" t="s">
        <v>6984</v>
      </c>
      <c r="CVS26" t="s">
        <v>6984</v>
      </c>
      <c r="CVT26" t="s">
        <v>6984</v>
      </c>
      <c r="CVU26" t="s">
        <v>6984</v>
      </c>
      <c r="CVV26" t="s">
        <v>6984</v>
      </c>
      <c r="CVW26" t="s">
        <v>6984</v>
      </c>
      <c r="CVX26" t="s">
        <v>6984</v>
      </c>
      <c r="CVY26" t="s">
        <v>6984</v>
      </c>
      <c r="CVZ26" t="s">
        <v>6984</v>
      </c>
      <c r="CWA26" t="s">
        <v>6984</v>
      </c>
      <c r="CWB26" t="s">
        <v>6984</v>
      </c>
      <c r="CWC26" t="s">
        <v>6984</v>
      </c>
      <c r="CWD26" t="s">
        <v>6984</v>
      </c>
      <c r="CWE26" t="s">
        <v>6984</v>
      </c>
      <c r="CWF26" t="s">
        <v>6984</v>
      </c>
      <c r="CWG26" t="s">
        <v>6984</v>
      </c>
      <c r="CWH26" t="s">
        <v>6984</v>
      </c>
      <c r="CWI26" t="s">
        <v>6984</v>
      </c>
      <c r="CWJ26" t="s">
        <v>6984</v>
      </c>
      <c r="CWK26" t="s">
        <v>6984</v>
      </c>
      <c r="CWL26" t="s">
        <v>6984</v>
      </c>
      <c r="CWM26" t="s">
        <v>6984</v>
      </c>
      <c r="CWN26" t="s">
        <v>6984</v>
      </c>
      <c r="CWO26" t="s">
        <v>6984</v>
      </c>
      <c r="CWP26" t="s">
        <v>6984</v>
      </c>
      <c r="CWQ26" t="s">
        <v>6984</v>
      </c>
      <c r="CWR26" t="s">
        <v>6984</v>
      </c>
      <c r="CWS26" t="s">
        <v>6984</v>
      </c>
      <c r="CWT26" t="s">
        <v>6984</v>
      </c>
      <c r="CWU26" t="s">
        <v>6984</v>
      </c>
      <c r="CWV26" t="s">
        <v>6984</v>
      </c>
      <c r="CWW26" t="s">
        <v>6984</v>
      </c>
      <c r="CWX26" t="s">
        <v>6984</v>
      </c>
      <c r="CWY26" t="s">
        <v>6984</v>
      </c>
      <c r="CWZ26" t="s">
        <v>6984</v>
      </c>
      <c r="CXA26" t="s">
        <v>6984</v>
      </c>
      <c r="CXB26" t="s">
        <v>6984</v>
      </c>
      <c r="CXC26" t="s">
        <v>6984</v>
      </c>
      <c r="CXD26" t="s">
        <v>6984</v>
      </c>
      <c r="CXE26" t="s">
        <v>6984</v>
      </c>
      <c r="CXF26" t="s">
        <v>6984</v>
      </c>
      <c r="CXG26" t="s">
        <v>6984</v>
      </c>
      <c r="CXH26" t="s">
        <v>6984</v>
      </c>
      <c r="CXI26" t="s">
        <v>6984</v>
      </c>
      <c r="CXJ26" t="s">
        <v>6984</v>
      </c>
      <c r="CXK26" t="s">
        <v>6984</v>
      </c>
      <c r="CXL26" t="s">
        <v>6984</v>
      </c>
      <c r="CXM26" t="s">
        <v>6984</v>
      </c>
      <c r="CXN26" t="s">
        <v>6984</v>
      </c>
      <c r="CXO26" t="s">
        <v>6984</v>
      </c>
      <c r="CXP26" t="s">
        <v>6984</v>
      </c>
      <c r="CXQ26" t="s">
        <v>6984</v>
      </c>
      <c r="CXR26" t="s">
        <v>6984</v>
      </c>
      <c r="CXS26" t="s">
        <v>6984</v>
      </c>
      <c r="CXT26" t="s">
        <v>6984</v>
      </c>
      <c r="CXU26" t="s">
        <v>6984</v>
      </c>
      <c r="CXV26" t="s">
        <v>6984</v>
      </c>
      <c r="CXW26" t="s">
        <v>6984</v>
      </c>
      <c r="CXX26" t="s">
        <v>6984</v>
      </c>
      <c r="CXY26" t="s">
        <v>6984</v>
      </c>
      <c r="CXZ26" t="s">
        <v>6984</v>
      </c>
      <c r="CYA26" t="s">
        <v>6984</v>
      </c>
      <c r="CYB26" t="s">
        <v>6984</v>
      </c>
      <c r="CYC26" t="s">
        <v>6984</v>
      </c>
      <c r="CYD26" t="s">
        <v>6984</v>
      </c>
      <c r="CYE26" t="s">
        <v>6984</v>
      </c>
      <c r="CYF26" t="s">
        <v>6984</v>
      </c>
      <c r="CYG26" t="s">
        <v>6984</v>
      </c>
      <c r="CYH26" t="s">
        <v>6984</v>
      </c>
      <c r="CYI26" t="s">
        <v>6984</v>
      </c>
      <c r="CYJ26" t="s">
        <v>6984</v>
      </c>
      <c r="CYK26" t="s">
        <v>6984</v>
      </c>
      <c r="CYL26" t="s">
        <v>6984</v>
      </c>
      <c r="CYM26" t="s">
        <v>6984</v>
      </c>
      <c r="CYN26" t="s">
        <v>6984</v>
      </c>
      <c r="CYO26" t="s">
        <v>6984</v>
      </c>
      <c r="CYP26" t="s">
        <v>6984</v>
      </c>
      <c r="CYQ26" t="s">
        <v>6984</v>
      </c>
      <c r="CYR26" t="s">
        <v>6984</v>
      </c>
      <c r="CYS26" t="s">
        <v>6984</v>
      </c>
      <c r="CYT26" t="s">
        <v>6984</v>
      </c>
      <c r="CYU26" t="s">
        <v>6984</v>
      </c>
      <c r="CYV26" t="s">
        <v>6984</v>
      </c>
      <c r="CYW26" t="s">
        <v>6984</v>
      </c>
      <c r="CYX26" t="s">
        <v>6984</v>
      </c>
      <c r="CYY26" t="s">
        <v>6984</v>
      </c>
      <c r="CYZ26" t="s">
        <v>6984</v>
      </c>
      <c r="CZA26" t="s">
        <v>6984</v>
      </c>
      <c r="CZB26" t="s">
        <v>6984</v>
      </c>
      <c r="CZC26" t="s">
        <v>6984</v>
      </c>
      <c r="CZD26" t="s">
        <v>6984</v>
      </c>
      <c r="CZE26" t="s">
        <v>6984</v>
      </c>
      <c r="CZF26" t="s">
        <v>6984</v>
      </c>
      <c r="CZG26" t="s">
        <v>6984</v>
      </c>
      <c r="CZH26" t="s">
        <v>6984</v>
      </c>
      <c r="CZI26" t="s">
        <v>6984</v>
      </c>
      <c r="CZJ26" t="s">
        <v>6984</v>
      </c>
      <c r="CZK26" t="s">
        <v>6984</v>
      </c>
      <c r="CZL26" t="s">
        <v>6984</v>
      </c>
      <c r="CZM26" t="s">
        <v>6984</v>
      </c>
      <c r="CZN26" t="s">
        <v>6984</v>
      </c>
      <c r="CZO26" t="s">
        <v>6984</v>
      </c>
      <c r="CZP26" t="s">
        <v>6984</v>
      </c>
      <c r="CZQ26" t="s">
        <v>6984</v>
      </c>
      <c r="CZR26" t="s">
        <v>6984</v>
      </c>
      <c r="CZS26" t="s">
        <v>6984</v>
      </c>
      <c r="CZT26" t="s">
        <v>6984</v>
      </c>
      <c r="CZU26" t="s">
        <v>6984</v>
      </c>
      <c r="CZV26" t="s">
        <v>6984</v>
      </c>
      <c r="CZW26" t="s">
        <v>6984</v>
      </c>
      <c r="CZX26" t="s">
        <v>6984</v>
      </c>
      <c r="CZY26" t="s">
        <v>6984</v>
      </c>
      <c r="CZZ26" t="s">
        <v>6984</v>
      </c>
      <c r="DAA26" t="s">
        <v>6984</v>
      </c>
      <c r="DAB26" t="s">
        <v>6984</v>
      </c>
      <c r="DAC26" t="s">
        <v>6984</v>
      </c>
      <c r="DAD26" t="s">
        <v>6984</v>
      </c>
      <c r="DAE26" t="s">
        <v>6984</v>
      </c>
      <c r="DAF26" t="s">
        <v>6984</v>
      </c>
      <c r="DAG26" t="s">
        <v>6984</v>
      </c>
      <c r="DAH26" t="s">
        <v>6984</v>
      </c>
      <c r="DAI26" t="s">
        <v>6984</v>
      </c>
      <c r="DAJ26" t="s">
        <v>6984</v>
      </c>
      <c r="DAK26" t="s">
        <v>6984</v>
      </c>
      <c r="DAL26" t="s">
        <v>6984</v>
      </c>
      <c r="DAM26" t="s">
        <v>6984</v>
      </c>
      <c r="DAN26" t="s">
        <v>6984</v>
      </c>
      <c r="DAO26" t="s">
        <v>6984</v>
      </c>
      <c r="DAP26" t="s">
        <v>6984</v>
      </c>
      <c r="DAQ26" t="s">
        <v>6984</v>
      </c>
      <c r="DAR26" t="s">
        <v>6984</v>
      </c>
      <c r="DAS26" t="s">
        <v>6984</v>
      </c>
      <c r="DAT26" t="s">
        <v>6984</v>
      </c>
      <c r="DAU26" t="s">
        <v>6984</v>
      </c>
      <c r="DAV26" t="s">
        <v>6984</v>
      </c>
      <c r="DAW26" t="s">
        <v>6984</v>
      </c>
      <c r="DAX26" t="s">
        <v>6984</v>
      </c>
      <c r="DAY26" t="s">
        <v>6984</v>
      </c>
      <c r="DAZ26" t="s">
        <v>6984</v>
      </c>
      <c r="DBA26" t="s">
        <v>6984</v>
      </c>
      <c r="DBB26" t="s">
        <v>6984</v>
      </c>
      <c r="DBC26" t="s">
        <v>6984</v>
      </c>
      <c r="DBD26" t="s">
        <v>6984</v>
      </c>
      <c r="DBE26" t="s">
        <v>6984</v>
      </c>
      <c r="DBF26" t="s">
        <v>6984</v>
      </c>
      <c r="DBG26" t="s">
        <v>6984</v>
      </c>
      <c r="DBH26" t="s">
        <v>6984</v>
      </c>
      <c r="DBI26" t="s">
        <v>6984</v>
      </c>
      <c r="DBJ26" t="s">
        <v>6984</v>
      </c>
      <c r="DBK26" t="s">
        <v>6984</v>
      </c>
      <c r="DBL26" t="s">
        <v>6984</v>
      </c>
      <c r="DBM26" t="s">
        <v>6984</v>
      </c>
      <c r="DBN26" t="s">
        <v>6984</v>
      </c>
      <c r="DBO26" t="s">
        <v>6984</v>
      </c>
      <c r="DBP26" t="s">
        <v>6984</v>
      </c>
      <c r="DBQ26" t="s">
        <v>6984</v>
      </c>
      <c r="DBR26" t="s">
        <v>6984</v>
      </c>
      <c r="DBS26" t="s">
        <v>6984</v>
      </c>
      <c r="DBT26" t="s">
        <v>6984</v>
      </c>
      <c r="DBU26" t="s">
        <v>6984</v>
      </c>
      <c r="DBV26" t="s">
        <v>6984</v>
      </c>
      <c r="DBW26" t="s">
        <v>6984</v>
      </c>
      <c r="DBX26" t="s">
        <v>6984</v>
      </c>
      <c r="DBY26" t="s">
        <v>6984</v>
      </c>
      <c r="DBZ26" t="s">
        <v>6984</v>
      </c>
      <c r="DCA26" t="s">
        <v>6984</v>
      </c>
      <c r="DCB26" t="s">
        <v>6984</v>
      </c>
      <c r="DCC26" t="s">
        <v>6984</v>
      </c>
      <c r="DCD26" t="s">
        <v>6984</v>
      </c>
      <c r="DCE26" t="s">
        <v>6984</v>
      </c>
      <c r="DCF26" t="s">
        <v>6984</v>
      </c>
      <c r="DCG26" t="s">
        <v>6984</v>
      </c>
      <c r="DCH26" t="s">
        <v>6984</v>
      </c>
      <c r="DCI26" t="s">
        <v>6984</v>
      </c>
      <c r="DCJ26" t="s">
        <v>6984</v>
      </c>
      <c r="DCK26" t="s">
        <v>6984</v>
      </c>
      <c r="DCL26" t="s">
        <v>6984</v>
      </c>
      <c r="DCM26" t="s">
        <v>6984</v>
      </c>
      <c r="DCN26" t="s">
        <v>6984</v>
      </c>
      <c r="DCO26" t="s">
        <v>6984</v>
      </c>
      <c r="DCP26" t="s">
        <v>6984</v>
      </c>
      <c r="DCQ26" t="s">
        <v>6984</v>
      </c>
      <c r="DCR26" t="s">
        <v>6984</v>
      </c>
      <c r="DCS26" t="s">
        <v>6984</v>
      </c>
      <c r="DCT26" t="s">
        <v>6984</v>
      </c>
      <c r="DCU26" t="s">
        <v>6984</v>
      </c>
      <c r="DCV26" t="s">
        <v>6984</v>
      </c>
      <c r="DCW26" t="s">
        <v>6984</v>
      </c>
      <c r="DCX26" t="s">
        <v>6984</v>
      </c>
      <c r="DCY26" t="s">
        <v>6984</v>
      </c>
      <c r="DCZ26" t="s">
        <v>6984</v>
      </c>
      <c r="DDA26" t="s">
        <v>6984</v>
      </c>
      <c r="DDB26" t="s">
        <v>6984</v>
      </c>
      <c r="DDC26" t="s">
        <v>6984</v>
      </c>
      <c r="DDD26" t="s">
        <v>6984</v>
      </c>
      <c r="DDE26" t="s">
        <v>6984</v>
      </c>
      <c r="DDF26" t="s">
        <v>6984</v>
      </c>
      <c r="DDG26" t="s">
        <v>6984</v>
      </c>
      <c r="DDH26" t="s">
        <v>6984</v>
      </c>
      <c r="DDI26" t="s">
        <v>6984</v>
      </c>
      <c r="DDJ26" t="s">
        <v>6984</v>
      </c>
      <c r="DDK26" t="s">
        <v>6984</v>
      </c>
      <c r="DDL26" t="s">
        <v>6984</v>
      </c>
      <c r="DDM26" t="s">
        <v>6984</v>
      </c>
      <c r="DDN26" t="s">
        <v>6984</v>
      </c>
      <c r="DDO26" t="s">
        <v>6984</v>
      </c>
      <c r="DDP26" t="s">
        <v>6984</v>
      </c>
      <c r="DDQ26" t="s">
        <v>6984</v>
      </c>
      <c r="DDR26" t="s">
        <v>6984</v>
      </c>
      <c r="DDS26" t="s">
        <v>6984</v>
      </c>
      <c r="DDT26" t="s">
        <v>6984</v>
      </c>
      <c r="DDU26" t="s">
        <v>6984</v>
      </c>
      <c r="DDV26" t="s">
        <v>6984</v>
      </c>
      <c r="DDW26" t="s">
        <v>6984</v>
      </c>
      <c r="DDX26" t="s">
        <v>6984</v>
      </c>
      <c r="DDY26" t="s">
        <v>6984</v>
      </c>
      <c r="DDZ26" t="s">
        <v>6984</v>
      </c>
      <c r="DEA26" t="s">
        <v>6984</v>
      </c>
      <c r="DEB26" t="s">
        <v>6984</v>
      </c>
      <c r="DEC26" t="s">
        <v>6984</v>
      </c>
      <c r="DED26" t="s">
        <v>6984</v>
      </c>
      <c r="DEE26" t="s">
        <v>6984</v>
      </c>
      <c r="DEF26" t="s">
        <v>6984</v>
      </c>
      <c r="DEG26" t="s">
        <v>6984</v>
      </c>
      <c r="DEH26" t="s">
        <v>6984</v>
      </c>
      <c r="DEI26" t="s">
        <v>6984</v>
      </c>
      <c r="DEJ26" t="s">
        <v>6984</v>
      </c>
      <c r="DEK26" t="s">
        <v>6984</v>
      </c>
      <c r="DEL26" t="s">
        <v>6984</v>
      </c>
      <c r="DEM26" t="s">
        <v>6984</v>
      </c>
      <c r="DEN26" t="s">
        <v>6984</v>
      </c>
      <c r="DEO26" t="s">
        <v>6984</v>
      </c>
      <c r="DEP26" t="s">
        <v>6984</v>
      </c>
      <c r="DEQ26" t="s">
        <v>6984</v>
      </c>
      <c r="DER26" t="s">
        <v>6984</v>
      </c>
      <c r="DES26" t="s">
        <v>6984</v>
      </c>
      <c r="DET26" t="s">
        <v>6984</v>
      </c>
      <c r="DEU26" t="s">
        <v>6984</v>
      </c>
      <c r="DEV26" t="s">
        <v>6984</v>
      </c>
      <c r="DEW26" t="s">
        <v>6984</v>
      </c>
      <c r="DEX26" t="s">
        <v>6984</v>
      </c>
      <c r="DEY26" t="s">
        <v>6984</v>
      </c>
      <c r="DEZ26" t="s">
        <v>6984</v>
      </c>
      <c r="DFA26" t="s">
        <v>6984</v>
      </c>
      <c r="DFB26" t="s">
        <v>6984</v>
      </c>
      <c r="DFC26" t="s">
        <v>6984</v>
      </c>
      <c r="DFD26" t="s">
        <v>6984</v>
      </c>
      <c r="DFE26" t="s">
        <v>6984</v>
      </c>
      <c r="DFF26" t="s">
        <v>6984</v>
      </c>
      <c r="DFG26" t="s">
        <v>6984</v>
      </c>
      <c r="DFH26" t="s">
        <v>6984</v>
      </c>
      <c r="DFI26" t="s">
        <v>6984</v>
      </c>
      <c r="DFJ26" t="s">
        <v>6984</v>
      </c>
      <c r="DFK26" t="s">
        <v>6984</v>
      </c>
      <c r="DFL26" t="s">
        <v>6984</v>
      </c>
      <c r="DFM26" t="s">
        <v>6984</v>
      </c>
      <c r="DFN26" t="s">
        <v>6984</v>
      </c>
      <c r="DFO26" t="s">
        <v>6984</v>
      </c>
      <c r="DFP26" t="s">
        <v>6984</v>
      </c>
      <c r="DFQ26" t="s">
        <v>6984</v>
      </c>
      <c r="DFR26" t="s">
        <v>6984</v>
      </c>
      <c r="DFS26" t="s">
        <v>6984</v>
      </c>
      <c r="DFT26" t="s">
        <v>6984</v>
      </c>
      <c r="DFU26" t="s">
        <v>6984</v>
      </c>
      <c r="DFV26" t="s">
        <v>6984</v>
      </c>
      <c r="DFW26" t="s">
        <v>6984</v>
      </c>
      <c r="DFX26" t="s">
        <v>6984</v>
      </c>
      <c r="DFY26" t="s">
        <v>6984</v>
      </c>
      <c r="DFZ26" t="s">
        <v>6984</v>
      </c>
      <c r="DGA26" t="s">
        <v>6984</v>
      </c>
      <c r="DGB26" t="s">
        <v>6984</v>
      </c>
      <c r="DGC26" t="s">
        <v>6984</v>
      </c>
      <c r="DGD26" t="s">
        <v>6984</v>
      </c>
      <c r="DGE26" t="s">
        <v>6984</v>
      </c>
      <c r="DGF26" t="s">
        <v>6984</v>
      </c>
      <c r="DGG26" t="s">
        <v>6984</v>
      </c>
      <c r="DGH26" t="s">
        <v>6984</v>
      </c>
      <c r="DGI26" t="s">
        <v>6984</v>
      </c>
      <c r="DGJ26" t="s">
        <v>6984</v>
      </c>
      <c r="DGK26" t="s">
        <v>6984</v>
      </c>
      <c r="DGL26" t="s">
        <v>6984</v>
      </c>
      <c r="DGM26" t="s">
        <v>6984</v>
      </c>
      <c r="DGN26" t="s">
        <v>6984</v>
      </c>
      <c r="DGO26" t="s">
        <v>6984</v>
      </c>
      <c r="DGP26" t="s">
        <v>6984</v>
      </c>
      <c r="DGQ26" t="s">
        <v>6984</v>
      </c>
      <c r="DGR26" t="s">
        <v>6984</v>
      </c>
      <c r="DGS26" t="s">
        <v>6984</v>
      </c>
      <c r="DGT26" t="s">
        <v>6984</v>
      </c>
      <c r="DGU26" t="s">
        <v>6984</v>
      </c>
      <c r="DGV26" t="s">
        <v>6984</v>
      </c>
      <c r="DGW26" t="s">
        <v>6984</v>
      </c>
      <c r="DGX26" t="s">
        <v>6984</v>
      </c>
      <c r="DGY26" t="s">
        <v>6984</v>
      </c>
      <c r="DGZ26" t="s">
        <v>6984</v>
      </c>
      <c r="DHA26" t="s">
        <v>6984</v>
      </c>
      <c r="DHB26" t="s">
        <v>6984</v>
      </c>
      <c r="DHC26" t="s">
        <v>6984</v>
      </c>
      <c r="DHD26" t="s">
        <v>6984</v>
      </c>
      <c r="DHE26" t="s">
        <v>6984</v>
      </c>
      <c r="DHF26" t="s">
        <v>6984</v>
      </c>
      <c r="DHG26" t="s">
        <v>6984</v>
      </c>
      <c r="DHH26" t="s">
        <v>6984</v>
      </c>
      <c r="DHI26" t="s">
        <v>6984</v>
      </c>
      <c r="DHJ26" t="s">
        <v>6984</v>
      </c>
      <c r="DHK26" t="s">
        <v>6984</v>
      </c>
      <c r="DHL26" t="s">
        <v>6984</v>
      </c>
      <c r="DHM26" t="s">
        <v>6984</v>
      </c>
      <c r="DHN26" t="s">
        <v>6984</v>
      </c>
      <c r="DHO26" t="s">
        <v>6984</v>
      </c>
      <c r="DHP26" t="s">
        <v>6984</v>
      </c>
      <c r="DHQ26" t="s">
        <v>6984</v>
      </c>
      <c r="DHR26" t="s">
        <v>6984</v>
      </c>
      <c r="DHS26" t="s">
        <v>6984</v>
      </c>
      <c r="DHT26" t="s">
        <v>6984</v>
      </c>
      <c r="DHU26" t="s">
        <v>6984</v>
      </c>
      <c r="DHV26" t="s">
        <v>6984</v>
      </c>
      <c r="DHW26" t="s">
        <v>6984</v>
      </c>
      <c r="DHX26" t="s">
        <v>6984</v>
      </c>
      <c r="DHY26" t="s">
        <v>6984</v>
      </c>
      <c r="DHZ26" t="s">
        <v>6984</v>
      </c>
      <c r="DIA26" t="s">
        <v>6984</v>
      </c>
      <c r="DIB26" t="s">
        <v>6984</v>
      </c>
      <c r="DIC26" t="s">
        <v>6984</v>
      </c>
      <c r="DID26" t="s">
        <v>6984</v>
      </c>
      <c r="DIE26" t="s">
        <v>6984</v>
      </c>
      <c r="DIF26" t="s">
        <v>6984</v>
      </c>
      <c r="DIG26" t="s">
        <v>6984</v>
      </c>
      <c r="DIH26" t="s">
        <v>6984</v>
      </c>
      <c r="DII26" t="s">
        <v>6984</v>
      </c>
      <c r="DIJ26" t="s">
        <v>6984</v>
      </c>
      <c r="DIK26" t="s">
        <v>6984</v>
      </c>
      <c r="DIL26" t="s">
        <v>6984</v>
      </c>
      <c r="DIM26" t="s">
        <v>6984</v>
      </c>
      <c r="DIN26" t="s">
        <v>6984</v>
      </c>
      <c r="DIO26" t="s">
        <v>6984</v>
      </c>
      <c r="DIP26" t="s">
        <v>6984</v>
      </c>
      <c r="DIQ26" t="s">
        <v>6984</v>
      </c>
      <c r="DIR26" t="s">
        <v>6984</v>
      </c>
      <c r="DIS26" t="s">
        <v>6984</v>
      </c>
      <c r="DIT26" t="s">
        <v>6984</v>
      </c>
      <c r="DIU26" t="s">
        <v>6984</v>
      </c>
      <c r="DIV26" t="s">
        <v>6984</v>
      </c>
      <c r="DIW26" t="s">
        <v>6984</v>
      </c>
      <c r="DIX26" t="s">
        <v>6984</v>
      </c>
      <c r="DIY26" t="s">
        <v>6984</v>
      </c>
      <c r="DIZ26" t="s">
        <v>6984</v>
      </c>
      <c r="DJA26" t="s">
        <v>6984</v>
      </c>
      <c r="DJB26" t="s">
        <v>6984</v>
      </c>
      <c r="DJC26" t="s">
        <v>6984</v>
      </c>
      <c r="DJD26" t="s">
        <v>6984</v>
      </c>
      <c r="DJE26" t="s">
        <v>6984</v>
      </c>
      <c r="DJF26" t="s">
        <v>6984</v>
      </c>
      <c r="DJG26" t="s">
        <v>6984</v>
      </c>
      <c r="DJH26" t="s">
        <v>6984</v>
      </c>
      <c r="DJI26" t="s">
        <v>6984</v>
      </c>
      <c r="DJJ26" t="s">
        <v>6984</v>
      </c>
      <c r="DJK26" t="s">
        <v>6984</v>
      </c>
      <c r="DJL26" t="s">
        <v>6984</v>
      </c>
      <c r="DJM26" t="s">
        <v>6984</v>
      </c>
      <c r="DJN26" t="s">
        <v>6984</v>
      </c>
      <c r="DJO26" t="s">
        <v>6984</v>
      </c>
      <c r="DJP26" t="s">
        <v>6984</v>
      </c>
      <c r="DJQ26" t="s">
        <v>6984</v>
      </c>
      <c r="DJR26" t="s">
        <v>6984</v>
      </c>
      <c r="DJS26" t="s">
        <v>6984</v>
      </c>
      <c r="DJT26" t="s">
        <v>6984</v>
      </c>
      <c r="DJU26" t="s">
        <v>6984</v>
      </c>
      <c r="DJV26" t="s">
        <v>6984</v>
      </c>
      <c r="DJW26" t="s">
        <v>6984</v>
      </c>
      <c r="DJX26" t="s">
        <v>6984</v>
      </c>
      <c r="DJY26" t="s">
        <v>6984</v>
      </c>
      <c r="DJZ26" t="s">
        <v>6984</v>
      </c>
      <c r="DKA26" t="s">
        <v>6984</v>
      </c>
      <c r="DKB26" t="s">
        <v>6984</v>
      </c>
      <c r="DKC26" t="s">
        <v>6984</v>
      </c>
      <c r="DKD26" t="s">
        <v>6984</v>
      </c>
      <c r="DKE26" t="s">
        <v>6984</v>
      </c>
      <c r="DKF26" t="s">
        <v>6984</v>
      </c>
      <c r="DKG26" t="s">
        <v>6984</v>
      </c>
      <c r="DKH26" t="s">
        <v>6984</v>
      </c>
      <c r="DKI26" t="s">
        <v>6984</v>
      </c>
      <c r="DKJ26" t="s">
        <v>6984</v>
      </c>
      <c r="DKK26" t="s">
        <v>6984</v>
      </c>
      <c r="DKL26" t="s">
        <v>6984</v>
      </c>
      <c r="DKM26" t="s">
        <v>6984</v>
      </c>
      <c r="DKN26" t="s">
        <v>6984</v>
      </c>
      <c r="DKO26" t="s">
        <v>6984</v>
      </c>
      <c r="DKP26" t="s">
        <v>6984</v>
      </c>
      <c r="DKQ26" t="s">
        <v>6984</v>
      </c>
      <c r="DKR26" t="s">
        <v>6984</v>
      </c>
      <c r="DKS26" t="s">
        <v>6984</v>
      </c>
      <c r="DKT26" t="s">
        <v>6984</v>
      </c>
      <c r="DKU26" t="s">
        <v>6984</v>
      </c>
      <c r="DKV26" t="s">
        <v>6984</v>
      </c>
      <c r="DKW26" t="s">
        <v>6984</v>
      </c>
      <c r="DKX26" t="s">
        <v>6984</v>
      </c>
      <c r="DKY26" t="s">
        <v>6984</v>
      </c>
      <c r="DKZ26" t="s">
        <v>6984</v>
      </c>
      <c r="DLA26" t="s">
        <v>6984</v>
      </c>
      <c r="DLB26" t="s">
        <v>6984</v>
      </c>
      <c r="DLC26" t="s">
        <v>6984</v>
      </c>
      <c r="DLD26" t="s">
        <v>6984</v>
      </c>
      <c r="DLE26" t="s">
        <v>6984</v>
      </c>
      <c r="DLF26" t="s">
        <v>6984</v>
      </c>
      <c r="DLG26" t="s">
        <v>6984</v>
      </c>
      <c r="DLH26" t="s">
        <v>6984</v>
      </c>
      <c r="DLI26" t="s">
        <v>6984</v>
      </c>
      <c r="DLJ26" t="s">
        <v>6984</v>
      </c>
      <c r="DLK26" t="s">
        <v>6984</v>
      </c>
      <c r="DLL26" t="s">
        <v>6984</v>
      </c>
      <c r="DLM26" t="s">
        <v>6984</v>
      </c>
      <c r="DLN26" t="s">
        <v>6984</v>
      </c>
      <c r="DLO26" t="s">
        <v>6984</v>
      </c>
      <c r="DLP26" t="s">
        <v>6984</v>
      </c>
      <c r="DLQ26" t="s">
        <v>6984</v>
      </c>
      <c r="DLR26" t="s">
        <v>6984</v>
      </c>
      <c r="DLS26" t="s">
        <v>6984</v>
      </c>
      <c r="DLT26" t="s">
        <v>6984</v>
      </c>
      <c r="DLU26" t="s">
        <v>6984</v>
      </c>
      <c r="DLV26" t="s">
        <v>6984</v>
      </c>
      <c r="DLW26" t="s">
        <v>6984</v>
      </c>
      <c r="DLX26" t="s">
        <v>6984</v>
      </c>
      <c r="DLY26" t="s">
        <v>6984</v>
      </c>
      <c r="DLZ26" t="s">
        <v>6984</v>
      </c>
      <c r="DMA26" t="s">
        <v>6984</v>
      </c>
      <c r="DMB26" t="s">
        <v>6984</v>
      </c>
      <c r="DMC26" t="s">
        <v>6984</v>
      </c>
      <c r="DMD26" t="s">
        <v>6984</v>
      </c>
      <c r="DME26" t="s">
        <v>6984</v>
      </c>
      <c r="DMF26" t="s">
        <v>6984</v>
      </c>
      <c r="DMG26" t="s">
        <v>6984</v>
      </c>
      <c r="DMH26" t="s">
        <v>6984</v>
      </c>
      <c r="DMI26" t="s">
        <v>6984</v>
      </c>
      <c r="DMJ26" t="s">
        <v>6984</v>
      </c>
      <c r="DMK26" t="s">
        <v>6984</v>
      </c>
      <c r="DML26" t="s">
        <v>6984</v>
      </c>
      <c r="DMM26" t="s">
        <v>6984</v>
      </c>
      <c r="DMN26" t="s">
        <v>6984</v>
      </c>
      <c r="DMO26" t="s">
        <v>6984</v>
      </c>
      <c r="DMP26" t="s">
        <v>6984</v>
      </c>
      <c r="DMQ26" t="s">
        <v>6984</v>
      </c>
      <c r="DMR26" t="s">
        <v>6984</v>
      </c>
      <c r="DMS26" t="s">
        <v>6984</v>
      </c>
      <c r="DMT26" t="s">
        <v>6984</v>
      </c>
      <c r="DMU26" t="s">
        <v>6984</v>
      </c>
      <c r="DMV26" t="s">
        <v>6984</v>
      </c>
      <c r="DMW26" t="s">
        <v>6984</v>
      </c>
      <c r="DMX26" t="s">
        <v>6984</v>
      </c>
      <c r="DMY26" t="s">
        <v>6984</v>
      </c>
      <c r="DMZ26" t="s">
        <v>6984</v>
      </c>
      <c r="DNA26" t="s">
        <v>6984</v>
      </c>
      <c r="DNB26" t="s">
        <v>6984</v>
      </c>
      <c r="DNC26" t="s">
        <v>6984</v>
      </c>
      <c r="DND26" t="s">
        <v>6984</v>
      </c>
      <c r="DNE26" t="s">
        <v>6984</v>
      </c>
      <c r="DNF26" t="s">
        <v>6984</v>
      </c>
      <c r="DNG26" t="s">
        <v>6984</v>
      </c>
      <c r="DNH26" t="s">
        <v>6984</v>
      </c>
      <c r="DNI26" t="s">
        <v>6984</v>
      </c>
      <c r="DNJ26" t="s">
        <v>6984</v>
      </c>
      <c r="DNK26" t="s">
        <v>6984</v>
      </c>
      <c r="DNL26" t="s">
        <v>6984</v>
      </c>
      <c r="DNM26" t="s">
        <v>6984</v>
      </c>
      <c r="DNN26" t="s">
        <v>6984</v>
      </c>
      <c r="DNO26" t="s">
        <v>6984</v>
      </c>
      <c r="DNP26" t="s">
        <v>6984</v>
      </c>
      <c r="DNQ26" t="s">
        <v>6984</v>
      </c>
      <c r="DNR26" t="s">
        <v>6984</v>
      </c>
      <c r="DNS26" t="s">
        <v>6984</v>
      </c>
      <c r="DNT26" t="s">
        <v>6984</v>
      </c>
      <c r="DNU26" t="s">
        <v>6984</v>
      </c>
      <c r="DNV26" t="s">
        <v>6984</v>
      </c>
      <c r="DNW26" t="s">
        <v>6984</v>
      </c>
      <c r="DNX26" t="s">
        <v>6984</v>
      </c>
      <c r="DNY26" t="s">
        <v>6984</v>
      </c>
      <c r="DNZ26" t="s">
        <v>6984</v>
      </c>
      <c r="DOA26" t="s">
        <v>6984</v>
      </c>
      <c r="DOB26" t="s">
        <v>6984</v>
      </c>
      <c r="DOC26" t="s">
        <v>6984</v>
      </c>
      <c r="DOD26" t="s">
        <v>6984</v>
      </c>
      <c r="DOE26" t="s">
        <v>6984</v>
      </c>
      <c r="DOF26" t="s">
        <v>6984</v>
      </c>
      <c r="DOG26" t="s">
        <v>6984</v>
      </c>
      <c r="DOH26" t="s">
        <v>6984</v>
      </c>
      <c r="DOI26" t="s">
        <v>6984</v>
      </c>
      <c r="DOJ26" t="s">
        <v>6984</v>
      </c>
      <c r="DOK26" t="s">
        <v>6984</v>
      </c>
      <c r="DOL26" t="s">
        <v>6984</v>
      </c>
      <c r="DOM26" t="s">
        <v>6984</v>
      </c>
      <c r="DON26" t="s">
        <v>6984</v>
      </c>
      <c r="DOO26" t="s">
        <v>6984</v>
      </c>
      <c r="DOP26" t="s">
        <v>6984</v>
      </c>
      <c r="DOQ26" t="s">
        <v>6984</v>
      </c>
      <c r="DOR26" t="s">
        <v>6984</v>
      </c>
      <c r="DOS26" t="s">
        <v>6984</v>
      </c>
      <c r="DOT26" t="s">
        <v>6984</v>
      </c>
      <c r="DOU26" t="s">
        <v>6984</v>
      </c>
      <c r="DOV26" t="s">
        <v>6984</v>
      </c>
      <c r="DOW26" t="s">
        <v>6984</v>
      </c>
      <c r="DOX26" t="s">
        <v>6984</v>
      </c>
      <c r="DOY26" t="s">
        <v>6984</v>
      </c>
      <c r="DOZ26" t="s">
        <v>6984</v>
      </c>
      <c r="DPA26" t="s">
        <v>6984</v>
      </c>
      <c r="DPB26" t="s">
        <v>6984</v>
      </c>
      <c r="DPC26" t="s">
        <v>6984</v>
      </c>
      <c r="DPD26" t="s">
        <v>6984</v>
      </c>
      <c r="DPE26" t="s">
        <v>6984</v>
      </c>
      <c r="DPF26" t="s">
        <v>6984</v>
      </c>
      <c r="DPG26" t="s">
        <v>6984</v>
      </c>
      <c r="DPH26" t="s">
        <v>6984</v>
      </c>
      <c r="DPI26" t="s">
        <v>6984</v>
      </c>
      <c r="DPJ26" t="s">
        <v>6984</v>
      </c>
      <c r="DPK26" t="s">
        <v>6984</v>
      </c>
      <c r="DPL26" t="s">
        <v>6984</v>
      </c>
      <c r="DPM26" t="s">
        <v>6984</v>
      </c>
      <c r="DPN26" t="s">
        <v>6984</v>
      </c>
      <c r="DPO26" t="s">
        <v>6984</v>
      </c>
      <c r="DPP26" t="s">
        <v>6984</v>
      </c>
      <c r="DPQ26" t="s">
        <v>6984</v>
      </c>
      <c r="DPR26" t="s">
        <v>6984</v>
      </c>
      <c r="DPS26" t="s">
        <v>6984</v>
      </c>
      <c r="DPT26" t="s">
        <v>6984</v>
      </c>
      <c r="DPU26" t="s">
        <v>6984</v>
      </c>
      <c r="DPV26" t="s">
        <v>6984</v>
      </c>
      <c r="DPW26" t="s">
        <v>6984</v>
      </c>
      <c r="DPX26" t="s">
        <v>6984</v>
      </c>
      <c r="DPY26" t="s">
        <v>6984</v>
      </c>
      <c r="DPZ26" t="s">
        <v>6984</v>
      </c>
      <c r="DQA26" t="s">
        <v>6984</v>
      </c>
      <c r="DQB26" t="s">
        <v>6984</v>
      </c>
      <c r="DQC26" t="s">
        <v>6984</v>
      </c>
      <c r="DQD26" t="s">
        <v>6984</v>
      </c>
      <c r="DQE26" t="s">
        <v>6984</v>
      </c>
      <c r="DQF26" t="s">
        <v>6984</v>
      </c>
      <c r="DQG26" t="s">
        <v>6984</v>
      </c>
      <c r="DQH26" t="s">
        <v>6984</v>
      </c>
      <c r="DQI26" t="s">
        <v>6984</v>
      </c>
      <c r="DQJ26" t="s">
        <v>6984</v>
      </c>
      <c r="DQK26" t="s">
        <v>6984</v>
      </c>
      <c r="DQL26" t="s">
        <v>6984</v>
      </c>
      <c r="DQM26" t="s">
        <v>6984</v>
      </c>
      <c r="DQN26" t="s">
        <v>6984</v>
      </c>
      <c r="DQO26" t="s">
        <v>6984</v>
      </c>
      <c r="DQP26" t="s">
        <v>6984</v>
      </c>
      <c r="DQQ26" t="s">
        <v>6984</v>
      </c>
      <c r="DQR26" t="s">
        <v>6984</v>
      </c>
      <c r="DQS26" t="s">
        <v>6984</v>
      </c>
      <c r="DQT26" t="s">
        <v>6984</v>
      </c>
      <c r="DQU26" t="s">
        <v>6984</v>
      </c>
      <c r="DQV26" t="s">
        <v>6984</v>
      </c>
      <c r="DQW26" t="s">
        <v>6984</v>
      </c>
      <c r="DQX26" t="s">
        <v>6984</v>
      </c>
      <c r="DQY26" t="s">
        <v>6984</v>
      </c>
      <c r="DQZ26" t="s">
        <v>6984</v>
      </c>
      <c r="DRA26" t="s">
        <v>6984</v>
      </c>
      <c r="DRB26" t="s">
        <v>6984</v>
      </c>
      <c r="DRC26" t="s">
        <v>6984</v>
      </c>
      <c r="DRD26" t="s">
        <v>6984</v>
      </c>
      <c r="DRE26" t="s">
        <v>6984</v>
      </c>
      <c r="DRF26" t="s">
        <v>6984</v>
      </c>
      <c r="DRG26" t="s">
        <v>6984</v>
      </c>
      <c r="DRH26" t="s">
        <v>6984</v>
      </c>
      <c r="DRI26" t="s">
        <v>6984</v>
      </c>
      <c r="DRJ26" t="s">
        <v>6984</v>
      </c>
      <c r="DRK26" t="s">
        <v>6984</v>
      </c>
      <c r="DRL26" t="s">
        <v>6984</v>
      </c>
      <c r="DRM26" t="s">
        <v>6984</v>
      </c>
      <c r="DRN26" t="s">
        <v>6984</v>
      </c>
      <c r="DRO26" t="s">
        <v>6984</v>
      </c>
      <c r="DRP26" t="s">
        <v>6984</v>
      </c>
      <c r="DRQ26" t="s">
        <v>6984</v>
      </c>
      <c r="DRR26" t="s">
        <v>6984</v>
      </c>
      <c r="DRS26" t="s">
        <v>6984</v>
      </c>
      <c r="DRT26" t="s">
        <v>6984</v>
      </c>
      <c r="DRU26" t="s">
        <v>6984</v>
      </c>
      <c r="DRV26" t="s">
        <v>6984</v>
      </c>
      <c r="DRW26" t="s">
        <v>6984</v>
      </c>
      <c r="DRX26" t="s">
        <v>6984</v>
      </c>
      <c r="DRY26" t="s">
        <v>6984</v>
      </c>
      <c r="DRZ26" t="s">
        <v>6984</v>
      </c>
      <c r="DSA26" t="s">
        <v>6984</v>
      </c>
      <c r="DSB26" t="s">
        <v>6984</v>
      </c>
      <c r="DSC26" t="s">
        <v>6984</v>
      </c>
      <c r="DSD26" t="s">
        <v>6984</v>
      </c>
      <c r="DSE26" t="s">
        <v>6984</v>
      </c>
      <c r="DSF26" t="s">
        <v>6984</v>
      </c>
      <c r="DSG26" t="s">
        <v>6984</v>
      </c>
      <c r="DSH26" t="s">
        <v>6984</v>
      </c>
      <c r="DSI26" t="s">
        <v>6984</v>
      </c>
      <c r="DSJ26" t="s">
        <v>6984</v>
      </c>
      <c r="DSK26" t="s">
        <v>6984</v>
      </c>
      <c r="DSL26" t="s">
        <v>6984</v>
      </c>
      <c r="DSM26" t="s">
        <v>6984</v>
      </c>
      <c r="DSN26" t="s">
        <v>6984</v>
      </c>
      <c r="DSO26" t="s">
        <v>6984</v>
      </c>
      <c r="DSP26" t="s">
        <v>6984</v>
      </c>
      <c r="DSQ26" t="s">
        <v>6984</v>
      </c>
      <c r="DSR26" t="s">
        <v>6984</v>
      </c>
      <c r="DSS26" t="s">
        <v>6984</v>
      </c>
      <c r="DST26" t="s">
        <v>6984</v>
      </c>
      <c r="DSU26" t="s">
        <v>6984</v>
      </c>
      <c r="DSV26" t="s">
        <v>6984</v>
      </c>
      <c r="DSW26" t="s">
        <v>6984</v>
      </c>
      <c r="DSX26" t="s">
        <v>6984</v>
      </c>
      <c r="DSY26" t="s">
        <v>6984</v>
      </c>
      <c r="DSZ26" t="s">
        <v>6984</v>
      </c>
      <c r="DTA26" t="s">
        <v>6984</v>
      </c>
      <c r="DTB26" t="s">
        <v>6984</v>
      </c>
      <c r="DTC26" t="s">
        <v>6984</v>
      </c>
      <c r="DTD26" t="s">
        <v>6984</v>
      </c>
      <c r="DTE26" t="s">
        <v>6984</v>
      </c>
      <c r="DTF26" t="s">
        <v>6984</v>
      </c>
      <c r="DTG26" t="s">
        <v>6984</v>
      </c>
      <c r="DTH26" t="s">
        <v>6984</v>
      </c>
      <c r="DTI26" t="s">
        <v>6984</v>
      </c>
      <c r="DTJ26" t="s">
        <v>6984</v>
      </c>
      <c r="DTK26" t="s">
        <v>6984</v>
      </c>
      <c r="DTL26" t="s">
        <v>6984</v>
      </c>
      <c r="DTM26" t="s">
        <v>6984</v>
      </c>
      <c r="DTN26" t="s">
        <v>6984</v>
      </c>
      <c r="DTO26" t="s">
        <v>6984</v>
      </c>
      <c r="DTP26" t="s">
        <v>6984</v>
      </c>
      <c r="DTQ26" t="s">
        <v>6984</v>
      </c>
      <c r="DTR26" t="s">
        <v>6984</v>
      </c>
      <c r="DTS26" t="s">
        <v>6984</v>
      </c>
      <c r="DTT26" t="s">
        <v>6984</v>
      </c>
      <c r="DTU26" t="s">
        <v>6984</v>
      </c>
      <c r="DTV26" t="s">
        <v>6984</v>
      </c>
      <c r="DTW26" t="s">
        <v>6984</v>
      </c>
      <c r="DTX26" t="s">
        <v>6984</v>
      </c>
      <c r="DTY26" t="s">
        <v>6984</v>
      </c>
      <c r="DTZ26" t="s">
        <v>6984</v>
      </c>
      <c r="DUA26" t="s">
        <v>6984</v>
      </c>
      <c r="DUB26" t="s">
        <v>6984</v>
      </c>
      <c r="DUC26" t="s">
        <v>6984</v>
      </c>
      <c r="DUD26" t="s">
        <v>6984</v>
      </c>
      <c r="DUE26" t="s">
        <v>6984</v>
      </c>
      <c r="DUF26" t="s">
        <v>6984</v>
      </c>
      <c r="DUG26" t="s">
        <v>6984</v>
      </c>
      <c r="DUH26" t="s">
        <v>6984</v>
      </c>
      <c r="DUI26" t="s">
        <v>6984</v>
      </c>
      <c r="DUJ26" t="s">
        <v>6984</v>
      </c>
      <c r="DUK26" t="s">
        <v>6984</v>
      </c>
      <c r="DUL26" t="s">
        <v>6984</v>
      </c>
      <c r="DUM26" t="s">
        <v>6984</v>
      </c>
      <c r="DUN26" t="s">
        <v>6984</v>
      </c>
      <c r="DUO26" t="s">
        <v>6984</v>
      </c>
      <c r="DUP26" t="s">
        <v>6984</v>
      </c>
      <c r="DUQ26" t="s">
        <v>6984</v>
      </c>
      <c r="DUR26" t="s">
        <v>6984</v>
      </c>
      <c r="DUS26" t="s">
        <v>6984</v>
      </c>
      <c r="DUT26" t="s">
        <v>6984</v>
      </c>
      <c r="DUU26" t="s">
        <v>6984</v>
      </c>
      <c r="DUV26" t="s">
        <v>6984</v>
      </c>
      <c r="DUW26" t="s">
        <v>6984</v>
      </c>
      <c r="DUX26" t="s">
        <v>6984</v>
      </c>
      <c r="DUY26" t="s">
        <v>6984</v>
      </c>
      <c r="DUZ26" t="s">
        <v>6984</v>
      </c>
      <c r="DVA26" t="s">
        <v>6984</v>
      </c>
      <c r="DVB26" t="s">
        <v>6984</v>
      </c>
      <c r="DVC26" t="s">
        <v>6984</v>
      </c>
      <c r="DVD26" t="s">
        <v>6984</v>
      </c>
      <c r="DVE26" t="s">
        <v>6984</v>
      </c>
      <c r="DVF26" t="s">
        <v>6984</v>
      </c>
      <c r="DVG26" t="s">
        <v>6984</v>
      </c>
      <c r="DVH26" t="s">
        <v>6984</v>
      </c>
      <c r="DVI26" t="s">
        <v>6984</v>
      </c>
      <c r="DVJ26" t="s">
        <v>6984</v>
      </c>
      <c r="DVK26" t="s">
        <v>6984</v>
      </c>
      <c r="DVL26" t="s">
        <v>6984</v>
      </c>
      <c r="DVM26" t="s">
        <v>6984</v>
      </c>
      <c r="DVN26" t="s">
        <v>6984</v>
      </c>
      <c r="DVO26" t="s">
        <v>6984</v>
      </c>
      <c r="DVP26" t="s">
        <v>6984</v>
      </c>
      <c r="DVQ26" t="s">
        <v>6984</v>
      </c>
      <c r="DVR26" t="s">
        <v>6984</v>
      </c>
      <c r="DVS26" t="s">
        <v>6984</v>
      </c>
      <c r="DVT26" t="s">
        <v>6984</v>
      </c>
      <c r="DVU26" t="s">
        <v>6984</v>
      </c>
      <c r="DVV26" t="s">
        <v>6984</v>
      </c>
      <c r="DVW26" t="s">
        <v>6984</v>
      </c>
      <c r="DVX26" t="s">
        <v>6984</v>
      </c>
      <c r="DVY26" t="s">
        <v>6984</v>
      </c>
      <c r="DVZ26" t="s">
        <v>6984</v>
      </c>
      <c r="DWA26" t="s">
        <v>6984</v>
      </c>
      <c r="DWB26" t="s">
        <v>6984</v>
      </c>
      <c r="DWC26" t="s">
        <v>6984</v>
      </c>
      <c r="DWD26" t="s">
        <v>6984</v>
      </c>
      <c r="DWE26" t="s">
        <v>6984</v>
      </c>
      <c r="DWF26" t="s">
        <v>6984</v>
      </c>
      <c r="DWG26" t="s">
        <v>6984</v>
      </c>
      <c r="DWH26" t="s">
        <v>6984</v>
      </c>
      <c r="DWI26" t="s">
        <v>6984</v>
      </c>
      <c r="DWJ26" t="s">
        <v>6984</v>
      </c>
      <c r="DWK26" t="s">
        <v>6984</v>
      </c>
      <c r="DWL26" t="s">
        <v>6984</v>
      </c>
      <c r="DWM26" t="s">
        <v>6984</v>
      </c>
      <c r="DWN26" t="s">
        <v>6984</v>
      </c>
      <c r="DWO26" t="s">
        <v>6984</v>
      </c>
      <c r="DWP26" t="s">
        <v>6984</v>
      </c>
      <c r="DWQ26" t="s">
        <v>6984</v>
      </c>
      <c r="DWR26" t="s">
        <v>6984</v>
      </c>
      <c r="DWS26" t="s">
        <v>6984</v>
      </c>
      <c r="DWT26" t="s">
        <v>6984</v>
      </c>
      <c r="DWU26" t="s">
        <v>6984</v>
      </c>
      <c r="DWV26" t="s">
        <v>6984</v>
      </c>
      <c r="DWW26" t="s">
        <v>6984</v>
      </c>
      <c r="DWX26" t="s">
        <v>6984</v>
      </c>
      <c r="DWY26" t="s">
        <v>6984</v>
      </c>
      <c r="DWZ26" t="s">
        <v>6984</v>
      </c>
      <c r="DXA26" t="s">
        <v>6984</v>
      </c>
      <c r="DXB26" t="s">
        <v>6984</v>
      </c>
      <c r="DXC26" t="s">
        <v>6984</v>
      </c>
      <c r="DXD26" t="s">
        <v>6984</v>
      </c>
      <c r="DXE26" t="s">
        <v>6984</v>
      </c>
      <c r="DXF26" t="s">
        <v>6984</v>
      </c>
      <c r="DXG26" t="s">
        <v>6984</v>
      </c>
      <c r="DXH26" t="s">
        <v>6984</v>
      </c>
      <c r="DXI26" t="s">
        <v>6984</v>
      </c>
      <c r="DXJ26" t="s">
        <v>6984</v>
      </c>
      <c r="DXK26" t="s">
        <v>6984</v>
      </c>
      <c r="DXL26" t="s">
        <v>6984</v>
      </c>
      <c r="DXM26" t="s">
        <v>6984</v>
      </c>
      <c r="DXN26" t="s">
        <v>6984</v>
      </c>
      <c r="DXO26" t="s">
        <v>6984</v>
      </c>
      <c r="DXP26" t="s">
        <v>6984</v>
      </c>
      <c r="DXQ26" t="s">
        <v>6984</v>
      </c>
      <c r="DXR26" t="s">
        <v>6984</v>
      </c>
      <c r="DXS26" t="s">
        <v>6984</v>
      </c>
      <c r="DXT26" t="s">
        <v>6984</v>
      </c>
      <c r="DXU26" t="s">
        <v>6984</v>
      </c>
      <c r="DXV26" t="s">
        <v>6984</v>
      </c>
      <c r="DXW26" t="s">
        <v>6984</v>
      </c>
      <c r="DXX26" t="s">
        <v>6984</v>
      </c>
      <c r="DXY26" t="s">
        <v>6984</v>
      </c>
      <c r="DXZ26" t="s">
        <v>6984</v>
      </c>
      <c r="DYA26" t="s">
        <v>6984</v>
      </c>
      <c r="DYB26" t="s">
        <v>6984</v>
      </c>
      <c r="DYC26" t="s">
        <v>6984</v>
      </c>
      <c r="DYD26" t="s">
        <v>6984</v>
      </c>
      <c r="DYE26" t="s">
        <v>6984</v>
      </c>
      <c r="DYF26" t="s">
        <v>6984</v>
      </c>
      <c r="DYG26" t="s">
        <v>6984</v>
      </c>
      <c r="DYH26" t="s">
        <v>6984</v>
      </c>
      <c r="DYI26" t="s">
        <v>6984</v>
      </c>
      <c r="DYJ26" t="s">
        <v>6984</v>
      </c>
      <c r="DYK26" t="s">
        <v>6984</v>
      </c>
      <c r="DYL26" t="s">
        <v>6984</v>
      </c>
      <c r="DYM26" t="s">
        <v>6984</v>
      </c>
      <c r="DYN26" t="s">
        <v>6984</v>
      </c>
      <c r="DYO26" t="s">
        <v>6984</v>
      </c>
      <c r="DYP26" t="s">
        <v>6984</v>
      </c>
      <c r="DYQ26" t="s">
        <v>6984</v>
      </c>
      <c r="DYR26" t="s">
        <v>6984</v>
      </c>
      <c r="DYS26" t="s">
        <v>6984</v>
      </c>
      <c r="DYT26" t="s">
        <v>6984</v>
      </c>
      <c r="DYU26" t="s">
        <v>6984</v>
      </c>
      <c r="DYV26" t="s">
        <v>6984</v>
      </c>
      <c r="DYW26" t="s">
        <v>6984</v>
      </c>
      <c r="DYX26" t="s">
        <v>6984</v>
      </c>
      <c r="DYY26" t="s">
        <v>6984</v>
      </c>
      <c r="DYZ26" t="s">
        <v>6984</v>
      </c>
      <c r="DZA26" t="s">
        <v>6984</v>
      </c>
      <c r="DZB26" t="s">
        <v>6984</v>
      </c>
      <c r="DZC26" t="s">
        <v>6984</v>
      </c>
      <c r="DZD26" t="s">
        <v>6984</v>
      </c>
      <c r="DZE26" t="s">
        <v>6984</v>
      </c>
      <c r="DZF26" t="s">
        <v>6984</v>
      </c>
      <c r="DZG26" t="s">
        <v>6984</v>
      </c>
      <c r="DZH26" t="s">
        <v>6984</v>
      </c>
      <c r="DZI26" t="s">
        <v>6984</v>
      </c>
      <c r="DZJ26" t="s">
        <v>6984</v>
      </c>
      <c r="DZK26" t="s">
        <v>6984</v>
      </c>
      <c r="DZL26" t="s">
        <v>6984</v>
      </c>
      <c r="DZM26" t="s">
        <v>6984</v>
      </c>
      <c r="DZN26" t="s">
        <v>6984</v>
      </c>
      <c r="DZO26" t="s">
        <v>6984</v>
      </c>
      <c r="DZP26" t="s">
        <v>6984</v>
      </c>
      <c r="DZQ26" t="s">
        <v>6984</v>
      </c>
      <c r="DZR26" t="s">
        <v>6984</v>
      </c>
      <c r="DZS26" t="s">
        <v>6984</v>
      </c>
      <c r="DZT26" t="s">
        <v>6984</v>
      </c>
      <c r="DZU26" t="s">
        <v>6984</v>
      </c>
      <c r="DZV26" t="s">
        <v>6984</v>
      </c>
      <c r="DZW26" t="s">
        <v>6984</v>
      </c>
      <c r="DZX26" t="s">
        <v>6984</v>
      </c>
      <c r="DZY26" t="s">
        <v>6984</v>
      </c>
      <c r="DZZ26" t="s">
        <v>6984</v>
      </c>
      <c r="EAA26" t="s">
        <v>6984</v>
      </c>
      <c r="EAB26" t="s">
        <v>6984</v>
      </c>
      <c r="EAC26" t="s">
        <v>6984</v>
      </c>
      <c r="EAD26" t="s">
        <v>6984</v>
      </c>
      <c r="EAE26" t="s">
        <v>6984</v>
      </c>
      <c r="EAF26" t="s">
        <v>6984</v>
      </c>
      <c r="EAG26" t="s">
        <v>6984</v>
      </c>
      <c r="EAH26" t="s">
        <v>6984</v>
      </c>
      <c r="EAI26" t="s">
        <v>6984</v>
      </c>
      <c r="EAJ26" t="s">
        <v>6984</v>
      </c>
      <c r="EAK26" t="s">
        <v>6984</v>
      </c>
      <c r="EAL26" t="s">
        <v>6984</v>
      </c>
      <c r="EAM26" t="s">
        <v>6984</v>
      </c>
      <c r="EAN26" t="s">
        <v>6984</v>
      </c>
      <c r="EAO26" t="s">
        <v>6984</v>
      </c>
      <c r="EAP26" t="s">
        <v>6984</v>
      </c>
      <c r="EAQ26" t="s">
        <v>6984</v>
      </c>
      <c r="EAR26" t="s">
        <v>6984</v>
      </c>
      <c r="EAS26" t="s">
        <v>6984</v>
      </c>
      <c r="EAT26" t="s">
        <v>6984</v>
      </c>
      <c r="EAU26" t="s">
        <v>6984</v>
      </c>
      <c r="EAV26" t="s">
        <v>6984</v>
      </c>
      <c r="EAW26" t="s">
        <v>6984</v>
      </c>
      <c r="EAX26" t="s">
        <v>6984</v>
      </c>
      <c r="EAY26" t="s">
        <v>6984</v>
      </c>
      <c r="EAZ26" t="s">
        <v>6984</v>
      </c>
      <c r="EBA26" t="s">
        <v>6984</v>
      </c>
      <c r="EBB26" t="s">
        <v>6984</v>
      </c>
      <c r="EBC26" t="s">
        <v>6984</v>
      </c>
      <c r="EBD26" t="s">
        <v>6984</v>
      </c>
      <c r="EBE26" t="s">
        <v>6984</v>
      </c>
      <c r="EBF26" t="s">
        <v>6984</v>
      </c>
      <c r="EBG26" t="s">
        <v>6984</v>
      </c>
      <c r="EBH26" t="s">
        <v>6984</v>
      </c>
      <c r="EBI26" t="s">
        <v>6984</v>
      </c>
      <c r="EBJ26" t="s">
        <v>6984</v>
      </c>
      <c r="EBK26" t="s">
        <v>6984</v>
      </c>
      <c r="EBL26" t="s">
        <v>6984</v>
      </c>
      <c r="EBM26" t="s">
        <v>6984</v>
      </c>
      <c r="EBN26" t="s">
        <v>6984</v>
      </c>
      <c r="EBO26" t="s">
        <v>6984</v>
      </c>
      <c r="EBP26" t="s">
        <v>6984</v>
      </c>
      <c r="EBQ26" t="s">
        <v>6984</v>
      </c>
      <c r="EBR26" t="s">
        <v>6984</v>
      </c>
      <c r="EBS26" t="s">
        <v>6984</v>
      </c>
      <c r="EBT26" t="s">
        <v>6984</v>
      </c>
      <c r="EBU26" t="s">
        <v>6984</v>
      </c>
      <c r="EBV26" t="s">
        <v>6984</v>
      </c>
      <c r="EBW26" t="s">
        <v>6984</v>
      </c>
      <c r="EBX26" t="s">
        <v>6984</v>
      </c>
      <c r="EBY26" t="s">
        <v>6984</v>
      </c>
      <c r="EBZ26" t="s">
        <v>6984</v>
      </c>
      <c r="ECA26" t="s">
        <v>6984</v>
      </c>
      <c r="ECB26" t="s">
        <v>6984</v>
      </c>
      <c r="ECC26" t="s">
        <v>6984</v>
      </c>
      <c r="ECD26" t="s">
        <v>6984</v>
      </c>
      <c r="ECE26" t="s">
        <v>6984</v>
      </c>
      <c r="ECF26" t="s">
        <v>6984</v>
      </c>
      <c r="ECG26" t="s">
        <v>6984</v>
      </c>
      <c r="ECH26" t="s">
        <v>6984</v>
      </c>
      <c r="ECI26" t="s">
        <v>6984</v>
      </c>
      <c r="ECJ26" t="s">
        <v>6984</v>
      </c>
      <c r="ECK26" t="s">
        <v>6984</v>
      </c>
      <c r="ECL26" t="s">
        <v>6984</v>
      </c>
      <c r="ECM26" t="s">
        <v>6984</v>
      </c>
      <c r="ECN26" t="s">
        <v>6984</v>
      </c>
      <c r="ECO26" t="s">
        <v>6984</v>
      </c>
      <c r="ECP26" t="s">
        <v>6984</v>
      </c>
      <c r="ECQ26" t="s">
        <v>6984</v>
      </c>
      <c r="ECR26" t="s">
        <v>6984</v>
      </c>
      <c r="ECS26" t="s">
        <v>6984</v>
      </c>
      <c r="ECT26" t="s">
        <v>6984</v>
      </c>
      <c r="ECU26" t="s">
        <v>6984</v>
      </c>
      <c r="ECV26" t="s">
        <v>6984</v>
      </c>
      <c r="ECW26" t="s">
        <v>6984</v>
      </c>
      <c r="ECX26" t="s">
        <v>6984</v>
      </c>
      <c r="ECY26" t="s">
        <v>6984</v>
      </c>
      <c r="ECZ26" t="s">
        <v>6984</v>
      </c>
      <c r="EDA26" t="s">
        <v>6984</v>
      </c>
      <c r="EDB26" t="s">
        <v>6984</v>
      </c>
      <c r="EDC26" t="s">
        <v>6984</v>
      </c>
      <c r="EDD26" t="s">
        <v>6984</v>
      </c>
      <c r="EDE26" t="s">
        <v>6984</v>
      </c>
      <c r="EDF26" t="s">
        <v>6984</v>
      </c>
      <c r="EDG26" t="s">
        <v>6984</v>
      </c>
      <c r="EDH26" t="s">
        <v>6984</v>
      </c>
      <c r="EDI26" t="s">
        <v>6984</v>
      </c>
      <c r="EDJ26" t="s">
        <v>6984</v>
      </c>
      <c r="EDK26" t="s">
        <v>6984</v>
      </c>
      <c r="EDL26" t="s">
        <v>6984</v>
      </c>
      <c r="EDM26" t="s">
        <v>6984</v>
      </c>
      <c r="EDN26" t="s">
        <v>6984</v>
      </c>
      <c r="EDO26" t="s">
        <v>6984</v>
      </c>
      <c r="EDP26" t="s">
        <v>6984</v>
      </c>
      <c r="EDQ26" t="s">
        <v>6984</v>
      </c>
      <c r="EDR26" t="s">
        <v>6984</v>
      </c>
      <c r="EDS26" t="s">
        <v>6984</v>
      </c>
      <c r="EDT26" t="s">
        <v>6984</v>
      </c>
      <c r="EDU26" t="s">
        <v>6984</v>
      </c>
      <c r="EDV26" t="s">
        <v>6984</v>
      </c>
      <c r="EDW26" t="s">
        <v>6984</v>
      </c>
      <c r="EDX26" t="s">
        <v>6984</v>
      </c>
      <c r="EDY26" t="s">
        <v>6984</v>
      </c>
      <c r="EDZ26" t="s">
        <v>6984</v>
      </c>
      <c r="EEA26" t="s">
        <v>6984</v>
      </c>
      <c r="EEB26" t="s">
        <v>6984</v>
      </c>
      <c r="EEC26" t="s">
        <v>6984</v>
      </c>
      <c r="EED26" t="s">
        <v>6984</v>
      </c>
      <c r="EEE26" t="s">
        <v>6984</v>
      </c>
      <c r="EEF26" t="s">
        <v>6984</v>
      </c>
      <c r="EEG26" t="s">
        <v>6984</v>
      </c>
      <c r="EEH26" t="s">
        <v>6984</v>
      </c>
      <c r="EEI26" t="s">
        <v>6984</v>
      </c>
      <c r="EEJ26" t="s">
        <v>6984</v>
      </c>
      <c r="EEK26" t="s">
        <v>6984</v>
      </c>
      <c r="EEL26" t="s">
        <v>6984</v>
      </c>
      <c r="EEM26" t="s">
        <v>6984</v>
      </c>
      <c r="EEN26" t="s">
        <v>6984</v>
      </c>
      <c r="EEO26" t="s">
        <v>6984</v>
      </c>
      <c r="EEP26" t="s">
        <v>6984</v>
      </c>
      <c r="EEQ26" t="s">
        <v>6984</v>
      </c>
      <c r="EER26" t="s">
        <v>6984</v>
      </c>
      <c r="EES26" t="s">
        <v>6984</v>
      </c>
      <c r="EET26" t="s">
        <v>6984</v>
      </c>
      <c r="EEU26" t="s">
        <v>6984</v>
      </c>
      <c r="EEV26" t="s">
        <v>6984</v>
      </c>
      <c r="EEW26" t="s">
        <v>6984</v>
      </c>
      <c r="EEX26" t="s">
        <v>6984</v>
      </c>
      <c r="EEY26" t="s">
        <v>6984</v>
      </c>
      <c r="EEZ26" t="s">
        <v>6984</v>
      </c>
      <c r="EFA26" t="s">
        <v>6984</v>
      </c>
      <c r="EFB26" t="s">
        <v>6984</v>
      </c>
      <c r="EFC26" t="s">
        <v>6984</v>
      </c>
      <c r="EFD26" t="s">
        <v>6984</v>
      </c>
      <c r="EFE26" t="s">
        <v>6984</v>
      </c>
      <c r="EFF26" t="s">
        <v>6984</v>
      </c>
      <c r="EFG26" t="s">
        <v>6984</v>
      </c>
      <c r="EFH26" t="s">
        <v>6984</v>
      </c>
      <c r="EFI26" t="s">
        <v>6984</v>
      </c>
      <c r="EFJ26" t="s">
        <v>6984</v>
      </c>
      <c r="EFK26" t="s">
        <v>6984</v>
      </c>
      <c r="EFL26" t="s">
        <v>6984</v>
      </c>
      <c r="EFM26" t="s">
        <v>6984</v>
      </c>
      <c r="EFN26" t="s">
        <v>6984</v>
      </c>
      <c r="EFO26" t="s">
        <v>6984</v>
      </c>
      <c r="EFP26" t="s">
        <v>6984</v>
      </c>
      <c r="EFQ26" t="s">
        <v>6984</v>
      </c>
      <c r="EFR26" t="s">
        <v>6984</v>
      </c>
      <c r="EFS26" t="s">
        <v>6984</v>
      </c>
      <c r="EFT26" t="s">
        <v>6984</v>
      </c>
      <c r="EFU26" t="s">
        <v>6984</v>
      </c>
      <c r="EFV26" t="s">
        <v>6984</v>
      </c>
      <c r="EFW26" t="s">
        <v>6984</v>
      </c>
      <c r="EFX26" t="s">
        <v>6984</v>
      </c>
      <c r="EFY26" t="s">
        <v>6984</v>
      </c>
      <c r="EFZ26" t="s">
        <v>6984</v>
      </c>
      <c r="EGA26" t="s">
        <v>6984</v>
      </c>
      <c r="EGB26" t="s">
        <v>6984</v>
      </c>
      <c r="EGC26" t="s">
        <v>6984</v>
      </c>
      <c r="EGD26" t="s">
        <v>6984</v>
      </c>
      <c r="EGE26" t="s">
        <v>6984</v>
      </c>
      <c r="EGF26" t="s">
        <v>6984</v>
      </c>
      <c r="EGG26" t="s">
        <v>6984</v>
      </c>
      <c r="EGH26" t="s">
        <v>6984</v>
      </c>
      <c r="EGI26" t="s">
        <v>6984</v>
      </c>
      <c r="EGJ26" t="s">
        <v>6984</v>
      </c>
      <c r="EGK26" t="s">
        <v>6984</v>
      </c>
      <c r="EGL26" t="s">
        <v>6984</v>
      </c>
      <c r="EGM26" t="s">
        <v>6984</v>
      </c>
      <c r="EGN26" t="s">
        <v>6984</v>
      </c>
      <c r="EGO26" t="s">
        <v>6984</v>
      </c>
      <c r="EGP26" t="s">
        <v>6984</v>
      </c>
      <c r="EGQ26" t="s">
        <v>6984</v>
      </c>
      <c r="EGR26" t="s">
        <v>6984</v>
      </c>
      <c r="EGS26" t="s">
        <v>6984</v>
      </c>
      <c r="EGT26" t="s">
        <v>6984</v>
      </c>
      <c r="EGU26" t="s">
        <v>6984</v>
      </c>
      <c r="EGV26" t="s">
        <v>6984</v>
      </c>
      <c r="EGW26" t="s">
        <v>6984</v>
      </c>
      <c r="EGX26" t="s">
        <v>6984</v>
      </c>
      <c r="EGY26" t="s">
        <v>6984</v>
      </c>
      <c r="EGZ26" t="s">
        <v>6984</v>
      </c>
      <c r="EHA26" t="s">
        <v>6984</v>
      </c>
      <c r="EHB26" t="s">
        <v>6984</v>
      </c>
      <c r="EHC26" t="s">
        <v>6984</v>
      </c>
      <c r="EHD26" t="s">
        <v>6984</v>
      </c>
      <c r="EHE26" t="s">
        <v>6984</v>
      </c>
      <c r="EHF26" t="s">
        <v>6984</v>
      </c>
      <c r="EHG26" t="s">
        <v>6984</v>
      </c>
      <c r="EHH26" t="s">
        <v>6984</v>
      </c>
      <c r="EHI26" t="s">
        <v>6984</v>
      </c>
      <c r="EHJ26" t="s">
        <v>6984</v>
      </c>
      <c r="EHK26" t="s">
        <v>6984</v>
      </c>
      <c r="EHL26" t="s">
        <v>6984</v>
      </c>
      <c r="EHM26" t="s">
        <v>6984</v>
      </c>
      <c r="EHN26" t="s">
        <v>6984</v>
      </c>
      <c r="EHO26" t="s">
        <v>6984</v>
      </c>
      <c r="EHP26" t="s">
        <v>6984</v>
      </c>
      <c r="EHQ26" t="s">
        <v>6984</v>
      </c>
      <c r="EHR26" t="s">
        <v>6984</v>
      </c>
      <c r="EHS26" t="s">
        <v>6984</v>
      </c>
      <c r="EHT26" t="s">
        <v>6984</v>
      </c>
      <c r="EHU26" t="s">
        <v>6984</v>
      </c>
      <c r="EHV26" t="s">
        <v>6984</v>
      </c>
      <c r="EHW26" t="s">
        <v>6984</v>
      </c>
      <c r="EHX26" t="s">
        <v>6984</v>
      </c>
      <c r="EHY26" t="s">
        <v>6984</v>
      </c>
      <c r="EHZ26" t="s">
        <v>6984</v>
      </c>
      <c r="EIA26" t="s">
        <v>6984</v>
      </c>
      <c r="EIB26" t="s">
        <v>6984</v>
      </c>
      <c r="EIC26" t="s">
        <v>6984</v>
      </c>
      <c r="EID26" t="s">
        <v>6984</v>
      </c>
      <c r="EIE26" t="s">
        <v>6984</v>
      </c>
      <c r="EIF26" t="s">
        <v>6984</v>
      </c>
      <c r="EIG26" t="s">
        <v>6984</v>
      </c>
      <c r="EIH26" t="s">
        <v>6984</v>
      </c>
      <c r="EII26" t="s">
        <v>6984</v>
      </c>
      <c r="EIJ26" t="s">
        <v>6984</v>
      </c>
      <c r="EIK26" t="s">
        <v>6984</v>
      </c>
      <c r="EIL26" t="s">
        <v>6984</v>
      </c>
      <c r="EIM26" t="s">
        <v>6984</v>
      </c>
      <c r="EIN26" t="s">
        <v>6984</v>
      </c>
      <c r="EIO26" t="s">
        <v>6984</v>
      </c>
      <c r="EIP26" t="s">
        <v>6984</v>
      </c>
      <c r="EIQ26" t="s">
        <v>6984</v>
      </c>
      <c r="EIR26" t="s">
        <v>6984</v>
      </c>
      <c r="EIS26" t="s">
        <v>6984</v>
      </c>
      <c r="EIT26" t="s">
        <v>6984</v>
      </c>
      <c r="EIU26" t="s">
        <v>6984</v>
      </c>
      <c r="EIV26" t="s">
        <v>6984</v>
      </c>
      <c r="EIW26" t="s">
        <v>6984</v>
      </c>
      <c r="EIX26" t="s">
        <v>6984</v>
      </c>
      <c r="EIY26" t="s">
        <v>6984</v>
      </c>
      <c r="EIZ26" t="s">
        <v>6984</v>
      </c>
      <c r="EJA26" t="s">
        <v>6984</v>
      </c>
      <c r="EJB26" t="s">
        <v>6984</v>
      </c>
      <c r="EJC26" t="s">
        <v>6984</v>
      </c>
      <c r="EJD26" t="s">
        <v>6984</v>
      </c>
      <c r="EJE26" t="s">
        <v>6984</v>
      </c>
      <c r="EJF26" t="s">
        <v>6984</v>
      </c>
      <c r="EJG26" t="s">
        <v>6984</v>
      </c>
      <c r="EJH26" t="s">
        <v>6984</v>
      </c>
      <c r="EJI26" t="s">
        <v>6984</v>
      </c>
      <c r="EJJ26" t="s">
        <v>6984</v>
      </c>
      <c r="EJK26" t="s">
        <v>6984</v>
      </c>
      <c r="EJL26" t="s">
        <v>6984</v>
      </c>
      <c r="EJM26" t="s">
        <v>6984</v>
      </c>
      <c r="EJN26" t="s">
        <v>6984</v>
      </c>
      <c r="EJO26" t="s">
        <v>6984</v>
      </c>
      <c r="EJP26" t="s">
        <v>6984</v>
      </c>
      <c r="EJQ26" t="s">
        <v>6984</v>
      </c>
      <c r="EJR26" t="s">
        <v>6984</v>
      </c>
      <c r="EJS26" t="s">
        <v>6984</v>
      </c>
      <c r="EJT26" t="s">
        <v>6984</v>
      </c>
      <c r="EJU26" t="s">
        <v>6984</v>
      </c>
      <c r="EJV26" t="s">
        <v>6984</v>
      </c>
      <c r="EJW26" t="s">
        <v>6984</v>
      </c>
      <c r="EJX26" t="s">
        <v>6984</v>
      </c>
      <c r="EJY26" t="s">
        <v>6984</v>
      </c>
      <c r="EJZ26" t="s">
        <v>6984</v>
      </c>
      <c r="EKA26" t="s">
        <v>6984</v>
      </c>
      <c r="EKB26" t="s">
        <v>6984</v>
      </c>
      <c r="EKC26" t="s">
        <v>6984</v>
      </c>
      <c r="EKD26" t="s">
        <v>6984</v>
      </c>
      <c r="EKE26" t="s">
        <v>6984</v>
      </c>
      <c r="EKF26" t="s">
        <v>6984</v>
      </c>
      <c r="EKG26" t="s">
        <v>6984</v>
      </c>
      <c r="EKH26" t="s">
        <v>6984</v>
      </c>
      <c r="EKI26" t="s">
        <v>6984</v>
      </c>
      <c r="EKJ26" t="s">
        <v>6984</v>
      </c>
      <c r="EKK26" t="s">
        <v>6984</v>
      </c>
      <c r="EKL26" t="s">
        <v>6984</v>
      </c>
      <c r="EKM26" t="s">
        <v>6984</v>
      </c>
      <c r="EKN26" t="s">
        <v>6984</v>
      </c>
      <c r="EKO26" t="s">
        <v>6984</v>
      </c>
      <c r="EKP26" t="s">
        <v>6984</v>
      </c>
      <c r="EKQ26" t="s">
        <v>6984</v>
      </c>
      <c r="EKR26" t="s">
        <v>6984</v>
      </c>
      <c r="EKS26" t="s">
        <v>6984</v>
      </c>
      <c r="EKT26" t="s">
        <v>6984</v>
      </c>
      <c r="EKU26" t="s">
        <v>6984</v>
      </c>
      <c r="EKV26" t="s">
        <v>6984</v>
      </c>
      <c r="EKW26" t="s">
        <v>6984</v>
      </c>
      <c r="EKX26" t="s">
        <v>6984</v>
      </c>
      <c r="EKY26" t="s">
        <v>6984</v>
      </c>
      <c r="EKZ26" t="s">
        <v>6984</v>
      </c>
      <c r="ELA26" t="s">
        <v>6984</v>
      </c>
      <c r="ELB26" t="s">
        <v>6984</v>
      </c>
      <c r="ELC26" t="s">
        <v>6984</v>
      </c>
      <c r="ELD26" t="s">
        <v>6984</v>
      </c>
      <c r="ELE26" t="s">
        <v>6984</v>
      </c>
      <c r="ELF26" t="s">
        <v>6984</v>
      </c>
      <c r="ELG26" t="s">
        <v>6984</v>
      </c>
      <c r="ELH26" t="s">
        <v>6984</v>
      </c>
      <c r="ELI26" t="s">
        <v>6984</v>
      </c>
      <c r="ELJ26" t="s">
        <v>6984</v>
      </c>
      <c r="ELK26" t="s">
        <v>6984</v>
      </c>
      <c r="ELL26" t="s">
        <v>6984</v>
      </c>
      <c r="ELM26" t="s">
        <v>6984</v>
      </c>
      <c r="ELN26" t="s">
        <v>6984</v>
      </c>
      <c r="ELO26" t="s">
        <v>6984</v>
      </c>
      <c r="ELP26" t="s">
        <v>6984</v>
      </c>
      <c r="ELQ26" t="s">
        <v>6984</v>
      </c>
      <c r="ELR26" t="s">
        <v>6984</v>
      </c>
      <c r="ELS26" t="s">
        <v>6984</v>
      </c>
      <c r="ELT26" t="s">
        <v>6984</v>
      </c>
      <c r="ELU26" t="s">
        <v>6984</v>
      </c>
      <c r="ELV26" t="s">
        <v>6984</v>
      </c>
      <c r="ELW26" t="s">
        <v>6984</v>
      </c>
      <c r="ELX26" t="s">
        <v>6984</v>
      </c>
      <c r="ELY26" t="s">
        <v>6984</v>
      </c>
      <c r="ELZ26" t="s">
        <v>6984</v>
      </c>
      <c r="EMA26" t="s">
        <v>6984</v>
      </c>
      <c r="EMB26" t="s">
        <v>6984</v>
      </c>
      <c r="EMC26" t="s">
        <v>6984</v>
      </c>
      <c r="EMD26" t="s">
        <v>6984</v>
      </c>
      <c r="EME26" t="s">
        <v>6984</v>
      </c>
      <c r="EMF26" t="s">
        <v>6984</v>
      </c>
      <c r="EMG26" t="s">
        <v>6984</v>
      </c>
      <c r="EMH26" t="s">
        <v>6984</v>
      </c>
      <c r="EMI26" t="s">
        <v>6984</v>
      </c>
      <c r="EMJ26" t="s">
        <v>6984</v>
      </c>
      <c r="EMK26" t="s">
        <v>6984</v>
      </c>
      <c r="EML26" t="s">
        <v>6984</v>
      </c>
      <c r="EMM26" t="s">
        <v>6984</v>
      </c>
      <c r="EMN26" t="s">
        <v>6984</v>
      </c>
      <c r="EMO26" t="s">
        <v>6984</v>
      </c>
      <c r="EMP26" t="s">
        <v>6984</v>
      </c>
      <c r="EMQ26" t="s">
        <v>6984</v>
      </c>
      <c r="EMR26" t="s">
        <v>6984</v>
      </c>
      <c r="EMS26" t="s">
        <v>6984</v>
      </c>
      <c r="EMT26" t="s">
        <v>6984</v>
      </c>
      <c r="EMU26" t="s">
        <v>6984</v>
      </c>
      <c r="EMV26" t="s">
        <v>6984</v>
      </c>
      <c r="EMW26" t="s">
        <v>6984</v>
      </c>
      <c r="EMX26" t="s">
        <v>6984</v>
      </c>
      <c r="EMY26" t="s">
        <v>6984</v>
      </c>
      <c r="EMZ26" t="s">
        <v>6984</v>
      </c>
      <c r="ENA26" t="s">
        <v>6984</v>
      </c>
      <c r="ENB26" t="s">
        <v>6984</v>
      </c>
      <c r="ENC26" t="s">
        <v>6984</v>
      </c>
      <c r="END26" t="s">
        <v>6984</v>
      </c>
      <c r="ENE26" t="s">
        <v>6984</v>
      </c>
      <c r="ENF26" t="s">
        <v>6984</v>
      </c>
      <c r="ENG26" t="s">
        <v>6984</v>
      </c>
      <c r="ENH26" t="s">
        <v>6984</v>
      </c>
      <c r="ENI26" t="s">
        <v>6984</v>
      </c>
      <c r="ENJ26" t="s">
        <v>6984</v>
      </c>
      <c r="ENK26" t="s">
        <v>6984</v>
      </c>
      <c r="ENL26" t="s">
        <v>6984</v>
      </c>
      <c r="ENM26" t="s">
        <v>6984</v>
      </c>
      <c r="ENN26" t="s">
        <v>6984</v>
      </c>
      <c r="ENO26" t="s">
        <v>6984</v>
      </c>
      <c r="ENP26" t="s">
        <v>6984</v>
      </c>
      <c r="ENQ26" t="s">
        <v>6984</v>
      </c>
      <c r="ENR26" t="s">
        <v>6984</v>
      </c>
      <c r="ENS26" t="s">
        <v>6984</v>
      </c>
      <c r="ENT26" t="s">
        <v>6984</v>
      </c>
      <c r="ENU26" t="s">
        <v>6984</v>
      </c>
      <c r="ENV26" t="s">
        <v>6984</v>
      </c>
      <c r="ENW26" t="s">
        <v>6984</v>
      </c>
      <c r="ENX26" t="s">
        <v>6984</v>
      </c>
      <c r="ENY26" t="s">
        <v>6984</v>
      </c>
      <c r="ENZ26" t="s">
        <v>6984</v>
      </c>
      <c r="EOA26" t="s">
        <v>6984</v>
      </c>
      <c r="EOB26" t="s">
        <v>6984</v>
      </c>
      <c r="EOC26" t="s">
        <v>6984</v>
      </c>
      <c r="EOD26" t="s">
        <v>6984</v>
      </c>
      <c r="EOE26" t="s">
        <v>6984</v>
      </c>
      <c r="EOF26" t="s">
        <v>6984</v>
      </c>
      <c r="EOG26" t="s">
        <v>6984</v>
      </c>
      <c r="EOH26" t="s">
        <v>6984</v>
      </c>
      <c r="EOI26" t="s">
        <v>6984</v>
      </c>
      <c r="EOJ26" t="s">
        <v>6984</v>
      </c>
      <c r="EOK26" t="s">
        <v>6984</v>
      </c>
      <c r="EOL26" t="s">
        <v>6984</v>
      </c>
      <c r="EOM26" t="s">
        <v>6984</v>
      </c>
      <c r="EON26" t="s">
        <v>6984</v>
      </c>
      <c r="EOO26" t="s">
        <v>6984</v>
      </c>
      <c r="EOP26" t="s">
        <v>6984</v>
      </c>
      <c r="EOQ26" t="s">
        <v>6984</v>
      </c>
      <c r="EOR26" t="s">
        <v>6984</v>
      </c>
      <c r="EOS26" t="s">
        <v>6984</v>
      </c>
      <c r="EOT26" t="s">
        <v>6984</v>
      </c>
      <c r="EOU26" t="s">
        <v>6984</v>
      </c>
      <c r="EOV26" t="s">
        <v>6984</v>
      </c>
      <c r="EOW26" t="s">
        <v>6984</v>
      </c>
      <c r="EOX26" t="s">
        <v>6984</v>
      </c>
      <c r="EOY26" t="s">
        <v>6984</v>
      </c>
      <c r="EOZ26" t="s">
        <v>6984</v>
      </c>
      <c r="EPA26" t="s">
        <v>6984</v>
      </c>
      <c r="EPB26" t="s">
        <v>6984</v>
      </c>
      <c r="EPC26" t="s">
        <v>6984</v>
      </c>
      <c r="EPD26" t="s">
        <v>6984</v>
      </c>
      <c r="EPE26" t="s">
        <v>6984</v>
      </c>
      <c r="EPF26" t="s">
        <v>6984</v>
      </c>
      <c r="EPG26" t="s">
        <v>6984</v>
      </c>
      <c r="EPH26" t="s">
        <v>6984</v>
      </c>
      <c r="EPI26" t="s">
        <v>6984</v>
      </c>
      <c r="EPJ26" t="s">
        <v>6984</v>
      </c>
      <c r="EPK26" t="s">
        <v>6984</v>
      </c>
      <c r="EPL26" t="s">
        <v>6984</v>
      </c>
      <c r="EPM26" t="s">
        <v>6984</v>
      </c>
      <c r="EPN26" t="s">
        <v>6984</v>
      </c>
      <c r="EPO26" t="s">
        <v>6984</v>
      </c>
      <c r="EPP26" t="s">
        <v>6984</v>
      </c>
      <c r="EPQ26" t="s">
        <v>6984</v>
      </c>
      <c r="EPR26" t="s">
        <v>6984</v>
      </c>
      <c r="EPS26" t="s">
        <v>6984</v>
      </c>
      <c r="EPT26" t="s">
        <v>6984</v>
      </c>
      <c r="EPU26" t="s">
        <v>6984</v>
      </c>
      <c r="EPV26" t="s">
        <v>6984</v>
      </c>
      <c r="EPW26" t="s">
        <v>6984</v>
      </c>
      <c r="EPX26" t="s">
        <v>6984</v>
      </c>
      <c r="EPY26" t="s">
        <v>6984</v>
      </c>
      <c r="EPZ26" t="s">
        <v>6984</v>
      </c>
      <c r="EQA26" t="s">
        <v>6984</v>
      </c>
      <c r="EQB26" t="s">
        <v>6984</v>
      </c>
      <c r="EQC26" t="s">
        <v>6984</v>
      </c>
      <c r="EQD26" t="s">
        <v>6984</v>
      </c>
      <c r="EQE26" t="s">
        <v>6984</v>
      </c>
      <c r="EQF26" t="s">
        <v>6984</v>
      </c>
      <c r="EQG26" t="s">
        <v>6984</v>
      </c>
      <c r="EQH26" t="s">
        <v>6984</v>
      </c>
      <c r="EQI26" t="s">
        <v>6984</v>
      </c>
      <c r="EQJ26" t="s">
        <v>6984</v>
      </c>
      <c r="EQK26" t="s">
        <v>6984</v>
      </c>
      <c r="EQL26" t="s">
        <v>6984</v>
      </c>
      <c r="EQM26" t="s">
        <v>6984</v>
      </c>
      <c r="EQN26" t="s">
        <v>6984</v>
      </c>
      <c r="EQO26" t="s">
        <v>6984</v>
      </c>
      <c r="EQP26" t="s">
        <v>6984</v>
      </c>
      <c r="EQQ26" t="s">
        <v>6984</v>
      </c>
      <c r="EQR26" t="s">
        <v>6984</v>
      </c>
      <c r="EQS26" t="s">
        <v>6984</v>
      </c>
      <c r="EQT26" t="s">
        <v>6984</v>
      </c>
      <c r="EQU26" t="s">
        <v>6984</v>
      </c>
      <c r="EQV26" t="s">
        <v>6984</v>
      </c>
      <c r="EQW26" t="s">
        <v>6984</v>
      </c>
      <c r="EQX26" t="s">
        <v>6984</v>
      </c>
      <c r="EQY26" t="s">
        <v>6984</v>
      </c>
      <c r="EQZ26" t="s">
        <v>6984</v>
      </c>
      <c r="ERA26" t="s">
        <v>6984</v>
      </c>
      <c r="ERB26" t="s">
        <v>6984</v>
      </c>
      <c r="ERC26" t="s">
        <v>6984</v>
      </c>
      <c r="ERD26" t="s">
        <v>6984</v>
      </c>
      <c r="ERE26" t="s">
        <v>6984</v>
      </c>
      <c r="ERF26" t="s">
        <v>6984</v>
      </c>
      <c r="ERG26" t="s">
        <v>6984</v>
      </c>
      <c r="ERH26" t="s">
        <v>6984</v>
      </c>
      <c r="ERI26" t="s">
        <v>6984</v>
      </c>
      <c r="ERJ26" t="s">
        <v>6984</v>
      </c>
      <c r="ERK26" t="s">
        <v>6984</v>
      </c>
      <c r="ERL26" t="s">
        <v>6984</v>
      </c>
      <c r="ERM26" t="s">
        <v>6984</v>
      </c>
      <c r="ERN26" t="s">
        <v>6984</v>
      </c>
      <c r="ERO26" t="s">
        <v>6984</v>
      </c>
      <c r="ERP26" t="s">
        <v>6984</v>
      </c>
      <c r="ERQ26" t="s">
        <v>6984</v>
      </c>
      <c r="ERR26" t="s">
        <v>6984</v>
      </c>
      <c r="ERS26" t="s">
        <v>6984</v>
      </c>
      <c r="ERT26" t="s">
        <v>6984</v>
      </c>
      <c r="ERU26" t="s">
        <v>6984</v>
      </c>
      <c r="ERV26" t="s">
        <v>6984</v>
      </c>
      <c r="ERW26" t="s">
        <v>6984</v>
      </c>
      <c r="ERX26" t="s">
        <v>6984</v>
      </c>
      <c r="ERY26" t="s">
        <v>6984</v>
      </c>
      <c r="ERZ26" t="s">
        <v>6984</v>
      </c>
      <c r="ESA26" t="s">
        <v>6984</v>
      </c>
      <c r="ESB26" t="s">
        <v>6984</v>
      </c>
      <c r="ESC26" t="s">
        <v>6984</v>
      </c>
      <c r="ESD26" t="s">
        <v>6984</v>
      </c>
      <c r="ESE26" t="s">
        <v>6984</v>
      </c>
      <c r="ESF26" t="s">
        <v>6984</v>
      </c>
      <c r="ESG26" t="s">
        <v>6984</v>
      </c>
      <c r="ESH26" t="s">
        <v>6984</v>
      </c>
      <c r="ESI26" t="s">
        <v>6984</v>
      </c>
      <c r="ESJ26" t="s">
        <v>6984</v>
      </c>
      <c r="ESK26" t="s">
        <v>6984</v>
      </c>
      <c r="ESL26" t="s">
        <v>6984</v>
      </c>
      <c r="ESM26" t="s">
        <v>6984</v>
      </c>
      <c r="ESN26" t="s">
        <v>6984</v>
      </c>
      <c r="ESO26" t="s">
        <v>6984</v>
      </c>
      <c r="ESP26" t="s">
        <v>6984</v>
      </c>
      <c r="ESQ26" t="s">
        <v>6984</v>
      </c>
      <c r="ESR26" t="s">
        <v>6984</v>
      </c>
      <c r="ESS26" t="s">
        <v>6984</v>
      </c>
      <c r="EST26" t="s">
        <v>6984</v>
      </c>
      <c r="ESU26" t="s">
        <v>6984</v>
      </c>
      <c r="ESV26" t="s">
        <v>6984</v>
      </c>
      <c r="ESW26" t="s">
        <v>6984</v>
      </c>
      <c r="ESX26" t="s">
        <v>6984</v>
      </c>
      <c r="ESY26" t="s">
        <v>6984</v>
      </c>
      <c r="ESZ26" t="s">
        <v>6984</v>
      </c>
      <c r="ETA26" t="s">
        <v>6984</v>
      </c>
      <c r="ETB26" t="s">
        <v>6984</v>
      </c>
      <c r="ETC26" t="s">
        <v>6984</v>
      </c>
      <c r="ETD26" t="s">
        <v>6984</v>
      </c>
      <c r="ETE26" t="s">
        <v>6984</v>
      </c>
      <c r="ETF26" t="s">
        <v>6984</v>
      </c>
      <c r="ETG26" t="s">
        <v>6984</v>
      </c>
      <c r="ETH26" t="s">
        <v>6984</v>
      </c>
      <c r="ETI26" t="s">
        <v>6984</v>
      </c>
      <c r="ETJ26" t="s">
        <v>6984</v>
      </c>
      <c r="ETK26" t="s">
        <v>6984</v>
      </c>
      <c r="ETL26" t="s">
        <v>6984</v>
      </c>
      <c r="ETM26" t="s">
        <v>6984</v>
      </c>
      <c r="ETN26" t="s">
        <v>6984</v>
      </c>
      <c r="ETO26" t="s">
        <v>6984</v>
      </c>
      <c r="ETP26" t="s">
        <v>6984</v>
      </c>
      <c r="ETQ26" t="s">
        <v>6984</v>
      </c>
      <c r="ETR26" t="s">
        <v>6984</v>
      </c>
      <c r="ETS26" t="s">
        <v>6984</v>
      </c>
      <c r="ETT26" t="s">
        <v>6984</v>
      </c>
      <c r="ETU26" t="s">
        <v>6984</v>
      </c>
      <c r="ETV26" t="s">
        <v>6984</v>
      </c>
      <c r="ETW26" t="s">
        <v>6984</v>
      </c>
      <c r="ETX26" t="s">
        <v>6984</v>
      </c>
      <c r="ETY26" t="s">
        <v>6984</v>
      </c>
      <c r="ETZ26" t="s">
        <v>6984</v>
      </c>
      <c r="EUA26" t="s">
        <v>6984</v>
      </c>
      <c r="EUB26" t="s">
        <v>6984</v>
      </c>
      <c r="EUC26" t="s">
        <v>6984</v>
      </c>
      <c r="EUD26" t="s">
        <v>6984</v>
      </c>
      <c r="EUE26" t="s">
        <v>6984</v>
      </c>
      <c r="EUF26" t="s">
        <v>6984</v>
      </c>
      <c r="EUG26" t="s">
        <v>6984</v>
      </c>
      <c r="EUH26" t="s">
        <v>6984</v>
      </c>
      <c r="EUI26" t="s">
        <v>6984</v>
      </c>
      <c r="EUJ26" t="s">
        <v>6984</v>
      </c>
      <c r="EUK26" t="s">
        <v>6984</v>
      </c>
      <c r="EUL26" t="s">
        <v>6984</v>
      </c>
      <c r="EUM26" t="s">
        <v>6984</v>
      </c>
      <c r="EUN26" t="s">
        <v>6984</v>
      </c>
      <c r="EUO26" t="s">
        <v>6984</v>
      </c>
      <c r="EUP26" t="s">
        <v>6984</v>
      </c>
      <c r="EUQ26" t="s">
        <v>6984</v>
      </c>
      <c r="EUR26" t="s">
        <v>6984</v>
      </c>
      <c r="EUS26" t="s">
        <v>6984</v>
      </c>
      <c r="EUT26" t="s">
        <v>6984</v>
      </c>
      <c r="EUU26" t="s">
        <v>6984</v>
      </c>
      <c r="EUV26" t="s">
        <v>6984</v>
      </c>
      <c r="EUW26" t="s">
        <v>6984</v>
      </c>
      <c r="EUX26" t="s">
        <v>6984</v>
      </c>
      <c r="EUY26" t="s">
        <v>6984</v>
      </c>
      <c r="EUZ26" t="s">
        <v>6984</v>
      </c>
      <c r="EVA26" t="s">
        <v>6984</v>
      </c>
      <c r="EVB26" t="s">
        <v>6984</v>
      </c>
      <c r="EVC26" t="s">
        <v>6984</v>
      </c>
      <c r="EVD26" t="s">
        <v>6984</v>
      </c>
      <c r="EVE26" t="s">
        <v>6984</v>
      </c>
      <c r="EVF26" t="s">
        <v>6984</v>
      </c>
      <c r="EVG26" t="s">
        <v>6984</v>
      </c>
      <c r="EVH26" t="s">
        <v>6984</v>
      </c>
      <c r="EVI26" t="s">
        <v>6984</v>
      </c>
      <c r="EVJ26" t="s">
        <v>6984</v>
      </c>
      <c r="EVK26" t="s">
        <v>6984</v>
      </c>
      <c r="EVL26" t="s">
        <v>6984</v>
      </c>
      <c r="EVM26" t="s">
        <v>6984</v>
      </c>
      <c r="EVN26" t="s">
        <v>6984</v>
      </c>
      <c r="EVO26" t="s">
        <v>6984</v>
      </c>
      <c r="EVP26" t="s">
        <v>6984</v>
      </c>
      <c r="EVQ26" t="s">
        <v>6984</v>
      </c>
      <c r="EVR26" t="s">
        <v>6984</v>
      </c>
      <c r="EVS26" t="s">
        <v>6984</v>
      </c>
      <c r="EVT26" t="s">
        <v>6984</v>
      </c>
      <c r="EVU26" t="s">
        <v>6984</v>
      </c>
      <c r="EVV26" t="s">
        <v>6984</v>
      </c>
      <c r="EVW26" t="s">
        <v>6984</v>
      </c>
      <c r="EVX26" t="s">
        <v>6984</v>
      </c>
      <c r="EVY26" t="s">
        <v>6984</v>
      </c>
      <c r="EVZ26" t="s">
        <v>6984</v>
      </c>
      <c r="EWA26" t="s">
        <v>6984</v>
      </c>
      <c r="EWB26" t="s">
        <v>6984</v>
      </c>
      <c r="EWC26" t="s">
        <v>6984</v>
      </c>
      <c r="EWD26" t="s">
        <v>6984</v>
      </c>
      <c r="EWE26" t="s">
        <v>6984</v>
      </c>
      <c r="EWF26" t="s">
        <v>6984</v>
      </c>
      <c r="EWG26" t="s">
        <v>6984</v>
      </c>
      <c r="EWH26" t="s">
        <v>6984</v>
      </c>
      <c r="EWI26" t="s">
        <v>6984</v>
      </c>
      <c r="EWJ26" t="s">
        <v>6984</v>
      </c>
      <c r="EWK26" t="s">
        <v>6984</v>
      </c>
      <c r="EWL26" t="s">
        <v>6984</v>
      </c>
      <c r="EWM26" t="s">
        <v>6984</v>
      </c>
      <c r="EWN26" t="s">
        <v>6984</v>
      </c>
      <c r="EWO26" t="s">
        <v>6984</v>
      </c>
      <c r="EWP26" t="s">
        <v>6984</v>
      </c>
      <c r="EWQ26" t="s">
        <v>6984</v>
      </c>
      <c r="EWR26" t="s">
        <v>6984</v>
      </c>
      <c r="EWS26" t="s">
        <v>6984</v>
      </c>
      <c r="EWT26" t="s">
        <v>6984</v>
      </c>
      <c r="EWU26" t="s">
        <v>6984</v>
      </c>
      <c r="EWV26" t="s">
        <v>6984</v>
      </c>
      <c r="EWW26" t="s">
        <v>6984</v>
      </c>
      <c r="EWX26" t="s">
        <v>6984</v>
      </c>
      <c r="EWY26" t="s">
        <v>6984</v>
      </c>
      <c r="EWZ26" t="s">
        <v>6984</v>
      </c>
      <c r="EXA26" t="s">
        <v>6984</v>
      </c>
      <c r="EXB26" t="s">
        <v>6984</v>
      </c>
      <c r="EXC26" t="s">
        <v>6984</v>
      </c>
      <c r="EXD26" t="s">
        <v>6984</v>
      </c>
      <c r="EXE26" t="s">
        <v>6984</v>
      </c>
      <c r="EXF26" t="s">
        <v>6984</v>
      </c>
      <c r="EXG26" t="s">
        <v>6984</v>
      </c>
      <c r="EXH26" t="s">
        <v>6984</v>
      </c>
      <c r="EXI26" t="s">
        <v>6984</v>
      </c>
      <c r="EXJ26" t="s">
        <v>6984</v>
      </c>
      <c r="EXK26" t="s">
        <v>6984</v>
      </c>
      <c r="EXL26" t="s">
        <v>6984</v>
      </c>
      <c r="EXM26" t="s">
        <v>6984</v>
      </c>
      <c r="EXN26" t="s">
        <v>6984</v>
      </c>
      <c r="EXO26" t="s">
        <v>6984</v>
      </c>
      <c r="EXP26" t="s">
        <v>6984</v>
      </c>
      <c r="EXQ26" t="s">
        <v>6984</v>
      </c>
      <c r="EXR26" t="s">
        <v>6984</v>
      </c>
      <c r="EXS26" t="s">
        <v>6984</v>
      </c>
      <c r="EXT26" t="s">
        <v>6984</v>
      </c>
      <c r="EXU26" t="s">
        <v>6984</v>
      </c>
      <c r="EXV26" t="s">
        <v>6984</v>
      </c>
      <c r="EXW26" t="s">
        <v>6984</v>
      </c>
      <c r="EXX26" t="s">
        <v>6984</v>
      </c>
      <c r="EXY26" t="s">
        <v>6984</v>
      </c>
      <c r="EXZ26" t="s">
        <v>6984</v>
      </c>
      <c r="EYA26" t="s">
        <v>6984</v>
      </c>
      <c r="EYB26" t="s">
        <v>6984</v>
      </c>
      <c r="EYC26" t="s">
        <v>6984</v>
      </c>
      <c r="EYD26" t="s">
        <v>6984</v>
      </c>
      <c r="EYE26" t="s">
        <v>6984</v>
      </c>
      <c r="EYF26" t="s">
        <v>6984</v>
      </c>
      <c r="EYG26" t="s">
        <v>6984</v>
      </c>
      <c r="EYH26" t="s">
        <v>6984</v>
      </c>
      <c r="EYI26" t="s">
        <v>6984</v>
      </c>
      <c r="EYJ26" t="s">
        <v>6984</v>
      </c>
      <c r="EYK26" t="s">
        <v>6984</v>
      </c>
      <c r="EYL26" t="s">
        <v>6984</v>
      </c>
      <c r="EYM26" t="s">
        <v>6984</v>
      </c>
      <c r="EYN26" t="s">
        <v>6984</v>
      </c>
      <c r="EYO26" t="s">
        <v>6984</v>
      </c>
      <c r="EYP26" t="s">
        <v>6984</v>
      </c>
      <c r="EYQ26" t="s">
        <v>6984</v>
      </c>
      <c r="EYR26" t="s">
        <v>6984</v>
      </c>
      <c r="EYS26" t="s">
        <v>6984</v>
      </c>
      <c r="EYT26" t="s">
        <v>6984</v>
      </c>
      <c r="EYU26" t="s">
        <v>6984</v>
      </c>
      <c r="EYV26" t="s">
        <v>6984</v>
      </c>
      <c r="EYW26" t="s">
        <v>6984</v>
      </c>
      <c r="EYX26" t="s">
        <v>6984</v>
      </c>
      <c r="EYY26" t="s">
        <v>6984</v>
      </c>
      <c r="EYZ26" t="s">
        <v>6984</v>
      </c>
      <c r="EZA26" t="s">
        <v>6984</v>
      </c>
      <c r="EZB26" t="s">
        <v>6984</v>
      </c>
      <c r="EZC26" t="s">
        <v>6984</v>
      </c>
      <c r="EZD26" t="s">
        <v>6984</v>
      </c>
      <c r="EZE26" t="s">
        <v>6984</v>
      </c>
      <c r="EZF26" t="s">
        <v>6984</v>
      </c>
      <c r="EZG26" t="s">
        <v>6984</v>
      </c>
      <c r="EZH26" t="s">
        <v>6984</v>
      </c>
      <c r="EZI26" t="s">
        <v>6984</v>
      </c>
      <c r="EZJ26" t="s">
        <v>6984</v>
      </c>
      <c r="EZK26" t="s">
        <v>6984</v>
      </c>
      <c r="EZL26" t="s">
        <v>6984</v>
      </c>
      <c r="EZM26" t="s">
        <v>6984</v>
      </c>
      <c r="EZN26" t="s">
        <v>6984</v>
      </c>
      <c r="EZO26" t="s">
        <v>6984</v>
      </c>
      <c r="EZP26" t="s">
        <v>6984</v>
      </c>
      <c r="EZQ26" t="s">
        <v>6984</v>
      </c>
      <c r="EZR26" t="s">
        <v>6984</v>
      </c>
      <c r="EZS26" t="s">
        <v>6984</v>
      </c>
      <c r="EZT26" t="s">
        <v>6984</v>
      </c>
      <c r="EZU26" t="s">
        <v>6984</v>
      </c>
      <c r="EZV26" t="s">
        <v>6984</v>
      </c>
      <c r="EZW26" t="s">
        <v>6984</v>
      </c>
      <c r="EZX26" t="s">
        <v>6984</v>
      </c>
      <c r="EZY26" t="s">
        <v>6984</v>
      </c>
      <c r="EZZ26" t="s">
        <v>6984</v>
      </c>
      <c r="FAA26" t="s">
        <v>6984</v>
      </c>
      <c r="FAB26" t="s">
        <v>6984</v>
      </c>
      <c r="FAC26" t="s">
        <v>6984</v>
      </c>
      <c r="FAD26" t="s">
        <v>6984</v>
      </c>
      <c r="FAE26" t="s">
        <v>6984</v>
      </c>
      <c r="FAF26" t="s">
        <v>6984</v>
      </c>
      <c r="FAG26" t="s">
        <v>6984</v>
      </c>
      <c r="FAH26" t="s">
        <v>6984</v>
      </c>
      <c r="FAI26" t="s">
        <v>6984</v>
      </c>
      <c r="FAJ26" t="s">
        <v>6984</v>
      </c>
      <c r="FAK26" t="s">
        <v>6984</v>
      </c>
      <c r="FAL26" t="s">
        <v>6984</v>
      </c>
      <c r="FAM26" t="s">
        <v>6984</v>
      </c>
      <c r="FAN26" t="s">
        <v>6984</v>
      </c>
      <c r="FAO26" t="s">
        <v>6984</v>
      </c>
      <c r="FAP26" t="s">
        <v>6984</v>
      </c>
      <c r="FAQ26" t="s">
        <v>6984</v>
      </c>
      <c r="FAR26" t="s">
        <v>6984</v>
      </c>
      <c r="FAS26" t="s">
        <v>6984</v>
      </c>
      <c r="FAT26" t="s">
        <v>6984</v>
      </c>
      <c r="FAU26" t="s">
        <v>6984</v>
      </c>
      <c r="FAV26" t="s">
        <v>6984</v>
      </c>
      <c r="FAW26" t="s">
        <v>6984</v>
      </c>
      <c r="FAX26" t="s">
        <v>6984</v>
      </c>
      <c r="FAY26" t="s">
        <v>6984</v>
      </c>
      <c r="FAZ26" t="s">
        <v>6984</v>
      </c>
      <c r="FBA26" t="s">
        <v>6984</v>
      </c>
      <c r="FBB26" t="s">
        <v>6984</v>
      </c>
      <c r="FBC26" t="s">
        <v>6984</v>
      </c>
      <c r="FBD26" t="s">
        <v>6984</v>
      </c>
      <c r="FBE26" t="s">
        <v>6984</v>
      </c>
      <c r="FBF26" t="s">
        <v>6984</v>
      </c>
      <c r="FBG26" t="s">
        <v>6984</v>
      </c>
      <c r="FBH26" t="s">
        <v>6984</v>
      </c>
      <c r="FBI26" t="s">
        <v>6984</v>
      </c>
      <c r="FBJ26" t="s">
        <v>6984</v>
      </c>
      <c r="FBK26" t="s">
        <v>6984</v>
      </c>
      <c r="FBL26" t="s">
        <v>6984</v>
      </c>
      <c r="FBM26" t="s">
        <v>6984</v>
      </c>
      <c r="FBN26" t="s">
        <v>6984</v>
      </c>
      <c r="FBO26" t="s">
        <v>6984</v>
      </c>
      <c r="FBP26" t="s">
        <v>6984</v>
      </c>
      <c r="FBQ26" t="s">
        <v>6984</v>
      </c>
      <c r="FBR26" t="s">
        <v>6984</v>
      </c>
      <c r="FBS26" t="s">
        <v>6984</v>
      </c>
      <c r="FBT26" t="s">
        <v>6984</v>
      </c>
      <c r="FBU26" t="s">
        <v>6984</v>
      </c>
      <c r="FBV26" t="s">
        <v>6984</v>
      </c>
      <c r="FBW26" t="s">
        <v>6984</v>
      </c>
      <c r="FBX26" t="s">
        <v>6984</v>
      </c>
      <c r="FBY26" t="s">
        <v>6984</v>
      </c>
      <c r="FBZ26" t="s">
        <v>6984</v>
      </c>
      <c r="FCA26" t="s">
        <v>6984</v>
      </c>
      <c r="FCB26" t="s">
        <v>6984</v>
      </c>
      <c r="FCC26" t="s">
        <v>6984</v>
      </c>
      <c r="FCD26" t="s">
        <v>6984</v>
      </c>
      <c r="FCE26" t="s">
        <v>6984</v>
      </c>
      <c r="FCF26" t="s">
        <v>6984</v>
      </c>
      <c r="FCG26" t="s">
        <v>6984</v>
      </c>
      <c r="FCH26" t="s">
        <v>6984</v>
      </c>
      <c r="FCI26" t="s">
        <v>6984</v>
      </c>
      <c r="FCJ26" t="s">
        <v>6984</v>
      </c>
      <c r="FCK26" t="s">
        <v>6984</v>
      </c>
      <c r="FCL26" t="s">
        <v>6984</v>
      </c>
      <c r="FCM26" t="s">
        <v>6984</v>
      </c>
      <c r="FCN26" t="s">
        <v>6984</v>
      </c>
      <c r="FCO26" t="s">
        <v>6984</v>
      </c>
      <c r="FCP26" t="s">
        <v>6984</v>
      </c>
      <c r="FCQ26" t="s">
        <v>6984</v>
      </c>
      <c r="FCR26" t="s">
        <v>6984</v>
      </c>
      <c r="FCS26" t="s">
        <v>6984</v>
      </c>
      <c r="FCT26" t="s">
        <v>6984</v>
      </c>
      <c r="FCU26" t="s">
        <v>6984</v>
      </c>
      <c r="FCV26" t="s">
        <v>6984</v>
      </c>
      <c r="FCW26" t="s">
        <v>6984</v>
      </c>
      <c r="FCX26" t="s">
        <v>6984</v>
      </c>
      <c r="FCY26" t="s">
        <v>6984</v>
      </c>
      <c r="FCZ26" t="s">
        <v>6984</v>
      </c>
      <c r="FDA26" t="s">
        <v>6984</v>
      </c>
      <c r="FDB26" t="s">
        <v>6984</v>
      </c>
      <c r="FDC26" t="s">
        <v>6984</v>
      </c>
      <c r="FDD26" t="s">
        <v>6984</v>
      </c>
      <c r="FDE26" t="s">
        <v>6984</v>
      </c>
      <c r="FDF26" t="s">
        <v>6984</v>
      </c>
      <c r="FDG26" t="s">
        <v>6984</v>
      </c>
      <c r="FDH26" t="s">
        <v>6984</v>
      </c>
      <c r="FDI26" t="s">
        <v>6984</v>
      </c>
      <c r="FDJ26" t="s">
        <v>6984</v>
      </c>
      <c r="FDK26" t="s">
        <v>6984</v>
      </c>
      <c r="FDL26" t="s">
        <v>6984</v>
      </c>
      <c r="FDM26" t="s">
        <v>6984</v>
      </c>
      <c r="FDN26" t="s">
        <v>6984</v>
      </c>
      <c r="FDO26" t="s">
        <v>6984</v>
      </c>
      <c r="FDP26" t="s">
        <v>6984</v>
      </c>
      <c r="FDQ26" t="s">
        <v>6984</v>
      </c>
      <c r="FDR26" t="s">
        <v>6984</v>
      </c>
      <c r="FDS26" t="s">
        <v>6984</v>
      </c>
      <c r="FDT26" t="s">
        <v>6984</v>
      </c>
      <c r="FDU26" t="s">
        <v>6984</v>
      </c>
      <c r="FDV26" t="s">
        <v>6984</v>
      </c>
      <c r="FDW26" t="s">
        <v>6984</v>
      </c>
      <c r="FDX26" t="s">
        <v>6984</v>
      </c>
      <c r="FDY26" t="s">
        <v>6984</v>
      </c>
      <c r="FDZ26" t="s">
        <v>6984</v>
      </c>
      <c r="FEA26" t="s">
        <v>6984</v>
      </c>
      <c r="FEB26" t="s">
        <v>6984</v>
      </c>
      <c r="FEC26" t="s">
        <v>6984</v>
      </c>
      <c r="FED26" t="s">
        <v>6984</v>
      </c>
      <c r="FEE26" t="s">
        <v>6984</v>
      </c>
      <c r="FEF26" t="s">
        <v>6984</v>
      </c>
      <c r="FEG26" t="s">
        <v>6984</v>
      </c>
      <c r="FEH26" t="s">
        <v>6984</v>
      </c>
      <c r="FEI26" t="s">
        <v>6984</v>
      </c>
      <c r="FEJ26" t="s">
        <v>6984</v>
      </c>
      <c r="FEK26" t="s">
        <v>6984</v>
      </c>
      <c r="FEL26" t="s">
        <v>6984</v>
      </c>
      <c r="FEM26" t="s">
        <v>6984</v>
      </c>
      <c r="FEN26" t="s">
        <v>6984</v>
      </c>
      <c r="FEO26" t="s">
        <v>6984</v>
      </c>
      <c r="FEP26" t="s">
        <v>6984</v>
      </c>
      <c r="FEQ26" t="s">
        <v>6984</v>
      </c>
      <c r="FER26" t="s">
        <v>6984</v>
      </c>
      <c r="FES26" t="s">
        <v>6984</v>
      </c>
      <c r="FET26" t="s">
        <v>6984</v>
      </c>
      <c r="FEU26" t="s">
        <v>6984</v>
      </c>
      <c r="FEV26" t="s">
        <v>6984</v>
      </c>
      <c r="FEW26" t="s">
        <v>6984</v>
      </c>
      <c r="FEX26" t="s">
        <v>6984</v>
      </c>
      <c r="FEY26" t="s">
        <v>6984</v>
      </c>
      <c r="FEZ26" t="s">
        <v>6984</v>
      </c>
      <c r="FFA26" t="s">
        <v>6984</v>
      </c>
      <c r="FFB26" t="s">
        <v>6984</v>
      </c>
      <c r="FFC26" t="s">
        <v>6984</v>
      </c>
      <c r="FFD26" t="s">
        <v>6984</v>
      </c>
      <c r="FFE26" t="s">
        <v>6984</v>
      </c>
      <c r="FFF26" t="s">
        <v>6984</v>
      </c>
      <c r="FFG26" t="s">
        <v>6984</v>
      </c>
      <c r="FFH26" t="s">
        <v>6984</v>
      </c>
      <c r="FFI26" t="s">
        <v>6984</v>
      </c>
      <c r="FFJ26" t="s">
        <v>6984</v>
      </c>
      <c r="FFK26" t="s">
        <v>6984</v>
      </c>
      <c r="FFL26" t="s">
        <v>6984</v>
      </c>
      <c r="FFM26" t="s">
        <v>6984</v>
      </c>
      <c r="FFN26" t="s">
        <v>6984</v>
      </c>
      <c r="FFO26" t="s">
        <v>6984</v>
      </c>
      <c r="FFP26" t="s">
        <v>6984</v>
      </c>
      <c r="FFQ26" t="s">
        <v>6984</v>
      </c>
      <c r="FFR26" t="s">
        <v>6984</v>
      </c>
      <c r="FFS26" t="s">
        <v>6984</v>
      </c>
      <c r="FFT26" t="s">
        <v>6984</v>
      </c>
      <c r="FFU26" t="s">
        <v>6984</v>
      </c>
      <c r="FFV26" t="s">
        <v>6984</v>
      </c>
      <c r="FFW26" t="s">
        <v>6984</v>
      </c>
      <c r="FFX26" t="s">
        <v>6984</v>
      </c>
      <c r="FFY26" t="s">
        <v>6984</v>
      </c>
      <c r="FFZ26" t="s">
        <v>6984</v>
      </c>
      <c r="FGA26" t="s">
        <v>6984</v>
      </c>
      <c r="FGB26" t="s">
        <v>6984</v>
      </c>
      <c r="FGC26" t="s">
        <v>6984</v>
      </c>
      <c r="FGD26" t="s">
        <v>6984</v>
      </c>
      <c r="FGE26" t="s">
        <v>6984</v>
      </c>
      <c r="FGF26" t="s">
        <v>6984</v>
      </c>
      <c r="FGG26" t="s">
        <v>6984</v>
      </c>
      <c r="FGH26" t="s">
        <v>6984</v>
      </c>
      <c r="FGI26" t="s">
        <v>6984</v>
      </c>
      <c r="FGJ26" t="s">
        <v>6984</v>
      </c>
      <c r="FGK26" t="s">
        <v>6984</v>
      </c>
      <c r="FGL26" t="s">
        <v>6984</v>
      </c>
      <c r="FGM26" t="s">
        <v>6984</v>
      </c>
      <c r="FGN26" t="s">
        <v>6984</v>
      </c>
      <c r="FGO26" t="s">
        <v>6984</v>
      </c>
      <c r="FGP26" t="s">
        <v>6984</v>
      </c>
      <c r="FGQ26" t="s">
        <v>6984</v>
      </c>
      <c r="FGR26" t="s">
        <v>6984</v>
      </c>
      <c r="FGS26" t="s">
        <v>6984</v>
      </c>
      <c r="FGT26" t="s">
        <v>6984</v>
      </c>
      <c r="FGU26" t="s">
        <v>6984</v>
      </c>
      <c r="FGV26" t="s">
        <v>6984</v>
      </c>
      <c r="FGW26" t="s">
        <v>6984</v>
      </c>
      <c r="FGX26" t="s">
        <v>6984</v>
      </c>
      <c r="FGY26" t="s">
        <v>6984</v>
      </c>
      <c r="FGZ26" t="s">
        <v>6984</v>
      </c>
      <c r="FHA26" t="s">
        <v>6984</v>
      </c>
      <c r="FHB26" t="s">
        <v>6984</v>
      </c>
      <c r="FHC26" t="s">
        <v>6984</v>
      </c>
      <c r="FHD26" t="s">
        <v>6984</v>
      </c>
      <c r="FHE26" t="s">
        <v>6984</v>
      </c>
      <c r="FHF26" t="s">
        <v>6984</v>
      </c>
      <c r="FHG26" t="s">
        <v>6984</v>
      </c>
      <c r="FHH26" t="s">
        <v>6984</v>
      </c>
      <c r="FHI26" t="s">
        <v>6984</v>
      </c>
      <c r="FHJ26" t="s">
        <v>6984</v>
      </c>
      <c r="FHK26" t="s">
        <v>6984</v>
      </c>
      <c r="FHL26" t="s">
        <v>6984</v>
      </c>
      <c r="FHM26" t="s">
        <v>6984</v>
      </c>
      <c r="FHN26" t="s">
        <v>6984</v>
      </c>
      <c r="FHO26" t="s">
        <v>6984</v>
      </c>
      <c r="FHP26" t="s">
        <v>6984</v>
      </c>
      <c r="FHQ26" t="s">
        <v>6984</v>
      </c>
      <c r="FHR26" t="s">
        <v>6984</v>
      </c>
      <c r="FHS26" t="s">
        <v>6984</v>
      </c>
      <c r="FHT26" t="s">
        <v>6984</v>
      </c>
      <c r="FHU26" t="s">
        <v>6984</v>
      </c>
      <c r="FHV26" t="s">
        <v>6984</v>
      </c>
      <c r="FHW26" t="s">
        <v>6984</v>
      </c>
      <c r="FHX26" t="s">
        <v>6984</v>
      </c>
      <c r="FHY26" t="s">
        <v>6984</v>
      </c>
      <c r="FHZ26" t="s">
        <v>6984</v>
      </c>
      <c r="FIA26" t="s">
        <v>6984</v>
      </c>
      <c r="FIB26" t="s">
        <v>6984</v>
      </c>
      <c r="FIC26" t="s">
        <v>6984</v>
      </c>
      <c r="FID26" t="s">
        <v>6984</v>
      </c>
      <c r="FIE26" t="s">
        <v>6984</v>
      </c>
      <c r="FIF26" t="s">
        <v>6984</v>
      </c>
      <c r="FIG26" t="s">
        <v>6984</v>
      </c>
      <c r="FIH26" t="s">
        <v>6984</v>
      </c>
      <c r="FII26" t="s">
        <v>6984</v>
      </c>
      <c r="FIJ26" t="s">
        <v>6984</v>
      </c>
      <c r="FIK26" t="s">
        <v>6984</v>
      </c>
      <c r="FIL26" t="s">
        <v>6984</v>
      </c>
      <c r="FIM26" t="s">
        <v>6984</v>
      </c>
      <c r="FIN26" t="s">
        <v>6984</v>
      </c>
      <c r="FIO26" t="s">
        <v>6984</v>
      </c>
      <c r="FIP26" t="s">
        <v>6984</v>
      </c>
      <c r="FIQ26" t="s">
        <v>6984</v>
      </c>
      <c r="FIR26" t="s">
        <v>6984</v>
      </c>
      <c r="FIS26" t="s">
        <v>6984</v>
      </c>
      <c r="FIT26" t="s">
        <v>6984</v>
      </c>
      <c r="FIU26" t="s">
        <v>6984</v>
      </c>
      <c r="FIV26" t="s">
        <v>6984</v>
      </c>
      <c r="FIW26" t="s">
        <v>6984</v>
      </c>
      <c r="FIX26" t="s">
        <v>6984</v>
      </c>
      <c r="FIY26" t="s">
        <v>6984</v>
      </c>
      <c r="FIZ26" t="s">
        <v>6984</v>
      </c>
      <c r="FJA26" t="s">
        <v>6984</v>
      </c>
      <c r="FJB26" t="s">
        <v>6984</v>
      </c>
      <c r="FJC26" t="s">
        <v>6984</v>
      </c>
      <c r="FJD26" t="s">
        <v>6984</v>
      </c>
      <c r="FJE26" t="s">
        <v>6984</v>
      </c>
      <c r="FJF26" t="s">
        <v>6984</v>
      </c>
      <c r="FJG26" t="s">
        <v>6984</v>
      </c>
      <c r="FJH26" t="s">
        <v>6984</v>
      </c>
      <c r="FJI26" t="s">
        <v>6984</v>
      </c>
      <c r="FJJ26" t="s">
        <v>6984</v>
      </c>
      <c r="FJK26" t="s">
        <v>6984</v>
      </c>
      <c r="FJL26" t="s">
        <v>6984</v>
      </c>
      <c r="FJM26" t="s">
        <v>6984</v>
      </c>
      <c r="FJN26" t="s">
        <v>6984</v>
      </c>
      <c r="FJO26" t="s">
        <v>6984</v>
      </c>
      <c r="FJP26" t="s">
        <v>6984</v>
      </c>
      <c r="FJQ26" t="s">
        <v>6984</v>
      </c>
      <c r="FJR26" t="s">
        <v>6984</v>
      </c>
      <c r="FJS26" t="s">
        <v>6984</v>
      </c>
      <c r="FJT26" t="s">
        <v>6984</v>
      </c>
      <c r="FJU26" t="s">
        <v>6984</v>
      </c>
      <c r="FJV26" t="s">
        <v>6984</v>
      </c>
      <c r="FJW26" t="s">
        <v>6984</v>
      </c>
      <c r="FJX26" t="s">
        <v>6984</v>
      </c>
      <c r="FJY26" t="s">
        <v>6984</v>
      </c>
      <c r="FJZ26" t="s">
        <v>6984</v>
      </c>
      <c r="FKA26" t="s">
        <v>6984</v>
      </c>
      <c r="FKB26" t="s">
        <v>6984</v>
      </c>
      <c r="FKC26" t="s">
        <v>6984</v>
      </c>
      <c r="FKD26" t="s">
        <v>6984</v>
      </c>
      <c r="FKE26" t="s">
        <v>6984</v>
      </c>
      <c r="FKF26" t="s">
        <v>6984</v>
      </c>
      <c r="FKG26" t="s">
        <v>6984</v>
      </c>
      <c r="FKH26" t="s">
        <v>6984</v>
      </c>
      <c r="FKI26" t="s">
        <v>6984</v>
      </c>
      <c r="FKJ26" t="s">
        <v>6984</v>
      </c>
      <c r="FKK26" t="s">
        <v>6984</v>
      </c>
      <c r="FKL26" t="s">
        <v>6984</v>
      </c>
      <c r="FKM26" t="s">
        <v>6984</v>
      </c>
      <c r="FKN26" t="s">
        <v>6984</v>
      </c>
      <c r="FKO26" t="s">
        <v>6984</v>
      </c>
      <c r="FKP26" t="s">
        <v>6984</v>
      </c>
      <c r="FKQ26" t="s">
        <v>6984</v>
      </c>
      <c r="FKR26" t="s">
        <v>6984</v>
      </c>
      <c r="FKS26" t="s">
        <v>6984</v>
      </c>
      <c r="FKT26" t="s">
        <v>6984</v>
      </c>
      <c r="FKU26" t="s">
        <v>6984</v>
      </c>
      <c r="FKV26" t="s">
        <v>6984</v>
      </c>
      <c r="FKW26" t="s">
        <v>6984</v>
      </c>
      <c r="FKX26" t="s">
        <v>6984</v>
      </c>
      <c r="FKY26" t="s">
        <v>6984</v>
      </c>
      <c r="FKZ26" t="s">
        <v>6984</v>
      </c>
      <c r="FLA26" t="s">
        <v>6984</v>
      </c>
      <c r="FLB26" t="s">
        <v>6984</v>
      </c>
      <c r="FLC26" t="s">
        <v>6984</v>
      </c>
      <c r="FLD26" t="s">
        <v>6984</v>
      </c>
      <c r="FLE26" t="s">
        <v>6984</v>
      </c>
      <c r="FLF26" t="s">
        <v>6984</v>
      </c>
      <c r="FLG26" t="s">
        <v>6984</v>
      </c>
      <c r="FLH26" t="s">
        <v>6984</v>
      </c>
      <c r="FLI26" t="s">
        <v>6984</v>
      </c>
      <c r="FLJ26" t="s">
        <v>6984</v>
      </c>
      <c r="FLK26" t="s">
        <v>6984</v>
      </c>
      <c r="FLL26" t="s">
        <v>6984</v>
      </c>
      <c r="FLM26" t="s">
        <v>6984</v>
      </c>
      <c r="FLN26" t="s">
        <v>6984</v>
      </c>
      <c r="FLO26" t="s">
        <v>6984</v>
      </c>
      <c r="FLP26" t="s">
        <v>6984</v>
      </c>
      <c r="FLQ26" t="s">
        <v>6984</v>
      </c>
      <c r="FLR26" t="s">
        <v>6984</v>
      </c>
      <c r="FLS26" t="s">
        <v>6984</v>
      </c>
      <c r="FLT26" t="s">
        <v>6984</v>
      </c>
      <c r="FLU26" t="s">
        <v>6984</v>
      </c>
      <c r="FLV26" t="s">
        <v>6984</v>
      </c>
      <c r="FLW26" t="s">
        <v>6984</v>
      </c>
      <c r="FLX26" t="s">
        <v>6984</v>
      </c>
      <c r="FLY26" t="s">
        <v>6984</v>
      </c>
      <c r="FLZ26" t="s">
        <v>6984</v>
      </c>
      <c r="FMA26" t="s">
        <v>6984</v>
      </c>
      <c r="FMB26" t="s">
        <v>6984</v>
      </c>
      <c r="FMC26" t="s">
        <v>6984</v>
      </c>
      <c r="FMD26" t="s">
        <v>6984</v>
      </c>
      <c r="FME26" t="s">
        <v>6984</v>
      </c>
      <c r="FMF26" t="s">
        <v>6984</v>
      </c>
      <c r="FMG26" t="s">
        <v>6984</v>
      </c>
      <c r="FMH26" t="s">
        <v>6984</v>
      </c>
      <c r="FMI26" t="s">
        <v>6984</v>
      </c>
      <c r="FMJ26" t="s">
        <v>6984</v>
      </c>
      <c r="FMK26" t="s">
        <v>6984</v>
      </c>
      <c r="FML26" t="s">
        <v>6984</v>
      </c>
      <c r="FMM26" t="s">
        <v>6984</v>
      </c>
      <c r="FMN26" t="s">
        <v>6984</v>
      </c>
      <c r="FMO26" t="s">
        <v>6984</v>
      </c>
      <c r="FMP26" t="s">
        <v>6984</v>
      </c>
      <c r="FMQ26" t="s">
        <v>6984</v>
      </c>
      <c r="FMR26" t="s">
        <v>6984</v>
      </c>
      <c r="FMS26" t="s">
        <v>6984</v>
      </c>
      <c r="FMT26" t="s">
        <v>6984</v>
      </c>
      <c r="FMU26" t="s">
        <v>6984</v>
      </c>
      <c r="FMV26" t="s">
        <v>6984</v>
      </c>
      <c r="FMW26" t="s">
        <v>6984</v>
      </c>
      <c r="FMX26" t="s">
        <v>6984</v>
      </c>
      <c r="FMY26" t="s">
        <v>6984</v>
      </c>
      <c r="FMZ26" t="s">
        <v>6984</v>
      </c>
      <c r="FNA26" t="s">
        <v>6984</v>
      </c>
      <c r="FNB26" t="s">
        <v>6984</v>
      </c>
      <c r="FNC26" t="s">
        <v>6984</v>
      </c>
      <c r="FND26" t="s">
        <v>6984</v>
      </c>
      <c r="FNE26" t="s">
        <v>6984</v>
      </c>
      <c r="FNF26" t="s">
        <v>6984</v>
      </c>
      <c r="FNG26" t="s">
        <v>6984</v>
      </c>
      <c r="FNH26" t="s">
        <v>6984</v>
      </c>
      <c r="FNI26" t="s">
        <v>6984</v>
      </c>
      <c r="FNJ26" t="s">
        <v>6984</v>
      </c>
      <c r="FNK26" t="s">
        <v>6984</v>
      </c>
      <c r="FNL26" t="s">
        <v>6984</v>
      </c>
      <c r="FNM26" t="s">
        <v>6984</v>
      </c>
      <c r="FNN26" t="s">
        <v>6984</v>
      </c>
      <c r="FNO26" t="s">
        <v>6984</v>
      </c>
      <c r="FNP26" t="s">
        <v>6984</v>
      </c>
      <c r="FNQ26" t="s">
        <v>6984</v>
      </c>
      <c r="FNR26" t="s">
        <v>6984</v>
      </c>
      <c r="FNS26" t="s">
        <v>6984</v>
      </c>
      <c r="FNT26" t="s">
        <v>6984</v>
      </c>
      <c r="FNU26" t="s">
        <v>6984</v>
      </c>
      <c r="FNV26" t="s">
        <v>6984</v>
      </c>
      <c r="FNW26" t="s">
        <v>6984</v>
      </c>
      <c r="FNX26" t="s">
        <v>6984</v>
      </c>
      <c r="FNY26" t="s">
        <v>6984</v>
      </c>
      <c r="FNZ26" t="s">
        <v>6984</v>
      </c>
      <c r="FOA26" t="s">
        <v>6984</v>
      </c>
      <c r="FOB26" t="s">
        <v>6984</v>
      </c>
      <c r="FOC26" t="s">
        <v>6984</v>
      </c>
      <c r="FOD26" t="s">
        <v>6984</v>
      </c>
      <c r="FOE26" t="s">
        <v>6984</v>
      </c>
      <c r="FOF26" t="s">
        <v>6984</v>
      </c>
      <c r="FOG26" t="s">
        <v>6984</v>
      </c>
      <c r="FOH26" t="s">
        <v>6984</v>
      </c>
      <c r="FOI26" t="s">
        <v>6984</v>
      </c>
      <c r="FOJ26" t="s">
        <v>6984</v>
      </c>
      <c r="FOK26" t="s">
        <v>6984</v>
      </c>
      <c r="FOL26" t="s">
        <v>6984</v>
      </c>
      <c r="FOM26" t="s">
        <v>6984</v>
      </c>
      <c r="FON26" t="s">
        <v>6984</v>
      </c>
      <c r="FOO26" t="s">
        <v>6984</v>
      </c>
      <c r="FOP26" t="s">
        <v>6984</v>
      </c>
      <c r="FOQ26" t="s">
        <v>6984</v>
      </c>
      <c r="FOR26" t="s">
        <v>6984</v>
      </c>
      <c r="FOS26" t="s">
        <v>6984</v>
      </c>
      <c r="FOT26" t="s">
        <v>6984</v>
      </c>
      <c r="FOU26" t="s">
        <v>6984</v>
      </c>
      <c r="FOV26" t="s">
        <v>6984</v>
      </c>
      <c r="FOW26" t="s">
        <v>6984</v>
      </c>
      <c r="FOX26" t="s">
        <v>6984</v>
      </c>
      <c r="FOY26" t="s">
        <v>6984</v>
      </c>
      <c r="FOZ26" t="s">
        <v>6984</v>
      </c>
      <c r="FPA26" t="s">
        <v>6984</v>
      </c>
      <c r="FPB26" t="s">
        <v>6984</v>
      </c>
      <c r="FPC26" t="s">
        <v>6984</v>
      </c>
      <c r="FPD26" t="s">
        <v>6984</v>
      </c>
      <c r="FPE26" t="s">
        <v>6984</v>
      </c>
      <c r="FPF26" t="s">
        <v>6984</v>
      </c>
      <c r="FPG26" t="s">
        <v>6984</v>
      </c>
      <c r="FPH26" t="s">
        <v>6984</v>
      </c>
      <c r="FPI26" t="s">
        <v>6984</v>
      </c>
      <c r="FPJ26" t="s">
        <v>6984</v>
      </c>
      <c r="FPK26" t="s">
        <v>6984</v>
      </c>
      <c r="FPL26" t="s">
        <v>6984</v>
      </c>
      <c r="FPM26" t="s">
        <v>6984</v>
      </c>
      <c r="FPN26" t="s">
        <v>6984</v>
      </c>
      <c r="FPO26" t="s">
        <v>6984</v>
      </c>
      <c r="FPP26" t="s">
        <v>6984</v>
      </c>
      <c r="FPQ26" t="s">
        <v>6984</v>
      </c>
      <c r="FPR26" t="s">
        <v>6984</v>
      </c>
      <c r="FPS26" t="s">
        <v>6984</v>
      </c>
      <c r="FPT26" t="s">
        <v>6984</v>
      </c>
      <c r="FPU26" t="s">
        <v>6984</v>
      </c>
      <c r="FPV26" t="s">
        <v>6984</v>
      </c>
      <c r="FPW26" t="s">
        <v>6984</v>
      </c>
      <c r="FPX26" t="s">
        <v>6984</v>
      </c>
      <c r="FPY26" t="s">
        <v>6984</v>
      </c>
      <c r="FPZ26" t="s">
        <v>6984</v>
      </c>
      <c r="FQA26" t="s">
        <v>6984</v>
      </c>
      <c r="FQB26" t="s">
        <v>6984</v>
      </c>
      <c r="FQC26" t="s">
        <v>6984</v>
      </c>
      <c r="FQD26" t="s">
        <v>6984</v>
      </c>
      <c r="FQE26" t="s">
        <v>6984</v>
      </c>
      <c r="FQF26" t="s">
        <v>6984</v>
      </c>
      <c r="FQG26" t="s">
        <v>6984</v>
      </c>
      <c r="FQH26" t="s">
        <v>6984</v>
      </c>
      <c r="FQI26" t="s">
        <v>6984</v>
      </c>
      <c r="FQJ26" t="s">
        <v>6984</v>
      </c>
      <c r="FQK26" t="s">
        <v>6984</v>
      </c>
      <c r="FQL26" t="s">
        <v>6984</v>
      </c>
      <c r="FQM26" t="s">
        <v>6984</v>
      </c>
      <c r="FQN26" t="s">
        <v>6984</v>
      </c>
      <c r="FQO26" t="s">
        <v>6984</v>
      </c>
      <c r="FQP26" t="s">
        <v>6984</v>
      </c>
      <c r="FQQ26" t="s">
        <v>6984</v>
      </c>
      <c r="FQR26" t="s">
        <v>6984</v>
      </c>
      <c r="FQS26" t="s">
        <v>6984</v>
      </c>
      <c r="FQT26" t="s">
        <v>6984</v>
      </c>
      <c r="FQU26" t="s">
        <v>6984</v>
      </c>
      <c r="FQV26" t="s">
        <v>6984</v>
      </c>
      <c r="FQW26" t="s">
        <v>6984</v>
      </c>
      <c r="FQX26" t="s">
        <v>6984</v>
      </c>
      <c r="FQY26" t="s">
        <v>6984</v>
      </c>
      <c r="FQZ26" t="s">
        <v>6984</v>
      </c>
      <c r="FRA26" t="s">
        <v>6984</v>
      </c>
      <c r="FRB26" t="s">
        <v>6984</v>
      </c>
      <c r="FRC26" t="s">
        <v>6984</v>
      </c>
      <c r="FRD26" t="s">
        <v>6984</v>
      </c>
      <c r="FRE26" t="s">
        <v>6984</v>
      </c>
      <c r="FRF26" t="s">
        <v>6984</v>
      </c>
      <c r="FRG26" t="s">
        <v>6984</v>
      </c>
      <c r="FRH26" t="s">
        <v>6984</v>
      </c>
      <c r="FRI26" t="s">
        <v>6984</v>
      </c>
      <c r="FRJ26" t="s">
        <v>6984</v>
      </c>
      <c r="FRK26" t="s">
        <v>6984</v>
      </c>
      <c r="FRL26" t="s">
        <v>6984</v>
      </c>
      <c r="FRM26" t="s">
        <v>6984</v>
      </c>
      <c r="FRN26" t="s">
        <v>6984</v>
      </c>
      <c r="FRO26" t="s">
        <v>6984</v>
      </c>
      <c r="FRP26" t="s">
        <v>6984</v>
      </c>
      <c r="FRQ26" t="s">
        <v>6984</v>
      </c>
      <c r="FRR26" t="s">
        <v>6984</v>
      </c>
      <c r="FRS26" t="s">
        <v>6984</v>
      </c>
      <c r="FRT26" t="s">
        <v>6984</v>
      </c>
      <c r="FRU26" t="s">
        <v>6984</v>
      </c>
      <c r="FRV26" t="s">
        <v>6984</v>
      </c>
      <c r="FRW26" t="s">
        <v>6984</v>
      </c>
      <c r="FRX26" t="s">
        <v>6984</v>
      </c>
      <c r="FRY26" t="s">
        <v>6984</v>
      </c>
      <c r="FRZ26" t="s">
        <v>6984</v>
      </c>
      <c r="FSA26" t="s">
        <v>6984</v>
      </c>
      <c r="FSB26" t="s">
        <v>6984</v>
      </c>
      <c r="FSC26" t="s">
        <v>6984</v>
      </c>
      <c r="FSD26" t="s">
        <v>6984</v>
      </c>
      <c r="FSE26" t="s">
        <v>6984</v>
      </c>
      <c r="FSF26" t="s">
        <v>6984</v>
      </c>
      <c r="FSG26" t="s">
        <v>6984</v>
      </c>
      <c r="FSH26" t="s">
        <v>6984</v>
      </c>
      <c r="FSI26" t="s">
        <v>6984</v>
      </c>
      <c r="FSJ26" t="s">
        <v>6984</v>
      </c>
      <c r="FSK26" t="s">
        <v>6984</v>
      </c>
      <c r="FSL26" t="s">
        <v>6984</v>
      </c>
      <c r="FSM26" t="s">
        <v>6984</v>
      </c>
      <c r="FSN26" t="s">
        <v>6984</v>
      </c>
      <c r="FSO26" t="s">
        <v>6984</v>
      </c>
      <c r="FSP26" t="s">
        <v>6984</v>
      </c>
      <c r="FSQ26" t="s">
        <v>6984</v>
      </c>
      <c r="FSR26" t="s">
        <v>6984</v>
      </c>
      <c r="FSS26" t="s">
        <v>6984</v>
      </c>
      <c r="FST26" t="s">
        <v>6984</v>
      </c>
      <c r="FSU26" t="s">
        <v>6984</v>
      </c>
      <c r="FSV26" t="s">
        <v>6984</v>
      </c>
      <c r="FSW26" t="s">
        <v>6984</v>
      </c>
      <c r="FSX26" t="s">
        <v>6984</v>
      </c>
      <c r="FSY26" t="s">
        <v>6984</v>
      </c>
      <c r="FSZ26" t="s">
        <v>6984</v>
      </c>
      <c r="FTA26" t="s">
        <v>6984</v>
      </c>
      <c r="FTB26" t="s">
        <v>6984</v>
      </c>
      <c r="FTC26" t="s">
        <v>6984</v>
      </c>
      <c r="FTD26" t="s">
        <v>6984</v>
      </c>
      <c r="FTE26" t="s">
        <v>6984</v>
      </c>
      <c r="FTF26" t="s">
        <v>6984</v>
      </c>
      <c r="FTG26" t="s">
        <v>6984</v>
      </c>
      <c r="FTH26" t="s">
        <v>6984</v>
      </c>
      <c r="FTI26" t="s">
        <v>6984</v>
      </c>
      <c r="FTJ26" t="s">
        <v>6984</v>
      </c>
      <c r="FTK26" t="s">
        <v>6984</v>
      </c>
      <c r="FTL26" t="s">
        <v>6984</v>
      </c>
      <c r="FTM26" t="s">
        <v>6984</v>
      </c>
      <c r="FTN26" t="s">
        <v>6984</v>
      </c>
      <c r="FTO26" t="s">
        <v>6984</v>
      </c>
      <c r="FTP26" t="s">
        <v>6984</v>
      </c>
      <c r="FTQ26" t="s">
        <v>6984</v>
      </c>
      <c r="FTR26" t="s">
        <v>6984</v>
      </c>
      <c r="FTS26" t="s">
        <v>6984</v>
      </c>
      <c r="FTT26" t="s">
        <v>6984</v>
      </c>
      <c r="FTU26" t="s">
        <v>6984</v>
      </c>
      <c r="FTV26" t="s">
        <v>6984</v>
      </c>
      <c r="FTW26" t="s">
        <v>6984</v>
      </c>
      <c r="FTX26" t="s">
        <v>6984</v>
      </c>
      <c r="FTY26" t="s">
        <v>6984</v>
      </c>
      <c r="FTZ26" t="s">
        <v>6984</v>
      </c>
      <c r="FUA26" t="s">
        <v>6984</v>
      </c>
      <c r="FUB26" t="s">
        <v>6984</v>
      </c>
      <c r="FUC26" t="s">
        <v>6984</v>
      </c>
      <c r="FUD26" t="s">
        <v>6984</v>
      </c>
      <c r="FUE26" t="s">
        <v>6984</v>
      </c>
      <c r="FUF26" t="s">
        <v>6984</v>
      </c>
      <c r="FUG26" t="s">
        <v>6984</v>
      </c>
      <c r="FUH26" t="s">
        <v>6984</v>
      </c>
      <c r="FUI26" t="s">
        <v>6984</v>
      </c>
      <c r="FUJ26" t="s">
        <v>6984</v>
      </c>
      <c r="FUK26" t="s">
        <v>6984</v>
      </c>
      <c r="FUL26" t="s">
        <v>6984</v>
      </c>
      <c r="FUM26" t="s">
        <v>6984</v>
      </c>
      <c r="FUN26" t="s">
        <v>6984</v>
      </c>
      <c r="FUO26" t="s">
        <v>6984</v>
      </c>
      <c r="FUP26" t="s">
        <v>6984</v>
      </c>
      <c r="FUQ26" t="s">
        <v>6984</v>
      </c>
      <c r="FUR26" t="s">
        <v>6984</v>
      </c>
      <c r="FUS26" t="s">
        <v>6984</v>
      </c>
      <c r="FUT26" t="s">
        <v>6984</v>
      </c>
      <c r="FUU26" t="s">
        <v>6984</v>
      </c>
      <c r="FUV26" t="s">
        <v>6984</v>
      </c>
      <c r="FUW26" t="s">
        <v>6984</v>
      </c>
      <c r="FUX26" t="s">
        <v>6984</v>
      </c>
      <c r="FUY26" t="s">
        <v>6984</v>
      </c>
      <c r="FUZ26" t="s">
        <v>6984</v>
      </c>
      <c r="FVA26" t="s">
        <v>6984</v>
      </c>
      <c r="FVB26" t="s">
        <v>6984</v>
      </c>
      <c r="FVC26" t="s">
        <v>6984</v>
      </c>
      <c r="FVD26" t="s">
        <v>6984</v>
      </c>
      <c r="FVE26" t="s">
        <v>6984</v>
      </c>
      <c r="FVF26" t="s">
        <v>6984</v>
      </c>
      <c r="FVG26" t="s">
        <v>6984</v>
      </c>
      <c r="FVH26" t="s">
        <v>6984</v>
      </c>
      <c r="FVI26" t="s">
        <v>6984</v>
      </c>
      <c r="FVJ26" t="s">
        <v>6984</v>
      </c>
      <c r="FVK26" t="s">
        <v>6984</v>
      </c>
      <c r="FVL26" t="s">
        <v>6984</v>
      </c>
      <c r="FVM26" t="s">
        <v>6984</v>
      </c>
      <c r="FVN26" t="s">
        <v>6984</v>
      </c>
      <c r="FVO26" t="s">
        <v>6984</v>
      </c>
      <c r="FVP26" t="s">
        <v>6984</v>
      </c>
      <c r="FVQ26" t="s">
        <v>6984</v>
      </c>
      <c r="FVR26" t="s">
        <v>6984</v>
      </c>
      <c r="FVS26" t="s">
        <v>6984</v>
      </c>
      <c r="FVT26" t="s">
        <v>6984</v>
      </c>
      <c r="FVU26" t="s">
        <v>6984</v>
      </c>
      <c r="FVV26" t="s">
        <v>6984</v>
      </c>
      <c r="FVW26" t="s">
        <v>6984</v>
      </c>
      <c r="FVX26" t="s">
        <v>6984</v>
      </c>
      <c r="FVY26" t="s">
        <v>6984</v>
      </c>
      <c r="FVZ26" t="s">
        <v>6984</v>
      </c>
      <c r="FWA26" t="s">
        <v>6984</v>
      </c>
      <c r="FWB26" t="s">
        <v>6984</v>
      </c>
      <c r="FWC26" t="s">
        <v>6984</v>
      </c>
      <c r="FWD26" t="s">
        <v>6984</v>
      </c>
      <c r="FWE26" t="s">
        <v>6984</v>
      </c>
      <c r="FWF26" t="s">
        <v>6984</v>
      </c>
      <c r="FWG26" t="s">
        <v>6984</v>
      </c>
      <c r="FWH26" t="s">
        <v>6984</v>
      </c>
      <c r="FWI26" t="s">
        <v>6984</v>
      </c>
      <c r="FWJ26" t="s">
        <v>6984</v>
      </c>
      <c r="FWK26" t="s">
        <v>6984</v>
      </c>
      <c r="FWL26" t="s">
        <v>6984</v>
      </c>
      <c r="FWM26" t="s">
        <v>6984</v>
      </c>
      <c r="FWN26" t="s">
        <v>6984</v>
      </c>
      <c r="FWO26" t="s">
        <v>6984</v>
      </c>
      <c r="FWP26" t="s">
        <v>6984</v>
      </c>
      <c r="FWQ26" t="s">
        <v>6984</v>
      </c>
      <c r="FWR26" t="s">
        <v>6984</v>
      </c>
      <c r="FWS26" t="s">
        <v>6984</v>
      </c>
      <c r="FWT26" t="s">
        <v>6984</v>
      </c>
      <c r="FWU26" t="s">
        <v>6984</v>
      </c>
      <c r="FWV26" t="s">
        <v>6984</v>
      </c>
      <c r="FWW26" t="s">
        <v>6984</v>
      </c>
      <c r="FWX26" t="s">
        <v>6984</v>
      </c>
      <c r="FWY26" t="s">
        <v>6984</v>
      </c>
      <c r="FWZ26" t="s">
        <v>6984</v>
      </c>
      <c r="FXA26" t="s">
        <v>6984</v>
      </c>
      <c r="FXB26" t="s">
        <v>6984</v>
      </c>
      <c r="FXC26" t="s">
        <v>6984</v>
      </c>
      <c r="FXD26" t="s">
        <v>6984</v>
      </c>
      <c r="FXE26" t="s">
        <v>6984</v>
      </c>
      <c r="FXF26" t="s">
        <v>6984</v>
      </c>
      <c r="FXG26" t="s">
        <v>6984</v>
      </c>
      <c r="FXH26" t="s">
        <v>6984</v>
      </c>
      <c r="FXI26" t="s">
        <v>6984</v>
      </c>
      <c r="FXJ26" t="s">
        <v>6984</v>
      </c>
      <c r="FXK26" t="s">
        <v>6984</v>
      </c>
      <c r="FXL26" t="s">
        <v>6984</v>
      </c>
      <c r="FXM26" t="s">
        <v>6984</v>
      </c>
      <c r="FXN26" t="s">
        <v>6984</v>
      </c>
      <c r="FXO26" t="s">
        <v>6984</v>
      </c>
      <c r="FXP26" t="s">
        <v>6984</v>
      </c>
      <c r="FXQ26" t="s">
        <v>6984</v>
      </c>
      <c r="FXR26" t="s">
        <v>6984</v>
      </c>
      <c r="FXS26" t="s">
        <v>6984</v>
      </c>
      <c r="FXT26" t="s">
        <v>6984</v>
      </c>
      <c r="FXU26" t="s">
        <v>6984</v>
      </c>
      <c r="FXV26" t="s">
        <v>6984</v>
      </c>
      <c r="FXW26" t="s">
        <v>6984</v>
      </c>
      <c r="FXX26" t="s">
        <v>6984</v>
      </c>
      <c r="FXY26" t="s">
        <v>6984</v>
      </c>
      <c r="FXZ26" t="s">
        <v>6984</v>
      </c>
      <c r="FYA26" t="s">
        <v>6984</v>
      </c>
      <c r="FYB26" t="s">
        <v>6984</v>
      </c>
      <c r="FYC26" t="s">
        <v>6984</v>
      </c>
      <c r="FYD26" t="s">
        <v>6984</v>
      </c>
      <c r="FYE26" t="s">
        <v>6984</v>
      </c>
      <c r="FYF26" t="s">
        <v>6984</v>
      </c>
      <c r="FYG26" t="s">
        <v>6984</v>
      </c>
      <c r="FYH26" t="s">
        <v>6984</v>
      </c>
      <c r="FYI26" t="s">
        <v>6984</v>
      </c>
      <c r="FYJ26" t="s">
        <v>6984</v>
      </c>
      <c r="FYK26" t="s">
        <v>6984</v>
      </c>
      <c r="FYL26" t="s">
        <v>6984</v>
      </c>
      <c r="FYM26" t="s">
        <v>6984</v>
      </c>
      <c r="FYN26" t="s">
        <v>6984</v>
      </c>
      <c r="FYO26" t="s">
        <v>6984</v>
      </c>
      <c r="FYP26" t="s">
        <v>6984</v>
      </c>
      <c r="FYQ26" t="s">
        <v>6984</v>
      </c>
      <c r="FYR26" t="s">
        <v>6984</v>
      </c>
      <c r="FYS26" t="s">
        <v>6984</v>
      </c>
      <c r="FYT26" t="s">
        <v>6984</v>
      </c>
      <c r="FYU26" t="s">
        <v>6984</v>
      </c>
      <c r="FYV26" t="s">
        <v>6984</v>
      </c>
      <c r="FYW26" t="s">
        <v>6984</v>
      </c>
      <c r="FYX26" t="s">
        <v>6984</v>
      </c>
      <c r="FYY26" t="s">
        <v>6984</v>
      </c>
      <c r="FYZ26" t="s">
        <v>6984</v>
      </c>
      <c r="FZA26" t="s">
        <v>6984</v>
      </c>
      <c r="FZB26" t="s">
        <v>6984</v>
      </c>
      <c r="FZC26" t="s">
        <v>6984</v>
      </c>
      <c r="FZD26" t="s">
        <v>6984</v>
      </c>
      <c r="FZE26" t="s">
        <v>6984</v>
      </c>
      <c r="FZF26" t="s">
        <v>6984</v>
      </c>
      <c r="FZG26" t="s">
        <v>6984</v>
      </c>
      <c r="FZH26" t="s">
        <v>6984</v>
      </c>
      <c r="FZI26" t="s">
        <v>6984</v>
      </c>
      <c r="FZJ26" t="s">
        <v>6984</v>
      </c>
      <c r="FZK26" t="s">
        <v>6984</v>
      </c>
      <c r="FZL26" t="s">
        <v>6984</v>
      </c>
      <c r="FZM26" t="s">
        <v>6984</v>
      </c>
      <c r="FZN26" t="s">
        <v>6984</v>
      </c>
      <c r="FZO26" t="s">
        <v>6984</v>
      </c>
      <c r="FZP26" t="s">
        <v>6984</v>
      </c>
      <c r="FZQ26" t="s">
        <v>6984</v>
      </c>
      <c r="FZR26" t="s">
        <v>6984</v>
      </c>
      <c r="FZS26" t="s">
        <v>6984</v>
      </c>
      <c r="FZT26" t="s">
        <v>6984</v>
      </c>
      <c r="FZU26" t="s">
        <v>6984</v>
      </c>
      <c r="FZV26" t="s">
        <v>6984</v>
      </c>
      <c r="FZW26" t="s">
        <v>6984</v>
      </c>
      <c r="FZX26" t="s">
        <v>6984</v>
      </c>
      <c r="FZY26" t="s">
        <v>6984</v>
      </c>
      <c r="FZZ26" t="s">
        <v>6984</v>
      </c>
      <c r="GAA26" t="s">
        <v>6984</v>
      </c>
      <c r="GAB26" t="s">
        <v>6984</v>
      </c>
      <c r="GAC26" t="s">
        <v>6984</v>
      </c>
      <c r="GAD26" t="s">
        <v>6984</v>
      </c>
      <c r="GAE26" t="s">
        <v>6984</v>
      </c>
      <c r="GAF26" t="s">
        <v>6984</v>
      </c>
      <c r="GAG26" t="s">
        <v>6984</v>
      </c>
      <c r="GAH26" t="s">
        <v>6984</v>
      </c>
      <c r="GAI26" t="s">
        <v>6984</v>
      </c>
      <c r="GAJ26" t="s">
        <v>6984</v>
      </c>
      <c r="GAK26" t="s">
        <v>6984</v>
      </c>
      <c r="GAL26" t="s">
        <v>6984</v>
      </c>
      <c r="GAM26" t="s">
        <v>6984</v>
      </c>
      <c r="GAN26" t="s">
        <v>6984</v>
      </c>
      <c r="GAO26" t="s">
        <v>6984</v>
      </c>
      <c r="GAP26" t="s">
        <v>6984</v>
      </c>
      <c r="GAQ26" t="s">
        <v>6984</v>
      </c>
      <c r="GAR26" t="s">
        <v>6984</v>
      </c>
      <c r="GAS26" t="s">
        <v>6984</v>
      </c>
      <c r="GAT26" t="s">
        <v>6984</v>
      </c>
      <c r="GAU26" t="s">
        <v>6984</v>
      </c>
      <c r="GAV26" t="s">
        <v>6984</v>
      </c>
      <c r="GAW26" t="s">
        <v>6984</v>
      </c>
      <c r="GAX26" t="s">
        <v>6984</v>
      </c>
      <c r="GAY26" t="s">
        <v>6984</v>
      </c>
      <c r="GAZ26" t="s">
        <v>6984</v>
      </c>
      <c r="GBA26" t="s">
        <v>6984</v>
      </c>
      <c r="GBB26" t="s">
        <v>6984</v>
      </c>
      <c r="GBC26" t="s">
        <v>6984</v>
      </c>
      <c r="GBD26" t="s">
        <v>6984</v>
      </c>
      <c r="GBE26" t="s">
        <v>6984</v>
      </c>
      <c r="GBF26" t="s">
        <v>6984</v>
      </c>
      <c r="GBG26" t="s">
        <v>6984</v>
      </c>
      <c r="GBH26" t="s">
        <v>6984</v>
      </c>
      <c r="GBI26" t="s">
        <v>6984</v>
      </c>
      <c r="GBJ26" t="s">
        <v>6984</v>
      </c>
      <c r="GBK26" t="s">
        <v>6984</v>
      </c>
      <c r="GBL26" t="s">
        <v>6984</v>
      </c>
      <c r="GBM26" t="s">
        <v>6984</v>
      </c>
      <c r="GBN26" t="s">
        <v>6984</v>
      </c>
      <c r="GBO26" t="s">
        <v>6984</v>
      </c>
      <c r="GBP26" t="s">
        <v>6984</v>
      </c>
      <c r="GBQ26" t="s">
        <v>6984</v>
      </c>
      <c r="GBR26" t="s">
        <v>6984</v>
      </c>
      <c r="GBS26" t="s">
        <v>6984</v>
      </c>
      <c r="GBT26" t="s">
        <v>6984</v>
      </c>
      <c r="GBU26" t="s">
        <v>6984</v>
      </c>
      <c r="GBV26" t="s">
        <v>6984</v>
      </c>
      <c r="GBW26" t="s">
        <v>6984</v>
      </c>
      <c r="GBX26" t="s">
        <v>6984</v>
      </c>
      <c r="GBY26" t="s">
        <v>6984</v>
      </c>
      <c r="GBZ26" t="s">
        <v>6984</v>
      </c>
      <c r="GCA26" t="s">
        <v>6984</v>
      </c>
      <c r="GCB26" t="s">
        <v>6984</v>
      </c>
      <c r="GCC26" t="s">
        <v>6984</v>
      </c>
      <c r="GCD26" t="s">
        <v>6984</v>
      </c>
      <c r="GCE26" t="s">
        <v>6984</v>
      </c>
      <c r="GCF26" t="s">
        <v>6984</v>
      </c>
      <c r="GCG26" t="s">
        <v>6984</v>
      </c>
      <c r="GCH26" t="s">
        <v>6984</v>
      </c>
      <c r="GCI26" t="s">
        <v>6984</v>
      </c>
      <c r="GCJ26" t="s">
        <v>6984</v>
      </c>
      <c r="GCK26" t="s">
        <v>6984</v>
      </c>
      <c r="GCL26" t="s">
        <v>6984</v>
      </c>
      <c r="GCM26" t="s">
        <v>6984</v>
      </c>
      <c r="GCN26" t="s">
        <v>6984</v>
      </c>
      <c r="GCO26" t="s">
        <v>6984</v>
      </c>
      <c r="GCP26" t="s">
        <v>6984</v>
      </c>
      <c r="GCQ26" t="s">
        <v>6984</v>
      </c>
      <c r="GCR26" t="s">
        <v>6984</v>
      </c>
      <c r="GCS26" t="s">
        <v>6984</v>
      </c>
      <c r="GCT26" t="s">
        <v>6984</v>
      </c>
      <c r="GCU26" t="s">
        <v>6984</v>
      </c>
      <c r="GCV26" t="s">
        <v>6984</v>
      </c>
      <c r="GCW26" t="s">
        <v>6984</v>
      </c>
      <c r="GCX26" t="s">
        <v>6984</v>
      </c>
      <c r="GCY26" t="s">
        <v>6984</v>
      </c>
      <c r="GCZ26" t="s">
        <v>6984</v>
      </c>
      <c r="GDA26" t="s">
        <v>6984</v>
      </c>
      <c r="GDB26" t="s">
        <v>6984</v>
      </c>
      <c r="GDC26" t="s">
        <v>6984</v>
      </c>
      <c r="GDD26" t="s">
        <v>6984</v>
      </c>
      <c r="GDE26" t="s">
        <v>6984</v>
      </c>
      <c r="GDF26" t="s">
        <v>6984</v>
      </c>
      <c r="GDG26" t="s">
        <v>6984</v>
      </c>
      <c r="GDH26" t="s">
        <v>6984</v>
      </c>
      <c r="GDI26" t="s">
        <v>6984</v>
      </c>
      <c r="GDJ26" t="s">
        <v>6984</v>
      </c>
      <c r="GDK26" t="s">
        <v>6984</v>
      </c>
      <c r="GDL26" t="s">
        <v>6984</v>
      </c>
      <c r="GDM26" t="s">
        <v>6984</v>
      </c>
      <c r="GDN26" t="s">
        <v>6984</v>
      </c>
      <c r="GDO26" t="s">
        <v>6984</v>
      </c>
      <c r="GDP26" t="s">
        <v>6984</v>
      </c>
      <c r="GDQ26" t="s">
        <v>6984</v>
      </c>
      <c r="GDR26" t="s">
        <v>6984</v>
      </c>
      <c r="GDS26" t="s">
        <v>6984</v>
      </c>
      <c r="GDT26" t="s">
        <v>6984</v>
      </c>
      <c r="GDU26" t="s">
        <v>6984</v>
      </c>
      <c r="GDV26" t="s">
        <v>6984</v>
      </c>
      <c r="GDW26" t="s">
        <v>6984</v>
      </c>
      <c r="GDX26" t="s">
        <v>6984</v>
      </c>
      <c r="GDY26" t="s">
        <v>6984</v>
      </c>
      <c r="GDZ26" t="s">
        <v>6984</v>
      </c>
      <c r="GEA26" t="s">
        <v>6984</v>
      </c>
      <c r="GEB26" t="s">
        <v>6984</v>
      </c>
      <c r="GEC26" t="s">
        <v>6984</v>
      </c>
      <c r="GED26" t="s">
        <v>6984</v>
      </c>
      <c r="GEE26" t="s">
        <v>6984</v>
      </c>
      <c r="GEF26" t="s">
        <v>6984</v>
      </c>
      <c r="GEG26" t="s">
        <v>6984</v>
      </c>
      <c r="GEH26" t="s">
        <v>6984</v>
      </c>
      <c r="GEI26" t="s">
        <v>6984</v>
      </c>
      <c r="GEJ26" t="s">
        <v>6984</v>
      </c>
      <c r="GEK26" t="s">
        <v>6984</v>
      </c>
      <c r="GEL26" t="s">
        <v>6984</v>
      </c>
      <c r="GEM26" t="s">
        <v>6984</v>
      </c>
      <c r="GEN26" t="s">
        <v>6984</v>
      </c>
      <c r="GEO26" t="s">
        <v>6984</v>
      </c>
      <c r="GEP26" t="s">
        <v>6984</v>
      </c>
      <c r="GEQ26" t="s">
        <v>6984</v>
      </c>
      <c r="GER26" t="s">
        <v>6984</v>
      </c>
      <c r="GES26" t="s">
        <v>6984</v>
      </c>
      <c r="GET26" t="s">
        <v>6984</v>
      </c>
      <c r="GEU26" t="s">
        <v>6984</v>
      </c>
      <c r="GEV26" t="s">
        <v>6984</v>
      </c>
      <c r="GEW26" t="s">
        <v>6984</v>
      </c>
      <c r="GEX26" t="s">
        <v>6984</v>
      </c>
      <c r="GEY26" t="s">
        <v>6984</v>
      </c>
      <c r="GEZ26" t="s">
        <v>6984</v>
      </c>
      <c r="GFA26" t="s">
        <v>6984</v>
      </c>
      <c r="GFB26" t="s">
        <v>6984</v>
      </c>
      <c r="GFC26" t="s">
        <v>6984</v>
      </c>
      <c r="GFD26" t="s">
        <v>6984</v>
      </c>
      <c r="GFE26" t="s">
        <v>6984</v>
      </c>
      <c r="GFF26" t="s">
        <v>6984</v>
      </c>
      <c r="GFG26" t="s">
        <v>6984</v>
      </c>
      <c r="GFH26" t="s">
        <v>6984</v>
      </c>
      <c r="GFI26" t="s">
        <v>6984</v>
      </c>
      <c r="GFJ26" t="s">
        <v>6984</v>
      </c>
      <c r="GFK26" t="s">
        <v>6984</v>
      </c>
      <c r="GFL26" t="s">
        <v>6984</v>
      </c>
      <c r="GFM26" t="s">
        <v>6984</v>
      </c>
      <c r="GFN26" t="s">
        <v>6984</v>
      </c>
      <c r="GFO26" t="s">
        <v>6984</v>
      </c>
      <c r="GFP26" t="s">
        <v>6984</v>
      </c>
      <c r="GFQ26" t="s">
        <v>6984</v>
      </c>
      <c r="GFR26" t="s">
        <v>6984</v>
      </c>
      <c r="GFS26" t="s">
        <v>6984</v>
      </c>
      <c r="GFT26" t="s">
        <v>6984</v>
      </c>
      <c r="GFU26" t="s">
        <v>6984</v>
      </c>
      <c r="GFV26" t="s">
        <v>6984</v>
      </c>
      <c r="GFW26" t="s">
        <v>6984</v>
      </c>
      <c r="GFX26" t="s">
        <v>6984</v>
      </c>
      <c r="GFY26" t="s">
        <v>6984</v>
      </c>
      <c r="GFZ26" t="s">
        <v>6984</v>
      </c>
      <c r="GGA26" t="s">
        <v>6984</v>
      </c>
      <c r="GGB26" t="s">
        <v>6984</v>
      </c>
      <c r="GGC26" t="s">
        <v>6984</v>
      </c>
      <c r="GGD26" t="s">
        <v>6984</v>
      </c>
      <c r="GGE26" t="s">
        <v>6984</v>
      </c>
      <c r="GGF26" t="s">
        <v>6984</v>
      </c>
      <c r="GGG26" t="s">
        <v>6984</v>
      </c>
      <c r="GGH26" t="s">
        <v>6984</v>
      </c>
      <c r="GGI26" t="s">
        <v>6984</v>
      </c>
      <c r="GGJ26" t="s">
        <v>6984</v>
      </c>
      <c r="GGK26" t="s">
        <v>6984</v>
      </c>
      <c r="GGL26" t="s">
        <v>6984</v>
      </c>
      <c r="GGM26" t="s">
        <v>6984</v>
      </c>
      <c r="GGN26" t="s">
        <v>6984</v>
      </c>
      <c r="GGO26" t="s">
        <v>6984</v>
      </c>
      <c r="GGP26" t="s">
        <v>6984</v>
      </c>
      <c r="GGQ26" t="s">
        <v>6984</v>
      </c>
      <c r="GGR26" t="s">
        <v>6984</v>
      </c>
      <c r="GGS26" t="s">
        <v>6984</v>
      </c>
      <c r="GGT26" t="s">
        <v>6984</v>
      </c>
      <c r="GGU26" t="s">
        <v>6984</v>
      </c>
      <c r="GGV26" t="s">
        <v>6984</v>
      </c>
      <c r="GGW26" t="s">
        <v>6984</v>
      </c>
      <c r="GGX26" t="s">
        <v>6984</v>
      </c>
      <c r="GGY26" t="s">
        <v>6984</v>
      </c>
      <c r="GGZ26" t="s">
        <v>6984</v>
      </c>
      <c r="GHA26" t="s">
        <v>6984</v>
      </c>
      <c r="GHB26" t="s">
        <v>6984</v>
      </c>
      <c r="GHC26" t="s">
        <v>6984</v>
      </c>
      <c r="GHD26" t="s">
        <v>6984</v>
      </c>
      <c r="GHE26" t="s">
        <v>6984</v>
      </c>
      <c r="GHF26" t="s">
        <v>6984</v>
      </c>
      <c r="GHG26" t="s">
        <v>6984</v>
      </c>
      <c r="GHH26" t="s">
        <v>6984</v>
      </c>
      <c r="GHI26" t="s">
        <v>6984</v>
      </c>
      <c r="GHJ26" t="s">
        <v>6984</v>
      </c>
      <c r="GHK26" t="s">
        <v>6984</v>
      </c>
      <c r="GHL26" t="s">
        <v>6984</v>
      </c>
      <c r="GHM26" t="s">
        <v>6984</v>
      </c>
      <c r="GHN26" t="s">
        <v>6984</v>
      </c>
      <c r="GHO26" t="s">
        <v>6984</v>
      </c>
      <c r="GHP26" t="s">
        <v>6984</v>
      </c>
      <c r="GHQ26" t="s">
        <v>6984</v>
      </c>
      <c r="GHR26" t="s">
        <v>6984</v>
      </c>
      <c r="GHS26" t="s">
        <v>6984</v>
      </c>
      <c r="GHT26" t="s">
        <v>6984</v>
      </c>
      <c r="GHU26" t="s">
        <v>6984</v>
      </c>
      <c r="GHV26" t="s">
        <v>6984</v>
      </c>
      <c r="GHW26" t="s">
        <v>6984</v>
      </c>
      <c r="GHX26" t="s">
        <v>6984</v>
      </c>
      <c r="GHY26" t="s">
        <v>6984</v>
      </c>
      <c r="GHZ26" t="s">
        <v>6984</v>
      </c>
      <c r="GIA26" t="s">
        <v>6984</v>
      </c>
      <c r="GIB26" t="s">
        <v>6984</v>
      </c>
      <c r="GIC26" t="s">
        <v>6984</v>
      </c>
      <c r="GID26" t="s">
        <v>6984</v>
      </c>
      <c r="GIE26" t="s">
        <v>6984</v>
      </c>
      <c r="GIF26" t="s">
        <v>6984</v>
      </c>
      <c r="GIG26" t="s">
        <v>6984</v>
      </c>
      <c r="GIH26" t="s">
        <v>6984</v>
      </c>
      <c r="GII26" t="s">
        <v>6984</v>
      </c>
      <c r="GIJ26" t="s">
        <v>6984</v>
      </c>
      <c r="GIK26" t="s">
        <v>6984</v>
      </c>
      <c r="GIL26" t="s">
        <v>6984</v>
      </c>
      <c r="GIM26" t="s">
        <v>6984</v>
      </c>
      <c r="GIN26" t="s">
        <v>6984</v>
      </c>
      <c r="GIO26" t="s">
        <v>6984</v>
      </c>
      <c r="GIP26" t="s">
        <v>6984</v>
      </c>
      <c r="GIQ26" t="s">
        <v>6984</v>
      </c>
      <c r="GIR26" t="s">
        <v>6984</v>
      </c>
      <c r="GIS26" t="s">
        <v>6984</v>
      </c>
      <c r="GIT26" t="s">
        <v>6984</v>
      </c>
      <c r="GIU26" t="s">
        <v>6984</v>
      </c>
      <c r="GIV26" t="s">
        <v>6984</v>
      </c>
      <c r="GIW26" t="s">
        <v>6984</v>
      </c>
      <c r="GIX26" t="s">
        <v>6984</v>
      </c>
      <c r="GIY26" t="s">
        <v>6984</v>
      </c>
      <c r="GIZ26" t="s">
        <v>6984</v>
      </c>
      <c r="GJA26" t="s">
        <v>6984</v>
      </c>
      <c r="GJB26" t="s">
        <v>6984</v>
      </c>
      <c r="GJC26" t="s">
        <v>6984</v>
      </c>
      <c r="GJD26" t="s">
        <v>6984</v>
      </c>
      <c r="GJE26" t="s">
        <v>6984</v>
      </c>
      <c r="GJF26" t="s">
        <v>6984</v>
      </c>
      <c r="GJG26" t="s">
        <v>6984</v>
      </c>
      <c r="GJH26" t="s">
        <v>6984</v>
      </c>
      <c r="GJI26" t="s">
        <v>6984</v>
      </c>
      <c r="GJJ26" t="s">
        <v>6984</v>
      </c>
      <c r="GJK26" t="s">
        <v>6984</v>
      </c>
      <c r="GJL26" t="s">
        <v>6984</v>
      </c>
      <c r="GJM26" t="s">
        <v>6984</v>
      </c>
      <c r="GJN26" t="s">
        <v>6984</v>
      </c>
      <c r="GJO26" t="s">
        <v>6984</v>
      </c>
      <c r="GJP26" t="s">
        <v>6984</v>
      </c>
      <c r="GJQ26" t="s">
        <v>6984</v>
      </c>
      <c r="GJR26" t="s">
        <v>6984</v>
      </c>
      <c r="GJS26" t="s">
        <v>6984</v>
      </c>
      <c r="GJT26" t="s">
        <v>6984</v>
      </c>
      <c r="GJU26" t="s">
        <v>6984</v>
      </c>
      <c r="GJV26" t="s">
        <v>6984</v>
      </c>
      <c r="GJW26" t="s">
        <v>6984</v>
      </c>
      <c r="GJX26" t="s">
        <v>6984</v>
      </c>
      <c r="GJY26" t="s">
        <v>6984</v>
      </c>
      <c r="GJZ26" t="s">
        <v>6984</v>
      </c>
      <c r="GKA26" t="s">
        <v>6984</v>
      </c>
      <c r="GKB26" t="s">
        <v>6984</v>
      </c>
      <c r="GKC26" t="s">
        <v>6984</v>
      </c>
      <c r="GKD26" t="s">
        <v>6984</v>
      </c>
      <c r="GKE26" t="s">
        <v>6984</v>
      </c>
      <c r="GKF26" t="s">
        <v>6984</v>
      </c>
      <c r="GKG26" t="s">
        <v>6984</v>
      </c>
      <c r="GKH26" t="s">
        <v>6984</v>
      </c>
      <c r="GKI26" t="s">
        <v>6984</v>
      </c>
      <c r="GKJ26" t="s">
        <v>6984</v>
      </c>
      <c r="GKK26" t="s">
        <v>6984</v>
      </c>
      <c r="GKL26" t="s">
        <v>6984</v>
      </c>
      <c r="GKM26" t="s">
        <v>6984</v>
      </c>
      <c r="GKN26" t="s">
        <v>6984</v>
      </c>
      <c r="GKO26" t="s">
        <v>6984</v>
      </c>
      <c r="GKP26" t="s">
        <v>6984</v>
      </c>
      <c r="GKQ26" t="s">
        <v>6984</v>
      </c>
      <c r="GKR26" t="s">
        <v>6984</v>
      </c>
      <c r="GKS26" t="s">
        <v>6984</v>
      </c>
      <c r="GKT26" t="s">
        <v>6984</v>
      </c>
      <c r="GKU26" t="s">
        <v>6984</v>
      </c>
      <c r="GKV26" t="s">
        <v>6984</v>
      </c>
      <c r="GKW26" t="s">
        <v>6984</v>
      </c>
      <c r="GKX26" t="s">
        <v>6984</v>
      </c>
      <c r="GKY26" t="s">
        <v>6984</v>
      </c>
      <c r="GKZ26" t="s">
        <v>6984</v>
      </c>
      <c r="GLA26" t="s">
        <v>6984</v>
      </c>
      <c r="GLB26" t="s">
        <v>6984</v>
      </c>
      <c r="GLC26" t="s">
        <v>6984</v>
      </c>
      <c r="GLD26" t="s">
        <v>6984</v>
      </c>
      <c r="GLE26" t="s">
        <v>6984</v>
      </c>
      <c r="GLF26" t="s">
        <v>6984</v>
      </c>
      <c r="GLG26" t="s">
        <v>6984</v>
      </c>
      <c r="GLH26" t="s">
        <v>6984</v>
      </c>
      <c r="GLI26" t="s">
        <v>6984</v>
      </c>
      <c r="GLJ26" t="s">
        <v>6984</v>
      </c>
      <c r="GLK26" t="s">
        <v>6984</v>
      </c>
      <c r="GLL26" t="s">
        <v>6984</v>
      </c>
      <c r="GLM26" t="s">
        <v>6984</v>
      </c>
      <c r="GLN26" t="s">
        <v>6984</v>
      </c>
      <c r="GLO26" t="s">
        <v>6984</v>
      </c>
      <c r="GLP26" t="s">
        <v>6984</v>
      </c>
      <c r="GLQ26" t="s">
        <v>6984</v>
      </c>
      <c r="GLR26" t="s">
        <v>6984</v>
      </c>
      <c r="GLS26" t="s">
        <v>6984</v>
      </c>
      <c r="GLT26" t="s">
        <v>6984</v>
      </c>
      <c r="GLU26" t="s">
        <v>6984</v>
      </c>
      <c r="GLV26" t="s">
        <v>6984</v>
      </c>
      <c r="GLW26" t="s">
        <v>6984</v>
      </c>
      <c r="GLX26" t="s">
        <v>6984</v>
      </c>
      <c r="GLY26" t="s">
        <v>6984</v>
      </c>
      <c r="GLZ26" t="s">
        <v>6984</v>
      </c>
      <c r="GMA26" t="s">
        <v>6984</v>
      </c>
      <c r="GMB26" t="s">
        <v>6984</v>
      </c>
      <c r="GMC26" t="s">
        <v>6984</v>
      </c>
      <c r="GMD26" t="s">
        <v>6984</v>
      </c>
      <c r="GME26" t="s">
        <v>6984</v>
      </c>
      <c r="GMF26" t="s">
        <v>6984</v>
      </c>
      <c r="GMG26" t="s">
        <v>6984</v>
      </c>
      <c r="GMH26" t="s">
        <v>6984</v>
      </c>
      <c r="GMI26" t="s">
        <v>6984</v>
      </c>
      <c r="GMJ26" t="s">
        <v>6984</v>
      </c>
      <c r="GMK26" t="s">
        <v>6984</v>
      </c>
      <c r="GML26" t="s">
        <v>6984</v>
      </c>
      <c r="GMM26" t="s">
        <v>6984</v>
      </c>
      <c r="GMN26" t="s">
        <v>6984</v>
      </c>
      <c r="GMO26" t="s">
        <v>6984</v>
      </c>
      <c r="GMP26" t="s">
        <v>6984</v>
      </c>
      <c r="GMQ26" t="s">
        <v>6984</v>
      </c>
      <c r="GMR26" t="s">
        <v>6984</v>
      </c>
      <c r="GMS26" t="s">
        <v>6984</v>
      </c>
      <c r="GMT26" t="s">
        <v>6984</v>
      </c>
      <c r="GMU26" t="s">
        <v>6984</v>
      </c>
      <c r="GMV26" t="s">
        <v>6984</v>
      </c>
      <c r="GMW26" t="s">
        <v>6984</v>
      </c>
      <c r="GMX26" t="s">
        <v>6984</v>
      </c>
      <c r="GMY26" t="s">
        <v>6984</v>
      </c>
      <c r="GMZ26" t="s">
        <v>6984</v>
      </c>
      <c r="GNA26" t="s">
        <v>6984</v>
      </c>
      <c r="GNB26" t="s">
        <v>6984</v>
      </c>
      <c r="GNC26" t="s">
        <v>6984</v>
      </c>
      <c r="GND26" t="s">
        <v>6984</v>
      </c>
      <c r="GNE26" t="s">
        <v>6984</v>
      </c>
      <c r="GNF26" t="s">
        <v>6984</v>
      </c>
      <c r="GNG26" t="s">
        <v>6984</v>
      </c>
      <c r="GNH26" t="s">
        <v>6984</v>
      </c>
      <c r="GNI26" t="s">
        <v>6984</v>
      </c>
      <c r="GNJ26" t="s">
        <v>6984</v>
      </c>
      <c r="GNK26" t="s">
        <v>6984</v>
      </c>
      <c r="GNL26" t="s">
        <v>6984</v>
      </c>
      <c r="GNM26" t="s">
        <v>6984</v>
      </c>
      <c r="GNN26" t="s">
        <v>6984</v>
      </c>
      <c r="GNO26" t="s">
        <v>6984</v>
      </c>
      <c r="GNP26" t="s">
        <v>6984</v>
      </c>
      <c r="GNQ26" t="s">
        <v>6984</v>
      </c>
      <c r="GNR26" t="s">
        <v>6984</v>
      </c>
      <c r="GNS26" t="s">
        <v>6984</v>
      </c>
      <c r="GNT26" t="s">
        <v>6984</v>
      </c>
      <c r="GNU26" t="s">
        <v>6984</v>
      </c>
      <c r="GNV26" t="s">
        <v>6984</v>
      </c>
      <c r="GNW26" t="s">
        <v>6984</v>
      </c>
      <c r="GNX26" t="s">
        <v>6984</v>
      </c>
      <c r="GNY26" t="s">
        <v>6984</v>
      </c>
      <c r="GNZ26" t="s">
        <v>6984</v>
      </c>
      <c r="GOA26" t="s">
        <v>6984</v>
      </c>
      <c r="GOB26" t="s">
        <v>6984</v>
      </c>
      <c r="GOC26" t="s">
        <v>6984</v>
      </c>
      <c r="GOD26" t="s">
        <v>6984</v>
      </c>
      <c r="GOE26" t="s">
        <v>6984</v>
      </c>
      <c r="GOF26" t="s">
        <v>6984</v>
      </c>
      <c r="GOG26" t="s">
        <v>6984</v>
      </c>
      <c r="GOH26" t="s">
        <v>6984</v>
      </c>
      <c r="GOI26" t="s">
        <v>6984</v>
      </c>
      <c r="GOJ26" t="s">
        <v>6984</v>
      </c>
      <c r="GOK26" t="s">
        <v>6984</v>
      </c>
      <c r="GOL26" t="s">
        <v>6984</v>
      </c>
      <c r="GOM26" t="s">
        <v>6984</v>
      </c>
      <c r="GON26" t="s">
        <v>6984</v>
      </c>
      <c r="GOO26" t="s">
        <v>6984</v>
      </c>
      <c r="GOP26" t="s">
        <v>6984</v>
      </c>
      <c r="GOQ26" t="s">
        <v>6984</v>
      </c>
      <c r="GOR26" t="s">
        <v>6984</v>
      </c>
      <c r="GOS26" t="s">
        <v>6984</v>
      </c>
      <c r="GOT26" t="s">
        <v>6984</v>
      </c>
      <c r="GOU26" t="s">
        <v>6984</v>
      </c>
      <c r="GOV26" t="s">
        <v>6984</v>
      </c>
      <c r="GOW26" t="s">
        <v>6984</v>
      </c>
      <c r="GOX26" t="s">
        <v>6984</v>
      </c>
      <c r="GOY26" t="s">
        <v>6984</v>
      </c>
      <c r="GOZ26" t="s">
        <v>6984</v>
      </c>
      <c r="GPA26" t="s">
        <v>6984</v>
      </c>
      <c r="GPB26" t="s">
        <v>6984</v>
      </c>
      <c r="GPC26" t="s">
        <v>6984</v>
      </c>
      <c r="GPD26" t="s">
        <v>6984</v>
      </c>
      <c r="GPE26" t="s">
        <v>6984</v>
      </c>
      <c r="GPF26" t="s">
        <v>6984</v>
      </c>
      <c r="GPG26" t="s">
        <v>6984</v>
      </c>
      <c r="GPH26" t="s">
        <v>6984</v>
      </c>
      <c r="GPI26" t="s">
        <v>6984</v>
      </c>
      <c r="GPJ26" t="s">
        <v>6984</v>
      </c>
      <c r="GPK26" t="s">
        <v>6984</v>
      </c>
      <c r="GPL26" t="s">
        <v>6984</v>
      </c>
      <c r="GPM26" t="s">
        <v>6984</v>
      </c>
      <c r="GPN26" t="s">
        <v>6984</v>
      </c>
      <c r="GPO26" t="s">
        <v>6984</v>
      </c>
      <c r="GPP26" t="s">
        <v>6984</v>
      </c>
      <c r="GPQ26" t="s">
        <v>6984</v>
      </c>
      <c r="GPR26" t="s">
        <v>6984</v>
      </c>
      <c r="GPS26" t="s">
        <v>6984</v>
      </c>
      <c r="GPT26" t="s">
        <v>6984</v>
      </c>
      <c r="GPU26" t="s">
        <v>6984</v>
      </c>
      <c r="GPV26" t="s">
        <v>6984</v>
      </c>
      <c r="GPW26" t="s">
        <v>6984</v>
      </c>
      <c r="GPX26" t="s">
        <v>6984</v>
      </c>
      <c r="GPY26" t="s">
        <v>6984</v>
      </c>
      <c r="GPZ26" t="s">
        <v>6984</v>
      </c>
      <c r="GQA26" t="s">
        <v>6984</v>
      </c>
      <c r="GQB26" t="s">
        <v>6984</v>
      </c>
      <c r="GQC26" t="s">
        <v>6984</v>
      </c>
      <c r="GQD26" t="s">
        <v>6984</v>
      </c>
      <c r="GQE26" t="s">
        <v>6984</v>
      </c>
      <c r="GQF26" t="s">
        <v>6984</v>
      </c>
      <c r="GQG26" t="s">
        <v>6984</v>
      </c>
      <c r="GQH26" t="s">
        <v>6984</v>
      </c>
      <c r="GQI26" t="s">
        <v>6984</v>
      </c>
      <c r="GQJ26" t="s">
        <v>6984</v>
      </c>
      <c r="GQK26" t="s">
        <v>6984</v>
      </c>
      <c r="GQL26" t="s">
        <v>6984</v>
      </c>
      <c r="GQM26" t="s">
        <v>6984</v>
      </c>
      <c r="GQN26" t="s">
        <v>6984</v>
      </c>
      <c r="GQO26" t="s">
        <v>6984</v>
      </c>
      <c r="GQP26" t="s">
        <v>6984</v>
      </c>
      <c r="GQQ26" t="s">
        <v>6984</v>
      </c>
      <c r="GQR26" t="s">
        <v>6984</v>
      </c>
      <c r="GQS26" t="s">
        <v>6984</v>
      </c>
      <c r="GQT26" t="s">
        <v>6984</v>
      </c>
      <c r="GQU26" t="s">
        <v>6984</v>
      </c>
      <c r="GQV26" t="s">
        <v>6984</v>
      </c>
      <c r="GQW26" t="s">
        <v>6984</v>
      </c>
      <c r="GQX26" t="s">
        <v>6984</v>
      </c>
      <c r="GQY26" t="s">
        <v>6984</v>
      </c>
      <c r="GQZ26" t="s">
        <v>6984</v>
      </c>
      <c r="GRA26" t="s">
        <v>6984</v>
      </c>
      <c r="GRB26" t="s">
        <v>6984</v>
      </c>
      <c r="GRC26" t="s">
        <v>6984</v>
      </c>
      <c r="GRD26" t="s">
        <v>6984</v>
      </c>
      <c r="GRE26" t="s">
        <v>6984</v>
      </c>
      <c r="GRF26" t="s">
        <v>6984</v>
      </c>
      <c r="GRG26" t="s">
        <v>6984</v>
      </c>
      <c r="GRH26" t="s">
        <v>6984</v>
      </c>
      <c r="GRI26" t="s">
        <v>6984</v>
      </c>
      <c r="GRJ26" t="s">
        <v>6984</v>
      </c>
      <c r="GRK26" t="s">
        <v>6984</v>
      </c>
      <c r="GRL26" t="s">
        <v>6984</v>
      </c>
      <c r="GRM26" t="s">
        <v>6984</v>
      </c>
      <c r="GRN26" t="s">
        <v>6984</v>
      </c>
      <c r="GRO26" t="s">
        <v>6984</v>
      </c>
      <c r="GRP26" t="s">
        <v>6984</v>
      </c>
      <c r="GRQ26" t="s">
        <v>6984</v>
      </c>
      <c r="GRR26" t="s">
        <v>6984</v>
      </c>
      <c r="GRS26" t="s">
        <v>6984</v>
      </c>
      <c r="GRT26" t="s">
        <v>6984</v>
      </c>
      <c r="GRU26" t="s">
        <v>6984</v>
      </c>
      <c r="GRV26" t="s">
        <v>6984</v>
      </c>
      <c r="GRW26" t="s">
        <v>6984</v>
      </c>
      <c r="GRX26" t="s">
        <v>6984</v>
      </c>
      <c r="GRY26" t="s">
        <v>6984</v>
      </c>
      <c r="GRZ26" t="s">
        <v>6984</v>
      </c>
      <c r="GSA26" t="s">
        <v>6984</v>
      </c>
      <c r="GSB26" t="s">
        <v>6984</v>
      </c>
      <c r="GSC26" t="s">
        <v>6984</v>
      </c>
      <c r="GSD26" t="s">
        <v>6984</v>
      </c>
      <c r="GSE26" t="s">
        <v>6984</v>
      </c>
      <c r="GSF26" t="s">
        <v>6984</v>
      </c>
      <c r="GSG26" t="s">
        <v>6984</v>
      </c>
      <c r="GSH26" t="s">
        <v>6984</v>
      </c>
      <c r="GSI26" t="s">
        <v>6984</v>
      </c>
      <c r="GSJ26" t="s">
        <v>6984</v>
      </c>
      <c r="GSK26" t="s">
        <v>6984</v>
      </c>
      <c r="GSL26" t="s">
        <v>6984</v>
      </c>
      <c r="GSM26" t="s">
        <v>6984</v>
      </c>
      <c r="GSN26" t="s">
        <v>6984</v>
      </c>
      <c r="GSO26" t="s">
        <v>6984</v>
      </c>
      <c r="GSP26" t="s">
        <v>6984</v>
      </c>
      <c r="GSQ26" t="s">
        <v>6984</v>
      </c>
      <c r="GSR26" t="s">
        <v>6984</v>
      </c>
      <c r="GSS26" t="s">
        <v>6984</v>
      </c>
      <c r="GST26" t="s">
        <v>6984</v>
      </c>
      <c r="GSU26" t="s">
        <v>6984</v>
      </c>
      <c r="GSV26" t="s">
        <v>6984</v>
      </c>
      <c r="GSW26" t="s">
        <v>6984</v>
      </c>
      <c r="GSX26" t="s">
        <v>6984</v>
      </c>
      <c r="GSY26" t="s">
        <v>6984</v>
      </c>
      <c r="GSZ26" t="s">
        <v>6984</v>
      </c>
      <c r="GTA26" t="s">
        <v>6984</v>
      </c>
      <c r="GTB26" t="s">
        <v>6984</v>
      </c>
      <c r="GTC26" t="s">
        <v>6984</v>
      </c>
      <c r="GTD26" t="s">
        <v>6984</v>
      </c>
      <c r="GTE26" t="s">
        <v>6984</v>
      </c>
      <c r="GTF26" t="s">
        <v>6984</v>
      </c>
      <c r="GTG26" t="s">
        <v>6984</v>
      </c>
      <c r="GTH26" t="s">
        <v>6984</v>
      </c>
      <c r="GTI26" t="s">
        <v>6984</v>
      </c>
      <c r="GTJ26" t="s">
        <v>6984</v>
      </c>
      <c r="GTK26" t="s">
        <v>6984</v>
      </c>
      <c r="GTL26" t="s">
        <v>6984</v>
      </c>
      <c r="GTM26" t="s">
        <v>6984</v>
      </c>
      <c r="GTN26" t="s">
        <v>6984</v>
      </c>
      <c r="GTO26" t="s">
        <v>6984</v>
      </c>
      <c r="GTP26" t="s">
        <v>6984</v>
      </c>
      <c r="GTQ26" t="s">
        <v>6984</v>
      </c>
      <c r="GTR26" t="s">
        <v>6984</v>
      </c>
      <c r="GTS26" t="s">
        <v>6984</v>
      </c>
      <c r="GTT26" t="s">
        <v>6984</v>
      </c>
      <c r="GTU26" t="s">
        <v>6984</v>
      </c>
      <c r="GTV26" t="s">
        <v>6984</v>
      </c>
      <c r="GTW26" t="s">
        <v>6984</v>
      </c>
      <c r="GTX26" t="s">
        <v>6984</v>
      </c>
      <c r="GTY26" t="s">
        <v>6984</v>
      </c>
      <c r="GTZ26" t="s">
        <v>6984</v>
      </c>
      <c r="GUA26" t="s">
        <v>6984</v>
      </c>
      <c r="GUB26" t="s">
        <v>6984</v>
      </c>
      <c r="GUC26" t="s">
        <v>6984</v>
      </c>
      <c r="GUD26" t="s">
        <v>6984</v>
      </c>
      <c r="GUE26" t="s">
        <v>6984</v>
      </c>
      <c r="GUF26" t="s">
        <v>6984</v>
      </c>
      <c r="GUG26" t="s">
        <v>6984</v>
      </c>
      <c r="GUH26" t="s">
        <v>6984</v>
      </c>
      <c r="GUI26" t="s">
        <v>6984</v>
      </c>
      <c r="GUJ26" t="s">
        <v>6984</v>
      </c>
      <c r="GUK26" t="s">
        <v>6984</v>
      </c>
      <c r="GUL26" t="s">
        <v>6984</v>
      </c>
      <c r="GUM26" t="s">
        <v>6984</v>
      </c>
      <c r="GUN26" t="s">
        <v>6984</v>
      </c>
      <c r="GUO26" t="s">
        <v>6984</v>
      </c>
      <c r="GUP26" t="s">
        <v>6984</v>
      </c>
      <c r="GUQ26" t="s">
        <v>6984</v>
      </c>
      <c r="GUR26" t="s">
        <v>6984</v>
      </c>
      <c r="GUS26" t="s">
        <v>6984</v>
      </c>
      <c r="GUT26" t="s">
        <v>6984</v>
      </c>
      <c r="GUU26" t="s">
        <v>6984</v>
      </c>
      <c r="GUV26" t="s">
        <v>6984</v>
      </c>
      <c r="GUW26" t="s">
        <v>6984</v>
      </c>
      <c r="GUX26" t="s">
        <v>6984</v>
      </c>
      <c r="GUY26" t="s">
        <v>6984</v>
      </c>
      <c r="GUZ26" t="s">
        <v>6984</v>
      </c>
      <c r="GVA26" t="s">
        <v>6984</v>
      </c>
      <c r="GVB26" t="s">
        <v>6984</v>
      </c>
      <c r="GVC26" t="s">
        <v>6984</v>
      </c>
      <c r="GVD26" t="s">
        <v>6984</v>
      </c>
      <c r="GVE26" t="s">
        <v>6984</v>
      </c>
      <c r="GVF26" t="s">
        <v>6984</v>
      </c>
      <c r="GVG26" t="s">
        <v>6984</v>
      </c>
      <c r="GVH26" t="s">
        <v>6984</v>
      </c>
      <c r="GVI26" t="s">
        <v>6984</v>
      </c>
      <c r="GVJ26" t="s">
        <v>6984</v>
      </c>
      <c r="GVK26" t="s">
        <v>6984</v>
      </c>
      <c r="GVL26" t="s">
        <v>6984</v>
      </c>
      <c r="GVM26" t="s">
        <v>6984</v>
      </c>
      <c r="GVN26" t="s">
        <v>6984</v>
      </c>
      <c r="GVO26" t="s">
        <v>6984</v>
      </c>
      <c r="GVP26" t="s">
        <v>6984</v>
      </c>
      <c r="GVQ26" t="s">
        <v>6984</v>
      </c>
      <c r="GVR26" t="s">
        <v>6984</v>
      </c>
      <c r="GVS26" t="s">
        <v>6984</v>
      </c>
      <c r="GVT26" t="s">
        <v>6984</v>
      </c>
      <c r="GVU26" t="s">
        <v>6984</v>
      </c>
      <c r="GVV26" t="s">
        <v>6984</v>
      </c>
      <c r="GVW26" t="s">
        <v>6984</v>
      </c>
      <c r="GVX26" t="s">
        <v>6984</v>
      </c>
      <c r="GVY26" t="s">
        <v>6984</v>
      </c>
      <c r="GVZ26" t="s">
        <v>6984</v>
      </c>
      <c r="GWA26" t="s">
        <v>6984</v>
      </c>
      <c r="GWB26" t="s">
        <v>6984</v>
      </c>
      <c r="GWC26" t="s">
        <v>6984</v>
      </c>
      <c r="GWD26" t="s">
        <v>6984</v>
      </c>
      <c r="GWE26" t="s">
        <v>6984</v>
      </c>
      <c r="GWF26" t="s">
        <v>6984</v>
      </c>
      <c r="GWG26" t="s">
        <v>6984</v>
      </c>
      <c r="GWH26" t="s">
        <v>6984</v>
      </c>
      <c r="GWI26" t="s">
        <v>6984</v>
      </c>
      <c r="GWJ26" t="s">
        <v>6984</v>
      </c>
      <c r="GWK26" t="s">
        <v>6984</v>
      </c>
      <c r="GWL26" t="s">
        <v>6984</v>
      </c>
      <c r="GWM26" t="s">
        <v>6984</v>
      </c>
      <c r="GWN26" t="s">
        <v>6984</v>
      </c>
      <c r="GWO26" t="s">
        <v>6984</v>
      </c>
      <c r="GWP26" t="s">
        <v>6984</v>
      </c>
      <c r="GWQ26" t="s">
        <v>6984</v>
      </c>
      <c r="GWR26" t="s">
        <v>6984</v>
      </c>
      <c r="GWS26" t="s">
        <v>6984</v>
      </c>
      <c r="GWT26" t="s">
        <v>6984</v>
      </c>
      <c r="GWU26" t="s">
        <v>6984</v>
      </c>
      <c r="GWV26" t="s">
        <v>6984</v>
      </c>
      <c r="GWW26" t="s">
        <v>6984</v>
      </c>
      <c r="GWX26" t="s">
        <v>6984</v>
      </c>
      <c r="GWY26" t="s">
        <v>6984</v>
      </c>
      <c r="GWZ26" t="s">
        <v>6984</v>
      </c>
      <c r="GXA26" t="s">
        <v>6984</v>
      </c>
      <c r="GXB26" t="s">
        <v>6984</v>
      </c>
      <c r="GXC26" t="s">
        <v>6984</v>
      </c>
      <c r="GXD26" t="s">
        <v>6984</v>
      </c>
      <c r="GXE26" t="s">
        <v>6984</v>
      </c>
      <c r="GXF26" t="s">
        <v>6984</v>
      </c>
      <c r="GXG26" t="s">
        <v>6984</v>
      </c>
      <c r="GXH26" t="s">
        <v>6984</v>
      </c>
      <c r="GXI26" t="s">
        <v>6984</v>
      </c>
      <c r="GXJ26" t="s">
        <v>6984</v>
      </c>
      <c r="GXK26" t="s">
        <v>6984</v>
      </c>
      <c r="GXL26" t="s">
        <v>6984</v>
      </c>
      <c r="GXM26" t="s">
        <v>6984</v>
      </c>
      <c r="GXN26" t="s">
        <v>6984</v>
      </c>
      <c r="GXO26" t="s">
        <v>6984</v>
      </c>
      <c r="GXP26" t="s">
        <v>6984</v>
      </c>
      <c r="GXQ26" t="s">
        <v>6984</v>
      </c>
      <c r="GXR26" t="s">
        <v>6984</v>
      </c>
      <c r="GXS26" t="s">
        <v>6984</v>
      </c>
      <c r="GXT26" t="s">
        <v>6984</v>
      </c>
      <c r="GXU26" t="s">
        <v>6984</v>
      </c>
      <c r="GXV26" t="s">
        <v>6984</v>
      </c>
      <c r="GXW26" t="s">
        <v>6984</v>
      </c>
      <c r="GXX26" t="s">
        <v>6984</v>
      </c>
      <c r="GXY26" t="s">
        <v>6984</v>
      </c>
      <c r="GXZ26" t="s">
        <v>6984</v>
      </c>
      <c r="GYA26" t="s">
        <v>6984</v>
      </c>
      <c r="GYB26" t="s">
        <v>6984</v>
      </c>
      <c r="GYC26" t="s">
        <v>6984</v>
      </c>
      <c r="GYD26" t="s">
        <v>6984</v>
      </c>
      <c r="GYE26" t="s">
        <v>6984</v>
      </c>
      <c r="GYF26" t="s">
        <v>6984</v>
      </c>
      <c r="GYG26" t="s">
        <v>6984</v>
      </c>
      <c r="GYH26" t="s">
        <v>6984</v>
      </c>
      <c r="GYI26" t="s">
        <v>6984</v>
      </c>
      <c r="GYJ26" t="s">
        <v>6984</v>
      </c>
      <c r="GYK26" t="s">
        <v>6984</v>
      </c>
      <c r="GYL26" t="s">
        <v>6984</v>
      </c>
      <c r="GYM26" t="s">
        <v>6984</v>
      </c>
      <c r="GYN26" t="s">
        <v>6984</v>
      </c>
      <c r="GYO26" t="s">
        <v>6984</v>
      </c>
      <c r="GYP26" t="s">
        <v>6984</v>
      </c>
      <c r="GYQ26" t="s">
        <v>6984</v>
      </c>
      <c r="GYR26" t="s">
        <v>6984</v>
      </c>
      <c r="GYS26" t="s">
        <v>6984</v>
      </c>
      <c r="GYT26" t="s">
        <v>6984</v>
      </c>
      <c r="GYU26" t="s">
        <v>6984</v>
      </c>
      <c r="GYV26" t="s">
        <v>6984</v>
      </c>
      <c r="GYW26" t="s">
        <v>6984</v>
      </c>
      <c r="GYX26" t="s">
        <v>6984</v>
      </c>
      <c r="GYY26" t="s">
        <v>6984</v>
      </c>
      <c r="GYZ26" t="s">
        <v>6984</v>
      </c>
      <c r="GZA26" t="s">
        <v>6984</v>
      </c>
      <c r="GZB26" t="s">
        <v>6984</v>
      </c>
      <c r="GZC26" t="s">
        <v>6984</v>
      </c>
      <c r="GZD26" t="s">
        <v>6984</v>
      </c>
      <c r="GZE26" t="s">
        <v>6984</v>
      </c>
      <c r="GZF26" t="s">
        <v>6984</v>
      </c>
      <c r="GZG26" t="s">
        <v>6984</v>
      </c>
      <c r="GZH26" t="s">
        <v>6984</v>
      </c>
      <c r="GZI26" t="s">
        <v>6984</v>
      </c>
      <c r="GZJ26" t="s">
        <v>6984</v>
      </c>
      <c r="GZK26" t="s">
        <v>6984</v>
      </c>
      <c r="GZL26" t="s">
        <v>6984</v>
      </c>
      <c r="GZM26" t="s">
        <v>6984</v>
      </c>
      <c r="GZN26" t="s">
        <v>6984</v>
      </c>
      <c r="GZO26" t="s">
        <v>6984</v>
      </c>
      <c r="GZP26" t="s">
        <v>6984</v>
      </c>
      <c r="GZQ26" t="s">
        <v>6984</v>
      </c>
      <c r="GZR26" t="s">
        <v>6984</v>
      </c>
      <c r="GZS26" t="s">
        <v>6984</v>
      </c>
      <c r="GZT26" t="s">
        <v>6984</v>
      </c>
      <c r="GZU26" t="s">
        <v>6984</v>
      </c>
      <c r="GZV26" t="s">
        <v>6984</v>
      </c>
      <c r="GZW26" t="s">
        <v>6984</v>
      </c>
      <c r="GZX26" t="s">
        <v>6984</v>
      </c>
      <c r="GZY26" t="s">
        <v>6984</v>
      </c>
      <c r="GZZ26" t="s">
        <v>6984</v>
      </c>
      <c r="HAA26" t="s">
        <v>6984</v>
      </c>
      <c r="HAB26" t="s">
        <v>6984</v>
      </c>
      <c r="HAC26" t="s">
        <v>6984</v>
      </c>
      <c r="HAD26" t="s">
        <v>6984</v>
      </c>
      <c r="HAE26" t="s">
        <v>6984</v>
      </c>
      <c r="HAF26" t="s">
        <v>6984</v>
      </c>
      <c r="HAG26" t="s">
        <v>6984</v>
      </c>
      <c r="HAH26" t="s">
        <v>6984</v>
      </c>
      <c r="HAI26" t="s">
        <v>6984</v>
      </c>
      <c r="HAJ26" t="s">
        <v>6984</v>
      </c>
      <c r="HAK26" t="s">
        <v>6984</v>
      </c>
      <c r="HAL26" t="s">
        <v>6984</v>
      </c>
      <c r="HAM26" t="s">
        <v>6984</v>
      </c>
      <c r="HAN26" t="s">
        <v>6984</v>
      </c>
      <c r="HAO26" t="s">
        <v>6984</v>
      </c>
      <c r="HAP26" t="s">
        <v>6984</v>
      </c>
      <c r="HAQ26" t="s">
        <v>6984</v>
      </c>
      <c r="HAR26" t="s">
        <v>6984</v>
      </c>
      <c r="HAS26" t="s">
        <v>6984</v>
      </c>
      <c r="HAT26" t="s">
        <v>6984</v>
      </c>
      <c r="HAU26" t="s">
        <v>6984</v>
      </c>
      <c r="HAV26" t="s">
        <v>6984</v>
      </c>
      <c r="HAW26" t="s">
        <v>6984</v>
      </c>
      <c r="HAX26" t="s">
        <v>6984</v>
      </c>
      <c r="HAY26" t="s">
        <v>6984</v>
      </c>
      <c r="HAZ26" t="s">
        <v>6984</v>
      </c>
      <c r="HBA26" t="s">
        <v>6984</v>
      </c>
      <c r="HBB26" t="s">
        <v>6984</v>
      </c>
      <c r="HBC26" t="s">
        <v>6984</v>
      </c>
      <c r="HBD26" t="s">
        <v>6984</v>
      </c>
      <c r="HBE26" t="s">
        <v>6984</v>
      </c>
      <c r="HBF26" t="s">
        <v>6984</v>
      </c>
      <c r="HBG26" t="s">
        <v>6984</v>
      </c>
      <c r="HBH26" t="s">
        <v>6984</v>
      </c>
      <c r="HBI26" t="s">
        <v>6984</v>
      </c>
      <c r="HBJ26" t="s">
        <v>6984</v>
      </c>
      <c r="HBK26" t="s">
        <v>6984</v>
      </c>
      <c r="HBL26" t="s">
        <v>6984</v>
      </c>
      <c r="HBM26" t="s">
        <v>6984</v>
      </c>
      <c r="HBN26" t="s">
        <v>6984</v>
      </c>
      <c r="HBO26" t="s">
        <v>6984</v>
      </c>
      <c r="HBP26" t="s">
        <v>6984</v>
      </c>
      <c r="HBQ26" t="s">
        <v>6984</v>
      </c>
      <c r="HBR26" t="s">
        <v>6984</v>
      </c>
      <c r="HBS26" t="s">
        <v>6984</v>
      </c>
      <c r="HBT26" t="s">
        <v>6984</v>
      </c>
      <c r="HBU26" t="s">
        <v>6984</v>
      </c>
      <c r="HBV26" t="s">
        <v>6984</v>
      </c>
      <c r="HBW26" t="s">
        <v>6984</v>
      </c>
      <c r="HBX26" t="s">
        <v>6984</v>
      </c>
      <c r="HBY26" t="s">
        <v>6984</v>
      </c>
      <c r="HBZ26" t="s">
        <v>6984</v>
      </c>
      <c r="HCA26" t="s">
        <v>6984</v>
      </c>
      <c r="HCB26" t="s">
        <v>6984</v>
      </c>
      <c r="HCC26" t="s">
        <v>6984</v>
      </c>
      <c r="HCD26" t="s">
        <v>6984</v>
      </c>
      <c r="HCE26" t="s">
        <v>6984</v>
      </c>
      <c r="HCF26" t="s">
        <v>6984</v>
      </c>
      <c r="HCG26" t="s">
        <v>6984</v>
      </c>
      <c r="HCH26" t="s">
        <v>6984</v>
      </c>
      <c r="HCI26" t="s">
        <v>6984</v>
      </c>
      <c r="HCJ26" t="s">
        <v>6984</v>
      </c>
      <c r="HCK26" t="s">
        <v>6984</v>
      </c>
      <c r="HCL26" t="s">
        <v>6984</v>
      </c>
      <c r="HCM26" t="s">
        <v>6984</v>
      </c>
      <c r="HCN26" t="s">
        <v>6984</v>
      </c>
      <c r="HCO26" t="s">
        <v>6984</v>
      </c>
      <c r="HCP26" t="s">
        <v>6984</v>
      </c>
      <c r="HCQ26" t="s">
        <v>6984</v>
      </c>
      <c r="HCR26" t="s">
        <v>6984</v>
      </c>
      <c r="HCS26" t="s">
        <v>6984</v>
      </c>
      <c r="HCT26" t="s">
        <v>6984</v>
      </c>
      <c r="HCU26" t="s">
        <v>6984</v>
      </c>
      <c r="HCV26" t="s">
        <v>6984</v>
      </c>
      <c r="HCW26" t="s">
        <v>6984</v>
      </c>
      <c r="HCX26" t="s">
        <v>6984</v>
      </c>
      <c r="HCY26" t="s">
        <v>6984</v>
      </c>
      <c r="HCZ26" t="s">
        <v>6984</v>
      </c>
      <c r="HDA26" t="s">
        <v>6984</v>
      </c>
      <c r="HDB26" t="s">
        <v>6984</v>
      </c>
      <c r="HDC26" t="s">
        <v>6984</v>
      </c>
      <c r="HDD26" t="s">
        <v>6984</v>
      </c>
      <c r="HDE26" t="s">
        <v>6984</v>
      </c>
      <c r="HDF26" t="s">
        <v>6984</v>
      </c>
      <c r="HDG26" t="s">
        <v>6984</v>
      </c>
      <c r="HDH26" t="s">
        <v>6984</v>
      </c>
      <c r="HDI26" t="s">
        <v>6984</v>
      </c>
      <c r="HDJ26" t="s">
        <v>6984</v>
      </c>
      <c r="HDK26" t="s">
        <v>6984</v>
      </c>
      <c r="HDL26" t="s">
        <v>6984</v>
      </c>
      <c r="HDM26" t="s">
        <v>6984</v>
      </c>
      <c r="HDN26" t="s">
        <v>6984</v>
      </c>
      <c r="HDO26" t="s">
        <v>6984</v>
      </c>
      <c r="HDP26" t="s">
        <v>6984</v>
      </c>
      <c r="HDQ26" t="s">
        <v>6984</v>
      </c>
      <c r="HDR26" t="s">
        <v>6984</v>
      </c>
      <c r="HDS26" t="s">
        <v>6984</v>
      </c>
      <c r="HDT26" t="s">
        <v>6984</v>
      </c>
      <c r="HDU26" t="s">
        <v>6984</v>
      </c>
      <c r="HDV26" t="s">
        <v>6984</v>
      </c>
      <c r="HDW26" t="s">
        <v>6984</v>
      </c>
      <c r="HDX26" t="s">
        <v>6984</v>
      </c>
      <c r="HDY26" t="s">
        <v>6984</v>
      </c>
      <c r="HDZ26" t="s">
        <v>6984</v>
      </c>
      <c r="HEA26" t="s">
        <v>6984</v>
      </c>
      <c r="HEB26" t="s">
        <v>6984</v>
      </c>
      <c r="HEC26" t="s">
        <v>6984</v>
      </c>
      <c r="HED26" t="s">
        <v>6984</v>
      </c>
      <c r="HEE26" t="s">
        <v>6984</v>
      </c>
      <c r="HEF26" t="s">
        <v>6984</v>
      </c>
      <c r="HEG26" t="s">
        <v>6984</v>
      </c>
      <c r="HEH26" t="s">
        <v>6984</v>
      </c>
      <c r="HEI26" t="s">
        <v>6984</v>
      </c>
      <c r="HEJ26" t="s">
        <v>6984</v>
      </c>
      <c r="HEK26" t="s">
        <v>6984</v>
      </c>
      <c r="HEL26" t="s">
        <v>6984</v>
      </c>
      <c r="HEM26" t="s">
        <v>6984</v>
      </c>
      <c r="HEN26" t="s">
        <v>6984</v>
      </c>
      <c r="HEO26" t="s">
        <v>6984</v>
      </c>
      <c r="HEP26" t="s">
        <v>6984</v>
      </c>
      <c r="HEQ26" t="s">
        <v>6984</v>
      </c>
      <c r="HER26" t="s">
        <v>6984</v>
      </c>
      <c r="HES26" t="s">
        <v>6984</v>
      </c>
      <c r="HET26" t="s">
        <v>6984</v>
      </c>
      <c r="HEU26" t="s">
        <v>6984</v>
      </c>
      <c r="HEV26" t="s">
        <v>6984</v>
      </c>
      <c r="HEW26" t="s">
        <v>6984</v>
      </c>
      <c r="HEX26" t="s">
        <v>6984</v>
      </c>
      <c r="HEY26" t="s">
        <v>6984</v>
      </c>
      <c r="HEZ26" t="s">
        <v>6984</v>
      </c>
      <c r="HFA26" t="s">
        <v>6984</v>
      </c>
      <c r="HFB26" t="s">
        <v>6984</v>
      </c>
      <c r="HFC26" t="s">
        <v>6984</v>
      </c>
      <c r="HFD26" t="s">
        <v>6984</v>
      </c>
      <c r="HFE26" t="s">
        <v>6984</v>
      </c>
      <c r="HFF26" t="s">
        <v>6984</v>
      </c>
      <c r="HFG26" t="s">
        <v>6984</v>
      </c>
      <c r="HFH26" t="s">
        <v>6984</v>
      </c>
      <c r="HFI26" t="s">
        <v>6984</v>
      </c>
      <c r="HFJ26" t="s">
        <v>6984</v>
      </c>
      <c r="HFK26" t="s">
        <v>6984</v>
      </c>
      <c r="HFL26" t="s">
        <v>6984</v>
      </c>
      <c r="HFM26" t="s">
        <v>6984</v>
      </c>
      <c r="HFN26" t="s">
        <v>6984</v>
      </c>
      <c r="HFO26" t="s">
        <v>6984</v>
      </c>
      <c r="HFP26" t="s">
        <v>6984</v>
      </c>
      <c r="HFQ26" t="s">
        <v>6984</v>
      </c>
      <c r="HFR26" t="s">
        <v>6984</v>
      </c>
      <c r="HFS26" t="s">
        <v>6984</v>
      </c>
      <c r="HFT26" t="s">
        <v>6984</v>
      </c>
      <c r="HFU26" t="s">
        <v>6984</v>
      </c>
      <c r="HFV26" t="s">
        <v>6984</v>
      </c>
      <c r="HFW26" t="s">
        <v>6984</v>
      </c>
      <c r="HFX26" t="s">
        <v>6984</v>
      </c>
      <c r="HFY26" t="s">
        <v>6984</v>
      </c>
      <c r="HFZ26" t="s">
        <v>6984</v>
      </c>
      <c r="HGA26" t="s">
        <v>6984</v>
      </c>
      <c r="HGB26" t="s">
        <v>6984</v>
      </c>
      <c r="HGC26" t="s">
        <v>6984</v>
      </c>
      <c r="HGD26" t="s">
        <v>6984</v>
      </c>
      <c r="HGE26" t="s">
        <v>6984</v>
      </c>
      <c r="HGF26" t="s">
        <v>6984</v>
      </c>
      <c r="HGG26" t="s">
        <v>6984</v>
      </c>
      <c r="HGH26" t="s">
        <v>6984</v>
      </c>
      <c r="HGI26" t="s">
        <v>6984</v>
      </c>
      <c r="HGJ26" t="s">
        <v>6984</v>
      </c>
      <c r="HGK26" t="s">
        <v>6984</v>
      </c>
      <c r="HGL26" t="s">
        <v>6984</v>
      </c>
      <c r="HGM26" t="s">
        <v>6984</v>
      </c>
      <c r="HGN26" t="s">
        <v>6984</v>
      </c>
      <c r="HGO26" t="s">
        <v>6984</v>
      </c>
      <c r="HGP26" t="s">
        <v>6984</v>
      </c>
      <c r="HGQ26" t="s">
        <v>6984</v>
      </c>
      <c r="HGR26" t="s">
        <v>6984</v>
      </c>
      <c r="HGS26" t="s">
        <v>6984</v>
      </c>
      <c r="HGT26" t="s">
        <v>6984</v>
      </c>
      <c r="HGU26" t="s">
        <v>6984</v>
      </c>
      <c r="HGV26" t="s">
        <v>6984</v>
      </c>
      <c r="HGW26" t="s">
        <v>6984</v>
      </c>
      <c r="HGX26" t="s">
        <v>6984</v>
      </c>
      <c r="HGY26" t="s">
        <v>6984</v>
      </c>
      <c r="HGZ26" t="s">
        <v>6984</v>
      </c>
      <c r="HHA26" t="s">
        <v>6984</v>
      </c>
      <c r="HHB26" t="s">
        <v>6984</v>
      </c>
      <c r="HHC26" t="s">
        <v>6984</v>
      </c>
      <c r="HHD26" t="s">
        <v>6984</v>
      </c>
      <c r="HHE26" t="s">
        <v>6984</v>
      </c>
      <c r="HHF26" t="s">
        <v>6984</v>
      </c>
      <c r="HHG26" t="s">
        <v>6984</v>
      </c>
      <c r="HHH26" t="s">
        <v>6984</v>
      </c>
      <c r="HHI26" t="s">
        <v>6984</v>
      </c>
      <c r="HHJ26" t="s">
        <v>6984</v>
      </c>
      <c r="HHK26" t="s">
        <v>6984</v>
      </c>
      <c r="HHL26" t="s">
        <v>6984</v>
      </c>
      <c r="HHM26" t="s">
        <v>6984</v>
      </c>
      <c r="HHN26" t="s">
        <v>6984</v>
      </c>
      <c r="HHO26" t="s">
        <v>6984</v>
      </c>
      <c r="HHP26" t="s">
        <v>6984</v>
      </c>
      <c r="HHQ26" t="s">
        <v>6984</v>
      </c>
      <c r="HHR26" t="s">
        <v>6984</v>
      </c>
      <c r="HHS26" t="s">
        <v>6984</v>
      </c>
      <c r="HHT26" t="s">
        <v>6984</v>
      </c>
      <c r="HHU26" t="s">
        <v>6984</v>
      </c>
      <c r="HHV26" t="s">
        <v>6984</v>
      </c>
      <c r="HHW26" t="s">
        <v>6984</v>
      </c>
      <c r="HHX26" t="s">
        <v>6984</v>
      </c>
      <c r="HHY26" t="s">
        <v>6984</v>
      </c>
      <c r="HHZ26" t="s">
        <v>6984</v>
      </c>
      <c r="HIA26" t="s">
        <v>6984</v>
      </c>
      <c r="HIB26" t="s">
        <v>6984</v>
      </c>
      <c r="HIC26" t="s">
        <v>6984</v>
      </c>
      <c r="HID26" t="s">
        <v>6984</v>
      </c>
      <c r="HIE26" t="s">
        <v>6984</v>
      </c>
      <c r="HIF26" t="s">
        <v>6984</v>
      </c>
      <c r="HIG26" t="s">
        <v>6984</v>
      </c>
      <c r="HIH26" t="s">
        <v>6984</v>
      </c>
      <c r="HII26" t="s">
        <v>6984</v>
      </c>
      <c r="HIJ26" t="s">
        <v>6984</v>
      </c>
      <c r="HIK26" t="s">
        <v>6984</v>
      </c>
      <c r="HIL26" t="s">
        <v>6984</v>
      </c>
      <c r="HIM26" t="s">
        <v>6984</v>
      </c>
      <c r="HIN26" t="s">
        <v>6984</v>
      </c>
      <c r="HIO26" t="s">
        <v>6984</v>
      </c>
      <c r="HIP26" t="s">
        <v>6984</v>
      </c>
      <c r="HIQ26" t="s">
        <v>6984</v>
      </c>
      <c r="HIR26" t="s">
        <v>6984</v>
      </c>
      <c r="HIS26" t="s">
        <v>6984</v>
      </c>
      <c r="HIT26" t="s">
        <v>6984</v>
      </c>
      <c r="HIU26" t="s">
        <v>6984</v>
      </c>
      <c r="HIV26" t="s">
        <v>6984</v>
      </c>
      <c r="HIW26" t="s">
        <v>6984</v>
      </c>
      <c r="HIX26" t="s">
        <v>6984</v>
      </c>
      <c r="HIY26" t="s">
        <v>6984</v>
      </c>
      <c r="HIZ26" t="s">
        <v>6984</v>
      </c>
      <c r="HJA26" t="s">
        <v>6984</v>
      </c>
      <c r="HJB26" t="s">
        <v>6984</v>
      </c>
      <c r="HJC26" t="s">
        <v>6984</v>
      </c>
      <c r="HJD26" t="s">
        <v>6984</v>
      </c>
      <c r="HJE26" t="s">
        <v>6984</v>
      </c>
      <c r="HJF26" t="s">
        <v>6984</v>
      </c>
      <c r="HJG26" t="s">
        <v>6984</v>
      </c>
      <c r="HJH26" t="s">
        <v>6984</v>
      </c>
      <c r="HJI26" t="s">
        <v>6984</v>
      </c>
      <c r="HJJ26" t="s">
        <v>6984</v>
      </c>
      <c r="HJK26" t="s">
        <v>6984</v>
      </c>
      <c r="HJL26" t="s">
        <v>6984</v>
      </c>
      <c r="HJM26" t="s">
        <v>6984</v>
      </c>
      <c r="HJN26" t="s">
        <v>6984</v>
      </c>
      <c r="HJO26" t="s">
        <v>6984</v>
      </c>
      <c r="HJP26" t="s">
        <v>6984</v>
      </c>
      <c r="HJQ26" t="s">
        <v>6984</v>
      </c>
      <c r="HJR26" t="s">
        <v>6984</v>
      </c>
      <c r="HJS26" t="s">
        <v>6984</v>
      </c>
      <c r="HJT26" t="s">
        <v>6984</v>
      </c>
      <c r="HJU26" t="s">
        <v>6984</v>
      </c>
      <c r="HJV26" t="s">
        <v>6984</v>
      </c>
      <c r="HJW26" t="s">
        <v>6984</v>
      </c>
      <c r="HJX26" t="s">
        <v>6984</v>
      </c>
      <c r="HJY26" t="s">
        <v>6984</v>
      </c>
      <c r="HJZ26" t="s">
        <v>6984</v>
      </c>
      <c r="HKA26" t="s">
        <v>6984</v>
      </c>
      <c r="HKB26" t="s">
        <v>6984</v>
      </c>
      <c r="HKC26" t="s">
        <v>6984</v>
      </c>
      <c r="HKD26" t="s">
        <v>6984</v>
      </c>
      <c r="HKE26" t="s">
        <v>6984</v>
      </c>
      <c r="HKF26" t="s">
        <v>6984</v>
      </c>
      <c r="HKG26" t="s">
        <v>6984</v>
      </c>
      <c r="HKH26" t="s">
        <v>6984</v>
      </c>
      <c r="HKI26" t="s">
        <v>6984</v>
      </c>
      <c r="HKJ26" t="s">
        <v>6984</v>
      </c>
      <c r="HKK26" t="s">
        <v>6984</v>
      </c>
      <c r="HKL26" t="s">
        <v>6984</v>
      </c>
      <c r="HKM26" t="s">
        <v>6984</v>
      </c>
      <c r="HKN26" t="s">
        <v>6984</v>
      </c>
      <c r="HKO26" t="s">
        <v>6984</v>
      </c>
      <c r="HKP26" t="s">
        <v>6984</v>
      </c>
      <c r="HKQ26" t="s">
        <v>6984</v>
      </c>
      <c r="HKR26" t="s">
        <v>6984</v>
      </c>
      <c r="HKS26" t="s">
        <v>6984</v>
      </c>
      <c r="HKT26" t="s">
        <v>6984</v>
      </c>
      <c r="HKU26" t="s">
        <v>6984</v>
      </c>
      <c r="HKV26" t="s">
        <v>6984</v>
      </c>
      <c r="HKW26" t="s">
        <v>6984</v>
      </c>
      <c r="HKX26" t="s">
        <v>6984</v>
      </c>
      <c r="HKY26" t="s">
        <v>6984</v>
      </c>
      <c r="HKZ26" t="s">
        <v>6984</v>
      </c>
      <c r="HLA26" t="s">
        <v>6984</v>
      </c>
      <c r="HLB26" t="s">
        <v>6984</v>
      </c>
      <c r="HLC26" t="s">
        <v>6984</v>
      </c>
      <c r="HLD26" t="s">
        <v>6984</v>
      </c>
      <c r="HLE26" t="s">
        <v>6984</v>
      </c>
      <c r="HLF26" t="s">
        <v>6984</v>
      </c>
      <c r="HLG26" t="s">
        <v>6984</v>
      </c>
      <c r="HLH26" t="s">
        <v>6984</v>
      </c>
      <c r="HLI26" t="s">
        <v>6984</v>
      </c>
      <c r="HLJ26" t="s">
        <v>6984</v>
      </c>
      <c r="HLK26" t="s">
        <v>6984</v>
      </c>
      <c r="HLL26" t="s">
        <v>6984</v>
      </c>
      <c r="HLM26" t="s">
        <v>6984</v>
      </c>
      <c r="HLN26" t="s">
        <v>6984</v>
      </c>
      <c r="HLO26" t="s">
        <v>6984</v>
      </c>
      <c r="HLP26" t="s">
        <v>6984</v>
      </c>
      <c r="HLQ26" t="s">
        <v>6984</v>
      </c>
      <c r="HLR26" t="s">
        <v>6984</v>
      </c>
      <c r="HLS26" t="s">
        <v>6984</v>
      </c>
      <c r="HLT26" t="s">
        <v>6984</v>
      </c>
      <c r="HLU26" t="s">
        <v>6984</v>
      </c>
      <c r="HLV26" t="s">
        <v>6984</v>
      </c>
      <c r="HLW26" t="s">
        <v>6984</v>
      </c>
      <c r="HLX26" t="s">
        <v>6984</v>
      </c>
      <c r="HLY26" t="s">
        <v>6984</v>
      </c>
      <c r="HLZ26" t="s">
        <v>6984</v>
      </c>
      <c r="HMA26" t="s">
        <v>6984</v>
      </c>
      <c r="HMB26" t="s">
        <v>6984</v>
      </c>
      <c r="HMC26" t="s">
        <v>6984</v>
      </c>
      <c r="HMD26" t="s">
        <v>6984</v>
      </c>
      <c r="HME26" t="s">
        <v>6984</v>
      </c>
      <c r="HMF26" t="s">
        <v>6984</v>
      </c>
      <c r="HMG26" t="s">
        <v>6984</v>
      </c>
      <c r="HMH26" t="s">
        <v>6984</v>
      </c>
      <c r="HMI26" t="s">
        <v>6984</v>
      </c>
      <c r="HMJ26" t="s">
        <v>6984</v>
      </c>
      <c r="HMK26" t="s">
        <v>6984</v>
      </c>
      <c r="HML26" t="s">
        <v>6984</v>
      </c>
      <c r="HMM26" t="s">
        <v>6984</v>
      </c>
      <c r="HMN26" t="s">
        <v>6984</v>
      </c>
      <c r="HMO26" t="s">
        <v>6984</v>
      </c>
      <c r="HMP26" t="s">
        <v>6984</v>
      </c>
      <c r="HMQ26" t="s">
        <v>6984</v>
      </c>
      <c r="HMR26" t="s">
        <v>6984</v>
      </c>
      <c r="HMS26" t="s">
        <v>6984</v>
      </c>
      <c r="HMT26" t="s">
        <v>6984</v>
      </c>
      <c r="HMU26" t="s">
        <v>6984</v>
      </c>
      <c r="HMV26" t="s">
        <v>6984</v>
      </c>
      <c r="HMW26" t="s">
        <v>6984</v>
      </c>
      <c r="HMX26" t="s">
        <v>6984</v>
      </c>
      <c r="HMY26" t="s">
        <v>6984</v>
      </c>
      <c r="HMZ26" t="s">
        <v>6984</v>
      </c>
      <c r="HNA26" t="s">
        <v>6984</v>
      </c>
      <c r="HNB26" t="s">
        <v>6984</v>
      </c>
      <c r="HNC26" t="s">
        <v>6984</v>
      </c>
      <c r="HND26" t="s">
        <v>6984</v>
      </c>
      <c r="HNE26" t="s">
        <v>6984</v>
      </c>
      <c r="HNF26" t="s">
        <v>6984</v>
      </c>
      <c r="HNG26" t="s">
        <v>6984</v>
      </c>
      <c r="HNH26" t="s">
        <v>6984</v>
      </c>
      <c r="HNI26" t="s">
        <v>6984</v>
      </c>
      <c r="HNJ26" t="s">
        <v>6984</v>
      </c>
      <c r="HNK26" t="s">
        <v>6984</v>
      </c>
      <c r="HNL26" t="s">
        <v>6984</v>
      </c>
      <c r="HNM26" t="s">
        <v>6984</v>
      </c>
      <c r="HNN26" t="s">
        <v>6984</v>
      </c>
      <c r="HNO26" t="s">
        <v>6984</v>
      </c>
      <c r="HNP26" t="s">
        <v>6984</v>
      </c>
      <c r="HNQ26" t="s">
        <v>6984</v>
      </c>
      <c r="HNR26" t="s">
        <v>6984</v>
      </c>
      <c r="HNS26" t="s">
        <v>6984</v>
      </c>
      <c r="HNT26" t="s">
        <v>6984</v>
      </c>
      <c r="HNU26" t="s">
        <v>6984</v>
      </c>
      <c r="HNV26" t="s">
        <v>6984</v>
      </c>
      <c r="HNW26" t="s">
        <v>6984</v>
      </c>
      <c r="HNX26" t="s">
        <v>6984</v>
      </c>
      <c r="HNY26" t="s">
        <v>6984</v>
      </c>
      <c r="HNZ26" t="s">
        <v>6984</v>
      </c>
      <c r="HOA26" t="s">
        <v>6984</v>
      </c>
      <c r="HOB26" t="s">
        <v>6984</v>
      </c>
      <c r="HOC26" t="s">
        <v>6984</v>
      </c>
      <c r="HOD26" t="s">
        <v>6984</v>
      </c>
      <c r="HOE26" t="s">
        <v>6984</v>
      </c>
      <c r="HOF26" t="s">
        <v>6984</v>
      </c>
      <c r="HOG26" t="s">
        <v>6984</v>
      </c>
      <c r="HOH26" t="s">
        <v>6984</v>
      </c>
      <c r="HOI26" t="s">
        <v>6984</v>
      </c>
      <c r="HOJ26" t="s">
        <v>6984</v>
      </c>
      <c r="HOK26" t="s">
        <v>6984</v>
      </c>
      <c r="HOL26" t="s">
        <v>6984</v>
      </c>
      <c r="HOM26" t="s">
        <v>6984</v>
      </c>
      <c r="HON26" t="s">
        <v>6984</v>
      </c>
      <c r="HOO26" t="s">
        <v>6984</v>
      </c>
      <c r="HOP26" t="s">
        <v>6984</v>
      </c>
      <c r="HOQ26" t="s">
        <v>6984</v>
      </c>
      <c r="HOR26" t="s">
        <v>6984</v>
      </c>
      <c r="HOS26" t="s">
        <v>6984</v>
      </c>
      <c r="HOT26" t="s">
        <v>6984</v>
      </c>
      <c r="HOU26" t="s">
        <v>6984</v>
      </c>
      <c r="HOV26" t="s">
        <v>6984</v>
      </c>
      <c r="HOW26" t="s">
        <v>6984</v>
      </c>
      <c r="HOX26" t="s">
        <v>6984</v>
      </c>
      <c r="HOY26" t="s">
        <v>6984</v>
      </c>
      <c r="HOZ26" t="s">
        <v>6984</v>
      </c>
      <c r="HPA26" t="s">
        <v>6984</v>
      </c>
      <c r="HPB26" t="s">
        <v>6984</v>
      </c>
      <c r="HPC26" t="s">
        <v>6984</v>
      </c>
      <c r="HPD26" t="s">
        <v>6984</v>
      </c>
      <c r="HPE26" t="s">
        <v>6984</v>
      </c>
      <c r="HPF26" t="s">
        <v>6984</v>
      </c>
      <c r="HPG26" t="s">
        <v>6984</v>
      </c>
      <c r="HPH26" t="s">
        <v>6984</v>
      </c>
      <c r="HPI26" t="s">
        <v>6984</v>
      </c>
      <c r="HPJ26" t="s">
        <v>6984</v>
      </c>
      <c r="HPK26" t="s">
        <v>6984</v>
      </c>
      <c r="HPL26" t="s">
        <v>6984</v>
      </c>
      <c r="HPM26" t="s">
        <v>6984</v>
      </c>
      <c r="HPN26" t="s">
        <v>6984</v>
      </c>
      <c r="HPO26" t="s">
        <v>6984</v>
      </c>
      <c r="HPP26" t="s">
        <v>6984</v>
      </c>
      <c r="HPQ26" t="s">
        <v>6984</v>
      </c>
      <c r="HPR26" t="s">
        <v>6984</v>
      </c>
      <c r="HPS26" t="s">
        <v>6984</v>
      </c>
      <c r="HPT26" t="s">
        <v>6984</v>
      </c>
      <c r="HPU26" t="s">
        <v>6984</v>
      </c>
      <c r="HPV26" t="s">
        <v>6984</v>
      </c>
      <c r="HPW26" t="s">
        <v>6984</v>
      </c>
      <c r="HPX26" t="s">
        <v>6984</v>
      </c>
      <c r="HPY26" t="s">
        <v>6984</v>
      </c>
      <c r="HPZ26" t="s">
        <v>6984</v>
      </c>
      <c r="HQA26" t="s">
        <v>6984</v>
      </c>
      <c r="HQB26" t="s">
        <v>6984</v>
      </c>
      <c r="HQC26" t="s">
        <v>6984</v>
      </c>
      <c r="HQD26" t="s">
        <v>6984</v>
      </c>
      <c r="HQE26" t="s">
        <v>6984</v>
      </c>
      <c r="HQF26" t="s">
        <v>6984</v>
      </c>
      <c r="HQG26" t="s">
        <v>6984</v>
      </c>
      <c r="HQH26" t="s">
        <v>6984</v>
      </c>
      <c r="HQI26" t="s">
        <v>6984</v>
      </c>
      <c r="HQJ26" t="s">
        <v>6984</v>
      </c>
      <c r="HQK26" t="s">
        <v>6984</v>
      </c>
      <c r="HQL26" t="s">
        <v>6984</v>
      </c>
      <c r="HQM26" t="s">
        <v>6984</v>
      </c>
      <c r="HQN26" t="s">
        <v>6984</v>
      </c>
      <c r="HQO26" t="s">
        <v>6984</v>
      </c>
      <c r="HQP26" t="s">
        <v>6984</v>
      </c>
      <c r="HQQ26" t="s">
        <v>6984</v>
      </c>
      <c r="HQR26" t="s">
        <v>6984</v>
      </c>
      <c r="HQS26" t="s">
        <v>6984</v>
      </c>
      <c r="HQT26" t="s">
        <v>6984</v>
      </c>
      <c r="HQU26" t="s">
        <v>6984</v>
      </c>
      <c r="HQV26" t="s">
        <v>6984</v>
      </c>
      <c r="HQW26" t="s">
        <v>6984</v>
      </c>
      <c r="HQX26" t="s">
        <v>6984</v>
      </c>
      <c r="HQY26" t="s">
        <v>6984</v>
      </c>
      <c r="HQZ26" t="s">
        <v>6984</v>
      </c>
      <c r="HRA26" t="s">
        <v>6984</v>
      </c>
      <c r="HRB26" t="s">
        <v>6984</v>
      </c>
      <c r="HRC26" t="s">
        <v>6984</v>
      </c>
      <c r="HRD26" t="s">
        <v>6984</v>
      </c>
      <c r="HRE26" t="s">
        <v>6984</v>
      </c>
      <c r="HRF26" t="s">
        <v>6984</v>
      </c>
      <c r="HRG26" t="s">
        <v>6984</v>
      </c>
      <c r="HRH26" t="s">
        <v>6984</v>
      </c>
      <c r="HRI26" t="s">
        <v>6984</v>
      </c>
      <c r="HRJ26" t="s">
        <v>6984</v>
      </c>
      <c r="HRK26" t="s">
        <v>6984</v>
      </c>
      <c r="HRL26" t="s">
        <v>6984</v>
      </c>
      <c r="HRM26" t="s">
        <v>6984</v>
      </c>
      <c r="HRN26" t="s">
        <v>6984</v>
      </c>
      <c r="HRO26" t="s">
        <v>6984</v>
      </c>
      <c r="HRP26" t="s">
        <v>6984</v>
      </c>
      <c r="HRQ26" t="s">
        <v>6984</v>
      </c>
      <c r="HRR26" t="s">
        <v>6984</v>
      </c>
      <c r="HRS26" t="s">
        <v>6984</v>
      </c>
      <c r="HRT26" t="s">
        <v>6984</v>
      </c>
      <c r="HRU26" t="s">
        <v>6984</v>
      </c>
      <c r="HRV26" t="s">
        <v>6984</v>
      </c>
      <c r="HRW26" t="s">
        <v>6984</v>
      </c>
      <c r="HRX26" t="s">
        <v>6984</v>
      </c>
      <c r="HRY26" t="s">
        <v>6984</v>
      </c>
      <c r="HRZ26" t="s">
        <v>6984</v>
      </c>
      <c r="HSA26" t="s">
        <v>6984</v>
      </c>
      <c r="HSB26" t="s">
        <v>6984</v>
      </c>
      <c r="HSC26" t="s">
        <v>6984</v>
      </c>
      <c r="HSD26" t="s">
        <v>6984</v>
      </c>
      <c r="HSE26" t="s">
        <v>6984</v>
      </c>
      <c r="HSF26" t="s">
        <v>6984</v>
      </c>
      <c r="HSG26" t="s">
        <v>6984</v>
      </c>
      <c r="HSH26" t="s">
        <v>6984</v>
      </c>
      <c r="HSI26" t="s">
        <v>6984</v>
      </c>
      <c r="HSJ26" t="s">
        <v>6984</v>
      </c>
      <c r="HSK26" t="s">
        <v>6984</v>
      </c>
      <c r="HSL26" t="s">
        <v>6984</v>
      </c>
      <c r="HSM26" t="s">
        <v>6984</v>
      </c>
      <c r="HSN26" t="s">
        <v>6984</v>
      </c>
      <c r="HSO26" t="s">
        <v>6984</v>
      </c>
      <c r="HSP26" t="s">
        <v>6984</v>
      </c>
      <c r="HSQ26" t="s">
        <v>6984</v>
      </c>
      <c r="HSR26" t="s">
        <v>6984</v>
      </c>
      <c r="HSS26" t="s">
        <v>6984</v>
      </c>
      <c r="HST26" t="s">
        <v>6984</v>
      </c>
      <c r="HSU26" t="s">
        <v>6984</v>
      </c>
      <c r="HSV26" t="s">
        <v>6984</v>
      </c>
      <c r="HSW26" t="s">
        <v>6984</v>
      </c>
      <c r="HSX26" t="s">
        <v>6984</v>
      </c>
      <c r="HSY26" t="s">
        <v>6984</v>
      </c>
      <c r="HSZ26" t="s">
        <v>6984</v>
      </c>
      <c r="HTA26" t="s">
        <v>6984</v>
      </c>
      <c r="HTB26" t="s">
        <v>6984</v>
      </c>
      <c r="HTC26" t="s">
        <v>6984</v>
      </c>
      <c r="HTD26" t="s">
        <v>6984</v>
      </c>
      <c r="HTE26" t="s">
        <v>6984</v>
      </c>
      <c r="HTF26" t="s">
        <v>6984</v>
      </c>
      <c r="HTG26" t="s">
        <v>6984</v>
      </c>
      <c r="HTH26" t="s">
        <v>6984</v>
      </c>
      <c r="HTI26" t="s">
        <v>6984</v>
      </c>
      <c r="HTJ26" t="s">
        <v>6984</v>
      </c>
      <c r="HTK26" t="s">
        <v>6984</v>
      </c>
      <c r="HTL26" t="s">
        <v>6984</v>
      </c>
      <c r="HTM26" t="s">
        <v>6984</v>
      </c>
      <c r="HTN26" t="s">
        <v>6984</v>
      </c>
      <c r="HTO26" t="s">
        <v>6984</v>
      </c>
      <c r="HTP26" t="s">
        <v>6984</v>
      </c>
      <c r="HTQ26" t="s">
        <v>6984</v>
      </c>
      <c r="HTR26" t="s">
        <v>6984</v>
      </c>
      <c r="HTS26" t="s">
        <v>6984</v>
      </c>
      <c r="HTT26" t="s">
        <v>6984</v>
      </c>
      <c r="HTU26" t="s">
        <v>6984</v>
      </c>
      <c r="HTV26" t="s">
        <v>6984</v>
      </c>
      <c r="HTW26" t="s">
        <v>6984</v>
      </c>
      <c r="HTX26" t="s">
        <v>6984</v>
      </c>
      <c r="HTY26" t="s">
        <v>6984</v>
      </c>
      <c r="HTZ26" t="s">
        <v>6984</v>
      </c>
      <c r="HUA26" t="s">
        <v>6984</v>
      </c>
      <c r="HUB26" t="s">
        <v>6984</v>
      </c>
      <c r="HUC26" t="s">
        <v>6984</v>
      </c>
      <c r="HUD26" t="s">
        <v>6984</v>
      </c>
      <c r="HUE26" t="s">
        <v>6984</v>
      </c>
      <c r="HUF26" t="s">
        <v>6984</v>
      </c>
      <c r="HUG26" t="s">
        <v>6984</v>
      </c>
      <c r="HUH26" t="s">
        <v>6984</v>
      </c>
      <c r="HUI26" t="s">
        <v>6984</v>
      </c>
      <c r="HUJ26" t="s">
        <v>6984</v>
      </c>
      <c r="HUK26" t="s">
        <v>6984</v>
      </c>
      <c r="HUL26" t="s">
        <v>6984</v>
      </c>
      <c r="HUM26" t="s">
        <v>6984</v>
      </c>
      <c r="HUN26" t="s">
        <v>6984</v>
      </c>
      <c r="HUO26" t="s">
        <v>6984</v>
      </c>
      <c r="HUP26" t="s">
        <v>6984</v>
      </c>
      <c r="HUQ26" t="s">
        <v>6984</v>
      </c>
      <c r="HUR26" t="s">
        <v>6984</v>
      </c>
      <c r="HUS26" t="s">
        <v>6984</v>
      </c>
      <c r="HUT26" t="s">
        <v>6984</v>
      </c>
      <c r="HUU26" t="s">
        <v>6984</v>
      </c>
      <c r="HUV26" t="s">
        <v>6984</v>
      </c>
      <c r="HUW26" t="s">
        <v>6984</v>
      </c>
      <c r="HUX26" t="s">
        <v>6984</v>
      </c>
      <c r="HUY26" t="s">
        <v>6984</v>
      </c>
      <c r="HUZ26" t="s">
        <v>6984</v>
      </c>
      <c r="HVA26" t="s">
        <v>6984</v>
      </c>
      <c r="HVB26" t="s">
        <v>6984</v>
      </c>
      <c r="HVC26" t="s">
        <v>6984</v>
      </c>
      <c r="HVD26" t="s">
        <v>6984</v>
      </c>
      <c r="HVE26" t="s">
        <v>6984</v>
      </c>
      <c r="HVF26" t="s">
        <v>6984</v>
      </c>
      <c r="HVG26" t="s">
        <v>6984</v>
      </c>
      <c r="HVH26" t="s">
        <v>6984</v>
      </c>
      <c r="HVI26" t="s">
        <v>6984</v>
      </c>
      <c r="HVJ26" t="s">
        <v>6984</v>
      </c>
      <c r="HVK26" t="s">
        <v>6984</v>
      </c>
      <c r="HVL26" t="s">
        <v>6984</v>
      </c>
      <c r="HVM26" t="s">
        <v>6984</v>
      </c>
      <c r="HVN26" t="s">
        <v>6984</v>
      </c>
      <c r="HVO26" t="s">
        <v>6984</v>
      </c>
      <c r="HVP26" t="s">
        <v>6984</v>
      </c>
      <c r="HVQ26" t="s">
        <v>6984</v>
      </c>
      <c r="HVR26" t="s">
        <v>6984</v>
      </c>
      <c r="HVS26" t="s">
        <v>6984</v>
      </c>
      <c r="HVT26" t="s">
        <v>6984</v>
      </c>
      <c r="HVU26" t="s">
        <v>6984</v>
      </c>
      <c r="HVV26" t="s">
        <v>6984</v>
      </c>
      <c r="HVW26" t="s">
        <v>6984</v>
      </c>
      <c r="HVX26" t="s">
        <v>6984</v>
      </c>
      <c r="HVY26" t="s">
        <v>6984</v>
      </c>
      <c r="HVZ26" t="s">
        <v>6984</v>
      </c>
      <c r="HWA26" t="s">
        <v>6984</v>
      </c>
      <c r="HWB26" t="s">
        <v>6984</v>
      </c>
      <c r="HWC26" t="s">
        <v>6984</v>
      </c>
      <c r="HWD26" t="s">
        <v>6984</v>
      </c>
      <c r="HWE26" t="s">
        <v>6984</v>
      </c>
      <c r="HWF26" t="s">
        <v>6984</v>
      </c>
      <c r="HWG26" t="s">
        <v>6984</v>
      </c>
      <c r="HWH26" t="s">
        <v>6984</v>
      </c>
      <c r="HWI26" t="s">
        <v>6984</v>
      </c>
      <c r="HWJ26" t="s">
        <v>6984</v>
      </c>
      <c r="HWK26" t="s">
        <v>6984</v>
      </c>
      <c r="HWL26" t="s">
        <v>6984</v>
      </c>
      <c r="HWM26" t="s">
        <v>6984</v>
      </c>
      <c r="HWN26" t="s">
        <v>6984</v>
      </c>
      <c r="HWO26" t="s">
        <v>6984</v>
      </c>
      <c r="HWP26" t="s">
        <v>6984</v>
      </c>
      <c r="HWQ26" t="s">
        <v>6984</v>
      </c>
      <c r="HWR26" t="s">
        <v>6984</v>
      </c>
      <c r="HWS26" t="s">
        <v>6984</v>
      </c>
      <c r="HWT26" t="s">
        <v>6984</v>
      </c>
      <c r="HWU26" t="s">
        <v>6984</v>
      </c>
      <c r="HWV26" t="s">
        <v>6984</v>
      </c>
      <c r="HWW26" t="s">
        <v>6984</v>
      </c>
      <c r="HWX26" t="s">
        <v>6984</v>
      </c>
      <c r="HWY26" t="s">
        <v>6984</v>
      </c>
      <c r="HWZ26" t="s">
        <v>6984</v>
      </c>
      <c r="HXA26" t="s">
        <v>6984</v>
      </c>
      <c r="HXB26" t="s">
        <v>6984</v>
      </c>
      <c r="HXC26" t="s">
        <v>6984</v>
      </c>
      <c r="HXD26" t="s">
        <v>6984</v>
      </c>
      <c r="HXE26" t="s">
        <v>6984</v>
      </c>
      <c r="HXF26" t="s">
        <v>6984</v>
      </c>
      <c r="HXG26" t="s">
        <v>6984</v>
      </c>
      <c r="HXH26" t="s">
        <v>6984</v>
      </c>
      <c r="HXI26" t="s">
        <v>6984</v>
      </c>
      <c r="HXJ26" t="s">
        <v>6984</v>
      </c>
      <c r="HXK26" t="s">
        <v>6984</v>
      </c>
      <c r="HXL26" t="s">
        <v>6984</v>
      </c>
      <c r="HXM26" t="s">
        <v>6984</v>
      </c>
      <c r="HXN26" t="s">
        <v>6984</v>
      </c>
      <c r="HXO26" t="s">
        <v>6984</v>
      </c>
      <c r="HXP26" t="s">
        <v>6984</v>
      </c>
      <c r="HXQ26" t="s">
        <v>6984</v>
      </c>
      <c r="HXR26" t="s">
        <v>6984</v>
      </c>
      <c r="HXS26" t="s">
        <v>6984</v>
      </c>
      <c r="HXT26" t="s">
        <v>6984</v>
      </c>
      <c r="HXU26" t="s">
        <v>6984</v>
      </c>
      <c r="HXV26" t="s">
        <v>6984</v>
      </c>
      <c r="HXW26" t="s">
        <v>6984</v>
      </c>
      <c r="HXX26" t="s">
        <v>6984</v>
      </c>
      <c r="HXY26" t="s">
        <v>6984</v>
      </c>
      <c r="HXZ26" t="s">
        <v>6984</v>
      </c>
      <c r="HYA26" t="s">
        <v>6984</v>
      </c>
      <c r="HYB26" t="s">
        <v>6984</v>
      </c>
      <c r="HYC26" t="s">
        <v>6984</v>
      </c>
      <c r="HYD26" t="s">
        <v>6984</v>
      </c>
      <c r="HYE26" t="s">
        <v>6984</v>
      </c>
      <c r="HYF26" t="s">
        <v>6984</v>
      </c>
      <c r="HYG26" t="s">
        <v>6984</v>
      </c>
      <c r="HYH26" t="s">
        <v>6984</v>
      </c>
      <c r="HYI26" t="s">
        <v>6984</v>
      </c>
      <c r="HYJ26" t="s">
        <v>6984</v>
      </c>
      <c r="HYK26" t="s">
        <v>6984</v>
      </c>
      <c r="HYL26" t="s">
        <v>6984</v>
      </c>
      <c r="HYM26" t="s">
        <v>6984</v>
      </c>
      <c r="HYN26" t="s">
        <v>6984</v>
      </c>
      <c r="HYO26" t="s">
        <v>6984</v>
      </c>
      <c r="HYP26" t="s">
        <v>6984</v>
      </c>
      <c r="HYQ26" t="s">
        <v>6984</v>
      </c>
      <c r="HYR26" t="s">
        <v>6984</v>
      </c>
      <c r="HYS26" t="s">
        <v>6984</v>
      </c>
      <c r="HYT26" t="s">
        <v>6984</v>
      </c>
      <c r="HYU26" t="s">
        <v>6984</v>
      </c>
      <c r="HYV26" t="s">
        <v>6984</v>
      </c>
      <c r="HYW26" t="s">
        <v>6984</v>
      </c>
      <c r="HYX26" t="s">
        <v>6984</v>
      </c>
      <c r="HYY26" t="s">
        <v>6984</v>
      </c>
      <c r="HYZ26" t="s">
        <v>6984</v>
      </c>
      <c r="HZA26" t="s">
        <v>6984</v>
      </c>
      <c r="HZB26" t="s">
        <v>6984</v>
      </c>
      <c r="HZC26" t="s">
        <v>6984</v>
      </c>
      <c r="HZD26" t="s">
        <v>6984</v>
      </c>
      <c r="HZE26" t="s">
        <v>6984</v>
      </c>
      <c r="HZF26" t="s">
        <v>6984</v>
      </c>
      <c r="HZG26" t="s">
        <v>6984</v>
      </c>
      <c r="HZH26" t="s">
        <v>6984</v>
      </c>
      <c r="HZI26" t="s">
        <v>6984</v>
      </c>
      <c r="HZJ26" t="s">
        <v>6984</v>
      </c>
      <c r="HZK26" t="s">
        <v>6984</v>
      </c>
      <c r="HZL26" t="s">
        <v>6984</v>
      </c>
      <c r="HZM26" t="s">
        <v>6984</v>
      </c>
      <c r="HZN26" t="s">
        <v>6984</v>
      </c>
      <c r="HZO26" t="s">
        <v>6984</v>
      </c>
      <c r="HZP26" t="s">
        <v>6984</v>
      </c>
      <c r="HZQ26" t="s">
        <v>6984</v>
      </c>
      <c r="HZR26" t="s">
        <v>6984</v>
      </c>
      <c r="HZS26" t="s">
        <v>6984</v>
      </c>
      <c r="HZT26" t="s">
        <v>6984</v>
      </c>
      <c r="HZU26" t="s">
        <v>6984</v>
      </c>
      <c r="HZV26" t="s">
        <v>6984</v>
      </c>
      <c r="HZW26" t="s">
        <v>6984</v>
      </c>
      <c r="HZX26" t="s">
        <v>6984</v>
      </c>
      <c r="HZY26" t="s">
        <v>6984</v>
      </c>
      <c r="HZZ26" t="s">
        <v>6984</v>
      </c>
      <c r="IAA26" t="s">
        <v>6984</v>
      </c>
      <c r="IAB26" t="s">
        <v>6984</v>
      </c>
      <c r="IAC26" t="s">
        <v>6984</v>
      </c>
      <c r="IAD26" t="s">
        <v>6984</v>
      </c>
      <c r="IAE26" t="s">
        <v>6984</v>
      </c>
      <c r="IAF26" t="s">
        <v>6984</v>
      </c>
      <c r="IAG26" t="s">
        <v>6984</v>
      </c>
      <c r="IAH26" t="s">
        <v>6984</v>
      </c>
      <c r="IAI26" t="s">
        <v>6984</v>
      </c>
      <c r="IAJ26" t="s">
        <v>6984</v>
      </c>
      <c r="IAK26" t="s">
        <v>6984</v>
      </c>
      <c r="IAL26" t="s">
        <v>6984</v>
      </c>
      <c r="IAM26" t="s">
        <v>6984</v>
      </c>
      <c r="IAN26" t="s">
        <v>6984</v>
      </c>
      <c r="IAO26" t="s">
        <v>6984</v>
      </c>
      <c r="IAP26" t="s">
        <v>6984</v>
      </c>
      <c r="IAQ26" t="s">
        <v>6984</v>
      </c>
      <c r="IAR26" t="s">
        <v>6984</v>
      </c>
      <c r="IAS26" t="s">
        <v>6984</v>
      </c>
      <c r="IAT26" t="s">
        <v>6984</v>
      </c>
      <c r="IAU26" t="s">
        <v>6984</v>
      </c>
      <c r="IAV26" t="s">
        <v>6984</v>
      </c>
      <c r="IAW26" t="s">
        <v>6984</v>
      </c>
      <c r="IAX26" t="s">
        <v>6984</v>
      </c>
      <c r="IAY26" t="s">
        <v>6984</v>
      </c>
      <c r="IAZ26" t="s">
        <v>6984</v>
      </c>
      <c r="IBA26" t="s">
        <v>6984</v>
      </c>
      <c r="IBB26" t="s">
        <v>6984</v>
      </c>
      <c r="IBC26" t="s">
        <v>6984</v>
      </c>
      <c r="IBD26" t="s">
        <v>6984</v>
      </c>
      <c r="IBE26" t="s">
        <v>6984</v>
      </c>
      <c r="IBF26" t="s">
        <v>6984</v>
      </c>
      <c r="IBG26" t="s">
        <v>6984</v>
      </c>
      <c r="IBH26" t="s">
        <v>6984</v>
      </c>
      <c r="IBI26" t="s">
        <v>6984</v>
      </c>
      <c r="IBJ26" t="s">
        <v>6984</v>
      </c>
      <c r="IBK26" t="s">
        <v>6984</v>
      </c>
      <c r="IBL26" t="s">
        <v>6984</v>
      </c>
      <c r="IBM26" t="s">
        <v>6984</v>
      </c>
      <c r="IBN26" t="s">
        <v>6984</v>
      </c>
      <c r="IBO26" t="s">
        <v>6984</v>
      </c>
      <c r="IBP26" t="s">
        <v>6984</v>
      </c>
      <c r="IBQ26" t="s">
        <v>6984</v>
      </c>
      <c r="IBR26" t="s">
        <v>6984</v>
      </c>
      <c r="IBS26" t="s">
        <v>6984</v>
      </c>
      <c r="IBT26" t="s">
        <v>6984</v>
      </c>
      <c r="IBU26" t="s">
        <v>6984</v>
      </c>
      <c r="IBV26" t="s">
        <v>6984</v>
      </c>
      <c r="IBW26" t="s">
        <v>6984</v>
      </c>
      <c r="IBX26" t="s">
        <v>6984</v>
      </c>
      <c r="IBY26" t="s">
        <v>6984</v>
      </c>
      <c r="IBZ26" t="s">
        <v>6984</v>
      </c>
      <c r="ICA26" t="s">
        <v>6984</v>
      </c>
      <c r="ICB26" t="s">
        <v>6984</v>
      </c>
      <c r="ICC26" t="s">
        <v>6984</v>
      </c>
      <c r="ICD26" t="s">
        <v>6984</v>
      </c>
      <c r="ICE26" t="s">
        <v>6984</v>
      </c>
      <c r="ICF26" t="s">
        <v>6984</v>
      </c>
      <c r="ICG26" t="s">
        <v>6984</v>
      </c>
      <c r="ICH26" t="s">
        <v>6984</v>
      </c>
      <c r="ICI26" t="s">
        <v>6984</v>
      </c>
      <c r="ICJ26" t="s">
        <v>6984</v>
      </c>
      <c r="ICK26" t="s">
        <v>6984</v>
      </c>
      <c r="ICL26" t="s">
        <v>6984</v>
      </c>
      <c r="ICM26" t="s">
        <v>6984</v>
      </c>
      <c r="ICN26" t="s">
        <v>6984</v>
      </c>
      <c r="ICO26" t="s">
        <v>6984</v>
      </c>
      <c r="ICP26" t="s">
        <v>6984</v>
      </c>
      <c r="ICQ26" t="s">
        <v>6984</v>
      </c>
      <c r="ICR26" t="s">
        <v>6984</v>
      </c>
      <c r="ICS26" t="s">
        <v>6984</v>
      </c>
      <c r="ICT26" t="s">
        <v>6984</v>
      </c>
      <c r="ICU26" t="s">
        <v>6984</v>
      </c>
      <c r="ICV26" t="s">
        <v>6984</v>
      </c>
      <c r="ICW26" t="s">
        <v>6984</v>
      </c>
      <c r="ICX26" t="s">
        <v>6984</v>
      </c>
      <c r="ICY26" t="s">
        <v>6984</v>
      </c>
      <c r="ICZ26" t="s">
        <v>6984</v>
      </c>
      <c r="IDA26" t="s">
        <v>6984</v>
      </c>
      <c r="IDB26" t="s">
        <v>6984</v>
      </c>
      <c r="IDC26" t="s">
        <v>6984</v>
      </c>
      <c r="IDD26" t="s">
        <v>6984</v>
      </c>
      <c r="IDE26" t="s">
        <v>6984</v>
      </c>
      <c r="IDF26" t="s">
        <v>6984</v>
      </c>
      <c r="IDG26" t="s">
        <v>6984</v>
      </c>
      <c r="IDH26" t="s">
        <v>6984</v>
      </c>
      <c r="IDI26" t="s">
        <v>6984</v>
      </c>
      <c r="IDJ26" t="s">
        <v>6984</v>
      </c>
      <c r="IDK26" t="s">
        <v>6984</v>
      </c>
      <c r="IDL26" t="s">
        <v>6984</v>
      </c>
      <c r="IDM26" t="s">
        <v>6984</v>
      </c>
      <c r="IDN26" t="s">
        <v>6984</v>
      </c>
      <c r="IDO26" t="s">
        <v>6984</v>
      </c>
      <c r="IDP26" t="s">
        <v>6984</v>
      </c>
      <c r="IDQ26" t="s">
        <v>6984</v>
      </c>
      <c r="IDR26" t="s">
        <v>6984</v>
      </c>
      <c r="IDS26" t="s">
        <v>6984</v>
      </c>
      <c r="IDT26" t="s">
        <v>6984</v>
      </c>
      <c r="IDU26" t="s">
        <v>6984</v>
      </c>
      <c r="IDV26" t="s">
        <v>6984</v>
      </c>
      <c r="IDW26" t="s">
        <v>6984</v>
      </c>
      <c r="IDX26" t="s">
        <v>6984</v>
      </c>
      <c r="IDY26" t="s">
        <v>6984</v>
      </c>
      <c r="IDZ26" t="s">
        <v>6984</v>
      </c>
      <c r="IEA26" t="s">
        <v>6984</v>
      </c>
      <c r="IEB26" t="s">
        <v>6984</v>
      </c>
      <c r="IEC26" t="s">
        <v>6984</v>
      </c>
      <c r="IED26" t="s">
        <v>6984</v>
      </c>
      <c r="IEE26" t="s">
        <v>6984</v>
      </c>
      <c r="IEF26" t="s">
        <v>6984</v>
      </c>
      <c r="IEG26" t="s">
        <v>6984</v>
      </c>
      <c r="IEH26" t="s">
        <v>6984</v>
      </c>
      <c r="IEI26" t="s">
        <v>6984</v>
      </c>
      <c r="IEJ26" t="s">
        <v>6984</v>
      </c>
      <c r="IEK26" t="s">
        <v>6984</v>
      </c>
      <c r="IEL26" t="s">
        <v>6984</v>
      </c>
      <c r="IEM26" t="s">
        <v>6984</v>
      </c>
      <c r="IEN26" t="s">
        <v>6984</v>
      </c>
      <c r="IEO26" t="s">
        <v>6984</v>
      </c>
      <c r="IEP26" t="s">
        <v>6984</v>
      </c>
      <c r="IEQ26" t="s">
        <v>6984</v>
      </c>
      <c r="IER26" t="s">
        <v>6984</v>
      </c>
      <c r="IES26" t="s">
        <v>6984</v>
      </c>
      <c r="IET26" t="s">
        <v>6984</v>
      </c>
      <c r="IEU26" t="s">
        <v>6984</v>
      </c>
      <c r="IEV26" t="s">
        <v>6984</v>
      </c>
      <c r="IEW26" t="s">
        <v>6984</v>
      </c>
      <c r="IEX26" t="s">
        <v>6984</v>
      </c>
      <c r="IEY26" t="s">
        <v>6984</v>
      </c>
      <c r="IEZ26" t="s">
        <v>6984</v>
      </c>
      <c r="IFA26" t="s">
        <v>6984</v>
      </c>
      <c r="IFB26" t="s">
        <v>6984</v>
      </c>
      <c r="IFC26" t="s">
        <v>6984</v>
      </c>
      <c r="IFD26" t="s">
        <v>6984</v>
      </c>
      <c r="IFE26" t="s">
        <v>6984</v>
      </c>
      <c r="IFF26" t="s">
        <v>6984</v>
      </c>
      <c r="IFG26" t="s">
        <v>6984</v>
      </c>
      <c r="IFH26" t="s">
        <v>6984</v>
      </c>
      <c r="IFI26" t="s">
        <v>6984</v>
      </c>
      <c r="IFJ26" t="s">
        <v>6984</v>
      </c>
      <c r="IFK26" t="s">
        <v>6984</v>
      </c>
      <c r="IFL26" t="s">
        <v>6984</v>
      </c>
      <c r="IFM26" t="s">
        <v>6984</v>
      </c>
      <c r="IFN26" t="s">
        <v>6984</v>
      </c>
      <c r="IFO26" t="s">
        <v>6984</v>
      </c>
      <c r="IFP26" t="s">
        <v>6984</v>
      </c>
      <c r="IFQ26" t="s">
        <v>6984</v>
      </c>
      <c r="IFR26" t="s">
        <v>6984</v>
      </c>
      <c r="IFS26" t="s">
        <v>6984</v>
      </c>
      <c r="IFT26" t="s">
        <v>6984</v>
      </c>
      <c r="IFU26" t="s">
        <v>6984</v>
      </c>
      <c r="IFV26" t="s">
        <v>6984</v>
      </c>
      <c r="IFW26" t="s">
        <v>6984</v>
      </c>
      <c r="IFX26" t="s">
        <v>6984</v>
      </c>
      <c r="IFY26" t="s">
        <v>6984</v>
      </c>
      <c r="IFZ26" t="s">
        <v>6984</v>
      </c>
      <c r="IGA26" t="s">
        <v>6984</v>
      </c>
      <c r="IGB26" t="s">
        <v>6984</v>
      </c>
      <c r="IGC26" t="s">
        <v>6984</v>
      </c>
      <c r="IGD26" t="s">
        <v>6984</v>
      </c>
      <c r="IGE26" t="s">
        <v>6984</v>
      </c>
      <c r="IGF26" t="s">
        <v>6984</v>
      </c>
      <c r="IGG26" t="s">
        <v>6984</v>
      </c>
      <c r="IGH26" t="s">
        <v>6984</v>
      </c>
      <c r="IGI26" t="s">
        <v>6984</v>
      </c>
      <c r="IGJ26" t="s">
        <v>6984</v>
      </c>
      <c r="IGK26" t="s">
        <v>6984</v>
      </c>
      <c r="IGL26" t="s">
        <v>6984</v>
      </c>
      <c r="IGM26" t="s">
        <v>6984</v>
      </c>
      <c r="IGN26" t="s">
        <v>6984</v>
      </c>
      <c r="IGO26" t="s">
        <v>6984</v>
      </c>
      <c r="IGP26" t="s">
        <v>6984</v>
      </c>
      <c r="IGQ26" t="s">
        <v>6984</v>
      </c>
      <c r="IGR26" t="s">
        <v>6984</v>
      </c>
      <c r="IGS26" t="s">
        <v>6984</v>
      </c>
      <c r="IGT26" t="s">
        <v>6984</v>
      </c>
      <c r="IGU26" t="s">
        <v>6984</v>
      </c>
      <c r="IGV26" t="s">
        <v>6984</v>
      </c>
      <c r="IGW26" t="s">
        <v>6984</v>
      </c>
      <c r="IGX26" t="s">
        <v>6984</v>
      </c>
      <c r="IGY26" t="s">
        <v>6984</v>
      </c>
      <c r="IGZ26" t="s">
        <v>6984</v>
      </c>
      <c r="IHA26" t="s">
        <v>6984</v>
      </c>
      <c r="IHB26" t="s">
        <v>6984</v>
      </c>
      <c r="IHC26" t="s">
        <v>6984</v>
      </c>
      <c r="IHD26" t="s">
        <v>6984</v>
      </c>
      <c r="IHE26" t="s">
        <v>6984</v>
      </c>
      <c r="IHF26" t="s">
        <v>6984</v>
      </c>
      <c r="IHG26" t="s">
        <v>6984</v>
      </c>
      <c r="IHH26" t="s">
        <v>6984</v>
      </c>
      <c r="IHI26" t="s">
        <v>6984</v>
      </c>
      <c r="IHJ26" t="s">
        <v>6984</v>
      </c>
      <c r="IHK26" t="s">
        <v>6984</v>
      </c>
      <c r="IHL26" t="s">
        <v>6984</v>
      </c>
      <c r="IHM26" t="s">
        <v>6984</v>
      </c>
      <c r="IHN26" t="s">
        <v>6984</v>
      </c>
      <c r="IHO26" t="s">
        <v>6984</v>
      </c>
      <c r="IHP26" t="s">
        <v>6984</v>
      </c>
      <c r="IHQ26" t="s">
        <v>6984</v>
      </c>
      <c r="IHR26" t="s">
        <v>6984</v>
      </c>
      <c r="IHS26" t="s">
        <v>6984</v>
      </c>
      <c r="IHT26" t="s">
        <v>6984</v>
      </c>
      <c r="IHU26" t="s">
        <v>6984</v>
      </c>
      <c r="IHV26" t="s">
        <v>6984</v>
      </c>
      <c r="IHW26" t="s">
        <v>6984</v>
      </c>
      <c r="IHX26" t="s">
        <v>6984</v>
      </c>
      <c r="IHY26" t="s">
        <v>6984</v>
      </c>
      <c r="IHZ26" t="s">
        <v>6984</v>
      </c>
      <c r="IIA26" t="s">
        <v>6984</v>
      </c>
      <c r="IIB26" t="s">
        <v>6984</v>
      </c>
      <c r="IIC26" t="s">
        <v>6984</v>
      </c>
      <c r="IID26" t="s">
        <v>6984</v>
      </c>
      <c r="IIE26" t="s">
        <v>6984</v>
      </c>
      <c r="IIF26" t="s">
        <v>6984</v>
      </c>
      <c r="IIG26" t="s">
        <v>6984</v>
      </c>
      <c r="IIH26" t="s">
        <v>6984</v>
      </c>
      <c r="III26" t="s">
        <v>6984</v>
      </c>
      <c r="IIJ26" t="s">
        <v>6984</v>
      </c>
      <c r="IIK26" t="s">
        <v>6984</v>
      </c>
      <c r="IIL26" t="s">
        <v>6984</v>
      </c>
      <c r="IIM26" t="s">
        <v>6984</v>
      </c>
      <c r="IIN26" t="s">
        <v>6984</v>
      </c>
      <c r="IIO26" t="s">
        <v>6984</v>
      </c>
      <c r="IIP26" t="s">
        <v>6984</v>
      </c>
      <c r="IIQ26" t="s">
        <v>6984</v>
      </c>
      <c r="IIR26" t="s">
        <v>6984</v>
      </c>
      <c r="IIS26" t="s">
        <v>6984</v>
      </c>
      <c r="IIT26" t="s">
        <v>6984</v>
      </c>
      <c r="IIU26" t="s">
        <v>6984</v>
      </c>
      <c r="IIV26" t="s">
        <v>6984</v>
      </c>
      <c r="IIW26" t="s">
        <v>6984</v>
      </c>
      <c r="IIX26" t="s">
        <v>6984</v>
      </c>
      <c r="IIY26" t="s">
        <v>6984</v>
      </c>
      <c r="IIZ26" t="s">
        <v>6984</v>
      </c>
      <c r="IJA26" t="s">
        <v>6984</v>
      </c>
      <c r="IJB26" t="s">
        <v>6984</v>
      </c>
      <c r="IJC26" t="s">
        <v>6984</v>
      </c>
      <c r="IJD26" t="s">
        <v>6984</v>
      </c>
      <c r="IJE26" t="s">
        <v>6984</v>
      </c>
      <c r="IJF26" t="s">
        <v>6984</v>
      </c>
      <c r="IJG26" t="s">
        <v>6984</v>
      </c>
      <c r="IJH26" t="s">
        <v>6984</v>
      </c>
      <c r="IJI26" t="s">
        <v>6984</v>
      </c>
      <c r="IJJ26" t="s">
        <v>6984</v>
      </c>
      <c r="IJK26" t="s">
        <v>6984</v>
      </c>
      <c r="IJL26" t="s">
        <v>6984</v>
      </c>
      <c r="IJM26" t="s">
        <v>6984</v>
      </c>
      <c r="IJN26" t="s">
        <v>6984</v>
      </c>
      <c r="IJO26" t="s">
        <v>6984</v>
      </c>
      <c r="IJP26" t="s">
        <v>6984</v>
      </c>
      <c r="IJQ26" t="s">
        <v>6984</v>
      </c>
      <c r="IJR26" t="s">
        <v>6984</v>
      </c>
      <c r="IJS26" t="s">
        <v>6984</v>
      </c>
      <c r="IJT26" t="s">
        <v>6984</v>
      </c>
      <c r="IJU26" t="s">
        <v>6984</v>
      </c>
      <c r="IJV26" t="s">
        <v>6984</v>
      </c>
      <c r="IJW26" t="s">
        <v>6984</v>
      </c>
      <c r="IJX26" t="s">
        <v>6984</v>
      </c>
      <c r="IJY26" t="s">
        <v>6984</v>
      </c>
      <c r="IJZ26" t="s">
        <v>6984</v>
      </c>
      <c r="IKA26" t="s">
        <v>6984</v>
      </c>
      <c r="IKB26" t="s">
        <v>6984</v>
      </c>
      <c r="IKC26" t="s">
        <v>6984</v>
      </c>
      <c r="IKD26" t="s">
        <v>6984</v>
      </c>
      <c r="IKE26" t="s">
        <v>6984</v>
      </c>
      <c r="IKF26" t="s">
        <v>6984</v>
      </c>
      <c r="IKG26" t="s">
        <v>6984</v>
      </c>
      <c r="IKH26" t="s">
        <v>6984</v>
      </c>
      <c r="IKI26" t="s">
        <v>6984</v>
      </c>
      <c r="IKJ26" t="s">
        <v>6984</v>
      </c>
      <c r="IKK26" t="s">
        <v>6984</v>
      </c>
      <c r="IKL26" t="s">
        <v>6984</v>
      </c>
      <c r="IKM26" t="s">
        <v>6984</v>
      </c>
      <c r="IKN26" t="s">
        <v>6984</v>
      </c>
      <c r="IKO26" t="s">
        <v>6984</v>
      </c>
      <c r="IKP26" t="s">
        <v>6984</v>
      </c>
      <c r="IKQ26" t="s">
        <v>6984</v>
      </c>
      <c r="IKR26" t="s">
        <v>6984</v>
      </c>
      <c r="IKS26" t="s">
        <v>6984</v>
      </c>
      <c r="IKT26" t="s">
        <v>6984</v>
      </c>
      <c r="IKU26" t="s">
        <v>6984</v>
      </c>
      <c r="IKV26" t="s">
        <v>6984</v>
      </c>
      <c r="IKW26" t="s">
        <v>6984</v>
      </c>
      <c r="IKX26" t="s">
        <v>6984</v>
      </c>
      <c r="IKY26" t="s">
        <v>6984</v>
      </c>
      <c r="IKZ26" t="s">
        <v>6984</v>
      </c>
      <c r="ILA26" t="s">
        <v>6984</v>
      </c>
      <c r="ILB26" t="s">
        <v>6984</v>
      </c>
      <c r="ILC26" t="s">
        <v>6984</v>
      </c>
      <c r="ILD26" t="s">
        <v>6984</v>
      </c>
      <c r="ILE26" t="s">
        <v>6984</v>
      </c>
      <c r="ILF26" t="s">
        <v>6984</v>
      </c>
      <c r="ILG26" t="s">
        <v>6984</v>
      </c>
      <c r="ILH26" t="s">
        <v>6984</v>
      </c>
      <c r="ILI26" t="s">
        <v>6984</v>
      </c>
      <c r="ILJ26" t="s">
        <v>6984</v>
      </c>
      <c r="ILK26" t="s">
        <v>6984</v>
      </c>
      <c r="ILL26" t="s">
        <v>6984</v>
      </c>
      <c r="ILM26" t="s">
        <v>6984</v>
      </c>
      <c r="ILN26" t="s">
        <v>6984</v>
      </c>
      <c r="ILO26" t="s">
        <v>6984</v>
      </c>
      <c r="ILP26" t="s">
        <v>6984</v>
      </c>
      <c r="ILQ26" t="s">
        <v>6984</v>
      </c>
      <c r="ILR26" t="s">
        <v>6984</v>
      </c>
      <c r="ILS26" t="s">
        <v>6984</v>
      </c>
      <c r="ILT26" t="s">
        <v>6984</v>
      </c>
      <c r="ILU26" t="s">
        <v>6984</v>
      </c>
      <c r="ILV26" t="s">
        <v>6984</v>
      </c>
      <c r="ILW26" t="s">
        <v>6984</v>
      </c>
      <c r="ILX26" t="s">
        <v>6984</v>
      </c>
      <c r="ILY26" t="s">
        <v>6984</v>
      </c>
      <c r="ILZ26" t="s">
        <v>6984</v>
      </c>
      <c r="IMA26" t="s">
        <v>6984</v>
      </c>
      <c r="IMB26" t="s">
        <v>6984</v>
      </c>
      <c r="IMC26" t="s">
        <v>6984</v>
      </c>
      <c r="IMD26" t="s">
        <v>6984</v>
      </c>
      <c r="IME26" t="s">
        <v>6984</v>
      </c>
      <c r="IMF26" t="s">
        <v>6984</v>
      </c>
      <c r="IMG26" t="s">
        <v>6984</v>
      </c>
      <c r="IMH26" t="s">
        <v>6984</v>
      </c>
      <c r="IMI26" t="s">
        <v>6984</v>
      </c>
      <c r="IMJ26" t="s">
        <v>6984</v>
      </c>
      <c r="IMK26" t="s">
        <v>6984</v>
      </c>
      <c r="IML26" t="s">
        <v>6984</v>
      </c>
      <c r="IMM26" t="s">
        <v>6984</v>
      </c>
      <c r="IMN26" t="s">
        <v>6984</v>
      </c>
      <c r="IMO26" t="s">
        <v>6984</v>
      </c>
      <c r="IMP26" t="s">
        <v>6984</v>
      </c>
      <c r="IMQ26" t="s">
        <v>6984</v>
      </c>
      <c r="IMR26" t="s">
        <v>6984</v>
      </c>
      <c r="IMS26" t="s">
        <v>6984</v>
      </c>
      <c r="IMT26" t="s">
        <v>6984</v>
      </c>
      <c r="IMU26" t="s">
        <v>6984</v>
      </c>
      <c r="IMV26" t="s">
        <v>6984</v>
      </c>
      <c r="IMW26" t="s">
        <v>6984</v>
      </c>
      <c r="IMX26" t="s">
        <v>6984</v>
      </c>
      <c r="IMY26" t="s">
        <v>6984</v>
      </c>
      <c r="IMZ26" t="s">
        <v>6984</v>
      </c>
      <c r="INA26" t="s">
        <v>6984</v>
      </c>
      <c r="INB26" t="s">
        <v>6984</v>
      </c>
      <c r="INC26" t="s">
        <v>6984</v>
      </c>
      <c r="IND26" t="s">
        <v>6984</v>
      </c>
      <c r="INE26" t="s">
        <v>6984</v>
      </c>
      <c r="INF26" t="s">
        <v>6984</v>
      </c>
      <c r="ING26" t="s">
        <v>6984</v>
      </c>
      <c r="INH26" t="s">
        <v>6984</v>
      </c>
      <c r="INI26" t="s">
        <v>6984</v>
      </c>
      <c r="INJ26" t="s">
        <v>6984</v>
      </c>
      <c r="INK26" t="s">
        <v>6984</v>
      </c>
      <c r="INL26" t="s">
        <v>6984</v>
      </c>
      <c r="INM26" t="s">
        <v>6984</v>
      </c>
      <c r="INN26" t="s">
        <v>6984</v>
      </c>
      <c r="INO26" t="s">
        <v>6984</v>
      </c>
      <c r="INP26" t="s">
        <v>6984</v>
      </c>
      <c r="INQ26" t="s">
        <v>6984</v>
      </c>
      <c r="INR26" t="s">
        <v>6984</v>
      </c>
      <c r="INS26" t="s">
        <v>6984</v>
      </c>
      <c r="INT26" t="s">
        <v>6984</v>
      </c>
      <c r="INU26" t="s">
        <v>6984</v>
      </c>
      <c r="INV26" t="s">
        <v>6984</v>
      </c>
      <c r="INW26" t="s">
        <v>6984</v>
      </c>
      <c r="INX26" t="s">
        <v>6984</v>
      </c>
      <c r="INY26" t="s">
        <v>6984</v>
      </c>
      <c r="INZ26" t="s">
        <v>6984</v>
      </c>
      <c r="IOA26" t="s">
        <v>6984</v>
      </c>
      <c r="IOB26" t="s">
        <v>6984</v>
      </c>
      <c r="IOC26" t="s">
        <v>6984</v>
      </c>
      <c r="IOD26" t="s">
        <v>6984</v>
      </c>
      <c r="IOE26" t="s">
        <v>6984</v>
      </c>
      <c r="IOF26" t="s">
        <v>6984</v>
      </c>
      <c r="IOG26" t="s">
        <v>6984</v>
      </c>
      <c r="IOH26" t="s">
        <v>6984</v>
      </c>
      <c r="IOI26" t="s">
        <v>6984</v>
      </c>
      <c r="IOJ26" t="s">
        <v>6984</v>
      </c>
      <c r="IOK26" t="s">
        <v>6984</v>
      </c>
      <c r="IOL26" t="s">
        <v>6984</v>
      </c>
      <c r="IOM26" t="s">
        <v>6984</v>
      </c>
      <c r="ION26" t="s">
        <v>6984</v>
      </c>
      <c r="IOO26" t="s">
        <v>6984</v>
      </c>
      <c r="IOP26" t="s">
        <v>6984</v>
      </c>
      <c r="IOQ26" t="s">
        <v>6984</v>
      </c>
      <c r="IOR26" t="s">
        <v>6984</v>
      </c>
      <c r="IOS26" t="s">
        <v>6984</v>
      </c>
      <c r="IOT26" t="s">
        <v>6984</v>
      </c>
      <c r="IOU26" t="s">
        <v>6984</v>
      </c>
      <c r="IOV26" t="s">
        <v>6984</v>
      </c>
      <c r="IOW26" t="s">
        <v>6984</v>
      </c>
      <c r="IOX26" t="s">
        <v>6984</v>
      </c>
      <c r="IOY26" t="s">
        <v>6984</v>
      </c>
      <c r="IOZ26" t="s">
        <v>6984</v>
      </c>
      <c r="IPA26" t="s">
        <v>6984</v>
      </c>
      <c r="IPB26" t="s">
        <v>6984</v>
      </c>
      <c r="IPC26" t="s">
        <v>6984</v>
      </c>
      <c r="IPD26" t="s">
        <v>6984</v>
      </c>
      <c r="IPE26" t="s">
        <v>6984</v>
      </c>
      <c r="IPF26" t="s">
        <v>6984</v>
      </c>
      <c r="IPG26" t="s">
        <v>6984</v>
      </c>
      <c r="IPH26" t="s">
        <v>6984</v>
      </c>
      <c r="IPI26" t="s">
        <v>6984</v>
      </c>
      <c r="IPJ26" t="s">
        <v>6984</v>
      </c>
      <c r="IPK26" t="s">
        <v>6984</v>
      </c>
      <c r="IPL26" t="s">
        <v>6984</v>
      </c>
      <c r="IPM26" t="s">
        <v>6984</v>
      </c>
      <c r="IPN26" t="s">
        <v>6984</v>
      </c>
      <c r="IPO26" t="s">
        <v>6984</v>
      </c>
      <c r="IPP26" t="s">
        <v>6984</v>
      </c>
      <c r="IPQ26" t="s">
        <v>6984</v>
      </c>
      <c r="IPR26" t="s">
        <v>6984</v>
      </c>
      <c r="IPS26" t="s">
        <v>6984</v>
      </c>
      <c r="IPT26" t="s">
        <v>6984</v>
      </c>
      <c r="IPU26" t="s">
        <v>6984</v>
      </c>
      <c r="IPV26" t="s">
        <v>6984</v>
      </c>
      <c r="IPW26" t="s">
        <v>6984</v>
      </c>
      <c r="IPX26" t="s">
        <v>6984</v>
      </c>
      <c r="IPY26" t="s">
        <v>6984</v>
      </c>
      <c r="IPZ26" t="s">
        <v>6984</v>
      </c>
      <c r="IQA26" t="s">
        <v>6984</v>
      </c>
      <c r="IQB26" t="s">
        <v>6984</v>
      </c>
      <c r="IQC26" t="s">
        <v>6984</v>
      </c>
      <c r="IQD26" t="s">
        <v>6984</v>
      </c>
      <c r="IQE26" t="s">
        <v>6984</v>
      </c>
      <c r="IQF26" t="s">
        <v>6984</v>
      </c>
      <c r="IQG26" t="s">
        <v>6984</v>
      </c>
      <c r="IQH26" t="s">
        <v>6984</v>
      </c>
      <c r="IQI26" t="s">
        <v>6984</v>
      </c>
      <c r="IQJ26" t="s">
        <v>6984</v>
      </c>
      <c r="IQK26" t="s">
        <v>6984</v>
      </c>
      <c r="IQL26" t="s">
        <v>6984</v>
      </c>
      <c r="IQM26" t="s">
        <v>6984</v>
      </c>
      <c r="IQN26" t="s">
        <v>6984</v>
      </c>
      <c r="IQO26" t="s">
        <v>6984</v>
      </c>
      <c r="IQP26" t="s">
        <v>6984</v>
      </c>
      <c r="IQQ26" t="s">
        <v>6984</v>
      </c>
      <c r="IQR26" t="s">
        <v>6984</v>
      </c>
      <c r="IQS26" t="s">
        <v>6984</v>
      </c>
      <c r="IQT26" t="s">
        <v>6984</v>
      </c>
      <c r="IQU26" t="s">
        <v>6984</v>
      </c>
      <c r="IQV26" t="s">
        <v>6984</v>
      </c>
      <c r="IQW26" t="s">
        <v>6984</v>
      </c>
      <c r="IQX26" t="s">
        <v>6984</v>
      </c>
      <c r="IQY26" t="s">
        <v>6984</v>
      </c>
      <c r="IQZ26" t="s">
        <v>6984</v>
      </c>
      <c r="IRA26" t="s">
        <v>6984</v>
      </c>
      <c r="IRB26" t="s">
        <v>6984</v>
      </c>
      <c r="IRC26" t="s">
        <v>6984</v>
      </c>
      <c r="IRD26" t="s">
        <v>6984</v>
      </c>
      <c r="IRE26" t="s">
        <v>6984</v>
      </c>
      <c r="IRF26" t="s">
        <v>6984</v>
      </c>
      <c r="IRG26" t="s">
        <v>6984</v>
      </c>
      <c r="IRH26" t="s">
        <v>6984</v>
      </c>
      <c r="IRI26" t="s">
        <v>6984</v>
      </c>
      <c r="IRJ26" t="s">
        <v>6984</v>
      </c>
      <c r="IRK26" t="s">
        <v>6984</v>
      </c>
      <c r="IRL26" t="s">
        <v>6984</v>
      </c>
      <c r="IRM26" t="s">
        <v>6984</v>
      </c>
      <c r="IRN26" t="s">
        <v>6984</v>
      </c>
      <c r="IRO26" t="s">
        <v>6984</v>
      </c>
      <c r="IRP26" t="s">
        <v>6984</v>
      </c>
      <c r="IRQ26" t="s">
        <v>6984</v>
      </c>
      <c r="IRR26" t="s">
        <v>6984</v>
      </c>
      <c r="IRS26" t="s">
        <v>6984</v>
      </c>
      <c r="IRT26" t="s">
        <v>6984</v>
      </c>
      <c r="IRU26" t="s">
        <v>6984</v>
      </c>
      <c r="IRV26" t="s">
        <v>6984</v>
      </c>
      <c r="IRW26" t="s">
        <v>6984</v>
      </c>
      <c r="IRX26" t="s">
        <v>6984</v>
      </c>
      <c r="IRY26" t="s">
        <v>6984</v>
      </c>
      <c r="IRZ26" t="s">
        <v>6984</v>
      </c>
      <c r="ISA26" t="s">
        <v>6984</v>
      </c>
      <c r="ISB26" t="s">
        <v>6984</v>
      </c>
      <c r="ISC26" t="s">
        <v>6984</v>
      </c>
      <c r="ISD26" t="s">
        <v>6984</v>
      </c>
      <c r="ISE26" t="s">
        <v>6984</v>
      </c>
      <c r="ISF26" t="s">
        <v>6984</v>
      </c>
      <c r="ISG26" t="s">
        <v>6984</v>
      </c>
      <c r="ISH26" t="s">
        <v>6984</v>
      </c>
      <c r="ISI26" t="s">
        <v>6984</v>
      </c>
      <c r="ISJ26" t="s">
        <v>6984</v>
      </c>
      <c r="ISK26" t="s">
        <v>6984</v>
      </c>
      <c r="ISL26" t="s">
        <v>6984</v>
      </c>
      <c r="ISM26" t="s">
        <v>6984</v>
      </c>
      <c r="ISN26" t="s">
        <v>6984</v>
      </c>
      <c r="ISO26" t="s">
        <v>6984</v>
      </c>
      <c r="ISP26" t="s">
        <v>6984</v>
      </c>
      <c r="ISQ26" t="s">
        <v>6984</v>
      </c>
      <c r="ISR26" t="s">
        <v>6984</v>
      </c>
      <c r="ISS26" t="s">
        <v>6984</v>
      </c>
      <c r="IST26" t="s">
        <v>6984</v>
      </c>
      <c r="ISU26" t="s">
        <v>6984</v>
      </c>
      <c r="ISV26" t="s">
        <v>6984</v>
      </c>
      <c r="ISW26" t="s">
        <v>6984</v>
      </c>
      <c r="ISX26" t="s">
        <v>6984</v>
      </c>
      <c r="ISY26" t="s">
        <v>6984</v>
      </c>
      <c r="ISZ26" t="s">
        <v>6984</v>
      </c>
      <c r="ITA26" t="s">
        <v>6984</v>
      </c>
      <c r="ITB26" t="s">
        <v>6984</v>
      </c>
      <c r="ITC26" t="s">
        <v>6984</v>
      </c>
      <c r="ITD26" t="s">
        <v>6984</v>
      </c>
      <c r="ITE26" t="s">
        <v>6984</v>
      </c>
      <c r="ITF26" t="s">
        <v>6984</v>
      </c>
      <c r="ITG26" t="s">
        <v>6984</v>
      </c>
      <c r="ITH26" t="s">
        <v>6984</v>
      </c>
      <c r="ITI26" t="s">
        <v>6984</v>
      </c>
      <c r="ITJ26" t="s">
        <v>6984</v>
      </c>
      <c r="ITK26" t="s">
        <v>6984</v>
      </c>
      <c r="ITL26" t="s">
        <v>6984</v>
      </c>
      <c r="ITM26" t="s">
        <v>6984</v>
      </c>
      <c r="ITN26" t="s">
        <v>6984</v>
      </c>
      <c r="ITO26" t="s">
        <v>6984</v>
      </c>
      <c r="ITP26" t="s">
        <v>6984</v>
      </c>
      <c r="ITQ26" t="s">
        <v>6984</v>
      </c>
      <c r="ITR26" t="s">
        <v>6984</v>
      </c>
      <c r="ITS26" t="s">
        <v>6984</v>
      </c>
      <c r="ITT26" t="s">
        <v>6984</v>
      </c>
      <c r="ITU26" t="s">
        <v>6984</v>
      </c>
      <c r="ITV26" t="s">
        <v>6984</v>
      </c>
      <c r="ITW26" t="s">
        <v>6984</v>
      </c>
      <c r="ITX26" t="s">
        <v>6984</v>
      </c>
      <c r="ITY26" t="s">
        <v>6984</v>
      </c>
      <c r="ITZ26" t="s">
        <v>6984</v>
      </c>
      <c r="IUA26" t="s">
        <v>6984</v>
      </c>
      <c r="IUB26" t="s">
        <v>6984</v>
      </c>
      <c r="IUC26" t="s">
        <v>6984</v>
      </c>
      <c r="IUD26" t="s">
        <v>6984</v>
      </c>
      <c r="IUE26" t="s">
        <v>6984</v>
      </c>
      <c r="IUF26" t="s">
        <v>6984</v>
      </c>
      <c r="IUG26" t="s">
        <v>6984</v>
      </c>
      <c r="IUH26" t="s">
        <v>6984</v>
      </c>
      <c r="IUI26" t="s">
        <v>6984</v>
      </c>
      <c r="IUJ26" t="s">
        <v>6984</v>
      </c>
      <c r="IUK26" t="s">
        <v>6984</v>
      </c>
      <c r="IUL26" t="s">
        <v>6984</v>
      </c>
      <c r="IUM26" t="s">
        <v>6984</v>
      </c>
      <c r="IUN26" t="s">
        <v>6984</v>
      </c>
      <c r="IUO26" t="s">
        <v>6984</v>
      </c>
      <c r="IUP26" t="s">
        <v>6984</v>
      </c>
      <c r="IUQ26" t="s">
        <v>6984</v>
      </c>
      <c r="IUR26" t="s">
        <v>6984</v>
      </c>
      <c r="IUS26" t="s">
        <v>6984</v>
      </c>
      <c r="IUT26" t="s">
        <v>6984</v>
      </c>
      <c r="IUU26" t="s">
        <v>6984</v>
      </c>
      <c r="IUV26" t="s">
        <v>6984</v>
      </c>
      <c r="IUW26" t="s">
        <v>6984</v>
      </c>
      <c r="IUX26" t="s">
        <v>6984</v>
      </c>
      <c r="IUY26" t="s">
        <v>6984</v>
      </c>
      <c r="IUZ26" t="s">
        <v>6984</v>
      </c>
      <c r="IVA26" t="s">
        <v>6984</v>
      </c>
      <c r="IVB26" t="s">
        <v>6984</v>
      </c>
      <c r="IVC26" t="s">
        <v>6984</v>
      </c>
      <c r="IVD26" t="s">
        <v>6984</v>
      </c>
      <c r="IVE26" t="s">
        <v>6984</v>
      </c>
      <c r="IVF26" t="s">
        <v>6984</v>
      </c>
      <c r="IVG26" t="s">
        <v>6984</v>
      </c>
      <c r="IVH26" t="s">
        <v>6984</v>
      </c>
      <c r="IVI26" t="s">
        <v>6984</v>
      </c>
      <c r="IVJ26" t="s">
        <v>6984</v>
      </c>
      <c r="IVK26" t="s">
        <v>6984</v>
      </c>
      <c r="IVL26" t="s">
        <v>6984</v>
      </c>
      <c r="IVM26" t="s">
        <v>6984</v>
      </c>
      <c r="IVN26" t="s">
        <v>6984</v>
      </c>
      <c r="IVO26" t="s">
        <v>6984</v>
      </c>
      <c r="IVP26" t="s">
        <v>6984</v>
      </c>
      <c r="IVQ26" t="s">
        <v>6984</v>
      </c>
      <c r="IVR26" t="s">
        <v>6984</v>
      </c>
      <c r="IVS26" t="s">
        <v>6984</v>
      </c>
      <c r="IVT26" t="s">
        <v>6984</v>
      </c>
      <c r="IVU26" t="s">
        <v>6984</v>
      </c>
      <c r="IVV26" t="s">
        <v>6984</v>
      </c>
      <c r="IVW26" t="s">
        <v>6984</v>
      </c>
      <c r="IVX26" t="s">
        <v>6984</v>
      </c>
      <c r="IVY26" t="s">
        <v>6984</v>
      </c>
      <c r="IVZ26" t="s">
        <v>6984</v>
      </c>
      <c r="IWA26" t="s">
        <v>6984</v>
      </c>
      <c r="IWB26" t="s">
        <v>6984</v>
      </c>
      <c r="IWC26" t="s">
        <v>6984</v>
      </c>
      <c r="IWD26" t="s">
        <v>6984</v>
      </c>
      <c r="IWE26" t="s">
        <v>6984</v>
      </c>
      <c r="IWF26" t="s">
        <v>6984</v>
      </c>
      <c r="IWG26" t="s">
        <v>6984</v>
      </c>
      <c r="IWH26" t="s">
        <v>6984</v>
      </c>
      <c r="IWI26" t="s">
        <v>6984</v>
      </c>
      <c r="IWJ26" t="s">
        <v>6984</v>
      </c>
      <c r="IWK26" t="s">
        <v>6984</v>
      </c>
      <c r="IWL26" t="s">
        <v>6984</v>
      </c>
      <c r="IWM26" t="s">
        <v>6984</v>
      </c>
      <c r="IWN26" t="s">
        <v>6984</v>
      </c>
      <c r="IWO26" t="s">
        <v>6984</v>
      </c>
      <c r="IWP26" t="s">
        <v>6984</v>
      </c>
      <c r="IWQ26" t="s">
        <v>6984</v>
      </c>
      <c r="IWR26" t="s">
        <v>6984</v>
      </c>
      <c r="IWS26" t="s">
        <v>6984</v>
      </c>
      <c r="IWT26" t="s">
        <v>6984</v>
      </c>
      <c r="IWU26" t="s">
        <v>6984</v>
      </c>
      <c r="IWV26" t="s">
        <v>6984</v>
      </c>
      <c r="IWW26" t="s">
        <v>6984</v>
      </c>
      <c r="IWX26" t="s">
        <v>6984</v>
      </c>
      <c r="IWY26" t="s">
        <v>6984</v>
      </c>
      <c r="IWZ26" t="s">
        <v>6984</v>
      </c>
      <c r="IXA26" t="s">
        <v>6984</v>
      </c>
      <c r="IXB26" t="s">
        <v>6984</v>
      </c>
      <c r="IXC26" t="s">
        <v>6984</v>
      </c>
      <c r="IXD26" t="s">
        <v>6984</v>
      </c>
      <c r="IXE26" t="s">
        <v>6984</v>
      </c>
      <c r="IXF26" t="s">
        <v>6984</v>
      </c>
      <c r="IXG26" t="s">
        <v>6984</v>
      </c>
      <c r="IXH26" t="s">
        <v>6984</v>
      </c>
      <c r="IXI26" t="s">
        <v>6984</v>
      </c>
      <c r="IXJ26" t="s">
        <v>6984</v>
      </c>
      <c r="IXK26" t="s">
        <v>6984</v>
      </c>
      <c r="IXL26" t="s">
        <v>6984</v>
      </c>
      <c r="IXM26" t="s">
        <v>6984</v>
      </c>
      <c r="IXN26" t="s">
        <v>6984</v>
      </c>
      <c r="IXO26" t="s">
        <v>6984</v>
      </c>
      <c r="IXP26" t="s">
        <v>6984</v>
      </c>
      <c r="IXQ26" t="s">
        <v>6984</v>
      </c>
      <c r="IXR26" t="s">
        <v>6984</v>
      </c>
      <c r="IXS26" t="s">
        <v>6984</v>
      </c>
      <c r="IXT26" t="s">
        <v>6984</v>
      </c>
      <c r="IXU26" t="s">
        <v>6984</v>
      </c>
      <c r="IXV26" t="s">
        <v>6984</v>
      </c>
      <c r="IXW26" t="s">
        <v>6984</v>
      </c>
      <c r="IXX26" t="s">
        <v>6984</v>
      </c>
      <c r="IXY26" t="s">
        <v>6984</v>
      </c>
      <c r="IXZ26" t="s">
        <v>6984</v>
      </c>
      <c r="IYA26" t="s">
        <v>6984</v>
      </c>
      <c r="IYB26" t="s">
        <v>6984</v>
      </c>
      <c r="IYC26" t="s">
        <v>6984</v>
      </c>
      <c r="IYD26" t="s">
        <v>6984</v>
      </c>
      <c r="IYE26" t="s">
        <v>6984</v>
      </c>
      <c r="IYF26" t="s">
        <v>6984</v>
      </c>
      <c r="IYG26" t="s">
        <v>6984</v>
      </c>
      <c r="IYH26" t="s">
        <v>6984</v>
      </c>
      <c r="IYI26" t="s">
        <v>6984</v>
      </c>
      <c r="IYJ26" t="s">
        <v>6984</v>
      </c>
      <c r="IYK26" t="s">
        <v>6984</v>
      </c>
      <c r="IYL26" t="s">
        <v>6984</v>
      </c>
      <c r="IYM26" t="s">
        <v>6984</v>
      </c>
      <c r="IYN26" t="s">
        <v>6984</v>
      </c>
      <c r="IYO26" t="s">
        <v>6984</v>
      </c>
      <c r="IYP26" t="s">
        <v>6984</v>
      </c>
      <c r="IYQ26" t="s">
        <v>6984</v>
      </c>
      <c r="IYR26" t="s">
        <v>6984</v>
      </c>
      <c r="IYS26" t="s">
        <v>6984</v>
      </c>
      <c r="IYT26" t="s">
        <v>6984</v>
      </c>
      <c r="IYU26" t="s">
        <v>6984</v>
      </c>
      <c r="IYV26" t="s">
        <v>6984</v>
      </c>
      <c r="IYW26" t="s">
        <v>6984</v>
      </c>
      <c r="IYX26" t="s">
        <v>6984</v>
      </c>
      <c r="IYY26" t="s">
        <v>6984</v>
      </c>
      <c r="IYZ26" t="s">
        <v>6984</v>
      </c>
      <c r="IZA26" t="s">
        <v>6984</v>
      </c>
      <c r="IZB26" t="s">
        <v>6984</v>
      </c>
      <c r="IZC26" t="s">
        <v>6984</v>
      </c>
      <c r="IZD26" t="s">
        <v>6984</v>
      </c>
      <c r="IZE26" t="s">
        <v>6984</v>
      </c>
      <c r="IZF26" t="s">
        <v>6984</v>
      </c>
      <c r="IZG26" t="s">
        <v>6984</v>
      </c>
      <c r="IZH26" t="s">
        <v>6984</v>
      </c>
      <c r="IZI26" t="s">
        <v>6984</v>
      </c>
      <c r="IZJ26" t="s">
        <v>6984</v>
      </c>
      <c r="IZK26" t="s">
        <v>6984</v>
      </c>
      <c r="IZL26" t="s">
        <v>6984</v>
      </c>
      <c r="IZM26" t="s">
        <v>6984</v>
      </c>
      <c r="IZN26" t="s">
        <v>6984</v>
      </c>
      <c r="IZO26" t="s">
        <v>6984</v>
      </c>
      <c r="IZP26" t="s">
        <v>6984</v>
      </c>
      <c r="IZQ26" t="s">
        <v>6984</v>
      </c>
      <c r="IZR26" t="s">
        <v>6984</v>
      </c>
      <c r="IZS26" t="s">
        <v>6984</v>
      </c>
      <c r="IZT26" t="s">
        <v>6984</v>
      </c>
      <c r="IZU26" t="s">
        <v>6984</v>
      </c>
      <c r="IZV26" t="s">
        <v>6984</v>
      </c>
      <c r="IZW26" t="s">
        <v>6984</v>
      </c>
      <c r="IZX26" t="s">
        <v>6984</v>
      </c>
      <c r="IZY26" t="s">
        <v>6984</v>
      </c>
      <c r="IZZ26" t="s">
        <v>6984</v>
      </c>
      <c r="JAA26" t="s">
        <v>6984</v>
      </c>
      <c r="JAB26" t="s">
        <v>6984</v>
      </c>
      <c r="JAC26" t="s">
        <v>6984</v>
      </c>
      <c r="JAD26" t="s">
        <v>6984</v>
      </c>
      <c r="JAE26" t="s">
        <v>6984</v>
      </c>
      <c r="JAF26" t="s">
        <v>6984</v>
      </c>
      <c r="JAG26" t="s">
        <v>6984</v>
      </c>
      <c r="JAH26" t="s">
        <v>6984</v>
      </c>
      <c r="JAI26" t="s">
        <v>6984</v>
      </c>
      <c r="JAJ26" t="s">
        <v>6984</v>
      </c>
      <c r="JAK26" t="s">
        <v>6984</v>
      </c>
      <c r="JAL26" t="s">
        <v>6984</v>
      </c>
      <c r="JAM26" t="s">
        <v>6984</v>
      </c>
      <c r="JAN26" t="s">
        <v>6984</v>
      </c>
      <c r="JAO26" t="s">
        <v>6984</v>
      </c>
      <c r="JAP26" t="s">
        <v>6984</v>
      </c>
      <c r="JAQ26" t="s">
        <v>6984</v>
      </c>
      <c r="JAR26" t="s">
        <v>6984</v>
      </c>
      <c r="JAS26" t="s">
        <v>6984</v>
      </c>
      <c r="JAT26" t="s">
        <v>6984</v>
      </c>
      <c r="JAU26" t="s">
        <v>6984</v>
      </c>
      <c r="JAV26" t="s">
        <v>6984</v>
      </c>
      <c r="JAW26" t="s">
        <v>6984</v>
      </c>
      <c r="JAX26" t="s">
        <v>6984</v>
      </c>
      <c r="JAY26" t="s">
        <v>6984</v>
      </c>
      <c r="JAZ26" t="s">
        <v>6984</v>
      </c>
      <c r="JBA26" t="s">
        <v>6984</v>
      </c>
      <c r="JBB26" t="s">
        <v>6984</v>
      </c>
      <c r="JBC26" t="s">
        <v>6984</v>
      </c>
      <c r="JBD26" t="s">
        <v>6984</v>
      </c>
      <c r="JBE26" t="s">
        <v>6984</v>
      </c>
      <c r="JBF26" t="s">
        <v>6984</v>
      </c>
      <c r="JBG26" t="s">
        <v>6984</v>
      </c>
      <c r="JBH26" t="s">
        <v>6984</v>
      </c>
      <c r="JBI26" t="s">
        <v>6984</v>
      </c>
      <c r="JBJ26" t="s">
        <v>6984</v>
      </c>
      <c r="JBK26" t="s">
        <v>6984</v>
      </c>
      <c r="JBL26" t="s">
        <v>6984</v>
      </c>
      <c r="JBM26" t="s">
        <v>6984</v>
      </c>
      <c r="JBN26" t="s">
        <v>6984</v>
      </c>
      <c r="JBO26" t="s">
        <v>6984</v>
      </c>
      <c r="JBP26" t="s">
        <v>6984</v>
      </c>
      <c r="JBQ26" t="s">
        <v>6984</v>
      </c>
      <c r="JBR26" t="s">
        <v>6984</v>
      </c>
      <c r="JBS26" t="s">
        <v>6984</v>
      </c>
      <c r="JBT26" t="s">
        <v>6984</v>
      </c>
      <c r="JBU26" t="s">
        <v>6984</v>
      </c>
      <c r="JBV26" t="s">
        <v>6984</v>
      </c>
      <c r="JBW26" t="s">
        <v>6984</v>
      </c>
      <c r="JBX26" t="s">
        <v>6984</v>
      </c>
      <c r="JBY26" t="s">
        <v>6984</v>
      </c>
      <c r="JBZ26" t="s">
        <v>6984</v>
      </c>
      <c r="JCA26" t="s">
        <v>6984</v>
      </c>
      <c r="JCB26" t="s">
        <v>6984</v>
      </c>
      <c r="JCC26" t="s">
        <v>6984</v>
      </c>
      <c r="JCD26" t="s">
        <v>6984</v>
      </c>
      <c r="JCE26" t="s">
        <v>6984</v>
      </c>
      <c r="JCF26" t="s">
        <v>6984</v>
      </c>
      <c r="JCG26" t="s">
        <v>6984</v>
      </c>
      <c r="JCH26" t="s">
        <v>6984</v>
      </c>
      <c r="JCI26" t="s">
        <v>6984</v>
      </c>
      <c r="JCJ26" t="s">
        <v>6984</v>
      </c>
      <c r="JCK26" t="s">
        <v>6984</v>
      </c>
      <c r="JCL26" t="s">
        <v>6984</v>
      </c>
      <c r="JCM26" t="s">
        <v>6984</v>
      </c>
      <c r="JCN26" t="s">
        <v>6984</v>
      </c>
      <c r="JCO26" t="s">
        <v>6984</v>
      </c>
      <c r="JCP26" t="s">
        <v>6984</v>
      </c>
      <c r="JCQ26" t="s">
        <v>6984</v>
      </c>
      <c r="JCR26" t="s">
        <v>6984</v>
      </c>
      <c r="JCS26" t="s">
        <v>6984</v>
      </c>
      <c r="JCT26" t="s">
        <v>6984</v>
      </c>
      <c r="JCU26" t="s">
        <v>6984</v>
      </c>
      <c r="JCV26" t="s">
        <v>6984</v>
      </c>
      <c r="JCW26" t="s">
        <v>6984</v>
      </c>
      <c r="JCX26" t="s">
        <v>6984</v>
      </c>
      <c r="JCY26" t="s">
        <v>6984</v>
      </c>
      <c r="JCZ26" t="s">
        <v>6984</v>
      </c>
      <c r="JDA26" t="s">
        <v>6984</v>
      </c>
      <c r="JDB26" t="s">
        <v>6984</v>
      </c>
      <c r="JDC26" t="s">
        <v>6984</v>
      </c>
      <c r="JDD26" t="s">
        <v>6984</v>
      </c>
      <c r="JDE26" t="s">
        <v>6984</v>
      </c>
      <c r="JDF26" t="s">
        <v>6984</v>
      </c>
      <c r="JDG26" t="s">
        <v>6984</v>
      </c>
      <c r="JDH26" t="s">
        <v>6984</v>
      </c>
      <c r="JDI26" t="s">
        <v>6984</v>
      </c>
      <c r="JDJ26" t="s">
        <v>6984</v>
      </c>
      <c r="JDK26" t="s">
        <v>6984</v>
      </c>
      <c r="JDL26" t="s">
        <v>6984</v>
      </c>
      <c r="JDM26" t="s">
        <v>6984</v>
      </c>
      <c r="JDN26" t="s">
        <v>6984</v>
      </c>
      <c r="JDO26" t="s">
        <v>6984</v>
      </c>
      <c r="JDP26" t="s">
        <v>6984</v>
      </c>
      <c r="JDQ26" t="s">
        <v>6984</v>
      </c>
      <c r="JDR26" t="s">
        <v>6984</v>
      </c>
      <c r="JDS26" t="s">
        <v>6984</v>
      </c>
      <c r="JDT26" t="s">
        <v>6984</v>
      </c>
      <c r="JDU26" t="s">
        <v>6984</v>
      </c>
      <c r="JDV26" t="s">
        <v>6984</v>
      </c>
      <c r="JDW26" t="s">
        <v>6984</v>
      </c>
      <c r="JDX26" t="s">
        <v>6984</v>
      </c>
      <c r="JDY26" t="s">
        <v>6984</v>
      </c>
      <c r="JDZ26" t="s">
        <v>6984</v>
      </c>
      <c r="JEA26" t="s">
        <v>6984</v>
      </c>
      <c r="JEB26" t="s">
        <v>6984</v>
      </c>
      <c r="JEC26" t="s">
        <v>6984</v>
      </c>
      <c r="JED26" t="s">
        <v>6984</v>
      </c>
      <c r="JEE26" t="s">
        <v>6984</v>
      </c>
      <c r="JEF26" t="s">
        <v>6984</v>
      </c>
      <c r="JEG26" t="s">
        <v>6984</v>
      </c>
      <c r="JEH26" t="s">
        <v>6984</v>
      </c>
      <c r="JEI26" t="s">
        <v>6984</v>
      </c>
      <c r="JEJ26" t="s">
        <v>6984</v>
      </c>
      <c r="JEK26" t="s">
        <v>6984</v>
      </c>
      <c r="JEL26" t="s">
        <v>6984</v>
      </c>
      <c r="JEM26" t="s">
        <v>6984</v>
      </c>
      <c r="JEN26" t="s">
        <v>6984</v>
      </c>
      <c r="JEO26" t="s">
        <v>6984</v>
      </c>
      <c r="JEP26" t="s">
        <v>6984</v>
      </c>
      <c r="JEQ26" t="s">
        <v>6984</v>
      </c>
      <c r="JER26" t="s">
        <v>6984</v>
      </c>
      <c r="JES26" t="s">
        <v>6984</v>
      </c>
      <c r="JET26" t="s">
        <v>6984</v>
      </c>
      <c r="JEU26" t="s">
        <v>6984</v>
      </c>
      <c r="JEV26" t="s">
        <v>6984</v>
      </c>
      <c r="JEW26" t="s">
        <v>6984</v>
      </c>
      <c r="JEX26" t="s">
        <v>6984</v>
      </c>
      <c r="JEY26" t="s">
        <v>6984</v>
      </c>
      <c r="JEZ26" t="s">
        <v>6984</v>
      </c>
      <c r="JFA26" t="s">
        <v>6984</v>
      </c>
      <c r="JFB26" t="s">
        <v>6984</v>
      </c>
      <c r="JFC26" t="s">
        <v>6984</v>
      </c>
      <c r="JFD26" t="s">
        <v>6984</v>
      </c>
      <c r="JFE26" t="s">
        <v>6984</v>
      </c>
      <c r="JFF26" t="s">
        <v>6984</v>
      </c>
      <c r="JFG26" t="s">
        <v>6984</v>
      </c>
      <c r="JFH26" t="s">
        <v>6984</v>
      </c>
      <c r="JFI26" t="s">
        <v>6984</v>
      </c>
      <c r="JFJ26" t="s">
        <v>6984</v>
      </c>
      <c r="JFK26" t="s">
        <v>6984</v>
      </c>
      <c r="JFL26" t="s">
        <v>6984</v>
      </c>
      <c r="JFM26" t="s">
        <v>6984</v>
      </c>
      <c r="JFN26" t="s">
        <v>6984</v>
      </c>
      <c r="JFO26" t="s">
        <v>6984</v>
      </c>
      <c r="JFP26" t="s">
        <v>6984</v>
      </c>
      <c r="JFQ26" t="s">
        <v>6984</v>
      </c>
      <c r="JFR26" t="s">
        <v>6984</v>
      </c>
      <c r="JFS26" t="s">
        <v>6984</v>
      </c>
      <c r="JFT26" t="s">
        <v>6984</v>
      </c>
      <c r="JFU26" t="s">
        <v>6984</v>
      </c>
      <c r="JFV26" t="s">
        <v>6984</v>
      </c>
      <c r="JFW26" t="s">
        <v>6984</v>
      </c>
      <c r="JFX26" t="s">
        <v>6984</v>
      </c>
      <c r="JFY26" t="s">
        <v>6984</v>
      </c>
      <c r="JFZ26" t="s">
        <v>6984</v>
      </c>
      <c r="JGA26" t="s">
        <v>6984</v>
      </c>
      <c r="JGB26" t="s">
        <v>6984</v>
      </c>
      <c r="JGC26" t="s">
        <v>6984</v>
      </c>
      <c r="JGD26" t="s">
        <v>6984</v>
      </c>
      <c r="JGE26" t="s">
        <v>6984</v>
      </c>
      <c r="JGF26" t="s">
        <v>6984</v>
      </c>
      <c r="JGG26" t="s">
        <v>6984</v>
      </c>
      <c r="JGH26" t="s">
        <v>6984</v>
      </c>
      <c r="JGI26" t="s">
        <v>6984</v>
      </c>
      <c r="JGJ26" t="s">
        <v>6984</v>
      </c>
      <c r="JGK26" t="s">
        <v>6984</v>
      </c>
      <c r="JGL26" t="s">
        <v>6984</v>
      </c>
      <c r="JGM26" t="s">
        <v>6984</v>
      </c>
      <c r="JGN26" t="s">
        <v>6984</v>
      </c>
      <c r="JGO26" t="s">
        <v>6984</v>
      </c>
      <c r="JGP26" t="s">
        <v>6984</v>
      </c>
      <c r="JGQ26" t="s">
        <v>6984</v>
      </c>
      <c r="JGR26" t="s">
        <v>6984</v>
      </c>
      <c r="JGS26" t="s">
        <v>6984</v>
      </c>
      <c r="JGT26" t="s">
        <v>6984</v>
      </c>
      <c r="JGU26" t="s">
        <v>6984</v>
      </c>
      <c r="JGV26" t="s">
        <v>6984</v>
      </c>
      <c r="JGW26" t="s">
        <v>6984</v>
      </c>
      <c r="JGX26" t="s">
        <v>6984</v>
      </c>
      <c r="JGY26" t="s">
        <v>6984</v>
      </c>
      <c r="JGZ26" t="s">
        <v>6984</v>
      </c>
      <c r="JHA26" t="s">
        <v>6984</v>
      </c>
      <c r="JHB26" t="s">
        <v>6984</v>
      </c>
      <c r="JHC26" t="s">
        <v>6984</v>
      </c>
      <c r="JHD26" t="s">
        <v>6984</v>
      </c>
      <c r="JHE26" t="s">
        <v>6984</v>
      </c>
      <c r="JHF26" t="s">
        <v>6984</v>
      </c>
      <c r="JHG26" t="s">
        <v>6984</v>
      </c>
      <c r="JHH26" t="s">
        <v>6984</v>
      </c>
      <c r="JHI26" t="s">
        <v>6984</v>
      </c>
      <c r="JHJ26" t="s">
        <v>6984</v>
      </c>
      <c r="JHK26" t="s">
        <v>6984</v>
      </c>
      <c r="JHL26" t="s">
        <v>6984</v>
      </c>
      <c r="JHM26" t="s">
        <v>6984</v>
      </c>
      <c r="JHN26" t="s">
        <v>6984</v>
      </c>
      <c r="JHO26" t="s">
        <v>6984</v>
      </c>
      <c r="JHP26" t="s">
        <v>6984</v>
      </c>
      <c r="JHQ26" t="s">
        <v>6984</v>
      </c>
      <c r="JHR26" t="s">
        <v>6984</v>
      </c>
      <c r="JHS26" t="s">
        <v>6984</v>
      </c>
      <c r="JHT26" t="s">
        <v>6984</v>
      </c>
      <c r="JHU26" t="s">
        <v>6984</v>
      </c>
      <c r="JHV26" t="s">
        <v>6984</v>
      </c>
      <c r="JHW26" t="s">
        <v>6984</v>
      </c>
      <c r="JHX26" t="s">
        <v>6984</v>
      </c>
      <c r="JHY26" t="s">
        <v>6984</v>
      </c>
      <c r="JHZ26" t="s">
        <v>6984</v>
      </c>
      <c r="JIA26" t="s">
        <v>6984</v>
      </c>
      <c r="JIB26" t="s">
        <v>6984</v>
      </c>
      <c r="JIC26" t="s">
        <v>6984</v>
      </c>
      <c r="JID26" t="s">
        <v>6984</v>
      </c>
      <c r="JIE26" t="s">
        <v>6984</v>
      </c>
      <c r="JIF26" t="s">
        <v>6984</v>
      </c>
      <c r="JIG26" t="s">
        <v>6984</v>
      </c>
      <c r="JIH26" t="s">
        <v>6984</v>
      </c>
      <c r="JII26" t="s">
        <v>6984</v>
      </c>
      <c r="JIJ26" t="s">
        <v>6984</v>
      </c>
      <c r="JIK26" t="s">
        <v>6984</v>
      </c>
      <c r="JIL26" t="s">
        <v>6984</v>
      </c>
      <c r="JIM26" t="s">
        <v>6984</v>
      </c>
      <c r="JIN26" t="s">
        <v>6984</v>
      </c>
      <c r="JIO26" t="s">
        <v>6984</v>
      </c>
      <c r="JIP26" t="s">
        <v>6984</v>
      </c>
      <c r="JIQ26" t="s">
        <v>6984</v>
      </c>
      <c r="JIR26" t="s">
        <v>6984</v>
      </c>
      <c r="JIS26" t="s">
        <v>6984</v>
      </c>
      <c r="JIT26" t="s">
        <v>6984</v>
      </c>
      <c r="JIU26" t="s">
        <v>6984</v>
      </c>
      <c r="JIV26" t="s">
        <v>6984</v>
      </c>
      <c r="JIW26" t="s">
        <v>6984</v>
      </c>
      <c r="JIX26" t="s">
        <v>6984</v>
      </c>
      <c r="JIY26" t="s">
        <v>6984</v>
      </c>
      <c r="JIZ26" t="s">
        <v>6984</v>
      </c>
      <c r="JJA26" t="s">
        <v>6984</v>
      </c>
    </row>
    <row r="27" spans="1:7021" x14ac:dyDescent="0.25">
      <c r="A27" t="s">
        <v>7008</v>
      </c>
      <c r="B27">
        <v>95.875</v>
      </c>
      <c r="C27">
        <v>95.875</v>
      </c>
      <c r="D27">
        <v>95.875</v>
      </c>
      <c r="E27">
        <v>95.94</v>
      </c>
      <c r="F27">
        <v>95.885000000000005</v>
      </c>
      <c r="G27">
        <v>95.915000000000006</v>
      </c>
      <c r="H27">
        <v>95.965000000000003</v>
      </c>
      <c r="I27">
        <v>95.905000000000001</v>
      </c>
      <c r="J27">
        <v>95.855000000000004</v>
      </c>
      <c r="K27">
        <v>95.84</v>
      </c>
      <c r="L27">
        <v>95.834999999999994</v>
      </c>
      <c r="M27">
        <v>95.94</v>
      </c>
      <c r="N27">
        <v>95.954999999999998</v>
      </c>
      <c r="O27">
        <v>95.864999999999995</v>
      </c>
      <c r="P27">
        <v>95.86</v>
      </c>
      <c r="Q27">
        <v>95.92</v>
      </c>
      <c r="R27">
        <v>95.9</v>
      </c>
      <c r="S27">
        <v>95.87</v>
      </c>
      <c r="T27">
        <v>95.92</v>
      </c>
      <c r="U27">
        <v>95.83</v>
      </c>
      <c r="V27">
        <v>95.83</v>
      </c>
      <c r="W27">
        <v>95.754999999999995</v>
      </c>
      <c r="X27">
        <v>95.694999999999993</v>
      </c>
      <c r="Y27">
        <v>95.8</v>
      </c>
      <c r="Z27">
        <v>95.8</v>
      </c>
      <c r="AA27">
        <v>95.84</v>
      </c>
      <c r="AB27">
        <v>95.82</v>
      </c>
      <c r="AC27">
        <v>95.745000000000005</v>
      </c>
      <c r="AD27">
        <v>95.78</v>
      </c>
      <c r="AE27">
        <v>95.825000000000003</v>
      </c>
      <c r="AF27">
        <v>95.89</v>
      </c>
      <c r="AG27">
        <v>95.89</v>
      </c>
      <c r="AH27">
        <v>95.984999999999999</v>
      </c>
      <c r="AI27">
        <v>95.935000000000002</v>
      </c>
      <c r="AJ27">
        <v>95.92</v>
      </c>
      <c r="AK27">
        <v>95.95</v>
      </c>
      <c r="AL27">
        <v>96</v>
      </c>
      <c r="AM27">
        <v>96.045000000000002</v>
      </c>
      <c r="AN27">
        <v>96.04</v>
      </c>
      <c r="AO27">
        <v>95.98</v>
      </c>
      <c r="AP27">
        <v>95.93</v>
      </c>
      <c r="AQ27">
        <v>95.87</v>
      </c>
      <c r="AR27">
        <v>95.8</v>
      </c>
      <c r="AS27">
        <v>95.775000000000006</v>
      </c>
      <c r="AT27">
        <v>95.724999999999994</v>
      </c>
      <c r="AU27">
        <v>95.855000000000004</v>
      </c>
      <c r="AV27">
        <v>95.855000000000004</v>
      </c>
      <c r="AW27">
        <v>95.93</v>
      </c>
      <c r="AX27">
        <v>95.89</v>
      </c>
      <c r="AY27">
        <v>95.864999999999995</v>
      </c>
      <c r="AZ27">
        <v>95.754999999999995</v>
      </c>
      <c r="BA27">
        <v>95.894999999999996</v>
      </c>
      <c r="BB27">
        <v>95.864999999999995</v>
      </c>
      <c r="BC27">
        <v>96.025000000000006</v>
      </c>
      <c r="BD27">
        <v>96.105000000000004</v>
      </c>
      <c r="BE27">
        <v>96.28</v>
      </c>
      <c r="BF27">
        <v>96.2</v>
      </c>
      <c r="BG27">
        <v>96.05</v>
      </c>
      <c r="BH27">
        <v>96.11</v>
      </c>
      <c r="BI27">
        <v>96.004999999999995</v>
      </c>
      <c r="BJ27">
        <v>95.974999999999994</v>
      </c>
      <c r="BK27">
        <v>95.855000000000004</v>
      </c>
      <c r="BL27">
        <v>95.91</v>
      </c>
      <c r="BM27">
        <v>95.94</v>
      </c>
      <c r="BN27">
        <v>95.915000000000006</v>
      </c>
      <c r="BO27">
        <v>95.995000000000005</v>
      </c>
      <c r="BP27">
        <v>96.01</v>
      </c>
      <c r="BQ27">
        <v>95.97</v>
      </c>
      <c r="BR27">
        <v>95.984999999999999</v>
      </c>
      <c r="BS27">
        <v>95.95</v>
      </c>
      <c r="BT27">
        <v>95.924999999999997</v>
      </c>
      <c r="BU27">
        <v>95.99</v>
      </c>
      <c r="BV27">
        <v>95.96</v>
      </c>
      <c r="BW27">
        <v>95.99</v>
      </c>
      <c r="BX27">
        <v>96.084999999999994</v>
      </c>
      <c r="BY27">
        <v>95.954999999999998</v>
      </c>
      <c r="BZ27">
        <v>95.98</v>
      </c>
      <c r="CA27">
        <v>96.004999999999995</v>
      </c>
      <c r="CB27">
        <v>96.064999999999998</v>
      </c>
      <c r="CC27">
        <v>96.11</v>
      </c>
      <c r="CD27">
        <v>96.055000000000007</v>
      </c>
      <c r="CE27">
        <v>95.995000000000005</v>
      </c>
      <c r="CF27">
        <v>96.04</v>
      </c>
      <c r="CG27">
        <v>95.97</v>
      </c>
      <c r="CH27">
        <v>95.834999999999994</v>
      </c>
      <c r="CI27">
        <v>95.81</v>
      </c>
      <c r="CJ27">
        <v>95.73</v>
      </c>
      <c r="CK27">
        <v>95.68</v>
      </c>
      <c r="CL27">
        <v>95.68</v>
      </c>
      <c r="CM27">
        <v>95.754999999999995</v>
      </c>
      <c r="CN27">
        <v>95.754999999999995</v>
      </c>
      <c r="CO27">
        <v>95.694999999999993</v>
      </c>
      <c r="CP27">
        <v>95.58</v>
      </c>
      <c r="CQ27">
        <v>95.715000000000003</v>
      </c>
      <c r="CR27">
        <v>95.765000000000001</v>
      </c>
      <c r="CS27">
        <v>95.765000000000001</v>
      </c>
      <c r="CT27">
        <v>95.825000000000003</v>
      </c>
      <c r="CU27">
        <v>95.875</v>
      </c>
      <c r="CV27">
        <v>95.765000000000001</v>
      </c>
      <c r="CW27">
        <v>95.74</v>
      </c>
      <c r="CX27">
        <v>95.694999999999993</v>
      </c>
      <c r="CY27">
        <v>95.765000000000001</v>
      </c>
      <c r="CZ27">
        <v>95.72</v>
      </c>
      <c r="DA27">
        <v>95.73</v>
      </c>
      <c r="DB27">
        <v>95.754999999999995</v>
      </c>
      <c r="DC27">
        <v>95.644999999999996</v>
      </c>
      <c r="DD27">
        <v>95.644999999999996</v>
      </c>
      <c r="DE27">
        <v>95.694999999999993</v>
      </c>
      <c r="DF27">
        <v>95.724999999999994</v>
      </c>
      <c r="DG27">
        <v>95.68</v>
      </c>
      <c r="DH27">
        <v>95.68</v>
      </c>
      <c r="DI27">
        <v>95.68</v>
      </c>
      <c r="DJ27">
        <v>95.64</v>
      </c>
      <c r="DK27">
        <v>95.495000000000005</v>
      </c>
      <c r="DL27">
        <v>95.474999999999994</v>
      </c>
      <c r="DM27">
        <v>95.515000000000001</v>
      </c>
      <c r="DN27">
        <v>95.58</v>
      </c>
      <c r="DO27">
        <v>95.564999999999998</v>
      </c>
      <c r="DP27">
        <v>95.575000000000003</v>
      </c>
      <c r="DQ27">
        <v>95.66</v>
      </c>
      <c r="DR27">
        <v>95.715000000000003</v>
      </c>
      <c r="DS27">
        <v>95.73</v>
      </c>
      <c r="DT27">
        <v>95.724999999999994</v>
      </c>
      <c r="DU27">
        <v>95.724999999999994</v>
      </c>
      <c r="DV27">
        <v>95.765000000000001</v>
      </c>
      <c r="DW27">
        <v>95.685000000000002</v>
      </c>
      <c r="DX27">
        <v>95.745000000000005</v>
      </c>
      <c r="DY27">
        <v>95.73</v>
      </c>
      <c r="DZ27">
        <v>95.73</v>
      </c>
      <c r="EA27">
        <v>95.704999999999998</v>
      </c>
      <c r="EB27">
        <v>95.805000000000007</v>
      </c>
      <c r="EC27">
        <v>95.734999999999999</v>
      </c>
      <c r="ED27">
        <v>95.864999999999995</v>
      </c>
      <c r="EE27">
        <v>96.01</v>
      </c>
      <c r="EF27">
        <v>95.995000000000005</v>
      </c>
      <c r="EG27">
        <v>96</v>
      </c>
      <c r="EH27">
        <v>96.084999999999994</v>
      </c>
      <c r="EI27">
        <v>96.144999999999996</v>
      </c>
      <c r="EJ27">
        <v>96.204999999999998</v>
      </c>
      <c r="EK27">
        <v>96.23</v>
      </c>
      <c r="EL27">
        <v>96.27</v>
      </c>
      <c r="EM27">
        <v>96.234999999999999</v>
      </c>
      <c r="EN27">
        <v>96.22</v>
      </c>
      <c r="EO27">
        <v>96.19</v>
      </c>
      <c r="EP27">
        <v>96.224999999999994</v>
      </c>
      <c r="EQ27">
        <v>96.224999999999994</v>
      </c>
      <c r="ER27">
        <v>96.19</v>
      </c>
      <c r="ES27">
        <v>96.19</v>
      </c>
      <c r="ET27">
        <v>96.125</v>
      </c>
      <c r="EU27">
        <v>96.19</v>
      </c>
      <c r="EV27">
        <v>96.04</v>
      </c>
      <c r="EW27">
        <v>96.004999999999995</v>
      </c>
      <c r="EX27">
        <v>96</v>
      </c>
      <c r="EY27">
        <v>96.03</v>
      </c>
      <c r="EZ27">
        <v>95.995000000000005</v>
      </c>
      <c r="FA27">
        <v>95.984999999999999</v>
      </c>
      <c r="FB27">
        <v>95.99</v>
      </c>
      <c r="FC27">
        <v>95.954999999999998</v>
      </c>
      <c r="FD27">
        <v>95.98</v>
      </c>
      <c r="FE27">
        <v>96.04</v>
      </c>
      <c r="FF27">
        <v>96.094999999999999</v>
      </c>
      <c r="FG27">
        <v>96.05</v>
      </c>
      <c r="FH27">
        <v>95.944999999999993</v>
      </c>
      <c r="FI27">
        <v>96.114999999999995</v>
      </c>
      <c r="FJ27">
        <v>96.09</v>
      </c>
      <c r="FK27">
        <v>96.025000000000006</v>
      </c>
      <c r="FL27">
        <v>96.084999999999994</v>
      </c>
      <c r="FM27">
        <v>96.094999999999999</v>
      </c>
      <c r="FN27">
        <v>96.064999999999998</v>
      </c>
      <c r="FO27">
        <v>96.06</v>
      </c>
      <c r="FP27">
        <v>96.094999999999999</v>
      </c>
      <c r="FQ27">
        <v>96.12</v>
      </c>
      <c r="FR27">
        <v>96.07</v>
      </c>
      <c r="FS27">
        <v>96.1</v>
      </c>
      <c r="FT27">
        <v>96.125</v>
      </c>
      <c r="FU27">
        <v>96.24</v>
      </c>
      <c r="FV27">
        <v>96.224999999999994</v>
      </c>
      <c r="FW27">
        <v>96.325000000000003</v>
      </c>
      <c r="FX27">
        <v>96.305000000000007</v>
      </c>
      <c r="FY27">
        <v>96.21</v>
      </c>
      <c r="FZ27">
        <v>96.25</v>
      </c>
      <c r="GA27">
        <v>96.24</v>
      </c>
      <c r="GB27">
        <v>96.284999999999997</v>
      </c>
      <c r="GC27">
        <v>96.31</v>
      </c>
      <c r="GD27">
        <v>96.325000000000003</v>
      </c>
      <c r="GE27">
        <v>96.36</v>
      </c>
      <c r="GF27">
        <v>96.44</v>
      </c>
      <c r="GG27">
        <v>96.51</v>
      </c>
      <c r="GH27">
        <v>96.555000000000007</v>
      </c>
      <c r="GI27">
        <v>96.484999999999999</v>
      </c>
      <c r="GJ27">
        <v>96.525000000000006</v>
      </c>
      <c r="GK27">
        <v>96.495000000000005</v>
      </c>
      <c r="GL27">
        <v>96.474999999999994</v>
      </c>
      <c r="GM27">
        <v>96.515000000000001</v>
      </c>
      <c r="GN27">
        <v>96.52</v>
      </c>
      <c r="GO27">
        <v>96.534999999999997</v>
      </c>
      <c r="GP27">
        <v>96.515000000000001</v>
      </c>
      <c r="GQ27">
        <v>96.59</v>
      </c>
      <c r="GR27">
        <v>96.665000000000006</v>
      </c>
      <c r="GS27">
        <v>96.655000000000001</v>
      </c>
      <c r="GT27">
        <v>96.635000000000005</v>
      </c>
      <c r="GU27">
        <v>96.625</v>
      </c>
      <c r="GV27">
        <v>96.655000000000001</v>
      </c>
      <c r="GW27">
        <v>96.66</v>
      </c>
      <c r="GX27">
        <v>96.605000000000004</v>
      </c>
      <c r="GY27">
        <v>96.58</v>
      </c>
      <c r="GZ27">
        <v>96.594999999999999</v>
      </c>
      <c r="HA27">
        <v>96.56</v>
      </c>
      <c r="HB27">
        <v>96.51</v>
      </c>
      <c r="HC27">
        <v>96.43</v>
      </c>
      <c r="HD27">
        <v>96.43</v>
      </c>
      <c r="HE27">
        <v>96.474999999999994</v>
      </c>
      <c r="HF27">
        <v>96.49</v>
      </c>
      <c r="HG27">
        <v>96.504999999999995</v>
      </c>
      <c r="HH27">
        <v>96.525000000000006</v>
      </c>
      <c r="HI27">
        <v>96.515000000000001</v>
      </c>
      <c r="HJ27">
        <v>96.454999999999998</v>
      </c>
      <c r="HK27">
        <v>96.53</v>
      </c>
      <c r="HL27">
        <v>96.504999999999995</v>
      </c>
      <c r="HM27">
        <v>96.454999999999998</v>
      </c>
      <c r="HN27">
        <v>96.415000000000006</v>
      </c>
      <c r="HO27">
        <v>96.375</v>
      </c>
      <c r="HP27">
        <v>96.444999999999993</v>
      </c>
      <c r="HQ27">
        <v>96.41</v>
      </c>
      <c r="HR27">
        <v>96.38</v>
      </c>
      <c r="HS27">
        <v>96.34</v>
      </c>
      <c r="HT27">
        <v>96.26</v>
      </c>
      <c r="HU27">
        <v>96.27</v>
      </c>
      <c r="HV27">
        <v>96.36</v>
      </c>
      <c r="HW27">
        <v>96.46</v>
      </c>
      <c r="HX27">
        <v>96.47</v>
      </c>
      <c r="HY27">
        <v>96.34</v>
      </c>
      <c r="HZ27">
        <v>96.24</v>
      </c>
      <c r="IA27">
        <v>96.204999999999998</v>
      </c>
      <c r="IB27">
        <v>96.17</v>
      </c>
      <c r="IC27">
        <v>96.144999999999996</v>
      </c>
      <c r="ID27">
        <v>96.105000000000004</v>
      </c>
      <c r="IE27">
        <v>96.06</v>
      </c>
      <c r="IF27">
        <v>96.13</v>
      </c>
      <c r="IG27">
        <v>96.114999999999995</v>
      </c>
      <c r="IH27">
        <v>96.125</v>
      </c>
      <c r="II27">
        <v>96.174999999999997</v>
      </c>
      <c r="IJ27">
        <v>96.23</v>
      </c>
      <c r="IK27">
        <v>96.204999999999998</v>
      </c>
      <c r="IL27">
        <v>96.13</v>
      </c>
      <c r="IM27">
        <v>96.174999999999997</v>
      </c>
      <c r="IN27">
        <v>96.194999999999993</v>
      </c>
      <c r="IO27">
        <v>96.11</v>
      </c>
      <c r="IP27">
        <v>96.08</v>
      </c>
      <c r="IQ27">
        <v>96.12</v>
      </c>
      <c r="IR27">
        <v>96.114999999999995</v>
      </c>
      <c r="IS27">
        <v>96.05</v>
      </c>
      <c r="IT27">
        <v>96.05</v>
      </c>
      <c r="IU27">
        <v>95.944999999999993</v>
      </c>
      <c r="IV27">
        <v>95.91</v>
      </c>
      <c r="IW27">
        <v>96.07</v>
      </c>
      <c r="IX27">
        <v>96.135000000000005</v>
      </c>
      <c r="IY27">
        <v>96.1</v>
      </c>
      <c r="IZ27">
        <v>96.19</v>
      </c>
      <c r="JA27">
        <v>96.18</v>
      </c>
      <c r="JB27">
        <v>96.155000000000001</v>
      </c>
      <c r="JC27">
        <v>96.165000000000006</v>
      </c>
      <c r="JD27">
        <v>96.23</v>
      </c>
      <c r="JE27">
        <v>96.23</v>
      </c>
      <c r="JF27">
        <v>96.17</v>
      </c>
      <c r="JG27">
        <v>96.25</v>
      </c>
      <c r="JH27">
        <v>96.185000000000002</v>
      </c>
      <c r="JI27">
        <v>96.13</v>
      </c>
      <c r="JJ27">
        <v>96.015000000000001</v>
      </c>
      <c r="JK27">
        <v>95.935000000000002</v>
      </c>
      <c r="JL27">
        <v>95.98</v>
      </c>
      <c r="JM27">
        <v>96.13</v>
      </c>
      <c r="JN27">
        <v>96.13</v>
      </c>
      <c r="JO27">
        <v>96.094999999999999</v>
      </c>
      <c r="JP27">
        <v>96.015000000000001</v>
      </c>
      <c r="JQ27">
        <v>95.89</v>
      </c>
      <c r="JR27">
        <v>95.864999999999995</v>
      </c>
      <c r="JS27">
        <v>95.805000000000007</v>
      </c>
      <c r="JT27">
        <v>95.91</v>
      </c>
      <c r="JU27">
        <v>95.984999999999999</v>
      </c>
      <c r="JV27">
        <v>95.984999999999999</v>
      </c>
      <c r="JW27">
        <v>95.965000000000003</v>
      </c>
      <c r="JX27">
        <v>95.965000000000003</v>
      </c>
      <c r="JY27">
        <v>95.97</v>
      </c>
      <c r="JZ27">
        <v>95.94</v>
      </c>
      <c r="KA27">
        <v>95.96</v>
      </c>
      <c r="KB27">
        <v>96.004999999999995</v>
      </c>
      <c r="KC27">
        <v>96.01</v>
      </c>
      <c r="KD27">
        <v>95.94</v>
      </c>
      <c r="KE27">
        <v>95.905000000000001</v>
      </c>
      <c r="KF27">
        <v>95.88</v>
      </c>
      <c r="KG27">
        <v>95.935000000000002</v>
      </c>
      <c r="KH27">
        <v>95.905000000000001</v>
      </c>
      <c r="KI27">
        <v>95.944999999999993</v>
      </c>
      <c r="KJ27">
        <v>95.9</v>
      </c>
      <c r="KK27">
        <v>95.88</v>
      </c>
      <c r="KL27">
        <v>95.805000000000007</v>
      </c>
      <c r="KM27">
        <v>95.79</v>
      </c>
      <c r="KN27">
        <v>95.724999999999994</v>
      </c>
      <c r="KO27">
        <v>95.795000000000002</v>
      </c>
      <c r="KP27">
        <v>95.715000000000003</v>
      </c>
      <c r="KQ27">
        <v>95.674999999999997</v>
      </c>
      <c r="KR27">
        <v>95.734999999999999</v>
      </c>
      <c r="KS27">
        <v>95.81</v>
      </c>
      <c r="KT27">
        <v>95.79</v>
      </c>
      <c r="KU27">
        <v>95.805000000000007</v>
      </c>
      <c r="KV27">
        <v>95.77</v>
      </c>
      <c r="KW27">
        <v>95.83</v>
      </c>
      <c r="KX27">
        <v>95.754999999999995</v>
      </c>
      <c r="KY27">
        <v>95.79</v>
      </c>
      <c r="KZ27">
        <v>95.93</v>
      </c>
      <c r="LA27">
        <v>95.84</v>
      </c>
      <c r="LB27">
        <v>95.87</v>
      </c>
      <c r="LC27">
        <v>96.015000000000001</v>
      </c>
      <c r="LD27">
        <v>95.954999999999998</v>
      </c>
      <c r="LE27">
        <v>96</v>
      </c>
      <c r="LF27">
        <v>96.05</v>
      </c>
      <c r="LG27">
        <v>96</v>
      </c>
      <c r="LH27">
        <v>95.99</v>
      </c>
      <c r="LI27">
        <v>96.034999999999997</v>
      </c>
      <c r="LJ27">
        <v>96.165000000000006</v>
      </c>
      <c r="LK27">
        <v>96.165000000000006</v>
      </c>
      <c r="LL27">
        <v>96.13</v>
      </c>
      <c r="LM27">
        <v>96.094999999999999</v>
      </c>
      <c r="LN27">
        <v>96.064999999999998</v>
      </c>
      <c r="LO27">
        <v>96.1</v>
      </c>
      <c r="LP27">
        <v>96.04</v>
      </c>
      <c r="LQ27">
        <v>96.045000000000002</v>
      </c>
      <c r="LR27">
        <v>96.09</v>
      </c>
      <c r="LS27">
        <v>96.055000000000007</v>
      </c>
      <c r="LT27">
        <v>96.094999999999999</v>
      </c>
      <c r="LU27">
        <v>96.084999999999994</v>
      </c>
      <c r="LV27">
        <v>96.194999999999993</v>
      </c>
      <c r="LW27">
        <v>96.21</v>
      </c>
      <c r="LX27">
        <v>96.26</v>
      </c>
      <c r="LY27">
        <v>96.254999999999995</v>
      </c>
      <c r="LZ27">
        <v>96.275000000000006</v>
      </c>
      <c r="MA27">
        <v>96.27</v>
      </c>
      <c r="MB27">
        <v>96.23</v>
      </c>
      <c r="MC27">
        <v>96.14</v>
      </c>
      <c r="MD27">
        <v>96.165000000000006</v>
      </c>
      <c r="ME27">
        <v>96.12</v>
      </c>
      <c r="MF27">
        <v>96.11</v>
      </c>
      <c r="MG27">
        <v>96.11</v>
      </c>
      <c r="MH27">
        <v>96.13</v>
      </c>
      <c r="MI27">
        <v>96.14</v>
      </c>
      <c r="MJ27">
        <v>96.045000000000002</v>
      </c>
      <c r="MK27">
        <v>96.015000000000001</v>
      </c>
      <c r="ML27">
        <v>96.06</v>
      </c>
      <c r="MM27">
        <v>96.04</v>
      </c>
      <c r="MN27">
        <v>96.04</v>
      </c>
      <c r="MO27">
        <v>96.08</v>
      </c>
      <c r="MP27">
        <v>96.055000000000007</v>
      </c>
      <c r="MQ27">
        <v>96.015000000000001</v>
      </c>
      <c r="MR27">
        <v>96.114999999999995</v>
      </c>
      <c r="MS27">
        <v>96.094999999999999</v>
      </c>
      <c r="MT27">
        <v>96.11</v>
      </c>
      <c r="MU27">
        <v>96.194999999999993</v>
      </c>
      <c r="MV27">
        <v>96.21</v>
      </c>
      <c r="MW27">
        <v>96.12</v>
      </c>
      <c r="MX27">
        <v>96.25</v>
      </c>
      <c r="MY27">
        <v>96.41</v>
      </c>
      <c r="MZ27">
        <v>96.29</v>
      </c>
      <c r="NA27">
        <v>96.204999999999998</v>
      </c>
      <c r="NB27">
        <v>96.135000000000005</v>
      </c>
      <c r="NC27">
        <v>96.06</v>
      </c>
      <c r="ND27">
        <v>96.09</v>
      </c>
      <c r="NE27">
        <v>96.06</v>
      </c>
      <c r="NF27">
        <v>96.105000000000004</v>
      </c>
      <c r="NG27">
        <v>96.16</v>
      </c>
      <c r="NH27">
        <v>96.105000000000004</v>
      </c>
      <c r="NI27">
        <v>96.094999999999999</v>
      </c>
      <c r="NJ27">
        <v>96.14</v>
      </c>
      <c r="NK27">
        <v>96.155000000000001</v>
      </c>
      <c r="NL27">
        <v>96.28</v>
      </c>
      <c r="NM27">
        <v>96.28</v>
      </c>
      <c r="NN27">
        <v>96.29</v>
      </c>
      <c r="NO27">
        <v>96.25</v>
      </c>
      <c r="NP27">
        <v>96.26</v>
      </c>
      <c r="NQ27">
        <v>96.265000000000001</v>
      </c>
      <c r="NR27">
        <v>96.254999999999995</v>
      </c>
      <c r="NS27">
        <v>96.31</v>
      </c>
      <c r="NT27">
        <v>96.4</v>
      </c>
      <c r="NU27">
        <v>96.355000000000004</v>
      </c>
      <c r="NV27">
        <v>96.405000000000001</v>
      </c>
      <c r="NW27">
        <v>96.405000000000001</v>
      </c>
      <c r="NX27">
        <v>96.43</v>
      </c>
      <c r="NY27">
        <v>96.504999999999995</v>
      </c>
      <c r="NZ27">
        <v>96.4</v>
      </c>
      <c r="OA27">
        <v>96.385000000000005</v>
      </c>
      <c r="OB27">
        <v>96.385000000000005</v>
      </c>
      <c r="OC27">
        <v>96.42</v>
      </c>
      <c r="OD27">
        <v>96.454999999999998</v>
      </c>
      <c r="OE27">
        <v>96.44</v>
      </c>
      <c r="OF27">
        <v>96.405000000000001</v>
      </c>
      <c r="OG27">
        <v>96.44</v>
      </c>
      <c r="OH27">
        <v>96.415000000000006</v>
      </c>
      <c r="OI27">
        <v>96.314999999999998</v>
      </c>
      <c r="OJ27">
        <v>96.165000000000006</v>
      </c>
      <c r="OK27">
        <v>96.114999999999995</v>
      </c>
      <c r="OL27">
        <v>96.11</v>
      </c>
      <c r="OM27">
        <v>96.22</v>
      </c>
      <c r="ON27">
        <v>96.215000000000003</v>
      </c>
      <c r="OO27">
        <v>96.15</v>
      </c>
      <c r="OP27">
        <v>96.015000000000001</v>
      </c>
      <c r="OQ27">
        <v>96.045000000000002</v>
      </c>
      <c r="OR27">
        <v>95.93</v>
      </c>
      <c r="OS27">
        <v>96.015000000000001</v>
      </c>
      <c r="OT27">
        <v>95.944999999999993</v>
      </c>
      <c r="OU27">
        <v>95.935000000000002</v>
      </c>
      <c r="OV27">
        <v>95.82</v>
      </c>
      <c r="OW27">
        <v>95.89</v>
      </c>
      <c r="OX27">
        <v>95.89</v>
      </c>
      <c r="OY27">
        <v>95.88</v>
      </c>
      <c r="OZ27">
        <v>95.894999999999996</v>
      </c>
      <c r="PA27">
        <v>95.85</v>
      </c>
      <c r="PB27">
        <v>95.83</v>
      </c>
      <c r="PC27">
        <v>95.734999999999999</v>
      </c>
      <c r="PD27">
        <v>95.82</v>
      </c>
      <c r="PE27">
        <v>95.644999999999996</v>
      </c>
      <c r="PF27">
        <v>95.64</v>
      </c>
      <c r="PG27">
        <v>95.63</v>
      </c>
      <c r="PH27">
        <v>95.76</v>
      </c>
      <c r="PI27">
        <v>95.68</v>
      </c>
      <c r="PJ27">
        <v>95.564999999999998</v>
      </c>
      <c r="PK27">
        <v>95.674999999999997</v>
      </c>
      <c r="PL27">
        <v>95.555000000000007</v>
      </c>
      <c r="PM27">
        <v>95.424999999999997</v>
      </c>
      <c r="PN27">
        <v>95.334999999999994</v>
      </c>
      <c r="PO27">
        <v>95.325000000000003</v>
      </c>
      <c r="PP27">
        <v>95.334999999999994</v>
      </c>
      <c r="PQ27">
        <v>95.334999999999994</v>
      </c>
      <c r="PR27">
        <v>95.224999999999994</v>
      </c>
      <c r="PS27">
        <v>95.364999999999995</v>
      </c>
      <c r="PT27">
        <v>95.36</v>
      </c>
      <c r="PU27">
        <v>95.254999999999995</v>
      </c>
      <c r="PV27">
        <v>95.18</v>
      </c>
      <c r="PW27">
        <v>95.31</v>
      </c>
      <c r="PX27">
        <v>95.36</v>
      </c>
      <c r="PY27">
        <v>95.49</v>
      </c>
      <c r="PZ27">
        <v>95.57</v>
      </c>
      <c r="QA27">
        <v>95.465000000000003</v>
      </c>
      <c r="QB27">
        <v>95.58</v>
      </c>
      <c r="QC27">
        <v>95.495000000000005</v>
      </c>
      <c r="QD27">
        <v>95.474999999999994</v>
      </c>
      <c r="QE27">
        <v>95.35</v>
      </c>
      <c r="QF27">
        <v>95.41</v>
      </c>
      <c r="QG27">
        <v>95.385000000000005</v>
      </c>
      <c r="QH27">
        <v>95.33</v>
      </c>
      <c r="QI27">
        <v>95.46</v>
      </c>
      <c r="QJ27">
        <v>95.61</v>
      </c>
      <c r="QK27">
        <v>95.58</v>
      </c>
      <c r="QL27">
        <v>95.59</v>
      </c>
      <c r="QM27">
        <v>95.665000000000006</v>
      </c>
      <c r="QN27">
        <v>95.674999999999997</v>
      </c>
      <c r="QO27">
        <v>95.825000000000003</v>
      </c>
      <c r="QP27">
        <v>95.795000000000002</v>
      </c>
      <c r="QQ27">
        <v>95.96</v>
      </c>
      <c r="QR27">
        <v>95.96</v>
      </c>
      <c r="QS27">
        <v>95.995000000000005</v>
      </c>
      <c r="QT27">
        <v>95.974999999999994</v>
      </c>
      <c r="QU27">
        <v>96.01</v>
      </c>
      <c r="QV27">
        <v>96.064999999999998</v>
      </c>
      <c r="QW27">
        <v>96.045000000000002</v>
      </c>
      <c r="QX27">
        <v>96</v>
      </c>
      <c r="QY27">
        <v>96.04</v>
      </c>
      <c r="QZ27">
        <v>96.03</v>
      </c>
      <c r="RA27">
        <v>96.015000000000001</v>
      </c>
      <c r="RB27">
        <v>96.01</v>
      </c>
      <c r="RC27">
        <v>96.08</v>
      </c>
      <c r="RD27">
        <v>96.08</v>
      </c>
      <c r="RE27">
        <v>96.174999999999997</v>
      </c>
      <c r="RF27">
        <v>96.15</v>
      </c>
      <c r="RG27">
        <v>96.155000000000001</v>
      </c>
      <c r="RH27">
        <v>96.11</v>
      </c>
      <c r="RI27">
        <v>96.07</v>
      </c>
      <c r="RJ27">
        <v>96.064999999999998</v>
      </c>
      <c r="RK27">
        <v>96.09</v>
      </c>
      <c r="RL27">
        <v>95.94</v>
      </c>
      <c r="RM27">
        <v>95.915000000000006</v>
      </c>
      <c r="RN27">
        <v>96.01</v>
      </c>
      <c r="RO27">
        <v>95.935000000000002</v>
      </c>
      <c r="RP27">
        <v>96.02</v>
      </c>
      <c r="RQ27">
        <v>96.055000000000007</v>
      </c>
      <c r="RR27">
        <v>96.114999999999995</v>
      </c>
      <c r="RS27">
        <v>96.09</v>
      </c>
      <c r="RT27">
        <v>96.18</v>
      </c>
      <c r="RU27">
        <v>96.284999999999997</v>
      </c>
      <c r="RV27">
        <v>96.25</v>
      </c>
      <c r="RW27">
        <v>96.185000000000002</v>
      </c>
      <c r="RX27">
        <v>96.19</v>
      </c>
      <c r="RY27">
        <v>96.045000000000002</v>
      </c>
      <c r="RZ27">
        <v>96.194999999999993</v>
      </c>
      <c r="SA27">
        <v>96.25</v>
      </c>
      <c r="SB27">
        <v>96.34</v>
      </c>
      <c r="SC27">
        <v>96.334999999999994</v>
      </c>
      <c r="SD27">
        <v>96.29</v>
      </c>
      <c r="SE27">
        <v>96.46</v>
      </c>
      <c r="SF27">
        <v>96.41</v>
      </c>
      <c r="SG27">
        <v>96.47</v>
      </c>
      <c r="SH27">
        <v>96.48</v>
      </c>
      <c r="SI27">
        <v>96.46</v>
      </c>
      <c r="SJ27">
        <v>96.58</v>
      </c>
      <c r="SK27">
        <v>96.54</v>
      </c>
      <c r="SL27">
        <v>96.525000000000006</v>
      </c>
      <c r="SM27">
        <v>96.484999999999999</v>
      </c>
      <c r="SN27">
        <v>96.5</v>
      </c>
      <c r="SO27">
        <v>96.46</v>
      </c>
      <c r="SP27">
        <v>96.37</v>
      </c>
      <c r="SQ27">
        <v>96.305000000000007</v>
      </c>
      <c r="SR27">
        <v>96.265000000000001</v>
      </c>
      <c r="SS27">
        <v>96.32</v>
      </c>
      <c r="ST27">
        <v>96.45</v>
      </c>
      <c r="SU27">
        <v>96.555000000000007</v>
      </c>
      <c r="SV27">
        <v>96.555000000000007</v>
      </c>
      <c r="SW27">
        <v>96.59</v>
      </c>
      <c r="SX27">
        <v>96.525000000000006</v>
      </c>
      <c r="SY27">
        <v>96.67</v>
      </c>
      <c r="SZ27">
        <v>96.614999999999995</v>
      </c>
      <c r="TA27">
        <v>96.644999999999996</v>
      </c>
      <c r="TB27">
        <v>96.614999999999995</v>
      </c>
      <c r="TC27">
        <v>96.545000000000002</v>
      </c>
      <c r="TD27">
        <v>96.62</v>
      </c>
      <c r="TE27">
        <v>96.644999999999996</v>
      </c>
      <c r="TF27">
        <v>96.575000000000003</v>
      </c>
      <c r="TG27">
        <v>96.575000000000003</v>
      </c>
      <c r="TH27">
        <v>96.61</v>
      </c>
      <c r="TI27">
        <v>96.545000000000002</v>
      </c>
      <c r="TJ27">
        <v>96.465000000000003</v>
      </c>
      <c r="TK27">
        <v>96.54</v>
      </c>
      <c r="TL27">
        <v>96.545000000000002</v>
      </c>
      <c r="TM27">
        <v>96.55</v>
      </c>
      <c r="TN27">
        <v>96.474999999999994</v>
      </c>
      <c r="TO27">
        <v>96.58</v>
      </c>
      <c r="TP27">
        <v>96.56</v>
      </c>
      <c r="TQ27">
        <v>96.53</v>
      </c>
      <c r="TR27">
        <v>96.63</v>
      </c>
      <c r="TS27">
        <v>96.614999999999995</v>
      </c>
      <c r="TT27">
        <v>96.57</v>
      </c>
      <c r="TU27">
        <v>96.46</v>
      </c>
      <c r="TV27">
        <v>96.46</v>
      </c>
      <c r="TW27">
        <v>96.44</v>
      </c>
      <c r="TX27">
        <v>96.525000000000006</v>
      </c>
      <c r="TY27">
        <v>96.534999999999997</v>
      </c>
      <c r="TZ27">
        <v>96.504999999999995</v>
      </c>
      <c r="UA27">
        <v>96.495000000000005</v>
      </c>
      <c r="UB27">
        <v>96.545000000000002</v>
      </c>
      <c r="UC27">
        <v>96.61</v>
      </c>
      <c r="UD27">
        <v>96.625</v>
      </c>
      <c r="UE27">
        <v>96.68</v>
      </c>
      <c r="UF27">
        <v>96.72</v>
      </c>
      <c r="UG27">
        <v>96.765000000000001</v>
      </c>
      <c r="UH27">
        <v>96.72</v>
      </c>
      <c r="UI27">
        <v>96.655000000000001</v>
      </c>
      <c r="UJ27">
        <v>96.66</v>
      </c>
      <c r="UK27">
        <v>96.704999999999998</v>
      </c>
      <c r="UL27">
        <v>96.775000000000006</v>
      </c>
      <c r="UM27">
        <v>96.76</v>
      </c>
      <c r="UN27">
        <v>96.754999999999995</v>
      </c>
      <c r="UO27">
        <v>96.63</v>
      </c>
      <c r="UP27">
        <v>96.754999999999995</v>
      </c>
      <c r="UQ27">
        <v>96.71</v>
      </c>
      <c r="UR27">
        <v>96.784999999999997</v>
      </c>
      <c r="US27">
        <v>96.834999999999994</v>
      </c>
      <c r="UT27">
        <v>96.77</v>
      </c>
      <c r="UU27">
        <v>96.715000000000003</v>
      </c>
      <c r="UV27">
        <v>96.76</v>
      </c>
      <c r="UW27">
        <v>96.71</v>
      </c>
      <c r="UX27">
        <v>96.73</v>
      </c>
      <c r="UY27">
        <v>96.694999999999993</v>
      </c>
      <c r="UZ27">
        <v>96.754999999999995</v>
      </c>
      <c r="VA27">
        <v>96.81</v>
      </c>
      <c r="VB27">
        <v>96.864999999999995</v>
      </c>
      <c r="VC27">
        <v>96.86</v>
      </c>
      <c r="VD27">
        <v>96.85</v>
      </c>
      <c r="VE27">
        <v>96.905000000000001</v>
      </c>
      <c r="VF27">
        <v>96.98</v>
      </c>
      <c r="VG27">
        <v>96.965000000000003</v>
      </c>
      <c r="VH27">
        <v>96.93</v>
      </c>
      <c r="VI27">
        <v>96.86</v>
      </c>
      <c r="VJ27">
        <v>96.805000000000007</v>
      </c>
      <c r="VK27">
        <v>96.77</v>
      </c>
      <c r="VL27">
        <v>96.745000000000005</v>
      </c>
      <c r="VM27">
        <v>96.734999999999999</v>
      </c>
      <c r="VN27">
        <v>96.765000000000001</v>
      </c>
      <c r="VO27">
        <v>96.885000000000005</v>
      </c>
      <c r="VP27">
        <v>96.844999999999999</v>
      </c>
      <c r="VQ27">
        <v>96.78</v>
      </c>
      <c r="VR27">
        <v>96.724999999999994</v>
      </c>
      <c r="VS27">
        <v>96.765000000000001</v>
      </c>
      <c r="VT27">
        <v>96.85</v>
      </c>
      <c r="VU27">
        <v>96.68</v>
      </c>
      <c r="VV27">
        <v>96.745000000000005</v>
      </c>
      <c r="VW27">
        <v>96.67</v>
      </c>
      <c r="VX27">
        <v>96.745000000000005</v>
      </c>
      <c r="VY27">
        <v>96.724999999999994</v>
      </c>
      <c r="VZ27">
        <v>96.525000000000006</v>
      </c>
      <c r="WA27">
        <v>96.57</v>
      </c>
      <c r="WB27">
        <v>96.555000000000007</v>
      </c>
      <c r="WC27">
        <v>96.48</v>
      </c>
      <c r="WD27">
        <v>96.48</v>
      </c>
      <c r="WE27">
        <v>96.355000000000004</v>
      </c>
      <c r="WF27">
        <v>96.46</v>
      </c>
      <c r="WG27">
        <v>96.545000000000002</v>
      </c>
      <c r="WH27">
        <v>96.545000000000002</v>
      </c>
      <c r="WI27">
        <v>96.504999999999995</v>
      </c>
      <c r="WJ27">
        <v>96.555000000000007</v>
      </c>
      <c r="WK27">
        <v>96.504999999999995</v>
      </c>
      <c r="WL27">
        <v>96.47</v>
      </c>
      <c r="WM27">
        <v>96.62</v>
      </c>
      <c r="WN27">
        <v>96.62</v>
      </c>
      <c r="WO27">
        <v>96.6</v>
      </c>
      <c r="WP27">
        <v>96.64</v>
      </c>
      <c r="WQ27">
        <v>96.704999999999998</v>
      </c>
      <c r="WR27">
        <v>96.7</v>
      </c>
      <c r="WS27">
        <v>96.67</v>
      </c>
      <c r="WT27">
        <v>96.734999999999999</v>
      </c>
      <c r="WU27">
        <v>96.754999999999995</v>
      </c>
      <c r="WV27">
        <v>96.734999999999999</v>
      </c>
      <c r="WW27">
        <v>96.76</v>
      </c>
      <c r="WX27">
        <v>96.834999999999994</v>
      </c>
      <c r="WY27">
        <v>96.935000000000002</v>
      </c>
      <c r="WZ27">
        <v>96.965000000000003</v>
      </c>
      <c r="XA27">
        <v>96.84</v>
      </c>
      <c r="XB27">
        <v>96.81</v>
      </c>
      <c r="XC27">
        <v>96.844999999999999</v>
      </c>
      <c r="XD27">
        <v>96.894999999999996</v>
      </c>
      <c r="XE27">
        <v>96.91</v>
      </c>
      <c r="XF27">
        <v>96.91</v>
      </c>
      <c r="XG27">
        <v>96.834999999999994</v>
      </c>
      <c r="XH27">
        <v>96.87</v>
      </c>
      <c r="XI27">
        <v>96.96</v>
      </c>
      <c r="XJ27">
        <v>96.99</v>
      </c>
      <c r="XK27">
        <v>96.855000000000004</v>
      </c>
      <c r="XL27">
        <v>96.9</v>
      </c>
      <c r="XM27">
        <v>96.9</v>
      </c>
      <c r="XN27">
        <v>96.924999999999997</v>
      </c>
      <c r="XO27">
        <v>96.825000000000003</v>
      </c>
      <c r="XP27">
        <v>96.77</v>
      </c>
      <c r="XQ27">
        <v>96.885000000000005</v>
      </c>
      <c r="XR27">
        <v>96.84</v>
      </c>
      <c r="XS27">
        <v>96.685000000000002</v>
      </c>
      <c r="XT27">
        <v>96.67</v>
      </c>
      <c r="XU27">
        <v>96.57</v>
      </c>
      <c r="XV27">
        <v>96.5</v>
      </c>
      <c r="XW27">
        <v>96.5</v>
      </c>
      <c r="XX27">
        <v>96.46</v>
      </c>
      <c r="XY27">
        <v>96.405000000000001</v>
      </c>
      <c r="XZ27">
        <v>96.49</v>
      </c>
      <c r="YA27">
        <v>96.575000000000003</v>
      </c>
      <c r="YB27">
        <v>96.575000000000003</v>
      </c>
      <c r="YC27">
        <v>96.605000000000004</v>
      </c>
      <c r="YD27">
        <v>96.58</v>
      </c>
      <c r="YE27">
        <v>96.65</v>
      </c>
      <c r="YF27">
        <v>96.79</v>
      </c>
      <c r="YG27">
        <v>96.88</v>
      </c>
      <c r="YH27">
        <v>96.944999999999993</v>
      </c>
      <c r="YI27">
        <v>96.885000000000005</v>
      </c>
      <c r="YJ27">
        <v>96.885000000000005</v>
      </c>
      <c r="YK27">
        <v>96.784999999999997</v>
      </c>
      <c r="YL27">
        <v>96.82</v>
      </c>
      <c r="YM27">
        <v>96.91</v>
      </c>
      <c r="YN27">
        <v>97.02</v>
      </c>
      <c r="YO27">
        <v>96.91</v>
      </c>
      <c r="YP27">
        <v>96.814999999999998</v>
      </c>
      <c r="YQ27">
        <v>96.915000000000006</v>
      </c>
      <c r="YR27">
        <v>96.87</v>
      </c>
      <c r="YS27">
        <v>96.71</v>
      </c>
      <c r="YT27">
        <v>96.68</v>
      </c>
      <c r="YU27">
        <v>96.724999999999994</v>
      </c>
      <c r="YV27">
        <v>96.71</v>
      </c>
      <c r="YW27">
        <v>96.694999999999993</v>
      </c>
      <c r="YX27">
        <v>96.694999999999993</v>
      </c>
      <c r="YY27">
        <v>96.625</v>
      </c>
      <c r="YZ27">
        <v>96.525000000000006</v>
      </c>
      <c r="ZA27">
        <v>96.504999999999995</v>
      </c>
      <c r="ZB27">
        <v>96.575000000000003</v>
      </c>
      <c r="ZC27">
        <v>96.63</v>
      </c>
      <c r="ZD27">
        <v>96.504999999999995</v>
      </c>
      <c r="ZE27">
        <v>96.43</v>
      </c>
      <c r="ZF27">
        <v>96.48</v>
      </c>
      <c r="ZG27">
        <v>96.46</v>
      </c>
      <c r="ZH27">
        <v>96.165000000000006</v>
      </c>
      <c r="ZI27">
        <v>96.194999999999993</v>
      </c>
      <c r="ZJ27">
        <v>96.105000000000004</v>
      </c>
      <c r="ZK27">
        <v>96.114999999999995</v>
      </c>
      <c r="ZL27">
        <v>96.144999999999996</v>
      </c>
      <c r="ZM27">
        <v>96.16</v>
      </c>
      <c r="ZN27">
        <v>96.14</v>
      </c>
      <c r="ZO27">
        <v>96.114999999999995</v>
      </c>
      <c r="ZP27">
        <v>96.144999999999996</v>
      </c>
      <c r="ZQ27">
        <v>96.24</v>
      </c>
      <c r="ZR27">
        <v>96.18</v>
      </c>
      <c r="ZS27">
        <v>96.09</v>
      </c>
      <c r="ZT27">
        <v>95.95</v>
      </c>
      <c r="ZU27">
        <v>95.995000000000005</v>
      </c>
      <c r="ZV27">
        <v>96.034999999999997</v>
      </c>
      <c r="ZW27">
        <v>96.144999999999996</v>
      </c>
      <c r="ZX27">
        <v>96.27</v>
      </c>
      <c r="ZY27">
        <v>96.25</v>
      </c>
      <c r="ZZ27">
        <v>96.26</v>
      </c>
      <c r="AAA27">
        <v>96.305000000000007</v>
      </c>
      <c r="AAB27">
        <v>96.29</v>
      </c>
      <c r="AAC27">
        <v>96.25</v>
      </c>
      <c r="AAD27">
        <v>96.2</v>
      </c>
      <c r="AAE27">
        <v>96.295000000000002</v>
      </c>
      <c r="AAF27">
        <v>96.34</v>
      </c>
      <c r="AAG27">
        <v>96.4</v>
      </c>
      <c r="AAH27">
        <v>96.555000000000007</v>
      </c>
      <c r="AAI27">
        <v>96.46</v>
      </c>
      <c r="AAJ27">
        <v>96.3</v>
      </c>
      <c r="AAK27">
        <v>96.364999999999995</v>
      </c>
      <c r="AAL27">
        <v>96.41</v>
      </c>
      <c r="AAM27">
        <v>96.254999999999995</v>
      </c>
      <c r="AAN27">
        <v>96.364999999999995</v>
      </c>
      <c r="AAO27">
        <v>96.564999999999998</v>
      </c>
      <c r="AAP27">
        <v>96.474999999999994</v>
      </c>
      <c r="AAQ27">
        <v>96.655000000000001</v>
      </c>
      <c r="AAR27">
        <v>96.59</v>
      </c>
      <c r="AAS27">
        <v>96.68</v>
      </c>
      <c r="AAT27">
        <v>96.685000000000002</v>
      </c>
      <c r="AAU27">
        <v>96.71</v>
      </c>
      <c r="AAV27">
        <v>96.784999999999997</v>
      </c>
      <c r="AAW27">
        <v>96.754999999999995</v>
      </c>
      <c r="AAX27">
        <v>96.75</v>
      </c>
      <c r="AAY27">
        <v>96.81</v>
      </c>
      <c r="AAZ27">
        <v>96.82</v>
      </c>
      <c r="ABA27">
        <v>96.85</v>
      </c>
      <c r="ABB27">
        <v>96.745000000000005</v>
      </c>
      <c r="ABC27">
        <v>96.915000000000006</v>
      </c>
      <c r="ABD27">
        <v>96.915000000000006</v>
      </c>
      <c r="ABE27">
        <v>96.87</v>
      </c>
      <c r="ABF27">
        <v>97.045000000000002</v>
      </c>
      <c r="ABG27">
        <v>97.1</v>
      </c>
      <c r="ABH27">
        <v>97.055000000000007</v>
      </c>
      <c r="ABI27">
        <v>97.165000000000006</v>
      </c>
      <c r="ABJ27">
        <v>97.185000000000002</v>
      </c>
      <c r="ABK27">
        <v>97.094999999999999</v>
      </c>
      <c r="ABL27">
        <v>97.17</v>
      </c>
      <c r="ABM27">
        <v>97.2</v>
      </c>
      <c r="ABN27">
        <v>97.224999999999994</v>
      </c>
      <c r="ABO27">
        <v>97.355000000000004</v>
      </c>
      <c r="ABP27">
        <v>97.344999999999999</v>
      </c>
      <c r="ABQ27">
        <v>97.42</v>
      </c>
      <c r="ABR27">
        <v>97.4</v>
      </c>
      <c r="ABS27">
        <v>97.314999999999998</v>
      </c>
      <c r="ABT27">
        <v>97.26</v>
      </c>
      <c r="ABU27">
        <v>97.424999999999997</v>
      </c>
      <c r="ABV27">
        <v>97.444999999999993</v>
      </c>
      <c r="ABW27">
        <v>97.435000000000002</v>
      </c>
      <c r="ABX27">
        <v>97.344999999999999</v>
      </c>
      <c r="ABY27">
        <v>97.484999999999999</v>
      </c>
      <c r="ABZ27">
        <v>97.405000000000001</v>
      </c>
      <c r="ACA27">
        <v>97.394999999999996</v>
      </c>
      <c r="ACB27">
        <v>97.47</v>
      </c>
      <c r="ACC27">
        <v>97.4</v>
      </c>
      <c r="ACD27">
        <v>97.35</v>
      </c>
      <c r="ACE27">
        <v>97.305000000000007</v>
      </c>
      <c r="ACF27">
        <v>97.25</v>
      </c>
      <c r="ACG27">
        <v>97.215000000000003</v>
      </c>
      <c r="ACH27">
        <v>97.275000000000006</v>
      </c>
      <c r="ACI27">
        <v>97.17</v>
      </c>
      <c r="ACJ27">
        <v>97.06</v>
      </c>
      <c r="ACK27">
        <v>97.094999999999999</v>
      </c>
      <c r="ACL27">
        <v>97.13</v>
      </c>
      <c r="ACM27">
        <v>97.155000000000001</v>
      </c>
      <c r="ACN27">
        <v>97.084999999999994</v>
      </c>
      <c r="ACO27">
        <v>97.13</v>
      </c>
      <c r="ACP27">
        <v>97.015000000000001</v>
      </c>
      <c r="ACQ27">
        <v>96.965000000000003</v>
      </c>
      <c r="ACR27">
        <v>96.82</v>
      </c>
      <c r="ACS27">
        <v>96.905000000000001</v>
      </c>
      <c r="ACT27">
        <v>97.02</v>
      </c>
      <c r="ACU27">
        <v>97.105000000000004</v>
      </c>
      <c r="ACV27">
        <v>97.025000000000006</v>
      </c>
      <c r="ACW27">
        <v>97.025000000000006</v>
      </c>
      <c r="ACX27">
        <v>96.995000000000005</v>
      </c>
      <c r="ACY27">
        <v>96.87</v>
      </c>
      <c r="ACZ27">
        <v>96.775000000000006</v>
      </c>
      <c r="ADA27">
        <v>96.795000000000002</v>
      </c>
      <c r="ADB27">
        <v>96.85</v>
      </c>
      <c r="ADC27">
        <v>96.944999999999993</v>
      </c>
      <c r="ADD27">
        <v>96.844999999999999</v>
      </c>
      <c r="ADE27">
        <v>96.715000000000003</v>
      </c>
      <c r="ADF27">
        <v>96.814999999999998</v>
      </c>
      <c r="ADG27">
        <v>96.814999999999998</v>
      </c>
      <c r="ADH27">
        <v>96.734999999999999</v>
      </c>
      <c r="ADI27">
        <v>96.63</v>
      </c>
      <c r="ADJ27">
        <v>96.605000000000004</v>
      </c>
      <c r="ADK27">
        <v>96.704999999999998</v>
      </c>
      <c r="ADL27">
        <v>96.915000000000006</v>
      </c>
      <c r="ADM27">
        <v>96.98</v>
      </c>
      <c r="ADN27">
        <v>96.98</v>
      </c>
      <c r="ADO27">
        <v>97.034999999999997</v>
      </c>
      <c r="ADP27">
        <v>96.935000000000002</v>
      </c>
      <c r="ADQ27">
        <v>97.04</v>
      </c>
      <c r="ADR27">
        <v>97.09</v>
      </c>
      <c r="ADS27">
        <v>97.05</v>
      </c>
      <c r="ADT27">
        <v>97.1</v>
      </c>
      <c r="ADU27">
        <v>97.19</v>
      </c>
      <c r="ADV27">
        <v>97.19</v>
      </c>
      <c r="ADW27">
        <v>97.17</v>
      </c>
      <c r="ADX27">
        <v>97.2</v>
      </c>
      <c r="ADY27">
        <v>97.204999999999998</v>
      </c>
      <c r="ADZ27">
        <v>97.16</v>
      </c>
      <c r="AEA27">
        <v>97.22</v>
      </c>
      <c r="AEB27">
        <v>97.14</v>
      </c>
      <c r="AEC27">
        <v>97.105000000000004</v>
      </c>
      <c r="AED27">
        <v>96.974999999999994</v>
      </c>
      <c r="AEE27">
        <v>97.055000000000007</v>
      </c>
      <c r="AEF27">
        <v>96.99</v>
      </c>
      <c r="AEG27">
        <v>97.11</v>
      </c>
      <c r="AEH27">
        <v>97.03</v>
      </c>
      <c r="AEI27">
        <v>96.91</v>
      </c>
      <c r="AEJ27">
        <v>96.8</v>
      </c>
      <c r="AEK27">
        <v>96.765000000000001</v>
      </c>
      <c r="AEL27">
        <v>96.86</v>
      </c>
      <c r="AEM27">
        <v>97.02</v>
      </c>
      <c r="AEN27">
        <v>97.025000000000006</v>
      </c>
      <c r="AEO27">
        <v>96.965000000000003</v>
      </c>
      <c r="AEP27">
        <v>97.11</v>
      </c>
      <c r="AEQ27">
        <v>97.114999999999995</v>
      </c>
      <c r="AER27">
        <v>97.174999999999997</v>
      </c>
      <c r="AES27">
        <v>97.24</v>
      </c>
      <c r="AET27">
        <v>97.224999999999994</v>
      </c>
      <c r="AEU27">
        <v>97.14</v>
      </c>
      <c r="AEV27">
        <v>97.1</v>
      </c>
      <c r="AEW27">
        <v>97.165000000000006</v>
      </c>
      <c r="AEX27">
        <v>97.06</v>
      </c>
      <c r="AEY27">
        <v>97.1</v>
      </c>
      <c r="AEZ27">
        <v>97.185000000000002</v>
      </c>
      <c r="AFA27">
        <v>97.185000000000002</v>
      </c>
      <c r="AFB27">
        <v>97.314999999999998</v>
      </c>
      <c r="AFC27">
        <v>97.27</v>
      </c>
      <c r="AFD27">
        <v>97.24</v>
      </c>
      <c r="AFE27">
        <v>97.364999999999995</v>
      </c>
      <c r="AFF27">
        <v>97.465000000000003</v>
      </c>
      <c r="AFG27">
        <v>97.584999999999994</v>
      </c>
      <c r="AFH27">
        <v>97.694999999999993</v>
      </c>
      <c r="AFI27">
        <v>97.85</v>
      </c>
      <c r="AFJ27">
        <v>97.87</v>
      </c>
      <c r="AFK27">
        <v>97.885000000000005</v>
      </c>
      <c r="AFL27">
        <v>97.84</v>
      </c>
      <c r="AFM27">
        <v>97.78</v>
      </c>
      <c r="AFN27">
        <v>97.69</v>
      </c>
      <c r="AFO27">
        <v>97.665000000000006</v>
      </c>
      <c r="AFP27">
        <v>97.81</v>
      </c>
      <c r="AFQ27">
        <v>97.825000000000003</v>
      </c>
      <c r="AFR27">
        <v>97.77</v>
      </c>
      <c r="AFS27">
        <v>97.834999999999994</v>
      </c>
      <c r="AFT27">
        <v>97.974999999999994</v>
      </c>
      <c r="AFU27">
        <v>97.905000000000001</v>
      </c>
      <c r="AFV27">
        <v>97.88</v>
      </c>
      <c r="AFW27">
        <v>97.89</v>
      </c>
      <c r="AFX27">
        <v>97.915000000000006</v>
      </c>
      <c r="AFY27">
        <v>98.075000000000003</v>
      </c>
      <c r="AFZ27">
        <v>98.084999999999994</v>
      </c>
      <c r="AGA27">
        <v>98.16</v>
      </c>
      <c r="AGB27">
        <v>98.254999999999995</v>
      </c>
      <c r="AGC27">
        <v>98.37</v>
      </c>
      <c r="AGD27">
        <v>98.35</v>
      </c>
      <c r="AGE27">
        <v>98.21</v>
      </c>
      <c r="AGF27">
        <v>98.165000000000006</v>
      </c>
      <c r="AGG27">
        <v>98.305000000000007</v>
      </c>
      <c r="AGH27">
        <v>98.194999999999993</v>
      </c>
      <c r="AGI27">
        <v>98.055000000000007</v>
      </c>
      <c r="AGJ27">
        <v>98.064999999999998</v>
      </c>
      <c r="AGK27">
        <v>98.084999999999994</v>
      </c>
      <c r="AGL27">
        <v>98.125</v>
      </c>
      <c r="AGM27">
        <v>98.11</v>
      </c>
      <c r="AGN27">
        <v>98.11</v>
      </c>
      <c r="AGO27">
        <v>98.06</v>
      </c>
      <c r="AGP27">
        <v>97.97</v>
      </c>
      <c r="AGQ27">
        <v>97.98</v>
      </c>
      <c r="AGR27">
        <v>98.064999999999998</v>
      </c>
      <c r="AGS27">
        <v>98.114999999999995</v>
      </c>
      <c r="AGT27">
        <v>98.004999999999995</v>
      </c>
      <c r="AGU27">
        <v>98.075000000000003</v>
      </c>
      <c r="AGV27">
        <v>98.025000000000006</v>
      </c>
      <c r="AGW27">
        <v>98.064999999999998</v>
      </c>
      <c r="AGX27">
        <v>98.05</v>
      </c>
      <c r="AGY27">
        <v>98.15</v>
      </c>
      <c r="AGZ27">
        <v>98.21</v>
      </c>
      <c r="AHA27">
        <v>98.174999999999997</v>
      </c>
      <c r="AHB27">
        <v>98.185000000000002</v>
      </c>
      <c r="AHC27">
        <v>98.2</v>
      </c>
      <c r="AHD27">
        <v>98.16</v>
      </c>
      <c r="AHE27">
        <v>98.055000000000007</v>
      </c>
      <c r="AHF27">
        <v>98.12</v>
      </c>
      <c r="AHG27">
        <v>98.185000000000002</v>
      </c>
      <c r="AHH27">
        <v>98.165000000000006</v>
      </c>
      <c r="AHI27">
        <v>98.094999999999999</v>
      </c>
      <c r="AHJ27">
        <v>98.08</v>
      </c>
      <c r="AHK27">
        <v>98.025000000000006</v>
      </c>
      <c r="AHL27">
        <v>98.13</v>
      </c>
      <c r="AHM27">
        <v>98.13</v>
      </c>
      <c r="AHN27">
        <v>98.21</v>
      </c>
      <c r="AHO27">
        <v>98.18</v>
      </c>
      <c r="AHP27">
        <v>98.135000000000005</v>
      </c>
      <c r="AHQ27">
        <v>98.084999999999994</v>
      </c>
      <c r="AHR27">
        <v>98.09</v>
      </c>
      <c r="AHS27">
        <v>98.114999999999995</v>
      </c>
      <c r="AHT27">
        <v>98.14</v>
      </c>
      <c r="AHU27">
        <v>98.17</v>
      </c>
      <c r="AHV27">
        <v>98.22</v>
      </c>
      <c r="AHW27">
        <v>98.39</v>
      </c>
      <c r="AHX27">
        <v>98.375</v>
      </c>
      <c r="AHY27">
        <v>98.364999999999995</v>
      </c>
      <c r="AHZ27">
        <v>98.46</v>
      </c>
      <c r="AIA27">
        <v>98.435000000000002</v>
      </c>
      <c r="AIB27">
        <v>98.4</v>
      </c>
      <c r="AIC27">
        <v>98.4</v>
      </c>
      <c r="AID27">
        <v>98.424999999999997</v>
      </c>
      <c r="AIE27">
        <v>98.394999999999996</v>
      </c>
      <c r="AIF27">
        <v>98.484999999999999</v>
      </c>
      <c r="AIG27">
        <v>98.545000000000002</v>
      </c>
      <c r="AIH27">
        <v>98.51</v>
      </c>
      <c r="AII27">
        <v>98.47</v>
      </c>
      <c r="AIJ27">
        <v>98.48</v>
      </c>
      <c r="AIK27">
        <v>98.484999999999999</v>
      </c>
      <c r="AIL27">
        <v>98.42</v>
      </c>
      <c r="AIM27">
        <v>98.444999999999993</v>
      </c>
      <c r="AIN27">
        <v>98.405000000000001</v>
      </c>
      <c r="AIO27">
        <v>98.424999999999997</v>
      </c>
      <c r="AIP27">
        <v>98.47</v>
      </c>
      <c r="AIQ27">
        <v>98.62</v>
      </c>
      <c r="AIR27">
        <v>98.484999999999999</v>
      </c>
      <c r="AIS27">
        <v>98.474999999999994</v>
      </c>
      <c r="AIT27">
        <v>98.405000000000001</v>
      </c>
      <c r="AIU27">
        <v>98.284999999999997</v>
      </c>
      <c r="AIV27">
        <v>98.364999999999995</v>
      </c>
      <c r="AIW27">
        <v>98.19</v>
      </c>
      <c r="AIX27">
        <v>98.19</v>
      </c>
      <c r="AIY27">
        <v>98.15</v>
      </c>
      <c r="AIZ27">
        <v>98.215000000000003</v>
      </c>
      <c r="AJA27">
        <v>98.32</v>
      </c>
      <c r="AJB27">
        <v>98.245000000000005</v>
      </c>
      <c r="AJC27">
        <v>98.215000000000003</v>
      </c>
      <c r="AJD27">
        <v>98.19</v>
      </c>
      <c r="AJE27">
        <v>98.224999999999994</v>
      </c>
      <c r="AJF27">
        <v>98.27</v>
      </c>
      <c r="AJG27">
        <v>98.284999999999997</v>
      </c>
      <c r="AJH27">
        <v>98.314999999999998</v>
      </c>
      <c r="AJI27">
        <v>98.415000000000006</v>
      </c>
      <c r="AJJ27">
        <v>98.32</v>
      </c>
      <c r="AJK27">
        <v>98.35</v>
      </c>
      <c r="AJL27">
        <v>98.25</v>
      </c>
      <c r="AJM27">
        <v>98.22</v>
      </c>
      <c r="AJN27">
        <v>98.24</v>
      </c>
      <c r="AJO27">
        <v>98.27</v>
      </c>
      <c r="AJP27">
        <v>98.31</v>
      </c>
      <c r="AJQ27">
        <v>98.275000000000006</v>
      </c>
      <c r="AJR27">
        <v>98.284999999999997</v>
      </c>
      <c r="AJS27">
        <v>98.125</v>
      </c>
      <c r="AJT27">
        <v>98.114999999999995</v>
      </c>
      <c r="AJU27">
        <v>98.11</v>
      </c>
      <c r="AJV27">
        <v>98.055000000000007</v>
      </c>
      <c r="AJW27">
        <v>98.09</v>
      </c>
      <c r="AJX27">
        <v>98.114999999999995</v>
      </c>
      <c r="AJY27">
        <v>98.2</v>
      </c>
      <c r="AJZ27">
        <v>98.18</v>
      </c>
      <c r="AKA27">
        <v>98.234999999999999</v>
      </c>
      <c r="AKB27">
        <v>98.194999999999993</v>
      </c>
      <c r="AKC27">
        <v>98.105000000000004</v>
      </c>
      <c r="AKD27">
        <v>98.02</v>
      </c>
      <c r="AKE27">
        <v>98.02</v>
      </c>
      <c r="AKF27">
        <v>98.07</v>
      </c>
      <c r="AKG27">
        <v>98.125</v>
      </c>
      <c r="AKH27">
        <v>98.105000000000004</v>
      </c>
      <c r="AKI27">
        <v>98.16</v>
      </c>
      <c r="AKJ27">
        <v>98.135000000000005</v>
      </c>
      <c r="AKK27">
        <v>98.075000000000003</v>
      </c>
      <c r="AKL27">
        <v>98.064999999999998</v>
      </c>
      <c r="AKM27">
        <v>98.075000000000003</v>
      </c>
      <c r="AKN27">
        <v>98.16</v>
      </c>
      <c r="AKO27">
        <v>98.21</v>
      </c>
      <c r="AKP27">
        <v>98.284999999999997</v>
      </c>
      <c r="AKQ27">
        <v>98.375</v>
      </c>
      <c r="AKR27">
        <v>98.344999999999999</v>
      </c>
      <c r="AKS27">
        <v>98.35</v>
      </c>
      <c r="AKT27">
        <v>98.275000000000006</v>
      </c>
      <c r="AKU27">
        <v>98.34</v>
      </c>
      <c r="AKV27">
        <v>98.385000000000005</v>
      </c>
      <c r="AKW27">
        <v>98.45</v>
      </c>
      <c r="AKX27">
        <v>98.38</v>
      </c>
      <c r="AKY27">
        <v>98.36</v>
      </c>
      <c r="AKZ27">
        <v>98.42</v>
      </c>
      <c r="ALA27">
        <v>98.385000000000005</v>
      </c>
      <c r="ALB27">
        <v>98.334999999999994</v>
      </c>
      <c r="ALC27">
        <v>98.385000000000005</v>
      </c>
      <c r="ALD27">
        <v>98.385000000000005</v>
      </c>
      <c r="ALE27">
        <v>98.44</v>
      </c>
      <c r="ALF27">
        <v>98.43</v>
      </c>
      <c r="ALG27">
        <v>98.42</v>
      </c>
      <c r="ALH27">
        <v>98.45</v>
      </c>
      <c r="ALI27">
        <v>98.424999999999997</v>
      </c>
      <c r="ALJ27">
        <v>98.394999999999996</v>
      </c>
      <c r="ALK27">
        <v>98.405000000000001</v>
      </c>
      <c r="ALL27">
        <v>98.48</v>
      </c>
      <c r="ALM27">
        <v>98.525000000000006</v>
      </c>
      <c r="ALN27">
        <v>98.515000000000001</v>
      </c>
      <c r="ALO27">
        <v>98.545000000000002</v>
      </c>
      <c r="ALP27">
        <v>98.495000000000005</v>
      </c>
      <c r="ALQ27">
        <v>98.53</v>
      </c>
      <c r="ALR27">
        <v>98.534999999999997</v>
      </c>
      <c r="ALS27">
        <v>98.484999999999999</v>
      </c>
      <c r="ALT27">
        <v>98.394999999999996</v>
      </c>
      <c r="ALU27">
        <v>98.41</v>
      </c>
      <c r="ALV27">
        <v>98.43</v>
      </c>
      <c r="ALW27">
        <v>98.45</v>
      </c>
      <c r="ALX27">
        <v>98.484999999999999</v>
      </c>
      <c r="ALY27">
        <v>98.575000000000003</v>
      </c>
      <c r="ALZ27">
        <v>98.6</v>
      </c>
      <c r="AMA27">
        <v>98.605000000000004</v>
      </c>
      <c r="AMB27">
        <v>98.61</v>
      </c>
      <c r="AMC27">
        <v>98.515000000000001</v>
      </c>
      <c r="AMD27">
        <v>98.495000000000005</v>
      </c>
      <c r="AME27">
        <v>98.515000000000001</v>
      </c>
      <c r="AMF27">
        <v>98.54</v>
      </c>
      <c r="AMG27">
        <v>98.5</v>
      </c>
      <c r="AMH27">
        <v>98.484999999999999</v>
      </c>
      <c r="AMI27">
        <v>98.504999999999995</v>
      </c>
      <c r="AMJ27">
        <v>98.5</v>
      </c>
      <c r="AMK27">
        <v>98.605000000000004</v>
      </c>
      <c r="AML27">
        <v>98.67</v>
      </c>
      <c r="AMM27">
        <v>98.5</v>
      </c>
      <c r="AMN27">
        <v>98.5</v>
      </c>
      <c r="AMO27">
        <v>98.39</v>
      </c>
      <c r="AMP27">
        <v>98.305000000000007</v>
      </c>
      <c r="AMQ27">
        <v>98.37</v>
      </c>
      <c r="AMR27">
        <v>98.364999999999995</v>
      </c>
      <c r="AMS27">
        <v>98.46</v>
      </c>
      <c r="AMT27">
        <v>98.444999999999993</v>
      </c>
      <c r="AMU27">
        <v>98.385000000000005</v>
      </c>
      <c r="AMV27">
        <v>98.295000000000002</v>
      </c>
      <c r="AMW27">
        <v>98.295000000000002</v>
      </c>
      <c r="AMX27">
        <v>98.23</v>
      </c>
      <c r="AMY27">
        <v>98.26</v>
      </c>
      <c r="AMZ27">
        <v>98.2</v>
      </c>
      <c r="ANA27">
        <v>98.194999999999993</v>
      </c>
      <c r="ANB27">
        <v>98.114999999999995</v>
      </c>
      <c r="ANC27">
        <v>98.16</v>
      </c>
      <c r="AND27">
        <v>98.155000000000001</v>
      </c>
      <c r="ANE27">
        <v>98.19</v>
      </c>
      <c r="ANF27">
        <v>98.185000000000002</v>
      </c>
      <c r="ANG27">
        <v>98.24</v>
      </c>
      <c r="ANH27">
        <v>98.135000000000005</v>
      </c>
      <c r="ANI27">
        <v>97.995000000000005</v>
      </c>
      <c r="ANJ27">
        <v>98.114999999999995</v>
      </c>
      <c r="ANK27">
        <v>98.094999999999999</v>
      </c>
      <c r="ANL27">
        <v>98.09</v>
      </c>
      <c r="ANM27">
        <v>98.11</v>
      </c>
      <c r="ANN27">
        <v>98.075000000000003</v>
      </c>
      <c r="ANO27">
        <v>98.025000000000006</v>
      </c>
      <c r="ANP27">
        <v>97.98</v>
      </c>
      <c r="ANQ27">
        <v>97.97</v>
      </c>
      <c r="ANR27">
        <v>97.875</v>
      </c>
      <c r="ANS27">
        <v>97.924999999999997</v>
      </c>
      <c r="ANT27">
        <v>97.89</v>
      </c>
      <c r="ANU27">
        <v>97.935000000000002</v>
      </c>
      <c r="ANV27">
        <v>97.935000000000002</v>
      </c>
      <c r="ANW27">
        <v>97.924999999999997</v>
      </c>
      <c r="ANX27">
        <v>97.974999999999994</v>
      </c>
      <c r="ANY27">
        <v>97.99</v>
      </c>
      <c r="ANZ27">
        <v>97.935000000000002</v>
      </c>
      <c r="AOA27">
        <v>97.894999999999996</v>
      </c>
      <c r="AOB27">
        <v>97.9</v>
      </c>
      <c r="AOC27">
        <v>97.84</v>
      </c>
      <c r="AOD27">
        <v>97.885000000000005</v>
      </c>
      <c r="AOE27">
        <v>97.89</v>
      </c>
      <c r="AOF27">
        <v>97.9</v>
      </c>
      <c r="AOG27">
        <v>97.855000000000004</v>
      </c>
      <c r="AOH27">
        <v>97.8</v>
      </c>
      <c r="AOI27">
        <v>97.894999999999996</v>
      </c>
      <c r="AOJ27">
        <v>97.92</v>
      </c>
      <c r="AOK27">
        <v>97.944999999999993</v>
      </c>
      <c r="AOL27">
        <v>97.954999999999998</v>
      </c>
      <c r="AOM27">
        <v>97.915000000000006</v>
      </c>
      <c r="AON27">
        <v>97.89</v>
      </c>
      <c r="AOO27">
        <v>97.864999999999995</v>
      </c>
      <c r="AOP27">
        <v>97.83</v>
      </c>
      <c r="AOQ27">
        <v>97.83</v>
      </c>
      <c r="AOR27">
        <v>97.86</v>
      </c>
      <c r="AOS27">
        <v>97.87</v>
      </c>
      <c r="AOT27">
        <v>97.93</v>
      </c>
      <c r="AOU27">
        <v>97.94</v>
      </c>
      <c r="AOV27">
        <v>97.965000000000003</v>
      </c>
      <c r="AOW27">
        <v>97.944999999999993</v>
      </c>
      <c r="AOX27">
        <v>97.95</v>
      </c>
      <c r="AOY27">
        <v>97.924999999999997</v>
      </c>
      <c r="AOZ27">
        <v>97.94</v>
      </c>
      <c r="APA27">
        <v>97.98</v>
      </c>
      <c r="APB27">
        <v>97.834999999999994</v>
      </c>
      <c r="APC27">
        <v>97.825000000000003</v>
      </c>
      <c r="APD27">
        <v>97.73</v>
      </c>
      <c r="APE27">
        <v>97.74</v>
      </c>
      <c r="APF27">
        <v>97.77</v>
      </c>
      <c r="APG27">
        <v>97.745000000000005</v>
      </c>
      <c r="APH27">
        <v>97.72</v>
      </c>
      <c r="API27">
        <v>97.614999999999995</v>
      </c>
      <c r="APJ27">
        <v>97.6</v>
      </c>
      <c r="APK27">
        <v>97.665000000000006</v>
      </c>
      <c r="APL27">
        <v>97.564999999999998</v>
      </c>
      <c r="APM27">
        <v>97.6</v>
      </c>
      <c r="APN27">
        <v>97.625</v>
      </c>
      <c r="APO27">
        <v>97.704999999999998</v>
      </c>
      <c r="APP27">
        <v>97.765000000000001</v>
      </c>
      <c r="APQ27">
        <v>97.754999999999995</v>
      </c>
      <c r="APR27">
        <v>97.734999999999999</v>
      </c>
      <c r="APS27">
        <v>97.674999999999997</v>
      </c>
      <c r="APT27">
        <v>97.63</v>
      </c>
      <c r="APU27">
        <v>97.76</v>
      </c>
      <c r="APV27">
        <v>97.95</v>
      </c>
      <c r="APW27">
        <v>97.954999999999998</v>
      </c>
      <c r="APX27">
        <v>97.95</v>
      </c>
      <c r="APY27">
        <v>97.935000000000002</v>
      </c>
      <c r="APZ27">
        <v>98.004999999999995</v>
      </c>
      <c r="AQA27">
        <v>98.025000000000006</v>
      </c>
      <c r="AQB27">
        <v>97.995000000000005</v>
      </c>
      <c r="AQC27">
        <v>97.94</v>
      </c>
      <c r="AQD27">
        <v>98.004999999999995</v>
      </c>
      <c r="AQE27">
        <v>97.995000000000005</v>
      </c>
      <c r="AQF27">
        <v>98.06</v>
      </c>
      <c r="AQG27">
        <v>98.114999999999995</v>
      </c>
      <c r="AQH27">
        <v>98.075000000000003</v>
      </c>
      <c r="AQI27">
        <v>98.015000000000001</v>
      </c>
      <c r="AQJ27">
        <v>98.02</v>
      </c>
      <c r="AQK27">
        <v>98.14</v>
      </c>
      <c r="AQL27">
        <v>98.165000000000006</v>
      </c>
      <c r="AQM27">
        <v>98.155000000000001</v>
      </c>
      <c r="AQN27">
        <v>98.19</v>
      </c>
      <c r="AQO27">
        <v>98.234999999999999</v>
      </c>
      <c r="AQP27">
        <v>98.254999999999995</v>
      </c>
      <c r="AQQ27">
        <v>98.28</v>
      </c>
      <c r="AQR27">
        <v>98.4</v>
      </c>
      <c r="AQS27">
        <v>98.4</v>
      </c>
      <c r="AQT27">
        <v>98.484999999999999</v>
      </c>
      <c r="AQU27">
        <v>98.495000000000005</v>
      </c>
      <c r="AQV27">
        <v>98.48</v>
      </c>
      <c r="AQW27">
        <v>98.47</v>
      </c>
      <c r="AQX27">
        <v>98.49</v>
      </c>
      <c r="AQY27">
        <v>98.495000000000005</v>
      </c>
      <c r="AQZ27">
        <v>98.584999999999994</v>
      </c>
      <c r="ARA27">
        <v>98.6</v>
      </c>
      <c r="ARB27">
        <v>98.665000000000006</v>
      </c>
      <c r="ARC27">
        <v>98.665000000000006</v>
      </c>
      <c r="ARD27">
        <v>98.67</v>
      </c>
      <c r="ARE27">
        <v>98.67</v>
      </c>
      <c r="ARF27">
        <v>98.665000000000006</v>
      </c>
      <c r="ARG27">
        <v>98.67</v>
      </c>
      <c r="ARH27">
        <v>98.67</v>
      </c>
      <c r="ARI27">
        <v>98.665000000000006</v>
      </c>
      <c r="ARJ27">
        <v>98.68</v>
      </c>
      <c r="ARK27">
        <v>98.68</v>
      </c>
      <c r="ARL27">
        <v>98.67</v>
      </c>
      <c r="ARM27">
        <v>98.67</v>
      </c>
      <c r="ARN27">
        <v>98.7</v>
      </c>
      <c r="ARO27">
        <v>98.685000000000002</v>
      </c>
      <c r="ARP27">
        <v>98.66</v>
      </c>
      <c r="ARQ27">
        <v>98.665000000000006</v>
      </c>
      <c r="ARR27">
        <v>98.67</v>
      </c>
      <c r="ARS27">
        <v>98.71</v>
      </c>
      <c r="ART27">
        <v>98.875</v>
      </c>
      <c r="ARU27">
        <v>98.92</v>
      </c>
      <c r="ARV27">
        <v>98.93</v>
      </c>
      <c r="ARW27">
        <v>98.92</v>
      </c>
      <c r="ARX27">
        <v>98.92</v>
      </c>
      <c r="ARY27">
        <v>98.91</v>
      </c>
      <c r="ARZ27">
        <v>98.894999999999996</v>
      </c>
      <c r="ASA27">
        <v>98.89</v>
      </c>
      <c r="ASB27">
        <v>98.894999999999996</v>
      </c>
      <c r="ASC27">
        <v>98.894999999999996</v>
      </c>
      <c r="ASD27">
        <v>98.894999999999996</v>
      </c>
      <c r="ASE27">
        <v>98.9</v>
      </c>
      <c r="ASF27">
        <v>98.894999999999996</v>
      </c>
      <c r="ASG27">
        <v>98.894999999999996</v>
      </c>
      <c r="ASH27">
        <v>98.974999999999994</v>
      </c>
      <c r="ASI27">
        <v>98.984999999999999</v>
      </c>
      <c r="ASJ27">
        <v>99.05</v>
      </c>
      <c r="ASK27">
        <v>99.05</v>
      </c>
      <c r="ASL27">
        <v>99.05</v>
      </c>
      <c r="ASM27">
        <v>99.125</v>
      </c>
      <c r="ASN27">
        <v>99.504999999999995</v>
      </c>
      <c r="ASO27">
        <v>99.61</v>
      </c>
      <c r="ASP27">
        <v>99.61</v>
      </c>
      <c r="ASQ27">
        <v>99.62</v>
      </c>
      <c r="ASR27">
        <v>99.635000000000005</v>
      </c>
      <c r="ASS27">
        <v>99.64</v>
      </c>
      <c r="AST27">
        <v>99.644999999999996</v>
      </c>
      <c r="ASU27">
        <v>99.67</v>
      </c>
      <c r="ASV27">
        <v>99.674999999999997</v>
      </c>
      <c r="ASW27">
        <v>99.67</v>
      </c>
      <c r="ASX27">
        <v>99.67</v>
      </c>
      <c r="ASY27">
        <v>99.665000000000006</v>
      </c>
      <c r="ASZ27">
        <v>99.66</v>
      </c>
      <c r="ATA27">
        <v>99.674999999999997</v>
      </c>
      <c r="ATB27">
        <v>99.67</v>
      </c>
      <c r="ATC27">
        <v>99.67</v>
      </c>
      <c r="ATD27">
        <v>99.674999999999997</v>
      </c>
      <c r="ATE27">
        <v>99.665000000000006</v>
      </c>
      <c r="ATF27">
        <v>99.665000000000006</v>
      </c>
      <c r="ATG27">
        <v>99.66</v>
      </c>
      <c r="ATH27">
        <v>99.64</v>
      </c>
      <c r="ATI27">
        <v>99.64</v>
      </c>
      <c r="ATJ27">
        <v>99.674999999999997</v>
      </c>
      <c r="ATK27">
        <v>99.72</v>
      </c>
      <c r="ATL27">
        <v>99.724999999999994</v>
      </c>
      <c r="ATM27">
        <v>99.745000000000005</v>
      </c>
      <c r="ATN27">
        <v>99.715000000000003</v>
      </c>
      <c r="ATO27">
        <v>99.724999999999994</v>
      </c>
      <c r="ATP27">
        <v>99.72</v>
      </c>
      <c r="ATQ27">
        <v>99.724999999999994</v>
      </c>
      <c r="ATR27">
        <v>99.734999999999999</v>
      </c>
      <c r="ATS27">
        <v>99.734999999999999</v>
      </c>
      <c r="ATT27">
        <v>99.73</v>
      </c>
      <c r="ATU27">
        <v>99.72</v>
      </c>
      <c r="ATV27">
        <v>99.71</v>
      </c>
      <c r="ATW27">
        <v>99.734999999999999</v>
      </c>
      <c r="ATX27">
        <v>99.734999999999999</v>
      </c>
      <c r="ATY27">
        <v>99.745000000000005</v>
      </c>
      <c r="ATZ27">
        <v>99.754999999999995</v>
      </c>
      <c r="AUA27">
        <v>99.75</v>
      </c>
      <c r="AUB27">
        <v>99.754999999999995</v>
      </c>
      <c r="AUC27">
        <v>99.75</v>
      </c>
      <c r="AUD27">
        <v>99.734999999999999</v>
      </c>
      <c r="AUE27">
        <v>99.73</v>
      </c>
      <c r="AUF27">
        <v>99.745000000000005</v>
      </c>
      <c r="AUG27">
        <v>99.74</v>
      </c>
      <c r="AUH27">
        <v>99.765000000000001</v>
      </c>
      <c r="AUI27">
        <v>99.765000000000001</v>
      </c>
      <c r="AUJ27">
        <v>99.814999999999998</v>
      </c>
      <c r="AUK27">
        <v>99.814999999999998</v>
      </c>
      <c r="AUL27">
        <v>99.814999999999998</v>
      </c>
      <c r="AUM27">
        <v>99.82</v>
      </c>
      <c r="AUN27">
        <v>99.82</v>
      </c>
      <c r="AUO27">
        <v>99.83</v>
      </c>
      <c r="AUP27">
        <v>99.83</v>
      </c>
      <c r="AUQ27">
        <v>99.834999999999994</v>
      </c>
      <c r="AUR27">
        <v>99.834999999999994</v>
      </c>
      <c r="AUS27">
        <v>99.825000000000003</v>
      </c>
      <c r="AUT27">
        <v>99.805000000000007</v>
      </c>
      <c r="AUU27">
        <v>99.82</v>
      </c>
      <c r="AUV27">
        <v>99.814999999999998</v>
      </c>
      <c r="AUW27">
        <v>99.844999999999999</v>
      </c>
      <c r="AUX27">
        <v>99.85</v>
      </c>
      <c r="AUY27">
        <v>99.84</v>
      </c>
      <c r="AUZ27">
        <v>99.814999999999998</v>
      </c>
      <c r="AVA27">
        <v>99.81</v>
      </c>
      <c r="AVB27">
        <v>99.814999999999998</v>
      </c>
      <c r="AVC27">
        <v>99.805000000000007</v>
      </c>
      <c r="AVD27">
        <v>99.805000000000007</v>
      </c>
      <c r="AVE27">
        <v>99.834999999999994</v>
      </c>
      <c r="AVF27">
        <v>99.825000000000003</v>
      </c>
      <c r="AVG27">
        <v>99.834999999999994</v>
      </c>
      <c r="AVH27">
        <v>99.83</v>
      </c>
      <c r="AVI27">
        <v>99.825000000000003</v>
      </c>
      <c r="AVJ27">
        <v>99.805000000000007</v>
      </c>
      <c r="AVK27">
        <v>99.814999999999998</v>
      </c>
      <c r="AVL27">
        <v>99.82</v>
      </c>
      <c r="AVM27">
        <v>99.83</v>
      </c>
      <c r="AVN27">
        <v>99.825000000000003</v>
      </c>
      <c r="AVO27">
        <v>99.834999999999994</v>
      </c>
      <c r="AVP27">
        <v>99.834999999999994</v>
      </c>
      <c r="AVQ27">
        <v>99.825000000000003</v>
      </c>
      <c r="AVR27">
        <v>99.81</v>
      </c>
      <c r="AVS27">
        <v>99.8</v>
      </c>
      <c r="AVT27">
        <v>99.8</v>
      </c>
      <c r="AVU27">
        <v>99.805000000000007</v>
      </c>
      <c r="AVV27">
        <v>99.805000000000007</v>
      </c>
      <c r="AVW27">
        <v>99.84</v>
      </c>
      <c r="AVX27">
        <v>99.85</v>
      </c>
      <c r="AVY27">
        <v>99.87</v>
      </c>
      <c r="AVZ27">
        <v>99.875</v>
      </c>
      <c r="AWA27">
        <v>99.885000000000005</v>
      </c>
      <c r="AWB27">
        <v>99.875</v>
      </c>
      <c r="AWC27">
        <v>99.87</v>
      </c>
      <c r="AWD27">
        <v>99.864999999999995</v>
      </c>
      <c r="AWE27">
        <v>99.844999999999999</v>
      </c>
      <c r="AWF27">
        <v>99.834999999999994</v>
      </c>
      <c r="AWG27">
        <v>99.83</v>
      </c>
      <c r="AWH27">
        <v>99.84</v>
      </c>
      <c r="AWI27">
        <v>99.844999999999999</v>
      </c>
      <c r="AWJ27">
        <v>99.844999999999999</v>
      </c>
      <c r="AWK27">
        <v>99.84</v>
      </c>
      <c r="AWL27">
        <v>99.84</v>
      </c>
      <c r="AWM27">
        <v>99.834999999999994</v>
      </c>
      <c r="AWN27">
        <v>99.834999999999994</v>
      </c>
      <c r="AWO27">
        <v>99.83</v>
      </c>
      <c r="AWP27">
        <v>99.84</v>
      </c>
      <c r="AWQ27">
        <v>99.84</v>
      </c>
      <c r="AWR27">
        <v>99.855000000000004</v>
      </c>
      <c r="AWS27">
        <v>99.87</v>
      </c>
      <c r="AWT27">
        <v>99.855000000000004</v>
      </c>
      <c r="AWU27">
        <v>99.85</v>
      </c>
      <c r="AWV27">
        <v>99.844999999999999</v>
      </c>
      <c r="AWW27">
        <v>99.844999999999999</v>
      </c>
      <c r="AWX27">
        <v>99.844999999999999</v>
      </c>
      <c r="AWY27">
        <v>99.834999999999994</v>
      </c>
      <c r="AWZ27">
        <v>99.855000000000004</v>
      </c>
      <c r="AXA27">
        <v>99.855000000000004</v>
      </c>
      <c r="AXB27">
        <v>99.844999999999999</v>
      </c>
      <c r="AXC27">
        <v>99.825000000000003</v>
      </c>
      <c r="AXD27">
        <v>99.825000000000003</v>
      </c>
      <c r="AXE27">
        <v>99.825000000000003</v>
      </c>
      <c r="AXF27">
        <v>99.82</v>
      </c>
      <c r="AXG27">
        <v>99.81</v>
      </c>
      <c r="AXH27">
        <v>99.79</v>
      </c>
      <c r="AXI27">
        <v>99.784999999999997</v>
      </c>
      <c r="AXJ27">
        <v>99.775000000000006</v>
      </c>
      <c r="AXK27">
        <v>99.79</v>
      </c>
      <c r="AXL27">
        <v>99.78</v>
      </c>
      <c r="AXM27">
        <v>99.79</v>
      </c>
      <c r="AXN27">
        <v>99.765000000000001</v>
      </c>
      <c r="AXO27">
        <v>99.715000000000003</v>
      </c>
      <c r="AXP27">
        <v>99.68</v>
      </c>
      <c r="AXQ27">
        <v>99.674999999999997</v>
      </c>
      <c r="AXR27">
        <v>99.74</v>
      </c>
      <c r="AXS27">
        <v>99.754999999999995</v>
      </c>
      <c r="AXT27">
        <v>99.79</v>
      </c>
      <c r="AXU27">
        <v>99.795000000000002</v>
      </c>
      <c r="AXV27">
        <v>99.784999999999997</v>
      </c>
      <c r="AXW27">
        <v>99.765000000000001</v>
      </c>
      <c r="AXX27">
        <v>99.77</v>
      </c>
      <c r="AXY27">
        <v>99.775000000000006</v>
      </c>
      <c r="AXZ27">
        <v>99.78</v>
      </c>
      <c r="AYA27">
        <v>99.78</v>
      </c>
      <c r="AYB27">
        <v>99.775000000000006</v>
      </c>
      <c r="AYC27">
        <v>99.775000000000006</v>
      </c>
      <c r="AYD27">
        <v>99.78</v>
      </c>
      <c r="AYE27">
        <v>99.78</v>
      </c>
      <c r="AYF27">
        <v>99.825000000000003</v>
      </c>
      <c r="AYG27">
        <v>99.8</v>
      </c>
      <c r="AYH27">
        <v>99.79</v>
      </c>
      <c r="AYI27">
        <v>99.77</v>
      </c>
      <c r="AYJ27">
        <v>99.77</v>
      </c>
      <c r="AYK27">
        <v>99.79</v>
      </c>
      <c r="AYL27">
        <v>99.8</v>
      </c>
      <c r="AYM27">
        <v>99.745000000000005</v>
      </c>
      <c r="AYN27">
        <v>99.73</v>
      </c>
      <c r="AYO27">
        <v>99.734999999999999</v>
      </c>
      <c r="AYP27">
        <v>99.72</v>
      </c>
      <c r="AYQ27">
        <v>99.724999999999994</v>
      </c>
      <c r="AYR27">
        <v>99.715000000000003</v>
      </c>
      <c r="AYS27">
        <v>99.7</v>
      </c>
      <c r="AYT27">
        <v>99.694999999999993</v>
      </c>
      <c r="AYU27">
        <v>99.704999999999998</v>
      </c>
      <c r="AYV27">
        <v>99.704999999999998</v>
      </c>
      <c r="AYW27">
        <v>99.7</v>
      </c>
      <c r="AYX27">
        <v>99.71</v>
      </c>
      <c r="AYY27">
        <v>99.69</v>
      </c>
      <c r="AYZ27">
        <v>99.68</v>
      </c>
      <c r="AZA27">
        <v>99.665000000000006</v>
      </c>
      <c r="AZB27">
        <v>99.655000000000001</v>
      </c>
      <c r="AZC27">
        <v>99.625</v>
      </c>
      <c r="AZD27">
        <v>99.61</v>
      </c>
      <c r="AZE27">
        <v>99.62</v>
      </c>
      <c r="AZF27">
        <v>99.62</v>
      </c>
      <c r="AZG27">
        <v>99.6</v>
      </c>
      <c r="AZH27">
        <v>99.584999999999994</v>
      </c>
      <c r="AZI27">
        <v>99.63</v>
      </c>
      <c r="AZJ27">
        <v>99.69</v>
      </c>
      <c r="AZK27">
        <v>99.685000000000002</v>
      </c>
      <c r="AZL27">
        <v>99.7</v>
      </c>
      <c r="AZM27">
        <v>99.674999999999997</v>
      </c>
      <c r="AZN27">
        <v>99.704999999999998</v>
      </c>
      <c r="AZO27">
        <v>99.66</v>
      </c>
      <c r="AZP27">
        <v>99.64</v>
      </c>
      <c r="AZQ27">
        <v>99.61</v>
      </c>
      <c r="AZR27">
        <v>99.605000000000004</v>
      </c>
      <c r="AZS27">
        <v>99.665000000000006</v>
      </c>
      <c r="AZT27">
        <v>99.584999999999994</v>
      </c>
      <c r="AZU27">
        <v>99.525000000000006</v>
      </c>
      <c r="AZV27">
        <v>99.42</v>
      </c>
      <c r="AZW27">
        <v>99.534999999999997</v>
      </c>
      <c r="AZX27">
        <v>99.584999999999994</v>
      </c>
      <c r="AZY27">
        <v>99.51</v>
      </c>
      <c r="AZZ27">
        <v>99.55</v>
      </c>
      <c r="BAA27">
        <v>99.48</v>
      </c>
      <c r="BAB27">
        <v>99.47</v>
      </c>
      <c r="BAC27">
        <v>99.59</v>
      </c>
      <c r="BAD27">
        <v>99.515000000000001</v>
      </c>
      <c r="BAE27">
        <v>99.43</v>
      </c>
      <c r="BAF27">
        <v>99.38</v>
      </c>
      <c r="BAG27">
        <v>99.32</v>
      </c>
      <c r="BAH27">
        <v>99.25</v>
      </c>
      <c r="BAI27">
        <v>99.25</v>
      </c>
      <c r="BAJ27">
        <v>99.05</v>
      </c>
      <c r="BAK27">
        <v>98.995000000000005</v>
      </c>
      <c r="BAL27">
        <v>99.004999999999995</v>
      </c>
      <c r="BAM27">
        <v>98.95</v>
      </c>
      <c r="BAN27">
        <v>98.84</v>
      </c>
      <c r="BAO27">
        <v>98.775000000000006</v>
      </c>
      <c r="BAP27">
        <v>98.73</v>
      </c>
      <c r="BAQ27">
        <v>98.754999999999995</v>
      </c>
      <c r="BAR27">
        <v>98.724999999999994</v>
      </c>
      <c r="BAS27">
        <v>98.724999999999994</v>
      </c>
      <c r="BAT27">
        <v>98.69</v>
      </c>
      <c r="BAU27">
        <v>98.69</v>
      </c>
      <c r="BAV27">
        <v>98.73</v>
      </c>
      <c r="BAW27">
        <v>98.76</v>
      </c>
      <c r="BAX27">
        <v>98.724999999999994</v>
      </c>
      <c r="BAY27">
        <v>98.67</v>
      </c>
      <c r="BAZ27">
        <v>98.69</v>
      </c>
      <c r="BBA27">
        <v>98.73</v>
      </c>
      <c r="BBB27">
        <v>98.814999999999998</v>
      </c>
      <c r="BBC27">
        <v>98.83</v>
      </c>
      <c r="BBD27">
        <v>98.775000000000006</v>
      </c>
      <c r="BBE27">
        <v>98.73</v>
      </c>
      <c r="BBF27">
        <v>98.68</v>
      </c>
      <c r="BBG27">
        <v>98.715000000000003</v>
      </c>
      <c r="BBH27">
        <v>98.63</v>
      </c>
      <c r="BBI27">
        <v>98.575000000000003</v>
      </c>
      <c r="BBJ27">
        <v>98.555000000000007</v>
      </c>
      <c r="BBK27">
        <v>98.54</v>
      </c>
      <c r="BBL27">
        <v>98.484999999999999</v>
      </c>
      <c r="BBM27">
        <v>98.484999999999999</v>
      </c>
      <c r="BBN27">
        <v>98.5</v>
      </c>
      <c r="BBO27">
        <v>98.51</v>
      </c>
      <c r="BBP27">
        <v>98.5</v>
      </c>
      <c r="BBQ27">
        <v>98.484999999999999</v>
      </c>
      <c r="BBR27">
        <v>98.49</v>
      </c>
      <c r="BBS27">
        <v>98.474999999999994</v>
      </c>
      <c r="BBT27">
        <v>98.47</v>
      </c>
      <c r="BBU27">
        <v>98.515000000000001</v>
      </c>
      <c r="BBV27">
        <v>98.525000000000006</v>
      </c>
      <c r="BBW27">
        <v>98.53</v>
      </c>
      <c r="BBX27">
        <v>98.44</v>
      </c>
      <c r="BBY27">
        <v>98.43</v>
      </c>
      <c r="BBZ27">
        <v>98.43</v>
      </c>
      <c r="BCA27">
        <v>98.435000000000002</v>
      </c>
      <c r="BCB27">
        <v>98.435000000000002</v>
      </c>
      <c r="BCC27">
        <v>98.394999999999996</v>
      </c>
      <c r="BCD27">
        <v>98.394999999999996</v>
      </c>
      <c r="BCE27">
        <v>98.394999999999996</v>
      </c>
      <c r="BCF27">
        <v>98.375</v>
      </c>
      <c r="BCG27">
        <v>98.415000000000006</v>
      </c>
      <c r="BCH27">
        <v>98.43</v>
      </c>
      <c r="BCI27">
        <v>98.41</v>
      </c>
      <c r="BCJ27">
        <v>98.44</v>
      </c>
      <c r="BCK27">
        <v>98.45</v>
      </c>
      <c r="BCL27">
        <v>98.525000000000006</v>
      </c>
      <c r="BCM27">
        <v>98.444999999999993</v>
      </c>
      <c r="BCN27">
        <v>98.53</v>
      </c>
      <c r="BCO27">
        <v>98.49</v>
      </c>
      <c r="BCP27">
        <v>98.504999999999995</v>
      </c>
      <c r="BCQ27">
        <v>98.515000000000001</v>
      </c>
      <c r="BCR27">
        <v>98.575000000000003</v>
      </c>
      <c r="BCS27">
        <v>98.59</v>
      </c>
      <c r="BCT27">
        <v>98.665000000000006</v>
      </c>
      <c r="BCU27">
        <v>98.545000000000002</v>
      </c>
      <c r="BCV27">
        <v>98.58</v>
      </c>
      <c r="BCW27">
        <v>98.57</v>
      </c>
      <c r="BCX27">
        <v>98.57</v>
      </c>
      <c r="BCY27">
        <v>98.61</v>
      </c>
      <c r="BCZ27">
        <v>98.6</v>
      </c>
      <c r="BDA27">
        <v>98.584999999999994</v>
      </c>
      <c r="BDB27">
        <v>98.605000000000004</v>
      </c>
      <c r="BDC27">
        <v>98.635000000000005</v>
      </c>
      <c r="BDD27">
        <v>98.6</v>
      </c>
      <c r="BDE27">
        <v>98.575000000000003</v>
      </c>
      <c r="BDF27">
        <v>98.55</v>
      </c>
      <c r="BDG27">
        <v>98.56</v>
      </c>
      <c r="BDH27">
        <v>98.51</v>
      </c>
      <c r="BDI27">
        <v>98.46</v>
      </c>
      <c r="BDJ27">
        <v>98.43</v>
      </c>
      <c r="BDK27">
        <v>98.44</v>
      </c>
      <c r="BDL27">
        <v>98.424999999999997</v>
      </c>
      <c r="BDM27">
        <v>98.534999999999997</v>
      </c>
      <c r="BDN27">
        <v>98.51</v>
      </c>
      <c r="BDO27">
        <v>98.57</v>
      </c>
      <c r="BDP27">
        <v>98.62</v>
      </c>
      <c r="BDQ27">
        <v>98.69</v>
      </c>
      <c r="BDR27">
        <v>98.564999999999998</v>
      </c>
      <c r="BDS27">
        <v>98.545000000000002</v>
      </c>
      <c r="BDT27">
        <v>98.55</v>
      </c>
      <c r="BDU27">
        <v>98.58</v>
      </c>
      <c r="BDV27">
        <v>98.625</v>
      </c>
      <c r="BDW27">
        <v>98.635000000000005</v>
      </c>
      <c r="BDX27">
        <v>98.614999999999995</v>
      </c>
      <c r="BDY27">
        <v>98.59</v>
      </c>
      <c r="BDZ27">
        <v>98.63</v>
      </c>
      <c r="BEA27">
        <v>98.605000000000004</v>
      </c>
      <c r="BEB27">
        <v>98.63</v>
      </c>
      <c r="BEC27">
        <v>98.59</v>
      </c>
      <c r="BED27">
        <v>98.644999999999996</v>
      </c>
      <c r="BEE27">
        <v>98.625</v>
      </c>
      <c r="BEF27">
        <v>98.754999999999995</v>
      </c>
      <c r="BEG27">
        <v>98.82</v>
      </c>
      <c r="BEH27">
        <v>98.875</v>
      </c>
      <c r="BEI27">
        <v>98.864999999999995</v>
      </c>
      <c r="BEJ27">
        <v>98.935000000000002</v>
      </c>
      <c r="BEK27">
        <v>98.944999999999993</v>
      </c>
      <c r="BEL27">
        <v>98.844999999999999</v>
      </c>
      <c r="BEM27">
        <v>98.77</v>
      </c>
      <c r="BEN27">
        <v>98.7</v>
      </c>
      <c r="BEO27">
        <v>98.71</v>
      </c>
      <c r="BEP27" t="s">
        <v>6984</v>
      </c>
      <c r="BEQ27" t="s">
        <v>6984</v>
      </c>
      <c r="BER27" t="s">
        <v>6984</v>
      </c>
      <c r="BES27" t="s">
        <v>6984</v>
      </c>
      <c r="BET27" t="s">
        <v>6984</v>
      </c>
      <c r="BEU27" t="s">
        <v>6984</v>
      </c>
      <c r="BEV27" t="s">
        <v>6984</v>
      </c>
      <c r="BEW27" t="s">
        <v>6984</v>
      </c>
      <c r="BEX27" t="s">
        <v>6984</v>
      </c>
      <c r="BEY27" t="s">
        <v>6984</v>
      </c>
      <c r="BEZ27" t="s">
        <v>6984</v>
      </c>
      <c r="BFA27" t="s">
        <v>6984</v>
      </c>
      <c r="BFB27" t="s">
        <v>6984</v>
      </c>
      <c r="BFC27" t="s">
        <v>6984</v>
      </c>
      <c r="BFD27" t="s">
        <v>6984</v>
      </c>
      <c r="BFE27" t="s">
        <v>6984</v>
      </c>
      <c r="BFF27" t="s">
        <v>6984</v>
      </c>
      <c r="BFG27" t="s">
        <v>6984</v>
      </c>
      <c r="BFH27" t="s">
        <v>6984</v>
      </c>
      <c r="BFI27" t="s">
        <v>6984</v>
      </c>
      <c r="BFJ27" t="s">
        <v>6984</v>
      </c>
      <c r="BFK27" t="s">
        <v>6984</v>
      </c>
      <c r="BFL27" t="s">
        <v>6984</v>
      </c>
      <c r="BFM27" t="s">
        <v>6984</v>
      </c>
      <c r="BFN27" t="s">
        <v>6984</v>
      </c>
      <c r="BFO27" t="s">
        <v>6984</v>
      </c>
      <c r="BFP27" t="s">
        <v>6984</v>
      </c>
      <c r="BFQ27" t="s">
        <v>6984</v>
      </c>
      <c r="BFR27" t="s">
        <v>6984</v>
      </c>
      <c r="BFS27" t="s">
        <v>6984</v>
      </c>
      <c r="BFT27" t="s">
        <v>6984</v>
      </c>
      <c r="BFU27" t="s">
        <v>6984</v>
      </c>
      <c r="BFV27" t="s">
        <v>6984</v>
      </c>
      <c r="BFW27" t="s">
        <v>6984</v>
      </c>
      <c r="BFX27" t="s">
        <v>6984</v>
      </c>
      <c r="BFY27" t="s">
        <v>6984</v>
      </c>
      <c r="BFZ27" t="s">
        <v>6984</v>
      </c>
      <c r="BGA27" t="s">
        <v>6984</v>
      </c>
      <c r="BGB27" t="s">
        <v>6984</v>
      </c>
      <c r="BGC27" t="s">
        <v>6984</v>
      </c>
      <c r="BGD27" t="s">
        <v>6984</v>
      </c>
      <c r="BGE27" t="s">
        <v>6984</v>
      </c>
      <c r="BGF27" t="s">
        <v>6984</v>
      </c>
      <c r="BGG27" t="s">
        <v>6984</v>
      </c>
      <c r="BGH27" t="s">
        <v>6984</v>
      </c>
      <c r="BGI27" t="s">
        <v>6984</v>
      </c>
      <c r="BGJ27" t="s">
        <v>6984</v>
      </c>
      <c r="BGK27" t="s">
        <v>6984</v>
      </c>
      <c r="BGL27" t="s">
        <v>6984</v>
      </c>
      <c r="BGM27" t="s">
        <v>6984</v>
      </c>
      <c r="BGN27" t="s">
        <v>6984</v>
      </c>
      <c r="BGO27" t="s">
        <v>6984</v>
      </c>
      <c r="BGP27" t="s">
        <v>6984</v>
      </c>
      <c r="BGQ27" t="s">
        <v>6984</v>
      </c>
      <c r="BGR27" t="s">
        <v>6984</v>
      </c>
      <c r="BGS27" t="s">
        <v>6984</v>
      </c>
      <c r="BGT27" t="s">
        <v>6984</v>
      </c>
      <c r="BGU27" t="s">
        <v>6984</v>
      </c>
      <c r="BGV27" t="s">
        <v>6984</v>
      </c>
      <c r="BGW27" t="s">
        <v>6984</v>
      </c>
      <c r="BGX27" t="s">
        <v>6984</v>
      </c>
      <c r="BGY27" t="s">
        <v>6984</v>
      </c>
      <c r="BGZ27" t="s">
        <v>6984</v>
      </c>
      <c r="BHA27" t="s">
        <v>6984</v>
      </c>
      <c r="BHB27" t="s">
        <v>6984</v>
      </c>
      <c r="BHC27" t="s">
        <v>6984</v>
      </c>
      <c r="BHD27" t="s">
        <v>6984</v>
      </c>
      <c r="BHE27" t="s">
        <v>6984</v>
      </c>
      <c r="BHF27" t="s">
        <v>6984</v>
      </c>
      <c r="BHG27" t="s">
        <v>6984</v>
      </c>
      <c r="BHH27" t="s">
        <v>6984</v>
      </c>
      <c r="BHI27" t="s">
        <v>6984</v>
      </c>
      <c r="BHJ27" t="s">
        <v>6984</v>
      </c>
      <c r="BHK27" t="s">
        <v>6984</v>
      </c>
      <c r="BHL27" t="s">
        <v>6984</v>
      </c>
      <c r="BHM27" t="s">
        <v>6984</v>
      </c>
      <c r="BHN27" t="s">
        <v>6984</v>
      </c>
      <c r="BHO27" t="s">
        <v>6984</v>
      </c>
      <c r="BHP27" t="s">
        <v>6984</v>
      </c>
      <c r="BHQ27" t="s">
        <v>6984</v>
      </c>
      <c r="BHR27" t="s">
        <v>6984</v>
      </c>
      <c r="BHS27" t="s">
        <v>6984</v>
      </c>
      <c r="BHT27" t="s">
        <v>6984</v>
      </c>
      <c r="BHU27" t="s">
        <v>6984</v>
      </c>
      <c r="BHV27" t="s">
        <v>6984</v>
      </c>
      <c r="BHW27" t="s">
        <v>6984</v>
      </c>
      <c r="BHX27" t="s">
        <v>6984</v>
      </c>
      <c r="BHY27" t="s">
        <v>6984</v>
      </c>
      <c r="BHZ27" t="s">
        <v>6984</v>
      </c>
      <c r="BIA27" t="s">
        <v>6984</v>
      </c>
      <c r="BIB27" t="s">
        <v>6984</v>
      </c>
      <c r="BIC27" t="s">
        <v>6984</v>
      </c>
      <c r="BID27" t="s">
        <v>6984</v>
      </c>
      <c r="BIE27" t="s">
        <v>6984</v>
      </c>
      <c r="BIF27" t="s">
        <v>6984</v>
      </c>
      <c r="BIG27" t="s">
        <v>6984</v>
      </c>
      <c r="BIH27" t="s">
        <v>6984</v>
      </c>
      <c r="BII27" t="s">
        <v>6984</v>
      </c>
      <c r="BIJ27" t="s">
        <v>6984</v>
      </c>
      <c r="BIK27" t="s">
        <v>6984</v>
      </c>
      <c r="BIL27" t="s">
        <v>6984</v>
      </c>
      <c r="BIM27" t="s">
        <v>6984</v>
      </c>
      <c r="BIN27" t="s">
        <v>6984</v>
      </c>
      <c r="BIO27" t="s">
        <v>6984</v>
      </c>
      <c r="BIP27" t="s">
        <v>6984</v>
      </c>
      <c r="BIQ27" t="s">
        <v>6984</v>
      </c>
      <c r="BIR27" t="s">
        <v>6984</v>
      </c>
      <c r="BIS27" t="s">
        <v>6984</v>
      </c>
      <c r="BIT27" t="s">
        <v>6984</v>
      </c>
      <c r="BIU27" t="s">
        <v>6984</v>
      </c>
      <c r="BIV27" t="s">
        <v>6984</v>
      </c>
      <c r="BIW27" t="s">
        <v>6984</v>
      </c>
      <c r="BIX27" t="s">
        <v>6984</v>
      </c>
      <c r="BIY27" t="s">
        <v>6984</v>
      </c>
      <c r="BIZ27" t="s">
        <v>6984</v>
      </c>
      <c r="BJA27" t="s">
        <v>6984</v>
      </c>
      <c r="BJB27" t="s">
        <v>6984</v>
      </c>
      <c r="BJC27" t="s">
        <v>6984</v>
      </c>
      <c r="BJD27" t="s">
        <v>6984</v>
      </c>
      <c r="BJE27" t="s">
        <v>6984</v>
      </c>
      <c r="BJF27" t="s">
        <v>6984</v>
      </c>
      <c r="BJG27" t="s">
        <v>6984</v>
      </c>
      <c r="BJH27" t="s">
        <v>6984</v>
      </c>
      <c r="BJI27" t="s">
        <v>6984</v>
      </c>
      <c r="BJJ27" t="s">
        <v>6984</v>
      </c>
      <c r="BJK27" t="s">
        <v>6984</v>
      </c>
      <c r="BJL27" t="s">
        <v>6984</v>
      </c>
      <c r="BJM27" t="s">
        <v>6984</v>
      </c>
      <c r="BJN27" t="s">
        <v>6984</v>
      </c>
      <c r="BJO27" t="s">
        <v>6984</v>
      </c>
      <c r="BJP27" t="s">
        <v>6984</v>
      </c>
      <c r="BJQ27" t="s">
        <v>6984</v>
      </c>
      <c r="BJR27" t="s">
        <v>6984</v>
      </c>
      <c r="BJS27" t="s">
        <v>6984</v>
      </c>
      <c r="BJT27" t="s">
        <v>6984</v>
      </c>
      <c r="BJU27" t="s">
        <v>6984</v>
      </c>
      <c r="BJV27" t="s">
        <v>6984</v>
      </c>
      <c r="BJW27" t="s">
        <v>6984</v>
      </c>
      <c r="BJX27" t="s">
        <v>6984</v>
      </c>
      <c r="BJY27" t="s">
        <v>6984</v>
      </c>
      <c r="BJZ27" t="s">
        <v>6984</v>
      </c>
      <c r="BKA27" t="s">
        <v>6984</v>
      </c>
      <c r="BKB27" t="s">
        <v>6984</v>
      </c>
      <c r="BKC27" t="s">
        <v>6984</v>
      </c>
      <c r="BKD27" t="s">
        <v>6984</v>
      </c>
      <c r="BKE27" t="s">
        <v>6984</v>
      </c>
      <c r="BKF27" t="s">
        <v>6984</v>
      </c>
      <c r="BKG27" t="s">
        <v>6984</v>
      </c>
      <c r="BKH27" t="s">
        <v>6984</v>
      </c>
      <c r="BKI27" t="s">
        <v>6984</v>
      </c>
      <c r="BKJ27" t="s">
        <v>6984</v>
      </c>
      <c r="BKK27" t="s">
        <v>6984</v>
      </c>
      <c r="BKL27" t="s">
        <v>6984</v>
      </c>
      <c r="BKM27" t="s">
        <v>6984</v>
      </c>
      <c r="BKN27" t="s">
        <v>6984</v>
      </c>
      <c r="BKO27" t="s">
        <v>6984</v>
      </c>
      <c r="BKP27" t="s">
        <v>6984</v>
      </c>
      <c r="BKQ27" t="s">
        <v>6984</v>
      </c>
      <c r="BKR27" t="s">
        <v>6984</v>
      </c>
      <c r="BKS27" t="s">
        <v>6984</v>
      </c>
      <c r="BKT27" t="s">
        <v>6984</v>
      </c>
      <c r="BKU27" t="s">
        <v>6984</v>
      </c>
      <c r="BKV27" t="s">
        <v>6984</v>
      </c>
      <c r="BKW27" t="s">
        <v>6984</v>
      </c>
      <c r="BKX27" t="s">
        <v>6984</v>
      </c>
      <c r="BKY27" t="s">
        <v>6984</v>
      </c>
      <c r="BKZ27" t="s">
        <v>6984</v>
      </c>
      <c r="BLA27" t="s">
        <v>6984</v>
      </c>
      <c r="BLB27" t="s">
        <v>6984</v>
      </c>
      <c r="BLC27" t="s">
        <v>6984</v>
      </c>
      <c r="BLD27" t="s">
        <v>6984</v>
      </c>
      <c r="BLE27" t="s">
        <v>6984</v>
      </c>
      <c r="BLF27" t="s">
        <v>6984</v>
      </c>
      <c r="BLG27" t="s">
        <v>6984</v>
      </c>
      <c r="BLH27" t="s">
        <v>6984</v>
      </c>
      <c r="BLI27" t="s">
        <v>6984</v>
      </c>
      <c r="BLJ27" t="s">
        <v>6984</v>
      </c>
      <c r="BLK27" t="s">
        <v>6984</v>
      </c>
      <c r="BLL27" t="s">
        <v>6984</v>
      </c>
      <c r="BLM27" t="s">
        <v>6984</v>
      </c>
      <c r="BLN27" t="s">
        <v>6984</v>
      </c>
      <c r="BLO27" t="s">
        <v>6984</v>
      </c>
      <c r="BLP27" t="s">
        <v>6984</v>
      </c>
      <c r="BLQ27" t="s">
        <v>6984</v>
      </c>
      <c r="BLR27" t="s">
        <v>6984</v>
      </c>
      <c r="BLS27" t="s">
        <v>6984</v>
      </c>
      <c r="BLT27" t="s">
        <v>6984</v>
      </c>
      <c r="BLU27" t="s">
        <v>6984</v>
      </c>
      <c r="BLV27" t="s">
        <v>6984</v>
      </c>
      <c r="BLW27" t="s">
        <v>6984</v>
      </c>
      <c r="BLX27" t="s">
        <v>6984</v>
      </c>
      <c r="BLY27" t="s">
        <v>6984</v>
      </c>
      <c r="BLZ27" t="s">
        <v>6984</v>
      </c>
      <c r="BMA27" t="s">
        <v>6984</v>
      </c>
      <c r="BMB27" t="s">
        <v>6984</v>
      </c>
      <c r="BMC27" t="s">
        <v>6984</v>
      </c>
      <c r="BMD27" t="s">
        <v>6984</v>
      </c>
      <c r="BME27" t="s">
        <v>6984</v>
      </c>
      <c r="BMF27" t="s">
        <v>6984</v>
      </c>
      <c r="BMG27" t="s">
        <v>6984</v>
      </c>
      <c r="BMH27" t="s">
        <v>6984</v>
      </c>
      <c r="BMI27" t="s">
        <v>6984</v>
      </c>
      <c r="BMJ27" t="s">
        <v>6984</v>
      </c>
      <c r="BMK27" t="s">
        <v>6984</v>
      </c>
      <c r="BML27" t="s">
        <v>6984</v>
      </c>
      <c r="BMM27" t="s">
        <v>6984</v>
      </c>
      <c r="BMN27" t="s">
        <v>6984</v>
      </c>
      <c r="BMO27" t="s">
        <v>6984</v>
      </c>
      <c r="BMP27" t="s">
        <v>6984</v>
      </c>
      <c r="BMQ27" t="s">
        <v>6984</v>
      </c>
      <c r="BMR27" t="s">
        <v>6984</v>
      </c>
      <c r="BMS27" t="s">
        <v>6984</v>
      </c>
      <c r="BMT27" t="s">
        <v>6984</v>
      </c>
      <c r="BMU27" t="s">
        <v>6984</v>
      </c>
      <c r="BMV27" t="s">
        <v>6984</v>
      </c>
      <c r="BMW27" t="s">
        <v>6984</v>
      </c>
      <c r="BMX27" t="s">
        <v>6984</v>
      </c>
      <c r="BMY27" t="s">
        <v>6984</v>
      </c>
      <c r="BMZ27" t="s">
        <v>6984</v>
      </c>
      <c r="BNA27" t="s">
        <v>6984</v>
      </c>
      <c r="BNB27" t="s">
        <v>6984</v>
      </c>
      <c r="BNC27" t="s">
        <v>6984</v>
      </c>
      <c r="BND27" t="s">
        <v>6984</v>
      </c>
      <c r="BNE27" t="s">
        <v>6984</v>
      </c>
      <c r="BNF27" t="s">
        <v>6984</v>
      </c>
      <c r="BNG27" t="s">
        <v>6984</v>
      </c>
      <c r="BNH27" t="s">
        <v>6984</v>
      </c>
      <c r="BNI27" t="s">
        <v>6984</v>
      </c>
      <c r="BNJ27" t="s">
        <v>6984</v>
      </c>
      <c r="BNK27" t="s">
        <v>6984</v>
      </c>
      <c r="BNL27" t="s">
        <v>6984</v>
      </c>
      <c r="BNM27" t="s">
        <v>6984</v>
      </c>
      <c r="BNN27" t="s">
        <v>6984</v>
      </c>
      <c r="BNO27" t="s">
        <v>6984</v>
      </c>
      <c r="BNP27" t="s">
        <v>6984</v>
      </c>
      <c r="BNQ27" t="s">
        <v>6984</v>
      </c>
      <c r="BNR27" t="s">
        <v>6984</v>
      </c>
      <c r="BNS27" t="s">
        <v>6984</v>
      </c>
      <c r="BNT27" t="s">
        <v>6984</v>
      </c>
      <c r="BNU27" t="s">
        <v>6984</v>
      </c>
      <c r="BNV27" t="s">
        <v>6984</v>
      </c>
      <c r="BNW27" t="s">
        <v>6984</v>
      </c>
      <c r="BNX27" t="s">
        <v>6984</v>
      </c>
      <c r="BNY27" t="s">
        <v>6984</v>
      </c>
      <c r="BNZ27" t="s">
        <v>6984</v>
      </c>
      <c r="BOA27" t="s">
        <v>6984</v>
      </c>
      <c r="BOB27" t="s">
        <v>6984</v>
      </c>
      <c r="BOC27" t="s">
        <v>6984</v>
      </c>
      <c r="BOD27" t="s">
        <v>6984</v>
      </c>
      <c r="BOE27" t="s">
        <v>6984</v>
      </c>
      <c r="BOF27" t="s">
        <v>6984</v>
      </c>
      <c r="BOG27" t="s">
        <v>6984</v>
      </c>
      <c r="BOH27" t="s">
        <v>6984</v>
      </c>
      <c r="BOI27" t="s">
        <v>6984</v>
      </c>
      <c r="BOJ27" t="s">
        <v>6984</v>
      </c>
      <c r="BOK27" t="s">
        <v>6984</v>
      </c>
      <c r="BOL27" t="s">
        <v>6984</v>
      </c>
      <c r="BOM27" t="s">
        <v>6984</v>
      </c>
      <c r="BON27" t="s">
        <v>6984</v>
      </c>
      <c r="BOO27" t="s">
        <v>6984</v>
      </c>
      <c r="BOP27" t="s">
        <v>6984</v>
      </c>
      <c r="BOQ27" t="s">
        <v>6984</v>
      </c>
      <c r="BOR27" t="s">
        <v>6984</v>
      </c>
      <c r="BOS27" t="s">
        <v>6984</v>
      </c>
      <c r="BOT27" t="s">
        <v>6984</v>
      </c>
      <c r="BOU27" t="s">
        <v>6984</v>
      </c>
      <c r="BOV27" t="s">
        <v>6984</v>
      </c>
      <c r="BOW27" t="s">
        <v>6984</v>
      </c>
      <c r="BOX27" t="s">
        <v>6984</v>
      </c>
      <c r="BOY27" t="s">
        <v>6984</v>
      </c>
      <c r="BOZ27" t="s">
        <v>6984</v>
      </c>
      <c r="BPA27" t="s">
        <v>6984</v>
      </c>
      <c r="BPB27" t="s">
        <v>6984</v>
      </c>
      <c r="BPC27" t="s">
        <v>6984</v>
      </c>
      <c r="BPD27" t="s">
        <v>6984</v>
      </c>
      <c r="BPE27" t="s">
        <v>6984</v>
      </c>
      <c r="BPF27" t="s">
        <v>6984</v>
      </c>
      <c r="BPG27" t="s">
        <v>6984</v>
      </c>
      <c r="BPH27" t="s">
        <v>6984</v>
      </c>
      <c r="BPI27" t="s">
        <v>6984</v>
      </c>
      <c r="BPJ27" t="s">
        <v>6984</v>
      </c>
      <c r="BPK27" t="s">
        <v>6984</v>
      </c>
      <c r="BPL27" t="s">
        <v>6984</v>
      </c>
      <c r="BPM27" t="s">
        <v>6984</v>
      </c>
      <c r="BPN27" t="s">
        <v>6984</v>
      </c>
      <c r="BPO27" t="s">
        <v>6984</v>
      </c>
      <c r="BPP27" t="s">
        <v>6984</v>
      </c>
      <c r="BPQ27" t="s">
        <v>6984</v>
      </c>
      <c r="BPR27" t="s">
        <v>6984</v>
      </c>
      <c r="BPS27" t="s">
        <v>6984</v>
      </c>
      <c r="BPT27" t="s">
        <v>6984</v>
      </c>
      <c r="BPU27" t="s">
        <v>6984</v>
      </c>
      <c r="BPV27" t="s">
        <v>6984</v>
      </c>
      <c r="BPW27" t="s">
        <v>6984</v>
      </c>
      <c r="BPX27" t="s">
        <v>6984</v>
      </c>
      <c r="BPY27" t="s">
        <v>6984</v>
      </c>
      <c r="BPZ27" t="s">
        <v>6984</v>
      </c>
      <c r="BQA27" t="s">
        <v>6984</v>
      </c>
      <c r="BQB27" t="s">
        <v>6984</v>
      </c>
      <c r="BQC27" t="s">
        <v>6984</v>
      </c>
      <c r="BQD27" t="s">
        <v>6984</v>
      </c>
      <c r="BQE27" t="s">
        <v>6984</v>
      </c>
      <c r="BQF27" t="s">
        <v>6984</v>
      </c>
      <c r="BQG27" t="s">
        <v>6984</v>
      </c>
      <c r="BQH27" t="s">
        <v>6984</v>
      </c>
      <c r="BQI27" t="s">
        <v>6984</v>
      </c>
      <c r="BQJ27" t="s">
        <v>6984</v>
      </c>
      <c r="BQK27" t="s">
        <v>6984</v>
      </c>
      <c r="BQL27" t="s">
        <v>6984</v>
      </c>
      <c r="BQM27" t="s">
        <v>6984</v>
      </c>
      <c r="BQN27" t="s">
        <v>6984</v>
      </c>
      <c r="BQO27" t="s">
        <v>6984</v>
      </c>
      <c r="BQP27" t="s">
        <v>6984</v>
      </c>
      <c r="BQQ27" t="s">
        <v>6984</v>
      </c>
      <c r="BQR27" t="s">
        <v>6984</v>
      </c>
      <c r="BQS27" t="s">
        <v>6984</v>
      </c>
      <c r="BQT27" t="s">
        <v>6984</v>
      </c>
      <c r="BQU27" t="s">
        <v>6984</v>
      </c>
      <c r="BQV27" t="s">
        <v>6984</v>
      </c>
      <c r="BQW27" t="s">
        <v>6984</v>
      </c>
      <c r="BQX27" t="s">
        <v>6984</v>
      </c>
      <c r="BQY27" t="s">
        <v>6984</v>
      </c>
      <c r="BQZ27" t="s">
        <v>6984</v>
      </c>
      <c r="BRA27" t="s">
        <v>6984</v>
      </c>
      <c r="BRB27" t="s">
        <v>6984</v>
      </c>
      <c r="BRC27" t="s">
        <v>6984</v>
      </c>
      <c r="BRD27" t="s">
        <v>6984</v>
      </c>
      <c r="BRE27" t="s">
        <v>6984</v>
      </c>
      <c r="BRF27" t="s">
        <v>6984</v>
      </c>
      <c r="BRG27" t="s">
        <v>6984</v>
      </c>
      <c r="BRH27" t="s">
        <v>6984</v>
      </c>
      <c r="BRI27" t="s">
        <v>6984</v>
      </c>
      <c r="BRJ27" t="s">
        <v>6984</v>
      </c>
      <c r="BRK27" t="s">
        <v>6984</v>
      </c>
      <c r="BRL27" t="s">
        <v>6984</v>
      </c>
      <c r="BRM27" t="s">
        <v>6984</v>
      </c>
      <c r="BRN27" t="s">
        <v>6984</v>
      </c>
      <c r="BRO27" t="s">
        <v>6984</v>
      </c>
      <c r="BRP27" t="s">
        <v>6984</v>
      </c>
      <c r="BRQ27" t="s">
        <v>6984</v>
      </c>
      <c r="BRR27" t="s">
        <v>6984</v>
      </c>
      <c r="BRS27" t="s">
        <v>6984</v>
      </c>
      <c r="BRT27" t="s">
        <v>6984</v>
      </c>
      <c r="BRU27" t="s">
        <v>6984</v>
      </c>
      <c r="BRV27" t="s">
        <v>6984</v>
      </c>
      <c r="BRW27" t="s">
        <v>6984</v>
      </c>
      <c r="BRX27" t="s">
        <v>6984</v>
      </c>
      <c r="BRY27" t="s">
        <v>6984</v>
      </c>
      <c r="BRZ27" t="s">
        <v>6984</v>
      </c>
      <c r="BSA27" t="s">
        <v>6984</v>
      </c>
      <c r="BSB27" t="s">
        <v>6984</v>
      </c>
      <c r="BSC27" t="s">
        <v>6984</v>
      </c>
      <c r="BSD27" t="s">
        <v>6984</v>
      </c>
      <c r="BSE27" t="s">
        <v>6984</v>
      </c>
      <c r="BSF27" t="s">
        <v>6984</v>
      </c>
      <c r="BSG27" t="s">
        <v>6984</v>
      </c>
      <c r="BSH27" t="s">
        <v>6984</v>
      </c>
      <c r="BSI27" t="s">
        <v>6984</v>
      </c>
      <c r="BSJ27" t="s">
        <v>6984</v>
      </c>
      <c r="BSK27" t="s">
        <v>6984</v>
      </c>
      <c r="BSL27" t="s">
        <v>6984</v>
      </c>
      <c r="BSM27" t="s">
        <v>6984</v>
      </c>
      <c r="BSN27" t="s">
        <v>6984</v>
      </c>
      <c r="BSO27" t="s">
        <v>6984</v>
      </c>
      <c r="BSP27" t="s">
        <v>6984</v>
      </c>
      <c r="BSQ27" t="s">
        <v>6984</v>
      </c>
      <c r="BSR27" t="s">
        <v>6984</v>
      </c>
      <c r="BSS27" t="s">
        <v>6984</v>
      </c>
      <c r="BST27" t="s">
        <v>6984</v>
      </c>
      <c r="BSU27" t="s">
        <v>6984</v>
      </c>
      <c r="BSV27" t="s">
        <v>6984</v>
      </c>
      <c r="BSW27" t="s">
        <v>6984</v>
      </c>
      <c r="BSX27" t="s">
        <v>6984</v>
      </c>
      <c r="BSY27" t="s">
        <v>6984</v>
      </c>
      <c r="BSZ27" t="s">
        <v>6984</v>
      </c>
      <c r="BTA27" t="s">
        <v>6984</v>
      </c>
      <c r="BTB27" t="s">
        <v>6984</v>
      </c>
      <c r="BTC27" t="s">
        <v>6984</v>
      </c>
      <c r="BTD27" t="s">
        <v>6984</v>
      </c>
      <c r="BTE27" t="s">
        <v>6984</v>
      </c>
      <c r="BTF27" t="s">
        <v>6984</v>
      </c>
      <c r="BTG27" t="s">
        <v>6984</v>
      </c>
      <c r="BTH27" t="s">
        <v>6984</v>
      </c>
      <c r="BTI27" t="s">
        <v>6984</v>
      </c>
      <c r="BTJ27" t="s">
        <v>6984</v>
      </c>
      <c r="BTK27" t="s">
        <v>6984</v>
      </c>
      <c r="BTL27" t="s">
        <v>6984</v>
      </c>
      <c r="BTM27" t="s">
        <v>6984</v>
      </c>
      <c r="BTN27" t="s">
        <v>6984</v>
      </c>
      <c r="BTO27" t="s">
        <v>6984</v>
      </c>
      <c r="BTP27" t="s">
        <v>6984</v>
      </c>
      <c r="BTQ27" t="s">
        <v>6984</v>
      </c>
      <c r="BTR27" t="s">
        <v>6984</v>
      </c>
      <c r="BTS27" t="s">
        <v>6984</v>
      </c>
      <c r="BTT27" t="s">
        <v>6984</v>
      </c>
      <c r="BTU27" t="s">
        <v>6984</v>
      </c>
      <c r="BTV27" t="s">
        <v>6984</v>
      </c>
      <c r="BTW27" t="s">
        <v>6984</v>
      </c>
      <c r="BTX27" t="s">
        <v>6984</v>
      </c>
      <c r="BTY27" t="s">
        <v>6984</v>
      </c>
      <c r="BTZ27" t="s">
        <v>6984</v>
      </c>
      <c r="BUA27" t="s">
        <v>6984</v>
      </c>
      <c r="BUB27" t="s">
        <v>6984</v>
      </c>
      <c r="BUC27" t="s">
        <v>6984</v>
      </c>
      <c r="BUD27" t="s">
        <v>6984</v>
      </c>
      <c r="BUE27" t="s">
        <v>6984</v>
      </c>
      <c r="BUF27" t="s">
        <v>6984</v>
      </c>
      <c r="BUG27" t="s">
        <v>6984</v>
      </c>
      <c r="BUH27" t="s">
        <v>6984</v>
      </c>
      <c r="BUI27" t="s">
        <v>6984</v>
      </c>
      <c r="BUJ27" t="s">
        <v>6984</v>
      </c>
      <c r="BUK27" t="s">
        <v>6984</v>
      </c>
      <c r="BUL27" t="s">
        <v>6984</v>
      </c>
      <c r="BUM27" t="s">
        <v>6984</v>
      </c>
      <c r="BUN27" t="s">
        <v>6984</v>
      </c>
      <c r="BUO27" t="s">
        <v>6984</v>
      </c>
      <c r="BUP27" t="s">
        <v>6984</v>
      </c>
      <c r="BUQ27" t="s">
        <v>6984</v>
      </c>
      <c r="BUR27" t="s">
        <v>6984</v>
      </c>
      <c r="BUS27" t="s">
        <v>6984</v>
      </c>
      <c r="BUT27" t="s">
        <v>6984</v>
      </c>
      <c r="BUU27" t="s">
        <v>6984</v>
      </c>
      <c r="BUV27" t="s">
        <v>6984</v>
      </c>
      <c r="BUW27" t="s">
        <v>6984</v>
      </c>
      <c r="BUX27" t="s">
        <v>6984</v>
      </c>
      <c r="BUY27" t="s">
        <v>6984</v>
      </c>
      <c r="BUZ27" t="s">
        <v>6984</v>
      </c>
      <c r="BVA27" t="s">
        <v>6984</v>
      </c>
      <c r="BVB27" t="s">
        <v>6984</v>
      </c>
      <c r="BVC27" t="s">
        <v>6984</v>
      </c>
      <c r="BVD27" t="s">
        <v>6984</v>
      </c>
      <c r="BVE27" t="s">
        <v>6984</v>
      </c>
      <c r="BVF27" t="s">
        <v>6984</v>
      </c>
      <c r="BVG27" t="s">
        <v>6984</v>
      </c>
      <c r="BVH27" t="s">
        <v>6984</v>
      </c>
      <c r="BVI27" t="s">
        <v>6984</v>
      </c>
      <c r="BVJ27" t="s">
        <v>6984</v>
      </c>
      <c r="BVK27" t="s">
        <v>6984</v>
      </c>
      <c r="BVL27" t="s">
        <v>6984</v>
      </c>
      <c r="BVM27" t="s">
        <v>6984</v>
      </c>
      <c r="BVN27" t="s">
        <v>6984</v>
      </c>
      <c r="BVO27" t="s">
        <v>6984</v>
      </c>
      <c r="BVP27" t="s">
        <v>6984</v>
      </c>
      <c r="BVQ27" t="s">
        <v>6984</v>
      </c>
      <c r="BVR27" t="s">
        <v>6984</v>
      </c>
      <c r="BVS27" t="s">
        <v>6984</v>
      </c>
      <c r="BVT27" t="s">
        <v>6984</v>
      </c>
      <c r="BVU27" t="s">
        <v>6984</v>
      </c>
      <c r="BVV27" t="s">
        <v>6984</v>
      </c>
      <c r="BVW27" t="s">
        <v>6984</v>
      </c>
      <c r="BVX27" t="s">
        <v>6984</v>
      </c>
      <c r="BVY27" t="s">
        <v>6984</v>
      </c>
      <c r="BVZ27" t="s">
        <v>6984</v>
      </c>
      <c r="BWA27" t="s">
        <v>6984</v>
      </c>
      <c r="BWB27" t="s">
        <v>6984</v>
      </c>
      <c r="BWC27" t="s">
        <v>6984</v>
      </c>
      <c r="BWD27" t="s">
        <v>6984</v>
      </c>
      <c r="BWE27" t="s">
        <v>6984</v>
      </c>
      <c r="BWF27" t="s">
        <v>6984</v>
      </c>
      <c r="BWG27" t="s">
        <v>6984</v>
      </c>
      <c r="BWH27" t="s">
        <v>6984</v>
      </c>
      <c r="BWI27" t="s">
        <v>6984</v>
      </c>
      <c r="BWJ27" t="s">
        <v>6984</v>
      </c>
      <c r="BWK27" t="s">
        <v>6984</v>
      </c>
      <c r="BWL27" t="s">
        <v>6984</v>
      </c>
      <c r="BWM27" t="s">
        <v>6984</v>
      </c>
      <c r="BWN27" t="s">
        <v>6984</v>
      </c>
      <c r="BWO27" t="s">
        <v>6984</v>
      </c>
      <c r="BWP27" t="s">
        <v>6984</v>
      </c>
      <c r="BWQ27" t="s">
        <v>6984</v>
      </c>
      <c r="BWR27" t="s">
        <v>6984</v>
      </c>
      <c r="BWS27" t="s">
        <v>6984</v>
      </c>
      <c r="BWT27" t="s">
        <v>6984</v>
      </c>
      <c r="BWU27" t="s">
        <v>6984</v>
      </c>
      <c r="BWV27" t="s">
        <v>6984</v>
      </c>
      <c r="BWW27" t="s">
        <v>6984</v>
      </c>
      <c r="BWX27" t="s">
        <v>6984</v>
      </c>
      <c r="BWY27" t="s">
        <v>6984</v>
      </c>
      <c r="BWZ27" t="s">
        <v>6984</v>
      </c>
      <c r="BXA27" t="s">
        <v>6984</v>
      </c>
      <c r="BXB27" t="s">
        <v>6984</v>
      </c>
      <c r="BXC27" t="s">
        <v>6984</v>
      </c>
      <c r="BXD27" t="s">
        <v>6984</v>
      </c>
      <c r="BXE27" t="s">
        <v>6984</v>
      </c>
      <c r="BXF27" t="s">
        <v>6984</v>
      </c>
      <c r="BXG27" t="s">
        <v>6984</v>
      </c>
      <c r="BXH27" t="s">
        <v>6984</v>
      </c>
      <c r="BXI27" t="s">
        <v>6984</v>
      </c>
      <c r="BXJ27" t="s">
        <v>6984</v>
      </c>
      <c r="BXK27" t="s">
        <v>6984</v>
      </c>
      <c r="BXL27" t="s">
        <v>6984</v>
      </c>
      <c r="BXM27" t="s">
        <v>6984</v>
      </c>
      <c r="BXN27" t="s">
        <v>6984</v>
      </c>
      <c r="BXO27" t="s">
        <v>6984</v>
      </c>
      <c r="BXP27" t="s">
        <v>6984</v>
      </c>
      <c r="BXQ27" t="s">
        <v>6984</v>
      </c>
      <c r="BXR27" t="s">
        <v>6984</v>
      </c>
      <c r="BXS27" t="s">
        <v>6984</v>
      </c>
      <c r="BXT27" t="s">
        <v>6984</v>
      </c>
      <c r="BXU27" t="s">
        <v>6984</v>
      </c>
      <c r="BXV27" t="s">
        <v>6984</v>
      </c>
      <c r="BXW27" t="s">
        <v>6984</v>
      </c>
      <c r="BXX27" t="s">
        <v>6984</v>
      </c>
      <c r="BXY27" t="s">
        <v>6984</v>
      </c>
      <c r="BXZ27" t="s">
        <v>6984</v>
      </c>
      <c r="BYA27" t="s">
        <v>6984</v>
      </c>
      <c r="BYB27" t="s">
        <v>6984</v>
      </c>
      <c r="BYC27" t="s">
        <v>6984</v>
      </c>
      <c r="BYD27" t="s">
        <v>6984</v>
      </c>
      <c r="BYE27" t="s">
        <v>6984</v>
      </c>
      <c r="BYF27" t="s">
        <v>6984</v>
      </c>
      <c r="BYG27" t="s">
        <v>6984</v>
      </c>
      <c r="BYH27" t="s">
        <v>6984</v>
      </c>
      <c r="BYI27" t="s">
        <v>6984</v>
      </c>
      <c r="BYJ27" t="s">
        <v>6984</v>
      </c>
      <c r="BYK27" t="s">
        <v>6984</v>
      </c>
      <c r="BYL27" t="s">
        <v>6984</v>
      </c>
      <c r="BYM27" t="s">
        <v>6984</v>
      </c>
      <c r="BYN27" t="s">
        <v>6984</v>
      </c>
      <c r="BYO27" t="s">
        <v>6984</v>
      </c>
      <c r="BYP27" t="s">
        <v>6984</v>
      </c>
      <c r="BYQ27" t="s">
        <v>6984</v>
      </c>
      <c r="BYR27" t="s">
        <v>6984</v>
      </c>
      <c r="BYS27" t="s">
        <v>6984</v>
      </c>
      <c r="BYT27" t="s">
        <v>6984</v>
      </c>
      <c r="BYU27" t="s">
        <v>6984</v>
      </c>
      <c r="BYV27" t="s">
        <v>6984</v>
      </c>
      <c r="BYW27" t="s">
        <v>6984</v>
      </c>
      <c r="BYX27" t="s">
        <v>6984</v>
      </c>
      <c r="BYY27" t="s">
        <v>6984</v>
      </c>
      <c r="BYZ27" t="s">
        <v>6984</v>
      </c>
      <c r="BZA27" t="s">
        <v>6984</v>
      </c>
      <c r="BZB27" t="s">
        <v>6984</v>
      </c>
      <c r="BZC27" t="s">
        <v>6984</v>
      </c>
      <c r="BZD27" t="s">
        <v>6984</v>
      </c>
      <c r="BZE27" t="s">
        <v>6984</v>
      </c>
      <c r="BZF27" t="s">
        <v>6984</v>
      </c>
      <c r="BZG27" t="s">
        <v>6984</v>
      </c>
      <c r="BZH27" t="s">
        <v>6984</v>
      </c>
      <c r="BZI27" t="s">
        <v>6984</v>
      </c>
      <c r="BZJ27" t="s">
        <v>6984</v>
      </c>
      <c r="BZK27" t="s">
        <v>6984</v>
      </c>
      <c r="BZL27" t="s">
        <v>6984</v>
      </c>
      <c r="BZM27" t="s">
        <v>6984</v>
      </c>
      <c r="BZN27" t="s">
        <v>6984</v>
      </c>
      <c r="BZO27" t="s">
        <v>6984</v>
      </c>
      <c r="BZP27" t="s">
        <v>6984</v>
      </c>
      <c r="BZQ27" t="s">
        <v>6984</v>
      </c>
      <c r="BZR27" t="s">
        <v>6984</v>
      </c>
      <c r="BZS27" t="s">
        <v>6984</v>
      </c>
      <c r="BZT27" t="s">
        <v>6984</v>
      </c>
      <c r="BZU27" t="s">
        <v>6984</v>
      </c>
      <c r="BZV27" t="s">
        <v>6984</v>
      </c>
      <c r="BZW27" t="s">
        <v>6984</v>
      </c>
      <c r="BZX27" t="s">
        <v>6984</v>
      </c>
      <c r="BZY27" t="s">
        <v>6984</v>
      </c>
      <c r="BZZ27" t="s">
        <v>6984</v>
      </c>
      <c r="CAA27" t="s">
        <v>6984</v>
      </c>
      <c r="CAB27" t="s">
        <v>6984</v>
      </c>
      <c r="CAC27" t="s">
        <v>6984</v>
      </c>
      <c r="CAD27" t="s">
        <v>6984</v>
      </c>
      <c r="CAE27" t="s">
        <v>6984</v>
      </c>
      <c r="CAF27" t="s">
        <v>6984</v>
      </c>
      <c r="CAG27" t="s">
        <v>6984</v>
      </c>
      <c r="CAH27" t="s">
        <v>6984</v>
      </c>
      <c r="CAI27" t="s">
        <v>6984</v>
      </c>
      <c r="CAJ27" t="s">
        <v>6984</v>
      </c>
      <c r="CAK27" t="s">
        <v>6984</v>
      </c>
      <c r="CAL27" t="s">
        <v>6984</v>
      </c>
      <c r="CAM27" t="s">
        <v>6984</v>
      </c>
      <c r="CAN27" t="s">
        <v>6984</v>
      </c>
      <c r="CAO27" t="s">
        <v>6984</v>
      </c>
      <c r="CAP27" t="s">
        <v>6984</v>
      </c>
      <c r="CAQ27" t="s">
        <v>6984</v>
      </c>
      <c r="CAR27" t="s">
        <v>6984</v>
      </c>
      <c r="CAS27" t="s">
        <v>6984</v>
      </c>
      <c r="CAT27" t="s">
        <v>6984</v>
      </c>
      <c r="CAU27" t="s">
        <v>6984</v>
      </c>
      <c r="CAV27" t="s">
        <v>6984</v>
      </c>
      <c r="CAW27" t="s">
        <v>6984</v>
      </c>
      <c r="CAX27" t="s">
        <v>6984</v>
      </c>
      <c r="CAY27" t="s">
        <v>6984</v>
      </c>
      <c r="CAZ27" t="s">
        <v>6984</v>
      </c>
      <c r="CBA27" t="s">
        <v>6984</v>
      </c>
      <c r="CBB27" t="s">
        <v>6984</v>
      </c>
      <c r="CBC27" t="s">
        <v>6984</v>
      </c>
      <c r="CBD27" t="s">
        <v>6984</v>
      </c>
      <c r="CBE27" t="s">
        <v>6984</v>
      </c>
      <c r="CBF27" t="s">
        <v>6984</v>
      </c>
      <c r="CBG27" t="s">
        <v>6984</v>
      </c>
      <c r="CBH27" t="s">
        <v>6984</v>
      </c>
      <c r="CBI27" t="s">
        <v>6984</v>
      </c>
      <c r="CBJ27" t="s">
        <v>6984</v>
      </c>
      <c r="CBK27" t="s">
        <v>6984</v>
      </c>
      <c r="CBL27" t="s">
        <v>6984</v>
      </c>
      <c r="CBM27" t="s">
        <v>6984</v>
      </c>
      <c r="CBN27" t="s">
        <v>6984</v>
      </c>
      <c r="CBO27" t="s">
        <v>6984</v>
      </c>
      <c r="CBP27" t="s">
        <v>6984</v>
      </c>
      <c r="CBQ27" t="s">
        <v>6984</v>
      </c>
      <c r="CBR27" t="s">
        <v>6984</v>
      </c>
      <c r="CBS27" t="s">
        <v>6984</v>
      </c>
      <c r="CBT27" t="s">
        <v>6984</v>
      </c>
      <c r="CBU27" t="s">
        <v>6984</v>
      </c>
      <c r="CBV27" t="s">
        <v>6984</v>
      </c>
      <c r="CBW27" t="s">
        <v>6984</v>
      </c>
      <c r="CBX27" t="s">
        <v>6984</v>
      </c>
      <c r="CBY27" t="s">
        <v>6984</v>
      </c>
      <c r="CBZ27" t="s">
        <v>6984</v>
      </c>
      <c r="CCA27" t="s">
        <v>6984</v>
      </c>
      <c r="CCB27" t="s">
        <v>6984</v>
      </c>
      <c r="CCC27" t="s">
        <v>6984</v>
      </c>
      <c r="CCD27" t="s">
        <v>6984</v>
      </c>
      <c r="CCE27" t="s">
        <v>6984</v>
      </c>
      <c r="CCF27" t="s">
        <v>6984</v>
      </c>
      <c r="CCG27" t="s">
        <v>6984</v>
      </c>
      <c r="CCH27" t="s">
        <v>6984</v>
      </c>
      <c r="CCI27" t="s">
        <v>6984</v>
      </c>
      <c r="CCJ27" t="s">
        <v>6984</v>
      </c>
      <c r="CCK27" t="s">
        <v>6984</v>
      </c>
      <c r="CCL27" t="s">
        <v>6984</v>
      </c>
      <c r="CCM27" t="s">
        <v>6984</v>
      </c>
      <c r="CCN27" t="s">
        <v>6984</v>
      </c>
      <c r="CCO27" t="s">
        <v>6984</v>
      </c>
      <c r="CCP27" t="s">
        <v>6984</v>
      </c>
      <c r="CCQ27" t="s">
        <v>6984</v>
      </c>
      <c r="CCR27" t="s">
        <v>6984</v>
      </c>
      <c r="CCS27" t="s">
        <v>6984</v>
      </c>
      <c r="CCT27" t="s">
        <v>6984</v>
      </c>
      <c r="CCU27" t="s">
        <v>6984</v>
      </c>
      <c r="CCV27" t="s">
        <v>6984</v>
      </c>
      <c r="CCW27" t="s">
        <v>6984</v>
      </c>
      <c r="CCX27" t="s">
        <v>6984</v>
      </c>
      <c r="CCY27" t="s">
        <v>6984</v>
      </c>
      <c r="CCZ27" t="s">
        <v>6984</v>
      </c>
      <c r="CDA27" t="s">
        <v>6984</v>
      </c>
      <c r="CDB27" t="s">
        <v>6984</v>
      </c>
      <c r="CDC27" t="s">
        <v>6984</v>
      </c>
      <c r="CDD27" t="s">
        <v>6984</v>
      </c>
      <c r="CDE27" t="s">
        <v>6984</v>
      </c>
      <c r="CDF27" t="s">
        <v>6984</v>
      </c>
      <c r="CDG27" t="s">
        <v>6984</v>
      </c>
      <c r="CDH27" t="s">
        <v>6984</v>
      </c>
      <c r="CDI27" t="s">
        <v>6984</v>
      </c>
      <c r="CDJ27" t="s">
        <v>6984</v>
      </c>
      <c r="CDK27" t="s">
        <v>6984</v>
      </c>
      <c r="CDL27" t="s">
        <v>6984</v>
      </c>
      <c r="CDM27" t="s">
        <v>6984</v>
      </c>
      <c r="CDN27" t="s">
        <v>6984</v>
      </c>
      <c r="CDO27" t="s">
        <v>6984</v>
      </c>
      <c r="CDP27" t="s">
        <v>6984</v>
      </c>
      <c r="CDQ27" t="s">
        <v>6984</v>
      </c>
      <c r="CDR27" t="s">
        <v>6984</v>
      </c>
      <c r="CDS27" t="s">
        <v>6984</v>
      </c>
      <c r="CDT27" t="s">
        <v>6984</v>
      </c>
      <c r="CDU27" t="s">
        <v>6984</v>
      </c>
      <c r="CDV27" t="s">
        <v>6984</v>
      </c>
      <c r="CDW27" t="s">
        <v>6984</v>
      </c>
      <c r="CDX27" t="s">
        <v>6984</v>
      </c>
      <c r="CDY27" t="s">
        <v>6984</v>
      </c>
      <c r="CDZ27" t="s">
        <v>6984</v>
      </c>
      <c r="CEA27" t="s">
        <v>6984</v>
      </c>
      <c r="CEB27" t="s">
        <v>6984</v>
      </c>
      <c r="CEC27" t="s">
        <v>6984</v>
      </c>
      <c r="CED27" t="s">
        <v>6984</v>
      </c>
      <c r="CEE27" t="s">
        <v>6984</v>
      </c>
      <c r="CEF27" t="s">
        <v>6984</v>
      </c>
      <c r="CEG27" t="s">
        <v>6984</v>
      </c>
      <c r="CEH27" t="s">
        <v>6984</v>
      </c>
      <c r="CEI27" t="s">
        <v>6984</v>
      </c>
      <c r="CEJ27" t="s">
        <v>6984</v>
      </c>
      <c r="CEK27" t="s">
        <v>6984</v>
      </c>
      <c r="CEL27" t="s">
        <v>6984</v>
      </c>
      <c r="CEM27" t="s">
        <v>6984</v>
      </c>
      <c r="CEN27" t="s">
        <v>6984</v>
      </c>
      <c r="CEO27" t="s">
        <v>6984</v>
      </c>
      <c r="CEP27" t="s">
        <v>6984</v>
      </c>
      <c r="CEQ27" t="s">
        <v>6984</v>
      </c>
      <c r="CER27" t="s">
        <v>6984</v>
      </c>
      <c r="CES27" t="s">
        <v>6984</v>
      </c>
      <c r="CET27" t="s">
        <v>6984</v>
      </c>
      <c r="CEU27" t="s">
        <v>6984</v>
      </c>
      <c r="CEV27" t="s">
        <v>6984</v>
      </c>
      <c r="CEW27" t="s">
        <v>6984</v>
      </c>
      <c r="CEX27" t="s">
        <v>6984</v>
      </c>
      <c r="CEY27" t="s">
        <v>6984</v>
      </c>
      <c r="CEZ27" t="s">
        <v>6984</v>
      </c>
      <c r="CFA27" t="s">
        <v>6984</v>
      </c>
      <c r="CFB27" t="s">
        <v>6984</v>
      </c>
      <c r="CFC27" t="s">
        <v>6984</v>
      </c>
      <c r="CFD27" t="s">
        <v>6984</v>
      </c>
      <c r="CFE27" t="s">
        <v>6984</v>
      </c>
      <c r="CFF27" t="s">
        <v>6984</v>
      </c>
      <c r="CFG27" t="s">
        <v>6984</v>
      </c>
      <c r="CFH27" t="s">
        <v>6984</v>
      </c>
      <c r="CFI27" t="s">
        <v>6984</v>
      </c>
      <c r="CFJ27" t="s">
        <v>6984</v>
      </c>
      <c r="CFK27" t="s">
        <v>6984</v>
      </c>
      <c r="CFL27" t="s">
        <v>6984</v>
      </c>
      <c r="CFM27" t="s">
        <v>6984</v>
      </c>
      <c r="CFN27" t="s">
        <v>6984</v>
      </c>
      <c r="CFO27" t="s">
        <v>6984</v>
      </c>
      <c r="CFP27" t="s">
        <v>6984</v>
      </c>
      <c r="CFQ27" t="s">
        <v>6984</v>
      </c>
      <c r="CFR27" t="s">
        <v>6984</v>
      </c>
      <c r="CFS27" t="s">
        <v>6984</v>
      </c>
      <c r="CFT27" t="s">
        <v>6984</v>
      </c>
      <c r="CFU27" t="s">
        <v>6984</v>
      </c>
      <c r="CFV27" t="s">
        <v>6984</v>
      </c>
      <c r="CFW27" t="s">
        <v>6984</v>
      </c>
      <c r="CFX27" t="s">
        <v>6984</v>
      </c>
      <c r="CFY27" t="s">
        <v>6984</v>
      </c>
      <c r="CFZ27" t="s">
        <v>6984</v>
      </c>
      <c r="CGA27" t="s">
        <v>6984</v>
      </c>
      <c r="CGB27" t="s">
        <v>6984</v>
      </c>
      <c r="CGC27" t="s">
        <v>6984</v>
      </c>
      <c r="CGD27" t="s">
        <v>6984</v>
      </c>
      <c r="CGE27" t="s">
        <v>6984</v>
      </c>
      <c r="CGF27" t="s">
        <v>6984</v>
      </c>
      <c r="CGG27" t="s">
        <v>6984</v>
      </c>
      <c r="CGH27" t="s">
        <v>6984</v>
      </c>
      <c r="CGI27" t="s">
        <v>6984</v>
      </c>
      <c r="CGJ27" t="s">
        <v>6984</v>
      </c>
      <c r="CGK27" t="s">
        <v>6984</v>
      </c>
      <c r="CGL27" t="s">
        <v>6984</v>
      </c>
      <c r="CGM27" t="s">
        <v>6984</v>
      </c>
      <c r="CGN27" t="s">
        <v>6984</v>
      </c>
      <c r="CGO27" t="s">
        <v>6984</v>
      </c>
      <c r="CGP27" t="s">
        <v>6984</v>
      </c>
      <c r="CGQ27" t="s">
        <v>6984</v>
      </c>
      <c r="CGR27" t="s">
        <v>6984</v>
      </c>
      <c r="CGS27" t="s">
        <v>6984</v>
      </c>
      <c r="CGT27" t="s">
        <v>6984</v>
      </c>
      <c r="CGU27" t="s">
        <v>6984</v>
      </c>
      <c r="CGV27" t="s">
        <v>6984</v>
      </c>
      <c r="CGW27" t="s">
        <v>6984</v>
      </c>
      <c r="CGX27" t="s">
        <v>6984</v>
      </c>
      <c r="CGY27" t="s">
        <v>6984</v>
      </c>
      <c r="CGZ27" t="s">
        <v>6984</v>
      </c>
      <c r="CHA27" t="s">
        <v>6984</v>
      </c>
      <c r="CHB27" t="s">
        <v>6984</v>
      </c>
      <c r="CHC27" t="s">
        <v>6984</v>
      </c>
      <c r="CHD27" t="s">
        <v>6984</v>
      </c>
      <c r="CHE27" t="s">
        <v>6984</v>
      </c>
      <c r="CHF27" t="s">
        <v>6984</v>
      </c>
      <c r="CHG27" t="s">
        <v>6984</v>
      </c>
      <c r="CHH27" t="s">
        <v>6984</v>
      </c>
      <c r="CHI27" t="s">
        <v>6984</v>
      </c>
      <c r="CHJ27" t="s">
        <v>6984</v>
      </c>
      <c r="CHK27" t="s">
        <v>6984</v>
      </c>
      <c r="CHL27" t="s">
        <v>6984</v>
      </c>
      <c r="CHM27" t="s">
        <v>6984</v>
      </c>
      <c r="CHN27" t="s">
        <v>6984</v>
      </c>
      <c r="CHO27" t="s">
        <v>6984</v>
      </c>
      <c r="CHP27" t="s">
        <v>6984</v>
      </c>
      <c r="CHQ27" t="s">
        <v>6984</v>
      </c>
      <c r="CHR27" t="s">
        <v>6984</v>
      </c>
      <c r="CHS27" t="s">
        <v>6984</v>
      </c>
      <c r="CHT27" t="s">
        <v>6984</v>
      </c>
      <c r="CHU27" t="s">
        <v>6984</v>
      </c>
      <c r="CHV27" t="s">
        <v>6984</v>
      </c>
      <c r="CHW27" t="s">
        <v>6984</v>
      </c>
      <c r="CHX27" t="s">
        <v>6984</v>
      </c>
      <c r="CHY27" t="s">
        <v>6984</v>
      </c>
      <c r="CHZ27" t="s">
        <v>6984</v>
      </c>
      <c r="CIA27" t="s">
        <v>6984</v>
      </c>
      <c r="CIB27" t="s">
        <v>6984</v>
      </c>
      <c r="CIC27" t="s">
        <v>6984</v>
      </c>
      <c r="CID27" t="s">
        <v>6984</v>
      </c>
      <c r="CIE27" t="s">
        <v>6984</v>
      </c>
      <c r="CIF27" t="s">
        <v>6984</v>
      </c>
      <c r="CIG27" t="s">
        <v>6984</v>
      </c>
      <c r="CIH27" t="s">
        <v>6984</v>
      </c>
      <c r="CII27" t="s">
        <v>6984</v>
      </c>
      <c r="CIJ27" t="s">
        <v>6984</v>
      </c>
      <c r="CIK27" t="s">
        <v>6984</v>
      </c>
      <c r="CIL27" t="s">
        <v>6984</v>
      </c>
      <c r="CIM27" t="s">
        <v>6984</v>
      </c>
      <c r="CIN27" t="s">
        <v>6984</v>
      </c>
      <c r="CIO27" t="s">
        <v>6984</v>
      </c>
      <c r="CIP27" t="s">
        <v>6984</v>
      </c>
      <c r="CIQ27" t="s">
        <v>6984</v>
      </c>
      <c r="CIR27" t="s">
        <v>6984</v>
      </c>
      <c r="CIS27" t="s">
        <v>6984</v>
      </c>
      <c r="CIT27" t="s">
        <v>6984</v>
      </c>
      <c r="CIU27" t="s">
        <v>6984</v>
      </c>
      <c r="CIV27" t="s">
        <v>6984</v>
      </c>
      <c r="CIW27" t="s">
        <v>6984</v>
      </c>
      <c r="CIX27" t="s">
        <v>6984</v>
      </c>
      <c r="CIY27" t="s">
        <v>6984</v>
      </c>
      <c r="CIZ27" t="s">
        <v>6984</v>
      </c>
      <c r="CJA27" t="s">
        <v>6984</v>
      </c>
      <c r="CJB27" t="s">
        <v>6984</v>
      </c>
      <c r="CJC27" t="s">
        <v>6984</v>
      </c>
      <c r="CJD27" t="s">
        <v>6984</v>
      </c>
      <c r="CJE27" t="s">
        <v>6984</v>
      </c>
      <c r="CJF27" t="s">
        <v>6984</v>
      </c>
      <c r="CJG27" t="s">
        <v>6984</v>
      </c>
      <c r="CJH27" t="s">
        <v>6984</v>
      </c>
      <c r="CJI27" t="s">
        <v>6984</v>
      </c>
      <c r="CJJ27" t="s">
        <v>6984</v>
      </c>
      <c r="CJK27" t="s">
        <v>6984</v>
      </c>
      <c r="CJL27" t="s">
        <v>6984</v>
      </c>
      <c r="CJM27" t="s">
        <v>6984</v>
      </c>
      <c r="CJN27" t="s">
        <v>6984</v>
      </c>
      <c r="CJO27" t="s">
        <v>6984</v>
      </c>
      <c r="CJP27" t="s">
        <v>6984</v>
      </c>
      <c r="CJQ27" t="s">
        <v>6984</v>
      </c>
      <c r="CJR27" t="s">
        <v>6984</v>
      </c>
      <c r="CJS27" t="s">
        <v>6984</v>
      </c>
      <c r="CJT27" t="s">
        <v>6984</v>
      </c>
      <c r="CJU27" t="s">
        <v>6984</v>
      </c>
      <c r="CJV27" t="s">
        <v>6984</v>
      </c>
      <c r="CJW27" t="s">
        <v>6984</v>
      </c>
      <c r="CJX27" t="s">
        <v>6984</v>
      </c>
      <c r="CJY27" t="s">
        <v>6984</v>
      </c>
      <c r="CJZ27" t="s">
        <v>6984</v>
      </c>
      <c r="CKA27" t="s">
        <v>6984</v>
      </c>
      <c r="CKB27" t="s">
        <v>6984</v>
      </c>
      <c r="CKC27" t="s">
        <v>6984</v>
      </c>
      <c r="CKD27" t="s">
        <v>6984</v>
      </c>
      <c r="CKE27" t="s">
        <v>6984</v>
      </c>
      <c r="CKF27" t="s">
        <v>6984</v>
      </c>
      <c r="CKG27" t="s">
        <v>6984</v>
      </c>
      <c r="CKH27" t="s">
        <v>6984</v>
      </c>
      <c r="CKI27" t="s">
        <v>6984</v>
      </c>
      <c r="CKJ27" t="s">
        <v>6984</v>
      </c>
      <c r="CKK27" t="s">
        <v>6984</v>
      </c>
      <c r="CKL27" t="s">
        <v>6984</v>
      </c>
      <c r="CKM27" t="s">
        <v>6984</v>
      </c>
      <c r="CKN27" t="s">
        <v>6984</v>
      </c>
      <c r="CKO27" t="s">
        <v>6984</v>
      </c>
      <c r="CKP27" t="s">
        <v>6984</v>
      </c>
      <c r="CKQ27" t="s">
        <v>6984</v>
      </c>
      <c r="CKR27" t="s">
        <v>6984</v>
      </c>
      <c r="CKS27" t="s">
        <v>6984</v>
      </c>
      <c r="CKT27" t="s">
        <v>6984</v>
      </c>
      <c r="CKU27" t="s">
        <v>6984</v>
      </c>
      <c r="CKV27" t="s">
        <v>6984</v>
      </c>
      <c r="CKW27" t="s">
        <v>6984</v>
      </c>
      <c r="CKX27" t="s">
        <v>6984</v>
      </c>
      <c r="CKY27" t="s">
        <v>6984</v>
      </c>
      <c r="CKZ27" t="s">
        <v>6984</v>
      </c>
      <c r="CLA27" t="s">
        <v>6984</v>
      </c>
      <c r="CLB27" t="s">
        <v>6984</v>
      </c>
      <c r="CLC27" t="s">
        <v>6984</v>
      </c>
      <c r="CLD27" t="s">
        <v>6984</v>
      </c>
      <c r="CLE27" t="s">
        <v>6984</v>
      </c>
      <c r="CLF27" t="s">
        <v>6984</v>
      </c>
      <c r="CLG27" t="s">
        <v>6984</v>
      </c>
      <c r="CLH27" t="s">
        <v>6984</v>
      </c>
      <c r="CLI27" t="s">
        <v>6984</v>
      </c>
      <c r="CLJ27" t="s">
        <v>6984</v>
      </c>
      <c r="CLK27" t="s">
        <v>6984</v>
      </c>
      <c r="CLL27" t="s">
        <v>6984</v>
      </c>
      <c r="CLM27" t="s">
        <v>6984</v>
      </c>
      <c r="CLN27" t="s">
        <v>6984</v>
      </c>
      <c r="CLO27" t="s">
        <v>6984</v>
      </c>
      <c r="CLP27" t="s">
        <v>6984</v>
      </c>
      <c r="CLQ27" t="s">
        <v>6984</v>
      </c>
      <c r="CLR27" t="s">
        <v>6984</v>
      </c>
      <c r="CLS27" t="s">
        <v>6984</v>
      </c>
      <c r="CLT27" t="s">
        <v>6984</v>
      </c>
      <c r="CLU27" t="s">
        <v>6984</v>
      </c>
      <c r="CLV27" t="s">
        <v>6984</v>
      </c>
      <c r="CLW27" t="s">
        <v>6984</v>
      </c>
      <c r="CLX27" t="s">
        <v>6984</v>
      </c>
      <c r="CLY27" t="s">
        <v>6984</v>
      </c>
      <c r="CLZ27" t="s">
        <v>6984</v>
      </c>
      <c r="CMA27" t="s">
        <v>6984</v>
      </c>
      <c r="CMB27" t="s">
        <v>6984</v>
      </c>
      <c r="CMC27" t="s">
        <v>6984</v>
      </c>
      <c r="CMD27" t="s">
        <v>6984</v>
      </c>
      <c r="CME27" t="s">
        <v>6984</v>
      </c>
      <c r="CMF27" t="s">
        <v>6984</v>
      </c>
      <c r="CMG27" t="s">
        <v>6984</v>
      </c>
      <c r="CMH27" t="s">
        <v>6984</v>
      </c>
      <c r="CMI27" t="s">
        <v>6984</v>
      </c>
      <c r="CMJ27" t="s">
        <v>6984</v>
      </c>
      <c r="CMK27" t="s">
        <v>6984</v>
      </c>
      <c r="CML27" t="s">
        <v>6984</v>
      </c>
      <c r="CMM27" t="s">
        <v>6984</v>
      </c>
      <c r="CMN27" t="s">
        <v>6984</v>
      </c>
      <c r="CMO27" t="s">
        <v>6984</v>
      </c>
      <c r="CMP27" t="s">
        <v>6984</v>
      </c>
      <c r="CMQ27" t="s">
        <v>6984</v>
      </c>
      <c r="CMR27" t="s">
        <v>6984</v>
      </c>
      <c r="CMS27" t="s">
        <v>6984</v>
      </c>
      <c r="CMT27" t="s">
        <v>6984</v>
      </c>
      <c r="CMU27" t="s">
        <v>6984</v>
      </c>
      <c r="CMV27" t="s">
        <v>6984</v>
      </c>
      <c r="CMW27" t="s">
        <v>6984</v>
      </c>
      <c r="CMX27" t="s">
        <v>6984</v>
      </c>
      <c r="CMY27" t="s">
        <v>6984</v>
      </c>
      <c r="CMZ27" t="s">
        <v>6984</v>
      </c>
      <c r="CNA27" t="s">
        <v>6984</v>
      </c>
      <c r="CNB27" t="s">
        <v>6984</v>
      </c>
      <c r="CNC27" t="s">
        <v>6984</v>
      </c>
      <c r="CND27" t="s">
        <v>6984</v>
      </c>
      <c r="CNE27" t="s">
        <v>6984</v>
      </c>
      <c r="CNF27" t="s">
        <v>6984</v>
      </c>
      <c r="CNG27" t="s">
        <v>6984</v>
      </c>
      <c r="CNH27" t="s">
        <v>6984</v>
      </c>
      <c r="CNI27" t="s">
        <v>6984</v>
      </c>
      <c r="CNJ27" t="s">
        <v>6984</v>
      </c>
      <c r="CNK27" t="s">
        <v>6984</v>
      </c>
      <c r="CNL27" t="s">
        <v>6984</v>
      </c>
      <c r="CNM27" t="s">
        <v>6984</v>
      </c>
      <c r="CNN27" t="s">
        <v>6984</v>
      </c>
      <c r="CNO27" t="s">
        <v>6984</v>
      </c>
      <c r="CNP27" t="s">
        <v>6984</v>
      </c>
      <c r="CNQ27" t="s">
        <v>6984</v>
      </c>
      <c r="CNR27" t="s">
        <v>6984</v>
      </c>
      <c r="CNS27" t="s">
        <v>6984</v>
      </c>
      <c r="CNT27" t="s">
        <v>6984</v>
      </c>
      <c r="CNU27" t="s">
        <v>6984</v>
      </c>
      <c r="CNV27" t="s">
        <v>6984</v>
      </c>
      <c r="CNW27" t="s">
        <v>6984</v>
      </c>
      <c r="CNX27" t="s">
        <v>6984</v>
      </c>
      <c r="CNY27" t="s">
        <v>6984</v>
      </c>
      <c r="CNZ27" t="s">
        <v>6984</v>
      </c>
      <c r="COA27" t="s">
        <v>6984</v>
      </c>
      <c r="COB27" t="s">
        <v>6984</v>
      </c>
      <c r="COC27" t="s">
        <v>6984</v>
      </c>
      <c r="COD27" t="s">
        <v>6984</v>
      </c>
      <c r="COE27" t="s">
        <v>6984</v>
      </c>
      <c r="COF27" t="s">
        <v>6984</v>
      </c>
      <c r="COG27" t="s">
        <v>6984</v>
      </c>
      <c r="COH27" t="s">
        <v>6984</v>
      </c>
      <c r="COI27" t="s">
        <v>6984</v>
      </c>
      <c r="COJ27" t="s">
        <v>6984</v>
      </c>
      <c r="COK27" t="s">
        <v>6984</v>
      </c>
      <c r="COL27" t="s">
        <v>6984</v>
      </c>
      <c r="COM27" t="s">
        <v>6984</v>
      </c>
      <c r="CON27" t="s">
        <v>6984</v>
      </c>
      <c r="COO27" t="s">
        <v>6984</v>
      </c>
      <c r="COP27" t="s">
        <v>6984</v>
      </c>
      <c r="COQ27" t="s">
        <v>6984</v>
      </c>
      <c r="COR27" t="s">
        <v>6984</v>
      </c>
      <c r="COS27" t="s">
        <v>6984</v>
      </c>
      <c r="COT27" t="s">
        <v>6984</v>
      </c>
      <c r="COU27" t="s">
        <v>6984</v>
      </c>
      <c r="COV27" t="s">
        <v>6984</v>
      </c>
      <c r="COW27" t="s">
        <v>6984</v>
      </c>
      <c r="COX27" t="s">
        <v>6984</v>
      </c>
      <c r="COY27" t="s">
        <v>6984</v>
      </c>
      <c r="COZ27" t="s">
        <v>6984</v>
      </c>
      <c r="CPA27" t="s">
        <v>6984</v>
      </c>
      <c r="CPB27" t="s">
        <v>6984</v>
      </c>
      <c r="CPC27" t="s">
        <v>6984</v>
      </c>
      <c r="CPD27" t="s">
        <v>6984</v>
      </c>
      <c r="CPE27" t="s">
        <v>6984</v>
      </c>
      <c r="CPF27" t="s">
        <v>6984</v>
      </c>
      <c r="CPG27" t="s">
        <v>6984</v>
      </c>
      <c r="CPH27" t="s">
        <v>6984</v>
      </c>
      <c r="CPI27" t="s">
        <v>6984</v>
      </c>
      <c r="CPJ27" t="s">
        <v>6984</v>
      </c>
      <c r="CPK27" t="s">
        <v>6984</v>
      </c>
      <c r="CPL27" t="s">
        <v>6984</v>
      </c>
      <c r="CPM27" t="s">
        <v>6984</v>
      </c>
      <c r="CPN27" t="s">
        <v>6984</v>
      </c>
      <c r="CPO27" t="s">
        <v>6984</v>
      </c>
      <c r="CPP27" t="s">
        <v>6984</v>
      </c>
      <c r="CPQ27" t="s">
        <v>6984</v>
      </c>
      <c r="CPR27" t="s">
        <v>6984</v>
      </c>
      <c r="CPS27" t="s">
        <v>6984</v>
      </c>
      <c r="CPT27" t="s">
        <v>6984</v>
      </c>
      <c r="CPU27" t="s">
        <v>6984</v>
      </c>
      <c r="CPV27" t="s">
        <v>6984</v>
      </c>
      <c r="CPW27" t="s">
        <v>6984</v>
      </c>
      <c r="CPX27" t="s">
        <v>6984</v>
      </c>
      <c r="CPY27" t="s">
        <v>6984</v>
      </c>
      <c r="CPZ27" t="s">
        <v>6984</v>
      </c>
      <c r="CQA27" t="s">
        <v>6984</v>
      </c>
      <c r="CQB27" t="s">
        <v>6984</v>
      </c>
      <c r="CQC27" t="s">
        <v>6984</v>
      </c>
      <c r="CQD27" t="s">
        <v>6984</v>
      </c>
      <c r="CQE27" t="s">
        <v>6984</v>
      </c>
      <c r="CQF27" t="s">
        <v>6984</v>
      </c>
      <c r="CQG27" t="s">
        <v>6984</v>
      </c>
      <c r="CQH27" t="s">
        <v>6984</v>
      </c>
      <c r="CQI27" t="s">
        <v>6984</v>
      </c>
      <c r="CQJ27" t="s">
        <v>6984</v>
      </c>
      <c r="CQK27" t="s">
        <v>6984</v>
      </c>
      <c r="CQL27" t="s">
        <v>6984</v>
      </c>
      <c r="CQM27" t="s">
        <v>6984</v>
      </c>
      <c r="CQN27" t="s">
        <v>6984</v>
      </c>
      <c r="CQO27" t="s">
        <v>6984</v>
      </c>
      <c r="CQP27" t="s">
        <v>6984</v>
      </c>
      <c r="CQQ27" t="s">
        <v>6984</v>
      </c>
      <c r="CQR27" t="s">
        <v>6984</v>
      </c>
      <c r="CQS27" t="s">
        <v>6984</v>
      </c>
      <c r="CQT27" t="s">
        <v>6984</v>
      </c>
      <c r="CQU27" t="s">
        <v>6984</v>
      </c>
      <c r="CQV27" t="s">
        <v>6984</v>
      </c>
      <c r="CQW27" t="s">
        <v>6984</v>
      </c>
      <c r="CQX27" t="s">
        <v>6984</v>
      </c>
      <c r="CQY27" t="s">
        <v>6984</v>
      </c>
      <c r="CQZ27" t="s">
        <v>6984</v>
      </c>
      <c r="CRA27" t="s">
        <v>6984</v>
      </c>
      <c r="CRB27" t="s">
        <v>6984</v>
      </c>
      <c r="CRC27" t="s">
        <v>6984</v>
      </c>
      <c r="CRD27" t="s">
        <v>6984</v>
      </c>
      <c r="CRE27" t="s">
        <v>6984</v>
      </c>
      <c r="CRF27" t="s">
        <v>6984</v>
      </c>
      <c r="CRG27" t="s">
        <v>6984</v>
      </c>
      <c r="CRH27" t="s">
        <v>6984</v>
      </c>
      <c r="CRI27" t="s">
        <v>6984</v>
      </c>
      <c r="CRJ27" t="s">
        <v>6984</v>
      </c>
      <c r="CRK27" t="s">
        <v>6984</v>
      </c>
      <c r="CRL27" t="s">
        <v>6984</v>
      </c>
      <c r="CRM27" t="s">
        <v>6984</v>
      </c>
      <c r="CRN27" t="s">
        <v>6984</v>
      </c>
      <c r="CRO27" t="s">
        <v>6984</v>
      </c>
      <c r="CRP27" t="s">
        <v>6984</v>
      </c>
      <c r="CRQ27" t="s">
        <v>6984</v>
      </c>
      <c r="CRR27" t="s">
        <v>6984</v>
      </c>
      <c r="CRS27" t="s">
        <v>6984</v>
      </c>
      <c r="CRT27" t="s">
        <v>6984</v>
      </c>
      <c r="CRU27" t="s">
        <v>6984</v>
      </c>
      <c r="CRV27" t="s">
        <v>6984</v>
      </c>
      <c r="CRW27" t="s">
        <v>6984</v>
      </c>
      <c r="CRX27" t="s">
        <v>6984</v>
      </c>
      <c r="CRY27" t="s">
        <v>6984</v>
      </c>
      <c r="CRZ27" t="s">
        <v>6984</v>
      </c>
      <c r="CSA27" t="s">
        <v>6984</v>
      </c>
      <c r="CSB27" t="s">
        <v>6984</v>
      </c>
      <c r="CSC27" t="s">
        <v>6984</v>
      </c>
      <c r="CSD27" t="s">
        <v>6984</v>
      </c>
      <c r="CSE27" t="s">
        <v>6984</v>
      </c>
      <c r="CSF27" t="s">
        <v>6984</v>
      </c>
      <c r="CSG27" t="s">
        <v>6984</v>
      </c>
      <c r="CSH27" t="s">
        <v>6984</v>
      </c>
      <c r="CSI27" t="s">
        <v>6984</v>
      </c>
      <c r="CSJ27" t="s">
        <v>6984</v>
      </c>
      <c r="CSK27" t="s">
        <v>6984</v>
      </c>
      <c r="CSL27" t="s">
        <v>6984</v>
      </c>
      <c r="CSM27" t="s">
        <v>6984</v>
      </c>
      <c r="CSN27" t="s">
        <v>6984</v>
      </c>
      <c r="CSO27" t="s">
        <v>6984</v>
      </c>
      <c r="CSP27" t="s">
        <v>6984</v>
      </c>
      <c r="CSQ27" t="s">
        <v>6984</v>
      </c>
      <c r="CSR27" t="s">
        <v>6984</v>
      </c>
      <c r="CSS27" t="s">
        <v>6984</v>
      </c>
      <c r="CST27" t="s">
        <v>6984</v>
      </c>
      <c r="CSU27" t="s">
        <v>6984</v>
      </c>
      <c r="CSV27" t="s">
        <v>6984</v>
      </c>
      <c r="CSW27" t="s">
        <v>6984</v>
      </c>
      <c r="CSX27" t="s">
        <v>6984</v>
      </c>
      <c r="CSY27" t="s">
        <v>6984</v>
      </c>
      <c r="CSZ27" t="s">
        <v>6984</v>
      </c>
      <c r="CTA27" t="s">
        <v>6984</v>
      </c>
      <c r="CTB27" t="s">
        <v>6984</v>
      </c>
      <c r="CTC27" t="s">
        <v>6984</v>
      </c>
      <c r="CTD27" t="s">
        <v>6984</v>
      </c>
      <c r="CTE27" t="s">
        <v>6984</v>
      </c>
      <c r="CTF27" t="s">
        <v>6984</v>
      </c>
      <c r="CTG27" t="s">
        <v>6984</v>
      </c>
      <c r="CTH27" t="s">
        <v>6984</v>
      </c>
      <c r="CTI27" t="s">
        <v>6984</v>
      </c>
      <c r="CTJ27" t="s">
        <v>6984</v>
      </c>
      <c r="CTK27" t="s">
        <v>6984</v>
      </c>
      <c r="CTL27" t="s">
        <v>6984</v>
      </c>
      <c r="CTM27" t="s">
        <v>6984</v>
      </c>
      <c r="CTN27" t="s">
        <v>6984</v>
      </c>
      <c r="CTO27" t="s">
        <v>6984</v>
      </c>
      <c r="CTP27" t="s">
        <v>6984</v>
      </c>
      <c r="CTQ27" t="s">
        <v>6984</v>
      </c>
      <c r="CTR27" t="s">
        <v>6984</v>
      </c>
      <c r="CTS27" t="s">
        <v>6984</v>
      </c>
      <c r="CTT27" t="s">
        <v>6984</v>
      </c>
      <c r="CTU27" t="s">
        <v>6984</v>
      </c>
      <c r="CTV27" t="s">
        <v>6984</v>
      </c>
      <c r="CTW27" t="s">
        <v>6984</v>
      </c>
      <c r="CTX27" t="s">
        <v>6984</v>
      </c>
      <c r="CTY27" t="s">
        <v>6984</v>
      </c>
      <c r="CTZ27" t="s">
        <v>6984</v>
      </c>
      <c r="CUA27" t="s">
        <v>6984</v>
      </c>
      <c r="CUB27" t="s">
        <v>6984</v>
      </c>
      <c r="CUC27" t="s">
        <v>6984</v>
      </c>
      <c r="CUD27" t="s">
        <v>6984</v>
      </c>
      <c r="CUE27" t="s">
        <v>6984</v>
      </c>
      <c r="CUF27" t="s">
        <v>6984</v>
      </c>
      <c r="CUG27" t="s">
        <v>6984</v>
      </c>
      <c r="CUH27" t="s">
        <v>6984</v>
      </c>
      <c r="CUI27" t="s">
        <v>6984</v>
      </c>
      <c r="CUJ27" t="s">
        <v>6984</v>
      </c>
      <c r="CUK27" t="s">
        <v>6984</v>
      </c>
      <c r="CUL27" t="s">
        <v>6984</v>
      </c>
      <c r="CUM27" t="s">
        <v>6984</v>
      </c>
      <c r="CUN27" t="s">
        <v>6984</v>
      </c>
      <c r="CUO27" t="s">
        <v>6984</v>
      </c>
      <c r="CUP27" t="s">
        <v>6984</v>
      </c>
      <c r="CUQ27" t="s">
        <v>6984</v>
      </c>
      <c r="CUR27" t="s">
        <v>6984</v>
      </c>
      <c r="CUS27" t="s">
        <v>6984</v>
      </c>
      <c r="CUT27" t="s">
        <v>6984</v>
      </c>
      <c r="CUU27" t="s">
        <v>6984</v>
      </c>
      <c r="CUV27" t="s">
        <v>6984</v>
      </c>
      <c r="CUW27" t="s">
        <v>6984</v>
      </c>
      <c r="CUX27" t="s">
        <v>6984</v>
      </c>
      <c r="CUY27" t="s">
        <v>6984</v>
      </c>
      <c r="CUZ27" t="s">
        <v>6984</v>
      </c>
      <c r="CVA27" t="s">
        <v>6984</v>
      </c>
      <c r="CVB27" t="s">
        <v>6984</v>
      </c>
      <c r="CVC27" t="s">
        <v>6984</v>
      </c>
      <c r="CVD27" t="s">
        <v>6984</v>
      </c>
      <c r="CVE27" t="s">
        <v>6984</v>
      </c>
      <c r="CVF27" t="s">
        <v>6984</v>
      </c>
      <c r="CVG27" t="s">
        <v>6984</v>
      </c>
      <c r="CVH27" t="s">
        <v>6984</v>
      </c>
      <c r="CVI27" t="s">
        <v>6984</v>
      </c>
      <c r="CVJ27" t="s">
        <v>6984</v>
      </c>
      <c r="CVK27" t="s">
        <v>6984</v>
      </c>
      <c r="CVL27" t="s">
        <v>6984</v>
      </c>
      <c r="CVM27" t="s">
        <v>6984</v>
      </c>
      <c r="CVN27" t="s">
        <v>6984</v>
      </c>
      <c r="CVO27" t="s">
        <v>6984</v>
      </c>
      <c r="CVP27" t="s">
        <v>6984</v>
      </c>
      <c r="CVQ27" t="s">
        <v>6984</v>
      </c>
      <c r="CVR27" t="s">
        <v>6984</v>
      </c>
      <c r="CVS27" t="s">
        <v>6984</v>
      </c>
      <c r="CVT27" t="s">
        <v>6984</v>
      </c>
      <c r="CVU27" t="s">
        <v>6984</v>
      </c>
      <c r="CVV27" t="s">
        <v>6984</v>
      </c>
      <c r="CVW27" t="s">
        <v>6984</v>
      </c>
      <c r="CVX27" t="s">
        <v>6984</v>
      </c>
      <c r="CVY27" t="s">
        <v>6984</v>
      </c>
      <c r="CVZ27" t="s">
        <v>6984</v>
      </c>
      <c r="CWA27" t="s">
        <v>6984</v>
      </c>
      <c r="CWB27" t="s">
        <v>6984</v>
      </c>
      <c r="CWC27" t="s">
        <v>6984</v>
      </c>
      <c r="CWD27" t="s">
        <v>6984</v>
      </c>
      <c r="CWE27" t="s">
        <v>6984</v>
      </c>
      <c r="CWF27" t="s">
        <v>6984</v>
      </c>
      <c r="CWG27" t="s">
        <v>6984</v>
      </c>
      <c r="CWH27" t="s">
        <v>6984</v>
      </c>
      <c r="CWI27" t="s">
        <v>6984</v>
      </c>
      <c r="CWJ27" t="s">
        <v>6984</v>
      </c>
      <c r="CWK27" t="s">
        <v>6984</v>
      </c>
      <c r="CWL27" t="s">
        <v>6984</v>
      </c>
      <c r="CWM27" t="s">
        <v>6984</v>
      </c>
      <c r="CWN27" t="s">
        <v>6984</v>
      </c>
      <c r="CWO27" t="s">
        <v>6984</v>
      </c>
      <c r="CWP27" t="s">
        <v>6984</v>
      </c>
      <c r="CWQ27" t="s">
        <v>6984</v>
      </c>
      <c r="CWR27" t="s">
        <v>6984</v>
      </c>
      <c r="CWS27" t="s">
        <v>6984</v>
      </c>
      <c r="CWT27" t="s">
        <v>6984</v>
      </c>
      <c r="CWU27" t="s">
        <v>6984</v>
      </c>
      <c r="CWV27" t="s">
        <v>6984</v>
      </c>
      <c r="CWW27" t="s">
        <v>6984</v>
      </c>
      <c r="CWX27" t="s">
        <v>6984</v>
      </c>
      <c r="CWY27" t="s">
        <v>6984</v>
      </c>
      <c r="CWZ27" t="s">
        <v>6984</v>
      </c>
      <c r="CXA27" t="s">
        <v>6984</v>
      </c>
      <c r="CXB27" t="s">
        <v>6984</v>
      </c>
      <c r="CXC27" t="s">
        <v>6984</v>
      </c>
      <c r="CXD27" t="s">
        <v>6984</v>
      </c>
      <c r="CXE27" t="s">
        <v>6984</v>
      </c>
      <c r="CXF27" t="s">
        <v>6984</v>
      </c>
      <c r="CXG27" t="s">
        <v>6984</v>
      </c>
      <c r="CXH27" t="s">
        <v>6984</v>
      </c>
      <c r="CXI27" t="s">
        <v>6984</v>
      </c>
      <c r="CXJ27" t="s">
        <v>6984</v>
      </c>
      <c r="CXK27" t="s">
        <v>6984</v>
      </c>
      <c r="CXL27" t="s">
        <v>6984</v>
      </c>
      <c r="CXM27" t="s">
        <v>6984</v>
      </c>
      <c r="CXN27" t="s">
        <v>6984</v>
      </c>
      <c r="CXO27" t="s">
        <v>6984</v>
      </c>
      <c r="CXP27" t="s">
        <v>6984</v>
      </c>
      <c r="CXQ27" t="s">
        <v>6984</v>
      </c>
      <c r="CXR27" t="s">
        <v>6984</v>
      </c>
      <c r="CXS27" t="s">
        <v>6984</v>
      </c>
      <c r="CXT27" t="s">
        <v>6984</v>
      </c>
      <c r="CXU27" t="s">
        <v>6984</v>
      </c>
      <c r="CXV27" t="s">
        <v>6984</v>
      </c>
      <c r="CXW27" t="s">
        <v>6984</v>
      </c>
      <c r="CXX27" t="s">
        <v>6984</v>
      </c>
      <c r="CXY27" t="s">
        <v>6984</v>
      </c>
      <c r="CXZ27" t="s">
        <v>6984</v>
      </c>
      <c r="CYA27" t="s">
        <v>6984</v>
      </c>
      <c r="CYB27" t="s">
        <v>6984</v>
      </c>
      <c r="CYC27" t="s">
        <v>6984</v>
      </c>
      <c r="CYD27" t="s">
        <v>6984</v>
      </c>
      <c r="CYE27" t="s">
        <v>6984</v>
      </c>
      <c r="CYF27" t="s">
        <v>6984</v>
      </c>
      <c r="CYG27" t="s">
        <v>6984</v>
      </c>
      <c r="CYH27" t="s">
        <v>6984</v>
      </c>
      <c r="CYI27" t="s">
        <v>6984</v>
      </c>
      <c r="CYJ27" t="s">
        <v>6984</v>
      </c>
      <c r="CYK27" t="s">
        <v>6984</v>
      </c>
      <c r="CYL27" t="s">
        <v>6984</v>
      </c>
      <c r="CYM27" t="s">
        <v>6984</v>
      </c>
      <c r="CYN27" t="s">
        <v>6984</v>
      </c>
      <c r="CYO27" t="s">
        <v>6984</v>
      </c>
      <c r="CYP27" t="s">
        <v>6984</v>
      </c>
      <c r="CYQ27" t="s">
        <v>6984</v>
      </c>
      <c r="CYR27" t="s">
        <v>6984</v>
      </c>
      <c r="CYS27" t="s">
        <v>6984</v>
      </c>
      <c r="CYT27" t="s">
        <v>6984</v>
      </c>
      <c r="CYU27" t="s">
        <v>6984</v>
      </c>
      <c r="CYV27" t="s">
        <v>6984</v>
      </c>
      <c r="CYW27" t="s">
        <v>6984</v>
      </c>
      <c r="CYX27" t="s">
        <v>6984</v>
      </c>
      <c r="CYY27" t="s">
        <v>6984</v>
      </c>
      <c r="CYZ27" t="s">
        <v>6984</v>
      </c>
      <c r="CZA27" t="s">
        <v>6984</v>
      </c>
      <c r="CZB27" t="s">
        <v>6984</v>
      </c>
      <c r="CZC27" t="s">
        <v>6984</v>
      </c>
      <c r="CZD27" t="s">
        <v>6984</v>
      </c>
      <c r="CZE27" t="s">
        <v>6984</v>
      </c>
      <c r="CZF27" t="s">
        <v>6984</v>
      </c>
      <c r="CZG27" t="s">
        <v>6984</v>
      </c>
      <c r="CZH27" t="s">
        <v>6984</v>
      </c>
      <c r="CZI27" t="s">
        <v>6984</v>
      </c>
      <c r="CZJ27" t="s">
        <v>6984</v>
      </c>
      <c r="CZK27" t="s">
        <v>6984</v>
      </c>
      <c r="CZL27" t="s">
        <v>6984</v>
      </c>
      <c r="CZM27" t="s">
        <v>6984</v>
      </c>
      <c r="CZN27" t="s">
        <v>6984</v>
      </c>
      <c r="CZO27" t="s">
        <v>6984</v>
      </c>
      <c r="CZP27" t="s">
        <v>6984</v>
      </c>
      <c r="CZQ27" t="s">
        <v>6984</v>
      </c>
      <c r="CZR27" t="s">
        <v>6984</v>
      </c>
      <c r="CZS27" t="s">
        <v>6984</v>
      </c>
      <c r="CZT27" t="s">
        <v>6984</v>
      </c>
      <c r="CZU27" t="s">
        <v>6984</v>
      </c>
      <c r="CZV27" t="s">
        <v>6984</v>
      </c>
      <c r="CZW27" t="s">
        <v>6984</v>
      </c>
      <c r="CZX27" t="s">
        <v>6984</v>
      </c>
      <c r="CZY27" t="s">
        <v>6984</v>
      </c>
      <c r="CZZ27" t="s">
        <v>6984</v>
      </c>
      <c r="DAA27" t="s">
        <v>6984</v>
      </c>
      <c r="DAB27" t="s">
        <v>6984</v>
      </c>
      <c r="DAC27" t="s">
        <v>6984</v>
      </c>
      <c r="DAD27" t="s">
        <v>6984</v>
      </c>
      <c r="DAE27" t="s">
        <v>6984</v>
      </c>
      <c r="DAF27" t="s">
        <v>6984</v>
      </c>
      <c r="DAG27" t="s">
        <v>6984</v>
      </c>
      <c r="DAH27" t="s">
        <v>6984</v>
      </c>
      <c r="DAI27" t="s">
        <v>6984</v>
      </c>
      <c r="DAJ27" t="s">
        <v>6984</v>
      </c>
      <c r="DAK27" t="s">
        <v>6984</v>
      </c>
      <c r="DAL27" t="s">
        <v>6984</v>
      </c>
      <c r="DAM27" t="s">
        <v>6984</v>
      </c>
      <c r="DAN27" t="s">
        <v>6984</v>
      </c>
      <c r="DAO27" t="s">
        <v>6984</v>
      </c>
      <c r="DAP27" t="s">
        <v>6984</v>
      </c>
      <c r="DAQ27" t="s">
        <v>6984</v>
      </c>
      <c r="DAR27" t="s">
        <v>6984</v>
      </c>
      <c r="DAS27" t="s">
        <v>6984</v>
      </c>
      <c r="DAT27" t="s">
        <v>6984</v>
      </c>
      <c r="DAU27" t="s">
        <v>6984</v>
      </c>
      <c r="DAV27" t="s">
        <v>6984</v>
      </c>
      <c r="DAW27" t="s">
        <v>6984</v>
      </c>
      <c r="DAX27" t="s">
        <v>6984</v>
      </c>
      <c r="DAY27" t="s">
        <v>6984</v>
      </c>
      <c r="DAZ27" t="s">
        <v>6984</v>
      </c>
      <c r="DBA27" t="s">
        <v>6984</v>
      </c>
      <c r="DBB27" t="s">
        <v>6984</v>
      </c>
      <c r="DBC27" t="s">
        <v>6984</v>
      </c>
      <c r="DBD27" t="s">
        <v>6984</v>
      </c>
      <c r="DBE27" t="s">
        <v>6984</v>
      </c>
      <c r="DBF27" t="s">
        <v>6984</v>
      </c>
      <c r="DBG27" t="s">
        <v>6984</v>
      </c>
      <c r="DBH27" t="s">
        <v>6984</v>
      </c>
      <c r="DBI27" t="s">
        <v>6984</v>
      </c>
      <c r="DBJ27" t="s">
        <v>6984</v>
      </c>
      <c r="DBK27" t="s">
        <v>6984</v>
      </c>
      <c r="DBL27" t="s">
        <v>6984</v>
      </c>
      <c r="DBM27" t="s">
        <v>6984</v>
      </c>
      <c r="DBN27" t="s">
        <v>6984</v>
      </c>
      <c r="DBO27" t="s">
        <v>6984</v>
      </c>
      <c r="DBP27" t="s">
        <v>6984</v>
      </c>
      <c r="DBQ27" t="s">
        <v>6984</v>
      </c>
      <c r="DBR27" t="s">
        <v>6984</v>
      </c>
      <c r="DBS27" t="s">
        <v>6984</v>
      </c>
      <c r="DBT27" t="s">
        <v>6984</v>
      </c>
      <c r="DBU27" t="s">
        <v>6984</v>
      </c>
      <c r="DBV27" t="s">
        <v>6984</v>
      </c>
      <c r="DBW27" t="s">
        <v>6984</v>
      </c>
      <c r="DBX27" t="s">
        <v>6984</v>
      </c>
      <c r="DBY27" t="s">
        <v>6984</v>
      </c>
      <c r="DBZ27" t="s">
        <v>6984</v>
      </c>
      <c r="DCA27" t="s">
        <v>6984</v>
      </c>
      <c r="DCB27" t="s">
        <v>6984</v>
      </c>
      <c r="DCC27" t="s">
        <v>6984</v>
      </c>
      <c r="DCD27" t="s">
        <v>6984</v>
      </c>
      <c r="DCE27" t="s">
        <v>6984</v>
      </c>
      <c r="DCF27" t="s">
        <v>6984</v>
      </c>
      <c r="DCG27" t="s">
        <v>6984</v>
      </c>
      <c r="DCH27" t="s">
        <v>6984</v>
      </c>
      <c r="DCI27" t="s">
        <v>6984</v>
      </c>
      <c r="DCJ27" t="s">
        <v>6984</v>
      </c>
      <c r="DCK27" t="s">
        <v>6984</v>
      </c>
      <c r="DCL27" t="s">
        <v>6984</v>
      </c>
      <c r="DCM27" t="s">
        <v>6984</v>
      </c>
      <c r="DCN27" t="s">
        <v>6984</v>
      </c>
      <c r="DCO27" t="s">
        <v>6984</v>
      </c>
      <c r="DCP27" t="s">
        <v>6984</v>
      </c>
      <c r="DCQ27" t="s">
        <v>6984</v>
      </c>
      <c r="DCR27" t="s">
        <v>6984</v>
      </c>
      <c r="DCS27" t="s">
        <v>6984</v>
      </c>
      <c r="DCT27" t="s">
        <v>6984</v>
      </c>
      <c r="DCU27" t="s">
        <v>6984</v>
      </c>
      <c r="DCV27" t="s">
        <v>6984</v>
      </c>
      <c r="DCW27" t="s">
        <v>6984</v>
      </c>
      <c r="DCX27" t="s">
        <v>6984</v>
      </c>
      <c r="DCY27" t="s">
        <v>6984</v>
      </c>
      <c r="DCZ27" t="s">
        <v>6984</v>
      </c>
      <c r="DDA27" t="s">
        <v>6984</v>
      </c>
      <c r="DDB27" t="s">
        <v>6984</v>
      </c>
      <c r="DDC27" t="s">
        <v>6984</v>
      </c>
      <c r="DDD27" t="s">
        <v>6984</v>
      </c>
      <c r="DDE27" t="s">
        <v>6984</v>
      </c>
      <c r="DDF27" t="s">
        <v>6984</v>
      </c>
      <c r="DDG27" t="s">
        <v>6984</v>
      </c>
      <c r="DDH27" t="s">
        <v>6984</v>
      </c>
      <c r="DDI27" t="s">
        <v>6984</v>
      </c>
      <c r="DDJ27" t="s">
        <v>6984</v>
      </c>
      <c r="DDK27" t="s">
        <v>6984</v>
      </c>
      <c r="DDL27" t="s">
        <v>6984</v>
      </c>
      <c r="DDM27" t="s">
        <v>6984</v>
      </c>
      <c r="DDN27" t="s">
        <v>6984</v>
      </c>
      <c r="DDO27" t="s">
        <v>6984</v>
      </c>
      <c r="DDP27" t="s">
        <v>6984</v>
      </c>
      <c r="DDQ27" t="s">
        <v>6984</v>
      </c>
      <c r="DDR27" t="s">
        <v>6984</v>
      </c>
      <c r="DDS27" t="s">
        <v>6984</v>
      </c>
      <c r="DDT27" t="s">
        <v>6984</v>
      </c>
      <c r="DDU27" t="s">
        <v>6984</v>
      </c>
      <c r="DDV27" t="s">
        <v>6984</v>
      </c>
      <c r="DDW27" t="s">
        <v>6984</v>
      </c>
      <c r="DDX27" t="s">
        <v>6984</v>
      </c>
      <c r="DDY27" t="s">
        <v>6984</v>
      </c>
      <c r="DDZ27" t="s">
        <v>6984</v>
      </c>
      <c r="DEA27" t="s">
        <v>6984</v>
      </c>
      <c r="DEB27" t="s">
        <v>6984</v>
      </c>
      <c r="DEC27" t="s">
        <v>6984</v>
      </c>
      <c r="DED27" t="s">
        <v>6984</v>
      </c>
      <c r="DEE27" t="s">
        <v>6984</v>
      </c>
      <c r="DEF27" t="s">
        <v>6984</v>
      </c>
      <c r="DEG27" t="s">
        <v>6984</v>
      </c>
      <c r="DEH27" t="s">
        <v>6984</v>
      </c>
      <c r="DEI27" t="s">
        <v>6984</v>
      </c>
      <c r="DEJ27" t="s">
        <v>6984</v>
      </c>
      <c r="DEK27" t="s">
        <v>6984</v>
      </c>
      <c r="DEL27" t="s">
        <v>6984</v>
      </c>
      <c r="DEM27" t="s">
        <v>6984</v>
      </c>
      <c r="DEN27" t="s">
        <v>6984</v>
      </c>
      <c r="DEO27" t="s">
        <v>6984</v>
      </c>
      <c r="DEP27" t="s">
        <v>6984</v>
      </c>
      <c r="DEQ27" t="s">
        <v>6984</v>
      </c>
      <c r="DER27" t="s">
        <v>6984</v>
      </c>
      <c r="DES27" t="s">
        <v>6984</v>
      </c>
      <c r="DET27" t="s">
        <v>6984</v>
      </c>
      <c r="DEU27" t="s">
        <v>6984</v>
      </c>
      <c r="DEV27" t="s">
        <v>6984</v>
      </c>
      <c r="DEW27" t="s">
        <v>6984</v>
      </c>
      <c r="DEX27" t="s">
        <v>6984</v>
      </c>
      <c r="DEY27" t="s">
        <v>6984</v>
      </c>
      <c r="DEZ27" t="s">
        <v>6984</v>
      </c>
      <c r="DFA27" t="s">
        <v>6984</v>
      </c>
      <c r="DFB27" t="s">
        <v>6984</v>
      </c>
      <c r="DFC27" t="s">
        <v>6984</v>
      </c>
      <c r="DFD27" t="s">
        <v>6984</v>
      </c>
      <c r="DFE27" t="s">
        <v>6984</v>
      </c>
      <c r="DFF27" t="s">
        <v>6984</v>
      </c>
      <c r="DFG27" t="s">
        <v>6984</v>
      </c>
      <c r="DFH27" t="s">
        <v>6984</v>
      </c>
      <c r="DFI27" t="s">
        <v>6984</v>
      </c>
      <c r="DFJ27" t="s">
        <v>6984</v>
      </c>
      <c r="DFK27" t="s">
        <v>6984</v>
      </c>
      <c r="DFL27" t="s">
        <v>6984</v>
      </c>
      <c r="DFM27" t="s">
        <v>6984</v>
      </c>
      <c r="DFN27" t="s">
        <v>6984</v>
      </c>
      <c r="DFO27" t="s">
        <v>6984</v>
      </c>
      <c r="DFP27" t="s">
        <v>6984</v>
      </c>
      <c r="DFQ27" t="s">
        <v>6984</v>
      </c>
      <c r="DFR27" t="s">
        <v>6984</v>
      </c>
      <c r="DFS27" t="s">
        <v>6984</v>
      </c>
      <c r="DFT27" t="s">
        <v>6984</v>
      </c>
      <c r="DFU27" t="s">
        <v>6984</v>
      </c>
      <c r="DFV27" t="s">
        <v>6984</v>
      </c>
      <c r="DFW27" t="s">
        <v>6984</v>
      </c>
      <c r="DFX27" t="s">
        <v>6984</v>
      </c>
      <c r="DFY27" t="s">
        <v>6984</v>
      </c>
      <c r="DFZ27" t="s">
        <v>6984</v>
      </c>
      <c r="DGA27" t="s">
        <v>6984</v>
      </c>
      <c r="DGB27" t="s">
        <v>6984</v>
      </c>
      <c r="DGC27" t="s">
        <v>6984</v>
      </c>
      <c r="DGD27" t="s">
        <v>6984</v>
      </c>
      <c r="DGE27" t="s">
        <v>6984</v>
      </c>
      <c r="DGF27" t="s">
        <v>6984</v>
      </c>
      <c r="DGG27" t="s">
        <v>6984</v>
      </c>
      <c r="DGH27" t="s">
        <v>6984</v>
      </c>
      <c r="DGI27" t="s">
        <v>6984</v>
      </c>
      <c r="DGJ27" t="s">
        <v>6984</v>
      </c>
      <c r="DGK27" t="s">
        <v>6984</v>
      </c>
      <c r="DGL27" t="s">
        <v>6984</v>
      </c>
      <c r="DGM27" t="s">
        <v>6984</v>
      </c>
      <c r="DGN27" t="s">
        <v>6984</v>
      </c>
      <c r="DGO27" t="s">
        <v>6984</v>
      </c>
      <c r="DGP27" t="s">
        <v>6984</v>
      </c>
      <c r="DGQ27" t="s">
        <v>6984</v>
      </c>
      <c r="DGR27" t="s">
        <v>6984</v>
      </c>
      <c r="DGS27" t="s">
        <v>6984</v>
      </c>
      <c r="DGT27" t="s">
        <v>6984</v>
      </c>
      <c r="DGU27" t="s">
        <v>6984</v>
      </c>
      <c r="DGV27" t="s">
        <v>6984</v>
      </c>
      <c r="DGW27" t="s">
        <v>6984</v>
      </c>
      <c r="DGX27" t="s">
        <v>6984</v>
      </c>
      <c r="DGY27" t="s">
        <v>6984</v>
      </c>
      <c r="DGZ27" t="s">
        <v>6984</v>
      </c>
      <c r="DHA27" t="s">
        <v>6984</v>
      </c>
      <c r="DHB27" t="s">
        <v>6984</v>
      </c>
      <c r="DHC27" t="s">
        <v>6984</v>
      </c>
      <c r="DHD27" t="s">
        <v>6984</v>
      </c>
      <c r="DHE27" t="s">
        <v>6984</v>
      </c>
      <c r="DHF27" t="s">
        <v>6984</v>
      </c>
      <c r="DHG27" t="s">
        <v>6984</v>
      </c>
      <c r="DHH27" t="s">
        <v>6984</v>
      </c>
      <c r="DHI27" t="s">
        <v>6984</v>
      </c>
      <c r="DHJ27" t="s">
        <v>6984</v>
      </c>
      <c r="DHK27" t="s">
        <v>6984</v>
      </c>
      <c r="DHL27" t="s">
        <v>6984</v>
      </c>
      <c r="DHM27" t="s">
        <v>6984</v>
      </c>
      <c r="DHN27" t="s">
        <v>6984</v>
      </c>
      <c r="DHO27" t="s">
        <v>6984</v>
      </c>
      <c r="DHP27" t="s">
        <v>6984</v>
      </c>
      <c r="DHQ27" t="s">
        <v>6984</v>
      </c>
      <c r="DHR27" t="s">
        <v>6984</v>
      </c>
      <c r="DHS27" t="s">
        <v>6984</v>
      </c>
      <c r="DHT27" t="s">
        <v>6984</v>
      </c>
      <c r="DHU27" t="s">
        <v>6984</v>
      </c>
      <c r="DHV27" t="s">
        <v>6984</v>
      </c>
      <c r="DHW27" t="s">
        <v>6984</v>
      </c>
      <c r="DHX27" t="s">
        <v>6984</v>
      </c>
      <c r="DHY27" t="s">
        <v>6984</v>
      </c>
      <c r="DHZ27" t="s">
        <v>6984</v>
      </c>
      <c r="DIA27" t="s">
        <v>6984</v>
      </c>
      <c r="DIB27" t="s">
        <v>6984</v>
      </c>
      <c r="DIC27" t="s">
        <v>6984</v>
      </c>
      <c r="DID27" t="s">
        <v>6984</v>
      </c>
      <c r="DIE27" t="s">
        <v>6984</v>
      </c>
      <c r="DIF27" t="s">
        <v>6984</v>
      </c>
      <c r="DIG27" t="s">
        <v>6984</v>
      </c>
      <c r="DIH27" t="s">
        <v>6984</v>
      </c>
      <c r="DII27" t="s">
        <v>6984</v>
      </c>
      <c r="DIJ27" t="s">
        <v>6984</v>
      </c>
      <c r="DIK27" t="s">
        <v>6984</v>
      </c>
      <c r="DIL27" t="s">
        <v>6984</v>
      </c>
      <c r="DIM27" t="s">
        <v>6984</v>
      </c>
      <c r="DIN27" t="s">
        <v>6984</v>
      </c>
      <c r="DIO27" t="s">
        <v>6984</v>
      </c>
      <c r="DIP27" t="s">
        <v>6984</v>
      </c>
      <c r="DIQ27" t="s">
        <v>6984</v>
      </c>
      <c r="DIR27" t="s">
        <v>6984</v>
      </c>
      <c r="DIS27" t="s">
        <v>6984</v>
      </c>
      <c r="DIT27" t="s">
        <v>6984</v>
      </c>
      <c r="DIU27" t="s">
        <v>6984</v>
      </c>
      <c r="DIV27" t="s">
        <v>6984</v>
      </c>
      <c r="DIW27" t="s">
        <v>6984</v>
      </c>
      <c r="DIX27" t="s">
        <v>6984</v>
      </c>
      <c r="DIY27" t="s">
        <v>6984</v>
      </c>
      <c r="DIZ27" t="s">
        <v>6984</v>
      </c>
      <c r="DJA27" t="s">
        <v>6984</v>
      </c>
      <c r="DJB27" t="s">
        <v>6984</v>
      </c>
      <c r="DJC27" t="s">
        <v>6984</v>
      </c>
      <c r="DJD27" t="s">
        <v>6984</v>
      </c>
      <c r="DJE27" t="s">
        <v>6984</v>
      </c>
      <c r="DJF27" t="s">
        <v>6984</v>
      </c>
      <c r="DJG27" t="s">
        <v>6984</v>
      </c>
      <c r="DJH27" t="s">
        <v>6984</v>
      </c>
      <c r="DJI27" t="s">
        <v>6984</v>
      </c>
      <c r="DJJ27" t="s">
        <v>6984</v>
      </c>
      <c r="DJK27" t="s">
        <v>6984</v>
      </c>
      <c r="DJL27" t="s">
        <v>6984</v>
      </c>
      <c r="DJM27" t="s">
        <v>6984</v>
      </c>
      <c r="DJN27" t="s">
        <v>6984</v>
      </c>
      <c r="DJO27" t="s">
        <v>6984</v>
      </c>
      <c r="DJP27" t="s">
        <v>6984</v>
      </c>
      <c r="DJQ27" t="s">
        <v>6984</v>
      </c>
      <c r="DJR27" t="s">
        <v>6984</v>
      </c>
      <c r="DJS27" t="s">
        <v>6984</v>
      </c>
      <c r="DJT27" t="s">
        <v>6984</v>
      </c>
      <c r="DJU27" t="s">
        <v>6984</v>
      </c>
      <c r="DJV27" t="s">
        <v>6984</v>
      </c>
      <c r="DJW27" t="s">
        <v>6984</v>
      </c>
      <c r="DJX27" t="s">
        <v>6984</v>
      </c>
      <c r="DJY27" t="s">
        <v>6984</v>
      </c>
      <c r="DJZ27" t="s">
        <v>6984</v>
      </c>
      <c r="DKA27" t="s">
        <v>6984</v>
      </c>
      <c r="DKB27" t="s">
        <v>6984</v>
      </c>
      <c r="DKC27" t="s">
        <v>6984</v>
      </c>
      <c r="DKD27" t="s">
        <v>6984</v>
      </c>
      <c r="DKE27" t="s">
        <v>6984</v>
      </c>
      <c r="DKF27" t="s">
        <v>6984</v>
      </c>
      <c r="DKG27" t="s">
        <v>6984</v>
      </c>
      <c r="DKH27" t="s">
        <v>6984</v>
      </c>
      <c r="DKI27" t="s">
        <v>6984</v>
      </c>
      <c r="DKJ27" t="s">
        <v>6984</v>
      </c>
      <c r="DKK27" t="s">
        <v>6984</v>
      </c>
      <c r="DKL27" t="s">
        <v>6984</v>
      </c>
      <c r="DKM27" t="s">
        <v>6984</v>
      </c>
      <c r="DKN27" t="s">
        <v>6984</v>
      </c>
      <c r="DKO27" t="s">
        <v>6984</v>
      </c>
      <c r="DKP27" t="s">
        <v>6984</v>
      </c>
      <c r="DKQ27" t="s">
        <v>6984</v>
      </c>
      <c r="DKR27" t="s">
        <v>6984</v>
      </c>
      <c r="DKS27" t="s">
        <v>6984</v>
      </c>
      <c r="DKT27" t="s">
        <v>6984</v>
      </c>
      <c r="DKU27" t="s">
        <v>6984</v>
      </c>
      <c r="DKV27" t="s">
        <v>6984</v>
      </c>
      <c r="DKW27" t="s">
        <v>6984</v>
      </c>
      <c r="DKX27" t="s">
        <v>6984</v>
      </c>
      <c r="DKY27" t="s">
        <v>6984</v>
      </c>
      <c r="DKZ27" t="s">
        <v>6984</v>
      </c>
      <c r="DLA27" t="s">
        <v>6984</v>
      </c>
      <c r="DLB27" t="s">
        <v>6984</v>
      </c>
      <c r="DLC27" t="s">
        <v>6984</v>
      </c>
      <c r="DLD27" t="s">
        <v>6984</v>
      </c>
      <c r="DLE27" t="s">
        <v>6984</v>
      </c>
      <c r="DLF27" t="s">
        <v>6984</v>
      </c>
      <c r="DLG27" t="s">
        <v>6984</v>
      </c>
      <c r="DLH27" t="s">
        <v>6984</v>
      </c>
      <c r="DLI27" t="s">
        <v>6984</v>
      </c>
      <c r="DLJ27" t="s">
        <v>6984</v>
      </c>
      <c r="DLK27" t="s">
        <v>6984</v>
      </c>
      <c r="DLL27" t="s">
        <v>6984</v>
      </c>
      <c r="DLM27" t="s">
        <v>6984</v>
      </c>
      <c r="DLN27" t="s">
        <v>6984</v>
      </c>
      <c r="DLO27" t="s">
        <v>6984</v>
      </c>
      <c r="DLP27" t="s">
        <v>6984</v>
      </c>
      <c r="DLQ27" t="s">
        <v>6984</v>
      </c>
      <c r="DLR27" t="s">
        <v>6984</v>
      </c>
      <c r="DLS27" t="s">
        <v>6984</v>
      </c>
      <c r="DLT27" t="s">
        <v>6984</v>
      </c>
      <c r="DLU27" t="s">
        <v>6984</v>
      </c>
      <c r="DLV27" t="s">
        <v>6984</v>
      </c>
      <c r="DLW27" t="s">
        <v>6984</v>
      </c>
      <c r="DLX27" t="s">
        <v>6984</v>
      </c>
      <c r="DLY27" t="s">
        <v>6984</v>
      </c>
      <c r="DLZ27" t="s">
        <v>6984</v>
      </c>
      <c r="DMA27" t="s">
        <v>6984</v>
      </c>
      <c r="DMB27" t="s">
        <v>6984</v>
      </c>
      <c r="DMC27" t="s">
        <v>6984</v>
      </c>
      <c r="DMD27" t="s">
        <v>6984</v>
      </c>
      <c r="DME27" t="s">
        <v>6984</v>
      </c>
      <c r="DMF27" t="s">
        <v>6984</v>
      </c>
      <c r="DMG27" t="s">
        <v>6984</v>
      </c>
      <c r="DMH27" t="s">
        <v>6984</v>
      </c>
      <c r="DMI27" t="s">
        <v>6984</v>
      </c>
      <c r="DMJ27" t="s">
        <v>6984</v>
      </c>
      <c r="DMK27" t="s">
        <v>6984</v>
      </c>
      <c r="DML27" t="s">
        <v>6984</v>
      </c>
      <c r="DMM27" t="s">
        <v>6984</v>
      </c>
      <c r="DMN27" t="s">
        <v>6984</v>
      </c>
      <c r="DMO27" t="s">
        <v>6984</v>
      </c>
      <c r="DMP27" t="s">
        <v>6984</v>
      </c>
      <c r="DMQ27" t="s">
        <v>6984</v>
      </c>
      <c r="DMR27" t="s">
        <v>6984</v>
      </c>
      <c r="DMS27" t="s">
        <v>6984</v>
      </c>
      <c r="DMT27" t="s">
        <v>6984</v>
      </c>
      <c r="DMU27" t="s">
        <v>6984</v>
      </c>
      <c r="DMV27" t="s">
        <v>6984</v>
      </c>
      <c r="DMW27" t="s">
        <v>6984</v>
      </c>
      <c r="DMX27" t="s">
        <v>6984</v>
      </c>
      <c r="DMY27" t="s">
        <v>6984</v>
      </c>
      <c r="DMZ27" t="s">
        <v>6984</v>
      </c>
      <c r="DNA27" t="s">
        <v>6984</v>
      </c>
      <c r="DNB27" t="s">
        <v>6984</v>
      </c>
      <c r="DNC27" t="s">
        <v>6984</v>
      </c>
      <c r="DND27" t="s">
        <v>6984</v>
      </c>
      <c r="DNE27" t="s">
        <v>6984</v>
      </c>
      <c r="DNF27" t="s">
        <v>6984</v>
      </c>
      <c r="DNG27" t="s">
        <v>6984</v>
      </c>
      <c r="DNH27" t="s">
        <v>6984</v>
      </c>
      <c r="DNI27" t="s">
        <v>6984</v>
      </c>
      <c r="DNJ27" t="s">
        <v>6984</v>
      </c>
      <c r="DNK27" t="s">
        <v>6984</v>
      </c>
      <c r="DNL27" t="s">
        <v>6984</v>
      </c>
      <c r="DNM27" t="s">
        <v>6984</v>
      </c>
      <c r="DNN27" t="s">
        <v>6984</v>
      </c>
      <c r="DNO27" t="s">
        <v>6984</v>
      </c>
      <c r="DNP27" t="s">
        <v>6984</v>
      </c>
      <c r="DNQ27" t="s">
        <v>6984</v>
      </c>
      <c r="DNR27" t="s">
        <v>6984</v>
      </c>
      <c r="DNS27" t="s">
        <v>6984</v>
      </c>
      <c r="DNT27" t="s">
        <v>6984</v>
      </c>
      <c r="DNU27" t="s">
        <v>6984</v>
      </c>
      <c r="DNV27" t="s">
        <v>6984</v>
      </c>
      <c r="DNW27" t="s">
        <v>6984</v>
      </c>
      <c r="DNX27" t="s">
        <v>6984</v>
      </c>
      <c r="DNY27" t="s">
        <v>6984</v>
      </c>
      <c r="DNZ27" t="s">
        <v>6984</v>
      </c>
      <c r="DOA27" t="s">
        <v>6984</v>
      </c>
      <c r="DOB27" t="s">
        <v>6984</v>
      </c>
      <c r="DOC27" t="s">
        <v>6984</v>
      </c>
      <c r="DOD27" t="s">
        <v>6984</v>
      </c>
      <c r="DOE27" t="s">
        <v>6984</v>
      </c>
      <c r="DOF27" t="s">
        <v>6984</v>
      </c>
      <c r="DOG27" t="s">
        <v>6984</v>
      </c>
      <c r="DOH27" t="s">
        <v>6984</v>
      </c>
      <c r="DOI27" t="s">
        <v>6984</v>
      </c>
      <c r="DOJ27" t="s">
        <v>6984</v>
      </c>
      <c r="DOK27" t="s">
        <v>6984</v>
      </c>
      <c r="DOL27" t="s">
        <v>6984</v>
      </c>
      <c r="DOM27" t="s">
        <v>6984</v>
      </c>
      <c r="DON27" t="s">
        <v>6984</v>
      </c>
      <c r="DOO27" t="s">
        <v>6984</v>
      </c>
      <c r="DOP27" t="s">
        <v>6984</v>
      </c>
      <c r="DOQ27" t="s">
        <v>6984</v>
      </c>
      <c r="DOR27" t="s">
        <v>6984</v>
      </c>
      <c r="DOS27" t="s">
        <v>6984</v>
      </c>
      <c r="DOT27" t="s">
        <v>6984</v>
      </c>
      <c r="DOU27" t="s">
        <v>6984</v>
      </c>
      <c r="DOV27" t="s">
        <v>6984</v>
      </c>
      <c r="DOW27" t="s">
        <v>6984</v>
      </c>
      <c r="DOX27" t="s">
        <v>6984</v>
      </c>
      <c r="DOY27" t="s">
        <v>6984</v>
      </c>
      <c r="DOZ27" t="s">
        <v>6984</v>
      </c>
      <c r="DPA27" t="s">
        <v>6984</v>
      </c>
      <c r="DPB27" t="s">
        <v>6984</v>
      </c>
      <c r="DPC27" t="s">
        <v>6984</v>
      </c>
      <c r="DPD27" t="s">
        <v>6984</v>
      </c>
      <c r="DPE27" t="s">
        <v>6984</v>
      </c>
      <c r="DPF27" t="s">
        <v>6984</v>
      </c>
      <c r="DPG27" t="s">
        <v>6984</v>
      </c>
      <c r="DPH27" t="s">
        <v>6984</v>
      </c>
      <c r="DPI27" t="s">
        <v>6984</v>
      </c>
      <c r="DPJ27" t="s">
        <v>6984</v>
      </c>
      <c r="DPK27" t="s">
        <v>6984</v>
      </c>
      <c r="DPL27" t="s">
        <v>6984</v>
      </c>
      <c r="DPM27" t="s">
        <v>6984</v>
      </c>
      <c r="DPN27" t="s">
        <v>6984</v>
      </c>
      <c r="DPO27" t="s">
        <v>6984</v>
      </c>
      <c r="DPP27" t="s">
        <v>6984</v>
      </c>
      <c r="DPQ27" t="s">
        <v>6984</v>
      </c>
      <c r="DPR27" t="s">
        <v>6984</v>
      </c>
      <c r="DPS27" t="s">
        <v>6984</v>
      </c>
      <c r="DPT27" t="s">
        <v>6984</v>
      </c>
      <c r="DPU27" t="s">
        <v>6984</v>
      </c>
      <c r="DPV27" t="s">
        <v>6984</v>
      </c>
      <c r="DPW27" t="s">
        <v>6984</v>
      </c>
      <c r="DPX27" t="s">
        <v>6984</v>
      </c>
      <c r="DPY27" t="s">
        <v>6984</v>
      </c>
      <c r="DPZ27" t="s">
        <v>6984</v>
      </c>
      <c r="DQA27" t="s">
        <v>6984</v>
      </c>
      <c r="DQB27" t="s">
        <v>6984</v>
      </c>
      <c r="DQC27" t="s">
        <v>6984</v>
      </c>
      <c r="DQD27" t="s">
        <v>6984</v>
      </c>
      <c r="DQE27" t="s">
        <v>6984</v>
      </c>
      <c r="DQF27" t="s">
        <v>6984</v>
      </c>
      <c r="DQG27" t="s">
        <v>6984</v>
      </c>
      <c r="DQH27" t="s">
        <v>6984</v>
      </c>
      <c r="DQI27" t="s">
        <v>6984</v>
      </c>
      <c r="DQJ27" t="s">
        <v>6984</v>
      </c>
      <c r="DQK27" t="s">
        <v>6984</v>
      </c>
      <c r="DQL27" t="s">
        <v>6984</v>
      </c>
      <c r="DQM27" t="s">
        <v>6984</v>
      </c>
      <c r="DQN27" t="s">
        <v>6984</v>
      </c>
      <c r="DQO27" t="s">
        <v>6984</v>
      </c>
      <c r="DQP27" t="s">
        <v>6984</v>
      </c>
      <c r="DQQ27" t="s">
        <v>6984</v>
      </c>
      <c r="DQR27" t="s">
        <v>6984</v>
      </c>
      <c r="DQS27" t="s">
        <v>6984</v>
      </c>
      <c r="DQT27" t="s">
        <v>6984</v>
      </c>
      <c r="DQU27" t="s">
        <v>6984</v>
      </c>
      <c r="DQV27" t="s">
        <v>6984</v>
      </c>
      <c r="DQW27" t="s">
        <v>6984</v>
      </c>
      <c r="DQX27" t="s">
        <v>6984</v>
      </c>
      <c r="DQY27" t="s">
        <v>6984</v>
      </c>
      <c r="DQZ27" t="s">
        <v>6984</v>
      </c>
      <c r="DRA27" t="s">
        <v>6984</v>
      </c>
      <c r="DRB27" t="s">
        <v>6984</v>
      </c>
      <c r="DRC27" t="s">
        <v>6984</v>
      </c>
      <c r="DRD27" t="s">
        <v>6984</v>
      </c>
      <c r="DRE27" t="s">
        <v>6984</v>
      </c>
      <c r="DRF27" t="s">
        <v>6984</v>
      </c>
      <c r="DRG27" t="s">
        <v>6984</v>
      </c>
      <c r="DRH27" t="s">
        <v>6984</v>
      </c>
      <c r="DRI27" t="s">
        <v>6984</v>
      </c>
      <c r="DRJ27" t="s">
        <v>6984</v>
      </c>
      <c r="DRK27" t="s">
        <v>6984</v>
      </c>
      <c r="DRL27" t="s">
        <v>6984</v>
      </c>
      <c r="DRM27" t="s">
        <v>6984</v>
      </c>
      <c r="DRN27" t="s">
        <v>6984</v>
      </c>
      <c r="DRO27" t="s">
        <v>6984</v>
      </c>
      <c r="DRP27" t="s">
        <v>6984</v>
      </c>
      <c r="DRQ27" t="s">
        <v>6984</v>
      </c>
      <c r="DRR27" t="s">
        <v>6984</v>
      </c>
      <c r="DRS27" t="s">
        <v>6984</v>
      </c>
      <c r="DRT27" t="s">
        <v>6984</v>
      </c>
      <c r="DRU27" t="s">
        <v>6984</v>
      </c>
      <c r="DRV27" t="s">
        <v>6984</v>
      </c>
      <c r="DRW27" t="s">
        <v>6984</v>
      </c>
      <c r="DRX27" t="s">
        <v>6984</v>
      </c>
      <c r="DRY27" t="s">
        <v>6984</v>
      </c>
      <c r="DRZ27" t="s">
        <v>6984</v>
      </c>
      <c r="DSA27" t="s">
        <v>6984</v>
      </c>
      <c r="DSB27" t="s">
        <v>6984</v>
      </c>
      <c r="DSC27" t="s">
        <v>6984</v>
      </c>
      <c r="DSD27" t="s">
        <v>6984</v>
      </c>
      <c r="DSE27" t="s">
        <v>6984</v>
      </c>
      <c r="DSF27" t="s">
        <v>6984</v>
      </c>
      <c r="DSG27" t="s">
        <v>6984</v>
      </c>
      <c r="DSH27" t="s">
        <v>6984</v>
      </c>
      <c r="DSI27" t="s">
        <v>6984</v>
      </c>
      <c r="DSJ27" t="s">
        <v>6984</v>
      </c>
      <c r="DSK27" t="s">
        <v>6984</v>
      </c>
      <c r="DSL27" t="s">
        <v>6984</v>
      </c>
      <c r="DSM27" t="s">
        <v>6984</v>
      </c>
      <c r="DSN27" t="s">
        <v>6984</v>
      </c>
      <c r="DSO27" t="s">
        <v>6984</v>
      </c>
      <c r="DSP27" t="s">
        <v>6984</v>
      </c>
      <c r="DSQ27" t="s">
        <v>6984</v>
      </c>
      <c r="DSR27" t="s">
        <v>6984</v>
      </c>
      <c r="DSS27" t="s">
        <v>6984</v>
      </c>
      <c r="DST27" t="s">
        <v>6984</v>
      </c>
      <c r="DSU27" t="s">
        <v>6984</v>
      </c>
      <c r="DSV27" t="s">
        <v>6984</v>
      </c>
      <c r="DSW27" t="s">
        <v>6984</v>
      </c>
      <c r="DSX27" t="s">
        <v>6984</v>
      </c>
      <c r="DSY27" t="s">
        <v>6984</v>
      </c>
      <c r="DSZ27" t="s">
        <v>6984</v>
      </c>
      <c r="DTA27" t="s">
        <v>6984</v>
      </c>
      <c r="DTB27" t="s">
        <v>6984</v>
      </c>
      <c r="DTC27" t="s">
        <v>6984</v>
      </c>
      <c r="DTD27" t="s">
        <v>6984</v>
      </c>
      <c r="DTE27" t="s">
        <v>6984</v>
      </c>
      <c r="DTF27" t="s">
        <v>6984</v>
      </c>
      <c r="DTG27" t="s">
        <v>6984</v>
      </c>
      <c r="DTH27" t="s">
        <v>6984</v>
      </c>
      <c r="DTI27" t="s">
        <v>6984</v>
      </c>
      <c r="DTJ27" t="s">
        <v>6984</v>
      </c>
      <c r="DTK27" t="s">
        <v>6984</v>
      </c>
      <c r="DTL27" t="s">
        <v>6984</v>
      </c>
      <c r="DTM27" t="s">
        <v>6984</v>
      </c>
      <c r="DTN27" t="s">
        <v>6984</v>
      </c>
      <c r="DTO27" t="s">
        <v>6984</v>
      </c>
      <c r="DTP27" t="s">
        <v>6984</v>
      </c>
      <c r="DTQ27" t="s">
        <v>6984</v>
      </c>
      <c r="DTR27" t="s">
        <v>6984</v>
      </c>
      <c r="DTS27" t="s">
        <v>6984</v>
      </c>
      <c r="DTT27" t="s">
        <v>6984</v>
      </c>
      <c r="DTU27" t="s">
        <v>6984</v>
      </c>
      <c r="DTV27" t="s">
        <v>6984</v>
      </c>
      <c r="DTW27" t="s">
        <v>6984</v>
      </c>
      <c r="DTX27" t="s">
        <v>6984</v>
      </c>
      <c r="DTY27" t="s">
        <v>6984</v>
      </c>
      <c r="DTZ27" t="s">
        <v>6984</v>
      </c>
      <c r="DUA27" t="s">
        <v>6984</v>
      </c>
      <c r="DUB27" t="s">
        <v>6984</v>
      </c>
      <c r="DUC27" t="s">
        <v>6984</v>
      </c>
      <c r="DUD27" t="s">
        <v>6984</v>
      </c>
      <c r="DUE27" t="s">
        <v>6984</v>
      </c>
      <c r="DUF27" t="s">
        <v>6984</v>
      </c>
      <c r="DUG27" t="s">
        <v>6984</v>
      </c>
      <c r="DUH27" t="s">
        <v>6984</v>
      </c>
      <c r="DUI27" t="s">
        <v>6984</v>
      </c>
      <c r="DUJ27" t="s">
        <v>6984</v>
      </c>
      <c r="DUK27" t="s">
        <v>6984</v>
      </c>
      <c r="DUL27" t="s">
        <v>6984</v>
      </c>
      <c r="DUM27" t="s">
        <v>6984</v>
      </c>
      <c r="DUN27" t="s">
        <v>6984</v>
      </c>
      <c r="DUO27" t="s">
        <v>6984</v>
      </c>
      <c r="DUP27" t="s">
        <v>6984</v>
      </c>
      <c r="DUQ27" t="s">
        <v>6984</v>
      </c>
      <c r="DUR27" t="s">
        <v>6984</v>
      </c>
      <c r="DUS27" t="s">
        <v>6984</v>
      </c>
      <c r="DUT27" t="s">
        <v>6984</v>
      </c>
      <c r="DUU27" t="s">
        <v>6984</v>
      </c>
      <c r="DUV27" t="s">
        <v>6984</v>
      </c>
      <c r="DUW27" t="s">
        <v>6984</v>
      </c>
      <c r="DUX27" t="s">
        <v>6984</v>
      </c>
      <c r="DUY27" t="s">
        <v>6984</v>
      </c>
      <c r="DUZ27" t="s">
        <v>6984</v>
      </c>
      <c r="DVA27" t="s">
        <v>6984</v>
      </c>
      <c r="DVB27" t="s">
        <v>6984</v>
      </c>
      <c r="DVC27" t="s">
        <v>6984</v>
      </c>
      <c r="DVD27" t="s">
        <v>6984</v>
      </c>
      <c r="DVE27" t="s">
        <v>6984</v>
      </c>
      <c r="DVF27" t="s">
        <v>6984</v>
      </c>
      <c r="DVG27" t="s">
        <v>6984</v>
      </c>
      <c r="DVH27" t="s">
        <v>6984</v>
      </c>
      <c r="DVI27" t="s">
        <v>6984</v>
      </c>
      <c r="DVJ27" t="s">
        <v>6984</v>
      </c>
      <c r="DVK27" t="s">
        <v>6984</v>
      </c>
      <c r="DVL27" t="s">
        <v>6984</v>
      </c>
      <c r="DVM27" t="s">
        <v>6984</v>
      </c>
      <c r="DVN27" t="s">
        <v>6984</v>
      </c>
      <c r="DVO27" t="s">
        <v>6984</v>
      </c>
      <c r="DVP27" t="s">
        <v>6984</v>
      </c>
      <c r="DVQ27" t="s">
        <v>6984</v>
      </c>
      <c r="DVR27" t="s">
        <v>6984</v>
      </c>
      <c r="DVS27" t="s">
        <v>6984</v>
      </c>
      <c r="DVT27" t="s">
        <v>6984</v>
      </c>
      <c r="DVU27" t="s">
        <v>6984</v>
      </c>
      <c r="DVV27" t="s">
        <v>6984</v>
      </c>
      <c r="DVW27" t="s">
        <v>6984</v>
      </c>
      <c r="DVX27" t="s">
        <v>6984</v>
      </c>
      <c r="DVY27" t="s">
        <v>6984</v>
      </c>
      <c r="DVZ27" t="s">
        <v>6984</v>
      </c>
      <c r="DWA27" t="s">
        <v>6984</v>
      </c>
      <c r="DWB27" t="s">
        <v>6984</v>
      </c>
      <c r="DWC27" t="s">
        <v>6984</v>
      </c>
      <c r="DWD27" t="s">
        <v>6984</v>
      </c>
      <c r="DWE27" t="s">
        <v>6984</v>
      </c>
      <c r="DWF27" t="s">
        <v>6984</v>
      </c>
      <c r="DWG27" t="s">
        <v>6984</v>
      </c>
      <c r="DWH27" t="s">
        <v>6984</v>
      </c>
      <c r="DWI27" t="s">
        <v>6984</v>
      </c>
      <c r="DWJ27" t="s">
        <v>6984</v>
      </c>
      <c r="DWK27" t="s">
        <v>6984</v>
      </c>
      <c r="DWL27" t="s">
        <v>6984</v>
      </c>
      <c r="DWM27" t="s">
        <v>6984</v>
      </c>
      <c r="DWN27" t="s">
        <v>6984</v>
      </c>
      <c r="DWO27" t="s">
        <v>6984</v>
      </c>
      <c r="DWP27" t="s">
        <v>6984</v>
      </c>
      <c r="DWQ27" t="s">
        <v>6984</v>
      </c>
      <c r="DWR27" t="s">
        <v>6984</v>
      </c>
      <c r="DWS27" t="s">
        <v>6984</v>
      </c>
      <c r="DWT27" t="s">
        <v>6984</v>
      </c>
      <c r="DWU27" t="s">
        <v>6984</v>
      </c>
      <c r="DWV27" t="s">
        <v>6984</v>
      </c>
      <c r="DWW27" t="s">
        <v>6984</v>
      </c>
      <c r="DWX27" t="s">
        <v>6984</v>
      </c>
      <c r="DWY27" t="s">
        <v>6984</v>
      </c>
      <c r="DWZ27" t="s">
        <v>6984</v>
      </c>
      <c r="DXA27" t="s">
        <v>6984</v>
      </c>
      <c r="DXB27" t="s">
        <v>6984</v>
      </c>
      <c r="DXC27" t="s">
        <v>6984</v>
      </c>
      <c r="DXD27" t="s">
        <v>6984</v>
      </c>
      <c r="DXE27" t="s">
        <v>6984</v>
      </c>
      <c r="DXF27" t="s">
        <v>6984</v>
      </c>
      <c r="DXG27" t="s">
        <v>6984</v>
      </c>
      <c r="DXH27" t="s">
        <v>6984</v>
      </c>
      <c r="DXI27" t="s">
        <v>6984</v>
      </c>
      <c r="DXJ27" t="s">
        <v>6984</v>
      </c>
      <c r="DXK27" t="s">
        <v>6984</v>
      </c>
      <c r="DXL27" t="s">
        <v>6984</v>
      </c>
      <c r="DXM27" t="s">
        <v>6984</v>
      </c>
      <c r="DXN27" t="s">
        <v>6984</v>
      </c>
      <c r="DXO27" t="s">
        <v>6984</v>
      </c>
      <c r="DXP27" t="s">
        <v>6984</v>
      </c>
      <c r="DXQ27" t="s">
        <v>6984</v>
      </c>
      <c r="DXR27" t="s">
        <v>6984</v>
      </c>
      <c r="DXS27" t="s">
        <v>6984</v>
      </c>
      <c r="DXT27" t="s">
        <v>6984</v>
      </c>
      <c r="DXU27" t="s">
        <v>6984</v>
      </c>
      <c r="DXV27" t="s">
        <v>6984</v>
      </c>
      <c r="DXW27" t="s">
        <v>6984</v>
      </c>
      <c r="DXX27" t="s">
        <v>6984</v>
      </c>
      <c r="DXY27" t="s">
        <v>6984</v>
      </c>
      <c r="DXZ27" t="s">
        <v>6984</v>
      </c>
      <c r="DYA27" t="s">
        <v>6984</v>
      </c>
      <c r="DYB27" t="s">
        <v>6984</v>
      </c>
      <c r="DYC27" t="s">
        <v>6984</v>
      </c>
      <c r="DYD27" t="s">
        <v>6984</v>
      </c>
      <c r="DYE27" t="s">
        <v>6984</v>
      </c>
      <c r="DYF27" t="s">
        <v>6984</v>
      </c>
      <c r="DYG27" t="s">
        <v>6984</v>
      </c>
      <c r="DYH27" t="s">
        <v>6984</v>
      </c>
      <c r="DYI27" t="s">
        <v>6984</v>
      </c>
      <c r="DYJ27" t="s">
        <v>6984</v>
      </c>
      <c r="DYK27" t="s">
        <v>6984</v>
      </c>
      <c r="DYL27" t="s">
        <v>6984</v>
      </c>
      <c r="DYM27" t="s">
        <v>6984</v>
      </c>
      <c r="DYN27" t="s">
        <v>6984</v>
      </c>
      <c r="DYO27" t="s">
        <v>6984</v>
      </c>
      <c r="DYP27" t="s">
        <v>6984</v>
      </c>
      <c r="DYQ27" t="s">
        <v>6984</v>
      </c>
      <c r="DYR27" t="s">
        <v>6984</v>
      </c>
      <c r="DYS27" t="s">
        <v>6984</v>
      </c>
      <c r="DYT27" t="s">
        <v>6984</v>
      </c>
      <c r="DYU27" t="s">
        <v>6984</v>
      </c>
      <c r="DYV27" t="s">
        <v>6984</v>
      </c>
      <c r="DYW27" t="s">
        <v>6984</v>
      </c>
      <c r="DYX27" t="s">
        <v>6984</v>
      </c>
      <c r="DYY27" t="s">
        <v>6984</v>
      </c>
      <c r="DYZ27" t="s">
        <v>6984</v>
      </c>
      <c r="DZA27" t="s">
        <v>6984</v>
      </c>
      <c r="DZB27" t="s">
        <v>6984</v>
      </c>
      <c r="DZC27" t="s">
        <v>6984</v>
      </c>
      <c r="DZD27" t="s">
        <v>6984</v>
      </c>
      <c r="DZE27" t="s">
        <v>6984</v>
      </c>
      <c r="DZF27" t="s">
        <v>6984</v>
      </c>
      <c r="DZG27" t="s">
        <v>6984</v>
      </c>
      <c r="DZH27" t="s">
        <v>6984</v>
      </c>
      <c r="DZI27" t="s">
        <v>6984</v>
      </c>
      <c r="DZJ27" t="s">
        <v>6984</v>
      </c>
      <c r="DZK27" t="s">
        <v>6984</v>
      </c>
      <c r="DZL27" t="s">
        <v>6984</v>
      </c>
      <c r="DZM27" t="s">
        <v>6984</v>
      </c>
      <c r="DZN27" t="s">
        <v>6984</v>
      </c>
      <c r="DZO27" t="s">
        <v>6984</v>
      </c>
      <c r="DZP27" t="s">
        <v>6984</v>
      </c>
      <c r="DZQ27" t="s">
        <v>6984</v>
      </c>
      <c r="DZR27" t="s">
        <v>6984</v>
      </c>
      <c r="DZS27" t="s">
        <v>6984</v>
      </c>
      <c r="DZT27" t="s">
        <v>6984</v>
      </c>
      <c r="DZU27" t="s">
        <v>6984</v>
      </c>
      <c r="DZV27" t="s">
        <v>6984</v>
      </c>
      <c r="DZW27" t="s">
        <v>6984</v>
      </c>
      <c r="DZX27" t="s">
        <v>6984</v>
      </c>
      <c r="DZY27" t="s">
        <v>6984</v>
      </c>
      <c r="DZZ27" t="s">
        <v>6984</v>
      </c>
      <c r="EAA27" t="s">
        <v>6984</v>
      </c>
      <c r="EAB27" t="s">
        <v>6984</v>
      </c>
      <c r="EAC27" t="s">
        <v>6984</v>
      </c>
      <c r="EAD27" t="s">
        <v>6984</v>
      </c>
      <c r="EAE27" t="s">
        <v>6984</v>
      </c>
      <c r="EAF27" t="s">
        <v>6984</v>
      </c>
      <c r="EAG27" t="s">
        <v>6984</v>
      </c>
      <c r="EAH27" t="s">
        <v>6984</v>
      </c>
      <c r="EAI27" t="s">
        <v>6984</v>
      </c>
      <c r="EAJ27" t="s">
        <v>6984</v>
      </c>
      <c r="EAK27" t="s">
        <v>6984</v>
      </c>
      <c r="EAL27" t="s">
        <v>6984</v>
      </c>
      <c r="EAM27" t="s">
        <v>6984</v>
      </c>
      <c r="EAN27" t="s">
        <v>6984</v>
      </c>
      <c r="EAO27" t="s">
        <v>6984</v>
      </c>
      <c r="EAP27" t="s">
        <v>6984</v>
      </c>
      <c r="EAQ27" t="s">
        <v>6984</v>
      </c>
      <c r="EAR27" t="s">
        <v>6984</v>
      </c>
      <c r="EAS27" t="s">
        <v>6984</v>
      </c>
      <c r="EAT27" t="s">
        <v>6984</v>
      </c>
      <c r="EAU27" t="s">
        <v>6984</v>
      </c>
      <c r="EAV27" t="s">
        <v>6984</v>
      </c>
      <c r="EAW27" t="s">
        <v>6984</v>
      </c>
      <c r="EAX27" t="s">
        <v>6984</v>
      </c>
      <c r="EAY27" t="s">
        <v>6984</v>
      </c>
      <c r="EAZ27" t="s">
        <v>6984</v>
      </c>
      <c r="EBA27" t="s">
        <v>6984</v>
      </c>
      <c r="EBB27" t="s">
        <v>6984</v>
      </c>
      <c r="EBC27" t="s">
        <v>6984</v>
      </c>
      <c r="EBD27" t="s">
        <v>6984</v>
      </c>
      <c r="EBE27" t="s">
        <v>6984</v>
      </c>
      <c r="EBF27" t="s">
        <v>6984</v>
      </c>
      <c r="EBG27" t="s">
        <v>6984</v>
      </c>
      <c r="EBH27" t="s">
        <v>6984</v>
      </c>
      <c r="EBI27" t="s">
        <v>6984</v>
      </c>
      <c r="EBJ27" t="s">
        <v>6984</v>
      </c>
      <c r="EBK27" t="s">
        <v>6984</v>
      </c>
      <c r="EBL27" t="s">
        <v>6984</v>
      </c>
      <c r="EBM27" t="s">
        <v>6984</v>
      </c>
      <c r="EBN27" t="s">
        <v>6984</v>
      </c>
      <c r="EBO27" t="s">
        <v>6984</v>
      </c>
      <c r="EBP27" t="s">
        <v>6984</v>
      </c>
      <c r="EBQ27" t="s">
        <v>6984</v>
      </c>
      <c r="EBR27" t="s">
        <v>6984</v>
      </c>
      <c r="EBS27" t="s">
        <v>6984</v>
      </c>
      <c r="EBT27" t="s">
        <v>6984</v>
      </c>
      <c r="EBU27" t="s">
        <v>6984</v>
      </c>
      <c r="EBV27" t="s">
        <v>6984</v>
      </c>
      <c r="EBW27" t="s">
        <v>6984</v>
      </c>
      <c r="EBX27" t="s">
        <v>6984</v>
      </c>
      <c r="EBY27" t="s">
        <v>6984</v>
      </c>
      <c r="EBZ27" t="s">
        <v>6984</v>
      </c>
      <c r="ECA27" t="s">
        <v>6984</v>
      </c>
      <c r="ECB27" t="s">
        <v>6984</v>
      </c>
      <c r="ECC27" t="s">
        <v>6984</v>
      </c>
      <c r="ECD27" t="s">
        <v>6984</v>
      </c>
      <c r="ECE27" t="s">
        <v>6984</v>
      </c>
      <c r="ECF27" t="s">
        <v>6984</v>
      </c>
      <c r="ECG27" t="s">
        <v>6984</v>
      </c>
      <c r="ECH27" t="s">
        <v>6984</v>
      </c>
      <c r="ECI27" t="s">
        <v>6984</v>
      </c>
      <c r="ECJ27" t="s">
        <v>6984</v>
      </c>
      <c r="ECK27" t="s">
        <v>6984</v>
      </c>
      <c r="ECL27" t="s">
        <v>6984</v>
      </c>
      <c r="ECM27" t="s">
        <v>6984</v>
      </c>
      <c r="ECN27" t="s">
        <v>6984</v>
      </c>
      <c r="ECO27" t="s">
        <v>6984</v>
      </c>
      <c r="ECP27" t="s">
        <v>6984</v>
      </c>
      <c r="ECQ27" t="s">
        <v>6984</v>
      </c>
      <c r="ECR27" t="s">
        <v>6984</v>
      </c>
      <c r="ECS27" t="s">
        <v>6984</v>
      </c>
      <c r="ECT27" t="s">
        <v>6984</v>
      </c>
      <c r="ECU27" t="s">
        <v>6984</v>
      </c>
      <c r="ECV27" t="s">
        <v>6984</v>
      </c>
      <c r="ECW27" t="s">
        <v>6984</v>
      </c>
      <c r="ECX27" t="s">
        <v>6984</v>
      </c>
      <c r="ECY27" t="s">
        <v>6984</v>
      </c>
      <c r="ECZ27" t="s">
        <v>6984</v>
      </c>
      <c r="EDA27" t="s">
        <v>6984</v>
      </c>
      <c r="EDB27" t="s">
        <v>6984</v>
      </c>
      <c r="EDC27" t="s">
        <v>6984</v>
      </c>
      <c r="EDD27" t="s">
        <v>6984</v>
      </c>
      <c r="EDE27" t="s">
        <v>6984</v>
      </c>
      <c r="EDF27" t="s">
        <v>6984</v>
      </c>
      <c r="EDG27" t="s">
        <v>6984</v>
      </c>
      <c r="EDH27" t="s">
        <v>6984</v>
      </c>
      <c r="EDI27" t="s">
        <v>6984</v>
      </c>
      <c r="EDJ27" t="s">
        <v>6984</v>
      </c>
      <c r="EDK27" t="s">
        <v>6984</v>
      </c>
      <c r="EDL27" t="s">
        <v>6984</v>
      </c>
      <c r="EDM27" t="s">
        <v>6984</v>
      </c>
      <c r="EDN27" t="s">
        <v>6984</v>
      </c>
      <c r="EDO27" t="s">
        <v>6984</v>
      </c>
      <c r="EDP27" t="s">
        <v>6984</v>
      </c>
      <c r="EDQ27" t="s">
        <v>6984</v>
      </c>
      <c r="EDR27" t="s">
        <v>6984</v>
      </c>
      <c r="EDS27" t="s">
        <v>6984</v>
      </c>
      <c r="EDT27" t="s">
        <v>6984</v>
      </c>
      <c r="EDU27" t="s">
        <v>6984</v>
      </c>
      <c r="EDV27" t="s">
        <v>6984</v>
      </c>
      <c r="EDW27" t="s">
        <v>6984</v>
      </c>
      <c r="EDX27" t="s">
        <v>6984</v>
      </c>
      <c r="EDY27" t="s">
        <v>6984</v>
      </c>
      <c r="EDZ27" t="s">
        <v>6984</v>
      </c>
      <c r="EEA27" t="s">
        <v>6984</v>
      </c>
      <c r="EEB27" t="s">
        <v>6984</v>
      </c>
      <c r="EEC27" t="s">
        <v>6984</v>
      </c>
      <c r="EED27" t="s">
        <v>6984</v>
      </c>
      <c r="EEE27" t="s">
        <v>6984</v>
      </c>
      <c r="EEF27" t="s">
        <v>6984</v>
      </c>
      <c r="EEG27" t="s">
        <v>6984</v>
      </c>
      <c r="EEH27" t="s">
        <v>6984</v>
      </c>
      <c r="EEI27" t="s">
        <v>6984</v>
      </c>
      <c r="EEJ27" t="s">
        <v>6984</v>
      </c>
      <c r="EEK27" t="s">
        <v>6984</v>
      </c>
      <c r="EEL27" t="s">
        <v>6984</v>
      </c>
      <c r="EEM27" t="s">
        <v>6984</v>
      </c>
      <c r="EEN27" t="s">
        <v>6984</v>
      </c>
      <c r="EEO27" t="s">
        <v>6984</v>
      </c>
      <c r="EEP27" t="s">
        <v>6984</v>
      </c>
      <c r="EEQ27" t="s">
        <v>6984</v>
      </c>
      <c r="EER27" t="s">
        <v>6984</v>
      </c>
      <c r="EES27" t="s">
        <v>6984</v>
      </c>
      <c r="EET27" t="s">
        <v>6984</v>
      </c>
      <c r="EEU27" t="s">
        <v>6984</v>
      </c>
      <c r="EEV27" t="s">
        <v>6984</v>
      </c>
      <c r="EEW27" t="s">
        <v>6984</v>
      </c>
      <c r="EEX27" t="s">
        <v>6984</v>
      </c>
      <c r="EEY27" t="s">
        <v>6984</v>
      </c>
      <c r="EEZ27" t="s">
        <v>6984</v>
      </c>
      <c r="EFA27" t="s">
        <v>6984</v>
      </c>
      <c r="EFB27" t="s">
        <v>6984</v>
      </c>
      <c r="EFC27" t="s">
        <v>6984</v>
      </c>
      <c r="EFD27" t="s">
        <v>6984</v>
      </c>
      <c r="EFE27" t="s">
        <v>6984</v>
      </c>
      <c r="EFF27" t="s">
        <v>6984</v>
      </c>
      <c r="EFG27" t="s">
        <v>6984</v>
      </c>
      <c r="EFH27" t="s">
        <v>6984</v>
      </c>
      <c r="EFI27" t="s">
        <v>6984</v>
      </c>
      <c r="EFJ27" t="s">
        <v>6984</v>
      </c>
      <c r="EFK27" t="s">
        <v>6984</v>
      </c>
      <c r="EFL27" t="s">
        <v>6984</v>
      </c>
      <c r="EFM27" t="s">
        <v>6984</v>
      </c>
      <c r="EFN27" t="s">
        <v>6984</v>
      </c>
      <c r="EFO27" t="s">
        <v>6984</v>
      </c>
      <c r="EFP27" t="s">
        <v>6984</v>
      </c>
      <c r="EFQ27" t="s">
        <v>6984</v>
      </c>
      <c r="EFR27" t="s">
        <v>6984</v>
      </c>
      <c r="EFS27" t="s">
        <v>6984</v>
      </c>
      <c r="EFT27" t="s">
        <v>6984</v>
      </c>
      <c r="EFU27" t="s">
        <v>6984</v>
      </c>
      <c r="EFV27" t="s">
        <v>6984</v>
      </c>
      <c r="EFW27" t="s">
        <v>6984</v>
      </c>
      <c r="EFX27" t="s">
        <v>6984</v>
      </c>
      <c r="EFY27" t="s">
        <v>6984</v>
      </c>
      <c r="EFZ27" t="s">
        <v>6984</v>
      </c>
      <c r="EGA27" t="s">
        <v>6984</v>
      </c>
      <c r="EGB27" t="s">
        <v>6984</v>
      </c>
      <c r="EGC27" t="s">
        <v>6984</v>
      </c>
      <c r="EGD27" t="s">
        <v>6984</v>
      </c>
      <c r="EGE27" t="s">
        <v>6984</v>
      </c>
      <c r="EGF27" t="s">
        <v>6984</v>
      </c>
      <c r="EGG27" t="s">
        <v>6984</v>
      </c>
      <c r="EGH27" t="s">
        <v>6984</v>
      </c>
      <c r="EGI27" t="s">
        <v>6984</v>
      </c>
      <c r="EGJ27" t="s">
        <v>6984</v>
      </c>
      <c r="EGK27" t="s">
        <v>6984</v>
      </c>
      <c r="EGL27" t="s">
        <v>6984</v>
      </c>
      <c r="EGM27" t="s">
        <v>6984</v>
      </c>
      <c r="EGN27" t="s">
        <v>6984</v>
      </c>
      <c r="EGO27" t="s">
        <v>6984</v>
      </c>
      <c r="EGP27" t="s">
        <v>6984</v>
      </c>
      <c r="EGQ27" t="s">
        <v>6984</v>
      </c>
      <c r="EGR27" t="s">
        <v>6984</v>
      </c>
      <c r="EGS27" t="s">
        <v>6984</v>
      </c>
      <c r="EGT27" t="s">
        <v>6984</v>
      </c>
      <c r="EGU27" t="s">
        <v>6984</v>
      </c>
      <c r="EGV27" t="s">
        <v>6984</v>
      </c>
      <c r="EGW27" t="s">
        <v>6984</v>
      </c>
      <c r="EGX27" t="s">
        <v>6984</v>
      </c>
      <c r="EGY27" t="s">
        <v>6984</v>
      </c>
      <c r="EGZ27" t="s">
        <v>6984</v>
      </c>
      <c r="EHA27" t="s">
        <v>6984</v>
      </c>
      <c r="EHB27" t="s">
        <v>6984</v>
      </c>
      <c r="EHC27" t="s">
        <v>6984</v>
      </c>
      <c r="EHD27" t="s">
        <v>6984</v>
      </c>
      <c r="EHE27" t="s">
        <v>6984</v>
      </c>
      <c r="EHF27" t="s">
        <v>6984</v>
      </c>
      <c r="EHG27" t="s">
        <v>6984</v>
      </c>
      <c r="EHH27" t="s">
        <v>6984</v>
      </c>
      <c r="EHI27" t="s">
        <v>6984</v>
      </c>
      <c r="EHJ27" t="s">
        <v>6984</v>
      </c>
      <c r="EHK27" t="s">
        <v>6984</v>
      </c>
      <c r="EHL27" t="s">
        <v>6984</v>
      </c>
      <c r="EHM27" t="s">
        <v>6984</v>
      </c>
      <c r="EHN27" t="s">
        <v>6984</v>
      </c>
      <c r="EHO27" t="s">
        <v>6984</v>
      </c>
      <c r="EHP27" t="s">
        <v>6984</v>
      </c>
      <c r="EHQ27" t="s">
        <v>6984</v>
      </c>
      <c r="EHR27" t="s">
        <v>6984</v>
      </c>
      <c r="EHS27" t="s">
        <v>6984</v>
      </c>
      <c r="EHT27" t="s">
        <v>6984</v>
      </c>
      <c r="EHU27" t="s">
        <v>6984</v>
      </c>
      <c r="EHV27" t="s">
        <v>6984</v>
      </c>
      <c r="EHW27" t="s">
        <v>6984</v>
      </c>
      <c r="EHX27" t="s">
        <v>6984</v>
      </c>
      <c r="EHY27" t="s">
        <v>6984</v>
      </c>
      <c r="EHZ27" t="s">
        <v>6984</v>
      </c>
      <c r="EIA27" t="s">
        <v>6984</v>
      </c>
      <c r="EIB27" t="s">
        <v>6984</v>
      </c>
      <c r="EIC27" t="s">
        <v>6984</v>
      </c>
      <c r="EID27" t="s">
        <v>6984</v>
      </c>
      <c r="EIE27" t="s">
        <v>6984</v>
      </c>
      <c r="EIF27" t="s">
        <v>6984</v>
      </c>
      <c r="EIG27" t="s">
        <v>6984</v>
      </c>
      <c r="EIH27" t="s">
        <v>6984</v>
      </c>
      <c r="EII27" t="s">
        <v>6984</v>
      </c>
      <c r="EIJ27" t="s">
        <v>6984</v>
      </c>
      <c r="EIK27" t="s">
        <v>6984</v>
      </c>
      <c r="EIL27" t="s">
        <v>6984</v>
      </c>
      <c r="EIM27" t="s">
        <v>6984</v>
      </c>
      <c r="EIN27" t="s">
        <v>6984</v>
      </c>
      <c r="EIO27" t="s">
        <v>6984</v>
      </c>
      <c r="EIP27" t="s">
        <v>6984</v>
      </c>
      <c r="EIQ27" t="s">
        <v>6984</v>
      </c>
      <c r="EIR27" t="s">
        <v>6984</v>
      </c>
      <c r="EIS27" t="s">
        <v>6984</v>
      </c>
      <c r="EIT27" t="s">
        <v>6984</v>
      </c>
      <c r="EIU27" t="s">
        <v>6984</v>
      </c>
      <c r="EIV27" t="s">
        <v>6984</v>
      </c>
      <c r="EIW27" t="s">
        <v>6984</v>
      </c>
      <c r="EIX27" t="s">
        <v>6984</v>
      </c>
      <c r="EIY27" t="s">
        <v>6984</v>
      </c>
      <c r="EIZ27" t="s">
        <v>6984</v>
      </c>
      <c r="EJA27" t="s">
        <v>6984</v>
      </c>
      <c r="EJB27" t="s">
        <v>6984</v>
      </c>
      <c r="EJC27" t="s">
        <v>6984</v>
      </c>
      <c r="EJD27" t="s">
        <v>6984</v>
      </c>
      <c r="EJE27" t="s">
        <v>6984</v>
      </c>
      <c r="EJF27" t="s">
        <v>6984</v>
      </c>
      <c r="EJG27" t="s">
        <v>6984</v>
      </c>
      <c r="EJH27" t="s">
        <v>6984</v>
      </c>
      <c r="EJI27" t="s">
        <v>6984</v>
      </c>
      <c r="EJJ27" t="s">
        <v>6984</v>
      </c>
      <c r="EJK27" t="s">
        <v>6984</v>
      </c>
      <c r="EJL27" t="s">
        <v>6984</v>
      </c>
      <c r="EJM27" t="s">
        <v>6984</v>
      </c>
      <c r="EJN27" t="s">
        <v>6984</v>
      </c>
      <c r="EJO27" t="s">
        <v>6984</v>
      </c>
      <c r="EJP27" t="s">
        <v>6984</v>
      </c>
      <c r="EJQ27" t="s">
        <v>6984</v>
      </c>
      <c r="EJR27" t="s">
        <v>6984</v>
      </c>
      <c r="EJS27" t="s">
        <v>6984</v>
      </c>
      <c r="EJT27" t="s">
        <v>6984</v>
      </c>
      <c r="EJU27" t="s">
        <v>6984</v>
      </c>
      <c r="EJV27" t="s">
        <v>6984</v>
      </c>
      <c r="EJW27" t="s">
        <v>6984</v>
      </c>
      <c r="EJX27" t="s">
        <v>6984</v>
      </c>
      <c r="EJY27" t="s">
        <v>6984</v>
      </c>
      <c r="EJZ27" t="s">
        <v>6984</v>
      </c>
      <c r="EKA27" t="s">
        <v>6984</v>
      </c>
      <c r="EKB27" t="s">
        <v>6984</v>
      </c>
      <c r="EKC27" t="s">
        <v>6984</v>
      </c>
      <c r="EKD27" t="s">
        <v>6984</v>
      </c>
      <c r="EKE27" t="s">
        <v>6984</v>
      </c>
      <c r="EKF27" t="s">
        <v>6984</v>
      </c>
      <c r="EKG27" t="s">
        <v>6984</v>
      </c>
      <c r="EKH27" t="s">
        <v>6984</v>
      </c>
      <c r="EKI27" t="s">
        <v>6984</v>
      </c>
      <c r="EKJ27" t="s">
        <v>6984</v>
      </c>
      <c r="EKK27" t="s">
        <v>6984</v>
      </c>
      <c r="EKL27" t="s">
        <v>6984</v>
      </c>
      <c r="EKM27" t="s">
        <v>6984</v>
      </c>
      <c r="EKN27" t="s">
        <v>6984</v>
      </c>
      <c r="EKO27" t="s">
        <v>6984</v>
      </c>
      <c r="EKP27" t="s">
        <v>6984</v>
      </c>
      <c r="EKQ27" t="s">
        <v>6984</v>
      </c>
      <c r="EKR27" t="s">
        <v>6984</v>
      </c>
      <c r="EKS27" t="s">
        <v>6984</v>
      </c>
      <c r="EKT27" t="s">
        <v>6984</v>
      </c>
      <c r="EKU27" t="s">
        <v>6984</v>
      </c>
      <c r="EKV27" t="s">
        <v>6984</v>
      </c>
      <c r="EKW27" t="s">
        <v>6984</v>
      </c>
      <c r="EKX27" t="s">
        <v>6984</v>
      </c>
      <c r="EKY27" t="s">
        <v>6984</v>
      </c>
      <c r="EKZ27" t="s">
        <v>6984</v>
      </c>
      <c r="ELA27" t="s">
        <v>6984</v>
      </c>
      <c r="ELB27" t="s">
        <v>6984</v>
      </c>
      <c r="ELC27" t="s">
        <v>6984</v>
      </c>
      <c r="ELD27" t="s">
        <v>6984</v>
      </c>
      <c r="ELE27" t="s">
        <v>6984</v>
      </c>
      <c r="ELF27" t="s">
        <v>6984</v>
      </c>
      <c r="ELG27" t="s">
        <v>6984</v>
      </c>
      <c r="ELH27" t="s">
        <v>6984</v>
      </c>
      <c r="ELI27" t="s">
        <v>6984</v>
      </c>
      <c r="ELJ27" t="s">
        <v>6984</v>
      </c>
      <c r="ELK27" t="s">
        <v>6984</v>
      </c>
      <c r="ELL27" t="s">
        <v>6984</v>
      </c>
      <c r="ELM27" t="s">
        <v>6984</v>
      </c>
      <c r="ELN27" t="s">
        <v>6984</v>
      </c>
      <c r="ELO27" t="s">
        <v>6984</v>
      </c>
      <c r="ELP27" t="s">
        <v>6984</v>
      </c>
      <c r="ELQ27" t="s">
        <v>6984</v>
      </c>
      <c r="ELR27" t="s">
        <v>6984</v>
      </c>
      <c r="ELS27" t="s">
        <v>6984</v>
      </c>
      <c r="ELT27" t="s">
        <v>6984</v>
      </c>
      <c r="ELU27" t="s">
        <v>6984</v>
      </c>
      <c r="ELV27" t="s">
        <v>6984</v>
      </c>
      <c r="ELW27" t="s">
        <v>6984</v>
      </c>
      <c r="ELX27" t="s">
        <v>6984</v>
      </c>
      <c r="ELY27" t="s">
        <v>6984</v>
      </c>
      <c r="ELZ27" t="s">
        <v>6984</v>
      </c>
      <c r="EMA27" t="s">
        <v>6984</v>
      </c>
      <c r="EMB27" t="s">
        <v>6984</v>
      </c>
      <c r="EMC27" t="s">
        <v>6984</v>
      </c>
      <c r="EMD27" t="s">
        <v>6984</v>
      </c>
      <c r="EME27" t="s">
        <v>6984</v>
      </c>
      <c r="EMF27" t="s">
        <v>6984</v>
      </c>
      <c r="EMG27" t="s">
        <v>6984</v>
      </c>
      <c r="EMH27" t="s">
        <v>6984</v>
      </c>
      <c r="EMI27" t="s">
        <v>6984</v>
      </c>
      <c r="EMJ27" t="s">
        <v>6984</v>
      </c>
      <c r="EMK27" t="s">
        <v>6984</v>
      </c>
      <c r="EML27" t="s">
        <v>6984</v>
      </c>
      <c r="EMM27" t="s">
        <v>6984</v>
      </c>
      <c r="EMN27" t="s">
        <v>6984</v>
      </c>
      <c r="EMO27" t="s">
        <v>6984</v>
      </c>
      <c r="EMP27" t="s">
        <v>6984</v>
      </c>
      <c r="EMQ27" t="s">
        <v>6984</v>
      </c>
      <c r="EMR27" t="s">
        <v>6984</v>
      </c>
      <c r="EMS27" t="s">
        <v>6984</v>
      </c>
      <c r="EMT27" t="s">
        <v>6984</v>
      </c>
      <c r="EMU27" t="s">
        <v>6984</v>
      </c>
      <c r="EMV27" t="s">
        <v>6984</v>
      </c>
      <c r="EMW27" t="s">
        <v>6984</v>
      </c>
      <c r="EMX27" t="s">
        <v>6984</v>
      </c>
      <c r="EMY27" t="s">
        <v>6984</v>
      </c>
      <c r="EMZ27" t="s">
        <v>6984</v>
      </c>
      <c r="ENA27" t="s">
        <v>6984</v>
      </c>
      <c r="ENB27" t="s">
        <v>6984</v>
      </c>
      <c r="ENC27" t="s">
        <v>6984</v>
      </c>
      <c r="END27" t="s">
        <v>6984</v>
      </c>
      <c r="ENE27" t="s">
        <v>6984</v>
      </c>
      <c r="ENF27" t="s">
        <v>6984</v>
      </c>
      <c r="ENG27" t="s">
        <v>6984</v>
      </c>
      <c r="ENH27" t="s">
        <v>6984</v>
      </c>
      <c r="ENI27" t="s">
        <v>6984</v>
      </c>
      <c r="ENJ27" t="s">
        <v>6984</v>
      </c>
      <c r="ENK27" t="s">
        <v>6984</v>
      </c>
      <c r="ENL27" t="s">
        <v>6984</v>
      </c>
      <c r="ENM27" t="s">
        <v>6984</v>
      </c>
      <c r="ENN27" t="s">
        <v>6984</v>
      </c>
      <c r="ENO27" t="s">
        <v>6984</v>
      </c>
      <c r="ENP27" t="s">
        <v>6984</v>
      </c>
      <c r="ENQ27" t="s">
        <v>6984</v>
      </c>
      <c r="ENR27" t="s">
        <v>6984</v>
      </c>
      <c r="ENS27" t="s">
        <v>6984</v>
      </c>
      <c r="ENT27" t="s">
        <v>6984</v>
      </c>
      <c r="ENU27" t="s">
        <v>6984</v>
      </c>
      <c r="ENV27" t="s">
        <v>6984</v>
      </c>
      <c r="ENW27" t="s">
        <v>6984</v>
      </c>
      <c r="ENX27" t="s">
        <v>6984</v>
      </c>
      <c r="ENY27" t="s">
        <v>6984</v>
      </c>
      <c r="ENZ27" t="s">
        <v>6984</v>
      </c>
      <c r="EOA27" t="s">
        <v>6984</v>
      </c>
      <c r="EOB27" t="s">
        <v>6984</v>
      </c>
      <c r="EOC27" t="s">
        <v>6984</v>
      </c>
      <c r="EOD27" t="s">
        <v>6984</v>
      </c>
      <c r="EOE27" t="s">
        <v>6984</v>
      </c>
      <c r="EOF27" t="s">
        <v>6984</v>
      </c>
      <c r="EOG27" t="s">
        <v>6984</v>
      </c>
      <c r="EOH27" t="s">
        <v>6984</v>
      </c>
      <c r="EOI27" t="s">
        <v>6984</v>
      </c>
      <c r="EOJ27" t="s">
        <v>6984</v>
      </c>
      <c r="EOK27" t="s">
        <v>6984</v>
      </c>
      <c r="EOL27" t="s">
        <v>6984</v>
      </c>
      <c r="EOM27" t="s">
        <v>6984</v>
      </c>
      <c r="EON27" t="s">
        <v>6984</v>
      </c>
      <c r="EOO27" t="s">
        <v>6984</v>
      </c>
      <c r="EOP27" t="s">
        <v>6984</v>
      </c>
      <c r="EOQ27" t="s">
        <v>6984</v>
      </c>
      <c r="EOR27" t="s">
        <v>6984</v>
      </c>
      <c r="EOS27" t="s">
        <v>6984</v>
      </c>
      <c r="EOT27" t="s">
        <v>6984</v>
      </c>
      <c r="EOU27" t="s">
        <v>6984</v>
      </c>
      <c r="EOV27" t="s">
        <v>6984</v>
      </c>
      <c r="EOW27" t="s">
        <v>6984</v>
      </c>
      <c r="EOX27" t="s">
        <v>6984</v>
      </c>
      <c r="EOY27" t="s">
        <v>6984</v>
      </c>
      <c r="EOZ27" t="s">
        <v>6984</v>
      </c>
      <c r="EPA27" t="s">
        <v>6984</v>
      </c>
      <c r="EPB27" t="s">
        <v>6984</v>
      </c>
      <c r="EPC27" t="s">
        <v>6984</v>
      </c>
      <c r="EPD27" t="s">
        <v>6984</v>
      </c>
      <c r="EPE27" t="s">
        <v>6984</v>
      </c>
      <c r="EPF27" t="s">
        <v>6984</v>
      </c>
      <c r="EPG27" t="s">
        <v>6984</v>
      </c>
      <c r="EPH27" t="s">
        <v>6984</v>
      </c>
      <c r="EPI27" t="s">
        <v>6984</v>
      </c>
      <c r="EPJ27" t="s">
        <v>6984</v>
      </c>
      <c r="EPK27" t="s">
        <v>6984</v>
      </c>
      <c r="EPL27" t="s">
        <v>6984</v>
      </c>
      <c r="EPM27" t="s">
        <v>6984</v>
      </c>
      <c r="EPN27" t="s">
        <v>6984</v>
      </c>
      <c r="EPO27" t="s">
        <v>6984</v>
      </c>
      <c r="EPP27" t="s">
        <v>6984</v>
      </c>
      <c r="EPQ27" t="s">
        <v>6984</v>
      </c>
      <c r="EPR27" t="s">
        <v>6984</v>
      </c>
      <c r="EPS27" t="s">
        <v>6984</v>
      </c>
      <c r="EPT27" t="s">
        <v>6984</v>
      </c>
      <c r="EPU27" t="s">
        <v>6984</v>
      </c>
      <c r="EPV27" t="s">
        <v>6984</v>
      </c>
      <c r="EPW27" t="s">
        <v>6984</v>
      </c>
      <c r="EPX27" t="s">
        <v>6984</v>
      </c>
      <c r="EPY27" t="s">
        <v>6984</v>
      </c>
      <c r="EPZ27" t="s">
        <v>6984</v>
      </c>
      <c r="EQA27" t="s">
        <v>6984</v>
      </c>
      <c r="EQB27" t="s">
        <v>6984</v>
      </c>
      <c r="EQC27" t="s">
        <v>6984</v>
      </c>
      <c r="EQD27" t="s">
        <v>6984</v>
      </c>
      <c r="EQE27" t="s">
        <v>6984</v>
      </c>
      <c r="EQF27" t="s">
        <v>6984</v>
      </c>
      <c r="EQG27" t="s">
        <v>6984</v>
      </c>
      <c r="EQH27" t="s">
        <v>6984</v>
      </c>
      <c r="EQI27" t="s">
        <v>6984</v>
      </c>
      <c r="EQJ27" t="s">
        <v>6984</v>
      </c>
      <c r="EQK27" t="s">
        <v>6984</v>
      </c>
      <c r="EQL27" t="s">
        <v>6984</v>
      </c>
      <c r="EQM27" t="s">
        <v>6984</v>
      </c>
      <c r="EQN27" t="s">
        <v>6984</v>
      </c>
      <c r="EQO27" t="s">
        <v>6984</v>
      </c>
      <c r="EQP27" t="s">
        <v>6984</v>
      </c>
      <c r="EQQ27" t="s">
        <v>6984</v>
      </c>
      <c r="EQR27" t="s">
        <v>6984</v>
      </c>
      <c r="EQS27" t="s">
        <v>6984</v>
      </c>
      <c r="EQT27" t="s">
        <v>6984</v>
      </c>
      <c r="EQU27" t="s">
        <v>6984</v>
      </c>
      <c r="EQV27" t="s">
        <v>6984</v>
      </c>
      <c r="EQW27" t="s">
        <v>6984</v>
      </c>
      <c r="EQX27" t="s">
        <v>6984</v>
      </c>
      <c r="EQY27" t="s">
        <v>6984</v>
      </c>
      <c r="EQZ27" t="s">
        <v>6984</v>
      </c>
      <c r="ERA27" t="s">
        <v>6984</v>
      </c>
      <c r="ERB27" t="s">
        <v>6984</v>
      </c>
      <c r="ERC27" t="s">
        <v>6984</v>
      </c>
      <c r="ERD27" t="s">
        <v>6984</v>
      </c>
      <c r="ERE27" t="s">
        <v>6984</v>
      </c>
      <c r="ERF27" t="s">
        <v>6984</v>
      </c>
      <c r="ERG27" t="s">
        <v>6984</v>
      </c>
      <c r="ERH27" t="s">
        <v>6984</v>
      </c>
      <c r="ERI27" t="s">
        <v>6984</v>
      </c>
      <c r="ERJ27" t="s">
        <v>6984</v>
      </c>
      <c r="ERK27" t="s">
        <v>6984</v>
      </c>
      <c r="ERL27" t="s">
        <v>6984</v>
      </c>
      <c r="ERM27" t="s">
        <v>6984</v>
      </c>
      <c r="ERN27" t="s">
        <v>6984</v>
      </c>
      <c r="ERO27" t="s">
        <v>6984</v>
      </c>
      <c r="ERP27" t="s">
        <v>6984</v>
      </c>
      <c r="ERQ27" t="s">
        <v>6984</v>
      </c>
      <c r="ERR27" t="s">
        <v>6984</v>
      </c>
      <c r="ERS27" t="s">
        <v>6984</v>
      </c>
      <c r="ERT27" t="s">
        <v>6984</v>
      </c>
      <c r="ERU27" t="s">
        <v>6984</v>
      </c>
      <c r="ERV27" t="s">
        <v>6984</v>
      </c>
      <c r="ERW27" t="s">
        <v>6984</v>
      </c>
      <c r="ERX27" t="s">
        <v>6984</v>
      </c>
      <c r="ERY27" t="s">
        <v>6984</v>
      </c>
      <c r="ERZ27" t="s">
        <v>6984</v>
      </c>
      <c r="ESA27" t="s">
        <v>6984</v>
      </c>
      <c r="ESB27" t="s">
        <v>6984</v>
      </c>
      <c r="ESC27" t="s">
        <v>6984</v>
      </c>
      <c r="ESD27" t="s">
        <v>6984</v>
      </c>
      <c r="ESE27" t="s">
        <v>6984</v>
      </c>
      <c r="ESF27" t="s">
        <v>6984</v>
      </c>
      <c r="ESG27" t="s">
        <v>6984</v>
      </c>
      <c r="ESH27" t="s">
        <v>6984</v>
      </c>
      <c r="ESI27" t="s">
        <v>6984</v>
      </c>
      <c r="ESJ27" t="s">
        <v>6984</v>
      </c>
      <c r="ESK27" t="s">
        <v>6984</v>
      </c>
      <c r="ESL27" t="s">
        <v>6984</v>
      </c>
      <c r="ESM27" t="s">
        <v>6984</v>
      </c>
      <c r="ESN27" t="s">
        <v>6984</v>
      </c>
      <c r="ESO27" t="s">
        <v>6984</v>
      </c>
      <c r="ESP27" t="s">
        <v>6984</v>
      </c>
      <c r="ESQ27" t="s">
        <v>6984</v>
      </c>
      <c r="ESR27" t="s">
        <v>6984</v>
      </c>
      <c r="ESS27" t="s">
        <v>6984</v>
      </c>
      <c r="EST27" t="s">
        <v>6984</v>
      </c>
      <c r="ESU27" t="s">
        <v>6984</v>
      </c>
      <c r="ESV27" t="s">
        <v>6984</v>
      </c>
      <c r="ESW27" t="s">
        <v>6984</v>
      </c>
      <c r="ESX27" t="s">
        <v>6984</v>
      </c>
      <c r="ESY27" t="s">
        <v>6984</v>
      </c>
      <c r="ESZ27" t="s">
        <v>6984</v>
      </c>
      <c r="ETA27" t="s">
        <v>6984</v>
      </c>
      <c r="ETB27" t="s">
        <v>6984</v>
      </c>
      <c r="ETC27" t="s">
        <v>6984</v>
      </c>
      <c r="ETD27" t="s">
        <v>6984</v>
      </c>
      <c r="ETE27" t="s">
        <v>6984</v>
      </c>
      <c r="ETF27" t="s">
        <v>6984</v>
      </c>
      <c r="ETG27" t="s">
        <v>6984</v>
      </c>
      <c r="ETH27" t="s">
        <v>6984</v>
      </c>
      <c r="ETI27" t="s">
        <v>6984</v>
      </c>
      <c r="ETJ27" t="s">
        <v>6984</v>
      </c>
      <c r="ETK27" t="s">
        <v>6984</v>
      </c>
      <c r="ETL27" t="s">
        <v>6984</v>
      </c>
      <c r="ETM27" t="s">
        <v>6984</v>
      </c>
      <c r="ETN27" t="s">
        <v>6984</v>
      </c>
      <c r="ETO27" t="s">
        <v>6984</v>
      </c>
      <c r="ETP27" t="s">
        <v>6984</v>
      </c>
      <c r="ETQ27" t="s">
        <v>6984</v>
      </c>
      <c r="ETR27" t="s">
        <v>6984</v>
      </c>
      <c r="ETS27" t="s">
        <v>6984</v>
      </c>
      <c r="ETT27" t="s">
        <v>6984</v>
      </c>
      <c r="ETU27" t="s">
        <v>6984</v>
      </c>
      <c r="ETV27" t="s">
        <v>6984</v>
      </c>
      <c r="ETW27" t="s">
        <v>6984</v>
      </c>
      <c r="ETX27" t="s">
        <v>6984</v>
      </c>
      <c r="ETY27" t="s">
        <v>6984</v>
      </c>
      <c r="ETZ27" t="s">
        <v>6984</v>
      </c>
      <c r="EUA27" t="s">
        <v>6984</v>
      </c>
      <c r="EUB27" t="s">
        <v>6984</v>
      </c>
      <c r="EUC27" t="s">
        <v>6984</v>
      </c>
      <c r="EUD27" t="s">
        <v>6984</v>
      </c>
      <c r="EUE27" t="s">
        <v>6984</v>
      </c>
      <c r="EUF27" t="s">
        <v>6984</v>
      </c>
      <c r="EUG27" t="s">
        <v>6984</v>
      </c>
      <c r="EUH27" t="s">
        <v>6984</v>
      </c>
      <c r="EUI27" t="s">
        <v>6984</v>
      </c>
      <c r="EUJ27" t="s">
        <v>6984</v>
      </c>
      <c r="EUK27" t="s">
        <v>6984</v>
      </c>
      <c r="EUL27" t="s">
        <v>6984</v>
      </c>
      <c r="EUM27" t="s">
        <v>6984</v>
      </c>
      <c r="EUN27" t="s">
        <v>6984</v>
      </c>
      <c r="EUO27" t="s">
        <v>6984</v>
      </c>
      <c r="EUP27" t="s">
        <v>6984</v>
      </c>
      <c r="EUQ27" t="s">
        <v>6984</v>
      </c>
      <c r="EUR27" t="s">
        <v>6984</v>
      </c>
      <c r="EUS27" t="s">
        <v>6984</v>
      </c>
      <c r="EUT27" t="s">
        <v>6984</v>
      </c>
      <c r="EUU27" t="s">
        <v>6984</v>
      </c>
      <c r="EUV27" t="s">
        <v>6984</v>
      </c>
      <c r="EUW27" t="s">
        <v>6984</v>
      </c>
      <c r="EUX27" t="s">
        <v>6984</v>
      </c>
      <c r="EUY27" t="s">
        <v>6984</v>
      </c>
      <c r="EUZ27" t="s">
        <v>6984</v>
      </c>
      <c r="EVA27" t="s">
        <v>6984</v>
      </c>
      <c r="EVB27" t="s">
        <v>6984</v>
      </c>
      <c r="EVC27" t="s">
        <v>6984</v>
      </c>
      <c r="EVD27" t="s">
        <v>6984</v>
      </c>
      <c r="EVE27" t="s">
        <v>6984</v>
      </c>
      <c r="EVF27" t="s">
        <v>6984</v>
      </c>
      <c r="EVG27" t="s">
        <v>6984</v>
      </c>
      <c r="EVH27" t="s">
        <v>6984</v>
      </c>
      <c r="EVI27" t="s">
        <v>6984</v>
      </c>
      <c r="EVJ27" t="s">
        <v>6984</v>
      </c>
      <c r="EVK27" t="s">
        <v>6984</v>
      </c>
      <c r="EVL27" t="s">
        <v>6984</v>
      </c>
      <c r="EVM27" t="s">
        <v>6984</v>
      </c>
      <c r="EVN27" t="s">
        <v>6984</v>
      </c>
      <c r="EVO27" t="s">
        <v>6984</v>
      </c>
      <c r="EVP27" t="s">
        <v>6984</v>
      </c>
      <c r="EVQ27" t="s">
        <v>6984</v>
      </c>
      <c r="EVR27" t="s">
        <v>6984</v>
      </c>
      <c r="EVS27" t="s">
        <v>6984</v>
      </c>
      <c r="EVT27" t="s">
        <v>6984</v>
      </c>
      <c r="EVU27" t="s">
        <v>6984</v>
      </c>
      <c r="EVV27" t="s">
        <v>6984</v>
      </c>
      <c r="EVW27" t="s">
        <v>6984</v>
      </c>
      <c r="EVX27" t="s">
        <v>6984</v>
      </c>
      <c r="EVY27" t="s">
        <v>6984</v>
      </c>
      <c r="EVZ27" t="s">
        <v>6984</v>
      </c>
      <c r="EWA27" t="s">
        <v>6984</v>
      </c>
      <c r="EWB27" t="s">
        <v>6984</v>
      </c>
      <c r="EWC27" t="s">
        <v>6984</v>
      </c>
      <c r="EWD27" t="s">
        <v>6984</v>
      </c>
      <c r="EWE27" t="s">
        <v>6984</v>
      </c>
      <c r="EWF27" t="s">
        <v>6984</v>
      </c>
      <c r="EWG27" t="s">
        <v>6984</v>
      </c>
      <c r="EWH27" t="s">
        <v>6984</v>
      </c>
      <c r="EWI27" t="s">
        <v>6984</v>
      </c>
      <c r="EWJ27" t="s">
        <v>6984</v>
      </c>
      <c r="EWK27" t="s">
        <v>6984</v>
      </c>
      <c r="EWL27" t="s">
        <v>6984</v>
      </c>
      <c r="EWM27" t="s">
        <v>6984</v>
      </c>
      <c r="EWN27" t="s">
        <v>6984</v>
      </c>
      <c r="EWO27" t="s">
        <v>6984</v>
      </c>
      <c r="EWP27" t="s">
        <v>6984</v>
      </c>
      <c r="EWQ27" t="s">
        <v>6984</v>
      </c>
      <c r="EWR27" t="s">
        <v>6984</v>
      </c>
      <c r="EWS27" t="s">
        <v>6984</v>
      </c>
      <c r="EWT27" t="s">
        <v>6984</v>
      </c>
      <c r="EWU27" t="s">
        <v>6984</v>
      </c>
      <c r="EWV27" t="s">
        <v>6984</v>
      </c>
      <c r="EWW27" t="s">
        <v>6984</v>
      </c>
      <c r="EWX27" t="s">
        <v>6984</v>
      </c>
      <c r="EWY27" t="s">
        <v>6984</v>
      </c>
      <c r="EWZ27" t="s">
        <v>6984</v>
      </c>
      <c r="EXA27" t="s">
        <v>6984</v>
      </c>
      <c r="EXB27" t="s">
        <v>6984</v>
      </c>
      <c r="EXC27" t="s">
        <v>6984</v>
      </c>
      <c r="EXD27" t="s">
        <v>6984</v>
      </c>
      <c r="EXE27" t="s">
        <v>6984</v>
      </c>
      <c r="EXF27" t="s">
        <v>6984</v>
      </c>
      <c r="EXG27" t="s">
        <v>6984</v>
      </c>
      <c r="EXH27" t="s">
        <v>6984</v>
      </c>
      <c r="EXI27" t="s">
        <v>6984</v>
      </c>
      <c r="EXJ27" t="s">
        <v>6984</v>
      </c>
      <c r="EXK27" t="s">
        <v>6984</v>
      </c>
      <c r="EXL27" t="s">
        <v>6984</v>
      </c>
      <c r="EXM27" t="s">
        <v>6984</v>
      </c>
      <c r="EXN27" t="s">
        <v>6984</v>
      </c>
      <c r="EXO27" t="s">
        <v>6984</v>
      </c>
      <c r="EXP27" t="s">
        <v>6984</v>
      </c>
      <c r="EXQ27" t="s">
        <v>6984</v>
      </c>
      <c r="EXR27" t="s">
        <v>6984</v>
      </c>
      <c r="EXS27" t="s">
        <v>6984</v>
      </c>
      <c r="EXT27" t="s">
        <v>6984</v>
      </c>
      <c r="EXU27" t="s">
        <v>6984</v>
      </c>
      <c r="EXV27" t="s">
        <v>6984</v>
      </c>
      <c r="EXW27" t="s">
        <v>6984</v>
      </c>
      <c r="EXX27" t="s">
        <v>6984</v>
      </c>
      <c r="EXY27" t="s">
        <v>6984</v>
      </c>
      <c r="EXZ27" t="s">
        <v>6984</v>
      </c>
      <c r="EYA27" t="s">
        <v>6984</v>
      </c>
      <c r="EYB27" t="s">
        <v>6984</v>
      </c>
      <c r="EYC27" t="s">
        <v>6984</v>
      </c>
      <c r="EYD27" t="s">
        <v>6984</v>
      </c>
      <c r="EYE27" t="s">
        <v>6984</v>
      </c>
      <c r="EYF27" t="s">
        <v>6984</v>
      </c>
      <c r="EYG27" t="s">
        <v>6984</v>
      </c>
      <c r="EYH27" t="s">
        <v>6984</v>
      </c>
      <c r="EYI27" t="s">
        <v>6984</v>
      </c>
      <c r="EYJ27" t="s">
        <v>6984</v>
      </c>
      <c r="EYK27" t="s">
        <v>6984</v>
      </c>
      <c r="EYL27" t="s">
        <v>6984</v>
      </c>
      <c r="EYM27" t="s">
        <v>6984</v>
      </c>
      <c r="EYN27" t="s">
        <v>6984</v>
      </c>
      <c r="EYO27" t="s">
        <v>6984</v>
      </c>
      <c r="EYP27" t="s">
        <v>6984</v>
      </c>
      <c r="EYQ27" t="s">
        <v>6984</v>
      </c>
      <c r="EYR27" t="s">
        <v>6984</v>
      </c>
      <c r="EYS27" t="s">
        <v>6984</v>
      </c>
      <c r="EYT27" t="s">
        <v>6984</v>
      </c>
      <c r="EYU27" t="s">
        <v>6984</v>
      </c>
      <c r="EYV27" t="s">
        <v>6984</v>
      </c>
      <c r="EYW27" t="s">
        <v>6984</v>
      </c>
      <c r="EYX27" t="s">
        <v>6984</v>
      </c>
      <c r="EYY27" t="s">
        <v>6984</v>
      </c>
      <c r="EYZ27" t="s">
        <v>6984</v>
      </c>
      <c r="EZA27" t="s">
        <v>6984</v>
      </c>
      <c r="EZB27" t="s">
        <v>6984</v>
      </c>
      <c r="EZC27" t="s">
        <v>6984</v>
      </c>
      <c r="EZD27" t="s">
        <v>6984</v>
      </c>
      <c r="EZE27" t="s">
        <v>6984</v>
      </c>
      <c r="EZF27" t="s">
        <v>6984</v>
      </c>
      <c r="EZG27" t="s">
        <v>6984</v>
      </c>
      <c r="EZH27" t="s">
        <v>6984</v>
      </c>
      <c r="EZI27" t="s">
        <v>6984</v>
      </c>
      <c r="EZJ27" t="s">
        <v>6984</v>
      </c>
      <c r="EZK27" t="s">
        <v>6984</v>
      </c>
      <c r="EZL27" t="s">
        <v>6984</v>
      </c>
      <c r="EZM27" t="s">
        <v>6984</v>
      </c>
      <c r="EZN27" t="s">
        <v>6984</v>
      </c>
      <c r="EZO27" t="s">
        <v>6984</v>
      </c>
      <c r="EZP27" t="s">
        <v>6984</v>
      </c>
      <c r="EZQ27" t="s">
        <v>6984</v>
      </c>
      <c r="EZR27" t="s">
        <v>6984</v>
      </c>
      <c r="EZS27" t="s">
        <v>6984</v>
      </c>
      <c r="EZT27" t="s">
        <v>6984</v>
      </c>
      <c r="EZU27" t="s">
        <v>6984</v>
      </c>
      <c r="EZV27" t="s">
        <v>6984</v>
      </c>
      <c r="EZW27" t="s">
        <v>6984</v>
      </c>
      <c r="EZX27" t="s">
        <v>6984</v>
      </c>
      <c r="EZY27" t="s">
        <v>6984</v>
      </c>
      <c r="EZZ27" t="s">
        <v>6984</v>
      </c>
      <c r="FAA27" t="s">
        <v>6984</v>
      </c>
      <c r="FAB27" t="s">
        <v>6984</v>
      </c>
      <c r="FAC27" t="s">
        <v>6984</v>
      </c>
      <c r="FAD27" t="s">
        <v>6984</v>
      </c>
      <c r="FAE27" t="s">
        <v>6984</v>
      </c>
      <c r="FAF27" t="s">
        <v>6984</v>
      </c>
      <c r="FAG27" t="s">
        <v>6984</v>
      </c>
      <c r="FAH27" t="s">
        <v>6984</v>
      </c>
      <c r="FAI27" t="s">
        <v>6984</v>
      </c>
      <c r="FAJ27" t="s">
        <v>6984</v>
      </c>
      <c r="FAK27" t="s">
        <v>6984</v>
      </c>
      <c r="FAL27" t="s">
        <v>6984</v>
      </c>
      <c r="FAM27" t="s">
        <v>6984</v>
      </c>
      <c r="FAN27" t="s">
        <v>6984</v>
      </c>
      <c r="FAO27" t="s">
        <v>6984</v>
      </c>
      <c r="FAP27" t="s">
        <v>6984</v>
      </c>
      <c r="FAQ27" t="s">
        <v>6984</v>
      </c>
      <c r="FAR27" t="s">
        <v>6984</v>
      </c>
      <c r="FAS27" t="s">
        <v>6984</v>
      </c>
      <c r="FAT27" t="s">
        <v>6984</v>
      </c>
      <c r="FAU27" t="s">
        <v>6984</v>
      </c>
      <c r="FAV27" t="s">
        <v>6984</v>
      </c>
      <c r="FAW27" t="s">
        <v>6984</v>
      </c>
      <c r="FAX27" t="s">
        <v>6984</v>
      </c>
      <c r="FAY27" t="s">
        <v>6984</v>
      </c>
      <c r="FAZ27" t="s">
        <v>6984</v>
      </c>
      <c r="FBA27" t="s">
        <v>6984</v>
      </c>
      <c r="FBB27" t="s">
        <v>6984</v>
      </c>
      <c r="FBC27" t="s">
        <v>6984</v>
      </c>
      <c r="FBD27" t="s">
        <v>6984</v>
      </c>
      <c r="FBE27" t="s">
        <v>6984</v>
      </c>
      <c r="FBF27" t="s">
        <v>6984</v>
      </c>
      <c r="FBG27" t="s">
        <v>6984</v>
      </c>
      <c r="FBH27" t="s">
        <v>6984</v>
      </c>
      <c r="FBI27" t="s">
        <v>6984</v>
      </c>
      <c r="FBJ27" t="s">
        <v>6984</v>
      </c>
      <c r="FBK27" t="s">
        <v>6984</v>
      </c>
      <c r="FBL27" t="s">
        <v>6984</v>
      </c>
      <c r="FBM27" t="s">
        <v>6984</v>
      </c>
      <c r="FBN27" t="s">
        <v>6984</v>
      </c>
      <c r="FBO27" t="s">
        <v>6984</v>
      </c>
      <c r="FBP27" t="s">
        <v>6984</v>
      </c>
      <c r="FBQ27" t="s">
        <v>6984</v>
      </c>
      <c r="FBR27" t="s">
        <v>6984</v>
      </c>
      <c r="FBS27" t="s">
        <v>6984</v>
      </c>
      <c r="FBT27" t="s">
        <v>6984</v>
      </c>
      <c r="FBU27" t="s">
        <v>6984</v>
      </c>
      <c r="FBV27" t="s">
        <v>6984</v>
      </c>
      <c r="FBW27" t="s">
        <v>6984</v>
      </c>
      <c r="FBX27" t="s">
        <v>6984</v>
      </c>
      <c r="FBY27" t="s">
        <v>6984</v>
      </c>
      <c r="FBZ27" t="s">
        <v>6984</v>
      </c>
      <c r="FCA27" t="s">
        <v>6984</v>
      </c>
      <c r="FCB27" t="s">
        <v>6984</v>
      </c>
      <c r="FCC27" t="s">
        <v>6984</v>
      </c>
      <c r="FCD27" t="s">
        <v>6984</v>
      </c>
      <c r="FCE27" t="s">
        <v>6984</v>
      </c>
      <c r="FCF27" t="s">
        <v>6984</v>
      </c>
      <c r="FCG27" t="s">
        <v>6984</v>
      </c>
      <c r="FCH27" t="s">
        <v>6984</v>
      </c>
      <c r="FCI27" t="s">
        <v>6984</v>
      </c>
      <c r="FCJ27" t="s">
        <v>6984</v>
      </c>
      <c r="FCK27" t="s">
        <v>6984</v>
      </c>
      <c r="FCL27" t="s">
        <v>6984</v>
      </c>
      <c r="FCM27" t="s">
        <v>6984</v>
      </c>
      <c r="FCN27" t="s">
        <v>6984</v>
      </c>
      <c r="FCO27" t="s">
        <v>6984</v>
      </c>
      <c r="FCP27" t="s">
        <v>6984</v>
      </c>
      <c r="FCQ27" t="s">
        <v>6984</v>
      </c>
      <c r="FCR27" t="s">
        <v>6984</v>
      </c>
      <c r="FCS27" t="s">
        <v>6984</v>
      </c>
      <c r="FCT27" t="s">
        <v>6984</v>
      </c>
      <c r="FCU27" t="s">
        <v>6984</v>
      </c>
      <c r="FCV27" t="s">
        <v>6984</v>
      </c>
      <c r="FCW27" t="s">
        <v>6984</v>
      </c>
      <c r="FCX27" t="s">
        <v>6984</v>
      </c>
      <c r="FCY27" t="s">
        <v>6984</v>
      </c>
      <c r="FCZ27" t="s">
        <v>6984</v>
      </c>
      <c r="FDA27" t="s">
        <v>6984</v>
      </c>
      <c r="FDB27" t="s">
        <v>6984</v>
      </c>
      <c r="FDC27" t="s">
        <v>6984</v>
      </c>
      <c r="FDD27" t="s">
        <v>6984</v>
      </c>
      <c r="FDE27" t="s">
        <v>6984</v>
      </c>
      <c r="FDF27" t="s">
        <v>6984</v>
      </c>
      <c r="FDG27" t="s">
        <v>6984</v>
      </c>
      <c r="FDH27" t="s">
        <v>6984</v>
      </c>
      <c r="FDI27" t="s">
        <v>6984</v>
      </c>
      <c r="FDJ27" t="s">
        <v>6984</v>
      </c>
      <c r="FDK27" t="s">
        <v>6984</v>
      </c>
      <c r="FDL27" t="s">
        <v>6984</v>
      </c>
      <c r="FDM27" t="s">
        <v>6984</v>
      </c>
      <c r="FDN27" t="s">
        <v>6984</v>
      </c>
      <c r="FDO27" t="s">
        <v>6984</v>
      </c>
      <c r="FDP27" t="s">
        <v>6984</v>
      </c>
      <c r="FDQ27" t="s">
        <v>6984</v>
      </c>
      <c r="FDR27" t="s">
        <v>6984</v>
      </c>
      <c r="FDS27" t="s">
        <v>6984</v>
      </c>
      <c r="FDT27" t="s">
        <v>6984</v>
      </c>
      <c r="FDU27" t="s">
        <v>6984</v>
      </c>
      <c r="FDV27" t="s">
        <v>6984</v>
      </c>
      <c r="FDW27" t="s">
        <v>6984</v>
      </c>
      <c r="FDX27" t="s">
        <v>6984</v>
      </c>
      <c r="FDY27" t="s">
        <v>6984</v>
      </c>
      <c r="FDZ27" t="s">
        <v>6984</v>
      </c>
      <c r="FEA27" t="s">
        <v>6984</v>
      </c>
      <c r="FEB27" t="s">
        <v>6984</v>
      </c>
      <c r="FEC27" t="s">
        <v>6984</v>
      </c>
      <c r="FED27" t="s">
        <v>6984</v>
      </c>
      <c r="FEE27" t="s">
        <v>6984</v>
      </c>
      <c r="FEF27" t="s">
        <v>6984</v>
      </c>
      <c r="FEG27" t="s">
        <v>6984</v>
      </c>
      <c r="FEH27" t="s">
        <v>6984</v>
      </c>
      <c r="FEI27" t="s">
        <v>6984</v>
      </c>
      <c r="FEJ27" t="s">
        <v>6984</v>
      </c>
      <c r="FEK27" t="s">
        <v>6984</v>
      </c>
      <c r="FEL27" t="s">
        <v>6984</v>
      </c>
      <c r="FEM27" t="s">
        <v>6984</v>
      </c>
      <c r="FEN27" t="s">
        <v>6984</v>
      </c>
      <c r="FEO27" t="s">
        <v>6984</v>
      </c>
      <c r="FEP27" t="s">
        <v>6984</v>
      </c>
      <c r="FEQ27" t="s">
        <v>6984</v>
      </c>
      <c r="FER27" t="s">
        <v>6984</v>
      </c>
      <c r="FES27" t="s">
        <v>6984</v>
      </c>
      <c r="FET27" t="s">
        <v>6984</v>
      </c>
      <c r="FEU27" t="s">
        <v>6984</v>
      </c>
      <c r="FEV27" t="s">
        <v>6984</v>
      </c>
      <c r="FEW27" t="s">
        <v>6984</v>
      </c>
      <c r="FEX27" t="s">
        <v>6984</v>
      </c>
      <c r="FEY27" t="s">
        <v>6984</v>
      </c>
      <c r="FEZ27" t="s">
        <v>6984</v>
      </c>
      <c r="FFA27" t="s">
        <v>6984</v>
      </c>
      <c r="FFB27" t="s">
        <v>6984</v>
      </c>
      <c r="FFC27" t="s">
        <v>6984</v>
      </c>
      <c r="FFD27" t="s">
        <v>6984</v>
      </c>
      <c r="FFE27" t="s">
        <v>6984</v>
      </c>
      <c r="FFF27" t="s">
        <v>6984</v>
      </c>
      <c r="FFG27" t="s">
        <v>6984</v>
      </c>
      <c r="FFH27" t="s">
        <v>6984</v>
      </c>
      <c r="FFI27" t="s">
        <v>6984</v>
      </c>
      <c r="FFJ27" t="s">
        <v>6984</v>
      </c>
      <c r="FFK27" t="s">
        <v>6984</v>
      </c>
      <c r="FFL27" t="s">
        <v>6984</v>
      </c>
      <c r="FFM27" t="s">
        <v>6984</v>
      </c>
      <c r="FFN27" t="s">
        <v>6984</v>
      </c>
      <c r="FFO27" t="s">
        <v>6984</v>
      </c>
      <c r="FFP27" t="s">
        <v>6984</v>
      </c>
      <c r="FFQ27" t="s">
        <v>6984</v>
      </c>
      <c r="FFR27" t="s">
        <v>6984</v>
      </c>
      <c r="FFS27" t="s">
        <v>6984</v>
      </c>
      <c r="FFT27" t="s">
        <v>6984</v>
      </c>
      <c r="FFU27" t="s">
        <v>6984</v>
      </c>
      <c r="FFV27" t="s">
        <v>6984</v>
      </c>
      <c r="FFW27" t="s">
        <v>6984</v>
      </c>
      <c r="FFX27" t="s">
        <v>6984</v>
      </c>
      <c r="FFY27" t="s">
        <v>6984</v>
      </c>
      <c r="FFZ27" t="s">
        <v>6984</v>
      </c>
      <c r="FGA27" t="s">
        <v>6984</v>
      </c>
      <c r="FGB27" t="s">
        <v>6984</v>
      </c>
      <c r="FGC27" t="s">
        <v>6984</v>
      </c>
      <c r="FGD27" t="s">
        <v>6984</v>
      </c>
      <c r="FGE27" t="s">
        <v>6984</v>
      </c>
      <c r="FGF27" t="s">
        <v>6984</v>
      </c>
      <c r="FGG27" t="s">
        <v>6984</v>
      </c>
      <c r="FGH27" t="s">
        <v>6984</v>
      </c>
      <c r="FGI27" t="s">
        <v>6984</v>
      </c>
      <c r="FGJ27" t="s">
        <v>6984</v>
      </c>
      <c r="FGK27" t="s">
        <v>6984</v>
      </c>
      <c r="FGL27" t="s">
        <v>6984</v>
      </c>
      <c r="FGM27" t="s">
        <v>6984</v>
      </c>
      <c r="FGN27" t="s">
        <v>6984</v>
      </c>
      <c r="FGO27" t="s">
        <v>6984</v>
      </c>
      <c r="FGP27" t="s">
        <v>6984</v>
      </c>
      <c r="FGQ27" t="s">
        <v>6984</v>
      </c>
      <c r="FGR27" t="s">
        <v>6984</v>
      </c>
      <c r="FGS27" t="s">
        <v>6984</v>
      </c>
      <c r="FGT27" t="s">
        <v>6984</v>
      </c>
      <c r="FGU27" t="s">
        <v>6984</v>
      </c>
      <c r="FGV27" t="s">
        <v>6984</v>
      </c>
      <c r="FGW27" t="s">
        <v>6984</v>
      </c>
      <c r="FGX27" t="s">
        <v>6984</v>
      </c>
      <c r="FGY27" t="s">
        <v>6984</v>
      </c>
      <c r="FGZ27" t="s">
        <v>6984</v>
      </c>
      <c r="FHA27" t="s">
        <v>6984</v>
      </c>
      <c r="FHB27" t="s">
        <v>6984</v>
      </c>
      <c r="FHC27" t="s">
        <v>6984</v>
      </c>
      <c r="FHD27" t="s">
        <v>6984</v>
      </c>
      <c r="FHE27" t="s">
        <v>6984</v>
      </c>
      <c r="FHF27" t="s">
        <v>6984</v>
      </c>
      <c r="FHG27" t="s">
        <v>6984</v>
      </c>
      <c r="FHH27" t="s">
        <v>6984</v>
      </c>
      <c r="FHI27" t="s">
        <v>6984</v>
      </c>
      <c r="FHJ27" t="s">
        <v>6984</v>
      </c>
      <c r="FHK27" t="s">
        <v>6984</v>
      </c>
      <c r="FHL27" t="s">
        <v>6984</v>
      </c>
      <c r="FHM27" t="s">
        <v>6984</v>
      </c>
      <c r="FHN27" t="s">
        <v>6984</v>
      </c>
      <c r="FHO27" t="s">
        <v>6984</v>
      </c>
      <c r="FHP27" t="s">
        <v>6984</v>
      </c>
      <c r="FHQ27" t="s">
        <v>6984</v>
      </c>
      <c r="FHR27" t="s">
        <v>6984</v>
      </c>
      <c r="FHS27" t="s">
        <v>6984</v>
      </c>
      <c r="FHT27" t="s">
        <v>6984</v>
      </c>
      <c r="FHU27" t="s">
        <v>6984</v>
      </c>
      <c r="FHV27" t="s">
        <v>6984</v>
      </c>
      <c r="FHW27" t="s">
        <v>6984</v>
      </c>
      <c r="FHX27" t="s">
        <v>6984</v>
      </c>
      <c r="FHY27" t="s">
        <v>6984</v>
      </c>
      <c r="FHZ27" t="s">
        <v>6984</v>
      </c>
      <c r="FIA27" t="s">
        <v>6984</v>
      </c>
      <c r="FIB27" t="s">
        <v>6984</v>
      </c>
      <c r="FIC27" t="s">
        <v>6984</v>
      </c>
      <c r="FID27" t="s">
        <v>6984</v>
      </c>
      <c r="FIE27" t="s">
        <v>6984</v>
      </c>
      <c r="FIF27" t="s">
        <v>6984</v>
      </c>
      <c r="FIG27" t="s">
        <v>6984</v>
      </c>
      <c r="FIH27" t="s">
        <v>6984</v>
      </c>
      <c r="FII27" t="s">
        <v>6984</v>
      </c>
      <c r="FIJ27" t="s">
        <v>6984</v>
      </c>
      <c r="FIK27" t="s">
        <v>6984</v>
      </c>
      <c r="FIL27" t="s">
        <v>6984</v>
      </c>
      <c r="FIM27" t="s">
        <v>6984</v>
      </c>
      <c r="FIN27" t="s">
        <v>6984</v>
      </c>
      <c r="FIO27" t="s">
        <v>6984</v>
      </c>
      <c r="FIP27" t="s">
        <v>6984</v>
      </c>
      <c r="FIQ27" t="s">
        <v>6984</v>
      </c>
      <c r="FIR27" t="s">
        <v>6984</v>
      </c>
      <c r="FIS27" t="s">
        <v>6984</v>
      </c>
      <c r="FIT27" t="s">
        <v>6984</v>
      </c>
      <c r="FIU27" t="s">
        <v>6984</v>
      </c>
      <c r="FIV27" t="s">
        <v>6984</v>
      </c>
      <c r="FIW27" t="s">
        <v>6984</v>
      </c>
      <c r="FIX27" t="s">
        <v>6984</v>
      </c>
      <c r="FIY27" t="s">
        <v>6984</v>
      </c>
      <c r="FIZ27" t="s">
        <v>6984</v>
      </c>
      <c r="FJA27" t="s">
        <v>6984</v>
      </c>
      <c r="FJB27" t="s">
        <v>6984</v>
      </c>
      <c r="FJC27" t="s">
        <v>6984</v>
      </c>
      <c r="FJD27" t="s">
        <v>6984</v>
      </c>
      <c r="FJE27" t="s">
        <v>6984</v>
      </c>
      <c r="FJF27" t="s">
        <v>6984</v>
      </c>
      <c r="FJG27" t="s">
        <v>6984</v>
      </c>
      <c r="FJH27" t="s">
        <v>6984</v>
      </c>
      <c r="FJI27" t="s">
        <v>6984</v>
      </c>
      <c r="FJJ27" t="s">
        <v>6984</v>
      </c>
      <c r="FJK27" t="s">
        <v>6984</v>
      </c>
      <c r="FJL27" t="s">
        <v>6984</v>
      </c>
      <c r="FJM27" t="s">
        <v>6984</v>
      </c>
      <c r="FJN27" t="s">
        <v>6984</v>
      </c>
      <c r="FJO27" t="s">
        <v>6984</v>
      </c>
      <c r="FJP27" t="s">
        <v>6984</v>
      </c>
      <c r="FJQ27" t="s">
        <v>6984</v>
      </c>
      <c r="FJR27" t="s">
        <v>6984</v>
      </c>
      <c r="FJS27" t="s">
        <v>6984</v>
      </c>
      <c r="FJT27" t="s">
        <v>6984</v>
      </c>
      <c r="FJU27" t="s">
        <v>6984</v>
      </c>
      <c r="FJV27" t="s">
        <v>6984</v>
      </c>
      <c r="FJW27" t="s">
        <v>6984</v>
      </c>
      <c r="FJX27" t="s">
        <v>6984</v>
      </c>
      <c r="FJY27" t="s">
        <v>6984</v>
      </c>
      <c r="FJZ27" t="s">
        <v>6984</v>
      </c>
      <c r="FKA27" t="s">
        <v>6984</v>
      </c>
      <c r="FKB27" t="s">
        <v>6984</v>
      </c>
      <c r="FKC27" t="s">
        <v>6984</v>
      </c>
      <c r="FKD27" t="s">
        <v>6984</v>
      </c>
      <c r="FKE27" t="s">
        <v>6984</v>
      </c>
      <c r="FKF27" t="s">
        <v>6984</v>
      </c>
      <c r="FKG27" t="s">
        <v>6984</v>
      </c>
      <c r="FKH27" t="s">
        <v>6984</v>
      </c>
      <c r="FKI27" t="s">
        <v>6984</v>
      </c>
      <c r="FKJ27" t="s">
        <v>6984</v>
      </c>
      <c r="FKK27" t="s">
        <v>6984</v>
      </c>
      <c r="FKL27" t="s">
        <v>6984</v>
      </c>
      <c r="FKM27" t="s">
        <v>6984</v>
      </c>
      <c r="FKN27" t="s">
        <v>6984</v>
      </c>
      <c r="FKO27" t="s">
        <v>6984</v>
      </c>
      <c r="FKP27" t="s">
        <v>6984</v>
      </c>
      <c r="FKQ27" t="s">
        <v>6984</v>
      </c>
      <c r="FKR27" t="s">
        <v>6984</v>
      </c>
      <c r="FKS27" t="s">
        <v>6984</v>
      </c>
      <c r="FKT27" t="s">
        <v>6984</v>
      </c>
      <c r="FKU27" t="s">
        <v>6984</v>
      </c>
      <c r="FKV27" t="s">
        <v>6984</v>
      </c>
      <c r="FKW27" t="s">
        <v>6984</v>
      </c>
      <c r="FKX27" t="s">
        <v>6984</v>
      </c>
      <c r="FKY27" t="s">
        <v>6984</v>
      </c>
      <c r="FKZ27" t="s">
        <v>6984</v>
      </c>
      <c r="FLA27" t="s">
        <v>6984</v>
      </c>
      <c r="FLB27" t="s">
        <v>6984</v>
      </c>
      <c r="FLC27" t="s">
        <v>6984</v>
      </c>
      <c r="FLD27" t="s">
        <v>6984</v>
      </c>
      <c r="FLE27" t="s">
        <v>6984</v>
      </c>
      <c r="FLF27" t="s">
        <v>6984</v>
      </c>
      <c r="FLG27" t="s">
        <v>6984</v>
      </c>
      <c r="FLH27" t="s">
        <v>6984</v>
      </c>
      <c r="FLI27" t="s">
        <v>6984</v>
      </c>
      <c r="FLJ27" t="s">
        <v>6984</v>
      </c>
      <c r="FLK27" t="s">
        <v>6984</v>
      </c>
      <c r="FLL27" t="s">
        <v>6984</v>
      </c>
      <c r="FLM27" t="s">
        <v>6984</v>
      </c>
      <c r="FLN27" t="s">
        <v>6984</v>
      </c>
      <c r="FLO27" t="s">
        <v>6984</v>
      </c>
      <c r="FLP27" t="s">
        <v>6984</v>
      </c>
      <c r="FLQ27" t="s">
        <v>6984</v>
      </c>
      <c r="FLR27" t="s">
        <v>6984</v>
      </c>
      <c r="FLS27" t="s">
        <v>6984</v>
      </c>
      <c r="FLT27" t="s">
        <v>6984</v>
      </c>
      <c r="FLU27" t="s">
        <v>6984</v>
      </c>
      <c r="FLV27" t="s">
        <v>6984</v>
      </c>
      <c r="FLW27" t="s">
        <v>6984</v>
      </c>
      <c r="FLX27" t="s">
        <v>6984</v>
      </c>
      <c r="FLY27" t="s">
        <v>6984</v>
      </c>
      <c r="FLZ27" t="s">
        <v>6984</v>
      </c>
      <c r="FMA27" t="s">
        <v>6984</v>
      </c>
      <c r="FMB27" t="s">
        <v>6984</v>
      </c>
      <c r="FMC27" t="s">
        <v>6984</v>
      </c>
      <c r="FMD27" t="s">
        <v>6984</v>
      </c>
      <c r="FME27" t="s">
        <v>6984</v>
      </c>
      <c r="FMF27" t="s">
        <v>6984</v>
      </c>
      <c r="FMG27" t="s">
        <v>6984</v>
      </c>
      <c r="FMH27" t="s">
        <v>6984</v>
      </c>
      <c r="FMI27" t="s">
        <v>6984</v>
      </c>
      <c r="FMJ27" t="s">
        <v>6984</v>
      </c>
      <c r="FMK27" t="s">
        <v>6984</v>
      </c>
      <c r="FML27" t="s">
        <v>6984</v>
      </c>
      <c r="FMM27" t="s">
        <v>6984</v>
      </c>
      <c r="FMN27" t="s">
        <v>6984</v>
      </c>
      <c r="FMO27" t="s">
        <v>6984</v>
      </c>
      <c r="FMP27" t="s">
        <v>6984</v>
      </c>
      <c r="FMQ27" t="s">
        <v>6984</v>
      </c>
      <c r="FMR27" t="s">
        <v>6984</v>
      </c>
      <c r="FMS27" t="s">
        <v>6984</v>
      </c>
      <c r="FMT27" t="s">
        <v>6984</v>
      </c>
      <c r="FMU27" t="s">
        <v>6984</v>
      </c>
      <c r="FMV27" t="s">
        <v>6984</v>
      </c>
      <c r="FMW27" t="s">
        <v>6984</v>
      </c>
      <c r="FMX27" t="s">
        <v>6984</v>
      </c>
      <c r="FMY27" t="s">
        <v>6984</v>
      </c>
      <c r="FMZ27" t="s">
        <v>6984</v>
      </c>
      <c r="FNA27" t="s">
        <v>6984</v>
      </c>
      <c r="FNB27" t="s">
        <v>6984</v>
      </c>
      <c r="FNC27" t="s">
        <v>6984</v>
      </c>
      <c r="FND27" t="s">
        <v>6984</v>
      </c>
      <c r="FNE27" t="s">
        <v>6984</v>
      </c>
      <c r="FNF27" t="s">
        <v>6984</v>
      </c>
      <c r="FNG27" t="s">
        <v>6984</v>
      </c>
      <c r="FNH27" t="s">
        <v>6984</v>
      </c>
      <c r="FNI27" t="s">
        <v>6984</v>
      </c>
      <c r="FNJ27" t="s">
        <v>6984</v>
      </c>
      <c r="FNK27" t="s">
        <v>6984</v>
      </c>
      <c r="FNL27" t="s">
        <v>6984</v>
      </c>
      <c r="FNM27" t="s">
        <v>6984</v>
      </c>
      <c r="FNN27" t="s">
        <v>6984</v>
      </c>
      <c r="FNO27" t="s">
        <v>6984</v>
      </c>
      <c r="FNP27" t="s">
        <v>6984</v>
      </c>
      <c r="FNQ27" t="s">
        <v>6984</v>
      </c>
      <c r="FNR27" t="s">
        <v>6984</v>
      </c>
      <c r="FNS27" t="s">
        <v>6984</v>
      </c>
      <c r="FNT27" t="s">
        <v>6984</v>
      </c>
      <c r="FNU27" t="s">
        <v>6984</v>
      </c>
      <c r="FNV27" t="s">
        <v>6984</v>
      </c>
      <c r="FNW27" t="s">
        <v>6984</v>
      </c>
      <c r="FNX27" t="s">
        <v>6984</v>
      </c>
      <c r="FNY27" t="s">
        <v>6984</v>
      </c>
      <c r="FNZ27" t="s">
        <v>6984</v>
      </c>
      <c r="FOA27" t="s">
        <v>6984</v>
      </c>
      <c r="FOB27" t="s">
        <v>6984</v>
      </c>
      <c r="FOC27" t="s">
        <v>6984</v>
      </c>
      <c r="FOD27" t="s">
        <v>6984</v>
      </c>
      <c r="FOE27" t="s">
        <v>6984</v>
      </c>
      <c r="FOF27" t="s">
        <v>6984</v>
      </c>
      <c r="FOG27" t="s">
        <v>6984</v>
      </c>
      <c r="FOH27" t="s">
        <v>6984</v>
      </c>
      <c r="FOI27" t="s">
        <v>6984</v>
      </c>
      <c r="FOJ27" t="s">
        <v>6984</v>
      </c>
      <c r="FOK27" t="s">
        <v>6984</v>
      </c>
      <c r="FOL27" t="s">
        <v>6984</v>
      </c>
      <c r="FOM27" t="s">
        <v>6984</v>
      </c>
      <c r="FON27" t="s">
        <v>6984</v>
      </c>
      <c r="FOO27" t="s">
        <v>6984</v>
      </c>
      <c r="FOP27" t="s">
        <v>6984</v>
      </c>
      <c r="FOQ27" t="s">
        <v>6984</v>
      </c>
      <c r="FOR27" t="s">
        <v>6984</v>
      </c>
      <c r="FOS27" t="s">
        <v>6984</v>
      </c>
      <c r="FOT27" t="s">
        <v>6984</v>
      </c>
      <c r="FOU27" t="s">
        <v>6984</v>
      </c>
      <c r="FOV27" t="s">
        <v>6984</v>
      </c>
      <c r="FOW27" t="s">
        <v>6984</v>
      </c>
      <c r="FOX27" t="s">
        <v>6984</v>
      </c>
      <c r="FOY27" t="s">
        <v>6984</v>
      </c>
      <c r="FOZ27" t="s">
        <v>6984</v>
      </c>
      <c r="FPA27" t="s">
        <v>6984</v>
      </c>
      <c r="FPB27" t="s">
        <v>6984</v>
      </c>
      <c r="FPC27" t="s">
        <v>6984</v>
      </c>
      <c r="FPD27" t="s">
        <v>6984</v>
      </c>
      <c r="FPE27" t="s">
        <v>6984</v>
      </c>
      <c r="FPF27" t="s">
        <v>6984</v>
      </c>
      <c r="FPG27" t="s">
        <v>6984</v>
      </c>
      <c r="FPH27" t="s">
        <v>6984</v>
      </c>
      <c r="FPI27" t="s">
        <v>6984</v>
      </c>
      <c r="FPJ27" t="s">
        <v>6984</v>
      </c>
      <c r="FPK27" t="s">
        <v>6984</v>
      </c>
      <c r="FPL27" t="s">
        <v>6984</v>
      </c>
      <c r="FPM27" t="s">
        <v>6984</v>
      </c>
      <c r="FPN27" t="s">
        <v>6984</v>
      </c>
      <c r="FPO27" t="s">
        <v>6984</v>
      </c>
      <c r="FPP27" t="s">
        <v>6984</v>
      </c>
      <c r="FPQ27" t="s">
        <v>6984</v>
      </c>
      <c r="FPR27" t="s">
        <v>6984</v>
      </c>
      <c r="FPS27" t="s">
        <v>6984</v>
      </c>
      <c r="FPT27" t="s">
        <v>6984</v>
      </c>
      <c r="FPU27" t="s">
        <v>6984</v>
      </c>
      <c r="FPV27" t="s">
        <v>6984</v>
      </c>
      <c r="FPW27" t="s">
        <v>6984</v>
      </c>
      <c r="FPX27" t="s">
        <v>6984</v>
      </c>
      <c r="FPY27" t="s">
        <v>6984</v>
      </c>
      <c r="FPZ27" t="s">
        <v>6984</v>
      </c>
      <c r="FQA27" t="s">
        <v>6984</v>
      </c>
      <c r="FQB27" t="s">
        <v>6984</v>
      </c>
      <c r="FQC27" t="s">
        <v>6984</v>
      </c>
      <c r="FQD27" t="s">
        <v>6984</v>
      </c>
      <c r="FQE27" t="s">
        <v>6984</v>
      </c>
      <c r="FQF27" t="s">
        <v>6984</v>
      </c>
      <c r="FQG27" t="s">
        <v>6984</v>
      </c>
      <c r="FQH27" t="s">
        <v>6984</v>
      </c>
      <c r="FQI27" t="s">
        <v>6984</v>
      </c>
      <c r="FQJ27" t="s">
        <v>6984</v>
      </c>
      <c r="FQK27" t="s">
        <v>6984</v>
      </c>
      <c r="FQL27" t="s">
        <v>6984</v>
      </c>
      <c r="FQM27" t="s">
        <v>6984</v>
      </c>
      <c r="FQN27" t="s">
        <v>6984</v>
      </c>
      <c r="FQO27" t="s">
        <v>6984</v>
      </c>
      <c r="FQP27" t="s">
        <v>6984</v>
      </c>
      <c r="FQQ27" t="s">
        <v>6984</v>
      </c>
      <c r="FQR27" t="s">
        <v>6984</v>
      </c>
      <c r="FQS27" t="s">
        <v>6984</v>
      </c>
      <c r="FQT27" t="s">
        <v>6984</v>
      </c>
      <c r="FQU27" t="s">
        <v>6984</v>
      </c>
      <c r="FQV27" t="s">
        <v>6984</v>
      </c>
      <c r="FQW27" t="s">
        <v>6984</v>
      </c>
      <c r="FQX27" t="s">
        <v>6984</v>
      </c>
      <c r="FQY27" t="s">
        <v>6984</v>
      </c>
      <c r="FQZ27" t="s">
        <v>6984</v>
      </c>
      <c r="FRA27" t="s">
        <v>6984</v>
      </c>
      <c r="FRB27" t="s">
        <v>6984</v>
      </c>
      <c r="FRC27" t="s">
        <v>6984</v>
      </c>
      <c r="FRD27" t="s">
        <v>6984</v>
      </c>
      <c r="FRE27" t="s">
        <v>6984</v>
      </c>
      <c r="FRF27" t="s">
        <v>6984</v>
      </c>
      <c r="FRG27" t="s">
        <v>6984</v>
      </c>
      <c r="FRH27" t="s">
        <v>6984</v>
      </c>
      <c r="FRI27" t="s">
        <v>6984</v>
      </c>
      <c r="FRJ27" t="s">
        <v>6984</v>
      </c>
      <c r="FRK27" t="s">
        <v>6984</v>
      </c>
      <c r="FRL27" t="s">
        <v>6984</v>
      </c>
      <c r="FRM27" t="s">
        <v>6984</v>
      </c>
      <c r="FRN27" t="s">
        <v>6984</v>
      </c>
      <c r="FRO27" t="s">
        <v>6984</v>
      </c>
      <c r="FRP27" t="s">
        <v>6984</v>
      </c>
      <c r="FRQ27" t="s">
        <v>6984</v>
      </c>
      <c r="FRR27" t="s">
        <v>6984</v>
      </c>
      <c r="FRS27" t="s">
        <v>6984</v>
      </c>
      <c r="FRT27" t="s">
        <v>6984</v>
      </c>
      <c r="FRU27" t="s">
        <v>6984</v>
      </c>
      <c r="FRV27" t="s">
        <v>6984</v>
      </c>
      <c r="FRW27" t="s">
        <v>6984</v>
      </c>
      <c r="FRX27" t="s">
        <v>6984</v>
      </c>
      <c r="FRY27" t="s">
        <v>6984</v>
      </c>
      <c r="FRZ27" t="s">
        <v>6984</v>
      </c>
      <c r="FSA27" t="s">
        <v>6984</v>
      </c>
      <c r="FSB27" t="s">
        <v>6984</v>
      </c>
      <c r="FSC27" t="s">
        <v>6984</v>
      </c>
      <c r="FSD27" t="s">
        <v>6984</v>
      </c>
      <c r="FSE27" t="s">
        <v>6984</v>
      </c>
      <c r="FSF27" t="s">
        <v>6984</v>
      </c>
      <c r="FSG27" t="s">
        <v>6984</v>
      </c>
      <c r="FSH27" t="s">
        <v>6984</v>
      </c>
      <c r="FSI27" t="s">
        <v>6984</v>
      </c>
      <c r="FSJ27" t="s">
        <v>6984</v>
      </c>
      <c r="FSK27" t="s">
        <v>6984</v>
      </c>
      <c r="FSL27" t="s">
        <v>6984</v>
      </c>
      <c r="FSM27" t="s">
        <v>6984</v>
      </c>
      <c r="FSN27" t="s">
        <v>6984</v>
      </c>
      <c r="FSO27" t="s">
        <v>6984</v>
      </c>
      <c r="FSP27" t="s">
        <v>6984</v>
      </c>
      <c r="FSQ27" t="s">
        <v>6984</v>
      </c>
      <c r="FSR27" t="s">
        <v>6984</v>
      </c>
      <c r="FSS27" t="s">
        <v>6984</v>
      </c>
      <c r="FST27" t="s">
        <v>6984</v>
      </c>
      <c r="FSU27" t="s">
        <v>6984</v>
      </c>
      <c r="FSV27" t="s">
        <v>6984</v>
      </c>
      <c r="FSW27" t="s">
        <v>6984</v>
      </c>
      <c r="FSX27" t="s">
        <v>6984</v>
      </c>
      <c r="FSY27" t="s">
        <v>6984</v>
      </c>
      <c r="FSZ27" t="s">
        <v>6984</v>
      </c>
      <c r="FTA27" t="s">
        <v>6984</v>
      </c>
      <c r="FTB27" t="s">
        <v>6984</v>
      </c>
      <c r="FTC27" t="s">
        <v>6984</v>
      </c>
      <c r="FTD27" t="s">
        <v>6984</v>
      </c>
      <c r="FTE27" t="s">
        <v>6984</v>
      </c>
      <c r="FTF27" t="s">
        <v>6984</v>
      </c>
      <c r="FTG27" t="s">
        <v>6984</v>
      </c>
      <c r="FTH27" t="s">
        <v>6984</v>
      </c>
      <c r="FTI27" t="s">
        <v>6984</v>
      </c>
      <c r="FTJ27" t="s">
        <v>6984</v>
      </c>
      <c r="FTK27" t="s">
        <v>6984</v>
      </c>
      <c r="FTL27" t="s">
        <v>6984</v>
      </c>
      <c r="FTM27" t="s">
        <v>6984</v>
      </c>
      <c r="FTN27" t="s">
        <v>6984</v>
      </c>
      <c r="FTO27" t="s">
        <v>6984</v>
      </c>
      <c r="FTP27" t="s">
        <v>6984</v>
      </c>
      <c r="FTQ27" t="s">
        <v>6984</v>
      </c>
      <c r="FTR27" t="s">
        <v>6984</v>
      </c>
      <c r="FTS27" t="s">
        <v>6984</v>
      </c>
      <c r="FTT27" t="s">
        <v>6984</v>
      </c>
      <c r="FTU27" t="s">
        <v>6984</v>
      </c>
      <c r="FTV27" t="s">
        <v>6984</v>
      </c>
      <c r="FTW27" t="s">
        <v>6984</v>
      </c>
      <c r="FTX27" t="s">
        <v>6984</v>
      </c>
      <c r="FTY27" t="s">
        <v>6984</v>
      </c>
      <c r="FTZ27" t="s">
        <v>6984</v>
      </c>
      <c r="FUA27" t="s">
        <v>6984</v>
      </c>
      <c r="FUB27" t="s">
        <v>6984</v>
      </c>
      <c r="FUC27" t="s">
        <v>6984</v>
      </c>
      <c r="FUD27" t="s">
        <v>6984</v>
      </c>
      <c r="FUE27" t="s">
        <v>6984</v>
      </c>
      <c r="FUF27" t="s">
        <v>6984</v>
      </c>
      <c r="FUG27" t="s">
        <v>6984</v>
      </c>
      <c r="FUH27" t="s">
        <v>6984</v>
      </c>
      <c r="FUI27" t="s">
        <v>6984</v>
      </c>
      <c r="FUJ27" t="s">
        <v>6984</v>
      </c>
      <c r="FUK27" t="s">
        <v>6984</v>
      </c>
      <c r="FUL27" t="s">
        <v>6984</v>
      </c>
      <c r="FUM27" t="s">
        <v>6984</v>
      </c>
      <c r="FUN27" t="s">
        <v>6984</v>
      </c>
      <c r="FUO27" t="s">
        <v>6984</v>
      </c>
      <c r="FUP27" t="s">
        <v>6984</v>
      </c>
      <c r="FUQ27" t="s">
        <v>6984</v>
      </c>
      <c r="FUR27" t="s">
        <v>6984</v>
      </c>
      <c r="FUS27" t="s">
        <v>6984</v>
      </c>
      <c r="FUT27" t="s">
        <v>6984</v>
      </c>
      <c r="FUU27" t="s">
        <v>6984</v>
      </c>
      <c r="FUV27" t="s">
        <v>6984</v>
      </c>
      <c r="FUW27" t="s">
        <v>6984</v>
      </c>
      <c r="FUX27" t="s">
        <v>6984</v>
      </c>
      <c r="FUY27" t="s">
        <v>6984</v>
      </c>
      <c r="FUZ27" t="s">
        <v>6984</v>
      </c>
      <c r="FVA27" t="s">
        <v>6984</v>
      </c>
      <c r="FVB27" t="s">
        <v>6984</v>
      </c>
      <c r="FVC27" t="s">
        <v>6984</v>
      </c>
      <c r="FVD27" t="s">
        <v>6984</v>
      </c>
      <c r="FVE27" t="s">
        <v>6984</v>
      </c>
      <c r="FVF27" t="s">
        <v>6984</v>
      </c>
      <c r="FVG27" t="s">
        <v>6984</v>
      </c>
      <c r="FVH27" t="s">
        <v>6984</v>
      </c>
      <c r="FVI27" t="s">
        <v>6984</v>
      </c>
      <c r="FVJ27" t="s">
        <v>6984</v>
      </c>
      <c r="FVK27" t="s">
        <v>6984</v>
      </c>
      <c r="FVL27" t="s">
        <v>6984</v>
      </c>
      <c r="FVM27" t="s">
        <v>6984</v>
      </c>
      <c r="FVN27" t="s">
        <v>6984</v>
      </c>
      <c r="FVO27" t="s">
        <v>6984</v>
      </c>
      <c r="FVP27" t="s">
        <v>6984</v>
      </c>
      <c r="FVQ27" t="s">
        <v>6984</v>
      </c>
      <c r="FVR27" t="s">
        <v>6984</v>
      </c>
      <c r="FVS27" t="s">
        <v>6984</v>
      </c>
      <c r="FVT27" t="s">
        <v>6984</v>
      </c>
      <c r="FVU27" t="s">
        <v>6984</v>
      </c>
      <c r="FVV27" t="s">
        <v>6984</v>
      </c>
      <c r="FVW27" t="s">
        <v>6984</v>
      </c>
      <c r="FVX27" t="s">
        <v>6984</v>
      </c>
      <c r="FVY27" t="s">
        <v>6984</v>
      </c>
      <c r="FVZ27" t="s">
        <v>6984</v>
      </c>
      <c r="FWA27" t="s">
        <v>6984</v>
      </c>
      <c r="FWB27" t="s">
        <v>6984</v>
      </c>
      <c r="FWC27" t="s">
        <v>6984</v>
      </c>
      <c r="FWD27" t="s">
        <v>6984</v>
      </c>
      <c r="FWE27" t="s">
        <v>6984</v>
      </c>
      <c r="FWF27" t="s">
        <v>6984</v>
      </c>
      <c r="FWG27" t="s">
        <v>6984</v>
      </c>
      <c r="FWH27" t="s">
        <v>6984</v>
      </c>
      <c r="FWI27" t="s">
        <v>6984</v>
      </c>
      <c r="FWJ27" t="s">
        <v>6984</v>
      </c>
      <c r="FWK27" t="s">
        <v>6984</v>
      </c>
      <c r="FWL27" t="s">
        <v>6984</v>
      </c>
      <c r="FWM27" t="s">
        <v>6984</v>
      </c>
      <c r="FWN27" t="s">
        <v>6984</v>
      </c>
      <c r="FWO27" t="s">
        <v>6984</v>
      </c>
      <c r="FWP27" t="s">
        <v>6984</v>
      </c>
      <c r="FWQ27" t="s">
        <v>6984</v>
      </c>
      <c r="FWR27" t="s">
        <v>6984</v>
      </c>
      <c r="FWS27" t="s">
        <v>6984</v>
      </c>
      <c r="FWT27" t="s">
        <v>6984</v>
      </c>
      <c r="FWU27" t="s">
        <v>6984</v>
      </c>
      <c r="FWV27" t="s">
        <v>6984</v>
      </c>
      <c r="FWW27" t="s">
        <v>6984</v>
      </c>
      <c r="FWX27" t="s">
        <v>6984</v>
      </c>
      <c r="FWY27" t="s">
        <v>6984</v>
      </c>
      <c r="FWZ27" t="s">
        <v>6984</v>
      </c>
      <c r="FXA27" t="s">
        <v>6984</v>
      </c>
      <c r="FXB27" t="s">
        <v>6984</v>
      </c>
      <c r="FXC27" t="s">
        <v>6984</v>
      </c>
      <c r="FXD27" t="s">
        <v>6984</v>
      </c>
      <c r="FXE27" t="s">
        <v>6984</v>
      </c>
      <c r="FXF27" t="s">
        <v>6984</v>
      </c>
      <c r="FXG27" t="s">
        <v>6984</v>
      </c>
      <c r="FXH27" t="s">
        <v>6984</v>
      </c>
      <c r="FXI27" t="s">
        <v>6984</v>
      </c>
      <c r="FXJ27" t="s">
        <v>6984</v>
      </c>
      <c r="FXK27" t="s">
        <v>6984</v>
      </c>
      <c r="FXL27" t="s">
        <v>6984</v>
      </c>
      <c r="FXM27" t="s">
        <v>6984</v>
      </c>
      <c r="FXN27" t="s">
        <v>6984</v>
      </c>
      <c r="FXO27" t="s">
        <v>6984</v>
      </c>
      <c r="FXP27" t="s">
        <v>6984</v>
      </c>
      <c r="FXQ27" t="s">
        <v>6984</v>
      </c>
      <c r="FXR27" t="s">
        <v>6984</v>
      </c>
      <c r="FXS27" t="s">
        <v>6984</v>
      </c>
      <c r="FXT27" t="s">
        <v>6984</v>
      </c>
      <c r="FXU27" t="s">
        <v>6984</v>
      </c>
      <c r="FXV27" t="s">
        <v>6984</v>
      </c>
      <c r="FXW27" t="s">
        <v>6984</v>
      </c>
      <c r="FXX27" t="s">
        <v>6984</v>
      </c>
      <c r="FXY27" t="s">
        <v>6984</v>
      </c>
      <c r="FXZ27" t="s">
        <v>6984</v>
      </c>
      <c r="FYA27" t="s">
        <v>6984</v>
      </c>
      <c r="FYB27" t="s">
        <v>6984</v>
      </c>
      <c r="FYC27" t="s">
        <v>6984</v>
      </c>
      <c r="FYD27" t="s">
        <v>6984</v>
      </c>
      <c r="FYE27" t="s">
        <v>6984</v>
      </c>
      <c r="FYF27" t="s">
        <v>6984</v>
      </c>
      <c r="FYG27" t="s">
        <v>6984</v>
      </c>
      <c r="FYH27" t="s">
        <v>6984</v>
      </c>
      <c r="FYI27" t="s">
        <v>6984</v>
      </c>
      <c r="FYJ27" t="s">
        <v>6984</v>
      </c>
      <c r="FYK27" t="s">
        <v>6984</v>
      </c>
      <c r="FYL27" t="s">
        <v>6984</v>
      </c>
      <c r="FYM27" t="s">
        <v>6984</v>
      </c>
      <c r="FYN27" t="s">
        <v>6984</v>
      </c>
      <c r="FYO27" t="s">
        <v>6984</v>
      </c>
      <c r="FYP27" t="s">
        <v>6984</v>
      </c>
      <c r="FYQ27" t="s">
        <v>6984</v>
      </c>
      <c r="FYR27" t="s">
        <v>6984</v>
      </c>
      <c r="FYS27" t="s">
        <v>6984</v>
      </c>
      <c r="FYT27" t="s">
        <v>6984</v>
      </c>
      <c r="FYU27" t="s">
        <v>6984</v>
      </c>
      <c r="FYV27" t="s">
        <v>6984</v>
      </c>
      <c r="FYW27" t="s">
        <v>6984</v>
      </c>
      <c r="FYX27" t="s">
        <v>6984</v>
      </c>
      <c r="FYY27" t="s">
        <v>6984</v>
      </c>
      <c r="FYZ27" t="s">
        <v>6984</v>
      </c>
      <c r="FZA27" t="s">
        <v>6984</v>
      </c>
      <c r="FZB27" t="s">
        <v>6984</v>
      </c>
      <c r="FZC27" t="s">
        <v>6984</v>
      </c>
      <c r="FZD27" t="s">
        <v>6984</v>
      </c>
      <c r="FZE27" t="s">
        <v>6984</v>
      </c>
      <c r="FZF27" t="s">
        <v>6984</v>
      </c>
      <c r="FZG27" t="s">
        <v>6984</v>
      </c>
      <c r="FZH27" t="s">
        <v>6984</v>
      </c>
      <c r="FZI27" t="s">
        <v>6984</v>
      </c>
      <c r="FZJ27" t="s">
        <v>6984</v>
      </c>
      <c r="FZK27" t="s">
        <v>6984</v>
      </c>
      <c r="FZL27" t="s">
        <v>6984</v>
      </c>
      <c r="FZM27" t="s">
        <v>6984</v>
      </c>
      <c r="FZN27" t="s">
        <v>6984</v>
      </c>
      <c r="FZO27" t="s">
        <v>6984</v>
      </c>
      <c r="FZP27" t="s">
        <v>6984</v>
      </c>
      <c r="FZQ27" t="s">
        <v>6984</v>
      </c>
      <c r="FZR27" t="s">
        <v>6984</v>
      </c>
      <c r="FZS27" t="s">
        <v>6984</v>
      </c>
      <c r="FZT27" t="s">
        <v>6984</v>
      </c>
      <c r="FZU27" t="s">
        <v>6984</v>
      </c>
      <c r="FZV27" t="s">
        <v>6984</v>
      </c>
      <c r="FZW27" t="s">
        <v>6984</v>
      </c>
      <c r="FZX27" t="s">
        <v>6984</v>
      </c>
      <c r="FZY27" t="s">
        <v>6984</v>
      </c>
      <c r="FZZ27" t="s">
        <v>6984</v>
      </c>
      <c r="GAA27" t="s">
        <v>6984</v>
      </c>
      <c r="GAB27" t="s">
        <v>6984</v>
      </c>
      <c r="GAC27" t="s">
        <v>6984</v>
      </c>
      <c r="GAD27" t="s">
        <v>6984</v>
      </c>
      <c r="GAE27" t="s">
        <v>6984</v>
      </c>
      <c r="GAF27" t="s">
        <v>6984</v>
      </c>
      <c r="GAG27" t="s">
        <v>6984</v>
      </c>
      <c r="GAH27" t="s">
        <v>6984</v>
      </c>
      <c r="GAI27" t="s">
        <v>6984</v>
      </c>
      <c r="GAJ27" t="s">
        <v>6984</v>
      </c>
      <c r="GAK27" t="s">
        <v>6984</v>
      </c>
      <c r="GAL27" t="s">
        <v>6984</v>
      </c>
      <c r="GAM27" t="s">
        <v>6984</v>
      </c>
      <c r="GAN27" t="s">
        <v>6984</v>
      </c>
      <c r="GAO27" t="s">
        <v>6984</v>
      </c>
      <c r="GAP27" t="s">
        <v>6984</v>
      </c>
      <c r="GAQ27" t="s">
        <v>6984</v>
      </c>
      <c r="GAR27" t="s">
        <v>6984</v>
      </c>
      <c r="GAS27" t="s">
        <v>6984</v>
      </c>
      <c r="GAT27" t="s">
        <v>6984</v>
      </c>
      <c r="GAU27" t="s">
        <v>6984</v>
      </c>
      <c r="GAV27" t="s">
        <v>6984</v>
      </c>
      <c r="GAW27" t="s">
        <v>6984</v>
      </c>
      <c r="GAX27" t="s">
        <v>6984</v>
      </c>
      <c r="GAY27" t="s">
        <v>6984</v>
      </c>
      <c r="GAZ27" t="s">
        <v>6984</v>
      </c>
      <c r="GBA27" t="s">
        <v>6984</v>
      </c>
      <c r="GBB27" t="s">
        <v>6984</v>
      </c>
      <c r="GBC27" t="s">
        <v>6984</v>
      </c>
      <c r="GBD27" t="s">
        <v>6984</v>
      </c>
      <c r="GBE27" t="s">
        <v>6984</v>
      </c>
      <c r="GBF27" t="s">
        <v>6984</v>
      </c>
      <c r="GBG27" t="s">
        <v>6984</v>
      </c>
      <c r="GBH27" t="s">
        <v>6984</v>
      </c>
      <c r="GBI27" t="s">
        <v>6984</v>
      </c>
      <c r="GBJ27" t="s">
        <v>6984</v>
      </c>
      <c r="GBK27" t="s">
        <v>6984</v>
      </c>
      <c r="GBL27" t="s">
        <v>6984</v>
      </c>
      <c r="GBM27" t="s">
        <v>6984</v>
      </c>
      <c r="GBN27" t="s">
        <v>6984</v>
      </c>
      <c r="GBO27" t="s">
        <v>6984</v>
      </c>
      <c r="GBP27" t="s">
        <v>6984</v>
      </c>
      <c r="GBQ27" t="s">
        <v>6984</v>
      </c>
      <c r="GBR27" t="s">
        <v>6984</v>
      </c>
      <c r="GBS27" t="s">
        <v>6984</v>
      </c>
      <c r="GBT27" t="s">
        <v>6984</v>
      </c>
      <c r="GBU27" t="s">
        <v>6984</v>
      </c>
      <c r="GBV27" t="s">
        <v>6984</v>
      </c>
      <c r="GBW27" t="s">
        <v>6984</v>
      </c>
      <c r="GBX27" t="s">
        <v>6984</v>
      </c>
      <c r="GBY27" t="s">
        <v>6984</v>
      </c>
      <c r="GBZ27" t="s">
        <v>6984</v>
      </c>
      <c r="GCA27" t="s">
        <v>6984</v>
      </c>
      <c r="GCB27" t="s">
        <v>6984</v>
      </c>
      <c r="GCC27" t="s">
        <v>6984</v>
      </c>
      <c r="GCD27" t="s">
        <v>6984</v>
      </c>
      <c r="GCE27" t="s">
        <v>6984</v>
      </c>
      <c r="GCF27" t="s">
        <v>6984</v>
      </c>
      <c r="GCG27" t="s">
        <v>6984</v>
      </c>
      <c r="GCH27" t="s">
        <v>6984</v>
      </c>
      <c r="GCI27" t="s">
        <v>6984</v>
      </c>
      <c r="GCJ27" t="s">
        <v>6984</v>
      </c>
      <c r="GCK27" t="s">
        <v>6984</v>
      </c>
      <c r="GCL27" t="s">
        <v>6984</v>
      </c>
      <c r="GCM27" t="s">
        <v>6984</v>
      </c>
      <c r="GCN27" t="s">
        <v>6984</v>
      </c>
      <c r="GCO27" t="s">
        <v>6984</v>
      </c>
      <c r="GCP27" t="s">
        <v>6984</v>
      </c>
      <c r="GCQ27" t="s">
        <v>6984</v>
      </c>
      <c r="GCR27" t="s">
        <v>6984</v>
      </c>
      <c r="GCS27" t="s">
        <v>6984</v>
      </c>
      <c r="GCT27" t="s">
        <v>6984</v>
      </c>
      <c r="GCU27" t="s">
        <v>6984</v>
      </c>
      <c r="GCV27" t="s">
        <v>6984</v>
      </c>
      <c r="GCW27" t="s">
        <v>6984</v>
      </c>
      <c r="GCX27" t="s">
        <v>6984</v>
      </c>
      <c r="GCY27" t="s">
        <v>6984</v>
      </c>
      <c r="GCZ27" t="s">
        <v>6984</v>
      </c>
      <c r="GDA27" t="s">
        <v>6984</v>
      </c>
      <c r="GDB27" t="s">
        <v>6984</v>
      </c>
      <c r="GDC27" t="s">
        <v>6984</v>
      </c>
      <c r="GDD27" t="s">
        <v>6984</v>
      </c>
      <c r="GDE27" t="s">
        <v>6984</v>
      </c>
      <c r="GDF27" t="s">
        <v>6984</v>
      </c>
      <c r="GDG27" t="s">
        <v>6984</v>
      </c>
      <c r="GDH27" t="s">
        <v>6984</v>
      </c>
      <c r="GDI27" t="s">
        <v>6984</v>
      </c>
      <c r="GDJ27" t="s">
        <v>6984</v>
      </c>
      <c r="GDK27" t="s">
        <v>6984</v>
      </c>
      <c r="GDL27" t="s">
        <v>6984</v>
      </c>
      <c r="GDM27" t="s">
        <v>6984</v>
      </c>
      <c r="GDN27" t="s">
        <v>6984</v>
      </c>
      <c r="GDO27" t="s">
        <v>6984</v>
      </c>
      <c r="GDP27" t="s">
        <v>6984</v>
      </c>
      <c r="GDQ27" t="s">
        <v>6984</v>
      </c>
      <c r="GDR27" t="s">
        <v>6984</v>
      </c>
      <c r="GDS27" t="s">
        <v>6984</v>
      </c>
      <c r="GDT27" t="s">
        <v>6984</v>
      </c>
      <c r="GDU27" t="s">
        <v>6984</v>
      </c>
      <c r="GDV27" t="s">
        <v>6984</v>
      </c>
      <c r="GDW27" t="s">
        <v>6984</v>
      </c>
      <c r="GDX27" t="s">
        <v>6984</v>
      </c>
      <c r="GDY27" t="s">
        <v>6984</v>
      </c>
      <c r="GDZ27" t="s">
        <v>6984</v>
      </c>
      <c r="GEA27" t="s">
        <v>6984</v>
      </c>
      <c r="GEB27" t="s">
        <v>6984</v>
      </c>
      <c r="GEC27" t="s">
        <v>6984</v>
      </c>
      <c r="GED27" t="s">
        <v>6984</v>
      </c>
      <c r="GEE27" t="s">
        <v>6984</v>
      </c>
      <c r="GEF27" t="s">
        <v>6984</v>
      </c>
      <c r="GEG27" t="s">
        <v>6984</v>
      </c>
      <c r="GEH27" t="s">
        <v>6984</v>
      </c>
      <c r="GEI27" t="s">
        <v>6984</v>
      </c>
      <c r="GEJ27" t="s">
        <v>6984</v>
      </c>
      <c r="GEK27" t="s">
        <v>6984</v>
      </c>
      <c r="GEL27" t="s">
        <v>6984</v>
      </c>
      <c r="GEM27" t="s">
        <v>6984</v>
      </c>
      <c r="GEN27" t="s">
        <v>6984</v>
      </c>
      <c r="GEO27" t="s">
        <v>6984</v>
      </c>
      <c r="GEP27" t="s">
        <v>6984</v>
      </c>
      <c r="GEQ27" t="s">
        <v>6984</v>
      </c>
      <c r="GER27" t="s">
        <v>6984</v>
      </c>
      <c r="GES27" t="s">
        <v>6984</v>
      </c>
      <c r="GET27" t="s">
        <v>6984</v>
      </c>
      <c r="GEU27" t="s">
        <v>6984</v>
      </c>
      <c r="GEV27" t="s">
        <v>6984</v>
      </c>
      <c r="GEW27" t="s">
        <v>6984</v>
      </c>
      <c r="GEX27" t="s">
        <v>6984</v>
      </c>
      <c r="GEY27" t="s">
        <v>6984</v>
      </c>
      <c r="GEZ27" t="s">
        <v>6984</v>
      </c>
      <c r="GFA27" t="s">
        <v>6984</v>
      </c>
      <c r="GFB27" t="s">
        <v>6984</v>
      </c>
      <c r="GFC27" t="s">
        <v>6984</v>
      </c>
      <c r="GFD27" t="s">
        <v>6984</v>
      </c>
      <c r="GFE27" t="s">
        <v>6984</v>
      </c>
      <c r="GFF27" t="s">
        <v>6984</v>
      </c>
      <c r="GFG27" t="s">
        <v>6984</v>
      </c>
      <c r="GFH27" t="s">
        <v>6984</v>
      </c>
      <c r="GFI27" t="s">
        <v>6984</v>
      </c>
      <c r="GFJ27" t="s">
        <v>6984</v>
      </c>
      <c r="GFK27" t="s">
        <v>6984</v>
      </c>
      <c r="GFL27" t="s">
        <v>6984</v>
      </c>
      <c r="GFM27" t="s">
        <v>6984</v>
      </c>
      <c r="GFN27" t="s">
        <v>6984</v>
      </c>
      <c r="GFO27" t="s">
        <v>6984</v>
      </c>
      <c r="GFP27" t="s">
        <v>6984</v>
      </c>
      <c r="GFQ27" t="s">
        <v>6984</v>
      </c>
      <c r="GFR27" t="s">
        <v>6984</v>
      </c>
      <c r="GFS27" t="s">
        <v>6984</v>
      </c>
      <c r="GFT27" t="s">
        <v>6984</v>
      </c>
      <c r="GFU27" t="s">
        <v>6984</v>
      </c>
      <c r="GFV27" t="s">
        <v>6984</v>
      </c>
      <c r="GFW27" t="s">
        <v>6984</v>
      </c>
      <c r="GFX27" t="s">
        <v>6984</v>
      </c>
      <c r="GFY27" t="s">
        <v>6984</v>
      </c>
      <c r="GFZ27" t="s">
        <v>6984</v>
      </c>
      <c r="GGA27" t="s">
        <v>6984</v>
      </c>
      <c r="GGB27" t="s">
        <v>6984</v>
      </c>
      <c r="GGC27" t="s">
        <v>6984</v>
      </c>
      <c r="GGD27" t="s">
        <v>6984</v>
      </c>
      <c r="GGE27" t="s">
        <v>6984</v>
      </c>
      <c r="GGF27" t="s">
        <v>6984</v>
      </c>
      <c r="GGG27" t="s">
        <v>6984</v>
      </c>
      <c r="GGH27" t="s">
        <v>6984</v>
      </c>
      <c r="GGI27" t="s">
        <v>6984</v>
      </c>
      <c r="GGJ27" t="s">
        <v>6984</v>
      </c>
      <c r="GGK27" t="s">
        <v>6984</v>
      </c>
      <c r="GGL27" t="s">
        <v>6984</v>
      </c>
      <c r="GGM27" t="s">
        <v>6984</v>
      </c>
      <c r="GGN27" t="s">
        <v>6984</v>
      </c>
      <c r="GGO27" t="s">
        <v>6984</v>
      </c>
      <c r="GGP27" t="s">
        <v>6984</v>
      </c>
      <c r="GGQ27" t="s">
        <v>6984</v>
      </c>
      <c r="GGR27" t="s">
        <v>6984</v>
      </c>
      <c r="GGS27" t="s">
        <v>6984</v>
      </c>
      <c r="GGT27" t="s">
        <v>6984</v>
      </c>
      <c r="GGU27" t="s">
        <v>6984</v>
      </c>
      <c r="GGV27" t="s">
        <v>6984</v>
      </c>
      <c r="GGW27" t="s">
        <v>6984</v>
      </c>
      <c r="GGX27" t="s">
        <v>6984</v>
      </c>
      <c r="GGY27" t="s">
        <v>6984</v>
      </c>
      <c r="GGZ27" t="s">
        <v>6984</v>
      </c>
      <c r="GHA27" t="s">
        <v>6984</v>
      </c>
      <c r="GHB27" t="s">
        <v>6984</v>
      </c>
      <c r="GHC27" t="s">
        <v>6984</v>
      </c>
      <c r="GHD27" t="s">
        <v>6984</v>
      </c>
      <c r="GHE27" t="s">
        <v>6984</v>
      </c>
      <c r="GHF27" t="s">
        <v>6984</v>
      </c>
      <c r="GHG27" t="s">
        <v>6984</v>
      </c>
      <c r="GHH27" t="s">
        <v>6984</v>
      </c>
      <c r="GHI27" t="s">
        <v>6984</v>
      </c>
      <c r="GHJ27" t="s">
        <v>6984</v>
      </c>
      <c r="GHK27" t="s">
        <v>6984</v>
      </c>
      <c r="GHL27" t="s">
        <v>6984</v>
      </c>
      <c r="GHM27" t="s">
        <v>6984</v>
      </c>
      <c r="GHN27" t="s">
        <v>6984</v>
      </c>
      <c r="GHO27" t="s">
        <v>6984</v>
      </c>
      <c r="GHP27" t="s">
        <v>6984</v>
      </c>
      <c r="GHQ27" t="s">
        <v>6984</v>
      </c>
      <c r="GHR27" t="s">
        <v>6984</v>
      </c>
      <c r="GHS27" t="s">
        <v>6984</v>
      </c>
      <c r="GHT27" t="s">
        <v>6984</v>
      </c>
      <c r="GHU27" t="s">
        <v>6984</v>
      </c>
      <c r="GHV27" t="s">
        <v>6984</v>
      </c>
      <c r="GHW27" t="s">
        <v>6984</v>
      </c>
      <c r="GHX27" t="s">
        <v>6984</v>
      </c>
      <c r="GHY27" t="s">
        <v>6984</v>
      </c>
      <c r="GHZ27" t="s">
        <v>6984</v>
      </c>
      <c r="GIA27" t="s">
        <v>6984</v>
      </c>
      <c r="GIB27" t="s">
        <v>6984</v>
      </c>
      <c r="GIC27" t="s">
        <v>6984</v>
      </c>
      <c r="GID27" t="s">
        <v>6984</v>
      </c>
      <c r="GIE27" t="s">
        <v>6984</v>
      </c>
      <c r="GIF27" t="s">
        <v>6984</v>
      </c>
      <c r="GIG27" t="s">
        <v>6984</v>
      </c>
      <c r="GIH27" t="s">
        <v>6984</v>
      </c>
      <c r="GII27" t="s">
        <v>6984</v>
      </c>
      <c r="GIJ27" t="s">
        <v>6984</v>
      </c>
      <c r="GIK27" t="s">
        <v>6984</v>
      </c>
      <c r="GIL27" t="s">
        <v>6984</v>
      </c>
      <c r="GIM27" t="s">
        <v>6984</v>
      </c>
      <c r="GIN27" t="s">
        <v>6984</v>
      </c>
      <c r="GIO27" t="s">
        <v>6984</v>
      </c>
      <c r="GIP27" t="s">
        <v>6984</v>
      </c>
      <c r="GIQ27" t="s">
        <v>6984</v>
      </c>
      <c r="GIR27" t="s">
        <v>6984</v>
      </c>
      <c r="GIS27" t="s">
        <v>6984</v>
      </c>
      <c r="GIT27" t="s">
        <v>6984</v>
      </c>
      <c r="GIU27" t="s">
        <v>6984</v>
      </c>
      <c r="GIV27" t="s">
        <v>6984</v>
      </c>
      <c r="GIW27" t="s">
        <v>6984</v>
      </c>
      <c r="GIX27" t="s">
        <v>6984</v>
      </c>
      <c r="GIY27" t="s">
        <v>6984</v>
      </c>
      <c r="GIZ27" t="s">
        <v>6984</v>
      </c>
      <c r="GJA27" t="s">
        <v>6984</v>
      </c>
      <c r="GJB27" t="s">
        <v>6984</v>
      </c>
      <c r="GJC27" t="s">
        <v>6984</v>
      </c>
      <c r="GJD27" t="s">
        <v>6984</v>
      </c>
      <c r="GJE27" t="s">
        <v>6984</v>
      </c>
      <c r="GJF27" t="s">
        <v>6984</v>
      </c>
      <c r="GJG27" t="s">
        <v>6984</v>
      </c>
      <c r="GJH27" t="s">
        <v>6984</v>
      </c>
      <c r="GJI27" t="s">
        <v>6984</v>
      </c>
      <c r="GJJ27" t="s">
        <v>6984</v>
      </c>
      <c r="GJK27" t="s">
        <v>6984</v>
      </c>
      <c r="GJL27" t="s">
        <v>6984</v>
      </c>
      <c r="GJM27" t="s">
        <v>6984</v>
      </c>
      <c r="GJN27" t="s">
        <v>6984</v>
      </c>
      <c r="GJO27" t="s">
        <v>6984</v>
      </c>
      <c r="GJP27" t="s">
        <v>6984</v>
      </c>
      <c r="GJQ27" t="s">
        <v>6984</v>
      </c>
      <c r="GJR27" t="s">
        <v>6984</v>
      </c>
      <c r="GJS27" t="s">
        <v>6984</v>
      </c>
      <c r="GJT27" t="s">
        <v>6984</v>
      </c>
      <c r="GJU27" t="s">
        <v>6984</v>
      </c>
      <c r="GJV27" t="s">
        <v>6984</v>
      </c>
      <c r="GJW27" t="s">
        <v>6984</v>
      </c>
      <c r="GJX27" t="s">
        <v>6984</v>
      </c>
      <c r="GJY27" t="s">
        <v>6984</v>
      </c>
      <c r="GJZ27" t="s">
        <v>6984</v>
      </c>
      <c r="GKA27" t="s">
        <v>6984</v>
      </c>
      <c r="GKB27" t="s">
        <v>6984</v>
      </c>
      <c r="GKC27" t="s">
        <v>6984</v>
      </c>
      <c r="GKD27" t="s">
        <v>6984</v>
      </c>
      <c r="GKE27" t="s">
        <v>6984</v>
      </c>
      <c r="GKF27" t="s">
        <v>6984</v>
      </c>
      <c r="GKG27" t="s">
        <v>6984</v>
      </c>
      <c r="GKH27" t="s">
        <v>6984</v>
      </c>
      <c r="GKI27" t="s">
        <v>6984</v>
      </c>
      <c r="GKJ27" t="s">
        <v>6984</v>
      </c>
      <c r="GKK27" t="s">
        <v>6984</v>
      </c>
      <c r="GKL27" t="s">
        <v>6984</v>
      </c>
      <c r="GKM27" t="s">
        <v>6984</v>
      </c>
      <c r="GKN27" t="s">
        <v>6984</v>
      </c>
      <c r="GKO27" t="s">
        <v>6984</v>
      </c>
      <c r="GKP27" t="s">
        <v>6984</v>
      </c>
      <c r="GKQ27" t="s">
        <v>6984</v>
      </c>
      <c r="GKR27" t="s">
        <v>6984</v>
      </c>
      <c r="GKS27" t="s">
        <v>6984</v>
      </c>
      <c r="GKT27" t="s">
        <v>6984</v>
      </c>
      <c r="GKU27" t="s">
        <v>6984</v>
      </c>
      <c r="GKV27" t="s">
        <v>6984</v>
      </c>
      <c r="GKW27" t="s">
        <v>6984</v>
      </c>
      <c r="GKX27" t="s">
        <v>6984</v>
      </c>
      <c r="GKY27" t="s">
        <v>6984</v>
      </c>
      <c r="GKZ27" t="s">
        <v>6984</v>
      </c>
      <c r="GLA27" t="s">
        <v>6984</v>
      </c>
      <c r="GLB27" t="s">
        <v>6984</v>
      </c>
      <c r="GLC27" t="s">
        <v>6984</v>
      </c>
      <c r="GLD27" t="s">
        <v>6984</v>
      </c>
      <c r="GLE27" t="s">
        <v>6984</v>
      </c>
      <c r="GLF27" t="s">
        <v>6984</v>
      </c>
      <c r="GLG27" t="s">
        <v>6984</v>
      </c>
      <c r="GLH27" t="s">
        <v>6984</v>
      </c>
      <c r="GLI27" t="s">
        <v>6984</v>
      </c>
      <c r="GLJ27" t="s">
        <v>6984</v>
      </c>
      <c r="GLK27" t="s">
        <v>6984</v>
      </c>
      <c r="GLL27" t="s">
        <v>6984</v>
      </c>
      <c r="GLM27" t="s">
        <v>6984</v>
      </c>
      <c r="GLN27" t="s">
        <v>6984</v>
      </c>
      <c r="GLO27" t="s">
        <v>6984</v>
      </c>
      <c r="GLP27" t="s">
        <v>6984</v>
      </c>
      <c r="GLQ27" t="s">
        <v>6984</v>
      </c>
      <c r="GLR27" t="s">
        <v>6984</v>
      </c>
      <c r="GLS27" t="s">
        <v>6984</v>
      </c>
      <c r="GLT27" t="s">
        <v>6984</v>
      </c>
      <c r="GLU27" t="s">
        <v>6984</v>
      </c>
      <c r="GLV27" t="s">
        <v>6984</v>
      </c>
      <c r="GLW27" t="s">
        <v>6984</v>
      </c>
      <c r="GLX27" t="s">
        <v>6984</v>
      </c>
      <c r="GLY27" t="s">
        <v>6984</v>
      </c>
      <c r="GLZ27" t="s">
        <v>6984</v>
      </c>
      <c r="GMA27" t="s">
        <v>6984</v>
      </c>
      <c r="GMB27" t="s">
        <v>6984</v>
      </c>
      <c r="GMC27" t="s">
        <v>6984</v>
      </c>
      <c r="GMD27" t="s">
        <v>6984</v>
      </c>
      <c r="GME27" t="s">
        <v>6984</v>
      </c>
      <c r="GMF27" t="s">
        <v>6984</v>
      </c>
      <c r="GMG27" t="s">
        <v>6984</v>
      </c>
      <c r="GMH27" t="s">
        <v>6984</v>
      </c>
      <c r="GMI27" t="s">
        <v>6984</v>
      </c>
      <c r="GMJ27" t="s">
        <v>6984</v>
      </c>
      <c r="GMK27" t="s">
        <v>6984</v>
      </c>
      <c r="GML27" t="s">
        <v>6984</v>
      </c>
      <c r="GMM27" t="s">
        <v>6984</v>
      </c>
      <c r="GMN27" t="s">
        <v>6984</v>
      </c>
      <c r="GMO27" t="s">
        <v>6984</v>
      </c>
      <c r="GMP27" t="s">
        <v>6984</v>
      </c>
      <c r="GMQ27" t="s">
        <v>6984</v>
      </c>
      <c r="GMR27" t="s">
        <v>6984</v>
      </c>
      <c r="GMS27" t="s">
        <v>6984</v>
      </c>
      <c r="GMT27" t="s">
        <v>6984</v>
      </c>
      <c r="GMU27" t="s">
        <v>6984</v>
      </c>
      <c r="GMV27" t="s">
        <v>6984</v>
      </c>
      <c r="GMW27" t="s">
        <v>6984</v>
      </c>
      <c r="GMX27" t="s">
        <v>6984</v>
      </c>
      <c r="GMY27" t="s">
        <v>6984</v>
      </c>
      <c r="GMZ27" t="s">
        <v>6984</v>
      </c>
      <c r="GNA27" t="s">
        <v>6984</v>
      </c>
      <c r="GNB27" t="s">
        <v>6984</v>
      </c>
      <c r="GNC27" t="s">
        <v>6984</v>
      </c>
      <c r="GND27" t="s">
        <v>6984</v>
      </c>
      <c r="GNE27" t="s">
        <v>6984</v>
      </c>
      <c r="GNF27" t="s">
        <v>6984</v>
      </c>
      <c r="GNG27" t="s">
        <v>6984</v>
      </c>
      <c r="GNH27" t="s">
        <v>6984</v>
      </c>
      <c r="GNI27" t="s">
        <v>6984</v>
      </c>
      <c r="GNJ27" t="s">
        <v>6984</v>
      </c>
      <c r="GNK27" t="s">
        <v>6984</v>
      </c>
      <c r="GNL27" t="s">
        <v>6984</v>
      </c>
      <c r="GNM27" t="s">
        <v>6984</v>
      </c>
      <c r="GNN27" t="s">
        <v>6984</v>
      </c>
      <c r="GNO27" t="s">
        <v>6984</v>
      </c>
      <c r="GNP27" t="s">
        <v>6984</v>
      </c>
      <c r="GNQ27" t="s">
        <v>6984</v>
      </c>
      <c r="GNR27" t="s">
        <v>6984</v>
      </c>
      <c r="GNS27" t="s">
        <v>6984</v>
      </c>
      <c r="GNT27" t="s">
        <v>6984</v>
      </c>
      <c r="GNU27" t="s">
        <v>6984</v>
      </c>
      <c r="GNV27" t="s">
        <v>6984</v>
      </c>
      <c r="GNW27" t="s">
        <v>6984</v>
      </c>
      <c r="GNX27" t="s">
        <v>6984</v>
      </c>
      <c r="GNY27" t="s">
        <v>6984</v>
      </c>
      <c r="GNZ27" t="s">
        <v>6984</v>
      </c>
      <c r="GOA27" t="s">
        <v>6984</v>
      </c>
      <c r="GOB27" t="s">
        <v>6984</v>
      </c>
      <c r="GOC27" t="s">
        <v>6984</v>
      </c>
      <c r="GOD27" t="s">
        <v>6984</v>
      </c>
      <c r="GOE27" t="s">
        <v>6984</v>
      </c>
      <c r="GOF27" t="s">
        <v>6984</v>
      </c>
      <c r="GOG27" t="s">
        <v>6984</v>
      </c>
      <c r="GOH27" t="s">
        <v>6984</v>
      </c>
      <c r="GOI27" t="s">
        <v>6984</v>
      </c>
      <c r="GOJ27" t="s">
        <v>6984</v>
      </c>
      <c r="GOK27" t="s">
        <v>6984</v>
      </c>
      <c r="GOL27" t="s">
        <v>6984</v>
      </c>
      <c r="GOM27" t="s">
        <v>6984</v>
      </c>
      <c r="GON27" t="s">
        <v>6984</v>
      </c>
      <c r="GOO27" t="s">
        <v>6984</v>
      </c>
      <c r="GOP27" t="s">
        <v>6984</v>
      </c>
      <c r="GOQ27" t="s">
        <v>6984</v>
      </c>
      <c r="GOR27" t="s">
        <v>6984</v>
      </c>
      <c r="GOS27" t="s">
        <v>6984</v>
      </c>
      <c r="GOT27" t="s">
        <v>6984</v>
      </c>
      <c r="GOU27" t="s">
        <v>6984</v>
      </c>
      <c r="GOV27" t="s">
        <v>6984</v>
      </c>
      <c r="GOW27" t="s">
        <v>6984</v>
      </c>
      <c r="GOX27" t="s">
        <v>6984</v>
      </c>
      <c r="GOY27" t="s">
        <v>6984</v>
      </c>
      <c r="GOZ27" t="s">
        <v>6984</v>
      </c>
      <c r="GPA27" t="s">
        <v>6984</v>
      </c>
      <c r="GPB27" t="s">
        <v>6984</v>
      </c>
      <c r="GPC27" t="s">
        <v>6984</v>
      </c>
      <c r="GPD27" t="s">
        <v>6984</v>
      </c>
      <c r="GPE27" t="s">
        <v>6984</v>
      </c>
      <c r="GPF27" t="s">
        <v>6984</v>
      </c>
      <c r="GPG27" t="s">
        <v>6984</v>
      </c>
      <c r="GPH27" t="s">
        <v>6984</v>
      </c>
      <c r="GPI27" t="s">
        <v>6984</v>
      </c>
      <c r="GPJ27" t="s">
        <v>6984</v>
      </c>
      <c r="GPK27" t="s">
        <v>6984</v>
      </c>
      <c r="GPL27" t="s">
        <v>6984</v>
      </c>
      <c r="GPM27" t="s">
        <v>6984</v>
      </c>
      <c r="GPN27" t="s">
        <v>6984</v>
      </c>
      <c r="GPO27" t="s">
        <v>6984</v>
      </c>
      <c r="GPP27" t="s">
        <v>6984</v>
      </c>
      <c r="GPQ27" t="s">
        <v>6984</v>
      </c>
      <c r="GPR27" t="s">
        <v>6984</v>
      </c>
      <c r="GPS27" t="s">
        <v>6984</v>
      </c>
      <c r="GPT27" t="s">
        <v>6984</v>
      </c>
      <c r="GPU27" t="s">
        <v>6984</v>
      </c>
      <c r="GPV27" t="s">
        <v>6984</v>
      </c>
      <c r="GPW27" t="s">
        <v>6984</v>
      </c>
      <c r="GPX27" t="s">
        <v>6984</v>
      </c>
      <c r="GPY27" t="s">
        <v>6984</v>
      </c>
      <c r="GPZ27" t="s">
        <v>6984</v>
      </c>
      <c r="GQA27" t="s">
        <v>6984</v>
      </c>
      <c r="GQB27" t="s">
        <v>6984</v>
      </c>
      <c r="GQC27" t="s">
        <v>6984</v>
      </c>
      <c r="GQD27" t="s">
        <v>6984</v>
      </c>
      <c r="GQE27" t="s">
        <v>6984</v>
      </c>
      <c r="GQF27" t="s">
        <v>6984</v>
      </c>
      <c r="GQG27" t="s">
        <v>6984</v>
      </c>
      <c r="GQH27" t="s">
        <v>6984</v>
      </c>
      <c r="GQI27" t="s">
        <v>6984</v>
      </c>
      <c r="GQJ27" t="s">
        <v>6984</v>
      </c>
      <c r="GQK27" t="s">
        <v>6984</v>
      </c>
      <c r="GQL27" t="s">
        <v>6984</v>
      </c>
      <c r="GQM27" t="s">
        <v>6984</v>
      </c>
      <c r="GQN27" t="s">
        <v>6984</v>
      </c>
      <c r="GQO27" t="s">
        <v>6984</v>
      </c>
      <c r="GQP27" t="s">
        <v>6984</v>
      </c>
      <c r="GQQ27" t="s">
        <v>6984</v>
      </c>
      <c r="GQR27" t="s">
        <v>6984</v>
      </c>
      <c r="GQS27" t="s">
        <v>6984</v>
      </c>
      <c r="GQT27" t="s">
        <v>6984</v>
      </c>
      <c r="GQU27" t="s">
        <v>6984</v>
      </c>
      <c r="GQV27" t="s">
        <v>6984</v>
      </c>
      <c r="GQW27" t="s">
        <v>6984</v>
      </c>
      <c r="GQX27" t="s">
        <v>6984</v>
      </c>
      <c r="GQY27" t="s">
        <v>6984</v>
      </c>
      <c r="GQZ27" t="s">
        <v>6984</v>
      </c>
      <c r="GRA27" t="s">
        <v>6984</v>
      </c>
      <c r="GRB27" t="s">
        <v>6984</v>
      </c>
      <c r="GRC27" t="s">
        <v>6984</v>
      </c>
      <c r="GRD27" t="s">
        <v>6984</v>
      </c>
      <c r="GRE27" t="s">
        <v>6984</v>
      </c>
      <c r="GRF27" t="s">
        <v>6984</v>
      </c>
      <c r="GRG27" t="s">
        <v>6984</v>
      </c>
      <c r="GRH27" t="s">
        <v>6984</v>
      </c>
      <c r="GRI27" t="s">
        <v>6984</v>
      </c>
      <c r="GRJ27" t="s">
        <v>6984</v>
      </c>
      <c r="GRK27" t="s">
        <v>6984</v>
      </c>
      <c r="GRL27" t="s">
        <v>6984</v>
      </c>
      <c r="GRM27" t="s">
        <v>6984</v>
      </c>
      <c r="GRN27" t="s">
        <v>6984</v>
      </c>
      <c r="GRO27" t="s">
        <v>6984</v>
      </c>
      <c r="GRP27" t="s">
        <v>6984</v>
      </c>
      <c r="GRQ27" t="s">
        <v>6984</v>
      </c>
      <c r="GRR27" t="s">
        <v>6984</v>
      </c>
      <c r="GRS27" t="s">
        <v>6984</v>
      </c>
      <c r="GRT27" t="s">
        <v>6984</v>
      </c>
      <c r="GRU27" t="s">
        <v>6984</v>
      </c>
      <c r="GRV27" t="s">
        <v>6984</v>
      </c>
      <c r="GRW27" t="s">
        <v>6984</v>
      </c>
      <c r="GRX27" t="s">
        <v>6984</v>
      </c>
      <c r="GRY27" t="s">
        <v>6984</v>
      </c>
      <c r="GRZ27" t="s">
        <v>6984</v>
      </c>
      <c r="GSA27" t="s">
        <v>6984</v>
      </c>
      <c r="GSB27" t="s">
        <v>6984</v>
      </c>
      <c r="GSC27" t="s">
        <v>6984</v>
      </c>
      <c r="GSD27" t="s">
        <v>6984</v>
      </c>
      <c r="GSE27" t="s">
        <v>6984</v>
      </c>
      <c r="GSF27" t="s">
        <v>6984</v>
      </c>
      <c r="GSG27" t="s">
        <v>6984</v>
      </c>
      <c r="GSH27" t="s">
        <v>6984</v>
      </c>
      <c r="GSI27" t="s">
        <v>6984</v>
      </c>
      <c r="GSJ27" t="s">
        <v>6984</v>
      </c>
      <c r="GSK27" t="s">
        <v>6984</v>
      </c>
      <c r="GSL27" t="s">
        <v>6984</v>
      </c>
      <c r="GSM27" t="s">
        <v>6984</v>
      </c>
      <c r="GSN27" t="s">
        <v>6984</v>
      </c>
      <c r="GSO27" t="s">
        <v>6984</v>
      </c>
      <c r="GSP27" t="s">
        <v>6984</v>
      </c>
      <c r="GSQ27" t="s">
        <v>6984</v>
      </c>
      <c r="GSR27" t="s">
        <v>6984</v>
      </c>
      <c r="GSS27" t="s">
        <v>6984</v>
      </c>
      <c r="GST27" t="s">
        <v>6984</v>
      </c>
      <c r="GSU27" t="s">
        <v>6984</v>
      </c>
      <c r="GSV27" t="s">
        <v>6984</v>
      </c>
      <c r="GSW27" t="s">
        <v>6984</v>
      </c>
      <c r="GSX27" t="s">
        <v>6984</v>
      </c>
      <c r="GSY27" t="s">
        <v>6984</v>
      </c>
      <c r="GSZ27" t="s">
        <v>6984</v>
      </c>
      <c r="GTA27" t="s">
        <v>6984</v>
      </c>
      <c r="GTB27" t="s">
        <v>6984</v>
      </c>
      <c r="GTC27" t="s">
        <v>6984</v>
      </c>
      <c r="GTD27" t="s">
        <v>6984</v>
      </c>
      <c r="GTE27" t="s">
        <v>6984</v>
      </c>
      <c r="GTF27" t="s">
        <v>6984</v>
      </c>
      <c r="GTG27" t="s">
        <v>6984</v>
      </c>
      <c r="GTH27" t="s">
        <v>6984</v>
      </c>
      <c r="GTI27" t="s">
        <v>6984</v>
      </c>
      <c r="GTJ27" t="s">
        <v>6984</v>
      </c>
      <c r="GTK27" t="s">
        <v>6984</v>
      </c>
      <c r="GTL27" t="s">
        <v>6984</v>
      </c>
      <c r="GTM27" t="s">
        <v>6984</v>
      </c>
      <c r="GTN27" t="s">
        <v>6984</v>
      </c>
      <c r="GTO27" t="s">
        <v>6984</v>
      </c>
      <c r="GTP27" t="s">
        <v>6984</v>
      </c>
      <c r="GTQ27" t="s">
        <v>6984</v>
      </c>
      <c r="GTR27" t="s">
        <v>6984</v>
      </c>
      <c r="GTS27" t="s">
        <v>6984</v>
      </c>
      <c r="GTT27" t="s">
        <v>6984</v>
      </c>
      <c r="GTU27" t="s">
        <v>6984</v>
      </c>
      <c r="GTV27" t="s">
        <v>6984</v>
      </c>
      <c r="GTW27" t="s">
        <v>6984</v>
      </c>
      <c r="GTX27" t="s">
        <v>6984</v>
      </c>
      <c r="GTY27" t="s">
        <v>6984</v>
      </c>
      <c r="GTZ27" t="s">
        <v>6984</v>
      </c>
      <c r="GUA27" t="s">
        <v>6984</v>
      </c>
      <c r="GUB27" t="s">
        <v>6984</v>
      </c>
      <c r="GUC27" t="s">
        <v>6984</v>
      </c>
      <c r="GUD27" t="s">
        <v>6984</v>
      </c>
      <c r="GUE27" t="s">
        <v>6984</v>
      </c>
      <c r="GUF27" t="s">
        <v>6984</v>
      </c>
      <c r="GUG27" t="s">
        <v>6984</v>
      </c>
      <c r="GUH27" t="s">
        <v>6984</v>
      </c>
      <c r="GUI27" t="s">
        <v>6984</v>
      </c>
      <c r="GUJ27" t="s">
        <v>6984</v>
      </c>
      <c r="GUK27" t="s">
        <v>6984</v>
      </c>
      <c r="GUL27" t="s">
        <v>6984</v>
      </c>
      <c r="GUM27" t="s">
        <v>6984</v>
      </c>
      <c r="GUN27" t="s">
        <v>6984</v>
      </c>
      <c r="GUO27" t="s">
        <v>6984</v>
      </c>
      <c r="GUP27" t="s">
        <v>6984</v>
      </c>
      <c r="GUQ27" t="s">
        <v>6984</v>
      </c>
      <c r="GUR27" t="s">
        <v>6984</v>
      </c>
      <c r="GUS27" t="s">
        <v>6984</v>
      </c>
      <c r="GUT27" t="s">
        <v>6984</v>
      </c>
      <c r="GUU27" t="s">
        <v>6984</v>
      </c>
      <c r="GUV27" t="s">
        <v>6984</v>
      </c>
      <c r="GUW27" t="s">
        <v>6984</v>
      </c>
      <c r="GUX27" t="s">
        <v>6984</v>
      </c>
      <c r="GUY27" t="s">
        <v>6984</v>
      </c>
      <c r="GUZ27" t="s">
        <v>6984</v>
      </c>
      <c r="GVA27" t="s">
        <v>6984</v>
      </c>
      <c r="GVB27" t="s">
        <v>6984</v>
      </c>
      <c r="GVC27" t="s">
        <v>6984</v>
      </c>
      <c r="GVD27" t="s">
        <v>6984</v>
      </c>
      <c r="GVE27" t="s">
        <v>6984</v>
      </c>
      <c r="GVF27" t="s">
        <v>6984</v>
      </c>
      <c r="GVG27" t="s">
        <v>6984</v>
      </c>
      <c r="GVH27" t="s">
        <v>6984</v>
      </c>
      <c r="GVI27" t="s">
        <v>6984</v>
      </c>
      <c r="GVJ27" t="s">
        <v>6984</v>
      </c>
      <c r="GVK27" t="s">
        <v>6984</v>
      </c>
      <c r="GVL27" t="s">
        <v>6984</v>
      </c>
      <c r="GVM27" t="s">
        <v>6984</v>
      </c>
      <c r="GVN27" t="s">
        <v>6984</v>
      </c>
      <c r="GVO27" t="s">
        <v>6984</v>
      </c>
      <c r="GVP27" t="s">
        <v>6984</v>
      </c>
      <c r="GVQ27" t="s">
        <v>6984</v>
      </c>
      <c r="GVR27" t="s">
        <v>6984</v>
      </c>
      <c r="GVS27" t="s">
        <v>6984</v>
      </c>
      <c r="GVT27" t="s">
        <v>6984</v>
      </c>
      <c r="GVU27" t="s">
        <v>6984</v>
      </c>
      <c r="GVV27" t="s">
        <v>6984</v>
      </c>
      <c r="GVW27" t="s">
        <v>6984</v>
      </c>
      <c r="GVX27" t="s">
        <v>6984</v>
      </c>
      <c r="GVY27" t="s">
        <v>6984</v>
      </c>
      <c r="GVZ27" t="s">
        <v>6984</v>
      </c>
      <c r="GWA27" t="s">
        <v>6984</v>
      </c>
      <c r="GWB27" t="s">
        <v>6984</v>
      </c>
      <c r="GWC27" t="s">
        <v>6984</v>
      </c>
      <c r="GWD27" t="s">
        <v>6984</v>
      </c>
      <c r="GWE27" t="s">
        <v>6984</v>
      </c>
      <c r="GWF27" t="s">
        <v>6984</v>
      </c>
      <c r="GWG27" t="s">
        <v>6984</v>
      </c>
      <c r="GWH27" t="s">
        <v>6984</v>
      </c>
      <c r="GWI27" t="s">
        <v>6984</v>
      </c>
      <c r="GWJ27" t="s">
        <v>6984</v>
      </c>
      <c r="GWK27" t="s">
        <v>6984</v>
      </c>
      <c r="GWL27" t="s">
        <v>6984</v>
      </c>
      <c r="GWM27" t="s">
        <v>6984</v>
      </c>
      <c r="GWN27" t="s">
        <v>6984</v>
      </c>
      <c r="GWO27" t="s">
        <v>6984</v>
      </c>
      <c r="GWP27" t="s">
        <v>6984</v>
      </c>
      <c r="GWQ27" t="s">
        <v>6984</v>
      </c>
      <c r="GWR27" t="s">
        <v>6984</v>
      </c>
      <c r="GWS27" t="s">
        <v>6984</v>
      </c>
      <c r="GWT27" t="s">
        <v>6984</v>
      </c>
      <c r="GWU27" t="s">
        <v>6984</v>
      </c>
      <c r="GWV27" t="s">
        <v>6984</v>
      </c>
      <c r="GWW27" t="s">
        <v>6984</v>
      </c>
      <c r="GWX27" t="s">
        <v>6984</v>
      </c>
      <c r="GWY27" t="s">
        <v>6984</v>
      </c>
      <c r="GWZ27" t="s">
        <v>6984</v>
      </c>
      <c r="GXA27" t="s">
        <v>6984</v>
      </c>
      <c r="GXB27" t="s">
        <v>6984</v>
      </c>
      <c r="GXC27" t="s">
        <v>6984</v>
      </c>
      <c r="GXD27" t="s">
        <v>6984</v>
      </c>
      <c r="GXE27" t="s">
        <v>6984</v>
      </c>
      <c r="GXF27" t="s">
        <v>6984</v>
      </c>
      <c r="GXG27" t="s">
        <v>6984</v>
      </c>
      <c r="GXH27" t="s">
        <v>6984</v>
      </c>
      <c r="GXI27" t="s">
        <v>6984</v>
      </c>
      <c r="GXJ27" t="s">
        <v>6984</v>
      </c>
      <c r="GXK27" t="s">
        <v>6984</v>
      </c>
      <c r="GXL27" t="s">
        <v>6984</v>
      </c>
      <c r="GXM27" t="s">
        <v>6984</v>
      </c>
      <c r="GXN27" t="s">
        <v>6984</v>
      </c>
      <c r="GXO27" t="s">
        <v>6984</v>
      </c>
      <c r="GXP27" t="s">
        <v>6984</v>
      </c>
      <c r="GXQ27" t="s">
        <v>6984</v>
      </c>
      <c r="GXR27" t="s">
        <v>6984</v>
      </c>
      <c r="GXS27" t="s">
        <v>6984</v>
      </c>
      <c r="GXT27" t="s">
        <v>6984</v>
      </c>
      <c r="GXU27" t="s">
        <v>6984</v>
      </c>
      <c r="GXV27" t="s">
        <v>6984</v>
      </c>
      <c r="GXW27" t="s">
        <v>6984</v>
      </c>
      <c r="GXX27" t="s">
        <v>6984</v>
      </c>
      <c r="GXY27" t="s">
        <v>6984</v>
      </c>
      <c r="GXZ27" t="s">
        <v>6984</v>
      </c>
      <c r="GYA27" t="s">
        <v>6984</v>
      </c>
      <c r="GYB27" t="s">
        <v>6984</v>
      </c>
      <c r="GYC27" t="s">
        <v>6984</v>
      </c>
      <c r="GYD27" t="s">
        <v>6984</v>
      </c>
      <c r="GYE27" t="s">
        <v>6984</v>
      </c>
      <c r="GYF27" t="s">
        <v>6984</v>
      </c>
      <c r="GYG27" t="s">
        <v>6984</v>
      </c>
      <c r="GYH27" t="s">
        <v>6984</v>
      </c>
      <c r="GYI27" t="s">
        <v>6984</v>
      </c>
      <c r="GYJ27" t="s">
        <v>6984</v>
      </c>
      <c r="GYK27" t="s">
        <v>6984</v>
      </c>
      <c r="GYL27" t="s">
        <v>6984</v>
      </c>
      <c r="GYM27" t="s">
        <v>6984</v>
      </c>
      <c r="GYN27" t="s">
        <v>6984</v>
      </c>
      <c r="GYO27" t="s">
        <v>6984</v>
      </c>
      <c r="GYP27" t="s">
        <v>6984</v>
      </c>
      <c r="GYQ27" t="s">
        <v>6984</v>
      </c>
      <c r="GYR27" t="s">
        <v>6984</v>
      </c>
      <c r="GYS27" t="s">
        <v>6984</v>
      </c>
      <c r="GYT27" t="s">
        <v>6984</v>
      </c>
      <c r="GYU27" t="s">
        <v>6984</v>
      </c>
      <c r="GYV27" t="s">
        <v>6984</v>
      </c>
      <c r="GYW27" t="s">
        <v>6984</v>
      </c>
      <c r="GYX27" t="s">
        <v>6984</v>
      </c>
      <c r="GYY27" t="s">
        <v>6984</v>
      </c>
      <c r="GYZ27" t="s">
        <v>6984</v>
      </c>
      <c r="GZA27" t="s">
        <v>6984</v>
      </c>
      <c r="GZB27" t="s">
        <v>6984</v>
      </c>
      <c r="GZC27" t="s">
        <v>6984</v>
      </c>
      <c r="GZD27" t="s">
        <v>6984</v>
      </c>
      <c r="GZE27" t="s">
        <v>6984</v>
      </c>
      <c r="GZF27" t="s">
        <v>6984</v>
      </c>
      <c r="GZG27" t="s">
        <v>6984</v>
      </c>
      <c r="GZH27" t="s">
        <v>6984</v>
      </c>
      <c r="GZI27" t="s">
        <v>6984</v>
      </c>
      <c r="GZJ27" t="s">
        <v>6984</v>
      </c>
      <c r="GZK27" t="s">
        <v>6984</v>
      </c>
      <c r="GZL27" t="s">
        <v>6984</v>
      </c>
      <c r="GZM27" t="s">
        <v>6984</v>
      </c>
      <c r="GZN27" t="s">
        <v>6984</v>
      </c>
      <c r="GZO27" t="s">
        <v>6984</v>
      </c>
      <c r="GZP27" t="s">
        <v>6984</v>
      </c>
      <c r="GZQ27" t="s">
        <v>6984</v>
      </c>
      <c r="GZR27" t="s">
        <v>6984</v>
      </c>
      <c r="GZS27" t="s">
        <v>6984</v>
      </c>
      <c r="GZT27" t="s">
        <v>6984</v>
      </c>
      <c r="GZU27" t="s">
        <v>6984</v>
      </c>
      <c r="GZV27" t="s">
        <v>6984</v>
      </c>
      <c r="GZW27" t="s">
        <v>6984</v>
      </c>
      <c r="GZX27" t="s">
        <v>6984</v>
      </c>
      <c r="GZY27" t="s">
        <v>6984</v>
      </c>
      <c r="GZZ27" t="s">
        <v>6984</v>
      </c>
      <c r="HAA27" t="s">
        <v>6984</v>
      </c>
      <c r="HAB27" t="s">
        <v>6984</v>
      </c>
      <c r="HAC27" t="s">
        <v>6984</v>
      </c>
      <c r="HAD27" t="s">
        <v>6984</v>
      </c>
      <c r="HAE27" t="s">
        <v>6984</v>
      </c>
      <c r="HAF27" t="s">
        <v>6984</v>
      </c>
      <c r="HAG27" t="s">
        <v>6984</v>
      </c>
      <c r="HAH27" t="s">
        <v>6984</v>
      </c>
      <c r="HAI27" t="s">
        <v>6984</v>
      </c>
      <c r="HAJ27" t="s">
        <v>6984</v>
      </c>
      <c r="HAK27" t="s">
        <v>6984</v>
      </c>
      <c r="HAL27" t="s">
        <v>6984</v>
      </c>
      <c r="HAM27" t="s">
        <v>6984</v>
      </c>
      <c r="HAN27" t="s">
        <v>6984</v>
      </c>
      <c r="HAO27" t="s">
        <v>6984</v>
      </c>
      <c r="HAP27" t="s">
        <v>6984</v>
      </c>
      <c r="HAQ27" t="s">
        <v>6984</v>
      </c>
      <c r="HAR27" t="s">
        <v>6984</v>
      </c>
      <c r="HAS27" t="s">
        <v>6984</v>
      </c>
      <c r="HAT27" t="s">
        <v>6984</v>
      </c>
      <c r="HAU27" t="s">
        <v>6984</v>
      </c>
      <c r="HAV27" t="s">
        <v>6984</v>
      </c>
      <c r="HAW27" t="s">
        <v>6984</v>
      </c>
      <c r="HAX27" t="s">
        <v>6984</v>
      </c>
      <c r="HAY27" t="s">
        <v>6984</v>
      </c>
      <c r="HAZ27" t="s">
        <v>6984</v>
      </c>
      <c r="HBA27" t="s">
        <v>6984</v>
      </c>
      <c r="HBB27" t="s">
        <v>6984</v>
      </c>
      <c r="HBC27" t="s">
        <v>6984</v>
      </c>
      <c r="HBD27" t="s">
        <v>6984</v>
      </c>
      <c r="HBE27" t="s">
        <v>6984</v>
      </c>
      <c r="HBF27" t="s">
        <v>6984</v>
      </c>
      <c r="HBG27" t="s">
        <v>6984</v>
      </c>
      <c r="HBH27" t="s">
        <v>6984</v>
      </c>
      <c r="HBI27" t="s">
        <v>6984</v>
      </c>
      <c r="HBJ27" t="s">
        <v>6984</v>
      </c>
      <c r="HBK27" t="s">
        <v>6984</v>
      </c>
      <c r="HBL27" t="s">
        <v>6984</v>
      </c>
      <c r="HBM27" t="s">
        <v>6984</v>
      </c>
      <c r="HBN27" t="s">
        <v>6984</v>
      </c>
      <c r="HBO27" t="s">
        <v>6984</v>
      </c>
      <c r="HBP27" t="s">
        <v>6984</v>
      </c>
      <c r="HBQ27" t="s">
        <v>6984</v>
      </c>
      <c r="HBR27" t="s">
        <v>6984</v>
      </c>
      <c r="HBS27" t="s">
        <v>6984</v>
      </c>
      <c r="HBT27" t="s">
        <v>6984</v>
      </c>
      <c r="HBU27" t="s">
        <v>6984</v>
      </c>
      <c r="HBV27" t="s">
        <v>6984</v>
      </c>
      <c r="HBW27" t="s">
        <v>6984</v>
      </c>
      <c r="HBX27" t="s">
        <v>6984</v>
      </c>
      <c r="HBY27" t="s">
        <v>6984</v>
      </c>
      <c r="HBZ27" t="s">
        <v>6984</v>
      </c>
      <c r="HCA27" t="s">
        <v>6984</v>
      </c>
      <c r="HCB27" t="s">
        <v>6984</v>
      </c>
      <c r="HCC27" t="s">
        <v>6984</v>
      </c>
      <c r="HCD27" t="s">
        <v>6984</v>
      </c>
      <c r="HCE27" t="s">
        <v>6984</v>
      </c>
      <c r="HCF27" t="s">
        <v>6984</v>
      </c>
      <c r="HCG27" t="s">
        <v>6984</v>
      </c>
      <c r="HCH27" t="s">
        <v>6984</v>
      </c>
      <c r="HCI27" t="s">
        <v>6984</v>
      </c>
      <c r="HCJ27" t="s">
        <v>6984</v>
      </c>
      <c r="HCK27" t="s">
        <v>6984</v>
      </c>
      <c r="HCL27" t="s">
        <v>6984</v>
      </c>
      <c r="HCM27" t="s">
        <v>6984</v>
      </c>
      <c r="HCN27" t="s">
        <v>6984</v>
      </c>
      <c r="HCO27" t="s">
        <v>6984</v>
      </c>
      <c r="HCP27" t="s">
        <v>6984</v>
      </c>
      <c r="HCQ27" t="s">
        <v>6984</v>
      </c>
      <c r="HCR27" t="s">
        <v>6984</v>
      </c>
      <c r="HCS27" t="s">
        <v>6984</v>
      </c>
      <c r="HCT27" t="s">
        <v>6984</v>
      </c>
      <c r="HCU27" t="s">
        <v>6984</v>
      </c>
      <c r="HCV27" t="s">
        <v>6984</v>
      </c>
      <c r="HCW27" t="s">
        <v>6984</v>
      </c>
      <c r="HCX27" t="s">
        <v>6984</v>
      </c>
      <c r="HCY27" t="s">
        <v>6984</v>
      </c>
      <c r="HCZ27" t="s">
        <v>6984</v>
      </c>
      <c r="HDA27" t="s">
        <v>6984</v>
      </c>
      <c r="HDB27" t="s">
        <v>6984</v>
      </c>
      <c r="HDC27" t="s">
        <v>6984</v>
      </c>
      <c r="HDD27" t="s">
        <v>6984</v>
      </c>
      <c r="HDE27" t="s">
        <v>6984</v>
      </c>
      <c r="HDF27" t="s">
        <v>6984</v>
      </c>
      <c r="HDG27" t="s">
        <v>6984</v>
      </c>
      <c r="HDH27" t="s">
        <v>6984</v>
      </c>
      <c r="HDI27" t="s">
        <v>6984</v>
      </c>
      <c r="HDJ27" t="s">
        <v>6984</v>
      </c>
      <c r="HDK27" t="s">
        <v>6984</v>
      </c>
      <c r="HDL27" t="s">
        <v>6984</v>
      </c>
      <c r="HDM27" t="s">
        <v>6984</v>
      </c>
      <c r="HDN27" t="s">
        <v>6984</v>
      </c>
      <c r="HDO27" t="s">
        <v>6984</v>
      </c>
      <c r="HDP27" t="s">
        <v>6984</v>
      </c>
      <c r="HDQ27" t="s">
        <v>6984</v>
      </c>
      <c r="HDR27" t="s">
        <v>6984</v>
      </c>
      <c r="HDS27" t="s">
        <v>6984</v>
      </c>
      <c r="HDT27" t="s">
        <v>6984</v>
      </c>
      <c r="HDU27" t="s">
        <v>6984</v>
      </c>
      <c r="HDV27" t="s">
        <v>6984</v>
      </c>
      <c r="HDW27" t="s">
        <v>6984</v>
      </c>
      <c r="HDX27" t="s">
        <v>6984</v>
      </c>
      <c r="HDY27" t="s">
        <v>6984</v>
      </c>
      <c r="HDZ27" t="s">
        <v>6984</v>
      </c>
      <c r="HEA27" t="s">
        <v>6984</v>
      </c>
      <c r="HEB27" t="s">
        <v>6984</v>
      </c>
      <c r="HEC27" t="s">
        <v>6984</v>
      </c>
      <c r="HED27" t="s">
        <v>6984</v>
      </c>
      <c r="HEE27" t="s">
        <v>6984</v>
      </c>
      <c r="HEF27" t="s">
        <v>6984</v>
      </c>
      <c r="HEG27" t="s">
        <v>6984</v>
      </c>
      <c r="HEH27" t="s">
        <v>6984</v>
      </c>
      <c r="HEI27" t="s">
        <v>6984</v>
      </c>
      <c r="HEJ27" t="s">
        <v>6984</v>
      </c>
      <c r="HEK27" t="s">
        <v>6984</v>
      </c>
      <c r="HEL27" t="s">
        <v>6984</v>
      </c>
      <c r="HEM27" t="s">
        <v>6984</v>
      </c>
      <c r="HEN27" t="s">
        <v>6984</v>
      </c>
      <c r="HEO27" t="s">
        <v>6984</v>
      </c>
      <c r="HEP27" t="s">
        <v>6984</v>
      </c>
      <c r="HEQ27" t="s">
        <v>6984</v>
      </c>
      <c r="HER27" t="s">
        <v>6984</v>
      </c>
      <c r="HES27" t="s">
        <v>6984</v>
      </c>
      <c r="HET27" t="s">
        <v>6984</v>
      </c>
      <c r="HEU27" t="s">
        <v>6984</v>
      </c>
      <c r="HEV27" t="s">
        <v>6984</v>
      </c>
      <c r="HEW27" t="s">
        <v>6984</v>
      </c>
      <c r="HEX27" t="s">
        <v>6984</v>
      </c>
      <c r="HEY27" t="s">
        <v>6984</v>
      </c>
      <c r="HEZ27" t="s">
        <v>6984</v>
      </c>
      <c r="HFA27" t="s">
        <v>6984</v>
      </c>
      <c r="HFB27" t="s">
        <v>6984</v>
      </c>
      <c r="HFC27" t="s">
        <v>6984</v>
      </c>
      <c r="HFD27" t="s">
        <v>6984</v>
      </c>
      <c r="HFE27" t="s">
        <v>6984</v>
      </c>
      <c r="HFF27" t="s">
        <v>6984</v>
      </c>
      <c r="HFG27" t="s">
        <v>6984</v>
      </c>
      <c r="HFH27" t="s">
        <v>6984</v>
      </c>
      <c r="HFI27" t="s">
        <v>6984</v>
      </c>
      <c r="HFJ27" t="s">
        <v>6984</v>
      </c>
      <c r="HFK27" t="s">
        <v>6984</v>
      </c>
      <c r="HFL27" t="s">
        <v>6984</v>
      </c>
      <c r="HFM27" t="s">
        <v>6984</v>
      </c>
      <c r="HFN27" t="s">
        <v>6984</v>
      </c>
      <c r="HFO27" t="s">
        <v>6984</v>
      </c>
      <c r="HFP27" t="s">
        <v>6984</v>
      </c>
      <c r="HFQ27" t="s">
        <v>6984</v>
      </c>
      <c r="HFR27" t="s">
        <v>6984</v>
      </c>
      <c r="HFS27" t="s">
        <v>6984</v>
      </c>
      <c r="HFT27" t="s">
        <v>6984</v>
      </c>
      <c r="HFU27" t="s">
        <v>6984</v>
      </c>
      <c r="HFV27" t="s">
        <v>6984</v>
      </c>
      <c r="HFW27" t="s">
        <v>6984</v>
      </c>
      <c r="HFX27" t="s">
        <v>6984</v>
      </c>
      <c r="HFY27" t="s">
        <v>6984</v>
      </c>
      <c r="HFZ27" t="s">
        <v>6984</v>
      </c>
      <c r="HGA27" t="s">
        <v>6984</v>
      </c>
      <c r="HGB27" t="s">
        <v>6984</v>
      </c>
      <c r="HGC27" t="s">
        <v>6984</v>
      </c>
      <c r="HGD27" t="s">
        <v>6984</v>
      </c>
      <c r="HGE27" t="s">
        <v>6984</v>
      </c>
      <c r="HGF27" t="s">
        <v>6984</v>
      </c>
      <c r="HGG27" t="s">
        <v>6984</v>
      </c>
      <c r="HGH27" t="s">
        <v>6984</v>
      </c>
      <c r="HGI27" t="s">
        <v>6984</v>
      </c>
      <c r="HGJ27" t="s">
        <v>6984</v>
      </c>
      <c r="HGK27" t="s">
        <v>6984</v>
      </c>
      <c r="HGL27" t="s">
        <v>6984</v>
      </c>
      <c r="HGM27" t="s">
        <v>6984</v>
      </c>
      <c r="HGN27" t="s">
        <v>6984</v>
      </c>
      <c r="HGO27" t="s">
        <v>6984</v>
      </c>
      <c r="HGP27" t="s">
        <v>6984</v>
      </c>
      <c r="HGQ27" t="s">
        <v>6984</v>
      </c>
      <c r="HGR27" t="s">
        <v>6984</v>
      </c>
      <c r="HGS27" t="s">
        <v>6984</v>
      </c>
      <c r="HGT27" t="s">
        <v>6984</v>
      </c>
      <c r="HGU27" t="s">
        <v>6984</v>
      </c>
      <c r="HGV27" t="s">
        <v>6984</v>
      </c>
      <c r="HGW27" t="s">
        <v>6984</v>
      </c>
      <c r="HGX27" t="s">
        <v>6984</v>
      </c>
      <c r="HGY27" t="s">
        <v>6984</v>
      </c>
      <c r="HGZ27" t="s">
        <v>6984</v>
      </c>
      <c r="HHA27" t="s">
        <v>6984</v>
      </c>
      <c r="HHB27" t="s">
        <v>6984</v>
      </c>
      <c r="HHC27" t="s">
        <v>6984</v>
      </c>
      <c r="HHD27" t="s">
        <v>6984</v>
      </c>
      <c r="HHE27" t="s">
        <v>6984</v>
      </c>
      <c r="HHF27" t="s">
        <v>6984</v>
      </c>
      <c r="HHG27" t="s">
        <v>6984</v>
      </c>
      <c r="HHH27" t="s">
        <v>6984</v>
      </c>
      <c r="HHI27" t="s">
        <v>6984</v>
      </c>
      <c r="HHJ27" t="s">
        <v>6984</v>
      </c>
      <c r="HHK27" t="s">
        <v>6984</v>
      </c>
      <c r="HHL27" t="s">
        <v>6984</v>
      </c>
      <c r="HHM27" t="s">
        <v>6984</v>
      </c>
      <c r="HHN27" t="s">
        <v>6984</v>
      </c>
      <c r="HHO27" t="s">
        <v>6984</v>
      </c>
      <c r="HHP27" t="s">
        <v>6984</v>
      </c>
      <c r="HHQ27" t="s">
        <v>6984</v>
      </c>
      <c r="HHR27" t="s">
        <v>6984</v>
      </c>
      <c r="HHS27" t="s">
        <v>6984</v>
      </c>
      <c r="HHT27" t="s">
        <v>6984</v>
      </c>
      <c r="HHU27" t="s">
        <v>6984</v>
      </c>
      <c r="HHV27" t="s">
        <v>6984</v>
      </c>
      <c r="HHW27" t="s">
        <v>6984</v>
      </c>
      <c r="HHX27" t="s">
        <v>6984</v>
      </c>
      <c r="HHY27" t="s">
        <v>6984</v>
      </c>
      <c r="HHZ27" t="s">
        <v>6984</v>
      </c>
      <c r="HIA27" t="s">
        <v>6984</v>
      </c>
      <c r="HIB27" t="s">
        <v>6984</v>
      </c>
      <c r="HIC27" t="s">
        <v>6984</v>
      </c>
      <c r="HID27" t="s">
        <v>6984</v>
      </c>
      <c r="HIE27" t="s">
        <v>6984</v>
      </c>
      <c r="HIF27" t="s">
        <v>6984</v>
      </c>
      <c r="HIG27" t="s">
        <v>6984</v>
      </c>
      <c r="HIH27" t="s">
        <v>6984</v>
      </c>
      <c r="HII27" t="s">
        <v>6984</v>
      </c>
      <c r="HIJ27" t="s">
        <v>6984</v>
      </c>
      <c r="HIK27" t="s">
        <v>6984</v>
      </c>
      <c r="HIL27" t="s">
        <v>6984</v>
      </c>
      <c r="HIM27" t="s">
        <v>6984</v>
      </c>
      <c r="HIN27" t="s">
        <v>6984</v>
      </c>
      <c r="HIO27" t="s">
        <v>6984</v>
      </c>
      <c r="HIP27" t="s">
        <v>6984</v>
      </c>
      <c r="HIQ27" t="s">
        <v>6984</v>
      </c>
      <c r="HIR27" t="s">
        <v>6984</v>
      </c>
      <c r="HIS27" t="s">
        <v>6984</v>
      </c>
      <c r="HIT27" t="s">
        <v>6984</v>
      </c>
      <c r="HIU27" t="s">
        <v>6984</v>
      </c>
      <c r="HIV27" t="s">
        <v>6984</v>
      </c>
      <c r="HIW27" t="s">
        <v>6984</v>
      </c>
      <c r="HIX27" t="s">
        <v>6984</v>
      </c>
      <c r="HIY27" t="s">
        <v>6984</v>
      </c>
      <c r="HIZ27" t="s">
        <v>6984</v>
      </c>
      <c r="HJA27" t="s">
        <v>6984</v>
      </c>
      <c r="HJB27" t="s">
        <v>6984</v>
      </c>
      <c r="HJC27" t="s">
        <v>6984</v>
      </c>
      <c r="HJD27" t="s">
        <v>6984</v>
      </c>
      <c r="HJE27" t="s">
        <v>6984</v>
      </c>
      <c r="HJF27" t="s">
        <v>6984</v>
      </c>
      <c r="HJG27" t="s">
        <v>6984</v>
      </c>
      <c r="HJH27" t="s">
        <v>6984</v>
      </c>
      <c r="HJI27" t="s">
        <v>6984</v>
      </c>
      <c r="HJJ27" t="s">
        <v>6984</v>
      </c>
      <c r="HJK27" t="s">
        <v>6984</v>
      </c>
      <c r="HJL27" t="s">
        <v>6984</v>
      </c>
      <c r="HJM27" t="s">
        <v>6984</v>
      </c>
      <c r="HJN27" t="s">
        <v>6984</v>
      </c>
      <c r="HJO27" t="s">
        <v>6984</v>
      </c>
      <c r="HJP27" t="s">
        <v>6984</v>
      </c>
      <c r="HJQ27" t="s">
        <v>6984</v>
      </c>
      <c r="HJR27" t="s">
        <v>6984</v>
      </c>
      <c r="HJS27" t="s">
        <v>6984</v>
      </c>
      <c r="HJT27" t="s">
        <v>6984</v>
      </c>
      <c r="HJU27" t="s">
        <v>6984</v>
      </c>
      <c r="HJV27" t="s">
        <v>6984</v>
      </c>
      <c r="HJW27" t="s">
        <v>6984</v>
      </c>
      <c r="HJX27" t="s">
        <v>6984</v>
      </c>
      <c r="HJY27" t="s">
        <v>6984</v>
      </c>
      <c r="HJZ27" t="s">
        <v>6984</v>
      </c>
      <c r="HKA27" t="s">
        <v>6984</v>
      </c>
      <c r="HKB27" t="s">
        <v>6984</v>
      </c>
      <c r="HKC27" t="s">
        <v>6984</v>
      </c>
      <c r="HKD27" t="s">
        <v>6984</v>
      </c>
      <c r="HKE27" t="s">
        <v>6984</v>
      </c>
      <c r="HKF27" t="s">
        <v>6984</v>
      </c>
      <c r="HKG27" t="s">
        <v>6984</v>
      </c>
      <c r="HKH27" t="s">
        <v>6984</v>
      </c>
      <c r="HKI27" t="s">
        <v>6984</v>
      </c>
      <c r="HKJ27" t="s">
        <v>6984</v>
      </c>
      <c r="HKK27" t="s">
        <v>6984</v>
      </c>
      <c r="HKL27" t="s">
        <v>6984</v>
      </c>
      <c r="HKM27" t="s">
        <v>6984</v>
      </c>
      <c r="HKN27" t="s">
        <v>6984</v>
      </c>
      <c r="HKO27" t="s">
        <v>6984</v>
      </c>
      <c r="HKP27" t="s">
        <v>6984</v>
      </c>
      <c r="HKQ27" t="s">
        <v>6984</v>
      </c>
      <c r="HKR27" t="s">
        <v>6984</v>
      </c>
      <c r="HKS27" t="s">
        <v>6984</v>
      </c>
      <c r="HKT27" t="s">
        <v>6984</v>
      </c>
      <c r="HKU27" t="s">
        <v>6984</v>
      </c>
      <c r="HKV27" t="s">
        <v>6984</v>
      </c>
      <c r="HKW27" t="s">
        <v>6984</v>
      </c>
      <c r="HKX27" t="s">
        <v>6984</v>
      </c>
      <c r="HKY27" t="s">
        <v>6984</v>
      </c>
      <c r="HKZ27" t="s">
        <v>6984</v>
      </c>
      <c r="HLA27" t="s">
        <v>6984</v>
      </c>
      <c r="HLB27" t="s">
        <v>6984</v>
      </c>
      <c r="HLC27" t="s">
        <v>6984</v>
      </c>
      <c r="HLD27" t="s">
        <v>6984</v>
      </c>
      <c r="HLE27" t="s">
        <v>6984</v>
      </c>
      <c r="HLF27" t="s">
        <v>6984</v>
      </c>
      <c r="HLG27" t="s">
        <v>6984</v>
      </c>
      <c r="HLH27" t="s">
        <v>6984</v>
      </c>
      <c r="HLI27" t="s">
        <v>6984</v>
      </c>
      <c r="HLJ27" t="s">
        <v>6984</v>
      </c>
      <c r="HLK27" t="s">
        <v>6984</v>
      </c>
      <c r="HLL27" t="s">
        <v>6984</v>
      </c>
      <c r="HLM27" t="s">
        <v>6984</v>
      </c>
      <c r="HLN27" t="s">
        <v>6984</v>
      </c>
      <c r="HLO27" t="s">
        <v>6984</v>
      </c>
      <c r="HLP27" t="s">
        <v>6984</v>
      </c>
      <c r="HLQ27" t="s">
        <v>6984</v>
      </c>
      <c r="HLR27" t="s">
        <v>6984</v>
      </c>
      <c r="HLS27" t="s">
        <v>6984</v>
      </c>
      <c r="HLT27" t="s">
        <v>6984</v>
      </c>
      <c r="HLU27" t="s">
        <v>6984</v>
      </c>
      <c r="HLV27" t="s">
        <v>6984</v>
      </c>
      <c r="HLW27" t="s">
        <v>6984</v>
      </c>
      <c r="HLX27" t="s">
        <v>6984</v>
      </c>
      <c r="HLY27" t="s">
        <v>6984</v>
      </c>
      <c r="HLZ27" t="s">
        <v>6984</v>
      </c>
      <c r="HMA27" t="s">
        <v>6984</v>
      </c>
      <c r="HMB27" t="s">
        <v>6984</v>
      </c>
      <c r="HMC27" t="s">
        <v>6984</v>
      </c>
      <c r="HMD27" t="s">
        <v>6984</v>
      </c>
      <c r="HME27" t="s">
        <v>6984</v>
      </c>
      <c r="HMF27" t="s">
        <v>6984</v>
      </c>
      <c r="HMG27" t="s">
        <v>6984</v>
      </c>
      <c r="HMH27" t="s">
        <v>6984</v>
      </c>
      <c r="HMI27" t="s">
        <v>6984</v>
      </c>
      <c r="HMJ27" t="s">
        <v>6984</v>
      </c>
      <c r="HMK27" t="s">
        <v>6984</v>
      </c>
      <c r="HML27" t="s">
        <v>6984</v>
      </c>
      <c r="HMM27" t="s">
        <v>6984</v>
      </c>
      <c r="HMN27" t="s">
        <v>6984</v>
      </c>
      <c r="HMO27" t="s">
        <v>6984</v>
      </c>
      <c r="HMP27" t="s">
        <v>6984</v>
      </c>
      <c r="HMQ27" t="s">
        <v>6984</v>
      </c>
      <c r="HMR27" t="s">
        <v>6984</v>
      </c>
      <c r="HMS27" t="s">
        <v>6984</v>
      </c>
      <c r="HMT27" t="s">
        <v>6984</v>
      </c>
      <c r="HMU27" t="s">
        <v>6984</v>
      </c>
      <c r="HMV27" t="s">
        <v>6984</v>
      </c>
      <c r="HMW27" t="s">
        <v>6984</v>
      </c>
      <c r="HMX27" t="s">
        <v>6984</v>
      </c>
      <c r="HMY27" t="s">
        <v>6984</v>
      </c>
      <c r="HMZ27" t="s">
        <v>6984</v>
      </c>
      <c r="HNA27" t="s">
        <v>6984</v>
      </c>
      <c r="HNB27" t="s">
        <v>6984</v>
      </c>
      <c r="HNC27" t="s">
        <v>6984</v>
      </c>
      <c r="HND27" t="s">
        <v>6984</v>
      </c>
      <c r="HNE27" t="s">
        <v>6984</v>
      </c>
      <c r="HNF27" t="s">
        <v>6984</v>
      </c>
      <c r="HNG27" t="s">
        <v>6984</v>
      </c>
      <c r="HNH27" t="s">
        <v>6984</v>
      </c>
      <c r="HNI27" t="s">
        <v>6984</v>
      </c>
      <c r="HNJ27" t="s">
        <v>6984</v>
      </c>
      <c r="HNK27" t="s">
        <v>6984</v>
      </c>
      <c r="HNL27" t="s">
        <v>6984</v>
      </c>
      <c r="HNM27" t="s">
        <v>6984</v>
      </c>
      <c r="HNN27" t="s">
        <v>6984</v>
      </c>
      <c r="HNO27" t="s">
        <v>6984</v>
      </c>
      <c r="HNP27" t="s">
        <v>6984</v>
      </c>
      <c r="HNQ27" t="s">
        <v>6984</v>
      </c>
      <c r="HNR27" t="s">
        <v>6984</v>
      </c>
      <c r="HNS27" t="s">
        <v>6984</v>
      </c>
      <c r="HNT27" t="s">
        <v>6984</v>
      </c>
      <c r="HNU27" t="s">
        <v>6984</v>
      </c>
      <c r="HNV27" t="s">
        <v>6984</v>
      </c>
      <c r="HNW27" t="s">
        <v>6984</v>
      </c>
      <c r="HNX27" t="s">
        <v>6984</v>
      </c>
      <c r="HNY27" t="s">
        <v>6984</v>
      </c>
      <c r="HNZ27" t="s">
        <v>6984</v>
      </c>
      <c r="HOA27" t="s">
        <v>6984</v>
      </c>
      <c r="HOB27" t="s">
        <v>6984</v>
      </c>
      <c r="HOC27" t="s">
        <v>6984</v>
      </c>
      <c r="HOD27" t="s">
        <v>6984</v>
      </c>
      <c r="HOE27" t="s">
        <v>6984</v>
      </c>
      <c r="HOF27" t="s">
        <v>6984</v>
      </c>
      <c r="HOG27" t="s">
        <v>6984</v>
      </c>
      <c r="HOH27" t="s">
        <v>6984</v>
      </c>
      <c r="HOI27" t="s">
        <v>6984</v>
      </c>
      <c r="HOJ27" t="s">
        <v>6984</v>
      </c>
      <c r="HOK27" t="s">
        <v>6984</v>
      </c>
      <c r="HOL27" t="s">
        <v>6984</v>
      </c>
      <c r="HOM27" t="s">
        <v>6984</v>
      </c>
      <c r="HON27" t="s">
        <v>6984</v>
      </c>
      <c r="HOO27" t="s">
        <v>6984</v>
      </c>
      <c r="HOP27" t="s">
        <v>6984</v>
      </c>
      <c r="HOQ27" t="s">
        <v>6984</v>
      </c>
      <c r="HOR27" t="s">
        <v>6984</v>
      </c>
      <c r="HOS27" t="s">
        <v>6984</v>
      </c>
      <c r="HOT27" t="s">
        <v>6984</v>
      </c>
      <c r="HOU27" t="s">
        <v>6984</v>
      </c>
      <c r="HOV27" t="s">
        <v>6984</v>
      </c>
      <c r="HOW27" t="s">
        <v>6984</v>
      </c>
      <c r="HOX27" t="s">
        <v>6984</v>
      </c>
      <c r="HOY27" t="s">
        <v>6984</v>
      </c>
      <c r="HOZ27" t="s">
        <v>6984</v>
      </c>
      <c r="HPA27" t="s">
        <v>6984</v>
      </c>
      <c r="HPB27" t="s">
        <v>6984</v>
      </c>
      <c r="HPC27" t="s">
        <v>6984</v>
      </c>
      <c r="HPD27" t="s">
        <v>6984</v>
      </c>
      <c r="HPE27" t="s">
        <v>6984</v>
      </c>
      <c r="HPF27" t="s">
        <v>6984</v>
      </c>
      <c r="HPG27" t="s">
        <v>6984</v>
      </c>
      <c r="HPH27" t="s">
        <v>6984</v>
      </c>
      <c r="HPI27" t="s">
        <v>6984</v>
      </c>
      <c r="HPJ27" t="s">
        <v>6984</v>
      </c>
      <c r="HPK27" t="s">
        <v>6984</v>
      </c>
      <c r="HPL27" t="s">
        <v>6984</v>
      </c>
      <c r="HPM27" t="s">
        <v>6984</v>
      </c>
      <c r="HPN27" t="s">
        <v>6984</v>
      </c>
      <c r="HPO27" t="s">
        <v>6984</v>
      </c>
      <c r="HPP27" t="s">
        <v>6984</v>
      </c>
      <c r="HPQ27" t="s">
        <v>6984</v>
      </c>
      <c r="HPR27" t="s">
        <v>6984</v>
      </c>
      <c r="HPS27" t="s">
        <v>6984</v>
      </c>
      <c r="HPT27" t="s">
        <v>6984</v>
      </c>
      <c r="HPU27" t="s">
        <v>6984</v>
      </c>
      <c r="HPV27" t="s">
        <v>6984</v>
      </c>
      <c r="HPW27" t="s">
        <v>6984</v>
      </c>
      <c r="HPX27" t="s">
        <v>6984</v>
      </c>
      <c r="HPY27" t="s">
        <v>6984</v>
      </c>
      <c r="HPZ27" t="s">
        <v>6984</v>
      </c>
      <c r="HQA27" t="s">
        <v>6984</v>
      </c>
      <c r="HQB27" t="s">
        <v>6984</v>
      </c>
      <c r="HQC27" t="s">
        <v>6984</v>
      </c>
      <c r="HQD27" t="s">
        <v>6984</v>
      </c>
      <c r="HQE27" t="s">
        <v>6984</v>
      </c>
      <c r="HQF27" t="s">
        <v>6984</v>
      </c>
      <c r="HQG27" t="s">
        <v>6984</v>
      </c>
      <c r="HQH27" t="s">
        <v>6984</v>
      </c>
      <c r="HQI27" t="s">
        <v>6984</v>
      </c>
      <c r="HQJ27" t="s">
        <v>6984</v>
      </c>
      <c r="HQK27" t="s">
        <v>6984</v>
      </c>
      <c r="HQL27" t="s">
        <v>6984</v>
      </c>
      <c r="HQM27" t="s">
        <v>6984</v>
      </c>
      <c r="HQN27" t="s">
        <v>6984</v>
      </c>
      <c r="HQO27" t="s">
        <v>6984</v>
      </c>
      <c r="HQP27" t="s">
        <v>6984</v>
      </c>
      <c r="HQQ27" t="s">
        <v>6984</v>
      </c>
      <c r="HQR27" t="s">
        <v>6984</v>
      </c>
      <c r="HQS27" t="s">
        <v>6984</v>
      </c>
      <c r="HQT27" t="s">
        <v>6984</v>
      </c>
      <c r="HQU27" t="s">
        <v>6984</v>
      </c>
      <c r="HQV27" t="s">
        <v>6984</v>
      </c>
      <c r="HQW27" t="s">
        <v>6984</v>
      </c>
      <c r="HQX27" t="s">
        <v>6984</v>
      </c>
      <c r="HQY27" t="s">
        <v>6984</v>
      </c>
      <c r="HQZ27" t="s">
        <v>6984</v>
      </c>
      <c r="HRA27" t="s">
        <v>6984</v>
      </c>
      <c r="HRB27" t="s">
        <v>6984</v>
      </c>
      <c r="HRC27" t="s">
        <v>6984</v>
      </c>
      <c r="HRD27" t="s">
        <v>6984</v>
      </c>
      <c r="HRE27" t="s">
        <v>6984</v>
      </c>
      <c r="HRF27" t="s">
        <v>6984</v>
      </c>
      <c r="HRG27" t="s">
        <v>6984</v>
      </c>
      <c r="HRH27" t="s">
        <v>6984</v>
      </c>
      <c r="HRI27" t="s">
        <v>6984</v>
      </c>
      <c r="HRJ27" t="s">
        <v>6984</v>
      </c>
      <c r="HRK27" t="s">
        <v>6984</v>
      </c>
      <c r="HRL27" t="s">
        <v>6984</v>
      </c>
      <c r="HRM27" t="s">
        <v>6984</v>
      </c>
      <c r="HRN27" t="s">
        <v>6984</v>
      </c>
      <c r="HRO27" t="s">
        <v>6984</v>
      </c>
      <c r="HRP27" t="s">
        <v>6984</v>
      </c>
      <c r="HRQ27" t="s">
        <v>6984</v>
      </c>
      <c r="HRR27" t="s">
        <v>6984</v>
      </c>
      <c r="HRS27" t="s">
        <v>6984</v>
      </c>
      <c r="HRT27" t="s">
        <v>6984</v>
      </c>
      <c r="HRU27" t="s">
        <v>6984</v>
      </c>
      <c r="HRV27" t="s">
        <v>6984</v>
      </c>
      <c r="HRW27" t="s">
        <v>6984</v>
      </c>
      <c r="HRX27" t="s">
        <v>6984</v>
      </c>
      <c r="HRY27" t="s">
        <v>6984</v>
      </c>
      <c r="HRZ27" t="s">
        <v>6984</v>
      </c>
      <c r="HSA27" t="s">
        <v>6984</v>
      </c>
      <c r="HSB27" t="s">
        <v>6984</v>
      </c>
      <c r="HSC27" t="s">
        <v>6984</v>
      </c>
      <c r="HSD27" t="s">
        <v>6984</v>
      </c>
      <c r="HSE27" t="s">
        <v>6984</v>
      </c>
      <c r="HSF27" t="s">
        <v>6984</v>
      </c>
      <c r="HSG27" t="s">
        <v>6984</v>
      </c>
      <c r="HSH27" t="s">
        <v>6984</v>
      </c>
      <c r="HSI27" t="s">
        <v>6984</v>
      </c>
      <c r="HSJ27" t="s">
        <v>6984</v>
      </c>
      <c r="HSK27" t="s">
        <v>6984</v>
      </c>
      <c r="HSL27" t="s">
        <v>6984</v>
      </c>
      <c r="HSM27" t="s">
        <v>6984</v>
      </c>
      <c r="HSN27" t="s">
        <v>6984</v>
      </c>
      <c r="HSO27" t="s">
        <v>6984</v>
      </c>
      <c r="HSP27" t="s">
        <v>6984</v>
      </c>
      <c r="HSQ27" t="s">
        <v>6984</v>
      </c>
      <c r="HSR27" t="s">
        <v>6984</v>
      </c>
      <c r="HSS27" t="s">
        <v>6984</v>
      </c>
      <c r="HST27" t="s">
        <v>6984</v>
      </c>
      <c r="HSU27" t="s">
        <v>6984</v>
      </c>
      <c r="HSV27" t="s">
        <v>6984</v>
      </c>
      <c r="HSW27" t="s">
        <v>6984</v>
      </c>
      <c r="HSX27" t="s">
        <v>6984</v>
      </c>
      <c r="HSY27" t="s">
        <v>6984</v>
      </c>
      <c r="HSZ27" t="s">
        <v>6984</v>
      </c>
      <c r="HTA27" t="s">
        <v>6984</v>
      </c>
      <c r="HTB27" t="s">
        <v>6984</v>
      </c>
      <c r="HTC27" t="s">
        <v>6984</v>
      </c>
      <c r="HTD27" t="s">
        <v>6984</v>
      </c>
      <c r="HTE27" t="s">
        <v>6984</v>
      </c>
      <c r="HTF27" t="s">
        <v>6984</v>
      </c>
      <c r="HTG27" t="s">
        <v>6984</v>
      </c>
      <c r="HTH27" t="s">
        <v>6984</v>
      </c>
      <c r="HTI27" t="s">
        <v>6984</v>
      </c>
      <c r="HTJ27" t="s">
        <v>6984</v>
      </c>
      <c r="HTK27" t="s">
        <v>6984</v>
      </c>
      <c r="HTL27" t="s">
        <v>6984</v>
      </c>
      <c r="HTM27" t="s">
        <v>6984</v>
      </c>
      <c r="HTN27" t="s">
        <v>6984</v>
      </c>
      <c r="HTO27" t="s">
        <v>6984</v>
      </c>
      <c r="HTP27" t="s">
        <v>6984</v>
      </c>
      <c r="HTQ27" t="s">
        <v>6984</v>
      </c>
      <c r="HTR27" t="s">
        <v>6984</v>
      </c>
      <c r="HTS27" t="s">
        <v>6984</v>
      </c>
      <c r="HTT27" t="s">
        <v>6984</v>
      </c>
      <c r="HTU27" t="s">
        <v>6984</v>
      </c>
      <c r="HTV27" t="s">
        <v>6984</v>
      </c>
      <c r="HTW27" t="s">
        <v>6984</v>
      </c>
      <c r="HTX27" t="s">
        <v>6984</v>
      </c>
      <c r="HTY27" t="s">
        <v>6984</v>
      </c>
      <c r="HTZ27" t="s">
        <v>6984</v>
      </c>
      <c r="HUA27" t="s">
        <v>6984</v>
      </c>
      <c r="HUB27" t="s">
        <v>6984</v>
      </c>
      <c r="HUC27" t="s">
        <v>6984</v>
      </c>
      <c r="HUD27" t="s">
        <v>6984</v>
      </c>
      <c r="HUE27" t="s">
        <v>6984</v>
      </c>
      <c r="HUF27" t="s">
        <v>6984</v>
      </c>
      <c r="HUG27" t="s">
        <v>6984</v>
      </c>
      <c r="HUH27" t="s">
        <v>6984</v>
      </c>
      <c r="HUI27" t="s">
        <v>6984</v>
      </c>
      <c r="HUJ27" t="s">
        <v>6984</v>
      </c>
      <c r="HUK27" t="s">
        <v>6984</v>
      </c>
      <c r="HUL27" t="s">
        <v>6984</v>
      </c>
      <c r="HUM27" t="s">
        <v>6984</v>
      </c>
      <c r="HUN27" t="s">
        <v>6984</v>
      </c>
      <c r="HUO27" t="s">
        <v>6984</v>
      </c>
      <c r="HUP27" t="s">
        <v>6984</v>
      </c>
      <c r="HUQ27" t="s">
        <v>6984</v>
      </c>
      <c r="HUR27" t="s">
        <v>6984</v>
      </c>
      <c r="HUS27" t="s">
        <v>6984</v>
      </c>
      <c r="HUT27" t="s">
        <v>6984</v>
      </c>
      <c r="HUU27" t="s">
        <v>6984</v>
      </c>
      <c r="HUV27" t="s">
        <v>6984</v>
      </c>
      <c r="HUW27" t="s">
        <v>6984</v>
      </c>
      <c r="HUX27" t="s">
        <v>6984</v>
      </c>
      <c r="HUY27" t="s">
        <v>6984</v>
      </c>
      <c r="HUZ27" t="s">
        <v>6984</v>
      </c>
      <c r="HVA27" t="s">
        <v>6984</v>
      </c>
      <c r="HVB27" t="s">
        <v>6984</v>
      </c>
      <c r="HVC27" t="s">
        <v>6984</v>
      </c>
      <c r="HVD27" t="s">
        <v>6984</v>
      </c>
      <c r="HVE27" t="s">
        <v>6984</v>
      </c>
      <c r="HVF27" t="s">
        <v>6984</v>
      </c>
      <c r="HVG27" t="s">
        <v>6984</v>
      </c>
      <c r="HVH27" t="s">
        <v>6984</v>
      </c>
      <c r="HVI27" t="s">
        <v>6984</v>
      </c>
      <c r="HVJ27" t="s">
        <v>6984</v>
      </c>
      <c r="HVK27" t="s">
        <v>6984</v>
      </c>
      <c r="HVL27" t="s">
        <v>6984</v>
      </c>
      <c r="HVM27" t="s">
        <v>6984</v>
      </c>
      <c r="HVN27" t="s">
        <v>6984</v>
      </c>
      <c r="HVO27" t="s">
        <v>6984</v>
      </c>
      <c r="HVP27" t="s">
        <v>6984</v>
      </c>
      <c r="HVQ27" t="s">
        <v>6984</v>
      </c>
      <c r="HVR27" t="s">
        <v>6984</v>
      </c>
      <c r="HVS27" t="s">
        <v>6984</v>
      </c>
      <c r="HVT27" t="s">
        <v>6984</v>
      </c>
      <c r="HVU27" t="s">
        <v>6984</v>
      </c>
      <c r="HVV27" t="s">
        <v>6984</v>
      </c>
      <c r="HVW27" t="s">
        <v>6984</v>
      </c>
      <c r="HVX27" t="s">
        <v>6984</v>
      </c>
      <c r="HVY27" t="s">
        <v>6984</v>
      </c>
      <c r="HVZ27" t="s">
        <v>6984</v>
      </c>
      <c r="HWA27" t="s">
        <v>6984</v>
      </c>
      <c r="HWB27" t="s">
        <v>6984</v>
      </c>
      <c r="HWC27" t="s">
        <v>6984</v>
      </c>
      <c r="HWD27" t="s">
        <v>6984</v>
      </c>
      <c r="HWE27" t="s">
        <v>6984</v>
      </c>
      <c r="HWF27" t="s">
        <v>6984</v>
      </c>
      <c r="HWG27" t="s">
        <v>6984</v>
      </c>
      <c r="HWH27" t="s">
        <v>6984</v>
      </c>
      <c r="HWI27" t="s">
        <v>6984</v>
      </c>
      <c r="HWJ27" t="s">
        <v>6984</v>
      </c>
      <c r="HWK27" t="s">
        <v>6984</v>
      </c>
      <c r="HWL27" t="s">
        <v>6984</v>
      </c>
      <c r="HWM27" t="s">
        <v>6984</v>
      </c>
      <c r="HWN27" t="s">
        <v>6984</v>
      </c>
      <c r="HWO27" t="s">
        <v>6984</v>
      </c>
      <c r="HWP27" t="s">
        <v>6984</v>
      </c>
      <c r="HWQ27" t="s">
        <v>6984</v>
      </c>
      <c r="HWR27" t="s">
        <v>6984</v>
      </c>
      <c r="HWS27" t="s">
        <v>6984</v>
      </c>
      <c r="HWT27" t="s">
        <v>6984</v>
      </c>
      <c r="HWU27" t="s">
        <v>6984</v>
      </c>
      <c r="HWV27" t="s">
        <v>6984</v>
      </c>
      <c r="HWW27" t="s">
        <v>6984</v>
      </c>
      <c r="HWX27" t="s">
        <v>6984</v>
      </c>
      <c r="HWY27" t="s">
        <v>6984</v>
      </c>
      <c r="HWZ27" t="s">
        <v>6984</v>
      </c>
      <c r="HXA27" t="s">
        <v>6984</v>
      </c>
      <c r="HXB27" t="s">
        <v>6984</v>
      </c>
      <c r="HXC27" t="s">
        <v>6984</v>
      </c>
      <c r="HXD27" t="s">
        <v>6984</v>
      </c>
      <c r="HXE27" t="s">
        <v>6984</v>
      </c>
      <c r="HXF27" t="s">
        <v>6984</v>
      </c>
      <c r="HXG27" t="s">
        <v>6984</v>
      </c>
      <c r="HXH27" t="s">
        <v>6984</v>
      </c>
      <c r="HXI27" t="s">
        <v>6984</v>
      </c>
      <c r="HXJ27" t="s">
        <v>6984</v>
      </c>
      <c r="HXK27" t="s">
        <v>6984</v>
      </c>
      <c r="HXL27" t="s">
        <v>6984</v>
      </c>
      <c r="HXM27" t="s">
        <v>6984</v>
      </c>
      <c r="HXN27" t="s">
        <v>6984</v>
      </c>
      <c r="HXO27" t="s">
        <v>6984</v>
      </c>
      <c r="HXP27" t="s">
        <v>6984</v>
      </c>
      <c r="HXQ27" t="s">
        <v>6984</v>
      </c>
      <c r="HXR27" t="s">
        <v>6984</v>
      </c>
      <c r="HXS27" t="s">
        <v>6984</v>
      </c>
      <c r="HXT27" t="s">
        <v>6984</v>
      </c>
      <c r="HXU27" t="s">
        <v>6984</v>
      </c>
      <c r="HXV27" t="s">
        <v>6984</v>
      </c>
      <c r="HXW27" t="s">
        <v>6984</v>
      </c>
      <c r="HXX27" t="s">
        <v>6984</v>
      </c>
      <c r="HXY27" t="s">
        <v>6984</v>
      </c>
      <c r="HXZ27" t="s">
        <v>6984</v>
      </c>
      <c r="HYA27" t="s">
        <v>6984</v>
      </c>
      <c r="HYB27" t="s">
        <v>6984</v>
      </c>
      <c r="HYC27" t="s">
        <v>6984</v>
      </c>
      <c r="HYD27" t="s">
        <v>6984</v>
      </c>
      <c r="HYE27" t="s">
        <v>6984</v>
      </c>
      <c r="HYF27" t="s">
        <v>6984</v>
      </c>
      <c r="HYG27" t="s">
        <v>6984</v>
      </c>
      <c r="HYH27" t="s">
        <v>6984</v>
      </c>
      <c r="HYI27" t="s">
        <v>6984</v>
      </c>
      <c r="HYJ27" t="s">
        <v>6984</v>
      </c>
      <c r="HYK27" t="s">
        <v>6984</v>
      </c>
      <c r="HYL27" t="s">
        <v>6984</v>
      </c>
      <c r="HYM27" t="s">
        <v>6984</v>
      </c>
      <c r="HYN27" t="s">
        <v>6984</v>
      </c>
      <c r="HYO27" t="s">
        <v>6984</v>
      </c>
      <c r="HYP27" t="s">
        <v>6984</v>
      </c>
      <c r="HYQ27" t="s">
        <v>6984</v>
      </c>
      <c r="HYR27" t="s">
        <v>6984</v>
      </c>
      <c r="HYS27" t="s">
        <v>6984</v>
      </c>
      <c r="HYT27" t="s">
        <v>6984</v>
      </c>
      <c r="HYU27" t="s">
        <v>6984</v>
      </c>
      <c r="HYV27" t="s">
        <v>6984</v>
      </c>
      <c r="HYW27" t="s">
        <v>6984</v>
      </c>
      <c r="HYX27" t="s">
        <v>6984</v>
      </c>
      <c r="HYY27" t="s">
        <v>6984</v>
      </c>
      <c r="HYZ27" t="s">
        <v>6984</v>
      </c>
      <c r="HZA27" t="s">
        <v>6984</v>
      </c>
      <c r="HZB27" t="s">
        <v>6984</v>
      </c>
      <c r="HZC27" t="s">
        <v>6984</v>
      </c>
      <c r="HZD27" t="s">
        <v>6984</v>
      </c>
      <c r="HZE27" t="s">
        <v>6984</v>
      </c>
      <c r="HZF27" t="s">
        <v>6984</v>
      </c>
      <c r="HZG27" t="s">
        <v>6984</v>
      </c>
      <c r="HZH27" t="s">
        <v>6984</v>
      </c>
      <c r="HZI27" t="s">
        <v>6984</v>
      </c>
      <c r="HZJ27" t="s">
        <v>6984</v>
      </c>
      <c r="HZK27" t="s">
        <v>6984</v>
      </c>
      <c r="HZL27" t="s">
        <v>6984</v>
      </c>
      <c r="HZM27" t="s">
        <v>6984</v>
      </c>
      <c r="HZN27" t="s">
        <v>6984</v>
      </c>
      <c r="HZO27" t="s">
        <v>6984</v>
      </c>
      <c r="HZP27" t="s">
        <v>6984</v>
      </c>
      <c r="HZQ27" t="s">
        <v>6984</v>
      </c>
      <c r="HZR27" t="s">
        <v>6984</v>
      </c>
      <c r="HZS27" t="s">
        <v>6984</v>
      </c>
      <c r="HZT27" t="s">
        <v>6984</v>
      </c>
      <c r="HZU27" t="s">
        <v>6984</v>
      </c>
      <c r="HZV27" t="s">
        <v>6984</v>
      </c>
      <c r="HZW27" t="s">
        <v>6984</v>
      </c>
      <c r="HZX27" t="s">
        <v>6984</v>
      </c>
      <c r="HZY27" t="s">
        <v>6984</v>
      </c>
      <c r="HZZ27" t="s">
        <v>6984</v>
      </c>
      <c r="IAA27" t="s">
        <v>6984</v>
      </c>
      <c r="IAB27" t="s">
        <v>6984</v>
      </c>
      <c r="IAC27" t="s">
        <v>6984</v>
      </c>
      <c r="IAD27" t="s">
        <v>6984</v>
      </c>
      <c r="IAE27" t="s">
        <v>6984</v>
      </c>
      <c r="IAF27" t="s">
        <v>6984</v>
      </c>
      <c r="IAG27" t="s">
        <v>6984</v>
      </c>
      <c r="IAH27" t="s">
        <v>6984</v>
      </c>
      <c r="IAI27" t="s">
        <v>6984</v>
      </c>
      <c r="IAJ27" t="s">
        <v>6984</v>
      </c>
      <c r="IAK27" t="s">
        <v>6984</v>
      </c>
      <c r="IAL27" t="s">
        <v>6984</v>
      </c>
      <c r="IAM27" t="s">
        <v>6984</v>
      </c>
      <c r="IAN27" t="s">
        <v>6984</v>
      </c>
      <c r="IAO27" t="s">
        <v>6984</v>
      </c>
      <c r="IAP27" t="s">
        <v>6984</v>
      </c>
      <c r="IAQ27" t="s">
        <v>6984</v>
      </c>
      <c r="IAR27" t="s">
        <v>6984</v>
      </c>
      <c r="IAS27" t="s">
        <v>6984</v>
      </c>
      <c r="IAT27" t="s">
        <v>6984</v>
      </c>
      <c r="IAU27" t="s">
        <v>6984</v>
      </c>
      <c r="IAV27" t="s">
        <v>6984</v>
      </c>
      <c r="IAW27" t="s">
        <v>6984</v>
      </c>
      <c r="IAX27" t="s">
        <v>6984</v>
      </c>
      <c r="IAY27" t="s">
        <v>6984</v>
      </c>
      <c r="IAZ27" t="s">
        <v>6984</v>
      </c>
      <c r="IBA27" t="s">
        <v>6984</v>
      </c>
      <c r="IBB27" t="s">
        <v>6984</v>
      </c>
      <c r="IBC27" t="s">
        <v>6984</v>
      </c>
      <c r="IBD27" t="s">
        <v>6984</v>
      </c>
      <c r="IBE27" t="s">
        <v>6984</v>
      </c>
      <c r="IBF27" t="s">
        <v>6984</v>
      </c>
      <c r="IBG27" t="s">
        <v>6984</v>
      </c>
      <c r="IBH27" t="s">
        <v>6984</v>
      </c>
      <c r="IBI27" t="s">
        <v>6984</v>
      </c>
      <c r="IBJ27" t="s">
        <v>6984</v>
      </c>
      <c r="IBK27" t="s">
        <v>6984</v>
      </c>
      <c r="IBL27" t="s">
        <v>6984</v>
      </c>
      <c r="IBM27" t="s">
        <v>6984</v>
      </c>
      <c r="IBN27" t="s">
        <v>6984</v>
      </c>
      <c r="IBO27" t="s">
        <v>6984</v>
      </c>
      <c r="IBP27" t="s">
        <v>6984</v>
      </c>
      <c r="IBQ27" t="s">
        <v>6984</v>
      </c>
      <c r="IBR27" t="s">
        <v>6984</v>
      </c>
      <c r="IBS27" t="s">
        <v>6984</v>
      </c>
      <c r="IBT27" t="s">
        <v>6984</v>
      </c>
      <c r="IBU27" t="s">
        <v>6984</v>
      </c>
      <c r="IBV27" t="s">
        <v>6984</v>
      </c>
      <c r="IBW27" t="s">
        <v>6984</v>
      </c>
      <c r="IBX27" t="s">
        <v>6984</v>
      </c>
      <c r="IBY27" t="s">
        <v>6984</v>
      </c>
      <c r="IBZ27" t="s">
        <v>6984</v>
      </c>
      <c r="ICA27" t="s">
        <v>6984</v>
      </c>
      <c r="ICB27" t="s">
        <v>6984</v>
      </c>
      <c r="ICC27" t="s">
        <v>6984</v>
      </c>
      <c r="ICD27" t="s">
        <v>6984</v>
      </c>
      <c r="ICE27" t="s">
        <v>6984</v>
      </c>
      <c r="ICF27" t="s">
        <v>6984</v>
      </c>
      <c r="ICG27" t="s">
        <v>6984</v>
      </c>
      <c r="ICH27" t="s">
        <v>6984</v>
      </c>
      <c r="ICI27" t="s">
        <v>6984</v>
      </c>
      <c r="ICJ27" t="s">
        <v>6984</v>
      </c>
      <c r="ICK27" t="s">
        <v>6984</v>
      </c>
      <c r="ICL27" t="s">
        <v>6984</v>
      </c>
      <c r="ICM27" t="s">
        <v>6984</v>
      </c>
      <c r="ICN27" t="s">
        <v>6984</v>
      </c>
      <c r="ICO27" t="s">
        <v>6984</v>
      </c>
      <c r="ICP27" t="s">
        <v>6984</v>
      </c>
      <c r="ICQ27" t="s">
        <v>6984</v>
      </c>
      <c r="ICR27" t="s">
        <v>6984</v>
      </c>
      <c r="ICS27" t="s">
        <v>6984</v>
      </c>
      <c r="ICT27" t="s">
        <v>6984</v>
      </c>
      <c r="ICU27" t="s">
        <v>6984</v>
      </c>
      <c r="ICV27" t="s">
        <v>6984</v>
      </c>
      <c r="ICW27" t="s">
        <v>6984</v>
      </c>
      <c r="ICX27" t="s">
        <v>6984</v>
      </c>
      <c r="ICY27" t="s">
        <v>6984</v>
      </c>
      <c r="ICZ27" t="s">
        <v>6984</v>
      </c>
      <c r="IDA27" t="s">
        <v>6984</v>
      </c>
      <c r="IDB27" t="s">
        <v>6984</v>
      </c>
      <c r="IDC27" t="s">
        <v>6984</v>
      </c>
      <c r="IDD27" t="s">
        <v>6984</v>
      </c>
      <c r="IDE27" t="s">
        <v>6984</v>
      </c>
      <c r="IDF27" t="s">
        <v>6984</v>
      </c>
      <c r="IDG27" t="s">
        <v>6984</v>
      </c>
      <c r="IDH27" t="s">
        <v>6984</v>
      </c>
      <c r="IDI27" t="s">
        <v>6984</v>
      </c>
      <c r="IDJ27" t="s">
        <v>6984</v>
      </c>
      <c r="IDK27" t="s">
        <v>6984</v>
      </c>
      <c r="IDL27" t="s">
        <v>6984</v>
      </c>
      <c r="IDM27" t="s">
        <v>6984</v>
      </c>
      <c r="IDN27" t="s">
        <v>6984</v>
      </c>
      <c r="IDO27" t="s">
        <v>6984</v>
      </c>
      <c r="IDP27" t="s">
        <v>6984</v>
      </c>
      <c r="IDQ27" t="s">
        <v>6984</v>
      </c>
      <c r="IDR27" t="s">
        <v>6984</v>
      </c>
      <c r="IDS27" t="s">
        <v>6984</v>
      </c>
      <c r="IDT27" t="s">
        <v>6984</v>
      </c>
      <c r="IDU27" t="s">
        <v>6984</v>
      </c>
      <c r="IDV27" t="s">
        <v>6984</v>
      </c>
      <c r="IDW27" t="s">
        <v>6984</v>
      </c>
      <c r="IDX27" t="s">
        <v>6984</v>
      </c>
      <c r="IDY27" t="s">
        <v>6984</v>
      </c>
      <c r="IDZ27" t="s">
        <v>6984</v>
      </c>
      <c r="IEA27" t="s">
        <v>6984</v>
      </c>
      <c r="IEB27" t="s">
        <v>6984</v>
      </c>
      <c r="IEC27" t="s">
        <v>6984</v>
      </c>
      <c r="IED27" t="s">
        <v>6984</v>
      </c>
      <c r="IEE27" t="s">
        <v>6984</v>
      </c>
      <c r="IEF27" t="s">
        <v>6984</v>
      </c>
      <c r="IEG27" t="s">
        <v>6984</v>
      </c>
      <c r="IEH27" t="s">
        <v>6984</v>
      </c>
      <c r="IEI27" t="s">
        <v>6984</v>
      </c>
      <c r="IEJ27" t="s">
        <v>6984</v>
      </c>
      <c r="IEK27" t="s">
        <v>6984</v>
      </c>
      <c r="IEL27" t="s">
        <v>6984</v>
      </c>
      <c r="IEM27" t="s">
        <v>6984</v>
      </c>
      <c r="IEN27" t="s">
        <v>6984</v>
      </c>
      <c r="IEO27" t="s">
        <v>6984</v>
      </c>
      <c r="IEP27" t="s">
        <v>6984</v>
      </c>
      <c r="IEQ27" t="s">
        <v>6984</v>
      </c>
      <c r="IER27" t="s">
        <v>6984</v>
      </c>
      <c r="IES27" t="s">
        <v>6984</v>
      </c>
      <c r="IET27" t="s">
        <v>6984</v>
      </c>
      <c r="IEU27" t="s">
        <v>6984</v>
      </c>
      <c r="IEV27" t="s">
        <v>6984</v>
      </c>
      <c r="IEW27" t="s">
        <v>6984</v>
      </c>
      <c r="IEX27" t="s">
        <v>6984</v>
      </c>
      <c r="IEY27" t="s">
        <v>6984</v>
      </c>
      <c r="IEZ27" t="s">
        <v>6984</v>
      </c>
      <c r="IFA27" t="s">
        <v>6984</v>
      </c>
      <c r="IFB27" t="s">
        <v>6984</v>
      </c>
      <c r="IFC27" t="s">
        <v>6984</v>
      </c>
      <c r="IFD27" t="s">
        <v>6984</v>
      </c>
      <c r="IFE27" t="s">
        <v>6984</v>
      </c>
      <c r="IFF27" t="s">
        <v>6984</v>
      </c>
      <c r="IFG27" t="s">
        <v>6984</v>
      </c>
      <c r="IFH27" t="s">
        <v>6984</v>
      </c>
      <c r="IFI27" t="s">
        <v>6984</v>
      </c>
      <c r="IFJ27" t="s">
        <v>6984</v>
      </c>
      <c r="IFK27" t="s">
        <v>6984</v>
      </c>
      <c r="IFL27" t="s">
        <v>6984</v>
      </c>
      <c r="IFM27" t="s">
        <v>6984</v>
      </c>
      <c r="IFN27" t="s">
        <v>6984</v>
      </c>
      <c r="IFO27" t="s">
        <v>6984</v>
      </c>
      <c r="IFP27" t="s">
        <v>6984</v>
      </c>
      <c r="IFQ27" t="s">
        <v>6984</v>
      </c>
      <c r="IFR27" t="s">
        <v>6984</v>
      </c>
      <c r="IFS27" t="s">
        <v>6984</v>
      </c>
      <c r="IFT27" t="s">
        <v>6984</v>
      </c>
      <c r="IFU27" t="s">
        <v>6984</v>
      </c>
      <c r="IFV27" t="s">
        <v>6984</v>
      </c>
      <c r="IFW27" t="s">
        <v>6984</v>
      </c>
      <c r="IFX27" t="s">
        <v>6984</v>
      </c>
      <c r="IFY27" t="s">
        <v>6984</v>
      </c>
      <c r="IFZ27" t="s">
        <v>6984</v>
      </c>
      <c r="IGA27" t="s">
        <v>6984</v>
      </c>
      <c r="IGB27" t="s">
        <v>6984</v>
      </c>
      <c r="IGC27" t="s">
        <v>6984</v>
      </c>
      <c r="IGD27" t="s">
        <v>6984</v>
      </c>
      <c r="IGE27" t="s">
        <v>6984</v>
      </c>
      <c r="IGF27" t="s">
        <v>6984</v>
      </c>
      <c r="IGG27" t="s">
        <v>6984</v>
      </c>
      <c r="IGH27" t="s">
        <v>6984</v>
      </c>
      <c r="IGI27" t="s">
        <v>6984</v>
      </c>
      <c r="IGJ27" t="s">
        <v>6984</v>
      </c>
      <c r="IGK27" t="s">
        <v>6984</v>
      </c>
      <c r="IGL27" t="s">
        <v>6984</v>
      </c>
      <c r="IGM27" t="s">
        <v>6984</v>
      </c>
      <c r="IGN27" t="s">
        <v>6984</v>
      </c>
      <c r="IGO27" t="s">
        <v>6984</v>
      </c>
      <c r="IGP27" t="s">
        <v>6984</v>
      </c>
      <c r="IGQ27" t="s">
        <v>6984</v>
      </c>
      <c r="IGR27" t="s">
        <v>6984</v>
      </c>
      <c r="IGS27" t="s">
        <v>6984</v>
      </c>
      <c r="IGT27" t="s">
        <v>6984</v>
      </c>
      <c r="IGU27" t="s">
        <v>6984</v>
      </c>
      <c r="IGV27" t="s">
        <v>6984</v>
      </c>
      <c r="IGW27" t="s">
        <v>6984</v>
      </c>
      <c r="IGX27" t="s">
        <v>6984</v>
      </c>
      <c r="IGY27" t="s">
        <v>6984</v>
      </c>
      <c r="IGZ27" t="s">
        <v>6984</v>
      </c>
      <c r="IHA27" t="s">
        <v>6984</v>
      </c>
      <c r="IHB27" t="s">
        <v>6984</v>
      </c>
      <c r="IHC27" t="s">
        <v>6984</v>
      </c>
      <c r="IHD27" t="s">
        <v>6984</v>
      </c>
      <c r="IHE27" t="s">
        <v>6984</v>
      </c>
      <c r="IHF27" t="s">
        <v>6984</v>
      </c>
      <c r="IHG27" t="s">
        <v>6984</v>
      </c>
      <c r="IHH27" t="s">
        <v>6984</v>
      </c>
      <c r="IHI27" t="s">
        <v>6984</v>
      </c>
      <c r="IHJ27" t="s">
        <v>6984</v>
      </c>
      <c r="IHK27" t="s">
        <v>6984</v>
      </c>
      <c r="IHL27" t="s">
        <v>6984</v>
      </c>
      <c r="IHM27" t="s">
        <v>6984</v>
      </c>
      <c r="IHN27" t="s">
        <v>6984</v>
      </c>
      <c r="IHO27" t="s">
        <v>6984</v>
      </c>
      <c r="IHP27" t="s">
        <v>6984</v>
      </c>
      <c r="IHQ27" t="s">
        <v>6984</v>
      </c>
      <c r="IHR27" t="s">
        <v>6984</v>
      </c>
      <c r="IHS27" t="s">
        <v>6984</v>
      </c>
      <c r="IHT27" t="s">
        <v>6984</v>
      </c>
      <c r="IHU27" t="s">
        <v>6984</v>
      </c>
      <c r="IHV27" t="s">
        <v>6984</v>
      </c>
      <c r="IHW27" t="s">
        <v>6984</v>
      </c>
      <c r="IHX27" t="s">
        <v>6984</v>
      </c>
      <c r="IHY27" t="s">
        <v>6984</v>
      </c>
      <c r="IHZ27" t="s">
        <v>6984</v>
      </c>
      <c r="IIA27" t="s">
        <v>6984</v>
      </c>
      <c r="IIB27" t="s">
        <v>6984</v>
      </c>
      <c r="IIC27" t="s">
        <v>6984</v>
      </c>
      <c r="IID27" t="s">
        <v>6984</v>
      </c>
      <c r="IIE27" t="s">
        <v>6984</v>
      </c>
      <c r="IIF27" t="s">
        <v>6984</v>
      </c>
      <c r="IIG27" t="s">
        <v>6984</v>
      </c>
      <c r="IIH27" t="s">
        <v>6984</v>
      </c>
      <c r="III27" t="s">
        <v>6984</v>
      </c>
      <c r="IIJ27" t="s">
        <v>6984</v>
      </c>
      <c r="IIK27" t="s">
        <v>6984</v>
      </c>
      <c r="IIL27" t="s">
        <v>6984</v>
      </c>
      <c r="IIM27" t="s">
        <v>6984</v>
      </c>
      <c r="IIN27" t="s">
        <v>6984</v>
      </c>
      <c r="IIO27" t="s">
        <v>6984</v>
      </c>
      <c r="IIP27" t="s">
        <v>6984</v>
      </c>
      <c r="IIQ27" t="s">
        <v>6984</v>
      </c>
      <c r="IIR27" t="s">
        <v>6984</v>
      </c>
      <c r="IIS27" t="s">
        <v>6984</v>
      </c>
      <c r="IIT27" t="s">
        <v>6984</v>
      </c>
      <c r="IIU27" t="s">
        <v>6984</v>
      </c>
      <c r="IIV27" t="s">
        <v>6984</v>
      </c>
      <c r="IIW27" t="s">
        <v>6984</v>
      </c>
      <c r="IIX27" t="s">
        <v>6984</v>
      </c>
      <c r="IIY27" t="s">
        <v>6984</v>
      </c>
      <c r="IIZ27" t="s">
        <v>6984</v>
      </c>
      <c r="IJA27" t="s">
        <v>6984</v>
      </c>
      <c r="IJB27" t="s">
        <v>6984</v>
      </c>
      <c r="IJC27" t="s">
        <v>6984</v>
      </c>
      <c r="IJD27" t="s">
        <v>6984</v>
      </c>
      <c r="IJE27" t="s">
        <v>6984</v>
      </c>
      <c r="IJF27" t="s">
        <v>6984</v>
      </c>
      <c r="IJG27" t="s">
        <v>6984</v>
      </c>
      <c r="IJH27" t="s">
        <v>6984</v>
      </c>
      <c r="IJI27" t="s">
        <v>6984</v>
      </c>
      <c r="IJJ27" t="s">
        <v>6984</v>
      </c>
      <c r="IJK27" t="s">
        <v>6984</v>
      </c>
      <c r="IJL27" t="s">
        <v>6984</v>
      </c>
      <c r="IJM27" t="s">
        <v>6984</v>
      </c>
      <c r="IJN27" t="s">
        <v>6984</v>
      </c>
      <c r="IJO27" t="s">
        <v>6984</v>
      </c>
      <c r="IJP27" t="s">
        <v>6984</v>
      </c>
      <c r="IJQ27" t="s">
        <v>6984</v>
      </c>
      <c r="IJR27" t="s">
        <v>6984</v>
      </c>
      <c r="IJS27" t="s">
        <v>6984</v>
      </c>
      <c r="IJT27" t="s">
        <v>6984</v>
      </c>
      <c r="IJU27" t="s">
        <v>6984</v>
      </c>
      <c r="IJV27" t="s">
        <v>6984</v>
      </c>
      <c r="IJW27" t="s">
        <v>6984</v>
      </c>
      <c r="IJX27" t="s">
        <v>6984</v>
      </c>
      <c r="IJY27" t="s">
        <v>6984</v>
      </c>
      <c r="IJZ27" t="s">
        <v>6984</v>
      </c>
      <c r="IKA27" t="s">
        <v>6984</v>
      </c>
      <c r="IKB27" t="s">
        <v>6984</v>
      </c>
      <c r="IKC27" t="s">
        <v>6984</v>
      </c>
      <c r="IKD27" t="s">
        <v>6984</v>
      </c>
      <c r="IKE27" t="s">
        <v>6984</v>
      </c>
      <c r="IKF27" t="s">
        <v>6984</v>
      </c>
      <c r="IKG27" t="s">
        <v>6984</v>
      </c>
      <c r="IKH27" t="s">
        <v>6984</v>
      </c>
      <c r="IKI27" t="s">
        <v>6984</v>
      </c>
      <c r="IKJ27" t="s">
        <v>6984</v>
      </c>
      <c r="IKK27" t="s">
        <v>6984</v>
      </c>
      <c r="IKL27" t="s">
        <v>6984</v>
      </c>
      <c r="IKM27" t="s">
        <v>6984</v>
      </c>
      <c r="IKN27" t="s">
        <v>6984</v>
      </c>
      <c r="IKO27" t="s">
        <v>6984</v>
      </c>
      <c r="IKP27" t="s">
        <v>6984</v>
      </c>
      <c r="IKQ27" t="s">
        <v>6984</v>
      </c>
      <c r="IKR27" t="s">
        <v>6984</v>
      </c>
      <c r="IKS27" t="s">
        <v>6984</v>
      </c>
      <c r="IKT27" t="s">
        <v>6984</v>
      </c>
      <c r="IKU27" t="s">
        <v>6984</v>
      </c>
      <c r="IKV27" t="s">
        <v>6984</v>
      </c>
      <c r="IKW27" t="s">
        <v>6984</v>
      </c>
      <c r="IKX27" t="s">
        <v>6984</v>
      </c>
      <c r="IKY27" t="s">
        <v>6984</v>
      </c>
      <c r="IKZ27" t="s">
        <v>6984</v>
      </c>
      <c r="ILA27" t="s">
        <v>6984</v>
      </c>
      <c r="ILB27" t="s">
        <v>6984</v>
      </c>
      <c r="ILC27" t="s">
        <v>6984</v>
      </c>
      <c r="ILD27" t="s">
        <v>6984</v>
      </c>
      <c r="ILE27" t="s">
        <v>6984</v>
      </c>
      <c r="ILF27" t="s">
        <v>6984</v>
      </c>
      <c r="ILG27" t="s">
        <v>6984</v>
      </c>
      <c r="ILH27" t="s">
        <v>6984</v>
      </c>
      <c r="ILI27" t="s">
        <v>6984</v>
      </c>
      <c r="ILJ27" t="s">
        <v>6984</v>
      </c>
      <c r="ILK27" t="s">
        <v>6984</v>
      </c>
      <c r="ILL27" t="s">
        <v>6984</v>
      </c>
      <c r="ILM27" t="s">
        <v>6984</v>
      </c>
      <c r="ILN27" t="s">
        <v>6984</v>
      </c>
      <c r="ILO27" t="s">
        <v>6984</v>
      </c>
      <c r="ILP27" t="s">
        <v>6984</v>
      </c>
      <c r="ILQ27" t="s">
        <v>6984</v>
      </c>
      <c r="ILR27" t="s">
        <v>6984</v>
      </c>
      <c r="ILS27" t="s">
        <v>6984</v>
      </c>
      <c r="ILT27" t="s">
        <v>6984</v>
      </c>
      <c r="ILU27" t="s">
        <v>6984</v>
      </c>
      <c r="ILV27" t="s">
        <v>6984</v>
      </c>
      <c r="ILW27" t="s">
        <v>6984</v>
      </c>
      <c r="ILX27" t="s">
        <v>6984</v>
      </c>
      <c r="ILY27" t="s">
        <v>6984</v>
      </c>
      <c r="ILZ27" t="s">
        <v>6984</v>
      </c>
      <c r="IMA27" t="s">
        <v>6984</v>
      </c>
      <c r="IMB27" t="s">
        <v>6984</v>
      </c>
      <c r="IMC27" t="s">
        <v>6984</v>
      </c>
      <c r="IMD27" t="s">
        <v>6984</v>
      </c>
      <c r="IME27" t="s">
        <v>6984</v>
      </c>
      <c r="IMF27" t="s">
        <v>6984</v>
      </c>
      <c r="IMG27" t="s">
        <v>6984</v>
      </c>
      <c r="IMH27" t="s">
        <v>6984</v>
      </c>
      <c r="IMI27" t="s">
        <v>6984</v>
      </c>
      <c r="IMJ27" t="s">
        <v>6984</v>
      </c>
      <c r="IMK27" t="s">
        <v>6984</v>
      </c>
      <c r="IML27" t="s">
        <v>6984</v>
      </c>
      <c r="IMM27" t="s">
        <v>6984</v>
      </c>
      <c r="IMN27" t="s">
        <v>6984</v>
      </c>
      <c r="IMO27" t="s">
        <v>6984</v>
      </c>
      <c r="IMP27" t="s">
        <v>6984</v>
      </c>
      <c r="IMQ27" t="s">
        <v>6984</v>
      </c>
      <c r="IMR27" t="s">
        <v>6984</v>
      </c>
      <c r="IMS27" t="s">
        <v>6984</v>
      </c>
      <c r="IMT27" t="s">
        <v>6984</v>
      </c>
      <c r="IMU27" t="s">
        <v>6984</v>
      </c>
      <c r="IMV27" t="s">
        <v>6984</v>
      </c>
      <c r="IMW27" t="s">
        <v>6984</v>
      </c>
      <c r="IMX27" t="s">
        <v>6984</v>
      </c>
      <c r="IMY27" t="s">
        <v>6984</v>
      </c>
      <c r="IMZ27" t="s">
        <v>6984</v>
      </c>
      <c r="INA27" t="s">
        <v>6984</v>
      </c>
      <c r="INB27" t="s">
        <v>6984</v>
      </c>
      <c r="INC27" t="s">
        <v>6984</v>
      </c>
      <c r="IND27" t="s">
        <v>6984</v>
      </c>
      <c r="INE27" t="s">
        <v>6984</v>
      </c>
      <c r="INF27" t="s">
        <v>6984</v>
      </c>
      <c r="ING27" t="s">
        <v>6984</v>
      </c>
      <c r="INH27" t="s">
        <v>6984</v>
      </c>
      <c r="INI27" t="s">
        <v>6984</v>
      </c>
      <c r="INJ27" t="s">
        <v>6984</v>
      </c>
      <c r="INK27" t="s">
        <v>6984</v>
      </c>
      <c r="INL27" t="s">
        <v>6984</v>
      </c>
      <c r="INM27" t="s">
        <v>6984</v>
      </c>
      <c r="INN27" t="s">
        <v>6984</v>
      </c>
      <c r="INO27" t="s">
        <v>6984</v>
      </c>
      <c r="INP27" t="s">
        <v>6984</v>
      </c>
      <c r="INQ27" t="s">
        <v>6984</v>
      </c>
      <c r="INR27" t="s">
        <v>6984</v>
      </c>
      <c r="INS27" t="s">
        <v>6984</v>
      </c>
      <c r="INT27" t="s">
        <v>6984</v>
      </c>
      <c r="INU27" t="s">
        <v>6984</v>
      </c>
      <c r="INV27" t="s">
        <v>6984</v>
      </c>
      <c r="INW27" t="s">
        <v>6984</v>
      </c>
      <c r="INX27" t="s">
        <v>6984</v>
      </c>
      <c r="INY27" t="s">
        <v>6984</v>
      </c>
      <c r="INZ27" t="s">
        <v>6984</v>
      </c>
      <c r="IOA27" t="s">
        <v>6984</v>
      </c>
      <c r="IOB27" t="s">
        <v>6984</v>
      </c>
      <c r="IOC27" t="s">
        <v>6984</v>
      </c>
      <c r="IOD27" t="s">
        <v>6984</v>
      </c>
      <c r="IOE27" t="s">
        <v>6984</v>
      </c>
      <c r="IOF27" t="s">
        <v>6984</v>
      </c>
      <c r="IOG27" t="s">
        <v>6984</v>
      </c>
      <c r="IOH27" t="s">
        <v>6984</v>
      </c>
      <c r="IOI27" t="s">
        <v>6984</v>
      </c>
      <c r="IOJ27" t="s">
        <v>6984</v>
      </c>
      <c r="IOK27" t="s">
        <v>6984</v>
      </c>
      <c r="IOL27" t="s">
        <v>6984</v>
      </c>
      <c r="IOM27" t="s">
        <v>6984</v>
      </c>
      <c r="ION27" t="s">
        <v>6984</v>
      </c>
      <c r="IOO27" t="s">
        <v>6984</v>
      </c>
      <c r="IOP27" t="s">
        <v>6984</v>
      </c>
      <c r="IOQ27" t="s">
        <v>6984</v>
      </c>
      <c r="IOR27" t="s">
        <v>6984</v>
      </c>
      <c r="IOS27" t="s">
        <v>6984</v>
      </c>
      <c r="IOT27" t="s">
        <v>6984</v>
      </c>
      <c r="IOU27" t="s">
        <v>6984</v>
      </c>
      <c r="IOV27" t="s">
        <v>6984</v>
      </c>
      <c r="IOW27" t="s">
        <v>6984</v>
      </c>
      <c r="IOX27" t="s">
        <v>6984</v>
      </c>
      <c r="IOY27" t="s">
        <v>6984</v>
      </c>
      <c r="IOZ27" t="s">
        <v>6984</v>
      </c>
      <c r="IPA27" t="s">
        <v>6984</v>
      </c>
      <c r="IPB27" t="s">
        <v>6984</v>
      </c>
      <c r="IPC27" t="s">
        <v>6984</v>
      </c>
      <c r="IPD27" t="s">
        <v>6984</v>
      </c>
      <c r="IPE27" t="s">
        <v>6984</v>
      </c>
      <c r="IPF27" t="s">
        <v>6984</v>
      </c>
      <c r="IPG27" t="s">
        <v>6984</v>
      </c>
      <c r="IPH27" t="s">
        <v>6984</v>
      </c>
      <c r="IPI27" t="s">
        <v>6984</v>
      </c>
      <c r="IPJ27" t="s">
        <v>6984</v>
      </c>
      <c r="IPK27" t="s">
        <v>6984</v>
      </c>
      <c r="IPL27" t="s">
        <v>6984</v>
      </c>
      <c r="IPM27" t="s">
        <v>6984</v>
      </c>
      <c r="IPN27" t="s">
        <v>6984</v>
      </c>
      <c r="IPO27" t="s">
        <v>6984</v>
      </c>
      <c r="IPP27" t="s">
        <v>6984</v>
      </c>
      <c r="IPQ27" t="s">
        <v>6984</v>
      </c>
      <c r="IPR27" t="s">
        <v>6984</v>
      </c>
      <c r="IPS27" t="s">
        <v>6984</v>
      </c>
      <c r="IPT27" t="s">
        <v>6984</v>
      </c>
      <c r="IPU27" t="s">
        <v>6984</v>
      </c>
      <c r="IPV27" t="s">
        <v>6984</v>
      </c>
      <c r="IPW27" t="s">
        <v>6984</v>
      </c>
      <c r="IPX27" t="s">
        <v>6984</v>
      </c>
      <c r="IPY27" t="s">
        <v>6984</v>
      </c>
      <c r="IPZ27" t="s">
        <v>6984</v>
      </c>
      <c r="IQA27" t="s">
        <v>6984</v>
      </c>
      <c r="IQB27" t="s">
        <v>6984</v>
      </c>
      <c r="IQC27" t="s">
        <v>6984</v>
      </c>
      <c r="IQD27" t="s">
        <v>6984</v>
      </c>
      <c r="IQE27" t="s">
        <v>6984</v>
      </c>
      <c r="IQF27" t="s">
        <v>6984</v>
      </c>
      <c r="IQG27" t="s">
        <v>6984</v>
      </c>
      <c r="IQH27" t="s">
        <v>6984</v>
      </c>
      <c r="IQI27" t="s">
        <v>6984</v>
      </c>
      <c r="IQJ27" t="s">
        <v>6984</v>
      </c>
      <c r="IQK27" t="s">
        <v>6984</v>
      </c>
      <c r="IQL27" t="s">
        <v>6984</v>
      </c>
      <c r="IQM27" t="s">
        <v>6984</v>
      </c>
      <c r="IQN27" t="s">
        <v>6984</v>
      </c>
      <c r="IQO27" t="s">
        <v>6984</v>
      </c>
      <c r="IQP27" t="s">
        <v>6984</v>
      </c>
      <c r="IQQ27" t="s">
        <v>6984</v>
      </c>
      <c r="IQR27" t="s">
        <v>6984</v>
      </c>
      <c r="IQS27" t="s">
        <v>6984</v>
      </c>
      <c r="IQT27" t="s">
        <v>6984</v>
      </c>
      <c r="IQU27" t="s">
        <v>6984</v>
      </c>
      <c r="IQV27" t="s">
        <v>6984</v>
      </c>
      <c r="IQW27" t="s">
        <v>6984</v>
      </c>
      <c r="IQX27" t="s">
        <v>6984</v>
      </c>
      <c r="IQY27" t="s">
        <v>6984</v>
      </c>
      <c r="IQZ27" t="s">
        <v>6984</v>
      </c>
      <c r="IRA27" t="s">
        <v>6984</v>
      </c>
      <c r="IRB27" t="s">
        <v>6984</v>
      </c>
      <c r="IRC27" t="s">
        <v>6984</v>
      </c>
      <c r="IRD27" t="s">
        <v>6984</v>
      </c>
      <c r="IRE27" t="s">
        <v>6984</v>
      </c>
      <c r="IRF27" t="s">
        <v>6984</v>
      </c>
      <c r="IRG27" t="s">
        <v>6984</v>
      </c>
      <c r="IRH27" t="s">
        <v>6984</v>
      </c>
      <c r="IRI27" t="s">
        <v>6984</v>
      </c>
      <c r="IRJ27" t="s">
        <v>6984</v>
      </c>
      <c r="IRK27" t="s">
        <v>6984</v>
      </c>
      <c r="IRL27" t="s">
        <v>6984</v>
      </c>
      <c r="IRM27" t="s">
        <v>6984</v>
      </c>
      <c r="IRN27" t="s">
        <v>6984</v>
      </c>
      <c r="IRO27" t="s">
        <v>6984</v>
      </c>
      <c r="IRP27" t="s">
        <v>6984</v>
      </c>
      <c r="IRQ27" t="s">
        <v>6984</v>
      </c>
      <c r="IRR27" t="s">
        <v>6984</v>
      </c>
      <c r="IRS27" t="s">
        <v>6984</v>
      </c>
      <c r="IRT27" t="s">
        <v>6984</v>
      </c>
      <c r="IRU27" t="s">
        <v>6984</v>
      </c>
      <c r="IRV27" t="s">
        <v>6984</v>
      </c>
      <c r="IRW27" t="s">
        <v>6984</v>
      </c>
      <c r="IRX27" t="s">
        <v>6984</v>
      </c>
      <c r="IRY27" t="s">
        <v>6984</v>
      </c>
      <c r="IRZ27" t="s">
        <v>6984</v>
      </c>
      <c r="ISA27" t="s">
        <v>6984</v>
      </c>
      <c r="ISB27" t="s">
        <v>6984</v>
      </c>
      <c r="ISC27" t="s">
        <v>6984</v>
      </c>
      <c r="ISD27" t="s">
        <v>6984</v>
      </c>
      <c r="ISE27" t="s">
        <v>6984</v>
      </c>
      <c r="ISF27" t="s">
        <v>6984</v>
      </c>
      <c r="ISG27" t="s">
        <v>6984</v>
      </c>
      <c r="ISH27" t="s">
        <v>6984</v>
      </c>
      <c r="ISI27" t="s">
        <v>6984</v>
      </c>
      <c r="ISJ27" t="s">
        <v>6984</v>
      </c>
      <c r="ISK27" t="s">
        <v>6984</v>
      </c>
      <c r="ISL27" t="s">
        <v>6984</v>
      </c>
      <c r="ISM27" t="s">
        <v>6984</v>
      </c>
      <c r="ISN27" t="s">
        <v>6984</v>
      </c>
      <c r="ISO27" t="s">
        <v>6984</v>
      </c>
      <c r="ISP27" t="s">
        <v>6984</v>
      </c>
      <c r="ISQ27" t="s">
        <v>6984</v>
      </c>
      <c r="ISR27" t="s">
        <v>6984</v>
      </c>
      <c r="ISS27" t="s">
        <v>6984</v>
      </c>
      <c r="IST27" t="s">
        <v>6984</v>
      </c>
      <c r="ISU27" t="s">
        <v>6984</v>
      </c>
      <c r="ISV27" t="s">
        <v>6984</v>
      </c>
      <c r="ISW27" t="s">
        <v>6984</v>
      </c>
      <c r="ISX27" t="s">
        <v>6984</v>
      </c>
      <c r="ISY27" t="s">
        <v>6984</v>
      </c>
      <c r="ISZ27" t="s">
        <v>6984</v>
      </c>
      <c r="ITA27" t="s">
        <v>6984</v>
      </c>
      <c r="ITB27" t="s">
        <v>6984</v>
      </c>
      <c r="ITC27" t="s">
        <v>6984</v>
      </c>
      <c r="ITD27" t="s">
        <v>6984</v>
      </c>
      <c r="ITE27" t="s">
        <v>6984</v>
      </c>
      <c r="ITF27" t="s">
        <v>6984</v>
      </c>
      <c r="ITG27" t="s">
        <v>6984</v>
      </c>
      <c r="ITH27" t="s">
        <v>6984</v>
      </c>
      <c r="ITI27" t="s">
        <v>6984</v>
      </c>
      <c r="ITJ27" t="s">
        <v>6984</v>
      </c>
      <c r="ITK27" t="s">
        <v>6984</v>
      </c>
      <c r="ITL27" t="s">
        <v>6984</v>
      </c>
      <c r="ITM27" t="s">
        <v>6984</v>
      </c>
      <c r="ITN27" t="s">
        <v>6984</v>
      </c>
      <c r="ITO27" t="s">
        <v>6984</v>
      </c>
      <c r="ITP27" t="s">
        <v>6984</v>
      </c>
      <c r="ITQ27" t="s">
        <v>6984</v>
      </c>
      <c r="ITR27" t="s">
        <v>6984</v>
      </c>
      <c r="ITS27" t="s">
        <v>6984</v>
      </c>
      <c r="ITT27" t="s">
        <v>6984</v>
      </c>
      <c r="ITU27" t="s">
        <v>6984</v>
      </c>
      <c r="ITV27" t="s">
        <v>6984</v>
      </c>
      <c r="ITW27" t="s">
        <v>6984</v>
      </c>
      <c r="ITX27" t="s">
        <v>6984</v>
      </c>
      <c r="ITY27" t="s">
        <v>6984</v>
      </c>
      <c r="ITZ27" t="s">
        <v>6984</v>
      </c>
      <c r="IUA27" t="s">
        <v>6984</v>
      </c>
      <c r="IUB27" t="s">
        <v>6984</v>
      </c>
      <c r="IUC27" t="s">
        <v>6984</v>
      </c>
      <c r="IUD27" t="s">
        <v>6984</v>
      </c>
      <c r="IUE27" t="s">
        <v>6984</v>
      </c>
      <c r="IUF27" t="s">
        <v>6984</v>
      </c>
      <c r="IUG27" t="s">
        <v>6984</v>
      </c>
      <c r="IUH27" t="s">
        <v>6984</v>
      </c>
      <c r="IUI27" t="s">
        <v>6984</v>
      </c>
      <c r="IUJ27" t="s">
        <v>6984</v>
      </c>
      <c r="IUK27" t="s">
        <v>6984</v>
      </c>
      <c r="IUL27" t="s">
        <v>6984</v>
      </c>
      <c r="IUM27" t="s">
        <v>6984</v>
      </c>
      <c r="IUN27" t="s">
        <v>6984</v>
      </c>
      <c r="IUO27" t="s">
        <v>6984</v>
      </c>
      <c r="IUP27" t="s">
        <v>6984</v>
      </c>
      <c r="IUQ27" t="s">
        <v>6984</v>
      </c>
      <c r="IUR27" t="s">
        <v>6984</v>
      </c>
      <c r="IUS27" t="s">
        <v>6984</v>
      </c>
      <c r="IUT27" t="s">
        <v>6984</v>
      </c>
      <c r="IUU27" t="s">
        <v>6984</v>
      </c>
      <c r="IUV27" t="s">
        <v>6984</v>
      </c>
      <c r="IUW27" t="s">
        <v>6984</v>
      </c>
      <c r="IUX27" t="s">
        <v>6984</v>
      </c>
      <c r="IUY27" t="s">
        <v>6984</v>
      </c>
      <c r="IUZ27" t="s">
        <v>6984</v>
      </c>
      <c r="IVA27" t="s">
        <v>6984</v>
      </c>
      <c r="IVB27" t="s">
        <v>6984</v>
      </c>
      <c r="IVC27" t="s">
        <v>6984</v>
      </c>
      <c r="IVD27" t="s">
        <v>6984</v>
      </c>
      <c r="IVE27" t="s">
        <v>6984</v>
      </c>
      <c r="IVF27" t="s">
        <v>6984</v>
      </c>
      <c r="IVG27" t="s">
        <v>6984</v>
      </c>
      <c r="IVH27" t="s">
        <v>6984</v>
      </c>
      <c r="IVI27" t="s">
        <v>6984</v>
      </c>
      <c r="IVJ27" t="s">
        <v>6984</v>
      </c>
      <c r="IVK27" t="s">
        <v>6984</v>
      </c>
      <c r="IVL27" t="s">
        <v>6984</v>
      </c>
      <c r="IVM27" t="s">
        <v>6984</v>
      </c>
      <c r="IVN27" t="s">
        <v>6984</v>
      </c>
      <c r="IVO27" t="s">
        <v>6984</v>
      </c>
      <c r="IVP27" t="s">
        <v>6984</v>
      </c>
      <c r="IVQ27" t="s">
        <v>6984</v>
      </c>
      <c r="IVR27" t="s">
        <v>6984</v>
      </c>
      <c r="IVS27" t="s">
        <v>6984</v>
      </c>
      <c r="IVT27" t="s">
        <v>6984</v>
      </c>
      <c r="IVU27" t="s">
        <v>6984</v>
      </c>
      <c r="IVV27" t="s">
        <v>6984</v>
      </c>
      <c r="IVW27" t="s">
        <v>6984</v>
      </c>
      <c r="IVX27" t="s">
        <v>6984</v>
      </c>
      <c r="IVY27" t="s">
        <v>6984</v>
      </c>
      <c r="IVZ27" t="s">
        <v>6984</v>
      </c>
      <c r="IWA27" t="s">
        <v>6984</v>
      </c>
      <c r="IWB27" t="s">
        <v>6984</v>
      </c>
      <c r="IWC27" t="s">
        <v>6984</v>
      </c>
      <c r="IWD27" t="s">
        <v>6984</v>
      </c>
      <c r="IWE27" t="s">
        <v>6984</v>
      </c>
      <c r="IWF27" t="s">
        <v>6984</v>
      </c>
      <c r="IWG27" t="s">
        <v>6984</v>
      </c>
      <c r="IWH27" t="s">
        <v>6984</v>
      </c>
      <c r="IWI27" t="s">
        <v>6984</v>
      </c>
      <c r="IWJ27" t="s">
        <v>6984</v>
      </c>
      <c r="IWK27" t="s">
        <v>6984</v>
      </c>
      <c r="IWL27" t="s">
        <v>6984</v>
      </c>
      <c r="IWM27" t="s">
        <v>6984</v>
      </c>
      <c r="IWN27" t="s">
        <v>6984</v>
      </c>
      <c r="IWO27" t="s">
        <v>6984</v>
      </c>
      <c r="IWP27" t="s">
        <v>6984</v>
      </c>
      <c r="IWQ27" t="s">
        <v>6984</v>
      </c>
      <c r="IWR27" t="s">
        <v>6984</v>
      </c>
      <c r="IWS27" t="s">
        <v>6984</v>
      </c>
      <c r="IWT27" t="s">
        <v>6984</v>
      </c>
      <c r="IWU27" t="s">
        <v>6984</v>
      </c>
      <c r="IWV27" t="s">
        <v>6984</v>
      </c>
      <c r="IWW27" t="s">
        <v>6984</v>
      </c>
      <c r="IWX27" t="s">
        <v>6984</v>
      </c>
      <c r="IWY27" t="s">
        <v>6984</v>
      </c>
      <c r="IWZ27" t="s">
        <v>6984</v>
      </c>
      <c r="IXA27" t="s">
        <v>6984</v>
      </c>
      <c r="IXB27" t="s">
        <v>6984</v>
      </c>
      <c r="IXC27" t="s">
        <v>6984</v>
      </c>
      <c r="IXD27" t="s">
        <v>6984</v>
      </c>
      <c r="IXE27" t="s">
        <v>6984</v>
      </c>
      <c r="IXF27" t="s">
        <v>6984</v>
      </c>
      <c r="IXG27" t="s">
        <v>6984</v>
      </c>
      <c r="IXH27" t="s">
        <v>6984</v>
      </c>
      <c r="IXI27" t="s">
        <v>6984</v>
      </c>
      <c r="IXJ27" t="s">
        <v>6984</v>
      </c>
      <c r="IXK27" t="s">
        <v>6984</v>
      </c>
      <c r="IXL27" t="s">
        <v>6984</v>
      </c>
      <c r="IXM27" t="s">
        <v>6984</v>
      </c>
      <c r="IXN27" t="s">
        <v>6984</v>
      </c>
      <c r="IXO27" t="s">
        <v>6984</v>
      </c>
      <c r="IXP27" t="s">
        <v>6984</v>
      </c>
      <c r="IXQ27" t="s">
        <v>6984</v>
      </c>
      <c r="IXR27" t="s">
        <v>6984</v>
      </c>
      <c r="IXS27" t="s">
        <v>6984</v>
      </c>
      <c r="IXT27" t="s">
        <v>6984</v>
      </c>
      <c r="IXU27" t="s">
        <v>6984</v>
      </c>
      <c r="IXV27" t="s">
        <v>6984</v>
      </c>
      <c r="IXW27" t="s">
        <v>6984</v>
      </c>
      <c r="IXX27" t="s">
        <v>6984</v>
      </c>
      <c r="IXY27" t="s">
        <v>6984</v>
      </c>
      <c r="IXZ27" t="s">
        <v>6984</v>
      </c>
      <c r="IYA27" t="s">
        <v>6984</v>
      </c>
      <c r="IYB27" t="s">
        <v>6984</v>
      </c>
      <c r="IYC27" t="s">
        <v>6984</v>
      </c>
      <c r="IYD27" t="s">
        <v>6984</v>
      </c>
      <c r="IYE27" t="s">
        <v>6984</v>
      </c>
      <c r="IYF27" t="s">
        <v>6984</v>
      </c>
      <c r="IYG27" t="s">
        <v>6984</v>
      </c>
      <c r="IYH27" t="s">
        <v>6984</v>
      </c>
      <c r="IYI27" t="s">
        <v>6984</v>
      </c>
      <c r="IYJ27" t="s">
        <v>6984</v>
      </c>
      <c r="IYK27" t="s">
        <v>6984</v>
      </c>
      <c r="IYL27" t="s">
        <v>6984</v>
      </c>
      <c r="IYM27" t="s">
        <v>6984</v>
      </c>
      <c r="IYN27" t="s">
        <v>6984</v>
      </c>
      <c r="IYO27" t="s">
        <v>6984</v>
      </c>
      <c r="IYP27" t="s">
        <v>6984</v>
      </c>
      <c r="IYQ27" t="s">
        <v>6984</v>
      </c>
      <c r="IYR27" t="s">
        <v>6984</v>
      </c>
      <c r="IYS27" t="s">
        <v>6984</v>
      </c>
      <c r="IYT27" t="s">
        <v>6984</v>
      </c>
      <c r="IYU27" t="s">
        <v>6984</v>
      </c>
      <c r="IYV27" t="s">
        <v>6984</v>
      </c>
      <c r="IYW27" t="s">
        <v>6984</v>
      </c>
      <c r="IYX27" t="s">
        <v>6984</v>
      </c>
      <c r="IYY27" t="s">
        <v>6984</v>
      </c>
      <c r="IYZ27" t="s">
        <v>6984</v>
      </c>
      <c r="IZA27" t="s">
        <v>6984</v>
      </c>
      <c r="IZB27" t="s">
        <v>6984</v>
      </c>
      <c r="IZC27" t="s">
        <v>6984</v>
      </c>
      <c r="IZD27" t="s">
        <v>6984</v>
      </c>
      <c r="IZE27" t="s">
        <v>6984</v>
      </c>
      <c r="IZF27" t="s">
        <v>6984</v>
      </c>
      <c r="IZG27" t="s">
        <v>6984</v>
      </c>
      <c r="IZH27" t="s">
        <v>6984</v>
      </c>
      <c r="IZI27" t="s">
        <v>6984</v>
      </c>
      <c r="IZJ27" t="s">
        <v>6984</v>
      </c>
      <c r="IZK27" t="s">
        <v>6984</v>
      </c>
      <c r="IZL27" t="s">
        <v>6984</v>
      </c>
      <c r="IZM27" t="s">
        <v>6984</v>
      </c>
      <c r="IZN27" t="s">
        <v>6984</v>
      </c>
      <c r="IZO27" t="s">
        <v>6984</v>
      </c>
      <c r="IZP27" t="s">
        <v>6984</v>
      </c>
      <c r="IZQ27" t="s">
        <v>6984</v>
      </c>
      <c r="IZR27" t="s">
        <v>6984</v>
      </c>
      <c r="IZS27" t="s">
        <v>6984</v>
      </c>
      <c r="IZT27" t="s">
        <v>6984</v>
      </c>
      <c r="IZU27" t="s">
        <v>6984</v>
      </c>
      <c r="IZV27" t="s">
        <v>6984</v>
      </c>
      <c r="IZW27" t="s">
        <v>6984</v>
      </c>
      <c r="IZX27" t="s">
        <v>6984</v>
      </c>
      <c r="IZY27" t="s">
        <v>6984</v>
      </c>
      <c r="IZZ27" t="s">
        <v>6984</v>
      </c>
      <c r="JAA27" t="s">
        <v>6984</v>
      </c>
      <c r="JAB27" t="s">
        <v>6984</v>
      </c>
      <c r="JAC27" t="s">
        <v>6984</v>
      </c>
      <c r="JAD27" t="s">
        <v>6984</v>
      </c>
      <c r="JAE27" t="s">
        <v>6984</v>
      </c>
      <c r="JAF27" t="s">
        <v>6984</v>
      </c>
      <c r="JAG27" t="s">
        <v>6984</v>
      </c>
      <c r="JAH27" t="s">
        <v>6984</v>
      </c>
      <c r="JAI27" t="s">
        <v>6984</v>
      </c>
      <c r="JAJ27" t="s">
        <v>6984</v>
      </c>
      <c r="JAK27" t="s">
        <v>6984</v>
      </c>
      <c r="JAL27" t="s">
        <v>6984</v>
      </c>
      <c r="JAM27" t="s">
        <v>6984</v>
      </c>
      <c r="JAN27" t="s">
        <v>6984</v>
      </c>
      <c r="JAO27" t="s">
        <v>6984</v>
      </c>
      <c r="JAP27" t="s">
        <v>6984</v>
      </c>
      <c r="JAQ27" t="s">
        <v>6984</v>
      </c>
      <c r="JAR27" t="s">
        <v>6984</v>
      </c>
      <c r="JAS27" t="s">
        <v>6984</v>
      </c>
      <c r="JAT27" t="s">
        <v>6984</v>
      </c>
      <c r="JAU27" t="s">
        <v>6984</v>
      </c>
      <c r="JAV27" t="s">
        <v>6984</v>
      </c>
      <c r="JAW27" t="s">
        <v>6984</v>
      </c>
      <c r="JAX27" t="s">
        <v>6984</v>
      </c>
      <c r="JAY27" t="s">
        <v>6984</v>
      </c>
      <c r="JAZ27" t="s">
        <v>6984</v>
      </c>
      <c r="JBA27" t="s">
        <v>6984</v>
      </c>
      <c r="JBB27" t="s">
        <v>6984</v>
      </c>
      <c r="JBC27" t="s">
        <v>6984</v>
      </c>
      <c r="JBD27" t="s">
        <v>6984</v>
      </c>
      <c r="JBE27" t="s">
        <v>6984</v>
      </c>
      <c r="JBF27" t="s">
        <v>6984</v>
      </c>
      <c r="JBG27" t="s">
        <v>6984</v>
      </c>
      <c r="JBH27" t="s">
        <v>6984</v>
      </c>
      <c r="JBI27" t="s">
        <v>6984</v>
      </c>
      <c r="JBJ27" t="s">
        <v>6984</v>
      </c>
      <c r="JBK27" t="s">
        <v>6984</v>
      </c>
      <c r="JBL27" t="s">
        <v>6984</v>
      </c>
      <c r="JBM27" t="s">
        <v>6984</v>
      </c>
      <c r="JBN27" t="s">
        <v>6984</v>
      </c>
      <c r="JBO27" t="s">
        <v>6984</v>
      </c>
      <c r="JBP27" t="s">
        <v>6984</v>
      </c>
      <c r="JBQ27" t="s">
        <v>6984</v>
      </c>
      <c r="JBR27" t="s">
        <v>6984</v>
      </c>
      <c r="JBS27" t="s">
        <v>6984</v>
      </c>
      <c r="JBT27" t="s">
        <v>6984</v>
      </c>
      <c r="JBU27" t="s">
        <v>6984</v>
      </c>
      <c r="JBV27" t="s">
        <v>6984</v>
      </c>
      <c r="JBW27" t="s">
        <v>6984</v>
      </c>
      <c r="JBX27" t="s">
        <v>6984</v>
      </c>
      <c r="JBY27" t="s">
        <v>6984</v>
      </c>
      <c r="JBZ27" t="s">
        <v>6984</v>
      </c>
      <c r="JCA27" t="s">
        <v>6984</v>
      </c>
      <c r="JCB27" t="s">
        <v>6984</v>
      </c>
      <c r="JCC27" t="s">
        <v>6984</v>
      </c>
      <c r="JCD27" t="s">
        <v>6984</v>
      </c>
      <c r="JCE27" t="s">
        <v>6984</v>
      </c>
      <c r="JCF27" t="s">
        <v>6984</v>
      </c>
      <c r="JCG27" t="s">
        <v>6984</v>
      </c>
      <c r="JCH27" t="s">
        <v>6984</v>
      </c>
      <c r="JCI27" t="s">
        <v>6984</v>
      </c>
      <c r="JCJ27" t="s">
        <v>6984</v>
      </c>
      <c r="JCK27" t="s">
        <v>6984</v>
      </c>
      <c r="JCL27" t="s">
        <v>6984</v>
      </c>
      <c r="JCM27" t="s">
        <v>6984</v>
      </c>
      <c r="JCN27" t="s">
        <v>6984</v>
      </c>
      <c r="JCO27" t="s">
        <v>6984</v>
      </c>
      <c r="JCP27" t="s">
        <v>6984</v>
      </c>
      <c r="JCQ27" t="s">
        <v>6984</v>
      </c>
      <c r="JCR27" t="s">
        <v>6984</v>
      </c>
      <c r="JCS27" t="s">
        <v>6984</v>
      </c>
      <c r="JCT27" t="s">
        <v>6984</v>
      </c>
      <c r="JCU27" t="s">
        <v>6984</v>
      </c>
      <c r="JCV27" t="s">
        <v>6984</v>
      </c>
      <c r="JCW27" t="s">
        <v>6984</v>
      </c>
      <c r="JCX27" t="s">
        <v>6984</v>
      </c>
      <c r="JCY27" t="s">
        <v>6984</v>
      </c>
      <c r="JCZ27" t="s">
        <v>6984</v>
      </c>
      <c r="JDA27" t="s">
        <v>6984</v>
      </c>
      <c r="JDB27" t="s">
        <v>6984</v>
      </c>
      <c r="JDC27" t="s">
        <v>6984</v>
      </c>
      <c r="JDD27" t="s">
        <v>6984</v>
      </c>
      <c r="JDE27" t="s">
        <v>6984</v>
      </c>
      <c r="JDF27" t="s">
        <v>6984</v>
      </c>
      <c r="JDG27" t="s">
        <v>6984</v>
      </c>
      <c r="JDH27" t="s">
        <v>6984</v>
      </c>
      <c r="JDI27" t="s">
        <v>6984</v>
      </c>
      <c r="JDJ27" t="s">
        <v>6984</v>
      </c>
      <c r="JDK27" t="s">
        <v>6984</v>
      </c>
      <c r="JDL27" t="s">
        <v>6984</v>
      </c>
      <c r="JDM27" t="s">
        <v>6984</v>
      </c>
      <c r="JDN27" t="s">
        <v>6984</v>
      </c>
      <c r="JDO27" t="s">
        <v>6984</v>
      </c>
      <c r="JDP27" t="s">
        <v>6984</v>
      </c>
      <c r="JDQ27" t="s">
        <v>6984</v>
      </c>
      <c r="JDR27" t="s">
        <v>6984</v>
      </c>
      <c r="JDS27" t="s">
        <v>6984</v>
      </c>
      <c r="JDT27" t="s">
        <v>6984</v>
      </c>
      <c r="JDU27" t="s">
        <v>6984</v>
      </c>
      <c r="JDV27" t="s">
        <v>6984</v>
      </c>
      <c r="JDW27" t="s">
        <v>6984</v>
      </c>
      <c r="JDX27" t="s">
        <v>6984</v>
      </c>
      <c r="JDY27" t="s">
        <v>6984</v>
      </c>
      <c r="JDZ27" t="s">
        <v>6984</v>
      </c>
      <c r="JEA27" t="s">
        <v>6984</v>
      </c>
      <c r="JEB27" t="s">
        <v>6984</v>
      </c>
      <c r="JEC27" t="s">
        <v>6984</v>
      </c>
      <c r="JED27" t="s">
        <v>6984</v>
      </c>
      <c r="JEE27" t="s">
        <v>6984</v>
      </c>
      <c r="JEF27" t="s">
        <v>6984</v>
      </c>
      <c r="JEG27" t="s">
        <v>6984</v>
      </c>
      <c r="JEH27" t="s">
        <v>6984</v>
      </c>
      <c r="JEI27" t="s">
        <v>6984</v>
      </c>
      <c r="JEJ27" t="s">
        <v>6984</v>
      </c>
      <c r="JEK27" t="s">
        <v>6984</v>
      </c>
      <c r="JEL27" t="s">
        <v>6984</v>
      </c>
      <c r="JEM27" t="s">
        <v>6984</v>
      </c>
      <c r="JEN27" t="s">
        <v>6984</v>
      </c>
      <c r="JEO27" t="s">
        <v>6984</v>
      </c>
      <c r="JEP27" t="s">
        <v>6984</v>
      </c>
      <c r="JEQ27" t="s">
        <v>6984</v>
      </c>
      <c r="JER27" t="s">
        <v>6984</v>
      </c>
      <c r="JES27" t="s">
        <v>6984</v>
      </c>
      <c r="JET27" t="s">
        <v>6984</v>
      </c>
      <c r="JEU27" t="s">
        <v>6984</v>
      </c>
      <c r="JEV27" t="s">
        <v>6984</v>
      </c>
      <c r="JEW27" t="s">
        <v>6984</v>
      </c>
      <c r="JEX27" t="s">
        <v>6984</v>
      </c>
      <c r="JEY27" t="s">
        <v>6984</v>
      </c>
      <c r="JEZ27" t="s">
        <v>6984</v>
      </c>
      <c r="JFA27" t="s">
        <v>6984</v>
      </c>
      <c r="JFB27" t="s">
        <v>6984</v>
      </c>
      <c r="JFC27" t="s">
        <v>6984</v>
      </c>
      <c r="JFD27" t="s">
        <v>6984</v>
      </c>
      <c r="JFE27" t="s">
        <v>6984</v>
      </c>
      <c r="JFF27" t="s">
        <v>6984</v>
      </c>
      <c r="JFG27" t="s">
        <v>6984</v>
      </c>
      <c r="JFH27" t="s">
        <v>6984</v>
      </c>
      <c r="JFI27" t="s">
        <v>6984</v>
      </c>
      <c r="JFJ27" t="s">
        <v>6984</v>
      </c>
      <c r="JFK27" t="s">
        <v>6984</v>
      </c>
      <c r="JFL27" t="s">
        <v>6984</v>
      </c>
      <c r="JFM27" t="s">
        <v>6984</v>
      </c>
      <c r="JFN27" t="s">
        <v>6984</v>
      </c>
      <c r="JFO27" t="s">
        <v>6984</v>
      </c>
      <c r="JFP27" t="s">
        <v>6984</v>
      </c>
      <c r="JFQ27" t="s">
        <v>6984</v>
      </c>
      <c r="JFR27" t="s">
        <v>6984</v>
      </c>
      <c r="JFS27" t="s">
        <v>6984</v>
      </c>
      <c r="JFT27" t="s">
        <v>6984</v>
      </c>
      <c r="JFU27" t="s">
        <v>6984</v>
      </c>
      <c r="JFV27" t="s">
        <v>6984</v>
      </c>
      <c r="JFW27" t="s">
        <v>6984</v>
      </c>
      <c r="JFX27" t="s">
        <v>6984</v>
      </c>
      <c r="JFY27" t="s">
        <v>6984</v>
      </c>
      <c r="JFZ27" t="s">
        <v>6984</v>
      </c>
      <c r="JGA27" t="s">
        <v>6984</v>
      </c>
      <c r="JGB27" t="s">
        <v>6984</v>
      </c>
      <c r="JGC27" t="s">
        <v>6984</v>
      </c>
      <c r="JGD27" t="s">
        <v>6984</v>
      </c>
      <c r="JGE27" t="s">
        <v>6984</v>
      </c>
      <c r="JGF27" t="s">
        <v>6984</v>
      </c>
      <c r="JGG27" t="s">
        <v>6984</v>
      </c>
      <c r="JGH27" t="s">
        <v>6984</v>
      </c>
      <c r="JGI27" t="s">
        <v>6984</v>
      </c>
      <c r="JGJ27" t="s">
        <v>6984</v>
      </c>
      <c r="JGK27" t="s">
        <v>6984</v>
      </c>
      <c r="JGL27" t="s">
        <v>6984</v>
      </c>
      <c r="JGM27" t="s">
        <v>6984</v>
      </c>
      <c r="JGN27" t="s">
        <v>6984</v>
      </c>
      <c r="JGO27" t="s">
        <v>6984</v>
      </c>
      <c r="JGP27" t="s">
        <v>6984</v>
      </c>
      <c r="JGQ27" t="s">
        <v>6984</v>
      </c>
      <c r="JGR27" t="s">
        <v>6984</v>
      </c>
      <c r="JGS27" t="s">
        <v>6984</v>
      </c>
      <c r="JGT27" t="s">
        <v>6984</v>
      </c>
      <c r="JGU27" t="s">
        <v>6984</v>
      </c>
      <c r="JGV27" t="s">
        <v>6984</v>
      </c>
      <c r="JGW27" t="s">
        <v>6984</v>
      </c>
      <c r="JGX27" t="s">
        <v>6984</v>
      </c>
      <c r="JGY27" t="s">
        <v>6984</v>
      </c>
      <c r="JGZ27" t="s">
        <v>6984</v>
      </c>
      <c r="JHA27" t="s">
        <v>6984</v>
      </c>
      <c r="JHB27" t="s">
        <v>6984</v>
      </c>
      <c r="JHC27" t="s">
        <v>6984</v>
      </c>
      <c r="JHD27" t="s">
        <v>6984</v>
      </c>
      <c r="JHE27" t="s">
        <v>6984</v>
      </c>
      <c r="JHF27" t="s">
        <v>6984</v>
      </c>
      <c r="JHG27" t="s">
        <v>6984</v>
      </c>
      <c r="JHH27" t="s">
        <v>6984</v>
      </c>
      <c r="JHI27" t="s">
        <v>6984</v>
      </c>
      <c r="JHJ27" t="s">
        <v>6984</v>
      </c>
      <c r="JHK27" t="s">
        <v>6984</v>
      </c>
      <c r="JHL27" t="s">
        <v>6984</v>
      </c>
      <c r="JHM27" t="s">
        <v>6984</v>
      </c>
      <c r="JHN27" t="s">
        <v>6984</v>
      </c>
      <c r="JHO27" t="s">
        <v>6984</v>
      </c>
      <c r="JHP27" t="s">
        <v>6984</v>
      </c>
      <c r="JHQ27" t="s">
        <v>6984</v>
      </c>
      <c r="JHR27" t="s">
        <v>6984</v>
      </c>
      <c r="JHS27" t="s">
        <v>6984</v>
      </c>
      <c r="JHT27" t="s">
        <v>6984</v>
      </c>
      <c r="JHU27" t="s">
        <v>6984</v>
      </c>
      <c r="JHV27" t="s">
        <v>6984</v>
      </c>
      <c r="JHW27" t="s">
        <v>6984</v>
      </c>
      <c r="JHX27" t="s">
        <v>6984</v>
      </c>
      <c r="JHY27" t="s">
        <v>6984</v>
      </c>
      <c r="JHZ27" t="s">
        <v>6984</v>
      </c>
      <c r="JIA27" t="s">
        <v>6984</v>
      </c>
      <c r="JIB27" t="s">
        <v>6984</v>
      </c>
      <c r="JIC27" t="s">
        <v>6984</v>
      </c>
      <c r="JID27" t="s">
        <v>6984</v>
      </c>
      <c r="JIE27" t="s">
        <v>6984</v>
      </c>
      <c r="JIF27" t="s">
        <v>6984</v>
      </c>
      <c r="JIG27" t="s">
        <v>6984</v>
      </c>
      <c r="JIH27" t="s">
        <v>6984</v>
      </c>
      <c r="JII27" t="s">
        <v>6984</v>
      </c>
      <c r="JIJ27" t="s">
        <v>6984</v>
      </c>
      <c r="JIK27" t="s">
        <v>6984</v>
      </c>
      <c r="JIL27" t="s">
        <v>6984</v>
      </c>
      <c r="JIM27" t="s">
        <v>6984</v>
      </c>
      <c r="JIN27" t="s">
        <v>6984</v>
      </c>
      <c r="JIO27" t="s">
        <v>6984</v>
      </c>
      <c r="JIP27" t="s">
        <v>6984</v>
      </c>
      <c r="JIQ27" t="s">
        <v>6984</v>
      </c>
      <c r="JIR27" t="s">
        <v>6984</v>
      </c>
      <c r="JIS27" t="s">
        <v>6984</v>
      </c>
      <c r="JIT27" t="s">
        <v>6984</v>
      </c>
      <c r="JIU27" t="s">
        <v>6984</v>
      </c>
      <c r="JIV27" t="s">
        <v>6984</v>
      </c>
      <c r="JIW27" t="s">
        <v>6984</v>
      </c>
      <c r="JIX27" t="s">
        <v>6984</v>
      </c>
      <c r="JIY27" t="s">
        <v>6984</v>
      </c>
      <c r="JIZ27" t="s">
        <v>6984</v>
      </c>
      <c r="JJA27" t="s">
        <v>6984</v>
      </c>
    </row>
    <row r="28" spans="1:7021" x14ac:dyDescent="0.25">
      <c r="A28" t="s">
        <v>7009</v>
      </c>
      <c r="B28">
        <v>95.825000000000003</v>
      </c>
      <c r="C28">
        <v>95.825000000000003</v>
      </c>
      <c r="D28">
        <v>95.825000000000003</v>
      </c>
      <c r="E28">
        <v>95.88</v>
      </c>
      <c r="F28">
        <v>95.825000000000003</v>
      </c>
      <c r="G28">
        <v>95.864999999999995</v>
      </c>
      <c r="H28">
        <v>95.915000000000006</v>
      </c>
      <c r="I28">
        <v>95.855000000000004</v>
      </c>
      <c r="J28">
        <v>95.805000000000007</v>
      </c>
      <c r="K28">
        <v>95.79</v>
      </c>
      <c r="L28">
        <v>95.784999999999997</v>
      </c>
      <c r="M28">
        <v>95.89</v>
      </c>
      <c r="N28">
        <v>95.905000000000001</v>
      </c>
      <c r="O28">
        <v>95.814999999999998</v>
      </c>
      <c r="P28">
        <v>95.81</v>
      </c>
      <c r="Q28">
        <v>95.87</v>
      </c>
      <c r="R28">
        <v>95.85</v>
      </c>
      <c r="S28">
        <v>95.82</v>
      </c>
      <c r="T28">
        <v>95.87</v>
      </c>
      <c r="U28">
        <v>95.78</v>
      </c>
      <c r="V28">
        <v>95.78</v>
      </c>
      <c r="W28">
        <v>95.704999999999998</v>
      </c>
      <c r="X28">
        <v>95.644999999999996</v>
      </c>
      <c r="Y28">
        <v>95.75</v>
      </c>
      <c r="Z28">
        <v>95.75</v>
      </c>
      <c r="AA28">
        <v>95.79</v>
      </c>
      <c r="AB28">
        <v>95.77</v>
      </c>
      <c r="AC28">
        <v>95.7</v>
      </c>
      <c r="AD28">
        <v>95.734999999999999</v>
      </c>
      <c r="AE28">
        <v>95.784999999999997</v>
      </c>
      <c r="AF28">
        <v>95.844999999999999</v>
      </c>
      <c r="AG28">
        <v>95.844999999999999</v>
      </c>
      <c r="AH28">
        <v>95.94</v>
      </c>
      <c r="AI28">
        <v>95.89</v>
      </c>
      <c r="AJ28">
        <v>95.875</v>
      </c>
      <c r="AK28">
        <v>95.91</v>
      </c>
      <c r="AL28">
        <v>95.96</v>
      </c>
      <c r="AM28">
        <v>96.01</v>
      </c>
      <c r="AN28">
        <v>95.99</v>
      </c>
      <c r="AO28">
        <v>95.93</v>
      </c>
      <c r="AP28">
        <v>95.88</v>
      </c>
      <c r="AQ28">
        <v>95.82</v>
      </c>
      <c r="AR28">
        <v>95.75</v>
      </c>
      <c r="AS28">
        <v>95.724999999999994</v>
      </c>
      <c r="AT28">
        <v>95.674999999999997</v>
      </c>
      <c r="AU28">
        <v>95.814999999999998</v>
      </c>
      <c r="AV28">
        <v>95.814999999999998</v>
      </c>
      <c r="AW28">
        <v>95.89</v>
      </c>
      <c r="AX28">
        <v>95.855000000000004</v>
      </c>
      <c r="AY28">
        <v>95.83</v>
      </c>
      <c r="AZ28">
        <v>95.724999999999994</v>
      </c>
      <c r="BA28">
        <v>95.864999999999995</v>
      </c>
      <c r="BB28">
        <v>95.834999999999994</v>
      </c>
      <c r="BC28">
        <v>95.995000000000005</v>
      </c>
      <c r="BD28">
        <v>96.075000000000003</v>
      </c>
      <c r="BE28">
        <v>96.25</v>
      </c>
      <c r="BF28">
        <v>96.17</v>
      </c>
      <c r="BG28">
        <v>96.025000000000006</v>
      </c>
      <c r="BH28">
        <v>96.084999999999994</v>
      </c>
      <c r="BI28">
        <v>95.98</v>
      </c>
      <c r="BJ28">
        <v>95.95</v>
      </c>
      <c r="BK28">
        <v>95.83</v>
      </c>
      <c r="BL28">
        <v>95.885000000000005</v>
      </c>
      <c r="BM28">
        <v>95.91</v>
      </c>
      <c r="BN28">
        <v>95.885000000000005</v>
      </c>
      <c r="BO28">
        <v>95.965000000000003</v>
      </c>
      <c r="BP28">
        <v>95.98</v>
      </c>
      <c r="BQ28">
        <v>95.94</v>
      </c>
      <c r="BR28">
        <v>95.96</v>
      </c>
      <c r="BS28">
        <v>95.924999999999997</v>
      </c>
      <c r="BT28">
        <v>95.9</v>
      </c>
      <c r="BU28">
        <v>95.965000000000003</v>
      </c>
      <c r="BV28">
        <v>95.935000000000002</v>
      </c>
      <c r="BW28">
        <v>95.965000000000003</v>
      </c>
      <c r="BX28">
        <v>96.06</v>
      </c>
      <c r="BY28">
        <v>95.93</v>
      </c>
      <c r="BZ28">
        <v>95.954999999999998</v>
      </c>
      <c r="CA28">
        <v>95.98</v>
      </c>
      <c r="CB28">
        <v>96.04</v>
      </c>
      <c r="CC28">
        <v>96.084999999999994</v>
      </c>
      <c r="CD28">
        <v>96.025000000000006</v>
      </c>
      <c r="CE28">
        <v>95.965000000000003</v>
      </c>
      <c r="CF28">
        <v>96.01</v>
      </c>
      <c r="CG28">
        <v>95.94</v>
      </c>
      <c r="CH28">
        <v>95.805000000000007</v>
      </c>
      <c r="CI28">
        <v>95.78</v>
      </c>
      <c r="CJ28">
        <v>95.7</v>
      </c>
      <c r="CK28">
        <v>95.65</v>
      </c>
      <c r="CL28">
        <v>95.65</v>
      </c>
      <c r="CM28">
        <v>95.724999999999994</v>
      </c>
      <c r="CN28">
        <v>95.724999999999994</v>
      </c>
      <c r="CO28">
        <v>95.67</v>
      </c>
      <c r="CP28">
        <v>95.555000000000007</v>
      </c>
      <c r="CQ28">
        <v>95.69</v>
      </c>
      <c r="CR28">
        <v>95.74</v>
      </c>
      <c r="CS28">
        <v>95.74</v>
      </c>
      <c r="CT28">
        <v>95.8</v>
      </c>
      <c r="CU28">
        <v>95.85</v>
      </c>
      <c r="CV28">
        <v>95.74</v>
      </c>
      <c r="CW28">
        <v>95.715000000000003</v>
      </c>
      <c r="CX28">
        <v>95.67</v>
      </c>
      <c r="CY28">
        <v>95.74</v>
      </c>
      <c r="CZ28">
        <v>95.694999999999993</v>
      </c>
      <c r="DA28">
        <v>95.704999999999998</v>
      </c>
      <c r="DB28">
        <v>95.73</v>
      </c>
      <c r="DC28">
        <v>95.62</v>
      </c>
      <c r="DD28">
        <v>95.62</v>
      </c>
      <c r="DE28">
        <v>95.674999999999997</v>
      </c>
      <c r="DF28">
        <v>95.704999999999998</v>
      </c>
      <c r="DG28">
        <v>95.66</v>
      </c>
      <c r="DH28">
        <v>95.66</v>
      </c>
      <c r="DI28">
        <v>95.66</v>
      </c>
      <c r="DJ28">
        <v>95.62</v>
      </c>
      <c r="DK28">
        <v>95.474999999999994</v>
      </c>
      <c r="DL28">
        <v>95.454999999999998</v>
      </c>
      <c r="DM28">
        <v>95.495000000000005</v>
      </c>
      <c r="DN28">
        <v>95.555000000000007</v>
      </c>
      <c r="DO28">
        <v>95.54</v>
      </c>
      <c r="DP28">
        <v>95.55</v>
      </c>
      <c r="DQ28">
        <v>95.635000000000005</v>
      </c>
      <c r="DR28">
        <v>95.69</v>
      </c>
      <c r="DS28">
        <v>95.704999999999998</v>
      </c>
      <c r="DT28">
        <v>95.7</v>
      </c>
      <c r="DU28">
        <v>95.7</v>
      </c>
      <c r="DV28">
        <v>95.74</v>
      </c>
      <c r="DW28">
        <v>95.66</v>
      </c>
      <c r="DX28">
        <v>95.72</v>
      </c>
      <c r="DY28">
        <v>95.704999999999998</v>
      </c>
      <c r="DZ28">
        <v>95.704999999999998</v>
      </c>
      <c r="EA28">
        <v>95.68</v>
      </c>
      <c r="EB28">
        <v>95.78</v>
      </c>
      <c r="EC28">
        <v>95.71</v>
      </c>
      <c r="ED28">
        <v>95.84</v>
      </c>
      <c r="EE28">
        <v>95.98</v>
      </c>
      <c r="EF28">
        <v>95.965000000000003</v>
      </c>
      <c r="EG28">
        <v>95.97</v>
      </c>
      <c r="EH28">
        <v>96.055000000000007</v>
      </c>
      <c r="EI28">
        <v>96.12</v>
      </c>
      <c r="EJ28">
        <v>96.18</v>
      </c>
      <c r="EK28">
        <v>96.204999999999998</v>
      </c>
      <c r="EL28">
        <v>96.245000000000005</v>
      </c>
      <c r="EM28">
        <v>96.21</v>
      </c>
      <c r="EN28">
        <v>96.194999999999993</v>
      </c>
      <c r="EO28">
        <v>96.165000000000006</v>
      </c>
      <c r="EP28">
        <v>96.2</v>
      </c>
      <c r="EQ28">
        <v>96.2</v>
      </c>
      <c r="ER28">
        <v>96.165000000000006</v>
      </c>
      <c r="ES28">
        <v>96.165000000000006</v>
      </c>
      <c r="ET28">
        <v>96.1</v>
      </c>
      <c r="EU28">
        <v>96.165000000000006</v>
      </c>
      <c r="EV28">
        <v>96.015000000000001</v>
      </c>
      <c r="EW28">
        <v>95.98</v>
      </c>
      <c r="EX28">
        <v>95.974999999999994</v>
      </c>
      <c r="EY28">
        <v>96.004999999999995</v>
      </c>
      <c r="EZ28">
        <v>95.97</v>
      </c>
      <c r="FA28">
        <v>95.96</v>
      </c>
      <c r="FB28">
        <v>95.965000000000003</v>
      </c>
      <c r="FC28">
        <v>95.93</v>
      </c>
      <c r="FD28">
        <v>95.954999999999998</v>
      </c>
      <c r="FE28">
        <v>96.015000000000001</v>
      </c>
      <c r="FF28">
        <v>96.064999999999998</v>
      </c>
      <c r="FG28">
        <v>96.02</v>
      </c>
      <c r="FH28">
        <v>95.915000000000006</v>
      </c>
      <c r="FI28">
        <v>96.084999999999994</v>
      </c>
      <c r="FJ28">
        <v>96.06</v>
      </c>
      <c r="FK28">
        <v>95.995000000000005</v>
      </c>
      <c r="FL28">
        <v>96.055000000000007</v>
      </c>
      <c r="FM28">
        <v>96.064999999999998</v>
      </c>
      <c r="FN28">
        <v>96.034999999999997</v>
      </c>
      <c r="FO28">
        <v>96.03</v>
      </c>
      <c r="FP28">
        <v>96.064999999999998</v>
      </c>
      <c r="FQ28">
        <v>96.09</v>
      </c>
      <c r="FR28">
        <v>96.04</v>
      </c>
      <c r="FS28">
        <v>96.07</v>
      </c>
      <c r="FT28">
        <v>96.094999999999999</v>
      </c>
      <c r="FU28">
        <v>96.21</v>
      </c>
      <c r="FV28">
        <v>96.194999999999993</v>
      </c>
      <c r="FW28">
        <v>96.295000000000002</v>
      </c>
      <c r="FX28">
        <v>96.275000000000006</v>
      </c>
      <c r="FY28">
        <v>96.18</v>
      </c>
      <c r="FZ28">
        <v>96.22</v>
      </c>
      <c r="GA28">
        <v>96.21</v>
      </c>
      <c r="GB28">
        <v>96.254999999999995</v>
      </c>
      <c r="GC28">
        <v>96.28</v>
      </c>
      <c r="GD28">
        <v>96.295000000000002</v>
      </c>
      <c r="GE28">
        <v>96.33</v>
      </c>
      <c r="GF28">
        <v>96.41</v>
      </c>
      <c r="GG28">
        <v>96.48</v>
      </c>
      <c r="GH28">
        <v>96.525000000000006</v>
      </c>
      <c r="GI28">
        <v>96.454999999999998</v>
      </c>
      <c r="GJ28">
        <v>96.495000000000005</v>
      </c>
      <c r="GK28">
        <v>96.465000000000003</v>
      </c>
      <c r="GL28">
        <v>96.444999999999993</v>
      </c>
      <c r="GM28">
        <v>96.484999999999999</v>
      </c>
      <c r="GN28">
        <v>96.49</v>
      </c>
      <c r="GO28">
        <v>96.504999999999995</v>
      </c>
      <c r="GP28">
        <v>96.484999999999999</v>
      </c>
      <c r="GQ28">
        <v>96.56</v>
      </c>
      <c r="GR28">
        <v>96.63</v>
      </c>
      <c r="GS28">
        <v>96.62</v>
      </c>
      <c r="GT28">
        <v>96.6</v>
      </c>
      <c r="GU28">
        <v>96.59</v>
      </c>
      <c r="GV28">
        <v>96.62</v>
      </c>
      <c r="GW28">
        <v>96.625</v>
      </c>
      <c r="GX28">
        <v>96.57</v>
      </c>
      <c r="GY28">
        <v>96.545000000000002</v>
      </c>
      <c r="GZ28">
        <v>96.56</v>
      </c>
      <c r="HA28">
        <v>96.525000000000006</v>
      </c>
      <c r="HB28">
        <v>96.474999999999994</v>
      </c>
      <c r="HC28">
        <v>96.394999999999996</v>
      </c>
      <c r="HD28">
        <v>96.394999999999996</v>
      </c>
      <c r="HE28">
        <v>96.44</v>
      </c>
      <c r="HF28">
        <v>96.454999999999998</v>
      </c>
      <c r="HG28">
        <v>96.47</v>
      </c>
      <c r="HH28">
        <v>96.49</v>
      </c>
      <c r="HI28">
        <v>96.48</v>
      </c>
      <c r="HJ28">
        <v>96.42</v>
      </c>
      <c r="HK28">
        <v>96.495000000000005</v>
      </c>
      <c r="HL28">
        <v>96.47</v>
      </c>
      <c r="HM28">
        <v>96.42</v>
      </c>
      <c r="HN28">
        <v>96.38</v>
      </c>
      <c r="HO28">
        <v>96.34</v>
      </c>
      <c r="HP28">
        <v>96.41</v>
      </c>
      <c r="HQ28">
        <v>96.375</v>
      </c>
      <c r="HR28">
        <v>96.344999999999999</v>
      </c>
      <c r="HS28">
        <v>96.305000000000007</v>
      </c>
      <c r="HT28">
        <v>96.224999999999994</v>
      </c>
      <c r="HU28">
        <v>96.234999999999999</v>
      </c>
      <c r="HV28">
        <v>96.325000000000003</v>
      </c>
      <c r="HW28">
        <v>96.424999999999997</v>
      </c>
      <c r="HX28">
        <v>96.435000000000002</v>
      </c>
      <c r="HY28">
        <v>96.31</v>
      </c>
      <c r="HZ28">
        <v>96.21</v>
      </c>
      <c r="IA28">
        <v>96.174999999999997</v>
      </c>
      <c r="IB28">
        <v>96.14</v>
      </c>
      <c r="IC28">
        <v>96.114999999999995</v>
      </c>
      <c r="ID28">
        <v>96.075000000000003</v>
      </c>
      <c r="IE28">
        <v>96.03</v>
      </c>
      <c r="IF28">
        <v>96.105000000000004</v>
      </c>
      <c r="IG28">
        <v>96.09</v>
      </c>
      <c r="IH28">
        <v>96.1</v>
      </c>
      <c r="II28">
        <v>96.15</v>
      </c>
      <c r="IJ28">
        <v>96.204999999999998</v>
      </c>
      <c r="IK28">
        <v>96.18</v>
      </c>
      <c r="IL28">
        <v>96.105000000000004</v>
      </c>
      <c r="IM28">
        <v>96.15</v>
      </c>
      <c r="IN28">
        <v>96.17</v>
      </c>
      <c r="IO28">
        <v>96.084999999999994</v>
      </c>
      <c r="IP28">
        <v>96.055000000000007</v>
      </c>
      <c r="IQ28">
        <v>96.094999999999999</v>
      </c>
      <c r="IR28">
        <v>96.09</v>
      </c>
      <c r="IS28">
        <v>96.025000000000006</v>
      </c>
      <c r="IT28">
        <v>96.025000000000006</v>
      </c>
      <c r="IU28">
        <v>95.92</v>
      </c>
      <c r="IV28">
        <v>95.885000000000005</v>
      </c>
      <c r="IW28">
        <v>96.045000000000002</v>
      </c>
      <c r="IX28">
        <v>96.11</v>
      </c>
      <c r="IY28">
        <v>96.075000000000003</v>
      </c>
      <c r="IZ28">
        <v>96.165000000000006</v>
      </c>
      <c r="JA28">
        <v>96.155000000000001</v>
      </c>
      <c r="JB28">
        <v>96.13</v>
      </c>
      <c r="JC28">
        <v>96.14</v>
      </c>
      <c r="JD28">
        <v>96.204999999999998</v>
      </c>
      <c r="JE28">
        <v>96.204999999999998</v>
      </c>
      <c r="JF28">
        <v>96.144999999999996</v>
      </c>
      <c r="JG28">
        <v>96.224999999999994</v>
      </c>
      <c r="JH28">
        <v>96.16</v>
      </c>
      <c r="JI28">
        <v>96.105000000000004</v>
      </c>
      <c r="JJ28">
        <v>95.99</v>
      </c>
      <c r="JK28">
        <v>95.91</v>
      </c>
      <c r="JL28">
        <v>95.954999999999998</v>
      </c>
      <c r="JM28">
        <v>96.105000000000004</v>
      </c>
      <c r="JN28">
        <v>96.105000000000004</v>
      </c>
      <c r="JO28">
        <v>96.07</v>
      </c>
      <c r="JP28">
        <v>95.99</v>
      </c>
      <c r="JQ28">
        <v>95.864999999999995</v>
      </c>
      <c r="JR28">
        <v>95.84</v>
      </c>
      <c r="JS28">
        <v>95.78</v>
      </c>
      <c r="JT28">
        <v>95.885000000000005</v>
      </c>
      <c r="JU28">
        <v>95.96</v>
      </c>
      <c r="JV28">
        <v>95.96</v>
      </c>
      <c r="JW28">
        <v>95.94</v>
      </c>
      <c r="JX28">
        <v>95.94</v>
      </c>
      <c r="JY28">
        <v>95.944999999999993</v>
      </c>
      <c r="JZ28">
        <v>95.915000000000006</v>
      </c>
      <c r="KA28">
        <v>95.935000000000002</v>
      </c>
      <c r="KB28">
        <v>95.98</v>
      </c>
      <c r="KC28">
        <v>95.984999999999999</v>
      </c>
      <c r="KD28">
        <v>95.915000000000006</v>
      </c>
      <c r="KE28">
        <v>95.88</v>
      </c>
      <c r="KF28">
        <v>95.855000000000004</v>
      </c>
      <c r="KG28">
        <v>95.91</v>
      </c>
      <c r="KH28">
        <v>95.88</v>
      </c>
      <c r="KI28">
        <v>95.92</v>
      </c>
      <c r="KJ28">
        <v>95.875</v>
      </c>
      <c r="KK28">
        <v>95.855000000000004</v>
      </c>
      <c r="KL28">
        <v>95.78</v>
      </c>
      <c r="KM28">
        <v>95.765000000000001</v>
      </c>
      <c r="KN28">
        <v>95.7</v>
      </c>
      <c r="KO28">
        <v>95.77</v>
      </c>
      <c r="KP28">
        <v>95.69</v>
      </c>
      <c r="KQ28">
        <v>95.65</v>
      </c>
      <c r="KR28">
        <v>95.71</v>
      </c>
      <c r="KS28">
        <v>95.784999999999997</v>
      </c>
      <c r="KT28">
        <v>95.765000000000001</v>
      </c>
      <c r="KU28">
        <v>95.78</v>
      </c>
      <c r="KV28">
        <v>95.745000000000005</v>
      </c>
      <c r="KW28">
        <v>95.805000000000007</v>
      </c>
      <c r="KX28">
        <v>95.73</v>
      </c>
      <c r="KY28">
        <v>95.765000000000001</v>
      </c>
      <c r="KZ28">
        <v>95.905000000000001</v>
      </c>
      <c r="LA28">
        <v>95.814999999999998</v>
      </c>
      <c r="LB28">
        <v>95.844999999999999</v>
      </c>
      <c r="LC28">
        <v>95.99</v>
      </c>
      <c r="LD28">
        <v>95.93</v>
      </c>
      <c r="LE28">
        <v>95.974999999999994</v>
      </c>
      <c r="LF28">
        <v>96.025000000000006</v>
      </c>
      <c r="LG28">
        <v>95.974999999999994</v>
      </c>
      <c r="LH28">
        <v>95.965000000000003</v>
      </c>
      <c r="LI28">
        <v>96.01</v>
      </c>
      <c r="LJ28">
        <v>96.14</v>
      </c>
      <c r="LK28">
        <v>96.14</v>
      </c>
      <c r="LL28">
        <v>96.105000000000004</v>
      </c>
      <c r="LM28">
        <v>96.07</v>
      </c>
      <c r="LN28">
        <v>96.04</v>
      </c>
      <c r="LO28">
        <v>96.075000000000003</v>
      </c>
      <c r="LP28">
        <v>96.015000000000001</v>
      </c>
      <c r="LQ28">
        <v>96.02</v>
      </c>
      <c r="LR28">
        <v>96.064999999999998</v>
      </c>
      <c r="LS28">
        <v>96.034999999999997</v>
      </c>
      <c r="LT28">
        <v>96.075000000000003</v>
      </c>
      <c r="LU28">
        <v>96.06</v>
      </c>
      <c r="LV28">
        <v>96.17</v>
      </c>
      <c r="LW28">
        <v>96.185000000000002</v>
      </c>
      <c r="LX28">
        <v>96.234999999999999</v>
      </c>
      <c r="LY28">
        <v>96.23</v>
      </c>
      <c r="LZ28">
        <v>96.25</v>
      </c>
      <c r="MA28">
        <v>96.245000000000005</v>
      </c>
      <c r="MB28">
        <v>96.204999999999998</v>
      </c>
      <c r="MC28">
        <v>96.114999999999995</v>
      </c>
      <c r="MD28">
        <v>96.14</v>
      </c>
      <c r="ME28">
        <v>96.094999999999999</v>
      </c>
      <c r="MF28">
        <v>96.084999999999994</v>
      </c>
      <c r="MG28">
        <v>96.09</v>
      </c>
      <c r="MH28">
        <v>96.11</v>
      </c>
      <c r="MI28">
        <v>96.12</v>
      </c>
      <c r="MJ28">
        <v>96.025000000000006</v>
      </c>
      <c r="MK28">
        <v>95.995000000000005</v>
      </c>
      <c r="ML28">
        <v>96.04</v>
      </c>
      <c r="MM28">
        <v>96.015000000000001</v>
      </c>
      <c r="MN28">
        <v>96.015000000000001</v>
      </c>
      <c r="MO28">
        <v>96.055000000000007</v>
      </c>
      <c r="MP28">
        <v>96.03</v>
      </c>
      <c r="MQ28">
        <v>95.99</v>
      </c>
      <c r="MR28">
        <v>96.09</v>
      </c>
      <c r="MS28">
        <v>96.07</v>
      </c>
      <c r="MT28">
        <v>96.084999999999994</v>
      </c>
      <c r="MU28">
        <v>96.17</v>
      </c>
      <c r="MV28">
        <v>96.185000000000002</v>
      </c>
      <c r="MW28">
        <v>96.094999999999999</v>
      </c>
      <c r="MX28">
        <v>96.224999999999994</v>
      </c>
      <c r="MY28">
        <v>96.385000000000005</v>
      </c>
      <c r="MZ28">
        <v>96.265000000000001</v>
      </c>
      <c r="NA28">
        <v>96.18</v>
      </c>
      <c r="NB28">
        <v>96.11</v>
      </c>
      <c r="NC28">
        <v>96.04</v>
      </c>
      <c r="ND28">
        <v>96.07</v>
      </c>
      <c r="NE28">
        <v>96.04</v>
      </c>
      <c r="NF28">
        <v>96.084999999999994</v>
      </c>
      <c r="NG28">
        <v>96.14</v>
      </c>
      <c r="NH28">
        <v>96.084999999999994</v>
      </c>
      <c r="NI28">
        <v>96.075000000000003</v>
      </c>
      <c r="NJ28">
        <v>96.114999999999995</v>
      </c>
      <c r="NK28">
        <v>96.13</v>
      </c>
      <c r="NL28">
        <v>96.254999999999995</v>
      </c>
      <c r="NM28">
        <v>96.254999999999995</v>
      </c>
      <c r="NN28">
        <v>96.265000000000001</v>
      </c>
      <c r="NO28">
        <v>96.224999999999994</v>
      </c>
      <c r="NP28">
        <v>96.234999999999999</v>
      </c>
      <c r="NQ28">
        <v>96.24</v>
      </c>
      <c r="NR28">
        <v>96.23</v>
      </c>
      <c r="NS28">
        <v>96.284999999999997</v>
      </c>
      <c r="NT28">
        <v>96.375</v>
      </c>
      <c r="NU28">
        <v>96.33</v>
      </c>
      <c r="NV28">
        <v>96.38</v>
      </c>
      <c r="NW28">
        <v>96.38</v>
      </c>
      <c r="NX28">
        <v>96.405000000000001</v>
      </c>
      <c r="NY28">
        <v>96.48</v>
      </c>
      <c r="NZ28">
        <v>96.375</v>
      </c>
      <c r="OA28">
        <v>96.36</v>
      </c>
      <c r="OB28">
        <v>96.36</v>
      </c>
      <c r="OC28">
        <v>96.394999999999996</v>
      </c>
      <c r="OD28">
        <v>96.43</v>
      </c>
      <c r="OE28">
        <v>96.41</v>
      </c>
      <c r="OF28">
        <v>96.375</v>
      </c>
      <c r="OG28">
        <v>96.41</v>
      </c>
      <c r="OH28">
        <v>96.385000000000005</v>
      </c>
      <c r="OI28">
        <v>96.284999999999997</v>
      </c>
      <c r="OJ28">
        <v>96.135000000000005</v>
      </c>
      <c r="OK28">
        <v>96.08</v>
      </c>
      <c r="OL28">
        <v>96.075000000000003</v>
      </c>
      <c r="OM28">
        <v>96.185000000000002</v>
      </c>
      <c r="ON28">
        <v>96.18</v>
      </c>
      <c r="OO28">
        <v>96.114999999999995</v>
      </c>
      <c r="OP28">
        <v>95.98</v>
      </c>
      <c r="OQ28">
        <v>96.01</v>
      </c>
      <c r="OR28">
        <v>95.894999999999996</v>
      </c>
      <c r="OS28">
        <v>95.98</v>
      </c>
      <c r="OT28">
        <v>95.905000000000001</v>
      </c>
      <c r="OU28">
        <v>95.9</v>
      </c>
      <c r="OV28">
        <v>95.784999999999997</v>
      </c>
      <c r="OW28">
        <v>95.855000000000004</v>
      </c>
      <c r="OX28">
        <v>95.855000000000004</v>
      </c>
      <c r="OY28">
        <v>95.844999999999999</v>
      </c>
      <c r="OZ28">
        <v>95.864999999999995</v>
      </c>
      <c r="PA28">
        <v>95.82</v>
      </c>
      <c r="PB28">
        <v>95.8</v>
      </c>
      <c r="PC28">
        <v>95.704999999999998</v>
      </c>
      <c r="PD28">
        <v>95.79</v>
      </c>
      <c r="PE28">
        <v>95.62</v>
      </c>
      <c r="PF28">
        <v>95.614999999999995</v>
      </c>
      <c r="PG28">
        <v>95.6</v>
      </c>
      <c r="PH28">
        <v>95.73</v>
      </c>
      <c r="PI28">
        <v>95.644999999999996</v>
      </c>
      <c r="PJ28">
        <v>95.53</v>
      </c>
      <c r="PK28">
        <v>95.64</v>
      </c>
      <c r="PL28">
        <v>95.52</v>
      </c>
      <c r="PM28">
        <v>95.39</v>
      </c>
      <c r="PN28">
        <v>95.3</v>
      </c>
      <c r="PO28">
        <v>95.29</v>
      </c>
      <c r="PP28">
        <v>95.3</v>
      </c>
      <c r="PQ28">
        <v>95.305000000000007</v>
      </c>
      <c r="PR28">
        <v>95.194999999999993</v>
      </c>
      <c r="PS28">
        <v>95.334999999999994</v>
      </c>
      <c r="PT28">
        <v>95.33</v>
      </c>
      <c r="PU28">
        <v>95.224999999999994</v>
      </c>
      <c r="PV28">
        <v>95.15</v>
      </c>
      <c r="PW28">
        <v>95.28</v>
      </c>
      <c r="PX28">
        <v>95.325000000000003</v>
      </c>
      <c r="PY28">
        <v>95.454999999999998</v>
      </c>
      <c r="PZ28">
        <v>95.53</v>
      </c>
      <c r="QA28">
        <v>95.424999999999997</v>
      </c>
      <c r="QB28">
        <v>95.54</v>
      </c>
      <c r="QC28">
        <v>95.45</v>
      </c>
      <c r="QD28">
        <v>95.43</v>
      </c>
      <c r="QE28">
        <v>95.305000000000007</v>
      </c>
      <c r="QF28">
        <v>95.364999999999995</v>
      </c>
      <c r="QG28">
        <v>95.34</v>
      </c>
      <c r="QH28">
        <v>95.284999999999997</v>
      </c>
      <c r="QI28">
        <v>95.415000000000006</v>
      </c>
      <c r="QJ28">
        <v>95.57</v>
      </c>
      <c r="QK28">
        <v>95.545000000000002</v>
      </c>
      <c r="QL28">
        <v>95.56</v>
      </c>
      <c r="QM28">
        <v>95.635000000000005</v>
      </c>
      <c r="QN28">
        <v>95.644999999999996</v>
      </c>
      <c r="QO28">
        <v>95.795000000000002</v>
      </c>
      <c r="QP28">
        <v>95.765000000000001</v>
      </c>
      <c r="QQ28">
        <v>95.93</v>
      </c>
      <c r="QR28">
        <v>95.93</v>
      </c>
      <c r="QS28">
        <v>95.965000000000003</v>
      </c>
      <c r="QT28">
        <v>95.944999999999993</v>
      </c>
      <c r="QU28">
        <v>95.98</v>
      </c>
      <c r="QV28">
        <v>96.034999999999997</v>
      </c>
      <c r="QW28">
        <v>96.015000000000001</v>
      </c>
      <c r="QX28">
        <v>95.97</v>
      </c>
      <c r="QY28">
        <v>96.01</v>
      </c>
      <c r="QZ28">
        <v>96</v>
      </c>
      <c r="RA28">
        <v>95.984999999999999</v>
      </c>
      <c r="RB28">
        <v>95.98</v>
      </c>
      <c r="RC28">
        <v>96.05</v>
      </c>
      <c r="RD28">
        <v>96.05</v>
      </c>
      <c r="RE28">
        <v>96.144999999999996</v>
      </c>
      <c r="RF28">
        <v>96.12</v>
      </c>
      <c r="RG28">
        <v>96.125</v>
      </c>
      <c r="RH28">
        <v>96.08</v>
      </c>
      <c r="RI28">
        <v>96.04</v>
      </c>
      <c r="RJ28">
        <v>96.034999999999997</v>
      </c>
      <c r="RK28">
        <v>96.06</v>
      </c>
      <c r="RL28">
        <v>95.91</v>
      </c>
      <c r="RM28">
        <v>95.88</v>
      </c>
      <c r="RN28">
        <v>95.974999999999994</v>
      </c>
      <c r="RO28">
        <v>95.9</v>
      </c>
      <c r="RP28">
        <v>95.984999999999999</v>
      </c>
      <c r="RQ28">
        <v>96.02</v>
      </c>
      <c r="RR28">
        <v>96.08</v>
      </c>
      <c r="RS28">
        <v>96.055000000000007</v>
      </c>
      <c r="RT28">
        <v>96.144999999999996</v>
      </c>
      <c r="RU28">
        <v>96.25</v>
      </c>
      <c r="RV28">
        <v>96.215000000000003</v>
      </c>
      <c r="RW28">
        <v>96.15</v>
      </c>
      <c r="RX28">
        <v>96.16</v>
      </c>
      <c r="RY28">
        <v>96.015000000000001</v>
      </c>
      <c r="RZ28">
        <v>96.17</v>
      </c>
      <c r="SA28">
        <v>96.224999999999994</v>
      </c>
      <c r="SB28">
        <v>96.314999999999998</v>
      </c>
      <c r="SC28">
        <v>96.31</v>
      </c>
      <c r="SD28">
        <v>96.265000000000001</v>
      </c>
      <c r="SE28">
        <v>96.435000000000002</v>
      </c>
      <c r="SF28">
        <v>96.385000000000005</v>
      </c>
      <c r="SG28">
        <v>96.444999999999993</v>
      </c>
      <c r="SH28">
        <v>96.454999999999998</v>
      </c>
      <c r="SI28">
        <v>96.435000000000002</v>
      </c>
      <c r="SJ28">
        <v>96.555000000000007</v>
      </c>
      <c r="SK28">
        <v>96.515000000000001</v>
      </c>
      <c r="SL28">
        <v>96.5</v>
      </c>
      <c r="SM28">
        <v>96.46</v>
      </c>
      <c r="SN28">
        <v>96.47</v>
      </c>
      <c r="SO28">
        <v>96.44</v>
      </c>
      <c r="SP28">
        <v>96.35</v>
      </c>
      <c r="SQ28">
        <v>96.284999999999997</v>
      </c>
      <c r="SR28">
        <v>96.245000000000005</v>
      </c>
      <c r="SS28">
        <v>96.3</v>
      </c>
      <c r="ST28">
        <v>96.43</v>
      </c>
      <c r="SU28">
        <v>96.534999999999997</v>
      </c>
      <c r="SV28">
        <v>96.534999999999997</v>
      </c>
      <c r="SW28">
        <v>96.57</v>
      </c>
      <c r="SX28">
        <v>96.504999999999995</v>
      </c>
      <c r="SY28">
        <v>96.65</v>
      </c>
      <c r="SZ28">
        <v>96.594999999999999</v>
      </c>
      <c r="TA28">
        <v>96.625</v>
      </c>
      <c r="TB28">
        <v>96.594999999999999</v>
      </c>
      <c r="TC28">
        <v>96.525000000000006</v>
      </c>
      <c r="TD28">
        <v>96.6</v>
      </c>
      <c r="TE28">
        <v>96.62</v>
      </c>
      <c r="TF28">
        <v>96.55</v>
      </c>
      <c r="TG28">
        <v>96.55</v>
      </c>
      <c r="TH28">
        <v>96.584999999999994</v>
      </c>
      <c r="TI28">
        <v>96.515000000000001</v>
      </c>
      <c r="TJ28">
        <v>96.435000000000002</v>
      </c>
      <c r="TK28">
        <v>96.51</v>
      </c>
      <c r="TL28">
        <v>96.515000000000001</v>
      </c>
      <c r="TM28">
        <v>96.52</v>
      </c>
      <c r="TN28">
        <v>96.444999999999993</v>
      </c>
      <c r="TO28">
        <v>96.55</v>
      </c>
      <c r="TP28">
        <v>96.53</v>
      </c>
      <c r="TQ28">
        <v>96.5</v>
      </c>
      <c r="TR28">
        <v>96.6</v>
      </c>
      <c r="TS28">
        <v>96.584999999999994</v>
      </c>
      <c r="TT28">
        <v>96.54</v>
      </c>
      <c r="TU28">
        <v>96.43</v>
      </c>
      <c r="TV28">
        <v>96.43</v>
      </c>
      <c r="TW28">
        <v>96.415000000000006</v>
      </c>
      <c r="TX28">
        <v>96.5</v>
      </c>
      <c r="TY28">
        <v>96.515000000000001</v>
      </c>
      <c r="TZ28">
        <v>96.484999999999999</v>
      </c>
      <c r="UA28">
        <v>96.474999999999994</v>
      </c>
      <c r="UB28">
        <v>96.525000000000006</v>
      </c>
      <c r="UC28">
        <v>96.584999999999994</v>
      </c>
      <c r="UD28">
        <v>96.6</v>
      </c>
      <c r="UE28">
        <v>96.655000000000001</v>
      </c>
      <c r="UF28">
        <v>96.694999999999993</v>
      </c>
      <c r="UG28">
        <v>96.734999999999999</v>
      </c>
      <c r="UH28">
        <v>96.69</v>
      </c>
      <c r="UI28">
        <v>96.625</v>
      </c>
      <c r="UJ28">
        <v>96.63</v>
      </c>
      <c r="UK28">
        <v>96.674999999999997</v>
      </c>
      <c r="UL28">
        <v>96.745000000000005</v>
      </c>
      <c r="UM28">
        <v>96.724999999999994</v>
      </c>
      <c r="UN28">
        <v>96.72</v>
      </c>
      <c r="UO28">
        <v>96.59</v>
      </c>
      <c r="UP28">
        <v>96.715000000000003</v>
      </c>
      <c r="UQ28">
        <v>96.685000000000002</v>
      </c>
      <c r="UR28">
        <v>96.76</v>
      </c>
      <c r="US28">
        <v>96.81</v>
      </c>
      <c r="UT28">
        <v>96.75</v>
      </c>
      <c r="UU28">
        <v>96.694999999999993</v>
      </c>
      <c r="UV28">
        <v>96.74</v>
      </c>
      <c r="UW28">
        <v>96.69</v>
      </c>
      <c r="UX28">
        <v>96.71</v>
      </c>
      <c r="UY28">
        <v>96.67</v>
      </c>
      <c r="UZ28">
        <v>96.73</v>
      </c>
      <c r="VA28">
        <v>96.784999999999997</v>
      </c>
      <c r="VB28">
        <v>96.84</v>
      </c>
      <c r="VC28">
        <v>96.834999999999994</v>
      </c>
      <c r="VD28">
        <v>96.825000000000003</v>
      </c>
      <c r="VE28">
        <v>96.88</v>
      </c>
      <c r="VF28">
        <v>96.954999999999998</v>
      </c>
      <c r="VG28">
        <v>96.94</v>
      </c>
      <c r="VH28">
        <v>96.905000000000001</v>
      </c>
      <c r="VI28">
        <v>96.834999999999994</v>
      </c>
      <c r="VJ28">
        <v>96.78</v>
      </c>
      <c r="VK28">
        <v>96.745000000000005</v>
      </c>
      <c r="VL28">
        <v>96.72</v>
      </c>
      <c r="VM28">
        <v>96.71</v>
      </c>
      <c r="VN28">
        <v>96.74</v>
      </c>
      <c r="VO28">
        <v>96.86</v>
      </c>
      <c r="VP28">
        <v>96.82</v>
      </c>
      <c r="VQ28">
        <v>96.77</v>
      </c>
      <c r="VR28">
        <v>96.715000000000003</v>
      </c>
      <c r="VS28">
        <v>96.754999999999995</v>
      </c>
      <c r="VT28">
        <v>96.834999999999994</v>
      </c>
      <c r="VU28">
        <v>96.65</v>
      </c>
      <c r="VV28">
        <v>96.715000000000003</v>
      </c>
      <c r="VW28">
        <v>96.644999999999996</v>
      </c>
      <c r="VX28">
        <v>96.72</v>
      </c>
      <c r="VY28">
        <v>96.7</v>
      </c>
      <c r="VZ28">
        <v>96.5</v>
      </c>
      <c r="WA28">
        <v>96.545000000000002</v>
      </c>
      <c r="WB28">
        <v>96.53</v>
      </c>
      <c r="WC28">
        <v>96.454999999999998</v>
      </c>
      <c r="WD28">
        <v>96.454999999999998</v>
      </c>
      <c r="WE28">
        <v>96.33</v>
      </c>
      <c r="WF28">
        <v>96.435000000000002</v>
      </c>
      <c r="WG28">
        <v>96.52</v>
      </c>
      <c r="WH28">
        <v>96.52</v>
      </c>
      <c r="WI28">
        <v>96.48</v>
      </c>
      <c r="WJ28">
        <v>96.53</v>
      </c>
      <c r="WK28">
        <v>96.48</v>
      </c>
      <c r="WL28">
        <v>96.444999999999993</v>
      </c>
      <c r="WM28">
        <v>96.594999999999999</v>
      </c>
      <c r="WN28">
        <v>96.594999999999999</v>
      </c>
      <c r="WO28">
        <v>96.575000000000003</v>
      </c>
      <c r="WP28">
        <v>96.614999999999995</v>
      </c>
      <c r="WQ28">
        <v>96.68</v>
      </c>
      <c r="WR28">
        <v>96.67</v>
      </c>
      <c r="WS28">
        <v>96.64</v>
      </c>
      <c r="WT28">
        <v>96.704999999999998</v>
      </c>
      <c r="WU28">
        <v>96.724999999999994</v>
      </c>
      <c r="WV28">
        <v>96.704999999999998</v>
      </c>
      <c r="WW28">
        <v>96.73</v>
      </c>
      <c r="WX28">
        <v>96.805000000000007</v>
      </c>
      <c r="WY28">
        <v>96.905000000000001</v>
      </c>
      <c r="WZ28">
        <v>96.935000000000002</v>
      </c>
      <c r="XA28">
        <v>96.81</v>
      </c>
      <c r="XB28">
        <v>96.78</v>
      </c>
      <c r="XC28">
        <v>96.814999999999998</v>
      </c>
      <c r="XD28">
        <v>96.864999999999995</v>
      </c>
      <c r="XE28">
        <v>96.88</v>
      </c>
      <c r="XF28">
        <v>96.88</v>
      </c>
      <c r="XG28">
        <v>96.805000000000007</v>
      </c>
      <c r="XH28">
        <v>96.844999999999999</v>
      </c>
      <c r="XI28">
        <v>96.935000000000002</v>
      </c>
      <c r="XJ28">
        <v>96.965000000000003</v>
      </c>
      <c r="XK28">
        <v>96.83</v>
      </c>
      <c r="XL28">
        <v>96.875</v>
      </c>
      <c r="XM28">
        <v>96.875</v>
      </c>
      <c r="XN28">
        <v>96.9</v>
      </c>
      <c r="XO28">
        <v>96.805000000000007</v>
      </c>
      <c r="XP28">
        <v>96.75</v>
      </c>
      <c r="XQ28">
        <v>96.864999999999995</v>
      </c>
      <c r="XR28">
        <v>96.82</v>
      </c>
      <c r="XS28">
        <v>96.665000000000006</v>
      </c>
      <c r="XT28">
        <v>96.65</v>
      </c>
      <c r="XU28">
        <v>96.55</v>
      </c>
      <c r="XV28">
        <v>96.48</v>
      </c>
      <c r="XW28">
        <v>96.48</v>
      </c>
      <c r="XX28">
        <v>96.44</v>
      </c>
      <c r="XY28">
        <v>96.385000000000005</v>
      </c>
      <c r="XZ28">
        <v>96.47</v>
      </c>
      <c r="YA28">
        <v>96.555000000000007</v>
      </c>
      <c r="YB28">
        <v>96.555000000000007</v>
      </c>
      <c r="YC28">
        <v>96.584999999999994</v>
      </c>
      <c r="YD28">
        <v>96.56</v>
      </c>
      <c r="YE28">
        <v>96.614999999999995</v>
      </c>
      <c r="YF28">
        <v>96.754999999999995</v>
      </c>
      <c r="YG28">
        <v>96.85</v>
      </c>
      <c r="YH28">
        <v>96.915000000000006</v>
      </c>
      <c r="YI28">
        <v>96.855000000000004</v>
      </c>
      <c r="YJ28">
        <v>96.855000000000004</v>
      </c>
      <c r="YK28">
        <v>96.754999999999995</v>
      </c>
      <c r="YL28">
        <v>96.79</v>
      </c>
      <c r="YM28">
        <v>96.88</v>
      </c>
      <c r="YN28">
        <v>96.99</v>
      </c>
      <c r="YO28">
        <v>96.88</v>
      </c>
      <c r="YP28">
        <v>96.784999999999997</v>
      </c>
      <c r="YQ28">
        <v>96.885000000000005</v>
      </c>
      <c r="YR28">
        <v>96.84</v>
      </c>
      <c r="YS28">
        <v>96.68</v>
      </c>
      <c r="YT28">
        <v>96.65</v>
      </c>
      <c r="YU28">
        <v>96.694999999999993</v>
      </c>
      <c r="YV28">
        <v>96.68</v>
      </c>
      <c r="YW28">
        <v>96.665000000000006</v>
      </c>
      <c r="YX28">
        <v>96.665000000000006</v>
      </c>
      <c r="YY28">
        <v>96.594999999999999</v>
      </c>
      <c r="YZ28">
        <v>96.495000000000005</v>
      </c>
      <c r="ZA28">
        <v>96.474999999999994</v>
      </c>
      <c r="ZB28">
        <v>96.545000000000002</v>
      </c>
      <c r="ZC28">
        <v>96.6</v>
      </c>
      <c r="ZD28">
        <v>96.474999999999994</v>
      </c>
      <c r="ZE28">
        <v>96.4</v>
      </c>
      <c r="ZF28">
        <v>96.45</v>
      </c>
      <c r="ZG28">
        <v>96.435000000000002</v>
      </c>
      <c r="ZH28">
        <v>96.14</v>
      </c>
      <c r="ZI28">
        <v>96.174999999999997</v>
      </c>
      <c r="ZJ28">
        <v>96.09</v>
      </c>
      <c r="ZK28">
        <v>96.105000000000004</v>
      </c>
      <c r="ZL28">
        <v>96.135000000000005</v>
      </c>
      <c r="ZM28">
        <v>96.144999999999996</v>
      </c>
      <c r="ZN28">
        <v>96.125</v>
      </c>
      <c r="ZO28">
        <v>96.084999999999994</v>
      </c>
      <c r="ZP28">
        <v>96.114999999999995</v>
      </c>
      <c r="ZQ28">
        <v>96.21</v>
      </c>
      <c r="ZR28">
        <v>96.15</v>
      </c>
      <c r="ZS28">
        <v>96.06</v>
      </c>
      <c r="ZT28">
        <v>95.92</v>
      </c>
      <c r="ZU28">
        <v>95.97</v>
      </c>
      <c r="ZV28">
        <v>96.02</v>
      </c>
      <c r="ZW28">
        <v>96.13</v>
      </c>
      <c r="ZX28">
        <v>96.254999999999995</v>
      </c>
      <c r="ZY28">
        <v>96.234999999999999</v>
      </c>
      <c r="ZZ28">
        <v>96.25</v>
      </c>
      <c r="AAA28">
        <v>96.295000000000002</v>
      </c>
      <c r="AAB28">
        <v>96.28</v>
      </c>
      <c r="AAC28">
        <v>96.24</v>
      </c>
      <c r="AAD28">
        <v>96.19</v>
      </c>
      <c r="AAE28">
        <v>96.284999999999997</v>
      </c>
      <c r="AAF28">
        <v>96.33</v>
      </c>
      <c r="AAG28">
        <v>96.375</v>
      </c>
      <c r="AAH28">
        <v>96.525000000000006</v>
      </c>
      <c r="AAI28">
        <v>96.44</v>
      </c>
      <c r="AAJ28">
        <v>96.284999999999997</v>
      </c>
      <c r="AAK28">
        <v>96.35</v>
      </c>
      <c r="AAL28">
        <v>96.394999999999996</v>
      </c>
      <c r="AAM28">
        <v>96.25</v>
      </c>
      <c r="AAN28">
        <v>96.375</v>
      </c>
      <c r="AAO28">
        <v>96.56</v>
      </c>
      <c r="AAP28">
        <v>96.46</v>
      </c>
      <c r="AAQ28">
        <v>96.635000000000005</v>
      </c>
      <c r="AAR28">
        <v>96.57</v>
      </c>
      <c r="AAS28">
        <v>96.66</v>
      </c>
      <c r="AAT28">
        <v>96.665000000000006</v>
      </c>
      <c r="AAU28">
        <v>96.69</v>
      </c>
      <c r="AAV28">
        <v>96.77</v>
      </c>
      <c r="AAW28">
        <v>96.74</v>
      </c>
      <c r="AAX28">
        <v>96.73</v>
      </c>
      <c r="AAY28">
        <v>96.79</v>
      </c>
      <c r="AAZ28">
        <v>96.795000000000002</v>
      </c>
      <c r="ABA28">
        <v>96.825000000000003</v>
      </c>
      <c r="ABB28">
        <v>96.72</v>
      </c>
      <c r="ABC28">
        <v>96.89</v>
      </c>
      <c r="ABD28">
        <v>96.89</v>
      </c>
      <c r="ABE28">
        <v>96.85</v>
      </c>
      <c r="ABF28">
        <v>97.03</v>
      </c>
      <c r="ABG28">
        <v>97.07</v>
      </c>
      <c r="ABH28">
        <v>97.025000000000006</v>
      </c>
      <c r="ABI28">
        <v>97.135000000000005</v>
      </c>
      <c r="ABJ28">
        <v>97.15</v>
      </c>
      <c r="ABK28">
        <v>97.06</v>
      </c>
      <c r="ABL28">
        <v>97.14</v>
      </c>
      <c r="ABM28">
        <v>97.174999999999997</v>
      </c>
      <c r="ABN28">
        <v>97.194999999999993</v>
      </c>
      <c r="ABO28">
        <v>97.325000000000003</v>
      </c>
      <c r="ABP28">
        <v>97.31</v>
      </c>
      <c r="ABQ28">
        <v>97.385000000000005</v>
      </c>
      <c r="ABR28">
        <v>97.36</v>
      </c>
      <c r="ABS28">
        <v>97.275000000000006</v>
      </c>
      <c r="ABT28">
        <v>97.22</v>
      </c>
      <c r="ABU28">
        <v>97.39</v>
      </c>
      <c r="ABV28">
        <v>97.424999999999997</v>
      </c>
      <c r="ABW28">
        <v>97.405000000000001</v>
      </c>
      <c r="ABX28">
        <v>97.314999999999998</v>
      </c>
      <c r="ABY28">
        <v>97.454999999999998</v>
      </c>
      <c r="ABZ28">
        <v>97.375</v>
      </c>
      <c r="ACA28">
        <v>97.37</v>
      </c>
      <c r="ACB28">
        <v>97.43</v>
      </c>
      <c r="ACC28">
        <v>97.36</v>
      </c>
      <c r="ACD28">
        <v>97.31</v>
      </c>
      <c r="ACE28">
        <v>97.265000000000001</v>
      </c>
      <c r="ACF28">
        <v>97.21</v>
      </c>
      <c r="ACG28">
        <v>97.174999999999997</v>
      </c>
      <c r="ACH28">
        <v>97.24</v>
      </c>
      <c r="ACI28">
        <v>97.135000000000005</v>
      </c>
      <c r="ACJ28">
        <v>97.025000000000006</v>
      </c>
      <c r="ACK28">
        <v>97.06</v>
      </c>
      <c r="ACL28">
        <v>97.1</v>
      </c>
      <c r="ACM28">
        <v>97.125</v>
      </c>
      <c r="ACN28">
        <v>97.06</v>
      </c>
      <c r="ACO28">
        <v>97.094999999999999</v>
      </c>
      <c r="ACP28">
        <v>96.974999999999994</v>
      </c>
      <c r="ACQ28">
        <v>96.924999999999997</v>
      </c>
      <c r="ACR28">
        <v>96.78</v>
      </c>
      <c r="ACS28">
        <v>96.864999999999995</v>
      </c>
      <c r="ACT28">
        <v>96.98</v>
      </c>
      <c r="ACU28">
        <v>97.064999999999998</v>
      </c>
      <c r="ACV28">
        <v>96.99</v>
      </c>
      <c r="ACW28">
        <v>96.99</v>
      </c>
      <c r="ACX28">
        <v>96.96</v>
      </c>
      <c r="ACY28">
        <v>96.844999999999999</v>
      </c>
      <c r="ACZ28">
        <v>96.745000000000005</v>
      </c>
      <c r="ADA28">
        <v>96.76</v>
      </c>
      <c r="ADB28">
        <v>96.814999999999998</v>
      </c>
      <c r="ADC28">
        <v>96.91</v>
      </c>
      <c r="ADD28">
        <v>96.81</v>
      </c>
      <c r="ADE28">
        <v>96.68</v>
      </c>
      <c r="ADF28">
        <v>96.78</v>
      </c>
      <c r="ADG28">
        <v>96.78</v>
      </c>
      <c r="ADH28">
        <v>96.7</v>
      </c>
      <c r="ADI28">
        <v>96.6</v>
      </c>
      <c r="ADJ28">
        <v>96.575000000000003</v>
      </c>
      <c r="ADK28">
        <v>96.67</v>
      </c>
      <c r="ADL28">
        <v>96.88</v>
      </c>
      <c r="ADM28">
        <v>96.94</v>
      </c>
      <c r="ADN28">
        <v>96.94</v>
      </c>
      <c r="ADO28">
        <v>96.995000000000005</v>
      </c>
      <c r="ADP28">
        <v>96.894999999999996</v>
      </c>
      <c r="ADQ28">
        <v>97</v>
      </c>
      <c r="ADR28">
        <v>97.05</v>
      </c>
      <c r="ADS28">
        <v>97.004999999999995</v>
      </c>
      <c r="ADT28">
        <v>97.055000000000007</v>
      </c>
      <c r="ADU28">
        <v>97.144999999999996</v>
      </c>
      <c r="ADV28">
        <v>97.144999999999996</v>
      </c>
      <c r="ADW28">
        <v>97.125</v>
      </c>
      <c r="ADX28">
        <v>97.16</v>
      </c>
      <c r="ADY28">
        <v>97.165000000000006</v>
      </c>
      <c r="ADZ28">
        <v>97.135000000000005</v>
      </c>
      <c r="AEA28">
        <v>97.194999999999993</v>
      </c>
      <c r="AEB28">
        <v>97.105000000000004</v>
      </c>
      <c r="AEC28">
        <v>97.07</v>
      </c>
      <c r="AED28">
        <v>96.935000000000002</v>
      </c>
      <c r="AEE28">
        <v>97.01</v>
      </c>
      <c r="AEF28">
        <v>96.954999999999998</v>
      </c>
      <c r="AEG28">
        <v>97.07</v>
      </c>
      <c r="AEH28">
        <v>96.984999999999999</v>
      </c>
      <c r="AEI28">
        <v>96.86</v>
      </c>
      <c r="AEJ28">
        <v>96.754999999999995</v>
      </c>
      <c r="AEK28">
        <v>96.72</v>
      </c>
      <c r="AEL28">
        <v>96.82</v>
      </c>
      <c r="AEM28">
        <v>96.98</v>
      </c>
      <c r="AEN28">
        <v>96.995000000000005</v>
      </c>
      <c r="AEO28">
        <v>96.93</v>
      </c>
      <c r="AEP28">
        <v>97.075000000000003</v>
      </c>
      <c r="AEQ28">
        <v>97.08</v>
      </c>
      <c r="AER28">
        <v>97.14</v>
      </c>
      <c r="AES28">
        <v>97.21</v>
      </c>
      <c r="AET28">
        <v>97.194999999999993</v>
      </c>
      <c r="AEU28">
        <v>97.11</v>
      </c>
      <c r="AEV28">
        <v>97.07</v>
      </c>
      <c r="AEW28">
        <v>97.135000000000005</v>
      </c>
      <c r="AEX28">
        <v>97.034999999999997</v>
      </c>
      <c r="AEY28">
        <v>97.07</v>
      </c>
      <c r="AEZ28">
        <v>97.16</v>
      </c>
      <c r="AFA28">
        <v>97.16</v>
      </c>
      <c r="AFB28">
        <v>97.295000000000002</v>
      </c>
      <c r="AFC28">
        <v>97.24</v>
      </c>
      <c r="AFD28">
        <v>97.215000000000003</v>
      </c>
      <c r="AFE28">
        <v>97.34</v>
      </c>
      <c r="AFF28">
        <v>97.435000000000002</v>
      </c>
      <c r="AFG28">
        <v>97.57</v>
      </c>
      <c r="AFH28">
        <v>97.68</v>
      </c>
      <c r="AFI28">
        <v>97.83</v>
      </c>
      <c r="AFJ28">
        <v>97.85</v>
      </c>
      <c r="AFK28">
        <v>97.87</v>
      </c>
      <c r="AFL28">
        <v>97.825000000000003</v>
      </c>
      <c r="AFM28">
        <v>97.765000000000001</v>
      </c>
      <c r="AFN28">
        <v>97.68</v>
      </c>
      <c r="AFO28">
        <v>97.65</v>
      </c>
      <c r="AFP28">
        <v>97.795000000000002</v>
      </c>
      <c r="AFQ28">
        <v>97.814999999999998</v>
      </c>
      <c r="AFR28">
        <v>97.76</v>
      </c>
      <c r="AFS28">
        <v>97.825000000000003</v>
      </c>
      <c r="AFT28">
        <v>97.97</v>
      </c>
      <c r="AFU28">
        <v>97.894999999999996</v>
      </c>
      <c r="AFV28">
        <v>97.875</v>
      </c>
      <c r="AFW28">
        <v>97.89</v>
      </c>
      <c r="AFX28">
        <v>97.915000000000006</v>
      </c>
      <c r="AFY28">
        <v>98.075000000000003</v>
      </c>
      <c r="AFZ28">
        <v>98.084999999999994</v>
      </c>
      <c r="AGA28">
        <v>98.16</v>
      </c>
      <c r="AGB28">
        <v>98.25</v>
      </c>
      <c r="AGC28">
        <v>98.364999999999995</v>
      </c>
      <c r="AGD28">
        <v>98.344999999999999</v>
      </c>
      <c r="AGE28">
        <v>98.21</v>
      </c>
      <c r="AGF28">
        <v>98.165000000000006</v>
      </c>
      <c r="AGG28">
        <v>98.305000000000007</v>
      </c>
      <c r="AGH28">
        <v>98.19</v>
      </c>
      <c r="AGI28">
        <v>98.05</v>
      </c>
      <c r="AGJ28">
        <v>98.06</v>
      </c>
      <c r="AGK28">
        <v>98.08</v>
      </c>
      <c r="AGL28">
        <v>98.12</v>
      </c>
      <c r="AGM28">
        <v>98.11</v>
      </c>
      <c r="AGN28">
        <v>98.11</v>
      </c>
      <c r="AGO28">
        <v>98.06</v>
      </c>
      <c r="AGP28">
        <v>97.97</v>
      </c>
      <c r="AGQ28">
        <v>97.98</v>
      </c>
      <c r="AGR28">
        <v>98.064999999999998</v>
      </c>
      <c r="AGS28">
        <v>98.114999999999995</v>
      </c>
      <c r="AGT28">
        <v>98.004999999999995</v>
      </c>
      <c r="AGU28">
        <v>98.075000000000003</v>
      </c>
      <c r="AGV28">
        <v>98.025000000000006</v>
      </c>
      <c r="AGW28">
        <v>98.064999999999998</v>
      </c>
      <c r="AGX28">
        <v>98.05</v>
      </c>
      <c r="AGY28">
        <v>98.155000000000001</v>
      </c>
      <c r="AGZ28">
        <v>98.215000000000003</v>
      </c>
      <c r="AHA28">
        <v>98.18</v>
      </c>
      <c r="AHB28">
        <v>98.19</v>
      </c>
      <c r="AHC28">
        <v>98.2</v>
      </c>
      <c r="AHD28">
        <v>98.16</v>
      </c>
      <c r="AHE28">
        <v>98.055000000000007</v>
      </c>
      <c r="AHF28">
        <v>98.12</v>
      </c>
      <c r="AHG28">
        <v>98.185000000000002</v>
      </c>
      <c r="AHH28">
        <v>98.165000000000006</v>
      </c>
      <c r="AHI28">
        <v>98.094999999999999</v>
      </c>
      <c r="AHJ28">
        <v>98.084999999999994</v>
      </c>
      <c r="AHK28">
        <v>98.03</v>
      </c>
      <c r="AHL28">
        <v>98.135000000000005</v>
      </c>
      <c r="AHM28">
        <v>98.135000000000005</v>
      </c>
      <c r="AHN28">
        <v>98.21</v>
      </c>
      <c r="AHO28">
        <v>98.18</v>
      </c>
      <c r="AHP28">
        <v>98.135000000000005</v>
      </c>
      <c r="AHQ28">
        <v>98.084999999999994</v>
      </c>
      <c r="AHR28">
        <v>98.09</v>
      </c>
      <c r="AHS28">
        <v>98.114999999999995</v>
      </c>
      <c r="AHT28">
        <v>98.14</v>
      </c>
      <c r="AHU28">
        <v>98.165000000000006</v>
      </c>
      <c r="AHV28">
        <v>98.22</v>
      </c>
      <c r="AHW28">
        <v>98.39</v>
      </c>
      <c r="AHX28">
        <v>98.375</v>
      </c>
      <c r="AHY28">
        <v>98.364999999999995</v>
      </c>
      <c r="AHZ28">
        <v>98.46</v>
      </c>
      <c r="AIA28">
        <v>98.435000000000002</v>
      </c>
      <c r="AIB28">
        <v>98.4</v>
      </c>
      <c r="AIC28">
        <v>98.4</v>
      </c>
      <c r="AID28">
        <v>98.424999999999997</v>
      </c>
      <c r="AIE28">
        <v>98.394999999999996</v>
      </c>
      <c r="AIF28">
        <v>98.49</v>
      </c>
      <c r="AIG28">
        <v>98.555000000000007</v>
      </c>
      <c r="AIH28">
        <v>98.52</v>
      </c>
      <c r="AII28">
        <v>98.48</v>
      </c>
      <c r="AIJ28">
        <v>98.465000000000003</v>
      </c>
      <c r="AIK28">
        <v>98.47</v>
      </c>
      <c r="AIL28">
        <v>98.405000000000001</v>
      </c>
      <c r="AIM28">
        <v>98.43</v>
      </c>
      <c r="AIN28">
        <v>98.39</v>
      </c>
      <c r="AIO28">
        <v>98.41</v>
      </c>
      <c r="AIP28">
        <v>98.45</v>
      </c>
      <c r="AIQ28">
        <v>98.6</v>
      </c>
      <c r="AIR28">
        <v>98.46</v>
      </c>
      <c r="AIS28">
        <v>98.45</v>
      </c>
      <c r="AIT28">
        <v>98.37</v>
      </c>
      <c r="AIU28">
        <v>98.25</v>
      </c>
      <c r="AIV28">
        <v>98.34</v>
      </c>
      <c r="AIW28">
        <v>98.165000000000006</v>
      </c>
      <c r="AIX28">
        <v>98.165000000000006</v>
      </c>
      <c r="AIY28">
        <v>98.125</v>
      </c>
      <c r="AIZ28">
        <v>98.19</v>
      </c>
      <c r="AJA28">
        <v>98.295000000000002</v>
      </c>
      <c r="AJB28">
        <v>98.224999999999994</v>
      </c>
      <c r="AJC28">
        <v>98.194999999999993</v>
      </c>
      <c r="AJD28">
        <v>98.17</v>
      </c>
      <c r="AJE28">
        <v>98.204999999999998</v>
      </c>
      <c r="AJF28">
        <v>98.25</v>
      </c>
      <c r="AJG28">
        <v>98.265000000000001</v>
      </c>
      <c r="AJH28">
        <v>98.295000000000002</v>
      </c>
      <c r="AJI28">
        <v>98.385000000000005</v>
      </c>
      <c r="AJJ28">
        <v>98.29</v>
      </c>
      <c r="AJK28">
        <v>98.314999999999998</v>
      </c>
      <c r="AJL28">
        <v>98.215000000000003</v>
      </c>
      <c r="AJM28">
        <v>98.185000000000002</v>
      </c>
      <c r="AJN28">
        <v>98.204999999999998</v>
      </c>
      <c r="AJO28">
        <v>98.24</v>
      </c>
      <c r="AJP28">
        <v>98.28</v>
      </c>
      <c r="AJQ28">
        <v>98.245000000000005</v>
      </c>
      <c r="AJR28">
        <v>98.26</v>
      </c>
      <c r="AJS28">
        <v>98.09</v>
      </c>
      <c r="AJT28">
        <v>98.08</v>
      </c>
      <c r="AJU28">
        <v>98.064999999999998</v>
      </c>
      <c r="AJV28">
        <v>98.01</v>
      </c>
      <c r="AJW28">
        <v>98.045000000000002</v>
      </c>
      <c r="AJX28">
        <v>98.07</v>
      </c>
      <c r="AJY28">
        <v>98.165000000000006</v>
      </c>
      <c r="AJZ28">
        <v>98.144999999999996</v>
      </c>
      <c r="AKA28">
        <v>98.2</v>
      </c>
      <c r="AKB28">
        <v>98.16</v>
      </c>
      <c r="AKC28">
        <v>98.06</v>
      </c>
      <c r="AKD28">
        <v>97.974999999999994</v>
      </c>
      <c r="AKE28">
        <v>97.97</v>
      </c>
      <c r="AKF28">
        <v>98.02</v>
      </c>
      <c r="AKG28">
        <v>98.08</v>
      </c>
      <c r="AKH28">
        <v>98.06</v>
      </c>
      <c r="AKI28">
        <v>98.11</v>
      </c>
      <c r="AKJ28">
        <v>98.084999999999994</v>
      </c>
      <c r="AKK28">
        <v>98.025000000000006</v>
      </c>
      <c r="AKL28">
        <v>98.015000000000001</v>
      </c>
      <c r="AKM28">
        <v>98.03</v>
      </c>
      <c r="AKN28">
        <v>98.12</v>
      </c>
      <c r="AKO28">
        <v>98.17</v>
      </c>
      <c r="AKP28">
        <v>98.25</v>
      </c>
      <c r="AKQ28">
        <v>98.344999999999999</v>
      </c>
      <c r="AKR28">
        <v>98.3</v>
      </c>
      <c r="AKS28">
        <v>98.305000000000007</v>
      </c>
      <c r="AKT28">
        <v>98.23</v>
      </c>
      <c r="AKU28">
        <v>98.3</v>
      </c>
      <c r="AKV28">
        <v>98.34</v>
      </c>
      <c r="AKW28">
        <v>98.42</v>
      </c>
      <c r="AKX28">
        <v>98.344999999999999</v>
      </c>
      <c r="AKY28">
        <v>98.314999999999998</v>
      </c>
      <c r="AKZ28">
        <v>98.385000000000005</v>
      </c>
      <c r="ALA28">
        <v>98.35</v>
      </c>
      <c r="ALB28">
        <v>98.3</v>
      </c>
      <c r="ALC28">
        <v>98.35</v>
      </c>
      <c r="ALD28">
        <v>98.35</v>
      </c>
      <c r="ALE28">
        <v>98.405000000000001</v>
      </c>
      <c r="ALF28">
        <v>98.394999999999996</v>
      </c>
      <c r="ALG28">
        <v>98.38</v>
      </c>
      <c r="ALH28">
        <v>98.415000000000006</v>
      </c>
      <c r="ALI28">
        <v>98.394999999999996</v>
      </c>
      <c r="ALJ28">
        <v>98.364999999999995</v>
      </c>
      <c r="ALK28">
        <v>98.375</v>
      </c>
      <c r="ALL28">
        <v>98.45</v>
      </c>
      <c r="ALM28">
        <v>98.5</v>
      </c>
      <c r="ALN28">
        <v>98.49</v>
      </c>
      <c r="ALO28">
        <v>98.515000000000001</v>
      </c>
      <c r="ALP28">
        <v>98.465000000000003</v>
      </c>
      <c r="ALQ28">
        <v>98.504999999999995</v>
      </c>
      <c r="ALR28">
        <v>98.51</v>
      </c>
      <c r="ALS28">
        <v>98.46</v>
      </c>
      <c r="ALT28">
        <v>98.37</v>
      </c>
      <c r="ALU28">
        <v>98.385000000000005</v>
      </c>
      <c r="ALV28">
        <v>98.405000000000001</v>
      </c>
      <c r="ALW28">
        <v>98.42</v>
      </c>
      <c r="ALX28">
        <v>98.454999999999998</v>
      </c>
      <c r="ALY28">
        <v>98.55</v>
      </c>
      <c r="ALZ28">
        <v>98.57</v>
      </c>
      <c r="AMA28">
        <v>98.57</v>
      </c>
      <c r="AMB28">
        <v>98.575000000000003</v>
      </c>
      <c r="AMC28">
        <v>98.48</v>
      </c>
      <c r="AMD28">
        <v>98.46</v>
      </c>
      <c r="AME28">
        <v>98.484999999999999</v>
      </c>
      <c r="AMF28">
        <v>98.51</v>
      </c>
      <c r="AMG28">
        <v>98.465000000000003</v>
      </c>
      <c r="AMH28">
        <v>98.45</v>
      </c>
      <c r="AMI28">
        <v>98.47</v>
      </c>
      <c r="AMJ28">
        <v>98.465000000000003</v>
      </c>
      <c r="AMK28">
        <v>98.57</v>
      </c>
      <c r="AML28">
        <v>98.644999999999996</v>
      </c>
      <c r="AMM28">
        <v>98.47</v>
      </c>
      <c r="AMN28">
        <v>98.47</v>
      </c>
      <c r="AMO28">
        <v>98.36</v>
      </c>
      <c r="AMP28">
        <v>98.27</v>
      </c>
      <c r="AMQ28">
        <v>98.34</v>
      </c>
      <c r="AMR28">
        <v>98.334999999999994</v>
      </c>
      <c r="AMS28">
        <v>98.43</v>
      </c>
      <c r="AMT28">
        <v>98.415000000000006</v>
      </c>
      <c r="AMU28">
        <v>98.355000000000004</v>
      </c>
      <c r="AMV28">
        <v>98.265000000000001</v>
      </c>
      <c r="AMW28">
        <v>98.265000000000001</v>
      </c>
      <c r="AMX28">
        <v>98.2</v>
      </c>
      <c r="AMY28">
        <v>98.234999999999999</v>
      </c>
      <c r="AMZ28">
        <v>98.17</v>
      </c>
      <c r="ANA28">
        <v>98.16</v>
      </c>
      <c r="ANB28">
        <v>98.075000000000003</v>
      </c>
      <c r="ANC28">
        <v>98.12</v>
      </c>
      <c r="AND28">
        <v>98.114999999999995</v>
      </c>
      <c r="ANE28">
        <v>98.15</v>
      </c>
      <c r="ANF28">
        <v>98.144999999999996</v>
      </c>
      <c r="ANG28">
        <v>98.204999999999998</v>
      </c>
      <c r="ANH28">
        <v>98.1</v>
      </c>
      <c r="ANI28">
        <v>97.96</v>
      </c>
      <c r="ANJ28">
        <v>98.06</v>
      </c>
      <c r="ANK28">
        <v>98.045000000000002</v>
      </c>
      <c r="ANL28">
        <v>98.03</v>
      </c>
      <c r="ANM28">
        <v>98.05</v>
      </c>
      <c r="ANN28">
        <v>98.015000000000001</v>
      </c>
      <c r="ANO28">
        <v>97.965000000000003</v>
      </c>
      <c r="ANP28">
        <v>97.92</v>
      </c>
      <c r="ANQ28">
        <v>97.91</v>
      </c>
      <c r="ANR28">
        <v>97.814999999999998</v>
      </c>
      <c r="ANS28">
        <v>97.864999999999995</v>
      </c>
      <c r="ANT28">
        <v>97.83</v>
      </c>
      <c r="ANU28">
        <v>97.875</v>
      </c>
      <c r="ANV28">
        <v>97.875</v>
      </c>
      <c r="ANW28">
        <v>97.864999999999995</v>
      </c>
      <c r="ANX28">
        <v>97.915000000000006</v>
      </c>
      <c r="ANY28">
        <v>97.93</v>
      </c>
      <c r="ANZ28">
        <v>97.88</v>
      </c>
      <c r="AOA28">
        <v>97.84</v>
      </c>
      <c r="AOB28">
        <v>97.844999999999999</v>
      </c>
      <c r="AOC28">
        <v>97.784999999999997</v>
      </c>
      <c r="AOD28">
        <v>97.825000000000003</v>
      </c>
      <c r="AOE28">
        <v>97.83</v>
      </c>
      <c r="AOF28">
        <v>97.84</v>
      </c>
      <c r="AOG28">
        <v>97.795000000000002</v>
      </c>
      <c r="AOH28">
        <v>97.74</v>
      </c>
      <c r="AOI28">
        <v>97.834999999999994</v>
      </c>
      <c r="AOJ28">
        <v>97.86</v>
      </c>
      <c r="AOK28">
        <v>97.89</v>
      </c>
      <c r="AOL28">
        <v>97.9</v>
      </c>
      <c r="AOM28">
        <v>97.86</v>
      </c>
      <c r="AON28">
        <v>97.834999999999994</v>
      </c>
      <c r="AOO28">
        <v>97.81</v>
      </c>
      <c r="AOP28">
        <v>97.775000000000006</v>
      </c>
      <c r="AOQ28">
        <v>97.775000000000006</v>
      </c>
      <c r="AOR28">
        <v>97.805000000000007</v>
      </c>
      <c r="AOS28">
        <v>97.814999999999998</v>
      </c>
      <c r="AOT28">
        <v>97.875</v>
      </c>
      <c r="AOU28">
        <v>97.885000000000005</v>
      </c>
      <c r="AOV28">
        <v>97.91</v>
      </c>
      <c r="AOW28">
        <v>97.894999999999996</v>
      </c>
      <c r="AOX28">
        <v>97.9</v>
      </c>
      <c r="AOY28">
        <v>97.875</v>
      </c>
      <c r="AOZ28">
        <v>97.89</v>
      </c>
      <c r="APA28">
        <v>97.93</v>
      </c>
      <c r="APB28">
        <v>97.784999999999997</v>
      </c>
      <c r="APC28">
        <v>97.775000000000006</v>
      </c>
      <c r="APD28">
        <v>97.68</v>
      </c>
      <c r="APE28">
        <v>97.69</v>
      </c>
      <c r="APF28">
        <v>97.72</v>
      </c>
      <c r="APG28">
        <v>97.69</v>
      </c>
      <c r="APH28">
        <v>97.665000000000006</v>
      </c>
      <c r="API28">
        <v>97.56</v>
      </c>
      <c r="APJ28">
        <v>97.545000000000002</v>
      </c>
      <c r="APK28">
        <v>97.61</v>
      </c>
      <c r="APL28">
        <v>97.504999999999995</v>
      </c>
      <c r="APM28">
        <v>97.54</v>
      </c>
      <c r="APN28">
        <v>97.564999999999998</v>
      </c>
      <c r="APO28">
        <v>97.644999999999996</v>
      </c>
      <c r="APP28">
        <v>97.704999999999998</v>
      </c>
      <c r="APQ28">
        <v>97.69</v>
      </c>
      <c r="APR28">
        <v>97.67</v>
      </c>
      <c r="APS28">
        <v>97.61</v>
      </c>
      <c r="APT28">
        <v>97.564999999999998</v>
      </c>
      <c r="APU28">
        <v>97.71</v>
      </c>
      <c r="APV28">
        <v>97.9</v>
      </c>
      <c r="APW28">
        <v>97.905000000000001</v>
      </c>
      <c r="APX28">
        <v>97.9</v>
      </c>
      <c r="APY28">
        <v>97.885000000000005</v>
      </c>
      <c r="APZ28">
        <v>97.954999999999998</v>
      </c>
      <c r="AQA28">
        <v>97.974999999999994</v>
      </c>
      <c r="AQB28">
        <v>97.944999999999993</v>
      </c>
      <c r="AQC28">
        <v>97.89</v>
      </c>
      <c r="AQD28">
        <v>97.954999999999998</v>
      </c>
      <c r="AQE28">
        <v>97.944999999999993</v>
      </c>
      <c r="AQF28">
        <v>98.01</v>
      </c>
      <c r="AQG28">
        <v>98.064999999999998</v>
      </c>
      <c r="AQH28">
        <v>98.025000000000006</v>
      </c>
      <c r="AQI28">
        <v>97.96</v>
      </c>
      <c r="AQJ28">
        <v>97.965000000000003</v>
      </c>
      <c r="AQK28">
        <v>98.07</v>
      </c>
      <c r="AQL28">
        <v>98.094999999999999</v>
      </c>
      <c r="AQM28">
        <v>98.084999999999994</v>
      </c>
      <c r="AQN28">
        <v>98.12</v>
      </c>
      <c r="AQO28">
        <v>98.165000000000006</v>
      </c>
      <c r="AQP28">
        <v>98.19</v>
      </c>
      <c r="AQQ28">
        <v>98.215000000000003</v>
      </c>
      <c r="AQR28">
        <v>98.334999999999994</v>
      </c>
      <c r="AQS28">
        <v>98.334999999999994</v>
      </c>
      <c r="AQT28">
        <v>98.42</v>
      </c>
      <c r="AQU28">
        <v>98.43</v>
      </c>
      <c r="AQV28">
        <v>98.415000000000006</v>
      </c>
      <c r="AQW28">
        <v>98.405000000000001</v>
      </c>
      <c r="AQX28">
        <v>98.424999999999997</v>
      </c>
      <c r="AQY28">
        <v>98.43</v>
      </c>
      <c r="AQZ28">
        <v>98.525000000000006</v>
      </c>
      <c r="ARA28">
        <v>98.54</v>
      </c>
      <c r="ARB28">
        <v>98.605000000000004</v>
      </c>
      <c r="ARC28">
        <v>98.605000000000004</v>
      </c>
      <c r="ARD28">
        <v>98.61</v>
      </c>
      <c r="ARE28">
        <v>98.61</v>
      </c>
      <c r="ARF28">
        <v>98.605000000000004</v>
      </c>
      <c r="ARG28">
        <v>98.61</v>
      </c>
      <c r="ARH28">
        <v>98.61</v>
      </c>
      <c r="ARI28">
        <v>98.605000000000004</v>
      </c>
      <c r="ARJ28">
        <v>98.62</v>
      </c>
      <c r="ARK28">
        <v>98.62</v>
      </c>
      <c r="ARL28">
        <v>98.61</v>
      </c>
      <c r="ARM28">
        <v>98.61</v>
      </c>
      <c r="ARN28">
        <v>98.64</v>
      </c>
      <c r="ARO28">
        <v>98.625</v>
      </c>
      <c r="ARP28">
        <v>98.6</v>
      </c>
      <c r="ARQ28">
        <v>98.605000000000004</v>
      </c>
      <c r="ARR28">
        <v>98.61</v>
      </c>
      <c r="ARS28">
        <v>98.65</v>
      </c>
      <c r="ART28">
        <v>98.82</v>
      </c>
      <c r="ARU28">
        <v>98.864999999999995</v>
      </c>
      <c r="ARV28">
        <v>98.875</v>
      </c>
      <c r="ARW28">
        <v>98.864999999999995</v>
      </c>
      <c r="ARX28">
        <v>98.864999999999995</v>
      </c>
      <c r="ARY28">
        <v>98.855000000000004</v>
      </c>
      <c r="ARZ28">
        <v>98.84</v>
      </c>
      <c r="ASA28">
        <v>98.834999999999994</v>
      </c>
      <c r="ASB28">
        <v>98.84</v>
      </c>
      <c r="ASC28">
        <v>98.84</v>
      </c>
      <c r="ASD28">
        <v>98.84</v>
      </c>
      <c r="ASE28">
        <v>98.844999999999999</v>
      </c>
      <c r="ASF28">
        <v>98.84</v>
      </c>
      <c r="ASG28">
        <v>98.84</v>
      </c>
      <c r="ASH28">
        <v>98.93</v>
      </c>
      <c r="ASI28">
        <v>98.94</v>
      </c>
      <c r="ASJ28">
        <v>98.99</v>
      </c>
      <c r="ASK28">
        <v>98.99</v>
      </c>
      <c r="ASL28">
        <v>98.99</v>
      </c>
      <c r="ASM28">
        <v>99.114999999999995</v>
      </c>
      <c r="ASN28">
        <v>99.495000000000005</v>
      </c>
      <c r="ASO28">
        <v>99.6</v>
      </c>
      <c r="ASP28">
        <v>99.6</v>
      </c>
      <c r="ASQ28">
        <v>99.61</v>
      </c>
      <c r="ASR28">
        <v>99.625</v>
      </c>
      <c r="ASS28">
        <v>99.63</v>
      </c>
      <c r="AST28">
        <v>99.635000000000005</v>
      </c>
      <c r="ASU28">
        <v>99.66</v>
      </c>
      <c r="ASV28">
        <v>99.665000000000006</v>
      </c>
      <c r="ASW28">
        <v>99.66</v>
      </c>
      <c r="ASX28">
        <v>99.66</v>
      </c>
      <c r="ASY28">
        <v>99.655000000000001</v>
      </c>
      <c r="ASZ28">
        <v>99.65</v>
      </c>
      <c r="ATA28">
        <v>99.665000000000006</v>
      </c>
      <c r="ATB28">
        <v>99.66</v>
      </c>
      <c r="ATC28">
        <v>99.66</v>
      </c>
      <c r="ATD28">
        <v>99.665000000000006</v>
      </c>
      <c r="ATE28">
        <v>99.655000000000001</v>
      </c>
      <c r="ATF28">
        <v>99.655000000000001</v>
      </c>
      <c r="ATG28">
        <v>99.65</v>
      </c>
      <c r="ATH28">
        <v>99.63</v>
      </c>
      <c r="ATI28">
        <v>99.63</v>
      </c>
      <c r="ATJ28">
        <v>99.665000000000006</v>
      </c>
      <c r="ATK28">
        <v>99.71</v>
      </c>
      <c r="ATL28">
        <v>99.715000000000003</v>
      </c>
      <c r="ATM28">
        <v>99.734999999999999</v>
      </c>
      <c r="ATN28">
        <v>99.704999999999998</v>
      </c>
      <c r="ATO28">
        <v>99.715000000000003</v>
      </c>
      <c r="ATP28">
        <v>99.71</v>
      </c>
      <c r="ATQ28">
        <v>99.715000000000003</v>
      </c>
      <c r="ATR28">
        <v>99.724999999999994</v>
      </c>
      <c r="ATS28">
        <v>99.724999999999994</v>
      </c>
      <c r="ATT28">
        <v>99.72</v>
      </c>
      <c r="ATU28">
        <v>99.71</v>
      </c>
      <c r="ATV28">
        <v>99.7</v>
      </c>
      <c r="ATW28">
        <v>99.724999999999994</v>
      </c>
      <c r="ATX28">
        <v>99.724999999999994</v>
      </c>
      <c r="ATY28">
        <v>99.734999999999999</v>
      </c>
      <c r="ATZ28">
        <v>99.745000000000005</v>
      </c>
      <c r="AUA28">
        <v>99.74</v>
      </c>
      <c r="AUB28">
        <v>99.745000000000005</v>
      </c>
      <c r="AUC28">
        <v>99.74</v>
      </c>
      <c r="AUD28">
        <v>99.724999999999994</v>
      </c>
      <c r="AUE28">
        <v>99.72</v>
      </c>
      <c r="AUF28">
        <v>99.734999999999999</v>
      </c>
      <c r="AUG28">
        <v>99.73</v>
      </c>
      <c r="AUH28">
        <v>99.754999999999995</v>
      </c>
      <c r="AUI28">
        <v>99.754999999999995</v>
      </c>
      <c r="AUJ28">
        <v>99.805000000000007</v>
      </c>
      <c r="AUK28">
        <v>99.805000000000007</v>
      </c>
      <c r="AUL28">
        <v>99.805000000000007</v>
      </c>
      <c r="AUM28">
        <v>99.81</v>
      </c>
      <c r="AUN28">
        <v>99.81</v>
      </c>
      <c r="AUO28">
        <v>99.82</v>
      </c>
      <c r="AUP28">
        <v>99.82</v>
      </c>
      <c r="AUQ28">
        <v>99.825000000000003</v>
      </c>
      <c r="AUR28">
        <v>99.825000000000003</v>
      </c>
      <c r="AUS28">
        <v>99.814999999999998</v>
      </c>
      <c r="AUT28">
        <v>99.795000000000002</v>
      </c>
      <c r="AUU28">
        <v>99.81</v>
      </c>
      <c r="AUV28">
        <v>99.805000000000007</v>
      </c>
      <c r="AUW28">
        <v>99.834999999999994</v>
      </c>
      <c r="AUX28">
        <v>99.84</v>
      </c>
      <c r="AUY28">
        <v>99.83</v>
      </c>
      <c r="AUZ28">
        <v>99.805000000000007</v>
      </c>
      <c r="AVA28">
        <v>99.8</v>
      </c>
      <c r="AVB28">
        <v>99.805000000000007</v>
      </c>
      <c r="AVC28">
        <v>99.795000000000002</v>
      </c>
      <c r="AVD28">
        <v>99.795000000000002</v>
      </c>
      <c r="AVE28">
        <v>99.825000000000003</v>
      </c>
      <c r="AVF28">
        <v>99.814999999999998</v>
      </c>
      <c r="AVG28">
        <v>99.825000000000003</v>
      </c>
      <c r="AVH28">
        <v>99.82</v>
      </c>
      <c r="AVI28">
        <v>99.814999999999998</v>
      </c>
      <c r="AVJ28">
        <v>99.795000000000002</v>
      </c>
      <c r="AVK28">
        <v>99.805000000000007</v>
      </c>
      <c r="AVL28">
        <v>99.81</v>
      </c>
      <c r="AVM28">
        <v>99.82</v>
      </c>
      <c r="AVN28">
        <v>99.814999999999998</v>
      </c>
      <c r="AVO28">
        <v>99.825000000000003</v>
      </c>
      <c r="AVP28">
        <v>99.825000000000003</v>
      </c>
      <c r="AVQ28">
        <v>99.814999999999998</v>
      </c>
      <c r="AVR28">
        <v>99.8</v>
      </c>
      <c r="AVS28">
        <v>99.79</v>
      </c>
      <c r="AVT28">
        <v>99.79</v>
      </c>
      <c r="AVU28">
        <v>99.795000000000002</v>
      </c>
      <c r="AVV28">
        <v>99.795000000000002</v>
      </c>
      <c r="AVW28">
        <v>99.83</v>
      </c>
      <c r="AVX28">
        <v>99.84</v>
      </c>
      <c r="AVY28">
        <v>99.86</v>
      </c>
      <c r="AVZ28">
        <v>99.864999999999995</v>
      </c>
      <c r="AWA28">
        <v>99.875</v>
      </c>
      <c r="AWB28">
        <v>99.864999999999995</v>
      </c>
      <c r="AWC28">
        <v>99.86</v>
      </c>
      <c r="AWD28">
        <v>99.855000000000004</v>
      </c>
      <c r="AWE28">
        <v>99.834999999999994</v>
      </c>
      <c r="AWF28">
        <v>99.825000000000003</v>
      </c>
      <c r="AWG28">
        <v>99.82</v>
      </c>
      <c r="AWH28">
        <v>99.83</v>
      </c>
      <c r="AWI28">
        <v>99.834999999999994</v>
      </c>
      <c r="AWJ28">
        <v>99.834999999999994</v>
      </c>
      <c r="AWK28">
        <v>99.83</v>
      </c>
      <c r="AWL28">
        <v>99.83</v>
      </c>
      <c r="AWM28">
        <v>99.825000000000003</v>
      </c>
      <c r="AWN28">
        <v>99.825000000000003</v>
      </c>
      <c r="AWO28">
        <v>99.82</v>
      </c>
      <c r="AWP28">
        <v>99.83</v>
      </c>
      <c r="AWQ28">
        <v>99.83</v>
      </c>
      <c r="AWR28">
        <v>99.844999999999999</v>
      </c>
      <c r="AWS28">
        <v>99.86</v>
      </c>
      <c r="AWT28">
        <v>99.844999999999999</v>
      </c>
      <c r="AWU28">
        <v>99.84</v>
      </c>
      <c r="AWV28">
        <v>99.834999999999994</v>
      </c>
      <c r="AWW28">
        <v>99.834999999999994</v>
      </c>
      <c r="AWX28">
        <v>99.834999999999994</v>
      </c>
      <c r="AWY28">
        <v>99.825000000000003</v>
      </c>
      <c r="AWZ28">
        <v>99.844999999999999</v>
      </c>
      <c r="AXA28">
        <v>99.844999999999999</v>
      </c>
      <c r="AXB28">
        <v>99.834999999999994</v>
      </c>
      <c r="AXC28">
        <v>99.814999999999998</v>
      </c>
      <c r="AXD28">
        <v>99.814999999999998</v>
      </c>
      <c r="AXE28">
        <v>99.814999999999998</v>
      </c>
      <c r="AXF28">
        <v>99.81</v>
      </c>
      <c r="AXG28">
        <v>99.8</v>
      </c>
      <c r="AXH28">
        <v>99.78</v>
      </c>
      <c r="AXI28">
        <v>99.775000000000006</v>
      </c>
      <c r="AXJ28">
        <v>99.765000000000001</v>
      </c>
      <c r="AXK28">
        <v>99.78</v>
      </c>
      <c r="AXL28">
        <v>99.77</v>
      </c>
      <c r="AXM28">
        <v>99.78</v>
      </c>
      <c r="AXN28">
        <v>99.754999999999995</v>
      </c>
      <c r="AXO28">
        <v>99.704999999999998</v>
      </c>
      <c r="AXP28">
        <v>99.67</v>
      </c>
      <c r="AXQ28">
        <v>99.665000000000006</v>
      </c>
      <c r="AXR28">
        <v>99.73</v>
      </c>
      <c r="AXS28">
        <v>99.745000000000005</v>
      </c>
      <c r="AXT28">
        <v>99.78</v>
      </c>
      <c r="AXU28">
        <v>99.784999999999997</v>
      </c>
      <c r="AXV28">
        <v>99.775000000000006</v>
      </c>
      <c r="AXW28">
        <v>99.754999999999995</v>
      </c>
      <c r="AXX28">
        <v>99.76</v>
      </c>
      <c r="AXY28">
        <v>99.765000000000001</v>
      </c>
      <c r="AXZ28">
        <v>99.77</v>
      </c>
      <c r="AYA28">
        <v>99.77</v>
      </c>
      <c r="AYB28">
        <v>99.765000000000001</v>
      </c>
      <c r="AYC28">
        <v>99.765000000000001</v>
      </c>
      <c r="AYD28">
        <v>99.77</v>
      </c>
      <c r="AYE28">
        <v>99.77</v>
      </c>
      <c r="AYF28">
        <v>99.814999999999998</v>
      </c>
      <c r="AYG28">
        <v>99.79</v>
      </c>
      <c r="AYH28">
        <v>99.78</v>
      </c>
      <c r="AYI28">
        <v>99.76</v>
      </c>
      <c r="AYJ28">
        <v>99.76</v>
      </c>
      <c r="AYK28">
        <v>99.78</v>
      </c>
      <c r="AYL28">
        <v>99.79</v>
      </c>
      <c r="AYM28">
        <v>99.734999999999999</v>
      </c>
      <c r="AYN28">
        <v>99.72</v>
      </c>
      <c r="AYO28">
        <v>99.724999999999994</v>
      </c>
      <c r="AYP28">
        <v>99.71</v>
      </c>
      <c r="AYQ28">
        <v>99.715000000000003</v>
      </c>
      <c r="AYR28">
        <v>99.704999999999998</v>
      </c>
      <c r="AYS28">
        <v>99.69</v>
      </c>
      <c r="AYT28">
        <v>99.685000000000002</v>
      </c>
      <c r="AYU28">
        <v>99.694999999999993</v>
      </c>
      <c r="AYV28">
        <v>99.694999999999993</v>
      </c>
      <c r="AYW28">
        <v>99.69</v>
      </c>
      <c r="AYX28">
        <v>99.7</v>
      </c>
      <c r="AYY28">
        <v>99.68</v>
      </c>
      <c r="AYZ28">
        <v>99.67</v>
      </c>
      <c r="AZA28">
        <v>99.655000000000001</v>
      </c>
      <c r="AZB28">
        <v>99.644999999999996</v>
      </c>
      <c r="AZC28">
        <v>99.614999999999995</v>
      </c>
      <c r="AZD28">
        <v>99.6</v>
      </c>
      <c r="AZE28">
        <v>99.61</v>
      </c>
      <c r="AZF28">
        <v>99.61</v>
      </c>
      <c r="AZG28">
        <v>99.59</v>
      </c>
      <c r="AZH28">
        <v>99.575000000000003</v>
      </c>
      <c r="AZI28">
        <v>99.62</v>
      </c>
      <c r="AZJ28">
        <v>99.68</v>
      </c>
      <c r="AZK28">
        <v>99.674999999999997</v>
      </c>
      <c r="AZL28">
        <v>99.69</v>
      </c>
      <c r="AZM28">
        <v>99.665000000000006</v>
      </c>
      <c r="AZN28">
        <v>99.694999999999993</v>
      </c>
      <c r="AZO28">
        <v>99.65</v>
      </c>
      <c r="AZP28">
        <v>99.63</v>
      </c>
      <c r="AZQ28">
        <v>99.6</v>
      </c>
      <c r="AZR28">
        <v>99.594999999999999</v>
      </c>
      <c r="AZS28">
        <v>99.655000000000001</v>
      </c>
      <c r="AZT28">
        <v>99.575000000000003</v>
      </c>
      <c r="AZU28">
        <v>99.515000000000001</v>
      </c>
      <c r="AZV28">
        <v>99.41</v>
      </c>
      <c r="AZW28">
        <v>99.525000000000006</v>
      </c>
      <c r="AZX28">
        <v>99.575000000000003</v>
      </c>
      <c r="AZY28">
        <v>99.5</v>
      </c>
      <c r="AZZ28">
        <v>99.54</v>
      </c>
      <c r="BAA28">
        <v>99.47</v>
      </c>
      <c r="BAB28">
        <v>99.46</v>
      </c>
      <c r="BAC28">
        <v>99.58</v>
      </c>
      <c r="BAD28">
        <v>99.504999999999995</v>
      </c>
      <c r="BAE28">
        <v>99.42</v>
      </c>
      <c r="BAF28">
        <v>99.37</v>
      </c>
      <c r="BAG28">
        <v>99.31</v>
      </c>
      <c r="BAH28">
        <v>99.24</v>
      </c>
      <c r="BAI28">
        <v>99.24</v>
      </c>
      <c r="BAJ28">
        <v>99.04</v>
      </c>
      <c r="BAK28">
        <v>98.984999999999999</v>
      </c>
      <c r="BAL28">
        <v>98.995000000000005</v>
      </c>
      <c r="BAM28">
        <v>98.94</v>
      </c>
      <c r="BAN28">
        <v>98.83</v>
      </c>
      <c r="BAO28">
        <v>98.765000000000001</v>
      </c>
      <c r="BAP28">
        <v>98.72</v>
      </c>
      <c r="BAQ28">
        <v>98.745000000000005</v>
      </c>
      <c r="BAR28">
        <v>98.715000000000003</v>
      </c>
      <c r="BAS28">
        <v>98.715000000000003</v>
      </c>
      <c r="BAT28">
        <v>98.68</v>
      </c>
      <c r="BAU28">
        <v>98.68</v>
      </c>
      <c r="BAV28">
        <v>98.72</v>
      </c>
      <c r="BAW28">
        <v>98.75</v>
      </c>
      <c r="BAX28">
        <v>98.715000000000003</v>
      </c>
      <c r="BAY28">
        <v>98.66</v>
      </c>
      <c r="BAZ28">
        <v>98.68</v>
      </c>
      <c r="BBA28">
        <v>98.72</v>
      </c>
      <c r="BBB28">
        <v>98.805000000000007</v>
      </c>
      <c r="BBC28">
        <v>98.82</v>
      </c>
      <c r="BBD28">
        <v>98.765000000000001</v>
      </c>
      <c r="BBE28">
        <v>98.72</v>
      </c>
      <c r="BBF28">
        <v>98.67</v>
      </c>
      <c r="BBG28">
        <v>98.704999999999998</v>
      </c>
      <c r="BBH28">
        <v>98.62</v>
      </c>
      <c r="BBI28">
        <v>98.564999999999998</v>
      </c>
      <c r="BBJ28">
        <v>98.545000000000002</v>
      </c>
      <c r="BBK28">
        <v>98.53</v>
      </c>
      <c r="BBL28">
        <v>98.474999999999994</v>
      </c>
      <c r="BBM28">
        <v>98.474999999999994</v>
      </c>
      <c r="BBN28">
        <v>98.49</v>
      </c>
      <c r="BBO28">
        <v>98.5</v>
      </c>
      <c r="BBP28">
        <v>98.49</v>
      </c>
      <c r="BBQ28">
        <v>98.474999999999994</v>
      </c>
      <c r="BBR28">
        <v>98.48</v>
      </c>
      <c r="BBS28">
        <v>98.465000000000003</v>
      </c>
      <c r="BBT28">
        <v>98.46</v>
      </c>
      <c r="BBU28">
        <v>98.504999999999995</v>
      </c>
      <c r="BBV28">
        <v>98.515000000000001</v>
      </c>
      <c r="BBW28">
        <v>98.52</v>
      </c>
      <c r="BBX28">
        <v>98.43</v>
      </c>
      <c r="BBY28">
        <v>98.42</v>
      </c>
      <c r="BBZ28">
        <v>98.42</v>
      </c>
      <c r="BCA28">
        <v>98.424999999999997</v>
      </c>
      <c r="BCB28">
        <v>98.424999999999997</v>
      </c>
      <c r="BCC28">
        <v>98.385000000000005</v>
      </c>
      <c r="BCD28">
        <v>98.385000000000005</v>
      </c>
      <c r="BCE28">
        <v>98.385000000000005</v>
      </c>
      <c r="BCF28">
        <v>98.364999999999995</v>
      </c>
      <c r="BCG28">
        <v>98.405000000000001</v>
      </c>
      <c r="BCH28">
        <v>98.42</v>
      </c>
      <c r="BCI28">
        <v>98.4</v>
      </c>
      <c r="BCJ28">
        <v>98.43</v>
      </c>
      <c r="BCK28">
        <v>98.44</v>
      </c>
      <c r="BCL28">
        <v>98.515000000000001</v>
      </c>
      <c r="BCM28">
        <v>98.435000000000002</v>
      </c>
      <c r="BCN28">
        <v>98.52</v>
      </c>
      <c r="BCO28">
        <v>98.48</v>
      </c>
      <c r="BCP28">
        <v>98.495000000000005</v>
      </c>
      <c r="BCQ28">
        <v>98.504999999999995</v>
      </c>
      <c r="BCR28">
        <v>98.564999999999998</v>
      </c>
      <c r="BCS28">
        <v>98.58</v>
      </c>
      <c r="BCT28">
        <v>98.655000000000001</v>
      </c>
      <c r="BCU28">
        <v>98.534999999999997</v>
      </c>
      <c r="BCV28">
        <v>98.57</v>
      </c>
      <c r="BCW28">
        <v>98.56</v>
      </c>
      <c r="BCX28">
        <v>98.56</v>
      </c>
      <c r="BCY28">
        <v>98.6</v>
      </c>
      <c r="BCZ28">
        <v>98.59</v>
      </c>
      <c r="BDA28">
        <v>98.575000000000003</v>
      </c>
      <c r="BDB28">
        <v>98.594999999999999</v>
      </c>
      <c r="BDC28">
        <v>98.625</v>
      </c>
      <c r="BDD28">
        <v>98.59</v>
      </c>
      <c r="BDE28">
        <v>98.564999999999998</v>
      </c>
      <c r="BDF28">
        <v>98.54</v>
      </c>
      <c r="BDG28">
        <v>98.55</v>
      </c>
      <c r="BDH28">
        <v>98.5</v>
      </c>
      <c r="BDI28">
        <v>98.45</v>
      </c>
      <c r="BDJ28">
        <v>98.42</v>
      </c>
      <c r="BDK28">
        <v>98.43</v>
      </c>
      <c r="BDL28">
        <v>98.415000000000006</v>
      </c>
      <c r="BDM28">
        <v>98.525000000000006</v>
      </c>
      <c r="BDN28">
        <v>98.5</v>
      </c>
      <c r="BDO28">
        <v>98.56</v>
      </c>
      <c r="BDP28">
        <v>98.61</v>
      </c>
      <c r="BDQ28">
        <v>98.68</v>
      </c>
      <c r="BDR28">
        <v>98.555000000000007</v>
      </c>
      <c r="BDS28">
        <v>98.534999999999997</v>
      </c>
      <c r="BDT28">
        <v>98.54</v>
      </c>
      <c r="BDU28">
        <v>98.57</v>
      </c>
      <c r="BDV28">
        <v>98.614999999999995</v>
      </c>
      <c r="BDW28">
        <v>98.625</v>
      </c>
      <c r="BDX28">
        <v>98.605000000000004</v>
      </c>
      <c r="BDY28">
        <v>98.58</v>
      </c>
      <c r="BDZ28">
        <v>98.62</v>
      </c>
      <c r="BEA28">
        <v>98.594999999999999</v>
      </c>
      <c r="BEB28">
        <v>98.62</v>
      </c>
      <c r="BEC28">
        <v>98.58</v>
      </c>
      <c r="BED28">
        <v>98.635000000000005</v>
      </c>
      <c r="BEE28">
        <v>98.614999999999995</v>
      </c>
      <c r="BEF28">
        <v>98.745000000000005</v>
      </c>
      <c r="BEG28">
        <v>98.81</v>
      </c>
      <c r="BEH28">
        <v>98.864999999999995</v>
      </c>
      <c r="BEI28">
        <v>98.855000000000004</v>
      </c>
      <c r="BEJ28">
        <v>98.924999999999997</v>
      </c>
      <c r="BEK28">
        <v>98.935000000000002</v>
      </c>
      <c r="BEL28">
        <v>98.834999999999994</v>
      </c>
      <c r="BEM28">
        <v>98.76</v>
      </c>
      <c r="BEN28">
        <v>98.69</v>
      </c>
      <c r="BEO28">
        <v>98.7</v>
      </c>
      <c r="BEP28" t="s">
        <v>6984</v>
      </c>
      <c r="BEQ28" t="s">
        <v>6984</v>
      </c>
      <c r="BER28" t="s">
        <v>6984</v>
      </c>
      <c r="BES28" t="s">
        <v>6984</v>
      </c>
      <c r="BET28" t="s">
        <v>6984</v>
      </c>
      <c r="BEU28" t="s">
        <v>6984</v>
      </c>
      <c r="BEV28" t="s">
        <v>6984</v>
      </c>
      <c r="BEW28" t="s">
        <v>6984</v>
      </c>
      <c r="BEX28" t="s">
        <v>6984</v>
      </c>
      <c r="BEY28" t="s">
        <v>6984</v>
      </c>
      <c r="BEZ28" t="s">
        <v>6984</v>
      </c>
      <c r="BFA28" t="s">
        <v>6984</v>
      </c>
      <c r="BFB28" t="s">
        <v>6984</v>
      </c>
      <c r="BFC28" t="s">
        <v>6984</v>
      </c>
      <c r="BFD28" t="s">
        <v>6984</v>
      </c>
      <c r="BFE28" t="s">
        <v>6984</v>
      </c>
      <c r="BFF28" t="s">
        <v>6984</v>
      </c>
      <c r="BFG28" t="s">
        <v>6984</v>
      </c>
      <c r="BFH28" t="s">
        <v>6984</v>
      </c>
      <c r="BFI28" t="s">
        <v>6984</v>
      </c>
      <c r="BFJ28" t="s">
        <v>6984</v>
      </c>
      <c r="BFK28" t="s">
        <v>6984</v>
      </c>
      <c r="BFL28" t="s">
        <v>6984</v>
      </c>
      <c r="BFM28" t="s">
        <v>6984</v>
      </c>
      <c r="BFN28" t="s">
        <v>6984</v>
      </c>
      <c r="BFO28" t="s">
        <v>6984</v>
      </c>
      <c r="BFP28" t="s">
        <v>6984</v>
      </c>
      <c r="BFQ28" t="s">
        <v>6984</v>
      </c>
      <c r="BFR28" t="s">
        <v>6984</v>
      </c>
      <c r="BFS28" t="s">
        <v>6984</v>
      </c>
      <c r="BFT28" t="s">
        <v>6984</v>
      </c>
      <c r="BFU28" t="s">
        <v>6984</v>
      </c>
      <c r="BFV28" t="s">
        <v>6984</v>
      </c>
      <c r="BFW28" t="s">
        <v>6984</v>
      </c>
      <c r="BFX28" t="s">
        <v>6984</v>
      </c>
      <c r="BFY28" t="s">
        <v>6984</v>
      </c>
      <c r="BFZ28" t="s">
        <v>6984</v>
      </c>
      <c r="BGA28" t="s">
        <v>6984</v>
      </c>
      <c r="BGB28" t="s">
        <v>6984</v>
      </c>
      <c r="BGC28" t="s">
        <v>6984</v>
      </c>
      <c r="BGD28" t="s">
        <v>6984</v>
      </c>
      <c r="BGE28" t="s">
        <v>6984</v>
      </c>
      <c r="BGF28" t="s">
        <v>6984</v>
      </c>
      <c r="BGG28" t="s">
        <v>6984</v>
      </c>
      <c r="BGH28" t="s">
        <v>6984</v>
      </c>
      <c r="BGI28" t="s">
        <v>6984</v>
      </c>
      <c r="BGJ28" t="s">
        <v>6984</v>
      </c>
      <c r="BGK28" t="s">
        <v>6984</v>
      </c>
      <c r="BGL28" t="s">
        <v>6984</v>
      </c>
      <c r="BGM28" t="s">
        <v>6984</v>
      </c>
      <c r="BGN28" t="s">
        <v>6984</v>
      </c>
      <c r="BGO28" t="s">
        <v>6984</v>
      </c>
      <c r="BGP28" t="s">
        <v>6984</v>
      </c>
      <c r="BGQ28" t="s">
        <v>6984</v>
      </c>
      <c r="BGR28" t="s">
        <v>6984</v>
      </c>
      <c r="BGS28" t="s">
        <v>6984</v>
      </c>
      <c r="BGT28" t="s">
        <v>6984</v>
      </c>
      <c r="BGU28" t="s">
        <v>6984</v>
      </c>
      <c r="BGV28" t="s">
        <v>6984</v>
      </c>
      <c r="BGW28" t="s">
        <v>6984</v>
      </c>
      <c r="BGX28" t="s">
        <v>6984</v>
      </c>
      <c r="BGY28" t="s">
        <v>6984</v>
      </c>
      <c r="BGZ28" t="s">
        <v>6984</v>
      </c>
      <c r="BHA28" t="s">
        <v>6984</v>
      </c>
      <c r="BHB28" t="s">
        <v>6984</v>
      </c>
      <c r="BHC28" t="s">
        <v>6984</v>
      </c>
      <c r="BHD28" t="s">
        <v>6984</v>
      </c>
      <c r="BHE28" t="s">
        <v>6984</v>
      </c>
      <c r="BHF28" t="s">
        <v>6984</v>
      </c>
      <c r="BHG28" t="s">
        <v>6984</v>
      </c>
      <c r="BHH28" t="s">
        <v>6984</v>
      </c>
      <c r="BHI28" t="s">
        <v>6984</v>
      </c>
      <c r="BHJ28" t="s">
        <v>6984</v>
      </c>
      <c r="BHK28" t="s">
        <v>6984</v>
      </c>
      <c r="BHL28" t="s">
        <v>6984</v>
      </c>
      <c r="BHM28" t="s">
        <v>6984</v>
      </c>
      <c r="BHN28" t="s">
        <v>6984</v>
      </c>
      <c r="BHO28" t="s">
        <v>6984</v>
      </c>
      <c r="BHP28" t="s">
        <v>6984</v>
      </c>
      <c r="BHQ28" t="s">
        <v>6984</v>
      </c>
      <c r="BHR28" t="s">
        <v>6984</v>
      </c>
      <c r="BHS28" t="s">
        <v>6984</v>
      </c>
      <c r="BHT28" t="s">
        <v>6984</v>
      </c>
      <c r="BHU28" t="s">
        <v>6984</v>
      </c>
      <c r="BHV28" t="s">
        <v>6984</v>
      </c>
      <c r="BHW28" t="s">
        <v>6984</v>
      </c>
      <c r="BHX28" t="s">
        <v>6984</v>
      </c>
      <c r="BHY28" t="s">
        <v>6984</v>
      </c>
      <c r="BHZ28" t="s">
        <v>6984</v>
      </c>
      <c r="BIA28" t="s">
        <v>6984</v>
      </c>
      <c r="BIB28" t="s">
        <v>6984</v>
      </c>
      <c r="BIC28" t="s">
        <v>6984</v>
      </c>
      <c r="BID28" t="s">
        <v>6984</v>
      </c>
      <c r="BIE28" t="s">
        <v>6984</v>
      </c>
      <c r="BIF28" t="s">
        <v>6984</v>
      </c>
      <c r="BIG28" t="s">
        <v>6984</v>
      </c>
      <c r="BIH28" t="s">
        <v>6984</v>
      </c>
      <c r="BII28" t="s">
        <v>6984</v>
      </c>
      <c r="BIJ28" t="s">
        <v>6984</v>
      </c>
      <c r="BIK28" t="s">
        <v>6984</v>
      </c>
      <c r="BIL28" t="s">
        <v>6984</v>
      </c>
      <c r="BIM28" t="s">
        <v>6984</v>
      </c>
      <c r="BIN28" t="s">
        <v>6984</v>
      </c>
      <c r="BIO28" t="s">
        <v>6984</v>
      </c>
      <c r="BIP28" t="s">
        <v>6984</v>
      </c>
      <c r="BIQ28" t="s">
        <v>6984</v>
      </c>
      <c r="BIR28" t="s">
        <v>6984</v>
      </c>
      <c r="BIS28" t="s">
        <v>6984</v>
      </c>
      <c r="BIT28" t="s">
        <v>6984</v>
      </c>
      <c r="BIU28" t="s">
        <v>6984</v>
      </c>
      <c r="BIV28" t="s">
        <v>6984</v>
      </c>
      <c r="BIW28" t="s">
        <v>6984</v>
      </c>
      <c r="BIX28" t="s">
        <v>6984</v>
      </c>
      <c r="BIY28" t="s">
        <v>6984</v>
      </c>
      <c r="BIZ28" t="s">
        <v>6984</v>
      </c>
      <c r="BJA28" t="s">
        <v>6984</v>
      </c>
      <c r="BJB28" t="s">
        <v>6984</v>
      </c>
      <c r="BJC28" t="s">
        <v>6984</v>
      </c>
      <c r="BJD28" t="s">
        <v>6984</v>
      </c>
      <c r="BJE28" t="s">
        <v>6984</v>
      </c>
      <c r="BJF28" t="s">
        <v>6984</v>
      </c>
      <c r="BJG28" t="s">
        <v>6984</v>
      </c>
      <c r="BJH28" t="s">
        <v>6984</v>
      </c>
      <c r="BJI28" t="s">
        <v>6984</v>
      </c>
      <c r="BJJ28" t="s">
        <v>6984</v>
      </c>
      <c r="BJK28" t="s">
        <v>6984</v>
      </c>
      <c r="BJL28" t="s">
        <v>6984</v>
      </c>
      <c r="BJM28" t="s">
        <v>6984</v>
      </c>
      <c r="BJN28" t="s">
        <v>6984</v>
      </c>
      <c r="BJO28" t="s">
        <v>6984</v>
      </c>
      <c r="BJP28" t="s">
        <v>6984</v>
      </c>
      <c r="BJQ28" t="s">
        <v>6984</v>
      </c>
      <c r="BJR28" t="s">
        <v>6984</v>
      </c>
      <c r="BJS28" t="s">
        <v>6984</v>
      </c>
      <c r="BJT28" t="s">
        <v>6984</v>
      </c>
      <c r="BJU28" t="s">
        <v>6984</v>
      </c>
      <c r="BJV28" t="s">
        <v>6984</v>
      </c>
      <c r="BJW28" t="s">
        <v>6984</v>
      </c>
      <c r="BJX28" t="s">
        <v>6984</v>
      </c>
      <c r="BJY28" t="s">
        <v>6984</v>
      </c>
      <c r="BJZ28" t="s">
        <v>6984</v>
      </c>
      <c r="BKA28" t="s">
        <v>6984</v>
      </c>
      <c r="BKB28" t="s">
        <v>6984</v>
      </c>
      <c r="BKC28" t="s">
        <v>6984</v>
      </c>
      <c r="BKD28" t="s">
        <v>6984</v>
      </c>
      <c r="BKE28" t="s">
        <v>6984</v>
      </c>
      <c r="BKF28" t="s">
        <v>6984</v>
      </c>
      <c r="BKG28" t="s">
        <v>6984</v>
      </c>
      <c r="BKH28" t="s">
        <v>6984</v>
      </c>
      <c r="BKI28" t="s">
        <v>6984</v>
      </c>
      <c r="BKJ28" t="s">
        <v>6984</v>
      </c>
      <c r="BKK28" t="s">
        <v>6984</v>
      </c>
      <c r="BKL28" t="s">
        <v>6984</v>
      </c>
      <c r="BKM28" t="s">
        <v>6984</v>
      </c>
      <c r="BKN28" t="s">
        <v>6984</v>
      </c>
      <c r="BKO28" t="s">
        <v>6984</v>
      </c>
      <c r="BKP28" t="s">
        <v>6984</v>
      </c>
      <c r="BKQ28" t="s">
        <v>6984</v>
      </c>
      <c r="BKR28" t="s">
        <v>6984</v>
      </c>
      <c r="BKS28" t="s">
        <v>6984</v>
      </c>
      <c r="BKT28" t="s">
        <v>6984</v>
      </c>
      <c r="BKU28" t="s">
        <v>6984</v>
      </c>
      <c r="BKV28" t="s">
        <v>6984</v>
      </c>
      <c r="BKW28" t="s">
        <v>6984</v>
      </c>
      <c r="BKX28" t="s">
        <v>6984</v>
      </c>
      <c r="BKY28" t="s">
        <v>6984</v>
      </c>
      <c r="BKZ28" t="s">
        <v>6984</v>
      </c>
      <c r="BLA28" t="s">
        <v>6984</v>
      </c>
      <c r="BLB28" t="s">
        <v>6984</v>
      </c>
      <c r="BLC28" t="s">
        <v>6984</v>
      </c>
      <c r="BLD28" t="s">
        <v>6984</v>
      </c>
      <c r="BLE28" t="s">
        <v>6984</v>
      </c>
      <c r="BLF28" t="s">
        <v>6984</v>
      </c>
      <c r="BLG28" t="s">
        <v>6984</v>
      </c>
      <c r="BLH28" t="s">
        <v>6984</v>
      </c>
      <c r="BLI28" t="s">
        <v>6984</v>
      </c>
      <c r="BLJ28" t="s">
        <v>6984</v>
      </c>
      <c r="BLK28" t="s">
        <v>6984</v>
      </c>
      <c r="BLL28" t="s">
        <v>6984</v>
      </c>
      <c r="BLM28" t="s">
        <v>6984</v>
      </c>
      <c r="BLN28" t="s">
        <v>6984</v>
      </c>
      <c r="BLO28" t="s">
        <v>6984</v>
      </c>
      <c r="BLP28" t="s">
        <v>6984</v>
      </c>
      <c r="BLQ28" t="s">
        <v>6984</v>
      </c>
      <c r="BLR28" t="s">
        <v>6984</v>
      </c>
      <c r="BLS28" t="s">
        <v>6984</v>
      </c>
      <c r="BLT28" t="s">
        <v>6984</v>
      </c>
      <c r="BLU28" t="s">
        <v>6984</v>
      </c>
      <c r="BLV28" t="s">
        <v>6984</v>
      </c>
      <c r="BLW28" t="s">
        <v>6984</v>
      </c>
      <c r="BLX28" t="s">
        <v>6984</v>
      </c>
      <c r="BLY28" t="s">
        <v>6984</v>
      </c>
      <c r="BLZ28" t="s">
        <v>6984</v>
      </c>
      <c r="BMA28" t="s">
        <v>6984</v>
      </c>
      <c r="BMB28" t="s">
        <v>6984</v>
      </c>
      <c r="BMC28" t="s">
        <v>6984</v>
      </c>
      <c r="BMD28" t="s">
        <v>6984</v>
      </c>
      <c r="BME28" t="s">
        <v>6984</v>
      </c>
      <c r="BMF28" t="s">
        <v>6984</v>
      </c>
      <c r="BMG28" t="s">
        <v>6984</v>
      </c>
      <c r="BMH28" t="s">
        <v>6984</v>
      </c>
      <c r="BMI28" t="s">
        <v>6984</v>
      </c>
      <c r="BMJ28" t="s">
        <v>6984</v>
      </c>
      <c r="BMK28" t="s">
        <v>6984</v>
      </c>
      <c r="BML28" t="s">
        <v>6984</v>
      </c>
      <c r="BMM28" t="s">
        <v>6984</v>
      </c>
      <c r="BMN28" t="s">
        <v>6984</v>
      </c>
      <c r="BMO28" t="s">
        <v>6984</v>
      </c>
      <c r="BMP28" t="s">
        <v>6984</v>
      </c>
      <c r="BMQ28" t="s">
        <v>6984</v>
      </c>
      <c r="BMR28" t="s">
        <v>6984</v>
      </c>
      <c r="BMS28" t="s">
        <v>6984</v>
      </c>
      <c r="BMT28" t="s">
        <v>6984</v>
      </c>
      <c r="BMU28" t="s">
        <v>6984</v>
      </c>
      <c r="BMV28" t="s">
        <v>6984</v>
      </c>
      <c r="BMW28" t="s">
        <v>6984</v>
      </c>
      <c r="BMX28" t="s">
        <v>6984</v>
      </c>
      <c r="BMY28" t="s">
        <v>6984</v>
      </c>
      <c r="BMZ28" t="s">
        <v>6984</v>
      </c>
      <c r="BNA28" t="s">
        <v>6984</v>
      </c>
      <c r="BNB28" t="s">
        <v>6984</v>
      </c>
      <c r="BNC28" t="s">
        <v>6984</v>
      </c>
      <c r="BND28" t="s">
        <v>6984</v>
      </c>
      <c r="BNE28" t="s">
        <v>6984</v>
      </c>
      <c r="BNF28" t="s">
        <v>6984</v>
      </c>
      <c r="BNG28" t="s">
        <v>6984</v>
      </c>
      <c r="BNH28" t="s">
        <v>6984</v>
      </c>
      <c r="BNI28" t="s">
        <v>6984</v>
      </c>
      <c r="BNJ28" t="s">
        <v>6984</v>
      </c>
      <c r="BNK28" t="s">
        <v>6984</v>
      </c>
      <c r="BNL28" t="s">
        <v>6984</v>
      </c>
      <c r="BNM28" t="s">
        <v>6984</v>
      </c>
      <c r="BNN28" t="s">
        <v>6984</v>
      </c>
      <c r="BNO28" t="s">
        <v>6984</v>
      </c>
      <c r="BNP28" t="s">
        <v>6984</v>
      </c>
      <c r="BNQ28" t="s">
        <v>6984</v>
      </c>
      <c r="BNR28" t="s">
        <v>6984</v>
      </c>
      <c r="BNS28" t="s">
        <v>6984</v>
      </c>
      <c r="BNT28" t="s">
        <v>6984</v>
      </c>
      <c r="BNU28" t="s">
        <v>6984</v>
      </c>
      <c r="BNV28" t="s">
        <v>6984</v>
      </c>
      <c r="BNW28" t="s">
        <v>6984</v>
      </c>
      <c r="BNX28" t="s">
        <v>6984</v>
      </c>
      <c r="BNY28" t="s">
        <v>6984</v>
      </c>
      <c r="BNZ28" t="s">
        <v>6984</v>
      </c>
      <c r="BOA28" t="s">
        <v>6984</v>
      </c>
      <c r="BOB28" t="s">
        <v>6984</v>
      </c>
      <c r="BOC28" t="s">
        <v>6984</v>
      </c>
      <c r="BOD28" t="s">
        <v>6984</v>
      </c>
      <c r="BOE28" t="s">
        <v>6984</v>
      </c>
      <c r="BOF28" t="s">
        <v>6984</v>
      </c>
      <c r="BOG28" t="s">
        <v>6984</v>
      </c>
      <c r="BOH28" t="s">
        <v>6984</v>
      </c>
      <c r="BOI28" t="s">
        <v>6984</v>
      </c>
      <c r="BOJ28" t="s">
        <v>6984</v>
      </c>
      <c r="BOK28" t="s">
        <v>6984</v>
      </c>
      <c r="BOL28" t="s">
        <v>6984</v>
      </c>
      <c r="BOM28" t="s">
        <v>6984</v>
      </c>
      <c r="BON28" t="s">
        <v>6984</v>
      </c>
      <c r="BOO28" t="s">
        <v>6984</v>
      </c>
      <c r="BOP28" t="s">
        <v>6984</v>
      </c>
      <c r="BOQ28" t="s">
        <v>6984</v>
      </c>
      <c r="BOR28" t="s">
        <v>6984</v>
      </c>
      <c r="BOS28" t="s">
        <v>6984</v>
      </c>
      <c r="BOT28" t="s">
        <v>6984</v>
      </c>
      <c r="BOU28" t="s">
        <v>6984</v>
      </c>
      <c r="BOV28" t="s">
        <v>6984</v>
      </c>
      <c r="BOW28" t="s">
        <v>6984</v>
      </c>
      <c r="BOX28" t="s">
        <v>6984</v>
      </c>
      <c r="BOY28" t="s">
        <v>6984</v>
      </c>
      <c r="BOZ28" t="s">
        <v>6984</v>
      </c>
      <c r="BPA28" t="s">
        <v>6984</v>
      </c>
      <c r="BPB28" t="s">
        <v>6984</v>
      </c>
      <c r="BPC28" t="s">
        <v>6984</v>
      </c>
      <c r="BPD28" t="s">
        <v>6984</v>
      </c>
      <c r="BPE28" t="s">
        <v>6984</v>
      </c>
      <c r="BPF28" t="s">
        <v>6984</v>
      </c>
      <c r="BPG28" t="s">
        <v>6984</v>
      </c>
      <c r="BPH28" t="s">
        <v>6984</v>
      </c>
      <c r="BPI28" t="s">
        <v>6984</v>
      </c>
      <c r="BPJ28" t="s">
        <v>6984</v>
      </c>
      <c r="BPK28" t="s">
        <v>6984</v>
      </c>
      <c r="BPL28" t="s">
        <v>6984</v>
      </c>
      <c r="BPM28" t="s">
        <v>6984</v>
      </c>
      <c r="BPN28" t="s">
        <v>6984</v>
      </c>
      <c r="BPO28" t="s">
        <v>6984</v>
      </c>
      <c r="BPP28" t="s">
        <v>6984</v>
      </c>
      <c r="BPQ28" t="s">
        <v>6984</v>
      </c>
      <c r="BPR28" t="s">
        <v>6984</v>
      </c>
      <c r="BPS28" t="s">
        <v>6984</v>
      </c>
      <c r="BPT28" t="s">
        <v>6984</v>
      </c>
      <c r="BPU28" t="s">
        <v>6984</v>
      </c>
      <c r="BPV28" t="s">
        <v>6984</v>
      </c>
      <c r="BPW28" t="s">
        <v>6984</v>
      </c>
      <c r="BPX28" t="s">
        <v>6984</v>
      </c>
      <c r="BPY28" t="s">
        <v>6984</v>
      </c>
      <c r="BPZ28" t="s">
        <v>6984</v>
      </c>
      <c r="BQA28" t="s">
        <v>6984</v>
      </c>
      <c r="BQB28" t="s">
        <v>6984</v>
      </c>
      <c r="BQC28" t="s">
        <v>6984</v>
      </c>
      <c r="BQD28" t="s">
        <v>6984</v>
      </c>
      <c r="BQE28" t="s">
        <v>6984</v>
      </c>
      <c r="BQF28" t="s">
        <v>6984</v>
      </c>
      <c r="BQG28" t="s">
        <v>6984</v>
      </c>
      <c r="BQH28" t="s">
        <v>6984</v>
      </c>
      <c r="BQI28" t="s">
        <v>6984</v>
      </c>
      <c r="BQJ28" t="s">
        <v>6984</v>
      </c>
      <c r="BQK28" t="s">
        <v>6984</v>
      </c>
      <c r="BQL28" t="s">
        <v>6984</v>
      </c>
      <c r="BQM28" t="s">
        <v>6984</v>
      </c>
      <c r="BQN28" t="s">
        <v>6984</v>
      </c>
      <c r="BQO28" t="s">
        <v>6984</v>
      </c>
      <c r="BQP28" t="s">
        <v>6984</v>
      </c>
      <c r="BQQ28" t="s">
        <v>6984</v>
      </c>
      <c r="BQR28" t="s">
        <v>6984</v>
      </c>
      <c r="BQS28" t="s">
        <v>6984</v>
      </c>
      <c r="BQT28" t="s">
        <v>6984</v>
      </c>
      <c r="BQU28" t="s">
        <v>6984</v>
      </c>
      <c r="BQV28" t="s">
        <v>6984</v>
      </c>
      <c r="BQW28" t="s">
        <v>6984</v>
      </c>
      <c r="BQX28" t="s">
        <v>6984</v>
      </c>
      <c r="BQY28" t="s">
        <v>6984</v>
      </c>
      <c r="BQZ28" t="s">
        <v>6984</v>
      </c>
      <c r="BRA28" t="s">
        <v>6984</v>
      </c>
      <c r="BRB28" t="s">
        <v>6984</v>
      </c>
      <c r="BRC28" t="s">
        <v>6984</v>
      </c>
      <c r="BRD28" t="s">
        <v>6984</v>
      </c>
      <c r="BRE28" t="s">
        <v>6984</v>
      </c>
      <c r="BRF28" t="s">
        <v>6984</v>
      </c>
      <c r="BRG28" t="s">
        <v>6984</v>
      </c>
      <c r="BRH28" t="s">
        <v>6984</v>
      </c>
      <c r="BRI28" t="s">
        <v>6984</v>
      </c>
      <c r="BRJ28" t="s">
        <v>6984</v>
      </c>
      <c r="BRK28" t="s">
        <v>6984</v>
      </c>
      <c r="BRL28" t="s">
        <v>6984</v>
      </c>
      <c r="BRM28" t="s">
        <v>6984</v>
      </c>
      <c r="BRN28" t="s">
        <v>6984</v>
      </c>
      <c r="BRO28" t="s">
        <v>6984</v>
      </c>
      <c r="BRP28" t="s">
        <v>6984</v>
      </c>
      <c r="BRQ28" t="s">
        <v>6984</v>
      </c>
      <c r="BRR28" t="s">
        <v>6984</v>
      </c>
      <c r="BRS28" t="s">
        <v>6984</v>
      </c>
      <c r="BRT28" t="s">
        <v>6984</v>
      </c>
      <c r="BRU28" t="s">
        <v>6984</v>
      </c>
      <c r="BRV28" t="s">
        <v>6984</v>
      </c>
      <c r="BRW28" t="s">
        <v>6984</v>
      </c>
      <c r="BRX28" t="s">
        <v>6984</v>
      </c>
      <c r="BRY28" t="s">
        <v>6984</v>
      </c>
      <c r="BRZ28" t="s">
        <v>6984</v>
      </c>
      <c r="BSA28" t="s">
        <v>6984</v>
      </c>
      <c r="BSB28" t="s">
        <v>6984</v>
      </c>
      <c r="BSC28" t="s">
        <v>6984</v>
      </c>
      <c r="BSD28" t="s">
        <v>6984</v>
      </c>
      <c r="BSE28" t="s">
        <v>6984</v>
      </c>
      <c r="BSF28" t="s">
        <v>6984</v>
      </c>
      <c r="BSG28" t="s">
        <v>6984</v>
      </c>
      <c r="BSH28" t="s">
        <v>6984</v>
      </c>
      <c r="BSI28" t="s">
        <v>6984</v>
      </c>
      <c r="BSJ28" t="s">
        <v>6984</v>
      </c>
      <c r="BSK28" t="s">
        <v>6984</v>
      </c>
      <c r="BSL28" t="s">
        <v>6984</v>
      </c>
      <c r="BSM28" t="s">
        <v>6984</v>
      </c>
      <c r="BSN28" t="s">
        <v>6984</v>
      </c>
      <c r="BSO28" t="s">
        <v>6984</v>
      </c>
      <c r="BSP28" t="s">
        <v>6984</v>
      </c>
      <c r="BSQ28" t="s">
        <v>6984</v>
      </c>
      <c r="BSR28" t="s">
        <v>6984</v>
      </c>
      <c r="BSS28" t="s">
        <v>6984</v>
      </c>
      <c r="BST28" t="s">
        <v>6984</v>
      </c>
      <c r="BSU28" t="s">
        <v>6984</v>
      </c>
      <c r="BSV28" t="s">
        <v>6984</v>
      </c>
      <c r="BSW28" t="s">
        <v>6984</v>
      </c>
      <c r="BSX28" t="s">
        <v>6984</v>
      </c>
      <c r="BSY28" t="s">
        <v>6984</v>
      </c>
      <c r="BSZ28" t="s">
        <v>6984</v>
      </c>
      <c r="BTA28" t="s">
        <v>6984</v>
      </c>
      <c r="BTB28" t="s">
        <v>6984</v>
      </c>
      <c r="BTC28" t="s">
        <v>6984</v>
      </c>
      <c r="BTD28" t="s">
        <v>6984</v>
      </c>
      <c r="BTE28" t="s">
        <v>6984</v>
      </c>
      <c r="BTF28" t="s">
        <v>6984</v>
      </c>
      <c r="BTG28" t="s">
        <v>6984</v>
      </c>
      <c r="BTH28" t="s">
        <v>6984</v>
      </c>
      <c r="BTI28" t="s">
        <v>6984</v>
      </c>
      <c r="BTJ28" t="s">
        <v>6984</v>
      </c>
      <c r="BTK28" t="s">
        <v>6984</v>
      </c>
      <c r="BTL28" t="s">
        <v>6984</v>
      </c>
      <c r="BTM28" t="s">
        <v>6984</v>
      </c>
      <c r="BTN28" t="s">
        <v>6984</v>
      </c>
      <c r="BTO28" t="s">
        <v>6984</v>
      </c>
      <c r="BTP28" t="s">
        <v>6984</v>
      </c>
      <c r="BTQ28" t="s">
        <v>6984</v>
      </c>
      <c r="BTR28" t="s">
        <v>6984</v>
      </c>
      <c r="BTS28" t="s">
        <v>6984</v>
      </c>
      <c r="BTT28" t="s">
        <v>6984</v>
      </c>
      <c r="BTU28" t="s">
        <v>6984</v>
      </c>
      <c r="BTV28" t="s">
        <v>6984</v>
      </c>
      <c r="BTW28" t="s">
        <v>6984</v>
      </c>
      <c r="BTX28" t="s">
        <v>6984</v>
      </c>
      <c r="BTY28" t="s">
        <v>6984</v>
      </c>
      <c r="BTZ28" t="s">
        <v>6984</v>
      </c>
      <c r="BUA28" t="s">
        <v>6984</v>
      </c>
      <c r="BUB28" t="s">
        <v>6984</v>
      </c>
      <c r="BUC28" t="s">
        <v>6984</v>
      </c>
      <c r="BUD28" t="s">
        <v>6984</v>
      </c>
      <c r="BUE28" t="s">
        <v>6984</v>
      </c>
      <c r="BUF28" t="s">
        <v>6984</v>
      </c>
      <c r="BUG28" t="s">
        <v>6984</v>
      </c>
      <c r="BUH28" t="s">
        <v>6984</v>
      </c>
      <c r="BUI28" t="s">
        <v>6984</v>
      </c>
      <c r="BUJ28" t="s">
        <v>6984</v>
      </c>
      <c r="BUK28" t="s">
        <v>6984</v>
      </c>
      <c r="BUL28" t="s">
        <v>6984</v>
      </c>
      <c r="BUM28" t="s">
        <v>6984</v>
      </c>
      <c r="BUN28" t="s">
        <v>6984</v>
      </c>
      <c r="BUO28" t="s">
        <v>6984</v>
      </c>
      <c r="BUP28" t="s">
        <v>6984</v>
      </c>
      <c r="BUQ28" t="s">
        <v>6984</v>
      </c>
      <c r="BUR28" t="s">
        <v>6984</v>
      </c>
      <c r="BUS28" t="s">
        <v>6984</v>
      </c>
      <c r="BUT28" t="s">
        <v>6984</v>
      </c>
      <c r="BUU28" t="s">
        <v>6984</v>
      </c>
      <c r="BUV28" t="s">
        <v>6984</v>
      </c>
      <c r="BUW28" t="s">
        <v>6984</v>
      </c>
      <c r="BUX28" t="s">
        <v>6984</v>
      </c>
      <c r="BUY28" t="s">
        <v>6984</v>
      </c>
      <c r="BUZ28" t="s">
        <v>6984</v>
      </c>
      <c r="BVA28" t="s">
        <v>6984</v>
      </c>
      <c r="BVB28" t="s">
        <v>6984</v>
      </c>
      <c r="BVC28" t="s">
        <v>6984</v>
      </c>
      <c r="BVD28" t="s">
        <v>6984</v>
      </c>
      <c r="BVE28" t="s">
        <v>6984</v>
      </c>
      <c r="BVF28" t="s">
        <v>6984</v>
      </c>
      <c r="BVG28" t="s">
        <v>6984</v>
      </c>
      <c r="BVH28" t="s">
        <v>6984</v>
      </c>
      <c r="BVI28" t="s">
        <v>6984</v>
      </c>
      <c r="BVJ28" t="s">
        <v>6984</v>
      </c>
      <c r="BVK28" t="s">
        <v>6984</v>
      </c>
      <c r="BVL28" t="s">
        <v>6984</v>
      </c>
      <c r="BVM28" t="s">
        <v>6984</v>
      </c>
      <c r="BVN28" t="s">
        <v>6984</v>
      </c>
      <c r="BVO28" t="s">
        <v>6984</v>
      </c>
      <c r="BVP28" t="s">
        <v>6984</v>
      </c>
      <c r="BVQ28" t="s">
        <v>6984</v>
      </c>
      <c r="BVR28" t="s">
        <v>6984</v>
      </c>
      <c r="BVS28" t="s">
        <v>6984</v>
      </c>
      <c r="BVT28" t="s">
        <v>6984</v>
      </c>
      <c r="BVU28" t="s">
        <v>6984</v>
      </c>
      <c r="BVV28" t="s">
        <v>6984</v>
      </c>
      <c r="BVW28" t="s">
        <v>6984</v>
      </c>
      <c r="BVX28" t="s">
        <v>6984</v>
      </c>
      <c r="BVY28" t="s">
        <v>6984</v>
      </c>
      <c r="BVZ28" t="s">
        <v>6984</v>
      </c>
      <c r="BWA28" t="s">
        <v>6984</v>
      </c>
      <c r="BWB28" t="s">
        <v>6984</v>
      </c>
      <c r="BWC28" t="s">
        <v>6984</v>
      </c>
      <c r="BWD28" t="s">
        <v>6984</v>
      </c>
      <c r="BWE28" t="s">
        <v>6984</v>
      </c>
      <c r="BWF28" t="s">
        <v>6984</v>
      </c>
      <c r="BWG28" t="s">
        <v>6984</v>
      </c>
      <c r="BWH28" t="s">
        <v>6984</v>
      </c>
      <c r="BWI28" t="s">
        <v>6984</v>
      </c>
      <c r="BWJ28" t="s">
        <v>6984</v>
      </c>
      <c r="BWK28" t="s">
        <v>6984</v>
      </c>
      <c r="BWL28" t="s">
        <v>6984</v>
      </c>
      <c r="BWM28" t="s">
        <v>6984</v>
      </c>
      <c r="BWN28" t="s">
        <v>6984</v>
      </c>
      <c r="BWO28" t="s">
        <v>6984</v>
      </c>
      <c r="BWP28" t="s">
        <v>6984</v>
      </c>
      <c r="BWQ28" t="s">
        <v>6984</v>
      </c>
      <c r="BWR28" t="s">
        <v>6984</v>
      </c>
      <c r="BWS28" t="s">
        <v>6984</v>
      </c>
      <c r="BWT28" t="s">
        <v>6984</v>
      </c>
      <c r="BWU28" t="s">
        <v>6984</v>
      </c>
      <c r="BWV28" t="s">
        <v>6984</v>
      </c>
      <c r="BWW28" t="s">
        <v>6984</v>
      </c>
      <c r="BWX28" t="s">
        <v>6984</v>
      </c>
      <c r="BWY28" t="s">
        <v>6984</v>
      </c>
      <c r="BWZ28" t="s">
        <v>6984</v>
      </c>
      <c r="BXA28" t="s">
        <v>6984</v>
      </c>
      <c r="BXB28" t="s">
        <v>6984</v>
      </c>
      <c r="BXC28" t="s">
        <v>6984</v>
      </c>
      <c r="BXD28" t="s">
        <v>6984</v>
      </c>
      <c r="BXE28" t="s">
        <v>6984</v>
      </c>
      <c r="BXF28" t="s">
        <v>6984</v>
      </c>
      <c r="BXG28" t="s">
        <v>6984</v>
      </c>
      <c r="BXH28" t="s">
        <v>6984</v>
      </c>
      <c r="BXI28" t="s">
        <v>6984</v>
      </c>
      <c r="BXJ28" t="s">
        <v>6984</v>
      </c>
      <c r="BXK28" t="s">
        <v>6984</v>
      </c>
      <c r="BXL28" t="s">
        <v>6984</v>
      </c>
      <c r="BXM28" t="s">
        <v>6984</v>
      </c>
      <c r="BXN28" t="s">
        <v>6984</v>
      </c>
      <c r="BXO28" t="s">
        <v>6984</v>
      </c>
      <c r="BXP28" t="s">
        <v>6984</v>
      </c>
      <c r="BXQ28" t="s">
        <v>6984</v>
      </c>
      <c r="BXR28" t="s">
        <v>6984</v>
      </c>
      <c r="BXS28" t="s">
        <v>6984</v>
      </c>
      <c r="BXT28" t="s">
        <v>6984</v>
      </c>
      <c r="BXU28" t="s">
        <v>6984</v>
      </c>
      <c r="BXV28" t="s">
        <v>6984</v>
      </c>
      <c r="BXW28" t="s">
        <v>6984</v>
      </c>
      <c r="BXX28" t="s">
        <v>6984</v>
      </c>
      <c r="BXY28" t="s">
        <v>6984</v>
      </c>
      <c r="BXZ28" t="s">
        <v>6984</v>
      </c>
      <c r="BYA28" t="s">
        <v>6984</v>
      </c>
      <c r="BYB28" t="s">
        <v>6984</v>
      </c>
      <c r="BYC28" t="s">
        <v>6984</v>
      </c>
      <c r="BYD28" t="s">
        <v>6984</v>
      </c>
      <c r="BYE28" t="s">
        <v>6984</v>
      </c>
      <c r="BYF28" t="s">
        <v>6984</v>
      </c>
      <c r="BYG28" t="s">
        <v>6984</v>
      </c>
      <c r="BYH28" t="s">
        <v>6984</v>
      </c>
      <c r="BYI28" t="s">
        <v>6984</v>
      </c>
      <c r="BYJ28" t="s">
        <v>6984</v>
      </c>
      <c r="BYK28" t="s">
        <v>6984</v>
      </c>
      <c r="BYL28" t="s">
        <v>6984</v>
      </c>
      <c r="BYM28" t="s">
        <v>6984</v>
      </c>
      <c r="BYN28" t="s">
        <v>6984</v>
      </c>
      <c r="BYO28" t="s">
        <v>6984</v>
      </c>
      <c r="BYP28" t="s">
        <v>6984</v>
      </c>
      <c r="BYQ28" t="s">
        <v>6984</v>
      </c>
      <c r="BYR28" t="s">
        <v>6984</v>
      </c>
      <c r="BYS28" t="s">
        <v>6984</v>
      </c>
      <c r="BYT28" t="s">
        <v>6984</v>
      </c>
      <c r="BYU28" t="s">
        <v>6984</v>
      </c>
      <c r="BYV28" t="s">
        <v>6984</v>
      </c>
      <c r="BYW28" t="s">
        <v>6984</v>
      </c>
      <c r="BYX28" t="s">
        <v>6984</v>
      </c>
      <c r="BYY28" t="s">
        <v>6984</v>
      </c>
      <c r="BYZ28" t="s">
        <v>6984</v>
      </c>
      <c r="BZA28" t="s">
        <v>6984</v>
      </c>
      <c r="BZB28" t="s">
        <v>6984</v>
      </c>
      <c r="BZC28" t="s">
        <v>6984</v>
      </c>
      <c r="BZD28" t="s">
        <v>6984</v>
      </c>
      <c r="BZE28" t="s">
        <v>6984</v>
      </c>
      <c r="BZF28" t="s">
        <v>6984</v>
      </c>
      <c r="BZG28" t="s">
        <v>6984</v>
      </c>
      <c r="BZH28" t="s">
        <v>6984</v>
      </c>
      <c r="BZI28" t="s">
        <v>6984</v>
      </c>
      <c r="BZJ28" t="s">
        <v>6984</v>
      </c>
      <c r="BZK28" t="s">
        <v>6984</v>
      </c>
      <c r="BZL28" t="s">
        <v>6984</v>
      </c>
      <c r="BZM28" t="s">
        <v>6984</v>
      </c>
      <c r="BZN28" t="s">
        <v>6984</v>
      </c>
      <c r="BZO28" t="s">
        <v>6984</v>
      </c>
      <c r="BZP28" t="s">
        <v>6984</v>
      </c>
      <c r="BZQ28" t="s">
        <v>6984</v>
      </c>
      <c r="BZR28" t="s">
        <v>6984</v>
      </c>
      <c r="BZS28" t="s">
        <v>6984</v>
      </c>
      <c r="BZT28" t="s">
        <v>6984</v>
      </c>
      <c r="BZU28" t="s">
        <v>6984</v>
      </c>
      <c r="BZV28" t="s">
        <v>6984</v>
      </c>
      <c r="BZW28" t="s">
        <v>6984</v>
      </c>
      <c r="BZX28" t="s">
        <v>6984</v>
      </c>
      <c r="BZY28" t="s">
        <v>6984</v>
      </c>
      <c r="BZZ28" t="s">
        <v>6984</v>
      </c>
      <c r="CAA28" t="s">
        <v>6984</v>
      </c>
      <c r="CAB28" t="s">
        <v>6984</v>
      </c>
      <c r="CAC28" t="s">
        <v>6984</v>
      </c>
      <c r="CAD28" t="s">
        <v>6984</v>
      </c>
      <c r="CAE28" t="s">
        <v>6984</v>
      </c>
      <c r="CAF28" t="s">
        <v>6984</v>
      </c>
      <c r="CAG28" t="s">
        <v>6984</v>
      </c>
      <c r="CAH28" t="s">
        <v>6984</v>
      </c>
      <c r="CAI28" t="s">
        <v>6984</v>
      </c>
      <c r="CAJ28" t="s">
        <v>6984</v>
      </c>
      <c r="CAK28" t="s">
        <v>6984</v>
      </c>
      <c r="CAL28" t="s">
        <v>6984</v>
      </c>
      <c r="CAM28" t="s">
        <v>6984</v>
      </c>
      <c r="CAN28" t="s">
        <v>6984</v>
      </c>
      <c r="CAO28" t="s">
        <v>6984</v>
      </c>
      <c r="CAP28" t="s">
        <v>6984</v>
      </c>
      <c r="CAQ28" t="s">
        <v>6984</v>
      </c>
      <c r="CAR28" t="s">
        <v>6984</v>
      </c>
      <c r="CAS28" t="s">
        <v>6984</v>
      </c>
      <c r="CAT28" t="s">
        <v>6984</v>
      </c>
      <c r="CAU28" t="s">
        <v>6984</v>
      </c>
      <c r="CAV28" t="s">
        <v>6984</v>
      </c>
      <c r="CAW28" t="s">
        <v>6984</v>
      </c>
      <c r="CAX28" t="s">
        <v>6984</v>
      </c>
      <c r="CAY28" t="s">
        <v>6984</v>
      </c>
      <c r="CAZ28" t="s">
        <v>6984</v>
      </c>
      <c r="CBA28" t="s">
        <v>6984</v>
      </c>
      <c r="CBB28" t="s">
        <v>6984</v>
      </c>
      <c r="CBC28" t="s">
        <v>6984</v>
      </c>
      <c r="CBD28" t="s">
        <v>6984</v>
      </c>
      <c r="CBE28" t="s">
        <v>6984</v>
      </c>
      <c r="CBF28" t="s">
        <v>6984</v>
      </c>
      <c r="CBG28" t="s">
        <v>6984</v>
      </c>
      <c r="CBH28" t="s">
        <v>6984</v>
      </c>
      <c r="CBI28" t="s">
        <v>6984</v>
      </c>
      <c r="CBJ28" t="s">
        <v>6984</v>
      </c>
      <c r="CBK28" t="s">
        <v>6984</v>
      </c>
      <c r="CBL28" t="s">
        <v>6984</v>
      </c>
      <c r="CBM28" t="s">
        <v>6984</v>
      </c>
      <c r="CBN28" t="s">
        <v>6984</v>
      </c>
      <c r="CBO28" t="s">
        <v>6984</v>
      </c>
      <c r="CBP28" t="s">
        <v>6984</v>
      </c>
      <c r="CBQ28" t="s">
        <v>6984</v>
      </c>
      <c r="CBR28" t="s">
        <v>6984</v>
      </c>
      <c r="CBS28" t="s">
        <v>6984</v>
      </c>
      <c r="CBT28" t="s">
        <v>6984</v>
      </c>
      <c r="CBU28" t="s">
        <v>6984</v>
      </c>
      <c r="CBV28" t="s">
        <v>6984</v>
      </c>
      <c r="CBW28" t="s">
        <v>6984</v>
      </c>
      <c r="CBX28" t="s">
        <v>6984</v>
      </c>
      <c r="CBY28" t="s">
        <v>6984</v>
      </c>
      <c r="CBZ28" t="s">
        <v>6984</v>
      </c>
      <c r="CCA28" t="s">
        <v>6984</v>
      </c>
      <c r="CCB28" t="s">
        <v>6984</v>
      </c>
      <c r="CCC28" t="s">
        <v>6984</v>
      </c>
      <c r="CCD28" t="s">
        <v>6984</v>
      </c>
      <c r="CCE28" t="s">
        <v>6984</v>
      </c>
      <c r="CCF28" t="s">
        <v>6984</v>
      </c>
      <c r="CCG28" t="s">
        <v>6984</v>
      </c>
      <c r="CCH28" t="s">
        <v>6984</v>
      </c>
      <c r="CCI28" t="s">
        <v>6984</v>
      </c>
      <c r="CCJ28" t="s">
        <v>6984</v>
      </c>
      <c r="CCK28" t="s">
        <v>6984</v>
      </c>
      <c r="CCL28" t="s">
        <v>6984</v>
      </c>
      <c r="CCM28" t="s">
        <v>6984</v>
      </c>
      <c r="CCN28" t="s">
        <v>6984</v>
      </c>
      <c r="CCO28" t="s">
        <v>6984</v>
      </c>
      <c r="CCP28" t="s">
        <v>6984</v>
      </c>
      <c r="CCQ28" t="s">
        <v>6984</v>
      </c>
      <c r="CCR28" t="s">
        <v>6984</v>
      </c>
      <c r="CCS28" t="s">
        <v>6984</v>
      </c>
      <c r="CCT28" t="s">
        <v>6984</v>
      </c>
      <c r="CCU28" t="s">
        <v>6984</v>
      </c>
      <c r="CCV28" t="s">
        <v>6984</v>
      </c>
      <c r="CCW28" t="s">
        <v>6984</v>
      </c>
      <c r="CCX28" t="s">
        <v>6984</v>
      </c>
      <c r="CCY28" t="s">
        <v>6984</v>
      </c>
      <c r="CCZ28" t="s">
        <v>6984</v>
      </c>
      <c r="CDA28" t="s">
        <v>6984</v>
      </c>
      <c r="CDB28" t="s">
        <v>6984</v>
      </c>
      <c r="CDC28" t="s">
        <v>6984</v>
      </c>
      <c r="CDD28" t="s">
        <v>6984</v>
      </c>
      <c r="CDE28" t="s">
        <v>6984</v>
      </c>
      <c r="CDF28" t="s">
        <v>6984</v>
      </c>
      <c r="CDG28" t="s">
        <v>6984</v>
      </c>
      <c r="CDH28" t="s">
        <v>6984</v>
      </c>
      <c r="CDI28" t="s">
        <v>6984</v>
      </c>
      <c r="CDJ28" t="s">
        <v>6984</v>
      </c>
      <c r="CDK28" t="s">
        <v>6984</v>
      </c>
      <c r="CDL28" t="s">
        <v>6984</v>
      </c>
      <c r="CDM28" t="s">
        <v>6984</v>
      </c>
      <c r="CDN28" t="s">
        <v>6984</v>
      </c>
      <c r="CDO28" t="s">
        <v>6984</v>
      </c>
      <c r="CDP28" t="s">
        <v>6984</v>
      </c>
      <c r="CDQ28" t="s">
        <v>6984</v>
      </c>
      <c r="CDR28" t="s">
        <v>6984</v>
      </c>
      <c r="CDS28" t="s">
        <v>6984</v>
      </c>
      <c r="CDT28" t="s">
        <v>6984</v>
      </c>
      <c r="CDU28" t="s">
        <v>6984</v>
      </c>
      <c r="CDV28" t="s">
        <v>6984</v>
      </c>
      <c r="CDW28" t="s">
        <v>6984</v>
      </c>
      <c r="CDX28" t="s">
        <v>6984</v>
      </c>
      <c r="CDY28" t="s">
        <v>6984</v>
      </c>
      <c r="CDZ28" t="s">
        <v>6984</v>
      </c>
      <c r="CEA28" t="s">
        <v>6984</v>
      </c>
      <c r="CEB28" t="s">
        <v>6984</v>
      </c>
      <c r="CEC28" t="s">
        <v>6984</v>
      </c>
      <c r="CED28" t="s">
        <v>6984</v>
      </c>
      <c r="CEE28" t="s">
        <v>6984</v>
      </c>
      <c r="CEF28" t="s">
        <v>6984</v>
      </c>
      <c r="CEG28" t="s">
        <v>6984</v>
      </c>
      <c r="CEH28" t="s">
        <v>6984</v>
      </c>
      <c r="CEI28" t="s">
        <v>6984</v>
      </c>
      <c r="CEJ28" t="s">
        <v>6984</v>
      </c>
      <c r="CEK28" t="s">
        <v>6984</v>
      </c>
      <c r="CEL28" t="s">
        <v>6984</v>
      </c>
      <c r="CEM28" t="s">
        <v>6984</v>
      </c>
      <c r="CEN28" t="s">
        <v>6984</v>
      </c>
      <c r="CEO28" t="s">
        <v>6984</v>
      </c>
      <c r="CEP28" t="s">
        <v>6984</v>
      </c>
      <c r="CEQ28" t="s">
        <v>6984</v>
      </c>
      <c r="CER28" t="s">
        <v>6984</v>
      </c>
      <c r="CES28" t="s">
        <v>6984</v>
      </c>
      <c r="CET28" t="s">
        <v>6984</v>
      </c>
      <c r="CEU28" t="s">
        <v>6984</v>
      </c>
      <c r="CEV28" t="s">
        <v>6984</v>
      </c>
      <c r="CEW28" t="s">
        <v>6984</v>
      </c>
      <c r="CEX28" t="s">
        <v>6984</v>
      </c>
      <c r="CEY28" t="s">
        <v>6984</v>
      </c>
      <c r="CEZ28" t="s">
        <v>6984</v>
      </c>
      <c r="CFA28" t="s">
        <v>6984</v>
      </c>
      <c r="CFB28" t="s">
        <v>6984</v>
      </c>
      <c r="CFC28" t="s">
        <v>6984</v>
      </c>
      <c r="CFD28" t="s">
        <v>6984</v>
      </c>
      <c r="CFE28" t="s">
        <v>6984</v>
      </c>
      <c r="CFF28" t="s">
        <v>6984</v>
      </c>
      <c r="CFG28" t="s">
        <v>6984</v>
      </c>
      <c r="CFH28" t="s">
        <v>6984</v>
      </c>
      <c r="CFI28" t="s">
        <v>6984</v>
      </c>
      <c r="CFJ28" t="s">
        <v>6984</v>
      </c>
      <c r="CFK28" t="s">
        <v>6984</v>
      </c>
      <c r="CFL28" t="s">
        <v>6984</v>
      </c>
      <c r="CFM28" t="s">
        <v>6984</v>
      </c>
      <c r="CFN28" t="s">
        <v>6984</v>
      </c>
      <c r="CFO28" t="s">
        <v>6984</v>
      </c>
      <c r="CFP28" t="s">
        <v>6984</v>
      </c>
      <c r="CFQ28" t="s">
        <v>6984</v>
      </c>
      <c r="CFR28" t="s">
        <v>6984</v>
      </c>
      <c r="CFS28" t="s">
        <v>6984</v>
      </c>
      <c r="CFT28" t="s">
        <v>6984</v>
      </c>
      <c r="CFU28" t="s">
        <v>6984</v>
      </c>
      <c r="CFV28" t="s">
        <v>6984</v>
      </c>
      <c r="CFW28" t="s">
        <v>6984</v>
      </c>
      <c r="CFX28" t="s">
        <v>6984</v>
      </c>
      <c r="CFY28" t="s">
        <v>6984</v>
      </c>
      <c r="CFZ28" t="s">
        <v>6984</v>
      </c>
      <c r="CGA28" t="s">
        <v>6984</v>
      </c>
      <c r="CGB28" t="s">
        <v>6984</v>
      </c>
      <c r="CGC28" t="s">
        <v>6984</v>
      </c>
      <c r="CGD28" t="s">
        <v>6984</v>
      </c>
      <c r="CGE28" t="s">
        <v>6984</v>
      </c>
      <c r="CGF28" t="s">
        <v>6984</v>
      </c>
      <c r="CGG28" t="s">
        <v>6984</v>
      </c>
      <c r="CGH28" t="s">
        <v>6984</v>
      </c>
      <c r="CGI28" t="s">
        <v>6984</v>
      </c>
      <c r="CGJ28" t="s">
        <v>6984</v>
      </c>
      <c r="CGK28" t="s">
        <v>6984</v>
      </c>
      <c r="CGL28" t="s">
        <v>6984</v>
      </c>
      <c r="CGM28" t="s">
        <v>6984</v>
      </c>
      <c r="CGN28" t="s">
        <v>6984</v>
      </c>
      <c r="CGO28" t="s">
        <v>6984</v>
      </c>
      <c r="CGP28" t="s">
        <v>6984</v>
      </c>
      <c r="CGQ28" t="s">
        <v>6984</v>
      </c>
      <c r="CGR28" t="s">
        <v>6984</v>
      </c>
      <c r="CGS28" t="s">
        <v>6984</v>
      </c>
      <c r="CGT28" t="s">
        <v>6984</v>
      </c>
      <c r="CGU28" t="s">
        <v>6984</v>
      </c>
      <c r="CGV28" t="s">
        <v>6984</v>
      </c>
      <c r="CGW28" t="s">
        <v>6984</v>
      </c>
      <c r="CGX28" t="s">
        <v>6984</v>
      </c>
      <c r="CGY28" t="s">
        <v>6984</v>
      </c>
      <c r="CGZ28" t="s">
        <v>6984</v>
      </c>
      <c r="CHA28" t="s">
        <v>6984</v>
      </c>
      <c r="CHB28" t="s">
        <v>6984</v>
      </c>
      <c r="CHC28" t="s">
        <v>6984</v>
      </c>
      <c r="CHD28" t="s">
        <v>6984</v>
      </c>
      <c r="CHE28" t="s">
        <v>6984</v>
      </c>
      <c r="CHF28" t="s">
        <v>6984</v>
      </c>
      <c r="CHG28" t="s">
        <v>6984</v>
      </c>
      <c r="CHH28" t="s">
        <v>6984</v>
      </c>
      <c r="CHI28" t="s">
        <v>6984</v>
      </c>
      <c r="CHJ28" t="s">
        <v>6984</v>
      </c>
      <c r="CHK28" t="s">
        <v>6984</v>
      </c>
      <c r="CHL28" t="s">
        <v>6984</v>
      </c>
      <c r="CHM28" t="s">
        <v>6984</v>
      </c>
      <c r="CHN28" t="s">
        <v>6984</v>
      </c>
      <c r="CHO28" t="s">
        <v>6984</v>
      </c>
      <c r="CHP28" t="s">
        <v>6984</v>
      </c>
      <c r="CHQ28" t="s">
        <v>6984</v>
      </c>
      <c r="CHR28" t="s">
        <v>6984</v>
      </c>
      <c r="CHS28" t="s">
        <v>6984</v>
      </c>
      <c r="CHT28" t="s">
        <v>6984</v>
      </c>
      <c r="CHU28" t="s">
        <v>6984</v>
      </c>
      <c r="CHV28" t="s">
        <v>6984</v>
      </c>
      <c r="CHW28" t="s">
        <v>6984</v>
      </c>
      <c r="CHX28" t="s">
        <v>6984</v>
      </c>
      <c r="CHY28" t="s">
        <v>6984</v>
      </c>
      <c r="CHZ28" t="s">
        <v>6984</v>
      </c>
      <c r="CIA28" t="s">
        <v>6984</v>
      </c>
      <c r="CIB28" t="s">
        <v>6984</v>
      </c>
      <c r="CIC28" t="s">
        <v>6984</v>
      </c>
      <c r="CID28" t="s">
        <v>6984</v>
      </c>
      <c r="CIE28" t="s">
        <v>6984</v>
      </c>
      <c r="CIF28" t="s">
        <v>6984</v>
      </c>
      <c r="CIG28" t="s">
        <v>6984</v>
      </c>
      <c r="CIH28" t="s">
        <v>6984</v>
      </c>
      <c r="CII28" t="s">
        <v>6984</v>
      </c>
      <c r="CIJ28" t="s">
        <v>6984</v>
      </c>
      <c r="CIK28" t="s">
        <v>6984</v>
      </c>
      <c r="CIL28" t="s">
        <v>6984</v>
      </c>
      <c r="CIM28" t="s">
        <v>6984</v>
      </c>
      <c r="CIN28" t="s">
        <v>6984</v>
      </c>
      <c r="CIO28" t="s">
        <v>6984</v>
      </c>
      <c r="CIP28" t="s">
        <v>6984</v>
      </c>
      <c r="CIQ28" t="s">
        <v>6984</v>
      </c>
      <c r="CIR28" t="s">
        <v>6984</v>
      </c>
      <c r="CIS28" t="s">
        <v>6984</v>
      </c>
      <c r="CIT28" t="s">
        <v>6984</v>
      </c>
      <c r="CIU28" t="s">
        <v>6984</v>
      </c>
      <c r="CIV28" t="s">
        <v>6984</v>
      </c>
      <c r="CIW28" t="s">
        <v>6984</v>
      </c>
      <c r="CIX28" t="s">
        <v>6984</v>
      </c>
      <c r="CIY28" t="s">
        <v>6984</v>
      </c>
      <c r="CIZ28" t="s">
        <v>6984</v>
      </c>
      <c r="CJA28" t="s">
        <v>6984</v>
      </c>
      <c r="CJB28" t="s">
        <v>6984</v>
      </c>
      <c r="CJC28" t="s">
        <v>6984</v>
      </c>
      <c r="CJD28" t="s">
        <v>6984</v>
      </c>
      <c r="CJE28" t="s">
        <v>6984</v>
      </c>
      <c r="CJF28" t="s">
        <v>6984</v>
      </c>
      <c r="CJG28" t="s">
        <v>6984</v>
      </c>
      <c r="CJH28" t="s">
        <v>6984</v>
      </c>
      <c r="CJI28" t="s">
        <v>6984</v>
      </c>
      <c r="CJJ28" t="s">
        <v>6984</v>
      </c>
      <c r="CJK28" t="s">
        <v>6984</v>
      </c>
      <c r="CJL28" t="s">
        <v>6984</v>
      </c>
      <c r="CJM28" t="s">
        <v>6984</v>
      </c>
      <c r="CJN28" t="s">
        <v>6984</v>
      </c>
      <c r="CJO28" t="s">
        <v>6984</v>
      </c>
      <c r="CJP28" t="s">
        <v>6984</v>
      </c>
      <c r="CJQ28" t="s">
        <v>6984</v>
      </c>
      <c r="CJR28" t="s">
        <v>6984</v>
      </c>
      <c r="CJS28" t="s">
        <v>6984</v>
      </c>
      <c r="CJT28" t="s">
        <v>6984</v>
      </c>
      <c r="CJU28" t="s">
        <v>6984</v>
      </c>
      <c r="CJV28" t="s">
        <v>6984</v>
      </c>
      <c r="CJW28" t="s">
        <v>6984</v>
      </c>
      <c r="CJX28" t="s">
        <v>6984</v>
      </c>
      <c r="CJY28" t="s">
        <v>6984</v>
      </c>
      <c r="CJZ28" t="s">
        <v>6984</v>
      </c>
      <c r="CKA28" t="s">
        <v>6984</v>
      </c>
      <c r="CKB28" t="s">
        <v>6984</v>
      </c>
      <c r="CKC28" t="s">
        <v>6984</v>
      </c>
      <c r="CKD28" t="s">
        <v>6984</v>
      </c>
      <c r="CKE28" t="s">
        <v>6984</v>
      </c>
      <c r="CKF28" t="s">
        <v>6984</v>
      </c>
      <c r="CKG28" t="s">
        <v>6984</v>
      </c>
      <c r="CKH28" t="s">
        <v>6984</v>
      </c>
      <c r="CKI28" t="s">
        <v>6984</v>
      </c>
      <c r="CKJ28" t="s">
        <v>6984</v>
      </c>
      <c r="CKK28" t="s">
        <v>6984</v>
      </c>
      <c r="CKL28" t="s">
        <v>6984</v>
      </c>
      <c r="CKM28" t="s">
        <v>6984</v>
      </c>
      <c r="CKN28" t="s">
        <v>6984</v>
      </c>
      <c r="CKO28" t="s">
        <v>6984</v>
      </c>
      <c r="CKP28" t="s">
        <v>6984</v>
      </c>
      <c r="CKQ28" t="s">
        <v>6984</v>
      </c>
      <c r="CKR28" t="s">
        <v>6984</v>
      </c>
      <c r="CKS28" t="s">
        <v>6984</v>
      </c>
      <c r="CKT28" t="s">
        <v>6984</v>
      </c>
      <c r="CKU28" t="s">
        <v>6984</v>
      </c>
      <c r="CKV28" t="s">
        <v>6984</v>
      </c>
      <c r="CKW28" t="s">
        <v>6984</v>
      </c>
      <c r="CKX28" t="s">
        <v>6984</v>
      </c>
      <c r="CKY28" t="s">
        <v>6984</v>
      </c>
      <c r="CKZ28" t="s">
        <v>6984</v>
      </c>
      <c r="CLA28" t="s">
        <v>6984</v>
      </c>
      <c r="CLB28" t="s">
        <v>6984</v>
      </c>
      <c r="CLC28" t="s">
        <v>6984</v>
      </c>
      <c r="CLD28" t="s">
        <v>6984</v>
      </c>
      <c r="CLE28" t="s">
        <v>6984</v>
      </c>
      <c r="CLF28" t="s">
        <v>6984</v>
      </c>
      <c r="CLG28" t="s">
        <v>6984</v>
      </c>
      <c r="CLH28" t="s">
        <v>6984</v>
      </c>
      <c r="CLI28" t="s">
        <v>6984</v>
      </c>
      <c r="CLJ28" t="s">
        <v>6984</v>
      </c>
      <c r="CLK28" t="s">
        <v>6984</v>
      </c>
      <c r="CLL28" t="s">
        <v>6984</v>
      </c>
      <c r="CLM28" t="s">
        <v>6984</v>
      </c>
      <c r="CLN28" t="s">
        <v>6984</v>
      </c>
      <c r="CLO28" t="s">
        <v>6984</v>
      </c>
      <c r="CLP28" t="s">
        <v>6984</v>
      </c>
      <c r="CLQ28" t="s">
        <v>6984</v>
      </c>
      <c r="CLR28" t="s">
        <v>6984</v>
      </c>
      <c r="CLS28" t="s">
        <v>6984</v>
      </c>
      <c r="CLT28" t="s">
        <v>6984</v>
      </c>
      <c r="CLU28" t="s">
        <v>6984</v>
      </c>
      <c r="CLV28" t="s">
        <v>6984</v>
      </c>
      <c r="CLW28" t="s">
        <v>6984</v>
      </c>
      <c r="CLX28" t="s">
        <v>6984</v>
      </c>
      <c r="CLY28" t="s">
        <v>6984</v>
      </c>
      <c r="CLZ28" t="s">
        <v>6984</v>
      </c>
      <c r="CMA28" t="s">
        <v>6984</v>
      </c>
      <c r="CMB28" t="s">
        <v>6984</v>
      </c>
      <c r="CMC28" t="s">
        <v>6984</v>
      </c>
      <c r="CMD28" t="s">
        <v>6984</v>
      </c>
      <c r="CME28" t="s">
        <v>6984</v>
      </c>
      <c r="CMF28" t="s">
        <v>6984</v>
      </c>
      <c r="CMG28" t="s">
        <v>6984</v>
      </c>
      <c r="CMH28" t="s">
        <v>6984</v>
      </c>
      <c r="CMI28" t="s">
        <v>6984</v>
      </c>
      <c r="CMJ28" t="s">
        <v>6984</v>
      </c>
      <c r="CMK28" t="s">
        <v>6984</v>
      </c>
      <c r="CML28" t="s">
        <v>6984</v>
      </c>
      <c r="CMM28" t="s">
        <v>6984</v>
      </c>
      <c r="CMN28" t="s">
        <v>6984</v>
      </c>
      <c r="CMO28" t="s">
        <v>6984</v>
      </c>
      <c r="CMP28" t="s">
        <v>6984</v>
      </c>
      <c r="CMQ28" t="s">
        <v>6984</v>
      </c>
      <c r="CMR28" t="s">
        <v>6984</v>
      </c>
      <c r="CMS28" t="s">
        <v>6984</v>
      </c>
      <c r="CMT28" t="s">
        <v>6984</v>
      </c>
      <c r="CMU28" t="s">
        <v>6984</v>
      </c>
      <c r="CMV28" t="s">
        <v>6984</v>
      </c>
      <c r="CMW28" t="s">
        <v>6984</v>
      </c>
      <c r="CMX28" t="s">
        <v>6984</v>
      </c>
      <c r="CMY28" t="s">
        <v>6984</v>
      </c>
      <c r="CMZ28" t="s">
        <v>6984</v>
      </c>
      <c r="CNA28" t="s">
        <v>6984</v>
      </c>
      <c r="CNB28" t="s">
        <v>6984</v>
      </c>
      <c r="CNC28" t="s">
        <v>6984</v>
      </c>
      <c r="CND28" t="s">
        <v>6984</v>
      </c>
      <c r="CNE28" t="s">
        <v>6984</v>
      </c>
      <c r="CNF28" t="s">
        <v>6984</v>
      </c>
      <c r="CNG28" t="s">
        <v>6984</v>
      </c>
      <c r="CNH28" t="s">
        <v>6984</v>
      </c>
      <c r="CNI28" t="s">
        <v>6984</v>
      </c>
      <c r="CNJ28" t="s">
        <v>6984</v>
      </c>
      <c r="CNK28" t="s">
        <v>6984</v>
      </c>
      <c r="CNL28" t="s">
        <v>6984</v>
      </c>
      <c r="CNM28" t="s">
        <v>6984</v>
      </c>
      <c r="CNN28" t="s">
        <v>6984</v>
      </c>
      <c r="CNO28" t="s">
        <v>6984</v>
      </c>
      <c r="CNP28" t="s">
        <v>6984</v>
      </c>
      <c r="CNQ28" t="s">
        <v>6984</v>
      </c>
      <c r="CNR28" t="s">
        <v>6984</v>
      </c>
      <c r="CNS28" t="s">
        <v>6984</v>
      </c>
      <c r="CNT28" t="s">
        <v>6984</v>
      </c>
      <c r="CNU28" t="s">
        <v>6984</v>
      </c>
      <c r="CNV28" t="s">
        <v>6984</v>
      </c>
      <c r="CNW28" t="s">
        <v>6984</v>
      </c>
      <c r="CNX28" t="s">
        <v>6984</v>
      </c>
      <c r="CNY28" t="s">
        <v>6984</v>
      </c>
      <c r="CNZ28" t="s">
        <v>6984</v>
      </c>
      <c r="COA28" t="s">
        <v>6984</v>
      </c>
      <c r="COB28" t="s">
        <v>6984</v>
      </c>
      <c r="COC28" t="s">
        <v>6984</v>
      </c>
      <c r="COD28" t="s">
        <v>6984</v>
      </c>
      <c r="COE28" t="s">
        <v>6984</v>
      </c>
      <c r="COF28" t="s">
        <v>6984</v>
      </c>
      <c r="COG28" t="s">
        <v>6984</v>
      </c>
      <c r="COH28" t="s">
        <v>6984</v>
      </c>
      <c r="COI28" t="s">
        <v>6984</v>
      </c>
      <c r="COJ28" t="s">
        <v>6984</v>
      </c>
      <c r="COK28" t="s">
        <v>6984</v>
      </c>
      <c r="COL28" t="s">
        <v>6984</v>
      </c>
      <c r="COM28" t="s">
        <v>6984</v>
      </c>
      <c r="CON28" t="s">
        <v>6984</v>
      </c>
      <c r="COO28" t="s">
        <v>6984</v>
      </c>
      <c r="COP28" t="s">
        <v>6984</v>
      </c>
      <c r="COQ28" t="s">
        <v>6984</v>
      </c>
      <c r="COR28" t="s">
        <v>6984</v>
      </c>
      <c r="COS28" t="s">
        <v>6984</v>
      </c>
      <c r="COT28" t="s">
        <v>6984</v>
      </c>
      <c r="COU28" t="s">
        <v>6984</v>
      </c>
      <c r="COV28" t="s">
        <v>6984</v>
      </c>
      <c r="COW28" t="s">
        <v>6984</v>
      </c>
      <c r="COX28" t="s">
        <v>6984</v>
      </c>
      <c r="COY28" t="s">
        <v>6984</v>
      </c>
      <c r="COZ28" t="s">
        <v>6984</v>
      </c>
      <c r="CPA28" t="s">
        <v>6984</v>
      </c>
      <c r="CPB28" t="s">
        <v>6984</v>
      </c>
      <c r="CPC28" t="s">
        <v>6984</v>
      </c>
      <c r="CPD28" t="s">
        <v>6984</v>
      </c>
      <c r="CPE28" t="s">
        <v>6984</v>
      </c>
      <c r="CPF28" t="s">
        <v>6984</v>
      </c>
      <c r="CPG28" t="s">
        <v>6984</v>
      </c>
      <c r="CPH28" t="s">
        <v>6984</v>
      </c>
      <c r="CPI28" t="s">
        <v>6984</v>
      </c>
      <c r="CPJ28" t="s">
        <v>6984</v>
      </c>
      <c r="CPK28" t="s">
        <v>6984</v>
      </c>
      <c r="CPL28" t="s">
        <v>6984</v>
      </c>
      <c r="CPM28" t="s">
        <v>6984</v>
      </c>
      <c r="CPN28" t="s">
        <v>6984</v>
      </c>
      <c r="CPO28" t="s">
        <v>6984</v>
      </c>
      <c r="CPP28" t="s">
        <v>6984</v>
      </c>
      <c r="CPQ28" t="s">
        <v>6984</v>
      </c>
      <c r="CPR28" t="s">
        <v>6984</v>
      </c>
      <c r="CPS28" t="s">
        <v>6984</v>
      </c>
      <c r="CPT28" t="s">
        <v>6984</v>
      </c>
      <c r="CPU28" t="s">
        <v>6984</v>
      </c>
      <c r="CPV28" t="s">
        <v>6984</v>
      </c>
      <c r="CPW28" t="s">
        <v>6984</v>
      </c>
      <c r="CPX28" t="s">
        <v>6984</v>
      </c>
      <c r="CPY28" t="s">
        <v>6984</v>
      </c>
      <c r="CPZ28" t="s">
        <v>6984</v>
      </c>
      <c r="CQA28" t="s">
        <v>6984</v>
      </c>
      <c r="CQB28" t="s">
        <v>6984</v>
      </c>
      <c r="CQC28" t="s">
        <v>6984</v>
      </c>
      <c r="CQD28" t="s">
        <v>6984</v>
      </c>
      <c r="CQE28" t="s">
        <v>6984</v>
      </c>
      <c r="CQF28" t="s">
        <v>6984</v>
      </c>
      <c r="CQG28" t="s">
        <v>6984</v>
      </c>
      <c r="CQH28" t="s">
        <v>6984</v>
      </c>
      <c r="CQI28" t="s">
        <v>6984</v>
      </c>
      <c r="CQJ28" t="s">
        <v>6984</v>
      </c>
      <c r="CQK28" t="s">
        <v>6984</v>
      </c>
      <c r="CQL28" t="s">
        <v>6984</v>
      </c>
      <c r="CQM28" t="s">
        <v>6984</v>
      </c>
      <c r="CQN28" t="s">
        <v>6984</v>
      </c>
      <c r="CQO28" t="s">
        <v>6984</v>
      </c>
      <c r="CQP28" t="s">
        <v>6984</v>
      </c>
      <c r="CQQ28" t="s">
        <v>6984</v>
      </c>
      <c r="CQR28" t="s">
        <v>6984</v>
      </c>
      <c r="CQS28" t="s">
        <v>6984</v>
      </c>
      <c r="CQT28" t="s">
        <v>6984</v>
      </c>
      <c r="CQU28" t="s">
        <v>6984</v>
      </c>
      <c r="CQV28" t="s">
        <v>6984</v>
      </c>
      <c r="CQW28" t="s">
        <v>6984</v>
      </c>
      <c r="CQX28" t="s">
        <v>6984</v>
      </c>
      <c r="CQY28" t="s">
        <v>6984</v>
      </c>
      <c r="CQZ28" t="s">
        <v>6984</v>
      </c>
      <c r="CRA28" t="s">
        <v>6984</v>
      </c>
      <c r="CRB28" t="s">
        <v>6984</v>
      </c>
      <c r="CRC28" t="s">
        <v>6984</v>
      </c>
      <c r="CRD28" t="s">
        <v>6984</v>
      </c>
      <c r="CRE28" t="s">
        <v>6984</v>
      </c>
      <c r="CRF28" t="s">
        <v>6984</v>
      </c>
      <c r="CRG28" t="s">
        <v>6984</v>
      </c>
      <c r="CRH28" t="s">
        <v>6984</v>
      </c>
      <c r="CRI28" t="s">
        <v>6984</v>
      </c>
      <c r="CRJ28" t="s">
        <v>6984</v>
      </c>
      <c r="CRK28" t="s">
        <v>6984</v>
      </c>
      <c r="CRL28" t="s">
        <v>6984</v>
      </c>
      <c r="CRM28" t="s">
        <v>6984</v>
      </c>
      <c r="CRN28" t="s">
        <v>6984</v>
      </c>
      <c r="CRO28" t="s">
        <v>6984</v>
      </c>
      <c r="CRP28" t="s">
        <v>6984</v>
      </c>
      <c r="CRQ28" t="s">
        <v>6984</v>
      </c>
      <c r="CRR28" t="s">
        <v>6984</v>
      </c>
      <c r="CRS28" t="s">
        <v>6984</v>
      </c>
      <c r="CRT28" t="s">
        <v>6984</v>
      </c>
      <c r="CRU28" t="s">
        <v>6984</v>
      </c>
      <c r="CRV28" t="s">
        <v>6984</v>
      </c>
      <c r="CRW28" t="s">
        <v>6984</v>
      </c>
      <c r="CRX28" t="s">
        <v>6984</v>
      </c>
      <c r="CRY28" t="s">
        <v>6984</v>
      </c>
      <c r="CRZ28" t="s">
        <v>6984</v>
      </c>
      <c r="CSA28" t="s">
        <v>6984</v>
      </c>
      <c r="CSB28" t="s">
        <v>6984</v>
      </c>
      <c r="CSC28" t="s">
        <v>6984</v>
      </c>
      <c r="CSD28" t="s">
        <v>6984</v>
      </c>
      <c r="CSE28" t="s">
        <v>6984</v>
      </c>
      <c r="CSF28" t="s">
        <v>6984</v>
      </c>
      <c r="CSG28" t="s">
        <v>6984</v>
      </c>
      <c r="CSH28" t="s">
        <v>6984</v>
      </c>
      <c r="CSI28" t="s">
        <v>6984</v>
      </c>
      <c r="CSJ28" t="s">
        <v>6984</v>
      </c>
      <c r="CSK28" t="s">
        <v>6984</v>
      </c>
      <c r="CSL28" t="s">
        <v>6984</v>
      </c>
      <c r="CSM28" t="s">
        <v>6984</v>
      </c>
      <c r="CSN28" t="s">
        <v>6984</v>
      </c>
      <c r="CSO28" t="s">
        <v>6984</v>
      </c>
      <c r="CSP28" t="s">
        <v>6984</v>
      </c>
      <c r="CSQ28" t="s">
        <v>6984</v>
      </c>
      <c r="CSR28" t="s">
        <v>6984</v>
      </c>
      <c r="CSS28" t="s">
        <v>6984</v>
      </c>
      <c r="CST28" t="s">
        <v>6984</v>
      </c>
      <c r="CSU28" t="s">
        <v>6984</v>
      </c>
      <c r="CSV28" t="s">
        <v>6984</v>
      </c>
      <c r="CSW28" t="s">
        <v>6984</v>
      </c>
      <c r="CSX28" t="s">
        <v>6984</v>
      </c>
      <c r="CSY28" t="s">
        <v>6984</v>
      </c>
      <c r="CSZ28" t="s">
        <v>6984</v>
      </c>
      <c r="CTA28" t="s">
        <v>6984</v>
      </c>
      <c r="CTB28" t="s">
        <v>6984</v>
      </c>
      <c r="CTC28" t="s">
        <v>6984</v>
      </c>
      <c r="CTD28" t="s">
        <v>6984</v>
      </c>
      <c r="CTE28" t="s">
        <v>6984</v>
      </c>
      <c r="CTF28" t="s">
        <v>6984</v>
      </c>
      <c r="CTG28" t="s">
        <v>6984</v>
      </c>
      <c r="CTH28" t="s">
        <v>6984</v>
      </c>
      <c r="CTI28" t="s">
        <v>6984</v>
      </c>
      <c r="CTJ28" t="s">
        <v>6984</v>
      </c>
      <c r="CTK28" t="s">
        <v>6984</v>
      </c>
      <c r="CTL28" t="s">
        <v>6984</v>
      </c>
      <c r="CTM28" t="s">
        <v>6984</v>
      </c>
      <c r="CTN28" t="s">
        <v>6984</v>
      </c>
      <c r="CTO28" t="s">
        <v>6984</v>
      </c>
      <c r="CTP28" t="s">
        <v>6984</v>
      </c>
      <c r="CTQ28" t="s">
        <v>6984</v>
      </c>
      <c r="CTR28" t="s">
        <v>6984</v>
      </c>
      <c r="CTS28" t="s">
        <v>6984</v>
      </c>
      <c r="CTT28" t="s">
        <v>6984</v>
      </c>
      <c r="CTU28" t="s">
        <v>6984</v>
      </c>
      <c r="CTV28" t="s">
        <v>6984</v>
      </c>
      <c r="CTW28" t="s">
        <v>6984</v>
      </c>
      <c r="CTX28" t="s">
        <v>6984</v>
      </c>
      <c r="CTY28" t="s">
        <v>6984</v>
      </c>
      <c r="CTZ28" t="s">
        <v>6984</v>
      </c>
      <c r="CUA28" t="s">
        <v>6984</v>
      </c>
      <c r="CUB28" t="s">
        <v>6984</v>
      </c>
      <c r="CUC28" t="s">
        <v>6984</v>
      </c>
      <c r="CUD28" t="s">
        <v>6984</v>
      </c>
      <c r="CUE28" t="s">
        <v>6984</v>
      </c>
      <c r="CUF28" t="s">
        <v>6984</v>
      </c>
      <c r="CUG28" t="s">
        <v>6984</v>
      </c>
      <c r="CUH28" t="s">
        <v>6984</v>
      </c>
      <c r="CUI28" t="s">
        <v>6984</v>
      </c>
      <c r="CUJ28" t="s">
        <v>6984</v>
      </c>
      <c r="CUK28" t="s">
        <v>6984</v>
      </c>
      <c r="CUL28" t="s">
        <v>6984</v>
      </c>
      <c r="CUM28" t="s">
        <v>6984</v>
      </c>
      <c r="CUN28" t="s">
        <v>6984</v>
      </c>
      <c r="CUO28" t="s">
        <v>6984</v>
      </c>
      <c r="CUP28" t="s">
        <v>6984</v>
      </c>
      <c r="CUQ28" t="s">
        <v>6984</v>
      </c>
      <c r="CUR28" t="s">
        <v>6984</v>
      </c>
      <c r="CUS28" t="s">
        <v>6984</v>
      </c>
      <c r="CUT28" t="s">
        <v>6984</v>
      </c>
      <c r="CUU28" t="s">
        <v>6984</v>
      </c>
      <c r="CUV28" t="s">
        <v>6984</v>
      </c>
      <c r="CUW28" t="s">
        <v>6984</v>
      </c>
      <c r="CUX28" t="s">
        <v>6984</v>
      </c>
      <c r="CUY28" t="s">
        <v>6984</v>
      </c>
      <c r="CUZ28" t="s">
        <v>6984</v>
      </c>
      <c r="CVA28" t="s">
        <v>6984</v>
      </c>
      <c r="CVB28" t="s">
        <v>6984</v>
      </c>
      <c r="CVC28" t="s">
        <v>6984</v>
      </c>
      <c r="CVD28" t="s">
        <v>6984</v>
      </c>
      <c r="CVE28" t="s">
        <v>6984</v>
      </c>
      <c r="CVF28" t="s">
        <v>6984</v>
      </c>
      <c r="CVG28" t="s">
        <v>6984</v>
      </c>
      <c r="CVH28" t="s">
        <v>6984</v>
      </c>
      <c r="CVI28" t="s">
        <v>6984</v>
      </c>
      <c r="CVJ28" t="s">
        <v>6984</v>
      </c>
      <c r="CVK28" t="s">
        <v>6984</v>
      </c>
      <c r="CVL28" t="s">
        <v>6984</v>
      </c>
      <c r="CVM28" t="s">
        <v>6984</v>
      </c>
      <c r="CVN28" t="s">
        <v>6984</v>
      </c>
      <c r="CVO28" t="s">
        <v>6984</v>
      </c>
      <c r="CVP28" t="s">
        <v>6984</v>
      </c>
      <c r="CVQ28" t="s">
        <v>6984</v>
      </c>
      <c r="CVR28" t="s">
        <v>6984</v>
      </c>
      <c r="CVS28" t="s">
        <v>6984</v>
      </c>
      <c r="CVT28" t="s">
        <v>6984</v>
      </c>
      <c r="CVU28" t="s">
        <v>6984</v>
      </c>
      <c r="CVV28" t="s">
        <v>6984</v>
      </c>
      <c r="CVW28" t="s">
        <v>6984</v>
      </c>
      <c r="CVX28" t="s">
        <v>6984</v>
      </c>
      <c r="CVY28" t="s">
        <v>6984</v>
      </c>
      <c r="CVZ28" t="s">
        <v>6984</v>
      </c>
      <c r="CWA28" t="s">
        <v>6984</v>
      </c>
      <c r="CWB28" t="s">
        <v>6984</v>
      </c>
      <c r="CWC28" t="s">
        <v>6984</v>
      </c>
      <c r="CWD28" t="s">
        <v>6984</v>
      </c>
      <c r="CWE28" t="s">
        <v>6984</v>
      </c>
      <c r="CWF28" t="s">
        <v>6984</v>
      </c>
      <c r="CWG28" t="s">
        <v>6984</v>
      </c>
      <c r="CWH28" t="s">
        <v>6984</v>
      </c>
      <c r="CWI28" t="s">
        <v>6984</v>
      </c>
      <c r="CWJ28" t="s">
        <v>6984</v>
      </c>
      <c r="CWK28" t="s">
        <v>6984</v>
      </c>
      <c r="CWL28" t="s">
        <v>6984</v>
      </c>
      <c r="CWM28" t="s">
        <v>6984</v>
      </c>
      <c r="CWN28" t="s">
        <v>6984</v>
      </c>
      <c r="CWO28" t="s">
        <v>6984</v>
      </c>
      <c r="CWP28" t="s">
        <v>6984</v>
      </c>
      <c r="CWQ28" t="s">
        <v>6984</v>
      </c>
      <c r="CWR28" t="s">
        <v>6984</v>
      </c>
      <c r="CWS28" t="s">
        <v>6984</v>
      </c>
      <c r="CWT28" t="s">
        <v>6984</v>
      </c>
      <c r="CWU28" t="s">
        <v>6984</v>
      </c>
      <c r="CWV28" t="s">
        <v>6984</v>
      </c>
      <c r="CWW28" t="s">
        <v>6984</v>
      </c>
      <c r="CWX28" t="s">
        <v>6984</v>
      </c>
      <c r="CWY28" t="s">
        <v>6984</v>
      </c>
      <c r="CWZ28" t="s">
        <v>6984</v>
      </c>
      <c r="CXA28" t="s">
        <v>6984</v>
      </c>
      <c r="CXB28" t="s">
        <v>6984</v>
      </c>
      <c r="CXC28" t="s">
        <v>6984</v>
      </c>
      <c r="CXD28" t="s">
        <v>6984</v>
      </c>
      <c r="CXE28" t="s">
        <v>6984</v>
      </c>
      <c r="CXF28" t="s">
        <v>6984</v>
      </c>
      <c r="CXG28" t="s">
        <v>6984</v>
      </c>
      <c r="CXH28" t="s">
        <v>6984</v>
      </c>
      <c r="CXI28" t="s">
        <v>6984</v>
      </c>
      <c r="CXJ28" t="s">
        <v>6984</v>
      </c>
      <c r="CXK28" t="s">
        <v>6984</v>
      </c>
      <c r="CXL28" t="s">
        <v>6984</v>
      </c>
      <c r="CXM28" t="s">
        <v>6984</v>
      </c>
      <c r="CXN28" t="s">
        <v>6984</v>
      </c>
      <c r="CXO28" t="s">
        <v>6984</v>
      </c>
      <c r="CXP28" t="s">
        <v>6984</v>
      </c>
      <c r="CXQ28" t="s">
        <v>6984</v>
      </c>
      <c r="CXR28" t="s">
        <v>6984</v>
      </c>
      <c r="CXS28" t="s">
        <v>6984</v>
      </c>
      <c r="CXT28" t="s">
        <v>6984</v>
      </c>
      <c r="CXU28" t="s">
        <v>6984</v>
      </c>
      <c r="CXV28" t="s">
        <v>6984</v>
      </c>
      <c r="CXW28" t="s">
        <v>6984</v>
      </c>
      <c r="CXX28" t="s">
        <v>6984</v>
      </c>
      <c r="CXY28" t="s">
        <v>6984</v>
      </c>
      <c r="CXZ28" t="s">
        <v>6984</v>
      </c>
      <c r="CYA28" t="s">
        <v>6984</v>
      </c>
      <c r="CYB28" t="s">
        <v>6984</v>
      </c>
      <c r="CYC28" t="s">
        <v>6984</v>
      </c>
      <c r="CYD28" t="s">
        <v>6984</v>
      </c>
      <c r="CYE28" t="s">
        <v>6984</v>
      </c>
      <c r="CYF28" t="s">
        <v>6984</v>
      </c>
      <c r="CYG28" t="s">
        <v>6984</v>
      </c>
      <c r="CYH28" t="s">
        <v>6984</v>
      </c>
      <c r="CYI28" t="s">
        <v>6984</v>
      </c>
      <c r="CYJ28" t="s">
        <v>6984</v>
      </c>
      <c r="CYK28" t="s">
        <v>6984</v>
      </c>
      <c r="CYL28" t="s">
        <v>6984</v>
      </c>
      <c r="CYM28" t="s">
        <v>6984</v>
      </c>
      <c r="CYN28" t="s">
        <v>6984</v>
      </c>
      <c r="CYO28" t="s">
        <v>6984</v>
      </c>
      <c r="CYP28" t="s">
        <v>6984</v>
      </c>
      <c r="CYQ28" t="s">
        <v>6984</v>
      </c>
      <c r="CYR28" t="s">
        <v>6984</v>
      </c>
      <c r="CYS28" t="s">
        <v>6984</v>
      </c>
      <c r="CYT28" t="s">
        <v>6984</v>
      </c>
      <c r="CYU28" t="s">
        <v>6984</v>
      </c>
      <c r="CYV28" t="s">
        <v>6984</v>
      </c>
      <c r="CYW28" t="s">
        <v>6984</v>
      </c>
      <c r="CYX28" t="s">
        <v>6984</v>
      </c>
      <c r="CYY28" t="s">
        <v>6984</v>
      </c>
      <c r="CYZ28" t="s">
        <v>6984</v>
      </c>
      <c r="CZA28" t="s">
        <v>6984</v>
      </c>
      <c r="CZB28" t="s">
        <v>6984</v>
      </c>
      <c r="CZC28" t="s">
        <v>6984</v>
      </c>
      <c r="CZD28" t="s">
        <v>6984</v>
      </c>
      <c r="CZE28" t="s">
        <v>6984</v>
      </c>
      <c r="CZF28" t="s">
        <v>6984</v>
      </c>
      <c r="CZG28" t="s">
        <v>6984</v>
      </c>
      <c r="CZH28" t="s">
        <v>6984</v>
      </c>
      <c r="CZI28" t="s">
        <v>6984</v>
      </c>
      <c r="CZJ28" t="s">
        <v>6984</v>
      </c>
      <c r="CZK28" t="s">
        <v>6984</v>
      </c>
      <c r="CZL28" t="s">
        <v>6984</v>
      </c>
      <c r="CZM28" t="s">
        <v>6984</v>
      </c>
      <c r="CZN28" t="s">
        <v>6984</v>
      </c>
      <c r="CZO28" t="s">
        <v>6984</v>
      </c>
      <c r="CZP28" t="s">
        <v>6984</v>
      </c>
      <c r="CZQ28" t="s">
        <v>6984</v>
      </c>
      <c r="CZR28" t="s">
        <v>6984</v>
      </c>
      <c r="CZS28" t="s">
        <v>6984</v>
      </c>
      <c r="CZT28" t="s">
        <v>6984</v>
      </c>
      <c r="CZU28" t="s">
        <v>6984</v>
      </c>
      <c r="CZV28" t="s">
        <v>6984</v>
      </c>
      <c r="CZW28" t="s">
        <v>6984</v>
      </c>
      <c r="CZX28" t="s">
        <v>6984</v>
      </c>
      <c r="CZY28" t="s">
        <v>6984</v>
      </c>
      <c r="CZZ28" t="s">
        <v>6984</v>
      </c>
      <c r="DAA28" t="s">
        <v>6984</v>
      </c>
      <c r="DAB28" t="s">
        <v>6984</v>
      </c>
      <c r="DAC28" t="s">
        <v>6984</v>
      </c>
      <c r="DAD28" t="s">
        <v>6984</v>
      </c>
      <c r="DAE28" t="s">
        <v>6984</v>
      </c>
      <c r="DAF28" t="s">
        <v>6984</v>
      </c>
      <c r="DAG28" t="s">
        <v>6984</v>
      </c>
      <c r="DAH28" t="s">
        <v>6984</v>
      </c>
      <c r="DAI28" t="s">
        <v>6984</v>
      </c>
      <c r="DAJ28" t="s">
        <v>6984</v>
      </c>
      <c r="DAK28" t="s">
        <v>6984</v>
      </c>
      <c r="DAL28" t="s">
        <v>6984</v>
      </c>
      <c r="DAM28" t="s">
        <v>6984</v>
      </c>
      <c r="DAN28" t="s">
        <v>6984</v>
      </c>
      <c r="DAO28" t="s">
        <v>6984</v>
      </c>
      <c r="DAP28" t="s">
        <v>6984</v>
      </c>
      <c r="DAQ28" t="s">
        <v>6984</v>
      </c>
      <c r="DAR28" t="s">
        <v>6984</v>
      </c>
      <c r="DAS28" t="s">
        <v>6984</v>
      </c>
      <c r="DAT28" t="s">
        <v>6984</v>
      </c>
      <c r="DAU28" t="s">
        <v>6984</v>
      </c>
      <c r="DAV28" t="s">
        <v>6984</v>
      </c>
      <c r="DAW28" t="s">
        <v>6984</v>
      </c>
      <c r="DAX28" t="s">
        <v>6984</v>
      </c>
      <c r="DAY28" t="s">
        <v>6984</v>
      </c>
      <c r="DAZ28" t="s">
        <v>6984</v>
      </c>
      <c r="DBA28" t="s">
        <v>6984</v>
      </c>
      <c r="DBB28" t="s">
        <v>6984</v>
      </c>
      <c r="DBC28" t="s">
        <v>6984</v>
      </c>
      <c r="DBD28" t="s">
        <v>6984</v>
      </c>
      <c r="DBE28" t="s">
        <v>6984</v>
      </c>
      <c r="DBF28" t="s">
        <v>6984</v>
      </c>
      <c r="DBG28" t="s">
        <v>6984</v>
      </c>
      <c r="DBH28" t="s">
        <v>6984</v>
      </c>
      <c r="DBI28" t="s">
        <v>6984</v>
      </c>
      <c r="DBJ28" t="s">
        <v>6984</v>
      </c>
      <c r="DBK28" t="s">
        <v>6984</v>
      </c>
      <c r="DBL28" t="s">
        <v>6984</v>
      </c>
      <c r="DBM28" t="s">
        <v>6984</v>
      </c>
      <c r="DBN28" t="s">
        <v>6984</v>
      </c>
      <c r="DBO28" t="s">
        <v>6984</v>
      </c>
      <c r="DBP28" t="s">
        <v>6984</v>
      </c>
      <c r="DBQ28" t="s">
        <v>6984</v>
      </c>
      <c r="DBR28" t="s">
        <v>6984</v>
      </c>
      <c r="DBS28" t="s">
        <v>6984</v>
      </c>
      <c r="DBT28" t="s">
        <v>6984</v>
      </c>
      <c r="DBU28" t="s">
        <v>6984</v>
      </c>
      <c r="DBV28" t="s">
        <v>6984</v>
      </c>
      <c r="DBW28" t="s">
        <v>6984</v>
      </c>
      <c r="DBX28" t="s">
        <v>6984</v>
      </c>
      <c r="DBY28" t="s">
        <v>6984</v>
      </c>
      <c r="DBZ28" t="s">
        <v>6984</v>
      </c>
      <c r="DCA28" t="s">
        <v>6984</v>
      </c>
      <c r="DCB28" t="s">
        <v>6984</v>
      </c>
      <c r="DCC28" t="s">
        <v>6984</v>
      </c>
      <c r="DCD28" t="s">
        <v>6984</v>
      </c>
      <c r="DCE28" t="s">
        <v>6984</v>
      </c>
      <c r="DCF28" t="s">
        <v>6984</v>
      </c>
      <c r="DCG28" t="s">
        <v>6984</v>
      </c>
      <c r="DCH28" t="s">
        <v>6984</v>
      </c>
      <c r="DCI28" t="s">
        <v>6984</v>
      </c>
      <c r="DCJ28" t="s">
        <v>6984</v>
      </c>
      <c r="DCK28" t="s">
        <v>6984</v>
      </c>
      <c r="DCL28" t="s">
        <v>6984</v>
      </c>
      <c r="DCM28" t="s">
        <v>6984</v>
      </c>
      <c r="DCN28" t="s">
        <v>6984</v>
      </c>
      <c r="DCO28" t="s">
        <v>6984</v>
      </c>
      <c r="DCP28" t="s">
        <v>6984</v>
      </c>
      <c r="DCQ28" t="s">
        <v>6984</v>
      </c>
      <c r="DCR28" t="s">
        <v>6984</v>
      </c>
      <c r="DCS28" t="s">
        <v>6984</v>
      </c>
      <c r="DCT28" t="s">
        <v>6984</v>
      </c>
      <c r="DCU28" t="s">
        <v>6984</v>
      </c>
      <c r="DCV28" t="s">
        <v>6984</v>
      </c>
      <c r="DCW28" t="s">
        <v>6984</v>
      </c>
      <c r="DCX28" t="s">
        <v>6984</v>
      </c>
      <c r="DCY28" t="s">
        <v>6984</v>
      </c>
      <c r="DCZ28" t="s">
        <v>6984</v>
      </c>
      <c r="DDA28" t="s">
        <v>6984</v>
      </c>
      <c r="DDB28" t="s">
        <v>6984</v>
      </c>
      <c r="DDC28" t="s">
        <v>6984</v>
      </c>
      <c r="DDD28" t="s">
        <v>6984</v>
      </c>
      <c r="DDE28" t="s">
        <v>6984</v>
      </c>
      <c r="DDF28" t="s">
        <v>6984</v>
      </c>
      <c r="DDG28" t="s">
        <v>6984</v>
      </c>
      <c r="DDH28" t="s">
        <v>6984</v>
      </c>
      <c r="DDI28" t="s">
        <v>6984</v>
      </c>
      <c r="DDJ28" t="s">
        <v>6984</v>
      </c>
      <c r="DDK28" t="s">
        <v>6984</v>
      </c>
      <c r="DDL28" t="s">
        <v>6984</v>
      </c>
      <c r="DDM28" t="s">
        <v>6984</v>
      </c>
      <c r="DDN28" t="s">
        <v>6984</v>
      </c>
      <c r="DDO28" t="s">
        <v>6984</v>
      </c>
      <c r="DDP28" t="s">
        <v>6984</v>
      </c>
      <c r="DDQ28" t="s">
        <v>6984</v>
      </c>
      <c r="DDR28" t="s">
        <v>6984</v>
      </c>
      <c r="DDS28" t="s">
        <v>6984</v>
      </c>
      <c r="DDT28" t="s">
        <v>6984</v>
      </c>
      <c r="DDU28" t="s">
        <v>6984</v>
      </c>
      <c r="DDV28" t="s">
        <v>6984</v>
      </c>
      <c r="DDW28" t="s">
        <v>6984</v>
      </c>
      <c r="DDX28" t="s">
        <v>6984</v>
      </c>
      <c r="DDY28" t="s">
        <v>6984</v>
      </c>
      <c r="DDZ28" t="s">
        <v>6984</v>
      </c>
      <c r="DEA28" t="s">
        <v>6984</v>
      </c>
      <c r="DEB28" t="s">
        <v>6984</v>
      </c>
      <c r="DEC28" t="s">
        <v>6984</v>
      </c>
      <c r="DED28" t="s">
        <v>6984</v>
      </c>
      <c r="DEE28" t="s">
        <v>6984</v>
      </c>
      <c r="DEF28" t="s">
        <v>6984</v>
      </c>
      <c r="DEG28" t="s">
        <v>6984</v>
      </c>
      <c r="DEH28" t="s">
        <v>6984</v>
      </c>
      <c r="DEI28" t="s">
        <v>6984</v>
      </c>
      <c r="DEJ28" t="s">
        <v>6984</v>
      </c>
      <c r="DEK28" t="s">
        <v>6984</v>
      </c>
      <c r="DEL28" t="s">
        <v>6984</v>
      </c>
      <c r="DEM28" t="s">
        <v>6984</v>
      </c>
      <c r="DEN28" t="s">
        <v>6984</v>
      </c>
      <c r="DEO28" t="s">
        <v>6984</v>
      </c>
      <c r="DEP28" t="s">
        <v>6984</v>
      </c>
      <c r="DEQ28" t="s">
        <v>6984</v>
      </c>
      <c r="DER28" t="s">
        <v>6984</v>
      </c>
      <c r="DES28" t="s">
        <v>6984</v>
      </c>
      <c r="DET28" t="s">
        <v>6984</v>
      </c>
      <c r="DEU28" t="s">
        <v>6984</v>
      </c>
      <c r="DEV28" t="s">
        <v>6984</v>
      </c>
      <c r="DEW28" t="s">
        <v>6984</v>
      </c>
      <c r="DEX28" t="s">
        <v>6984</v>
      </c>
      <c r="DEY28" t="s">
        <v>6984</v>
      </c>
      <c r="DEZ28" t="s">
        <v>6984</v>
      </c>
      <c r="DFA28" t="s">
        <v>6984</v>
      </c>
      <c r="DFB28" t="s">
        <v>6984</v>
      </c>
      <c r="DFC28" t="s">
        <v>6984</v>
      </c>
      <c r="DFD28" t="s">
        <v>6984</v>
      </c>
      <c r="DFE28" t="s">
        <v>6984</v>
      </c>
      <c r="DFF28" t="s">
        <v>6984</v>
      </c>
      <c r="DFG28" t="s">
        <v>6984</v>
      </c>
      <c r="DFH28" t="s">
        <v>6984</v>
      </c>
      <c r="DFI28" t="s">
        <v>6984</v>
      </c>
      <c r="DFJ28" t="s">
        <v>6984</v>
      </c>
      <c r="DFK28" t="s">
        <v>6984</v>
      </c>
      <c r="DFL28" t="s">
        <v>6984</v>
      </c>
      <c r="DFM28" t="s">
        <v>6984</v>
      </c>
      <c r="DFN28" t="s">
        <v>6984</v>
      </c>
      <c r="DFO28" t="s">
        <v>6984</v>
      </c>
      <c r="DFP28" t="s">
        <v>6984</v>
      </c>
      <c r="DFQ28" t="s">
        <v>6984</v>
      </c>
      <c r="DFR28" t="s">
        <v>6984</v>
      </c>
      <c r="DFS28" t="s">
        <v>6984</v>
      </c>
      <c r="DFT28" t="s">
        <v>6984</v>
      </c>
      <c r="DFU28" t="s">
        <v>6984</v>
      </c>
      <c r="DFV28" t="s">
        <v>6984</v>
      </c>
      <c r="DFW28" t="s">
        <v>6984</v>
      </c>
      <c r="DFX28" t="s">
        <v>6984</v>
      </c>
      <c r="DFY28" t="s">
        <v>6984</v>
      </c>
      <c r="DFZ28" t="s">
        <v>6984</v>
      </c>
      <c r="DGA28" t="s">
        <v>6984</v>
      </c>
      <c r="DGB28" t="s">
        <v>6984</v>
      </c>
      <c r="DGC28" t="s">
        <v>6984</v>
      </c>
      <c r="DGD28" t="s">
        <v>6984</v>
      </c>
      <c r="DGE28" t="s">
        <v>6984</v>
      </c>
      <c r="DGF28" t="s">
        <v>6984</v>
      </c>
      <c r="DGG28" t="s">
        <v>6984</v>
      </c>
      <c r="DGH28" t="s">
        <v>6984</v>
      </c>
      <c r="DGI28" t="s">
        <v>6984</v>
      </c>
      <c r="DGJ28" t="s">
        <v>6984</v>
      </c>
      <c r="DGK28" t="s">
        <v>6984</v>
      </c>
      <c r="DGL28" t="s">
        <v>6984</v>
      </c>
      <c r="DGM28" t="s">
        <v>6984</v>
      </c>
      <c r="DGN28" t="s">
        <v>6984</v>
      </c>
      <c r="DGO28" t="s">
        <v>6984</v>
      </c>
      <c r="DGP28" t="s">
        <v>6984</v>
      </c>
      <c r="DGQ28" t="s">
        <v>6984</v>
      </c>
      <c r="DGR28" t="s">
        <v>6984</v>
      </c>
      <c r="DGS28" t="s">
        <v>6984</v>
      </c>
      <c r="DGT28" t="s">
        <v>6984</v>
      </c>
      <c r="DGU28" t="s">
        <v>6984</v>
      </c>
      <c r="DGV28" t="s">
        <v>6984</v>
      </c>
      <c r="DGW28" t="s">
        <v>6984</v>
      </c>
      <c r="DGX28" t="s">
        <v>6984</v>
      </c>
      <c r="DGY28" t="s">
        <v>6984</v>
      </c>
      <c r="DGZ28" t="s">
        <v>6984</v>
      </c>
      <c r="DHA28" t="s">
        <v>6984</v>
      </c>
      <c r="DHB28" t="s">
        <v>6984</v>
      </c>
      <c r="DHC28" t="s">
        <v>6984</v>
      </c>
      <c r="DHD28" t="s">
        <v>6984</v>
      </c>
      <c r="DHE28" t="s">
        <v>6984</v>
      </c>
      <c r="DHF28" t="s">
        <v>6984</v>
      </c>
      <c r="DHG28" t="s">
        <v>6984</v>
      </c>
      <c r="DHH28" t="s">
        <v>6984</v>
      </c>
      <c r="DHI28" t="s">
        <v>6984</v>
      </c>
      <c r="DHJ28" t="s">
        <v>6984</v>
      </c>
      <c r="DHK28" t="s">
        <v>6984</v>
      </c>
      <c r="DHL28" t="s">
        <v>6984</v>
      </c>
      <c r="DHM28" t="s">
        <v>6984</v>
      </c>
      <c r="DHN28" t="s">
        <v>6984</v>
      </c>
      <c r="DHO28" t="s">
        <v>6984</v>
      </c>
      <c r="DHP28" t="s">
        <v>6984</v>
      </c>
      <c r="DHQ28" t="s">
        <v>6984</v>
      </c>
      <c r="DHR28" t="s">
        <v>6984</v>
      </c>
      <c r="DHS28" t="s">
        <v>6984</v>
      </c>
      <c r="DHT28" t="s">
        <v>6984</v>
      </c>
      <c r="DHU28" t="s">
        <v>6984</v>
      </c>
      <c r="DHV28" t="s">
        <v>6984</v>
      </c>
      <c r="DHW28" t="s">
        <v>6984</v>
      </c>
      <c r="DHX28" t="s">
        <v>6984</v>
      </c>
      <c r="DHY28" t="s">
        <v>6984</v>
      </c>
      <c r="DHZ28" t="s">
        <v>6984</v>
      </c>
      <c r="DIA28" t="s">
        <v>6984</v>
      </c>
      <c r="DIB28" t="s">
        <v>6984</v>
      </c>
      <c r="DIC28" t="s">
        <v>6984</v>
      </c>
      <c r="DID28" t="s">
        <v>6984</v>
      </c>
      <c r="DIE28" t="s">
        <v>6984</v>
      </c>
      <c r="DIF28" t="s">
        <v>6984</v>
      </c>
      <c r="DIG28" t="s">
        <v>6984</v>
      </c>
      <c r="DIH28" t="s">
        <v>6984</v>
      </c>
      <c r="DII28" t="s">
        <v>6984</v>
      </c>
      <c r="DIJ28" t="s">
        <v>6984</v>
      </c>
      <c r="DIK28" t="s">
        <v>6984</v>
      </c>
      <c r="DIL28" t="s">
        <v>6984</v>
      </c>
      <c r="DIM28" t="s">
        <v>6984</v>
      </c>
      <c r="DIN28" t="s">
        <v>6984</v>
      </c>
      <c r="DIO28" t="s">
        <v>6984</v>
      </c>
      <c r="DIP28" t="s">
        <v>6984</v>
      </c>
      <c r="DIQ28" t="s">
        <v>6984</v>
      </c>
      <c r="DIR28" t="s">
        <v>6984</v>
      </c>
      <c r="DIS28" t="s">
        <v>6984</v>
      </c>
      <c r="DIT28" t="s">
        <v>6984</v>
      </c>
      <c r="DIU28" t="s">
        <v>6984</v>
      </c>
      <c r="DIV28" t="s">
        <v>6984</v>
      </c>
      <c r="DIW28" t="s">
        <v>6984</v>
      </c>
      <c r="DIX28" t="s">
        <v>6984</v>
      </c>
      <c r="DIY28" t="s">
        <v>6984</v>
      </c>
      <c r="DIZ28" t="s">
        <v>6984</v>
      </c>
      <c r="DJA28" t="s">
        <v>6984</v>
      </c>
      <c r="DJB28" t="s">
        <v>6984</v>
      </c>
      <c r="DJC28" t="s">
        <v>6984</v>
      </c>
      <c r="DJD28" t="s">
        <v>6984</v>
      </c>
      <c r="DJE28" t="s">
        <v>6984</v>
      </c>
      <c r="DJF28" t="s">
        <v>6984</v>
      </c>
      <c r="DJG28" t="s">
        <v>6984</v>
      </c>
      <c r="DJH28" t="s">
        <v>6984</v>
      </c>
      <c r="DJI28" t="s">
        <v>6984</v>
      </c>
      <c r="DJJ28" t="s">
        <v>6984</v>
      </c>
      <c r="DJK28" t="s">
        <v>6984</v>
      </c>
      <c r="DJL28" t="s">
        <v>6984</v>
      </c>
      <c r="DJM28" t="s">
        <v>6984</v>
      </c>
      <c r="DJN28" t="s">
        <v>6984</v>
      </c>
      <c r="DJO28" t="s">
        <v>6984</v>
      </c>
      <c r="DJP28" t="s">
        <v>6984</v>
      </c>
      <c r="DJQ28" t="s">
        <v>6984</v>
      </c>
      <c r="DJR28" t="s">
        <v>6984</v>
      </c>
      <c r="DJS28" t="s">
        <v>6984</v>
      </c>
      <c r="DJT28" t="s">
        <v>6984</v>
      </c>
      <c r="DJU28" t="s">
        <v>6984</v>
      </c>
      <c r="DJV28" t="s">
        <v>6984</v>
      </c>
      <c r="DJW28" t="s">
        <v>6984</v>
      </c>
      <c r="DJX28" t="s">
        <v>6984</v>
      </c>
      <c r="DJY28" t="s">
        <v>6984</v>
      </c>
      <c r="DJZ28" t="s">
        <v>6984</v>
      </c>
      <c r="DKA28" t="s">
        <v>6984</v>
      </c>
      <c r="DKB28" t="s">
        <v>6984</v>
      </c>
      <c r="DKC28" t="s">
        <v>6984</v>
      </c>
      <c r="DKD28" t="s">
        <v>6984</v>
      </c>
      <c r="DKE28" t="s">
        <v>6984</v>
      </c>
      <c r="DKF28" t="s">
        <v>6984</v>
      </c>
      <c r="DKG28" t="s">
        <v>6984</v>
      </c>
      <c r="DKH28" t="s">
        <v>6984</v>
      </c>
      <c r="DKI28" t="s">
        <v>6984</v>
      </c>
      <c r="DKJ28" t="s">
        <v>6984</v>
      </c>
      <c r="DKK28" t="s">
        <v>6984</v>
      </c>
      <c r="DKL28" t="s">
        <v>6984</v>
      </c>
      <c r="DKM28" t="s">
        <v>6984</v>
      </c>
      <c r="DKN28" t="s">
        <v>6984</v>
      </c>
      <c r="DKO28" t="s">
        <v>6984</v>
      </c>
      <c r="DKP28" t="s">
        <v>6984</v>
      </c>
      <c r="DKQ28" t="s">
        <v>6984</v>
      </c>
      <c r="DKR28" t="s">
        <v>6984</v>
      </c>
      <c r="DKS28" t="s">
        <v>6984</v>
      </c>
      <c r="DKT28" t="s">
        <v>6984</v>
      </c>
      <c r="DKU28" t="s">
        <v>6984</v>
      </c>
      <c r="DKV28" t="s">
        <v>6984</v>
      </c>
      <c r="DKW28" t="s">
        <v>6984</v>
      </c>
      <c r="DKX28" t="s">
        <v>6984</v>
      </c>
      <c r="DKY28" t="s">
        <v>6984</v>
      </c>
      <c r="DKZ28" t="s">
        <v>6984</v>
      </c>
      <c r="DLA28" t="s">
        <v>6984</v>
      </c>
      <c r="DLB28" t="s">
        <v>6984</v>
      </c>
      <c r="DLC28" t="s">
        <v>6984</v>
      </c>
      <c r="DLD28" t="s">
        <v>6984</v>
      </c>
      <c r="DLE28" t="s">
        <v>6984</v>
      </c>
      <c r="DLF28" t="s">
        <v>6984</v>
      </c>
      <c r="DLG28" t="s">
        <v>6984</v>
      </c>
      <c r="DLH28" t="s">
        <v>6984</v>
      </c>
      <c r="DLI28" t="s">
        <v>6984</v>
      </c>
      <c r="DLJ28" t="s">
        <v>6984</v>
      </c>
      <c r="DLK28" t="s">
        <v>6984</v>
      </c>
      <c r="DLL28" t="s">
        <v>6984</v>
      </c>
      <c r="DLM28" t="s">
        <v>6984</v>
      </c>
      <c r="DLN28" t="s">
        <v>6984</v>
      </c>
      <c r="DLO28" t="s">
        <v>6984</v>
      </c>
      <c r="DLP28" t="s">
        <v>6984</v>
      </c>
      <c r="DLQ28" t="s">
        <v>6984</v>
      </c>
      <c r="DLR28" t="s">
        <v>6984</v>
      </c>
      <c r="DLS28" t="s">
        <v>6984</v>
      </c>
      <c r="DLT28" t="s">
        <v>6984</v>
      </c>
      <c r="DLU28" t="s">
        <v>6984</v>
      </c>
      <c r="DLV28" t="s">
        <v>6984</v>
      </c>
      <c r="DLW28" t="s">
        <v>6984</v>
      </c>
      <c r="DLX28" t="s">
        <v>6984</v>
      </c>
      <c r="DLY28" t="s">
        <v>6984</v>
      </c>
      <c r="DLZ28" t="s">
        <v>6984</v>
      </c>
      <c r="DMA28" t="s">
        <v>6984</v>
      </c>
      <c r="DMB28" t="s">
        <v>6984</v>
      </c>
      <c r="DMC28" t="s">
        <v>6984</v>
      </c>
      <c r="DMD28" t="s">
        <v>6984</v>
      </c>
      <c r="DME28" t="s">
        <v>6984</v>
      </c>
      <c r="DMF28" t="s">
        <v>6984</v>
      </c>
      <c r="DMG28" t="s">
        <v>6984</v>
      </c>
      <c r="DMH28" t="s">
        <v>6984</v>
      </c>
      <c r="DMI28" t="s">
        <v>6984</v>
      </c>
      <c r="DMJ28" t="s">
        <v>6984</v>
      </c>
      <c r="DMK28" t="s">
        <v>6984</v>
      </c>
      <c r="DML28" t="s">
        <v>6984</v>
      </c>
      <c r="DMM28" t="s">
        <v>6984</v>
      </c>
      <c r="DMN28" t="s">
        <v>6984</v>
      </c>
      <c r="DMO28" t="s">
        <v>6984</v>
      </c>
      <c r="DMP28" t="s">
        <v>6984</v>
      </c>
      <c r="DMQ28" t="s">
        <v>6984</v>
      </c>
      <c r="DMR28" t="s">
        <v>6984</v>
      </c>
      <c r="DMS28" t="s">
        <v>6984</v>
      </c>
      <c r="DMT28" t="s">
        <v>6984</v>
      </c>
      <c r="DMU28" t="s">
        <v>6984</v>
      </c>
      <c r="DMV28" t="s">
        <v>6984</v>
      </c>
      <c r="DMW28" t="s">
        <v>6984</v>
      </c>
      <c r="DMX28" t="s">
        <v>6984</v>
      </c>
      <c r="DMY28" t="s">
        <v>6984</v>
      </c>
      <c r="DMZ28" t="s">
        <v>6984</v>
      </c>
      <c r="DNA28" t="s">
        <v>6984</v>
      </c>
      <c r="DNB28" t="s">
        <v>6984</v>
      </c>
      <c r="DNC28" t="s">
        <v>6984</v>
      </c>
      <c r="DND28" t="s">
        <v>6984</v>
      </c>
      <c r="DNE28" t="s">
        <v>6984</v>
      </c>
      <c r="DNF28" t="s">
        <v>6984</v>
      </c>
      <c r="DNG28" t="s">
        <v>6984</v>
      </c>
      <c r="DNH28" t="s">
        <v>6984</v>
      </c>
      <c r="DNI28" t="s">
        <v>6984</v>
      </c>
      <c r="DNJ28" t="s">
        <v>6984</v>
      </c>
      <c r="DNK28" t="s">
        <v>6984</v>
      </c>
      <c r="DNL28" t="s">
        <v>6984</v>
      </c>
      <c r="DNM28" t="s">
        <v>6984</v>
      </c>
      <c r="DNN28" t="s">
        <v>6984</v>
      </c>
      <c r="DNO28" t="s">
        <v>6984</v>
      </c>
      <c r="DNP28" t="s">
        <v>6984</v>
      </c>
      <c r="DNQ28" t="s">
        <v>6984</v>
      </c>
      <c r="DNR28" t="s">
        <v>6984</v>
      </c>
      <c r="DNS28" t="s">
        <v>6984</v>
      </c>
      <c r="DNT28" t="s">
        <v>6984</v>
      </c>
      <c r="DNU28" t="s">
        <v>6984</v>
      </c>
      <c r="DNV28" t="s">
        <v>6984</v>
      </c>
      <c r="DNW28" t="s">
        <v>6984</v>
      </c>
      <c r="DNX28" t="s">
        <v>6984</v>
      </c>
      <c r="DNY28" t="s">
        <v>6984</v>
      </c>
      <c r="DNZ28" t="s">
        <v>6984</v>
      </c>
      <c r="DOA28" t="s">
        <v>6984</v>
      </c>
      <c r="DOB28" t="s">
        <v>6984</v>
      </c>
      <c r="DOC28" t="s">
        <v>6984</v>
      </c>
      <c r="DOD28" t="s">
        <v>6984</v>
      </c>
      <c r="DOE28" t="s">
        <v>6984</v>
      </c>
      <c r="DOF28" t="s">
        <v>6984</v>
      </c>
      <c r="DOG28" t="s">
        <v>6984</v>
      </c>
      <c r="DOH28" t="s">
        <v>6984</v>
      </c>
      <c r="DOI28" t="s">
        <v>6984</v>
      </c>
      <c r="DOJ28" t="s">
        <v>6984</v>
      </c>
      <c r="DOK28" t="s">
        <v>6984</v>
      </c>
      <c r="DOL28" t="s">
        <v>6984</v>
      </c>
      <c r="DOM28" t="s">
        <v>6984</v>
      </c>
      <c r="DON28" t="s">
        <v>6984</v>
      </c>
      <c r="DOO28" t="s">
        <v>6984</v>
      </c>
      <c r="DOP28" t="s">
        <v>6984</v>
      </c>
      <c r="DOQ28" t="s">
        <v>6984</v>
      </c>
      <c r="DOR28" t="s">
        <v>6984</v>
      </c>
      <c r="DOS28" t="s">
        <v>6984</v>
      </c>
      <c r="DOT28" t="s">
        <v>6984</v>
      </c>
      <c r="DOU28" t="s">
        <v>6984</v>
      </c>
      <c r="DOV28" t="s">
        <v>6984</v>
      </c>
      <c r="DOW28" t="s">
        <v>6984</v>
      </c>
      <c r="DOX28" t="s">
        <v>6984</v>
      </c>
      <c r="DOY28" t="s">
        <v>6984</v>
      </c>
      <c r="DOZ28" t="s">
        <v>6984</v>
      </c>
      <c r="DPA28" t="s">
        <v>6984</v>
      </c>
      <c r="DPB28" t="s">
        <v>6984</v>
      </c>
      <c r="DPC28" t="s">
        <v>6984</v>
      </c>
      <c r="DPD28" t="s">
        <v>6984</v>
      </c>
      <c r="DPE28" t="s">
        <v>6984</v>
      </c>
      <c r="DPF28" t="s">
        <v>6984</v>
      </c>
      <c r="DPG28" t="s">
        <v>6984</v>
      </c>
      <c r="DPH28" t="s">
        <v>6984</v>
      </c>
      <c r="DPI28" t="s">
        <v>6984</v>
      </c>
      <c r="DPJ28" t="s">
        <v>6984</v>
      </c>
      <c r="DPK28" t="s">
        <v>6984</v>
      </c>
      <c r="DPL28" t="s">
        <v>6984</v>
      </c>
      <c r="DPM28" t="s">
        <v>6984</v>
      </c>
      <c r="DPN28" t="s">
        <v>6984</v>
      </c>
      <c r="DPO28" t="s">
        <v>6984</v>
      </c>
      <c r="DPP28" t="s">
        <v>6984</v>
      </c>
      <c r="DPQ28" t="s">
        <v>6984</v>
      </c>
      <c r="DPR28" t="s">
        <v>6984</v>
      </c>
      <c r="DPS28" t="s">
        <v>6984</v>
      </c>
      <c r="DPT28" t="s">
        <v>6984</v>
      </c>
      <c r="DPU28" t="s">
        <v>6984</v>
      </c>
      <c r="DPV28" t="s">
        <v>6984</v>
      </c>
      <c r="DPW28" t="s">
        <v>6984</v>
      </c>
      <c r="DPX28" t="s">
        <v>6984</v>
      </c>
      <c r="DPY28" t="s">
        <v>6984</v>
      </c>
      <c r="DPZ28" t="s">
        <v>6984</v>
      </c>
      <c r="DQA28" t="s">
        <v>6984</v>
      </c>
      <c r="DQB28" t="s">
        <v>6984</v>
      </c>
      <c r="DQC28" t="s">
        <v>6984</v>
      </c>
      <c r="DQD28" t="s">
        <v>6984</v>
      </c>
      <c r="DQE28" t="s">
        <v>6984</v>
      </c>
      <c r="DQF28" t="s">
        <v>6984</v>
      </c>
      <c r="DQG28" t="s">
        <v>6984</v>
      </c>
      <c r="DQH28" t="s">
        <v>6984</v>
      </c>
      <c r="DQI28" t="s">
        <v>6984</v>
      </c>
      <c r="DQJ28" t="s">
        <v>6984</v>
      </c>
      <c r="DQK28" t="s">
        <v>6984</v>
      </c>
      <c r="DQL28" t="s">
        <v>6984</v>
      </c>
      <c r="DQM28" t="s">
        <v>6984</v>
      </c>
      <c r="DQN28" t="s">
        <v>6984</v>
      </c>
      <c r="DQO28" t="s">
        <v>6984</v>
      </c>
      <c r="DQP28" t="s">
        <v>6984</v>
      </c>
      <c r="DQQ28" t="s">
        <v>6984</v>
      </c>
      <c r="DQR28" t="s">
        <v>6984</v>
      </c>
      <c r="DQS28" t="s">
        <v>6984</v>
      </c>
      <c r="DQT28" t="s">
        <v>6984</v>
      </c>
      <c r="DQU28" t="s">
        <v>6984</v>
      </c>
      <c r="DQV28" t="s">
        <v>6984</v>
      </c>
      <c r="DQW28" t="s">
        <v>6984</v>
      </c>
      <c r="DQX28" t="s">
        <v>6984</v>
      </c>
      <c r="DQY28" t="s">
        <v>6984</v>
      </c>
      <c r="DQZ28" t="s">
        <v>6984</v>
      </c>
      <c r="DRA28" t="s">
        <v>6984</v>
      </c>
      <c r="DRB28" t="s">
        <v>6984</v>
      </c>
      <c r="DRC28" t="s">
        <v>6984</v>
      </c>
      <c r="DRD28" t="s">
        <v>6984</v>
      </c>
      <c r="DRE28" t="s">
        <v>6984</v>
      </c>
      <c r="DRF28" t="s">
        <v>6984</v>
      </c>
      <c r="DRG28" t="s">
        <v>6984</v>
      </c>
      <c r="DRH28" t="s">
        <v>6984</v>
      </c>
      <c r="DRI28" t="s">
        <v>6984</v>
      </c>
      <c r="DRJ28" t="s">
        <v>6984</v>
      </c>
      <c r="DRK28" t="s">
        <v>6984</v>
      </c>
      <c r="DRL28" t="s">
        <v>6984</v>
      </c>
      <c r="DRM28" t="s">
        <v>6984</v>
      </c>
      <c r="DRN28" t="s">
        <v>6984</v>
      </c>
      <c r="DRO28" t="s">
        <v>6984</v>
      </c>
      <c r="DRP28" t="s">
        <v>6984</v>
      </c>
      <c r="DRQ28" t="s">
        <v>6984</v>
      </c>
      <c r="DRR28" t="s">
        <v>6984</v>
      </c>
      <c r="DRS28" t="s">
        <v>6984</v>
      </c>
      <c r="DRT28" t="s">
        <v>6984</v>
      </c>
      <c r="DRU28" t="s">
        <v>6984</v>
      </c>
      <c r="DRV28" t="s">
        <v>6984</v>
      </c>
      <c r="DRW28" t="s">
        <v>6984</v>
      </c>
      <c r="DRX28" t="s">
        <v>6984</v>
      </c>
      <c r="DRY28" t="s">
        <v>6984</v>
      </c>
      <c r="DRZ28" t="s">
        <v>6984</v>
      </c>
      <c r="DSA28" t="s">
        <v>6984</v>
      </c>
      <c r="DSB28" t="s">
        <v>6984</v>
      </c>
      <c r="DSC28" t="s">
        <v>6984</v>
      </c>
      <c r="DSD28" t="s">
        <v>6984</v>
      </c>
      <c r="DSE28" t="s">
        <v>6984</v>
      </c>
      <c r="DSF28" t="s">
        <v>6984</v>
      </c>
      <c r="DSG28" t="s">
        <v>6984</v>
      </c>
      <c r="DSH28" t="s">
        <v>6984</v>
      </c>
      <c r="DSI28" t="s">
        <v>6984</v>
      </c>
      <c r="DSJ28" t="s">
        <v>6984</v>
      </c>
      <c r="DSK28" t="s">
        <v>6984</v>
      </c>
      <c r="DSL28" t="s">
        <v>6984</v>
      </c>
      <c r="DSM28" t="s">
        <v>6984</v>
      </c>
      <c r="DSN28" t="s">
        <v>6984</v>
      </c>
      <c r="DSO28" t="s">
        <v>6984</v>
      </c>
      <c r="DSP28" t="s">
        <v>6984</v>
      </c>
      <c r="DSQ28" t="s">
        <v>6984</v>
      </c>
      <c r="DSR28" t="s">
        <v>6984</v>
      </c>
      <c r="DSS28" t="s">
        <v>6984</v>
      </c>
      <c r="DST28" t="s">
        <v>6984</v>
      </c>
      <c r="DSU28" t="s">
        <v>6984</v>
      </c>
      <c r="DSV28" t="s">
        <v>6984</v>
      </c>
      <c r="DSW28" t="s">
        <v>6984</v>
      </c>
      <c r="DSX28" t="s">
        <v>6984</v>
      </c>
      <c r="DSY28" t="s">
        <v>6984</v>
      </c>
      <c r="DSZ28" t="s">
        <v>6984</v>
      </c>
      <c r="DTA28" t="s">
        <v>6984</v>
      </c>
      <c r="DTB28" t="s">
        <v>6984</v>
      </c>
      <c r="DTC28" t="s">
        <v>6984</v>
      </c>
      <c r="DTD28" t="s">
        <v>6984</v>
      </c>
      <c r="DTE28" t="s">
        <v>6984</v>
      </c>
      <c r="DTF28" t="s">
        <v>6984</v>
      </c>
      <c r="DTG28" t="s">
        <v>6984</v>
      </c>
      <c r="DTH28" t="s">
        <v>6984</v>
      </c>
      <c r="DTI28" t="s">
        <v>6984</v>
      </c>
      <c r="DTJ28" t="s">
        <v>6984</v>
      </c>
      <c r="DTK28" t="s">
        <v>6984</v>
      </c>
      <c r="DTL28" t="s">
        <v>6984</v>
      </c>
      <c r="DTM28" t="s">
        <v>6984</v>
      </c>
      <c r="DTN28" t="s">
        <v>6984</v>
      </c>
      <c r="DTO28" t="s">
        <v>6984</v>
      </c>
      <c r="DTP28" t="s">
        <v>6984</v>
      </c>
      <c r="DTQ28" t="s">
        <v>6984</v>
      </c>
      <c r="DTR28" t="s">
        <v>6984</v>
      </c>
      <c r="DTS28" t="s">
        <v>6984</v>
      </c>
      <c r="DTT28" t="s">
        <v>6984</v>
      </c>
      <c r="DTU28" t="s">
        <v>6984</v>
      </c>
      <c r="DTV28" t="s">
        <v>6984</v>
      </c>
      <c r="DTW28" t="s">
        <v>6984</v>
      </c>
      <c r="DTX28" t="s">
        <v>6984</v>
      </c>
      <c r="DTY28" t="s">
        <v>6984</v>
      </c>
      <c r="DTZ28" t="s">
        <v>6984</v>
      </c>
      <c r="DUA28" t="s">
        <v>6984</v>
      </c>
      <c r="DUB28" t="s">
        <v>6984</v>
      </c>
      <c r="DUC28" t="s">
        <v>6984</v>
      </c>
      <c r="DUD28" t="s">
        <v>6984</v>
      </c>
      <c r="DUE28" t="s">
        <v>6984</v>
      </c>
      <c r="DUF28" t="s">
        <v>6984</v>
      </c>
      <c r="DUG28" t="s">
        <v>6984</v>
      </c>
      <c r="DUH28" t="s">
        <v>6984</v>
      </c>
      <c r="DUI28" t="s">
        <v>6984</v>
      </c>
      <c r="DUJ28" t="s">
        <v>6984</v>
      </c>
      <c r="DUK28" t="s">
        <v>6984</v>
      </c>
      <c r="DUL28" t="s">
        <v>6984</v>
      </c>
      <c r="DUM28" t="s">
        <v>6984</v>
      </c>
      <c r="DUN28" t="s">
        <v>6984</v>
      </c>
      <c r="DUO28" t="s">
        <v>6984</v>
      </c>
      <c r="DUP28" t="s">
        <v>6984</v>
      </c>
      <c r="DUQ28" t="s">
        <v>6984</v>
      </c>
      <c r="DUR28" t="s">
        <v>6984</v>
      </c>
      <c r="DUS28" t="s">
        <v>6984</v>
      </c>
      <c r="DUT28" t="s">
        <v>6984</v>
      </c>
      <c r="DUU28" t="s">
        <v>6984</v>
      </c>
      <c r="DUV28" t="s">
        <v>6984</v>
      </c>
      <c r="DUW28" t="s">
        <v>6984</v>
      </c>
      <c r="DUX28" t="s">
        <v>6984</v>
      </c>
      <c r="DUY28" t="s">
        <v>6984</v>
      </c>
      <c r="DUZ28" t="s">
        <v>6984</v>
      </c>
      <c r="DVA28" t="s">
        <v>6984</v>
      </c>
      <c r="DVB28" t="s">
        <v>6984</v>
      </c>
      <c r="DVC28" t="s">
        <v>6984</v>
      </c>
      <c r="DVD28" t="s">
        <v>6984</v>
      </c>
      <c r="DVE28" t="s">
        <v>6984</v>
      </c>
      <c r="DVF28" t="s">
        <v>6984</v>
      </c>
      <c r="DVG28" t="s">
        <v>6984</v>
      </c>
      <c r="DVH28" t="s">
        <v>6984</v>
      </c>
      <c r="DVI28" t="s">
        <v>6984</v>
      </c>
      <c r="DVJ28" t="s">
        <v>6984</v>
      </c>
      <c r="DVK28" t="s">
        <v>6984</v>
      </c>
      <c r="DVL28" t="s">
        <v>6984</v>
      </c>
      <c r="DVM28" t="s">
        <v>6984</v>
      </c>
      <c r="DVN28" t="s">
        <v>6984</v>
      </c>
      <c r="DVO28" t="s">
        <v>6984</v>
      </c>
      <c r="DVP28" t="s">
        <v>6984</v>
      </c>
      <c r="DVQ28" t="s">
        <v>6984</v>
      </c>
      <c r="DVR28" t="s">
        <v>6984</v>
      </c>
      <c r="DVS28" t="s">
        <v>6984</v>
      </c>
      <c r="DVT28" t="s">
        <v>6984</v>
      </c>
      <c r="DVU28" t="s">
        <v>6984</v>
      </c>
      <c r="DVV28" t="s">
        <v>6984</v>
      </c>
      <c r="DVW28" t="s">
        <v>6984</v>
      </c>
      <c r="DVX28" t="s">
        <v>6984</v>
      </c>
      <c r="DVY28" t="s">
        <v>6984</v>
      </c>
      <c r="DVZ28" t="s">
        <v>6984</v>
      </c>
      <c r="DWA28" t="s">
        <v>6984</v>
      </c>
      <c r="DWB28" t="s">
        <v>6984</v>
      </c>
      <c r="DWC28" t="s">
        <v>6984</v>
      </c>
      <c r="DWD28" t="s">
        <v>6984</v>
      </c>
      <c r="DWE28" t="s">
        <v>6984</v>
      </c>
      <c r="DWF28" t="s">
        <v>6984</v>
      </c>
      <c r="DWG28" t="s">
        <v>6984</v>
      </c>
      <c r="DWH28" t="s">
        <v>6984</v>
      </c>
      <c r="DWI28" t="s">
        <v>6984</v>
      </c>
      <c r="DWJ28" t="s">
        <v>6984</v>
      </c>
      <c r="DWK28" t="s">
        <v>6984</v>
      </c>
      <c r="DWL28" t="s">
        <v>6984</v>
      </c>
      <c r="DWM28" t="s">
        <v>6984</v>
      </c>
      <c r="DWN28" t="s">
        <v>6984</v>
      </c>
      <c r="DWO28" t="s">
        <v>6984</v>
      </c>
      <c r="DWP28" t="s">
        <v>6984</v>
      </c>
      <c r="DWQ28" t="s">
        <v>6984</v>
      </c>
      <c r="DWR28" t="s">
        <v>6984</v>
      </c>
      <c r="DWS28" t="s">
        <v>6984</v>
      </c>
      <c r="DWT28" t="s">
        <v>6984</v>
      </c>
      <c r="DWU28" t="s">
        <v>6984</v>
      </c>
      <c r="DWV28" t="s">
        <v>6984</v>
      </c>
      <c r="DWW28" t="s">
        <v>6984</v>
      </c>
      <c r="DWX28" t="s">
        <v>6984</v>
      </c>
      <c r="DWY28" t="s">
        <v>6984</v>
      </c>
      <c r="DWZ28" t="s">
        <v>6984</v>
      </c>
      <c r="DXA28" t="s">
        <v>6984</v>
      </c>
      <c r="DXB28" t="s">
        <v>6984</v>
      </c>
      <c r="DXC28" t="s">
        <v>6984</v>
      </c>
      <c r="DXD28" t="s">
        <v>6984</v>
      </c>
      <c r="DXE28" t="s">
        <v>6984</v>
      </c>
      <c r="DXF28" t="s">
        <v>6984</v>
      </c>
      <c r="DXG28" t="s">
        <v>6984</v>
      </c>
      <c r="DXH28" t="s">
        <v>6984</v>
      </c>
      <c r="DXI28" t="s">
        <v>6984</v>
      </c>
      <c r="DXJ28" t="s">
        <v>6984</v>
      </c>
      <c r="DXK28" t="s">
        <v>6984</v>
      </c>
      <c r="DXL28" t="s">
        <v>6984</v>
      </c>
      <c r="DXM28" t="s">
        <v>6984</v>
      </c>
      <c r="DXN28" t="s">
        <v>6984</v>
      </c>
      <c r="DXO28" t="s">
        <v>6984</v>
      </c>
      <c r="DXP28" t="s">
        <v>6984</v>
      </c>
      <c r="DXQ28" t="s">
        <v>6984</v>
      </c>
      <c r="DXR28" t="s">
        <v>6984</v>
      </c>
      <c r="DXS28" t="s">
        <v>6984</v>
      </c>
      <c r="DXT28" t="s">
        <v>6984</v>
      </c>
      <c r="DXU28" t="s">
        <v>6984</v>
      </c>
      <c r="DXV28" t="s">
        <v>6984</v>
      </c>
      <c r="DXW28" t="s">
        <v>6984</v>
      </c>
      <c r="DXX28" t="s">
        <v>6984</v>
      </c>
      <c r="DXY28" t="s">
        <v>6984</v>
      </c>
      <c r="DXZ28" t="s">
        <v>6984</v>
      </c>
      <c r="DYA28" t="s">
        <v>6984</v>
      </c>
      <c r="DYB28" t="s">
        <v>6984</v>
      </c>
      <c r="DYC28" t="s">
        <v>6984</v>
      </c>
      <c r="DYD28" t="s">
        <v>6984</v>
      </c>
      <c r="DYE28" t="s">
        <v>6984</v>
      </c>
      <c r="DYF28" t="s">
        <v>6984</v>
      </c>
      <c r="DYG28" t="s">
        <v>6984</v>
      </c>
      <c r="DYH28" t="s">
        <v>6984</v>
      </c>
      <c r="DYI28" t="s">
        <v>6984</v>
      </c>
      <c r="DYJ28" t="s">
        <v>6984</v>
      </c>
      <c r="DYK28" t="s">
        <v>6984</v>
      </c>
      <c r="DYL28" t="s">
        <v>6984</v>
      </c>
      <c r="DYM28" t="s">
        <v>6984</v>
      </c>
      <c r="DYN28" t="s">
        <v>6984</v>
      </c>
      <c r="DYO28" t="s">
        <v>6984</v>
      </c>
      <c r="DYP28" t="s">
        <v>6984</v>
      </c>
      <c r="DYQ28" t="s">
        <v>6984</v>
      </c>
      <c r="DYR28" t="s">
        <v>6984</v>
      </c>
      <c r="DYS28" t="s">
        <v>6984</v>
      </c>
      <c r="DYT28" t="s">
        <v>6984</v>
      </c>
      <c r="DYU28" t="s">
        <v>6984</v>
      </c>
      <c r="DYV28" t="s">
        <v>6984</v>
      </c>
      <c r="DYW28" t="s">
        <v>6984</v>
      </c>
      <c r="DYX28" t="s">
        <v>6984</v>
      </c>
      <c r="DYY28" t="s">
        <v>6984</v>
      </c>
      <c r="DYZ28" t="s">
        <v>6984</v>
      </c>
      <c r="DZA28" t="s">
        <v>6984</v>
      </c>
      <c r="DZB28" t="s">
        <v>6984</v>
      </c>
      <c r="DZC28" t="s">
        <v>6984</v>
      </c>
      <c r="DZD28" t="s">
        <v>6984</v>
      </c>
      <c r="DZE28" t="s">
        <v>6984</v>
      </c>
      <c r="DZF28" t="s">
        <v>6984</v>
      </c>
      <c r="DZG28" t="s">
        <v>6984</v>
      </c>
      <c r="DZH28" t="s">
        <v>6984</v>
      </c>
      <c r="DZI28" t="s">
        <v>6984</v>
      </c>
      <c r="DZJ28" t="s">
        <v>6984</v>
      </c>
      <c r="DZK28" t="s">
        <v>6984</v>
      </c>
      <c r="DZL28" t="s">
        <v>6984</v>
      </c>
      <c r="DZM28" t="s">
        <v>6984</v>
      </c>
      <c r="DZN28" t="s">
        <v>6984</v>
      </c>
      <c r="DZO28" t="s">
        <v>6984</v>
      </c>
      <c r="DZP28" t="s">
        <v>6984</v>
      </c>
      <c r="DZQ28" t="s">
        <v>6984</v>
      </c>
      <c r="DZR28" t="s">
        <v>6984</v>
      </c>
      <c r="DZS28" t="s">
        <v>6984</v>
      </c>
      <c r="DZT28" t="s">
        <v>6984</v>
      </c>
      <c r="DZU28" t="s">
        <v>6984</v>
      </c>
      <c r="DZV28" t="s">
        <v>6984</v>
      </c>
      <c r="DZW28" t="s">
        <v>6984</v>
      </c>
      <c r="DZX28" t="s">
        <v>6984</v>
      </c>
      <c r="DZY28" t="s">
        <v>6984</v>
      </c>
      <c r="DZZ28" t="s">
        <v>6984</v>
      </c>
      <c r="EAA28" t="s">
        <v>6984</v>
      </c>
      <c r="EAB28" t="s">
        <v>6984</v>
      </c>
      <c r="EAC28" t="s">
        <v>6984</v>
      </c>
      <c r="EAD28" t="s">
        <v>6984</v>
      </c>
      <c r="EAE28" t="s">
        <v>6984</v>
      </c>
      <c r="EAF28" t="s">
        <v>6984</v>
      </c>
      <c r="EAG28" t="s">
        <v>6984</v>
      </c>
      <c r="EAH28" t="s">
        <v>6984</v>
      </c>
      <c r="EAI28" t="s">
        <v>6984</v>
      </c>
      <c r="EAJ28" t="s">
        <v>6984</v>
      </c>
      <c r="EAK28" t="s">
        <v>6984</v>
      </c>
      <c r="EAL28" t="s">
        <v>6984</v>
      </c>
      <c r="EAM28" t="s">
        <v>6984</v>
      </c>
      <c r="EAN28" t="s">
        <v>6984</v>
      </c>
      <c r="EAO28" t="s">
        <v>6984</v>
      </c>
      <c r="EAP28" t="s">
        <v>6984</v>
      </c>
      <c r="EAQ28" t="s">
        <v>6984</v>
      </c>
      <c r="EAR28" t="s">
        <v>6984</v>
      </c>
      <c r="EAS28" t="s">
        <v>6984</v>
      </c>
      <c r="EAT28" t="s">
        <v>6984</v>
      </c>
      <c r="EAU28" t="s">
        <v>6984</v>
      </c>
      <c r="EAV28" t="s">
        <v>6984</v>
      </c>
      <c r="EAW28" t="s">
        <v>6984</v>
      </c>
      <c r="EAX28" t="s">
        <v>6984</v>
      </c>
      <c r="EAY28" t="s">
        <v>6984</v>
      </c>
      <c r="EAZ28" t="s">
        <v>6984</v>
      </c>
      <c r="EBA28" t="s">
        <v>6984</v>
      </c>
      <c r="EBB28" t="s">
        <v>6984</v>
      </c>
      <c r="EBC28" t="s">
        <v>6984</v>
      </c>
      <c r="EBD28" t="s">
        <v>6984</v>
      </c>
      <c r="EBE28" t="s">
        <v>6984</v>
      </c>
      <c r="EBF28" t="s">
        <v>6984</v>
      </c>
      <c r="EBG28" t="s">
        <v>6984</v>
      </c>
      <c r="EBH28" t="s">
        <v>6984</v>
      </c>
      <c r="EBI28" t="s">
        <v>6984</v>
      </c>
      <c r="EBJ28" t="s">
        <v>6984</v>
      </c>
      <c r="EBK28" t="s">
        <v>6984</v>
      </c>
      <c r="EBL28" t="s">
        <v>6984</v>
      </c>
      <c r="EBM28" t="s">
        <v>6984</v>
      </c>
      <c r="EBN28" t="s">
        <v>6984</v>
      </c>
      <c r="EBO28" t="s">
        <v>6984</v>
      </c>
      <c r="EBP28" t="s">
        <v>6984</v>
      </c>
      <c r="EBQ28" t="s">
        <v>6984</v>
      </c>
      <c r="EBR28" t="s">
        <v>6984</v>
      </c>
      <c r="EBS28" t="s">
        <v>6984</v>
      </c>
      <c r="EBT28" t="s">
        <v>6984</v>
      </c>
      <c r="EBU28" t="s">
        <v>6984</v>
      </c>
      <c r="EBV28" t="s">
        <v>6984</v>
      </c>
      <c r="EBW28" t="s">
        <v>6984</v>
      </c>
      <c r="EBX28" t="s">
        <v>6984</v>
      </c>
      <c r="EBY28" t="s">
        <v>6984</v>
      </c>
      <c r="EBZ28" t="s">
        <v>6984</v>
      </c>
      <c r="ECA28" t="s">
        <v>6984</v>
      </c>
      <c r="ECB28" t="s">
        <v>6984</v>
      </c>
      <c r="ECC28" t="s">
        <v>6984</v>
      </c>
      <c r="ECD28" t="s">
        <v>6984</v>
      </c>
      <c r="ECE28" t="s">
        <v>6984</v>
      </c>
      <c r="ECF28" t="s">
        <v>6984</v>
      </c>
      <c r="ECG28" t="s">
        <v>6984</v>
      </c>
      <c r="ECH28" t="s">
        <v>6984</v>
      </c>
      <c r="ECI28" t="s">
        <v>6984</v>
      </c>
      <c r="ECJ28" t="s">
        <v>6984</v>
      </c>
      <c r="ECK28" t="s">
        <v>6984</v>
      </c>
      <c r="ECL28" t="s">
        <v>6984</v>
      </c>
      <c r="ECM28" t="s">
        <v>6984</v>
      </c>
      <c r="ECN28" t="s">
        <v>6984</v>
      </c>
      <c r="ECO28" t="s">
        <v>6984</v>
      </c>
      <c r="ECP28" t="s">
        <v>6984</v>
      </c>
      <c r="ECQ28" t="s">
        <v>6984</v>
      </c>
      <c r="ECR28" t="s">
        <v>6984</v>
      </c>
      <c r="ECS28" t="s">
        <v>6984</v>
      </c>
      <c r="ECT28" t="s">
        <v>6984</v>
      </c>
      <c r="ECU28" t="s">
        <v>6984</v>
      </c>
      <c r="ECV28" t="s">
        <v>6984</v>
      </c>
      <c r="ECW28" t="s">
        <v>6984</v>
      </c>
      <c r="ECX28" t="s">
        <v>6984</v>
      </c>
      <c r="ECY28" t="s">
        <v>6984</v>
      </c>
      <c r="ECZ28" t="s">
        <v>6984</v>
      </c>
      <c r="EDA28" t="s">
        <v>6984</v>
      </c>
      <c r="EDB28" t="s">
        <v>6984</v>
      </c>
      <c r="EDC28" t="s">
        <v>6984</v>
      </c>
      <c r="EDD28" t="s">
        <v>6984</v>
      </c>
      <c r="EDE28" t="s">
        <v>6984</v>
      </c>
      <c r="EDF28" t="s">
        <v>6984</v>
      </c>
      <c r="EDG28" t="s">
        <v>6984</v>
      </c>
      <c r="EDH28" t="s">
        <v>6984</v>
      </c>
      <c r="EDI28" t="s">
        <v>6984</v>
      </c>
      <c r="EDJ28" t="s">
        <v>6984</v>
      </c>
      <c r="EDK28" t="s">
        <v>6984</v>
      </c>
      <c r="EDL28" t="s">
        <v>6984</v>
      </c>
      <c r="EDM28" t="s">
        <v>6984</v>
      </c>
      <c r="EDN28" t="s">
        <v>6984</v>
      </c>
      <c r="EDO28" t="s">
        <v>6984</v>
      </c>
      <c r="EDP28" t="s">
        <v>6984</v>
      </c>
      <c r="EDQ28" t="s">
        <v>6984</v>
      </c>
      <c r="EDR28" t="s">
        <v>6984</v>
      </c>
      <c r="EDS28" t="s">
        <v>6984</v>
      </c>
      <c r="EDT28" t="s">
        <v>6984</v>
      </c>
      <c r="EDU28" t="s">
        <v>6984</v>
      </c>
      <c r="EDV28" t="s">
        <v>6984</v>
      </c>
      <c r="EDW28" t="s">
        <v>6984</v>
      </c>
      <c r="EDX28" t="s">
        <v>6984</v>
      </c>
      <c r="EDY28" t="s">
        <v>6984</v>
      </c>
      <c r="EDZ28" t="s">
        <v>6984</v>
      </c>
      <c r="EEA28" t="s">
        <v>6984</v>
      </c>
      <c r="EEB28" t="s">
        <v>6984</v>
      </c>
      <c r="EEC28" t="s">
        <v>6984</v>
      </c>
      <c r="EED28" t="s">
        <v>6984</v>
      </c>
      <c r="EEE28" t="s">
        <v>6984</v>
      </c>
      <c r="EEF28" t="s">
        <v>6984</v>
      </c>
      <c r="EEG28" t="s">
        <v>6984</v>
      </c>
      <c r="EEH28" t="s">
        <v>6984</v>
      </c>
      <c r="EEI28" t="s">
        <v>6984</v>
      </c>
      <c r="EEJ28" t="s">
        <v>6984</v>
      </c>
      <c r="EEK28" t="s">
        <v>6984</v>
      </c>
      <c r="EEL28" t="s">
        <v>6984</v>
      </c>
      <c r="EEM28" t="s">
        <v>6984</v>
      </c>
      <c r="EEN28" t="s">
        <v>6984</v>
      </c>
      <c r="EEO28" t="s">
        <v>6984</v>
      </c>
      <c r="EEP28" t="s">
        <v>6984</v>
      </c>
      <c r="EEQ28" t="s">
        <v>6984</v>
      </c>
      <c r="EER28" t="s">
        <v>6984</v>
      </c>
      <c r="EES28" t="s">
        <v>6984</v>
      </c>
      <c r="EET28" t="s">
        <v>6984</v>
      </c>
      <c r="EEU28" t="s">
        <v>6984</v>
      </c>
      <c r="EEV28" t="s">
        <v>6984</v>
      </c>
      <c r="EEW28" t="s">
        <v>6984</v>
      </c>
      <c r="EEX28" t="s">
        <v>6984</v>
      </c>
      <c r="EEY28" t="s">
        <v>6984</v>
      </c>
      <c r="EEZ28" t="s">
        <v>6984</v>
      </c>
      <c r="EFA28" t="s">
        <v>6984</v>
      </c>
      <c r="EFB28" t="s">
        <v>6984</v>
      </c>
      <c r="EFC28" t="s">
        <v>6984</v>
      </c>
      <c r="EFD28" t="s">
        <v>6984</v>
      </c>
      <c r="EFE28" t="s">
        <v>6984</v>
      </c>
      <c r="EFF28" t="s">
        <v>6984</v>
      </c>
      <c r="EFG28" t="s">
        <v>6984</v>
      </c>
      <c r="EFH28" t="s">
        <v>6984</v>
      </c>
      <c r="EFI28" t="s">
        <v>6984</v>
      </c>
      <c r="EFJ28" t="s">
        <v>6984</v>
      </c>
      <c r="EFK28" t="s">
        <v>6984</v>
      </c>
      <c r="EFL28" t="s">
        <v>6984</v>
      </c>
      <c r="EFM28" t="s">
        <v>6984</v>
      </c>
      <c r="EFN28" t="s">
        <v>6984</v>
      </c>
      <c r="EFO28" t="s">
        <v>6984</v>
      </c>
      <c r="EFP28" t="s">
        <v>6984</v>
      </c>
      <c r="EFQ28" t="s">
        <v>6984</v>
      </c>
      <c r="EFR28" t="s">
        <v>6984</v>
      </c>
      <c r="EFS28" t="s">
        <v>6984</v>
      </c>
      <c r="EFT28" t="s">
        <v>6984</v>
      </c>
      <c r="EFU28" t="s">
        <v>6984</v>
      </c>
      <c r="EFV28" t="s">
        <v>6984</v>
      </c>
      <c r="EFW28" t="s">
        <v>6984</v>
      </c>
      <c r="EFX28" t="s">
        <v>6984</v>
      </c>
      <c r="EFY28" t="s">
        <v>6984</v>
      </c>
      <c r="EFZ28" t="s">
        <v>6984</v>
      </c>
      <c r="EGA28" t="s">
        <v>6984</v>
      </c>
      <c r="EGB28" t="s">
        <v>6984</v>
      </c>
      <c r="EGC28" t="s">
        <v>6984</v>
      </c>
      <c r="EGD28" t="s">
        <v>6984</v>
      </c>
      <c r="EGE28" t="s">
        <v>6984</v>
      </c>
      <c r="EGF28" t="s">
        <v>6984</v>
      </c>
      <c r="EGG28" t="s">
        <v>6984</v>
      </c>
      <c r="EGH28" t="s">
        <v>6984</v>
      </c>
      <c r="EGI28" t="s">
        <v>6984</v>
      </c>
      <c r="EGJ28" t="s">
        <v>6984</v>
      </c>
      <c r="EGK28" t="s">
        <v>6984</v>
      </c>
      <c r="EGL28" t="s">
        <v>6984</v>
      </c>
      <c r="EGM28" t="s">
        <v>6984</v>
      </c>
      <c r="EGN28" t="s">
        <v>6984</v>
      </c>
      <c r="EGO28" t="s">
        <v>6984</v>
      </c>
      <c r="EGP28" t="s">
        <v>6984</v>
      </c>
      <c r="EGQ28" t="s">
        <v>6984</v>
      </c>
      <c r="EGR28" t="s">
        <v>6984</v>
      </c>
      <c r="EGS28" t="s">
        <v>6984</v>
      </c>
      <c r="EGT28" t="s">
        <v>6984</v>
      </c>
      <c r="EGU28" t="s">
        <v>6984</v>
      </c>
      <c r="EGV28" t="s">
        <v>6984</v>
      </c>
      <c r="EGW28" t="s">
        <v>6984</v>
      </c>
      <c r="EGX28" t="s">
        <v>6984</v>
      </c>
      <c r="EGY28" t="s">
        <v>6984</v>
      </c>
      <c r="EGZ28" t="s">
        <v>6984</v>
      </c>
      <c r="EHA28" t="s">
        <v>6984</v>
      </c>
      <c r="EHB28" t="s">
        <v>6984</v>
      </c>
      <c r="EHC28" t="s">
        <v>6984</v>
      </c>
      <c r="EHD28" t="s">
        <v>6984</v>
      </c>
      <c r="EHE28" t="s">
        <v>6984</v>
      </c>
      <c r="EHF28" t="s">
        <v>6984</v>
      </c>
      <c r="EHG28" t="s">
        <v>6984</v>
      </c>
      <c r="EHH28" t="s">
        <v>6984</v>
      </c>
      <c r="EHI28" t="s">
        <v>6984</v>
      </c>
      <c r="EHJ28" t="s">
        <v>6984</v>
      </c>
      <c r="EHK28" t="s">
        <v>6984</v>
      </c>
      <c r="EHL28" t="s">
        <v>6984</v>
      </c>
      <c r="EHM28" t="s">
        <v>6984</v>
      </c>
      <c r="EHN28" t="s">
        <v>6984</v>
      </c>
      <c r="EHO28" t="s">
        <v>6984</v>
      </c>
      <c r="EHP28" t="s">
        <v>6984</v>
      </c>
      <c r="EHQ28" t="s">
        <v>6984</v>
      </c>
      <c r="EHR28" t="s">
        <v>6984</v>
      </c>
      <c r="EHS28" t="s">
        <v>6984</v>
      </c>
      <c r="EHT28" t="s">
        <v>6984</v>
      </c>
      <c r="EHU28" t="s">
        <v>6984</v>
      </c>
      <c r="EHV28" t="s">
        <v>6984</v>
      </c>
      <c r="EHW28" t="s">
        <v>6984</v>
      </c>
      <c r="EHX28" t="s">
        <v>6984</v>
      </c>
      <c r="EHY28" t="s">
        <v>6984</v>
      </c>
      <c r="EHZ28" t="s">
        <v>6984</v>
      </c>
      <c r="EIA28" t="s">
        <v>6984</v>
      </c>
      <c r="EIB28" t="s">
        <v>6984</v>
      </c>
      <c r="EIC28" t="s">
        <v>6984</v>
      </c>
      <c r="EID28" t="s">
        <v>6984</v>
      </c>
      <c r="EIE28" t="s">
        <v>6984</v>
      </c>
      <c r="EIF28" t="s">
        <v>6984</v>
      </c>
      <c r="EIG28" t="s">
        <v>6984</v>
      </c>
      <c r="EIH28" t="s">
        <v>6984</v>
      </c>
      <c r="EII28" t="s">
        <v>6984</v>
      </c>
      <c r="EIJ28" t="s">
        <v>6984</v>
      </c>
      <c r="EIK28" t="s">
        <v>6984</v>
      </c>
      <c r="EIL28" t="s">
        <v>6984</v>
      </c>
      <c r="EIM28" t="s">
        <v>6984</v>
      </c>
      <c r="EIN28" t="s">
        <v>6984</v>
      </c>
      <c r="EIO28" t="s">
        <v>6984</v>
      </c>
      <c r="EIP28" t="s">
        <v>6984</v>
      </c>
      <c r="EIQ28" t="s">
        <v>6984</v>
      </c>
      <c r="EIR28" t="s">
        <v>6984</v>
      </c>
      <c r="EIS28" t="s">
        <v>6984</v>
      </c>
      <c r="EIT28" t="s">
        <v>6984</v>
      </c>
      <c r="EIU28" t="s">
        <v>6984</v>
      </c>
      <c r="EIV28" t="s">
        <v>6984</v>
      </c>
      <c r="EIW28" t="s">
        <v>6984</v>
      </c>
      <c r="EIX28" t="s">
        <v>6984</v>
      </c>
      <c r="EIY28" t="s">
        <v>6984</v>
      </c>
      <c r="EIZ28" t="s">
        <v>6984</v>
      </c>
      <c r="EJA28" t="s">
        <v>6984</v>
      </c>
      <c r="EJB28" t="s">
        <v>6984</v>
      </c>
      <c r="EJC28" t="s">
        <v>6984</v>
      </c>
      <c r="EJD28" t="s">
        <v>6984</v>
      </c>
      <c r="EJE28" t="s">
        <v>6984</v>
      </c>
      <c r="EJF28" t="s">
        <v>6984</v>
      </c>
      <c r="EJG28" t="s">
        <v>6984</v>
      </c>
      <c r="EJH28" t="s">
        <v>6984</v>
      </c>
      <c r="EJI28" t="s">
        <v>6984</v>
      </c>
      <c r="EJJ28" t="s">
        <v>6984</v>
      </c>
      <c r="EJK28" t="s">
        <v>6984</v>
      </c>
      <c r="EJL28" t="s">
        <v>6984</v>
      </c>
      <c r="EJM28" t="s">
        <v>6984</v>
      </c>
      <c r="EJN28" t="s">
        <v>6984</v>
      </c>
      <c r="EJO28" t="s">
        <v>6984</v>
      </c>
      <c r="EJP28" t="s">
        <v>6984</v>
      </c>
      <c r="EJQ28" t="s">
        <v>6984</v>
      </c>
      <c r="EJR28" t="s">
        <v>6984</v>
      </c>
      <c r="EJS28" t="s">
        <v>6984</v>
      </c>
      <c r="EJT28" t="s">
        <v>6984</v>
      </c>
      <c r="EJU28" t="s">
        <v>6984</v>
      </c>
      <c r="EJV28" t="s">
        <v>6984</v>
      </c>
      <c r="EJW28" t="s">
        <v>6984</v>
      </c>
      <c r="EJX28" t="s">
        <v>6984</v>
      </c>
      <c r="EJY28" t="s">
        <v>6984</v>
      </c>
      <c r="EJZ28" t="s">
        <v>6984</v>
      </c>
      <c r="EKA28" t="s">
        <v>6984</v>
      </c>
      <c r="EKB28" t="s">
        <v>6984</v>
      </c>
      <c r="EKC28" t="s">
        <v>6984</v>
      </c>
      <c r="EKD28" t="s">
        <v>6984</v>
      </c>
      <c r="EKE28" t="s">
        <v>6984</v>
      </c>
      <c r="EKF28" t="s">
        <v>6984</v>
      </c>
      <c r="EKG28" t="s">
        <v>6984</v>
      </c>
      <c r="EKH28" t="s">
        <v>6984</v>
      </c>
      <c r="EKI28" t="s">
        <v>6984</v>
      </c>
      <c r="EKJ28" t="s">
        <v>6984</v>
      </c>
      <c r="EKK28" t="s">
        <v>6984</v>
      </c>
      <c r="EKL28" t="s">
        <v>6984</v>
      </c>
      <c r="EKM28" t="s">
        <v>6984</v>
      </c>
      <c r="EKN28" t="s">
        <v>6984</v>
      </c>
      <c r="EKO28" t="s">
        <v>6984</v>
      </c>
      <c r="EKP28" t="s">
        <v>6984</v>
      </c>
      <c r="EKQ28" t="s">
        <v>6984</v>
      </c>
      <c r="EKR28" t="s">
        <v>6984</v>
      </c>
      <c r="EKS28" t="s">
        <v>6984</v>
      </c>
      <c r="EKT28" t="s">
        <v>6984</v>
      </c>
      <c r="EKU28" t="s">
        <v>6984</v>
      </c>
      <c r="EKV28" t="s">
        <v>6984</v>
      </c>
      <c r="EKW28" t="s">
        <v>6984</v>
      </c>
      <c r="EKX28" t="s">
        <v>6984</v>
      </c>
      <c r="EKY28" t="s">
        <v>6984</v>
      </c>
      <c r="EKZ28" t="s">
        <v>6984</v>
      </c>
      <c r="ELA28" t="s">
        <v>6984</v>
      </c>
      <c r="ELB28" t="s">
        <v>6984</v>
      </c>
      <c r="ELC28" t="s">
        <v>6984</v>
      </c>
      <c r="ELD28" t="s">
        <v>6984</v>
      </c>
      <c r="ELE28" t="s">
        <v>6984</v>
      </c>
      <c r="ELF28" t="s">
        <v>6984</v>
      </c>
      <c r="ELG28" t="s">
        <v>6984</v>
      </c>
      <c r="ELH28" t="s">
        <v>6984</v>
      </c>
      <c r="ELI28" t="s">
        <v>6984</v>
      </c>
      <c r="ELJ28" t="s">
        <v>6984</v>
      </c>
      <c r="ELK28" t="s">
        <v>6984</v>
      </c>
      <c r="ELL28" t="s">
        <v>6984</v>
      </c>
      <c r="ELM28" t="s">
        <v>6984</v>
      </c>
      <c r="ELN28" t="s">
        <v>6984</v>
      </c>
      <c r="ELO28" t="s">
        <v>6984</v>
      </c>
      <c r="ELP28" t="s">
        <v>6984</v>
      </c>
      <c r="ELQ28" t="s">
        <v>6984</v>
      </c>
      <c r="ELR28" t="s">
        <v>6984</v>
      </c>
      <c r="ELS28" t="s">
        <v>6984</v>
      </c>
      <c r="ELT28" t="s">
        <v>6984</v>
      </c>
      <c r="ELU28" t="s">
        <v>6984</v>
      </c>
      <c r="ELV28" t="s">
        <v>6984</v>
      </c>
      <c r="ELW28" t="s">
        <v>6984</v>
      </c>
      <c r="ELX28" t="s">
        <v>6984</v>
      </c>
      <c r="ELY28" t="s">
        <v>6984</v>
      </c>
      <c r="ELZ28" t="s">
        <v>6984</v>
      </c>
      <c r="EMA28" t="s">
        <v>6984</v>
      </c>
      <c r="EMB28" t="s">
        <v>6984</v>
      </c>
      <c r="EMC28" t="s">
        <v>6984</v>
      </c>
      <c r="EMD28" t="s">
        <v>6984</v>
      </c>
      <c r="EME28" t="s">
        <v>6984</v>
      </c>
      <c r="EMF28" t="s">
        <v>6984</v>
      </c>
      <c r="EMG28" t="s">
        <v>6984</v>
      </c>
      <c r="EMH28" t="s">
        <v>6984</v>
      </c>
      <c r="EMI28" t="s">
        <v>6984</v>
      </c>
      <c r="EMJ28" t="s">
        <v>6984</v>
      </c>
      <c r="EMK28" t="s">
        <v>6984</v>
      </c>
      <c r="EML28" t="s">
        <v>6984</v>
      </c>
      <c r="EMM28" t="s">
        <v>6984</v>
      </c>
      <c r="EMN28" t="s">
        <v>6984</v>
      </c>
      <c r="EMO28" t="s">
        <v>6984</v>
      </c>
      <c r="EMP28" t="s">
        <v>6984</v>
      </c>
      <c r="EMQ28" t="s">
        <v>6984</v>
      </c>
      <c r="EMR28" t="s">
        <v>6984</v>
      </c>
      <c r="EMS28" t="s">
        <v>6984</v>
      </c>
      <c r="EMT28" t="s">
        <v>6984</v>
      </c>
      <c r="EMU28" t="s">
        <v>6984</v>
      </c>
      <c r="EMV28" t="s">
        <v>6984</v>
      </c>
      <c r="EMW28" t="s">
        <v>6984</v>
      </c>
      <c r="EMX28" t="s">
        <v>6984</v>
      </c>
      <c r="EMY28" t="s">
        <v>6984</v>
      </c>
      <c r="EMZ28" t="s">
        <v>6984</v>
      </c>
      <c r="ENA28" t="s">
        <v>6984</v>
      </c>
      <c r="ENB28" t="s">
        <v>6984</v>
      </c>
      <c r="ENC28" t="s">
        <v>6984</v>
      </c>
      <c r="END28" t="s">
        <v>6984</v>
      </c>
      <c r="ENE28" t="s">
        <v>6984</v>
      </c>
      <c r="ENF28" t="s">
        <v>6984</v>
      </c>
      <c r="ENG28" t="s">
        <v>6984</v>
      </c>
      <c r="ENH28" t="s">
        <v>6984</v>
      </c>
      <c r="ENI28" t="s">
        <v>6984</v>
      </c>
      <c r="ENJ28" t="s">
        <v>6984</v>
      </c>
      <c r="ENK28" t="s">
        <v>6984</v>
      </c>
      <c r="ENL28" t="s">
        <v>6984</v>
      </c>
      <c r="ENM28" t="s">
        <v>6984</v>
      </c>
      <c r="ENN28" t="s">
        <v>6984</v>
      </c>
      <c r="ENO28" t="s">
        <v>6984</v>
      </c>
      <c r="ENP28" t="s">
        <v>6984</v>
      </c>
      <c r="ENQ28" t="s">
        <v>6984</v>
      </c>
      <c r="ENR28" t="s">
        <v>6984</v>
      </c>
      <c r="ENS28" t="s">
        <v>6984</v>
      </c>
      <c r="ENT28" t="s">
        <v>6984</v>
      </c>
      <c r="ENU28" t="s">
        <v>6984</v>
      </c>
      <c r="ENV28" t="s">
        <v>6984</v>
      </c>
      <c r="ENW28" t="s">
        <v>6984</v>
      </c>
      <c r="ENX28" t="s">
        <v>6984</v>
      </c>
      <c r="ENY28" t="s">
        <v>6984</v>
      </c>
      <c r="ENZ28" t="s">
        <v>6984</v>
      </c>
      <c r="EOA28" t="s">
        <v>6984</v>
      </c>
      <c r="EOB28" t="s">
        <v>6984</v>
      </c>
      <c r="EOC28" t="s">
        <v>6984</v>
      </c>
      <c r="EOD28" t="s">
        <v>6984</v>
      </c>
      <c r="EOE28" t="s">
        <v>6984</v>
      </c>
      <c r="EOF28" t="s">
        <v>6984</v>
      </c>
      <c r="EOG28" t="s">
        <v>6984</v>
      </c>
      <c r="EOH28" t="s">
        <v>6984</v>
      </c>
      <c r="EOI28" t="s">
        <v>6984</v>
      </c>
      <c r="EOJ28" t="s">
        <v>6984</v>
      </c>
      <c r="EOK28" t="s">
        <v>6984</v>
      </c>
      <c r="EOL28" t="s">
        <v>6984</v>
      </c>
      <c r="EOM28" t="s">
        <v>6984</v>
      </c>
      <c r="EON28" t="s">
        <v>6984</v>
      </c>
      <c r="EOO28" t="s">
        <v>6984</v>
      </c>
      <c r="EOP28" t="s">
        <v>6984</v>
      </c>
      <c r="EOQ28" t="s">
        <v>6984</v>
      </c>
      <c r="EOR28" t="s">
        <v>6984</v>
      </c>
      <c r="EOS28" t="s">
        <v>6984</v>
      </c>
      <c r="EOT28" t="s">
        <v>6984</v>
      </c>
      <c r="EOU28" t="s">
        <v>6984</v>
      </c>
      <c r="EOV28" t="s">
        <v>6984</v>
      </c>
      <c r="EOW28" t="s">
        <v>6984</v>
      </c>
      <c r="EOX28" t="s">
        <v>6984</v>
      </c>
      <c r="EOY28" t="s">
        <v>6984</v>
      </c>
      <c r="EOZ28" t="s">
        <v>6984</v>
      </c>
      <c r="EPA28" t="s">
        <v>6984</v>
      </c>
      <c r="EPB28" t="s">
        <v>6984</v>
      </c>
      <c r="EPC28" t="s">
        <v>6984</v>
      </c>
      <c r="EPD28" t="s">
        <v>6984</v>
      </c>
      <c r="EPE28" t="s">
        <v>6984</v>
      </c>
      <c r="EPF28" t="s">
        <v>6984</v>
      </c>
      <c r="EPG28" t="s">
        <v>6984</v>
      </c>
      <c r="EPH28" t="s">
        <v>6984</v>
      </c>
      <c r="EPI28" t="s">
        <v>6984</v>
      </c>
      <c r="EPJ28" t="s">
        <v>6984</v>
      </c>
      <c r="EPK28" t="s">
        <v>6984</v>
      </c>
      <c r="EPL28" t="s">
        <v>6984</v>
      </c>
      <c r="EPM28" t="s">
        <v>6984</v>
      </c>
      <c r="EPN28" t="s">
        <v>6984</v>
      </c>
      <c r="EPO28" t="s">
        <v>6984</v>
      </c>
      <c r="EPP28" t="s">
        <v>6984</v>
      </c>
      <c r="EPQ28" t="s">
        <v>6984</v>
      </c>
      <c r="EPR28" t="s">
        <v>6984</v>
      </c>
      <c r="EPS28" t="s">
        <v>6984</v>
      </c>
      <c r="EPT28" t="s">
        <v>6984</v>
      </c>
      <c r="EPU28" t="s">
        <v>6984</v>
      </c>
      <c r="EPV28" t="s">
        <v>6984</v>
      </c>
      <c r="EPW28" t="s">
        <v>6984</v>
      </c>
      <c r="EPX28" t="s">
        <v>6984</v>
      </c>
      <c r="EPY28" t="s">
        <v>6984</v>
      </c>
      <c r="EPZ28" t="s">
        <v>6984</v>
      </c>
      <c r="EQA28" t="s">
        <v>6984</v>
      </c>
      <c r="EQB28" t="s">
        <v>6984</v>
      </c>
      <c r="EQC28" t="s">
        <v>6984</v>
      </c>
      <c r="EQD28" t="s">
        <v>6984</v>
      </c>
      <c r="EQE28" t="s">
        <v>6984</v>
      </c>
      <c r="EQF28" t="s">
        <v>6984</v>
      </c>
      <c r="EQG28" t="s">
        <v>6984</v>
      </c>
      <c r="EQH28" t="s">
        <v>6984</v>
      </c>
      <c r="EQI28" t="s">
        <v>6984</v>
      </c>
      <c r="EQJ28" t="s">
        <v>6984</v>
      </c>
      <c r="EQK28" t="s">
        <v>6984</v>
      </c>
      <c r="EQL28" t="s">
        <v>6984</v>
      </c>
      <c r="EQM28" t="s">
        <v>6984</v>
      </c>
      <c r="EQN28" t="s">
        <v>6984</v>
      </c>
      <c r="EQO28" t="s">
        <v>6984</v>
      </c>
      <c r="EQP28" t="s">
        <v>6984</v>
      </c>
      <c r="EQQ28" t="s">
        <v>6984</v>
      </c>
      <c r="EQR28" t="s">
        <v>6984</v>
      </c>
      <c r="EQS28" t="s">
        <v>6984</v>
      </c>
      <c r="EQT28" t="s">
        <v>6984</v>
      </c>
      <c r="EQU28" t="s">
        <v>6984</v>
      </c>
      <c r="EQV28" t="s">
        <v>6984</v>
      </c>
      <c r="EQW28" t="s">
        <v>6984</v>
      </c>
      <c r="EQX28" t="s">
        <v>6984</v>
      </c>
      <c r="EQY28" t="s">
        <v>6984</v>
      </c>
      <c r="EQZ28" t="s">
        <v>6984</v>
      </c>
      <c r="ERA28" t="s">
        <v>6984</v>
      </c>
      <c r="ERB28" t="s">
        <v>6984</v>
      </c>
      <c r="ERC28" t="s">
        <v>6984</v>
      </c>
      <c r="ERD28" t="s">
        <v>6984</v>
      </c>
      <c r="ERE28" t="s">
        <v>6984</v>
      </c>
      <c r="ERF28" t="s">
        <v>6984</v>
      </c>
      <c r="ERG28" t="s">
        <v>6984</v>
      </c>
      <c r="ERH28" t="s">
        <v>6984</v>
      </c>
      <c r="ERI28" t="s">
        <v>6984</v>
      </c>
      <c r="ERJ28" t="s">
        <v>6984</v>
      </c>
      <c r="ERK28" t="s">
        <v>6984</v>
      </c>
      <c r="ERL28" t="s">
        <v>6984</v>
      </c>
      <c r="ERM28" t="s">
        <v>6984</v>
      </c>
      <c r="ERN28" t="s">
        <v>6984</v>
      </c>
      <c r="ERO28" t="s">
        <v>6984</v>
      </c>
      <c r="ERP28" t="s">
        <v>6984</v>
      </c>
      <c r="ERQ28" t="s">
        <v>6984</v>
      </c>
      <c r="ERR28" t="s">
        <v>6984</v>
      </c>
      <c r="ERS28" t="s">
        <v>6984</v>
      </c>
      <c r="ERT28" t="s">
        <v>6984</v>
      </c>
      <c r="ERU28" t="s">
        <v>6984</v>
      </c>
      <c r="ERV28" t="s">
        <v>6984</v>
      </c>
      <c r="ERW28" t="s">
        <v>6984</v>
      </c>
      <c r="ERX28" t="s">
        <v>6984</v>
      </c>
      <c r="ERY28" t="s">
        <v>6984</v>
      </c>
      <c r="ERZ28" t="s">
        <v>6984</v>
      </c>
      <c r="ESA28" t="s">
        <v>6984</v>
      </c>
      <c r="ESB28" t="s">
        <v>6984</v>
      </c>
      <c r="ESC28" t="s">
        <v>6984</v>
      </c>
      <c r="ESD28" t="s">
        <v>6984</v>
      </c>
      <c r="ESE28" t="s">
        <v>6984</v>
      </c>
      <c r="ESF28" t="s">
        <v>6984</v>
      </c>
      <c r="ESG28" t="s">
        <v>6984</v>
      </c>
      <c r="ESH28" t="s">
        <v>6984</v>
      </c>
      <c r="ESI28" t="s">
        <v>6984</v>
      </c>
      <c r="ESJ28" t="s">
        <v>6984</v>
      </c>
      <c r="ESK28" t="s">
        <v>6984</v>
      </c>
      <c r="ESL28" t="s">
        <v>6984</v>
      </c>
      <c r="ESM28" t="s">
        <v>6984</v>
      </c>
      <c r="ESN28" t="s">
        <v>6984</v>
      </c>
      <c r="ESO28" t="s">
        <v>6984</v>
      </c>
      <c r="ESP28" t="s">
        <v>6984</v>
      </c>
      <c r="ESQ28" t="s">
        <v>6984</v>
      </c>
      <c r="ESR28" t="s">
        <v>6984</v>
      </c>
      <c r="ESS28" t="s">
        <v>6984</v>
      </c>
      <c r="EST28" t="s">
        <v>6984</v>
      </c>
      <c r="ESU28" t="s">
        <v>6984</v>
      </c>
      <c r="ESV28" t="s">
        <v>6984</v>
      </c>
      <c r="ESW28" t="s">
        <v>6984</v>
      </c>
      <c r="ESX28" t="s">
        <v>6984</v>
      </c>
      <c r="ESY28" t="s">
        <v>6984</v>
      </c>
      <c r="ESZ28" t="s">
        <v>6984</v>
      </c>
      <c r="ETA28" t="s">
        <v>6984</v>
      </c>
      <c r="ETB28" t="s">
        <v>6984</v>
      </c>
      <c r="ETC28" t="s">
        <v>6984</v>
      </c>
      <c r="ETD28" t="s">
        <v>6984</v>
      </c>
      <c r="ETE28" t="s">
        <v>6984</v>
      </c>
      <c r="ETF28" t="s">
        <v>6984</v>
      </c>
      <c r="ETG28" t="s">
        <v>6984</v>
      </c>
      <c r="ETH28" t="s">
        <v>6984</v>
      </c>
      <c r="ETI28" t="s">
        <v>6984</v>
      </c>
      <c r="ETJ28" t="s">
        <v>6984</v>
      </c>
      <c r="ETK28" t="s">
        <v>6984</v>
      </c>
      <c r="ETL28" t="s">
        <v>6984</v>
      </c>
      <c r="ETM28" t="s">
        <v>6984</v>
      </c>
      <c r="ETN28" t="s">
        <v>6984</v>
      </c>
      <c r="ETO28" t="s">
        <v>6984</v>
      </c>
      <c r="ETP28" t="s">
        <v>6984</v>
      </c>
      <c r="ETQ28" t="s">
        <v>6984</v>
      </c>
      <c r="ETR28" t="s">
        <v>6984</v>
      </c>
      <c r="ETS28" t="s">
        <v>6984</v>
      </c>
      <c r="ETT28" t="s">
        <v>6984</v>
      </c>
      <c r="ETU28" t="s">
        <v>6984</v>
      </c>
      <c r="ETV28" t="s">
        <v>6984</v>
      </c>
      <c r="ETW28" t="s">
        <v>6984</v>
      </c>
      <c r="ETX28" t="s">
        <v>6984</v>
      </c>
      <c r="ETY28" t="s">
        <v>6984</v>
      </c>
      <c r="ETZ28" t="s">
        <v>6984</v>
      </c>
      <c r="EUA28" t="s">
        <v>6984</v>
      </c>
      <c r="EUB28" t="s">
        <v>6984</v>
      </c>
      <c r="EUC28" t="s">
        <v>6984</v>
      </c>
      <c r="EUD28" t="s">
        <v>6984</v>
      </c>
      <c r="EUE28" t="s">
        <v>6984</v>
      </c>
      <c r="EUF28" t="s">
        <v>6984</v>
      </c>
      <c r="EUG28" t="s">
        <v>6984</v>
      </c>
      <c r="EUH28" t="s">
        <v>6984</v>
      </c>
      <c r="EUI28" t="s">
        <v>6984</v>
      </c>
      <c r="EUJ28" t="s">
        <v>6984</v>
      </c>
      <c r="EUK28" t="s">
        <v>6984</v>
      </c>
      <c r="EUL28" t="s">
        <v>6984</v>
      </c>
      <c r="EUM28" t="s">
        <v>6984</v>
      </c>
      <c r="EUN28" t="s">
        <v>6984</v>
      </c>
      <c r="EUO28" t="s">
        <v>6984</v>
      </c>
      <c r="EUP28" t="s">
        <v>6984</v>
      </c>
      <c r="EUQ28" t="s">
        <v>6984</v>
      </c>
      <c r="EUR28" t="s">
        <v>6984</v>
      </c>
      <c r="EUS28" t="s">
        <v>6984</v>
      </c>
      <c r="EUT28" t="s">
        <v>6984</v>
      </c>
      <c r="EUU28" t="s">
        <v>6984</v>
      </c>
      <c r="EUV28" t="s">
        <v>6984</v>
      </c>
      <c r="EUW28" t="s">
        <v>6984</v>
      </c>
      <c r="EUX28" t="s">
        <v>6984</v>
      </c>
      <c r="EUY28" t="s">
        <v>6984</v>
      </c>
      <c r="EUZ28" t="s">
        <v>6984</v>
      </c>
      <c r="EVA28" t="s">
        <v>6984</v>
      </c>
      <c r="EVB28" t="s">
        <v>6984</v>
      </c>
      <c r="EVC28" t="s">
        <v>6984</v>
      </c>
      <c r="EVD28" t="s">
        <v>6984</v>
      </c>
      <c r="EVE28" t="s">
        <v>6984</v>
      </c>
      <c r="EVF28" t="s">
        <v>6984</v>
      </c>
      <c r="EVG28" t="s">
        <v>6984</v>
      </c>
      <c r="EVH28" t="s">
        <v>6984</v>
      </c>
      <c r="EVI28" t="s">
        <v>6984</v>
      </c>
      <c r="EVJ28" t="s">
        <v>6984</v>
      </c>
      <c r="EVK28" t="s">
        <v>6984</v>
      </c>
      <c r="EVL28" t="s">
        <v>6984</v>
      </c>
      <c r="EVM28" t="s">
        <v>6984</v>
      </c>
      <c r="EVN28" t="s">
        <v>6984</v>
      </c>
      <c r="EVO28" t="s">
        <v>6984</v>
      </c>
      <c r="EVP28" t="s">
        <v>6984</v>
      </c>
      <c r="EVQ28" t="s">
        <v>6984</v>
      </c>
      <c r="EVR28" t="s">
        <v>6984</v>
      </c>
      <c r="EVS28" t="s">
        <v>6984</v>
      </c>
      <c r="EVT28" t="s">
        <v>6984</v>
      </c>
      <c r="EVU28" t="s">
        <v>6984</v>
      </c>
      <c r="EVV28" t="s">
        <v>6984</v>
      </c>
      <c r="EVW28" t="s">
        <v>6984</v>
      </c>
      <c r="EVX28" t="s">
        <v>6984</v>
      </c>
      <c r="EVY28" t="s">
        <v>6984</v>
      </c>
      <c r="EVZ28" t="s">
        <v>6984</v>
      </c>
      <c r="EWA28" t="s">
        <v>6984</v>
      </c>
      <c r="EWB28" t="s">
        <v>6984</v>
      </c>
      <c r="EWC28" t="s">
        <v>6984</v>
      </c>
      <c r="EWD28" t="s">
        <v>6984</v>
      </c>
      <c r="EWE28" t="s">
        <v>6984</v>
      </c>
      <c r="EWF28" t="s">
        <v>6984</v>
      </c>
      <c r="EWG28" t="s">
        <v>6984</v>
      </c>
      <c r="EWH28" t="s">
        <v>6984</v>
      </c>
      <c r="EWI28" t="s">
        <v>6984</v>
      </c>
      <c r="EWJ28" t="s">
        <v>6984</v>
      </c>
      <c r="EWK28" t="s">
        <v>6984</v>
      </c>
      <c r="EWL28" t="s">
        <v>6984</v>
      </c>
      <c r="EWM28" t="s">
        <v>6984</v>
      </c>
      <c r="EWN28" t="s">
        <v>6984</v>
      </c>
      <c r="EWO28" t="s">
        <v>6984</v>
      </c>
      <c r="EWP28" t="s">
        <v>6984</v>
      </c>
      <c r="EWQ28" t="s">
        <v>6984</v>
      </c>
      <c r="EWR28" t="s">
        <v>6984</v>
      </c>
      <c r="EWS28" t="s">
        <v>6984</v>
      </c>
      <c r="EWT28" t="s">
        <v>6984</v>
      </c>
      <c r="EWU28" t="s">
        <v>6984</v>
      </c>
      <c r="EWV28" t="s">
        <v>6984</v>
      </c>
      <c r="EWW28" t="s">
        <v>6984</v>
      </c>
      <c r="EWX28" t="s">
        <v>6984</v>
      </c>
      <c r="EWY28" t="s">
        <v>6984</v>
      </c>
      <c r="EWZ28" t="s">
        <v>6984</v>
      </c>
      <c r="EXA28" t="s">
        <v>6984</v>
      </c>
      <c r="EXB28" t="s">
        <v>6984</v>
      </c>
      <c r="EXC28" t="s">
        <v>6984</v>
      </c>
      <c r="EXD28" t="s">
        <v>6984</v>
      </c>
      <c r="EXE28" t="s">
        <v>6984</v>
      </c>
      <c r="EXF28" t="s">
        <v>6984</v>
      </c>
      <c r="EXG28" t="s">
        <v>6984</v>
      </c>
      <c r="EXH28" t="s">
        <v>6984</v>
      </c>
      <c r="EXI28" t="s">
        <v>6984</v>
      </c>
      <c r="EXJ28" t="s">
        <v>6984</v>
      </c>
      <c r="EXK28" t="s">
        <v>6984</v>
      </c>
      <c r="EXL28" t="s">
        <v>6984</v>
      </c>
      <c r="EXM28" t="s">
        <v>6984</v>
      </c>
      <c r="EXN28" t="s">
        <v>6984</v>
      </c>
      <c r="EXO28" t="s">
        <v>6984</v>
      </c>
      <c r="EXP28" t="s">
        <v>6984</v>
      </c>
      <c r="EXQ28" t="s">
        <v>6984</v>
      </c>
      <c r="EXR28" t="s">
        <v>6984</v>
      </c>
      <c r="EXS28" t="s">
        <v>6984</v>
      </c>
      <c r="EXT28" t="s">
        <v>6984</v>
      </c>
      <c r="EXU28" t="s">
        <v>6984</v>
      </c>
      <c r="EXV28" t="s">
        <v>6984</v>
      </c>
      <c r="EXW28" t="s">
        <v>6984</v>
      </c>
      <c r="EXX28" t="s">
        <v>6984</v>
      </c>
      <c r="EXY28" t="s">
        <v>6984</v>
      </c>
      <c r="EXZ28" t="s">
        <v>6984</v>
      </c>
      <c r="EYA28" t="s">
        <v>6984</v>
      </c>
      <c r="EYB28" t="s">
        <v>6984</v>
      </c>
      <c r="EYC28" t="s">
        <v>6984</v>
      </c>
      <c r="EYD28" t="s">
        <v>6984</v>
      </c>
      <c r="EYE28" t="s">
        <v>6984</v>
      </c>
      <c r="EYF28" t="s">
        <v>6984</v>
      </c>
      <c r="EYG28" t="s">
        <v>6984</v>
      </c>
      <c r="EYH28" t="s">
        <v>6984</v>
      </c>
      <c r="EYI28" t="s">
        <v>6984</v>
      </c>
      <c r="EYJ28" t="s">
        <v>6984</v>
      </c>
      <c r="EYK28" t="s">
        <v>6984</v>
      </c>
      <c r="EYL28" t="s">
        <v>6984</v>
      </c>
      <c r="EYM28" t="s">
        <v>6984</v>
      </c>
      <c r="EYN28" t="s">
        <v>6984</v>
      </c>
      <c r="EYO28" t="s">
        <v>6984</v>
      </c>
      <c r="EYP28" t="s">
        <v>6984</v>
      </c>
      <c r="EYQ28" t="s">
        <v>6984</v>
      </c>
      <c r="EYR28" t="s">
        <v>6984</v>
      </c>
      <c r="EYS28" t="s">
        <v>6984</v>
      </c>
      <c r="EYT28" t="s">
        <v>6984</v>
      </c>
      <c r="EYU28" t="s">
        <v>6984</v>
      </c>
      <c r="EYV28" t="s">
        <v>6984</v>
      </c>
      <c r="EYW28" t="s">
        <v>6984</v>
      </c>
      <c r="EYX28" t="s">
        <v>6984</v>
      </c>
      <c r="EYY28" t="s">
        <v>6984</v>
      </c>
      <c r="EYZ28" t="s">
        <v>6984</v>
      </c>
      <c r="EZA28" t="s">
        <v>6984</v>
      </c>
      <c r="EZB28" t="s">
        <v>6984</v>
      </c>
      <c r="EZC28" t="s">
        <v>6984</v>
      </c>
      <c r="EZD28" t="s">
        <v>6984</v>
      </c>
      <c r="EZE28" t="s">
        <v>6984</v>
      </c>
      <c r="EZF28" t="s">
        <v>6984</v>
      </c>
      <c r="EZG28" t="s">
        <v>6984</v>
      </c>
      <c r="EZH28" t="s">
        <v>6984</v>
      </c>
      <c r="EZI28" t="s">
        <v>6984</v>
      </c>
      <c r="EZJ28" t="s">
        <v>6984</v>
      </c>
      <c r="EZK28" t="s">
        <v>6984</v>
      </c>
      <c r="EZL28" t="s">
        <v>6984</v>
      </c>
      <c r="EZM28" t="s">
        <v>6984</v>
      </c>
      <c r="EZN28" t="s">
        <v>6984</v>
      </c>
      <c r="EZO28" t="s">
        <v>6984</v>
      </c>
      <c r="EZP28" t="s">
        <v>6984</v>
      </c>
      <c r="EZQ28" t="s">
        <v>6984</v>
      </c>
      <c r="EZR28" t="s">
        <v>6984</v>
      </c>
      <c r="EZS28" t="s">
        <v>6984</v>
      </c>
      <c r="EZT28" t="s">
        <v>6984</v>
      </c>
      <c r="EZU28" t="s">
        <v>6984</v>
      </c>
      <c r="EZV28" t="s">
        <v>6984</v>
      </c>
      <c r="EZW28" t="s">
        <v>6984</v>
      </c>
      <c r="EZX28" t="s">
        <v>6984</v>
      </c>
      <c r="EZY28" t="s">
        <v>6984</v>
      </c>
      <c r="EZZ28" t="s">
        <v>6984</v>
      </c>
      <c r="FAA28" t="s">
        <v>6984</v>
      </c>
      <c r="FAB28" t="s">
        <v>6984</v>
      </c>
      <c r="FAC28" t="s">
        <v>6984</v>
      </c>
      <c r="FAD28" t="s">
        <v>6984</v>
      </c>
      <c r="FAE28" t="s">
        <v>6984</v>
      </c>
      <c r="FAF28" t="s">
        <v>6984</v>
      </c>
      <c r="FAG28" t="s">
        <v>6984</v>
      </c>
      <c r="FAH28" t="s">
        <v>6984</v>
      </c>
      <c r="FAI28" t="s">
        <v>6984</v>
      </c>
      <c r="FAJ28" t="s">
        <v>6984</v>
      </c>
      <c r="FAK28" t="s">
        <v>6984</v>
      </c>
      <c r="FAL28" t="s">
        <v>6984</v>
      </c>
      <c r="FAM28" t="s">
        <v>6984</v>
      </c>
      <c r="FAN28" t="s">
        <v>6984</v>
      </c>
      <c r="FAO28" t="s">
        <v>6984</v>
      </c>
      <c r="FAP28" t="s">
        <v>6984</v>
      </c>
      <c r="FAQ28" t="s">
        <v>6984</v>
      </c>
      <c r="FAR28" t="s">
        <v>6984</v>
      </c>
      <c r="FAS28" t="s">
        <v>6984</v>
      </c>
      <c r="FAT28" t="s">
        <v>6984</v>
      </c>
      <c r="FAU28" t="s">
        <v>6984</v>
      </c>
      <c r="FAV28" t="s">
        <v>6984</v>
      </c>
      <c r="FAW28" t="s">
        <v>6984</v>
      </c>
      <c r="FAX28" t="s">
        <v>6984</v>
      </c>
      <c r="FAY28" t="s">
        <v>6984</v>
      </c>
      <c r="FAZ28" t="s">
        <v>6984</v>
      </c>
      <c r="FBA28" t="s">
        <v>6984</v>
      </c>
      <c r="FBB28" t="s">
        <v>6984</v>
      </c>
      <c r="FBC28" t="s">
        <v>6984</v>
      </c>
      <c r="FBD28" t="s">
        <v>6984</v>
      </c>
      <c r="FBE28" t="s">
        <v>6984</v>
      </c>
      <c r="FBF28" t="s">
        <v>6984</v>
      </c>
      <c r="FBG28" t="s">
        <v>6984</v>
      </c>
      <c r="FBH28" t="s">
        <v>6984</v>
      </c>
      <c r="FBI28" t="s">
        <v>6984</v>
      </c>
      <c r="FBJ28" t="s">
        <v>6984</v>
      </c>
      <c r="FBK28" t="s">
        <v>6984</v>
      </c>
      <c r="FBL28" t="s">
        <v>6984</v>
      </c>
      <c r="FBM28" t="s">
        <v>6984</v>
      </c>
      <c r="FBN28" t="s">
        <v>6984</v>
      </c>
      <c r="FBO28" t="s">
        <v>6984</v>
      </c>
      <c r="FBP28" t="s">
        <v>6984</v>
      </c>
      <c r="FBQ28" t="s">
        <v>6984</v>
      </c>
      <c r="FBR28" t="s">
        <v>6984</v>
      </c>
      <c r="FBS28" t="s">
        <v>6984</v>
      </c>
      <c r="FBT28" t="s">
        <v>6984</v>
      </c>
      <c r="FBU28" t="s">
        <v>6984</v>
      </c>
      <c r="FBV28" t="s">
        <v>6984</v>
      </c>
      <c r="FBW28" t="s">
        <v>6984</v>
      </c>
      <c r="FBX28" t="s">
        <v>6984</v>
      </c>
      <c r="FBY28" t="s">
        <v>6984</v>
      </c>
      <c r="FBZ28" t="s">
        <v>6984</v>
      </c>
      <c r="FCA28" t="s">
        <v>6984</v>
      </c>
      <c r="FCB28" t="s">
        <v>6984</v>
      </c>
      <c r="FCC28" t="s">
        <v>6984</v>
      </c>
      <c r="FCD28" t="s">
        <v>6984</v>
      </c>
      <c r="FCE28" t="s">
        <v>6984</v>
      </c>
      <c r="FCF28" t="s">
        <v>6984</v>
      </c>
      <c r="FCG28" t="s">
        <v>6984</v>
      </c>
      <c r="FCH28" t="s">
        <v>6984</v>
      </c>
      <c r="FCI28" t="s">
        <v>6984</v>
      </c>
      <c r="FCJ28" t="s">
        <v>6984</v>
      </c>
      <c r="FCK28" t="s">
        <v>6984</v>
      </c>
      <c r="FCL28" t="s">
        <v>6984</v>
      </c>
      <c r="FCM28" t="s">
        <v>6984</v>
      </c>
      <c r="FCN28" t="s">
        <v>6984</v>
      </c>
      <c r="FCO28" t="s">
        <v>6984</v>
      </c>
      <c r="FCP28" t="s">
        <v>6984</v>
      </c>
      <c r="FCQ28" t="s">
        <v>6984</v>
      </c>
      <c r="FCR28" t="s">
        <v>6984</v>
      </c>
      <c r="FCS28" t="s">
        <v>6984</v>
      </c>
      <c r="FCT28" t="s">
        <v>6984</v>
      </c>
      <c r="FCU28" t="s">
        <v>6984</v>
      </c>
      <c r="FCV28" t="s">
        <v>6984</v>
      </c>
      <c r="FCW28" t="s">
        <v>6984</v>
      </c>
      <c r="FCX28" t="s">
        <v>6984</v>
      </c>
      <c r="FCY28" t="s">
        <v>6984</v>
      </c>
      <c r="FCZ28" t="s">
        <v>6984</v>
      </c>
      <c r="FDA28" t="s">
        <v>6984</v>
      </c>
      <c r="FDB28" t="s">
        <v>6984</v>
      </c>
      <c r="FDC28" t="s">
        <v>6984</v>
      </c>
      <c r="FDD28" t="s">
        <v>6984</v>
      </c>
      <c r="FDE28" t="s">
        <v>6984</v>
      </c>
      <c r="FDF28" t="s">
        <v>6984</v>
      </c>
      <c r="FDG28" t="s">
        <v>6984</v>
      </c>
      <c r="FDH28" t="s">
        <v>6984</v>
      </c>
      <c r="FDI28" t="s">
        <v>6984</v>
      </c>
      <c r="FDJ28" t="s">
        <v>6984</v>
      </c>
      <c r="FDK28" t="s">
        <v>6984</v>
      </c>
      <c r="FDL28" t="s">
        <v>6984</v>
      </c>
      <c r="FDM28" t="s">
        <v>6984</v>
      </c>
      <c r="FDN28" t="s">
        <v>6984</v>
      </c>
      <c r="FDO28" t="s">
        <v>6984</v>
      </c>
      <c r="FDP28" t="s">
        <v>6984</v>
      </c>
      <c r="FDQ28" t="s">
        <v>6984</v>
      </c>
      <c r="FDR28" t="s">
        <v>6984</v>
      </c>
      <c r="FDS28" t="s">
        <v>6984</v>
      </c>
      <c r="FDT28" t="s">
        <v>6984</v>
      </c>
      <c r="FDU28" t="s">
        <v>6984</v>
      </c>
      <c r="FDV28" t="s">
        <v>6984</v>
      </c>
      <c r="FDW28" t="s">
        <v>6984</v>
      </c>
      <c r="FDX28" t="s">
        <v>6984</v>
      </c>
      <c r="FDY28" t="s">
        <v>6984</v>
      </c>
      <c r="FDZ28" t="s">
        <v>6984</v>
      </c>
      <c r="FEA28" t="s">
        <v>6984</v>
      </c>
      <c r="FEB28" t="s">
        <v>6984</v>
      </c>
      <c r="FEC28" t="s">
        <v>6984</v>
      </c>
      <c r="FED28" t="s">
        <v>6984</v>
      </c>
      <c r="FEE28" t="s">
        <v>6984</v>
      </c>
      <c r="FEF28" t="s">
        <v>6984</v>
      </c>
      <c r="FEG28" t="s">
        <v>6984</v>
      </c>
      <c r="FEH28" t="s">
        <v>6984</v>
      </c>
      <c r="FEI28" t="s">
        <v>6984</v>
      </c>
      <c r="FEJ28" t="s">
        <v>6984</v>
      </c>
      <c r="FEK28" t="s">
        <v>6984</v>
      </c>
      <c r="FEL28" t="s">
        <v>6984</v>
      </c>
      <c r="FEM28" t="s">
        <v>6984</v>
      </c>
      <c r="FEN28" t="s">
        <v>6984</v>
      </c>
      <c r="FEO28" t="s">
        <v>6984</v>
      </c>
      <c r="FEP28" t="s">
        <v>6984</v>
      </c>
      <c r="FEQ28" t="s">
        <v>6984</v>
      </c>
      <c r="FER28" t="s">
        <v>6984</v>
      </c>
      <c r="FES28" t="s">
        <v>6984</v>
      </c>
      <c r="FET28" t="s">
        <v>6984</v>
      </c>
      <c r="FEU28" t="s">
        <v>6984</v>
      </c>
      <c r="FEV28" t="s">
        <v>6984</v>
      </c>
      <c r="FEW28" t="s">
        <v>6984</v>
      </c>
      <c r="FEX28" t="s">
        <v>6984</v>
      </c>
      <c r="FEY28" t="s">
        <v>6984</v>
      </c>
      <c r="FEZ28" t="s">
        <v>6984</v>
      </c>
      <c r="FFA28" t="s">
        <v>6984</v>
      </c>
      <c r="FFB28" t="s">
        <v>6984</v>
      </c>
      <c r="FFC28" t="s">
        <v>6984</v>
      </c>
      <c r="FFD28" t="s">
        <v>6984</v>
      </c>
      <c r="FFE28" t="s">
        <v>6984</v>
      </c>
      <c r="FFF28" t="s">
        <v>6984</v>
      </c>
      <c r="FFG28" t="s">
        <v>6984</v>
      </c>
      <c r="FFH28" t="s">
        <v>6984</v>
      </c>
      <c r="FFI28" t="s">
        <v>6984</v>
      </c>
      <c r="FFJ28" t="s">
        <v>6984</v>
      </c>
      <c r="FFK28" t="s">
        <v>6984</v>
      </c>
      <c r="FFL28" t="s">
        <v>6984</v>
      </c>
      <c r="FFM28" t="s">
        <v>6984</v>
      </c>
      <c r="FFN28" t="s">
        <v>6984</v>
      </c>
      <c r="FFO28" t="s">
        <v>6984</v>
      </c>
      <c r="FFP28" t="s">
        <v>6984</v>
      </c>
      <c r="FFQ28" t="s">
        <v>6984</v>
      </c>
      <c r="FFR28" t="s">
        <v>6984</v>
      </c>
      <c r="FFS28" t="s">
        <v>6984</v>
      </c>
      <c r="FFT28" t="s">
        <v>6984</v>
      </c>
      <c r="FFU28" t="s">
        <v>6984</v>
      </c>
      <c r="FFV28" t="s">
        <v>6984</v>
      </c>
      <c r="FFW28" t="s">
        <v>6984</v>
      </c>
      <c r="FFX28" t="s">
        <v>6984</v>
      </c>
      <c r="FFY28" t="s">
        <v>6984</v>
      </c>
      <c r="FFZ28" t="s">
        <v>6984</v>
      </c>
      <c r="FGA28" t="s">
        <v>6984</v>
      </c>
      <c r="FGB28" t="s">
        <v>6984</v>
      </c>
      <c r="FGC28" t="s">
        <v>6984</v>
      </c>
      <c r="FGD28" t="s">
        <v>6984</v>
      </c>
      <c r="FGE28" t="s">
        <v>6984</v>
      </c>
      <c r="FGF28" t="s">
        <v>6984</v>
      </c>
      <c r="FGG28" t="s">
        <v>6984</v>
      </c>
      <c r="FGH28" t="s">
        <v>6984</v>
      </c>
      <c r="FGI28" t="s">
        <v>6984</v>
      </c>
      <c r="FGJ28" t="s">
        <v>6984</v>
      </c>
      <c r="FGK28" t="s">
        <v>6984</v>
      </c>
      <c r="FGL28" t="s">
        <v>6984</v>
      </c>
      <c r="FGM28" t="s">
        <v>6984</v>
      </c>
      <c r="FGN28" t="s">
        <v>6984</v>
      </c>
      <c r="FGO28" t="s">
        <v>6984</v>
      </c>
      <c r="FGP28" t="s">
        <v>6984</v>
      </c>
      <c r="FGQ28" t="s">
        <v>6984</v>
      </c>
      <c r="FGR28" t="s">
        <v>6984</v>
      </c>
      <c r="FGS28" t="s">
        <v>6984</v>
      </c>
      <c r="FGT28" t="s">
        <v>6984</v>
      </c>
      <c r="FGU28" t="s">
        <v>6984</v>
      </c>
      <c r="FGV28" t="s">
        <v>6984</v>
      </c>
      <c r="FGW28" t="s">
        <v>6984</v>
      </c>
      <c r="FGX28" t="s">
        <v>6984</v>
      </c>
      <c r="FGY28" t="s">
        <v>6984</v>
      </c>
      <c r="FGZ28" t="s">
        <v>6984</v>
      </c>
      <c r="FHA28" t="s">
        <v>6984</v>
      </c>
      <c r="FHB28" t="s">
        <v>6984</v>
      </c>
      <c r="FHC28" t="s">
        <v>6984</v>
      </c>
      <c r="FHD28" t="s">
        <v>6984</v>
      </c>
      <c r="FHE28" t="s">
        <v>6984</v>
      </c>
      <c r="FHF28" t="s">
        <v>6984</v>
      </c>
      <c r="FHG28" t="s">
        <v>6984</v>
      </c>
      <c r="FHH28" t="s">
        <v>6984</v>
      </c>
      <c r="FHI28" t="s">
        <v>6984</v>
      </c>
      <c r="FHJ28" t="s">
        <v>6984</v>
      </c>
      <c r="FHK28" t="s">
        <v>6984</v>
      </c>
      <c r="FHL28" t="s">
        <v>6984</v>
      </c>
      <c r="FHM28" t="s">
        <v>6984</v>
      </c>
      <c r="FHN28" t="s">
        <v>6984</v>
      </c>
      <c r="FHO28" t="s">
        <v>6984</v>
      </c>
      <c r="FHP28" t="s">
        <v>6984</v>
      </c>
      <c r="FHQ28" t="s">
        <v>6984</v>
      </c>
      <c r="FHR28" t="s">
        <v>6984</v>
      </c>
      <c r="FHS28" t="s">
        <v>6984</v>
      </c>
      <c r="FHT28" t="s">
        <v>6984</v>
      </c>
      <c r="FHU28" t="s">
        <v>6984</v>
      </c>
      <c r="FHV28" t="s">
        <v>6984</v>
      </c>
      <c r="FHW28" t="s">
        <v>6984</v>
      </c>
      <c r="FHX28" t="s">
        <v>6984</v>
      </c>
      <c r="FHY28" t="s">
        <v>6984</v>
      </c>
      <c r="FHZ28" t="s">
        <v>6984</v>
      </c>
      <c r="FIA28" t="s">
        <v>6984</v>
      </c>
      <c r="FIB28" t="s">
        <v>6984</v>
      </c>
      <c r="FIC28" t="s">
        <v>6984</v>
      </c>
      <c r="FID28" t="s">
        <v>6984</v>
      </c>
      <c r="FIE28" t="s">
        <v>6984</v>
      </c>
      <c r="FIF28" t="s">
        <v>6984</v>
      </c>
      <c r="FIG28" t="s">
        <v>6984</v>
      </c>
      <c r="FIH28" t="s">
        <v>6984</v>
      </c>
      <c r="FII28" t="s">
        <v>6984</v>
      </c>
      <c r="FIJ28" t="s">
        <v>6984</v>
      </c>
      <c r="FIK28" t="s">
        <v>6984</v>
      </c>
      <c r="FIL28" t="s">
        <v>6984</v>
      </c>
      <c r="FIM28" t="s">
        <v>6984</v>
      </c>
      <c r="FIN28" t="s">
        <v>6984</v>
      </c>
      <c r="FIO28" t="s">
        <v>6984</v>
      </c>
      <c r="FIP28" t="s">
        <v>6984</v>
      </c>
      <c r="FIQ28" t="s">
        <v>6984</v>
      </c>
      <c r="FIR28" t="s">
        <v>6984</v>
      </c>
      <c r="FIS28" t="s">
        <v>6984</v>
      </c>
      <c r="FIT28" t="s">
        <v>6984</v>
      </c>
      <c r="FIU28" t="s">
        <v>6984</v>
      </c>
      <c r="FIV28" t="s">
        <v>6984</v>
      </c>
      <c r="FIW28" t="s">
        <v>6984</v>
      </c>
      <c r="FIX28" t="s">
        <v>6984</v>
      </c>
      <c r="FIY28" t="s">
        <v>6984</v>
      </c>
      <c r="FIZ28" t="s">
        <v>6984</v>
      </c>
      <c r="FJA28" t="s">
        <v>6984</v>
      </c>
      <c r="FJB28" t="s">
        <v>6984</v>
      </c>
      <c r="FJC28" t="s">
        <v>6984</v>
      </c>
      <c r="FJD28" t="s">
        <v>6984</v>
      </c>
      <c r="FJE28" t="s">
        <v>6984</v>
      </c>
      <c r="FJF28" t="s">
        <v>6984</v>
      </c>
      <c r="FJG28" t="s">
        <v>6984</v>
      </c>
      <c r="FJH28" t="s">
        <v>6984</v>
      </c>
      <c r="FJI28" t="s">
        <v>6984</v>
      </c>
      <c r="FJJ28" t="s">
        <v>6984</v>
      </c>
      <c r="FJK28" t="s">
        <v>6984</v>
      </c>
      <c r="FJL28" t="s">
        <v>6984</v>
      </c>
      <c r="FJM28" t="s">
        <v>6984</v>
      </c>
      <c r="FJN28" t="s">
        <v>6984</v>
      </c>
      <c r="FJO28" t="s">
        <v>6984</v>
      </c>
      <c r="FJP28" t="s">
        <v>6984</v>
      </c>
      <c r="FJQ28" t="s">
        <v>6984</v>
      </c>
      <c r="FJR28" t="s">
        <v>6984</v>
      </c>
      <c r="FJS28" t="s">
        <v>6984</v>
      </c>
      <c r="FJT28" t="s">
        <v>6984</v>
      </c>
      <c r="FJU28" t="s">
        <v>6984</v>
      </c>
      <c r="FJV28" t="s">
        <v>6984</v>
      </c>
      <c r="FJW28" t="s">
        <v>6984</v>
      </c>
      <c r="FJX28" t="s">
        <v>6984</v>
      </c>
      <c r="FJY28" t="s">
        <v>6984</v>
      </c>
      <c r="FJZ28" t="s">
        <v>6984</v>
      </c>
      <c r="FKA28" t="s">
        <v>6984</v>
      </c>
      <c r="FKB28" t="s">
        <v>6984</v>
      </c>
      <c r="FKC28" t="s">
        <v>6984</v>
      </c>
      <c r="FKD28" t="s">
        <v>6984</v>
      </c>
      <c r="FKE28" t="s">
        <v>6984</v>
      </c>
      <c r="FKF28" t="s">
        <v>6984</v>
      </c>
      <c r="FKG28" t="s">
        <v>6984</v>
      </c>
      <c r="FKH28" t="s">
        <v>6984</v>
      </c>
      <c r="FKI28" t="s">
        <v>6984</v>
      </c>
      <c r="FKJ28" t="s">
        <v>6984</v>
      </c>
      <c r="FKK28" t="s">
        <v>6984</v>
      </c>
      <c r="FKL28" t="s">
        <v>6984</v>
      </c>
      <c r="FKM28" t="s">
        <v>6984</v>
      </c>
      <c r="FKN28" t="s">
        <v>6984</v>
      </c>
      <c r="FKO28" t="s">
        <v>6984</v>
      </c>
      <c r="FKP28" t="s">
        <v>6984</v>
      </c>
      <c r="FKQ28" t="s">
        <v>6984</v>
      </c>
      <c r="FKR28" t="s">
        <v>6984</v>
      </c>
      <c r="FKS28" t="s">
        <v>6984</v>
      </c>
      <c r="FKT28" t="s">
        <v>6984</v>
      </c>
      <c r="FKU28" t="s">
        <v>6984</v>
      </c>
      <c r="FKV28" t="s">
        <v>6984</v>
      </c>
      <c r="FKW28" t="s">
        <v>6984</v>
      </c>
      <c r="FKX28" t="s">
        <v>6984</v>
      </c>
      <c r="FKY28" t="s">
        <v>6984</v>
      </c>
      <c r="FKZ28" t="s">
        <v>6984</v>
      </c>
      <c r="FLA28" t="s">
        <v>6984</v>
      </c>
      <c r="FLB28" t="s">
        <v>6984</v>
      </c>
      <c r="FLC28" t="s">
        <v>6984</v>
      </c>
      <c r="FLD28" t="s">
        <v>6984</v>
      </c>
      <c r="FLE28" t="s">
        <v>6984</v>
      </c>
      <c r="FLF28" t="s">
        <v>6984</v>
      </c>
      <c r="FLG28" t="s">
        <v>6984</v>
      </c>
      <c r="FLH28" t="s">
        <v>6984</v>
      </c>
      <c r="FLI28" t="s">
        <v>6984</v>
      </c>
      <c r="FLJ28" t="s">
        <v>6984</v>
      </c>
      <c r="FLK28" t="s">
        <v>6984</v>
      </c>
      <c r="FLL28" t="s">
        <v>6984</v>
      </c>
      <c r="FLM28" t="s">
        <v>6984</v>
      </c>
      <c r="FLN28" t="s">
        <v>6984</v>
      </c>
      <c r="FLO28" t="s">
        <v>6984</v>
      </c>
      <c r="FLP28" t="s">
        <v>6984</v>
      </c>
      <c r="FLQ28" t="s">
        <v>6984</v>
      </c>
      <c r="FLR28" t="s">
        <v>6984</v>
      </c>
      <c r="FLS28" t="s">
        <v>6984</v>
      </c>
      <c r="FLT28" t="s">
        <v>6984</v>
      </c>
      <c r="FLU28" t="s">
        <v>6984</v>
      </c>
      <c r="FLV28" t="s">
        <v>6984</v>
      </c>
      <c r="FLW28" t="s">
        <v>6984</v>
      </c>
      <c r="FLX28" t="s">
        <v>6984</v>
      </c>
      <c r="FLY28" t="s">
        <v>6984</v>
      </c>
      <c r="FLZ28" t="s">
        <v>6984</v>
      </c>
      <c r="FMA28" t="s">
        <v>6984</v>
      </c>
      <c r="FMB28" t="s">
        <v>6984</v>
      </c>
      <c r="FMC28" t="s">
        <v>6984</v>
      </c>
      <c r="FMD28" t="s">
        <v>6984</v>
      </c>
      <c r="FME28" t="s">
        <v>6984</v>
      </c>
      <c r="FMF28" t="s">
        <v>6984</v>
      </c>
      <c r="FMG28" t="s">
        <v>6984</v>
      </c>
      <c r="FMH28" t="s">
        <v>6984</v>
      </c>
      <c r="FMI28" t="s">
        <v>6984</v>
      </c>
      <c r="FMJ28" t="s">
        <v>6984</v>
      </c>
      <c r="FMK28" t="s">
        <v>6984</v>
      </c>
      <c r="FML28" t="s">
        <v>6984</v>
      </c>
      <c r="FMM28" t="s">
        <v>6984</v>
      </c>
      <c r="FMN28" t="s">
        <v>6984</v>
      </c>
      <c r="FMO28" t="s">
        <v>6984</v>
      </c>
      <c r="FMP28" t="s">
        <v>6984</v>
      </c>
      <c r="FMQ28" t="s">
        <v>6984</v>
      </c>
      <c r="FMR28" t="s">
        <v>6984</v>
      </c>
      <c r="FMS28" t="s">
        <v>6984</v>
      </c>
      <c r="FMT28" t="s">
        <v>6984</v>
      </c>
      <c r="FMU28" t="s">
        <v>6984</v>
      </c>
      <c r="FMV28" t="s">
        <v>6984</v>
      </c>
      <c r="FMW28" t="s">
        <v>6984</v>
      </c>
      <c r="FMX28" t="s">
        <v>6984</v>
      </c>
      <c r="FMY28" t="s">
        <v>6984</v>
      </c>
      <c r="FMZ28" t="s">
        <v>6984</v>
      </c>
      <c r="FNA28" t="s">
        <v>6984</v>
      </c>
      <c r="FNB28" t="s">
        <v>6984</v>
      </c>
      <c r="FNC28" t="s">
        <v>6984</v>
      </c>
      <c r="FND28" t="s">
        <v>6984</v>
      </c>
      <c r="FNE28" t="s">
        <v>6984</v>
      </c>
      <c r="FNF28" t="s">
        <v>6984</v>
      </c>
      <c r="FNG28" t="s">
        <v>6984</v>
      </c>
      <c r="FNH28" t="s">
        <v>6984</v>
      </c>
      <c r="FNI28" t="s">
        <v>6984</v>
      </c>
      <c r="FNJ28" t="s">
        <v>6984</v>
      </c>
      <c r="FNK28" t="s">
        <v>6984</v>
      </c>
      <c r="FNL28" t="s">
        <v>6984</v>
      </c>
      <c r="FNM28" t="s">
        <v>6984</v>
      </c>
      <c r="FNN28" t="s">
        <v>6984</v>
      </c>
      <c r="FNO28" t="s">
        <v>6984</v>
      </c>
      <c r="FNP28" t="s">
        <v>6984</v>
      </c>
      <c r="FNQ28" t="s">
        <v>6984</v>
      </c>
      <c r="FNR28" t="s">
        <v>6984</v>
      </c>
      <c r="FNS28" t="s">
        <v>6984</v>
      </c>
      <c r="FNT28" t="s">
        <v>6984</v>
      </c>
      <c r="FNU28" t="s">
        <v>6984</v>
      </c>
      <c r="FNV28" t="s">
        <v>6984</v>
      </c>
      <c r="FNW28" t="s">
        <v>6984</v>
      </c>
      <c r="FNX28" t="s">
        <v>6984</v>
      </c>
      <c r="FNY28" t="s">
        <v>6984</v>
      </c>
      <c r="FNZ28" t="s">
        <v>6984</v>
      </c>
      <c r="FOA28" t="s">
        <v>6984</v>
      </c>
      <c r="FOB28" t="s">
        <v>6984</v>
      </c>
      <c r="FOC28" t="s">
        <v>6984</v>
      </c>
      <c r="FOD28" t="s">
        <v>6984</v>
      </c>
      <c r="FOE28" t="s">
        <v>6984</v>
      </c>
      <c r="FOF28" t="s">
        <v>6984</v>
      </c>
      <c r="FOG28" t="s">
        <v>6984</v>
      </c>
      <c r="FOH28" t="s">
        <v>6984</v>
      </c>
      <c r="FOI28" t="s">
        <v>6984</v>
      </c>
      <c r="FOJ28" t="s">
        <v>6984</v>
      </c>
      <c r="FOK28" t="s">
        <v>6984</v>
      </c>
      <c r="FOL28" t="s">
        <v>6984</v>
      </c>
      <c r="FOM28" t="s">
        <v>6984</v>
      </c>
      <c r="FON28" t="s">
        <v>6984</v>
      </c>
      <c r="FOO28" t="s">
        <v>6984</v>
      </c>
      <c r="FOP28" t="s">
        <v>6984</v>
      </c>
      <c r="FOQ28" t="s">
        <v>6984</v>
      </c>
      <c r="FOR28" t="s">
        <v>6984</v>
      </c>
      <c r="FOS28" t="s">
        <v>6984</v>
      </c>
      <c r="FOT28" t="s">
        <v>6984</v>
      </c>
      <c r="FOU28" t="s">
        <v>6984</v>
      </c>
      <c r="FOV28" t="s">
        <v>6984</v>
      </c>
      <c r="FOW28" t="s">
        <v>6984</v>
      </c>
      <c r="FOX28" t="s">
        <v>6984</v>
      </c>
      <c r="FOY28" t="s">
        <v>6984</v>
      </c>
      <c r="FOZ28" t="s">
        <v>6984</v>
      </c>
      <c r="FPA28" t="s">
        <v>6984</v>
      </c>
      <c r="FPB28" t="s">
        <v>6984</v>
      </c>
      <c r="FPC28" t="s">
        <v>6984</v>
      </c>
      <c r="FPD28" t="s">
        <v>6984</v>
      </c>
      <c r="FPE28" t="s">
        <v>6984</v>
      </c>
      <c r="FPF28" t="s">
        <v>6984</v>
      </c>
      <c r="FPG28" t="s">
        <v>6984</v>
      </c>
      <c r="FPH28" t="s">
        <v>6984</v>
      </c>
      <c r="FPI28" t="s">
        <v>6984</v>
      </c>
      <c r="FPJ28" t="s">
        <v>6984</v>
      </c>
      <c r="FPK28" t="s">
        <v>6984</v>
      </c>
      <c r="FPL28" t="s">
        <v>6984</v>
      </c>
      <c r="FPM28" t="s">
        <v>6984</v>
      </c>
      <c r="FPN28" t="s">
        <v>6984</v>
      </c>
      <c r="FPO28" t="s">
        <v>6984</v>
      </c>
      <c r="FPP28" t="s">
        <v>6984</v>
      </c>
      <c r="FPQ28" t="s">
        <v>6984</v>
      </c>
      <c r="FPR28" t="s">
        <v>6984</v>
      </c>
      <c r="FPS28" t="s">
        <v>6984</v>
      </c>
      <c r="FPT28" t="s">
        <v>6984</v>
      </c>
      <c r="FPU28" t="s">
        <v>6984</v>
      </c>
      <c r="FPV28" t="s">
        <v>6984</v>
      </c>
      <c r="FPW28" t="s">
        <v>6984</v>
      </c>
      <c r="FPX28" t="s">
        <v>6984</v>
      </c>
      <c r="FPY28" t="s">
        <v>6984</v>
      </c>
      <c r="FPZ28" t="s">
        <v>6984</v>
      </c>
      <c r="FQA28" t="s">
        <v>6984</v>
      </c>
      <c r="FQB28" t="s">
        <v>6984</v>
      </c>
      <c r="FQC28" t="s">
        <v>6984</v>
      </c>
      <c r="FQD28" t="s">
        <v>6984</v>
      </c>
      <c r="FQE28" t="s">
        <v>6984</v>
      </c>
      <c r="FQF28" t="s">
        <v>6984</v>
      </c>
      <c r="FQG28" t="s">
        <v>6984</v>
      </c>
      <c r="FQH28" t="s">
        <v>6984</v>
      </c>
      <c r="FQI28" t="s">
        <v>6984</v>
      </c>
      <c r="FQJ28" t="s">
        <v>6984</v>
      </c>
      <c r="FQK28" t="s">
        <v>6984</v>
      </c>
      <c r="FQL28" t="s">
        <v>6984</v>
      </c>
      <c r="FQM28" t="s">
        <v>6984</v>
      </c>
      <c r="FQN28" t="s">
        <v>6984</v>
      </c>
      <c r="FQO28" t="s">
        <v>6984</v>
      </c>
      <c r="FQP28" t="s">
        <v>6984</v>
      </c>
      <c r="FQQ28" t="s">
        <v>6984</v>
      </c>
      <c r="FQR28" t="s">
        <v>6984</v>
      </c>
      <c r="FQS28" t="s">
        <v>6984</v>
      </c>
      <c r="FQT28" t="s">
        <v>6984</v>
      </c>
      <c r="FQU28" t="s">
        <v>6984</v>
      </c>
      <c r="FQV28" t="s">
        <v>6984</v>
      </c>
      <c r="FQW28" t="s">
        <v>6984</v>
      </c>
      <c r="FQX28" t="s">
        <v>6984</v>
      </c>
      <c r="FQY28" t="s">
        <v>6984</v>
      </c>
      <c r="FQZ28" t="s">
        <v>6984</v>
      </c>
      <c r="FRA28" t="s">
        <v>6984</v>
      </c>
      <c r="FRB28" t="s">
        <v>6984</v>
      </c>
      <c r="FRC28" t="s">
        <v>6984</v>
      </c>
      <c r="FRD28" t="s">
        <v>6984</v>
      </c>
      <c r="FRE28" t="s">
        <v>6984</v>
      </c>
      <c r="FRF28" t="s">
        <v>6984</v>
      </c>
      <c r="FRG28" t="s">
        <v>6984</v>
      </c>
      <c r="FRH28" t="s">
        <v>6984</v>
      </c>
      <c r="FRI28" t="s">
        <v>6984</v>
      </c>
      <c r="FRJ28" t="s">
        <v>6984</v>
      </c>
      <c r="FRK28" t="s">
        <v>6984</v>
      </c>
      <c r="FRL28" t="s">
        <v>6984</v>
      </c>
      <c r="FRM28" t="s">
        <v>6984</v>
      </c>
      <c r="FRN28" t="s">
        <v>6984</v>
      </c>
      <c r="FRO28" t="s">
        <v>6984</v>
      </c>
      <c r="FRP28" t="s">
        <v>6984</v>
      </c>
      <c r="FRQ28" t="s">
        <v>6984</v>
      </c>
      <c r="FRR28" t="s">
        <v>6984</v>
      </c>
      <c r="FRS28" t="s">
        <v>6984</v>
      </c>
      <c r="FRT28" t="s">
        <v>6984</v>
      </c>
      <c r="FRU28" t="s">
        <v>6984</v>
      </c>
      <c r="FRV28" t="s">
        <v>6984</v>
      </c>
      <c r="FRW28" t="s">
        <v>6984</v>
      </c>
      <c r="FRX28" t="s">
        <v>6984</v>
      </c>
      <c r="FRY28" t="s">
        <v>6984</v>
      </c>
      <c r="FRZ28" t="s">
        <v>6984</v>
      </c>
      <c r="FSA28" t="s">
        <v>6984</v>
      </c>
      <c r="FSB28" t="s">
        <v>6984</v>
      </c>
      <c r="FSC28" t="s">
        <v>6984</v>
      </c>
      <c r="FSD28" t="s">
        <v>6984</v>
      </c>
      <c r="FSE28" t="s">
        <v>6984</v>
      </c>
      <c r="FSF28" t="s">
        <v>6984</v>
      </c>
      <c r="FSG28" t="s">
        <v>6984</v>
      </c>
      <c r="FSH28" t="s">
        <v>6984</v>
      </c>
      <c r="FSI28" t="s">
        <v>6984</v>
      </c>
      <c r="FSJ28" t="s">
        <v>6984</v>
      </c>
      <c r="FSK28" t="s">
        <v>6984</v>
      </c>
      <c r="FSL28" t="s">
        <v>6984</v>
      </c>
      <c r="FSM28" t="s">
        <v>6984</v>
      </c>
      <c r="FSN28" t="s">
        <v>6984</v>
      </c>
      <c r="FSO28" t="s">
        <v>6984</v>
      </c>
      <c r="FSP28" t="s">
        <v>6984</v>
      </c>
      <c r="FSQ28" t="s">
        <v>6984</v>
      </c>
      <c r="FSR28" t="s">
        <v>6984</v>
      </c>
      <c r="FSS28" t="s">
        <v>6984</v>
      </c>
      <c r="FST28" t="s">
        <v>6984</v>
      </c>
      <c r="FSU28" t="s">
        <v>6984</v>
      </c>
      <c r="FSV28" t="s">
        <v>6984</v>
      </c>
      <c r="FSW28" t="s">
        <v>6984</v>
      </c>
      <c r="FSX28" t="s">
        <v>6984</v>
      </c>
      <c r="FSY28" t="s">
        <v>6984</v>
      </c>
      <c r="FSZ28" t="s">
        <v>6984</v>
      </c>
      <c r="FTA28" t="s">
        <v>6984</v>
      </c>
      <c r="FTB28" t="s">
        <v>6984</v>
      </c>
      <c r="FTC28" t="s">
        <v>6984</v>
      </c>
      <c r="FTD28" t="s">
        <v>6984</v>
      </c>
      <c r="FTE28" t="s">
        <v>6984</v>
      </c>
      <c r="FTF28" t="s">
        <v>6984</v>
      </c>
      <c r="FTG28" t="s">
        <v>6984</v>
      </c>
      <c r="FTH28" t="s">
        <v>6984</v>
      </c>
      <c r="FTI28" t="s">
        <v>6984</v>
      </c>
      <c r="FTJ28" t="s">
        <v>6984</v>
      </c>
      <c r="FTK28" t="s">
        <v>6984</v>
      </c>
      <c r="FTL28" t="s">
        <v>6984</v>
      </c>
      <c r="FTM28" t="s">
        <v>6984</v>
      </c>
      <c r="FTN28" t="s">
        <v>6984</v>
      </c>
      <c r="FTO28" t="s">
        <v>6984</v>
      </c>
      <c r="FTP28" t="s">
        <v>6984</v>
      </c>
      <c r="FTQ28" t="s">
        <v>6984</v>
      </c>
      <c r="FTR28" t="s">
        <v>6984</v>
      </c>
      <c r="FTS28" t="s">
        <v>6984</v>
      </c>
      <c r="FTT28" t="s">
        <v>6984</v>
      </c>
      <c r="FTU28" t="s">
        <v>6984</v>
      </c>
      <c r="FTV28" t="s">
        <v>6984</v>
      </c>
      <c r="FTW28" t="s">
        <v>6984</v>
      </c>
      <c r="FTX28" t="s">
        <v>6984</v>
      </c>
      <c r="FTY28" t="s">
        <v>6984</v>
      </c>
      <c r="FTZ28" t="s">
        <v>6984</v>
      </c>
      <c r="FUA28" t="s">
        <v>6984</v>
      </c>
      <c r="FUB28" t="s">
        <v>6984</v>
      </c>
      <c r="FUC28" t="s">
        <v>6984</v>
      </c>
      <c r="FUD28" t="s">
        <v>6984</v>
      </c>
      <c r="FUE28" t="s">
        <v>6984</v>
      </c>
      <c r="FUF28" t="s">
        <v>6984</v>
      </c>
      <c r="FUG28" t="s">
        <v>6984</v>
      </c>
      <c r="FUH28" t="s">
        <v>6984</v>
      </c>
      <c r="FUI28" t="s">
        <v>6984</v>
      </c>
      <c r="FUJ28" t="s">
        <v>6984</v>
      </c>
      <c r="FUK28" t="s">
        <v>6984</v>
      </c>
      <c r="FUL28" t="s">
        <v>6984</v>
      </c>
      <c r="FUM28" t="s">
        <v>6984</v>
      </c>
      <c r="FUN28" t="s">
        <v>6984</v>
      </c>
      <c r="FUO28" t="s">
        <v>6984</v>
      </c>
      <c r="FUP28" t="s">
        <v>6984</v>
      </c>
      <c r="FUQ28" t="s">
        <v>6984</v>
      </c>
      <c r="FUR28" t="s">
        <v>6984</v>
      </c>
      <c r="FUS28" t="s">
        <v>6984</v>
      </c>
      <c r="FUT28" t="s">
        <v>6984</v>
      </c>
      <c r="FUU28" t="s">
        <v>6984</v>
      </c>
      <c r="FUV28" t="s">
        <v>6984</v>
      </c>
      <c r="FUW28" t="s">
        <v>6984</v>
      </c>
      <c r="FUX28" t="s">
        <v>6984</v>
      </c>
      <c r="FUY28" t="s">
        <v>6984</v>
      </c>
      <c r="FUZ28" t="s">
        <v>6984</v>
      </c>
      <c r="FVA28" t="s">
        <v>6984</v>
      </c>
      <c r="FVB28" t="s">
        <v>6984</v>
      </c>
      <c r="FVC28" t="s">
        <v>6984</v>
      </c>
      <c r="FVD28" t="s">
        <v>6984</v>
      </c>
      <c r="FVE28" t="s">
        <v>6984</v>
      </c>
      <c r="FVF28" t="s">
        <v>6984</v>
      </c>
      <c r="FVG28" t="s">
        <v>6984</v>
      </c>
      <c r="FVH28" t="s">
        <v>6984</v>
      </c>
      <c r="FVI28" t="s">
        <v>6984</v>
      </c>
      <c r="FVJ28" t="s">
        <v>6984</v>
      </c>
      <c r="FVK28" t="s">
        <v>6984</v>
      </c>
      <c r="FVL28" t="s">
        <v>6984</v>
      </c>
      <c r="FVM28" t="s">
        <v>6984</v>
      </c>
      <c r="FVN28" t="s">
        <v>6984</v>
      </c>
      <c r="FVO28" t="s">
        <v>6984</v>
      </c>
      <c r="FVP28" t="s">
        <v>6984</v>
      </c>
      <c r="FVQ28" t="s">
        <v>6984</v>
      </c>
      <c r="FVR28" t="s">
        <v>6984</v>
      </c>
      <c r="FVS28" t="s">
        <v>6984</v>
      </c>
      <c r="FVT28" t="s">
        <v>6984</v>
      </c>
      <c r="FVU28" t="s">
        <v>6984</v>
      </c>
      <c r="FVV28" t="s">
        <v>6984</v>
      </c>
      <c r="FVW28" t="s">
        <v>6984</v>
      </c>
      <c r="FVX28" t="s">
        <v>6984</v>
      </c>
      <c r="FVY28" t="s">
        <v>6984</v>
      </c>
      <c r="FVZ28" t="s">
        <v>6984</v>
      </c>
      <c r="FWA28" t="s">
        <v>6984</v>
      </c>
      <c r="FWB28" t="s">
        <v>6984</v>
      </c>
      <c r="FWC28" t="s">
        <v>6984</v>
      </c>
      <c r="FWD28" t="s">
        <v>6984</v>
      </c>
      <c r="FWE28" t="s">
        <v>6984</v>
      </c>
      <c r="FWF28" t="s">
        <v>6984</v>
      </c>
      <c r="FWG28" t="s">
        <v>6984</v>
      </c>
      <c r="FWH28" t="s">
        <v>6984</v>
      </c>
      <c r="FWI28" t="s">
        <v>6984</v>
      </c>
      <c r="FWJ28" t="s">
        <v>6984</v>
      </c>
      <c r="FWK28" t="s">
        <v>6984</v>
      </c>
      <c r="FWL28" t="s">
        <v>6984</v>
      </c>
      <c r="FWM28" t="s">
        <v>6984</v>
      </c>
      <c r="FWN28" t="s">
        <v>6984</v>
      </c>
      <c r="FWO28" t="s">
        <v>6984</v>
      </c>
      <c r="FWP28" t="s">
        <v>6984</v>
      </c>
      <c r="FWQ28" t="s">
        <v>6984</v>
      </c>
      <c r="FWR28" t="s">
        <v>6984</v>
      </c>
      <c r="FWS28" t="s">
        <v>6984</v>
      </c>
      <c r="FWT28" t="s">
        <v>6984</v>
      </c>
      <c r="FWU28" t="s">
        <v>6984</v>
      </c>
      <c r="FWV28" t="s">
        <v>6984</v>
      </c>
      <c r="FWW28" t="s">
        <v>6984</v>
      </c>
      <c r="FWX28" t="s">
        <v>6984</v>
      </c>
      <c r="FWY28" t="s">
        <v>6984</v>
      </c>
      <c r="FWZ28" t="s">
        <v>6984</v>
      </c>
      <c r="FXA28" t="s">
        <v>6984</v>
      </c>
      <c r="FXB28" t="s">
        <v>6984</v>
      </c>
      <c r="FXC28" t="s">
        <v>6984</v>
      </c>
      <c r="FXD28" t="s">
        <v>6984</v>
      </c>
      <c r="FXE28" t="s">
        <v>6984</v>
      </c>
      <c r="FXF28" t="s">
        <v>6984</v>
      </c>
      <c r="FXG28" t="s">
        <v>6984</v>
      </c>
      <c r="FXH28" t="s">
        <v>6984</v>
      </c>
      <c r="FXI28" t="s">
        <v>6984</v>
      </c>
      <c r="FXJ28" t="s">
        <v>6984</v>
      </c>
      <c r="FXK28" t="s">
        <v>6984</v>
      </c>
      <c r="FXL28" t="s">
        <v>6984</v>
      </c>
      <c r="FXM28" t="s">
        <v>6984</v>
      </c>
      <c r="FXN28" t="s">
        <v>6984</v>
      </c>
      <c r="FXO28" t="s">
        <v>6984</v>
      </c>
      <c r="FXP28" t="s">
        <v>6984</v>
      </c>
      <c r="FXQ28" t="s">
        <v>6984</v>
      </c>
      <c r="FXR28" t="s">
        <v>6984</v>
      </c>
      <c r="FXS28" t="s">
        <v>6984</v>
      </c>
      <c r="FXT28" t="s">
        <v>6984</v>
      </c>
      <c r="FXU28" t="s">
        <v>6984</v>
      </c>
      <c r="FXV28" t="s">
        <v>6984</v>
      </c>
      <c r="FXW28" t="s">
        <v>6984</v>
      </c>
      <c r="FXX28" t="s">
        <v>6984</v>
      </c>
      <c r="FXY28" t="s">
        <v>6984</v>
      </c>
      <c r="FXZ28" t="s">
        <v>6984</v>
      </c>
      <c r="FYA28" t="s">
        <v>6984</v>
      </c>
      <c r="FYB28" t="s">
        <v>6984</v>
      </c>
      <c r="FYC28" t="s">
        <v>6984</v>
      </c>
      <c r="FYD28" t="s">
        <v>6984</v>
      </c>
      <c r="FYE28" t="s">
        <v>6984</v>
      </c>
      <c r="FYF28" t="s">
        <v>6984</v>
      </c>
      <c r="FYG28" t="s">
        <v>6984</v>
      </c>
      <c r="FYH28" t="s">
        <v>6984</v>
      </c>
      <c r="FYI28" t="s">
        <v>6984</v>
      </c>
      <c r="FYJ28" t="s">
        <v>6984</v>
      </c>
      <c r="FYK28" t="s">
        <v>6984</v>
      </c>
      <c r="FYL28" t="s">
        <v>6984</v>
      </c>
      <c r="FYM28" t="s">
        <v>6984</v>
      </c>
      <c r="FYN28" t="s">
        <v>6984</v>
      </c>
      <c r="FYO28" t="s">
        <v>6984</v>
      </c>
      <c r="FYP28" t="s">
        <v>6984</v>
      </c>
      <c r="FYQ28" t="s">
        <v>6984</v>
      </c>
      <c r="FYR28" t="s">
        <v>6984</v>
      </c>
      <c r="FYS28" t="s">
        <v>6984</v>
      </c>
      <c r="FYT28" t="s">
        <v>6984</v>
      </c>
      <c r="FYU28" t="s">
        <v>6984</v>
      </c>
      <c r="FYV28" t="s">
        <v>6984</v>
      </c>
      <c r="FYW28" t="s">
        <v>6984</v>
      </c>
      <c r="FYX28" t="s">
        <v>6984</v>
      </c>
      <c r="FYY28" t="s">
        <v>6984</v>
      </c>
      <c r="FYZ28" t="s">
        <v>6984</v>
      </c>
      <c r="FZA28" t="s">
        <v>6984</v>
      </c>
      <c r="FZB28" t="s">
        <v>6984</v>
      </c>
      <c r="FZC28" t="s">
        <v>6984</v>
      </c>
      <c r="FZD28" t="s">
        <v>6984</v>
      </c>
      <c r="FZE28" t="s">
        <v>6984</v>
      </c>
      <c r="FZF28" t="s">
        <v>6984</v>
      </c>
      <c r="FZG28" t="s">
        <v>6984</v>
      </c>
      <c r="FZH28" t="s">
        <v>6984</v>
      </c>
      <c r="FZI28" t="s">
        <v>6984</v>
      </c>
      <c r="FZJ28" t="s">
        <v>6984</v>
      </c>
      <c r="FZK28" t="s">
        <v>6984</v>
      </c>
      <c r="FZL28" t="s">
        <v>6984</v>
      </c>
      <c r="FZM28" t="s">
        <v>6984</v>
      </c>
      <c r="FZN28" t="s">
        <v>6984</v>
      </c>
      <c r="FZO28" t="s">
        <v>6984</v>
      </c>
      <c r="FZP28" t="s">
        <v>6984</v>
      </c>
      <c r="FZQ28" t="s">
        <v>6984</v>
      </c>
      <c r="FZR28" t="s">
        <v>6984</v>
      </c>
      <c r="FZS28" t="s">
        <v>6984</v>
      </c>
      <c r="FZT28" t="s">
        <v>6984</v>
      </c>
      <c r="FZU28" t="s">
        <v>6984</v>
      </c>
      <c r="FZV28" t="s">
        <v>6984</v>
      </c>
      <c r="FZW28" t="s">
        <v>6984</v>
      </c>
      <c r="FZX28" t="s">
        <v>6984</v>
      </c>
      <c r="FZY28" t="s">
        <v>6984</v>
      </c>
      <c r="FZZ28" t="s">
        <v>6984</v>
      </c>
      <c r="GAA28" t="s">
        <v>6984</v>
      </c>
      <c r="GAB28" t="s">
        <v>6984</v>
      </c>
      <c r="GAC28" t="s">
        <v>6984</v>
      </c>
      <c r="GAD28" t="s">
        <v>6984</v>
      </c>
      <c r="GAE28" t="s">
        <v>6984</v>
      </c>
      <c r="GAF28" t="s">
        <v>6984</v>
      </c>
      <c r="GAG28" t="s">
        <v>6984</v>
      </c>
      <c r="GAH28" t="s">
        <v>6984</v>
      </c>
      <c r="GAI28" t="s">
        <v>6984</v>
      </c>
      <c r="GAJ28" t="s">
        <v>6984</v>
      </c>
      <c r="GAK28" t="s">
        <v>6984</v>
      </c>
      <c r="GAL28" t="s">
        <v>6984</v>
      </c>
      <c r="GAM28" t="s">
        <v>6984</v>
      </c>
      <c r="GAN28" t="s">
        <v>6984</v>
      </c>
      <c r="GAO28" t="s">
        <v>6984</v>
      </c>
      <c r="GAP28" t="s">
        <v>6984</v>
      </c>
      <c r="GAQ28" t="s">
        <v>6984</v>
      </c>
      <c r="GAR28" t="s">
        <v>6984</v>
      </c>
      <c r="GAS28" t="s">
        <v>6984</v>
      </c>
      <c r="GAT28" t="s">
        <v>6984</v>
      </c>
      <c r="GAU28" t="s">
        <v>6984</v>
      </c>
      <c r="GAV28" t="s">
        <v>6984</v>
      </c>
      <c r="GAW28" t="s">
        <v>6984</v>
      </c>
      <c r="GAX28" t="s">
        <v>6984</v>
      </c>
      <c r="GAY28" t="s">
        <v>6984</v>
      </c>
      <c r="GAZ28" t="s">
        <v>6984</v>
      </c>
      <c r="GBA28" t="s">
        <v>6984</v>
      </c>
      <c r="GBB28" t="s">
        <v>6984</v>
      </c>
      <c r="GBC28" t="s">
        <v>6984</v>
      </c>
      <c r="GBD28" t="s">
        <v>6984</v>
      </c>
      <c r="GBE28" t="s">
        <v>6984</v>
      </c>
      <c r="GBF28" t="s">
        <v>6984</v>
      </c>
      <c r="GBG28" t="s">
        <v>6984</v>
      </c>
      <c r="GBH28" t="s">
        <v>6984</v>
      </c>
      <c r="GBI28" t="s">
        <v>6984</v>
      </c>
      <c r="GBJ28" t="s">
        <v>6984</v>
      </c>
      <c r="GBK28" t="s">
        <v>6984</v>
      </c>
      <c r="GBL28" t="s">
        <v>6984</v>
      </c>
      <c r="GBM28" t="s">
        <v>6984</v>
      </c>
      <c r="GBN28" t="s">
        <v>6984</v>
      </c>
      <c r="GBO28" t="s">
        <v>6984</v>
      </c>
      <c r="GBP28" t="s">
        <v>6984</v>
      </c>
      <c r="GBQ28" t="s">
        <v>6984</v>
      </c>
      <c r="GBR28" t="s">
        <v>6984</v>
      </c>
      <c r="GBS28" t="s">
        <v>6984</v>
      </c>
      <c r="GBT28" t="s">
        <v>6984</v>
      </c>
      <c r="GBU28" t="s">
        <v>6984</v>
      </c>
      <c r="GBV28" t="s">
        <v>6984</v>
      </c>
      <c r="GBW28" t="s">
        <v>6984</v>
      </c>
      <c r="GBX28" t="s">
        <v>6984</v>
      </c>
      <c r="GBY28" t="s">
        <v>6984</v>
      </c>
      <c r="GBZ28" t="s">
        <v>6984</v>
      </c>
      <c r="GCA28" t="s">
        <v>6984</v>
      </c>
      <c r="GCB28" t="s">
        <v>6984</v>
      </c>
      <c r="GCC28" t="s">
        <v>6984</v>
      </c>
      <c r="GCD28" t="s">
        <v>6984</v>
      </c>
      <c r="GCE28" t="s">
        <v>6984</v>
      </c>
      <c r="GCF28" t="s">
        <v>6984</v>
      </c>
      <c r="GCG28" t="s">
        <v>6984</v>
      </c>
      <c r="GCH28" t="s">
        <v>6984</v>
      </c>
      <c r="GCI28" t="s">
        <v>6984</v>
      </c>
      <c r="GCJ28" t="s">
        <v>6984</v>
      </c>
      <c r="GCK28" t="s">
        <v>6984</v>
      </c>
      <c r="GCL28" t="s">
        <v>6984</v>
      </c>
      <c r="GCM28" t="s">
        <v>6984</v>
      </c>
      <c r="GCN28" t="s">
        <v>6984</v>
      </c>
      <c r="GCO28" t="s">
        <v>6984</v>
      </c>
      <c r="GCP28" t="s">
        <v>6984</v>
      </c>
      <c r="GCQ28" t="s">
        <v>6984</v>
      </c>
      <c r="GCR28" t="s">
        <v>6984</v>
      </c>
      <c r="GCS28" t="s">
        <v>6984</v>
      </c>
      <c r="GCT28" t="s">
        <v>6984</v>
      </c>
      <c r="GCU28" t="s">
        <v>6984</v>
      </c>
      <c r="GCV28" t="s">
        <v>6984</v>
      </c>
      <c r="GCW28" t="s">
        <v>6984</v>
      </c>
      <c r="GCX28" t="s">
        <v>6984</v>
      </c>
      <c r="GCY28" t="s">
        <v>6984</v>
      </c>
      <c r="GCZ28" t="s">
        <v>6984</v>
      </c>
      <c r="GDA28" t="s">
        <v>6984</v>
      </c>
      <c r="GDB28" t="s">
        <v>6984</v>
      </c>
      <c r="GDC28" t="s">
        <v>6984</v>
      </c>
      <c r="GDD28" t="s">
        <v>6984</v>
      </c>
      <c r="GDE28" t="s">
        <v>6984</v>
      </c>
      <c r="GDF28" t="s">
        <v>6984</v>
      </c>
      <c r="GDG28" t="s">
        <v>6984</v>
      </c>
      <c r="GDH28" t="s">
        <v>6984</v>
      </c>
      <c r="GDI28" t="s">
        <v>6984</v>
      </c>
      <c r="GDJ28" t="s">
        <v>6984</v>
      </c>
      <c r="GDK28" t="s">
        <v>6984</v>
      </c>
      <c r="GDL28" t="s">
        <v>6984</v>
      </c>
      <c r="GDM28" t="s">
        <v>6984</v>
      </c>
      <c r="GDN28" t="s">
        <v>6984</v>
      </c>
      <c r="GDO28" t="s">
        <v>6984</v>
      </c>
      <c r="GDP28" t="s">
        <v>6984</v>
      </c>
      <c r="GDQ28" t="s">
        <v>6984</v>
      </c>
      <c r="GDR28" t="s">
        <v>6984</v>
      </c>
      <c r="GDS28" t="s">
        <v>6984</v>
      </c>
      <c r="GDT28" t="s">
        <v>6984</v>
      </c>
      <c r="GDU28" t="s">
        <v>6984</v>
      </c>
      <c r="GDV28" t="s">
        <v>6984</v>
      </c>
      <c r="GDW28" t="s">
        <v>6984</v>
      </c>
      <c r="GDX28" t="s">
        <v>6984</v>
      </c>
      <c r="GDY28" t="s">
        <v>6984</v>
      </c>
      <c r="GDZ28" t="s">
        <v>6984</v>
      </c>
      <c r="GEA28" t="s">
        <v>6984</v>
      </c>
      <c r="GEB28" t="s">
        <v>6984</v>
      </c>
      <c r="GEC28" t="s">
        <v>6984</v>
      </c>
      <c r="GED28" t="s">
        <v>6984</v>
      </c>
      <c r="GEE28" t="s">
        <v>6984</v>
      </c>
      <c r="GEF28" t="s">
        <v>6984</v>
      </c>
      <c r="GEG28" t="s">
        <v>6984</v>
      </c>
      <c r="GEH28" t="s">
        <v>6984</v>
      </c>
      <c r="GEI28" t="s">
        <v>6984</v>
      </c>
      <c r="GEJ28" t="s">
        <v>6984</v>
      </c>
      <c r="GEK28" t="s">
        <v>6984</v>
      </c>
      <c r="GEL28" t="s">
        <v>6984</v>
      </c>
      <c r="GEM28" t="s">
        <v>6984</v>
      </c>
      <c r="GEN28" t="s">
        <v>6984</v>
      </c>
      <c r="GEO28" t="s">
        <v>6984</v>
      </c>
      <c r="GEP28" t="s">
        <v>6984</v>
      </c>
      <c r="GEQ28" t="s">
        <v>6984</v>
      </c>
      <c r="GER28" t="s">
        <v>6984</v>
      </c>
      <c r="GES28" t="s">
        <v>6984</v>
      </c>
      <c r="GET28" t="s">
        <v>6984</v>
      </c>
      <c r="GEU28" t="s">
        <v>6984</v>
      </c>
      <c r="GEV28" t="s">
        <v>6984</v>
      </c>
      <c r="GEW28" t="s">
        <v>6984</v>
      </c>
      <c r="GEX28" t="s">
        <v>6984</v>
      </c>
      <c r="GEY28" t="s">
        <v>6984</v>
      </c>
      <c r="GEZ28" t="s">
        <v>6984</v>
      </c>
      <c r="GFA28" t="s">
        <v>6984</v>
      </c>
      <c r="GFB28" t="s">
        <v>6984</v>
      </c>
      <c r="GFC28" t="s">
        <v>6984</v>
      </c>
      <c r="GFD28" t="s">
        <v>6984</v>
      </c>
      <c r="GFE28" t="s">
        <v>6984</v>
      </c>
      <c r="GFF28" t="s">
        <v>6984</v>
      </c>
      <c r="GFG28" t="s">
        <v>6984</v>
      </c>
      <c r="GFH28" t="s">
        <v>6984</v>
      </c>
      <c r="GFI28" t="s">
        <v>6984</v>
      </c>
      <c r="GFJ28" t="s">
        <v>6984</v>
      </c>
      <c r="GFK28" t="s">
        <v>6984</v>
      </c>
      <c r="GFL28" t="s">
        <v>6984</v>
      </c>
      <c r="GFM28" t="s">
        <v>6984</v>
      </c>
      <c r="GFN28" t="s">
        <v>6984</v>
      </c>
      <c r="GFO28" t="s">
        <v>6984</v>
      </c>
      <c r="GFP28" t="s">
        <v>6984</v>
      </c>
      <c r="GFQ28" t="s">
        <v>6984</v>
      </c>
      <c r="GFR28" t="s">
        <v>6984</v>
      </c>
      <c r="GFS28" t="s">
        <v>6984</v>
      </c>
      <c r="GFT28" t="s">
        <v>6984</v>
      </c>
      <c r="GFU28" t="s">
        <v>6984</v>
      </c>
      <c r="GFV28" t="s">
        <v>6984</v>
      </c>
      <c r="GFW28" t="s">
        <v>6984</v>
      </c>
      <c r="GFX28" t="s">
        <v>6984</v>
      </c>
      <c r="GFY28" t="s">
        <v>6984</v>
      </c>
      <c r="GFZ28" t="s">
        <v>6984</v>
      </c>
      <c r="GGA28" t="s">
        <v>6984</v>
      </c>
      <c r="GGB28" t="s">
        <v>6984</v>
      </c>
      <c r="GGC28" t="s">
        <v>6984</v>
      </c>
      <c r="GGD28" t="s">
        <v>6984</v>
      </c>
      <c r="GGE28" t="s">
        <v>6984</v>
      </c>
      <c r="GGF28" t="s">
        <v>6984</v>
      </c>
      <c r="GGG28" t="s">
        <v>6984</v>
      </c>
      <c r="GGH28" t="s">
        <v>6984</v>
      </c>
      <c r="GGI28" t="s">
        <v>6984</v>
      </c>
      <c r="GGJ28" t="s">
        <v>6984</v>
      </c>
      <c r="GGK28" t="s">
        <v>6984</v>
      </c>
      <c r="GGL28" t="s">
        <v>6984</v>
      </c>
      <c r="GGM28" t="s">
        <v>6984</v>
      </c>
      <c r="GGN28" t="s">
        <v>6984</v>
      </c>
      <c r="GGO28" t="s">
        <v>6984</v>
      </c>
      <c r="GGP28" t="s">
        <v>6984</v>
      </c>
      <c r="GGQ28" t="s">
        <v>6984</v>
      </c>
      <c r="GGR28" t="s">
        <v>6984</v>
      </c>
      <c r="GGS28" t="s">
        <v>6984</v>
      </c>
      <c r="GGT28" t="s">
        <v>6984</v>
      </c>
      <c r="GGU28" t="s">
        <v>6984</v>
      </c>
      <c r="GGV28" t="s">
        <v>6984</v>
      </c>
      <c r="GGW28" t="s">
        <v>6984</v>
      </c>
      <c r="GGX28" t="s">
        <v>6984</v>
      </c>
      <c r="GGY28" t="s">
        <v>6984</v>
      </c>
      <c r="GGZ28" t="s">
        <v>6984</v>
      </c>
      <c r="GHA28" t="s">
        <v>6984</v>
      </c>
      <c r="GHB28" t="s">
        <v>6984</v>
      </c>
      <c r="GHC28" t="s">
        <v>6984</v>
      </c>
      <c r="GHD28" t="s">
        <v>6984</v>
      </c>
      <c r="GHE28" t="s">
        <v>6984</v>
      </c>
      <c r="GHF28" t="s">
        <v>6984</v>
      </c>
      <c r="GHG28" t="s">
        <v>6984</v>
      </c>
      <c r="GHH28" t="s">
        <v>6984</v>
      </c>
      <c r="GHI28" t="s">
        <v>6984</v>
      </c>
      <c r="GHJ28" t="s">
        <v>6984</v>
      </c>
      <c r="GHK28" t="s">
        <v>6984</v>
      </c>
      <c r="GHL28" t="s">
        <v>6984</v>
      </c>
      <c r="GHM28" t="s">
        <v>6984</v>
      </c>
      <c r="GHN28" t="s">
        <v>6984</v>
      </c>
      <c r="GHO28" t="s">
        <v>6984</v>
      </c>
      <c r="GHP28" t="s">
        <v>6984</v>
      </c>
      <c r="GHQ28" t="s">
        <v>6984</v>
      </c>
      <c r="GHR28" t="s">
        <v>6984</v>
      </c>
      <c r="GHS28" t="s">
        <v>6984</v>
      </c>
      <c r="GHT28" t="s">
        <v>6984</v>
      </c>
      <c r="GHU28" t="s">
        <v>6984</v>
      </c>
      <c r="GHV28" t="s">
        <v>6984</v>
      </c>
      <c r="GHW28" t="s">
        <v>6984</v>
      </c>
      <c r="GHX28" t="s">
        <v>6984</v>
      </c>
      <c r="GHY28" t="s">
        <v>6984</v>
      </c>
      <c r="GHZ28" t="s">
        <v>6984</v>
      </c>
      <c r="GIA28" t="s">
        <v>6984</v>
      </c>
      <c r="GIB28" t="s">
        <v>6984</v>
      </c>
      <c r="GIC28" t="s">
        <v>6984</v>
      </c>
      <c r="GID28" t="s">
        <v>6984</v>
      </c>
      <c r="GIE28" t="s">
        <v>6984</v>
      </c>
      <c r="GIF28" t="s">
        <v>6984</v>
      </c>
      <c r="GIG28" t="s">
        <v>6984</v>
      </c>
      <c r="GIH28" t="s">
        <v>6984</v>
      </c>
      <c r="GII28" t="s">
        <v>6984</v>
      </c>
      <c r="GIJ28" t="s">
        <v>6984</v>
      </c>
      <c r="GIK28" t="s">
        <v>6984</v>
      </c>
      <c r="GIL28" t="s">
        <v>6984</v>
      </c>
      <c r="GIM28" t="s">
        <v>6984</v>
      </c>
      <c r="GIN28" t="s">
        <v>6984</v>
      </c>
      <c r="GIO28" t="s">
        <v>6984</v>
      </c>
      <c r="GIP28" t="s">
        <v>6984</v>
      </c>
      <c r="GIQ28" t="s">
        <v>6984</v>
      </c>
      <c r="GIR28" t="s">
        <v>6984</v>
      </c>
      <c r="GIS28" t="s">
        <v>6984</v>
      </c>
      <c r="GIT28" t="s">
        <v>6984</v>
      </c>
      <c r="GIU28" t="s">
        <v>6984</v>
      </c>
      <c r="GIV28" t="s">
        <v>6984</v>
      </c>
      <c r="GIW28" t="s">
        <v>6984</v>
      </c>
      <c r="GIX28" t="s">
        <v>6984</v>
      </c>
      <c r="GIY28" t="s">
        <v>6984</v>
      </c>
      <c r="GIZ28" t="s">
        <v>6984</v>
      </c>
      <c r="GJA28" t="s">
        <v>6984</v>
      </c>
      <c r="GJB28" t="s">
        <v>6984</v>
      </c>
      <c r="GJC28" t="s">
        <v>6984</v>
      </c>
      <c r="GJD28" t="s">
        <v>6984</v>
      </c>
      <c r="GJE28" t="s">
        <v>6984</v>
      </c>
      <c r="GJF28" t="s">
        <v>6984</v>
      </c>
      <c r="GJG28" t="s">
        <v>6984</v>
      </c>
      <c r="GJH28" t="s">
        <v>6984</v>
      </c>
      <c r="GJI28" t="s">
        <v>6984</v>
      </c>
      <c r="GJJ28" t="s">
        <v>6984</v>
      </c>
      <c r="GJK28" t="s">
        <v>6984</v>
      </c>
      <c r="GJL28" t="s">
        <v>6984</v>
      </c>
      <c r="GJM28" t="s">
        <v>6984</v>
      </c>
      <c r="GJN28" t="s">
        <v>6984</v>
      </c>
      <c r="GJO28" t="s">
        <v>6984</v>
      </c>
      <c r="GJP28" t="s">
        <v>6984</v>
      </c>
      <c r="GJQ28" t="s">
        <v>6984</v>
      </c>
      <c r="GJR28" t="s">
        <v>6984</v>
      </c>
      <c r="GJS28" t="s">
        <v>6984</v>
      </c>
      <c r="GJT28" t="s">
        <v>6984</v>
      </c>
      <c r="GJU28" t="s">
        <v>6984</v>
      </c>
      <c r="GJV28" t="s">
        <v>6984</v>
      </c>
      <c r="GJW28" t="s">
        <v>6984</v>
      </c>
      <c r="GJX28" t="s">
        <v>6984</v>
      </c>
      <c r="GJY28" t="s">
        <v>6984</v>
      </c>
      <c r="GJZ28" t="s">
        <v>6984</v>
      </c>
      <c r="GKA28" t="s">
        <v>6984</v>
      </c>
      <c r="GKB28" t="s">
        <v>6984</v>
      </c>
      <c r="GKC28" t="s">
        <v>6984</v>
      </c>
      <c r="GKD28" t="s">
        <v>6984</v>
      </c>
      <c r="GKE28" t="s">
        <v>6984</v>
      </c>
      <c r="GKF28" t="s">
        <v>6984</v>
      </c>
      <c r="GKG28" t="s">
        <v>6984</v>
      </c>
      <c r="GKH28" t="s">
        <v>6984</v>
      </c>
      <c r="GKI28" t="s">
        <v>6984</v>
      </c>
      <c r="GKJ28" t="s">
        <v>6984</v>
      </c>
      <c r="GKK28" t="s">
        <v>6984</v>
      </c>
      <c r="GKL28" t="s">
        <v>6984</v>
      </c>
      <c r="GKM28" t="s">
        <v>6984</v>
      </c>
      <c r="GKN28" t="s">
        <v>6984</v>
      </c>
      <c r="GKO28" t="s">
        <v>6984</v>
      </c>
      <c r="GKP28" t="s">
        <v>6984</v>
      </c>
      <c r="GKQ28" t="s">
        <v>6984</v>
      </c>
      <c r="GKR28" t="s">
        <v>6984</v>
      </c>
      <c r="GKS28" t="s">
        <v>6984</v>
      </c>
      <c r="GKT28" t="s">
        <v>6984</v>
      </c>
      <c r="GKU28" t="s">
        <v>6984</v>
      </c>
      <c r="GKV28" t="s">
        <v>6984</v>
      </c>
      <c r="GKW28" t="s">
        <v>6984</v>
      </c>
      <c r="GKX28" t="s">
        <v>6984</v>
      </c>
      <c r="GKY28" t="s">
        <v>6984</v>
      </c>
      <c r="GKZ28" t="s">
        <v>6984</v>
      </c>
      <c r="GLA28" t="s">
        <v>6984</v>
      </c>
      <c r="GLB28" t="s">
        <v>6984</v>
      </c>
      <c r="GLC28" t="s">
        <v>6984</v>
      </c>
      <c r="GLD28" t="s">
        <v>6984</v>
      </c>
      <c r="GLE28" t="s">
        <v>6984</v>
      </c>
      <c r="GLF28" t="s">
        <v>6984</v>
      </c>
      <c r="GLG28" t="s">
        <v>6984</v>
      </c>
      <c r="GLH28" t="s">
        <v>6984</v>
      </c>
      <c r="GLI28" t="s">
        <v>6984</v>
      </c>
      <c r="GLJ28" t="s">
        <v>6984</v>
      </c>
      <c r="GLK28" t="s">
        <v>6984</v>
      </c>
      <c r="GLL28" t="s">
        <v>6984</v>
      </c>
      <c r="GLM28" t="s">
        <v>6984</v>
      </c>
      <c r="GLN28" t="s">
        <v>6984</v>
      </c>
      <c r="GLO28" t="s">
        <v>6984</v>
      </c>
      <c r="GLP28" t="s">
        <v>6984</v>
      </c>
      <c r="GLQ28" t="s">
        <v>6984</v>
      </c>
      <c r="GLR28" t="s">
        <v>6984</v>
      </c>
      <c r="GLS28" t="s">
        <v>6984</v>
      </c>
      <c r="GLT28" t="s">
        <v>6984</v>
      </c>
      <c r="GLU28" t="s">
        <v>6984</v>
      </c>
      <c r="GLV28" t="s">
        <v>6984</v>
      </c>
      <c r="GLW28" t="s">
        <v>6984</v>
      </c>
      <c r="GLX28" t="s">
        <v>6984</v>
      </c>
      <c r="GLY28" t="s">
        <v>6984</v>
      </c>
      <c r="GLZ28" t="s">
        <v>6984</v>
      </c>
      <c r="GMA28" t="s">
        <v>6984</v>
      </c>
      <c r="GMB28" t="s">
        <v>6984</v>
      </c>
      <c r="GMC28" t="s">
        <v>6984</v>
      </c>
      <c r="GMD28" t="s">
        <v>6984</v>
      </c>
      <c r="GME28" t="s">
        <v>6984</v>
      </c>
      <c r="GMF28" t="s">
        <v>6984</v>
      </c>
      <c r="GMG28" t="s">
        <v>6984</v>
      </c>
      <c r="GMH28" t="s">
        <v>6984</v>
      </c>
      <c r="GMI28" t="s">
        <v>6984</v>
      </c>
      <c r="GMJ28" t="s">
        <v>6984</v>
      </c>
      <c r="GMK28" t="s">
        <v>6984</v>
      </c>
      <c r="GML28" t="s">
        <v>6984</v>
      </c>
      <c r="GMM28" t="s">
        <v>6984</v>
      </c>
      <c r="GMN28" t="s">
        <v>6984</v>
      </c>
      <c r="GMO28" t="s">
        <v>6984</v>
      </c>
      <c r="GMP28" t="s">
        <v>6984</v>
      </c>
      <c r="GMQ28" t="s">
        <v>6984</v>
      </c>
      <c r="GMR28" t="s">
        <v>6984</v>
      </c>
      <c r="GMS28" t="s">
        <v>6984</v>
      </c>
      <c r="GMT28" t="s">
        <v>6984</v>
      </c>
      <c r="GMU28" t="s">
        <v>6984</v>
      </c>
      <c r="GMV28" t="s">
        <v>6984</v>
      </c>
      <c r="GMW28" t="s">
        <v>6984</v>
      </c>
      <c r="GMX28" t="s">
        <v>6984</v>
      </c>
      <c r="GMY28" t="s">
        <v>6984</v>
      </c>
      <c r="GMZ28" t="s">
        <v>6984</v>
      </c>
      <c r="GNA28" t="s">
        <v>6984</v>
      </c>
      <c r="GNB28" t="s">
        <v>6984</v>
      </c>
      <c r="GNC28" t="s">
        <v>6984</v>
      </c>
      <c r="GND28" t="s">
        <v>6984</v>
      </c>
      <c r="GNE28" t="s">
        <v>6984</v>
      </c>
      <c r="GNF28" t="s">
        <v>6984</v>
      </c>
      <c r="GNG28" t="s">
        <v>6984</v>
      </c>
      <c r="GNH28" t="s">
        <v>6984</v>
      </c>
      <c r="GNI28" t="s">
        <v>6984</v>
      </c>
      <c r="GNJ28" t="s">
        <v>6984</v>
      </c>
      <c r="GNK28" t="s">
        <v>6984</v>
      </c>
      <c r="GNL28" t="s">
        <v>6984</v>
      </c>
      <c r="GNM28" t="s">
        <v>6984</v>
      </c>
      <c r="GNN28" t="s">
        <v>6984</v>
      </c>
      <c r="GNO28" t="s">
        <v>6984</v>
      </c>
      <c r="GNP28" t="s">
        <v>6984</v>
      </c>
      <c r="GNQ28" t="s">
        <v>6984</v>
      </c>
      <c r="GNR28" t="s">
        <v>6984</v>
      </c>
      <c r="GNS28" t="s">
        <v>6984</v>
      </c>
      <c r="GNT28" t="s">
        <v>6984</v>
      </c>
      <c r="GNU28" t="s">
        <v>6984</v>
      </c>
      <c r="GNV28" t="s">
        <v>6984</v>
      </c>
      <c r="GNW28" t="s">
        <v>6984</v>
      </c>
      <c r="GNX28" t="s">
        <v>6984</v>
      </c>
      <c r="GNY28" t="s">
        <v>6984</v>
      </c>
      <c r="GNZ28" t="s">
        <v>6984</v>
      </c>
      <c r="GOA28" t="s">
        <v>6984</v>
      </c>
      <c r="GOB28" t="s">
        <v>6984</v>
      </c>
      <c r="GOC28" t="s">
        <v>6984</v>
      </c>
      <c r="GOD28" t="s">
        <v>6984</v>
      </c>
      <c r="GOE28" t="s">
        <v>6984</v>
      </c>
      <c r="GOF28" t="s">
        <v>6984</v>
      </c>
      <c r="GOG28" t="s">
        <v>6984</v>
      </c>
      <c r="GOH28" t="s">
        <v>6984</v>
      </c>
      <c r="GOI28" t="s">
        <v>6984</v>
      </c>
      <c r="GOJ28" t="s">
        <v>6984</v>
      </c>
      <c r="GOK28" t="s">
        <v>6984</v>
      </c>
      <c r="GOL28" t="s">
        <v>6984</v>
      </c>
      <c r="GOM28" t="s">
        <v>6984</v>
      </c>
      <c r="GON28" t="s">
        <v>6984</v>
      </c>
      <c r="GOO28" t="s">
        <v>6984</v>
      </c>
      <c r="GOP28" t="s">
        <v>6984</v>
      </c>
      <c r="GOQ28" t="s">
        <v>6984</v>
      </c>
      <c r="GOR28" t="s">
        <v>6984</v>
      </c>
      <c r="GOS28" t="s">
        <v>6984</v>
      </c>
      <c r="GOT28" t="s">
        <v>6984</v>
      </c>
      <c r="GOU28" t="s">
        <v>6984</v>
      </c>
      <c r="GOV28" t="s">
        <v>6984</v>
      </c>
      <c r="GOW28" t="s">
        <v>6984</v>
      </c>
      <c r="GOX28" t="s">
        <v>6984</v>
      </c>
      <c r="GOY28" t="s">
        <v>6984</v>
      </c>
      <c r="GOZ28" t="s">
        <v>6984</v>
      </c>
      <c r="GPA28" t="s">
        <v>6984</v>
      </c>
      <c r="GPB28" t="s">
        <v>6984</v>
      </c>
      <c r="GPC28" t="s">
        <v>6984</v>
      </c>
      <c r="GPD28" t="s">
        <v>6984</v>
      </c>
      <c r="GPE28" t="s">
        <v>6984</v>
      </c>
      <c r="GPF28" t="s">
        <v>6984</v>
      </c>
      <c r="GPG28" t="s">
        <v>6984</v>
      </c>
      <c r="GPH28" t="s">
        <v>6984</v>
      </c>
      <c r="GPI28" t="s">
        <v>6984</v>
      </c>
      <c r="GPJ28" t="s">
        <v>6984</v>
      </c>
      <c r="GPK28" t="s">
        <v>6984</v>
      </c>
      <c r="GPL28" t="s">
        <v>6984</v>
      </c>
      <c r="GPM28" t="s">
        <v>6984</v>
      </c>
      <c r="GPN28" t="s">
        <v>6984</v>
      </c>
      <c r="GPO28" t="s">
        <v>6984</v>
      </c>
      <c r="GPP28" t="s">
        <v>6984</v>
      </c>
      <c r="GPQ28" t="s">
        <v>6984</v>
      </c>
      <c r="GPR28" t="s">
        <v>6984</v>
      </c>
      <c r="GPS28" t="s">
        <v>6984</v>
      </c>
      <c r="GPT28" t="s">
        <v>6984</v>
      </c>
      <c r="GPU28" t="s">
        <v>6984</v>
      </c>
      <c r="GPV28" t="s">
        <v>6984</v>
      </c>
      <c r="GPW28" t="s">
        <v>6984</v>
      </c>
      <c r="GPX28" t="s">
        <v>6984</v>
      </c>
      <c r="GPY28" t="s">
        <v>6984</v>
      </c>
      <c r="GPZ28" t="s">
        <v>6984</v>
      </c>
      <c r="GQA28" t="s">
        <v>6984</v>
      </c>
      <c r="GQB28" t="s">
        <v>6984</v>
      </c>
      <c r="GQC28" t="s">
        <v>6984</v>
      </c>
      <c r="GQD28" t="s">
        <v>6984</v>
      </c>
      <c r="GQE28" t="s">
        <v>6984</v>
      </c>
      <c r="GQF28" t="s">
        <v>6984</v>
      </c>
      <c r="GQG28" t="s">
        <v>6984</v>
      </c>
      <c r="GQH28" t="s">
        <v>6984</v>
      </c>
      <c r="GQI28" t="s">
        <v>6984</v>
      </c>
      <c r="GQJ28" t="s">
        <v>6984</v>
      </c>
      <c r="GQK28" t="s">
        <v>6984</v>
      </c>
      <c r="GQL28" t="s">
        <v>6984</v>
      </c>
      <c r="GQM28" t="s">
        <v>6984</v>
      </c>
      <c r="GQN28" t="s">
        <v>6984</v>
      </c>
      <c r="GQO28" t="s">
        <v>6984</v>
      </c>
      <c r="GQP28" t="s">
        <v>6984</v>
      </c>
      <c r="GQQ28" t="s">
        <v>6984</v>
      </c>
      <c r="GQR28" t="s">
        <v>6984</v>
      </c>
      <c r="GQS28" t="s">
        <v>6984</v>
      </c>
      <c r="GQT28" t="s">
        <v>6984</v>
      </c>
      <c r="GQU28" t="s">
        <v>6984</v>
      </c>
      <c r="GQV28" t="s">
        <v>6984</v>
      </c>
      <c r="GQW28" t="s">
        <v>6984</v>
      </c>
      <c r="GQX28" t="s">
        <v>6984</v>
      </c>
      <c r="GQY28" t="s">
        <v>6984</v>
      </c>
      <c r="GQZ28" t="s">
        <v>6984</v>
      </c>
      <c r="GRA28" t="s">
        <v>6984</v>
      </c>
      <c r="GRB28" t="s">
        <v>6984</v>
      </c>
      <c r="GRC28" t="s">
        <v>6984</v>
      </c>
      <c r="GRD28" t="s">
        <v>6984</v>
      </c>
      <c r="GRE28" t="s">
        <v>6984</v>
      </c>
      <c r="GRF28" t="s">
        <v>6984</v>
      </c>
      <c r="GRG28" t="s">
        <v>6984</v>
      </c>
      <c r="GRH28" t="s">
        <v>6984</v>
      </c>
      <c r="GRI28" t="s">
        <v>6984</v>
      </c>
      <c r="GRJ28" t="s">
        <v>6984</v>
      </c>
      <c r="GRK28" t="s">
        <v>6984</v>
      </c>
      <c r="GRL28" t="s">
        <v>6984</v>
      </c>
      <c r="GRM28" t="s">
        <v>6984</v>
      </c>
      <c r="GRN28" t="s">
        <v>6984</v>
      </c>
      <c r="GRO28" t="s">
        <v>6984</v>
      </c>
      <c r="GRP28" t="s">
        <v>6984</v>
      </c>
      <c r="GRQ28" t="s">
        <v>6984</v>
      </c>
      <c r="GRR28" t="s">
        <v>6984</v>
      </c>
      <c r="GRS28" t="s">
        <v>6984</v>
      </c>
      <c r="GRT28" t="s">
        <v>6984</v>
      </c>
      <c r="GRU28" t="s">
        <v>6984</v>
      </c>
      <c r="GRV28" t="s">
        <v>6984</v>
      </c>
      <c r="GRW28" t="s">
        <v>6984</v>
      </c>
      <c r="GRX28" t="s">
        <v>6984</v>
      </c>
      <c r="GRY28" t="s">
        <v>6984</v>
      </c>
      <c r="GRZ28" t="s">
        <v>6984</v>
      </c>
      <c r="GSA28" t="s">
        <v>6984</v>
      </c>
      <c r="GSB28" t="s">
        <v>6984</v>
      </c>
      <c r="GSC28" t="s">
        <v>6984</v>
      </c>
      <c r="GSD28" t="s">
        <v>6984</v>
      </c>
      <c r="GSE28" t="s">
        <v>6984</v>
      </c>
      <c r="GSF28" t="s">
        <v>6984</v>
      </c>
      <c r="GSG28" t="s">
        <v>6984</v>
      </c>
      <c r="GSH28" t="s">
        <v>6984</v>
      </c>
      <c r="GSI28" t="s">
        <v>6984</v>
      </c>
      <c r="GSJ28" t="s">
        <v>6984</v>
      </c>
      <c r="GSK28" t="s">
        <v>6984</v>
      </c>
      <c r="GSL28" t="s">
        <v>6984</v>
      </c>
      <c r="GSM28" t="s">
        <v>6984</v>
      </c>
      <c r="GSN28" t="s">
        <v>6984</v>
      </c>
      <c r="GSO28" t="s">
        <v>6984</v>
      </c>
      <c r="GSP28" t="s">
        <v>6984</v>
      </c>
      <c r="GSQ28" t="s">
        <v>6984</v>
      </c>
      <c r="GSR28" t="s">
        <v>6984</v>
      </c>
      <c r="GSS28" t="s">
        <v>6984</v>
      </c>
      <c r="GST28" t="s">
        <v>6984</v>
      </c>
      <c r="GSU28" t="s">
        <v>6984</v>
      </c>
      <c r="GSV28" t="s">
        <v>6984</v>
      </c>
      <c r="GSW28" t="s">
        <v>6984</v>
      </c>
      <c r="GSX28" t="s">
        <v>6984</v>
      </c>
      <c r="GSY28" t="s">
        <v>6984</v>
      </c>
      <c r="GSZ28" t="s">
        <v>6984</v>
      </c>
      <c r="GTA28" t="s">
        <v>6984</v>
      </c>
      <c r="GTB28" t="s">
        <v>6984</v>
      </c>
      <c r="GTC28" t="s">
        <v>6984</v>
      </c>
      <c r="GTD28" t="s">
        <v>6984</v>
      </c>
      <c r="GTE28" t="s">
        <v>6984</v>
      </c>
      <c r="GTF28" t="s">
        <v>6984</v>
      </c>
      <c r="GTG28" t="s">
        <v>6984</v>
      </c>
      <c r="GTH28" t="s">
        <v>6984</v>
      </c>
      <c r="GTI28" t="s">
        <v>6984</v>
      </c>
      <c r="GTJ28" t="s">
        <v>6984</v>
      </c>
      <c r="GTK28" t="s">
        <v>6984</v>
      </c>
      <c r="GTL28" t="s">
        <v>6984</v>
      </c>
      <c r="GTM28" t="s">
        <v>6984</v>
      </c>
      <c r="GTN28" t="s">
        <v>6984</v>
      </c>
      <c r="GTO28" t="s">
        <v>6984</v>
      </c>
      <c r="GTP28" t="s">
        <v>6984</v>
      </c>
      <c r="GTQ28" t="s">
        <v>6984</v>
      </c>
      <c r="GTR28" t="s">
        <v>6984</v>
      </c>
      <c r="GTS28" t="s">
        <v>6984</v>
      </c>
      <c r="GTT28" t="s">
        <v>6984</v>
      </c>
      <c r="GTU28" t="s">
        <v>6984</v>
      </c>
      <c r="GTV28" t="s">
        <v>6984</v>
      </c>
      <c r="GTW28" t="s">
        <v>6984</v>
      </c>
      <c r="GTX28" t="s">
        <v>6984</v>
      </c>
      <c r="GTY28" t="s">
        <v>6984</v>
      </c>
      <c r="GTZ28" t="s">
        <v>6984</v>
      </c>
      <c r="GUA28" t="s">
        <v>6984</v>
      </c>
      <c r="GUB28" t="s">
        <v>6984</v>
      </c>
      <c r="GUC28" t="s">
        <v>6984</v>
      </c>
      <c r="GUD28" t="s">
        <v>6984</v>
      </c>
      <c r="GUE28" t="s">
        <v>6984</v>
      </c>
      <c r="GUF28" t="s">
        <v>6984</v>
      </c>
      <c r="GUG28" t="s">
        <v>6984</v>
      </c>
      <c r="GUH28" t="s">
        <v>6984</v>
      </c>
      <c r="GUI28" t="s">
        <v>6984</v>
      </c>
      <c r="GUJ28" t="s">
        <v>6984</v>
      </c>
      <c r="GUK28" t="s">
        <v>6984</v>
      </c>
      <c r="GUL28" t="s">
        <v>6984</v>
      </c>
      <c r="GUM28" t="s">
        <v>6984</v>
      </c>
      <c r="GUN28" t="s">
        <v>6984</v>
      </c>
      <c r="GUO28" t="s">
        <v>6984</v>
      </c>
      <c r="GUP28" t="s">
        <v>6984</v>
      </c>
      <c r="GUQ28" t="s">
        <v>6984</v>
      </c>
      <c r="GUR28" t="s">
        <v>6984</v>
      </c>
      <c r="GUS28" t="s">
        <v>6984</v>
      </c>
      <c r="GUT28" t="s">
        <v>6984</v>
      </c>
      <c r="GUU28" t="s">
        <v>6984</v>
      </c>
      <c r="GUV28" t="s">
        <v>6984</v>
      </c>
      <c r="GUW28" t="s">
        <v>6984</v>
      </c>
      <c r="GUX28" t="s">
        <v>6984</v>
      </c>
      <c r="GUY28" t="s">
        <v>6984</v>
      </c>
      <c r="GUZ28" t="s">
        <v>6984</v>
      </c>
      <c r="GVA28" t="s">
        <v>6984</v>
      </c>
      <c r="GVB28" t="s">
        <v>6984</v>
      </c>
      <c r="GVC28" t="s">
        <v>6984</v>
      </c>
      <c r="GVD28" t="s">
        <v>6984</v>
      </c>
      <c r="GVE28" t="s">
        <v>6984</v>
      </c>
      <c r="GVF28" t="s">
        <v>6984</v>
      </c>
      <c r="GVG28" t="s">
        <v>6984</v>
      </c>
      <c r="GVH28" t="s">
        <v>6984</v>
      </c>
      <c r="GVI28" t="s">
        <v>6984</v>
      </c>
      <c r="GVJ28" t="s">
        <v>6984</v>
      </c>
      <c r="GVK28" t="s">
        <v>6984</v>
      </c>
      <c r="GVL28" t="s">
        <v>6984</v>
      </c>
      <c r="GVM28" t="s">
        <v>6984</v>
      </c>
      <c r="GVN28" t="s">
        <v>6984</v>
      </c>
      <c r="GVO28" t="s">
        <v>6984</v>
      </c>
      <c r="GVP28" t="s">
        <v>6984</v>
      </c>
      <c r="GVQ28" t="s">
        <v>6984</v>
      </c>
      <c r="GVR28" t="s">
        <v>6984</v>
      </c>
      <c r="GVS28" t="s">
        <v>6984</v>
      </c>
      <c r="GVT28" t="s">
        <v>6984</v>
      </c>
      <c r="GVU28" t="s">
        <v>6984</v>
      </c>
      <c r="GVV28" t="s">
        <v>6984</v>
      </c>
      <c r="GVW28" t="s">
        <v>6984</v>
      </c>
      <c r="GVX28" t="s">
        <v>6984</v>
      </c>
      <c r="GVY28" t="s">
        <v>6984</v>
      </c>
      <c r="GVZ28" t="s">
        <v>6984</v>
      </c>
      <c r="GWA28" t="s">
        <v>6984</v>
      </c>
      <c r="GWB28" t="s">
        <v>6984</v>
      </c>
      <c r="GWC28" t="s">
        <v>6984</v>
      </c>
      <c r="GWD28" t="s">
        <v>6984</v>
      </c>
      <c r="GWE28" t="s">
        <v>6984</v>
      </c>
      <c r="GWF28" t="s">
        <v>6984</v>
      </c>
      <c r="GWG28" t="s">
        <v>6984</v>
      </c>
      <c r="GWH28" t="s">
        <v>6984</v>
      </c>
      <c r="GWI28" t="s">
        <v>6984</v>
      </c>
      <c r="GWJ28" t="s">
        <v>6984</v>
      </c>
      <c r="GWK28" t="s">
        <v>6984</v>
      </c>
      <c r="GWL28" t="s">
        <v>6984</v>
      </c>
      <c r="GWM28" t="s">
        <v>6984</v>
      </c>
      <c r="GWN28" t="s">
        <v>6984</v>
      </c>
      <c r="GWO28" t="s">
        <v>6984</v>
      </c>
      <c r="GWP28" t="s">
        <v>6984</v>
      </c>
      <c r="GWQ28" t="s">
        <v>6984</v>
      </c>
      <c r="GWR28" t="s">
        <v>6984</v>
      </c>
      <c r="GWS28" t="s">
        <v>6984</v>
      </c>
      <c r="GWT28" t="s">
        <v>6984</v>
      </c>
      <c r="GWU28" t="s">
        <v>6984</v>
      </c>
      <c r="GWV28" t="s">
        <v>6984</v>
      </c>
      <c r="GWW28" t="s">
        <v>6984</v>
      </c>
      <c r="GWX28" t="s">
        <v>6984</v>
      </c>
      <c r="GWY28" t="s">
        <v>6984</v>
      </c>
      <c r="GWZ28" t="s">
        <v>6984</v>
      </c>
      <c r="GXA28" t="s">
        <v>6984</v>
      </c>
      <c r="GXB28" t="s">
        <v>6984</v>
      </c>
      <c r="GXC28" t="s">
        <v>6984</v>
      </c>
      <c r="GXD28" t="s">
        <v>6984</v>
      </c>
      <c r="GXE28" t="s">
        <v>6984</v>
      </c>
      <c r="GXF28" t="s">
        <v>6984</v>
      </c>
      <c r="GXG28" t="s">
        <v>6984</v>
      </c>
      <c r="GXH28" t="s">
        <v>6984</v>
      </c>
      <c r="GXI28" t="s">
        <v>6984</v>
      </c>
      <c r="GXJ28" t="s">
        <v>6984</v>
      </c>
      <c r="GXK28" t="s">
        <v>6984</v>
      </c>
      <c r="GXL28" t="s">
        <v>6984</v>
      </c>
      <c r="GXM28" t="s">
        <v>6984</v>
      </c>
      <c r="GXN28" t="s">
        <v>6984</v>
      </c>
      <c r="GXO28" t="s">
        <v>6984</v>
      </c>
      <c r="GXP28" t="s">
        <v>6984</v>
      </c>
      <c r="GXQ28" t="s">
        <v>6984</v>
      </c>
      <c r="GXR28" t="s">
        <v>6984</v>
      </c>
      <c r="GXS28" t="s">
        <v>6984</v>
      </c>
      <c r="GXT28" t="s">
        <v>6984</v>
      </c>
      <c r="GXU28" t="s">
        <v>6984</v>
      </c>
      <c r="GXV28" t="s">
        <v>6984</v>
      </c>
      <c r="GXW28" t="s">
        <v>6984</v>
      </c>
      <c r="GXX28" t="s">
        <v>6984</v>
      </c>
      <c r="GXY28" t="s">
        <v>6984</v>
      </c>
      <c r="GXZ28" t="s">
        <v>6984</v>
      </c>
      <c r="GYA28" t="s">
        <v>6984</v>
      </c>
      <c r="GYB28" t="s">
        <v>6984</v>
      </c>
      <c r="GYC28" t="s">
        <v>6984</v>
      </c>
      <c r="GYD28" t="s">
        <v>6984</v>
      </c>
      <c r="GYE28" t="s">
        <v>6984</v>
      </c>
      <c r="GYF28" t="s">
        <v>6984</v>
      </c>
      <c r="GYG28" t="s">
        <v>6984</v>
      </c>
      <c r="GYH28" t="s">
        <v>6984</v>
      </c>
      <c r="GYI28" t="s">
        <v>6984</v>
      </c>
      <c r="GYJ28" t="s">
        <v>6984</v>
      </c>
      <c r="GYK28" t="s">
        <v>6984</v>
      </c>
      <c r="GYL28" t="s">
        <v>6984</v>
      </c>
      <c r="GYM28" t="s">
        <v>6984</v>
      </c>
      <c r="GYN28" t="s">
        <v>6984</v>
      </c>
      <c r="GYO28" t="s">
        <v>6984</v>
      </c>
      <c r="GYP28" t="s">
        <v>6984</v>
      </c>
      <c r="GYQ28" t="s">
        <v>6984</v>
      </c>
      <c r="GYR28" t="s">
        <v>6984</v>
      </c>
      <c r="GYS28" t="s">
        <v>6984</v>
      </c>
      <c r="GYT28" t="s">
        <v>6984</v>
      </c>
      <c r="GYU28" t="s">
        <v>6984</v>
      </c>
      <c r="GYV28" t="s">
        <v>6984</v>
      </c>
      <c r="GYW28" t="s">
        <v>6984</v>
      </c>
      <c r="GYX28" t="s">
        <v>6984</v>
      </c>
      <c r="GYY28" t="s">
        <v>6984</v>
      </c>
      <c r="GYZ28" t="s">
        <v>6984</v>
      </c>
      <c r="GZA28" t="s">
        <v>6984</v>
      </c>
      <c r="GZB28" t="s">
        <v>6984</v>
      </c>
      <c r="GZC28" t="s">
        <v>6984</v>
      </c>
      <c r="GZD28" t="s">
        <v>6984</v>
      </c>
      <c r="GZE28" t="s">
        <v>6984</v>
      </c>
      <c r="GZF28" t="s">
        <v>6984</v>
      </c>
      <c r="GZG28" t="s">
        <v>6984</v>
      </c>
      <c r="GZH28" t="s">
        <v>6984</v>
      </c>
      <c r="GZI28" t="s">
        <v>6984</v>
      </c>
      <c r="GZJ28" t="s">
        <v>6984</v>
      </c>
      <c r="GZK28" t="s">
        <v>6984</v>
      </c>
      <c r="GZL28" t="s">
        <v>6984</v>
      </c>
      <c r="GZM28" t="s">
        <v>6984</v>
      </c>
      <c r="GZN28" t="s">
        <v>6984</v>
      </c>
      <c r="GZO28" t="s">
        <v>6984</v>
      </c>
      <c r="GZP28" t="s">
        <v>6984</v>
      </c>
      <c r="GZQ28" t="s">
        <v>6984</v>
      </c>
      <c r="GZR28" t="s">
        <v>6984</v>
      </c>
      <c r="GZS28" t="s">
        <v>6984</v>
      </c>
      <c r="GZT28" t="s">
        <v>6984</v>
      </c>
      <c r="GZU28" t="s">
        <v>6984</v>
      </c>
      <c r="GZV28" t="s">
        <v>6984</v>
      </c>
      <c r="GZW28" t="s">
        <v>6984</v>
      </c>
      <c r="GZX28" t="s">
        <v>6984</v>
      </c>
      <c r="GZY28" t="s">
        <v>6984</v>
      </c>
      <c r="GZZ28" t="s">
        <v>6984</v>
      </c>
      <c r="HAA28" t="s">
        <v>6984</v>
      </c>
      <c r="HAB28" t="s">
        <v>6984</v>
      </c>
      <c r="HAC28" t="s">
        <v>6984</v>
      </c>
      <c r="HAD28" t="s">
        <v>6984</v>
      </c>
      <c r="HAE28" t="s">
        <v>6984</v>
      </c>
      <c r="HAF28" t="s">
        <v>6984</v>
      </c>
      <c r="HAG28" t="s">
        <v>6984</v>
      </c>
      <c r="HAH28" t="s">
        <v>6984</v>
      </c>
      <c r="HAI28" t="s">
        <v>6984</v>
      </c>
      <c r="HAJ28" t="s">
        <v>6984</v>
      </c>
      <c r="HAK28" t="s">
        <v>6984</v>
      </c>
      <c r="HAL28" t="s">
        <v>6984</v>
      </c>
      <c r="HAM28" t="s">
        <v>6984</v>
      </c>
      <c r="HAN28" t="s">
        <v>6984</v>
      </c>
      <c r="HAO28" t="s">
        <v>6984</v>
      </c>
      <c r="HAP28" t="s">
        <v>6984</v>
      </c>
      <c r="HAQ28" t="s">
        <v>6984</v>
      </c>
      <c r="HAR28" t="s">
        <v>6984</v>
      </c>
      <c r="HAS28" t="s">
        <v>6984</v>
      </c>
      <c r="HAT28" t="s">
        <v>6984</v>
      </c>
      <c r="HAU28" t="s">
        <v>6984</v>
      </c>
      <c r="HAV28" t="s">
        <v>6984</v>
      </c>
      <c r="HAW28" t="s">
        <v>6984</v>
      </c>
      <c r="HAX28" t="s">
        <v>6984</v>
      </c>
      <c r="HAY28" t="s">
        <v>6984</v>
      </c>
      <c r="HAZ28" t="s">
        <v>6984</v>
      </c>
      <c r="HBA28" t="s">
        <v>6984</v>
      </c>
      <c r="HBB28" t="s">
        <v>6984</v>
      </c>
      <c r="HBC28" t="s">
        <v>6984</v>
      </c>
      <c r="HBD28" t="s">
        <v>6984</v>
      </c>
      <c r="HBE28" t="s">
        <v>6984</v>
      </c>
      <c r="HBF28" t="s">
        <v>6984</v>
      </c>
      <c r="HBG28" t="s">
        <v>6984</v>
      </c>
      <c r="HBH28" t="s">
        <v>6984</v>
      </c>
      <c r="HBI28" t="s">
        <v>6984</v>
      </c>
      <c r="HBJ28" t="s">
        <v>6984</v>
      </c>
      <c r="HBK28" t="s">
        <v>6984</v>
      </c>
      <c r="HBL28" t="s">
        <v>6984</v>
      </c>
      <c r="HBM28" t="s">
        <v>6984</v>
      </c>
      <c r="HBN28" t="s">
        <v>6984</v>
      </c>
      <c r="HBO28" t="s">
        <v>6984</v>
      </c>
      <c r="HBP28" t="s">
        <v>6984</v>
      </c>
      <c r="HBQ28" t="s">
        <v>6984</v>
      </c>
      <c r="HBR28" t="s">
        <v>6984</v>
      </c>
      <c r="HBS28" t="s">
        <v>6984</v>
      </c>
      <c r="HBT28" t="s">
        <v>6984</v>
      </c>
      <c r="HBU28" t="s">
        <v>6984</v>
      </c>
      <c r="HBV28" t="s">
        <v>6984</v>
      </c>
      <c r="HBW28" t="s">
        <v>6984</v>
      </c>
      <c r="HBX28" t="s">
        <v>6984</v>
      </c>
      <c r="HBY28" t="s">
        <v>6984</v>
      </c>
      <c r="HBZ28" t="s">
        <v>6984</v>
      </c>
      <c r="HCA28" t="s">
        <v>6984</v>
      </c>
      <c r="HCB28" t="s">
        <v>6984</v>
      </c>
      <c r="HCC28" t="s">
        <v>6984</v>
      </c>
      <c r="HCD28" t="s">
        <v>6984</v>
      </c>
      <c r="HCE28" t="s">
        <v>6984</v>
      </c>
      <c r="HCF28" t="s">
        <v>6984</v>
      </c>
      <c r="HCG28" t="s">
        <v>6984</v>
      </c>
      <c r="HCH28" t="s">
        <v>6984</v>
      </c>
      <c r="HCI28" t="s">
        <v>6984</v>
      </c>
      <c r="HCJ28" t="s">
        <v>6984</v>
      </c>
      <c r="HCK28" t="s">
        <v>6984</v>
      </c>
      <c r="HCL28" t="s">
        <v>6984</v>
      </c>
      <c r="HCM28" t="s">
        <v>6984</v>
      </c>
      <c r="HCN28" t="s">
        <v>6984</v>
      </c>
      <c r="HCO28" t="s">
        <v>6984</v>
      </c>
      <c r="HCP28" t="s">
        <v>6984</v>
      </c>
      <c r="HCQ28" t="s">
        <v>6984</v>
      </c>
      <c r="HCR28" t="s">
        <v>6984</v>
      </c>
      <c r="HCS28" t="s">
        <v>6984</v>
      </c>
      <c r="HCT28" t="s">
        <v>6984</v>
      </c>
      <c r="HCU28" t="s">
        <v>6984</v>
      </c>
      <c r="HCV28" t="s">
        <v>6984</v>
      </c>
      <c r="HCW28" t="s">
        <v>6984</v>
      </c>
      <c r="HCX28" t="s">
        <v>6984</v>
      </c>
      <c r="HCY28" t="s">
        <v>6984</v>
      </c>
      <c r="HCZ28" t="s">
        <v>6984</v>
      </c>
      <c r="HDA28" t="s">
        <v>6984</v>
      </c>
      <c r="HDB28" t="s">
        <v>6984</v>
      </c>
      <c r="HDC28" t="s">
        <v>6984</v>
      </c>
      <c r="HDD28" t="s">
        <v>6984</v>
      </c>
      <c r="HDE28" t="s">
        <v>6984</v>
      </c>
      <c r="HDF28" t="s">
        <v>6984</v>
      </c>
      <c r="HDG28" t="s">
        <v>6984</v>
      </c>
      <c r="HDH28" t="s">
        <v>6984</v>
      </c>
      <c r="HDI28" t="s">
        <v>6984</v>
      </c>
      <c r="HDJ28" t="s">
        <v>6984</v>
      </c>
      <c r="HDK28" t="s">
        <v>6984</v>
      </c>
      <c r="HDL28" t="s">
        <v>6984</v>
      </c>
      <c r="HDM28" t="s">
        <v>6984</v>
      </c>
      <c r="HDN28" t="s">
        <v>6984</v>
      </c>
      <c r="HDO28" t="s">
        <v>6984</v>
      </c>
      <c r="HDP28" t="s">
        <v>6984</v>
      </c>
      <c r="HDQ28" t="s">
        <v>6984</v>
      </c>
      <c r="HDR28" t="s">
        <v>6984</v>
      </c>
      <c r="HDS28" t="s">
        <v>6984</v>
      </c>
      <c r="HDT28" t="s">
        <v>6984</v>
      </c>
      <c r="HDU28" t="s">
        <v>6984</v>
      </c>
      <c r="HDV28" t="s">
        <v>6984</v>
      </c>
      <c r="HDW28" t="s">
        <v>6984</v>
      </c>
      <c r="HDX28" t="s">
        <v>6984</v>
      </c>
      <c r="HDY28" t="s">
        <v>6984</v>
      </c>
      <c r="HDZ28" t="s">
        <v>6984</v>
      </c>
      <c r="HEA28" t="s">
        <v>6984</v>
      </c>
      <c r="HEB28" t="s">
        <v>6984</v>
      </c>
      <c r="HEC28" t="s">
        <v>6984</v>
      </c>
      <c r="HED28" t="s">
        <v>6984</v>
      </c>
      <c r="HEE28" t="s">
        <v>6984</v>
      </c>
      <c r="HEF28" t="s">
        <v>6984</v>
      </c>
      <c r="HEG28" t="s">
        <v>6984</v>
      </c>
      <c r="HEH28" t="s">
        <v>6984</v>
      </c>
      <c r="HEI28" t="s">
        <v>6984</v>
      </c>
      <c r="HEJ28" t="s">
        <v>6984</v>
      </c>
      <c r="HEK28" t="s">
        <v>6984</v>
      </c>
      <c r="HEL28" t="s">
        <v>6984</v>
      </c>
      <c r="HEM28" t="s">
        <v>6984</v>
      </c>
      <c r="HEN28" t="s">
        <v>6984</v>
      </c>
      <c r="HEO28" t="s">
        <v>6984</v>
      </c>
      <c r="HEP28" t="s">
        <v>6984</v>
      </c>
      <c r="HEQ28" t="s">
        <v>6984</v>
      </c>
      <c r="HER28" t="s">
        <v>6984</v>
      </c>
      <c r="HES28" t="s">
        <v>6984</v>
      </c>
      <c r="HET28" t="s">
        <v>6984</v>
      </c>
      <c r="HEU28" t="s">
        <v>6984</v>
      </c>
      <c r="HEV28" t="s">
        <v>6984</v>
      </c>
      <c r="HEW28" t="s">
        <v>6984</v>
      </c>
      <c r="HEX28" t="s">
        <v>6984</v>
      </c>
      <c r="HEY28" t="s">
        <v>6984</v>
      </c>
      <c r="HEZ28" t="s">
        <v>6984</v>
      </c>
      <c r="HFA28" t="s">
        <v>6984</v>
      </c>
      <c r="HFB28" t="s">
        <v>6984</v>
      </c>
      <c r="HFC28" t="s">
        <v>6984</v>
      </c>
      <c r="HFD28" t="s">
        <v>6984</v>
      </c>
      <c r="HFE28" t="s">
        <v>6984</v>
      </c>
      <c r="HFF28" t="s">
        <v>6984</v>
      </c>
      <c r="HFG28" t="s">
        <v>6984</v>
      </c>
      <c r="HFH28" t="s">
        <v>6984</v>
      </c>
      <c r="HFI28" t="s">
        <v>6984</v>
      </c>
      <c r="HFJ28" t="s">
        <v>6984</v>
      </c>
      <c r="HFK28" t="s">
        <v>6984</v>
      </c>
      <c r="HFL28" t="s">
        <v>6984</v>
      </c>
      <c r="HFM28" t="s">
        <v>6984</v>
      </c>
      <c r="HFN28" t="s">
        <v>6984</v>
      </c>
      <c r="HFO28" t="s">
        <v>6984</v>
      </c>
      <c r="HFP28" t="s">
        <v>6984</v>
      </c>
      <c r="HFQ28" t="s">
        <v>6984</v>
      </c>
      <c r="HFR28" t="s">
        <v>6984</v>
      </c>
      <c r="HFS28" t="s">
        <v>6984</v>
      </c>
      <c r="HFT28" t="s">
        <v>6984</v>
      </c>
      <c r="HFU28" t="s">
        <v>6984</v>
      </c>
      <c r="HFV28" t="s">
        <v>6984</v>
      </c>
      <c r="HFW28" t="s">
        <v>6984</v>
      </c>
      <c r="HFX28" t="s">
        <v>6984</v>
      </c>
      <c r="HFY28" t="s">
        <v>6984</v>
      </c>
      <c r="HFZ28" t="s">
        <v>6984</v>
      </c>
      <c r="HGA28" t="s">
        <v>6984</v>
      </c>
      <c r="HGB28" t="s">
        <v>6984</v>
      </c>
      <c r="HGC28" t="s">
        <v>6984</v>
      </c>
      <c r="HGD28" t="s">
        <v>6984</v>
      </c>
      <c r="HGE28" t="s">
        <v>6984</v>
      </c>
      <c r="HGF28" t="s">
        <v>6984</v>
      </c>
      <c r="HGG28" t="s">
        <v>6984</v>
      </c>
      <c r="HGH28" t="s">
        <v>6984</v>
      </c>
      <c r="HGI28" t="s">
        <v>6984</v>
      </c>
      <c r="HGJ28" t="s">
        <v>6984</v>
      </c>
      <c r="HGK28" t="s">
        <v>6984</v>
      </c>
      <c r="HGL28" t="s">
        <v>6984</v>
      </c>
      <c r="HGM28" t="s">
        <v>6984</v>
      </c>
      <c r="HGN28" t="s">
        <v>6984</v>
      </c>
      <c r="HGO28" t="s">
        <v>6984</v>
      </c>
      <c r="HGP28" t="s">
        <v>6984</v>
      </c>
      <c r="HGQ28" t="s">
        <v>6984</v>
      </c>
      <c r="HGR28" t="s">
        <v>6984</v>
      </c>
      <c r="HGS28" t="s">
        <v>6984</v>
      </c>
      <c r="HGT28" t="s">
        <v>6984</v>
      </c>
      <c r="HGU28" t="s">
        <v>6984</v>
      </c>
      <c r="HGV28" t="s">
        <v>6984</v>
      </c>
      <c r="HGW28" t="s">
        <v>6984</v>
      </c>
      <c r="HGX28" t="s">
        <v>6984</v>
      </c>
      <c r="HGY28" t="s">
        <v>6984</v>
      </c>
      <c r="HGZ28" t="s">
        <v>6984</v>
      </c>
      <c r="HHA28" t="s">
        <v>6984</v>
      </c>
      <c r="HHB28" t="s">
        <v>6984</v>
      </c>
      <c r="HHC28" t="s">
        <v>6984</v>
      </c>
      <c r="HHD28" t="s">
        <v>6984</v>
      </c>
      <c r="HHE28" t="s">
        <v>6984</v>
      </c>
      <c r="HHF28" t="s">
        <v>6984</v>
      </c>
      <c r="HHG28" t="s">
        <v>6984</v>
      </c>
      <c r="HHH28" t="s">
        <v>6984</v>
      </c>
      <c r="HHI28" t="s">
        <v>6984</v>
      </c>
      <c r="HHJ28" t="s">
        <v>6984</v>
      </c>
      <c r="HHK28" t="s">
        <v>6984</v>
      </c>
      <c r="HHL28" t="s">
        <v>6984</v>
      </c>
      <c r="HHM28" t="s">
        <v>6984</v>
      </c>
      <c r="HHN28" t="s">
        <v>6984</v>
      </c>
      <c r="HHO28" t="s">
        <v>6984</v>
      </c>
      <c r="HHP28" t="s">
        <v>6984</v>
      </c>
      <c r="HHQ28" t="s">
        <v>6984</v>
      </c>
      <c r="HHR28" t="s">
        <v>6984</v>
      </c>
      <c r="HHS28" t="s">
        <v>6984</v>
      </c>
      <c r="HHT28" t="s">
        <v>6984</v>
      </c>
      <c r="HHU28" t="s">
        <v>6984</v>
      </c>
      <c r="HHV28" t="s">
        <v>6984</v>
      </c>
      <c r="HHW28" t="s">
        <v>6984</v>
      </c>
      <c r="HHX28" t="s">
        <v>6984</v>
      </c>
      <c r="HHY28" t="s">
        <v>6984</v>
      </c>
      <c r="HHZ28" t="s">
        <v>6984</v>
      </c>
      <c r="HIA28" t="s">
        <v>6984</v>
      </c>
      <c r="HIB28" t="s">
        <v>6984</v>
      </c>
      <c r="HIC28" t="s">
        <v>6984</v>
      </c>
      <c r="HID28" t="s">
        <v>6984</v>
      </c>
      <c r="HIE28" t="s">
        <v>6984</v>
      </c>
      <c r="HIF28" t="s">
        <v>6984</v>
      </c>
      <c r="HIG28" t="s">
        <v>6984</v>
      </c>
      <c r="HIH28" t="s">
        <v>6984</v>
      </c>
      <c r="HII28" t="s">
        <v>6984</v>
      </c>
      <c r="HIJ28" t="s">
        <v>6984</v>
      </c>
      <c r="HIK28" t="s">
        <v>6984</v>
      </c>
      <c r="HIL28" t="s">
        <v>6984</v>
      </c>
      <c r="HIM28" t="s">
        <v>6984</v>
      </c>
      <c r="HIN28" t="s">
        <v>6984</v>
      </c>
      <c r="HIO28" t="s">
        <v>6984</v>
      </c>
      <c r="HIP28" t="s">
        <v>6984</v>
      </c>
      <c r="HIQ28" t="s">
        <v>6984</v>
      </c>
      <c r="HIR28" t="s">
        <v>6984</v>
      </c>
      <c r="HIS28" t="s">
        <v>6984</v>
      </c>
      <c r="HIT28" t="s">
        <v>6984</v>
      </c>
      <c r="HIU28" t="s">
        <v>6984</v>
      </c>
      <c r="HIV28" t="s">
        <v>6984</v>
      </c>
      <c r="HIW28" t="s">
        <v>6984</v>
      </c>
      <c r="HIX28" t="s">
        <v>6984</v>
      </c>
      <c r="HIY28" t="s">
        <v>6984</v>
      </c>
      <c r="HIZ28" t="s">
        <v>6984</v>
      </c>
      <c r="HJA28" t="s">
        <v>6984</v>
      </c>
      <c r="HJB28" t="s">
        <v>6984</v>
      </c>
      <c r="HJC28" t="s">
        <v>6984</v>
      </c>
      <c r="HJD28" t="s">
        <v>6984</v>
      </c>
      <c r="HJE28" t="s">
        <v>6984</v>
      </c>
      <c r="HJF28" t="s">
        <v>6984</v>
      </c>
      <c r="HJG28" t="s">
        <v>6984</v>
      </c>
      <c r="HJH28" t="s">
        <v>6984</v>
      </c>
      <c r="HJI28" t="s">
        <v>6984</v>
      </c>
      <c r="HJJ28" t="s">
        <v>6984</v>
      </c>
      <c r="HJK28" t="s">
        <v>6984</v>
      </c>
      <c r="HJL28" t="s">
        <v>6984</v>
      </c>
      <c r="HJM28" t="s">
        <v>6984</v>
      </c>
      <c r="HJN28" t="s">
        <v>6984</v>
      </c>
      <c r="HJO28" t="s">
        <v>6984</v>
      </c>
      <c r="HJP28" t="s">
        <v>6984</v>
      </c>
      <c r="HJQ28" t="s">
        <v>6984</v>
      </c>
      <c r="HJR28" t="s">
        <v>6984</v>
      </c>
      <c r="HJS28" t="s">
        <v>6984</v>
      </c>
      <c r="HJT28" t="s">
        <v>6984</v>
      </c>
      <c r="HJU28" t="s">
        <v>6984</v>
      </c>
      <c r="HJV28" t="s">
        <v>6984</v>
      </c>
      <c r="HJW28" t="s">
        <v>6984</v>
      </c>
      <c r="HJX28" t="s">
        <v>6984</v>
      </c>
      <c r="HJY28" t="s">
        <v>6984</v>
      </c>
      <c r="HJZ28" t="s">
        <v>6984</v>
      </c>
      <c r="HKA28" t="s">
        <v>6984</v>
      </c>
      <c r="HKB28" t="s">
        <v>6984</v>
      </c>
      <c r="HKC28" t="s">
        <v>6984</v>
      </c>
      <c r="HKD28" t="s">
        <v>6984</v>
      </c>
      <c r="HKE28" t="s">
        <v>6984</v>
      </c>
      <c r="HKF28" t="s">
        <v>6984</v>
      </c>
      <c r="HKG28" t="s">
        <v>6984</v>
      </c>
      <c r="HKH28" t="s">
        <v>6984</v>
      </c>
      <c r="HKI28" t="s">
        <v>6984</v>
      </c>
      <c r="HKJ28" t="s">
        <v>6984</v>
      </c>
      <c r="HKK28" t="s">
        <v>6984</v>
      </c>
      <c r="HKL28" t="s">
        <v>6984</v>
      </c>
      <c r="HKM28" t="s">
        <v>6984</v>
      </c>
      <c r="HKN28" t="s">
        <v>6984</v>
      </c>
      <c r="HKO28" t="s">
        <v>6984</v>
      </c>
      <c r="HKP28" t="s">
        <v>6984</v>
      </c>
      <c r="HKQ28" t="s">
        <v>6984</v>
      </c>
      <c r="HKR28" t="s">
        <v>6984</v>
      </c>
      <c r="HKS28" t="s">
        <v>6984</v>
      </c>
      <c r="HKT28" t="s">
        <v>6984</v>
      </c>
      <c r="HKU28" t="s">
        <v>6984</v>
      </c>
      <c r="HKV28" t="s">
        <v>6984</v>
      </c>
      <c r="HKW28" t="s">
        <v>6984</v>
      </c>
      <c r="HKX28" t="s">
        <v>6984</v>
      </c>
      <c r="HKY28" t="s">
        <v>6984</v>
      </c>
      <c r="HKZ28" t="s">
        <v>6984</v>
      </c>
      <c r="HLA28" t="s">
        <v>6984</v>
      </c>
      <c r="HLB28" t="s">
        <v>6984</v>
      </c>
      <c r="HLC28" t="s">
        <v>6984</v>
      </c>
      <c r="HLD28" t="s">
        <v>6984</v>
      </c>
      <c r="HLE28" t="s">
        <v>6984</v>
      </c>
      <c r="HLF28" t="s">
        <v>6984</v>
      </c>
      <c r="HLG28" t="s">
        <v>6984</v>
      </c>
      <c r="HLH28" t="s">
        <v>6984</v>
      </c>
      <c r="HLI28" t="s">
        <v>6984</v>
      </c>
      <c r="HLJ28" t="s">
        <v>6984</v>
      </c>
      <c r="HLK28" t="s">
        <v>6984</v>
      </c>
      <c r="HLL28" t="s">
        <v>6984</v>
      </c>
      <c r="HLM28" t="s">
        <v>6984</v>
      </c>
      <c r="HLN28" t="s">
        <v>6984</v>
      </c>
      <c r="HLO28" t="s">
        <v>6984</v>
      </c>
      <c r="HLP28" t="s">
        <v>6984</v>
      </c>
      <c r="HLQ28" t="s">
        <v>6984</v>
      </c>
      <c r="HLR28" t="s">
        <v>6984</v>
      </c>
      <c r="HLS28" t="s">
        <v>6984</v>
      </c>
      <c r="HLT28" t="s">
        <v>6984</v>
      </c>
      <c r="HLU28" t="s">
        <v>6984</v>
      </c>
      <c r="HLV28" t="s">
        <v>6984</v>
      </c>
      <c r="HLW28" t="s">
        <v>6984</v>
      </c>
      <c r="HLX28" t="s">
        <v>6984</v>
      </c>
      <c r="HLY28" t="s">
        <v>6984</v>
      </c>
      <c r="HLZ28" t="s">
        <v>6984</v>
      </c>
      <c r="HMA28" t="s">
        <v>6984</v>
      </c>
      <c r="HMB28" t="s">
        <v>6984</v>
      </c>
      <c r="HMC28" t="s">
        <v>6984</v>
      </c>
      <c r="HMD28" t="s">
        <v>6984</v>
      </c>
      <c r="HME28" t="s">
        <v>6984</v>
      </c>
      <c r="HMF28" t="s">
        <v>6984</v>
      </c>
      <c r="HMG28" t="s">
        <v>6984</v>
      </c>
      <c r="HMH28" t="s">
        <v>6984</v>
      </c>
      <c r="HMI28" t="s">
        <v>6984</v>
      </c>
      <c r="HMJ28" t="s">
        <v>6984</v>
      </c>
      <c r="HMK28" t="s">
        <v>6984</v>
      </c>
      <c r="HML28" t="s">
        <v>6984</v>
      </c>
      <c r="HMM28" t="s">
        <v>6984</v>
      </c>
      <c r="HMN28" t="s">
        <v>6984</v>
      </c>
      <c r="HMO28" t="s">
        <v>6984</v>
      </c>
      <c r="HMP28" t="s">
        <v>6984</v>
      </c>
      <c r="HMQ28" t="s">
        <v>6984</v>
      </c>
      <c r="HMR28" t="s">
        <v>6984</v>
      </c>
      <c r="HMS28" t="s">
        <v>6984</v>
      </c>
      <c r="HMT28" t="s">
        <v>6984</v>
      </c>
      <c r="HMU28" t="s">
        <v>6984</v>
      </c>
      <c r="HMV28" t="s">
        <v>6984</v>
      </c>
      <c r="HMW28" t="s">
        <v>6984</v>
      </c>
      <c r="HMX28" t="s">
        <v>6984</v>
      </c>
      <c r="HMY28" t="s">
        <v>6984</v>
      </c>
      <c r="HMZ28" t="s">
        <v>6984</v>
      </c>
      <c r="HNA28" t="s">
        <v>6984</v>
      </c>
      <c r="HNB28" t="s">
        <v>6984</v>
      </c>
      <c r="HNC28" t="s">
        <v>6984</v>
      </c>
      <c r="HND28" t="s">
        <v>6984</v>
      </c>
      <c r="HNE28" t="s">
        <v>6984</v>
      </c>
      <c r="HNF28" t="s">
        <v>6984</v>
      </c>
      <c r="HNG28" t="s">
        <v>6984</v>
      </c>
      <c r="HNH28" t="s">
        <v>6984</v>
      </c>
      <c r="HNI28" t="s">
        <v>6984</v>
      </c>
      <c r="HNJ28" t="s">
        <v>6984</v>
      </c>
      <c r="HNK28" t="s">
        <v>6984</v>
      </c>
      <c r="HNL28" t="s">
        <v>6984</v>
      </c>
      <c r="HNM28" t="s">
        <v>6984</v>
      </c>
      <c r="HNN28" t="s">
        <v>6984</v>
      </c>
      <c r="HNO28" t="s">
        <v>6984</v>
      </c>
      <c r="HNP28" t="s">
        <v>6984</v>
      </c>
      <c r="HNQ28" t="s">
        <v>6984</v>
      </c>
      <c r="HNR28" t="s">
        <v>6984</v>
      </c>
      <c r="HNS28" t="s">
        <v>6984</v>
      </c>
      <c r="HNT28" t="s">
        <v>6984</v>
      </c>
      <c r="HNU28" t="s">
        <v>6984</v>
      </c>
      <c r="HNV28" t="s">
        <v>6984</v>
      </c>
      <c r="HNW28" t="s">
        <v>6984</v>
      </c>
      <c r="HNX28" t="s">
        <v>6984</v>
      </c>
      <c r="HNY28" t="s">
        <v>6984</v>
      </c>
      <c r="HNZ28" t="s">
        <v>6984</v>
      </c>
      <c r="HOA28" t="s">
        <v>6984</v>
      </c>
      <c r="HOB28" t="s">
        <v>6984</v>
      </c>
      <c r="HOC28" t="s">
        <v>6984</v>
      </c>
      <c r="HOD28" t="s">
        <v>6984</v>
      </c>
      <c r="HOE28" t="s">
        <v>6984</v>
      </c>
      <c r="HOF28" t="s">
        <v>6984</v>
      </c>
      <c r="HOG28" t="s">
        <v>6984</v>
      </c>
      <c r="HOH28" t="s">
        <v>6984</v>
      </c>
      <c r="HOI28" t="s">
        <v>6984</v>
      </c>
      <c r="HOJ28" t="s">
        <v>6984</v>
      </c>
      <c r="HOK28" t="s">
        <v>6984</v>
      </c>
      <c r="HOL28" t="s">
        <v>6984</v>
      </c>
      <c r="HOM28" t="s">
        <v>6984</v>
      </c>
      <c r="HON28" t="s">
        <v>6984</v>
      </c>
      <c r="HOO28" t="s">
        <v>6984</v>
      </c>
      <c r="HOP28" t="s">
        <v>6984</v>
      </c>
      <c r="HOQ28" t="s">
        <v>6984</v>
      </c>
      <c r="HOR28" t="s">
        <v>6984</v>
      </c>
      <c r="HOS28" t="s">
        <v>6984</v>
      </c>
      <c r="HOT28" t="s">
        <v>6984</v>
      </c>
      <c r="HOU28" t="s">
        <v>6984</v>
      </c>
      <c r="HOV28" t="s">
        <v>6984</v>
      </c>
      <c r="HOW28" t="s">
        <v>6984</v>
      </c>
      <c r="HOX28" t="s">
        <v>6984</v>
      </c>
      <c r="HOY28" t="s">
        <v>6984</v>
      </c>
      <c r="HOZ28" t="s">
        <v>6984</v>
      </c>
      <c r="HPA28" t="s">
        <v>6984</v>
      </c>
      <c r="HPB28" t="s">
        <v>6984</v>
      </c>
      <c r="HPC28" t="s">
        <v>6984</v>
      </c>
      <c r="HPD28" t="s">
        <v>6984</v>
      </c>
      <c r="HPE28" t="s">
        <v>6984</v>
      </c>
      <c r="HPF28" t="s">
        <v>6984</v>
      </c>
      <c r="HPG28" t="s">
        <v>6984</v>
      </c>
      <c r="HPH28" t="s">
        <v>6984</v>
      </c>
      <c r="HPI28" t="s">
        <v>6984</v>
      </c>
      <c r="HPJ28" t="s">
        <v>6984</v>
      </c>
      <c r="HPK28" t="s">
        <v>6984</v>
      </c>
      <c r="HPL28" t="s">
        <v>6984</v>
      </c>
      <c r="HPM28" t="s">
        <v>6984</v>
      </c>
      <c r="HPN28" t="s">
        <v>6984</v>
      </c>
      <c r="HPO28" t="s">
        <v>6984</v>
      </c>
      <c r="HPP28" t="s">
        <v>6984</v>
      </c>
      <c r="HPQ28" t="s">
        <v>6984</v>
      </c>
      <c r="HPR28" t="s">
        <v>6984</v>
      </c>
      <c r="HPS28" t="s">
        <v>6984</v>
      </c>
      <c r="HPT28" t="s">
        <v>6984</v>
      </c>
      <c r="HPU28" t="s">
        <v>6984</v>
      </c>
      <c r="HPV28" t="s">
        <v>6984</v>
      </c>
      <c r="HPW28" t="s">
        <v>6984</v>
      </c>
      <c r="HPX28" t="s">
        <v>6984</v>
      </c>
      <c r="HPY28" t="s">
        <v>6984</v>
      </c>
      <c r="HPZ28" t="s">
        <v>6984</v>
      </c>
      <c r="HQA28" t="s">
        <v>6984</v>
      </c>
      <c r="HQB28" t="s">
        <v>6984</v>
      </c>
      <c r="HQC28" t="s">
        <v>6984</v>
      </c>
      <c r="HQD28" t="s">
        <v>6984</v>
      </c>
      <c r="HQE28" t="s">
        <v>6984</v>
      </c>
      <c r="HQF28" t="s">
        <v>6984</v>
      </c>
      <c r="HQG28" t="s">
        <v>6984</v>
      </c>
      <c r="HQH28" t="s">
        <v>6984</v>
      </c>
      <c r="HQI28" t="s">
        <v>6984</v>
      </c>
      <c r="HQJ28" t="s">
        <v>6984</v>
      </c>
      <c r="HQK28" t="s">
        <v>6984</v>
      </c>
      <c r="HQL28" t="s">
        <v>6984</v>
      </c>
      <c r="HQM28" t="s">
        <v>6984</v>
      </c>
      <c r="HQN28" t="s">
        <v>6984</v>
      </c>
      <c r="HQO28" t="s">
        <v>6984</v>
      </c>
      <c r="HQP28" t="s">
        <v>6984</v>
      </c>
      <c r="HQQ28" t="s">
        <v>6984</v>
      </c>
      <c r="HQR28" t="s">
        <v>6984</v>
      </c>
      <c r="HQS28" t="s">
        <v>6984</v>
      </c>
      <c r="HQT28" t="s">
        <v>6984</v>
      </c>
      <c r="HQU28" t="s">
        <v>6984</v>
      </c>
      <c r="HQV28" t="s">
        <v>6984</v>
      </c>
      <c r="HQW28" t="s">
        <v>6984</v>
      </c>
      <c r="HQX28" t="s">
        <v>6984</v>
      </c>
      <c r="HQY28" t="s">
        <v>6984</v>
      </c>
      <c r="HQZ28" t="s">
        <v>6984</v>
      </c>
      <c r="HRA28" t="s">
        <v>6984</v>
      </c>
      <c r="HRB28" t="s">
        <v>6984</v>
      </c>
      <c r="HRC28" t="s">
        <v>6984</v>
      </c>
      <c r="HRD28" t="s">
        <v>6984</v>
      </c>
      <c r="HRE28" t="s">
        <v>6984</v>
      </c>
      <c r="HRF28" t="s">
        <v>6984</v>
      </c>
      <c r="HRG28" t="s">
        <v>6984</v>
      </c>
      <c r="HRH28" t="s">
        <v>6984</v>
      </c>
      <c r="HRI28" t="s">
        <v>6984</v>
      </c>
      <c r="HRJ28" t="s">
        <v>6984</v>
      </c>
      <c r="HRK28" t="s">
        <v>6984</v>
      </c>
      <c r="HRL28" t="s">
        <v>6984</v>
      </c>
      <c r="HRM28" t="s">
        <v>6984</v>
      </c>
      <c r="HRN28" t="s">
        <v>6984</v>
      </c>
      <c r="HRO28" t="s">
        <v>6984</v>
      </c>
      <c r="HRP28" t="s">
        <v>6984</v>
      </c>
      <c r="HRQ28" t="s">
        <v>6984</v>
      </c>
      <c r="HRR28" t="s">
        <v>6984</v>
      </c>
      <c r="HRS28" t="s">
        <v>6984</v>
      </c>
      <c r="HRT28" t="s">
        <v>6984</v>
      </c>
      <c r="HRU28" t="s">
        <v>6984</v>
      </c>
      <c r="HRV28" t="s">
        <v>6984</v>
      </c>
      <c r="HRW28" t="s">
        <v>6984</v>
      </c>
      <c r="HRX28" t="s">
        <v>6984</v>
      </c>
      <c r="HRY28" t="s">
        <v>6984</v>
      </c>
      <c r="HRZ28" t="s">
        <v>6984</v>
      </c>
      <c r="HSA28" t="s">
        <v>6984</v>
      </c>
      <c r="HSB28" t="s">
        <v>6984</v>
      </c>
      <c r="HSC28" t="s">
        <v>6984</v>
      </c>
      <c r="HSD28" t="s">
        <v>6984</v>
      </c>
      <c r="HSE28" t="s">
        <v>6984</v>
      </c>
      <c r="HSF28" t="s">
        <v>6984</v>
      </c>
      <c r="HSG28" t="s">
        <v>6984</v>
      </c>
      <c r="HSH28" t="s">
        <v>6984</v>
      </c>
      <c r="HSI28" t="s">
        <v>6984</v>
      </c>
      <c r="HSJ28" t="s">
        <v>6984</v>
      </c>
      <c r="HSK28" t="s">
        <v>6984</v>
      </c>
      <c r="HSL28" t="s">
        <v>6984</v>
      </c>
      <c r="HSM28" t="s">
        <v>6984</v>
      </c>
      <c r="HSN28" t="s">
        <v>6984</v>
      </c>
      <c r="HSO28" t="s">
        <v>6984</v>
      </c>
      <c r="HSP28" t="s">
        <v>6984</v>
      </c>
      <c r="HSQ28" t="s">
        <v>6984</v>
      </c>
      <c r="HSR28" t="s">
        <v>6984</v>
      </c>
      <c r="HSS28" t="s">
        <v>6984</v>
      </c>
      <c r="HST28" t="s">
        <v>6984</v>
      </c>
      <c r="HSU28" t="s">
        <v>6984</v>
      </c>
      <c r="HSV28" t="s">
        <v>6984</v>
      </c>
      <c r="HSW28" t="s">
        <v>6984</v>
      </c>
      <c r="HSX28" t="s">
        <v>6984</v>
      </c>
      <c r="HSY28" t="s">
        <v>6984</v>
      </c>
      <c r="HSZ28" t="s">
        <v>6984</v>
      </c>
      <c r="HTA28" t="s">
        <v>6984</v>
      </c>
      <c r="HTB28" t="s">
        <v>6984</v>
      </c>
      <c r="HTC28" t="s">
        <v>6984</v>
      </c>
      <c r="HTD28" t="s">
        <v>6984</v>
      </c>
      <c r="HTE28" t="s">
        <v>6984</v>
      </c>
      <c r="HTF28" t="s">
        <v>6984</v>
      </c>
      <c r="HTG28" t="s">
        <v>6984</v>
      </c>
      <c r="HTH28" t="s">
        <v>6984</v>
      </c>
      <c r="HTI28" t="s">
        <v>6984</v>
      </c>
      <c r="HTJ28" t="s">
        <v>6984</v>
      </c>
      <c r="HTK28" t="s">
        <v>6984</v>
      </c>
      <c r="HTL28" t="s">
        <v>6984</v>
      </c>
      <c r="HTM28" t="s">
        <v>6984</v>
      </c>
      <c r="HTN28" t="s">
        <v>6984</v>
      </c>
      <c r="HTO28" t="s">
        <v>6984</v>
      </c>
      <c r="HTP28" t="s">
        <v>6984</v>
      </c>
      <c r="HTQ28" t="s">
        <v>6984</v>
      </c>
      <c r="HTR28" t="s">
        <v>6984</v>
      </c>
      <c r="HTS28" t="s">
        <v>6984</v>
      </c>
      <c r="HTT28" t="s">
        <v>6984</v>
      </c>
      <c r="HTU28" t="s">
        <v>6984</v>
      </c>
      <c r="HTV28" t="s">
        <v>6984</v>
      </c>
      <c r="HTW28" t="s">
        <v>6984</v>
      </c>
      <c r="HTX28" t="s">
        <v>6984</v>
      </c>
      <c r="HTY28" t="s">
        <v>6984</v>
      </c>
      <c r="HTZ28" t="s">
        <v>6984</v>
      </c>
      <c r="HUA28" t="s">
        <v>6984</v>
      </c>
      <c r="HUB28" t="s">
        <v>6984</v>
      </c>
      <c r="HUC28" t="s">
        <v>6984</v>
      </c>
      <c r="HUD28" t="s">
        <v>6984</v>
      </c>
      <c r="HUE28" t="s">
        <v>6984</v>
      </c>
      <c r="HUF28" t="s">
        <v>6984</v>
      </c>
      <c r="HUG28" t="s">
        <v>6984</v>
      </c>
      <c r="HUH28" t="s">
        <v>6984</v>
      </c>
      <c r="HUI28" t="s">
        <v>6984</v>
      </c>
      <c r="HUJ28" t="s">
        <v>6984</v>
      </c>
      <c r="HUK28" t="s">
        <v>6984</v>
      </c>
      <c r="HUL28" t="s">
        <v>6984</v>
      </c>
      <c r="HUM28" t="s">
        <v>6984</v>
      </c>
      <c r="HUN28" t="s">
        <v>6984</v>
      </c>
      <c r="HUO28" t="s">
        <v>6984</v>
      </c>
      <c r="HUP28" t="s">
        <v>6984</v>
      </c>
      <c r="HUQ28" t="s">
        <v>6984</v>
      </c>
      <c r="HUR28" t="s">
        <v>6984</v>
      </c>
      <c r="HUS28" t="s">
        <v>6984</v>
      </c>
      <c r="HUT28" t="s">
        <v>6984</v>
      </c>
      <c r="HUU28" t="s">
        <v>6984</v>
      </c>
      <c r="HUV28" t="s">
        <v>6984</v>
      </c>
      <c r="HUW28" t="s">
        <v>6984</v>
      </c>
      <c r="HUX28" t="s">
        <v>6984</v>
      </c>
      <c r="HUY28" t="s">
        <v>6984</v>
      </c>
      <c r="HUZ28" t="s">
        <v>6984</v>
      </c>
      <c r="HVA28" t="s">
        <v>6984</v>
      </c>
      <c r="HVB28" t="s">
        <v>6984</v>
      </c>
      <c r="HVC28" t="s">
        <v>6984</v>
      </c>
      <c r="HVD28" t="s">
        <v>6984</v>
      </c>
      <c r="HVE28" t="s">
        <v>6984</v>
      </c>
      <c r="HVF28" t="s">
        <v>6984</v>
      </c>
      <c r="HVG28" t="s">
        <v>6984</v>
      </c>
      <c r="HVH28" t="s">
        <v>6984</v>
      </c>
      <c r="HVI28" t="s">
        <v>6984</v>
      </c>
      <c r="HVJ28" t="s">
        <v>6984</v>
      </c>
      <c r="HVK28" t="s">
        <v>6984</v>
      </c>
      <c r="HVL28" t="s">
        <v>6984</v>
      </c>
      <c r="HVM28" t="s">
        <v>6984</v>
      </c>
      <c r="HVN28" t="s">
        <v>6984</v>
      </c>
      <c r="HVO28" t="s">
        <v>6984</v>
      </c>
      <c r="HVP28" t="s">
        <v>6984</v>
      </c>
      <c r="HVQ28" t="s">
        <v>6984</v>
      </c>
      <c r="HVR28" t="s">
        <v>6984</v>
      </c>
      <c r="HVS28" t="s">
        <v>6984</v>
      </c>
      <c r="HVT28" t="s">
        <v>6984</v>
      </c>
      <c r="HVU28" t="s">
        <v>6984</v>
      </c>
      <c r="HVV28" t="s">
        <v>6984</v>
      </c>
      <c r="HVW28" t="s">
        <v>6984</v>
      </c>
      <c r="HVX28" t="s">
        <v>6984</v>
      </c>
      <c r="HVY28" t="s">
        <v>6984</v>
      </c>
      <c r="HVZ28" t="s">
        <v>6984</v>
      </c>
      <c r="HWA28" t="s">
        <v>6984</v>
      </c>
      <c r="HWB28" t="s">
        <v>6984</v>
      </c>
      <c r="HWC28" t="s">
        <v>6984</v>
      </c>
      <c r="HWD28" t="s">
        <v>6984</v>
      </c>
      <c r="HWE28" t="s">
        <v>6984</v>
      </c>
      <c r="HWF28" t="s">
        <v>6984</v>
      </c>
      <c r="HWG28" t="s">
        <v>6984</v>
      </c>
      <c r="HWH28" t="s">
        <v>6984</v>
      </c>
      <c r="HWI28" t="s">
        <v>6984</v>
      </c>
      <c r="HWJ28" t="s">
        <v>6984</v>
      </c>
      <c r="HWK28" t="s">
        <v>6984</v>
      </c>
      <c r="HWL28" t="s">
        <v>6984</v>
      </c>
      <c r="HWM28" t="s">
        <v>6984</v>
      </c>
      <c r="HWN28" t="s">
        <v>6984</v>
      </c>
      <c r="HWO28" t="s">
        <v>6984</v>
      </c>
      <c r="HWP28" t="s">
        <v>6984</v>
      </c>
      <c r="HWQ28" t="s">
        <v>6984</v>
      </c>
      <c r="HWR28" t="s">
        <v>6984</v>
      </c>
      <c r="HWS28" t="s">
        <v>6984</v>
      </c>
      <c r="HWT28" t="s">
        <v>6984</v>
      </c>
      <c r="HWU28" t="s">
        <v>6984</v>
      </c>
      <c r="HWV28" t="s">
        <v>6984</v>
      </c>
      <c r="HWW28" t="s">
        <v>6984</v>
      </c>
      <c r="HWX28" t="s">
        <v>6984</v>
      </c>
      <c r="HWY28" t="s">
        <v>6984</v>
      </c>
      <c r="HWZ28" t="s">
        <v>6984</v>
      </c>
      <c r="HXA28" t="s">
        <v>6984</v>
      </c>
      <c r="HXB28" t="s">
        <v>6984</v>
      </c>
      <c r="HXC28" t="s">
        <v>6984</v>
      </c>
      <c r="HXD28" t="s">
        <v>6984</v>
      </c>
      <c r="HXE28" t="s">
        <v>6984</v>
      </c>
      <c r="HXF28" t="s">
        <v>6984</v>
      </c>
      <c r="HXG28" t="s">
        <v>6984</v>
      </c>
      <c r="HXH28" t="s">
        <v>6984</v>
      </c>
      <c r="HXI28" t="s">
        <v>6984</v>
      </c>
      <c r="HXJ28" t="s">
        <v>6984</v>
      </c>
      <c r="HXK28" t="s">
        <v>6984</v>
      </c>
      <c r="HXL28" t="s">
        <v>6984</v>
      </c>
      <c r="HXM28" t="s">
        <v>6984</v>
      </c>
      <c r="HXN28" t="s">
        <v>6984</v>
      </c>
      <c r="HXO28" t="s">
        <v>6984</v>
      </c>
      <c r="HXP28" t="s">
        <v>6984</v>
      </c>
      <c r="HXQ28" t="s">
        <v>6984</v>
      </c>
      <c r="HXR28" t="s">
        <v>6984</v>
      </c>
      <c r="HXS28" t="s">
        <v>6984</v>
      </c>
      <c r="HXT28" t="s">
        <v>6984</v>
      </c>
      <c r="HXU28" t="s">
        <v>6984</v>
      </c>
      <c r="HXV28" t="s">
        <v>6984</v>
      </c>
      <c r="HXW28" t="s">
        <v>6984</v>
      </c>
      <c r="HXX28" t="s">
        <v>6984</v>
      </c>
      <c r="HXY28" t="s">
        <v>6984</v>
      </c>
      <c r="HXZ28" t="s">
        <v>6984</v>
      </c>
      <c r="HYA28" t="s">
        <v>6984</v>
      </c>
      <c r="HYB28" t="s">
        <v>6984</v>
      </c>
      <c r="HYC28" t="s">
        <v>6984</v>
      </c>
      <c r="HYD28" t="s">
        <v>6984</v>
      </c>
      <c r="HYE28" t="s">
        <v>6984</v>
      </c>
      <c r="HYF28" t="s">
        <v>6984</v>
      </c>
      <c r="HYG28" t="s">
        <v>6984</v>
      </c>
      <c r="HYH28" t="s">
        <v>6984</v>
      </c>
      <c r="HYI28" t="s">
        <v>6984</v>
      </c>
      <c r="HYJ28" t="s">
        <v>6984</v>
      </c>
      <c r="HYK28" t="s">
        <v>6984</v>
      </c>
      <c r="HYL28" t="s">
        <v>6984</v>
      </c>
      <c r="HYM28" t="s">
        <v>6984</v>
      </c>
      <c r="HYN28" t="s">
        <v>6984</v>
      </c>
      <c r="HYO28" t="s">
        <v>6984</v>
      </c>
      <c r="HYP28" t="s">
        <v>6984</v>
      </c>
      <c r="HYQ28" t="s">
        <v>6984</v>
      </c>
      <c r="HYR28" t="s">
        <v>6984</v>
      </c>
      <c r="HYS28" t="s">
        <v>6984</v>
      </c>
      <c r="HYT28" t="s">
        <v>6984</v>
      </c>
      <c r="HYU28" t="s">
        <v>6984</v>
      </c>
      <c r="HYV28" t="s">
        <v>6984</v>
      </c>
      <c r="HYW28" t="s">
        <v>6984</v>
      </c>
      <c r="HYX28" t="s">
        <v>6984</v>
      </c>
      <c r="HYY28" t="s">
        <v>6984</v>
      </c>
      <c r="HYZ28" t="s">
        <v>6984</v>
      </c>
      <c r="HZA28" t="s">
        <v>6984</v>
      </c>
      <c r="HZB28" t="s">
        <v>6984</v>
      </c>
      <c r="HZC28" t="s">
        <v>6984</v>
      </c>
      <c r="HZD28" t="s">
        <v>6984</v>
      </c>
      <c r="HZE28" t="s">
        <v>6984</v>
      </c>
      <c r="HZF28" t="s">
        <v>6984</v>
      </c>
      <c r="HZG28" t="s">
        <v>6984</v>
      </c>
      <c r="HZH28" t="s">
        <v>6984</v>
      </c>
      <c r="HZI28" t="s">
        <v>6984</v>
      </c>
      <c r="HZJ28" t="s">
        <v>6984</v>
      </c>
      <c r="HZK28" t="s">
        <v>6984</v>
      </c>
      <c r="HZL28" t="s">
        <v>6984</v>
      </c>
      <c r="HZM28" t="s">
        <v>6984</v>
      </c>
      <c r="HZN28" t="s">
        <v>6984</v>
      </c>
      <c r="HZO28" t="s">
        <v>6984</v>
      </c>
      <c r="HZP28" t="s">
        <v>6984</v>
      </c>
      <c r="HZQ28" t="s">
        <v>6984</v>
      </c>
      <c r="HZR28" t="s">
        <v>6984</v>
      </c>
      <c r="HZS28" t="s">
        <v>6984</v>
      </c>
      <c r="HZT28" t="s">
        <v>6984</v>
      </c>
      <c r="HZU28" t="s">
        <v>6984</v>
      </c>
      <c r="HZV28" t="s">
        <v>6984</v>
      </c>
      <c r="HZW28" t="s">
        <v>6984</v>
      </c>
      <c r="HZX28" t="s">
        <v>6984</v>
      </c>
      <c r="HZY28" t="s">
        <v>6984</v>
      </c>
      <c r="HZZ28" t="s">
        <v>6984</v>
      </c>
      <c r="IAA28" t="s">
        <v>6984</v>
      </c>
      <c r="IAB28" t="s">
        <v>6984</v>
      </c>
      <c r="IAC28" t="s">
        <v>6984</v>
      </c>
      <c r="IAD28" t="s">
        <v>6984</v>
      </c>
      <c r="IAE28" t="s">
        <v>6984</v>
      </c>
      <c r="IAF28" t="s">
        <v>6984</v>
      </c>
      <c r="IAG28" t="s">
        <v>6984</v>
      </c>
      <c r="IAH28" t="s">
        <v>6984</v>
      </c>
      <c r="IAI28" t="s">
        <v>6984</v>
      </c>
      <c r="IAJ28" t="s">
        <v>6984</v>
      </c>
      <c r="IAK28" t="s">
        <v>6984</v>
      </c>
      <c r="IAL28" t="s">
        <v>6984</v>
      </c>
      <c r="IAM28" t="s">
        <v>6984</v>
      </c>
      <c r="IAN28" t="s">
        <v>6984</v>
      </c>
      <c r="IAO28" t="s">
        <v>6984</v>
      </c>
      <c r="IAP28" t="s">
        <v>6984</v>
      </c>
      <c r="IAQ28" t="s">
        <v>6984</v>
      </c>
      <c r="IAR28" t="s">
        <v>6984</v>
      </c>
      <c r="IAS28" t="s">
        <v>6984</v>
      </c>
      <c r="IAT28" t="s">
        <v>6984</v>
      </c>
      <c r="IAU28" t="s">
        <v>6984</v>
      </c>
      <c r="IAV28" t="s">
        <v>6984</v>
      </c>
      <c r="IAW28" t="s">
        <v>6984</v>
      </c>
      <c r="IAX28" t="s">
        <v>6984</v>
      </c>
      <c r="IAY28" t="s">
        <v>6984</v>
      </c>
      <c r="IAZ28" t="s">
        <v>6984</v>
      </c>
      <c r="IBA28" t="s">
        <v>6984</v>
      </c>
      <c r="IBB28" t="s">
        <v>6984</v>
      </c>
      <c r="IBC28" t="s">
        <v>6984</v>
      </c>
      <c r="IBD28" t="s">
        <v>6984</v>
      </c>
      <c r="IBE28" t="s">
        <v>6984</v>
      </c>
      <c r="IBF28" t="s">
        <v>6984</v>
      </c>
      <c r="IBG28" t="s">
        <v>6984</v>
      </c>
      <c r="IBH28" t="s">
        <v>6984</v>
      </c>
      <c r="IBI28" t="s">
        <v>6984</v>
      </c>
      <c r="IBJ28" t="s">
        <v>6984</v>
      </c>
      <c r="IBK28" t="s">
        <v>6984</v>
      </c>
      <c r="IBL28" t="s">
        <v>6984</v>
      </c>
      <c r="IBM28" t="s">
        <v>6984</v>
      </c>
      <c r="IBN28" t="s">
        <v>6984</v>
      </c>
      <c r="IBO28" t="s">
        <v>6984</v>
      </c>
      <c r="IBP28" t="s">
        <v>6984</v>
      </c>
      <c r="IBQ28" t="s">
        <v>6984</v>
      </c>
      <c r="IBR28" t="s">
        <v>6984</v>
      </c>
      <c r="IBS28" t="s">
        <v>6984</v>
      </c>
      <c r="IBT28" t="s">
        <v>6984</v>
      </c>
      <c r="IBU28" t="s">
        <v>6984</v>
      </c>
      <c r="IBV28" t="s">
        <v>6984</v>
      </c>
      <c r="IBW28" t="s">
        <v>6984</v>
      </c>
      <c r="IBX28" t="s">
        <v>6984</v>
      </c>
      <c r="IBY28" t="s">
        <v>6984</v>
      </c>
      <c r="IBZ28" t="s">
        <v>6984</v>
      </c>
      <c r="ICA28" t="s">
        <v>6984</v>
      </c>
      <c r="ICB28" t="s">
        <v>6984</v>
      </c>
      <c r="ICC28" t="s">
        <v>6984</v>
      </c>
      <c r="ICD28" t="s">
        <v>6984</v>
      </c>
      <c r="ICE28" t="s">
        <v>6984</v>
      </c>
      <c r="ICF28" t="s">
        <v>6984</v>
      </c>
      <c r="ICG28" t="s">
        <v>6984</v>
      </c>
      <c r="ICH28" t="s">
        <v>6984</v>
      </c>
      <c r="ICI28" t="s">
        <v>6984</v>
      </c>
      <c r="ICJ28" t="s">
        <v>6984</v>
      </c>
      <c r="ICK28" t="s">
        <v>6984</v>
      </c>
      <c r="ICL28" t="s">
        <v>6984</v>
      </c>
      <c r="ICM28" t="s">
        <v>6984</v>
      </c>
      <c r="ICN28" t="s">
        <v>6984</v>
      </c>
      <c r="ICO28" t="s">
        <v>6984</v>
      </c>
      <c r="ICP28" t="s">
        <v>6984</v>
      </c>
      <c r="ICQ28" t="s">
        <v>6984</v>
      </c>
      <c r="ICR28" t="s">
        <v>6984</v>
      </c>
      <c r="ICS28" t="s">
        <v>6984</v>
      </c>
      <c r="ICT28" t="s">
        <v>6984</v>
      </c>
      <c r="ICU28" t="s">
        <v>6984</v>
      </c>
      <c r="ICV28" t="s">
        <v>6984</v>
      </c>
      <c r="ICW28" t="s">
        <v>6984</v>
      </c>
      <c r="ICX28" t="s">
        <v>6984</v>
      </c>
      <c r="ICY28" t="s">
        <v>6984</v>
      </c>
      <c r="ICZ28" t="s">
        <v>6984</v>
      </c>
      <c r="IDA28" t="s">
        <v>6984</v>
      </c>
      <c r="IDB28" t="s">
        <v>6984</v>
      </c>
      <c r="IDC28" t="s">
        <v>6984</v>
      </c>
      <c r="IDD28" t="s">
        <v>6984</v>
      </c>
      <c r="IDE28" t="s">
        <v>6984</v>
      </c>
      <c r="IDF28" t="s">
        <v>6984</v>
      </c>
      <c r="IDG28" t="s">
        <v>6984</v>
      </c>
      <c r="IDH28" t="s">
        <v>6984</v>
      </c>
      <c r="IDI28" t="s">
        <v>6984</v>
      </c>
      <c r="IDJ28" t="s">
        <v>6984</v>
      </c>
      <c r="IDK28" t="s">
        <v>6984</v>
      </c>
      <c r="IDL28" t="s">
        <v>6984</v>
      </c>
      <c r="IDM28" t="s">
        <v>6984</v>
      </c>
      <c r="IDN28" t="s">
        <v>6984</v>
      </c>
      <c r="IDO28" t="s">
        <v>6984</v>
      </c>
      <c r="IDP28" t="s">
        <v>6984</v>
      </c>
      <c r="IDQ28" t="s">
        <v>6984</v>
      </c>
      <c r="IDR28" t="s">
        <v>6984</v>
      </c>
      <c r="IDS28" t="s">
        <v>6984</v>
      </c>
      <c r="IDT28" t="s">
        <v>6984</v>
      </c>
      <c r="IDU28" t="s">
        <v>6984</v>
      </c>
      <c r="IDV28" t="s">
        <v>6984</v>
      </c>
      <c r="IDW28" t="s">
        <v>6984</v>
      </c>
      <c r="IDX28" t="s">
        <v>6984</v>
      </c>
      <c r="IDY28" t="s">
        <v>6984</v>
      </c>
      <c r="IDZ28" t="s">
        <v>6984</v>
      </c>
      <c r="IEA28" t="s">
        <v>6984</v>
      </c>
      <c r="IEB28" t="s">
        <v>6984</v>
      </c>
      <c r="IEC28" t="s">
        <v>6984</v>
      </c>
      <c r="IED28" t="s">
        <v>6984</v>
      </c>
      <c r="IEE28" t="s">
        <v>6984</v>
      </c>
      <c r="IEF28" t="s">
        <v>6984</v>
      </c>
      <c r="IEG28" t="s">
        <v>6984</v>
      </c>
      <c r="IEH28" t="s">
        <v>6984</v>
      </c>
      <c r="IEI28" t="s">
        <v>6984</v>
      </c>
      <c r="IEJ28" t="s">
        <v>6984</v>
      </c>
      <c r="IEK28" t="s">
        <v>6984</v>
      </c>
      <c r="IEL28" t="s">
        <v>6984</v>
      </c>
      <c r="IEM28" t="s">
        <v>6984</v>
      </c>
      <c r="IEN28" t="s">
        <v>6984</v>
      </c>
      <c r="IEO28" t="s">
        <v>6984</v>
      </c>
      <c r="IEP28" t="s">
        <v>6984</v>
      </c>
      <c r="IEQ28" t="s">
        <v>6984</v>
      </c>
      <c r="IER28" t="s">
        <v>6984</v>
      </c>
      <c r="IES28" t="s">
        <v>6984</v>
      </c>
      <c r="IET28" t="s">
        <v>6984</v>
      </c>
      <c r="IEU28" t="s">
        <v>6984</v>
      </c>
      <c r="IEV28" t="s">
        <v>6984</v>
      </c>
      <c r="IEW28" t="s">
        <v>6984</v>
      </c>
      <c r="IEX28" t="s">
        <v>6984</v>
      </c>
      <c r="IEY28" t="s">
        <v>6984</v>
      </c>
      <c r="IEZ28" t="s">
        <v>6984</v>
      </c>
      <c r="IFA28" t="s">
        <v>6984</v>
      </c>
      <c r="IFB28" t="s">
        <v>6984</v>
      </c>
      <c r="IFC28" t="s">
        <v>6984</v>
      </c>
      <c r="IFD28" t="s">
        <v>6984</v>
      </c>
      <c r="IFE28" t="s">
        <v>6984</v>
      </c>
      <c r="IFF28" t="s">
        <v>6984</v>
      </c>
      <c r="IFG28" t="s">
        <v>6984</v>
      </c>
      <c r="IFH28" t="s">
        <v>6984</v>
      </c>
      <c r="IFI28" t="s">
        <v>6984</v>
      </c>
      <c r="IFJ28" t="s">
        <v>6984</v>
      </c>
      <c r="IFK28" t="s">
        <v>6984</v>
      </c>
      <c r="IFL28" t="s">
        <v>6984</v>
      </c>
      <c r="IFM28" t="s">
        <v>6984</v>
      </c>
      <c r="IFN28" t="s">
        <v>6984</v>
      </c>
      <c r="IFO28" t="s">
        <v>6984</v>
      </c>
      <c r="IFP28" t="s">
        <v>6984</v>
      </c>
      <c r="IFQ28" t="s">
        <v>6984</v>
      </c>
      <c r="IFR28" t="s">
        <v>6984</v>
      </c>
      <c r="IFS28" t="s">
        <v>6984</v>
      </c>
      <c r="IFT28" t="s">
        <v>6984</v>
      </c>
      <c r="IFU28" t="s">
        <v>6984</v>
      </c>
      <c r="IFV28" t="s">
        <v>6984</v>
      </c>
      <c r="IFW28" t="s">
        <v>6984</v>
      </c>
      <c r="IFX28" t="s">
        <v>6984</v>
      </c>
      <c r="IFY28" t="s">
        <v>6984</v>
      </c>
      <c r="IFZ28" t="s">
        <v>6984</v>
      </c>
      <c r="IGA28" t="s">
        <v>6984</v>
      </c>
      <c r="IGB28" t="s">
        <v>6984</v>
      </c>
      <c r="IGC28" t="s">
        <v>6984</v>
      </c>
      <c r="IGD28" t="s">
        <v>6984</v>
      </c>
      <c r="IGE28" t="s">
        <v>6984</v>
      </c>
      <c r="IGF28" t="s">
        <v>6984</v>
      </c>
      <c r="IGG28" t="s">
        <v>6984</v>
      </c>
      <c r="IGH28" t="s">
        <v>6984</v>
      </c>
      <c r="IGI28" t="s">
        <v>6984</v>
      </c>
      <c r="IGJ28" t="s">
        <v>6984</v>
      </c>
      <c r="IGK28" t="s">
        <v>6984</v>
      </c>
      <c r="IGL28" t="s">
        <v>6984</v>
      </c>
      <c r="IGM28" t="s">
        <v>6984</v>
      </c>
      <c r="IGN28" t="s">
        <v>6984</v>
      </c>
      <c r="IGO28" t="s">
        <v>6984</v>
      </c>
      <c r="IGP28" t="s">
        <v>6984</v>
      </c>
      <c r="IGQ28" t="s">
        <v>6984</v>
      </c>
      <c r="IGR28" t="s">
        <v>6984</v>
      </c>
      <c r="IGS28" t="s">
        <v>6984</v>
      </c>
      <c r="IGT28" t="s">
        <v>6984</v>
      </c>
      <c r="IGU28" t="s">
        <v>6984</v>
      </c>
      <c r="IGV28" t="s">
        <v>6984</v>
      </c>
      <c r="IGW28" t="s">
        <v>6984</v>
      </c>
      <c r="IGX28" t="s">
        <v>6984</v>
      </c>
      <c r="IGY28" t="s">
        <v>6984</v>
      </c>
      <c r="IGZ28" t="s">
        <v>6984</v>
      </c>
      <c r="IHA28" t="s">
        <v>6984</v>
      </c>
      <c r="IHB28" t="s">
        <v>6984</v>
      </c>
      <c r="IHC28" t="s">
        <v>6984</v>
      </c>
      <c r="IHD28" t="s">
        <v>6984</v>
      </c>
      <c r="IHE28" t="s">
        <v>6984</v>
      </c>
      <c r="IHF28" t="s">
        <v>6984</v>
      </c>
      <c r="IHG28" t="s">
        <v>6984</v>
      </c>
      <c r="IHH28" t="s">
        <v>6984</v>
      </c>
      <c r="IHI28" t="s">
        <v>6984</v>
      </c>
      <c r="IHJ28" t="s">
        <v>6984</v>
      </c>
      <c r="IHK28" t="s">
        <v>6984</v>
      </c>
      <c r="IHL28" t="s">
        <v>6984</v>
      </c>
      <c r="IHM28" t="s">
        <v>6984</v>
      </c>
      <c r="IHN28" t="s">
        <v>6984</v>
      </c>
      <c r="IHO28" t="s">
        <v>6984</v>
      </c>
      <c r="IHP28" t="s">
        <v>6984</v>
      </c>
      <c r="IHQ28" t="s">
        <v>6984</v>
      </c>
      <c r="IHR28" t="s">
        <v>6984</v>
      </c>
      <c r="IHS28" t="s">
        <v>6984</v>
      </c>
      <c r="IHT28" t="s">
        <v>6984</v>
      </c>
      <c r="IHU28" t="s">
        <v>6984</v>
      </c>
      <c r="IHV28" t="s">
        <v>6984</v>
      </c>
      <c r="IHW28" t="s">
        <v>6984</v>
      </c>
      <c r="IHX28" t="s">
        <v>6984</v>
      </c>
      <c r="IHY28" t="s">
        <v>6984</v>
      </c>
      <c r="IHZ28" t="s">
        <v>6984</v>
      </c>
      <c r="IIA28" t="s">
        <v>6984</v>
      </c>
      <c r="IIB28" t="s">
        <v>6984</v>
      </c>
      <c r="IIC28" t="s">
        <v>6984</v>
      </c>
      <c r="IID28" t="s">
        <v>6984</v>
      </c>
      <c r="IIE28" t="s">
        <v>6984</v>
      </c>
      <c r="IIF28" t="s">
        <v>6984</v>
      </c>
      <c r="IIG28" t="s">
        <v>6984</v>
      </c>
      <c r="IIH28" t="s">
        <v>6984</v>
      </c>
      <c r="III28" t="s">
        <v>6984</v>
      </c>
      <c r="IIJ28" t="s">
        <v>6984</v>
      </c>
      <c r="IIK28" t="s">
        <v>6984</v>
      </c>
      <c r="IIL28" t="s">
        <v>6984</v>
      </c>
      <c r="IIM28" t="s">
        <v>6984</v>
      </c>
      <c r="IIN28" t="s">
        <v>6984</v>
      </c>
      <c r="IIO28" t="s">
        <v>6984</v>
      </c>
      <c r="IIP28" t="s">
        <v>6984</v>
      </c>
      <c r="IIQ28" t="s">
        <v>6984</v>
      </c>
      <c r="IIR28" t="s">
        <v>6984</v>
      </c>
      <c r="IIS28" t="s">
        <v>6984</v>
      </c>
      <c r="IIT28" t="s">
        <v>6984</v>
      </c>
      <c r="IIU28" t="s">
        <v>6984</v>
      </c>
      <c r="IIV28" t="s">
        <v>6984</v>
      </c>
      <c r="IIW28" t="s">
        <v>6984</v>
      </c>
      <c r="IIX28" t="s">
        <v>6984</v>
      </c>
      <c r="IIY28" t="s">
        <v>6984</v>
      </c>
      <c r="IIZ28" t="s">
        <v>6984</v>
      </c>
      <c r="IJA28" t="s">
        <v>6984</v>
      </c>
      <c r="IJB28" t="s">
        <v>6984</v>
      </c>
      <c r="IJC28" t="s">
        <v>6984</v>
      </c>
      <c r="IJD28" t="s">
        <v>6984</v>
      </c>
      <c r="IJE28" t="s">
        <v>6984</v>
      </c>
      <c r="IJF28" t="s">
        <v>6984</v>
      </c>
      <c r="IJG28" t="s">
        <v>6984</v>
      </c>
      <c r="IJH28" t="s">
        <v>6984</v>
      </c>
      <c r="IJI28" t="s">
        <v>6984</v>
      </c>
      <c r="IJJ28" t="s">
        <v>6984</v>
      </c>
      <c r="IJK28" t="s">
        <v>6984</v>
      </c>
      <c r="IJL28" t="s">
        <v>6984</v>
      </c>
      <c r="IJM28" t="s">
        <v>6984</v>
      </c>
      <c r="IJN28" t="s">
        <v>6984</v>
      </c>
      <c r="IJO28" t="s">
        <v>6984</v>
      </c>
      <c r="IJP28" t="s">
        <v>6984</v>
      </c>
      <c r="IJQ28" t="s">
        <v>6984</v>
      </c>
      <c r="IJR28" t="s">
        <v>6984</v>
      </c>
      <c r="IJS28" t="s">
        <v>6984</v>
      </c>
      <c r="IJT28" t="s">
        <v>6984</v>
      </c>
      <c r="IJU28" t="s">
        <v>6984</v>
      </c>
      <c r="IJV28" t="s">
        <v>6984</v>
      </c>
      <c r="IJW28" t="s">
        <v>6984</v>
      </c>
      <c r="IJX28" t="s">
        <v>6984</v>
      </c>
      <c r="IJY28" t="s">
        <v>6984</v>
      </c>
      <c r="IJZ28" t="s">
        <v>6984</v>
      </c>
      <c r="IKA28" t="s">
        <v>6984</v>
      </c>
      <c r="IKB28" t="s">
        <v>6984</v>
      </c>
      <c r="IKC28" t="s">
        <v>6984</v>
      </c>
      <c r="IKD28" t="s">
        <v>6984</v>
      </c>
      <c r="IKE28" t="s">
        <v>6984</v>
      </c>
      <c r="IKF28" t="s">
        <v>6984</v>
      </c>
      <c r="IKG28" t="s">
        <v>6984</v>
      </c>
      <c r="IKH28" t="s">
        <v>6984</v>
      </c>
      <c r="IKI28" t="s">
        <v>6984</v>
      </c>
      <c r="IKJ28" t="s">
        <v>6984</v>
      </c>
      <c r="IKK28" t="s">
        <v>6984</v>
      </c>
      <c r="IKL28" t="s">
        <v>6984</v>
      </c>
      <c r="IKM28" t="s">
        <v>6984</v>
      </c>
      <c r="IKN28" t="s">
        <v>6984</v>
      </c>
      <c r="IKO28" t="s">
        <v>6984</v>
      </c>
      <c r="IKP28" t="s">
        <v>6984</v>
      </c>
      <c r="IKQ28" t="s">
        <v>6984</v>
      </c>
      <c r="IKR28" t="s">
        <v>6984</v>
      </c>
      <c r="IKS28" t="s">
        <v>6984</v>
      </c>
      <c r="IKT28" t="s">
        <v>6984</v>
      </c>
      <c r="IKU28" t="s">
        <v>6984</v>
      </c>
      <c r="IKV28" t="s">
        <v>6984</v>
      </c>
      <c r="IKW28" t="s">
        <v>6984</v>
      </c>
      <c r="IKX28" t="s">
        <v>6984</v>
      </c>
      <c r="IKY28" t="s">
        <v>6984</v>
      </c>
      <c r="IKZ28" t="s">
        <v>6984</v>
      </c>
      <c r="ILA28" t="s">
        <v>6984</v>
      </c>
      <c r="ILB28" t="s">
        <v>6984</v>
      </c>
      <c r="ILC28" t="s">
        <v>6984</v>
      </c>
      <c r="ILD28" t="s">
        <v>6984</v>
      </c>
      <c r="ILE28" t="s">
        <v>6984</v>
      </c>
      <c r="ILF28" t="s">
        <v>6984</v>
      </c>
      <c r="ILG28" t="s">
        <v>6984</v>
      </c>
      <c r="ILH28" t="s">
        <v>6984</v>
      </c>
      <c r="ILI28" t="s">
        <v>6984</v>
      </c>
      <c r="ILJ28" t="s">
        <v>6984</v>
      </c>
      <c r="ILK28" t="s">
        <v>6984</v>
      </c>
      <c r="ILL28" t="s">
        <v>6984</v>
      </c>
      <c r="ILM28" t="s">
        <v>6984</v>
      </c>
      <c r="ILN28" t="s">
        <v>6984</v>
      </c>
      <c r="ILO28" t="s">
        <v>6984</v>
      </c>
      <c r="ILP28" t="s">
        <v>6984</v>
      </c>
      <c r="ILQ28" t="s">
        <v>6984</v>
      </c>
      <c r="ILR28" t="s">
        <v>6984</v>
      </c>
      <c r="ILS28" t="s">
        <v>6984</v>
      </c>
      <c r="ILT28" t="s">
        <v>6984</v>
      </c>
      <c r="ILU28" t="s">
        <v>6984</v>
      </c>
      <c r="ILV28" t="s">
        <v>6984</v>
      </c>
      <c r="ILW28" t="s">
        <v>6984</v>
      </c>
      <c r="ILX28" t="s">
        <v>6984</v>
      </c>
      <c r="ILY28" t="s">
        <v>6984</v>
      </c>
      <c r="ILZ28" t="s">
        <v>6984</v>
      </c>
      <c r="IMA28" t="s">
        <v>6984</v>
      </c>
      <c r="IMB28" t="s">
        <v>6984</v>
      </c>
      <c r="IMC28" t="s">
        <v>6984</v>
      </c>
      <c r="IMD28" t="s">
        <v>6984</v>
      </c>
      <c r="IME28" t="s">
        <v>6984</v>
      </c>
      <c r="IMF28" t="s">
        <v>6984</v>
      </c>
      <c r="IMG28" t="s">
        <v>6984</v>
      </c>
      <c r="IMH28" t="s">
        <v>6984</v>
      </c>
      <c r="IMI28" t="s">
        <v>6984</v>
      </c>
      <c r="IMJ28" t="s">
        <v>6984</v>
      </c>
      <c r="IMK28" t="s">
        <v>6984</v>
      </c>
      <c r="IML28" t="s">
        <v>6984</v>
      </c>
      <c r="IMM28" t="s">
        <v>6984</v>
      </c>
      <c r="IMN28" t="s">
        <v>6984</v>
      </c>
      <c r="IMO28" t="s">
        <v>6984</v>
      </c>
      <c r="IMP28" t="s">
        <v>6984</v>
      </c>
      <c r="IMQ28" t="s">
        <v>6984</v>
      </c>
      <c r="IMR28" t="s">
        <v>6984</v>
      </c>
      <c r="IMS28" t="s">
        <v>6984</v>
      </c>
      <c r="IMT28" t="s">
        <v>6984</v>
      </c>
      <c r="IMU28" t="s">
        <v>6984</v>
      </c>
      <c r="IMV28" t="s">
        <v>6984</v>
      </c>
      <c r="IMW28" t="s">
        <v>6984</v>
      </c>
      <c r="IMX28" t="s">
        <v>6984</v>
      </c>
      <c r="IMY28" t="s">
        <v>6984</v>
      </c>
      <c r="IMZ28" t="s">
        <v>6984</v>
      </c>
      <c r="INA28" t="s">
        <v>6984</v>
      </c>
      <c r="INB28" t="s">
        <v>6984</v>
      </c>
      <c r="INC28" t="s">
        <v>6984</v>
      </c>
      <c r="IND28" t="s">
        <v>6984</v>
      </c>
      <c r="INE28" t="s">
        <v>6984</v>
      </c>
      <c r="INF28" t="s">
        <v>6984</v>
      </c>
      <c r="ING28" t="s">
        <v>6984</v>
      </c>
      <c r="INH28" t="s">
        <v>6984</v>
      </c>
      <c r="INI28" t="s">
        <v>6984</v>
      </c>
      <c r="INJ28" t="s">
        <v>6984</v>
      </c>
      <c r="INK28" t="s">
        <v>6984</v>
      </c>
      <c r="INL28" t="s">
        <v>6984</v>
      </c>
      <c r="INM28" t="s">
        <v>6984</v>
      </c>
      <c r="INN28" t="s">
        <v>6984</v>
      </c>
      <c r="INO28" t="s">
        <v>6984</v>
      </c>
      <c r="INP28" t="s">
        <v>6984</v>
      </c>
      <c r="INQ28" t="s">
        <v>6984</v>
      </c>
      <c r="INR28" t="s">
        <v>6984</v>
      </c>
      <c r="INS28" t="s">
        <v>6984</v>
      </c>
      <c r="INT28" t="s">
        <v>6984</v>
      </c>
      <c r="INU28" t="s">
        <v>6984</v>
      </c>
      <c r="INV28" t="s">
        <v>6984</v>
      </c>
      <c r="INW28" t="s">
        <v>6984</v>
      </c>
      <c r="INX28" t="s">
        <v>6984</v>
      </c>
      <c r="INY28" t="s">
        <v>6984</v>
      </c>
      <c r="INZ28" t="s">
        <v>6984</v>
      </c>
      <c r="IOA28" t="s">
        <v>6984</v>
      </c>
      <c r="IOB28" t="s">
        <v>6984</v>
      </c>
      <c r="IOC28" t="s">
        <v>6984</v>
      </c>
      <c r="IOD28" t="s">
        <v>6984</v>
      </c>
      <c r="IOE28" t="s">
        <v>6984</v>
      </c>
      <c r="IOF28" t="s">
        <v>6984</v>
      </c>
      <c r="IOG28" t="s">
        <v>6984</v>
      </c>
      <c r="IOH28" t="s">
        <v>6984</v>
      </c>
      <c r="IOI28" t="s">
        <v>6984</v>
      </c>
      <c r="IOJ28" t="s">
        <v>6984</v>
      </c>
      <c r="IOK28" t="s">
        <v>6984</v>
      </c>
      <c r="IOL28" t="s">
        <v>6984</v>
      </c>
      <c r="IOM28" t="s">
        <v>6984</v>
      </c>
      <c r="ION28" t="s">
        <v>6984</v>
      </c>
      <c r="IOO28" t="s">
        <v>6984</v>
      </c>
      <c r="IOP28" t="s">
        <v>6984</v>
      </c>
      <c r="IOQ28" t="s">
        <v>6984</v>
      </c>
      <c r="IOR28" t="s">
        <v>6984</v>
      </c>
      <c r="IOS28" t="s">
        <v>6984</v>
      </c>
      <c r="IOT28" t="s">
        <v>6984</v>
      </c>
      <c r="IOU28" t="s">
        <v>6984</v>
      </c>
      <c r="IOV28" t="s">
        <v>6984</v>
      </c>
      <c r="IOW28" t="s">
        <v>6984</v>
      </c>
      <c r="IOX28" t="s">
        <v>6984</v>
      </c>
      <c r="IOY28" t="s">
        <v>6984</v>
      </c>
      <c r="IOZ28" t="s">
        <v>6984</v>
      </c>
      <c r="IPA28" t="s">
        <v>6984</v>
      </c>
      <c r="IPB28" t="s">
        <v>6984</v>
      </c>
      <c r="IPC28" t="s">
        <v>6984</v>
      </c>
      <c r="IPD28" t="s">
        <v>6984</v>
      </c>
      <c r="IPE28" t="s">
        <v>6984</v>
      </c>
      <c r="IPF28" t="s">
        <v>6984</v>
      </c>
      <c r="IPG28" t="s">
        <v>6984</v>
      </c>
      <c r="IPH28" t="s">
        <v>6984</v>
      </c>
      <c r="IPI28" t="s">
        <v>6984</v>
      </c>
      <c r="IPJ28" t="s">
        <v>6984</v>
      </c>
      <c r="IPK28" t="s">
        <v>6984</v>
      </c>
      <c r="IPL28" t="s">
        <v>6984</v>
      </c>
      <c r="IPM28" t="s">
        <v>6984</v>
      </c>
      <c r="IPN28" t="s">
        <v>6984</v>
      </c>
      <c r="IPO28" t="s">
        <v>6984</v>
      </c>
      <c r="IPP28" t="s">
        <v>6984</v>
      </c>
      <c r="IPQ28" t="s">
        <v>6984</v>
      </c>
      <c r="IPR28" t="s">
        <v>6984</v>
      </c>
      <c r="IPS28" t="s">
        <v>6984</v>
      </c>
      <c r="IPT28" t="s">
        <v>6984</v>
      </c>
      <c r="IPU28" t="s">
        <v>6984</v>
      </c>
      <c r="IPV28" t="s">
        <v>6984</v>
      </c>
      <c r="IPW28" t="s">
        <v>6984</v>
      </c>
      <c r="IPX28" t="s">
        <v>6984</v>
      </c>
      <c r="IPY28" t="s">
        <v>6984</v>
      </c>
      <c r="IPZ28" t="s">
        <v>6984</v>
      </c>
      <c r="IQA28" t="s">
        <v>6984</v>
      </c>
      <c r="IQB28" t="s">
        <v>6984</v>
      </c>
      <c r="IQC28" t="s">
        <v>6984</v>
      </c>
      <c r="IQD28" t="s">
        <v>6984</v>
      </c>
      <c r="IQE28" t="s">
        <v>6984</v>
      </c>
      <c r="IQF28" t="s">
        <v>6984</v>
      </c>
      <c r="IQG28" t="s">
        <v>6984</v>
      </c>
      <c r="IQH28" t="s">
        <v>6984</v>
      </c>
      <c r="IQI28" t="s">
        <v>6984</v>
      </c>
      <c r="IQJ28" t="s">
        <v>6984</v>
      </c>
      <c r="IQK28" t="s">
        <v>6984</v>
      </c>
      <c r="IQL28" t="s">
        <v>6984</v>
      </c>
      <c r="IQM28" t="s">
        <v>6984</v>
      </c>
      <c r="IQN28" t="s">
        <v>6984</v>
      </c>
      <c r="IQO28" t="s">
        <v>6984</v>
      </c>
      <c r="IQP28" t="s">
        <v>6984</v>
      </c>
      <c r="IQQ28" t="s">
        <v>6984</v>
      </c>
      <c r="IQR28" t="s">
        <v>6984</v>
      </c>
      <c r="IQS28" t="s">
        <v>6984</v>
      </c>
      <c r="IQT28" t="s">
        <v>6984</v>
      </c>
      <c r="IQU28" t="s">
        <v>6984</v>
      </c>
      <c r="IQV28" t="s">
        <v>6984</v>
      </c>
      <c r="IQW28" t="s">
        <v>6984</v>
      </c>
      <c r="IQX28" t="s">
        <v>6984</v>
      </c>
      <c r="IQY28" t="s">
        <v>6984</v>
      </c>
      <c r="IQZ28" t="s">
        <v>6984</v>
      </c>
      <c r="IRA28" t="s">
        <v>6984</v>
      </c>
      <c r="IRB28" t="s">
        <v>6984</v>
      </c>
      <c r="IRC28" t="s">
        <v>6984</v>
      </c>
      <c r="IRD28" t="s">
        <v>6984</v>
      </c>
      <c r="IRE28" t="s">
        <v>6984</v>
      </c>
      <c r="IRF28" t="s">
        <v>6984</v>
      </c>
      <c r="IRG28" t="s">
        <v>6984</v>
      </c>
      <c r="IRH28" t="s">
        <v>6984</v>
      </c>
      <c r="IRI28" t="s">
        <v>6984</v>
      </c>
      <c r="IRJ28" t="s">
        <v>6984</v>
      </c>
      <c r="IRK28" t="s">
        <v>6984</v>
      </c>
      <c r="IRL28" t="s">
        <v>6984</v>
      </c>
      <c r="IRM28" t="s">
        <v>6984</v>
      </c>
      <c r="IRN28" t="s">
        <v>6984</v>
      </c>
      <c r="IRO28" t="s">
        <v>6984</v>
      </c>
      <c r="IRP28" t="s">
        <v>6984</v>
      </c>
      <c r="IRQ28" t="s">
        <v>6984</v>
      </c>
      <c r="IRR28" t="s">
        <v>6984</v>
      </c>
      <c r="IRS28" t="s">
        <v>6984</v>
      </c>
      <c r="IRT28" t="s">
        <v>6984</v>
      </c>
      <c r="IRU28" t="s">
        <v>6984</v>
      </c>
      <c r="IRV28" t="s">
        <v>6984</v>
      </c>
      <c r="IRW28" t="s">
        <v>6984</v>
      </c>
      <c r="IRX28" t="s">
        <v>6984</v>
      </c>
      <c r="IRY28" t="s">
        <v>6984</v>
      </c>
      <c r="IRZ28" t="s">
        <v>6984</v>
      </c>
      <c r="ISA28" t="s">
        <v>6984</v>
      </c>
      <c r="ISB28" t="s">
        <v>6984</v>
      </c>
      <c r="ISC28" t="s">
        <v>6984</v>
      </c>
      <c r="ISD28" t="s">
        <v>6984</v>
      </c>
      <c r="ISE28" t="s">
        <v>6984</v>
      </c>
      <c r="ISF28" t="s">
        <v>6984</v>
      </c>
      <c r="ISG28" t="s">
        <v>6984</v>
      </c>
      <c r="ISH28" t="s">
        <v>6984</v>
      </c>
      <c r="ISI28" t="s">
        <v>6984</v>
      </c>
      <c r="ISJ28" t="s">
        <v>6984</v>
      </c>
      <c r="ISK28" t="s">
        <v>6984</v>
      </c>
      <c r="ISL28" t="s">
        <v>6984</v>
      </c>
      <c r="ISM28" t="s">
        <v>6984</v>
      </c>
      <c r="ISN28" t="s">
        <v>6984</v>
      </c>
      <c r="ISO28" t="s">
        <v>6984</v>
      </c>
      <c r="ISP28" t="s">
        <v>6984</v>
      </c>
      <c r="ISQ28" t="s">
        <v>6984</v>
      </c>
      <c r="ISR28" t="s">
        <v>6984</v>
      </c>
      <c r="ISS28" t="s">
        <v>6984</v>
      </c>
      <c r="IST28" t="s">
        <v>6984</v>
      </c>
      <c r="ISU28" t="s">
        <v>6984</v>
      </c>
      <c r="ISV28" t="s">
        <v>6984</v>
      </c>
      <c r="ISW28" t="s">
        <v>6984</v>
      </c>
      <c r="ISX28" t="s">
        <v>6984</v>
      </c>
      <c r="ISY28" t="s">
        <v>6984</v>
      </c>
      <c r="ISZ28" t="s">
        <v>6984</v>
      </c>
      <c r="ITA28" t="s">
        <v>6984</v>
      </c>
      <c r="ITB28" t="s">
        <v>6984</v>
      </c>
      <c r="ITC28" t="s">
        <v>6984</v>
      </c>
      <c r="ITD28" t="s">
        <v>6984</v>
      </c>
      <c r="ITE28" t="s">
        <v>6984</v>
      </c>
      <c r="ITF28" t="s">
        <v>6984</v>
      </c>
      <c r="ITG28" t="s">
        <v>6984</v>
      </c>
      <c r="ITH28" t="s">
        <v>6984</v>
      </c>
      <c r="ITI28" t="s">
        <v>6984</v>
      </c>
      <c r="ITJ28" t="s">
        <v>6984</v>
      </c>
      <c r="ITK28" t="s">
        <v>6984</v>
      </c>
      <c r="ITL28" t="s">
        <v>6984</v>
      </c>
      <c r="ITM28" t="s">
        <v>6984</v>
      </c>
      <c r="ITN28" t="s">
        <v>6984</v>
      </c>
      <c r="ITO28" t="s">
        <v>6984</v>
      </c>
      <c r="ITP28" t="s">
        <v>6984</v>
      </c>
      <c r="ITQ28" t="s">
        <v>6984</v>
      </c>
      <c r="ITR28" t="s">
        <v>6984</v>
      </c>
      <c r="ITS28" t="s">
        <v>6984</v>
      </c>
      <c r="ITT28" t="s">
        <v>6984</v>
      </c>
      <c r="ITU28" t="s">
        <v>6984</v>
      </c>
      <c r="ITV28" t="s">
        <v>6984</v>
      </c>
      <c r="ITW28" t="s">
        <v>6984</v>
      </c>
      <c r="ITX28" t="s">
        <v>6984</v>
      </c>
      <c r="ITY28" t="s">
        <v>6984</v>
      </c>
      <c r="ITZ28" t="s">
        <v>6984</v>
      </c>
      <c r="IUA28" t="s">
        <v>6984</v>
      </c>
      <c r="IUB28" t="s">
        <v>6984</v>
      </c>
      <c r="IUC28" t="s">
        <v>6984</v>
      </c>
      <c r="IUD28" t="s">
        <v>6984</v>
      </c>
      <c r="IUE28" t="s">
        <v>6984</v>
      </c>
      <c r="IUF28" t="s">
        <v>6984</v>
      </c>
      <c r="IUG28" t="s">
        <v>6984</v>
      </c>
      <c r="IUH28" t="s">
        <v>6984</v>
      </c>
      <c r="IUI28" t="s">
        <v>6984</v>
      </c>
      <c r="IUJ28" t="s">
        <v>6984</v>
      </c>
      <c r="IUK28" t="s">
        <v>6984</v>
      </c>
      <c r="IUL28" t="s">
        <v>6984</v>
      </c>
      <c r="IUM28" t="s">
        <v>6984</v>
      </c>
      <c r="IUN28" t="s">
        <v>6984</v>
      </c>
      <c r="IUO28" t="s">
        <v>6984</v>
      </c>
      <c r="IUP28" t="s">
        <v>6984</v>
      </c>
      <c r="IUQ28" t="s">
        <v>6984</v>
      </c>
      <c r="IUR28" t="s">
        <v>6984</v>
      </c>
      <c r="IUS28" t="s">
        <v>6984</v>
      </c>
      <c r="IUT28" t="s">
        <v>6984</v>
      </c>
      <c r="IUU28" t="s">
        <v>6984</v>
      </c>
      <c r="IUV28" t="s">
        <v>6984</v>
      </c>
      <c r="IUW28" t="s">
        <v>6984</v>
      </c>
      <c r="IUX28" t="s">
        <v>6984</v>
      </c>
      <c r="IUY28" t="s">
        <v>6984</v>
      </c>
      <c r="IUZ28" t="s">
        <v>6984</v>
      </c>
      <c r="IVA28" t="s">
        <v>6984</v>
      </c>
      <c r="IVB28" t="s">
        <v>6984</v>
      </c>
      <c r="IVC28" t="s">
        <v>6984</v>
      </c>
      <c r="IVD28" t="s">
        <v>6984</v>
      </c>
      <c r="IVE28" t="s">
        <v>6984</v>
      </c>
      <c r="IVF28" t="s">
        <v>6984</v>
      </c>
      <c r="IVG28" t="s">
        <v>6984</v>
      </c>
      <c r="IVH28" t="s">
        <v>6984</v>
      </c>
      <c r="IVI28" t="s">
        <v>6984</v>
      </c>
      <c r="IVJ28" t="s">
        <v>6984</v>
      </c>
      <c r="IVK28" t="s">
        <v>6984</v>
      </c>
      <c r="IVL28" t="s">
        <v>6984</v>
      </c>
      <c r="IVM28" t="s">
        <v>6984</v>
      </c>
      <c r="IVN28" t="s">
        <v>6984</v>
      </c>
      <c r="IVO28" t="s">
        <v>6984</v>
      </c>
      <c r="IVP28" t="s">
        <v>6984</v>
      </c>
      <c r="IVQ28" t="s">
        <v>6984</v>
      </c>
      <c r="IVR28" t="s">
        <v>6984</v>
      </c>
      <c r="IVS28" t="s">
        <v>6984</v>
      </c>
      <c r="IVT28" t="s">
        <v>6984</v>
      </c>
      <c r="IVU28" t="s">
        <v>6984</v>
      </c>
      <c r="IVV28" t="s">
        <v>6984</v>
      </c>
      <c r="IVW28" t="s">
        <v>6984</v>
      </c>
      <c r="IVX28" t="s">
        <v>6984</v>
      </c>
      <c r="IVY28" t="s">
        <v>6984</v>
      </c>
      <c r="IVZ28" t="s">
        <v>6984</v>
      </c>
      <c r="IWA28" t="s">
        <v>6984</v>
      </c>
      <c r="IWB28" t="s">
        <v>6984</v>
      </c>
      <c r="IWC28" t="s">
        <v>6984</v>
      </c>
      <c r="IWD28" t="s">
        <v>6984</v>
      </c>
      <c r="IWE28" t="s">
        <v>6984</v>
      </c>
      <c r="IWF28" t="s">
        <v>6984</v>
      </c>
      <c r="IWG28" t="s">
        <v>6984</v>
      </c>
      <c r="IWH28" t="s">
        <v>6984</v>
      </c>
      <c r="IWI28" t="s">
        <v>6984</v>
      </c>
      <c r="IWJ28" t="s">
        <v>6984</v>
      </c>
      <c r="IWK28" t="s">
        <v>6984</v>
      </c>
      <c r="IWL28" t="s">
        <v>6984</v>
      </c>
      <c r="IWM28" t="s">
        <v>6984</v>
      </c>
      <c r="IWN28" t="s">
        <v>6984</v>
      </c>
      <c r="IWO28" t="s">
        <v>6984</v>
      </c>
      <c r="IWP28" t="s">
        <v>6984</v>
      </c>
      <c r="IWQ28" t="s">
        <v>6984</v>
      </c>
      <c r="IWR28" t="s">
        <v>6984</v>
      </c>
      <c r="IWS28" t="s">
        <v>6984</v>
      </c>
      <c r="IWT28" t="s">
        <v>6984</v>
      </c>
      <c r="IWU28" t="s">
        <v>6984</v>
      </c>
      <c r="IWV28" t="s">
        <v>6984</v>
      </c>
      <c r="IWW28" t="s">
        <v>6984</v>
      </c>
      <c r="IWX28" t="s">
        <v>6984</v>
      </c>
      <c r="IWY28" t="s">
        <v>6984</v>
      </c>
      <c r="IWZ28" t="s">
        <v>6984</v>
      </c>
      <c r="IXA28" t="s">
        <v>6984</v>
      </c>
      <c r="IXB28" t="s">
        <v>6984</v>
      </c>
      <c r="IXC28" t="s">
        <v>6984</v>
      </c>
      <c r="IXD28" t="s">
        <v>6984</v>
      </c>
      <c r="IXE28" t="s">
        <v>6984</v>
      </c>
      <c r="IXF28" t="s">
        <v>6984</v>
      </c>
      <c r="IXG28" t="s">
        <v>6984</v>
      </c>
      <c r="IXH28" t="s">
        <v>6984</v>
      </c>
      <c r="IXI28" t="s">
        <v>6984</v>
      </c>
      <c r="IXJ28" t="s">
        <v>6984</v>
      </c>
      <c r="IXK28" t="s">
        <v>6984</v>
      </c>
      <c r="IXL28" t="s">
        <v>6984</v>
      </c>
      <c r="IXM28" t="s">
        <v>6984</v>
      </c>
      <c r="IXN28" t="s">
        <v>6984</v>
      </c>
      <c r="IXO28" t="s">
        <v>6984</v>
      </c>
      <c r="IXP28" t="s">
        <v>6984</v>
      </c>
      <c r="IXQ28" t="s">
        <v>6984</v>
      </c>
      <c r="IXR28" t="s">
        <v>6984</v>
      </c>
      <c r="IXS28" t="s">
        <v>6984</v>
      </c>
      <c r="IXT28" t="s">
        <v>6984</v>
      </c>
      <c r="IXU28" t="s">
        <v>6984</v>
      </c>
      <c r="IXV28" t="s">
        <v>6984</v>
      </c>
      <c r="IXW28" t="s">
        <v>6984</v>
      </c>
      <c r="IXX28" t="s">
        <v>6984</v>
      </c>
      <c r="IXY28" t="s">
        <v>6984</v>
      </c>
      <c r="IXZ28" t="s">
        <v>6984</v>
      </c>
      <c r="IYA28" t="s">
        <v>6984</v>
      </c>
      <c r="IYB28" t="s">
        <v>6984</v>
      </c>
      <c r="IYC28" t="s">
        <v>6984</v>
      </c>
      <c r="IYD28" t="s">
        <v>6984</v>
      </c>
      <c r="IYE28" t="s">
        <v>6984</v>
      </c>
      <c r="IYF28" t="s">
        <v>6984</v>
      </c>
      <c r="IYG28" t="s">
        <v>6984</v>
      </c>
      <c r="IYH28" t="s">
        <v>6984</v>
      </c>
      <c r="IYI28" t="s">
        <v>6984</v>
      </c>
      <c r="IYJ28" t="s">
        <v>6984</v>
      </c>
      <c r="IYK28" t="s">
        <v>6984</v>
      </c>
      <c r="IYL28" t="s">
        <v>6984</v>
      </c>
      <c r="IYM28" t="s">
        <v>6984</v>
      </c>
      <c r="IYN28" t="s">
        <v>6984</v>
      </c>
      <c r="IYO28" t="s">
        <v>6984</v>
      </c>
      <c r="IYP28" t="s">
        <v>6984</v>
      </c>
      <c r="IYQ28" t="s">
        <v>6984</v>
      </c>
      <c r="IYR28" t="s">
        <v>6984</v>
      </c>
      <c r="IYS28" t="s">
        <v>6984</v>
      </c>
      <c r="IYT28" t="s">
        <v>6984</v>
      </c>
      <c r="IYU28" t="s">
        <v>6984</v>
      </c>
      <c r="IYV28" t="s">
        <v>6984</v>
      </c>
      <c r="IYW28" t="s">
        <v>6984</v>
      </c>
      <c r="IYX28" t="s">
        <v>6984</v>
      </c>
      <c r="IYY28" t="s">
        <v>6984</v>
      </c>
      <c r="IYZ28" t="s">
        <v>6984</v>
      </c>
      <c r="IZA28" t="s">
        <v>6984</v>
      </c>
      <c r="IZB28" t="s">
        <v>6984</v>
      </c>
      <c r="IZC28" t="s">
        <v>6984</v>
      </c>
      <c r="IZD28" t="s">
        <v>6984</v>
      </c>
      <c r="IZE28" t="s">
        <v>6984</v>
      </c>
      <c r="IZF28" t="s">
        <v>6984</v>
      </c>
      <c r="IZG28" t="s">
        <v>6984</v>
      </c>
      <c r="IZH28" t="s">
        <v>6984</v>
      </c>
      <c r="IZI28" t="s">
        <v>6984</v>
      </c>
      <c r="IZJ28" t="s">
        <v>6984</v>
      </c>
      <c r="IZK28" t="s">
        <v>6984</v>
      </c>
      <c r="IZL28" t="s">
        <v>6984</v>
      </c>
      <c r="IZM28" t="s">
        <v>6984</v>
      </c>
      <c r="IZN28" t="s">
        <v>6984</v>
      </c>
      <c r="IZO28" t="s">
        <v>6984</v>
      </c>
      <c r="IZP28" t="s">
        <v>6984</v>
      </c>
      <c r="IZQ28" t="s">
        <v>6984</v>
      </c>
      <c r="IZR28" t="s">
        <v>6984</v>
      </c>
      <c r="IZS28" t="s">
        <v>6984</v>
      </c>
      <c r="IZT28" t="s">
        <v>6984</v>
      </c>
      <c r="IZU28" t="s">
        <v>6984</v>
      </c>
      <c r="IZV28" t="s">
        <v>6984</v>
      </c>
      <c r="IZW28" t="s">
        <v>6984</v>
      </c>
      <c r="IZX28" t="s">
        <v>6984</v>
      </c>
      <c r="IZY28" t="s">
        <v>6984</v>
      </c>
      <c r="IZZ28" t="s">
        <v>6984</v>
      </c>
      <c r="JAA28" t="s">
        <v>6984</v>
      </c>
      <c r="JAB28" t="s">
        <v>6984</v>
      </c>
      <c r="JAC28" t="s">
        <v>6984</v>
      </c>
      <c r="JAD28" t="s">
        <v>6984</v>
      </c>
      <c r="JAE28" t="s">
        <v>6984</v>
      </c>
      <c r="JAF28" t="s">
        <v>6984</v>
      </c>
      <c r="JAG28" t="s">
        <v>6984</v>
      </c>
      <c r="JAH28" t="s">
        <v>6984</v>
      </c>
      <c r="JAI28" t="s">
        <v>6984</v>
      </c>
      <c r="JAJ28" t="s">
        <v>6984</v>
      </c>
      <c r="JAK28" t="s">
        <v>6984</v>
      </c>
      <c r="JAL28" t="s">
        <v>6984</v>
      </c>
      <c r="JAM28" t="s">
        <v>6984</v>
      </c>
      <c r="JAN28" t="s">
        <v>6984</v>
      </c>
      <c r="JAO28" t="s">
        <v>6984</v>
      </c>
      <c r="JAP28" t="s">
        <v>6984</v>
      </c>
      <c r="JAQ28" t="s">
        <v>6984</v>
      </c>
      <c r="JAR28" t="s">
        <v>6984</v>
      </c>
      <c r="JAS28" t="s">
        <v>6984</v>
      </c>
      <c r="JAT28" t="s">
        <v>6984</v>
      </c>
      <c r="JAU28" t="s">
        <v>6984</v>
      </c>
      <c r="JAV28" t="s">
        <v>6984</v>
      </c>
      <c r="JAW28" t="s">
        <v>6984</v>
      </c>
      <c r="JAX28" t="s">
        <v>6984</v>
      </c>
      <c r="JAY28" t="s">
        <v>6984</v>
      </c>
      <c r="JAZ28" t="s">
        <v>6984</v>
      </c>
      <c r="JBA28" t="s">
        <v>6984</v>
      </c>
      <c r="JBB28" t="s">
        <v>6984</v>
      </c>
      <c r="JBC28" t="s">
        <v>6984</v>
      </c>
      <c r="JBD28" t="s">
        <v>6984</v>
      </c>
      <c r="JBE28" t="s">
        <v>6984</v>
      </c>
      <c r="JBF28" t="s">
        <v>6984</v>
      </c>
      <c r="JBG28" t="s">
        <v>6984</v>
      </c>
      <c r="JBH28" t="s">
        <v>6984</v>
      </c>
      <c r="JBI28" t="s">
        <v>6984</v>
      </c>
      <c r="JBJ28" t="s">
        <v>6984</v>
      </c>
      <c r="JBK28" t="s">
        <v>6984</v>
      </c>
      <c r="JBL28" t="s">
        <v>6984</v>
      </c>
      <c r="JBM28" t="s">
        <v>6984</v>
      </c>
      <c r="JBN28" t="s">
        <v>6984</v>
      </c>
      <c r="JBO28" t="s">
        <v>6984</v>
      </c>
      <c r="JBP28" t="s">
        <v>6984</v>
      </c>
      <c r="JBQ28" t="s">
        <v>6984</v>
      </c>
      <c r="JBR28" t="s">
        <v>6984</v>
      </c>
      <c r="JBS28" t="s">
        <v>6984</v>
      </c>
      <c r="JBT28" t="s">
        <v>6984</v>
      </c>
      <c r="JBU28" t="s">
        <v>6984</v>
      </c>
      <c r="JBV28" t="s">
        <v>6984</v>
      </c>
      <c r="JBW28" t="s">
        <v>6984</v>
      </c>
      <c r="JBX28" t="s">
        <v>6984</v>
      </c>
      <c r="JBY28" t="s">
        <v>6984</v>
      </c>
      <c r="JBZ28" t="s">
        <v>6984</v>
      </c>
      <c r="JCA28" t="s">
        <v>6984</v>
      </c>
      <c r="JCB28" t="s">
        <v>6984</v>
      </c>
      <c r="JCC28" t="s">
        <v>6984</v>
      </c>
      <c r="JCD28" t="s">
        <v>6984</v>
      </c>
      <c r="JCE28" t="s">
        <v>6984</v>
      </c>
      <c r="JCF28" t="s">
        <v>6984</v>
      </c>
      <c r="JCG28" t="s">
        <v>6984</v>
      </c>
      <c r="JCH28" t="s">
        <v>6984</v>
      </c>
      <c r="JCI28" t="s">
        <v>6984</v>
      </c>
      <c r="JCJ28" t="s">
        <v>6984</v>
      </c>
      <c r="JCK28" t="s">
        <v>6984</v>
      </c>
      <c r="JCL28" t="s">
        <v>6984</v>
      </c>
      <c r="JCM28" t="s">
        <v>6984</v>
      </c>
      <c r="JCN28" t="s">
        <v>6984</v>
      </c>
      <c r="JCO28" t="s">
        <v>6984</v>
      </c>
      <c r="JCP28" t="s">
        <v>6984</v>
      </c>
      <c r="JCQ28" t="s">
        <v>6984</v>
      </c>
      <c r="JCR28" t="s">
        <v>6984</v>
      </c>
      <c r="JCS28" t="s">
        <v>6984</v>
      </c>
      <c r="JCT28" t="s">
        <v>6984</v>
      </c>
      <c r="JCU28" t="s">
        <v>6984</v>
      </c>
      <c r="JCV28" t="s">
        <v>6984</v>
      </c>
      <c r="JCW28" t="s">
        <v>6984</v>
      </c>
      <c r="JCX28" t="s">
        <v>6984</v>
      </c>
      <c r="JCY28" t="s">
        <v>6984</v>
      </c>
      <c r="JCZ28" t="s">
        <v>6984</v>
      </c>
      <c r="JDA28" t="s">
        <v>6984</v>
      </c>
      <c r="JDB28" t="s">
        <v>6984</v>
      </c>
      <c r="JDC28" t="s">
        <v>6984</v>
      </c>
      <c r="JDD28" t="s">
        <v>6984</v>
      </c>
      <c r="JDE28" t="s">
        <v>6984</v>
      </c>
      <c r="JDF28" t="s">
        <v>6984</v>
      </c>
      <c r="JDG28" t="s">
        <v>6984</v>
      </c>
      <c r="JDH28" t="s">
        <v>6984</v>
      </c>
      <c r="JDI28" t="s">
        <v>6984</v>
      </c>
      <c r="JDJ28" t="s">
        <v>6984</v>
      </c>
      <c r="JDK28" t="s">
        <v>6984</v>
      </c>
      <c r="JDL28" t="s">
        <v>6984</v>
      </c>
      <c r="JDM28" t="s">
        <v>6984</v>
      </c>
      <c r="JDN28" t="s">
        <v>6984</v>
      </c>
      <c r="JDO28" t="s">
        <v>6984</v>
      </c>
      <c r="JDP28" t="s">
        <v>6984</v>
      </c>
      <c r="JDQ28" t="s">
        <v>6984</v>
      </c>
      <c r="JDR28" t="s">
        <v>6984</v>
      </c>
      <c r="JDS28" t="s">
        <v>6984</v>
      </c>
      <c r="JDT28" t="s">
        <v>6984</v>
      </c>
      <c r="JDU28" t="s">
        <v>6984</v>
      </c>
      <c r="JDV28" t="s">
        <v>6984</v>
      </c>
      <c r="JDW28" t="s">
        <v>6984</v>
      </c>
      <c r="JDX28" t="s">
        <v>6984</v>
      </c>
      <c r="JDY28" t="s">
        <v>6984</v>
      </c>
      <c r="JDZ28" t="s">
        <v>6984</v>
      </c>
      <c r="JEA28" t="s">
        <v>6984</v>
      </c>
      <c r="JEB28" t="s">
        <v>6984</v>
      </c>
      <c r="JEC28" t="s">
        <v>6984</v>
      </c>
      <c r="JED28" t="s">
        <v>6984</v>
      </c>
      <c r="JEE28" t="s">
        <v>6984</v>
      </c>
      <c r="JEF28" t="s">
        <v>6984</v>
      </c>
      <c r="JEG28" t="s">
        <v>6984</v>
      </c>
      <c r="JEH28" t="s">
        <v>6984</v>
      </c>
      <c r="JEI28" t="s">
        <v>6984</v>
      </c>
      <c r="JEJ28" t="s">
        <v>6984</v>
      </c>
      <c r="JEK28" t="s">
        <v>6984</v>
      </c>
      <c r="JEL28" t="s">
        <v>6984</v>
      </c>
      <c r="JEM28" t="s">
        <v>6984</v>
      </c>
      <c r="JEN28" t="s">
        <v>6984</v>
      </c>
      <c r="JEO28" t="s">
        <v>6984</v>
      </c>
      <c r="JEP28" t="s">
        <v>6984</v>
      </c>
      <c r="JEQ28" t="s">
        <v>6984</v>
      </c>
      <c r="JER28" t="s">
        <v>6984</v>
      </c>
      <c r="JES28" t="s">
        <v>6984</v>
      </c>
      <c r="JET28" t="s">
        <v>6984</v>
      </c>
      <c r="JEU28" t="s">
        <v>6984</v>
      </c>
      <c r="JEV28" t="s">
        <v>6984</v>
      </c>
      <c r="JEW28" t="s">
        <v>6984</v>
      </c>
      <c r="JEX28" t="s">
        <v>6984</v>
      </c>
      <c r="JEY28" t="s">
        <v>6984</v>
      </c>
      <c r="JEZ28" t="s">
        <v>6984</v>
      </c>
      <c r="JFA28" t="s">
        <v>6984</v>
      </c>
      <c r="JFB28" t="s">
        <v>6984</v>
      </c>
      <c r="JFC28" t="s">
        <v>6984</v>
      </c>
      <c r="JFD28" t="s">
        <v>6984</v>
      </c>
      <c r="JFE28" t="s">
        <v>6984</v>
      </c>
      <c r="JFF28" t="s">
        <v>6984</v>
      </c>
      <c r="JFG28" t="s">
        <v>6984</v>
      </c>
      <c r="JFH28" t="s">
        <v>6984</v>
      </c>
      <c r="JFI28" t="s">
        <v>6984</v>
      </c>
      <c r="JFJ28" t="s">
        <v>6984</v>
      </c>
      <c r="JFK28" t="s">
        <v>6984</v>
      </c>
      <c r="JFL28" t="s">
        <v>6984</v>
      </c>
      <c r="JFM28" t="s">
        <v>6984</v>
      </c>
      <c r="JFN28" t="s">
        <v>6984</v>
      </c>
      <c r="JFO28" t="s">
        <v>6984</v>
      </c>
      <c r="JFP28" t="s">
        <v>6984</v>
      </c>
      <c r="JFQ28" t="s">
        <v>6984</v>
      </c>
      <c r="JFR28" t="s">
        <v>6984</v>
      </c>
      <c r="JFS28" t="s">
        <v>6984</v>
      </c>
      <c r="JFT28" t="s">
        <v>6984</v>
      </c>
      <c r="JFU28" t="s">
        <v>6984</v>
      </c>
      <c r="JFV28" t="s">
        <v>6984</v>
      </c>
      <c r="JFW28" t="s">
        <v>6984</v>
      </c>
      <c r="JFX28" t="s">
        <v>6984</v>
      </c>
      <c r="JFY28" t="s">
        <v>6984</v>
      </c>
      <c r="JFZ28" t="s">
        <v>6984</v>
      </c>
      <c r="JGA28" t="s">
        <v>6984</v>
      </c>
      <c r="JGB28" t="s">
        <v>6984</v>
      </c>
      <c r="JGC28" t="s">
        <v>6984</v>
      </c>
      <c r="JGD28" t="s">
        <v>6984</v>
      </c>
      <c r="JGE28" t="s">
        <v>6984</v>
      </c>
      <c r="JGF28" t="s">
        <v>6984</v>
      </c>
      <c r="JGG28" t="s">
        <v>6984</v>
      </c>
      <c r="JGH28" t="s">
        <v>6984</v>
      </c>
      <c r="JGI28" t="s">
        <v>6984</v>
      </c>
      <c r="JGJ28" t="s">
        <v>6984</v>
      </c>
      <c r="JGK28" t="s">
        <v>6984</v>
      </c>
      <c r="JGL28" t="s">
        <v>6984</v>
      </c>
      <c r="JGM28" t="s">
        <v>6984</v>
      </c>
      <c r="JGN28" t="s">
        <v>6984</v>
      </c>
      <c r="JGO28" t="s">
        <v>6984</v>
      </c>
      <c r="JGP28" t="s">
        <v>6984</v>
      </c>
      <c r="JGQ28" t="s">
        <v>6984</v>
      </c>
      <c r="JGR28" t="s">
        <v>6984</v>
      </c>
      <c r="JGS28" t="s">
        <v>6984</v>
      </c>
      <c r="JGT28" t="s">
        <v>6984</v>
      </c>
      <c r="JGU28" t="s">
        <v>6984</v>
      </c>
      <c r="JGV28" t="s">
        <v>6984</v>
      </c>
      <c r="JGW28" t="s">
        <v>6984</v>
      </c>
      <c r="JGX28" t="s">
        <v>6984</v>
      </c>
      <c r="JGY28" t="s">
        <v>6984</v>
      </c>
      <c r="JGZ28" t="s">
        <v>6984</v>
      </c>
      <c r="JHA28" t="s">
        <v>6984</v>
      </c>
      <c r="JHB28" t="s">
        <v>6984</v>
      </c>
      <c r="JHC28" t="s">
        <v>6984</v>
      </c>
      <c r="JHD28" t="s">
        <v>6984</v>
      </c>
      <c r="JHE28" t="s">
        <v>6984</v>
      </c>
      <c r="JHF28" t="s">
        <v>6984</v>
      </c>
      <c r="JHG28" t="s">
        <v>6984</v>
      </c>
      <c r="JHH28" t="s">
        <v>6984</v>
      </c>
      <c r="JHI28" t="s">
        <v>6984</v>
      </c>
      <c r="JHJ28" t="s">
        <v>6984</v>
      </c>
      <c r="JHK28" t="s">
        <v>6984</v>
      </c>
      <c r="JHL28" t="s">
        <v>6984</v>
      </c>
      <c r="JHM28" t="s">
        <v>6984</v>
      </c>
      <c r="JHN28" t="s">
        <v>6984</v>
      </c>
      <c r="JHO28" t="s">
        <v>6984</v>
      </c>
      <c r="JHP28" t="s">
        <v>6984</v>
      </c>
      <c r="JHQ28" t="s">
        <v>6984</v>
      </c>
      <c r="JHR28" t="s">
        <v>6984</v>
      </c>
      <c r="JHS28" t="s">
        <v>6984</v>
      </c>
      <c r="JHT28" t="s">
        <v>6984</v>
      </c>
      <c r="JHU28" t="s">
        <v>6984</v>
      </c>
      <c r="JHV28" t="s">
        <v>6984</v>
      </c>
      <c r="JHW28" t="s">
        <v>6984</v>
      </c>
      <c r="JHX28" t="s">
        <v>6984</v>
      </c>
      <c r="JHY28" t="s">
        <v>6984</v>
      </c>
      <c r="JHZ28" t="s">
        <v>6984</v>
      </c>
      <c r="JIA28" t="s">
        <v>6984</v>
      </c>
      <c r="JIB28" t="s">
        <v>6984</v>
      </c>
      <c r="JIC28" t="s">
        <v>6984</v>
      </c>
      <c r="JID28" t="s">
        <v>6984</v>
      </c>
      <c r="JIE28" t="s">
        <v>6984</v>
      </c>
      <c r="JIF28" t="s">
        <v>6984</v>
      </c>
      <c r="JIG28" t="s">
        <v>6984</v>
      </c>
      <c r="JIH28" t="s">
        <v>6984</v>
      </c>
      <c r="JII28" t="s">
        <v>6984</v>
      </c>
      <c r="JIJ28" t="s">
        <v>6984</v>
      </c>
      <c r="JIK28" t="s">
        <v>6984</v>
      </c>
      <c r="JIL28" t="s">
        <v>6984</v>
      </c>
      <c r="JIM28" t="s">
        <v>6984</v>
      </c>
      <c r="JIN28" t="s">
        <v>6984</v>
      </c>
      <c r="JIO28" t="s">
        <v>6984</v>
      </c>
      <c r="JIP28" t="s">
        <v>6984</v>
      </c>
      <c r="JIQ28" t="s">
        <v>6984</v>
      </c>
      <c r="JIR28" t="s">
        <v>6984</v>
      </c>
      <c r="JIS28" t="s">
        <v>6984</v>
      </c>
      <c r="JIT28" t="s">
        <v>6984</v>
      </c>
      <c r="JIU28" t="s">
        <v>6984</v>
      </c>
      <c r="JIV28" t="s">
        <v>6984</v>
      </c>
      <c r="JIW28" t="s">
        <v>6984</v>
      </c>
      <c r="JIX28" t="s">
        <v>6984</v>
      </c>
      <c r="JIY28" t="s">
        <v>6984</v>
      </c>
      <c r="JIZ28" t="s">
        <v>6984</v>
      </c>
      <c r="JJA28" t="s">
        <v>6984</v>
      </c>
    </row>
    <row r="29" spans="1:7021" x14ac:dyDescent="0.25">
      <c r="A29" t="s">
        <v>7010</v>
      </c>
      <c r="B29">
        <v>95.775000000000006</v>
      </c>
      <c r="C29">
        <v>95.775000000000006</v>
      </c>
      <c r="D29">
        <v>95.775000000000006</v>
      </c>
      <c r="E29">
        <v>95.83</v>
      </c>
      <c r="F29">
        <v>95.775000000000006</v>
      </c>
      <c r="G29">
        <v>95.814999999999998</v>
      </c>
      <c r="H29">
        <v>95.864999999999995</v>
      </c>
      <c r="I29">
        <v>95.805000000000007</v>
      </c>
      <c r="J29">
        <v>95.754999999999995</v>
      </c>
      <c r="K29">
        <v>95.74</v>
      </c>
      <c r="L29">
        <v>95.734999999999999</v>
      </c>
      <c r="M29">
        <v>95.834999999999994</v>
      </c>
      <c r="N29">
        <v>95.86</v>
      </c>
      <c r="O29">
        <v>95.77</v>
      </c>
      <c r="P29">
        <v>95.765000000000001</v>
      </c>
      <c r="Q29">
        <v>95.825000000000003</v>
      </c>
      <c r="R29">
        <v>95.805000000000007</v>
      </c>
      <c r="S29">
        <v>95.775000000000006</v>
      </c>
      <c r="T29">
        <v>95.825000000000003</v>
      </c>
      <c r="U29">
        <v>95.734999999999999</v>
      </c>
      <c r="V29">
        <v>95.734999999999999</v>
      </c>
      <c r="W29">
        <v>95.66</v>
      </c>
      <c r="X29">
        <v>95.6</v>
      </c>
      <c r="Y29">
        <v>95.704999999999998</v>
      </c>
      <c r="Z29">
        <v>95.704999999999998</v>
      </c>
      <c r="AA29">
        <v>95.745000000000005</v>
      </c>
      <c r="AB29">
        <v>95.724999999999994</v>
      </c>
      <c r="AC29">
        <v>95.655000000000001</v>
      </c>
      <c r="AD29">
        <v>95.69</v>
      </c>
      <c r="AE29">
        <v>95.74</v>
      </c>
      <c r="AF29">
        <v>95.8</v>
      </c>
      <c r="AG29">
        <v>95.8</v>
      </c>
      <c r="AH29">
        <v>95.894999999999996</v>
      </c>
      <c r="AI29">
        <v>95.844999999999999</v>
      </c>
      <c r="AJ29">
        <v>95.834999999999994</v>
      </c>
      <c r="AK29">
        <v>95.87</v>
      </c>
      <c r="AL29">
        <v>95.92</v>
      </c>
      <c r="AM29">
        <v>95.97</v>
      </c>
      <c r="AN29">
        <v>95.944999999999993</v>
      </c>
      <c r="AO29">
        <v>95.885000000000005</v>
      </c>
      <c r="AP29">
        <v>95.834999999999994</v>
      </c>
      <c r="AQ29">
        <v>95.775000000000006</v>
      </c>
      <c r="AR29">
        <v>95.704999999999998</v>
      </c>
      <c r="AS29">
        <v>95.674999999999997</v>
      </c>
      <c r="AT29">
        <v>95.625</v>
      </c>
      <c r="AU29">
        <v>95.765000000000001</v>
      </c>
      <c r="AV29">
        <v>95.765000000000001</v>
      </c>
      <c r="AW29">
        <v>95.85</v>
      </c>
      <c r="AX29">
        <v>95.814999999999998</v>
      </c>
      <c r="AY29">
        <v>95.79</v>
      </c>
      <c r="AZ29">
        <v>95.685000000000002</v>
      </c>
      <c r="BA29">
        <v>95.825000000000003</v>
      </c>
      <c r="BB29">
        <v>95.795000000000002</v>
      </c>
      <c r="BC29">
        <v>95.954999999999998</v>
      </c>
      <c r="BD29">
        <v>96.04</v>
      </c>
      <c r="BE29">
        <v>96.215000000000003</v>
      </c>
      <c r="BF29">
        <v>96.135000000000005</v>
      </c>
      <c r="BG29">
        <v>95.99</v>
      </c>
      <c r="BH29">
        <v>96.05</v>
      </c>
      <c r="BI29">
        <v>95.944999999999993</v>
      </c>
      <c r="BJ29">
        <v>95.915000000000006</v>
      </c>
      <c r="BK29">
        <v>95.8</v>
      </c>
      <c r="BL29">
        <v>95.855000000000004</v>
      </c>
      <c r="BM29">
        <v>95.885000000000005</v>
      </c>
      <c r="BN29">
        <v>95.86</v>
      </c>
      <c r="BO29">
        <v>95.94</v>
      </c>
      <c r="BP29">
        <v>95.954999999999998</v>
      </c>
      <c r="BQ29">
        <v>95.915000000000006</v>
      </c>
      <c r="BR29">
        <v>95.93</v>
      </c>
      <c r="BS29">
        <v>95.894999999999996</v>
      </c>
      <c r="BT29">
        <v>95.87</v>
      </c>
      <c r="BU29">
        <v>95.94</v>
      </c>
      <c r="BV29">
        <v>95.91</v>
      </c>
      <c r="BW29">
        <v>95.94</v>
      </c>
      <c r="BX29">
        <v>96.034999999999997</v>
      </c>
      <c r="BY29">
        <v>95.905000000000001</v>
      </c>
      <c r="BZ29">
        <v>95.93</v>
      </c>
      <c r="CA29">
        <v>95.954999999999998</v>
      </c>
      <c r="CB29">
        <v>96.015000000000001</v>
      </c>
      <c r="CC29">
        <v>96.06</v>
      </c>
      <c r="CD29">
        <v>96</v>
      </c>
      <c r="CE29">
        <v>95.94</v>
      </c>
      <c r="CF29">
        <v>95.984999999999999</v>
      </c>
      <c r="CG29">
        <v>95.915000000000006</v>
      </c>
      <c r="CH29">
        <v>95.78</v>
      </c>
      <c r="CI29">
        <v>95.754999999999995</v>
      </c>
      <c r="CJ29">
        <v>95.674999999999997</v>
      </c>
      <c r="CK29">
        <v>95.625</v>
      </c>
      <c r="CL29">
        <v>95.625</v>
      </c>
      <c r="CM29">
        <v>95.7</v>
      </c>
      <c r="CN29">
        <v>95.7</v>
      </c>
      <c r="CO29">
        <v>95.644999999999996</v>
      </c>
      <c r="CP29">
        <v>95.53</v>
      </c>
      <c r="CQ29">
        <v>95.665000000000006</v>
      </c>
      <c r="CR29">
        <v>95.715000000000003</v>
      </c>
      <c r="CS29">
        <v>95.715000000000003</v>
      </c>
      <c r="CT29">
        <v>95.775000000000006</v>
      </c>
      <c r="CU29">
        <v>95.825000000000003</v>
      </c>
      <c r="CV29">
        <v>95.715000000000003</v>
      </c>
      <c r="CW29">
        <v>95.69</v>
      </c>
      <c r="CX29">
        <v>95.644999999999996</v>
      </c>
      <c r="CY29">
        <v>95.715000000000003</v>
      </c>
      <c r="CZ29">
        <v>95.67</v>
      </c>
      <c r="DA29">
        <v>95.68</v>
      </c>
      <c r="DB29">
        <v>95.704999999999998</v>
      </c>
      <c r="DC29">
        <v>95.594999999999999</v>
      </c>
      <c r="DD29">
        <v>95.594999999999999</v>
      </c>
      <c r="DE29">
        <v>95.65</v>
      </c>
      <c r="DF29">
        <v>95.68</v>
      </c>
      <c r="DG29">
        <v>95.635000000000005</v>
      </c>
      <c r="DH29">
        <v>95.635000000000005</v>
      </c>
      <c r="DI29">
        <v>95.635000000000005</v>
      </c>
      <c r="DJ29">
        <v>95.594999999999999</v>
      </c>
      <c r="DK29">
        <v>95.45</v>
      </c>
      <c r="DL29">
        <v>95.43</v>
      </c>
      <c r="DM29">
        <v>95.47</v>
      </c>
      <c r="DN29">
        <v>95.53</v>
      </c>
      <c r="DO29">
        <v>95.515000000000001</v>
      </c>
      <c r="DP29">
        <v>95.525000000000006</v>
      </c>
      <c r="DQ29">
        <v>95.61</v>
      </c>
      <c r="DR29">
        <v>95.665000000000006</v>
      </c>
      <c r="DS29">
        <v>95.68</v>
      </c>
      <c r="DT29">
        <v>95.674999999999997</v>
      </c>
      <c r="DU29">
        <v>95.674999999999997</v>
      </c>
      <c r="DV29">
        <v>95.715000000000003</v>
      </c>
      <c r="DW29">
        <v>95.635000000000005</v>
      </c>
      <c r="DX29">
        <v>95.694999999999993</v>
      </c>
      <c r="DY29">
        <v>95.68</v>
      </c>
      <c r="DZ29">
        <v>95.68</v>
      </c>
      <c r="EA29">
        <v>95.655000000000001</v>
      </c>
      <c r="EB29">
        <v>95.754999999999995</v>
      </c>
      <c r="EC29">
        <v>95.685000000000002</v>
      </c>
      <c r="ED29">
        <v>95.814999999999998</v>
      </c>
      <c r="EE29">
        <v>95.954999999999998</v>
      </c>
      <c r="EF29">
        <v>95.94</v>
      </c>
      <c r="EG29">
        <v>95.944999999999993</v>
      </c>
      <c r="EH29">
        <v>96.03</v>
      </c>
      <c r="EI29">
        <v>96.094999999999999</v>
      </c>
      <c r="EJ29">
        <v>96.155000000000001</v>
      </c>
      <c r="EK29">
        <v>96.18</v>
      </c>
      <c r="EL29">
        <v>96.22</v>
      </c>
      <c r="EM29">
        <v>96.185000000000002</v>
      </c>
      <c r="EN29">
        <v>96.17</v>
      </c>
      <c r="EO29">
        <v>96.14</v>
      </c>
      <c r="EP29">
        <v>96.174999999999997</v>
      </c>
      <c r="EQ29">
        <v>96.174999999999997</v>
      </c>
      <c r="ER29">
        <v>96.14</v>
      </c>
      <c r="ES29">
        <v>96.14</v>
      </c>
      <c r="ET29">
        <v>96.075000000000003</v>
      </c>
      <c r="EU29">
        <v>96.14</v>
      </c>
      <c r="EV29">
        <v>95.99</v>
      </c>
      <c r="EW29">
        <v>95.954999999999998</v>
      </c>
      <c r="EX29">
        <v>95.95</v>
      </c>
      <c r="EY29">
        <v>95.98</v>
      </c>
      <c r="EZ29">
        <v>95.944999999999993</v>
      </c>
      <c r="FA29">
        <v>95.935000000000002</v>
      </c>
      <c r="FB29">
        <v>95.94</v>
      </c>
      <c r="FC29">
        <v>95.905000000000001</v>
      </c>
      <c r="FD29">
        <v>95.93</v>
      </c>
      <c r="FE29">
        <v>95.99</v>
      </c>
      <c r="FF29">
        <v>96.04</v>
      </c>
      <c r="FG29">
        <v>95.995000000000005</v>
      </c>
      <c r="FH29">
        <v>95.89</v>
      </c>
      <c r="FI29">
        <v>96.06</v>
      </c>
      <c r="FJ29">
        <v>96.034999999999997</v>
      </c>
      <c r="FK29">
        <v>95.97</v>
      </c>
      <c r="FL29">
        <v>96.03</v>
      </c>
      <c r="FM29">
        <v>96.04</v>
      </c>
      <c r="FN29">
        <v>96.01</v>
      </c>
      <c r="FO29">
        <v>96.004999999999995</v>
      </c>
      <c r="FP29">
        <v>96.04</v>
      </c>
      <c r="FQ29">
        <v>96.064999999999998</v>
      </c>
      <c r="FR29">
        <v>96.015000000000001</v>
      </c>
      <c r="FS29">
        <v>96.045000000000002</v>
      </c>
      <c r="FT29">
        <v>96.07</v>
      </c>
      <c r="FU29">
        <v>96.185000000000002</v>
      </c>
      <c r="FV29">
        <v>96.17</v>
      </c>
      <c r="FW29">
        <v>96.27</v>
      </c>
      <c r="FX29">
        <v>96.25</v>
      </c>
      <c r="FY29">
        <v>96.155000000000001</v>
      </c>
      <c r="FZ29">
        <v>96.194999999999993</v>
      </c>
      <c r="GA29">
        <v>96.185000000000002</v>
      </c>
      <c r="GB29">
        <v>96.23</v>
      </c>
      <c r="GC29">
        <v>96.254999999999995</v>
      </c>
      <c r="GD29">
        <v>96.27</v>
      </c>
      <c r="GE29">
        <v>96.305000000000007</v>
      </c>
      <c r="GF29">
        <v>96.385000000000005</v>
      </c>
      <c r="GG29">
        <v>96.454999999999998</v>
      </c>
      <c r="GH29">
        <v>96.5</v>
      </c>
      <c r="GI29">
        <v>96.43</v>
      </c>
      <c r="GJ29">
        <v>96.47</v>
      </c>
      <c r="GK29">
        <v>96.44</v>
      </c>
      <c r="GL29">
        <v>96.42</v>
      </c>
      <c r="GM29">
        <v>96.46</v>
      </c>
      <c r="GN29">
        <v>96.465000000000003</v>
      </c>
      <c r="GO29">
        <v>96.48</v>
      </c>
      <c r="GP29">
        <v>96.46</v>
      </c>
      <c r="GQ29">
        <v>96.534999999999997</v>
      </c>
      <c r="GR29">
        <v>96.6</v>
      </c>
      <c r="GS29">
        <v>96.59</v>
      </c>
      <c r="GT29">
        <v>96.57</v>
      </c>
      <c r="GU29">
        <v>96.56</v>
      </c>
      <c r="GV29">
        <v>96.59</v>
      </c>
      <c r="GW29">
        <v>96.594999999999999</v>
      </c>
      <c r="GX29">
        <v>96.54</v>
      </c>
      <c r="GY29">
        <v>96.515000000000001</v>
      </c>
      <c r="GZ29">
        <v>96.53</v>
      </c>
      <c r="HA29">
        <v>96.495000000000005</v>
      </c>
      <c r="HB29">
        <v>96.444999999999993</v>
      </c>
      <c r="HC29">
        <v>96.364999999999995</v>
      </c>
      <c r="HD29">
        <v>96.364999999999995</v>
      </c>
      <c r="HE29">
        <v>96.41</v>
      </c>
      <c r="HF29">
        <v>96.424999999999997</v>
      </c>
      <c r="HG29">
        <v>96.44</v>
      </c>
      <c r="HH29">
        <v>96.46</v>
      </c>
      <c r="HI29">
        <v>96.45</v>
      </c>
      <c r="HJ29">
        <v>96.39</v>
      </c>
      <c r="HK29">
        <v>96.465000000000003</v>
      </c>
      <c r="HL29">
        <v>96.44</v>
      </c>
      <c r="HM29">
        <v>96.39</v>
      </c>
      <c r="HN29">
        <v>96.35</v>
      </c>
      <c r="HO29">
        <v>96.31</v>
      </c>
      <c r="HP29">
        <v>96.38</v>
      </c>
      <c r="HQ29">
        <v>96.344999999999999</v>
      </c>
      <c r="HR29">
        <v>96.314999999999998</v>
      </c>
      <c r="HS29">
        <v>96.275000000000006</v>
      </c>
      <c r="HT29">
        <v>96.194999999999993</v>
      </c>
      <c r="HU29">
        <v>96.204999999999998</v>
      </c>
      <c r="HV29">
        <v>96.295000000000002</v>
      </c>
      <c r="HW29">
        <v>96.39</v>
      </c>
      <c r="HX29">
        <v>96.4</v>
      </c>
      <c r="HY29">
        <v>96.275000000000006</v>
      </c>
      <c r="HZ29">
        <v>96.174999999999997</v>
      </c>
      <c r="IA29">
        <v>96.14</v>
      </c>
      <c r="IB29">
        <v>96.105000000000004</v>
      </c>
      <c r="IC29">
        <v>96.08</v>
      </c>
      <c r="ID29">
        <v>96.04</v>
      </c>
      <c r="IE29">
        <v>95.995000000000005</v>
      </c>
      <c r="IF29">
        <v>96.075000000000003</v>
      </c>
      <c r="IG29">
        <v>96.06</v>
      </c>
      <c r="IH29">
        <v>96.07</v>
      </c>
      <c r="II29">
        <v>96.12</v>
      </c>
      <c r="IJ29">
        <v>96.174999999999997</v>
      </c>
      <c r="IK29">
        <v>96.15</v>
      </c>
      <c r="IL29">
        <v>96.075000000000003</v>
      </c>
      <c r="IM29">
        <v>96.12</v>
      </c>
      <c r="IN29">
        <v>96.14</v>
      </c>
      <c r="IO29">
        <v>96.06</v>
      </c>
      <c r="IP29">
        <v>96.03</v>
      </c>
      <c r="IQ29">
        <v>96.07</v>
      </c>
      <c r="IR29">
        <v>96.064999999999998</v>
      </c>
      <c r="IS29">
        <v>96.004999999999995</v>
      </c>
      <c r="IT29">
        <v>96.004999999999995</v>
      </c>
      <c r="IU29">
        <v>95.9</v>
      </c>
      <c r="IV29">
        <v>95.864999999999995</v>
      </c>
      <c r="IW29">
        <v>96.025000000000006</v>
      </c>
      <c r="IX29">
        <v>96.09</v>
      </c>
      <c r="IY29">
        <v>96.055000000000007</v>
      </c>
      <c r="IZ29">
        <v>96.144999999999996</v>
      </c>
      <c r="JA29">
        <v>96.135000000000005</v>
      </c>
      <c r="JB29">
        <v>96.11</v>
      </c>
      <c r="JC29">
        <v>96.12</v>
      </c>
      <c r="JD29">
        <v>96.18</v>
      </c>
      <c r="JE29">
        <v>96.18</v>
      </c>
      <c r="JF29">
        <v>96.12</v>
      </c>
      <c r="JG29">
        <v>96.2</v>
      </c>
      <c r="JH29">
        <v>96.135000000000005</v>
      </c>
      <c r="JI29">
        <v>96.08</v>
      </c>
      <c r="JJ29">
        <v>95.965000000000003</v>
      </c>
      <c r="JK29">
        <v>95.885000000000005</v>
      </c>
      <c r="JL29">
        <v>95.93</v>
      </c>
      <c r="JM29">
        <v>96.08</v>
      </c>
      <c r="JN29">
        <v>96.08</v>
      </c>
      <c r="JO29">
        <v>96.045000000000002</v>
      </c>
      <c r="JP29">
        <v>95.965000000000003</v>
      </c>
      <c r="JQ29">
        <v>95.844999999999999</v>
      </c>
      <c r="JR29">
        <v>95.82</v>
      </c>
      <c r="JS29">
        <v>95.76</v>
      </c>
      <c r="JT29">
        <v>95.864999999999995</v>
      </c>
      <c r="JU29">
        <v>95.94</v>
      </c>
      <c r="JV29">
        <v>95.94</v>
      </c>
      <c r="JW29">
        <v>95.92</v>
      </c>
      <c r="JX29">
        <v>95.92</v>
      </c>
      <c r="JY29">
        <v>95.924999999999997</v>
      </c>
      <c r="JZ29">
        <v>95.894999999999996</v>
      </c>
      <c r="KA29">
        <v>95.915000000000006</v>
      </c>
      <c r="KB29">
        <v>95.96</v>
      </c>
      <c r="KC29">
        <v>95.965000000000003</v>
      </c>
      <c r="KD29">
        <v>95.894999999999996</v>
      </c>
      <c r="KE29">
        <v>95.86</v>
      </c>
      <c r="KF29">
        <v>95.834999999999994</v>
      </c>
      <c r="KG29">
        <v>95.89</v>
      </c>
      <c r="KH29">
        <v>95.86</v>
      </c>
      <c r="KI29">
        <v>95.9</v>
      </c>
      <c r="KJ29">
        <v>95.855000000000004</v>
      </c>
      <c r="KK29">
        <v>95.834999999999994</v>
      </c>
      <c r="KL29">
        <v>95.76</v>
      </c>
      <c r="KM29">
        <v>95.745000000000005</v>
      </c>
      <c r="KN29">
        <v>95.68</v>
      </c>
      <c r="KO29">
        <v>95.75</v>
      </c>
      <c r="KP29">
        <v>95.67</v>
      </c>
      <c r="KQ29">
        <v>95.63</v>
      </c>
      <c r="KR29">
        <v>95.69</v>
      </c>
      <c r="KS29">
        <v>95.765000000000001</v>
      </c>
      <c r="KT29">
        <v>95.745000000000005</v>
      </c>
      <c r="KU29">
        <v>95.76</v>
      </c>
      <c r="KV29">
        <v>95.724999999999994</v>
      </c>
      <c r="KW29">
        <v>95.784999999999997</v>
      </c>
      <c r="KX29">
        <v>95.71</v>
      </c>
      <c r="KY29">
        <v>95.745000000000005</v>
      </c>
      <c r="KZ29">
        <v>95.885000000000005</v>
      </c>
      <c r="LA29">
        <v>95.795000000000002</v>
      </c>
      <c r="LB29">
        <v>95.825000000000003</v>
      </c>
      <c r="LC29">
        <v>95.97</v>
      </c>
      <c r="LD29">
        <v>95.91</v>
      </c>
      <c r="LE29">
        <v>95.954999999999998</v>
      </c>
      <c r="LF29">
        <v>96.004999999999995</v>
      </c>
      <c r="LG29">
        <v>95.954999999999998</v>
      </c>
      <c r="LH29">
        <v>95.944999999999993</v>
      </c>
      <c r="LI29">
        <v>95.99</v>
      </c>
      <c r="LJ29">
        <v>96.12</v>
      </c>
      <c r="LK29">
        <v>96.12</v>
      </c>
      <c r="LL29">
        <v>96.084999999999994</v>
      </c>
      <c r="LM29">
        <v>96.05</v>
      </c>
      <c r="LN29">
        <v>96.02</v>
      </c>
      <c r="LO29">
        <v>96.055000000000007</v>
      </c>
      <c r="LP29">
        <v>95.995000000000005</v>
      </c>
      <c r="LQ29">
        <v>96</v>
      </c>
      <c r="LR29">
        <v>96.04</v>
      </c>
      <c r="LS29">
        <v>96.01</v>
      </c>
      <c r="LT29">
        <v>96.05</v>
      </c>
      <c r="LU29">
        <v>96.034999999999997</v>
      </c>
      <c r="LV29">
        <v>96.144999999999996</v>
      </c>
      <c r="LW29">
        <v>96.16</v>
      </c>
      <c r="LX29">
        <v>96.21</v>
      </c>
      <c r="LY29">
        <v>96.204999999999998</v>
      </c>
      <c r="LZ29">
        <v>96.224999999999994</v>
      </c>
      <c r="MA29">
        <v>96.22</v>
      </c>
      <c r="MB29">
        <v>96.18</v>
      </c>
      <c r="MC29">
        <v>96.09</v>
      </c>
      <c r="MD29">
        <v>96.12</v>
      </c>
      <c r="ME29">
        <v>96.075000000000003</v>
      </c>
      <c r="MF29">
        <v>96.064999999999998</v>
      </c>
      <c r="MG29">
        <v>96.07</v>
      </c>
      <c r="MH29">
        <v>96.09</v>
      </c>
      <c r="MI29">
        <v>96.1</v>
      </c>
      <c r="MJ29">
        <v>96.004999999999995</v>
      </c>
      <c r="MK29">
        <v>95.974999999999994</v>
      </c>
      <c r="ML29">
        <v>96.02</v>
      </c>
      <c r="MM29">
        <v>95.995000000000005</v>
      </c>
      <c r="MN29">
        <v>95.995000000000005</v>
      </c>
      <c r="MO29">
        <v>96.034999999999997</v>
      </c>
      <c r="MP29">
        <v>96.01</v>
      </c>
      <c r="MQ29">
        <v>95.97</v>
      </c>
      <c r="MR29">
        <v>96.07</v>
      </c>
      <c r="MS29">
        <v>96.05</v>
      </c>
      <c r="MT29">
        <v>96.064999999999998</v>
      </c>
      <c r="MU29">
        <v>96.15</v>
      </c>
      <c r="MV29">
        <v>96.165000000000006</v>
      </c>
      <c r="MW29">
        <v>96.075000000000003</v>
      </c>
      <c r="MX29">
        <v>96.204999999999998</v>
      </c>
      <c r="MY29">
        <v>96.364999999999995</v>
      </c>
      <c r="MZ29">
        <v>96.245000000000005</v>
      </c>
      <c r="NA29">
        <v>96.16</v>
      </c>
      <c r="NB29">
        <v>96.09</v>
      </c>
      <c r="NC29">
        <v>96.02</v>
      </c>
      <c r="ND29">
        <v>96.05</v>
      </c>
      <c r="NE29">
        <v>96.02</v>
      </c>
      <c r="NF29">
        <v>96.064999999999998</v>
      </c>
      <c r="NG29">
        <v>96.12</v>
      </c>
      <c r="NH29">
        <v>96.064999999999998</v>
      </c>
      <c r="NI29">
        <v>96.055000000000007</v>
      </c>
      <c r="NJ29">
        <v>96.094999999999999</v>
      </c>
      <c r="NK29">
        <v>96.11</v>
      </c>
      <c r="NL29">
        <v>96.224999999999994</v>
      </c>
      <c r="NM29">
        <v>96.224999999999994</v>
      </c>
      <c r="NN29">
        <v>96.245000000000005</v>
      </c>
      <c r="NO29">
        <v>96.204999999999998</v>
      </c>
      <c r="NP29">
        <v>96.215000000000003</v>
      </c>
      <c r="NQ29">
        <v>96.22</v>
      </c>
      <c r="NR29">
        <v>96.21</v>
      </c>
      <c r="NS29">
        <v>96.265000000000001</v>
      </c>
      <c r="NT29">
        <v>96.355000000000004</v>
      </c>
      <c r="NU29">
        <v>96.31</v>
      </c>
      <c r="NV29">
        <v>96.36</v>
      </c>
      <c r="NW29">
        <v>96.36</v>
      </c>
      <c r="NX29">
        <v>96.385000000000005</v>
      </c>
      <c r="NY29">
        <v>96.454999999999998</v>
      </c>
      <c r="NZ29">
        <v>96.35</v>
      </c>
      <c r="OA29">
        <v>96.334999999999994</v>
      </c>
      <c r="OB29">
        <v>96.334999999999994</v>
      </c>
      <c r="OC29">
        <v>96.37</v>
      </c>
      <c r="OD29">
        <v>96.405000000000001</v>
      </c>
      <c r="OE29">
        <v>96.385000000000005</v>
      </c>
      <c r="OF29">
        <v>96.35</v>
      </c>
      <c r="OG29">
        <v>96.385000000000005</v>
      </c>
      <c r="OH29">
        <v>96.36</v>
      </c>
      <c r="OI29">
        <v>96.26</v>
      </c>
      <c r="OJ29">
        <v>96.11</v>
      </c>
      <c r="OK29">
        <v>96.055000000000007</v>
      </c>
      <c r="OL29">
        <v>96.05</v>
      </c>
      <c r="OM29">
        <v>96.16</v>
      </c>
      <c r="ON29">
        <v>96.155000000000001</v>
      </c>
      <c r="OO29">
        <v>96.09</v>
      </c>
      <c r="OP29">
        <v>95.954999999999998</v>
      </c>
      <c r="OQ29">
        <v>95.984999999999999</v>
      </c>
      <c r="OR29">
        <v>95.87</v>
      </c>
      <c r="OS29">
        <v>95.954999999999998</v>
      </c>
      <c r="OT29">
        <v>95.88</v>
      </c>
      <c r="OU29">
        <v>95.875</v>
      </c>
      <c r="OV29">
        <v>95.76</v>
      </c>
      <c r="OW29">
        <v>95.83</v>
      </c>
      <c r="OX29">
        <v>95.83</v>
      </c>
      <c r="OY29">
        <v>95.82</v>
      </c>
      <c r="OZ29">
        <v>95.84</v>
      </c>
      <c r="PA29">
        <v>95.795000000000002</v>
      </c>
      <c r="PB29">
        <v>95.775000000000006</v>
      </c>
      <c r="PC29">
        <v>95.68</v>
      </c>
      <c r="PD29">
        <v>95.765000000000001</v>
      </c>
      <c r="PE29">
        <v>95.594999999999999</v>
      </c>
      <c r="PF29">
        <v>95.59</v>
      </c>
      <c r="PG29">
        <v>95.57</v>
      </c>
      <c r="PH29">
        <v>95.7</v>
      </c>
      <c r="PI29">
        <v>95.614999999999995</v>
      </c>
      <c r="PJ29">
        <v>95.5</v>
      </c>
      <c r="PK29">
        <v>95.61</v>
      </c>
      <c r="PL29">
        <v>95.49</v>
      </c>
      <c r="PM29">
        <v>95.36</v>
      </c>
      <c r="PN29">
        <v>95.27</v>
      </c>
      <c r="PO29">
        <v>95.26</v>
      </c>
      <c r="PP29">
        <v>95.27</v>
      </c>
      <c r="PQ29">
        <v>95.275000000000006</v>
      </c>
      <c r="PR29">
        <v>95.165000000000006</v>
      </c>
      <c r="PS29">
        <v>95.305000000000007</v>
      </c>
      <c r="PT29">
        <v>95.3</v>
      </c>
      <c r="PU29">
        <v>95.194999999999993</v>
      </c>
      <c r="PV29">
        <v>95.12</v>
      </c>
      <c r="PW29">
        <v>95.25</v>
      </c>
      <c r="PX29">
        <v>95.295000000000002</v>
      </c>
      <c r="PY29">
        <v>95.42</v>
      </c>
      <c r="PZ29">
        <v>95.495000000000005</v>
      </c>
      <c r="QA29">
        <v>95.39</v>
      </c>
      <c r="QB29">
        <v>95.504999999999995</v>
      </c>
      <c r="QC29">
        <v>95.415000000000006</v>
      </c>
      <c r="QD29">
        <v>95.394999999999996</v>
      </c>
      <c r="QE29">
        <v>95.27</v>
      </c>
      <c r="QF29">
        <v>95.33</v>
      </c>
      <c r="QG29">
        <v>95.305000000000007</v>
      </c>
      <c r="QH29">
        <v>95.25</v>
      </c>
      <c r="QI29">
        <v>95.38</v>
      </c>
      <c r="QJ29">
        <v>95.54</v>
      </c>
      <c r="QK29">
        <v>95.515000000000001</v>
      </c>
      <c r="QL29">
        <v>95.534999999999997</v>
      </c>
      <c r="QM29">
        <v>95.61</v>
      </c>
      <c r="QN29">
        <v>95.62</v>
      </c>
      <c r="QO29">
        <v>95.77</v>
      </c>
      <c r="QP29">
        <v>95.74</v>
      </c>
      <c r="QQ29">
        <v>95.91</v>
      </c>
      <c r="QR29">
        <v>95.9</v>
      </c>
      <c r="QS29">
        <v>95.935000000000002</v>
      </c>
      <c r="QT29">
        <v>95.915000000000006</v>
      </c>
      <c r="QU29">
        <v>95.95</v>
      </c>
      <c r="QV29">
        <v>96.004999999999995</v>
      </c>
      <c r="QW29">
        <v>95.984999999999999</v>
      </c>
      <c r="QX29">
        <v>95.94</v>
      </c>
      <c r="QY29">
        <v>95.98</v>
      </c>
      <c r="QZ29">
        <v>95.97</v>
      </c>
      <c r="RA29">
        <v>95.954999999999998</v>
      </c>
      <c r="RB29">
        <v>95.95</v>
      </c>
      <c r="RC29">
        <v>96.02</v>
      </c>
      <c r="RD29">
        <v>96.02</v>
      </c>
      <c r="RE29">
        <v>96.114999999999995</v>
      </c>
      <c r="RF29">
        <v>96.09</v>
      </c>
      <c r="RG29">
        <v>96.094999999999999</v>
      </c>
      <c r="RH29">
        <v>96.05</v>
      </c>
      <c r="RI29">
        <v>96.01</v>
      </c>
      <c r="RJ29">
        <v>96.004999999999995</v>
      </c>
      <c r="RK29">
        <v>96.03</v>
      </c>
      <c r="RL29">
        <v>95.88</v>
      </c>
      <c r="RM29">
        <v>95.85</v>
      </c>
      <c r="RN29">
        <v>95.944999999999993</v>
      </c>
      <c r="RO29">
        <v>95.87</v>
      </c>
      <c r="RP29">
        <v>95.954999999999998</v>
      </c>
      <c r="RQ29">
        <v>95.99</v>
      </c>
      <c r="RR29">
        <v>96.05</v>
      </c>
      <c r="RS29">
        <v>96.025000000000006</v>
      </c>
      <c r="RT29">
        <v>96.114999999999995</v>
      </c>
      <c r="RU29">
        <v>96.22</v>
      </c>
      <c r="RV29">
        <v>96.185000000000002</v>
      </c>
      <c r="RW29">
        <v>96.12</v>
      </c>
      <c r="RX29">
        <v>96.135000000000005</v>
      </c>
      <c r="RY29">
        <v>95.99</v>
      </c>
      <c r="RZ29">
        <v>96.15</v>
      </c>
      <c r="SA29">
        <v>96.204999999999998</v>
      </c>
      <c r="SB29">
        <v>96.295000000000002</v>
      </c>
      <c r="SC29">
        <v>96.29</v>
      </c>
      <c r="SD29">
        <v>96.245000000000005</v>
      </c>
      <c r="SE29">
        <v>96.415000000000006</v>
      </c>
      <c r="SF29">
        <v>96.364999999999995</v>
      </c>
      <c r="SG29">
        <v>96.424999999999997</v>
      </c>
      <c r="SH29">
        <v>96.435000000000002</v>
      </c>
      <c r="SI29">
        <v>96.415000000000006</v>
      </c>
      <c r="SJ29">
        <v>96.534999999999997</v>
      </c>
      <c r="SK29">
        <v>96.495000000000005</v>
      </c>
      <c r="SL29">
        <v>96.48</v>
      </c>
      <c r="SM29">
        <v>96.44</v>
      </c>
      <c r="SN29">
        <v>96.45</v>
      </c>
      <c r="SO29">
        <v>96.42</v>
      </c>
      <c r="SP29">
        <v>96.33</v>
      </c>
      <c r="SQ29">
        <v>96.265000000000001</v>
      </c>
      <c r="SR29">
        <v>96.224999999999994</v>
      </c>
      <c r="SS29">
        <v>96.28</v>
      </c>
      <c r="ST29">
        <v>96.41</v>
      </c>
      <c r="SU29">
        <v>96.515000000000001</v>
      </c>
      <c r="SV29">
        <v>96.515000000000001</v>
      </c>
      <c r="SW29">
        <v>96.55</v>
      </c>
      <c r="SX29">
        <v>96.484999999999999</v>
      </c>
      <c r="SY29">
        <v>96.63</v>
      </c>
      <c r="SZ29">
        <v>96.575000000000003</v>
      </c>
      <c r="TA29">
        <v>96.605000000000004</v>
      </c>
      <c r="TB29">
        <v>96.575000000000003</v>
      </c>
      <c r="TC29">
        <v>96.504999999999995</v>
      </c>
      <c r="TD29">
        <v>96.58</v>
      </c>
      <c r="TE29">
        <v>96.6</v>
      </c>
      <c r="TF29">
        <v>96.53</v>
      </c>
      <c r="TG29">
        <v>96.53</v>
      </c>
      <c r="TH29">
        <v>96.564999999999998</v>
      </c>
      <c r="TI29">
        <v>96.495000000000005</v>
      </c>
      <c r="TJ29">
        <v>96.415000000000006</v>
      </c>
      <c r="TK29">
        <v>96.49</v>
      </c>
      <c r="TL29">
        <v>96.495000000000005</v>
      </c>
      <c r="TM29">
        <v>96.5</v>
      </c>
      <c r="TN29">
        <v>96.424999999999997</v>
      </c>
      <c r="TO29">
        <v>96.53</v>
      </c>
      <c r="TP29">
        <v>96.51</v>
      </c>
      <c r="TQ29">
        <v>96.48</v>
      </c>
      <c r="TR29">
        <v>96.58</v>
      </c>
      <c r="TS29">
        <v>96.564999999999998</v>
      </c>
      <c r="TT29">
        <v>96.52</v>
      </c>
      <c r="TU29">
        <v>96.41</v>
      </c>
      <c r="TV29">
        <v>96.41</v>
      </c>
      <c r="TW29">
        <v>96.394999999999996</v>
      </c>
      <c r="TX29">
        <v>96.48</v>
      </c>
      <c r="TY29">
        <v>96.495000000000005</v>
      </c>
      <c r="TZ29">
        <v>96.465000000000003</v>
      </c>
      <c r="UA29">
        <v>96.454999999999998</v>
      </c>
      <c r="UB29">
        <v>96.504999999999995</v>
      </c>
      <c r="UC29">
        <v>96.56</v>
      </c>
      <c r="UD29">
        <v>96.575000000000003</v>
      </c>
      <c r="UE29">
        <v>96.63</v>
      </c>
      <c r="UF29">
        <v>96.67</v>
      </c>
      <c r="UG29">
        <v>96.71</v>
      </c>
      <c r="UH29">
        <v>96.665000000000006</v>
      </c>
      <c r="UI29">
        <v>96.6</v>
      </c>
      <c r="UJ29">
        <v>96.605000000000004</v>
      </c>
      <c r="UK29">
        <v>96.65</v>
      </c>
      <c r="UL29">
        <v>96.72</v>
      </c>
      <c r="UM29">
        <v>96.694999999999993</v>
      </c>
      <c r="UN29">
        <v>96.69</v>
      </c>
      <c r="UO29">
        <v>96.555000000000007</v>
      </c>
      <c r="UP29">
        <v>96.68</v>
      </c>
      <c r="UQ29">
        <v>96.66</v>
      </c>
      <c r="UR29">
        <v>96.734999999999999</v>
      </c>
      <c r="US29">
        <v>96.784999999999997</v>
      </c>
      <c r="UT29">
        <v>96.724999999999994</v>
      </c>
      <c r="UU29">
        <v>96.67</v>
      </c>
      <c r="UV29">
        <v>96.715000000000003</v>
      </c>
      <c r="UW29">
        <v>96.665000000000006</v>
      </c>
      <c r="UX29">
        <v>96.685000000000002</v>
      </c>
      <c r="UY29">
        <v>96.64</v>
      </c>
      <c r="UZ29">
        <v>96.7</v>
      </c>
      <c r="VA29">
        <v>96.754999999999995</v>
      </c>
      <c r="VB29">
        <v>96.81</v>
      </c>
      <c r="VC29">
        <v>96.805000000000007</v>
      </c>
      <c r="VD29">
        <v>96.795000000000002</v>
      </c>
      <c r="VE29">
        <v>96.85</v>
      </c>
      <c r="VF29">
        <v>96.924999999999997</v>
      </c>
      <c r="VG29">
        <v>96.91</v>
      </c>
      <c r="VH29">
        <v>96.875</v>
      </c>
      <c r="VI29">
        <v>96.81</v>
      </c>
      <c r="VJ29">
        <v>96.754999999999995</v>
      </c>
      <c r="VK29">
        <v>96.72</v>
      </c>
      <c r="VL29">
        <v>96.694999999999993</v>
      </c>
      <c r="VM29">
        <v>96.685000000000002</v>
      </c>
      <c r="VN29">
        <v>96.715000000000003</v>
      </c>
      <c r="VO29">
        <v>96.834999999999994</v>
      </c>
      <c r="VP29">
        <v>96.795000000000002</v>
      </c>
      <c r="VQ29">
        <v>96.745000000000005</v>
      </c>
      <c r="VR29">
        <v>96.69</v>
      </c>
      <c r="VS29">
        <v>96.73</v>
      </c>
      <c r="VT29">
        <v>96.81</v>
      </c>
      <c r="VU29">
        <v>96.625</v>
      </c>
      <c r="VV29">
        <v>96.69</v>
      </c>
      <c r="VW29">
        <v>96.614999999999995</v>
      </c>
      <c r="VX29">
        <v>96.69</v>
      </c>
      <c r="VY29">
        <v>96.67</v>
      </c>
      <c r="VZ29">
        <v>96.47</v>
      </c>
      <c r="WA29">
        <v>96.515000000000001</v>
      </c>
      <c r="WB29">
        <v>96.5</v>
      </c>
      <c r="WC29">
        <v>96.424999999999997</v>
      </c>
      <c r="WD29">
        <v>96.424999999999997</v>
      </c>
      <c r="WE29">
        <v>96.3</v>
      </c>
      <c r="WF29">
        <v>96.405000000000001</v>
      </c>
      <c r="WG29">
        <v>96.49</v>
      </c>
      <c r="WH29">
        <v>96.49</v>
      </c>
      <c r="WI29">
        <v>96.45</v>
      </c>
      <c r="WJ29">
        <v>96.5</v>
      </c>
      <c r="WK29">
        <v>96.45</v>
      </c>
      <c r="WL29">
        <v>96.415000000000006</v>
      </c>
      <c r="WM29">
        <v>96.564999999999998</v>
      </c>
      <c r="WN29">
        <v>96.564999999999998</v>
      </c>
      <c r="WO29">
        <v>96.545000000000002</v>
      </c>
      <c r="WP29">
        <v>96.584999999999994</v>
      </c>
      <c r="WQ29">
        <v>96.65</v>
      </c>
      <c r="WR29">
        <v>96.635000000000005</v>
      </c>
      <c r="WS29">
        <v>96.605000000000004</v>
      </c>
      <c r="WT29">
        <v>96.67</v>
      </c>
      <c r="WU29">
        <v>96.69</v>
      </c>
      <c r="WV29">
        <v>96.67</v>
      </c>
      <c r="WW29">
        <v>96.694999999999993</v>
      </c>
      <c r="WX29">
        <v>96.77</v>
      </c>
      <c r="WY29">
        <v>96.87</v>
      </c>
      <c r="WZ29">
        <v>96.9</v>
      </c>
      <c r="XA29">
        <v>96.78</v>
      </c>
      <c r="XB29">
        <v>96.75</v>
      </c>
      <c r="XC29">
        <v>96.784999999999997</v>
      </c>
      <c r="XD29">
        <v>96.834999999999994</v>
      </c>
      <c r="XE29">
        <v>96.85</v>
      </c>
      <c r="XF29">
        <v>96.85</v>
      </c>
      <c r="XG29">
        <v>96.775000000000006</v>
      </c>
      <c r="XH29">
        <v>96.814999999999998</v>
      </c>
      <c r="XI29">
        <v>96.905000000000001</v>
      </c>
      <c r="XJ29">
        <v>96.935000000000002</v>
      </c>
      <c r="XK29">
        <v>96.8</v>
      </c>
      <c r="XL29">
        <v>96.844999999999999</v>
      </c>
      <c r="XM29">
        <v>96.844999999999999</v>
      </c>
      <c r="XN29">
        <v>96.87</v>
      </c>
      <c r="XO29">
        <v>96.79</v>
      </c>
      <c r="XP29">
        <v>96.734999999999999</v>
      </c>
      <c r="XQ29">
        <v>96.85</v>
      </c>
      <c r="XR29">
        <v>96.805000000000007</v>
      </c>
      <c r="XS29">
        <v>96.65</v>
      </c>
      <c r="XT29">
        <v>96.635000000000005</v>
      </c>
      <c r="XU29">
        <v>96.534999999999997</v>
      </c>
      <c r="XV29">
        <v>96.465000000000003</v>
      </c>
      <c r="XW29">
        <v>96.465000000000003</v>
      </c>
      <c r="XX29">
        <v>96.424999999999997</v>
      </c>
      <c r="XY29">
        <v>96.37</v>
      </c>
      <c r="XZ29">
        <v>96.454999999999998</v>
      </c>
      <c r="YA29">
        <v>96.54</v>
      </c>
      <c r="YB29">
        <v>96.54</v>
      </c>
      <c r="YC29">
        <v>96.57</v>
      </c>
      <c r="YD29">
        <v>96.545000000000002</v>
      </c>
      <c r="YE29">
        <v>96.594999999999999</v>
      </c>
      <c r="YF29">
        <v>96.734999999999999</v>
      </c>
      <c r="YG29">
        <v>96.83</v>
      </c>
      <c r="YH29">
        <v>96.894999999999996</v>
      </c>
      <c r="YI29">
        <v>96.834999999999994</v>
      </c>
      <c r="YJ29">
        <v>96.834999999999994</v>
      </c>
      <c r="YK29">
        <v>96.734999999999999</v>
      </c>
      <c r="YL29">
        <v>96.77</v>
      </c>
      <c r="YM29">
        <v>96.86</v>
      </c>
      <c r="YN29">
        <v>96.97</v>
      </c>
      <c r="YO29">
        <v>96.86</v>
      </c>
      <c r="YP29">
        <v>96.765000000000001</v>
      </c>
      <c r="YQ29">
        <v>96.864999999999995</v>
      </c>
      <c r="YR29">
        <v>96.82</v>
      </c>
      <c r="YS29">
        <v>96.66</v>
      </c>
      <c r="YT29">
        <v>96.63</v>
      </c>
      <c r="YU29">
        <v>96.674999999999997</v>
      </c>
      <c r="YV29">
        <v>96.66</v>
      </c>
      <c r="YW29">
        <v>96.644999999999996</v>
      </c>
      <c r="YX29">
        <v>96.644999999999996</v>
      </c>
      <c r="YY29">
        <v>96.575000000000003</v>
      </c>
      <c r="YZ29">
        <v>96.474999999999994</v>
      </c>
      <c r="ZA29">
        <v>96.454999999999998</v>
      </c>
      <c r="ZB29">
        <v>96.525000000000006</v>
      </c>
      <c r="ZC29">
        <v>96.58</v>
      </c>
      <c r="ZD29">
        <v>96.454999999999998</v>
      </c>
      <c r="ZE29">
        <v>96.38</v>
      </c>
      <c r="ZF29">
        <v>96.43</v>
      </c>
      <c r="ZG29">
        <v>96.42</v>
      </c>
      <c r="ZH29">
        <v>96.125</v>
      </c>
      <c r="ZI29">
        <v>96.165000000000006</v>
      </c>
      <c r="ZJ29">
        <v>96.08</v>
      </c>
      <c r="ZK29">
        <v>96.094999999999999</v>
      </c>
      <c r="ZL29">
        <v>96.125</v>
      </c>
      <c r="ZM29">
        <v>96.13</v>
      </c>
      <c r="ZN29">
        <v>96.11</v>
      </c>
      <c r="ZO29">
        <v>96.07</v>
      </c>
      <c r="ZP29">
        <v>96.1</v>
      </c>
      <c r="ZQ29">
        <v>96.194999999999993</v>
      </c>
      <c r="ZR29">
        <v>96.135000000000005</v>
      </c>
      <c r="ZS29">
        <v>96.045000000000002</v>
      </c>
      <c r="ZT29">
        <v>95.905000000000001</v>
      </c>
      <c r="ZU29">
        <v>95.954999999999998</v>
      </c>
      <c r="ZV29">
        <v>96.01</v>
      </c>
      <c r="ZW29">
        <v>96.12</v>
      </c>
      <c r="ZX29">
        <v>96.245000000000005</v>
      </c>
      <c r="ZY29">
        <v>96.224999999999994</v>
      </c>
      <c r="ZZ29">
        <v>96.24</v>
      </c>
      <c r="AAA29">
        <v>96.284999999999997</v>
      </c>
      <c r="AAB29">
        <v>96.27</v>
      </c>
      <c r="AAC29">
        <v>96.23</v>
      </c>
      <c r="AAD29">
        <v>96.18</v>
      </c>
      <c r="AAE29">
        <v>96.28</v>
      </c>
      <c r="AAF29">
        <v>96.325000000000003</v>
      </c>
      <c r="AAG29">
        <v>96.364999999999995</v>
      </c>
      <c r="AAH29">
        <v>96.51</v>
      </c>
      <c r="AAI29">
        <v>96.43</v>
      </c>
      <c r="AAJ29">
        <v>96.275000000000006</v>
      </c>
      <c r="AAK29">
        <v>96.334999999999994</v>
      </c>
      <c r="AAL29">
        <v>96.38</v>
      </c>
      <c r="AAM29">
        <v>96.245000000000005</v>
      </c>
      <c r="AAN29">
        <v>96.37</v>
      </c>
      <c r="AAO29">
        <v>96.555000000000007</v>
      </c>
      <c r="AAP29">
        <v>96.444999999999993</v>
      </c>
      <c r="AAQ29">
        <v>96.62</v>
      </c>
      <c r="AAR29">
        <v>96.55</v>
      </c>
      <c r="AAS29">
        <v>96.64</v>
      </c>
      <c r="AAT29">
        <v>96.644999999999996</v>
      </c>
      <c r="AAU29">
        <v>96.67</v>
      </c>
      <c r="AAV29">
        <v>96.75</v>
      </c>
      <c r="AAW29">
        <v>96.72</v>
      </c>
      <c r="AAX29">
        <v>96.71</v>
      </c>
      <c r="AAY29">
        <v>96.765000000000001</v>
      </c>
      <c r="AAZ29">
        <v>96.77</v>
      </c>
      <c r="ABA29">
        <v>96.8</v>
      </c>
      <c r="ABB29">
        <v>96.69</v>
      </c>
      <c r="ABC29">
        <v>96.86</v>
      </c>
      <c r="ABD29">
        <v>96.86</v>
      </c>
      <c r="ABE29">
        <v>96.82</v>
      </c>
      <c r="ABF29">
        <v>97</v>
      </c>
      <c r="ABG29">
        <v>97.034999999999997</v>
      </c>
      <c r="ABH29">
        <v>96.99</v>
      </c>
      <c r="ABI29">
        <v>97.1</v>
      </c>
      <c r="ABJ29">
        <v>97.114999999999995</v>
      </c>
      <c r="ABK29">
        <v>97.025000000000006</v>
      </c>
      <c r="ABL29">
        <v>97.105000000000004</v>
      </c>
      <c r="ABM29">
        <v>97.14</v>
      </c>
      <c r="ABN29">
        <v>97.16</v>
      </c>
      <c r="ABO29">
        <v>97.29</v>
      </c>
      <c r="ABP29">
        <v>97.275000000000006</v>
      </c>
      <c r="ABQ29">
        <v>97.344999999999999</v>
      </c>
      <c r="ABR29">
        <v>97.32</v>
      </c>
      <c r="ABS29">
        <v>97.234999999999999</v>
      </c>
      <c r="ABT29">
        <v>97.18</v>
      </c>
      <c r="ABU29">
        <v>97.355000000000004</v>
      </c>
      <c r="ABV29">
        <v>97.394999999999996</v>
      </c>
      <c r="ABW29">
        <v>97.375</v>
      </c>
      <c r="ABX29">
        <v>97.284999999999997</v>
      </c>
      <c r="ABY29">
        <v>97.424999999999997</v>
      </c>
      <c r="ABZ29">
        <v>97.344999999999999</v>
      </c>
      <c r="ACA29">
        <v>97.33</v>
      </c>
      <c r="ACB29">
        <v>97.39</v>
      </c>
      <c r="ACC29">
        <v>97.32</v>
      </c>
      <c r="ACD29">
        <v>97.275000000000006</v>
      </c>
      <c r="ACE29">
        <v>97.224999999999994</v>
      </c>
      <c r="ACF29">
        <v>97.17</v>
      </c>
      <c r="ACG29">
        <v>97.135000000000005</v>
      </c>
      <c r="ACH29">
        <v>97.2</v>
      </c>
      <c r="ACI29">
        <v>97.094999999999999</v>
      </c>
      <c r="ACJ29">
        <v>96.984999999999999</v>
      </c>
      <c r="ACK29">
        <v>97.02</v>
      </c>
      <c r="ACL29">
        <v>97.06</v>
      </c>
      <c r="ACM29">
        <v>97.084999999999994</v>
      </c>
      <c r="ACN29">
        <v>97.02</v>
      </c>
      <c r="ACO29">
        <v>97.05</v>
      </c>
      <c r="ACP29">
        <v>96.93</v>
      </c>
      <c r="ACQ29">
        <v>96.875</v>
      </c>
      <c r="ACR29">
        <v>96.74</v>
      </c>
      <c r="ACS29">
        <v>96.825000000000003</v>
      </c>
      <c r="ACT29">
        <v>96.94</v>
      </c>
      <c r="ACU29">
        <v>97.025000000000006</v>
      </c>
      <c r="ACV29">
        <v>96.95</v>
      </c>
      <c r="ACW29">
        <v>96.95</v>
      </c>
      <c r="ACX29">
        <v>96.92</v>
      </c>
      <c r="ACY29">
        <v>96.805000000000007</v>
      </c>
      <c r="ACZ29">
        <v>96.704999999999998</v>
      </c>
      <c r="ADA29">
        <v>96.72</v>
      </c>
      <c r="ADB29">
        <v>96.775000000000006</v>
      </c>
      <c r="ADC29">
        <v>96.87</v>
      </c>
      <c r="ADD29">
        <v>96.77</v>
      </c>
      <c r="ADE29">
        <v>96.64</v>
      </c>
      <c r="ADF29">
        <v>96.74</v>
      </c>
      <c r="ADG29">
        <v>96.74</v>
      </c>
      <c r="ADH29">
        <v>96.66</v>
      </c>
      <c r="ADI29">
        <v>96.564999999999998</v>
      </c>
      <c r="ADJ29">
        <v>96.545000000000002</v>
      </c>
      <c r="ADK29">
        <v>96.635000000000005</v>
      </c>
      <c r="ADL29">
        <v>96.844999999999999</v>
      </c>
      <c r="ADM29">
        <v>96.905000000000001</v>
      </c>
      <c r="ADN29">
        <v>96.905000000000001</v>
      </c>
      <c r="ADO29">
        <v>96.96</v>
      </c>
      <c r="ADP29">
        <v>96.86</v>
      </c>
      <c r="ADQ29">
        <v>96.965000000000003</v>
      </c>
      <c r="ADR29">
        <v>97.015000000000001</v>
      </c>
      <c r="ADS29">
        <v>96.97</v>
      </c>
      <c r="ADT29">
        <v>97.01</v>
      </c>
      <c r="ADU29">
        <v>97.105000000000004</v>
      </c>
      <c r="ADV29">
        <v>97.105000000000004</v>
      </c>
      <c r="ADW29">
        <v>97.084999999999994</v>
      </c>
      <c r="ADX29">
        <v>97.125</v>
      </c>
      <c r="ADY29">
        <v>97.13</v>
      </c>
      <c r="ADZ29">
        <v>97.11</v>
      </c>
      <c r="AEA29">
        <v>97.17</v>
      </c>
      <c r="AEB29">
        <v>97.07</v>
      </c>
      <c r="AEC29">
        <v>97.034999999999997</v>
      </c>
      <c r="AED29">
        <v>96.9</v>
      </c>
      <c r="AEE29">
        <v>96.974999999999994</v>
      </c>
      <c r="AEF29">
        <v>96.924999999999997</v>
      </c>
      <c r="AEG29">
        <v>97.034999999999997</v>
      </c>
      <c r="AEH29">
        <v>96.944999999999993</v>
      </c>
      <c r="AEI29">
        <v>96.82</v>
      </c>
      <c r="AEJ29">
        <v>96.72</v>
      </c>
      <c r="AEK29">
        <v>96.685000000000002</v>
      </c>
      <c r="AEL29">
        <v>96.79</v>
      </c>
      <c r="AEM29">
        <v>96.95</v>
      </c>
      <c r="AEN29">
        <v>96.97</v>
      </c>
      <c r="AEO29">
        <v>96.905000000000001</v>
      </c>
      <c r="AEP29">
        <v>97.05</v>
      </c>
      <c r="AEQ29">
        <v>97.05</v>
      </c>
      <c r="AER29">
        <v>97.114999999999995</v>
      </c>
      <c r="AES29">
        <v>97.185000000000002</v>
      </c>
      <c r="AET29">
        <v>97.17</v>
      </c>
      <c r="AEU29">
        <v>97.084999999999994</v>
      </c>
      <c r="AEV29">
        <v>97.05</v>
      </c>
      <c r="AEW29">
        <v>97.114999999999995</v>
      </c>
      <c r="AEX29">
        <v>97.015000000000001</v>
      </c>
      <c r="AEY29">
        <v>97.05</v>
      </c>
      <c r="AEZ29">
        <v>97.14</v>
      </c>
      <c r="AFA29">
        <v>97.14</v>
      </c>
      <c r="AFB29">
        <v>97.275000000000006</v>
      </c>
      <c r="AFC29">
        <v>97.22</v>
      </c>
      <c r="AFD29">
        <v>97.2</v>
      </c>
      <c r="AFE29">
        <v>97.325000000000003</v>
      </c>
      <c r="AFF29">
        <v>97.42</v>
      </c>
      <c r="AFG29">
        <v>97.56</v>
      </c>
      <c r="AFH29">
        <v>97.67</v>
      </c>
      <c r="AFI29">
        <v>97.814999999999998</v>
      </c>
      <c r="AFJ29">
        <v>97.834999999999994</v>
      </c>
      <c r="AFK29">
        <v>97.86</v>
      </c>
      <c r="AFL29">
        <v>97.814999999999998</v>
      </c>
      <c r="AFM29">
        <v>97.76</v>
      </c>
      <c r="AFN29">
        <v>97.674999999999997</v>
      </c>
      <c r="AFO29">
        <v>97.644999999999996</v>
      </c>
      <c r="AFP29">
        <v>97.79</v>
      </c>
      <c r="AFQ29">
        <v>97.814999999999998</v>
      </c>
      <c r="AFR29">
        <v>97.76</v>
      </c>
      <c r="AFS29">
        <v>97.825000000000003</v>
      </c>
      <c r="AFT29">
        <v>97.965000000000003</v>
      </c>
      <c r="AFU29">
        <v>97.89</v>
      </c>
      <c r="AFV29">
        <v>97.87</v>
      </c>
      <c r="AFW29">
        <v>97.88</v>
      </c>
      <c r="AFX29">
        <v>97.905000000000001</v>
      </c>
      <c r="AFY29">
        <v>98.064999999999998</v>
      </c>
      <c r="AFZ29">
        <v>98.075000000000003</v>
      </c>
      <c r="AGA29">
        <v>98.15</v>
      </c>
      <c r="AGB29">
        <v>98.245000000000005</v>
      </c>
      <c r="AGC29">
        <v>98.36</v>
      </c>
      <c r="AGD29">
        <v>98.334999999999994</v>
      </c>
      <c r="AGE29">
        <v>98.2</v>
      </c>
      <c r="AGF29">
        <v>98.155000000000001</v>
      </c>
      <c r="AGG29">
        <v>98.295000000000002</v>
      </c>
      <c r="AGH29">
        <v>98.18</v>
      </c>
      <c r="AGI29">
        <v>98.04</v>
      </c>
      <c r="AGJ29">
        <v>98.05</v>
      </c>
      <c r="AGK29">
        <v>98.075000000000003</v>
      </c>
      <c r="AGL29">
        <v>98.114999999999995</v>
      </c>
      <c r="AGM29">
        <v>98.105000000000004</v>
      </c>
      <c r="AGN29">
        <v>98.105000000000004</v>
      </c>
      <c r="AGO29">
        <v>98.055000000000007</v>
      </c>
      <c r="AGP29">
        <v>97.965000000000003</v>
      </c>
      <c r="AGQ29">
        <v>97.974999999999994</v>
      </c>
      <c r="AGR29">
        <v>98.06</v>
      </c>
      <c r="AGS29">
        <v>98.105000000000004</v>
      </c>
      <c r="AGT29">
        <v>97.995000000000005</v>
      </c>
      <c r="AGU29">
        <v>98.064999999999998</v>
      </c>
      <c r="AGV29">
        <v>98.02</v>
      </c>
      <c r="AGW29">
        <v>98.06</v>
      </c>
      <c r="AGX29">
        <v>98.045000000000002</v>
      </c>
      <c r="AGY29">
        <v>98.15</v>
      </c>
      <c r="AGZ29">
        <v>98.21</v>
      </c>
      <c r="AHA29">
        <v>98.174999999999997</v>
      </c>
      <c r="AHB29">
        <v>98.185000000000002</v>
      </c>
      <c r="AHC29">
        <v>98.194999999999993</v>
      </c>
      <c r="AHD29">
        <v>98.155000000000001</v>
      </c>
      <c r="AHE29">
        <v>98.05</v>
      </c>
      <c r="AHF29">
        <v>98.114999999999995</v>
      </c>
      <c r="AHG29">
        <v>98.18</v>
      </c>
      <c r="AHH29">
        <v>98.16</v>
      </c>
      <c r="AHI29">
        <v>98.09</v>
      </c>
      <c r="AHJ29">
        <v>98.08</v>
      </c>
      <c r="AHK29">
        <v>98.025000000000006</v>
      </c>
      <c r="AHL29">
        <v>98.13</v>
      </c>
      <c r="AHM29">
        <v>98.13</v>
      </c>
      <c r="AHN29">
        <v>98.204999999999998</v>
      </c>
      <c r="AHO29">
        <v>98.174999999999997</v>
      </c>
      <c r="AHP29">
        <v>98.13</v>
      </c>
      <c r="AHQ29">
        <v>98.08</v>
      </c>
      <c r="AHR29">
        <v>98.08</v>
      </c>
      <c r="AHS29">
        <v>98.105000000000004</v>
      </c>
      <c r="AHT29">
        <v>98.13</v>
      </c>
      <c r="AHU29">
        <v>98.15</v>
      </c>
      <c r="AHV29">
        <v>98.21</v>
      </c>
      <c r="AHW29">
        <v>98.38</v>
      </c>
      <c r="AHX29">
        <v>98.364999999999995</v>
      </c>
      <c r="AHY29">
        <v>98.355000000000004</v>
      </c>
      <c r="AHZ29">
        <v>98.45</v>
      </c>
      <c r="AIA29">
        <v>98.424999999999997</v>
      </c>
      <c r="AIB29">
        <v>98.39</v>
      </c>
      <c r="AIC29">
        <v>98.39</v>
      </c>
      <c r="AID29">
        <v>98.415000000000006</v>
      </c>
      <c r="AIE29">
        <v>98.38</v>
      </c>
      <c r="AIF29">
        <v>98.474999999999994</v>
      </c>
      <c r="AIG29">
        <v>98.545000000000002</v>
      </c>
      <c r="AIH29">
        <v>98.51</v>
      </c>
      <c r="AII29">
        <v>98.47</v>
      </c>
      <c r="AIJ29">
        <v>98.47</v>
      </c>
      <c r="AIK29">
        <v>98.474999999999994</v>
      </c>
      <c r="AIL29">
        <v>98.41</v>
      </c>
      <c r="AIM29">
        <v>98.435000000000002</v>
      </c>
      <c r="AIN29">
        <v>98.394999999999996</v>
      </c>
      <c r="AIO29">
        <v>98.415000000000006</v>
      </c>
      <c r="AIP29">
        <v>98.45</v>
      </c>
      <c r="AIQ29">
        <v>98.6</v>
      </c>
      <c r="AIR29">
        <v>98.454999999999998</v>
      </c>
      <c r="AIS29">
        <v>98.444999999999993</v>
      </c>
      <c r="AIT29">
        <v>98.36</v>
      </c>
      <c r="AIU29">
        <v>98.24</v>
      </c>
      <c r="AIV29">
        <v>98.334999999999994</v>
      </c>
      <c r="AIW29">
        <v>98.16</v>
      </c>
      <c r="AIX29">
        <v>98.16</v>
      </c>
      <c r="AIY29">
        <v>98.12</v>
      </c>
      <c r="AIZ29">
        <v>98.19</v>
      </c>
      <c r="AJA29">
        <v>98.295000000000002</v>
      </c>
      <c r="AJB29">
        <v>98.224999999999994</v>
      </c>
      <c r="AJC29">
        <v>98.194999999999993</v>
      </c>
      <c r="AJD29">
        <v>98.17</v>
      </c>
      <c r="AJE29">
        <v>98.21</v>
      </c>
      <c r="AJF29">
        <v>98.25</v>
      </c>
      <c r="AJG29">
        <v>98.265000000000001</v>
      </c>
      <c r="AJH29">
        <v>98.295000000000002</v>
      </c>
      <c r="AJI29">
        <v>98.375</v>
      </c>
      <c r="AJJ29">
        <v>98.28</v>
      </c>
      <c r="AJK29">
        <v>98.305000000000007</v>
      </c>
      <c r="AJL29">
        <v>98.204999999999998</v>
      </c>
      <c r="AJM29">
        <v>98.174999999999997</v>
      </c>
      <c r="AJN29">
        <v>98.194999999999993</v>
      </c>
      <c r="AJO29">
        <v>98.23</v>
      </c>
      <c r="AJP29">
        <v>98.27</v>
      </c>
      <c r="AJQ29">
        <v>98.234999999999999</v>
      </c>
      <c r="AJR29">
        <v>98.254999999999995</v>
      </c>
      <c r="AJS29">
        <v>98.08</v>
      </c>
      <c r="AJT29">
        <v>98.07</v>
      </c>
      <c r="AJU29">
        <v>98.045000000000002</v>
      </c>
      <c r="AJV29">
        <v>97.99</v>
      </c>
      <c r="AJW29">
        <v>98.025000000000006</v>
      </c>
      <c r="AJX29">
        <v>98.05</v>
      </c>
      <c r="AJY29">
        <v>98.15</v>
      </c>
      <c r="AJZ29">
        <v>98.125</v>
      </c>
      <c r="AKA29">
        <v>98.18</v>
      </c>
      <c r="AKB29">
        <v>98.14</v>
      </c>
      <c r="AKC29">
        <v>98.034999999999997</v>
      </c>
      <c r="AKD29">
        <v>97.944999999999993</v>
      </c>
      <c r="AKE29">
        <v>97.94</v>
      </c>
      <c r="AKF29">
        <v>97.99</v>
      </c>
      <c r="AKG29">
        <v>98.05</v>
      </c>
      <c r="AKH29">
        <v>98.03</v>
      </c>
      <c r="AKI29">
        <v>98.08</v>
      </c>
      <c r="AKJ29">
        <v>98.055000000000007</v>
      </c>
      <c r="AKK29">
        <v>97.995000000000005</v>
      </c>
      <c r="AKL29">
        <v>97.984999999999999</v>
      </c>
      <c r="AKM29">
        <v>98.01</v>
      </c>
      <c r="AKN29">
        <v>98.105000000000004</v>
      </c>
      <c r="AKO29">
        <v>98.155000000000001</v>
      </c>
      <c r="AKP29">
        <v>98.234999999999999</v>
      </c>
      <c r="AKQ29">
        <v>98.33</v>
      </c>
      <c r="AKR29">
        <v>98.275000000000006</v>
      </c>
      <c r="AKS29">
        <v>98.28</v>
      </c>
      <c r="AKT29">
        <v>98.204999999999998</v>
      </c>
      <c r="AKU29">
        <v>98.275000000000006</v>
      </c>
      <c r="AKV29">
        <v>98.314999999999998</v>
      </c>
      <c r="AKW29">
        <v>98.375</v>
      </c>
      <c r="AKX29">
        <v>98.295000000000002</v>
      </c>
      <c r="AKY29">
        <v>98.265000000000001</v>
      </c>
      <c r="AKZ29">
        <v>98.34</v>
      </c>
      <c r="ALA29">
        <v>98.3</v>
      </c>
      <c r="ALB29">
        <v>98.25</v>
      </c>
      <c r="ALC29">
        <v>98.3</v>
      </c>
      <c r="ALD29">
        <v>98.3</v>
      </c>
      <c r="ALE29">
        <v>98.355000000000004</v>
      </c>
      <c r="ALF29">
        <v>98.344999999999999</v>
      </c>
      <c r="ALG29">
        <v>98.33</v>
      </c>
      <c r="ALH29">
        <v>98.364999999999995</v>
      </c>
      <c r="ALI29">
        <v>98.355000000000004</v>
      </c>
      <c r="ALJ29">
        <v>98.325000000000003</v>
      </c>
      <c r="ALK29">
        <v>98.334999999999994</v>
      </c>
      <c r="ALL29">
        <v>98.41</v>
      </c>
      <c r="ALM29">
        <v>98.465000000000003</v>
      </c>
      <c r="ALN29">
        <v>98.454999999999998</v>
      </c>
      <c r="ALO29">
        <v>98.48</v>
      </c>
      <c r="ALP29">
        <v>98.43</v>
      </c>
      <c r="ALQ29">
        <v>98.47</v>
      </c>
      <c r="ALR29">
        <v>98.474999999999994</v>
      </c>
      <c r="ALS29">
        <v>98.424999999999997</v>
      </c>
      <c r="ALT29">
        <v>98.33</v>
      </c>
      <c r="ALU29">
        <v>98.344999999999999</v>
      </c>
      <c r="ALV29">
        <v>98.364999999999995</v>
      </c>
      <c r="ALW29">
        <v>98.38</v>
      </c>
      <c r="ALX29">
        <v>98.415000000000006</v>
      </c>
      <c r="ALY29">
        <v>98.51</v>
      </c>
      <c r="ALZ29">
        <v>98.53</v>
      </c>
      <c r="AMA29">
        <v>98.525000000000006</v>
      </c>
      <c r="AMB29">
        <v>98.53</v>
      </c>
      <c r="AMC29">
        <v>98.435000000000002</v>
      </c>
      <c r="AMD29">
        <v>98.415000000000006</v>
      </c>
      <c r="AME29">
        <v>98.44</v>
      </c>
      <c r="AMF29">
        <v>98.465000000000003</v>
      </c>
      <c r="AMG29">
        <v>98.42</v>
      </c>
      <c r="AMH29">
        <v>98.4</v>
      </c>
      <c r="AMI29">
        <v>98.424999999999997</v>
      </c>
      <c r="AMJ29">
        <v>98.42</v>
      </c>
      <c r="AMK29">
        <v>98.525000000000006</v>
      </c>
      <c r="AML29">
        <v>98.605000000000004</v>
      </c>
      <c r="AMM29">
        <v>98.43</v>
      </c>
      <c r="AMN29">
        <v>98.43</v>
      </c>
      <c r="AMO29">
        <v>98.32</v>
      </c>
      <c r="AMP29">
        <v>98.23</v>
      </c>
      <c r="AMQ29">
        <v>98.295000000000002</v>
      </c>
      <c r="AMR29">
        <v>98.29</v>
      </c>
      <c r="AMS29">
        <v>98.385000000000005</v>
      </c>
      <c r="AMT29">
        <v>98.37</v>
      </c>
      <c r="AMU29">
        <v>98.314999999999998</v>
      </c>
      <c r="AMV29">
        <v>98.23</v>
      </c>
      <c r="AMW29">
        <v>98.23</v>
      </c>
      <c r="AMX29">
        <v>98.165000000000006</v>
      </c>
      <c r="AMY29">
        <v>98.2</v>
      </c>
      <c r="AMZ29">
        <v>98.13</v>
      </c>
      <c r="ANA29">
        <v>98.12</v>
      </c>
      <c r="ANB29">
        <v>98.034999999999997</v>
      </c>
      <c r="ANC29">
        <v>98.08</v>
      </c>
      <c r="AND29">
        <v>98.07</v>
      </c>
      <c r="ANE29">
        <v>98.105000000000004</v>
      </c>
      <c r="ANF29">
        <v>98.1</v>
      </c>
      <c r="ANG29">
        <v>98.16</v>
      </c>
      <c r="ANH29">
        <v>98.055000000000007</v>
      </c>
      <c r="ANI29">
        <v>97.915000000000006</v>
      </c>
      <c r="ANJ29">
        <v>98.015000000000001</v>
      </c>
      <c r="ANK29">
        <v>98</v>
      </c>
      <c r="ANL29">
        <v>97.974999999999994</v>
      </c>
      <c r="ANM29">
        <v>97.995000000000005</v>
      </c>
      <c r="ANN29">
        <v>97.96</v>
      </c>
      <c r="ANO29">
        <v>97.91</v>
      </c>
      <c r="ANP29">
        <v>97.864999999999995</v>
      </c>
      <c r="ANQ29">
        <v>97.855000000000004</v>
      </c>
      <c r="ANR29">
        <v>97.76</v>
      </c>
      <c r="ANS29">
        <v>97.81</v>
      </c>
      <c r="ANT29">
        <v>97.775000000000006</v>
      </c>
      <c r="ANU29">
        <v>97.82</v>
      </c>
      <c r="ANV29">
        <v>97.82</v>
      </c>
      <c r="ANW29">
        <v>97.81</v>
      </c>
      <c r="ANX29">
        <v>97.86</v>
      </c>
      <c r="ANY29">
        <v>97.88</v>
      </c>
      <c r="ANZ29">
        <v>97.83</v>
      </c>
      <c r="AOA29">
        <v>97.79</v>
      </c>
      <c r="AOB29">
        <v>97.795000000000002</v>
      </c>
      <c r="AOC29">
        <v>97.734999999999999</v>
      </c>
      <c r="AOD29">
        <v>97.775000000000006</v>
      </c>
      <c r="AOE29">
        <v>97.78</v>
      </c>
      <c r="AOF29">
        <v>97.79</v>
      </c>
      <c r="AOG29">
        <v>97.745000000000005</v>
      </c>
      <c r="AOH29">
        <v>97.69</v>
      </c>
      <c r="AOI29">
        <v>97.784999999999997</v>
      </c>
      <c r="AOJ29">
        <v>97.81</v>
      </c>
      <c r="AOK29">
        <v>97.84</v>
      </c>
      <c r="AOL29">
        <v>97.855000000000004</v>
      </c>
      <c r="AOM29">
        <v>97.82</v>
      </c>
      <c r="AON29">
        <v>97.795000000000002</v>
      </c>
      <c r="AOO29">
        <v>97.77</v>
      </c>
      <c r="AOP29">
        <v>97.734999999999999</v>
      </c>
      <c r="AOQ29">
        <v>97.734999999999999</v>
      </c>
      <c r="AOR29">
        <v>97.76</v>
      </c>
      <c r="AOS29">
        <v>97.77</v>
      </c>
      <c r="AOT29">
        <v>97.83</v>
      </c>
      <c r="AOU29">
        <v>97.84</v>
      </c>
      <c r="AOV29">
        <v>97.864999999999995</v>
      </c>
      <c r="AOW29">
        <v>97.85</v>
      </c>
      <c r="AOX29">
        <v>97.855000000000004</v>
      </c>
      <c r="AOY29">
        <v>97.83</v>
      </c>
      <c r="AOZ29">
        <v>97.844999999999999</v>
      </c>
      <c r="APA29">
        <v>97.885000000000005</v>
      </c>
      <c r="APB29">
        <v>97.74</v>
      </c>
      <c r="APC29">
        <v>97.73</v>
      </c>
      <c r="APD29">
        <v>97.635000000000005</v>
      </c>
      <c r="APE29">
        <v>97.644999999999996</v>
      </c>
      <c r="APF29">
        <v>97.674999999999997</v>
      </c>
      <c r="APG29">
        <v>97.65</v>
      </c>
      <c r="APH29">
        <v>97.625</v>
      </c>
      <c r="API29">
        <v>97.52</v>
      </c>
      <c r="APJ29">
        <v>97.504999999999995</v>
      </c>
      <c r="APK29">
        <v>97.57</v>
      </c>
      <c r="APL29">
        <v>97.46</v>
      </c>
      <c r="APM29">
        <v>97.495000000000005</v>
      </c>
      <c r="APN29">
        <v>97.52</v>
      </c>
      <c r="APO29">
        <v>97.6</v>
      </c>
      <c r="APP29">
        <v>97.66</v>
      </c>
      <c r="APQ29">
        <v>97.64</v>
      </c>
      <c r="APR29">
        <v>97.62</v>
      </c>
      <c r="APS29">
        <v>97.56</v>
      </c>
      <c r="APT29">
        <v>97.515000000000001</v>
      </c>
      <c r="APU29">
        <v>97.67</v>
      </c>
      <c r="APV29">
        <v>97.86</v>
      </c>
      <c r="APW29">
        <v>97.855000000000004</v>
      </c>
      <c r="APX29">
        <v>97.85</v>
      </c>
      <c r="APY29">
        <v>97.834999999999994</v>
      </c>
      <c r="APZ29">
        <v>97.905000000000001</v>
      </c>
      <c r="AQA29">
        <v>97.915000000000006</v>
      </c>
      <c r="AQB29">
        <v>97.885000000000005</v>
      </c>
      <c r="AQC29">
        <v>97.83</v>
      </c>
      <c r="AQD29">
        <v>97.894999999999996</v>
      </c>
      <c r="AQE29">
        <v>97.885000000000005</v>
      </c>
      <c r="AQF29">
        <v>97.95</v>
      </c>
      <c r="AQG29">
        <v>98.004999999999995</v>
      </c>
      <c r="AQH29">
        <v>97.965000000000003</v>
      </c>
      <c r="AQI29">
        <v>97.894999999999996</v>
      </c>
      <c r="AQJ29">
        <v>97.9</v>
      </c>
      <c r="AQK29">
        <v>97.995000000000005</v>
      </c>
      <c r="AQL29">
        <v>98.02</v>
      </c>
      <c r="AQM29">
        <v>98.01</v>
      </c>
      <c r="AQN29">
        <v>98.045000000000002</v>
      </c>
      <c r="AQO29">
        <v>98.09</v>
      </c>
      <c r="AQP29">
        <v>98.12</v>
      </c>
      <c r="AQQ29">
        <v>98.144999999999996</v>
      </c>
      <c r="AQR29">
        <v>98.265000000000001</v>
      </c>
      <c r="AQS29">
        <v>98.265000000000001</v>
      </c>
      <c r="AQT29">
        <v>98.355000000000004</v>
      </c>
      <c r="AQU29">
        <v>98.364999999999995</v>
      </c>
      <c r="AQV29">
        <v>98.35</v>
      </c>
      <c r="AQW29">
        <v>98.34</v>
      </c>
      <c r="AQX29">
        <v>98.36</v>
      </c>
      <c r="AQY29">
        <v>98.364999999999995</v>
      </c>
      <c r="AQZ29">
        <v>98.465000000000003</v>
      </c>
      <c r="ARA29">
        <v>98.48</v>
      </c>
      <c r="ARB29">
        <v>98.545000000000002</v>
      </c>
      <c r="ARC29">
        <v>98.545000000000002</v>
      </c>
      <c r="ARD29">
        <v>98.55</v>
      </c>
      <c r="ARE29">
        <v>98.545000000000002</v>
      </c>
      <c r="ARF29">
        <v>98.54</v>
      </c>
      <c r="ARG29">
        <v>98.545000000000002</v>
      </c>
      <c r="ARH29">
        <v>98.545000000000002</v>
      </c>
      <c r="ARI29">
        <v>98.54</v>
      </c>
      <c r="ARJ29">
        <v>98.555000000000007</v>
      </c>
      <c r="ARK29">
        <v>98.555000000000007</v>
      </c>
      <c r="ARL29">
        <v>98.545000000000002</v>
      </c>
      <c r="ARM29">
        <v>98.545000000000002</v>
      </c>
      <c r="ARN29">
        <v>98.58</v>
      </c>
      <c r="ARO29">
        <v>98.564999999999998</v>
      </c>
      <c r="ARP29">
        <v>98.54</v>
      </c>
      <c r="ARQ29">
        <v>98.545000000000002</v>
      </c>
      <c r="ARR29">
        <v>98.55</v>
      </c>
      <c r="ARS29">
        <v>98.59</v>
      </c>
      <c r="ART29">
        <v>98.77</v>
      </c>
      <c r="ARU29">
        <v>98.814999999999998</v>
      </c>
      <c r="ARV29">
        <v>98.825000000000003</v>
      </c>
      <c r="ARW29">
        <v>98.814999999999998</v>
      </c>
      <c r="ARX29">
        <v>98.814999999999998</v>
      </c>
      <c r="ARY29">
        <v>98.805000000000007</v>
      </c>
      <c r="ARZ29">
        <v>98.79</v>
      </c>
      <c r="ASA29">
        <v>98.784999999999997</v>
      </c>
      <c r="ASB29">
        <v>98.79</v>
      </c>
      <c r="ASC29">
        <v>98.79</v>
      </c>
      <c r="ASD29">
        <v>98.79</v>
      </c>
      <c r="ASE29">
        <v>98.795000000000002</v>
      </c>
      <c r="ASF29">
        <v>98.79</v>
      </c>
      <c r="ASG29">
        <v>98.79</v>
      </c>
      <c r="ASH29">
        <v>98.88</v>
      </c>
      <c r="ASI29">
        <v>98.89</v>
      </c>
      <c r="ASJ29">
        <v>98.944999999999993</v>
      </c>
      <c r="ASK29">
        <v>98.944999999999993</v>
      </c>
      <c r="ASL29">
        <v>98.944999999999993</v>
      </c>
      <c r="ASM29">
        <v>99.105000000000004</v>
      </c>
      <c r="ASN29">
        <v>99.484999999999999</v>
      </c>
      <c r="ASO29">
        <v>99.59</v>
      </c>
      <c r="ASP29">
        <v>99.59</v>
      </c>
      <c r="ASQ29">
        <v>99.6</v>
      </c>
      <c r="ASR29">
        <v>99.614999999999995</v>
      </c>
      <c r="ASS29">
        <v>99.62</v>
      </c>
      <c r="AST29">
        <v>99.625</v>
      </c>
      <c r="ASU29">
        <v>99.65</v>
      </c>
      <c r="ASV29">
        <v>99.655000000000001</v>
      </c>
      <c r="ASW29">
        <v>99.65</v>
      </c>
      <c r="ASX29">
        <v>99.65</v>
      </c>
      <c r="ASY29">
        <v>99.644999999999996</v>
      </c>
      <c r="ASZ29">
        <v>99.64</v>
      </c>
      <c r="ATA29">
        <v>99.655000000000001</v>
      </c>
      <c r="ATB29">
        <v>99.65</v>
      </c>
      <c r="ATC29">
        <v>99.65</v>
      </c>
      <c r="ATD29">
        <v>99.655000000000001</v>
      </c>
      <c r="ATE29">
        <v>99.644999999999996</v>
      </c>
      <c r="ATF29">
        <v>99.644999999999996</v>
      </c>
      <c r="ATG29">
        <v>99.64</v>
      </c>
      <c r="ATH29">
        <v>99.62</v>
      </c>
      <c r="ATI29">
        <v>99.62</v>
      </c>
      <c r="ATJ29">
        <v>99.655000000000001</v>
      </c>
      <c r="ATK29">
        <v>99.7</v>
      </c>
      <c r="ATL29">
        <v>99.704999999999998</v>
      </c>
      <c r="ATM29">
        <v>99.724999999999994</v>
      </c>
      <c r="ATN29">
        <v>99.694999999999993</v>
      </c>
      <c r="ATO29">
        <v>99.704999999999998</v>
      </c>
      <c r="ATP29">
        <v>99.7</v>
      </c>
      <c r="ATQ29">
        <v>99.704999999999998</v>
      </c>
      <c r="ATR29">
        <v>99.715000000000003</v>
      </c>
      <c r="ATS29">
        <v>99.715000000000003</v>
      </c>
      <c r="ATT29">
        <v>99.71</v>
      </c>
      <c r="ATU29">
        <v>99.7</v>
      </c>
      <c r="ATV29">
        <v>99.69</v>
      </c>
      <c r="ATW29">
        <v>99.715000000000003</v>
      </c>
      <c r="ATX29">
        <v>99.715000000000003</v>
      </c>
      <c r="ATY29">
        <v>99.724999999999994</v>
      </c>
      <c r="ATZ29">
        <v>99.734999999999999</v>
      </c>
      <c r="AUA29">
        <v>99.73</v>
      </c>
      <c r="AUB29">
        <v>99.734999999999999</v>
      </c>
      <c r="AUC29">
        <v>99.73</v>
      </c>
      <c r="AUD29">
        <v>99.715000000000003</v>
      </c>
      <c r="AUE29">
        <v>99.71</v>
      </c>
      <c r="AUF29">
        <v>99.724999999999994</v>
      </c>
      <c r="AUG29">
        <v>99.72</v>
      </c>
      <c r="AUH29">
        <v>99.745000000000005</v>
      </c>
      <c r="AUI29">
        <v>99.745000000000005</v>
      </c>
      <c r="AUJ29">
        <v>99.795000000000002</v>
      </c>
      <c r="AUK29">
        <v>99.795000000000002</v>
      </c>
      <c r="AUL29">
        <v>99.795000000000002</v>
      </c>
      <c r="AUM29">
        <v>99.8</v>
      </c>
      <c r="AUN29">
        <v>99.8</v>
      </c>
      <c r="AUO29">
        <v>99.81</v>
      </c>
      <c r="AUP29">
        <v>99.81</v>
      </c>
      <c r="AUQ29">
        <v>99.814999999999998</v>
      </c>
      <c r="AUR29">
        <v>99.814999999999998</v>
      </c>
      <c r="AUS29">
        <v>99.805000000000007</v>
      </c>
      <c r="AUT29">
        <v>99.784999999999997</v>
      </c>
      <c r="AUU29">
        <v>99.8</v>
      </c>
      <c r="AUV29">
        <v>99.795000000000002</v>
      </c>
      <c r="AUW29">
        <v>99.825000000000003</v>
      </c>
      <c r="AUX29">
        <v>99.83</v>
      </c>
      <c r="AUY29">
        <v>99.82</v>
      </c>
      <c r="AUZ29">
        <v>99.795000000000002</v>
      </c>
      <c r="AVA29">
        <v>99.79</v>
      </c>
      <c r="AVB29">
        <v>99.795000000000002</v>
      </c>
      <c r="AVC29">
        <v>99.784999999999997</v>
      </c>
      <c r="AVD29">
        <v>99.784999999999997</v>
      </c>
      <c r="AVE29">
        <v>99.814999999999998</v>
      </c>
      <c r="AVF29">
        <v>99.805000000000007</v>
      </c>
      <c r="AVG29">
        <v>99.814999999999998</v>
      </c>
      <c r="AVH29">
        <v>99.81</v>
      </c>
      <c r="AVI29">
        <v>99.805000000000007</v>
      </c>
      <c r="AVJ29">
        <v>99.784999999999997</v>
      </c>
      <c r="AVK29">
        <v>99.795000000000002</v>
      </c>
      <c r="AVL29">
        <v>99.8</v>
      </c>
      <c r="AVM29">
        <v>99.81</v>
      </c>
      <c r="AVN29">
        <v>99.805000000000007</v>
      </c>
      <c r="AVO29">
        <v>99.814999999999998</v>
      </c>
      <c r="AVP29">
        <v>99.814999999999998</v>
      </c>
      <c r="AVQ29">
        <v>99.805000000000007</v>
      </c>
      <c r="AVR29">
        <v>99.79</v>
      </c>
      <c r="AVS29">
        <v>99.78</v>
      </c>
      <c r="AVT29">
        <v>99.78</v>
      </c>
      <c r="AVU29">
        <v>99.784999999999997</v>
      </c>
      <c r="AVV29">
        <v>99.784999999999997</v>
      </c>
      <c r="AVW29">
        <v>99.82</v>
      </c>
      <c r="AVX29">
        <v>99.83</v>
      </c>
      <c r="AVY29">
        <v>99.85</v>
      </c>
      <c r="AVZ29">
        <v>99.855000000000004</v>
      </c>
      <c r="AWA29">
        <v>99.864999999999995</v>
      </c>
      <c r="AWB29">
        <v>99.855000000000004</v>
      </c>
      <c r="AWC29">
        <v>99.85</v>
      </c>
      <c r="AWD29">
        <v>99.844999999999999</v>
      </c>
      <c r="AWE29">
        <v>99.825000000000003</v>
      </c>
      <c r="AWF29">
        <v>99.814999999999998</v>
      </c>
      <c r="AWG29">
        <v>99.81</v>
      </c>
      <c r="AWH29">
        <v>99.82</v>
      </c>
      <c r="AWI29">
        <v>99.825000000000003</v>
      </c>
      <c r="AWJ29">
        <v>99.825000000000003</v>
      </c>
      <c r="AWK29">
        <v>99.82</v>
      </c>
      <c r="AWL29">
        <v>99.82</v>
      </c>
      <c r="AWM29">
        <v>99.814999999999998</v>
      </c>
      <c r="AWN29">
        <v>99.814999999999998</v>
      </c>
      <c r="AWO29">
        <v>99.81</v>
      </c>
      <c r="AWP29">
        <v>99.82</v>
      </c>
      <c r="AWQ29">
        <v>99.82</v>
      </c>
      <c r="AWR29">
        <v>99.834999999999994</v>
      </c>
      <c r="AWS29">
        <v>99.85</v>
      </c>
      <c r="AWT29">
        <v>99.834999999999994</v>
      </c>
      <c r="AWU29">
        <v>99.83</v>
      </c>
      <c r="AWV29">
        <v>99.825000000000003</v>
      </c>
      <c r="AWW29">
        <v>99.825000000000003</v>
      </c>
      <c r="AWX29">
        <v>99.825000000000003</v>
      </c>
      <c r="AWY29">
        <v>99.814999999999998</v>
      </c>
      <c r="AWZ29">
        <v>99.834999999999994</v>
      </c>
      <c r="AXA29">
        <v>99.834999999999994</v>
      </c>
      <c r="AXB29">
        <v>99.825000000000003</v>
      </c>
      <c r="AXC29">
        <v>99.805000000000007</v>
      </c>
      <c r="AXD29">
        <v>99.805000000000007</v>
      </c>
      <c r="AXE29">
        <v>99.805000000000007</v>
      </c>
      <c r="AXF29">
        <v>99.8</v>
      </c>
      <c r="AXG29">
        <v>99.79</v>
      </c>
      <c r="AXH29">
        <v>99.77</v>
      </c>
      <c r="AXI29">
        <v>99.765000000000001</v>
      </c>
      <c r="AXJ29">
        <v>99.754999999999995</v>
      </c>
      <c r="AXK29">
        <v>99.77</v>
      </c>
      <c r="AXL29">
        <v>99.76</v>
      </c>
      <c r="AXM29">
        <v>99.77</v>
      </c>
      <c r="AXN29">
        <v>99.745000000000005</v>
      </c>
      <c r="AXO29">
        <v>99.694999999999993</v>
      </c>
      <c r="AXP29">
        <v>99.66</v>
      </c>
      <c r="AXQ29">
        <v>99.655000000000001</v>
      </c>
      <c r="AXR29">
        <v>99.72</v>
      </c>
      <c r="AXS29">
        <v>99.734999999999999</v>
      </c>
      <c r="AXT29">
        <v>99.77</v>
      </c>
      <c r="AXU29">
        <v>99.775000000000006</v>
      </c>
      <c r="AXV29">
        <v>99.765000000000001</v>
      </c>
      <c r="AXW29">
        <v>99.745000000000005</v>
      </c>
      <c r="AXX29">
        <v>99.75</v>
      </c>
      <c r="AXY29">
        <v>99.754999999999995</v>
      </c>
      <c r="AXZ29">
        <v>99.76</v>
      </c>
      <c r="AYA29">
        <v>99.76</v>
      </c>
      <c r="AYB29">
        <v>99.754999999999995</v>
      </c>
      <c r="AYC29">
        <v>99.754999999999995</v>
      </c>
      <c r="AYD29">
        <v>99.76</v>
      </c>
      <c r="AYE29">
        <v>99.76</v>
      </c>
      <c r="AYF29">
        <v>99.805000000000007</v>
      </c>
      <c r="AYG29">
        <v>99.78</v>
      </c>
      <c r="AYH29">
        <v>99.77</v>
      </c>
      <c r="AYI29">
        <v>99.75</v>
      </c>
      <c r="AYJ29">
        <v>99.75</v>
      </c>
      <c r="AYK29">
        <v>99.77</v>
      </c>
      <c r="AYL29">
        <v>99.78</v>
      </c>
      <c r="AYM29">
        <v>99.724999999999994</v>
      </c>
      <c r="AYN29">
        <v>99.71</v>
      </c>
      <c r="AYO29">
        <v>99.715000000000003</v>
      </c>
      <c r="AYP29">
        <v>99.7</v>
      </c>
      <c r="AYQ29">
        <v>99.704999999999998</v>
      </c>
      <c r="AYR29">
        <v>99.694999999999993</v>
      </c>
      <c r="AYS29">
        <v>99.68</v>
      </c>
      <c r="AYT29">
        <v>99.674999999999997</v>
      </c>
      <c r="AYU29">
        <v>99.685000000000002</v>
      </c>
      <c r="AYV29">
        <v>99.685000000000002</v>
      </c>
      <c r="AYW29">
        <v>99.68</v>
      </c>
      <c r="AYX29">
        <v>99.69</v>
      </c>
      <c r="AYY29">
        <v>99.67</v>
      </c>
      <c r="AYZ29">
        <v>99.66</v>
      </c>
      <c r="AZA29">
        <v>99.644999999999996</v>
      </c>
      <c r="AZB29">
        <v>99.635000000000005</v>
      </c>
      <c r="AZC29">
        <v>99.605000000000004</v>
      </c>
      <c r="AZD29">
        <v>99.59</v>
      </c>
      <c r="AZE29">
        <v>99.6</v>
      </c>
      <c r="AZF29">
        <v>99.6</v>
      </c>
      <c r="AZG29">
        <v>99.58</v>
      </c>
      <c r="AZH29">
        <v>99.564999999999998</v>
      </c>
      <c r="AZI29">
        <v>99.61</v>
      </c>
      <c r="AZJ29">
        <v>99.67</v>
      </c>
      <c r="AZK29">
        <v>99.665000000000006</v>
      </c>
      <c r="AZL29">
        <v>99.68</v>
      </c>
      <c r="AZM29">
        <v>99.655000000000001</v>
      </c>
      <c r="AZN29">
        <v>99.685000000000002</v>
      </c>
      <c r="AZO29">
        <v>99.64</v>
      </c>
      <c r="AZP29">
        <v>99.62</v>
      </c>
      <c r="AZQ29">
        <v>99.59</v>
      </c>
      <c r="AZR29">
        <v>99.584999999999994</v>
      </c>
      <c r="AZS29">
        <v>99.644999999999996</v>
      </c>
      <c r="AZT29">
        <v>99.564999999999998</v>
      </c>
      <c r="AZU29">
        <v>99.504999999999995</v>
      </c>
      <c r="AZV29">
        <v>99.4</v>
      </c>
      <c r="AZW29">
        <v>99.515000000000001</v>
      </c>
      <c r="AZX29">
        <v>99.564999999999998</v>
      </c>
      <c r="AZY29">
        <v>99.49</v>
      </c>
      <c r="AZZ29">
        <v>99.53</v>
      </c>
      <c r="BAA29">
        <v>99.46</v>
      </c>
      <c r="BAB29">
        <v>99.45</v>
      </c>
      <c r="BAC29">
        <v>99.57</v>
      </c>
      <c r="BAD29">
        <v>99.495000000000005</v>
      </c>
      <c r="BAE29">
        <v>99.41</v>
      </c>
      <c r="BAF29">
        <v>99.36</v>
      </c>
      <c r="BAG29">
        <v>99.3</v>
      </c>
      <c r="BAH29">
        <v>99.23</v>
      </c>
      <c r="BAI29">
        <v>99.23</v>
      </c>
      <c r="BAJ29">
        <v>99.03</v>
      </c>
      <c r="BAK29">
        <v>98.974999999999994</v>
      </c>
      <c r="BAL29">
        <v>98.984999999999999</v>
      </c>
      <c r="BAM29">
        <v>98.93</v>
      </c>
      <c r="BAN29">
        <v>98.82</v>
      </c>
      <c r="BAO29">
        <v>98.754999999999995</v>
      </c>
      <c r="BAP29">
        <v>98.71</v>
      </c>
      <c r="BAQ29">
        <v>98.734999999999999</v>
      </c>
      <c r="BAR29">
        <v>98.704999999999998</v>
      </c>
      <c r="BAS29">
        <v>98.704999999999998</v>
      </c>
      <c r="BAT29">
        <v>98.67</v>
      </c>
      <c r="BAU29">
        <v>98.67</v>
      </c>
      <c r="BAV29">
        <v>98.71</v>
      </c>
      <c r="BAW29">
        <v>98.74</v>
      </c>
      <c r="BAX29">
        <v>98.704999999999998</v>
      </c>
      <c r="BAY29">
        <v>98.65</v>
      </c>
      <c r="BAZ29">
        <v>98.67</v>
      </c>
      <c r="BBA29">
        <v>98.71</v>
      </c>
      <c r="BBB29">
        <v>98.795000000000002</v>
      </c>
      <c r="BBC29">
        <v>98.81</v>
      </c>
      <c r="BBD29">
        <v>98.754999999999995</v>
      </c>
      <c r="BBE29">
        <v>98.71</v>
      </c>
      <c r="BBF29">
        <v>98.66</v>
      </c>
      <c r="BBG29">
        <v>98.694999999999993</v>
      </c>
      <c r="BBH29">
        <v>98.61</v>
      </c>
      <c r="BBI29">
        <v>98.555000000000007</v>
      </c>
      <c r="BBJ29">
        <v>98.534999999999997</v>
      </c>
      <c r="BBK29">
        <v>98.52</v>
      </c>
      <c r="BBL29">
        <v>98.465000000000003</v>
      </c>
      <c r="BBM29">
        <v>98.465000000000003</v>
      </c>
      <c r="BBN29">
        <v>98.48</v>
      </c>
      <c r="BBO29">
        <v>98.49</v>
      </c>
      <c r="BBP29">
        <v>98.48</v>
      </c>
      <c r="BBQ29">
        <v>98.465000000000003</v>
      </c>
      <c r="BBR29">
        <v>98.47</v>
      </c>
      <c r="BBS29">
        <v>98.454999999999998</v>
      </c>
      <c r="BBT29">
        <v>98.45</v>
      </c>
      <c r="BBU29">
        <v>98.495000000000005</v>
      </c>
      <c r="BBV29">
        <v>98.504999999999995</v>
      </c>
      <c r="BBW29">
        <v>98.51</v>
      </c>
      <c r="BBX29">
        <v>98.42</v>
      </c>
      <c r="BBY29">
        <v>98.41</v>
      </c>
      <c r="BBZ29">
        <v>98.41</v>
      </c>
      <c r="BCA29">
        <v>98.415000000000006</v>
      </c>
      <c r="BCB29">
        <v>98.415000000000006</v>
      </c>
      <c r="BCC29">
        <v>98.375</v>
      </c>
      <c r="BCD29">
        <v>98.375</v>
      </c>
      <c r="BCE29">
        <v>98.375</v>
      </c>
      <c r="BCF29">
        <v>98.355000000000004</v>
      </c>
      <c r="BCG29">
        <v>98.394999999999996</v>
      </c>
      <c r="BCH29">
        <v>98.41</v>
      </c>
      <c r="BCI29">
        <v>98.39</v>
      </c>
      <c r="BCJ29">
        <v>98.42</v>
      </c>
      <c r="BCK29">
        <v>98.43</v>
      </c>
      <c r="BCL29">
        <v>98.504999999999995</v>
      </c>
      <c r="BCM29">
        <v>98.424999999999997</v>
      </c>
      <c r="BCN29">
        <v>98.51</v>
      </c>
      <c r="BCO29">
        <v>98.47</v>
      </c>
      <c r="BCP29">
        <v>98.484999999999999</v>
      </c>
      <c r="BCQ29">
        <v>98.495000000000005</v>
      </c>
      <c r="BCR29">
        <v>98.555000000000007</v>
      </c>
      <c r="BCS29">
        <v>98.57</v>
      </c>
      <c r="BCT29">
        <v>98.644999999999996</v>
      </c>
      <c r="BCU29">
        <v>98.525000000000006</v>
      </c>
      <c r="BCV29">
        <v>98.56</v>
      </c>
      <c r="BCW29">
        <v>98.55</v>
      </c>
      <c r="BCX29">
        <v>98.55</v>
      </c>
      <c r="BCY29">
        <v>98.59</v>
      </c>
      <c r="BCZ29">
        <v>98.58</v>
      </c>
      <c r="BDA29">
        <v>98.564999999999998</v>
      </c>
      <c r="BDB29">
        <v>98.584999999999994</v>
      </c>
      <c r="BDC29">
        <v>98.614999999999995</v>
      </c>
      <c r="BDD29">
        <v>98.58</v>
      </c>
      <c r="BDE29">
        <v>98.555000000000007</v>
      </c>
      <c r="BDF29">
        <v>98.53</v>
      </c>
      <c r="BDG29">
        <v>98.54</v>
      </c>
      <c r="BDH29">
        <v>98.49</v>
      </c>
      <c r="BDI29">
        <v>98.44</v>
      </c>
      <c r="BDJ29">
        <v>98.41</v>
      </c>
      <c r="BDK29">
        <v>98.42</v>
      </c>
      <c r="BDL29">
        <v>98.405000000000001</v>
      </c>
      <c r="BDM29">
        <v>98.515000000000001</v>
      </c>
      <c r="BDN29">
        <v>98.49</v>
      </c>
      <c r="BDO29">
        <v>98.55</v>
      </c>
      <c r="BDP29">
        <v>98.6</v>
      </c>
      <c r="BDQ29">
        <v>98.67</v>
      </c>
      <c r="BDR29">
        <v>98.545000000000002</v>
      </c>
      <c r="BDS29">
        <v>98.525000000000006</v>
      </c>
      <c r="BDT29">
        <v>98.53</v>
      </c>
      <c r="BDU29">
        <v>98.56</v>
      </c>
      <c r="BDV29">
        <v>98.605000000000004</v>
      </c>
      <c r="BDW29">
        <v>98.614999999999995</v>
      </c>
      <c r="BDX29">
        <v>98.594999999999999</v>
      </c>
      <c r="BDY29">
        <v>98.57</v>
      </c>
      <c r="BDZ29">
        <v>98.61</v>
      </c>
      <c r="BEA29">
        <v>98.584999999999994</v>
      </c>
      <c r="BEB29">
        <v>98.61</v>
      </c>
      <c r="BEC29">
        <v>98.57</v>
      </c>
      <c r="BED29">
        <v>98.625</v>
      </c>
      <c r="BEE29">
        <v>98.605000000000004</v>
      </c>
      <c r="BEF29">
        <v>98.734999999999999</v>
      </c>
      <c r="BEG29">
        <v>98.8</v>
      </c>
      <c r="BEH29">
        <v>98.855000000000004</v>
      </c>
      <c r="BEI29">
        <v>98.844999999999999</v>
      </c>
      <c r="BEJ29">
        <v>98.915000000000006</v>
      </c>
      <c r="BEK29">
        <v>98.924999999999997</v>
      </c>
      <c r="BEL29">
        <v>98.825000000000003</v>
      </c>
      <c r="BEM29">
        <v>98.75</v>
      </c>
      <c r="BEN29">
        <v>98.68</v>
      </c>
      <c r="BEO29">
        <v>98.69</v>
      </c>
      <c r="BEP29" t="s">
        <v>6984</v>
      </c>
      <c r="BEQ29" t="s">
        <v>6984</v>
      </c>
      <c r="BER29" t="s">
        <v>6984</v>
      </c>
      <c r="BES29" t="s">
        <v>6984</v>
      </c>
      <c r="BET29" t="s">
        <v>6984</v>
      </c>
      <c r="BEU29" t="s">
        <v>6984</v>
      </c>
      <c r="BEV29" t="s">
        <v>6984</v>
      </c>
      <c r="BEW29" t="s">
        <v>6984</v>
      </c>
      <c r="BEX29" t="s">
        <v>6984</v>
      </c>
      <c r="BEY29" t="s">
        <v>6984</v>
      </c>
      <c r="BEZ29" t="s">
        <v>6984</v>
      </c>
      <c r="BFA29" t="s">
        <v>6984</v>
      </c>
      <c r="BFB29" t="s">
        <v>6984</v>
      </c>
      <c r="BFC29" t="s">
        <v>6984</v>
      </c>
      <c r="BFD29" t="s">
        <v>6984</v>
      </c>
      <c r="BFE29" t="s">
        <v>6984</v>
      </c>
      <c r="BFF29" t="s">
        <v>6984</v>
      </c>
      <c r="BFG29" t="s">
        <v>6984</v>
      </c>
      <c r="BFH29" t="s">
        <v>6984</v>
      </c>
      <c r="BFI29" t="s">
        <v>6984</v>
      </c>
      <c r="BFJ29" t="s">
        <v>6984</v>
      </c>
      <c r="BFK29" t="s">
        <v>6984</v>
      </c>
      <c r="BFL29" t="s">
        <v>6984</v>
      </c>
      <c r="BFM29" t="s">
        <v>6984</v>
      </c>
      <c r="BFN29" t="s">
        <v>6984</v>
      </c>
      <c r="BFO29" t="s">
        <v>6984</v>
      </c>
      <c r="BFP29" t="s">
        <v>6984</v>
      </c>
      <c r="BFQ29" t="s">
        <v>6984</v>
      </c>
      <c r="BFR29" t="s">
        <v>6984</v>
      </c>
      <c r="BFS29" t="s">
        <v>6984</v>
      </c>
      <c r="BFT29" t="s">
        <v>6984</v>
      </c>
      <c r="BFU29" t="s">
        <v>6984</v>
      </c>
      <c r="BFV29" t="s">
        <v>6984</v>
      </c>
      <c r="BFW29" t="s">
        <v>6984</v>
      </c>
      <c r="BFX29" t="s">
        <v>6984</v>
      </c>
      <c r="BFY29" t="s">
        <v>6984</v>
      </c>
      <c r="BFZ29" t="s">
        <v>6984</v>
      </c>
      <c r="BGA29" t="s">
        <v>6984</v>
      </c>
      <c r="BGB29" t="s">
        <v>6984</v>
      </c>
      <c r="BGC29" t="s">
        <v>6984</v>
      </c>
      <c r="BGD29" t="s">
        <v>6984</v>
      </c>
      <c r="BGE29" t="s">
        <v>6984</v>
      </c>
      <c r="BGF29" t="s">
        <v>6984</v>
      </c>
      <c r="BGG29" t="s">
        <v>6984</v>
      </c>
      <c r="BGH29" t="s">
        <v>6984</v>
      </c>
      <c r="BGI29" t="s">
        <v>6984</v>
      </c>
      <c r="BGJ29" t="s">
        <v>6984</v>
      </c>
      <c r="BGK29" t="s">
        <v>6984</v>
      </c>
      <c r="BGL29" t="s">
        <v>6984</v>
      </c>
      <c r="BGM29" t="s">
        <v>6984</v>
      </c>
      <c r="BGN29" t="s">
        <v>6984</v>
      </c>
      <c r="BGO29" t="s">
        <v>6984</v>
      </c>
      <c r="BGP29" t="s">
        <v>6984</v>
      </c>
      <c r="BGQ29" t="s">
        <v>6984</v>
      </c>
      <c r="BGR29" t="s">
        <v>6984</v>
      </c>
      <c r="BGS29" t="s">
        <v>6984</v>
      </c>
      <c r="BGT29" t="s">
        <v>6984</v>
      </c>
      <c r="BGU29" t="s">
        <v>6984</v>
      </c>
      <c r="BGV29" t="s">
        <v>6984</v>
      </c>
      <c r="BGW29" t="s">
        <v>6984</v>
      </c>
      <c r="BGX29" t="s">
        <v>6984</v>
      </c>
      <c r="BGY29" t="s">
        <v>6984</v>
      </c>
      <c r="BGZ29" t="s">
        <v>6984</v>
      </c>
      <c r="BHA29" t="s">
        <v>6984</v>
      </c>
      <c r="BHB29" t="s">
        <v>6984</v>
      </c>
      <c r="BHC29" t="s">
        <v>6984</v>
      </c>
      <c r="BHD29" t="s">
        <v>6984</v>
      </c>
      <c r="BHE29" t="s">
        <v>6984</v>
      </c>
      <c r="BHF29" t="s">
        <v>6984</v>
      </c>
      <c r="BHG29" t="s">
        <v>6984</v>
      </c>
      <c r="BHH29" t="s">
        <v>6984</v>
      </c>
      <c r="BHI29" t="s">
        <v>6984</v>
      </c>
      <c r="BHJ29" t="s">
        <v>6984</v>
      </c>
      <c r="BHK29" t="s">
        <v>6984</v>
      </c>
      <c r="BHL29" t="s">
        <v>6984</v>
      </c>
      <c r="BHM29" t="s">
        <v>6984</v>
      </c>
      <c r="BHN29" t="s">
        <v>6984</v>
      </c>
      <c r="BHO29" t="s">
        <v>6984</v>
      </c>
      <c r="BHP29" t="s">
        <v>6984</v>
      </c>
      <c r="BHQ29" t="s">
        <v>6984</v>
      </c>
      <c r="BHR29" t="s">
        <v>6984</v>
      </c>
      <c r="BHS29" t="s">
        <v>6984</v>
      </c>
      <c r="BHT29" t="s">
        <v>6984</v>
      </c>
      <c r="BHU29" t="s">
        <v>6984</v>
      </c>
      <c r="BHV29" t="s">
        <v>6984</v>
      </c>
      <c r="BHW29" t="s">
        <v>6984</v>
      </c>
      <c r="BHX29" t="s">
        <v>6984</v>
      </c>
      <c r="BHY29" t="s">
        <v>6984</v>
      </c>
      <c r="BHZ29" t="s">
        <v>6984</v>
      </c>
      <c r="BIA29" t="s">
        <v>6984</v>
      </c>
      <c r="BIB29" t="s">
        <v>6984</v>
      </c>
      <c r="BIC29" t="s">
        <v>6984</v>
      </c>
      <c r="BID29" t="s">
        <v>6984</v>
      </c>
      <c r="BIE29" t="s">
        <v>6984</v>
      </c>
      <c r="BIF29" t="s">
        <v>6984</v>
      </c>
      <c r="BIG29" t="s">
        <v>6984</v>
      </c>
      <c r="BIH29" t="s">
        <v>6984</v>
      </c>
      <c r="BII29" t="s">
        <v>6984</v>
      </c>
      <c r="BIJ29" t="s">
        <v>6984</v>
      </c>
      <c r="BIK29" t="s">
        <v>6984</v>
      </c>
      <c r="BIL29" t="s">
        <v>6984</v>
      </c>
      <c r="BIM29" t="s">
        <v>6984</v>
      </c>
      <c r="BIN29" t="s">
        <v>6984</v>
      </c>
      <c r="BIO29" t="s">
        <v>6984</v>
      </c>
      <c r="BIP29" t="s">
        <v>6984</v>
      </c>
      <c r="BIQ29" t="s">
        <v>6984</v>
      </c>
      <c r="BIR29" t="s">
        <v>6984</v>
      </c>
      <c r="BIS29" t="s">
        <v>6984</v>
      </c>
      <c r="BIT29" t="s">
        <v>6984</v>
      </c>
      <c r="BIU29" t="s">
        <v>6984</v>
      </c>
      <c r="BIV29" t="s">
        <v>6984</v>
      </c>
      <c r="BIW29" t="s">
        <v>6984</v>
      </c>
      <c r="BIX29" t="s">
        <v>6984</v>
      </c>
      <c r="BIY29" t="s">
        <v>6984</v>
      </c>
      <c r="BIZ29" t="s">
        <v>6984</v>
      </c>
      <c r="BJA29" t="s">
        <v>6984</v>
      </c>
      <c r="BJB29" t="s">
        <v>6984</v>
      </c>
      <c r="BJC29" t="s">
        <v>6984</v>
      </c>
      <c r="BJD29" t="s">
        <v>6984</v>
      </c>
      <c r="BJE29" t="s">
        <v>6984</v>
      </c>
      <c r="BJF29" t="s">
        <v>6984</v>
      </c>
      <c r="BJG29" t="s">
        <v>6984</v>
      </c>
      <c r="BJH29" t="s">
        <v>6984</v>
      </c>
      <c r="BJI29" t="s">
        <v>6984</v>
      </c>
      <c r="BJJ29" t="s">
        <v>6984</v>
      </c>
      <c r="BJK29" t="s">
        <v>6984</v>
      </c>
      <c r="BJL29" t="s">
        <v>6984</v>
      </c>
      <c r="BJM29" t="s">
        <v>6984</v>
      </c>
      <c r="BJN29" t="s">
        <v>6984</v>
      </c>
      <c r="BJO29" t="s">
        <v>6984</v>
      </c>
      <c r="BJP29" t="s">
        <v>6984</v>
      </c>
      <c r="BJQ29" t="s">
        <v>6984</v>
      </c>
      <c r="BJR29" t="s">
        <v>6984</v>
      </c>
      <c r="BJS29" t="s">
        <v>6984</v>
      </c>
      <c r="BJT29" t="s">
        <v>6984</v>
      </c>
      <c r="BJU29" t="s">
        <v>6984</v>
      </c>
      <c r="BJV29" t="s">
        <v>6984</v>
      </c>
      <c r="BJW29" t="s">
        <v>6984</v>
      </c>
      <c r="BJX29" t="s">
        <v>6984</v>
      </c>
      <c r="BJY29" t="s">
        <v>6984</v>
      </c>
      <c r="BJZ29" t="s">
        <v>6984</v>
      </c>
      <c r="BKA29" t="s">
        <v>6984</v>
      </c>
      <c r="BKB29" t="s">
        <v>6984</v>
      </c>
      <c r="BKC29" t="s">
        <v>6984</v>
      </c>
      <c r="BKD29" t="s">
        <v>6984</v>
      </c>
      <c r="BKE29" t="s">
        <v>6984</v>
      </c>
      <c r="BKF29" t="s">
        <v>6984</v>
      </c>
      <c r="BKG29" t="s">
        <v>6984</v>
      </c>
      <c r="BKH29" t="s">
        <v>6984</v>
      </c>
      <c r="BKI29" t="s">
        <v>6984</v>
      </c>
      <c r="BKJ29" t="s">
        <v>6984</v>
      </c>
      <c r="BKK29" t="s">
        <v>6984</v>
      </c>
      <c r="BKL29" t="s">
        <v>6984</v>
      </c>
      <c r="BKM29" t="s">
        <v>6984</v>
      </c>
      <c r="BKN29" t="s">
        <v>6984</v>
      </c>
      <c r="BKO29" t="s">
        <v>6984</v>
      </c>
      <c r="BKP29" t="s">
        <v>6984</v>
      </c>
      <c r="BKQ29" t="s">
        <v>6984</v>
      </c>
      <c r="BKR29" t="s">
        <v>6984</v>
      </c>
      <c r="BKS29" t="s">
        <v>6984</v>
      </c>
      <c r="BKT29" t="s">
        <v>6984</v>
      </c>
      <c r="BKU29" t="s">
        <v>6984</v>
      </c>
      <c r="BKV29" t="s">
        <v>6984</v>
      </c>
      <c r="BKW29" t="s">
        <v>6984</v>
      </c>
      <c r="BKX29" t="s">
        <v>6984</v>
      </c>
      <c r="BKY29" t="s">
        <v>6984</v>
      </c>
      <c r="BKZ29" t="s">
        <v>6984</v>
      </c>
      <c r="BLA29" t="s">
        <v>6984</v>
      </c>
      <c r="BLB29" t="s">
        <v>6984</v>
      </c>
      <c r="BLC29" t="s">
        <v>6984</v>
      </c>
      <c r="BLD29" t="s">
        <v>6984</v>
      </c>
      <c r="BLE29" t="s">
        <v>6984</v>
      </c>
      <c r="BLF29" t="s">
        <v>6984</v>
      </c>
      <c r="BLG29" t="s">
        <v>6984</v>
      </c>
      <c r="BLH29" t="s">
        <v>6984</v>
      </c>
      <c r="BLI29" t="s">
        <v>6984</v>
      </c>
      <c r="BLJ29" t="s">
        <v>6984</v>
      </c>
      <c r="BLK29" t="s">
        <v>6984</v>
      </c>
      <c r="BLL29" t="s">
        <v>6984</v>
      </c>
      <c r="BLM29" t="s">
        <v>6984</v>
      </c>
      <c r="BLN29" t="s">
        <v>6984</v>
      </c>
      <c r="BLO29" t="s">
        <v>6984</v>
      </c>
      <c r="BLP29" t="s">
        <v>6984</v>
      </c>
      <c r="BLQ29" t="s">
        <v>6984</v>
      </c>
      <c r="BLR29" t="s">
        <v>6984</v>
      </c>
      <c r="BLS29" t="s">
        <v>6984</v>
      </c>
      <c r="BLT29" t="s">
        <v>6984</v>
      </c>
      <c r="BLU29" t="s">
        <v>6984</v>
      </c>
      <c r="BLV29" t="s">
        <v>6984</v>
      </c>
      <c r="BLW29" t="s">
        <v>6984</v>
      </c>
      <c r="BLX29" t="s">
        <v>6984</v>
      </c>
      <c r="BLY29" t="s">
        <v>6984</v>
      </c>
      <c r="BLZ29" t="s">
        <v>6984</v>
      </c>
      <c r="BMA29" t="s">
        <v>6984</v>
      </c>
      <c r="BMB29" t="s">
        <v>6984</v>
      </c>
      <c r="BMC29" t="s">
        <v>6984</v>
      </c>
      <c r="BMD29" t="s">
        <v>6984</v>
      </c>
      <c r="BME29" t="s">
        <v>6984</v>
      </c>
      <c r="BMF29" t="s">
        <v>6984</v>
      </c>
      <c r="BMG29" t="s">
        <v>6984</v>
      </c>
      <c r="BMH29" t="s">
        <v>6984</v>
      </c>
      <c r="BMI29" t="s">
        <v>6984</v>
      </c>
      <c r="BMJ29" t="s">
        <v>6984</v>
      </c>
      <c r="BMK29" t="s">
        <v>6984</v>
      </c>
      <c r="BML29" t="s">
        <v>6984</v>
      </c>
      <c r="BMM29" t="s">
        <v>6984</v>
      </c>
      <c r="BMN29" t="s">
        <v>6984</v>
      </c>
      <c r="BMO29" t="s">
        <v>6984</v>
      </c>
      <c r="BMP29" t="s">
        <v>6984</v>
      </c>
      <c r="BMQ29" t="s">
        <v>6984</v>
      </c>
      <c r="BMR29" t="s">
        <v>6984</v>
      </c>
      <c r="BMS29" t="s">
        <v>6984</v>
      </c>
      <c r="BMT29" t="s">
        <v>6984</v>
      </c>
      <c r="BMU29" t="s">
        <v>6984</v>
      </c>
      <c r="BMV29" t="s">
        <v>6984</v>
      </c>
      <c r="BMW29" t="s">
        <v>6984</v>
      </c>
      <c r="BMX29" t="s">
        <v>6984</v>
      </c>
      <c r="BMY29" t="s">
        <v>6984</v>
      </c>
      <c r="BMZ29" t="s">
        <v>6984</v>
      </c>
      <c r="BNA29" t="s">
        <v>6984</v>
      </c>
      <c r="BNB29" t="s">
        <v>6984</v>
      </c>
      <c r="BNC29" t="s">
        <v>6984</v>
      </c>
      <c r="BND29" t="s">
        <v>6984</v>
      </c>
      <c r="BNE29" t="s">
        <v>6984</v>
      </c>
      <c r="BNF29" t="s">
        <v>6984</v>
      </c>
      <c r="BNG29" t="s">
        <v>6984</v>
      </c>
      <c r="BNH29" t="s">
        <v>6984</v>
      </c>
      <c r="BNI29" t="s">
        <v>6984</v>
      </c>
      <c r="BNJ29" t="s">
        <v>6984</v>
      </c>
      <c r="BNK29" t="s">
        <v>6984</v>
      </c>
      <c r="BNL29" t="s">
        <v>6984</v>
      </c>
      <c r="BNM29" t="s">
        <v>6984</v>
      </c>
      <c r="BNN29" t="s">
        <v>6984</v>
      </c>
      <c r="BNO29" t="s">
        <v>6984</v>
      </c>
      <c r="BNP29" t="s">
        <v>6984</v>
      </c>
      <c r="BNQ29" t="s">
        <v>6984</v>
      </c>
      <c r="BNR29" t="s">
        <v>6984</v>
      </c>
      <c r="BNS29" t="s">
        <v>6984</v>
      </c>
      <c r="BNT29" t="s">
        <v>6984</v>
      </c>
      <c r="BNU29" t="s">
        <v>6984</v>
      </c>
      <c r="BNV29" t="s">
        <v>6984</v>
      </c>
      <c r="BNW29" t="s">
        <v>6984</v>
      </c>
      <c r="BNX29" t="s">
        <v>6984</v>
      </c>
      <c r="BNY29" t="s">
        <v>6984</v>
      </c>
      <c r="BNZ29" t="s">
        <v>6984</v>
      </c>
      <c r="BOA29" t="s">
        <v>6984</v>
      </c>
      <c r="BOB29" t="s">
        <v>6984</v>
      </c>
      <c r="BOC29" t="s">
        <v>6984</v>
      </c>
      <c r="BOD29" t="s">
        <v>6984</v>
      </c>
      <c r="BOE29" t="s">
        <v>6984</v>
      </c>
      <c r="BOF29" t="s">
        <v>6984</v>
      </c>
      <c r="BOG29" t="s">
        <v>6984</v>
      </c>
      <c r="BOH29" t="s">
        <v>6984</v>
      </c>
      <c r="BOI29" t="s">
        <v>6984</v>
      </c>
      <c r="BOJ29" t="s">
        <v>6984</v>
      </c>
      <c r="BOK29" t="s">
        <v>6984</v>
      </c>
      <c r="BOL29" t="s">
        <v>6984</v>
      </c>
      <c r="BOM29" t="s">
        <v>6984</v>
      </c>
      <c r="BON29" t="s">
        <v>6984</v>
      </c>
      <c r="BOO29" t="s">
        <v>6984</v>
      </c>
      <c r="BOP29" t="s">
        <v>6984</v>
      </c>
      <c r="BOQ29" t="s">
        <v>6984</v>
      </c>
      <c r="BOR29" t="s">
        <v>6984</v>
      </c>
      <c r="BOS29" t="s">
        <v>6984</v>
      </c>
      <c r="BOT29" t="s">
        <v>6984</v>
      </c>
      <c r="BOU29" t="s">
        <v>6984</v>
      </c>
      <c r="BOV29" t="s">
        <v>6984</v>
      </c>
      <c r="BOW29" t="s">
        <v>6984</v>
      </c>
      <c r="BOX29" t="s">
        <v>6984</v>
      </c>
      <c r="BOY29" t="s">
        <v>6984</v>
      </c>
      <c r="BOZ29" t="s">
        <v>6984</v>
      </c>
      <c r="BPA29" t="s">
        <v>6984</v>
      </c>
      <c r="BPB29" t="s">
        <v>6984</v>
      </c>
      <c r="BPC29" t="s">
        <v>6984</v>
      </c>
      <c r="BPD29" t="s">
        <v>6984</v>
      </c>
      <c r="BPE29" t="s">
        <v>6984</v>
      </c>
      <c r="BPF29" t="s">
        <v>6984</v>
      </c>
      <c r="BPG29" t="s">
        <v>6984</v>
      </c>
      <c r="BPH29" t="s">
        <v>6984</v>
      </c>
      <c r="BPI29" t="s">
        <v>6984</v>
      </c>
      <c r="BPJ29" t="s">
        <v>6984</v>
      </c>
      <c r="BPK29" t="s">
        <v>6984</v>
      </c>
      <c r="BPL29" t="s">
        <v>6984</v>
      </c>
      <c r="BPM29" t="s">
        <v>6984</v>
      </c>
      <c r="BPN29" t="s">
        <v>6984</v>
      </c>
      <c r="BPO29" t="s">
        <v>6984</v>
      </c>
      <c r="BPP29" t="s">
        <v>6984</v>
      </c>
      <c r="BPQ29" t="s">
        <v>6984</v>
      </c>
      <c r="BPR29" t="s">
        <v>6984</v>
      </c>
      <c r="BPS29" t="s">
        <v>6984</v>
      </c>
      <c r="BPT29" t="s">
        <v>6984</v>
      </c>
      <c r="BPU29" t="s">
        <v>6984</v>
      </c>
      <c r="BPV29" t="s">
        <v>6984</v>
      </c>
      <c r="BPW29" t="s">
        <v>6984</v>
      </c>
      <c r="BPX29" t="s">
        <v>6984</v>
      </c>
      <c r="BPY29" t="s">
        <v>6984</v>
      </c>
      <c r="BPZ29" t="s">
        <v>6984</v>
      </c>
      <c r="BQA29" t="s">
        <v>6984</v>
      </c>
      <c r="BQB29" t="s">
        <v>6984</v>
      </c>
      <c r="BQC29" t="s">
        <v>6984</v>
      </c>
      <c r="BQD29" t="s">
        <v>6984</v>
      </c>
      <c r="BQE29" t="s">
        <v>6984</v>
      </c>
      <c r="BQF29" t="s">
        <v>6984</v>
      </c>
      <c r="BQG29" t="s">
        <v>6984</v>
      </c>
      <c r="BQH29" t="s">
        <v>6984</v>
      </c>
      <c r="BQI29" t="s">
        <v>6984</v>
      </c>
      <c r="BQJ29" t="s">
        <v>6984</v>
      </c>
      <c r="BQK29" t="s">
        <v>6984</v>
      </c>
      <c r="BQL29" t="s">
        <v>6984</v>
      </c>
      <c r="BQM29" t="s">
        <v>6984</v>
      </c>
      <c r="BQN29" t="s">
        <v>6984</v>
      </c>
      <c r="BQO29" t="s">
        <v>6984</v>
      </c>
      <c r="BQP29" t="s">
        <v>6984</v>
      </c>
      <c r="BQQ29" t="s">
        <v>6984</v>
      </c>
      <c r="BQR29" t="s">
        <v>6984</v>
      </c>
      <c r="BQS29" t="s">
        <v>6984</v>
      </c>
      <c r="BQT29" t="s">
        <v>6984</v>
      </c>
      <c r="BQU29" t="s">
        <v>6984</v>
      </c>
      <c r="BQV29" t="s">
        <v>6984</v>
      </c>
      <c r="BQW29" t="s">
        <v>6984</v>
      </c>
      <c r="BQX29" t="s">
        <v>6984</v>
      </c>
      <c r="BQY29" t="s">
        <v>6984</v>
      </c>
      <c r="BQZ29" t="s">
        <v>6984</v>
      </c>
      <c r="BRA29" t="s">
        <v>6984</v>
      </c>
      <c r="BRB29" t="s">
        <v>6984</v>
      </c>
      <c r="BRC29" t="s">
        <v>6984</v>
      </c>
      <c r="BRD29" t="s">
        <v>6984</v>
      </c>
      <c r="BRE29" t="s">
        <v>6984</v>
      </c>
      <c r="BRF29" t="s">
        <v>6984</v>
      </c>
      <c r="BRG29" t="s">
        <v>6984</v>
      </c>
      <c r="BRH29" t="s">
        <v>6984</v>
      </c>
      <c r="BRI29" t="s">
        <v>6984</v>
      </c>
      <c r="BRJ29" t="s">
        <v>6984</v>
      </c>
      <c r="BRK29" t="s">
        <v>6984</v>
      </c>
      <c r="BRL29" t="s">
        <v>6984</v>
      </c>
      <c r="BRM29" t="s">
        <v>6984</v>
      </c>
      <c r="BRN29" t="s">
        <v>6984</v>
      </c>
      <c r="BRO29" t="s">
        <v>6984</v>
      </c>
      <c r="BRP29" t="s">
        <v>6984</v>
      </c>
      <c r="BRQ29" t="s">
        <v>6984</v>
      </c>
      <c r="BRR29" t="s">
        <v>6984</v>
      </c>
      <c r="BRS29" t="s">
        <v>6984</v>
      </c>
      <c r="BRT29" t="s">
        <v>6984</v>
      </c>
      <c r="BRU29" t="s">
        <v>6984</v>
      </c>
      <c r="BRV29" t="s">
        <v>6984</v>
      </c>
      <c r="BRW29" t="s">
        <v>6984</v>
      </c>
      <c r="BRX29" t="s">
        <v>6984</v>
      </c>
      <c r="BRY29" t="s">
        <v>6984</v>
      </c>
      <c r="BRZ29" t="s">
        <v>6984</v>
      </c>
      <c r="BSA29" t="s">
        <v>6984</v>
      </c>
      <c r="BSB29" t="s">
        <v>6984</v>
      </c>
      <c r="BSC29" t="s">
        <v>6984</v>
      </c>
      <c r="BSD29" t="s">
        <v>6984</v>
      </c>
      <c r="BSE29" t="s">
        <v>6984</v>
      </c>
      <c r="BSF29" t="s">
        <v>6984</v>
      </c>
      <c r="BSG29" t="s">
        <v>6984</v>
      </c>
      <c r="BSH29" t="s">
        <v>6984</v>
      </c>
      <c r="BSI29" t="s">
        <v>6984</v>
      </c>
      <c r="BSJ29" t="s">
        <v>6984</v>
      </c>
      <c r="BSK29" t="s">
        <v>6984</v>
      </c>
      <c r="BSL29" t="s">
        <v>6984</v>
      </c>
      <c r="BSM29" t="s">
        <v>6984</v>
      </c>
      <c r="BSN29" t="s">
        <v>6984</v>
      </c>
      <c r="BSO29" t="s">
        <v>6984</v>
      </c>
      <c r="BSP29" t="s">
        <v>6984</v>
      </c>
      <c r="BSQ29" t="s">
        <v>6984</v>
      </c>
      <c r="BSR29" t="s">
        <v>6984</v>
      </c>
      <c r="BSS29" t="s">
        <v>6984</v>
      </c>
      <c r="BST29" t="s">
        <v>6984</v>
      </c>
      <c r="BSU29" t="s">
        <v>6984</v>
      </c>
      <c r="BSV29" t="s">
        <v>6984</v>
      </c>
      <c r="BSW29" t="s">
        <v>6984</v>
      </c>
      <c r="BSX29" t="s">
        <v>6984</v>
      </c>
      <c r="BSY29" t="s">
        <v>6984</v>
      </c>
      <c r="BSZ29" t="s">
        <v>6984</v>
      </c>
      <c r="BTA29" t="s">
        <v>6984</v>
      </c>
      <c r="BTB29" t="s">
        <v>6984</v>
      </c>
      <c r="BTC29" t="s">
        <v>6984</v>
      </c>
      <c r="BTD29" t="s">
        <v>6984</v>
      </c>
      <c r="BTE29" t="s">
        <v>6984</v>
      </c>
      <c r="BTF29" t="s">
        <v>6984</v>
      </c>
      <c r="BTG29" t="s">
        <v>6984</v>
      </c>
      <c r="BTH29" t="s">
        <v>6984</v>
      </c>
      <c r="BTI29" t="s">
        <v>6984</v>
      </c>
      <c r="BTJ29" t="s">
        <v>6984</v>
      </c>
      <c r="BTK29" t="s">
        <v>6984</v>
      </c>
      <c r="BTL29" t="s">
        <v>6984</v>
      </c>
      <c r="BTM29" t="s">
        <v>6984</v>
      </c>
      <c r="BTN29" t="s">
        <v>6984</v>
      </c>
      <c r="BTO29" t="s">
        <v>6984</v>
      </c>
      <c r="BTP29" t="s">
        <v>6984</v>
      </c>
      <c r="BTQ29" t="s">
        <v>6984</v>
      </c>
      <c r="BTR29" t="s">
        <v>6984</v>
      </c>
      <c r="BTS29" t="s">
        <v>6984</v>
      </c>
      <c r="BTT29" t="s">
        <v>6984</v>
      </c>
      <c r="BTU29" t="s">
        <v>6984</v>
      </c>
      <c r="BTV29" t="s">
        <v>6984</v>
      </c>
      <c r="BTW29" t="s">
        <v>6984</v>
      </c>
      <c r="BTX29" t="s">
        <v>6984</v>
      </c>
      <c r="BTY29" t="s">
        <v>6984</v>
      </c>
      <c r="BTZ29" t="s">
        <v>6984</v>
      </c>
      <c r="BUA29" t="s">
        <v>6984</v>
      </c>
      <c r="BUB29" t="s">
        <v>6984</v>
      </c>
      <c r="BUC29" t="s">
        <v>6984</v>
      </c>
      <c r="BUD29" t="s">
        <v>6984</v>
      </c>
      <c r="BUE29" t="s">
        <v>6984</v>
      </c>
      <c r="BUF29" t="s">
        <v>6984</v>
      </c>
      <c r="BUG29" t="s">
        <v>6984</v>
      </c>
      <c r="BUH29" t="s">
        <v>6984</v>
      </c>
      <c r="BUI29" t="s">
        <v>6984</v>
      </c>
      <c r="BUJ29" t="s">
        <v>6984</v>
      </c>
      <c r="BUK29" t="s">
        <v>6984</v>
      </c>
      <c r="BUL29" t="s">
        <v>6984</v>
      </c>
      <c r="BUM29" t="s">
        <v>6984</v>
      </c>
      <c r="BUN29" t="s">
        <v>6984</v>
      </c>
      <c r="BUO29" t="s">
        <v>6984</v>
      </c>
      <c r="BUP29" t="s">
        <v>6984</v>
      </c>
      <c r="BUQ29" t="s">
        <v>6984</v>
      </c>
      <c r="BUR29" t="s">
        <v>6984</v>
      </c>
      <c r="BUS29" t="s">
        <v>6984</v>
      </c>
      <c r="BUT29" t="s">
        <v>6984</v>
      </c>
      <c r="BUU29" t="s">
        <v>6984</v>
      </c>
      <c r="BUV29" t="s">
        <v>6984</v>
      </c>
      <c r="BUW29" t="s">
        <v>6984</v>
      </c>
      <c r="BUX29" t="s">
        <v>6984</v>
      </c>
      <c r="BUY29" t="s">
        <v>6984</v>
      </c>
      <c r="BUZ29" t="s">
        <v>6984</v>
      </c>
      <c r="BVA29" t="s">
        <v>6984</v>
      </c>
      <c r="BVB29" t="s">
        <v>6984</v>
      </c>
      <c r="BVC29" t="s">
        <v>6984</v>
      </c>
      <c r="BVD29" t="s">
        <v>6984</v>
      </c>
      <c r="BVE29" t="s">
        <v>6984</v>
      </c>
      <c r="BVF29" t="s">
        <v>6984</v>
      </c>
      <c r="BVG29" t="s">
        <v>6984</v>
      </c>
      <c r="BVH29" t="s">
        <v>6984</v>
      </c>
      <c r="BVI29" t="s">
        <v>6984</v>
      </c>
      <c r="BVJ29" t="s">
        <v>6984</v>
      </c>
      <c r="BVK29" t="s">
        <v>6984</v>
      </c>
      <c r="BVL29" t="s">
        <v>6984</v>
      </c>
      <c r="BVM29" t="s">
        <v>6984</v>
      </c>
      <c r="BVN29" t="s">
        <v>6984</v>
      </c>
      <c r="BVO29" t="s">
        <v>6984</v>
      </c>
      <c r="BVP29" t="s">
        <v>6984</v>
      </c>
      <c r="BVQ29" t="s">
        <v>6984</v>
      </c>
      <c r="BVR29" t="s">
        <v>6984</v>
      </c>
      <c r="BVS29" t="s">
        <v>6984</v>
      </c>
      <c r="BVT29" t="s">
        <v>6984</v>
      </c>
      <c r="BVU29" t="s">
        <v>6984</v>
      </c>
      <c r="BVV29" t="s">
        <v>6984</v>
      </c>
      <c r="BVW29" t="s">
        <v>6984</v>
      </c>
      <c r="BVX29" t="s">
        <v>6984</v>
      </c>
      <c r="BVY29" t="s">
        <v>6984</v>
      </c>
      <c r="BVZ29" t="s">
        <v>6984</v>
      </c>
      <c r="BWA29" t="s">
        <v>6984</v>
      </c>
      <c r="BWB29" t="s">
        <v>6984</v>
      </c>
      <c r="BWC29" t="s">
        <v>6984</v>
      </c>
      <c r="BWD29" t="s">
        <v>6984</v>
      </c>
      <c r="BWE29" t="s">
        <v>6984</v>
      </c>
      <c r="BWF29" t="s">
        <v>6984</v>
      </c>
      <c r="BWG29" t="s">
        <v>6984</v>
      </c>
      <c r="BWH29" t="s">
        <v>6984</v>
      </c>
      <c r="BWI29" t="s">
        <v>6984</v>
      </c>
      <c r="BWJ29" t="s">
        <v>6984</v>
      </c>
      <c r="BWK29" t="s">
        <v>6984</v>
      </c>
      <c r="BWL29" t="s">
        <v>6984</v>
      </c>
      <c r="BWM29" t="s">
        <v>6984</v>
      </c>
      <c r="BWN29" t="s">
        <v>6984</v>
      </c>
      <c r="BWO29" t="s">
        <v>6984</v>
      </c>
      <c r="BWP29" t="s">
        <v>6984</v>
      </c>
      <c r="BWQ29" t="s">
        <v>6984</v>
      </c>
      <c r="BWR29" t="s">
        <v>6984</v>
      </c>
      <c r="BWS29" t="s">
        <v>6984</v>
      </c>
      <c r="BWT29" t="s">
        <v>6984</v>
      </c>
      <c r="BWU29" t="s">
        <v>6984</v>
      </c>
      <c r="BWV29" t="s">
        <v>6984</v>
      </c>
      <c r="BWW29" t="s">
        <v>6984</v>
      </c>
      <c r="BWX29" t="s">
        <v>6984</v>
      </c>
      <c r="BWY29" t="s">
        <v>6984</v>
      </c>
      <c r="BWZ29" t="s">
        <v>6984</v>
      </c>
      <c r="BXA29" t="s">
        <v>6984</v>
      </c>
      <c r="BXB29" t="s">
        <v>6984</v>
      </c>
      <c r="BXC29" t="s">
        <v>6984</v>
      </c>
      <c r="BXD29" t="s">
        <v>6984</v>
      </c>
      <c r="BXE29" t="s">
        <v>6984</v>
      </c>
      <c r="BXF29" t="s">
        <v>6984</v>
      </c>
      <c r="BXG29" t="s">
        <v>6984</v>
      </c>
      <c r="BXH29" t="s">
        <v>6984</v>
      </c>
      <c r="BXI29" t="s">
        <v>6984</v>
      </c>
      <c r="BXJ29" t="s">
        <v>6984</v>
      </c>
      <c r="BXK29" t="s">
        <v>6984</v>
      </c>
      <c r="BXL29" t="s">
        <v>6984</v>
      </c>
      <c r="BXM29" t="s">
        <v>6984</v>
      </c>
      <c r="BXN29" t="s">
        <v>6984</v>
      </c>
      <c r="BXO29" t="s">
        <v>6984</v>
      </c>
      <c r="BXP29" t="s">
        <v>6984</v>
      </c>
      <c r="BXQ29" t="s">
        <v>6984</v>
      </c>
      <c r="BXR29" t="s">
        <v>6984</v>
      </c>
      <c r="BXS29" t="s">
        <v>6984</v>
      </c>
      <c r="BXT29" t="s">
        <v>6984</v>
      </c>
      <c r="BXU29" t="s">
        <v>6984</v>
      </c>
      <c r="BXV29" t="s">
        <v>6984</v>
      </c>
      <c r="BXW29" t="s">
        <v>6984</v>
      </c>
      <c r="BXX29" t="s">
        <v>6984</v>
      </c>
      <c r="BXY29" t="s">
        <v>6984</v>
      </c>
      <c r="BXZ29" t="s">
        <v>6984</v>
      </c>
      <c r="BYA29" t="s">
        <v>6984</v>
      </c>
      <c r="BYB29" t="s">
        <v>6984</v>
      </c>
      <c r="BYC29" t="s">
        <v>6984</v>
      </c>
      <c r="BYD29" t="s">
        <v>6984</v>
      </c>
      <c r="BYE29" t="s">
        <v>6984</v>
      </c>
      <c r="BYF29" t="s">
        <v>6984</v>
      </c>
      <c r="BYG29" t="s">
        <v>6984</v>
      </c>
      <c r="BYH29" t="s">
        <v>6984</v>
      </c>
      <c r="BYI29" t="s">
        <v>6984</v>
      </c>
      <c r="BYJ29" t="s">
        <v>6984</v>
      </c>
      <c r="BYK29" t="s">
        <v>6984</v>
      </c>
      <c r="BYL29" t="s">
        <v>6984</v>
      </c>
      <c r="BYM29" t="s">
        <v>6984</v>
      </c>
      <c r="BYN29" t="s">
        <v>6984</v>
      </c>
      <c r="BYO29" t="s">
        <v>6984</v>
      </c>
      <c r="BYP29" t="s">
        <v>6984</v>
      </c>
      <c r="BYQ29" t="s">
        <v>6984</v>
      </c>
      <c r="BYR29" t="s">
        <v>6984</v>
      </c>
      <c r="BYS29" t="s">
        <v>6984</v>
      </c>
      <c r="BYT29" t="s">
        <v>6984</v>
      </c>
      <c r="BYU29" t="s">
        <v>6984</v>
      </c>
      <c r="BYV29" t="s">
        <v>6984</v>
      </c>
      <c r="BYW29" t="s">
        <v>6984</v>
      </c>
      <c r="BYX29" t="s">
        <v>6984</v>
      </c>
      <c r="BYY29" t="s">
        <v>6984</v>
      </c>
      <c r="BYZ29" t="s">
        <v>6984</v>
      </c>
      <c r="BZA29" t="s">
        <v>6984</v>
      </c>
      <c r="BZB29" t="s">
        <v>6984</v>
      </c>
      <c r="BZC29" t="s">
        <v>6984</v>
      </c>
      <c r="BZD29" t="s">
        <v>6984</v>
      </c>
      <c r="BZE29" t="s">
        <v>6984</v>
      </c>
      <c r="BZF29" t="s">
        <v>6984</v>
      </c>
      <c r="BZG29" t="s">
        <v>6984</v>
      </c>
      <c r="BZH29" t="s">
        <v>6984</v>
      </c>
      <c r="BZI29" t="s">
        <v>6984</v>
      </c>
      <c r="BZJ29" t="s">
        <v>6984</v>
      </c>
      <c r="BZK29" t="s">
        <v>6984</v>
      </c>
      <c r="BZL29" t="s">
        <v>6984</v>
      </c>
      <c r="BZM29" t="s">
        <v>6984</v>
      </c>
      <c r="BZN29" t="s">
        <v>6984</v>
      </c>
      <c r="BZO29" t="s">
        <v>6984</v>
      </c>
      <c r="BZP29" t="s">
        <v>6984</v>
      </c>
      <c r="BZQ29" t="s">
        <v>6984</v>
      </c>
      <c r="BZR29" t="s">
        <v>6984</v>
      </c>
      <c r="BZS29" t="s">
        <v>6984</v>
      </c>
      <c r="BZT29" t="s">
        <v>6984</v>
      </c>
      <c r="BZU29" t="s">
        <v>6984</v>
      </c>
      <c r="BZV29" t="s">
        <v>6984</v>
      </c>
      <c r="BZW29" t="s">
        <v>6984</v>
      </c>
      <c r="BZX29" t="s">
        <v>6984</v>
      </c>
      <c r="BZY29" t="s">
        <v>6984</v>
      </c>
      <c r="BZZ29" t="s">
        <v>6984</v>
      </c>
      <c r="CAA29" t="s">
        <v>6984</v>
      </c>
      <c r="CAB29" t="s">
        <v>6984</v>
      </c>
      <c r="CAC29" t="s">
        <v>6984</v>
      </c>
      <c r="CAD29" t="s">
        <v>6984</v>
      </c>
      <c r="CAE29" t="s">
        <v>6984</v>
      </c>
      <c r="CAF29" t="s">
        <v>6984</v>
      </c>
      <c r="CAG29" t="s">
        <v>6984</v>
      </c>
      <c r="CAH29" t="s">
        <v>6984</v>
      </c>
      <c r="CAI29" t="s">
        <v>6984</v>
      </c>
      <c r="CAJ29" t="s">
        <v>6984</v>
      </c>
      <c r="CAK29" t="s">
        <v>6984</v>
      </c>
      <c r="CAL29" t="s">
        <v>6984</v>
      </c>
      <c r="CAM29" t="s">
        <v>6984</v>
      </c>
      <c r="CAN29" t="s">
        <v>6984</v>
      </c>
      <c r="CAO29" t="s">
        <v>6984</v>
      </c>
      <c r="CAP29" t="s">
        <v>6984</v>
      </c>
      <c r="CAQ29" t="s">
        <v>6984</v>
      </c>
      <c r="CAR29" t="s">
        <v>6984</v>
      </c>
      <c r="CAS29" t="s">
        <v>6984</v>
      </c>
      <c r="CAT29" t="s">
        <v>6984</v>
      </c>
      <c r="CAU29" t="s">
        <v>6984</v>
      </c>
      <c r="CAV29" t="s">
        <v>6984</v>
      </c>
      <c r="CAW29" t="s">
        <v>6984</v>
      </c>
      <c r="CAX29" t="s">
        <v>6984</v>
      </c>
      <c r="CAY29" t="s">
        <v>6984</v>
      </c>
      <c r="CAZ29" t="s">
        <v>6984</v>
      </c>
      <c r="CBA29" t="s">
        <v>6984</v>
      </c>
      <c r="CBB29" t="s">
        <v>6984</v>
      </c>
      <c r="CBC29" t="s">
        <v>6984</v>
      </c>
      <c r="CBD29" t="s">
        <v>6984</v>
      </c>
      <c r="CBE29" t="s">
        <v>6984</v>
      </c>
      <c r="CBF29" t="s">
        <v>6984</v>
      </c>
      <c r="CBG29" t="s">
        <v>6984</v>
      </c>
      <c r="CBH29" t="s">
        <v>6984</v>
      </c>
      <c r="CBI29" t="s">
        <v>6984</v>
      </c>
      <c r="CBJ29" t="s">
        <v>6984</v>
      </c>
      <c r="CBK29" t="s">
        <v>6984</v>
      </c>
      <c r="CBL29" t="s">
        <v>6984</v>
      </c>
      <c r="CBM29" t="s">
        <v>6984</v>
      </c>
      <c r="CBN29" t="s">
        <v>6984</v>
      </c>
      <c r="CBO29" t="s">
        <v>6984</v>
      </c>
      <c r="CBP29" t="s">
        <v>6984</v>
      </c>
      <c r="CBQ29" t="s">
        <v>6984</v>
      </c>
      <c r="CBR29" t="s">
        <v>6984</v>
      </c>
      <c r="CBS29" t="s">
        <v>6984</v>
      </c>
      <c r="CBT29" t="s">
        <v>6984</v>
      </c>
      <c r="CBU29" t="s">
        <v>6984</v>
      </c>
      <c r="CBV29" t="s">
        <v>6984</v>
      </c>
      <c r="CBW29" t="s">
        <v>6984</v>
      </c>
      <c r="CBX29" t="s">
        <v>6984</v>
      </c>
      <c r="CBY29" t="s">
        <v>6984</v>
      </c>
      <c r="CBZ29" t="s">
        <v>6984</v>
      </c>
      <c r="CCA29" t="s">
        <v>6984</v>
      </c>
      <c r="CCB29" t="s">
        <v>6984</v>
      </c>
      <c r="CCC29" t="s">
        <v>6984</v>
      </c>
      <c r="CCD29" t="s">
        <v>6984</v>
      </c>
      <c r="CCE29" t="s">
        <v>6984</v>
      </c>
      <c r="CCF29" t="s">
        <v>6984</v>
      </c>
      <c r="CCG29" t="s">
        <v>6984</v>
      </c>
      <c r="CCH29" t="s">
        <v>6984</v>
      </c>
      <c r="CCI29" t="s">
        <v>6984</v>
      </c>
      <c r="CCJ29" t="s">
        <v>6984</v>
      </c>
      <c r="CCK29" t="s">
        <v>6984</v>
      </c>
      <c r="CCL29" t="s">
        <v>6984</v>
      </c>
      <c r="CCM29" t="s">
        <v>6984</v>
      </c>
      <c r="CCN29" t="s">
        <v>6984</v>
      </c>
      <c r="CCO29" t="s">
        <v>6984</v>
      </c>
      <c r="CCP29" t="s">
        <v>6984</v>
      </c>
      <c r="CCQ29" t="s">
        <v>6984</v>
      </c>
      <c r="CCR29" t="s">
        <v>6984</v>
      </c>
      <c r="CCS29" t="s">
        <v>6984</v>
      </c>
      <c r="CCT29" t="s">
        <v>6984</v>
      </c>
      <c r="CCU29" t="s">
        <v>6984</v>
      </c>
      <c r="CCV29" t="s">
        <v>6984</v>
      </c>
      <c r="CCW29" t="s">
        <v>6984</v>
      </c>
      <c r="CCX29" t="s">
        <v>6984</v>
      </c>
      <c r="CCY29" t="s">
        <v>6984</v>
      </c>
      <c r="CCZ29" t="s">
        <v>6984</v>
      </c>
      <c r="CDA29" t="s">
        <v>6984</v>
      </c>
      <c r="CDB29" t="s">
        <v>6984</v>
      </c>
      <c r="CDC29" t="s">
        <v>6984</v>
      </c>
      <c r="CDD29" t="s">
        <v>6984</v>
      </c>
      <c r="CDE29" t="s">
        <v>6984</v>
      </c>
      <c r="CDF29" t="s">
        <v>6984</v>
      </c>
      <c r="CDG29" t="s">
        <v>6984</v>
      </c>
      <c r="CDH29" t="s">
        <v>6984</v>
      </c>
      <c r="CDI29" t="s">
        <v>6984</v>
      </c>
      <c r="CDJ29" t="s">
        <v>6984</v>
      </c>
      <c r="CDK29" t="s">
        <v>6984</v>
      </c>
      <c r="CDL29" t="s">
        <v>6984</v>
      </c>
      <c r="CDM29" t="s">
        <v>6984</v>
      </c>
      <c r="CDN29" t="s">
        <v>6984</v>
      </c>
      <c r="CDO29" t="s">
        <v>6984</v>
      </c>
      <c r="CDP29" t="s">
        <v>6984</v>
      </c>
      <c r="CDQ29" t="s">
        <v>6984</v>
      </c>
      <c r="CDR29" t="s">
        <v>6984</v>
      </c>
      <c r="CDS29" t="s">
        <v>6984</v>
      </c>
      <c r="CDT29" t="s">
        <v>6984</v>
      </c>
      <c r="CDU29" t="s">
        <v>6984</v>
      </c>
      <c r="CDV29" t="s">
        <v>6984</v>
      </c>
      <c r="CDW29" t="s">
        <v>6984</v>
      </c>
      <c r="CDX29" t="s">
        <v>6984</v>
      </c>
      <c r="CDY29" t="s">
        <v>6984</v>
      </c>
      <c r="CDZ29" t="s">
        <v>6984</v>
      </c>
      <c r="CEA29" t="s">
        <v>6984</v>
      </c>
      <c r="CEB29" t="s">
        <v>6984</v>
      </c>
      <c r="CEC29" t="s">
        <v>6984</v>
      </c>
      <c r="CED29" t="s">
        <v>6984</v>
      </c>
      <c r="CEE29" t="s">
        <v>6984</v>
      </c>
      <c r="CEF29" t="s">
        <v>6984</v>
      </c>
      <c r="CEG29" t="s">
        <v>6984</v>
      </c>
      <c r="CEH29" t="s">
        <v>6984</v>
      </c>
      <c r="CEI29" t="s">
        <v>6984</v>
      </c>
      <c r="CEJ29" t="s">
        <v>6984</v>
      </c>
      <c r="CEK29" t="s">
        <v>6984</v>
      </c>
      <c r="CEL29" t="s">
        <v>6984</v>
      </c>
      <c r="CEM29" t="s">
        <v>6984</v>
      </c>
      <c r="CEN29" t="s">
        <v>6984</v>
      </c>
      <c r="CEO29" t="s">
        <v>6984</v>
      </c>
      <c r="CEP29" t="s">
        <v>6984</v>
      </c>
      <c r="CEQ29" t="s">
        <v>6984</v>
      </c>
      <c r="CER29" t="s">
        <v>6984</v>
      </c>
      <c r="CES29" t="s">
        <v>6984</v>
      </c>
      <c r="CET29" t="s">
        <v>6984</v>
      </c>
      <c r="CEU29" t="s">
        <v>6984</v>
      </c>
      <c r="CEV29" t="s">
        <v>6984</v>
      </c>
      <c r="CEW29" t="s">
        <v>6984</v>
      </c>
      <c r="CEX29" t="s">
        <v>6984</v>
      </c>
      <c r="CEY29" t="s">
        <v>6984</v>
      </c>
      <c r="CEZ29" t="s">
        <v>6984</v>
      </c>
      <c r="CFA29" t="s">
        <v>6984</v>
      </c>
      <c r="CFB29" t="s">
        <v>6984</v>
      </c>
      <c r="CFC29" t="s">
        <v>6984</v>
      </c>
      <c r="CFD29" t="s">
        <v>6984</v>
      </c>
      <c r="CFE29" t="s">
        <v>6984</v>
      </c>
      <c r="CFF29" t="s">
        <v>6984</v>
      </c>
      <c r="CFG29" t="s">
        <v>6984</v>
      </c>
      <c r="CFH29" t="s">
        <v>6984</v>
      </c>
      <c r="CFI29" t="s">
        <v>6984</v>
      </c>
      <c r="CFJ29" t="s">
        <v>6984</v>
      </c>
      <c r="CFK29" t="s">
        <v>6984</v>
      </c>
      <c r="CFL29" t="s">
        <v>6984</v>
      </c>
      <c r="CFM29" t="s">
        <v>6984</v>
      </c>
      <c r="CFN29" t="s">
        <v>6984</v>
      </c>
      <c r="CFO29" t="s">
        <v>6984</v>
      </c>
      <c r="CFP29" t="s">
        <v>6984</v>
      </c>
      <c r="CFQ29" t="s">
        <v>6984</v>
      </c>
      <c r="CFR29" t="s">
        <v>6984</v>
      </c>
      <c r="CFS29" t="s">
        <v>6984</v>
      </c>
      <c r="CFT29" t="s">
        <v>6984</v>
      </c>
      <c r="CFU29" t="s">
        <v>6984</v>
      </c>
      <c r="CFV29" t="s">
        <v>6984</v>
      </c>
      <c r="CFW29" t="s">
        <v>6984</v>
      </c>
      <c r="CFX29" t="s">
        <v>6984</v>
      </c>
      <c r="CFY29" t="s">
        <v>6984</v>
      </c>
      <c r="CFZ29" t="s">
        <v>6984</v>
      </c>
      <c r="CGA29" t="s">
        <v>6984</v>
      </c>
      <c r="CGB29" t="s">
        <v>6984</v>
      </c>
      <c r="CGC29" t="s">
        <v>6984</v>
      </c>
      <c r="CGD29" t="s">
        <v>6984</v>
      </c>
      <c r="CGE29" t="s">
        <v>6984</v>
      </c>
      <c r="CGF29" t="s">
        <v>6984</v>
      </c>
      <c r="CGG29" t="s">
        <v>6984</v>
      </c>
      <c r="CGH29" t="s">
        <v>6984</v>
      </c>
      <c r="CGI29" t="s">
        <v>6984</v>
      </c>
      <c r="CGJ29" t="s">
        <v>6984</v>
      </c>
      <c r="CGK29" t="s">
        <v>6984</v>
      </c>
      <c r="CGL29" t="s">
        <v>6984</v>
      </c>
      <c r="CGM29" t="s">
        <v>6984</v>
      </c>
      <c r="CGN29" t="s">
        <v>6984</v>
      </c>
      <c r="CGO29" t="s">
        <v>6984</v>
      </c>
      <c r="CGP29" t="s">
        <v>6984</v>
      </c>
      <c r="CGQ29" t="s">
        <v>6984</v>
      </c>
      <c r="CGR29" t="s">
        <v>6984</v>
      </c>
      <c r="CGS29" t="s">
        <v>6984</v>
      </c>
      <c r="CGT29" t="s">
        <v>6984</v>
      </c>
      <c r="CGU29" t="s">
        <v>6984</v>
      </c>
      <c r="CGV29" t="s">
        <v>6984</v>
      </c>
      <c r="CGW29" t="s">
        <v>6984</v>
      </c>
      <c r="CGX29" t="s">
        <v>6984</v>
      </c>
      <c r="CGY29" t="s">
        <v>6984</v>
      </c>
      <c r="CGZ29" t="s">
        <v>6984</v>
      </c>
      <c r="CHA29" t="s">
        <v>6984</v>
      </c>
      <c r="CHB29" t="s">
        <v>6984</v>
      </c>
      <c r="CHC29" t="s">
        <v>6984</v>
      </c>
      <c r="CHD29" t="s">
        <v>6984</v>
      </c>
      <c r="CHE29" t="s">
        <v>6984</v>
      </c>
      <c r="CHF29" t="s">
        <v>6984</v>
      </c>
      <c r="CHG29" t="s">
        <v>6984</v>
      </c>
      <c r="CHH29" t="s">
        <v>6984</v>
      </c>
      <c r="CHI29" t="s">
        <v>6984</v>
      </c>
      <c r="CHJ29" t="s">
        <v>6984</v>
      </c>
      <c r="CHK29" t="s">
        <v>6984</v>
      </c>
      <c r="CHL29" t="s">
        <v>6984</v>
      </c>
      <c r="CHM29" t="s">
        <v>6984</v>
      </c>
      <c r="CHN29" t="s">
        <v>6984</v>
      </c>
      <c r="CHO29" t="s">
        <v>6984</v>
      </c>
      <c r="CHP29" t="s">
        <v>6984</v>
      </c>
      <c r="CHQ29" t="s">
        <v>6984</v>
      </c>
      <c r="CHR29" t="s">
        <v>6984</v>
      </c>
      <c r="CHS29" t="s">
        <v>6984</v>
      </c>
      <c r="CHT29" t="s">
        <v>6984</v>
      </c>
      <c r="CHU29" t="s">
        <v>6984</v>
      </c>
      <c r="CHV29" t="s">
        <v>6984</v>
      </c>
      <c r="CHW29" t="s">
        <v>6984</v>
      </c>
      <c r="CHX29" t="s">
        <v>6984</v>
      </c>
      <c r="CHY29" t="s">
        <v>6984</v>
      </c>
      <c r="CHZ29" t="s">
        <v>6984</v>
      </c>
      <c r="CIA29" t="s">
        <v>6984</v>
      </c>
      <c r="CIB29" t="s">
        <v>6984</v>
      </c>
      <c r="CIC29" t="s">
        <v>6984</v>
      </c>
      <c r="CID29" t="s">
        <v>6984</v>
      </c>
      <c r="CIE29" t="s">
        <v>6984</v>
      </c>
      <c r="CIF29" t="s">
        <v>6984</v>
      </c>
      <c r="CIG29" t="s">
        <v>6984</v>
      </c>
      <c r="CIH29" t="s">
        <v>6984</v>
      </c>
      <c r="CII29" t="s">
        <v>6984</v>
      </c>
      <c r="CIJ29" t="s">
        <v>6984</v>
      </c>
      <c r="CIK29" t="s">
        <v>6984</v>
      </c>
      <c r="CIL29" t="s">
        <v>6984</v>
      </c>
      <c r="CIM29" t="s">
        <v>6984</v>
      </c>
      <c r="CIN29" t="s">
        <v>6984</v>
      </c>
      <c r="CIO29" t="s">
        <v>6984</v>
      </c>
      <c r="CIP29" t="s">
        <v>6984</v>
      </c>
      <c r="CIQ29" t="s">
        <v>6984</v>
      </c>
      <c r="CIR29" t="s">
        <v>6984</v>
      </c>
      <c r="CIS29" t="s">
        <v>6984</v>
      </c>
      <c r="CIT29" t="s">
        <v>6984</v>
      </c>
      <c r="CIU29" t="s">
        <v>6984</v>
      </c>
      <c r="CIV29" t="s">
        <v>6984</v>
      </c>
      <c r="CIW29" t="s">
        <v>6984</v>
      </c>
      <c r="CIX29" t="s">
        <v>6984</v>
      </c>
      <c r="CIY29" t="s">
        <v>6984</v>
      </c>
      <c r="CIZ29" t="s">
        <v>6984</v>
      </c>
      <c r="CJA29" t="s">
        <v>6984</v>
      </c>
      <c r="CJB29" t="s">
        <v>6984</v>
      </c>
      <c r="CJC29" t="s">
        <v>6984</v>
      </c>
      <c r="CJD29" t="s">
        <v>6984</v>
      </c>
      <c r="CJE29" t="s">
        <v>6984</v>
      </c>
      <c r="CJF29" t="s">
        <v>6984</v>
      </c>
      <c r="CJG29" t="s">
        <v>6984</v>
      </c>
      <c r="CJH29" t="s">
        <v>6984</v>
      </c>
      <c r="CJI29" t="s">
        <v>6984</v>
      </c>
      <c r="CJJ29" t="s">
        <v>6984</v>
      </c>
      <c r="CJK29" t="s">
        <v>6984</v>
      </c>
      <c r="CJL29" t="s">
        <v>6984</v>
      </c>
      <c r="CJM29" t="s">
        <v>6984</v>
      </c>
      <c r="CJN29" t="s">
        <v>6984</v>
      </c>
      <c r="CJO29" t="s">
        <v>6984</v>
      </c>
      <c r="CJP29" t="s">
        <v>6984</v>
      </c>
      <c r="CJQ29" t="s">
        <v>6984</v>
      </c>
      <c r="CJR29" t="s">
        <v>6984</v>
      </c>
      <c r="CJS29" t="s">
        <v>6984</v>
      </c>
      <c r="CJT29" t="s">
        <v>6984</v>
      </c>
      <c r="CJU29" t="s">
        <v>6984</v>
      </c>
      <c r="CJV29" t="s">
        <v>6984</v>
      </c>
      <c r="CJW29" t="s">
        <v>6984</v>
      </c>
      <c r="CJX29" t="s">
        <v>6984</v>
      </c>
      <c r="CJY29" t="s">
        <v>6984</v>
      </c>
      <c r="CJZ29" t="s">
        <v>6984</v>
      </c>
      <c r="CKA29" t="s">
        <v>6984</v>
      </c>
      <c r="CKB29" t="s">
        <v>6984</v>
      </c>
      <c r="CKC29" t="s">
        <v>6984</v>
      </c>
      <c r="CKD29" t="s">
        <v>6984</v>
      </c>
      <c r="CKE29" t="s">
        <v>6984</v>
      </c>
      <c r="CKF29" t="s">
        <v>6984</v>
      </c>
      <c r="CKG29" t="s">
        <v>6984</v>
      </c>
      <c r="CKH29" t="s">
        <v>6984</v>
      </c>
      <c r="CKI29" t="s">
        <v>6984</v>
      </c>
      <c r="CKJ29" t="s">
        <v>6984</v>
      </c>
      <c r="CKK29" t="s">
        <v>6984</v>
      </c>
      <c r="CKL29" t="s">
        <v>6984</v>
      </c>
      <c r="CKM29" t="s">
        <v>6984</v>
      </c>
      <c r="CKN29" t="s">
        <v>6984</v>
      </c>
      <c r="CKO29" t="s">
        <v>6984</v>
      </c>
      <c r="CKP29" t="s">
        <v>6984</v>
      </c>
      <c r="CKQ29" t="s">
        <v>6984</v>
      </c>
      <c r="CKR29" t="s">
        <v>6984</v>
      </c>
      <c r="CKS29" t="s">
        <v>6984</v>
      </c>
      <c r="CKT29" t="s">
        <v>6984</v>
      </c>
      <c r="CKU29" t="s">
        <v>6984</v>
      </c>
      <c r="CKV29" t="s">
        <v>6984</v>
      </c>
      <c r="CKW29" t="s">
        <v>6984</v>
      </c>
      <c r="CKX29" t="s">
        <v>6984</v>
      </c>
      <c r="CKY29" t="s">
        <v>6984</v>
      </c>
      <c r="CKZ29" t="s">
        <v>6984</v>
      </c>
      <c r="CLA29" t="s">
        <v>6984</v>
      </c>
      <c r="CLB29" t="s">
        <v>6984</v>
      </c>
      <c r="CLC29" t="s">
        <v>6984</v>
      </c>
      <c r="CLD29" t="s">
        <v>6984</v>
      </c>
      <c r="CLE29" t="s">
        <v>6984</v>
      </c>
      <c r="CLF29" t="s">
        <v>6984</v>
      </c>
      <c r="CLG29" t="s">
        <v>6984</v>
      </c>
      <c r="CLH29" t="s">
        <v>6984</v>
      </c>
      <c r="CLI29" t="s">
        <v>6984</v>
      </c>
      <c r="CLJ29" t="s">
        <v>6984</v>
      </c>
      <c r="CLK29" t="s">
        <v>6984</v>
      </c>
      <c r="CLL29" t="s">
        <v>6984</v>
      </c>
      <c r="CLM29" t="s">
        <v>6984</v>
      </c>
      <c r="CLN29" t="s">
        <v>6984</v>
      </c>
      <c r="CLO29" t="s">
        <v>6984</v>
      </c>
      <c r="CLP29" t="s">
        <v>6984</v>
      </c>
      <c r="CLQ29" t="s">
        <v>6984</v>
      </c>
      <c r="CLR29" t="s">
        <v>6984</v>
      </c>
      <c r="CLS29" t="s">
        <v>6984</v>
      </c>
      <c r="CLT29" t="s">
        <v>6984</v>
      </c>
      <c r="CLU29" t="s">
        <v>6984</v>
      </c>
      <c r="CLV29" t="s">
        <v>6984</v>
      </c>
      <c r="CLW29" t="s">
        <v>6984</v>
      </c>
      <c r="CLX29" t="s">
        <v>6984</v>
      </c>
      <c r="CLY29" t="s">
        <v>6984</v>
      </c>
      <c r="CLZ29" t="s">
        <v>6984</v>
      </c>
      <c r="CMA29" t="s">
        <v>6984</v>
      </c>
      <c r="CMB29" t="s">
        <v>6984</v>
      </c>
      <c r="CMC29" t="s">
        <v>6984</v>
      </c>
      <c r="CMD29" t="s">
        <v>6984</v>
      </c>
      <c r="CME29" t="s">
        <v>6984</v>
      </c>
      <c r="CMF29" t="s">
        <v>6984</v>
      </c>
      <c r="CMG29" t="s">
        <v>6984</v>
      </c>
      <c r="CMH29" t="s">
        <v>6984</v>
      </c>
      <c r="CMI29" t="s">
        <v>6984</v>
      </c>
      <c r="CMJ29" t="s">
        <v>6984</v>
      </c>
      <c r="CMK29" t="s">
        <v>6984</v>
      </c>
      <c r="CML29" t="s">
        <v>6984</v>
      </c>
      <c r="CMM29" t="s">
        <v>6984</v>
      </c>
      <c r="CMN29" t="s">
        <v>6984</v>
      </c>
      <c r="CMO29" t="s">
        <v>6984</v>
      </c>
      <c r="CMP29" t="s">
        <v>6984</v>
      </c>
      <c r="CMQ29" t="s">
        <v>6984</v>
      </c>
      <c r="CMR29" t="s">
        <v>6984</v>
      </c>
      <c r="CMS29" t="s">
        <v>6984</v>
      </c>
      <c r="CMT29" t="s">
        <v>6984</v>
      </c>
      <c r="CMU29" t="s">
        <v>6984</v>
      </c>
      <c r="CMV29" t="s">
        <v>6984</v>
      </c>
      <c r="CMW29" t="s">
        <v>6984</v>
      </c>
      <c r="CMX29" t="s">
        <v>6984</v>
      </c>
      <c r="CMY29" t="s">
        <v>6984</v>
      </c>
      <c r="CMZ29" t="s">
        <v>6984</v>
      </c>
      <c r="CNA29" t="s">
        <v>6984</v>
      </c>
      <c r="CNB29" t="s">
        <v>6984</v>
      </c>
      <c r="CNC29" t="s">
        <v>6984</v>
      </c>
      <c r="CND29" t="s">
        <v>6984</v>
      </c>
      <c r="CNE29" t="s">
        <v>6984</v>
      </c>
      <c r="CNF29" t="s">
        <v>6984</v>
      </c>
      <c r="CNG29" t="s">
        <v>6984</v>
      </c>
      <c r="CNH29" t="s">
        <v>6984</v>
      </c>
      <c r="CNI29" t="s">
        <v>6984</v>
      </c>
      <c r="CNJ29" t="s">
        <v>6984</v>
      </c>
      <c r="CNK29" t="s">
        <v>6984</v>
      </c>
      <c r="CNL29" t="s">
        <v>6984</v>
      </c>
      <c r="CNM29" t="s">
        <v>6984</v>
      </c>
      <c r="CNN29" t="s">
        <v>6984</v>
      </c>
      <c r="CNO29" t="s">
        <v>6984</v>
      </c>
      <c r="CNP29" t="s">
        <v>6984</v>
      </c>
      <c r="CNQ29" t="s">
        <v>6984</v>
      </c>
      <c r="CNR29" t="s">
        <v>6984</v>
      </c>
      <c r="CNS29" t="s">
        <v>6984</v>
      </c>
      <c r="CNT29" t="s">
        <v>6984</v>
      </c>
      <c r="CNU29" t="s">
        <v>6984</v>
      </c>
      <c r="CNV29" t="s">
        <v>6984</v>
      </c>
      <c r="CNW29" t="s">
        <v>6984</v>
      </c>
      <c r="CNX29" t="s">
        <v>6984</v>
      </c>
      <c r="CNY29" t="s">
        <v>6984</v>
      </c>
      <c r="CNZ29" t="s">
        <v>6984</v>
      </c>
      <c r="COA29" t="s">
        <v>6984</v>
      </c>
      <c r="COB29" t="s">
        <v>6984</v>
      </c>
      <c r="COC29" t="s">
        <v>6984</v>
      </c>
      <c r="COD29" t="s">
        <v>6984</v>
      </c>
      <c r="COE29" t="s">
        <v>6984</v>
      </c>
      <c r="COF29" t="s">
        <v>6984</v>
      </c>
      <c r="COG29" t="s">
        <v>6984</v>
      </c>
      <c r="COH29" t="s">
        <v>6984</v>
      </c>
      <c r="COI29" t="s">
        <v>6984</v>
      </c>
      <c r="COJ29" t="s">
        <v>6984</v>
      </c>
      <c r="COK29" t="s">
        <v>6984</v>
      </c>
      <c r="COL29" t="s">
        <v>6984</v>
      </c>
      <c r="COM29" t="s">
        <v>6984</v>
      </c>
      <c r="CON29" t="s">
        <v>6984</v>
      </c>
      <c r="COO29" t="s">
        <v>6984</v>
      </c>
      <c r="COP29" t="s">
        <v>6984</v>
      </c>
      <c r="COQ29" t="s">
        <v>6984</v>
      </c>
      <c r="COR29" t="s">
        <v>6984</v>
      </c>
      <c r="COS29" t="s">
        <v>6984</v>
      </c>
      <c r="COT29" t="s">
        <v>6984</v>
      </c>
      <c r="COU29" t="s">
        <v>6984</v>
      </c>
      <c r="COV29" t="s">
        <v>6984</v>
      </c>
      <c r="COW29" t="s">
        <v>6984</v>
      </c>
      <c r="COX29" t="s">
        <v>6984</v>
      </c>
      <c r="COY29" t="s">
        <v>6984</v>
      </c>
      <c r="COZ29" t="s">
        <v>6984</v>
      </c>
      <c r="CPA29" t="s">
        <v>6984</v>
      </c>
      <c r="CPB29" t="s">
        <v>6984</v>
      </c>
      <c r="CPC29" t="s">
        <v>6984</v>
      </c>
      <c r="CPD29" t="s">
        <v>6984</v>
      </c>
      <c r="CPE29" t="s">
        <v>6984</v>
      </c>
      <c r="CPF29" t="s">
        <v>6984</v>
      </c>
      <c r="CPG29" t="s">
        <v>6984</v>
      </c>
      <c r="CPH29" t="s">
        <v>6984</v>
      </c>
      <c r="CPI29" t="s">
        <v>6984</v>
      </c>
      <c r="CPJ29" t="s">
        <v>6984</v>
      </c>
      <c r="CPK29" t="s">
        <v>6984</v>
      </c>
      <c r="CPL29" t="s">
        <v>6984</v>
      </c>
      <c r="CPM29" t="s">
        <v>6984</v>
      </c>
      <c r="CPN29" t="s">
        <v>6984</v>
      </c>
      <c r="CPO29" t="s">
        <v>6984</v>
      </c>
      <c r="CPP29" t="s">
        <v>6984</v>
      </c>
      <c r="CPQ29" t="s">
        <v>6984</v>
      </c>
      <c r="CPR29" t="s">
        <v>6984</v>
      </c>
      <c r="CPS29" t="s">
        <v>6984</v>
      </c>
      <c r="CPT29" t="s">
        <v>6984</v>
      </c>
      <c r="CPU29" t="s">
        <v>6984</v>
      </c>
      <c r="CPV29" t="s">
        <v>6984</v>
      </c>
      <c r="CPW29" t="s">
        <v>6984</v>
      </c>
      <c r="CPX29" t="s">
        <v>6984</v>
      </c>
      <c r="CPY29" t="s">
        <v>6984</v>
      </c>
      <c r="CPZ29" t="s">
        <v>6984</v>
      </c>
      <c r="CQA29" t="s">
        <v>6984</v>
      </c>
      <c r="CQB29" t="s">
        <v>6984</v>
      </c>
      <c r="CQC29" t="s">
        <v>6984</v>
      </c>
      <c r="CQD29" t="s">
        <v>6984</v>
      </c>
      <c r="CQE29" t="s">
        <v>6984</v>
      </c>
      <c r="CQF29" t="s">
        <v>6984</v>
      </c>
      <c r="CQG29" t="s">
        <v>6984</v>
      </c>
      <c r="CQH29" t="s">
        <v>6984</v>
      </c>
      <c r="CQI29" t="s">
        <v>6984</v>
      </c>
      <c r="CQJ29" t="s">
        <v>6984</v>
      </c>
      <c r="CQK29" t="s">
        <v>6984</v>
      </c>
      <c r="CQL29" t="s">
        <v>6984</v>
      </c>
      <c r="CQM29" t="s">
        <v>6984</v>
      </c>
      <c r="CQN29" t="s">
        <v>6984</v>
      </c>
      <c r="CQO29" t="s">
        <v>6984</v>
      </c>
      <c r="CQP29" t="s">
        <v>6984</v>
      </c>
      <c r="CQQ29" t="s">
        <v>6984</v>
      </c>
      <c r="CQR29" t="s">
        <v>6984</v>
      </c>
      <c r="CQS29" t="s">
        <v>6984</v>
      </c>
      <c r="CQT29" t="s">
        <v>6984</v>
      </c>
      <c r="CQU29" t="s">
        <v>6984</v>
      </c>
      <c r="CQV29" t="s">
        <v>6984</v>
      </c>
      <c r="CQW29" t="s">
        <v>6984</v>
      </c>
      <c r="CQX29" t="s">
        <v>6984</v>
      </c>
      <c r="CQY29" t="s">
        <v>6984</v>
      </c>
      <c r="CQZ29" t="s">
        <v>6984</v>
      </c>
      <c r="CRA29" t="s">
        <v>6984</v>
      </c>
      <c r="CRB29" t="s">
        <v>6984</v>
      </c>
      <c r="CRC29" t="s">
        <v>6984</v>
      </c>
      <c r="CRD29" t="s">
        <v>6984</v>
      </c>
      <c r="CRE29" t="s">
        <v>6984</v>
      </c>
      <c r="CRF29" t="s">
        <v>6984</v>
      </c>
      <c r="CRG29" t="s">
        <v>6984</v>
      </c>
      <c r="CRH29" t="s">
        <v>6984</v>
      </c>
      <c r="CRI29" t="s">
        <v>6984</v>
      </c>
      <c r="CRJ29" t="s">
        <v>6984</v>
      </c>
      <c r="CRK29" t="s">
        <v>6984</v>
      </c>
      <c r="CRL29" t="s">
        <v>6984</v>
      </c>
      <c r="CRM29" t="s">
        <v>6984</v>
      </c>
      <c r="CRN29" t="s">
        <v>6984</v>
      </c>
      <c r="CRO29" t="s">
        <v>6984</v>
      </c>
      <c r="CRP29" t="s">
        <v>6984</v>
      </c>
      <c r="CRQ29" t="s">
        <v>6984</v>
      </c>
      <c r="CRR29" t="s">
        <v>6984</v>
      </c>
      <c r="CRS29" t="s">
        <v>6984</v>
      </c>
      <c r="CRT29" t="s">
        <v>6984</v>
      </c>
      <c r="CRU29" t="s">
        <v>6984</v>
      </c>
      <c r="CRV29" t="s">
        <v>6984</v>
      </c>
      <c r="CRW29" t="s">
        <v>6984</v>
      </c>
      <c r="CRX29" t="s">
        <v>6984</v>
      </c>
      <c r="CRY29" t="s">
        <v>6984</v>
      </c>
      <c r="CRZ29" t="s">
        <v>6984</v>
      </c>
      <c r="CSA29" t="s">
        <v>6984</v>
      </c>
      <c r="CSB29" t="s">
        <v>6984</v>
      </c>
      <c r="CSC29" t="s">
        <v>6984</v>
      </c>
      <c r="CSD29" t="s">
        <v>6984</v>
      </c>
      <c r="CSE29" t="s">
        <v>6984</v>
      </c>
      <c r="CSF29" t="s">
        <v>6984</v>
      </c>
      <c r="CSG29" t="s">
        <v>6984</v>
      </c>
      <c r="CSH29" t="s">
        <v>6984</v>
      </c>
      <c r="CSI29" t="s">
        <v>6984</v>
      </c>
      <c r="CSJ29" t="s">
        <v>6984</v>
      </c>
      <c r="CSK29" t="s">
        <v>6984</v>
      </c>
      <c r="CSL29" t="s">
        <v>6984</v>
      </c>
      <c r="CSM29" t="s">
        <v>6984</v>
      </c>
      <c r="CSN29" t="s">
        <v>6984</v>
      </c>
      <c r="CSO29" t="s">
        <v>6984</v>
      </c>
      <c r="CSP29" t="s">
        <v>6984</v>
      </c>
      <c r="CSQ29" t="s">
        <v>6984</v>
      </c>
      <c r="CSR29" t="s">
        <v>6984</v>
      </c>
      <c r="CSS29" t="s">
        <v>6984</v>
      </c>
      <c r="CST29" t="s">
        <v>6984</v>
      </c>
      <c r="CSU29" t="s">
        <v>6984</v>
      </c>
      <c r="CSV29" t="s">
        <v>6984</v>
      </c>
      <c r="CSW29" t="s">
        <v>6984</v>
      </c>
      <c r="CSX29" t="s">
        <v>6984</v>
      </c>
      <c r="CSY29" t="s">
        <v>6984</v>
      </c>
      <c r="CSZ29" t="s">
        <v>6984</v>
      </c>
      <c r="CTA29" t="s">
        <v>6984</v>
      </c>
      <c r="CTB29" t="s">
        <v>6984</v>
      </c>
      <c r="CTC29" t="s">
        <v>6984</v>
      </c>
      <c r="CTD29" t="s">
        <v>6984</v>
      </c>
      <c r="CTE29" t="s">
        <v>6984</v>
      </c>
      <c r="CTF29" t="s">
        <v>6984</v>
      </c>
      <c r="CTG29" t="s">
        <v>6984</v>
      </c>
      <c r="CTH29" t="s">
        <v>6984</v>
      </c>
      <c r="CTI29" t="s">
        <v>6984</v>
      </c>
      <c r="CTJ29" t="s">
        <v>6984</v>
      </c>
      <c r="CTK29" t="s">
        <v>6984</v>
      </c>
      <c r="CTL29" t="s">
        <v>6984</v>
      </c>
      <c r="CTM29" t="s">
        <v>6984</v>
      </c>
      <c r="CTN29" t="s">
        <v>6984</v>
      </c>
      <c r="CTO29" t="s">
        <v>6984</v>
      </c>
      <c r="CTP29" t="s">
        <v>6984</v>
      </c>
      <c r="CTQ29" t="s">
        <v>6984</v>
      </c>
      <c r="CTR29" t="s">
        <v>6984</v>
      </c>
      <c r="CTS29" t="s">
        <v>6984</v>
      </c>
      <c r="CTT29" t="s">
        <v>6984</v>
      </c>
      <c r="CTU29" t="s">
        <v>6984</v>
      </c>
      <c r="CTV29" t="s">
        <v>6984</v>
      </c>
      <c r="CTW29" t="s">
        <v>6984</v>
      </c>
      <c r="CTX29" t="s">
        <v>6984</v>
      </c>
      <c r="CTY29" t="s">
        <v>6984</v>
      </c>
      <c r="CTZ29" t="s">
        <v>6984</v>
      </c>
      <c r="CUA29" t="s">
        <v>6984</v>
      </c>
      <c r="CUB29" t="s">
        <v>6984</v>
      </c>
      <c r="CUC29" t="s">
        <v>6984</v>
      </c>
      <c r="CUD29" t="s">
        <v>6984</v>
      </c>
      <c r="CUE29" t="s">
        <v>6984</v>
      </c>
      <c r="CUF29" t="s">
        <v>6984</v>
      </c>
      <c r="CUG29" t="s">
        <v>6984</v>
      </c>
      <c r="CUH29" t="s">
        <v>6984</v>
      </c>
      <c r="CUI29" t="s">
        <v>6984</v>
      </c>
      <c r="CUJ29" t="s">
        <v>6984</v>
      </c>
      <c r="CUK29" t="s">
        <v>6984</v>
      </c>
      <c r="CUL29" t="s">
        <v>6984</v>
      </c>
      <c r="CUM29" t="s">
        <v>6984</v>
      </c>
      <c r="CUN29" t="s">
        <v>6984</v>
      </c>
      <c r="CUO29" t="s">
        <v>6984</v>
      </c>
      <c r="CUP29" t="s">
        <v>6984</v>
      </c>
      <c r="CUQ29" t="s">
        <v>6984</v>
      </c>
      <c r="CUR29" t="s">
        <v>6984</v>
      </c>
      <c r="CUS29" t="s">
        <v>6984</v>
      </c>
      <c r="CUT29" t="s">
        <v>6984</v>
      </c>
      <c r="CUU29" t="s">
        <v>6984</v>
      </c>
      <c r="CUV29" t="s">
        <v>6984</v>
      </c>
      <c r="CUW29" t="s">
        <v>6984</v>
      </c>
      <c r="CUX29" t="s">
        <v>6984</v>
      </c>
      <c r="CUY29" t="s">
        <v>6984</v>
      </c>
      <c r="CUZ29" t="s">
        <v>6984</v>
      </c>
      <c r="CVA29" t="s">
        <v>6984</v>
      </c>
      <c r="CVB29" t="s">
        <v>6984</v>
      </c>
      <c r="CVC29" t="s">
        <v>6984</v>
      </c>
      <c r="CVD29" t="s">
        <v>6984</v>
      </c>
      <c r="CVE29" t="s">
        <v>6984</v>
      </c>
      <c r="CVF29" t="s">
        <v>6984</v>
      </c>
      <c r="CVG29" t="s">
        <v>6984</v>
      </c>
      <c r="CVH29" t="s">
        <v>6984</v>
      </c>
      <c r="CVI29" t="s">
        <v>6984</v>
      </c>
      <c r="CVJ29" t="s">
        <v>6984</v>
      </c>
      <c r="CVK29" t="s">
        <v>6984</v>
      </c>
      <c r="CVL29" t="s">
        <v>6984</v>
      </c>
      <c r="CVM29" t="s">
        <v>6984</v>
      </c>
      <c r="CVN29" t="s">
        <v>6984</v>
      </c>
      <c r="CVO29" t="s">
        <v>6984</v>
      </c>
      <c r="CVP29" t="s">
        <v>6984</v>
      </c>
      <c r="CVQ29" t="s">
        <v>6984</v>
      </c>
      <c r="CVR29" t="s">
        <v>6984</v>
      </c>
      <c r="CVS29" t="s">
        <v>6984</v>
      </c>
      <c r="CVT29" t="s">
        <v>6984</v>
      </c>
      <c r="CVU29" t="s">
        <v>6984</v>
      </c>
      <c r="CVV29" t="s">
        <v>6984</v>
      </c>
      <c r="CVW29" t="s">
        <v>6984</v>
      </c>
      <c r="CVX29" t="s">
        <v>6984</v>
      </c>
      <c r="CVY29" t="s">
        <v>6984</v>
      </c>
      <c r="CVZ29" t="s">
        <v>6984</v>
      </c>
      <c r="CWA29" t="s">
        <v>6984</v>
      </c>
      <c r="CWB29" t="s">
        <v>6984</v>
      </c>
      <c r="CWC29" t="s">
        <v>6984</v>
      </c>
      <c r="CWD29" t="s">
        <v>6984</v>
      </c>
      <c r="CWE29" t="s">
        <v>6984</v>
      </c>
      <c r="CWF29" t="s">
        <v>6984</v>
      </c>
      <c r="CWG29" t="s">
        <v>6984</v>
      </c>
      <c r="CWH29" t="s">
        <v>6984</v>
      </c>
      <c r="CWI29" t="s">
        <v>6984</v>
      </c>
      <c r="CWJ29" t="s">
        <v>6984</v>
      </c>
      <c r="CWK29" t="s">
        <v>6984</v>
      </c>
      <c r="CWL29" t="s">
        <v>6984</v>
      </c>
      <c r="CWM29" t="s">
        <v>6984</v>
      </c>
      <c r="CWN29" t="s">
        <v>6984</v>
      </c>
      <c r="CWO29" t="s">
        <v>6984</v>
      </c>
      <c r="CWP29" t="s">
        <v>6984</v>
      </c>
      <c r="CWQ29" t="s">
        <v>6984</v>
      </c>
      <c r="CWR29" t="s">
        <v>6984</v>
      </c>
      <c r="CWS29" t="s">
        <v>6984</v>
      </c>
      <c r="CWT29" t="s">
        <v>6984</v>
      </c>
      <c r="CWU29" t="s">
        <v>6984</v>
      </c>
      <c r="CWV29" t="s">
        <v>6984</v>
      </c>
      <c r="CWW29" t="s">
        <v>6984</v>
      </c>
      <c r="CWX29" t="s">
        <v>6984</v>
      </c>
      <c r="CWY29" t="s">
        <v>6984</v>
      </c>
      <c r="CWZ29" t="s">
        <v>6984</v>
      </c>
      <c r="CXA29" t="s">
        <v>6984</v>
      </c>
      <c r="CXB29" t="s">
        <v>6984</v>
      </c>
      <c r="CXC29" t="s">
        <v>6984</v>
      </c>
      <c r="CXD29" t="s">
        <v>6984</v>
      </c>
      <c r="CXE29" t="s">
        <v>6984</v>
      </c>
      <c r="CXF29" t="s">
        <v>6984</v>
      </c>
      <c r="CXG29" t="s">
        <v>6984</v>
      </c>
      <c r="CXH29" t="s">
        <v>6984</v>
      </c>
      <c r="CXI29" t="s">
        <v>6984</v>
      </c>
      <c r="CXJ29" t="s">
        <v>6984</v>
      </c>
      <c r="CXK29" t="s">
        <v>6984</v>
      </c>
      <c r="CXL29" t="s">
        <v>6984</v>
      </c>
      <c r="CXM29" t="s">
        <v>6984</v>
      </c>
      <c r="CXN29" t="s">
        <v>6984</v>
      </c>
      <c r="CXO29" t="s">
        <v>6984</v>
      </c>
      <c r="CXP29" t="s">
        <v>6984</v>
      </c>
      <c r="CXQ29" t="s">
        <v>6984</v>
      </c>
      <c r="CXR29" t="s">
        <v>6984</v>
      </c>
      <c r="CXS29" t="s">
        <v>6984</v>
      </c>
      <c r="CXT29" t="s">
        <v>6984</v>
      </c>
      <c r="CXU29" t="s">
        <v>6984</v>
      </c>
      <c r="CXV29" t="s">
        <v>6984</v>
      </c>
      <c r="CXW29" t="s">
        <v>6984</v>
      </c>
      <c r="CXX29" t="s">
        <v>6984</v>
      </c>
      <c r="CXY29" t="s">
        <v>6984</v>
      </c>
      <c r="CXZ29" t="s">
        <v>6984</v>
      </c>
      <c r="CYA29" t="s">
        <v>6984</v>
      </c>
      <c r="CYB29" t="s">
        <v>6984</v>
      </c>
      <c r="CYC29" t="s">
        <v>6984</v>
      </c>
      <c r="CYD29" t="s">
        <v>6984</v>
      </c>
      <c r="CYE29" t="s">
        <v>6984</v>
      </c>
      <c r="CYF29" t="s">
        <v>6984</v>
      </c>
      <c r="CYG29" t="s">
        <v>6984</v>
      </c>
      <c r="CYH29" t="s">
        <v>6984</v>
      </c>
      <c r="CYI29" t="s">
        <v>6984</v>
      </c>
      <c r="CYJ29" t="s">
        <v>6984</v>
      </c>
      <c r="CYK29" t="s">
        <v>6984</v>
      </c>
      <c r="CYL29" t="s">
        <v>6984</v>
      </c>
      <c r="CYM29" t="s">
        <v>6984</v>
      </c>
      <c r="CYN29" t="s">
        <v>6984</v>
      </c>
      <c r="CYO29" t="s">
        <v>6984</v>
      </c>
      <c r="CYP29" t="s">
        <v>6984</v>
      </c>
      <c r="CYQ29" t="s">
        <v>6984</v>
      </c>
      <c r="CYR29" t="s">
        <v>6984</v>
      </c>
      <c r="CYS29" t="s">
        <v>6984</v>
      </c>
      <c r="CYT29" t="s">
        <v>6984</v>
      </c>
      <c r="CYU29" t="s">
        <v>6984</v>
      </c>
      <c r="CYV29" t="s">
        <v>6984</v>
      </c>
      <c r="CYW29" t="s">
        <v>6984</v>
      </c>
      <c r="CYX29" t="s">
        <v>6984</v>
      </c>
      <c r="CYY29" t="s">
        <v>6984</v>
      </c>
      <c r="CYZ29" t="s">
        <v>6984</v>
      </c>
      <c r="CZA29" t="s">
        <v>6984</v>
      </c>
      <c r="CZB29" t="s">
        <v>6984</v>
      </c>
      <c r="CZC29" t="s">
        <v>6984</v>
      </c>
      <c r="CZD29" t="s">
        <v>6984</v>
      </c>
      <c r="CZE29" t="s">
        <v>6984</v>
      </c>
      <c r="CZF29" t="s">
        <v>6984</v>
      </c>
      <c r="CZG29" t="s">
        <v>6984</v>
      </c>
      <c r="CZH29" t="s">
        <v>6984</v>
      </c>
      <c r="CZI29" t="s">
        <v>6984</v>
      </c>
      <c r="CZJ29" t="s">
        <v>6984</v>
      </c>
      <c r="CZK29" t="s">
        <v>6984</v>
      </c>
      <c r="CZL29" t="s">
        <v>6984</v>
      </c>
      <c r="CZM29" t="s">
        <v>6984</v>
      </c>
      <c r="CZN29" t="s">
        <v>6984</v>
      </c>
      <c r="CZO29" t="s">
        <v>6984</v>
      </c>
      <c r="CZP29" t="s">
        <v>6984</v>
      </c>
      <c r="CZQ29" t="s">
        <v>6984</v>
      </c>
      <c r="CZR29" t="s">
        <v>6984</v>
      </c>
      <c r="CZS29" t="s">
        <v>6984</v>
      </c>
      <c r="CZT29" t="s">
        <v>6984</v>
      </c>
      <c r="CZU29" t="s">
        <v>6984</v>
      </c>
      <c r="CZV29" t="s">
        <v>6984</v>
      </c>
      <c r="CZW29" t="s">
        <v>6984</v>
      </c>
      <c r="CZX29" t="s">
        <v>6984</v>
      </c>
      <c r="CZY29" t="s">
        <v>6984</v>
      </c>
      <c r="CZZ29" t="s">
        <v>6984</v>
      </c>
      <c r="DAA29" t="s">
        <v>6984</v>
      </c>
      <c r="DAB29" t="s">
        <v>6984</v>
      </c>
      <c r="DAC29" t="s">
        <v>6984</v>
      </c>
      <c r="DAD29" t="s">
        <v>6984</v>
      </c>
      <c r="DAE29" t="s">
        <v>6984</v>
      </c>
      <c r="DAF29" t="s">
        <v>6984</v>
      </c>
      <c r="DAG29" t="s">
        <v>6984</v>
      </c>
      <c r="DAH29" t="s">
        <v>6984</v>
      </c>
      <c r="DAI29" t="s">
        <v>6984</v>
      </c>
      <c r="DAJ29" t="s">
        <v>6984</v>
      </c>
      <c r="DAK29" t="s">
        <v>6984</v>
      </c>
      <c r="DAL29" t="s">
        <v>6984</v>
      </c>
      <c r="DAM29" t="s">
        <v>6984</v>
      </c>
      <c r="DAN29" t="s">
        <v>6984</v>
      </c>
      <c r="DAO29" t="s">
        <v>6984</v>
      </c>
      <c r="DAP29" t="s">
        <v>6984</v>
      </c>
      <c r="DAQ29" t="s">
        <v>6984</v>
      </c>
      <c r="DAR29" t="s">
        <v>6984</v>
      </c>
      <c r="DAS29" t="s">
        <v>6984</v>
      </c>
      <c r="DAT29" t="s">
        <v>6984</v>
      </c>
      <c r="DAU29" t="s">
        <v>6984</v>
      </c>
      <c r="DAV29" t="s">
        <v>6984</v>
      </c>
      <c r="DAW29" t="s">
        <v>6984</v>
      </c>
      <c r="DAX29" t="s">
        <v>6984</v>
      </c>
      <c r="DAY29" t="s">
        <v>6984</v>
      </c>
      <c r="DAZ29" t="s">
        <v>6984</v>
      </c>
      <c r="DBA29" t="s">
        <v>6984</v>
      </c>
      <c r="DBB29" t="s">
        <v>6984</v>
      </c>
      <c r="DBC29" t="s">
        <v>6984</v>
      </c>
      <c r="DBD29" t="s">
        <v>6984</v>
      </c>
      <c r="DBE29" t="s">
        <v>6984</v>
      </c>
      <c r="DBF29" t="s">
        <v>6984</v>
      </c>
      <c r="DBG29" t="s">
        <v>6984</v>
      </c>
      <c r="DBH29" t="s">
        <v>6984</v>
      </c>
      <c r="DBI29" t="s">
        <v>6984</v>
      </c>
      <c r="DBJ29" t="s">
        <v>6984</v>
      </c>
      <c r="DBK29" t="s">
        <v>6984</v>
      </c>
      <c r="DBL29" t="s">
        <v>6984</v>
      </c>
      <c r="DBM29" t="s">
        <v>6984</v>
      </c>
      <c r="DBN29" t="s">
        <v>6984</v>
      </c>
      <c r="DBO29" t="s">
        <v>6984</v>
      </c>
      <c r="DBP29" t="s">
        <v>6984</v>
      </c>
      <c r="DBQ29" t="s">
        <v>6984</v>
      </c>
      <c r="DBR29" t="s">
        <v>6984</v>
      </c>
      <c r="DBS29" t="s">
        <v>6984</v>
      </c>
      <c r="DBT29" t="s">
        <v>6984</v>
      </c>
      <c r="DBU29" t="s">
        <v>6984</v>
      </c>
      <c r="DBV29" t="s">
        <v>6984</v>
      </c>
      <c r="DBW29" t="s">
        <v>6984</v>
      </c>
      <c r="DBX29" t="s">
        <v>6984</v>
      </c>
      <c r="DBY29" t="s">
        <v>6984</v>
      </c>
      <c r="DBZ29" t="s">
        <v>6984</v>
      </c>
      <c r="DCA29" t="s">
        <v>6984</v>
      </c>
      <c r="DCB29" t="s">
        <v>6984</v>
      </c>
      <c r="DCC29" t="s">
        <v>6984</v>
      </c>
      <c r="DCD29" t="s">
        <v>6984</v>
      </c>
      <c r="DCE29" t="s">
        <v>6984</v>
      </c>
      <c r="DCF29" t="s">
        <v>6984</v>
      </c>
      <c r="DCG29" t="s">
        <v>6984</v>
      </c>
      <c r="DCH29" t="s">
        <v>6984</v>
      </c>
      <c r="DCI29" t="s">
        <v>6984</v>
      </c>
      <c r="DCJ29" t="s">
        <v>6984</v>
      </c>
      <c r="DCK29" t="s">
        <v>6984</v>
      </c>
      <c r="DCL29" t="s">
        <v>6984</v>
      </c>
      <c r="DCM29" t="s">
        <v>6984</v>
      </c>
      <c r="DCN29" t="s">
        <v>6984</v>
      </c>
      <c r="DCO29" t="s">
        <v>6984</v>
      </c>
      <c r="DCP29" t="s">
        <v>6984</v>
      </c>
      <c r="DCQ29" t="s">
        <v>6984</v>
      </c>
      <c r="DCR29" t="s">
        <v>6984</v>
      </c>
      <c r="DCS29" t="s">
        <v>6984</v>
      </c>
      <c r="DCT29" t="s">
        <v>6984</v>
      </c>
      <c r="DCU29" t="s">
        <v>6984</v>
      </c>
      <c r="DCV29" t="s">
        <v>6984</v>
      </c>
      <c r="DCW29" t="s">
        <v>6984</v>
      </c>
      <c r="DCX29" t="s">
        <v>6984</v>
      </c>
      <c r="DCY29" t="s">
        <v>6984</v>
      </c>
      <c r="DCZ29" t="s">
        <v>6984</v>
      </c>
      <c r="DDA29" t="s">
        <v>6984</v>
      </c>
      <c r="DDB29" t="s">
        <v>6984</v>
      </c>
      <c r="DDC29" t="s">
        <v>6984</v>
      </c>
      <c r="DDD29" t="s">
        <v>6984</v>
      </c>
      <c r="DDE29" t="s">
        <v>6984</v>
      </c>
      <c r="DDF29" t="s">
        <v>6984</v>
      </c>
      <c r="DDG29" t="s">
        <v>6984</v>
      </c>
      <c r="DDH29" t="s">
        <v>6984</v>
      </c>
      <c r="DDI29" t="s">
        <v>6984</v>
      </c>
      <c r="DDJ29" t="s">
        <v>6984</v>
      </c>
      <c r="DDK29" t="s">
        <v>6984</v>
      </c>
      <c r="DDL29" t="s">
        <v>6984</v>
      </c>
      <c r="DDM29" t="s">
        <v>6984</v>
      </c>
      <c r="DDN29" t="s">
        <v>6984</v>
      </c>
      <c r="DDO29" t="s">
        <v>6984</v>
      </c>
      <c r="DDP29" t="s">
        <v>6984</v>
      </c>
      <c r="DDQ29" t="s">
        <v>6984</v>
      </c>
      <c r="DDR29" t="s">
        <v>6984</v>
      </c>
      <c r="DDS29" t="s">
        <v>6984</v>
      </c>
      <c r="DDT29" t="s">
        <v>6984</v>
      </c>
      <c r="DDU29" t="s">
        <v>6984</v>
      </c>
      <c r="DDV29" t="s">
        <v>6984</v>
      </c>
      <c r="DDW29" t="s">
        <v>6984</v>
      </c>
      <c r="DDX29" t="s">
        <v>6984</v>
      </c>
      <c r="DDY29" t="s">
        <v>6984</v>
      </c>
      <c r="DDZ29" t="s">
        <v>6984</v>
      </c>
      <c r="DEA29" t="s">
        <v>6984</v>
      </c>
      <c r="DEB29" t="s">
        <v>6984</v>
      </c>
      <c r="DEC29" t="s">
        <v>6984</v>
      </c>
      <c r="DED29" t="s">
        <v>6984</v>
      </c>
      <c r="DEE29" t="s">
        <v>6984</v>
      </c>
      <c r="DEF29" t="s">
        <v>6984</v>
      </c>
      <c r="DEG29" t="s">
        <v>6984</v>
      </c>
      <c r="DEH29" t="s">
        <v>6984</v>
      </c>
      <c r="DEI29" t="s">
        <v>6984</v>
      </c>
      <c r="DEJ29" t="s">
        <v>6984</v>
      </c>
      <c r="DEK29" t="s">
        <v>6984</v>
      </c>
      <c r="DEL29" t="s">
        <v>6984</v>
      </c>
      <c r="DEM29" t="s">
        <v>6984</v>
      </c>
      <c r="DEN29" t="s">
        <v>6984</v>
      </c>
      <c r="DEO29" t="s">
        <v>6984</v>
      </c>
      <c r="DEP29" t="s">
        <v>6984</v>
      </c>
      <c r="DEQ29" t="s">
        <v>6984</v>
      </c>
      <c r="DER29" t="s">
        <v>6984</v>
      </c>
      <c r="DES29" t="s">
        <v>6984</v>
      </c>
      <c r="DET29" t="s">
        <v>6984</v>
      </c>
      <c r="DEU29" t="s">
        <v>6984</v>
      </c>
      <c r="DEV29" t="s">
        <v>6984</v>
      </c>
      <c r="DEW29" t="s">
        <v>6984</v>
      </c>
      <c r="DEX29" t="s">
        <v>6984</v>
      </c>
      <c r="DEY29" t="s">
        <v>6984</v>
      </c>
      <c r="DEZ29" t="s">
        <v>6984</v>
      </c>
      <c r="DFA29" t="s">
        <v>6984</v>
      </c>
      <c r="DFB29" t="s">
        <v>6984</v>
      </c>
      <c r="DFC29" t="s">
        <v>6984</v>
      </c>
      <c r="DFD29" t="s">
        <v>6984</v>
      </c>
      <c r="DFE29" t="s">
        <v>6984</v>
      </c>
      <c r="DFF29" t="s">
        <v>6984</v>
      </c>
      <c r="DFG29" t="s">
        <v>6984</v>
      </c>
      <c r="DFH29" t="s">
        <v>6984</v>
      </c>
      <c r="DFI29" t="s">
        <v>6984</v>
      </c>
      <c r="DFJ29" t="s">
        <v>6984</v>
      </c>
      <c r="DFK29" t="s">
        <v>6984</v>
      </c>
      <c r="DFL29" t="s">
        <v>6984</v>
      </c>
      <c r="DFM29" t="s">
        <v>6984</v>
      </c>
      <c r="DFN29" t="s">
        <v>6984</v>
      </c>
      <c r="DFO29" t="s">
        <v>6984</v>
      </c>
      <c r="DFP29" t="s">
        <v>6984</v>
      </c>
      <c r="DFQ29" t="s">
        <v>6984</v>
      </c>
      <c r="DFR29" t="s">
        <v>6984</v>
      </c>
      <c r="DFS29" t="s">
        <v>6984</v>
      </c>
      <c r="DFT29" t="s">
        <v>6984</v>
      </c>
      <c r="DFU29" t="s">
        <v>6984</v>
      </c>
      <c r="DFV29" t="s">
        <v>6984</v>
      </c>
      <c r="DFW29" t="s">
        <v>6984</v>
      </c>
      <c r="DFX29" t="s">
        <v>6984</v>
      </c>
      <c r="DFY29" t="s">
        <v>6984</v>
      </c>
      <c r="DFZ29" t="s">
        <v>6984</v>
      </c>
      <c r="DGA29" t="s">
        <v>6984</v>
      </c>
      <c r="DGB29" t="s">
        <v>6984</v>
      </c>
      <c r="DGC29" t="s">
        <v>6984</v>
      </c>
      <c r="DGD29" t="s">
        <v>6984</v>
      </c>
      <c r="DGE29" t="s">
        <v>6984</v>
      </c>
      <c r="DGF29" t="s">
        <v>6984</v>
      </c>
      <c r="DGG29" t="s">
        <v>6984</v>
      </c>
      <c r="DGH29" t="s">
        <v>6984</v>
      </c>
      <c r="DGI29" t="s">
        <v>6984</v>
      </c>
      <c r="DGJ29" t="s">
        <v>6984</v>
      </c>
      <c r="DGK29" t="s">
        <v>6984</v>
      </c>
      <c r="DGL29" t="s">
        <v>6984</v>
      </c>
      <c r="DGM29" t="s">
        <v>6984</v>
      </c>
      <c r="DGN29" t="s">
        <v>6984</v>
      </c>
      <c r="DGO29" t="s">
        <v>6984</v>
      </c>
      <c r="DGP29" t="s">
        <v>6984</v>
      </c>
      <c r="DGQ29" t="s">
        <v>6984</v>
      </c>
      <c r="DGR29" t="s">
        <v>6984</v>
      </c>
      <c r="DGS29" t="s">
        <v>6984</v>
      </c>
      <c r="DGT29" t="s">
        <v>6984</v>
      </c>
      <c r="DGU29" t="s">
        <v>6984</v>
      </c>
      <c r="DGV29" t="s">
        <v>6984</v>
      </c>
      <c r="DGW29" t="s">
        <v>6984</v>
      </c>
      <c r="DGX29" t="s">
        <v>6984</v>
      </c>
      <c r="DGY29" t="s">
        <v>6984</v>
      </c>
      <c r="DGZ29" t="s">
        <v>6984</v>
      </c>
      <c r="DHA29" t="s">
        <v>6984</v>
      </c>
      <c r="DHB29" t="s">
        <v>6984</v>
      </c>
      <c r="DHC29" t="s">
        <v>6984</v>
      </c>
      <c r="DHD29" t="s">
        <v>6984</v>
      </c>
      <c r="DHE29" t="s">
        <v>6984</v>
      </c>
      <c r="DHF29" t="s">
        <v>6984</v>
      </c>
      <c r="DHG29" t="s">
        <v>6984</v>
      </c>
      <c r="DHH29" t="s">
        <v>6984</v>
      </c>
      <c r="DHI29" t="s">
        <v>6984</v>
      </c>
      <c r="DHJ29" t="s">
        <v>6984</v>
      </c>
      <c r="DHK29" t="s">
        <v>6984</v>
      </c>
      <c r="DHL29" t="s">
        <v>6984</v>
      </c>
      <c r="DHM29" t="s">
        <v>6984</v>
      </c>
      <c r="DHN29" t="s">
        <v>6984</v>
      </c>
      <c r="DHO29" t="s">
        <v>6984</v>
      </c>
      <c r="DHP29" t="s">
        <v>6984</v>
      </c>
      <c r="DHQ29" t="s">
        <v>6984</v>
      </c>
      <c r="DHR29" t="s">
        <v>6984</v>
      </c>
      <c r="DHS29" t="s">
        <v>6984</v>
      </c>
      <c r="DHT29" t="s">
        <v>6984</v>
      </c>
      <c r="DHU29" t="s">
        <v>6984</v>
      </c>
      <c r="DHV29" t="s">
        <v>6984</v>
      </c>
      <c r="DHW29" t="s">
        <v>6984</v>
      </c>
      <c r="DHX29" t="s">
        <v>6984</v>
      </c>
      <c r="DHY29" t="s">
        <v>6984</v>
      </c>
      <c r="DHZ29" t="s">
        <v>6984</v>
      </c>
      <c r="DIA29" t="s">
        <v>6984</v>
      </c>
      <c r="DIB29" t="s">
        <v>6984</v>
      </c>
      <c r="DIC29" t="s">
        <v>6984</v>
      </c>
      <c r="DID29" t="s">
        <v>6984</v>
      </c>
      <c r="DIE29" t="s">
        <v>6984</v>
      </c>
      <c r="DIF29" t="s">
        <v>6984</v>
      </c>
      <c r="DIG29" t="s">
        <v>6984</v>
      </c>
      <c r="DIH29" t="s">
        <v>6984</v>
      </c>
      <c r="DII29" t="s">
        <v>6984</v>
      </c>
      <c r="DIJ29" t="s">
        <v>6984</v>
      </c>
      <c r="DIK29" t="s">
        <v>6984</v>
      </c>
      <c r="DIL29" t="s">
        <v>6984</v>
      </c>
      <c r="DIM29" t="s">
        <v>6984</v>
      </c>
      <c r="DIN29" t="s">
        <v>6984</v>
      </c>
      <c r="DIO29" t="s">
        <v>6984</v>
      </c>
      <c r="DIP29" t="s">
        <v>6984</v>
      </c>
      <c r="DIQ29" t="s">
        <v>6984</v>
      </c>
      <c r="DIR29" t="s">
        <v>6984</v>
      </c>
      <c r="DIS29" t="s">
        <v>6984</v>
      </c>
      <c r="DIT29" t="s">
        <v>6984</v>
      </c>
      <c r="DIU29" t="s">
        <v>6984</v>
      </c>
      <c r="DIV29" t="s">
        <v>6984</v>
      </c>
      <c r="DIW29" t="s">
        <v>6984</v>
      </c>
      <c r="DIX29" t="s">
        <v>6984</v>
      </c>
      <c r="DIY29" t="s">
        <v>6984</v>
      </c>
      <c r="DIZ29" t="s">
        <v>6984</v>
      </c>
      <c r="DJA29" t="s">
        <v>6984</v>
      </c>
      <c r="DJB29" t="s">
        <v>6984</v>
      </c>
      <c r="DJC29" t="s">
        <v>6984</v>
      </c>
      <c r="DJD29" t="s">
        <v>6984</v>
      </c>
      <c r="DJE29" t="s">
        <v>6984</v>
      </c>
      <c r="DJF29" t="s">
        <v>6984</v>
      </c>
      <c r="DJG29" t="s">
        <v>6984</v>
      </c>
      <c r="DJH29" t="s">
        <v>6984</v>
      </c>
      <c r="DJI29" t="s">
        <v>6984</v>
      </c>
      <c r="DJJ29" t="s">
        <v>6984</v>
      </c>
      <c r="DJK29" t="s">
        <v>6984</v>
      </c>
      <c r="DJL29" t="s">
        <v>6984</v>
      </c>
      <c r="DJM29" t="s">
        <v>6984</v>
      </c>
      <c r="DJN29" t="s">
        <v>6984</v>
      </c>
      <c r="DJO29" t="s">
        <v>6984</v>
      </c>
      <c r="DJP29" t="s">
        <v>6984</v>
      </c>
      <c r="DJQ29" t="s">
        <v>6984</v>
      </c>
      <c r="DJR29" t="s">
        <v>6984</v>
      </c>
      <c r="DJS29" t="s">
        <v>6984</v>
      </c>
      <c r="DJT29" t="s">
        <v>6984</v>
      </c>
      <c r="DJU29" t="s">
        <v>6984</v>
      </c>
      <c r="DJV29" t="s">
        <v>6984</v>
      </c>
      <c r="DJW29" t="s">
        <v>6984</v>
      </c>
      <c r="DJX29" t="s">
        <v>6984</v>
      </c>
      <c r="DJY29" t="s">
        <v>6984</v>
      </c>
      <c r="DJZ29" t="s">
        <v>6984</v>
      </c>
      <c r="DKA29" t="s">
        <v>6984</v>
      </c>
      <c r="DKB29" t="s">
        <v>6984</v>
      </c>
      <c r="DKC29" t="s">
        <v>6984</v>
      </c>
      <c r="DKD29" t="s">
        <v>6984</v>
      </c>
      <c r="DKE29" t="s">
        <v>6984</v>
      </c>
      <c r="DKF29" t="s">
        <v>6984</v>
      </c>
      <c r="DKG29" t="s">
        <v>6984</v>
      </c>
      <c r="DKH29" t="s">
        <v>6984</v>
      </c>
      <c r="DKI29" t="s">
        <v>6984</v>
      </c>
      <c r="DKJ29" t="s">
        <v>6984</v>
      </c>
      <c r="DKK29" t="s">
        <v>6984</v>
      </c>
      <c r="DKL29" t="s">
        <v>6984</v>
      </c>
      <c r="DKM29" t="s">
        <v>6984</v>
      </c>
      <c r="DKN29" t="s">
        <v>6984</v>
      </c>
      <c r="DKO29" t="s">
        <v>6984</v>
      </c>
      <c r="DKP29" t="s">
        <v>6984</v>
      </c>
      <c r="DKQ29" t="s">
        <v>6984</v>
      </c>
      <c r="DKR29" t="s">
        <v>6984</v>
      </c>
      <c r="DKS29" t="s">
        <v>6984</v>
      </c>
      <c r="DKT29" t="s">
        <v>6984</v>
      </c>
      <c r="DKU29" t="s">
        <v>6984</v>
      </c>
      <c r="DKV29" t="s">
        <v>6984</v>
      </c>
      <c r="DKW29" t="s">
        <v>6984</v>
      </c>
      <c r="DKX29" t="s">
        <v>6984</v>
      </c>
      <c r="DKY29" t="s">
        <v>6984</v>
      </c>
      <c r="DKZ29" t="s">
        <v>6984</v>
      </c>
      <c r="DLA29" t="s">
        <v>6984</v>
      </c>
      <c r="DLB29" t="s">
        <v>6984</v>
      </c>
      <c r="DLC29" t="s">
        <v>6984</v>
      </c>
      <c r="DLD29" t="s">
        <v>6984</v>
      </c>
      <c r="DLE29" t="s">
        <v>6984</v>
      </c>
      <c r="DLF29" t="s">
        <v>6984</v>
      </c>
      <c r="DLG29" t="s">
        <v>6984</v>
      </c>
      <c r="DLH29" t="s">
        <v>6984</v>
      </c>
      <c r="DLI29" t="s">
        <v>6984</v>
      </c>
      <c r="DLJ29" t="s">
        <v>6984</v>
      </c>
      <c r="DLK29" t="s">
        <v>6984</v>
      </c>
      <c r="DLL29" t="s">
        <v>6984</v>
      </c>
      <c r="DLM29" t="s">
        <v>6984</v>
      </c>
      <c r="DLN29" t="s">
        <v>6984</v>
      </c>
      <c r="DLO29" t="s">
        <v>6984</v>
      </c>
      <c r="DLP29" t="s">
        <v>6984</v>
      </c>
      <c r="DLQ29" t="s">
        <v>6984</v>
      </c>
      <c r="DLR29" t="s">
        <v>6984</v>
      </c>
      <c r="DLS29" t="s">
        <v>6984</v>
      </c>
      <c r="DLT29" t="s">
        <v>6984</v>
      </c>
      <c r="DLU29" t="s">
        <v>6984</v>
      </c>
      <c r="DLV29" t="s">
        <v>6984</v>
      </c>
      <c r="DLW29" t="s">
        <v>6984</v>
      </c>
      <c r="DLX29" t="s">
        <v>6984</v>
      </c>
      <c r="DLY29" t="s">
        <v>6984</v>
      </c>
      <c r="DLZ29" t="s">
        <v>6984</v>
      </c>
      <c r="DMA29" t="s">
        <v>6984</v>
      </c>
      <c r="DMB29" t="s">
        <v>6984</v>
      </c>
      <c r="DMC29" t="s">
        <v>6984</v>
      </c>
      <c r="DMD29" t="s">
        <v>6984</v>
      </c>
      <c r="DME29" t="s">
        <v>6984</v>
      </c>
      <c r="DMF29" t="s">
        <v>6984</v>
      </c>
      <c r="DMG29" t="s">
        <v>6984</v>
      </c>
      <c r="DMH29" t="s">
        <v>6984</v>
      </c>
      <c r="DMI29" t="s">
        <v>6984</v>
      </c>
      <c r="DMJ29" t="s">
        <v>6984</v>
      </c>
      <c r="DMK29" t="s">
        <v>6984</v>
      </c>
      <c r="DML29" t="s">
        <v>6984</v>
      </c>
      <c r="DMM29" t="s">
        <v>6984</v>
      </c>
      <c r="DMN29" t="s">
        <v>6984</v>
      </c>
      <c r="DMO29" t="s">
        <v>6984</v>
      </c>
      <c r="DMP29" t="s">
        <v>6984</v>
      </c>
      <c r="DMQ29" t="s">
        <v>6984</v>
      </c>
      <c r="DMR29" t="s">
        <v>6984</v>
      </c>
      <c r="DMS29" t="s">
        <v>6984</v>
      </c>
      <c r="DMT29" t="s">
        <v>6984</v>
      </c>
      <c r="DMU29" t="s">
        <v>6984</v>
      </c>
      <c r="DMV29" t="s">
        <v>6984</v>
      </c>
      <c r="DMW29" t="s">
        <v>6984</v>
      </c>
      <c r="DMX29" t="s">
        <v>6984</v>
      </c>
      <c r="DMY29" t="s">
        <v>6984</v>
      </c>
      <c r="DMZ29" t="s">
        <v>6984</v>
      </c>
      <c r="DNA29" t="s">
        <v>6984</v>
      </c>
      <c r="DNB29" t="s">
        <v>6984</v>
      </c>
      <c r="DNC29" t="s">
        <v>6984</v>
      </c>
      <c r="DND29" t="s">
        <v>6984</v>
      </c>
      <c r="DNE29" t="s">
        <v>6984</v>
      </c>
      <c r="DNF29" t="s">
        <v>6984</v>
      </c>
      <c r="DNG29" t="s">
        <v>6984</v>
      </c>
      <c r="DNH29" t="s">
        <v>6984</v>
      </c>
      <c r="DNI29" t="s">
        <v>6984</v>
      </c>
      <c r="DNJ29" t="s">
        <v>6984</v>
      </c>
      <c r="DNK29" t="s">
        <v>6984</v>
      </c>
      <c r="DNL29" t="s">
        <v>6984</v>
      </c>
      <c r="DNM29" t="s">
        <v>6984</v>
      </c>
      <c r="DNN29" t="s">
        <v>6984</v>
      </c>
      <c r="DNO29" t="s">
        <v>6984</v>
      </c>
      <c r="DNP29" t="s">
        <v>6984</v>
      </c>
      <c r="DNQ29" t="s">
        <v>6984</v>
      </c>
      <c r="DNR29" t="s">
        <v>6984</v>
      </c>
      <c r="DNS29" t="s">
        <v>6984</v>
      </c>
      <c r="DNT29" t="s">
        <v>6984</v>
      </c>
      <c r="DNU29" t="s">
        <v>6984</v>
      </c>
      <c r="DNV29" t="s">
        <v>6984</v>
      </c>
      <c r="DNW29" t="s">
        <v>6984</v>
      </c>
      <c r="DNX29" t="s">
        <v>6984</v>
      </c>
      <c r="DNY29" t="s">
        <v>6984</v>
      </c>
      <c r="DNZ29" t="s">
        <v>6984</v>
      </c>
      <c r="DOA29" t="s">
        <v>6984</v>
      </c>
      <c r="DOB29" t="s">
        <v>6984</v>
      </c>
      <c r="DOC29" t="s">
        <v>6984</v>
      </c>
      <c r="DOD29" t="s">
        <v>6984</v>
      </c>
      <c r="DOE29" t="s">
        <v>6984</v>
      </c>
      <c r="DOF29" t="s">
        <v>6984</v>
      </c>
      <c r="DOG29" t="s">
        <v>6984</v>
      </c>
      <c r="DOH29" t="s">
        <v>6984</v>
      </c>
      <c r="DOI29" t="s">
        <v>6984</v>
      </c>
      <c r="DOJ29" t="s">
        <v>6984</v>
      </c>
      <c r="DOK29" t="s">
        <v>6984</v>
      </c>
      <c r="DOL29" t="s">
        <v>6984</v>
      </c>
      <c r="DOM29" t="s">
        <v>6984</v>
      </c>
      <c r="DON29" t="s">
        <v>6984</v>
      </c>
      <c r="DOO29" t="s">
        <v>6984</v>
      </c>
      <c r="DOP29" t="s">
        <v>6984</v>
      </c>
      <c r="DOQ29" t="s">
        <v>6984</v>
      </c>
      <c r="DOR29" t="s">
        <v>6984</v>
      </c>
      <c r="DOS29" t="s">
        <v>6984</v>
      </c>
      <c r="DOT29" t="s">
        <v>6984</v>
      </c>
      <c r="DOU29" t="s">
        <v>6984</v>
      </c>
      <c r="DOV29" t="s">
        <v>6984</v>
      </c>
      <c r="DOW29" t="s">
        <v>6984</v>
      </c>
      <c r="DOX29" t="s">
        <v>6984</v>
      </c>
      <c r="DOY29" t="s">
        <v>6984</v>
      </c>
      <c r="DOZ29" t="s">
        <v>6984</v>
      </c>
      <c r="DPA29" t="s">
        <v>6984</v>
      </c>
      <c r="DPB29" t="s">
        <v>6984</v>
      </c>
      <c r="DPC29" t="s">
        <v>6984</v>
      </c>
      <c r="DPD29" t="s">
        <v>6984</v>
      </c>
      <c r="DPE29" t="s">
        <v>6984</v>
      </c>
      <c r="DPF29" t="s">
        <v>6984</v>
      </c>
      <c r="DPG29" t="s">
        <v>6984</v>
      </c>
      <c r="DPH29" t="s">
        <v>6984</v>
      </c>
      <c r="DPI29" t="s">
        <v>6984</v>
      </c>
      <c r="DPJ29" t="s">
        <v>6984</v>
      </c>
      <c r="DPK29" t="s">
        <v>6984</v>
      </c>
      <c r="DPL29" t="s">
        <v>6984</v>
      </c>
      <c r="DPM29" t="s">
        <v>6984</v>
      </c>
      <c r="DPN29" t="s">
        <v>6984</v>
      </c>
      <c r="DPO29" t="s">
        <v>6984</v>
      </c>
      <c r="DPP29" t="s">
        <v>6984</v>
      </c>
      <c r="DPQ29" t="s">
        <v>6984</v>
      </c>
      <c r="DPR29" t="s">
        <v>6984</v>
      </c>
      <c r="DPS29" t="s">
        <v>6984</v>
      </c>
      <c r="DPT29" t="s">
        <v>6984</v>
      </c>
      <c r="DPU29" t="s">
        <v>6984</v>
      </c>
      <c r="DPV29" t="s">
        <v>6984</v>
      </c>
      <c r="DPW29" t="s">
        <v>6984</v>
      </c>
      <c r="DPX29" t="s">
        <v>6984</v>
      </c>
      <c r="DPY29" t="s">
        <v>6984</v>
      </c>
      <c r="DPZ29" t="s">
        <v>6984</v>
      </c>
      <c r="DQA29" t="s">
        <v>6984</v>
      </c>
      <c r="DQB29" t="s">
        <v>6984</v>
      </c>
      <c r="DQC29" t="s">
        <v>6984</v>
      </c>
      <c r="DQD29" t="s">
        <v>6984</v>
      </c>
      <c r="DQE29" t="s">
        <v>6984</v>
      </c>
      <c r="DQF29" t="s">
        <v>6984</v>
      </c>
      <c r="DQG29" t="s">
        <v>6984</v>
      </c>
      <c r="DQH29" t="s">
        <v>6984</v>
      </c>
      <c r="DQI29" t="s">
        <v>6984</v>
      </c>
      <c r="DQJ29" t="s">
        <v>6984</v>
      </c>
      <c r="DQK29" t="s">
        <v>6984</v>
      </c>
      <c r="DQL29" t="s">
        <v>6984</v>
      </c>
      <c r="DQM29" t="s">
        <v>6984</v>
      </c>
      <c r="DQN29" t="s">
        <v>6984</v>
      </c>
      <c r="DQO29" t="s">
        <v>6984</v>
      </c>
      <c r="DQP29" t="s">
        <v>6984</v>
      </c>
      <c r="DQQ29" t="s">
        <v>6984</v>
      </c>
      <c r="DQR29" t="s">
        <v>6984</v>
      </c>
      <c r="DQS29" t="s">
        <v>6984</v>
      </c>
      <c r="DQT29" t="s">
        <v>6984</v>
      </c>
      <c r="DQU29" t="s">
        <v>6984</v>
      </c>
      <c r="DQV29" t="s">
        <v>6984</v>
      </c>
      <c r="DQW29" t="s">
        <v>6984</v>
      </c>
      <c r="DQX29" t="s">
        <v>6984</v>
      </c>
      <c r="DQY29" t="s">
        <v>6984</v>
      </c>
      <c r="DQZ29" t="s">
        <v>6984</v>
      </c>
      <c r="DRA29" t="s">
        <v>6984</v>
      </c>
      <c r="DRB29" t="s">
        <v>6984</v>
      </c>
      <c r="DRC29" t="s">
        <v>6984</v>
      </c>
      <c r="DRD29" t="s">
        <v>6984</v>
      </c>
      <c r="DRE29" t="s">
        <v>6984</v>
      </c>
      <c r="DRF29" t="s">
        <v>6984</v>
      </c>
      <c r="DRG29" t="s">
        <v>6984</v>
      </c>
      <c r="DRH29" t="s">
        <v>6984</v>
      </c>
      <c r="DRI29" t="s">
        <v>6984</v>
      </c>
      <c r="DRJ29" t="s">
        <v>6984</v>
      </c>
      <c r="DRK29" t="s">
        <v>6984</v>
      </c>
      <c r="DRL29" t="s">
        <v>6984</v>
      </c>
      <c r="DRM29" t="s">
        <v>6984</v>
      </c>
      <c r="DRN29" t="s">
        <v>6984</v>
      </c>
      <c r="DRO29" t="s">
        <v>6984</v>
      </c>
      <c r="DRP29" t="s">
        <v>6984</v>
      </c>
      <c r="DRQ29" t="s">
        <v>6984</v>
      </c>
      <c r="DRR29" t="s">
        <v>6984</v>
      </c>
      <c r="DRS29" t="s">
        <v>6984</v>
      </c>
      <c r="DRT29" t="s">
        <v>6984</v>
      </c>
      <c r="DRU29" t="s">
        <v>6984</v>
      </c>
      <c r="DRV29" t="s">
        <v>6984</v>
      </c>
      <c r="DRW29" t="s">
        <v>6984</v>
      </c>
      <c r="DRX29" t="s">
        <v>6984</v>
      </c>
      <c r="DRY29" t="s">
        <v>6984</v>
      </c>
      <c r="DRZ29" t="s">
        <v>6984</v>
      </c>
      <c r="DSA29" t="s">
        <v>6984</v>
      </c>
      <c r="DSB29" t="s">
        <v>6984</v>
      </c>
      <c r="DSC29" t="s">
        <v>6984</v>
      </c>
      <c r="DSD29" t="s">
        <v>6984</v>
      </c>
      <c r="DSE29" t="s">
        <v>6984</v>
      </c>
      <c r="DSF29" t="s">
        <v>6984</v>
      </c>
      <c r="DSG29" t="s">
        <v>6984</v>
      </c>
      <c r="DSH29" t="s">
        <v>6984</v>
      </c>
      <c r="DSI29" t="s">
        <v>6984</v>
      </c>
      <c r="DSJ29" t="s">
        <v>6984</v>
      </c>
      <c r="DSK29" t="s">
        <v>6984</v>
      </c>
      <c r="DSL29" t="s">
        <v>6984</v>
      </c>
      <c r="DSM29" t="s">
        <v>6984</v>
      </c>
      <c r="DSN29" t="s">
        <v>6984</v>
      </c>
      <c r="DSO29" t="s">
        <v>6984</v>
      </c>
      <c r="DSP29" t="s">
        <v>6984</v>
      </c>
      <c r="DSQ29" t="s">
        <v>6984</v>
      </c>
      <c r="DSR29" t="s">
        <v>6984</v>
      </c>
      <c r="DSS29" t="s">
        <v>6984</v>
      </c>
      <c r="DST29" t="s">
        <v>6984</v>
      </c>
      <c r="DSU29" t="s">
        <v>6984</v>
      </c>
      <c r="DSV29" t="s">
        <v>6984</v>
      </c>
      <c r="DSW29" t="s">
        <v>6984</v>
      </c>
      <c r="DSX29" t="s">
        <v>6984</v>
      </c>
      <c r="DSY29" t="s">
        <v>6984</v>
      </c>
      <c r="DSZ29" t="s">
        <v>6984</v>
      </c>
      <c r="DTA29" t="s">
        <v>6984</v>
      </c>
      <c r="DTB29" t="s">
        <v>6984</v>
      </c>
      <c r="DTC29" t="s">
        <v>6984</v>
      </c>
      <c r="DTD29" t="s">
        <v>6984</v>
      </c>
      <c r="DTE29" t="s">
        <v>6984</v>
      </c>
      <c r="DTF29" t="s">
        <v>6984</v>
      </c>
      <c r="DTG29" t="s">
        <v>6984</v>
      </c>
      <c r="DTH29" t="s">
        <v>6984</v>
      </c>
      <c r="DTI29" t="s">
        <v>6984</v>
      </c>
      <c r="DTJ29" t="s">
        <v>6984</v>
      </c>
      <c r="DTK29" t="s">
        <v>6984</v>
      </c>
      <c r="DTL29" t="s">
        <v>6984</v>
      </c>
      <c r="DTM29" t="s">
        <v>6984</v>
      </c>
      <c r="DTN29" t="s">
        <v>6984</v>
      </c>
      <c r="DTO29" t="s">
        <v>6984</v>
      </c>
      <c r="DTP29" t="s">
        <v>6984</v>
      </c>
      <c r="DTQ29" t="s">
        <v>6984</v>
      </c>
      <c r="DTR29" t="s">
        <v>6984</v>
      </c>
      <c r="DTS29" t="s">
        <v>6984</v>
      </c>
      <c r="DTT29" t="s">
        <v>6984</v>
      </c>
      <c r="DTU29" t="s">
        <v>6984</v>
      </c>
      <c r="DTV29" t="s">
        <v>6984</v>
      </c>
      <c r="DTW29" t="s">
        <v>6984</v>
      </c>
      <c r="DTX29" t="s">
        <v>6984</v>
      </c>
      <c r="DTY29" t="s">
        <v>6984</v>
      </c>
      <c r="DTZ29" t="s">
        <v>6984</v>
      </c>
      <c r="DUA29" t="s">
        <v>6984</v>
      </c>
      <c r="DUB29" t="s">
        <v>6984</v>
      </c>
      <c r="DUC29" t="s">
        <v>6984</v>
      </c>
      <c r="DUD29" t="s">
        <v>6984</v>
      </c>
      <c r="DUE29" t="s">
        <v>6984</v>
      </c>
      <c r="DUF29" t="s">
        <v>6984</v>
      </c>
      <c r="DUG29" t="s">
        <v>6984</v>
      </c>
      <c r="DUH29" t="s">
        <v>6984</v>
      </c>
      <c r="DUI29" t="s">
        <v>6984</v>
      </c>
      <c r="DUJ29" t="s">
        <v>6984</v>
      </c>
      <c r="DUK29" t="s">
        <v>6984</v>
      </c>
      <c r="DUL29" t="s">
        <v>6984</v>
      </c>
      <c r="DUM29" t="s">
        <v>6984</v>
      </c>
      <c r="DUN29" t="s">
        <v>6984</v>
      </c>
      <c r="DUO29" t="s">
        <v>6984</v>
      </c>
      <c r="DUP29" t="s">
        <v>6984</v>
      </c>
      <c r="DUQ29" t="s">
        <v>6984</v>
      </c>
      <c r="DUR29" t="s">
        <v>6984</v>
      </c>
      <c r="DUS29" t="s">
        <v>6984</v>
      </c>
      <c r="DUT29" t="s">
        <v>6984</v>
      </c>
      <c r="DUU29" t="s">
        <v>6984</v>
      </c>
      <c r="DUV29" t="s">
        <v>6984</v>
      </c>
      <c r="DUW29" t="s">
        <v>6984</v>
      </c>
      <c r="DUX29" t="s">
        <v>6984</v>
      </c>
      <c r="DUY29" t="s">
        <v>6984</v>
      </c>
      <c r="DUZ29" t="s">
        <v>6984</v>
      </c>
      <c r="DVA29" t="s">
        <v>6984</v>
      </c>
      <c r="DVB29" t="s">
        <v>6984</v>
      </c>
      <c r="DVC29" t="s">
        <v>6984</v>
      </c>
      <c r="DVD29" t="s">
        <v>6984</v>
      </c>
      <c r="DVE29" t="s">
        <v>6984</v>
      </c>
      <c r="DVF29" t="s">
        <v>6984</v>
      </c>
      <c r="DVG29" t="s">
        <v>6984</v>
      </c>
      <c r="DVH29" t="s">
        <v>6984</v>
      </c>
      <c r="DVI29" t="s">
        <v>6984</v>
      </c>
      <c r="DVJ29" t="s">
        <v>6984</v>
      </c>
      <c r="DVK29" t="s">
        <v>6984</v>
      </c>
      <c r="DVL29" t="s">
        <v>6984</v>
      </c>
      <c r="DVM29" t="s">
        <v>6984</v>
      </c>
      <c r="DVN29" t="s">
        <v>6984</v>
      </c>
      <c r="DVO29" t="s">
        <v>6984</v>
      </c>
      <c r="DVP29" t="s">
        <v>6984</v>
      </c>
      <c r="DVQ29" t="s">
        <v>6984</v>
      </c>
      <c r="DVR29" t="s">
        <v>6984</v>
      </c>
      <c r="DVS29" t="s">
        <v>6984</v>
      </c>
      <c r="DVT29" t="s">
        <v>6984</v>
      </c>
      <c r="DVU29" t="s">
        <v>6984</v>
      </c>
      <c r="DVV29" t="s">
        <v>6984</v>
      </c>
      <c r="DVW29" t="s">
        <v>6984</v>
      </c>
      <c r="DVX29" t="s">
        <v>6984</v>
      </c>
      <c r="DVY29" t="s">
        <v>6984</v>
      </c>
      <c r="DVZ29" t="s">
        <v>6984</v>
      </c>
      <c r="DWA29" t="s">
        <v>6984</v>
      </c>
      <c r="DWB29" t="s">
        <v>6984</v>
      </c>
      <c r="DWC29" t="s">
        <v>6984</v>
      </c>
      <c r="DWD29" t="s">
        <v>6984</v>
      </c>
      <c r="DWE29" t="s">
        <v>6984</v>
      </c>
      <c r="DWF29" t="s">
        <v>6984</v>
      </c>
      <c r="DWG29" t="s">
        <v>6984</v>
      </c>
      <c r="DWH29" t="s">
        <v>6984</v>
      </c>
      <c r="DWI29" t="s">
        <v>6984</v>
      </c>
      <c r="DWJ29" t="s">
        <v>6984</v>
      </c>
      <c r="DWK29" t="s">
        <v>6984</v>
      </c>
      <c r="DWL29" t="s">
        <v>6984</v>
      </c>
      <c r="DWM29" t="s">
        <v>6984</v>
      </c>
      <c r="DWN29" t="s">
        <v>6984</v>
      </c>
      <c r="DWO29" t="s">
        <v>6984</v>
      </c>
      <c r="DWP29" t="s">
        <v>6984</v>
      </c>
      <c r="DWQ29" t="s">
        <v>6984</v>
      </c>
      <c r="DWR29" t="s">
        <v>6984</v>
      </c>
      <c r="DWS29" t="s">
        <v>6984</v>
      </c>
      <c r="DWT29" t="s">
        <v>6984</v>
      </c>
      <c r="DWU29" t="s">
        <v>6984</v>
      </c>
      <c r="DWV29" t="s">
        <v>6984</v>
      </c>
      <c r="DWW29" t="s">
        <v>6984</v>
      </c>
      <c r="DWX29" t="s">
        <v>6984</v>
      </c>
      <c r="DWY29" t="s">
        <v>6984</v>
      </c>
      <c r="DWZ29" t="s">
        <v>6984</v>
      </c>
      <c r="DXA29" t="s">
        <v>6984</v>
      </c>
      <c r="DXB29" t="s">
        <v>6984</v>
      </c>
      <c r="DXC29" t="s">
        <v>6984</v>
      </c>
      <c r="DXD29" t="s">
        <v>6984</v>
      </c>
      <c r="DXE29" t="s">
        <v>6984</v>
      </c>
      <c r="DXF29" t="s">
        <v>6984</v>
      </c>
      <c r="DXG29" t="s">
        <v>6984</v>
      </c>
      <c r="DXH29" t="s">
        <v>6984</v>
      </c>
      <c r="DXI29" t="s">
        <v>6984</v>
      </c>
      <c r="DXJ29" t="s">
        <v>6984</v>
      </c>
      <c r="DXK29" t="s">
        <v>6984</v>
      </c>
      <c r="DXL29" t="s">
        <v>6984</v>
      </c>
      <c r="DXM29" t="s">
        <v>6984</v>
      </c>
      <c r="DXN29" t="s">
        <v>6984</v>
      </c>
      <c r="DXO29" t="s">
        <v>6984</v>
      </c>
      <c r="DXP29" t="s">
        <v>6984</v>
      </c>
      <c r="DXQ29" t="s">
        <v>6984</v>
      </c>
      <c r="DXR29" t="s">
        <v>6984</v>
      </c>
      <c r="DXS29" t="s">
        <v>6984</v>
      </c>
      <c r="DXT29" t="s">
        <v>6984</v>
      </c>
      <c r="DXU29" t="s">
        <v>6984</v>
      </c>
      <c r="DXV29" t="s">
        <v>6984</v>
      </c>
      <c r="DXW29" t="s">
        <v>6984</v>
      </c>
      <c r="DXX29" t="s">
        <v>6984</v>
      </c>
      <c r="DXY29" t="s">
        <v>6984</v>
      </c>
      <c r="DXZ29" t="s">
        <v>6984</v>
      </c>
      <c r="DYA29" t="s">
        <v>6984</v>
      </c>
      <c r="DYB29" t="s">
        <v>6984</v>
      </c>
      <c r="DYC29" t="s">
        <v>6984</v>
      </c>
      <c r="DYD29" t="s">
        <v>6984</v>
      </c>
      <c r="DYE29" t="s">
        <v>6984</v>
      </c>
      <c r="DYF29" t="s">
        <v>6984</v>
      </c>
      <c r="DYG29" t="s">
        <v>6984</v>
      </c>
      <c r="DYH29" t="s">
        <v>6984</v>
      </c>
      <c r="DYI29" t="s">
        <v>6984</v>
      </c>
      <c r="DYJ29" t="s">
        <v>6984</v>
      </c>
      <c r="DYK29" t="s">
        <v>6984</v>
      </c>
      <c r="DYL29" t="s">
        <v>6984</v>
      </c>
      <c r="DYM29" t="s">
        <v>6984</v>
      </c>
      <c r="DYN29" t="s">
        <v>6984</v>
      </c>
      <c r="DYO29" t="s">
        <v>6984</v>
      </c>
      <c r="DYP29" t="s">
        <v>6984</v>
      </c>
      <c r="DYQ29" t="s">
        <v>6984</v>
      </c>
      <c r="DYR29" t="s">
        <v>6984</v>
      </c>
      <c r="DYS29" t="s">
        <v>6984</v>
      </c>
      <c r="DYT29" t="s">
        <v>6984</v>
      </c>
      <c r="DYU29" t="s">
        <v>6984</v>
      </c>
      <c r="DYV29" t="s">
        <v>6984</v>
      </c>
      <c r="DYW29" t="s">
        <v>6984</v>
      </c>
      <c r="DYX29" t="s">
        <v>6984</v>
      </c>
      <c r="DYY29" t="s">
        <v>6984</v>
      </c>
      <c r="DYZ29" t="s">
        <v>6984</v>
      </c>
      <c r="DZA29" t="s">
        <v>6984</v>
      </c>
      <c r="DZB29" t="s">
        <v>6984</v>
      </c>
      <c r="DZC29" t="s">
        <v>6984</v>
      </c>
      <c r="DZD29" t="s">
        <v>6984</v>
      </c>
      <c r="DZE29" t="s">
        <v>6984</v>
      </c>
      <c r="DZF29" t="s">
        <v>6984</v>
      </c>
      <c r="DZG29" t="s">
        <v>6984</v>
      </c>
      <c r="DZH29" t="s">
        <v>6984</v>
      </c>
      <c r="DZI29" t="s">
        <v>6984</v>
      </c>
      <c r="DZJ29" t="s">
        <v>6984</v>
      </c>
      <c r="DZK29" t="s">
        <v>6984</v>
      </c>
      <c r="DZL29" t="s">
        <v>6984</v>
      </c>
      <c r="DZM29" t="s">
        <v>6984</v>
      </c>
      <c r="DZN29" t="s">
        <v>6984</v>
      </c>
      <c r="DZO29" t="s">
        <v>6984</v>
      </c>
      <c r="DZP29" t="s">
        <v>6984</v>
      </c>
      <c r="DZQ29" t="s">
        <v>6984</v>
      </c>
      <c r="DZR29" t="s">
        <v>6984</v>
      </c>
      <c r="DZS29" t="s">
        <v>6984</v>
      </c>
      <c r="DZT29" t="s">
        <v>6984</v>
      </c>
      <c r="DZU29" t="s">
        <v>6984</v>
      </c>
      <c r="DZV29" t="s">
        <v>6984</v>
      </c>
      <c r="DZW29" t="s">
        <v>6984</v>
      </c>
      <c r="DZX29" t="s">
        <v>6984</v>
      </c>
      <c r="DZY29" t="s">
        <v>6984</v>
      </c>
      <c r="DZZ29" t="s">
        <v>6984</v>
      </c>
      <c r="EAA29" t="s">
        <v>6984</v>
      </c>
      <c r="EAB29" t="s">
        <v>6984</v>
      </c>
      <c r="EAC29" t="s">
        <v>6984</v>
      </c>
      <c r="EAD29" t="s">
        <v>6984</v>
      </c>
      <c r="EAE29" t="s">
        <v>6984</v>
      </c>
      <c r="EAF29" t="s">
        <v>6984</v>
      </c>
      <c r="EAG29" t="s">
        <v>6984</v>
      </c>
      <c r="EAH29" t="s">
        <v>6984</v>
      </c>
      <c r="EAI29" t="s">
        <v>6984</v>
      </c>
      <c r="EAJ29" t="s">
        <v>6984</v>
      </c>
      <c r="EAK29" t="s">
        <v>6984</v>
      </c>
      <c r="EAL29" t="s">
        <v>6984</v>
      </c>
      <c r="EAM29" t="s">
        <v>6984</v>
      </c>
      <c r="EAN29" t="s">
        <v>6984</v>
      </c>
      <c r="EAO29" t="s">
        <v>6984</v>
      </c>
      <c r="EAP29" t="s">
        <v>6984</v>
      </c>
      <c r="EAQ29" t="s">
        <v>6984</v>
      </c>
      <c r="EAR29" t="s">
        <v>6984</v>
      </c>
      <c r="EAS29" t="s">
        <v>6984</v>
      </c>
      <c r="EAT29" t="s">
        <v>6984</v>
      </c>
      <c r="EAU29" t="s">
        <v>6984</v>
      </c>
      <c r="EAV29" t="s">
        <v>6984</v>
      </c>
      <c r="EAW29" t="s">
        <v>6984</v>
      </c>
      <c r="EAX29" t="s">
        <v>6984</v>
      </c>
      <c r="EAY29" t="s">
        <v>6984</v>
      </c>
      <c r="EAZ29" t="s">
        <v>6984</v>
      </c>
      <c r="EBA29" t="s">
        <v>6984</v>
      </c>
      <c r="EBB29" t="s">
        <v>6984</v>
      </c>
      <c r="EBC29" t="s">
        <v>6984</v>
      </c>
      <c r="EBD29" t="s">
        <v>6984</v>
      </c>
      <c r="EBE29" t="s">
        <v>6984</v>
      </c>
      <c r="EBF29" t="s">
        <v>6984</v>
      </c>
      <c r="EBG29" t="s">
        <v>6984</v>
      </c>
      <c r="EBH29" t="s">
        <v>6984</v>
      </c>
      <c r="EBI29" t="s">
        <v>6984</v>
      </c>
      <c r="EBJ29" t="s">
        <v>6984</v>
      </c>
      <c r="EBK29" t="s">
        <v>6984</v>
      </c>
      <c r="EBL29" t="s">
        <v>6984</v>
      </c>
      <c r="EBM29" t="s">
        <v>6984</v>
      </c>
      <c r="EBN29" t="s">
        <v>6984</v>
      </c>
      <c r="EBO29" t="s">
        <v>6984</v>
      </c>
      <c r="EBP29" t="s">
        <v>6984</v>
      </c>
      <c r="EBQ29" t="s">
        <v>6984</v>
      </c>
      <c r="EBR29" t="s">
        <v>6984</v>
      </c>
      <c r="EBS29" t="s">
        <v>6984</v>
      </c>
      <c r="EBT29" t="s">
        <v>6984</v>
      </c>
      <c r="EBU29" t="s">
        <v>6984</v>
      </c>
      <c r="EBV29" t="s">
        <v>6984</v>
      </c>
      <c r="EBW29" t="s">
        <v>6984</v>
      </c>
      <c r="EBX29" t="s">
        <v>6984</v>
      </c>
      <c r="EBY29" t="s">
        <v>6984</v>
      </c>
      <c r="EBZ29" t="s">
        <v>6984</v>
      </c>
      <c r="ECA29" t="s">
        <v>6984</v>
      </c>
      <c r="ECB29" t="s">
        <v>6984</v>
      </c>
      <c r="ECC29" t="s">
        <v>6984</v>
      </c>
      <c r="ECD29" t="s">
        <v>6984</v>
      </c>
      <c r="ECE29" t="s">
        <v>6984</v>
      </c>
      <c r="ECF29" t="s">
        <v>6984</v>
      </c>
      <c r="ECG29" t="s">
        <v>6984</v>
      </c>
      <c r="ECH29" t="s">
        <v>6984</v>
      </c>
      <c r="ECI29" t="s">
        <v>6984</v>
      </c>
      <c r="ECJ29" t="s">
        <v>6984</v>
      </c>
      <c r="ECK29" t="s">
        <v>6984</v>
      </c>
      <c r="ECL29" t="s">
        <v>6984</v>
      </c>
      <c r="ECM29" t="s">
        <v>6984</v>
      </c>
      <c r="ECN29" t="s">
        <v>6984</v>
      </c>
      <c r="ECO29" t="s">
        <v>6984</v>
      </c>
      <c r="ECP29" t="s">
        <v>6984</v>
      </c>
      <c r="ECQ29" t="s">
        <v>6984</v>
      </c>
      <c r="ECR29" t="s">
        <v>6984</v>
      </c>
      <c r="ECS29" t="s">
        <v>6984</v>
      </c>
      <c r="ECT29" t="s">
        <v>6984</v>
      </c>
      <c r="ECU29" t="s">
        <v>6984</v>
      </c>
      <c r="ECV29" t="s">
        <v>6984</v>
      </c>
      <c r="ECW29" t="s">
        <v>6984</v>
      </c>
      <c r="ECX29" t="s">
        <v>6984</v>
      </c>
      <c r="ECY29" t="s">
        <v>6984</v>
      </c>
      <c r="ECZ29" t="s">
        <v>6984</v>
      </c>
      <c r="EDA29" t="s">
        <v>6984</v>
      </c>
      <c r="EDB29" t="s">
        <v>6984</v>
      </c>
      <c r="EDC29" t="s">
        <v>6984</v>
      </c>
      <c r="EDD29" t="s">
        <v>6984</v>
      </c>
      <c r="EDE29" t="s">
        <v>6984</v>
      </c>
      <c r="EDF29" t="s">
        <v>6984</v>
      </c>
      <c r="EDG29" t="s">
        <v>6984</v>
      </c>
      <c r="EDH29" t="s">
        <v>6984</v>
      </c>
      <c r="EDI29" t="s">
        <v>6984</v>
      </c>
      <c r="EDJ29" t="s">
        <v>6984</v>
      </c>
      <c r="EDK29" t="s">
        <v>6984</v>
      </c>
      <c r="EDL29" t="s">
        <v>6984</v>
      </c>
      <c r="EDM29" t="s">
        <v>6984</v>
      </c>
      <c r="EDN29" t="s">
        <v>6984</v>
      </c>
      <c r="EDO29" t="s">
        <v>6984</v>
      </c>
      <c r="EDP29" t="s">
        <v>6984</v>
      </c>
      <c r="EDQ29" t="s">
        <v>6984</v>
      </c>
      <c r="EDR29" t="s">
        <v>6984</v>
      </c>
      <c r="EDS29" t="s">
        <v>6984</v>
      </c>
      <c r="EDT29" t="s">
        <v>6984</v>
      </c>
      <c r="EDU29" t="s">
        <v>6984</v>
      </c>
      <c r="EDV29" t="s">
        <v>6984</v>
      </c>
      <c r="EDW29" t="s">
        <v>6984</v>
      </c>
      <c r="EDX29" t="s">
        <v>6984</v>
      </c>
      <c r="EDY29" t="s">
        <v>6984</v>
      </c>
      <c r="EDZ29" t="s">
        <v>6984</v>
      </c>
      <c r="EEA29" t="s">
        <v>6984</v>
      </c>
      <c r="EEB29" t="s">
        <v>6984</v>
      </c>
      <c r="EEC29" t="s">
        <v>6984</v>
      </c>
      <c r="EED29" t="s">
        <v>6984</v>
      </c>
      <c r="EEE29" t="s">
        <v>6984</v>
      </c>
      <c r="EEF29" t="s">
        <v>6984</v>
      </c>
      <c r="EEG29" t="s">
        <v>6984</v>
      </c>
      <c r="EEH29" t="s">
        <v>6984</v>
      </c>
      <c r="EEI29" t="s">
        <v>6984</v>
      </c>
      <c r="EEJ29" t="s">
        <v>6984</v>
      </c>
      <c r="EEK29" t="s">
        <v>6984</v>
      </c>
      <c r="EEL29" t="s">
        <v>6984</v>
      </c>
      <c r="EEM29" t="s">
        <v>6984</v>
      </c>
      <c r="EEN29" t="s">
        <v>6984</v>
      </c>
      <c r="EEO29" t="s">
        <v>6984</v>
      </c>
      <c r="EEP29" t="s">
        <v>6984</v>
      </c>
      <c r="EEQ29" t="s">
        <v>6984</v>
      </c>
      <c r="EER29" t="s">
        <v>6984</v>
      </c>
      <c r="EES29" t="s">
        <v>6984</v>
      </c>
      <c r="EET29" t="s">
        <v>6984</v>
      </c>
      <c r="EEU29" t="s">
        <v>6984</v>
      </c>
      <c r="EEV29" t="s">
        <v>6984</v>
      </c>
      <c r="EEW29" t="s">
        <v>6984</v>
      </c>
      <c r="EEX29" t="s">
        <v>6984</v>
      </c>
      <c r="EEY29" t="s">
        <v>6984</v>
      </c>
      <c r="EEZ29" t="s">
        <v>6984</v>
      </c>
      <c r="EFA29" t="s">
        <v>6984</v>
      </c>
      <c r="EFB29" t="s">
        <v>6984</v>
      </c>
      <c r="EFC29" t="s">
        <v>6984</v>
      </c>
      <c r="EFD29" t="s">
        <v>6984</v>
      </c>
      <c r="EFE29" t="s">
        <v>6984</v>
      </c>
      <c r="EFF29" t="s">
        <v>6984</v>
      </c>
      <c r="EFG29" t="s">
        <v>6984</v>
      </c>
      <c r="EFH29" t="s">
        <v>6984</v>
      </c>
      <c r="EFI29" t="s">
        <v>6984</v>
      </c>
      <c r="EFJ29" t="s">
        <v>6984</v>
      </c>
      <c r="EFK29" t="s">
        <v>6984</v>
      </c>
      <c r="EFL29" t="s">
        <v>6984</v>
      </c>
      <c r="EFM29" t="s">
        <v>6984</v>
      </c>
      <c r="EFN29" t="s">
        <v>6984</v>
      </c>
      <c r="EFO29" t="s">
        <v>6984</v>
      </c>
      <c r="EFP29" t="s">
        <v>6984</v>
      </c>
      <c r="EFQ29" t="s">
        <v>6984</v>
      </c>
      <c r="EFR29" t="s">
        <v>6984</v>
      </c>
      <c r="EFS29" t="s">
        <v>6984</v>
      </c>
      <c r="EFT29" t="s">
        <v>6984</v>
      </c>
      <c r="EFU29" t="s">
        <v>6984</v>
      </c>
      <c r="EFV29" t="s">
        <v>6984</v>
      </c>
      <c r="EFW29" t="s">
        <v>6984</v>
      </c>
      <c r="EFX29" t="s">
        <v>6984</v>
      </c>
      <c r="EFY29" t="s">
        <v>6984</v>
      </c>
      <c r="EFZ29" t="s">
        <v>6984</v>
      </c>
      <c r="EGA29" t="s">
        <v>6984</v>
      </c>
      <c r="EGB29" t="s">
        <v>6984</v>
      </c>
      <c r="EGC29" t="s">
        <v>6984</v>
      </c>
      <c r="EGD29" t="s">
        <v>6984</v>
      </c>
      <c r="EGE29" t="s">
        <v>6984</v>
      </c>
      <c r="EGF29" t="s">
        <v>6984</v>
      </c>
      <c r="EGG29" t="s">
        <v>6984</v>
      </c>
      <c r="EGH29" t="s">
        <v>6984</v>
      </c>
      <c r="EGI29" t="s">
        <v>6984</v>
      </c>
      <c r="EGJ29" t="s">
        <v>6984</v>
      </c>
      <c r="EGK29" t="s">
        <v>6984</v>
      </c>
      <c r="EGL29" t="s">
        <v>6984</v>
      </c>
      <c r="EGM29" t="s">
        <v>6984</v>
      </c>
      <c r="EGN29" t="s">
        <v>6984</v>
      </c>
      <c r="EGO29" t="s">
        <v>6984</v>
      </c>
      <c r="EGP29" t="s">
        <v>6984</v>
      </c>
      <c r="EGQ29" t="s">
        <v>6984</v>
      </c>
      <c r="EGR29" t="s">
        <v>6984</v>
      </c>
      <c r="EGS29" t="s">
        <v>6984</v>
      </c>
      <c r="EGT29" t="s">
        <v>6984</v>
      </c>
      <c r="EGU29" t="s">
        <v>6984</v>
      </c>
      <c r="EGV29" t="s">
        <v>6984</v>
      </c>
      <c r="EGW29" t="s">
        <v>6984</v>
      </c>
      <c r="EGX29" t="s">
        <v>6984</v>
      </c>
      <c r="EGY29" t="s">
        <v>6984</v>
      </c>
      <c r="EGZ29" t="s">
        <v>6984</v>
      </c>
      <c r="EHA29" t="s">
        <v>6984</v>
      </c>
      <c r="EHB29" t="s">
        <v>6984</v>
      </c>
      <c r="EHC29" t="s">
        <v>6984</v>
      </c>
      <c r="EHD29" t="s">
        <v>6984</v>
      </c>
      <c r="EHE29" t="s">
        <v>6984</v>
      </c>
      <c r="EHF29" t="s">
        <v>6984</v>
      </c>
      <c r="EHG29" t="s">
        <v>6984</v>
      </c>
      <c r="EHH29" t="s">
        <v>6984</v>
      </c>
      <c r="EHI29" t="s">
        <v>6984</v>
      </c>
      <c r="EHJ29" t="s">
        <v>6984</v>
      </c>
      <c r="EHK29" t="s">
        <v>6984</v>
      </c>
      <c r="EHL29" t="s">
        <v>6984</v>
      </c>
      <c r="EHM29" t="s">
        <v>6984</v>
      </c>
      <c r="EHN29" t="s">
        <v>6984</v>
      </c>
      <c r="EHO29" t="s">
        <v>6984</v>
      </c>
      <c r="EHP29" t="s">
        <v>6984</v>
      </c>
      <c r="EHQ29" t="s">
        <v>6984</v>
      </c>
      <c r="EHR29" t="s">
        <v>6984</v>
      </c>
      <c r="EHS29" t="s">
        <v>6984</v>
      </c>
      <c r="EHT29" t="s">
        <v>6984</v>
      </c>
      <c r="EHU29" t="s">
        <v>6984</v>
      </c>
      <c r="EHV29" t="s">
        <v>6984</v>
      </c>
      <c r="EHW29" t="s">
        <v>6984</v>
      </c>
      <c r="EHX29" t="s">
        <v>6984</v>
      </c>
      <c r="EHY29" t="s">
        <v>6984</v>
      </c>
      <c r="EHZ29" t="s">
        <v>6984</v>
      </c>
      <c r="EIA29" t="s">
        <v>6984</v>
      </c>
      <c r="EIB29" t="s">
        <v>6984</v>
      </c>
      <c r="EIC29" t="s">
        <v>6984</v>
      </c>
      <c r="EID29" t="s">
        <v>6984</v>
      </c>
      <c r="EIE29" t="s">
        <v>6984</v>
      </c>
      <c r="EIF29" t="s">
        <v>6984</v>
      </c>
      <c r="EIG29" t="s">
        <v>6984</v>
      </c>
      <c r="EIH29" t="s">
        <v>6984</v>
      </c>
      <c r="EII29" t="s">
        <v>6984</v>
      </c>
      <c r="EIJ29" t="s">
        <v>6984</v>
      </c>
      <c r="EIK29" t="s">
        <v>6984</v>
      </c>
      <c r="EIL29" t="s">
        <v>6984</v>
      </c>
      <c r="EIM29" t="s">
        <v>6984</v>
      </c>
      <c r="EIN29" t="s">
        <v>6984</v>
      </c>
      <c r="EIO29" t="s">
        <v>6984</v>
      </c>
      <c r="EIP29" t="s">
        <v>6984</v>
      </c>
      <c r="EIQ29" t="s">
        <v>6984</v>
      </c>
      <c r="EIR29" t="s">
        <v>6984</v>
      </c>
      <c r="EIS29" t="s">
        <v>6984</v>
      </c>
      <c r="EIT29" t="s">
        <v>6984</v>
      </c>
      <c r="EIU29" t="s">
        <v>6984</v>
      </c>
      <c r="EIV29" t="s">
        <v>6984</v>
      </c>
      <c r="EIW29" t="s">
        <v>6984</v>
      </c>
      <c r="EIX29" t="s">
        <v>6984</v>
      </c>
      <c r="EIY29" t="s">
        <v>6984</v>
      </c>
      <c r="EIZ29" t="s">
        <v>6984</v>
      </c>
      <c r="EJA29" t="s">
        <v>6984</v>
      </c>
      <c r="EJB29" t="s">
        <v>6984</v>
      </c>
      <c r="EJC29" t="s">
        <v>6984</v>
      </c>
      <c r="EJD29" t="s">
        <v>6984</v>
      </c>
      <c r="EJE29" t="s">
        <v>6984</v>
      </c>
      <c r="EJF29" t="s">
        <v>6984</v>
      </c>
      <c r="EJG29" t="s">
        <v>6984</v>
      </c>
      <c r="EJH29" t="s">
        <v>6984</v>
      </c>
      <c r="EJI29" t="s">
        <v>6984</v>
      </c>
      <c r="EJJ29" t="s">
        <v>6984</v>
      </c>
      <c r="EJK29" t="s">
        <v>6984</v>
      </c>
      <c r="EJL29" t="s">
        <v>6984</v>
      </c>
      <c r="EJM29" t="s">
        <v>6984</v>
      </c>
      <c r="EJN29" t="s">
        <v>6984</v>
      </c>
      <c r="EJO29" t="s">
        <v>6984</v>
      </c>
      <c r="EJP29" t="s">
        <v>6984</v>
      </c>
      <c r="EJQ29" t="s">
        <v>6984</v>
      </c>
      <c r="EJR29" t="s">
        <v>6984</v>
      </c>
      <c r="EJS29" t="s">
        <v>6984</v>
      </c>
      <c r="EJT29" t="s">
        <v>6984</v>
      </c>
      <c r="EJU29" t="s">
        <v>6984</v>
      </c>
      <c r="EJV29" t="s">
        <v>6984</v>
      </c>
      <c r="EJW29" t="s">
        <v>6984</v>
      </c>
      <c r="EJX29" t="s">
        <v>6984</v>
      </c>
      <c r="EJY29" t="s">
        <v>6984</v>
      </c>
      <c r="EJZ29" t="s">
        <v>6984</v>
      </c>
      <c r="EKA29" t="s">
        <v>6984</v>
      </c>
      <c r="EKB29" t="s">
        <v>6984</v>
      </c>
      <c r="EKC29" t="s">
        <v>6984</v>
      </c>
      <c r="EKD29" t="s">
        <v>6984</v>
      </c>
      <c r="EKE29" t="s">
        <v>6984</v>
      </c>
      <c r="EKF29" t="s">
        <v>6984</v>
      </c>
      <c r="EKG29" t="s">
        <v>6984</v>
      </c>
      <c r="EKH29" t="s">
        <v>6984</v>
      </c>
      <c r="EKI29" t="s">
        <v>6984</v>
      </c>
      <c r="EKJ29" t="s">
        <v>6984</v>
      </c>
      <c r="EKK29" t="s">
        <v>6984</v>
      </c>
      <c r="EKL29" t="s">
        <v>6984</v>
      </c>
      <c r="EKM29" t="s">
        <v>6984</v>
      </c>
      <c r="EKN29" t="s">
        <v>6984</v>
      </c>
      <c r="EKO29" t="s">
        <v>6984</v>
      </c>
      <c r="EKP29" t="s">
        <v>6984</v>
      </c>
      <c r="EKQ29" t="s">
        <v>6984</v>
      </c>
      <c r="EKR29" t="s">
        <v>6984</v>
      </c>
      <c r="EKS29" t="s">
        <v>6984</v>
      </c>
      <c r="EKT29" t="s">
        <v>6984</v>
      </c>
      <c r="EKU29" t="s">
        <v>6984</v>
      </c>
      <c r="EKV29" t="s">
        <v>6984</v>
      </c>
      <c r="EKW29" t="s">
        <v>6984</v>
      </c>
      <c r="EKX29" t="s">
        <v>6984</v>
      </c>
      <c r="EKY29" t="s">
        <v>6984</v>
      </c>
      <c r="EKZ29" t="s">
        <v>6984</v>
      </c>
      <c r="ELA29" t="s">
        <v>6984</v>
      </c>
      <c r="ELB29" t="s">
        <v>6984</v>
      </c>
      <c r="ELC29" t="s">
        <v>6984</v>
      </c>
      <c r="ELD29" t="s">
        <v>6984</v>
      </c>
      <c r="ELE29" t="s">
        <v>6984</v>
      </c>
      <c r="ELF29" t="s">
        <v>6984</v>
      </c>
      <c r="ELG29" t="s">
        <v>6984</v>
      </c>
      <c r="ELH29" t="s">
        <v>6984</v>
      </c>
      <c r="ELI29" t="s">
        <v>6984</v>
      </c>
      <c r="ELJ29" t="s">
        <v>6984</v>
      </c>
      <c r="ELK29" t="s">
        <v>6984</v>
      </c>
      <c r="ELL29" t="s">
        <v>6984</v>
      </c>
      <c r="ELM29" t="s">
        <v>6984</v>
      </c>
      <c r="ELN29" t="s">
        <v>6984</v>
      </c>
      <c r="ELO29" t="s">
        <v>6984</v>
      </c>
      <c r="ELP29" t="s">
        <v>6984</v>
      </c>
      <c r="ELQ29" t="s">
        <v>6984</v>
      </c>
      <c r="ELR29" t="s">
        <v>6984</v>
      </c>
      <c r="ELS29" t="s">
        <v>6984</v>
      </c>
      <c r="ELT29" t="s">
        <v>6984</v>
      </c>
      <c r="ELU29" t="s">
        <v>6984</v>
      </c>
      <c r="ELV29" t="s">
        <v>6984</v>
      </c>
      <c r="ELW29" t="s">
        <v>6984</v>
      </c>
      <c r="ELX29" t="s">
        <v>6984</v>
      </c>
      <c r="ELY29" t="s">
        <v>6984</v>
      </c>
      <c r="ELZ29" t="s">
        <v>6984</v>
      </c>
      <c r="EMA29" t="s">
        <v>6984</v>
      </c>
      <c r="EMB29" t="s">
        <v>6984</v>
      </c>
      <c r="EMC29" t="s">
        <v>6984</v>
      </c>
      <c r="EMD29" t="s">
        <v>6984</v>
      </c>
      <c r="EME29" t="s">
        <v>6984</v>
      </c>
      <c r="EMF29" t="s">
        <v>6984</v>
      </c>
      <c r="EMG29" t="s">
        <v>6984</v>
      </c>
      <c r="EMH29" t="s">
        <v>6984</v>
      </c>
      <c r="EMI29" t="s">
        <v>6984</v>
      </c>
      <c r="EMJ29" t="s">
        <v>6984</v>
      </c>
      <c r="EMK29" t="s">
        <v>6984</v>
      </c>
      <c r="EML29" t="s">
        <v>6984</v>
      </c>
      <c r="EMM29" t="s">
        <v>6984</v>
      </c>
      <c r="EMN29" t="s">
        <v>6984</v>
      </c>
      <c r="EMO29" t="s">
        <v>6984</v>
      </c>
      <c r="EMP29" t="s">
        <v>6984</v>
      </c>
      <c r="EMQ29" t="s">
        <v>6984</v>
      </c>
      <c r="EMR29" t="s">
        <v>6984</v>
      </c>
      <c r="EMS29" t="s">
        <v>6984</v>
      </c>
      <c r="EMT29" t="s">
        <v>6984</v>
      </c>
      <c r="EMU29" t="s">
        <v>6984</v>
      </c>
      <c r="EMV29" t="s">
        <v>6984</v>
      </c>
      <c r="EMW29" t="s">
        <v>6984</v>
      </c>
      <c r="EMX29" t="s">
        <v>6984</v>
      </c>
      <c r="EMY29" t="s">
        <v>6984</v>
      </c>
      <c r="EMZ29" t="s">
        <v>6984</v>
      </c>
      <c r="ENA29" t="s">
        <v>6984</v>
      </c>
      <c r="ENB29" t="s">
        <v>6984</v>
      </c>
      <c r="ENC29" t="s">
        <v>6984</v>
      </c>
      <c r="END29" t="s">
        <v>6984</v>
      </c>
      <c r="ENE29" t="s">
        <v>6984</v>
      </c>
      <c r="ENF29" t="s">
        <v>6984</v>
      </c>
      <c r="ENG29" t="s">
        <v>6984</v>
      </c>
      <c r="ENH29" t="s">
        <v>6984</v>
      </c>
      <c r="ENI29" t="s">
        <v>6984</v>
      </c>
      <c r="ENJ29" t="s">
        <v>6984</v>
      </c>
      <c r="ENK29" t="s">
        <v>6984</v>
      </c>
      <c r="ENL29" t="s">
        <v>6984</v>
      </c>
      <c r="ENM29" t="s">
        <v>6984</v>
      </c>
      <c r="ENN29" t="s">
        <v>6984</v>
      </c>
      <c r="ENO29" t="s">
        <v>6984</v>
      </c>
      <c r="ENP29" t="s">
        <v>6984</v>
      </c>
      <c r="ENQ29" t="s">
        <v>6984</v>
      </c>
      <c r="ENR29" t="s">
        <v>6984</v>
      </c>
      <c r="ENS29" t="s">
        <v>6984</v>
      </c>
      <c r="ENT29" t="s">
        <v>6984</v>
      </c>
      <c r="ENU29" t="s">
        <v>6984</v>
      </c>
      <c r="ENV29" t="s">
        <v>6984</v>
      </c>
      <c r="ENW29" t="s">
        <v>6984</v>
      </c>
      <c r="ENX29" t="s">
        <v>6984</v>
      </c>
      <c r="ENY29" t="s">
        <v>6984</v>
      </c>
      <c r="ENZ29" t="s">
        <v>6984</v>
      </c>
      <c r="EOA29" t="s">
        <v>6984</v>
      </c>
      <c r="EOB29" t="s">
        <v>6984</v>
      </c>
      <c r="EOC29" t="s">
        <v>6984</v>
      </c>
      <c r="EOD29" t="s">
        <v>6984</v>
      </c>
      <c r="EOE29" t="s">
        <v>6984</v>
      </c>
      <c r="EOF29" t="s">
        <v>6984</v>
      </c>
      <c r="EOG29" t="s">
        <v>6984</v>
      </c>
      <c r="EOH29" t="s">
        <v>6984</v>
      </c>
      <c r="EOI29" t="s">
        <v>6984</v>
      </c>
      <c r="EOJ29" t="s">
        <v>6984</v>
      </c>
      <c r="EOK29" t="s">
        <v>6984</v>
      </c>
      <c r="EOL29" t="s">
        <v>6984</v>
      </c>
      <c r="EOM29" t="s">
        <v>6984</v>
      </c>
      <c r="EON29" t="s">
        <v>6984</v>
      </c>
      <c r="EOO29" t="s">
        <v>6984</v>
      </c>
      <c r="EOP29" t="s">
        <v>6984</v>
      </c>
      <c r="EOQ29" t="s">
        <v>6984</v>
      </c>
      <c r="EOR29" t="s">
        <v>6984</v>
      </c>
      <c r="EOS29" t="s">
        <v>6984</v>
      </c>
      <c r="EOT29" t="s">
        <v>6984</v>
      </c>
      <c r="EOU29" t="s">
        <v>6984</v>
      </c>
      <c r="EOV29" t="s">
        <v>6984</v>
      </c>
      <c r="EOW29" t="s">
        <v>6984</v>
      </c>
      <c r="EOX29" t="s">
        <v>6984</v>
      </c>
      <c r="EOY29" t="s">
        <v>6984</v>
      </c>
      <c r="EOZ29" t="s">
        <v>6984</v>
      </c>
      <c r="EPA29" t="s">
        <v>6984</v>
      </c>
      <c r="EPB29" t="s">
        <v>6984</v>
      </c>
      <c r="EPC29" t="s">
        <v>6984</v>
      </c>
      <c r="EPD29" t="s">
        <v>6984</v>
      </c>
      <c r="EPE29" t="s">
        <v>6984</v>
      </c>
      <c r="EPF29" t="s">
        <v>6984</v>
      </c>
      <c r="EPG29" t="s">
        <v>6984</v>
      </c>
      <c r="EPH29" t="s">
        <v>6984</v>
      </c>
      <c r="EPI29" t="s">
        <v>6984</v>
      </c>
      <c r="EPJ29" t="s">
        <v>6984</v>
      </c>
      <c r="EPK29" t="s">
        <v>6984</v>
      </c>
      <c r="EPL29" t="s">
        <v>6984</v>
      </c>
      <c r="EPM29" t="s">
        <v>6984</v>
      </c>
      <c r="EPN29" t="s">
        <v>6984</v>
      </c>
      <c r="EPO29" t="s">
        <v>6984</v>
      </c>
      <c r="EPP29" t="s">
        <v>6984</v>
      </c>
      <c r="EPQ29" t="s">
        <v>6984</v>
      </c>
      <c r="EPR29" t="s">
        <v>6984</v>
      </c>
      <c r="EPS29" t="s">
        <v>6984</v>
      </c>
      <c r="EPT29" t="s">
        <v>6984</v>
      </c>
      <c r="EPU29" t="s">
        <v>6984</v>
      </c>
      <c r="EPV29" t="s">
        <v>6984</v>
      </c>
      <c r="EPW29" t="s">
        <v>6984</v>
      </c>
      <c r="EPX29" t="s">
        <v>6984</v>
      </c>
      <c r="EPY29" t="s">
        <v>6984</v>
      </c>
      <c r="EPZ29" t="s">
        <v>6984</v>
      </c>
      <c r="EQA29" t="s">
        <v>6984</v>
      </c>
      <c r="EQB29" t="s">
        <v>6984</v>
      </c>
      <c r="EQC29" t="s">
        <v>6984</v>
      </c>
      <c r="EQD29" t="s">
        <v>6984</v>
      </c>
      <c r="EQE29" t="s">
        <v>6984</v>
      </c>
      <c r="EQF29" t="s">
        <v>6984</v>
      </c>
      <c r="EQG29" t="s">
        <v>6984</v>
      </c>
      <c r="EQH29" t="s">
        <v>6984</v>
      </c>
      <c r="EQI29" t="s">
        <v>6984</v>
      </c>
      <c r="EQJ29" t="s">
        <v>6984</v>
      </c>
      <c r="EQK29" t="s">
        <v>6984</v>
      </c>
      <c r="EQL29" t="s">
        <v>6984</v>
      </c>
      <c r="EQM29" t="s">
        <v>6984</v>
      </c>
      <c r="EQN29" t="s">
        <v>6984</v>
      </c>
      <c r="EQO29" t="s">
        <v>6984</v>
      </c>
      <c r="EQP29" t="s">
        <v>6984</v>
      </c>
      <c r="EQQ29" t="s">
        <v>6984</v>
      </c>
      <c r="EQR29" t="s">
        <v>6984</v>
      </c>
      <c r="EQS29" t="s">
        <v>6984</v>
      </c>
      <c r="EQT29" t="s">
        <v>6984</v>
      </c>
      <c r="EQU29" t="s">
        <v>6984</v>
      </c>
      <c r="EQV29" t="s">
        <v>6984</v>
      </c>
      <c r="EQW29" t="s">
        <v>6984</v>
      </c>
      <c r="EQX29" t="s">
        <v>6984</v>
      </c>
      <c r="EQY29" t="s">
        <v>6984</v>
      </c>
      <c r="EQZ29" t="s">
        <v>6984</v>
      </c>
      <c r="ERA29" t="s">
        <v>6984</v>
      </c>
      <c r="ERB29" t="s">
        <v>6984</v>
      </c>
      <c r="ERC29" t="s">
        <v>6984</v>
      </c>
      <c r="ERD29" t="s">
        <v>6984</v>
      </c>
      <c r="ERE29" t="s">
        <v>6984</v>
      </c>
      <c r="ERF29" t="s">
        <v>6984</v>
      </c>
      <c r="ERG29" t="s">
        <v>6984</v>
      </c>
      <c r="ERH29" t="s">
        <v>6984</v>
      </c>
      <c r="ERI29" t="s">
        <v>6984</v>
      </c>
      <c r="ERJ29" t="s">
        <v>6984</v>
      </c>
      <c r="ERK29" t="s">
        <v>6984</v>
      </c>
      <c r="ERL29" t="s">
        <v>6984</v>
      </c>
      <c r="ERM29" t="s">
        <v>6984</v>
      </c>
      <c r="ERN29" t="s">
        <v>6984</v>
      </c>
      <c r="ERO29" t="s">
        <v>6984</v>
      </c>
      <c r="ERP29" t="s">
        <v>6984</v>
      </c>
      <c r="ERQ29" t="s">
        <v>6984</v>
      </c>
      <c r="ERR29" t="s">
        <v>6984</v>
      </c>
      <c r="ERS29" t="s">
        <v>6984</v>
      </c>
      <c r="ERT29" t="s">
        <v>6984</v>
      </c>
      <c r="ERU29" t="s">
        <v>6984</v>
      </c>
      <c r="ERV29" t="s">
        <v>6984</v>
      </c>
      <c r="ERW29" t="s">
        <v>6984</v>
      </c>
      <c r="ERX29" t="s">
        <v>6984</v>
      </c>
      <c r="ERY29" t="s">
        <v>6984</v>
      </c>
      <c r="ERZ29" t="s">
        <v>6984</v>
      </c>
      <c r="ESA29" t="s">
        <v>6984</v>
      </c>
      <c r="ESB29" t="s">
        <v>6984</v>
      </c>
      <c r="ESC29" t="s">
        <v>6984</v>
      </c>
      <c r="ESD29" t="s">
        <v>6984</v>
      </c>
      <c r="ESE29" t="s">
        <v>6984</v>
      </c>
      <c r="ESF29" t="s">
        <v>6984</v>
      </c>
      <c r="ESG29" t="s">
        <v>6984</v>
      </c>
      <c r="ESH29" t="s">
        <v>6984</v>
      </c>
      <c r="ESI29" t="s">
        <v>6984</v>
      </c>
      <c r="ESJ29" t="s">
        <v>6984</v>
      </c>
      <c r="ESK29" t="s">
        <v>6984</v>
      </c>
      <c r="ESL29" t="s">
        <v>6984</v>
      </c>
      <c r="ESM29" t="s">
        <v>6984</v>
      </c>
      <c r="ESN29" t="s">
        <v>6984</v>
      </c>
      <c r="ESO29" t="s">
        <v>6984</v>
      </c>
      <c r="ESP29" t="s">
        <v>6984</v>
      </c>
      <c r="ESQ29" t="s">
        <v>6984</v>
      </c>
      <c r="ESR29" t="s">
        <v>6984</v>
      </c>
      <c r="ESS29" t="s">
        <v>6984</v>
      </c>
      <c r="EST29" t="s">
        <v>6984</v>
      </c>
      <c r="ESU29" t="s">
        <v>6984</v>
      </c>
      <c r="ESV29" t="s">
        <v>6984</v>
      </c>
      <c r="ESW29" t="s">
        <v>6984</v>
      </c>
      <c r="ESX29" t="s">
        <v>6984</v>
      </c>
      <c r="ESY29" t="s">
        <v>6984</v>
      </c>
      <c r="ESZ29" t="s">
        <v>6984</v>
      </c>
      <c r="ETA29" t="s">
        <v>6984</v>
      </c>
      <c r="ETB29" t="s">
        <v>6984</v>
      </c>
      <c r="ETC29" t="s">
        <v>6984</v>
      </c>
      <c r="ETD29" t="s">
        <v>6984</v>
      </c>
      <c r="ETE29" t="s">
        <v>6984</v>
      </c>
      <c r="ETF29" t="s">
        <v>6984</v>
      </c>
      <c r="ETG29" t="s">
        <v>6984</v>
      </c>
      <c r="ETH29" t="s">
        <v>6984</v>
      </c>
      <c r="ETI29" t="s">
        <v>6984</v>
      </c>
      <c r="ETJ29" t="s">
        <v>6984</v>
      </c>
      <c r="ETK29" t="s">
        <v>6984</v>
      </c>
      <c r="ETL29" t="s">
        <v>6984</v>
      </c>
      <c r="ETM29" t="s">
        <v>6984</v>
      </c>
      <c r="ETN29" t="s">
        <v>6984</v>
      </c>
      <c r="ETO29" t="s">
        <v>6984</v>
      </c>
      <c r="ETP29" t="s">
        <v>6984</v>
      </c>
      <c r="ETQ29" t="s">
        <v>6984</v>
      </c>
      <c r="ETR29" t="s">
        <v>6984</v>
      </c>
      <c r="ETS29" t="s">
        <v>6984</v>
      </c>
      <c r="ETT29" t="s">
        <v>6984</v>
      </c>
      <c r="ETU29" t="s">
        <v>6984</v>
      </c>
      <c r="ETV29" t="s">
        <v>6984</v>
      </c>
      <c r="ETW29" t="s">
        <v>6984</v>
      </c>
      <c r="ETX29" t="s">
        <v>6984</v>
      </c>
      <c r="ETY29" t="s">
        <v>6984</v>
      </c>
      <c r="ETZ29" t="s">
        <v>6984</v>
      </c>
      <c r="EUA29" t="s">
        <v>6984</v>
      </c>
      <c r="EUB29" t="s">
        <v>6984</v>
      </c>
      <c r="EUC29" t="s">
        <v>6984</v>
      </c>
      <c r="EUD29" t="s">
        <v>6984</v>
      </c>
      <c r="EUE29" t="s">
        <v>6984</v>
      </c>
      <c r="EUF29" t="s">
        <v>6984</v>
      </c>
      <c r="EUG29" t="s">
        <v>6984</v>
      </c>
      <c r="EUH29" t="s">
        <v>6984</v>
      </c>
      <c r="EUI29" t="s">
        <v>6984</v>
      </c>
      <c r="EUJ29" t="s">
        <v>6984</v>
      </c>
      <c r="EUK29" t="s">
        <v>6984</v>
      </c>
      <c r="EUL29" t="s">
        <v>6984</v>
      </c>
      <c r="EUM29" t="s">
        <v>6984</v>
      </c>
      <c r="EUN29" t="s">
        <v>6984</v>
      </c>
      <c r="EUO29" t="s">
        <v>6984</v>
      </c>
      <c r="EUP29" t="s">
        <v>6984</v>
      </c>
      <c r="EUQ29" t="s">
        <v>6984</v>
      </c>
      <c r="EUR29" t="s">
        <v>6984</v>
      </c>
      <c r="EUS29" t="s">
        <v>6984</v>
      </c>
      <c r="EUT29" t="s">
        <v>6984</v>
      </c>
      <c r="EUU29" t="s">
        <v>6984</v>
      </c>
      <c r="EUV29" t="s">
        <v>6984</v>
      </c>
      <c r="EUW29" t="s">
        <v>6984</v>
      </c>
      <c r="EUX29" t="s">
        <v>6984</v>
      </c>
      <c r="EUY29" t="s">
        <v>6984</v>
      </c>
      <c r="EUZ29" t="s">
        <v>6984</v>
      </c>
      <c r="EVA29" t="s">
        <v>6984</v>
      </c>
      <c r="EVB29" t="s">
        <v>6984</v>
      </c>
      <c r="EVC29" t="s">
        <v>6984</v>
      </c>
      <c r="EVD29" t="s">
        <v>6984</v>
      </c>
      <c r="EVE29" t="s">
        <v>6984</v>
      </c>
      <c r="EVF29" t="s">
        <v>6984</v>
      </c>
      <c r="EVG29" t="s">
        <v>6984</v>
      </c>
      <c r="EVH29" t="s">
        <v>6984</v>
      </c>
      <c r="EVI29" t="s">
        <v>6984</v>
      </c>
      <c r="EVJ29" t="s">
        <v>6984</v>
      </c>
      <c r="EVK29" t="s">
        <v>6984</v>
      </c>
      <c r="EVL29" t="s">
        <v>6984</v>
      </c>
      <c r="EVM29" t="s">
        <v>6984</v>
      </c>
      <c r="EVN29" t="s">
        <v>6984</v>
      </c>
      <c r="EVO29" t="s">
        <v>6984</v>
      </c>
      <c r="EVP29" t="s">
        <v>6984</v>
      </c>
      <c r="EVQ29" t="s">
        <v>6984</v>
      </c>
      <c r="EVR29" t="s">
        <v>6984</v>
      </c>
      <c r="EVS29" t="s">
        <v>6984</v>
      </c>
      <c r="EVT29" t="s">
        <v>6984</v>
      </c>
      <c r="EVU29" t="s">
        <v>6984</v>
      </c>
      <c r="EVV29" t="s">
        <v>6984</v>
      </c>
      <c r="EVW29" t="s">
        <v>6984</v>
      </c>
      <c r="EVX29" t="s">
        <v>6984</v>
      </c>
      <c r="EVY29" t="s">
        <v>6984</v>
      </c>
      <c r="EVZ29" t="s">
        <v>6984</v>
      </c>
      <c r="EWA29" t="s">
        <v>6984</v>
      </c>
      <c r="EWB29" t="s">
        <v>6984</v>
      </c>
      <c r="EWC29" t="s">
        <v>6984</v>
      </c>
      <c r="EWD29" t="s">
        <v>6984</v>
      </c>
      <c r="EWE29" t="s">
        <v>6984</v>
      </c>
      <c r="EWF29" t="s">
        <v>6984</v>
      </c>
      <c r="EWG29" t="s">
        <v>6984</v>
      </c>
      <c r="EWH29" t="s">
        <v>6984</v>
      </c>
      <c r="EWI29" t="s">
        <v>6984</v>
      </c>
      <c r="EWJ29" t="s">
        <v>6984</v>
      </c>
      <c r="EWK29" t="s">
        <v>6984</v>
      </c>
      <c r="EWL29" t="s">
        <v>6984</v>
      </c>
      <c r="EWM29" t="s">
        <v>6984</v>
      </c>
      <c r="EWN29" t="s">
        <v>6984</v>
      </c>
      <c r="EWO29" t="s">
        <v>6984</v>
      </c>
      <c r="EWP29" t="s">
        <v>6984</v>
      </c>
      <c r="EWQ29" t="s">
        <v>6984</v>
      </c>
      <c r="EWR29" t="s">
        <v>6984</v>
      </c>
      <c r="EWS29" t="s">
        <v>6984</v>
      </c>
      <c r="EWT29" t="s">
        <v>6984</v>
      </c>
      <c r="EWU29" t="s">
        <v>6984</v>
      </c>
      <c r="EWV29" t="s">
        <v>6984</v>
      </c>
      <c r="EWW29" t="s">
        <v>6984</v>
      </c>
      <c r="EWX29" t="s">
        <v>6984</v>
      </c>
      <c r="EWY29" t="s">
        <v>6984</v>
      </c>
      <c r="EWZ29" t="s">
        <v>6984</v>
      </c>
      <c r="EXA29" t="s">
        <v>6984</v>
      </c>
      <c r="EXB29" t="s">
        <v>6984</v>
      </c>
      <c r="EXC29" t="s">
        <v>6984</v>
      </c>
      <c r="EXD29" t="s">
        <v>6984</v>
      </c>
      <c r="EXE29" t="s">
        <v>6984</v>
      </c>
      <c r="EXF29" t="s">
        <v>6984</v>
      </c>
      <c r="EXG29" t="s">
        <v>6984</v>
      </c>
      <c r="EXH29" t="s">
        <v>6984</v>
      </c>
      <c r="EXI29" t="s">
        <v>6984</v>
      </c>
      <c r="EXJ29" t="s">
        <v>6984</v>
      </c>
      <c r="EXK29" t="s">
        <v>6984</v>
      </c>
      <c r="EXL29" t="s">
        <v>6984</v>
      </c>
      <c r="EXM29" t="s">
        <v>6984</v>
      </c>
      <c r="EXN29" t="s">
        <v>6984</v>
      </c>
      <c r="EXO29" t="s">
        <v>6984</v>
      </c>
      <c r="EXP29" t="s">
        <v>6984</v>
      </c>
      <c r="EXQ29" t="s">
        <v>6984</v>
      </c>
      <c r="EXR29" t="s">
        <v>6984</v>
      </c>
      <c r="EXS29" t="s">
        <v>6984</v>
      </c>
      <c r="EXT29" t="s">
        <v>6984</v>
      </c>
      <c r="EXU29" t="s">
        <v>6984</v>
      </c>
      <c r="EXV29" t="s">
        <v>6984</v>
      </c>
      <c r="EXW29" t="s">
        <v>6984</v>
      </c>
      <c r="EXX29" t="s">
        <v>6984</v>
      </c>
      <c r="EXY29" t="s">
        <v>6984</v>
      </c>
      <c r="EXZ29" t="s">
        <v>6984</v>
      </c>
      <c r="EYA29" t="s">
        <v>6984</v>
      </c>
      <c r="EYB29" t="s">
        <v>6984</v>
      </c>
      <c r="EYC29" t="s">
        <v>6984</v>
      </c>
      <c r="EYD29" t="s">
        <v>6984</v>
      </c>
      <c r="EYE29" t="s">
        <v>6984</v>
      </c>
      <c r="EYF29" t="s">
        <v>6984</v>
      </c>
      <c r="EYG29" t="s">
        <v>6984</v>
      </c>
      <c r="EYH29" t="s">
        <v>6984</v>
      </c>
      <c r="EYI29" t="s">
        <v>6984</v>
      </c>
      <c r="EYJ29" t="s">
        <v>6984</v>
      </c>
      <c r="EYK29" t="s">
        <v>6984</v>
      </c>
      <c r="EYL29" t="s">
        <v>6984</v>
      </c>
      <c r="EYM29" t="s">
        <v>6984</v>
      </c>
      <c r="EYN29" t="s">
        <v>6984</v>
      </c>
      <c r="EYO29" t="s">
        <v>6984</v>
      </c>
      <c r="EYP29" t="s">
        <v>6984</v>
      </c>
      <c r="EYQ29" t="s">
        <v>6984</v>
      </c>
      <c r="EYR29" t="s">
        <v>6984</v>
      </c>
      <c r="EYS29" t="s">
        <v>6984</v>
      </c>
      <c r="EYT29" t="s">
        <v>6984</v>
      </c>
      <c r="EYU29" t="s">
        <v>6984</v>
      </c>
      <c r="EYV29" t="s">
        <v>6984</v>
      </c>
      <c r="EYW29" t="s">
        <v>6984</v>
      </c>
      <c r="EYX29" t="s">
        <v>6984</v>
      </c>
      <c r="EYY29" t="s">
        <v>6984</v>
      </c>
      <c r="EYZ29" t="s">
        <v>6984</v>
      </c>
      <c r="EZA29" t="s">
        <v>6984</v>
      </c>
      <c r="EZB29" t="s">
        <v>6984</v>
      </c>
      <c r="EZC29" t="s">
        <v>6984</v>
      </c>
      <c r="EZD29" t="s">
        <v>6984</v>
      </c>
      <c r="EZE29" t="s">
        <v>6984</v>
      </c>
      <c r="EZF29" t="s">
        <v>6984</v>
      </c>
      <c r="EZG29" t="s">
        <v>6984</v>
      </c>
      <c r="EZH29" t="s">
        <v>6984</v>
      </c>
      <c r="EZI29" t="s">
        <v>6984</v>
      </c>
      <c r="EZJ29" t="s">
        <v>6984</v>
      </c>
      <c r="EZK29" t="s">
        <v>6984</v>
      </c>
      <c r="EZL29" t="s">
        <v>6984</v>
      </c>
      <c r="EZM29" t="s">
        <v>6984</v>
      </c>
      <c r="EZN29" t="s">
        <v>6984</v>
      </c>
      <c r="EZO29" t="s">
        <v>6984</v>
      </c>
      <c r="EZP29" t="s">
        <v>6984</v>
      </c>
      <c r="EZQ29" t="s">
        <v>6984</v>
      </c>
      <c r="EZR29" t="s">
        <v>6984</v>
      </c>
      <c r="EZS29" t="s">
        <v>6984</v>
      </c>
      <c r="EZT29" t="s">
        <v>6984</v>
      </c>
      <c r="EZU29" t="s">
        <v>6984</v>
      </c>
      <c r="EZV29" t="s">
        <v>6984</v>
      </c>
      <c r="EZW29" t="s">
        <v>6984</v>
      </c>
      <c r="EZX29" t="s">
        <v>6984</v>
      </c>
      <c r="EZY29" t="s">
        <v>6984</v>
      </c>
      <c r="EZZ29" t="s">
        <v>6984</v>
      </c>
      <c r="FAA29" t="s">
        <v>6984</v>
      </c>
      <c r="FAB29" t="s">
        <v>6984</v>
      </c>
      <c r="FAC29" t="s">
        <v>6984</v>
      </c>
      <c r="FAD29" t="s">
        <v>6984</v>
      </c>
      <c r="FAE29" t="s">
        <v>6984</v>
      </c>
      <c r="FAF29" t="s">
        <v>6984</v>
      </c>
      <c r="FAG29" t="s">
        <v>6984</v>
      </c>
      <c r="FAH29" t="s">
        <v>6984</v>
      </c>
      <c r="FAI29" t="s">
        <v>6984</v>
      </c>
      <c r="FAJ29" t="s">
        <v>6984</v>
      </c>
      <c r="FAK29" t="s">
        <v>6984</v>
      </c>
      <c r="FAL29" t="s">
        <v>6984</v>
      </c>
      <c r="FAM29" t="s">
        <v>6984</v>
      </c>
      <c r="FAN29" t="s">
        <v>6984</v>
      </c>
      <c r="FAO29" t="s">
        <v>6984</v>
      </c>
      <c r="FAP29" t="s">
        <v>6984</v>
      </c>
      <c r="FAQ29" t="s">
        <v>6984</v>
      </c>
      <c r="FAR29" t="s">
        <v>6984</v>
      </c>
      <c r="FAS29" t="s">
        <v>6984</v>
      </c>
      <c r="FAT29" t="s">
        <v>6984</v>
      </c>
      <c r="FAU29" t="s">
        <v>6984</v>
      </c>
      <c r="FAV29" t="s">
        <v>6984</v>
      </c>
      <c r="FAW29" t="s">
        <v>6984</v>
      </c>
      <c r="FAX29" t="s">
        <v>6984</v>
      </c>
      <c r="FAY29" t="s">
        <v>6984</v>
      </c>
      <c r="FAZ29" t="s">
        <v>6984</v>
      </c>
      <c r="FBA29" t="s">
        <v>6984</v>
      </c>
      <c r="FBB29" t="s">
        <v>6984</v>
      </c>
      <c r="FBC29" t="s">
        <v>6984</v>
      </c>
      <c r="FBD29" t="s">
        <v>6984</v>
      </c>
      <c r="FBE29" t="s">
        <v>6984</v>
      </c>
      <c r="FBF29" t="s">
        <v>6984</v>
      </c>
      <c r="FBG29" t="s">
        <v>6984</v>
      </c>
      <c r="FBH29" t="s">
        <v>6984</v>
      </c>
      <c r="FBI29" t="s">
        <v>6984</v>
      </c>
      <c r="FBJ29" t="s">
        <v>6984</v>
      </c>
      <c r="FBK29" t="s">
        <v>6984</v>
      </c>
      <c r="FBL29" t="s">
        <v>6984</v>
      </c>
      <c r="FBM29" t="s">
        <v>6984</v>
      </c>
      <c r="FBN29" t="s">
        <v>6984</v>
      </c>
      <c r="FBO29" t="s">
        <v>6984</v>
      </c>
      <c r="FBP29" t="s">
        <v>6984</v>
      </c>
      <c r="FBQ29" t="s">
        <v>6984</v>
      </c>
      <c r="FBR29" t="s">
        <v>6984</v>
      </c>
      <c r="FBS29" t="s">
        <v>6984</v>
      </c>
      <c r="FBT29" t="s">
        <v>6984</v>
      </c>
      <c r="FBU29" t="s">
        <v>6984</v>
      </c>
      <c r="FBV29" t="s">
        <v>6984</v>
      </c>
      <c r="FBW29" t="s">
        <v>6984</v>
      </c>
      <c r="FBX29" t="s">
        <v>6984</v>
      </c>
      <c r="FBY29" t="s">
        <v>6984</v>
      </c>
      <c r="FBZ29" t="s">
        <v>6984</v>
      </c>
      <c r="FCA29" t="s">
        <v>6984</v>
      </c>
      <c r="FCB29" t="s">
        <v>6984</v>
      </c>
      <c r="FCC29" t="s">
        <v>6984</v>
      </c>
      <c r="FCD29" t="s">
        <v>6984</v>
      </c>
      <c r="FCE29" t="s">
        <v>6984</v>
      </c>
      <c r="FCF29" t="s">
        <v>6984</v>
      </c>
      <c r="FCG29" t="s">
        <v>6984</v>
      </c>
      <c r="FCH29" t="s">
        <v>6984</v>
      </c>
      <c r="FCI29" t="s">
        <v>6984</v>
      </c>
      <c r="FCJ29" t="s">
        <v>6984</v>
      </c>
      <c r="FCK29" t="s">
        <v>6984</v>
      </c>
      <c r="FCL29" t="s">
        <v>6984</v>
      </c>
      <c r="FCM29" t="s">
        <v>6984</v>
      </c>
      <c r="FCN29" t="s">
        <v>6984</v>
      </c>
      <c r="FCO29" t="s">
        <v>6984</v>
      </c>
      <c r="FCP29" t="s">
        <v>6984</v>
      </c>
      <c r="FCQ29" t="s">
        <v>6984</v>
      </c>
      <c r="FCR29" t="s">
        <v>6984</v>
      </c>
      <c r="FCS29" t="s">
        <v>6984</v>
      </c>
      <c r="FCT29" t="s">
        <v>6984</v>
      </c>
      <c r="FCU29" t="s">
        <v>6984</v>
      </c>
      <c r="FCV29" t="s">
        <v>6984</v>
      </c>
      <c r="FCW29" t="s">
        <v>6984</v>
      </c>
      <c r="FCX29" t="s">
        <v>6984</v>
      </c>
      <c r="FCY29" t="s">
        <v>6984</v>
      </c>
      <c r="FCZ29" t="s">
        <v>6984</v>
      </c>
      <c r="FDA29" t="s">
        <v>6984</v>
      </c>
      <c r="FDB29" t="s">
        <v>6984</v>
      </c>
      <c r="FDC29" t="s">
        <v>6984</v>
      </c>
      <c r="FDD29" t="s">
        <v>6984</v>
      </c>
      <c r="FDE29" t="s">
        <v>6984</v>
      </c>
      <c r="FDF29" t="s">
        <v>6984</v>
      </c>
      <c r="FDG29" t="s">
        <v>6984</v>
      </c>
      <c r="FDH29" t="s">
        <v>6984</v>
      </c>
      <c r="FDI29" t="s">
        <v>6984</v>
      </c>
      <c r="FDJ29" t="s">
        <v>6984</v>
      </c>
      <c r="FDK29" t="s">
        <v>6984</v>
      </c>
      <c r="FDL29" t="s">
        <v>6984</v>
      </c>
      <c r="FDM29" t="s">
        <v>6984</v>
      </c>
      <c r="FDN29" t="s">
        <v>6984</v>
      </c>
      <c r="FDO29" t="s">
        <v>6984</v>
      </c>
      <c r="FDP29" t="s">
        <v>6984</v>
      </c>
      <c r="FDQ29" t="s">
        <v>6984</v>
      </c>
      <c r="FDR29" t="s">
        <v>6984</v>
      </c>
      <c r="FDS29" t="s">
        <v>6984</v>
      </c>
      <c r="FDT29" t="s">
        <v>6984</v>
      </c>
      <c r="FDU29" t="s">
        <v>6984</v>
      </c>
      <c r="FDV29" t="s">
        <v>6984</v>
      </c>
      <c r="FDW29" t="s">
        <v>6984</v>
      </c>
      <c r="FDX29" t="s">
        <v>6984</v>
      </c>
      <c r="FDY29" t="s">
        <v>6984</v>
      </c>
      <c r="FDZ29" t="s">
        <v>6984</v>
      </c>
      <c r="FEA29" t="s">
        <v>6984</v>
      </c>
      <c r="FEB29" t="s">
        <v>6984</v>
      </c>
      <c r="FEC29" t="s">
        <v>6984</v>
      </c>
      <c r="FED29" t="s">
        <v>6984</v>
      </c>
      <c r="FEE29" t="s">
        <v>6984</v>
      </c>
      <c r="FEF29" t="s">
        <v>6984</v>
      </c>
      <c r="FEG29" t="s">
        <v>6984</v>
      </c>
      <c r="FEH29" t="s">
        <v>6984</v>
      </c>
      <c r="FEI29" t="s">
        <v>6984</v>
      </c>
      <c r="FEJ29" t="s">
        <v>6984</v>
      </c>
      <c r="FEK29" t="s">
        <v>6984</v>
      </c>
      <c r="FEL29" t="s">
        <v>6984</v>
      </c>
      <c r="FEM29" t="s">
        <v>6984</v>
      </c>
      <c r="FEN29" t="s">
        <v>6984</v>
      </c>
      <c r="FEO29" t="s">
        <v>6984</v>
      </c>
      <c r="FEP29" t="s">
        <v>6984</v>
      </c>
      <c r="FEQ29" t="s">
        <v>6984</v>
      </c>
      <c r="FER29" t="s">
        <v>6984</v>
      </c>
      <c r="FES29" t="s">
        <v>6984</v>
      </c>
      <c r="FET29" t="s">
        <v>6984</v>
      </c>
      <c r="FEU29" t="s">
        <v>6984</v>
      </c>
      <c r="FEV29" t="s">
        <v>6984</v>
      </c>
      <c r="FEW29" t="s">
        <v>6984</v>
      </c>
      <c r="FEX29" t="s">
        <v>6984</v>
      </c>
      <c r="FEY29" t="s">
        <v>6984</v>
      </c>
      <c r="FEZ29" t="s">
        <v>6984</v>
      </c>
      <c r="FFA29" t="s">
        <v>6984</v>
      </c>
      <c r="FFB29" t="s">
        <v>6984</v>
      </c>
      <c r="FFC29" t="s">
        <v>6984</v>
      </c>
      <c r="FFD29" t="s">
        <v>6984</v>
      </c>
      <c r="FFE29" t="s">
        <v>6984</v>
      </c>
      <c r="FFF29" t="s">
        <v>6984</v>
      </c>
      <c r="FFG29" t="s">
        <v>6984</v>
      </c>
      <c r="FFH29" t="s">
        <v>6984</v>
      </c>
      <c r="FFI29" t="s">
        <v>6984</v>
      </c>
      <c r="FFJ29" t="s">
        <v>6984</v>
      </c>
      <c r="FFK29" t="s">
        <v>6984</v>
      </c>
      <c r="FFL29" t="s">
        <v>6984</v>
      </c>
      <c r="FFM29" t="s">
        <v>6984</v>
      </c>
      <c r="FFN29" t="s">
        <v>6984</v>
      </c>
      <c r="FFO29" t="s">
        <v>6984</v>
      </c>
      <c r="FFP29" t="s">
        <v>6984</v>
      </c>
      <c r="FFQ29" t="s">
        <v>6984</v>
      </c>
      <c r="FFR29" t="s">
        <v>6984</v>
      </c>
      <c r="FFS29" t="s">
        <v>6984</v>
      </c>
      <c r="FFT29" t="s">
        <v>6984</v>
      </c>
      <c r="FFU29" t="s">
        <v>6984</v>
      </c>
      <c r="FFV29" t="s">
        <v>6984</v>
      </c>
      <c r="FFW29" t="s">
        <v>6984</v>
      </c>
      <c r="FFX29" t="s">
        <v>6984</v>
      </c>
      <c r="FFY29" t="s">
        <v>6984</v>
      </c>
      <c r="FFZ29" t="s">
        <v>6984</v>
      </c>
      <c r="FGA29" t="s">
        <v>6984</v>
      </c>
      <c r="FGB29" t="s">
        <v>6984</v>
      </c>
      <c r="FGC29" t="s">
        <v>6984</v>
      </c>
      <c r="FGD29" t="s">
        <v>6984</v>
      </c>
      <c r="FGE29" t="s">
        <v>6984</v>
      </c>
      <c r="FGF29" t="s">
        <v>6984</v>
      </c>
      <c r="FGG29" t="s">
        <v>6984</v>
      </c>
      <c r="FGH29" t="s">
        <v>6984</v>
      </c>
      <c r="FGI29" t="s">
        <v>6984</v>
      </c>
      <c r="FGJ29" t="s">
        <v>6984</v>
      </c>
      <c r="FGK29" t="s">
        <v>6984</v>
      </c>
      <c r="FGL29" t="s">
        <v>6984</v>
      </c>
      <c r="FGM29" t="s">
        <v>6984</v>
      </c>
      <c r="FGN29" t="s">
        <v>6984</v>
      </c>
      <c r="FGO29" t="s">
        <v>6984</v>
      </c>
      <c r="FGP29" t="s">
        <v>6984</v>
      </c>
      <c r="FGQ29" t="s">
        <v>6984</v>
      </c>
      <c r="FGR29" t="s">
        <v>6984</v>
      </c>
      <c r="FGS29" t="s">
        <v>6984</v>
      </c>
      <c r="FGT29" t="s">
        <v>6984</v>
      </c>
      <c r="FGU29" t="s">
        <v>6984</v>
      </c>
      <c r="FGV29" t="s">
        <v>6984</v>
      </c>
      <c r="FGW29" t="s">
        <v>6984</v>
      </c>
      <c r="FGX29" t="s">
        <v>6984</v>
      </c>
      <c r="FGY29" t="s">
        <v>6984</v>
      </c>
      <c r="FGZ29" t="s">
        <v>6984</v>
      </c>
      <c r="FHA29" t="s">
        <v>6984</v>
      </c>
      <c r="FHB29" t="s">
        <v>6984</v>
      </c>
      <c r="FHC29" t="s">
        <v>6984</v>
      </c>
      <c r="FHD29" t="s">
        <v>6984</v>
      </c>
      <c r="FHE29" t="s">
        <v>6984</v>
      </c>
      <c r="FHF29" t="s">
        <v>6984</v>
      </c>
      <c r="FHG29" t="s">
        <v>6984</v>
      </c>
      <c r="FHH29" t="s">
        <v>6984</v>
      </c>
      <c r="FHI29" t="s">
        <v>6984</v>
      </c>
      <c r="FHJ29" t="s">
        <v>6984</v>
      </c>
      <c r="FHK29" t="s">
        <v>6984</v>
      </c>
      <c r="FHL29" t="s">
        <v>6984</v>
      </c>
      <c r="FHM29" t="s">
        <v>6984</v>
      </c>
      <c r="FHN29" t="s">
        <v>6984</v>
      </c>
      <c r="FHO29" t="s">
        <v>6984</v>
      </c>
      <c r="FHP29" t="s">
        <v>6984</v>
      </c>
      <c r="FHQ29" t="s">
        <v>6984</v>
      </c>
      <c r="FHR29" t="s">
        <v>6984</v>
      </c>
      <c r="FHS29" t="s">
        <v>6984</v>
      </c>
      <c r="FHT29" t="s">
        <v>6984</v>
      </c>
      <c r="FHU29" t="s">
        <v>6984</v>
      </c>
      <c r="FHV29" t="s">
        <v>6984</v>
      </c>
      <c r="FHW29" t="s">
        <v>6984</v>
      </c>
      <c r="FHX29" t="s">
        <v>6984</v>
      </c>
      <c r="FHY29" t="s">
        <v>6984</v>
      </c>
      <c r="FHZ29" t="s">
        <v>6984</v>
      </c>
      <c r="FIA29" t="s">
        <v>6984</v>
      </c>
      <c r="FIB29" t="s">
        <v>6984</v>
      </c>
      <c r="FIC29" t="s">
        <v>6984</v>
      </c>
      <c r="FID29" t="s">
        <v>6984</v>
      </c>
      <c r="FIE29" t="s">
        <v>6984</v>
      </c>
      <c r="FIF29" t="s">
        <v>6984</v>
      </c>
      <c r="FIG29" t="s">
        <v>6984</v>
      </c>
      <c r="FIH29" t="s">
        <v>6984</v>
      </c>
      <c r="FII29" t="s">
        <v>6984</v>
      </c>
      <c r="FIJ29" t="s">
        <v>6984</v>
      </c>
      <c r="FIK29" t="s">
        <v>6984</v>
      </c>
      <c r="FIL29" t="s">
        <v>6984</v>
      </c>
      <c r="FIM29" t="s">
        <v>6984</v>
      </c>
      <c r="FIN29" t="s">
        <v>6984</v>
      </c>
      <c r="FIO29" t="s">
        <v>6984</v>
      </c>
      <c r="FIP29" t="s">
        <v>6984</v>
      </c>
      <c r="FIQ29" t="s">
        <v>6984</v>
      </c>
      <c r="FIR29" t="s">
        <v>6984</v>
      </c>
      <c r="FIS29" t="s">
        <v>6984</v>
      </c>
      <c r="FIT29" t="s">
        <v>6984</v>
      </c>
      <c r="FIU29" t="s">
        <v>6984</v>
      </c>
      <c r="FIV29" t="s">
        <v>6984</v>
      </c>
      <c r="FIW29" t="s">
        <v>6984</v>
      </c>
      <c r="FIX29" t="s">
        <v>6984</v>
      </c>
      <c r="FIY29" t="s">
        <v>6984</v>
      </c>
      <c r="FIZ29" t="s">
        <v>6984</v>
      </c>
      <c r="FJA29" t="s">
        <v>6984</v>
      </c>
      <c r="FJB29" t="s">
        <v>6984</v>
      </c>
      <c r="FJC29" t="s">
        <v>6984</v>
      </c>
      <c r="FJD29" t="s">
        <v>6984</v>
      </c>
      <c r="FJE29" t="s">
        <v>6984</v>
      </c>
      <c r="FJF29" t="s">
        <v>6984</v>
      </c>
      <c r="FJG29" t="s">
        <v>6984</v>
      </c>
      <c r="FJH29" t="s">
        <v>6984</v>
      </c>
      <c r="FJI29" t="s">
        <v>6984</v>
      </c>
      <c r="FJJ29" t="s">
        <v>6984</v>
      </c>
      <c r="FJK29" t="s">
        <v>6984</v>
      </c>
      <c r="FJL29" t="s">
        <v>6984</v>
      </c>
      <c r="FJM29" t="s">
        <v>6984</v>
      </c>
      <c r="FJN29" t="s">
        <v>6984</v>
      </c>
      <c r="FJO29" t="s">
        <v>6984</v>
      </c>
      <c r="FJP29" t="s">
        <v>6984</v>
      </c>
      <c r="FJQ29" t="s">
        <v>6984</v>
      </c>
      <c r="FJR29" t="s">
        <v>6984</v>
      </c>
      <c r="FJS29" t="s">
        <v>6984</v>
      </c>
      <c r="FJT29" t="s">
        <v>6984</v>
      </c>
      <c r="FJU29" t="s">
        <v>6984</v>
      </c>
      <c r="FJV29" t="s">
        <v>6984</v>
      </c>
      <c r="FJW29" t="s">
        <v>6984</v>
      </c>
      <c r="FJX29" t="s">
        <v>6984</v>
      </c>
      <c r="FJY29" t="s">
        <v>6984</v>
      </c>
      <c r="FJZ29" t="s">
        <v>6984</v>
      </c>
      <c r="FKA29" t="s">
        <v>6984</v>
      </c>
      <c r="FKB29" t="s">
        <v>6984</v>
      </c>
      <c r="FKC29" t="s">
        <v>6984</v>
      </c>
      <c r="FKD29" t="s">
        <v>6984</v>
      </c>
      <c r="FKE29" t="s">
        <v>6984</v>
      </c>
      <c r="FKF29" t="s">
        <v>6984</v>
      </c>
      <c r="FKG29" t="s">
        <v>6984</v>
      </c>
      <c r="FKH29" t="s">
        <v>6984</v>
      </c>
      <c r="FKI29" t="s">
        <v>6984</v>
      </c>
      <c r="FKJ29" t="s">
        <v>6984</v>
      </c>
      <c r="FKK29" t="s">
        <v>6984</v>
      </c>
      <c r="FKL29" t="s">
        <v>6984</v>
      </c>
      <c r="FKM29" t="s">
        <v>6984</v>
      </c>
      <c r="FKN29" t="s">
        <v>6984</v>
      </c>
      <c r="FKO29" t="s">
        <v>6984</v>
      </c>
      <c r="FKP29" t="s">
        <v>6984</v>
      </c>
      <c r="FKQ29" t="s">
        <v>6984</v>
      </c>
      <c r="FKR29" t="s">
        <v>6984</v>
      </c>
      <c r="FKS29" t="s">
        <v>6984</v>
      </c>
      <c r="FKT29" t="s">
        <v>6984</v>
      </c>
      <c r="FKU29" t="s">
        <v>6984</v>
      </c>
      <c r="FKV29" t="s">
        <v>6984</v>
      </c>
      <c r="FKW29" t="s">
        <v>6984</v>
      </c>
      <c r="FKX29" t="s">
        <v>6984</v>
      </c>
      <c r="FKY29" t="s">
        <v>6984</v>
      </c>
      <c r="FKZ29" t="s">
        <v>6984</v>
      </c>
      <c r="FLA29" t="s">
        <v>6984</v>
      </c>
      <c r="FLB29" t="s">
        <v>6984</v>
      </c>
      <c r="FLC29" t="s">
        <v>6984</v>
      </c>
      <c r="FLD29" t="s">
        <v>6984</v>
      </c>
      <c r="FLE29" t="s">
        <v>6984</v>
      </c>
      <c r="FLF29" t="s">
        <v>6984</v>
      </c>
      <c r="FLG29" t="s">
        <v>6984</v>
      </c>
      <c r="FLH29" t="s">
        <v>6984</v>
      </c>
      <c r="FLI29" t="s">
        <v>6984</v>
      </c>
      <c r="FLJ29" t="s">
        <v>6984</v>
      </c>
      <c r="FLK29" t="s">
        <v>6984</v>
      </c>
      <c r="FLL29" t="s">
        <v>6984</v>
      </c>
      <c r="FLM29" t="s">
        <v>6984</v>
      </c>
      <c r="FLN29" t="s">
        <v>6984</v>
      </c>
      <c r="FLO29" t="s">
        <v>6984</v>
      </c>
      <c r="FLP29" t="s">
        <v>6984</v>
      </c>
      <c r="FLQ29" t="s">
        <v>6984</v>
      </c>
      <c r="FLR29" t="s">
        <v>6984</v>
      </c>
      <c r="FLS29" t="s">
        <v>6984</v>
      </c>
      <c r="FLT29" t="s">
        <v>6984</v>
      </c>
      <c r="FLU29" t="s">
        <v>6984</v>
      </c>
      <c r="FLV29" t="s">
        <v>6984</v>
      </c>
      <c r="FLW29" t="s">
        <v>6984</v>
      </c>
      <c r="FLX29" t="s">
        <v>6984</v>
      </c>
      <c r="FLY29" t="s">
        <v>6984</v>
      </c>
      <c r="FLZ29" t="s">
        <v>6984</v>
      </c>
      <c r="FMA29" t="s">
        <v>6984</v>
      </c>
      <c r="FMB29" t="s">
        <v>6984</v>
      </c>
      <c r="FMC29" t="s">
        <v>6984</v>
      </c>
      <c r="FMD29" t="s">
        <v>6984</v>
      </c>
      <c r="FME29" t="s">
        <v>6984</v>
      </c>
      <c r="FMF29" t="s">
        <v>6984</v>
      </c>
      <c r="FMG29" t="s">
        <v>6984</v>
      </c>
      <c r="FMH29" t="s">
        <v>6984</v>
      </c>
      <c r="FMI29" t="s">
        <v>6984</v>
      </c>
      <c r="FMJ29" t="s">
        <v>6984</v>
      </c>
      <c r="FMK29" t="s">
        <v>6984</v>
      </c>
      <c r="FML29" t="s">
        <v>6984</v>
      </c>
      <c r="FMM29" t="s">
        <v>6984</v>
      </c>
      <c r="FMN29" t="s">
        <v>6984</v>
      </c>
      <c r="FMO29" t="s">
        <v>6984</v>
      </c>
      <c r="FMP29" t="s">
        <v>6984</v>
      </c>
      <c r="FMQ29" t="s">
        <v>6984</v>
      </c>
      <c r="FMR29" t="s">
        <v>6984</v>
      </c>
      <c r="FMS29" t="s">
        <v>6984</v>
      </c>
      <c r="FMT29" t="s">
        <v>6984</v>
      </c>
      <c r="FMU29" t="s">
        <v>6984</v>
      </c>
      <c r="FMV29" t="s">
        <v>6984</v>
      </c>
      <c r="FMW29" t="s">
        <v>6984</v>
      </c>
      <c r="FMX29" t="s">
        <v>6984</v>
      </c>
      <c r="FMY29" t="s">
        <v>6984</v>
      </c>
      <c r="FMZ29" t="s">
        <v>6984</v>
      </c>
      <c r="FNA29" t="s">
        <v>6984</v>
      </c>
      <c r="FNB29" t="s">
        <v>6984</v>
      </c>
      <c r="FNC29" t="s">
        <v>6984</v>
      </c>
      <c r="FND29" t="s">
        <v>6984</v>
      </c>
      <c r="FNE29" t="s">
        <v>6984</v>
      </c>
      <c r="FNF29" t="s">
        <v>6984</v>
      </c>
      <c r="FNG29" t="s">
        <v>6984</v>
      </c>
      <c r="FNH29" t="s">
        <v>6984</v>
      </c>
      <c r="FNI29" t="s">
        <v>6984</v>
      </c>
      <c r="FNJ29" t="s">
        <v>6984</v>
      </c>
      <c r="FNK29" t="s">
        <v>6984</v>
      </c>
      <c r="FNL29" t="s">
        <v>6984</v>
      </c>
      <c r="FNM29" t="s">
        <v>6984</v>
      </c>
      <c r="FNN29" t="s">
        <v>6984</v>
      </c>
      <c r="FNO29" t="s">
        <v>6984</v>
      </c>
      <c r="FNP29" t="s">
        <v>6984</v>
      </c>
      <c r="FNQ29" t="s">
        <v>6984</v>
      </c>
      <c r="FNR29" t="s">
        <v>6984</v>
      </c>
      <c r="FNS29" t="s">
        <v>6984</v>
      </c>
      <c r="FNT29" t="s">
        <v>6984</v>
      </c>
      <c r="FNU29" t="s">
        <v>6984</v>
      </c>
      <c r="FNV29" t="s">
        <v>6984</v>
      </c>
      <c r="FNW29" t="s">
        <v>6984</v>
      </c>
      <c r="FNX29" t="s">
        <v>6984</v>
      </c>
      <c r="FNY29" t="s">
        <v>6984</v>
      </c>
      <c r="FNZ29" t="s">
        <v>6984</v>
      </c>
      <c r="FOA29" t="s">
        <v>6984</v>
      </c>
      <c r="FOB29" t="s">
        <v>6984</v>
      </c>
      <c r="FOC29" t="s">
        <v>6984</v>
      </c>
      <c r="FOD29" t="s">
        <v>6984</v>
      </c>
      <c r="FOE29" t="s">
        <v>6984</v>
      </c>
      <c r="FOF29" t="s">
        <v>6984</v>
      </c>
      <c r="FOG29" t="s">
        <v>6984</v>
      </c>
      <c r="FOH29" t="s">
        <v>6984</v>
      </c>
      <c r="FOI29" t="s">
        <v>6984</v>
      </c>
      <c r="FOJ29" t="s">
        <v>6984</v>
      </c>
      <c r="FOK29" t="s">
        <v>6984</v>
      </c>
      <c r="FOL29" t="s">
        <v>6984</v>
      </c>
      <c r="FOM29" t="s">
        <v>6984</v>
      </c>
      <c r="FON29" t="s">
        <v>6984</v>
      </c>
      <c r="FOO29" t="s">
        <v>6984</v>
      </c>
      <c r="FOP29" t="s">
        <v>6984</v>
      </c>
      <c r="FOQ29" t="s">
        <v>6984</v>
      </c>
      <c r="FOR29" t="s">
        <v>6984</v>
      </c>
      <c r="FOS29" t="s">
        <v>6984</v>
      </c>
      <c r="FOT29" t="s">
        <v>6984</v>
      </c>
      <c r="FOU29" t="s">
        <v>6984</v>
      </c>
      <c r="FOV29" t="s">
        <v>6984</v>
      </c>
      <c r="FOW29" t="s">
        <v>6984</v>
      </c>
      <c r="FOX29" t="s">
        <v>6984</v>
      </c>
      <c r="FOY29" t="s">
        <v>6984</v>
      </c>
      <c r="FOZ29" t="s">
        <v>6984</v>
      </c>
      <c r="FPA29" t="s">
        <v>6984</v>
      </c>
      <c r="FPB29" t="s">
        <v>6984</v>
      </c>
      <c r="FPC29" t="s">
        <v>6984</v>
      </c>
      <c r="FPD29" t="s">
        <v>6984</v>
      </c>
      <c r="FPE29" t="s">
        <v>6984</v>
      </c>
      <c r="FPF29" t="s">
        <v>6984</v>
      </c>
      <c r="FPG29" t="s">
        <v>6984</v>
      </c>
      <c r="FPH29" t="s">
        <v>6984</v>
      </c>
      <c r="FPI29" t="s">
        <v>6984</v>
      </c>
      <c r="FPJ29" t="s">
        <v>6984</v>
      </c>
      <c r="FPK29" t="s">
        <v>6984</v>
      </c>
      <c r="FPL29" t="s">
        <v>6984</v>
      </c>
      <c r="FPM29" t="s">
        <v>6984</v>
      </c>
      <c r="FPN29" t="s">
        <v>6984</v>
      </c>
      <c r="FPO29" t="s">
        <v>6984</v>
      </c>
      <c r="FPP29" t="s">
        <v>6984</v>
      </c>
      <c r="FPQ29" t="s">
        <v>6984</v>
      </c>
      <c r="FPR29" t="s">
        <v>6984</v>
      </c>
      <c r="FPS29" t="s">
        <v>6984</v>
      </c>
      <c r="FPT29" t="s">
        <v>6984</v>
      </c>
      <c r="FPU29" t="s">
        <v>6984</v>
      </c>
      <c r="FPV29" t="s">
        <v>6984</v>
      </c>
      <c r="FPW29" t="s">
        <v>6984</v>
      </c>
      <c r="FPX29" t="s">
        <v>6984</v>
      </c>
      <c r="FPY29" t="s">
        <v>6984</v>
      </c>
      <c r="FPZ29" t="s">
        <v>6984</v>
      </c>
      <c r="FQA29" t="s">
        <v>6984</v>
      </c>
      <c r="FQB29" t="s">
        <v>6984</v>
      </c>
      <c r="FQC29" t="s">
        <v>6984</v>
      </c>
      <c r="FQD29" t="s">
        <v>6984</v>
      </c>
      <c r="FQE29" t="s">
        <v>6984</v>
      </c>
      <c r="FQF29" t="s">
        <v>6984</v>
      </c>
      <c r="FQG29" t="s">
        <v>6984</v>
      </c>
      <c r="FQH29" t="s">
        <v>6984</v>
      </c>
      <c r="FQI29" t="s">
        <v>6984</v>
      </c>
      <c r="FQJ29" t="s">
        <v>6984</v>
      </c>
      <c r="FQK29" t="s">
        <v>6984</v>
      </c>
      <c r="FQL29" t="s">
        <v>6984</v>
      </c>
      <c r="FQM29" t="s">
        <v>6984</v>
      </c>
      <c r="FQN29" t="s">
        <v>6984</v>
      </c>
      <c r="FQO29" t="s">
        <v>6984</v>
      </c>
      <c r="FQP29" t="s">
        <v>6984</v>
      </c>
      <c r="FQQ29" t="s">
        <v>6984</v>
      </c>
      <c r="FQR29" t="s">
        <v>6984</v>
      </c>
      <c r="FQS29" t="s">
        <v>6984</v>
      </c>
      <c r="FQT29" t="s">
        <v>6984</v>
      </c>
      <c r="FQU29" t="s">
        <v>6984</v>
      </c>
      <c r="FQV29" t="s">
        <v>6984</v>
      </c>
      <c r="FQW29" t="s">
        <v>6984</v>
      </c>
      <c r="FQX29" t="s">
        <v>6984</v>
      </c>
      <c r="FQY29" t="s">
        <v>6984</v>
      </c>
      <c r="FQZ29" t="s">
        <v>6984</v>
      </c>
      <c r="FRA29" t="s">
        <v>6984</v>
      </c>
      <c r="FRB29" t="s">
        <v>6984</v>
      </c>
      <c r="FRC29" t="s">
        <v>6984</v>
      </c>
      <c r="FRD29" t="s">
        <v>6984</v>
      </c>
      <c r="FRE29" t="s">
        <v>6984</v>
      </c>
      <c r="FRF29" t="s">
        <v>6984</v>
      </c>
      <c r="FRG29" t="s">
        <v>6984</v>
      </c>
      <c r="FRH29" t="s">
        <v>6984</v>
      </c>
      <c r="FRI29" t="s">
        <v>6984</v>
      </c>
      <c r="FRJ29" t="s">
        <v>6984</v>
      </c>
      <c r="FRK29" t="s">
        <v>6984</v>
      </c>
      <c r="FRL29" t="s">
        <v>6984</v>
      </c>
      <c r="FRM29" t="s">
        <v>6984</v>
      </c>
      <c r="FRN29" t="s">
        <v>6984</v>
      </c>
      <c r="FRO29" t="s">
        <v>6984</v>
      </c>
      <c r="FRP29" t="s">
        <v>6984</v>
      </c>
      <c r="FRQ29" t="s">
        <v>6984</v>
      </c>
      <c r="FRR29" t="s">
        <v>6984</v>
      </c>
      <c r="FRS29" t="s">
        <v>6984</v>
      </c>
      <c r="FRT29" t="s">
        <v>6984</v>
      </c>
      <c r="FRU29" t="s">
        <v>6984</v>
      </c>
      <c r="FRV29" t="s">
        <v>6984</v>
      </c>
      <c r="FRW29" t="s">
        <v>6984</v>
      </c>
      <c r="FRX29" t="s">
        <v>6984</v>
      </c>
      <c r="FRY29" t="s">
        <v>6984</v>
      </c>
      <c r="FRZ29" t="s">
        <v>6984</v>
      </c>
      <c r="FSA29" t="s">
        <v>6984</v>
      </c>
      <c r="FSB29" t="s">
        <v>6984</v>
      </c>
      <c r="FSC29" t="s">
        <v>6984</v>
      </c>
      <c r="FSD29" t="s">
        <v>6984</v>
      </c>
      <c r="FSE29" t="s">
        <v>6984</v>
      </c>
      <c r="FSF29" t="s">
        <v>6984</v>
      </c>
      <c r="FSG29" t="s">
        <v>6984</v>
      </c>
      <c r="FSH29" t="s">
        <v>6984</v>
      </c>
      <c r="FSI29" t="s">
        <v>6984</v>
      </c>
      <c r="FSJ29" t="s">
        <v>6984</v>
      </c>
      <c r="FSK29" t="s">
        <v>6984</v>
      </c>
      <c r="FSL29" t="s">
        <v>6984</v>
      </c>
      <c r="FSM29" t="s">
        <v>6984</v>
      </c>
      <c r="FSN29" t="s">
        <v>6984</v>
      </c>
      <c r="FSO29" t="s">
        <v>6984</v>
      </c>
      <c r="FSP29" t="s">
        <v>6984</v>
      </c>
      <c r="FSQ29" t="s">
        <v>6984</v>
      </c>
      <c r="FSR29" t="s">
        <v>6984</v>
      </c>
      <c r="FSS29" t="s">
        <v>6984</v>
      </c>
      <c r="FST29" t="s">
        <v>6984</v>
      </c>
      <c r="FSU29" t="s">
        <v>6984</v>
      </c>
      <c r="FSV29" t="s">
        <v>6984</v>
      </c>
      <c r="FSW29" t="s">
        <v>6984</v>
      </c>
      <c r="FSX29" t="s">
        <v>6984</v>
      </c>
      <c r="FSY29" t="s">
        <v>6984</v>
      </c>
      <c r="FSZ29" t="s">
        <v>6984</v>
      </c>
      <c r="FTA29" t="s">
        <v>6984</v>
      </c>
      <c r="FTB29" t="s">
        <v>6984</v>
      </c>
      <c r="FTC29" t="s">
        <v>6984</v>
      </c>
      <c r="FTD29" t="s">
        <v>6984</v>
      </c>
      <c r="FTE29" t="s">
        <v>6984</v>
      </c>
      <c r="FTF29" t="s">
        <v>6984</v>
      </c>
      <c r="FTG29" t="s">
        <v>6984</v>
      </c>
      <c r="FTH29" t="s">
        <v>6984</v>
      </c>
      <c r="FTI29" t="s">
        <v>6984</v>
      </c>
      <c r="FTJ29" t="s">
        <v>6984</v>
      </c>
      <c r="FTK29" t="s">
        <v>6984</v>
      </c>
      <c r="FTL29" t="s">
        <v>6984</v>
      </c>
      <c r="FTM29" t="s">
        <v>6984</v>
      </c>
      <c r="FTN29" t="s">
        <v>6984</v>
      </c>
      <c r="FTO29" t="s">
        <v>6984</v>
      </c>
      <c r="FTP29" t="s">
        <v>6984</v>
      </c>
      <c r="FTQ29" t="s">
        <v>6984</v>
      </c>
      <c r="FTR29" t="s">
        <v>6984</v>
      </c>
      <c r="FTS29" t="s">
        <v>6984</v>
      </c>
      <c r="FTT29" t="s">
        <v>6984</v>
      </c>
      <c r="FTU29" t="s">
        <v>6984</v>
      </c>
      <c r="FTV29" t="s">
        <v>6984</v>
      </c>
      <c r="FTW29" t="s">
        <v>6984</v>
      </c>
      <c r="FTX29" t="s">
        <v>6984</v>
      </c>
      <c r="FTY29" t="s">
        <v>6984</v>
      </c>
      <c r="FTZ29" t="s">
        <v>6984</v>
      </c>
      <c r="FUA29" t="s">
        <v>6984</v>
      </c>
      <c r="FUB29" t="s">
        <v>6984</v>
      </c>
      <c r="FUC29" t="s">
        <v>6984</v>
      </c>
      <c r="FUD29" t="s">
        <v>6984</v>
      </c>
      <c r="FUE29" t="s">
        <v>6984</v>
      </c>
      <c r="FUF29" t="s">
        <v>6984</v>
      </c>
      <c r="FUG29" t="s">
        <v>6984</v>
      </c>
      <c r="FUH29" t="s">
        <v>6984</v>
      </c>
      <c r="FUI29" t="s">
        <v>6984</v>
      </c>
      <c r="FUJ29" t="s">
        <v>6984</v>
      </c>
      <c r="FUK29" t="s">
        <v>6984</v>
      </c>
      <c r="FUL29" t="s">
        <v>6984</v>
      </c>
      <c r="FUM29" t="s">
        <v>6984</v>
      </c>
      <c r="FUN29" t="s">
        <v>6984</v>
      </c>
      <c r="FUO29" t="s">
        <v>6984</v>
      </c>
      <c r="FUP29" t="s">
        <v>6984</v>
      </c>
      <c r="FUQ29" t="s">
        <v>6984</v>
      </c>
      <c r="FUR29" t="s">
        <v>6984</v>
      </c>
      <c r="FUS29" t="s">
        <v>6984</v>
      </c>
      <c r="FUT29" t="s">
        <v>6984</v>
      </c>
      <c r="FUU29" t="s">
        <v>6984</v>
      </c>
      <c r="FUV29" t="s">
        <v>6984</v>
      </c>
      <c r="FUW29" t="s">
        <v>6984</v>
      </c>
      <c r="FUX29" t="s">
        <v>6984</v>
      </c>
      <c r="FUY29" t="s">
        <v>6984</v>
      </c>
      <c r="FUZ29" t="s">
        <v>6984</v>
      </c>
      <c r="FVA29" t="s">
        <v>6984</v>
      </c>
      <c r="FVB29" t="s">
        <v>6984</v>
      </c>
      <c r="FVC29" t="s">
        <v>6984</v>
      </c>
      <c r="FVD29" t="s">
        <v>6984</v>
      </c>
      <c r="FVE29" t="s">
        <v>6984</v>
      </c>
      <c r="FVF29" t="s">
        <v>6984</v>
      </c>
      <c r="FVG29" t="s">
        <v>6984</v>
      </c>
      <c r="FVH29" t="s">
        <v>6984</v>
      </c>
      <c r="FVI29" t="s">
        <v>6984</v>
      </c>
      <c r="FVJ29" t="s">
        <v>6984</v>
      </c>
      <c r="FVK29" t="s">
        <v>6984</v>
      </c>
      <c r="FVL29" t="s">
        <v>6984</v>
      </c>
      <c r="FVM29" t="s">
        <v>6984</v>
      </c>
      <c r="FVN29" t="s">
        <v>6984</v>
      </c>
      <c r="FVO29" t="s">
        <v>6984</v>
      </c>
      <c r="FVP29" t="s">
        <v>6984</v>
      </c>
      <c r="FVQ29" t="s">
        <v>6984</v>
      </c>
      <c r="FVR29" t="s">
        <v>6984</v>
      </c>
      <c r="FVS29" t="s">
        <v>6984</v>
      </c>
      <c r="FVT29" t="s">
        <v>6984</v>
      </c>
      <c r="FVU29" t="s">
        <v>6984</v>
      </c>
      <c r="FVV29" t="s">
        <v>6984</v>
      </c>
      <c r="FVW29" t="s">
        <v>6984</v>
      </c>
      <c r="FVX29" t="s">
        <v>6984</v>
      </c>
      <c r="FVY29" t="s">
        <v>6984</v>
      </c>
      <c r="FVZ29" t="s">
        <v>6984</v>
      </c>
      <c r="FWA29" t="s">
        <v>6984</v>
      </c>
      <c r="FWB29" t="s">
        <v>6984</v>
      </c>
      <c r="FWC29" t="s">
        <v>6984</v>
      </c>
      <c r="FWD29" t="s">
        <v>6984</v>
      </c>
      <c r="FWE29" t="s">
        <v>6984</v>
      </c>
      <c r="FWF29" t="s">
        <v>6984</v>
      </c>
      <c r="FWG29" t="s">
        <v>6984</v>
      </c>
      <c r="FWH29" t="s">
        <v>6984</v>
      </c>
      <c r="FWI29" t="s">
        <v>6984</v>
      </c>
      <c r="FWJ29" t="s">
        <v>6984</v>
      </c>
      <c r="FWK29" t="s">
        <v>6984</v>
      </c>
      <c r="FWL29" t="s">
        <v>6984</v>
      </c>
      <c r="FWM29" t="s">
        <v>6984</v>
      </c>
      <c r="FWN29" t="s">
        <v>6984</v>
      </c>
      <c r="FWO29" t="s">
        <v>6984</v>
      </c>
      <c r="FWP29" t="s">
        <v>6984</v>
      </c>
      <c r="FWQ29" t="s">
        <v>6984</v>
      </c>
      <c r="FWR29" t="s">
        <v>6984</v>
      </c>
      <c r="FWS29" t="s">
        <v>6984</v>
      </c>
      <c r="FWT29" t="s">
        <v>6984</v>
      </c>
      <c r="FWU29" t="s">
        <v>6984</v>
      </c>
      <c r="FWV29" t="s">
        <v>6984</v>
      </c>
      <c r="FWW29" t="s">
        <v>6984</v>
      </c>
      <c r="FWX29" t="s">
        <v>6984</v>
      </c>
      <c r="FWY29" t="s">
        <v>6984</v>
      </c>
      <c r="FWZ29" t="s">
        <v>6984</v>
      </c>
      <c r="FXA29" t="s">
        <v>6984</v>
      </c>
      <c r="FXB29" t="s">
        <v>6984</v>
      </c>
      <c r="FXC29" t="s">
        <v>6984</v>
      </c>
      <c r="FXD29" t="s">
        <v>6984</v>
      </c>
      <c r="FXE29" t="s">
        <v>6984</v>
      </c>
      <c r="FXF29" t="s">
        <v>6984</v>
      </c>
      <c r="FXG29" t="s">
        <v>6984</v>
      </c>
      <c r="FXH29" t="s">
        <v>6984</v>
      </c>
      <c r="FXI29" t="s">
        <v>6984</v>
      </c>
      <c r="FXJ29" t="s">
        <v>6984</v>
      </c>
      <c r="FXK29" t="s">
        <v>6984</v>
      </c>
      <c r="FXL29" t="s">
        <v>6984</v>
      </c>
      <c r="FXM29" t="s">
        <v>6984</v>
      </c>
      <c r="FXN29" t="s">
        <v>6984</v>
      </c>
      <c r="FXO29" t="s">
        <v>6984</v>
      </c>
      <c r="FXP29" t="s">
        <v>6984</v>
      </c>
      <c r="FXQ29" t="s">
        <v>6984</v>
      </c>
      <c r="FXR29" t="s">
        <v>6984</v>
      </c>
      <c r="FXS29" t="s">
        <v>6984</v>
      </c>
      <c r="FXT29" t="s">
        <v>6984</v>
      </c>
      <c r="FXU29" t="s">
        <v>6984</v>
      </c>
      <c r="FXV29" t="s">
        <v>6984</v>
      </c>
      <c r="FXW29" t="s">
        <v>6984</v>
      </c>
      <c r="FXX29" t="s">
        <v>6984</v>
      </c>
      <c r="FXY29" t="s">
        <v>6984</v>
      </c>
      <c r="FXZ29" t="s">
        <v>6984</v>
      </c>
      <c r="FYA29" t="s">
        <v>6984</v>
      </c>
      <c r="FYB29" t="s">
        <v>6984</v>
      </c>
      <c r="FYC29" t="s">
        <v>6984</v>
      </c>
      <c r="FYD29" t="s">
        <v>6984</v>
      </c>
      <c r="FYE29" t="s">
        <v>6984</v>
      </c>
      <c r="FYF29" t="s">
        <v>6984</v>
      </c>
      <c r="FYG29" t="s">
        <v>6984</v>
      </c>
      <c r="FYH29" t="s">
        <v>6984</v>
      </c>
      <c r="FYI29" t="s">
        <v>6984</v>
      </c>
      <c r="FYJ29" t="s">
        <v>6984</v>
      </c>
      <c r="FYK29" t="s">
        <v>6984</v>
      </c>
      <c r="FYL29" t="s">
        <v>6984</v>
      </c>
      <c r="FYM29" t="s">
        <v>6984</v>
      </c>
      <c r="FYN29" t="s">
        <v>6984</v>
      </c>
      <c r="FYO29" t="s">
        <v>6984</v>
      </c>
      <c r="FYP29" t="s">
        <v>6984</v>
      </c>
      <c r="FYQ29" t="s">
        <v>6984</v>
      </c>
      <c r="FYR29" t="s">
        <v>6984</v>
      </c>
      <c r="FYS29" t="s">
        <v>6984</v>
      </c>
      <c r="FYT29" t="s">
        <v>6984</v>
      </c>
      <c r="FYU29" t="s">
        <v>6984</v>
      </c>
      <c r="FYV29" t="s">
        <v>6984</v>
      </c>
      <c r="FYW29" t="s">
        <v>6984</v>
      </c>
      <c r="FYX29" t="s">
        <v>6984</v>
      </c>
      <c r="FYY29" t="s">
        <v>6984</v>
      </c>
      <c r="FYZ29" t="s">
        <v>6984</v>
      </c>
      <c r="FZA29" t="s">
        <v>6984</v>
      </c>
      <c r="FZB29" t="s">
        <v>6984</v>
      </c>
      <c r="FZC29" t="s">
        <v>6984</v>
      </c>
      <c r="FZD29" t="s">
        <v>6984</v>
      </c>
      <c r="FZE29" t="s">
        <v>6984</v>
      </c>
      <c r="FZF29" t="s">
        <v>6984</v>
      </c>
      <c r="FZG29" t="s">
        <v>6984</v>
      </c>
      <c r="FZH29" t="s">
        <v>6984</v>
      </c>
      <c r="FZI29" t="s">
        <v>6984</v>
      </c>
      <c r="FZJ29" t="s">
        <v>6984</v>
      </c>
      <c r="FZK29" t="s">
        <v>6984</v>
      </c>
      <c r="FZL29" t="s">
        <v>6984</v>
      </c>
      <c r="FZM29" t="s">
        <v>6984</v>
      </c>
      <c r="FZN29" t="s">
        <v>6984</v>
      </c>
      <c r="FZO29" t="s">
        <v>6984</v>
      </c>
      <c r="FZP29" t="s">
        <v>6984</v>
      </c>
      <c r="FZQ29" t="s">
        <v>6984</v>
      </c>
      <c r="FZR29" t="s">
        <v>6984</v>
      </c>
      <c r="FZS29" t="s">
        <v>6984</v>
      </c>
      <c r="FZT29" t="s">
        <v>6984</v>
      </c>
      <c r="FZU29" t="s">
        <v>6984</v>
      </c>
      <c r="FZV29" t="s">
        <v>6984</v>
      </c>
      <c r="FZW29" t="s">
        <v>6984</v>
      </c>
      <c r="FZX29" t="s">
        <v>6984</v>
      </c>
      <c r="FZY29" t="s">
        <v>6984</v>
      </c>
      <c r="FZZ29" t="s">
        <v>6984</v>
      </c>
      <c r="GAA29" t="s">
        <v>6984</v>
      </c>
      <c r="GAB29" t="s">
        <v>6984</v>
      </c>
      <c r="GAC29" t="s">
        <v>6984</v>
      </c>
      <c r="GAD29" t="s">
        <v>6984</v>
      </c>
      <c r="GAE29" t="s">
        <v>6984</v>
      </c>
      <c r="GAF29" t="s">
        <v>6984</v>
      </c>
      <c r="GAG29" t="s">
        <v>6984</v>
      </c>
      <c r="GAH29" t="s">
        <v>6984</v>
      </c>
      <c r="GAI29" t="s">
        <v>6984</v>
      </c>
      <c r="GAJ29" t="s">
        <v>6984</v>
      </c>
      <c r="GAK29" t="s">
        <v>6984</v>
      </c>
      <c r="GAL29" t="s">
        <v>6984</v>
      </c>
      <c r="GAM29" t="s">
        <v>6984</v>
      </c>
      <c r="GAN29" t="s">
        <v>6984</v>
      </c>
      <c r="GAO29" t="s">
        <v>6984</v>
      </c>
      <c r="GAP29" t="s">
        <v>6984</v>
      </c>
      <c r="GAQ29" t="s">
        <v>6984</v>
      </c>
      <c r="GAR29" t="s">
        <v>6984</v>
      </c>
      <c r="GAS29" t="s">
        <v>6984</v>
      </c>
      <c r="GAT29" t="s">
        <v>6984</v>
      </c>
      <c r="GAU29" t="s">
        <v>6984</v>
      </c>
      <c r="GAV29" t="s">
        <v>6984</v>
      </c>
      <c r="GAW29" t="s">
        <v>6984</v>
      </c>
      <c r="GAX29" t="s">
        <v>6984</v>
      </c>
      <c r="GAY29" t="s">
        <v>6984</v>
      </c>
      <c r="GAZ29" t="s">
        <v>6984</v>
      </c>
      <c r="GBA29" t="s">
        <v>6984</v>
      </c>
      <c r="GBB29" t="s">
        <v>6984</v>
      </c>
      <c r="GBC29" t="s">
        <v>6984</v>
      </c>
      <c r="GBD29" t="s">
        <v>6984</v>
      </c>
      <c r="GBE29" t="s">
        <v>6984</v>
      </c>
      <c r="GBF29" t="s">
        <v>6984</v>
      </c>
      <c r="GBG29" t="s">
        <v>6984</v>
      </c>
      <c r="GBH29" t="s">
        <v>6984</v>
      </c>
      <c r="GBI29" t="s">
        <v>6984</v>
      </c>
      <c r="GBJ29" t="s">
        <v>6984</v>
      </c>
      <c r="GBK29" t="s">
        <v>6984</v>
      </c>
      <c r="GBL29" t="s">
        <v>6984</v>
      </c>
      <c r="GBM29" t="s">
        <v>6984</v>
      </c>
      <c r="GBN29" t="s">
        <v>6984</v>
      </c>
      <c r="GBO29" t="s">
        <v>6984</v>
      </c>
      <c r="GBP29" t="s">
        <v>6984</v>
      </c>
      <c r="GBQ29" t="s">
        <v>6984</v>
      </c>
      <c r="GBR29" t="s">
        <v>6984</v>
      </c>
      <c r="GBS29" t="s">
        <v>6984</v>
      </c>
      <c r="GBT29" t="s">
        <v>6984</v>
      </c>
      <c r="GBU29" t="s">
        <v>6984</v>
      </c>
      <c r="GBV29" t="s">
        <v>6984</v>
      </c>
      <c r="GBW29" t="s">
        <v>6984</v>
      </c>
      <c r="GBX29" t="s">
        <v>6984</v>
      </c>
      <c r="GBY29" t="s">
        <v>6984</v>
      </c>
      <c r="GBZ29" t="s">
        <v>6984</v>
      </c>
      <c r="GCA29" t="s">
        <v>6984</v>
      </c>
      <c r="GCB29" t="s">
        <v>6984</v>
      </c>
      <c r="GCC29" t="s">
        <v>6984</v>
      </c>
      <c r="GCD29" t="s">
        <v>6984</v>
      </c>
      <c r="GCE29" t="s">
        <v>6984</v>
      </c>
      <c r="GCF29" t="s">
        <v>6984</v>
      </c>
      <c r="GCG29" t="s">
        <v>6984</v>
      </c>
      <c r="GCH29" t="s">
        <v>6984</v>
      </c>
      <c r="GCI29" t="s">
        <v>6984</v>
      </c>
      <c r="GCJ29" t="s">
        <v>6984</v>
      </c>
      <c r="GCK29" t="s">
        <v>6984</v>
      </c>
      <c r="GCL29" t="s">
        <v>6984</v>
      </c>
      <c r="GCM29" t="s">
        <v>6984</v>
      </c>
      <c r="GCN29" t="s">
        <v>6984</v>
      </c>
      <c r="GCO29" t="s">
        <v>6984</v>
      </c>
      <c r="GCP29" t="s">
        <v>6984</v>
      </c>
      <c r="GCQ29" t="s">
        <v>6984</v>
      </c>
      <c r="GCR29" t="s">
        <v>6984</v>
      </c>
      <c r="GCS29" t="s">
        <v>6984</v>
      </c>
      <c r="GCT29" t="s">
        <v>6984</v>
      </c>
      <c r="GCU29" t="s">
        <v>6984</v>
      </c>
      <c r="GCV29" t="s">
        <v>6984</v>
      </c>
      <c r="GCW29" t="s">
        <v>6984</v>
      </c>
      <c r="GCX29" t="s">
        <v>6984</v>
      </c>
      <c r="GCY29" t="s">
        <v>6984</v>
      </c>
      <c r="GCZ29" t="s">
        <v>6984</v>
      </c>
      <c r="GDA29" t="s">
        <v>6984</v>
      </c>
      <c r="GDB29" t="s">
        <v>6984</v>
      </c>
      <c r="GDC29" t="s">
        <v>6984</v>
      </c>
      <c r="GDD29" t="s">
        <v>6984</v>
      </c>
      <c r="GDE29" t="s">
        <v>6984</v>
      </c>
      <c r="GDF29" t="s">
        <v>6984</v>
      </c>
      <c r="GDG29" t="s">
        <v>6984</v>
      </c>
      <c r="GDH29" t="s">
        <v>6984</v>
      </c>
      <c r="GDI29" t="s">
        <v>6984</v>
      </c>
      <c r="GDJ29" t="s">
        <v>6984</v>
      </c>
      <c r="GDK29" t="s">
        <v>6984</v>
      </c>
      <c r="GDL29" t="s">
        <v>6984</v>
      </c>
      <c r="GDM29" t="s">
        <v>6984</v>
      </c>
      <c r="GDN29" t="s">
        <v>6984</v>
      </c>
      <c r="GDO29" t="s">
        <v>6984</v>
      </c>
      <c r="GDP29" t="s">
        <v>6984</v>
      </c>
      <c r="GDQ29" t="s">
        <v>6984</v>
      </c>
      <c r="GDR29" t="s">
        <v>6984</v>
      </c>
      <c r="GDS29" t="s">
        <v>6984</v>
      </c>
      <c r="GDT29" t="s">
        <v>6984</v>
      </c>
      <c r="GDU29" t="s">
        <v>6984</v>
      </c>
      <c r="GDV29" t="s">
        <v>6984</v>
      </c>
      <c r="GDW29" t="s">
        <v>6984</v>
      </c>
      <c r="GDX29" t="s">
        <v>6984</v>
      </c>
      <c r="GDY29" t="s">
        <v>6984</v>
      </c>
      <c r="GDZ29" t="s">
        <v>6984</v>
      </c>
      <c r="GEA29" t="s">
        <v>6984</v>
      </c>
      <c r="GEB29" t="s">
        <v>6984</v>
      </c>
      <c r="GEC29" t="s">
        <v>6984</v>
      </c>
      <c r="GED29" t="s">
        <v>6984</v>
      </c>
      <c r="GEE29" t="s">
        <v>6984</v>
      </c>
      <c r="GEF29" t="s">
        <v>6984</v>
      </c>
      <c r="GEG29" t="s">
        <v>6984</v>
      </c>
      <c r="GEH29" t="s">
        <v>6984</v>
      </c>
      <c r="GEI29" t="s">
        <v>6984</v>
      </c>
      <c r="GEJ29" t="s">
        <v>6984</v>
      </c>
      <c r="GEK29" t="s">
        <v>6984</v>
      </c>
      <c r="GEL29" t="s">
        <v>6984</v>
      </c>
      <c r="GEM29" t="s">
        <v>6984</v>
      </c>
      <c r="GEN29" t="s">
        <v>6984</v>
      </c>
      <c r="GEO29" t="s">
        <v>6984</v>
      </c>
      <c r="GEP29" t="s">
        <v>6984</v>
      </c>
      <c r="GEQ29" t="s">
        <v>6984</v>
      </c>
      <c r="GER29" t="s">
        <v>6984</v>
      </c>
      <c r="GES29" t="s">
        <v>6984</v>
      </c>
      <c r="GET29" t="s">
        <v>6984</v>
      </c>
      <c r="GEU29" t="s">
        <v>6984</v>
      </c>
      <c r="GEV29" t="s">
        <v>6984</v>
      </c>
      <c r="GEW29" t="s">
        <v>6984</v>
      </c>
      <c r="GEX29" t="s">
        <v>6984</v>
      </c>
      <c r="GEY29" t="s">
        <v>6984</v>
      </c>
      <c r="GEZ29" t="s">
        <v>6984</v>
      </c>
      <c r="GFA29" t="s">
        <v>6984</v>
      </c>
      <c r="GFB29" t="s">
        <v>6984</v>
      </c>
      <c r="GFC29" t="s">
        <v>6984</v>
      </c>
      <c r="GFD29" t="s">
        <v>6984</v>
      </c>
      <c r="GFE29" t="s">
        <v>6984</v>
      </c>
      <c r="GFF29" t="s">
        <v>6984</v>
      </c>
      <c r="GFG29" t="s">
        <v>6984</v>
      </c>
      <c r="GFH29" t="s">
        <v>6984</v>
      </c>
      <c r="GFI29" t="s">
        <v>6984</v>
      </c>
      <c r="GFJ29" t="s">
        <v>6984</v>
      </c>
      <c r="GFK29" t="s">
        <v>6984</v>
      </c>
      <c r="GFL29" t="s">
        <v>6984</v>
      </c>
      <c r="GFM29" t="s">
        <v>6984</v>
      </c>
      <c r="GFN29" t="s">
        <v>6984</v>
      </c>
      <c r="GFO29" t="s">
        <v>6984</v>
      </c>
      <c r="GFP29" t="s">
        <v>6984</v>
      </c>
      <c r="GFQ29" t="s">
        <v>6984</v>
      </c>
      <c r="GFR29" t="s">
        <v>6984</v>
      </c>
      <c r="GFS29" t="s">
        <v>6984</v>
      </c>
      <c r="GFT29" t="s">
        <v>6984</v>
      </c>
      <c r="GFU29" t="s">
        <v>6984</v>
      </c>
      <c r="GFV29" t="s">
        <v>6984</v>
      </c>
      <c r="GFW29" t="s">
        <v>6984</v>
      </c>
      <c r="GFX29" t="s">
        <v>6984</v>
      </c>
      <c r="GFY29" t="s">
        <v>6984</v>
      </c>
      <c r="GFZ29" t="s">
        <v>6984</v>
      </c>
      <c r="GGA29" t="s">
        <v>6984</v>
      </c>
      <c r="GGB29" t="s">
        <v>6984</v>
      </c>
      <c r="GGC29" t="s">
        <v>6984</v>
      </c>
      <c r="GGD29" t="s">
        <v>6984</v>
      </c>
      <c r="GGE29" t="s">
        <v>6984</v>
      </c>
      <c r="GGF29" t="s">
        <v>6984</v>
      </c>
      <c r="GGG29" t="s">
        <v>6984</v>
      </c>
      <c r="GGH29" t="s">
        <v>6984</v>
      </c>
      <c r="GGI29" t="s">
        <v>6984</v>
      </c>
      <c r="GGJ29" t="s">
        <v>6984</v>
      </c>
      <c r="GGK29" t="s">
        <v>6984</v>
      </c>
      <c r="GGL29" t="s">
        <v>6984</v>
      </c>
      <c r="GGM29" t="s">
        <v>6984</v>
      </c>
      <c r="GGN29" t="s">
        <v>6984</v>
      </c>
      <c r="GGO29" t="s">
        <v>6984</v>
      </c>
      <c r="GGP29" t="s">
        <v>6984</v>
      </c>
      <c r="GGQ29" t="s">
        <v>6984</v>
      </c>
      <c r="GGR29" t="s">
        <v>6984</v>
      </c>
      <c r="GGS29" t="s">
        <v>6984</v>
      </c>
      <c r="GGT29" t="s">
        <v>6984</v>
      </c>
      <c r="GGU29" t="s">
        <v>6984</v>
      </c>
      <c r="GGV29" t="s">
        <v>6984</v>
      </c>
      <c r="GGW29" t="s">
        <v>6984</v>
      </c>
      <c r="GGX29" t="s">
        <v>6984</v>
      </c>
      <c r="GGY29" t="s">
        <v>6984</v>
      </c>
      <c r="GGZ29" t="s">
        <v>6984</v>
      </c>
      <c r="GHA29" t="s">
        <v>6984</v>
      </c>
      <c r="GHB29" t="s">
        <v>6984</v>
      </c>
      <c r="GHC29" t="s">
        <v>6984</v>
      </c>
      <c r="GHD29" t="s">
        <v>6984</v>
      </c>
      <c r="GHE29" t="s">
        <v>6984</v>
      </c>
      <c r="GHF29" t="s">
        <v>6984</v>
      </c>
      <c r="GHG29" t="s">
        <v>6984</v>
      </c>
      <c r="GHH29" t="s">
        <v>6984</v>
      </c>
      <c r="GHI29" t="s">
        <v>6984</v>
      </c>
      <c r="GHJ29" t="s">
        <v>6984</v>
      </c>
      <c r="GHK29" t="s">
        <v>6984</v>
      </c>
      <c r="GHL29" t="s">
        <v>6984</v>
      </c>
      <c r="GHM29" t="s">
        <v>6984</v>
      </c>
      <c r="GHN29" t="s">
        <v>6984</v>
      </c>
      <c r="GHO29" t="s">
        <v>6984</v>
      </c>
      <c r="GHP29" t="s">
        <v>6984</v>
      </c>
      <c r="GHQ29" t="s">
        <v>6984</v>
      </c>
      <c r="GHR29" t="s">
        <v>6984</v>
      </c>
      <c r="GHS29" t="s">
        <v>6984</v>
      </c>
      <c r="GHT29" t="s">
        <v>6984</v>
      </c>
      <c r="GHU29" t="s">
        <v>6984</v>
      </c>
      <c r="GHV29" t="s">
        <v>6984</v>
      </c>
      <c r="GHW29" t="s">
        <v>6984</v>
      </c>
      <c r="GHX29" t="s">
        <v>6984</v>
      </c>
      <c r="GHY29" t="s">
        <v>6984</v>
      </c>
      <c r="GHZ29" t="s">
        <v>6984</v>
      </c>
      <c r="GIA29" t="s">
        <v>6984</v>
      </c>
      <c r="GIB29" t="s">
        <v>6984</v>
      </c>
      <c r="GIC29" t="s">
        <v>6984</v>
      </c>
      <c r="GID29" t="s">
        <v>6984</v>
      </c>
      <c r="GIE29" t="s">
        <v>6984</v>
      </c>
      <c r="GIF29" t="s">
        <v>6984</v>
      </c>
      <c r="GIG29" t="s">
        <v>6984</v>
      </c>
      <c r="GIH29" t="s">
        <v>6984</v>
      </c>
      <c r="GII29" t="s">
        <v>6984</v>
      </c>
      <c r="GIJ29" t="s">
        <v>6984</v>
      </c>
      <c r="GIK29" t="s">
        <v>6984</v>
      </c>
      <c r="GIL29" t="s">
        <v>6984</v>
      </c>
      <c r="GIM29" t="s">
        <v>6984</v>
      </c>
      <c r="GIN29" t="s">
        <v>6984</v>
      </c>
      <c r="GIO29" t="s">
        <v>6984</v>
      </c>
      <c r="GIP29" t="s">
        <v>6984</v>
      </c>
      <c r="GIQ29" t="s">
        <v>6984</v>
      </c>
      <c r="GIR29" t="s">
        <v>6984</v>
      </c>
      <c r="GIS29" t="s">
        <v>6984</v>
      </c>
      <c r="GIT29" t="s">
        <v>6984</v>
      </c>
      <c r="GIU29" t="s">
        <v>6984</v>
      </c>
      <c r="GIV29" t="s">
        <v>6984</v>
      </c>
      <c r="GIW29" t="s">
        <v>6984</v>
      </c>
      <c r="GIX29" t="s">
        <v>6984</v>
      </c>
      <c r="GIY29" t="s">
        <v>6984</v>
      </c>
      <c r="GIZ29" t="s">
        <v>6984</v>
      </c>
      <c r="GJA29" t="s">
        <v>6984</v>
      </c>
      <c r="GJB29" t="s">
        <v>6984</v>
      </c>
      <c r="GJC29" t="s">
        <v>6984</v>
      </c>
      <c r="GJD29" t="s">
        <v>6984</v>
      </c>
      <c r="GJE29" t="s">
        <v>6984</v>
      </c>
      <c r="GJF29" t="s">
        <v>6984</v>
      </c>
      <c r="GJG29" t="s">
        <v>6984</v>
      </c>
      <c r="GJH29" t="s">
        <v>6984</v>
      </c>
      <c r="GJI29" t="s">
        <v>6984</v>
      </c>
      <c r="GJJ29" t="s">
        <v>6984</v>
      </c>
      <c r="GJK29" t="s">
        <v>6984</v>
      </c>
      <c r="GJL29" t="s">
        <v>6984</v>
      </c>
      <c r="GJM29" t="s">
        <v>6984</v>
      </c>
      <c r="GJN29" t="s">
        <v>6984</v>
      </c>
      <c r="GJO29" t="s">
        <v>6984</v>
      </c>
      <c r="GJP29" t="s">
        <v>6984</v>
      </c>
      <c r="GJQ29" t="s">
        <v>6984</v>
      </c>
      <c r="GJR29" t="s">
        <v>6984</v>
      </c>
      <c r="GJS29" t="s">
        <v>6984</v>
      </c>
      <c r="GJT29" t="s">
        <v>6984</v>
      </c>
      <c r="GJU29" t="s">
        <v>6984</v>
      </c>
      <c r="GJV29" t="s">
        <v>6984</v>
      </c>
      <c r="GJW29" t="s">
        <v>6984</v>
      </c>
      <c r="GJX29" t="s">
        <v>6984</v>
      </c>
      <c r="GJY29" t="s">
        <v>6984</v>
      </c>
      <c r="GJZ29" t="s">
        <v>6984</v>
      </c>
      <c r="GKA29" t="s">
        <v>6984</v>
      </c>
      <c r="GKB29" t="s">
        <v>6984</v>
      </c>
      <c r="GKC29" t="s">
        <v>6984</v>
      </c>
      <c r="GKD29" t="s">
        <v>6984</v>
      </c>
      <c r="GKE29" t="s">
        <v>6984</v>
      </c>
      <c r="GKF29" t="s">
        <v>6984</v>
      </c>
      <c r="GKG29" t="s">
        <v>6984</v>
      </c>
      <c r="GKH29" t="s">
        <v>6984</v>
      </c>
      <c r="GKI29" t="s">
        <v>6984</v>
      </c>
      <c r="GKJ29" t="s">
        <v>6984</v>
      </c>
      <c r="GKK29" t="s">
        <v>6984</v>
      </c>
      <c r="GKL29" t="s">
        <v>6984</v>
      </c>
      <c r="GKM29" t="s">
        <v>6984</v>
      </c>
      <c r="GKN29" t="s">
        <v>6984</v>
      </c>
      <c r="GKO29" t="s">
        <v>6984</v>
      </c>
      <c r="GKP29" t="s">
        <v>6984</v>
      </c>
      <c r="GKQ29" t="s">
        <v>6984</v>
      </c>
      <c r="GKR29" t="s">
        <v>6984</v>
      </c>
      <c r="GKS29" t="s">
        <v>6984</v>
      </c>
      <c r="GKT29" t="s">
        <v>6984</v>
      </c>
      <c r="GKU29" t="s">
        <v>6984</v>
      </c>
      <c r="GKV29" t="s">
        <v>6984</v>
      </c>
      <c r="GKW29" t="s">
        <v>6984</v>
      </c>
      <c r="GKX29" t="s">
        <v>6984</v>
      </c>
      <c r="GKY29" t="s">
        <v>6984</v>
      </c>
      <c r="GKZ29" t="s">
        <v>6984</v>
      </c>
      <c r="GLA29" t="s">
        <v>6984</v>
      </c>
      <c r="GLB29" t="s">
        <v>6984</v>
      </c>
      <c r="GLC29" t="s">
        <v>6984</v>
      </c>
      <c r="GLD29" t="s">
        <v>6984</v>
      </c>
      <c r="GLE29" t="s">
        <v>6984</v>
      </c>
      <c r="GLF29" t="s">
        <v>6984</v>
      </c>
      <c r="GLG29" t="s">
        <v>6984</v>
      </c>
      <c r="GLH29" t="s">
        <v>6984</v>
      </c>
      <c r="GLI29" t="s">
        <v>6984</v>
      </c>
      <c r="GLJ29" t="s">
        <v>6984</v>
      </c>
      <c r="GLK29" t="s">
        <v>6984</v>
      </c>
      <c r="GLL29" t="s">
        <v>6984</v>
      </c>
      <c r="GLM29" t="s">
        <v>6984</v>
      </c>
      <c r="GLN29" t="s">
        <v>6984</v>
      </c>
      <c r="GLO29" t="s">
        <v>6984</v>
      </c>
      <c r="GLP29" t="s">
        <v>6984</v>
      </c>
      <c r="GLQ29" t="s">
        <v>6984</v>
      </c>
      <c r="GLR29" t="s">
        <v>6984</v>
      </c>
      <c r="GLS29" t="s">
        <v>6984</v>
      </c>
      <c r="GLT29" t="s">
        <v>6984</v>
      </c>
      <c r="GLU29" t="s">
        <v>6984</v>
      </c>
      <c r="GLV29" t="s">
        <v>6984</v>
      </c>
      <c r="GLW29" t="s">
        <v>6984</v>
      </c>
      <c r="GLX29" t="s">
        <v>6984</v>
      </c>
      <c r="GLY29" t="s">
        <v>6984</v>
      </c>
      <c r="GLZ29" t="s">
        <v>6984</v>
      </c>
      <c r="GMA29" t="s">
        <v>6984</v>
      </c>
      <c r="GMB29" t="s">
        <v>6984</v>
      </c>
      <c r="GMC29" t="s">
        <v>6984</v>
      </c>
      <c r="GMD29" t="s">
        <v>6984</v>
      </c>
      <c r="GME29" t="s">
        <v>6984</v>
      </c>
      <c r="GMF29" t="s">
        <v>6984</v>
      </c>
      <c r="GMG29" t="s">
        <v>6984</v>
      </c>
      <c r="GMH29" t="s">
        <v>6984</v>
      </c>
      <c r="GMI29" t="s">
        <v>6984</v>
      </c>
      <c r="GMJ29" t="s">
        <v>6984</v>
      </c>
      <c r="GMK29" t="s">
        <v>6984</v>
      </c>
      <c r="GML29" t="s">
        <v>6984</v>
      </c>
      <c r="GMM29" t="s">
        <v>6984</v>
      </c>
      <c r="GMN29" t="s">
        <v>6984</v>
      </c>
      <c r="GMO29" t="s">
        <v>6984</v>
      </c>
      <c r="GMP29" t="s">
        <v>6984</v>
      </c>
      <c r="GMQ29" t="s">
        <v>6984</v>
      </c>
      <c r="GMR29" t="s">
        <v>6984</v>
      </c>
      <c r="GMS29" t="s">
        <v>6984</v>
      </c>
      <c r="GMT29" t="s">
        <v>6984</v>
      </c>
      <c r="GMU29" t="s">
        <v>6984</v>
      </c>
      <c r="GMV29" t="s">
        <v>6984</v>
      </c>
      <c r="GMW29" t="s">
        <v>6984</v>
      </c>
      <c r="GMX29" t="s">
        <v>6984</v>
      </c>
      <c r="GMY29" t="s">
        <v>6984</v>
      </c>
      <c r="GMZ29" t="s">
        <v>6984</v>
      </c>
      <c r="GNA29" t="s">
        <v>6984</v>
      </c>
      <c r="GNB29" t="s">
        <v>6984</v>
      </c>
      <c r="GNC29" t="s">
        <v>6984</v>
      </c>
      <c r="GND29" t="s">
        <v>6984</v>
      </c>
      <c r="GNE29" t="s">
        <v>6984</v>
      </c>
      <c r="GNF29" t="s">
        <v>6984</v>
      </c>
      <c r="GNG29" t="s">
        <v>6984</v>
      </c>
      <c r="GNH29" t="s">
        <v>6984</v>
      </c>
      <c r="GNI29" t="s">
        <v>6984</v>
      </c>
      <c r="GNJ29" t="s">
        <v>6984</v>
      </c>
      <c r="GNK29" t="s">
        <v>6984</v>
      </c>
      <c r="GNL29" t="s">
        <v>6984</v>
      </c>
      <c r="GNM29" t="s">
        <v>6984</v>
      </c>
      <c r="GNN29" t="s">
        <v>6984</v>
      </c>
      <c r="GNO29" t="s">
        <v>6984</v>
      </c>
      <c r="GNP29" t="s">
        <v>6984</v>
      </c>
      <c r="GNQ29" t="s">
        <v>6984</v>
      </c>
      <c r="GNR29" t="s">
        <v>6984</v>
      </c>
      <c r="GNS29" t="s">
        <v>6984</v>
      </c>
      <c r="GNT29" t="s">
        <v>6984</v>
      </c>
      <c r="GNU29" t="s">
        <v>6984</v>
      </c>
      <c r="GNV29" t="s">
        <v>6984</v>
      </c>
      <c r="GNW29" t="s">
        <v>6984</v>
      </c>
      <c r="GNX29" t="s">
        <v>6984</v>
      </c>
      <c r="GNY29" t="s">
        <v>6984</v>
      </c>
      <c r="GNZ29" t="s">
        <v>6984</v>
      </c>
      <c r="GOA29" t="s">
        <v>6984</v>
      </c>
      <c r="GOB29" t="s">
        <v>6984</v>
      </c>
      <c r="GOC29" t="s">
        <v>6984</v>
      </c>
      <c r="GOD29" t="s">
        <v>6984</v>
      </c>
      <c r="GOE29" t="s">
        <v>6984</v>
      </c>
      <c r="GOF29" t="s">
        <v>6984</v>
      </c>
      <c r="GOG29" t="s">
        <v>6984</v>
      </c>
      <c r="GOH29" t="s">
        <v>6984</v>
      </c>
      <c r="GOI29" t="s">
        <v>6984</v>
      </c>
      <c r="GOJ29" t="s">
        <v>6984</v>
      </c>
      <c r="GOK29" t="s">
        <v>6984</v>
      </c>
      <c r="GOL29" t="s">
        <v>6984</v>
      </c>
      <c r="GOM29" t="s">
        <v>6984</v>
      </c>
      <c r="GON29" t="s">
        <v>6984</v>
      </c>
      <c r="GOO29" t="s">
        <v>6984</v>
      </c>
      <c r="GOP29" t="s">
        <v>6984</v>
      </c>
      <c r="GOQ29" t="s">
        <v>6984</v>
      </c>
      <c r="GOR29" t="s">
        <v>6984</v>
      </c>
      <c r="GOS29" t="s">
        <v>6984</v>
      </c>
      <c r="GOT29" t="s">
        <v>6984</v>
      </c>
      <c r="GOU29" t="s">
        <v>6984</v>
      </c>
      <c r="GOV29" t="s">
        <v>6984</v>
      </c>
      <c r="GOW29" t="s">
        <v>6984</v>
      </c>
      <c r="GOX29" t="s">
        <v>6984</v>
      </c>
      <c r="GOY29" t="s">
        <v>6984</v>
      </c>
      <c r="GOZ29" t="s">
        <v>6984</v>
      </c>
      <c r="GPA29" t="s">
        <v>6984</v>
      </c>
      <c r="GPB29" t="s">
        <v>6984</v>
      </c>
      <c r="GPC29" t="s">
        <v>6984</v>
      </c>
      <c r="GPD29" t="s">
        <v>6984</v>
      </c>
      <c r="GPE29" t="s">
        <v>6984</v>
      </c>
      <c r="GPF29" t="s">
        <v>6984</v>
      </c>
      <c r="GPG29" t="s">
        <v>6984</v>
      </c>
      <c r="GPH29" t="s">
        <v>6984</v>
      </c>
      <c r="GPI29" t="s">
        <v>6984</v>
      </c>
      <c r="GPJ29" t="s">
        <v>6984</v>
      </c>
      <c r="GPK29" t="s">
        <v>6984</v>
      </c>
      <c r="GPL29" t="s">
        <v>6984</v>
      </c>
      <c r="GPM29" t="s">
        <v>6984</v>
      </c>
      <c r="GPN29" t="s">
        <v>6984</v>
      </c>
      <c r="GPO29" t="s">
        <v>6984</v>
      </c>
      <c r="GPP29" t="s">
        <v>6984</v>
      </c>
      <c r="GPQ29" t="s">
        <v>6984</v>
      </c>
      <c r="GPR29" t="s">
        <v>6984</v>
      </c>
      <c r="GPS29" t="s">
        <v>6984</v>
      </c>
      <c r="GPT29" t="s">
        <v>6984</v>
      </c>
      <c r="GPU29" t="s">
        <v>6984</v>
      </c>
      <c r="GPV29" t="s">
        <v>6984</v>
      </c>
      <c r="GPW29" t="s">
        <v>6984</v>
      </c>
      <c r="GPX29" t="s">
        <v>6984</v>
      </c>
      <c r="GPY29" t="s">
        <v>6984</v>
      </c>
      <c r="GPZ29" t="s">
        <v>6984</v>
      </c>
      <c r="GQA29" t="s">
        <v>6984</v>
      </c>
      <c r="GQB29" t="s">
        <v>6984</v>
      </c>
      <c r="GQC29" t="s">
        <v>6984</v>
      </c>
      <c r="GQD29" t="s">
        <v>6984</v>
      </c>
      <c r="GQE29" t="s">
        <v>6984</v>
      </c>
      <c r="GQF29" t="s">
        <v>6984</v>
      </c>
      <c r="GQG29" t="s">
        <v>6984</v>
      </c>
      <c r="GQH29" t="s">
        <v>6984</v>
      </c>
      <c r="GQI29" t="s">
        <v>6984</v>
      </c>
      <c r="GQJ29" t="s">
        <v>6984</v>
      </c>
      <c r="GQK29" t="s">
        <v>6984</v>
      </c>
      <c r="GQL29" t="s">
        <v>6984</v>
      </c>
      <c r="GQM29" t="s">
        <v>6984</v>
      </c>
      <c r="GQN29" t="s">
        <v>6984</v>
      </c>
      <c r="GQO29" t="s">
        <v>6984</v>
      </c>
      <c r="GQP29" t="s">
        <v>6984</v>
      </c>
      <c r="GQQ29" t="s">
        <v>6984</v>
      </c>
      <c r="GQR29" t="s">
        <v>6984</v>
      </c>
      <c r="GQS29" t="s">
        <v>6984</v>
      </c>
      <c r="GQT29" t="s">
        <v>6984</v>
      </c>
      <c r="GQU29" t="s">
        <v>6984</v>
      </c>
      <c r="GQV29" t="s">
        <v>6984</v>
      </c>
      <c r="GQW29" t="s">
        <v>6984</v>
      </c>
      <c r="GQX29" t="s">
        <v>6984</v>
      </c>
      <c r="GQY29" t="s">
        <v>6984</v>
      </c>
      <c r="GQZ29" t="s">
        <v>6984</v>
      </c>
      <c r="GRA29" t="s">
        <v>6984</v>
      </c>
      <c r="GRB29" t="s">
        <v>6984</v>
      </c>
      <c r="GRC29" t="s">
        <v>6984</v>
      </c>
      <c r="GRD29" t="s">
        <v>6984</v>
      </c>
      <c r="GRE29" t="s">
        <v>6984</v>
      </c>
      <c r="GRF29" t="s">
        <v>6984</v>
      </c>
      <c r="GRG29" t="s">
        <v>6984</v>
      </c>
      <c r="GRH29" t="s">
        <v>6984</v>
      </c>
      <c r="GRI29" t="s">
        <v>6984</v>
      </c>
      <c r="GRJ29" t="s">
        <v>6984</v>
      </c>
      <c r="GRK29" t="s">
        <v>6984</v>
      </c>
      <c r="GRL29" t="s">
        <v>6984</v>
      </c>
      <c r="GRM29" t="s">
        <v>6984</v>
      </c>
      <c r="GRN29" t="s">
        <v>6984</v>
      </c>
      <c r="GRO29" t="s">
        <v>6984</v>
      </c>
      <c r="GRP29" t="s">
        <v>6984</v>
      </c>
      <c r="GRQ29" t="s">
        <v>6984</v>
      </c>
      <c r="GRR29" t="s">
        <v>6984</v>
      </c>
      <c r="GRS29" t="s">
        <v>6984</v>
      </c>
      <c r="GRT29" t="s">
        <v>6984</v>
      </c>
      <c r="GRU29" t="s">
        <v>6984</v>
      </c>
      <c r="GRV29" t="s">
        <v>6984</v>
      </c>
      <c r="GRW29" t="s">
        <v>6984</v>
      </c>
      <c r="GRX29" t="s">
        <v>6984</v>
      </c>
      <c r="GRY29" t="s">
        <v>6984</v>
      </c>
      <c r="GRZ29" t="s">
        <v>6984</v>
      </c>
      <c r="GSA29" t="s">
        <v>6984</v>
      </c>
      <c r="GSB29" t="s">
        <v>6984</v>
      </c>
      <c r="GSC29" t="s">
        <v>6984</v>
      </c>
      <c r="GSD29" t="s">
        <v>6984</v>
      </c>
      <c r="GSE29" t="s">
        <v>6984</v>
      </c>
      <c r="GSF29" t="s">
        <v>6984</v>
      </c>
      <c r="GSG29" t="s">
        <v>6984</v>
      </c>
      <c r="GSH29" t="s">
        <v>6984</v>
      </c>
      <c r="GSI29" t="s">
        <v>6984</v>
      </c>
      <c r="GSJ29" t="s">
        <v>6984</v>
      </c>
      <c r="GSK29" t="s">
        <v>6984</v>
      </c>
      <c r="GSL29" t="s">
        <v>6984</v>
      </c>
      <c r="GSM29" t="s">
        <v>6984</v>
      </c>
      <c r="GSN29" t="s">
        <v>6984</v>
      </c>
      <c r="GSO29" t="s">
        <v>6984</v>
      </c>
      <c r="GSP29" t="s">
        <v>6984</v>
      </c>
      <c r="GSQ29" t="s">
        <v>6984</v>
      </c>
      <c r="GSR29" t="s">
        <v>6984</v>
      </c>
      <c r="GSS29" t="s">
        <v>6984</v>
      </c>
      <c r="GST29" t="s">
        <v>6984</v>
      </c>
      <c r="GSU29" t="s">
        <v>6984</v>
      </c>
      <c r="GSV29" t="s">
        <v>6984</v>
      </c>
      <c r="GSW29" t="s">
        <v>6984</v>
      </c>
      <c r="GSX29" t="s">
        <v>6984</v>
      </c>
      <c r="GSY29" t="s">
        <v>6984</v>
      </c>
      <c r="GSZ29" t="s">
        <v>6984</v>
      </c>
      <c r="GTA29" t="s">
        <v>6984</v>
      </c>
      <c r="GTB29" t="s">
        <v>6984</v>
      </c>
      <c r="GTC29" t="s">
        <v>6984</v>
      </c>
      <c r="GTD29" t="s">
        <v>6984</v>
      </c>
      <c r="GTE29" t="s">
        <v>6984</v>
      </c>
      <c r="GTF29" t="s">
        <v>6984</v>
      </c>
      <c r="GTG29" t="s">
        <v>6984</v>
      </c>
      <c r="GTH29" t="s">
        <v>6984</v>
      </c>
      <c r="GTI29" t="s">
        <v>6984</v>
      </c>
      <c r="GTJ29" t="s">
        <v>6984</v>
      </c>
      <c r="GTK29" t="s">
        <v>6984</v>
      </c>
      <c r="GTL29" t="s">
        <v>6984</v>
      </c>
      <c r="GTM29" t="s">
        <v>6984</v>
      </c>
      <c r="GTN29" t="s">
        <v>6984</v>
      </c>
      <c r="GTO29" t="s">
        <v>6984</v>
      </c>
      <c r="GTP29" t="s">
        <v>6984</v>
      </c>
      <c r="GTQ29" t="s">
        <v>6984</v>
      </c>
      <c r="GTR29" t="s">
        <v>6984</v>
      </c>
      <c r="GTS29" t="s">
        <v>6984</v>
      </c>
      <c r="GTT29" t="s">
        <v>6984</v>
      </c>
      <c r="GTU29" t="s">
        <v>6984</v>
      </c>
      <c r="GTV29" t="s">
        <v>6984</v>
      </c>
      <c r="GTW29" t="s">
        <v>6984</v>
      </c>
      <c r="GTX29" t="s">
        <v>6984</v>
      </c>
      <c r="GTY29" t="s">
        <v>6984</v>
      </c>
      <c r="GTZ29" t="s">
        <v>6984</v>
      </c>
      <c r="GUA29" t="s">
        <v>6984</v>
      </c>
      <c r="GUB29" t="s">
        <v>6984</v>
      </c>
      <c r="GUC29" t="s">
        <v>6984</v>
      </c>
      <c r="GUD29" t="s">
        <v>6984</v>
      </c>
      <c r="GUE29" t="s">
        <v>6984</v>
      </c>
      <c r="GUF29" t="s">
        <v>6984</v>
      </c>
      <c r="GUG29" t="s">
        <v>6984</v>
      </c>
      <c r="GUH29" t="s">
        <v>6984</v>
      </c>
      <c r="GUI29" t="s">
        <v>6984</v>
      </c>
      <c r="GUJ29" t="s">
        <v>6984</v>
      </c>
      <c r="GUK29" t="s">
        <v>6984</v>
      </c>
      <c r="GUL29" t="s">
        <v>6984</v>
      </c>
      <c r="GUM29" t="s">
        <v>6984</v>
      </c>
      <c r="GUN29" t="s">
        <v>6984</v>
      </c>
      <c r="GUO29" t="s">
        <v>6984</v>
      </c>
      <c r="GUP29" t="s">
        <v>6984</v>
      </c>
      <c r="GUQ29" t="s">
        <v>6984</v>
      </c>
      <c r="GUR29" t="s">
        <v>6984</v>
      </c>
      <c r="GUS29" t="s">
        <v>6984</v>
      </c>
      <c r="GUT29" t="s">
        <v>6984</v>
      </c>
      <c r="GUU29" t="s">
        <v>6984</v>
      </c>
      <c r="GUV29" t="s">
        <v>6984</v>
      </c>
      <c r="GUW29" t="s">
        <v>6984</v>
      </c>
      <c r="GUX29" t="s">
        <v>6984</v>
      </c>
      <c r="GUY29" t="s">
        <v>6984</v>
      </c>
      <c r="GUZ29" t="s">
        <v>6984</v>
      </c>
      <c r="GVA29" t="s">
        <v>6984</v>
      </c>
      <c r="GVB29" t="s">
        <v>6984</v>
      </c>
      <c r="GVC29" t="s">
        <v>6984</v>
      </c>
      <c r="GVD29" t="s">
        <v>6984</v>
      </c>
      <c r="GVE29" t="s">
        <v>6984</v>
      </c>
      <c r="GVF29" t="s">
        <v>6984</v>
      </c>
      <c r="GVG29" t="s">
        <v>6984</v>
      </c>
      <c r="GVH29" t="s">
        <v>6984</v>
      </c>
      <c r="GVI29" t="s">
        <v>6984</v>
      </c>
      <c r="GVJ29" t="s">
        <v>6984</v>
      </c>
      <c r="GVK29" t="s">
        <v>6984</v>
      </c>
      <c r="GVL29" t="s">
        <v>6984</v>
      </c>
      <c r="GVM29" t="s">
        <v>6984</v>
      </c>
      <c r="GVN29" t="s">
        <v>6984</v>
      </c>
      <c r="GVO29" t="s">
        <v>6984</v>
      </c>
      <c r="GVP29" t="s">
        <v>6984</v>
      </c>
      <c r="GVQ29" t="s">
        <v>6984</v>
      </c>
      <c r="GVR29" t="s">
        <v>6984</v>
      </c>
      <c r="GVS29" t="s">
        <v>6984</v>
      </c>
      <c r="GVT29" t="s">
        <v>6984</v>
      </c>
      <c r="GVU29" t="s">
        <v>6984</v>
      </c>
      <c r="GVV29" t="s">
        <v>6984</v>
      </c>
      <c r="GVW29" t="s">
        <v>6984</v>
      </c>
      <c r="GVX29" t="s">
        <v>6984</v>
      </c>
      <c r="GVY29" t="s">
        <v>6984</v>
      </c>
      <c r="GVZ29" t="s">
        <v>6984</v>
      </c>
      <c r="GWA29" t="s">
        <v>6984</v>
      </c>
      <c r="GWB29" t="s">
        <v>6984</v>
      </c>
      <c r="GWC29" t="s">
        <v>6984</v>
      </c>
      <c r="GWD29" t="s">
        <v>6984</v>
      </c>
      <c r="GWE29" t="s">
        <v>6984</v>
      </c>
      <c r="GWF29" t="s">
        <v>6984</v>
      </c>
      <c r="GWG29" t="s">
        <v>6984</v>
      </c>
      <c r="GWH29" t="s">
        <v>6984</v>
      </c>
      <c r="GWI29" t="s">
        <v>6984</v>
      </c>
      <c r="GWJ29" t="s">
        <v>6984</v>
      </c>
      <c r="GWK29" t="s">
        <v>6984</v>
      </c>
      <c r="GWL29" t="s">
        <v>6984</v>
      </c>
      <c r="GWM29" t="s">
        <v>6984</v>
      </c>
      <c r="GWN29" t="s">
        <v>6984</v>
      </c>
      <c r="GWO29" t="s">
        <v>6984</v>
      </c>
      <c r="GWP29" t="s">
        <v>6984</v>
      </c>
      <c r="GWQ29" t="s">
        <v>6984</v>
      </c>
      <c r="GWR29" t="s">
        <v>6984</v>
      </c>
      <c r="GWS29" t="s">
        <v>6984</v>
      </c>
      <c r="GWT29" t="s">
        <v>6984</v>
      </c>
      <c r="GWU29" t="s">
        <v>6984</v>
      </c>
      <c r="GWV29" t="s">
        <v>6984</v>
      </c>
      <c r="GWW29" t="s">
        <v>6984</v>
      </c>
      <c r="GWX29" t="s">
        <v>6984</v>
      </c>
      <c r="GWY29" t="s">
        <v>6984</v>
      </c>
      <c r="GWZ29" t="s">
        <v>6984</v>
      </c>
      <c r="GXA29" t="s">
        <v>6984</v>
      </c>
      <c r="GXB29" t="s">
        <v>6984</v>
      </c>
      <c r="GXC29" t="s">
        <v>6984</v>
      </c>
      <c r="GXD29" t="s">
        <v>6984</v>
      </c>
      <c r="GXE29" t="s">
        <v>6984</v>
      </c>
      <c r="GXF29" t="s">
        <v>6984</v>
      </c>
      <c r="GXG29" t="s">
        <v>6984</v>
      </c>
      <c r="GXH29" t="s">
        <v>6984</v>
      </c>
      <c r="GXI29" t="s">
        <v>6984</v>
      </c>
      <c r="GXJ29" t="s">
        <v>6984</v>
      </c>
      <c r="GXK29" t="s">
        <v>6984</v>
      </c>
      <c r="GXL29" t="s">
        <v>6984</v>
      </c>
      <c r="GXM29" t="s">
        <v>6984</v>
      </c>
      <c r="GXN29" t="s">
        <v>6984</v>
      </c>
      <c r="GXO29" t="s">
        <v>6984</v>
      </c>
      <c r="GXP29" t="s">
        <v>6984</v>
      </c>
      <c r="GXQ29" t="s">
        <v>6984</v>
      </c>
      <c r="GXR29" t="s">
        <v>6984</v>
      </c>
      <c r="GXS29" t="s">
        <v>6984</v>
      </c>
      <c r="GXT29" t="s">
        <v>6984</v>
      </c>
      <c r="GXU29" t="s">
        <v>6984</v>
      </c>
      <c r="GXV29" t="s">
        <v>6984</v>
      </c>
      <c r="GXW29" t="s">
        <v>6984</v>
      </c>
      <c r="GXX29" t="s">
        <v>6984</v>
      </c>
      <c r="GXY29" t="s">
        <v>6984</v>
      </c>
      <c r="GXZ29" t="s">
        <v>6984</v>
      </c>
      <c r="GYA29" t="s">
        <v>6984</v>
      </c>
      <c r="GYB29" t="s">
        <v>6984</v>
      </c>
      <c r="GYC29" t="s">
        <v>6984</v>
      </c>
      <c r="GYD29" t="s">
        <v>6984</v>
      </c>
      <c r="GYE29" t="s">
        <v>6984</v>
      </c>
      <c r="GYF29" t="s">
        <v>6984</v>
      </c>
      <c r="GYG29" t="s">
        <v>6984</v>
      </c>
      <c r="GYH29" t="s">
        <v>6984</v>
      </c>
      <c r="GYI29" t="s">
        <v>6984</v>
      </c>
      <c r="GYJ29" t="s">
        <v>6984</v>
      </c>
      <c r="GYK29" t="s">
        <v>6984</v>
      </c>
      <c r="GYL29" t="s">
        <v>6984</v>
      </c>
      <c r="GYM29" t="s">
        <v>6984</v>
      </c>
      <c r="GYN29" t="s">
        <v>6984</v>
      </c>
      <c r="GYO29" t="s">
        <v>6984</v>
      </c>
      <c r="GYP29" t="s">
        <v>6984</v>
      </c>
      <c r="GYQ29" t="s">
        <v>6984</v>
      </c>
      <c r="GYR29" t="s">
        <v>6984</v>
      </c>
      <c r="GYS29" t="s">
        <v>6984</v>
      </c>
      <c r="GYT29" t="s">
        <v>6984</v>
      </c>
      <c r="GYU29" t="s">
        <v>6984</v>
      </c>
      <c r="GYV29" t="s">
        <v>6984</v>
      </c>
      <c r="GYW29" t="s">
        <v>6984</v>
      </c>
      <c r="GYX29" t="s">
        <v>6984</v>
      </c>
      <c r="GYY29" t="s">
        <v>6984</v>
      </c>
      <c r="GYZ29" t="s">
        <v>6984</v>
      </c>
      <c r="GZA29" t="s">
        <v>6984</v>
      </c>
      <c r="GZB29" t="s">
        <v>6984</v>
      </c>
      <c r="GZC29" t="s">
        <v>6984</v>
      </c>
      <c r="GZD29" t="s">
        <v>6984</v>
      </c>
      <c r="GZE29" t="s">
        <v>6984</v>
      </c>
      <c r="GZF29" t="s">
        <v>6984</v>
      </c>
      <c r="GZG29" t="s">
        <v>6984</v>
      </c>
      <c r="GZH29" t="s">
        <v>6984</v>
      </c>
      <c r="GZI29" t="s">
        <v>6984</v>
      </c>
      <c r="GZJ29" t="s">
        <v>6984</v>
      </c>
      <c r="GZK29" t="s">
        <v>6984</v>
      </c>
      <c r="GZL29" t="s">
        <v>6984</v>
      </c>
      <c r="GZM29" t="s">
        <v>6984</v>
      </c>
      <c r="GZN29" t="s">
        <v>6984</v>
      </c>
      <c r="GZO29" t="s">
        <v>6984</v>
      </c>
      <c r="GZP29" t="s">
        <v>6984</v>
      </c>
      <c r="GZQ29" t="s">
        <v>6984</v>
      </c>
      <c r="GZR29" t="s">
        <v>6984</v>
      </c>
      <c r="GZS29" t="s">
        <v>6984</v>
      </c>
      <c r="GZT29" t="s">
        <v>6984</v>
      </c>
      <c r="GZU29" t="s">
        <v>6984</v>
      </c>
      <c r="GZV29" t="s">
        <v>6984</v>
      </c>
      <c r="GZW29" t="s">
        <v>6984</v>
      </c>
      <c r="GZX29" t="s">
        <v>6984</v>
      </c>
      <c r="GZY29" t="s">
        <v>6984</v>
      </c>
      <c r="GZZ29" t="s">
        <v>6984</v>
      </c>
      <c r="HAA29" t="s">
        <v>6984</v>
      </c>
      <c r="HAB29" t="s">
        <v>6984</v>
      </c>
      <c r="HAC29" t="s">
        <v>6984</v>
      </c>
      <c r="HAD29" t="s">
        <v>6984</v>
      </c>
      <c r="HAE29" t="s">
        <v>6984</v>
      </c>
      <c r="HAF29" t="s">
        <v>6984</v>
      </c>
      <c r="HAG29" t="s">
        <v>6984</v>
      </c>
      <c r="HAH29" t="s">
        <v>6984</v>
      </c>
      <c r="HAI29" t="s">
        <v>6984</v>
      </c>
      <c r="HAJ29" t="s">
        <v>6984</v>
      </c>
      <c r="HAK29" t="s">
        <v>6984</v>
      </c>
      <c r="HAL29" t="s">
        <v>6984</v>
      </c>
      <c r="HAM29" t="s">
        <v>6984</v>
      </c>
      <c r="HAN29" t="s">
        <v>6984</v>
      </c>
      <c r="HAO29" t="s">
        <v>6984</v>
      </c>
      <c r="HAP29" t="s">
        <v>6984</v>
      </c>
      <c r="HAQ29" t="s">
        <v>6984</v>
      </c>
      <c r="HAR29" t="s">
        <v>6984</v>
      </c>
      <c r="HAS29" t="s">
        <v>6984</v>
      </c>
      <c r="HAT29" t="s">
        <v>6984</v>
      </c>
      <c r="HAU29" t="s">
        <v>6984</v>
      </c>
      <c r="HAV29" t="s">
        <v>6984</v>
      </c>
      <c r="HAW29" t="s">
        <v>6984</v>
      </c>
      <c r="HAX29" t="s">
        <v>6984</v>
      </c>
      <c r="HAY29" t="s">
        <v>6984</v>
      </c>
      <c r="HAZ29" t="s">
        <v>6984</v>
      </c>
      <c r="HBA29" t="s">
        <v>6984</v>
      </c>
      <c r="HBB29" t="s">
        <v>6984</v>
      </c>
      <c r="HBC29" t="s">
        <v>6984</v>
      </c>
      <c r="HBD29" t="s">
        <v>6984</v>
      </c>
      <c r="HBE29" t="s">
        <v>6984</v>
      </c>
      <c r="HBF29" t="s">
        <v>6984</v>
      </c>
      <c r="HBG29" t="s">
        <v>6984</v>
      </c>
      <c r="HBH29" t="s">
        <v>6984</v>
      </c>
      <c r="HBI29" t="s">
        <v>6984</v>
      </c>
      <c r="HBJ29" t="s">
        <v>6984</v>
      </c>
      <c r="HBK29" t="s">
        <v>6984</v>
      </c>
      <c r="HBL29" t="s">
        <v>6984</v>
      </c>
      <c r="HBM29" t="s">
        <v>6984</v>
      </c>
      <c r="HBN29" t="s">
        <v>6984</v>
      </c>
      <c r="HBO29" t="s">
        <v>6984</v>
      </c>
      <c r="HBP29" t="s">
        <v>6984</v>
      </c>
      <c r="HBQ29" t="s">
        <v>6984</v>
      </c>
      <c r="HBR29" t="s">
        <v>6984</v>
      </c>
      <c r="HBS29" t="s">
        <v>6984</v>
      </c>
      <c r="HBT29" t="s">
        <v>6984</v>
      </c>
      <c r="HBU29" t="s">
        <v>6984</v>
      </c>
      <c r="HBV29" t="s">
        <v>6984</v>
      </c>
      <c r="HBW29" t="s">
        <v>6984</v>
      </c>
      <c r="HBX29" t="s">
        <v>6984</v>
      </c>
      <c r="HBY29" t="s">
        <v>6984</v>
      </c>
      <c r="HBZ29" t="s">
        <v>6984</v>
      </c>
      <c r="HCA29" t="s">
        <v>6984</v>
      </c>
      <c r="HCB29" t="s">
        <v>6984</v>
      </c>
      <c r="HCC29" t="s">
        <v>6984</v>
      </c>
      <c r="HCD29" t="s">
        <v>6984</v>
      </c>
      <c r="HCE29" t="s">
        <v>6984</v>
      </c>
      <c r="HCF29" t="s">
        <v>6984</v>
      </c>
      <c r="HCG29" t="s">
        <v>6984</v>
      </c>
      <c r="HCH29" t="s">
        <v>6984</v>
      </c>
      <c r="HCI29" t="s">
        <v>6984</v>
      </c>
      <c r="HCJ29" t="s">
        <v>6984</v>
      </c>
      <c r="HCK29" t="s">
        <v>6984</v>
      </c>
      <c r="HCL29" t="s">
        <v>6984</v>
      </c>
      <c r="HCM29" t="s">
        <v>6984</v>
      </c>
      <c r="HCN29" t="s">
        <v>6984</v>
      </c>
      <c r="HCO29" t="s">
        <v>6984</v>
      </c>
      <c r="HCP29" t="s">
        <v>6984</v>
      </c>
      <c r="HCQ29" t="s">
        <v>6984</v>
      </c>
      <c r="HCR29" t="s">
        <v>6984</v>
      </c>
      <c r="HCS29" t="s">
        <v>6984</v>
      </c>
      <c r="HCT29" t="s">
        <v>6984</v>
      </c>
      <c r="HCU29" t="s">
        <v>6984</v>
      </c>
      <c r="HCV29" t="s">
        <v>6984</v>
      </c>
      <c r="HCW29" t="s">
        <v>6984</v>
      </c>
      <c r="HCX29" t="s">
        <v>6984</v>
      </c>
      <c r="HCY29" t="s">
        <v>6984</v>
      </c>
      <c r="HCZ29" t="s">
        <v>6984</v>
      </c>
      <c r="HDA29" t="s">
        <v>6984</v>
      </c>
      <c r="HDB29" t="s">
        <v>6984</v>
      </c>
      <c r="HDC29" t="s">
        <v>6984</v>
      </c>
      <c r="HDD29" t="s">
        <v>6984</v>
      </c>
      <c r="HDE29" t="s">
        <v>6984</v>
      </c>
      <c r="HDF29" t="s">
        <v>6984</v>
      </c>
      <c r="HDG29" t="s">
        <v>6984</v>
      </c>
      <c r="HDH29" t="s">
        <v>6984</v>
      </c>
      <c r="HDI29" t="s">
        <v>6984</v>
      </c>
      <c r="HDJ29" t="s">
        <v>6984</v>
      </c>
      <c r="HDK29" t="s">
        <v>6984</v>
      </c>
      <c r="HDL29" t="s">
        <v>6984</v>
      </c>
      <c r="HDM29" t="s">
        <v>6984</v>
      </c>
      <c r="HDN29" t="s">
        <v>6984</v>
      </c>
      <c r="HDO29" t="s">
        <v>6984</v>
      </c>
      <c r="HDP29" t="s">
        <v>6984</v>
      </c>
      <c r="HDQ29" t="s">
        <v>6984</v>
      </c>
      <c r="HDR29" t="s">
        <v>6984</v>
      </c>
      <c r="HDS29" t="s">
        <v>6984</v>
      </c>
      <c r="HDT29" t="s">
        <v>6984</v>
      </c>
      <c r="HDU29" t="s">
        <v>6984</v>
      </c>
      <c r="HDV29" t="s">
        <v>6984</v>
      </c>
      <c r="HDW29" t="s">
        <v>6984</v>
      </c>
      <c r="HDX29" t="s">
        <v>6984</v>
      </c>
      <c r="HDY29" t="s">
        <v>6984</v>
      </c>
      <c r="HDZ29" t="s">
        <v>6984</v>
      </c>
      <c r="HEA29" t="s">
        <v>6984</v>
      </c>
      <c r="HEB29" t="s">
        <v>6984</v>
      </c>
      <c r="HEC29" t="s">
        <v>6984</v>
      </c>
      <c r="HED29" t="s">
        <v>6984</v>
      </c>
      <c r="HEE29" t="s">
        <v>6984</v>
      </c>
      <c r="HEF29" t="s">
        <v>6984</v>
      </c>
      <c r="HEG29" t="s">
        <v>6984</v>
      </c>
      <c r="HEH29" t="s">
        <v>6984</v>
      </c>
      <c r="HEI29" t="s">
        <v>6984</v>
      </c>
      <c r="HEJ29" t="s">
        <v>6984</v>
      </c>
      <c r="HEK29" t="s">
        <v>6984</v>
      </c>
      <c r="HEL29" t="s">
        <v>6984</v>
      </c>
      <c r="HEM29" t="s">
        <v>6984</v>
      </c>
      <c r="HEN29" t="s">
        <v>6984</v>
      </c>
      <c r="HEO29" t="s">
        <v>6984</v>
      </c>
      <c r="HEP29" t="s">
        <v>6984</v>
      </c>
      <c r="HEQ29" t="s">
        <v>6984</v>
      </c>
      <c r="HER29" t="s">
        <v>6984</v>
      </c>
      <c r="HES29" t="s">
        <v>6984</v>
      </c>
      <c r="HET29" t="s">
        <v>6984</v>
      </c>
      <c r="HEU29" t="s">
        <v>6984</v>
      </c>
      <c r="HEV29" t="s">
        <v>6984</v>
      </c>
      <c r="HEW29" t="s">
        <v>6984</v>
      </c>
      <c r="HEX29" t="s">
        <v>6984</v>
      </c>
      <c r="HEY29" t="s">
        <v>6984</v>
      </c>
      <c r="HEZ29" t="s">
        <v>6984</v>
      </c>
      <c r="HFA29" t="s">
        <v>6984</v>
      </c>
      <c r="HFB29" t="s">
        <v>6984</v>
      </c>
      <c r="HFC29" t="s">
        <v>6984</v>
      </c>
      <c r="HFD29" t="s">
        <v>6984</v>
      </c>
      <c r="HFE29" t="s">
        <v>6984</v>
      </c>
      <c r="HFF29" t="s">
        <v>6984</v>
      </c>
      <c r="HFG29" t="s">
        <v>6984</v>
      </c>
      <c r="HFH29" t="s">
        <v>6984</v>
      </c>
      <c r="HFI29" t="s">
        <v>6984</v>
      </c>
      <c r="HFJ29" t="s">
        <v>6984</v>
      </c>
      <c r="HFK29" t="s">
        <v>6984</v>
      </c>
      <c r="HFL29" t="s">
        <v>6984</v>
      </c>
      <c r="HFM29" t="s">
        <v>6984</v>
      </c>
      <c r="HFN29" t="s">
        <v>6984</v>
      </c>
      <c r="HFO29" t="s">
        <v>6984</v>
      </c>
      <c r="HFP29" t="s">
        <v>6984</v>
      </c>
      <c r="HFQ29" t="s">
        <v>6984</v>
      </c>
      <c r="HFR29" t="s">
        <v>6984</v>
      </c>
      <c r="HFS29" t="s">
        <v>6984</v>
      </c>
      <c r="HFT29" t="s">
        <v>6984</v>
      </c>
      <c r="HFU29" t="s">
        <v>6984</v>
      </c>
      <c r="HFV29" t="s">
        <v>6984</v>
      </c>
      <c r="HFW29" t="s">
        <v>6984</v>
      </c>
      <c r="HFX29" t="s">
        <v>6984</v>
      </c>
      <c r="HFY29" t="s">
        <v>6984</v>
      </c>
      <c r="HFZ29" t="s">
        <v>6984</v>
      </c>
      <c r="HGA29" t="s">
        <v>6984</v>
      </c>
      <c r="HGB29" t="s">
        <v>6984</v>
      </c>
      <c r="HGC29" t="s">
        <v>6984</v>
      </c>
      <c r="HGD29" t="s">
        <v>6984</v>
      </c>
      <c r="HGE29" t="s">
        <v>6984</v>
      </c>
      <c r="HGF29" t="s">
        <v>6984</v>
      </c>
      <c r="HGG29" t="s">
        <v>6984</v>
      </c>
      <c r="HGH29" t="s">
        <v>6984</v>
      </c>
      <c r="HGI29" t="s">
        <v>6984</v>
      </c>
      <c r="HGJ29" t="s">
        <v>6984</v>
      </c>
      <c r="HGK29" t="s">
        <v>6984</v>
      </c>
      <c r="HGL29" t="s">
        <v>6984</v>
      </c>
      <c r="HGM29" t="s">
        <v>6984</v>
      </c>
      <c r="HGN29" t="s">
        <v>6984</v>
      </c>
      <c r="HGO29" t="s">
        <v>6984</v>
      </c>
      <c r="HGP29" t="s">
        <v>6984</v>
      </c>
      <c r="HGQ29" t="s">
        <v>6984</v>
      </c>
      <c r="HGR29" t="s">
        <v>6984</v>
      </c>
      <c r="HGS29" t="s">
        <v>6984</v>
      </c>
      <c r="HGT29" t="s">
        <v>6984</v>
      </c>
      <c r="HGU29" t="s">
        <v>6984</v>
      </c>
      <c r="HGV29" t="s">
        <v>6984</v>
      </c>
      <c r="HGW29" t="s">
        <v>6984</v>
      </c>
      <c r="HGX29" t="s">
        <v>6984</v>
      </c>
      <c r="HGY29" t="s">
        <v>6984</v>
      </c>
      <c r="HGZ29" t="s">
        <v>6984</v>
      </c>
      <c r="HHA29" t="s">
        <v>6984</v>
      </c>
      <c r="HHB29" t="s">
        <v>6984</v>
      </c>
      <c r="HHC29" t="s">
        <v>6984</v>
      </c>
      <c r="HHD29" t="s">
        <v>6984</v>
      </c>
      <c r="HHE29" t="s">
        <v>6984</v>
      </c>
      <c r="HHF29" t="s">
        <v>6984</v>
      </c>
      <c r="HHG29" t="s">
        <v>6984</v>
      </c>
      <c r="HHH29" t="s">
        <v>6984</v>
      </c>
      <c r="HHI29" t="s">
        <v>6984</v>
      </c>
      <c r="HHJ29" t="s">
        <v>6984</v>
      </c>
      <c r="HHK29" t="s">
        <v>6984</v>
      </c>
      <c r="HHL29" t="s">
        <v>6984</v>
      </c>
      <c r="HHM29" t="s">
        <v>6984</v>
      </c>
      <c r="HHN29" t="s">
        <v>6984</v>
      </c>
      <c r="HHO29" t="s">
        <v>6984</v>
      </c>
      <c r="HHP29" t="s">
        <v>6984</v>
      </c>
      <c r="HHQ29" t="s">
        <v>6984</v>
      </c>
      <c r="HHR29" t="s">
        <v>6984</v>
      </c>
      <c r="HHS29" t="s">
        <v>6984</v>
      </c>
      <c r="HHT29" t="s">
        <v>6984</v>
      </c>
      <c r="HHU29" t="s">
        <v>6984</v>
      </c>
      <c r="HHV29" t="s">
        <v>6984</v>
      </c>
      <c r="HHW29" t="s">
        <v>6984</v>
      </c>
      <c r="HHX29" t="s">
        <v>6984</v>
      </c>
      <c r="HHY29" t="s">
        <v>6984</v>
      </c>
      <c r="HHZ29" t="s">
        <v>6984</v>
      </c>
      <c r="HIA29" t="s">
        <v>6984</v>
      </c>
      <c r="HIB29" t="s">
        <v>6984</v>
      </c>
      <c r="HIC29" t="s">
        <v>6984</v>
      </c>
      <c r="HID29" t="s">
        <v>6984</v>
      </c>
      <c r="HIE29" t="s">
        <v>6984</v>
      </c>
      <c r="HIF29" t="s">
        <v>6984</v>
      </c>
      <c r="HIG29" t="s">
        <v>6984</v>
      </c>
      <c r="HIH29" t="s">
        <v>6984</v>
      </c>
      <c r="HII29" t="s">
        <v>6984</v>
      </c>
      <c r="HIJ29" t="s">
        <v>6984</v>
      </c>
      <c r="HIK29" t="s">
        <v>6984</v>
      </c>
      <c r="HIL29" t="s">
        <v>6984</v>
      </c>
      <c r="HIM29" t="s">
        <v>6984</v>
      </c>
      <c r="HIN29" t="s">
        <v>6984</v>
      </c>
      <c r="HIO29" t="s">
        <v>6984</v>
      </c>
      <c r="HIP29" t="s">
        <v>6984</v>
      </c>
      <c r="HIQ29" t="s">
        <v>6984</v>
      </c>
      <c r="HIR29" t="s">
        <v>6984</v>
      </c>
      <c r="HIS29" t="s">
        <v>6984</v>
      </c>
      <c r="HIT29" t="s">
        <v>6984</v>
      </c>
      <c r="HIU29" t="s">
        <v>6984</v>
      </c>
      <c r="HIV29" t="s">
        <v>6984</v>
      </c>
      <c r="HIW29" t="s">
        <v>6984</v>
      </c>
      <c r="HIX29" t="s">
        <v>6984</v>
      </c>
      <c r="HIY29" t="s">
        <v>6984</v>
      </c>
      <c r="HIZ29" t="s">
        <v>6984</v>
      </c>
      <c r="HJA29" t="s">
        <v>6984</v>
      </c>
      <c r="HJB29" t="s">
        <v>6984</v>
      </c>
      <c r="HJC29" t="s">
        <v>6984</v>
      </c>
      <c r="HJD29" t="s">
        <v>6984</v>
      </c>
      <c r="HJE29" t="s">
        <v>6984</v>
      </c>
      <c r="HJF29" t="s">
        <v>6984</v>
      </c>
      <c r="HJG29" t="s">
        <v>6984</v>
      </c>
      <c r="HJH29" t="s">
        <v>6984</v>
      </c>
      <c r="HJI29" t="s">
        <v>6984</v>
      </c>
      <c r="HJJ29" t="s">
        <v>6984</v>
      </c>
      <c r="HJK29" t="s">
        <v>6984</v>
      </c>
      <c r="HJL29" t="s">
        <v>6984</v>
      </c>
      <c r="HJM29" t="s">
        <v>6984</v>
      </c>
      <c r="HJN29" t="s">
        <v>6984</v>
      </c>
      <c r="HJO29" t="s">
        <v>6984</v>
      </c>
      <c r="HJP29" t="s">
        <v>6984</v>
      </c>
      <c r="HJQ29" t="s">
        <v>6984</v>
      </c>
      <c r="HJR29" t="s">
        <v>6984</v>
      </c>
      <c r="HJS29" t="s">
        <v>6984</v>
      </c>
      <c r="HJT29" t="s">
        <v>6984</v>
      </c>
      <c r="HJU29" t="s">
        <v>6984</v>
      </c>
      <c r="HJV29" t="s">
        <v>6984</v>
      </c>
      <c r="HJW29" t="s">
        <v>6984</v>
      </c>
      <c r="HJX29" t="s">
        <v>6984</v>
      </c>
      <c r="HJY29" t="s">
        <v>6984</v>
      </c>
      <c r="HJZ29" t="s">
        <v>6984</v>
      </c>
      <c r="HKA29" t="s">
        <v>6984</v>
      </c>
      <c r="HKB29" t="s">
        <v>6984</v>
      </c>
      <c r="HKC29" t="s">
        <v>6984</v>
      </c>
      <c r="HKD29" t="s">
        <v>6984</v>
      </c>
      <c r="HKE29" t="s">
        <v>6984</v>
      </c>
      <c r="HKF29" t="s">
        <v>6984</v>
      </c>
      <c r="HKG29" t="s">
        <v>6984</v>
      </c>
      <c r="HKH29" t="s">
        <v>6984</v>
      </c>
      <c r="HKI29" t="s">
        <v>6984</v>
      </c>
      <c r="HKJ29" t="s">
        <v>6984</v>
      </c>
      <c r="HKK29" t="s">
        <v>6984</v>
      </c>
      <c r="HKL29" t="s">
        <v>6984</v>
      </c>
      <c r="HKM29" t="s">
        <v>6984</v>
      </c>
      <c r="HKN29" t="s">
        <v>6984</v>
      </c>
      <c r="HKO29" t="s">
        <v>6984</v>
      </c>
      <c r="HKP29" t="s">
        <v>6984</v>
      </c>
      <c r="HKQ29" t="s">
        <v>6984</v>
      </c>
      <c r="HKR29" t="s">
        <v>6984</v>
      </c>
      <c r="HKS29" t="s">
        <v>6984</v>
      </c>
      <c r="HKT29" t="s">
        <v>6984</v>
      </c>
      <c r="HKU29" t="s">
        <v>6984</v>
      </c>
      <c r="HKV29" t="s">
        <v>6984</v>
      </c>
      <c r="HKW29" t="s">
        <v>6984</v>
      </c>
      <c r="HKX29" t="s">
        <v>6984</v>
      </c>
      <c r="HKY29" t="s">
        <v>6984</v>
      </c>
      <c r="HKZ29" t="s">
        <v>6984</v>
      </c>
      <c r="HLA29" t="s">
        <v>6984</v>
      </c>
      <c r="HLB29" t="s">
        <v>6984</v>
      </c>
      <c r="HLC29" t="s">
        <v>6984</v>
      </c>
      <c r="HLD29" t="s">
        <v>6984</v>
      </c>
      <c r="HLE29" t="s">
        <v>6984</v>
      </c>
      <c r="HLF29" t="s">
        <v>6984</v>
      </c>
      <c r="HLG29" t="s">
        <v>6984</v>
      </c>
      <c r="HLH29" t="s">
        <v>6984</v>
      </c>
      <c r="HLI29" t="s">
        <v>6984</v>
      </c>
      <c r="HLJ29" t="s">
        <v>6984</v>
      </c>
      <c r="HLK29" t="s">
        <v>6984</v>
      </c>
      <c r="HLL29" t="s">
        <v>6984</v>
      </c>
      <c r="HLM29" t="s">
        <v>6984</v>
      </c>
      <c r="HLN29" t="s">
        <v>6984</v>
      </c>
      <c r="HLO29" t="s">
        <v>6984</v>
      </c>
      <c r="HLP29" t="s">
        <v>6984</v>
      </c>
      <c r="HLQ29" t="s">
        <v>6984</v>
      </c>
      <c r="HLR29" t="s">
        <v>6984</v>
      </c>
      <c r="HLS29" t="s">
        <v>6984</v>
      </c>
      <c r="HLT29" t="s">
        <v>6984</v>
      </c>
      <c r="HLU29" t="s">
        <v>6984</v>
      </c>
      <c r="HLV29" t="s">
        <v>6984</v>
      </c>
      <c r="HLW29" t="s">
        <v>6984</v>
      </c>
      <c r="HLX29" t="s">
        <v>6984</v>
      </c>
      <c r="HLY29" t="s">
        <v>6984</v>
      </c>
      <c r="HLZ29" t="s">
        <v>6984</v>
      </c>
      <c r="HMA29" t="s">
        <v>6984</v>
      </c>
      <c r="HMB29" t="s">
        <v>6984</v>
      </c>
      <c r="HMC29" t="s">
        <v>6984</v>
      </c>
      <c r="HMD29" t="s">
        <v>6984</v>
      </c>
      <c r="HME29" t="s">
        <v>6984</v>
      </c>
      <c r="HMF29" t="s">
        <v>6984</v>
      </c>
      <c r="HMG29" t="s">
        <v>6984</v>
      </c>
      <c r="HMH29" t="s">
        <v>6984</v>
      </c>
      <c r="HMI29" t="s">
        <v>6984</v>
      </c>
      <c r="HMJ29" t="s">
        <v>6984</v>
      </c>
      <c r="HMK29" t="s">
        <v>6984</v>
      </c>
      <c r="HML29" t="s">
        <v>6984</v>
      </c>
      <c r="HMM29" t="s">
        <v>6984</v>
      </c>
      <c r="HMN29" t="s">
        <v>6984</v>
      </c>
      <c r="HMO29" t="s">
        <v>6984</v>
      </c>
      <c r="HMP29" t="s">
        <v>6984</v>
      </c>
      <c r="HMQ29" t="s">
        <v>6984</v>
      </c>
      <c r="HMR29" t="s">
        <v>6984</v>
      </c>
      <c r="HMS29" t="s">
        <v>6984</v>
      </c>
      <c r="HMT29" t="s">
        <v>6984</v>
      </c>
      <c r="HMU29" t="s">
        <v>6984</v>
      </c>
      <c r="HMV29" t="s">
        <v>6984</v>
      </c>
      <c r="HMW29" t="s">
        <v>6984</v>
      </c>
      <c r="HMX29" t="s">
        <v>6984</v>
      </c>
      <c r="HMY29" t="s">
        <v>6984</v>
      </c>
      <c r="HMZ29" t="s">
        <v>6984</v>
      </c>
      <c r="HNA29" t="s">
        <v>6984</v>
      </c>
      <c r="HNB29" t="s">
        <v>6984</v>
      </c>
      <c r="HNC29" t="s">
        <v>6984</v>
      </c>
      <c r="HND29" t="s">
        <v>6984</v>
      </c>
      <c r="HNE29" t="s">
        <v>6984</v>
      </c>
      <c r="HNF29" t="s">
        <v>6984</v>
      </c>
      <c r="HNG29" t="s">
        <v>6984</v>
      </c>
      <c r="HNH29" t="s">
        <v>6984</v>
      </c>
      <c r="HNI29" t="s">
        <v>6984</v>
      </c>
      <c r="HNJ29" t="s">
        <v>6984</v>
      </c>
      <c r="HNK29" t="s">
        <v>6984</v>
      </c>
      <c r="HNL29" t="s">
        <v>6984</v>
      </c>
      <c r="HNM29" t="s">
        <v>6984</v>
      </c>
      <c r="HNN29" t="s">
        <v>6984</v>
      </c>
      <c r="HNO29" t="s">
        <v>6984</v>
      </c>
      <c r="HNP29" t="s">
        <v>6984</v>
      </c>
      <c r="HNQ29" t="s">
        <v>6984</v>
      </c>
      <c r="HNR29" t="s">
        <v>6984</v>
      </c>
      <c r="HNS29" t="s">
        <v>6984</v>
      </c>
      <c r="HNT29" t="s">
        <v>6984</v>
      </c>
      <c r="HNU29" t="s">
        <v>6984</v>
      </c>
      <c r="HNV29" t="s">
        <v>6984</v>
      </c>
      <c r="HNW29" t="s">
        <v>6984</v>
      </c>
      <c r="HNX29" t="s">
        <v>6984</v>
      </c>
      <c r="HNY29" t="s">
        <v>6984</v>
      </c>
      <c r="HNZ29" t="s">
        <v>6984</v>
      </c>
      <c r="HOA29" t="s">
        <v>6984</v>
      </c>
      <c r="HOB29" t="s">
        <v>6984</v>
      </c>
      <c r="HOC29" t="s">
        <v>6984</v>
      </c>
      <c r="HOD29" t="s">
        <v>6984</v>
      </c>
      <c r="HOE29" t="s">
        <v>6984</v>
      </c>
      <c r="HOF29" t="s">
        <v>6984</v>
      </c>
      <c r="HOG29" t="s">
        <v>6984</v>
      </c>
      <c r="HOH29" t="s">
        <v>6984</v>
      </c>
      <c r="HOI29" t="s">
        <v>6984</v>
      </c>
      <c r="HOJ29" t="s">
        <v>6984</v>
      </c>
      <c r="HOK29" t="s">
        <v>6984</v>
      </c>
      <c r="HOL29" t="s">
        <v>6984</v>
      </c>
      <c r="HOM29" t="s">
        <v>6984</v>
      </c>
      <c r="HON29" t="s">
        <v>6984</v>
      </c>
      <c r="HOO29" t="s">
        <v>6984</v>
      </c>
      <c r="HOP29" t="s">
        <v>6984</v>
      </c>
      <c r="HOQ29" t="s">
        <v>6984</v>
      </c>
      <c r="HOR29" t="s">
        <v>6984</v>
      </c>
      <c r="HOS29" t="s">
        <v>6984</v>
      </c>
      <c r="HOT29" t="s">
        <v>6984</v>
      </c>
      <c r="HOU29" t="s">
        <v>6984</v>
      </c>
      <c r="HOV29" t="s">
        <v>6984</v>
      </c>
      <c r="HOW29" t="s">
        <v>6984</v>
      </c>
      <c r="HOX29" t="s">
        <v>6984</v>
      </c>
      <c r="HOY29" t="s">
        <v>6984</v>
      </c>
      <c r="HOZ29" t="s">
        <v>6984</v>
      </c>
      <c r="HPA29" t="s">
        <v>6984</v>
      </c>
      <c r="HPB29" t="s">
        <v>6984</v>
      </c>
      <c r="HPC29" t="s">
        <v>6984</v>
      </c>
      <c r="HPD29" t="s">
        <v>6984</v>
      </c>
      <c r="HPE29" t="s">
        <v>6984</v>
      </c>
      <c r="HPF29" t="s">
        <v>6984</v>
      </c>
      <c r="HPG29" t="s">
        <v>6984</v>
      </c>
      <c r="HPH29" t="s">
        <v>6984</v>
      </c>
      <c r="HPI29" t="s">
        <v>6984</v>
      </c>
      <c r="HPJ29" t="s">
        <v>6984</v>
      </c>
      <c r="HPK29" t="s">
        <v>6984</v>
      </c>
      <c r="HPL29" t="s">
        <v>6984</v>
      </c>
      <c r="HPM29" t="s">
        <v>6984</v>
      </c>
      <c r="HPN29" t="s">
        <v>6984</v>
      </c>
      <c r="HPO29" t="s">
        <v>6984</v>
      </c>
      <c r="HPP29" t="s">
        <v>6984</v>
      </c>
      <c r="HPQ29" t="s">
        <v>6984</v>
      </c>
      <c r="HPR29" t="s">
        <v>6984</v>
      </c>
      <c r="HPS29" t="s">
        <v>6984</v>
      </c>
      <c r="HPT29" t="s">
        <v>6984</v>
      </c>
      <c r="HPU29" t="s">
        <v>6984</v>
      </c>
      <c r="HPV29" t="s">
        <v>6984</v>
      </c>
      <c r="HPW29" t="s">
        <v>6984</v>
      </c>
      <c r="HPX29" t="s">
        <v>6984</v>
      </c>
      <c r="HPY29" t="s">
        <v>6984</v>
      </c>
      <c r="HPZ29" t="s">
        <v>6984</v>
      </c>
      <c r="HQA29" t="s">
        <v>6984</v>
      </c>
      <c r="HQB29" t="s">
        <v>6984</v>
      </c>
      <c r="HQC29" t="s">
        <v>6984</v>
      </c>
      <c r="HQD29" t="s">
        <v>6984</v>
      </c>
      <c r="HQE29" t="s">
        <v>6984</v>
      </c>
      <c r="HQF29" t="s">
        <v>6984</v>
      </c>
      <c r="HQG29" t="s">
        <v>6984</v>
      </c>
      <c r="HQH29" t="s">
        <v>6984</v>
      </c>
      <c r="HQI29" t="s">
        <v>6984</v>
      </c>
      <c r="HQJ29" t="s">
        <v>6984</v>
      </c>
      <c r="HQK29" t="s">
        <v>6984</v>
      </c>
      <c r="HQL29" t="s">
        <v>6984</v>
      </c>
      <c r="HQM29" t="s">
        <v>6984</v>
      </c>
      <c r="HQN29" t="s">
        <v>6984</v>
      </c>
      <c r="HQO29" t="s">
        <v>6984</v>
      </c>
      <c r="HQP29" t="s">
        <v>6984</v>
      </c>
      <c r="HQQ29" t="s">
        <v>6984</v>
      </c>
      <c r="HQR29" t="s">
        <v>6984</v>
      </c>
      <c r="HQS29" t="s">
        <v>6984</v>
      </c>
      <c r="HQT29" t="s">
        <v>6984</v>
      </c>
      <c r="HQU29" t="s">
        <v>6984</v>
      </c>
      <c r="HQV29" t="s">
        <v>6984</v>
      </c>
      <c r="HQW29" t="s">
        <v>6984</v>
      </c>
      <c r="HQX29" t="s">
        <v>6984</v>
      </c>
      <c r="HQY29" t="s">
        <v>6984</v>
      </c>
      <c r="HQZ29" t="s">
        <v>6984</v>
      </c>
      <c r="HRA29" t="s">
        <v>6984</v>
      </c>
      <c r="HRB29" t="s">
        <v>6984</v>
      </c>
      <c r="HRC29" t="s">
        <v>6984</v>
      </c>
      <c r="HRD29" t="s">
        <v>6984</v>
      </c>
      <c r="HRE29" t="s">
        <v>6984</v>
      </c>
      <c r="HRF29" t="s">
        <v>6984</v>
      </c>
      <c r="HRG29" t="s">
        <v>6984</v>
      </c>
      <c r="HRH29" t="s">
        <v>6984</v>
      </c>
      <c r="HRI29" t="s">
        <v>6984</v>
      </c>
      <c r="HRJ29" t="s">
        <v>6984</v>
      </c>
      <c r="HRK29" t="s">
        <v>6984</v>
      </c>
      <c r="HRL29" t="s">
        <v>6984</v>
      </c>
      <c r="HRM29" t="s">
        <v>6984</v>
      </c>
      <c r="HRN29" t="s">
        <v>6984</v>
      </c>
      <c r="HRO29" t="s">
        <v>6984</v>
      </c>
      <c r="HRP29" t="s">
        <v>6984</v>
      </c>
      <c r="HRQ29" t="s">
        <v>6984</v>
      </c>
      <c r="HRR29" t="s">
        <v>6984</v>
      </c>
      <c r="HRS29" t="s">
        <v>6984</v>
      </c>
      <c r="HRT29" t="s">
        <v>6984</v>
      </c>
      <c r="HRU29" t="s">
        <v>6984</v>
      </c>
      <c r="HRV29" t="s">
        <v>6984</v>
      </c>
      <c r="HRW29" t="s">
        <v>6984</v>
      </c>
      <c r="HRX29" t="s">
        <v>6984</v>
      </c>
      <c r="HRY29" t="s">
        <v>6984</v>
      </c>
      <c r="HRZ29" t="s">
        <v>6984</v>
      </c>
      <c r="HSA29" t="s">
        <v>6984</v>
      </c>
      <c r="HSB29" t="s">
        <v>6984</v>
      </c>
      <c r="HSC29" t="s">
        <v>6984</v>
      </c>
      <c r="HSD29" t="s">
        <v>6984</v>
      </c>
      <c r="HSE29" t="s">
        <v>6984</v>
      </c>
      <c r="HSF29" t="s">
        <v>6984</v>
      </c>
      <c r="HSG29" t="s">
        <v>6984</v>
      </c>
      <c r="HSH29" t="s">
        <v>6984</v>
      </c>
      <c r="HSI29" t="s">
        <v>6984</v>
      </c>
      <c r="HSJ29" t="s">
        <v>6984</v>
      </c>
      <c r="HSK29" t="s">
        <v>6984</v>
      </c>
      <c r="HSL29" t="s">
        <v>6984</v>
      </c>
      <c r="HSM29" t="s">
        <v>6984</v>
      </c>
      <c r="HSN29" t="s">
        <v>6984</v>
      </c>
      <c r="HSO29" t="s">
        <v>6984</v>
      </c>
      <c r="HSP29" t="s">
        <v>6984</v>
      </c>
      <c r="HSQ29" t="s">
        <v>6984</v>
      </c>
      <c r="HSR29" t="s">
        <v>6984</v>
      </c>
      <c r="HSS29" t="s">
        <v>6984</v>
      </c>
      <c r="HST29" t="s">
        <v>6984</v>
      </c>
      <c r="HSU29" t="s">
        <v>6984</v>
      </c>
      <c r="HSV29" t="s">
        <v>6984</v>
      </c>
      <c r="HSW29" t="s">
        <v>6984</v>
      </c>
      <c r="HSX29" t="s">
        <v>6984</v>
      </c>
      <c r="HSY29" t="s">
        <v>6984</v>
      </c>
      <c r="HSZ29" t="s">
        <v>6984</v>
      </c>
      <c r="HTA29" t="s">
        <v>6984</v>
      </c>
      <c r="HTB29" t="s">
        <v>6984</v>
      </c>
      <c r="HTC29" t="s">
        <v>6984</v>
      </c>
      <c r="HTD29" t="s">
        <v>6984</v>
      </c>
      <c r="HTE29" t="s">
        <v>6984</v>
      </c>
      <c r="HTF29" t="s">
        <v>6984</v>
      </c>
      <c r="HTG29" t="s">
        <v>6984</v>
      </c>
      <c r="HTH29" t="s">
        <v>6984</v>
      </c>
      <c r="HTI29" t="s">
        <v>6984</v>
      </c>
      <c r="HTJ29" t="s">
        <v>6984</v>
      </c>
      <c r="HTK29" t="s">
        <v>6984</v>
      </c>
      <c r="HTL29" t="s">
        <v>6984</v>
      </c>
      <c r="HTM29" t="s">
        <v>6984</v>
      </c>
      <c r="HTN29" t="s">
        <v>6984</v>
      </c>
      <c r="HTO29" t="s">
        <v>6984</v>
      </c>
      <c r="HTP29" t="s">
        <v>6984</v>
      </c>
      <c r="HTQ29" t="s">
        <v>6984</v>
      </c>
      <c r="HTR29" t="s">
        <v>6984</v>
      </c>
      <c r="HTS29" t="s">
        <v>6984</v>
      </c>
      <c r="HTT29" t="s">
        <v>6984</v>
      </c>
      <c r="HTU29" t="s">
        <v>6984</v>
      </c>
      <c r="HTV29" t="s">
        <v>6984</v>
      </c>
      <c r="HTW29" t="s">
        <v>6984</v>
      </c>
      <c r="HTX29" t="s">
        <v>6984</v>
      </c>
      <c r="HTY29" t="s">
        <v>6984</v>
      </c>
      <c r="HTZ29" t="s">
        <v>6984</v>
      </c>
      <c r="HUA29" t="s">
        <v>6984</v>
      </c>
      <c r="HUB29" t="s">
        <v>6984</v>
      </c>
      <c r="HUC29" t="s">
        <v>6984</v>
      </c>
      <c r="HUD29" t="s">
        <v>6984</v>
      </c>
      <c r="HUE29" t="s">
        <v>6984</v>
      </c>
      <c r="HUF29" t="s">
        <v>6984</v>
      </c>
      <c r="HUG29" t="s">
        <v>6984</v>
      </c>
      <c r="HUH29" t="s">
        <v>6984</v>
      </c>
      <c r="HUI29" t="s">
        <v>6984</v>
      </c>
      <c r="HUJ29" t="s">
        <v>6984</v>
      </c>
      <c r="HUK29" t="s">
        <v>6984</v>
      </c>
      <c r="HUL29" t="s">
        <v>6984</v>
      </c>
      <c r="HUM29" t="s">
        <v>6984</v>
      </c>
      <c r="HUN29" t="s">
        <v>6984</v>
      </c>
      <c r="HUO29" t="s">
        <v>6984</v>
      </c>
      <c r="HUP29" t="s">
        <v>6984</v>
      </c>
      <c r="HUQ29" t="s">
        <v>6984</v>
      </c>
      <c r="HUR29" t="s">
        <v>6984</v>
      </c>
      <c r="HUS29" t="s">
        <v>6984</v>
      </c>
      <c r="HUT29" t="s">
        <v>6984</v>
      </c>
      <c r="HUU29" t="s">
        <v>6984</v>
      </c>
      <c r="HUV29" t="s">
        <v>6984</v>
      </c>
      <c r="HUW29" t="s">
        <v>6984</v>
      </c>
      <c r="HUX29" t="s">
        <v>6984</v>
      </c>
      <c r="HUY29" t="s">
        <v>6984</v>
      </c>
      <c r="HUZ29" t="s">
        <v>6984</v>
      </c>
      <c r="HVA29" t="s">
        <v>6984</v>
      </c>
      <c r="HVB29" t="s">
        <v>6984</v>
      </c>
      <c r="HVC29" t="s">
        <v>6984</v>
      </c>
      <c r="HVD29" t="s">
        <v>6984</v>
      </c>
      <c r="HVE29" t="s">
        <v>6984</v>
      </c>
      <c r="HVF29" t="s">
        <v>6984</v>
      </c>
      <c r="HVG29" t="s">
        <v>6984</v>
      </c>
      <c r="HVH29" t="s">
        <v>6984</v>
      </c>
      <c r="HVI29" t="s">
        <v>6984</v>
      </c>
      <c r="HVJ29" t="s">
        <v>6984</v>
      </c>
      <c r="HVK29" t="s">
        <v>6984</v>
      </c>
      <c r="HVL29" t="s">
        <v>6984</v>
      </c>
      <c r="HVM29" t="s">
        <v>6984</v>
      </c>
      <c r="HVN29" t="s">
        <v>6984</v>
      </c>
      <c r="HVO29" t="s">
        <v>6984</v>
      </c>
      <c r="HVP29" t="s">
        <v>6984</v>
      </c>
      <c r="HVQ29" t="s">
        <v>6984</v>
      </c>
      <c r="HVR29" t="s">
        <v>6984</v>
      </c>
      <c r="HVS29" t="s">
        <v>6984</v>
      </c>
      <c r="HVT29" t="s">
        <v>6984</v>
      </c>
      <c r="HVU29" t="s">
        <v>6984</v>
      </c>
      <c r="HVV29" t="s">
        <v>6984</v>
      </c>
      <c r="HVW29" t="s">
        <v>6984</v>
      </c>
      <c r="HVX29" t="s">
        <v>6984</v>
      </c>
      <c r="HVY29" t="s">
        <v>6984</v>
      </c>
      <c r="HVZ29" t="s">
        <v>6984</v>
      </c>
      <c r="HWA29" t="s">
        <v>6984</v>
      </c>
      <c r="HWB29" t="s">
        <v>6984</v>
      </c>
      <c r="HWC29" t="s">
        <v>6984</v>
      </c>
      <c r="HWD29" t="s">
        <v>6984</v>
      </c>
      <c r="HWE29" t="s">
        <v>6984</v>
      </c>
      <c r="HWF29" t="s">
        <v>6984</v>
      </c>
      <c r="HWG29" t="s">
        <v>6984</v>
      </c>
      <c r="HWH29" t="s">
        <v>6984</v>
      </c>
      <c r="HWI29" t="s">
        <v>6984</v>
      </c>
      <c r="HWJ29" t="s">
        <v>6984</v>
      </c>
      <c r="HWK29" t="s">
        <v>6984</v>
      </c>
      <c r="HWL29" t="s">
        <v>6984</v>
      </c>
      <c r="HWM29" t="s">
        <v>6984</v>
      </c>
      <c r="HWN29" t="s">
        <v>6984</v>
      </c>
      <c r="HWO29" t="s">
        <v>6984</v>
      </c>
      <c r="HWP29" t="s">
        <v>6984</v>
      </c>
      <c r="HWQ29" t="s">
        <v>6984</v>
      </c>
      <c r="HWR29" t="s">
        <v>6984</v>
      </c>
      <c r="HWS29" t="s">
        <v>6984</v>
      </c>
      <c r="HWT29" t="s">
        <v>6984</v>
      </c>
      <c r="HWU29" t="s">
        <v>6984</v>
      </c>
      <c r="HWV29" t="s">
        <v>6984</v>
      </c>
      <c r="HWW29" t="s">
        <v>6984</v>
      </c>
      <c r="HWX29" t="s">
        <v>6984</v>
      </c>
      <c r="HWY29" t="s">
        <v>6984</v>
      </c>
      <c r="HWZ29" t="s">
        <v>6984</v>
      </c>
      <c r="HXA29" t="s">
        <v>6984</v>
      </c>
      <c r="HXB29" t="s">
        <v>6984</v>
      </c>
      <c r="HXC29" t="s">
        <v>6984</v>
      </c>
      <c r="HXD29" t="s">
        <v>6984</v>
      </c>
      <c r="HXE29" t="s">
        <v>6984</v>
      </c>
      <c r="HXF29" t="s">
        <v>6984</v>
      </c>
      <c r="HXG29" t="s">
        <v>6984</v>
      </c>
      <c r="HXH29" t="s">
        <v>6984</v>
      </c>
      <c r="HXI29" t="s">
        <v>6984</v>
      </c>
      <c r="HXJ29" t="s">
        <v>6984</v>
      </c>
      <c r="HXK29" t="s">
        <v>6984</v>
      </c>
      <c r="HXL29" t="s">
        <v>6984</v>
      </c>
      <c r="HXM29" t="s">
        <v>6984</v>
      </c>
      <c r="HXN29" t="s">
        <v>6984</v>
      </c>
      <c r="HXO29" t="s">
        <v>6984</v>
      </c>
      <c r="HXP29" t="s">
        <v>6984</v>
      </c>
      <c r="HXQ29" t="s">
        <v>6984</v>
      </c>
      <c r="HXR29" t="s">
        <v>6984</v>
      </c>
      <c r="HXS29" t="s">
        <v>6984</v>
      </c>
      <c r="HXT29" t="s">
        <v>6984</v>
      </c>
      <c r="HXU29" t="s">
        <v>6984</v>
      </c>
      <c r="HXV29" t="s">
        <v>6984</v>
      </c>
      <c r="HXW29" t="s">
        <v>6984</v>
      </c>
      <c r="HXX29" t="s">
        <v>6984</v>
      </c>
      <c r="HXY29" t="s">
        <v>6984</v>
      </c>
      <c r="HXZ29" t="s">
        <v>6984</v>
      </c>
      <c r="HYA29" t="s">
        <v>6984</v>
      </c>
      <c r="HYB29" t="s">
        <v>6984</v>
      </c>
      <c r="HYC29" t="s">
        <v>6984</v>
      </c>
      <c r="HYD29" t="s">
        <v>6984</v>
      </c>
      <c r="HYE29" t="s">
        <v>6984</v>
      </c>
      <c r="HYF29" t="s">
        <v>6984</v>
      </c>
      <c r="HYG29" t="s">
        <v>6984</v>
      </c>
      <c r="HYH29" t="s">
        <v>6984</v>
      </c>
      <c r="HYI29" t="s">
        <v>6984</v>
      </c>
      <c r="HYJ29" t="s">
        <v>6984</v>
      </c>
      <c r="HYK29" t="s">
        <v>6984</v>
      </c>
      <c r="HYL29" t="s">
        <v>6984</v>
      </c>
      <c r="HYM29" t="s">
        <v>6984</v>
      </c>
      <c r="HYN29" t="s">
        <v>6984</v>
      </c>
      <c r="HYO29" t="s">
        <v>6984</v>
      </c>
      <c r="HYP29" t="s">
        <v>6984</v>
      </c>
      <c r="HYQ29" t="s">
        <v>6984</v>
      </c>
      <c r="HYR29" t="s">
        <v>6984</v>
      </c>
      <c r="HYS29" t="s">
        <v>6984</v>
      </c>
      <c r="HYT29" t="s">
        <v>6984</v>
      </c>
      <c r="HYU29" t="s">
        <v>6984</v>
      </c>
      <c r="HYV29" t="s">
        <v>6984</v>
      </c>
      <c r="HYW29" t="s">
        <v>6984</v>
      </c>
      <c r="HYX29" t="s">
        <v>6984</v>
      </c>
      <c r="HYY29" t="s">
        <v>6984</v>
      </c>
      <c r="HYZ29" t="s">
        <v>6984</v>
      </c>
      <c r="HZA29" t="s">
        <v>6984</v>
      </c>
      <c r="HZB29" t="s">
        <v>6984</v>
      </c>
      <c r="HZC29" t="s">
        <v>6984</v>
      </c>
      <c r="HZD29" t="s">
        <v>6984</v>
      </c>
      <c r="HZE29" t="s">
        <v>6984</v>
      </c>
      <c r="HZF29" t="s">
        <v>6984</v>
      </c>
      <c r="HZG29" t="s">
        <v>6984</v>
      </c>
      <c r="HZH29" t="s">
        <v>6984</v>
      </c>
      <c r="HZI29" t="s">
        <v>6984</v>
      </c>
      <c r="HZJ29" t="s">
        <v>6984</v>
      </c>
      <c r="HZK29" t="s">
        <v>6984</v>
      </c>
      <c r="HZL29" t="s">
        <v>6984</v>
      </c>
      <c r="HZM29" t="s">
        <v>6984</v>
      </c>
      <c r="HZN29" t="s">
        <v>6984</v>
      </c>
      <c r="HZO29" t="s">
        <v>6984</v>
      </c>
      <c r="HZP29" t="s">
        <v>6984</v>
      </c>
      <c r="HZQ29" t="s">
        <v>6984</v>
      </c>
      <c r="HZR29" t="s">
        <v>6984</v>
      </c>
      <c r="HZS29" t="s">
        <v>6984</v>
      </c>
      <c r="HZT29" t="s">
        <v>6984</v>
      </c>
      <c r="HZU29" t="s">
        <v>6984</v>
      </c>
      <c r="HZV29" t="s">
        <v>6984</v>
      </c>
      <c r="HZW29" t="s">
        <v>6984</v>
      </c>
      <c r="HZX29" t="s">
        <v>6984</v>
      </c>
      <c r="HZY29" t="s">
        <v>6984</v>
      </c>
      <c r="HZZ29" t="s">
        <v>6984</v>
      </c>
      <c r="IAA29" t="s">
        <v>6984</v>
      </c>
      <c r="IAB29" t="s">
        <v>6984</v>
      </c>
      <c r="IAC29" t="s">
        <v>6984</v>
      </c>
      <c r="IAD29" t="s">
        <v>6984</v>
      </c>
      <c r="IAE29" t="s">
        <v>6984</v>
      </c>
      <c r="IAF29" t="s">
        <v>6984</v>
      </c>
      <c r="IAG29" t="s">
        <v>6984</v>
      </c>
      <c r="IAH29" t="s">
        <v>6984</v>
      </c>
      <c r="IAI29" t="s">
        <v>6984</v>
      </c>
      <c r="IAJ29" t="s">
        <v>6984</v>
      </c>
      <c r="IAK29" t="s">
        <v>6984</v>
      </c>
      <c r="IAL29" t="s">
        <v>6984</v>
      </c>
      <c r="IAM29" t="s">
        <v>6984</v>
      </c>
      <c r="IAN29" t="s">
        <v>6984</v>
      </c>
      <c r="IAO29" t="s">
        <v>6984</v>
      </c>
      <c r="IAP29" t="s">
        <v>6984</v>
      </c>
      <c r="IAQ29" t="s">
        <v>6984</v>
      </c>
      <c r="IAR29" t="s">
        <v>6984</v>
      </c>
      <c r="IAS29" t="s">
        <v>6984</v>
      </c>
      <c r="IAT29" t="s">
        <v>6984</v>
      </c>
      <c r="IAU29" t="s">
        <v>6984</v>
      </c>
      <c r="IAV29" t="s">
        <v>6984</v>
      </c>
      <c r="IAW29" t="s">
        <v>6984</v>
      </c>
      <c r="IAX29" t="s">
        <v>6984</v>
      </c>
      <c r="IAY29" t="s">
        <v>6984</v>
      </c>
      <c r="IAZ29" t="s">
        <v>6984</v>
      </c>
      <c r="IBA29" t="s">
        <v>6984</v>
      </c>
      <c r="IBB29" t="s">
        <v>6984</v>
      </c>
      <c r="IBC29" t="s">
        <v>6984</v>
      </c>
      <c r="IBD29" t="s">
        <v>6984</v>
      </c>
      <c r="IBE29" t="s">
        <v>6984</v>
      </c>
      <c r="IBF29" t="s">
        <v>6984</v>
      </c>
      <c r="IBG29" t="s">
        <v>6984</v>
      </c>
      <c r="IBH29" t="s">
        <v>6984</v>
      </c>
      <c r="IBI29" t="s">
        <v>6984</v>
      </c>
      <c r="IBJ29" t="s">
        <v>6984</v>
      </c>
      <c r="IBK29" t="s">
        <v>6984</v>
      </c>
      <c r="IBL29" t="s">
        <v>6984</v>
      </c>
      <c r="IBM29" t="s">
        <v>6984</v>
      </c>
      <c r="IBN29" t="s">
        <v>6984</v>
      </c>
      <c r="IBO29" t="s">
        <v>6984</v>
      </c>
      <c r="IBP29" t="s">
        <v>6984</v>
      </c>
      <c r="IBQ29" t="s">
        <v>6984</v>
      </c>
      <c r="IBR29" t="s">
        <v>6984</v>
      </c>
      <c r="IBS29" t="s">
        <v>6984</v>
      </c>
      <c r="IBT29" t="s">
        <v>6984</v>
      </c>
      <c r="IBU29" t="s">
        <v>6984</v>
      </c>
      <c r="IBV29" t="s">
        <v>6984</v>
      </c>
      <c r="IBW29" t="s">
        <v>6984</v>
      </c>
      <c r="IBX29" t="s">
        <v>6984</v>
      </c>
      <c r="IBY29" t="s">
        <v>6984</v>
      </c>
      <c r="IBZ29" t="s">
        <v>6984</v>
      </c>
      <c r="ICA29" t="s">
        <v>6984</v>
      </c>
      <c r="ICB29" t="s">
        <v>6984</v>
      </c>
      <c r="ICC29" t="s">
        <v>6984</v>
      </c>
      <c r="ICD29" t="s">
        <v>6984</v>
      </c>
      <c r="ICE29" t="s">
        <v>6984</v>
      </c>
      <c r="ICF29" t="s">
        <v>6984</v>
      </c>
      <c r="ICG29" t="s">
        <v>6984</v>
      </c>
      <c r="ICH29" t="s">
        <v>6984</v>
      </c>
      <c r="ICI29" t="s">
        <v>6984</v>
      </c>
      <c r="ICJ29" t="s">
        <v>6984</v>
      </c>
      <c r="ICK29" t="s">
        <v>6984</v>
      </c>
      <c r="ICL29" t="s">
        <v>6984</v>
      </c>
      <c r="ICM29" t="s">
        <v>6984</v>
      </c>
      <c r="ICN29" t="s">
        <v>6984</v>
      </c>
      <c r="ICO29" t="s">
        <v>6984</v>
      </c>
      <c r="ICP29" t="s">
        <v>6984</v>
      </c>
      <c r="ICQ29" t="s">
        <v>6984</v>
      </c>
      <c r="ICR29" t="s">
        <v>6984</v>
      </c>
      <c r="ICS29" t="s">
        <v>6984</v>
      </c>
      <c r="ICT29" t="s">
        <v>6984</v>
      </c>
      <c r="ICU29" t="s">
        <v>6984</v>
      </c>
      <c r="ICV29" t="s">
        <v>6984</v>
      </c>
      <c r="ICW29" t="s">
        <v>6984</v>
      </c>
      <c r="ICX29" t="s">
        <v>6984</v>
      </c>
      <c r="ICY29" t="s">
        <v>6984</v>
      </c>
      <c r="ICZ29" t="s">
        <v>6984</v>
      </c>
      <c r="IDA29" t="s">
        <v>6984</v>
      </c>
      <c r="IDB29" t="s">
        <v>6984</v>
      </c>
      <c r="IDC29" t="s">
        <v>6984</v>
      </c>
      <c r="IDD29" t="s">
        <v>6984</v>
      </c>
      <c r="IDE29" t="s">
        <v>6984</v>
      </c>
      <c r="IDF29" t="s">
        <v>6984</v>
      </c>
      <c r="IDG29" t="s">
        <v>6984</v>
      </c>
      <c r="IDH29" t="s">
        <v>6984</v>
      </c>
      <c r="IDI29" t="s">
        <v>6984</v>
      </c>
      <c r="IDJ29" t="s">
        <v>6984</v>
      </c>
      <c r="IDK29" t="s">
        <v>6984</v>
      </c>
      <c r="IDL29" t="s">
        <v>6984</v>
      </c>
      <c r="IDM29" t="s">
        <v>6984</v>
      </c>
      <c r="IDN29" t="s">
        <v>6984</v>
      </c>
      <c r="IDO29" t="s">
        <v>6984</v>
      </c>
      <c r="IDP29" t="s">
        <v>6984</v>
      </c>
      <c r="IDQ29" t="s">
        <v>6984</v>
      </c>
      <c r="IDR29" t="s">
        <v>6984</v>
      </c>
      <c r="IDS29" t="s">
        <v>6984</v>
      </c>
      <c r="IDT29" t="s">
        <v>6984</v>
      </c>
      <c r="IDU29" t="s">
        <v>6984</v>
      </c>
      <c r="IDV29" t="s">
        <v>6984</v>
      </c>
      <c r="IDW29" t="s">
        <v>6984</v>
      </c>
      <c r="IDX29" t="s">
        <v>6984</v>
      </c>
      <c r="IDY29" t="s">
        <v>6984</v>
      </c>
      <c r="IDZ29" t="s">
        <v>6984</v>
      </c>
      <c r="IEA29" t="s">
        <v>6984</v>
      </c>
      <c r="IEB29" t="s">
        <v>6984</v>
      </c>
      <c r="IEC29" t="s">
        <v>6984</v>
      </c>
      <c r="IED29" t="s">
        <v>6984</v>
      </c>
      <c r="IEE29" t="s">
        <v>6984</v>
      </c>
      <c r="IEF29" t="s">
        <v>6984</v>
      </c>
      <c r="IEG29" t="s">
        <v>6984</v>
      </c>
      <c r="IEH29" t="s">
        <v>6984</v>
      </c>
      <c r="IEI29" t="s">
        <v>6984</v>
      </c>
      <c r="IEJ29" t="s">
        <v>6984</v>
      </c>
      <c r="IEK29" t="s">
        <v>6984</v>
      </c>
      <c r="IEL29" t="s">
        <v>6984</v>
      </c>
      <c r="IEM29" t="s">
        <v>6984</v>
      </c>
      <c r="IEN29" t="s">
        <v>6984</v>
      </c>
      <c r="IEO29" t="s">
        <v>6984</v>
      </c>
      <c r="IEP29" t="s">
        <v>6984</v>
      </c>
      <c r="IEQ29" t="s">
        <v>6984</v>
      </c>
      <c r="IER29" t="s">
        <v>6984</v>
      </c>
      <c r="IES29" t="s">
        <v>6984</v>
      </c>
      <c r="IET29" t="s">
        <v>6984</v>
      </c>
      <c r="IEU29" t="s">
        <v>6984</v>
      </c>
      <c r="IEV29" t="s">
        <v>6984</v>
      </c>
      <c r="IEW29" t="s">
        <v>6984</v>
      </c>
      <c r="IEX29" t="s">
        <v>6984</v>
      </c>
      <c r="IEY29" t="s">
        <v>6984</v>
      </c>
      <c r="IEZ29" t="s">
        <v>6984</v>
      </c>
      <c r="IFA29" t="s">
        <v>6984</v>
      </c>
      <c r="IFB29" t="s">
        <v>6984</v>
      </c>
      <c r="IFC29" t="s">
        <v>6984</v>
      </c>
      <c r="IFD29" t="s">
        <v>6984</v>
      </c>
      <c r="IFE29" t="s">
        <v>6984</v>
      </c>
      <c r="IFF29" t="s">
        <v>6984</v>
      </c>
      <c r="IFG29" t="s">
        <v>6984</v>
      </c>
      <c r="IFH29" t="s">
        <v>6984</v>
      </c>
      <c r="IFI29" t="s">
        <v>6984</v>
      </c>
      <c r="IFJ29" t="s">
        <v>6984</v>
      </c>
      <c r="IFK29" t="s">
        <v>6984</v>
      </c>
      <c r="IFL29" t="s">
        <v>6984</v>
      </c>
      <c r="IFM29" t="s">
        <v>6984</v>
      </c>
      <c r="IFN29" t="s">
        <v>6984</v>
      </c>
      <c r="IFO29" t="s">
        <v>6984</v>
      </c>
      <c r="IFP29" t="s">
        <v>6984</v>
      </c>
      <c r="IFQ29" t="s">
        <v>6984</v>
      </c>
      <c r="IFR29" t="s">
        <v>6984</v>
      </c>
      <c r="IFS29" t="s">
        <v>6984</v>
      </c>
      <c r="IFT29" t="s">
        <v>6984</v>
      </c>
      <c r="IFU29" t="s">
        <v>6984</v>
      </c>
      <c r="IFV29" t="s">
        <v>6984</v>
      </c>
      <c r="IFW29" t="s">
        <v>6984</v>
      </c>
      <c r="IFX29" t="s">
        <v>6984</v>
      </c>
      <c r="IFY29" t="s">
        <v>6984</v>
      </c>
      <c r="IFZ29" t="s">
        <v>6984</v>
      </c>
      <c r="IGA29" t="s">
        <v>6984</v>
      </c>
      <c r="IGB29" t="s">
        <v>6984</v>
      </c>
      <c r="IGC29" t="s">
        <v>6984</v>
      </c>
      <c r="IGD29" t="s">
        <v>6984</v>
      </c>
      <c r="IGE29" t="s">
        <v>6984</v>
      </c>
      <c r="IGF29" t="s">
        <v>6984</v>
      </c>
      <c r="IGG29" t="s">
        <v>6984</v>
      </c>
      <c r="IGH29" t="s">
        <v>6984</v>
      </c>
      <c r="IGI29" t="s">
        <v>6984</v>
      </c>
      <c r="IGJ29" t="s">
        <v>6984</v>
      </c>
      <c r="IGK29" t="s">
        <v>6984</v>
      </c>
      <c r="IGL29" t="s">
        <v>6984</v>
      </c>
      <c r="IGM29" t="s">
        <v>6984</v>
      </c>
      <c r="IGN29" t="s">
        <v>6984</v>
      </c>
      <c r="IGO29" t="s">
        <v>6984</v>
      </c>
      <c r="IGP29" t="s">
        <v>6984</v>
      </c>
      <c r="IGQ29" t="s">
        <v>6984</v>
      </c>
      <c r="IGR29" t="s">
        <v>6984</v>
      </c>
      <c r="IGS29" t="s">
        <v>6984</v>
      </c>
      <c r="IGT29" t="s">
        <v>6984</v>
      </c>
      <c r="IGU29" t="s">
        <v>6984</v>
      </c>
      <c r="IGV29" t="s">
        <v>6984</v>
      </c>
      <c r="IGW29" t="s">
        <v>6984</v>
      </c>
      <c r="IGX29" t="s">
        <v>6984</v>
      </c>
      <c r="IGY29" t="s">
        <v>6984</v>
      </c>
      <c r="IGZ29" t="s">
        <v>6984</v>
      </c>
      <c r="IHA29" t="s">
        <v>6984</v>
      </c>
      <c r="IHB29" t="s">
        <v>6984</v>
      </c>
      <c r="IHC29" t="s">
        <v>6984</v>
      </c>
      <c r="IHD29" t="s">
        <v>6984</v>
      </c>
      <c r="IHE29" t="s">
        <v>6984</v>
      </c>
      <c r="IHF29" t="s">
        <v>6984</v>
      </c>
      <c r="IHG29" t="s">
        <v>6984</v>
      </c>
      <c r="IHH29" t="s">
        <v>6984</v>
      </c>
      <c r="IHI29" t="s">
        <v>6984</v>
      </c>
      <c r="IHJ29" t="s">
        <v>6984</v>
      </c>
      <c r="IHK29" t="s">
        <v>6984</v>
      </c>
      <c r="IHL29" t="s">
        <v>6984</v>
      </c>
      <c r="IHM29" t="s">
        <v>6984</v>
      </c>
      <c r="IHN29" t="s">
        <v>6984</v>
      </c>
      <c r="IHO29" t="s">
        <v>6984</v>
      </c>
      <c r="IHP29" t="s">
        <v>6984</v>
      </c>
      <c r="IHQ29" t="s">
        <v>6984</v>
      </c>
      <c r="IHR29" t="s">
        <v>6984</v>
      </c>
      <c r="IHS29" t="s">
        <v>6984</v>
      </c>
      <c r="IHT29" t="s">
        <v>6984</v>
      </c>
      <c r="IHU29" t="s">
        <v>6984</v>
      </c>
      <c r="IHV29" t="s">
        <v>6984</v>
      </c>
      <c r="IHW29" t="s">
        <v>6984</v>
      </c>
      <c r="IHX29" t="s">
        <v>6984</v>
      </c>
      <c r="IHY29" t="s">
        <v>6984</v>
      </c>
      <c r="IHZ29" t="s">
        <v>6984</v>
      </c>
      <c r="IIA29" t="s">
        <v>6984</v>
      </c>
      <c r="IIB29" t="s">
        <v>6984</v>
      </c>
      <c r="IIC29" t="s">
        <v>6984</v>
      </c>
      <c r="IID29" t="s">
        <v>6984</v>
      </c>
      <c r="IIE29" t="s">
        <v>6984</v>
      </c>
      <c r="IIF29" t="s">
        <v>6984</v>
      </c>
      <c r="IIG29" t="s">
        <v>6984</v>
      </c>
      <c r="IIH29" t="s">
        <v>6984</v>
      </c>
      <c r="III29" t="s">
        <v>6984</v>
      </c>
      <c r="IIJ29" t="s">
        <v>6984</v>
      </c>
      <c r="IIK29" t="s">
        <v>6984</v>
      </c>
      <c r="IIL29" t="s">
        <v>6984</v>
      </c>
      <c r="IIM29" t="s">
        <v>6984</v>
      </c>
      <c r="IIN29" t="s">
        <v>6984</v>
      </c>
      <c r="IIO29" t="s">
        <v>6984</v>
      </c>
      <c r="IIP29" t="s">
        <v>6984</v>
      </c>
      <c r="IIQ29" t="s">
        <v>6984</v>
      </c>
      <c r="IIR29" t="s">
        <v>6984</v>
      </c>
      <c r="IIS29" t="s">
        <v>6984</v>
      </c>
      <c r="IIT29" t="s">
        <v>6984</v>
      </c>
      <c r="IIU29" t="s">
        <v>6984</v>
      </c>
      <c r="IIV29" t="s">
        <v>6984</v>
      </c>
      <c r="IIW29" t="s">
        <v>6984</v>
      </c>
      <c r="IIX29" t="s">
        <v>6984</v>
      </c>
      <c r="IIY29" t="s">
        <v>6984</v>
      </c>
      <c r="IIZ29" t="s">
        <v>6984</v>
      </c>
      <c r="IJA29" t="s">
        <v>6984</v>
      </c>
      <c r="IJB29" t="s">
        <v>6984</v>
      </c>
      <c r="IJC29" t="s">
        <v>6984</v>
      </c>
      <c r="IJD29" t="s">
        <v>6984</v>
      </c>
      <c r="IJE29" t="s">
        <v>6984</v>
      </c>
      <c r="IJF29" t="s">
        <v>6984</v>
      </c>
      <c r="IJG29" t="s">
        <v>6984</v>
      </c>
      <c r="IJH29" t="s">
        <v>6984</v>
      </c>
      <c r="IJI29" t="s">
        <v>6984</v>
      </c>
      <c r="IJJ29" t="s">
        <v>6984</v>
      </c>
      <c r="IJK29" t="s">
        <v>6984</v>
      </c>
      <c r="IJL29" t="s">
        <v>6984</v>
      </c>
      <c r="IJM29" t="s">
        <v>6984</v>
      </c>
      <c r="IJN29" t="s">
        <v>6984</v>
      </c>
      <c r="IJO29" t="s">
        <v>6984</v>
      </c>
      <c r="IJP29" t="s">
        <v>6984</v>
      </c>
      <c r="IJQ29" t="s">
        <v>6984</v>
      </c>
      <c r="IJR29" t="s">
        <v>6984</v>
      </c>
      <c r="IJS29" t="s">
        <v>6984</v>
      </c>
      <c r="IJT29" t="s">
        <v>6984</v>
      </c>
      <c r="IJU29" t="s">
        <v>6984</v>
      </c>
      <c r="IJV29" t="s">
        <v>6984</v>
      </c>
      <c r="IJW29" t="s">
        <v>6984</v>
      </c>
      <c r="IJX29" t="s">
        <v>6984</v>
      </c>
      <c r="IJY29" t="s">
        <v>6984</v>
      </c>
      <c r="IJZ29" t="s">
        <v>6984</v>
      </c>
      <c r="IKA29" t="s">
        <v>6984</v>
      </c>
      <c r="IKB29" t="s">
        <v>6984</v>
      </c>
      <c r="IKC29" t="s">
        <v>6984</v>
      </c>
      <c r="IKD29" t="s">
        <v>6984</v>
      </c>
      <c r="IKE29" t="s">
        <v>6984</v>
      </c>
      <c r="IKF29" t="s">
        <v>6984</v>
      </c>
      <c r="IKG29" t="s">
        <v>6984</v>
      </c>
      <c r="IKH29" t="s">
        <v>6984</v>
      </c>
      <c r="IKI29" t="s">
        <v>6984</v>
      </c>
      <c r="IKJ29" t="s">
        <v>6984</v>
      </c>
      <c r="IKK29" t="s">
        <v>6984</v>
      </c>
      <c r="IKL29" t="s">
        <v>6984</v>
      </c>
      <c r="IKM29" t="s">
        <v>6984</v>
      </c>
      <c r="IKN29" t="s">
        <v>6984</v>
      </c>
      <c r="IKO29" t="s">
        <v>6984</v>
      </c>
      <c r="IKP29" t="s">
        <v>6984</v>
      </c>
      <c r="IKQ29" t="s">
        <v>6984</v>
      </c>
      <c r="IKR29" t="s">
        <v>6984</v>
      </c>
      <c r="IKS29" t="s">
        <v>6984</v>
      </c>
      <c r="IKT29" t="s">
        <v>6984</v>
      </c>
      <c r="IKU29" t="s">
        <v>6984</v>
      </c>
      <c r="IKV29" t="s">
        <v>6984</v>
      </c>
      <c r="IKW29" t="s">
        <v>6984</v>
      </c>
      <c r="IKX29" t="s">
        <v>6984</v>
      </c>
      <c r="IKY29" t="s">
        <v>6984</v>
      </c>
      <c r="IKZ29" t="s">
        <v>6984</v>
      </c>
      <c r="ILA29" t="s">
        <v>6984</v>
      </c>
      <c r="ILB29" t="s">
        <v>6984</v>
      </c>
      <c r="ILC29" t="s">
        <v>6984</v>
      </c>
      <c r="ILD29" t="s">
        <v>6984</v>
      </c>
      <c r="ILE29" t="s">
        <v>6984</v>
      </c>
      <c r="ILF29" t="s">
        <v>6984</v>
      </c>
      <c r="ILG29" t="s">
        <v>6984</v>
      </c>
      <c r="ILH29" t="s">
        <v>6984</v>
      </c>
      <c r="ILI29" t="s">
        <v>6984</v>
      </c>
      <c r="ILJ29" t="s">
        <v>6984</v>
      </c>
      <c r="ILK29" t="s">
        <v>6984</v>
      </c>
      <c r="ILL29" t="s">
        <v>6984</v>
      </c>
      <c r="ILM29" t="s">
        <v>6984</v>
      </c>
      <c r="ILN29" t="s">
        <v>6984</v>
      </c>
      <c r="ILO29" t="s">
        <v>6984</v>
      </c>
      <c r="ILP29" t="s">
        <v>6984</v>
      </c>
      <c r="ILQ29" t="s">
        <v>6984</v>
      </c>
      <c r="ILR29" t="s">
        <v>6984</v>
      </c>
      <c r="ILS29" t="s">
        <v>6984</v>
      </c>
      <c r="ILT29" t="s">
        <v>6984</v>
      </c>
      <c r="ILU29" t="s">
        <v>6984</v>
      </c>
      <c r="ILV29" t="s">
        <v>6984</v>
      </c>
      <c r="ILW29" t="s">
        <v>6984</v>
      </c>
      <c r="ILX29" t="s">
        <v>6984</v>
      </c>
      <c r="ILY29" t="s">
        <v>6984</v>
      </c>
      <c r="ILZ29" t="s">
        <v>6984</v>
      </c>
      <c r="IMA29" t="s">
        <v>6984</v>
      </c>
      <c r="IMB29" t="s">
        <v>6984</v>
      </c>
      <c r="IMC29" t="s">
        <v>6984</v>
      </c>
      <c r="IMD29" t="s">
        <v>6984</v>
      </c>
      <c r="IME29" t="s">
        <v>6984</v>
      </c>
      <c r="IMF29" t="s">
        <v>6984</v>
      </c>
      <c r="IMG29" t="s">
        <v>6984</v>
      </c>
      <c r="IMH29" t="s">
        <v>6984</v>
      </c>
      <c r="IMI29" t="s">
        <v>6984</v>
      </c>
      <c r="IMJ29" t="s">
        <v>6984</v>
      </c>
      <c r="IMK29" t="s">
        <v>6984</v>
      </c>
      <c r="IML29" t="s">
        <v>6984</v>
      </c>
      <c r="IMM29" t="s">
        <v>6984</v>
      </c>
      <c r="IMN29" t="s">
        <v>6984</v>
      </c>
      <c r="IMO29" t="s">
        <v>6984</v>
      </c>
      <c r="IMP29" t="s">
        <v>6984</v>
      </c>
      <c r="IMQ29" t="s">
        <v>6984</v>
      </c>
      <c r="IMR29" t="s">
        <v>6984</v>
      </c>
      <c r="IMS29" t="s">
        <v>6984</v>
      </c>
      <c r="IMT29" t="s">
        <v>6984</v>
      </c>
      <c r="IMU29" t="s">
        <v>6984</v>
      </c>
      <c r="IMV29" t="s">
        <v>6984</v>
      </c>
      <c r="IMW29" t="s">
        <v>6984</v>
      </c>
      <c r="IMX29" t="s">
        <v>6984</v>
      </c>
      <c r="IMY29" t="s">
        <v>6984</v>
      </c>
      <c r="IMZ29" t="s">
        <v>6984</v>
      </c>
      <c r="INA29" t="s">
        <v>6984</v>
      </c>
      <c r="INB29" t="s">
        <v>6984</v>
      </c>
      <c r="INC29" t="s">
        <v>6984</v>
      </c>
      <c r="IND29" t="s">
        <v>6984</v>
      </c>
      <c r="INE29" t="s">
        <v>6984</v>
      </c>
      <c r="INF29" t="s">
        <v>6984</v>
      </c>
      <c r="ING29" t="s">
        <v>6984</v>
      </c>
      <c r="INH29" t="s">
        <v>6984</v>
      </c>
      <c r="INI29" t="s">
        <v>6984</v>
      </c>
      <c r="INJ29" t="s">
        <v>6984</v>
      </c>
      <c r="INK29" t="s">
        <v>6984</v>
      </c>
      <c r="INL29" t="s">
        <v>6984</v>
      </c>
      <c r="INM29" t="s">
        <v>6984</v>
      </c>
      <c r="INN29" t="s">
        <v>6984</v>
      </c>
      <c r="INO29" t="s">
        <v>6984</v>
      </c>
      <c r="INP29" t="s">
        <v>6984</v>
      </c>
      <c r="INQ29" t="s">
        <v>6984</v>
      </c>
      <c r="INR29" t="s">
        <v>6984</v>
      </c>
      <c r="INS29" t="s">
        <v>6984</v>
      </c>
      <c r="INT29" t="s">
        <v>6984</v>
      </c>
      <c r="INU29" t="s">
        <v>6984</v>
      </c>
      <c r="INV29" t="s">
        <v>6984</v>
      </c>
      <c r="INW29" t="s">
        <v>6984</v>
      </c>
      <c r="INX29" t="s">
        <v>6984</v>
      </c>
      <c r="INY29" t="s">
        <v>6984</v>
      </c>
      <c r="INZ29" t="s">
        <v>6984</v>
      </c>
      <c r="IOA29" t="s">
        <v>6984</v>
      </c>
      <c r="IOB29" t="s">
        <v>6984</v>
      </c>
      <c r="IOC29" t="s">
        <v>6984</v>
      </c>
      <c r="IOD29" t="s">
        <v>6984</v>
      </c>
      <c r="IOE29" t="s">
        <v>6984</v>
      </c>
      <c r="IOF29" t="s">
        <v>6984</v>
      </c>
      <c r="IOG29" t="s">
        <v>6984</v>
      </c>
      <c r="IOH29" t="s">
        <v>6984</v>
      </c>
      <c r="IOI29" t="s">
        <v>6984</v>
      </c>
      <c r="IOJ29" t="s">
        <v>6984</v>
      </c>
      <c r="IOK29" t="s">
        <v>6984</v>
      </c>
      <c r="IOL29" t="s">
        <v>6984</v>
      </c>
      <c r="IOM29" t="s">
        <v>6984</v>
      </c>
      <c r="ION29" t="s">
        <v>6984</v>
      </c>
      <c r="IOO29" t="s">
        <v>6984</v>
      </c>
      <c r="IOP29" t="s">
        <v>6984</v>
      </c>
      <c r="IOQ29" t="s">
        <v>6984</v>
      </c>
      <c r="IOR29" t="s">
        <v>6984</v>
      </c>
      <c r="IOS29" t="s">
        <v>6984</v>
      </c>
      <c r="IOT29" t="s">
        <v>6984</v>
      </c>
      <c r="IOU29" t="s">
        <v>6984</v>
      </c>
      <c r="IOV29" t="s">
        <v>6984</v>
      </c>
      <c r="IOW29" t="s">
        <v>6984</v>
      </c>
      <c r="IOX29" t="s">
        <v>6984</v>
      </c>
      <c r="IOY29" t="s">
        <v>6984</v>
      </c>
      <c r="IOZ29" t="s">
        <v>6984</v>
      </c>
      <c r="IPA29" t="s">
        <v>6984</v>
      </c>
      <c r="IPB29" t="s">
        <v>6984</v>
      </c>
      <c r="IPC29" t="s">
        <v>6984</v>
      </c>
      <c r="IPD29" t="s">
        <v>6984</v>
      </c>
      <c r="IPE29" t="s">
        <v>6984</v>
      </c>
      <c r="IPF29" t="s">
        <v>6984</v>
      </c>
      <c r="IPG29" t="s">
        <v>6984</v>
      </c>
      <c r="IPH29" t="s">
        <v>6984</v>
      </c>
      <c r="IPI29" t="s">
        <v>6984</v>
      </c>
      <c r="IPJ29" t="s">
        <v>6984</v>
      </c>
      <c r="IPK29" t="s">
        <v>6984</v>
      </c>
      <c r="IPL29" t="s">
        <v>6984</v>
      </c>
      <c r="IPM29" t="s">
        <v>6984</v>
      </c>
      <c r="IPN29" t="s">
        <v>6984</v>
      </c>
      <c r="IPO29" t="s">
        <v>6984</v>
      </c>
      <c r="IPP29" t="s">
        <v>6984</v>
      </c>
      <c r="IPQ29" t="s">
        <v>6984</v>
      </c>
      <c r="IPR29" t="s">
        <v>6984</v>
      </c>
      <c r="IPS29" t="s">
        <v>6984</v>
      </c>
      <c r="IPT29" t="s">
        <v>6984</v>
      </c>
      <c r="IPU29" t="s">
        <v>6984</v>
      </c>
      <c r="IPV29" t="s">
        <v>6984</v>
      </c>
      <c r="IPW29" t="s">
        <v>6984</v>
      </c>
      <c r="IPX29" t="s">
        <v>6984</v>
      </c>
      <c r="IPY29" t="s">
        <v>6984</v>
      </c>
      <c r="IPZ29" t="s">
        <v>6984</v>
      </c>
      <c r="IQA29" t="s">
        <v>6984</v>
      </c>
      <c r="IQB29" t="s">
        <v>6984</v>
      </c>
      <c r="IQC29" t="s">
        <v>6984</v>
      </c>
      <c r="IQD29" t="s">
        <v>6984</v>
      </c>
      <c r="IQE29" t="s">
        <v>6984</v>
      </c>
      <c r="IQF29" t="s">
        <v>6984</v>
      </c>
      <c r="IQG29" t="s">
        <v>6984</v>
      </c>
      <c r="IQH29" t="s">
        <v>6984</v>
      </c>
      <c r="IQI29" t="s">
        <v>6984</v>
      </c>
      <c r="IQJ29" t="s">
        <v>6984</v>
      </c>
      <c r="IQK29" t="s">
        <v>6984</v>
      </c>
      <c r="IQL29" t="s">
        <v>6984</v>
      </c>
      <c r="IQM29" t="s">
        <v>6984</v>
      </c>
      <c r="IQN29" t="s">
        <v>6984</v>
      </c>
      <c r="IQO29" t="s">
        <v>6984</v>
      </c>
      <c r="IQP29" t="s">
        <v>6984</v>
      </c>
      <c r="IQQ29" t="s">
        <v>6984</v>
      </c>
      <c r="IQR29" t="s">
        <v>6984</v>
      </c>
      <c r="IQS29" t="s">
        <v>6984</v>
      </c>
      <c r="IQT29" t="s">
        <v>6984</v>
      </c>
      <c r="IQU29" t="s">
        <v>6984</v>
      </c>
      <c r="IQV29" t="s">
        <v>6984</v>
      </c>
      <c r="IQW29" t="s">
        <v>6984</v>
      </c>
      <c r="IQX29" t="s">
        <v>6984</v>
      </c>
      <c r="IQY29" t="s">
        <v>6984</v>
      </c>
      <c r="IQZ29" t="s">
        <v>6984</v>
      </c>
      <c r="IRA29" t="s">
        <v>6984</v>
      </c>
      <c r="IRB29" t="s">
        <v>6984</v>
      </c>
      <c r="IRC29" t="s">
        <v>6984</v>
      </c>
      <c r="IRD29" t="s">
        <v>6984</v>
      </c>
      <c r="IRE29" t="s">
        <v>6984</v>
      </c>
      <c r="IRF29" t="s">
        <v>6984</v>
      </c>
      <c r="IRG29" t="s">
        <v>6984</v>
      </c>
      <c r="IRH29" t="s">
        <v>6984</v>
      </c>
      <c r="IRI29" t="s">
        <v>6984</v>
      </c>
      <c r="IRJ29" t="s">
        <v>6984</v>
      </c>
      <c r="IRK29" t="s">
        <v>6984</v>
      </c>
      <c r="IRL29" t="s">
        <v>6984</v>
      </c>
      <c r="IRM29" t="s">
        <v>6984</v>
      </c>
      <c r="IRN29" t="s">
        <v>6984</v>
      </c>
      <c r="IRO29" t="s">
        <v>6984</v>
      </c>
      <c r="IRP29" t="s">
        <v>6984</v>
      </c>
      <c r="IRQ29" t="s">
        <v>6984</v>
      </c>
      <c r="IRR29" t="s">
        <v>6984</v>
      </c>
      <c r="IRS29" t="s">
        <v>6984</v>
      </c>
      <c r="IRT29" t="s">
        <v>6984</v>
      </c>
      <c r="IRU29" t="s">
        <v>6984</v>
      </c>
      <c r="IRV29" t="s">
        <v>6984</v>
      </c>
      <c r="IRW29" t="s">
        <v>6984</v>
      </c>
      <c r="IRX29" t="s">
        <v>6984</v>
      </c>
      <c r="IRY29" t="s">
        <v>6984</v>
      </c>
      <c r="IRZ29" t="s">
        <v>6984</v>
      </c>
      <c r="ISA29" t="s">
        <v>6984</v>
      </c>
      <c r="ISB29" t="s">
        <v>6984</v>
      </c>
      <c r="ISC29" t="s">
        <v>6984</v>
      </c>
      <c r="ISD29" t="s">
        <v>6984</v>
      </c>
      <c r="ISE29" t="s">
        <v>6984</v>
      </c>
      <c r="ISF29" t="s">
        <v>6984</v>
      </c>
      <c r="ISG29" t="s">
        <v>6984</v>
      </c>
      <c r="ISH29" t="s">
        <v>6984</v>
      </c>
      <c r="ISI29" t="s">
        <v>6984</v>
      </c>
      <c r="ISJ29" t="s">
        <v>6984</v>
      </c>
      <c r="ISK29" t="s">
        <v>6984</v>
      </c>
      <c r="ISL29" t="s">
        <v>6984</v>
      </c>
      <c r="ISM29" t="s">
        <v>6984</v>
      </c>
      <c r="ISN29" t="s">
        <v>6984</v>
      </c>
      <c r="ISO29" t="s">
        <v>6984</v>
      </c>
      <c r="ISP29" t="s">
        <v>6984</v>
      </c>
      <c r="ISQ29" t="s">
        <v>6984</v>
      </c>
      <c r="ISR29" t="s">
        <v>6984</v>
      </c>
      <c r="ISS29" t="s">
        <v>6984</v>
      </c>
      <c r="IST29" t="s">
        <v>6984</v>
      </c>
      <c r="ISU29" t="s">
        <v>6984</v>
      </c>
      <c r="ISV29" t="s">
        <v>6984</v>
      </c>
      <c r="ISW29" t="s">
        <v>6984</v>
      </c>
      <c r="ISX29" t="s">
        <v>6984</v>
      </c>
      <c r="ISY29" t="s">
        <v>6984</v>
      </c>
      <c r="ISZ29" t="s">
        <v>6984</v>
      </c>
      <c r="ITA29" t="s">
        <v>6984</v>
      </c>
      <c r="ITB29" t="s">
        <v>6984</v>
      </c>
      <c r="ITC29" t="s">
        <v>6984</v>
      </c>
      <c r="ITD29" t="s">
        <v>6984</v>
      </c>
      <c r="ITE29" t="s">
        <v>6984</v>
      </c>
      <c r="ITF29" t="s">
        <v>6984</v>
      </c>
      <c r="ITG29" t="s">
        <v>6984</v>
      </c>
      <c r="ITH29" t="s">
        <v>6984</v>
      </c>
      <c r="ITI29" t="s">
        <v>6984</v>
      </c>
      <c r="ITJ29" t="s">
        <v>6984</v>
      </c>
      <c r="ITK29" t="s">
        <v>6984</v>
      </c>
      <c r="ITL29" t="s">
        <v>6984</v>
      </c>
      <c r="ITM29" t="s">
        <v>6984</v>
      </c>
      <c r="ITN29" t="s">
        <v>6984</v>
      </c>
      <c r="ITO29" t="s">
        <v>6984</v>
      </c>
      <c r="ITP29" t="s">
        <v>6984</v>
      </c>
      <c r="ITQ29" t="s">
        <v>6984</v>
      </c>
      <c r="ITR29" t="s">
        <v>6984</v>
      </c>
      <c r="ITS29" t="s">
        <v>6984</v>
      </c>
      <c r="ITT29" t="s">
        <v>6984</v>
      </c>
      <c r="ITU29" t="s">
        <v>6984</v>
      </c>
      <c r="ITV29" t="s">
        <v>6984</v>
      </c>
      <c r="ITW29" t="s">
        <v>6984</v>
      </c>
      <c r="ITX29" t="s">
        <v>6984</v>
      </c>
      <c r="ITY29" t="s">
        <v>6984</v>
      </c>
      <c r="ITZ29" t="s">
        <v>6984</v>
      </c>
      <c r="IUA29" t="s">
        <v>6984</v>
      </c>
      <c r="IUB29" t="s">
        <v>6984</v>
      </c>
      <c r="IUC29" t="s">
        <v>6984</v>
      </c>
      <c r="IUD29" t="s">
        <v>6984</v>
      </c>
      <c r="IUE29" t="s">
        <v>6984</v>
      </c>
      <c r="IUF29" t="s">
        <v>6984</v>
      </c>
      <c r="IUG29" t="s">
        <v>6984</v>
      </c>
      <c r="IUH29" t="s">
        <v>6984</v>
      </c>
      <c r="IUI29" t="s">
        <v>6984</v>
      </c>
      <c r="IUJ29" t="s">
        <v>6984</v>
      </c>
      <c r="IUK29" t="s">
        <v>6984</v>
      </c>
      <c r="IUL29" t="s">
        <v>6984</v>
      </c>
      <c r="IUM29" t="s">
        <v>6984</v>
      </c>
      <c r="IUN29" t="s">
        <v>6984</v>
      </c>
      <c r="IUO29" t="s">
        <v>6984</v>
      </c>
      <c r="IUP29" t="s">
        <v>6984</v>
      </c>
      <c r="IUQ29" t="s">
        <v>6984</v>
      </c>
      <c r="IUR29" t="s">
        <v>6984</v>
      </c>
      <c r="IUS29" t="s">
        <v>6984</v>
      </c>
      <c r="IUT29" t="s">
        <v>6984</v>
      </c>
      <c r="IUU29" t="s">
        <v>6984</v>
      </c>
      <c r="IUV29" t="s">
        <v>6984</v>
      </c>
      <c r="IUW29" t="s">
        <v>6984</v>
      </c>
      <c r="IUX29" t="s">
        <v>6984</v>
      </c>
      <c r="IUY29" t="s">
        <v>6984</v>
      </c>
      <c r="IUZ29" t="s">
        <v>6984</v>
      </c>
      <c r="IVA29" t="s">
        <v>6984</v>
      </c>
      <c r="IVB29" t="s">
        <v>6984</v>
      </c>
      <c r="IVC29" t="s">
        <v>6984</v>
      </c>
      <c r="IVD29" t="s">
        <v>6984</v>
      </c>
      <c r="IVE29" t="s">
        <v>6984</v>
      </c>
      <c r="IVF29" t="s">
        <v>6984</v>
      </c>
      <c r="IVG29" t="s">
        <v>6984</v>
      </c>
      <c r="IVH29" t="s">
        <v>6984</v>
      </c>
      <c r="IVI29" t="s">
        <v>6984</v>
      </c>
      <c r="IVJ29" t="s">
        <v>6984</v>
      </c>
      <c r="IVK29" t="s">
        <v>6984</v>
      </c>
      <c r="IVL29" t="s">
        <v>6984</v>
      </c>
      <c r="IVM29" t="s">
        <v>6984</v>
      </c>
      <c r="IVN29" t="s">
        <v>6984</v>
      </c>
      <c r="IVO29" t="s">
        <v>6984</v>
      </c>
      <c r="IVP29" t="s">
        <v>6984</v>
      </c>
      <c r="IVQ29" t="s">
        <v>6984</v>
      </c>
      <c r="IVR29" t="s">
        <v>6984</v>
      </c>
      <c r="IVS29" t="s">
        <v>6984</v>
      </c>
      <c r="IVT29" t="s">
        <v>6984</v>
      </c>
      <c r="IVU29" t="s">
        <v>6984</v>
      </c>
      <c r="IVV29" t="s">
        <v>6984</v>
      </c>
      <c r="IVW29" t="s">
        <v>6984</v>
      </c>
      <c r="IVX29" t="s">
        <v>6984</v>
      </c>
      <c r="IVY29" t="s">
        <v>6984</v>
      </c>
      <c r="IVZ29" t="s">
        <v>6984</v>
      </c>
      <c r="IWA29" t="s">
        <v>6984</v>
      </c>
      <c r="IWB29" t="s">
        <v>6984</v>
      </c>
      <c r="IWC29" t="s">
        <v>6984</v>
      </c>
      <c r="IWD29" t="s">
        <v>6984</v>
      </c>
      <c r="IWE29" t="s">
        <v>6984</v>
      </c>
      <c r="IWF29" t="s">
        <v>6984</v>
      </c>
      <c r="IWG29" t="s">
        <v>6984</v>
      </c>
      <c r="IWH29" t="s">
        <v>6984</v>
      </c>
      <c r="IWI29" t="s">
        <v>6984</v>
      </c>
      <c r="IWJ29" t="s">
        <v>6984</v>
      </c>
      <c r="IWK29" t="s">
        <v>6984</v>
      </c>
      <c r="IWL29" t="s">
        <v>6984</v>
      </c>
      <c r="IWM29" t="s">
        <v>6984</v>
      </c>
      <c r="IWN29" t="s">
        <v>6984</v>
      </c>
      <c r="IWO29" t="s">
        <v>6984</v>
      </c>
      <c r="IWP29" t="s">
        <v>6984</v>
      </c>
      <c r="IWQ29" t="s">
        <v>6984</v>
      </c>
      <c r="IWR29" t="s">
        <v>6984</v>
      </c>
      <c r="IWS29" t="s">
        <v>6984</v>
      </c>
      <c r="IWT29" t="s">
        <v>6984</v>
      </c>
      <c r="IWU29" t="s">
        <v>6984</v>
      </c>
      <c r="IWV29" t="s">
        <v>6984</v>
      </c>
      <c r="IWW29" t="s">
        <v>6984</v>
      </c>
      <c r="IWX29" t="s">
        <v>6984</v>
      </c>
      <c r="IWY29" t="s">
        <v>6984</v>
      </c>
      <c r="IWZ29" t="s">
        <v>6984</v>
      </c>
      <c r="IXA29" t="s">
        <v>6984</v>
      </c>
      <c r="IXB29" t="s">
        <v>6984</v>
      </c>
      <c r="IXC29" t="s">
        <v>6984</v>
      </c>
      <c r="IXD29" t="s">
        <v>6984</v>
      </c>
      <c r="IXE29" t="s">
        <v>6984</v>
      </c>
      <c r="IXF29" t="s">
        <v>6984</v>
      </c>
      <c r="IXG29" t="s">
        <v>6984</v>
      </c>
      <c r="IXH29" t="s">
        <v>6984</v>
      </c>
      <c r="IXI29" t="s">
        <v>6984</v>
      </c>
      <c r="IXJ29" t="s">
        <v>6984</v>
      </c>
      <c r="IXK29" t="s">
        <v>6984</v>
      </c>
      <c r="IXL29" t="s">
        <v>6984</v>
      </c>
      <c r="IXM29" t="s">
        <v>6984</v>
      </c>
      <c r="IXN29" t="s">
        <v>6984</v>
      </c>
      <c r="IXO29" t="s">
        <v>6984</v>
      </c>
      <c r="IXP29" t="s">
        <v>6984</v>
      </c>
      <c r="IXQ29" t="s">
        <v>6984</v>
      </c>
      <c r="IXR29" t="s">
        <v>6984</v>
      </c>
      <c r="IXS29" t="s">
        <v>6984</v>
      </c>
      <c r="IXT29" t="s">
        <v>6984</v>
      </c>
      <c r="IXU29" t="s">
        <v>6984</v>
      </c>
      <c r="IXV29" t="s">
        <v>6984</v>
      </c>
      <c r="IXW29" t="s">
        <v>6984</v>
      </c>
      <c r="IXX29" t="s">
        <v>6984</v>
      </c>
      <c r="IXY29" t="s">
        <v>6984</v>
      </c>
      <c r="IXZ29" t="s">
        <v>6984</v>
      </c>
      <c r="IYA29" t="s">
        <v>6984</v>
      </c>
      <c r="IYB29" t="s">
        <v>6984</v>
      </c>
      <c r="IYC29" t="s">
        <v>6984</v>
      </c>
      <c r="IYD29" t="s">
        <v>6984</v>
      </c>
      <c r="IYE29" t="s">
        <v>6984</v>
      </c>
      <c r="IYF29" t="s">
        <v>6984</v>
      </c>
      <c r="IYG29" t="s">
        <v>6984</v>
      </c>
      <c r="IYH29" t="s">
        <v>6984</v>
      </c>
      <c r="IYI29" t="s">
        <v>6984</v>
      </c>
      <c r="IYJ29" t="s">
        <v>6984</v>
      </c>
      <c r="IYK29" t="s">
        <v>6984</v>
      </c>
      <c r="IYL29" t="s">
        <v>6984</v>
      </c>
      <c r="IYM29" t="s">
        <v>6984</v>
      </c>
      <c r="IYN29" t="s">
        <v>6984</v>
      </c>
      <c r="IYO29" t="s">
        <v>6984</v>
      </c>
      <c r="IYP29" t="s">
        <v>6984</v>
      </c>
      <c r="IYQ29" t="s">
        <v>6984</v>
      </c>
      <c r="IYR29" t="s">
        <v>6984</v>
      </c>
      <c r="IYS29" t="s">
        <v>6984</v>
      </c>
      <c r="IYT29" t="s">
        <v>6984</v>
      </c>
      <c r="IYU29" t="s">
        <v>6984</v>
      </c>
      <c r="IYV29" t="s">
        <v>6984</v>
      </c>
      <c r="IYW29" t="s">
        <v>6984</v>
      </c>
      <c r="IYX29" t="s">
        <v>6984</v>
      </c>
      <c r="IYY29" t="s">
        <v>6984</v>
      </c>
      <c r="IYZ29" t="s">
        <v>6984</v>
      </c>
      <c r="IZA29" t="s">
        <v>6984</v>
      </c>
      <c r="IZB29" t="s">
        <v>6984</v>
      </c>
      <c r="IZC29" t="s">
        <v>6984</v>
      </c>
      <c r="IZD29" t="s">
        <v>6984</v>
      </c>
      <c r="IZE29" t="s">
        <v>6984</v>
      </c>
      <c r="IZF29" t="s">
        <v>6984</v>
      </c>
      <c r="IZG29" t="s">
        <v>6984</v>
      </c>
      <c r="IZH29" t="s">
        <v>6984</v>
      </c>
      <c r="IZI29" t="s">
        <v>6984</v>
      </c>
      <c r="IZJ29" t="s">
        <v>6984</v>
      </c>
      <c r="IZK29" t="s">
        <v>6984</v>
      </c>
      <c r="IZL29" t="s">
        <v>6984</v>
      </c>
      <c r="IZM29" t="s">
        <v>6984</v>
      </c>
      <c r="IZN29" t="s">
        <v>6984</v>
      </c>
      <c r="IZO29" t="s">
        <v>6984</v>
      </c>
      <c r="IZP29" t="s">
        <v>6984</v>
      </c>
      <c r="IZQ29" t="s">
        <v>6984</v>
      </c>
      <c r="IZR29" t="s">
        <v>6984</v>
      </c>
      <c r="IZS29" t="s">
        <v>6984</v>
      </c>
      <c r="IZT29" t="s">
        <v>6984</v>
      </c>
      <c r="IZU29" t="s">
        <v>6984</v>
      </c>
      <c r="IZV29" t="s">
        <v>6984</v>
      </c>
      <c r="IZW29" t="s">
        <v>6984</v>
      </c>
      <c r="IZX29" t="s">
        <v>6984</v>
      </c>
      <c r="IZY29" t="s">
        <v>6984</v>
      </c>
      <c r="IZZ29" t="s">
        <v>6984</v>
      </c>
      <c r="JAA29" t="s">
        <v>6984</v>
      </c>
      <c r="JAB29" t="s">
        <v>6984</v>
      </c>
      <c r="JAC29" t="s">
        <v>6984</v>
      </c>
      <c r="JAD29" t="s">
        <v>6984</v>
      </c>
      <c r="JAE29" t="s">
        <v>6984</v>
      </c>
      <c r="JAF29" t="s">
        <v>6984</v>
      </c>
      <c r="JAG29" t="s">
        <v>6984</v>
      </c>
      <c r="JAH29" t="s">
        <v>6984</v>
      </c>
      <c r="JAI29" t="s">
        <v>6984</v>
      </c>
      <c r="JAJ29" t="s">
        <v>6984</v>
      </c>
      <c r="JAK29" t="s">
        <v>6984</v>
      </c>
      <c r="JAL29" t="s">
        <v>6984</v>
      </c>
      <c r="JAM29" t="s">
        <v>6984</v>
      </c>
      <c r="JAN29" t="s">
        <v>6984</v>
      </c>
      <c r="JAO29" t="s">
        <v>6984</v>
      </c>
      <c r="JAP29" t="s">
        <v>6984</v>
      </c>
      <c r="JAQ29" t="s">
        <v>6984</v>
      </c>
      <c r="JAR29" t="s">
        <v>6984</v>
      </c>
      <c r="JAS29" t="s">
        <v>6984</v>
      </c>
      <c r="JAT29" t="s">
        <v>6984</v>
      </c>
      <c r="JAU29" t="s">
        <v>6984</v>
      </c>
      <c r="JAV29" t="s">
        <v>6984</v>
      </c>
      <c r="JAW29" t="s">
        <v>6984</v>
      </c>
      <c r="JAX29" t="s">
        <v>6984</v>
      </c>
      <c r="JAY29" t="s">
        <v>6984</v>
      </c>
      <c r="JAZ29" t="s">
        <v>6984</v>
      </c>
      <c r="JBA29" t="s">
        <v>6984</v>
      </c>
      <c r="JBB29" t="s">
        <v>6984</v>
      </c>
      <c r="JBC29" t="s">
        <v>6984</v>
      </c>
      <c r="JBD29" t="s">
        <v>6984</v>
      </c>
      <c r="JBE29" t="s">
        <v>6984</v>
      </c>
      <c r="JBF29" t="s">
        <v>6984</v>
      </c>
      <c r="JBG29" t="s">
        <v>6984</v>
      </c>
      <c r="JBH29" t="s">
        <v>6984</v>
      </c>
      <c r="JBI29" t="s">
        <v>6984</v>
      </c>
      <c r="JBJ29" t="s">
        <v>6984</v>
      </c>
      <c r="JBK29" t="s">
        <v>6984</v>
      </c>
      <c r="JBL29" t="s">
        <v>6984</v>
      </c>
      <c r="JBM29" t="s">
        <v>6984</v>
      </c>
      <c r="JBN29" t="s">
        <v>6984</v>
      </c>
      <c r="JBO29" t="s">
        <v>6984</v>
      </c>
      <c r="JBP29" t="s">
        <v>6984</v>
      </c>
      <c r="JBQ29" t="s">
        <v>6984</v>
      </c>
      <c r="JBR29" t="s">
        <v>6984</v>
      </c>
      <c r="JBS29" t="s">
        <v>6984</v>
      </c>
      <c r="JBT29" t="s">
        <v>6984</v>
      </c>
      <c r="JBU29" t="s">
        <v>6984</v>
      </c>
      <c r="JBV29" t="s">
        <v>6984</v>
      </c>
      <c r="JBW29" t="s">
        <v>6984</v>
      </c>
      <c r="JBX29" t="s">
        <v>6984</v>
      </c>
      <c r="JBY29" t="s">
        <v>6984</v>
      </c>
      <c r="JBZ29" t="s">
        <v>6984</v>
      </c>
      <c r="JCA29" t="s">
        <v>6984</v>
      </c>
      <c r="JCB29" t="s">
        <v>6984</v>
      </c>
      <c r="JCC29" t="s">
        <v>6984</v>
      </c>
      <c r="JCD29" t="s">
        <v>6984</v>
      </c>
      <c r="JCE29" t="s">
        <v>6984</v>
      </c>
      <c r="JCF29" t="s">
        <v>6984</v>
      </c>
      <c r="JCG29" t="s">
        <v>6984</v>
      </c>
      <c r="JCH29" t="s">
        <v>6984</v>
      </c>
      <c r="JCI29" t="s">
        <v>6984</v>
      </c>
      <c r="JCJ29" t="s">
        <v>6984</v>
      </c>
      <c r="JCK29" t="s">
        <v>6984</v>
      </c>
      <c r="JCL29" t="s">
        <v>6984</v>
      </c>
      <c r="JCM29" t="s">
        <v>6984</v>
      </c>
      <c r="JCN29" t="s">
        <v>6984</v>
      </c>
      <c r="JCO29" t="s">
        <v>6984</v>
      </c>
      <c r="JCP29" t="s">
        <v>6984</v>
      </c>
      <c r="JCQ29" t="s">
        <v>6984</v>
      </c>
      <c r="JCR29" t="s">
        <v>6984</v>
      </c>
      <c r="JCS29" t="s">
        <v>6984</v>
      </c>
      <c r="JCT29" t="s">
        <v>6984</v>
      </c>
      <c r="JCU29" t="s">
        <v>6984</v>
      </c>
      <c r="JCV29" t="s">
        <v>6984</v>
      </c>
      <c r="JCW29" t="s">
        <v>6984</v>
      </c>
      <c r="JCX29" t="s">
        <v>6984</v>
      </c>
      <c r="JCY29" t="s">
        <v>6984</v>
      </c>
      <c r="JCZ29" t="s">
        <v>6984</v>
      </c>
      <c r="JDA29" t="s">
        <v>6984</v>
      </c>
      <c r="JDB29" t="s">
        <v>6984</v>
      </c>
      <c r="JDC29" t="s">
        <v>6984</v>
      </c>
      <c r="JDD29" t="s">
        <v>6984</v>
      </c>
      <c r="JDE29" t="s">
        <v>6984</v>
      </c>
      <c r="JDF29" t="s">
        <v>6984</v>
      </c>
      <c r="JDG29" t="s">
        <v>6984</v>
      </c>
      <c r="JDH29" t="s">
        <v>6984</v>
      </c>
      <c r="JDI29" t="s">
        <v>6984</v>
      </c>
      <c r="JDJ29" t="s">
        <v>6984</v>
      </c>
      <c r="JDK29" t="s">
        <v>6984</v>
      </c>
      <c r="JDL29" t="s">
        <v>6984</v>
      </c>
      <c r="JDM29" t="s">
        <v>6984</v>
      </c>
      <c r="JDN29" t="s">
        <v>6984</v>
      </c>
      <c r="JDO29" t="s">
        <v>6984</v>
      </c>
      <c r="JDP29" t="s">
        <v>6984</v>
      </c>
      <c r="JDQ29" t="s">
        <v>6984</v>
      </c>
      <c r="JDR29" t="s">
        <v>6984</v>
      </c>
      <c r="JDS29" t="s">
        <v>6984</v>
      </c>
      <c r="JDT29" t="s">
        <v>6984</v>
      </c>
      <c r="JDU29" t="s">
        <v>6984</v>
      </c>
      <c r="JDV29" t="s">
        <v>6984</v>
      </c>
      <c r="JDW29" t="s">
        <v>6984</v>
      </c>
      <c r="JDX29" t="s">
        <v>6984</v>
      </c>
      <c r="JDY29" t="s">
        <v>6984</v>
      </c>
      <c r="JDZ29" t="s">
        <v>6984</v>
      </c>
      <c r="JEA29" t="s">
        <v>6984</v>
      </c>
      <c r="JEB29" t="s">
        <v>6984</v>
      </c>
      <c r="JEC29" t="s">
        <v>6984</v>
      </c>
      <c r="JED29" t="s">
        <v>6984</v>
      </c>
      <c r="JEE29" t="s">
        <v>6984</v>
      </c>
      <c r="JEF29" t="s">
        <v>6984</v>
      </c>
      <c r="JEG29" t="s">
        <v>6984</v>
      </c>
      <c r="JEH29" t="s">
        <v>6984</v>
      </c>
      <c r="JEI29" t="s">
        <v>6984</v>
      </c>
      <c r="JEJ29" t="s">
        <v>6984</v>
      </c>
      <c r="JEK29" t="s">
        <v>6984</v>
      </c>
      <c r="JEL29" t="s">
        <v>6984</v>
      </c>
      <c r="JEM29" t="s">
        <v>6984</v>
      </c>
      <c r="JEN29" t="s">
        <v>6984</v>
      </c>
      <c r="JEO29" t="s">
        <v>6984</v>
      </c>
      <c r="JEP29" t="s">
        <v>6984</v>
      </c>
      <c r="JEQ29" t="s">
        <v>6984</v>
      </c>
      <c r="JER29" t="s">
        <v>6984</v>
      </c>
      <c r="JES29" t="s">
        <v>6984</v>
      </c>
      <c r="JET29" t="s">
        <v>6984</v>
      </c>
      <c r="JEU29" t="s">
        <v>6984</v>
      </c>
      <c r="JEV29" t="s">
        <v>6984</v>
      </c>
      <c r="JEW29" t="s">
        <v>6984</v>
      </c>
      <c r="JEX29" t="s">
        <v>6984</v>
      </c>
      <c r="JEY29" t="s">
        <v>6984</v>
      </c>
      <c r="JEZ29" t="s">
        <v>6984</v>
      </c>
      <c r="JFA29" t="s">
        <v>6984</v>
      </c>
      <c r="JFB29" t="s">
        <v>6984</v>
      </c>
      <c r="JFC29" t="s">
        <v>6984</v>
      </c>
      <c r="JFD29" t="s">
        <v>6984</v>
      </c>
      <c r="JFE29" t="s">
        <v>6984</v>
      </c>
      <c r="JFF29" t="s">
        <v>6984</v>
      </c>
      <c r="JFG29" t="s">
        <v>6984</v>
      </c>
      <c r="JFH29" t="s">
        <v>6984</v>
      </c>
      <c r="JFI29" t="s">
        <v>6984</v>
      </c>
      <c r="JFJ29" t="s">
        <v>6984</v>
      </c>
      <c r="JFK29" t="s">
        <v>6984</v>
      </c>
      <c r="JFL29" t="s">
        <v>6984</v>
      </c>
      <c r="JFM29" t="s">
        <v>6984</v>
      </c>
      <c r="JFN29" t="s">
        <v>6984</v>
      </c>
      <c r="JFO29" t="s">
        <v>6984</v>
      </c>
      <c r="JFP29" t="s">
        <v>6984</v>
      </c>
      <c r="JFQ29" t="s">
        <v>6984</v>
      </c>
      <c r="JFR29" t="s">
        <v>6984</v>
      </c>
      <c r="JFS29" t="s">
        <v>6984</v>
      </c>
      <c r="JFT29" t="s">
        <v>6984</v>
      </c>
      <c r="JFU29" t="s">
        <v>6984</v>
      </c>
      <c r="JFV29" t="s">
        <v>6984</v>
      </c>
      <c r="JFW29" t="s">
        <v>6984</v>
      </c>
      <c r="JFX29" t="s">
        <v>6984</v>
      </c>
      <c r="JFY29" t="s">
        <v>6984</v>
      </c>
      <c r="JFZ29" t="s">
        <v>6984</v>
      </c>
      <c r="JGA29" t="s">
        <v>6984</v>
      </c>
      <c r="JGB29" t="s">
        <v>6984</v>
      </c>
      <c r="JGC29" t="s">
        <v>6984</v>
      </c>
      <c r="JGD29" t="s">
        <v>6984</v>
      </c>
      <c r="JGE29" t="s">
        <v>6984</v>
      </c>
      <c r="JGF29" t="s">
        <v>6984</v>
      </c>
      <c r="JGG29" t="s">
        <v>6984</v>
      </c>
      <c r="JGH29" t="s">
        <v>6984</v>
      </c>
      <c r="JGI29" t="s">
        <v>6984</v>
      </c>
      <c r="JGJ29" t="s">
        <v>6984</v>
      </c>
      <c r="JGK29" t="s">
        <v>6984</v>
      </c>
      <c r="JGL29" t="s">
        <v>6984</v>
      </c>
      <c r="JGM29" t="s">
        <v>6984</v>
      </c>
      <c r="JGN29" t="s">
        <v>6984</v>
      </c>
      <c r="JGO29" t="s">
        <v>6984</v>
      </c>
      <c r="JGP29" t="s">
        <v>6984</v>
      </c>
      <c r="JGQ29" t="s">
        <v>6984</v>
      </c>
      <c r="JGR29" t="s">
        <v>6984</v>
      </c>
      <c r="JGS29" t="s">
        <v>6984</v>
      </c>
      <c r="JGT29" t="s">
        <v>6984</v>
      </c>
      <c r="JGU29" t="s">
        <v>6984</v>
      </c>
      <c r="JGV29" t="s">
        <v>6984</v>
      </c>
      <c r="JGW29" t="s">
        <v>6984</v>
      </c>
      <c r="JGX29" t="s">
        <v>6984</v>
      </c>
      <c r="JGY29" t="s">
        <v>6984</v>
      </c>
      <c r="JGZ29" t="s">
        <v>6984</v>
      </c>
      <c r="JHA29" t="s">
        <v>6984</v>
      </c>
      <c r="JHB29" t="s">
        <v>6984</v>
      </c>
      <c r="JHC29" t="s">
        <v>6984</v>
      </c>
      <c r="JHD29" t="s">
        <v>6984</v>
      </c>
      <c r="JHE29" t="s">
        <v>6984</v>
      </c>
      <c r="JHF29" t="s">
        <v>6984</v>
      </c>
      <c r="JHG29" t="s">
        <v>6984</v>
      </c>
      <c r="JHH29" t="s">
        <v>6984</v>
      </c>
      <c r="JHI29" t="s">
        <v>6984</v>
      </c>
      <c r="JHJ29" t="s">
        <v>6984</v>
      </c>
      <c r="JHK29" t="s">
        <v>6984</v>
      </c>
      <c r="JHL29" t="s">
        <v>6984</v>
      </c>
      <c r="JHM29" t="s">
        <v>6984</v>
      </c>
      <c r="JHN29" t="s">
        <v>6984</v>
      </c>
      <c r="JHO29" t="s">
        <v>6984</v>
      </c>
      <c r="JHP29" t="s">
        <v>6984</v>
      </c>
      <c r="JHQ29" t="s">
        <v>6984</v>
      </c>
      <c r="JHR29" t="s">
        <v>6984</v>
      </c>
      <c r="JHS29" t="s">
        <v>6984</v>
      </c>
      <c r="JHT29" t="s">
        <v>6984</v>
      </c>
      <c r="JHU29" t="s">
        <v>6984</v>
      </c>
      <c r="JHV29" t="s">
        <v>6984</v>
      </c>
      <c r="JHW29" t="s">
        <v>6984</v>
      </c>
      <c r="JHX29" t="s">
        <v>6984</v>
      </c>
      <c r="JHY29" t="s">
        <v>6984</v>
      </c>
      <c r="JHZ29" t="s">
        <v>6984</v>
      </c>
      <c r="JIA29" t="s">
        <v>6984</v>
      </c>
      <c r="JIB29" t="s">
        <v>6984</v>
      </c>
      <c r="JIC29" t="s">
        <v>6984</v>
      </c>
      <c r="JID29" t="s">
        <v>6984</v>
      </c>
      <c r="JIE29" t="s">
        <v>6984</v>
      </c>
      <c r="JIF29" t="s">
        <v>6984</v>
      </c>
      <c r="JIG29" t="s">
        <v>6984</v>
      </c>
      <c r="JIH29" t="s">
        <v>6984</v>
      </c>
      <c r="JII29" t="s">
        <v>6984</v>
      </c>
      <c r="JIJ29" t="s">
        <v>6984</v>
      </c>
      <c r="JIK29" t="s">
        <v>6984</v>
      </c>
      <c r="JIL29" t="s">
        <v>6984</v>
      </c>
      <c r="JIM29" t="s">
        <v>6984</v>
      </c>
      <c r="JIN29" t="s">
        <v>6984</v>
      </c>
      <c r="JIO29" t="s">
        <v>6984</v>
      </c>
      <c r="JIP29" t="s">
        <v>6984</v>
      </c>
      <c r="JIQ29" t="s">
        <v>6984</v>
      </c>
      <c r="JIR29" t="s">
        <v>6984</v>
      </c>
      <c r="JIS29" t="s">
        <v>6984</v>
      </c>
      <c r="JIT29" t="s">
        <v>6984</v>
      </c>
      <c r="JIU29" t="s">
        <v>6984</v>
      </c>
      <c r="JIV29" t="s">
        <v>6984</v>
      </c>
      <c r="JIW29" t="s">
        <v>6984</v>
      </c>
      <c r="JIX29" t="s">
        <v>6984</v>
      </c>
      <c r="JIY29" t="s">
        <v>6984</v>
      </c>
      <c r="JIZ29" t="s">
        <v>6984</v>
      </c>
      <c r="JJA29" t="s">
        <v>6984</v>
      </c>
    </row>
    <row r="30" spans="1:7021" x14ac:dyDescent="0.25">
      <c r="A30" t="s">
        <v>7011</v>
      </c>
      <c r="B30">
        <v>95.73</v>
      </c>
      <c r="C30">
        <v>95.73</v>
      </c>
      <c r="D30">
        <v>95.73</v>
      </c>
      <c r="E30">
        <v>95.784999999999997</v>
      </c>
      <c r="F30">
        <v>95.73</v>
      </c>
      <c r="G30">
        <v>95.77</v>
      </c>
      <c r="H30">
        <v>95.82</v>
      </c>
      <c r="I30">
        <v>95.76</v>
      </c>
      <c r="J30">
        <v>95.71</v>
      </c>
      <c r="K30">
        <v>95.694999999999993</v>
      </c>
      <c r="L30">
        <v>95.69</v>
      </c>
      <c r="M30">
        <v>95.79</v>
      </c>
      <c r="N30">
        <v>95.814999999999998</v>
      </c>
      <c r="O30">
        <v>95.724999999999994</v>
      </c>
      <c r="P30">
        <v>95.72</v>
      </c>
      <c r="Q30">
        <v>95.78</v>
      </c>
      <c r="R30">
        <v>95.76</v>
      </c>
      <c r="S30">
        <v>95.73</v>
      </c>
      <c r="T30">
        <v>95.78</v>
      </c>
      <c r="U30">
        <v>95.69</v>
      </c>
      <c r="V30">
        <v>95.69</v>
      </c>
      <c r="W30">
        <v>95.614999999999995</v>
      </c>
      <c r="X30">
        <v>95.555000000000007</v>
      </c>
      <c r="Y30">
        <v>95.66</v>
      </c>
      <c r="Z30">
        <v>95.66</v>
      </c>
      <c r="AA30">
        <v>95.7</v>
      </c>
      <c r="AB30">
        <v>95.68</v>
      </c>
      <c r="AC30">
        <v>95.61</v>
      </c>
      <c r="AD30">
        <v>95.644999999999996</v>
      </c>
      <c r="AE30">
        <v>95.694999999999993</v>
      </c>
      <c r="AF30">
        <v>95.754999999999995</v>
      </c>
      <c r="AG30">
        <v>95.754999999999995</v>
      </c>
      <c r="AH30">
        <v>95.85</v>
      </c>
      <c r="AI30">
        <v>95.8</v>
      </c>
      <c r="AJ30">
        <v>95.795000000000002</v>
      </c>
      <c r="AK30">
        <v>95.83</v>
      </c>
      <c r="AL30">
        <v>95.88</v>
      </c>
      <c r="AM30">
        <v>95.93</v>
      </c>
      <c r="AN30">
        <v>95.905000000000001</v>
      </c>
      <c r="AO30">
        <v>95.844999999999999</v>
      </c>
      <c r="AP30">
        <v>95.795000000000002</v>
      </c>
      <c r="AQ30">
        <v>95.734999999999999</v>
      </c>
      <c r="AR30">
        <v>95.665000000000006</v>
      </c>
      <c r="AS30">
        <v>95.635000000000005</v>
      </c>
      <c r="AT30">
        <v>95.584999999999994</v>
      </c>
      <c r="AU30">
        <v>95.724999999999994</v>
      </c>
      <c r="AV30">
        <v>95.724999999999994</v>
      </c>
      <c r="AW30">
        <v>95.81</v>
      </c>
      <c r="AX30">
        <v>95.78</v>
      </c>
      <c r="AY30">
        <v>95.754999999999995</v>
      </c>
      <c r="AZ30">
        <v>95.65</v>
      </c>
      <c r="BA30">
        <v>95.795000000000002</v>
      </c>
      <c r="BB30">
        <v>95.765000000000001</v>
      </c>
      <c r="BC30">
        <v>95.924999999999997</v>
      </c>
      <c r="BD30">
        <v>96.015000000000001</v>
      </c>
      <c r="BE30">
        <v>96.19</v>
      </c>
      <c r="BF30">
        <v>96.11</v>
      </c>
      <c r="BG30">
        <v>95.965000000000003</v>
      </c>
      <c r="BH30">
        <v>96.025000000000006</v>
      </c>
      <c r="BI30">
        <v>95.92</v>
      </c>
      <c r="BJ30">
        <v>95.89</v>
      </c>
      <c r="BK30">
        <v>95.775000000000006</v>
      </c>
      <c r="BL30">
        <v>95.834999999999994</v>
      </c>
      <c r="BM30">
        <v>95.864999999999995</v>
      </c>
      <c r="BN30">
        <v>95.84</v>
      </c>
      <c r="BO30">
        <v>95.92</v>
      </c>
      <c r="BP30">
        <v>95.935000000000002</v>
      </c>
      <c r="BQ30">
        <v>95.894999999999996</v>
      </c>
      <c r="BR30">
        <v>95.905000000000001</v>
      </c>
      <c r="BS30">
        <v>95.87</v>
      </c>
      <c r="BT30">
        <v>95.844999999999999</v>
      </c>
      <c r="BU30">
        <v>95.92</v>
      </c>
      <c r="BV30">
        <v>95.89</v>
      </c>
      <c r="BW30">
        <v>95.92</v>
      </c>
      <c r="BX30">
        <v>96.015000000000001</v>
      </c>
      <c r="BY30">
        <v>95.885000000000005</v>
      </c>
      <c r="BZ30">
        <v>95.91</v>
      </c>
      <c r="CA30">
        <v>95.935000000000002</v>
      </c>
      <c r="CB30">
        <v>95.995000000000005</v>
      </c>
      <c r="CC30">
        <v>96.04</v>
      </c>
      <c r="CD30">
        <v>95.98</v>
      </c>
      <c r="CE30">
        <v>95.92</v>
      </c>
      <c r="CF30">
        <v>95.965000000000003</v>
      </c>
      <c r="CG30">
        <v>95.894999999999996</v>
      </c>
      <c r="CH30">
        <v>95.76</v>
      </c>
      <c r="CI30">
        <v>95.734999999999999</v>
      </c>
      <c r="CJ30">
        <v>95.655000000000001</v>
      </c>
      <c r="CK30">
        <v>95.605000000000004</v>
      </c>
      <c r="CL30">
        <v>95.605000000000004</v>
      </c>
      <c r="CM30">
        <v>95.68</v>
      </c>
      <c r="CN30">
        <v>95.68</v>
      </c>
      <c r="CO30">
        <v>95.625</v>
      </c>
      <c r="CP30">
        <v>95.51</v>
      </c>
      <c r="CQ30">
        <v>95.644999999999996</v>
      </c>
      <c r="CR30">
        <v>95.694999999999993</v>
      </c>
      <c r="CS30">
        <v>95.694999999999993</v>
      </c>
      <c r="CT30">
        <v>95.754999999999995</v>
      </c>
      <c r="CU30">
        <v>95.805000000000007</v>
      </c>
      <c r="CV30">
        <v>95.694999999999993</v>
      </c>
      <c r="CW30">
        <v>95.67</v>
      </c>
      <c r="CX30">
        <v>95.625</v>
      </c>
      <c r="CY30">
        <v>95.694999999999993</v>
      </c>
      <c r="CZ30">
        <v>95.65</v>
      </c>
      <c r="DA30">
        <v>95.66</v>
      </c>
      <c r="DB30">
        <v>95.685000000000002</v>
      </c>
      <c r="DC30">
        <v>95.575000000000003</v>
      </c>
      <c r="DD30">
        <v>95.575000000000003</v>
      </c>
      <c r="DE30">
        <v>95.63</v>
      </c>
      <c r="DF30">
        <v>95.66</v>
      </c>
      <c r="DG30">
        <v>95.614999999999995</v>
      </c>
      <c r="DH30">
        <v>95.614999999999995</v>
      </c>
      <c r="DI30">
        <v>95.614999999999995</v>
      </c>
      <c r="DJ30">
        <v>95.575000000000003</v>
      </c>
      <c r="DK30">
        <v>95.43</v>
      </c>
      <c r="DL30">
        <v>95.41</v>
      </c>
      <c r="DM30">
        <v>95.45</v>
      </c>
      <c r="DN30">
        <v>95.51</v>
      </c>
      <c r="DO30">
        <v>95.495000000000005</v>
      </c>
      <c r="DP30">
        <v>95.504999999999995</v>
      </c>
      <c r="DQ30">
        <v>95.59</v>
      </c>
      <c r="DR30">
        <v>95.644999999999996</v>
      </c>
      <c r="DS30">
        <v>95.66</v>
      </c>
      <c r="DT30">
        <v>95.655000000000001</v>
      </c>
      <c r="DU30">
        <v>95.655000000000001</v>
      </c>
      <c r="DV30">
        <v>95.694999999999993</v>
      </c>
      <c r="DW30">
        <v>95.614999999999995</v>
      </c>
      <c r="DX30">
        <v>95.674999999999997</v>
      </c>
      <c r="DY30">
        <v>95.66</v>
      </c>
      <c r="DZ30">
        <v>95.66</v>
      </c>
      <c r="EA30">
        <v>95.635000000000005</v>
      </c>
      <c r="EB30">
        <v>95.734999999999999</v>
      </c>
      <c r="EC30">
        <v>95.665000000000006</v>
      </c>
      <c r="ED30">
        <v>95.795000000000002</v>
      </c>
      <c r="EE30">
        <v>95.93</v>
      </c>
      <c r="EF30">
        <v>95.915000000000006</v>
      </c>
      <c r="EG30">
        <v>95.92</v>
      </c>
      <c r="EH30">
        <v>96.004999999999995</v>
      </c>
      <c r="EI30">
        <v>96.07</v>
      </c>
      <c r="EJ30">
        <v>96.13</v>
      </c>
      <c r="EK30">
        <v>96.155000000000001</v>
      </c>
      <c r="EL30">
        <v>96.194999999999993</v>
      </c>
      <c r="EM30">
        <v>96.16</v>
      </c>
      <c r="EN30">
        <v>96.144999999999996</v>
      </c>
      <c r="EO30">
        <v>96.114999999999995</v>
      </c>
      <c r="EP30">
        <v>96.15</v>
      </c>
      <c r="EQ30">
        <v>96.15</v>
      </c>
      <c r="ER30">
        <v>96.114999999999995</v>
      </c>
      <c r="ES30">
        <v>96.114999999999995</v>
      </c>
      <c r="ET30">
        <v>96.05</v>
      </c>
      <c r="EU30">
        <v>96.114999999999995</v>
      </c>
      <c r="EV30">
        <v>95.965000000000003</v>
      </c>
      <c r="EW30">
        <v>95.93</v>
      </c>
      <c r="EX30">
        <v>95.924999999999997</v>
      </c>
      <c r="EY30">
        <v>95.954999999999998</v>
      </c>
      <c r="EZ30">
        <v>95.92</v>
      </c>
      <c r="FA30">
        <v>95.91</v>
      </c>
      <c r="FB30">
        <v>95.915000000000006</v>
      </c>
      <c r="FC30">
        <v>95.88</v>
      </c>
      <c r="FD30">
        <v>95.905000000000001</v>
      </c>
      <c r="FE30">
        <v>95.965000000000003</v>
      </c>
      <c r="FF30">
        <v>96.015000000000001</v>
      </c>
      <c r="FG30">
        <v>95.97</v>
      </c>
      <c r="FH30">
        <v>95.864999999999995</v>
      </c>
      <c r="FI30">
        <v>96.034999999999997</v>
      </c>
      <c r="FJ30">
        <v>96.01</v>
      </c>
      <c r="FK30">
        <v>95.944999999999993</v>
      </c>
      <c r="FL30">
        <v>96.004999999999995</v>
      </c>
      <c r="FM30">
        <v>96.015000000000001</v>
      </c>
      <c r="FN30">
        <v>95.984999999999999</v>
      </c>
      <c r="FO30">
        <v>95.98</v>
      </c>
      <c r="FP30">
        <v>96.015000000000001</v>
      </c>
      <c r="FQ30">
        <v>96.04</v>
      </c>
      <c r="FR30">
        <v>95.99</v>
      </c>
      <c r="FS30">
        <v>96.02</v>
      </c>
      <c r="FT30">
        <v>96.045000000000002</v>
      </c>
      <c r="FU30">
        <v>96.16</v>
      </c>
      <c r="FV30">
        <v>96.144999999999996</v>
      </c>
      <c r="FW30">
        <v>96.245000000000005</v>
      </c>
      <c r="FX30">
        <v>96.224999999999994</v>
      </c>
      <c r="FY30">
        <v>96.13</v>
      </c>
      <c r="FZ30">
        <v>96.17</v>
      </c>
      <c r="GA30">
        <v>96.16</v>
      </c>
      <c r="GB30">
        <v>96.204999999999998</v>
      </c>
      <c r="GC30">
        <v>96.23</v>
      </c>
      <c r="GD30">
        <v>96.245000000000005</v>
      </c>
      <c r="GE30">
        <v>96.28</v>
      </c>
      <c r="GF30">
        <v>96.36</v>
      </c>
      <c r="GG30">
        <v>96.43</v>
      </c>
      <c r="GH30">
        <v>96.474999999999994</v>
      </c>
      <c r="GI30">
        <v>96.405000000000001</v>
      </c>
      <c r="GJ30">
        <v>96.444999999999993</v>
      </c>
      <c r="GK30">
        <v>96.415000000000006</v>
      </c>
      <c r="GL30">
        <v>96.394999999999996</v>
      </c>
      <c r="GM30">
        <v>96.435000000000002</v>
      </c>
      <c r="GN30">
        <v>96.44</v>
      </c>
      <c r="GO30">
        <v>96.454999999999998</v>
      </c>
      <c r="GP30">
        <v>96.435000000000002</v>
      </c>
      <c r="GQ30">
        <v>96.51</v>
      </c>
      <c r="GR30">
        <v>96.575000000000003</v>
      </c>
      <c r="GS30">
        <v>96.564999999999998</v>
      </c>
      <c r="GT30">
        <v>96.545000000000002</v>
      </c>
      <c r="GU30">
        <v>96.54</v>
      </c>
      <c r="GV30">
        <v>96.57</v>
      </c>
      <c r="GW30">
        <v>96.575000000000003</v>
      </c>
      <c r="GX30">
        <v>96.52</v>
      </c>
      <c r="GY30">
        <v>96.495000000000005</v>
      </c>
      <c r="GZ30">
        <v>96.51</v>
      </c>
      <c r="HA30">
        <v>96.474999999999994</v>
      </c>
      <c r="HB30">
        <v>96.424999999999997</v>
      </c>
      <c r="HC30">
        <v>96.344999999999999</v>
      </c>
      <c r="HD30">
        <v>96.344999999999999</v>
      </c>
      <c r="HE30">
        <v>96.39</v>
      </c>
      <c r="HF30">
        <v>96.405000000000001</v>
      </c>
      <c r="HG30">
        <v>96.42</v>
      </c>
      <c r="HH30">
        <v>96.44</v>
      </c>
      <c r="HI30">
        <v>96.43</v>
      </c>
      <c r="HJ30">
        <v>96.37</v>
      </c>
      <c r="HK30">
        <v>96.444999999999993</v>
      </c>
      <c r="HL30">
        <v>96.42</v>
      </c>
      <c r="HM30">
        <v>96.37</v>
      </c>
      <c r="HN30">
        <v>96.33</v>
      </c>
      <c r="HO30">
        <v>96.29</v>
      </c>
      <c r="HP30">
        <v>96.36</v>
      </c>
      <c r="HQ30">
        <v>96.325000000000003</v>
      </c>
      <c r="HR30">
        <v>96.295000000000002</v>
      </c>
      <c r="HS30">
        <v>96.254999999999995</v>
      </c>
      <c r="HT30">
        <v>96.174999999999997</v>
      </c>
      <c r="HU30">
        <v>96.185000000000002</v>
      </c>
      <c r="HV30">
        <v>96.275000000000006</v>
      </c>
      <c r="HW30">
        <v>96.375</v>
      </c>
      <c r="HX30">
        <v>96.38</v>
      </c>
      <c r="HY30">
        <v>96.254999999999995</v>
      </c>
      <c r="HZ30">
        <v>96.155000000000001</v>
      </c>
      <c r="IA30">
        <v>96.12</v>
      </c>
      <c r="IB30">
        <v>96.084999999999994</v>
      </c>
      <c r="IC30">
        <v>96.06</v>
      </c>
      <c r="ID30">
        <v>96.02</v>
      </c>
      <c r="IE30">
        <v>95.974999999999994</v>
      </c>
      <c r="IF30">
        <v>96.06</v>
      </c>
      <c r="IG30">
        <v>96.045000000000002</v>
      </c>
      <c r="IH30">
        <v>96.055000000000007</v>
      </c>
      <c r="II30">
        <v>96.105000000000004</v>
      </c>
      <c r="IJ30">
        <v>96.16</v>
      </c>
      <c r="IK30">
        <v>96.135000000000005</v>
      </c>
      <c r="IL30">
        <v>96.06</v>
      </c>
      <c r="IM30">
        <v>96.105000000000004</v>
      </c>
      <c r="IN30">
        <v>96.125</v>
      </c>
      <c r="IO30">
        <v>96.045000000000002</v>
      </c>
      <c r="IP30">
        <v>96.015000000000001</v>
      </c>
      <c r="IQ30">
        <v>96.055000000000007</v>
      </c>
      <c r="IR30">
        <v>96.05</v>
      </c>
      <c r="IS30">
        <v>95.99</v>
      </c>
      <c r="IT30">
        <v>95.99</v>
      </c>
      <c r="IU30">
        <v>95.885000000000005</v>
      </c>
      <c r="IV30">
        <v>95.85</v>
      </c>
      <c r="IW30">
        <v>96.01</v>
      </c>
      <c r="IX30">
        <v>96.075000000000003</v>
      </c>
      <c r="IY30">
        <v>96.04</v>
      </c>
      <c r="IZ30">
        <v>96.13</v>
      </c>
      <c r="JA30">
        <v>96.12</v>
      </c>
      <c r="JB30">
        <v>96.094999999999999</v>
      </c>
      <c r="JC30">
        <v>96.105000000000004</v>
      </c>
      <c r="JD30">
        <v>96.16</v>
      </c>
      <c r="JE30">
        <v>96.16</v>
      </c>
      <c r="JF30">
        <v>96.1</v>
      </c>
      <c r="JG30">
        <v>96.18</v>
      </c>
      <c r="JH30">
        <v>96.114999999999995</v>
      </c>
      <c r="JI30">
        <v>96.06</v>
      </c>
      <c r="JJ30">
        <v>95.944999999999993</v>
      </c>
      <c r="JK30">
        <v>95.864999999999995</v>
      </c>
      <c r="JL30">
        <v>95.91</v>
      </c>
      <c r="JM30">
        <v>96.06</v>
      </c>
      <c r="JN30">
        <v>96.06</v>
      </c>
      <c r="JO30">
        <v>96.025000000000006</v>
      </c>
      <c r="JP30">
        <v>95.944999999999993</v>
      </c>
      <c r="JQ30">
        <v>95.83</v>
      </c>
      <c r="JR30">
        <v>95.805000000000007</v>
      </c>
      <c r="JS30">
        <v>95.745000000000005</v>
      </c>
      <c r="JT30">
        <v>95.85</v>
      </c>
      <c r="JU30">
        <v>95.924999999999997</v>
      </c>
      <c r="JV30">
        <v>95.924999999999997</v>
      </c>
      <c r="JW30">
        <v>95.905000000000001</v>
      </c>
      <c r="JX30">
        <v>95.905000000000001</v>
      </c>
      <c r="JY30">
        <v>95.91</v>
      </c>
      <c r="JZ30">
        <v>95.88</v>
      </c>
      <c r="KA30">
        <v>95.9</v>
      </c>
      <c r="KB30">
        <v>95.944999999999993</v>
      </c>
      <c r="KC30">
        <v>95.95</v>
      </c>
      <c r="KD30">
        <v>95.88</v>
      </c>
      <c r="KE30">
        <v>95.844999999999999</v>
      </c>
      <c r="KF30">
        <v>95.82</v>
      </c>
      <c r="KG30">
        <v>95.875</v>
      </c>
      <c r="KH30">
        <v>95.844999999999999</v>
      </c>
      <c r="KI30">
        <v>95.885000000000005</v>
      </c>
      <c r="KJ30">
        <v>95.84</v>
      </c>
      <c r="KK30">
        <v>95.82</v>
      </c>
      <c r="KL30">
        <v>95.745000000000005</v>
      </c>
      <c r="KM30">
        <v>95.73</v>
      </c>
      <c r="KN30">
        <v>95.665000000000006</v>
      </c>
      <c r="KO30">
        <v>95.734999999999999</v>
      </c>
      <c r="KP30">
        <v>95.655000000000001</v>
      </c>
      <c r="KQ30">
        <v>95.614999999999995</v>
      </c>
      <c r="KR30">
        <v>95.674999999999997</v>
      </c>
      <c r="KS30">
        <v>95.75</v>
      </c>
      <c r="KT30">
        <v>95.73</v>
      </c>
      <c r="KU30">
        <v>95.745000000000005</v>
      </c>
      <c r="KV30">
        <v>95.71</v>
      </c>
      <c r="KW30">
        <v>95.77</v>
      </c>
      <c r="KX30">
        <v>95.694999999999993</v>
      </c>
      <c r="KY30">
        <v>95.73</v>
      </c>
      <c r="KZ30">
        <v>95.87</v>
      </c>
      <c r="LA30">
        <v>95.78</v>
      </c>
      <c r="LB30">
        <v>95.81</v>
      </c>
      <c r="LC30">
        <v>95.954999999999998</v>
      </c>
      <c r="LD30">
        <v>95.894999999999996</v>
      </c>
      <c r="LE30">
        <v>95.94</v>
      </c>
      <c r="LF30">
        <v>95.99</v>
      </c>
      <c r="LG30">
        <v>95.94</v>
      </c>
      <c r="LH30">
        <v>95.93</v>
      </c>
      <c r="LI30">
        <v>95.974999999999994</v>
      </c>
      <c r="LJ30">
        <v>96.105000000000004</v>
      </c>
      <c r="LK30">
        <v>96.105000000000004</v>
      </c>
      <c r="LL30">
        <v>96.07</v>
      </c>
      <c r="LM30">
        <v>96.034999999999997</v>
      </c>
      <c r="LN30">
        <v>96.004999999999995</v>
      </c>
      <c r="LO30">
        <v>96.04</v>
      </c>
      <c r="LP30">
        <v>95.98</v>
      </c>
      <c r="LQ30">
        <v>95.984999999999999</v>
      </c>
      <c r="LR30">
        <v>96.02</v>
      </c>
      <c r="LS30">
        <v>95.99</v>
      </c>
      <c r="LT30">
        <v>96.03</v>
      </c>
      <c r="LU30">
        <v>96.015000000000001</v>
      </c>
      <c r="LV30">
        <v>96.125</v>
      </c>
      <c r="LW30">
        <v>96.14</v>
      </c>
      <c r="LX30">
        <v>96.19</v>
      </c>
      <c r="LY30">
        <v>96.185000000000002</v>
      </c>
      <c r="LZ30">
        <v>96.204999999999998</v>
      </c>
      <c r="MA30">
        <v>96.2</v>
      </c>
      <c r="MB30">
        <v>96.16</v>
      </c>
      <c r="MC30">
        <v>96.07</v>
      </c>
      <c r="MD30">
        <v>96.1</v>
      </c>
      <c r="ME30">
        <v>96.055000000000007</v>
      </c>
      <c r="MF30">
        <v>96.045000000000002</v>
      </c>
      <c r="MG30">
        <v>96.05</v>
      </c>
      <c r="MH30">
        <v>96.07</v>
      </c>
      <c r="MI30">
        <v>96.08</v>
      </c>
      <c r="MJ30">
        <v>95.984999999999999</v>
      </c>
      <c r="MK30">
        <v>95.954999999999998</v>
      </c>
      <c r="ML30">
        <v>96</v>
      </c>
      <c r="MM30">
        <v>95.974999999999994</v>
      </c>
      <c r="MN30">
        <v>95.974999999999994</v>
      </c>
      <c r="MO30">
        <v>96.015000000000001</v>
      </c>
      <c r="MP30">
        <v>95.99</v>
      </c>
      <c r="MQ30">
        <v>95.95</v>
      </c>
      <c r="MR30">
        <v>96.05</v>
      </c>
      <c r="MS30">
        <v>96.03</v>
      </c>
      <c r="MT30">
        <v>96.045000000000002</v>
      </c>
      <c r="MU30">
        <v>96.13</v>
      </c>
      <c r="MV30">
        <v>96.144999999999996</v>
      </c>
      <c r="MW30">
        <v>96.055000000000007</v>
      </c>
      <c r="MX30">
        <v>96.185000000000002</v>
      </c>
      <c r="MY30">
        <v>96.344999999999999</v>
      </c>
      <c r="MZ30">
        <v>96.224999999999994</v>
      </c>
      <c r="NA30">
        <v>96.14</v>
      </c>
      <c r="NB30">
        <v>96.07</v>
      </c>
      <c r="NC30">
        <v>96</v>
      </c>
      <c r="ND30">
        <v>96.034999999999997</v>
      </c>
      <c r="NE30">
        <v>96.004999999999995</v>
      </c>
      <c r="NF30">
        <v>96.05</v>
      </c>
      <c r="NG30">
        <v>96.105000000000004</v>
      </c>
      <c r="NH30">
        <v>96.05</v>
      </c>
      <c r="NI30">
        <v>96.04</v>
      </c>
      <c r="NJ30">
        <v>96.075000000000003</v>
      </c>
      <c r="NK30">
        <v>96.084999999999994</v>
      </c>
      <c r="NL30">
        <v>96.2</v>
      </c>
      <c r="NM30">
        <v>96.2</v>
      </c>
      <c r="NN30">
        <v>96.23</v>
      </c>
      <c r="NO30">
        <v>96.19</v>
      </c>
      <c r="NP30">
        <v>96.2</v>
      </c>
      <c r="NQ30">
        <v>96.204999999999998</v>
      </c>
      <c r="NR30">
        <v>96.194999999999993</v>
      </c>
      <c r="NS30">
        <v>96.25</v>
      </c>
      <c r="NT30">
        <v>96.334999999999994</v>
      </c>
      <c r="NU30">
        <v>96.29</v>
      </c>
      <c r="NV30">
        <v>96.34</v>
      </c>
      <c r="NW30">
        <v>96.34</v>
      </c>
      <c r="NX30">
        <v>96.364999999999995</v>
      </c>
      <c r="NY30">
        <v>96.435000000000002</v>
      </c>
      <c r="NZ30">
        <v>96.33</v>
      </c>
      <c r="OA30">
        <v>96.314999999999998</v>
      </c>
      <c r="OB30">
        <v>96.314999999999998</v>
      </c>
      <c r="OC30">
        <v>96.35</v>
      </c>
      <c r="OD30">
        <v>96.385000000000005</v>
      </c>
      <c r="OE30">
        <v>96.36</v>
      </c>
      <c r="OF30">
        <v>96.325000000000003</v>
      </c>
      <c r="OG30">
        <v>96.36</v>
      </c>
      <c r="OH30">
        <v>96.334999999999994</v>
      </c>
      <c r="OI30">
        <v>96.234999999999999</v>
      </c>
      <c r="OJ30">
        <v>96.084999999999994</v>
      </c>
      <c r="OK30">
        <v>96.03</v>
      </c>
      <c r="OL30">
        <v>96.025000000000006</v>
      </c>
      <c r="OM30">
        <v>96.135000000000005</v>
      </c>
      <c r="ON30">
        <v>96.13</v>
      </c>
      <c r="OO30">
        <v>96.064999999999998</v>
      </c>
      <c r="OP30">
        <v>95.93</v>
      </c>
      <c r="OQ30">
        <v>95.96</v>
      </c>
      <c r="OR30">
        <v>95.844999999999999</v>
      </c>
      <c r="OS30">
        <v>95.93</v>
      </c>
      <c r="OT30">
        <v>95.855000000000004</v>
      </c>
      <c r="OU30">
        <v>95.85</v>
      </c>
      <c r="OV30">
        <v>95.734999999999999</v>
      </c>
      <c r="OW30">
        <v>95.8</v>
      </c>
      <c r="OX30">
        <v>95.8</v>
      </c>
      <c r="OY30">
        <v>95.79</v>
      </c>
      <c r="OZ30">
        <v>95.81</v>
      </c>
      <c r="PA30">
        <v>95.765000000000001</v>
      </c>
      <c r="PB30">
        <v>95.745000000000005</v>
      </c>
      <c r="PC30">
        <v>95.65</v>
      </c>
      <c r="PD30">
        <v>95.734999999999999</v>
      </c>
      <c r="PE30">
        <v>95.564999999999998</v>
      </c>
      <c r="PF30">
        <v>95.56</v>
      </c>
      <c r="PG30">
        <v>95.54</v>
      </c>
      <c r="PH30">
        <v>95.67</v>
      </c>
      <c r="PI30">
        <v>95.584999999999994</v>
      </c>
      <c r="PJ30">
        <v>95.47</v>
      </c>
      <c r="PK30">
        <v>95.58</v>
      </c>
      <c r="PL30">
        <v>95.46</v>
      </c>
      <c r="PM30">
        <v>95.33</v>
      </c>
      <c r="PN30">
        <v>95.24</v>
      </c>
      <c r="PO30">
        <v>95.23</v>
      </c>
      <c r="PP30">
        <v>95.24</v>
      </c>
      <c r="PQ30">
        <v>95.245000000000005</v>
      </c>
      <c r="PR30">
        <v>95.135000000000005</v>
      </c>
      <c r="PS30">
        <v>95.275000000000006</v>
      </c>
      <c r="PT30">
        <v>95.27</v>
      </c>
      <c r="PU30">
        <v>95.165000000000006</v>
      </c>
      <c r="PV30">
        <v>95.09</v>
      </c>
      <c r="PW30">
        <v>95.22</v>
      </c>
      <c r="PX30">
        <v>95.265000000000001</v>
      </c>
      <c r="PY30">
        <v>95.39</v>
      </c>
      <c r="PZ30">
        <v>95.465000000000003</v>
      </c>
      <c r="QA30">
        <v>95.36</v>
      </c>
      <c r="QB30">
        <v>95.474999999999994</v>
      </c>
      <c r="QC30">
        <v>95.385000000000005</v>
      </c>
      <c r="QD30">
        <v>95.364999999999995</v>
      </c>
      <c r="QE30">
        <v>95.24</v>
      </c>
      <c r="QF30">
        <v>95.3</v>
      </c>
      <c r="QG30">
        <v>95.275000000000006</v>
      </c>
      <c r="QH30">
        <v>95.22</v>
      </c>
      <c r="QI30">
        <v>95.35</v>
      </c>
      <c r="QJ30">
        <v>95.51</v>
      </c>
      <c r="QK30">
        <v>95.49</v>
      </c>
      <c r="QL30">
        <v>95.515000000000001</v>
      </c>
      <c r="QM30">
        <v>95.59</v>
      </c>
      <c r="QN30">
        <v>95.6</v>
      </c>
      <c r="QO30">
        <v>95.75</v>
      </c>
      <c r="QP30">
        <v>95.72</v>
      </c>
      <c r="QQ30">
        <v>95.89</v>
      </c>
      <c r="QR30">
        <v>95.88</v>
      </c>
      <c r="QS30">
        <v>95.915000000000006</v>
      </c>
      <c r="QT30">
        <v>95.894999999999996</v>
      </c>
      <c r="QU30">
        <v>95.93</v>
      </c>
      <c r="QV30">
        <v>95.984999999999999</v>
      </c>
      <c r="QW30">
        <v>95.965000000000003</v>
      </c>
      <c r="QX30">
        <v>95.92</v>
      </c>
      <c r="QY30">
        <v>95.96</v>
      </c>
      <c r="QZ30">
        <v>95.95</v>
      </c>
      <c r="RA30">
        <v>95.935000000000002</v>
      </c>
      <c r="RB30">
        <v>95.93</v>
      </c>
      <c r="RC30">
        <v>96</v>
      </c>
      <c r="RD30">
        <v>96</v>
      </c>
      <c r="RE30">
        <v>96.094999999999999</v>
      </c>
      <c r="RF30">
        <v>96.07</v>
      </c>
      <c r="RG30">
        <v>96.075000000000003</v>
      </c>
      <c r="RH30">
        <v>96.03</v>
      </c>
      <c r="RI30">
        <v>95.99</v>
      </c>
      <c r="RJ30">
        <v>95.984999999999999</v>
      </c>
      <c r="RK30">
        <v>96.01</v>
      </c>
      <c r="RL30">
        <v>95.86</v>
      </c>
      <c r="RM30">
        <v>95.83</v>
      </c>
      <c r="RN30">
        <v>95.924999999999997</v>
      </c>
      <c r="RO30">
        <v>95.85</v>
      </c>
      <c r="RP30">
        <v>95.935000000000002</v>
      </c>
      <c r="RQ30">
        <v>95.97</v>
      </c>
      <c r="RR30">
        <v>96.03</v>
      </c>
      <c r="RS30">
        <v>96.004999999999995</v>
      </c>
      <c r="RT30">
        <v>96.094999999999999</v>
      </c>
      <c r="RU30">
        <v>96.2</v>
      </c>
      <c r="RV30">
        <v>96.165000000000006</v>
      </c>
      <c r="RW30">
        <v>96.1</v>
      </c>
      <c r="RX30">
        <v>96.114999999999995</v>
      </c>
      <c r="RY30">
        <v>95.97</v>
      </c>
      <c r="RZ30">
        <v>96.135000000000005</v>
      </c>
      <c r="SA30">
        <v>96.19</v>
      </c>
      <c r="SB30">
        <v>96.28</v>
      </c>
      <c r="SC30">
        <v>96.275000000000006</v>
      </c>
      <c r="SD30">
        <v>96.23</v>
      </c>
      <c r="SE30">
        <v>96.4</v>
      </c>
      <c r="SF30">
        <v>96.35</v>
      </c>
      <c r="SG30">
        <v>96.41</v>
      </c>
      <c r="SH30">
        <v>96.42</v>
      </c>
      <c r="SI30">
        <v>96.4</v>
      </c>
      <c r="SJ30">
        <v>96.52</v>
      </c>
      <c r="SK30">
        <v>96.48</v>
      </c>
      <c r="SL30">
        <v>96.465000000000003</v>
      </c>
      <c r="SM30">
        <v>96.424999999999997</v>
      </c>
      <c r="SN30">
        <v>96.435000000000002</v>
      </c>
      <c r="SO30">
        <v>96.405000000000001</v>
      </c>
      <c r="SP30">
        <v>96.314999999999998</v>
      </c>
      <c r="SQ30">
        <v>96.25</v>
      </c>
      <c r="SR30">
        <v>96.21</v>
      </c>
      <c r="SS30">
        <v>96.265000000000001</v>
      </c>
      <c r="ST30">
        <v>96.394999999999996</v>
      </c>
      <c r="SU30">
        <v>96.5</v>
      </c>
      <c r="SV30">
        <v>96.5</v>
      </c>
      <c r="SW30">
        <v>96.534999999999997</v>
      </c>
      <c r="SX30">
        <v>96.47</v>
      </c>
      <c r="SY30">
        <v>96.614999999999995</v>
      </c>
      <c r="SZ30">
        <v>96.56</v>
      </c>
      <c r="TA30">
        <v>96.59</v>
      </c>
      <c r="TB30">
        <v>96.56</v>
      </c>
      <c r="TC30">
        <v>96.49</v>
      </c>
      <c r="TD30">
        <v>96.564999999999998</v>
      </c>
      <c r="TE30">
        <v>96.58</v>
      </c>
      <c r="TF30">
        <v>96.51</v>
      </c>
      <c r="TG30">
        <v>96.51</v>
      </c>
      <c r="TH30">
        <v>96.545000000000002</v>
      </c>
      <c r="TI30">
        <v>96.474999999999994</v>
      </c>
      <c r="TJ30">
        <v>96.394999999999996</v>
      </c>
      <c r="TK30">
        <v>96.47</v>
      </c>
      <c r="TL30">
        <v>96.474999999999994</v>
      </c>
      <c r="TM30">
        <v>96.48</v>
      </c>
      <c r="TN30">
        <v>96.405000000000001</v>
      </c>
      <c r="TO30">
        <v>96.51</v>
      </c>
      <c r="TP30">
        <v>96.49</v>
      </c>
      <c r="TQ30">
        <v>96.46</v>
      </c>
      <c r="TR30">
        <v>96.56</v>
      </c>
      <c r="TS30">
        <v>96.545000000000002</v>
      </c>
      <c r="TT30">
        <v>96.5</v>
      </c>
      <c r="TU30">
        <v>96.39</v>
      </c>
      <c r="TV30">
        <v>96.39</v>
      </c>
      <c r="TW30">
        <v>96.375</v>
      </c>
      <c r="TX30">
        <v>96.46</v>
      </c>
      <c r="TY30">
        <v>96.474999999999994</v>
      </c>
      <c r="TZ30">
        <v>96.444999999999993</v>
      </c>
      <c r="UA30">
        <v>96.435000000000002</v>
      </c>
      <c r="UB30">
        <v>96.484999999999999</v>
      </c>
      <c r="UC30">
        <v>96.54</v>
      </c>
      <c r="UD30">
        <v>96.555000000000007</v>
      </c>
      <c r="UE30">
        <v>96.61</v>
      </c>
      <c r="UF30">
        <v>96.65</v>
      </c>
      <c r="UG30">
        <v>96.69</v>
      </c>
      <c r="UH30">
        <v>96.644999999999996</v>
      </c>
      <c r="UI30">
        <v>96.58</v>
      </c>
      <c r="UJ30">
        <v>96.59</v>
      </c>
      <c r="UK30">
        <v>96.635000000000005</v>
      </c>
      <c r="UL30">
        <v>96.704999999999998</v>
      </c>
      <c r="UM30">
        <v>96.674999999999997</v>
      </c>
      <c r="UN30">
        <v>96.665000000000006</v>
      </c>
      <c r="UO30">
        <v>96.53</v>
      </c>
      <c r="UP30">
        <v>96.66</v>
      </c>
      <c r="UQ30">
        <v>96.64</v>
      </c>
      <c r="UR30">
        <v>96.715000000000003</v>
      </c>
      <c r="US30">
        <v>96.765000000000001</v>
      </c>
      <c r="UT30">
        <v>96.704999999999998</v>
      </c>
      <c r="UU30">
        <v>96.65</v>
      </c>
      <c r="UV30">
        <v>96.694999999999993</v>
      </c>
      <c r="UW30">
        <v>96.644999999999996</v>
      </c>
      <c r="UX30">
        <v>96.665000000000006</v>
      </c>
      <c r="UY30">
        <v>96.62</v>
      </c>
      <c r="UZ30">
        <v>96.68</v>
      </c>
      <c r="VA30">
        <v>96.734999999999999</v>
      </c>
      <c r="VB30">
        <v>96.79</v>
      </c>
      <c r="VC30">
        <v>96.784999999999997</v>
      </c>
      <c r="VD30">
        <v>96.775000000000006</v>
      </c>
      <c r="VE30">
        <v>96.83</v>
      </c>
      <c r="VF30">
        <v>96.905000000000001</v>
      </c>
      <c r="VG30">
        <v>96.89</v>
      </c>
      <c r="VH30">
        <v>96.855000000000004</v>
      </c>
      <c r="VI30">
        <v>96.79</v>
      </c>
      <c r="VJ30">
        <v>96.734999999999999</v>
      </c>
      <c r="VK30">
        <v>96.7</v>
      </c>
      <c r="VL30">
        <v>96.674999999999997</v>
      </c>
      <c r="VM30">
        <v>96.665000000000006</v>
      </c>
      <c r="VN30">
        <v>96.694999999999993</v>
      </c>
      <c r="VO30">
        <v>96.814999999999998</v>
      </c>
      <c r="VP30">
        <v>96.775000000000006</v>
      </c>
      <c r="VQ30">
        <v>96.724999999999994</v>
      </c>
      <c r="VR30">
        <v>96.67</v>
      </c>
      <c r="VS30">
        <v>96.704999999999998</v>
      </c>
      <c r="VT30">
        <v>96.784999999999997</v>
      </c>
      <c r="VU30">
        <v>96.6</v>
      </c>
      <c r="VV30">
        <v>96.665000000000006</v>
      </c>
      <c r="VW30">
        <v>96.59</v>
      </c>
      <c r="VX30">
        <v>96.665000000000006</v>
      </c>
      <c r="VY30">
        <v>96.644999999999996</v>
      </c>
      <c r="VZ30">
        <v>96.444999999999993</v>
      </c>
      <c r="WA30">
        <v>96.49</v>
      </c>
      <c r="WB30">
        <v>96.47</v>
      </c>
      <c r="WC30">
        <v>96.394999999999996</v>
      </c>
      <c r="WD30">
        <v>96.394999999999996</v>
      </c>
      <c r="WE30">
        <v>96.27</v>
      </c>
      <c r="WF30">
        <v>96.375</v>
      </c>
      <c r="WG30">
        <v>96.46</v>
      </c>
      <c r="WH30">
        <v>96.46</v>
      </c>
      <c r="WI30">
        <v>96.42</v>
      </c>
      <c r="WJ30">
        <v>96.47</v>
      </c>
      <c r="WK30">
        <v>96.42</v>
      </c>
      <c r="WL30">
        <v>96.385000000000005</v>
      </c>
      <c r="WM30">
        <v>96.534999999999997</v>
      </c>
      <c r="WN30">
        <v>96.534999999999997</v>
      </c>
      <c r="WO30">
        <v>96.515000000000001</v>
      </c>
      <c r="WP30">
        <v>96.555000000000007</v>
      </c>
      <c r="WQ30">
        <v>96.62</v>
      </c>
      <c r="WR30">
        <v>96.605000000000004</v>
      </c>
      <c r="WS30">
        <v>96.575000000000003</v>
      </c>
      <c r="WT30">
        <v>96.64</v>
      </c>
      <c r="WU30">
        <v>96.66</v>
      </c>
      <c r="WV30">
        <v>96.64</v>
      </c>
      <c r="WW30">
        <v>96.665000000000006</v>
      </c>
      <c r="WX30">
        <v>96.74</v>
      </c>
      <c r="WY30">
        <v>96.83</v>
      </c>
      <c r="WZ30">
        <v>96.86</v>
      </c>
      <c r="XA30">
        <v>96.76</v>
      </c>
      <c r="XB30">
        <v>96.73</v>
      </c>
      <c r="XC30">
        <v>96.765000000000001</v>
      </c>
      <c r="XD30">
        <v>96.814999999999998</v>
      </c>
      <c r="XE30">
        <v>96.83</v>
      </c>
      <c r="XF30">
        <v>96.83</v>
      </c>
      <c r="XG30">
        <v>96.754999999999995</v>
      </c>
      <c r="XH30">
        <v>96.795000000000002</v>
      </c>
      <c r="XI30">
        <v>96.885000000000005</v>
      </c>
      <c r="XJ30">
        <v>96.915000000000006</v>
      </c>
      <c r="XK30">
        <v>96.78</v>
      </c>
      <c r="XL30">
        <v>96.825000000000003</v>
      </c>
      <c r="XM30">
        <v>96.825000000000003</v>
      </c>
      <c r="XN30">
        <v>96.85</v>
      </c>
      <c r="XO30">
        <v>96.775000000000006</v>
      </c>
      <c r="XP30">
        <v>96.72</v>
      </c>
      <c r="XQ30">
        <v>96.834999999999994</v>
      </c>
      <c r="XR30">
        <v>96.79</v>
      </c>
      <c r="XS30">
        <v>96.635000000000005</v>
      </c>
      <c r="XT30">
        <v>96.62</v>
      </c>
      <c r="XU30">
        <v>96.52</v>
      </c>
      <c r="XV30">
        <v>96.45</v>
      </c>
      <c r="XW30">
        <v>96.45</v>
      </c>
      <c r="XX30">
        <v>96.41</v>
      </c>
      <c r="XY30">
        <v>96.355000000000004</v>
      </c>
      <c r="XZ30">
        <v>96.44</v>
      </c>
      <c r="YA30">
        <v>96.525000000000006</v>
      </c>
      <c r="YB30">
        <v>96.525000000000006</v>
      </c>
      <c r="YC30">
        <v>96.555000000000007</v>
      </c>
      <c r="YD30">
        <v>96.53</v>
      </c>
      <c r="YE30">
        <v>96.58</v>
      </c>
      <c r="YF30">
        <v>96.72</v>
      </c>
      <c r="YG30">
        <v>96.814999999999998</v>
      </c>
      <c r="YH30">
        <v>96.88</v>
      </c>
      <c r="YI30">
        <v>96.82</v>
      </c>
      <c r="YJ30">
        <v>96.82</v>
      </c>
      <c r="YK30">
        <v>96.72</v>
      </c>
      <c r="YL30">
        <v>96.754999999999995</v>
      </c>
      <c r="YM30">
        <v>96.844999999999999</v>
      </c>
      <c r="YN30">
        <v>96.954999999999998</v>
      </c>
      <c r="YO30">
        <v>96.844999999999999</v>
      </c>
      <c r="YP30">
        <v>96.75</v>
      </c>
      <c r="YQ30">
        <v>96.85</v>
      </c>
      <c r="YR30">
        <v>96.805000000000007</v>
      </c>
      <c r="YS30">
        <v>96.644999999999996</v>
      </c>
      <c r="YT30">
        <v>96.614999999999995</v>
      </c>
      <c r="YU30">
        <v>96.66</v>
      </c>
      <c r="YV30">
        <v>96.644999999999996</v>
      </c>
      <c r="YW30">
        <v>96.63</v>
      </c>
      <c r="YX30">
        <v>96.63</v>
      </c>
      <c r="YY30">
        <v>96.56</v>
      </c>
      <c r="YZ30">
        <v>96.46</v>
      </c>
      <c r="ZA30">
        <v>96.44</v>
      </c>
      <c r="ZB30">
        <v>96.51</v>
      </c>
      <c r="ZC30">
        <v>96.564999999999998</v>
      </c>
      <c r="ZD30">
        <v>96.44</v>
      </c>
      <c r="ZE30">
        <v>96.364999999999995</v>
      </c>
      <c r="ZF30">
        <v>96.415000000000006</v>
      </c>
      <c r="ZG30">
        <v>96.405000000000001</v>
      </c>
      <c r="ZH30">
        <v>96.11</v>
      </c>
      <c r="ZI30">
        <v>96.15</v>
      </c>
      <c r="ZJ30">
        <v>96.064999999999998</v>
      </c>
      <c r="ZK30">
        <v>96.08</v>
      </c>
      <c r="ZL30">
        <v>96.11</v>
      </c>
      <c r="ZM30">
        <v>96.114999999999995</v>
      </c>
      <c r="ZN30">
        <v>96.094999999999999</v>
      </c>
      <c r="ZO30">
        <v>96.055000000000007</v>
      </c>
      <c r="ZP30">
        <v>96.084999999999994</v>
      </c>
      <c r="ZQ30">
        <v>96.18</v>
      </c>
      <c r="ZR30">
        <v>96.12</v>
      </c>
      <c r="ZS30">
        <v>96.03</v>
      </c>
      <c r="ZT30">
        <v>95.89</v>
      </c>
      <c r="ZU30">
        <v>95.94</v>
      </c>
      <c r="ZV30">
        <v>95.995000000000005</v>
      </c>
      <c r="ZW30">
        <v>96.105000000000004</v>
      </c>
      <c r="ZX30">
        <v>96.23</v>
      </c>
      <c r="ZY30">
        <v>96.21</v>
      </c>
      <c r="ZZ30">
        <v>96.224999999999994</v>
      </c>
      <c r="AAA30">
        <v>96.27</v>
      </c>
      <c r="AAB30">
        <v>96.254999999999995</v>
      </c>
      <c r="AAC30">
        <v>96.215000000000003</v>
      </c>
      <c r="AAD30">
        <v>96.165000000000006</v>
      </c>
      <c r="AAE30">
        <v>96.265000000000001</v>
      </c>
      <c r="AAF30">
        <v>96.31</v>
      </c>
      <c r="AAG30">
        <v>96.355000000000004</v>
      </c>
      <c r="AAH30">
        <v>96.49</v>
      </c>
      <c r="AAI30">
        <v>96.41</v>
      </c>
      <c r="AAJ30">
        <v>96.254999999999995</v>
      </c>
      <c r="AAK30">
        <v>96.314999999999998</v>
      </c>
      <c r="AAL30">
        <v>96.36</v>
      </c>
      <c r="AAM30">
        <v>96.23</v>
      </c>
      <c r="AAN30">
        <v>96.355000000000004</v>
      </c>
      <c r="AAO30">
        <v>96.54</v>
      </c>
      <c r="AAP30">
        <v>96.424999999999997</v>
      </c>
      <c r="AAQ30">
        <v>96.6</v>
      </c>
      <c r="AAR30">
        <v>96.534999999999997</v>
      </c>
      <c r="AAS30">
        <v>96.625</v>
      </c>
      <c r="AAT30">
        <v>96.63</v>
      </c>
      <c r="AAU30">
        <v>96.655000000000001</v>
      </c>
      <c r="AAV30">
        <v>96.734999999999999</v>
      </c>
      <c r="AAW30">
        <v>96.704999999999998</v>
      </c>
      <c r="AAX30">
        <v>96.694999999999993</v>
      </c>
      <c r="AAY30">
        <v>96.75</v>
      </c>
      <c r="AAZ30">
        <v>96.754999999999995</v>
      </c>
      <c r="ABA30">
        <v>96.784999999999997</v>
      </c>
      <c r="ABB30">
        <v>96.665000000000006</v>
      </c>
      <c r="ABC30">
        <v>96.834999999999994</v>
      </c>
      <c r="ABD30">
        <v>96.834999999999994</v>
      </c>
      <c r="ABE30">
        <v>96.795000000000002</v>
      </c>
      <c r="ABF30">
        <v>96.974999999999994</v>
      </c>
      <c r="ABG30">
        <v>97.01</v>
      </c>
      <c r="ABH30">
        <v>96.965000000000003</v>
      </c>
      <c r="ABI30">
        <v>97.075000000000003</v>
      </c>
      <c r="ABJ30">
        <v>97.09</v>
      </c>
      <c r="ABK30">
        <v>97</v>
      </c>
      <c r="ABL30">
        <v>97.08</v>
      </c>
      <c r="ABM30">
        <v>97.105000000000004</v>
      </c>
      <c r="ABN30">
        <v>97.125</v>
      </c>
      <c r="ABO30">
        <v>97.254999999999995</v>
      </c>
      <c r="ABP30">
        <v>97.24</v>
      </c>
      <c r="ABQ30">
        <v>97.314999999999998</v>
      </c>
      <c r="ABR30">
        <v>97.29</v>
      </c>
      <c r="ABS30">
        <v>97.204999999999998</v>
      </c>
      <c r="ABT30">
        <v>97.15</v>
      </c>
      <c r="ABU30">
        <v>97.325000000000003</v>
      </c>
      <c r="ABV30">
        <v>97.364999999999995</v>
      </c>
      <c r="ABW30">
        <v>97.344999999999999</v>
      </c>
      <c r="ABX30">
        <v>97.254999999999995</v>
      </c>
      <c r="ABY30">
        <v>97.394999999999996</v>
      </c>
      <c r="ABZ30">
        <v>97.314999999999998</v>
      </c>
      <c r="ACA30">
        <v>97.295000000000002</v>
      </c>
      <c r="ACB30">
        <v>97.355000000000004</v>
      </c>
      <c r="ACC30">
        <v>97.284999999999997</v>
      </c>
      <c r="ACD30">
        <v>97.24</v>
      </c>
      <c r="ACE30">
        <v>97.19</v>
      </c>
      <c r="ACF30">
        <v>97.135000000000005</v>
      </c>
      <c r="ACG30">
        <v>97.1</v>
      </c>
      <c r="ACH30">
        <v>97.17</v>
      </c>
      <c r="ACI30">
        <v>97.064999999999998</v>
      </c>
      <c r="ACJ30">
        <v>96.954999999999998</v>
      </c>
      <c r="ACK30">
        <v>96.99</v>
      </c>
      <c r="ACL30">
        <v>97.03</v>
      </c>
      <c r="ACM30">
        <v>97.055000000000007</v>
      </c>
      <c r="ACN30">
        <v>96.99</v>
      </c>
      <c r="ACO30">
        <v>97.02</v>
      </c>
      <c r="ACP30">
        <v>96.9</v>
      </c>
      <c r="ACQ30">
        <v>96.844999999999999</v>
      </c>
      <c r="ACR30">
        <v>96.71</v>
      </c>
      <c r="ACS30">
        <v>96.795000000000002</v>
      </c>
      <c r="ACT30">
        <v>96.91</v>
      </c>
      <c r="ACU30">
        <v>96.995000000000005</v>
      </c>
      <c r="ACV30">
        <v>96.92</v>
      </c>
      <c r="ACW30">
        <v>96.92</v>
      </c>
      <c r="ACX30">
        <v>96.89</v>
      </c>
      <c r="ACY30">
        <v>96.775000000000006</v>
      </c>
      <c r="ACZ30">
        <v>96.674999999999997</v>
      </c>
      <c r="ADA30">
        <v>96.69</v>
      </c>
      <c r="ADB30">
        <v>96.745000000000005</v>
      </c>
      <c r="ADC30">
        <v>96.84</v>
      </c>
      <c r="ADD30">
        <v>96.74</v>
      </c>
      <c r="ADE30">
        <v>96.61</v>
      </c>
      <c r="ADF30">
        <v>96.71</v>
      </c>
      <c r="ADG30">
        <v>96.71</v>
      </c>
      <c r="ADH30">
        <v>96.63</v>
      </c>
      <c r="ADI30">
        <v>96.54</v>
      </c>
      <c r="ADJ30">
        <v>96.51</v>
      </c>
      <c r="ADK30">
        <v>96.594999999999999</v>
      </c>
      <c r="ADL30">
        <v>96.805000000000007</v>
      </c>
      <c r="ADM30">
        <v>96.86</v>
      </c>
      <c r="ADN30">
        <v>96.86</v>
      </c>
      <c r="ADO30">
        <v>96.915000000000006</v>
      </c>
      <c r="ADP30">
        <v>96.814999999999998</v>
      </c>
      <c r="ADQ30">
        <v>96.92</v>
      </c>
      <c r="ADR30">
        <v>96.97</v>
      </c>
      <c r="ADS30">
        <v>96.924999999999997</v>
      </c>
      <c r="ADT30">
        <v>96.96</v>
      </c>
      <c r="ADU30">
        <v>97.06</v>
      </c>
      <c r="ADV30">
        <v>97.06</v>
      </c>
      <c r="ADW30">
        <v>97.04</v>
      </c>
      <c r="ADX30">
        <v>97.08</v>
      </c>
      <c r="ADY30">
        <v>97.09</v>
      </c>
      <c r="ADZ30">
        <v>97.07</v>
      </c>
      <c r="AEA30">
        <v>97.13</v>
      </c>
      <c r="AEB30">
        <v>97.025000000000006</v>
      </c>
      <c r="AEC30">
        <v>96.99</v>
      </c>
      <c r="AED30">
        <v>96.855000000000004</v>
      </c>
      <c r="AEE30">
        <v>96.93</v>
      </c>
      <c r="AEF30">
        <v>96.88</v>
      </c>
      <c r="AEG30">
        <v>96.99</v>
      </c>
      <c r="AEH30">
        <v>96.9</v>
      </c>
      <c r="AEI30">
        <v>96.775000000000006</v>
      </c>
      <c r="AEJ30">
        <v>96.674999999999997</v>
      </c>
      <c r="AEK30">
        <v>96.64</v>
      </c>
      <c r="AEL30">
        <v>96.745000000000005</v>
      </c>
      <c r="AEM30">
        <v>96.92</v>
      </c>
      <c r="AEN30">
        <v>96.94</v>
      </c>
      <c r="AEO30">
        <v>96.875</v>
      </c>
      <c r="AEP30">
        <v>97.02</v>
      </c>
      <c r="AEQ30">
        <v>97.02</v>
      </c>
      <c r="AER30">
        <v>97.084999999999994</v>
      </c>
      <c r="AES30">
        <v>97.155000000000001</v>
      </c>
      <c r="AET30">
        <v>97.135000000000005</v>
      </c>
      <c r="AEU30">
        <v>97.05</v>
      </c>
      <c r="AEV30">
        <v>97.015000000000001</v>
      </c>
      <c r="AEW30">
        <v>97.07</v>
      </c>
      <c r="AEX30">
        <v>96.98</v>
      </c>
      <c r="AEY30">
        <v>97.015000000000001</v>
      </c>
      <c r="AEZ30">
        <v>97.114999999999995</v>
      </c>
      <c r="AFA30">
        <v>97.114999999999995</v>
      </c>
      <c r="AFB30">
        <v>97.25</v>
      </c>
      <c r="AFC30">
        <v>97.194999999999993</v>
      </c>
      <c r="AFD30">
        <v>97.18</v>
      </c>
      <c r="AFE30">
        <v>97.305000000000007</v>
      </c>
      <c r="AFF30">
        <v>97.4</v>
      </c>
      <c r="AFG30">
        <v>97.54</v>
      </c>
      <c r="AFH30">
        <v>97.65</v>
      </c>
      <c r="AFI30">
        <v>97.795000000000002</v>
      </c>
      <c r="AFJ30">
        <v>97.814999999999998</v>
      </c>
      <c r="AFK30">
        <v>97.844999999999999</v>
      </c>
      <c r="AFL30">
        <v>97.8</v>
      </c>
      <c r="AFM30">
        <v>97.75</v>
      </c>
      <c r="AFN30">
        <v>97.665000000000006</v>
      </c>
      <c r="AFO30">
        <v>97.64</v>
      </c>
      <c r="AFP30">
        <v>97.78</v>
      </c>
      <c r="AFQ30">
        <v>97.81</v>
      </c>
      <c r="AFR30">
        <v>97.754999999999995</v>
      </c>
      <c r="AFS30">
        <v>97.82</v>
      </c>
      <c r="AFT30">
        <v>97.96</v>
      </c>
      <c r="AFU30">
        <v>97.885000000000005</v>
      </c>
      <c r="AFV30">
        <v>97.864999999999995</v>
      </c>
      <c r="AFW30">
        <v>97.875</v>
      </c>
      <c r="AFX30">
        <v>97.9</v>
      </c>
      <c r="AFY30">
        <v>98.06</v>
      </c>
      <c r="AFZ30">
        <v>98.07</v>
      </c>
      <c r="AGA30">
        <v>98.144999999999996</v>
      </c>
      <c r="AGB30">
        <v>98.24</v>
      </c>
      <c r="AGC30">
        <v>98.355000000000004</v>
      </c>
      <c r="AGD30">
        <v>98.33</v>
      </c>
      <c r="AGE30">
        <v>98.194999999999993</v>
      </c>
      <c r="AGF30">
        <v>98.15</v>
      </c>
      <c r="AGG30">
        <v>98.295000000000002</v>
      </c>
      <c r="AGH30">
        <v>98.18</v>
      </c>
      <c r="AGI30">
        <v>98.04</v>
      </c>
      <c r="AGJ30">
        <v>98.05</v>
      </c>
      <c r="AGK30">
        <v>98.075000000000003</v>
      </c>
      <c r="AGL30">
        <v>98.114999999999995</v>
      </c>
      <c r="AGM30">
        <v>98.105000000000004</v>
      </c>
      <c r="AGN30">
        <v>98.105000000000004</v>
      </c>
      <c r="AGO30">
        <v>98.055000000000007</v>
      </c>
      <c r="AGP30">
        <v>97.965000000000003</v>
      </c>
      <c r="AGQ30">
        <v>97.974999999999994</v>
      </c>
      <c r="AGR30">
        <v>98.06</v>
      </c>
      <c r="AGS30">
        <v>98.105000000000004</v>
      </c>
      <c r="AGT30">
        <v>97.995000000000005</v>
      </c>
      <c r="AGU30">
        <v>98.064999999999998</v>
      </c>
      <c r="AGV30">
        <v>98.025000000000006</v>
      </c>
      <c r="AGW30">
        <v>98.064999999999998</v>
      </c>
      <c r="AGX30">
        <v>98.05</v>
      </c>
      <c r="AGY30">
        <v>98.155000000000001</v>
      </c>
      <c r="AGZ30">
        <v>98.21</v>
      </c>
      <c r="AHA30">
        <v>98.174999999999997</v>
      </c>
      <c r="AHB30">
        <v>98.185000000000002</v>
      </c>
      <c r="AHC30">
        <v>98.194999999999993</v>
      </c>
      <c r="AHD30">
        <v>98.155000000000001</v>
      </c>
      <c r="AHE30">
        <v>98.05</v>
      </c>
      <c r="AHF30">
        <v>98.114999999999995</v>
      </c>
      <c r="AHG30">
        <v>98.18</v>
      </c>
      <c r="AHH30">
        <v>98.165000000000006</v>
      </c>
      <c r="AHI30">
        <v>98.094999999999999</v>
      </c>
      <c r="AHJ30">
        <v>98.084999999999994</v>
      </c>
      <c r="AHK30">
        <v>98.03</v>
      </c>
      <c r="AHL30">
        <v>98.135000000000005</v>
      </c>
      <c r="AHM30">
        <v>98.135000000000005</v>
      </c>
      <c r="AHN30">
        <v>98.21</v>
      </c>
      <c r="AHO30">
        <v>98.18</v>
      </c>
      <c r="AHP30">
        <v>98.135000000000005</v>
      </c>
      <c r="AHQ30">
        <v>98.084999999999994</v>
      </c>
      <c r="AHR30">
        <v>98.08</v>
      </c>
      <c r="AHS30">
        <v>98.1</v>
      </c>
      <c r="AHT30">
        <v>98.125</v>
      </c>
      <c r="AHU30">
        <v>98.14</v>
      </c>
      <c r="AHV30">
        <v>98.2</v>
      </c>
      <c r="AHW30">
        <v>98.37</v>
      </c>
      <c r="AHX30">
        <v>98.355000000000004</v>
      </c>
      <c r="AHY30">
        <v>98.344999999999999</v>
      </c>
      <c r="AHZ30">
        <v>98.44</v>
      </c>
      <c r="AIA30">
        <v>98.415000000000006</v>
      </c>
      <c r="AIB30">
        <v>98.38</v>
      </c>
      <c r="AIC30">
        <v>98.38</v>
      </c>
      <c r="AID30">
        <v>98.405000000000001</v>
      </c>
      <c r="AIE30">
        <v>98.364999999999995</v>
      </c>
      <c r="AIF30">
        <v>98.46</v>
      </c>
      <c r="AIG30">
        <v>98.534999999999997</v>
      </c>
      <c r="AIH30">
        <v>98.495000000000005</v>
      </c>
      <c r="AII30">
        <v>98.465000000000003</v>
      </c>
      <c r="AIJ30">
        <v>98.46</v>
      </c>
      <c r="AIK30">
        <v>98.465000000000003</v>
      </c>
      <c r="AIL30">
        <v>98.4</v>
      </c>
      <c r="AIM30">
        <v>98.424999999999997</v>
      </c>
      <c r="AIN30">
        <v>98.385000000000005</v>
      </c>
      <c r="AIO30">
        <v>98.405000000000001</v>
      </c>
      <c r="AIP30">
        <v>98.435000000000002</v>
      </c>
      <c r="AIQ30">
        <v>98.584999999999994</v>
      </c>
      <c r="AIR30">
        <v>98.44</v>
      </c>
      <c r="AIS30">
        <v>98.43</v>
      </c>
      <c r="AIT30">
        <v>98.344999999999999</v>
      </c>
      <c r="AIU30">
        <v>98.224999999999994</v>
      </c>
      <c r="AIV30">
        <v>98.33</v>
      </c>
      <c r="AIW30">
        <v>98.155000000000001</v>
      </c>
      <c r="AIX30">
        <v>98.155000000000001</v>
      </c>
      <c r="AIY30">
        <v>98.114999999999995</v>
      </c>
      <c r="AIZ30">
        <v>98.185000000000002</v>
      </c>
      <c r="AJA30">
        <v>98.29</v>
      </c>
      <c r="AJB30">
        <v>98.22</v>
      </c>
      <c r="AJC30">
        <v>98.19</v>
      </c>
      <c r="AJD30">
        <v>98.165000000000006</v>
      </c>
      <c r="AJE30">
        <v>98.21</v>
      </c>
      <c r="AJF30">
        <v>98.24</v>
      </c>
      <c r="AJG30">
        <v>98.254999999999995</v>
      </c>
      <c r="AJH30">
        <v>98.28</v>
      </c>
      <c r="AJI30">
        <v>98.35</v>
      </c>
      <c r="AJJ30">
        <v>98.254999999999995</v>
      </c>
      <c r="AJK30">
        <v>98.28</v>
      </c>
      <c r="AJL30">
        <v>98.185000000000002</v>
      </c>
      <c r="AJM30">
        <v>98.155000000000001</v>
      </c>
      <c r="AJN30">
        <v>98.174999999999997</v>
      </c>
      <c r="AJO30">
        <v>98.21</v>
      </c>
      <c r="AJP30">
        <v>98.25</v>
      </c>
      <c r="AJQ30">
        <v>98.215000000000003</v>
      </c>
      <c r="AJR30">
        <v>98.234999999999999</v>
      </c>
      <c r="AJS30">
        <v>98.06</v>
      </c>
      <c r="AJT30">
        <v>98.05</v>
      </c>
      <c r="AJU30">
        <v>98.015000000000001</v>
      </c>
      <c r="AJV30">
        <v>97.96</v>
      </c>
      <c r="AJW30">
        <v>97.995000000000005</v>
      </c>
      <c r="AJX30">
        <v>98.02</v>
      </c>
      <c r="AJY30">
        <v>98.12</v>
      </c>
      <c r="AJZ30">
        <v>98.094999999999999</v>
      </c>
      <c r="AKA30">
        <v>98.15</v>
      </c>
      <c r="AKB30">
        <v>98.11</v>
      </c>
      <c r="AKC30">
        <v>98</v>
      </c>
      <c r="AKD30">
        <v>97.91</v>
      </c>
      <c r="AKE30">
        <v>97.905000000000001</v>
      </c>
      <c r="AKF30">
        <v>97.954999999999998</v>
      </c>
      <c r="AKG30">
        <v>98.015000000000001</v>
      </c>
      <c r="AKH30">
        <v>97.995000000000005</v>
      </c>
      <c r="AKI30">
        <v>98.045000000000002</v>
      </c>
      <c r="AKJ30">
        <v>98.02</v>
      </c>
      <c r="AKK30">
        <v>97.96</v>
      </c>
      <c r="AKL30">
        <v>97.95</v>
      </c>
      <c r="AKM30">
        <v>97.984999999999999</v>
      </c>
      <c r="AKN30">
        <v>98.08</v>
      </c>
      <c r="AKO30">
        <v>98.13</v>
      </c>
      <c r="AKP30">
        <v>98.21</v>
      </c>
      <c r="AKQ30">
        <v>98.305000000000007</v>
      </c>
      <c r="AKR30">
        <v>98.245000000000005</v>
      </c>
      <c r="AKS30">
        <v>98.25</v>
      </c>
      <c r="AKT30">
        <v>98.174999999999997</v>
      </c>
      <c r="AKU30">
        <v>98.245000000000005</v>
      </c>
      <c r="AKV30">
        <v>98.284999999999997</v>
      </c>
      <c r="AKW30">
        <v>98.35</v>
      </c>
      <c r="AKX30">
        <v>98.27</v>
      </c>
      <c r="AKY30">
        <v>98.24</v>
      </c>
      <c r="AKZ30">
        <v>98.314999999999998</v>
      </c>
      <c r="ALA30">
        <v>98.275000000000006</v>
      </c>
      <c r="ALB30">
        <v>98.224999999999994</v>
      </c>
      <c r="ALC30">
        <v>98.275000000000006</v>
      </c>
      <c r="ALD30">
        <v>98.275000000000006</v>
      </c>
      <c r="ALE30">
        <v>98.33</v>
      </c>
      <c r="ALF30">
        <v>98.32</v>
      </c>
      <c r="ALG30">
        <v>98.305000000000007</v>
      </c>
      <c r="ALH30">
        <v>98.34</v>
      </c>
      <c r="ALI30">
        <v>98.334999999999994</v>
      </c>
      <c r="ALJ30">
        <v>98.305000000000007</v>
      </c>
      <c r="ALK30">
        <v>98.314999999999998</v>
      </c>
      <c r="ALL30">
        <v>98.39</v>
      </c>
      <c r="ALM30">
        <v>98.444999999999993</v>
      </c>
      <c r="ALN30">
        <v>98.435000000000002</v>
      </c>
      <c r="ALO30">
        <v>98.46</v>
      </c>
      <c r="ALP30">
        <v>98.41</v>
      </c>
      <c r="ALQ30">
        <v>98.45</v>
      </c>
      <c r="ALR30">
        <v>98.454999999999998</v>
      </c>
      <c r="ALS30">
        <v>98.405000000000001</v>
      </c>
      <c r="ALT30">
        <v>98.31</v>
      </c>
      <c r="ALU30">
        <v>98.325000000000003</v>
      </c>
      <c r="ALV30">
        <v>98.344999999999999</v>
      </c>
      <c r="ALW30">
        <v>98.36</v>
      </c>
      <c r="ALX30">
        <v>98.394999999999996</v>
      </c>
      <c r="ALY30">
        <v>98.49</v>
      </c>
      <c r="ALZ30">
        <v>98.504999999999995</v>
      </c>
      <c r="AMA30">
        <v>98.5</v>
      </c>
      <c r="AMB30">
        <v>98.504999999999995</v>
      </c>
      <c r="AMC30">
        <v>98.41</v>
      </c>
      <c r="AMD30">
        <v>98.39</v>
      </c>
      <c r="AME30">
        <v>98.415000000000006</v>
      </c>
      <c r="AMF30">
        <v>98.435000000000002</v>
      </c>
      <c r="AMG30">
        <v>98.394999999999996</v>
      </c>
      <c r="AMH30">
        <v>98.375</v>
      </c>
      <c r="AMI30">
        <v>98.4</v>
      </c>
      <c r="AMJ30">
        <v>98.394999999999996</v>
      </c>
      <c r="AMK30">
        <v>98.504999999999995</v>
      </c>
      <c r="AML30">
        <v>98.59</v>
      </c>
      <c r="AMM30">
        <v>98.415000000000006</v>
      </c>
      <c r="AMN30">
        <v>98.41</v>
      </c>
      <c r="AMO30">
        <v>98.3</v>
      </c>
      <c r="AMP30">
        <v>98.21</v>
      </c>
      <c r="AMQ30">
        <v>98.275000000000006</v>
      </c>
      <c r="AMR30">
        <v>98.27</v>
      </c>
      <c r="AMS30">
        <v>98.364999999999995</v>
      </c>
      <c r="AMT30">
        <v>98.35</v>
      </c>
      <c r="AMU30">
        <v>98.295000000000002</v>
      </c>
      <c r="AMV30">
        <v>98.21</v>
      </c>
      <c r="AMW30">
        <v>98.21</v>
      </c>
      <c r="AMX30">
        <v>98.144999999999996</v>
      </c>
      <c r="AMY30">
        <v>98.18</v>
      </c>
      <c r="AMZ30">
        <v>98.105000000000004</v>
      </c>
      <c r="ANA30">
        <v>98.094999999999999</v>
      </c>
      <c r="ANB30">
        <v>98.01</v>
      </c>
      <c r="ANC30">
        <v>98.055000000000007</v>
      </c>
      <c r="AND30">
        <v>98.045000000000002</v>
      </c>
      <c r="ANE30">
        <v>98.08</v>
      </c>
      <c r="ANF30">
        <v>98.075000000000003</v>
      </c>
      <c r="ANG30">
        <v>98.135000000000005</v>
      </c>
      <c r="ANH30">
        <v>98.03</v>
      </c>
      <c r="ANI30">
        <v>97.89</v>
      </c>
      <c r="ANJ30">
        <v>97.965000000000003</v>
      </c>
      <c r="ANK30">
        <v>97.95</v>
      </c>
      <c r="ANL30">
        <v>97.91</v>
      </c>
      <c r="ANM30">
        <v>97.93</v>
      </c>
      <c r="ANN30">
        <v>97.894999999999996</v>
      </c>
      <c r="ANO30">
        <v>97.844999999999999</v>
      </c>
      <c r="ANP30">
        <v>97.8</v>
      </c>
      <c r="ANQ30">
        <v>97.79</v>
      </c>
      <c r="ANR30">
        <v>97.694999999999993</v>
      </c>
      <c r="ANS30">
        <v>97.745000000000005</v>
      </c>
      <c r="ANT30">
        <v>97.71</v>
      </c>
      <c r="ANU30">
        <v>97.754999999999995</v>
      </c>
      <c r="ANV30">
        <v>97.754999999999995</v>
      </c>
      <c r="ANW30">
        <v>97.75</v>
      </c>
      <c r="ANX30">
        <v>97.8</v>
      </c>
      <c r="ANY30">
        <v>97.82</v>
      </c>
      <c r="ANZ30">
        <v>97.77</v>
      </c>
      <c r="AOA30">
        <v>97.73</v>
      </c>
      <c r="AOB30">
        <v>97.734999999999999</v>
      </c>
      <c r="AOC30">
        <v>97.674999999999997</v>
      </c>
      <c r="AOD30">
        <v>97.715000000000003</v>
      </c>
      <c r="AOE30">
        <v>97.72</v>
      </c>
      <c r="AOF30">
        <v>97.73</v>
      </c>
      <c r="AOG30">
        <v>97.685000000000002</v>
      </c>
      <c r="AOH30">
        <v>97.63</v>
      </c>
      <c r="AOI30">
        <v>97.73</v>
      </c>
      <c r="AOJ30">
        <v>97.754999999999995</v>
      </c>
      <c r="AOK30">
        <v>97.784999999999997</v>
      </c>
      <c r="AOL30">
        <v>97.8</v>
      </c>
      <c r="AOM30">
        <v>97.77</v>
      </c>
      <c r="AON30">
        <v>97.745000000000005</v>
      </c>
      <c r="AOO30">
        <v>97.72</v>
      </c>
      <c r="AOP30">
        <v>97.685000000000002</v>
      </c>
      <c r="AOQ30">
        <v>97.685000000000002</v>
      </c>
      <c r="AOR30">
        <v>97.71</v>
      </c>
      <c r="AOS30">
        <v>97.72</v>
      </c>
      <c r="AOT30">
        <v>97.78</v>
      </c>
      <c r="AOU30">
        <v>97.79</v>
      </c>
      <c r="AOV30">
        <v>97.814999999999998</v>
      </c>
      <c r="AOW30">
        <v>97.805000000000007</v>
      </c>
      <c r="AOX30">
        <v>97.81</v>
      </c>
      <c r="AOY30">
        <v>97.784999999999997</v>
      </c>
      <c r="AOZ30">
        <v>97.8</v>
      </c>
      <c r="APA30">
        <v>97.84</v>
      </c>
      <c r="APB30">
        <v>97.694999999999993</v>
      </c>
      <c r="APC30">
        <v>97.685000000000002</v>
      </c>
      <c r="APD30">
        <v>97.59</v>
      </c>
      <c r="APE30">
        <v>97.6</v>
      </c>
      <c r="APF30">
        <v>97.63</v>
      </c>
      <c r="APG30">
        <v>97.605000000000004</v>
      </c>
      <c r="APH30">
        <v>97.58</v>
      </c>
      <c r="API30">
        <v>97.474999999999994</v>
      </c>
      <c r="APJ30">
        <v>97.46</v>
      </c>
      <c r="APK30">
        <v>97.525000000000006</v>
      </c>
      <c r="APL30">
        <v>97.405000000000001</v>
      </c>
      <c r="APM30">
        <v>97.44</v>
      </c>
      <c r="APN30">
        <v>97.465000000000003</v>
      </c>
      <c r="APO30">
        <v>97.545000000000002</v>
      </c>
      <c r="APP30">
        <v>97.605000000000004</v>
      </c>
      <c r="APQ30">
        <v>97.58</v>
      </c>
      <c r="APR30">
        <v>97.56</v>
      </c>
      <c r="APS30">
        <v>97.5</v>
      </c>
      <c r="APT30">
        <v>97.454999999999998</v>
      </c>
      <c r="APU30">
        <v>97.62</v>
      </c>
      <c r="APV30">
        <v>97.81</v>
      </c>
      <c r="APW30">
        <v>97.814999999999998</v>
      </c>
      <c r="APX30">
        <v>97.81</v>
      </c>
      <c r="APY30">
        <v>97.795000000000002</v>
      </c>
      <c r="APZ30">
        <v>97.864999999999995</v>
      </c>
      <c r="AQA30">
        <v>97.86</v>
      </c>
      <c r="AQB30">
        <v>97.83</v>
      </c>
      <c r="AQC30">
        <v>97.775000000000006</v>
      </c>
      <c r="AQD30">
        <v>97.84</v>
      </c>
      <c r="AQE30">
        <v>97.83</v>
      </c>
      <c r="AQF30">
        <v>97.894999999999996</v>
      </c>
      <c r="AQG30">
        <v>97.95</v>
      </c>
      <c r="AQH30">
        <v>97.91</v>
      </c>
      <c r="AQI30">
        <v>97.83</v>
      </c>
      <c r="AQJ30">
        <v>97.834999999999994</v>
      </c>
      <c r="AQK30">
        <v>97.93</v>
      </c>
      <c r="AQL30">
        <v>97.954999999999998</v>
      </c>
      <c r="AQM30">
        <v>97.944999999999993</v>
      </c>
      <c r="AQN30">
        <v>97.98</v>
      </c>
      <c r="AQO30">
        <v>98.025000000000006</v>
      </c>
      <c r="AQP30">
        <v>98.06</v>
      </c>
      <c r="AQQ30">
        <v>98.084999999999994</v>
      </c>
      <c r="AQR30">
        <v>98.204999999999998</v>
      </c>
      <c r="AQS30">
        <v>98.204999999999998</v>
      </c>
      <c r="AQT30">
        <v>98.3</v>
      </c>
      <c r="AQU30">
        <v>98.31</v>
      </c>
      <c r="AQV30">
        <v>98.295000000000002</v>
      </c>
      <c r="AQW30">
        <v>98.284999999999997</v>
      </c>
      <c r="AQX30">
        <v>98.305000000000007</v>
      </c>
      <c r="AQY30">
        <v>98.31</v>
      </c>
      <c r="AQZ30">
        <v>98.415000000000006</v>
      </c>
      <c r="ARA30">
        <v>98.43</v>
      </c>
      <c r="ARB30">
        <v>98.495000000000005</v>
      </c>
      <c r="ARC30">
        <v>98.495000000000005</v>
      </c>
      <c r="ARD30">
        <v>98.5</v>
      </c>
      <c r="ARE30">
        <v>98.495000000000005</v>
      </c>
      <c r="ARF30">
        <v>98.49</v>
      </c>
      <c r="ARG30">
        <v>98.495000000000005</v>
      </c>
      <c r="ARH30">
        <v>98.495000000000005</v>
      </c>
      <c r="ARI30">
        <v>98.49</v>
      </c>
      <c r="ARJ30">
        <v>98.504999999999995</v>
      </c>
      <c r="ARK30">
        <v>98.504999999999995</v>
      </c>
      <c r="ARL30">
        <v>98.495000000000005</v>
      </c>
      <c r="ARM30">
        <v>98.495000000000005</v>
      </c>
      <c r="ARN30">
        <v>98.53</v>
      </c>
      <c r="ARO30">
        <v>98.515000000000001</v>
      </c>
      <c r="ARP30">
        <v>98.49</v>
      </c>
      <c r="ARQ30">
        <v>98.495000000000005</v>
      </c>
      <c r="ARR30">
        <v>98.5</v>
      </c>
      <c r="ARS30">
        <v>98.54</v>
      </c>
      <c r="ART30">
        <v>98.724999999999994</v>
      </c>
      <c r="ARU30">
        <v>98.77</v>
      </c>
      <c r="ARV30">
        <v>98.78</v>
      </c>
      <c r="ARW30">
        <v>98.77</v>
      </c>
      <c r="ARX30">
        <v>98.77</v>
      </c>
      <c r="ARY30">
        <v>98.76</v>
      </c>
      <c r="ARZ30">
        <v>98.745000000000005</v>
      </c>
      <c r="ASA30">
        <v>98.74</v>
      </c>
      <c r="ASB30">
        <v>98.745000000000005</v>
      </c>
      <c r="ASC30">
        <v>98.745000000000005</v>
      </c>
      <c r="ASD30">
        <v>98.745000000000005</v>
      </c>
      <c r="ASE30">
        <v>98.75</v>
      </c>
      <c r="ASF30">
        <v>98.745000000000005</v>
      </c>
      <c r="ASG30">
        <v>98.745000000000005</v>
      </c>
      <c r="ASH30">
        <v>98.834999999999994</v>
      </c>
      <c r="ASI30">
        <v>98.844999999999999</v>
      </c>
      <c r="ASJ30">
        <v>98.894999999999996</v>
      </c>
      <c r="ASK30">
        <v>98.894999999999996</v>
      </c>
      <c r="ASL30">
        <v>98.894999999999996</v>
      </c>
      <c r="ASM30">
        <v>99.094999999999999</v>
      </c>
      <c r="ASN30">
        <v>99.474999999999994</v>
      </c>
      <c r="ASO30">
        <v>99.58</v>
      </c>
      <c r="ASP30">
        <v>99.58</v>
      </c>
      <c r="ASQ30">
        <v>99.59</v>
      </c>
      <c r="ASR30">
        <v>99.605000000000004</v>
      </c>
      <c r="ASS30">
        <v>99.61</v>
      </c>
      <c r="AST30">
        <v>99.614999999999995</v>
      </c>
      <c r="ASU30">
        <v>99.64</v>
      </c>
      <c r="ASV30">
        <v>99.644999999999996</v>
      </c>
      <c r="ASW30">
        <v>99.64</v>
      </c>
      <c r="ASX30">
        <v>99.64</v>
      </c>
      <c r="ASY30">
        <v>99.635000000000005</v>
      </c>
      <c r="ASZ30">
        <v>99.63</v>
      </c>
      <c r="ATA30">
        <v>99.644999999999996</v>
      </c>
      <c r="ATB30">
        <v>99.64</v>
      </c>
      <c r="ATC30">
        <v>99.64</v>
      </c>
      <c r="ATD30">
        <v>99.644999999999996</v>
      </c>
      <c r="ATE30">
        <v>99.635000000000005</v>
      </c>
      <c r="ATF30">
        <v>99.635000000000005</v>
      </c>
      <c r="ATG30">
        <v>99.63</v>
      </c>
      <c r="ATH30">
        <v>99.61</v>
      </c>
      <c r="ATI30">
        <v>99.61</v>
      </c>
      <c r="ATJ30">
        <v>99.644999999999996</v>
      </c>
      <c r="ATK30">
        <v>99.69</v>
      </c>
      <c r="ATL30">
        <v>99.694999999999993</v>
      </c>
      <c r="ATM30">
        <v>99.715000000000003</v>
      </c>
      <c r="ATN30">
        <v>99.685000000000002</v>
      </c>
      <c r="ATO30">
        <v>99.694999999999993</v>
      </c>
      <c r="ATP30">
        <v>99.69</v>
      </c>
      <c r="ATQ30">
        <v>99.694999999999993</v>
      </c>
      <c r="ATR30">
        <v>99.704999999999998</v>
      </c>
      <c r="ATS30">
        <v>99.704999999999998</v>
      </c>
      <c r="ATT30">
        <v>99.7</v>
      </c>
      <c r="ATU30">
        <v>99.69</v>
      </c>
      <c r="ATV30">
        <v>99.68</v>
      </c>
      <c r="ATW30">
        <v>99.704999999999998</v>
      </c>
      <c r="ATX30">
        <v>99.704999999999998</v>
      </c>
      <c r="ATY30">
        <v>99.715000000000003</v>
      </c>
      <c r="ATZ30">
        <v>99.724999999999994</v>
      </c>
      <c r="AUA30">
        <v>99.72</v>
      </c>
      <c r="AUB30">
        <v>99.724999999999994</v>
      </c>
      <c r="AUC30">
        <v>99.72</v>
      </c>
      <c r="AUD30">
        <v>99.704999999999998</v>
      </c>
      <c r="AUE30">
        <v>99.7</v>
      </c>
      <c r="AUF30">
        <v>99.715000000000003</v>
      </c>
      <c r="AUG30">
        <v>99.71</v>
      </c>
      <c r="AUH30">
        <v>99.734999999999999</v>
      </c>
      <c r="AUI30">
        <v>99.734999999999999</v>
      </c>
      <c r="AUJ30">
        <v>99.784999999999997</v>
      </c>
      <c r="AUK30">
        <v>99.784999999999997</v>
      </c>
      <c r="AUL30">
        <v>99.784999999999997</v>
      </c>
      <c r="AUM30">
        <v>99.79</v>
      </c>
      <c r="AUN30">
        <v>99.79</v>
      </c>
      <c r="AUO30">
        <v>99.8</v>
      </c>
      <c r="AUP30">
        <v>99.8</v>
      </c>
      <c r="AUQ30">
        <v>99.805000000000007</v>
      </c>
      <c r="AUR30">
        <v>99.805000000000007</v>
      </c>
      <c r="AUS30">
        <v>99.795000000000002</v>
      </c>
      <c r="AUT30">
        <v>99.775000000000006</v>
      </c>
      <c r="AUU30">
        <v>99.79</v>
      </c>
      <c r="AUV30">
        <v>99.784999999999997</v>
      </c>
      <c r="AUW30">
        <v>99.814999999999998</v>
      </c>
      <c r="AUX30">
        <v>99.82</v>
      </c>
      <c r="AUY30">
        <v>99.81</v>
      </c>
      <c r="AUZ30">
        <v>99.784999999999997</v>
      </c>
      <c r="AVA30">
        <v>99.78</v>
      </c>
      <c r="AVB30">
        <v>99.784999999999997</v>
      </c>
      <c r="AVC30">
        <v>99.775000000000006</v>
      </c>
      <c r="AVD30">
        <v>99.775000000000006</v>
      </c>
      <c r="AVE30">
        <v>99.805000000000007</v>
      </c>
      <c r="AVF30">
        <v>99.795000000000002</v>
      </c>
      <c r="AVG30">
        <v>99.805000000000007</v>
      </c>
      <c r="AVH30">
        <v>99.8</v>
      </c>
      <c r="AVI30">
        <v>99.795000000000002</v>
      </c>
      <c r="AVJ30">
        <v>99.775000000000006</v>
      </c>
      <c r="AVK30">
        <v>99.784999999999997</v>
      </c>
      <c r="AVL30">
        <v>99.79</v>
      </c>
      <c r="AVM30">
        <v>99.8</v>
      </c>
      <c r="AVN30">
        <v>99.795000000000002</v>
      </c>
      <c r="AVO30">
        <v>99.805000000000007</v>
      </c>
      <c r="AVP30">
        <v>99.805000000000007</v>
      </c>
      <c r="AVQ30">
        <v>99.795000000000002</v>
      </c>
      <c r="AVR30">
        <v>99.78</v>
      </c>
      <c r="AVS30">
        <v>99.77</v>
      </c>
      <c r="AVT30">
        <v>99.77</v>
      </c>
      <c r="AVU30">
        <v>99.775000000000006</v>
      </c>
      <c r="AVV30">
        <v>99.775000000000006</v>
      </c>
      <c r="AVW30">
        <v>99.81</v>
      </c>
      <c r="AVX30">
        <v>99.82</v>
      </c>
      <c r="AVY30">
        <v>99.84</v>
      </c>
      <c r="AVZ30">
        <v>99.844999999999999</v>
      </c>
      <c r="AWA30">
        <v>99.855000000000004</v>
      </c>
      <c r="AWB30">
        <v>99.844999999999999</v>
      </c>
      <c r="AWC30">
        <v>99.84</v>
      </c>
      <c r="AWD30">
        <v>99.834999999999994</v>
      </c>
      <c r="AWE30">
        <v>99.814999999999998</v>
      </c>
      <c r="AWF30">
        <v>99.805000000000007</v>
      </c>
      <c r="AWG30">
        <v>99.8</v>
      </c>
      <c r="AWH30">
        <v>99.81</v>
      </c>
      <c r="AWI30">
        <v>99.814999999999998</v>
      </c>
      <c r="AWJ30">
        <v>99.814999999999998</v>
      </c>
      <c r="AWK30">
        <v>99.81</v>
      </c>
      <c r="AWL30">
        <v>99.81</v>
      </c>
      <c r="AWM30">
        <v>99.805000000000007</v>
      </c>
      <c r="AWN30">
        <v>99.805000000000007</v>
      </c>
      <c r="AWO30">
        <v>99.8</v>
      </c>
      <c r="AWP30">
        <v>99.81</v>
      </c>
      <c r="AWQ30">
        <v>99.81</v>
      </c>
      <c r="AWR30">
        <v>99.825000000000003</v>
      </c>
      <c r="AWS30">
        <v>99.84</v>
      </c>
      <c r="AWT30">
        <v>99.825000000000003</v>
      </c>
      <c r="AWU30">
        <v>99.82</v>
      </c>
      <c r="AWV30">
        <v>99.814999999999998</v>
      </c>
      <c r="AWW30">
        <v>99.814999999999998</v>
      </c>
      <c r="AWX30">
        <v>99.814999999999998</v>
      </c>
      <c r="AWY30">
        <v>99.805000000000007</v>
      </c>
      <c r="AWZ30">
        <v>99.825000000000003</v>
      </c>
      <c r="AXA30">
        <v>99.825000000000003</v>
      </c>
      <c r="AXB30">
        <v>99.814999999999998</v>
      </c>
      <c r="AXC30">
        <v>99.795000000000002</v>
      </c>
      <c r="AXD30">
        <v>99.795000000000002</v>
      </c>
      <c r="AXE30">
        <v>99.795000000000002</v>
      </c>
      <c r="AXF30">
        <v>99.79</v>
      </c>
      <c r="AXG30">
        <v>99.78</v>
      </c>
      <c r="AXH30">
        <v>99.76</v>
      </c>
      <c r="AXI30">
        <v>99.754999999999995</v>
      </c>
      <c r="AXJ30">
        <v>99.745000000000005</v>
      </c>
      <c r="AXK30">
        <v>99.76</v>
      </c>
      <c r="AXL30">
        <v>99.75</v>
      </c>
      <c r="AXM30">
        <v>99.76</v>
      </c>
      <c r="AXN30">
        <v>99.734999999999999</v>
      </c>
      <c r="AXO30">
        <v>99.685000000000002</v>
      </c>
      <c r="AXP30">
        <v>99.65</v>
      </c>
      <c r="AXQ30">
        <v>99.644999999999996</v>
      </c>
      <c r="AXR30">
        <v>99.71</v>
      </c>
      <c r="AXS30">
        <v>99.724999999999994</v>
      </c>
      <c r="AXT30">
        <v>99.76</v>
      </c>
      <c r="AXU30">
        <v>99.765000000000001</v>
      </c>
      <c r="AXV30">
        <v>99.754999999999995</v>
      </c>
      <c r="AXW30">
        <v>99.734999999999999</v>
      </c>
      <c r="AXX30">
        <v>99.74</v>
      </c>
      <c r="AXY30">
        <v>99.745000000000005</v>
      </c>
      <c r="AXZ30">
        <v>99.75</v>
      </c>
      <c r="AYA30">
        <v>99.75</v>
      </c>
      <c r="AYB30">
        <v>99.745000000000005</v>
      </c>
      <c r="AYC30">
        <v>99.745000000000005</v>
      </c>
      <c r="AYD30">
        <v>99.75</v>
      </c>
      <c r="AYE30">
        <v>99.75</v>
      </c>
      <c r="AYF30">
        <v>99.795000000000002</v>
      </c>
      <c r="AYG30">
        <v>99.77</v>
      </c>
      <c r="AYH30">
        <v>99.76</v>
      </c>
      <c r="AYI30">
        <v>99.74</v>
      </c>
      <c r="AYJ30">
        <v>99.74</v>
      </c>
      <c r="AYK30">
        <v>99.76</v>
      </c>
      <c r="AYL30">
        <v>99.77</v>
      </c>
      <c r="AYM30">
        <v>99.715000000000003</v>
      </c>
      <c r="AYN30">
        <v>99.7</v>
      </c>
      <c r="AYO30">
        <v>99.704999999999998</v>
      </c>
      <c r="AYP30">
        <v>99.69</v>
      </c>
      <c r="AYQ30">
        <v>99.694999999999993</v>
      </c>
      <c r="AYR30">
        <v>99.685000000000002</v>
      </c>
      <c r="AYS30">
        <v>99.67</v>
      </c>
      <c r="AYT30">
        <v>99.665000000000006</v>
      </c>
      <c r="AYU30">
        <v>99.674999999999997</v>
      </c>
      <c r="AYV30">
        <v>99.674999999999997</v>
      </c>
      <c r="AYW30">
        <v>99.67</v>
      </c>
      <c r="AYX30">
        <v>99.68</v>
      </c>
      <c r="AYY30">
        <v>99.66</v>
      </c>
      <c r="AYZ30">
        <v>99.65</v>
      </c>
      <c r="AZA30">
        <v>99.635000000000005</v>
      </c>
      <c r="AZB30">
        <v>99.625</v>
      </c>
      <c r="AZC30">
        <v>99.594999999999999</v>
      </c>
      <c r="AZD30">
        <v>99.58</v>
      </c>
      <c r="AZE30">
        <v>99.59</v>
      </c>
      <c r="AZF30">
        <v>99.59</v>
      </c>
      <c r="AZG30">
        <v>99.57</v>
      </c>
      <c r="AZH30">
        <v>99.555000000000007</v>
      </c>
      <c r="AZI30">
        <v>99.6</v>
      </c>
      <c r="AZJ30">
        <v>99.66</v>
      </c>
      <c r="AZK30">
        <v>99.655000000000001</v>
      </c>
      <c r="AZL30">
        <v>99.67</v>
      </c>
      <c r="AZM30">
        <v>99.644999999999996</v>
      </c>
      <c r="AZN30">
        <v>99.674999999999997</v>
      </c>
      <c r="AZO30">
        <v>99.63</v>
      </c>
      <c r="AZP30">
        <v>99.61</v>
      </c>
      <c r="AZQ30">
        <v>99.58</v>
      </c>
      <c r="AZR30">
        <v>99.575000000000003</v>
      </c>
      <c r="AZS30">
        <v>99.635000000000005</v>
      </c>
      <c r="AZT30">
        <v>99.555000000000007</v>
      </c>
      <c r="AZU30">
        <v>99.495000000000005</v>
      </c>
      <c r="AZV30">
        <v>99.39</v>
      </c>
      <c r="AZW30">
        <v>99.504999999999995</v>
      </c>
      <c r="AZX30">
        <v>99.555000000000007</v>
      </c>
      <c r="AZY30">
        <v>99.48</v>
      </c>
      <c r="AZZ30">
        <v>99.52</v>
      </c>
      <c r="BAA30">
        <v>99.45</v>
      </c>
      <c r="BAB30">
        <v>99.44</v>
      </c>
      <c r="BAC30">
        <v>99.56</v>
      </c>
      <c r="BAD30">
        <v>99.484999999999999</v>
      </c>
      <c r="BAE30">
        <v>99.4</v>
      </c>
      <c r="BAF30">
        <v>99.35</v>
      </c>
      <c r="BAG30">
        <v>99.29</v>
      </c>
      <c r="BAH30">
        <v>99.22</v>
      </c>
      <c r="BAI30">
        <v>99.22</v>
      </c>
      <c r="BAJ30">
        <v>99.02</v>
      </c>
      <c r="BAK30">
        <v>98.965000000000003</v>
      </c>
      <c r="BAL30">
        <v>98.974999999999994</v>
      </c>
      <c r="BAM30">
        <v>98.92</v>
      </c>
      <c r="BAN30">
        <v>98.81</v>
      </c>
      <c r="BAO30">
        <v>98.745000000000005</v>
      </c>
      <c r="BAP30">
        <v>98.7</v>
      </c>
      <c r="BAQ30">
        <v>98.724999999999994</v>
      </c>
      <c r="BAR30">
        <v>98.694999999999993</v>
      </c>
      <c r="BAS30">
        <v>98.694999999999993</v>
      </c>
      <c r="BAT30">
        <v>98.66</v>
      </c>
      <c r="BAU30">
        <v>98.66</v>
      </c>
      <c r="BAV30">
        <v>98.7</v>
      </c>
      <c r="BAW30">
        <v>98.73</v>
      </c>
      <c r="BAX30">
        <v>98.694999999999993</v>
      </c>
      <c r="BAY30">
        <v>98.64</v>
      </c>
      <c r="BAZ30">
        <v>98.66</v>
      </c>
      <c r="BBA30">
        <v>98.7</v>
      </c>
      <c r="BBB30">
        <v>98.784999999999997</v>
      </c>
      <c r="BBC30">
        <v>98.8</v>
      </c>
      <c r="BBD30">
        <v>98.745000000000005</v>
      </c>
      <c r="BBE30">
        <v>98.7</v>
      </c>
      <c r="BBF30">
        <v>98.65</v>
      </c>
      <c r="BBG30">
        <v>98.685000000000002</v>
      </c>
      <c r="BBH30">
        <v>98.6</v>
      </c>
      <c r="BBI30">
        <v>98.545000000000002</v>
      </c>
      <c r="BBJ30">
        <v>98.525000000000006</v>
      </c>
      <c r="BBK30">
        <v>98.51</v>
      </c>
      <c r="BBL30">
        <v>98.454999999999998</v>
      </c>
      <c r="BBM30">
        <v>98.454999999999998</v>
      </c>
      <c r="BBN30">
        <v>98.47</v>
      </c>
      <c r="BBO30">
        <v>98.48</v>
      </c>
      <c r="BBP30">
        <v>98.47</v>
      </c>
      <c r="BBQ30">
        <v>98.454999999999998</v>
      </c>
      <c r="BBR30">
        <v>98.46</v>
      </c>
      <c r="BBS30">
        <v>98.444999999999993</v>
      </c>
      <c r="BBT30">
        <v>98.44</v>
      </c>
      <c r="BBU30">
        <v>98.484999999999999</v>
      </c>
      <c r="BBV30">
        <v>98.495000000000005</v>
      </c>
      <c r="BBW30">
        <v>98.5</v>
      </c>
      <c r="BBX30">
        <v>98.41</v>
      </c>
      <c r="BBY30">
        <v>98.4</v>
      </c>
      <c r="BBZ30">
        <v>98.4</v>
      </c>
      <c r="BCA30">
        <v>98.405000000000001</v>
      </c>
      <c r="BCB30">
        <v>98.405000000000001</v>
      </c>
      <c r="BCC30">
        <v>98.364999999999995</v>
      </c>
      <c r="BCD30">
        <v>98.364999999999995</v>
      </c>
      <c r="BCE30">
        <v>98.364999999999995</v>
      </c>
      <c r="BCF30">
        <v>98.344999999999999</v>
      </c>
      <c r="BCG30">
        <v>98.385000000000005</v>
      </c>
      <c r="BCH30">
        <v>98.4</v>
      </c>
      <c r="BCI30">
        <v>98.38</v>
      </c>
      <c r="BCJ30">
        <v>98.41</v>
      </c>
      <c r="BCK30">
        <v>98.42</v>
      </c>
      <c r="BCL30">
        <v>98.495000000000005</v>
      </c>
      <c r="BCM30">
        <v>98.415000000000006</v>
      </c>
      <c r="BCN30">
        <v>98.5</v>
      </c>
      <c r="BCO30">
        <v>98.46</v>
      </c>
      <c r="BCP30">
        <v>98.474999999999994</v>
      </c>
      <c r="BCQ30">
        <v>98.484999999999999</v>
      </c>
      <c r="BCR30">
        <v>98.545000000000002</v>
      </c>
      <c r="BCS30">
        <v>98.56</v>
      </c>
      <c r="BCT30">
        <v>98.635000000000005</v>
      </c>
      <c r="BCU30">
        <v>98.515000000000001</v>
      </c>
      <c r="BCV30">
        <v>98.55</v>
      </c>
      <c r="BCW30">
        <v>98.54</v>
      </c>
      <c r="BCX30">
        <v>98.54</v>
      </c>
      <c r="BCY30">
        <v>98.58</v>
      </c>
      <c r="BCZ30">
        <v>98.57</v>
      </c>
      <c r="BDA30">
        <v>98.555000000000007</v>
      </c>
      <c r="BDB30">
        <v>98.575000000000003</v>
      </c>
      <c r="BDC30">
        <v>98.605000000000004</v>
      </c>
      <c r="BDD30">
        <v>98.57</v>
      </c>
      <c r="BDE30">
        <v>98.545000000000002</v>
      </c>
      <c r="BDF30">
        <v>98.52</v>
      </c>
      <c r="BDG30">
        <v>98.53</v>
      </c>
      <c r="BDH30">
        <v>98.48</v>
      </c>
      <c r="BDI30">
        <v>98.43</v>
      </c>
      <c r="BDJ30">
        <v>98.4</v>
      </c>
      <c r="BDK30">
        <v>98.41</v>
      </c>
      <c r="BDL30">
        <v>98.394999999999996</v>
      </c>
      <c r="BDM30">
        <v>98.504999999999995</v>
      </c>
      <c r="BDN30">
        <v>98.48</v>
      </c>
      <c r="BDO30">
        <v>98.54</v>
      </c>
      <c r="BDP30">
        <v>98.59</v>
      </c>
      <c r="BDQ30">
        <v>98.66</v>
      </c>
      <c r="BDR30">
        <v>98.534999999999997</v>
      </c>
      <c r="BDS30">
        <v>98.515000000000001</v>
      </c>
      <c r="BDT30">
        <v>98.52</v>
      </c>
      <c r="BDU30">
        <v>98.55</v>
      </c>
      <c r="BDV30">
        <v>98.594999999999999</v>
      </c>
      <c r="BDW30">
        <v>98.605000000000004</v>
      </c>
      <c r="BDX30">
        <v>98.584999999999994</v>
      </c>
      <c r="BDY30">
        <v>98.56</v>
      </c>
      <c r="BDZ30">
        <v>98.6</v>
      </c>
      <c r="BEA30">
        <v>98.575000000000003</v>
      </c>
      <c r="BEB30">
        <v>98.6</v>
      </c>
      <c r="BEC30">
        <v>98.56</v>
      </c>
      <c r="BED30">
        <v>98.614999999999995</v>
      </c>
      <c r="BEE30">
        <v>98.594999999999999</v>
      </c>
      <c r="BEF30">
        <v>98.724999999999994</v>
      </c>
      <c r="BEG30">
        <v>98.79</v>
      </c>
      <c r="BEH30">
        <v>98.844999999999999</v>
      </c>
      <c r="BEI30">
        <v>98.834999999999994</v>
      </c>
      <c r="BEJ30">
        <v>98.905000000000001</v>
      </c>
      <c r="BEK30">
        <v>98.915000000000006</v>
      </c>
      <c r="BEL30">
        <v>98.814999999999998</v>
      </c>
      <c r="BEM30">
        <v>98.74</v>
      </c>
      <c r="BEN30">
        <v>98.67</v>
      </c>
      <c r="BEO30">
        <v>98.68</v>
      </c>
      <c r="BEP30" t="s">
        <v>6984</v>
      </c>
      <c r="BEQ30" t="s">
        <v>6984</v>
      </c>
      <c r="BER30" t="s">
        <v>6984</v>
      </c>
      <c r="BES30" t="s">
        <v>6984</v>
      </c>
      <c r="BET30" t="s">
        <v>6984</v>
      </c>
      <c r="BEU30" t="s">
        <v>6984</v>
      </c>
      <c r="BEV30" t="s">
        <v>6984</v>
      </c>
      <c r="BEW30" t="s">
        <v>6984</v>
      </c>
      <c r="BEX30" t="s">
        <v>6984</v>
      </c>
      <c r="BEY30" t="s">
        <v>6984</v>
      </c>
      <c r="BEZ30" t="s">
        <v>6984</v>
      </c>
      <c r="BFA30" t="s">
        <v>6984</v>
      </c>
      <c r="BFB30" t="s">
        <v>6984</v>
      </c>
      <c r="BFC30" t="s">
        <v>6984</v>
      </c>
      <c r="BFD30" t="s">
        <v>6984</v>
      </c>
      <c r="BFE30" t="s">
        <v>6984</v>
      </c>
      <c r="BFF30" t="s">
        <v>6984</v>
      </c>
      <c r="BFG30" t="s">
        <v>6984</v>
      </c>
      <c r="BFH30" t="s">
        <v>6984</v>
      </c>
      <c r="BFI30" t="s">
        <v>6984</v>
      </c>
      <c r="BFJ30" t="s">
        <v>6984</v>
      </c>
      <c r="BFK30" t="s">
        <v>6984</v>
      </c>
      <c r="BFL30" t="s">
        <v>6984</v>
      </c>
      <c r="BFM30" t="s">
        <v>6984</v>
      </c>
      <c r="BFN30" t="s">
        <v>6984</v>
      </c>
      <c r="BFO30" t="s">
        <v>6984</v>
      </c>
      <c r="BFP30" t="s">
        <v>6984</v>
      </c>
      <c r="BFQ30" t="s">
        <v>6984</v>
      </c>
      <c r="BFR30" t="s">
        <v>6984</v>
      </c>
      <c r="BFS30" t="s">
        <v>6984</v>
      </c>
      <c r="BFT30" t="s">
        <v>6984</v>
      </c>
      <c r="BFU30" t="s">
        <v>6984</v>
      </c>
      <c r="BFV30" t="s">
        <v>6984</v>
      </c>
      <c r="BFW30" t="s">
        <v>6984</v>
      </c>
      <c r="BFX30" t="s">
        <v>6984</v>
      </c>
      <c r="BFY30" t="s">
        <v>6984</v>
      </c>
      <c r="BFZ30" t="s">
        <v>6984</v>
      </c>
      <c r="BGA30" t="s">
        <v>6984</v>
      </c>
      <c r="BGB30" t="s">
        <v>6984</v>
      </c>
      <c r="BGC30" t="s">
        <v>6984</v>
      </c>
      <c r="BGD30" t="s">
        <v>6984</v>
      </c>
      <c r="BGE30" t="s">
        <v>6984</v>
      </c>
      <c r="BGF30" t="s">
        <v>6984</v>
      </c>
      <c r="BGG30" t="s">
        <v>6984</v>
      </c>
      <c r="BGH30" t="s">
        <v>6984</v>
      </c>
      <c r="BGI30" t="s">
        <v>6984</v>
      </c>
      <c r="BGJ30" t="s">
        <v>6984</v>
      </c>
      <c r="BGK30" t="s">
        <v>6984</v>
      </c>
      <c r="BGL30" t="s">
        <v>6984</v>
      </c>
      <c r="BGM30" t="s">
        <v>6984</v>
      </c>
      <c r="BGN30" t="s">
        <v>6984</v>
      </c>
      <c r="BGO30" t="s">
        <v>6984</v>
      </c>
      <c r="BGP30" t="s">
        <v>6984</v>
      </c>
      <c r="BGQ30" t="s">
        <v>6984</v>
      </c>
      <c r="BGR30" t="s">
        <v>6984</v>
      </c>
      <c r="BGS30" t="s">
        <v>6984</v>
      </c>
      <c r="BGT30" t="s">
        <v>6984</v>
      </c>
      <c r="BGU30" t="s">
        <v>6984</v>
      </c>
      <c r="BGV30" t="s">
        <v>6984</v>
      </c>
      <c r="BGW30" t="s">
        <v>6984</v>
      </c>
      <c r="BGX30" t="s">
        <v>6984</v>
      </c>
      <c r="BGY30" t="s">
        <v>6984</v>
      </c>
      <c r="BGZ30" t="s">
        <v>6984</v>
      </c>
      <c r="BHA30" t="s">
        <v>6984</v>
      </c>
      <c r="BHB30" t="s">
        <v>6984</v>
      </c>
      <c r="BHC30" t="s">
        <v>6984</v>
      </c>
      <c r="BHD30" t="s">
        <v>6984</v>
      </c>
      <c r="BHE30" t="s">
        <v>6984</v>
      </c>
      <c r="BHF30" t="s">
        <v>6984</v>
      </c>
      <c r="BHG30" t="s">
        <v>6984</v>
      </c>
      <c r="BHH30" t="s">
        <v>6984</v>
      </c>
      <c r="BHI30" t="s">
        <v>6984</v>
      </c>
      <c r="BHJ30" t="s">
        <v>6984</v>
      </c>
      <c r="BHK30" t="s">
        <v>6984</v>
      </c>
      <c r="BHL30" t="s">
        <v>6984</v>
      </c>
      <c r="BHM30" t="s">
        <v>6984</v>
      </c>
      <c r="BHN30" t="s">
        <v>6984</v>
      </c>
      <c r="BHO30" t="s">
        <v>6984</v>
      </c>
      <c r="BHP30" t="s">
        <v>6984</v>
      </c>
      <c r="BHQ30" t="s">
        <v>6984</v>
      </c>
      <c r="BHR30" t="s">
        <v>6984</v>
      </c>
      <c r="BHS30" t="s">
        <v>6984</v>
      </c>
      <c r="BHT30" t="s">
        <v>6984</v>
      </c>
      <c r="BHU30" t="s">
        <v>6984</v>
      </c>
      <c r="BHV30" t="s">
        <v>6984</v>
      </c>
      <c r="BHW30" t="s">
        <v>6984</v>
      </c>
      <c r="BHX30" t="s">
        <v>6984</v>
      </c>
      <c r="BHY30" t="s">
        <v>6984</v>
      </c>
      <c r="BHZ30" t="s">
        <v>6984</v>
      </c>
      <c r="BIA30" t="s">
        <v>6984</v>
      </c>
      <c r="BIB30" t="s">
        <v>6984</v>
      </c>
      <c r="BIC30" t="s">
        <v>6984</v>
      </c>
      <c r="BID30" t="s">
        <v>6984</v>
      </c>
      <c r="BIE30" t="s">
        <v>6984</v>
      </c>
      <c r="BIF30" t="s">
        <v>6984</v>
      </c>
      <c r="BIG30" t="s">
        <v>6984</v>
      </c>
      <c r="BIH30" t="s">
        <v>6984</v>
      </c>
      <c r="BII30" t="s">
        <v>6984</v>
      </c>
      <c r="BIJ30" t="s">
        <v>6984</v>
      </c>
      <c r="BIK30" t="s">
        <v>6984</v>
      </c>
      <c r="BIL30" t="s">
        <v>6984</v>
      </c>
      <c r="BIM30" t="s">
        <v>6984</v>
      </c>
      <c r="BIN30" t="s">
        <v>6984</v>
      </c>
      <c r="BIO30" t="s">
        <v>6984</v>
      </c>
      <c r="BIP30" t="s">
        <v>6984</v>
      </c>
      <c r="BIQ30" t="s">
        <v>6984</v>
      </c>
      <c r="BIR30" t="s">
        <v>6984</v>
      </c>
      <c r="BIS30" t="s">
        <v>6984</v>
      </c>
      <c r="BIT30" t="s">
        <v>6984</v>
      </c>
      <c r="BIU30" t="s">
        <v>6984</v>
      </c>
      <c r="BIV30" t="s">
        <v>6984</v>
      </c>
      <c r="BIW30" t="s">
        <v>6984</v>
      </c>
      <c r="BIX30" t="s">
        <v>6984</v>
      </c>
      <c r="BIY30" t="s">
        <v>6984</v>
      </c>
      <c r="BIZ30" t="s">
        <v>6984</v>
      </c>
      <c r="BJA30" t="s">
        <v>6984</v>
      </c>
      <c r="BJB30" t="s">
        <v>6984</v>
      </c>
      <c r="BJC30" t="s">
        <v>6984</v>
      </c>
      <c r="BJD30" t="s">
        <v>6984</v>
      </c>
      <c r="BJE30" t="s">
        <v>6984</v>
      </c>
      <c r="BJF30" t="s">
        <v>6984</v>
      </c>
      <c r="BJG30" t="s">
        <v>6984</v>
      </c>
      <c r="BJH30" t="s">
        <v>6984</v>
      </c>
      <c r="BJI30" t="s">
        <v>6984</v>
      </c>
      <c r="BJJ30" t="s">
        <v>6984</v>
      </c>
      <c r="BJK30" t="s">
        <v>6984</v>
      </c>
      <c r="BJL30" t="s">
        <v>6984</v>
      </c>
      <c r="BJM30" t="s">
        <v>6984</v>
      </c>
      <c r="BJN30" t="s">
        <v>6984</v>
      </c>
      <c r="BJO30" t="s">
        <v>6984</v>
      </c>
      <c r="BJP30" t="s">
        <v>6984</v>
      </c>
      <c r="BJQ30" t="s">
        <v>6984</v>
      </c>
      <c r="BJR30" t="s">
        <v>6984</v>
      </c>
      <c r="BJS30" t="s">
        <v>6984</v>
      </c>
      <c r="BJT30" t="s">
        <v>6984</v>
      </c>
      <c r="BJU30" t="s">
        <v>6984</v>
      </c>
      <c r="BJV30" t="s">
        <v>6984</v>
      </c>
      <c r="BJW30" t="s">
        <v>6984</v>
      </c>
      <c r="BJX30" t="s">
        <v>6984</v>
      </c>
      <c r="BJY30" t="s">
        <v>6984</v>
      </c>
      <c r="BJZ30" t="s">
        <v>6984</v>
      </c>
      <c r="BKA30" t="s">
        <v>6984</v>
      </c>
      <c r="BKB30" t="s">
        <v>6984</v>
      </c>
      <c r="BKC30" t="s">
        <v>6984</v>
      </c>
      <c r="BKD30" t="s">
        <v>6984</v>
      </c>
      <c r="BKE30" t="s">
        <v>6984</v>
      </c>
      <c r="BKF30" t="s">
        <v>6984</v>
      </c>
      <c r="BKG30" t="s">
        <v>6984</v>
      </c>
      <c r="BKH30" t="s">
        <v>6984</v>
      </c>
      <c r="BKI30" t="s">
        <v>6984</v>
      </c>
      <c r="BKJ30" t="s">
        <v>6984</v>
      </c>
      <c r="BKK30" t="s">
        <v>6984</v>
      </c>
      <c r="BKL30" t="s">
        <v>6984</v>
      </c>
      <c r="BKM30" t="s">
        <v>6984</v>
      </c>
      <c r="BKN30" t="s">
        <v>6984</v>
      </c>
      <c r="BKO30" t="s">
        <v>6984</v>
      </c>
      <c r="BKP30" t="s">
        <v>6984</v>
      </c>
      <c r="BKQ30" t="s">
        <v>6984</v>
      </c>
      <c r="BKR30" t="s">
        <v>6984</v>
      </c>
      <c r="BKS30" t="s">
        <v>6984</v>
      </c>
      <c r="BKT30" t="s">
        <v>6984</v>
      </c>
      <c r="BKU30" t="s">
        <v>6984</v>
      </c>
      <c r="BKV30" t="s">
        <v>6984</v>
      </c>
      <c r="BKW30" t="s">
        <v>6984</v>
      </c>
      <c r="BKX30" t="s">
        <v>6984</v>
      </c>
      <c r="BKY30" t="s">
        <v>6984</v>
      </c>
      <c r="BKZ30" t="s">
        <v>6984</v>
      </c>
      <c r="BLA30" t="s">
        <v>6984</v>
      </c>
      <c r="BLB30" t="s">
        <v>6984</v>
      </c>
      <c r="BLC30" t="s">
        <v>6984</v>
      </c>
      <c r="BLD30" t="s">
        <v>6984</v>
      </c>
      <c r="BLE30" t="s">
        <v>6984</v>
      </c>
      <c r="BLF30" t="s">
        <v>6984</v>
      </c>
      <c r="BLG30" t="s">
        <v>6984</v>
      </c>
      <c r="BLH30" t="s">
        <v>6984</v>
      </c>
      <c r="BLI30" t="s">
        <v>6984</v>
      </c>
      <c r="BLJ30" t="s">
        <v>6984</v>
      </c>
      <c r="BLK30" t="s">
        <v>6984</v>
      </c>
      <c r="BLL30" t="s">
        <v>6984</v>
      </c>
      <c r="BLM30" t="s">
        <v>6984</v>
      </c>
      <c r="BLN30" t="s">
        <v>6984</v>
      </c>
      <c r="BLO30" t="s">
        <v>6984</v>
      </c>
      <c r="BLP30" t="s">
        <v>6984</v>
      </c>
      <c r="BLQ30" t="s">
        <v>6984</v>
      </c>
      <c r="BLR30" t="s">
        <v>6984</v>
      </c>
      <c r="BLS30" t="s">
        <v>6984</v>
      </c>
      <c r="BLT30" t="s">
        <v>6984</v>
      </c>
      <c r="BLU30" t="s">
        <v>6984</v>
      </c>
      <c r="BLV30" t="s">
        <v>6984</v>
      </c>
      <c r="BLW30" t="s">
        <v>6984</v>
      </c>
      <c r="BLX30" t="s">
        <v>6984</v>
      </c>
      <c r="BLY30" t="s">
        <v>6984</v>
      </c>
      <c r="BLZ30" t="s">
        <v>6984</v>
      </c>
      <c r="BMA30" t="s">
        <v>6984</v>
      </c>
      <c r="BMB30" t="s">
        <v>6984</v>
      </c>
      <c r="BMC30" t="s">
        <v>6984</v>
      </c>
      <c r="BMD30" t="s">
        <v>6984</v>
      </c>
      <c r="BME30" t="s">
        <v>6984</v>
      </c>
      <c r="BMF30" t="s">
        <v>6984</v>
      </c>
      <c r="BMG30" t="s">
        <v>6984</v>
      </c>
      <c r="BMH30" t="s">
        <v>6984</v>
      </c>
      <c r="BMI30" t="s">
        <v>6984</v>
      </c>
      <c r="BMJ30" t="s">
        <v>6984</v>
      </c>
      <c r="BMK30" t="s">
        <v>6984</v>
      </c>
      <c r="BML30" t="s">
        <v>6984</v>
      </c>
      <c r="BMM30" t="s">
        <v>6984</v>
      </c>
      <c r="BMN30" t="s">
        <v>6984</v>
      </c>
      <c r="BMO30" t="s">
        <v>6984</v>
      </c>
      <c r="BMP30" t="s">
        <v>6984</v>
      </c>
      <c r="BMQ30" t="s">
        <v>6984</v>
      </c>
      <c r="BMR30" t="s">
        <v>6984</v>
      </c>
      <c r="BMS30" t="s">
        <v>6984</v>
      </c>
      <c r="BMT30" t="s">
        <v>6984</v>
      </c>
      <c r="BMU30" t="s">
        <v>6984</v>
      </c>
      <c r="BMV30" t="s">
        <v>6984</v>
      </c>
      <c r="BMW30" t="s">
        <v>6984</v>
      </c>
      <c r="BMX30" t="s">
        <v>6984</v>
      </c>
      <c r="BMY30" t="s">
        <v>6984</v>
      </c>
      <c r="BMZ30" t="s">
        <v>6984</v>
      </c>
      <c r="BNA30" t="s">
        <v>6984</v>
      </c>
      <c r="BNB30" t="s">
        <v>6984</v>
      </c>
      <c r="BNC30" t="s">
        <v>6984</v>
      </c>
      <c r="BND30" t="s">
        <v>6984</v>
      </c>
      <c r="BNE30" t="s">
        <v>6984</v>
      </c>
      <c r="BNF30" t="s">
        <v>6984</v>
      </c>
      <c r="BNG30" t="s">
        <v>6984</v>
      </c>
      <c r="BNH30" t="s">
        <v>6984</v>
      </c>
      <c r="BNI30" t="s">
        <v>6984</v>
      </c>
      <c r="BNJ30" t="s">
        <v>6984</v>
      </c>
      <c r="BNK30" t="s">
        <v>6984</v>
      </c>
      <c r="BNL30" t="s">
        <v>6984</v>
      </c>
      <c r="BNM30" t="s">
        <v>6984</v>
      </c>
      <c r="BNN30" t="s">
        <v>6984</v>
      </c>
      <c r="BNO30" t="s">
        <v>6984</v>
      </c>
      <c r="BNP30" t="s">
        <v>6984</v>
      </c>
      <c r="BNQ30" t="s">
        <v>6984</v>
      </c>
      <c r="BNR30" t="s">
        <v>6984</v>
      </c>
      <c r="BNS30" t="s">
        <v>6984</v>
      </c>
      <c r="BNT30" t="s">
        <v>6984</v>
      </c>
      <c r="BNU30" t="s">
        <v>6984</v>
      </c>
      <c r="BNV30" t="s">
        <v>6984</v>
      </c>
      <c r="BNW30" t="s">
        <v>6984</v>
      </c>
      <c r="BNX30" t="s">
        <v>6984</v>
      </c>
      <c r="BNY30" t="s">
        <v>6984</v>
      </c>
      <c r="BNZ30" t="s">
        <v>6984</v>
      </c>
      <c r="BOA30" t="s">
        <v>6984</v>
      </c>
      <c r="BOB30" t="s">
        <v>6984</v>
      </c>
      <c r="BOC30" t="s">
        <v>6984</v>
      </c>
      <c r="BOD30" t="s">
        <v>6984</v>
      </c>
      <c r="BOE30" t="s">
        <v>6984</v>
      </c>
      <c r="BOF30" t="s">
        <v>6984</v>
      </c>
      <c r="BOG30" t="s">
        <v>6984</v>
      </c>
      <c r="BOH30" t="s">
        <v>6984</v>
      </c>
      <c r="BOI30" t="s">
        <v>6984</v>
      </c>
      <c r="BOJ30" t="s">
        <v>6984</v>
      </c>
      <c r="BOK30" t="s">
        <v>6984</v>
      </c>
      <c r="BOL30" t="s">
        <v>6984</v>
      </c>
      <c r="BOM30" t="s">
        <v>6984</v>
      </c>
      <c r="BON30" t="s">
        <v>6984</v>
      </c>
      <c r="BOO30" t="s">
        <v>6984</v>
      </c>
      <c r="BOP30" t="s">
        <v>6984</v>
      </c>
      <c r="BOQ30" t="s">
        <v>6984</v>
      </c>
      <c r="BOR30" t="s">
        <v>6984</v>
      </c>
      <c r="BOS30" t="s">
        <v>6984</v>
      </c>
      <c r="BOT30" t="s">
        <v>6984</v>
      </c>
      <c r="BOU30" t="s">
        <v>6984</v>
      </c>
      <c r="BOV30" t="s">
        <v>6984</v>
      </c>
      <c r="BOW30" t="s">
        <v>6984</v>
      </c>
      <c r="BOX30" t="s">
        <v>6984</v>
      </c>
      <c r="BOY30" t="s">
        <v>6984</v>
      </c>
      <c r="BOZ30" t="s">
        <v>6984</v>
      </c>
      <c r="BPA30" t="s">
        <v>6984</v>
      </c>
      <c r="BPB30" t="s">
        <v>6984</v>
      </c>
      <c r="BPC30" t="s">
        <v>6984</v>
      </c>
      <c r="BPD30" t="s">
        <v>6984</v>
      </c>
      <c r="BPE30" t="s">
        <v>6984</v>
      </c>
      <c r="BPF30" t="s">
        <v>6984</v>
      </c>
      <c r="BPG30" t="s">
        <v>6984</v>
      </c>
      <c r="BPH30" t="s">
        <v>6984</v>
      </c>
      <c r="BPI30" t="s">
        <v>6984</v>
      </c>
      <c r="BPJ30" t="s">
        <v>6984</v>
      </c>
      <c r="BPK30" t="s">
        <v>6984</v>
      </c>
      <c r="BPL30" t="s">
        <v>6984</v>
      </c>
      <c r="BPM30" t="s">
        <v>6984</v>
      </c>
      <c r="BPN30" t="s">
        <v>6984</v>
      </c>
      <c r="BPO30" t="s">
        <v>6984</v>
      </c>
      <c r="BPP30" t="s">
        <v>6984</v>
      </c>
      <c r="BPQ30" t="s">
        <v>6984</v>
      </c>
      <c r="BPR30" t="s">
        <v>6984</v>
      </c>
      <c r="BPS30" t="s">
        <v>6984</v>
      </c>
      <c r="BPT30" t="s">
        <v>6984</v>
      </c>
      <c r="BPU30" t="s">
        <v>6984</v>
      </c>
      <c r="BPV30" t="s">
        <v>6984</v>
      </c>
      <c r="BPW30" t="s">
        <v>6984</v>
      </c>
      <c r="BPX30" t="s">
        <v>6984</v>
      </c>
      <c r="BPY30" t="s">
        <v>6984</v>
      </c>
      <c r="BPZ30" t="s">
        <v>6984</v>
      </c>
      <c r="BQA30" t="s">
        <v>6984</v>
      </c>
      <c r="BQB30" t="s">
        <v>6984</v>
      </c>
      <c r="BQC30" t="s">
        <v>6984</v>
      </c>
      <c r="BQD30" t="s">
        <v>6984</v>
      </c>
      <c r="BQE30" t="s">
        <v>6984</v>
      </c>
      <c r="BQF30" t="s">
        <v>6984</v>
      </c>
      <c r="BQG30" t="s">
        <v>6984</v>
      </c>
      <c r="BQH30" t="s">
        <v>6984</v>
      </c>
      <c r="BQI30" t="s">
        <v>6984</v>
      </c>
      <c r="BQJ30" t="s">
        <v>6984</v>
      </c>
      <c r="BQK30" t="s">
        <v>6984</v>
      </c>
      <c r="BQL30" t="s">
        <v>6984</v>
      </c>
      <c r="BQM30" t="s">
        <v>6984</v>
      </c>
      <c r="BQN30" t="s">
        <v>6984</v>
      </c>
      <c r="BQO30" t="s">
        <v>6984</v>
      </c>
      <c r="BQP30" t="s">
        <v>6984</v>
      </c>
      <c r="BQQ30" t="s">
        <v>6984</v>
      </c>
      <c r="BQR30" t="s">
        <v>6984</v>
      </c>
      <c r="BQS30" t="s">
        <v>6984</v>
      </c>
      <c r="BQT30" t="s">
        <v>6984</v>
      </c>
      <c r="BQU30" t="s">
        <v>6984</v>
      </c>
      <c r="BQV30" t="s">
        <v>6984</v>
      </c>
      <c r="BQW30" t="s">
        <v>6984</v>
      </c>
      <c r="BQX30" t="s">
        <v>6984</v>
      </c>
      <c r="BQY30" t="s">
        <v>6984</v>
      </c>
      <c r="BQZ30" t="s">
        <v>6984</v>
      </c>
      <c r="BRA30" t="s">
        <v>6984</v>
      </c>
      <c r="BRB30" t="s">
        <v>6984</v>
      </c>
      <c r="BRC30" t="s">
        <v>6984</v>
      </c>
      <c r="BRD30" t="s">
        <v>6984</v>
      </c>
      <c r="BRE30" t="s">
        <v>6984</v>
      </c>
      <c r="BRF30" t="s">
        <v>6984</v>
      </c>
      <c r="BRG30" t="s">
        <v>6984</v>
      </c>
      <c r="BRH30" t="s">
        <v>6984</v>
      </c>
      <c r="BRI30" t="s">
        <v>6984</v>
      </c>
      <c r="BRJ30" t="s">
        <v>6984</v>
      </c>
      <c r="BRK30" t="s">
        <v>6984</v>
      </c>
      <c r="BRL30" t="s">
        <v>6984</v>
      </c>
      <c r="BRM30" t="s">
        <v>6984</v>
      </c>
      <c r="BRN30" t="s">
        <v>6984</v>
      </c>
      <c r="BRO30" t="s">
        <v>6984</v>
      </c>
      <c r="BRP30" t="s">
        <v>6984</v>
      </c>
      <c r="BRQ30" t="s">
        <v>6984</v>
      </c>
      <c r="BRR30" t="s">
        <v>6984</v>
      </c>
      <c r="BRS30" t="s">
        <v>6984</v>
      </c>
      <c r="BRT30" t="s">
        <v>6984</v>
      </c>
      <c r="BRU30" t="s">
        <v>6984</v>
      </c>
      <c r="BRV30" t="s">
        <v>6984</v>
      </c>
      <c r="BRW30" t="s">
        <v>6984</v>
      </c>
      <c r="BRX30" t="s">
        <v>6984</v>
      </c>
      <c r="BRY30" t="s">
        <v>6984</v>
      </c>
      <c r="BRZ30" t="s">
        <v>6984</v>
      </c>
      <c r="BSA30" t="s">
        <v>6984</v>
      </c>
      <c r="BSB30" t="s">
        <v>6984</v>
      </c>
      <c r="BSC30" t="s">
        <v>6984</v>
      </c>
      <c r="BSD30" t="s">
        <v>6984</v>
      </c>
      <c r="BSE30" t="s">
        <v>6984</v>
      </c>
      <c r="BSF30" t="s">
        <v>6984</v>
      </c>
      <c r="BSG30" t="s">
        <v>6984</v>
      </c>
      <c r="BSH30" t="s">
        <v>6984</v>
      </c>
      <c r="BSI30" t="s">
        <v>6984</v>
      </c>
      <c r="BSJ30" t="s">
        <v>6984</v>
      </c>
      <c r="BSK30" t="s">
        <v>6984</v>
      </c>
      <c r="BSL30" t="s">
        <v>6984</v>
      </c>
      <c r="BSM30" t="s">
        <v>6984</v>
      </c>
      <c r="BSN30" t="s">
        <v>6984</v>
      </c>
      <c r="BSO30" t="s">
        <v>6984</v>
      </c>
      <c r="BSP30" t="s">
        <v>6984</v>
      </c>
      <c r="BSQ30" t="s">
        <v>6984</v>
      </c>
      <c r="BSR30" t="s">
        <v>6984</v>
      </c>
      <c r="BSS30" t="s">
        <v>6984</v>
      </c>
      <c r="BST30" t="s">
        <v>6984</v>
      </c>
      <c r="BSU30" t="s">
        <v>6984</v>
      </c>
      <c r="BSV30" t="s">
        <v>6984</v>
      </c>
      <c r="BSW30" t="s">
        <v>6984</v>
      </c>
      <c r="BSX30" t="s">
        <v>6984</v>
      </c>
      <c r="BSY30" t="s">
        <v>6984</v>
      </c>
      <c r="BSZ30" t="s">
        <v>6984</v>
      </c>
      <c r="BTA30" t="s">
        <v>6984</v>
      </c>
      <c r="BTB30" t="s">
        <v>6984</v>
      </c>
      <c r="BTC30" t="s">
        <v>6984</v>
      </c>
      <c r="BTD30" t="s">
        <v>6984</v>
      </c>
      <c r="BTE30" t="s">
        <v>6984</v>
      </c>
      <c r="BTF30" t="s">
        <v>6984</v>
      </c>
      <c r="BTG30" t="s">
        <v>6984</v>
      </c>
      <c r="BTH30" t="s">
        <v>6984</v>
      </c>
      <c r="BTI30" t="s">
        <v>6984</v>
      </c>
      <c r="BTJ30" t="s">
        <v>6984</v>
      </c>
      <c r="BTK30" t="s">
        <v>6984</v>
      </c>
      <c r="BTL30" t="s">
        <v>6984</v>
      </c>
      <c r="BTM30" t="s">
        <v>6984</v>
      </c>
      <c r="BTN30" t="s">
        <v>6984</v>
      </c>
      <c r="BTO30" t="s">
        <v>6984</v>
      </c>
      <c r="BTP30" t="s">
        <v>6984</v>
      </c>
      <c r="BTQ30" t="s">
        <v>6984</v>
      </c>
      <c r="BTR30" t="s">
        <v>6984</v>
      </c>
      <c r="BTS30" t="s">
        <v>6984</v>
      </c>
      <c r="BTT30" t="s">
        <v>6984</v>
      </c>
      <c r="BTU30" t="s">
        <v>6984</v>
      </c>
      <c r="BTV30" t="s">
        <v>6984</v>
      </c>
      <c r="BTW30" t="s">
        <v>6984</v>
      </c>
      <c r="BTX30" t="s">
        <v>6984</v>
      </c>
      <c r="BTY30" t="s">
        <v>6984</v>
      </c>
      <c r="BTZ30" t="s">
        <v>6984</v>
      </c>
      <c r="BUA30" t="s">
        <v>6984</v>
      </c>
      <c r="BUB30" t="s">
        <v>6984</v>
      </c>
      <c r="BUC30" t="s">
        <v>6984</v>
      </c>
      <c r="BUD30" t="s">
        <v>6984</v>
      </c>
      <c r="BUE30" t="s">
        <v>6984</v>
      </c>
      <c r="BUF30" t="s">
        <v>6984</v>
      </c>
      <c r="BUG30" t="s">
        <v>6984</v>
      </c>
      <c r="BUH30" t="s">
        <v>6984</v>
      </c>
      <c r="BUI30" t="s">
        <v>6984</v>
      </c>
      <c r="BUJ30" t="s">
        <v>6984</v>
      </c>
      <c r="BUK30" t="s">
        <v>6984</v>
      </c>
      <c r="BUL30" t="s">
        <v>6984</v>
      </c>
      <c r="BUM30" t="s">
        <v>6984</v>
      </c>
      <c r="BUN30" t="s">
        <v>6984</v>
      </c>
      <c r="BUO30" t="s">
        <v>6984</v>
      </c>
      <c r="BUP30" t="s">
        <v>6984</v>
      </c>
      <c r="BUQ30" t="s">
        <v>6984</v>
      </c>
      <c r="BUR30" t="s">
        <v>6984</v>
      </c>
      <c r="BUS30" t="s">
        <v>6984</v>
      </c>
      <c r="BUT30" t="s">
        <v>6984</v>
      </c>
      <c r="BUU30" t="s">
        <v>6984</v>
      </c>
      <c r="BUV30" t="s">
        <v>6984</v>
      </c>
      <c r="BUW30" t="s">
        <v>6984</v>
      </c>
      <c r="BUX30" t="s">
        <v>6984</v>
      </c>
      <c r="BUY30" t="s">
        <v>6984</v>
      </c>
      <c r="BUZ30" t="s">
        <v>6984</v>
      </c>
      <c r="BVA30" t="s">
        <v>6984</v>
      </c>
      <c r="BVB30" t="s">
        <v>6984</v>
      </c>
      <c r="BVC30" t="s">
        <v>6984</v>
      </c>
      <c r="BVD30" t="s">
        <v>6984</v>
      </c>
      <c r="BVE30" t="s">
        <v>6984</v>
      </c>
      <c r="BVF30" t="s">
        <v>6984</v>
      </c>
      <c r="BVG30" t="s">
        <v>6984</v>
      </c>
      <c r="BVH30" t="s">
        <v>6984</v>
      </c>
      <c r="BVI30" t="s">
        <v>6984</v>
      </c>
      <c r="BVJ30" t="s">
        <v>6984</v>
      </c>
      <c r="BVK30" t="s">
        <v>6984</v>
      </c>
      <c r="BVL30" t="s">
        <v>6984</v>
      </c>
      <c r="BVM30" t="s">
        <v>6984</v>
      </c>
      <c r="BVN30" t="s">
        <v>6984</v>
      </c>
      <c r="BVO30" t="s">
        <v>6984</v>
      </c>
      <c r="BVP30" t="s">
        <v>6984</v>
      </c>
      <c r="BVQ30" t="s">
        <v>6984</v>
      </c>
      <c r="BVR30" t="s">
        <v>6984</v>
      </c>
      <c r="BVS30" t="s">
        <v>6984</v>
      </c>
      <c r="BVT30" t="s">
        <v>6984</v>
      </c>
      <c r="BVU30" t="s">
        <v>6984</v>
      </c>
      <c r="BVV30" t="s">
        <v>6984</v>
      </c>
      <c r="BVW30" t="s">
        <v>6984</v>
      </c>
      <c r="BVX30" t="s">
        <v>6984</v>
      </c>
      <c r="BVY30" t="s">
        <v>6984</v>
      </c>
      <c r="BVZ30" t="s">
        <v>6984</v>
      </c>
      <c r="BWA30" t="s">
        <v>6984</v>
      </c>
      <c r="BWB30" t="s">
        <v>6984</v>
      </c>
      <c r="BWC30" t="s">
        <v>6984</v>
      </c>
      <c r="BWD30" t="s">
        <v>6984</v>
      </c>
      <c r="BWE30" t="s">
        <v>6984</v>
      </c>
      <c r="BWF30" t="s">
        <v>6984</v>
      </c>
      <c r="BWG30" t="s">
        <v>6984</v>
      </c>
      <c r="BWH30" t="s">
        <v>6984</v>
      </c>
      <c r="BWI30" t="s">
        <v>6984</v>
      </c>
      <c r="BWJ30" t="s">
        <v>6984</v>
      </c>
      <c r="BWK30" t="s">
        <v>6984</v>
      </c>
      <c r="BWL30" t="s">
        <v>6984</v>
      </c>
      <c r="BWM30" t="s">
        <v>6984</v>
      </c>
      <c r="BWN30" t="s">
        <v>6984</v>
      </c>
      <c r="BWO30" t="s">
        <v>6984</v>
      </c>
      <c r="BWP30" t="s">
        <v>6984</v>
      </c>
      <c r="BWQ30" t="s">
        <v>6984</v>
      </c>
      <c r="BWR30" t="s">
        <v>6984</v>
      </c>
      <c r="BWS30" t="s">
        <v>6984</v>
      </c>
      <c r="BWT30" t="s">
        <v>6984</v>
      </c>
      <c r="BWU30" t="s">
        <v>6984</v>
      </c>
      <c r="BWV30" t="s">
        <v>6984</v>
      </c>
      <c r="BWW30" t="s">
        <v>6984</v>
      </c>
      <c r="BWX30" t="s">
        <v>6984</v>
      </c>
      <c r="BWY30" t="s">
        <v>6984</v>
      </c>
      <c r="BWZ30" t="s">
        <v>6984</v>
      </c>
      <c r="BXA30" t="s">
        <v>6984</v>
      </c>
      <c r="BXB30" t="s">
        <v>6984</v>
      </c>
      <c r="BXC30" t="s">
        <v>6984</v>
      </c>
      <c r="BXD30" t="s">
        <v>6984</v>
      </c>
      <c r="BXE30" t="s">
        <v>6984</v>
      </c>
      <c r="BXF30" t="s">
        <v>6984</v>
      </c>
      <c r="BXG30" t="s">
        <v>6984</v>
      </c>
      <c r="BXH30" t="s">
        <v>6984</v>
      </c>
      <c r="BXI30" t="s">
        <v>6984</v>
      </c>
      <c r="BXJ30" t="s">
        <v>6984</v>
      </c>
      <c r="BXK30" t="s">
        <v>6984</v>
      </c>
      <c r="BXL30" t="s">
        <v>6984</v>
      </c>
      <c r="BXM30" t="s">
        <v>6984</v>
      </c>
      <c r="BXN30" t="s">
        <v>6984</v>
      </c>
      <c r="BXO30" t="s">
        <v>6984</v>
      </c>
      <c r="BXP30" t="s">
        <v>6984</v>
      </c>
      <c r="BXQ30" t="s">
        <v>6984</v>
      </c>
      <c r="BXR30" t="s">
        <v>6984</v>
      </c>
      <c r="BXS30" t="s">
        <v>6984</v>
      </c>
      <c r="BXT30" t="s">
        <v>6984</v>
      </c>
      <c r="BXU30" t="s">
        <v>6984</v>
      </c>
      <c r="BXV30" t="s">
        <v>6984</v>
      </c>
      <c r="BXW30" t="s">
        <v>6984</v>
      </c>
      <c r="BXX30" t="s">
        <v>6984</v>
      </c>
      <c r="BXY30" t="s">
        <v>6984</v>
      </c>
      <c r="BXZ30" t="s">
        <v>6984</v>
      </c>
      <c r="BYA30" t="s">
        <v>6984</v>
      </c>
      <c r="BYB30" t="s">
        <v>6984</v>
      </c>
      <c r="BYC30" t="s">
        <v>6984</v>
      </c>
      <c r="BYD30" t="s">
        <v>6984</v>
      </c>
      <c r="BYE30" t="s">
        <v>6984</v>
      </c>
      <c r="BYF30" t="s">
        <v>6984</v>
      </c>
      <c r="BYG30" t="s">
        <v>6984</v>
      </c>
      <c r="BYH30" t="s">
        <v>6984</v>
      </c>
      <c r="BYI30" t="s">
        <v>6984</v>
      </c>
      <c r="BYJ30" t="s">
        <v>6984</v>
      </c>
      <c r="BYK30" t="s">
        <v>6984</v>
      </c>
      <c r="BYL30" t="s">
        <v>6984</v>
      </c>
      <c r="BYM30" t="s">
        <v>6984</v>
      </c>
      <c r="BYN30" t="s">
        <v>6984</v>
      </c>
      <c r="BYO30" t="s">
        <v>6984</v>
      </c>
      <c r="BYP30" t="s">
        <v>6984</v>
      </c>
      <c r="BYQ30" t="s">
        <v>6984</v>
      </c>
      <c r="BYR30" t="s">
        <v>6984</v>
      </c>
      <c r="BYS30" t="s">
        <v>6984</v>
      </c>
      <c r="BYT30" t="s">
        <v>6984</v>
      </c>
      <c r="BYU30" t="s">
        <v>6984</v>
      </c>
      <c r="BYV30" t="s">
        <v>6984</v>
      </c>
      <c r="BYW30" t="s">
        <v>6984</v>
      </c>
      <c r="BYX30" t="s">
        <v>6984</v>
      </c>
      <c r="BYY30" t="s">
        <v>6984</v>
      </c>
      <c r="BYZ30" t="s">
        <v>6984</v>
      </c>
      <c r="BZA30" t="s">
        <v>6984</v>
      </c>
      <c r="BZB30" t="s">
        <v>6984</v>
      </c>
      <c r="BZC30" t="s">
        <v>6984</v>
      </c>
      <c r="BZD30" t="s">
        <v>6984</v>
      </c>
      <c r="BZE30" t="s">
        <v>6984</v>
      </c>
      <c r="BZF30" t="s">
        <v>6984</v>
      </c>
      <c r="BZG30" t="s">
        <v>6984</v>
      </c>
      <c r="BZH30" t="s">
        <v>6984</v>
      </c>
      <c r="BZI30" t="s">
        <v>6984</v>
      </c>
      <c r="BZJ30" t="s">
        <v>6984</v>
      </c>
      <c r="BZK30" t="s">
        <v>6984</v>
      </c>
      <c r="BZL30" t="s">
        <v>6984</v>
      </c>
      <c r="BZM30" t="s">
        <v>6984</v>
      </c>
      <c r="BZN30" t="s">
        <v>6984</v>
      </c>
      <c r="BZO30" t="s">
        <v>6984</v>
      </c>
      <c r="BZP30" t="s">
        <v>6984</v>
      </c>
      <c r="BZQ30" t="s">
        <v>6984</v>
      </c>
      <c r="BZR30" t="s">
        <v>6984</v>
      </c>
      <c r="BZS30" t="s">
        <v>6984</v>
      </c>
      <c r="BZT30" t="s">
        <v>6984</v>
      </c>
      <c r="BZU30" t="s">
        <v>6984</v>
      </c>
      <c r="BZV30" t="s">
        <v>6984</v>
      </c>
      <c r="BZW30" t="s">
        <v>6984</v>
      </c>
      <c r="BZX30" t="s">
        <v>6984</v>
      </c>
      <c r="BZY30" t="s">
        <v>6984</v>
      </c>
      <c r="BZZ30" t="s">
        <v>6984</v>
      </c>
      <c r="CAA30" t="s">
        <v>6984</v>
      </c>
      <c r="CAB30" t="s">
        <v>6984</v>
      </c>
      <c r="CAC30" t="s">
        <v>6984</v>
      </c>
      <c r="CAD30" t="s">
        <v>6984</v>
      </c>
      <c r="CAE30" t="s">
        <v>6984</v>
      </c>
      <c r="CAF30" t="s">
        <v>6984</v>
      </c>
      <c r="CAG30" t="s">
        <v>6984</v>
      </c>
      <c r="CAH30" t="s">
        <v>6984</v>
      </c>
      <c r="CAI30" t="s">
        <v>6984</v>
      </c>
      <c r="CAJ30" t="s">
        <v>6984</v>
      </c>
      <c r="CAK30" t="s">
        <v>6984</v>
      </c>
      <c r="CAL30" t="s">
        <v>6984</v>
      </c>
      <c r="CAM30" t="s">
        <v>6984</v>
      </c>
      <c r="CAN30" t="s">
        <v>6984</v>
      </c>
      <c r="CAO30" t="s">
        <v>6984</v>
      </c>
      <c r="CAP30" t="s">
        <v>6984</v>
      </c>
      <c r="CAQ30" t="s">
        <v>6984</v>
      </c>
      <c r="CAR30" t="s">
        <v>6984</v>
      </c>
      <c r="CAS30" t="s">
        <v>6984</v>
      </c>
      <c r="CAT30" t="s">
        <v>6984</v>
      </c>
      <c r="CAU30" t="s">
        <v>6984</v>
      </c>
      <c r="CAV30" t="s">
        <v>6984</v>
      </c>
      <c r="CAW30" t="s">
        <v>6984</v>
      </c>
      <c r="CAX30" t="s">
        <v>6984</v>
      </c>
      <c r="CAY30" t="s">
        <v>6984</v>
      </c>
      <c r="CAZ30" t="s">
        <v>6984</v>
      </c>
      <c r="CBA30" t="s">
        <v>6984</v>
      </c>
      <c r="CBB30" t="s">
        <v>6984</v>
      </c>
      <c r="CBC30" t="s">
        <v>6984</v>
      </c>
      <c r="CBD30" t="s">
        <v>6984</v>
      </c>
      <c r="CBE30" t="s">
        <v>6984</v>
      </c>
      <c r="CBF30" t="s">
        <v>6984</v>
      </c>
      <c r="CBG30" t="s">
        <v>6984</v>
      </c>
      <c r="CBH30" t="s">
        <v>6984</v>
      </c>
      <c r="CBI30" t="s">
        <v>6984</v>
      </c>
      <c r="CBJ30" t="s">
        <v>6984</v>
      </c>
      <c r="CBK30" t="s">
        <v>6984</v>
      </c>
      <c r="CBL30" t="s">
        <v>6984</v>
      </c>
      <c r="CBM30" t="s">
        <v>6984</v>
      </c>
      <c r="CBN30" t="s">
        <v>6984</v>
      </c>
      <c r="CBO30" t="s">
        <v>6984</v>
      </c>
      <c r="CBP30" t="s">
        <v>6984</v>
      </c>
      <c r="CBQ30" t="s">
        <v>6984</v>
      </c>
      <c r="CBR30" t="s">
        <v>6984</v>
      </c>
      <c r="CBS30" t="s">
        <v>6984</v>
      </c>
      <c r="CBT30" t="s">
        <v>6984</v>
      </c>
      <c r="CBU30" t="s">
        <v>6984</v>
      </c>
      <c r="CBV30" t="s">
        <v>6984</v>
      </c>
      <c r="CBW30" t="s">
        <v>6984</v>
      </c>
      <c r="CBX30" t="s">
        <v>6984</v>
      </c>
      <c r="CBY30" t="s">
        <v>6984</v>
      </c>
      <c r="CBZ30" t="s">
        <v>6984</v>
      </c>
      <c r="CCA30" t="s">
        <v>6984</v>
      </c>
      <c r="CCB30" t="s">
        <v>6984</v>
      </c>
      <c r="CCC30" t="s">
        <v>6984</v>
      </c>
      <c r="CCD30" t="s">
        <v>6984</v>
      </c>
      <c r="CCE30" t="s">
        <v>6984</v>
      </c>
      <c r="CCF30" t="s">
        <v>6984</v>
      </c>
      <c r="CCG30" t="s">
        <v>6984</v>
      </c>
      <c r="CCH30" t="s">
        <v>6984</v>
      </c>
      <c r="CCI30" t="s">
        <v>6984</v>
      </c>
      <c r="CCJ30" t="s">
        <v>6984</v>
      </c>
      <c r="CCK30" t="s">
        <v>6984</v>
      </c>
      <c r="CCL30" t="s">
        <v>6984</v>
      </c>
      <c r="CCM30" t="s">
        <v>6984</v>
      </c>
      <c r="CCN30" t="s">
        <v>6984</v>
      </c>
      <c r="CCO30" t="s">
        <v>6984</v>
      </c>
      <c r="CCP30" t="s">
        <v>6984</v>
      </c>
      <c r="CCQ30" t="s">
        <v>6984</v>
      </c>
      <c r="CCR30" t="s">
        <v>6984</v>
      </c>
      <c r="CCS30" t="s">
        <v>6984</v>
      </c>
      <c r="CCT30" t="s">
        <v>6984</v>
      </c>
      <c r="CCU30" t="s">
        <v>6984</v>
      </c>
      <c r="CCV30" t="s">
        <v>6984</v>
      </c>
      <c r="CCW30" t="s">
        <v>6984</v>
      </c>
      <c r="CCX30" t="s">
        <v>6984</v>
      </c>
      <c r="CCY30" t="s">
        <v>6984</v>
      </c>
      <c r="CCZ30" t="s">
        <v>6984</v>
      </c>
      <c r="CDA30" t="s">
        <v>6984</v>
      </c>
      <c r="CDB30" t="s">
        <v>6984</v>
      </c>
      <c r="CDC30" t="s">
        <v>6984</v>
      </c>
      <c r="CDD30" t="s">
        <v>6984</v>
      </c>
      <c r="CDE30" t="s">
        <v>6984</v>
      </c>
      <c r="CDF30" t="s">
        <v>6984</v>
      </c>
      <c r="CDG30" t="s">
        <v>6984</v>
      </c>
      <c r="CDH30" t="s">
        <v>6984</v>
      </c>
      <c r="CDI30" t="s">
        <v>6984</v>
      </c>
      <c r="CDJ30" t="s">
        <v>6984</v>
      </c>
      <c r="CDK30" t="s">
        <v>6984</v>
      </c>
      <c r="CDL30" t="s">
        <v>6984</v>
      </c>
      <c r="CDM30" t="s">
        <v>6984</v>
      </c>
      <c r="CDN30" t="s">
        <v>6984</v>
      </c>
      <c r="CDO30" t="s">
        <v>6984</v>
      </c>
      <c r="CDP30" t="s">
        <v>6984</v>
      </c>
      <c r="CDQ30" t="s">
        <v>6984</v>
      </c>
      <c r="CDR30" t="s">
        <v>6984</v>
      </c>
      <c r="CDS30" t="s">
        <v>6984</v>
      </c>
      <c r="CDT30" t="s">
        <v>6984</v>
      </c>
      <c r="CDU30" t="s">
        <v>6984</v>
      </c>
      <c r="CDV30" t="s">
        <v>6984</v>
      </c>
      <c r="CDW30" t="s">
        <v>6984</v>
      </c>
      <c r="CDX30" t="s">
        <v>6984</v>
      </c>
      <c r="CDY30" t="s">
        <v>6984</v>
      </c>
      <c r="CDZ30" t="s">
        <v>6984</v>
      </c>
      <c r="CEA30" t="s">
        <v>6984</v>
      </c>
      <c r="CEB30" t="s">
        <v>6984</v>
      </c>
      <c r="CEC30" t="s">
        <v>6984</v>
      </c>
      <c r="CED30" t="s">
        <v>6984</v>
      </c>
      <c r="CEE30" t="s">
        <v>6984</v>
      </c>
      <c r="CEF30" t="s">
        <v>6984</v>
      </c>
      <c r="CEG30" t="s">
        <v>6984</v>
      </c>
      <c r="CEH30" t="s">
        <v>6984</v>
      </c>
      <c r="CEI30" t="s">
        <v>6984</v>
      </c>
      <c r="CEJ30" t="s">
        <v>6984</v>
      </c>
      <c r="CEK30" t="s">
        <v>6984</v>
      </c>
      <c r="CEL30" t="s">
        <v>6984</v>
      </c>
      <c r="CEM30" t="s">
        <v>6984</v>
      </c>
      <c r="CEN30" t="s">
        <v>6984</v>
      </c>
      <c r="CEO30" t="s">
        <v>6984</v>
      </c>
      <c r="CEP30" t="s">
        <v>6984</v>
      </c>
      <c r="CEQ30" t="s">
        <v>6984</v>
      </c>
      <c r="CER30" t="s">
        <v>6984</v>
      </c>
      <c r="CES30" t="s">
        <v>6984</v>
      </c>
      <c r="CET30" t="s">
        <v>6984</v>
      </c>
      <c r="CEU30" t="s">
        <v>6984</v>
      </c>
      <c r="CEV30" t="s">
        <v>6984</v>
      </c>
      <c r="CEW30" t="s">
        <v>6984</v>
      </c>
      <c r="CEX30" t="s">
        <v>6984</v>
      </c>
      <c r="CEY30" t="s">
        <v>6984</v>
      </c>
      <c r="CEZ30" t="s">
        <v>6984</v>
      </c>
      <c r="CFA30" t="s">
        <v>6984</v>
      </c>
      <c r="CFB30" t="s">
        <v>6984</v>
      </c>
      <c r="CFC30" t="s">
        <v>6984</v>
      </c>
      <c r="CFD30" t="s">
        <v>6984</v>
      </c>
      <c r="CFE30" t="s">
        <v>6984</v>
      </c>
      <c r="CFF30" t="s">
        <v>6984</v>
      </c>
      <c r="CFG30" t="s">
        <v>6984</v>
      </c>
      <c r="CFH30" t="s">
        <v>6984</v>
      </c>
      <c r="CFI30" t="s">
        <v>6984</v>
      </c>
      <c r="CFJ30" t="s">
        <v>6984</v>
      </c>
      <c r="CFK30" t="s">
        <v>6984</v>
      </c>
      <c r="CFL30" t="s">
        <v>6984</v>
      </c>
      <c r="CFM30" t="s">
        <v>6984</v>
      </c>
      <c r="CFN30" t="s">
        <v>6984</v>
      </c>
      <c r="CFO30" t="s">
        <v>6984</v>
      </c>
      <c r="CFP30" t="s">
        <v>6984</v>
      </c>
      <c r="CFQ30" t="s">
        <v>6984</v>
      </c>
      <c r="CFR30" t="s">
        <v>6984</v>
      </c>
      <c r="CFS30" t="s">
        <v>6984</v>
      </c>
      <c r="CFT30" t="s">
        <v>6984</v>
      </c>
      <c r="CFU30" t="s">
        <v>6984</v>
      </c>
      <c r="CFV30" t="s">
        <v>6984</v>
      </c>
      <c r="CFW30" t="s">
        <v>6984</v>
      </c>
      <c r="CFX30" t="s">
        <v>6984</v>
      </c>
      <c r="CFY30" t="s">
        <v>6984</v>
      </c>
      <c r="CFZ30" t="s">
        <v>6984</v>
      </c>
      <c r="CGA30" t="s">
        <v>6984</v>
      </c>
      <c r="CGB30" t="s">
        <v>6984</v>
      </c>
      <c r="CGC30" t="s">
        <v>6984</v>
      </c>
      <c r="CGD30" t="s">
        <v>6984</v>
      </c>
      <c r="CGE30" t="s">
        <v>6984</v>
      </c>
      <c r="CGF30" t="s">
        <v>6984</v>
      </c>
      <c r="CGG30" t="s">
        <v>6984</v>
      </c>
      <c r="CGH30" t="s">
        <v>6984</v>
      </c>
      <c r="CGI30" t="s">
        <v>6984</v>
      </c>
      <c r="CGJ30" t="s">
        <v>6984</v>
      </c>
      <c r="CGK30" t="s">
        <v>6984</v>
      </c>
      <c r="CGL30" t="s">
        <v>6984</v>
      </c>
      <c r="CGM30" t="s">
        <v>6984</v>
      </c>
      <c r="CGN30" t="s">
        <v>6984</v>
      </c>
      <c r="CGO30" t="s">
        <v>6984</v>
      </c>
      <c r="CGP30" t="s">
        <v>6984</v>
      </c>
      <c r="CGQ30" t="s">
        <v>6984</v>
      </c>
      <c r="CGR30" t="s">
        <v>6984</v>
      </c>
      <c r="CGS30" t="s">
        <v>6984</v>
      </c>
      <c r="CGT30" t="s">
        <v>6984</v>
      </c>
      <c r="CGU30" t="s">
        <v>6984</v>
      </c>
      <c r="CGV30" t="s">
        <v>6984</v>
      </c>
      <c r="CGW30" t="s">
        <v>6984</v>
      </c>
      <c r="CGX30" t="s">
        <v>6984</v>
      </c>
      <c r="CGY30" t="s">
        <v>6984</v>
      </c>
      <c r="CGZ30" t="s">
        <v>6984</v>
      </c>
      <c r="CHA30" t="s">
        <v>6984</v>
      </c>
      <c r="CHB30" t="s">
        <v>6984</v>
      </c>
      <c r="CHC30" t="s">
        <v>6984</v>
      </c>
      <c r="CHD30" t="s">
        <v>6984</v>
      </c>
      <c r="CHE30" t="s">
        <v>6984</v>
      </c>
      <c r="CHF30" t="s">
        <v>6984</v>
      </c>
      <c r="CHG30" t="s">
        <v>6984</v>
      </c>
      <c r="CHH30" t="s">
        <v>6984</v>
      </c>
      <c r="CHI30" t="s">
        <v>6984</v>
      </c>
      <c r="CHJ30" t="s">
        <v>6984</v>
      </c>
      <c r="CHK30" t="s">
        <v>6984</v>
      </c>
      <c r="CHL30" t="s">
        <v>6984</v>
      </c>
      <c r="CHM30" t="s">
        <v>6984</v>
      </c>
      <c r="CHN30" t="s">
        <v>6984</v>
      </c>
      <c r="CHO30" t="s">
        <v>6984</v>
      </c>
      <c r="CHP30" t="s">
        <v>6984</v>
      </c>
      <c r="CHQ30" t="s">
        <v>6984</v>
      </c>
      <c r="CHR30" t="s">
        <v>6984</v>
      </c>
      <c r="CHS30" t="s">
        <v>6984</v>
      </c>
      <c r="CHT30" t="s">
        <v>6984</v>
      </c>
      <c r="CHU30" t="s">
        <v>6984</v>
      </c>
      <c r="CHV30" t="s">
        <v>6984</v>
      </c>
      <c r="CHW30" t="s">
        <v>6984</v>
      </c>
      <c r="CHX30" t="s">
        <v>6984</v>
      </c>
      <c r="CHY30" t="s">
        <v>6984</v>
      </c>
      <c r="CHZ30" t="s">
        <v>6984</v>
      </c>
      <c r="CIA30" t="s">
        <v>6984</v>
      </c>
      <c r="CIB30" t="s">
        <v>6984</v>
      </c>
      <c r="CIC30" t="s">
        <v>6984</v>
      </c>
      <c r="CID30" t="s">
        <v>6984</v>
      </c>
      <c r="CIE30" t="s">
        <v>6984</v>
      </c>
      <c r="CIF30" t="s">
        <v>6984</v>
      </c>
      <c r="CIG30" t="s">
        <v>6984</v>
      </c>
      <c r="CIH30" t="s">
        <v>6984</v>
      </c>
      <c r="CII30" t="s">
        <v>6984</v>
      </c>
      <c r="CIJ30" t="s">
        <v>6984</v>
      </c>
      <c r="CIK30" t="s">
        <v>6984</v>
      </c>
      <c r="CIL30" t="s">
        <v>6984</v>
      </c>
      <c r="CIM30" t="s">
        <v>6984</v>
      </c>
      <c r="CIN30" t="s">
        <v>6984</v>
      </c>
      <c r="CIO30" t="s">
        <v>6984</v>
      </c>
      <c r="CIP30" t="s">
        <v>6984</v>
      </c>
      <c r="CIQ30" t="s">
        <v>6984</v>
      </c>
      <c r="CIR30" t="s">
        <v>6984</v>
      </c>
      <c r="CIS30" t="s">
        <v>6984</v>
      </c>
      <c r="CIT30" t="s">
        <v>6984</v>
      </c>
      <c r="CIU30" t="s">
        <v>6984</v>
      </c>
      <c r="CIV30" t="s">
        <v>6984</v>
      </c>
      <c r="CIW30" t="s">
        <v>6984</v>
      </c>
      <c r="CIX30" t="s">
        <v>6984</v>
      </c>
      <c r="CIY30" t="s">
        <v>6984</v>
      </c>
      <c r="CIZ30" t="s">
        <v>6984</v>
      </c>
      <c r="CJA30" t="s">
        <v>6984</v>
      </c>
      <c r="CJB30" t="s">
        <v>6984</v>
      </c>
      <c r="CJC30" t="s">
        <v>6984</v>
      </c>
      <c r="CJD30" t="s">
        <v>6984</v>
      </c>
      <c r="CJE30" t="s">
        <v>6984</v>
      </c>
      <c r="CJF30" t="s">
        <v>6984</v>
      </c>
      <c r="CJG30" t="s">
        <v>6984</v>
      </c>
      <c r="CJH30" t="s">
        <v>6984</v>
      </c>
      <c r="CJI30" t="s">
        <v>6984</v>
      </c>
      <c r="CJJ30" t="s">
        <v>6984</v>
      </c>
      <c r="CJK30" t="s">
        <v>6984</v>
      </c>
      <c r="CJL30" t="s">
        <v>6984</v>
      </c>
      <c r="CJM30" t="s">
        <v>6984</v>
      </c>
      <c r="CJN30" t="s">
        <v>6984</v>
      </c>
      <c r="CJO30" t="s">
        <v>6984</v>
      </c>
      <c r="CJP30" t="s">
        <v>6984</v>
      </c>
      <c r="CJQ30" t="s">
        <v>6984</v>
      </c>
      <c r="CJR30" t="s">
        <v>6984</v>
      </c>
      <c r="CJS30" t="s">
        <v>6984</v>
      </c>
      <c r="CJT30" t="s">
        <v>6984</v>
      </c>
      <c r="CJU30" t="s">
        <v>6984</v>
      </c>
      <c r="CJV30" t="s">
        <v>6984</v>
      </c>
      <c r="CJW30" t="s">
        <v>6984</v>
      </c>
      <c r="CJX30" t="s">
        <v>6984</v>
      </c>
      <c r="CJY30" t="s">
        <v>6984</v>
      </c>
      <c r="CJZ30" t="s">
        <v>6984</v>
      </c>
      <c r="CKA30" t="s">
        <v>6984</v>
      </c>
      <c r="CKB30" t="s">
        <v>6984</v>
      </c>
      <c r="CKC30" t="s">
        <v>6984</v>
      </c>
      <c r="CKD30" t="s">
        <v>6984</v>
      </c>
      <c r="CKE30" t="s">
        <v>6984</v>
      </c>
      <c r="CKF30" t="s">
        <v>6984</v>
      </c>
      <c r="CKG30" t="s">
        <v>6984</v>
      </c>
      <c r="CKH30" t="s">
        <v>6984</v>
      </c>
      <c r="CKI30" t="s">
        <v>6984</v>
      </c>
      <c r="CKJ30" t="s">
        <v>6984</v>
      </c>
      <c r="CKK30" t="s">
        <v>6984</v>
      </c>
      <c r="CKL30" t="s">
        <v>6984</v>
      </c>
      <c r="CKM30" t="s">
        <v>6984</v>
      </c>
      <c r="CKN30" t="s">
        <v>6984</v>
      </c>
      <c r="CKO30" t="s">
        <v>6984</v>
      </c>
      <c r="CKP30" t="s">
        <v>6984</v>
      </c>
      <c r="CKQ30" t="s">
        <v>6984</v>
      </c>
      <c r="CKR30" t="s">
        <v>6984</v>
      </c>
      <c r="CKS30" t="s">
        <v>6984</v>
      </c>
      <c r="CKT30" t="s">
        <v>6984</v>
      </c>
      <c r="CKU30" t="s">
        <v>6984</v>
      </c>
      <c r="CKV30" t="s">
        <v>6984</v>
      </c>
      <c r="CKW30" t="s">
        <v>6984</v>
      </c>
      <c r="CKX30" t="s">
        <v>6984</v>
      </c>
      <c r="CKY30" t="s">
        <v>6984</v>
      </c>
      <c r="CKZ30" t="s">
        <v>6984</v>
      </c>
      <c r="CLA30" t="s">
        <v>6984</v>
      </c>
      <c r="CLB30" t="s">
        <v>6984</v>
      </c>
      <c r="CLC30" t="s">
        <v>6984</v>
      </c>
      <c r="CLD30" t="s">
        <v>6984</v>
      </c>
      <c r="CLE30" t="s">
        <v>6984</v>
      </c>
      <c r="CLF30" t="s">
        <v>6984</v>
      </c>
      <c r="CLG30" t="s">
        <v>6984</v>
      </c>
      <c r="CLH30" t="s">
        <v>6984</v>
      </c>
      <c r="CLI30" t="s">
        <v>6984</v>
      </c>
      <c r="CLJ30" t="s">
        <v>6984</v>
      </c>
      <c r="CLK30" t="s">
        <v>6984</v>
      </c>
      <c r="CLL30" t="s">
        <v>6984</v>
      </c>
      <c r="CLM30" t="s">
        <v>6984</v>
      </c>
      <c r="CLN30" t="s">
        <v>6984</v>
      </c>
      <c r="CLO30" t="s">
        <v>6984</v>
      </c>
      <c r="CLP30" t="s">
        <v>6984</v>
      </c>
      <c r="CLQ30" t="s">
        <v>6984</v>
      </c>
      <c r="CLR30" t="s">
        <v>6984</v>
      </c>
      <c r="CLS30" t="s">
        <v>6984</v>
      </c>
      <c r="CLT30" t="s">
        <v>6984</v>
      </c>
      <c r="CLU30" t="s">
        <v>6984</v>
      </c>
      <c r="CLV30" t="s">
        <v>6984</v>
      </c>
      <c r="CLW30" t="s">
        <v>6984</v>
      </c>
      <c r="CLX30" t="s">
        <v>6984</v>
      </c>
      <c r="CLY30" t="s">
        <v>6984</v>
      </c>
      <c r="CLZ30" t="s">
        <v>6984</v>
      </c>
      <c r="CMA30" t="s">
        <v>6984</v>
      </c>
      <c r="CMB30" t="s">
        <v>6984</v>
      </c>
      <c r="CMC30" t="s">
        <v>6984</v>
      </c>
      <c r="CMD30" t="s">
        <v>6984</v>
      </c>
      <c r="CME30" t="s">
        <v>6984</v>
      </c>
      <c r="CMF30" t="s">
        <v>6984</v>
      </c>
      <c r="CMG30" t="s">
        <v>6984</v>
      </c>
      <c r="CMH30" t="s">
        <v>6984</v>
      </c>
      <c r="CMI30" t="s">
        <v>6984</v>
      </c>
      <c r="CMJ30" t="s">
        <v>6984</v>
      </c>
      <c r="CMK30" t="s">
        <v>6984</v>
      </c>
      <c r="CML30" t="s">
        <v>6984</v>
      </c>
      <c r="CMM30" t="s">
        <v>6984</v>
      </c>
      <c r="CMN30" t="s">
        <v>6984</v>
      </c>
      <c r="CMO30" t="s">
        <v>6984</v>
      </c>
      <c r="CMP30" t="s">
        <v>6984</v>
      </c>
      <c r="CMQ30" t="s">
        <v>6984</v>
      </c>
      <c r="CMR30" t="s">
        <v>6984</v>
      </c>
      <c r="CMS30" t="s">
        <v>6984</v>
      </c>
      <c r="CMT30" t="s">
        <v>6984</v>
      </c>
      <c r="CMU30" t="s">
        <v>6984</v>
      </c>
      <c r="CMV30" t="s">
        <v>6984</v>
      </c>
      <c r="CMW30" t="s">
        <v>6984</v>
      </c>
      <c r="CMX30" t="s">
        <v>6984</v>
      </c>
      <c r="CMY30" t="s">
        <v>6984</v>
      </c>
      <c r="CMZ30" t="s">
        <v>6984</v>
      </c>
      <c r="CNA30" t="s">
        <v>6984</v>
      </c>
      <c r="CNB30" t="s">
        <v>6984</v>
      </c>
      <c r="CNC30" t="s">
        <v>6984</v>
      </c>
      <c r="CND30" t="s">
        <v>6984</v>
      </c>
      <c r="CNE30" t="s">
        <v>6984</v>
      </c>
      <c r="CNF30" t="s">
        <v>6984</v>
      </c>
      <c r="CNG30" t="s">
        <v>6984</v>
      </c>
      <c r="CNH30" t="s">
        <v>6984</v>
      </c>
      <c r="CNI30" t="s">
        <v>6984</v>
      </c>
      <c r="CNJ30" t="s">
        <v>6984</v>
      </c>
      <c r="CNK30" t="s">
        <v>6984</v>
      </c>
      <c r="CNL30" t="s">
        <v>6984</v>
      </c>
      <c r="CNM30" t="s">
        <v>6984</v>
      </c>
      <c r="CNN30" t="s">
        <v>6984</v>
      </c>
      <c r="CNO30" t="s">
        <v>6984</v>
      </c>
      <c r="CNP30" t="s">
        <v>6984</v>
      </c>
      <c r="CNQ30" t="s">
        <v>6984</v>
      </c>
      <c r="CNR30" t="s">
        <v>6984</v>
      </c>
      <c r="CNS30" t="s">
        <v>6984</v>
      </c>
      <c r="CNT30" t="s">
        <v>6984</v>
      </c>
      <c r="CNU30" t="s">
        <v>6984</v>
      </c>
      <c r="CNV30" t="s">
        <v>6984</v>
      </c>
      <c r="CNW30" t="s">
        <v>6984</v>
      </c>
      <c r="CNX30" t="s">
        <v>6984</v>
      </c>
      <c r="CNY30" t="s">
        <v>6984</v>
      </c>
      <c r="CNZ30" t="s">
        <v>6984</v>
      </c>
      <c r="COA30" t="s">
        <v>6984</v>
      </c>
      <c r="COB30" t="s">
        <v>6984</v>
      </c>
      <c r="COC30" t="s">
        <v>6984</v>
      </c>
      <c r="COD30" t="s">
        <v>6984</v>
      </c>
      <c r="COE30" t="s">
        <v>6984</v>
      </c>
      <c r="COF30" t="s">
        <v>6984</v>
      </c>
      <c r="COG30" t="s">
        <v>6984</v>
      </c>
      <c r="COH30" t="s">
        <v>6984</v>
      </c>
      <c r="COI30" t="s">
        <v>6984</v>
      </c>
      <c r="COJ30" t="s">
        <v>6984</v>
      </c>
      <c r="COK30" t="s">
        <v>6984</v>
      </c>
      <c r="COL30" t="s">
        <v>6984</v>
      </c>
      <c r="COM30" t="s">
        <v>6984</v>
      </c>
      <c r="CON30" t="s">
        <v>6984</v>
      </c>
      <c r="COO30" t="s">
        <v>6984</v>
      </c>
      <c r="COP30" t="s">
        <v>6984</v>
      </c>
      <c r="COQ30" t="s">
        <v>6984</v>
      </c>
      <c r="COR30" t="s">
        <v>6984</v>
      </c>
      <c r="COS30" t="s">
        <v>6984</v>
      </c>
      <c r="COT30" t="s">
        <v>6984</v>
      </c>
      <c r="COU30" t="s">
        <v>6984</v>
      </c>
      <c r="COV30" t="s">
        <v>6984</v>
      </c>
      <c r="COW30" t="s">
        <v>6984</v>
      </c>
      <c r="COX30" t="s">
        <v>6984</v>
      </c>
      <c r="COY30" t="s">
        <v>6984</v>
      </c>
      <c r="COZ30" t="s">
        <v>6984</v>
      </c>
      <c r="CPA30" t="s">
        <v>6984</v>
      </c>
      <c r="CPB30" t="s">
        <v>6984</v>
      </c>
      <c r="CPC30" t="s">
        <v>6984</v>
      </c>
      <c r="CPD30" t="s">
        <v>6984</v>
      </c>
      <c r="CPE30" t="s">
        <v>6984</v>
      </c>
      <c r="CPF30" t="s">
        <v>6984</v>
      </c>
      <c r="CPG30" t="s">
        <v>6984</v>
      </c>
      <c r="CPH30" t="s">
        <v>6984</v>
      </c>
      <c r="CPI30" t="s">
        <v>6984</v>
      </c>
      <c r="CPJ30" t="s">
        <v>6984</v>
      </c>
      <c r="CPK30" t="s">
        <v>6984</v>
      </c>
      <c r="CPL30" t="s">
        <v>6984</v>
      </c>
      <c r="CPM30" t="s">
        <v>6984</v>
      </c>
      <c r="CPN30" t="s">
        <v>6984</v>
      </c>
      <c r="CPO30" t="s">
        <v>6984</v>
      </c>
      <c r="CPP30" t="s">
        <v>6984</v>
      </c>
      <c r="CPQ30" t="s">
        <v>6984</v>
      </c>
      <c r="CPR30" t="s">
        <v>6984</v>
      </c>
      <c r="CPS30" t="s">
        <v>6984</v>
      </c>
      <c r="CPT30" t="s">
        <v>6984</v>
      </c>
      <c r="CPU30" t="s">
        <v>6984</v>
      </c>
      <c r="CPV30" t="s">
        <v>6984</v>
      </c>
      <c r="CPW30" t="s">
        <v>6984</v>
      </c>
      <c r="CPX30" t="s">
        <v>6984</v>
      </c>
      <c r="CPY30" t="s">
        <v>6984</v>
      </c>
      <c r="CPZ30" t="s">
        <v>6984</v>
      </c>
      <c r="CQA30" t="s">
        <v>6984</v>
      </c>
      <c r="CQB30" t="s">
        <v>6984</v>
      </c>
      <c r="CQC30" t="s">
        <v>6984</v>
      </c>
      <c r="CQD30" t="s">
        <v>6984</v>
      </c>
      <c r="CQE30" t="s">
        <v>6984</v>
      </c>
      <c r="CQF30" t="s">
        <v>6984</v>
      </c>
      <c r="CQG30" t="s">
        <v>6984</v>
      </c>
      <c r="CQH30" t="s">
        <v>6984</v>
      </c>
      <c r="CQI30" t="s">
        <v>6984</v>
      </c>
      <c r="CQJ30" t="s">
        <v>6984</v>
      </c>
      <c r="CQK30" t="s">
        <v>6984</v>
      </c>
      <c r="CQL30" t="s">
        <v>6984</v>
      </c>
      <c r="CQM30" t="s">
        <v>6984</v>
      </c>
      <c r="CQN30" t="s">
        <v>6984</v>
      </c>
      <c r="CQO30" t="s">
        <v>6984</v>
      </c>
      <c r="CQP30" t="s">
        <v>6984</v>
      </c>
      <c r="CQQ30" t="s">
        <v>6984</v>
      </c>
      <c r="CQR30" t="s">
        <v>6984</v>
      </c>
      <c r="CQS30" t="s">
        <v>6984</v>
      </c>
      <c r="CQT30" t="s">
        <v>6984</v>
      </c>
      <c r="CQU30" t="s">
        <v>6984</v>
      </c>
      <c r="CQV30" t="s">
        <v>6984</v>
      </c>
      <c r="CQW30" t="s">
        <v>6984</v>
      </c>
      <c r="CQX30" t="s">
        <v>6984</v>
      </c>
      <c r="CQY30" t="s">
        <v>6984</v>
      </c>
      <c r="CQZ30" t="s">
        <v>6984</v>
      </c>
      <c r="CRA30" t="s">
        <v>6984</v>
      </c>
      <c r="CRB30" t="s">
        <v>6984</v>
      </c>
      <c r="CRC30" t="s">
        <v>6984</v>
      </c>
      <c r="CRD30" t="s">
        <v>6984</v>
      </c>
      <c r="CRE30" t="s">
        <v>6984</v>
      </c>
      <c r="CRF30" t="s">
        <v>6984</v>
      </c>
      <c r="CRG30" t="s">
        <v>6984</v>
      </c>
      <c r="CRH30" t="s">
        <v>6984</v>
      </c>
      <c r="CRI30" t="s">
        <v>6984</v>
      </c>
      <c r="CRJ30" t="s">
        <v>6984</v>
      </c>
      <c r="CRK30" t="s">
        <v>6984</v>
      </c>
      <c r="CRL30" t="s">
        <v>6984</v>
      </c>
      <c r="CRM30" t="s">
        <v>6984</v>
      </c>
      <c r="CRN30" t="s">
        <v>6984</v>
      </c>
      <c r="CRO30" t="s">
        <v>6984</v>
      </c>
      <c r="CRP30" t="s">
        <v>6984</v>
      </c>
      <c r="CRQ30" t="s">
        <v>6984</v>
      </c>
      <c r="CRR30" t="s">
        <v>6984</v>
      </c>
      <c r="CRS30" t="s">
        <v>6984</v>
      </c>
      <c r="CRT30" t="s">
        <v>6984</v>
      </c>
      <c r="CRU30" t="s">
        <v>6984</v>
      </c>
      <c r="CRV30" t="s">
        <v>6984</v>
      </c>
      <c r="CRW30" t="s">
        <v>6984</v>
      </c>
      <c r="CRX30" t="s">
        <v>6984</v>
      </c>
      <c r="CRY30" t="s">
        <v>6984</v>
      </c>
      <c r="CRZ30" t="s">
        <v>6984</v>
      </c>
      <c r="CSA30" t="s">
        <v>6984</v>
      </c>
      <c r="CSB30" t="s">
        <v>6984</v>
      </c>
      <c r="CSC30" t="s">
        <v>6984</v>
      </c>
      <c r="CSD30" t="s">
        <v>6984</v>
      </c>
      <c r="CSE30" t="s">
        <v>6984</v>
      </c>
      <c r="CSF30" t="s">
        <v>6984</v>
      </c>
      <c r="CSG30" t="s">
        <v>6984</v>
      </c>
      <c r="CSH30" t="s">
        <v>6984</v>
      </c>
      <c r="CSI30" t="s">
        <v>6984</v>
      </c>
      <c r="CSJ30" t="s">
        <v>6984</v>
      </c>
      <c r="CSK30" t="s">
        <v>6984</v>
      </c>
      <c r="CSL30" t="s">
        <v>6984</v>
      </c>
      <c r="CSM30" t="s">
        <v>6984</v>
      </c>
      <c r="CSN30" t="s">
        <v>6984</v>
      </c>
      <c r="CSO30" t="s">
        <v>6984</v>
      </c>
      <c r="CSP30" t="s">
        <v>6984</v>
      </c>
      <c r="CSQ30" t="s">
        <v>6984</v>
      </c>
      <c r="CSR30" t="s">
        <v>6984</v>
      </c>
      <c r="CSS30" t="s">
        <v>6984</v>
      </c>
      <c r="CST30" t="s">
        <v>6984</v>
      </c>
      <c r="CSU30" t="s">
        <v>6984</v>
      </c>
      <c r="CSV30" t="s">
        <v>6984</v>
      </c>
      <c r="CSW30" t="s">
        <v>6984</v>
      </c>
      <c r="CSX30" t="s">
        <v>6984</v>
      </c>
      <c r="CSY30" t="s">
        <v>6984</v>
      </c>
      <c r="CSZ30" t="s">
        <v>6984</v>
      </c>
      <c r="CTA30" t="s">
        <v>6984</v>
      </c>
      <c r="CTB30" t="s">
        <v>6984</v>
      </c>
      <c r="CTC30" t="s">
        <v>6984</v>
      </c>
      <c r="CTD30" t="s">
        <v>6984</v>
      </c>
      <c r="CTE30" t="s">
        <v>6984</v>
      </c>
      <c r="CTF30" t="s">
        <v>6984</v>
      </c>
      <c r="CTG30" t="s">
        <v>6984</v>
      </c>
      <c r="CTH30" t="s">
        <v>6984</v>
      </c>
      <c r="CTI30" t="s">
        <v>6984</v>
      </c>
      <c r="CTJ30" t="s">
        <v>6984</v>
      </c>
      <c r="CTK30" t="s">
        <v>6984</v>
      </c>
      <c r="CTL30" t="s">
        <v>6984</v>
      </c>
      <c r="CTM30" t="s">
        <v>6984</v>
      </c>
      <c r="CTN30" t="s">
        <v>6984</v>
      </c>
      <c r="CTO30" t="s">
        <v>6984</v>
      </c>
      <c r="CTP30" t="s">
        <v>6984</v>
      </c>
      <c r="CTQ30" t="s">
        <v>6984</v>
      </c>
      <c r="CTR30" t="s">
        <v>6984</v>
      </c>
      <c r="CTS30" t="s">
        <v>6984</v>
      </c>
      <c r="CTT30" t="s">
        <v>6984</v>
      </c>
      <c r="CTU30" t="s">
        <v>6984</v>
      </c>
      <c r="CTV30" t="s">
        <v>6984</v>
      </c>
      <c r="CTW30" t="s">
        <v>6984</v>
      </c>
      <c r="CTX30" t="s">
        <v>6984</v>
      </c>
      <c r="CTY30" t="s">
        <v>6984</v>
      </c>
      <c r="CTZ30" t="s">
        <v>6984</v>
      </c>
      <c r="CUA30" t="s">
        <v>6984</v>
      </c>
      <c r="CUB30" t="s">
        <v>6984</v>
      </c>
      <c r="CUC30" t="s">
        <v>6984</v>
      </c>
      <c r="CUD30" t="s">
        <v>6984</v>
      </c>
      <c r="CUE30" t="s">
        <v>6984</v>
      </c>
      <c r="CUF30" t="s">
        <v>6984</v>
      </c>
      <c r="CUG30" t="s">
        <v>6984</v>
      </c>
      <c r="CUH30" t="s">
        <v>6984</v>
      </c>
      <c r="CUI30" t="s">
        <v>6984</v>
      </c>
      <c r="CUJ30" t="s">
        <v>6984</v>
      </c>
      <c r="CUK30" t="s">
        <v>6984</v>
      </c>
      <c r="CUL30" t="s">
        <v>6984</v>
      </c>
      <c r="CUM30" t="s">
        <v>6984</v>
      </c>
      <c r="CUN30" t="s">
        <v>6984</v>
      </c>
      <c r="CUO30" t="s">
        <v>6984</v>
      </c>
      <c r="CUP30" t="s">
        <v>6984</v>
      </c>
      <c r="CUQ30" t="s">
        <v>6984</v>
      </c>
      <c r="CUR30" t="s">
        <v>6984</v>
      </c>
      <c r="CUS30" t="s">
        <v>6984</v>
      </c>
      <c r="CUT30" t="s">
        <v>6984</v>
      </c>
      <c r="CUU30" t="s">
        <v>6984</v>
      </c>
      <c r="CUV30" t="s">
        <v>6984</v>
      </c>
      <c r="CUW30" t="s">
        <v>6984</v>
      </c>
      <c r="CUX30" t="s">
        <v>6984</v>
      </c>
      <c r="CUY30" t="s">
        <v>6984</v>
      </c>
      <c r="CUZ30" t="s">
        <v>6984</v>
      </c>
      <c r="CVA30" t="s">
        <v>6984</v>
      </c>
      <c r="CVB30" t="s">
        <v>6984</v>
      </c>
      <c r="CVC30" t="s">
        <v>6984</v>
      </c>
      <c r="CVD30" t="s">
        <v>6984</v>
      </c>
      <c r="CVE30" t="s">
        <v>6984</v>
      </c>
      <c r="CVF30" t="s">
        <v>6984</v>
      </c>
      <c r="CVG30" t="s">
        <v>6984</v>
      </c>
      <c r="CVH30" t="s">
        <v>6984</v>
      </c>
      <c r="CVI30" t="s">
        <v>6984</v>
      </c>
      <c r="CVJ30" t="s">
        <v>6984</v>
      </c>
      <c r="CVK30" t="s">
        <v>6984</v>
      </c>
      <c r="CVL30" t="s">
        <v>6984</v>
      </c>
      <c r="CVM30" t="s">
        <v>6984</v>
      </c>
      <c r="CVN30" t="s">
        <v>6984</v>
      </c>
      <c r="CVO30" t="s">
        <v>6984</v>
      </c>
      <c r="CVP30" t="s">
        <v>6984</v>
      </c>
      <c r="CVQ30" t="s">
        <v>6984</v>
      </c>
      <c r="CVR30" t="s">
        <v>6984</v>
      </c>
      <c r="CVS30" t="s">
        <v>6984</v>
      </c>
      <c r="CVT30" t="s">
        <v>6984</v>
      </c>
      <c r="CVU30" t="s">
        <v>6984</v>
      </c>
      <c r="CVV30" t="s">
        <v>6984</v>
      </c>
      <c r="CVW30" t="s">
        <v>6984</v>
      </c>
      <c r="CVX30" t="s">
        <v>6984</v>
      </c>
      <c r="CVY30" t="s">
        <v>6984</v>
      </c>
      <c r="CVZ30" t="s">
        <v>6984</v>
      </c>
      <c r="CWA30" t="s">
        <v>6984</v>
      </c>
      <c r="CWB30" t="s">
        <v>6984</v>
      </c>
      <c r="CWC30" t="s">
        <v>6984</v>
      </c>
      <c r="CWD30" t="s">
        <v>6984</v>
      </c>
      <c r="CWE30" t="s">
        <v>6984</v>
      </c>
      <c r="CWF30" t="s">
        <v>6984</v>
      </c>
      <c r="CWG30" t="s">
        <v>6984</v>
      </c>
      <c r="CWH30" t="s">
        <v>6984</v>
      </c>
      <c r="CWI30" t="s">
        <v>6984</v>
      </c>
      <c r="CWJ30" t="s">
        <v>6984</v>
      </c>
      <c r="CWK30" t="s">
        <v>6984</v>
      </c>
      <c r="CWL30" t="s">
        <v>6984</v>
      </c>
      <c r="CWM30" t="s">
        <v>6984</v>
      </c>
      <c r="CWN30" t="s">
        <v>6984</v>
      </c>
      <c r="CWO30" t="s">
        <v>6984</v>
      </c>
      <c r="CWP30" t="s">
        <v>6984</v>
      </c>
      <c r="CWQ30" t="s">
        <v>6984</v>
      </c>
      <c r="CWR30" t="s">
        <v>6984</v>
      </c>
      <c r="CWS30" t="s">
        <v>6984</v>
      </c>
      <c r="CWT30" t="s">
        <v>6984</v>
      </c>
      <c r="CWU30" t="s">
        <v>6984</v>
      </c>
      <c r="CWV30" t="s">
        <v>6984</v>
      </c>
      <c r="CWW30" t="s">
        <v>6984</v>
      </c>
      <c r="CWX30" t="s">
        <v>6984</v>
      </c>
      <c r="CWY30" t="s">
        <v>6984</v>
      </c>
      <c r="CWZ30" t="s">
        <v>6984</v>
      </c>
      <c r="CXA30" t="s">
        <v>6984</v>
      </c>
      <c r="CXB30" t="s">
        <v>6984</v>
      </c>
      <c r="CXC30" t="s">
        <v>6984</v>
      </c>
      <c r="CXD30" t="s">
        <v>6984</v>
      </c>
      <c r="CXE30" t="s">
        <v>6984</v>
      </c>
      <c r="CXF30" t="s">
        <v>6984</v>
      </c>
      <c r="CXG30" t="s">
        <v>6984</v>
      </c>
      <c r="CXH30" t="s">
        <v>6984</v>
      </c>
      <c r="CXI30" t="s">
        <v>6984</v>
      </c>
      <c r="CXJ30" t="s">
        <v>6984</v>
      </c>
      <c r="CXK30" t="s">
        <v>6984</v>
      </c>
      <c r="CXL30" t="s">
        <v>6984</v>
      </c>
      <c r="CXM30" t="s">
        <v>6984</v>
      </c>
      <c r="CXN30" t="s">
        <v>6984</v>
      </c>
      <c r="CXO30" t="s">
        <v>6984</v>
      </c>
      <c r="CXP30" t="s">
        <v>6984</v>
      </c>
      <c r="CXQ30" t="s">
        <v>6984</v>
      </c>
      <c r="CXR30" t="s">
        <v>6984</v>
      </c>
      <c r="CXS30" t="s">
        <v>6984</v>
      </c>
      <c r="CXT30" t="s">
        <v>6984</v>
      </c>
      <c r="CXU30" t="s">
        <v>6984</v>
      </c>
      <c r="CXV30" t="s">
        <v>6984</v>
      </c>
      <c r="CXW30" t="s">
        <v>6984</v>
      </c>
      <c r="CXX30" t="s">
        <v>6984</v>
      </c>
      <c r="CXY30" t="s">
        <v>6984</v>
      </c>
      <c r="CXZ30" t="s">
        <v>6984</v>
      </c>
      <c r="CYA30" t="s">
        <v>6984</v>
      </c>
      <c r="CYB30" t="s">
        <v>6984</v>
      </c>
      <c r="CYC30" t="s">
        <v>6984</v>
      </c>
      <c r="CYD30" t="s">
        <v>6984</v>
      </c>
      <c r="CYE30" t="s">
        <v>6984</v>
      </c>
      <c r="CYF30" t="s">
        <v>6984</v>
      </c>
      <c r="CYG30" t="s">
        <v>6984</v>
      </c>
      <c r="CYH30" t="s">
        <v>6984</v>
      </c>
      <c r="CYI30" t="s">
        <v>6984</v>
      </c>
      <c r="CYJ30" t="s">
        <v>6984</v>
      </c>
      <c r="CYK30" t="s">
        <v>6984</v>
      </c>
      <c r="CYL30" t="s">
        <v>6984</v>
      </c>
      <c r="CYM30" t="s">
        <v>6984</v>
      </c>
      <c r="CYN30" t="s">
        <v>6984</v>
      </c>
      <c r="CYO30" t="s">
        <v>6984</v>
      </c>
      <c r="CYP30" t="s">
        <v>6984</v>
      </c>
      <c r="CYQ30" t="s">
        <v>6984</v>
      </c>
      <c r="CYR30" t="s">
        <v>6984</v>
      </c>
      <c r="CYS30" t="s">
        <v>6984</v>
      </c>
      <c r="CYT30" t="s">
        <v>6984</v>
      </c>
      <c r="CYU30" t="s">
        <v>6984</v>
      </c>
      <c r="CYV30" t="s">
        <v>6984</v>
      </c>
      <c r="CYW30" t="s">
        <v>6984</v>
      </c>
      <c r="CYX30" t="s">
        <v>6984</v>
      </c>
      <c r="CYY30" t="s">
        <v>6984</v>
      </c>
      <c r="CYZ30" t="s">
        <v>6984</v>
      </c>
      <c r="CZA30" t="s">
        <v>6984</v>
      </c>
      <c r="CZB30" t="s">
        <v>6984</v>
      </c>
      <c r="CZC30" t="s">
        <v>6984</v>
      </c>
      <c r="CZD30" t="s">
        <v>6984</v>
      </c>
      <c r="CZE30" t="s">
        <v>6984</v>
      </c>
      <c r="CZF30" t="s">
        <v>6984</v>
      </c>
      <c r="CZG30" t="s">
        <v>6984</v>
      </c>
      <c r="CZH30" t="s">
        <v>6984</v>
      </c>
      <c r="CZI30" t="s">
        <v>6984</v>
      </c>
      <c r="CZJ30" t="s">
        <v>6984</v>
      </c>
      <c r="CZK30" t="s">
        <v>6984</v>
      </c>
      <c r="CZL30" t="s">
        <v>6984</v>
      </c>
      <c r="CZM30" t="s">
        <v>6984</v>
      </c>
      <c r="CZN30" t="s">
        <v>6984</v>
      </c>
      <c r="CZO30" t="s">
        <v>6984</v>
      </c>
      <c r="CZP30" t="s">
        <v>6984</v>
      </c>
      <c r="CZQ30" t="s">
        <v>6984</v>
      </c>
      <c r="CZR30" t="s">
        <v>6984</v>
      </c>
      <c r="CZS30" t="s">
        <v>6984</v>
      </c>
      <c r="CZT30" t="s">
        <v>6984</v>
      </c>
      <c r="CZU30" t="s">
        <v>6984</v>
      </c>
      <c r="CZV30" t="s">
        <v>6984</v>
      </c>
      <c r="CZW30" t="s">
        <v>6984</v>
      </c>
      <c r="CZX30" t="s">
        <v>6984</v>
      </c>
      <c r="CZY30" t="s">
        <v>6984</v>
      </c>
      <c r="CZZ30" t="s">
        <v>6984</v>
      </c>
      <c r="DAA30" t="s">
        <v>6984</v>
      </c>
      <c r="DAB30" t="s">
        <v>6984</v>
      </c>
      <c r="DAC30" t="s">
        <v>6984</v>
      </c>
      <c r="DAD30" t="s">
        <v>6984</v>
      </c>
      <c r="DAE30" t="s">
        <v>6984</v>
      </c>
      <c r="DAF30" t="s">
        <v>6984</v>
      </c>
      <c r="DAG30" t="s">
        <v>6984</v>
      </c>
      <c r="DAH30" t="s">
        <v>6984</v>
      </c>
      <c r="DAI30" t="s">
        <v>6984</v>
      </c>
      <c r="DAJ30" t="s">
        <v>6984</v>
      </c>
      <c r="DAK30" t="s">
        <v>6984</v>
      </c>
      <c r="DAL30" t="s">
        <v>6984</v>
      </c>
      <c r="DAM30" t="s">
        <v>6984</v>
      </c>
      <c r="DAN30" t="s">
        <v>6984</v>
      </c>
      <c r="DAO30" t="s">
        <v>6984</v>
      </c>
      <c r="DAP30" t="s">
        <v>6984</v>
      </c>
      <c r="DAQ30" t="s">
        <v>6984</v>
      </c>
      <c r="DAR30" t="s">
        <v>6984</v>
      </c>
      <c r="DAS30" t="s">
        <v>6984</v>
      </c>
      <c r="DAT30" t="s">
        <v>6984</v>
      </c>
      <c r="DAU30" t="s">
        <v>6984</v>
      </c>
      <c r="DAV30" t="s">
        <v>6984</v>
      </c>
      <c r="DAW30" t="s">
        <v>6984</v>
      </c>
      <c r="DAX30" t="s">
        <v>6984</v>
      </c>
      <c r="DAY30" t="s">
        <v>6984</v>
      </c>
      <c r="DAZ30" t="s">
        <v>6984</v>
      </c>
      <c r="DBA30" t="s">
        <v>6984</v>
      </c>
      <c r="DBB30" t="s">
        <v>6984</v>
      </c>
      <c r="DBC30" t="s">
        <v>6984</v>
      </c>
      <c r="DBD30" t="s">
        <v>6984</v>
      </c>
      <c r="DBE30" t="s">
        <v>6984</v>
      </c>
      <c r="DBF30" t="s">
        <v>6984</v>
      </c>
      <c r="DBG30" t="s">
        <v>6984</v>
      </c>
      <c r="DBH30" t="s">
        <v>6984</v>
      </c>
      <c r="DBI30" t="s">
        <v>6984</v>
      </c>
      <c r="DBJ30" t="s">
        <v>6984</v>
      </c>
      <c r="DBK30" t="s">
        <v>6984</v>
      </c>
      <c r="DBL30" t="s">
        <v>6984</v>
      </c>
      <c r="DBM30" t="s">
        <v>6984</v>
      </c>
      <c r="DBN30" t="s">
        <v>6984</v>
      </c>
      <c r="DBO30" t="s">
        <v>6984</v>
      </c>
      <c r="DBP30" t="s">
        <v>6984</v>
      </c>
      <c r="DBQ30" t="s">
        <v>6984</v>
      </c>
      <c r="DBR30" t="s">
        <v>6984</v>
      </c>
      <c r="DBS30" t="s">
        <v>6984</v>
      </c>
      <c r="DBT30" t="s">
        <v>6984</v>
      </c>
      <c r="DBU30" t="s">
        <v>6984</v>
      </c>
      <c r="DBV30" t="s">
        <v>6984</v>
      </c>
      <c r="DBW30" t="s">
        <v>6984</v>
      </c>
      <c r="DBX30" t="s">
        <v>6984</v>
      </c>
      <c r="DBY30" t="s">
        <v>6984</v>
      </c>
      <c r="DBZ30" t="s">
        <v>6984</v>
      </c>
      <c r="DCA30" t="s">
        <v>6984</v>
      </c>
      <c r="DCB30" t="s">
        <v>6984</v>
      </c>
      <c r="DCC30" t="s">
        <v>6984</v>
      </c>
      <c r="DCD30" t="s">
        <v>6984</v>
      </c>
      <c r="DCE30" t="s">
        <v>6984</v>
      </c>
      <c r="DCF30" t="s">
        <v>6984</v>
      </c>
      <c r="DCG30" t="s">
        <v>6984</v>
      </c>
      <c r="DCH30" t="s">
        <v>6984</v>
      </c>
      <c r="DCI30" t="s">
        <v>6984</v>
      </c>
      <c r="DCJ30" t="s">
        <v>6984</v>
      </c>
      <c r="DCK30" t="s">
        <v>6984</v>
      </c>
      <c r="DCL30" t="s">
        <v>6984</v>
      </c>
      <c r="DCM30" t="s">
        <v>6984</v>
      </c>
      <c r="DCN30" t="s">
        <v>6984</v>
      </c>
      <c r="DCO30" t="s">
        <v>6984</v>
      </c>
      <c r="DCP30" t="s">
        <v>6984</v>
      </c>
      <c r="DCQ30" t="s">
        <v>6984</v>
      </c>
      <c r="DCR30" t="s">
        <v>6984</v>
      </c>
      <c r="DCS30" t="s">
        <v>6984</v>
      </c>
      <c r="DCT30" t="s">
        <v>6984</v>
      </c>
      <c r="DCU30" t="s">
        <v>6984</v>
      </c>
      <c r="DCV30" t="s">
        <v>6984</v>
      </c>
      <c r="DCW30" t="s">
        <v>6984</v>
      </c>
      <c r="DCX30" t="s">
        <v>6984</v>
      </c>
      <c r="DCY30" t="s">
        <v>6984</v>
      </c>
      <c r="DCZ30" t="s">
        <v>6984</v>
      </c>
      <c r="DDA30" t="s">
        <v>6984</v>
      </c>
      <c r="DDB30" t="s">
        <v>6984</v>
      </c>
      <c r="DDC30" t="s">
        <v>6984</v>
      </c>
      <c r="DDD30" t="s">
        <v>6984</v>
      </c>
      <c r="DDE30" t="s">
        <v>6984</v>
      </c>
      <c r="DDF30" t="s">
        <v>6984</v>
      </c>
      <c r="DDG30" t="s">
        <v>6984</v>
      </c>
      <c r="DDH30" t="s">
        <v>6984</v>
      </c>
      <c r="DDI30" t="s">
        <v>6984</v>
      </c>
      <c r="DDJ30" t="s">
        <v>6984</v>
      </c>
      <c r="DDK30" t="s">
        <v>6984</v>
      </c>
      <c r="DDL30" t="s">
        <v>6984</v>
      </c>
      <c r="DDM30" t="s">
        <v>6984</v>
      </c>
      <c r="DDN30" t="s">
        <v>6984</v>
      </c>
      <c r="DDO30" t="s">
        <v>6984</v>
      </c>
      <c r="DDP30" t="s">
        <v>6984</v>
      </c>
      <c r="DDQ30" t="s">
        <v>6984</v>
      </c>
      <c r="DDR30" t="s">
        <v>6984</v>
      </c>
      <c r="DDS30" t="s">
        <v>6984</v>
      </c>
      <c r="DDT30" t="s">
        <v>6984</v>
      </c>
      <c r="DDU30" t="s">
        <v>6984</v>
      </c>
      <c r="DDV30" t="s">
        <v>6984</v>
      </c>
      <c r="DDW30" t="s">
        <v>6984</v>
      </c>
      <c r="DDX30" t="s">
        <v>6984</v>
      </c>
      <c r="DDY30" t="s">
        <v>6984</v>
      </c>
      <c r="DDZ30" t="s">
        <v>6984</v>
      </c>
      <c r="DEA30" t="s">
        <v>6984</v>
      </c>
      <c r="DEB30" t="s">
        <v>6984</v>
      </c>
      <c r="DEC30" t="s">
        <v>6984</v>
      </c>
      <c r="DED30" t="s">
        <v>6984</v>
      </c>
      <c r="DEE30" t="s">
        <v>6984</v>
      </c>
      <c r="DEF30" t="s">
        <v>6984</v>
      </c>
      <c r="DEG30" t="s">
        <v>6984</v>
      </c>
      <c r="DEH30" t="s">
        <v>6984</v>
      </c>
      <c r="DEI30" t="s">
        <v>6984</v>
      </c>
      <c r="DEJ30" t="s">
        <v>6984</v>
      </c>
      <c r="DEK30" t="s">
        <v>6984</v>
      </c>
      <c r="DEL30" t="s">
        <v>6984</v>
      </c>
      <c r="DEM30" t="s">
        <v>6984</v>
      </c>
      <c r="DEN30" t="s">
        <v>6984</v>
      </c>
      <c r="DEO30" t="s">
        <v>6984</v>
      </c>
      <c r="DEP30" t="s">
        <v>6984</v>
      </c>
      <c r="DEQ30" t="s">
        <v>6984</v>
      </c>
      <c r="DER30" t="s">
        <v>6984</v>
      </c>
      <c r="DES30" t="s">
        <v>6984</v>
      </c>
      <c r="DET30" t="s">
        <v>6984</v>
      </c>
      <c r="DEU30" t="s">
        <v>6984</v>
      </c>
      <c r="DEV30" t="s">
        <v>6984</v>
      </c>
      <c r="DEW30" t="s">
        <v>6984</v>
      </c>
      <c r="DEX30" t="s">
        <v>6984</v>
      </c>
      <c r="DEY30" t="s">
        <v>6984</v>
      </c>
      <c r="DEZ30" t="s">
        <v>6984</v>
      </c>
      <c r="DFA30" t="s">
        <v>6984</v>
      </c>
      <c r="DFB30" t="s">
        <v>6984</v>
      </c>
      <c r="DFC30" t="s">
        <v>6984</v>
      </c>
      <c r="DFD30" t="s">
        <v>6984</v>
      </c>
      <c r="DFE30" t="s">
        <v>6984</v>
      </c>
      <c r="DFF30" t="s">
        <v>6984</v>
      </c>
      <c r="DFG30" t="s">
        <v>6984</v>
      </c>
      <c r="DFH30" t="s">
        <v>6984</v>
      </c>
      <c r="DFI30" t="s">
        <v>6984</v>
      </c>
      <c r="DFJ30" t="s">
        <v>6984</v>
      </c>
      <c r="DFK30" t="s">
        <v>6984</v>
      </c>
      <c r="DFL30" t="s">
        <v>6984</v>
      </c>
      <c r="DFM30" t="s">
        <v>6984</v>
      </c>
      <c r="DFN30" t="s">
        <v>6984</v>
      </c>
      <c r="DFO30" t="s">
        <v>6984</v>
      </c>
      <c r="DFP30" t="s">
        <v>6984</v>
      </c>
      <c r="DFQ30" t="s">
        <v>6984</v>
      </c>
      <c r="DFR30" t="s">
        <v>6984</v>
      </c>
      <c r="DFS30" t="s">
        <v>6984</v>
      </c>
      <c r="DFT30" t="s">
        <v>6984</v>
      </c>
      <c r="DFU30" t="s">
        <v>6984</v>
      </c>
      <c r="DFV30" t="s">
        <v>6984</v>
      </c>
      <c r="DFW30" t="s">
        <v>6984</v>
      </c>
      <c r="DFX30" t="s">
        <v>6984</v>
      </c>
      <c r="DFY30" t="s">
        <v>6984</v>
      </c>
      <c r="DFZ30" t="s">
        <v>6984</v>
      </c>
      <c r="DGA30" t="s">
        <v>6984</v>
      </c>
      <c r="DGB30" t="s">
        <v>6984</v>
      </c>
      <c r="DGC30" t="s">
        <v>6984</v>
      </c>
      <c r="DGD30" t="s">
        <v>6984</v>
      </c>
      <c r="DGE30" t="s">
        <v>6984</v>
      </c>
      <c r="DGF30" t="s">
        <v>6984</v>
      </c>
      <c r="DGG30" t="s">
        <v>6984</v>
      </c>
      <c r="DGH30" t="s">
        <v>6984</v>
      </c>
      <c r="DGI30" t="s">
        <v>6984</v>
      </c>
      <c r="DGJ30" t="s">
        <v>6984</v>
      </c>
      <c r="DGK30" t="s">
        <v>6984</v>
      </c>
      <c r="DGL30" t="s">
        <v>6984</v>
      </c>
      <c r="DGM30" t="s">
        <v>6984</v>
      </c>
      <c r="DGN30" t="s">
        <v>6984</v>
      </c>
      <c r="DGO30" t="s">
        <v>6984</v>
      </c>
      <c r="DGP30" t="s">
        <v>6984</v>
      </c>
      <c r="DGQ30" t="s">
        <v>6984</v>
      </c>
      <c r="DGR30" t="s">
        <v>6984</v>
      </c>
      <c r="DGS30" t="s">
        <v>6984</v>
      </c>
      <c r="DGT30" t="s">
        <v>6984</v>
      </c>
      <c r="DGU30" t="s">
        <v>6984</v>
      </c>
      <c r="DGV30" t="s">
        <v>6984</v>
      </c>
      <c r="DGW30" t="s">
        <v>6984</v>
      </c>
      <c r="DGX30" t="s">
        <v>6984</v>
      </c>
      <c r="DGY30" t="s">
        <v>6984</v>
      </c>
      <c r="DGZ30" t="s">
        <v>6984</v>
      </c>
      <c r="DHA30" t="s">
        <v>6984</v>
      </c>
      <c r="DHB30" t="s">
        <v>6984</v>
      </c>
      <c r="DHC30" t="s">
        <v>6984</v>
      </c>
      <c r="DHD30" t="s">
        <v>6984</v>
      </c>
      <c r="DHE30" t="s">
        <v>6984</v>
      </c>
      <c r="DHF30" t="s">
        <v>6984</v>
      </c>
      <c r="DHG30" t="s">
        <v>6984</v>
      </c>
      <c r="DHH30" t="s">
        <v>6984</v>
      </c>
      <c r="DHI30" t="s">
        <v>6984</v>
      </c>
      <c r="DHJ30" t="s">
        <v>6984</v>
      </c>
      <c r="DHK30" t="s">
        <v>6984</v>
      </c>
      <c r="DHL30" t="s">
        <v>6984</v>
      </c>
      <c r="DHM30" t="s">
        <v>6984</v>
      </c>
      <c r="DHN30" t="s">
        <v>6984</v>
      </c>
      <c r="DHO30" t="s">
        <v>6984</v>
      </c>
      <c r="DHP30" t="s">
        <v>6984</v>
      </c>
      <c r="DHQ30" t="s">
        <v>6984</v>
      </c>
      <c r="DHR30" t="s">
        <v>6984</v>
      </c>
      <c r="DHS30" t="s">
        <v>6984</v>
      </c>
      <c r="DHT30" t="s">
        <v>6984</v>
      </c>
      <c r="DHU30" t="s">
        <v>6984</v>
      </c>
      <c r="DHV30" t="s">
        <v>6984</v>
      </c>
      <c r="DHW30" t="s">
        <v>6984</v>
      </c>
      <c r="DHX30" t="s">
        <v>6984</v>
      </c>
      <c r="DHY30" t="s">
        <v>6984</v>
      </c>
      <c r="DHZ30" t="s">
        <v>6984</v>
      </c>
      <c r="DIA30" t="s">
        <v>6984</v>
      </c>
      <c r="DIB30" t="s">
        <v>6984</v>
      </c>
      <c r="DIC30" t="s">
        <v>6984</v>
      </c>
      <c r="DID30" t="s">
        <v>6984</v>
      </c>
      <c r="DIE30" t="s">
        <v>6984</v>
      </c>
      <c r="DIF30" t="s">
        <v>6984</v>
      </c>
      <c r="DIG30" t="s">
        <v>6984</v>
      </c>
      <c r="DIH30" t="s">
        <v>6984</v>
      </c>
      <c r="DII30" t="s">
        <v>6984</v>
      </c>
      <c r="DIJ30" t="s">
        <v>6984</v>
      </c>
      <c r="DIK30" t="s">
        <v>6984</v>
      </c>
      <c r="DIL30" t="s">
        <v>6984</v>
      </c>
      <c r="DIM30" t="s">
        <v>6984</v>
      </c>
      <c r="DIN30" t="s">
        <v>6984</v>
      </c>
      <c r="DIO30" t="s">
        <v>6984</v>
      </c>
      <c r="DIP30" t="s">
        <v>6984</v>
      </c>
      <c r="DIQ30" t="s">
        <v>6984</v>
      </c>
      <c r="DIR30" t="s">
        <v>6984</v>
      </c>
      <c r="DIS30" t="s">
        <v>6984</v>
      </c>
      <c r="DIT30" t="s">
        <v>6984</v>
      </c>
      <c r="DIU30" t="s">
        <v>6984</v>
      </c>
      <c r="DIV30" t="s">
        <v>6984</v>
      </c>
      <c r="DIW30" t="s">
        <v>6984</v>
      </c>
      <c r="DIX30" t="s">
        <v>6984</v>
      </c>
      <c r="DIY30" t="s">
        <v>6984</v>
      </c>
      <c r="DIZ30" t="s">
        <v>6984</v>
      </c>
      <c r="DJA30" t="s">
        <v>6984</v>
      </c>
      <c r="DJB30" t="s">
        <v>6984</v>
      </c>
      <c r="DJC30" t="s">
        <v>6984</v>
      </c>
      <c r="DJD30" t="s">
        <v>6984</v>
      </c>
      <c r="DJE30" t="s">
        <v>6984</v>
      </c>
      <c r="DJF30" t="s">
        <v>6984</v>
      </c>
      <c r="DJG30" t="s">
        <v>6984</v>
      </c>
      <c r="DJH30" t="s">
        <v>6984</v>
      </c>
      <c r="DJI30" t="s">
        <v>6984</v>
      </c>
      <c r="DJJ30" t="s">
        <v>6984</v>
      </c>
      <c r="DJK30" t="s">
        <v>6984</v>
      </c>
      <c r="DJL30" t="s">
        <v>6984</v>
      </c>
      <c r="DJM30" t="s">
        <v>6984</v>
      </c>
      <c r="DJN30" t="s">
        <v>6984</v>
      </c>
      <c r="DJO30" t="s">
        <v>6984</v>
      </c>
      <c r="DJP30" t="s">
        <v>6984</v>
      </c>
      <c r="DJQ30" t="s">
        <v>6984</v>
      </c>
      <c r="DJR30" t="s">
        <v>6984</v>
      </c>
      <c r="DJS30" t="s">
        <v>6984</v>
      </c>
      <c r="DJT30" t="s">
        <v>6984</v>
      </c>
      <c r="DJU30" t="s">
        <v>6984</v>
      </c>
      <c r="DJV30" t="s">
        <v>6984</v>
      </c>
      <c r="DJW30" t="s">
        <v>6984</v>
      </c>
      <c r="DJX30" t="s">
        <v>6984</v>
      </c>
      <c r="DJY30" t="s">
        <v>6984</v>
      </c>
      <c r="DJZ30" t="s">
        <v>6984</v>
      </c>
      <c r="DKA30" t="s">
        <v>6984</v>
      </c>
      <c r="DKB30" t="s">
        <v>6984</v>
      </c>
      <c r="DKC30" t="s">
        <v>6984</v>
      </c>
      <c r="DKD30" t="s">
        <v>6984</v>
      </c>
      <c r="DKE30" t="s">
        <v>6984</v>
      </c>
      <c r="DKF30" t="s">
        <v>6984</v>
      </c>
      <c r="DKG30" t="s">
        <v>6984</v>
      </c>
      <c r="DKH30" t="s">
        <v>6984</v>
      </c>
      <c r="DKI30" t="s">
        <v>6984</v>
      </c>
      <c r="DKJ30" t="s">
        <v>6984</v>
      </c>
      <c r="DKK30" t="s">
        <v>6984</v>
      </c>
      <c r="DKL30" t="s">
        <v>6984</v>
      </c>
      <c r="DKM30" t="s">
        <v>6984</v>
      </c>
      <c r="DKN30" t="s">
        <v>6984</v>
      </c>
      <c r="DKO30" t="s">
        <v>6984</v>
      </c>
      <c r="DKP30" t="s">
        <v>6984</v>
      </c>
      <c r="DKQ30" t="s">
        <v>6984</v>
      </c>
      <c r="DKR30" t="s">
        <v>6984</v>
      </c>
      <c r="DKS30" t="s">
        <v>6984</v>
      </c>
      <c r="DKT30" t="s">
        <v>6984</v>
      </c>
      <c r="DKU30" t="s">
        <v>6984</v>
      </c>
      <c r="DKV30" t="s">
        <v>6984</v>
      </c>
      <c r="DKW30" t="s">
        <v>6984</v>
      </c>
      <c r="DKX30" t="s">
        <v>6984</v>
      </c>
      <c r="DKY30" t="s">
        <v>6984</v>
      </c>
      <c r="DKZ30" t="s">
        <v>6984</v>
      </c>
      <c r="DLA30" t="s">
        <v>6984</v>
      </c>
      <c r="DLB30" t="s">
        <v>6984</v>
      </c>
      <c r="DLC30" t="s">
        <v>6984</v>
      </c>
      <c r="DLD30" t="s">
        <v>6984</v>
      </c>
      <c r="DLE30" t="s">
        <v>6984</v>
      </c>
      <c r="DLF30" t="s">
        <v>6984</v>
      </c>
      <c r="DLG30" t="s">
        <v>6984</v>
      </c>
      <c r="DLH30" t="s">
        <v>6984</v>
      </c>
      <c r="DLI30" t="s">
        <v>6984</v>
      </c>
      <c r="DLJ30" t="s">
        <v>6984</v>
      </c>
      <c r="DLK30" t="s">
        <v>6984</v>
      </c>
      <c r="DLL30" t="s">
        <v>6984</v>
      </c>
      <c r="DLM30" t="s">
        <v>6984</v>
      </c>
      <c r="DLN30" t="s">
        <v>6984</v>
      </c>
      <c r="DLO30" t="s">
        <v>6984</v>
      </c>
      <c r="DLP30" t="s">
        <v>6984</v>
      </c>
      <c r="DLQ30" t="s">
        <v>6984</v>
      </c>
      <c r="DLR30" t="s">
        <v>6984</v>
      </c>
      <c r="DLS30" t="s">
        <v>6984</v>
      </c>
      <c r="DLT30" t="s">
        <v>6984</v>
      </c>
      <c r="DLU30" t="s">
        <v>6984</v>
      </c>
      <c r="DLV30" t="s">
        <v>6984</v>
      </c>
      <c r="DLW30" t="s">
        <v>6984</v>
      </c>
      <c r="DLX30" t="s">
        <v>6984</v>
      </c>
      <c r="DLY30" t="s">
        <v>6984</v>
      </c>
      <c r="DLZ30" t="s">
        <v>6984</v>
      </c>
      <c r="DMA30" t="s">
        <v>6984</v>
      </c>
      <c r="DMB30" t="s">
        <v>6984</v>
      </c>
      <c r="DMC30" t="s">
        <v>6984</v>
      </c>
      <c r="DMD30" t="s">
        <v>6984</v>
      </c>
      <c r="DME30" t="s">
        <v>6984</v>
      </c>
      <c r="DMF30" t="s">
        <v>6984</v>
      </c>
      <c r="DMG30" t="s">
        <v>6984</v>
      </c>
      <c r="DMH30" t="s">
        <v>6984</v>
      </c>
      <c r="DMI30" t="s">
        <v>6984</v>
      </c>
      <c r="DMJ30" t="s">
        <v>6984</v>
      </c>
      <c r="DMK30" t="s">
        <v>6984</v>
      </c>
      <c r="DML30" t="s">
        <v>6984</v>
      </c>
      <c r="DMM30" t="s">
        <v>6984</v>
      </c>
      <c r="DMN30" t="s">
        <v>6984</v>
      </c>
      <c r="DMO30" t="s">
        <v>6984</v>
      </c>
      <c r="DMP30" t="s">
        <v>6984</v>
      </c>
      <c r="DMQ30" t="s">
        <v>6984</v>
      </c>
      <c r="DMR30" t="s">
        <v>6984</v>
      </c>
      <c r="DMS30" t="s">
        <v>6984</v>
      </c>
      <c r="DMT30" t="s">
        <v>6984</v>
      </c>
      <c r="DMU30" t="s">
        <v>6984</v>
      </c>
      <c r="DMV30" t="s">
        <v>6984</v>
      </c>
      <c r="DMW30" t="s">
        <v>6984</v>
      </c>
      <c r="DMX30" t="s">
        <v>6984</v>
      </c>
      <c r="DMY30" t="s">
        <v>6984</v>
      </c>
      <c r="DMZ30" t="s">
        <v>6984</v>
      </c>
      <c r="DNA30" t="s">
        <v>6984</v>
      </c>
      <c r="DNB30" t="s">
        <v>6984</v>
      </c>
      <c r="DNC30" t="s">
        <v>6984</v>
      </c>
      <c r="DND30" t="s">
        <v>6984</v>
      </c>
      <c r="DNE30" t="s">
        <v>6984</v>
      </c>
      <c r="DNF30" t="s">
        <v>6984</v>
      </c>
      <c r="DNG30" t="s">
        <v>6984</v>
      </c>
      <c r="DNH30" t="s">
        <v>6984</v>
      </c>
      <c r="DNI30" t="s">
        <v>6984</v>
      </c>
      <c r="DNJ30" t="s">
        <v>6984</v>
      </c>
      <c r="DNK30" t="s">
        <v>6984</v>
      </c>
      <c r="DNL30" t="s">
        <v>6984</v>
      </c>
      <c r="DNM30" t="s">
        <v>6984</v>
      </c>
      <c r="DNN30" t="s">
        <v>6984</v>
      </c>
      <c r="DNO30" t="s">
        <v>6984</v>
      </c>
      <c r="DNP30" t="s">
        <v>6984</v>
      </c>
      <c r="DNQ30" t="s">
        <v>6984</v>
      </c>
      <c r="DNR30" t="s">
        <v>6984</v>
      </c>
      <c r="DNS30" t="s">
        <v>6984</v>
      </c>
      <c r="DNT30" t="s">
        <v>6984</v>
      </c>
      <c r="DNU30" t="s">
        <v>6984</v>
      </c>
      <c r="DNV30" t="s">
        <v>6984</v>
      </c>
      <c r="DNW30" t="s">
        <v>6984</v>
      </c>
      <c r="DNX30" t="s">
        <v>6984</v>
      </c>
      <c r="DNY30" t="s">
        <v>6984</v>
      </c>
      <c r="DNZ30" t="s">
        <v>6984</v>
      </c>
      <c r="DOA30" t="s">
        <v>6984</v>
      </c>
      <c r="DOB30" t="s">
        <v>6984</v>
      </c>
      <c r="DOC30" t="s">
        <v>6984</v>
      </c>
      <c r="DOD30" t="s">
        <v>6984</v>
      </c>
      <c r="DOE30" t="s">
        <v>6984</v>
      </c>
      <c r="DOF30" t="s">
        <v>6984</v>
      </c>
      <c r="DOG30" t="s">
        <v>6984</v>
      </c>
      <c r="DOH30" t="s">
        <v>6984</v>
      </c>
      <c r="DOI30" t="s">
        <v>6984</v>
      </c>
      <c r="DOJ30" t="s">
        <v>6984</v>
      </c>
      <c r="DOK30" t="s">
        <v>6984</v>
      </c>
      <c r="DOL30" t="s">
        <v>6984</v>
      </c>
      <c r="DOM30" t="s">
        <v>6984</v>
      </c>
      <c r="DON30" t="s">
        <v>6984</v>
      </c>
      <c r="DOO30" t="s">
        <v>6984</v>
      </c>
      <c r="DOP30" t="s">
        <v>6984</v>
      </c>
      <c r="DOQ30" t="s">
        <v>6984</v>
      </c>
      <c r="DOR30" t="s">
        <v>6984</v>
      </c>
      <c r="DOS30" t="s">
        <v>6984</v>
      </c>
      <c r="DOT30" t="s">
        <v>6984</v>
      </c>
      <c r="DOU30" t="s">
        <v>6984</v>
      </c>
      <c r="DOV30" t="s">
        <v>6984</v>
      </c>
      <c r="DOW30" t="s">
        <v>6984</v>
      </c>
      <c r="DOX30" t="s">
        <v>6984</v>
      </c>
      <c r="DOY30" t="s">
        <v>6984</v>
      </c>
      <c r="DOZ30" t="s">
        <v>6984</v>
      </c>
      <c r="DPA30" t="s">
        <v>6984</v>
      </c>
      <c r="DPB30" t="s">
        <v>6984</v>
      </c>
      <c r="DPC30" t="s">
        <v>6984</v>
      </c>
      <c r="DPD30" t="s">
        <v>6984</v>
      </c>
      <c r="DPE30" t="s">
        <v>6984</v>
      </c>
      <c r="DPF30" t="s">
        <v>6984</v>
      </c>
      <c r="DPG30" t="s">
        <v>6984</v>
      </c>
      <c r="DPH30" t="s">
        <v>6984</v>
      </c>
      <c r="DPI30" t="s">
        <v>6984</v>
      </c>
      <c r="DPJ30" t="s">
        <v>6984</v>
      </c>
      <c r="DPK30" t="s">
        <v>6984</v>
      </c>
      <c r="DPL30" t="s">
        <v>6984</v>
      </c>
      <c r="DPM30" t="s">
        <v>6984</v>
      </c>
      <c r="DPN30" t="s">
        <v>6984</v>
      </c>
      <c r="DPO30" t="s">
        <v>6984</v>
      </c>
      <c r="DPP30" t="s">
        <v>6984</v>
      </c>
      <c r="DPQ30" t="s">
        <v>6984</v>
      </c>
      <c r="DPR30" t="s">
        <v>6984</v>
      </c>
      <c r="DPS30" t="s">
        <v>6984</v>
      </c>
      <c r="DPT30" t="s">
        <v>6984</v>
      </c>
      <c r="DPU30" t="s">
        <v>6984</v>
      </c>
      <c r="DPV30" t="s">
        <v>6984</v>
      </c>
      <c r="DPW30" t="s">
        <v>6984</v>
      </c>
      <c r="DPX30" t="s">
        <v>6984</v>
      </c>
      <c r="DPY30" t="s">
        <v>6984</v>
      </c>
      <c r="DPZ30" t="s">
        <v>6984</v>
      </c>
      <c r="DQA30" t="s">
        <v>6984</v>
      </c>
      <c r="DQB30" t="s">
        <v>6984</v>
      </c>
      <c r="DQC30" t="s">
        <v>6984</v>
      </c>
      <c r="DQD30" t="s">
        <v>6984</v>
      </c>
      <c r="DQE30" t="s">
        <v>6984</v>
      </c>
      <c r="DQF30" t="s">
        <v>6984</v>
      </c>
      <c r="DQG30" t="s">
        <v>6984</v>
      </c>
      <c r="DQH30" t="s">
        <v>6984</v>
      </c>
      <c r="DQI30" t="s">
        <v>6984</v>
      </c>
      <c r="DQJ30" t="s">
        <v>6984</v>
      </c>
      <c r="DQK30" t="s">
        <v>6984</v>
      </c>
      <c r="DQL30" t="s">
        <v>6984</v>
      </c>
      <c r="DQM30" t="s">
        <v>6984</v>
      </c>
      <c r="DQN30" t="s">
        <v>6984</v>
      </c>
      <c r="DQO30" t="s">
        <v>6984</v>
      </c>
      <c r="DQP30" t="s">
        <v>6984</v>
      </c>
      <c r="DQQ30" t="s">
        <v>6984</v>
      </c>
      <c r="DQR30" t="s">
        <v>6984</v>
      </c>
      <c r="DQS30" t="s">
        <v>6984</v>
      </c>
      <c r="DQT30" t="s">
        <v>6984</v>
      </c>
      <c r="DQU30" t="s">
        <v>6984</v>
      </c>
      <c r="DQV30" t="s">
        <v>6984</v>
      </c>
      <c r="DQW30" t="s">
        <v>6984</v>
      </c>
      <c r="DQX30" t="s">
        <v>6984</v>
      </c>
      <c r="DQY30" t="s">
        <v>6984</v>
      </c>
      <c r="DQZ30" t="s">
        <v>6984</v>
      </c>
      <c r="DRA30" t="s">
        <v>6984</v>
      </c>
      <c r="DRB30" t="s">
        <v>6984</v>
      </c>
      <c r="DRC30" t="s">
        <v>6984</v>
      </c>
      <c r="DRD30" t="s">
        <v>6984</v>
      </c>
      <c r="DRE30" t="s">
        <v>6984</v>
      </c>
      <c r="DRF30" t="s">
        <v>6984</v>
      </c>
      <c r="DRG30" t="s">
        <v>6984</v>
      </c>
      <c r="DRH30" t="s">
        <v>6984</v>
      </c>
      <c r="DRI30" t="s">
        <v>6984</v>
      </c>
      <c r="DRJ30" t="s">
        <v>6984</v>
      </c>
      <c r="DRK30" t="s">
        <v>6984</v>
      </c>
      <c r="DRL30" t="s">
        <v>6984</v>
      </c>
      <c r="DRM30" t="s">
        <v>6984</v>
      </c>
      <c r="DRN30" t="s">
        <v>6984</v>
      </c>
      <c r="DRO30" t="s">
        <v>6984</v>
      </c>
      <c r="DRP30" t="s">
        <v>6984</v>
      </c>
      <c r="DRQ30" t="s">
        <v>6984</v>
      </c>
      <c r="DRR30" t="s">
        <v>6984</v>
      </c>
      <c r="DRS30" t="s">
        <v>6984</v>
      </c>
      <c r="DRT30" t="s">
        <v>6984</v>
      </c>
      <c r="DRU30" t="s">
        <v>6984</v>
      </c>
      <c r="DRV30" t="s">
        <v>6984</v>
      </c>
      <c r="DRW30" t="s">
        <v>6984</v>
      </c>
      <c r="DRX30" t="s">
        <v>6984</v>
      </c>
      <c r="DRY30" t="s">
        <v>6984</v>
      </c>
      <c r="DRZ30" t="s">
        <v>6984</v>
      </c>
      <c r="DSA30" t="s">
        <v>6984</v>
      </c>
      <c r="DSB30" t="s">
        <v>6984</v>
      </c>
      <c r="DSC30" t="s">
        <v>6984</v>
      </c>
      <c r="DSD30" t="s">
        <v>6984</v>
      </c>
      <c r="DSE30" t="s">
        <v>6984</v>
      </c>
      <c r="DSF30" t="s">
        <v>6984</v>
      </c>
      <c r="DSG30" t="s">
        <v>6984</v>
      </c>
      <c r="DSH30" t="s">
        <v>6984</v>
      </c>
      <c r="DSI30" t="s">
        <v>6984</v>
      </c>
      <c r="DSJ30" t="s">
        <v>6984</v>
      </c>
      <c r="DSK30" t="s">
        <v>6984</v>
      </c>
      <c r="DSL30" t="s">
        <v>6984</v>
      </c>
      <c r="DSM30" t="s">
        <v>6984</v>
      </c>
      <c r="DSN30" t="s">
        <v>6984</v>
      </c>
      <c r="DSO30" t="s">
        <v>6984</v>
      </c>
      <c r="DSP30" t="s">
        <v>6984</v>
      </c>
      <c r="DSQ30" t="s">
        <v>6984</v>
      </c>
      <c r="DSR30" t="s">
        <v>6984</v>
      </c>
      <c r="DSS30" t="s">
        <v>6984</v>
      </c>
      <c r="DST30" t="s">
        <v>6984</v>
      </c>
      <c r="DSU30" t="s">
        <v>6984</v>
      </c>
      <c r="DSV30" t="s">
        <v>6984</v>
      </c>
      <c r="DSW30" t="s">
        <v>6984</v>
      </c>
      <c r="DSX30" t="s">
        <v>6984</v>
      </c>
      <c r="DSY30" t="s">
        <v>6984</v>
      </c>
      <c r="DSZ30" t="s">
        <v>6984</v>
      </c>
      <c r="DTA30" t="s">
        <v>6984</v>
      </c>
      <c r="DTB30" t="s">
        <v>6984</v>
      </c>
      <c r="DTC30" t="s">
        <v>6984</v>
      </c>
      <c r="DTD30" t="s">
        <v>6984</v>
      </c>
      <c r="DTE30" t="s">
        <v>6984</v>
      </c>
      <c r="DTF30" t="s">
        <v>6984</v>
      </c>
      <c r="DTG30" t="s">
        <v>6984</v>
      </c>
      <c r="DTH30" t="s">
        <v>6984</v>
      </c>
      <c r="DTI30" t="s">
        <v>6984</v>
      </c>
      <c r="DTJ30" t="s">
        <v>6984</v>
      </c>
      <c r="DTK30" t="s">
        <v>6984</v>
      </c>
      <c r="DTL30" t="s">
        <v>6984</v>
      </c>
      <c r="DTM30" t="s">
        <v>6984</v>
      </c>
      <c r="DTN30" t="s">
        <v>6984</v>
      </c>
      <c r="DTO30" t="s">
        <v>6984</v>
      </c>
      <c r="DTP30" t="s">
        <v>6984</v>
      </c>
      <c r="DTQ30" t="s">
        <v>6984</v>
      </c>
      <c r="DTR30" t="s">
        <v>6984</v>
      </c>
      <c r="DTS30" t="s">
        <v>6984</v>
      </c>
      <c r="DTT30" t="s">
        <v>6984</v>
      </c>
      <c r="DTU30" t="s">
        <v>6984</v>
      </c>
      <c r="DTV30" t="s">
        <v>6984</v>
      </c>
      <c r="DTW30" t="s">
        <v>6984</v>
      </c>
      <c r="DTX30" t="s">
        <v>6984</v>
      </c>
      <c r="DTY30" t="s">
        <v>6984</v>
      </c>
      <c r="DTZ30" t="s">
        <v>6984</v>
      </c>
      <c r="DUA30" t="s">
        <v>6984</v>
      </c>
      <c r="DUB30" t="s">
        <v>6984</v>
      </c>
      <c r="DUC30" t="s">
        <v>6984</v>
      </c>
      <c r="DUD30" t="s">
        <v>6984</v>
      </c>
      <c r="DUE30" t="s">
        <v>6984</v>
      </c>
      <c r="DUF30" t="s">
        <v>6984</v>
      </c>
      <c r="DUG30" t="s">
        <v>6984</v>
      </c>
      <c r="DUH30" t="s">
        <v>6984</v>
      </c>
      <c r="DUI30" t="s">
        <v>6984</v>
      </c>
      <c r="DUJ30" t="s">
        <v>6984</v>
      </c>
      <c r="DUK30" t="s">
        <v>6984</v>
      </c>
      <c r="DUL30" t="s">
        <v>6984</v>
      </c>
      <c r="DUM30" t="s">
        <v>6984</v>
      </c>
      <c r="DUN30" t="s">
        <v>6984</v>
      </c>
      <c r="DUO30" t="s">
        <v>6984</v>
      </c>
      <c r="DUP30" t="s">
        <v>6984</v>
      </c>
      <c r="DUQ30" t="s">
        <v>6984</v>
      </c>
      <c r="DUR30" t="s">
        <v>6984</v>
      </c>
      <c r="DUS30" t="s">
        <v>6984</v>
      </c>
      <c r="DUT30" t="s">
        <v>6984</v>
      </c>
      <c r="DUU30" t="s">
        <v>6984</v>
      </c>
      <c r="DUV30" t="s">
        <v>6984</v>
      </c>
      <c r="DUW30" t="s">
        <v>6984</v>
      </c>
      <c r="DUX30" t="s">
        <v>6984</v>
      </c>
      <c r="DUY30" t="s">
        <v>6984</v>
      </c>
      <c r="DUZ30" t="s">
        <v>6984</v>
      </c>
      <c r="DVA30" t="s">
        <v>6984</v>
      </c>
      <c r="DVB30" t="s">
        <v>6984</v>
      </c>
      <c r="DVC30" t="s">
        <v>6984</v>
      </c>
      <c r="DVD30" t="s">
        <v>6984</v>
      </c>
      <c r="DVE30" t="s">
        <v>6984</v>
      </c>
      <c r="DVF30" t="s">
        <v>6984</v>
      </c>
      <c r="DVG30" t="s">
        <v>6984</v>
      </c>
      <c r="DVH30" t="s">
        <v>6984</v>
      </c>
      <c r="DVI30" t="s">
        <v>6984</v>
      </c>
      <c r="DVJ30" t="s">
        <v>6984</v>
      </c>
      <c r="DVK30" t="s">
        <v>6984</v>
      </c>
      <c r="DVL30" t="s">
        <v>6984</v>
      </c>
      <c r="DVM30" t="s">
        <v>6984</v>
      </c>
      <c r="DVN30" t="s">
        <v>6984</v>
      </c>
      <c r="DVO30" t="s">
        <v>6984</v>
      </c>
      <c r="DVP30" t="s">
        <v>6984</v>
      </c>
      <c r="DVQ30" t="s">
        <v>6984</v>
      </c>
      <c r="DVR30" t="s">
        <v>6984</v>
      </c>
      <c r="DVS30" t="s">
        <v>6984</v>
      </c>
      <c r="DVT30" t="s">
        <v>6984</v>
      </c>
      <c r="DVU30" t="s">
        <v>6984</v>
      </c>
      <c r="DVV30" t="s">
        <v>6984</v>
      </c>
      <c r="DVW30" t="s">
        <v>6984</v>
      </c>
      <c r="DVX30" t="s">
        <v>6984</v>
      </c>
      <c r="DVY30" t="s">
        <v>6984</v>
      </c>
      <c r="DVZ30" t="s">
        <v>6984</v>
      </c>
      <c r="DWA30" t="s">
        <v>6984</v>
      </c>
      <c r="DWB30" t="s">
        <v>6984</v>
      </c>
      <c r="DWC30" t="s">
        <v>6984</v>
      </c>
      <c r="DWD30" t="s">
        <v>6984</v>
      </c>
      <c r="DWE30" t="s">
        <v>6984</v>
      </c>
      <c r="DWF30" t="s">
        <v>6984</v>
      </c>
      <c r="DWG30" t="s">
        <v>6984</v>
      </c>
      <c r="DWH30" t="s">
        <v>6984</v>
      </c>
      <c r="DWI30" t="s">
        <v>6984</v>
      </c>
      <c r="DWJ30" t="s">
        <v>6984</v>
      </c>
      <c r="DWK30" t="s">
        <v>6984</v>
      </c>
      <c r="DWL30" t="s">
        <v>6984</v>
      </c>
      <c r="DWM30" t="s">
        <v>6984</v>
      </c>
      <c r="DWN30" t="s">
        <v>6984</v>
      </c>
      <c r="DWO30" t="s">
        <v>6984</v>
      </c>
      <c r="DWP30" t="s">
        <v>6984</v>
      </c>
      <c r="DWQ30" t="s">
        <v>6984</v>
      </c>
      <c r="DWR30" t="s">
        <v>6984</v>
      </c>
      <c r="DWS30" t="s">
        <v>6984</v>
      </c>
      <c r="DWT30" t="s">
        <v>6984</v>
      </c>
      <c r="DWU30" t="s">
        <v>6984</v>
      </c>
      <c r="DWV30" t="s">
        <v>6984</v>
      </c>
      <c r="DWW30" t="s">
        <v>6984</v>
      </c>
      <c r="DWX30" t="s">
        <v>6984</v>
      </c>
      <c r="DWY30" t="s">
        <v>6984</v>
      </c>
      <c r="DWZ30" t="s">
        <v>6984</v>
      </c>
      <c r="DXA30" t="s">
        <v>6984</v>
      </c>
      <c r="DXB30" t="s">
        <v>6984</v>
      </c>
      <c r="DXC30" t="s">
        <v>6984</v>
      </c>
      <c r="DXD30" t="s">
        <v>6984</v>
      </c>
      <c r="DXE30" t="s">
        <v>6984</v>
      </c>
      <c r="DXF30" t="s">
        <v>6984</v>
      </c>
      <c r="DXG30" t="s">
        <v>6984</v>
      </c>
      <c r="DXH30" t="s">
        <v>6984</v>
      </c>
      <c r="DXI30" t="s">
        <v>6984</v>
      </c>
      <c r="DXJ30" t="s">
        <v>6984</v>
      </c>
      <c r="DXK30" t="s">
        <v>6984</v>
      </c>
      <c r="DXL30" t="s">
        <v>6984</v>
      </c>
      <c r="DXM30" t="s">
        <v>6984</v>
      </c>
      <c r="DXN30" t="s">
        <v>6984</v>
      </c>
      <c r="DXO30" t="s">
        <v>6984</v>
      </c>
      <c r="DXP30" t="s">
        <v>6984</v>
      </c>
      <c r="DXQ30" t="s">
        <v>6984</v>
      </c>
      <c r="DXR30" t="s">
        <v>6984</v>
      </c>
      <c r="DXS30" t="s">
        <v>6984</v>
      </c>
      <c r="DXT30" t="s">
        <v>6984</v>
      </c>
      <c r="DXU30" t="s">
        <v>6984</v>
      </c>
      <c r="DXV30" t="s">
        <v>6984</v>
      </c>
      <c r="DXW30" t="s">
        <v>6984</v>
      </c>
      <c r="DXX30" t="s">
        <v>6984</v>
      </c>
      <c r="DXY30" t="s">
        <v>6984</v>
      </c>
      <c r="DXZ30" t="s">
        <v>6984</v>
      </c>
      <c r="DYA30" t="s">
        <v>6984</v>
      </c>
      <c r="DYB30" t="s">
        <v>6984</v>
      </c>
      <c r="DYC30" t="s">
        <v>6984</v>
      </c>
      <c r="DYD30" t="s">
        <v>6984</v>
      </c>
      <c r="DYE30" t="s">
        <v>6984</v>
      </c>
      <c r="DYF30" t="s">
        <v>6984</v>
      </c>
      <c r="DYG30" t="s">
        <v>6984</v>
      </c>
      <c r="DYH30" t="s">
        <v>6984</v>
      </c>
      <c r="DYI30" t="s">
        <v>6984</v>
      </c>
      <c r="DYJ30" t="s">
        <v>6984</v>
      </c>
      <c r="DYK30" t="s">
        <v>6984</v>
      </c>
      <c r="DYL30" t="s">
        <v>6984</v>
      </c>
      <c r="DYM30" t="s">
        <v>6984</v>
      </c>
      <c r="DYN30" t="s">
        <v>6984</v>
      </c>
      <c r="DYO30" t="s">
        <v>6984</v>
      </c>
      <c r="DYP30" t="s">
        <v>6984</v>
      </c>
      <c r="DYQ30" t="s">
        <v>6984</v>
      </c>
      <c r="DYR30" t="s">
        <v>6984</v>
      </c>
      <c r="DYS30" t="s">
        <v>6984</v>
      </c>
      <c r="DYT30" t="s">
        <v>6984</v>
      </c>
      <c r="DYU30" t="s">
        <v>6984</v>
      </c>
      <c r="DYV30" t="s">
        <v>6984</v>
      </c>
      <c r="DYW30" t="s">
        <v>6984</v>
      </c>
      <c r="DYX30" t="s">
        <v>6984</v>
      </c>
      <c r="DYY30" t="s">
        <v>6984</v>
      </c>
      <c r="DYZ30" t="s">
        <v>6984</v>
      </c>
      <c r="DZA30" t="s">
        <v>6984</v>
      </c>
      <c r="DZB30" t="s">
        <v>6984</v>
      </c>
      <c r="DZC30" t="s">
        <v>6984</v>
      </c>
      <c r="DZD30" t="s">
        <v>6984</v>
      </c>
      <c r="DZE30" t="s">
        <v>6984</v>
      </c>
      <c r="DZF30" t="s">
        <v>6984</v>
      </c>
      <c r="DZG30" t="s">
        <v>6984</v>
      </c>
      <c r="DZH30" t="s">
        <v>6984</v>
      </c>
      <c r="DZI30" t="s">
        <v>6984</v>
      </c>
      <c r="DZJ30" t="s">
        <v>6984</v>
      </c>
      <c r="DZK30" t="s">
        <v>6984</v>
      </c>
      <c r="DZL30" t="s">
        <v>6984</v>
      </c>
      <c r="DZM30" t="s">
        <v>6984</v>
      </c>
      <c r="DZN30" t="s">
        <v>6984</v>
      </c>
      <c r="DZO30" t="s">
        <v>6984</v>
      </c>
      <c r="DZP30" t="s">
        <v>6984</v>
      </c>
      <c r="DZQ30" t="s">
        <v>6984</v>
      </c>
      <c r="DZR30" t="s">
        <v>6984</v>
      </c>
      <c r="DZS30" t="s">
        <v>6984</v>
      </c>
      <c r="DZT30" t="s">
        <v>6984</v>
      </c>
      <c r="DZU30" t="s">
        <v>6984</v>
      </c>
      <c r="DZV30" t="s">
        <v>6984</v>
      </c>
      <c r="DZW30" t="s">
        <v>6984</v>
      </c>
      <c r="DZX30" t="s">
        <v>6984</v>
      </c>
      <c r="DZY30" t="s">
        <v>6984</v>
      </c>
      <c r="DZZ30" t="s">
        <v>6984</v>
      </c>
      <c r="EAA30" t="s">
        <v>6984</v>
      </c>
      <c r="EAB30" t="s">
        <v>6984</v>
      </c>
      <c r="EAC30" t="s">
        <v>6984</v>
      </c>
      <c r="EAD30" t="s">
        <v>6984</v>
      </c>
      <c r="EAE30" t="s">
        <v>6984</v>
      </c>
      <c r="EAF30" t="s">
        <v>6984</v>
      </c>
      <c r="EAG30" t="s">
        <v>6984</v>
      </c>
      <c r="EAH30" t="s">
        <v>6984</v>
      </c>
      <c r="EAI30" t="s">
        <v>6984</v>
      </c>
      <c r="EAJ30" t="s">
        <v>6984</v>
      </c>
      <c r="EAK30" t="s">
        <v>6984</v>
      </c>
      <c r="EAL30" t="s">
        <v>6984</v>
      </c>
      <c r="EAM30" t="s">
        <v>6984</v>
      </c>
      <c r="EAN30" t="s">
        <v>6984</v>
      </c>
      <c r="EAO30" t="s">
        <v>6984</v>
      </c>
      <c r="EAP30" t="s">
        <v>6984</v>
      </c>
      <c r="EAQ30" t="s">
        <v>6984</v>
      </c>
      <c r="EAR30" t="s">
        <v>6984</v>
      </c>
      <c r="EAS30" t="s">
        <v>6984</v>
      </c>
      <c r="EAT30" t="s">
        <v>6984</v>
      </c>
      <c r="EAU30" t="s">
        <v>6984</v>
      </c>
      <c r="EAV30" t="s">
        <v>6984</v>
      </c>
      <c r="EAW30" t="s">
        <v>6984</v>
      </c>
      <c r="EAX30" t="s">
        <v>6984</v>
      </c>
      <c r="EAY30" t="s">
        <v>6984</v>
      </c>
      <c r="EAZ30" t="s">
        <v>6984</v>
      </c>
      <c r="EBA30" t="s">
        <v>6984</v>
      </c>
      <c r="EBB30" t="s">
        <v>6984</v>
      </c>
      <c r="EBC30" t="s">
        <v>6984</v>
      </c>
      <c r="EBD30" t="s">
        <v>6984</v>
      </c>
      <c r="EBE30" t="s">
        <v>6984</v>
      </c>
      <c r="EBF30" t="s">
        <v>6984</v>
      </c>
      <c r="EBG30" t="s">
        <v>6984</v>
      </c>
      <c r="EBH30" t="s">
        <v>6984</v>
      </c>
      <c r="EBI30" t="s">
        <v>6984</v>
      </c>
      <c r="EBJ30" t="s">
        <v>6984</v>
      </c>
      <c r="EBK30" t="s">
        <v>6984</v>
      </c>
      <c r="EBL30" t="s">
        <v>6984</v>
      </c>
      <c r="EBM30" t="s">
        <v>6984</v>
      </c>
      <c r="EBN30" t="s">
        <v>6984</v>
      </c>
      <c r="EBO30" t="s">
        <v>6984</v>
      </c>
      <c r="EBP30" t="s">
        <v>6984</v>
      </c>
      <c r="EBQ30" t="s">
        <v>6984</v>
      </c>
      <c r="EBR30" t="s">
        <v>6984</v>
      </c>
      <c r="EBS30" t="s">
        <v>6984</v>
      </c>
      <c r="EBT30" t="s">
        <v>6984</v>
      </c>
      <c r="EBU30" t="s">
        <v>6984</v>
      </c>
      <c r="EBV30" t="s">
        <v>6984</v>
      </c>
      <c r="EBW30" t="s">
        <v>6984</v>
      </c>
      <c r="EBX30" t="s">
        <v>6984</v>
      </c>
      <c r="EBY30" t="s">
        <v>6984</v>
      </c>
      <c r="EBZ30" t="s">
        <v>6984</v>
      </c>
      <c r="ECA30" t="s">
        <v>6984</v>
      </c>
      <c r="ECB30" t="s">
        <v>6984</v>
      </c>
      <c r="ECC30" t="s">
        <v>6984</v>
      </c>
      <c r="ECD30" t="s">
        <v>6984</v>
      </c>
      <c r="ECE30" t="s">
        <v>6984</v>
      </c>
      <c r="ECF30" t="s">
        <v>6984</v>
      </c>
      <c r="ECG30" t="s">
        <v>6984</v>
      </c>
      <c r="ECH30" t="s">
        <v>6984</v>
      </c>
      <c r="ECI30" t="s">
        <v>6984</v>
      </c>
      <c r="ECJ30" t="s">
        <v>6984</v>
      </c>
      <c r="ECK30" t="s">
        <v>6984</v>
      </c>
      <c r="ECL30" t="s">
        <v>6984</v>
      </c>
      <c r="ECM30" t="s">
        <v>6984</v>
      </c>
      <c r="ECN30" t="s">
        <v>6984</v>
      </c>
      <c r="ECO30" t="s">
        <v>6984</v>
      </c>
      <c r="ECP30" t="s">
        <v>6984</v>
      </c>
      <c r="ECQ30" t="s">
        <v>6984</v>
      </c>
      <c r="ECR30" t="s">
        <v>6984</v>
      </c>
      <c r="ECS30" t="s">
        <v>6984</v>
      </c>
      <c r="ECT30" t="s">
        <v>6984</v>
      </c>
      <c r="ECU30" t="s">
        <v>6984</v>
      </c>
      <c r="ECV30" t="s">
        <v>6984</v>
      </c>
      <c r="ECW30" t="s">
        <v>6984</v>
      </c>
      <c r="ECX30" t="s">
        <v>6984</v>
      </c>
      <c r="ECY30" t="s">
        <v>6984</v>
      </c>
      <c r="ECZ30" t="s">
        <v>6984</v>
      </c>
      <c r="EDA30" t="s">
        <v>6984</v>
      </c>
      <c r="EDB30" t="s">
        <v>6984</v>
      </c>
      <c r="EDC30" t="s">
        <v>6984</v>
      </c>
      <c r="EDD30" t="s">
        <v>6984</v>
      </c>
      <c r="EDE30" t="s">
        <v>6984</v>
      </c>
      <c r="EDF30" t="s">
        <v>6984</v>
      </c>
      <c r="EDG30" t="s">
        <v>6984</v>
      </c>
      <c r="EDH30" t="s">
        <v>6984</v>
      </c>
      <c r="EDI30" t="s">
        <v>6984</v>
      </c>
      <c r="EDJ30" t="s">
        <v>6984</v>
      </c>
      <c r="EDK30" t="s">
        <v>6984</v>
      </c>
      <c r="EDL30" t="s">
        <v>6984</v>
      </c>
      <c r="EDM30" t="s">
        <v>6984</v>
      </c>
      <c r="EDN30" t="s">
        <v>6984</v>
      </c>
      <c r="EDO30" t="s">
        <v>6984</v>
      </c>
      <c r="EDP30" t="s">
        <v>6984</v>
      </c>
      <c r="EDQ30" t="s">
        <v>6984</v>
      </c>
      <c r="EDR30" t="s">
        <v>6984</v>
      </c>
      <c r="EDS30" t="s">
        <v>6984</v>
      </c>
      <c r="EDT30" t="s">
        <v>6984</v>
      </c>
      <c r="EDU30" t="s">
        <v>6984</v>
      </c>
      <c r="EDV30" t="s">
        <v>6984</v>
      </c>
      <c r="EDW30" t="s">
        <v>6984</v>
      </c>
      <c r="EDX30" t="s">
        <v>6984</v>
      </c>
      <c r="EDY30" t="s">
        <v>6984</v>
      </c>
      <c r="EDZ30" t="s">
        <v>6984</v>
      </c>
      <c r="EEA30" t="s">
        <v>6984</v>
      </c>
      <c r="EEB30" t="s">
        <v>6984</v>
      </c>
      <c r="EEC30" t="s">
        <v>6984</v>
      </c>
      <c r="EED30" t="s">
        <v>6984</v>
      </c>
      <c r="EEE30" t="s">
        <v>6984</v>
      </c>
      <c r="EEF30" t="s">
        <v>6984</v>
      </c>
      <c r="EEG30" t="s">
        <v>6984</v>
      </c>
      <c r="EEH30" t="s">
        <v>6984</v>
      </c>
      <c r="EEI30" t="s">
        <v>6984</v>
      </c>
      <c r="EEJ30" t="s">
        <v>6984</v>
      </c>
      <c r="EEK30" t="s">
        <v>6984</v>
      </c>
      <c r="EEL30" t="s">
        <v>6984</v>
      </c>
      <c r="EEM30" t="s">
        <v>6984</v>
      </c>
      <c r="EEN30" t="s">
        <v>6984</v>
      </c>
      <c r="EEO30" t="s">
        <v>6984</v>
      </c>
      <c r="EEP30" t="s">
        <v>6984</v>
      </c>
      <c r="EEQ30" t="s">
        <v>6984</v>
      </c>
      <c r="EER30" t="s">
        <v>6984</v>
      </c>
      <c r="EES30" t="s">
        <v>6984</v>
      </c>
      <c r="EET30" t="s">
        <v>6984</v>
      </c>
      <c r="EEU30" t="s">
        <v>6984</v>
      </c>
      <c r="EEV30" t="s">
        <v>6984</v>
      </c>
      <c r="EEW30" t="s">
        <v>6984</v>
      </c>
      <c r="EEX30" t="s">
        <v>6984</v>
      </c>
      <c r="EEY30" t="s">
        <v>6984</v>
      </c>
      <c r="EEZ30" t="s">
        <v>6984</v>
      </c>
      <c r="EFA30" t="s">
        <v>6984</v>
      </c>
      <c r="EFB30" t="s">
        <v>6984</v>
      </c>
      <c r="EFC30" t="s">
        <v>6984</v>
      </c>
      <c r="EFD30" t="s">
        <v>6984</v>
      </c>
      <c r="EFE30" t="s">
        <v>6984</v>
      </c>
      <c r="EFF30" t="s">
        <v>6984</v>
      </c>
      <c r="EFG30" t="s">
        <v>6984</v>
      </c>
      <c r="EFH30" t="s">
        <v>6984</v>
      </c>
      <c r="EFI30" t="s">
        <v>6984</v>
      </c>
      <c r="EFJ30" t="s">
        <v>6984</v>
      </c>
      <c r="EFK30" t="s">
        <v>6984</v>
      </c>
      <c r="EFL30" t="s">
        <v>6984</v>
      </c>
      <c r="EFM30" t="s">
        <v>6984</v>
      </c>
      <c r="EFN30" t="s">
        <v>6984</v>
      </c>
      <c r="EFO30" t="s">
        <v>6984</v>
      </c>
      <c r="EFP30" t="s">
        <v>6984</v>
      </c>
      <c r="EFQ30" t="s">
        <v>6984</v>
      </c>
      <c r="EFR30" t="s">
        <v>6984</v>
      </c>
      <c r="EFS30" t="s">
        <v>6984</v>
      </c>
      <c r="EFT30" t="s">
        <v>6984</v>
      </c>
      <c r="EFU30" t="s">
        <v>6984</v>
      </c>
      <c r="EFV30" t="s">
        <v>6984</v>
      </c>
      <c r="EFW30" t="s">
        <v>6984</v>
      </c>
      <c r="EFX30" t="s">
        <v>6984</v>
      </c>
      <c r="EFY30" t="s">
        <v>6984</v>
      </c>
      <c r="EFZ30" t="s">
        <v>6984</v>
      </c>
      <c r="EGA30" t="s">
        <v>6984</v>
      </c>
      <c r="EGB30" t="s">
        <v>6984</v>
      </c>
      <c r="EGC30" t="s">
        <v>6984</v>
      </c>
      <c r="EGD30" t="s">
        <v>6984</v>
      </c>
      <c r="EGE30" t="s">
        <v>6984</v>
      </c>
      <c r="EGF30" t="s">
        <v>6984</v>
      </c>
      <c r="EGG30" t="s">
        <v>6984</v>
      </c>
      <c r="EGH30" t="s">
        <v>6984</v>
      </c>
      <c r="EGI30" t="s">
        <v>6984</v>
      </c>
      <c r="EGJ30" t="s">
        <v>6984</v>
      </c>
      <c r="EGK30" t="s">
        <v>6984</v>
      </c>
      <c r="EGL30" t="s">
        <v>6984</v>
      </c>
      <c r="EGM30" t="s">
        <v>6984</v>
      </c>
      <c r="EGN30" t="s">
        <v>6984</v>
      </c>
      <c r="EGO30" t="s">
        <v>6984</v>
      </c>
      <c r="EGP30" t="s">
        <v>6984</v>
      </c>
      <c r="EGQ30" t="s">
        <v>6984</v>
      </c>
      <c r="EGR30" t="s">
        <v>6984</v>
      </c>
      <c r="EGS30" t="s">
        <v>6984</v>
      </c>
      <c r="EGT30" t="s">
        <v>6984</v>
      </c>
      <c r="EGU30" t="s">
        <v>6984</v>
      </c>
      <c r="EGV30" t="s">
        <v>6984</v>
      </c>
      <c r="EGW30" t="s">
        <v>6984</v>
      </c>
      <c r="EGX30" t="s">
        <v>6984</v>
      </c>
      <c r="EGY30" t="s">
        <v>6984</v>
      </c>
      <c r="EGZ30" t="s">
        <v>6984</v>
      </c>
      <c r="EHA30" t="s">
        <v>6984</v>
      </c>
      <c r="EHB30" t="s">
        <v>6984</v>
      </c>
      <c r="EHC30" t="s">
        <v>6984</v>
      </c>
      <c r="EHD30" t="s">
        <v>6984</v>
      </c>
      <c r="EHE30" t="s">
        <v>6984</v>
      </c>
      <c r="EHF30" t="s">
        <v>6984</v>
      </c>
      <c r="EHG30" t="s">
        <v>6984</v>
      </c>
      <c r="EHH30" t="s">
        <v>6984</v>
      </c>
      <c r="EHI30" t="s">
        <v>6984</v>
      </c>
      <c r="EHJ30" t="s">
        <v>6984</v>
      </c>
      <c r="EHK30" t="s">
        <v>6984</v>
      </c>
      <c r="EHL30" t="s">
        <v>6984</v>
      </c>
      <c r="EHM30" t="s">
        <v>6984</v>
      </c>
      <c r="EHN30" t="s">
        <v>6984</v>
      </c>
      <c r="EHO30" t="s">
        <v>6984</v>
      </c>
      <c r="EHP30" t="s">
        <v>6984</v>
      </c>
      <c r="EHQ30" t="s">
        <v>6984</v>
      </c>
      <c r="EHR30" t="s">
        <v>6984</v>
      </c>
      <c r="EHS30" t="s">
        <v>6984</v>
      </c>
      <c r="EHT30" t="s">
        <v>6984</v>
      </c>
      <c r="EHU30" t="s">
        <v>6984</v>
      </c>
      <c r="EHV30" t="s">
        <v>6984</v>
      </c>
      <c r="EHW30" t="s">
        <v>6984</v>
      </c>
      <c r="EHX30" t="s">
        <v>6984</v>
      </c>
      <c r="EHY30" t="s">
        <v>6984</v>
      </c>
      <c r="EHZ30" t="s">
        <v>6984</v>
      </c>
      <c r="EIA30" t="s">
        <v>6984</v>
      </c>
      <c r="EIB30" t="s">
        <v>6984</v>
      </c>
      <c r="EIC30" t="s">
        <v>6984</v>
      </c>
      <c r="EID30" t="s">
        <v>6984</v>
      </c>
      <c r="EIE30" t="s">
        <v>6984</v>
      </c>
      <c r="EIF30" t="s">
        <v>6984</v>
      </c>
      <c r="EIG30" t="s">
        <v>6984</v>
      </c>
      <c r="EIH30" t="s">
        <v>6984</v>
      </c>
      <c r="EII30" t="s">
        <v>6984</v>
      </c>
      <c r="EIJ30" t="s">
        <v>6984</v>
      </c>
      <c r="EIK30" t="s">
        <v>6984</v>
      </c>
      <c r="EIL30" t="s">
        <v>6984</v>
      </c>
      <c r="EIM30" t="s">
        <v>6984</v>
      </c>
      <c r="EIN30" t="s">
        <v>6984</v>
      </c>
      <c r="EIO30" t="s">
        <v>6984</v>
      </c>
      <c r="EIP30" t="s">
        <v>6984</v>
      </c>
      <c r="EIQ30" t="s">
        <v>6984</v>
      </c>
      <c r="EIR30" t="s">
        <v>6984</v>
      </c>
      <c r="EIS30" t="s">
        <v>6984</v>
      </c>
      <c r="EIT30" t="s">
        <v>6984</v>
      </c>
      <c r="EIU30" t="s">
        <v>6984</v>
      </c>
      <c r="EIV30" t="s">
        <v>6984</v>
      </c>
      <c r="EIW30" t="s">
        <v>6984</v>
      </c>
      <c r="EIX30" t="s">
        <v>6984</v>
      </c>
      <c r="EIY30" t="s">
        <v>6984</v>
      </c>
      <c r="EIZ30" t="s">
        <v>6984</v>
      </c>
      <c r="EJA30" t="s">
        <v>6984</v>
      </c>
      <c r="EJB30" t="s">
        <v>6984</v>
      </c>
      <c r="EJC30" t="s">
        <v>6984</v>
      </c>
      <c r="EJD30" t="s">
        <v>6984</v>
      </c>
      <c r="EJE30" t="s">
        <v>6984</v>
      </c>
      <c r="EJF30" t="s">
        <v>6984</v>
      </c>
      <c r="EJG30" t="s">
        <v>6984</v>
      </c>
      <c r="EJH30" t="s">
        <v>6984</v>
      </c>
      <c r="EJI30" t="s">
        <v>6984</v>
      </c>
      <c r="EJJ30" t="s">
        <v>6984</v>
      </c>
      <c r="EJK30" t="s">
        <v>6984</v>
      </c>
      <c r="EJL30" t="s">
        <v>6984</v>
      </c>
      <c r="EJM30" t="s">
        <v>6984</v>
      </c>
      <c r="EJN30" t="s">
        <v>6984</v>
      </c>
      <c r="EJO30" t="s">
        <v>6984</v>
      </c>
      <c r="EJP30" t="s">
        <v>6984</v>
      </c>
      <c r="EJQ30" t="s">
        <v>6984</v>
      </c>
      <c r="EJR30" t="s">
        <v>6984</v>
      </c>
      <c r="EJS30" t="s">
        <v>6984</v>
      </c>
      <c r="EJT30" t="s">
        <v>6984</v>
      </c>
      <c r="EJU30" t="s">
        <v>6984</v>
      </c>
      <c r="EJV30" t="s">
        <v>6984</v>
      </c>
      <c r="EJW30" t="s">
        <v>6984</v>
      </c>
      <c r="EJX30" t="s">
        <v>6984</v>
      </c>
      <c r="EJY30" t="s">
        <v>6984</v>
      </c>
      <c r="EJZ30" t="s">
        <v>6984</v>
      </c>
      <c r="EKA30" t="s">
        <v>6984</v>
      </c>
      <c r="EKB30" t="s">
        <v>6984</v>
      </c>
      <c r="EKC30" t="s">
        <v>6984</v>
      </c>
      <c r="EKD30" t="s">
        <v>6984</v>
      </c>
      <c r="EKE30" t="s">
        <v>6984</v>
      </c>
      <c r="EKF30" t="s">
        <v>6984</v>
      </c>
      <c r="EKG30" t="s">
        <v>6984</v>
      </c>
      <c r="EKH30" t="s">
        <v>6984</v>
      </c>
      <c r="EKI30" t="s">
        <v>6984</v>
      </c>
      <c r="EKJ30" t="s">
        <v>6984</v>
      </c>
      <c r="EKK30" t="s">
        <v>6984</v>
      </c>
      <c r="EKL30" t="s">
        <v>6984</v>
      </c>
      <c r="EKM30" t="s">
        <v>6984</v>
      </c>
      <c r="EKN30" t="s">
        <v>6984</v>
      </c>
      <c r="EKO30" t="s">
        <v>6984</v>
      </c>
      <c r="EKP30" t="s">
        <v>6984</v>
      </c>
      <c r="EKQ30" t="s">
        <v>6984</v>
      </c>
      <c r="EKR30" t="s">
        <v>6984</v>
      </c>
      <c r="EKS30" t="s">
        <v>6984</v>
      </c>
      <c r="EKT30" t="s">
        <v>6984</v>
      </c>
      <c r="EKU30" t="s">
        <v>6984</v>
      </c>
      <c r="EKV30" t="s">
        <v>6984</v>
      </c>
      <c r="EKW30" t="s">
        <v>6984</v>
      </c>
      <c r="EKX30" t="s">
        <v>6984</v>
      </c>
      <c r="EKY30" t="s">
        <v>6984</v>
      </c>
      <c r="EKZ30" t="s">
        <v>6984</v>
      </c>
      <c r="ELA30" t="s">
        <v>6984</v>
      </c>
      <c r="ELB30" t="s">
        <v>6984</v>
      </c>
      <c r="ELC30" t="s">
        <v>6984</v>
      </c>
      <c r="ELD30" t="s">
        <v>6984</v>
      </c>
      <c r="ELE30" t="s">
        <v>6984</v>
      </c>
      <c r="ELF30" t="s">
        <v>6984</v>
      </c>
      <c r="ELG30" t="s">
        <v>6984</v>
      </c>
      <c r="ELH30" t="s">
        <v>6984</v>
      </c>
      <c r="ELI30" t="s">
        <v>6984</v>
      </c>
      <c r="ELJ30" t="s">
        <v>6984</v>
      </c>
      <c r="ELK30" t="s">
        <v>6984</v>
      </c>
      <c r="ELL30" t="s">
        <v>6984</v>
      </c>
      <c r="ELM30" t="s">
        <v>6984</v>
      </c>
      <c r="ELN30" t="s">
        <v>6984</v>
      </c>
      <c r="ELO30" t="s">
        <v>6984</v>
      </c>
      <c r="ELP30" t="s">
        <v>6984</v>
      </c>
      <c r="ELQ30" t="s">
        <v>6984</v>
      </c>
      <c r="ELR30" t="s">
        <v>6984</v>
      </c>
      <c r="ELS30" t="s">
        <v>6984</v>
      </c>
      <c r="ELT30" t="s">
        <v>6984</v>
      </c>
      <c r="ELU30" t="s">
        <v>6984</v>
      </c>
      <c r="ELV30" t="s">
        <v>6984</v>
      </c>
      <c r="ELW30" t="s">
        <v>6984</v>
      </c>
      <c r="ELX30" t="s">
        <v>6984</v>
      </c>
      <c r="ELY30" t="s">
        <v>6984</v>
      </c>
      <c r="ELZ30" t="s">
        <v>6984</v>
      </c>
      <c r="EMA30" t="s">
        <v>6984</v>
      </c>
      <c r="EMB30" t="s">
        <v>6984</v>
      </c>
      <c r="EMC30" t="s">
        <v>6984</v>
      </c>
      <c r="EMD30" t="s">
        <v>6984</v>
      </c>
      <c r="EME30" t="s">
        <v>6984</v>
      </c>
      <c r="EMF30" t="s">
        <v>6984</v>
      </c>
      <c r="EMG30" t="s">
        <v>6984</v>
      </c>
      <c r="EMH30" t="s">
        <v>6984</v>
      </c>
      <c r="EMI30" t="s">
        <v>6984</v>
      </c>
      <c r="EMJ30" t="s">
        <v>6984</v>
      </c>
      <c r="EMK30" t="s">
        <v>6984</v>
      </c>
      <c r="EML30" t="s">
        <v>6984</v>
      </c>
      <c r="EMM30" t="s">
        <v>6984</v>
      </c>
      <c r="EMN30" t="s">
        <v>6984</v>
      </c>
      <c r="EMO30" t="s">
        <v>6984</v>
      </c>
      <c r="EMP30" t="s">
        <v>6984</v>
      </c>
      <c r="EMQ30" t="s">
        <v>6984</v>
      </c>
      <c r="EMR30" t="s">
        <v>6984</v>
      </c>
      <c r="EMS30" t="s">
        <v>6984</v>
      </c>
      <c r="EMT30" t="s">
        <v>6984</v>
      </c>
      <c r="EMU30" t="s">
        <v>6984</v>
      </c>
      <c r="EMV30" t="s">
        <v>6984</v>
      </c>
      <c r="EMW30" t="s">
        <v>6984</v>
      </c>
      <c r="EMX30" t="s">
        <v>6984</v>
      </c>
      <c r="EMY30" t="s">
        <v>6984</v>
      </c>
      <c r="EMZ30" t="s">
        <v>6984</v>
      </c>
      <c r="ENA30" t="s">
        <v>6984</v>
      </c>
      <c r="ENB30" t="s">
        <v>6984</v>
      </c>
      <c r="ENC30" t="s">
        <v>6984</v>
      </c>
      <c r="END30" t="s">
        <v>6984</v>
      </c>
      <c r="ENE30" t="s">
        <v>6984</v>
      </c>
      <c r="ENF30" t="s">
        <v>6984</v>
      </c>
      <c r="ENG30" t="s">
        <v>6984</v>
      </c>
      <c r="ENH30" t="s">
        <v>6984</v>
      </c>
      <c r="ENI30" t="s">
        <v>6984</v>
      </c>
      <c r="ENJ30" t="s">
        <v>6984</v>
      </c>
      <c r="ENK30" t="s">
        <v>6984</v>
      </c>
      <c r="ENL30" t="s">
        <v>6984</v>
      </c>
      <c r="ENM30" t="s">
        <v>6984</v>
      </c>
      <c r="ENN30" t="s">
        <v>6984</v>
      </c>
      <c r="ENO30" t="s">
        <v>6984</v>
      </c>
      <c r="ENP30" t="s">
        <v>6984</v>
      </c>
      <c r="ENQ30" t="s">
        <v>6984</v>
      </c>
      <c r="ENR30" t="s">
        <v>6984</v>
      </c>
      <c r="ENS30" t="s">
        <v>6984</v>
      </c>
      <c r="ENT30" t="s">
        <v>6984</v>
      </c>
      <c r="ENU30" t="s">
        <v>6984</v>
      </c>
      <c r="ENV30" t="s">
        <v>6984</v>
      </c>
      <c r="ENW30" t="s">
        <v>6984</v>
      </c>
      <c r="ENX30" t="s">
        <v>6984</v>
      </c>
      <c r="ENY30" t="s">
        <v>6984</v>
      </c>
      <c r="ENZ30" t="s">
        <v>6984</v>
      </c>
      <c r="EOA30" t="s">
        <v>6984</v>
      </c>
      <c r="EOB30" t="s">
        <v>6984</v>
      </c>
      <c r="EOC30" t="s">
        <v>6984</v>
      </c>
      <c r="EOD30" t="s">
        <v>6984</v>
      </c>
      <c r="EOE30" t="s">
        <v>6984</v>
      </c>
      <c r="EOF30" t="s">
        <v>6984</v>
      </c>
      <c r="EOG30" t="s">
        <v>6984</v>
      </c>
      <c r="EOH30" t="s">
        <v>6984</v>
      </c>
      <c r="EOI30" t="s">
        <v>6984</v>
      </c>
      <c r="EOJ30" t="s">
        <v>6984</v>
      </c>
      <c r="EOK30" t="s">
        <v>6984</v>
      </c>
      <c r="EOL30" t="s">
        <v>6984</v>
      </c>
      <c r="EOM30" t="s">
        <v>6984</v>
      </c>
      <c r="EON30" t="s">
        <v>6984</v>
      </c>
      <c r="EOO30" t="s">
        <v>6984</v>
      </c>
      <c r="EOP30" t="s">
        <v>6984</v>
      </c>
      <c r="EOQ30" t="s">
        <v>6984</v>
      </c>
      <c r="EOR30" t="s">
        <v>6984</v>
      </c>
      <c r="EOS30" t="s">
        <v>6984</v>
      </c>
      <c r="EOT30" t="s">
        <v>6984</v>
      </c>
      <c r="EOU30" t="s">
        <v>6984</v>
      </c>
      <c r="EOV30" t="s">
        <v>6984</v>
      </c>
      <c r="EOW30" t="s">
        <v>6984</v>
      </c>
      <c r="EOX30" t="s">
        <v>6984</v>
      </c>
      <c r="EOY30" t="s">
        <v>6984</v>
      </c>
      <c r="EOZ30" t="s">
        <v>6984</v>
      </c>
      <c r="EPA30" t="s">
        <v>6984</v>
      </c>
      <c r="EPB30" t="s">
        <v>6984</v>
      </c>
      <c r="EPC30" t="s">
        <v>6984</v>
      </c>
      <c r="EPD30" t="s">
        <v>6984</v>
      </c>
      <c r="EPE30" t="s">
        <v>6984</v>
      </c>
      <c r="EPF30" t="s">
        <v>6984</v>
      </c>
      <c r="EPG30" t="s">
        <v>6984</v>
      </c>
      <c r="EPH30" t="s">
        <v>6984</v>
      </c>
      <c r="EPI30" t="s">
        <v>6984</v>
      </c>
      <c r="EPJ30" t="s">
        <v>6984</v>
      </c>
      <c r="EPK30" t="s">
        <v>6984</v>
      </c>
      <c r="EPL30" t="s">
        <v>6984</v>
      </c>
      <c r="EPM30" t="s">
        <v>6984</v>
      </c>
      <c r="EPN30" t="s">
        <v>6984</v>
      </c>
      <c r="EPO30" t="s">
        <v>6984</v>
      </c>
      <c r="EPP30" t="s">
        <v>6984</v>
      </c>
      <c r="EPQ30" t="s">
        <v>6984</v>
      </c>
      <c r="EPR30" t="s">
        <v>6984</v>
      </c>
      <c r="EPS30" t="s">
        <v>6984</v>
      </c>
      <c r="EPT30" t="s">
        <v>6984</v>
      </c>
      <c r="EPU30" t="s">
        <v>6984</v>
      </c>
      <c r="EPV30" t="s">
        <v>6984</v>
      </c>
      <c r="EPW30" t="s">
        <v>6984</v>
      </c>
      <c r="EPX30" t="s">
        <v>6984</v>
      </c>
      <c r="EPY30" t="s">
        <v>6984</v>
      </c>
      <c r="EPZ30" t="s">
        <v>6984</v>
      </c>
      <c r="EQA30" t="s">
        <v>6984</v>
      </c>
      <c r="EQB30" t="s">
        <v>6984</v>
      </c>
      <c r="EQC30" t="s">
        <v>6984</v>
      </c>
      <c r="EQD30" t="s">
        <v>6984</v>
      </c>
      <c r="EQE30" t="s">
        <v>6984</v>
      </c>
      <c r="EQF30" t="s">
        <v>6984</v>
      </c>
      <c r="EQG30" t="s">
        <v>6984</v>
      </c>
      <c r="EQH30" t="s">
        <v>6984</v>
      </c>
      <c r="EQI30" t="s">
        <v>6984</v>
      </c>
      <c r="EQJ30" t="s">
        <v>6984</v>
      </c>
      <c r="EQK30" t="s">
        <v>6984</v>
      </c>
      <c r="EQL30" t="s">
        <v>6984</v>
      </c>
      <c r="EQM30" t="s">
        <v>6984</v>
      </c>
      <c r="EQN30" t="s">
        <v>6984</v>
      </c>
      <c r="EQO30" t="s">
        <v>6984</v>
      </c>
      <c r="EQP30" t="s">
        <v>6984</v>
      </c>
      <c r="EQQ30" t="s">
        <v>6984</v>
      </c>
      <c r="EQR30" t="s">
        <v>6984</v>
      </c>
      <c r="EQS30" t="s">
        <v>6984</v>
      </c>
      <c r="EQT30" t="s">
        <v>6984</v>
      </c>
      <c r="EQU30" t="s">
        <v>6984</v>
      </c>
      <c r="EQV30" t="s">
        <v>6984</v>
      </c>
      <c r="EQW30" t="s">
        <v>6984</v>
      </c>
      <c r="EQX30" t="s">
        <v>6984</v>
      </c>
      <c r="EQY30" t="s">
        <v>6984</v>
      </c>
      <c r="EQZ30" t="s">
        <v>6984</v>
      </c>
      <c r="ERA30" t="s">
        <v>6984</v>
      </c>
      <c r="ERB30" t="s">
        <v>6984</v>
      </c>
      <c r="ERC30" t="s">
        <v>6984</v>
      </c>
      <c r="ERD30" t="s">
        <v>6984</v>
      </c>
      <c r="ERE30" t="s">
        <v>6984</v>
      </c>
      <c r="ERF30" t="s">
        <v>6984</v>
      </c>
      <c r="ERG30" t="s">
        <v>6984</v>
      </c>
      <c r="ERH30" t="s">
        <v>6984</v>
      </c>
      <c r="ERI30" t="s">
        <v>6984</v>
      </c>
      <c r="ERJ30" t="s">
        <v>6984</v>
      </c>
      <c r="ERK30" t="s">
        <v>6984</v>
      </c>
      <c r="ERL30" t="s">
        <v>6984</v>
      </c>
      <c r="ERM30" t="s">
        <v>6984</v>
      </c>
      <c r="ERN30" t="s">
        <v>6984</v>
      </c>
      <c r="ERO30" t="s">
        <v>6984</v>
      </c>
      <c r="ERP30" t="s">
        <v>6984</v>
      </c>
      <c r="ERQ30" t="s">
        <v>6984</v>
      </c>
      <c r="ERR30" t="s">
        <v>6984</v>
      </c>
      <c r="ERS30" t="s">
        <v>6984</v>
      </c>
      <c r="ERT30" t="s">
        <v>6984</v>
      </c>
      <c r="ERU30" t="s">
        <v>6984</v>
      </c>
      <c r="ERV30" t="s">
        <v>6984</v>
      </c>
      <c r="ERW30" t="s">
        <v>6984</v>
      </c>
      <c r="ERX30" t="s">
        <v>6984</v>
      </c>
      <c r="ERY30" t="s">
        <v>6984</v>
      </c>
      <c r="ERZ30" t="s">
        <v>6984</v>
      </c>
      <c r="ESA30" t="s">
        <v>6984</v>
      </c>
      <c r="ESB30" t="s">
        <v>6984</v>
      </c>
      <c r="ESC30" t="s">
        <v>6984</v>
      </c>
      <c r="ESD30" t="s">
        <v>6984</v>
      </c>
      <c r="ESE30" t="s">
        <v>6984</v>
      </c>
      <c r="ESF30" t="s">
        <v>6984</v>
      </c>
      <c r="ESG30" t="s">
        <v>6984</v>
      </c>
      <c r="ESH30" t="s">
        <v>6984</v>
      </c>
      <c r="ESI30" t="s">
        <v>6984</v>
      </c>
      <c r="ESJ30" t="s">
        <v>6984</v>
      </c>
      <c r="ESK30" t="s">
        <v>6984</v>
      </c>
      <c r="ESL30" t="s">
        <v>6984</v>
      </c>
      <c r="ESM30" t="s">
        <v>6984</v>
      </c>
      <c r="ESN30" t="s">
        <v>6984</v>
      </c>
      <c r="ESO30" t="s">
        <v>6984</v>
      </c>
      <c r="ESP30" t="s">
        <v>6984</v>
      </c>
      <c r="ESQ30" t="s">
        <v>6984</v>
      </c>
      <c r="ESR30" t="s">
        <v>6984</v>
      </c>
      <c r="ESS30" t="s">
        <v>6984</v>
      </c>
      <c r="EST30" t="s">
        <v>6984</v>
      </c>
      <c r="ESU30" t="s">
        <v>6984</v>
      </c>
      <c r="ESV30" t="s">
        <v>6984</v>
      </c>
      <c r="ESW30" t="s">
        <v>6984</v>
      </c>
      <c r="ESX30" t="s">
        <v>6984</v>
      </c>
      <c r="ESY30" t="s">
        <v>6984</v>
      </c>
      <c r="ESZ30" t="s">
        <v>6984</v>
      </c>
      <c r="ETA30" t="s">
        <v>6984</v>
      </c>
      <c r="ETB30" t="s">
        <v>6984</v>
      </c>
      <c r="ETC30" t="s">
        <v>6984</v>
      </c>
      <c r="ETD30" t="s">
        <v>6984</v>
      </c>
      <c r="ETE30" t="s">
        <v>6984</v>
      </c>
      <c r="ETF30" t="s">
        <v>6984</v>
      </c>
      <c r="ETG30" t="s">
        <v>6984</v>
      </c>
      <c r="ETH30" t="s">
        <v>6984</v>
      </c>
      <c r="ETI30" t="s">
        <v>6984</v>
      </c>
      <c r="ETJ30" t="s">
        <v>6984</v>
      </c>
      <c r="ETK30" t="s">
        <v>6984</v>
      </c>
      <c r="ETL30" t="s">
        <v>6984</v>
      </c>
      <c r="ETM30" t="s">
        <v>6984</v>
      </c>
      <c r="ETN30" t="s">
        <v>6984</v>
      </c>
      <c r="ETO30" t="s">
        <v>6984</v>
      </c>
      <c r="ETP30" t="s">
        <v>6984</v>
      </c>
      <c r="ETQ30" t="s">
        <v>6984</v>
      </c>
      <c r="ETR30" t="s">
        <v>6984</v>
      </c>
      <c r="ETS30" t="s">
        <v>6984</v>
      </c>
      <c r="ETT30" t="s">
        <v>6984</v>
      </c>
      <c r="ETU30" t="s">
        <v>6984</v>
      </c>
      <c r="ETV30" t="s">
        <v>6984</v>
      </c>
      <c r="ETW30" t="s">
        <v>6984</v>
      </c>
      <c r="ETX30" t="s">
        <v>6984</v>
      </c>
      <c r="ETY30" t="s">
        <v>6984</v>
      </c>
      <c r="ETZ30" t="s">
        <v>6984</v>
      </c>
      <c r="EUA30" t="s">
        <v>6984</v>
      </c>
      <c r="EUB30" t="s">
        <v>6984</v>
      </c>
      <c r="EUC30" t="s">
        <v>6984</v>
      </c>
      <c r="EUD30" t="s">
        <v>6984</v>
      </c>
      <c r="EUE30" t="s">
        <v>6984</v>
      </c>
      <c r="EUF30" t="s">
        <v>6984</v>
      </c>
      <c r="EUG30" t="s">
        <v>6984</v>
      </c>
      <c r="EUH30" t="s">
        <v>6984</v>
      </c>
      <c r="EUI30" t="s">
        <v>6984</v>
      </c>
      <c r="EUJ30" t="s">
        <v>6984</v>
      </c>
      <c r="EUK30" t="s">
        <v>6984</v>
      </c>
      <c r="EUL30" t="s">
        <v>6984</v>
      </c>
      <c r="EUM30" t="s">
        <v>6984</v>
      </c>
      <c r="EUN30" t="s">
        <v>6984</v>
      </c>
      <c r="EUO30" t="s">
        <v>6984</v>
      </c>
      <c r="EUP30" t="s">
        <v>6984</v>
      </c>
      <c r="EUQ30" t="s">
        <v>6984</v>
      </c>
      <c r="EUR30" t="s">
        <v>6984</v>
      </c>
      <c r="EUS30" t="s">
        <v>6984</v>
      </c>
      <c r="EUT30" t="s">
        <v>6984</v>
      </c>
      <c r="EUU30" t="s">
        <v>6984</v>
      </c>
      <c r="EUV30" t="s">
        <v>6984</v>
      </c>
      <c r="EUW30" t="s">
        <v>6984</v>
      </c>
      <c r="EUX30" t="s">
        <v>6984</v>
      </c>
      <c r="EUY30" t="s">
        <v>6984</v>
      </c>
      <c r="EUZ30" t="s">
        <v>6984</v>
      </c>
      <c r="EVA30" t="s">
        <v>6984</v>
      </c>
      <c r="EVB30" t="s">
        <v>6984</v>
      </c>
      <c r="EVC30" t="s">
        <v>6984</v>
      </c>
      <c r="EVD30" t="s">
        <v>6984</v>
      </c>
      <c r="EVE30" t="s">
        <v>6984</v>
      </c>
      <c r="EVF30" t="s">
        <v>6984</v>
      </c>
      <c r="EVG30" t="s">
        <v>6984</v>
      </c>
      <c r="EVH30" t="s">
        <v>6984</v>
      </c>
      <c r="EVI30" t="s">
        <v>6984</v>
      </c>
      <c r="EVJ30" t="s">
        <v>6984</v>
      </c>
      <c r="EVK30" t="s">
        <v>6984</v>
      </c>
      <c r="EVL30" t="s">
        <v>6984</v>
      </c>
      <c r="EVM30" t="s">
        <v>6984</v>
      </c>
      <c r="EVN30" t="s">
        <v>6984</v>
      </c>
      <c r="EVO30" t="s">
        <v>6984</v>
      </c>
      <c r="EVP30" t="s">
        <v>6984</v>
      </c>
      <c r="EVQ30" t="s">
        <v>6984</v>
      </c>
      <c r="EVR30" t="s">
        <v>6984</v>
      </c>
      <c r="EVS30" t="s">
        <v>6984</v>
      </c>
      <c r="EVT30" t="s">
        <v>6984</v>
      </c>
      <c r="EVU30" t="s">
        <v>6984</v>
      </c>
      <c r="EVV30" t="s">
        <v>6984</v>
      </c>
      <c r="EVW30" t="s">
        <v>6984</v>
      </c>
      <c r="EVX30" t="s">
        <v>6984</v>
      </c>
      <c r="EVY30" t="s">
        <v>6984</v>
      </c>
      <c r="EVZ30" t="s">
        <v>6984</v>
      </c>
      <c r="EWA30" t="s">
        <v>6984</v>
      </c>
      <c r="EWB30" t="s">
        <v>6984</v>
      </c>
      <c r="EWC30" t="s">
        <v>6984</v>
      </c>
      <c r="EWD30" t="s">
        <v>6984</v>
      </c>
      <c r="EWE30" t="s">
        <v>6984</v>
      </c>
      <c r="EWF30" t="s">
        <v>6984</v>
      </c>
      <c r="EWG30" t="s">
        <v>6984</v>
      </c>
      <c r="EWH30" t="s">
        <v>6984</v>
      </c>
      <c r="EWI30" t="s">
        <v>6984</v>
      </c>
      <c r="EWJ30" t="s">
        <v>6984</v>
      </c>
      <c r="EWK30" t="s">
        <v>6984</v>
      </c>
      <c r="EWL30" t="s">
        <v>6984</v>
      </c>
      <c r="EWM30" t="s">
        <v>6984</v>
      </c>
      <c r="EWN30" t="s">
        <v>6984</v>
      </c>
      <c r="EWO30" t="s">
        <v>6984</v>
      </c>
      <c r="EWP30" t="s">
        <v>6984</v>
      </c>
      <c r="EWQ30" t="s">
        <v>6984</v>
      </c>
      <c r="EWR30" t="s">
        <v>6984</v>
      </c>
      <c r="EWS30" t="s">
        <v>6984</v>
      </c>
      <c r="EWT30" t="s">
        <v>6984</v>
      </c>
      <c r="EWU30" t="s">
        <v>6984</v>
      </c>
      <c r="EWV30" t="s">
        <v>6984</v>
      </c>
      <c r="EWW30" t="s">
        <v>6984</v>
      </c>
      <c r="EWX30" t="s">
        <v>6984</v>
      </c>
      <c r="EWY30" t="s">
        <v>6984</v>
      </c>
      <c r="EWZ30" t="s">
        <v>6984</v>
      </c>
      <c r="EXA30" t="s">
        <v>6984</v>
      </c>
      <c r="EXB30" t="s">
        <v>6984</v>
      </c>
      <c r="EXC30" t="s">
        <v>6984</v>
      </c>
      <c r="EXD30" t="s">
        <v>6984</v>
      </c>
      <c r="EXE30" t="s">
        <v>6984</v>
      </c>
      <c r="EXF30" t="s">
        <v>6984</v>
      </c>
      <c r="EXG30" t="s">
        <v>6984</v>
      </c>
      <c r="EXH30" t="s">
        <v>6984</v>
      </c>
      <c r="EXI30" t="s">
        <v>6984</v>
      </c>
      <c r="EXJ30" t="s">
        <v>6984</v>
      </c>
      <c r="EXK30" t="s">
        <v>6984</v>
      </c>
      <c r="EXL30" t="s">
        <v>6984</v>
      </c>
      <c r="EXM30" t="s">
        <v>6984</v>
      </c>
      <c r="EXN30" t="s">
        <v>6984</v>
      </c>
      <c r="EXO30" t="s">
        <v>6984</v>
      </c>
      <c r="EXP30" t="s">
        <v>6984</v>
      </c>
      <c r="EXQ30" t="s">
        <v>6984</v>
      </c>
      <c r="EXR30" t="s">
        <v>6984</v>
      </c>
      <c r="EXS30" t="s">
        <v>6984</v>
      </c>
      <c r="EXT30" t="s">
        <v>6984</v>
      </c>
      <c r="EXU30" t="s">
        <v>6984</v>
      </c>
      <c r="EXV30" t="s">
        <v>6984</v>
      </c>
      <c r="EXW30" t="s">
        <v>6984</v>
      </c>
      <c r="EXX30" t="s">
        <v>6984</v>
      </c>
      <c r="EXY30" t="s">
        <v>6984</v>
      </c>
      <c r="EXZ30" t="s">
        <v>6984</v>
      </c>
      <c r="EYA30" t="s">
        <v>6984</v>
      </c>
      <c r="EYB30" t="s">
        <v>6984</v>
      </c>
      <c r="EYC30" t="s">
        <v>6984</v>
      </c>
      <c r="EYD30" t="s">
        <v>6984</v>
      </c>
      <c r="EYE30" t="s">
        <v>6984</v>
      </c>
      <c r="EYF30" t="s">
        <v>6984</v>
      </c>
      <c r="EYG30" t="s">
        <v>6984</v>
      </c>
      <c r="EYH30" t="s">
        <v>6984</v>
      </c>
      <c r="EYI30" t="s">
        <v>6984</v>
      </c>
      <c r="EYJ30" t="s">
        <v>6984</v>
      </c>
      <c r="EYK30" t="s">
        <v>6984</v>
      </c>
      <c r="EYL30" t="s">
        <v>6984</v>
      </c>
      <c r="EYM30" t="s">
        <v>6984</v>
      </c>
      <c r="EYN30" t="s">
        <v>6984</v>
      </c>
      <c r="EYO30" t="s">
        <v>6984</v>
      </c>
      <c r="EYP30" t="s">
        <v>6984</v>
      </c>
      <c r="EYQ30" t="s">
        <v>6984</v>
      </c>
      <c r="EYR30" t="s">
        <v>6984</v>
      </c>
      <c r="EYS30" t="s">
        <v>6984</v>
      </c>
      <c r="EYT30" t="s">
        <v>6984</v>
      </c>
      <c r="EYU30" t="s">
        <v>6984</v>
      </c>
      <c r="EYV30" t="s">
        <v>6984</v>
      </c>
      <c r="EYW30" t="s">
        <v>6984</v>
      </c>
      <c r="EYX30" t="s">
        <v>6984</v>
      </c>
      <c r="EYY30" t="s">
        <v>6984</v>
      </c>
      <c r="EYZ30" t="s">
        <v>6984</v>
      </c>
      <c r="EZA30" t="s">
        <v>6984</v>
      </c>
      <c r="EZB30" t="s">
        <v>6984</v>
      </c>
      <c r="EZC30" t="s">
        <v>6984</v>
      </c>
      <c r="EZD30" t="s">
        <v>6984</v>
      </c>
      <c r="EZE30" t="s">
        <v>6984</v>
      </c>
      <c r="EZF30" t="s">
        <v>6984</v>
      </c>
      <c r="EZG30" t="s">
        <v>6984</v>
      </c>
      <c r="EZH30" t="s">
        <v>6984</v>
      </c>
      <c r="EZI30" t="s">
        <v>6984</v>
      </c>
      <c r="EZJ30" t="s">
        <v>6984</v>
      </c>
      <c r="EZK30" t="s">
        <v>6984</v>
      </c>
      <c r="EZL30" t="s">
        <v>6984</v>
      </c>
      <c r="EZM30" t="s">
        <v>6984</v>
      </c>
      <c r="EZN30" t="s">
        <v>6984</v>
      </c>
      <c r="EZO30" t="s">
        <v>6984</v>
      </c>
      <c r="EZP30" t="s">
        <v>6984</v>
      </c>
      <c r="EZQ30" t="s">
        <v>6984</v>
      </c>
      <c r="EZR30" t="s">
        <v>6984</v>
      </c>
      <c r="EZS30" t="s">
        <v>6984</v>
      </c>
      <c r="EZT30" t="s">
        <v>6984</v>
      </c>
      <c r="EZU30" t="s">
        <v>6984</v>
      </c>
      <c r="EZV30" t="s">
        <v>6984</v>
      </c>
      <c r="EZW30" t="s">
        <v>6984</v>
      </c>
      <c r="EZX30" t="s">
        <v>6984</v>
      </c>
      <c r="EZY30" t="s">
        <v>6984</v>
      </c>
      <c r="EZZ30" t="s">
        <v>6984</v>
      </c>
      <c r="FAA30" t="s">
        <v>6984</v>
      </c>
      <c r="FAB30" t="s">
        <v>6984</v>
      </c>
      <c r="FAC30" t="s">
        <v>6984</v>
      </c>
      <c r="FAD30" t="s">
        <v>6984</v>
      </c>
      <c r="FAE30" t="s">
        <v>6984</v>
      </c>
      <c r="FAF30" t="s">
        <v>6984</v>
      </c>
      <c r="FAG30" t="s">
        <v>6984</v>
      </c>
      <c r="FAH30" t="s">
        <v>6984</v>
      </c>
      <c r="FAI30" t="s">
        <v>6984</v>
      </c>
      <c r="FAJ30" t="s">
        <v>6984</v>
      </c>
      <c r="FAK30" t="s">
        <v>6984</v>
      </c>
      <c r="FAL30" t="s">
        <v>6984</v>
      </c>
      <c r="FAM30" t="s">
        <v>6984</v>
      </c>
      <c r="FAN30" t="s">
        <v>6984</v>
      </c>
      <c r="FAO30" t="s">
        <v>6984</v>
      </c>
      <c r="FAP30" t="s">
        <v>6984</v>
      </c>
      <c r="FAQ30" t="s">
        <v>6984</v>
      </c>
      <c r="FAR30" t="s">
        <v>6984</v>
      </c>
      <c r="FAS30" t="s">
        <v>6984</v>
      </c>
      <c r="FAT30" t="s">
        <v>6984</v>
      </c>
      <c r="FAU30" t="s">
        <v>6984</v>
      </c>
      <c r="FAV30" t="s">
        <v>6984</v>
      </c>
      <c r="FAW30" t="s">
        <v>6984</v>
      </c>
      <c r="FAX30" t="s">
        <v>6984</v>
      </c>
      <c r="FAY30" t="s">
        <v>6984</v>
      </c>
      <c r="FAZ30" t="s">
        <v>6984</v>
      </c>
      <c r="FBA30" t="s">
        <v>6984</v>
      </c>
      <c r="FBB30" t="s">
        <v>6984</v>
      </c>
      <c r="FBC30" t="s">
        <v>6984</v>
      </c>
      <c r="FBD30" t="s">
        <v>6984</v>
      </c>
      <c r="FBE30" t="s">
        <v>6984</v>
      </c>
      <c r="FBF30" t="s">
        <v>6984</v>
      </c>
      <c r="FBG30" t="s">
        <v>6984</v>
      </c>
      <c r="FBH30" t="s">
        <v>6984</v>
      </c>
      <c r="FBI30" t="s">
        <v>6984</v>
      </c>
      <c r="FBJ30" t="s">
        <v>6984</v>
      </c>
      <c r="FBK30" t="s">
        <v>6984</v>
      </c>
      <c r="FBL30" t="s">
        <v>6984</v>
      </c>
      <c r="FBM30" t="s">
        <v>6984</v>
      </c>
      <c r="FBN30" t="s">
        <v>6984</v>
      </c>
      <c r="FBO30" t="s">
        <v>6984</v>
      </c>
      <c r="FBP30" t="s">
        <v>6984</v>
      </c>
      <c r="FBQ30" t="s">
        <v>6984</v>
      </c>
      <c r="FBR30" t="s">
        <v>6984</v>
      </c>
      <c r="FBS30" t="s">
        <v>6984</v>
      </c>
      <c r="FBT30" t="s">
        <v>6984</v>
      </c>
      <c r="FBU30" t="s">
        <v>6984</v>
      </c>
      <c r="FBV30" t="s">
        <v>6984</v>
      </c>
      <c r="FBW30" t="s">
        <v>6984</v>
      </c>
      <c r="FBX30" t="s">
        <v>6984</v>
      </c>
      <c r="FBY30" t="s">
        <v>6984</v>
      </c>
      <c r="FBZ30" t="s">
        <v>6984</v>
      </c>
      <c r="FCA30" t="s">
        <v>6984</v>
      </c>
      <c r="FCB30" t="s">
        <v>6984</v>
      </c>
      <c r="FCC30" t="s">
        <v>6984</v>
      </c>
      <c r="FCD30" t="s">
        <v>6984</v>
      </c>
      <c r="FCE30" t="s">
        <v>6984</v>
      </c>
      <c r="FCF30" t="s">
        <v>6984</v>
      </c>
      <c r="FCG30" t="s">
        <v>6984</v>
      </c>
      <c r="FCH30" t="s">
        <v>6984</v>
      </c>
      <c r="FCI30" t="s">
        <v>6984</v>
      </c>
      <c r="FCJ30" t="s">
        <v>6984</v>
      </c>
      <c r="FCK30" t="s">
        <v>6984</v>
      </c>
      <c r="FCL30" t="s">
        <v>6984</v>
      </c>
      <c r="FCM30" t="s">
        <v>6984</v>
      </c>
      <c r="FCN30" t="s">
        <v>6984</v>
      </c>
      <c r="FCO30" t="s">
        <v>6984</v>
      </c>
      <c r="FCP30" t="s">
        <v>6984</v>
      </c>
      <c r="FCQ30" t="s">
        <v>6984</v>
      </c>
      <c r="FCR30" t="s">
        <v>6984</v>
      </c>
      <c r="FCS30" t="s">
        <v>6984</v>
      </c>
      <c r="FCT30" t="s">
        <v>6984</v>
      </c>
      <c r="FCU30" t="s">
        <v>6984</v>
      </c>
      <c r="FCV30" t="s">
        <v>6984</v>
      </c>
      <c r="FCW30" t="s">
        <v>6984</v>
      </c>
      <c r="FCX30" t="s">
        <v>6984</v>
      </c>
      <c r="FCY30" t="s">
        <v>6984</v>
      </c>
      <c r="FCZ30" t="s">
        <v>6984</v>
      </c>
      <c r="FDA30" t="s">
        <v>6984</v>
      </c>
      <c r="FDB30" t="s">
        <v>6984</v>
      </c>
      <c r="FDC30" t="s">
        <v>6984</v>
      </c>
      <c r="FDD30" t="s">
        <v>6984</v>
      </c>
      <c r="FDE30" t="s">
        <v>6984</v>
      </c>
      <c r="FDF30" t="s">
        <v>6984</v>
      </c>
      <c r="FDG30" t="s">
        <v>6984</v>
      </c>
      <c r="FDH30" t="s">
        <v>6984</v>
      </c>
      <c r="FDI30" t="s">
        <v>6984</v>
      </c>
      <c r="FDJ30" t="s">
        <v>6984</v>
      </c>
      <c r="FDK30" t="s">
        <v>6984</v>
      </c>
      <c r="FDL30" t="s">
        <v>6984</v>
      </c>
      <c r="FDM30" t="s">
        <v>6984</v>
      </c>
      <c r="FDN30" t="s">
        <v>6984</v>
      </c>
      <c r="FDO30" t="s">
        <v>6984</v>
      </c>
      <c r="FDP30" t="s">
        <v>6984</v>
      </c>
      <c r="FDQ30" t="s">
        <v>6984</v>
      </c>
      <c r="FDR30" t="s">
        <v>6984</v>
      </c>
      <c r="FDS30" t="s">
        <v>6984</v>
      </c>
      <c r="FDT30" t="s">
        <v>6984</v>
      </c>
      <c r="FDU30" t="s">
        <v>6984</v>
      </c>
      <c r="FDV30" t="s">
        <v>6984</v>
      </c>
      <c r="FDW30" t="s">
        <v>6984</v>
      </c>
      <c r="FDX30" t="s">
        <v>6984</v>
      </c>
      <c r="FDY30" t="s">
        <v>6984</v>
      </c>
      <c r="FDZ30" t="s">
        <v>6984</v>
      </c>
      <c r="FEA30" t="s">
        <v>6984</v>
      </c>
      <c r="FEB30" t="s">
        <v>6984</v>
      </c>
      <c r="FEC30" t="s">
        <v>6984</v>
      </c>
      <c r="FED30" t="s">
        <v>6984</v>
      </c>
      <c r="FEE30" t="s">
        <v>6984</v>
      </c>
      <c r="FEF30" t="s">
        <v>6984</v>
      </c>
      <c r="FEG30" t="s">
        <v>6984</v>
      </c>
      <c r="FEH30" t="s">
        <v>6984</v>
      </c>
      <c r="FEI30" t="s">
        <v>6984</v>
      </c>
      <c r="FEJ30" t="s">
        <v>6984</v>
      </c>
      <c r="FEK30" t="s">
        <v>6984</v>
      </c>
      <c r="FEL30" t="s">
        <v>6984</v>
      </c>
      <c r="FEM30" t="s">
        <v>6984</v>
      </c>
      <c r="FEN30" t="s">
        <v>6984</v>
      </c>
      <c r="FEO30" t="s">
        <v>6984</v>
      </c>
      <c r="FEP30" t="s">
        <v>6984</v>
      </c>
      <c r="FEQ30" t="s">
        <v>6984</v>
      </c>
      <c r="FER30" t="s">
        <v>6984</v>
      </c>
      <c r="FES30" t="s">
        <v>6984</v>
      </c>
      <c r="FET30" t="s">
        <v>6984</v>
      </c>
      <c r="FEU30" t="s">
        <v>6984</v>
      </c>
      <c r="FEV30" t="s">
        <v>6984</v>
      </c>
      <c r="FEW30" t="s">
        <v>6984</v>
      </c>
      <c r="FEX30" t="s">
        <v>6984</v>
      </c>
      <c r="FEY30" t="s">
        <v>6984</v>
      </c>
      <c r="FEZ30" t="s">
        <v>6984</v>
      </c>
      <c r="FFA30" t="s">
        <v>6984</v>
      </c>
      <c r="FFB30" t="s">
        <v>6984</v>
      </c>
      <c r="FFC30" t="s">
        <v>6984</v>
      </c>
      <c r="FFD30" t="s">
        <v>6984</v>
      </c>
      <c r="FFE30" t="s">
        <v>6984</v>
      </c>
      <c r="FFF30" t="s">
        <v>6984</v>
      </c>
      <c r="FFG30" t="s">
        <v>6984</v>
      </c>
      <c r="FFH30" t="s">
        <v>6984</v>
      </c>
      <c r="FFI30" t="s">
        <v>6984</v>
      </c>
      <c r="FFJ30" t="s">
        <v>6984</v>
      </c>
      <c r="FFK30" t="s">
        <v>6984</v>
      </c>
      <c r="FFL30" t="s">
        <v>6984</v>
      </c>
      <c r="FFM30" t="s">
        <v>6984</v>
      </c>
      <c r="FFN30" t="s">
        <v>6984</v>
      </c>
      <c r="FFO30" t="s">
        <v>6984</v>
      </c>
      <c r="FFP30" t="s">
        <v>6984</v>
      </c>
      <c r="FFQ30" t="s">
        <v>6984</v>
      </c>
      <c r="FFR30" t="s">
        <v>6984</v>
      </c>
      <c r="FFS30" t="s">
        <v>6984</v>
      </c>
      <c r="FFT30" t="s">
        <v>6984</v>
      </c>
      <c r="FFU30" t="s">
        <v>6984</v>
      </c>
      <c r="FFV30" t="s">
        <v>6984</v>
      </c>
      <c r="FFW30" t="s">
        <v>6984</v>
      </c>
      <c r="FFX30" t="s">
        <v>6984</v>
      </c>
      <c r="FFY30" t="s">
        <v>6984</v>
      </c>
      <c r="FFZ30" t="s">
        <v>6984</v>
      </c>
      <c r="FGA30" t="s">
        <v>6984</v>
      </c>
      <c r="FGB30" t="s">
        <v>6984</v>
      </c>
      <c r="FGC30" t="s">
        <v>6984</v>
      </c>
      <c r="FGD30" t="s">
        <v>6984</v>
      </c>
      <c r="FGE30" t="s">
        <v>6984</v>
      </c>
      <c r="FGF30" t="s">
        <v>6984</v>
      </c>
      <c r="FGG30" t="s">
        <v>6984</v>
      </c>
      <c r="FGH30" t="s">
        <v>6984</v>
      </c>
      <c r="FGI30" t="s">
        <v>6984</v>
      </c>
      <c r="FGJ30" t="s">
        <v>6984</v>
      </c>
      <c r="FGK30" t="s">
        <v>6984</v>
      </c>
      <c r="FGL30" t="s">
        <v>6984</v>
      </c>
      <c r="FGM30" t="s">
        <v>6984</v>
      </c>
      <c r="FGN30" t="s">
        <v>6984</v>
      </c>
      <c r="FGO30" t="s">
        <v>6984</v>
      </c>
      <c r="FGP30" t="s">
        <v>6984</v>
      </c>
      <c r="FGQ30" t="s">
        <v>6984</v>
      </c>
      <c r="FGR30" t="s">
        <v>6984</v>
      </c>
      <c r="FGS30" t="s">
        <v>6984</v>
      </c>
      <c r="FGT30" t="s">
        <v>6984</v>
      </c>
      <c r="FGU30" t="s">
        <v>6984</v>
      </c>
      <c r="FGV30" t="s">
        <v>6984</v>
      </c>
      <c r="FGW30" t="s">
        <v>6984</v>
      </c>
      <c r="FGX30" t="s">
        <v>6984</v>
      </c>
      <c r="FGY30" t="s">
        <v>6984</v>
      </c>
      <c r="FGZ30" t="s">
        <v>6984</v>
      </c>
      <c r="FHA30" t="s">
        <v>6984</v>
      </c>
      <c r="FHB30" t="s">
        <v>6984</v>
      </c>
      <c r="FHC30" t="s">
        <v>6984</v>
      </c>
      <c r="FHD30" t="s">
        <v>6984</v>
      </c>
      <c r="FHE30" t="s">
        <v>6984</v>
      </c>
      <c r="FHF30" t="s">
        <v>6984</v>
      </c>
      <c r="FHG30" t="s">
        <v>6984</v>
      </c>
      <c r="FHH30" t="s">
        <v>6984</v>
      </c>
      <c r="FHI30" t="s">
        <v>6984</v>
      </c>
      <c r="FHJ30" t="s">
        <v>6984</v>
      </c>
      <c r="FHK30" t="s">
        <v>6984</v>
      </c>
      <c r="FHL30" t="s">
        <v>6984</v>
      </c>
      <c r="FHM30" t="s">
        <v>6984</v>
      </c>
      <c r="FHN30" t="s">
        <v>6984</v>
      </c>
      <c r="FHO30" t="s">
        <v>6984</v>
      </c>
      <c r="FHP30" t="s">
        <v>6984</v>
      </c>
      <c r="FHQ30" t="s">
        <v>6984</v>
      </c>
      <c r="FHR30" t="s">
        <v>6984</v>
      </c>
      <c r="FHS30" t="s">
        <v>6984</v>
      </c>
      <c r="FHT30" t="s">
        <v>6984</v>
      </c>
      <c r="FHU30" t="s">
        <v>6984</v>
      </c>
      <c r="FHV30" t="s">
        <v>6984</v>
      </c>
      <c r="FHW30" t="s">
        <v>6984</v>
      </c>
      <c r="FHX30" t="s">
        <v>6984</v>
      </c>
      <c r="FHY30" t="s">
        <v>6984</v>
      </c>
      <c r="FHZ30" t="s">
        <v>6984</v>
      </c>
      <c r="FIA30" t="s">
        <v>6984</v>
      </c>
      <c r="FIB30" t="s">
        <v>6984</v>
      </c>
      <c r="FIC30" t="s">
        <v>6984</v>
      </c>
      <c r="FID30" t="s">
        <v>6984</v>
      </c>
      <c r="FIE30" t="s">
        <v>6984</v>
      </c>
      <c r="FIF30" t="s">
        <v>6984</v>
      </c>
      <c r="FIG30" t="s">
        <v>6984</v>
      </c>
      <c r="FIH30" t="s">
        <v>6984</v>
      </c>
      <c r="FII30" t="s">
        <v>6984</v>
      </c>
      <c r="FIJ30" t="s">
        <v>6984</v>
      </c>
      <c r="FIK30" t="s">
        <v>6984</v>
      </c>
      <c r="FIL30" t="s">
        <v>6984</v>
      </c>
      <c r="FIM30" t="s">
        <v>6984</v>
      </c>
      <c r="FIN30" t="s">
        <v>6984</v>
      </c>
      <c r="FIO30" t="s">
        <v>6984</v>
      </c>
      <c r="FIP30" t="s">
        <v>6984</v>
      </c>
      <c r="FIQ30" t="s">
        <v>6984</v>
      </c>
      <c r="FIR30" t="s">
        <v>6984</v>
      </c>
      <c r="FIS30" t="s">
        <v>6984</v>
      </c>
      <c r="FIT30" t="s">
        <v>6984</v>
      </c>
      <c r="FIU30" t="s">
        <v>6984</v>
      </c>
      <c r="FIV30" t="s">
        <v>6984</v>
      </c>
      <c r="FIW30" t="s">
        <v>6984</v>
      </c>
      <c r="FIX30" t="s">
        <v>6984</v>
      </c>
      <c r="FIY30" t="s">
        <v>6984</v>
      </c>
      <c r="FIZ30" t="s">
        <v>6984</v>
      </c>
      <c r="FJA30" t="s">
        <v>6984</v>
      </c>
      <c r="FJB30" t="s">
        <v>6984</v>
      </c>
      <c r="FJC30" t="s">
        <v>6984</v>
      </c>
      <c r="FJD30" t="s">
        <v>6984</v>
      </c>
      <c r="FJE30" t="s">
        <v>6984</v>
      </c>
      <c r="FJF30" t="s">
        <v>6984</v>
      </c>
      <c r="FJG30" t="s">
        <v>6984</v>
      </c>
      <c r="FJH30" t="s">
        <v>6984</v>
      </c>
      <c r="FJI30" t="s">
        <v>6984</v>
      </c>
      <c r="FJJ30" t="s">
        <v>6984</v>
      </c>
      <c r="FJK30" t="s">
        <v>6984</v>
      </c>
      <c r="FJL30" t="s">
        <v>6984</v>
      </c>
      <c r="FJM30" t="s">
        <v>6984</v>
      </c>
      <c r="FJN30" t="s">
        <v>6984</v>
      </c>
      <c r="FJO30" t="s">
        <v>6984</v>
      </c>
      <c r="FJP30" t="s">
        <v>6984</v>
      </c>
      <c r="FJQ30" t="s">
        <v>6984</v>
      </c>
      <c r="FJR30" t="s">
        <v>6984</v>
      </c>
      <c r="FJS30" t="s">
        <v>6984</v>
      </c>
      <c r="FJT30" t="s">
        <v>6984</v>
      </c>
      <c r="FJU30" t="s">
        <v>6984</v>
      </c>
      <c r="FJV30" t="s">
        <v>6984</v>
      </c>
      <c r="FJW30" t="s">
        <v>6984</v>
      </c>
      <c r="FJX30" t="s">
        <v>6984</v>
      </c>
      <c r="FJY30" t="s">
        <v>6984</v>
      </c>
      <c r="FJZ30" t="s">
        <v>6984</v>
      </c>
      <c r="FKA30" t="s">
        <v>6984</v>
      </c>
      <c r="FKB30" t="s">
        <v>6984</v>
      </c>
      <c r="FKC30" t="s">
        <v>6984</v>
      </c>
      <c r="FKD30" t="s">
        <v>6984</v>
      </c>
      <c r="FKE30" t="s">
        <v>6984</v>
      </c>
      <c r="FKF30" t="s">
        <v>6984</v>
      </c>
      <c r="FKG30" t="s">
        <v>6984</v>
      </c>
      <c r="FKH30" t="s">
        <v>6984</v>
      </c>
      <c r="FKI30" t="s">
        <v>6984</v>
      </c>
      <c r="FKJ30" t="s">
        <v>6984</v>
      </c>
      <c r="FKK30" t="s">
        <v>6984</v>
      </c>
      <c r="FKL30" t="s">
        <v>6984</v>
      </c>
      <c r="FKM30" t="s">
        <v>6984</v>
      </c>
      <c r="FKN30" t="s">
        <v>6984</v>
      </c>
      <c r="FKO30" t="s">
        <v>6984</v>
      </c>
      <c r="FKP30" t="s">
        <v>6984</v>
      </c>
      <c r="FKQ30" t="s">
        <v>6984</v>
      </c>
      <c r="FKR30" t="s">
        <v>6984</v>
      </c>
      <c r="FKS30" t="s">
        <v>6984</v>
      </c>
      <c r="FKT30" t="s">
        <v>6984</v>
      </c>
      <c r="FKU30" t="s">
        <v>6984</v>
      </c>
      <c r="FKV30" t="s">
        <v>6984</v>
      </c>
      <c r="FKW30" t="s">
        <v>6984</v>
      </c>
      <c r="FKX30" t="s">
        <v>6984</v>
      </c>
      <c r="FKY30" t="s">
        <v>6984</v>
      </c>
      <c r="FKZ30" t="s">
        <v>6984</v>
      </c>
      <c r="FLA30" t="s">
        <v>6984</v>
      </c>
      <c r="FLB30" t="s">
        <v>6984</v>
      </c>
      <c r="FLC30" t="s">
        <v>6984</v>
      </c>
      <c r="FLD30" t="s">
        <v>6984</v>
      </c>
      <c r="FLE30" t="s">
        <v>6984</v>
      </c>
      <c r="FLF30" t="s">
        <v>6984</v>
      </c>
      <c r="FLG30" t="s">
        <v>6984</v>
      </c>
      <c r="FLH30" t="s">
        <v>6984</v>
      </c>
      <c r="FLI30" t="s">
        <v>6984</v>
      </c>
      <c r="FLJ30" t="s">
        <v>6984</v>
      </c>
      <c r="FLK30" t="s">
        <v>6984</v>
      </c>
      <c r="FLL30" t="s">
        <v>6984</v>
      </c>
      <c r="FLM30" t="s">
        <v>6984</v>
      </c>
      <c r="FLN30" t="s">
        <v>6984</v>
      </c>
      <c r="FLO30" t="s">
        <v>6984</v>
      </c>
      <c r="FLP30" t="s">
        <v>6984</v>
      </c>
      <c r="FLQ30" t="s">
        <v>6984</v>
      </c>
      <c r="FLR30" t="s">
        <v>6984</v>
      </c>
      <c r="FLS30" t="s">
        <v>6984</v>
      </c>
      <c r="FLT30" t="s">
        <v>6984</v>
      </c>
      <c r="FLU30" t="s">
        <v>6984</v>
      </c>
      <c r="FLV30" t="s">
        <v>6984</v>
      </c>
      <c r="FLW30" t="s">
        <v>6984</v>
      </c>
      <c r="FLX30" t="s">
        <v>6984</v>
      </c>
      <c r="FLY30" t="s">
        <v>6984</v>
      </c>
      <c r="FLZ30" t="s">
        <v>6984</v>
      </c>
      <c r="FMA30" t="s">
        <v>6984</v>
      </c>
      <c r="FMB30" t="s">
        <v>6984</v>
      </c>
      <c r="FMC30" t="s">
        <v>6984</v>
      </c>
      <c r="FMD30" t="s">
        <v>6984</v>
      </c>
      <c r="FME30" t="s">
        <v>6984</v>
      </c>
      <c r="FMF30" t="s">
        <v>6984</v>
      </c>
      <c r="FMG30" t="s">
        <v>6984</v>
      </c>
      <c r="FMH30" t="s">
        <v>6984</v>
      </c>
      <c r="FMI30" t="s">
        <v>6984</v>
      </c>
      <c r="FMJ30" t="s">
        <v>6984</v>
      </c>
      <c r="FMK30" t="s">
        <v>6984</v>
      </c>
      <c r="FML30" t="s">
        <v>6984</v>
      </c>
      <c r="FMM30" t="s">
        <v>6984</v>
      </c>
      <c r="FMN30" t="s">
        <v>6984</v>
      </c>
      <c r="FMO30" t="s">
        <v>6984</v>
      </c>
      <c r="FMP30" t="s">
        <v>6984</v>
      </c>
      <c r="FMQ30" t="s">
        <v>6984</v>
      </c>
      <c r="FMR30" t="s">
        <v>6984</v>
      </c>
      <c r="FMS30" t="s">
        <v>6984</v>
      </c>
      <c r="FMT30" t="s">
        <v>6984</v>
      </c>
      <c r="FMU30" t="s">
        <v>6984</v>
      </c>
      <c r="FMV30" t="s">
        <v>6984</v>
      </c>
      <c r="FMW30" t="s">
        <v>6984</v>
      </c>
      <c r="FMX30" t="s">
        <v>6984</v>
      </c>
      <c r="FMY30" t="s">
        <v>6984</v>
      </c>
      <c r="FMZ30" t="s">
        <v>6984</v>
      </c>
      <c r="FNA30" t="s">
        <v>6984</v>
      </c>
      <c r="FNB30" t="s">
        <v>6984</v>
      </c>
      <c r="FNC30" t="s">
        <v>6984</v>
      </c>
      <c r="FND30" t="s">
        <v>6984</v>
      </c>
      <c r="FNE30" t="s">
        <v>6984</v>
      </c>
      <c r="FNF30" t="s">
        <v>6984</v>
      </c>
      <c r="FNG30" t="s">
        <v>6984</v>
      </c>
      <c r="FNH30" t="s">
        <v>6984</v>
      </c>
      <c r="FNI30" t="s">
        <v>6984</v>
      </c>
      <c r="FNJ30" t="s">
        <v>6984</v>
      </c>
      <c r="FNK30" t="s">
        <v>6984</v>
      </c>
      <c r="FNL30" t="s">
        <v>6984</v>
      </c>
      <c r="FNM30" t="s">
        <v>6984</v>
      </c>
      <c r="FNN30" t="s">
        <v>6984</v>
      </c>
      <c r="FNO30" t="s">
        <v>6984</v>
      </c>
      <c r="FNP30" t="s">
        <v>6984</v>
      </c>
      <c r="FNQ30" t="s">
        <v>6984</v>
      </c>
      <c r="FNR30" t="s">
        <v>6984</v>
      </c>
      <c r="FNS30" t="s">
        <v>6984</v>
      </c>
      <c r="FNT30" t="s">
        <v>6984</v>
      </c>
      <c r="FNU30" t="s">
        <v>6984</v>
      </c>
      <c r="FNV30" t="s">
        <v>6984</v>
      </c>
      <c r="FNW30" t="s">
        <v>6984</v>
      </c>
      <c r="FNX30" t="s">
        <v>6984</v>
      </c>
      <c r="FNY30" t="s">
        <v>6984</v>
      </c>
      <c r="FNZ30" t="s">
        <v>6984</v>
      </c>
      <c r="FOA30" t="s">
        <v>6984</v>
      </c>
      <c r="FOB30" t="s">
        <v>6984</v>
      </c>
      <c r="FOC30" t="s">
        <v>6984</v>
      </c>
      <c r="FOD30" t="s">
        <v>6984</v>
      </c>
      <c r="FOE30" t="s">
        <v>6984</v>
      </c>
      <c r="FOF30" t="s">
        <v>6984</v>
      </c>
      <c r="FOG30" t="s">
        <v>6984</v>
      </c>
      <c r="FOH30" t="s">
        <v>6984</v>
      </c>
      <c r="FOI30" t="s">
        <v>6984</v>
      </c>
      <c r="FOJ30" t="s">
        <v>6984</v>
      </c>
      <c r="FOK30" t="s">
        <v>6984</v>
      </c>
      <c r="FOL30" t="s">
        <v>6984</v>
      </c>
      <c r="FOM30" t="s">
        <v>6984</v>
      </c>
      <c r="FON30" t="s">
        <v>6984</v>
      </c>
      <c r="FOO30" t="s">
        <v>6984</v>
      </c>
      <c r="FOP30" t="s">
        <v>6984</v>
      </c>
      <c r="FOQ30" t="s">
        <v>6984</v>
      </c>
      <c r="FOR30" t="s">
        <v>6984</v>
      </c>
      <c r="FOS30" t="s">
        <v>6984</v>
      </c>
      <c r="FOT30" t="s">
        <v>6984</v>
      </c>
      <c r="FOU30" t="s">
        <v>6984</v>
      </c>
      <c r="FOV30" t="s">
        <v>6984</v>
      </c>
      <c r="FOW30" t="s">
        <v>6984</v>
      </c>
      <c r="FOX30" t="s">
        <v>6984</v>
      </c>
      <c r="FOY30" t="s">
        <v>6984</v>
      </c>
      <c r="FOZ30" t="s">
        <v>6984</v>
      </c>
      <c r="FPA30" t="s">
        <v>6984</v>
      </c>
      <c r="FPB30" t="s">
        <v>6984</v>
      </c>
      <c r="FPC30" t="s">
        <v>6984</v>
      </c>
      <c r="FPD30" t="s">
        <v>6984</v>
      </c>
      <c r="FPE30" t="s">
        <v>6984</v>
      </c>
      <c r="FPF30" t="s">
        <v>6984</v>
      </c>
      <c r="FPG30" t="s">
        <v>6984</v>
      </c>
      <c r="FPH30" t="s">
        <v>6984</v>
      </c>
      <c r="FPI30" t="s">
        <v>6984</v>
      </c>
      <c r="FPJ30" t="s">
        <v>6984</v>
      </c>
      <c r="FPK30" t="s">
        <v>6984</v>
      </c>
      <c r="FPL30" t="s">
        <v>6984</v>
      </c>
      <c r="FPM30" t="s">
        <v>6984</v>
      </c>
      <c r="FPN30" t="s">
        <v>6984</v>
      </c>
      <c r="FPO30" t="s">
        <v>6984</v>
      </c>
      <c r="FPP30" t="s">
        <v>6984</v>
      </c>
      <c r="FPQ30" t="s">
        <v>6984</v>
      </c>
      <c r="FPR30" t="s">
        <v>6984</v>
      </c>
      <c r="FPS30" t="s">
        <v>6984</v>
      </c>
      <c r="FPT30" t="s">
        <v>6984</v>
      </c>
      <c r="FPU30" t="s">
        <v>6984</v>
      </c>
      <c r="FPV30" t="s">
        <v>6984</v>
      </c>
      <c r="FPW30" t="s">
        <v>6984</v>
      </c>
      <c r="FPX30" t="s">
        <v>6984</v>
      </c>
      <c r="FPY30" t="s">
        <v>6984</v>
      </c>
      <c r="FPZ30" t="s">
        <v>6984</v>
      </c>
      <c r="FQA30" t="s">
        <v>6984</v>
      </c>
      <c r="FQB30" t="s">
        <v>6984</v>
      </c>
      <c r="FQC30" t="s">
        <v>6984</v>
      </c>
      <c r="FQD30" t="s">
        <v>6984</v>
      </c>
      <c r="FQE30" t="s">
        <v>6984</v>
      </c>
      <c r="FQF30" t="s">
        <v>6984</v>
      </c>
      <c r="FQG30" t="s">
        <v>6984</v>
      </c>
      <c r="FQH30" t="s">
        <v>6984</v>
      </c>
      <c r="FQI30" t="s">
        <v>6984</v>
      </c>
      <c r="FQJ30" t="s">
        <v>6984</v>
      </c>
      <c r="FQK30" t="s">
        <v>6984</v>
      </c>
      <c r="FQL30" t="s">
        <v>6984</v>
      </c>
      <c r="FQM30" t="s">
        <v>6984</v>
      </c>
      <c r="FQN30" t="s">
        <v>6984</v>
      </c>
      <c r="FQO30" t="s">
        <v>6984</v>
      </c>
      <c r="FQP30" t="s">
        <v>6984</v>
      </c>
      <c r="FQQ30" t="s">
        <v>6984</v>
      </c>
      <c r="FQR30" t="s">
        <v>6984</v>
      </c>
      <c r="FQS30" t="s">
        <v>6984</v>
      </c>
      <c r="FQT30" t="s">
        <v>6984</v>
      </c>
      <c r="FQU30" t="s">
        <v>6984</v>
      </c>
      <c r="FQV30" t="s">
        <v>6984</v>
      </c>
      <c r="FQW30" t="s">
        <v>6984</v>
      </c>
      <c r="FQX30" t="s">
        <v>6984</v>
      </c>
      <c r="FQY30" t="s">
        <v>6984</v>
      </c>
      <c r="FQZ30" t="s">
        <v>6984</v>
      </c>
      <c r="FRA30" t="s">
        <v>6984</v>
      </c>
      <c r="FRB30" t="s">
        <v>6984</v>
      </c>
      <c r="FRC30" t="s">
        <v>6984</v>
      </c>
      <c r="FRD30" t="s">
        <v>6984</v>
      </c>
      <c r="FRE30" t="s">
        <v>6984</v>
      </c>
      <c r="FRF30" t="s">
        <v>6984</v>
      </c>
      <c r="FRG30" t="s">
        <v>6984</v>
      </c>
      <c r="FRH30" t="s">
        <v>6984</v>
      </c>
      <c r="FRI30" t="s">
        <v>6984</v>
      </c>
      <c r="FRJ30" t="s">
        <v>6984</v>
      </c>
      <c r="FRK30" t="s">
        <v>6984</v>
      </c>
      <c r="FRL30" t="s">
        <v>6984</v>
      </c>
      <c r="FRM30" t="s">
        <v>6984</v>
      </c>
      <c r="FRN30" t="s">
        <v>6984</v>
      </c>
      <c r="FRO30" t="s">
        <v>6984</v>
      </c>
      <c r="FRP30" t="s">
        <v>6984</v>
      </c>
      <c r="FRQ30" t="s">
        <v>6984</v>
      </c>
      <c r="FRR30" t="s">
        <v>6984</v>
      </c>
      <c r="FRS30" t="s">
        <v>6984</v>
      </c>
      <c r="FRT30" t="s">
        <v>6984</v>
      </c>
      <c r="FRU30" t="s">
        <v>6984</v>
      </c>
      <c r="FRV30" t="s">
        <v>6984</v>
      </c>
      <c r="FRW30" t="s">
        <v>6984</v>
      </c>
      <c r="FRX30" t="s">
        <v>6984</v>
      </c>
      <c r="FRY30" t="s">
        <v>6984</v>
      </c>
      <c r="FRZ30" t="s">
        <v>6984</v>
      </c>
      <c r="FSA30" t="s">
        <v>6984</v>
      </c>
      <c r="FSB30" t="s">
        <v>6984</v>
      </c>
      <c r="FSC30" t="s">
        <v>6984</v>
      </c>
      <c r="FSD30" t="s">
        <v>6984</v>
      </c>
      <c r="FSE30" t="s">
        <v>6984</v>
      </c>
      <c r="FSF30" t="s">
        <v>6984</v>
      </c>
      <c r="FSG30" t="s">
        <v>6984</v>
      </c>
      <c r="FSH30" t="s">
        <v>6984</v>
      </c>
      <c r="FSI30" t="s">
        <v>6984</v>
      </c>
      <c r="FSJ30" t="s">
        <v>6984</v>
      </c>
      <c r="FSK30" t="s">
        <v>6984</v>
      </c>
      <c r="FSL30" t="s">
        <v>6984</v>
      </c>
      <c r="FSM30" t="s">
        <v>6984</v>
      </c>
      <c r="FSN30" t="s">
        <v>6984</v>
      </c>
      <c r="FSO30" t="s">
        <v>6984</v>
      </c>
      <c r="FSP30" t="s">
        <v>6984</v>
      </c>
      <c r="FSQ30" t="s">
        <v>6984</v>
      </c>
      <c r="FSR30" t="s">
        <v>6984</v>
      </c>
      <c r="FSS30" t="s">
        <v>6984</v>
      </c>
      <c r="FST30" t="s">
        <v>6984</v>
      </c>
      <c r="FSU30" t="s">
        <v>6984</v>
      </c>
      <c r="FSV30" t="s">
        <v>6984</v>
      </c>
      <c r="FSW30" t="s">
        <v>6984</v>
      </c>
      <c r="FSX30" t="s">
        <v>6984</v>
      </c>
      <c r="FSY30" t="s">
        <v>6984</v>
      </c>
      <c r="FSZ30" t="s">
        <v>6984</v>
      </c>
      <c r="FTA30" t="s">
        <v>6984</v>
      </c>
      <c r="FTB30" t="s">
        <v>6984</v>
      </c>
      <c r="FTC30" t="s">
        <v>6984</v>
      </c>
      <c r="FTD30" t="s">
        <v>6984</v>
      </c>
      <c r="FTE30" t="s">
        <v>6984</v>
      </c>
      <c r="FTF30" t="s">
        <v>6984</v>
      </c>
      <c r="FTG30" t="s">
        <v>6984</v>
      </c>
      <c r="FTH30" t="s">
        <v>6984</v>
      </c>
      <c r="FTI30" t="s">
        <v>6984</v>
      </c>
      <c r="FTJ30" t="s">
        <v>6984</v>
      </c>
      <c r="FTK30" t="s">
        <v>6984</v>
      </c>
      <c r="FTL30" t="s">
        <v>6984</v>
      </c>
      <c r="FTM30" t="s">
        <v>6984</v>
      </c>
      <c r="FTN30" t="s">
        <v>6984</v>
      </c>
      <c r="FTO30" t="s">
        <v>6984</v>
      </c>
      <c r="FTP30" t="s">
        <v>6984</v>
      </c>
      <c r="FTQ30" t="s">
        <v>6984</v>
      </c>
      <c r="FTR30" t="s">
        <v>6984</v>
      </c>
      <c r="FTS30" t="s">
        <v>6984</v>
      </c>
      <c r="FTT30" t="s">
        <v>6984</v>
      </c>
      <c r="FTU30" t="s">
        <v>6984</v>
      </c>
      <c r="FTV30" t="s">
        <v>6984</v>
      </c>
      <c r="FTW30" t="s">
        <v>6984</v>
      </c>
      <c r="FTX30" t="s">
        <v>6984</v>
      </c>
      <c r="FTY30" t="s">
        <v>6984</v>
      </c>
      <c r="FTZ30" t="s">
        <v>6984</v>
      </c>
      <c r="FUA30" t="s">
        <v>6984</v>
      </c>
      <c r="FUB30" t="s">
        <v>6984</v>
      </c>
      <c r="FUC30" t="s">
        <v>6984</v>
      </c>
      <c r="FUD30" t="s">
        <v>6984</v>
      </c>
      <c r="FUE30" t="s">
        <v>6984</v>
      </c>
      <c r="FUF30" t="s">
        <v>6984</v>
      </c>
      <c r="FUG30" t="s">
        <v>6984</v>
      </c>
      <c r="FUH30" t="s">
        <v>6984</v>
      </c>
      <c r="FUI30" t="s">
        <v>6984</v>
      </c>
      <c r="FUJ30" t="s">
        <v>6984</v>
      </c>
      <c r="FUK30" t="s">
        <v>6984</v>
      </c>
      <c r="FUL30" t="s">
        <v>6984</v>
      </c>
      <c r="FUM30" t="s">
        <v>6984</v>
      </c>
      <c r="FUN30" t="s">
        <v>6984</v>
      </c>
      <c r="FUO30" t="s">
        <v>6984</v>
      </c>
      <c r="FUP30" t="s">
        <v>6984</v>
      </c>
      <c r="FUQ30" t="s">
        <v>6984</v>
      </c>
      <c r="FUR30" t="s">
        <v>6984</v>
      </c>
      <c r="FUS30" t="s">
        <v>6984</v>
      </c>
      <c r="FUT30" t="s">
        <v>6984</v>
      </c>
      <c r="FUU30" t="s">
        <v>6984</v>
      </c>
      <c r="FUV30" t="s">
        <v>6984</v>
      </c>
      <c r="FUW30" t="s">
        <v>6984</v>
      </c>
      <c r="FUX30" t="s">
        <v>6984</v>
      </c>
      <c r="FUY30" t="s">
        <v>6984</v>
      </c>
      <c r="FUZ30" t="s">
        <v>6984</v>
      </c>
      <c r="FVA30" t="s">
        <v>6984</v>
      </c>
      <c r="FVB30" t="s">
        <v>6984</v>
      </c>
      <c r="FVC30" t="s">
        <v>6984</v>
      </c>
      <c r="FVD30" t="s">
        <v>6984</v>
      </c>
      <c r="FVE30" t="s">
        <v>6984</v>
      </c>
      <c r="FVF30" t="s">
        <v>6984</v>
      </c>
      <c r="FVG30" t="s">
        <v>6984</v>
      </c>
      <c r="FVH30" t="s">
        <v>6984</v>
      </c>
      <c r="FVI30" t="s">
        <v>6984</v>
      </c>
      <c r="FVJ30" t="s">
        <v>6984</v>
      </c>
      <c r="FVK30" t="s">
        <v>6984</v>
      </c>
      <c r="FVL30" t="s">
        <v>6984</v>
      </c>
      <c r="FVM30" t="s">
        <v>6984</v>
      </c>
      <c r="FVN30" t="s">
        <v>6984</v>
      </c>
      <c r="FVO30" t="s">
        <v>6984</v>
      </c>
      <c r="FVP30" t="s">
        <v>6984</v>
      </c>
      <c r="FVQ30" t="s">
        <v>6984</v>
      </c>
      <c r="FVR30" t="s">
        <v>6984</v>
      </c>
      <c r="FVS30" t="s">
        <v>6984</v>
      </c>
      <c r="FVT30" t="s">
        <v>6984</v>
      </c>
      <c r="FVU30" t="s">
        <v>6984</v>
      </c>
      <c r="FVV30" t="s">
        <v>6984</v>
      </c>
      <c r="FVW30" t="s">
        <v>6984</v>
      </c>
      <c r="FVX30" t="s">
        <v>6984</v>
      </c>
      <c r="FVY30" t="s">
        <v>6984</v>
      </c>
      <c r="FVZ30" t="s">
        <v>6984</v>
      </c>
      <c r="FWA30" t="s">
        <v>6984</v>
      </c>
      <c r="FWB30" t="s">
        <v>6984</v>
      </c>
      <c r="FWC30" t="s">
        <v>6984</v>
      </c>
      <c r="FWD30" t="s">
        <v>6984</v>
      </c>
      <c r="FWE30" t="s">
        <v>6984</v>
      </c>
      <c r="FWF30" t="s">
        <v>6984</v>
      </c>
      <c r="FWG30" t="s">
        <v>6984</v>
      </c>
      <c r="FWH30" t="s">
        <v>6984</v>
      </c>
      <c r="FWI30" t="s">
        <v>6984</v>
      </c>
      <c r="FWJ30" t="s">
        <v>6984</v>
      </c>
      <c r="FWK30" t="s">
        <v>6984</v>
      </c>
      <c r="FWL30" t="s">
        <v>6984</v>
      </c>
      <c r="FWM30" t="s">
        <v>6984</v>
      </c>
      <c r="FWN30" t="s">
        <v>6984</v>
      </c>
      <c r="FWO30" t="s">
        <v>6984</v>
      </c>
      <c r="FWP30" t="s">
        <v>6984</v>
      </c>
      <c r="FWQ30" t="s">
        <v>6984</v>
      </c>
      <c r="FWR30" t="s">
        <v>6984</v>
      </c>
      <c r="FWS30" t="s">
        <v>6984</v>
      </c>
      <c r="FWT30" t="s">
        <v>6984</v>
      </c>
      <c r="FWU30" t="s">
        <v>6984</v>
      </c>
      <c r="FWV30" t="s">
        <v>6984</v>
      </c>
      <c r="FWW30" t="s">
        <v>6984</v>
      </c>
      <c r="FWX30" t="s">
        <v>6984</v>
      </c>
      <c r="FWY30" t="s">
        <v>6984</v>
      </c>
      <c r="FWZ30" t="s">
        <v>6984</v>
      </c>
      <c r="FXA30" t="s">
        <v>6984</v>
      </c>
      <c r="FXB30" t="s">
        <v>6984</v>
      </c>
      <c r="FXC30" t="s">
        <v>6984</v>
      </c>
      <c r="FXD30" t="s">
        <v>6984</v>
      </c>
      <c r="FXE30" t="s">
        <v>6984</v>
      </c>
      <c r="FXF30" t="s">
        <v>6984</v>
      </c>
      <c r="FXG30" t="s">
        <v>6984</v>
      </c>
      <c r="FXH30" t="s">
        <v>6984</v>
      </c>
      <c r="FXI30" t="s">
        <v>6984</v>
      </c>
      <c r="FXJ30" t="s">
        <v>6984</v>
      </c>
      <c r="FXK30" t="s">
        <v>6984</v>
      </c>
      <c r="FXL30" t="s">
        <v>6984</v>
      </c>
      <c r="FXM30" t="s">
        <v>6984</v>
      </c>
      <c r="FXN30" t="s">
        <v>6984</v>
      </c>
      <c r="FXO30" t="s">
        <v>6984</v>
      </c>
      <c r="FXP30" t="s">
        <v>6984</v>
      </c>
      <c r="FXQ30" t="s">
        <v>6984</v>
      </c>
      <c r="FXR30" t="s">
        <v>6984</v>
      </c>
      <c r="FXS30" t="s">
        <v>6984</v>
      </c>
      <c r="FXT30" t="s">
        <v>6984</v>
      </c>
      <c r="FXU30" t="s">
        <v>6984</v>
      </c>
      <c r="FXV30" t="s">
        <v>6984</v>
      </c>
      <c r="FXW30" t="s">
        <v>6984</v>
      </c>
      <c r="FXX30" t="s">
        <v>6984</v>
      </c>
      <c r="FXY30" t="s">
        <v>6984</v>
      </c>
      <c r="FXZ30" t="s">
        <v>6984</v>
      </c>
      <c r="FYA30" t="s">
        <v>6984</v>
      </c>
      <c r="FYB30" t="s">
        <v>6984</v>
      </c>
      <c r="FYC30" t="s">
        <v>6984</v>
      </c>
      <c r="FYD30" t="s">
        <v>6984</v>
      </c>
      <c r="FYE30" t="s">
        <v>6984</v>
      </c>
      <c r="FYF30" t="s">
        <v>6984</v>
      </c>
      <c r="FYG30" t="s">
        <v>6984</v>
      </c>
      <c r="FYH30" t="s">
        <v>6984</v>
      </c>
      <c r="FYI30" t="s">
        <v>6984</v>
      </c>
      <c r="FYJ30" t="s">
        <v>6984</v>
      </c>
      <c r="FYK30" t="s">
        <v>6984</v>
      </c>
      <c r="FYL30" t="s">
        <v>6984</v>
      </c>
      <c r="FYM30" t="s">
        <v>6984</v>
      </c>
      <c r="FYN30" t="s">
        <v>6984</v>
      </c>
      <c r="FYO30" t="s">
        <v>6984</v>
      </c>
      <c r="FYP30" t="s">
        <v>6984</v>
      </c>
      <c r="FYQ30" t="s">
        <v>6984</v>
      </c>
      <c r="FYR30" t="s">
        <v>6984</v>
      </c>
      <c r="FYS30" t="s">
        <v>6984</v>
      </c>
      <c r="FYT30" t="s">
        <v>6984</v>
      </c>
      <c r="FYU30" t="s">
        <v>6984</v>
      </c>
      <c r="FYV30" t="s">
        <v>6984</v>
      </c>
      <c r="FYW30" t="s">
        <v>6984</v>
      </c>
      <c r="FYX30" t="s">
        <v>6984</v>
      </c>
      <c r="FYY30" t="s">
        <v>6984</v>
      </c>
      <c r="FYZ30" t="s">
        <v>6984</v>
      </c>
      <c r="FZA30" t="s">
        <v>6984</v>
      </c>
      <c r="FZB30" t="s">
        <v>6984</v>
      </c>
      <c r="FZC30" t="s">
        <v>6984</v>
      </c>
      <c r="FZD30" t="s">
        <v>6984</v>
      </c>
      <c r="FZE30" t="s">
        <v>6984</v>
      </c>
      <c r="FZF30" t="s">
        <v>6984</v>
      </c>
      <c r="FZG30" t="s">
        <v>6984</v>
      </c>
      <c r="FZH30" t="s">
        <v>6984</v>
      </c>
      <c r="FZI30" t="s">
        <v>6984</v>
      </c>
      <c r="FZJ30" t="s">
        <v>6984</v>
      </c>
      <c r="FZK30" t="s">
        <v>6984</v>
      </c>
      <c r="FZL30" t="s">
        <v>6984</v>
      </c>
      <c r="FZM30" t="s">
        <v>6984</v>
      </c>
      <c r="FZN30" t="s">
        <v>6984</v>
      </c>
      <c r="FZO30" t="s">
        <v>6984</v>
      </c>
      <c r="FZP30" t="s">
        <v>6984</v>
      </c>
      <c r="FZQ30" t="s">
        <v>6984</v>
      </c>
      <c r="FZR30" t="s">
        <v>6984</v>
      </c>
      <c r="FZS30" t="s">
        <v>6984</v>
      </c>
      <c r="FZT30" t="s">
        <v>6984</v>
      </c>
      <c r="FZU30" t="s">
        <v>6984</v>
      </c>
      <c r="FZV30" t="s">
        <v>6984</v>
      </c>
      <c r="FZW30" t="s">
        <v>6984</v>
      </c>
      <c r="FZX30" t="s">
        <v>6984</v>
      </c>
      <c r="FZY30" t="s">
        <v>6984</v>
      </c>
      <c r="FZZ30" t="s">
        <v>6984</v>
      </c>
      <c r="GAA30" t="s">
        <v>6984</v>
      </c>
      <c r="GAB30" t="s">
        <v>6984</v>
      </c>
      <c r="GAC30" t="s">
        <v>6984</v>
      </c>
      <c r="GAD30" t="s">
        <v>6984</v>
      </c>
      <c r="GAE30" t="s">
        <v>6984</v>
      </c>
      <c r="GAF30" t="s">
        <v>6984</v>
      </c>
      <c r="GAG30" t="s">
        <v>6984</v>
      </c>
      <c r="GAH30" t="s">
        <v>6984</v>
      </c>
      <c r="GAI30" t="s">
        <v>6984</v>
      </c>
      <c r="GAJ30" t="s">
        <v>6984</v>
      </c>
      <c r="GAK30" t="s">
        <v>6984</v>
      </c>
      <c r="GAL30" t="s">
        <v>6984</v>
      </c>
      <c r="GAM30" t="s">
        <v>6984</v>
      </c>
      <c r="GAN30" t="s">
        <v>6984</v>
      </c>
      <c r="GAO30" t="s">
        <v>6984</v>
      </c>
      <c r="GAP30" t="s">
        <v>6984</v>
      </c>
      <c r="GAQ30" t="s">
        <v>6984</v>
      </c>
      <c r="GAR30" t="s">
        <v>6984</v>
      </c>
      <c r="GAS30" t="s">
        <v>6984</v>
      </c>
      <c r="GAT30" t="s">
        <v>6984</v>
      </c>
      <c r="GAU30" t="s">
        <v>6984</v>
      </c>
      <c r="GAV30" t="s">
        <v>6984</v>
      </c>
      <c r="GAW30" t="s">
        <v>6984</v>
      </c>
      <c r="GAX30" t="s">
        <v>6984</v>
      </c>
      <c r="GAY30" t="s">
        <v>6984</v>
      </c>
      <c r="GAZ30" t="s">
        <v>6984</v>
      </c>
      <c r="GBA30" t="s">
        <v>6984</v>
      </c>
      <c r="GBB30" t="s">
        <v>6984</v>
      </c>
      <c r="GBC30" t="s">
        <v>6984</v>
      </c>
      <c r="GBD30" t="s">
        <v>6984</v>
      </c>
      <c r="GBE30" t="s">
        <v>6984</v>
      </c>
      <c r="GBF30" t="s">
        <v>6984</v>
      </c>
      <c r="GBG30" t="s">
        <v>6984</v>
      </c>
      <c r="GBH30" t="s">
        <v>6984</v>
      </c>
      <c r="GBI30" t="s">
        <v>6984</v>
      </c>
      <c r="GBJ30" t="s">
        <v>6984</v>
      </c>
      <c r="GBK30" t="s">
        <v>6984</v>
      </c>
      <c r="GBL30" t="s">
        <v>6984</v>
      </c>
      <c r="GBM30" t="s">
        <v>6984</v>
      </c>
      <c r="GBN30" t="s">
        <v>6984</v>
      </c>
      <c r="GBO30" t="s">
        <v>6984</v>
      </c>
      <c r="GBP30" t="s">
        <v>6984</v>
      </c>
      <c r="GBQ30" t="s">
        <v>6984</v>
      </c>
      <c r="GBR30" t="s">
        <v>6984</v>
      </c>
      <c r="GBS30" t="s">
        <v>6984</v>
      </c>
      <c r="GBT30" t="s">
        <v>6984</v>
      </c>
      <c r="GBU30" t="s">
        <v>6984</v>
      </c>
      <c r="GBV30" t="s">
        <v>6984</v>
      </c>
      <c r="GBW30" t="s">
        <v>6984</v>
      </c>
      <c r="GBX30" t="s">
        <v>6984</v>
      </c>
      <c r="GBY30" t="s">
        <v>6984</v>
      </c>
      <c r="GBZ30" t="s">
        <v>6984</v>
      </c>
      <c r="GCA30" t="s">
        <v>6984</v>
      </c>
      <c r="GCB30" t="s">
        <v>6984</v>
      </c>
      <c r="GCC30" t="s">
        <v>6984</v>
      </c>
      <c r="GCD30" t="s">
        <v>6984</v>
      </c>
      <c r="GCE30" t="s">
        <v>6984</v>
      </c>
      <c r="GCF30" t="s">
        <v>6984</v>
      </c>
      <c r="GCG30" t="s">
        <v>6984</v>
      </c>
      <c r="GCH30" t="s">
        <v>6984</v>
      </c>
      <c r="GCI30" t="s">
        <v>6984</v>
      </c>
      <c r="GCJ30" t="s">
        <v>6984</v>
      </c>
      <c r="GCK30" t="s">
        <v>6984</v>
      </c>
      <c r="GCL30" t="s">
        <v>6984</v>
      </c>
      <c r="GCM30" t="s">
        <v>6984</v>
      </c>
      <c r="GCN30" t="s">
        <v>6984</v>
      </c>
      <c r="GCO30" t="s">
        <v>6984</v>
      </c>
      <c r="GCP30" t="s">
        <v>6984</v>
      </c>
      <c r="GCQ30" t="s">
        <v>6984</v>
      </c>
      <c r="GCR30" t="s">
        <v>6984</v>
      </c>
      <c r="GCS30" t="s">
        <v>6984</v>
      </c>
      <c r="GCT30" t="s">
        <v>6984</v>
      </c>
      <c r="GCU30" t="s">
        <v>6984</v>
      </c>
      <c r="GCV30" t="s">
        <v>6984</v>
      </c>
      <c r="GCW30" t="s">
        <v>6984</v>
      </c>
      <c r="GCX30" t="s">
        <v>6984</v>
      </c>
      <c r="GCY30" t="s">
        <v>6984</v>
      </c>
      <c r="GCZ30" t="s">
        <v>6984</v>
      </c>
      <c r="GDA30" t="s">
        <v>6984</v>
      </c>
      <c r="GDB30" t="s">
        <v>6984</v>
      </c>
      <c r="GDC30" t="s">
        <v>6984</v>
      </c>
      <c r="GDD30" t="s">
        <v>6984</v>
      </c>
      <c r="GDE30" t="s">
        <v>6984</v>
      </c>
      <c r="GDF30" t="s">
        <v>6984</v>
      </c>
      <c r="GDG30" t="s">
        <v>6984</v>
      </c>
      <c r="GDH30" t="s">
        <v>6984</v>
      </c>
      <c r="GDI30" t="s">
        <v>6984</v>
      </c>
      <c r="GDJ30" t="s">
        <v>6984</v>
      </c>
      <c r="GDK30" t="s">
        <v>6984</v>
      </c>
      <c r="GDL30" t="s">
        <v>6984</v>
      </c>
      <c r="GDM30" t="s">
        <v>6984</v>
      </c>
      <c r="GDN30" t="s">
        <v>6984</v>
      </c>
      <c r="GDO30" t="s">
        <v>6984</v>
      </c>
      <c r="GDP30" t="s">
        <v>6984</v>
      </c>
      <c r="GDQ30" t="s">
        <v>6984</v>
      </c>
      <c r="GDR30" t="s">
        <v>6984</v>
      </c>
      <c r="GDS30" t="s">
        <v>6984</v>
      </c>
      <c r="GDT30" t="s">
        <v>6984</v>
      </c>
      <c r="GDU30" t="s">
        <v>6984</v>
      </c>
      <c r="GDV30" t="s">
        <v>6984</v>
      </c>
      <c r="GDW30" t="s">
        <v>6984</v>
      </c>
      <c r="GDX30" t="s">
        <v>6984</v>
      </c>
      <c r="GDY30" t="s">
        <v>6984</v>
      </c>
      <c r="GDZ30" t="s">
        <v>6984</v>
      </c>
      <c r="GEA30" t="s">
        <v>6984</v>
      </c>
      <c r="GEB30" t="s">
        <v>6984</v>
      </c>
      <c r="GEC30" t="s">
        <v>6984</v>
      </c>
      <c r="GED30" t="s">
        <v>6984</v>
      </c>
      <c r="GEE30" t="s">
        <v>6984</v>
      </c>
      <c r="GEF30" t="s">
        <v>6984</v>
      </c>
      <c r="GEG30" t="s">
        <v>6984</v>
      </c>
      <c r="GEH30" t="s">
        <v>6984</v>
      </c>
      <c r="GEI30" t="s">
        <v>6984</v>
      </c>
      <c r="GEJ30" t="s">
        <v>6984</v>
      </c>
      <c r="GEK30" t="s">
        <v>6984</v>
      </c>
      <c r="GEL30" t="s">
        <v>6984</v>
      </c>
      <c r="GEM30" t="s">
        <v>6984</v>
      </c>
      <c r="GEN30" t="s">
        <v>6984</v>
      </c>
      <c r="GEO30" t="s">
        <v>6984</v>
      </c>
      <c r="GEP30" t="s">
        <v>6984</v>
      </c>
      <c r="GEQ30" t="s">
        <v>6984</v>
      </c>
      <c r="GER30" t="s">
        <v>6984</v>
      </c>
      <c r="GES30" t="s">
        <v>6984</v>
      </c>
      <c r="GET30" t="s">
        <v>6984</v>
      </c>
      <c r="GEU30" t="s">
        <v>6984</v>
      </c>
      <c r="GEV30" t="s">
        <v>6984</v>
      </c>
      <c r="GEW30" t="s">
        <v>6984</v>
      </c>
      <c r="GEX30" t="s">
        <v>6984</v>
      </c>
      <c r="GEY30" t="s">
        <v>6984</v>
      </c>
      <c r="GEZ30" t="s">
        <v>6984</v>
      </c>
      <c r="GFA30" t="s">
        <v>6984</v>
      </c>
      <c r="GFB30" t="s">
        <v>6984</v>
      </c>
      <c r="GFC30" t="s">
        <v>6984</v>
      </c>
      <c r="GFD30" t="s">
        <v>6984</v>
      </c>
      <c r="GFE30" t="s">
        <v>6984</v>
      </c>
      <c r="GFF30" t="s">
        <v>6984</v>
      </c>
      <c r="GFG30" t="s">
        <v>6984</v>
      </c>
      <c r="GFH30" t="s">
        <v>6984</v>
      </c>
      <c r="GFI30" t="s">
        <v>6984</v>
      </c>
      <c r="GFJ30" t="s">
        <v>6984</v>
      </c>
      <c r="GFK30" t="s">
        <v>6984</v>
      </c>
      <c r="GFL30" t="s">
        <v>6984</v>
      </c>
      <c r="GFM30" t="s">
        <v>6984</v>
      </c>
      <c r="GFN30" t="s">
        <v>6984</v>
      </c>
      <c r="GFO30" t="s">
        <v>6984</v>
      </c>
      <c r="GFP30" t="s">
        <v>6984</v>
      </c>
      <c r="GFQ30" t="s">
        <v>6984</v>
      </c>
      <c r="GFR30" t="s">
        <v>6984</v>
      </c>
      <c r="GFS30" t="s">
        <v>6984</v>
      </c>
      <c r="GFT30" t="s">
        <v>6984</v>
      </c>
      <c r="GFU30" t="s">
        <v>6984</v>
      </c>
      <c r="GFV30" t="s">
        <v>6984</v>
      </c>
      <c r="GFW30" t="s">
        <v>6984</v>
      </c>
      <c r="GFX30" t="s">
        <v>6984</v>
      </c>
      <c r="GFY30" t="s">
        <v>6984</v>
      </c>
      <c r="GFZ30" t="s">
        <v>6984</v>
      </c>
      <c r="GGA30" t="s">
        <v>6984</v>
      </c>
      <c r="GGB30" t="s">
        <v>6984</v>
      </c>
      <c r="GGC30" t="s">
        <v>6984</v>
      </c>
      <c r="GGD30" t="s">
        <v>6984</v>
      </c>
      <c r="GGE30" t="s">
        <v>6984</v>
      </c>
      <c r="GGF30" t="s">
        <v>6984</v>
      </c>
      <c r="GGG30" t="s">
        <v>6984</v>
      </c>
      <c r="GGH30" t="s">
        <v>6984</v>
      </c>
      <c r="GGI30" t="s">
        <v>6984</v>
      </c>
      <c r="GGJ30" t="s">
        <v>6984</v>
      </c>
      <c r="GGK30" t="s">
        <v>6984</v>
      </c>
      <c r="GGL30" t="s">
        <v>6984</v>
      </c>
      <c r="GGM30" t="s">
        <v>6984</v>
      </c>
      <c r="GGN30" t="s">
        <v>6984</v>
      </c>
      <c r="GGO30" t="s">
        <v>6984</v>
      </c>
      <c r="GGP30" t="s">
        <v>6984</v>
      </c>
      <c r="GGQ30" t="s">
        <v>6984</v>
      </c>
      <c r="GGR30" t="s">
        <v>6984</v>
      </c>
      <c r="GGS30" t="s">
        <v>6984</v>
      </c>
      <c r="GGT30" t="s">
        <v>6984</v>
      </c>
      <c r="GGU30" t="s">
        <v>6984</v>
      </c>
      <c r="GGV30" t="s">
        <v>6984</v>
      </c>
      <c r="GGW30" t="s">
        <v>6984</v>
      </c>
      <c r="GGX30" t="s">
        <v>6984</v>
      </c>
      <c r="GGY30" t="s">
        <v>6984</v>
      </c>
      <c r="GGZ30" t="s">
        <v>6984</v>
      </c>
      <c r="GHA30" t="s">
        <v>6984</v>
      </c>
      <c r="GHB30" t="s">
        <v>6984</v>
      </c>
      <c r="GHC30" t="s">
        <v>6984</v>
      </c>
      <c r="GHD30" t="s">
        <v>6984</v>
      </c>
      <c r="GHE30" t="s">
        <v>6984</v>
      </c>
      <c r="GHF30" t="s">
        <v>6984</v>
      </c>
      <c r="GHG30" t="s">
        <v>6984</v>
      </c>
      <c r="GHH30" t="s">
        <v>6984</v>
      </c>
      <c r="GHI30" t="s">
        <v>6984</v>
      </c>
      <c r="GHJ30" t="s">
        <v>6984</v>
      </c>
      <c r="GHK30" t="s">
        <v>6984</v>
      </c>
      <c r="GHL30" t="s">
        <v>6984</v>
      </c>
      <c r="GHM30" t="s">
        <v>6984</v>
      </c>
      <c r="GHN30" t="s">
        <v>6984</v>
      </c>
      <c r="GHO30" t="s">
        <v>6984</v>
      </c>
      <c r="GHP30" t="s">
        <v>6984</v>
      </c>
      <c r="GHQ30" t="s">
        <v>6984</v>
      </c>
      <c r="GHR30" t="s">
        <v>6984</v>
      </c>
      <c r="GHS30" t="s">
        <v>6984</v>
      </c>
      <c r="GHT30" t="s">
        <v>6984</v>
      </c>
      <c r="GHU30" t="s">
        <v>6984</v>
      </c>
      <c r="GHV30" t="s">
        <v>6984</v>
      </c>
      <c r="GHW30" t="s">
        <v>6984</v>
      </c>
      <c r="GHX30" t="s">
        <v>6984</v>
      </c>
      <c r="GHY30" t="s">
        <v>6984</v>
      </c>
      <c r="GHZ30" t="s">
        <v>6984</v>
      </c>
      <c r="GIA30" t="s">
        <v>6984</v>
      </c>
      <c r="GIB30" t="s">
        <v>6984</v>
      </c>
      <c r="GIC30" t="s">
        <v>6984</v>
      </c>
      <c r="GID30" t="s">
        <v>6984</v>
      </c>
      <c r="GIE30" t="s">
        <v>6984</v>
      </c>
      <c r="GIF30" t="s">
        <v>6984</v>
      </c>
      <c r="GIG30" t="s">
        <v>6984</v>
      </c>
      <c r="GIH30" t="s">
        <v>6984</v>
      </c>
      <c r="GII30" t="s">
        <v>6984</v>
      </c>
      <c r="GIJ30" t="s">
        <v>6984</v>
      </c>
      <c r="GIK30" t="s">
        <v>6984</v>
      </c>
      <c r="GIL30" t="s">
        <v>6984</v>
      </c>
      <c r="GIM30" t="s">
        <v>6984</v>
      </c>
      <c r="GIN30" t="s">
        <v>6984</v>
      </c>
      <c r="GIO30" t="s">
        <v>6984</v>
      </c>
      <c r="GIP30" t="s">
        <v>6984</v>
      </c>
      <c r="GIQ30" t="s">
        <v>6984</v>
      </c>
      <c r="GIR30" t="s">
        <v>6984</v>
      </c>
      <c r="GIS30" t="s">
        <v>6984</v>
      </c>
      <c r="GIT30" t="s">
        <v>6984</v>
      </c>
      <c r="GIU30" t="s">
        <v>6984</v>
      </c>
      <c r="GIV30" t="s">
        <v>6984</v>
      </c>
      <c r="GIW30" t="s">
        <v>6984</v>
      </c>
      <c r="GIX30" t="s">
        <v>6984</v>
      </c>
      <c r="GIY30" t="s">
        <v>6984</v>
      </c>
      <c r="GIZ30" t="s">
        <v>6984</v>
      </c>
      <c r="GJA30" t="s">
        <v>6984</v>
      </c>
      <c r="GJB30" t="s">
        <v>6984</v>
      </c>
      <c r="GJC30" t="s">
        <v>6984</v>
      </c>
      <c r="GJD30" t="s">
        <v>6984</v>
      </c>
      <c r="GJE30" t="s">
        <v>6984</v>
      </c>
      <c r="GJF30" t="s">
        <v>6984</v>
      </c>
      <c r="GJG30" t="s">
        <v>6984</v>
      </c>
      <c r="GJH30" t="s">
        <v>6984</v>
      </c>
      <c r="GJI30" t="s">
        <v>6984</v>
      </c>
      <c r="GJJ30" t="s">
        <v>6984</v>
      </c>
      <c r="GJK30" t="s">
        <v>6984</v>
      </c>
      <c r="GJL30" t="s">
        <v>6984</v>
      </c>
      <c r="GJM30" t="s">
        <v>6984</v>
      </c>
      <c r="GJN30" t="s">
        <v>6984</v>
      </c>
      <c r="GJO30" t="s">
        <v>6984</v>
      </c>
      <c r="GJP30" t="s">
        <v>6984</v>
      </c>
      <c r="GJQ30" t="s">
        <v>6984</v>
      </c>
      <c r="GJR30" t="s">
        <v>6984</v>
      </c>
      <c r="GJS30" t="s">
        <v>6984</v>
      </c>
      <c r="GJT30" t="s">
        <v>6984</v>
      </c>
      <c r="GJU30" t="s">
        <v>6984</v>
      </c>
      <c r="GJV30" t="s">
        <v>6984</v>
      </c>
      <c r="GJW30" t="s">
        <v>6984</v>
      </c>
      <c r="GJX30" t="s">
        <v>6984</v>
      </c>
      <c r="GJY30" t="s">
        <v>6984</v>
      </c>
      <c r="GJZ30" t="s">
        <v>6984</v>
      </c>
      <c r="GKA30" t="s">
        <v>6984</v>
      </c>
      <c r="GKB30" t="s">
        <v>6984</v>
      </c>
      <c r="GKC30" t="s">
        <v>6984</v>
      </c>
      <c r="GKD30" t="s">
        <v>6984</v>
      </c>
      <c r="GKE30" t="s">
        <v>6984</v>
      </c>
      <c r="GKF30" t="s">
        <v>6984</v>
      </c>
      <c r="GKG30" t="s">
        <v>6984</v>
      </c>
      <c r="GKH30" t="s">
        <v>6984</v>
      </c>
      <c r="GKI30" t="s">
        <v>6984</v>
      </c>
      <c r="GKJ30" t="s">
        <v>6984</v>
      </c>
      <c r="GKK30" t="s">
        <v>6984</v>
      </c>
      <c r="GKL30" t="s">
        <v>6984</v>
      </c>
      <c r="GKM30" t="s">
        <v>6984</v>
      </c>
      <c r="GKN30" t="s">
        <v>6984</v>
      </c>
      <c r="GKO30" t="s">
        <v>6984</v>
      </c>
      <c r="GKP30" t="s">
        <v>6984</v>
      </c>
      <c r="GKQ30" t="s">
        <v>6984</v>
      </c>
      <c r="GKR30" t="s">
        <v>6984</v>
      </c>
      <c r="GKS30" t="s">
        <v>6984</v>
      </c>
      <c r="GKT30" t="s">
        <v>6984</v>
      </c>
      <c r="GKU30" t="s">
        <v>6984</v>
      </c>
      <c r="GKV30" t="s">
        <v>6984</v>
      </c>
      <c r="GKW30" t="s">
        <v>6984</v>
      </c>
      <c r="GKX30" t="s">
        <v>6984</v>
      </c>
      <c r="GKY30" t="s">
        <v>6984</v>
      </c>
      <c r="GKZ30" t="s">
        <v>6984</v>
      </c>
      <c r="GLA30" t="s">
        <v>6984</v>
      </c>
      <c r="GLB30" t="s">
        <v>6984</v>
      </c>
      <c r="GLC30" t="s">
        <v>6984</v>
      </c>
      <c r="GLD30" t="s">
        <v>6984</v>
      </c>
      <c r="GLE30" t="s">
        <v>6984</v>
      </c>
      <c r="GLF30" t="s">
        <v>6984</v>
      </c>
      <c r="GLG30" t="s">
        <v>6984</v>
      </c>
      <c r="GLH30" t="s">
        <v>6984</v>
      </c>
      <c r="GLI30" t="s">
        <v>6984</v>
      </c>
      <c r="GLJ30" t="s">
        <v>6984</v>
      </c>
      <c r="GLK30" t="s">
        <v>6984</v>
      </c>
      <c r="GLL30" t="s">
        <v>6984</v>
      </c>
      <c r="GLM30" t="s">
        <v>6984</v>
      </c>
      <c r="GLN30" t="s">
        <v>6984</v>
      </c>
      <c r="GLO30" t="s">
        <v>6984</v>
      </c>
      <c r="GLP30" t="s">
        <v>6984</v>
      </c>
      <c r="GLQ30" t="s">
        <v>6984</v>
      </c>
      <c r="GLR30" t="s">
        <v>6984</v>
      </c>
      <c r="GLS30" t="s">
        <v>6984</v>
      </c>
      <c r="GLT30" t="s">
        <v>6984</v>
      </c>
      <c r="GLU30" t="s">
        <v>6984</v>
      </c>
      <c r="GLV30" t="s">
        <v>6984</v>
      </c>
      <c r="GLW30" t="s">
        <v>6984</v>
      </c>
      <c r="GLX30" t="s">
        <v>6984</v>
      </c>
      <c r="GLY30" t="s">
        <v>6984</v>
      </c>
      <c r="GLZ30" t="s">
        <v>6984</v>
      </c>
      <c r="GMA30" t="s">
        <v>6984</v>
      </c>
      <c r="GMB30" t="s">
        <v>6984</v>
      </c>
      <c r="GMC30" t="s">
        <v>6984</v>
      </c>
      <c r="GMD30" t="s">
        <v>6984</v>
      </c>
      <c r="GME30" t="s">
        <v>6984</v>
      </c>
      <c r="GMF30" t="s">
        <v>6984</v>
      </c>
      <c r="GMG30" t="s">
        <v>6984</v>
      </c>
      <c r="GMH30" t="s">
        <v>6984</v>
      </c>
      <c r="GMI30" t="s">
        <v>6984</v>
      </c>
      <c r="GMJ30" t="s">
        <v>6984</v>
      </c>
      <c r="GMK30" t="s">
        <v>6984</v>
      </c>
      <c r="GML30" t="s">
        <v>6984</v>
      </c>
      <c r="GMM30" t="s">
        <v>6984</v>
      </c>
      <c r="GMN30" t="s">
        <v>6984</v>
      </c>
      <c r="GMO30" t="s">
        <v>6984</v>
      </c>
      <c r="GMP30" t="s">
        <v>6984</v>
      </c>
      <c r="GMQ30" t="s">
        <v>6984</v>
      </c>
      <c r="GMR30" t="s">
        <v>6984</v>
      </c>
      <c r="GMS30" t="s">
        <v>6984</v>
      </c>
      <c r="GMT30" t="s">
        <v>6984</v>
      </c>
      <c r="GMU30" t="s">
        <v>6984</v>
      </c>
      <c r="GMV30" t="s">
        <v>6984</v>
      </c>
      <c r="GMW30" t="s">
        <v>6984</v>
      </c>
      <c r="GMX30" t="s">
        <v>6984</v>
      </c>
      <c r="GMY30" t="s">
        <v>6984</v>
      </c>
      <c r="GMZ30" t="s">
        <v>6984</v>
      </c>
      <c r="GNA30" t="s">
        <v>6984</v>
      </c>
      <c r="GNB30" t="s">
        <v>6984</v>
      </c>
      <c r="GNC30" t="s">
        <v>6984</v>
      </c>
      <c r="GND30" t="s">
        <v>6984</v>
      </c>
      <c r="GNE30" t="s">
        <v>6984</v>
      </c>
      <c r="GNF30" t="s">
        <v>6984</v>
      </c>
      <c r="GNG30" t="s">
        <v>6984</v>
      </c>
      <c r="GNH30" t="s">
        <v>6984</v>
      </c>
      <c r="GNI30" t="s">
        <v>6984</v>
      </c>
      <c r="GNJ30" t="s">
        <v>6984</v>
      </c>
      <c r="GNK30" t="s">
        <v>6984</v>
      </c>
      <c r="GNL30" t="s">
        <v>6984</v>
      </c>
      <c r="GNM30" t="s">
        <v>6984</v>
      </c>
      <c r="GNN30" t="s">
        <v>6984</v>
      </c>
      <c r="GNO30" t="s">
        <v>6984</v>
      </c>
      <c r="GNP30" t="s">
        <v>6984</v>
      </c>
      <c r="GNQ30" t="s">
        <v>6984</v>
      </c>
      <c r="GNR30" t="s">
        <v>6984</v>
      </c>
      <c r="GNS30" t="s">
        <v>6984</v>
      </c>
      <c r="GNT30" t="s">
        <v>6984</v>
      </c>
      <c r="GNU30" t="s">
        <v>6984</v>
      </c>
      <c r="GNV30" t="s">
        <v>6984</v>
      </c>
      <c r="GNW30" t="s">
        <v>6984</v>
      </c>
      <c r="GNX30" t="s">
        <v>6984</v>
      </c>
      <c r="GNY30" t="s">
        <v>6984</v>
      </c>
      <c r="GNZ30" t="s">
        <v>6984</v>
      </c>
      <c r="GOA30" t="s">
        <v>6984</v>
      </c>
      <c r="GOB30" t="s">
        <v>6984</v>
      </c>
      <c r="GOC30" t="s">
        <v>6984</v>
      </c>
      <c r="GOD30" t="s">
        <v>6984</v>
      </c>
      <c r="GOE30" t="s">
        <v>6984</v>
      </c>
      <c r="GOF30" t="s">
        <v>6984</v>
      </c>
      <c r="GOG30" t="s">
        <v>6984</v>
      </c>
      <c r="GOH30" t="s">
        <v>6984</v>
      </c>
      <c r="GOI30" t="s">
        <v>6984</v>
      </c>
      <c r="GOJ30" t="s">
        <v>6984</v>
      </c>
      <c r="GOK30" t="s">
        <v>6984</v>
      </c>
      <c r="GOL30" t="s">
        <v>6984</v>
      </c>
      <c r="GOM30" t="s">
        <v>6984</v>
      </c>
      <c r="GON30" t="s">
        <v>6984</v>
      </c>
      <c r="GOO30" t="s">
        <v>6984</v>
      </c>
      <c r="GOP30" t="s">
        <v>6984</v>
      </c>
      <c r="GOQ30" t="s">
        <v>6984</v>
      </c>
      <c r="GOR30" t="s">
        <v>6984</v>
      </c>
      <c r="GOS30" t="s">
        <v>6984</v>
      </c>
      <c r="GOT30" t="s">
        <v>6984</v>
      </c>
      <c r="GOU30" t="s">
        <v>6984</v>
      </c>
      <c r="GOV30" t="s">
        <v>6984</v>
      </c>
      <c r="GOW30" t="s">
        <v>6984</v>
      </c>
      <c r="GOX30" t="s">
        <v>6984</v>
      </c>
      <c r="GOY30" t="s">
        <v>6984</v>
      </c>
      <c r="GOZ30" t="s">
        <v>6984</v>
      </c>
      <c r="GPA30" t="s">
        <v>6984</v>
      </c>
      <c r="GPB30" t="s">
        <v>6984</v>
      </c>
      <c r="GPC30" t="s">
        <v>6984</v>
      </c>
      <c r="GPD30" t="s">
        <v>6984</v>
      </c>
      <c r="GPE30" t="s">
        <v>6984</v>
      </c>
      <c r="GPF30" t="s">
        <v>6984</v>
      </c>
      <c r="GPG30" t="s">
        <v>6984</v>
      </c>
      <c r="GPH30" t="s">
        <v>6984</v>
      </c>
      <c r="GPI30" t="s">
        <v>6984</v>
      </c>
      <c r="GPJ30" t="s">
        <v>6984</v>
      </c>
      <c r="GPK30" t="s">
        <v>6984</v>
      </c>
      <c r="GPL30" t="s">
        <v>6984</v>
      </c>
      <c r="GPM30" t="s">
        <v>6984</v>
      </c>
      <c r="GPN30" t="s">
        <v>6984</v>
      </c>
      <c r="GPO30" t="s">
        <v>6984</v>
      </c>
      <c r="GPP30" t="s">
        <v>6984</v>
      </c>
      <c r="GPQ30" t="s">
        <v>6984</v>
      </c>
      <c r="GPR30" t="s">
        <v>6984</v>
      </c>
      <c r="GPS30" t="s">
        <v>6984</v>
      </c>
      <c r="GPT30" t="s">
        <v>6984</v>
      </c>
      <c r="GPU30" t="s">
        <v>6984</v>
      </c>
      <c r="GPV30" t="s">
        <v>6984</v>
      </c>
      <c r="GPW30" t="s">
        <v>6984</v>
      </c>
      <c r="GPX30" t="s">
        <v>6984</v>
      </c>
      <c r="GPY30" t="s">
        <v>6984</v>
      </c>
      <c r="GPZ30" t="s">
        <v>6984</v>
      </c>
      <c r="GQA30" t="s">
        <v>6984</v>
      </c>
      <c r="GQB30" t="s">
        <v>6984</v>
      </c>
      <c r="GQC30" t="s">
        <v>6984</v>
      </c>
      <c r="GQD30" t="s">
        <v>6984</v>
      </c>
      <c r="GQE30" t="s">
        <v>6984</v>
      </c>
      <c r="GQF30" t="s">
        <v>6984</v>
      </c>
      <c r="GQG30" t="s">
        <v>6984</v>
      </c>
      <c r="GQH30" t="s">
        <v>6984</v>
      </c>
      <c r="GQI30" t="s">
        <v>6984</v>
      </c>
      <c r="GQJ30" t="s">
        <v>6984</v>
      </c>
      <c r="GQK30" t="s">
        <v>6984</v>
      </c>
      <c r="GQL30" t="s">
        <v>6984</v>
      </c>
      <c r="GQM30" t="s">
        <v>6984</v>
      </c>
      <c r="GQN30" t="s">
        <v>6984</v>
      </c>
      <c r="GQO30" t="s">
        <v>6984</v>
      </c>
      <c r="GQP30" t="s">
        <v>6984</v>
      </c>
      <c r="GQQ30" t="s">
        <v>6984</v>
      </c>
      <c r="GQR30" t="s">
        <v>6984</v>
      </c>
      <c r="GQS30" t="s">
        <v>6984</v>
      </c>
      <c r="GQT30" t="s">
        <v>6984</v>
      </c>
      <c r="GQU30" t="s">
        <v>6984</v>
      </c>
      <c r="GQV30" t="s">
        <v>6984</v>
      </c>
      <c r="GQW30" t="s">
        <v>6984</v>
      </c>
      <c r="GQX30" t="s">
        <v>6984</v>
      </c>
      <c r="GQY30" t="s">
        <v>6984</v>
      </c>
      <c r="GQZ30" t="s">
        <v>6984</v>
      </c>
      <c r="GRA30" t="s">
        <v>6984</v>
      </c>
      <c r="GRB30" t="s">
        <v>6984</v>
      </c>
      <c r="GRC30" t="s">
        <v>6984</v>
      </c>
      <c r="GRD30" t="s">
        <v>6984</v>
      </c>
      <c r="GRE30" t="s">
        <v>6984</v>
      </c>
      <c r="GRF30" t="s">
        <v>6984</v>
      </c>
      <c r="GRG30" t="s">
        <v>6984</v>
      </c>
      <c r="GRH30" t="s">
        <v>6984</v>
      </c>
      <c r="GRI30" t="s">
        <v>6984</v>
      </c>
      <c r="GRJ30" t="s">
        <v>6984</v>
      </c>
      <c r="GRK30" t="s">
        <v>6984</v>
      </c>
      <c r="GRL30" t="s">
        <v>6984</v>
      </c>
      <c r="GRM30" t="s">
        <v>6984</v>
      </c>
      <c r="GRN30" t="s">
        <v>6984</v>
      </c>
      <c r="GRO30" t="s">
        <v>6984</v>
      </c>
      <c r="GRP30" t="s">
        <v>6984</v>
      </c>
      <c r="GRQ30" t="s">
        <v>6984</v>
      </c>
      <c r="GRR30" t="s">
        <v>6984</v>
      </c>
      <c r="GRS30" t="s">
        <v>6984</v>
      </c>
      <c r="GRT30" t="s">
        <v>6984</v>
      </c>
      <c r="GRU30" t="s">
        <v>6984</v>
      </c>
      <c r="GRV30" t="s">
        <v>6984</v>
      </c>
      <c r="GRW30" t="s">
        <v>6984</v>
      </c>
      <c r="GRX30" t="s">
        <v>6984</v>
      </c>
      <c r="GRY30" t="s">
        <v>6984</v>
      </c>
      <c r="GRZ30" t="s">
        <v>6984</v>
      </c>
      <c r="GSA30" t="s">
        <v>6984</v>
      </c>
      <c r="GSB30" t="s">
        <v>6984</v>
      </c>
      <c r="GSC30" t="s">
        <v>6984</v>
      </c>
      <c r="GSD30" t="s">
        <v>6984</v>
      </c>
      <c r="GSE30" t="s">
        <v>6984</v>
      </c>
      <c r="GSF30" t="s">
        <v>6984</v>
      </c>
      <c r="GSG30" t="s">
        <v>6984</v>
      </c>
      <c r="GSH30" t="s">
        <v>6984</v>
      </c>
      <c r="GSI30" t="s">
        <v>6984</v>
      </c>
      <c r="GSJ30" t="s">
        <v>6984</v>
      </c>
      <c r="GSK30" t="s">
        <v>6984</v>
      </c>
      <c r="GSL30" t="s">
        <v>6984</v>
      </c>
      <c r="GSM30" t="s">
        <v>6984</v>
      </c>
      <c r="GSN30" t="s">
        <v>6984</v>
      </c>
      <c r="GSO30" t="s">
        <v>6984</v>
      </c>
      <c r="GSP30" t="s">
        <v>6984</v>
      </c>
      <c r="GSQ30" t="s">
        <v>6984</v>
      </c>
      <c r="GSR30" t="s">
        <v>6984</v>
      </c>
      <c r="GSS30" t="s">
        <v>6984</v>
      </c>
      <c r="GST30" t="s">
        <v>6984</v>
      </c>
      <c r="GSU30" t="s">
        <v>6984</v>
      </c>
      <c r="GSV30" t="s">
        <v>6984</v>
      </c>
      <c r="GSW30" t="s">
        <v>6984</v>
      </c>
      <c r="GSX30" t="s">
        <v>6984</v>
      </c>
      <c r="GSY30" t="s">
        <v>6984</v>
      </c>
      <c r="GSZ30" t="s">
        <v>6984</v>
      </c>
      <c r="GTA30" t="s">
        <v>6984</v>
      </c>
      <c r="GTB30" t="s">
        <v>6984</v>
      </c>
      <c r="GTC30" t="s">
        <v>6984</v>
      </c>
      <c r="GTD30" t="s">
        <v>6984</v>
      </c>
      <c r="GTE30" t="s">
        <v>6984</v>
      </c>
      <c r="GTF30" t="s">
        <v>6984</v>
      </c>
      <c r="GTG30" t="s">
        <v>6984</v>
      </c>
      <c r="GTH30" t="s">
        <v>6984</v>
      </c>
      <c r="GTI30" t="s">
        <v>6984</v>
      </c>
      <c r="GTJ30" t="s">
        <v>6984</v>
      </c>
      <c r="GTK30" t="s">
        <v>6984</v>
      </c>
      <c r="GTL30" t="s">
        <v>6984</v>
      </c>
      <c r="GTM30" t="s">
        <v>6984</v>
      </c>
      <c r="GTN30" t="s">
        <v>6984</v>
      </c>
      <c r="GTO30" t="s">
        <v>6984</v>
      </c>
      <c r="GTP30" t="s">
        <v>6984</v>
      </c>
      <c r="GTQ30" t="s">
        <v>6984</v>
      </c>
      <c r="GTR30" t="s">
        <v>6984</v>
      </c>
      <c r="GTS30" t="s">
        <v>6984</v>
      </c>
      <c r="GTT30" t="s">
        <v>6984</v>
      </c>
      <c r="GTU30" t="s">
        <v>6984</v>
      </c>
      <c r="GTV30" t="s">
        <v>6984</v>
      </c>
      <c r="GTW30" t="s">
        <v>6984</v>
      </c>
      <c r="GTX30" t="s">
        <v>6984</v>
      </c>
      <c r="GTY30" t="s">
        <v>6984</v>
      </c>
      <c r="GTZ30" t="s">
        <v>6984</v>
      </c>
      <c r="GUA30" t="s">
        <v>6984</v>
      </c>
      <c r="GUB30" t="s">
        <v>6984</v>
      </c>
      <c r="GUC30" t="s">
        <v>6984</v>
      </c>
      <c r="GUD30" t="s">
        <v>6984</v>
      </c>
      <c r="GUE30" t="s">
        <v>6984</v>
      </c>
      <c r="GUF30" t="s">
        <v>6984</v>
      </c>
      <c r="GUG30" t="s">
        <v>6984</v>
      </c>
      <c r="GUH30" t="s">
        <v>6984</v>
      </c>
      <c r="GUI30" t="s">
        <v>6984</v>
      </c>
      <c r="GUJ30" t="s">
        <v>6984</v>
      </c>
      <c r="GUK30" t="s">
        <v>6984</v>
      </c>
      <c r="GUL30" t="s">
        <v>6984</v>
      </c>
      <c r="GUM30" t="s">
        <v>6984</v>
      </c>
      <c r="GUN30" t="s">
        <v>6984</v>
      </c>
      <c r="GUO30" t="s">
        <v>6984</v>
      </c>
      <c r="GUP30" t="s">
        <v>6984</v>
      </c>
      <c r="GUQ30" t="s">
        <v>6984</v>
      </c>
      <c r="GUR30" t="s">
        <v>6984</v>
      </c>
      <c r="GUS30" t="s">
        <v>6984</v>
      </c>
      <c r="GUT30" t="s">
        <v>6984</v>
      </c>
      <c r="GUU30" t="s">
        <v>6984</v>
      </c>
      <c r="GUV30" t="s">
        <v>6984</v>
      </c>
      <c r="GUW30" t="s">
        <v>6984</v>
      </c>
      <c r="GUX30" t="s">
        <v>6984</v>
      </c>
      <c r="GUY30" t="s">
        <v>6984</v>
      </c>
      <c r="GUZ30" t="s">
        <v>6984</v>
      </c>
      <c r="GVA30" t="s">
        <v>6984</v>
      </c>
      <c r="GVB30" t="s">
        <v>6984</v>
      </c>
      <c r="GVC30" t="s">
        <v>6984</v>
      </c>
      <c r="GVD30" t="s">
        <v>6984</v>
      </c>
      <c r="GVE30" t="s">
        <v>6984</v>
      </c>
      <c r="GVF30" t="s">
        <v>6984</v>
      </c>
      <c r="GVG30" t="s">
        <v>6984</v>
      </c>
      <c r="GVH30" t="s">
        <v>6984</v>
      </c>
      <c r="GVI30" t="s">
        <v>6984</v>
      </c>
      <c r="GVJ30" t="s">
        <v>6984</v>
      </c>
      <c r="GVK30" t="s">
        <v>6984</v>
      </c>
      <c r="GVL30" t="s">
        <v>6984</v>
      </c>
      <c r="GVM30" t="s">
        <v>6984</v>
      </c>
      <c r="GVN30" t="s">
        <v>6984</v>
      </c>
      <c r="GVO30" t="s">
        <v>6984</v>
      </c>
      <c r="GVP30" t="s">
        <v>6984</v>
      </c>
      <c r="GVQ30" t="s">
        <v>6984</v>
      </c>
      <c r="GVR30" t="s">
        <v>6984</v>
      </c>
      <c r="GVS30" t="s">
        <v>6984</v>
      </c>
      <c r="GVT30" t="s">
        <v>6984</v>
      </c>
      <c r="GVU30" t="s">
        <v>6984</v>
      </c>
      <c r="GVV30" t="s">
        <v>6984</v>
      </c>
      <c r="GVW30" t="s">
        <v>6984</v>
      </c>
      <c r="GVX30" t="s">
        <v>6984</v>
      </c>
      <c r="GVY30" t="s">
        <v>6984</v>
      </c>
      <c r="GVZ30" t="s">
        <v>6984</v>
      </c>
      <c r="GWA30" t="s">
        <v>6984</v>
      </c>
      <c r="GWB30" t="s">
        <v>6984</v>
      </c>
      <c r="GWC30" t="s">
        <v>6984</v>
      </c>
      <c r="GWD30" t="s">
        <v>6984</v>
      </c>
      <c r="GWE30" t="s">
        <v>6984</v>
      </c>
      <c r="GWF30" t="s">
        <v>6984</v>
      </c>
      <c r="GWG30" t="s">
        <v>6984</v>
      </c>
      <c r="GWH30" t="s">
        <v>6984</v>
      </c>
      <c r="GWI30" t="s">
        <v>6984</v>
      </c>
      <c r="GWJ30" t="s">
        <v>6984</v>
      </c>
      <c r="GWK30" t="s">
        <v>6984</v>
      </c>
      <c r="GWL30" t="s">
        <v>6984</v>
      </c>
      <c r="GWM30" t="s">
        <v>6984</v>
      </c>
      <c r="GWN30" t="s">
        <v>6984</v>
      </c>
      <c r="GWO30" t="s">
        <v>6984</v>
      </c>
      <c r="GWP30" t="s">
        <v>6984</v>
      </c>
      <c r="GWQ30" t="s">
        <v>6984</v>
      </c>
      <c r="GWR30" t="s">
        <v>6984</v>
      </c>
      <c r="GWS30" t="s">
        <v>6984</v>
      </c>
      <c r="GWT30" t="s">
        <v>6984</v>
      </c>
      <c r="GWU30" t="s">
        <v>6984</v>
      </c>
      <c r="GWV30" t="s">
        <v>6984</v>
      </c>
      <c r="GWW30" t="s">
        <v>6984</v>
      </c>
      <c r="GWX30" t="s">
        <v>6984</v>
      </c>
      <c r="GWY30" t="s">
        <v>6984</v>
      </c>
      <c r="GWZ30" t="s">
        <v>6984</v>
      </c>
      <c r="GXA30" t="s">
        <v>6984</v>
      </c>
      <c r="GXB30" t="s">
        <v>6984</v>
      </c>
      <c r="GXC30" t="s">
        <v>6984</v>
      </c>
      <c r="GXD30" t="s">
        <v>6984</v>
      </c>
      <c r="GXE30" t="s">
        <v>6984</v>
      </c>
      <c r="GXF30" t="s">
        <v>6984</v>
      </c>
      <c r="GXG30" t="s">
        <v>6984</v>
      </c>
      <c r="GXH30" t="s">
        <v>6984</v>
      </c>
      <c r="GXI30" t="s">
        <v>6984</v>
      </c>
      <c r="GXJ30" t="s">
        <v>6984</v>
      </c>
      <c r="GXK30" t="s">
        <v>6984</v>
      </c>
      <c r="GXL30" t="s">
        <v>6984</v>
      </c>
      <c r="GXM30" t="s">
        <v>6984</v>
      </c>
      <c r="GXN30" t="s">
        <v>6984</v>
      </c>
      <c r="GXO30" t="s">
        <v>6984</v>
      </c>
      <c r="GXP30" t="s">
        <v>6984</v>
      </c>
      <c r="GXQ30" t="s">
        <v>6984</v>
      </c>
      <c r="GXR30" t="s">
        <v>6984</v>
      </c>
      <c r="GXS30" t="s">
        <v>6984</v>
      </c>
      <c r="GXT30" t="s">
        <v>6984</v>
      </c>
      <c r="GXU30" t="s">
        <v>6984</v>
      </c>
      <c r="GXV30" t="s">
        <v>6984</v>
      </c>
      <c r="GXW30" t="s">
        <v>6984</v>
      </c>
      <c r="GXX30" t="s">
        <v>6984</v>
      </c>
      <c r="GXY30" t="s">
        <v>6984</v>
      </c>
      <c r="GXZ30" t="s">
        <v>6984</v>
      </c>
      <c r="GYA30" t="s">
        <v>6984</v>
      </c>
      <c r="GYB30" t="s">
        <v>6984</v>
      </c>
      <c r="GYC30" t="s">
        <v>6984</v>
      </c>
      <c r="GYD30" t="s">
        <v>6984</v>
      </c>
      <c r="GYE30" t="s">
        <v>6984</v>
      </c>
      <c r="GYF30" t="s">
        <v>6984</v>
      </c>
      <c r="GYG30" t="s">
        <v>6984</v>
      </c>
      <c r="GYH30" t="s">
        <v>6984</v>
      </c>
      <c r="GYI30" t="s">
        <v>6984</v>
      </c>
      <c r="GYJ30" t="s">
        <v>6984</v>
      </c>
      <c r="GYK30" t="s">
        <v>6984</v>
      </c>
      <c r="GYL30" t="s">
        <v>6984</v>
      </c>
      <c r="GYM30" t="s">
        <v>6984</v>
      </c>
      <c r="GYN30" t="s">
        <v>6984</v>
      </c>
      <c r="GYO30" t="s">
        <v>6984</v>
      </c>
      <c r="GYP30" t="s">
        <v>6984</v>
      </c>
      <c r="GYQ30" t="s">
        <v>6984</v>
      </c>
      <c r="GYR30" t="s">
        <v>6984</v>
      </c>
      <c r="GYS30" t="s">
        <v>6984</v>
      </c>
      <c r="GYT30" t="s">
        <v>6984</v>
      </c>
      <c r="GYU30" t="s">
        <v>6984</v>
      </c>
      <c r="GYV30" t="s">
        <v>6984</v>
      </c>
      <c r="GYW30" t="s">
        <v>6984</v>
      </c>
      <c r="GYX30" t="s">
        <v>6984</v>
      </c>
      <c r="GYY30" t="s">
        <v>6984</v>
      </c>
      <c r="GYZ30" t="s">
        <v>6984</v>
      </c>
      <c r="GZA30" t="s">
        <v>6984</v>
      </c>
      <c r="GZB30" t="s">
        <v>6984</v>
      </c>
      <c r="GZC30" t="s">
        <v>6984</v>
      </c>
      <c r="GZD30" t="s">
        <v>6984</v>
      </c>
      <c r="GZE30" t="s">
        <v>6984</v>
      </c>
      <c r="GZF30" t="s">
        <v>6984</v>
      </c>
      <c r="GZG30" t="s">
        <v>6984</v>
      </c>
      <c r="GZH30" t="s">
        <v>6984</v>
      </c>
      <c r="GZI30" t="s">
        <v>6984</v>
      </c>
      <c r="GZJ30" t="s">
        <v>6984</v>
      </c>
      <c r="GZK30" t="s">
        <v>6984</v>
      </c>
      <c r="GZL30" t="s">
        <v>6984</v>
      </c>
      <c r="GZM30" t="s">
        <v>6984</v>
      </c>
      <c r="GZN30" t="s">
        <v>6984</v>
      </c>
      <c r="GZO30" t="s">
        <v>6984</v>
      </c>
      <c r="GZP30" t="s">
        <v>6984</v>
      </c>
      <c r="GZQ30" t="s">
        <v>6984</v>
      </c>
      <c r="GZR30" t="s">
        <v>6984</v>
      </c>
      <c r="GZS30" t="s">
        <v>6984</v>
      </c>
      <c r="GZT30" t="s">
        <v>6984</v>
      </c>
      <c r="GZU30" t="s">
        <v>6984</v>
      </c>
      <c r="GZV30" t="s">
        <v>6984</v>
      </c>
      <c r="GZW30" t="s">
        <v>6984</v>
      </c>
      <c r="GZX30" t="s">
        <v>6984</v>
      </c>
      <c r="GZY30" t="s">
        <v>6984</v>
      </c>
      <c r="GZZ30" t="s">
        <v>6984</v>
      </c>
      <c r="HAA30" t="s">
        <v>6984</v>
      </c>
      <c r="HAB30" t="s">
        <v>6984</v>
      </c>
      <c r="HAC30" t="s">
        <v>6984</v>
      </c>
      <c r="HAD30" t="s">
        <v>6984</v>
      </c>
      <c r="HAE30" t="s">
        <v>6984</v>
      </c>
      <c r="HAF30" t="s">
        <v>6984</v>
      </c>
      <c r="HAG30" t="s">
        <v>6984</v>
      </c>
      <c r="HAH30" t="s">
        <v>6984</v>
      </c>
      <c r="HAI30" t="s">
        <v>6984</v>
      </c>
      <c r="HAJ30" t="s">
        <v>6984</v>
      </c>
      <c r="HAK30" t="s">
        <v>6984</v>
      </c>
      <c r="HAL30" t="s">
        <v>6984</v>
      </c>
      <c r="HAM30" t="s">
        <v>6984</v>
      </c>
      <c r="HAN30" t="s">
        <v>6984</v>
      </c>
      <c r="HAO30" t="s">
        <v>6984</v>
      </c>
      <c r="HAP30" t="s">
        <v>6984</v>
      </c>
      <c r="HAQ30" t="s">
        <v>6984</v>
      </c>
      <c r="HAR30" t="s">
        <v>6984</v>
      </c>
      <c r="HAS30" t="s">
        <v>6984</v>
      </c>
      <c r="HAT30" t="s">
        <v>6984</v>
      </c>
      <c r="HAU30" t="s">
        <v>6984</v>
      </c>
      <c r="HAV30" t="s">
        <v>6984</v>
      </c>
      <c r="HAW30" t="s">
        <v>6984</v>
      </c>
      <c r="HAX30" t="s">
        <v>6984</v>
      </c>
      <c r="HAY30" t="s">
        <v>6984</v>
      </c>
      <c r="HAZ30" t="s">
        <v>6984</v>
      </c>
      <c r="HBA30" t="s">
        <v>6984</v>
      </c>
      <c r="HBB30" t="s">
        <v>6984</v>
      </c>
      <c r="HBC30" t="s">
        <v>6984</v>
      </c>
      <c r="HBD30" t="s">
        <v>6984</v>
      </c>
      <c r="HBE30" t="s">
        <v>6984</v>
      </c>
      <c r="HBF30" t="s">
        <v>6984</v>
      </c>
      <c r="HBG30" t="s">
        <v>6984</v>
      </c>
      <c r="HBH30" t="s">
        <v>6984</v>
      </c>
      <c r="HBI30" t="s">
        <v>6984</v>
      </c>
      <c r="HBJ30" t="s">
        <v>6984</v>
      </c>
      <c r="HBK30" t="s">
        <v>6984</v>
      </c>
      <c r="HBL30" t="s">
        <v>6984</v>
      </c>
      <c r="HBM30" t="s">
        <v>6984</v>
      </c>
      <c r="HBN30" t="s">
        <v>6984</v>
      </c>
      <c r="HBO30" t="s">
        <v>6984</v>
      </c>
      <c r="HBP30" t="s">
        <v>6984</v>
      </c>
      <c r="HBQ30" t="s">
        <v>6984</v>
      </c>
      <c r="HBR30" t="s">
        <v>6984</v>
      </c>
      <c r="HBS30" t="s">
        <v>6984</v>
      </c>
      <c r="HBT30" t="s">
        <v>6984</v>
      </c>
      <c r="HBU30" t="s">
        <v>6984</v>
      </c>
      <c r="HBV30" t="s">
        <v>6984</v>
      </c>
      <c r="HBW30" t="s">
        <v>6984</v>
      </c>
      <c r="HBX30" t="s">
        <v>6984</v>
      </c>
      <c r="HBY30" t="s">
        <v>6984</v>
      </c>
      <c r="HBZ30" t="s">
        <v>6984</v>
      </c>
      <c r="HCA30" t="s">
        <v>6984</v>
      </c>
      <c r="HCB30" t="s">
        <v>6984</v>
      </c>
      <c r="HCC30" t="s">
        <v>6984</v>
      </c>
      <c r="HCD30" t="s">
        <v>6984</v>
      </c>
      <c r="HCE30" t="s">
        <v>6984</v>
      </c>
      <c r="HCF30" t="s">
        <v>6984</v>
      </c>
      <c r="HCG30" t="s">
        <v>6984</v>
      </c>
      <c r="HCH30" t="s">
        <v>6984</v>
      </c>
      <c r="HCI30" t="s">
        <v>6984</v>
      </c>
      <c r="HCJ30" t="s">
        <v>6984</v>
      </c>
      <c r="HCK30" t="s">
        <v>6984</v>
      </c>
      <c r="HCL30" t="s">
        <v>6984</v>
      </c>
      <c r="HCM30" t="s">
        <v>6984</v>
      </c>
      <c r="HCN30" t="s">
        <v>6984</v>
      </c>
      <c r="HCO30" t="s">
        <v>6984</v>
      </c>
      <c r="HCP30" t="s">
        <v>6984</v>
      </c>
      <c r="HCQ30" t="s">
        <v>6984</v>
      </c>
      <c r="HCR30" t="s">
        <v>6984</v>
      </c>
      <c r="HCS30" t="s">
        <v>6984</v>
      </c>
      <c r="HCT30" t="s">
        <v>6984</v>
      </c>
      <c r="HCU30" t="s">
        <v>6984</v>
      </c>
      <c r="HCV30" t="s">
        <v>6984</v>
      </c>
      <c r="HCW30" t="s">
        <v>6984</v>
      </c>
      <c r="HCX30" t="s">
        <v>6984</v>
      </c>
      <c r="HCY30" t="s">
        <v>6984</v>
      </c>
      <c r="HCZ30" t="s">
        <v>6984</v>
      </c>
      <c r="HDA30" t="s">
        <v>6984</v>
      </c>
      <c r="HDB30" t="s">
        <v>6984</v>
      </c>
      <c r="HDC30" t="s">
        <v>6984</v>
      </c>
      <c r="HDD30" t="s">
        <v>6984</v>
      </c>
      <c r="HDE30" t="s">
        <v>6984</v>
      </c>
      <c r="HDF30" t="s">
        <v>6984</v>
      </c>
      <c r="HDG30" t="s">
        <v>6984</v>
      </c>
      <c r="HDH30" t="s">
        <v>6984</v>
      </c>
      <c r="HDI30" t="s">
        <v>6984</v>
      </c>
      <c r="HDJ30" t="s">
        <v>6984</v>
      </c>
      <c r="HDK30" t="s">
        <v>6984</v>
      </c>
      <c r="HDL30" t="s">
        <v>6984</v>
      </c>
      <c r="HDM30" t="s">
        <v>6984</v>
      </c>
      <c r="HDN30" t="s">
        <v>6984</v>
      </c>
      <c r="HDO30" t="s">
        <v>6984</v>
      </c>
      <c r="HDP30" t="s">
        <v>6984</v>
      </c>
      <c r="HDQ30" t="s">
        <v>6984</v>
      </c>
      <c r="HDR30" t="s">
        <v>6984</v>
      </c>
      <c r="HDS30" t="s">
        <v>6984</v>
      </c>
      <c r="HDT30" t="s">
        <v>6984</v>
      </c>
      <c r="HDU30" t="s">
        <v>6984</v>
      </c>
      <c r="HDV30" t="s">
        <v>6984</v>
      </c>
      <c r="HDW30" t="s">
        <v>6984</v>
      </c>
      <c r="HDX30" t="s">
        <v>6984</v>
      </c>
      <c r="HDY30" t="s">
        <v>6984</v>
      </c>
      <c r="HDZ30" t="s">
        <v>6984</v>
      </c>
      <c r="HEA30" t="s">
        <v>6984</v>
      </c>
      <c r="HEB30" t="s">
        <v>6984</v>
      </c>
      <c r="HEC30" t="s">
        <v>6984</v>
      </c>
      <c r="HED30" t="s">
        <v>6984</v>
      </c>
      <c r="HEE30" t="s">
        <v>6984</v>
      </c>
      <c r="HEF30" t="s">
        <v>6984</v>
      </c>
      <c r="HEG30" t="s">
        <v>6984</v>
      </c>
      <c r="HEH30" t="s">
        <v>6984</v>
      </c>
      <c r="HEI30" t="s">
        <v>6984</v>
      </c>
      <c r="HEJ30" t="s">
        <v>6984</v>
      </c>
      <c r="HEK30" t="s">
        <v>6984</v>
      </c>
      <c r="HEL30" t="s">
        <v>6984</v>
      </c>
      <c r="HEM30" t="s">
        <v>6984</v>
      </c>
      <c r="HEN30" t="s">
        <v>6984</v>
      </c>
      <c r="HEO30" t="s">
        <v>6984</v>
      </c>
      <c r="HEP30" t="s">
        <v>6984</v>
      </c>
      <c r="HEQ30" t="s">
        <v>6984</v>
      </c>
      <c r="HER30" t="s">
        <v>6984</v>
      </c>
      <c r="HES30" t="s">
        <v>6984</v>
      </c>
      <c r="HET30" t="s">
        <v>6984</v>
      </c>
      <c r="HEU30" t="s">
        <v>6984</v>
      </c>
      <c r="HEV30" t="s">
        <v>6984</v>
      </c>
      <c r="HEW30" t="s">
        <v>6984</v>
      </c>
      <c r="HEX30" t="s">
        <v>6984</v>
      </c>
      <c r="HEY30" t="s">
        <v>6984</v>
      </c>
      <c r="HEZ30" t="s">
        <v>6984</v>
      </c>
      <c r="HFA30" t="s">
        <v>6984</v>
      </c>
      <c r="HFB30" t="s">
        <v>6984</v>
      </c>
      <c r="HFC30" t="s">
        <v>6984</v>
      </c>
      <c r="HFD30" t="s">
        <v>6984</v>
      </c>
      <c r="HFE30" t="s">
        <v>6984</v>
      </c>
      <c r="HFF30" t="s">
        <v>6984</v>
      </c>
      <c r="HFG30" t="s">
        <v>6984</v>
      </c>
      <c r="HFH30" t="s">
        <v>6984</v>
      </c>
      <c r="HFI30" t="s">
        <v>6984</v>
      </c>
      <c r="HFJ30" t="s">
        <v>6984</v>
      </c>
      <c r="HFK30" t="s">
        <v>6984</v>
      </c>
      <c r="HFL30" t="s">
        <v>6984</v>
      </c>
      <c r="HFM30" t="s">
        <v>6984</v>
      </c>
      <c r="HFN30" t="s">
        <v>6984</v>
      </c>
      <c r="HFO30" t="s">
        <v>6984</v>
      </c>
      <c r="HFP30" t="s">
        <v>6984</v>
      </c>
      <c r="HFQ30" t="s">
        <v>6984</v>
      </c>
      <c r="HFR30" t="s">
        <v>6984</v>
      </c>
      <c r="HFS30" t="s">
        <v>6984</v>
      </c>
      <c r="HFT30" t="s">
        <v>6984</v>
      </c>
      <c r="HFU30" t="s">
        <v>6984</v>
      </c>
      <c r="HFV30" t="s">
        <v>6984</v>
      </c>
      <c r="HFW30" t="s">
        <v>6984</v>
      </c>
      <c r="HFX30" t="s">
        <v>6984</v>
      </c>
      <c r="HFY30" t="s">
        <v>6984</v>
      </c>
      <c r="HFZ30" t="s">
        <v>6984</v>
      </c>
      <c r="HGA30" t="s">
        <v>6984</v>
      </c>
      <c r="HGB30" t="s">
        <v>6984</v>
      </c>
      <c r="HGC30" t="s">
        <v>6984</v>
      </c>
      <c r="HGD30" t="s">
        <v>6984</v>
      </c>
      <c r="HGE30" t="s">
        <v>6984</v>
      </c>
      <c r="HGF30" t="s">
        <v>6984</v>
      </c>
      <c r="HGG30" t="s">
        <v>6984</v>
      </c>
      <c r="HGH30" t="s">
        <v>6984</v>
      </c>
      <c r="HGI30" t="s">
        <v>6984</v>
      </c>
      <c r="HGJ30" t="s">
        <v>6984</v>
      </c>
      <c r="HGK30" t="s">
        <v>6984</v>
      </c>
      <c r="HGL30" t="s">
        <v>6984</v>
      </c>
      <c r="HGM30" t="s">
        <v>6984</v>
      </c>
      <c r="HGN30" t="s">
        <v>6984</v>
      </c>
      <c r="HGO30" t="s">
        <v>6984</v>
      </c>
      <c r="HGP30" t="s">
        <v>6984</v>
      </c>
      <c r="HGQ30" t="s">
        <v>6984</v>
      </c>
      <c r="HGR30" t="s">
        <v>6984</v>
      </c>
      <c r="HGS30" t="s">
        <v>6984</v>
      </c>
      <c r="HGT30" t="s">
        <v>6984</v>
      </c>
      <c r="HGU30" t="s">
        <v>6984</v>
      </c>
      <c r="HGV30" t="s">
        <v>6984</v>
      </c>
      <c r="HGW30" t="s">
        <v>6984</v>
      </c>
      <c r="HGX30" t="s">
        <v>6984</v>
      </c>
      <c r="HGY30" t="s">
        <v>6984</v>
      </c>
      <c r="HGZ30" t="s">
        <v>6984</v>
      </c>
      <c r="HHA30" t="s">
        <v>6984</v>
      </c>
      <c r="HHB30" t="s">
        <v>6984</v>
      </c>
      <c r="HHC30" t="s">
        <v>6984</v>
      </c>
      <c r="HHD30" t="s">
        <v>6984</v>
      </c>
      <c r="HHE30" t="s">
        <v>6984</v>
      </c>
      <c r="HHF30" t="s">
        <v>6984</v>
      </c>
      <c r="HHG30" t="s">
        <v>6984</v>
      </c>
      <c r="HHH30" t="s">
        <v>6984</v>
      </c>
      <c r="HHI30" t="s">
        <v>6984</v>
      </c>
      <c r="HHJ30" t="s">
        <v>6984</v>
      </c>
      <c r="HHK30" t="s">
        <v>6984</v>
      </c>
      <c r="HHL30" t="s">
        <v>6984</v>
      </c>
      <c r="HHM30" t="s">
        <v>6984</v>
      </c>
      <c r="HHN30" t="s">
        <v>6984</v>
      </c>
      <c r="HHO30" t="s">
        <v>6984</v>
      </c>
      <c r="HHP30" t="s">
        <v>6984</v>
      </c>
      <c r="HHQ30" t="s">
        <v>6984</v>
      </c>
      <c r="HHR30" t="s">
        <v>6984</v>
      </c>
      <c r="HHS30" t="s">
        <v>6984</v>
      </c>
      <c r="HHT30" t="s">
        <v>6984</v>
      </c>
      <c r="HHU30" t="s">
        <v>6984</v>
      </c>
      <c r="HHV30" t="s">
        <v>6984</v>
      </c>
      <c r="HHW30" t="s">
        <v>6984</v>
      </c>
      <c r="HHX30" t="s">
        <v>6984</v>
      </c>
      <c r="HHY30" t="s">
        <v>6984</v>
      </c>
      <c r="HHZ30" t="s">
        <v>6984</v>
      </c>
      <c r="HIA30" t="s">
        <v>6984</v>
      </c>
      <c r="HIB30" t="s">
        <v>6984</v>
      </c>
      <c r="HIC30" t="s">
        <v>6984</v>
      </c>
      <c r="HID30" t="s">
        <v>6984</v>
      </c>
      <c r="HIE30" t="s">
        <v>6984</v>
      </c>
      <c r="HIF30" t="s">
        <v>6984</v>
      </c>
      <c r="HIG30" t="s">
        <v>6984</v>
      </c>
      <c r="HIH30" t="s">
        <v>6984</v>
      </c>
      <c r="HII30" t="s">
        <v>6984</v>
      </c>
      <c r="HIJ30" t="s">
        <v>6984</v>
      </c>
      <c r="HIK30" t="s">
        <v>6984</v>
      </c>
      <c r="HIL30" t="s">
        <v>6984</v>
      </c>
      <c r="HIM30" t="s">
        <v>6984</v>
      </c>
      <c r="HIN30" t="s">
        <v>6984</v>
      </c>
      <c r="HIO30" t="s">
        <v>6984</v>
      </c>
      <c r="HIP30" t="s">
        <v>6984</v>
      </c>
      <c r="HIQ30" t="s">
        <v>6984</v>
      </c>
      <c r="HIR30" t="s">
        <v>6984</v>
      </c>
      <c r="HIS30" t="s">
        <v>6984</v>
      </c>
      <c r="HIT30" t="s">
        <v>6984</v>
      </c>
      <c r="HIU30" t="s">
        <v>6984</v>
      </c>
      <c r="HIV30" t="s">
        <v>6984</v>
      </c>
      <c r="HIW30" t="s">
        <v>6984</v>
      </c>
      <c r="HIX30" t="s">
        <v>6984</v>
      </c>
      <c r="HIY30" t="s">
        <v>6984</v>
      </c>
      <c r="HIZ30" t="s">
        <v>6984</v>
      </c>
      <c r="HJA30" t="s">
        <v>6984</v>
      </c>
      <c r="HJB30" t="s">
        <v>6984</v>
      </c>
      <c r="HJC30" t="s">
        <v>6984</v>
      </c>
      <c r="HJD30" t="s">
        <v>6984</v>
      </c>
      <c r="HJE30" t="s">
        <v>6984</v>
      </c>
      <c r="HJF30" t="s">
        <v>6984</v>
      </c>
      <c r="HJG30" t="s">
        <v>6984</v>
      </c>
      <c r="HJH30" t="s">
        <v>6984</v>
      </c>
      <c r="HJI30" t="s">
        <v>6984</v>
      </c>
      <c r="HJJ30" t="s">
        <v>6984</v>
      </c>
      <c r="HJK30" t="s">
        <v>6984</v>
      </c>
      <c r="HJL30" t="s">
        <v>6984</v>
      </c>
      <c r="HJM30" t="s">
        <v>6984</v>
      </c>
      <c r="HJN30" t="s">
        <v>6984</v>
      </c>
      <c r="HJO30" t="s">
        <v>6984</v>
      </c>
      <c r="HJP30" t="s">
        <v>6984</v>
      </c>
      <c r="HJQ30" t="s">
        <v>6984</v>
      </c>
      <c r="HJR30" t="s">
        <v>6984</v>
      </c>
      <c r="HJS30" t="s">
        <v>6984</v>
      </c>
      <c r="HJT30" t="s">
        <v>6984</v>
      </c>
      <c r="HJU30" t="s">
        <v>6984</v>
      </c>
      <c r="HJV30" t="s">
        <v>6984</v>
      </c>
      <c r="HJW30" t="s">
        <v>6984</v>
      </c>
      <c r="HJX30" t="s">
        <v>6984</v>
      </c>
      <c r="HJY30" t="s">
        <v>6984</v>
      </c>
      <c r="HJZ30" t="s">
        <v>6984</v>
      </c>
      <c r="HKA30" t="s">
        <v>6984</v>
      </c>
      <c r="HKB30" t="s">
        <v>6984</v>
      </c>
      <c r="HKC30" t="s">
        <v>6984</v>
      </c>
      <c r="HKD30" t="s">
        <v>6984</v>
      </c>
      <c r="HKE30" t="s">
        <v>6984</v>
      </c>
      <c r="HKF30" t="s">
        <v>6984</v>
      </c>
      <c r="HKG30" t="s">
        <v>6984</v>
      </c>
      <c r="HKH30" t="s">
        <v>6984</v>
      </c>
      <c r="HKI30" t="s">
        <v>6984</v>
      </c>
      <c r="HKJ30" t="s">
        <v>6984</v>
      </c>
      <c r="HKK30" t="s">
        <v>6984</v>
      </c>
      <c r="HKL30" t="s">
        <v>6984</v>
      </c>
      <c r="HKM30" t="s">
        <v>6984</v>
      </c>
      <c r="HKN30" t="s">
        <v>6984</v>
      </c>
      <c r="HKO30" t="s">
        <v>6984</v>
      </c>
      <c r="HKP30" t="s">
        <v>6984</v>
      </c>
      <c r="HKQ30" t="s">
        <v>6984</v>
      </c>
      <c r="HKR30" t="s">
        <v>6984</v>
      </c>
      <c r="HKS30" t="s">
        <v>6984</v>
      </c>
      <c r="HKT30" t="s">
        <v>6984</v>
      </c>
      <c r="HKU30" t="s">
        <v>6984</v>
      </c>
      <c r="HKV30" t="s">
        <v>6984</v>
      </c>
      <c r="HKW30" t="s">
        <v>6984</v>
      </c>
      <c r="HKX30" t="s">
        <v>6984</v>
      </c>
      <c r="HKY30" t="s">
        <v>6984</v>
      </c>
      <c r="HKZ30" t="s">
        <v>6984</v>
      </c>
      <c r="HLA30" t="s">
        <v>6984</v>
      </c>
      <c r="HLB30" t="s">
        <v>6984</v>
      </c>
      <c r="HLC30" t="s">
        <v>6984</v>
      </c>
      <c r="HLD30" t="s">
        <v>6984</v>
      </c>
      <c r="HLE30" t="s">
        <v>6984</v>
      </c>
      <c r="HLF30" t="s">
        <v>6984</v>
      </c>
      <c r="HLG30" t="s">
        <v>6984</v>
      </c>
      <c r="HLH30" t="s">
        <v>6984</v>
      </c>
      <c r="HLI30" t="s">
        <v>6984</v>
      </c>
      <c r="HLJ30" t="s">
        <v>6984</v>
      </c>
      <c r="HLK30" t="s">
        <v>6984</v>
      </c>
      <c r="HLL30" t="s">
        <v>6984</v>
      </c>
      <c r="HLM30" t="s">
        <v>6984</v>
      </c>
      <c r="HLN30" t="s">
        <v>6984</v>
      </c>
      <c r="HLO30" t="s">
        <v>6984</v>
      </c>
      <c r="HLP30" t="s">
        <v>6984</v>
      </c>
      <c r="HLQ30" t="s">
        <v>6984</v>
      </c>
      <c r="HLR30" t="s">
        <v>6984</v>
      </c>
      <c r="HLS30" t="s">
        <v>6984</v>
      </c>
      <c r="HLT30" t="s">
        <v>6984</v>
      </c>
      <c r="HLU30" t="s">
        <v>6984</v>
      </c>
      <c r="HLV30" t="s">
        <v>6984</v>
      </c>
      <c r="HLW30" t="s">
        <v>6984</v>
      </c>
      <c r="HLX30" t="s">
        <v>6984</v>
      </c>
      <c r="HLY30" t="s">
        <v>6984</v>
      </c>
      <c r="HLZ30" t="s">
        <v>6984</v>
      </c>
      <c r="HMA30" t="s">
        <v>6984</v>
      </c>
      <c r="HMB30" t="s">
        <v>6984</v>
      </c>
      <c r="HMC30" t="s">
        <v>6984</v>
      </c>
      <c r="HMD30" t="s">
        <v>6984</v>
      </c>
      <c r="HME30" t="s">
        <v>6984</v>
      </c>
      <c r="HMF30" t="s">
        <v>6984</v>
      </c>
      <c r="HMG30" t="s">
        <v>6984</v>
      </c>
      <c r="HMH30" t="s">
        <v>6984</v>
      </c>
      <c r="HMI30" t="s">
        <v>6984</v>
      </c>
      <c r="HMJ30" t="s">
        <v>6984</v>
      </c>
      <c r="HMK30" t="s">
        <v>6984</v>
      </c>
      <c r="HML30" t="s">
        <v>6984</v>
      </c>
      <c r="HMM30" t="s">
        <v>6984</v>
      </c>
      <c r="HMN30" t="s">
        <v>6984</v>
      </c>
      <c r="HMO30" t="s">
        <v>6984</v>
      </c>
      <c r="HMP30" t="s">
        <v>6984</v>
      </c>
      <c r="HMQ30" t="s">
        <v>6984</v>
      </c>
      <c r="HMR30" t="s">
        <v>6984</v>
      </c>
      <c r="HMS30" t="s">
        <v>6984</v>
      </c>
      <c r="HMT30" t="s">
        <v>6984</v>
      </c>
      <c r="HMU30" t="s">
        <v>6984</v>
      </c>
      <c r="HMV30" t="s">
        <v>6984</v>
      </c>
      <c r="HMW30" t="s">
        <v>6984</v>
      </c>
      <c r="HMX30" t="s">
        <v>6984</v>
      </c>
      <c r="HMY30" t="s">
        <v>6984</v>
      </c>
      <c r="HMZ30" t="s">
        <v>6984</v>
      </c>
      <c r="HNA30" t="s">
        <v>6984</v>
      </c>
      <c r="HNB30" t="s">
        <v>6984</v>
      </c>
      <c r="HNC30" t="s">
        <v>6984</v>
      </c>
      <c r="HND30" t="s">
        <v>6984</v>
      </c>
      <c r="HNE30" t="s">
        <v>6984</v>
      </c>
      <c r="HNF30" t="s">
        <v>6984</v>
      </c>
      <c r="HNG30" t="s">
        <v>6984</v>
      </c>
      <c r="HNH30" t="s">
        <v>6984</v>
      </c>
      <c r="HNI30" t="s">
        <v>6984</v>
      </c>
      <c r="HNJ30" t="s">
        <v>6984</v>
      </c>
      <c r="HNK30" t="s">
        <v>6984</v>
      </c>
      <c r="HNL30" t="s">
        <v>6984</v>
      </c>
      <c r="HNM30" t="s">
        <v>6984</v>
      </c>
      <c r="HNN30" t="s">
        <v>6984</v>
      </c>
      <c r="HNO30" t="s">
        <v>6984</v>
      </c>
      <c r="HNP30" t="s">
        <v>6984</v>
      </c>
      <c r="HNQ30" t="s">
        <v>6984</v>
      </c>
      <c r="HNR30" t="s">
        <v>6984</v>
      </c>
      <c r="HNS30" t="s">
        <v>6984</v>
      </c>
      <c r="HNT30" t="s">
        <v>6984</v>
      </c>
      <c r="HNU30" t="s">
        <v>6984</v>
      </c>
      <c r="HNV30" t="s">
        <v>6984</v>
      </c>
      <c r="HNW30" t="s">
        <v>6984</v>
      </c>
      <c r="HNX30" t="s">
        <v>6984</v>
      </c>
      <c r="HNY30" t="s">
        <v>6984</v>
      </c>
      <c r="HNZ30" t="s">
        <v>6984</v>
      </c>
      <c r="HOA30" t="s">
        <v>6984</v>
      </c>
      <c r="HOB30" t="s">
        <v>6984</v>
      </c>
      <c r="HOC30" t="s">
        <v>6984</v>
      </c>
      <c r="HOD30" t="s">
        <v>6984</v>
      </c>
      <c r="HOE30" t="s">
        <v>6984</v>
      </c>
      <c r="HOF30" t="s">
        <v>6984</v>
      </c>
      <c r="HOG30" t="s">
        <v>6984</v>
      </c>
      <c r="HOH30" t="s">
        <v>6984</v>
      </c>
      <c r="HOI30" t="s">
        <v>6984</v>
      </c>
      <c r="HOJ30" t="s">
        <v>6984</v>
      </c>
      <c r="HOK30" t="s">
        <v>6984</v>
      </c>
      <c r="HOL30" t="s">
        <v>6984</v>
      </c>
      <c r="HOM30" t="s">
        <v>6984</v>
      </c>
      <c r="HON30" t="s">
        <v>6984</v>
      </c>
      <c r="HOO30" t="s">
        <v>6984</v>
      </c>
      <c r="HOP30" t="s">
        <v>6984</v>
      </c>
      <c r="HOQ30" t="s">
        <v>6984</v>
      </c>
      <c r="HOR30" t="s">
        <v>6984</v>
      </c>
      <c r="HOS30" t="s">
        <v>6984</v>
      </c>
      <c r="HOT30" t="s">
        <v>6984</v>
      </c>
      <c r="HOU30" t="s">
        <v>6984</v>
      </c>
      <c r="HOV30" t="s">
        <v>6984</v>
      </c>
      <c r="HOW30" t="s">
        <v>6984</v>
      </c>
      <c r="HOX30" t="s">
        <v>6984</v>
      </c>
      <c r="HOY30" t="s">
        <v>6984</v>
      </c>
      <c r="HOZ30" t="s">
        <v>6984</v>
      </c>
      <c r="HPA30" t="s">
        <v>6984</v>
      </c>
      <c r="HPB30" t="s">
        <v>6984</v>
      </c>
      <c r="HPC30" t="s">
        <v>6984</v>
      </c>
      <c r="HPD30" t="s">
        <v>6984</v>
      </c>
      <c r="HPE30" t="s">
        <v>6984</v>
      </c>
      <c r="HPF30" t="s">
        <v>6984</v>
      </c>
      <c r="HPG30" t="s">
        <v>6984</v>
      </c>
      <c r="HPH30" t="s">
        <v>6984</v>
      </c>
      <c r="HPI30" t="s">
        <v>6984</v>
      </c>
      <c r="HPJ30" t="s">
        <v>6984</v>
      </c>
      <c r="HPK30" t="s">
        <v>6984</v>
      </c>
      <c r="HPL30" t="s">
        <v>6984</v>
      </c>
      <c r="HPM30" t="s">
        <v>6984</v>
      </c>
      <c r="HPN30" t="s">
        <v>6984</v>
      </c>
      <c r="HPO30" t="s">
        <v>6984</v>
      </c>
      <c r="HPP30" t="s">
        <v>6984</v>
      </c>
      <c r="HPQ30" t="s">
        <v>6984</v>
      </c>
      <c r="HPR30" t="s">
        <v>6984</v>
      </c>
      <c r="HPS30" t="s">
        <v>6984</v>
      </c>
      <c r="HPT30" t="s">
        <v>6984</v>
      </c>
      <c r="HPU30" t="s">
        <v>6984</v>
      </c>
      <c r="HPV30" t="s">
        <v>6984</v>
      </c>
      <c r="HPW30" t="s">
        <v>6984</v>
      </c>
      <c r="HPX30" t="s">
        <v>6984</v>
      </c>
      <c r="HPY30" t="s">
        <v>6984</v>
      </c>
      <c r="HPZ30" t="s">
        <v>6984</v>
      </c>
      <c r="HQA30" t="s">
        <v>6984</v>
      </c>
      <c r="HQB30" t="s">
        <v>6984</v>
      </c>
      <c r="HQC30" t="s">
        <v>6984</v>
      </c>
      <c r="HQD30" t="s">
        <v>6984</v>
      </c>
      <c r="HQE30" t="s">
        <v>6984</v>
      </c>
      <c r="HQF30" t="s">
        <v>6984</v>
      </c>
      <c r="HQG30" t="s">
        <v>6984</v>
      </c>
      <c r="HQH30" t="s">
        <v>6984</v>
      </c>
      <c r="HQI30" t="s">
        <v>6984</v>
      </c>
      <c r="HQJ30" t="s">
        <v>6984</v>
      </c>
      <c r="HQK30" t="s">
        <v>6984</v>
      </c>
      <c r="HQL30" t="s">
        <v>6984</v>
      </c>
      <c r="HQM30" t="s">
        <v>6984</v>
      </c>
      <c r="HQN30" t="s">
        <v>6984</v>
      </c>
      <c r="HQO30" t="s">
        <v>6984</v>
      </c>
      <c r="HQP30" t="s">
        <v>6984</v>
      </c>
      <c r="HQQ30" t="s">
        <v>6984</v>
      </c>
      <c r="HQR30" t="s">
        <v>6984</v>
      </c>
      <c r="HQS30" t="s">
        <v>6984</v>
      </c>
      <c r="HQT30" t="s">
        <v>6984</v>
      </c>
      <c r="HQU30" t="s">
        <v>6984</v>
      </c>
      <c r="HQV30" t="s">
        <v>6984</v>
      </c>
      <c r="HQW30" t="s">
        <v>6984</v>
      </c>
      <c r="HQX30" t="s">
        <v>6984</v>
      </c>
      <c r="HQY30" t="s">
        <v>6984</v>
      </c>
      <c r="HQZ30" t="s">
        <v>6984</v>
      </c>
      <c r="HRA30" t="s">
        <v>6984</v>
      </c>
      <c r="HRB30" t="s">
        <v>6984</v>
      </c>
      <c r="HRC30" t="s">
        <v>6984</v>
      </c>
      <c r="HRD30" t="s">
        <v>6984</v>
      </c>
      <c r="HRE30" t="s">
        <v>6984</v>
      </c>
      <c r="HRF30" t="s">
        <v>6984</v>
      </c>
      <c r="HRG30" t="s">
        <v>6984</v>
      </c>
      <c r="HRH30" t="s">
        <v>6984</v>
      </c>
      <c r="HRI30" t="s">
        <v>6984</v>
      </c>
      <c r="HRJ30" t="s">
        <v>6984</v>
      </c>
      <c r="HRK30" t="s">
        <v>6984</v>
      </c>
      <c r="HRL30" t="s">
        <v>6984</v>
      </c>
      <c r="HRM30" t="s">
        <v>6984</v>
      </c>
      <c r="HRN30" t="s">
        <v>6984</v>
      </c>
      <c r="HRO30" t="s">
        <v>6984</v>
      </c>
      <c r="HRP30" t="s">
        <v>6984</v>
      </c>
      <c r="HRQ30" t="s">
        <v>6984</v>
      </c>
      <c r="HRR30" t="s">
        <v>6984</v>
      </c>
      <c r="HRS30" t="s">
        <v>6984</v>
      </c>
      <c r="HRT30" t="s">
        <v>6984</v>
      </c>
      <c r="HRU30" t="s">
        <v>6984</v>
      </c>
      <c r="HRV30" t="s">
        <v>6984</v>
      </c>
      <c r="HRW30" t="s">
        <v>6984</v>
      </c>
      <c r="HRX30" t="s">
        <v>6984</v>
      </c>
      <c r="HRY30" t="s">
        <v>6984</v>
      </c>
      <c r="HRZ30" t="s">
        <v>6984</v>
      </c>
      <c r="HSA30" t="s">
        <v>6984</v>
      </c>
      <c r="HSB30" t="s">
        <v>6984</v>
      </c>
      <c r="HSC30" t="s">
        <v>6984</v>
      </c>
      <c r="HSD30" t="s">
        <v>6984</v>
      </c>
      <c r="HSE30" t="s">
        <v>6984</v>
      </c>
      <c r="HSF30" t="s">
        <v>6984</v>
      </c>
      <c r="HSG30" t="s">
        <v>6984</v>
      </c>
      <c r="HSH30" t="s">
        <v>6984</v>
      </c>
      <c r="HSI30" t="s">
        <v>6984</v>
      </c>
      <c r="HSJ30" t="s">
        <v>6984</v>
      </c>
      <c r="HSK30" t="s">
        <v>6984</v>
      </c>
      <c r="HSL30" t="s">
        <v>6984</v>
      </c>
      <c r="HSM30" t="s">
        <v>6984</v>
      </c>
      <c r="HSN30" t="s">
        <v>6984</v>
      </c>
      <c r="HSO30" t="s">
        <v>6984</v>
      </c>
      <c r="HSP30" t="s">
        <v>6984</v>
      </c>
      <c r="HSQ30" t="s">
        <v>6984</v>
      </c>
      <c r="HSR30" t="s">
        <v>6984</v>
      </c>
      <c r="HSS30" t="s">
        <v>6984</v>
      </c>
      <c r="HST30" t="s">
        <v>6984</v>
      </c>
      <c r="HSU30" t="s">
        <v>6984</v>
      </c>
      <c r="HSV30" t="s">
        <v>6984</v>
      </c>
      <c r="HSW30" t="s">
        <v>6984</v>
      </c>
      <c r="HSX30" t="s">
        <v>6984</v>
      </c>
      <c r="HSY30" t="s">
        <v>6984</v>
      </c>
      <c r="HSZ30" t="s">
        <v>6984</v>
      </c>
      <c r="HTA30" t="s">
        <v>6984</v>
      </c>
      <c r="HTB30" t="s">
        <v>6984</v>
      </c>
      <c r="HTC30" t="s">
        <v>6984</v>
      </c>
      <c r="HTD30" t="s">
        <v>6984</v>
      </c>
      <c r="HTE30" t="s">
        <v>6984</v>
      </c>
      <c r="HTF30" t="s">
        <v>6984</v>
      </c>
      <c r="HTG30" t="s">
        <v>6984</v>
      </c>
      <c r="HTH30" t="s">
        <v>6984</v>
      </c>
      <c r="HTI30" t="s">
        <v>6984</v>
      </c>
      <c r="HTJ30" t="s">
        <v>6984</v>
      </c>
      <c r="HTK30" t="s">
        <v>6984</v>
      </c>
      <c r="HTL30" t="s">
        <v>6984</v>
      </c>
      <c r="HTM30" t="s">
        <v>6984</v>
      </c>
      <c r="HTN30" t="s">
        <v>6984</v>
      </c>
      <c r="HTO30" t="s">
        <v>6984</v>
      </c>
      <c r="HTP30" t="s">
        <v>6984</v>
      </c>
      <c r="HTQ30" t="s">
        <v>6984</v>
      </c>
      <c r="HTR30" t="s">
        <v>6984</v>
      </c>
      <c r="HTS30" t="s">
        <v>6984</v>
      </c>
      <c r="HTT30" t="s">
        <v>6984</v>
      </c>
      <c r="HTU30" t="s">
        <v>6984</v>
      </c>
      <c r="HTV30" t="s">
        <v>6984</v>
      </c>
      <c r="HTW30" t="s">
        <v>6984</v>
      </c>
      <c r="HTX30" t="s">
        <v>6984</v>
      </c>
      <c r="HTY30" t="s">
        <v>6984</v>
      </c>
      <c r="HTZ30" t="s">
        <v>6984</v>
      </c>
      <c r="HUA30" t="s">
        <v>6984</v>
      </c>
      <c r="HUB30" t="s">
        <v>6984</v>
      </c>
      <c r="HUC30" t="s">
        <v>6984</v>
      </c>
      <c r="HUD30" t="s">
        <v>6984</v>
      </c>
      <c r="HUE30" t="s">
        <v>6984</v>
      </c>
      <c r="HUF30" t="s">
        <v>6984</v>
      </c>
      <c r="HUG30" t="s">
        <v>6984</v>
      </c>
      <c r="HUH30" t="s">
        <v>6984</v>
      </c>
      <c r="HUI30" t="s">
        <v>6984</v>
      </c>
      <c r="HUJ30" t="s">
        <v>6984</v>
      </c>
      <c r="HUK30" t="s">
        <v>6984</v>
      </c>
      <c r="HUL30" t="s">
        <v>6984</v>
      </c>
      <c r="HUM30" t="s">
        <v>6984</v>
      </c>
      <c r="HUN30" t="s">
        <v>6984</v>
      </c>
      <c r="HUO30" t="s">
        <v>6984</v>
      </c>
      <c r="HUP30" t="s">
        <v>6984</v>
      </c>
      <c r="HUQ30" t="s">
        <v>6984</v>
      </c>
      <c r="HUR30" t="s">
        <v>6984</v>
      </c>
      <c r="HUS30" t="s">
        <v>6984</v>
      </c>
      <c r="HUT30" t="s">
        <v>6984</v>
      </c>
      <c r="HUU30" t="s">
        <v>6984</v>
      </c>
      <c r="HUV30" t="s">
        <v>6984</v>
      </c>
      <c r="HUW30" t="s">
        <v>6984</v>
      </c>
      <c r="HUX30" t="s">
        <v>6984</v>
      </c>
      <c r="HUY30" t="s">
        <v>6984</v>
      </c>
      <c r="HUZ30" t="s">
        <v>6984</v>
      </c>
      <c r="HVA30" t="s">
        <v>6984</v>
      </c>
      <c r="HVB30" t="s">
        <v>6984</v>
      </c>
      <c r="HVC30" t="s">
        <v>6984</v>
      </c>
      <c r="HVD30" t="s">
        <v>6984</v>
      </c>
      <c r="HVE30" t="s">
        <v>6984</v>
      </c>
      <c r="HVF30" t="s">
        <v>6984</v>
      </c>
      <c r="HVG30" t="s">
        <v>6984</v>
      </c>
      <c r="HVH30" t="s">
        <v>6984</v>
      </c>
      <c r="HVI30" t="s">
        <v>6984</v>
      </c>
      <c r="HVJ30" t="s">
        <v>6984</v>
      </c>
      <c r="HVK30" t="s">
        <v>6984</v>
      </c>
      <c r="HVL30" t="s">
        <v>6984</v>
      </c>
      <c r="HVM30" t="s">
        <v>6984</v>
      </c>
      <c r="HVN30" t="s">
        <v>6984</v>
      </c>
      <c r="HVO30" t="s">
        <v>6984</v>
      </c>
      <c r="HVP30" t="s">
        <v>6984</v>
      </c>
      <c r="HVQ30" t="s">
        <v>6984</v>
      </c>
      <c r="HVR30" t="s">
        <v>6984</v>
      </c>
      <c r="HVS30" t="s">
        <v>6984</v>
      </c>
      <c r="HVT30" t="s">
        <v>6984</v>
      </c>
      <c r="HVU30" t="s">
        <v>6984</v>
      </c>
      <c r="HVV30" t="s">
        <v>6984</v>
      </c>
      <c r="HVW30" t="s">
        <v>6984</v>
      </c>
      <c r="HVX30" t="s">
        <v>6984</v>
      </c>
      <c r="HVY30" t="s">
        <v>6984</v>
      </c>
      <c r="HVZ30" t="s">
        <v>6984</v>
      </c>
      <c r="HWA30" t="s">
        <v>6984</v>
      </c>
      <c r="HWB30" t="s">
        <v>6984</v>
      </c>
      <c r="HWC30" t="s">
        <v>6984</v>
      </c>
      <c r="HWD30" t="s">
        <v>6984</v>
      </c>
      <c r="HWE30" t="s">
        <v>6984</v>
      </c>
      <c r="HWF30" t="s">
        <v>6984</v>
      </c>
      <c r="HWG30" t="s">
        <v>6984</v>
      </c>
      <c r="HWH30" t="s">
        <v>6984</v>
      </c>
      <c r="HWI30" t="s">
        <v>6984</v>
      </c>
      <c r="HWJ30" t="s">
        <v>6984</v>
      </c>
      <c r="HWK30" t="s">
        <v>6984</v>
      </c>
      <c r="HWL30" t="s">
        <v>6984</v>
      </c>
      <c r="HWM30" t="s">
        <v>6984</v>
      </c>
      <c r="HWN30" t="s">
        <v>6984</v>
      </c>
      <c r="HWO30" t="s">
        <v>6984</v>
      </c>
      <c r="HWP30" t="s">
        <v>6984</v>
      </c>
      <c r="HWQ30" t="s">
        <v>6984</v>
      </c>
      <c r="HWR30" t="s">
        <v>6984</v>
      </c>
      <c r="HWS30" t="s">
        <v>6984</v>
      </c>
      <c r="HWT30" t="s">
        <v>6984</v>
      </c>
      <c r="HWU30" t="s">
        <v>6984</v>
      </c>
      <c r="HWV30" t="s">
        <v>6984</v>
      </c>
      <c r="HWW30" t="s">
        <v>6984</v>
      </c>
      <c r="HWX30" t="s">
        <v>6984</v>
      </c>
      <c r="HWY30" t="s">
        <v>6984</v>
      </c>
      <c r="HWZ30" t="s">
        <v>6984</v>
      </c>
      <c r="HXA30" t="s">
        <v>6984</v>
      </c>
      <c r="HXB30" t="s">
        <v>6984</v>
      </c>
      <c r="HXC30" t="s">
        <v>6984</v>
      </c>
      <c r="HXD30" t="s">
        <v>6984</v>
      </c>
      <c r="HXE30" t="s">
        <v>6984</v>
      </c>
      <c r="HXF30" t="s">
        <v>6984</v>
      </c>
      <c r="HXG30" t="s">
        <v>6984</v>
      </c>
      <c r="HXH30" t="s">
        <v>6984</v>
      </c>
      <c r="HXI30" t="s">
        <v>6984</v>
      </c>
      <c r="HXJ30" t="s">
        <v>6984</v>
      </c>
      <c r="HXK30" t="s">
        <v>6984</v>
      </c>
      <c r="HXL30" t="s">
        <v>6984</v>
      </c>
      <c r="HXM30" t="s">
        <v>6984</v>
      </c>
      <c r="HXN30" t="s">
        <v>6984</v>
      </c>
      <c r="HXO30" t="s">
        <v>6984</v>
      </c>
      <c r="HXP30" t="s">
        <v>6984</v>
      </c>
      <c r="HXQ30" t="s">
        <v>6984</v>
      </c>
      <c r="HXR30" t="s">
        <v>6984</v>
      </c>
      <c r="HXS30" t="s">
        <v>6984</v>
      </c>
      <c r="HXT30" t="s">
        <v>6984</v>
      </c>
      <c r="HXU30" t="s">
        <v>6984</v>
      </c>
      <c r="HXV30" t="s">
        <v>6984</v>
      </c>
      <c r="HXW30" t="s">
        <v>6984</v>
      </c>
      <c r="HXX30" t="s">
        <v>6984</v>
      </c>
      <c r="HXY30" t="s">
        <v>6984</v>
      </c>
      <c r="HXZ30" t="s">
        <v>6984</v>
      </c>
      <c r="HYA30" t="s">
        <v>6984</v>
      </c>
      <c r="HYB30" t="s">
        <v>6984</v>
      </c>
      <c r="HYC30" t="s">
        <v>6984</v>
      </c>
      <c r="HYD30" t="s">
        <v>6984</v>
      </c>
      <c r="HYE30" t="s">
        <v>6984</v>
      </c>
      <c r="HYF30" t="s">
        <v>6984</v>
      </c>
      <c r="HYG30" t="s">
        <v>6984</v>
      </c>
      <c r="HYH30" t="s">
        <v>6984</v>
      </c>
      <c r="HYI30" t="s">
        <v>6984</v>
      </c>
      <c r="HYJ30" t="s">
        <v>6984</v>
      </c>
      <c r="HYK30" t="s">
        <v>6984</v>
      </c>
      <c r="HYL30" t="s">
        <v>6984</v>
      </c>
      <c r="HYM30" t="s">
        <v>6984</v>
      </c>
      <c r="HYN30" t="s">
        <v>6984</v>
      </c>
      <c r="HYO30" t="s">
        <v>6984</v>
      </c>
      <c r="HYP30" t="s">
        <v>6984</v>
      </c>
      <c r="HYQ30" t="s">
        <v>6984</v>
      </c>
      <c r="HYR30" t="s">
        <v>6984</v>
      </c>
      <c r="HYS30" t="s">
        <v>6984</v>
      </c>
      <c r="HYT30" t="s">
        <v>6984</v>
      </c>
      <c r="HYU30" t="s">
        <v>6984</v>
      </c>
      <c r="HYV30" t="s">
        <v>6984</v>
      </c>
      <c r="HYW30" t="s">
        <v>6984</v>
      </c>
      <c r="HYX30" t="s">
        <v>6984</v>
      </c>
      <c r="HYY30" t="s">
        <v>6984</v>
      </c>
      <c r="HYZ30" t="s">
        <v>6984</v>
      </c>
      <c r="HZA30" t="s">
        <v>6984</v>
      </c>
      <c r="HZB30" t="s">
        <v>6984</v>
      </c>
      <c r="HZC30" t="s">
        <v>6984</v>
      </c>
      <c r="HZD30" t="s">
        <v>6984</v>
      </c>
      <c r="HZE30" t="s">
        <v>6984</v>
      </c>
      <c r="HZF30" t="s">
        <v>6984</v>
      </c>
      <c r="HZG30" t="s">
        <v>6984</v>
      </c>
      <c r="HZH30" t="s">
        <v>6984</v>
      </c>
      <c r="HZI30" t="s">
        <v>6984</v>
      </c>
      <c r="HZJ30" t="s">
        <v>6984</v>
      </c>
      <c r="HZK30" t="s">
        <v>6984</v>
      </c>
      <c r="HZL30" t="s">
        <v>6984</v>
      </c>
      <c r="HZM30" t="s">
        <v>6984</v>
      </c>
      <c r="HZN30" t="s">
        <v>6984</v>
      </c>
      <c r="HZO30" t="s">
        <v>6984</v>
      </c>
      <c r="HZP30" t="s">
        <v>6984</v>
      </c>
      <c r="HZQ30" t="s">
        <v>6984</v>
      </c>
      <c r="HZR30" t="s">
        <v>6984</v>
      </c>
      <c r="HZS30" t="s">
        <v>6984</v>
      </c>
      <c r="HZT30" t="s">
        <v>6984</v>
      </c>
      <c r="HZU30" t="s">
        <v>6984</v>
      </c>
      <c r="HZV30" t="s">
        <v>6984</v>
      </c>
      <c r="HZW30" t="s">
        <v>6984</v>
      </c>
      <c r="HZX30" t="s">
        <v>6984</v>
      </c>
      <c r="HZY30" t="s">
        <v>6984</v>
      </c>
      <c r="HZZ30" t="s">
        <v>6984</v>
      </c>
      <c r="IAA30" t="s">
        <v>6984</v>
      </c>
      <c r="IAB30" t="s">
        <v>6984</v>
      </c>
      <c r="IAC30" t="s">
        <v>6984</v>
      </c>
      <c r="IAD30" t="s">
        <v>6984</v>
      </c>
      <c r="IAE30" t="s">
        <v>6984</v>
      </c>
      <c r="IAF30" t="s">
        <v>6984</v>
      </c>
      <c r="IAG30" t="s">
        <v>6984</v>
      </c>
      <c r="IAH30" t="s">
        <v>6984</v>
      </c>
      <c r="IAI30" t="s">
        <v>6984</v>
      </c>
      <c r="IAJ30" t="s">
        <v>6984</v>
      </c>
      <c r="IAK30" t="s">
        <v>6984</v>
      </c>
      <c r="IAL30" t="s">
        <v>6984</v>
      </c>
      <c r="IAM30" t="s">
        <v>6984</v>
      </c>
      <c r="IAN30" t="s">
        <v>6984</v>
      </c>
      <c r="IAO30" t="s">
        <v>6984</v>
      </c>
      <c r="IAP30" t="s">
        <v>6984</v>
      </c>
      <c r="IAQ30" t="s">
        <v>6984</v>
      </c>
      <c r="IAR30" t="s">
        <v>6984</v>
      </c>
      <c r="IAS30" t="s">
        <v>6984</v>
      </c>
      <c r="IAT30" t="s">
        <v>6984</v>
      </c>
      <c r="IAU30" t="s">
        <v>6984</v>
      </c>
      <c r="IAV30" t="s">
        <v>6984</v>
      </c>
      <c r="IAW30" t="s">
        <v>6984</v>
      </c>
      <c r="IAX30" t="s">
        <v>6984</v>
      </c>
      <c r="IAY30" t="s">
        <v>6984</v>
      </c>
      <c r="IAZ30" t="s">
        <v>6984</v>
      </c>
      <c r="IBA30" t="s">
        <v>6984</v>
      </c>
      <c r="IBB30" t="s">
        <v>6984</v>
      </c>
      <c r="IBC30" t="s">
        <v>6984</v>
      </c>
      <c r="IBD30" t="s">
        <v>6984</v>
      </c>
      <c r="IBE30" t="s">
        <v>6984</v>
      </c>
      <c r="IBF30" t="s">
        <v>6984</v>
      </c>
      <c r="IBG30" t="s">
        <v>6984</v>
      </c>
      <c r="IBH30" t="s">
        <v>6984</v>
      </c>
      <c r="IBI30" t="s">
        <v>6984</v>
      </c>
      <c r="IBJ30" t="s">
        <v>6984</v>
      </c>
      <c r="IBK30" t="s">
        <v>6984</v>
      </c>
      <c r="IBL30" t="s">
        <v>6984</v>
      </c>
      <c r="IBM30" t="s">
        <v>6984</v>
      </c>
      <c r="IBN30" t="s">
        <v>6984</v>
      </c>
      <c r="IBO30" t="s">
        <v>6984</v>
      </c>
      <c r="IBP30" t="s">
        <v>6984</v>
      </c>
      <c r="IBQ30" t="s">
        <v>6984</v>
      </c>
      <c r="IBR30" t="s">
        <v>6984</v>
      </c>
      <c r="IBS30" t="s">
        <v>6984</v>
      </c>
      <c r="IBT30" t="s">
        <v>6984</v>
      </c>
      <c r="IBU30" t="s">
        <v>6984</v>
      </c>
      <c r="IBV30" t="s">
        <v>6984</v>
      </c>
      <c r="IBW30" t="s">
        <v>6984</v>
      </c>
      <c r="IBX30" t="s">
        <v>6984</v>
      </c>
      <c r="IBY30" t="s">
        <v>6984</v>
      </c>
      <c r="IBZ30" t="s">
        <v>6984</v>
      </c>
      <c r="ICA30" t="s">
        <v>6984</v>
      </c>
      <c r="ICB30" t="s">
        <v>6984</v>
      </c>
      <c r="ICC30" t="s">
        <v>6984</v>
      </c>
      <c r="ICD30" t="s">
        <v>6984</v>
      </c>
      <c r="ICE30" t="s">
        <v>6984</v>
      </c>
      <c r="ICF30" t="s">
        <v>6984</v>
      </c>
      <c r="ICG30" t="s">
        <v>6984</v>
      </c>
      <c r="ICH30" t="s">
        <v>6984</v>
      </c>
      <c r="ICI30" t="s">
        <v>6984</v>
      </c>
      <c r="ICJ30" t="s">
        <v>6984</v>
      </c>
      <c r="ICK30" t="s">
        <v>6984</v>
      </c>
      <c r="ICL30" t="s">
        <v>6984</v>
      </c>
      <c r="ICM30" t="s">
        <v>6984</v>
      </c>
      <c r="ICN30" t="s">
        <v>6984</v>
      </c>
      <c r="ICO30" t="s">
        <v>6984</v>
      </c>
      <c r="ICP30" t="s">
        <v>6984</v>
      </c>
      <c r="ICQ30" t="s">
        <v>6984</v>
      </c>
      <c r="ICR30" t="s">
        <v>6984</v>
      </c>
      <c r="ICS30" t="s">
        <v>6984</v>
      </c>
      <c r="ICT30" t="s">
        <v>6984</v>
      </c>
      <c r="ICU30" t="s">
        <v>6984</v>
      </c>
      <c r="ICV30" t="s">
        <v>6984</v>
      </c>
      <c r="ICW30" t="s">
        <v>6984</v>
      </c>
      <c r="ICX30" t="s">
        <v>6984</v>
      </c>
      <c r="ICY30" t="s">
        <v>6984</v>
      </c>
      <c r="ICZ30" t="s">
        <v>6984</v>
      </c>
      <c r="IDA30" t="s">
        <v>6984</v>
      </c>
      <c r="IDB30" t="s">
        <v>6984</v>
      </c>
      <c r="IDC30" t="s">
        <v>6984</v>
      </c>
      <c r="IDD30" t="s">
        <v>6984</v>
      </c>
      <c r="IDE30" t="s">
        <v>6984</v>
      </c>
      <c r="IDF30" t="s">
        <v>6984</v>
      </c>
      <c r="IDG30" t="s">
        <v>6984</v>
      </c>
      <c r="IDH30" t="s">
        <v>6984</v>
      </c>
      <c r="IDI30" t="s">
        <v>6984</v>
      </c>
      <c r="IDJ30" t="s">
        <v>6984</v>
      </c>
      <c r="IDK30" t="s">
        <v>6984</v>
      </c>
      <c r="IDL30" t="s">
        <v>6984</v>
      </c>
      <c r="IDM30" t="s">
        <v>6984</v>
      </c>
      <c r="IDN30" t="s">
        <v>6984</v>
      </c>
      <c r="IDO30" t="s">
        <v>6984</v>
      </c>
      <c r="IDP30" t="s">
        <v>6984</v>
      </c>
      <c r="IDQ30" t="s">
        <v>6984</v>
      </c>
      <c r="IDR30" t="s">
        <v>6984</v>
      </c>
      <c r="IDS30" t="s">
        <v>6984</v>
      </c>
      <c r="IDT30" t="s">
        <v>6984</v>
      </c>
      <c r="IDU30" t="s">
        <v>6984</v>
      </c>
      <c r="IDV30" t="s">
        <v>6984</v>
      </c>
      <c r="IDW30" t="s">
        <v>6984</v>
      </c>
      <c r="IDX30" t="s">
        <v>6984</v>
      </c>
      <c r="IDY30" t="s">
        <v>6984</v>
      </c>
      <c r="IDZ30" t="s">
        <v>6984</v>
      </c>
      <c r="IEA30" t="s">
        <v>6984</v>
      </c>
      <c r="IEB30" t="s">
        <v>6984</v>
      </c>
      <c r="IEC30" t="s">
        <v>6984</v>
      </c>
      <c r="IED30" t="s">
        <v>6984</v>
      </c>
      <c r="IEE30" t="s">
        <v>6984</v>
      </c>
      <c r="IEF30" t="s">
        <v>6984</v>
      </c>
      <c r="IEG30" t="s">
        <v>6984</v>
      </c>
      <c r="IEH30" t="s">
        <v>6984</v>
      </c>
      <c r="IEI30" t="s">
        <v>6984</v>
      </c>
      <c r="IEJ30" t="s">
        <v>6984</v>
      </c>
      <c r="IEK30" t="s">
        <v>6984</v>
      </c>
      <c r="IEL30" t="s">
        <v>6984</v>
      </c>
      <c r="IEM30" t="s">
        <v>6984</v>
      </c>
      <c r="IEN30" t="s">
        <v>6984</v>
      </c>
      <c r="IEO30" t="s">
        <v>6984</v>
      </c>
      <c r="IEP30" t="s">
        <v>6984</v>
      </c>
      <c r="IEQ30" t="s">
        <v>6984</v>
      </c>
      <c r="IER30" t="s">
        <v>6984</v>
      </c>
      <c r="IES30" t="s">
        <v>6984</v>
      </c>
      <c r="IET30" t="s">
        <v>6984</v>
      </c>
      <c r="IEU30" t="s">
        <v>6984</v>
      </c>
      <c r="IEV30" t="s">
        <v>6984</v>
      </c>
      <c r="IEW30" t="s">
        <v>6984</v>
      </c>
      <c r="IEX30" t="s">
        <v>6984</v>
      </c>
      <c r="IEY30" t="s">
        <v>6984</v>
      </c>
      <c r="IEZ30" t="s">
        <v>6984</v>
      </c>
      <c r="IFA30" t="s">
        <v>6984</v>
      </c>
      <c r="IFB30" t="s">
        <v>6984</v>
      </c>
      <c r="IFC30" t="s">
        <v>6984</v>
      </c>
      <c r="IFD30" t="s">
        <v>6984</v>
      </c>
      <c r="IFE30" t="s">
        <v>6984</v>
      </c>
      <c r="IFF30" t="s">
        <v>6984</v>
      </c>
      <c r="IFG30" t="s">
        <v>6984</v>
      </c>
      <c r="IFH30" t="s">
        <v>6984</v>
      </c>
      <c r="IFI30" t="s">
        <v>6984</v>
      </c>
      <c r="IFJ30" t="s">
        <v>6984</v>
      </c>
      <c r="IFK30" t="s">
        <v>6984</v>
      </c>
      <c r="IFL30" t="s">
        <v>6984</v>
      </c>
      <c r="IFM30" t="s">
        <v>6984</v>
      </c>
      <c r="IFN30" t="s">
        <v>6984</v>
      </c>
      <c r="IFO30" t="s">
        <v>6984</v>
      </c>
      <c r="IFP30" t="s">
        <v>6984</v>
      </c>
      <c r="IFQ30" t="s">
        <v>6984</v>
      </c>
      <c r="IFR30" t="s">
        <v>6984</v>
      </c>
      <c r="IFS30" t="s">
        <v>6984</v>
      </c>
      <c r="IFT30" t="s">
        <v>6984</v>
      </c>
      <c r="IFU30" t="s">
        <v>6984</v>
      </c>
      <c r="IFV30" t="s">
        <v>6984</v>
      </c>
      <c r="IFW30" t="s">
        <v>6984</v>
      </c>
      <c r="IFX30" t="s">
        <v>6984</v>
      </c>
      <c r="IFY30" t="s">
        <v>6984</v>
      </c>
      <c r="IFZ30" t="s">
        <v>6984</v>
      </c>
      <c r="IGA30" t="s">
        <v>6984</v>
      </c>
      <c r="IGB30" t="s">
        <v>6984</v>
      </c>
      <c r="IGC30" t="s">
        <v>6984</v>
      </c>
      <c r="IGD30" t="s">
        <v>6984</v>
      </c>
      <c r="IGE30" t="s">
        <v>6984</v>
      </c>
      <c r="IGF30" t="s">
        <v>6984</v>
      </c>
      <c r="IGG30" t="s">
        <v>6984</v>
      </c>
      <c r="IGH30" t="s">
        <v>6984</v>
      </c>
      <c r="IGI30" t="s">
        <v>6984</v>
      </c>
      <c r="IGJ30" t="s">
        <v>6984</v>
      </c>
      <c r="IGK30" t="s">
        <v>6984</v>
      </c>
      <c r="IGL30" t="s">
        <v>6984</v>
      </c>
      <c r="IGM30" t="s">
        <v>6984</v>
      </c>
      <c r="IGN30" t="s">
        <v>6984</v>
      </c>
      <c r="IGO30" t="s">
        <v>6984</v>
      </c>
      <c r="IGP30" t="s">
        <v>6984</v>
      </c>
      <c r="IGQ30" t="s">
        <v>6984</v>
      </c>
      <c r="IGR30" t="s">
        <v>6984</v>
      </c>
      <c r="IGS30" t="s">
        <v>6984</v>
      </c>
      <c r="IGT30" t="s">
        <v>6984</v>
      </c>
      <c r="IGU30" t="s">
        <v>6984</v>
      </c>
      <c r="IGV30" t="s">
        <v>6984</v>
      </c>
      <c r="IGW30" t="s">
        <v>6984</v>
      </c>
      <c r="IGX30" t="s">
        <v>6984</v>
      </c>
      <c r="IGY30" t="s">
        <v>6984</v>
      </c>
      <c r="IGZ30" t="s">
        <v>6984</v>
      </c>
      <c r="IHA30" t="s">
        <v>6984</v>
      </c>
      <c r="IHB30" t="s">
        <v>6984</v>
      </c>
      <c r="IHC30" t="s">
        <v>6984</v>
      </c>
      <c r="IHD30" t="s">
        <v>6984</v>
      </c>
      <c r="IHE30" t="s">
        <v>6984</v>
      </c>
      <c r="IHF30" t="s">
        <v>6984</v>
      </c>
      <c r="IHG30" t="s">
        <v>6984</v>
      </c>
      <c r="IHH30" t="s">
        <v>6984</v>
      </c>
      <c r="IHI30" t="s">
        <v>6984</v>
      </c>
      <c r="IHJ30" t="s">
        <v>6984</v>
      </c>
      <c r="IHK30" t="s">
        <v>6984</v>
      </c>
      <c r="IHL30" t="s">
        <v>6984</v>
      </c>
      <c r="IHM30" t="s">
        <v>6984</v>
      </c>
      <c r="IHN30" t="s">
        <v>6984</v>
      </c>
      <c r="IHO30" t="s">
        <v>6984</v>
      </c>
      <c r="IHP30" t="s">
        <v>6984</v>
      </c>
      <c r="IHQ30" t="s">
        <v>6984</v>
      </c>
      <c r="IHR30" t="s">
        <v>6984</v>
      </c>
      <c r="IHS30" t="s">
        <v>6984</v>
      </c>
      <c r="IHT30" t="s">
        <v>6984</v>
      </c>
      <c r="IHU30" t="s">
        <v>6984</v>
      </c>
      <c r="IHV30" t="s">
        <v>6984</v>
      </c>
      <c r="IHW30" t="s">
        <v>6984</v>
      </c>
      <c r="IHX30" t="s">
        <v>6984</v>
      </c>
      <c r="IHY30" t="s">
        <v>6984</v>
      </c>
      <c r="IHZ30" t="s">
        <v>6984</v>
      </c>
      <c r="IIA30" t="s">
        <v>6984</v>
      </c>
      <c r="IIB30" t="s">
        <v>6984</v>
      </c>
      <c r="IIC30" t="s">
        <v>6984</v>
      </c>
      <c r="IID30" t="s">
        <v>6984</v>
      </c>
      <c r="IIE30" t="s">
        <v>6984</v>
      </c>
      <c r="IIF30" t="s">
        <v>6984</v>
      </c>
      <c r="IIG30" t="s">
        <v>6984</v>
      </c>
      <c r="IIH30" t="s">
        <v>6984</v>
      </c>
      <c r="III30" t="s">
        <v>6984</v>
      </c>
      <c r="IIJ30" t="s">
        <v>6984</v>
      </c>
      <c r="IIK30" t="s">
        <v>6984</v>
      </c>
      <c r="IIL30" t="s">
        <v>6984</v>
      </c>
      <c r="IIM30" t="s">
        <v>6984</v>
      </c>
      <c r="IIN30" t="s">
        <v>6984</v>
      </c>
      <c r="IIO30" t="s">
        <v>6984</v>
      </c>
      <c r="IIP30" t="s">
        <v>6984</v>
      </c>
      <c r="IIQ30" t="s">
        <v>6984</v>
      </c>
      <c r="IIR30" t="s">
        <v>6984</v>
      </c>
      <c r="IIS30" t="s">
        <v>6984</v>
      </c>
      <c r="IIT30" t="s">
        <v>6984</v>
      </c>
      <c r="IIU30" t="s">
        <v>6984</v>
      </c>
      <c r="IIV30" t="s">
        <v>6984</v>
      </c>
      <c r="IIW30" t="s">
        <v>6984</v>
      </c>
      <c r="IIX30" t="s">
        <v>6984</v>
      </c>
      <c r="IIY30" t="s">
        <v>6984</v>
      </c>
      <c r="IIZ30" t="s">
        <v>6984</v>
      </c>
      <c r="IJA30" t="s">
        <v>6984</v>
      </c>
      <c r="IJB30" t="s">
        <v>6984</v>
      </c>
      <c r="IJC30" t="s">
        <v>6984</v>
      </c>
      <c r="IJD30" t="s">
        <v>6984</v>
      </c>
      <c r="IJE30" t="s">
        <v>6984</v>
      </c>
      <c r="IJF30" t="s">
        <v>6984</v>
      </c>
      <c r="IJG30" t="s">
        <v>6984</v>
      </c>
      <c r="IJH30" t="s">
        <v>6984</v>
      </c>
      <c r="IJI30" t="s">
        <v>6984</v>
      </c>
      <c r="IJJ30" t="s">
        <v>6984</v>
      </c>
      <c r="IJK30" t="s">
        <v>6984</v>
      </c>
      <c r="IJL30" t="s">
        <v>6984</v>
      </c>
      <c r="IJM30" t="s">
        <v>6984</v>
      </c>
      <c r="IJN30" t="s">
        <v>6984</v>
      </c>
      <c r="IJO30" t="s">
        <v>6984</v>
      </c>
      <c r="IJP30" t="s">
        <v>6984</v>
      </c>
      <c r="IJQ30" t="s">
        <v>6984</v>
      </c>
      <c r="IJR30" t="s">
        <v>6984</v>
      </c>
      <c r="IJS30" t="s">
        <v>6984</v>
      </c>
      <c r="IJT30" t="s">
        <v>6984</v>
      </c>
      <c r="IJU30" t="s">
        <v>6984</v>
      </c>
      <c r="IJV30" t="s">
        <v>6984</v>
      </c>
      <c r="IJW30" t="s">
        <v>6984</v>
      </c>
      <c r="IJX30" t="s">
        <v>6984</v>
      </c>
      <c r="IJY30" t="s">
        <v>6984</v>
      </c>
      <c r="IJZ30" t="s">
        <v>6984</v>
      </c>
      <c r="IKA30" t="s">
        <v>6984</v>
      </c>
      <c r="IKB30" t="s">
        <v>6984</v>
      </c>
      <c r="IKC30" t="s">
        <v>6984</v>
      </c>
      <c r="IKD30" t="s">
        <v>6984</v>
      </c>
      <c r="IKE30" t="s">
        <v>6984</v>
      </c>
      <c r="IKF30" t="s">
        <v>6984</v>
      </c>
      <c r="IKG30" t="s">
        <v>6984</v>
      </c>
      <c r="IKH30" t="s">
        <v>6984</v>
      </c>
      <c r="IKI30" t="s">
        <v>6984</v>
      </c>
      <c r="IKJ30" t="s">
        <v>6984</v>
      </c>
      <c r="IKK30" t="s">
        <v>6984</v>
      </c>
      <c r="IKL30" t="s">
        <v>6984</v>
      </c>
      <c r="IKM30" t="s">
        <v>6984</v>
      </c>
      <c r="IKN30" t="s">
        <v>6984</v>
      </c>
      <c r="IKO30" t="s">
        <v>6984</v>
      </c>
      <c r="IKP30" t="s">
        <v>6984</v>
      </c>
      <c r="IKQ30" t="s">
        <v>6984</v>
      </c>
      <c r="IKR30" t="s">
        <v>6984</v>
      </c>
      <c r="IKS30" t="s">
        <v>6984</v>
      </c>
      <c r="IKT30" t="s">
        <v>6984</v>
      </c>
      <c r="IKU30" t="s">
        <v>6984</v>
      </c>
      <c r="IKV30" t="s">
        <v>6984</v>
      </c>
      <c r="IKW30" t="s">
        <v>6984</v>
      </c>
      <c r="IKX30" t="s">
        <v>6984</v>
      </c>
      <c r="IKY30" t="s">
        <v>6984</v>
      </c>
      <c r="IKZ30" t="s">
        <v>6984</v>
      </c>
      <c r="ILA30" t="s">
        <v>6984</v>
      </c>
      <c r="ILB30" t="s">
        <v>6984</v>
      </c>
      <c r="ILC30" t="s">
        <v>6984</v>
      </c>
      <c r="ILD30" t="s">
        <v>6984</v>
      </c>
      <c r="ILE30" t="s">
        <v>6984</v>
      </c>
      <c r="ILF30" t="s">
        <v>6984</v>
      </c>
      <c r="ILG30" t="s">
        <v>6984</v>
      </c>
      <c r="ILH30" t="s">
        <v>6984</v>
      </c>
      <c r="ILI30" t="s">
        <v>6984</v>
      </c>
      <c r="ILJ30" t="s">
        <v>6984</v>
      </c>
      <c r="ILK30" t="s">
        <v>6984</v>
      </c>
      <c r="ILL30" t="s">
        <v>6984</v>
      </c>
      <c r="ILM30" t="s">
        <v>6984</v>
      </c>
      <c r="ILN30" t="s">
        <v>6984</v>
      </c>
      <c r="ILO30" t="s">
        <v>6984</v>
      </c>
      <c r="ILP30" t="s">
        <v>6984</v>
      </c>
      <c r="ILQ30" t="s">
        <v>6984</v>
      </c>
      <c r="ILR30" t="s">
        <v>6984</v>
      </c>
      <c r="ILS30" t="s">
        <v>6984</v>
      </c>
      <c r="ILT30" t="s">
        <v>6984</v>
      </c>
      <c r="ILU30" t="s">
        <v>6984</v>
      </c>
      <c r="ILV30" t="s">
        <v>6984</v>
      </c>
      <c r="ILW30" t="s">
        <v>6984</v>
      </c>
      <c r="ILX30" t="s">
        <v>6984</v>
      </c>
      <c r="ILY30" t="s">
        <v>6984</v>
      </c>
      <c r="ILZ30" t="s">
        <v>6984</v>
      </c>
      <c r="IMA30" t="s">
        <v>6984</v>
      </c>
      <c r="IMB30" t="s">
        <v>6984</v>
      </c>
      <c r="IMC30" t="s">
        <v>6984</v>
      </c>
      <c r="IMD30" t="s">
        <v>6984</v>
      </c>
      <c r="IME30" t="s">
        <v>6984</v>
      </c>
      <c r="IMF30" t="s">
        <v>6984</v>
      </c>
      <c r="IMG30" t="s">
        <v>6984</v>
      </c>
      <c r="IMH30" t="s">
        <v>6984</v>
      </c>
      <c r="IMI30" t="s">
        <v>6984</v>
      </c>
      <c r="IMJ30" t="s">
        <v>6984</v>
      </c>
      <c r="IMK30" t="s">
        <v>6984</v>
      </c>
      <c r="IML30" t="s">
        <v>6984</v>
      </c>
      <c r="IMM30" t="s">
        <v>6984</v>
      </c>
      <c r="IMN30" t="s">
        <v>6984</v>
      </c>
      <c r="IMO30" t="s">
        <v>6984</v>
      </c>
      <c r="IMP30" t="s">
        <v>6984</v>
      </c>
      <c r="IMQ30" t="s">
        <v>6984</v>
      </c>
      <c r="IMR30" t="s">
        <v>6984</v>
      </c>
      <c r="IMS30" t="s">
        <v>6984</v>
      </c>
      <c r="IMT30" t="s">
        <v>6984</v>
      </c>
      <c r="IMU30" t="s">
        <v>6984</v>
      </c>
      <c r="IMV30" t="s">
        <v>6984</v>
      </c>
      <c r="IMW30" t="s">
        <v>6984</v>
      </c>
      <c r="IMX30" t="s">
        <v>6984</v>
      </c>
      <c r="IMY30" t="s">
        <v>6984</v>
      </c>
      <c r="IMZ30" t="s">
        <v>6984</v>
      </c>
      <c r="INA30" t="s">
        <v>6984</v>
      </c>
      <c r="INB30" t="s">
        <v>6984</v>
      </c>
      <c r="INC30" t="s">
        <v>6984</v>
      </c>
      <c r="IND30" t="s">
        <v>6984</v>
      </c>
      <c r="INE30" t="s">
        <v>6984</v>
      </c>
      <c r="INF30" t="s">
        <v>6984</v>
      </c>
      <c r="ING30" t="s">
        <v>6984</v>
      </c>
      <c r="INH30" t="s">
        <v>6984</v>
      </c>
      <c r="INI30" t="s">
        <v>6984</v>
      </c>
      <c r="INJ30" t="s">
        <v>6984</v>
      </c>
      <c r="INK30" t="s">
        <v>6984</v>
      </c>
      <c r="INL30" t="s">
        <v>6984</v>
      </c>
      <c r="INM30" t="s">
        <v>6984</v>
      </c>
      <c r="INN30" t="s">
        <v>6984</v>
      </c>
      <c r="INO30" t="s">
        <v>6984</v>
      </c>
      <c r="INP30" t="s">
        <v>6984</v>
      </c>
      <c r="INQ30" t="s">
        <v>6984</v>
      </c>
      <c r="INR30" t="s">
        <v>6984</v>
      </c>
      <c r="INS30" t="s">
        <v>6984</v>
      </c>
      <c r="INT30" t="s">
        <v>6984</v>
      </c>
      <c r="INU30" t="s">
        <v>6984</v>
      </c>
      <c r="INV30" t="s">
        <v>6984</v>
      </c>
      <c r="INW30" t="s">
        <v>6984</v>
      </c>
      <c r="INX30" t="s">
        <v>6984</v>
      </c>
      <c r="INY30" t="s">
        <v>6984</v>
      </c>
      <c r="INZ30" t="s">
        <v>6984</v>
      </c>
      <c r="IOA30" t="s">
        <v>6984</v>
      </c>
      <c r="IOB30" t="s">
        <v>6984</v>
      </c>
      <c r="IOC30" t="s">
        <v>6984</v>
      </c>
      <c r="IOD30" t="s">
        <v>6984</v>
      </c>
      <c r="IOE30" t="s">
        <v>6984</v>
      </c>
      <c r="IOF30" t="s">
        <v>6984</v>
      </c>
      <c r="IOG30" t="s">
        <v>6984</v>
      </c>
      <c r="IOH30" t="s">
        <v>6984</v>
      </c>
      <c r="IOI30" t="s">
        <v>6984</v>
      </c>
      <c r="IOJ30" t="s">
        <v>6984</v>
      </c>
      <c r="IOK30" t="s">
        <v>6984</v>
      </c>
      <c r="IOL30" t="s">
        <v>6984</v>
      </c>
      <c r="IOM30" t="s">
        <v>6984</v>
      </c>
      <c r="ION30" t="s">
        <v>6984</v>
      </c>
      <c r="IOO30" t="s">
        <v>6984</v>
      </c>
      <c r="IOP30" t="s">
        <v>6984</v>
      </c>
      <c r="IOQ30" t="s">
        <v>6984</v>
      </c>
      <c r="IOR30" t="s">
        <v>6984</v>
      </c>
      <c r="IOS30" t="s">
        <v>6984</v>
      </c>
      <c r="IOT30" t="s">
        <v>6984</v>
      </c>
      <c r="IOU30" t="s">
        <v>6984</v>
      </c>
      <c r="IOV30" t="s">
        <v>6984</v>
      </c>
      <c r="IOW30" t="s">
        <v>6984</v>
      </c>
      <c r="IOX30" t="s">
        <v>6984</v>
      </c>
      <c r="IOY30" t="s">
        <v>6984</v>
      </c>
      <c r="IOZ30" t="s">
        <v>6984</v>
      </c>
      <c r="IPA30" t="s">
        <v>6984</v>
      </c>
      <c r="IPB30" t="s">
        <v>6984</v>
      </c>
      <c r="IPC30" t="s">
        <v>6984</v>
      </c>
      <c r="IPD30" t="s">
        <v>6984</v>
      </c>
      <c r="IPE30" t="s">
        <v>6984</v>
      </c>
      <c r="IPF30" t="s">
        <v>6984</v>
      </c>
      <c r="IPG30" t="s">
        <v>6984</v>
      </c>
      <c r="IPH30" t="s">
        <v>6984</v>
      </c>
      <c r="IPI30" t="s">
        <v>6984</v>
      </c>
      <c r="IPJ30" t="s">
        <v>6984</v>
      </c>
      <c r="IPK30" t="s">
        <v>6984</v>
      </c>
      <c r="IPL30" t="s">
        <v>6984</v>
      </c>
      <c r="IPM30" t="s">
        <v>6984</v>
      </c>
      <c r="IPN30" t="s">
        <v>6984</v>
      </c>
      <c r="IPO30" t="s">
        <v>6984</v>
      </c>
      <c r="IPP30" t="s">
        <v>6984</v>
      </c>
      <c r="IPQ30" t="s">
        <v>6984</v>
      </c>
      <c r="IPR30" t="s">
        <v>6984</v>
      </c>
      <c r="IPS30" t="s">
        <v>6984</v>
      </c>
      <c r="IPT30" t="s">
        <v>6984</v>
      </c>
      <c r="IPU30" t="s">
        <v>6984</v>
      </c>
      <c r="IPV30" t="s">
        <v>6984</v>
      </c>
      <c r="IPW30" t="s">
        <v>6984</v>
      </c>
      <c r="IPX30" t="s">
        <v>6984</v>
      </c>
      <c r="IPY30" t="s">
        <v>6984</v>
      </c>
      <c r="IPZ30" t="s">
        <v>6984</v>
      </c>
      <c r="IQA30" t="s">
        <v>6984</v>
      </c>
      <c r="IQB30" t="s">
        <v>6984</v>
      </c>
      <c r="IQC30" t="s">
        <v>6984</v>
      </c>
      <c r="IQD30" t="s">
        <v>6984</v>
      </c>
      <c r="IQE30" t="s">
        <v>6984</v>
      </c>
      <c r="IQF30" t="s">
        <v>6984</v>
      </c>
      <c r="IQG30" t="s">
        <v>6984</v>
      </c>
      <c r="IQH30" t="s">
        <v>6984</v>
      </c>
      <c r="IQI30" t="s">
        <v>6984</v>
      </c>
      <c r="IQJ30" t="s">
        <v>6984</v>
      </c>
      <c r="IQK30" t="s">
        <v>6984</v>
      </c>
      <c r="IQL30" t="s">
        <v>6984</v>
      </c>
      <c r="IQM30" t="s">
        <v>6984</v>
      </c>
      <c r="IQN30" t="s">
        <v>6984</v>
      </c>
      <c r="IQO30" t="s">
        <v>6984</v>
      </c>
      <c r="IQP30" t="s">
        <v>6984</v>
      </c>
      <c r="IQQ30" t="s">
        <v>6984</v>
      </c>
      <c r="IQR30" t="s">
        <v>6984</v>
      </c>
      <c r="IQS30" t="s">
        <v>6984</v>
      </c>
      <c r="IQT30" t="s">
        <v>6984</v>
      </c>
      <c r="IQU30" t="s">
        <v>6984</v>
      </c>
      <c r="IQV30" t="s">
        <v>6984</v>
      </c>
      <c r="IQW30" t="s">
        <v>6984</v>
      </c>
      <c r="IQX30" t="s">
        <v>6984</v>
      </c>
      <c r="IQY30" t="s">
        <v>6984</v>
      </c>
      <c r="IQZ30" t="s">
        <v>6984</v>
      </c>
      <c r="IRA30" t="s">
        <v>6984</v>
      </c>
      <c r="IRB30" t="s">
        <v>6984</v>
      </c>
      <c r="IRC30" t="s">
        <v>6984</v>
      </c>
      <c r="IRD30" t="s">
        <v>6984</v>
      </c>
      <c r="IRE30" t="s">
        <v>6984</v>
      </c>
      <c r="IRF30" t="s">
        <v>6984</v>
      </c>
      <c r="IRG30" t="s">
        <v>6984</v>
      </c>
      <c r="IRH30" t="s">
        <v>6984</v>
      </c>
      <c r="IRI30" t="s">
        <v>6984</v>
      </c>
      <c r="IRJ30" t="s">
        <v>6984</v>
      </c>
      <c r="IRK30" t="s">
        <v>6984</v>
      </c>
      <c r="IRL30" t="s">
        <v>6984</v>
      </c>
      <c r="IRM30" t="s">
        <v>6984</v>
      </c>
      <c r="IRN30" t="s">
        <v>6984</v>
      </c>
      <c r="IRO30" t="s">
        <v>6984</v>
      </c>
      <c r="IRP30" t="s">
        <v>6984</v>
      </c>
      <c r="IRQ30" t="s">
        <v>6984</v>
      </c>
      <c r="IRR30" t="s">
        <v>6984</v>
      </c>
      <c r="IRS30" t="s">
        <v>6984</v>
      </c>
      <c r="IRT30" t="s">
        <v>6984</v>
      </c>
      <c r="IRU30" t="s">
        <v>6984</v>
      </c>
      <c r="IRV30" t="s">
        <v>6984</v>
      </c>
      <c r="IRW30" t="s">
        <v>6984</v>
      </c>
      <c r="IRX30" t="s">
        <v>6984</v>
      </c>
      <c r="IRY30" t="s">
        <v>6984</v>
      </c>
      <c r="IRZ30" t="s">
        <v>6984</v>
      </c>
      <c r="ISA30" t="s">
        <v>6984</v>
      </c>
      <c r="ISB30" t="s">
        <v>6984</v>
      </c>
      <c r="ISC30" t="s">
        <v>6984</v>
      </c>
      <c r="ISD30" t="s">
        <v>6984</v>
      </c>
      <c r="ISE30" t="s">
        <v>6984</v>
      </c>
      <c r="ISF30" t="s">
        <v>6984</v>
      </c>
      <c r="ISG30" t="s">
        <v>6984</v>
      </c>
      <c r="ISH30" t="s">
        <v>6984</v>
      </c>
      <c r="ISI30" t="s">
        <v>6984</v>
      </c>
      <c r="ISJ30" t="s">
        <v>6984</v>
      </c>
      <c r="ISK30" t="s">
        <v>6984</v>
      </c>
      <c r="ISL30" t="s">
        <v>6984</v>
      </c>
      <c r="ISM30" t="s">
        <v>6984</v>
      </c>
      <c r="ISN30" t="s">
        <v>6984</v>
      </c>
      <c r="ISO30" t="s">
        <v>6984</v>
      </c>
      <c r="ISP30" t="s">
        <v>6984</v>
      </c>
      <c r="ISQ30" t="s">
        <v>6984</v>
      </c>
      <c r="ISR30" t="s">
        <v>6984</v>
      </c>
      <c r="ISS30" t="s">
        <v>6984</v>
      </c>
      <c r="IST30" t="s">
        <v>6984</v>
      </c>
      <c r="ISU30" t="s">
        <v>6984</v>
      </c>
      <c r="ISV30" t="s">
        <v>6984</v>
      </c>
      <c r="ISW30" t="s">
        <v>6984</v>
      </c>
      <c r="ISX30" t="s">
        <v>6984</v>
      </c>
      <c r="ISY30" t="s">
        <v>6984</v>
      </c>
      <c r="ISZ30" t="s">
        <v>6984</v>
      </c>
      <c r="ITA30" t="s">
        <v>6984</v>
      </c>
      <c r="ITB30" t="s">
        <v>6984</v>
      </c>
      <c r="ITC30" t="s">
        <v>6984</v>
      </c>
      <c r="ITD30" t="s">
        <v>6984</v>
      </c>
      <c r="ITE30" t="s">
        <v>6984</v>
      </c>
      <c r="ITF30" t="s">
        <v>6984</v>
      </c>
      <c r="ITG30" t="s">
        <v>6984</v>
      </c>
      <c r="ITH30" t="s">
        <v>6984</v>
      </c>
      <c r="ITI30" t="s">
        <v>6984</v>
      </c>
      <c r="ITJ30" t="s">
        <v>6984</v>
      </c>
      <c r="ITK30" t="s">
        <v>6984</v>
      </c>
      <c r="ITL30" t="s">
        <v>6984</v>
      </c>
      <c r="ITM30" t="s">
        <v>6984</v>
      </c>
      <c r="ITN30" t="s">
        <v>6984</v>
      </c>
      <c r="ITO30" t="s">
        <v>6984</v>
      </c>
      <c r="ITP30" t="s">
        <v>6984</v>
      </c>
      <c r="ITQ30" t="s">
        <v>6984</v>
      </c>
      <c r="ITR30" t="s">
        <v>6984</v>
      </c>
      <c r="ITS30" t="s">
        <v>6984</v>
      </c>
      <c r="ITT30" t="s">
        <v>6984</v>
      </c>
      <c r="ITU30" t="s">
        <v>6984</v>
      </c>
      <c r="ITV30" t="s">
        <v>6984</v>
      </c>
      <c r="ITW30" t="s">
        <v>6984</v>
      </c>
      <c r="ITX30" t="s">
        <v>6984</v>
      </c>
      <c r="ITY30" t="s">
        <v>6984</v>
      </c>
      <c r="ITZ30" t="s">
        <v>6984</v>
      </c>
      <c r="IUA30" t="s">
        <v>6984</v>
      </c>
      <c r="IUB30" t="s">
        <v>6984</v>
      </c>
      <c r="IUC30" t="s">
        <v>6984</v>
      </c>
      <c r="IUD30" t="s">
        <v>6984</v>
      </c>
      <c r="IUE30" t="s">
        <v>6984</v>
      </c>
      <c r="IUF30" t="s">
        <v>6984</v>
      </c>
      <c r="IUG30" t="s">
        <v>6984</v>
      </c>
      <c r="IUH30" t="s">
        <v>6984</v>
      </c>
      <c r="IUI30" t="s">
        <v>6984</v>
      </c>
      <c r="IUJ30" t="s">
        <v>6984</v>
      </c>
      <c r="IUK30" t="s">
        <v>6984</v>
      </c>
      <c r="IUL30" t="s">
        <v>6984</v>
      </c>
      <c r="IUM30" t="s">
        <v>6984</v>
      </c>
      <c r="IUN30" t="s">
        <v>6984</v>
      </c>
      <c r="IUO30" t="s">
        <v>6984</v>
      </c>
      <c r="IUP30" t="s">
        <v>6984</v>
      </c>
      <c r="IUQ30" t="s">
        <v>6984</v>
      </c>
      <c r="IUR30" t="s">
        <v>6984</v>
      </c>
      <c r="IUS30" t="s">
        <v>6984</v>
      </c>
      <c r="IUT30" t="s">
        <v>6984</v>
      </c>
      <c r="IUU30" t="s">
        <v>6984</v>
      </c>
      <c r="IUV30" t="s">
        <v>6984</v>
      </c>
      <c r="IUW30" t="s">
        <v>6984</v>
      </c>
      <c r="IUX30" t="s">
        <v>6984</v>
      </c>
      <c r="IUY30" t="s">
        <v>6984</v>
      </c>
      <c r="IUZ30" t="s">
        <v>6984</v>
      </c>
      <c r="IVA30" t="s">
        <v>6984</v>
      </c>
      <c r="IVB30" t="s">
        <v>6984</v>
      </c>
      <c r="IVC30" t="s">
        <v>6984</v>
      </c>
      <c r="IVD30" t="s">
        <v>6984</v>
      </c>
      <c r="IVE30" t="s">
        <v>6984</v>
      </c>
      <c r="IVF30" t="s">
        <v>6984</v>
      </c>
      <c r="IVG30" t="s">
        <v>6984</v>
      </c>
      <c r="IVH30" t="s">
        <v>6984</v>
      </c>
      <c r="IVI30" t="s">
        <v>6984</v>
      </c>
      <c r="IVJ30" t="s">
        <v>6984</v>
      </c>
      <c r="IVK30" t="s">
        <v>6984</v>
      </c>
      <c r="IVL30" t="s">
        <v>6984</v>
      </c>
      <c r="IVM30" t="s">
        <v>6984</v>
      </c>
      <c r="IVN30" t="s">
        <v>6984</v>
      </c>
      <c r="IVO30" t="s">
        <v>6984</v>
      </c>
      <c r="IVP30" t="s">
        <v>6984</v>
      </c>
      <c r="IVQ30" t="s">
        <v>6984</v>
      </c>
      <c r="IVR30" t="s">
        <v>6984</v>
      </c>
      <c r="IVS30" t="s">
        <v>6984</v>
      </c>
      <c r="IVT30" t="s">
        <v>6984</v>
      </c>
      <c r="IVU30" t="s">
        <v>6984</v>
      </c>
      <c r="IVV30" t="s">
        <v>6984</v>
      </c>
      <c r="IVW30" t="s">
        <v>6984</v>
      </c>
      <c r="IVX30" t="s">
        <v>6984</v>
      </c>
      <c r="IVY30" t="s">
        <v>6984</v>
      </c>
      <c r="IVZ30" t="s">
        <v>6984</v>
      </c>
      <c r="IWA30" t="s">
        <v>6984</v>
      </c>
      <c r="IWB30" t="s">
        <v>6984</v>
      </c>
      <c r="IWC30" t="s">
        <v>6984</v>
      </c>
      <c r="IWD30" t="s">
        <v>6984</v>
      </c>
      <c r="IWE30" t="s">
        <v>6984</v>
      </c>
      <c r="IWF30" t="s">
        <v>6984</v>
      </c>
      <c r="IWG30" t="s">
        <v>6984</v>
      </c>
      <c r="IWH30" t="s">
        <v>6984</v>
      </c>
      <c r="IWI30" t="s">
        <v>6984</v>
      </c>
      <c r="IWJ30" t="s">
        <v>6984</v>
      </c>
      <c r="IWK30" t="s">
        <v>6984</v>
      </c>
      <c r="IWL30" t="s">
        <v>6984</v>
      </c>
      <c r="IWM30" t="s">
        <v>6984</v>
      </c>
      <c r="IWN30" t="s">
        <v>6984</v>
      </c>
      <c r="IWO30" t="s">
        <v>6984</v>
      </c>
      <c r="IWP30" t="s">
        <v>6984</v>
      </c>
      <c r="IWQ30" t="s">
        <v>6984</v>
      </c>
      <c r="IWR30" t="s">
        <v>6984</v>
      </c>
      <c r="IWS30" t="s">
        <v>6984</v>
      </c>
      <c r="IWT30" t="s">
        <v>6984</v>
      </c>
      <c r="IWU30" t="s">
        <v>6984</v>
      </c>
      <c r="IWV30" t="s">
        <v>6984</v>
      </c>
      <c r="IWW30" t="s">
        <v>6984</v>
      </c>
      <c r="IWX30" t="s">
        <v>6984</v>
      </c>
      <c r="IWY30" t="s">
        <v>6984</v>
      </c>
      <c r="IWZ30" t="s">
        <v>6984</v>
      </c>
      <c r="IXA30" t="s">
        <v>6984</v>
      </c>
      <c r="IXB30" t="s">
        <v>6984</v>
      </c>
      <c r="IXC30" t="s">
        <v>6984</v>
      </c>
      <c r="IXD30" t="s">
        <v>6984</v>
      </c>
      <c r="IXE30" t="s">
        <v>6984</v>
      </c>
      <c r="IXF30" t="s">
        <v>6984</v>
      </c>
      <c r="IXG30" t="s">
        <v>6984</v>
      </c>
      <c r="IXH30" t="s">
        <v>6984</v>
      </c>
      <c r="IXI30" t="s">
        <v>6984</v>
      </c>
      <c r="IXJ30" t="s">
        <v>6984</v>
      </c>
      <c r="IXK30" t="s">
        <v>6984</v>
      </c>
      <c r="IXL30" t="s">
        <v>6984</v>
      </c>
      <c r="IXM30" t="s">
        <v>6984</v>
      </c>
      <c r="IXN30" t="s">
        <v>6984</v>
      </c>
      <c r="IXO30" t="s">
        <v>6984</v>
      </c>
      <c r="IXP30" t="s">
        <v>6984</v>
      </c>
      <c r="IXQ30" t="s">
        <v>6984</v>
      </c>
      <c r="IXR30" t="s">
        <v>6984</v>
      </c>
      <c r="IXS30" t="s">
        <v>6984</v>
      </c>
      <c r="IXT30" t="s">
        <v>6984</v>
      </c>
      <c r="IXU30" t="s">
        <v>6984</v>
      </c>
      <c r="IXV30" t="s">
        <v>6984</v>
      </c>
      <c r="IXW30" t="s">
        <v>6984</v>
      </c>
      <c r="IXX30" t="s">
        <v>6984</v>
      </c>
      <c r="IXY30" t="s">
        <v>6984</v>
      </c>
      <c r="IXZ30" t="s">
        <v>6984</v>
      </c>
      <c r="IYA30" t="s">
        <v>6984</v>
      </c>
      <c r="IYB30" t="s">
        <v>6984</v>
      </c>
      <c r="IYC30" t="s">
        <v>6984</v>
      </c>
      <c r="IYD30" t="s">
        <v>6984</v>
      </c>
      <c r="IYE30" t="s">
        <v>6984</v>
      </c>
      <c r="IYF30" t="s">
        <v>6984</v>
      </c>
      <c r="IYG30" t="s">
        <v>6984</v>
      </c>
      <c r="IYH30" t="s">
        <v>6984</v>
      </c>
      <c r="IYI30" t="s">
        <v>6984</v>
      </c>
      <c r="IYJ30" t="s">
        <v>6984</v>
      </c>
      <c r="IYK30" t="s">
        <v>6984</v>
      </c>
      <c r="IYL30" t="s">
        <v>6984</v>
      </c>
      <c r="IYM30" t="s">
        <v>6984</v>
      </c>
      <c r="IYN30" t="s">
        <v>6984</v>
      </c>
      <c r="IYO30" t="s">
        <v>6984</v>
      </c>
      <c r="IYP30" t="s">
        <v>6984</v>
      </c>
      <c r="IYQ30" t="s">
        <v>6984</v>
      </c>
      <c r="IYR30" t="s">
        <v>6984</v>
      </c>
      <c r="IYS30" t="s">
        <v>6984</v>
      </c>
      <c r="IYT30" t="s">
        <v>6984</v>
      </c>
      <c r="IYU30" t="s">
        <v>6984</v>
      </c>
      <c r="IYV30" t="s">
        <v>6984</v>
      </c>
      <c r="IYW30" t="s">
        <v>6984</v>
      </c>
      <c r="IYX30" t="s">
        <v>6984</v>
      </c>
      <c r="IYY30" t="s">
        <v>6984</v>
      </c>
      <c r="IYZ30" t="s">
        <v>6984</v>
      </c>
      <c r="IZA30" t="s">
        <v>6984</v>
      </c>
      <c r="IZB30" t="s">
        <v>6984</v>
      </c>
      <c r="IZC30" t="s">
        <v>6984</v>
      </c>
      <c r="IZD30" t="s">
        <v>6984</v>
      </c>
      <c r="IZE30" t="s">
        <v>6984</v>
      </c>
      <c r="IZF30" t="s">
        <v>6984</v>
      </c>
      <c r="IZG30" t="s">
        <v>6984</v>
      </c>
      <c r="IZH30" t="s">
        <v>6984</v>
      </c>
      <c r="IZI30" t="s">
        <v>6984</v>
      </c>
      <c r="IZJ30" t="s">
        <v>6984</v>
      </c>
      <c r="IZK30" t="s">
        <v>6984</v>
      </c>
      <c r="IZL30" t="s">
        <v>6984</v>
      </c>
      <c r="IZM30" t="s">
        <v>6984</v>
      </c>
      <c r="IZN30" t="s">
        <v>6984</v>
      </c>
      <c r="IZO30" t="s">
        <v>6984</v>
      </c>
      <c r="IZP30" t="s">
        <v>6984</v>
      </c>
      <c r="IZQ30" t="s">
        <v>6984</v>
      </c>
      <c r="IZR30" t="s">
        <v>6984</v>
      </c>
      <c r="IZS30" t="s">
        <v>6984</v>
      </c>
      <c r="IZT30" t="s">
        <v>6984</v>
      </c>
      <c r="IZU30" t="s">
        <v>6984</v>
      </c>
      <c r="IZV30" t="s">
        <v>6984</v>
      </c>
      <c r="IZW30" t="s">
        <v>6984</v>
      </c>
      <c r="IZX30" t="s">
        <v>6984</v>
      </c>
      <c r="IZY30" t="s">
        <v>6984</v>
      </c>
      <c r="IZZ30" t="s">
        <v>6984</v>
      </c>
      <c r="JAA30" t="s">
        <v>6984</v>
      </c>
      <c r="JAB30" t="s">
        <v>6984</v>
      </c>
      <c r="JAC30" t="s">
        <v>6984</v>
      </c>
      <c r="JAD30" t="s">
        <v>6984</v>
      </c>
      <c r="JAE30" t="s">
        <v>6984</v>
      </c>
      <c r="JAF30" t="s">
        <v>6984</v>
      </c>
      <c r="JAG30" t="s">
        <v>6984</v>
      </c>
      <c r="JAH30" t="s">
        <v>6984</v>
      </c>
      <c r="JAI30" t="s">
        <v>6984</v>
      </c>
      <c r="JAJ30" t="s">
        <v>6984</v>
      </c>
      <c r="JAK30" t="s">
        <v>6984</v>
      </c>
      <c r="JAL30" t="s">
        <v>6984</v>
      </c>
      <c r="JAM30" t="s">
        <v>6984</v>
      </c>
      <c r="JAN30" t="s">
        <v>6984</v>
      </c>
      <c r="JAO30" t="s">
        <v>6984</v>
      </c>
      <c r="JAP30" t="s">
        <v>6984</v>
      </c>
      <c r="JAQ30" t="s">
        <v>6984</v>
      </c>
      <c r="JAR30" t="s">
        <v>6984</v>
      </c>
      <c r="JAS30" t="s">
        <v>6984</v>
      </c>
      <c r="JAT30" t="s">
        <v>6984</v>
      </c>
      <c r="JAU30" t="s">
        <v>6984</v>
      </c>
      <c r="JAV30" t="s">
        <v>6984</v>
      </c>
      <c r="JAW30" t="s">
        <v>6984</v>
      </c>
      <c r="JAX30" t="s">
        <v>6984</v>
      </c>
      <c r="JAY30" t="s">
        <v>6984</v>
      </c>
      <c r="JAZ30" t="s">
        <v>6984</v>
      </c>
      <c r="JBA30" t="s">
        <v>6984</v>
      </c>
      <c r="JBB30" t="s">
        <v>6984</v>
      </c>
      <c r="JBC30" t="s">
        <v>6984</v>
      </c>
      <c r="JBD30" t="s">
        <v>6984</v>
      </c>
      <c r="JBE30" t="s">
        <v>6984</v>
      </c>
      <c r="JBF30" t="s">
        <v>6984</v>
      </c>
      <c r="JBG30" t="s">
        <v>6984</v>
      </c>
      <c r="JBH30" t="s">
        <v>6984</v>
      </c>
      <c r="JBI30" t="s">
        <v>6984</v>
      </c>
      <c r="JBJ30" t="s">
        <v>6984</v>
      </c>
      <c r="JBK30" t="s">
        <v>6984</v>
      </c>
      <c r="JBL30" t="s">
        <v>6984</v>
      </c>
      <c r="JBM30" t="s">
        <v>6984</v>
      </c>
      <c r="JBN30" t="s">
        <v>6984</v>
      </c>
      <c r="JBO30" t="s">
        <v>6984</v>
      </c>
      <c r="JBP30" t="s">
        <v>6984</v>
      </c>
      <c r="JBQ30" t="s">
        <v>6984</v>
      </c>
      <c r="JBR30" t="s">
        <v>6984</v>
      </c>
      <c r="JBS30" t="s">
        <v>6984</v>
      </c>
      <c r="JBT30" t="s">
        <v>6984</v>
      </c>
      <c r="JBU30" t="s">
        <v>6984</v>
      </c>
      <c r="JBV30" t="s">
        <v>6984</v>
      </c>
      <c r="JBW30" t="s">
        <v>6984</v>
      </c>
      <c r="JBX30" t="s">
        <v>6984</v>
      </c>
      <c r="JBY30" t="s">
        <v>6984</v>
      </c>
      <c r="JBZ30" t="s">
        <v>6984</v>
      </c>
      <c r="JCA30" t="s">
        <v>6984</v>
      </c>
      <c r="JCB30" t="s">
        <v>6984</v>
      </c>
      <c r="JCC30" t="s">
        <v>6984</v>
      </c>
      <c r="JCD30" t="s">
        <v>6984</v>
      </c>
      <c r="JCE30" t="s">
        <v>6984</v>
      </c>
      <c r="JCF30" t="s">
        <v>6984</v>
      </c>
      <c r="JCG30" t="s">
        <v>6984</v>
      </c>
      <c r="JCH30" t="s">
        <v>6984</v>
      </c>
      <c r="JCI30" t="s">
        <v>6984</v>
      </c>
      <c r="JCJ30" t="s">
        <v>6984</v>
      </c>
      <c r="JCK30" t="s">
        <v>6984</v>
      </c>
      <c r="JCL30" t="s">
        <v>6984</v>
      </c>
      <c r="JCM30" t="s">
        <v>6984</v>
      </c>
      <c r="JCN30" t="s">
        <v>6984</v>
      </c>
      <c r="JCO30" t="s">
        <v>6984</v>
      </c>
      <c r="JCP30" t="s">
        <v>6984</v>
      </c>
      <c r="JCQ30" t="s">
        <v>6984</v>
      </c>
      <c r="JCR30" t="s">
        <v>6984</v>
      </c>
      <c r="JCS30" t="s">
        <v>6984</v>
      </c>
      <c r="JCT30" t="s">
        <v>6984</v>
      </c>
      <c r="JCU30" t="s">
        <v>6984</v>
      </c>
      <c r="JCV30" t="s">
        <v>6984</v>
      </c>
      <c r="JCW30" t="s">
        <v>6984</v>
      </c>
      <c r="JCX30" t="s">
        <v>6984</v>
      </c>
      <c r="JCY30" t="s">
        <v>6984</v>
      </c>
      <c r="JCZ30" t="s">
        <v>6984</v>
      </c>
      <c r="JDA30" t="s">
        <v>6984</v>
      </c>
      <c r="JDB30" t="s">
        <v>6984</v>
      </c>
      <c r="JDC30" t="s">
        <v>6984</v>
      </c>
      <c r="JDD30" t="s">
        <v>6984</v>
      </c>
      <c r="JDE30" t="s">
        <v>6984</v>
      </c>
      <c r="JDF30" t="s">
        <v>6984</v>
      </c>
      <c r="JDG30" t="s">
        <v>6984</v>
      </c>
      <c r="JDH30" t="s">
        <v>6984</v>
      </c>
      <c r="JDI30" t="s">
        <v>6984</v>
      </c>
      <c r="JDJ30" t="s">
        <v>6984</v>
      </c>
      <c r="JDK30" t="s">
        <v>6984</v>
      </c>
      <c r="JDL30" t="s">
        <v>6984</v>
      </c>
      <c r="JDM30" t="s">
        <v>6984</v>
      </c>
      <c r="JDN30" t="s">
        <v>6984</v>
      </c>
      <c r="JDO30" t="s">
        <v>6984</v>
      </c>
      <c r="JDP30" t="s">
        <v>6984</v>
      </c>
      <c r="JDQ30" t="s">
        <v>6984</v>
      </c>
      <c r="JDR30" t="s">
        <v>6984</v>
      </c>
      <c r="JDS30" t="s">
        <v>6984</v>
      </c>
      <c r="JDT30" t="s">
        <v>6984</v>
      </c>
      <c r="JDU30" t="s">
        <v>6984</v>
      </c>
      <c r="JDV30" t="s">
        <v>6984</v>
      </c>
      <c r="JDW30" t="s">
        <v>6984</v>
      </c>
      <c r="JDX30" t="s">
        <v>6984</v>
      </c>
      <c r="JDY30" t="s">
        <v>6984</v>
      </c>
      <c r="JDZ30" t="s">
        <v>6984</v>
      </c>
      <c r="JEA30" t="s">
        <v>6984</v>
      </c>
      <c r="JEB30" t="s">
        <v>6984</v>
      </c>
      <c r="JEC30" t="s">
        <v>6984</v>
      </c>
      <c r="JED30" t="s">
        <v>6984</v>
      </c>
      <c r="JEE30" t="s">
        <v>6984</v>
      </c>
      <c r="JEF30" t="s">
        <v>6984</v>
      </c>
      <c r="JEG30" t="s">
        <v>6984</v>
      </c>
      <c r="JEH30" t="s">
        <v>6984</v>
      </c>
      <c r="JEI30" t="s">
        <v>6984</v>
      </c>
      <c r="JEJ30" t="s">
        <v>6984</v>
      </c>
      <c r="JEK30" t="s">
        <v>6984</v>
      </c>
      <c r="JEL30" t="s">
        <v>6984</v>
      </c>
      <c r="JEM30" t="s">
        <v>6984</v>
      </c>
      <c r="JEN30" t="s">
        <v>6984</v>
      </c>
      <c r="JEO30" t="s">
        <v>6984</v>
      </c>
      <c r="JEP30" t="s">
        <v>6984</v>
      </c>
      <c r="JEQ30" t="s">
        <v>6984</v>
      </c>
      <c r="JER30" t="s">
        <v>6984</v>
      </c>
      <c r="JES30" t="s">
        <v>6984</v>
      </c>
      <c r="JET30" t="s">
        <v>6984</v>
      </c>
      <c r="JEU30" t="s">
        <v>6984</v>
      </c>
      <c r="JEV30" t="s">
        <v>6984</v>
      </c>
      <c r="JEW30" t="s">
        <v>6984</v>
      </c>
      <c r="JEX30" t="s">
        <v>6984</v>
      </c>
      <c r="JEY30" t="s">
        <v>6984</v>
      </c>
      <c r="JEZ30" t="s">
        <v>6984</v>
      </c>
      <c r="JFA30" t="s">
        <v>6984</v>
      </c>
      <c r="JFB30" t="s">
        <v>6984</v>
      </c>
      <c r="JFC30" t="s">
        <v>6984</v>
      </c>
      <c r="JFD30" t="s">
        <v>6984</v>
      </c>
      <c r="JFE30" t="s">
        <v>6984</v>
      </c>
      <c r="JFF30" t="s">
        <v>6984</v>
      </c>
      <c r="JFG30" t="s">
        <v>6984</v>
      </c>
      <c r="JFH30" t="s">
        <v>6984</v>
      </c>
      <c r="JFI30" t="s">
        <v>6984</v>
      </c>
      <c r="JFJ30" t="s">
        <v>6984</v>
      </c>
      <c r="JFK30" t="s">
        <v>6984</v>
      </c>
      <c r="JFL30" t="s">
        <v>6984</v>
      </c>
      <c r="JFM30" t="s">
        <v>6984</v>
      </c>
      <c r="JFN30" t="s">
        <v>6984</v>
      </c>
      <c r="JFO30" t="s">
        <v>6984</v>
      </c>
      <c r="JFP30" t="s">
        <v>6984</v>
      </c>
      <c r="JFQ30" t="s">
        <v>6984</v>
      </c>
      <c r="JFR30" t="s">
        <v>6984</v>
      </c>
      <c r="JFS30" t="s">
        <v>6984</v>
      </c>
      <c r="JFT30" t="s">
        <v>6984</v>
      </c>
      <c r="JFU30" t="s">
        <v>6984</v>
      </c>
      <c r="JFV30" t="s">
        <v>6984</v>
      </c>
      <c r="JFW30" t="s">
        <v>6984</v>
      </c>
      <c r="JFX30" t="s">
        <v>6984</v>
      </c>
      <c r="JFY30" t="s">
        <v>6984</v>
      </c>
      <c r="JFZ30" t="s">
        <v>6984</v>
      </c>
      <c r="JGA30" t="s">
        <v>6984</v>
      </c>
      <c r="JGB30" t="s">
        <v>6984</v>
      </c>
      <c r="JGC30" t="s">
        <v>6984</v>
      </c>
      <c r="JGD30" t="s">
        <v>6984</v>
      </c>
      <c r="JGE30" t="s">
        <v>6984</v>
      </c>
      <c r="JGF30" t="s">
        <v>6984</v>
      </c>
      <c r="JGG30" t="s">
        <v>6984</v>
      </c>
      <c r="JGH30" t="s">
        <v>6984</v>
      </c>
      <c r="JGI30" t="s">
        <v>6984</v>
      </c>
      <c r="JGJ30" t="s">
        <v>6984</v>
      </c>
      <c r="JGK30" t="s">
        <v>6984</v>
      </c>
      <c r="JGL30" t="s">
        <v>6984</v>
      </c>
      <c r="JGM30" t="s">
        <v>6984</v>
      </c>
      <c r="JGN30" t="s">
        <v>6984</v>
      </c>
      <c r="JGO30" t="s">
        <v>6984</v>
      </c>
      <c r="JGP30" t="s">
        <v>6984</v>
      </c>
      <c r="JGQ30" t="s">
        <v>6984</v>
      </c>
      <c r="JGR30" t="s">
        <v>6984</v>
      </c>
      <c r="JGS30" t="s">
        <v>6984</v>
      </c>
      <c r="JGT30" t="s">
        <v>6984</v>
      </c>
      <c r="JGU30" t="s">
        <v>6984</v>
      </c>
      <c r="JGV30" t="s">
        <v>6984</v>
      </c>
      <c r="JGW30" t="s">
        <v>6984</v>
      </c>
      <c r="JGX30" t="s">
        <v>6984</v>
      </c>
      <c r="JGY30" t="s">
        <v>6984</v>
      </c>
      <c r="JGZ30" t="s">
        <v>6984</v>
      </c>
      <c r="JHA30" t="s">
        <v>6984</v>
      </c>
      <c r="JHB30" t="s">
        <v>6984</v>
      </c>
      <c r="JHC30" t="s">
        <v>6984</v>
      </c>
      <c r="JHD30" t="s">
        <v>6984</v>
      </c>
      <c r="JHE30" t="s">
        <v>6984</v>
      </c>
      <c r="JHF30" t="s">
        <v>6984</v>
      </c>
      <c r="JHG30" t="s">
        <v>6984</v>
      </c>
      <c r="JHH30" t="s">
        <v>6984</v>
      </c>
      <c r="JHI30" t="s">
        <v>6984</v>
      </c>
      <c r="JHJ30" t="s">
        <v>6984</v>
      </c>
      <c r="JHK30" t="s">
        <v>6984</v>
      </c>
      <c r="JHL30" t="s">
        <v>6984</v>
      </c>
      <c r="JHM30" t="s">
        <v>6984</v>
      </c>
      <c r="JHN30" t="s">
        <v>6984</v>
      </c>
      <c r="JHO30" t="s">
        <v>6984</v>
      </c>
      <c r="JHP30" t="s">
        <v>6984</v>
      </c>
      <c r="JHQ30" t="s">
        <v>6984</v>
      </c>
      <c r="JHR30" t="s">
        <v>6984</v>
      </c>
      <c r="JHS30" t="s">
        <v>6984</v>
      </c>
      <c r="JHT30" t="s">
        <v>6984</v>
      </c>
      <c r="JHU30" t="s">
        <v>6984</v>
      </c>
      <c r="JHV30" t="s">
        <v>6984</v>
      </c>
      <c r="JHW30" t="s">
        <v>6984</v>
      </c>
      <c r="JHX30" t="s">
        <v>6984</v>
      </c>
      <c r="JHY30" t="s">
        <v>6984</v>
      </c>
      <c r="JHZ30" t="s">
        <v>6984</v>
      </c>
      <c r="JIA30" t="s">
        <v>6984</v>
      </c>
      <c r="JIB30" t="s">
        <v>6984</v>
      </c>
      <c r="JIC30" t="s">
        <v>6984</v>
      </c>
      <c r="JID30" t="s">
        <v>6984</v>
      </c>
      <c r="JIE30" t="s">
        <v>6984</v>
      </c>
      <c r="JIF30" t="s">
        <v>6984</v>
      </c>
      <c r="JIG30" t="s">
        <v>6984</v>
      </c>
      <c r="JIH30" t="s">
        <v>6984</v>
      </c>
      <c r="JII30" t="s">
        <v>6984</v>
      </c>
      <c r="JIJ30" t="s">
        <v>6984</v>
      </c>
      <c r="JIK30" t="s">
        <v>6984</v>
      </c>
      <c r="JIL30" t="s">
        <v>6984</v>
      </c>
      <c r="JIM30" t="s">
        <v>6984</v>
      </c>
      <c r="JIN30" t="s">
        <v>6984</v>
      </c>
      <c r="JIO30" t="s">
        <v>6984</v>
      </c>
      <c r="JIP30" t="s">
        <v>6984</v>
      </c>
      <c r="JIQ30" t="s">
        <v>6984</v>
      </c>
      <c r="JIR30" t="s">
        <v>6984</v>
      </c>
      <c r="JIS30" t="s">
        <v>6984</v>
      </c>
      <c r="JIT30" t="s">
        <v>6984</v>
      </c>
      <c r="JIU30" t="s">
        <v>6984</v>
      </c>
      <c r="JIV30" t="s">
        <v>6984</v>
      </c>
      <c r="JIW30" t="s">
        <v>6984</v>
      </c>
      <c r="JIX30" t="s">
        <v>6984</v>
      </c>
      <c r="JIY30" t="s">
        <v>6984</v>
      </c>
      <c r="JIZ30" t="s">
        <v>6984</v>
      </c>
      <c r="JJA30" t="s">
        <v>6984</v>
      </c>
    </row>
    <row r="31" spans="1:7021" x14ac:dyDescent="0.25">
      <c r="A31" t="s">
        <v>7012</v>
      </c>
      <c r="B31">
        <v>95.685000000000002</v>
      </c>
      <c r="C31">
        <v>95.685000000000002</v>
      </c>
      <c r="D31">
        <v>95.685000000000002</v>
      </c>
      <c r="E31">
        <v>95.74</v>
      </c>
      <c r="F31">
        <v>95.685000000000002</v>
      </c>
      <c r="G31">
        <v>95.724999999999994</v>
      </c>
      <c r="H31">
        <v>95.775000000000006</v>
      </c>
      <c r="I31">
        <v>95.715000000000003</v>
      </c>
      <c r="J31">
        <v>95.665000000000006</v>
      </c>
      <c r="K31">
        <v>95.65</v>
      </c>
      <c r="L31">
        <v>95.644999999999996</v>
      </c>
      <c r="M31">
        <v>95.745000000000005</v>
      </c>
      <c r="N31">
        <v>95.77</v>
      </c>
      <c r="O31">
        <v>95.68</v>
      </c>
      <c r="P31">
        <v>95.674999999999997</v>
      </c>
      <c r="Q31">
        <v>95.734999999999999</v>
      </c>
      <c r="R31">
        <v>95.715000000000003</v>
      </c>
      <c r="S31">
        <v>95.685000000000002</v>
      </c>
      <c r="T31">
        <v>95.734999999999999</v>
      </c>
      <c r="U31">
        <v>95.644999999999996</v>
      </c>
      <c r="V31">
        <v>95.644999999999996</v>
      </c>
      <c r="W31">
        <v>95.57</v>
      </c>
      <c r="X31">
        <v>95.51</v>
      </c>
      <c r="Y31">
        <v>95.614999999999995</v>
      </c>
      <c r="Z31">
        <v>95.614999999999995</v>
      </c>
      <c r="AA31">
        <v>95.655000000000001</v>
      </c>
      <c r="AB31">
        <v>95.635000000000005</v>
      </c>
      <c r="AC31">
        <v>95.564999999999998</v>
      </c>
      <c r="AD31">
        <v>95.6</v>
      </c>
      <c r="AE31">
        <v>95.65</v>
      </c>
      <c r="AF31">
        <v>95.71</v>
      </c>
      <c r="AG31">
        <v>95.71</v>
      </c>
      <c r="AH31">
        <v>95.805000000000007</v>
      </c>
      <c r="AI31">
        <v>95.754999999999995</v>
      </c>
      <c r="AJ31">
        <v>95.75</v>
      </c>
      <c r="AK31">
        <v>95.784999999999997</v>
      </c>
      <c r="AL31">
        <v>95.83</v>
      </c>
      <c r="AM31">
        <v>95.88</v>
      </c>
      <c r="AN31">
        <v>95.855000000000004</v>
      </c>
      <c r="AO31">
        <v>95.795000000000002</v>
      </c>
      <c r="AP31">
        <v>95.745000000000005</v>
      </c>
      <c r="AQ31">
        <v>95.685000000000002</v>
      </c>
      <c r="AR31">
        <v>95.614999999999995</v>
      </c>
      <c r="AS31">
        <v>95.584999999999994</v>
      </c>
      <c r="AT31">
        <v>95.534999999999997</v>
      </c>
      <c r="AU31">
        <v>95.69</v>
      </c>
      <c r="AV31">
        <v>95.69</v>
      </c>
      <c r="AW31">
        <v>95.775000000000006</v>
      </c>
      <c r="AX31">
        <v>95.75</v>
      </c>
      <c r="AY31">
        <v>95.73</v>
      </c>
      <c r="AZ31">
        <v>95.625</v>
      </c>
      <c r="BA31">
        <v>95.77</v>
      </c>
      <c r="BB31">
        <v>95.74</v>
      </c>
      <c r="BC31">
        <v>95.9</v>
      </c>
      <c r="BD31">
        <v>95.99</v>
      </c>
      <c r="BE31">
        <v>96.165000000000006</v>
      </c>
      <c r="BF31">
        <v>96.084999999999994</v>
      </c>
      <c r="BG31">
        <v>95.944999999999993</v>
      </c>
      <c r="BH31">
        <v>96.004999999999995</v>
      </c>
      <c r="BI31">
        <v>95.9</v>
      </c>
      <c r="BJ31">
        <v>95.87</v>
      </c>
      <c r="BK31">
        <v>95.754999999999995</v>
      </c>
      <c r="BL31">
        <v>95.82</v>
      </c>
      <c r="BM31">
        <v>95.85</v>
      </c>
      <c r="BN31">
        <v>95.825000000000003</v>
      </c>
      <c r="BO31">
        <v>95.905000000000001</v>
      </c>
      <c r="BP31">
        <v>95.92</v>
      </c>
      <c r="BQ31">
        <v>95.88</v>
      </c>
      <c r="BR31">
        <v>95.885000000000005</v>
      </c>
      <c r="BS31">
        <v>95.85</v>
      </c>
      <c r="BT31">
        <v>95.825000000000003</v>
      </c>
      <c r="BU31">
        <v>95.9</v>
      </c>
      <c r="BV31">
        <v>95.87</v>
      </c>
      <c r="BW31">
        <v>95.9</v>
      </c>
      <c r="BX31">
        <v>95.995000000000005</v>
      </c>
      <c r="BY31">
        <v>95.864999999999995</v>
      </c>
      <c r="BZ31">
        <v>95.89</v>
      </c>
      <c r="CA31">
        <v>95.915000000000006</v>
      </c>
      <c r="CB31">
        <v>95.974999999999994</v>
      </c>
      <c r="CC31">
        <v>96.02</v>
      </c>
      <c r="CD31">
        <v>95.96</v>
      </c>
      <c r="CE31">
        <v>95.9</v>
      </c>
      <c r="CF31">
        <v>95.944999999999993</v>
      </c>
      <c r="CG31">
        <v>95.875</v>
      </c>
      <c r="CH31">
        <v>95.74</v>
      </c>
      <c r="CI31">
        <v>95.715000000000003</v>
      </c>
      <c r="CJ31">
        <v>95.635000000000005</v>
      </c>
      <c r="CK31">
        <v>95.584999999999994</v>
      </c>
      <c r="CL31">
        <v>95.584999999999994</v>
      </c>
      <c r="CM31">
        <v>95.66</v>
      </c>
      <c r="CN31">
        <v>95.66</v>
      </c>
      <c r="CO31">
        <v>95.605000000000004</v>
      </c>
      <c r="CP31">
        <v>95.49</v>
      </c>
      <c r="CQ31">
        <v>95.625</v>
      </c>
      <c r="CR31">
        <v>95.674999999999997</v>
      </c>
      <c r="CS31">
        <v>95.674999999999997</v>
      </c>
      <c r="CT31">
        <v>95.734999999999999</v>
      </c>
      <c r="CU31">
        <v>95.784999999999997</v>
      </c>
      <c r="CV31">
        <v>95.674999999999997</v>
      </c>
      <c r="CW31">
        <v>95.65</v>
      </c>
      <c r="CX31">
        <v>95.605000000000004</v>
      </c>
      <c r="CY31">
        <v>95.674999999999997</v>
      </c>
      <c r="CZ31">
        <v>95.63</v>
      </c>
      <c r="DA31">
        <v>95.64</v>
      </c>
      <c r="DB31">
        <v>95.665000000000006</v>
      </c>
      <c r="DC31">
        <v>95.555000000000007</v>
      </c>
      <c r="DD31">
        <v>95.555000000000007</v>
      </c>
      <c r="DE31">
        <v>95.61</v>
      </c>
      <c r="DF31">
        <v>95.64</v>
      </c>
      <c r="DG31">
        <v>95.594999999999999</v>
      </c>
      <c r="DH31">
        <v>95.594999999999999</v>
      </c>
      <c r="DI31">
        <v>95.594999999999999</v>
      </c>
      <c r="DJ31">
        <v>95.555000000000007</v>
      </c>
      <c r="DK31">
        <v>95.41</v>
      </c>
      <c r="DL31">
        <v>95.39</v>
      </c>
      <c r="DM31">
        <v>95.43</v>
      </c>
      <c r="DN31">
        <v>95.49</v>
      </c>
      <c r="DO31">
        <v>95.474999999999994</v>
      </c>
      <c r="DP31">
        <v>95.484999999999999</v>
      </c>
      <c r="DQ31">
        <v>95.57</v>
      </c>
      <c r="DR31">
        <v>95.625</v>
      </c>
      <c r="DS31">
        <v>95.64</v>
      </c>
      <c r="DT31">
        <v>95.635000000000005</v>
      </c>
      <c r="DU31">
        <v>95.635000000000005</v>
      </c>
      <c r="DV31">
        <v>95.674999999999997</v>
      </c>
      <c r="DW31">
        <v>95.594999999999999</v>
      </c>
      <c r="DX31">
        <v>95.655000000000001</v>
      </c>
      <c r="DY31">
        <v>95.64</v>
      </c>
      <c r="DZ31">
        <v>95.64</v>
      </c>
      <c r="EA31">
        <v>95.614999999999995</v>
      </c>
      <c r="EB31">
        <v>95.715000000000003</v>
      </c>
      <c r="EC31">
        <v>95.644999999999996</v>
      </c>
      <c r="ED31">
        <v>95.775000000000006</v>
      </c>
      <c r="EE31">
        <v>95.91</v>
      </c>
      <c r="EF31">
        <v>95.894999999999996</v>
      </c>
      <c r="EG31">
        <v>95.9</v>
      </c>
      <c r="EH31">
        <v>95.984999999999999</v>
      </c>
      <c r="EI31">
        <v>96.05</v>
      </c>
      <c r="EJ31">
        <v>96.11</v>
      </c>
      <c r="EK31">
        <v>96.135000000000005</v>
      </c>
      <c r="EL31">
        <v>96.174999999999997</v>
      </c>
      <c r="EM31">
        <v>96.14</v>
      </c>
      <c r="EN31">
        <v>96.125</v>
      </c>
      <c r="EO31">
        <v>96.094999999999999</v>
      </c>
      <c r="EP31">
        <v>96.13</v>
      </c>
      <c r="EQ31">
        <v>96.13</v>
      </c>
      <c r="ER31">
        <v>96.094999999999999</v>
      </c>
      <c r="ES31">
        <v>96.094999999999999</v>
      </c>
      <c r="ET31">
        <v>96.03</v>
      </c>
      <c r="EU31">
        <v>96.094999999999999</v>
      </c>
      <c r="EV31">
        <v>95.944999999999993</v>
      </c>
      <c r="EW31">
        <v>95.91</v>
      </c>
      <c r="EX31">
        <v>95.905000000000001</v>
      </c>
      <c r="EY31">
        <v>95.935000000000002</v>
      </c>
      <c r="EZ31">
        <v>95.9</v>
      </c>
      <c r="FA31">
        <v>95.89</v>
      </c>
      <c r="FB31">
        <v>95.894999999999996</v>
      </c>
      <c r="FC31">
        <v>95.86</v>
      </c>
      <c r="FD31">
        <v>95.885000000000005</v>
      </c>
      <c r="FE31">
        <v>95.944999999999993</v>
      </c>
      <c r="FF31">
        <v>95.995000000000005</v>
      </c>
      <c r="FG31">
        <v>95.95</v>
      </c>
      <c r="FH31">
        <v>95.844999999999999</v>
      </c>
      <c r="FI31">
        <v>96.015000000000001</v>
      </c>
      <c r="FJ31">
        <v>95.99</v>
      </c>
      <c r="FK31">
        <v>95.924999999999997</v>
      </c>
      <c r="FL31">
        <v>95.984999999999999</v>
      </c>
      <c r="FM31">
        <v>95.995000000000005</v>
      </c>
      <c r="FN31">
        <v>95.965000000000003</v>
      </c>
      <c r="FO31">
        <v>95.96</v>
      </c>
      <c r="FP31">
        <v>95.995000000000005</v>
      </c>
      <c r="FQ31">
        <v>96.02</v>
      </c>
      <c r="FR31">
        <v>95.97</v>
      </c>
      <c r="FS31">
        <v>96</v>
      </c>
      <c r="FT31">
        <v>96.025000000000006</v>
      </c>
      <c r="FU31">
        <v>96.14</v>
      </c>
      <c r="FV31">
        <v>96.125</v>
      </c>
      <c r="FW31">
        <v>96.224999999999994</v>
      </c>
      <c r="FX31">
        <v>96.204999999999998</v>
      </c>
      <c r="FY31">
        <v>96.11</v>
      </c>
      <c r="FZ31">
        <v>96.15</v>
      </c>
      <c r="GA31">
        <v>96.14</v>
      </c>
      <c r="GB31">
        <v>96.185000000000002</v>
      </c>
      <c r="GC31">
        <v>96.21</v>
      </c>
      <c r="GD31">
        <v>96.224999999999994</v>
      </c>
      <c r="GE31">
        <v>96.26</v>
      </c>
      <c r="GF31">
        <v>96.34</v>
      </c>
      <c r="GG31">
        <v>96.41</v>
      </c>
      <c r="GH31">
        <v>96.454999999999998</v>
      </c>
      <c r="GI31">
        <v>96.385000000000005</v>
      </c>
      <c r="GJ31">
        <v>96.424999999999997</v>
      </c>
      <c r="GK31">
        <v>96.394999999999996</v>
      </c>
      <c r="GL31">
        <v>96.375</v>
      </c>
      <c r="GM31">
        <v>96.415000000000006</v>
      </c>
      <c r="GN31">
        <v>96.42</v>
      </c>
      <c r="GO31">
        <v>96.435000000000002</v>
      </c>
      <c r="GP31">
        <v>96.415000000000006</v>
      </c>
      <c r="GQ31">
        <v>96.49</v>
      </c>
      <c r="GR31">
        <v>96.55</v>
      </c>
      <c r="GS31">
        <v>96.54</v>
      </c>
      <c r="GT31">
        <v>96.52</v>
      </c>
      <c r="GU31">
        <v>96.515000000000001</v>
      </c>
      <c r="GV31">
        <v>96.545000000000002</v>
      </c>
      <c r="GW31">
        <v>96.55</v>
      </c>
      <c r="GX31">
        <v>96.495000000000005</v>
      </c>
      <c r="GY31">
        <v>96.47</v>
      </c>
      <c r="GZ31">
        <v>96.484999999999999</v>
      </c>
      <c r="HA31">
        <v>96.45</v>
      </c>
      <c r="HB31">
        <v>96.4</v>
      </c>
      <c r="HC31">
        <v>96.32</v>
      </c>
      <c r="HD31">
        <v>96.32</v>
      </c>
      <c r="HE31">
        <v>96.364999999999995</v>
      </c>
      <c r="HF31">
        <v>96.38</v>
      </c>
      <c r="HG31">
        <v>96.394999999999996</v>
      </c>
      <c r="HH31">
        <v>96.415000000000006</v>
      </c>
      <c r="HI31">
        <v>96.405000000000001</v>
      </c>
      <c r="HJ31">
        <v>96.344999999999999</v>
      </c>
      <c r="HK31">
        <v>96.42</v>
      </c>
      <c r="HL31">
        <v>96.394999999999996</v>
      </c>
      <c r="HM31">
        <v>96.344999999999999</v>
      </c>
      <c r="HN31">
        <v>96.305000000000007</v>
      </c>
      <c r="HO31">
        <v>96.265000000000001</v>
      </c>
      <c r="HP31">
        <v>96.334999999999994</v>
      </c>
      <c r="HQ31">
        <v>96.3</v>
      </c>
      <c r="HR31">
        <v>96.27</v>
      </c>
      <c r="HS31">
        <v>96.23</v>
      </c>
      <c r="HT31">
        <v>96.15</v>
      </c>
      <c r="HU31">
        <v>96.16</v>
      </c>
      <c r="HV31">
        <v>96.254999999999995</v>
      </c>
      <c r="HW31">
        <v>96.355000000000004</v>
      </c>
      <c r="HX31">
        <v>96.36</v>
      </c>
      <c r="HY31">
        <v>96.234999999999999</v>
      </c>
      <c r="HZ31">
        <v>96.135000000000005</v>
      </c>
      <c r="IA31">
        <v>96.1</v>
      </c>
      <c r="IB31">
        <v>96.064999999999998</v>
      </c>
      <c r="IC31">
        <v>96.04</v>
      </c>
      <c r="ID31">
        <v>96</v>
      </c>
      <c r="IE31">
        <v>95.954999999999998</v>
      </c>
      <c r="IF31">
        <v>96.04</v>
      </c>
      <c r="IG31">
        <v>96.025000000000006</v>
      </c>
      <c r="IH31">
        <v>96.034999999999997</v>
      </c>
      <c r="II31">
        <v>96.084999999999994</v>
      </c>
      <c r="IJ31">
        <v>96.14</v>
      </c>
      <c r="IK31">
        <v>96.114999999999995</v>
      </c>
      <c r="IL31">
        <v>96.04</v>
      </c>
      <c r="IM31">
        <v>96.084999999999994</v>
      </c>
      <c r="IN31">
        <v>96.105000000000004</v>
      </c>
      <c r="IO31">
        <v>96.025000000000006</v>
      </c>
      <c r="IP31">
        <v>95.995000000000005</v>
      </c>
      <c r="IQ31">
        <v>96.034999999999997</v>
      </c>
      <c r="IR31">
        <v>96.03</v>
      </c>
      <c r="IS31">
        <v>95.974999999999994</v>
      </c>
      <c r="IT31">
        <v>95.974999999999994</v>
      </c>
      <c r="IU31">
        <v>95.87</v>
      </c>
      <c r="IV31">
        <v>95.834999999999994</v>
      </c>
      <c r="IW31">
        <v>95.995000000000005</v>
      </c>
      <c r="IX31">
        <v>96.06</v>
      </c>
      <c r="IY31">
        <v>96.025000000000006</v>
      </c>
      <c r="IZ31">
        <v>96.114999999999995</v>
      </c>
      <c r="JA31">
        <v>96.105000000000004</v>
      </c>
      <c r="JB31">
        <v>96.08</v>
      </c>
      <c r="JC31">
        <v>96.09</v>
      </c>
      <c r="JD31">
        <v>96.144999999999996</v>
      </c>
      <c r="JE31">
        <v>96.144999999999996</v>
      </c>
      <c r="JF31">
        <v>96.084999999999994</v>
      </c>
      <c r="JG31">
        <v>96.165000000000006</v>
      </c>
      <c r="JH31">
        <v>96.1</v>
      </c>
      <c r="JI31">
        <v>96.045000000000002</v>
      </c>
      <c r="JJ31">
        <v>95.93</v>
      </c>
      <c r="JK31">
        <v>95.85</v>
      </c>
      <c r="JL31">
        <v>95.894999999999996</v>
      </c>
      <c r="JM31">
        <v>96.045000000000002</v>
      </c>
      <c r="JN31">
        <v>96.045000000000002</v>
      </c>
      <c r="JO31">
        <v>96.01</v>
      </c>
      <c r="JP31">
        <v>95.935000000000002</v>
      </c>
      <c r="JQ31">
        <v>95.82</v>
      </c>
      <c r="JR31">
        <v>95.795000000000002</v>
      </c>
      <c r="JS31">
        <v>95.734999999999999</v>
      </c>
      <c r="JT31">
        <v>95.84</v>
      </c>
      <c r="JU31">
        <v>95.915000000000006</v>
      </c>
      <c r="JV31">
        <v>95.915000000000006</v>
      </c>
      <c r="JW31">
        <v>95.894999999999996</v>
      </c>
      <c r="JX31">
        <v>95.894999999999996</v>
      </c>
      <c r="JY31">
        <v>95.9</v>
      </c>
      <c r="JZ31">
        <v>95.87</v>
      </c>
      <c r="KA31">
        <v>95.89</v>
      </c>
      <c r="KB31">
        <v>95.935000000000002</v>
      </c>
      <c r="KC31">
        <v>95.94</v>
      </c>
      <c r="KD31">
        <v>95.87</v>
      </c>
      <c r="KE31">
        <v>95.834999999999994</v>
      </c>
      <c r="KF31">
        <v>95.81</v>
      </c>
      <c r="KG31">
        <v>95.864999999999995</v>
      </c>
      <c r="KH31">
        <v>95.834999999999994</v>
      </c>
      <c r="KI31">
        <v>95.875</v>
      </c>
      <c r="KJ31">
        <v>95.83</v>
      </c>
      <c r="KK31">
        <v>95.81</v>
      </c>
      <c r="KL31">
        <v>95.734999999999999</v>
      </c>
      <c r="KM31">
        <v>95.72</v>
      </c>
      <c r="KN31">
        <v>95.655000000000001</v>
      </c>
      <c r="KO31">
        <v>95.724999999999994</v>
      </c>
      <c r="KP31">
        <v>95.644999999999996</v>
      </c>
      <c r="KQ31">
        <v>95.605000000000004</v>
      </c>
      <c r="KR31">
        <v>95.665000000000006</v>
      </c>
      <c r="KS31">
        <v>95.74</v>
      </c>
      <c r="KT31">
        <v>95.72</v>
      </c>
      <c r="KU31">
        <v>95.734999999999999</v>
      </c>
      <c r="KV31">
        <v>95.7</v>
      </c>
      <c r="KW31">
        <v>95.76</v>
      </c>
      <c r="KX31">
        <v>95.685000000000002</v>
      </c>
      <c r="KY31">
        <v>95.72</v>
      </c>
      <c r="KZ31">
        <v>95.86</v>
      </c>
      <c r="LA31">
        <v>95.77</v>
      </c>
      <c r="LB31">
        <v>95.8</v>
      </c>
      <c r="LC31">
        <v>95.944999999999993</v>
      </c>
      <c r="LD31">
        <v>95.885000000000005</v>
      </c>
      <c r="LE31">
        <v>95.93</v>
      </c>
      <c r="LF31">
        <v>95.98</v>
      </c>
      <c r="LG31">
        <v>95.93</v>
      </c>
      <c r="LH31">
        <v>95.92</v>
      </c>
      <c r="LI31">
        <v>95.965000000000003</v>
      </c>
      <c r="LJ31">
        <v>96.094999999999999</v>
      </c>
      <c r="LK31">
        <v>96.094999999999999</v>
      </c>
      <c r="LL31">
        <v>96.06</v>
      </c>
      <c r="LM31">
        <v>96.025000000000006</v>
      </c>
      <c r="LN31">
        <v>95.995000000000005</v>
      </c>
      <c r="LO31">
        <v>96.03</v>
      </c>
      <c r="LP31">
        <v>95.97</v>
      </c>
      <c r="LQ31">
        <v>95.974999999999994</v>
      </c>
      <c r="LR31">
        <v>96.004999999999995</v>
      </c>
      <c r="LS31">
        <v>95.974999999999994</v>
      </c>
      <c r="LT31">
        <v>96.015000000000001</v>
      </c>
      <c r="LU31">
        <v>96</v>
      </c>
      <c r="LV31">
        <v>96.11</v>
      </c>
      <c r="LW31">
        <v>96.125</v>
      </c>
      <c r="LX31">
        <v>96.174999999999997</v>
      </c>
      <c r="LY31">
        <v>96.17</v>
      </c>
      <c r="LZ31">
        <v>96.19</v>
      </c>
      <c r="MA31">
        <v>96.185000000000002</v>
      </c>
      <c r="MB31">
        <v>96.144999999999996</v>
      </c>
      <c r="MC31">
        <v>96.055000000000007</v>
      </c>
      <c r="MD31">
        <v>96.084999999999994</v>
      </c>
      <c r="ME31">
        <v>96.04</v>
      </c>
      <c r="MF31">
        <v>96.03</v>
      </c>
      <c r="MG31">
        <v>96.034999999999997</v>
      </c>
      <c r="MH31">
        <v>96.055000000000007</v>
      </c>
      <c r="MI31">
        <v>96.064999999999998</v>
      </c>
      <c r="MJ31">
        <v>95.97</v>
      </c>
      <c r="MK31">
        <v>95.94</v>
      </c>
      <c r="ML31">
        <v>95.984999999999999</v>
      </c>
      <c r="MM31">
        <v>95.96</v>
      </c>
      <c r="MN31">
        <v>95.96</v>
      </c>
      <c r="MO31">
        <v>96</v>
      </c>
      <c r="MP31">
        <v>95.974999999999994</v>
      </c>
      <c r="MQ31">
        <v>95.935000000000002</v>
      </c>
      <c r="MR31">
        <v>96.034999999999997</v>
      </c>
      <c r="MS31">
        <v>96.015000000000001</v>
      </c>
      <c r="MT31">
        <v>96.03</v>
      </c>
      <c r="MU31">
        <v>96.114999999999995</v>
      </c>
      <c r="MV31">
        <v>96.13</v>
      </c>
      <c r="MW31">
        <v>96.04</v>
      </c>
      <c r="MX31">
        <v>96.17</v>
      </c>
      <c r="MY31">
        <v>96.33</v>
      </c>
      <c r="MZ31">
        <v>96.21</v>
      </c>
      <c r="NA31">
        <v>96.125</v>
      </c>
      <c r="NB31">
        <v>96.055000000000007</v>
      </c>
      <c r="NC31">
        <v>95.984999999999999</v>
      </c>
      <c r="ND31">
        <v>96.02</v>
      </c>
      <c r="NE31">
        <v>95.99</v>
      </c>
      <c r="NF31">
        <v>96.034999999999997</v>
      </c>
      <c r="NG31">
        <v>96.09</v>
      </c>
      <c r="NH31">
        <v>96.034999999999997</v>
      </c>
      <c r="NI31">
        <v>96.025000000000006</v>
      </c>
      <c r="NJ31">
        <v>96.06</v>
      </c>
      <c r="NK31">
        <v>96.07</v>
      </c>
      <c r="NL31">
        <v>96.185000000000002</v>
      </c>
      <c r="NM31">
        <v>96.185000000000002</v>
      </c>
      <c r="NN31">
        <v>96.22</v>
      </c>
      <c r="NO31">
        <v>96.18</v>
      </c>
      <c r="NP31">
        <v>96.19</v>
      </c>
      <c r="NQ31">
        <v>96.194999999999993</v>
      </c>
      <c r="NR31">
        <v>96.19</v>
      </c>
      <c r="NS31">
        <v>96.245000000000005</v>
      </c>
      <c r="NT31">
        <v>96.325000000000003</v>
      </c>
      <c r="NU31">
        <v>96.28</v>
      </c>
      <c r="NV31">
        <v>96.314999999999998</v>
      </c>
      <c r="NW31">
        <v>96.314999999999998</v>
      </c>
      <c r="NX31">
        <v>96.34</v>
      </c>
      <c r="NY31">
        <v>96.41</v>
      </c>
      <c r="NZ31">
        <v>96.305000000000007</v>
      </c>
      <c r="OA31">
        <v>96.29</v>
      </c>
      <c r="OB31">
        <v>96.29</v>
      </c>
      <c r="OC31">
        <v>96.325000000000003</v>
      </c>
      <c r="OD31">
        <v>96.36</v>
      </c>
      <c r="OE31">
        <v>96.34</v>
      </c>
      <c r="OF31">
        <v>96.305000000000007</v>
      </c>
      <c r="OG31">
        <v>96.34</v>
      </c>
      <c r="OH31">
        <v>96.314999999999998</v>
      </c>
      <c r="OI31">
        <v>96.215000000000003</v>
      </c>
      <c r="OJ31">
        <v>96.064999999999998</v>
      </c>
      <c r="OK31">
        <v>96.01</v>
      </c>
      <c r="OL31">
        <v>96.004999999999995</v>
      </c>
      <c r="OM31">
        <v>96.114999999999995</v>
      </c>
      <c r="ON31">
        <v>96.11</v>
      </c>
      <c r="OO31">
        <v>96.045000000000002</v>
      </c>
      <c r="OP31">
        <v>95.91</v>
      </c>
      <c r="OQ31">
        <v>95.94</v>
      </c>
      <c r="OR31">
        <v>95.825000000000003</v>
      </c>
      <c r="OS31">
        <v>95.91</v>
      </c>
      <c r="OT31">
        <v>95.834999999999994</v>
      </c>
      <c r="OU31">
        <v>95.83</v>
      </c>
      <c r="OV31">
        <v>95.715000000000003</v>
      </c>
      <c r="OW31">
        <v>95.775000000000006</v>
      </c>
      <c r="OX31">
        <v>95.775000000000006</v>
      </c>
      <c r="OY31">
        <v>95.765000000000001</v>
      </c>
      <c r="OZ31">
        <v>95.784999999999997</v>
      </c>
      <c r="PA31">
        <v>95.74</v>
      </c>
      <c r="PB31">
        <v>95.72</v>
      </c>
      <c r="PC31">
        <v>95.625</v>
      </c>
      <c r="PD31">
        <v>95.71</v>
      </c>
      <c r="PE31">
        <v>95.54</v>
      </c>
      <c r="PF31">
        <v>95.534999999999997</v>
      </c>
      <c r="PG31">
        <v>95.515000000000001</v>
      </c>
      <c r="PH31">
        <v>95.644999999999996</v>
      </c>
      <c r="PI31">
        <v>95.56</v>
      </c>
      <c r="PJ31">
        <v>95.444999999999993</v>
      </c>
      <c r="PK31">
        <v>95.555000000000007</v>
      </c>
      <c r="PL31">
        <v>95.435000000000002</v>
      </c>
      <c r="PM31">
        <v>95.305000000000007</v>
      </c>
      <c r="PN31">
        <v>95.215000000000003</v>
      </c>
      <c r="PO31">
        <v>95.204999999999998</v>
      </c>
      <c r="PP31">
        <v>95.215000000000003</v>
      </c>
      <c r="PQ31">
        <v>95.22</v>
      </c>
      <c r="PR31">
        <v>95.11</v>
      </c>
      <c r="PS31">
        <v>95.25</v>
      </c>
      <c r="PT31">
        <v>95.245000000000005</v>
      </c>
      <c r="PU31">
        <v>95.14</v>
      </c>
      <c r="PV31">
        <v>95.064999999999998</v>
      </c>
      <c r="PW31">
        <v>95.194999999999993</v>
      </c>
      <c r="PX31">
        <v>95.24</v>
      </c>
      <c r="PY31">
        <v>95.364999999999995</v>
      </c>
      <c r="PZ31">
        <v>95.44</v>
      </c>
      <c r="QA31">
        <v>95.334999999999994</v>
      </c>
      <c r="QB31">
        <v>95.45</v>
      </c>
      <c r="QC31">
        <v>95.36</v>
      </c>
      <c r="QD31">
        <v>95.34</v>
      </c>
      <c r="QE31">
        <v>95.215000000000003</v>
      </c>
      <c r="QF31">
        <v>95.275000000000006</v>
      </c>
      <c r="QG31">
        <v>95.25</v>
      </c>
      <c r="QH31">
        <v>95.194999999999993</v>
      </c>
      <c r="QI31">
        <v>95.325000000000003</v>
      </c>
      <c r="QJ31">
        <v>95.484999999999999</v>
      </c>
      <c r="QK31">
        <v>95.47</v>
      </c>
      <c r="QL31">
        <v>95.495000000000005</v>
      </c>
      <c r="QM31">
        <v>95.57</v>
      </c>
      <c r="QN31">
        <v>95.58</v>
      </c>
      <c r="QO31">
        <v>95.73</v>
      </c>
      <c r="QP31">
        <v>95.7</v>
      </c>
      <c r="QQ31">
        <v>95.87</v>
      </c>
      <c r="QR31">
        <v>95.86</v>
      </c>
      <c r="QS31">
        <v>95.894999999999996</v>
      </c>
      <c r="QT31">
        <v>95.875</v>
      </c>
      <c r="QU31">
        <v>95.91</v>
      </c>
      <c r="QV31">
        <v>95.97</v>
      </c>
      <c r="QW31">
        <v>95.95</v>
      </c>
      <c r="QX31">
        <v>95.905000000000001</v>
      </c>
      <c r="QY31">
        <v>95.944999999999993</v>
      </c>
      <c r="QZ31">
        <v>95.935000000000002</v>
      </c>
      <c r="RA31">
        <v>95.92</v>
      </c>
      <c r="RB31">
        <v>95.915000000000006</v>
      </c>
      <c r="RC31">
        <v>95.984999999999999</v>
      </c>
      <c r="RD31">
        <v>95.984999999999999</v>
      </c>
      <c r="RE31">
        <v>96.08</v>
      </c>
      <c r="RF31">
        <v>96.055000000000007</v>
      </c>
      <c r="RG31">
        <v>96.06</v>
      </c>
      <c r="RH31">
        <v>96.015000000000001</v>
      </c>
      <c r="RI31">
        <v>95.974999999999994</v>
      </c>
      <c r="RJ31">
        <v>95.97</v>
      </c>
      <c r="RK31">
        <v>95.995000000000005</v>
      </c>
      <c r="RL31">
        <v>95.844999999999999</v>
      </c>
      <c r="RM31">
        <v>95.814999999999998</v>
      </c>
      <c r="RN31">
        <v>95.91</v>
      </c>
      <c r="RO31">
        <v>95.834999999999994</v>
      </c>
      <c r="RP31">
        <v>95.92</v>
      </c>
      <c r="RQ31">
        <v>95.954999999999998</v>
      </c>
      <c r="RR31">
        <v>96.015000000000001</v>
      </c>
      <c r="RS31">
        <v>95.99</v>
      </c>
      <c r="RT31">
        <v>96.08</v>
      </c>
      <c r="RU31">
        <v>96.185000000000002</v>
      </c>
      <c r="RV31">
        <v>96.15</v>
      </c>
      <c r="RW31">
        <v>96.084999999999994</v>
      </c>
      <c r="RX31">
        <v>96.1</v>
      </c>
      <c r="RY31">
        <v>95.954999999999998</v>
      </c>
      <c r="RZ31">
        <v>96.125</v>
      </c>
      <c r="SA31">
        <v>96.18</v>
      </c>
      <c r="SB31">
        <v>96.27</v>
      </c>
      <c r="SC31">
        <v>96.265000000000001</v>
      </c>
      <c r="SD31">
        <v>96.22</v>
      </c>
      <c r="SE31">
        <v>96.39</v>
      </c>
      <c r="SF31">
        <v>96.34</v>
      </c>
      <c r="SG31">
        <v>96.4</v>
      </c>
      <c r="SH31">
        <v>96.41</v>
      </c>
      <c r="SI31">
        <v>96.39</v>
      </c>
      <c r="SJ31">
        <v>96.51</v>
      </c>
      <c r="SK31">
        <v>96.47</v>
      </c>
      <c r="SL31">
        <v>96.454999999999998</v>
      </c>
      <c r="SM31">
        <v>96.415000000000006</v>
      </c>
      <c r="SN31">
        <v>96.424999999999997</v>
      </c>
      <c r="SO31">
        <v>96.394999999999996</v>
      </c>
      <c r="SP31">
        <v>96.305000000000007</v>
      </c>
      <c r="SQ31">
        <v>96.24</v>
      </c>
      <c r="SR31">
        <v>96.2</v>
      </c>
      <c r="SS31">
        <v>96.254999999999995</v>
      </c>
      <c r="ST31">
        <v>96.38</v>
      </c>
      <c r="SU31">
        <v>96.484999999999999</v>
      </c>
      <c r="SV31">
        <v>96.484999999999999</v>
      </c>
      <c r="SW31">
        <v>96.52</v>
      </c>
      <c r="SX31">
        <v>96.454999999999998</v>
      </c>
      <c r="SY31">
        <v>96.6</v>
      </c>
      <c r="SZ31">
        <v>96.545000000000002</v>
      </c>
      <c r="TA31">
        <v>96.575000000000003</v>
      </c>
      <c r="TB31">
        <v>96.545000000000002</v>
      </c>
      <c r="TC31">
        <v>96.474999999999994</v>
      </c>
      <c r="TD31">
        <v>96.55</v>
      </c>
      <c r="TE31">
        <v>96.564999999999998</v>
      </c>
      <c r="TF31">
        <v>96.495000000000005</v>
      </c>
      <c r="TG31">
        <v>96.495000000000005</v>
      </c>
      <c r="TH31">
        <v>96.53</v>
      </c>
      <c r="TI31">
        <v>96.46</v>
      </c>
      <c r="TJ31">
        <v>96.38</v>
      </c>
      <c r="TK31">
        <v>96.454999999999998</v>
      </c>
      <c r="TL31">
        <v>96.46</v>
      </c>
      <c r="TM31">
        <v>96.465000000000003</v>
      </c>
      <c r="TN31">
        <v>96.39</v>
      </c>
      <c r="TO31">
        <v>96.495000000000005</v>
      </c>
      <c r="TP31">
        <v>96.474999999999994</v>
      </c>
      <c r="TQ31">
        <v>96.444999999999993</v>
      </c>
      <c r="TR31">
        <v>96.545000000000002</v>
      </c>
      <c r="TS31">
        <v>96.53</v>
      </c>
      <c r="TT31">
        <v>96.484999999999999</v>
      </c>
      <c r="TU31">
        <v>96.375</v>
      </c>
      <c r="TV31">
        <v>96.375</v>
      </c>
      <c r="TW31">
        <v>96.36</v>
      </c>
      <c r="TX31">
        <v>96.444999999999993</v>
      </c>
      <c r="TY31">
        <v>96.46</v>
      </c>
      <c r="TZ31">
        <v>96.43</v>
      </c>
      <c r="UA31">
        <v>96.42</v>
      </c>
      <c r="UB31">
        <v>96.47</v>
      </c>
      <c r="UC31">
        <v>96.525000000000006</v>
      </c>
      <c r="UD31">
        <v>96.54</v>
      </c>
      <c r="UE31">
        <v>96.594999999999999</v>
      </c>
      <c r="UF31">
        <v>96.635000000000005</v>
      </c>
      <c r="UG31">
        <v>96.674999999999997</v>
      </c>
      <c r="UH31">
        <v>96.63</v>
      </c>
      <c r="UI31">
        <v>96.564999999999998</v>
      </c>
      <c r="UJ31">
        <v>96.575000000000003</v>
      </c>
      <c r="UK31">
        <v>96.62</v>
      </c>
      <c r="UL31">
        <v>96.69</v>
      </c>
      <c r="UM31">
        <v>96.655000000000001</v>
      </c>
      <c r="UN31">
        <v>96.644999999999996</v>
      </c>
      <c r="UO31">
        <v>96.51</v>
      </c>
      <c r="UP31">
        <v>96.64</v>
      </c>
      <c r="UQ31">
        <v>96.625</v>
      </c>
      <c r="UR31">
        <v>96.7</v>
      </c>
      <c r="US31">
        <v>96.75</v>
      </c>
      <c r="UT31">
        <v>96.69</v>
      </c>
      <c r="UU31">
        <v>96.635000000000005</v>
      </c>
      <c r="UV31">
        <v>96.68</v>
      </c>
      <c r="UW31">
        <v>96.635000000000005</v>
      </c>
      <c r="UX31">
        <v>96.655000000000001</v>
      </c>
      <c r="UY31">
        <v>96.61</v>
      </c>
      <c r="UZ31">
        <v>96.67</v>
      </c>
      <c r="VA31">
        <v>96.724999999999994</v>
      </c>
      <c r="VB31">
        <v>96.78</v>
      </c>
      <c r="VC31">
        <v>96.775000000000006</v>
      </c>
      <c r="VD31">
        <v>96.765000000000001</v>
      </c>
      <c r="VE31">
        <v>96.82</v>
      </c>
      <c r="VF31">
        <v>96.894999999999996</v>
      </c>
      <c r="VG31">
        <v>96.88</v>
      </c>
      <c r="VH31">
        <v>96.844999999999999</v>
      </c>
      <c r="VI31">
        <v>96.784999999999997</v>
      </c>
      <c r="VJ31">
        <v>96.73</v>
      </c>
      <c r="VK31">
        <v>96.694999999999993</v>
      </c>
      <c r="VL31">
        <v>96.67</v>
      </c>
      <c r="VM31">
        <v>96.66</v>
      </c>
      <c r="VN31">
        <v>96.69</v>
      </c>
      <c r="VO31">
        <v>96.81</v>
      </c>
      <c r="VP31">
        <v>96.77</v>
      </c>
      <c r="VQ31">
        <v>96.72</v>
      </c>
      <c r="VR31">
        <v>96.665000000000006</v>
      </c>
      <c r="VS31">
        <v>96.69</v>
      </c>
      <c r="VT31">
        <v>96.77</v>
      </c>
      <c r="VU31">
        <v>96.584999999999994</v>
      </c>
      <c r="VV31">
        <v>96.65</v>
      </c>
      <c r="VW31">
        <v>96.564999999999998</v>
      </c>
      <c r="VX31">
        <v>96.64</v>
      </c>
      <c r="VY31">
        <v>96.62</v>
      </c>
      <c r="VZ31">
        <v>96.42</v>
      </c>
      <c r="WA31">
        <v>96.465000000000003</v>
      </c>
      <c r="WB31">
        <v>96.444999999999993</v>
      </c>
      <c r="WC31">
        <v>96.37</v>
      </c>
      <c r="WD31">
        <v>96.37</v>
      </c>
      <c r="WE31">
        <v>96.245000000000005</v>
      </c>
      <c r="WF31">
        <v>96.35</v>
      </c>
      <c r="WG31">
        <v>96.435000000000002</v>
      </c>
      <c r="WH31">
        <v>96.435000000000002</v>
      </c>
      <c r="WI31">
        <v>96.394999999999996</v>
      </c>
      <c r="WJ31">
        <v>96.444999999999993</v>
      </c>
      <c r="WK31">
        <v>96.394999999999996</v>
      </c>
      <c r="WL31">
        <v>96.36</v>
      </c>
      <c r="WM31">
        <v>96.51</v>
      </c>
      <c r="WN31">
        <v>96.51</v>
      </c>
      <c r="WO31">
        <v>96.49</v>
      </c>
      <c r="WP31">
        <v>96.53</v>
      </c>
      <c r="WQ31">
        <v>96.594999999999999</v>
      </c>
      <c r="WR31">
        <v>96.58</v>
      </c>
      <c r="WS31">
        <v>96.55</v>
      </c>
      <c r="WT31">
        <v>96.614999999999995</v>
      </c>
      <c r="WU31">
        <v>96.635000000000005</v>
      </c>
      <c r="WV31">
        <v>96.614999999999995</v>
      </c>
      <c r="WW31">
        <v>96.64</v>
      </c>
      <c r="WX31">
        <v>96.715000000000003</v>
      </c>
      <c r="WY31">
        <v>96.805000000000007</v>
      </c>
      <c r="WZ31">
        <v>96.834999999999994</v>
      </c>
      <c r="XA31">
        <v>96.734999999999999</v>
      </c>
      <c r="XB31">
        <v>96.704999999999998</v>
      </c>
      <c r="XC31">
        <v>96.74</v>
      </c>
      <c r="XD31">
        <v>96.79</v>
      </c>
      <c r="XE31">
        <v>96.805000000000007</v>
      </c>
      <c r="XF31">
        <v>96.805000000000007</v>
      </c>
      <c r="XG31">
        <v>96.73</v>
      </c>
      <c r="XH31">
        <v>96.77</v>
      </c>
      <c r="XI31">
        <v>96.86</v>
      </c>
      <c r="XJ31">
        <v>96.89</v>
      </c>
      <c r="XK31">
        <v>96.754999999999995</v>
      </c>
      <c r="XL31">
        <v>96.8</v>
      </c>
      <c r="XM31">
        <v>96.8</v>
      </c>
      <c r="XN31">
        <v>96.825000000000003</v>
      </c>
      <c r="XO31">
        <v>96.75</v>
      </c>
      <c r="XP31">
        <v>96.694999999999993</v>
      </c>
      <c r="XQ31">
        <v>96.81</v>
      </c>
      <c r="XR31">
        <v>96.765000000000001</v>
      </c>
      <c r="XS31">
        <v>96.61</v>
      </c>
      <c r="XT31">
        <v>96.594999999999999</v>
      </c>
      <c r="XU31">
        <v>96.495000000000005</v>
      </c>
      <c r="XV31">
        <v>96.424999999999997</v>
      </c>
      <c r="XW31">
        <v>96.424999999999997</v>
      </c>
      <c r="XX31">
        <v>96.385000000000005</v>
      </c>
      <c r="XY31">
        <v>96.33</v>
      </c>
      <c r="XZ31">
        <v>96.415000000000006</v>
      </c>
      <c r="YA31">
        <v>96.5</v>
      </c>
      <c r="YB31">
        <v>96.5</v>
      </c>
      <c r="YC31">
        <v>96.53</v>
      </c>
      <c r="YD31">
        <v>96.504999999999995</v>
      </c>
      <c r="YE31">
        <v>96.564999999999998</v>
      </c>
      <c r="YF31">
        <v>96.704999999999998</v>
      </c>
      <c r="YG31">
        <v>96.8</v>
      </c>
      <c r="YH31">
        <v>96.864999999999995</v>
      </c>
      <c r="YI31">
        <v>96.805000000000007</v>
      </c>
      <c r="YJ31">
        <v>96.805000000000007</v>
      </c>
      <c r="YK31">
        <v>96.704999999999998</v>
      </c>
      <c r="YL31">
        <v>96.74</v>
      </c>
      <c r="YM31">
        <v>96.83</v>
      </c>
      <c r="YN31">
        <v>96.94</v>
      </c>
      <c r="YO31">
        <v>96.83</v>
      </c>
      <c r="YP31">
        <v>96.734999999999999</v>
      </c>
      <c r="YQ31">
        <v>96.834999999999994</v>
      </c>
      <c r="YR31">
        <v>96.79</v>
      </c>
      <c r="YS31">
        <v>96.63</v>
      </c>
      <c r="YT31">
        <v>96.6</v>
      </c>
      <c r="YU31">
        <v>96.644999999999996</v>
      </c>
      <c r="YV31">
        <v>96.63</v>
      </c>
      <c r="YW31">
        <v>96.614999999999995</v>
      </c>
      <c r="YX31">
        <v>96.614999999999995</v>
      </c>
      <c r="YY31">
        <v>96.545000000000002</v>
      </c>
      <c r="YZ31">
        <v>96.444999999999993</v>
      </c>
      <c r="ZA31">
        <v>96.424999999999997</v>
      </c>
      <c r="ZB31">
        <v>96.495000000000005</v>
      </c>
      <c r="ZC31">
        <v>96.55</v>
      </c>
      <c r="ZD31">
        <v>96.424999999999997</v>
      </c>
      <c r="ZE31">
        <v>96.35</v>
      </c>
      <c r="ZF31">
        <v>96.4</v>
      </c>
      <c r="ZG31">
        <v>96.39</v>
      </c>
      <c r="ZH31">
        <v>96.094999999999999</v>
      </c>
      <c r="ZI31">
        <v>96.135000000000005</v>
      </c>
      <c r="ZJ31">
        <v>96.05</v>
      </c>
      <c r="ZK31">
        <v>96.064999999999998</v>
      </c>
      <c r="ZL31">
        <v>96.094999999999999</v>
      </c>
      <c r="ZM31">
        <v>96.1</v>
      </c>
      <c r="ZN31">
        <v>96.08</v>
      </c>
      <c r="ZO31">
        <v>96.04</v>
      </c>
      <c r="ZP31">
        <v>96.07</v>
      </c>
      <c r="ZQ31">
        <v>96.165000000000006</v>
      </c>
      <c r="ZR31">
        <v>96.105000000000004</v>
      </c>
      <c r="ZS31">
        <v>96.015000000000001</v>
      </c>
      <c r="ZT31">
        <v>95.875</v>
      </c>
      <c r="ZU31">
        <v>95.924999999999997</v>
      </c>
      <c r="ZV31">
        <v>95.98</v>
      </c>
      <c r="ZW31">
        <v>96.09</v>
      </c>
      <c r="ZX31">
        <v>96.215000000000003</v>
      </c>
      <c r="ZY31">
        <v>96.194999999999993</v>
      </c>
      <c r="ZZ31">
        <v>96.21</v>
      </c>
      <c r="AAA31">
        <v>96.254999999999995</v>
      </c>
      <c r="AAB31">
        <v>96.245000000000005</v>
      </c>
      <c r="AAC31">
        <v>96.204999999999998</v>
      </c>
      <c r="AAD31">
        <v>96.155000000000001</v>
      </c>
      <c r="AAE31">
        <v>96.254999999999995</v>
      </c>
      <c r="AAF31">
        <v>96.3</v>
      </c>
      <c r="AAG31">
        <v>96.344999999999999</v>
      </c>
      <c r="AAH31">
        <v>96.48</v>
      </c>
      <c r="AAI31">
        <v>96.4</v>
      </c>
      <c r="AAJ31">
        <v>96.245000000000005</v>
      </c>
      <c r="AAK31">
        <v>96.305000000000007</v>
      </c>
      <c r="AAL31">
        <v>96.35</v>
      </c>
      <c r="AAM31">
        <v>96.22</v>
      </c>
      <c r="AAN31">
        <v>96.344999999999999</v>
      </c>
      <c r="AAO31">
        <v>96.525000000000006</v>
      </c>
      <c r="AAP31">
        <v>96.405000000000001</v>
      </c>
      <c r="AAQ31">
        <v>96.58</v>
      </c>
      <c r="AAR31">
        <v>96.515000000000001</v>
      </c>
      <c r="AAS31">
        <v>96.605000000000004</v>
      </c>
      <c r="AAT31">
        <v>96.61</v>
      </c>
      <c r="AAU31">
        <v>96.635000000000005</v>
      </c>
      <c r="AAV31">
        <v>96.715000000000003</v>
      </c>
      <c r="AAW31">
        <v>96.685000000000002</v>
      </c>
      <c r="AAX31">
        <v>96.67</v>
      </c>
      <c r="AAY31">
        <v>96.73</v>
      </c>
      <c r="AAZ31">
        <v>96.734999999999999</v>
      </c>
      <c r="ABA31">
        <v>96.77</v>
      </c>
      <c r="ABB31">
        <v>96.635000000000005</v>
      </c>
      <c r="ABC31">
        <v>96.805000000000007</v>
      </c>
      <c r="ABD31">
        <v>96.805000000000007</v>
      </c>
      <c r="ABE31">
        <v>96.77</v>
      </c>
      <c r="ABF31">
        <v>96.95</v>
      </c>
      <c r="ABG31">
        <v>96.995000000000005</v>
      </c>
      <c r="ABH31">
        <v>96.93</v>
      </c>
      <c r="ABI31">
        <v>97.04</v>
      </c>
      <c r="ABJ31">
        <v>97.055000000000007</v>
      </c>
      <c r="ABK31">
        <v>96.965000000000003</v>
      </c>
      <c r="ABL31">
        <v>97.045000000000002</v>
      </c>
      <c r="ABM31">
        <v>97.06</v>
      </c>
      <c r="ABN31">
        <v>97.08</v>
      </c>
      <c r="ABO31">
        <v>97.21</v>
      </c>
      <c r="ABP31">
        <v>97.2</v>
      </c>
      <c r="ABQ31">
        <v>97.275000000000006</v>
      </c>
      <c r="ABR31">
        <v>97.25</v>
      </c>
      <c r="ABS31">
        <v>97.165000000000006</v>
      </c>
      <c r="ABT31">
        <v>97.11</v>
      </c>
      <c r="ABU31">
        <v>97.284999999999997</v>
      </c>
      <c r="ABV31">
        <v>97.325000000000003</v>
      </c>
      <c r="ABW31">
        <v>97.305000000000007</v>
      </c>
      <c r="ABX31">
        <v>97.215000000000003</v>
      </c>
      <c r="ABY31">
        <v>97.355000000000004</v>
      </c>
      <c r="ABZ31">
        <v>97.275000000000006</v>
      </c>
      <c r="ACA31">
        <v>97.254999999999995</v>
      </c>
      <c r="ACB31">
        <v>97.31</v>
      </c>
      <c r="ACC31">
        <v>97.24</v>
      </c>
      <c r="ACD31">
        <v>97.2</v>
      </c>
      <c r="ACE31">
        <v>97.15</v>
      </c>
      <c r="ACF31">
        <v>97.094999999999999</v>
      </c>
      <c r="ACG31">
        <v>97.06</v>
      </c>
      <c r="ACH31">
        <v>97.13</v>
      </c>
      <c r="ACI31">
        <v>97.025000000000006</v>
      </c>
      <c r="ACJ31">
        <v>96.915000000000006</v>
      </c>
      <c r="ACK31">
        <v>96.95</v>
      </c>
      <c r="ACL31">
        <v>96.99</v>
      </c>
      <c r="ACM31">
        <v>97.015000000000001</v>
      </c>
      <c r="ACN31">
        <v>96.95</v>
      </c>
      <c r="ACO31">
        <v>96.98</v>
      </c>
      <c r="ACP31">
        <v>96.86</v>
      </c>
      <c r="ACQ31">
        <v>96.805000000000007</v>
      </c>
      <c r="ACR31">
        <v>96.67</v>
      </c>
      <c r="ACS31">
        <v>96.754999999999995</v>
      </c>
      <c r="ACT31">
        <v>96.87</v>
      </c>
      <c r="ACU31">
        <v>96.954999999999998</v>
      </c>
      <c r="ACV31">
        <v>96.88</v>
      </c>
      <c r="ACW31">
        <v>96.88</v>
      </c>
      <c r="ACX31">
        <v>96.85</v>
      </c>
      <c r="ACY31">
        <v>96.734999999999999</v>
      </c>
      <c r="ACZ31">
        <v>96.635000000000005</v>
      </c>
      <c r="ADA31">
        <v>96.65</v>
      </c>
      <c r="ADB31">
        <v>96.704999999999998</v>
      </c>
      <c r="ADC31">
        <v>96.8</v>
      </c>
      <c r="ADD31">
        <v>96.7</v>
      </c>
      <c r="ADE31">
        <v>96.57</v>
      </c>
      <c r="ADF31">
        <v>96.67</v>
      </c>
      <c r="ADG31">
        <v>96.67</v>
      </c>
      <c r="ADH31">
        <v>96.59</v>
      </c>
      <c r="ADI31">
        <v>96.5</v>
      </c>
      <c r="ADJ31">
        <v>96.48</v>
      </c>
      <c r="ADK31">
        <v>96.564999999999998</v>
      </c>
      <c r="ADL31">
        <v>96.77</v>
      </c>
      <c r="ADM31">
        <v>96.825000000000003</v>
      </c>
      <c r="ADN31">
        <v>96.825000000000003</v>
      </c>
      <c r="ADO31">
        <v>96.88</v>
      </c>
      <c r="ADP31">
        <v>96.78</v>
      </c>
      <c r="ADQ31">
        <v>96.885000000000005</v>
      </c>
      <c r="ADR31">
        <v>96.935000000000002</v>
      </c>
      <c r="ADS31">
        <v>96.89</v>
      </c>
      <c r="ADT31">
        <v>96.924999999999997</v>
      </c>
      <c r="ADU31">
        <v>97.025000000000006</v>
      </c>
      <c r="ADV31">
        <v>97.025000000000006</v>
      </c>
      <c r="ADW31">
        <v>97.004999999999995</v>
      </c>
      <c r="ADX31">
        <v>97.045000000000002</v>
      </c>
      <c r="ADY31">
        <v>97.055000000000007</v>
      </c>
      <c r="ADZ31">
        <v>97.034999999999997</v>
      </c>
      <c r="AEA31">
        <v>97.094999999999999</v>
      </c>
      <c r="AEB31">
        <v>96.99</v>
      </c>
      <c r="AEC31">
        <v>96.954999999999998</v>
      </c>
      <c r="AED31">
        <v>96.82</v>
      </c>
      <c r="AEE31">
        <v>96.894999999999996</v>
      </c>
      <c r="AEF31">
        <v>96.844999999999999</v>
      </c>
      <c r="AEG31">
        <v>96.954999999999998</v>
      </c>
      <c r="AEH31">
        <v>96.864999999999995</v>
      </c>
      <c r="AEI31">
        <v>96.74</v>
      </c>
      <c r="AEJ31">
        <v>96.64</v>
      </c>
      <c r="AEK31">
        <v>96.61</v>
      </c>
      <c r="AEL31">
        <v>96.715000000000003</v>
      </c>
      <c r="AEM31">
        <v>96.894999999999996</v>
      </c>
      <c r="AEN31">
        <v>96.92</v>
      </c>
      <c r="AEO31">
        <v>96.855000000000004</v>
      </c>
      <c r="AEP31">
        <v>97</v>
      </c>
      <c r="AEQ31">
        <v>97</v>
      </c>
      <c r="AER31">
        <v>97.064999999999998</v>
      </c>
      <c r="AES31">
        <v>97.135000000000005</v>
      </c>
      <c r="AET31">
        <v>97.114999999999995</v>
      </c>
      <c r="AEU31">
        <v>97.03</v>
      </c>
      <c r="AEV31">
        <v>96.995000000000005</v>
      </c>
      <c r="AEW31">
        <v>97.05</v>
      </c>
      <c r="AEX31">
        <v>96.954999999999998</v>
      </c>
      <c r="AEY31">
        <v>96.99</v>
      </c>
      <c r="AEZ31">
        <v>97.094999999999999</v>
      </c>
      <c r="AFA31">
        <v>97.094999999999999</v>
      </c>
      <c r="AFB31">
        <v>97.23</v>
      </c>
      <c r="AFC31">
        <v>97.174999999999997</v>
      </c>
      <c r="AFD31">
        <v>97.17</v>
      </c>
      <c r="AFE31">
        <v>97.295000000000002</v>
      </c>
      <c r="AFF31">
        <v>97.394999999999996</v>
      </c>
      <c r="AFG31">
        <v>97.54</v>
      </c>
      <c r="AFH31">
        <v>97.66</v>
      </c>
      <c r="AFI31">
        <v>97.78</v>
      </c>
      <c r="AFJ31">
        <v>97.8</v>
      </c>
      <c r="AFK31">
        <v>97.84</v>
      </c>
      <c r="AFL31">
        <v>97.795000000000002</v>
      </c>
      <c r="AFM31">
        <v>97.745000000000005</v>
      </c>
      <c r="AFN31">
        <v>97.665000000000006</v>
      </c>
      <c r="AFO31">
        <v>97.644999999999996</v>
      </c>
      <c r="AFP31">
        <v>97.78</v>
      </c>
      <c r="AFQ31">
        <v>97.814999999999998</v>
      </c>
      <c r="AFR31">
        <v>97.76</v>
      </c>
      <c r="AFS31">
        <v>97.825000000000003</v>
      </c>
      <c r="AFT31">
        <v>97.965000000000003</v>
      </c>
      <c r="AFU31">
        <v>97.89</v>
      </c>
      <c r="AFV31">
        <v>97.87</v>
      </c>
      <c r="AFW31">
        <v>97.87</v>
      </c>
      <c r="AFX31">
        <v>97.894999999999996</v>
      </c>
      <c r="AFY31">
        <v>98.055000000000007</v>
      </c>
      <c r="AFZ31">
        <v>98.064999999999998</v>
      </c>
      <c r="AGA31">
        <v>98.14</v>
      </c>
      <c r="AGB31">
        <v>98.234999999999999</v>
      </c>
      <c r="AGC31">
        <v>98.35</v>
      </c>
      <c r="AGD31">
        <v>98.325000000000003</v>
      </c>
      <c r="AGE31">
        <v>98.19</v>
      </c>
      <c r="AGF31">
        <v>98.144999999999996</v>
      </c>
      <c r="AGG31">
        <v>98.29</v>
      </c>
      <c r="AGH31">
        <v>98.18</v>
      </c>
      <c r="AGI31">
        <v>98.04</v>
      </c>
      <c r="AGJ31">
        <v>98.05</v>
      </c>
      <c r="AGK31">
        <v>98.075000000000003</v>
      </c>
      <c r="AGL31">
        <v>98.114999999999995</v>
      </c>
      <c r="AGM31">
        <v>98.105000000000004</v>
      </c>
      <c r="AGN31">
        <v>98.105000000000004</v>
      </c>
      <c r="AGO31">
        <v>98.055000000000007</v>
      </c>
      <c r="AGP31">
        <v>97.965000000000003</v>
      </c>
      <c r="AGQ31">
        <v>97.974999999999994</v>
      </c>
      <c r="AGR31">
        <v>98.06</v>
      </c>
      <c r="AGS31">
        <v>98.105000000000004</v>
      </c>
      <c r="AGT31">
        <v>97.995000000000005</v>
      </c>
      <c r="AGU31">
        <v>98.064999999999998</v>
      </c>
      <c r="AGV31">
        <v>98.025000000000006</v>
      </c>
      <c r="AGW31">
        <v>98.064999999999998</v>
      </c>
      <c r="AGX31">
        <v>98.05</v>
      </c>
      <c r="AGY31">
        <v>98.16</v>
      </c>
      <c r="AGZ31">
        <v>98.204999999999998</v>
      </c>
      <c r="AHA31">
        <v>98.17</v>
      </c>
      <c r="AHB31">
        <v>98.18</v>
      </c>
      <c r="AHC31">
        <v>98.19</v>
      </c>
      <c r="AHD31">
        <v>98.15</v>
      </c>
      <c r="AHE31">
        <v>98.045000000000002</v>
      </c>
      <c r="AHF31">
        <v>98.11</v>
      </c>
      <c r="AHG31">
        <v>98.174999999999997</v>
      </c>
      <c r="AHH31">
        <v>98.16</v>
      </c>
      <c r="AHI31">
        <v>98.09</v>
      </c>
      <c r="AHJ31">
        <v>98.08</v>
      </c>
      <c r="AHK31">
        <v>98.025000000000006</v>
      </c>
      <c r="AHL31">
        <v>98.13</v>
      </c>
      <c r="AHM31">
        <v>98.13</v>
      </c>
      <c r="AHN31">
        <v>98.204999999999998</v>
      </c>
      <c r="AHO31">
        <v>98.174999999999997</v>
      </c>
      <c r="AHP31">
        <v>98.13</v>
      </c>
      <c r="AHQ31">
        <v>98.08</v>
      </c>
      <c r="AHR31">
        <v>98.075000000000003</v>
      </c>
      <c r="AHS31">
        <v>98.09</v>
      </c>
      <c r="AHT31">
        <v>98.114999999999995</v>
      </c>
      <c r="AHU31">
        <v>98.13</v>
      </c>
      <c r="AHV31">
        <v>98.19</v>
      </c>
      <c r="AHW31">
        <v>98.36</v>
      </c>
      <c r="AHX31">
        <v>98.344999999999999</v>
      </c>
      <c r="AHY31">
        <v>98.334999999999994</v>
      </c>
      <c r="AHZ31">
        <v>98.43</v>
      </c>
      <c r="AIA31">
        <v>98.4</v>
      </c>
      <c r="AIB31">
        <v>98.364999999999995</v>
      </c>
      <c r="AIC31">
        <v>98.364999999999995</v>
      </c>
      <c r="AID31">
        <v>98.39</v>
      </c>
      <c r="AIE31">
        <v>98.35</v>
      </c>
      <c r="AIF31">
        <v>98.444999999999993</v>
      </c>
      <c r="AIG31">
        <v>98.525000000000006</v>
      </c>
      <c r="AIH31">
        <v>98.484999999999999</v>
      </c>
      <c r="AII31">
        <v>98.454999999999998</v>
      </c>
      <c r="AIJ31">
        <v>98.45</v>
      </c>
      <c r="AIK31">
        <v>98.454999999999998</v>
      </c>
      <c r="AIL31">
        <v>98.39</v>
      </c>
      <c r="AIM31">
        <v>98.415000000000006</v>
      </c>
      <c r="AIN31">
        <v>98.37</v>
      </c>
      <c r="AIO31">
        <v>98.394999999999996</v>
      </c>
      <c r="AIP31">
        <v>98.424999999999997</v>
      </c>
      <c r="AIQ31">
        <v>98.57</v>
      </c>
      <c r="AIR31">
        <v>98.42</v>
      </c>
      <c r="AIS31">
        <v>98.394999999999996</v>
      </c>
      <c r="AIT31">
        <v>98.33</v>
      </c>
      <c r="AIU31">
        <v>98.215000000000003</v>
      </c>
      <c r="AIV31">
        <v>98.32</v>
      </c>
      <c r="AIW31">
        <v>98.144999999999996</v>
      </c>
      <c r="AIX31">
        <v>98.144999999999996</v>
      </c>
      <c r="AIY31">
        <v>98.105000000000004</v>
      </c>
      <c r="AIZ31">
        <v>98.174999999999997</v>
      </c>
      <c r="AJA31">
        <v>98.28</v>
      </c>
      <c r="AJB31">
        <v>98.21</v>
      </c>
      <c r="AJC31">
        <v>98.185000000000002</v>
      </c>
      <c r="AJD31">
        <v>98.16</v>
      </c>
      <c r="AJE31">
        <v>98.204999999999998</v>
      </c>
      <c r="AJF31">
        <v>98.23</v>
      </c>
      <c r="AJG31">
        <v>98.245000000000005</v>
      </c>
      <c r="AJH31">
        <v>98.265000000000001</v>
      </c>
      <c r="AJI31">
        <v>98.325000000000003</v>
      </c>
      <c r="AJJ31">
        <v>98.23</v>
      </c>
      <c r="AJK31">
        <v>98.254999999999995</v>
      </c>
      <c r="AJL31">
        <v>98.16</v>
      </c>
      <c r="AJM31">
        <v>98.13</v>
      </c>
      <c r="AJN31">
        <v>98.15</v>
      </c>
      <c r="AJO31">
        <v>98.185000000000002</v>
      </c>
      <c r="AJP31">
        <v>98.224999999999994</v>
      </c>
      <c r="AJQ31">
        <v>98.194999999999993</v>
      </c>
      <c r="AJR31">
        <v>98.215000000000003</v>
      </c>
      <c r="AJS31">
        <v>98.034999999999997</v>
      </c>
      <c r="AJT31">
        <v>98.025000000000006</v>
      </c>
      <c r="AJU31">
        <v>97.99</v>
      </c>
      <c r="AJV31">
        <v>97.935000000000002</v>
      </c>
      <c r="AJW31">
        <v>97.97</v>
      </c>
      <c r="AJX31">
        <v>97.995000000000005</v>
      </c>
      <c r="AJY31">
        <v>98.1</v>
      </c>
      <c r="AJZ31">
        <v>98.07</v>
      </c>
      <c r="AKA31">
        <v>98.125</v>
      </c>
      <c r="AKB31">
        <v>98.084999999999994</v>
      </c>
      <c r="AKC31">
        <v>97.974999999999994</v>
      </c>
      <c r="AKD31">
        <v>97.88</v>
      </c>
      <c r="AKE31">
        <v>97.875</v>
      </c>
      <c r="AKF31">
        <v>97.924999999999997</v>
      </c>
      <c r="AKG31">
        <v>97.984999999999999</v>
      </c>
      <c r="AKH31">
        <v>97.965000000000003</v>
      </c>
      <c r="AKI31">
        <v>98.015000000000001</v>
      </c>
      <c r="AKJ31">
        <v>97.99</v>
      </c>
      <c r="AKK31">
        <v>97.935000000000002</v>
      </c>
      <c r="AKL31">
        <v>97.924999999999997</v>
      </c>
      <c r="AKM31">
        <v>97.965000000000003</v>
      </c>
      <c r="AKN31">
        <v>98.06</v>
      </c>
      <c r="AKO31">
        <v>98.11</v>
      </c>
      <c r="AKP31">
        <v>98.19</v>
      </c>
      <c r="AKQ31">
        <v>98.284999999999997</v>
      </c>
      <c r="AKR31">
        <v>98.22</v>
      </c>
      <c r="AKS31">
        <v>98.224999999999994</v>
      </c>
      <c r="AKT31">
        <v>98.15</v>
      </c>
      <c r="AKU31">
        <v>98.22</v>
      </c>
      <c r="AKV31">
        <v>98.26</v>
      </c>
      <c r="AKW31">
        <v>98.32</v>
      </c>
      <c r="AKX31">
        <v>98.24</v>
      </c>
      <c r="AKY31">
        <v>98.21</v>
      </c>
      <c r="AKZ31">
        <v>98.284999999999997</v>
      </c>
      <c r="ALA31">
        <v>98.245000000000005</v>
      </c>
      <c r="ALB31">
        <v>98.194999999999993</v>
      </c>
      <c r="ALC31">
        <v>98.245000000000005</v>
      </c>
      <c r="ALD31">
        <v>98.245000000000005</v>
      </c>
      <c r="ALE31">
        <v>98.3</v>
      </c>
      <c r="ALF31">
        <v>98.29</v>
      </c>
      <c r="ALG31">
        <v>98.275000000000006</v>
      </c>
      <c r="ALH31">
        <v>98.31</v>
      </c>
      <c r="ALI31">
        <v>98.305000000000007</v>
      </c>
      <c r="ALJ31">
        <v>98.275000000000006</v>
      </c>
      <c r="ALK31">
        <v>98.284999999999997</v>
      </c>
      <c r="ALL31">
        <v>98.36</v>
      </c>
      <c r="ALM31">
        <v>98.415000000000006</v>
      </c>
      <c r="ALN31">
        <v>98.405000000000001</v>
      </c>
      <c r="ALO31">
        <v>98.43</v>
      </c>
      <c r="ALP31">
        <v>98.38</v>
      </c>
      <c r="ALQ31">
        <v>98.42</v>
      </c>
      <c r="ALR31">
        <v>98.424999999999997</v>
      </c>
      <c r="ALS31">
        <v>98.375</v>
      </c>
      <c r="ALT31">
        <v>98.28</v>
      </c>
      <c r="ALU31">
        <v>98.295000000000002</v>
      </c>
      <c r="ALV31">
        <v>98.314999999999998</v>
      </c>
      <c r="ALW31">
        <v>98.33</v>
      </c>
      <c r="ALX31">
        <v>98.364999999999995</v>
      </c>
      <c r="ALY31">
        <v>98.46</v>
      </c>
      <c r="ALZ31">
        <v>98.47</v>
      </c>
      <c r="AMA31">
        <v>98.465000000000003</v>
      </c>
      <c r="AMB31">
        <v>98.47</v>
      </c>
      <c r="AMC31">
        <v>98.375</v>
      </c>
      <c r="AMD31">
        <v>98.355000000000004</v>
      </c>
      <c r="AME31">
        <v>98.38</v>
      </c>
      <c r="AMF31">
        <v>98.4</v>
      </c>
      <c r="AMG31">
        <v>98.364999999999995</v>
      </c>
      <c r="AMH31">
        <v>98.344999999999999</v>
      </c>
      <c r="AMI31">
        <v>98.37</v>
      </c>
      <c r="AMJ31">
        <v>98.364999999999995</v>
      </c>
      <c r="AMK31">
        <v>98.48</v>
      </c>
      <c r="AML31">
        <v>98.564999999999998</v>
      </c>
      <c r="AMM31">
        <v>98.39</v>
      </c>
      <c r="AMN31">
        <v>98.38</v>
      </c>
      <c r="AMO31">
        <v>98.27</v>
      </c>
      <c r="AMP31">
        <v>98.18</v>
      </c>
      <c r="AMQ31">
        <v>98.245000000000005</v>
      </c>
      <c r="AMR31">
        <v>98.24</v>
      </c>
      <c r="AMS31">
        <v>98.334999999999994</v>
      </c>
      <c r="AMT31">
        <v>98.32</v>
      </c>
      <c r="AMU31">
        <v>98.265000000000001</v>
      </c>
      <c r="AMV31">
        <v>98.18</v>
      </c>
      <c r="AMW31">
        <v>98.18</v>
      </c>
      <c r="AMX31">
        <v>98.114999999999995</v>
      </c>
      <c r="AMY31">
        <v>98.15</v>
      </c>
      <c r="AMZ31">
        <v>98.07</v>
      </c>
      <c r="ANA31">
        <v>98.06</v>
      </c>
      <c r="ANB31">
        <v>97.974999999999994</v>
      </c>
      <c r="ANC31">
        <v>98.02</v>
      </c>
      <c r="AND31">
        <v>98.01</v>
      </c>
      <c r="ANE31">
        <v>98.045000000000002</v>
      </c>
      <c r="ANF31">
        <v>98.04</v>
      </c>
      <c r="ANG31">
        <v>98.1</v>
      </c>
      <c r="ANH31">
        <v>97.995000000000005</v>
      </c>
      <c r="ANI31">
        <v>97.855000000000004</v>
      </c>
      <c r="ANJ31">
        <v>97.935000000000002</v>
      </c>
      <c r="ANK31">
        <v>97.92</v>
      </c>
      <c r="ANL31">
        <v>97.864999999999995</v>
      </c>
      <c r="ANM31">
        <v>97.885000000000005</v>
      </c>
      <c r="ANN31">
        <v>97.85</v>
      </c>
      <c r="ANO31">
        <v>97.8</v>
      </c>
      <c r="ANP31">
        <v>97.754999999999995</v>
      </c>
      <c r="ANQ31">
        <v>97.745000000000005</v>
      </c>
      <c r="ANR31">
        <v>97.65</v>
      </c>
      <c r="ANS31">
        <v>97.7</v>
      </c>
      <c r="ANT31">
        <v>97.665000000000006</v>
      </c>
      <c r="ANU31">
        <v>97.71</v>
      </c>
      <c r="ANV31">
        <v>97.71</v>
      </c>
      <c r="ANW31">
        <v>97.71</v>
      </c>
      <c r="ANX31">
        <v>97.76</v>
      </c>
      <c r="ANY31">
        <v>97.78</v>
      </c>
      <c r="ANZ31">
        <v>97.73</v>
      </c>
      <c r="AOA31">
        <v>97.69</v>
      </c>
      <c r="AOB31">
        <v>97.694999999999993</v>
      </c>
      <c r="AOC31">
        <v>97.635000000000005</v>
      </c>
      <c r="AOD31">
        <v>97.674999999999997</v>
      </c>
      <c r="AOE31">
        <v>97.68</v>
      </c>
      <c r="AOF31">
        <v>97.69</v>
      </c>
      <c r="AOG31">
        <v>97.644999999999996</v>
      </c>
      <c r="AOH31">
        <v>97.59</v>
      </c>
      <c r="AOI31">
        <v>97.69</v>
      </c>
      <c r="AOJ31">
        <v>97.715000000000003</v>
      </c>
      <c r="AOK31">
        <v>97.745000000000005</v>
      </c>
      <c r="AOL31">
        <v>97.76</v>
      </c>
      <c r="AOM31">
        <v>97.734999999999999</v>
      </c>
      <c r="AON31">
        <v>97.71</v>
      </c>
      <c r="AOO31">
        <v>97.685000000000002</v>
      </c>
      <c r="AOP31">
        <v>97.65</v>
      </c>
      <c r="AOQ31">
        <v>97.65</v>
      </c>
      <c r="AOR31">
        <v>97.674999999999997</v>
      </c>
      <c r="AOS31">
        <v>97.685000000000002</v>
      </c>
      <c r="AOT31">
        <v>97.745000000000005</v>
      </c>
      <c r="AOU31">
        <v>97.754999999999995</v>
      </c>
      <c r="AOV31">
        <v>97.78</v>
      </c>
      <c r="AOW31">
        <v>97.77</v>
      </c>
      <c r="AOX31">
        <v>97.775000000000006</v>
      </c>
      <c r="AOY31">
        <v>97.75</v>
      </c>
      <c r="AOZ31">
        <v>97.765000000000001</v>
      </c>
      <c r="APA31">
        <v>97.805000000000007</v>
      </c>
      <c r="APB31">
        <v>97.66</v>
      </c>
      <c r="APC31">
        <v>97.65</v>
      </c>
      <c r="APD31">
        <v>97.555000000000007</v>
      </c>
      <c r="APE31">
        <v>97.564999999999998</v>
      </c>
      <c r="APF31">
        <v>97.594999999999999</v>
      </c>
      <c r="APG31">
        <v>97.564999999999998</v>
      </c>
      <c r="APH31">
        <v>97.54</v>
      </c>
      <c r="API31">
        <v>97.435000000000002</v>
      </c>
      <c r="APJ31">
        <v>97.42</v>
      </c>
      <c r="APK31">
        <v>97.484999999999999</v>
      </c>
      <c r="APL31">
        <v>97.364999999999995</v>
      </c>
      <c r="APM31">
        <v>97.4</v>
      </c>
      <c r="APN31">
        <v>97.424999999999997</v>
      </c>
      <c r="APO31">
        <v>97.504999999999995</v>
      </c>
      <c r="APP31">
        <v>97.564999999999998</v>
      </c>
      <c r="APQ31">
        <v>97.534999999999997</v>
      </c>
      <c r="APR31">
        <v>97.515000000000001</v>
      </c>
      <c r="APS31">
        <v>97.454999999999998</v>
      </c>
      <c r="APT31">
        <v>97.41</v>
      </c>
      <c r="APU31">
        <v>97.584999999999994</v>
      </c>
      <c r="APV31">
        <v>97.775000000000006</v>
      </c>
      <c r="APW31">
        <v>97.765000000000001</v>
      </c>
      <c r="APX31">
        <v>97.76</v>
      </c>
      <c r="APY31">
        <v>97.745000000000005</v>
      </c>
      <c r="APZ31">
        <v>97.814999999999998</v>
      </c>
      <c r="AQA31">
        <v>97.805000000000007</v>
      </c>
      <c r="AQB31">
        <v>97.775000000000006</v>
      </c>
      <c r="AQC31">
        <v>97.72</v>
      </c>
      <c r="AQD31">
        <v>97.784999999999997</v>
      </c>
      <c r="AQE31">
        <v>97.775000000000006</v>
      </c>
      <c r="AQF31">
        <v>97.84</v>
      </c>
      <c r="AQG31">
        <v>97.894999999999996</v>
      </c>
      <c r="AQH31">
        <v>97.855000000000004</v>
      </c>
      <c r="AQI31">
        <v>97.765000000000001</v>
      </c>
      <c r="AQJ31">
        <v>97.77</v>
      </c>
      <c r="AQK31">
        <v>97.864999999999995</v>
      </c>
      <c r="AQL31">
        <v>97.89</v>
      </c>
      <c r="AQM31">
        <v>97.88</v>
      </c>
      <c r="AQN31">
        <v>97.915000000000006</v>
      </c>
      <c r="AQO31">
        <v>97.96</v>
      </c>
      <c r="AQP31">
        <v>98</v>
      </c>
      <c r="AQQ31">
        <v>98.025000000000006</v>
      </c>
      <c r="AQR31">
        <v>98.144999999999996</v>
      </c>
      <c r="AQS31">
        <v>98.144999999999996</v>
      </c>
      <c r="AQT31">
        <v>98.24</v>
      </c>
      <c r="AQU31">
        <v>98.25</v>
      </c>
      <c r="AQV31">
        <v>98.234999999999999</v>
      </c>
      <c r="AQW31">
        <v>98.224999999999994</v>
      </c>
      <c r="AQX31">
        <v>98.245000000000005</v>
      </c>
      <c r="AQY31">
        <v>98.25</v>
      </c>
      <c r="AQZ31">
        <v>98.37</v>
      </c>
      <c r="ARA31">
        <v>98.385000000000005</v>
      </c>
      <c r="ARB31">
        <v>98.45</v>
      </c>
      <c r="ARC31">
        <v>98.45</v>
      </c>
      <c r="ARD31">
        <v>98.454999999999998</v>
      </c>
      <c r="ARE31">
        <v>98.45</v>
      </c>
      <c r="ARF31">
        <v>98.444999999999993</v>
      </c>
      <c r="ARG31">
        <v>98.45</v>
      </c>
      <c r="ARH31">
        <v>98.45</v>
      </c>
      <c r="ARI31">
        <v>98.444999999999993</v>
      </c>
      <c r="ARJ31">
        <v>98.46</v>
      </c>
      <c r="ARK31">
        <v>98.46</v>
      </c>
      <c r="ARL31">
        <v>98.45</v>
      </c>
      <c r="ARM31">
        <v>98.45</v>
      </c>
      <c r="ARN31">
        <v>98.47</v>
      </c>
      <c r="ARO31">
        <v>98.454999999999998</v>
      </c>
      <c r="ARP31">
        <v>98.43</v>
      </c>
      <c r="ARQ31">
        <v>98.435000000000002</v>
      </c>
      <c r="ARR31">
        <v>98.44</v>
      </c>
      <c r="ARS31">
        <v>98.48</v>
      </c>
      <c r="ART31">
        <v>98.67</v>
      </c>
      <c r="ARU31">
        <v>98.715000000000003</v>
      </c>
      <c r="ARV31">
        <v>98.724999999999994</v>
      </c>
      <c r="ARW31">
        <v>98.715000000000003</v>
      </c>
      <c r="ARX31">
        <v>98.715000000000003</v>
      </c>
      <c r="ARY31">
        <v>98.704999999999998</v>
      </c>
      <c r="ARZ31">
        <v>98.69</v>
      </c>
      <c r="ASA31">
        <v>98.685000000000002</v>
      </c>
      <c r="ASB31">
        <v>98.69</v>
      </c>
      <c r="ASC31">
        <v>98.69</v>
      </c>
      <c r="ASD31">
        <v>98.69</v>
      </c>
      <c r="ASE31">
        <v>98.694999999999993</v>
      </c>
      <c r="ASF31">
        <v>98.69</v>
      </c>
      <c r="ASG31">
        <v>98.69</v>
      </c>
      <c r="ASH31">
        <v>98.79</v>
      </c>
      <c r="ASI31">
        <v>98.8</v>
      </c>
      <c r="ASJ31">
        <v>98.85</v>
      </c>
      <c r="ASK31">
        <v>98.85</v>
      </c>
      <c r="ASL31">
        <v>98.85</v>
      </c>
      <c r="ASM31">
        <v>99.084999999999994</v>
      </c>
      <c r="ASN31">
        <v>99.465000000000003</v>
      </c>
      <c r="ASO31">
        <v>99.57</v>
      </c>
      <c r="ASP31">
        <v>99.57</v>
      </c>
      <c r="ASQ31">
        <v>99.58</v>
      </c>
      <c r="ASR31">
        <v>99.594999999999999</v>
      </c>
      <c r="ASS31">
        <v>99.6</v>
      </c>
      <c r="AST31">
        <v>99.605000000000004</v>
      </c>
      <c r="ASU31">
        <v>99.63</v>
      </c>
      <c r="ASV31">
        <v>99.635000000000005</v>
      </c>
      <c r="ASW31">
        <v>99.63</v>
      </c>
      <c r="ASX31">
        <v>99.63</v>
      </c>
      <c r="ASY31">
        <v>99.625</v>
      </c>
      <c r="ASZ31">
        <v>99.62</v>
      </c>
      <c r="ATA31">
        <v>99.635000000000005</v>
      </c>
      <c r="ATB31">
        <v>99.63</v>
      </c>
      <c r="ATC31">
        <v>99.63</v>
      </c>
      <c r="ATD31">
        <v>99.635000000000005</v>
      </c>
      <c r="ATE31">
        <v>99.625</v>
      </c>
      <c r="ATF31">
        <v>99.625</v>
      </c>
      <c r="ATG31">
        <v>99.62</v>
      </c>
      <c r="ATH31">
        <v>99.6</v>
      </c>
      <c r="ATI31">
        <v>99.6</v>
      </c>
      <c r="ATJ31">
        <v>99.635000000000005</v>
      </c>
      <c r="ATK31">
        <v>99.68</v>
      </c>
      <c r="ATL31">
        <v>99.685000000000002</v>
      </c>
      <c r="ATM31">
        <v>99.704999999999998</v>
      </c>
      <c r="ATN31">
        <v>99.674999999999997</v>
      </c>
      <c r="ATO31">
        <v>99.685000000000002</v>
      </c>
      <c r="ATP31">
        <v>99.68</v>
      </c>
      <c r="ATQ31">
        <v>99.685000000000002</v>
      </c>
      <c r="ATR31">
        <v>99.694999999999993</v>
      </c>
      <c r="ATS31">
        <v>99.694999999999993</v>
      </c>
      <c r="ATT31">
        <v>99.69</v>
      </c>
      <c r="ATU31">
        <v>99.68</v>
      </c>
      <c r="ATV31">
        <v>99.67</v>
      </c>
      <c r="ATW31">
        <v>99.694999999999993</v>
      </c>
      <c r="ATX31">
        <v>99.694999999999993</v>
      </c>
      <c r="ATY31">
        <v>99.704999999999998</v>
      </c>
      <c r="ATZ31">
        <v>99.715000000000003</v>
      </c>
      <c r="AUA31">
        <v>99.71</v>
      </c>
      <c r="AUB31">
        <v>99.715000000000003</v>
      </c>
      <c r="AUC31">
        <v>99.71</v>
      </c>
      <c r="AUD31">
        <v>99.694999999999993</v>
      </c>
      <c r="AUE31">
        <v>99.69</v>
      </c>
      <c r="AUF31">
        <v>99.704999999999998</v>
      </c>
      <c r="AUG31">
        <v>99.7</v>
      </c>
      <c r="AUH31">
        <v>99.724999999999994</v>
      </c>
      <c r="AUI31">
        <v>99.724999999999994</v>
      </c>
      <c r="AUJ31">
        <v>99.775000000000006</v>
      </c>
      <c r="AUK31">
        <v>99.775000000000006</v>
      </c>
      <c r="AUL31">
        <v>99.775000000000006</v>
      </c>
      <c r="AUM31">
        <v>99.78</v>
      </c>
      <c r="AUN31">
        <v>99.78</v>
      </c>
      <c r="AUO31">
        <v>99.79</v>
      </c>
      <c r="AUP31">
        <v>99.79</v>
      </c>
      <c r="AUQ31">
        <v>99.795000000000002</v>
      </c>
      <c r="AUR31">
        <v>99.795000000000002</v>
      </c>
      <c r="AUS31">
        <v>99.784999999999997</v>
      </c>
      <c r="AUT31">
        <v>99.765000000000001</v>
      </c>
      <c r="AUU31">
        <v>99.78</v>
      </c>
      <c r="AUV31">
        <v>99.775000000000006</v>
      </c>
      <c r="AUW31">
        <v>99.805000000000007</v>
      </c>
      <c r="AUX31">
        <v>99.81</v>
      </c>
      <c r="AUY31">
        <v>99.8</v>
      </c>
      <c r="AUZ31">
        <v>99.775000000000006</v>
      </c>
      <c r="AVA31">
        <v>99.77</v>
      </c>
      <c r="AVB31">
        <v>99.775000000000006</v>
      </c>
      <c r="AVC31">
        <v>99.765000000000001</v>
      </c>
      <c r="AVD31">
        <v>99.765000000000001</v>
      </c>
      <c r="AVE31">
        <v>99.795000000000002</v>
      </c>
      <c r="AVF31">
        <v>99.784999999999997</v>
      </c>
      <c r="AVG31">
        <v>99.795000000000002</v>
      </c>
      <c r="AVH31">
        <v>99.79</v>
      </c>
      <c r="AVI31">
        <v>99.784999999999997</v>
      </c>
      <c r="AVJ31">
        <v>99.765000000000001</v>
      </c>
      <c r="AVK31">
        <v>99.775000000000006</v>
      </c>
      <c r="AVL31">
        <v>99.78</v>
      </c>
      <c r="AVM31">
        <v>99.79</v>
      </c>
      <c r="AVN31">
        <v>99.784999999999997</v>
      </c>
      <c r="AVO31">
        <v>99.795000000000002</v>
      </c>
      <c r="AVP31">
        <v>99.795000000000002</v>
      </c>
      <c r="AVQ31">
        <v>99.784999999999997</v>
      </c>
      <c r="AVR31">
        <v>99.77</v>
      </c>
      <c r="AVS31">
        <v>99.76</v>
      </c>
      <c r="AVT31">
        <v>99.76</v>
      </c>
      <c r="AVU31">
        <v>99.765000000000001</v>
      </c>
      <c r="AVV31">
        <v>99.765000000000001</v>
      </c>
      <c r="AVW31">
        <v>99.8</v>
      </c>
      <c r="AVX31">
        <v>99.81</v>
      </c>
      <c r="AVY31">
        <v>99.83</v>
      </c>
      <c r="AVZ31">
        <v>99.834999999999994</v>
      </c>
      <c r="AWA31">
        <v>99.844999999999999</v>
      </c>
      <c r="AWB31">
        <v>99.834999999999994</v>
      </c>
      <c r="AWC31">
        <v>99.83</v>
      </c>
      <c r="AWD31">
        <v>99.825000000000003</v>
      </c>
      <c r="AWE31">
        <v>99.805000000000007</v>
      </c>
      <c r="AWF31">
        <v>99.795000000000002</v>
      </c>
      <c r="AWG31">
        <v>99.79</v>
      </c>
      <c r="AWH31">
        <v>99.8</v>
      </c>
      <c r="AWI31">
        <v>99.805000000000007</v>
      </c>
      <c r="AWJ31">
        <v>99.805000000000007</v>
      </c>
      <c r="AWK31">
        <v>99.8</v>
      </c>
      <c r="AWL31">
        <v>99.8</v>
      </c>
      <c r="AWM31">
        <v>99.795000000000002</v>
      </c>
      <c r="AWN31">
        <v>99.795000000000002</v>
      </c>
      <c r="AWO31">
        <v>99.79</v>
      </c>
      <c r="AWP31">
        <v>99.8</v>
      </c>
      <c r="AWQ31">
        <v>99.8</v>
      </c>
      <c r="AWR31">
        <v>99.814999999999998</v>
      </c>
      <c r="AWS31">
        <v>99.83</v>
      </c>
      <c r="AWT31">
        <v>99.814999999999998</v>
      </c>
      <c r="AWU31">
        <v>99.81</v>
      </c>
      <c r="AWV31">
        <v>99.805000000000007</v>
      </c>
      <c r="AWW31">
        <v>99.805000000000007</v>
      </c>
      <c r="AWX31">
        <v>99.805000000000007</v>
      </c>
      <c r="AWY31">
        <v>99.795000000000002</v>
      </c>
      <c r="AWZ31">
        <v>99.814999999999998</v>
      </c>
      <c r="AXA31">
        <v>99.814999999999998</v>
      </c>
      <c r="AXB31">
        <v>99.805000000000007</v>
      </c>
      <c r="AXC31">
        <v>99.784999999999997</v>
      </c>
      <c r="AXD31">
        <v>99.784999999999997</v>
      </c>
      <c r="AXE31">
        <v>99.784999999999997</v>
      </c>
      <c r="AXF31">
        <v>99.78</v>
      </c>
      <c r="AXG31">
        <v>99.77</v>
      </c>
      <c r="AXH31">
        <v>99.75</v>
      </c>
      <c r="AXI31">
        <v>99.745000000000005</v>
      </c>
      <c r="AXJ31">
        <v>99.734999999999999</v>
      </c>
      <c r="AXK31">
        <v>99.75</v>
      </c>
      <c r="AXL31">
        <v>99.74</v>
      </c>
      <c r="AXM31">
        <v>99.75</v>
      </c>
      <c r="AXN31">
        <v>99.724999999999994</v>
      </c>
      <c r="AXO31">
        <v>99.674999999999997</v>
      </c>
      <c r="AXP31">
        <v>99.64</v>
      </c>
      <c r="AXQ31">
        <v>99.635000000000005</v>
      </c>
      <c r="AXR31">
        <v>99.7</v>
      </c>
      <c r="AXS31">
        <v>99.715000000000003</v>
      </c>
      <c r="AXT31">
        <v>99.75</v>
      </c>
      <c r="AXU31">
        <v>99.754999999999995</v>
      </c>
      <c r="AXV31">
        <v>99.745000000000005</v>
      </c>
      <c r="AXW31">
        <v>99.724999999999994</v>
      </c>
      <c r="AXX31">
        <v>99.73</v>
      </c>
      <c r="AXY31">
        <v>99.734999999999999</v>
      </c>
      <c r="AXZ31">
        <v>99.74</v>
      </c>
      <c r="AYA31">
        <v>99.74</v>
      </c>
      <c r="AYB31">
        <v>99.734999999999999</v>
      </c>
      <c r="AYC31">
        <v>99.734999999999999</v>
      </c>
      <c r="AYD31">
        <v>99.74</v>
      </c>
      <c r="AYE31">
        <v>99.74</v>
      </c>
      <c r="AYF31">
        <v>99.784999999999997</v>
      </c>
      <c r="AYG31">
        <v>99.76</v>
      </c>
      <c r="AYH31">
        <v>99.75</v>
      </c>
      <c r="AYI31">
        <v>99.73</v>
      </c>
      <c r="AYJ31">
        <v>99.73</v>
      </c>
      <c r="AYK31">
        <v>99.75</v>
      </c>
      <c r="AYL31">
        <v>99.76</v>
      </c>
      <c r="AYM31">
        <v>99.704999999999998</v>
      </c>
      <c r="AYN31">
        <v>99.69</v>
      </c>
      <c r="AYO31">
        <v>99.694999999999993</v>
      </c>
      <c r="AYP31">
        <v>99.68</v>
      </c>
      <c r="AYQ31">
        <v>99.685000000000002</v>
      </c>
      <c r="AYR31">
        <v>99.674999999999997</v>
      </c>
      <c r="AYS31">
        <v>99.66</v>
      </c>
      <c r="AYT31">
        <v>99.655000000000001</v>
      </c>
      <c r="AYU31">
        <v>99.665000000000006</v>
      </c>
      <c r="AYV31">
        <v>99.665000000000006</v>
      </c>
      <c r="AYW31">
        <v>99.66</v>
      </c>
      <c r="AYX31">
        <v>99.67</v>
      </c>
      <c r="AYY31">
        <v>99.65</v>
      </c>
      <c r="AYZ31">
        <v>99.64</v>
      </c>
      <c r="AZA31">
        <v>99.625</v>
      </c>
      <c r="AZB31">
        <v>99.614999999999995</v>
      </c>
      <c r="AZC31">
        <v>99.584999999999994</v>
      </c>
      <c r="AZD31">
        <v>99.57</v>
      </c>
      <c r="AZE31">
        <v>99.58</v>
      </c>
      <c r="AZF31">
        <v>99.58</v>
      </c>
      <c r="AZG31">
        <v>99.56</v>
      </c>
      <c r="AZH31">
        <v>99.545000000000002</v>
      </c>
      <c r="AZI31">
        <v>99.59</v>
      </c>
      <c r="AZJ31">
        <v>99.65</v>
      </c>
      <c r="AZK31">
        <v>99.644999999999996</v>
      </c>
      <c r="AZL31">
        <v>99.66</v>
      </c>
      <c r="AZM31">
        <v>99.635000000000005</v>
      </c>
      <c r="AZN31">
        <v>99.665000000000006</v>
      </c>
      <c r="AZO31">
        <v>99.62</v>
      </c>
      <c r="AZP31">
        <v>99.6</v>
      </c>
      <c r="AZQ31">
        <v>99.57</v>
      </c>
      <c r="AZR31">
        <v>99.564999999999998</v>
      </c>
      <c r="AZS31">
        <v>99.625</v>
      </c>
      <c r="AZT31">
        <v>99.545000000000002</v>
      </c>
      <c r="AZU31">
        <v>99.484999999999999</v>
      </c>
      <c r="AZV31">
        <v>99.38</v>
      </c>
      <c r="AZW31">
        <v>99.495000000000005</v>
      </c>
      <c r="AZX31">
        <v>99.545000000000002</v>
      </c>
      <c r="AZY31">
        <v>99.47</v>
      </c>
      <c r="AZZ31">
        <v>99.51</v>
      </c>
      <c r="BAA31">
        <v>99.44</v>
      </c>
      <c r="BAB31">
        <v>99.43</v>
      </c>
      <c r="BAC31">
        <v>99.55</v>
      </c>
      <c r="BAD31">
        <v>99.474999999999994</v>
      </c>
      <c r="BAE31">
        <v>99.39</v>
      </c>
      <c r="BAF31">
        <v>99.34</v>
      </c>
      <c r="BAG31">
        <v>99.28</v>
      </c>
      <c r="BAH31">
        <v>99.21</v>
      </c>
      <c r="BAI31">
        <v>99.21</v>
      </c>
      <c r="BAJ31">
        <v>99.01</v>
      </c>
      <c r="BAK31">
        <v>98.954999999999998</v>
      </c>
      <c r="BAL31">
        <v>98.965000000000003</v>
      </c>
      <c r="BAM31">
        <v>98.91</v>
      </c>
      <c r="BAN31">
        <v>98.8</v>
      </c>
      <c r="BAO31">
        <v>98.734999999999999</v>
      </c>
      <c r="BAP31">
        <v>98.69</v>
      </c>
      <c r="BAQ31">
        <v>98.715000000000003</v>
      </c>
      <c r="BAR31">
        <v>98.685000000000002</v>
      </c>
      <c r="BAS31">
        <v>98.685000000000002</v>
      </c>
      <c r="BAT31">
        <v>98.65</v>
      </c>
      <c r="BAU31">
        <v>98.65</v>
      </c>
      <c r="BAV31">
        <v>98.69</v>
      </c>
      <c r="BAW31">
        <v>98.72</v>
      </c>
      <c r="BAX31">
        <v>98.685000000000002</v>
      </c>
      <c r="BAY31">
        <v>98.63</v>
      </c>
      <c r="BAZ31">
        <v>98.65</v>
      </c>
      <c r="BBA31">
        <v>98.69</v>
      </c>
      <c r="BBB31">
        <v>98.775000000000006</v>
      </c>
      <c r="BBC31">
        <v>98.79</v>
      </c>
      <c r="BBD31">
        <v>98.734999999999999</v>
      </c>
      <c r="BBE31">
        <v>98.69</v>
      </c>
      <c r="BBF31">
        <v>98.64</v>
      </c>
      <c r="BBG31">
        <v>98.674999999999997</v>
      </c>
      <c r="BBH31">
        <v>98.59</v>
      </c>
      <c r="BBI31">
        <v>98.534999999999997</v>
      </c>
      <c r="BBJ31">
        <v>98.515000000000001</v>
      </c>
      <c r="BBK31">
        <v>98.5</v>
      </c>
      <c r="BBL31">
        <v>98.444999999999993</v>
      </c>
      <c r="BBM31">
        <v>98.444999999999993</v>
      </c>
      <c r="BBN31">
        <v>98.46</v>
      </c>
      <c r="BBO31">
        <v>98.47</v>
      </c>
      <c r="BBP31">
        <v>98.46</v>
      </c>
      <c r="BBQ31">
        <v>98.444999999999993</v>
      </c>
      <c r="BBR31">
        <v>98.45</v>
      </c>
      <c r="BBS31">
        <v>98.435000000000002</v>
      </c>
      <c r="BBT31">
        <v>98.43</v>
      </c>
      <c r="BBU31">
        <v>98.474999999999994</v>
      </c>
      <c r="BBV31">
        <v>98.484999999999999</v>
      </c>
      <c r="BBW31">
        <v>98.49</v>
      </c>
      <c r="BBX31">
        <v>98.4</v>
      </c>
      <c r="BBY31">
        <v>98.39</v>
      </c>
      <c r="BBZ31">
        <v>98.39</v>
      </c>
      <c r="BCA31">
        <v>98.394999999999996</v>
      </c>
      <c r="BCB31">
        <v>98.394999999999996</v>
      </c>
      <c r="BCC31">
        <v>98.355000000000004</v>
      </c>
      <c r="BCD31">
        <v>98.355000000000004</v>
      </c>
      <c r="BCE31">
        <v>98.355000000000004</v>
      </c>
      <c r="BCF31">
        <v>98.334999999999994</v>
      </c>
      <c r="BCG31">
        <v>98.375</v>
      </c>
      <c r="BCH31">
        <v>98.39</v>
      </c>
      <c r="BCI31">
        <v>98.37</v>
      </c>
      <c r="BCJ31">
        <v>98.4</v>
      </c>
      <c r="BCK31">
        <v>98.41</v>
      </c>
      <c r="BCL31">
        <v>98.484999999999999</v>
      </c>
      <c r="BCM31">
        <v>98.405000000000001</v>
      </c>
      <c r="BCN31">
        <v>98.49</v>
      </c>
      <c r="BCO31">
        <v>98.45</v>
      </c>
      <c r="BCP31">
        <v>98.465000000000003</v>
      </c>
      <c r="BCQ31">
        <v>98.474999999999994</v>
      </c>
      <c r="BCR31">
        <v>98.534999999999997</v>
      </c>
      <c r="BCS31">
        <v>98.55</v>
      </c>
      <c r="BCT31">
        <v>98.625</v>
      </c>
      <c r="BCU31">
        <v>98.504999999999995</v>
      </c>
      <c r="BCV31">
        <v>98.54</v>
      </c>
      <c r="BCW31">
        <v>98.53</v>
      </c>
      <c r="BCX31">
        <v>98.53</v>
      </c>
      <c r="BCY31">
        <v>98.57</v>
      </c>
      <c r="BCZ31">
        <v>98.56</v>
      </c>
      <c r="BDA31">
        <v>98.545000000000002</v>
      </c>
      <c r="BDB31">
        <v>98.564999999999998</v>
      </c>
      <c r="BDC31">
        <v>98.594999999999999</v>
      </c>
      <c r="BDD31">
        <v>98.56</v>
      </c>
      <c r="BDE31">
        <v>98.534999999999997</v>
      </c>
      <c r="BDF31">
        <v>98.51</v>
      </c>
      <c r="BDG31">
        <v>98.52</v>
      </c>
      <c r="BDH31">
        <v>98.47</v>
      </c>
      <c r="BDI31">
        <v>98.42</v>
      </c>
      <c r="BDJ31">
        <v>98.39</v>
      </c>
      <c r="BDK31">
        <v>98.4</v>
      </c>
      <c r="BDL31">
        <v>98.385000000000005</v>
      </c>
      <c r="BDM31">
        <v>98.495000000000005</v>
      </c>
      <c r="BDN31">
        <v>98.47</v>
      </c>
      <c r="BDO31">
        <v>98.53</v>
      </c>
      <c r="BDP31">
        <v>98.58</v>
      </c>
      <c r="BDQ31">
        <v>98.65</v>
      </c>
      <c r="BDR31">
        <v>98.525000000000006</v>
      </c>
      <c r="BDS31">
        <v>98.504999999999995</v>
      </c>
      <c r="BDT31">
        <v>98.51</v>
      </c>
      <c r="BDU31">
        <v>98.54</v>
      </c>
      <c r="BDV31">
        <v>98.584999999999994</v>
      </c>
      <c r="BDW31">
        <v>98.594999999999999</v>
      </c>
      <c r="BDX31">
        <v>98.575000000000003</v>
      </c>
      <c r="BDY31">
        <v>98.55</v>
      </c>
      <c r="BDZ31">
        <v>98.59</v>
      </c>
      <c r="BEA31">
        <v>98.564999999999998</v>
      </c>
      <c r="BEB31">
        <v>98.59</v>
      </c>
      <c r="BEC31">
        <v>98.55</v>
      </c>
      <c r="BED31">
        <v>98.605000000000004</v>
      </c>
      <c r="BEE31">
        <v>98.584999999999994</v>
      </c>
      <c r="BEF31">
        <v>98.715000000000003</v>
      </c>
      <c r="BEG31">
        <v>98.78</v>
      </c>
      <c r="BEH31">
        <v>98.834999999999994</v>
      </c>
      <c r="BEI31">
        <v>98.825000000000003</v>
      </c>
      <c r="BEJ31">
        <v>98.894999999999996</v>
      </c>
      <c r="BEK31">
        <v>98.905000000000001</v>
      </c>
      <c r="BEL31">
        <v>98.805000000000007</v>
      </c>
      <c r="BEM31">
        <v>98.73</v>
      </c>
      <c r="BEN31">
        <v>98.66</v>
      </c>
      <c r="BEO31">
        <v>98.67</v>
      </c>
      <c r="BEP31" t="s">
        <v>6984</v>
      </c>
      <c r="BEQ31" t="s">
        <v>6984</v>
      </c>
      <c r="BER31" t="s">
        <v>6984</v>
      </c>
      <c r="BES31" t="s">
        <v>6984</v>
      </c>
      <c r="BET31" t="s">
        <v>6984</v>
      </c>
      <c r="BEU31" t="s">
        <v>6984</v>
      </c>
      <c r="BEV31" t="s">
        <v>6984</v>
      </c>
      <c r="BEW31" t="s">
        <v>6984</v>
      </c>
      <c r="BEX31" t="s">
        <v>6984</v>
      </c>
      <c r="BEY31" t="s">
        <v>6984</v>
      </c>
      <c r="BEZ31" t="s">
        <v>6984</v>
      </c>
      <c r="BFA31" t="s">
        <v>6984</v>
      </c>
      <c r="BFB31" t="s">
        <v>6984</v>
      </c>
      <c r="BFC31" t="s">
        <v>6984</v>
      </c>
      <c r="BFD31" t="s">
        <v>6984</v>
      </c>
      <c r="BFE31" t="s">
        <v>6984</v>
      </c>
      <c r="BFF31" t="s">
        <v>6984</v>
      </c>
      <c r="BFG31" t="s">
        <v>6984</v>
      </c>
      <c r="BFH31" t="s">
        <v>6984</v>
      </c>
      <c r="BFI31" t="s">
        <v>6984</v>
      </c>
      <c r="BFJ31" t="s">
        <v>6984</v>
      </c>
      <c r="BFK31" t="s">
        <v>6984</v>
      </c>
      <c r="BFL31" t="s">
        <v>6984</v>
      </c>
      <c r="BFM31" t="s">
        <v>6984</v>
      </c>
      <c r="BFN31" t="s">
        <v>6984</v>
      </c>
      <c r="BFO31" t="s">
        <v>6984</v>
      </c>
      <c r="BFP31" t="s">
        <v>6984</v>
      </c>
      <c r="BFQ31" t="s">
        <v>6984</v>
      </c>
      <c r="BFR31" t="s">
        <v>6984</v>
      </c>
      <c r="BFS31" t="s">
        <v>6984</v>
      </c>
      <c r="BFT31" t="s">
        <v>6984</v>
      </c>
      <c r="BFU31" t="s">
        <v>6984</v>
      </c>
      <c r="BFV31" t="s">
        <v>6984</v>
      </c>
      <c r="BFW31" t="s">
        <v>6984</v>
      </c>
      <c r="BFX31" t="s">
        <v>6984</v>
      </c>
      <c r="BFY31" t="s">
        <v>6984</v>
      </c>
      <c r="BFZ31" t="s">
        <v>6984</v>
      </c>
      <c r="BGA31" t="s">
        <v>6984</v>
      </c>
      <c r="BGB31" t="s">
        <v>6984</v>
      </c>
      <c r="BGC31" t="s">
        <v>6984</v>
      </c>
      <c r="BGD31" t="s">
        <v>6984</v>
      </c>
      <c r="BGE31" t="s">
        <v>6984</v>
      </c>
      <c r="BGF31" t="s">
        <v>6984</v>
      </c>
      <c r="BGG31" t="s">
        <v>6984</v>
      </c>
      <c r="BGH31" t="s">
        <v>6984</v>
      </c>
      <c r="BGI31" t="s">
        <v>6984</v>
      </c>
      <c r="BGJ31" t="s">
        <v>6984</v>
      </c>
      <c r="BGK31" t="s">
        <v>6984</v>
      </c>
      <c r="BGL31" t="s">
        <v>6984</v>
      </c>
      <c r="BGM31" t="s">
        <v>6984</v>
      </c>
      <c r="BGN31" t="s">
        <v>6984</v>
      </c>
      <c r="BGO31" t="s">
        <v>6984</v>
      </c>
      <c r="BGP31" t="s">
        <v>6984</v>
      </c>
      <c r="BGQ31" t="s">
        <v>6984</v>
      </c>
      <c r="BGR31" t="s">
        <v>6984</v>
      </c>
      <c r="BGS31" t="s">
        <v>6984</v>
      </c>
      <c r="BGT31" t="s">
        <v>6984</v>
      </c>
      <c r="BGU31" t="s">
        <v>6984</v>
      </c>
      <c r="BGV31" t="s">
        <v>6984</v>
      </c>
      <c r="BGW31" t="s">
        <v>6984</v>
      </c>
      <c r="BGX31" t="s">
        <v>6984</v>
      </c>
      <c r="BGY31" t="s">
        <v>6984</v>
      </c>
      <c r="BGZ31" t="s">
        <v>6984</v>
      </c>
      <c r="BHA31" t="s">
        <v>6984</v>
      </c>
      <c r="BHB31" t="s">
        <v>6984</v>
      </c>
      <c r="BHC31" t="s">
        <v>6984</v>
      </c>
      <c r="BHD31" t="s">
        <v>6984</v>
      </c>
      <c r="BHE31" t="s">
        <v>6984</v>
      </c>
      <c r="BHF31" t="s">
        <v>6984</v>
      </c>
      <c r="BHG31" t="s">
        <v>6984</v>
      </c>
      <c r="BHH31" t="s">
        <v>6984</v>
      </c>
      <c r="BHI31" t="s">
        <v>6984</v>
      </c>
      <c r="BHJ31" t="s">
        <v>6984</v>
      </c>
      <c r="BHK31" t="s">
        <v>6984</v>
      </c>
      <c r="BHL31" t="s">
        <v>6984</v>
      </c>
      <c r="BHM31" t="s">
        <v>6984</v>
      </c>
      <c r="BHN31" t="s">
        <v>6984</v>
      </c>
      <c r="BHO31" t="s">
        <v>6984</v>
      </c>
      <c r="BHP31" t="s">
        <v>6984</v>
      </c>
      <c r="BHQ31" t="s">
        <v>6984</v>
      </c>
      <c r="BHR31" t="s">
        <v>6984</v>
      </c>
      <c r="BHS31" t="s">
        <v>6984</v>
      </c>
      <c r="BHT31" t="s">
        <v>6984</v>
      </c>
      <c r="BHU31" t="s">
        <v>6984</v>
      </c>
      <c r="BHV31" t="s">
        <v>6984</v>
      </c>
      <c r="BHW31" t="s">
        <v>6984</v>
      </c>
      <c r="BHX31" t="s">
        <v>6984</v>
      </c>
      <c r="BHY31" t="s">
        <v>6984</v>
      </c>
      <c r="BHZ31" t="s">
        <v>6984</v>
      </c>
      <c r="BIA31" t="s">
        <v>6984</v>
      </c>
      <c r="BIB31" t="s">
        <v>6984</v>
      </c>
      <c r="BIC31" t="s">
        <v>6984</v>
      </c>
      <c r="BID31" t="s">
        <v>6984</v>
      </c>
      <c r="BIE31" t="s">
        <v>6984</v>
      </c>
      <c r="BIF31" t="s">
        <v>6984</v>
      </c>
      <c r="BIG31" t="s">
        <v>6984</v>
      </c>
      <c r="BIH31" t="s">
        <v>6984</v>
      </c>
      <c r="BII31" t="s">
        <v>6984</v>
      </c>
      <c r="BIJ31" t="s">
        <v>6984</v>
      </c>
      <c r="BIK31" t="s">
        <v>6984</v>
      </c>
      <c r="BIL31" t="s">
        <v>6984</v>
      </c>
      <c r="BIM31" t="s">
        <v>6984</v>
      </c>
      <c r="BIN31" t="s">
        <v>6984</v>
      </c>
      <c r="BIO31" t="s">
        <v>6984</v>
      </c>
      <c r="BIP31" t="s">
        <v>6984</v>
      </c>
      <c r="BIQ31" t="s">
        <v>6984</v>
      </c>
      <c r="BIR31" t="s">
        <v>6984</v>
      </c>
      <c r="BIS31" t="s">
        <v>6984</v>
      </c>
      <c r="BIT31" t="s">
        <v>6984</v>
      </c>
      <c r="BIU31" t="s">
        <v>6984</v>
      </c>
      <c r="BIV31" t="s">
        <v>6984</v>
      </c>
      <c r="BIW31" t="s">
        <v>6984</v>
      </c>
      <c r="BIX31" t="s">
        <v>6984</v>
      </c>
      <c r="BIY31" t="s">
        <v>6984</v>
      </c>
      <c r="BIZ31" t="s">
        <v>6984</v>
      </c>
      <c r="BJA31" t="s">
        <v>6984</v>
      </c>
      <c r="BJB31" t="s">
        <v>6984</v>
      </c>
      <c r="BJC31" t="s">
        <v>6984</v>
      </c>
      <c r="BJD31" t="s">
        <v>6984</v>
      </c>
      <c r="BJE31" t="s">
        <v>6984</v>
      </c>
      <c r="BJF31" t="s">
        <v>6984</v>
      </c>
      <c r="BJG31" t="s">
        <v>6984</v>
      </c>
      <c r="BJH31" t="s">
        <v>6984</v>
      </c>
      <c r="BJI31" t="s">
        <v>6984</v>
      </c>
      <c r="BJJ31" t="s">
        <v>6984</v>
      </c>
      <c r="BJK31" t="s">
        <v>6984</v>
      </c>
      <c r="BJL31" t="s">
        <v>6984</v>
      </c>
      <c r="BJM31" t="s">
        <v>6984</v>
      </c>
      <c r="BJN31" t="s">
        <v>6984</v>
      </c>
      <c r="BJO31" t="s">
        <v>6984</v>
      </c>
      <c r="BJP31" t="s">
        <v>6984</v>
      </c>
      <c r="BJQ31" t="s">
        <v>6984</v>
      </c>
      <c r="BJR31" t="s">
        <v>6984</v>
      </c>
      <c r="BJS31" t="s">
        <v>6984</v>
      </c>
      <c r="BJT31" t="s">
        <v>6984</v>
      </c>
      <c r="BJU31" t="s">
        <v>6984</v>
      </c>
      <c r="BJV31" t="s">
        <v>6984</v>
      </c>
      <c r="BJW31" t="s">
        <v>6984</v>
      </c>
      <c r="BJX31" t="s">
        <v>6984</v>
      </c>
      <c r="BJY31" t="s">
        <v>6984</v>
      </c>
      <c r="BJZ31" t="s">
        <v>6984</v>
      </c>
      <c r="BKA31" t="s">
        <v>6984</v>
      </c>
      <c r="BKB31" t="s">
        <v>6984</v>
      </c>
      <c r="BKC31" t="s">
        <v>6984</v>
      </c>
      <c r="BKD31" t="s">
        <v>6984</v>
      </c>
      <c r="BKE31" t="s">
        <v>6984</v>
      </c>
      <c r="BKF31" t="s">
        <v>6984</v>
      </c>
      <c r="BKG31" t="s">
        <v>6984</v>
      </c>
      <c r="BKH31" t="s">
        <v>6984</v>
      </c>
      <c r="BKI31" t="s">
        <v>6984</v>
      </c>
      <c r="BKJ31" t="s">
        <v>6984</v>
      </c>
      <c r="BKK31" t="s">
        <v>6984</v>
      </c>
      <c r="BKL31" t="s">
        <v>6984</v>
      </c>
      <c r="BKM31" t="s">
        <v>6984</v>
      </c>
      <c r="BKN31" t="s">
        <v>6984</v>
      </c>
      <c r="BKO31" t="s">
        <v>6984</v>
      </c>
      <c r="BKP31" t="s">
        <v>6984</v>
      </c>
      <c r="BKQ31" t="s">
        <v>6984</v>
      </c>
      <c r="BKR31" t="s">
        <v>6984</v>
      </c>
      <c r="BKS31" t="s">
        <v>6984</v>
      </c>
      <c r="BKT31" t="s">
        <v>6984</v>
      </c>
      <c r="BKU31" t="s">
        <v>6984</v>
      </c>
      <c r="BKV31" t="s">
        <v>6984</v>
      </c>
      <c r="BKW31" t="s">
        <v>6984</v>
      </c>
      <c r="BKX31" t="s">
        <v>6984</v>
      </c>
      <c r="BKY31" t="s">
        <v>6984</v>
      </c>
      <c r="BKZ31" t="s">
        <v>6984</v>
      </c>
      <c r="BLA31" t="s">
        <v>6984</v>
      </c>
      <c r="BLB31" t="s">
        <v>6984</v>
      </c>
      <c r="BLC31" t="s">
        <v>6984</v>
      </c>
      <c r="BLD31" t="s">
        <v>6984</v>
      </c>
      <c r="BLE31" t="s">
        <v>6984</v>
      </c>
      <c r="BLF31" t="s">
        <v>6984</v>
      </c>
      <c r="BLG31" t="s">
        <v>6984</v>
      </c>
      <c r="BLH31" t="s">
        <v>6984</v>
      </c>
      <c r="BLI31" t="s">
        <v>6984</v>
      </c>
      <c r="BLJ31" t="s">
        <v>6984</v>
      </c>
      <c r="BLK31" t="s">
        <v>6984</v>
      </c>
      <c r="BLL31" t="s">
        <v>6984</v>
      </c>
      <c r="BLM31" t="s">
        <v>6984</v>
      </c>
      <c r="BLN31" t="s">
        <v>6984</v>
      </c>
      <c r="BLO31" t="s">
        <v>6984</v>
      </c>
      <c r="BLP31" t="s">
        <v>6984</v>
      </c>
      <c r="BLQ31" t="s">
        <v>6984</v>
      </c>
      <c r="BLR31" t="s">
        <v>6984</v>
      </c>
      <c r="BLS31" t="s">
        <v>6984</v>
      </c>
      <c r="BLT31" t="s">
        <v>6984</v>
      </c>
      <c r="BLU31" t="s">
        <v>6984</v>
      </c>
      <c r="BLV31" t="s">
        <v>6984</v>
      </c>
      <c r="BLW31" t="s">
        <v>6984</v>
      </c>
      <c r="BLX31" t="s">
        <v>6984</v>
      </c>
      <c r="BLY31" t="s">
        <v>6984</v>
      </c>
      <c r="BLZ31" t="s">
        <v>6984</v>
      </c>
      <c r="BMA31" t="s">
        <v>6984</v>
      </c>
      <c r="BMB31" t="s">
        <v>6984</v>
      </c>
      <c r="BMC31" t="s">
        <v>6984</v>
      </c>
      <c r="BMD31" t="s">
        <v>6984</v>
      </c>
      <c r="BME31" t="s">
        <v>6984</v>
      </c>
      <c r="BMF31" t="s">
        <v>6984</v>
      </c>
      <c r="BMG31" t="s">
        <v>6984</v>
      </c>
      <c r="BMH31" t="s">
        <v>6984</v>
      </c>
      <c r="BMI31" t="s">
        <v>6984</v>
      </c>
      <c r="BMJ31" t="s">
        <v>6984</v>
      </c>
      <c r="BMK31" t="s">
        <v>6984</v>
      </c>
      <c r="BML31" t="s">
        <v>6984</v>
      </c>
      <c r="BMM31" t="s">
        <v>6984</v>
      </c>
      <c r="BMN31" t="s">
        <v>6984</v>
      </c>
      <c r="BMO31" t="s">
        <v>6984</v>
      </c>
      <c r="BMP31" t="s">
        <v>6984</v>
      </c>
      <c r="BMQ31" t="s">
        <v>6984</v>
      </c>
      <c r="BMR31" t="s">
        <v>6984</v>
      </c>
      <c r="BMS31" t="s">
        <v>6984</v>
      </c>
      <c r="BMT31" t="s">
        <v>6984</v>
      </c>
      <c r="BMU31" t="s">
        <v>6984</v>
      </c>
      <c r="BMV31" t="s">
        <v>6984</v>
      </c>
      <c r="BMW31" t="s">
        <v>6984</v>
      </c>
      <c r="BMX31" t="s">
        <v>6984</v>
      </c>
      <c r="BMY31" t="s">
        <v>6984</v>
      </c>
      <c r="BMZ31" t="s">
        <v>6984</v>
      </c>
      <c r="BNA31" t="s">
        <v>6984</v>
      </c>
      <c r="BNB31" t="s">
        <v>6984</v>
      </c>
      <c r="BNC31" t="s">
        <v>6984</v>
      </c>
      <c r="BND31" t="s">
        <v>6984</v>
      </c>
      <c r="BNE31" t="s">
        <v>6984</v>
      </c>
      <c r="BNF31" t="s">
        <v>6984</v>
      </c>
      <c r="BNG31" t="s">
        <v>6984</v>
      </c>
      <c r="BNH31" t="s">
        <v>6984</v>
      </c>
      <c r="BNI31" t="s">
        <v>6984</v>
      </c>
      <c r="BNJ31" t="s">
        <v>6984</v>
      </c>
      <c r="BNK31" t="s">
        <v>6984</v>
      </c>
      <c r="BNL31" t="s">
        <v>6984</v>
      </c>
      <c r="BNM31" t="s">
        <v>6984</v>
      </c>
      <c r="BNN31" t="s">
        <v>6984</v>
      </c>
      <c r="BNO31" t="s">
        <v>6984</v>
      </c>
      <c r="BNP31" t="s">
        <v>6984</v>
      </c>
      <c r="BNQ31" t="s">
        <v>6984</v>
      </c>
      <c r="BNR31" t="s">
        <v>6984</v>
      </c>
      <c r="BNS31" t="s">
        <v>6984</v>
      </c>
      <c r="BNT31" t="s">
        <v>6984</v>
      </c>
      <c r="BNU31" t="s">
        <v>6984</v>
      </c>
      <c r="BNV31" t="s">
        <v>6984</v>
      </c>
      <c r="BNW31" t="s">
        <v>6984</v>
      </c>
      <c r="BNX31" t="s">
        <v>6984</v>
      </c>
      <c r="BNY31" t="s">
        <v>6984</v>
      </c>
      <c r="BNZ31" t="s">
        <v>6984</v>
      </c>
      <c r="BOA31" t="s">
        <v>6984</v>
      </c>
      <c r="BOB31" t="s">
        <v>6984</v>
      </c>
      <c r="BOC31" t="s">
        <v>6984</v>
      </c>
      <c r="BOD31" t="s">
        <v>6984</v>
      </c>
      <c r="BOE31" t="s">
        <v>6984</v>
      </c>
      <c r="BOF31" t="s">
        <v>6984</v>
      </c>
      <c r="BOG31" t="s">
        <v>6984</v>
      </c>
      <c r="BOH31" t="s">
        <v>6984</v>
      </c>
      <c r="BOI31" t="s">
        <v>6984</v>
      </c>
      <c r="BOJ31" t="s">
        <v>6984</v>
      </c>
      <c r="BOK31" t="s">
        <v>6984</v>
      </c>
      <c r="BOL31" t="s">
        <v>6984</v>
      </c>
      <c r="BOM31" t="s">
        <v>6984</v>
      </c>
      <c r="BON31" t="s">
        <v>6984</v>
      </c>
      <c r="BOO31" t="s">
        <v>6984</v>
      </c>
      <c r="BOP31" t="s">
        <v>6984</v>
      </c>
      <c r="BOQ31" t="s">
        <v>6984</v>
      </c>
      <c r="BOR31" t="s">
        <v>6984</v>
      </c>
      <c r="BOS31" t="s">
        <v>6984</v>
      </c>
      <c r="BOT31" t="s">
        <v>6984</v>
      </c>
      <c r="BOU31" t="s">
        <v>6984</v>
      </c>
      <c r="BOV31" t="s">
        <v>6984</v>
      </c>
      <c r="BOW31" t="s">
        <v>6984</v>
      </c>
      <c r="BOX31" t="s">
        <v>6984</v>
      </c>
      <c r="BOY31" t="s">
        <v>6984</v>
      </c>
      <c r="BOZ31" t="s">
        <v>6984</v>
      </c>
      <c r="BPA31" t="s">
        <v>6984</v>
      </c>
      <c r="BPB31" t="s">
        <v>6984</v>
      </c>
      <c r="BPC31" t="s">
        <v>6984</v>
      </c>
      <c r="BPD31" t="s">
        <v>6984</v>
      </c>
      <c r="BPE31" t="s">
        <v>6984</v>
      </c>
      <c r="BPF31" t="s">
        <v>6984</v>
      </c>
      <c r="BPG31" t="s">
        <v>6984</v>
      </c>
      <c r="BPH31" t="s">
        <v>6984</v>
      </c>
      <c r="BPI31" t="s">
        <v>6984</v>
      </c>
      <c r="BPJ31" t="s">
        <v>6984</v>
      </c>
      <c r="BPK31" t="s">
        <v>6984</v>
      </c>
      <c r="BPL31" t="s">
        <v>6984</v>
      </c>
      <c r="BPM31" t="s">
        <v>6984</v>
      </c>
      <c r="BPN31" t="s">
        <v>6984</v>
      </c>
      <c r="BPO31" t="s">
        <v>6984</v>
      </c>
      <c r="BPP31" t="s">
        <v>6984</v>
      </c>
      <c r="BPQ31" t="s">
        <v>6984</v>
      </c>
      <c r="BPR31" t="s">
        <v>6984</v>
      </c>
      <c r="BPS31" t="s">
        <v>6984</v>
      </c>
      <c r="BPT31" t="s">
        <v>6984</v>
      </c>
      <c r="BPU31" t="s">
        <v>6984</v>
      </c>
      <c r="BPV31" t="s">
        <v>6984</v>
      </c>
      <c r="BPW31" t="s">
        <v>6984</v>
      </c>
      <c r="BPX31" t="s">
        <v>6984</v>
      </c>
      <c r="BPY31" t="s">
        <v>6984</v>
      </c>
      <c r="BPZ31" t="s">
        <v>6984</v>
      </c>
      <c r="BQA31" t="s">
        <v>6984</v>
      </c>
      <c r="BQB31" t="s">
        <v>6984</v>
      </c>
      <c r="BQC31" t="s">
        <v>6984</v>
      </c>
      <c r="BQD31" t="s">
        <v>6984</v>
      </c>
      <c r="BQE31" t="s">
        <v>6984</v>
      </c>
      <c r="BQF31" t="s">
        <v>6984</v>
      </c>
      <c r="BQG31" t="s">
        <v>6984</v>
      </c>
      <c r="BQH31" t="s">
        <v>6984</v>
      </c>
      <c r="BQI31" t="s">
        <v>6984</v>
      </c>
      <c r="BQJ31" t="s">
        <v>6984</v>
      </c>
      <c r="BQK31" t="s">
        <v>6984</v>
      </c>
      <c r="BQL31" t="s">
        <v>6984</v>
      </c>
      <c r="BQM31" t="s">
        <v>6984</v>
      </c>
      <c r="BQN31" t="s">
        <v>6984</v>
      </c>
      <c r="BQO31" t="s">
        <v>6984</v>
      </c>
      <c r="BQP31" t="s">
        <v>6984</v>
      </c>
      <c r="BQQ31" t="s">
        <v>6984</v>
      </c>
      <c r="BQR31" t="s">
        <v>6984</v>
      </c>
      <c r="BQS31" t="s">
        <v>6984</v>
      </c>
      <c r="BQT31" t="s">
        <v>6984</v>
      </c>
      <c r="BQU31" t="s">
        <v>6984</v>
      </c>
      <c r="BQV31" t="s">
        <v>6984</v>
      </c>
      <c r="BQW31" t="s">
        <v>6984</v>
      </c>
      <c r="BQX31" t="s">
        <v>6984</v>
      </c>
      <c r="BQY31" t="s">
        <v>6984</v>
      </c>
      <c r="BQZ31" t="s">
        <v>6984</v>
      </c>
      <c r="BRA31" t="s">
        <v>6984</v>
      </c>
      <c r="BRB31" t="s">
        <v>6984</v>
      </c>
      <c r="BRC31" t="s">
        <v>6984</v>
      </c>
      <c r="BRD31" t="s">
        <v>6984</v>
      </c>
      <c r="BRE31" t="s">
        <v>6984</v>
      </c>
      <c r="BRF31" t="s">
        <v>6984</v>
      </c>
      <c r="BRG31" t="s">
        <v>6984</v>
      </c>
      <c r="BRH31" t="s">
        <v>6984</v>
      </c>
      <c r="BRI31" t="s">
        <v>6984</v>
      </c>
      <c r="BRJ31" t="s">
        <v>6984</v>
      </c>
      <c r="BRK31" t="s">
        <v>6984</v>
      </c>
      <c r="BRL31" t="s">
        <v>6984</v>
      </c>
      <c r="BRM31" t="s">
        <v>6984</v>
      </c>
      <c r="BRN31" t="s">
        <v>6984</v>
      </c>
      <c r="BRO31" t="s">
        <v>6984</v>
      </c>
      <c r="BRP31" t="s">
        <v>6984</v>
      </c>
      <c r="BRQ31" t="s">
        <v>6984</v>
      </c>
      <c r="BRR31" t="s">
        <v>6984</v>
      </c>
      <c r="BRS31" t="s">
        <v>6984</v>
      </c>
      <c r="BRT31" t="s">
        <v>6984</v>
      </c>
      <c r="BRU31" t="s">
        <v>6984</v>
      </c>
      <c r="BRV31" t="s">
        <v>6984</v>
      </c>
      <c r="BRW31" t="s">
        <v>6984</v>
      </c>
      <c r="BRX31" t="s">
        <v>6984</v>
      </c>
      <c r="BRY31" t="s">
        <v>6984</v>
      </c>
      <c r="BRZ31" t="s">
        <v>6984</v>
      </c>
      <c r="BSA31" t="s">
        <v>6984</v>
      </c>
      <c r="BSB31" t="s">
        <v>6984</v>
      </c>
      <c r="BSC31" t="s">
        <v>6984</v>
      </c>
      <c r="BSD31" t="s">
        <v>6984</v>
      </c>
      <c r="BSE31" t="s">
        <v>6984</v>
      </c>
      <c r="BSF31" t="s">
        <v>6984</v>
      </c>
      <c r="BSG31" t="s">
        <v>6984</v>
      </c>
      <c r="BSH31" t="s">
        <v>6984</v>
      </c>
      <c r="BSI31" t="s">
        <v>6984</v>
      </c>
      <c r="BSJ31" t="s">
        <v>6984</v>
      </c>
      <c r="BSK31" t="s">
        <v>6984</v>
      </c>
      <c r="BSL31" t="s">
        <v>6984</v>
      </c>
      <c r="BSM31" t="s">
        <v>6984</v>
      </c>
      <c r="BSN31" t="s">
        <v>6984</v>
      </c>
      <c r="BSO31" t="s">
        <v>6984</v>
      </c>
      <c r="BSP31" t="s">
        <v>6984</v>
      </c>
      <c r="BSQ31" t="s">
        <v>6984</v>
      </c>
      <c r="BSR31" t="s">
        <v>6984</v>
      </c>
      <c r="BSS31" t="s">
        <v>6984</v>
      </c>
      <c r="BST31" t="s">
        <v>6984</v>
      </c>
      <c r="BSU31" t="s">
        <v>6984</v>
      </c>
      <c r="BSV31" t="s">
        <v>6984</v>
      </c>
      <c r="BSW31" t="s">
        <v>6984</v>
      </c>
      <c r="BSX31" t="s">
        <v>6984</v>
      </c>
      <c r="BSY31" t="s">
        <v>6984</v>
      </c>
      <c r="BSZ31" t="s">
        <v>6984</v>
      </c>
      <c r="BTA31" t="s">
        <v>6984</v>
      </c>
      <c r="BTB31" t="s">
        <v>6984</v>
      </c>
      <c r="BTC31" t="s">
        <v>6984</v>
      </c>
      <c r="BTD31" t="s">
        <v>6984</v>
      </c>
      <c r="BTE31" t="s">
        <v>6984</v>
      </c>
      <c r="BTF31" t="s">
        <v>6984</v>
      </c>
      <c r="BTG31" t="s">
        <v>6984</v>
      </c>
      <c r="BTH31" t="s">
        <v>6984</v>
      </c>
      <c r="BTI31" t="s">
        <v>6984</v>
      </c>
      <c r="BTJ31" t="s">
        <v>6984</v>
      </c>
      <c r="BTK31" t="s">
        <v>6984</v>
      </c>
      <c r="BTL31" t="s">
        <v>6984</v>
      </c>
      <c r="BTM31" t="s">
        <v>6984</v>
      </c>
      <c r="BTN31" t="s">
        <v>6984</v>
      </c>
      <c r="BTO31" t="s">
        <v>6984</v>
      </c>
      <c r="BTP31" t="s">
        <v>6984</v>
      </c>
      <c r="BTQ31" t="s">
        <v>6984</v>
      </c>
      <c r="BTR31" t="s">
        <v>6984</v>
      </c>
      <c r="BTS31" t="s">
        <v>6984</v>
      </c>
      <c r="BTT31" t="s">
        <v>6984</v>
      </c>
      <c r="BTU31" t="s">
        <v>6984</v>
      </c>
      <c r="BTV31" t="s">
        <v>6984</v>
      </c>
      <c r="BTW31" t="s">
        <v>6984</v>
      </c>
      <c r="BTX31" t="s">
        <v>6984</v>
      </c>
      <c r="BTY31" t="s">
        <v>6984</v>
      </c>
      <c r="BTZ31" t="s">
        <v>6984</v>
      </c>
      <c r="BUA31" t="s">
        <v>6984</v>
      </c>
      <c r="BUB31" t="s">
        <v>6984</v>
      </c>
      <c r="BUC31" t="s">
        <v>6984</v>
      </c>
      <c r="BUD31" t="s">
        <v>6984</v>
      </c>
      <c r="BUE31" t="s">
        <v>6984</v>
      </c>
      <c r="BUF31" t="s">
        <v>6984</v>
      </c>
      <c r="BUG31" t="s">
        <v>6984</v>
      </c>
      <c r="BUH31" t="s">
        <v>6984</v>
      </c>
      <c r="BUI31" t="s">
        <v>6984</v>
      </c>
      <c r="BUJ31" t="s">
        <v>6984</v>
      </c>
      <c r="BUK31" t="s">
        <v>6984</v>
      </c>
      <c r="BUL31" t="s">
        <v>6984</v>
      </c>
      <c r="BUM31" t="s">
        <v>6984</v>
      </c>
      <c r="BUN31" t="s">
        <v>6984</v>
      </c>
      <c r="BUO31" t="s">
        <v>6984</v>
      </c>
      <c r="BUP31" t="s">
        <v>6984</v>
      </c>
      <c r="BUQ31" t="s">
        <v>6984</v>
      </c>
      <c r="BUR31" t="s">
        <v>6984</v>
      </c>
      <c r="BUS31" t="s">
        <v>6984</v>
      </c>
      <c r="BUT31" t="s">
        <v>6984</v>
      </c>
      <c r="BUU31" t="s">
        <v>6984</v>
      </c>
      <c r="BUV31" t="s">
        <v>6984</v>
      </c>
      <c r="BUW31" t="s">
        <v>6984</v>
      </c>
      <c r="BUX31" t="s">
        <v>6984</v>
      </c>
      <c r="BUY31" t="s">
        <v>6984</v>
      </c>
      <c r="BUZ31" t="s">
        <v>6984</v>
      </c>
      <c r="BVA31" t="s">
        <v>6984</v>
      </c>
      <c r="BVB31" t="s">
        <v>6984</v>
      </c>
      <c r="BVC31" t="s">
        <v>6984</v>
      </c>
      <c r="BVD31" t="s">
        <v>6984</v>
      </c>
      <c r="BVE31" t="s">
        <v>6984</v>
      </c>
      <c r="BVF31" t="s">
        <v>6984</v>
      </c>
      <c r="BVG31" t="s">
        <v>6984</v>
      </c>
      <c r="BVH31" t="s">
        <v>6984</v>
      </c>
      <c r="BVI31" t="s">
        <v>6984</v>
      </c>
      <c r="BVJ31" t="s">
        <v>6984</v>
      </c>
      <c r="BVK31" t="s">
        <v>6984</v>
      </c>
      <c r="BVL31" t="s">
        <v>6984</v>
      </c>
      <c r="BVM31" t="s">
        <v>6984</v>
      </c>
      <c r="BVN31" t="s">
        <v>6984</v>
      </c>
      <c r="BVO31" t="s">
        <v>6984</v>
      </c>
      <c r="BVP31" t="s">
        <v>6984</v>
      </c>
      <c r="BVQ31" t="s">
        <v>6984</v>
      </c>
      <c r="BVR31" t="s">
        <v>6984</v>
      </c>
      <c r="BVS31" t="s">
        <v>6984</v>
      </c>
      <c r="BVT31" t="s">
        <v>6984</v>
      </c>
      <c r="BVU31" t="s">
        <v>6984</v>
      </c>
      <c r="BVV31" t="s">
        <v>6984</v>
      </c>
      <c r="BVW31" t="s">
        <v>6984</v>
      </c>
      <c r="BVX31" t="s">
        <v>6984</v>
      </c>
      <c r="BVY31" t="s">
        <v>6984</v>
      </c>
      <c r="BVZ31" t="s">
        <v>6984</v>
      </c>
      <c r="BWA31" t="s">
        <v>6984</v>
      </c>
      <c r="BWB31" t="s">
        <v>6984</v>
      </c>
      <c r="BWC31" t="s">
        <v>6984</v>
      </c>
      <c r="BWD31" t="s">
        <v>6984</v>
      </c>
      <c r="BWE31" t="s">
        <v>6984</v>
      </c>
      <c r="BWF31" t="s">
        <v>6984</v>
      </c>
      <c r="BWG31" t="s">
        <v>6984</v>
      </c>
      <c r="BWH31" t="s">
        <v>6984</v>
      </c>
      <c r="BWI31" t="s">
        <v>6984</v>
      </c>
      <c r="BWJ31" t="s">
        <v>6984</v>
      </c>
      <c r="BWK31" t="s">
        <v>6984</v>
      </c>
      <c r="BWL31" t="s">
        <v>6984</v>
      </c>
      <c r="BWM31" t="s">
        <v>6984</v>
      </c>
      <c r="BWN31" t="s">
        <v>6984</v>
      </c>
      <c r="BWO31" t="s">
        <v>6984</v>
      </c>
      <c r="BWP31" t="s">
        <v>6984</v>
      </c>
      <c r="BWQ31" t="s">
        <v>6984</v>
      </c>
      <c r="BWR31" t="s">
        <v>6984</v>
      </c>
      <c r="BWS31" t="s">
        <v>6984</v>
      </c>
      <c r="BWT31" t="s">
        <v>6984</v>
      </c>
      <c r="BWU31" t="s">
        <v>6984</v>
      </c>
      <c r="BWV31" t="s">
        <v>6984</v>
      </c>
      <c r="BWW31" t="s">
        <v>6984</v>
      </c>
      <c r="BWX31" t="s">
        <v>6984</v>
      </c>
      <c r="BWY31" t="s">
        <v>6984</v>
      </c>
      <c r="BWZ31" t="s">
        <v>6984</v>
      </c>
      <c r="BXA31" t="s">
        <v>6984</v>
      </c>
      <c r="BXB31" t="s">
        <v>6984</v>
      </c>
      <c r="BXC31" t="s">
        <v>6984</v>
      </c>
      <c r="BXD31" t="s">
        <v>6984</v>
      </c>
      <c r="BXE31" t="s">
        <v>6984</v>
      </c>
      <c r="BXF31" t="s">
        <v>6984</v>
      </c>
      <c r="BXG31" t="s">
        <v>6984</v>
      </c>
      <c r="BXH31" t="s">
        <v>6984</v>
      </c>
      <c r="BXI31" t="s">
        <v>6984</v>
      </c>
      <c r="BXJ31" t="s">
        <v>6984</v>
      </c>
      <c r="BXK31" t="s">
        <v>6984</v>
      </c>
      <c r="BXL31" t="s">
        <v>6984</v>
      </c>
      <c r="BXM31" t="s">
        <v>6984</v>
      </c>
      <c r="BXN31" t="s">
        <v>6984</v>
      </c>
      <c r="BXO31" t="s">
        <v>6984</v>
      </c>
      <c r="BXP31" t="s">
        <v>6984</v>
      </c>
      <c r="BXQ31" t="s">
        <v>6984</v>
      </c>
      <c r="BXR31" t="s">
        <v>6984</v>
      </c>
      <c r="BXS31" t="s">
        <v>6984</v>
      </c>
      <c r="BXT31" t="s">
        <v>6984</v>
      </c>
      <c r="BXU31" t="s">
        <v>6984</v>
      </c>
      <c r="BXV31" t="s">
        <v>6984</v>
      </c>
      <c r="BXW31" t="s">
        <v>6984</v>
      </c>
      <c r="BXX31" t="s">
        <v>6984</v>
      </c>
      <c r="BXY31" t="s">
        <v>6984</v>
      </c>
      <c r="BXZ31" t="s">
        <v>6984</v>
      </c>
      <c r="BYA31" t="s">
        <v>6984</v>
      </c>
      <c r="BYB31" t="s">
        <v>6984</v>
      </c>
      <c r="BYC31" t="s">
        <v>6984</v>
      </c>
      <c r="BYD31" t="s">
        <v>6984</v>
      </c>
      <c r="BYE31" t="s">
        <v>6984</v>
      </c>
      <c r="BYF31" t="s">
        <v>6984</v>
      </c>
      <c r="BYG31" t="s">
        <v>6984</v>
      </c>
      <c r="BYH31" t="s">
        <v>6984</v>
      </c>
      <c r="BYI31" t="s">
        <v>6984</v>
      </c>
      <c r="BYJ31" t="s">
        <v>6984</v>
      </c>
      <c r="BYK31" t="s">
        <v>6984</v>
      </c>
      <c r="BYL31" t="s">
        <v>6984</v>
      </c>
      <c r="BYM31" t="s">
        <v>6984</v>
      </c>
      <c r="BYN31" t="s">
        <v>6984</v>
      </c>
      <c r="BYO31" t="s">
        <v>6984</v>
      </c>
      <c r="BYP31" t="s">
        <v>6984</v>
      </c>
      <c r="BYQ31" t="s">
        <v>6984</v>
      </c>
      <c r="BYR31" t="s">
        <v>6984</v>
      </c>
      <c r="BYS31" t="s">
        <v>6984</v>
      </c>
      <c r="BYT31" t="s">
        <v>6984</v>
      </c>
      <c r="BYU31" t="s">
        <v>6984</v>
      </c>
      <c r="BYV31" t="s">
        <v>6984</v>
      </c>
      <c r="BYW31" t="s">
        <v>6984</v>
      </c>
      <c r="BYX31" t="s">
        <v>6984</v>
      </c>
      <c r="BYY31" t="s">
        <v>6984</v>
      </c>
      <c r="BYZ31" t="s">
        <v>6984</v>
      </c>
      <c r="BZA31" t="s">
        <v>6984</v>
      </c>
      <c r="BZB31" t="s">
        <v>6984</v>
      </c>
      <c r="BZC31" t="s">
        <v>6984</v>
      </c>
      <c r="BZD31" t="s">
        <v>6984</v>
      </c>
      <c r="BZE31" t="s">
        <v>6984</v>
      </c>
      <c r="BZF31" t="s">
        <v>6984</v>
      </c>
      <c r="BZG31" t="s">
        <v>6984</v>
      </c>
      <c r="BZH31" t="s">
        <v>6984</v>
      </c>
      <c r="BZI31" t="s">
        <v>6984</v>
      </c>
      <c r="BZJ31" t="s">
        <v>6984</v>
      </c>
      <c r="BZK31" t="s">
        <v>6984</v>
      </c>
      <c r="BZL31" t="s">
        <v>6984</v>
      </c>
      <c r="BZM31" t="s">
        <v>6984</v>
      </c>
      <c r="BZN31" t="s">
        <v>6984</v>
      </c>
      <c r="BZO31" t="s">
        <v>6984</v>
      </c>
      <c r="BZP31" t="s">
        <v>6984</v>
      </c>
      <c r="BZQ31" t="s">
        <v>6984</v>
      </c>
      <c r="BZR31" t="s">
        <v>6984</v>
      </c>
      <c r="BZS31" t="s">
        <v>6984</v>
      </c>
      <c r="BZT31" t="s">
        <v>6984</v>
      </c>
      <c r="BZU31" t="s">
        <v>6984</v>
      </c>
      <c r="BZV31" t="s">
        <v>6984</v>
      </c>
      <c r="BZW31" t="s">
        <v>6984</v>
      </c>
      <c r="BZX31" t="s">
        <v>6984</v>
      </c>
      <c r="BZY31" t="s">
        <v>6984</v>
      </c>
      <c r="BZZ31" t="s">
        <v>6984</v>
      </c>
      <c r="CAA31" t="s">
        <v>6984</v>
      </c>
      <c r="CAB31" t="s">
        <v>6984</v>
      </c>
      <c r="CAC31" t="s">
        <v>6984</v>
      </c>
      <c r="CAD31" t="s">
        <v>6984</v>
      </c>
      <c r="CAE31" t="s">
        <v>6984</v>
      </c>
      <c r="CAF31" t="s">
        <v>6984</v>
      </c>
      <c r="CAG31" t="s">
        <v>6984</v>
      </c>
      <c r="CAH31" t="s">
        <v>6984</v>
      </c>
      <c r="CAI31" t="s">
        <v>6984</v>
      </c>
      <c r="CAJ31" t="s">
        <v>6984</v>
      </c>
      <c r="CAK31" t="s">
        <v>6984</v>
      </c>
      <c r="CAL31" t="s">
        <v>6984</v>
      </c>
      <c r="CAM31" t="s">
        <v>6984</v>
      </c>
      <c r="CAN31" t="s">
        <v>6984</v>
      </c>
      <c r="CAO31" t="s">
        <v>6984</v>
      </c>
      <c r="CAP31" t="s">
        <v>6984</v>
      </c>
      <c r="CAQ31" t="s">
        <v>6984</v>
      </c>
      <c r="CAR31" t="s">
        <v>6984</v>
      </c>
      <c r="CAS31" t="s">
        <v>6984</v>
      </c>
      <c r="CAT31" t="s">
        <v>6984</v>
      </c>
      <c r="CAU31" t="s">
        <v>6984</v>
      </c>
      <c r="CAV31" t="s">
        <v>6984</v>
      </c>
      <c r="CAW31" t="s">
        <v>6984</v>
      </c>
      <c r="CAX31" t="s">
        <v>6984</v>
      </c>
      <c r="CAY31" t="s">
        <v>6984</v>
      </c>
      <c r="CAZ31" t="s">
        <v>6984</v>
      </c>
      <c r="CBA31" t="s">
        <v>6984</v>
      </c>
      <c r="CBB31" t="s">
        <v>6984</v>
      </c>
      <c r="CBC31" t="s">
        <v>6984</v>
      </c>
      <c r="CBD31" t="s">
        <v>6984</v>
      </c>
      <c r="CBE31" t="s">
        <v>6984</v>
      </c>
      <c r="CBF31" t="s">
        <v>6984</v>
      </c>
      <c r="CBG31" t="s">
        <v>6984</v>
      </c>
      <c r="CBH31" t="s">
        <v>6984</v>
      </c>
      <c r="CBI31" t="s">
        <v>6984</v>
      </c>
      <c r="CBJ31" t="s">
        <v>6984</v>
      </c>
      <c r="CBK31" t="s">
        <v>6984</v>
      </c>
      <c r="CBL31" t="s">
        <v>6984</v>
      </c>
      <c r="CBM31" t="s">
        <v>6984</v>
      </c>
      <c r="CBN31" t="s">
        <v>6984</v>
      </c>
      <c r="CBO31" t="s">
        <v>6984</v>
      </c>
      <c r="CBP31" t="s">
        <v>6984</v>
      </c>
      <c r="CBQ31" t="s">
        <v>6984</v>
      </c>
      <c r="CBR31" t="s">
        <v>6984</v>
      </c>
      <c r="CBS31" t="s">
        <v>6984</v>
      </c>
      <c r="CBT31" t="s">
        <v>6984</v>
      </c>
      <c r="CBU31" t="s">
        <v>6984</v>
      </c>
      <c r="CBV31" t="s">
        <v>6984</v>
      </c>
      <c r="CBW31" t="s">
        <v>6984</v>
      </c>
      <c r="CBX31" t="s">
        <v>6984</v>
      </c>
      <c r="CBY31" t="s">
        <v>6984</v>
      </c>
      <c r="CBZ31" t="s">
        <v>6984</v>
      </c>
      <c r="CCA31" t="s">
        <v>6984</v>
      </c>
      <c r="CCB31" t="s">
        <v>6984</v>
      </c>
      <c r="CCC31" t="s">
        <v>6984</v>
      </c>
      <c r="CCD31" t="s">
        <v>6984</v>
      </c>
      <c r="CCE31" t="s">
        <v>6984</v>
      </c>
      <c r="CCF31" t="s">
        <v>6984</v>
      </c>
      <c r="CCG31" t="s">
        <v>6984</v>
      </c>
      <c r="CCH31" t="s">
        <v>6984</v>
      </c>
      <c r="CCI31" t="s">
        <v>6984</v>
      </c>
      <c r="CCJ31" t="s">
        <v>6984</v>
      </c>
      <c r="CCK31" t="s">
        <v>6984</v>
      </c>
      <c r="CCL31" t="s">
        <v>6984</v>
      </c>
      <c r="CCM31" t="s">
        <v>6984</v>
      </c>
      <c r="CCN31" t="s">
        <v>6984</v>
      </c>
      <c r="CCO31" t="s">
        <v>6984</v>
      </c>
      <c r="CCP31" t="s">
        <v>6984</v>
      </c>
      <c r="CCQ31" t="s">
        <v>6984</v>
      </c>
      <c r="CCR31" t="s">
        <v>6984</v>
      </c>
      <c r="CCS31" t="s">
        <v>6984</v>
      </c>
      <c r="CCT31" t="s">
        <v>6984</v>
      </c>
      <c r="CCU31" t="s">
        <v>6984</v>
      </c>
      <c r="CCV31" t="s">
        <v>6984</v>
      </c>
      <c r="CCW31" t="s">
        <v>6984</v>
      </c>
      <c r="CCX31" t="s">
        <v>6984</v>
      </c>
      <c r="CCY31" t="s">
        <v>6984</v>
      </c>
      <c r="CCZ31" t="s">
        <v>6984</v>
      </c>
      <c r="CDA31" t="s">
        <v>6984</v>
      </c>
      <c r="CDB31" t="s">
        <v>6984</v>
      </c>
      <c r="CDC31" t="s">
        <v>6984</v>
      </c>
      <c r="CDD31" t="s">
        <v>6984</v>
      </c>
      <c r="CDE31" t="s">
        <v>6984</v>
      </c>
      <c r="CDF31" t="s">
        <v>6984</v>
      </c>
      <c r="CDG31" t="s">
        <v>6984</v>
      </c>
      <c r="CDH31" t="s">
        <v>6984</v>
      </c>
      <c r="CDI31" t="s">
        <v>6984</v>
      </c>
      <c r="CDJ31" t="s">
        <v>6984</v>
      </c>
      <c r="CDK31" t="s">
        <v>6984</v>
      </c>
      <c r="CDL31" t="s">
        <v>6984</v>
      </c>
      <c r="CDM31" t="s">
        <v>6984</v>
      </c>
      <c r="CDN31" t="s">
        <v>6984</v>
      </c>
      <c r="CDO31" t="s">
        <v>6984</v>
      </c>
      <c r="CDP31" t="s">
        <v>6984</v>
      </c>
      <c r="CDQ31" t="s">
        <v>6984</v>
      </c>
      <c r="CDR31" t="s">
        <v>6984</v>
      </c>
      <c r="CDS31" t="s">
        <v>6984</v>
      </c>
      <c r="CDT31" t="s">
        <v>6984</v>
      </c>
      <c r="CDU31" t="s">
        <v>6984</v>
      </c>
      <c r="CDV31" t="s">
        <v>6984</v>
      </c>
      <c r="CDW31" t="s">
        <v>6984</v>
      </c>
      <c r="CDX31" t="s">
        <v>6984</v>
      </c>
      <c r="CDY31" t="s">
        <v>6984</v>
      </c>
      <c r="CDZ31" t="s">
        <v>6984</v>
      </c>
      <c r="CEA31" t="s">
        <v>6984</v>
      </c>
      <c r="CEB31" t="s">
        <v>6984</v>
      </c>
      <c r="CEC31" t="s">
        <v>6984</v>
      </c>
      <c r="CED31" t="s">
        <v>6984</v>
      </c>
      <c r="CEE31" t="s">
        <v>6984</v>
      </c>
      <c r="CEF31" t="s">
        <v>6984</v>
      </c>
      <c r="CEG31" t="s">
        <v>6984</v>
      </c>
      <c r="CEH31" t="s">
        <v>6984</v>
      </c>
      <c r="CEI31" t="s">
        <v>6984</v>
      </c>
      <c r="CEJ31" t="s">
        <v>6984</v>
      </c>
      <c r="CEK31" t="s">
        <v>6984</v>
      </c>
      <c r="CEL31" t="s">
        <v>6984</v>
      </c>
      <c r="CEM31" t="s">
        <v>6984</v>
      </c>
      <c r="CEN31" t="s">
        <v>6984</v>
      </c>
      <c r="CEO31" t="s">
        <v>6984</v>
      </c>
      <c r="CEP31" t="s">
        <v>6984</v>
      </c>
      <c r="CEQ31" t="s">
        <v>6984</v>
      </c>
      <c r="CER31" t="s">
        <v>6984</v>
      </c>
      <c r="CES31" t="s">
        <v>6984</v>
      </c>
      <c r="CET31" t="s">
        <v>6984</v>
      </c>
      <c r="CEU31" t="s">
        <v>6984</v>
      </c>
      <c r="CEV31" t="s">
        <v>6984</v>
      </c>
      <c r="CEW31" t="s">
        <v>6984</v>
      </c>
      <c r="CEX31" t="s">
        <v>6984</v>
      </c>
      <c r="CEY31" t="s">
        <v>6984</v>
      </c>
      <c r="CEZ31" t="s">
        <v>6984</v>
      </c>
      <c r="CFA31" t="s">
        <v>6984</v>
      </c>
      <c r="CFB31" t="s">
        <v>6984</v>
      </c>
      <c r="CFC31" t="s">
        <v>6984</v>
      </c>
      <c r="CFD31" t="s">
        <v>6984</v>
      </c>
      <c r="CFE31" t="s">
        <v>6984</v>
      </c>
      <c r="CFF31" t="s">
        <v>6984</v>
      </c>
      <c r="CFG31" t="s">
        <v>6984</v>
      </c>
      <c r="CFH31" t="s">
        <v>6984</v>
      </c>
      <c r="CFI31" t="s">
        <v>6984</v>
      </c>
      <c r="CFJ31" t="s">
        <v>6984</v>
      </c>
      <c r="CFK31" t="s">
        <v>6984</v>
      </c>
      <c r="CFL31" t="s">
        <v>6984</v>
      </c>
      <c r="CFM31" t="s">
        <v>6984</v>
      </c>
      <c r="CFN31" t="s">
        <v>6984</v>
      </c>
      <c r="CFO31" t="s">
        <v>6984</v>
      </c>
      <c r="CFP31" t="s">
        <v>6984</v>
      </c>
      <c r="CFQ31" t="s">
        <v>6984</v>
      </c>
      <c r="CFR31" t="s">
        <v>6984</v>
      </c>
      <c r="CFS31" t="s">
        <v>6984</v>
      </c>
      <c r="CFT31" t="s">
        <v>6984</v>
      </c>
      <c r="CFU31" t="s">
        <v>6984</v>
      </c>
      <c r="CFV31" t="s">
        <v>6984</v>
      </c>
      <c r="CFW31" t="s">
        <v>6984</v>
      </c>
      <c r="CFX31" t="s">
        <v>6984</v>
      </c>
      <c r="CFY31" t="s">
        <v>6984</v>
      </c>
      <c r="CFZ31" t="s">
        <v>6984</v>
      </c>
      <c r="CGA31" t="s">
        <v>6984</v>
      </c>
      <c r="CGB31" t="s">
        <v>6984</v>
      </c>
      <c r="CGC31" t="s">
        <v>6984</v>
      </c>
      <c r="CGD31" t="s">
        <v>6984</v>
      </c>
      <c r="CGE31" t="s">
        <v>6984</v>
      </c>
      <c r="CGF31" t="s">
        <v>6984</v>
      </c>
      <c r="CGG31" t="s">
        <v>6984</v>
      </c>
      <c r="CGH31" t="s">
        <v>6984</v>
      </c>
      <c r="CGI31" t="s">
        <v>6984</v>
      </c>
      <c r="CGJ31" t="s">
        <v>6984</v>
      </c>
      <c r="CGK31" t="s">
        <v>6984</v>
      </c>
      <c r="CGL31" t="s">
        <v>6984</v>
      </c>
      <c r="CGM31" t="s">
        <v>6984</v>
      </c>
      <c r="CGN31" t="s">
        <v>6984</v>
      </c>
      <c r="CGO31" t="s">
        <v>6984</v>
      </c>
      <c r="CGP31" t="s">
        <v>6984</v>
      </c>
      <c r="CGQ31" t="s">
        <v>6984</v>
      </c>
      <c r="CGR31" t="s">
        <v>6984</v>
      </c>
      <c r="CGS31" t="s">
        <v>6984</v>
      </c>
      <c r="CGT31" t="s">
        <v>6984</v>
      </c>
      <c r="CGU31" t="s">
        <v>6984</v>
      </c>
      <c r="CGV31" t="s">
        <v>6984</v>
      </c>
      <c r="CGW31" t="s">
        <v>6984</v>
      </c>
      <c r="CGX31" t="s">
        <v>6984</v>
      </c>
      <c r="CGY31" t="s">
        <v>6984</v>
      </c>
      <c r="CGZ31" t="s">
        <v>6984</v>
      </c>
      <c r="CHA31" t="s">
        <v>6984</v>
      </c>
      <c r="CHB31" t="s">
        <v>6984</v>
      </c>
      <c r="CHC31" t="s">
        <v>6984</v>
      </c>
      <c r="CHD31" t="s">
        <v>6984</v>
      </c>
      <c r="CHE31" t="s">
        <v>6984</v>
      </c>
      <c r="CHF31" t="s">
        <v>6984</v>
      </c>
      <c r="CHG31" t="s">
        <v>6984</v>
      </c>
      <c r="CHH31" t="s">
        <v>6984</v>
      </c>
      <c r="CHI31" t="s">
        <v>6984</v>
      </c>
      <c r="CHJ31" t="s">
        <v>6984</v>
      </c>
      <c r="CHK31" t="s">
        <v>6984</v>
      </c>
      <c r="CHL31" t="s">
        <v>6984</v>
      </c>
      <c r="CHM31" t="s">
        <v>6984</v>
      </c>
      <c r="CHN31" t="s">
        <v>6984</v>
      </c>
      <c r="CHO31" t="s">
        <v>6984</v>
      </c>
      <c r="CHP31" t="s">
        <v>6984</v>
      </c>
      <c r="CHQ31" t="s">
        <v>6984</v>
      </c>
      <c r="CHR31" t="s">
        <v>6984</v>
      </c>
      <c r="CHS31" t="s">
        <v>6984</v>
      </c>
      <c r="CHT31" t="s">
        <v>6984</v>
      </c>
      <c r="CHU31" t="s">
        <v>6984</v>
      </c>
      <c r="CHV31" t="s">
        <v>6984</v>
      </c>
      <c r="CHW31" t="s">
        <v>6984</v>
      </c>
      <c r="CHX31" t="s">
        <v>6984</v>
      </c>
      <c r="CHY31" t="s">
        <v>6984</v>
      </c>
      <c r="CHZ31" t="s">
        <v>6984</v>
      </c>
      <c r="CIA31" t="s">
        <v>6984</v>
      </c>
      <c r="CIB31" t="s">
        <v>6984</v>
      </c>
      <c r="CIC31" t="s">
        <v>6984</v>
      </c>
      <c r="CID31" t="s">
        <v>6984</v>
      </c>
      <c r="CIE31" t="s">
        <v>6984</v>
      </c>
      <c r="CIF31" t="s">
        <v>6984</v>
      </c>
      <c r="CIG31" t="s">
        <v>6984</v>
      </c>
      <c r="CIH31" t="s">
        <v>6984</v>
      </c>
      <c r="CII31" t="s">
        <v>6984</v>
      </c>
      <c r="CIJ31" t="s">
        <v>6984</v>
      </c>
      <c r="CIK31" t="s">
        <v>6984</v>
      </c>
      <c r="CIL31" t="s">
        <v>6984</v>
      </c>
      <c r="CIM31" t="s">
        <v>6984</v>
      </c>
      <c r="CIN31" t="s">
        <v>6984</v>
      </c>
      <c r="CIO31" t="s">
        <v>6984</v>
      </c>
      <c r="CIP31" t="s">
        <v>6984</v>
      </c>
      <c r="CIQ31" t="s">
        <v>6984</v>
      </c>
      <c r="CIR31" t="s">
        <v>6984</v>
      </c>
      <c r="CIS31" t="s">
        <v>6984</v>
      </c>
      <c r="CIT31" t="s">
        <v>6984</v>
      </c>
      <c r="CIU31" t="s">
        <v>6984</v>
      </c>
      <c r="CIV31" t="s">
        <v>6984</v>
      </c>
      <c r="CIW31" t="s">
        <v>6984</v>
      </c>
      <c r="CIX31" t="s">
        <v>6984</v>
      </c>
      <c r="CIY31" t="s">
        <v>6984</v>
      </c>
      <c r="CIZ31" t="s">
        <v>6984</v>
      </c>
      <c r="CJA31" t="s">
        <v>6984</v>
      </c>
      <c r="CJB31" t="s">
        <v>6984</v>
      </c>
      <c r="CJC31" t="s">
        <v>6984</v>
      </c>
      <c r="CJD31" t="s">
        <v>6984</v>
      </c>
      <c r="CJE31" t="s">
        <v>6984</v>
      </c>
      <c r="CJF31" t="s">
        <v>6984</v>
      </c>
      <c r="CJG31" t="s">
        <v>6984</v>
      </c>
      <c r="CJH31" t="s">
        <v>6984</v>
      </c>
      <c r="CJI31" t="s">
        <v>6984</v>
      </c>
      <c r="CJJ31" t="s">
        <v>6984</v>
      </c>
      <c r="CJK31" t="s">
        <v>6984</v>
      </c>
      <c r="CJL31" t="s">
        <v>6984</v>
      </c>
      <c r="CJM31" t="s">
        <v>6984</v>
      </c>
      <c r="CJN31" t="s">
        <v>6984</v>
      </c>
      <c r="CJO31" t="s">
        <v>6984</v>
      </c>
      <c r="CJP31" t="s">
        <v>6984</v>
      </c>
      <c r="CJQ31" t="s">
        <v>6984</v>
      </c>
      <c r="CJR31" t="s">
        <v>6984</v>
      </c>
      <c r="CJS31" t="s">
        <v>6984</v>
      </c>
      <c r="CJT31" t="s">
        <v>6984</v>
      </c>
      <c r="CJU31" t="s">
        <v>6984</v>
      </c>
      <c r="CJV31" t="s">
        <v>6984</v>
      </c>
      <c r="CJW31" t="s">
        <v>6984</v>
      </c>
      <c r="CJX31" t="s">
        <v>6984</v>
      </c>
      <c r="CJY31" t="s">
        <v>6984</v>
      </c>
      <c r="CJZ31" t="s">
        <v>6984</v>
      </c>
      <c r="CKA31" t="s">
        <v>6984</v>
      </c>
      <c r="CKB31" t="s">
        <v>6984</v>
      </c>
      <c r="CKC31" t="s">
        <v>6984</v>
      </c>
      <c r="CKD31" t="s">
        <v>6984</v>
      </c>
      <c r="CKE31" t="s">
        <v>6984</v>
      </c>
      <c r="CKF31" t="s">
        <v>6984</v>
      </c>
      <c r="CKG31" t="s">
        <v>6984</v>
      </c>
      <c r="CKH31" t="s">
        <v>6984</v>
      </c>
      <c r="CKI31" t="s">
        <v>6984</v>
      </c>
      <c r="CKJ31" t="s">
        <v>6984</v>
      </c>
      <c r="CKK31" t="s">
        <v>6984</v>
      </c>
      <c r="CKL31" t="s">
        <v>6984</v>
      </c>
      <c r="CKM31" t="s">
        <v>6984</v>
      </c>
      <c r="CKN31" t="s">
        <v>6984</v>
      </c>
      <c r="CKO31" t="s">
        <v>6984</v>
      </c>
      <c r="CKP31" t="s">
        <v>6984</v>
      </c>
      <c r="CKQ31" t="s">
        <v>6984</v>
      </c>
      <c r="CKR31" t="s">
        <v>6984</v>
      </c>
      <c r="CKS31" t="s">
        <v>6984</v>
      </c>
      <c r="CKT31" t="s">
        <v>6984</v>
      </c>
      <c r="CKU31" t="s">
        <v>6984</v>
      </c>
      <c r="CKV31" t="s">
        <v>6984</v>
      </c>
      <c r="CKW31" t="s">
        <v>6984</v>
      </c>
      <c r="CKX31" t="s">
        <v>6984</v>
      </c>
      <c r="CKY31" t="s">
        <v>6984</v>
      </c>
      <c r="CKZ31" t="s">
        <v>6984</v>
      </c>
      <c r="CLA31" t="s">
        <v>6984</v>
      </c>
      <c r="CLB31" t="s">
        <v>6984</v>
      </c>
      <c r="CLC31" t="s">
        <v>6984</v>
      </c>
      <c r="CLD31" t="s">
        <v>6984</v>
      </c>
      <c r="CLE31" t="s">
        <v>6984</v>
      </c>
      <c r="CLF31" t="s">
        <v>6984</v>
      </c>
      <c r="CLG31" t="s">
        <v>6984</v>
      </c>
      <c r="CLH31" t="s">
        <v>6984</v>
      </c>
      <c r="CLI31" t="s">
        <v>6984</v>
      </c>
      <c r="CLJ31" t="s">
        <v>6984</v>
      </c>
      <c r="CLK31" t="s">
        <v>6984</v>
      </c>
      <c r="CLL31" t="s">
        <v>6984</v>
      </c>
      <c r="CLM31" t="s">
        <v>6984</v>
      </c>
      <c r="CLN31" t="s">
        <v>6984</v>
      </c>
      <c r="CLO31" t="s">
        <v>6984</v>
      </c>
      <c r="CLP31" t="s">
        <v>6984</v>
      </c>
      <c r="CLQ31" t="s">
        <v>6984</v>
      </c>
      <c r="CLR31" t="s">
        <v>6984</v>
      </c>
      <c r="CLS31" t="s">
        <v>6984</v>
      </c>
      <c r="CLT31" t="s">
        <v>6984</v>
      </c>
      <c r="CLU31" t="s">
        <v>6984</v>
      </c>
      <c r="CLV31" t="s">
        <v>6984</v>
      </c>
      <c r="CLW31" t="s">
        <v>6984</v>
      </c>
      <c r="CLX31" t="s">
        <v>6984</v>
      </c>
      <c r="CLY31" t="s">
        <v>6984</v>
      </c>
      <c r="CLZ31" t="s">
        <v>6984</v>
      </c>
      <c r="CMA31" t="s">
        <v>6984</v>
      </c>
      <c r="CMB31" t="s">
        <v>6984</v>
      </c>
      <c r="CMC31" t="s">
        <v>6984</v>
      </c>
      <c r="CMD31" t="s">
        <v>6984</v>
      </c>
      <c r="CME31" t="s">
        <v>6984</v>
      </c>
      <c r="CMF31" t="s">
        <v>6984</v>
      </c>
      <c r="CMG31" t="s">
        <v>6984</v>
      </c>
      <c r="CMH31" t="s">
        <v>6984</v>
      </c>
      <c r="CMI31" t="s">
        <v>6984</v>
      </c>
      <c r="CMJ31" t="s">
        <v>6984</v>
      </c>
      <c r="CMK31" t="s">
        <v>6984</v>
      </c>
      <c r="CML31" t="s">
        <v>6984</v>
      </c>
      <c r="CMM31" t="s">
        <v>6984</v>
      </c>
      <c r="CMN31" t="s">
        <v>6984</v>
      </c>
      <c r="CMO31" t="s">
        <v>6984</v>
      </c>
      <c r="CMP31" t="s">
        <v>6984</v>
      </c>
      <c r="CMQ31" t="s">
        <v>6984</v>
      </c>
      <c r="CMR31" t="s">
        <v>6984</v>
      </c>
      <c r="CMS31" t="s">
        <v>6984</v>
      </c>
      <c r="CMT31" t="s">
        <v>6984</v>
      </c>
      <c r="CMU31" t="s">
        <v>6984</v>
      </c>
      <c r="CMV31" t="s">
        <v>6984</v>
      </c>
      <c r="CMW31" t="s">
        <v>6984</v>
      </c>
      <c r="CMX31" t="s">
        <v>6984</v>
      </c>
      <c r="CMY31" t="s">
        <v>6984</v>
      </c>
      <c r="CMZ31" t="s">
        <v>6984</v>
      </c>
      <c r="CNA31" t="s">
        <v>6984</v>
      </c>
      <c r="CNB31" t="s">
        <v>6984</v>
      </c>
      <c r="CNC31" t="s">
        <v>6984</v>
      </c>
      <c r="CND31" t="s">
        <v>6984</v>
      </c>
      <c r="CNE31" t="s">
        <v>6984</v>
      </c>
      <c r="CNF31" t="s">
        <v>6984</v>
      </c>
      <c r="CNG31" t="s">
        <v>6984</v>
      </c>
      <c r="CNH31" t="s">
        <v>6984</v>
      </c>
      <c r="CNI31" t="s">
        <v>6984</v>
      </c>
      <c r="CNJ31" t="s">
        <v>6984</v>
      </c>
      <c r="CNK31" t="s">
        <v>6984</v>
      </c>
      <c r="CNL31" t="s">
        <v>6984</v>
      </c>
      <c r="CNM31" t="s">
        <v>6984</v>
      </c>
      <c r="CNN31" t="s">
        <v>6984</v>
      </c>
      <c r="CNO31" t="s">
        <v>6984</v>
      </c>
      <c r="CNP31" t="s">
        <v>6984</v>
      </c>
      <c r="CNQ31" t="s">
        <v>6984</v>
      </c>
      <c r="CNR31" t="s">
        <v>6984</v>
      </c>
      <c r="CNS31" t="s">
        <v>6984</v>
      </c>
      <c r="CNT31" t="s">
        <v>6984</v>
      </c>
      <c r="CNU31" t="s">
        <v>6984</v>
      </c>
      <c r="CNV31" t="s">
        <v>6984</v>
      </c>
      <c r="CNW31" t="s">
        <v>6984</v>
      </c>
      <c r="CNX31" t="s">
        <v>6984</v>
      </c>
      <c r="CNY31" t="s">
        <v>6984</v>
      </c>
      <c r="CNZ31" t="s">
        <v>6984</v>
      </c>
      <c r="COA31" t="s">
        <v>6984</v>
      </c>
      <c r="COB31" t="s">
        <v>6984</v>
      </c>
      <c r="COC31" t="s">
        <v>6984</v>
      </c>
      <c r="COD31" t="s">
        <v>6984</v>
      </c>
      <c r="COE31" t="s">
        <v>6984</v>
      </c>
      <c r="COF31" t="s">
        <v>6984</v>
      </c>
      <c r="COG31" t="s">
        <v>6984</v>
      </c>
      <c r="COH31" t="s">
        <v>6984</v>
      </c>
      <c r="COI31" t="s">
        <v>6984</v>
      </c>
      <c r="COJ31" t="s">
        <v>6984</v>
      </c>
      <c r="COK31" t="s">
        <v>6984</v>
      </c>
      <c r="COL31" t="s">
        <v>6984</v>
      </c>
      <c r="COM31" t="s">
        <v>6984</v>
      </c>
      <c r="CON31" t="s">
        <v>6984</v>
      </c>
      <c r="COO31" t="s">
        <v>6984</v>
      </c>
      <c r="COP31" t="s">
        <v>6984</v>
      </c>
      <c r="COQ31" t="s">
        <v>6984</v>
      </c>
      <c r="COR31" t="s">
        <v>6984</v>
      </c>
      <c r="COS31" t="s">
        <v>6984</v>
      </c>
      <c r="COT31" t="s">
        <v>6984</v>
      </c>
      <c r="COU31" t="s">
        <v>6984</v>
      </c>
      <c r="COV31" t="s">
        <v>6984</v>
      </c>
      <c r="COW31" t="s">
        <v>6984</v>
      </c>
      <c r="COX31" t="s">
        <v>6984</v>
      </c>
      <c r="COY31" t="s">
        <v>6984</v>
      </c>
      <c r="COZ31" t="s">
        <v>6984</v>
      </c>
      <c r="CPA31" t="s">
        <v>6984</v>
      </c>
      <c r="CPB31" t="s">
        <v>6984</v>
      </c>
      <c r="CPC31" t="s">
        <v>6984</v>
      </c>
      <c r="CPD31" t="s">
        <v>6984</v>
      </c>
      <c r="CPE31" t="s">
        <v>6984</v>
      </c>
      <c r="CPF31" t="s">
        <v>6984</v>
      </c>
      <c r="CPG31" t="s">
        <v>6984</v>
      </c>
      <c r="CPH31" t="s">
        <v>6984</v>
      </c>
      <c r="CPI31" t="s">
        <v>6984</v>
      </c>
      <c r="CPJ31" t="s">
        <v>6984</v>
      </c>
      <c r="CPK31" t="s">
        <v>6984</v>
      </c>
      <c r="CPL31" t="s">
        <v>6984</v>
      </c>
      <c r="CPM31" t="s">
        <v>6984</v>
      </c>
      <c r="CPN31" t="s">
        <v>6984</v>
      </c>
      <c r="CPO31" t="s">
        <v>6984</v>
      </c>
      <c r="CPP31" t="s">
        <v>6984</v>
      </c>
      <c r="CPQ31" t="s">
        <v>6984</v>
      </c>
      <c r="CPR31" t="s">
        <v>6984</v>
      </c>
      <c r="CPS31" t="s">
        <v>6984</v>
      </c>
      <c r="CPT31" t="s">
        <v>6984</v>
      </c>
      <c r="CPU31" t="s">
        <v>6984</v>
      </c>
      <c r="CPV31" t="s">
        <v>6984</v>
      </c>
      <c r="CPW31" t="s">
        <v>6984</v>
      </c>
      <c r="CPX31" t="s">
        <v>6984</v>
      </c>
      <c r="CPY31" t="s">
        <v>6984</v>
      </c>
      <c r="CPZ31" t="s">
        <v>6984</v>
      </c>
      <c r="CQA31" t="s">
        <v>6984</v>
      </c>
      <c r="CQB31" t="s">
        <v>6984</v>
      </c>
      <c r="CQC31" t="s">
        <v>6984</v>
      </c>
      <c r="CQD31" t="s">
        <v>6984</v>
      </c>
      <c r="CQE31" t="s">
        <v>6984</v>
      </c>
      <c r="CQF31" t="s">
        <v>6984</v>
      </c>
      <c r="CQG31" t="s">
        <v>6984</v>
      </c>
      <c r="CQH31" t="s">
        <v>6984</v>
      </c>
      <c r="CQI31" t="s">
        <v>6984</v>
      </c>
      <c r="CQJ31" t="s">
        <v>6984</v>
      </c>
      <c r="CQK31" t="s">
        <v>6984</v>
      </c>
      <c r="CQL31" t="s">
        <v>6984</v>
      </c>
      <c r="CQM31" t="s">
        <v>6984</v>
      </c>
      <c r="CQN31" t="s">
        <v>6984</v>
      </c>
      <c r="CQO31" t="s">
        <v>6984</v>
      </c>
      <c r="CQP31" t="s">
        <v>6984</v>
      </c>
      <c r="CQQ31" t="s">
        <v>6984</v>
      </c>
      <c r="CQR31" t="s">
        <v>6984</v>
      </c>
      <c r="CQS31" t="s">
        <v>6984</v>
      </c>
      <c r="CQT31" t="s">
        <v>6984</v>
      </c>
      <c r="CQU31" t="s">
        <v>6984</v>
      </c>
      <c r="CQV31" t="s">
        <v>6984</v>
      </c>
      <c r="CQW31" t="s">
        <v>6984</v>
      </c>
      <c r="CQX31" t="s">
        <v>6984</v>
      </c>
      <c r="CQY31" t="s">
        <v>6984</v>
      </c>
      <c r="CQZ31" t="s">
        <v>6984</v>
      </c>
      <c r="CRA31" t="s">
        <v>6984</v>
      </c>
      <c r="CRB31" t="s">
        <v>6984</v>
      </c>
      <c r="CRC31" t="s">
        <v>6984</v>
      </c>
      <c r="CRD31" t="s">
        <v>6984</v>
      </c>
      <c r="CRE31" t="s">
        <v>6984</v>
      </c>
      <c r="CRF31" t="s">
        <v>6984</v>
      </c>
      <c r="CRG31" t="s">
        <v>6984</v>
      </c>
      <c r="CRH31" t="s">
        <v>6984</v>
      </c>
      <c r="CRI31" t="s">
        <v>6984</v>
      </c>
      <c r="CRJ31" t="s">
        <v>6984</v>
      </c>
      <c r="CRK31" t="s">
        <v>6984</v>
      </c>
      <c r="CRL31" t="s">
        <v>6984</v>
      </c>
      <c r="CRM31" t="s">
        <v>6984</v>
      </c>
      <c r="CRN31" t="s">
        <v>6984</v>
      </c>
      <c r="CRO31" t="s">
        <v>6984</v>
      </c>
      <c r="CRP31" t="s">
        <v>6984</v>
      </c>
      <c r="CRQ31" t="s">
        <v>6984</v>
      </c>
      <c r="CRR31" t="s">
        <v>6984</v>
      </c>
      <c r="CRS31" t="s">
        <v>6984</v>
      </c>
      <c r="CRT31" t="s">
        <v>6984</v>
      </c>
      <c r="CRU31" t="s">
        <v>6984</v>
      </c>
      <c r="CRV31" t="s">
        <v>6984</v>
      </c>
      <c r="CRW31" t="s">
        <v>6984</v>
      </c>
      <c r="CRX31" t="s">
        <v>6984</v>
      </c>
      <c r="CRY31" t="s">
        <v>6984</v>
      </c>
      <c r="CRZ31" t="s">
        <v>6984</v>
      </c>
      <c r="CSA31" t="s">
        <v>6984</v>
      </c>
      <c r="CSB31" t="s">
        <v>6984</v>
      </c>
      <c r="CSC31" t="s">
        <v>6984</v>
      </c>
      <c r="CSD31" t="s">
        <v>6984</v>
      </c>
      <c r="CSE31" t="s">
        <v>6984</v>
      </c>
      <c r="CSF31" t="s">
        <v>6984</v>
      </c>
      <c r="CSG31" t="s">
        <v>6984</v>
      </c>
      <c r="CSH31" t="s">
        <v>6984</v>
      </c>
      <c r="CSI31" t="s">
        <v>6984</v>
      </c>
      <c r="CSJ31" t="s">
        <v>6984</v>
      </c>
      <c r="CSK31" t="s">
        <v>6984</v>
      </c>
      <c r="CSL31" t="s">
        <v>6984</v>
      </c>
      <c r="CSM31" t="s">
        <v>6984</v>
      </c>
      <c r="CSN31" t="s">
        <v>6984</v>
      </c>
      <c r="CSO31" t="s">
        <v>6984</v>
      </c>
      <c r="CSP31" t="s">
        <v>6984</v>
      </c>
      <c r="CSQ31" t="s">
        <v>6984</v>
      </c>
      <c r="CSR31" t="s">
        <v>6984</v>
      </c>
      <c r="CSS31" t="s">
        <v>6984</v>
      </c>
      <c r="CST31" t="s">
        <v>6984</v>
      </c>
      <c r="CSU31" t="s">
        <v>6984</v>
      </c>
      <c r="CSV31" t="s">
        <v>6984</v>
      </c>
      <c r="CSW31" t="s">
        <v>6984</v>
      </c>
      <c r="CSX31" t="s">
        <v>6984</v>
      </c>
      <c r="CSY31" t="s">
        <v>6984</v>
      </c>
      <c r="CSZ31" t="s">
        <v>6984</v>
      </c>
      <c r="CTA31" t="s">
        <v>6984</v>
      </c>
      <c r="CTB31" t="s">
        <v>6984</v>
      </c>
      <c r="CTC31" t="s">
        <v>6984</v>
      </c>
      <c r="CTD31" t="s">
        <v>6984</v>
      </c>
      <c r="CTE31" t="s">
        <v>6984</v>
      </c>
      <c r="CTF31" t="s">
        <v>6984</v>
      </c>
      <c r="CTG31" t="s">
        <v>6984</v>
      </c>
      <c r="CTH31" t="s">
        <v>6984</v>
      </c>
      <c r="CTI31" t="s">
        <v>6984</v>
      </c>
      <c r="CTJ31" t="s">
        <v>6984</v>
      </c>
      <c r="CTK31" t="s">
        <v>6984</v>
      </c>
      <c r="CTL31" t="s">
        <v>6984</v>
      </c>
      <c r="CTM31" t="s">
        <v>6984</v>
      </c>
      <c r="CTN31" t="s">
        <v>6984</v>
      </c>
      <c r="CTO31" t="s">
        <v>6984</v>
      </c>
      <c r="CTP31" t="s">
        <v>6984</v>
      </c>
      <c r="CTQ31" t="s">
        <v>6984</v>
      </c>
      <c r="CTR31" t="s">
        <v>6984</v>
      </c>
      <c r="CTS31" t="s">
        <v>6984</v>
      </c>
      <c r="CTT31" t="s">
        <v>6984</v>
      </c>
      <c r="CTU31" t="s">
        <v>6984</v>
      </c>
      <c r="CTV31" t="s">
        <v>6984</v>
      </c>
      <c r="CTW31" t="s">
        <v>6984</v>
      </c>
      <c r="CTX31" t="s">
        <v>6984</v>
      </c>
      <c r="CTY31" t="s">
        <v>6984</v>
      </c>
      <c r="CTZ31" t="s">
        <v>6984</v>
      </c>
      <c r="CUA31" t="s">
        <v>6984</v>
      </c>
      <c r="CUB31" t="s">
        <v>6984</v>
      </c>
      <c r="CUC31" t="s">
        <v>6984</v>
      </c>
      <c r="CUD31" t="s">
        <v>6984</v>
      </c>
      <c r="CUE31" t="s">
        <v>6984</v>
      </c>
      <c r="CUF31" t="s">
        <v>6984</v>
      </c>
      <c r="CUG31" t="s">
        <v>6984</v>
      </c>
      <c r="CUH31" t="s">
        <v>6984</v>
      </c>
      <c r="CUI31" t="s">
        <v>6984</v>
      </c>
      <c r="CUJ31" t="s">
        <v>6984</v>
      </c>
      <c r="CUK31" t="s">
        <v>6984</v>
      </c>
      <c r="CUL31" t="s">
        <v>6984</v>
      </c>
      <c r="CUM31" t="s">
        <v>6984</v>
      </c>
      <c r="CUN31" t="s">
        <v>6984</v>
      </c>
      <c r="CUO31" t="s">
        <v>6984</v>
      </c>
      <c r="CUP31" t="s">
        <v>6984</v>
      </c>
      <c r="CUQ31" t="s">
        <v>6984</v>
      </c>
      <c r="CUR31" t="s">
        <v>6984</v>
      </c>
      <c r="CUS31" t="s">
        <v>6984</v>
      </c>
      <c r="CUT31" t="s">
        <v>6984</v>
      </c>
      <c r="CUU31" t="s">
        <v>6984</v>
      </c>
      <c r="CUV31" t="s">
        <v>6984</v>
      </c>
      <c r="CUW31" t="s">
        <v>6984</v>
      </c>
      <c r="CUX31" t="s">
        <v>6984</v>
      </c>
      <c r="CUY31" t="s">
        <v>6984</v>
      </c>
      <c r="CUZ31" t="s">
        <v>6984</v>
      </c>
      <c r="CVA31" t="s">
        <v>6984</v>
      </c>
      <c r="CVB31" t="s">
        <v>6984</v>
      </c>
      <c r="CVC31" t="s">
        <v>6984</v>
      </c>
      <c r="CVD31" t="s">
        <v>6984</v>
      </c>
      <c r="CVE31" t="s">
        <v>6984</v>
      </c>
      <c r="CVF31" t="s">
        <v>6984</v>
      </c>
      <c r="CVG31" t="s">
        <v>6984</v>
      </c>
      <c r="CVH31" t="s">
        <v>6984</v>
      </c>
      <c r="CVI31" t="s">
        <v>6984</v>
      </c>
      <c r="CVJ31" t="s">
        <v>6984</v>
      </c>
      <c r="CVK31" t="s">
        <v>6984</v>
      </c>
      <c r="CVL31" t="s">
        <v>6984</v>
      </c>
      <c r="CVM31" t="s">
        <v>6984</v>
      </c>
      <c r="CVN31" t="s">
        <v>6984</v>
      </c>
      <c r="CVO31" t="s">
        <v>6984</v>
      </c>
      <c r="CVP31" t="s">
        <v>6984</v>
      </c>
      <c r="CVQ31" t="s">
        <v>6984</v>
      </c>
      <c r="CVR31" t="s">
        <v>6984</v>
      </c>
      <c r="CVS31" t="s">
        <v>6984</v>
      </c>
      <c r="CVT31" t="s">
        <v>6984</v>
      </c>
      <c r="CVU31" t="s">
        <v>6984</v>
      </c>
      <c r="CVV31" t="s">
        <v>6984</v>
      </c>
      <c r="CVW31" t="s">
        <v>6984</v>
      </c>
      <c r="CVX31" t="s">
        <v>6984</v>
      </c>
      <c r="CVY31" t="s">
        <v>6984</v>
      </c>
      <c r="CVZ31" t="s">
        <v>6984</v>
      </c>
      <c r="CWA31" t="s">
        <v>6984</v>
      </c>
      <c r="CWB31" t="s">
        <v>6984</v>
      </c>
      <c r="CWC31" t="s">
        <v>6984</v>
      </c>
      <c r="CWD31" t="s">
        <v>6984</v>
      </c>
      <c r="CWE31" t="s">
        <v>6984</v>
      </c>
      <c r="CWF31" t="s">
        <v>6984</v>
      </c>
      <c r="CWG31" t="s">
        <v>6984</v>
      </c>
      <c r="CWH31" t="s">
        <v>6984</v>
      </c>
      <c r="CWI31" t="s">
        <v>6984</v>
      </c>
      <c r="CWJ31" t="s">
        <v>6984</v>
      </c>
      <c r="CWK31" t="s">
        <v>6984</v>
      </c>
      <c r="CWL31" t="s">
        <v>6984</v>
      </c>
      <c r="CWM31" t="s">
        <v>6984</v>
      </c>
      <c r="CWN31" t="s">
        <v>6984</v>
      </c>
      <c r="CWO31" t="s">
        <v>6984</v>
      </c>
      <c r="CWP31" t="s">
        <v>6984</v>
      </c>
      <c r="CWQ31" t="s">
        <v>6984</v>
      </c>
      <c r="CWR31" t="s">
        <v>6984</v>
      </c>
      <c r="CWS31" t="s">
        <v>6984</v>
      </c>
      <c r="CWT31" t="s">
        <v>6984</v>
      </c>
      <c r="CWU31" t="s">
        <v>6984</v>
      </c>
      <c r="CWV31" t="s">
        <v>6984</v>
      </c>
      <c r="CWW31" t="s">
        <v>6984</v>
      </c>
      <c r="CWX31" t="s">
        <v>6984</v>
      </c>
      <c r="CWY31" t="s">
        <v>6984</v>
      </c>
      <c r="CWZ31" t="s">
        <v>6984</v>
      </c>
      <c r="CXA31" t="s">
        <v>6984</v>
      </c>
      <c r="CXB31" t="s">
        <v>6984</v>
      </c>
      <c r="CXC31" t="s">
        <v>6984</v>
      </c>
      <c r="CXD31" t="s">
        <v>6984</v>
      </c>
      <c r="CXE31" t="s">
        <v>6984</v>
      </c>
      <c r="CXF31" t="s">
        <v>6984</v>
      </c>
      <c r="CXG31" t="s">
        <v>6984</v>
      </c>
      <c r="CXH31" t="s">
        <v>6984</v>
      </c>
      <c r="CXI31" t="s">
        <v>6984</v>
      </c>
      <c r="CXJ31" t="s">
        <v>6984</v>
      </c>
      <c r="CXK31" t="s">
        <v>6984</v>
      </c>
      <c r="CXL31" t="s">
        <v>6984</v>
      </c>
      <c r="CXM31" t="s">
        <v>6984</v>
      </c>
      <c r="CXN31" t="s">
        <v>6984</v>
      </c>
      <c r="CXO31" t="s">
        <v>6984</v>
      </c>
      <c r="CXP31" t="s">
        <v>6984</v>
      </c>
      <c r="CXQ31" t="s">
        <v>6984</v>
      </c>
      <c r="CXR31" t="s">
        <v>6984</v>
      </c>
      <c r="CXS31" t="s">
        <v>6984</v>
      </c>
      <c r="CXT31" t="s">
        <v>6984</v>
      </c>
      <c r="CXU31" t="s">
        <v>6984</v>
      </c>
      <c r="CXV31" t="s">
        <v>6984</v>
      </c>
      <c r="CXW31" t="s">
        <v>6984</v>
      </c>
      <c r="CXX31" t="s">
        <v>6984</v>
      </c>
      <c r="CXY31" t="s">
        <v>6984</v>
      </c>
      <c r="CXZ31" t="s">
        <v>6984</v>
      </c>
      <c r="CYA31" t="s">
        <v>6984</v>
      </c>
      <c r="CYB31" t="s">
        <v>6984</v>
      </c>
      <c r="CYC31" t="s">
        <v>6984</v>
      </c>
      <c r="CYD31" t="s">
        <v>6984</v>
      </c>
      <c r="CYE31" t="s">
        <v>6984</v>
      </c>
      <c r="CYF31" t="s">
        <v>6984</v>
      </c>
      <c r="CYG31" t="s">
        <v>6984</v>
      </c>
      <c r="CYH31" t="s">
        <v>6984</v>
      </c>
      <c r="CYI31" t="s">
        <v>6984</v>
      </c>
      <c r="CYJ31" t="s">
        <v>6984</v>
      </c>
      <c r="CYK31" t="s">
        <v>6984</v>
      </c>
      <c r="CYL31" t="s">
        <v>6984</v>
      </c>
      <c r="CYM31" t="s">
        <v>6984</v>
      </c>
      <c r="CYN31" t="s">
        <v>6984</v>
      </c>
      <c r="CYO31" t="s">
        <v>6984</v>
      </c>
      <c r="CYP31" t="s">
        <v>6984</v>
      </c>
      <c r="CYQ31" t="s">
        <v>6984</v>
      </c>
      <c r="CYR31" t="s">
        <v>6984</v>
      </c>
      <c r="CYS31" t="s">
        <v>6984</v>
      </c>
      <c r="CYT31" t="s">
        <v>6984</v>
      </c>
      <c r="CYU31" t="s">
        <v>6984</v>
      </c>
      <c r="CYV31" t="s">
        <v>6984</v>
      </c>
      <c r="CYW31" t="s">
        <v>6984</v>
      </c>
      <c r="CYX31" t="s">
        <v>6984</v>
      </c>
      <c r="CYY31" t="s">
        <v>6984</v>
      </c>
      <c r="CYZ31" t="s">
        <v>6984</v>
      </c>
      <c r="CZA31" t="s">
        <v>6984</v>
      </c>
      <c r="CZB31" t="s">
        <v>6984</v>
      </c>
      <c r="CZC31" t="s">
        <v>6984</v>
      </c>
      <c r="CZD31" t="s">
        <v>6984</v>
      </c>
      <c r="CZE31" t="s">
        <v>6984</v>
      </c>
      <c r="CZF31" t="s">
        <v>6984</v>
      </c>
      <c r="CZG31" t="s">
        <v>6984</v>
      </c>
      <c r="CZH31" t="s">
        <v>6984</v>
      </c>
      <c r="CZI31" t="s">
        <v>6984</v>
      </c>
      <c r="CZJ31" t="s">
        <v>6984</v>
      </c>
      <c r="CZK31" t="s">
        <v>6984</v>
      </c>
      <c r="CZL31" t="s">
        <v>6984</v>
      </c>
      <c r="CZM31" t="s">
        <v>6984</v>
      </c>
      <c r="CZN31" t="s">
        <v>6984</v>
      </c>
      <c r="CZO31" t="s">
        <v>6984</v>
      </c>
      <c r="CZP31" t="s">
        <v>6984</v>
      </c>
      <c r="CZQ31" t="s">
        <v>6984</v>
      </c>
      <c r="CZR31" t="s">
        <v>6984</v>
      </c>
      <c r="CZS31" t="s">
        <v>6984</v>
      </c>
      <c r="CZT31" t="s">
        <v>6984</v>
      </c>
      <c r="CZU31" t="s">
        <v>6984</v>
      </c>
      <c r="CZV31" t="s">
        <v>6984</v>
      </c>
      <c r="CZW31" t="s">
        <v>6984</v>
      </c>
      <c r="CZX31" t="s">
        <v>6984</v>
      </c>
      <c r="CZY31" t="s">
        <v>6984</v>
      </c>
      <c r="CZZ31" t="s">
        <v>6984</v>
      </c>
      <c r="DAA31" t="s">
        <v>6984</v>
      </c>
      <c r="DAB31" t="s">
        <v>6984</v>
      </c>
      <c r="DAC31" t="s">
        <v>6984</v>
      </c>
      <c r="DAD31" t="s">
        <v>6984</v>
      </c>
      <c r="DAE31" t="s">
        <v>6984</v>
      </c>
      <c r="DAF31" t="s">
        <v>6984</v>
      </c>
      <c r="DAG31" t="s">
        <v>6984</v>
      </c>
      <c r="DAH31" t="s">
        <v>6984</v>
      </c>
      <c r="DAI31" t="s">
        <v>6984</v>
      </c>
      <c r="DAJ31" t="s">
        <v>6984</v>
      </c>
      <c r="DAK31" t="s">
        <v>6984</v>
      </c>
      <c r="DAL31" t="s">
        <v>6984</v>
      </c>
      <c r="DAM31" t="s">
        <v>6984</v>
      </c>
      <c r="DAN31" t="s">
        <v>6984</v>
      </c>
      <c r="DAO31" t="s">
        <v>6984</v>
      </c>
      <c r="DAP31" t="s">
        <v>6984</v>
      </c>
      <c r="DAQ31" t="s">
        <v>6984</v>
      </c>
      <c r="DAR31" t="s">
        <v>6984</v>
      </c>
      <c r="DAS31" t="s">
        <v>6984</v>
      </c>
      <c r="DAT31" t="s">
        <v>6984</v>
      </c>
      <c r="DAU31" t="s">
        <v>6984</v>
      </c>
      <c r="DAV31" t="s">
        <v>6984</v>
      </c>
      <c r="DAW31" t="s">
        <v>6984</v>
      </c>
      <c r="DAX31" t="s">
        <v>6984</v>
      </c>
      <c r="DAY31" t="s">
        <v>6984</v>
      </c>
      <c r="DAZ31" t="s">
        <v>6984</v>
      </c>
      <c r="DBA31" t="s">
        <v>6984</v>
      </c>
      <c r="DBB31" t="s">
        <v>6984</v>
      </c>
      <c r="DBC31" t="s">
        <v>6984</v>
      </c>
      <c r="DBD31" t="s">
        <v>6984</v>
      </c>
      <c r="DBE31" t="s">
        <v>6984</v>
      </c>
      <c r="DBF31" t="s">
        <v>6984</v>
      </c>
      <c r="DBG31" t="s">
        <v>6984</v>
      </c>
      <c r="DBH31" t="s">
        <v>6984</v>
      </c>
      <c r="DBI31" t="s">
        <v>6984</v>
      </c>
      <c r="DBJ31" t="s">
        <v>6984</v>
      </c>
      <c r="DBK31" t="s">
        <v>6984</v>
      </c>
      <c r="DBL31" t="s">
        <v>6984</v>
      </c>
      <c r="DBM31" t="s">
        <v>6984</v>
      </c>
      <c r="DBN31" t="s">
        <v>6984</v>
      </c>
      <c r="DBO31" t="s">
        <v>6984</v>
      </c>
      <c r="DBP31" t="s">
        <v>6984</v>
      </c>
      <c r="DBQ31" t="s">
        <v>6984</v>
      </c>
      <c r="DBR31" t="s">
        <v>6984</v>
      </c>
      <c r="DBS31" t="s">
        <v>6984</v>
      </c>
      <c r="DBT31" t="s">
        <v>6984</v>
      </c>
      <c r="DBU31" t="s">
        <v>6984</v>
      </c>
      <c r="DBV31" t="s">
        <v>6984</v>
      </c>
      <c r="DBW31" t="s">
        <v>6984</v>
      </c>
      <c r="DBX31" t="s">
        <v>6984</v>
      </c>
      <c r="DBY31" t="s">
        <v>6984</v>
      </c>
      <c r="DBZ31" t="s">
        <v>6984</v>
      </c>
      <c r="DCA31" t="s">
        <v>6984</v>
      </c>
      <c r="DCB31" t="s">
        <v>6984</v>
      </c>
      <c r="DCC31" t="s">
        <v>6984</v>
      </c>
      <c r="DCD31" t="s">
        <v>6984</v>
      </c>
      <c r="DCE31" t="s">
        <v>6984</v>
      </c>
      <c r="DCF31" t="s">
        <v>6984</v>
      </c>
      <c r="DCG31" t="s">
        <v>6984</v>
      </c>
      <c r="DCH31" t="s">
        <v>6984</v>
      </c>
      <c r="DCI31" t="s">
        <v>6984</v>
      </c>
      <c r="DCJ31" t="s">
        <v>6984</v>
      </c>
      <c r="DCK31" t="s">
        <v>6984</v>
      </c>
      <c r="DCL31" t="s">
        <v>6984</v>
      </c>
      <c r="DCM31" t="s">
        <v>6984</v>
      </c>
      <c r="DCN31" t="s">
        <v>6984</v>
      </c>
      <c r="DCO31" t="s">
        <v>6984</v>
      </c>
      <c r="DCP31" t="s">
        <v>6984</v>
      </c>
      <c r="DCQ31" t="s">
        <v>6984</v>
      </c>
      <c r="DCR31" t="s">
        <v>6984</v>
      </c>
      <c r="DCS31" t="s">
        <v>6984</v>
      </c>
      <c r="DCT31" t="s">
        <v>6984</v>
      </c>
      <c r="DCU31" t="s">
        <v>6984</v>
      </c>
      <c r="DCV31" t="s">
        <v>6984</v>
      </c>
      <c r="DCW31" t="s">
        <v>6984</v>
      </c>
      <c r="DCX31" t="s">
        <v>6984</v>
      </c>
      <c r="DCY31" t="s">
        <v>6984</v>
      </c>
      <c r="DCZ31" t="s">
        <v>6984</v>
      </c>
      <c r="DDA31" t="s">
        <v>6984</v>
      </c>
      <c r="DDB31" t="s">
        <v>6984</v>
      </c>
      <c r="DDC31" t="s">
        <v>6984</v>
      </c>
      <c r="DDD31" t="s">
        <v>6984</v>
      </c>
      <c r="DDE31" t="s">
        <v>6984</v>
      </c>
      <c r="DDF31" t="s">
        <v>6984</v>
      </c>
      <c r="DDG31" t="s">
        <v>6984</v>
      </c>
      <c r="DDH31" t="s">
        <v>6984</v>
      </c>
      <c r="DDI31" t="s">
        <v>6984</v>
      </c>
      <c r="DDJ31" t="s">
        <v>6984</v>
      </c>
      <c r="DDK31" t="s">
        <v>6984</v>
      </c>
      <c r="DDL31" t="s">
        <v>6984</v>
      </c>
      <c r="DDM31" t="s">
        <v>6984</v>
      </c>
      <c r="DDN31" t="s">
        <v>6984</v>
      </c>
      <c r="DDO31" t="s">
        <v>6984</v>
      </c>
      <c r="DDP31" t="s">
        <v>6984</v>
      </c>
      <c r="DDQ31" t="s">
        <v>6984</v>
      </c>
      <c r="DDR31" t="s">
        <v>6984</v>
      </c>
      <c r="DDS31" t="s">
        <v>6984</v>
      </c>
      <c r="DDT31" t="s">
        <v>6984</v>
      </c>
      <c r="DDU31" t="s">
        <v>6984</v>
      </c>
      <c r="DDV31" t="s">
        <v>6984</v>
      </c>
      <c r="DDW31" t="s">
        <v>6984</v>
      </c>
      <c r="DDX31" t="s">
        <v>6984</v>
      </c>
      <c r="DDY31" t="s">
        <v>6984</v>
      </c>
      <c r="DDZ31" t="s">
        <v>6984</v>
      </c>
      <c r="DEA31" t="s">
        <v>6984</v>
      </c>
      <c r="DEB31" t="s">
        <v>6984</v>
      </c>
      <c r="DEC31" t="s">
        <v>6984</v>
      </c>
      <c r="DED31" t="s">
        <v>6984</v>
      </c>
      <c r="DEE31" t="s">
        <v>6984</v>
      </c>
      <c r="DEF31" t="s">
        <v>6984</v>
      </c>
      <c r="DEG31" t="s">
        <v>6984</v>
      </c>
      <c r="DEH31" t="s">
        <v>6984</v>
      </c>
      <c r="DEI31" t="s">
        <v>6984</v>
      </c>
      <c r="DEJ31" t="s">
        <v>6984</v>
      </c>
      <c r="DEK31" t="s">
        <v>6984</v>
      </c>
      <c r="DEL31" t="s">
        <v>6984</v>
      </c>
      <c r="DEM31" t="s">
        <v>6984</v>
      </c>
      <c r="DEN31" t="s">
        <v>6984</v>
      </c>
      <c r="DEO31" t="s">
        <v>6984</v>
      </c>
      <c r="DEP31" t="s">
        <v>6984</v>
      </c>
      <c r="DEQ31" t="s">
        <v>6984</v>
      </c>
      <c r="DER31" t="s">
        <v>6984</v>
      </c>
      <c r="DES31" t="s">
        <v>6984</v>
      </c>
      <c r="DET31" t="s">
        <v>6984</v>
      </c>
      <c r="DEU31" t="s">
        <v>6984</v>
      </c>
      <c r="DEV31" t="s">
        <v>6984</v>
      </c>
      <c r="DEW31" t="s">
        <v>6984</v>
      </c>
      <c r="DEX31" t="s">
        <v>6984</v>
      </c>
      <c r="DEY31" t="s">
        <v>6984</v>
      </c>
      <c r="DEZ31" t="s">
        <v>6984</v>
      </c>
      <c r="DFA31" t="s">
        <v>6984</v>
      </c>
      <c r="DFB31" t="s">
        <v>6984</v>
      </c>
      <c r="DFC31" t="s">
        <v>6984</v>
      </c>
      <c r="DFD31" t="s">
        <v>6984</v>
      </c>
      <c r="DFE31" t="s">
        <v>6984</v>
      </c>
      <c r="DFF31" t="s">
        <v>6984</v>
      </c>
      <c r="DFG31" t="s">
        <v>6984</v>
      </c>
      <c r="DFH31" t="s">
        <v>6984</v>
      </c>
      <c r="DFI31" t="s">
        <v>6984</v>
      </c>
      <c r="DFJ31" t="s">
        <v>6984</v>
      </c>
      <c r="DFK31" t="s">
        <v>6984</v>
      </c>
      <c r="DFL31" t="s">
        <v>6984</v>
      </c>
      <c r="DFM31" t="s">
        <v>6984</v>
      </c>
      <c r="DFN31" t="s">
        <v>6984</v>
      </c>
      <c r="DFO31" t="s">
        <v>6984</v>
      </c>
      <c r="DFP31" t="s">
        <v>6984</v>
      </c>
      <c r="DFQ31" t="s">
        <v>6984</v>
      </c>
      <c r="DFR31" t="s">
        <v>6984</v>
      </c>
      <c r="DFS31" t="s">
        <v>6984</v>
      </c>
      <c r="DFT31" t="s">
        <v>6984</v>
      </c>
      <c r="DFU31" t="s">
        <v>6984</v>
      </c>
      <c r="DFV31" t="s">
        <v>6984</v>
      </c>
      <c r="DFW31" t="s">
        <v>6984</v>
      </c>
      <c r="DFX31" t="s">
        <v>6984</v>
      </c>
      <c r="DFY31" t="s">
        <v>6984</v>
      </c>
      <c r="DFZ31" t="s">
        <v>6984</v>
      </c>
      <c r="DGA31" t="s">
        <v>6984</v>
      </c>
      <c r="DGB31" t="s">
        <v>6984</v>
      </c>
      <c r="DGC31" t="s">
        <v>6984</v>
      </c>
      <c r="DGD31" t="s">
        <v>6984</v>
      </c>
      <c r="DGE31" t="s">
        <v>6984</v>
      </c>
      <c r="DGF31" t="s">
        <v>6984</v>
      </c>
      <c r="DGG31" t="s">
        <v>6984</v>
      </c>
      <c r="DGH31" t="s">
        <v>6984</v>
      </c>
      <c r="DGI31" t="s">
        <v>6984</v>
      </c>
      <c r="DGJ31" t="s">
        <v>6984</v>
      </c>
      <c r="DGK31" t="s">
        <v>6984</v>
      </c>
      <c r="DGL31" t="s">
        <v>6984</v>
      </c>
      <c r="DGM31" t="s">
        <v>6984</v>
      </c>
      <c r="DGN31" t="s">
        <v>6984</v>
      </c>
      <c r="DGO31" t="s">
        <v>6984</v>
      </c>
      <c r="DGP31" t="s">
        <v>6984</v>
      </c>
      <c r="DGQ31" t="s">
        <v>6984</v>
      </c>
      <c r="DGR31" t="s">
        <v>6984</v>
      </c>
      <c r="DGS31" t="s">
        <v>6984</v>
      </c>
      <c r="DGT31" t="s">
        <v>6984</v>
      </c>
      <c r="DGU31" t="s">
        <v>6984</v>
      </c>
      <c r="DGV31" t="s">
        <v>6984</v>
      </c>
      <c r="DGW31" t="s">
        <v>6984</v>
      </c>
      <c r="DGX31" t="s">
        <v>6984</v>
      </c>
      <c r="DGY31" t="s">
        <v>6984</v>
      </c>
      <c r="DGZ31" t="s">
        <v>6984</v>
      </c>
      <c r="DHA31" t="s">
        <v>6984</v>
      </c>
      <c r="DHB31" t="s">
        <v>6984</v>
      </c>
      <c r="DHC31" t="s">
        <v>6984</v>
      </c>
      <c r="DHD31" t="s">
        <v>6984</v>
      </c>
      <c r="DHE31" t="s">
        <v>6984</v>
      </c>
      <c r="DHF31" t="s">
        <v>6984</v>
      </c>
      <c r="DHG31" t="s">
        <v>6984</v>
      </c>
      <c r="DHH31" t="s">
        <v>6984</v>
      </c>
      <c r="DHI31" t="s">
        <v>6984</v>
      </c>
      <c r="DHJ31" t="s">
        <v>6984</v>
      </c>
      <c r="DHK31" t="s">
        <v>6984</v>
      </c>
      <c r="DHL31" t="s">
        <v>6984</v>
      </c>
      <c r="DHM31" t="s">
        <v>6984</v>
      </c>
      <c r="DHN31" t="s">
        <v>6984</v>
      </c>
      <c r="DHO31" t="s">
        <v>6984</v>
      </c>
      <c r="DHP31" t="s">
        <v>6984</v>
      </c>
      <c r="DHQ31" t="s">
        <v>6984</v>
      </c>
      <c r="DHR31" t="s">
        <v>6984</v>
      </c>
      <c r="DHS31" t="s">
        <v>6984</v>
      </c>
      <c r="DHT31" t="s">
        <v>6984</v>
      </c>
      <c r="DHU31" t="s">
        <v>6984</v>
      </c>
      <c r="DHV31" t="s">
        <v>6984</v>
      </c>
      <c r="DHW31" t="s">
        <v>6984</v>
      </c>
      <c r="DHX31" t="s">
        <v>6984</v>
      </c>
      <c r="DHY31" t="s">
        <v>6984</v>
      </c>
      <c r="DHZ31" t="s">
        <v>6984</v>
      </c>
      <c r="DIA31" t="s">
        <v>6984</v>
      </c>
      <c r="DIB31" t="s">
        <v>6984</v>
      </c>
      <c r="DIC31" t="s">
        <v>6984</v>
      </c>
      <c r="DID31" t="s">
        <v>6984</v>
      </c>
      <c r="DIE31" t="s">
        <v>6984</v>
      </c>
      <c r="DIF31" t="s">
        <v>6984</v>
      </c>
      <c r="DIG31" t="s">
        <v>6984</v>
      </c>
      <c r="DIH31" t="s">
        <v>6984</v>
      </c>
      <c r="DII31" t="s">
        <v>6984</v>
      </c>
      <c r="DIJ31" t="s">
        <v>6984</v>
      </c>
      <c r="DIK31" t="s">
        <v>6984</v>
      </c>
      <c r="DIL31" t="s">
        <v>6984</v>
      </c>
      <c r="DIM31" t="s">
        <v>6984</v>
      </c>
      <c r="DIN31" t="s">
        <v>6984</v>
      </c>
      <c r="DIO31" t="s">
        <v>6984</v>
      </c>
      <c r="DIP31" t="s">
        <v>6984</v>
      </c>
      <c r="DIQ31" t="s">
        <v>6984</v>
      </c>
      <c r="DIR31" t="s">
        <v>6984</v>
      </c>
      <c r="DIS31" t="s">
        <v>6984</v>
      </c>
      <c r="DIT31" t="s">
        <v>6984</v>
      </c>
      <c r="DIU31" t="s">
        <v>6984</v>
      </c>
      <c r="DIV31" t="s">
        <v>6984</v>
      </c>
      <c r="DIW31" t="s">
        <v>6984</v>
      </c>
      <c r="DIX31" t="s">
        <v>6984</v>
      </c>
      <c r="DIY31" t="s">
        <v>6984</v>
      </c>
      <c r="DIZ31" t="s">
        <v>6984</v>
      </c>
      <c r="DJA31" t="s">
        <v>6984</v>
      </c>
      <c r="DJB31" t="s">
        <v>6984</v>
      </c>
      <c r="DJC31" t="s">
        <v>6984</v>
      </c>
      <c r="DJD31" t="s">
        <v>6984</v>
      </c>
      <c r="DJE31" t="s">
        <v>6984</v>
      </c>
      <c r="DJF31" t="s">
        <v>6984</v>
      </c>
      <c r="DJG31" t="s">
        <v>6984</v>
      </c>
      <c r="DJH31" t="s">
        <v>6984</v>
      </c>
      <c r="DJI31" t="s">
        <v>6984</v>
      </c>
      <c r="DJJ31" t="s">
        <v>6984</v>
      </c>
      <c r="DJK31" t="s">
        <v>6984</v>
      </c>
      <c r="DJL31" t="s">
        <v>6984</v>
      </c>
      <c r="DJM31" t="s">
        <v>6984</v>
      </c>
      <c r="DJN31" t="s">
        <v>6984</v>
      </c>
      <c r="DJO31" t="s">
        <v>6984</v>
      </c>
      <c r="DJP31" t="s">
        <v>6984</v>
      </c>
      <c r="DJQ31" t="s">
        <v>6984</v>
      </c>
      <c r="DJR31" t="s">
        <v>6984</v>
      </c>
      <c r="DJS31" t="s">
        <v>6984</v>
      </c>
      <c r="DJT31" t="s">
        <v>6984</v>
      </c>
      <c r="DJU31" t="s">
        <v>6984</v>
      </c>
      <c r="DJV31" t="s">
        <v>6984</v>
      </c>
      <c r="DJW31" t="s">
        <v>6984</v>
      </c>
      <c r="DJX31" t="s">
        <v>6984</v>
      </c>
      <c r="DJY31" t="s">
        <v>6984</v>
      </c>
      <c r="DJZ31" t="s">
        <v>6984</v>
      </c>
      <c r="DKA31" t="s">
        <v>6984</v>
      </c>
      <c r="DKB31" t="s">
        <v>6984</v>
      </c>
      <c r="DKC31" t="s">
        <v>6984</v>
      </c>
      <c r="DKD31" t="s">
        <v>6984</v>
      </c>
      <c r="DKE31" t="s">
        <v>6984</v>
      </c>
      <c r="DKF31" t="s">
        <v>6984</v>
      </c>
      <c r="DKG31" t="s">
        <v>6984</v>
      </c>
      <c r="DKH31" t="s">
        <v>6984</v>
      </c>
      <c r="DKI31" t="s">
        <v>6984</v>
      </c>
      <c r="DKJ31" t="s">
        <v>6984</v>
      </c>
      <c r="DKK31" t="s">
        <v>6984</v>
      </c>
      <c r="DKL31" t="s">
        <v>6984</v>
      </c>
      <c r="DKM31" t="s">
        <v>6984</v>
      </c>
      <c r="DKN31" t="s">
        <v>6984</v>
      </c>
      <c r="DKO31" t="s">
        <v>6984</v>
      </c>
      <c r="DKP31" t="s">
        <v>6984</v>
      </c>
      <c r="DKQ31" t="s">
        <v>6984</v>
      </c>
      <c r="DKR31" t="s">
        <v>6984</v>
      </c>
      <c r="DKS31" t="s">
        <v>6984</v>
      </c>
      <c r="DKT31" t="s">
        <v>6984</v>
      </c>
      <c r="DKU31" t="s">
        <v>6984</v>
      </c>
      <c r="DKV31" t="s">
        <v>6984</v>
      </c>
      <c r="DKW31" t="s">
        <v>6984</v>
      </c>
      <c r="DKX31" t="s">
        <v>6984</v>
      </c>
      <c r="DKY31" t="s">
        <v>6984</v>
      </c>
      <c r="DKZ31" t="s">
        <v>6984</v>
      </c>
      <c r="DLA31" t="s">
        <v>6984</v>
      </c>
      <c r="DLB31" t="s">
        <v>6984</v>
      </c>
      <c r="DLC31" t="s">
        <v>6984</v>
      </c>
      <c r="DLD31" t="s">
        <v>6984</v>
      </c>
      <c r="DLE31" t="s">
        <v>6984</v>
      </c>
      <c r="DLF31" t="s">
        <v>6984</v>
      </c>
      <c r="DLG31" t="s">
        <v>6984</v>
      </c>
      <c r="DLH31" t="s">
        <v>6984</v>
      </c>
      <c r="DLI31" t="s">
        <v>6984</v>
      </c>
      <c r="DLJ31" t="s">
        <v>6984</v>
      </c>
      <c r="DLK31" t="s">
        <v>6984</v>
      </c>
      <c r="DLL31" t="s">
        <v>6984</v>
      </c>
      <c r="DLM31" t="s">
        <v>6984</v>
      </c>
      <c r="DLN31" t="s">
        <v>6984</v>
      </c>
      <c r="DLO31" t="s">
        <v>6984</v>
      </c>
      <c r="DLP31" t="s">
        <v>6984</v>
      </c>
      <c r="DLQ31" t="s">
        <v>6984</v>
      </c>
      <c r="DLR31" t="s">
        <v>6984</v>
      </c>
      <c r="DLS31" t="s">
        <v>6984</v>
      </c>
      <c r="DLT31" t="s">
        <v>6984</v>
      </c>
      <c r="DLU31" t="s">
        <v>6984</v>
      </c>
      <c r="DLV31" t="s">
        <v>6984</v>
      </c>
      <c r="DLW31" t="s">
        <v>6984</v>
      </c>
      <c r="DLX31" t="s">
        <v>6984</v>
      </c>
      <c r="DLY31" t="s">
        <v>6984</v>
      </c>
      <c r="DLZ31" t="s">
        <v>6984</v>
      </c>
      <c r="DMA31" t="s">
        <v>6984</v>
      </c>
      <c r="DMB31" t="s">
        <v>6984</v>
      </c>
      <c r="DMC31" t="s">
        <v>6984</v>
      </c>
      <c r="DMD31" t="s">
        <v>6984</v>
      </c>
      <c r="DME31" t="s">
        <v>6984</v>
      </c>
      <c r="DMF31" t="s">
        <v>6984</v>
      </c>
      <c r="DMG31" t="s">
        <v>6984</v>
      </c>
      <c r="DMH31" t="s">
        <v>6984</v>
      </c>
      <c r="DMI31" t="s">
        <v>6984</v>
      </c>
      <c r="DMJ31" t="s">
        <v>6984</v>
      </c>
      <c r="DMK31" t="s">
        <v>6984</v>
      </c>
      <c r="DML31" t="s">
        <v>6984</v>
      </c>
      <c r="DMM31" t="s">
        <v>6984</v>
      </c>
      <c r="DMN31" t="s">
        <v>6984</v>
      </c>
      <c r="DMO31" t="s">
        <v>6984</v>
      </c>
      <c r="DMP31" t="s">
        <v>6984</v>
      </c>
      <c r="DMQ31" t="s">
        <v>6984</v>
      </c>
      <c r="DMR31" t="s">
        <v>6984</v>
      </c>
      <c r="DMS31" t="s">
        <v>6984</v>
      </c>
      <c r="DMT31" t="s">
        <v>6984</v>
      </c>
      <c r="DMU31" t="s">
        <v>6984</v>
      </c>
      <c r="DMV31" t="s">
        <v>6984</v>
      </c>
      <c r="DMW31" t="s">
        <v>6984</v>
      </c>
      <c r="DMX31" t="s">
        <v>6984</v>
      </c>
      <c r="DMY31" t="s">
        <v>6984</v>
      </c>
      <c r="DMZ31" t="s">
        <v>6984</v>
      </c>
      <c r="DNA31" t="s">
        <v>6984</v>
      </c>
      <c r="DNB31" t="s">
        <v>6984</v>
      </c>
      <c r="DNC31" t="s">
        <v>6984</v>
      </c>
      <c r="DND31" t="s">
        <v>6984</v>
      </c>
      <c r="DNE31" t="s">
        <v>6984</v>
      </c>
      <c r="DNF31" t="s">
        <v>6984</v>
      </c>
      <c r="DNG31" t="s">
        <v>6984</v>
      </c>
      <c r="DNH31" t="s">
        <v>6984</v>
      </c>
      <c r="DNI31" t="s">
        <v>6984</v>
      </c>
      <c r="DNJ31" t="s">
        <v>6984</v>
      </c>
      <c r="DNK31" t="s">
        <v>6984</v>
      </c>
      <c r="DNL31" t="s">
        <v>6984</v>
      </c>
      <c r="DNM31" t="s">
        <v>6984</v>
      </c>
      <c r="DNN31" t="s">
        <v>6984</v>
      </c>
      <c r="DNO31" t="s">
        <v>6984</v>
      </c>
      <c r="DNP31" t="s">
        <v>6984</v>
      </c>
      <c r="DNQ31" t="s">
        <v>6984</v>
      </c>
      <c r="DNR31" t="s">
        <v>6984</v>
      </c>
      <c r="DNS31" t="s">
        <v>6984</v>
      </c>
      <c r="DNT31" t="s">
        <v>6984</v>
      </c>
      <c r="DNU31" t="s">
        <v>6984</v>
      </c>
      <c r="DNV31" t="s">
        <v>6984</v>
      </c>
      <c r="DNW31" t="s">
        <v>6984</v>
      </c>
      <c r="DNX31" t="s">
        <v>6984</v>
      </c>
      <c r="DNY31" t="s">
        <v>6984</v>
      </c>
      <c r="DNZ31" t="s">
        <v>6984</v>
      </c>
      <c r="DOA31" t="s">
        <v>6984</v>
      </c>
      <c r="DOB31" t="s">
        <v>6984</v>
      </c>
      <c r="DOC31" t="s">
        <v>6984</v>
      </c>
      <c r="DOD31" t="s">
        <v>6984</v>
      </c>
      <c r="DOE31" t="s">
        <v>6984</v>
      </c>
      <c r="DOF31" t="s">
        <v>6984</v>
      </c>
      <c r="DOG31" t="s">
        <v>6984</v>
      </c>
      <c r="DOH31" t="s">
        <v>6984</v>
      </c>
      <c r="DOI31" t="s">
        <v>6984</v>
      </c>
      <c r="DOJ31" t="s">
        <v>6984</v>
      </c>
      <c r="DOK31" t="s">
        <v>6984</v>
      </c>
      <c r="DOL31" t="s">
        <v>6984</v>
      </c>
      <c r="DOM31" t="s">
        <v>6984</v>
      </c>
      <c r="DON31" t="s">
        <v>6984</v>
      </c>
      <c r="DOO31" t="s">
        <v>6984</v>
      </c>
      <c r="DOP31" t="s">
        <v>6984</v>
      </c>
      <c r="DOQ31" t="s">
        <v>6984</v>
      </c>
      <c r="DOR31" t="s">
        <v>6984</v>
      </c>
      <c r="DOS31" t="s">
        <v>6984</v>
      </c>
      <c r="DOT31" t="s">
        <v>6984</v>
      </c>
      <c r="DOU31" t="s">
        <v>6984</v>
      </c>
      <c r="DOV31" t="s">
        <v>6984</v>
      </c>
      <c r="DOW31" t="s">
        <v>6984</v>
      </c>
      <c r="DOX31" t="s">
        <v>6984</v>
      </c>
      <c r="DOY31" t="s">
        <v>6984</v>
      </c>
      <c r="DOZ31" t="s">
        <v>6984</v>
      </c>
      <c r="DPA31" t="s">
        <v>6984</v>
      </c>
      <c r="DPB31" t="s">
        <v>6984</v>
      </c>
      <c r="DPC31" t="s">
        <v>6984</v>
      </c>
      <c r="DPD31" t="s">
        <v>6984</v>
      </c>
      <c r="DPE31" t="s">
        <v>6984</v>
      </c>
      <c r="DPF31" t="s">
        <v>6984</v>
      </c>
      <c r="DPG31" t="s">
        <v>6984</v>
      </c>
      <c r="DPH31" t="s">
        <v>6984</v>
      </c>
      <c r="DPI31" t="s">
        <v>6984</v>
      </c>
      <c r="DPJ31" t="s">
        <v>6984</v>
      </c>
      <c r="DPK31" t="s">
        <v>6984</v>
      </c>
      <c r="DPL31" t="s">
        <v>6984</v>
      </c>
      <c r="DPM31" t="s">
        <v>6984</v>
      </c>
      <c r="DPN31" t="s">
        <v>6984</v>
      </c>
      <c r="DPO31" t="s">
        <v>6984</v>
      </c>
      <c r="DPP31" t="s">
        <v>6984</v>
      </c>
      <c r="DPQ31" t="s">
        <v>6984</v>
      </c>
      <c r="DPR31" t="s">
        <v>6984</v>
      </c>
      <c r="DPS31" t="s">
        <v>6984</v>
      </c>
      <c r="DPT31" t="s">
        <v>6984</v>
      </c>
      <c r="DPU31" t="s">
        <v>6984</v>
      </c>
      <c r="DPV31" t="s">
        <v>6984</v>
      </c>
      <c r="DPW31" t="s">
        <v>6984</v>
      </c>
      <c r="DPX31" t="s">
        <v>6984</v>
      </c>
      <c r="DPY31" t="s">
        <v>6984</v>
      </c>
      <c r="DPZ31" t="s">
        <v>6984</v>
      </c>
      <c r="DQA31" t="s">
        <v>6984</v>
      </c>
      <c r="DQB31" t="s">
        <v>6984</v>
      </c>
      <c r="DQC31" t="s">
        <v>6984</v>
      </c>
      <c r="DQD31" t="s">
        <v>6984</v>
      </c>
      <c r="DQE31" t="s">
        <v>6984</v>
      </c>
      <c r="DQF31" t="s">
        <v>6984</v>
      </c>
      <c r="DQG31" t="s">
        <v>6984</v>
      </c>
      <c r="DQH31" t="s">
        <v>6984</v>
      </c>
      <c r="DQI31" t="s">
        <v>6984</v>
      </c>
      <c r="DQJ31" t="s">
        <v>6984</v>
      </c>
      <c r="DQK31" t="s">
        <v>6984</v>
      </c>
      <c r="DQL31" t="s">
        <v>6984</v>
      </c>
      <c r="DQM31" t="s">
        <v>6984</v>
      </c>
      <c r="DQN31" t="s">
        <v>6984</v>
      </c>
      <c r="DQO31" t="s">
        <v>6984</v>
      </c>
      <c r="DQP31" t="s">
        <v>6984</v>
      </c>
      <c r="DQQ31" t="s">
        <v>6984</v>
      </c>
      <c r="DQR31" t="s">
        <v>6984</v>
      </c>
      <c r="DQS31" t="s">
        <v>6984</v>
      </c>
      <c r="DQT31" t="s">
        <v>6984</v>
      </c>
      <c r="DQU31" t="s">
        <v>6984</v>
      </c>
      <c r="DQV31" t="s">
        <v>6984</v>
      </c>
      <c r="DQW31" t="s">
        <v>6984</v>
      </c>
      <c r="DQX31" t="s">
        <v>6984</v>
      </c>
      <c r="DQY31" t="s">
        <v>6984</v>
      </c>
      <c r="DQZ31" t="s">
        <v>6984</v>
      </c>
      <c r="DRA31" t="s">
        <v>6984</v>
      </c>
      <c r="DRB31" t="s">
        <v>6984</v>
      </c>
      <c r="DRC31" t="s">
        <v>6984</v>
      </c>
      <c r="DRD31" t="s">
        <v>6984</v>
      </c>
      <c r="DRE31" t="s">
        <v>6984</v>
      </c>
      <c r="DRF31" t="s">
        <v>6984</v>
      </c>
      <c r="DRG31" t="s">
        <v>6984</v>
      </c>
      <c r="DRH31" t="s">
        <v>6984</v>
      </c>
      <c r="DRI31" t="s">
        <v>6984</v>
      </c>
      <c r="DRJ31" t="s">
        <v>6984</v>
      </c>
      <c r="DRK31" t="s">
        <v>6984</v>
      </c>
      <c r="DRL31" t="s">
        <v>6984</v>
      </c>
      <c r="DRM31" t="s">
        <v>6984</v>
      </c>
      <c r="DRN31" t="s">
        <v>6984</v>
      </c>
      <c r="DRO31" t="s">
        <v>6984</v>
      </c>
      <c r="DRP31" t="s">
        <v>6984</v>
      </c>
      <c r="DRQ31" t="s">
        <v>6984</v>
      </c>
      <c r="DRR31" t="s">
        <v>6984</v>
      </c>
      <c r="DRS31" t="s">
        <v>6984</v>
      </c>
      <c r="DRT31" t="s">
        <v>6984</v>
      </c>
      <c r="DRU31" t="s">
        <v>6984</v>
      </c>
      <c r="DRV31" t="s">
        <v>6984</v>
      </c>
      <c r="DRW31" t="s">
        <v>6984</v>
      </c>
      <c r="DRX31" t="s">
        <v>6984</v>
      </c>
      <c r="DRY31" t="s">
        <v>6984</v>
      </c>
      <c r="DRZ31" t="s">
        <v>6984</v>
      </c>
      <c r="DSA31" t="s">
        <v>6984</v>
      </c>
      <c r="DSB31" t="s">
        <v>6984</v>
      </c>
      <c r="DSC31" t="s">
        <v>6984</v>
      </c>
      <c r="DSD31" t="s">
        <v>6984</v>
      </c>
      <c r="DSE31" t="s">
        <v>6984</v>
      </c>
      <c r="DSF31" t="s">
        <v>6984</v>
      </c>
      <c r="DSG31" t="s">
        <v>6984</v>
      </c>
      <c r="DSH31" t="s">
        <v>6984</v>
      </c>
      <c r="DSI31" t="s">
        <v>6984</v>
      </c>
      <c r="DSJ31" t="s">
        <v>6984</v>
      </c>
      <c r="DSK31" t="s">
        <v>6984</v>
      </c>
      <c r="DSL31" t="s">
        <v>6984</v>
      </c>
      <c r="DSM31" t="s">
        <v>6984</v>
      </c>
      <c r="DSN31" t="s">
        <v>6984</v>
      </c>
      <c r="DSO31" t="s">
        <v>6984</v>
      </c>
      <c r="DSP31" t="s">
        <v>6984</v>
      </c>
      <c r="DSQ31" t="s">
        <v>6984</v>
      </c>
      <c r="DSR31" t="s">
        <v>6984</v>
      </c>
      <c r="DSS31" t="s">
        <v>6984</v>
      </c>
      <c r="DST31" t="s">
        <v>6984</v>
      </c>
      <c r="DSU31" t="s">
        <v>6984</v>
      </c>
      <c r="DSV31" t="s">
        <v>6984</v>
      </c>
      <c r="DSW31" t="s">
        <v>6984</v>
      </c>
      <c r="DSX31" t="s">
        <v>6984</v>
      </c>
      <c r="DSY31" t="s">
        <v>6984</v>
      </c>
      <c r="DSZ31" t="s">
        <v>6984</v>
      </c>
      <c r="DTA31" t="s">
        <v>6984</v>
      </c>
      <c r="DTB31" t="s">
        <v>6984</v>
      </c>
      <c r="DTC31" t="s">
        <v>6984</v>
      </c>
      <c r="DTD31" t="s">
        <v>6984</v>
      </c>
      <c r="DTE31" t="s">
        <v>6984</v>
      </c>
      <c r="DTF31" t="s">
        <v>6984</v>
      </c>
      <c r="DTG31" t="s">
        <v>6984</v>
      </c>
      <c r="DTH31" t="s">
        <v>6984</v>
      </c>
      <c r="DTI31" t="s">
        <v>6984</v>
      </c>
      <c r="DTJ31" t="s">
        <v>6984</v>
      </c>
      <c r="DTK31" t="s">
        <v>6984</v>
      </c>
      <c r="DTL31" t="s">
        <v>6984</v>
      </c>
      <c r="DTM31" t="s">
        <v>6984</v>
      </c>
      <c r="DTN31" t="s">
        <v>6984</v>
      </c>
      <c r="DTO31" t="s">
        <v>6984</v>
      </c>
      <c r="DTP31" t="s">
        <v>6984</v>
      </c>
      <c r="DTQ31" t="s">
        <v>6984</v>
      </c>
      <c r="DTR31" t="s">
        <v>6984</v>
      </c>
      <c r="DTS31" t="s">
        <v>6984</v>
      </c>
      <c r="DTT31" t="s">
        <v>6984</v>
      </c>
      <c r="DTU31" t="s">
        <v>6984</v>
      </c>
      <c r="DTV31" t="s">
        <v>6984</v>
      </c>
      <c r="DTW31" t="s">
        <v>6984</v>
      </c>
      <c r="DTX31" t="s">
        <v>6984</v>
      </c>
      <c r="DTY31" t="s">
        <v>6984</v>
      </c>
      <c r="DTZ31" t="s">
        <v>6984</v>
      </c>
      <c r="DUA31" t="s">
        <v>6984</v>
      </c>
      <c r="DUB31" t="s">
        <v>6984</v>
      </c>
      <c r="DUC31" t="s">
        <v>6984</v>
      </c>
      <c r="DUD31" t="s">
        <v>6984</v>
      </c>
      <c r="DUE31" t="s">
        <v>6984</v>
      </c>
      <c r="DUF31" t="s">
        <v>6984</v>
      </c>
      <c r="DUG31" t="s">
        <v>6984</v>
      </c>
      <c r="DUH31" t="s">
        <v>6984</v>
      </c>
      <c r="DUI31" t="s">
        <v>6984</v>
      </c>
      <c r="DUJ31" t="s">
        <v>6984</v>
      </c>
      <c r="DUK31" t="s">
        <v>6984</v>
      </c>
      <c r="DUL31" t="s">
        <v>6984</v>
      </c>
      <c r="DUM31" t="s">
        <v>6984</v>
      </c>
      <c r="DUN31" t="s">
        <v>6984</v>
      </c>
      <c r="DUO31" t="s">
        <v>6984</v>
      </c>
      <c r="DUP31" t="s">
        <v>6984</v>
      </c>
      <c r="DUQ31" t="s">
        <v>6984</v>
      </c>
      <c r="DUR31" t="s">
        <v>6984</v>
      </c>
      <c r="DUS31" t="s">
        <v>6984</v>
      </c>
      <c r="DUT31" t="s">
        <v>6984</v>
      </c>
      <c r="DUU31" t="s">
        <v>6984</v>
      </c>
      <c r="DUV31" t="s">
        <v>6984</v>
      </c>
      <c r="DUW31" t="s">
        <v>6984</v>
      </c>
      <c r="DUX31" t="s">
        <v>6984</v>
      </c>
      <c r="DUY31" t="s">
        <v>6984</v>
      </c>
      <c r="DUZ31" t="s">
        <v>6984</v>
      </c>
      <c r="DVA31" t="s">
        <v>6984</v>
      </c>
      <c r="DVB31" t="s">
        <v>6984</v>
      </c>
      <c r="DVC31" t="s">
        <v>6984</v>
      </c>
      <c r="DVD31" t="s">
        <v>6984</v>
      </c>
      <c r="DVE31" t="s">
        <v>6984</v>
      </c>
      <c r="DVF31" t="s">
        <v>6984</v>
      </c>
      <c r="DVG31" t="s">
        <v>6984</v>
      </c>
      <c r="DVH31" t="s">
        <v>6984</v>
      </c>
      <c r="DVI31" t="s">
        <v>6984</v>
      </c>
      <c r="DVJ31" t="s">
        <v>6984</v>
      </c>
      <c r="DVK31" t="s">
        <v>6984</v>
      </c>
      <c r="DVL31" t="s">
        <v>6984</v>
      </c>
      <c r="DVM31" t="s">
        <v>6984</v>
      </c>
      <c r="DVN31" t="s">
        <v>6984</v>
      </c>
      <c r="DVO31" t="s">
        <v>6984</v>
      </c>
      <c r="DVP31" t="s">
        <v>6984</v>
      </c>
      <c r="DVQ31" t="s">
        <v>6984</v>
      </c>
      <c r="DVR31" t="s">
        <v>6984</v>
      </c>
      <c r="DVS31" t="s">
        <v>6984</v>
      </c>
      <c r="DVT31" t="s">
        <v>6984</v>
      </c>
      <c r="DVU31" t="s">
        <v>6984</v>
      </c>
      <c r="DVV31" t="s">
        <v>6984</v>
      </c>
      <c r="DVW31" t="s">
        <v>6984</v>
      </c>
      <c r="DVX31" t="s">
        <v>6984</v>
      </c>
      <c r="DVY31" t="s">
        <v>6984</v>
      </c>
      <c r="DVZ31" t="s">
        <v>6984</v>
      </c>
      <c r="DWA31" t="s">
        <v>6984</v>
      </c>
      <c r="DWB31" t="s">
        <v>6984</v>
      </c>
      <c r="DWC31" t="s">
        <v>6984</v>
      </c>
      <c r="DWD31" t="s">
        <v>6984</v>
      </c>
      <c r="DWE31" t="s">
        <v>6984</v>
      </c>
      <c r="DWF31" t="s">
        <v>6984</v>
      </c>
      <c r="DWG31" t="s">
        <v>6984</v>
      </c>
      <c r="DWH31" t="s">
        <v>6984</v>
      </c>
      <c r="DWI31" t="s">
        <v>6984</v>
      </c>
      <c r="DWJ31" t="s">
        <v>6984</v>
      </c>
      <c r="DWK31" t="s">
        <v>6984</v>
      </c>
      <c r="DWL31" t="s">
        <v>6984</v>
      </c>
      <c r="DWM31" t="s">
        <v>6984</v>
      </c>
      <c r="DWN31" t="s">
        <v>6984</v>
      </c>
      <c r="DWO31" t="s">
        <v>6984</v>
      </c>
      <c r="DWP31" t="s">
        <v>6984</v>
      </c>
      <c r="DWQ31" t="s">
        <v>6984</v>
      </c>
      <c r="DWR31" t="s">
        <v>6984</v>
      </c>
      <c r="DWS31" t="s">
        <v>6984</v>
      </c>
      <c r="DWT31" t="s">
        <v>6984</v>
      </c>
      <c r="DWU31" t="s">
        <v>6984</v>
      </c>
      <c r="DWV31" t="s">
        <v>6984</v>
      </c>
      <c r="DWW31" t="s">
        <v>6984</v>
      </c>
      <c r="DWX31" t="s">
        <v>6984</v>
      </c>
      <c r="DWY31" t="s">
        <v>6984</v>
      </c>
      <c r="DWZ31" t="s">
        <v>6984</v>
      </c>
      <c r="DXA31" t="s">
        <v>6984</v>
      </c>
      <c r="DXB31" t="s">
        <v>6984</v>
      </c>
      <c r="DXC31" t="s">
        <v>6984</v>
      </c>
      <c r="DXD31" t="s">
        <v>6984</v>
      </c>
      <c r="DXE31" t="s">
        <v>6984</v>
      </c>
      <c r="DXF31" t="s">
        <v>6984</v>
      </c>
      <c r="DXG31" t="s">
        <v>6984</v>
      </c>
      <c r="DXH31" t="s">
        <v>6984</v>
      </c>
      <c r="DXI31" t="s">
        <v>6984</v>
      </c>
      <c r="DXJ31" t="s">
        <v>6984</v>
      </c>
      <c r="DXK31" t="s">
        <v>6984</v>
      </c>
      <c r="DXL31" t="s">
        <v>6984</v>
      </c>
      <c r="DXM31" t="s">
        <v>6984</v>
      </c>
      <c r="DXN31" t="s">
        <v>6984</v>
      </c>
      <c r="DXO31" t="s">
        <v>6984</v>
      </c>
      <c r="DXP31" t="s">
        <v>6984</v>
      </c>
      <c r="DXQ31" t="s">
        <v>6984</v>
      </c>
      <c r="DXR31" t="s">
        <v>6984</v>
      </c>
      <c r="DXS31" t="s">
        <v>6984</v>
      </c>
      <c r="DXT31" t="s">
        <v>6984</v>
      </c>
      <c r="DXU31" t="s">
        <v>6984</v>
      </c>
      <c r="DXV31" t="s">
        <v>6984</v>
      </c>
      <c r="DXW31" t="s">
        <v>6984</v>
      </c>
      <c r="DXX31" t="s">
        <v>6984</v>
      </c>
      <c r="DXY31" t="s">
        <v>6984</v>
      </c>
      <c r="DXZ31" t="s">
        <v>6984</v>
      </c>
      <c r="DYA31" t="s">
        <v>6984</v>
      </c>
      <c r="DYB31" t="s">
        <v>6984</v>
      </c>
      <c r="DYC31" t="s">
        <v>6984</v>
      </c>
      <c r="DYD31" t="s">
        <v>6984</v>
      </c>
      <c r="DYE31" t="s">
        <v>6984</v>
      </c>
      <c r="DYF31" t="s">
        <v>6984</v>
      </c>
      <c r="DYG31" t="s">
        <v>6984</v>
      </c>
      <c r="DYH31" t="s">
        <v>6984</v>
      </c>
      <c r="DYI31" t="s">
        <v>6984</v>
      </c>
      <c r="DYJ31" t="s">
        <v>6984</v>
      </c>
      <c r="DYK31" t="s">
        <v>6984</v>
      </c>
      <c r="DYL31" t="s">
        <v>6984</v>
      </c>
      <c r="DYM31" t="s">
        <v>6984</v>
      </c>
      <c r="DYN31" t="s">
        <v>6984</v>
      </c>
      <c r="DYO31" t="s">
        <v>6984</v>
      </c>
      <c r="DYP31" t="s">
        <v>6984</v>
      </c>
      <c r="DYQ31" t="s">
        <v>6984</v>
      </c>
      <c r="DYR31" t="s">
        <v>6984</v>
      </c>
      <c r="DYS31" t="s">
        <v>6984</v>
      </c>
      <c r="DYT31" t="s">
        <v>6984</v>
      </c>
      <c r="DYU31" t="s">
        <v>6984</v>
      </c>
      <c r="DYV31" t="s">
        <v>6984</v>
      </c>
      <c r="DYW31" t="s">
        <v>6984</v>
      </c>
      <c r="DYX31" t="s">
        <v>6984</v>
      </c>
      <c r="DYY31" t="s">
        <v>6984</v>
      </c>
      <c r="DYZ31" t="s">
        <v>6984</v>
      </c>
      <c r="DZA31" t="s">
        <v>6984</v>
      </c>
      <c r="DZB31" t="s">
        <v>6984</v>
      </c>
      <c r="DZC31" t="s">
        <v>6984</v>
      </c>
      <c r="DZD31" t="s">
        <v>6984</v>
      </c>
      <c r="DZE31" t="s">
        <v>6984</v>
      </c>
      <c r="DZF31" t="s">
        <v>6984</v>
      </c>
      <c r="DZG31" t="s">
        <v>6984</v>
      </c>
      <c r="DZH31" t="s">
        <v>6984</v>
      </c>
      <c r="DZI31" t="s">
        <v>6984</v>
      </c>
      <c r="DZJ31" t="s">
        <v>6984</v>
      </c>
      <c r="DZK31" t="s">
        <v>6984</v>
      </c>
      <c r="DZL31" t="s">
        <v>6984</v>
      </c>
      <c r="DZM31" t="s">
        <v>6984</v>
      </c>
      <c r="DZN31" t="s">
        <v>6984</v>
      </c>
      <c r="DZO31" t="s">
        <v>6984</v>
      </c>
      <c r="DZP31" t="s">
        <v>6984</v>
      </c>
      <c r="DZQ31" t="s">
        <v>6984</v>
      </c>
      <c r="DZR31" t="s">
        <v>6984</v>
      </c>
      <c r="DZS31" t="s">
        <v>6984</v>
      </c>
      <c r="DZT31" t="s">
        <v>6984</v>
      </c>
      <c r="DZU31" t="s">
        <v>6984</v>
      </c>
      <c r="DZV31" t="s">
        <v>6984</v>
      </c>
      <c r="DZW31" t="s">
        <v>6984</v>
      </c>
      <c r="DZX31" t="s">
        <v>6984</v>
      </c>
      <c r="DZY31" t="s">
        <v>6984</v>
      </c>
      <c r="DZZ31" t="s">
        <v>6984</v>
      </c>
      <c r="EAA31" t="s">
        <v>6984</v>
      </c>
      <c r="EAB31" t="s">
        <v>6984</v>
      </c>
      <c r="EAC31" t="s">
        <v>6984</v>
      </c>
      <c r="EAD31" t="s">
        <v>6984</v>
      </c>
      <c r="EAE31" t="s">
        <v>6984</v>
      </c>
      <c r="EAF31" t="s">
        <v>6984</v>
      </c>
      <c r="EAG31" t="s">
        <v>6984</v>
      </c>
      <c r="EAH31" t="s">
        <v>6984</v>
      </c>
      <c r="EAI31" t="s">
        <v>6984</v>
      </c>
      <c r="EAJ31" t="s">
        <v>6984</v>
      </c>
      <c r="EAK31" t="s">
        <v>6984</v>
      </c>
      <c r="EAL31" t="s">
        <v>6984</v>
      </c>
      <c r="EAM31" t="s">
        <v>6984</v>
      </c>
      <c r="EAN31" t="s">
        <v>6984</v>
      </c>
      <c r="EAO31" t="s">
        <v>6984</v>
      </c>
      <c r="EAP31" t="s">
        <v>6984</v>
      </c>
      <c r="EAQ31" t="s">
        <v>6984</v>
      </c>
      <c r="EAR31" t="s">
        <v>6984</v>
      </c>
      <c r="EAS31" t="s">
        <v>6984</v>
      </c>
      <c r="EAT31" t="s">
        <v>6984</v>
      </c>
      <c r="EAU31" t="s">
        <v>6984</v>
      </c>
      <c r="EAV31" t="s">
        <v>6984</v>
      </c>
      <c r="EAW31" t="s">
        <v>6984</v>
      </c>
      <c r="EAX31" t="s">
        <v>6984</v>
      </c>
      <c r="EAY31" t="s">
        <v>6984</v>
      </c>
      <c r="EAZ31" t="s">
        <v>6984</v>
      </c>
      <c r="EBA31" t="s">
        <v>6984</v>
      </c>
      <c r="EBB31" t="s">
        <v>6984</v>
      </c>
      <c r="EBC31" t="s">
        <v>6984</v>
      </c>
      <c r="EBD31" t="s">
        <v>6984</v>
      </c>
      <c r="EBE31" t="s">
        <v>6984</v>
      </c>
      <c r="EBF31" t="s">
        <v>6984</v>
      </c>
      <c r="EBG31" t="s">
        <v>6984</v>
      </c>
      <c r="EBH31" t="s">
        <v>6984</v>
      </c>
      <c r="EBI31" t="s">
        <v>6984</v>
      </c>
      <c r="EBJ31" t="s">
        <v>6984</v>
      </c>
      <c r="EBK31" t="s">
        <v>6984</v>
      </c>
      <c r="EBL31" t="s">
        <v>6984</v>
      </c>
      <c r="EBM31" t="s">
        <v>6984</v>
      </c>
      <c r="EBN31" t="s">
        <v>6984</v>
      </c>
      <c r="EBO31" t="s">
        <v>6984</v>
      </c>
      <c r="EBP31" t="s">
        <v>6984</v>
      </c>
      <c r="EBQ31" t="s">
        <v>6984</v>
      </c>
      <c r="EBR31" t="s">
        <v>6984</v>
      </c>
      <c r="EBS31" t="s">
        <v>6984</v>
      </c>
      <c r="EBT31" t="s">
        <v>6984</v>
      </c>
      <c r="EBU31" t="s">
        <v>6984</v>
      </c>
      <c r="EBV31" t="s">
        <v>6984</v>
      </c>
      <c r="EBW31" t="s">
        <v>6984</v>
      </c>
      <c r="EBX31" t="s">
        <v>6984</v>
      </c>
      <c r="EBY31" t="s">
        <v>6984</v>
      </c>
      <c r="EBZ31" t="s">
        <v>6984</v>
      </c>
      <c r="ECA31" t="s">
        <v>6984</v>
      </c>
      <c r="ECB31" t="s">
        <v>6984</v>
      </c>
      <c r="ECC31" t="s">
        <v>6984</v>
      </c>
      <c r="ECD31" t="s">
        <v>6984</v>
      </c>
      <c r="ECE31" t="s">
        <v>6984</v>
      </c>
      <c r="ECF31" t="s">
        <v>6984</v>
      </c>
      <c r="ECG31" t="s">
        <v>6984</v>
      </c>
      <c r="ECH31" t="s">
        <v>6984</v>
      </c>
      <c r="ECI31" t="s">
        <v>6984</v>
      </c>
      <c r="ECJ31" t="s">
        <v>6984</v>
      </c>
      <c r="ECK31" t="s">
        <v>6984</v>
      </c>
      <c r="ECL31" t="s">
        <v>6984</v>
      </c>
      <c r="ECM31" t="s">
        <v>6984</v>
      </c>
      <c r="ECN31" t="s">
        <v>6984</v>
      </c>
      <c r="ECO31" t="s">
        <v>6984</v>
      </c>
      <c r="ECP31" t="s">
        <v>6984</v>
      </c>
      <c r="ECQ31" t="s">
        <v>6984</v>
      </c>
      <c r="ECR31" t="s">
        <v>6984</v>
      </c>
      <c r="ECS31" t="s">
        <v>6984</v>
      </c>
      <c r="ECT31" t="s">
        <v>6984</v>
      </c>
      <c r="ECU31" t="s">
        <v>6984</v>
      </c>
      <c r="ECV31" t="s">
        <v>6984</v>
      </c>
      <c r="ECW31" t="s">
        <v>6984</v>
      </c>
      <c r="ECX31" t="s">
        <v>6984</v>
      </c>
      <c r="ECY31" t="s">
        <v>6984</v>
      </c>
      <c r="ECZ31" t="s">
        <v>6984</v>
      </c>
      <c r="EDA31" t="s">
        <v>6984</v>
      </c>
      <c r="EDB31" t="s">
        <v>6984</v>
      </c>
      <c r="EDC31" t="s">
        <v>6984</v>
      </c>
      <c r="EDD31" t="s">
        <v>6984</v>
      </c>
      <c r="EDE31" t="s">
        <v>6984</v>
      </c>
      <c r="EDF31" t="s">
        <v>6984</v>
      </c>
      <c r="EDG31" t="s">
        <v>6984</v>
      </c>
      <c r="EDH31" t="s">
        <v>6984</v>
      </c>
      <c r="EDI31" t="s">
        <v>6984</v>
      </c>
      <c r="EDJ31" t="s">
        <v>6984</v>
      </c>
      <c r="EDK31" t="s">
        <v>6984</v>
      </c>
      <c r="EDL31" t="s">
        <v>6984</v>
      </c>
      <c r="EDM31" t="s">
        <v>6984</v>
      </c>
      <c r="EDN31" t="s">
        <v>6984</v>
      </c>
      <c r="EDO31" t="s">
        <v>6984</v>
      </c>
      <c r="EDP31" t="s">
        <v>6984</v>
      </c>
      <c r="EDQ31" t="s">
        <v>6984</v>
      </c>
      <c r="EDR31" t="s">
        <v>6984</v>
      </c>
      <c r="EDS31" t="s">
        <v>6984</v>
      </c>
      <c r="EDT31" t="s">
        <v>6984</v>
      </c>
      <c r="EDU31" t="s">
        <v>6984</v>
      </c>
      <c r="EDV31" t="s">
        <v>6984</v>
      </c>
      <c r="EDW31" t="s">
        <v>6984</v>
      </c>
      <c r="EDX31" t="s">
        <v>6984</v>
      </c>
      <c r="EDY31" t="s">
        <v>6984</v>
      </c>
      <c r="EDZ31" t="s">
        <v>6984</v>
      </c>
      <c r="EEA31" t="s">
        <v>6984</v>
      </c>
      <c r="EEB31" t="s">
        <v>6984</v>
      </c>
      <c r="EEC31" t="s">
        <v>6984</v>
      </c>
      <c r="EED31" t="s">
        <v>6984</v>
      </c>
      <c r="EEE31" t="s">
        <v>6984</v>
      </c>
      <c r="EEF31" t="s">
        <v>6984</v>
      </c>
      <c r="EEG31" t="s">
        <v>6984</v>
      </c>
      <c r="EEH31" t="s">
        <v>6984</v>
      </c>
      <c r="EEI31" t="s">
        <v>6984</v>
      </c>
      <c r="EEJ31" t="s">
        <v>6984</v>
      </c>
      <c r="EEK31" t="s">
        <v>6984</v>
      </c>
      <c r="EEL31" t="s">
        <v>6984</v>
      </c>
      <c r="EEM31" t="s">
        <v>6984</v>
      </c>
      <c r="EEN31" t="s">
        <v>6984</v>
      </c>
      <c r="EEO31" t="s">
        <v>6984</v>
      </c>
      <c r="EEP31" t="s">
        <v>6984</v>
      </c>
      <c r="EEQ31" t="s">
        <v>6984</v>
      </c>
      <c r="EER31" t="s">
        <v>6984</v>
      </c>
      <c r="EES31" t="s">
        <v>6984</v>
      </c>
      <c r="EET31" t="s">
        <v>6984</v>
      </c>
      <c r="EEU31" t="s">
        <v>6984</v>
      </c>
      <c r="EEV31" t="s">
        <v>6984</v>
      </c>
      <c r="EEW31" t="s">
        <v>6984</v>
      </c>
      <c r="EEX31" t="s">
        <v>6984</v>
      </c>
      <c r="EEY31" t="s">
        <v>6984</v>
      </c>
      <c r="EEZ31" t="s">
        <v>6984</v>
      </c>
      <c r="EFA31" t="s">
        <v>6984</v>
      </c>
      <c r="EFB31" t="s">
        <v>6984</v>
      </c>
      <c r="EFC31" t="s">
        <v>6984</v>
      </c>
      <c r="EFD31" t="s">
        <v>6984</v>
      </c>
      <c r="EFE31" t="s">
        <v>6984</v>
      </c>
      <c r="EFF31" t="s">
        <v>6984</v>
      </c>
      <c r="EFG31" t="s">
        <v>6984</v>
      </c>
      <c r="EFH31" t="s">
        <v>6984</v>
      </c>
      <c r="EFI31" t="s">
        <v>6984</v>
      </c>
      <c r="EFJ31" t="s">
        <v>6984</v>
      </c>
      <c r="EFK31" t="s">
        <v>6984</v>
      </c>
      <c r="EFL31" t="s">
        <v>6984</v>
      </c>
      <c r="EFM31" t="s">
        <v>6984</v>
      </c>
      <c r="EFN31" t="s">
        <v>6984</v>
      </c>
      <c r="EFO31" t="s">
        <v>6984</v>
      </c>
      <c r="EFP31" t="s">
        <v>6984</v>
      </c>
      <c r="EFQ31" t="s">
        <v>6984</v>
      </c>
      <c r="EFR31" t="s">
        <v>6984</v>
      </c>
      <c r="EFS31" t="s">
        <v>6984</v>
      </c>
      <c r="EFT31" t="s">
        <v>6984</v>
      </c>
      <c r="EFU31" t="s">
        <v>6984</v>
      </c>
      <c r="EFV31" t="s">
        <v>6984</v>
      </c>
      <c r="EFW31" t="s">
        <v>6984</v>
      </c>
      <c r="EFX31" t="s">
        <v>6984</v>
      </c>
      <c r="EFY31" t="s">
        <v>6984</v>
      </c>
      <c r="EFZ31" t="s">
        <v>6984</v>
      </c>
      <c r="EGA31" t="s">
        <v>6984</v>
      </c>
      <c r="EGB31" t="s">
        <v>6984</v>
      </c>
      <c r="EGC31" t="s">
        <v>6984</v>
      </c>
      <c r="EGD31" t="s">
        <v>6984</v>
      </c>
      <c r="EGE31" t="s">
        <v>6984</v>
      </c>
      <c r="EGF31" t="s">
        <v>6984</v>
      </c>
      <c r="EGG31" t="s">
        <v>6984</v>
      </c>
      <c r="EGH31" t="s">
        <v>6984</v>
      </c>
      <c r="EGI31" t="s">
        <v>6984</v>
      </c>
      <c r="EGJ31" t="s">
        <v>6984</v>
      </c>
      <c r="EGK31" t="s">
        <v>6984</v>
      </c>
      <c r="EGL31" t="s">
        <v>6984</v>
      </c>
      <c r="EGM31" t="s">
        <v>6984</v>
      </c>
      <c r="EGN31" t="s">
        <v>6984</v>
      </c>
      <c r="EGO31" t="s">
        <v>6984</v>
      </c>
      <c r="EGP31" t="s">
        <v>6984</v>
      </c>
      <c r="EGQ31" t="s">
        <v>6984</v>
      </c>
      <c r="EGR31" t="s">
        <v>6984</v>
      </c>
      <c r="EGS31" t="s">
        <v>6984</v>
      </c>
      <c r="EGT31" t="s">
        <v>6984</v>
      </c>
      <c r="EGU31" t="s">
        <v>6984</v>
      </c>
      <c r="EGV31" t="s">
        <v>6984</v>
      </c>
      <c r="EGW31" t="s">
        <v>6984</v>
      </c>
      <c r="EGX31" t="s">
        <v>6984</v>
      </c>
      <c r="EGY31" t="s">
        <v>6984</v>
      </c>
      <c r="EGZ31" t="s">
        <v>6984</v>
      </c>
      <c r="EHA31" t="s">
        <v>6984</v>
      </c>
      <c r="EHB31" t="s">
        <v>6984</v>
      </c>
      <c r="EHC31" t="s">
        <v>6984</v>
      </c>
      <c r="EHD31" t="s">
        <v>6984</v>
      </c>
      <c r="EHE31" t="s">
        <v>6984</v>
      </c>
      <c r="EHF31" t="s">
        <v>6984</v>
      </c>
      <c r="EHG31" t="s">
        <v>6984</v>
      </c>
      <c r="EHH31" t="s">
        <v>6984</v>
      </c>
      <c r="EHI31" t="s">
        <v>6984</v>
      </c>
      <c r="EHJ31" t="s">
        <v>6984</v>
      </c>
      <c r="EHK31" t="s">
        <v>6984</v>
      </c>
      <c r="EHL31" t="s">
        <v>6984</v>
      </c>
      <c r="EHM31" t="s">
        <v>6984</v>
      </c>
      <c r="EHN31" t="s">
        <v>6984</v>
      </c>
      <c r="EHO31" t="s">
        <v>6984</v>
      </c>
      <c r="EHP31" t="s">
        <v>6984</v>
      </c>
      <c r="EHQ31" t="s">
        <v>6984</v>
      </c>
      <c r="EHR31" t="s">
        <v>6984</v>
      </c>
      <c r="EHS31" t="s">
        <v>6984</v>
      </c>
      <c r="EHT31" t="s">
        <v>6984</v>
      </c>
      <c r="EHU31" t="s">
        <v>6984</v>
      </c>
      <c r="EHV31" t="s">
        <v>6984</v>
      </c>
      <c r="EHW31" t="s">
        <v>6984</v>
      </c>
      <c r="EHX31" t="s">
        <v>6984</v>
      </c>
      <c r="EHY31" t="s">
        <v>6984</v>
      </c>
      <c r="EHZ31" t="s">
        <v>6984</v>
      </c>
      <c r="EIA31" t="s">
        <v>6984</v>
      </c>
      <c r="EIB31" t="s">
        <v>6984</v>
      </c>
      <c r="EIC31" t="s">
        <v>6984</v>
      </c>
      <c r="EID31" t="s">
        <v>6984</v>
      </c>
      <c r="EIE31" t="s">
        <v>6984</v>
      </c>
      <c r="EIF31" t="s">
        <v>6984</v>
      </c>
      <c r="EIG31" t="s">
        <v>6984</v>
      </c>
      <c r="EIH31" t="s">
        <v>6984</v>
      </c>
      <c r="EII31" t="s">
        <v>6984</v>
      </c>
      <c r="EIJ31" t="s">
        <v>6984</v>
      </c>
      <c r="EIK31" t="s">
        <v>6984</v>
      </c>
      <c r="EIL31" t="s">
        <v>6984</v>
      </c>
      <c r="EIM31" t="s">
        <v>6984</v>
      </c>
      <c r="EIN31" t="s">
        <v>6984</v>
      </c>
      <c r="EIO31" t="s">
        <v>6984</v>
      </c>
      <c r="EIP31" t="s">
        <v>6984</v>
      </c>
      <c r="EIQ31" t="s">
        <v>6984</v>
      </c>
      <c r="EIR31" t="s">
        <v>6984</v>
      </c>
      <c r="EIS31" t="s">
        <v>6984</v>
      </c>
      <c r="EIT31" t="s">
        <v>6984</v>
      </c>
      <c r="EIU31" t="s">
        <v>6984</v>
      </c>
      <c r="EIV31" t="s">
        <v>6984</v>
      </c>
      <c r="EIW31" t="s">
        <v>6984</v>
      </c>
      <c r="EIX31" t="s">
        <v>6984</v>
      </c>
      <c r="EIY31" t="s">
        <v>6984</v>
      </c>
      <c r="EIZ31" t="s">
        <v>6984</v>
      </c>
      <c r="EJA31" t="s">
        <v>6984</v>
      </c>
      <c r="EJB31" t="s">
        <v>6984</v>
      </c>
      <c r="EJC31" t="s">
        <v>6984</v>
      </c>
      <c r="EJD31" t="s">
        <v>6984</v>
      </c>
      <c r="EJE31" t="s">
        <v>6984</v>
      </c>
      <c r="EJF31" t="s">
        <v>6984</v>
      </c>
      <c r="EJG31" t="s">
        <v>6984</v>
      </c>
      <c r="EJH31" t="s">
        <v>6984</v>
      </c>
      <c r="EJI31" t="s">
        <v>6984</v>
      </c>
      <c r="EJJ31" t="s">
        <v>6984</v>
      </c>
      <c r="EJK31" t="s">
        <v>6984</v>
      </c>
      <c r="EJL31" t="s">
        <v>6984</v>
      </c>
      <c r="EJM31" t="s">
        <v>6984</v>
      </c>
      <c r="EJN31" t="s">
        <v>6984</v>
      </c>
      <c r="EJO31" t="s">
        <v>6984</v>
      </c>
      <c r="EJP31" t="s">
        <v>6984</v>
      </c>
      <c r="EJQ31" t="s">
        <v>6984</v>
      </c>
      <c r="EJR31" t="s">
        <v>6984</v>
      </c>
      <c r="EJS31" t="s">
        <v>6984</v>
      </c>
      <c r="EJT31" t="s">
        <v>6984</v>
      </c>
      <c r="EJU31" t="s">
        <v>6984</v>
      </c>
      <c r="EJV31" t="s">
        <v>6984</v>
      </c>
      <c r="EJW31" t="s">
        <v>6984</v>
      </c>
      <c r="EJX31" t="s">
        <v>6984</v>
      </c>
      <c r="EJY31" t="s">
        <v>6984</v>
      </c>
      <c r="EJZ31" t="s">
        <v>6984</v>
      </c>
      <c r="EKA31" t="s">
        <v>6984</v>
      </c>
      <c r="EKB31" t="s">
        <v>6984</v>
      </c>
      <c r="EKC31" t="s">
        <v>6984</v>
      </c>
      <c r="EKD31" t="s">
        <v>6984</v>
      </c>
      <c r="EKE31" t="s">
        <v>6984</v>
      </c>
      <c r="EKF31" t="s">
        <v>6984</v>
      </c>
      <c r="EKG31" t="s">
        <v>6984</v>
      </c>
      <c r="EKH31" t="s">
        <v>6984</v>
      </c>
      <c r="EKI31" t="s">
        <v>6984</v>
      </c>
      <c r="EKJ31" t="s">
        <v>6984</v>
      </c>
      <c r="EKK31" t="s">
        <v>6984</v>
      </c>
      <c r="EKL31" t="s">
        <v>6984</v>
      </c>
      <c r="EKM31" t="s">
        <v>6984</v>
      </c>
      <c r="EKN31" t="s">
        <v>6984</v>
      </c>
      <c r="EKO31" t="s">
        <v>6984</v>
      </c>
      <c r="EKP31" t="s">
        <v>6984</v>
      </c>
      <c r="EKQ31" t="s">
        <v>6984</v>
      </c>
      <c r="EKR31" t="s">
        <v>6984</v>
      </c>
      <c r="EKS31" t="s">
        <v>6984</v>
      </c>
      <c r="EKT31" t="s">
        <v>6984</v>
      </c>
      <c r="EKU31" t="s">
        <v>6984</v>
      </c>
      <c r="EKV31" t="s">
        <v>6984</v>
      </c>
      <c r="EKW31" t="s">
        <v>6984</v>
      </c>
      <c r="EKX31" t="s">
        <v>6984</v>
      </c>
      <c r="EKY31" t="s">
        <v>6984</v>
      </c>
      <c r="EKZ31" t="s">
        <v>6984</v>
      </c>
      <c r="ELA31" t="s">
        <v>6984</v>
      </c>
      <c r="ELB31" t="s">
        <v>6984</v>
      </c>
      <c r="ELC31" t="s">
        <v>6984</v>
      </c>
      <c r="ELD31" t="s">
        <v>6984</v>
      </c>
      <c r="ELE31" t="s">
        <v>6984</v>
      </c>
      <c r="ELF31" t="s">
        <v>6984</v>
      </c>
      <c r="ELG31" t="s">
        <v>6984</v>
      </c>
      <c r="ELH31" t="s">
        <v>6984</v>
      </c>
      <c r="ELI31" t="s">
        <v>6984</v>
      </c>
      <c r="ELJ31" t="s">
        <v>6984</v>
      </c>
      <c r="ELK31" t="s">
        <v>6984</v>
      </c>
      <c r="ELL31" t="s">
        <v>6984</v>
      </c>
      <c r="ELM31" t="s">
        <v>6984</v>
      </c>
      <c r="ELN31" t="s">
        <v>6984</v>
      </c>
      <c r="ELO31" t="s">
        <v>6984</v>
      </c>
      <c r="ELP31" t="s">
        <v>6984</v>
      </c>
      <c r="ELQ31" t="s">
        <v>6984</v>
      </c>
      <c r="ELR31" t="s">
        <v>6984</v>
      </c>
      <c r="ELS31" t="s">
        <v>6984</v>
      </c>
      <c r="ELT31" t="s">
        <v>6984</v>
      </c>
      <c r="ELU31" t="s">
        <v>6984</v>
      </c>
      <c r="ELV31" t="s">
        <v>6984</v>
      </c>
      <c r="ELW31" t="s">
        <v>6984</v>
      </c>
      <c r="ELX31" t="s">
        <v>6984</v>
      </c>
      <c r="ELY31" t="s">
        <v>6984</v>
      </c>
      <c r="ELZ31" t="s">
        <v>6984</v>
      </c>
      <c r="EMA31" t="s">
        <v>6984</v>
      </c>
      <c r="EMB31" t="s">
        <v>6984</v>
      </c>
      <c r="EMC31" t="s">
        <v>6984</v>
      </c>
      <c r="EMD31" t="s">
        <v>6984</v>
      </c>
      <c r="EME31" t="s">
        <v>6984</v>
      </c>
      <c r="EMF31" t="s">
        <v>6984</v>
      </c>
      <c r="EMG31" t="s">
        <v>6984</v>
      </c>
      <c r="EMH31" t="s">
        <v>6984</v>
      </c>
      <c r="EMI31" t="s">
        <v>6984</v>
      </c>
      <c r="EMJ31" t="s">
        <v>6984</v>
      </c>
      <c r="EMK31" t="s">
        <v>6984</v>
      </c>
      <c r="EML31" t="s">
        <v>6984</v>
      </c>
      <c r="EMM31" t="s">
        <v>6984</v>
      </c>
      <c r="EMN31" t="s">
        <v>6984</v>
      </c>
      <c r="EMO31" t="s">
        <v>6984</v>
      </c>
      <c r="EMP31" t="s">
        <v>6984</v>
      </c>
      <c r="EMQ31" t="s">
        <v>6984</v>
      </c>
      <c r="EMR31" t="s">
        <v>6984</v>
      </c>
      <c r="EMS31" t="s">
        <v>6984</v>
      </c>
      <c r="EMT31" t="s">
        <v>6984</v>
      </c>
      <c r="EMU31" t="s">
        <v>6984</v>
      </c>
      <c r="EMV31" t="s">
        <v>6984</v>
      </c>
      <c r="EMW31" t="s">
        <v>6984</v>
      </c>
      <c r="EMX31" t="s">
        <v>6984</v>
      </c>
      <c r="EMY31" t="s">
        <v>6984</v>
      </c>
      <c r="EMZ31" t="s">
        <v>6984</v>
      </c>
      <c r="ENA31" t="s">
        <v>6984</v>
      </c>
      <c r="ENB31" t="s">
        <v>6984</v>
      </c>
      <c r="ENC31" t="s">
        <v>6984</v>
      </c>
      <c r="END31" t="s">
        <v>6984</v>
      </c>
      <c r="ENE31" t="s">
        <v>6984</v>
      </c>
      <c r="ENF31" t="s">
        <v>6984</v>
      </c>
      <c r="ENG31" t="s">
        <v>6984</v>
      </c>
      <c r="ENH31" t="s">
        <v>6984</v>
      </c>
      <c r="ENI31" t="s">
        <v>6984</v>
      </c>
      <c r="ENJ31" t="s">
        <v>6984</v>
      </c>
      <c r="ENK31" t="s">
        <v>6984</v>
      </c>
      <c r="ENL31" t="s">
        <v>6984</v>
      </c>
      <c r="ENM31" t="s">
        <v>6984</v>
      </c>
      <c r="ENN31" t="s">
        <v>6984</v>
      </c>
      <c r="ENO31" t="s">
        <v>6984</v>
      </c>
      <c r="ENP31" t="s">
        <v>6984</v>
      </c>
      <c r="ENQ31" t="s">
        <v>6984</v>
      </c>
      <c r="ENR31" t="s">
        <v>6984</v>
      </c>
      <c r="ENS31" t="s">
        <v>6984</v>
      </c>
      <c r="ENT31" t="s">
        <v>6984</v>
      </c>
      <c r="ENU31" t="s">
        <v>6984</v>
      </c>
      <c r="ENV31" t="s">
        <v>6984</v>
      </c>
      <c r="ENW31" t="s">
        <v>6984</v>
      </c>
      <c r="ENX31" t="s">
        <v>6984</v>
      </c>
      <c r="ENY31" t="s">
        <v>6984</v>
      </c>
      <c r="ENZ31" t="s">
        <v>6984</v>
      </c>
      <c r="EOA31" t="s">
        <v>6984</v>
      </c>
      <c r="EOB31" t="s">
        <v>6984</v>
      </c>
      <c r="EOC31" t="s">
        <v>6984</v>
      </c>
      <c r="EOD31" t="s">
        <v>6984</v>
      </c>
      <c r="EOE31" t="s">
        <v>6984</v>
      </c>
      <c r="EOF31" t="s">
        <v>6984</v>
      </c>
      <c r="EOG31" t="s">
        <v>6984</v>
      </c>
      <c r="EOH31" t="s">
        <v>6984</v>
      </c>
      <c r="EOI31" t="s">
        <v>6984</v>
      </c>
      <c r="EOJ31" t="s">
        <v>6984</v>
      </c>
      <c r="EOK31" t="s">
        <v>6984</v>
      </c>
      <c r="EOL31" t="s">
        <v>6984</v>
      </c>
      <c r="EOM31" t="s">
        <v>6984</v>
      </c>
      <c r="EON31" t="s">
        <v>6984</v>
      </c>
      <c r="EOO31" t="s">
        <v>6984</v>
      </c>
      <c r="EOP31" t="s">
        <v>6984</v>
      </c>
      <c r="EOQ31" t="s">
        <v>6984</v>
      </c>
      <c r="EOR31" t="s">
        <v>6984</v>
      </c>
      <c r="EOS31" t="s">
        <v>6984</v>
      </c>
      <c r="EOT31" t="s">
        <v>6984</v>
      </c>
      <c r="EOU31" t="s">
        <v>6984</v>
      </c>
      <c r="EOV31" t="s">
        <v>6984</v>
      </c>
      <c r="EOW31" t="s">
        <v>6984</v>
      </c>
      <c r="EOX31" t="s">
        <v>6984</v>
      </c>
      <c r="EOY31" t="s">
        <v>6984</v>
      </c>
      <c r="EOZ31" t="s">
        <v>6984</v>
      </c>
      <c r="EPA31" t="s">
        <v>6984</v>
      </c>
      <c r="EPB31" t="s">
        <v>6984</v>
      </c>
      <c r="EPC31" t="s">
        <v>6984</v>
      </c>
      <c r="EPD31" t="s">
        <v>6984</v>
      </c>
      <c r="EPE31" t="s">
        <v>6984</v>
      </c>
      <c r="EPF31" t="s">
        <v>6984</v>
      </c>
      <c r="EPG31" t="s">
        <v>6984</v>
      </c>
      <c r="EPH31" t="s">
        <v>6984</v>
      </c>
      <c r="EPI31" t="s">
        <v>6984</v>
      </c>
      <c r="EPJ31" t="s">
        <v>6984</v>
      </c>
      <c r="EPK31" t="s">
        <v>6984</v>
      </c>
      <c r="EPL31" t="s">
        <v>6984</v>
      </c>
      <c r="EPM31" t="s">
        <v>6984</v>
      </c>
      <c r="EPN31" t="s">
        <v>6984</v>
      </c>
      <c r="EPO31" t="s">
        <v>6984</v>
      </c>
      <c r="EPP31" t="s">
        <v>6984</v>
      </c>
      <c r="EPQ31" t="s">
        <v>6984</v>
      </c>
      <c r="EPR31" t="s">
        <v>6984</v>
      </c>
      <c r="EPS31" t="s">
        <v>6984</v>
      </c>
      <c r="EPT31" t="s">
        <v>6984</v>
      </c>
      <c r="EPU31" t="s">
        <v>6984</v>
      </c>
      <c r="EPV31" t="s">
        <v>6984</v>
      </c>
      <c r="EPW31" t="s">
        <v>6984</v>
      </c>
      <c r="EPX31" t="s">
        <v>6984</v>
      </c>
      <c r="EPY31" t="s">
        <v>6984</v>
      </c>
      <c r="EPZ31" t="s">
        <v>6984</v>
      </c>
      <c r="EQA31" t="s">
        <v>6984</v>
      </c>
      <c r="EQB31" t="s">
        <v>6984</v>
      </c>
      <c r="EQC31" t="s">
        <v>6984</v>
      </c>
      <c r="EQD31" t="s">
        <v>6984</v>
      </c>
      <c r="EQE31" t="s">
        <v>6984</v>
      </c>
      <c r="EQF31" t="s">
        <v>6984</v>
      </c>
      <c r="EQG31" t="s">
        <v>6984</v>
      </c>
      <c r="EQH31" t="s">
        <v>6984</v>
      </c>
      <c r="EQI31" t="s">
        <v>6984</v>
      </c>
      <c r="EQJ31" t="s">
        <v>6984</v>
      </c>
      <c r="EQK31" t="s">
        <v>6984</v>
      </c>
      <c r="EQL31" t="s">
        <v>6984</v>
      </c>
      <c r="EQM31" t="s">
        <v>6984</v>
      </c>
      <c r="EQN31" t="s">
        <v>6984</v>
      </c>
      <c r="EQO31" t="s">
        <v>6984</v>
      </c>
      <c r="EQP31" t="s">
        <v>6984</v>
      </c>
      <c r="EQQ31" t="s">
        <v>6984</v>
      </c>
      <c r="EQR31" t="s">
        <v>6984</v>
      </c>
      <c r="EQS31" t="s">
        <v>6984</v>
      </c>
      <c r="EQT31" t="s">
        <v>6984</v>
      </c>
      <c r="EQU31" t="s">
        <v>6984</v>
      </c>
      <c r="EQV31" t="s">
        <v>6984</v>
      </c>
      <c r="EQW31" t="s">
        <v>6984</v>
      </c>
      <c r="EQX31" t="s">
        <v>6984</v>
      </c>
      <c r="EQY31" t="s">
        <v>6984</v>
      </c>
      <c r="EQZ31" t="s">
        <v>6984</v>
      </c>
      <c r="ERA31" t="s">
        <v>6984</v>
      </c>
      <c r="ERB31" t="s">
        <v>6984</v>
      </c>
      <c r="ERC31" t="s">
        <v>6984</v>
      </c>
      <c r="ERD31" t="s">
        <v>6984</v>
      </c>
      <c r="ERE31" t="s">
        <v>6984</v>
      </c>
      <c r="ERF31" t="s">
        <v>6984</v>
      </c>
      <c r="ERG31" t="s">
        <v>6984</v>
      </c>
      <c r="ERH31" t="s">
        <v>6984</v>
      </c>
      <c r="ERI31" t="s">
        <v>6984</v>
      </c>
      <c r="ERJ31" t="s">
        <v>6984</v>
      </c>
      <c r="ERK31" t="s">
        <v>6984</v>
      </c>
      <c r="ERL31" t="s">
        <v>6984</v>
      </c>
      <c r="ERM31" t="s">
        <v>6984</v>
      </c>
      <c r="ERN31" t="s">
        <v>6984</v>
      </c>
      <c r="ERO31" t="s">
        <v>6984</v>
      </c>
      <c r="ERP31" t="s">
        <v>6984</v>
      </c>
      <c r="ERQ31" t="s">
        <v>6984</v>
      </c>
      <c r="ERR31" t="s">
        <v>6984</v>
      </c>
      <c r="ERS31" t="s">
        <v>6984</v>
      </c>
      <c r="ERT31" t="s">
        <v>6984</v>
      </c>
      <c r="ERU31" t="s">
        <v>6984</v>
      </c>
      <c r="ERV31" t="s">
        <v>6984</v>
      </c>
      <c r="ERW31" t="s">
        <v>6984</v>
      </c>
      <c r="ERX31" t="s">
        <v>6984</v>
      </c>
      <c r="ERY31" t="s">
        <v>6984</v>
      </c>
      <c r="ERZ31" t="s">
        <v>6984</v>
      </c>
      <c r="ESA31" t="s">
        <v>6984</v>
      </c>
      <c r="ESB31" t="s">
        <v>6984</v>
      </c>
      <c r="ESC31" t="s">
        <v>6984</v>
      </c>
      <c r="ESD31" t="s">
        <v>6984</v>
      </c>
      <c r="ESE31" t="s">
        <v>6984</v>
      </c>
      <c r="ESF31" t="s">
        <v>6984</v>
      </c>
      <c r="ESG31" t="s">
        <v>6984</v>
      </c>
      <c r="ESH31" t="s">
        <v>6984</v>
      </c>
      <c r="ESI31" t="s">
        <v>6984</v>
      </c>
      <c r="ESJ31" t="s">
        <v>6984</v>
      </c>
      <c r="ESK31" t="s">
        <v>6984</v>
      </c>
      <c r="ESL31" t="s">
        <v>6984</v>
      </c>
      <c r="ESM31" t="s">
        <v>6984</v>
      </c>
      <c r="ESN31" t="s">
        <v>6984</v>
      </c>
      <c r="ESO31" t="s">
        <v>6984</v>
      </c>
      <c r="ESP31" t="s">
        <v>6984</v>
      </c>
      <c r="ESQ31" t="s">
        <v>6984</v>
      </c>
      <c r="ESR31" t="s">
        <v>6984</v>
      </c>
      <c r="ESS31" t="s">
        <v>6984</v>
      </c>
      <c r="EST31" t="s">
        <v>6984</v>
      </c>
      <c r="ESU31" t="s">
        <v>6984</v>
      </c>
      <c r="ESV31" t="s">
        <v>6984</v>
      </c>
      <c r="ESW31" t="s">
        <v>6984</v>
      </c>
      <c r="ESX31" t="s">
        <v>6984</v>
      </c>
      <c r="ESY31" t="s">
        <v>6984</v>
      </c>
      <c r="ESZ31" t="s">
        <v>6984</v>
      </c>
      <c r="ETA31" t="s">
        <v>6984</v>
      </c>
      <c r="ETB31" t="s">
        <v>6984</v>
      </c>
      <c r="ETC31" t="s">
        <v>6984</v>
      </c>
      <c r="ETD31" t="s">
        <v>6984</v>
      </c>
      <c r="ETE31" t="s">
        <v>6984</v>
      </c>
      <c r="ETF31" t="s">
        <v>6984</v>
      </c>
      <c r="ETG31" t="s">
        <v>6984</v>
      </c>
      <c r="ETH31" t="s">
        <v>6984</v>
      </c>
      <c r="ETI31" t="s">
        <v>6984</v>
      </c>
      <c r="ETJ31" t="s">
        <v>6984</v>
      </c>
      <c r="ETK31" t="s">
        <v>6984</v>
      </c>
      <c r="ETL31" t="s">
        <v>6984</v>
      </c>
      <c r="ETM31" t="s">
        <v>6984</v>
      </c>
      <c r="ETN31" t="s">
        <v>6984</v>
      </c>
      <c r="ETO31" t="s">
        <v>6984</v>
      </c>
      <c r="ETP31" t="s">
        <v>6984</v>
      </c>
      <c r="ETQ31" t="s">
        <v>6984</v>
      </c>
      <c r="ETR31" t="s">
        <v>6984</v>
      </c>
      <c r="ETS31" t="s">
        <v>6984</v>
      </c>
      <c r="ETT31" t="s">
        <v>6984</v>
      </c>
      <c r="ETU31" t="s">
        <v>6984</v>
      </c>
      <c r="ETV31" t="s">
        <v>6984</v>
      </c>
      <c r="ETW31" t="s">
        <v>6984</v>
      </c>
      <c r="ETX31" t="s">
        <v>6984</v>
      </c>
      <c r="ETY31" t="s">
        <v>6984</v>
      </c>
      <c r="ETZ31" t="s">
        <v>6984</v>
      </c>
      <c r="EUA31" t="s">
        <v>6984</v>
      </c>
      <c r="EUB31" t="s">
        <v>6984</v>
      </c>
      <c r="EUC31" t="s">
        <v>6984</v>
      </c>
      <c r="EUD31" t="s">
        <v>6984</v>
      </c>
      <c r="EUE31" t="s">
        <v>6984</v>
      </c>
      <c r="EUF31" t="s">
        <v>6984</v>
      </c>
      <c r="EUG31" t="s">
        <v>6984</v>
      </c>
      <c r="EUH31" t="s">
        <v>6984</v>
      </c>
      <c r="EUI31" t="s">
        <v>6984</v>
      </c>
      <c r="EUJ31" t="s">
        <v>6984</v>
      </c>
      <c r="EUK31" t="s">
        <v>6984</v>
      </c>
      <c r="EUL31" t="s">
        <v>6984</v>
      </c>
      <c r="EUM31" t="s">
        <v>6984</v>
      </c>
      <c r="EUN31" t="s">
        <v>6984</v>
      </c>
      <c r="EUO31" t="s">
        <v>6984</v>
      </c>
      <c r="EUP31" t="s">
        <v>6984</v>
      </c>
      <c r="EUQ31" t="s">
        <v>6984</v>
      </c>
      <c r="EUR31" t="s">
        <v>6984</v>
      </c>
      <c r="EUS31" t="s">
        <v>6984</v>
      </c>
      <c r="EUT31" t="s">
        <v>6984</v>
      </c>
      <c r="EUU31" t="s">
        <v>6984</v>
      </c>
      <c r="EUV31" t="s">
        <v>6984</v>
      </c>
      <c r="EUW31" t="s">
        <v>6984</v>
      </c>
      <c r="EUX31" t="s">
        <v>6984</v>
      </c>
      <c r="EUY31" t="s">
        <v>6984</v>
      </c>
      <c r="EUZ31" t="s">
        <v>6984</v>
      </c>
      <c r="EVA31" t="s">
        <v>6984</v>
      </c>
      <c r="EVB31" t="s">
        <v>6984</v>
      </c>
      <c r="EVC31" t="s">
        <v>6984</v>
      </c>
      <c r="EVD31" t="s">
        <v>6984</v>
      </c>
      <c r="EVE31" t="s">
        <v>6984</v>
      </c>
      <c r="EVF31" t="s">
        <v>6984</v>
      </c>
      <c r="EVG31" t="s">
        <v>6984</v>
      </c>
      <c r="EVH31" t="s">
        <v>6984</v>
      </c>
      <c r="EVI31" t="s">
        <v>6984</v>
      </c>
      <c r="EVJ31" t="s">
        <v>6984</v>
      </c>
      <c r="EVK31" t="s">
        <v>6984</v>
      </c>
      <c r="EVL31" t="s">
        <v>6984</v>
      </c>
      <c r="EVM31" t="s">
        <v>6984</v>
      </c>
      <c r="EVN31" t="s">
        <v>6984</v>
      </c>
      <c r="EVO31" t="s">
        <v>6984</v>
      </c>
      <c r="EVP31" t="s">
        <v>6984</v>
      </c>
      <c r="EVQ31" t="s">
        <v>6984</v>
      </c>
      <c r="EVR31" t="s">
        <v>6984</v>
      </c>
      <c r="EVS31" t="s">
        <v>6984</v>
      </c>
      <c r="EVT31" t="s">
        <v>6984</v>
      </c>
      <c r="EVU31" t="s">
        <v>6984</v>
      </c>
      <c r="EVV31" t="s">
        <v>6984</v>
      </c>
      <c r="EVW31" t="s">
        <v>6984</v>
      </c>
      <c r="EVX31" t="s">
        <v>6984</v>
      </c>
      <c r="EVY31" t="s">
        <v>6984</v>
      </c>
      <c r="EVZ31" t="s">
        <v>6984</v>
      </c>
      <c r="EWA31" t="s">
        <v>6984</v>
      </c>
      <c r="EWB31" t="s">
        <v>6984</v>
      </c>
      <c r="EWC31" t="s">
        <v>6984</v>
      </c>
      <c r="EWD31" t="s">
        <v>6984</v>
      </c>
      <c r="EWE31" t="s">
        <v>6984</v>
      </c>
      <c r="EWF31" t="s">
        <v>6984</v>
      </c>
      <c r="EWG31" t="s">
        <v>6984</v>
      </c>
      <c r="EWH31" t="s">
        <v>6984</v>
      </c>
      <c r="EWI31" t="s">
        <v>6984</v>
      </c>
      <c r="EWJ31" t="s">
        <v>6984</v>
      </c>
      <c r="EWK31" t="s">
        <v>6984</v>
      </c>
      <c r="EWL31" t="s">
        <v>6984</v>
      </c>
      <c r="EWM31" t="s">
        <v>6984</v>
      </c>
      <c r="EWN31" t="s">
        <v>6984</v>
      </c>
      <c r="EWO31" t="s">
        <v>6984</v>
      </c>
      <c r="EWP31" t="s">
        <v>6984</v>
      </c>
      <c r="EWQ31" t="s">
        <v>6984</v>
      </c>
      <c r="EWR31" t="s">
        <v>6984</v>
      </c>
      <c r="EWS31" t="s">
        <v>6984</v>
      </c>
      <c r="EWT31" t="s">
        <v>6984</v>
      </c>
      <c r="EWU31" t="s">
        <v>6984</v>
      </c>
      <c r="EWV31" t="s">
        <v>6984</v>
      </c>
      <c r="EWW31" t="s">
        <v>6984</v>
      </c>
      <c r="EWX31" t="s">
        <v>6984</v>
      </c>
      <c r="EWY31" t="s">
        <v>6984</v>
      </c>
      <c r="EWZ31" t="s">
        <v>6984</v>
      </c>
      <c r="EXA31" t="s">
        <v>6984</v>
      </c>
      <c r="EXB31" t="s">
        <v>6984</v>
      </c>
      <c r="EXC31" t="s">
        <v>6984</v>
      </c>
      <c r="EXD31" t="s">
        <v>6984</v>
      </c>
      <c r="EXE31" t="s">
        <v>6984</v>
      </c>
      <c r="EXF31" t="s">
        <v>6984</v>
      </c>
      <c r="EXG31" t="s">
        <v>6984</v>
      </c>
      <c r="EXH31" t="s">
        <v>6984</v>
      </c>
      <c r="EXI31" t="s">
        <v>6984</v>
      </c>
      <c r="EXJ31" t="s">
        <v>6984</v>
      </c>
      <c r="EXK31" t="s">
        <v>6984</v>
      </c>
      <c r="EXL31" t="s">
        <v>6984</v>
      </c>
      <c r="EXM31" t="s">
        <v>6984</v>
      </c>
      <c r="EXN31" t="s">
        <v>6984</v>
      </c>
      <c r="EXO31" t="s">
        <v>6984</v>
      </c>
      <c r="EXP31" t="s">
        <v>6984</v>
      </c>
      <c r="EXQ31" t="s">
        <v>6984</v>
      </c>
      <c r="EXR31" t="s">
        <v>6984</v>
      </c>
      <c r="EXS31" t="s">
        <v>6984</v>
      </c>
      <c r="EXT31" t="s">
        <v>6984</v>
      </c>
      <c r="EXU31" t="s">
        <v>6984</v>
      </c>
      <c r="EXV31" t="s">
        <v>6984</v>
      </c>
      <c r="EXW31" t="s">
        <v>6984</v>
      </c>
      <c r="EXX31" t="s">
        <v>6984</v>
      </c>
      <c r="EXY31" t="s">
        <v>6984</v>
      </c>
      <c r="EXZ31" t="s">
        <v>6984</v>
      </c>
      <c r="EYA31" t="s">
        <v>6984</v>
      </c>
      <c r="EYB31" t="s">
        <v>6984</v>
      </c>
      <c r="EYC31" t="s">
        <v>6984</v>
      </c>
      <c r="EYD31" t="s">
        <v>6984</v>
      </c>
      <c r="EYE31" t="s">
        <v>6984</v>
      </c>
      <c r="EYF31" t="s">
        <v>6984</v>
      </c>
      <c r="EYG31" t="s">
        <v>6984</v>
      </c>
      <c r="EYH31" t="s">
        <v>6984</v>
      </c>
      <c r="EYI31" t="s">
        <v>6984</v>
      </c>
      <c r="EYJ31" t="s">
        <v>6984</v>
      </c>
      <c r="EYK31" t="s">
        <v>6984</v>
      </c>
      <c r="EYL31" t="s">
        <v>6984</v>
      </c>
      <c r="EYM31" t="s">
        <v>6984</v>
      </c>
      <c r="EYN31" t="s">
        <v>6984</v>
      </c>
      <c r="EYO31" t="s">
        <v>6984</v>
      </c>
      <c r="EYP31" t="s">
        <v>6984</v>
      </c>
      <c r="EYQ31" t="s">
        <v>6984</v>
      </c>
      <c r="EYR31" t="s">
        <v>6984</v>
      </c>
      <c r="EYS31" t="s">
        <v>6984</v>
      </c>
      <c r="EYT31" t="s">
        <v>6984</v>
      </c>
      <c r="EYU31" t="s">
        <v>6984</v>
      </c>
      <c r="EYV31" t="s">
        <v>6984</v>
      </c>
      <c r="EYW31" t="s">
        <v>6984</v>
      </c>
      <c r="EYX31" t="s">
        <v>6984</v>
      </c>
      <c r="EYY31" t="s">
        <v>6984</v>
      </c>
      <c r="EYZ31" t="s">
        <v>6984</v>
      </c>
      <c r="EZA31" t="s">
        <v>6984</v>
      </c>
      <c r="EZB31" t="s">
        <v>6984</v>
      </c>
      <c r="EZC31" t="s">
        <v>6984</v>
      </c>
      <c r="EZD31" t="s">
        <v>6984</v>
      </c>
      <c r="EZE31" t="s">
        <v>6984</v>
      </c>
      <c r="EZF31" t="s">
        <v>6984</v>
      </c>
      <c r="EZG31" t="s">
        <v>6984</v>
      </c>
      <c r="EZH31" t="s">
        <v>6984</v>
      </c>
      <c r="EZI31" t="s">
        <v>6984</v>
      </c>
      <c r="EZJ31" t="s">
        <v>6984</v>
      </c>
      <c r="EZK31" t="s">
        <v>6984</v>
      </c>
      <c r="EZL31" t="s">
        <v>6984</v>
      </c>
      <c r="EZM31" t="s">
        <v>6984</v>
      </c>
      <c r="EZN31" t="s">
        <v>6984</v>
      </c>
      <c r="EZO31" t="s">
        <v>6984</v>
      </c>
      <c r="EZP31" t="s">
        <v>6984</v>
      </c>
      <c r="EZQ31" t="s">
        <v>6984</v>
      </c>
      <c r="EZR31" t="s">
        <v>6984</v>
      </c>
      <c r="EZS31" t="s">
        <v>6984</v>
      </c>
      <c r="EZT31" t="s">
        <v>6984</v>
      </c>
      <c r="EZU31" t="s">
        <v>6984</v>
      </c>
      <c r="EZV31" t="s">
        <v>6984</v>
      </c>
      <c r="EZW31" t="s">
        <v>6984</v>
      </c>
      <c r="EZX31" t="s">
        <v>6984</v>
      </c>
      <c r="EZY31" t="s">
        <v>6984</v>
      </c>
      <c r="EZZ31" t="s">
        <v>6984</v>
      </c>
      <c r="FAA31" t="s">
        <v>6984</v>
      </c>
      <c r="FAB31" t="s">
        <v>6984</v>
      </c>
      <c r="FAC31" t="s">
        <v>6984</v>
      </c>
      <c r="FAD31" t="s">
        <v>6984</v>
      </c>
      <c r="FAE31" t="s">
        <v>6984</v>
      </c>
      <c r="FAF31" t="s">
        <v>6984</v>
      </c>
      <c r="FAG31" t="s">
        <v>6984</v>
      </c>
      <c r="FAH31" t="s">
        <v>6984</v>
      </c>
      <c r="FAI31" t="s">
        <v>6984</v>
      </c>
      <c r="FAJ31" t="s">
        <v>6984</v>
      </c>
      <c r="FAK31" t="s">
        <v>6984</v>
      </c>
      <c r="FAL31" t="s">
        <v>6984</v>
      </c>
      <c r="FAM31" t="s">
        <v>6984</v>
      </c>
      <c r="FAN31" t="s">
        <v>6984</v>
      </c>
      <c r="FAO31" t="s">
        <v>6984</v>
      </c>
      <c r="FAP31" t="s">
        <v>6984</v>
      </c>
      <c r="FAQ31" t="s">
        <v>6984</v>
      </c>
      <c r="FAR31" t="s">
        <v>6984</v>
      </c>
      <c r="FAS31" t="s">
        <v>6984</v>
      </c>
      <c r="FAT31" t="s">
        <v>6984</v>
      </c>
      <c r="FAU31" t="s">
        <v>6984</v>
      </c>
      <c r="FAV31" t="s">
        <v>6984</v>
      </c>
      <c r="FAW31" t="s">
        <v>6984</v>
      </c>
      <c r="FAX31" t="s">
        <v>6984</v>
      </c>
      <c r="FAY31" t="s">
        <v>6984</v>
      </c>
      <c r="FAZ31" t="s">
        <v>6984</v>
      </c>
      <c r="FBA31" t="s">
        <v>6984</v>
      </c>
      <c r="FBB31" t="s">
        <v>6984</v>
      </c>
      <c r="FBC31" t="s">
        <v>6984</v>
      </c>
      <c r="FBD31" t="s">
        <v>6984</v>
      </c>
      <c r="FBE31" t="s">
        <v>6984</v>
      </c>
      <c r="FBF31" t="s">
        <v>6984</v>
      </c>
      <c r="FBG31" t="s">
        <v>6984</v>
      </c>
      <c r="FBH31" t="s">
        <v>6984</v>
      </c>
      <c r="FBI31" t="s">
        <v>6984</v>
      </c>
      <c r="FBJ31" t="s">
        <v>6984</v>
      </c>
      <c r="FBK31" t="s">
        <v>6984</v>
      </c>
      <c r="FBL31" t="s">
        <v>6984</v>
      </c>
      <c r="FBM31" t="s">
        <v>6984</v>
      </c>
      <c r="FBN31" t="s">
        <v>6984</v>
      </c>
      <c r="FBO31" t="s">
        <v>6984</v>
      </c>
      <c r="FBP31" t="s">
        <v>6984</v>
      </c>
      <c r="FBQ31" t="s">
        <v>6984</v>
      </c>
      <c r="FBR31" t="s">
        <v>6984</v>
      </c>
      <c r="FBS31" t="s">
        <v>6984</v>
      </c>
      <c r="FBT31" t="s">
        <v>6984</v>
      </c>
      <c r="FBU31" t="s">
        <v>6984</v>
      </c>
      <c r="FBV31" t="s">
        <v>6984</v>
      </c>
      <c r="FBW31" t="s">
        <v>6984</v>
      </c>
      <c r="FBX31" t="s">
        <v>6984</v>
      </c>
      <c r="FBY31" t="s">
        <v>6984</v>
      </c>
      <c r="FBZ31" t="s">
        <v>6984</v>
      </c>
      <c r="FCA31" t="s">
        <v>6984</v>
      </c>
      <c r="FCB31" t="s">
        <v>6984</v>
      </c>
      <c r="FCC31" t="s">
        <v>6984</v>
      </c>
      <c r="FCD31" t="s">
        <v>6984</v>
      </c>
      <c r="FCE31" t="s">
        <v>6984</v>
      </c>
      <c r="FCF31" t="s">
        <v>6984</v>
      </c>
      <c r="FCG31" t="s">
        <v>6984</v>
      </c>
      <c r="FCH31" t="s">
        <v>6984</v>
      </c>
      <c r="FCI31" t="s">
        <v>6984</v>
      </c>
      <c r="FCJ31" t="s">
        <v>6984</v>
      </c>
      <c r="FCK31" t="s">
        <v>6984</v>
      </c>
      <c r="FCL31" t="s">
        <v>6984</v>
      </c>
      <c r="FCM31" t="s">
        <v>6984</v>
      </c>
      <c r="FCN31" t="s">
        <v>6984</v>
      </c>
      <c r="FCO31" t="s">
        <v>6984</v>
      </c>
      <c r="FCP31" t="s">
        <v>6984</v>
      </c>
      <c r="FCQ31" t="s">
        <v>6984</v>
      </c>
      <c r="FCR31" t="s">
        <v>6984</v>
      </c>
      <c r="FCS31" t="s">
        <v>6984</v>
      </c>
      <c r="FCT31" t="s">
        <v>6984</v>
      </c>
      <c r="FCU31" t="s">
        <v>6984</v>
      </c>
      <c r="FCV31" t="s">
        <v>6984</v>
      </c>
      <c r="FCW31" t="s">
        <v>6984</v>
      </c>
      <c r="FCX31" t="s">
        <v>6984</v>
      </c>
      <c r="FCY31" t="s">
        <v>6984</v>
      </c>
      <c r="FCZ31" t="s">
        <v>6984</v>
      </c>
      <c r="FDA31" t="s">
        <v>6984</v>
      </c>
      <c r="FDB31" t="s">
        <v>6984</v>
      </c>
      <c r="FDC31" t="s">
        <v>6984</v>
      </c>
      <c r="FDD31" t="s">
        <v>6984</v>
      </c>
      <c r="FDE31" t="s">
        <v>6984</v>
      </c>
      <c r="FDF31" t="s">
        <v>6984</v>
      </c>
      <c r="FDG31" t="s">
        <v>6984</v>
      </c>
      <c r="FDH31" t="s">
        <v>6984</v>
      </c>
      <c r="FDI31" t="s">
        <v>6984</v>
      </c>
      <c r="FDJ31" t="s">
        <v>6984</v>
      </c>
      <c r="FDK31" t="s">
        <v>6984</v>
      </c>
      <c r="FDL31" t="s">
        <v>6984</v>
      </c>
      <c r="FDM31" t="s">
        <v>6984</v>
      </c>
      <c r="FDN31" t="s">
        <v>6984</v>
      </c>
      <c r="FDO31" t="s">
        <v>6984</v>
      </c>
      <c r="FDP31" t="s">
        <v>6984</v>
      </c>
      <c r="FDQ31" t="s">
        <v>6984</v>
      </c>
      <c r="FDR31" t="s">
        <v>6984</v>
      </c>
      <c r="FDS31" t="s">
        <v>6984</v>
      </c>
      <c r="FDT31" t="s">
        <v>6984</v>
      </c>
      <c r="FDU31" t="s">
        <v>6984</v>
      </c>
      <c r="FDV31" t="s">
        <v>6984</v>
      </c>
      <c r="FDW31" t="s">
        <v>6984</v>
      </c>
      <c r="FDX31" t="s">
        <v>6984</v>
      </c>
      <c r="FDY31" t="s">
        <v>6984</v>
      </c>
      <c r="FDZ31" t="s">
        <v>6984</v>
      </c>
      <c r="FEA31" t="s">
        <v>6984</v>
      </c>
      <c r="FEB31" t="s">
        <v>6984</v>
      </c>
      <c r="FEC31" t="s">
        <v>6984</v>
      </c>
      <c r="FED31" t="s">
        <v>6984</v>
      </c>
      <c r="FEE31" t="s">
        <v>6984</v>
      </c>
      <c r="FEF31" t="s">
        <v>6984</v>
      </c>
      <c r="FEG31" t="s">
        <v>6984</v>
      </c>
      <c r="FEH31" t="s">
        <v>6984</v>
      </c>
      <c r="FEI31" t="s">
        <v>6984</v>
      </c>
      <c r="FEJ31" t="s">
        <v>6984</v>
      </c>
      <c r="FEK31" t="s">
        <v>6984</v>
      </c>
      <c r="FEL31" t="s">
        <v>6984</v>
      </c>
      <c r="FEM31" t="s">
        <v>6984</v>
      </c>
      <c r="FEN31" t="s">
        <v>6984</v>
      </c>
      <c r="FEO31" t="s">
        <v>6984</v>
      </c>
      <c r="FEP31" t="s">
        <v>6984</v>
      </c>
      <c r="FEQ31" t="s">
        <v>6984</v>
      </c>
      <c r="FER31" t="s">
        <v>6984</v>
      </c>
      <c r="FES31" t="s">
        <v>6984</v>
      </c>
      <c r="FET31" t="s">
        <v>6984</v>
      </c>
      <c r="FEU31" t="s">
        <v>6984</v>
      </c>
      <c r="FEV31" t="s">
        <v>6984</v>
      </c>
      <c r="FEW31" t="s">
        <v>6984</v>
      </c>
      <c r="FEX31" t="s">
        <v>6984</v>
      </c>
      <c r="FEY31" t="s">
        <v>6984</v>
      </c>
      <c r="FEZ31" t="s">
        <v>6984</v>
      </c>
      <c r="FFA31" t="s">
        <v>6984</v>
      </c>
      <c r="FFB31" t="s">
        <v>6984</v>
      </c>
      <c r="FFC31" t="s">
        <v>6984</v>
      </c>
      <c r="FFD31" t="s">
        <v>6984</v>
      </c>
      <c r="FFE31" t="s">
        <v>6984</v>
      </c>
      <c r="FFF31" t="s">
        <v>6984</v>
      </c>
      <c r="FFG31" t="s">
        <v>6984</v>
      </c>
      <c r="FFH31" t="s">
        <v>6984</v>
      </c>
      <c r="FFI31" t="s">
        <v>6984</v>
      </c>
      <c r="FFJ31" t="s">
        <v>6984</v>
      </c>
      <c r="FFK31" t="s">
        <v>6984</v>
      </c>
      <c r="FFL31" t="s">
        <v>6984</v>
      </c>
      <c r="FFM31" t="s">
        <v>6984</v>
      </c>
      <c r="FFN31" t="s">
        <v>6984</v>
      </c>
      <c r="FFO31" t="s">
        <v>6984</v>
      </c>
      <c r="FFP31" t="s">
        <v>6984</v>
      </c>
      <c r="FFQ31" t="s">
        <v>6984</v>
      </c>
      <c r="FFR31" t="s">
        <v>6984</v>
      </c>
      <c r="FFS31" t="s">
        <v>6984</v>
      </c>
      <c r="FFT31" t="s">
        <v>6984</v>
      </c>
      <c r="FFU31" t="s">
        <v>6984</v>
      </c>
      <c r="FFV31" t="s">
        <v>6984</v>
      </c>
      <c r="FFW31" t="s">
        <v>6984</v>
      </c>
      <c r="FFX31" t="s">
        <v>6984</v>
      </c>
      <c r="FFY31" t="s">
        <v>6984</v>
      </c>
      <c r="FFZ31" t="s">
        <v>6984</v>
      </c>
      <c r="FGA31" t="s">
        <v>6984</v>
      </c>
      <c r="FGB31" t="s">
        <v>6984</v>
      </c>
      <c r="FGC31" t="s">
        <v>6984</v>
      </c>
      <c r="FGD31" t="s">
        <v>6984</v>
      </c>
      <c r="FGE31" t="s">
        <v>6984</v>
      </c>
      <c r="FGF31" t="s">
        <v>6984</v>
      </c>
      <c r="FGG31" t="s">
        <v>6984</v>
      </c>
      <c r="FGH31" t="s">
        <v>6984</v>
      </c>
      <c r="FGI31" t="s">
        <v>6984</v>
      </c>
      <c r="FGJ31" t="s">
        <v>6984</v>
      </c>
      <c r="FGK31" t="s">
        <v>6984</v>
      </c>
      <c r="FGL31" t="s">
        <v>6984</v>
      </c>
      <c r="FGM31" t="s">
        <v>6984</v>
      </c>
      <c r="FGN31" t="s">
        <v>6984</v>
      </c>
      <c r="FGO31" t="s">
        <v>6984</v>
      </c>
      <c r="FGP31" t="s">
        <v>6984</v>
      </c>
      <c r="FGQ31" t="s">
        <v>6984</v>
      </c>
      <c r="FGR31" t="s">
        <v>6984</v>
      </c>
      <c r="FGS31" t="s">
        <v>6984</v>
      </c>
      <c r="FGT31" t="s">
        <v>6984</v>
      </c>
      <c r="FGU31" t="s">
        <v>6984</v>
      </c>
      <c r="FGV31" t="s">
        <v>6984</v>
      </c>
      <c r="FGW31" t="s">
        <v>6984</v>
      </c>
      <c r="FGX31" t="s">
        <v>6984</v>
      </c>
      <c r="FGY31" t="s">
        <v>6984</v>
      </c>
      <c r="FGZ31" t="s">
        <v>6984</v>
      </c>
      <c r="FHA31" t="s">
        <v>6984</v>
      </c>
      <c r="FHB31" t="s">
        <v>6984</v>
      </c>
      <c r="FHC31" t="s">
        <v>6984</v>
      </c>
      <c r="FHD31" t="s">
        <v>6984</v>
      </c>
      <c r="FHE31" t="s">
        <v>6984</v>
      </c>
      <c r="FHF31" t="s">
        <v>6984</v>
      </c>
      <c r="FHG31" t="s">
        <v>6984</v>
      </c>
      <c r="FHH31" t="s">
        <v>6984</v>
      </c>
      <c r="FHI31" t="s">
        <v>6984</v>
      </c>
      <c r="FHJ31" t="s">
        <v>6984</v>
      </c>
      <c r="FHK31" t="s">
        <v>6984</v>
      </c>
      <c r="FHL31" t="s">
        <v>6984</v>
      </c>
      <c r="FHM31" t="s">
        <v>6984</v>
      </c>
      <c r="FHN31" t="s">
        <v>6984</v>
      </c>
      <c r="FHO31" t="s">
        <v>6984</v>
      </c>
      <c r="FHP31" t="s">
        <v>6984</v>
      </c>
      <c r="FHQ31" t="s">
        <v>6984</v>
      </c>
      <c r="FHR31" t="s">
        <v>6984</v>
      </c>
      <c r="FHS31" t="s">
        <v>6984</v>
      </c>
      <c r="FHT31" t="s">
        <v>6984</v>
      </c>
      <c r="FHU31" t="s">
        <v>6984</v>
      </c>
      <c r="FHV31" t="s">
        <v>6984</v>
      </c>
      <c r="FHW31" t="s">
        <v>6984</v>
      </c>
      <c r="FHX31" t="s">
        <v>6984</v>
      </c>
      <c r="FHY31" t="s">
        <v>6984</v>
      </c>
      <c r="FHZ31" t="s">
        <v>6984</v>
      </c>
      <c r="FIA31" t="s">
        <v>6984</v>
      </c>
      <c r="FIB31" t="s">
        <v>6984</v>
      </c>
      <c r="FIC31" t="s">
        <v>6984</v>
      </c>
      <c r="FID31" t="s">
        <v>6984</v>
      </c>
      <c r="FIE31" t="s">
        <v>6984</v>
      </c>
      <c r="FIF31" t="s">
        <v>6984</v>
      </c>
      <c r="FIG31" t="s">
        <v>6984</v>
      </c>
      <c r="FIH31" t="s">
        <v>6984</v>
      </c>
      <c r="FII31" t="s">
        <v>6984</v>
      </c>
      <c r="FIJ31" t="s">
        <v>6984</v>
      </c>
      <c r="FIK31" t="s">
        <v>6984</v>
      </c>
      <c r="FIL31" t="s">
        <v>6984</v>
      </c>
      <c r="FIM31" t="s">
        <v>6984</v>
      </c>
      <c r="FIN31" t="s">
        <v>6984</v>
      </c>
      <c r="FIO31" t="s">
        <v>6984</v>
      </c>
      <c r="FIP31" t="s">
        <v>6984</v>
      </c>
      <c r="FIQ31" t="s">
        <v>6984</v>
      </c>
      <c r="FIR31" t="s">
        <v>6984</v>
      </c>
      <c r="FIS31" t="s">
        <v>6984</v>
      </c>
      <c r="FIT31" t="s">
        <v>6984</v>
      </c>
      <c r="FIU31" t="s">
        <v>6984</v>
      </c>
      <c r="FIV31" t="s">
        <v>6984</v>
      </c>
      <c r="FIW31" t="s">
        <v>6984</v>
      </c>
      <c r="FIX31" t="s">
        <v>6984</v>
      </c>
      <c r="FIY31" t="s">
        <v>6984</v>
      </c>
      <c r="FIZ31" t="s">
        <v>6984</v>
      </c>
      <c r="FJA31" t="s">
        <v>6984</v>
      </c>
      <c r="FJB31" t="s">
        <v>6984</v>
      </c>
      <c r="FJC31" t="s">
        <v>6984</v>
      </c>
      <c r="FJD31" t="s">
        <v>6984</v>
      </c>
      <c r="FJE31" t="s">
        <v>6984</v>
      </c>
      <c r="FJF31" t="s">
        <v>6984</v>
      </c>
      <c r="FJG31" t="s">
        <v>6984</v>
      </c>
      <c r="FJH31" t="s">
        <v>6984</v>
      </c>
      <c r="FJI31" t="s">
        <v>6984</v>
      </c>
      <c r="FJJ31" t="s">
        <v>6984</v>
      </c>
      <c r="FJK31" t="s">
        <v>6984</v>
      </c>
      <c r="FJL31" t="s">
        <v>6984</v>
      </c>
      <c r="FJM31" t="s">
        <v>6984</v>
      </c>
      <c r="FJN31" t="s">
        <v>6984</v>
      </c>
      <c r="FJO31" t="s">
        <v>6984</v>
      </c>
      <c r="FJP31" t="s">
        <v>6984</v>
      </c>
      <c r="FJQ31" t="s">
        <v>6984</v>
      </c>
      <c r="FJR31" t="s">
        <v>6984</v>
      </c>
      <c r="FJS31" t="s">
        <v>6984</v>
      </c>
      <c r="FJT31" t="s">
        <v>6984</v>
      </c>
      <c r="FJU31" t="s">
        <v>6984</v>
      </c>
      <c r="FJV31" t="s">
        <v>6984</v>
      </c>
      <c r="FJW31" t="s">
        <v>6984</v>
      </c>
      <c r="FJX31" t="s">
        <v>6984</v>
      </c>
      <c r="FJY31" t="s">
        <v>6984</v>
      </c>
      <c r="FJZ31" t="s">
        <v>6984</v>
      </c>
      <c r="FKA31" t="s">
        <v>6984</v>
      </c>
      <c r="FKB31" t="s">
        <v>6984</v>
      </c>
      <c r="FKC31" t="s">
        <v>6984</v>
      </c>
      <c r="FKD31" t="s">
        <v>6984</v>
      </c>
      <c r="FKE31" t="s">
        <v>6984</v>
      </c>
      <c r="FKF31" t="s">
        <v>6984</v>
      </c>
      <c r="FKG31" t="s">
        <v>6984</v>
      </c>
      <c r="FKH31" t="s">
        <v>6984</v>
      </c>
      <c r="FKI31" t="s">
        <v>6984</v>
      </c>
      <c r="FKJ31" t="s">
        <v>6984</v>
      </c>
      <c r="FKK31" t="s">
        <v>6984</v>
      </c>
      <c r="FKL31" t="s">
        <v>6984</v>
      </c>
      <c r="FKM31" t="s">
        <v>6984</v>
      </c>
      <c r="FKN31" t="s">
        <v>6984</v>
      </c>
      <c r="FKO31" t="s">
        <v>6984</v>
      </c>
      <c r="FKP31" t="s">
        <v>6984</v>
      </c>
      <c r="FKQ31" t="s">
        <v>6984</v>
      </c>
      <c r="FKR31" t="s">
        <v>6984</v>
      </c>
      <c r="FKS31" t="s">
        <v>6984</v>
      </c>
      <c r="FKT31" t="s">
        <v>6984</v>
      </c>
      <c r="FKU31" t="s">
        <v>6984</v>
      </c>
      <c r="FKV31" t="s">
        <v>6984</v>
      </c>
      <c r="FKW31" t="s">
        <v>6984</v>
      </c>
      <c r="FKX31" t="s">
        <v>6984</v>
      </c>
      <c r="FKY31" t="s">
        <v>6984</v>
      </c>
      <c r="FKZ31" t="s">
        <v>6984</v>
      </c>
      <c r="FLA31" t="s">
        <v>6984</v>
      </c>
      <c r="FLB31" t="s">
        <v>6984</v>
      </c>
      <c r="FLC31" t="s">
        <v>6984</v>
      </c>
      <c r="FLD31" t="s">
        <v>6984</v>
      </c>
      <c r="FLE31" t="s">
        <v>6984</v>
      </c>
      <c r="FLF31" t="s">
        <v>6984</v>
      </c>
      <c r="FLG31" t="s">
        <v>6984</v>
      </c>
      <c r="FLH31" t="s">
        <v>6984</v>
      </c>
      <c r="FLI31" t="s">
        <v>6984</v>
      </c>
      <c r="FLJ31" t="s">
        <v>6984</v>
      </c>
      <c r="FLK31" t="s">
        <v>6984</v>
      </c>
      <c r="FLL31" t="s">
        <v>6984</v>
      </c>
      <c r="FLM31" t="s">
        <v>6984</v>
      </c>
      <c r="FLN31" t="s">
        <v>6984</v>
      </c>
      <c r="FLO31" t="s">
        <v>6984</v>
      </c>
      <c r="FLP31" t="s">
        <v>6984</v>
      </c>
      <c r="FLQ31" t="s">
        <v>6984</v>
      </c>
      <c r="FLR31" t="s">
        <v>6984</v>
      </c>
      <c r="FLS31" t="s">
        <v>6984</v>
      </c>
      <c r="FLT31" t="s">
        <v>6984</v>
      </c>
      <c r="FLU31" t="s">
        <v>6984</v>
      </c>
      <c r="FLV31" t="s">
        <v>6984</v>
      </c>
      <c r="FLW31" t="s">
        <v>6984</v>
      </c>
      <c r="FLX31" t="s">
        <v>6984</v>
      </c>
      <c r="FLY31" t="s">
        <v>6984</v>
      </c>
      <c r="FLZ31" t="s">
        <v>6984</v>
      </c>
      <c r="FMA31" t="s">
        <v>6984</v>
      </c>
      <c r="FMB31" t="s">
        <v>6984</v>
      </c>
      <c r="FMC31" t="s">
        <v>6984</v>
      </c>
      <c r="FMD31" t="s">
        <v>6984</v>
      </c>
      <c r="FME31" t="s">
        <v>6984</v>
      </c>
      <c r="FMF31" t="s">
        <v>6984</v>
      </c>
      <c r="FMG31" t="s">
        <v>6984</v>
      </c>
      <c r="FMH31" t="s">
        <v>6984</v>
      </c>
      <c r="FMI31" t="s">
        <v>6984</v>
      </c>
      <c r="FMJ31" t="s">
        <v>6984</v>
      </c>
      <c r="FMK31" t="s">
        <v>6984</v>
      </c>
      <c r="FML31" t="s">
        <v>6984</v>
      </c>
      <c r="FMM31" t="s">
        <v>6984</v>
      </c>
      <c r="FMN31" t="s">
        <v>6984</v>
      </c>
      <c r="FMO31" t="s">
        <v>6984</v>
      </c>
      <c r="FMP31" t="s">
        <v>6984</v>
      </c>
      <c r="FMQ31" t="s">
        <v>6984</v>
      </c>
      <c r="FMR31" t="s">
        <v>6984</v>
      </c>
      <c r="FMS31" t="s">
        <v>6984</v>
      </c>
      <c r="FMT31" t="s">
        <v>6984</v>
      </c>
      <c r="FMU31" t="s">
        <v>6984</v>
      </c>
      <c r="FMV31" t="s">
        <v>6984</v>
      </c>
      <c r="FMW31" t="s">
        <v>6984</v>
      </c>
      <c r="FMX31" t="s">
        <v>6984</v>
      </c>
      <c r="FMY31" t="s">
        <v>6984</v>
      </c>
      <c r="FMZ31" t="s">
        <v>6984</v>
      </c>
      <c r="FNA31" t="s">
        <v>6984</v>
      </c>
      <c r="FNB31" t="s">
        <v>6984</v>
      </c>
      <c r="FNC31" t="s">
        <v>6984</v>
      </c>
      <c r="FND31" t="s">
        <v>6984</v>
      </c>
      <c r="FNE31" t="s">
        <v>6984</v>
      </c>
      <c r="FNF31" t="s">
        <v>6984</v>
      </c>
      <c r="FNG31" t="s">
        <v>6984</v>
      </c>
      <c r="FNH31" t="s">
        <v>6984</v>
      </c>
      <c r="FNI31" t="s">
        <v>6984</v>
      </c>
      <c r="FNJ31" t="s">
        <v>6984</v>
      </c>
      <c r="FNK31" t="s">
        <v>6984</v>
      </c>
      <c r="FNL31" t="s">
        <v>6984</v>
      </c>
      <c r="FNM31" t="s">
        <v>6984</v>
      </c>
      <c r="FNN31" t="s">
        <v>6984</v>
      </c>
      <c r="FNO31" t="s">
        <v>6984</v>
      </c>
      <c r="FNP31" t="s">
        <v>6984</v>
      </c>
      <c r="FNQ31" t="s">
        <v>6984</v>
      </c>
      <c r="FNR31" t="s">
        <v>6984</v>
      </c>
      <c r="FNS31" t="s">
        <v>6984</v>
      </c>
      <c r="FNT31" t="s">
        <v>6984</v>
      </c>
      <c r="FNU31" t="s">
        <v>6984</v>
      </c>
      <c r="FNV31" t="s">
        <v>6984</v>
      </c>
      <c r="FNW31" t="s">
        <v>6984</v>
      </c>
      <c r="FNX31" t="s">
        <v>6984</v>
      </c>
      <c r="FNY31" t="s">
        <v>6984</v>
      </c>
      <c r="FNZ31" t="s">
        <v>6984</v>
      </c>
      <c r="FOA31" t="s">
        <v>6984</v>
      </c>
      <c r="FOB31" t="s">
        <v>6984</v>
      </c>
      <c r="FOC31" t="s">
        <v>6984</v>
      </c>
      <c r="FOD31" t="s">
        <v>6984</v>
      </c>
      <c r="FOE31" t="s">
        <v>6984</v>
      </c>
      <c r="FOF31" t="s">
        <v>6984</v>
      </c>
      <c r="FOG31" t="s">
        <v>6984</v>
      </c>
      <c r="FOH31" t="s">
        <v>6984</v>
      </c>
      <c r="FOI31" t="s">
        <v>6984</v>
      </c>
      <c r="FOJ31" t="s">
        <v>6984</v>
      </c>
      <c r="FOK31" t="s">
        <v>6984</v>
      </c>
      <c r="FOL31" t="s">
        <v>6984</v>
      </c>
      <c r="FOM31" t="s">
        <v>6984</v>
      </c>
      <c r="FON31" t="s">
        <v>6984</v>
      </c>
      <c r="FOO31" t="s">
        <v>6984</v>
      </c>
      <c r="FOP31" t="s">
        <v>6984</v>
      </c>
      <c r="FOQ31" t="s">
        <v>6984</v>
      </c>
      <c r="FOR31" t="s">
        <v>6984</v>
      </c>
      <c r="FOS31" t="s">
        <v>6984</v>
      </c>
      <c r="FOT31" t="s">
        <v>6984</v>
      </c>
      <c r="FOU31" t="s">
        <v>6984</v>
      </c>
      <c r="FOV31" t="s">
        <v>6984</v>
      </c>
      <c r="FOW31" t="s">
        <v>6984</v>
      </c>
      <c r="FOX31" t="s">
        <v>6984</v>
      </c>
      <c r="FOY31" t="s">
        <v>6984</v>
      </c>
      <c r="FOZ31" t="s">
        <v>6984</v>
      </c>
      <c r="FPA31" t="s">
        <v>6984</v>
      </c>
      <c r="FPB31" t="s">
        <v>6984</v>
      </c>
      <c r="FPC31" t="s">
        <v>6984</v>
      </c>
      <c r="FPD31" t="s">
        <v>6984</v>
      </c>
      <c r="FPE31" t="s">
        <v>6984</v>
      </c>
      <c r="FPF31" t="s">
        <v>6984</v>
      </c>
      <c r="FPG31" t="s">
        <v>6984</v>
      </c>
      <c r="FPH31" t="s">
        <v>6984</v>
      </c>
      <c r="FPI31" t="s">
        <v>6984</v>
      </c>
      <c r="FPJ31" t="s">
        <v>6984</v>
      </c>
      <c r="FPK31" t="s">
        <v>6984</v>
      </c>
      <c r="FPL31" t="s">
        <v>6984</v>
      </c>
      <c r="FPM31" t="s">
        <v>6984</v>
      </c>
      <c r="FPN31" t="s">
        <v>6984</v>
      </c>
      <c r="FPO31" t="s">
        <v>6984</v>
      </c>
      <c r="FPP31" t="s">
        <v>6984</v>
      </c>
      <c r="FPQ31" t="s">
        <v>6984</v>
      </c>
      <c r="FPR31" t="s">
        <v>6984</v>
      </c>
      <c r="FPS31" t="s">
        <v>6984</v>
      </c>
      <c r="FPT31" t="s">
        <v>6984</v>
      </c>
      <c r="FPU31" t="s">
        <v>6984</v>
      </c>
      <c r="FPV31" t="s">
        <v>6984</v>
      </c>
      <c r="FPW31" t="s">
        <v>6984</v>
      </c>
      <c r="FPX31" t="s">
        <v>6984</v>
      </c>
      <c r="FPY31" t="s">
        <v>6984</v>
      </c>
      <c r="FPZ31" t="s">
        <v>6984</v>
      </c>
      <c r="FQA31" t="s">
        <v>6984</v>
      </c>
      <c r="FQB31" t="s">
        <v>6984</v>
      </c>
      <c r="FQC31" t="s">
        <v>6984</v>
      </c>
      <c r="FQD31" t="s">
        <v>6984</v>
      </c>
      <c r="FQE31" t="s">
        <v>6984</v>
      </c>
      <c r="FQF31" t="s">
        <v>6984</v>
      </c>
      <c r="FQG31" t="s">
        <v>6984</v>
      </c>
      <c r="FQH31" t="s">
        <v>6984</v>
      </c>
      <c r="FQI31" t="s">
        <v>6984</v>
      </c>
      <c r="FQJ31" t="s">
        <v>6984</v>
      </c>
      <c r="FQK31" t="s">
        <v>6984</v>
      </c>
      <c r="FQL31" t="s">
        <v>6984</v>
      </c>
      <c r="FQM31" t="s">
        <v>6984</v>
      </c>
      <c r="FQN31" t="s">
        <v>6984</v>
      </c>
      <c r="FQO31" t="s">
        <v>6984</v>
      </c>
      <c r="FQP31" t="s">
        <v>6984</v>
      </c>
      <c r="FQQ31" t="s">
        <v>6984</v>
      </c>
      <c r="FQR31" t="s">
        <v>6984</v>
      </c>
      <c r="FQS31" t="s">
        <v>6984</v>
      </c>
      <c r="FQT31" t="s">
        <v>6984</v>
      </c>
      <c r="FQU31" t="s">
        <v>6984</v>
      </c>
      <c r="FQV31" t="s">
        <v>6984</v>
      </c>
      <c r="FQW31" t="s">
        <v>6984</v>
      </c>
      <c r="FQX31" t="s">
        <v>6984</v>
      </c>
      <c r="FQY31" t="s">
        <v>6984</v>
      </c>
      <c r="FQZ31" t="s">
        <v>6984</v>
      </c>
      <c r="FRA31" t="s">
        <v>6984</v>
      </c>
      <c r="FRB31" t="s">
        <v>6984</v>
      </c>
      <c r="FRC31" t="s">
        <v>6984</v>
      </c>
      <c r="FRD31" t="s">
        <v>6984</v>
      </c>
      <c r="FRE31" t="s">
        <v>6984</v>
      </c>
      <c r="FRF31" t="s">
        <v>6984</v>
      </c>
      <c r="FRG31" t="s">
        <v>6984</v>
      </c>
      <c r="FRH31" t="s">
        <v>6984</v>
      </c>
      <c r="FRI31" t="s">
        <v>6984</v>
      </c>
      <c r="FRJ31" t="s">
        <v>6984</v>
      </c>
      <c r="FRK31" t="s">
        <v>6984</v>
      </c>
      <c r="FRL31" t="s">
        <v>6984</v>
      </c>
      <c r="FRM31" t="s">
        <v>6984</v>
      </c>
      <c r="FRN31" t="s">
        <v>6984</v>
      </c>
      <c r="FRO31" t="s">
        <v>6984</v>
      </c>
      <c r="FRP31" t="s">
        <v>6984</v>
      </c>
      <c r="FRQ31" t="s">
        <v>6984</v>
      </c>
      <c r="FRR31" t="s">
        <v>6984</v>
      </c>
      <c r="FRS31" t="s">
        <v>6984</v>
      </c>
      <c r="FRT31" t="s">
        <v>6984</v>
      </c>
      <c r="FRU31" t="s">
        <v>6984</v>
      </c>
      <c r="FRV31" t="s">
        <v>6984</v>
      </c>
      <c r="FRW31" t="s">
        <v>6984</v>
      </c>
      <c r="FRX31" t="s">
        <v>6984</v>
      </c>
      <c r="FRY31" t="s">
        <v>6984</v>
      </c>
      <c r="FRZ31" t="s">
        <v>6984</v>
      </c>
      <c r="FSA31" t="s">
        <v>6984</v>
      </c>
      <c r="FSB31" t="s">
        <v>6984</v>
      </c>
      <c r="FSC31" t="s">
        <v>6984</v>
      </c>
      <c r="FSD31" t="s">
        <v>6984</v>
      </c>
      <c r="FSE31" t="s">
        <v>6984</v>
      </c>
      <c r="FSF31" t="s">
        <v>6984</v>
      </c>
      <c r="FSG31" t="s">
        <v>6984</v>
      </c>
      <c r="FSH31" t="s">
        <v>6984</v>
      </c>
      <c r="FSI31" t="s">
        <v>6984</v>
      </c>
      <c r="FSJ31" t="s">
        <v>6984</v>
      </c>
      <c r="FSK31" t="s">
        <v>6984</v>
      </c>
      <c r="FSL31" t="s">
        <v>6984</v>
      </c>
      <c r="FSM31" t="s">
        <v>6984</v>
      </c>
      <c r="FSN31" t="s">
        <v>6984</v>
      </c>
      <c r="FSO31" t="s">
        <v>6984</v>
      </c>
      <c r="FSP31" t="s">
        <v>6984</v>
      </c>
      <c r="FSQ31" t="s">
        <v>6984</v>
      </c>
      <c r="FSR31" t="s">
        <v>6984</v>
      </c>
      <c r="FSS31" t="s">
        <v>6984</v>
      </c>
      <c r="FST31" t="s">
        <v>6984</v>
      </c>
      <c r="FSU31" t="s">
        <v>6984</v>
      </c>
      <c r="FSV31" t="s">
        <v>6984</v>
      </c>
      <c r="FSW31" t="s">
        <v>6984</v>
      </c>
      <c r="FSX31" t="s">
        <v>6984</v>
      </c>
      <c r="FSY31" t="s">
        <v>6984</v>
      </c>
      <c r="FSZ31" t="s">
        <v>6984</v>
      </c>
      <c r="FTA31" t="s">
        <v>6984</v>
      </c>
      <c r="FTB31" t="s">
        <v>6984</v>
      </c>
      <c r="FTC31" t="s">
        <v>6984</v>
      </c>
      <c r="FTD31" t="s">
        <v>6984</v>
      </c>
      <c r="FTE31" t="s">
        <v>6984</v>
      </c>
      <c r="FTF31" t="s">
        <v>6984</v>
      </c>
      <c r="FTG31" t="s">
        <v>6984</v>
      </c>
      <c r="FTH31" t="s">
        <v>6984</v>
      </c>
      <c r="FTI31" t="s">
        <v>6984</v>
      </c>
      <c r="FTJ31" t="s">
        <v>6984</v>
      </c>
      <c r="FTK31" t="s">
        <v>6984</v>
      </c>
      <c r="FTL31" t="s">
        <v>6984</v>
      </c>
      <c r="FTM31" t="s">
        <v>6984</v>
      </c>
      <c r="FTN31" t="s">
        <v>6984</v>
      </c>
      <c r="FTO31" t="s">
        <v>6984</v>
      </c>
      <c r="FTP31" t="s">
        <v>6984</v>
      </c>
      <c r="FTQ31" t="s">
        <v>6984</v>
      </c>
      <c r="FTR31" t="s">
        <v>6984</v>
      </c>
      <c r="FTS31" t="s">
        <v>6984</v>
      </c>
      <c r="FTT31" t="s">
        <v>6984</v>
      </c>
      <c r="FTU31" t="s">
        <v>6984</v>
      </c>
      <c r="FTV31" t="s">
        <v>6984</v>
      </c>
      <c r="FTW31" t="s">
        <v>6984</v>
      </c>
      <c r="FTX31" t="s">
        <v>6984</v>
      </c>
      <c r="FTY31" t="s">
        <v>6984</v>
      </c>
      <c r="FTZ31" t="s">
        <v>6984</v>
      </c>
      <c r="FUA31" t="s">
        <v>6984</v>
      </c>
      <c r="FUB31" t="s">
        <v>6984</v>
      </c>
      <c r="FUC31" t="s">
        <v>6984</v>
      </c>
      <c r="FUD31" t="s">
        <v>6984</v>
      </c>
      <c r="FUE31" t="s">
        <v>6984</v>
      </c>
      <c r="FUF31" t="s">
        <v>6984</v>
      </c>
      <c r="FUG31" t="s">
        <v>6984</v>
      </c>
      <c r="FUH31" t="s">
        <v>6984</v>
      </c>
      <c r="FUI31" t="s">
        <v>6984</v>
      </c>
      <c r="FUJ31" t="s">
        <v>6984</v>
      </c>
      <c r="FUK31" t="s">
        <v>6984</v>
      </c>
      <c r="FUL31" t="s">
        <v>6984</v>
      </c>
      <c r="FUM31" t="s">
        <v>6984</v>
      </c>
      <c r="FUN31" t="s">
        <v>6984</v>
      </c>
      <c r="FUO31" t="s">
        <v>6984</v>
      </c>
      <c r="FUP31" t="s">
        <v>6984</v>
      </c>
      <c r="FUQ31" t="s">
        <v>6984</v>
      </c>
      <c r="FUR31" t="s">
        <v>6984</v>
      </c>
      <c r="FUS31" t="s">
        <v>6984</v>
      </c>
      <c r="FUT31" t="s">
        <v>6984</v>
      </c>
      <c r="FUU31" t="s">
        <v>6984</v>
      </c>
      <c r="FUV31" t="s">
        <v>6984</v>
      </c>
      <c r="FUW31" t="s">
        <v>6984</v>
      </c>
      <c r="FUX31" t="s">
        <v>6984</v>
      </c>
      <c r="FUY31" t="s">
        <v>6984</v>
      </c>
      <c r="FUZ31" t="s">
        <v>6984</v>
      </c>
      <c r="FVA31" t="s">
        <v>6984</v>
      </c>
      <c r="FVB31" t="s">
        <v>6984</v>
      </c>
      <c r="FVC31" t="s">
        <v>6984</v>
      </c>
      <c r="FVD31" t="s">
        <v>6984</v>
      </c>
      <c r="FVE31" t="s">
        <v>6984</v>
      </c>
      <c r="FVF31" t="s">
        <v>6984</v>
      </c>
      <c r="FVG31" t="s">
        <v>6984</v>
      </c>
      <c r="FVH31" t="s">
        <v>6984</v>
      </c>
      <c r="FVI31" t="s">
        <v>6984</v>
      </c>
      <c r="FVJ31" t="s">
        <v>6984</v>
      </c>
      <c r="FVK31" t="s">
        <v>6984</v>
      </c>
      <c r="FVL31" t="s">
        <v>6984</v>
      </c>
      <c r="FVM31" t="s">
        <v>6984</v>
      </c>
      <c r="FVN31" t="s">
        <v>6984</v>
      </c>
      <c r="FVO31" t="s">
        <v>6984</v>
      </c>
      <c r="FVP31" t="s">
        <v>6984</v>
      </c>
      <c r="FVQ31" t="s">
        <v>6984</v>
      </c>
      <c r="FVR31" t="s">
        <v>6984</v>
      </c>
      <c r="FVS31" t="s">
        <v>6984</v>
      </c>
      <c r="FVT31" t="s">
        <v>6984</v>
      </c>
      <c r="FVU31" t="s">
        <v>6984</v>
      </c>
      <c r="FVV31" t="s">
        <v>6984</v>
      </c>
      <c r="FVW31" t="s">
        <v>6984</v>
      </c>
      <c r="FVX31" t="s">
        <v>6984</v>
      </c>
      <c r="FVY31" t="s">
        <v>6984</v>
      </c>
      <c r="FVZ31" t="s">
        <v>6984</v>
      </c>
      <c r="FWA31" t="s">
        <v>6984</v>
      </c>
      <c r="FWB31" t="s">
        <v>6984</v>
      </c>
      <c r="FWC31" t="s">
        <v>6984</v>
      </c>
      <c r="FWD31" t="s">
        <v>6984</v>
      </c>
      <c r="FWE31" t="s">
        <v>6984</v>
      </c>
      <c r="FWF31" t="s">
        <v>6984</v>
      </c>
      <c r="FWG31" t="s">
        <v>6984</v>
      </c>
      <c r="FWH31" t="s">
        <v>6984</v>
      </c>
      <c r="FWI31" t="s">
        <v>6984</v>
      </c>
      <c r="FWJ31" t="s">
        <v>6984</v>
      </c>
      <c r="FWK31" t="s">
        <v>6984</v>
      </c>
      <c r="FWL31" t="s">
        <v>6984</v>
      </c>
      <c r="FWM31" t="s">
        <v>6984</v>
      </c>
      <c r="FWN31" t="s">
        <v>6984</v>
      </c>
      <c r="FWO31" t="s">
        <v>6984</v>
      </c>
      <c r="FWP31" t="s">
        <v>6984</v>
      </c>
      <c r="FWQ31" t="s">
        <v>6984</v>
      </c>
      <c r="FWR31" t="s">
        <v>6984</v>
      </c>
      <c r="FWS31" t="s">
        <v>6984</v>
      </c>
      <c r="FWT31" t="s">
        <v>6984</v>
      </c>
      <c r="FWU31" t="s">
        <v>6984</v>
      </c>
      <c r="FWV31" t="s">
        <v>6984</v>
      </c>
      <c r="FWW31" t="s">
        <v>6984</v>
      </c>
      <c r="FWX31" t="s">
        <v>6984</v>
      </c>
      <c r="FWY31" t="s">
        <v>6984</v>
      </c>
      <c r="FWZ31" t="s">
        <v>6984</v>
      </c>
      <c r="FXA31" t="s">
        <v>6984</v>
      </c>
      <c r="FXB31" t="s">
        <v>6984</v>
      </c>
      <c r="FXC31" t="s">
        <v>6984</v>
      </c>
      <c r="FXD31" t="s">
        <v>6984</v>
      </c>
      <c r="FXE31" t="s">
        <v>6984</v>
      </c>
      <c r="FXF31" t="s">
        <v>6984</v>
      </c>
      <c r="FXG31" t="s">
        <v>6984</v>
      </c>
      <c r="FXH31" t="s">
        <v>6984</v>
      </c>
      <c r="FXI31" t="s">
        <v>6984</v>
      </c>
      <c r="FXJ31" t="s">
        <v>6984</v>
      </c>
      <c r="FXK31" t="s">
        <v>6984</v>
      </c>
      <c r="FXL31" t="s">
        <v>6984</v>
      </c>
      <c r="FXM31" t="s">
        <v>6984</v>
      </c>
      <c r="FXN31" t="s">
        <v>6984</v>
      </c>
      <c r="FXO31" t="s">
        <v>6984</v>
      </c>
      <c r="FXP31" t="s">
        <v>6984</v>
      </c>
      <c r="FXQ31" t="s">
        <v>6984</v>
      </c>
      <c r="FXR31" t="s">
        <v>6984</v>
      </c>
      <c r="FXS31" t="s">
        <v>6984</v>
      </c>
      <c r="FXT31" t="s">
        <v>6984</v>
      </c>
      <c r="FXU31" t="s">
        <v>6984</v>
      </c>
      <c r="FXV31" t="s">
        <v>6984</v>
      </c>
      <c r="FXW31" t="s">
        <v>6984</v>
      </c>
      <c r="FXX31" t="s">
        <v>6984</v>
      </c>
      <c r="FXY31" t="s">
        <v>6984</v>
      </c>
      <c r="FXZ31" t="s">
        <v>6984</v>
      </c>
      <c r="FYA31" t="s">
        <v>6984</v>
      </c>
      <c r="FYB31" t="s">
        <v>6984</v>
      </c>
      <c r="FYC31" t="s">
        <v>6984</v>
      </c>
      <c r="FYD31" t="s">
        <v>6984</v>
      </c>
      <c r="FYE31" t="s">
        <v>6984</v>
      </c>
      <c r="FYF31" t="s">
        <v>6984</v>
      </c>
      <c r="FYG31" t="s">
        <v>6984</v>
      </c>
      <c r="FYH31" t="s">
        <v>6984</v>
      </c>
      <c r="FYI31" t="s">
        <v>6984</v>
      </c>
      <c r="FYJ31" t="s">
        <v>6984</v>
      </c>
      <c r="FYK31" t="s">
        <v>6984</v>
      </c>
      <c r="FYL31" t="s">
        <v>6984</v>
      </c>
      <c r="FYM31" t="s">
        <v>6984</v>
      </c>
      <c r="FYN31" t="s">
        <v>6984</v>
      </c>
      <c r="FYO31" t="s">
        <v>6984</v>
      </c>
      <c r="FYP31" t="s">
        <v>6984</v>
      </c>
      <c r="FYQ31" t="s">
        <v>6984</v>
      </c>
      <c r="FYR31" t="s">
        <v>6984</v>
      </c>
      <c r="FYS31" t="s">
        <v>6984</v>
      </c>
      <c r="FYT31" t="s">
        <v>6984</v>
      </c>
      <c r="FYU31" t="s">
        <v>6984</v>
      </c>
      <c r="FYV31" t="s">
        <v>6984</v>
      </c>
      <c r="FYW31" t="s">
        <v>6984</v>
      </c>
      <c r="FYX31" t="s">
        <v>6984</v>
      </c>
      <c r="FYY31" t="s">
        <v>6984</v>
      </c>
      <c r="FYZ31" t="s">
        <v>6984</v>
      </c>
      <c r="FZA31" t="s">
        <v>6984</v>
      </c>
      <c r="FZB31" t="s">
        <v>6984</v>
      </c>
      <c r="FZC31" t="s">
        <v>6984</v>
      </c>
      <c r="FZD31" t="s">
        <v>6984</v>
      </c>
      <c r="FZE31" t="s">
        <v>6984</v>
      </c>
      <c r="FZF31" t="s">
        <v>6984</v>
      </c>
      <c r="FZG31" t="s">
        <v>6984</v>
      </c>
      <c r="FZH31" t="s">
        <v>6984</v>
      </c>
      <c r="FZI31" t="s">
        <v>6984</v>
      </c>
      <c r="FZJ31" t="s">
        <v>6984</v>
      </c>
      <c r="FZK31" t="s">
        <v>6984</v>
      </c>
      <c r="FZL31" t="s">
        <v>6984</v>
      </c>
      <c r="FZM31" t="s">
        <v>6984</v>
      </c>
      <c r="FZN31" t="s">
        <v>6984</v>
      </c>
      <c r="FZO31" t="s">
        <v>6984</v>
      </c>
      <c r="FZP31" t="s">
        <v>6984</v>
      </c>
      <c r="FZQ31" t="s">
        <v>6984</v>
      </c>
      <c r="FZR31" t="s">
        <v>6984</v>
      </c>
      <c r="FZS31" t="s">
        <v>6984</v>
      </c>
      <c r="FZT31" t="s">
        <v>6984</v>
      </c>
      <c r="FZU31" t="s">
        <v>6984</v>
      </c>
      <c r="FZV31" t="s">
        <v>6984</v>
      </c>
      <c r="FZW31" t="s">
        <v>6984</v>
      </c>
      <c r="FZX31" t="s">
        <v>6984</v>
      </c>
      <c r="FZY31" t="s">
        <v>6984</v>
      </c>
      <c r="FZZ31" t="s">
        <v>6984</v>
      </c>
      <c r="GAA31" t="s">
        <v>6984</v>
      </c>
      <c r="GAB31" t="s">
        <v>6984</v>
      </c>
      <c r="GAC31" t="s">
        <v>6984</v>
      </c>
      <c r="GAD31" t="s">
        <v>6984</v>
      </c>
      <c r="GAE31" t="s">
        <v>6984</v>
      </c>
      <c r="GAF31" t="s">
        <v>6984</v>
      </c>
      <c r="GAG31" t="s">
        <v>6984</v>
      </c>
      <c r="GAH31" t="s">
        <v>6984</v>
      </c>
      <c r="GAI31" t="s">
        <v>6984</v>
      </c>
      <c r="GAJ31" t="s">
        <v>6984</v>
      </c>
      <c r="GAK31" t="s">
        <v>6984</v>
      </c>
      <c r="GAL31" t="s">
        <v>6984</v>
      </c>
      <c r="GAM31" t="s">
        <v>6984</v>
      </c>
      <c r="GAN31" t="s">
        <v>6984</v>
      </c>
      <c r="GAO31" t="s">
        <v>6984</v>
      </c>
      <c r="GAP31" t="s">
        <v>6984</v>
      </c>
      <c r="GAQ31" t="s">
        <v>6984</v>
      </c>
      <c r="GAR31" t="s">
        <v>6984</v>
      </c>
      <c r="GAS31" t="s">
        <v>6984</v>
      </c>
      <c r="GAT31" t="s">
        <v>6984</v>
      </c>
      <c r="GAU31" t="s">
        <v>6984</v>
      </c>
      <c r="GAV31" t="s">
        <v>6984</v>
      </c>
      <c r="GAW31" t="s">
        <v>6984</v>
      </c>
      <c r="GAX31" t="s">
        <v>6984</v>
      </c>
      <c r="GAY31" t="s">
        <v>6984</v>
      </c>
      <c r="GAZ31" t="s">
        <v>6984</v>
      </c>
      <c r="GBA31" t="s">
        <v>6984</v>
      </c>
      <c r="GBB31" t="s">
        <v>6984</v>
      </c>
      <c r="GBC31" t="s">
        <v>6984</v>
      </c>
      <c r="GBD31" t="s">
        <v>6984</v>
      </c>
      <c r="GBE31" t="s">
        <v>6984</v>
      </c>
      <c r="GBF31" t="s">
        <v>6984</v>
      </c>
      <c r="GBG31" t="s">
        <v>6984</v>
      </c>
      <c r="GBH31" t="s">
        <v>6984</v>
      </c>
      <c r="GBI31" t="s">
        <v>6984</v>
      </c>
      <c r="GBJ31" t="s">
        <v>6984</v>
      </c>
      <c r="GBK31" t="s">
        <v>6984</v>
      </c>
      <c r="GBL31" t="s">
        <v>6984</v>
      </c>
      <c r="GBM31" t="s">
        <v>6984</v>
      </c>
      <c r="GBN31" t="s">
        <v>6984</v>
      </c>
      <c r="GBO31" t="s">
        <v>6984</v>
      </c>
      <c r="GBP31" t="s">
        <v>6984</v>
      </c>
      <c r="GBQ31" t="s">
        <v>6984</v>
      </c>
      <c r="GBR31" t="s">
        <v>6984</v>
      </c>
      <c r="GBS31" t="s">
        <v>6984</v>
      </c>
      <c r="GBT31" t="s">
        <v>6984</v>
      </c>
      <c r="GBU31" t="s">
        <v>6984</v>
      </c>
      <c r="GBV31" t="s">
        <v>6984</v>
      </c>
      <c r="GBW31" t="s">
        <v>6984</v>
      </c>
      <c r="GBX31" t="s">
        <v>6984</v>
      </c>
      <c r="GBY31" t="s">
        <v>6984</v>
      </c>
      <c r="GBZ31" t="s">
        <v>6984</v>
      </c>
      <c r="GCA31" t="s">
        <v>6984</v>
      </c>
      <c r="GCB31" t="s">
        <v>6984</v>
      </c>
      <c r="GCC31" t="s">
        <v>6984</v>
      </c>
      <c r="GCD31" t="s">
        <v>6984</v>
      </c>
      <c r="GCE31" t="s">
        <v>6984</v>
      </c>
      <c r="GCF31" t="s">
        <v>6984</v>
      </c>
      <c r="GCG31" t="s">
        <v>6984</v>
      </c>
      <c r="GCH31" t="s">
        <v>6984</v>
      </c>
      <c r="GCI31" t="s">
        <v>6984</v>
      </c>
      <c r="GCJ31" t="s">
        <v>6984</v>
      </c>
      <c r="GCK31" t="s">
        <v>6984</v>
      </c>
      <c r="GCL31" t="s">
        <v>6984</v>
      </c>
      <c r="GCM31" t="s">
        <v>6984</v>
      </c>
      <c r="GCN31" t="s">
        <v>6984</v>
      </c>
      <c r="GCO31" t="s">
        <v>6984</v>
      </c>
      <c r="GCP31" t="s">
        <v>6984</v>
      </c>
      <c r="GCQ31" t="s">
        <v>6984</v>
      </c>
      <c r="GCR31" t="s">
        <v>6984</v>
      </c>
      <c r="GCS31" t="s">
        <v>6984</v>
      </c>
      <c r="GCT31" t="s">
        <v>6984</v>
      </c>
      <c r="GCU31" t="s">
        <v>6984</v>
      </c>
      <c r="GCV31" t="s">
        <v>6984</v>
      </c>
      <c r="GCW31" t="s">
        <v>6984</v>
      </c>
      <c r="GCX31" t="s">
        <v>6984</v>
      </c>
      <c r="GCY31" t="s">
        <v>6984</v>
      </c>
      <c r="GCZ31" t="s">
        <v>6984</v>
      </c>
      <c r="GDA31" t="s">
        <v>6984</v>
      </c>
      <c r="GDB31" t="s">
        <v>6984</v>
      </c>
      <c r="GDC31" t="s">
        <v>6984</v>
      </c>
      <c r="GDD31" t="s">
        <v>6984</v>
      </c>
      <c r="GDE31" t="s">
        <v>6984</v>
      </c>
      <c r="GDF31" t="s">
        <v>6984</v>
      </c>
      <c r="GDG31" t="s">
        <v>6984</v>
      </c>
      <c r="GDH31" t="s">
        <v>6984</v>
      </c>
      <c r="GDI31" t="s">
        <v>6984</v>
      </c>
      <c r="GDJ31" t="s">
        <v>6984</v>
      </c>
      <c r="GDK31" t="s">
        <v>6984</v>
      </c>
      <c r="GDL31" t="s">
        <v>6984</v>
      </c>
      <c r="GDM31" t="s">
        <v>6984</v>
      </c>
      <c r="GDN31" t="s">
        <v>6984</v>
      </c>
      <c r="GDO31" t="s">
        <v>6984</v>
      </c>
      <c r="GDP31" t="s">
        <v>6984</v>
      </c>
      <c r="GDQ31" t="s">
        <v>6984</v>
      </c>
      <c r="GDR31" t="s">
        <v>6984</v>
      </c>
      <c r="GDS31" t="s">
        <v>6984</v>
      </c>
      <c r="GDT31" t="s">
        <v>6984</v>
      </c>
      <c r="GDU31" t="s">
        <v>6984</v>
      </c>
      <c r="GDV31" t="s">
        <v>6984</v>
      </c>
      <c r="GDW31" t="s">
        <v>6984</v>
      </c>
      <c r="GDX31" t="s">
        <v>6984</v>
      </c>
      <c r="GDY31" t="s">
        <v>6984</v>
      </c>
      <c r="GDZ31" t="s">
        <v>6984</v>
      </c>
      <c r="GEA31" t="s">
        <v>6984</v>
      </c>
      <c r="GEB31" t="s">
        <v>6984</v>
      </c>
      <c r="GEC31" t="s">
        <v>6984</v>
      </c>
      <c r="GED31" t="s">
        <v>6984</v>
      </c>
      <c r="GEE31" t="s">
        <v>6984</v>
      </c>
      <c r="GEF31" t="s">
        <v>6984</v>
      </c>
      <c r="GEG31" t="s">
        <v>6984</v>
      </c>
      <c r="GEH31" t="s">
        <v>6984</v>
      </c>
      <c r="GEI31" t="s">
        <v>6984</v>
      </c>
      <c r="GEJ31" t="s">
        <v>6984</v>
      </c>
      <c r="GEK31" t="s">
        <v>6984</v>
      </c>
      <c r="GEL31" t="s">
        <v>6984</v>
      </c>
      <c r="GEM31" t="s">
        <v>6984</v>
      </c>
      <c r="GEN31" t="s">
        <v>6984</v>
      </c>
      <c r="GEO31" t="s">
        <v>6984</v>
      </c>
      <c r="GEP31" t="s">
        <v>6984</v>
      </c>
      <c r="GEQ31" t="s">
        <v>6984</v>
      </c>
      <c r="GER31" t="s">
        <v>6984</v>
      </c>
      <c r="GES31" t="s">
        <v>6984</v>
      </c>
      <c r="GET31" t="s">
        <v>6984</v>
      </c>
      <c r="GEU31" t="s">
        <v>6984</v>
      </c>
      <c r="GEV31" t="s">
        <v>6984</v>
      </c>
      <c r="GEW31" t="s">
        <v>6984</v>
      </c>
      <c r="GEX31" t="s">
        <v>6984</v>
      </c>
      <c r="GEY31" t="s">
        <v>6984</v>
      </c>
      <c r="GEZ31" t="s">
        <v>6984</v>
      </c>
      <c r="GFA31" t="s">
        <v>6984</v>
      </c>
      <c r="GFB31" t="s">
        <v>6984</v>
      </c>
      <c r="GFC31" t="s">
        <v>6984</v>
      </c>
      <c r="GFD31" t="s">
        <v>6984</v>
      </c>
      <c r="GFE31" t="s">
        <v>6984</v>
      </c>
      <c r="GFF31" t="s">
        <v>6984</v>
      </c>
      <c r="GFG31" t="s">
        <v>6984</v>
      </c>
      <c r="GFH31" t="s">
        <v>6984</v>
      </c>
      <c r="GFI31" t="s">
        <v>6984</v>
      </c>
      <c r="GFJ31" t="s">
        <v>6984</v>
      </c>
      <c r="GFK31" t="s">
        <v>6984</v>
      </c>
      <c r="GFL31" t="s">
        <v>6984</v>
      </c>
      <c r="GFM31" t="s">
        <v>6984</v>
      </c>
      <c r="GFN31" t="s">
        <v>6984</v>
      </c>
      <c r="GFO31" t="s">
        <v>6984</v>
      </c>
      <c r="GFP31" t="s">
        <v>6984</v>
      </c>
      <c r="GFQ31" t="s">
        <v>6984</v>
      </c>
      <c r="GFR31" t="s">
        <v>6984</v>
      </c>
      <c r="GFS31" t="s">
        <v>6984</v>
      </c>
      <c r="GFT31" t="s">
        <v>6984</v>
      </c>
      <c r="GFU31" t="s">
        <v>6984</v>
      </c>
      <c r="GFV31" t="s">
        <v>6984</v>
      </c>
      <c r="GFW31" t="s">
        <v>6984</v>
      </c>
      <c r="GFX31" t="s">
        <v>6984</v>
      </c>
      <c r="GFY31" t="s">
        <v>6984</v>
      </c>
      <c r="GFZ31" t="s">
        <v>6984</v>
      </c>
      <c r="GGA31" t="s">
        <v>6984</v>
      </c>
      <c r="GGB31" t="s">
        <v>6984</v>
      </c>
      <c r="GGC31" t="s">
        <v>6984</v>
      </c>
      <c r="GGD31" t="s">
        <v>6984</v>
      </c>
      <c r="GGE31" t="s">
        <v>6984</v>
      </c>
      <c r="GGF31" t="s">
        <v>6984</v>
      </c>
      <c r="GGG31" t="s">
        <v>6984</v>
      </c>
      <c r="GGH31" t="s">
        <v>6984</v>
      </c>
      <c r="GGI31" t="s">
        <v>6984</v>
      </c>
      <c r="GGJ31" t="s">
        <v>6984</v>
      </c>
      <c r="GGK31" t="s">
        <v>6984</v>
      </c>
      <c r="GGL31" t="s">
        <v>6984</v>
      </c>
      <c r="GGM31" t="s">
        <v>6984</v>
      </c>
      <c r="GGN31" t="s">
        <v>6984</v>
      </c>
      <c r="GGO31" t="s">
        <v>6984</v>
      </c>
      <c r="GGP31" t="s">
        <v>6984</v>
      </c>
      <c r="GGQ31" t="s">
        <v>6984</v>
      </c>
      <c r="GGR31" t="s">
        <v>6984</v>
      </c>
      <c r="GGS31" t="s">
        <v>6984</v>
      </c>
      <c r="GGT31" t="s">
        <v>6984</v>
      </c>
      <c r="GGU31" t="s">
        <v>6984</v>
      </c>
      <c r="GGV31" t="s">
        <v>6984</v>
      </c>
      <c r="GGW31" t="s">
        <v>6984</v>
      </c>
      <c r="GGX31" t="s">
        <v>6984</v>
      </c>
      <c r="GGY31" t="s">
        <v>6984</v>
      </c>
      <c r="GGZ31" t="s">
        <v>6984</v>
      </c>
      <c r="GHA31" t="s">
        <v>6984</v>
      </c>
      <c r="GHB31" t="s">
        <v>6984</v>
      </c>
      <c r="GHC31" t="s">
        <v>6984</v>
      </c>
      <c r="GHD31" t="s">
        <v>6984</v>
      </c>
      <c r="GHE31" t="s">
        <v>6984</v>
      </c>
      <c r="GHF31" t="s">
        <v>6984</v>
      </c>
      <c r="GHG31" t="s">
        <v>6984</v>
      </c>
      <c r="GHH31" t="s">
        <v>6984</v>
      </c>
      <c r="GHI31" t="s">
        <v>6984</v>
      </c>
      <c r="GHJ31" t="s">
        <v>6984</v>
      </c>
      <c r="GHK31" t="s">
        <v>6984</v>
      </c>
      <c r="GHL31" t="s">
        <v>6984</v>
      </c>
      <c r="GHM31" t="s">
        <v>6984</v>
      </c>
      <c r="GHN31" t="s">
        <v>6984</v>
      </c>
      <c r="GHO31" t="s">
        <v>6984</v>
      </c>
      <c r="GHP31" t="s">
        <v>6984</v>
      </c>
      <c r="GHQ31" t="s">
        <v>6984</v>
      </c>
      <c r="GHR31" t="s">
        <v>6984</v>
      </c>
      <c r="GHS31" t="s">
        <v>6984</v>
      </c>
      <c r="GHT31" t="s">
        <v>6984</v>
      </c>
      <c r="GHU31" t="s">
        <v>6984</v>
      </c>
      <c r="GHV31" t="s">
        <v>6984</v>
      </c>
      <c r="GHW31" t="s">
        <v>6984</v>
      </c>
      <c r="GHX31" t="s">
        <v>6984</v>
      </c>
      <c r="GHY31" t="s">
        <v>6984</v>
      </c>
      <c r="GHZ31" t="s">
        <v>6984</v>
      </c>
      <c r="GIA31" t="s">
        <v>6984</v>
      </c>
      <c r="GIB31" t="s">
        <v>6984</v>
      </c>
      <c r="GIC31" t="s">
        <v>6984</v>
      </c>
      <c r="GID31" t="s">
        <v>6984</v>
      </c>
      <c r="GIE31" t="s">
        <v>6984</v>
      </c>
      <c r="GIF31" t="s">
        <v>6984</v>
      </c>
      <c r="GIG31" t="s">
        <v>6984</v>
      </c>
      <c r="GIH31" t="s">
        <v>6984</v>
      </c>
      <c r="GII31" t="s">
        <v>6984</v>
      </c>
      <c r="GIJ31" t="s">
        <v>6984</v>
      </c>
      <c r="GIK31" t="s">
        <v>6984</v>
      </c>
      <c r="GIL31" t="s">
        <v>6984</v>
      </c>
      <c r="GIM31" t="s">
        <v>6984</v>
      </c>
      <c r="GIN31" t="s">
        <v>6984</v>
      </c>
      <c r="GIO31" t="s">
        <v>6984</v>
      </c>
      <c r="GIP31" t="s">
        <v>6984</v>
      </c>
      <c r="GIQ31" t="s">
        <v>6984</v>
      </c>
      <c r="GIR31" t="s">
        <v>6984</v>
      </c>
      <c r="GIS31" t="s">
        <v>6984</v>
      </c>
      <c r="GIT31" t="s">
        <v>6984</v>
      </c>
      <c r="GIU31" t="s">
        <v>6984</v>
      </c>
      <c r="GIV31" t="s">
        <v>6984</v>
      </c>
      <c r="GIW31" t="s">
        <v>6984</v>
      </c>
      <c r="GIX31" t="s">
        <v>6984</v>
      </c>
      <c r="GIY31" t="s">
        <v>6984</v>
      </c>
      <c r="GIZ31" t="s">
        <v>6984</v>
      </c>
      <c r="GJA31" t="s">
        <v>6984</v>
      </c>
      <c r="GJB31" t="s">
        <v>6984</v>
      </c>
      <c r="GJC31" t="s">
        <v>6984</v>
      </c>
      <c r="GJD31" t="s">
        <v>6984</v>
      </c>
      <c r="GJE31" t="s">
        <v>6984</v>
      </c>
      <c r="GJF31" t="s">
        <v>6984</v>
      </c>
      <c r="GJG31" t="s">
        <v>6984</v>
      </c>
      <c r="GJH31" t="s">
        <v>6984</v>
      </c>
      <c r="GJI31" t="s">
        <v>6984</v>
      </c>
      <c r="GJJ31" t="s">
        <v>6984</v>
      </c>
      <c r="GJK31" t="s">
        <v>6984</v>
      </c>
      <c r="GJL31" t="s">
        <v>6984</v>
      </c>
      <c r="GJM31" t="s">
        <v>6984</v>
      </c>
      <c r="GJN31" t="s">
        <v>6984</v>
      </c>
      <c r="GJO31" t="s">
        <v>6984</v>
      </c>
      <c r="GJP31" t="s">
        <v>6984</v>
      </c>
      <c r="GJQ31" t="s">
        <v>6984</v>
      </c>
      <c r="GJR31" t="s">
        <v>6984</v>
      </c>
      <c r="GJS31" t="s">
        <v>6984</v>
      </c>
      <c r="GJT31" t="s">
        <v>6984</v>
      </c>
      <c r="GJU31" t="s">
        <v>6984</v>
      </c>
      <c r="GJV31" t="s">
        <v>6984</v>
      </c>
      <c r="GJW31" t="s">
        <v>6984</v>
      </c>
      <c r="GJX31" t="s">
        <v>6984</v>
      </c>
      <c r="GJY31" t="s">
        <v>6984</v>
      </c>
      <c r="GJZ31" t="s">
        <v>6984</v>
      </c>
      <c r="GKA31" t="s">
        <v>6984</v>
      </c>
      <c r="GKB31" t="s">
        <v>6984</v>
      </c>
      <c r="GKC31" t="s">
        <v>6984</v>
      </c>
      <c r="GKD31" t="s">
        <v>6984</v>
      </c>
      <c r="GKE31" t="s">
        <v>6984</v>
      </c>
      <c r="GKF31" t="s">
        <v>6984</v>
      </c>
      <c r="GKG31" t="s">
        <v>6984</v>
      </c>
      <c r="GKH31" t="s">
        <v>6984</v>
      </c>
      <c r="GKI31" t="s">
        <v>6984</v>
      </c>
      <c r="GKJ31" t="s">
        <v>6984</v>
      </c>
      <c r="GKK31" t="s">
        <v>6984</v>
      </c>
      <c r="GKL31" t="s">
        <v>6984</v>
      </c>
      <c r="GKM31" t="s">
        <v>6984</v>
      </c>
      <c r="GKN31" t="s">
        <v>6984</v>
      </c>
      <c r="GKO31" t="s">
        <v>6984</v>
      </c>
      <c r="GKP31" t="s">
        <v>6984</v>
      </c>
      <c r="GKQ31" t="s">
        <v>6984</v>
      </c>
      <c r="GKR31" t="s">
        <v>6984</v>
      </c>
      <c r="GKS31" t="s">
        <v>6984</v>
      </c>
      <c r="GKT31" t="s">
        <v>6984</v>
      </c>
      <c r="GKU31" t="s">
        <v>6984</v>
      </c>
      <c r="GKV31" t="s">
        <v>6984</v>
      </c>
      <c r="GKW31" t="s">
        <v>6984</v>
      </c>
      <c r="GKX31" t="s">
        <v>6984</v>
      </c>
      <c r="GKY31" t="s">
        <v>6984</v>
      </c>
      <c r="GKZ31" t="s">
        <v>6984</v>
      </c>
      <c r="GLA31" t="s">
        <v>6984</v>
      </c>
      <c r="GLB31" t="s">
        <v>6984</v>
      </c>
      <c r="GLC31" t="s">
        <v>6984</v>
      </c>
      <c r="GLD31" t="s">
        <v>6984</v>
      </c>
      <c r="GLE31" t="s">
        <v>6984</v>
      </c>
      <c r="GLF31" t="s">
        <v>6984</v>
      </c>
      <c r="GLG31" t="s">
        <v>6984</v>
      </c>
      <c r="GLH31" t="s">
        <v>6984</v>
      </c>
      <c r="GLI31" t="s">
        <v>6984</v>
      </c>
      <c r="GLJ31" t="s">
        <v>6984</v>
      </c>
      <c r="GLK31" t="s">
        <v>6984</v>
      </c>
      <c r="GLL31" t="s">
        <v>6984</v>
      </c>
      <c r="GLM31" t="s">
        <v>6984</v>
      </c>
      <c r="GLN31" t="s">
        <v>6984</v>
      </c>
      <c r="GLO31" t="s">
        <v>6984</v>
      </c>
      <c r="GLP31" t="s">
        <v>6984</v>
      </c>
      <c r="GLQ31" t="s">
        <v>6984</v>
      </c>
      <c r="GLR31" t="s">
        <v>6984</v>
      </c>
      <c r="GLS31" t="s">
        <v>6984</v>
      </c>
      <c r="GLT31" t="s">
        <v>6984</v>
      </c>
      <c r="GLU31" t="s">
        <v>6984</v>
      </c>
      <c r="GLV31" t="s">
        <v>6984</v>
      </c>
      <c r="GLW31" t="s">
        <v>6984</v>
      </c>
      <c r="GLX31" t="s">
        <v>6984</v>
      </c>
      <c r="GLY31" t="s">
        <v>6984</v>
      </c>
      <c r="GLZ31" t="s">
        <v>6984</v>
      </c>
      <c r="GMA31" t="s">
        <v>6984</v>
      </c>
      <c r="GMB31" t="s">
        <v>6984</v>
      </c>
      <c r="GMC31" t="s">
        <v>6984</v>
      </c>
      <c r="GMD31" t="s">
        <v>6984</v>
      </c>
      <c r="GME31" t="s">
        <v>6984</v>
      </c>
      <c r="GMF31" t="s">
        <v>6984</v>
      </c>
      <c r="GMG31" t="s">
        <v>6984</v>
      </c>
      <c r="GMH31" t="s">
        <v>6984</v>
      </c>
      <c r="GMI31" t="s">
        <v>6984</v>
      </c>
      <c r="GMJ31" t="s">
        <v>6984</v>
      </c>
      <c r="GMK31" t="s">
        <v>6984</v>
      </c>
      <c r="GML31" t="s">
        <v>6984</v>
      </c>
      <c r="GMM31" t="s">
        <v>6984</v>
      </c>
      <c r="GMN31" t="s">
        <v>6984</v>
      </c>
      <c r="GMO31" t="s">
        <v>6984</v>
      </c>
      <c r="GMP31" t="s">
        <v>6984</v>
      </c>
      <c r="GMQ31" t="s">
        <v>6984</v>
      </c>
      <c r="GMR31" t="s">
        <v>6984</v>
      </c>
      <c r="GMS31" t="s">
        <v>6984</v>
      </c>
      <c r="GMT31" t="s">
        <v>6984</v>
      </c>
      <c r="GMU31" t="s">
        <v>6984</v>
      </c>
      <c r="GMV31" t="s">
        <v>6984</v>
      </c>
      <c r="GMW31" t="s">
        <v>6984</v>
      </c>
      <c r="GMX31" t="s">
        <v>6984</v>
      </c>
      <c r="GMY31" t="s">
        <v>6984</v>
      </c>
      <c r="GMZ31" t="s">
        <v>6984</v>
      </c>
      <c r="GNA31" t="s">
        <v>6984</v>
      </c>
      <c r="GNB31" t="s">
        <v>6984</v>
      </c>
      <c r="GNC31" t="s">
        <v>6984</v>
      </c>
      <c r="GND31" t="s">
        <v>6984</v>
      </c>
      <c r="GNE31" t="s">
        <v>6984</v>
      </c>
      <c r="GNF31" t="s">
        <v>6984</v>
      </c>
      <c r="GNG31" t="s">
        <v>6984</v>
      </c>
      <c r="GNH31" t="s">
        <v>6984</v>
      </c>
      <c r="GNI31" t="s">
        <v>6984</v>
      </c>
      <c r="GNJ31" t="s">
        <v>6984</v>
      </c>
      <c r="GNK31" t="s">
        <v>6984</v>
      </c>
      <c r="GNL31" t="s">
        <v>6984</v>
      </c>
      <c r="GNM31" t="s">
        <v>6984</v>
      </c>
      <c r="GNN31" t="s">
        <v>6984</v>
      </c>
      <c r="GNO31" t="s">
        <v>6984</v>
      </c>
      <c r="GNP31" t="s">
        <v>6984</v>
      </c>
      <c r="GNQ31" t="s">
        <v>6984</v>
      </c>
      <c r="GNR31" t="s">
        <v>6984</v>
      </c>
      <c r="GNS31" t="s">
        <v>6984</v>
      </c>
      <c r="GNT31" t="s">
        <v>6984</v>
      </c>
      <c r="GNU31" t="s">
        <v>6984</v>
      </c>
      <c r="GNV31" t="s">
        <v>6984</v>
      </c>
      <c r="GNW31" t="s">
        <v>6984</v>
      </c>
      <c r="GNX31" t="s">
        <v>6984</v>
      </c>
      <c r="GNY31" t="s">
        <v>6984</v>
      </c>
      <c r="GNZ31" t="s">
        <v>6984</v>
      </c>
      <c r="GOA31" t="s">
        <v>6984</v>
      </c>
      <c r="GOB31" t="s">
        <v>6984</v>
      </c>
      <c r="GOC31" t="s">
        <v>6984</v>
      </c>
      <c r="GOD31" t="s">
        <v>6984</v>
      </c>
      <c r="GOE31" t="s">
        <v>6984</v>
      </c>
      <c r="GOF31" t="s">
        <v>6984</v>
      </c>
      <c r="GOG31" t="s">
        <v>6984</v>
      </c>
      <c r="GOH31" t="s">
        <v>6984</v>
      </c>
      <c r="GOI31" t="s">
        <v>6984</v>
      </c>
      <c r="GOJ31" t="s">
        <v>6984</v>
      </c>
      <c r="GOK31" t="s">
        <v>6984</v>
      </c>
      <c r="GOL31" t="s">
        <v>6984</v>
      </c>
      <c r="GOM31" t="s">
        <v>6984</v>
      </c>
      <c r="GON31" t="s">
        <v>6984</v>
      </c>
      <c r="GOO31" t="s">
        <v>6984</v>
      </c>
      <c r="GOP31" t="s">
        <v>6984</v>
      </c>
      <c r="GOQ31" t="s">
        <v>6984</v>
      </c>
      <c r="GOR31" t="s">
        <v>6984</v>
      </c>
      <c r="GOS31" t="s">
        <v>6984</v>
      </c>
      <c r="GOT31" t="s">
        <v>6984</v>
      </c>
      <c r="GOU31" t="s">
        <v>6984</v>
      </c>
      <c r="GOV31" t="s">
        <v>6984</v>
      </c>
      <c r="GOW31" t="s">
        <v>6984</v>
      </c>
      <c r="GOX31" t="s">
        <v>6984</v>
      </c>
      <c r="GOY31" t="s">
        <v>6984</v>
      </c>
      <c r="GOZ31" t="s">
        <v>6984</v>
      </c>
      <c r="GPA31" t="s">
        <v>6984</v>
      </c>
      <c r="GPB31" t="s">
        <v>6984</v>
      </c>
      <c r="GPC31" t="s">
        <v>6984</v>
      </c>
      <c r="GPD31" t="s">
        <v>6984</v>
      </c>
      <c r="GPE31" t="s">
        <v>6984</v>
      </c>
      <c r="GPF31" t="s">
        <v>6984</v>
      </c>
      <c r="GPG31" t="s">
        <v>6984</v>
      </c>
      <c r="GPH31" t="s">
        <v>6984</v>
      </c>
      <c r="GPI31" t="s">
        <v>6984</v>
      </c>
      <c r="GPJ31" t="s">
        <v>6984</v>
      </c>
      <c r="GPK31" t="s">
        <v>6984</v>
      </c>
      <c r="GPL31" t="s">
        <v>6984</v>
      </c>
      <c r="GPM31" t="s">
        <v>6984</v>
      </c>
      <c r="GPN31" t="s">
        <v>6984</v>
      </c>
      <c r="GPO31" t="s">
        <v>6984</v>
      </c>
      <c r="GPP31" t="s">
        <v>6984</v>
      </c>
      <c r="GPQ31" t="s">
        <v>6984</v>
      </c>
      <c r="GPR31" t="s">
        <v>6984</v>
      </c>
      <c r="GPS31" t="s">
        <v>6984</v>
      </c>
      <c r="GPT31" t="s">
        <v>6984</v>
      </c>
      <c r="GPU31" t="s">
        <v>6984</v>
      </c>
      <c r="GPV31" t="s">
        <v>6984</v>
      </c>
      <c r="GPW31" t="s">
        <v>6984</v>
      </c>
      <c r="GPX31" t="s">
        <v>6984</v>
      </c>
      <c r="GPY31" t="s">
        <v>6984</v>
      </c>
      <c r="GPZ31" t="s">
        <v>6984</v>
      </c>
      <c r="GQA31" t="s">
        <v>6984</v>
      </c>
      <c r="GQB31" t="s">
        <v>6984</v>
      </c>
      <c r="GQC31" t="s">
        <v>6984</v>
      </c>
      <c r="GQD31" t="s">
        <v>6984</v>
      </c>
      <c r="GQE31" t="s">
        <v>6984</v>
      </c>
      <c r="GQF31" t="s">
        <v>6984</v>
      </c>
      <c r="GQG31" t="s">
        <v>6984</v>
      </c>
      <c r="GQH31" t="s">
        <v>6984</v>
      </c>
      <c r="GQI31" t="s">
        <v>6984</v>
      </c>
      <c r="GQJ31" t="s">
        <v>6984</v>
      </c>
      <c r="GQK31" t="s">
        <v>6984</v>
      </c>
      <c r="GQL31" t="s">
        <v>6984</v>
      </c>
      <c r="GQM31" t="s">
        <v>6984</v>
      </c>
      <c r="GQN31" t="s">
        <v>6984</v>
      </c>
      <c r="GQO31" t="s">
        <v>6984</v>
      </c>
      <c r="GQP31" t="s">
        <v>6984</v>
      </c>
      <c r="GQQ31" t="s">
        <v>6984</v>
      </c>
      <c r="GQR31" t="s">
        <v>6984</v>
      </c>
      <c r="GQS31" t="s">
        <v>6984</v>
      </c>
      <c r="GQT31" t="s">
        <v>6984</v>
      </c>
      <c r="GQU31" t="s">
        <v>6984</v>
      </c>
      <c r="GQV31" t="s">
        <v>6984</v>
      </c>
      <c r="GQW31" t="s">
        <v>6984</v>
      </c>
      <c r="GQX31" t="s">
        <v>6984</v>
      </c>
      <c r="GQY31" t="s">
        <v>6984</v>
      </c>
      <c r="GQZ31" t="s">
        <v>6984</v>
      </c>
      <c r="GRA31" t="s">
        <v>6984</v>
      </c>
      <c r="GRB31" t="s">
        <v>6984</v>
      </c>
      <c r="GRC31" t="s">
        <v>6984</v>
      </c>
      <c r="GRD31" t="s">
        <v>6984</v>
      </c>
      <c r="GRE31" t="s">
        <v>6984</v>
      </c>
      <c r="GRF31" t="s">
        <v>6984</v>
      </c>
      <c r="GRG31" t="s">
        <v>6984</v>
      </c>
      <c r="GRH31" t="s">
        <v>6984</v>
      </c>
      <c r="GRI31" t="s">
        <v>6984</v>
      </c>
      <c r="GRJ31" t="s">
        <v>6984</v>
      </c>
      <c r="GRK31" t="s">
        <v>6984</v>
      </c>
      <c r="GRL31" t="s">
        <v>6984</v>
      </c>
      <c r="GRM31" t="s">
        <v>6984</v>
      </c>
      <c r="GRN31" t="s">
        <v>6984</v>
      </c>
      <c r="GRO31" t="s">
        <v>6984</v>
      </c>
      <c r="GRP31" t="s">
        <v>6984</v>
      </c>
      <c r="GRQ31" t="s">
        <v>6984</v>
      </c>
      <c r="GRR31" t="s">
        <v>6984</v>
      </c>
      <c r="GRS31" t="s">
        <v>6984</v>
      </c>
      <c r="GRT31" t="s">
        <v>6984</v>
      </c>
      <c r="GRU31" t="s">
        <v>6984</v>
      </c>
      <c r="GRV31" t="s">
        <v>6984</v>
      </c>
      <c r="GRW31" t="s">
        <v>6984</v>
      </c>
      <c r="GRX31" t="s">
        <v>6984</v>
      </c>
      <c r="GRY31" t="s">
        <v>6984</v>
      </c>
      <c r="GRZ31" t="s">
        <v>6984</v>
      </c>
      <c r="GSA31" t="s">
        <v>6984</v>
      </c>
      <c r="GSB31" t="s">
        <v>6984</v>
      </c>
      <c r="GSC31" t="s">
        <v>6984</v>
      </c>
      <c r="GSD31" t="s">
        <v>6984</v>
      </c>
      <c r="GSE31" t="s">
        <v>6984</v>
      </c>
      <c r="GSF31" t="s">
        <v>6984</v>
      </c>
      <c r="GSG31" t="s">
        <v>6984</v>
      </c>
      <c r="GSH31" t="s">
        <v>6984</v>
      </c>
      <c r="GSI31" t="s">
        <v>6984</v>
      </c>
      <c r="GSJ31" t="s">
        <v>6984</v>
      </c>
      <c r="GSK31" t="s">
        <v>6984</v>
      </c>
      <c r="GSL31" t="s">
        <v>6984</v>
      </c>
      <c r="GSM31" t="s">
        <v>6984</v>
      </c>
      <c r="GSN31" t="s">
        <v>6984</v>
      </c>
      <c r="GSO31" t="s">
        <v>6984</v>
      </c>
      <c r="GSP31" t="s">
        <v>6984</v>
      </c>
      <c r="GSQ31" t="s">
        <v>6984</v>
      </c>
      <c r="GSR31" t="s">
        <v>6984</v>
      </c>
      <c r="GSS31" t="s">
        <v>6984</v>
      </c>
      <c r="GST31" t="s">
        <v>6984</v>
      </c>
      <c r="GSU31" t="s">
        <v>6984</v>
      </c>
      <c r="GSV31" t="s">
        <v>6984</v>
      </c>
      <c r="GSW31" t="s">
        <v>6984</v>
      </c>
      <c r="GSX31" t="s">
        <v>6984</v>
      </c>
      <c r="GSY31" t="s">
        <v>6984</v>
      </c>
      <c r="GSZ31" t="s">
        <v>6984</v>
      </c>
      <c r="GTA31" t="s">
        <v>6984</v>
      </c>
      <c r="GTB31" t="s">
        <v>6984</v>
      </c>
      <c r="GTC31" t="s">
        <v>6984</v>
      </c>
      <c r="GTD31" t="s">
        <v>6984</v>
      </c>
      <c r="GTE31" t="s">
        <v>6984</v>
      </c>
      <c r="GTF31" t="s">
        <v>6984</v>
      </c>
      <c r="GTG31" t="s">
        <v>6984</v>
      </c>
      <c r="GTH31" t="s">
        <v>6984</v>
      </c>
      <c r="GTI31" t="s">
        <v>6984</v>
      </c>
      <c r="GTJ31" t="s">
        <v>6984</v>
      </c>
      <c r="GTK31" t="s">
        <v>6984</v>
      </c>
      <c r="GTL31" t="s">
        <v>6984</v>
      </c>
      <c r="GTM31" t="s">
        <v>6984</v>
      </c>
      <c r="GTN31" t="s">
        <v>6984</v>
      </c>
      <c r="GTO31" t="s">
        <v>6984</v>
      </c>
      <c r="GTP31" t="s">
        <v>6984</v>
      </c>
      <c r="GTQ31" t="s">
        <v>6984</v>
      </c>
      <c r="GTR31" t="s">
        <v>6984</v>
      </c>
      <c r="GTS31" t="s">
        <v>6984</v>
      </c>
      <c r="GTT31" t="s">
        <v>6984</v>
      </c>
      <c r="GTU31" t="s">
        <v>6984</v>
      </c>
      <c r="GTV31" t="s">
        <v>6984</v>
      </c>
      <c r="GTW31" t="s">
        <v>6984</v>
      </c>
      <c r="GTX31" t="s">
        <v>6984</v>
      </c>
      <c r="GTY31" t="s">
        <v>6984</v>
      </c>
      <c r="GTZ31" t="s">
        <v>6984</v>
      </c>
      <c r="GUA31" t="s">
        <v>6984</v>
      </c>
      <c r="GUB31" t="s">
        <v>6984</v>
      </c>
      <c r="GUC31" t="s">
        <v>6984</v>
      </c>
      <c r="GUD31" t="s">
        <v>6984</v>
      </c>
      <c r="GUE31" t="s">
        <v>6984</v>
      </c>
      <c r="GUF31" t="s">
        <v>6984</v>
      </c>
      <c r="GUG31" t="s">
        <v>6984</v>
      </c>
      <c r="GUH31" t="s">
        <v>6984</v>
      </c>
      <c r="GUI31" t="s">
        <v>6984</v>
      </c>
      <c r="GUJ31" t="s">
        <v>6984</v>
      </c>
      <c r="GUK31" t="s">
        <v>6984</v>
      </c>
      <c r="GUL31" t="s">
        <v>6984</v>
      </c>
      <c r="GUM31" t="s">
        <v>6984</v>
      </c>
      <c r="GUN31" t="s">
        <v>6984</v>
      </c>
      <c r="GUO31" t="s">
        <v>6984</v>
      </c>
      <c r="GUP31" t="s">
        <v>6984</v>
      </c>
      <c r="GUQ31" t="s">
        <v>6984</v>
      </c>
      <c r="GUR31" t="s">
        <v>6984</v>
      </c>
      <c r="GUS31" t="s">
        <v>6984</v>
      </c>
      <c r="GUT31" t="s">
        <v>6984</v>
      </c>
      <c r="GUU31" t="s">
        <v>6984</v>
      </c>
      <c r="GUV31" t="s">
        <v>6984</v>
      </c>
      <c r="GUW31" t="s">
        <v>6984</v>
      </c>
      <c r="GUX31" t="s">
        <v>6984</v>
      </c>
      <c r="GUY31" t="s">
        <v>6984</v>
      </c>
      <c r="GUZ31" t="s">
        <v>6984</v>
      </c>
      <c r="GVA31" t="s">
        <v>6984</v>
      </c>
      <c r="GVB31" t="s">
        <v>6984</v>
      </c>
      <c r="GVC31" t="s">
        <v>6984</v>
      </c>
      <c r="GVD31" t="s">
        <v>6984</v>
      </c>
      <c r="GVE31" t="s">
        <v>6984</v>
      </c>
      <c r="GVF31" t="s">
        <v>6984</v>
      </c>
      <c r="GVG31" t="s">
        <v>6984</v>
      </c>
      <c r="GVH31" t="s">
        <v>6984</v>
      </c>
      <c r="GVI31" t="s">
        <v>6984</v>
      </c>
      <c r="GVJ31" t="s">
        <v>6984</v>
      </c>
      <c r="GVK31" t="s">
        <v>6984</v>
      </c>
      <c r="GVL31" t="s">
        <v>6984</v>
      </c>
      <c r="GVM31" t="s">
        <v>6984</v>
      </c>
      <c r="GVN31" t="s">
        <v>6984</v>
      </c>
      <c r="GVO31" t="s">
        <v>6984</v>
      </c>
      <c r="GVP31" t="s">
        <v>6984</v>
      </c>
      <c r="GVQ31" t="s">
        <v>6984</v>
      </c>
      <c r="GVR31" t="s">
        <v>6984</v>
      </c>
      <c r="GVS31" t="s">
        <v>6984</v>
      </c>
      <c r="GVT31" t="s">
        <v>6984</v>
      </c>
      <c r="GVU31" t="s">
        <v>6984</v>
      </c>
      <c r="GVV31" t="s">
        <v>6984</v>
      </c>
      <c r="GVW31" t="s">
        <v>6984</v>
      </c>
      <c r="GVX31" t="s">
        <v>6984</v>
      </c>
      <c r="GVY31" t="s">
        <v>6984</v>
      </c>
      <c r="GVZ31" t="s">
        <v>6984</v>
      </c>
      <c r="GWA31" t="s">
        <v>6984</v>
      </c>
      <c r="GWB31" t="s">
        <v>6984</v>
      </c>
      <c r="GWC31" t="s">
        <v>6984</v>
      </c>
      <c r="GWD31" t="s">
        <v>6984</v>
      </c>
      <c r="GWE31" t="s">
        <v>6984</v>
      </c>
      <c r="GWF31" t="s">
        <v>6984</v>
      </c>
      <c r="GWG31" t="s">
        <v>6984</v>
      </c>
      <c r="GWH31" t="s">
        <v>6984</v>
      </c>
      <c r="GWI31" t="s">
        <v>6984</v>
      </c>
      <c r="GWJ31" t="s">
        <v>6984</v>
      </c>
      <c r="GWK31" t="s">
        <v>6984</v>
      </c>
      <c r="GWL31" t="s">
        <v>6984</v>
      </c>
      <c r="GWM31" t="s">
        <v>6984</v>
      </c>
      <c r="GWN31" t="s">
        <v>6984</v>
      </c>
      <c r="GWO31" t="s">
        <v>6984</v>
      </c>
      <c r="GWP31" t="s">
        <v>6984</v>
      </c>
      <c r="GWQ31" t="s">
        <v>6984</v>
      </c>
      <c r="GWR31" t="s">
        <v>6984</v>
      </c>
      <c r="GWS31" t="s">
        <v>6984</v>
      </c>
      <c r="GWT31" t="s">
        <v>6984</v>
      </c>
      <c r="GWU31" t="s">
        <v>6984</v>
      </c>
      <c r="GWV31" t="s">
        <v>6984</v>
      </c>
      <c r="GWW31" t="s">
        <v>6984</v>
      </c>
      <c r="GWX31" t="s">
        <v>6984</v>
      </c>
      <c r="GWY31" t="s">
        <v>6984</v>
      </c>
      <c r="GWZ31" t="s">
        <v>6984</v>
      </c>
      <c r="GXA31" t="s">
        <v>6984</v>
      </c>
      <c r="GXB31" t="s">
        <v>6984</v>
      </c>
      <c r="GXC31" t="s">
        <v>6984</v>
      </c>
      <c r="GXD31" t="s">
        <v>6984</v>
      </c>
      <c r="GXE31" t="s">
        <v>6984</v>
      </c>
      <c r="GXF31" t="s">
        <v>6984</v>
      </c>
      <c r="GXG31" t="s">
        <v>6984</v>
      </c>
      <c r="GXH31" t="s">
        <v>6984</v>
      </c>
      <c r="GXI31" t="s">
        <v>6984</v>
      </c>
      <c r="GXJ31" t="s">
        <v>6984</v>
      </c>
      <c r="GXK31" t="s">
        <v>6984</v>
      </c>
      <c r="GXL31" t="s">
        <v>6984</v>
      </c>
      <c r="GXM31" t="s">
        <v>6984</v>
      </c>
      <c r="GXN31" t="s">
        <v>6984</v>
      </c>
      <c r="GXO31" t="s">
        <v>6984</v>
      </c>
      <c r="GXP31" t="s">
        <v>6984</v>
      </c>
      <c r="GXQ31" t="s">
        <v>6984</v>
      </c>
      <c r="GXR31" t="s">
        <v>6984</v>
      </c>
      <c r="GXS31" t="s">
        <v>6984</v>
      </c>
      <c r="GXT31" t="s">
        <v>6984</v>
      </c>
      <c r="GXU31" t="s">
        <v>6984</v>
      </c>
      <c r="GXV31" t="s">
        <v>6984</v>
      </c>
      <c r="GXW31" t="s">
        <v>6984</v>
      </c>
      <c r="GXX31" t="s">
        <v>6984</v>
      </c>
      <c r="GXY31" t="s">
        <v>6984</v>
      </c>
      <c r="GXZ31" t="s">
        <v>6984</v>
      </c>
      <c r="GYA31" t="s">
        <v>6984</v>
      </c>
      <c r="GYB31" t="s">
        <v>6984</v>
      </c>
      <c r="GYC31" t="s">
        <v>6984</v>
      </c>
      <c r="GYD31" t="s">
        <v>6984</v>
      </c>
      <c r="GYE31" t="s">
        <v>6984</v>
      </c>
      <c r="GYF31" t="s">
        <v>6984</v>
      </c>
      <c r="GYG31" t="s">
        <v>6984</v>
      </c>
      <c r="GYH31" t="s">
        <v>6984</v>
      </c>
      <c r="GYI31" t="s">
        <v>6984</v>
      </c>
      <c r="GYJ31" t="s">
        <v>6984</v>
      </c>
      <c r="GYK31" t="s">
        <v>6984</v>
      </c>
      <c r="GYL31" t="s">
        <v>6984</v>
      </c>
      <c r="GYM31" t="s">
        <v>6984</v>
      </c>
      <c r="GYN31" t="s">
        <v>6984</v>
      </c>
      <c r="GYO31" t="s">
        <v>6984</v>
      </c>
      <c r="GYP31" t="s">
        <v>6984</v>
      </c>
      <c r="GYQ31" t="s">
        <v>6984</v>
      </c>
      <c r="GYR31" t="s">
        <v>6984</v>
      </c>
      <c r="GYS31" t="s">
        <v>6984</v>
      </c>
      <c r="GYT31" t="s">
        <v>6984</v>
      </c>
      <c r="GYU31" t="s">
        <v>6984</v>
      </c>
      <c r="GYV31" t="s">
        <v>6984</v>
      </c>
      <c r="GYW31" t="s">
        <v>6984</v>
      </c>
      <c r="GYX31" t="s">
        <v>6984</v>
      </c>
      <c r="GYY31" t="s">
        <v>6984</v>
      </c>
      <c r="GYZ31" t="s">
        <v>6984</v>
      </c>
      <c r="GZA31" t="s">
        <v>6984</v>
      </c>
      <c r="GZB31" t="s">
        <v>6984</v>
      </c>
      <c r="GZC31" t="s">
        <v>6984</v>
      </c>
      <c r="GZD31" t="s">
        <v>6984</v>
      </c>
      <c r="GZE31" t="s">
        <v>6984</v>
      </c>
      <c r="GZF31" t="s">
        <v>6984</v>
      </c>
      <c r="GZG31" t="s">
        <v>6984</v>
      </c>
      <c r="GZH31" t="s">
        <v>6984</v>
      </c>
      <c r="GZI31" t="s">
        <v>6984</v>
      </c>
      <c r="GZJ31" t="s">
        <v>6984</v>
      </c>
      <c r="GZK31" t="s">
        <v>6984</v>
      </c>
      <c r="GZL31" t="s">
        <v>6984</v>
      </c>
      <c r="GZM31" t="s">
        <v>6984</v>
      </c>
      <c r="GZN31" t="s">
        <v>6984</v>
      </c>
      <c r="GZO31" t="s">
        <v>6984</v>
      </c>
      <c r="GZP31" t="s">
        <v>6984</v>
      </c>
      <c r="GZQ31" t="s">
        <v>6984</v>
      </c>
      <c r="GZR31" t="s">
        <v>6984</v>
      </c>
      <c r="GZS31" t="s">
        <v>6984</v>
      </c>
      <c r="GZT31" t="s">
        <v>6984</v>
      </c>
      <c r="GZU31" t="s">
        <v>6984</v>
      </c>
      <c r="GZV31" t="s">
        <v>6984</v>
      </c>
      <c r="GZW31" t="s">
        <v>6984</v>
      </c>
      <c r="GZX31" t="s">
        <v>6984</v>
      </c>
      <c r="GZY31" t="s">
        <v>6984</v>
      </c>
      <c r="GZZ31" t="s">
        <v>6984</v>
      </c>
      <c r="HAA31" t="s">
        <v>6984</v>
      </c>
      <c r="HAB31" t="s">
        <v>6984</v>
      </c>
      <c r="HAC31" t="s">
        <v>6984</v>
      </c>
      <c r="HAD31" t="s">
        <v>6984</v>
      </c>
      <c r="HAE31" t="s">
        <v>6984</v>
      </c>
      <c r="HAF31" t="s">
        <v>6984</v>
      </c>
      <c r="HAG31" t="s">
        <v>6984</v>
      </c>
      <c r="HAH31" t="s">
        <v>6984</v>
      </c>
      <c r="HAI31" t="s">
        <v>6984</v>
      </c>
      <c r="HAJ31" t="s">
        <v>6984</v>
      </c>
      <c r="HAK31" t="s">
        <v>6984</v>
      </c>
      <c r="HAL31" t="s">
        <v>6984</v>
      </c>
      <c r="HAM31" t="s">
        <v>6984</v>
      </c>
      <c r="HAN31" t="s">
        <v>6984</v>
      </c>
      <c r="HAO31" t="s">
        <v>6984</v>
      </c>
      <c r="HAP31" t="s">
        <v>6984</v>
      </c>
      <c r="HAQ31" t="s">
        <v>6984</v>
      </c>
      <c r="HAR31" t="s">
        <v>6984</v>
      </c>
      <c r="HAS31" t="s">
        <v>6984</v>
      </c>
      <c r="HAT31" t="s">
        <v>6984</v>
      </c>
      <c r="HAU31" t="s">
        <v>6984</v>
      </c>
      <c r="HAV31" t="s">
        <v>6984</v>
      </c>
      <c r="HAW31" t="s">
        <v>6984</v>
      </c>
      <c r="HAX31" t="s">
        <v>6984</v>
      </c>
      <c r="HAY31" t="s">
        <v>6984</v>
      </c>
      <c r="HAZ31" t="s">
        <v>6984</v>
      </c>
      <c r="HBA31" t="s">
        <v>6984</v>
      </c>
      <c r="HBB31" t="s">
        <v>6984</v>
      </c>
      <c r="HBC31" t="s">
        <v>6984</v>
      </c>
      <c r="HBD31" t="s">
        <v>6984</v>
      </c>
      <c r="HBE31" t="s">
        <v>6984</v>
      </c>
      <c r="HBF31" t="s">
        <v>6984</v>
      </c>
      <c r="HBG31" t="s">
        <v>6984</v>
      </c>
      <c r="HBH31" t="s">
        <v>6984</v>
      </c>
      <c r="HBI31" t="s">
        <v>6984</v>
      </c>
      <c r="HBJ31" t="s">
        <v>6984</v>
      </c>
      <c r="HBK31" t="s">
        <v>6984</v>
      </c>
      <c r="HBL31" t="s">
        <v>6984</v>
      </c>
      <c r="HBM31" t="s">
        <v>6984</v>
      </c>
      <c r="HBN31" t="s">
        <v>6984</v>
      </c>
      <c r="HBO31" t="s">
        <v>6984</v>
      </c>
      <c r="HBP31" t="s">
        <v>6984</v>
      </c>
      <c r="HBQ31" t="s">
        <v>6984</v>
      </c>
      <c r="HBR31" t="s">
        <v>6984</v>
      </c>
      <c r="HBS31" t="s">
        <v>6984</v>
      </c>
      <c r="HBT31" t="s">
        <v>6984</v>
      </c>
      <c r="HBU31" t="s">
        <v>6984</v>
      </c>
      <c r="HBV31" t="s">
        <v>6984</v>
      </c>
      <c r="HBW31" t="s">
        <v>6984</v>
      </c>
      <c r="HBX31" t="s">
        <v>6984</v>
      </c>
      <c r="HBY31" t="s">
        <v>6984</v>
      </c>
      <c r="HBZ31" t="s">
        <v>6984</v>
      </c>
      <c r="HCA31" t="s">
        <v>6984</v>
      </c>
      <c r="HCB31" t="s">
        <v>6984</v>
      </c>
      <c r="HCC31" t="s">
        <v>6984</v>
      </c>
      <c r="HCD31" t="s">
        <v>6984</v>
      </c>
      <c r="HCE31" t="s">
        <v>6984</v>
      </c>
      <c r="HCF31" t="s">
        <v>6984</v>
      </c>
      <c r="HCG31" t="s">
        <v>6984</v>
      </c>
      <c r="HCH31" t="s">
        <v>6984</v>
      </c>
      <c r="HCI31" t="s">
        <v>6984</v>
      </c>
      <c r="HCJ31" t="s">
        <v>6984</v>
      </c>
      <c r="HCK31" t="s">
        <v>6984</v>
      </c>
      <c r="HCL31" t="s">
        <v>6984</v>
      </c>
      <c r="HCM31" t="s">
        <v>6984</v>
      </c>
      <c r="HCN31" t="s">
        <v>6984</v>
      </c>
      <c r="HCO31" t="s">
        <v>6984</v>
      </c>
      <c r="HCP31" t="s">
        <v>6984</v>
      </c>
      <c r="HCQ31" t="s">
        <v>6984</v>
      </c>
      <c r="HCR31" t="s">
        <v>6984</v>
      </c>
      <c r="HCS31" t="s">
        <v>6984</v>
      </c>
      <c r="HCT31" t="s">
        <v>6984</v>
      </c>
      <c r="HCU31" t="s">
        <v>6984</v>
      </c>
      <c r="HCV31" t="s">
        <v>6984</v>
      </c>
      <c r="HCW31" t="s">
        <v>6984</v>
      </c>
      <c r="HCX31" t="s">
        <v>6984</v>
      </c>
      <c r="HCY31" t="s">
        <v>6984</v>
      </c>
      <c r="HCZ31" t="s">
        <v>6984</v>
      </c>
      <c r="HDA31" t="s">
        <v>6984</v>
      </c>
      <c r="HDB31" t="s">
        <v>6984</v>
      </c>
      <c r="HDC31" t="s">
        <v>6984</v>
      </c>
      <c r="HDD31" t="s">
        <v>6984</v>
      </c>
      <c r="HDE31" t="s">
        <v>6984</v>
      </c>
      <c r="HDF31" t="s">
        <v>6984</v>
      </c>
      <c r="HDG31" t="s">
        <v>6984</v>
      </c>
      <c r="HDH31" t="s">
        <v>6984</v>
      </c>
      <c r="HDI31" t="s">
        <v>6984</v>
      </c>
      <c r="HDJ31" t="s">
        <v>6984</v>
      </c>
      <c r="HDK31" t="s">
        <v>6984</v>
      </c>
      <c r="HDL31" t="s">
        <v>6984</v>
      </c>
      <c r="HDM31" t="s">
        <v>6984</v>
      </c>
      <c r="HDN31" t="s">
        <v>6984</v>
      </c>
      <c r="HDO31" t="s">
        <v>6984</v>
      </c>
      <c r="HDP31" t="s">
        <v>6984</v>
      </c>
      <c r="HDQ31" t="s">
        <v>6984</v>
      </c>
      <c r="HDR31" t="s">
        <v>6984</v>
      </c>
      <c r="HDS31" t="s">
        <v>6984</v>
      </c>
      <c r="HDT31" t="s">
        <v>6984</v>
      </c>
      <c r="HDU31" t="s">
        <v>6984</v>
      </c>
      <c r="HDV31" t="s">
        <v>6984</v>
      </c>
      <c r="HDW31" t="s">
        <v>6984</v>
      </c>
      <c r="HDX31" t="s">
        <v>6984</v>
      </c>
      <c r="HDY31" t="s">
        <v>6984</v>
      </c>
      <c r="HDZ31" t="s">
        <v>6984</v>
      </c>
      <c r="HEA31" t="s">
        <v>6984</v>
      </c>
      <c r="HEB31" t="s">
        <v>6984</v>
      </c>
      <c r="HEC31" t="s">
        <v>6984</v>
      </c>
      <c r="HED31" t="s">
        <v>6984</v>
      </c>
      <c r="HEE31" t="s">
        <v>6984</v>
      </c>
      <c r="HEF31" t="s">
        <v>6984</v>
      </c>
      <c r="HEG31" t="s">
        <v>6984</v>
      </c>
      <c r="HEH31" t="s">
        <v>6984</v>
      </c>
      <c r="HEI31" t="s">
        <v>6984</v>
      </c>
      <c r="HEJ31" t="s">
        <v>6984</v>
      </c>
      <c r="HEK31" t="s">
        <v>6984</v>
      </c>
      <c r="HEL31" t="s">
        <v>6984</v>
      </c>
      <c r="HEM31" t="s">
        <v>6984</v>
      </c>
      <c r="HEN31" t="s">
        <v>6984</v>
      </c>
      <c r="HEO31" t="s">
        <v>6984</v>
      </c>
      <c r="HEP31" t="s">
        <v>6984</v>
      </c>
      <c r="HEQ31" t="s">
        <v>6984</v>
      </c>
      <c r="HER31" t="s">
        <v>6984</v>
      </c>
      <c r="HES31" t="s">
        <v>6984</v>
      </c>
      <c r="HET31" t="s">
        <v>6984</v>
      </c>
      <c r="HEU31" t="s">
        <v>6984</v>
      </c>
      <c r="HEV31" t="s">
        <v>6984</v>
      </c>
      <c r="HEW31" t="s">
        <v>6984</v>
      </c>
      <c r="HEX31" t="s">
        <v>6984</v>
      </c>
      <c r="HEY31" t="s">
        <v>6984</v>
      </c>
      <c r="HEZ31" t="s">
        <v>6984</v>
      </c>
      <c r="HFA31" t="s">
        <v>6984</v>
      </c>
      <c r="HFB31" t="s">
        <v>6984</v>
      </c>
      <c r="HFC31" t="s">
        <v>6984</v>
      </c>
      <c r="HFD31" t="s">
        <v>6984</v>
      </c>
      <c r="HFE31" t="s">
        <v>6984</v>
      </c>
      <c r="HFF31" t="s">
        <v>6984</v>
      </c>
      <c r="HFG31" t="s">
        <v>6984</v>
      </c>
      <c r="HFH31" t="s">
        <v>6984</v>
      </c>
      <c r="HFI31" t="s">
        <v>6984</v>
      </c>
      <c r="HFJ31" t="s">
        <v>6984</v>
      </c>
      <c r="HFK31" t="s">
        <v>6984</v>
      </c>
      <c r="HFL31" t="s">
        <v>6984</v>
      </c>
      <c r="HFM31" t="s">
        <v>6984</v>
      </c>
      <c r="HFN31" t="s">
        <v>6984</v>
      </c>
      <c r="HFO31" t="s">
        <v>6984</v>
      </c>
      <c r="HFP31" t="s">
        <v>6984</v>
      </c>
      <c r="HFQ31" t="s">
        <v>6984</v>
      </c>
      <c r="HFR31" t="s">
        <v>6984</v>
      </c>
      <c r="HFS31" t="s">
        <v>6984</v>
      </c>
      <c r="HFT31" t="s">
        <v>6984</v>
      </c>
      <c r="HFU31" t="s">
        <v>6984</v>
      </c>
      <c r="HFV31" t="s">
        <v>6984</v>
      </c>
      <c r="HFW31" t="s">
        <v>6984</v>
      </c>
      <c r="HFX31" t="s">
        <v>6984</v>
      </c>
      <c r="HFY31" t="s">
        <v>6984</v>
      </c>
      <c r="HFZ31" t="s">
        <v>6984</v>
      </c>
      <c r="HGA31" t="s">
        <v>6984</v>
      </c>
      <c r="HGB31" t="s">
        <v>6984</v>
      </c>
      <c r="HGC31" t="s">
        <v>6984</v>
      </c>
      <c r="HGD31" t="s">
        <v>6984</v>
      </c>
      <c r="HGE31" t="s">
        <v>6984</v>
      </c>
      <c r="HGF31" t="s">
        <v>6984</v>
      </c>
      <c r="HGG31" t="s">
        <v>6984</v>
      </c>
      <c r="HGH31" t="s">
        <v>6984</v>
      </c>
      <c r="HGI31" t="s">
        <v>6984</v>
      </c>
      <c r="HGJ31" t="s">
        <v>6984</v>
      </c>
      <c r="HGK31" t="s">
        <v>6984</v>
      </c>
      <c r="HGL31" t="s">
        <v>6984</v>
      </c>
      <c r="HGM31" t="s">
        <v>6984</v>
      </c>
      <c r="HGN31" t="s">
        <v>6984</v>
      </c>
      <c r="HGO31" t="s">
        <v>6984</v>
      </c>
      <c r="HGP31" t="s">
        <v>6984</v>
      </c>
      <c r="HGQ31" t="s">
        <v>6984</v>
      </c>
      <c r="HGR31" t="s">
        <v>6984</v>
      </c>
      <c r="HGS31" t="s">
        <v>6984</v>
      </c>
      <c r="HGT31" t="s">
        <v>6984</v>
      </c>
      <c r="HGU31" t="s">
        <v>6984</v>
      </c>
      <c r="HGV31" t="s">
        <v>6984</v>
      </c>
      <c r="HGW31" t="s">
        <v>6984</v>
      </c>
      <c r="HGX31" t="s">
        <v>6984</v>
      </c>
      <c r="HGY31" t="s">
        <v>6984</v>
      </c>
      <c r="HGZ31" t="s">
        <v>6984</v>
      </c>
      <c r="HHA31" t="s">
        <v>6984</v>
      </c>
      <c r="HHB31" t="s">
        <v>6984</v>
      </c>
      <c r="HHC31" t="s">
        <v>6984</v>
      </c>
      <c r="HHD31" t="s">
        <v>6984</v>
      </c>
      <c r="HHE31" t="s">
        <v>6984</v>
      </c>
      <c r="HHF31" t="s">
        <v>6984</v>
      </c>
      <c r="HHG31" t="s">
        <v>6984</v>
      </c>
      <c r="HHH31" t="s">
        <v>6984</v>
      </c>
      <c r="HHI31" t="s">
        <v>6984</v>
      </c>
      <c r="HHJ31" t="s">
        <v>6984</v>
      </c>
      <c r="HHK31" t="s">
        <v>6984</v>
      </c>
      <c r="HHL31" t="s">
        <v>6984</v>
      </c>
      <c r="HHM31" t="s">
        <v>6984</v>
      </c>
      <c r="HHN31" t="s">
        <v>6984</v>
      </c>
      <c r="HHO31" t="s">
        <v>6984</v>
      </c>
      <c r="HHP31" t="s">
        <v>6984</v>
      </c>
      <c r="HHQ31" t="s">
        <v>6984</v>
      </c>
      <c r="HHR31" t="s">
        <v>6984</v>
      </c>
      <c r="HHS31" t="s">
        <v>6984</v>
      </c>
      <c r="HHT31" t="s">
        <v>6984</v>
      </c>
      <c r="HHU31" t="s">
        <v>6984</v>
      </c>
      <c r="HHV31" t="s">
        <v>6984</v>
      </c>
      <c r="HHW31" t="s">
        <v>6984</v>
      </c>
      <c r="HHX31" t="s">
        <v>6984</v>
      </c>
      <c r="HHY31" t="s">
        <v>6984</v>
      </c>
      <c r="HHZ31" t="s">
        <v>6984</v>
      </c>
      <c r="HIA31" t="s">
        <v>6984</v>
      </c>
      <c r="HIB31" t="s">
        <v>6984</v>
      </c>
      <c r="HIC31" t="s">
        <v>6984</v>
      </c>
      <c r="HID31" t="s">
        <v>6984</v>
      </c>
      <c r="HIE31" t="s">
        <v>6984</v>
      </c>
      <c r="HIF31" t="s">
        <v>6984</v>
      </c>
      <c r="HIG31" t="s">
        <v>6984</v>
      </c>
      <c r="HIH31" t="s">
        <v>6984</v>
      </c>
      <c r="HII31" t="s">
        <v>6984</v>
      </c>
      <c r="HIJ31" t="s">
        <v>6984</v>
      </c>
      <c r="HIK31" t="s">
        <v>6984</v>
      </c>
      <c r="HIL31" t="s">
        <v>6984</v>
      </c>
      <c r="HIM31" t="s">
        <v>6984</v>
      </c>
      <c r="HIN31" t="s">
        <v>6984</v>
      </c>
      <c r="HIO31" t="s">
        <v>6984</v>
      </c>
      <c r="HIP31" t="s">
        <v>6984</v>
      </c>
      <c r="HIQ31" t="s">
        <v>6984</v>
      </c>
      <c r="HIR31" t="s">
        <v>6984</v>
      </c>
      <c r="HIS31" t="s">
        <v>6984</v>
      </c>
      <c r="HIT31" t="s">
        <v>6984</v>
      </c>
      <c r="HIU31" t="s">
        <v>6984</v>
      </c>
      <c r="HIV31" t="s">
        <v>6984</v>
      </c>
      <c r="HIW31" t="s">
        <v>6984</v>
      </c>
      <c r="HIX31" t="s">
        <v>6984</v>
      </c>
      <c r="HIY31" t="s">
        <v>6984</v>
      </c>
      <c r="HIZ31" t="s">
        <v>6984</v>
      </c>
      <c r="HJA31" t="s">
        <v>6984</v>
      </c>
      <c r="HJB31" t="s">
        <v>6984</v>
      </c>
      <c r="HJC31" t="s">
        <v>6984</v>
      </c>
      <c r="HJD31" t="s">
        <v>6984</v>
      </c>
      <c r="HJE31" t="s">
        <v>6984</v>
      </c>
      <c r="HJF31" t="s">
        <v>6984</v>
      </c>
      <c r="HJG31" t="s">
        <v>6984</v>
      </c>
      <c r="HJH31" t="s">
        <v>6984</v>
      </c>
      <c r="HJI31" t="s">
        <v>6984</v>
      </c>
      <c r="HJJ31" t="s">
        <v>6984</v>
      </c>
      <c r="HJK31" t="s">
        <v>6984</v>
      </c>
      <c r="HJL31" t="s">
        <v>6984</v>
      </c>
      <c r="HJM31" t="s">
        <v>6984</v>
      </c>
      <c r="HJN31" t="s">
        <v>6984</v>
      </c>
      <c r="HJO31" t="s">
        <v>6984</v>
      </c>
      <c r="HJP31" t="s">
        <v>6984</v>
      </c>
      <c r="HJQ31" t="s">
        <v>6984</v>
      </c>
      <c r="HJR31" t="s">
        <v>6984</v>
      </c>
      <c r="HJS31" t="s">
        <v>6984</v>
      </c>
      <c r="HJT31" t="s">
        <v>6984</v>
      </c>
      <c r="HJU31" t="s">
        <v>6984</v>
      </c>
      <c r="HJV31" t="s">
        <v>6984</v>
      </c>
      <c r="HJW31" t="s">
        <v>6984</v>
      </c>
      <c r="HJX31" t="s">
        <v>6984</v>
      </c>
      <c r="HJY31" t="s">
        <v>6984</v>
      </c>
      <c r="HJZ31" t="s">
        <v>6984</v>
      </c>
      <c r="HKA31" t="s">
        <v>6984</v>
      </c>
      <c r="HKB31" t="s">
        <v>6984</v>
      </c>
      <c r="HKC31" t="s">
        <v>6984</v>
      </c>
      <c r="HKD31" t="s">
        <v>6984</v>
      </c>
      <c r="HKE31" t="s">
        <v>6984</v>
      </c>
      <c r="HKF31" t="s">
        <v>6984</v>
      </c>
      <c r="HKG31" t="s">
        <v>6984</v>
      </c>
      <c r="HKH31" t="s">
        <v>6984</v>
      </c>
      <c r="HKI31" t="s">
        <v>6984</v>
      </c>
      <c r="HKJ31" t="s">
        <v>6984</v>
      </c>
      <c r="HKK31" t="s">
        <v>6984</v>
      </c>
      <c r="HKL31" t="s">
        <v>6984</v>
      </c>
      <c r="HKM31" t="s">
        <v>6984</v>
      </c>
      <c r="HKN31" t="s">
        <v>6984</v>
      </c>
      <c r="HKO31" t="s">
        <v>6984</v>
      </c>
      <c r="HKP31" t="s">
        <v>6984</v>
      </c>
      <c r="HKQ31" t="s">
        <v>6984</v>
      </c>
      <c r="HKR31" t="s">
        <v>6984</v>
      </c>
      <c r="HKS31" t="s">
        <v>6984</v>
      </c>
      <c r="HKT31" t="s">
        <v>6984</v>
      </c>
      <c r="HKU31" t="s">
        <v>6984</v>
      </c>
      <c r="HKV31" t="s">
        <v>6984</v>
      </c>
      <c r="HKW31" t="s">
        <v>6984</v>
      </c>
      <c r="HKX31" t="s">
        <v>6984</v>
      </c>
      <c r="HKY31" t="s">
        <v>6984</v>
      </c>
      <c r="HKZ31" t="s">
        <v>6984</v>
      </c>
      <c r="HLA31" t="s">
        <v>6984</v>
      </c>
      <c r="HLB31" t="s">
        <v>6984</v>
      </c>
      <c r="HLC31" t="s">
        <v>6984</v>
      </c>
      <c r="HLD31" t="s">
        <v>6984</v>
      </c>
      <c r="HLE31" t="s">
        <v>6984</v>
      </c>
      <c r="HLF31" t="s">
        <v>6984</v>
      </c>
      <c r="HLG31" t="s">
        <v>6984</v>
      </c>
      <c r="HLH31" t="s">
        <v>6984</v>
      </c>
      <c r="HLI31" t="s">
        <v>6984</v>
      </c>
      <c r="HLJ31" t="s">
        <v>6984</v>
      </c>
      <c r="HLK31" t="s">
        <v>6984</v>
      </c>
      <c r="HLL31" t="s">
        <v>6984</v>
      </c>
      <c r="HLM31" t="s">
        <v>6984</v>
      </c>
      <c r="HLN31" t="s">
        <v>6984</v>
      </c>
      <c r="HLO31" t="s">
        <v>6984</v>
      </c>
      <c r="HLP31" t="s">
        <v>6984</v>
      </c>
      <c r="HLQ31" t="s">
        <v>6984</v>
      </c>
      <c r="HLR31" t="s">
        <v>6984</v>
      </c>
      <c r="HLS31" t="s">
        <v>6984</v>
      </c>
      <c r="HLT31" t="s">
        <v>6984</v>
      </c>
      <c r="HLU31" t="s">
        <v>6984</v>
      </c>
      <c r="HLV31" t="s">
        <v>6984</v>
      </c>
      <c r="HLW31" t="s">
        <v>6984</v>
      </c>
      <c r="HLX31" t="s">
        <v>6984</v>
      </c>
      <c r="HLY31" t="s">
        <v>6984</v>
      </c>
      <c r="HLZ31" t="s">
        <v>6984</v>
      </c>
      <c r="HMA31" t="s">
        <v>6984</v>
      </c>
      <c r="HMB31" t="s">
        <v>6984</v>
      </c>
      <c r="HMC31" t="s">
        <v>6984</v>
      </c>
      <c r="HMD31" t="s">
        <v>6984</v>
      </c>
      <c r="HME31" t="s">
        <v>6984</v>
      </c>
      <c r="HMF31" t="s">
        <v>6984</v>
      </c>
      <c r="HMG31" t="s">
        <v>6984</v>
      </c>
      <c r="HMH31" t="s">
        <v>6984</v>
      </c>
      <c r="HMI31" t="s">
        <v>6984</v>
      </c>
      <c r="HMJ31" t="s">
        <v>6984</v>
      </c>
      <c r="HMK31" t="s">
        <v>6984</v>
      </c>
      <c r="HML31" t="s">
        <v>6984</v>
      </c>
      <c r="HMM31" t="s">
        <v>6984</v>
      </c>
      <c r="HMN31" t="s">
        <v>6984</v>
      </c>
      <c r="HMO31" t="s">
        <v>6984</v>
      </c>
      <c r="HMP31" t="s">
        <v>6984</v>
      </c>
      <c r="HMQ31" t="s">
        <v>6984</v>
      </c>
      <c r="HMR31" t="s">
        <v>6984</v>
      </c>
      <c r="HMS31" t="s">
        <v>6984</v>
      </c>
      <c r="HMT31" t="s">
        <v>6984</v>
      </c>
      <c r="HMU31" t="s">
        <v>6984</v>
      </c>
      <c r="HMV31" t="s">
        <v>6984</v>
      </c>
      <c r="HMW31" t="s">
        <v>6984</v>
      </c>
      <c r="HMX31" t="s">
        <v>6984</v>
      </c>
      <c r="HMY31" t="s">
        <v>6984</v>
      </c>
      <c r="HMZ31" t="s">
        <v>6984</v>
      </c>
      <c r="HNA31" t="s">
        <v>6984</v>
      </c>
      <c r="HNB31" t="s">
        <v>6984</v>
      </c>
      <c r="HNC31" t="s">
        <v>6984</v>
      </c>
      <c r="HND31" t="s">
        <v>6984</v>
      </c>
      <c r="HNE31" t="s">
        <v>6984</v>
      </c>
      <c r="HNF31" t="s">
        <v>6984</v>
      </c>
      <c r="HNG31" t="s">
        <v>6984</v>
      </c>
      <c r="HNH31" t="s">
        <v>6984</v>
      </c>
      <c r="HNI31" t="s">
        <v>6984</v>
      </c>
      <c r="HNJ31" t="s">
        <v>6984</v>
      </c>
      <c r="HNK31" t="s">
        <v>6984</v>
      </c>
      <c r="HNL31" t="s">
        <v>6984</v>
      </c>
      <c r="HNM31" t="s">
        <v>6984</v>
      </c>
      <c r="HNN31" t="s">
        <v>6984</v>
      </c>
      <c r="HNO31" t="s">
        <v>6984</v>
      </c>
      <c r="HNP31" t="s">
        <v>6984</v>
      </c>
      <c r="HNQ31" t="s">
        <v>6984</v>
      </c>
      <c r="HNR31" t="s">
        <v>6984</v>
      </c>
      <c r="HNS31" t="s">
        <v>6984</v>
      </c>
      <c r="HNT31" t="s">
        <v>6984</v>
      </c>
      <c r="HNU31" t="s">
        <v>6984</v>
      </c>
      <c r="HNV31" t="s">
        <v>6984</v>
      </c>
      <c r="HNW31" t="s">
        <v>6984</v>
      </c>
      <c r="HNX31" t="s">
        <v>6984</v>
      </c>
      <c r="HNY31" t="s">
        <v>6984</v>
      </c>
      <c r="HNZ31" t="s">
        <v>6984</v>
      </c>
      <c r="HOA31" t="s">
        <v>6984</v>
      </c>
      <c r="HOB31" t="s">
        <v>6984</v>
      </c>
      <c r="HOC31" t="s">
        <v>6984</v>
      </c>
      <c r="HOD31" t="s">
        <v>6984</v>
      </c>
      <c r="HOE31" t="s">
        <v>6984</v>
      </c>
      <c r="HOF31" t="s">
        <v>6984</v>
      </c>
      <c r="HOG31" t="s">
        <v>6984</v>
      </c>
      <c r="HOH31" t="s">
        <v>6984</v>
      </c>
      <c r="HOI31" t="s">
        <v>6984</v>
      </c>
      <c r="HOJ31" t="s">
        <v>6984</v>
      </c>
      <c r="HOK31" t="s">
        <v>6984</v>
      </c>
      <c r="HOL31" t="s">
        <v>6984</v>
      </c>
      <c r="HOM31" t="s">
        <v>6984</v>
      </c>
      <c r="HON31" t="s">
        <v>6984</v>
      </c>
      <c r="HOO31" t="s">
        <v>6984</v>
      </c>
      <c r="HOP31" t="s">
        <v>6984</v>
      </c>
      <c r="HOQ31" t="s">
        <v>6984</v>
      </c>
      <c r="HOR31" t="s">
        <v>6984</v>
      </c>
      <c r="HOS31" t="s">
        <v>6984</v>
      </c>
      <c r="HOT31" t="s">
        <v>6984</v>
      </c>
      <c r="HOU31" t="s">
        <v>6984</v>
      </c>
      <c r="HOV31" t="s">
        <v>6984</v>
      </c>
      <c r="HOW31" t="s">
        <v>6984</v>
      </c>
      <c r="HOX31" t="s">
        <v>6984</v>
      </c>
      <c r="HOY31" t="s">
        <v>6984</v>
      </c>
      <c r="HOZ31" t="s">
        <v>6984</v>
      </c>
      <c r="HPA31" t="s">
        <v>6984</v>
      </c>
      <c r="HPB31" t="s">
        <v>6984</v>
      </c>
      <c r="HPC31" t="s">
        <v>6984</v>
      </c>
      <c r="HPD31" t="s">
        <v>6984</v>
      </c>
      <c r="HPE31" t="s">
        <v>6984</v>
      </c>
      <c r="HPF31" t="s">
        <v>6984</v>
      </c>
      <c r="HPG31" t="s">
        <v>6984</v>
      </c>
      <c r="HPH31" t="s">
        <v>6984</v>
      </c>
      <c r="HPI31" t="s">
        <v>6984</v>
      </c>
      <c r="HPJ31" t="s">
        <v>6984</v>
      </c>
      <c r="HPK31" t="s">
        <v>6984</v>
      </c>
      <c r="HPL31" t="s">
        <v>6984</v>
      </c>
      <c r="HPM31" t="s">
        <v>6984</v>
      </c>
      <c r="HPN31" t="s">
        <v>6984</v>
      </c>
      <c r="HPO31" t="s">
        <v>6984</v>
      </c>
      <c r="HPP31" t="s">
        <v>6984</v>
      </c>
      <c r="HPQ31" t="s">
        <v>6984</v>
      </c>
      <c r="HPR31" t="s">
        <v>6984</v>
      </c>
      <c r="HPS31" t="s">
        <v>6984</v>
      </c>
      <c r="HPT31" t="s">
        <v>6984</v>
      </c>
      <c r="HPU31" t="s">
        <v>6984</v>
      </c>
      <c r="HPV31" t="s">
        <v>6984</v>
      </c>
      <c r="HPW31" t="s">
        <v>6984</v>
      </c>
      <c r="HPX31" t="s">
        <v>6984</v>
      </c>
      <c r="HPY31" t="s">
        <v>6984</v>
      </c>
      <c r="HPZ31" t="s">
        <v>6984</v>
      </c>
      <c r="HQA31" t="s">
        <v>6984</v>
      </c>
      <c r="HQB31" t="s">
        <v>6984</v>
      </c>
      <c r="HQC31" t="s">
        <v>6984</v>
      </c>
      <c r="HQD31" t="s">
        <v>6984</v>
      </c>
      <c r="HQE31" t="s">
        <v>6984</v>
      </c>
      <c r="HQF31" t="s">
        <v>6984</v>
      </c>
      <c r="HQG31" t="s">
        <v>6984</v>
      </c>
      <c r="HQH31" t="s">
        <v>6984</v>
      </c>
      <c r="HQI31" t="s">
        <v>6984</v>
      </c>
      <c r="HQJ31" t="s">
        <v>6984</v>
      </c>
      <c r="HQK31" t="s">
        <v>6984</v>
      </c>
      <c r="HQL31" t="s">
        <v>6984</v>
      </c>
      <c r="HQM31" t="s">
        <v>6984</v>
      </c>
      <c r="HQN31" t="s">
        <v>6984</v>
      </c>
      <c r="HQO31" t="s">
        <v>6984</v>
      </c>
      <c r="HQP31" t="s">
        <v>6984</v>
      </c>
      <c r="HQQ31" t="s">
        <v>6984</v>
      </c>
      <c r="HQR31" t="s">
        <v>6984</v>
      </c>
      <c r="HQS31" t="s">
        <v>6984</v>
      </c>
      <c r="HQT31" t="s">
        <v>6984</v>
      </c>
      <c r="HQU31" t="s">
        <v>6984</v>
      </c>
      <c r="HQV31" t="s">
        <v>6984</v>
      </c>
      <c r="HQW31" t="s">
        <v>6984</v>
      </c>
      <c r="HQX31" t="s">
        <v>6984</v>
      </c>
      <c r="HQY31" t="s">
        <v>6984</v>
      </c>
      <c r="HQZ31" t="s">
        <v>6984</v>
      </c>
      <c r="HRA31" t="s">
        <v>6984</v>
      </c>
      <c r="HRB31" t="s">
        <v>6984</v>
      </c>
      <c r="HRC31" t="s">
        <v>6984</v>
      </c>
      <c r="HRD31" t="s">
        <v>6984</v>
      </c>
      <c r="HRE31" t="s">
        <v>6984</v>
      </c>
      <c r="HRF31" t="s">
        <v>6984</v>
      </c>
      <c r="HRG31" t="s">
        <v>6984</v>
      </c>
      <c r="HRH31" t="s">
        <v>6984</v>
      </c>
      <c r="HRI31" t="s">
        <v>6984</v>
      </c>
      <c r="HRJ31" t="s">
        <v>6984</v>
      </c>
      <c r="HRK31" t="s">
        <v>6984</v>
      </c>
      <c r="HRL31" t="s">
        <v>6984</v>
      </c>
      <c r="HRM31" t="s">
        <v>6984</v>
      </c>
      <c r="HRN31" t="s">
        <v>6984</v>
      </c>
      <c r="HRO31" t="s">
        <v>6984</v>
      </c>
      <c r="HRP31" t="s">
        <v>6984</v>
      </c>
      <c r="HRQ31" t="s">
        <v>6984</v>
      </c>
      <c r="HRR31" t="s">
        <v>6984</v>
      </c>
      <c r="HRS31" t="s">
        <v>6984</v>
      </c>
      <c r="HRT31" t="s">
        <v>6984</v>
      </c>
      <c r="HRU31" t="s">
        <v>6984</v>
      </c>
      <c r="HRV31" t="s">
        <v>6984</v>
      </c>
      <c r="HRW31" t="s">
        <v>6984</v>
      </c>
      <c r="HRX31" t="s">
        <v>6984</v>
      </c>
      <c r="HRY31" t="s">
        <v>6984</v>
      </c>
      <c r="HRZ31" t="s">
        <v>6984</v>
      </c>
      <c r="HSA31" t="s">
        <v>6984</v>
      </c>
      <c r="HSB31" t="s">
        <v>6984</v>
      </c>
      <c r="HSC31" t="s">
        <v>6984</v>
      </c>
      <c r="HSD31" t="s">
        <v>6984</v>
      </c>
      <c r="HSE31" t="s">
        <v>6984</v>
      </c>
      <c r="HSF31" t="s">
        <v>6984</v>
      </c>
      <c r="HSG31" t="s">
        <v>6984</v>
      </c>
      <c r="HSH31" t="s">
        <v>6984</v>
      </c>
      <c r="HSI31" t="s">
        <v>6984</v>
      </c>
      <c r="HSJ31" t="s">
        <v>6984</v>
      </c>
      <c r="HSK31" t="s">
        <v>6984</v>
      </c>
      <c r="HSL31" t="s">
        <v>6984</v>
      </c>
      <c r="HSM31" t="s">
        <v>6984</v>
      </c>
      <c r="HSN31" t="s">
        <v>6984</v>
      </c>
      <c r="HSO31" t="s">
        <v>6984</v>
      </c>
      <c r="HSP31" t="s">
        <v>6984</v>
      </c>
      <c r="HSQ31" t="s">
        <v>6984</v>
      </c>
      <c r="HSR31" t="s">
        <v>6984</v>
      </c>
      <c r="HSS31" t="s">
        <v>6984</v>
      </c>
      <c r="HST31" t="s">
        <v>6984</v>
      </c>
      <c r="HSU31" t="s">
        <v>6984</v>
      </c>
      <c r="HSV31" t="s">
        <v>6984</v>
      </c>
      <c r="HSW31" t="s">
        <v>6984</v>
      </c>
      <c r="HSX31" t="s">
        <v>6984</v>
      </c>
      <c r="HSY31" t="s">
        <v>6984</v>
      </c>
      <c r="HSZ31" t="s">
        <v>6984</v>
      </c>
      <c r="HTA31" t="s">
        <v>6984</v>
      </c>
      <c r="HTB31" t="s">
        <v>6984</v>
      </c>
      <c r="HTC31" t="s">
        <v>6984</v>
      </c>
      <c r="HTD31" t="s">
        <v>6984</v>
      </c>
      <c r="HTE31" t="s">
        <v>6984</v>
      </c>
      <c r="HTF31" t="s">
        <v>6984</v>
      </c>
      <c r="HTG31" t="s">
        <v>6984</v>
      </c>
      <c r="HTH31" t="s">
        <v>6984</v>
      </c>
      <c r="HTI31" t="s">
        <v>6984</v>
      </c>
      <c r="HTJ31" t="s">
        <v>6984</v>
      </c>
      <c r="HTK31" t="s">
        <v>6984</v>
      </c>
      <c r="HTL31" t="s">
        <v>6984</v>
      </c>
      <c r="HTM31" t="s">
        <v>6984</v>
      </c>
      <c r="HTN31" t="s">
        <v>6984</v>
      </c>
      <c r="HTO31" t="s">
        <v>6984</v>
      </c>
      <c r="HTP31" t="s">
        <v>6984</v>
      </c>
      <c r="HTQ31" t="s">
        <v>6984</v>
      </c>
      <c r="HTR31" t="s">
        <v>6984</v>
      </c>
      <c r="HTS31" t="s">
        <v>6984</v>
      </c>
      <c r="HTT31" t="s">
        <v>6984</v>
      </c>
      <c r="HTU31" t="s">
        <v>6984</v>
      </c>
      <c r="HTV31" t="s">
        <v>6984</v>
      </c>
      <c r="HTW31" t="s">
        <v>6984</v>
      </c>
      <c r="HTX31" t="s">
        <v>6984</v>
      </c>
      <c r="HTY31" t="s">
        <v>6984</v>
      </c>
      <c r="HTZ31" t="s">
        <v>6984</v>
      </c>
      <c r="HUA31" t="s">
        <v>6984</v>
      </c>
      <c r="HUB31" t="s">
        <v>6984</v>
      </c>
      <c r="HUC31" t="s">
        <v>6984</v>
      </c>
      <c r="HUD31" t="s">
        <v>6984</v>
      </c>
      <c r="HUE31" t="s">
        <v>6984</v>
      </c>
      <c r="HUF31" t="s">
        <v>6984</v>
      </c>
      <c r="HUG31" t="s">
        <v>6984</v>
      </c>
      <c r="HUH31" t="s">
        <v>6984</v>
      </c>
      <c r="HUI31" t="s">
        <v>6984</v>
      </c>
      <c r="HUJ31" t="s">
        <v>6984</v>
      </c>
      <c r="HUK31" t="s">
        <v>6984</v>
      </c>
      <c r="HUL31" t="s">
        <v>6984</v>
      </c>
      <c r="HUM31" t="s">
        <v>6984</v>
      </c>
      <c r="HUN31" t="s">
        <v>6984</v>
      </c>
      <c r="HUO31" t="s">
        <v>6984</v>
      </c>
      <c r="HUP31" t="s">
        <v>6984</v>
      </c>
      <c r="HUQ31" t="s">
        <v>6984</v>
      </c>
      <c r="HUR31" t="s">
        <v>6984</v>
      </c>
      <c r="HUS31" t="s">
        <v>6984</v>
      </c>
      <c r="HUT31" t="s">
        <v>6984</v>
      </c>
      <c r="HUU31" t="s">
        <v>6984</v>
      </c>
      <c r="HUV31" t="s">
        <v>6984</v>
      </c>
      <c r="HUW31" t="s">
        <v>6984</v>
      </c>
      <c r="HUX31" t="s">
        <v>6984</v>
      </c>
      <c r="HUY31" t="s">
        <v>6984</v>
      </c>
      <c r="HUZ31" t="s">
        <v>6984</v>
      </c>
      <c r="HVA31" t="s">
        <v>6984</v>
      </c>
      <c r="HVB31" t="s">
        <v>6984</v>
      </c>
      <c r="HVC31" t="s">
        <v>6984</v>
      </c>
      <c r="HVD31" t="s">
        <v>6984</v>
      </c>
      <c r="HVE31" t="s">
        <v>6984</v>
      </c>
      <c r="HVF31" t="s">
        <v>6984</v>
      </c>
      <c r="HVG31" t="s">
        <v>6984</v>
      </c>
      <c r="HVH31" t="s">
        <v>6984</v>
      </c>
      <c r="HVI31" t="s">
        <v>6984</v>
      </c>
      <c r="HVJ31" t="s">
        <v>6984</v>
      </c>
      <c r="HVK31" t="s">
        <v>6984</v>
      </c>
      <c r="HVL31" t="s">
        <v>6984</v>
      </c>
      <c r="HVM31" t="s">
        <v>6984</v>
      </c>
      <c r="HVN31" t="s">
        <v>6984</v>
      </c>
      <c r="HVO31" t="s">
        <v>6984</v>
      </c>
      <c r="HVP31" t="s">
        <v>6984</v>
      </c>
      <c r="HVQ31" t="s">
        <v>6984</v>
      </c>
      <c r="HVR31" t="s">
        <v>6984</v>
      </c>
      <c r="HVS31" t="s">
        <v>6984</v>
      </c>
      <c r="HVT31" t="s">
        <v>6984</v>
      </c>
      <c r="HVU31" t="s">
        <v>6984</v>
      </c>
      <c r="HVV31" t="s">
        <v>6984</v>
      </c>
      <c r="HVW31" t="s">
        <v>6984</v>
      </c>
      <c r="HVX31" t="s">
        <v>6984</v>
      </c>
      <c r="HVY31" t="s">
        <v>6984</v>
      </c>
      <c r="HVZ31" t="s">
        <v>6984</v>
      </c>
      <c r="HWA31" t="s">
        <v>6984</v>
      </c>
      <c r="HWB31" t="s">
        <v>6984</v>
      </c>
      <c r="HWC31" t="s">
        <v>6984</v>
      </c>
      <c r="HWD31" t="s">
        <v>6984</v>
      </c>
      <c r="HWE31" t="s">
        <v>6984</v>
      </c>
      <c r="HWF31" t="s">
        <v>6984</v>
      </c>
      <c r="HWG31" t="s">
        <v>6984</v>
      </c>
      <c r="HWH31" t="s">
        <v>6984</v>
      </c>
      <c r="HWI31" t="s">
        <v>6984</v>
      </c>
      <c r="HWJ31" t="s">
        <v>6984</v>
      </c>
      <c r="HWK31" t="s">
        <v>6984</v>
      </c>
      <c r="HWL31" t="s">
        <v>6984</v>
      </c>
      <c r="HWM31" t="s">
        <v>6984</v>
      </c>
      <c r="HWN31" t="s">
        <v>6984</v>
      </c>
      <c r="HWO31" t="s">
        <v>6984</v>
      </c>
      <c r="HWP31" t="s">
        <v>6984</v>
      </c>
      <c r="HWQ31" t="s">
        <v>6984</v>
      </c>
      <c r="HWR31" t="s">
        <v>6984</v>
      </c>
      <c r="HWS31" t="s">
        <v>6984</v>
      </c>
      <c r="HWT31" t="s">
        <v>6984</v>
      </c>
      <c r="HWU31" t="s">
        <v>6984</v>
      </c>
      <c r="HWV31" t="s">
        <v>6984</v>
      </c>
      <c r="HWW31" t="s">
        <v>6984</v>
      </c>
      <c r="HWX31" t="s">
        <v>6984</v>
      </c>
      <c r="HWY31" t="s">
        <v>6984</v>
      </c>
      <c r="HWZ31" t="s">
        <v>6984</v>
      </c>
      <c r="HXA31" t="s">
        <v>6984</v>
      </c>
      <c r="HXB31" t="s">
        <v>6984</v>
      </c>
      <c r="HXC31" t="s">
        <v>6984</v>
      </c>
      <c r="HXD31" t="s">
        <v>6984</v>
      </c>
      <c r="HXE31" t="s">
        <v>6984</v>
      </c>
      <c r="HXF31" t="s">
        <v>6984</v>
      </c>
      <c r="HXG31" t="s">
        <v>6984</v>
      </c>
      <c r="HXH31" t="s">
        <v>6984</v>
      </c>
      <c r="HXI31" t="s">
        <v>6984</v>
      </c>
      <c r="HXJ31" t="s">
        <v>6984</v>
      </c>
      <c r="HXK31" t="s">
        <v>6984</v>
      </c>
      <c r="HXL31" t="s">
        <v>6984</v>
      </c>
      <c r="HXM31" t="s">
        <v>6984</v>
      </c>
      <c r="HXN31" t="s">
        <v>6984</v>
      </c>
      <c r="HXO31" t="s">
        <v>6984</v>
      </c>
      <c r="HXP31" t="s">
        <v>6984</v>
      </c>
      <c r="HXQ31" t="s">
        <v>6984</v>
      </c>
      <c r="HXR31" t="s">
        <v>6984</v>
      </c>
      <c r="HXS31" t="s">
        <v>6984</v>
      </c>
      <c r="HXT31" t="s">
        <v>6984</v>
      </c>
      <c r="HXU31" t="s">
        <v>6984</v>
      </c>
      <c r="HXV31" t="s">
        <v>6984</v>
      </c>
      <c r="HXW31" t="s">
        <v>6984</v>
      </c>
      <c r="HXX31" t="s">
        <v>6984</v>
      </c>
      <c r="HXY31" t="s">
        <v>6984</v>
      </c>
      <c r="HXZ31" t="s">
        <v>6984</v>
      </c>
      <c r="HYA31" t="s">
        <v>6984</v>
      </c>
      <c r="HYB31" t="s">
        <v>6984</v>
      </c>
      <c r="HYC31" t="s">
        <v>6984</v>
      </c>
      <c r="HYD31" t="s">
        <v>6984</v>
      </c>
      <c r="HYE31" t="s">
        <v>6984</v>
      </c>
      <c r="HYF31" t="s">
        <v>6984</v>
      </c>
      <c r="HYG31" t="s">
        <v>6984</v>
      </c>
      <c r="HYH31" t="s">
        <v>6984</v>
      </c>
      <c r="HYI31" t="s">
        <v>6984</v>
      </c>
      <c r="HYJ31" t="s">
        <v>6984</v>
      </c>
      <c r="HYK31" t="s">
        <v>6984</v>
      </c>
      <c r="HYL31" t="s">
        <v>6984</v>
      </c>
      <c r="HYM31" t="s">
        <v>6984</v>
      </c>
      <c r="HYN31" t="s">
        <v>6984</v>
      </c>
      <c r="HYO31" t="s">
        <v>6984</v>
      </c>
      <c r="HYP31" t="s">
        <v>6984</v>
      </c>
      <c r="HYQ31" t="s">
        <v>6984</v>
      </c>
      <c r="HYR31" t="s">
        <v>6984</v>
      </c>
      <c r="HYS31" t="s">
        <v>6984</v>
      </c>
      <c r="HYT31" t="s">
        <v>6984</v>
      </c>
      <c r="HYU31" t="s">
        <v>6984</v>
      </c>
      <c r="HYV31" t="s">
        <v>6984</v>
      </c>
      <c r="HYW31" t="s">
        <v>6984</v>
      </c>
      <c r="HYX31" t="s">
        <v>6984</v>
      </c>
      <c r="HYY31" t="s">
        <v>6984</v>
      </c>
      <c r="HYZ31" t="s">
        <v>6984</v>
      </c>
      <c r="HZA31" t="s">
        <v>6984</v>
      </c>
      <c r="HZB31" t="s">
        <v>6984</v>
      </c>
      <c r="HZC31" t="s">
        <v>6984</v>
      </c>
      <c r="HZD31" t="s">
        <v>6984</v>
      </c>
      <c r="HZE31" t="s">
        <v>6984</v>
      </c>
      <c r="HZF31" t="s">
        <v>6984</v>
      </c>
      <c r="HZG31" t="s">
        <v>6984</v>
      </c>
      <c r="HZH31" t="s">
        <v>6984</v>
      </c>
      <c r="HZI31" t="s">
        <v>6984</v>
      </c>
      <c r="HZJ31" t="s">
        <v>6984</v>
      </c>
      <c r="HZK31" t="s">
        <v>6984</v>
      </c>
      <c r="HZL31" t="s">
        <v>6984</v>
      </c>
      <c r="HZM31" t="s">
        <v>6984</v>
      </c>
      <c r="HZN31" t="s">
        <v>6984</v>
      </c>
      <c r="HZO31" t="s">
        <v>6984</v>
      </c>
      <c r="HZP31" t="s">
        <v>6984</v>
      </c>
      <c r="HZQ31" t="s">
        <v>6984</v>
      </c>
      <c r="HZR31" t="s">
        <v>6984</v>
      </c>
      <c r="HZS31" t="s">
        <v>6984</v>
      </c>
      <c r="HZT31" t="s">
        <v>6984</v>
      </c>
      <c r="HZU31" t="s">
        <v>6984</v>
      </c>
      <c r="HZV31" t="s">
        <v>6984</v>
      </c>
      <c r="HZW31" t="s">
        <v>6984</v>
      </c>
      <c r="HZX31" t="s">
        <v>6984</v>
      </c>
      <c r="HZY31" t="s">
        <v>6984</v>
      </c>
      <c r="HZZ31" t="s">
        <v>6984</v>
      </c>
      <c r="IAA31" t="s">
        <v>6984</v>
      </c>
      <c r="IAB31" t="s">
        <v>6984</v>
      </c>
      <c r="IAC31" t="s">
        <v>6984</v>
      </c>
      <c r="IAD31" t="s">
        <v>6984</v>
      </c>
      <c r="IAE31" t="s">
        <v>6984</v>
      </c>
      <c r="IAF31" t="s">
        <v>6984</v>
      </c>
      <c r="IAG31" t="s">
        <v>6984</v>
      </c>
      <c r="IAH31" t="s">
        <v>6984</v>
      </c>
      <c r="IAI31" t="s">
        <v>6984</v>
      </c>
      <c r="IAJ31" t="s">
        <v>6984</v>
      </c>
      <c r="IAK31" t="s">
        <v>6984</v>
      </c>
      <c r="IAL31" t="s">
        <v>6984</v>
      </c>
      <c r="IAM31" t="s">
        <v>6984</v>
      </c>
      <c r="IAN31" t="s">
        <v>6984</v>
      </c>
      <c r="IAO31" t="s">
        <v>6984</v>
      </c>
      <c r="IAP31" t="s">
        <v>6984</v>
      </c>
      <c r="IAQ31" t="s">
        <v>6984</v>
      </c>
      <c r="IAR31" t="s">
        <v>6984</v>
      </c>
      <c r="IAS31" t="s">
        <v>6984</v>
      </c>
      <c r="IAT31" t="s">
        <v>6984</v>
      </c>
      <c r="IAU31" t="s">
        <v>6984</v>
      </c>
      <c r="IAV31" t="s">
        <v>6984</v>
      </c>
      <c r="IAW31" t="s">
        <v>6984</v>
      </c>
      <c r="IAX31" t="s">
        <v>6984</v>
      </c>
      <c r="IAY31" t="s">
        <v>6984</v>
      </c>
      <c r="IAZ31" t="s">
        <v>6984</v>
      </c>
      <c r="IBA31" t="s">
        <v>6984</v>
      </c>
      <c r="IBB31" t="s">
        <v>6984</v>
      </c>
      <c r="IBC31" t="s">
        <v>6984</v>
      </c>
      <c r="IBD31" t="s">
        <v>6984</v>
      </c>
      <c r="IBE31" t="s">
        <v>6984</v>
      </c>
      <c r="IBF31" t="s">
        <v>6984</v>
      </c>
      <c r="IBG31" t="s">
        <v>6984</v>
      </c>
      <c r="IBH31" t="s">
        <v>6984</v>
      </c>
      <c r="IBI31" t="s">
        <v>6984</v>
      </c>
      <c r="IBJ31" t="s">
        <v>6984</v>
      </c>
      <c r="IBK31" t="s">
        <v>6984</v>
      </c>
      <c r="IBL31" t="s">
        <v>6984</v>
      </c>
      <c r="IBM31" t="s">
        <v>6984</v>
      </c>
      <c r="IBN31" t="s">
        <v>6984</v>
      </c>
      <c r="IBO31" t="s">
        <v>6984</v>
      </c>
      <c r="IBP31" t="s">
        <v>6984</v>
      </c>
      <c r="IBQ31" t="s">
        <v>6984</v>
      </c>
      <c r="IBR31" t="s">
        <v>6984</v>
      </c>
      <c r="IBS31" t="s">
        <v>6984</v>
      </c>
      <c r="IBT31" t="s">
        <v>6984</v>
      </c>
      <c r="IBU31" t="s">
        <v>6984</v>
      </c>
      <c r="IBV31" t="s">
        <v>6984</v>
      </c>
      <c r="IBW31" t="s">
        <v>6984</v>
      </c>
      <c r="IBX31" t="s">
        <v>6984</v>
      </c>
      <c r="IBY31" t="s">
        <v>6984</v>
      </c>
      <c r="IBZ31" t="s">
        <v>6984</v>
      </c>
      <c r="ICA31" t="s">
        <v>6984</v>
      </c>
      <c r="ICB31" t="s">
        <v>6984</v>
      </c>
      <c r="ICC31" t="s">
        <v>6984</v>
      </c>
      <c r="ICD31" t="s">
        <v>6984</v>
      </c>
      <c r="ICE31" t="s">
        <v>6984</v>
      </c>
      <c r="ICF31" t="s">
        <v>6984</v>
      </c>
      <c r="ICG31" t="s">
        <v>6984</v>
      </c>
      <c r="ICH31" t="s">
        <v>6984</v>
      </c>
      <c r="ICI31" t="s">
        <v>6984</v>
      </c>
      <c r="ICJ31" t="s">
        <v>6984</v>
      </c>
      <c r="ICK31" t="s">
        <v>6984</v>
      </c>
      <c r="ICL31" t="s">
        <v>6984</v>
      </c>
      <c r="ICM31" t="s">
        <v>6984</v>
      </c>
      <c r="ICN31" t="s">
        <v>6984</v>
      </c>
      <c r="ICO31" t="s">
        <v>6984</v>
      </c>
      <c r="ICP31" t="s">
        <v>6984</v>
      </c>
      <c r="ICQ31" t="s">
        <v>6984</v>
      </c>
      <c r="ICR31" t="s">
        <v>6984</v>
      </c>
      <c r="ICS31" t="s">
        <v>6984</v>
      </c>
      <c r="ICT31" t="s">
        <v>6984</v>
      </c>
      <c r="ICU31" t="s">
        <v>6984</v>
      </c>
      <c r="ICV31" t="s">
        <v>6984</v>
      </c>
      <c r="ICW31" t="s">
        <v>6984</v>
      </c>
      <c r="ICX31" t="s">
        <v>6984</v>
      </c>
      <c r="ICY31" t="s">
        <v>6984</v>
      </c>
      <c r="ICZ31" t="s">
        <v>6984</v>
      </c>
      <c r="IDA31" t="s">
        <v>6984</v>
      </c>
      <c r="IDB31" t="s">
        <v>6984</v>
      </c>
      <c r="IDC31" t="s">
        <v>6984</v>
      </c>
      <c r="IDD31" t="s">
        <v>6984</v>
      </c>
      <c r="IDE31" t="s">
        <v>6984</v>
      </c>
      <c r="IDF31" t="s">
        <v>6984</v>
      </c>
      <c r="IDG31" t="s">
        <v>6984</v>
      </c>
      <c r="IDH31" t="s">
        <v>6984</v>
      </c>
      <c r="IDI31" t="s">
        <v>6984</v>
      </c>
      <c r="IDJ31" t="s">
        <v>6984</v>
      </c>
      <c r="IDK31" t="s">
        <v>6984</v>
      </c>
      <c r="IDL31" t="s">
        <v>6984</v>
      </c>
      <c r="IDM31" t="s">
        <v>6984</v>
      </c>
      <c r="IDN31" t="s">
        <v>6984</v>
      </c>
      <c r="IDO31" t="s">
        <v>6984</v>
      </c>
      <c r="IDP31" t="s">
        <v>6984</v>
      </c>
      <c r="IDQ31" t="s">
        <v>6984</v>
      </c>
      <c r="IDR31" t="s">
        <v>6984</v>
      </c>
      <c r="IDS31" t="s">
        <v>6984</v>
      </c>
      <c r="IDT31" t="s">
        <v>6984</v>
      </c>
      <c r="IDU31" t="s">
        <v>6984</v>
      </c>
      <c r="IDV31" t="s">
        <v>6984</v>
      </c>
      <c r="IDW31" t="s">
        <v>6984</v>
      </c>
      <c r="IDX31" t="s">
        <v>6984</v>
      </c>
      <c r="IDY31" t="s">
        <v>6984</v>
      </c>
      <c r="IDZ31" t="s">
        <v>6984</v>
      </c>
      <c r="IEA31" t="s">
        <v>6984</v>
      </c>
      <c r="IEB31" t="s">
        <v>6984</v>
      </c>
      <c r="IEC31" t="s">
        <v>6984</v>
      </c>
      <c r="IED31" t="s">
        <v>6984</v>
      </c>
      <c r="IEE31" t="s">
        <v>6984</v>
      </c>
      <c r="IEF31" t="s">
        <v>6984</v>
      </c>
      <c r="IEG31" t="s">
        <v>6984</v>
      </c>
      <c r="IEH31" t="s">
        <v>6984</v>
      </c>
      <c r="IEI31" t="s">
        <v>6984</v>
      </c>
      <c r="IEJ31" t="s">
        <v>6984</v>
      </c>
      <c r="IEK31" t="s">
        <v>6984</v>
      </c>
      <c r="IEL31" t="s">
        <v>6984</v>
      </c>
      <c r="IEM31" t="s">
        <v>6984</v>
      </c>
      <c r="IEN31" t="s">
        <v>6984</v>
      </c>
      <c r="IEO31" t="s">
        <v>6984</v>
      </c>
      <c r="IEP31" t="s">
        <v>6984</v>
      </c>
      <c r="IEQ31" t="s">
        <v>6984</v>
      </c>
      <c r="IER31" t="s">
        <v>6984</v>
      </c>
      <c r="IES31" t="s">
        <v>6984</v>
      </c>
      <c r="IET31" t="s">
        <v>6984</v>
      </c>
      <c r="IEU31" t="s">
        <v>6984</v>
      </c>
      <c r="IEV31" t="s">
        <v>6984</v>
      </c>
      <c r="IEW31" t="s">
        <v>6984</v>
      </c>
      <c r="IEX31" t="s">
        <v>6984</v>
      </c>
      <c r="IEY31" t="s">
        <v>6984</v>
      </c>
      <c r="IEZ31" t="s">
        <v>6984</v>
      </c>
      <c r="IFA31" t="s">
        <v>6984</v>
      </c>
      <c r="IFB31" t="s">
        <v>6984</v>
      </c>
      <c r="IFC31" t="s">
        <v>6984</v>
      </c>
      <c r="IFD31" t="s">
        <v>6984</v>
      </c>
      <c r="IFE31" t="s">
        <v>6984</v>
      </c>
      <c r="IFF31" t="s">
        <v>6984</v>
      </c>
      <c r="IFG31" t="s">
        <v>6984</v>
      </c>
      <c r="IFH31" t="s">
        <v>6984</v>
      </c>
      <c r="IFI31" t="s">
        <v>6984</v>
      </c>
      <c r="IFJ31" t="s">
        <v>6984</v>
      </c>
      <c r="IFK31" t="s">
        <v>6984</v>
      </c>
      <c r="IFL31" t="s">
        <v>6984</v>
      </c>
      <c r="IFM31" t="s">
        <v>6984</v>
      </c>
      <c r="IFN31" t="s">
        <v>6984</v>
      </c>
      <c r="IFO31" t="s">
        <v>6984</v>
      </c>
      <c r="IFP31" t="s">
        <v>6984</v>
      </c>
      <c r="IFQ31" t="s">
        <v>6984</v>
      </c>
      <c r="IFR31" t="s">
        <v>6984</v>
      </c>
      <c r="IFS31" t="s">
        <v>6984</v>
      </c>
      <c r="IFT31" t="s">
        <v>6984</v>
      </c>
      <c r="IFU31" t="s">
        <v>6984</v>
      </c>
      <c r="IFV31" t="s">
        <v>6984</v>
      </c>
      <c r="IFW31" t="s">
        <v>6984</v>
      </c>
      <c r="IFX31" t="s">
        <v>6984</v>
      </c>
      <c r="IFY31" t="s">
        <v>6984</v>
      </c>
      <c r="IFZ31" t="s">
        <v>6984</v>
      </c>
      <c r="IGA31" t="s">
        <v>6984</v>
      </c>
      <c r="IGB31" t="s">
        <v>6984</v>
      </c>
      <c r="IGC31" t="s">
        <v>6984</v>
      </c>
      <c r="IGD31" t="s">
        <v>6984</v>
      </c>
      <c r="IGE31" t="s">
        <v>6984</v>
      </c>
      <c r="IGF31" t="s">
        <v>6984</v>
      </c>
      <c r="IGG31" t="s">
        <v>6984</v>
      </c>
      <c r="IGH31" t="s">
        <v>6984</v>
      </c>
      <c r="IGI31" t="s">
        <v>6984</v>
      </c>
      <c r="IGJ31" t="s">
        <v>6984</v>
      </c>
      <c r="IGK31" t="s">
        <v>6984</v>
      </c>
      <c r="IGL31" t="s">
        <v>6984</v>
      </c>
      <c r="IGM31" t="s">
        <v>6984</v>
      </c>
      <c r="IGN31" t="s">
        <v>6984</v>
      </c>
      <c r="IGO31" t="s">
        <v>6984</v>
      </c>
      <c r="IGP31" t="s">
        <v>6984</v>
      </c>
      <c r="IGQ31" t="s">
        <v>6984</v>
      </c>
      <c r="IGR31" t="s">
        <v>6984</v>
      </c>
      <c r="IGS31" t="s">
        <v>6984</v>
      </c>
      <c r="IGT31" t="s">
        <v>6984</v>
      </c>
      <c r="IGU31" t="s">
        <v>6984</v>
      </c>
      <c r="IGV31" t="s">
        <v>6984</v>
      </c>
      <c r="IGW31" t="s">
        <v>6984</v>
      </c>
      <c r="IGX31" t="s">
        <v>6984</v>
      </c>
      <c r="IGY31" t="s">
        <v>6984</v>
      </c>
      <c r="IGZ31" t="s">
        <v>6984</v>
      </c>
      <c r="IHA31" t="s">
        <v>6984</v>
      </c>
      <c r="IHB31" t="s">
        <v>6984</v>
      </c>
      <c r="IHC31" t="s">
        <v>6984</v>
      </c>
      <c r="IHD31" t="s">
        <v>6984</v>
      </c>
      <c r="IHE31" t="s">
        <v>6984</v>
      </c>
      <c r="IHF31" t="s">
        <v>6984</v>
      </c>
      <c r="IHG31" t="s">
        <v>6984</v>
      </c>
      <c r="IHH31" t="s">
        <v>6984</v>
      </c>
      <c r="IHI31" t="s">
        <v>6984</v>
      </c>
      <c r="IHJ31" t="s">
        <v>6984</v>
      </c>
      <c r="IHK31" t="s">
        <v>6984</v>
      </c>
      <c r="IHL31" t="s">
        <v>6984</v>
      </c>
      <c r="IHM31" t="s">
        <v>6984</v>
      </c>
      <c r="IHN31" t="s">
        <v>6984</v>
      </c>
      <c r="IHO31" t="s">
        <v>6984</v>
      </c>
      <c r="IHP31" t="s">
        <v>6984</v>
      </c>
      <c r="IHQ31" t="s">
        <v>6984</v>
      </c>
      <c r="IHR31" t="s">
        <v>6984</v>
      </c>
      <c r="IHS31" t="s">
        <v>6984</v>
      </c>
      <c r="IHT31" t="s">
        <v>6984</v>
      </c>
      <c r="IHU31" t="s">
        <v>6984</v>
      </c>
      <c r="IHV31" t="s">
        <v>6984</v>
      </c>
      <c r="IHW31" t="s">
        <v>6984</v>
      </c>
      <c r="IHX31" t="s">
        <v>6984</v>
      </c>
      <c r="IHY31" t="s">
        <v>6984</v>
      </c>
      <c r="IHZ31" t="s">
        <v>6984</v>
      </c>
      <c r="IIA31" t="s">
        <v>6984</v>
      </c>
      <c r="IIB31" t="s">
        <v>6984</v>
      </c>
      <c r="IIC31" t="s">
        <v>6984</v>
      </c>
      <c r="IID31" t="s">
        <v>6984</v>
      </c>
      <c r="IIE31" t="s">
        <v>6984</v>
      </c>
      <c r="IIF31" t="s">
        <v>6984</v>
      </c>
      <c r="IIG31" t="s">
        <v>6984</v>
      </c>
      <c r="IIH31" t="s">
        <v>6984</v>
      </c>
      <c r="III31" t="s">
        <v>6984</v>
      </c>
      <c r="IIJ31" t="s">
        <v>6984</v>
      </c>
      <c r="IIK31" t="s">
        <v>6984</v>
      </c>
      <c r="IIL31" t="s">
        <v>6984</v>
      </c>
      <c r="IIM31" t="s">
        <v>6984</v>
      </c>
      <c r="IIN31" t="s">
        <v>6984</v>
      </c>
      <c r="IIO31" t="s">
        <v>6984</v>
      </c>
      <c r="IIP31" t="s">
        <v>6984</v>
      </c>
      <c r="IIQ31" t="s">
        <v>6984</v>
      </c>
      <c r="IIR31" t="s">
        <v>6984</v>
      </c>
      <c r="IIS31" t="s">
        <v>6984</v>
      </c>
      <c r="IIT31" t="s">
        <v>6984</v>
      </c>
      <c r="IIU31" t="s">
        <v>6984</v>
      </c>
      <c r="IIV31" t="s">
        <v>6984</v>
      </c>
      <c r="IIW31" t="s">
        <v>6984</v>
      </c>
      <c r="IIX31" t="s">
        <v>6984</v>
      </c>
      <c r="IIY31" t="s">
        <v>6984</v>
      </c>
      <c r="IIZ31" t="s">
        <v>6984</v>
      </c>
      <c r="IJA31" t="s">
        <v>6984</v>
      </c>
      <c r="IJB31" t="s">
        <v>6984</v>
      </c>
      <c r="IJC31" t="s">
        <v>6984</v>
      </c>
      <c r="IJD31" t="s">
        <v>6984</v>
      </c>
      <c r="IJE31" t="s">
        <v>6984</v>
      </c>
      <c r="IJF31" t="s">
        <v>6984</v>
      </c>
      <c r="IJG31" t="s">
        <v>6984</v>
      </c>
      <c r="IJH31" t="s">
        <v>6984</v>
      </c>
      <c r="IJI31" t="s">
        <v>6984</v>
      </c>
      <c r="IJJ31" t="s">
        <v>6984</v>
      </c>
      <c r="IJK31" t="s">
        <v>6984</v>
      </c>
      <c r="IJL31" t="s">
        <v>6984</v>
      </c>
      <c r="IJM31" t="s">
        <v>6984</v>
      </c>
      <c r="IJN31" t="s">
        <v>6984</v>
      </c>
      <c r="IJO31" t="s">
        <v>6984</v>
      </c>
      <c r="IJP31" t="s">
        <v>6984</v>
      </c>
      <c r="IJQ31" t="s">
        <v>6984</v>
      </c>
      <c r="IJR31" t="s">
        <v>6984</v>
      </c>
      <c r="IJS31" t="s">
        <v>6984</v>
      </c>
      <c r="IJT31" t="s">
        <v>6984</v>
      </c>
      <c r="IJU31" t="s">
        <v>6984</v>
      </c>
      <c r="IJV31" t="s">
        <v>6984</v>
      </c>
      <c r="IJW31" t="s">
        <v>6984</v>
      </c>
      <c r="IJX31" t="s">
        <v>6984</v>
      </c>
      <c r="IJY31" t="s">
        <v>6984</v>
      </c>
      <c r="IJZ31" t="s">
        <v>6984</v>
      </c>
      <c r="IKA31" t="s">
        <v>6984</v>
      </c>
      <c r="IKB31" t="s">
        <v>6984</v>
      </c>
      <c r="IKC31" t="s">
        <v>6984</v>
      </c>
      <c r="IKD31" t="s">
        <v>6984</v>
      </c>
      <c r="IKE31" t="s">
        <v>6984</v>
      </c>
      <c r="IKF31" t="s">
        <v>6984</v>
      </c>
      <c r="IKG31" t="s">
        <v>6984</v>
      </c>
      <c r="IKH31" t="s">
        <v>6984</v>
      </c>
      <c r="IKI31" t="s">
        <v>6984</v>
      </c>
      <c r="IKJ31" t="s">
        <v>6984</v>
      </c>
      <c r="IKK31" t="s">
        <v>6984</v>
      </c>
      <c r="IKL31" t="s">
        <v>6984</v>
      </c>
      <c r="IKM31" t="s">
        <v>6984</v>
      </c>
      <c r="IKN31" t="s">
        <v>6984</v>
      </c>
      <c r="IKO31" t="s">
        <v>6984</v>
      </c>
      <c r="IKP31" t="s">
        <v>6984</v>
      </c>
      <c r="IKQ31" t="s">
        <v>6984</v>
      </c>
      <c r="IKR31" t="s">
        <v>6984</v>
      </c>
      <c r="IKS31" t="s">
        <v>6984</v>
      </c>
      <c r="IKT31" t="s">
        <v>6984</v>
      </c>
      <c r="IKU31" t="s">
        <v>6984</v>
      </c>
      <c r="IKV31" t="s">
        <v>6984</v>
      </c>
      <c r="IKW31" t="s">
        <v>6984</v>
      </c>
      <c r="IKX31" t="s">
        <v>6984</v>
      </c>
      <c r="IKY31" t="s">
        <v>6984</v>
      </c>
      <c r="IKZ31" t="s">
        <v>6984</v>
      </c>
      <c r="ILA31" t="s">
        <v>6984</v>
      </c>
      <c r="ILB31" t="s">
        <v>6984</v>
      </c>
      <c r="ILC31" t="s">
        <v>6984</v>
      </c>
      <c r="ILD31" t="s">
        <v>6984</v>
      </c>
      <c r="ILE31" t="s">
        <v>6984</v>
      </c>
      <c r="ILF31" t="s">
        <v>6984</v>
      </c>
      <c r="ILG31" t="s">
        <v>6984</v>
      </c>
      <c r="ILH31" t="s">
        <v>6984</v>
      </c>
      <c r="ILI31" t="s">
        <v>6984</v>
      </c>
      <c r="ILJ31" t="s">
        <v>6984</v>
      </c>
      <c r="ILK31" t="s">
        <v>6984</v>
      </c>
      <c r="ILL31" t="s">
        <v>6984</v>
      </c>
      <c r="ILM31" t="s">
        <v>6984</v>
      </c>
      <c r="ILN31" t="s">
        <v>6984</v>
      </c>
      <c r="ILO31" t="s">
        <v>6984</v>
      </c>
      <c r="ILP31" t="s">
        <v>6984</v>
      </c>
      <c r="ILQ31" t="s">
        <v>6984</v>
      </c>
      <c r="ILR31" t="s">
        <v>6984</v>
      </c>
      <c r="ILS31" t="s">
        <v>6984</v>
      </c>
      <c r="ILT31" t="s">
        <v>6984</v>
      </c>
      <c r="ILU31" t="s">
        <v>6984</v>
      </c>
      <c r="ILV31" t="s">
        <v>6984</v>
      </c>
      <c r="ILW31" t="s">
        <v>6984</v>
      </c>
      <c r="ILX31" t="s">
        <v>6984</v>
      </c>
      <c r="ILY31" t="s">
        <v>6984</v>
      </c>
      <c r="ILZ31" t="s">
        <v>6984</v>
      </c>
      <c r="IMA31" t="s">
        <v>6984</v>
      </c>
      <c r="IMB31" t="s">
        <v>6984</v>
      </c>
      <c r="IMC31" t="s">
        <v>6984</v>
      </c>
      <c r="IMD31" t="s">
        <v>6984</v>
      </c>
      <c r="IME31" t="s">
        <v>6984</v>
      </c>
      <c r="IMF31" t="s">
        <v>6984</v>
      </c>
      <c r="IMG31" t="s">
        <v>6984</v>
      </c>
      <c r="IMH31" t="s">
        <v>6984</v>
      </c>
      <c r="IMI31" t="s">
        <v>6984</v>
      </c>
      <c r="IMJ31" t="s">
        <v>6984</v>
      </c>
      <c r="IMK31" t="s">
        <v>6984</v>
      </c>
      <c r="IML31" t="s">
        <v>6984</v>
      </c>
      <c r="IMM31" t="s">
        <v>6984</v>
      </c>
      <c r="IMN31" t="s">
        <v>6984</v>
      </c>
      <c r="IMO31" t="s">
        <v>6984</v>
      </c>
      <c r="IMP31" t="s">
        <v>6984</v>
      </c>
      <c r="IMQ31" t="s">
        <v>6984</v>
      </c>
      <c r="IMR31" t="s">
        <v>6984</v>
      </c>
      <c r="IMS31" t="s">
        <v>6984</v>
      </c>
      <c r="IMT31" t="s">
        <v>6984</v>
      </c>
      <c r="IMU31" t="s">
        <v>6984</v>
      </c>
      <c r="IMV31" t="s">
        <v>6984</v>
      </c>
      <c r="IMW31" t="s">
        <v>6984</v>
      </c>
      <c r="IMX31" t="s">
        <v>6984</v>
      </c>
      <c r="IMY31" t="s">
        <v>6984</v>
      </c>
      <c r="IMZ31" t="s">
        <v>6984</v>
      </c>
      <c r="INA31" t="s">
        <v>6984</v>
      </c>
      <c r="INB31" t="s">
        <v>6984</v>
      </c>
      <c r="INC31" t="s">
        <v>6984</v>
      </c>
      <c r="IND31" t="s">
        <v>6984</v>
      </c>
      <c r="INE31" t="s">
        <v>6984</v>
      </c>
      <c r="INF31" t="s">
        <v>6984</v>
      </c>
      <c r="ING31" t="s">
        <v>6984</v>
      </c>
      <c r="INH31" t="s">
        <v>6984</v>
      </c>
      <c r="INI31" t="s">
        <v>6984</v>
      </c>
      <c r="INJ31" t="s">
        <v>6984</v>
      </c>
      <c r="INK31" t="s">
        <v>6984</v>
      </c>
      <c r="INL31" t="s">
        <v>6984</v>
      </c>
      <c r="INM31" t="s">
        <v>6984</v>
      </c>
      <c r="INN31" t="s">
        <v>6984</v>
      </c>
      <c r="INO31" t="s">
        <v>6984</v>
      </c>
      <c r="INP31" t="s">
        <v>6984</v>
      </c>
      <c r="INQ31" t="s">
        <v>6984</v>
      </c>
      <c r="INR31" t="s">
        <v>6984</v>
      </c>
      <c r="INS31" t="s">
        <v>6984</v>
      </c>
      <c r="INT31" t="s">
        <v>6984</v>
      </c>
      <c r="INU31" t="s">
        <v>6984</v>
      </c>
      <c r="INV31" t="s">
        <v>6984</v>
      </c>
      <c r="INW31" t="s">
        <v>6984</v>
      </c>
      <c r="INX31" t="s">
        <v>6984</v>
      </c>
      <c r="INY31" t="s">
        <v>6984</v>
      </c>
      <c r="INZ31" t="s">
        <v>6984</v>
      </c>
      <c r="IOA31" t="s">
        <v>6984</v>
      </c>
      <c r="IOB31" t="s">
        <v>6984</v>
      </c>
      <c r="IOC31" t="s">
        <v>6984</v>
      </c>
      <c r="IOD31" t="s">
        <v>6984</v>
      </c>
      <c r="IOE31" t="s">
        <v>6984</v>
      </c>
      <c r="IOF31" t="s">
        <v>6984</v>
      </c>
      <c r="IOG31" t="s">
        <v>6984</v>
      </c>
      <c r="IOH31" t="s">
        <v>6984</v>
      </c>
      <c r="IOI31" t="s">
        <v>6984</v>
      </c>
      <c r="IOJ31" t="s">
        <v>6984</v>
      </c>
      <c r="IOK31" t="s">
        <v>6984</v>
      </c>
      <c r="IOL31" t="s">
        <v>6984</v>
      </c>
      <c r="IOM31" t="s">
        <v>6984</v>
      </c>
      <c r="ION31" t="s">
        <v>6984</v>
      </c>
      <c r="IOO31" t="s">
        <v>6984</v>
      </c>
      <c r="IOP31" t="s">
        <v>6984</v>
      </c>
      <c r="IOQ31" t="s">
        <v>6984</v>
      </c>
      <c r="IOR31" t="s">
        <v>6984</v>
      </c>
      <c r="IOS31" t="s">
        <v>6984</v>
      </c>
      <c r="IOT31" t="s">
        <v>6984</v>
      </c>
      <c r="IOU31" t="s">
        <v>6984</v>
      </c>
      <c r="IOV31" t="s">
        <v>6984</v>
      </c>
      <c r="IOW31" t="s">
        <v>6984</v>
      </c>
      <c r="IOX31" t="s">
        <v>6984</v>
      </c>
      <c r="IOY31" t="s">
        <v>6984</v>
      </c>
      <c r="IOZ31" t="s">
        <v>6984</v>
      </c>
      <c r="IPA31" t="s">
        <v>6984</v>
      </c>
      <c r="IPB31" t="s">
        <v>6984</v>
      </c>
      <c r="IPC31" t="s">
        <v>6984</v>
      </c>
      <c r="IPD31" t="s">
        <v>6984</v>
      </c>
      <c r="IPE31" t="s">
        <v>6984</v>
      </c>
      <c r="IPF31" t="s">
        <v>6984</v>
      </c>
      <c r="IPG31" t="s">
        <v>6984</v>
      </c>
      <c r="IPH31" t="s">
        <v>6984</v>
      </c>
      <c r="IPI31" t="s">
        <v>6984</v>
      </c>
      <c r="IPJ31" t="s">
        <v>6984</v>
      </c>
      <c r="IPK31" t="s">
        <v>6984</v>
      </c>
      <c r="IPL31" t="s">
        <v>6984</v>
      </c>
      <c r="IPM31" t="s">
        <v>6984</v>
      </c>
      <c r="IPN31" t="s">
        <v>6984</v>
      </c>
      <c r="IPO31" t="s">
        <v>6984</v>
      </c>
      <c r="IPP31" t="s">
        <v>6984</v>
      </c>
      <c r="IPQ31" t="s">
        <v>6984</v>
      </c>
      <c r="IPR31" t="s">
        <v>6984</v>
      </c>
      <c r="IPS31" t="s">
        <v>6984</v>
      </c>
      <c r="IPT31" t="s">
        <v>6984</v>
      </c>
      <c r="IPU31" t="s">
        <v>6984</v>
      </c>
      <c r="IPV31" t="s">
        <v>6984</v>
      </c>
      <c r="IPW31" t="s">
        <v>6984</v>
      </c>
      <c r="IPX31" t="s">
        <v>6984</v>
      </c>
      <c r="IPY31" t="s">
        <v>6984</v>
      </c>
      <c r="IPZ31" t="s">
        <v>6984</v>
      </c>
      <c r="IQA31" t="s">
        <v>6984</v>
      </c>
      <c r="IQB31" t="s">
        <v>6984</v>
      </c>
      <c r="IQC31" t="s">
        <v>6984</v>
      </c>
      <c r="IQD31" t="s">
        <v>6984</v>
      </c>
      <c r="IQE31" t="s">
        <v>6984</v>
      </c>
      <c r="IQF31" t="s">
        <v>6984</v>
      </c>
      <c r="IQG31" t="s">
        <v>6984</v>
      </c>
      <c r="IQH31" t="s">
        <v>6984</v>
      </c>
      <c r="IQI31" t="s">
        <v>6984</v>
      </c>
      <c r="IQJ31" t="s">
        <v>6984</v>
      </c>
      <c r="IQK31" t="s">
        <v>6984</v>
      </c>
      <c r="IQL31" t="s">
        <v>6984</v>
      </c>
      <c r="IQM31" t="s">
        <v>6984</v>
      </c>
      <c r="IQN31" t="s">
        <v>6984</v>
      </c>
      <c r="IQO31" t="s">
        <v>6984</v>
      </c>
      <c r="IQP31" t="s">
        <v>6984</v>
      </c>
      <c r="IQQ31" t="s">
        <v>6984</v>
      </c>
      <c r="IQR31" t="s">
        <v>6984</v>
      </c>
      <c r="IQS31" t="s">
        <v>6984</v>
      </c>
      <c r="IQT31" t="s">
        <v>6984</v>
      </c>
      <c r="IQU31" t="s">
        <v>6984</v>
      </c>
      <c r="IQV31" t="s">
        <v>6984</v>
      </c>
      <c r="IQW31" t="s">
        <v>6984</v>
      </c>
      <c r="IQX31" t="s">
        <v>6984</v>
      </c>
      <c r="IQY31" t="s">
        <v>6984</v>
      </c>
      <c r="IQZ31" t="s">
        <v>6984</v>
      </c>
      <c r="IRA31" t="s">
        <v>6984</v>
      </c>
      <c r="IRB31" t="s">
        <v>6984</v>
      </c>
      <c r="IRC31" t="s">
        <v>6984</v>
      </c>
      <c r="IRD31" t="s">
        <v>6984</v>
      </c>
      <c r="IRE31" t="s">
        <v>6984</v>
      </c>
      <c r="IRF31" t="s">
        <v>6984</v>
      </c>
      <c r="IRG31" t="s">
        <v>6984</v>
      </c>
      <c r="IRH31" t="s">
        <v>6984</v>
      </c>
      <c r="IRI31" t="s">
        <v>6984</v>
      </c>
      <c r="IRJ31" t="s">
        <v>6984</v>
      </c>
      <c r="IRK31" t="s">
        <v>6984</v>
      </c>
      <c r="IRL31" t="s">
        <v>6984</v>
      </c>
      <c r="IRM31" t="s">
        <v>6984</v>
      </c>
      <c r="IRN31" t="s">
        <v>6984</v>
      </c>
      <c r="IRO31" t="s">
        <v>6984</v>
      </c>
      <c r="IRP31" t="s">
        <v>6984</v>
      </c>
      <c r="IRQ31" t="s">
        <v>6984</v>
      </c>
      <c r="IRR31" t="s">
        <v>6984</v>
      </c>
      <c r="IRS31" t="s">
        <v>6984</v>
      </c>
      <c r="IRT31" t="s">
        <v>6984</v>
      </c>
      <c r="IRU31" t="s">
        <v>6984</v>
      </c>
      <c r="IRV31" t="s">
        <v>6984</v>
      </c>
      <c r="IRW31" t="s">
        <v>6984</v>
      </c>
      <c r="IRX31" t="s">
        <v>6984</v>
      </c>
      <c r="IRY31" t="s">
        <v>6984</v>
      </c>
      <c r="IRZ31" t="s">
        <v>6984</v>
      </c>
      <c r="ISA31" t="s">
        <v>6984</v>
      </c>
      <c r="ISB31" t="s">
        <v>6984</v>
      </c>
      <c r="ISC31" t="s">
        <v>6984</v>
      </c>
      <c r="ISD31" t="s">
        <v>6984</v>
      </c>
      <c r="ISE31" t="s">
        <v>6984</v>
      </c>
      <c r="ISF31" t="s">
        <v>6984</v>
      </c>
      <c r="ISG31" t="s">
        <v>6984</v>
      </c>
      <c r="ISH31" t="s">
        <v>6984</v>
      </c>
      <c r="ISI31" t="s">
        <v>6984</v>
      </c>
      <c r="ISJ31" t="s">
        <v>6984</v>
      </c>
      <c r="ISK31" t="s">
        <v>6984</v>
      </c>
      <c r="ISL31" t="s">
        <v>6984</v>
      </c>
      <c r="ISM31" t="s">
        <v>6984</v>
      </c>
      <c r="ISN31" t="s">
        <v>6984</v>
      </c>
      <c r="ISO31" t="s">
        <v>6984</v>
      </c>
      <c r="ISP31" t="s">
        <v>6984</v>
      </c>
      <c r="ISQ31" t="s">
        <v>6984</v>
      </c>
      <c r="ISR31" t="s">
        <v>6984</v>
      </c>
      <c r="ISS31" t="s">
        <v>6984</v>
      </c>
      <c r="IST31" t="s">
        <v>6984</v>
      </c>
      <c r="ISU31" t="s">
        <v>6984</v>
      </c>
      <c r="ISV31" t="s">
        <v>6984</v>
      </c>
      <c r="ISW31" t="s">
        <v>6984</v>
      </c>
      <c r="ISX31" t="s">
        <v>6984</v>
      </c>
      <c r="ISY31" t="s">
        <v>6984</v>
      </c>
      <c r="ISZ31" t="s">
        <v>6984</v>
      </c>
      <c r="ITA31" t="s">
        <v>6984</v>
      </c>
      <c r="ITB31" t="s">
        <v>6984</v>
      </c>
      <c r="ITC31" t="s">
        <v>6984</v>
      </c>
      <c r="ITD31" t="s">
        <v>6984</v>
      </c>
      <c r="ITE31" t="s">
        <v>6984</v>
      </c>
      <c r="ITF31" t="s">
        <v>6984</v>
      </c>
      <c r="ITG31" t="s">
        <v>6984</v>
      </c>
      <c r="ITH31" t="s">
        <v>6984</v>
      </c>
      <c r="ITI31" t="s">
        <v>6984</v>
      </c>
      <c r="ITJ31" t="s">
        <v>6984</v>
      </c>
      <c r="ITK31" t="s">
        <v>6984</v>
      </c>
      <c r="ITL31" t="s">
        <v>6984</v>
      </c>
      <c r="ITM31" t="s">
        <v>6984</v>
      </c>
      <c r="ITN31" t="s">
        <v>6984</v>
      </c>
      <c r="ITO31" t="s">
        <v>6984</v>
      </c>
      <c r="ITP31" t="s">
        <v>6984</v>
      </c>
      <c r="ITQ31" t="s">
        <v>6984</v>
      </c>
      <c r="ITR31" t="s">
        <v>6984</v>
      </c>
      <c r="ITS31" t="s">
        <v>6984</v>
      </c>
      <c r="ITT31" t="s">
        <v>6984</v>
      </c>
      <c r="ITU31" t="s">
        <v>6984</v>
      </c>
      <c r="ITV31" t="s">
        <v>6984</v>
      </c>
      <c r="ITW31" t="s">
        <v>6984</v>
      </c>
      <c r="ITX31" t="s">
        <v>6984</v>
      </c>
      <c r="ITY31" t="s">
        <v>6984</v>
      </c>
      <c r="ITZ31" t="s">
        <v>6984</v>
      </c>
      <c r="IUA31" t="s">
        <v>6984</v>
      </c>
      <c r="IUB31" t="s">
        <v>6984</v>
      </c>
      <c r="IUC31" t="s">
        <v>6984</v>
      </c>
      <c r="IUD31" t="s">
        <v>6984</v>
      </c>
      <c r="IUE31" t="s">
        <v>6984</v>
      </c>
      <c r="IUF31" t="s">
        <v>6984</v>
      </c>
      <c r="IUG31" t="s">
        <v>6984</v>
      </c>
      <c r="IUH31" t="s">
        <v>6984</v>
      </c>
      <c r="IUI31" t="s">
        <v>6984</v>
      </c>
      <c r="IUJ31" t="s">
        <v>6984</v>
      </c>
      <c r="IUK31" t="s">
        <v>6984</v>
      </c>
      <c r="IUL31" t="s">
        <v>6984</v>
      </c>
      <c r="IUM31" t="s">
        <v>6984</v>
      </c>
      <c r="IUN31" t="s">
        <v>6984</v>
      </c>
      <c r="IUO31" t="s">
        <v>6984</v>
      </c>
      <c r="IUP31" t="s">
        <v>6984</v>
      </c>
      <c r="IUQ31" t="s">
        <v>6984</v>
      </c>
      <c r="IUR31" t="s">
        <v>6984</v>
      </c>
      <c r="IUS31" t="s">
        <v>6984</v>
      </c>
      <c r="IUT31" t="s">
        <v>6984</v>
      </c>
      <c r="IUU31" t="s">
        <v>6984</v>
      </c>
      <c r="IUV31" t="s">
        <v>6984</v>
      </c>
      <c r="IUW31" t="s">
        <v>6984</v>
      </c>
      <c r="IUX31" t="s">
        <v>6984</v>
      </c>
      <c r="IUY31" t="s">
        <v>6984</v>
      </c>
      <c r="IUZ31" t="s">
        <v>6984</v>
      </c>
      <c r="IVA31" t="s">
        <v>6984</v>
      </c>
      <c r="IVB31" t="s">
        <v>6984</v>
      </c>
      <c r="IVC31" t="s">
        <v>6984</v>
      </c>
      <c r="IVD31" t="s">
        <v>6984</v>
      </c>
      <c r="IVE31" t="s">
        <v>6984</v>
      </c>
      <c r="IVF31" t="s">
        <v>6984</v>
      </c>
      <c r="IVG31" t="s">
        <v>6984</v>
      </c>
      <c r="IVH31" t="s">
        <v>6984</v>
      </c>
      <c r="IVI31" t="s">
        <v>6984</v>
      </c>
      <c r="IVJ31" t="s">
        <v>6984</v>
      </c>
      <c r="IVK31" t="s">
        <v>6984</v>
      </c>
      <c r="IVL31" t="s">
        <v>6984</v>
      </c>
      <c r="IVM31" t="s">
        <v>6984</v>
      </c>
      <c r="IVN31" t="s">
        <v>6984</v>
      </c>
      <c r="IVO31" t="s">
        <v>6984</v>
      </c>
      <c r="IVP31" t="s">
        <v>6984</v>
      </c>
      <c r="IVQ31" t="s">
        <v>6984</v>
      </c>
      <c r="IVR31" t="s">
        <v>6984</v>
      </c>
      <c r="IVS31" t="s">
        <v>6984</v>
      </c>
      <c r="IVT31" t="s">
        <v>6984</v>
      </c>
      <c r="IVU31" t="s">
        <v>6984</v>
      </c>
      <c r="IVV31" t="s">
        <v>6984</v>
      </c>
      <c r="IVW31" t="s">
        <v>6984</v>
      </c>
      <c r="IVX31" t="s">
        <v>6984</v>
      </c>
      <c r="IVY31" t="s">
        <v>6984</v>
      </c>
      <c r="IVZ31" t="s">
        <v>6984</v>
      </c>
      <c r="IWA31" t="s">
        <v>6984</v>
      </c>
      <c r="IWB31" t="s">
        <v>6984</v>
      </c>
      <c r="IWC31" t="s">
        <v>6984</v>
      </c>
      <c r="IWD31" t="s">
        <v>6984</v>
      </c>
      <c r="IWE31" t="s">
        <v>6984</v>
      </c>
      <c r="IWF31" t="s">
        <v>6984</v>
      </c>
      <c r="IWG31" t="s">
        <v>6984</v>
      </c>
      <c r="IWH31" t="s">
        <v>6984</v>
      </c>
      <c r="IWI31" t="s">
        <v>6984</v>
      </c>
      <c r="IWJ31" t="s">
        <v>6984</v>
      </c>
      <c r="IWK31" t="s">
        <v>6984</v>
      </c>
      <c r="IWL31" t="s">
        <v>6984</v>
      </c>
      <c r="IWM31" t="s">
        <v>6984</v>
      </c>
      <c r="IWN31" t="s">
        <v>6984</v>
      </c>
      <c r="IWO31" t="s">
        <v>6984</v>
      </c>
      <c r="IWP31" t="s">
        <v>6984</v>
      </c>
      <c r="IWQ31" t="s">
        <v>6984</v>
      </c>
      <c r="IWR31" t="s">
        <v>6984</v>
      </c>
      <c r="IWS31" t="s">
        <v>6984</v>
      </c>
      <c r="IWT31" t="s">
        <v>6984</v>
      </c>
      <c r="IWU31" t="s">
        <v>6984</v>
      </c>
      <c r="IWV31" t="s">
        <v>6984</v>
      </c>
      <c r="IWW31" t="s">
        <v>6984</v>
      </c>
      <c r="IWX31" t="s">
        <v>6984</v>
      </c>
      <c r="IWY31" t="s">
        <v>6984</v>
      </c>
      <c r="IWZ31" t="s">
        <v>6984</v>
      </c>
      <c r="IXA31" t="s">
        <v>6984</v>
      </c>
      <c r="IXB31" t="s">
        <v>6984</v>
      </c>
      <c r="IXC31" t="s">
        <v>6984</v>
      </c>
      <c r="IXD31" t="s">
        <v>6984</v>
      </c>
      <c r="IXE31" t="s">
        <v>6984</v>
      </c>
      <c r="IXF31" t="s">
        <v>6984</v>
      </c>
      <c r="IXG31" t="s">
        <v>6984</v>
      </c>
      <c r="IXH31" t="s">
        <v>6984</v>
      </c>
      <c r="IXI31" t="s">
        <v>6984</v>
      </c>
      <c r="IXJ31" t="s">
        <v>6984</v>
      </c>
      <c r="IXK31" t="s">
        <v>6984</v>
      </c>
      <c r="IXL31" t="s">
        <v>6984</v>
      </c>
      <c r="IXM31" t="s">
        <v>6984</v>
      </c>
      <c r="IXN31" t="s">
        <v>6984</v>
      </c>
      <c r="IXO31" t="s">
        <v>6984</v>
      </c>
      <c r="IXP31" t="s">
        <v>6984</v>
      </c>
      <c r="IXQ31" t="s">
        <v>6984</v>
      </c>
      <c r="IXR31" t="s">
        <v>6984</v>
      </c>
      <c r="IXS31" t="s">
        <v>6984</v>
      </c>
      <c r="IXT31" t="s">
        <v>6984</v>
      </c>
      <c r="IXU31" t="s">
        <v>6984</v>
      </c>
      <c r="IXV31" t="s">
        <v>6984</v>
      </c>
      <c r="IXW31" t="s">
        <v>6984</v>
      </c>
      <c r="IXX31" t="s">
        <v>6984</v>
      </c>
      <c r="IXY31" t="s">
        <v>6984</v>
      </c>
      <c r="IXZ31" t="s">
        <v>6984</v>
      </c>
      <c r="IYA31" t="s">
        <v>6984</v>
      </c>
      <c r="IYB31" t="s">
        <v>6984</v>
      </c>
      <c r="IYC31" t="s">
        <v>6984</v>
      </c>
      <c r="IYD31" t="s">
        <v>6984</v>
      </c>
      <c r="IYE31" t="s">
        <v>6984</v>
      </c>
      <c r="IYF31" t="s">
        <v>6984</v>
      </c>
      <c r="IYG31" t="s">
        <v>6984</v>
      </c>
      <c r="IYH31" t="s">
        <v>6984</v>
      </c>
      <c r="IYI31" t="s">
        <v>6984</v>
      </c>
      <c r="IYJ31" t="s">
        <v>6984</v>
      </c>
      <c r="IYK31" t="s">
        <v>6984</v>
      </c>
      <c r="IYL31" t="s">
        <v>6984</v>
      </c>
      <c r="IYM31" t="s">
        <v>6984</v>
      </c>
      <c r="IYN31" t="s">
        <v>6984</v>
      </c>
      <c r="IYO31" t="s">
        <v>6984</v>
      </c>
      <c r="IYP31" t="s">
        <v>6984</v>
      </c>
      <c r="IYQ31" t="s">
        <v>6984</v>
      </c>
      <c r="IYR31" t="s">
        <v>6984</v>
      </c>
      <c r="IYS31" t="s">
        <v>6984</v>
      </c>
      <c r="IYT31" t="s">
        <v>6984</v>
      </c>
      <c r="IYU31" t="s">
        <v>6984</v>
      </c>
      <c r="IYV31" t="s">
        <v>6984</v>
      </c>
      <c r="IYW31" t="s">
        <v>6984</v>
      </c>
      <c r="IYX31" t="s">
        <v>6984</v>
      </c>
      <c r="IYY31" t="s">
        <v>6984</v>
      </c>
      <c r="IYZ31" t="s">
        <v>6984</v>
      </c>
      <c r="IZA31" t="s">
        <v>6984</v>
      </c>
      <c r="IZB31" t="s">
        <v>6984</v>
      </c>
      <c r="IZC31" t="s">
        <v>6984</v>
      </c>
      <c r="IZD31" t="s">
        <v>6984</v>
      </c>
      <c r="IZE31" t="s">
        <v>6984</v>
      </c>
      <c r="IZF31" t="s">
        <v>6984</v>
      </c>
      <c r="IZG31" t="s">
        <v>6984</v>
      </c>
      <c r="IZH31" t="s">
        <v>6984</v>
      </c>
      <c r="IZI31" t="s">
        <v>6984</v>
      </c>
      <c r="IZJ31" t="s">
        <v>6984</v>
      </c>
      <c r="IZK31" t="s">
        <v>6984</v>
      </c>
      <c r="IZL31" t="s">
        <v>6984</v>
      </c>
      <c r="IZM31" t="s">
        <v>6984</v>
      </c>
      <c r="IZN31" t="s">
        <v>6984</v>
      </c>
      <c r="IZO31" t="s">
        <v>6984</v>
      </c>
      <c r="IZP31" t="s">
        <v>6984</v>
      </c>
      <c r="IZQ31" t="s">
        <v>6984</v>
      </c>
      <c r="IZR31" t="s">
        <v>6984</v>
      </c>
      <c r="IZS31" t="s">
        <v>6984</v>
      </c>
      <c r="IZT31" t="s">
        <v>6984</v>
      </c>
      <c r="IZU31" t="s">
        <v>6984</v>
      </c>
      <c r="IZV31" t="s">
        <v>6984</v>
      </c>
      <c r="IZW31" t="s">
        <v>6984</v>
      </c>
      <c r="IZX31" t="s">
        <v>6984</v>
      </c>
      <c r="IZY31" t="s">
        <v>6984</v>
      </c>
      <c r="IZZ31" t="s">
        <v>6984</v>
      </c>
      <c r="JAA31" t="s">
        <v>6984</v>
      </c>
      <c r="JAB31" t="s">
        <v>6984</v>
      </c>
      <c r="JAC31" t="s">
        <v>6984</v>
      </c>
      <c r="JAD31" t="s">
        <v>6984</v>
      </c>
      <c r="JAE31" t="s">
        <v>6984</v>
      </c>
      <c r="JAF31" t="s">
        <v>6984</v>
      </c>
      <c r="JAG31" t="s">
        <v>6984</v>
      </c>
      <c r="JAH31" t="s">
        <v>6984</v>
      </c>
      <c r="JAI31" t="s">
        <v>6984</v>
      </c>
      <c r="JAJ31" t="s">
        <v>6984</v>
      </c>
      <c r="JAK31" t="s">
        <v>6984</v>
      </c>
      <c r="JAL31" t="s">
        <v>6984</v>
      </c>
      <c r="JAM31" t="s">
        <v>6984</v>
      </c>
      <c r="JAN31" t="s">
        <v>6984</v>
      </c>
      <c r="JAO31" t="s">
        <v>6984</v>
      </c>
      <c r="JAP31" t="s">
        <v>6984</v>
      </c>
      <c r="JAQ31" t="s">
        <v>6984</v>
      </c>
      <c r="JAR31" t="s">
        <v>6984</v>
      </c>
      <c r="JAS31" t="s">
        <v>6984</v>
      </c>
      <c r="JAT31" t="s">
        <v>6984</v>
      </c>
      <c r="JAU31" t="s">
        <v>6984</v>
      </c>
      <c r="JAV31" t="s">
        <v>6984</v>
      </c>
      <c r="JAW31" t="s">
        <v>6984</v>
      </c>
      <c r="JAX31" t="s">
        <v>6984</v>
      </c>
      <c r="JAY31" t="s">
        <v>6984</v>
      </c>
      <c r="JAZ31" t="s">
        <v>6984</v>
      </c>
      <c r="JBA31" t="s">
        <v>6984</v>
      </c>
      <c r="JBB31" t="s">
        <v>6984</v>
      </c>
      <c r="JBC31" t="s">
        <v>6984</v>
      </c>
      <c r="JBD31" t="s">
        <v>6984</v>
      </c>
      <c r="JBE31" t="s">
        <v>6984</v>
      </c>
      <c r="JBF31" t="s">
        <v>6984</v>
      </c>
      <c r="JBG31" t="s">
        <v>6984</v>
      </c>
      <c r="JBH31" t="s">
        <v>6984</v>
      </c>
      <c r="JBI31" t="s">
        <v>6984</v>
      </c>
      <c r="JBJ31" t="s">
        <v>6984</v>
      </c>
      <c r="JBK31" t="s">
        <v>6984</v>
      </c>
      <c r="JBL31" t="s">
        <v>6984</v>
      </c>
      <c r="JBM31" t="s">
        <v>6984</v>
      </c>
      <c r="JBN31" t="s">
        <v>6984</v>
      </c>
      <c r="JBO31" t="s">
        <v>6984</v>
      </c>
      <c r="JBP31" t="s">
        <v>6984</v>
      </c>
      <c r="JBQ31" t="s">
        <v>6984</v>
      </c>
      <c r="JBR31" t="s">
        <v>6984</v>
      </c>
      <c r="JBS31" t="s">
        <v>6984</v>
      </c>
      <c r="JBT31" t="s">
        <v>6984</v>
      </c>
      <c r="JBU31" t="s">
        <v>6984</v>
      </c>
      <c r="JBV31" t="s">
        <v>6984</v>
      </c>
      <c r="JBW31" t="s">
        <v>6984</v>
      </c>
      <c r="JBX31" t="s">
        <v>6984</v>
      </c>
      <c r="JBY31" t="s">
        <v>6984</v>
      </c>
      <c r="JBZ31" t="s">
        <v>6984</v>
      </c>
      <c r="JCA31" t="s">
        <v>6984</v>
      </c>
      <c r="JCB31" t="s">
        <v>6984</v>
      </c>
      <c r="JCC31" t="s">
        <v>6984</v>
      </c>
      <c r="JCD31" t="s">
        <v>6984</v>
      </c>
      <c r="JCE31" t="s">
        <v>6984</v>
      </c>
      <c r="JCF31" t="s">
        <v>6984</v>
      </c>
      <c r="JCG31" t="s">
        <v>6984</v>
      </c>
      <c r="JCH31" t="s">
        <v>6984</v>
      </c>
      <c r="JCI31" t="s">
        <v>6984</v>
      </c>
      <c r="JCJ31" t="s">
        <v>6984</v>
      </c>
      <c r="JCK31" t="s">
        <v>6984</v>
      </c>
      <c r="JCL31" t="s">
        <v>6984</v>
      </c>
      <c r="JCM31" t="s">
        <v>6984</v>
      </c>
      <c r="JCN31" t="s">
        <v>6984</v>
      </c>
      <c r="JCO31" t="s">
        <v>6984</v>
      </c>
      <c r="JCP31" t="s">
        <v>6984</v>
      </c>
      <c r="JCQ31" t="s">
        <v>6984</v>
      </c>
      <c r="JCR31" t="s">
        <v>6984</v>
      </c>
      <c r="JCS31" t="s">
        <v>6984</v>
      </c>
      <c r="JCT31" t="s">
        <v>6984</v>
      </c>
      <c r="JCU31" t="s">
        <v>6984</v>
      </c>
      <c r="JCV31" t="s">
        <v>6984</v>
      </c>
      <c r="JCW31" t="s">
        <v>6984</v>
      </c>
      <c r="JCX31" t="s">
        <v>6984</v>
      </c>
      <c r="JCY31" t="s">
        <v>6984</v>
      </c>
      <c r="JCZ31" t="s">
        <v>6984</v>
      </c>
      <c r="JDA31" t="s">
        <v>6984</v>
      </c>
      <c r="JDB31" t="s">
        <v>6984</v>
      </c>
      <c r="JDC31" t="s">
        <v>6984</v>
      </c>
      <c r="JDD31" t="s">
        <v>6984</v>
      </c>
      <c r="JDE31" t="s">
        <v>6984</v>
      </c>
      <c r="JDF31" t="s">
        <v>6984</v>
      </c>
      <c r="JDG31" t="s">
        <v>6984</v>
      </c>
      <c r="JDH31" t="s">
        <v>6984</v>
      </c>
      <c r="JDI31" t="s">
        <v>6984</v>
      </c>
      <c r="JDJ31" t="s">
        <v>6984</v>
      </c>
      <c r="JDK31" t="s">
        <v>6984</v>
      </c>
      <c r="JDL31" t="s">
        <v>6984</v>
      </c>
      <c r="JDM31" t="s">
        <v>6984</v>
      </c>
      <c r="JDN31" t="s">
        <v>6984</v>
      </c>
      <c r="JDO31" t="s">
        <v>6984</v>
      </c>
      <c r="JDP31" t="s">
        <v>6984</v>
      </c>
      <c r="JDQ31" t="s">
        <v>6984</v>
      </c>
      <c r="JDR31" t="s">
        <v>6984</v>
      </c>
      <c r="JDS31" t="s">
        <v>6984</v>
      </c>
      <c r="JDT31" t="s">
        <v>6984</v>
      </c>
      <c r="JDU31" t="s">
        <v>6984</v>
      </c>
      <c r="JDV31" t="s">
        <v>6984</v>
      </c>
      <c r="JDW31" t="s">
        <v>6984</v>
      </c>
      <c r="JDX31" t="s">
        <v>6984</v>
      </c>
      <c r="JDY31" t="s">
        <v>6984</v>
      </c>
      <c r="JDZ31" t="s">
        <v>6984</v>
      </c>
      <c r="JEA31" t="s">
        <v>6984</v>
      </c>
      <c r="JEB31" t="s">
        <v>6984</v>
      </c>
      <c r="JEC31" t="s">
        <v>6984</v>
      </c>
      <c r="JED31" t="s">
        <v>6984</v>
      </c>
      <c r="JEE31" t="s">
        <v>6984</v>
      </c>
      <c r="JEF31" t="s">
        <v>6984</v>
      </c>
      <c r="JEG31" t="s">
        <v>6984</v>
      </c>
      <c r="JEH31" t="s">
        <v>6984</v>
      </c>
      <c r="JEI31" t="s">
        <v>6984</v>
      </c>
      <c r="JEJ31" t="s">
        <v>6984</v>
      </c>
      <c r="JEK31" t="s">
        <v>6984</v>
      </c>
      <c r="JEL31" t="s">
        <v>6984</v>
      </c>
      <c r="JEM31" t="s">
        <v>6984</v>
      </c>
      <c r="JEN31" t="s">
        <v>6984</v>
      </c>
      <c r="JEO31" t="s">
        <v>6984</v>
      </c>
      <c r="JEP31" t="s">
        <v>6984</v>
      </c>
      <c r="JEQ31" t="s">
        <v>6984</v>
      </c>
      <c r="JER31" t="s">
        <v>6984</v>
      </c>
      <c r="JES31" t="s">
        <v>6984</v>
      </c>
      <c r="JET31" t="s">
        <v>6984</v>
      </c>
      <c r="JEU31" t="s">
        <v>6984</v>
      </c>
      <c r="JEV31" t="s">
        <v>6984</v>
      </c>
      <c r="JEW31" t="s">
        <v>6984</v>
      </c>
      <c r="JEX31" t="s">
        <v>6984</v>
      </c>
      <c r="JEY31" t="s">
        <v>6984</v>
      </c>
      <c r="JEZ31" t="s">
        <v>6984</v>
      </c>
      <c r="JFA31" t="s">
        <v>6984</v>
      </c>
      <c r="JFB31" t="s">
        <v>6984</v>
      </c>
      <c r="JFC31" t="s">
        <v>6984</v>
      </c>
      <c r="JFD31" t="s">
        <v>6984</v>
      </c>
      <c r="JFE31" t="s">
        <v>6984</v>
      </c>
      <c r="JFF31" t="s">
        <v>6984</v>
      </c>
      <c r="JFG31" t="s">
        <v>6984</v>
      </c>
      <c r="JFH31" t="s">
        <v>6984</v>
      </c>
      <c r="JFI31" t="s">
        <v>6984</v>
      </c>
      <c r="JFJ31" t="s">
        <v>6984</v>
      </c>
      <c r="JFK31" t="s">
        <v>6984</v>
      </c>
      <c r="JFL31" t="s">
        <v>6984</v>
      </c>
      <c r="JFM31" t="s">
        <v>6984</v>
      </c>
      <c r="JFN31" t="s">
        <v>6984</v>
      </c>
      <c r="JFO31" t="s">
        <v>6984</v>
      </c>
      <c r="JFP31" t="s">
        <v>6984</v>
      </c>
      <c r="JFQ31" t="s">
        <v>6984</v>
      </c>
      <c r="JFR31" t="s">
        <v>6984</v>
      </c>
      <c r="JFS31" t="s">
        <v>6984</v>
      </c>
      <c r="JFT31" t="s">
        <v>6984</v>
      </c>
      <c r="JFU31" t="s">
        <v>6984</v>
      </c>
      <c r="JFV31" t="s">
        <v>6984</v>
      </c>
      <c r="JFW31" t="s">
        <v>6984</v>
      </c>
      <c r="JFX31" t="s">
        <v>6984</v>
      </c>
      <c r="JFY31" t="s">
        <v>6984</v>
      </c>
      <c r="JFZ31" t="s">
        <v>6984</v>
      </c>
      <c r="JGA31" t="s">
        <v>6984</v>
      </c>
      <c r="JGB31" t="s">
        <v>6984</v>
      </c>
      <c r="JGC31" t="s">
        <v>6984</v>
      </c>
      <c r="JGD31" t="s">
        <v>6984</v>
      </c>
      <c r="JGE31" t="s">
        <v>6984</v>
      </c>
      <c r="JGF31" t="s">
        <v>6984</v>
      </c>
      <c r="JGG31" t="s">
        <v>6984</v>
      </c>
      <c r="JGH31" t="s">
        <v>6984</v>
      </c>
      <c r="JGI31" t="s">
        <v>6984</v>
      </c>
      <c r="JGJ31" t="s">
        <v>6984</v>
      </c>
      <c r="JGK31" t="s">
        <v>6984</v>
      </c>
      <c r="JGL31" t="s">
        <v>6984</v>
      </c>
      <c r="JGM31" t="s">
        <v>6984</v>
      </c>
      <c r="JGN31" t="s">
        <v>6984</v>
      </c>
      <c r="JGO31" t="s">
        <v>6984</v>
      </c>
      <c r="JGP31" t="s">
        <v>6984</v>
      </c>
      <c r="JGQ31" t="s">
        <v>6984</v>
      </c>
      <c r="JGR31" t="s">
        <v>6984</v>
      </c>
      <c r="JGS31" t="s">
        <v>6984</v>
      </c>
      <c r="JGT31" t="s">
        <v>6984</v>
      </c>
      <c r="JGU31" t="s">
        <v>6984</v>
      </c>
      <c r="JGV31" t="s">
        <v>6984</v>
      </c>
      <c r="JGW31" t="s">
        <v>6984</v>
      </c>
      <c r="JGX31" t="s">
        <v>6984</v>
      </c>
      <c r="JGY31" t="s">
        <v>6984</v>
      </c>
      <c r="JGZ31" t="s">
        <v>6984</v>
      </c>
      <c r="JHA31" t="s">
        <v>6984</v>
      </c>
      <c r="JHB31" t="s">
        <v>6984</v>
      </c>
      <c r="JHC31" t="s">
        <v>6984</v>
      </c>
      <c r="JHD31" t="s">
        <v>6984</v>
      </c>
      <c r="JHE31" t="s">
        <v>6984</v>
      </c>
      <c r="JHF31" t="s">
        <v>6984</v>
      </c>
      <c r="JHG31" t="s">
        <v>6984</v>
      </c>
      <c r="JHH31" t="s">
        <v>6984</v>
      </c>
      <c r="JHI31" t="s">
        <v>6984</v>
      </c>
      <c r="JHJ31" t="s">
        <v>6984</v>
      </c>
      <c r="JHK31" t="s">
        <v>6984</v>
      </c>
      <c r="JHL31" t="s">
        <v>6984</v>
      </c>
      <c r="JHM31" t="s">
        <v>6984</v>
      </c>
      <c r="JHN31" t="s">
        <v>6984</v>
      </c>
      <c r="JHO31" t="s">
        <v>6984</v>
      </c>
      <c r="JHP31" t="s">
        <v>6984</v>
      </c>
      <c r="JHQ31" t="s">
        <v>6984</v>
      </c>
      <c r="JHR31" t="s">
        <v>6984</v>
      </c>
      <c r="JHS31" t="s">
        <v>6984</v>
      </c>
      <c r="JHT31" t="s">
        <v>6984</v>
      </c>
      <c r="JHU31" t="s">
        <v>6984</v>
      </c>
      <c r="JHV31" t="s">
        <v>6984</v>
      </c>
      <c r="JHW31" t="s">
        <v>6984</v>
      </c>
      <c r="JHX31" t="s">
        <v>6984</v>
      </c>
      <c r="JHY31" t="s">
        <v>6984</v>
      </c>
      <c r="JHZ31" t="s">
        <v>6984</v>
      </c>
      <c r="JIA31" t="s">
        <v>6984</v>
      </c>
      <c r="JIB31" t="s">
        <v>6984</v>
      </c>
      <c r="JIC31" t="s">
        <v>6984</v>
      </c>
      <c r="JID31" t="s">
        <v>6984</v>
      </c>
      <c r="JIE31" t="s">
        <v>6984</v>
      </c>
      <c r="JIF31" t="s">
        <v>6984</v>
      </c>
      <c r="JIG31" t="s">
        <v>6984</v>
      </c>
      <c r="JIH31" t="s">
        <v>6984</v>
      </c>
      <c r="JII31" t="s">
        <v>6984</v>
      </c>
      <c r="JIJ31" t="s">
        <v>6984</v>
      </c>
      <c r="JIK31" t="s">
        <v>6984</v>
      </c>
      <c r="JIL31" t="s">
        <v>6984</v>
      </c>
      <c r="JIM31" t="s">
        <v>6984</v>
      </c>
      <c r="JIN31" t="s">
        <v>6984</v>
      </c>
      <c r="JIO31" t="s">
        <v>6984</v>
      </c>
      <c r="JIP31" t="s">
        <v>6984</v>
      </c>
      <c r="JIQ31" t="s">
        <v>6984</v>
      </c>
      <c r="JIR31" t="s">
        <v>6984</v>
      </c>
      <c r="JIS31" t="s">
        <v>6984</v>
      </c>
      <c r="JIT31" t="s">
        <v>6984</v>
      </c>
      <c r="JIU31" t="s">
        <v>6984</v>
      </c>
      <c r="JIV31" t="s">
        <v>6984</v>
      </c>
      <c r="JIW31" t="s">
        <v>6984</v>
      </c>
      <c r="JIX31" t="s">
        <v>6984</v>
      </c>
      <c r="JIY31" t="s">
        <v>6984</v>
      </c>
      <c r="JIZ31" t="s">
        <v>6984</v>
      </c>
      <c r="JJA31" t="s">
        <v>6984</v>
      </c>
    </row>
    <row r="32" spans="1:7021" x14ac:dyDescent="0.25">
      <c r="A32" t="s">
        <v>7013</v>
      </c>
      <c r="B32">
        <v>95.61</v>
      </c>
      <c r="C32">
        <v>95.61</v>
      </c>
      <c r="D32">
        <v>95.61</v>
      </c>
      <c r="E32">
        <v>95.655000000000001</v>
      </c>
      <c r="F32">
        <v>95.6</v>
      </c>
      <c r="G32">
        <v>95.644999999999996</v>
      </c>
      <c r="H32">
        <v>95.694999999999993</v>
      </c>
      <c r="I32">
        <v>95.635000000000005</v>
      </c>
      <c r="J32">
        <v>95.584999999999994</v>
      </c>
      <c r="K32">
        <v>95.57</v>
      </c>
      <c r="L32">
        <v>95.564999999999998</v>
      </c>
      <c r="M32">
        <v>95.665000000000006</v>
      </c>
      <c r="N32">
        <v>95.69</v>
      </c>
      <c r="O32">
        <v>95.6</v>
      </c>
      <c r="P32">
        <v>95.594999999999999</v>
      </c>
      <c r="Q32">
        <v>95.655000000000001</v>
      </c>
      <c r="R32">
        <v>95.635000000000005</v>
      </c>
      <c r="S32">
        <v>95.605000000000004</v>
      </c>
      <c r="T32">
        <v>95.655000000000001</v>
      </c>
      <c r="U32">
        <v>95.564999999999998</v>
      </c>
      <c r="V32">
        <v>95.564999999999998</v>
      </c>
      <c r="W32">
        <v>95.49</v>
      </c>
      <c r="X32">
        <v>95.43</v>
      </c>
      <c r="Y32">
        <v>95.534999999999997</v>
      </c>
      <c r="Z32">
        <v>95.534999999999997</v>
      </c>
      <c r="AA32">
        <v>95.575000000000003</v>
      </c>
      <c r="AB32">
        <v>95.555000000000007</v>
      </c>
      <c r="AC32">
        <v>95.484999999999999</v>
      </c>
      <c r="AD32">
        <v>95.52</v>
      </c>
      <c r="AE32">
        <v>95.57</v>
      </c>
      <c r="AF32">
        <v>95.625</v>
      </c>
      <c r="AG32">
        <v>95.625</v>
      </c>
      <c r="AH32">
        <v>95.72</v>
      </c>
      <c r="AI32">
        <v>95.67</v>
      </c>
      <c r="AJ32">
        <v>95.665000000000006</v>
      </c>
      <c r="AK32">
        <v>95.7</v>
      </c>
      <c r="AL32">
        <v>95.745000000000005</v>
      </c>
      <c r="AM32">
        <v>95.795000000000002</v>
      </c>
      <c r="AN32">
        <v>95.77</v>
      </c>
      <c r="AO32">
        <v>95.71</v>
      </c>
      <c r="AP32">
        <v>95.66</v>
      </c>
      <c r="AQ32">
        <v>95.6</v>
      </c>
      <c r="AR32">
        <v>95.53</v>
      </c>
      <c r="AS32">
        <v>95.5</v>
      </c>
      <c r="AT32">
        <v>95.45</v>
      </c>
      <c r="AU32">
        <v>95.63</v>
      </c>
      <c r="AV32">
        <v>95.63</v>
      </c>
      <c r="AW32">
        <v>95.72</v>
      </c>
      <c r="AX32">
        <v>95.694999999999993</v>
      </c>
      <c r="AY32">
        <v>95.68</v>
      </c>
      <c r="AZ32">
        <v>95.575000000000003</v>
      </c>
      <c r="BA32">
        <v>95.72</v>
      </c>
      <c r="BB32">
        <v>95.69</v>
      </c>
      <c r="BC32">
        <v>95.85</v>
      </c>
      <c r="BD32">
        <v>95.94</v>
      </c>
      <c r="BE32">
        <v>96.12</v>
      </c>
      <c r="BF32">
        <v>96.04</v>
      </c>
      <c r="BG32">
        <v>95.9</v>
      </c>
      <c r="BH32">
        <v>95.96</v>
      </c>
      <c r="BI32">
        <v>95.855000000000004</v>
      </c>
      <c r="BJ32">
        <v>95.825000000000003</v>
      </c>
      <c r="BK32">
        <v>95.71</v>
      </c>
      <c r="BL32">
        <v>95.795000000000002</v>
      </c>
      <c r="BM32">
        <v>95.825000000000003</v>
      </c>
      <c r="BN32">
        <v>95.8</v>
      </c>
      <c r="BO32">
        <v>95.88</v>
      </c>
      <c r="BP32">
        <v>95.894999999999996</v>
      </c>
      <c r="BQ32">
        <v>95.855000000000004</v>
      </c>
      <c r="BR32">
        <v>95.855000000000004</v>
      </c>
      <c r="BS32">
        <v>95.82</v>
      </c>
      <c r="BT32">
        <v>95.795000000000002</v>
      </c>
      <c r="BU32">
        <v>95.87</v>
      </c>
      <c r="BV32">
        <v>95.84</v>
      </c>
      <c r="BW32">
        <v>95.87</v>
      </c>
      <c r="BX32">
        <v>95.965000000000003</v>
      </c>
      <c r="BY32">
        <v>95.834999999999994</v>
      </c>
      <c r="BZ32">
        <v>95.86</v>
      </c>
      <c r="CA32">
        <v>95.885000000000005</v>
      </c>
      <c r="CB32">
        <v>95.944999999999993</v>
      </c>
      <c r="CC32">
        <v>95.99</v>
      </c>
      <c r="CD32">
        <v>95.93</v>
      </c>
      <c r="CE32">
        <v>95.87</v>
      </c>
      <c r="CF32">
        <v>95.915000000000006</v>
      </c>
      <c r="CG32">
        <v>95.844999999999999</v>
      </c>
      <c r="CH32">
        <v>95.71</v>
      </c>
      <c r="CI32">
        <v>95.685000000000002</v>
      </c>
      <c r="CJ32">
        <v>95.605000000000004</v>
      </c>
      <c r="CK32">
        <v>95.555000000000007</v>
      </c>
      <c r="CL32">
        <v>95.555000000000007</v>
      </c>
      <c r="CM32">
        <v>95.63</v>
      </c>
      <c r="CN32">
        <v>95.63</v>
      </c>
      <c r="CO32">
        <v>95.575000000000003</v>
      </c>
      <c r="CP32">
        <v>95.465000000000003</v>
      </c>
      <c r="CQ32">
        <v>95.605000000000004</v>
      </c>
      <c r="CR32">
        <v>95.655000000000001</v>
      </c>
      <c r="CS32">
        <v>95.655000000000001</v>
      </c>
      <c r="CT32">
        <v>95.715000000000003</v>
      </c>
      <c r="CU32">
        <v>95.765000000000001</v>
      </c>
      <c r="CV32">
        <v>95.655000000000001</v>
      </c>
      <c r="CW32">
        <v>95.63</v>
      </c>
      <c r="CX32">
        <v>95.584999999999994</v>
      </c>
      <c r="CY32">
        <v>95.655000000000001</v>
      </c>
      <c r="CZ32">
        <v>95.61</v>
      </c>
      <c r="DA32">
        <v>95.62</v>
      </c>
      <c r="DB32">
        <v>95.644999999999996</v>
      </c>
      <c r="DC32">
        <v>95.534999999999997</v>
      </c>
      <c r="DD32">
        <v>95.534999999999997</v>
      </c>
      <c r="DE32">
        <v>95.59</v>
      </c>
      <c r="DF32">
        <v>95.62</v>
      </c>
      <c r="DG32">
        <v>95.575000000000003</v>
      </c>
      <c r="DH32">
        <v>95.575000000000003</v>
      </c>
      <c r="DI32">
        <v>95.575000000000003</v>
      </c>
      <c r="DJ32">
        <v>95.534999999999997</v>
      </c>
      <c r="DK32">
        <v>95.39</v>
      </c>
      <c r="DL32">
        <v>95.37</v>
      </c>
      <c r="DM32">
        <v>95.41</v>
      </c>
      <c r="DN32">
        <v>95.47</v>
      </c>
      <c r="DO32">
        <v>95.454999999999998</v>
      </c>
      <c r="DP32">
        <v>95.465000000000003</v>
      </c>
      <c r="DQ32">
        <v>95.55</v>
      </c>
      <c r="DR32">
        <v>95.605000000000004</v>
      </c>
      <c r="DS32">
        <v>95.62</v>
      </c>
      <c r="DT32">
        <v>95.614999999999995</v>
      </c>
      <c r="DU32">
        <v>95.614999999999995</v>
      </c>
      <c r="DV32">
        <v>95.655000000000001</v>
      </c>
      <c r="DW32">
        <v>95.575000000000003</v>
      </c>
      <c r="DX32">
        <v>95.635000000000005</v>
      </c>
      <c r="DY32">
        <v>95.62</v>
      </c>
      <c r="DZ32">
        <v>95.62</v>
      </c>
      <c r="EA32">
        <v>95.594999999999999</v>
      </c>
      <c r="EB32">
        <v>95.694999999999993</v>
      </c>
      <c r="EC32">
        <v>95.625</v>
      </c>
      <c r="ED32">
        <v>95.754999999999995</v>
      </c>
      <c r="EE32">
        <v>95.88</v>
      </c>
      <c r="EF32">
        <v>95.864999999999995</v>
      </c>
      <c r="EG32">
        <v>95.87</v>
      </c>
      <c r="EH32">
        <v>95.954999999999998</v>
      </c>
      <c r="EI32">
        <v>96.02</v>
      </c>
      <c r="EJ32">
        <v>96.08</v>
      </c>
      <c r="EK32">
        <v>96.105000000000004</v>
      </c>
      <c r="EL32">
        <v>96.144999999999996</v>
      </c>
      <c r="EM32">
        <v>96.11</v>
      </c>
      <c r="EN32">
        <v>96.094999999999999</v>
      </c>
      <c r="EO32">
        <v>96.064999999999998</v>
      </c>
      <c r="EP32">
        <v>96.1</v>
      </c>
      <c r="EQ32">
        <v>96.1</v>
      </c>
      <c r="ER32">
        <v>96.064999999999998</v>
      </c>
      <c r="ES32">
        <v>96.064999999999998</v>
      </c>
      <c r="ET32">
        <v>96</v>
      </c>
      <c r="EU32">
        <v>96.064999999999998</v>
      </c>
      <c r="EV32">
        <v>95.915000000000006</v>
      </c>
      <c r="EW32">
        <v>95.88</v>
      </c>
      <c r="EX32">
        <v>95.875</v>
      </c>
      <c r="EY32">
        <v>95.905000000000001</v>
      </c>
      <c r="EZ32">
        <v>95.87</v>
      </c>
      <c r="FA32">
        <v>95.86</v>
      </c>
      <c r="FB32">
        <v>95.864999999999995</v>
      </c>
      <c r="FC32">
        <v>95.83</v>
      </c>
      <c r="FD32">
        <v>95.855000000000004</v>
      </c>
      <c r="FE32">
        <v>95.915000000000006</v>
      </c>
      <c r="FF32">
        <v>95.965000000000003</v>
      </c>
      <c r="FG32">
        <v>95.92</v>
      </c>
      <c r="FH32">
        <v>95.814999999999998</v>
      </c>
      <c r="FI32">
        <v>95.984999999999999</v>
      </c>
      <c r="FJ32">
        <v>95.96</v>
      </c>
      <c r="FK32">
        <v>95.894999999999996</v>
      </c>
      <c r="FL32">
        <v>95.954999999999998</v>
      </c>
      <c r="FM32">
        <v>95.965000000000003</v>
      </c>
      <c r="FN32">
        <v>95.935000000000002</v>
      </c>
      <c r="FO32">
        <v>95.93</v>
      </c>
      <c r="FP32">
        <v>95.965000000000003</v>
      </c>
      <c r="FQ32">
        <v>95.99</v>
      </c>
      <c r="FR32">
        <v>95.94</v>
      </c>
      <c r="FS32">
        <v>95.97</v>
      </c>
      <c r="FT32">
        <v>95.995000000000005</v>
      </c>
      <c r="FU32">
        <v>96.11</v>
      </c>
      <c r="FV32">
        <v>96.094999999999999</v>
      </c>
      <c r="FW32">
        <v>96.194999999999993</v>
      </c>
      <c r="FX32">
        <v>96.174999999999997</v>
      </c>
      <c r="FY32">
        <v>96.08</v>
      </c>
      <c r="FZ32">
        <v>96.12</v>
      </c>
      <c r="GA32">
        <v>96.11</v>
      </c>
      <c r="GB32">
        <v>96.155000000000001</v>
      </c>
      <c r="GC32">
        <v>96.18</v>
      </c>
      <c r="GD32">
        <v>96.194999999999993</v>
      </c>
      <c r="GE32">
        <v>96.23</v>
      </c>
      <c r="GF32">
        <v>96.31</v>
      </c>
      <c r="GG32">
        <v>96.38</v>
      </c>
      <c r="GH32">
        <v>96.424999999999997</v>
      </c>
      <c r="GI32">
        <v>96.355000000000004</v>
      </c>
      <c r="GJ32">
        <v>96.394999999999996</v>
      </c>
      <c r="GK32">
        <v>96.364999999999995</v>
      </c>
      <c r="GL32">
        <v>96.344999999999999</v>
      </c>
      <c r="GM32">
        <v>96.385000000000005</v>
      </c>
      <c r="GN32">
        <v>96.39</v>
      </c>
      <c r="GO32">
        <v>96.405000000000001</v>
      </c>
      <c r="GP32">
        <v>96.385000000000005</v>
      </c>
      <c r="GQ32">
        <v>96.46</v>
      </c>
      <c r="GR32">
        <v>96.51</v>
      </c>
      <c r="GS32">
        <v>96.5</v>
      </c>
      <c r="GT32">
        <v>96.48</v>
      </c>
      <c r="GU32">
        <v>96.474999999999994</v>
      </c>
      <c r="GV32">
        <v>96.504999999999995</v>
      </c>
      <c r="GW32">
        <v>96.51</v>
      </c>
      <c r="GX32">
        <v>96.454999999999998</v>
      </c>
      <c r="GY32">
        <v>96.43</v>
      </c>
      <c r="GZ32">
        <v>96.444999999999993</v>
      </c>
      <c r="HA32">
        <v>96.41</v>
      </c>
      <c r="HB32">
        <v>96.36</v>
      </c>
      <c r="HC32">
        <v>96.28</v>
      </c>
      <c r="HD32">
        <v>96.28</v>
      </c>
      <c r="HE32">
        <v>96.325000000000003</v>
      </c>
      <c r="HF32">
        <v>96.34</v>
      </c>
      <c r="HG32">
        <v>96.355000000000004</v>
      </c>
      <c r="HH32">
        <v>96.375</v>
      </c>
      <c r="HI32">
        <v>96.364999999999995</v>
      </c>
      <c r="HJ32">
        <v>96.305000000000007</v>
      </c>
      <c r="HK32">
        <v>96.38</v>
      </c>
      <c r="HL32">
        <v>96.355000000000004</v>
      </c>
      <c r="HM32">
        <v>96.305000000000007</v>
      </c>
      <c r="HN32">
        <v>96.265000000000001</v>
      </c>
      <c r="HO32">
        <v>96.224999999999994</v>
      </c>
      <c r="HP32">
        <v>96.295000000000002</v>
      </c>
      <c r="HQ32">
        <v>96.26</v>
      </c>
      <c r="HR32">
        <v>96.23</v>
      </c>
      <c r="HS32">
        <v>96.19</v>
      </c>
      <c r="HT32">
        <v>96.11</v>
      </c>
      <c r="HU32">
        <v>96.12</v>
      </c>
      <c r="HV32">
        <v>96.215000000000003</v>
      </c>
      <c r="HW32">
        <v>96.314999999999998</v>
      </c>
      <c r="HX32">
        <v>96.32</v>
      </c>
      <c r="HY32">
        <v>96.194999999999993</v>
      </c>
      <c r="HZ32">
        <v>96.094999999999999</v>
      </c>
      <c r="IA32">
        <v>96.06</v>
      </c>
      <c r="IB32">
        <v>96.025000000000006</v>
      </c>
      <c r="IC32">
        <v>96</v>
      </c>
      <c r="ID32">
        <v>95.96</v>
      </c>
      <c r="IE32">
        <v>95.915000000000006</v>
      </c>
      <c r="IF32">
        <v>96.004999999999995</v>
      </c>
      <c r="IG32">
        <v>95.99</v>
      </c>
      <c r="IH32">
        <v>96</v>
      </c>
      <c r="II32">
        <v>96.05</v>
      </c>
      <c r="IJ32">
        <v>96.105000000000004</v>
      </c>
      <c r="IK32">
        <v>96.08</v>
      </c>
      <c r="IL32">
        <v>96.004999999999995</v>
      </c>
      <c r="IM32">
        <v>96.05</v>
      </c>
      <c r="IN32">
        <v>96.07</v>
      </c>
      <c r="IO32">
        <v>95.99</v>
      </c>
      <c r="IP32">
        <v>95.96</v>
      </c>
      <c r="IQ32">
        <v>96</v>
      </c>
      <c r="IR32">
        <v>95.995000000000005</v>
      </c>
      <c r="IS32">
        <v>95.94</v>
      </c>
      <c r="IT32">
        <v>95.94</v>
      </c>
      <c r="IU32">
        <v>95.834999999999994</v>
      </c>
      <c r="IV32">
        <v>95.8</v>
      </c>
      <c r="IW32">
        <v>95.96</v>
      </c>
      <c r="IX32">
        <v>96.025000000000006</v>
      </c>
      <c r="IY32">
        <v>95.99</v>
      </c>
      <c r="IZ32">
        <v>96.08</v>
      </c>
      <c r="JA32">
        <v>96.07</v>
      </c>
      <c r="JB32">
        <v>96.045000000000002</v>
      </c>
      <c r="JC32">
        <v>96.055000000000007</v>
      </c>
      <c r="JD32">
        <v>96.11</v>
      </c>
      <c r="JE32">
        <v>96.11</v>
      </c>
      <c r="JF32">
        <v>96.05</v>
      </c>
      <c r="JG32">
        <v>96.13</v>
      </c>
      <c r="JH32">
        <v>96.064999999999998</v>
      </c>
      <c r="JI32">
        <v>96.01</v>
      </c>
      <c r="JJ32">
        <v>95.894999999999996</v>
      </c>
      <c r="JK32">
        <v>95.814999999999998</v>
      </c>
      <c r="JL32">
        <v>95.86</v>
      </c>
      <c r="JM32">
        <v>96.01</v>
      </c>
      <c r="JN32">
        <v>96.01</v>
      </c>
      <c r="JO32">
        <v>95.974999999999994</v>
      </c>
      <c r="JP32">
        <v>95.9</v>
      </c>
      <c r="JQ32">
        <v>95.79</v>
      </c>
      <c r="JR32">
        <v>95.765000000000001</v>
      </c>
      <c r="JS32">
        <v>95.704999999999998</v>
      </c>
      <c r="JT32">
        <v>95.81</v>
      </c>
      <c r="JU32">
        <v>95.885000000000005</v>
      </c>
      <c r="JV32">
        <v>95.885000000000005</v>
      </c>
      <c r="JW32">
        <v>95.864999999999995</v>
      </c>
      <c r="JX32">
        <v>95.864999999999995</v>
      </c>
      <c r="JY32">
        <v>95.87</v>
      </c>
      <c r="JZ32">
        <v>95.84</v>
      </c>
      <c r="KA32">
        <v>95.86</v>
      </c>
      <c r="KB32">
        <v>95.905000000000001</v>
      </c>
      <c r="KC32">
        <v>95.91</v>
      </c>
      <c r="KD32">
        <v>95.84</v>
      </c>
      <c r="KE32">
        <v>95.805000000000007</v>
      </c>
      <c r="KF32">
        <v>95.78</v>
      </c>
      <c r="KG32">
        <v>95.834999999999994</v>
      </c>
      <c r="KH32">
        <v>95.805000000000007</v>
      </c>
      <c r="KI32">
        <v>95.844999999999999</v>
      </c>
      <c r="KJ32">
        <v>95.8</v>
      </c>
      <c r="KK32">
        <v>95.78</v>
      </c>
      <c r="KL32">
        <v>95.704999999999998</v>
      </c>
      <c r="KM32">
        <v>95.69</v>
      </c>
      <c r="KN32">
        <v>95.625</v>
      </c>
      <c r="KO32">
        <v>95.694999999999993</v>
      </c>
      <c r="KP32">
        <v>95.614999999999995</v>
      </c>
      <c r="KQ32">
        <v>95.575000000000003</v>
      </c>
      <c r="KR32">
        <v>95.635000000000005</v>
      </c>
      <c r="KS32">
        <v>95.71</v>
      </c>
      <c r="KT32">
        <v>95.69</v>
      </c>
      <c r="KU32">
        <v>95.704999999999998</v>
      </c>
      <c r="KV32">
        <v>95.67</v>
      </c>
      <c r="KW32">
        <v>95.73</v>
      </c>
      <c r="KX32">
        <v>95.655000000000001</v>
      </c>
      <c r="KY32">
        <v>95.69</v>
      </c>
      <c r="KZ32">
        <v>95.83</v>
      </c>
      <c r="LA32">
        <v>95.74</v>
      </c>
      <c r="LB32">
        <v>95.77</v>
      </c>
      <c r="LC32">
        <v>95.915000000000006</v>
      </c>
      <c r="LD32">
        <v>95.855000000000004</v>
      </c>
      <c r="LE32">
        <v>95.9</v>
      </c>
      <c r="LF32">
        <v>95.95</v>
      </c>
      <c r="LG32">
        <v>95.9</v>
      </c>
      <c r="LH32">
        <v>95.89</v>
      </c>
      <c r="LI32">
        <v>95.935000000000002</v>
      </c>
      <c r="LJ32">
        <v>96.064999999999998</v>
      </c>
      <c r="LK32">
        <v>96.064999999999998</v>
      </c>
      <c r="LL32">
        <v>96.03</v>
      </c>
      <c r="LM32">
        <v>95.995000000000005</v>
      </c>
      <c r="LN32">
        <v>95.965000000000003</v>
      </c>
      <c r="LO32">
        <v>96</v>
      </c>
      <c r="LP32">
        <v>95.94</v>
      </c>
      <c r="LQ32">
        <v>95.944999999999993</v>
      </c>
      <c r="LR32">
        <v>95.984999999999999</v>
      </c>
      <c r="LS32">
        <v>95.954999999999998</v>
      </c>
      <c r="LT32">
        <v>95.995000000000005</v>
      </c>
      <c r="LU32">
        <v>95.98</v>
      </c>
      <c r="LV32">
        <v>96.09</v>
      </c>
      <c r="LW32">
        <v>96.105000000000004</v>
      </c>
      <c r="LX32">
        <v>96.155000000000001</v>
      </c>
      <c r="LY32">
        <v>96.15</v>
      </c>
      <c r="LZ32">
        <v>96.17</v>
      </c>
      <c r="MA32">
        <v>96.165000000000006</v>
      </c>
      <c r="MB32">
        <v>96.125</v>
      </c>
      <c r="MC32">
        <v>96.034999999999997</v>
      </c>
      <c r="MD32">
        <v>96.064999999999998</v>
      </c>
      <c r="ME32">
        <v>96.02</v>
      </c>
      <c r="MF32">
        <v>96.01</v>
      </c>
      <c r="MG32">
        <v>96.015000000000001</v>
      </c>
      <c r="MH32">
        <v>96.034999999999997</v>
      </c>
      <c r="MI32">
        <v>96.045000000000002</v>
      </c>
      <c r="MJ32">
        <v>95.95</v>
      </c>
      <c r="MK32">
        <v>95.92</v>
      </c>
      <c r="ML32">
        <v>95.965000000000003</v>
      </c>
      <c r="MM32">
        <v>95.94</v>
      </c>
      <c r="MN32">
        <v>95.94</v>
      </c>
      <c r="MO32">
        <v>95.98</v>
      </c>
      <c r="MP32">
        <v>95.954999999999998</v>
      </c>
      <c r="MQ32">
        <v>95.915000000000006</v>
      </c>
      <c r="MR32">
        <v>96.015000000000001</v>
      </c>
      <c r="MS32">
        <v>95.995000000000005</v>
      </c>
      <c r="MT32">
        <v>96.01</v>
      </c>
      <c r="MU32">
        <v>96.094999999999999</v>
      </c>
      <c r="MV32">
        <v>96.11</v>
      </c>
      <c r="MW32">
        <v>96.02</v>
      </c>
      <c r="MX32">
        <v>96.15</v>
      </c>
      <c r="MY32">
        <v>96.31</v>
      </c>
      <c r="MZ32">
        <v>96.19</v>
      </c>
      <c r="NA32">
        <v>96.105000000000004</v>
      </c>
      <c r="NB32">
        <v>96.034999999999997</v>
      </c>
      <c r="NC32">
        <v>95.97</v>
      </c>
      <c r="ND32">
        <v>96.004999999999995</v>
      </c>
      <c r="NE32">
        <v>95.98</v>
      </c>
      <c r="NF32">
        <v>96.025000000000006</v>
      </c>
      <c r="NG32">
        <v>96.075000000000003</v>
      </c>
      <c r="NH32">
        <v>96.02</v>
      </c>
      <c r="NI32">
        <v>96.01</v>
      </c>
      <c r="NJ32">
        <v>96.045000000000002</v>
      </c>
      <c r="NK32">
        <v>96.055000000000007</v>
      </c>
      <c r="NL32">
        <v>96.17</v>
      </c>
      <c r="NM32">
        <v>96.17</v>
      </c>
      <c r="NN32">
        <v>96.204999999999998</v>
      </c>
      <c r="NO32">
        <v>96.165000000000006</v>
      </c>
      <c r="NP32">
        <v>96.174999999999997</v>
      </c>
      <c r="NQ32">
        <v>96.18</v>
      </c>
      <c r="NR32">
        <v>96.174999999999997</v>
      </c>
      <c r="NS32">
        <v>96.23</v>
      </c>
      <c r="NT32">
        <v>96.31</v>
      </c>
      <c r="NU32">
        <v>96.265000000000001</v>
      </c>
      <c r="NV32">
        <v>96.284999999999997</v>
      </c>
      <c r="NW32">
        <v>96.284999999999997</v>
      </c>
      <c r="NX32">
        <v>96.31</v>
      </c>
      <c r="NY32">
        <v>96.375</v>
      </c>
      <c r="NZ32">
        <v>96.27</v>
      </c>
      <c r="OA32">
        <v>96.254999999999995</v>
      </c>
      <c r="OB32">
        <v>96.254999999999995</v>
      </c>
      <c r="OC32">
        <v>96.29</v>
      </c>
      <c r="OD32">
        <v>96.325000000000003</v>
      </c>
      <c r="OE32">
        <v>96.295000000000002</v>
      </c>
      <c r="OF32">
        <v>96.26</v>
      </c>
      <c r="OG32">
        <v>96.295000000000002</v>
      </c>
      <c r="OH32">
        <v>96.27</v>
      </c>
      <c r="OI32">
        <v>96.17</v>
      </c>
      <c r="OJ32">
        <v>96.02</v>
      </c>
      <c r="OK32">
        <v>95.965000000000003</v>
      </c>
      <c r="OL32">
        <v>95.96</v>
      </c>
      <c r="OM32">
        <v>96.07</v>
      </c>
      <c r="ON32">
        <v>96.064999999999998</v>
      </c>
      <c r="OO32">
        <v>96</v>
      </c>
      <c r="OP32">
        <v>95.864999999999995</v>
      </c>
      <c r="OQ32">
        <v>95.894999999999996</v>
      </c>
      <c r="OR32">
        <v>95.78</v>
      </c>
      <c r="OS32">
        <v>95.864999999999995</v>
      </c>
      <c r="OT32">
        <v>95.79</v>
      </c>
      <c r="OU32">
        <v>95.795000000000002</v>
      </c>
      <c r="OV32">
        <v>95.685000000000002</v>
      </c>
      <c r="OW32">
        <v>95.73</v>
      </c>
      <c r="OX32">
        <v>95.73</v>
      </c>
      <c r="OY32">
        <v>95.72</v>
      </c>
      <c r="OZ32">
        <v>95.74</v>
      </c>
      <c r="PA32">
        <v>95.694999999999993</v>
      </c>
      <c r="PB32">
        <v>95.674999999999997</v>
      </c>
      <c r="PC32">
        <v>95.58</v>
      </c>
      <c r="PD32">
        <v>95.665000000000006</v>
      </c>
      <c r="PE32">
        <v>95.495000000000005</v>
      </c>
      <c r="PF32">
        <v>95.484999999999999</v>
      </c>
      <c r="PG32">
        <v>95.465000000000003</v>
      </c>
      <c r="PH32">
        <v>95.594999999999999</v>
      </c>
      <c r="PI32">
        <v>95.51</v>
      </c>
      <c r="PJ32">
        <v>95.394999999999996</v>
      </c>
      <c r="PK32">
        <v>95.504999999999995</v>
      </c>
      <c r="PL32">
        <v>95.385000000000005</v>
      </c>
      <c r="PM32">
        <v>95.254999999999995</v>
      </c>
      <c r="PN32">
        <v>95.165000000000006</v>
      </c>
      <c r="PO32">
        <v>95.155000000000001</v>
      </c>
      <c r="PP32">
        <v>95.165000000000006</v>
      </c>
      <c r="PQ32">
        <v>95.17</v>
      </c>
      <c r="PR32">
        <v>95.06</v>
      </c>
      <c r="PS32">
        <v>95.2</v>
      </c>
      <c r="PT32">
        <v>95.194999999999993</v>
      </c>
      <c r="PU32">
        <v>95.09</v>
      </c>
      <c r="PV32">
        <v>95.015000000000001</v>
      </c>
      <c r="PW32">
        <v>95.144999999999996</v>
      </c>
      <c r="PX32">
        <v>95.19</v>
      </c>
      <c r="PY32">
        <v>95.314999999999998</v>
      </c>
      <c r="PZ32">
        <v>95.39</v>
      </c>
      <c r="QA32">
        <v>95.284999999999997</v>
      </c>
      <c r="QB32">
        <v>95.4</v>
      </c>
      <c r="QC32">
        <v>95.31</v>
      </c>
      <c r="QD32">
        <v>95.29</v>
      </c>
      <c r="QE32">
        <v>95.17</v>
      </c>
      <c r="QF32">
        <v>95.23</v>
      </c>
      <c r="QG32">
        <v>95.204999999999998</v>
      </c>
      <c r="QH32">
        <v>95.15</v>
      </c>
      <c r="QI32">
        <v>95.28</v>
      </c>
      <c r="QJ32">
        <v>95.45</v>
      </c>
      <c r="QK32">
        <v>95.44</v>
      </c>
      <c r="QL32">
        <v>95.465000000000003</v>
      </c>
      <c r="QM32">
        <v>95.54</v>
      </c>
      <c r="QN32">
        <v>95.55</v>
      </c>
      <c r="QO32">
        <v>95.7</v>
      </c>
      <c r="QP32">
        <v>95.67</v>
      </c>
      <c r="QQ32">
        <v>95.834999999999994</v>
      </c>
      <c r="QR32">
        <v>95.814999999999998</v>
      </c>
      <c r="QS32">
        <v>95.85</v>
      </c>
      <c r="QT32">
        <v>95.83</v>
      </c>
      <c r="QU32">
        <v>95.864999999999995</v>
      </c>
      <c r="QV32">
        <v>95.924999999999997</v>
      </c>
      <c r="QW32">
        <v>95.905000000000001</v>
      </c>
      <c r="QX32">
        <v>95.86</v>
      </c>
      <c r="QY32">
        <v>95.9</v>
      </c>
      <c r="QZ32">
        <v>95.89</v>
      </c>
      <c r="RA32">
        <v>95.875</v>
      </c>
      <c r="RB32">
        <v>95.87</v>
      </c>
      <c r="RC32">
        <v>95.94</v>
      </c>
      <c r="RD32">
        <v>95.94</v>
      </c>
      <c r="RE32">
        <v>96.034999999999997</v>
      </c>
      <c r="RF32">
        <v>96.01</v>
      </c>
      <c r="RG32">
        <v>96.015000000000001</v>
      </c>
      <c r="RH32">
        <v>95.98</v>
      </c>
      <c r="RI32">
        <v>95.94</v>
      </c>
      <c r="RJ32">
        <v>95.935000000000002</v>
      </c>
      <c r="RK32">
        <v>95.96</v>
      </c>
      <c r="RL32">
        <v>95.81</v>
      </c>
      <c r="RM32">
        <v>95.78</v>
      </c>
      <c r="RN32">
        <v>95.875</v>
      </c>
      <c r="RO32">
        <v>95.8</v>
      </c>
      <c r="RP32">
        <v>95.885000000000005</v>
      </c>
      <c r="RQ32">
        <v>95.92</v>
      </c>
      <c r="RR32">
        <v>95.98</v>
      </c>
      <c r="RS32">
        <v>95.954999999999998</v>
      </c>
      <c r="RT32">
        <v>96.045000000000002</v>
      </c>
      <c r="RU32">
        <v>96.15</v>
      </c>
      <c r="RV32">
        <v>96.114999999999995</v>
      </c>
      <c r="RW32">
        <v>96.05</v>
      </c>
      <c r="RX32">
        <v>96.075000000000003</v>
      </c>
      <c r="RY32">
        <v>95.935000000000002</v>
      </c>
      <c r="RZ32">
        <v>96.105000000000004</v>
      </c>
      <c r="SA32">
        <v>96.16</v>
      </c>
      <c r="SB32">
        <v>96.25</v>
      </c>
      <c r="SC32">
        <v>96.245000000000005</v>
      </c>
      <c r="SD32">
        <v>96.2</v>
      </c>
      <c r="SE32">
        <v>96.37</v>
      </c>
      <c r="SF32">
        <v>96.32</v>
      </c>
      <c r="SG32">
        <v>96.38</v>
      </c>
      <c r="SH32">
        <v>96.39</v>
      </c>
      <c r="SI32">
        <v>96.37</v>
      </c>
      <c r="SJ32">
        <v>96.49</v>
      </c>
      <c r="SK32">
        <v>96.45</v>
      </c>
      <c r="SL32">
        <v>96.435000000000002</v>
      </c>
      <c r="SM32">
        <v>96.394999999999996</v>
      </c>
      <c r="SN32">
        <v>96.405000000000001</v>
      </c>
      <c r="SO32">
        <v>96.375</v>
      </c>
      <c r="SP32">
        <v>96.284999999999997</v>
      </c>
      <c r="SQ32">
        <v>96.22</v>
      </c>
      <c r="SR32">
        <v>96.18</v>
      </c>
      <c r="SS32">
        <v>96.234999999999999</v>
      </c>
      <c r="ST32">
        <v>96.334999999999994</v>
      </c>
      <c r="SU32">
        <v>96.44</v>
      </c>
      <c r="SV32">
        <v>96.44</v>
      </c>
      <c r="SW32">
        <v>96.474999999999994</v>
      </c>
      <c r="SX32">
        <v>96.41</v>
      </c>
      <c r="SY32">
        <v>96.555000000000007</v>
      </c>
      <c r="SZ32">
        <v>96.5</v>
      </c>
      <c r="TA32">
        <v>96.53</v>
      </c>
      <c r="TB32">
        <v>96.5</v>
      </c>
      <c r="TC32">
        <v>96.43</v>
      </c>
      <c r="TD32">
        <v>96.504999999999995</v>
      </c>
      <c r="TE32">
        <v>96.525000000000006</v>
      </c>
      <c r="TF32">
        <v>96.454999999999998</v>
      </c>
      <c r="TG32">
        <v>96.454999999999998</v>
      </c>
      <c r="TH32">
        <v>96.49</v>
      </c>
      <c r="TI32">
        <v>96.42</v>
      </c>
      <c r="TJ32">
        <v>96.34</v>
      </c>
      <c r="TK32">
        <v>96.415000000000006</v>
      </c>
      <c r="TL32">
        <v>96.42</v>
      </c>
      <c r="TM32">
        <v>96.424999999999997</v>
      </c>
      <c r="TN32">
        <v>96.35</v>
      </c>
      <c r="TO32">
        <v>96.454999999999998</v>
      </c>
      <c r="TP32">
        <v>96.435000000000002</v>
      </c>
      <c r="TQ32">
        <v>96.405000000000001</v>
      </c>
      <c r="TR32">
        <v>96.504999999999995</v>
      </c>
      <c r="TS32">
        <v>96.49</v>
      </c>
      <c r="TT32">
        <v>96.444999999999993</v>
      </c>
      <c r="TU32">
        <v>96.334999999999994</v>
      </c>
      <c r="TV32">
        <v>96.334999999999994</v>
      </c>
      <c r="TW32">
        <v>96.32</v>
      </c>
      <c r="TX32">
        <v>96.405000000000001</v>
      </c>
      <c r="TY32">
        <v>96.42</v>
      </c>
      <c r="TZ32">
        <v>96.39</v>
      </c>
      <c r="UA32">
        <v>96.38</v>
      </c>
      <c r="UB32">
        <v>96.43</v>
      </c>
      <c r="UC32">
        <v>96.484999999999999</v>
      </c>
      <c r="UD32">
        <v>96.5</v>
      </c>
      <c r="UE32">
        <v>96.555000000000007</v>
      </c>
      <c r="UF32">
        <v>96.594999999999999</v>
      </c>
      <c r="UG32">
        <v>96.635000000000005</v>
      </c>
      <c r="UH32">
        <v>96.59</v>
      </c>
      <c r="UI32">
        <v>96.525000000000006</v>
      </c>
      <c r="UJ32">
        <v>96.534999999999997</v>
      </c>
      <c r="UK32">
        <v>96.58</v>
      </c>
      <c r="UL32">
        <v>96.65</v>
      </c>
      <c r="UM32">
        <v>96.6</v>
      </c>
      <c r="UN32">
        <v>96.584999999999994</v>
      </c>
      <c r="UO32">
        <v>96.45</v>
      </c>
      <c r="UP32">
        <v>96.58</v>
      </c>
      <c r="UQ32">
        <v>96.58</v>
      </c>
      <c r="UR32">
        <v>96.655000000000001</v>
      </c>
      <c r="US32">
        <v>96.704999999999998</v>
      </c>
      <c r="UT32">
        <v>96.644999999999996</v>
      </c>
      <c r="UU32">
        <v>96.59</v>
      </c>
      <c r="UV32">
        <v>96.635000000000005</v>
      </c>
      <c r="UW32">
        <v>96.6</v>
      </c>
      <c r="UX32">
        <v>96.62</v>
      </c>
      <c r="UY32">
        <v>96.575000000000003</v>
      </c>
      <c r="UZ32">
        <v>96.635000000000005</v>
      </c>
      <c r="VA32">
        <v>96.69</v>
      </c>
      <c r="VB32">
        <v>96.745000000000005</v>
      </c>
      <c r="VC32">
        <v>96.745000000000005</v>
      </c>
      <c r="VD32">
        <v>96.734999999999999</v>
      </c>
      <c r="VE32">
        <v>96.79</v>
      </c>
      <c r="VF32">
        <v>96.864999999999995</v>
      </c>
      <c r="VG32">
        <v>96.85</v>
      </c>
      <c r="VH32">
        <v>96.814999999999998</v>
      </c>
      <c r="VI32">
        <v>96.754999999999995</v>
      </c>
      <c r="VJ32">
        <v>96.7</v>
      </c>
      <c r="VK32">
        <v>96.665000000000006</v>
      </c>
      <c r="VL32">
        <v>96.64</v>
      </c>
      <c r="VM32">
        <v>96.63</v>
      </c>
      <c r="VN32">
        <v>96.66</v>
      </c>
      <c r="VO32">
        <v>96.78</v>
      </c>
      <c r="VP32">
        <v>96.74</v>
      </c>
      <c r="VQ32">
        <v>96.69</v>
      </c>
      <c r="VR32">
        <v>96.635000000000005</v>
      </c>
      <c r="VS32">
        <v>96.66</v>
      </c>
      <c r="VT32">
        <v>96.734999999999999</v>
      </c>
      <c r="VU32">
        <v>96.55</v>
      </c>
      <c r="VV32">
        <v>96.62</v>
      </c>
      <c r="VW32">
        <v>96.53</v>
      </c>
      <c r="VX32">
        <v>96.605000000000004</v>
      </c>
      <c r="VY32">
        <v>96.584999999999994</v>
      </c>
      <c r="VZ32">
        <v>96.385000000000005</v>
      </c>
      <c r="WA32">
        <v>96.43</v>
      </c>
      <c r="WB32">
        <v>96.41</v>
      </c>
      <c r="WC32">
        <v>96.334999999999994</v>
      </c>
      <c r="WD32">
        <v>96.334999999999994</v>
      </c>
      <c r="WE32">
        <v>96.21</v>
      </c>
      <c r="WF32">
        <v>96.314999999999998</v>
      </c>
      <c r="WG32">
        <v>96.4</v>
      </c>
      <c r="WH32">
        <v>96.4</v>
      </c>
      <c r="WI32">
        <v>96.36</v>
      </c>
      <c r="WJ32">
        <v>96.41</v>
      </c>
      <c r="WK32">
        <v>96.36</v>
      </c>
      <c r="WL32">
        <v>96.325000000000003</v>
      </c>
      <c r="WM32">
        <v>96.474999999999994</v>
      </c>
      <c r="WN32">
        <v>96.474999999999994</v>
      </c>
      <c r="WO32">
        <v>96.454999999999998</v>
      </c>
      <c r="WP32">
        <v>96.495000000000005</v>
      </c>
      <c r="WQ32">
        <v>96.56</v>
      </c>
      <c r="WR32">
        <v>96.545000000000002</v>
      </c>
      <c r="WS32">
        <v>96.515000000000001</v>
      </c>
      <c r="WT32">
        <v>96.58</v>
      </c>
      <c r="WU32">
        <v>96.6</v>
      </c>
      <c r="WV32">
        <v>96.58</v>
      </c>
      <c r="WW32">
        <v>96.605000000000004</v>
      </c>
      <c r="WX32">
        <v>96.68</v>
      </c>
      <c r="WY32">
        <v>96.77</v>
      </c>
      <c r="WZ32">
        <v>96.805000000000007</v>
      </c>
      <c r="XA32">
        <v>96.704999999999998</v>
      </c>
      <c r="XB32">
        <v>96.674999999999997</v>
      </c>
      <c r="XC32">
        <v>96.71</v>
      </c>
      <c r="XD32">
        <v>96.76</v>
      </c>
      <c r="XE32">
        <v>96.775000000000006</v>
      </c>
      <c r="XF32">
        <v>96.775000000000006</v>
      </c>
      <c r="XG32">
        <v>96.7</v>
      </c>
      <c r="XH32">
        <v>96.74</v>
      </c>
      <c r="XI32">
        <v>96.83</v>
      </c>
      <c r="XJ32">
        <v>96.86</v>
      </c>
      <c r="XK32">
        <v>96.73</v>
      </c>
      <c r="XL32">
        <v>96.775000000000006</v>
      </c>
      <c r="XM32">
        <v>96.775000000000006</v>
      </c>
      <c r="XN32">
        <v>96.8</v>
      </c>
      <c r="XO32">
        <v>96.724999999999994</v>
      </c>
      <c r="XP32">
        <v>96.67</v>
      </c>
      <c r="XQ32">
        <v>96.784999999999997</v>
      </c>
      <c r="XR32">
        <v>96.74</v>
      </c>
      <c r="XS32">
        <v>96.59</v>
      </c>
      <c r="XT32">
        <v>96.575000000000003</v>
      </c>
      <c r="XU32">
        <v>96.474999999999994</v>
      </c>
      <c r="XV32">
        <v>96.405000000000001</v>
      </c>
      <c r="XW32">
        <v>96.405000000000001</v>
      </c>
      <c r="XX32">
        <v>96.364999999999995</v>
      </c>
      <c r="XY32">
        <v>96.31</v>
      </c>
      <c r="XZ32">
        <v>96.394999999999996</v>
      </c>
      <c r="YA32">
        <v>96.48</v>
      </c>
      <c r="YB32">
        <v>96.48</v>
      </c>
      <c r="YC32">
        <v>96.51</v>
      </c>
      <c r="YD32">
        <v>96.484999999999999</v>
      </c>
      <c r="YE32">
        <v>96.534999999999997</v>
      </c>
      <c r="YF32">
        <v>96.674999999999997</v>
      </c>
      <c r="YG32">
        <v>96.77</v>
      </c>
      <c r="YH32">
        <v>96.834999999999994</v>
      </c>
      <c r="YI32">
        <v>96.775000000000006</v>
      </c>
      <c r="YJ32">
        <v>96.775000000000006</v>
      </c>
      <c r="YK32">
        <v>96.674999999999997</v>
      </c>
      <c r="YL32">
        <v>96.71</v>
      </c>
      <c r="YM32">
        <v>96.8</v>
      </c>
      <c r="YN32">
        <v>96.91</v>
      </c>
      <c r="YO32">
        <v>96.8</v>
      </c>
      <c r="YP32">
        <v>96.704999999999998</v>
      </c>
      <c r="YQ32">
        <v>96.805000000000007</v>
      </c>
      <c r="YR32">
        <v>96.76</v>
      </c>
      <c r="YS32">
        <v>96.6</v>
      </c>
      <c r="YT32">
        <v>96.57</v>
      </c>
      <c r="YU32">
        <v>96.614999999999995</v>
      </c>
      <c r="YV32">
        <v>96.6</v>
      </c>
      <c r="YW32">
        <v>96.584999999999994</v>
      </c>
      <c r="YX32">
        <v>96.584999999999994</v>
      </c>
      <c r="YY32">
        <v>96.515000000000001</v>
      </c>
      <c r="YZ32">
        <v>96.415000000000006</v>
      </c>
      <c r="ZA32">
        <v>96.394999999999996</v>
      </c>
      <c r="ZB32">
        <v>96.465000000000003</v>
      </c>
      <c r="ZC32">
        <v>96.52</v>
      </c>
      <c r="ZD32">
        <v>96.394999999999996</v>
      </c>
      <c r="ZE32">
        <v>96.32</v>
      </c>
      <c r="ZF32">
        <v>96.37</v>
      </c>
      <c r="ZG32">
        <v>96.36</v>
      </c>
      <c r="ZH32">
        <v>96.064999999999998</v>
      </c>
      <c r="ZI32">
        <v>96.105000000000004</v>
      </c>
      <c r="ZJ32">
        <v>96.02</v>
      </c>
      <c r="ZK32">
        <v>96.034999999999997</v>
      </c>
      <c r="ZL32">
        <v>96.064999999999998</v>
      </c>
      <c r="ZM32">
        <v>96.07</v>
      </c>
      <c r="ZN32">
        <v>96.05</v>
      </c>
      <c r="ZO32">
        <v>96.01</v>
      </c>
      <c r="ZP32">
        <v>96.04</v>
      </c>
      <c r="ZQ32">
        <v>96.135000000000005</v>
      </c>
      <c r="ZR32">
        <v>96.075000000000003</v>
      </c>
      <c r="ZS32">
        <v>95.984999999999999</v>
      </c>
      <c r="ZT32">
        <v>95.844999999999999</v>
      </c>
      <c r="ZU32">
        <v>95.894999999999996</v>
      </c>
      <c r="ZV32">
        <v>95.965000000000003</v>
      </c>
      <c r="ZW32">
        <v>96.064999999999998</v>
      </c>
      <c r="ZX32">
        <v>96.19</v>
      </c>
      <c r="ZY32">
        <v>96.17</v>
      </c>
      <c r="ZZ32">
        <v>96.185000000000002</v>
      </c>
      <c r="AAA32">
        <v>96.23</v>
      </c>
      <c r="AAB32">
        <v>96.22</v>
      </c>
      <c r="AAC32">
        <v>96.18</v>
      </c>
      <c r="AAD32">
        <v>96.13</v>
      </c>
      <c r="AAE32">
        <v>96.23</v>
      </c>
      <c r="AAF32">
        <v>96.275000000000006</v>
      </c>
      <c r="AAG32">
        <v>96.32</v>
      </c>
      <c r="AAH32">
        <v>96.454999999999998</v>
      </c>
      <c r="AAI32">
        <v>96.39</v>
      </c>
      <c r="AAJ32">
        <v>96.24</v>
      </c>
      <c r="AAK32">
        <v>96.3</v>
      </c>
      <c r="AAL32">
        <v>96.35</v>
      </c>
      <c r="AAM32">
        <v>96.224999999999994</v>
      </c>
      <c r="AAN32">
        <v>96.35</v>
      </c>
      <c r="AAO32">
        <v>96.525000000000006</v>
      </c>
      <c r="AAP32">
        <v>96.375</v>
      </c>
      <c r="AAQ32">
        <v>96.55</v>
      </c>
      <c r="AAR32">
        <v>96.47</v>
      </c>
      <c r="AAS32">
        <v>96.56</v>
      </c>
      <c r="AAT32">
        <v>96.564999999999998</v>
      </c>
      <c r="AAU32">
        <v>96.59</v>
      </c>
      <c r="AAV32">
        <v>96.67</v>
      </c>
      <c r="AAW32">
        <v>96.64</v>
      </c>
      <c r="AAX32">
        <v>96.614999999999995</v>
      </c>
      <c r="AAY32">
        <v>96.674999999999997</v>
      </c>
      <c r="AAZ32">
        <v>96.68</v>
      </c>
      <c r="ABA32">
        <v>96.72</v>
      </c>
      <c r="ABB32">
        <v>96.59</v>
      </c>
      <c r="ABC32">
        <v>96.76</v>
      </c>
      <c r="ABD32">
        <v>96.76</v>
      </c>
      <c r="ABE32">
        <v>96.724999999999994</v>
      </c>
      <c r="ABF32">
        <v>96.905000000000001</v>
      </c>
      <c r="ABG32">
        <v>96.944999999999993</v>
      </c>
      <c r="ABH32">
        <v>96.875</v>
      </c>
      <c r="ABI32">
        <v>96.984999999999999</v>
      </c>
      <c r="ABJ32">
        <v>97</v>
      </c>
      <c r="ABK32">
        <v>96.91</v>
      </c>
      <c r="ABL32">
        <v>96.99</v>
      </c>
      <c r="ABM32">
        <v>97.004999999999995</v>
      </c>
      <c r="ABN32">
        <v>97.02</v>
      </c>
      <c r="ABO32">
        <v>97.144999999999996</v>
      </c>
      <c r="ABP32">
        <v>97.135000000000005</v>
      </c>
      <c r="ABQ32">
        <v>97.21</v>
      </c>
      <c r="ABR32">
        <v>97.185000000000002</v>
      </c>
      <c r="ABS32">
        <v>97.1</v>
      </c>
      <c r="ABT32">
        <v>97.045000000000002</v>
      </c>
      <c r="ABU32">
        <v>97.22</v>
      </c>
      <c r="ABV32">
        <v>97.26</v>
      </c>
      <c r="ABW32">
        <v>97.25</v>
      </c>
      <c r="ABX32">
        <v>97.16</v>
      </c>
      <c r="ABY32">
        <v>97.29</v>
      </c>
      <c r="ABZ32">
        <v>97.22</v>
      </c>
      <c r="ACA32">
        <v>97.2</v>
      </c>
      <c r="ACB32">
        <v>97.23</v>
      </c>
      <c r="ACC32">
        <v>97.16</v>
      </c>
      <c r="ACD32">
        <v>97.12</v>
      </c>
      <c r="ACE32">
        <v>97.075000000000003</v>
      </c>
      <c r="ACF32">
        <v>97.03</v>
      </c>
      <c r="ACG32">
        <v>96.995000000000005</v>
      </c>
      <c r="ACH32">
        <v>97.064999999999998</v>
      </c>
      <c r="ACI32">
        <v>96.96</v>
      </c>
      <c r="ACJ32">
        <v>96.85</v>
      </c>
      <c r="ACK32">
        <v>96.885000000000005</v>
      </c>
      <c r="ACL32">
        <v>96.924999999999997</v>
      </c>
      <c r="ACM32">
        <v>96.95</v>
      </c>
      <c r="ACN32">
        <v>96.885000000000005</v>
      </c>
      <c r="ACO32">
        <v>96.915000000000006</v>
      </c>
      <c r="ACP32">
        <v>96.795000000000002</v>
      </c>
      <c r="ACQ32">
        <v>96.74</v>
      </c>
      <c r="ACR32">
        <v>96.61</v>
      </c>
      <c r="ACS32">
        <v>96.694999999999993</v>
      </c>
      <c r="ACT32">
        <v>96.81</v>
      </c>
      <c r="ACU32">
        <v>96.894999999999996</v>
      </c>
      <c r="ACV32">
        <v>96.82</v>
      </c>
      <c r="ACW32">
        <v>96.82</v>
      </c>
      <c r="ACX32">
        <v>96.79</v>
      </c>
      <c r="ACY32">
        <v>96.674999999999997</v>
      </c>
      <c r="ACZ32">
        <v>96.575000000000003</v>
      </c>
      <c r="ADA32">
        <v>96.59</v>
      </c>
      <c r="ADB32">
        <v>96.644999999999996</v>
      </c>
      <c r="ADC32">
        <v>96.74</v>
      </c>
      <c r="ADD32">
        <v>96.64</v>
      </c>
      <c r="ADE32">
        <v>96.51</v>
      </c>
      <c r="ADF32">
        <v>96.61</v>
      </c>
      <c r="ADG32">
        <v>96.61</v>
      </c>
      <c r="ADH32">
        <v>96.53</v>
      </c>
      <c r="ADI32">
        <v>96.444999999999993</v>
      </c>
      <c r="ADJ32">
        <v>96.41</v>
      </c>
      <c r="ADK32">
        <v>96.49</v>
      </c>
      <c r="ADL32">
        <v>96.694999999999993</v>
      </c>
      <c r="ADM32">
        <v>96.75</v>
      </c>
      <c r="ADN32">
        <v>96.75</v>
      </c>
      <c r="ADO32">
        <v>96.805000000000007</v>
      </c>
      <c r="ADP32">
        <v>96.704999999999998</v>
      </c>
      <c r="ADQ32">
        <v>96.81</v>
      </c>
      <c r="ADR32">
        <v>96.86</v>
      </c>
      <c r="ADS32">
        <v>96.814999999999998</v>
      </c>
      <c r="ADT32">
        <v>96.85</v>
      </c>
      <c r="ADU32">
        <v>96.954999999999998</v>
      </c>
      <c r="ADV32">
        <v>96.954999999999998</v>
      </c>
      <c r="ADW32">
        <v>96.935000000000002</v>
      </c>
      <c r="ADX32">
        <v>96.984999999999999</v>
      </c>
      <c r="ADY32">
        <v>96.995000000000005</v>
      </c>
      <c r="ADZ32">
        <v>96.98</v>
      </c>
      <c r="AEA32">
        <v>97.04</v>
      </c>
      <c r="AEB32">
        <v>96.915000000000006</v>
      </c>
      <c r="AEC32">
        <v>96.875</v>
      </c>
      <c r="AED32">
        <v>96.74</v>
      </c>
      <c r="AEE32">
        <v>96.814999999999998</v>
      </c>
      <c r="AEF32">
        <v>96.765000000000001</v>
      </c>
      <c r="AEG32">
        <v>96.88</v>
      </c>
      <c r="AEH32">
        <v>96.79</v>
      </c>
      <c r="AEI32">
        <v>96.665000000000006</v>
      </c>
      <c r="AEJ32">
        <v>96.564999999999998</v>
      </c>
      <c r="AEK32">
        <v>96.545000000000002</v>
      </c>
      <c r="AEL32">
        <v>96.66</v>
      </c>
      <c r="AEM32">
        <v>96.844999999999999</v>
      </c>
      <c r="AEN32">
        <v>96.875</v>
      </c>
      <c r="AEO32">
        <v>96.81</v>
      </c>
      <c r="AEP32">
        <v>96.954999999999998</v>
      </c>
      <c r="AEQ32">
        <v>96.954999999999998</v>
      </c>
      <c r="AER32">
        <v>97.02</v>
      </c>
      <c r="AES32">
        <v>97.094999999999999</v>
      </c>
      <c r="AET32">
        <v>97.075000000000003</v>
      </c>
      <c r="AEU32">
        <v>96.99</v>
      </c>
      <c r="AEV32">
        <v>96.954999999999998</v>
      </c>
      <c r="AEW32">
        <v>97.01</v>
      </c>
      <c r="AEX32">
        <v>96.915000000000006</v>
      </c>
      <c r="AEY32">
        <v>96.95</v>
      </c>
      <c r="AEZ32">
        <v>97.055000000000007</v>
      </c>
      <c r="AFA32">
        <v>97.055000000000007</v>
      </c>
      <c r="AFB32">
        <v>97.19</v>
      </c>
      <c r="AFC32">
        <v>97.135000000000005</v>
      </c>
      <c r="AFD32">
        <v>97.144999999999996</v>
      </c>
      <c r="AFE32">
        <v>97.27</v>
      </c>
      <c r="AFF32">
        <v>97.375</v>
      </c>
      <c r="AFG32">
        <v>97.525000000000006</v>
      </c>
      <c r="AFH32">
        <v>97.65</v>
      </c>
      <c r="AFI32">
        <v>97.754999999999995</v>
      </c>
      <c r="AFJ32">
        <v>97.775000000000006</v>
      </c>
      <c r="AFK32">
        <v>97.82</v>
      </c>
      <c r="AFL32">
        <v>97.78</v>
      </c>
      <c r="AFM32">
        <v>97.73</v>
      </c>
      <c r="AFN32">
        <v>97.66</v>
      </c>
      <c r="AFO32">
        <v>97.64</v>
      </c>
      <c r="AFP32">
        <v>97.775000000000006</v>
      </c>
      <c r="AFQ32">
        <v>97.814999999999998</v>
      </c>
      <c r="AFR32">
        <v>97.76</v>
      </c>
      <c r="AFS32">
        <v>97.825000000000003</v>
      </c>
      <c r="AFT32">
        <v>97.965000000000003</v>
      </c>
      <c r="AFU32">
        <v>97.89</v>
      </c>
      <c r="AFV32">
        <v>97.87</v>
      </c>
      <c r="AFW32">
        <v>97.875</v>
      </c>
      <c r="AFX32">
        <v>97.9</v>
      </c>
      <c r="AFY32">
        <v>98.06</v>
      </c>
      <c r="AFZ32">
        <v>98.07</v>
      </c>
      <c r="AGA32">
        <v>98.144999999999996</v>
      </c>
      <c r="AGB32">
        <v>98.24</v>
      </c>
      <c r="AGC32">
        <v>98.355000000000004</v>
      </c>
      <c r="AGD32">
        <v>98.33</v>
      </c>
      <c r="AGE32">
        <v>98.194999999999993</v>
      </c>
      <c r="AGF32">
        <v>98.15</v>
      </c>
      <c r="AGG32">
        <v>98.295000000000002</v>
      </c>
      <c r="AGH32">
        <v>98.185000000000002</v>
      </c>
      <c r="AGI32">
        <v>98.045000000000002</v>
      </c>
      <c r="AGJ32">
        <v>98.055000000000007</v>
      </c>
      <c r="AGK32">
        <v>98.08</v>
      </c>
      <c r="AGL32">
        <v>98.12</v>
      </c>
      <c r="AGM32">
        <v>98.11</v>
      </c>
      <c r="AGN32">
        <v>98.11</v>
      </c>
      <c r="AGO32">
        <v>98.064999999999998</v>
      </c>
      <c r="AGP32">
        <v>97.974999999999994</v>
      </c>
      <c r="AGQ32">
        <v>97.984999999999999</v>
      </c>
      <c r="AGR32">
        <v>98.07</v>
      </c>
      <c r="AGS32">
        <v>98.114999999999995</v>
      </c>
      <c r="AGT32">
        <v>98.004999999999995</v>
      </c>
      <c r="AGU32">
        <v>98.075000000000003</v>
      </c>
      <c r="AGV32">
        <v>98.034999999999997</v>
      </c>
      <c r="AGW32">
        <v>98.075000000000003</v>
      </c>
      <c r="AGX32">
        <v>98.06</v>
      </c>
      <c r="AGY32">
        <v>98.17</v>
      </c>
      <c r="AGZ32">
        <v>98.204999999999998</v>
      </c>
      <c r="AHA32">
        <v>98.17</v>
      </c>
      <c r="AHB32">
        <v>98.18</v>
      </c>
      <c r="AHC32">
        <v>98.19</v>
      </c>
      <c r="AHD32">
        <v>98.15</v>
      </c>
      <c r="AHE32">
        <v>98.045000000000002</v>
      </c>
      <c r="AHF32">
        <v>98.11</v>
      </c>
      <c r="AHG32">
        <v>98.174999999999997</v>
      </c>
      <c r="AHH32">
        <v>98.16</v>
      </c>
      <c r="AHI32">
        <v>98.09</v>
      </c>
      <c r="AHJ32">
        <v>98.08</v>
      </c>
      <c r="AHK32">
        <v>98.025000000000006</v>
      </c>
      <c r="AHL32">
        <v>98.13</v>
      </c>
      <c r="AHM32">
        <v>98.13</v>
      </c>
      <c r="AHN32">
        <v>98.204999999999998</v>
      </c>
      <c r="AHO32">
        <v>98.174999999999997</v>
      </c>
      <c r="AHP32">
        <v>98.13</v>
      </c>
      <c r="AHQ32">
        <v>98.08</v>
      </c>
      <c r="AHR32">
        <v>98.075000000000003</v>
      </c>
      <c r="AHS32">
        <v>98.09</v>
      </c>
      <c r="AHT32">
        <v>98.114999999999995</v>
      </c>
      <c r="AHU32">
        <v>98.13</v>
      </c>
      <c r="AHV32">
        <v>98.19</v>
      </c>
      <c r="AHW32">
        <v>98.36</v>
      </c>
      <c r="AHX32">
        <v>98.344999999999999</v>
      </c>
      <c r="AHY32">
        <v>98.334999999999994</v>
      </c>
      <c r="AHZ32">
        <v>98.43</v>
      </c>
      <c r="AIA32">
        <v>98.4</v>
      </c>
      <c r="AIB32">
        <v>98.364999999999995</v>
      </c>
      <c r="AIC32">
        <v>98.364999999999995</v>
      </c>
      <c r="AID32">
        <v>98.39</v>
      </c>
      <c r="AIE32">
        <v>98.35</v>
      </c>
      <c r="AIF32">
        <v>98.444999999999993</v>
      </c>
      <c r="AIG32">
        <v>98.53</v>
      </c>
      <c r="AIH32">
        <v>98.49</v>
      </c>
      <c r="AII32">
        <v>98.47</v>
      </c>
      <c r="AIJ32">
        <v>98.44</v>
      </c>
      <c r="AIK32">
        <v>98.435000000000002</v>
      </c>
      <c r="AIL32">
        <v>98.37</v>
      </c>
      <c r="AIM32">
        <v>98.394999999999996</v>
      </c>
      <c r="AIN32">
        <v>98.344999999999999</v>
      </c>
      <c r="AIO32">
        <v>98.37</v>
      </c>
      <c r="AIP32">
        <v>98.4</v>
      </c>
      <c r="AIQ32">
        <v>98.545000000000002</v>
      </c>
      <c r="AIR32">
        <v>98.39</v>
      </c>
      <c r="AIS32">
        <v>98.35</v>
      </c>
      <c r="AIT32">
        <v>98.284999999999997</v>
      </c>
      <c r="AIU32">
        <v>98.17</v>
      </c>
      <c r="AIV32">
        <v>98.3</v>
      </c>
      <c r="AIW32">
        <v>98.125</v>
      </c>
      <c r="AIX32">
        <v>98.125</v>
      </c>
      <c r="AIY32">
        <v>98.084999999999994</v>
      </c>
      <c r="AIZ32">
        <v>98.155000000000001</v>
      </c>
      <c r="AJA32">
        <v>98.26</v>
      </c>
      <c r="AJB32">
        <v>98.194999999999993</v>
      </c>
      <c r="AJC32">
        <v>98.17</v>
      </c>
      <c r="AJD32">
        <v>98.144999999999996</v>
      </c>
      <c r="AJE32">
        <v>98.185000000000002</v>
      </c>
      <c r="AJF32">
        <v>98.21</v>
      </c>
      <c r="AJG32">
        <v>98.224999999999994</v>
      </c>
      <c r="AJH32">
        <v>98.24</v>
      </c>
      <c r="AJI32">
        <v>98.284999999999997</v>
      </c>
      <c r="AJJ32">
        <v>98.185000000000002</v>
      </c>
      <c r="AJK32">
        <v>98.21</v>
      </c>
      <c r="AJL32">
        <v>98.114999999999995</v>
      </c>
      <c r="AJM32">
        <v>98.084999999999994</v>
      </c>
      <c r="AJN32">
        <v>98.105000000000004</v>
      </c>
      <c r="AJO32">
        <v>98.14</v>
      </c>
      <c r="AJP32">
        <v>98.18</v>
      </c>
      <c r="AJQ32">
        <v>98.15</v>
      </c>
      <c r="AJR32">
        <v>98.17</v>
      </c>
      <c r="AJS32">
        <v>97.984999999999999</v>
      </c>
      <c r="AJT32">
        <v>97.974999999999994</v>
      </c>
      <c r="AJU32">
        <v>97.935000000000002</v>
      </c>
      <c r="AJV32">
        <v>97.88</v>
      </c>
      <c r="AJW32">
        <v>97.915000000000006</v>
      </c>
      <c r="AJX32">
        <v>97.944999999999993</v>
      </c>
      <c r="AJY32">
        <v>98.06</v>
      </c>
      <c r="AJZ32">
        <v>98.03</v>
      </c>
      <c r="AKA32">
        <v>98.084999999999994</v>
      </c>
      <c r="AKB32">
        <v>98.045000000000002</v>
      </c>
      <c r="AKC32">
        <v>97.915000000000006</v>
      </c>
      <c r="AKD32">
        <v>97.82</v>
      </c>
      <c r="AKE32">
        <v>97.814999999999998</v>
      </c>
      <c r="AKF32">
        <v>97.864999999999995</v>
      </c>
      <c r="AKG32">
        <v>97.924999999999997</v>
      </c>
      <c r="AKH32">
        <v>97.905000000000001</v>
      </c>
      <c r="AKI32">
        <v>97.954999999999998</v>
      </c>
      <c r="AKJ32">
        <v>97.93</v>
      </c>
      <c r="AKK32">
        <v>97.88</v>
      </c>
      <c r="AKL32">
        <v>97.875</v>
      </c>
      <c r="AKM32">
        <v>97.915000000000006</v>
      </c>
      <c r="AKN32">
        <v>98.02</v>
      </c>
      <c r="AKO32">
        <v>98.07</v>
      </c>
      <c r="AKP32">
        <v>98.15</v>
      </c>
      <c r="AKQ32">
        <v>98.245000000000005</v>
      </c>
      <c r="AKR32">
        <v>98.16</v>
      </c>
      <c r="AKS32">
        <v>98.165000000000006</v>
      </c>
      <c r="AKT32">
        <v>98.09</v>
      </c>
      <c r="AKU32">
        <v>98.16</v>
      </c>
      <c r="AKV32">
        <v>98.2</v>
      </c>
      <c r="AKW32">
        <v>98.26</v>
      </c>
      <c r="AKX32">
        <v>98.18</v>
      </c>
      <c r="AKY32">
        <v>98.15</v>
      </c>
      <c r="AKZ32">
        <v>98.224999999999994</v>
      </c>
      <c r="ALA32">
        <v>98.185000000000002</v>
      </c>
      <c r="ALB32">
        <v>98.135000000000005</v>
      </c>
      <c r="ALC32">
        <v>98.185000000000002</v>
      </c>
      <c r="ALD32">
        <v>98.185000000000002</v>
      </c>
      <c r="ALE32">
        <v>98.245000000000005</v>
      </c>
      <c r="ALF32">
        <v>98.234999999999999</v>
      </c>
      <c r="ALG32">
        <v>98.22</v>
      </c>
      <c r="ALH32">
        <v>98.265000000000001</v>
      </c>
      <c r="ALI32">
        <v>98.26</v>
      </c>
      <c r="ALJ32">
        <v>98.23</v>
      </c>
      <c r="ALK32">
        <v>98.24</v>
      </c>
      <c r="ALL32">
        <v>98.314999999999998</v>
      </c>
      <c r="ALM32">
        <v>98.37</v>
      </c>
      <c r="ALN32">
        <v>98.36</v>
      </c>
      <c r="ALO32">
        <v>98.385000000000005</v>
      </c>
      <c r="ALP32">
        <v>98.334999999999994</v>
      </c>
      <c r="ALQ32">
        <v>98.375</v>
      </c>
      <c r="ALR32">
        <v>98.38</v>
      </c>
      <c r="ALS32">
        <v>98.33</v>
      </c>
      <c r="ALT32">
        <v>98.234999999999999</v>
      </c>
      <c r="ALU32">
        <v>98.254999999999995</v>
      </c>
      <c r="ALV32">
        <v>98.275000000000006</v>
      </c>
      <c r="ALW32">
        <v>98.29</v>
      </c>
      <c r="ALX32">
        <v>98.325000000000003</v>
      </c>
      <c r="ALY32">
        <v>98.42</v>
      </c>
      <c r="ALZ32">
        <v>98.424999999999997</v>
      </c>
      <c r="AMA32">
        <v>98.42</v>
      </c>
      <c r="AMB32">
        <v>98.424999999999997</v>
      </c>
      <c r="AMC32">
        <v>98.33</v>
      </c>
      <c r="AMD32">
        <v>98.31</v>
      </c>
      <c r="AME32">
        <v>98.334999999999994</v>
      </c>
      <c r="AMF32">
        <v>98.355000000000004</v>
      </c>
      <c r="AMG32">
        <v>98.32</v>
      </c>
      <c r="AMH32">
        <v>98.3</v>
      </c>
      <c r="AMI32">
        <v>98.325000000000003</v>
      </c>
      <c r="AMJ32">
        <v>98.32</v>
      </c>
      <c r="AMK32">
        <v>98.435000000000002</v>
      </c>
      <c r="AML32">
        <v>98.525000000000006</v>
      </c>
      <c r="AMM32">
        <v>98.344999999999999</v>
      </c>
      <c r="AMN32">
        <v>98.325000000000003</v>
      </c>
      <c r="AMO32">
        <v>98.22</v>
      </c>
      <c r="AMP32">
        <v>98.13</v>
      </c>
      <c r="AMQ32">
        <v>98.194999999999993</v>
      </c>
      <c r="AMR32">
        <v>98.19</v>
      </c>
      <c r="AMS32">
        <v>98.284999999999997</v>
      </c>
      <c r="AMT32">
        <v>98.27</v>
      </c>
      <c r="AMU32">
        <v>98.215000000000003</v>
      </c>
      <c r="AMV32">
        <v>98.13</v>
      </c>
      <c r="AMW32">
        <v>98.13</v>
      </c>
      <c r="AMX32">
        <v>98.064999999999998</v>
      </c>
      <c r="AMY32">
        <v>98.1</v>
      </c>
      <c r="AMZ32">
        <v>98.02</v>
      </c>
      <c r="ANA32">
        <v>98.01</v>
      </c>
      <c r="ANB32">
        <v>97.924999999999997</v>
      </c>
      <c r="ANC32">
        <v>97.97</v>
      </c>
      <c r="AND32">
        <v>97.96</v>
      </c>
      <c r="ANE32">
        <v>97.995000000000005</v>
      </c>
      <c r="ANF32">
        <v>97.99</v>
      </c>
      <c r="ANG32">
        <v>98.05</v>
      </c>
      <c r="ANH32">
        <v>97.944999999999993</v>
      </c>
      <c r="ANI32">
        <v>97.805000000000007</v>
      </c>
      <c r="ANJ32">
        <v>97.86</v>
      </c>
      <c r="ANK32">
        <v>97.844999999999999</v>
      </c>
      <c r="ANL32">
        <v>97.784999999999997</v>
      </c>
      <c r="ANM32">
        <v>97.805000000000007</v>
      </c>
      <c r="ANN32">
        <v>97.77</v>
      </c>
      <c r="ANO32">
        <v>97.72</v>
      </c>
      <c r="ANP32">
        <v>97.674999999999997</v>
      </c>
      <c r="ANQ32">
        <v>97.665000000000006</v>
      </c>
      <c r="ANR32">
        <v>97.57</v>
      </c>
      <c r="ANS32">
        <v>97.62</v>
      </c>
      <c r="ANT32">
        <v>97.584999999999994</v>
      </c>
      <c r="ANU32">
        <v>97.63</v>
      </c>
      <c r="ANV32">
        <v>97.63</v>
      </c>
      <c r="ANW32">
        <v>97.64</v>
      </c>
      <c r="ANX32">
        <v>97.69</v>
      </c>
      <c r="ANY32">
        <v>97.71</v>
      </c>
      <c r="ANZ32">
        <v>97.66</v>
      </c>
      <c r="AOA32">
        <v>97.62</v>
      </c>
      <c r="AOB32">
        <v>97.625</v>
      </c>
      <c r="AOC32">
        <v>97.564999999999998</v>
      </c>
      <c r="AOD32">
        <v>97.605000000000004</v>
      </c>
      <c r="AOE32">
        <v>97.61</v>
      </c>
      <c r="AOF32">
        <v>97.62</v>
      </c>
      <c r="AOG32">
        <v>97.575000000000003</v>
      </c>
      <c r="AOH32">
        <v>97.52</v>
      </c>
      <c r="AOI32">
        <v>97.62</v>
      </c>
      <c r="AOJ32">
        <v>97.644999999999996</v>
      </c>
      <c r="AOK32">
        <v>97.674999999999997</v>
      </c>
      <c r="AOL32">
        <v>97.69</v>
      </c>
      <c r="AOM32">
        <v>97.665000000000006</v>
      </c>
      <c r="AON32">
        <v>97.64</v>
      </c>
      <c r="AOO32">
        <v>97.614999999999995</v>
      </c>
      <c r="AOP32">
        <v>97.58</v>
      </c>
      <c r="AOQ32">
        <v>97.58</v>
      </c>
      <c r="AOR32">
        <v>97.605000000000004</v>
      </c>
      <c r="AOS32">
        <v>97.614999999999995</v>
      </c>
      <c r="AOT32">
        <v>97.674999999999997</v>
      </c>
      <c r="AOU32">
        <v>97.685000000000002</v>
      </c>
      <c r="AOV32">
        <v>97.71</v>
      </c>
      <c r="AOW32">
        <v>97.71</v>
      </c>
      <c r="AOX32">
        <v>97.715000000000003</v>
      </c>
      <c r="AOY32">
        <v>97.69</v>
      </c>
      <c r="AOZ32">
        <v>97.704999999999998</v>
      </c>
      <c r="APA32">
        <v>97.745000000000005</v>
      </c>
      <c r="APB32">
        <v>97.6</v>
      </c>
      <c r="APC32">
        <v>97.59</v>
      </c>
      <c r="APD32">
        <v>97.495000000000005</v>
      </c>
      <c r="APE32">
        <v>97.504999999999995</v>
      </c>
      <c r="APF32">
        <v>97.534999999999997</v>
      </c>
      <c r="APG32">
        <v>97.495000000000005</v>
      </c>
      <c r="APH32">
        <v>97.47</v>
      </c>
      <c r="API32">
        <v>97.364999999999995</v>
      </c>
      <c r="APJ32">
        <v>97.35</v>
      </c>
      <c r="APK32">
        <v>97.415000000000006</v>
      </c>
      <c r="APL32">
        <v>97.29</v>
      </c>
      <c r="APM32">
        <v>97.325000000000003</v>
      </c>
      <c r="APN32">
        <v>97.35</v>
      </c>
      <c r="APO32">
        <v>97.43</v>
      </c>
      <c r="APP32">
        <v>97.49</v>
      </c>
      <c r="APQ32">
        <v>97.454999999999998</v>
      </c>
      <c r="APR32">
        <v>97.435000000000002</v>
      </c>
      <c r="APS32">
        <v>97.375</v>
      </c>
      <c r="APT32">
        <v>97.33</v>
      </c>
      <c r="APU32">
        <v>97.5</v>
      </c>
      <c r="APV32">
        <v>97.69</v>
      </c>
      <c r="APW32">
        <v>97.685000000000002</v>
      </c>
      <c r="APX32">
        <v>97.68</v>
      </c>
      <c r="APY32">
        <v>97.665000000000006</v>
      </c>
      <c r="APZ32">
        <v>97.734999999999999</v>
      </c>
      <c r="AQA32">
        <v>97.73</v>
      </c>
      <c r="AQB32">
        <v>97.7</v>
      </c>
      <c r="AQC32">
        <v>97.644999999999996</v>
      </c>
      <c r="AQD32">
        <v>97.71</v>
      </c>
      <c r="AQE32">
        <v>97.7</v>
      </c>
      <c r="AQF32">
        <v>97.765000000000001</v>
      </c>
      <c r="AQG32">
        <v>97.82</v>
      </c>
      <c r="AQH32">
        <v>97.78</v>
      </c>
      <c r="AQI32">
        <v>97.67</v>
      </c>
      <c r="AQJ32">
        <v>97.674999999999997</v>
      </c>
      <c r="AQK32">
        <v>97.77</v>
      </c>
      <c r="AQL32">
        <v>97.795000000000002</v>
      </c>
      <c r="AQM32">
        <v>97.784999999999997</v>
      </c>
      <c r="AQN32">
        <v>97.82</v>
      </c>
      <c r="AQO32">
        <v>97.864999999999995</v>
      </c>
      <c r="AQP32">
        <v>97.905000000000001</v>
      </c>
      <c r="AQQ32">
        <v>97.93</v>
      </c>
      <c r="AQR32">
        <v>98.05</v>
      </c>
      <c r="AQS32">
        <v>98.05</v>
      </c>
      <c r="AQT32">
        <v>98.155000000000001</v>
      </c>
      <c r="AQU32">
        <v>98.165000000000006</v>
      </c>
      <c r="AQV32">
        <v>98.15</v>
      </c>
      <c r="AQW32">
        <v>98.14</v>
      </c>
      <c r="AQX32">
        <v>98.16</v>
      </c>
      <c r="AQY32">
        <v>98.165000000000006</v>
      </c>
      <c r="AQZ32">
        <v>98.295000000000002</v>
      </c>
      <c r="ARA32">
        <v>98.31</v>
      </c>
      <c r="ARB32">
        <v>98.375</v>
      </c>
      <c r="ARC32">
        <v>98.375</v>
      </c>
      <c r="ARD32">
        <v>98.38</v>
      </c>
      <c r="ARE32">
        <v>98.364999999999995</v>
      </c>
      <c r="ARF32">
        <v>98.36</v>
      </c>
      <c r="ARG32">
        <v>98.364999999999995</v>
      </c>
      <c r="ARH32">
        <v>98.364999999999995</v>
      </c>
      <c r="ARI32">
        <v>98.36</v>
      </c>
      <c r="ARJ32">
        <v>98.375</v>
      </c>
      <c r="ARK32">
        <v>98.375</v>
      </c>
      <c r="ARL32">
        <v>98.364999999999995</v>
      </c>
      <c r="ARM32">
        <v>98.364999999999995</v>
      </c>
      <c r="ARN32">
        <v>98.405000000000001</v>
      </c>
      <c r="ARO32">
        <v>98.39</v>
      </c>
      <c r="ARP32">
        <v>98.364999999999995</v>
      </c>
      <c r="ARQ32">
        <v>98.37</v>
      </c>
      <c r="ARR32">
        <v>98.375</v>
      </c>
      <c r="ARS32">
        <v>98.415000000000006</v>
      </c>
      <c r="ART32">
        <v>98.614999999999995</v>
      </c>
      <c r="ARU32">
        <v>98.66</v>
      </c>
      <c r="ARV32">
        <v>98.67</v>
      </c>
      <c r="ARW32">
        <v>98.66</v>
      </c>
      <c r="ARX32">
        <v>98.66</v>
      </c>
      <c r="ARY32">
        <v>98.65</v>
      </c>
      <c r="ARZ32">
        <v>98.635000000000005</v>
      </c>
      <c r="ASA32">
        <v>98.63</v>
      </c>
      <c r="ASB32">
        <v>98.635000000000005</v>
      </c>
      <c r="ASC32">
        <v>98.635000000000005</v>
      </c>
      <c r="ASD32">
        <v>98.635000000000005</v>
      </c>
      <c r="ASE32">
        <v>98.64</v>
      </c>
      <c r="ASF32">
        <v>98.635000000000005</v>
      </c>
      <c r="ASG32">
        <v>98.635000000000005</v>
      </c>
      <c r="ASH32">
        <v>98.73</v>
      </c>
      <c r="ASI32">
        <v>98.74</v>
      </c>
      <c r="ASJ32">
        <v>98.78</v>
      </c>
      <c r="ASK32">
        <v>98.78</v>
      </c>
      <c r="ASL32">
        <v>98.78</v>
      </c>
      <c r="ASM32">
        <v>99.064999999999998</v>
      </c>
      <c r="ASN32">
        <v>99.444999999999993</v>
      </c>
      <c r="ASO32">
        <v>99.55</v>
      </c>
      <c r="ASP32">
        <v>99.55</v>
      </c>
      <c r="ASQ32">
        <v>99.56</v>
      </c>
      <c r="ASR32">
        <v>99.575000000000003</v>
      </c>
      <c r="ASS32">
        <v>99.58</v>
      </c>
      <c r="AST32">
        <v>99.584999999999994</v>
      </c>
      <c r="ASU32">
        <v>99.61</v>
      </c>
      <c r="ASV32">
        <v>99.614999999999995</v>
      </c>
      <c r="ASW32">
        <v>99.61</v>
      </c>
      <c r="ASX32">
        <v>99.61</v>
      </c>
      <c r="ASY32">
        <v>99.605000000000004</v>
      </c>
      <c r="ASZ32">
        <v>99.6</v>
      </c>
      <c r="ATA32">
        <v>99.614999999999995</v>
      </c>
      <c r="ATB32">
        <v>99.61</v>
      </c>
      <c r="ATC32">
        <v>99.61</v>
      </c>
      <c r="ATD32">
        <v>99.614999999999995</v>
      </c>
      <c r="ATE32">
        <v>99.605000000000004</v>
      </c>
      <c r="ATF32">
        <v>99.605000000000004</v>
      </c>
      <c r="ATG32">
        <v>99.6</v>
      </c>
      <c r="ATH32">
        <v>99.58</v>
      </c>
      <c r="ATI32">
        <v>99.58</v>
      </c>
      <c r="ATJ32">
        <v>99.614999999999995</v>
      </c>
      <c r="ATK32">
        <v>99.66</v>
      </c>
      <c r="ATL32">
        <v>99.665000000000006</v>
      </c>
      <c r="ATM32">
        <v>99.685000000000002</v>
      </c>
      <c r="ATN32">
        <v>99.655000000000001</v>
      </c>
      <c r="ATO32">
        <v>99.665000000000006</v>
      </c>
      <c r="ATP32">
        <v>99.66</v>
      </c>
      <c r="ATQ32">
        <v>99.665000000000006</v>
      </c>
      <c r="ATR32">
        <v>99.674999999999997</v>
      </c>
      <c r="ATS32">
        <v>99.674999999999997</v>
      </c>
      <c r="ATT32">
        <v>99.67</v>
      </c>
      <c r="ATU32">
        <v>99.66</v>
      </c>
      <c r="ATV32">
        <v>99.65</v>
      </c>
      <c r="ATW32">
        <v>99.674999999999997</v>
      </c>
      <c r="ATX32">
        <v>99.674999999999997</v>
      </c>
      <c r="ATY32">
        <v>99.685000000000002</v>
      </c>
      <c r="ATZ32">
        <v>99.694999999999993</v>
      </c>
      <c r="AUA32">
        <v>99.69</v>
      </c>
      <c r="AUB32">
        <v>99.694999999999993</v>
      </c>
      <c r="AUC32">
        <v>99.69</v>
      </c>
      <c r="AUD32">
        <v>99.674999999999997</v>
      </c>
      <c r="AUE32">
        <v>99.67</v>
      </c>
      <c r="AUF32">
        <v>99.685000000000002</v>
      </c>
      <c r="AUG32">
        <v>99.68</v>
      </c>
      <c r="AUH32">
        <v>99.704999999999998</v>
      </c>
      <c r="AUI32">
        <v>99.704999999999998</v>
      </c>
      <c r="AUJ32">
        <v>99.754999999999995</v>
      </c>
      <c r="AUK32">
        <v>99.754999999999995</v>
      </c>
      <c r="AUL32">
        <v>99.754999999999995</v>
      </c>
      <c r="AUM32">
        <v>99.76</v>
      </c>
      <c r="AUN32">
        <v>99.76</v>
      </c>
      <c r="AUO32">
        <v>99.77</v>
      </c>
      <c r="AUP32">
        <v>99.77</v>
      </c>
      <c r="AUQ32">
        <v>99.775000000000006</v>
      </c>
      <c r="AUR32">
        <v>99.775000000000006</v>
      </c>
      <c r="AUS32">
        <v>99.765000000000001</v>
      </c>
      <c r="AUT32">
        <v>99.745000000000005</v>
      </c>
      <c r="AUU32">
        <v>99.76</v>
      </c>
      <c r="AUV32">
        <v>99.754999999999995</v>
      </c>
      <c r="AUW32">
        <v>99.784999999999997</v>
      </c>
      <c r="AUX32">
        <v>99.79</v>
      </c>
      <c r="AUY32">
        <v>99.78</v>
      </c>
      <c r="AUZ32">
        <v>99.754999999999995</v>
      </c>
      <c r="AVA32">
        <v>99.75</v>
      </c>
      <c r="AVB32">
        <v>99.754999999999995</v>
      </c>
      <c r="AVC32">
        <v>99.745000000000005</v>
      </c>
      <c r="AVD32">
        <v>99.745000000000005</v>
      </c>
      <c r="AVE32">
        <v>99.775000000000006</v>
      </c>
      <c r="AVF32">
        <v>99.765000000000001</v>
      </c>
      <c r="AVG32">
        <v>99.775000000000006</v>
      </c>
      <c r="AVH32">
        <v>99.77</v>
      </c>
      <c r="AVI32">
        <v>99.765000000000001</v>
      </c>
      <c r="AVJ32">
        <v>99.745000000000005</v>
      </c>
      <c r="AVK32">
        <v>99.754999999999995</v>
      </c>
      <c r="AVL32">
        <v>99.76</v>
      </c>
      <c r="AVM32">
        <v>99.77</v>
      </c>
      <c r="AVN32">
        <v>99.765000000000001</v>
      </c>
      <c r="AVO32">
        <v>99.775000000000006</v>
      </c>
      <c r="AVP32">
        <v>99.775000000000006</v>
      </c>
      <c r="AVQ32">
        <v>99.765000000000001</v>
      </c>
      <c r="AVR32">
        <v>99.75</v>
      </c>
      <c r="AVS32">
        <v>99.74</v>
      </c>
      <c r="AVT32">
        <v>99.74</v>
      </c>
      <c r="AVU32">
        <v>99.745000000000005</v>
      </c>
      <c r="AVV32">
        <v>99.745000000000005</v>
      </c>
      <c r="AVW32">
        <v>99.78</v>
      </c>
      <c r="AVX32">
        <v>99.79</v>
      </c>
      <c r="AVY32">
        <v>99.81</v>
      </c>
      <c r="AVZ32">
        <v>99.814999999999998</v>
      </c>
      <c r="AWA32">
        <v>99.825000000000003</v>
      </c>
      <c r="AWB32">
        <v>99.814999999999998</v>
      </c>
      <c r="AWC32">
        <v>99.81</v>
      </c>
      <c r="AWD32">
        <v>99.805000000000007</v>
      </c>
      <c r="AWE32">
        <v>99.784999999999997</v>
      </c>
      <c r="AWF32">
        <v>99.775000000000006</v>
      </c>
      <c r="AWG32">
        <v>99.77</v>
      </c>
      <c r="AWH32">
        <v>99.78</v>
      </c>
      <c r="AWI32">
        <v>99.784999999999997</v>
      </c>
      <c r="AWJ32">
        <v>99.784999999999997</v>
      </c>
      <c r="AWK32">
        <v>99.78</v>
      </c>
      <c r="AWL32">
        <v>99.78</v>
      </c>
      <c r="AWM32">
        <v>99.775000000000006</v>
      </c>
      <c r="AWN32">
        <v>99.775000000000006</v>
      </c>
      <c r="AWO32">
        <v>99.77</v>
      </c>
      <c r="AWP32">
        <v>99.78</v>
      </c>
      <c r="AWQ32">
        <v>99.78</v>
      </c>
      <c r="AWR32">
        <v>99.795000000000002</v>
      </c>
      <c r="AWS32">
        <v>99.81</v>
      </c>
      <c r="AWT32">
        <v>99.795000000000002</v>
      </c>
      <c r="AWU32">
        <v>99.79</v>
      </c>
      <c r="AWV32">
        <v>99.784999999999997</v>
      </c>
      <c r="AWW32">
        <v>99.784999999999997</v>
      </c>
      <c r="AWX32">
        <v>99.784999999999997</v>
      </c>
      <c r="AWY32">
        <v>99.775000000000006</v>
      </c>
      <c r="AWZ32">
        <v>99.795000000000002</v>
      </c>
      <c r="AXA32">
        <v>99.795000000000002</v>
      </c>
      <c r="AXB32">
        <v>99.784999999999997</v>
      </c>
      <c r="AXC32">
        <v>99.765000000000001</v>
      </c>
      <c r="AXD32">
        <v>99.765000000000001</v>
      </c>
      <c r="AXE32">
        <v>99.765000000000001</v>
      </c>
      <c r="AXF32">
        <v>99.76</v>
      </c>
      <c r="AXG32">
        <v>99.75</v>
      </c>
      <c r="AXH32">
        <v>99.73</v>
      </c>
      <c r="AXI32">
        <v>99.724999999999994</v>
      </c>
      <c r="AXJ32">
        <v>99.715000000000003</v>
      </c>
      <c r="AXK32">
        <v>99.73</v>
      </c>
      <c r="AXL32">
        <v>99.72</v>
      </c>
      <c r="AXM32">
        <v>99.73</v>
      </c>
      <c r="AXN32">
        <v>99.704999999999998</v>
      </c>
      <c r="AXO32">
        <v>99.655000000000001</v>
      </c>
      <c r="AXP32">
        <v>99.62</v>
      </c>
      <c r="AXQ32">
        <v>99.614999999999995</v>
      </c>
      <c r="AXR32">
        <v>99.68</v>
      </c>
      <c r="AXS32">
        <v>99.694999999999993</v>
      </c>
      <c r="AXT32">
        <v>99.73</v>
      </c>
      <c r="AXU32">
        <v>99.734999999999999</v>
      </c>
      <c r="AXV32">
        <v>99.724999999999994</v>
      </c>
      <c r="AXW32">
        <v>99.704999999999998</v>
      </c>
      <c r="AXX32">
        <v>99.71</v>
      </c>
      <c r="AXY32">
        <v>99.715000000000003</v>
      </c>
      <c r="AXZ32">
        <v>99.72</v>
      </c>
      <c r="AYA32">
        <v>99.72</v>
      </c>
      <c r="AYB32">
        <v>99.715000000000003</v>
      </c>
      <c r="AYC32">
        <v>99.715000000000003</v>
      </c>
      <c r="AYD32">
        <v>99.72</v>
      </c>
      <c r="AYE32">
        <v>99.72</v>
      </c>
      <c r="AYF32">
        <v>99.765000000000001</v>
      </c>
      <c r="AYG32">
        <v>99.74</v>
      </c>
      <c r="AYH32">
        <v>99.73</v>
      </c>
      <c r="AYI32">
        <v>99.71</v>
      </c>
      <c r="AYJ32">
        <v>99.71</v>
      </c>
      <c r="AYK32">
        <v>99.73</v>
      </c>
      <c r="AYL32">
        <v>99.74</v>
      </c>
      <c r="AYM32">
        <v>99.685000000000002</v>
      </c>
      <c r="AYN32">
        <v>99.67</v>
      </c>
      <c r="AYO32">
        <v>99.674999999999997</v>
      </c>
      <c r="AYP32">
        <v>99.66</v>
      </c>
      <c r="AYQ32">
        <v>99.665000000000006</v>
      </c>
      <c r="AYR32">
        <v>99.655000000000001</v>
      </c>
      <c r="AYS32">
        <v>99.64</v>
      </c>
      <c r="AYT32">
        <v>99.635000000000005</v>
      </c>
      <c r="AYU32">
        <v>99.644999999999996</v>
      </c>
      <c r="AYV32">
        <v>99.644999999999996</v>
      </c>
      <c r="AYW32">
        <v>99.64</v>
      </c>
      <c r="AYX32">
        <v>99.65</v>
      </c>
      <c r="AYY32">
        <v>99.63</v>
      </c>
      <c r="AYZ32">
        <v>99.62</v>
      </c>
      <c r="AZA32">
        <v>99.605000000000004</v>
      </c>
      <c r="AZB32">
        <v>99.594999999999999</v>
      </c>
      <c r="AZC32">
        <v>99.564999999999998</v>
      </c>
      <c r="AZD32">
        <v>99.55</v>
      </c>
      <c r="AZE32">
        <v>99.56</v>
      </c>
      <c r="AZF32">
        <v>99.56</v>
      </c>
      <c r="AZG32">
        <v>99.54</v>
      </c>
      <c r="AZH32">
        <v>99.525000000000006</v>
      </c>
      <c r="AZI32">
        <v>99.57</v>
      </c>
      <c r="AZJ32">
        <v>99.63</v>
      </c>
      <c r="AZK32">
        <v>99.625</v>
      </c>
      <c r="AZL32">
        <v>99.64</v>
      </c>
      <c r="AZM32">
        <v>99.614999999999995</v>
      </c>
      <c r="AZN32">
        <v>99.644999999999996</v>
      </c>
      <c r="AZO32">
        <v>99.6</v>
      </c>
      <c r="AZP32">
        <v>99.58</v>
      </c>
      <c r="AZQ32">
        <v>99.55</v>
      </c>
      <c r="AZR32">
        <v>99.545000000000002</v>
      </c>
      <c r="AZS32">
        <v>99.605000000000004</v>
      </c>
      <c r="AZT32">
        <v>99.525000000000006</v>
      </c>
      <c r="AZU32">
        <v>99.465000000000003</v>
      </c>
      <c r="AZV32">
        <v>99.36</v>
      </c>
      <c r="AZW32">
        <v>99.474999999999994</v>
      </c>
      <c r="AZX32">
        <v>99.525000000000006</v>
      </c>
      <c r="AZY32">
        <v>99.45</v>
      </c>
      <c r="AZZ32">
        <v>99.49</v>
      </c>
      <c r="BAA32">
        <v>99.42</v>
      </c>
      <c r="BAB32">
        <v>99.41</v>
      </c>
      <c r="BAC32">
        <v>99.53</v>
      </c>
      <c r="BAD32">
        <v>99.454999999999998</v>
      </c>
      <c r="BAE32">
        <v>99.37</v>
      </c>
      <c r="BAF32">
        <v>99.32</v>
      </c>
      <c r="BAG32">
        <v>99.26</v>
      </c>
      <c r="BAH32">
        <v>99.19</v>
      </c>
      <c r="BAI32">
        <v>99.19</v>
      </c>
      <c r="BAJ32">
        <v>98.99</v>
      </c>
      <c r="BAK32">
        <v>98.935000000000002</v>
      </c>
      <c r="BAL32">
        <v>98.944999999999993</v>
      </c>
      <c r="BAM32">
        <v>98.89</v>
      </c>
      <c r="BAN32">
        <v>98.78</v>
      </c>
      <c r="BAO32">
        <v>98.715000000000003</v>
      </c>
      <c r="BAP32">
        <v>98.67</v>
      </c>
      <c r="BAQ32">
        <v>98.694999999999993</v>
      </c>
      <c r="BAR32">
        <v>98.665000000000006</v>
      </c>
      <c r="BAS32">
        <v>98.665000000000006</v>
      </c>
      <c r="BAT32">
        <v>98.63</v>
      </c>
      <c r="BAU32">
        <v>98.63</v>
      </c>
      <c r="BAV32">
        <v>98.67</v>
      </c>
      <c r="BAW32">
        <v>98.7</v>
      </c>
      <c r="BAX32">
        <v>98.665000000000006</v>
      </c>
      <c r="BAY32">
        <v>98.61</v>
      </c>
      <c r="BAZ32">
        <v>98.63</v>
      </c>
      <c r="BBA32">
        <v>98.67</v>
      </c>
      <c r="BBB32">
        <v>98.754999999999995</v>
      </c>
      <c r="BBC32">
        <v>98.77</v>
      </c>
      <c r="BBD32">
        <v>98.715000000000003</v>
      </c>
      <c r="BBE32">
        <v>98.67</v>
      </c>
      <c r="BBF32">
        <v>98.62</v>
      </c>
      <c r="BBG32">
        <v>98.655000000000001</v>
      </c>
      <c r="BBH32">
        <v>98.57</v>
      </c>
      <c r="BBI32">
        <v>98.515000000000001</v>
      </c>
      <c r="BBJ32">
        <v>98.495000000000005</v>
      </c>
      <c r="BBK32">
        <v>98.48</v>
      </c>
      <c r="BBL32">
        <v>98.424999999999997</v>
      </c>
      <c r="BBM32">
        <v>98.424999999999997</v>
      </c>
      <c r="BBN32">
        <v>98.44</v>
      </c>
      <c r="BBO32">
        <v>98.45</v>
      </c>
      <c r="BBP32">
        <v>98.44</v>
      </c>
      <c r="BBQ32">
        <v>98.424999999999997</v>
      </c>
      <c r="BBR32">
        <v>98.43</v>
      </c>
      <c r="BBS32">
        <v>98.415000000000006</v>
      </c>
      <c r="BBT32">
        <v>98.41</v>
      </c>
      <c r="BBU32">
        <v>98.454999999999998</v>
      </c>
      <c r="BBV32">
        <v>98.465000000000003</v>
      </c>
      <c r="BBW32">
        <v>98.47</v>
      </c>
      <c r="BBX32">
        <v>98.38</v>
      </c>
      <c r="BBY32">
        <v>98.37</v>
      </c>
      <c r="BBZ32">
        <v>98.37</v>
      </c>
      <c r="BCA32">
        <v>98.375</v>
      </c>
      <c r="BCB32">
        <v>98.375</v>
      </c>
      <c r="BCC32">
        <v>98.334999999999994</v>
      </c>
      <c r="BCD32">
        <v>98.334999999999994</v>
      </c>
      <c r="BCE32">
        <v>98.334999999999994</v>
      </c>
      <c r="BCF32">
        <v>98.314999999999998</v>
      </c>
      <c r="BCG32">
        <v>98.355000000000004</v>
      </c>
      <c r="BCH32">
        <v>98.37</v>
      </c>
      <c r="BCI32">
        <v>98.35</v>
      </c>
      <c r="BCJ32">
        <v>98.38</v>
      </c>
      <c r="BCK32">
        <v>98.39</v>
      </c>
      <c r="BCL32">
        <v>98.465000000000003</v>
      </c>
      <c r="BCM32">
        <v>98.385000000000005</v>
      </c>
      <c r="BCN32">
        <v>98.47</v>
      </c>
      <c r="BCO32">
        <v>98.43</v>
      </c>
      <c r="BCP32">
        <v>98.444999999999993</v>
      </c>
      <c r="BCQ32">
        <v>98.454999999999998</v>
      </c>
      <c r="BCR32">
        <v>98.515000000000001</v>
      </c>
      <c r="BCS32">
        <v>98.53</v>
      </c>
      <c r="BCT32">
        <v>98.605000000000004</v>
      </c>
      <c r="BCU32">
        <v>98.484999999999999</v>
      </c>
      <c r="BCV32">
        <v>98.52</v>
      </c>
      <c r="BCW32">
        <v>98.51</v>
      </c>
      <c r="BCX32">
        <v>98.51</v>
      </c>
      <c r="BCY32">
        <v>98.55</v>
      </c>
      <c r="BCZ32">
        <v>98.54</v>
      </c>
      <c r="BDA32">
        <v>98.525000000000006</v>
      </c>
      <c r="BDB32">
        <v>98.545000000000002</v>
      </c>
      <c r="BDC32">
        <v>98.575000000000003</v>
      </c>
      <c r="BDD32">
        <v>98.54</v>
      </c>
      <c r="BDE32">
        <v>98.515000000000001</v>
      </c>
      <c r="BDF32">
        <v>98.49</v>
      </c>
      <c r="BDG32">
        <v>98.5</v>
      </c>
      <c r="BDH32">
        <v>98.45</v>
      </c>
      <c r="BDI32">
        <v>98.4</v>
      </c>
      <c r="BDJ32">
        <v>98.37</v>
      </c>
      <c r="BDK32">
        <v>98.38</v>
      </c>
      <c r="BDL32">
        <v>98.364999999999995</v>
      </c>
      <c r="BDM32">
        <v>98.474999999999994</v>
      </c>
      <c r="BDN32">
        <v>98.45</v>
      </c>
      <c r="BDO32">
        <v>98.51</v>
      </c>
      <c r="BDP32">
        <v>98.56</v>
      </c>
      <c r="BDQ32">
        <v>98.63</v>
      </c>
      <c r="BDR32">
        <v>98.504999999999995</v>
      </c>
      <c r="BDS32">
        <v>98.484999999999999</v>
      </c>
      <c r="BDT32">
        <v>98.49</v>
      </c>
      <c r="BDU32">
        <v>98.52</v>
      </c>
      <c r="BDV32">
        <v>98.564999999999998</v>
      </c>
      <c r="BDW32">
        <v>98.575000000000003</v>
      </c>
      <c r="BDX32">
        <v>98.555000000000007</v>
      </c>
      <c r="BDY32">
        <v>98.53</v>
      </c>
      <c r="BDZ32">
        <v>98.57</v>
      </c>
      <c r="BEA32">
        <v>98.545000000000002</v>
      </c>
      <c r="BEB32">
        <v>98.57</v>
      </c>
      <c r="BEC32">
        <v>98.53</v>
      </c>
      <c r="BED32">
        <v>98.584999999999994</v>
      </c>
      <c r="BEE32">
        <v>98.564999999999998</v>
      </c>
      <c r="BEF32">
        <v>98.694999999999993</v>
      </c>
      <c r="BEG32">
        <v>98.76</v>
      </c>
      <c r="BEH32">
        <v>98.814999999999998</v>
      </c>
      <c r="BEI32">
        <v>98.805000000000007</v>
      </c>
      <c r="BEJ32">
        <v>98.875</v>
      </c>
      <c r="BEK32">
        <v>98.885000000000005</v>
      </c>
      <c r="BEL32">
        <v>98.784999999999997</v>
      </c>
      <c r="BEM32">
        <v>98.71</v>
      </c>
      <c r="BEN32">
        <v>98.64</v>
      </c>
      <c r="BEO32">
        <v>98.65</v>
      </c>
      <c r="BEP32" t="s">
        <v>6984</v>
      </c>
      <c r="BEQ32" t="s">
        <v>6984</v>
      </c>
      <c r="BER32" t="s">
        <v>6984</v>
      </c>
      <c r="BES32" t="s">
        <v>6984</v>
      </c>
      <c r="BET32" t="s">
        <v>6984</v>
      </c>
      <c r="BEU32" t="s">
        <v>6984</v>
      </c>
      <c r="BEV32" t="s">
        <v>6984</v>
      </c>
      <c r="BEW32" t="s">
        <v>6984</v>
      </c>
      <c r="BEX32" t="s">
        <v>6984</v>
      </c>
      <c r="BEY32" t="s">
        <v>6984</v>
      </c>
      <c r="BEZ32" t="s">
        <v>6984</v>
      </c>
      <c r="BFA32" t="s">
        <v>6984</v>
      </c>
      <c r="BFB32" t="s">
        <v>6984</v>
      </c>
      <c r="BFC32" t="s">
        <v>6984</v>
      </c>
      <c r="BFD32" t="s">
        <v>6984</v>
      </c>
      <c r="BFE32" t="s">
        <v>6984</v>
      </c>
      <c r="BFF32" t="s">
        <v>6984</v>
      </c>
      <c r="BFG32" t="s">
        <v>6984</v>
      </c>
      <c r="BFH32" t="s">
        <v>6984</v>
      </c>
      <c r="BFI32" t="s">
        <v>6984</v>
      </c>
      <c r="BFJ32" t="s">
        <v>6984</v>
      </c>
      <c r="BFK32" t="s">
        <v>6984</v>
      </c>
      <c r="BFL32" t="s">
        <v>6984</v>
      </c>
      <c r="BFM32" t="s">
        <v>6984</v>
      </c>
      <c r="BFN32" t="s">
        <v>6984</v>
      </c>
      <c r="BFO32" t="s">
        <v>6984</v>
      </c>
      <c r="BFP32" t="s">
        <v>6984</v>
      </c>
      <c r="BFQ32" t="s">
        <v>6984</v>
      </c>
      <c r="BFR32" t="s">
        <v>6984</v>
      </c>
      <c r="BFS32" t="s">
        <v>6984</v>
      </c>
      <c r="BFT32" t="s">
        <v>6984</v>
      </c>
      <c r="BFU32" t="s">
        <v>6984</v>
      </c>
      <c r="BFV32" t="s">
        <v>6984</v>
      </c>
      <c r="BFW32" t="s">
        <v>6984</v>
      </c>
      <c r="BFX32" t="s">
        <v>6984</v>
      </c>
      <c r="BFY32" t="s">
        <v>6984</v>
      </c>
      <c r="BFZ32" t="s">
        <v>6984</v>
      </c>
      <c r="BGA32" t="s">
        <v>6984</v>
      </c>
      <c r="BGB32" t="s">
        <v>6984</v>
      </c>
      <c r="BGC32" t="s">
        <v>6984</v>
      </c>
      <c r="BGD32" t="s">
        <v>6984</v>
      </c>
      <c r="BGE32" t="s">
        <v>6984</v>
      </c>
      <c r="BGF32" t="s">
        <v>6984</v>
      </c>
      <c r="BGG32" t="s">
        <v>6984</v>
      </c>
      <c r="BGH32" t="s">
        <v>6984</v>
      </c>
      <c r="BGI32" t="s">
        <v>6984</v>
      </c>
      <c r="BGJ32" t="s">
        <v>6984</v>
      </c>
      <c r="BGK32" t="s">
        <v>6984</v>
      </c>
      <c r="BGL32" t="s">
        <v>6984</v>
      </c>
      <c r="BGM32" t="s">
        <v>6984</v>
      </c>
      <c r="BGN32" t="s">
        <v>6984</v>
      </c>
      <c r="BGO32" t="s">
        <v>6984</v>
      </c>
      <c r="BGP32" t="s">
        <v>6984</v>
      </c>
      <c r="BGQ32" t="s">
        <v>6984</v>
      </c>
      <c r="BGR32" t="s">
        <v>6984</v>
      </c>
      <c r="BGS32" t="s">
        <v>6984</v>
      </c>
      <c r="BGT32" t="s">
        <v>6984</v>
      </c>
      <c r="BGU32" t="s">
        <v>6984</v>
      </c>
      <c r="BGV32" t="s">
        <v>6984</v>
      </c>
      <c r="BGW32" t="s">
        <v>6984</v>
      </c>
      <c r="BGX32" t="s">
        <v>6984</v>
      </c>
      <c r="BGY32" t="s">
        <v>6984</v>
      </c>
      <c r="BGZ32" t="s">
        <v>6984</v>
      </c>
      <c r="BHA32" t="s">
        <v>6984</v>
      </c>
      <c r="BHB32" t="s">
        <v>6984</v>
      </c>
      <c r="BHC32" t="s">
        <v>6984</v>
      </c>
      <c r="BHD32" t="s">
        <v>6984</v>
      </c>
      <c r="BHE32" t="s">
        <v>6984</v>
      </c>
      <c r="BHF32" t="s">
        <v>6984</v>
      </c>
      <c r="BHG32" t="s">
        <v>6984</v>
      </c>
      <c r="BHH32" t="s">
        <v>6984</v>
      </c>
      <c r="BHI32" t="s">
        <v>6984</v>
      </c>
      <c r="BHJ32" t="s">
        <v>6984</v>
      </c>
      <c r="BHK32" t="s">
        <v>6984</v>
      </c>
      <c r="BHL32" t="s">
        <v>6984</v>
      </c>
      <c r="BHM32" t="s">
        <v>6984</v>
      </c>
      <c r="BHN32" t="s">
        <v>6984</v>
      </c>
      <c r="BHO32" t="s">
        <v>6984</v>
      </c>
      <c r="BHP32" t="s">
        <v>6984</v>
      </c>
      <c r="BHQ32" t="s">
        <v>6984</v>
      </c>
      <c r="BHR32" t="s">
        <v>6984</v>
      </c>
      <c r="BHS32" t="s">
        <v>6984</v>
      </c>
      <c r="BHT32" t="s">
        <v>6984</v>
      </c>
      <c r="BHU32" t="s">
        <v>6984</v>
      </c>
      <c r="BHV32" t="s">
        <v>6984</v>
      </c>
      <c r="BHW32" t="s">
        <v>6984</v>
      </c>
      <c r="BHX32" t="s">
        <v>6984</v>
      </c>
      <c r="BHY32" t="s">
        <v>6984</v>
      </c>
      <c r="BHZ32" t="s">
        <v>6984</v>
      </c>
      <c r="BIA32" t="s">
        <v>6984</v>
      </c>
      <c r="BIB32" t="s">
        <v>6984</v>
      </c>
      <c r="BIC32" t="s">
        <v>6984</v>
      </c>
      <c r="BID32" t="s">
        <v>6984</v>
      </c>
      <c r="BIE32" t="s">
        <v>6984</v>
      </c>
      <c r="BIF32" t="s">
        <v>6984</v>
      </c>
      <c r="BIG32" t="s">
        <v>6984</v>
      </c>
      <c r="BIH32" t="s">
        <v>6984</v>
      </c>
      <c r="BII32" t="s">
        <v>6984</v>
      </c>
      <c r="BIJ32" t="s">
        <v>6984</v>
      </c>
      <c r="BIK32" t="s">
        <v>6984</v>
      </c>
      <c r="BIL32" t="s">
        <v>6984</v>
      </c>
      <c r="BIM32" t="s">
        <v>6984</v>
      </c>
      <c r="BIN32" t="s">
        <v>6984</v>
      </c>
      <c r="BIO32" t="s">
        <v>6984</v>
      </c>
      <c r="BIP32" t="s">
        <v>6984</v>
      </c>
      <c r="BIQ32" t="s">
        <v>6984</v>
      </c>
      <c r="BIR32" t="s">
        <v>6984</v>
      </c>
      <c r="BIS32" t="s">
        <v>6984</v>
      </c>
      <c r="BIT32" t="s">
        <v>6984</v>
      </c>
      <c r="BIU32" t="s">
        <v>6984</v>
      </c>
      <c r="BIV32" t="s">
        <v>6984</v>
      </c>
      <c r="BIW32" t="s">
        <v>6984</v>
      </c>
      <c r="BIX32" t="s">
        <v>6984</v>
      </c>
      <c r="BIY32" t="s">
        <v>6984</v>
      </c>
      <c r="BIZ32" t="s">
        <v>6984</v>
      </c>
      <c r="BJA32" t="s">
        <v>6984</v>
      </c>
      <c r="BJB32" t="s">
        <v>6984</v>
      </c>
      <c r="BJC32" t="s">
        <v>6984</v>
      </c>
      <c r="BJD32" t="s">
        <v>6984</v>
      </c>
      <c r="BJE32" t="s">
        <v>6984</v>
      </c>
      <c r="BJF32" t="s">
        <v>6984</v>
      </c>
      <c r="BJG32" t="s">
        <v>6984</v>
      </c>
      <c r="BJH32" t="s">
        <v>6984</v>
      </c>
      <c r="BJI32" t="s">
        <v>6984</v>
      </c>
      <c r="BJJ32" t="s">
        <v>6984</v>
      </c>
      <c r="BJK32" t="s">
        <v>6984</v>
      </c>
      <c r="BJL32" t="s">
        <v>6984</v>
      </c>
      <c r="BJM32" t="s">
        <v>6984</v>
      </c>
      <c r="BJN32" t="s">
        <v>6984</v>
      </c>
      <c r="BJO32" t="s">
        <v>6984</v>
      </c>
      <c r="BJP32" t="s">
        <v>6984</v>
      </c>
      <c r="BJQ32" t="s">
        <v>6984</v>
      </c>
      <c r="BJR32" t="s">
        <v>6984</v>
      </c>
      <c r="BJS32" t="s">
        <v>6984</v>
      </c>
      <c r="BJT32" t="s">
        <v>6984</v>
      </c>
      <c r="BJU32" t="s">
        <v>6984</v>
      </c>
      <c r="BJV32" t="s">
        <v>6984</v>
      </c>
      <c r="BJW32" t="s">
        <v>6984</v>
      </c>
      <c r="BJX32" t="s">
        <v>6984</v>
      </c>
      <c r="BJY32" t="s">
        <v>6984</v>
      </c>
      <c r="BJZ32" t="s">
        <v>6984</v>
      </c>
      <c r="BKA32" t="s">
        <v>6984</v>
      </c>
      <c r="BKB32" t="s">
        <v>6984</v>
      </c>
      <c r="BKC32" t="s">
        <v>6984</v>
      </c>
      <c r="BKD32" t="s">
        <v>6984</v>
      </c>
      <c r="BKE32" t="s">
        <v>6984</v>
      </c>
      <c r="BKF32" t="s">
        <v>6984</v>
      </c>
      <c r="BKG32" t="s">
        <v>6984</v>
      </c>
      <c r="BKH32" t="s">
        <v>6984</v>
      </c>
      <c r="BKI32" t="s">
        <v>6984</v>
      </c>
      <c r="BKJ32" t="s">
        <v>6984</v>
      </c>
      <c r="BKK32" t="s">
        <v>6984</v>
      </c>
      <c r="BKL32" t="s">
        <v>6984</v>
      </c>
      <c r="BKM32" t="s">
        <v>6984</v>
      </c>
      <c r="BKN32" t="s">
        <v>6984</v>
      </c>
      <c r="BKO32" t="s">
        <v>6984</v>
      </c>
      <c r="BKP32" t="s">
        <v>6984</v>
      </c>
      <c r="BKQ32" t="s">
        <v>6984</v>
      </c>
      <c r="BKR32" t="s">
        <v>6984</v>
      </c>
      <c r="BKS32" t="s">
        <v>6984</v>
      </c>
      <c r="BKT32" t="s">
        <v>6984</v>
      </c>
      <c r="BKU32" t="s">
        <v>6984</v>
      </c>
      <c r="BKV32" t="s">
        <v>6984</v>
      </c>
      <c r="BKW32" t="s">
        <v>6984</v>
      </c>
      <c r="BKX32" t="s">
        <v>6984</v>
      </c>
      <c r="BKY32" t="s">
        <v>6984</v>
      </c>
      <c r="BKZ32" t="s">
        <v>6984</v>
      </c>
      <c r="BLA32" t="s">
        <v>6984</v>
      </c>
      <c r="BLB32" t="s">
        <v>6984</v>
      </c>
      <c r="BLC32" t="s">
        <v>6984</v>
      </c>
      <c r="BLD32" t="s">
        <v>6984</v>
      </c>
      <c r="BLE32" t="s">
        <v>6984</v>
      </c>
      <c r="BLF32" t="s">
        <v>6984</v>
      </c>
      <c r="BLG32" t="s">
        <v>6984</v>
      </c>
      <c r="BLH32" t="s">
        <v>6984</v>
      </c>
      <c r="BLI32" t="s">
        <v>6984</v>
      </c>
      <c r="BLJ32" t="s">
        <v>6984</v>
      </c>
      <c r="BLK32" t="s">
        <v>6984</v>
      </c>
      <c r="BLL32" t="s">
        <v>6984</v>
      </c>
      <c r="BLM32" t="s">
        <v>6984</v>
      </c>
      <c r="BLN32" t="s">
        <v>6984</v>
      </c>
      <c r="BLO32" t="s">
        <v>6984</v>
      </c>
      <c r="BLP32" t="s">
        <v>6984</v>
      </c>
      <c r="BLQ32" t="s">
        <v>6984</v>
      </c>
      <c r="BLR32" t="s">
        <v>6984</v>
      </c>
      <c r="BLS32" t="s">
        <v>6984</v>
      </c>
      <c r="BLT32" t="s">
        <v>6984</v>
      </c>
      <c r="BLU32" t="s">
        <v>6984</v>
      </c>
      <c r="BLV32" t="s">
        <v>6984</v>
      </c>
      <c r="BLW32" t="s">
        <v>6984</v>
      </c>
      <c r="BLX32" t="s">
        <v>6984</v>
      </c>
      <c r="BLY32" t="s">
        <v>6984</v>
      </c>
      <c r="BLZ32" t="s">
        <v>6984</v>
      </c>
      <c r="BMA32" t="s">
        <v>6984</v>
      </c>
      <c r="BMB32" t="s">
        <v>6984</v>
      </c>
      <c r="BMC32" t="s">
        <v>6984</v>
      </c>
      <c r="BMD32" t="s">
        <v>6984</v>
      </c>
      <c r="BME32" t="s">
        <v>6984</v>
      </c>
      <c r="BMF32" t="s">
        <v>6984</v>
      </c>
      <c r="BMG32" t="s">
        <v>6984</v>
      </c>
      <c r="BMH32" t="s">
        <v>6984</v>
      </c>
      <c r="BMI32" t="s">
        <v>6984</v>
      </c>
      <c r="BMJ32" t="s">
        <v>6984</v>
      </c>
      <c r="BMK32" t="s">
        <v>6984</v>
      </c>
      <c r="BML32" t="s">
        <v>6984</v>
      </c>
      <c r="BMM32" t="s">
        <v>6984</v>
      </c>
      <c r="BMN32" t="s">
        <v>6984</v>
      </c>
      <c r="BMO32" t="s">
        <v>6984</v>
      </c>
      <c r="BMP32" t="s">
        <v>6984</v>
      </c>
      <c r="BMQ32" t="s">
        <v>6984</v>
      </c>
      <c r="BMR32" t="s">
        <v>6984</v>
      </c>
      <c r="BMS32" t="s">
        <v>6984</v>
      </c>
      <c r="BMT32" t="s">
        <v>6984</v>
      </c>
      <c r="BMU32" t="s">
        <v>6984</v>
      </c>
      <c r="BMV32" t="s">
        <v>6984</v>
      </c>
      <c r="BMW32" t="s">
        <v>6984</v>
      </c>
      <c r="BMX32" t="s">
        <v>6984</v>
      </c>
      <c r="BMY32" t="s">
        <v>6984</v>
      </c>
      <c r="BMZ32" t="s">
        <v>6984</v>
      </c>
      <c r="BNA32" t="s">
        <v>6984</v>
      </c>
      <c r="BNB32" t="s">
        <v>6984</v>
      </c>
      <c r="BNC32" t="s">
        <v>6984</v>
      </c>
      <c r="BND32" t="s">
        <v>6984</v>
      </c>
      <c r="BNE32" t="s">
        <v>6984</v>
      </c>
      <c r="BNF32" t="s">
        <v>6984</v>
      </c>
      <c r="BNG32" t="s">
        <v>6984</v>
      </c>
      <c r="BNH32" t="s">
        <v>6984</v>
      </c>
      <c r="BNI32" t="s">
        <v>6984</v>
      </c>
      <c r="BNJ32" t="s">
        <v>6984</v>
      </c>
      <c r="BNK32" t="s">
        <v>6984</v>
      </c>
      <c r="BNL32" t="s">
        <v>6984</v>
      </c>
      <c r="BNM32" t="s">
        <v>6984</v>
      </c>
      <c r="BNN32" t="s">
        <v>6984</v>
      </c>
      <c r="BNO32" t="s">
        <v>6984</v>
      </c>
      <c r="BNP32" t="s">
        <v>6984</v>
      </c>
      <c r="BNQ32" t="s">
        <v>6984</v>
      </c>
      <c r="BNR32" t="s">
        <v>6984</v>
      </c>
      <c r="BNS32" t="s">
        <v>6984</v>
      </c>
      <c r="BNT32" t="s">
        <v>6984</v>
      </c>
      <c r="BNU32" t="s">
        <v>6984</v>
      </c>
      <c r="BNV32" t="s">
        <v>6984</v>
      </c>
      <c r="BNW32" t="s">
        <v>6984</v>
      </c>
      <c r="BNX32" t="s">
        <v>6984</v>
      </c>
      <c r="BNY32" t="s">
        <v>6984</v>
      </c>
      <c r="BNZ32" t="s">
        <v>6984</v>
      </c>
      <c r="BOA32" t="s">
        <v>6984</v>
      </c>
      <c r="BOB32" t="s">
        <v>6984</v>
      </c>
      <c r="BOC32" t="s">
        <v>6984</v>
      </c>
      <c r="BOD32" t="s">
        <v>6984</v>
      </c>
      <c r="BOE32" t="s">
        <v>6984</v>
      </c>
      <c r="BOF32" t="s">
        <v>6984</v>
      </c>
      <c r="BOG32" t="s">
        <v>6984</v>
      </c>
      <c r="BOH32" t="s">
        <v>6984</v>
      </c>
      <c r="BOI32" t="s">
        <v>6984</v>
      </c>
      <c r="BOJ32" t="s">
        <v>6984</v>
      </c>
      <c r="BOK32" t="s">
        <v>6984</v>
      </c>
      <c r="BOL32" t="s">
        <v>6984</v>
      </c>
      <c r="BOM32" t="s">
        <v>6984</v>
      </c>
      <c r="BON32" t="s">
        <v>6984</v>
      </c>
      <c r="BOO32" t="s">
        <v>6984</v>
      </c>
      <c r="BOP32" t="s">
        <v>6984</v>
      </c>
      <c r="BOQ32" t="s">
        <v>6984</v>
      </c>
      <c r="BOR32" t="s">
        <v>6984</v>
      </c>
      <c r="BOS32" t="s">
        <v>6984</v>
      </c>
      <c r="BOT32" t="s">
        <v>6984</v>
      </c>
      <c r="BOU32" t="s">
        <v>6984</v>
      </c>
      <c r="BOV32" t="s">
        <v>6984</v>
      </c>
      <c r="BOW32" t="s">
        <v>6984</v>
      </c>
      <c r="BOX32" t="s">
        <v>6984</v>
      </c>
      <c r="BOY32" t="s">
        <v>6984</v>
      </c>
      <c r="BOZ32" t="s">
        <v>6984</v>
      </c>
      <c r="BPA32" t="s">
        <v>6984</v>
      </c>
      <c r="BPB32" t="s">
        <v>6984</v>
      </c>
      <c r="BPC32" t="s">
        <v>6984</v>
      </c>
      <c r="BPD32" t="s">
        <v>6984</v>
      </c>
      <c r="BPE32" t="s">
        <v>6984</v>
      </c>
      <c r="BPF32" t="s">
        <v>6984</v>
      </c>
      <c r="BPG32" t="s">
        <v>6984</v>
      </c>
      <c r="BPH32" t="s">
        <v>6984</v>
      </c>
      <c r="BPI32" t="s">
        <v>6984</v>
      </c>
      <c r="BPJ32" t="s">
        <v>6984</v>
      </c>
      <c r="BPK32" t="s">
        <v>6984</v>
      </c>
      <c r="BPL32" t="s">
        <v>6984</v>
      </c>
      <c r="BPM32" t="s">
        <v>6984</v>
      </c>
      <c r="BPN32" t="s">
        <v>6984</v>
      </c>
      <c r="BPO32" t="s">
        <v>6984</v>
      </c>
      <c r="BPP32" t="s">
        <v>6984</v>
      </c>
      <c r="BPQ32" t="s">
        <v>6984</v>
      </c>
      <c r="BPR32" t="s">
        <v>6984</v>
      </c>
      <c r="BPS32" t="s">
        <v>6984</v>
      </c>
      <c r="BPT32" t="s">
        <v>6984</v>
      </c>
      <c r="BPU32" t="s">
        <v>6984</v>
      </c>
      <c r="BPV32" t="s">
        <v>6984</v>
      </c>
      <c r="BPW32" t="s">
        <v>6984</v>
      </c>
      <c r="BPX32" t="s">
        <v>6984</v>
      </c>
      <c r="BPY32" t="s">
        <v>6984</v>
      </c>
      <c r="BPZ32" t="s">
        <v>6984</v>
      </c>
      <c r="BQA32" t="s">
        <v>6984</v>
      </c>
      <c r="BQB32" t="s">
        <v>6984</v>
      </c>
      <c r="BQC32" t="s">
        <v>6984</v>
      </c>
      <c r="BQD32" t="s">
        <v>6984</v>
      </c>
      <c r="BQE32" t="s">
        <v>6984</v>
      </c>
      <c r="BQF32" t="s">
        <v>6984</v>
      </c>
      <c r="BQG32" t="s">
        <v>6984</v>
      </c>
      <c r="BQH32" t="s">
        <v>6984</v>
      </c>
      <c r="BQI32" t="s">
        <v>6984</v>
      </c>
      <c r="BQJ32" t="s">
        <v>6984</v>
      </c>
      <c r="BQK32" t="s">
        <v>6984</v>
      </c>
      <c r="BQL32" t="s">
        <v>6984</v>
      </c>
      <c r="BQM32" t="s">
        <v>6984</v>
      </c>
      <c r="BQN32" t="s">
        <v>6984</v>
      </c>
      <c r="BQO32" t="s">
        <v>6984</v>
      </c>
      <c r="BQP32" t="s">
        <v>6984</v>
      </c>
      <c r="BQQ32" t="s">
        <v>6984</v>
      </c>
      <c r="BQR32" t="s">
        <v>6984</v>
      </c>
      <c r="BQS32" t="s">
        <v>6984</v>
      </c>
      <c r="BQT32" t="s">
        <v>6984</v>
      </c>
      <c r="BQU32" t="s">
        <v>6984</v>
      </c>
      <c r="BQV32" t="s">
        <v>6984</v>
      </c>
      <c r="BQW32" t="s">
        <v>6984</v>
      </c>
      <c r="BQX32" t="s">
        <v>6984</v>
      </c>
      <c r="BQY32" t="s">
        <v>6984</v>
      </c>
      <c r="BQZ32" t="s">
        <v>6984</v>
      </c>
      <c r="BRA32" t="s">
        <v>6984</v>
      </c>
      <c r="BRB32" t="s">
        <v>6984</v>
      </c>
      <c r="BRC32" t="s">
        <v>6984</v>
      </c>
      <c r="BRD32" t="s">
        <v>6984</v>
      </c>
      <c r="BRE32" t="s">
        <v>6984</v>
      </c>
      <c r="BRF32" t="s">
        <v>6984</v>
      </c>
      <c r="BRG32" t="s">
        <v>6984</v>
      </c>
      <c r="BRH32" t="s">
        <v>6984</v>
      </c>
      <c r="BRI32" t="s">
        <v>6984</v>
      </c>
      <c r="BRJ32" t="s">
        <v>6984</v>
      </c>
      <c r="BRK32" t="s">
        <v>6984</v>
      </c>
      <c r="BRL32" t="s">
        <v>6984</v>
      </c>
      <c r="BRM32" t="s">
        <v>6984</v>
      </c>
      <c r="BRN32" t="s">
        <v>6984</v>
      </c>
      <c r="BRO32" t="s">
        <v>6984</v>
      </c>
      <c r="BRP32" t="s">
        <v>6984</v>
      </c>
      <c r="BRQ32" t="s">
        <v>6984</v>
      </c>
      <c r="BRR32" t="s">
        <v>6984</v>
      </c>
      <c r="BRS32" t="s">
        <v>6984</v>
      </c>
      <c r="BRT32" t="s">
        <v>6984</v>
      </c>
      <c r="BRU32" t="s">
        <v>6984</v>
      </c>
      <c r="BRV32" t="s">
        <v>6984</v>
      </c>
      <c r="BRW32" t="s">
        <v>6984</v>
      </c>
      <c r="BRX32" t="s">
        <v>6984</v>
      </c>
      <c r="BRY32" t="s">
        <v>6984</v>
      </c>
      <c r="BRZ32" t="s">
        <v>6984</v>
      </c>
      <c r="BSA32" t="s">
        <v>6984</v>
      </c>
      <c r="BSB32" t="s">
        <v>6984</v>
      </c>
      <c r="BSC32" t="s">
        <v>6984</v>
      </c>
      <c r="BSD32" t="s">
        <v>6984</v>
      </c>
      <c r="BSE32" t="s">
        <v>6984</v>
      </c>
      <c r="BSF32" t="s">
        <v>6984</v>
      </c>
      <c r="BSG32" t="s">
        <v>6984</v>
      </c>
      <c r="BSH32" t="s">
        <v>6984</v>
      </c>
      <c r="BSI32" t="s">
        <v>6984</v>
      </c>
      <c r="BSJ32" t="s">
        <v>6984</v>
      </c>
      <c r="BSK32" t="s">
        <v>6984</v>
      </c>
      <c r="BSL32" t="s">
        <v>6984</v>
      </c>
      <c r="BSM32" t="s">
        <v>6984</v>
      </c>
      <c r="BSN32" t="s">
        <v>6984</v>
      </c>
      <c r="BSO32" t="s">
        <v>6984</v>
      </c>
      <c r="BSP32" t="s">
        <v>6984</v>
      </c>
      <c r="BSQ32" t="s">
        <v>6984</v>
      </c>
      <c r="BSR32" t="s">
        <v>6984</v>
      </c>
      <c r="BSS32" t="s">
        <v>6984</v>
      </c>
      <c r="BST32" t="s">
        <v>6984</v>
      </c>
      <c r="BSU32" t="s">
        <v>6984</v>
      </c>
      <c r="BSV32" t="s">
        <v>6984</v>
      </c>
      <c r="BSW32" t="s">
        <v>6984</v>
      </c>
      <c r="BSX32" t="s">
        <v>6984</v>
      </c>
      <c r="BSY32" t="s">
        <v>6984</v>
      </c>
      <c r="BSZ32" t="s">
        <v>6984</v>
      </c>
      <c r="BTA32" t="s">
        <v>6984</v>
      </c>
      <c r="BTB32" t="s">
        <v>6984</v>
      </c>
      <c r="BTC32" t="s">
        <v>6984</v>
      </c>
      <c r="BTD32" t="s">
        <v>6984</v>
      </c>
      <c r="BTE32" t="s">
        <v>6984</v>
      </c>
      <c r="BTF32" t="s">
        <v>6984</v>
      </c>
      <c r="BTG32" t="s">
        <v>6984</v>
      </c>
      <c r="BTH32" t="s">
        <v>6984</v>
      </c>
      <c r="BTI32" t="s">
        <v>6984</v>
      </c>
      <c r="BTJ32" t="s">
        <v>6984</v>
      </c>
      <c r="BTK32" t="s">
        <v>6984</v>
      </c>
      <c r="BTL32" t="s">
        <v>6984</v>
      </c>
      <c r="BTM32" t="s">
        <v>6984</v>
      </c>
      <c r="BTN32" t="s">
        <v>6984</v>
      </c>
      <c r="BTO32" t="s">
        <v>6984</v>
      </c>
      <c r="BTP32" t="s">
        <v>6984</v>
      </c>
      <c r="BTQ32" t="s">
        <v>6984</v>
      </c>
      <c r="BTR32" t="s">
        <v>6984</v>
      </c>
      <c r="BTS32" t="s">
        <v>6984</v>
      </c>
      <c r="BTT32" t="s">
        <v>6984</v>
      </c>
      <c r="BTU32" t="s">
        <v>6984</v>
      </c>
      <c r="BTV32" t="s">
        <v>6984</v>
      </c>
      <c r="BTW32" t="s">
        <v>6984</v>
      </c>
      <c r="BTX32" t="s">
        <v>6984</v>
      </c>
      <c r="BTY32" t="s">
        <v>6984</v>
      </c>
      <c r="BTZ32" t="s">
        <v>6984</v>
      </c>
      <c r="BUA32" t="s">
        <v>6984</v>
      </c>
      <c r="BUB32" t="s">
        <v>6984</v>
      </c>
      <c r="BUC32" t="s">
        <v>6984</v>
      </c>
      <c r="BUD32" t="s">
        <v>6984</v>
      </c>
      <c r="BUE32" t="s">
        <v>6984</v>
      </c>
      <c r="BUF32" t="s">
        <v>6984</v>
      </c>
      <c r="BUG32" t="s">
        <v>6984</v>
      </c>
      <c r="BUH32" t="s">
        <v>6984</v>
      </c>
      <c r="BUI32" t="s">
        <v>6984</v>
      </c>
      <c r="BUJ32" t="s">
        <v>6984</v>
      </c>
      <c r="BUK32" t="s">
        <v>6984</v>
      </c>
      <c r="BUL32" t="s">
        <v>6984</v>
      </c>
      <c r="BUM32" t="s">
        <v>6984</v>
      </c>
      <c r="BUN32" t="s">
        <v>6984</v>
      </c>
      <c r="BUO32" t="s">
        <v>6984</v>
      </c>
      <c r="BUP32" t="s">
        <v>6984</v>
      </c>
      <c r="BUQ32" t="s">
        <v>6984</v>
      </c>
      <c r="BUR32" t="s">
        <v>6984</v>
      </c>
      <c r="BUS32" t="s">
        <v>6984</v>
      </c>
      <c r="BUT32" t="s">
        <v>6984</v>
      </c>
      <c r="BUU32" t="s">
        <v>6984</v>
      </c>
      <c r="BUV32" t="s">
        <v>6984</v>
      </c>
      <c r="BUW32" t="s">
        <v>6984</v>
      </c>
      <c r="BUX32" t="s">
        <v>6984</v>
      </c>
      <c r="BUY32" t="s">
        <v>6984</v>
      </c>
      <c r="BUZ32" t="s">
        <v>6984</v>
      </c>
      <c r="BVA32" t="s">
        <v>6984</v>
      </c>
      <c r="BVB32" t="s">
        <v>6984</v>
      </c>
      <c r="BVC32" t="s">
        <v>6984</v>
      </c>
      <c r="BVD32" t="s">
        <v>6984</v>
      </c>
      <c r="BVE32" t="s">
        <v>6984</v>
      </c>
      <c r="BVF32" t="s">
        <v>6984</v>
      </c>
      <c r="BVG32" t="s">
        <v>6984</v>
      </c>
      <c r="BVH32" t="s">
        <v>6984</v>
      </c>
      <c r="BVI32" t="s">
        <v>6984</v>
      </c>
      <c r="BVJ32" t="s">
        <v>6984</v>
      </c>
      <c r="BVK32" t="s">
        <v>6984</v>
      </c>
      <c r="BVL32" t="s">
        <v>6984</v>
      </c>
      <c r="BVM32" t="s">
        <v>6984</v>
      </c>
      <c r="BVN32" t="s">
        <v>6984</v>
      </c>
      <c r="BVO32" t="s">
        <v>6984</v>
      </c>
      <c r="BVP32" t="s">
        <v>6984</v>
      </c>
      <c r="BVQ32" t="s">
        <v>6984</v>
      </c>
      <c r="BVR32" t="s">
        <v>6984</v>
      </c>
      <c r="BVS32" t="s">
        <v>6984</v>
      </c>
      <c r="BVT32" t="s">
        <v>6984</v>
      </c>
      <c r="BVU32" t="s">
        <v>6984</v>
      </c>
      <c r="BVV32" t="s">
        <v>6984</v>
      </c>
      <c r="BVW32" t="s">
        <v>6984</v>
      </c>
      <c r="BVX32" t="s">
        <v>6984</v>
      </c>
      <c r="BVY32" t="s">
        <v>6984</v>
      </c>
      <c r="BVZ32" t="s">
        <v>6984</v>
      </c>
      <c r="BWA32" t="s">
        <v>6984</v>
      </c>
      <c r="BWB32" t="s">
        <v>6984</v>
      </c>
      <c r="BWC32" t="s">
        <v>6984</v>
      </c>
      <c r="BWD32" t="s">
        <v>6984</v>
      </c>
      <c r="BWE32" t="s">
        <v>6984</v>
      </c>
      <c r="BWF32" t="s">
        <v>6984</v>
      </c>
      <c r="BWG32" t="s">
        <v>6984</v>
      </c>
      <c r="BWH32" t="s">
        <v>6984</v>
      </c>
      <c r="BWI32" t="s">
        <v>6984</v>
      </c>
      <c r="BWJ32" t="s">
        <v>6984</v>
      </c>
      <c r="BWK32" t="s">
        <v>6984</v>
      </c>
      <c r="BWL32" t="s">
        <v>6984</v>
      </c>
      <c r="BWM32" t="s">
        <v>6984</v>
      </c>
      <c r="BWN32" t="s">
        <v>6984</v>
      </c>
      <c r="BWO32" t="s">
        <v>6984</v>
      </c>
      <c r="BWP32" t="s">
        <v>6984</v>
      </c>
      <c r="BWQ32" t="s">
        <v>6984</v>
      </c>
      <c r="BWR32" t="s">
        <v>6984</v>
      </c>
      <c r="BWS32" t="s">
        <v>6984</v>
      </c>
      <c r="BWT32" t="s">
        <v>6984</v>
      </c>
      <c r="BWU32" t="s">
        <v>6984</v>
      </c>
      <c r="BWV32" t="s">
        <v>6984</v>
      </c>
      <c r="BWW32" t="s">
        <v>6984</v>
      </c>
      <c r="BWX32" t="s">
        <v>6984</v>
      </c>
      <c r="BWY32" t="s">
        <v>6984</v>
      </c>
      <c r="BWZ32" t="s">
        <v>6984</v>
      </c>
      <c r="BXA32" t="s">
        <v>6984</v>
      </c>
      <c r="BXB32" t="s">
        <v>6984</v>
      </c>
      <c r="BXC32" t="s">
        <v>6984</v>
      </c>
      <c r="BXD32" t="s">
        <v>6984</v>
      </c>
      <c r="BXE32" t="s">
        <v>6984</v>
      </c>
      <c r="BXF32" t="s">
        <v>6984</v>
      </c>
      <c r="BXG32" t="s">
        <v>6984</v>
      </c>
      <c r="BXH32" t="s">
        <v>6984</v>
      </c>
      <c r="BXI32" t="s">
        <v>6984</v>
      </c>
      <c r="BXJ32" t="s">
        <v>6984</v>
      </c>
      <c r="BXK32" t="s">
        <v>6984</v>
      </c>
      <c r="BXL32" t="s">
        <v>6984</v>
      </c>
      <c r="BXM32" t="s">
        <v>6984</v>
      </c>
      <c r="BXN32" t="s">
        <v>6984</v>
      </c>
      <c r="BXO32" t="s">
        <v>6984</v>
      </c>
      <c r="BXP32" t="s">
        <v>6984</v>
      </c>
      <c r="BXQ32" t="s">
        <v>6984</v>
      </c>
      <c r="BXR32" t="s">
        <v>6984</v>
      </c>
      <c r="BXS32" t="s">
        <v>6984</v>
      </c>
      <c r="BXT32" t="s">
        <v>6984</v>
      </c>
      <c r="BXU32" t="s">
        <v>6984</v>
      </c>
      <c r="BXV32" t="s">
        <v>6984</v>
      </c>
      <c r="BXW32" t="s">
        <v>6984</v>
      </c>
      <c r="BXX32" t="s">
        <v>6984</v>
      </c>
      <c r="BXY32" t="s">
        <v>6984</v>
      </c>
      <c r="BXZ32" t="s">
        <v>6984</v>
      </c>
      <c r="BYA32" t="s">
        <v>6984</v>
      </c>
      <c r="BYB32" t="s">
        <v>6984</v>
      </c>
      <c r="BYC32" t="s">
        <v>6984</v>
      </c>
      <c r="BYD32" t="s">
        <v>6984</v>
      </c>
      <c r="BYE32" t="s">
        <v>6984</v>
      </c>
      <c r="BYF32" t="s">
        <v>6984</v>
      </c>
      <c r="BYG32" t="s">
        <v>6984</v>
      </c>
      <c r="BYH32" t="s">
        <v>6984</v>
      </c>
      <c r="BYI32" t="s">
        <v>6984</v>
      </c>
      <c r="BYJ32" t="s">
        <v>6984</v>
      </c>
      <c r="BYK32" t="s">
        <v>6984</v>
      </c>
      <c r="BYL32" t="s">
        <v>6984</v>
      </c>
      <c r="BYM32" t="s">
        <v>6984</v>
      </c>
      <c r="BYN32" t="s">
        <v>6984</v>
      </c>
      <c r="BYO32" t="s">
        <v>6984</v>
      </c>
      <c r="BYP32" t="s">
        <v>6984</v>
      </c>
      <c r="BYQ32" t="s">
        <v>6984</v>
      </c>
      <c r="BYR32" t="s">
        <v>6984</v>
      </c>
      <c r="BYS32" t="s">
        <v>6984</v>
      </c>
      <c r="BYT32" t="s">
        <v>6984</v>
      </c>
      <c r="BYU32" t="s">
        <v>6984</v>
      </c>
      <c r="BYV32" t="s">
        <v>6984</v>
      </c>
      <c r="BYW32" t="s">
        <v>6984</v>
      </c>
      <c r="BYX32" t="s">
        <v>6984</v>
      </c>
      <c r="BYY32" t="s">
        <v>6984</v>
      </c>
      <c r="BYZ32" t="s">
        <v>6984</v>
      </c>
      <c r="BZA32" t="s">
        <v>6984</v>
      </c>
      <c r="BZB32" t="s">
        <v>6984</v>
      </c>
      <c r="BZC32" t="s">
        <v>6984</v>
      </c>
      <c r="BZD32" t="s">
        <v>6984</v>
      </c>
      <c r="BZE32" t="s">
        <v>6984</v>
      </c>
      <c r="BZF32" t="s">
        <v>6984</v>
      </c>
      <c r="BZG32" t="s">
        <v>6984</v>
      </c>
      <c r="BZH32" t="s">
        <v>6984</v>
      </c>
      <c r="BZI32" t="s">
        <v>6984</v>
      </c>
      <c r="BZJ32" t="s">
        <v>6984</v>
      </c>
      <c r="BZK32" t="s">
        <v>6984</v>
      </c>
      <c r="BZL32" t="s">
        <v>6984</v>
      </c>
      <c r="BZM32" t="s">
        <v>6984</v>
      </c>
      <c r="BZN32" t="s">
        <v>6984</v>
      </c>
      <c r="BZO32" t="s">
        <v>6984</v>
      </c>
      <c r="BZP32" t="s">
        <v>6984</v>
      </c>
      <c r="BZQ32" t="s">
        <v>6984</v>
      </c>
      <c r="BZR32" t="s">
        <v>6984</v>
      </c>
      <c r="BZS32" t="s">
        <v>6984</v>
      </c>
      <c r="BZT32" t="s">
        <v>6984</v>
      </c>
      <c r="BZU32" t="s">
        <v>6984</v>
      </c>
      <c r="BZV32" t="s">
        <v>6984</v>
      </c>
      <c r="BZW32" t="s">
        <v>6984</v>
      </c>
      <c r="BZX32" t="s">
        <v>6984</v>
      </c>
      <c r="BZY32" t="s">
        <v>6984</v>
      </c>
      <c r="BZZ32" t="s">
        <v>6984</v>
      </c>
      <c r="CAA32" t="s">
        <v>6984</v>
      </c>
      <c r="CAB32" t="s">
        <v>6984</v>
      </c>
      <c r="CAC32" t="s">
        <v>6984</v>
      </c>
      <c r="CAD32" t="s">
        <v>6984</v>
      </c>
      <c r="CAE32" t="s">
        <v>6984</v>
      </c>
      <c r="CAF32" t="s">
        <v>6984</v>
      </c>
      <c r="CAG32" t="s">
        <v>6984</v>
      </c>
      <c r="CAH32" t="s">
        <v>6984</v>
      </c>
      <c r="CAI32" t="s">
        <v>6984</v>
      </c>
      <c r="CAJ32" t="s">
        <v>6984</v>
      </c>
      <c r="CAK32" t="s">
        <v>6984</v>
      </c>
      <c r="CAL32" t="s">
        <v>6984</v>
      </c>
      <c r="CAM32" t="s">
        <v>6984</v>
      </c>
      <c r="CAN32" t="s">
        <v>6984</v>
      </c>
      <c r="CAO32" t="s">
        <v>6984</v>
      </c>
      <c r="CAP32" t="s">
        <v>6984</v>
      </c>
      <c r="CAQ32" t="s">
        <v>6984</v>
      </c>
      <c r="CAR32" t="s">
        <v>6984</v>
      </c>
      <c r="CAS32" t="s">
        <v>6984</v>
      </c>
      <c r="CAT32" t="s">
        <v>6984</v>
      </c>
      <c r="CAU32" t="s">
        <v>6984</v>
      </c>
      <c r="CAV32" t="s">
        <v>6984</v>
      </c>
      <c r="CAW32" t="s">
        <v>6984</v>
      </c>
      <c r="CAX32" t="s">
        <v>6984</v>
      </c>
      <c r="CAY32" t="s">
        <v>6984</v>
      </c>
      <c r="CAZ32" t="s">
        <v>6984</v>
      </c>
      <c r="CBA32" t="s">
        <v>6984</v>
      </c>
      <c r="CBB32" t="s">
        <v>6984</v>
      </c>
      <c r="CBC32" t="s">
        <v>6984</v>
      </c>
      <c r="CBD32" t="s">
        <v>6984</v>
      </c>
      <c r="CBE32" t="s">
        <v>6984</v>
      </c>
      <c r="CBF32" t="s">
        <v>6984</v>
      </c>
      <c r="CBG32" t="s">
        <v>6984</v>
      </c>
      <c r="CBH32" t="s">
        <v>6984</v>
      </c>
      <c r="CBI32" t="s">
        <v>6984</v>
      </c>
      <c r="CBJ32" t="s">
        <v>6984</v>
      </c>
      <c r="CBK32" t="s">
        <v>6984</v>
      </c>
      <c r="CBL32" t="s">
        <v>6984</v>
      </c>
      <c r="CBM32" t="s">
        <v>6984</v>
      </c>
      <c r="CBN32" t="s">
        <v>6984</v>
      </c>
      <c r="CBO32" t="s">
        <v>6984</v>
      </c>
      <c r="CBP32" t="s">
        <v>6984</v>
      </c>
      <c r="CBQ32" t="s">
        <v>6984</v>
      </c>
      <c r="CBR32" t="s">
        <v>6984</v>
      </c>
      <c r="CBS32" t="s">
        <v>6984</v>
      </c>
      <c r="CBT32" t="s">
        <v>6984</v>
      </c>
      <c r="CBU32" t="s">
        <v>6984</v>
      </c>
      <c r="CBV32" t="s">
        <v>6984</v>
      </c>
      <c r="CBW32" t="s">
        <v>6984</v>
      </c>
      <c r="CBX32" t="s">
        <v>6984</v>
      </c>
      <c r="CBY32" t="s">
        <v>6984</v>
      </c>
      <c r="CBZ32" t="s">
        <v>6984</v>
      </c>
      <c r="CCA32" t="s">
        <v>6984</v>
      </c>
      <c r="CCB32" t="s">
        <v>6984</v>
      </c>
      <c r="CCC32" t="s">
        <v>6984</v>
      </c>
      <c r="CCD32" t="s">
        <v>6984</v>
      </c>
      <c r="CCE32" t="s">
        <v>6984</v>
      </c>
      <c r="CCF32" t="s">
        <v>6984</v>
      </c>
      <c r="CCG32" t="s">
        <v>6984</v>
      </c>
      <c r="CCH32" t="s">
        <v>6984</v>
      </c>
      <c r="CCI32" t="s">
        <v>6984</v>
      </c>
      <c r="CCJ32" t="s">
        <v>6984</v>
      </c>
      <c r="CCK32" t="s">
        <v>6984</v>
      </c>
      <c r="CCL32" t="s">
        <v>6984</v>
      </c>
      <c r="CCM32" t="s">
        <v>6984</v>
      </c>
      <c r="CCN32" t="s">
        <v>6984</v>
      </c>
      <c r="CCO32" t="s">
        <v>6984</v>
      </c>
      <c r="CCP32" t="s">
        <v>6984</v>
      </c>
      <c r="CCQ32" t="s">
        <v>6984</v>
      </c>
      <c r="CCR32" t="s">
        <v>6984</v>
      </c>
      <c r="CCS32" t="s">
        <v>6984</v>
      </c>
      <c r="CCT32" t="s">
        <v>6984</v>
      </c>
      <c r="CCU32" t="s">
        <v>6984</v>
      </c>
      <c r="CCV32" t="s">
        <v>6984</v>
      </c>
      <c r="CCW32" t="s">
        <v>6984</v>
      </c>
      <c r="CCX32" t="s">
        <v>6984</v>
      </c>
      <c r="CCY32" t="s">
        <v>6984</v>
      </c>
      <c r="CCZ32" t="s">
        <v>6984</v>
      </c>
      <c r="CDA32" t="s">
        <v>6984</v>
      </c>
      <c r="CDB32" t="s">
        <v>6984</v>
      </c>
      <c r="CDC32" t="s">
        <v>6984</v>
      </c>
      <c r="CDD32" t="s">
        <v>6984</v>
      </c>
      <c r="CDE32" t="s">
        <v>6984</v>
      </c>
      <c r="CDF32" t="s">
        <v>6984</v>
      </c>
      <c r="CDG32" t="s">
        <v>6984</v>
      </c>
      <c r="CDH32" t="s">
        <v>6984</v>
      </c>
      <c r="CDI32" t="s">
        <v>6984</v>
      </c>
      <c r="CDJ32" t="s">
        <v>6984</v>
      </c>
      <c r="CDK32" t="s">
        <v>6984</v>
      </c>
      <c r="CDL32" t="s">
        <v>6984</v>
      </c>
      <c r="CDM32" t="s">
        <v>6984</v>
      </c>
      <c r="CDN32" t="s">
        <v>6984</v>
      </c>
      <c r="CDO32" t="s">
        <v>6984</v>
      </c>
      <c r="CDP32" t="s">
        <v>6984</v>
      </c>
      <c r="CDQ32" t="s">
        <v>6984</v>
      </c>
      <c r="CDR32" t="s">
        <v>6984</v>
      </c>
      <c r="CDS32" t="s">
        <v>6984</v>
      </c>
      <c r="CDT32" t="s">
        <v>6984</v>
      </c>
      <c r="CDU32" t="s">
        <v>6984</v>
      </c>
      <c r="CDV32" t="s">
        <v>6984</v>
      </c>
      <c r="CDW32" t="s">
        <v>6984</v>
      </c>
      <c r="CDX32" t="s">
        <v>6984</v>
      </c>
      <c r="CDY32" t="s">
        <v>6984</v>
      </c>
      <c r="CDZ32" t="s">
        <v>6984</v>
      </c>
      <c r="CEA32" t="s">
        <v>6984</v>
      </c>
      <c r="CEB32" t="s">
        <v>6984</v>
      </c>
      <c r="CEC32" t="s">
        <v>6984</v>
      </c>
      <c r="CED32" t="s">
        <v>6984</v>
      </c>
      <c r="CEE32" t="s">
        <v>6984</v>
      </c>
      <c r="CEF32" t="s">
        <v>6984</v>
      </c>
      <c r="CEG32" t="s">
        <v>6984</v>
      </c>
      <c r="CEH32" t="s">
        <v>6984</v>
      </c>
      <c r="CEI32" t="s">
        <v>6984</v>
      </c>
      <c r="CEJ32" t="s">
        <v>6984</v>
      </c>
      <c r="CEK32" t="s">
        <v>6984</v>
      </c>
      <c r="CEL32" t="s">
        <v>6984</v>
      </c>
      <c r="CEM32" t="s">
        <v>6984</v>
      </c>
      <c r="CEN32" t="s">
        <v>6984</v>
      </c>
      <c r="CEO32" t="s">
        <v>6984</v>
      </c>
      <c r="CEP32" t="s">
        <v>6984</v>
      </c>
      <c r="CEQ32" t="s">
        <v>6984</v>
      </c>
      <c r="CER32" t="s">
        <v>6984</v>
      </c>
      <c r="CES32" t="s">
        <v>6984</v>
      </c>
      <c r="CET32" t="s">
        <v>6984</v>
      </c>
      <c r="CEU32" t="s">
        <v>6984</v>
      </c>
      <c r="CEV32" t="s">
        <v>6984</v>
      </c>
      <c r="CEW32" t="s">
        <v>6984</v>
      </c>
      <c r="CEX32" t="s">
        <v>6984</v>
      </c>
      <c r="CEY32" t="s">
        <v>6984</v>
      </c>
      <c r="CEZ32" t="s">
        <v>6984</v>
      </c>
      <c r="CFA32" t="s">
        <v>6984</v>
      </c>
      <c r="CFB32" t="s">
        <v>6984</v>
      </c>
      <c r="CFC32" t="s">
        <v>6984</v>
      </c>
      <c r="CFD32" t="s">
        <v>6984</v>
      </c>
      <c r="CFE32" t="s">
        <v>6984</v>
      </c>
      <c r="CFF32" t="s">
        <v>6984</v>
      </c>
      <c r="CFG32" t="s">
        <v>6984</v>
      </c>
      <c r="CFH32" t="s">
        <v>6984</v>
      </c>
      <c r="CFI32" t="s">
        <v>6984</v>
      </c>
      <c r="CFJ32" t="s">
        <v>6984</v>
      </c>
      <c r="CFK32" t="s">
        <v>6984</v>
      </c>
      <c r="CFL32" t="s">
        <v>6984</v>
      </c>
      <c r="CFM32" t="s">
        <v>6984</v>
      </c>
      <c r="CFN32" t="s">
        <v>6984</v>
      </c>
      <c r="CFO32" t="s">
        <v>6984</v>
      </c>
      <c r="CFP32" t="s">
        <v>6984</v>
      </c>
      <c r="CFQ32" t="s">
        <v>6984</v>
      </c>
      <c r="CFR32" t="s">
        <v>6984</v>
      </c>
      <c r="CFS32" t="s">
        <v>6984</v>
      </c>
      <c r="CFT32" t="s">
        <v>6984</v>
      </c>
      <c r="CFU32" t="s">
        <v>6984</v>
      </c>
      <c r="CFV32" t="s">
        <v>6984</v>
      </c>
      <c r="CFW32" t="s">
        <v>6984</v>
      </c>
      <c r="CFX32" t="s">
        <v>6984</v>
      </c>
      <c r="CFY32" t="s">
        <v>6984</v>
      </c>
      <c r="CFZ32" t="s">
        <v>6984</v>
      </c>
      <c r="CGA32" t="s">
        <v>6984</v>
      </c>
      <c r="CGB32" t="s">
        <v>6984</v>
      </c>
      <c r="CGC32" t="s">
        <v>6984</v>
      </c>
      <c r="CGD32" t="s">
        <v>6984</v>
      </c>
      <c r="CGE32" t="s">
        <v>6984</v>
      </c>
      <c r="CGF32" t="s">
        <v>6984</v>
      </c>
      <c r="CGG32" t="s">
        <v>6984</v>
      </c>
      <c r="CGH32" t="s">
        <v>6984</v>
      </c>
      <c r="CGI32" t="s">
        <v>6984</v>
      </c>
      <c r="CGJ32" t="s">
        <v>6984</v>
      </c>
      <c r="CGK32" t="s">
        <v>6984</v>
      </c>
      <c r="CGL32" t="s">
        <v>6984</v>
      </c>
      <c r="CGM32" t="s">
        <v>6984</v>
      </c>
      <c r="CGN32" t="s">
        <v>6984</v>
      </c>
      <c r="CGO32" t="s">
        <v>6984</v>
      </c>
      <c r="CGP32" t="s">
        <v>6984</v>
      </c>
      <c r="CGQ32" t="s">
        <v>6984</v>
      </c>
      <c r="CGR32" t="s">
        <v>6984</v>
      </c>
      <c r="CGS32" t="s">
        <v>6984</v>
      </c>
      <c r="CGT32" t="s">
        <v>6984</v>
      </c>
      <c r="CGU32" t="s">
        <v>6984</v>
      </c>
      <c r="CGV32" t="s">
        <v>6984</v>
      </c>
      <c r="CGW32" t="s">
        <v>6984</v>
      </c>
      <c r="CGX32" t="s">
        <v>6984</v>
      </c>
      <c r="CGY32" t="s">
        <v>6984</v>
      </c>
      <c r="CGZ32" t="s">
        <v>6984</v>
      </c>
      <c r="CHA32" t="s">
        <v>6984</v>
      </c>
      <c r="CHB32" t="s">
        <v>6984</v>
      </c>
      <c r="CHC32" t="s">
        <v>6984</v>
      </c>
      <c r="CHD32" t="s">
        <v>6984</v>
      </c>
      <c r="CHE32" t="s">
        <v>6984</v>
      </c>
      <c r="CHF32" t="s">
        <v>6984</v>
      </c>
      <c r="CHG32" t="s">
        <v>6984</v>
      </c>
      <c r="CHH32" t="s">
        <v>6984</v>
      </c>
      <c r="CHI32" t="s">
        <v>6984</v>
      </c>
      <c r="CHJ32" t="s">
        <v>6984</v>
      </c>
      <c r="CHK32" t="s">
        <v>6984</v>
      </c>
      <c r="CHL32" t="s">
        <v>6984</v>
      </c>
      <c r="CHM32" t="s">
        <v>6984</v>
      </c>
      <c r="CHN32" t="s">
        <v>6984</v>
      </c>
      <c r="CHO32" t="s">
        <v>6984</v>
      </c>
      <c r="CHP32" t="s">
        <v>6984</v>
      </c>
      <c r="CHQ32" t="s">
        <v>6984</v>
      </c>
      <c r="CHR32" t="s">
        <v>6984</v>
      </c>
      <c r="CHS32" t="s">
        <v>6984</v>
      </c>
      <c r="CHT32" t="s">
        <v>6984</v>
      </c>
      <c r="CHU32" t="s">
        <v>6984</v>
      </c>
      <c r="CHV32" t="s">
        <v>6984</v>
      </c>
      <c r="CHW32" t="s">
        <v>6984</v>
      </c>
      <c r="CHX32" t="s">
        <v>6984</v>
      </c>
      <c r="CHY32" t="s">
        <v>6984</v>
      </c>
      <c r="CHZ32" t="s">
        <v>6984</v>
      </c>
      <c r="CIA32" t="s">
        <v>6984</v>
      </c>
      <c r="CIB32" t="s">
        <v>6984</v>
      </c>
      <c r="CIC32" t="s">
        <v>6984</v>
      </c>
      <c r="CID32" t="s">
        <v>6984</v>
      </c>
      <c r="CIE32" t="s">
        <v>6984</v>
      </c>
      <c r="CIF32" t="s">
        <v>6984</v>
      </c>
      <c r="CIG32" t="s">
        <v>6984</v>
      </c>
      <c r="CIH32" t="s">
        <v>6984</v>
      </c>
      <c r="CII32" t="s">
        <v>6984</v>
      </c>
      <c r="CIJ32" t="s">
        <v>6984</v>
      </c>
      <c r="CIK32" t="s">
        <v>6984</v>
      </c>
      <c r="CIL32" t="s">
        <v>6984</v>
      </c>
      <c r="CIM32" t="s">
        <v>6984</v>
      </c>
      <c r="CIN32" t="s">
        <v>6984</v>
      </c>
      <c r="CIO32" t="s">
        <v>6984</v>
      </c>
      <c r="CIP32" t="s">
        <v>6984</v>
      </c>
      <c r="CIQ32" t="s">
        <v>6984</v>
      </c>
      <c r="CIR32" t="s">
        <v>6984</v>
      </c>
      <c r="CIS32" t="s">
        <v>6984</v>
      </c>
      <c r="CIT32" t="s">
        <v>6984</v>
      </c>
      <c r="CIU32" t="s">
        <v>6984</v>
      </c>
      <c r="CIV32" t="s">
        <v>6984</v>
      </c>
      <c r="CIW32" t="s">
        <v>6984</v>
      </c>
      <c r="CIX32" t="s">
        <v>6984</v>
      </c>
      <c r="CIY32" t="s">
        <v>6984</v>
      </c>
      <c r="CIZ32" t="s">
        <v>6984</v>
      </c>
      <c r="CJA32" t="s">
        <v>6984</v>
      </c>
      <c r="CJB32" t="s">
        <v>6984</v>
      </c>
      <c r="CJC32" t="s">
        <v>6984</v>
      </c>
      <c r="CJD32" t="s">
        <v>6984</v>
      </c>
      <c r="CJE32" t="s">
        <v>6984</v>
      </c>
      <c r="CJF32" t="s">
        <v>6984</v>
      </c>
      <c r="CJG32" t="s">
        <v>6984</v>
      </c>
      <c r="CJH32" t="s">
        <v>6984</v>
      </c>
      <c r="CJI32" t="s">
        <v>6984</v>
      </c>
      <c r="CJJ32" t="s">
        <v>6984</v>
      </c>
      <c r="CJK32" t="s">
        <v>6984</v>
      </c>
      <c r="CJL32" t="s">
        <v>6984</v>
      </c>
      <c r="CJM32" t="s">
        <v>6984</v>
      </c>
      <c r="CJN32" t="s">
        <v>6984</v>
      </c>
      <c r="CJO32" t="s">
        <v>6984</v>
      </c>
      <c r="CJP32" t="s">
        <v>6984</v>
      </c>
      <c r="CJQ32" t="s">
        <v>6984</v>
      </c>
      <c r="CJR32" t="s">
        <v>6984</v>
      </c>
      <c r="CJS32" t="s">
        <v>6984</v>
      </c>
      <c r="CJT32" t="s">
        <v>6984</v>
      </c>
      <c r="CJU32" t="s">
        <v>6984</v>
      </c>
      <c r="CJV32" t="s">
        <v>6984</v>
      </c>
      <c r="CJW32" t="s">
        <v>6984</v>
      </c>
      <c r="CJX32" t="s">
        <v>6984</v>
      </c>
      <c r="CJY32" t="s">
        <v>6984</v>
      </c>
      <c r="CJZ32" t="s">
        <v>6984</v>
      </c>
      <c r="CKA32" t="s">
        <v>6984</v>
      </c>
      <c r="CKB32" t="s">
        <v>6984</v>
      </c>
      <c r="CKC32" t="s">
        <v>6984</v>
      </c>
      <c r="CKD32" t="s">
        <v>6984</v>
      </c>
      <c r="CKE32" t="s">
        <v>6984</v>
      </c>
      <c r="CKF32" t="s">
        <v>6984</v>
      </c>
      <c r="CKG32" t="s">
        <v>6984</v>
      </c>
      <c r="CKH32" t="s">
        <v>6984</v>
      </c>
      <c r="CKI32" t="s">
        <v>6984</v>
      </c>
      <c r="CKJ32" t="s">
        <v>6984</v>
      </c>
      <c r="CKK32" t="s">
        <v>6984</v>
      </c>
      <c r="CKL32" t="s">
        <v>6984</v>
      </c>
      <c r="CKM32" t="s">
        <v>6984</v>
      </c>
      <c r="CKN32" t="s">
        <v>6984</v>
      </c>
      <c r="CKO32" t="s">
        <v>6984</v>
      </c>
      <c r="CKP32" t="s">
        <v>6984</v>
      </c>
      <c r="CKQ32" t="s">
        <v>6984</v>
      </c>
      <c r="CKR32" t="s">
        <v>6984</v>
      </c>
      <c r="CKS32" t="s">
        <v>6984</v>
      </c>
      <c r="CKT32" t="s">
        <v>6984</v>
      </c>
      <c r="CKU32" t="s">
        <v>6984</v>
      </c>
      <c r="CKV32" t="s">
        <v>6984</v>
      </c>
      <c r="CKW32" t="s">
        <v>6984</v>
      </c>
      <c r="CKX32" t="s">
        <v>6984</v>
      </c>
      <c r="CKY32" t="s">
        <v>6984</v>
      </c>
      <c r="CKZ32" t="s">
        <v>6984</v>
      </c>
      <c r="CLA32" t="s">
        <v>6984</v>
      </c>
      <c r="CLB32" t="s">
        <v>6984</v>
      </c>
      <c r="CLC32" t="s">
        <v>6984</v>
      </c>
      <c r="CLD32" t="s">
        <v>6984</v>
      </c>
      <c r="CLE32" t="s">
        <v>6984</v>
      </c>
      <c r="CLF32" t="s">
        <v>6984</v>
      </c>
      <c r="CLG32" t="s">
        <v>6984</v>
      </c>
      <c r="CLH32" t="s">
        <v>6984</v>
      </c>
      <c r="CLI32" t="s">
        <v>6984</v>
      </c>
      <c r="CLJ32" t="s">
        <v>6984</v>
      </c>
      <c r="CLK32" t="s">
        <v>6984</v>
      </c>
      <c r="CLL32" t="s">
        <v>6984</v>
      </c>
      <c r="CLM32" t="s">
        <v>6984</v>
      </c>
      <c r="CLN32" t="s">
        <v>6984</v>
      </c>
      <c r="CLO32" t="s">
        <v>6984</v>
      </c>
      <c r="CLP32" t="s">
        <v>6984</v>
      </c>
      <c r="CLQ32" t="s">
        <v>6984</v>
      </c>
      <c r="CLR32" t="s">
        <v>6984</v>
      </c>
      <c r="CLS32" t="s">
        <v>6984</v>
      </c>
      <c r="CLT32" t="s">
        <v>6984</v>
      </c>
      <c r="CLU32" t="s">
        <v>6984</v>
      </c>
      <c r="CLV32" t="s">
        <v>6984</v>
      </c>
      <c r="CLW32" t="s">
        <v>6984</v>
      </c>
      <c r="CLX32" t="s">
        <v>6984</v>
      </c>
      <c r="CLY32" t="s">
        <v>6984</v>
      </c>
      <c r="CLZ32" t="s">
        <v>6984</v>
      </c>
      <c r="CMA32" t="s">
        <v>6984</v>
      </c>
      <c r="CMB32" t="s">
        <v>6984</v>
      </c>
      <c r="CMC32" t="s">
        <v>6984</v>
      </c>
      <c r="CMD32" t="s">
        <v>6984</v>
      </c>
      <c r="CME32" t="s">
        <v>6984</v>
      </c>
      <c r="CMF32" t="s">
        <v>6984</v>
      </c>
      <c r="CMG32" t="s">
        <v>6984</v>
      </c>
      <c r="CMH32" t="s">
        <v>6984</v>
      </c>
      <c r="CMI32" t="s">
        <v>6984</v>
      </c>
      <c r="CMJ32" t="s">
        <v>6984</v>
      </c>
      <c r="CMK32" t="s">
        <v>6984</v>
      </c>
      <c r="CML32" t="s">
        <v>6984</v>
      </c>
      <c r="CMM32" t="s">
        <v>6984</v>
      </c>
      <c r="CMN32" t="s">
        <v>6984</v>
      </c>
      <c r="CMO32" t="s">
        <v>6984</v>
      </c>
      <c r="CMP32" t="s">
        <v>6984</v>
      </c>
      <c r="CMQ32" t="s">
        <v>6984</v>
      </c>
      <c r="CMR32" t="s">
        <v>6984</v>
      </c>
      <c r="CMS32" t="s">
        <v>6984</v>
      </c>
      <c r="CMT32" t="s">
        <v>6984</v>
      </c>
      <c r="CMU32" t="s">
        <v>6984</v>
      </c>
      <c r="CMV32" t="s">
        <v>6984</v>
      </c>
      <c r="CMW32" t="s">
        <v>6984</v>
      </c>
      <c r="CMX32" t="s">
        <v>6984</v>
      </c>
      <c r="CMY32" t="s">
        <v>6984</v>
      </c>
      <c r="CMZ32" t="s">
        <v>6984</v>
      </c>
      <c r="CNA32" t="s">
        <v>6984</v>
      </c>
      <c r="CNB32" t="s">
        <v>6984</v>
      </c>
      <c r="CNC32" t="s">
        <v>6984</v>
      </c>
      <c r="CND32" t="s">
        <v>6984</v>
      </c>
      <c r="CNE32" t="s">
        <v>6984</v>
      </c>
      <c r="CNF32" t="s">
        <v>6984</v>
      </c>
      <c r="CNG32" t="s">
        <v>6984</v>
      </c>
      <c r="CNH32" t="s">
        <v>6984</v>
      </c>
      <c r="CNI32" t="s">
        <v>6984</v>
      </c>
      <c r="CNJ32" t="s">
        <v>6984</v>
      </c>
      <c r="CNK32" t="s">
        <v>6984</v>
      </c>
      <c r="CNL32" t="s">
        <v>6984</v>
      </c>
      <c r="CNM32" t="s">
        <v>6984</v>
      </c>
      <c r="CNN32" t="s">
        <v>6984</v>
      </c>
      <c r="CNO32" t="s">
        <v>6984</v>
      </c>
      <c r="CNP32" t="s">
        <v>6984</v>
      </c>
      <c r="CNQ32" t="s">
        <v>6984</v>
      </c>
      <c r="CNR32" t="s">
        <v>6984</v>
      </c>
      <c r="CNS32" t="s">
        <v>6984</v>
      </c>
      <c r="CNT32" t="s">
        <v>6984</v>
      </c>
      <c r="CNU32" t="s">
        <v>6984</v>
      </c>
      <c r="CNV32" t="s">
        <v>6984</v>
      </c>
      <c r="CNW32" t="s">
        <v>6984</v>
      </c>
      <c r="CNX32" t="s">
        <v>6984</v>
      </c>
      <c r="CNY32" t="s">
        <v>6984</v>
      </c>
      <c r="CNZ32" t="s">
        <v>6984</v>
      </c>
      <c r="COA32" t="s">
        <v>6984</v>
      </c>
      <c r="COB32" t="s">
        <v>6984</v>
      </c>
      <c r="COC32" t="s">
        <v>6984</v>
      </c>
      <c r="COD32" t="s">
        <v>6984</v>
      </c>
      <c r="COE32" t="s">
        <v>6984</v>
      </c>
      <c r="COF32" t="s">
        <v>6984</v>
      </c>
      <c r="COG32" t="s">
        <v>6984</v>
      </c>
      <c r="COH32" t="s">
        <v>6984</v>
      </c>
      <c r="COI32" t="s">
        <v>6984</v>
      </c>
      <c r="COJ32" t="s">
        <v>6984</v>
      </c>
      <c r="COK32" t="s">
        <v>6984</v>
      </c>
      <c r="COL32" t="s">
        <v>6984</v>
      </c>
      <c r="COM32" t="s">
        <v>6984</v>
      </c>
      <c r="CON32" t="s">
        <v>6984</v>
      </c>
      <c r="COO32" t="s">
        <v>6984</v>
      </c>
      <c r="COP32" t="s">
        <v>6984</v>
      </c>
      <c r="COQ32" t="s">
        <v>6984</v>
      </c>
      <c r="COR32" t="s">
        <v>6984</v>
      </c>
      <c r="COS32" t="s">
        <v>6984</v>
      </c>
      <c r="COT32" t="s">
        <v>6984</v>
      </c>
      <c r="COU32" t="s">
        <v>6984</v>
      </c>
      <c r="COV32" t="s">
        <v>6984</v>
      </c>
      <c r="COW32" t="s">
        <v>6984</v>
      </c>
      <c r="COX32" t="s">
        <v>6984</v>
      </c>
      <c r="COY32" t="s">
        <v>6984</v>
      </c>
      <c r="COZ32" t="s">
        <v>6984</v>
      </c>
      <c r="CPA32" t="s">
        <v>6984</v>
      </c>
      <c r="CPB32" t="s">
        <v>6984</v>
      </c>
      <c r="CPC32" t="s">
        <v>6984</v>
      </c>
      <c r="CPD32" t="s">
        <v>6984</v>
      </c>
      <c r="CPE32" t="s">
        <v>6984</v>
      </c>
      <c r="CPF32" t="s">
        <v>6984</v>
      </c>
      <c r="CPG32" t="s">
        <v>6984</v>
      </c>
      <c r="CPH32" t="s">
        <v>6984</v>
      </c>
      <c r="CPI32" t="s">
        <v>6984</v>
      </c>
      <c r="CPJ32" t="s">
        <v>6984</v>
      </c>
      <c r="CPK32" t="s">
        <v>6984</v>
      </c>
      <c r="CPL32" t="s">
        <v>6984</v>
      </c>
      <c r="CPM32" t="s">
        <v>6984</v>
      </c>
      <c r="CPN32" t="s">
        <v>6984</v>
      </c>
      <c r="CPO32" t="s">
        <v>6984</v>
      </c>
      <c r="CPP32" t="s">
        <v>6984</v>
      </c>
      <c r="CPQ32" t="s">
        <v>6984</v>
      </c>
      <c r="CPR32" t="s">
        <v>6984</v>
      </c>
      <c r="CPS32" t="s">
        <v>6984</v>
      </c>
      <c r="CPT32" t="s">
        <v>6984</v>
      </c>
      <c r="CPU32" t="s">
        <v>6984</v>
      </c>
      <c r="CPV32" t="s">
        <v>6984</v>
      </c>
      <c r="CPW32" t="s">
        <v>6984</v>
      </c>
      <c r="CPX32" t="s">
        <v>6984</v>
      </c>
      <c r="CPY32" t="s">
        <v>6984</v>
      </c>
      <c r="CPZ32" t="s">
        <v>6984</v>
      </c>
      <c r="CQA32" t="s">
        <v>6984</v>
      </c>
      <c r="CQB32" t="s">
        <v>6984</v>
      </c>
      <c r="CQC32" t="s">
        <v>6984</v>
      </c>
      <c r="CQD32" t="s">
        <v>6984</v>
      </c>
      <c r="CQE32" t="s">
        <v>6984</v>
      </c>
      <c r="CQF32" t="s">
        <v>6984</v>
      </c>
      <c r="CQG32" t="s">
        <v>6984</v>
      </c>
      <c r="CQH32" t="s">
        <v>6984</v>
      </c>
      <c r="CQI32" t="s">
        <v>6984</v>
      </c>
      <c r="CQJ32" t="s">
        <v>6984</v>
      </c>
      <c r="CQK32" t="s">
        <v>6984</v>
      </c>
      <c r="CQL32" t="s">
        <v>6984</v>
      </c>
      <c r="CQM32" t="s">
        <v>6984</v>
      </c>
      <c r="CQN32" t="s">
        <v>6984</v>
      </c>
      <c r="CQO32" t="s">
        <v>6984</v>
      </c>
      <c r="CQP32" t="s">
        <v>6984</v>
      </c>
      <c r="CQQ32" t="s">
        <v>6984</v>
      </c>
      <c r="CQR32" t="s">
        <v>6984</v>
      </c>
      <c r="CQS32" t="s">
        <v>6984</v>
      </c>
      <c r="CQT32" t="s">
        <v>6984</v>
      </c>
      <c r="CQU32" t="s">
        <v>6984</v>
      </c>
      <c r="CQV32" t="s">
        <v>6984</v>
      </c>
      <c r="CQW32" t="s">
        <v>6984</v>
      </c>
      <c r="CQX32" t="s">
        <v>6984</v>
      </c>
      <c r="CQY32" t="s">
        <v>6984</v>
      </c>
      <c r="CQZ32" t="s">
        <v>6984</v>
      </c>
      <c r="CRA32" t="s">
        <v>6984</v>
      </c>
      <c r="CRB32" t="s">
        <v>6984</v>
      </c>
      <c r="CRC32" t="s">
        <v>6984</v>
      </c>
      <c r="CRD32" t="s">
        <v>6984</v>
      </c>
      <c r="CRE32" t="s">
        <v>6984</v>
      </c>
      <c r="CRF32" t="s">
        <v>6984</v>
      </c>
      <c r="CRG32" t="s">
        <v>6984</v>
      </c>
      <c r="CRH32" t="s">
        <v>6984</v>
      </c>
      <c r="CRI32" t="s">
        <v>6984</v>
      </c>
      <c r="CRJ32" t="s">
        <v>6984</v>
      </c>
      <c r="CRK32" t="s">
        <v>6984</v>
      </c>
      <c r="CRL32" t="s">
        <v>6984</v>
      </c>
      <c r="CRM32" t="s">
        <v>6984</v>
      </c>
      <c r="CRN32" t="s">
        <v>6984</v>
      </c>
      <c r="CRO32" t="s">
        <v>6984</v>
      </c>
      <c r="CRP32" t="s">
        <v>6984</v>
      </c>
      <c r="CRQ32" t="s">
        <v>6984</v>
      </c>
      <c r="CRR32" t="s">
        <v>6984</v>
      </c>
      <c r="CRS32" t="s">
        <v>6984</v>
      </c>
      <c r="CRT32" t="s">
        <v>6984</v>
      </c>
      <c r="CRU32" t="s">
        <v>6984</v>
      </c>
      <c r="CRV32" t="s">
        <v>6984</v>
      </c>
      <c r="CRW32" t="s">
        <v>6984</v>
      </c>
      <c r="CRX32" t="s">
        <v>6984</v>
      </c>
      <c r="CRY32" t="s">
        <v>6984</v>
      </c>
      <c r="CRZ32" t="s">
        <v>6984</v>
      </c>
      <c r="CSA32" t="s">
        <v>6984</v>
      </c>
      <c r="CSB32" t="s">
        <v>6984</v>
      </c>
      <c r="CSC32" t="s">
        <v>6984</v>
      </c>
      <c r="CSD32" t="s">
        <v>6984</v>
      </c>
      <c r="CSE32" t="s">
        <v>6984</v>
      </c>
      <c r="CSF32" t="s">
        <v>6984</v>
      </c>
      <c r="CSG32" t="s">
        <v>6984</v>
      </c>
      <c r="CSH32" t="s">
        <v>6984</v>
      </c>
      <c r="CSI32" t="s">
        <v>6984</v>
      </c>
      <c r="CSJ32" t="s">
        <v>6984</v>
      </c>
      <c r="CSK32" t="s">
        <v>6984</v>
      </c>
      <c r="CSL32" t="s">
        <v>6984</v>
      </c>
      <c r="CSM32" t="s">
        <v>6984</v>
      </c>
      <c r="CSN32" t="s">
        <v>6984</v>
      </c>
      <c r="CSO32" t="s">
        <v>6984</v>
      </c>
      <c r="CSP32" t="s">
        <v>6984</v>
      </c>
      <c r="CSQ32" t="s">
        <v>6984</v>
      </c>
      <c r="CSR32" t="s">
        <v>6984</v>
      </c>
      <c r="CSS32" t="s">
        <v>6984</v>
      </c>
      <c r="CST32" t="s">
        <v>6984</v>
      </c>
      <c r="CSU32" t="s">
        <v>6984</v>
      </c>
      <c r="CSV32" t="s">
        <v>6984</v>
      </c>
      <c r="CSW32" t="s">
        <v>6984</v>
      </c>
      <c r="CSX32" t="s">
        <v>6984</v>
      </c>
      <c r="CSY32" t="s">
        <v>6984</v>
      </c>
      <c r="CSZ32" t="s">
        <v>6984</v>
      </c>
      <c r="CTA32" t="s">
        <v>6984</v>
      </c>
      <c r="CTB32" t="s">
        <v>6984</v>
      </c>
      <c r="CTC32" t="s">
        <v>6984</v>
      </c>
      <c r="CTD32" t="s">
        <v>6984</v>
      </c>
      <c r="CTE32" t="s">
        <v>6984</v>
      </c>
      <c r="CTF32" t="s">
        <v>6984</v>
      </c>
      <c r="CTG32" t="s">
        <v>6984</v>
      </c>
      <c r="CTH32" t="s">
        <v>6984</v>
      </c>
      <c r="CTI32" t="s">
        <v>6984</v>
      </c>
      <c r="CTJ32" t="s">
        <v>6984</v>
      </c>
      <c r="CTK32" t="s">
        <v>6984</v>
      </c>
      <c r="CTL32" t="s">
        <v>6984</v>
      </c>
      <c r="CTM32" t="s">
        <v>6984</v>
      </c>
      <c r="CTN32" t="s">
        <v>6984</v>
      </c>
      <c r="CTO32" t="s">
        <v>6984</v>
      </c>
      <c r="CTP32" t="s">
        <v>6984</v>
      </c>
      <c r="CTQ32" t="s">
        <v>6984</v>
      </c>
      <c r="CTR32" t="s">
        <v>6984</v>
      </c>
      <c r="CTS32" t="s">
        <v>6984</v>
      </c>
      <c r="CTT32" t="s">
        <v>6984</v>
      </c>
      <c r="CTU32" t="s">
        <v>6984</v>
      </c>
      <c r="CTV32" t="s">
        <v>6984</v>
      </c>
      <c r="CTW32" t="s">
        <v>6984</v>
      </c>
      <c r="CTX32" t="s">
        <v>6984</v>
      </c>
      <c r="CTY32" t="s">
        <v>6984</v>
      </c>
      <c r="CTZ32" t="s">
        <v>6984</v>
      </c>
      <c r="CUA32" t="s">
        <v>6984</v>
      </c>
      <c r="CUB32" t="s">
        <v>6984</v>
      </c>
      <c r="CUC32" t="s">
        <v>6984</v>
      </c>
      <c r="CUD32" t="s">
        <v>6984</v>
      </c>
      <c r="CUE32" t="s">
        <v>6984</v>
      </c>
      <c r="CUF32" t="s">
        <v>6984</v>
      </c>
      <c r="CUG32" t="s">
        <v>6984</v>
      </c>
      <c r="CUH32" t="s">
        <v>6984</v>
      </c>
      <c r="CUI32" t="s">
        <v>6984</v>
      </c>
      <c r="CUJ32" t="s">
        <v>6984</v>
      </c>
      <c r="CUK32" t="s">
        <v>6984</v>
      </c>
      <c r="CUL32" t="s">
        <v>6984</v>
      </c>
      <c r="CUM32" t="s">
        <v>6984</v>
      </c>
      <c r="CUN32" t="s">
        <v>6984</v>
      </c>
      <c r="CUO32" t="s">
        <v>6984</v>
      </c>
      <c r="CUP32" t="s">
        <v>6984</v>
      </c>
      <c r="CUQ32" t="s">
        <v>6984</v>
      </c>
      <c r="CUR32" t="s">
        <v>6984</v>
      </c>
      <c r="CUS32" t="s">
        <v>6984</v>
      </c>
      <c r="CUT32" t="s">
        <v>6984</v>
      </c>
      <c r="CUU32" t="s">
        <v>6984</v>
      </c>
      <c r="CUV32" t="s">
        <v>6984</v>
      </c>
      <c r="CUW32" t="s">
        <v>6984</v>
      </c>
      <c r="CUX32" t="s">
        <v>6984</v>
      </c>
      <c r="CUY32" t="s">
        <v>6984</v>
      </c>
      <c r="CUZ32" t="s">
        <v>6984</v>
      </c>
      <c r="CVA32" t="s">
        <v>6984</v>
      </c>
      <c r="CVB32" t="s">
        <v>6984</v>
      </c>
      <c r="CVC32" t="s">
        <v>6984</v>
      </c>
      <c r="CVD32" t="s">
        <v>6984</v>
      </c>
      <c r="CVE32" t="s">
        <v>6984</v>
      </c>
      <c r="CVF32" t="s">
        <v>6984</v>
      </c>
      <c r="CVG32" t="s">
        <v>6984</v>
      </c>
      <c r="CVH32" t="s">
        <v>6984</v>
      </c>
      <c r="CVI32" t="s">
        <v>6984</v>
      </c>
      <c r="CVJ32" t="s">
        <v>6984</v>
      </c>
      <c r="CVK32" t="s">
        <v>6984</v>
      </c>
      <c r="CVL32" t="s">
        <v>6984</v>
      </c>
      <c r="CVM32" t="s">
        <v>6984</v>
      </c>
      <c r="CVN32" t="s">
        <v>6984</v>
      </c>
      <c r="CVO32" t="s">
        <v>6984</v>
      </c>
      <c r="CVP32" t="s">
        <v>6984</v>
      </c>
      <c r="CVQ32" t="s">
        <v>6984</v>
      </c>
      <c r="CVR32" t="s">
        <v>6984</v>
      </c>
      <c r="CVS32" t="s">
        <v>6984</v>
      </c>
      <c r="CVT32" t="s">
        <v>6984</v>
      </c>
      <c r="CVU32" t="s">
        <v>6984</v>
      </c>
      <c r="CVV32" t="s">
        <v>6984</v>
      </c>
      <c r="CVW32" t="s">
        <v>6984</v>
      </c>
      <c r="CVX32" t="s">
        <v>6984</v>
      </c>
      <c r="CVY32" t="s">
        <v>6984</v>
      </c>
      <c r="CVZ32" t="s">
        <v>6984</v>
      </c>
      <c r="CWA32" t="s">
        <v>6984</v>
      </c>
      <c r="CWB32" t="s">
        <v>6984</v>
      </c>
      <c r="CWC32" t="s">
        <v>6984</v>
      </c>
      <c r="CWD32" t="s">
        <v>6984</v>
      </c>
      <c r="CWE32" t="s">
        <v>6984</v>
      </c>
      <c r="CWF32" t="s">
        <v>6984</v>
      </c>
      <c r="CWG32" t="s">
        <v>6984</v>
      </c>
      <c r="CWH32" t="s">
        <v>6984</v>
      </c>
      <c r="CWI32" t="s">
        <v>6984</v>
      </c>
      <c r="CWJ32" t="s">
        <v>6984</v>
      </c>
      <c r="CWK32" t="s">
        <v>6984</v>
      </c>
      <c r="CWL32" t="s">
        <v>6984</v>
      </c>
      <c r="CWM32" t="s">
        <v>6984</v>
      </c>
      <c r="CWN32" t="s">
        <v>6984</v>
      </c>
      <c r="CWO32" t="s">
        <v>6984</v>
      </c>
      <c r="CWP32" t="s">
        <v>6984</v>
      </c>
      <c r="CWQ32" t="s">
        <v>6984</v>
      </c>
      <c r="CWR32" t="s">
        <v>6984</v>
      </c>
      <c r="CWS32" t="s">
        <v>6984</v>
      </c>
      <c r="CWT32" t="s">
        <v>6984</v>
      </c>
      <c r="CWU32" t="s">
        <v>6984</v>
      </c>
      <c r="CWV32" t="s">
        <v>6984</v>
      </c>
      <c r="CWW32" t="s">
        <v>6984</v>
      </c>
      <c r="CWX32" t="s">
        <v>6984</v>
      </c>
      <c r="CWY32" t="s">
        <v>6984</v>
      </c>
      <c r="CWZ32" t="s">
        <v>6984</v>
      </c>
      <c r="CXA32" t="s">
        <v>6984</v>
      </c>
      <c r="CXB32" t="s">
        <v>6984</v>
      </c>
      <c r="CXC32" t="s">
        <v>6984</v>
      </c>
      <c r="CXD32" t="s">
        <v>6984</v>
      </c>
      <c r="CXE32" t="s">
        <v>6984</v>
      </c>
      <c r="CXF32" t="s">
        <v>6984</v>
      </c>
      <c r="CXG32" t="s">
        <v>6984</v>
      </c>
      <c r="CXH32" t="s">
        <v>6984</v>
      </c>
      <c r="CXI32" t="s">
        <v>6984</v>
      </c>
      <c r="CXJ32" t="s">
        <v>6984</v>
      </c>
      <c r="CXK32" t="s">
        <v>6984</v>
      </c>
      <c r="CXL32" t="s">
        <v>6984</v>
      </c>
      <c r="CXM32" t="s">
        <v>6984</v>
      </c>
      <c r="CXN32" t="s">
        <v>6984</v>
      </c>
      <c r="CXO32" t="s">
        <v>6984</v>
      </c>
      <c r="CXP32" t="s">
        <v>6984</v>
      </c>
      <c r="CXQ32" t="s">
        <v>6984</v>
      </c>
      <c r="CXR32" t="s">
        <v>6984</v>
      </c>
      <c r="CXS32" t="s">
        <v>6984</v>
      </c>
      <c r="CXT32" t="s">
        <v>6984</v>
      </c>
      <c r="CXU32" t="s">
        <v>6984</v>
      </c>
      <c r="CXV32" t="s">
        <v>6984</v>
      </c>
      <c r="CXW32" t="s">
        <v>6984</v>
      </c>
      <c r="CXX32" t="s">
        <v>6984</v>
      </c>
      <c r="CXY32" t="s">
        <v>6984</v>
      </c>
      <c r="CXZ32" t="s">
        <v>6984</v>
      </c>
      <c r="CYA32" t="s">
        <v>6984</v>
      </c>
      <c r="CYB32" t="s">
        <v>6984</v>
      </c>
      <c r="CYC32" t="s">
        <v>6984</v>
      </c>
      <c r="CYD32" t="s">
        <v>6984</v>
      </c>
      <c r="CYE32" t="s">
        <v>6984</v>
      </c>
      <c r="CYF32" t="s">
        <v>6984</v>
      </c>
      <c r="CYG32" t="s">
        <v>6984</v>
      </c>
      <c r="CYH32" t="s">
        <v>6984</v>
      </c>
      <c r="CYI32" t="s">
        <v>6984</v>
      </c>
      <c r="CYJ32" t="s">
        <v>6984</v>
      </c>
      <c r="CYK32" t="s">
        <v>6984</v>
      </c>
      <c r="CYL32" t="s">
        <v>6984</v>
      </c>
      <c r="CYM32" t="s">
        <v>6984</v>
      </c>
      <c r="CYN32" t="s">
        <v>6984</v>
      </c>
      <c r="CYO32" t="s">
        <v>6984</v>
      </c>
      <c r="CYP32" t="s">
        <v>6984</v>
      </c>
      <c r="CYQ32" t="s">
        <v>6984</v>
      </c>
      <c r="CYR32" t="s">
        <v>6984</v>
      </c>
      <c r="CYS32" t="s">
        <v>6984</v>
      </c>
      <c r="CYT32" t="s">
        <v>6984</v>
      </c>
      <c r="CYU32" t="s">
        <v>6984</v>
      </c>
      <c r="CYV32" t="s">
        <v>6984</v>
      </c>
      <c r="CYW32" t="s">
        <v>6984</v>
      </c>
      <c r="CYX32" t="s">
        <v>6984</v>
      </c>
      <c r="CYY32" t="s">
        <v>6984</v>
      </c>
      <c r="CYZ32" t="s">
        <v>6984</v>
      </c>
      <c r="CZA32" t="s">
        <v>6984</v>
      </c>
      <c r="CZB32" t="s">
        <v>6984</v>
      </c>
      <c r="CZC32" t="s">
        <v>6984</v>
      </c>
      <c r="CZD32" t="s">
        <v>6984</v>
      </c>
      <c r="CZE32" t="s">
        <v>6984</v>
      </c>
      <c r="CZF32" t="s">
        <v>6984</v>
      </c>
      <c r="CZG32" t="s">
        <v>6984</v>
      </c>
      <c r="CZH32" t="s">
        <v>6984</v>
      </c>
      <c r="CZI32" t="s">
        <v>6984</v>
      </c>
      <c r="CZJ32" t="s">
        <v>6984</v>
      </c>
      <c r="CZK32" t="s">
        <v>6984</v>
      </c>
      <c r="CZL32" t="s">
        <v>6984</v>
      </c>
      <c r="CZM32" t="s">
        <v>6984</v>
      </c>
      <c r="CZN32" t="s">
        <v>6984</v>
      </c>
      <c r="CZO32" t="s">
        <v>6984</v>
      </c>
      <c r="CZP32" t="s">
        <v>6984</v>
      </c>
      <c r="CZQ32" t="s">
        <v>6984</v>
      </c>
      <c r="CZR32" t="s">
        <v>6984</v>
      </c>
      <c r="CZS32" t="s">
        <v>6984</v>
      </c>
      <c r="CZT32" t="s">
        <v>6984</v>
      </c>
      <c r="CZU32" t="s">
        <v>6984</v>
      </c>
      <c r="CZV32" t="s">
        <v>6984</v>
      </c>
      <c r="CZW32" t="s">
        <v>6984</v>
      </c>
      <c r="CZX32" t="s">
        <v>6984</v>
      </c>
      <c r="CZY32" t="s">
        <v>6984</v>
      </c>
      <c r="CZZ32" t="s">
        <v>6984</v>
      </c>
      <c r="DAA32" t="s">
        <v>6984</v>
      </c>
      <c r="DAB32" t="s">
        <v>6984</v>
      </c>
      <c r="DAC32" t="s">
        <v>6984</v>
      </c>
      <c r="DAD32" t="s">
        <v>6984</v>
      </c>
      <c r="DAE32" t="s">
        <v>6984</v>
      </c>
      <c r="DAF32" t="s">
        <v>6984</v>
      </c>
      <c r="DAG32" t="s">
        <v>6984</v>
      </c>
      <c r="DAH32" t="s">
        <v>6984</v>
      </c>
      <c r="DAI32" t="s">
        <v>6984</v>
      </c>
      <c r="DAJ32" t="s">
        <v>6984</v>
      </c>
      <c r="DAK32" t="s">
        <v>6984</v>
      </c>
      <c r="DAL32" t="s">
        <v>6984</v>
      </c>
      <c r="DAM32" t="s">
        <v>6984</v>
      </c>
      <c r="DAN32" t="s">
        <v>6984</v>
      </c>
      <c r="DAO32" t="s">
        <v>6984</v>
      </c>
      <c r="DAP32" t="s">
        <v>6984</v>
      </c>
      <c r="DAQ32" t="s">
        <v>6984</v>
      </c>
      <c r="DAR32" t="s">
        <v>6984</v>
      </c>
      <c r="DAS32" t="s">
        <v>6984</v>
      </c>
      <c r="DAT32" t="s">
        <v>6984</v>
      </c>
      <c r="DAU32" t="s">
        <v>6984</v>
      </c>
      <c r="DAV32" t="s">
        <v>6984</v>
      </c>
      <c r="DAW32" t="s">
        <v>6984</v>
      </c>
      <c r="DAX32" t="s">
        <v>6984</v>
      </c>
      <c r="DAY32" t="s">
        <v>6984</v>
      </c>
      <c r="DAZ32" t="s">
        <v>6984</v>
      </c>
      <c r="DBA32" t="s">
        <v>6984</v>
      </c>
      <c r="DBB32" t="s">
        <v>6984</v>
      </c>
      <c r="DBC32" t="s">
        <v>6984</v>
      </c>
      <c r="DBD32" t="s">
        <v>6984</v>
      </c>
      <c r="DBE32" t="s">
        <v>6984</v>
      </c>
      <c r="DBF32" t="s">
        <v>6984</v>
      </c>
      <c r="DBG32" t="s">
        <v>6984</v>
      </c>
      <c r="DBH32" t="s">
        <v>6984</v>
      </c>
      <c r="DBI32" t="s">
        <v>6984</v>
      </c>
      <c r="DBJ32" t="s">
        <v>6984</v>
      </c>
      <c r="DBK32" t="s">
        <v>6984</v>
      </c>
      <c r="DBL32" t="s">
        <v>6984</v>
      </c>
      <c r="DBM32" t="s">
        <v>6984</v>
      </c>
      <c r="DBN32" t="s">
        <v>6984</v>
      </c>
      <c r="DBO32" t="s">
        <v>6984</v>
      </c>
      <c r="DBP32" t="s">
        <v>6984</v>
      </c>
      <c r="DBQ32" t="s">
        <v>6984</v>
      </c>
      <c r="DBR32" t="s">
        <v>6984</v>
      </c>
      <c r="DBS32" t="s">
        <v>6984</v>
      </c>
      <c r="DBT32" t="s">
        <v>6984</v>
      </c>
      <c r="DBU32" t="s">
        <v>6984</v>
      </c>
      <c r="DBV32" t="s">
        <v>6984</v>
      </c>
      <c r="DBW32" t="s">
        <v>6984</v>
      </c>
      <c r="DBX32" t="s">
        <v>6984</v>
      </c>
      <c r="DBY32" t="s">
        <v>6984</v>
      </c>
      <c r="DBZ32" t="s">
        <v>6984</v>
      </c>
      <c r="DCA32" t="s">
        <v>6984</v>
      </c>
      <c r="DCB32" t="s">
        <v>6984</v>
      </c>
      <c r="DCC32" t="s">
        <v>6984</v>
      </c>
      <c r="DCD32" t="s">
        <v>6984</v>
      </c>
      <c r="DCE32" t="s">
        <v>6984</v>
      </c>
      <c r="DCF32" t="s">
        <v>6984</v>
      </c>
      <c r="DCG32" t="s">
        <v>6984</v>
      </c>
      <c r="DCH32" t="s">
        <v>6984</v>
      </c>
      <c r="DCI32" t="s">
        <v>6984</v>
      </c>
      <c r="DCJ32" t="s">
        <v>6984</v>
      </c>
      <c r="DCK32" t="s">
        <v>6984</v>
      </c>
      <c r="DCL32" t="s">
        <v>6984</v>
      </c>
      <c r="DCM32" t="s">
        <v>6984</v>
      </c>
      <c r="DCN32" t="s">
        <v>6984</v>
      </c>
      <c r="DCO32" t="s">
        <v>6984</v>
      </c>
      <c r="DCP32" t="s">
        <v>6984</v>
      </c>
      <c r="DCQ32" t="s">
        <v>6984</v>
      </c>
      <c r="DCR32" t="s">
        <v>6984</v>
      </c>
      <c r="DCS32" t="s">
        <v>6984</v>
      </c>
      <c r="DCT32" t="s">
        <v>6984</v>
      </c>
      <c r="DCU32" t="s">
        <v>6984</v>
      </c>
      <c r="DCV32" t="s">
        <v>6984</v>
      </c>
      <c r="DCW32" t="s">
        <v>6984</v>
      </c>
      <c r="DCX32" t="s">
        <v>6984</v>
      </c>
      <c r="DCY32" t="s">
        <v>6984</v>
      </c>
      <c r="DCZ32" t="s">
        <v>6984</v>
      </c>
      <c r="DDA32" t="s">
        <v>6984</v>
      </c>
      <c r="DDB32" t="s">
        <v>6984</v>
      </c>
      <c r="DDC32" t="s">
        <v>6984</v>
      </c>
      <c r="DDD32" t="s">
        <v>6984</v>
      </c>
      <c r="DDE32" t="s">
        <v>6984</v>
      </c>
      <c r="DDF32" t="s">
        <v>6984</v>
      </c>
      <c r="DDG32" t="s">
        <v>6984</v>
      </c>
      <c r="DDH32" t="s">
        <v>6984</v>
      </c>
      <c r="DDI32" t="s">
        <v>6984</v>
      </c>
      <c r="DDJ32" t="s">
        <v>6984</v>
      </c>
      <c r="DDK32" t="s">
        <v>6984</v>
      </c>
      <c r="DDL32" t="s">
        <v>6984</v>
      </c>
      <c r="DDM32" t="s">
        <v>6984</v>
      </c>
      <c r="DDN32" t="s">
        <v>6984</v>
      </c>
      <c r="DDO32" t="s">
        <v>6984</v>
      </c>
      <c r="DDP32" t="s">
        <v>6984</v>
      </c>
      <c r="DDQ32" t="s">
        <v>6984</v>
      </c>
      <c r="DDR32" t="s">
        <v>6984</v>
      </c>
      <c r="DDS32" t="s">
        <v>6984</v>
      </c>
      <c r="DDT32" t="s">
        <v>6984</v>
      </c>
      <c r="DDU32" t="s">
        <v>6984</v>
      </c>
      <c r="DDV32" t="s">
        <v>6984</v>
      </c>
      <c r="DDW32" t="s">
        <v>6984</v>
      </c>
      <c r="DDX32" t="s">
        <v>6984</v>
      </c>
      <c r="DDY32" t="s">
        <v>6984</v>
      </c>
      <c r="DDZ32" t="s">
        <v>6984</v>
      </c>
      <c r="DEA32" t="s">
        <v>6984</v>
      </c>
      <c r="DEB32" t="s">
        <v>6984</v>
      </c>
      <c r="DEC32" t="s">
        <v>6984</v>
      </c>
      <c r="DED32" t="s">
        <v>6984</v>
      </c>
      <c r="DEE32" t="s">
        <v>6984</v>
      </c>
      <c r="DEF32" t="s">
        <v>6984</v>
      </c>
      <c r="DEG32" t="s">
        <v>6984</v>
      </c>
      <c r="DEH32" t="s">
        <v>6984</v>
      </c>
      <c r="DEI32" t="s">
        <v>6984</v>
      </c>
      <c r="DEJ32" t="s">
        <v>6984</v>
      </c>
      <c r="DEK32" t="s">
        <v>6984</v>
      </c>
      <c r="DEL32" t="s">
        <v>6984</v>
      </c>
      <c r="DEM32" t="s">
        <v>6984</v>
      </c>
      <c r="DEN32" t="s">
        <v>6984</v>
      </c>
      <c r="DEO32" t="s">
        <v>6984</v>
      </c>
      <c r="DEP32" t="s">
        <v>6984</v>
      </c>
      <c r="DEQ32" t="s">
        <v>6984</v>
      </c>
      <c r="DER32" t="s">
        <v>6984</v>
      </c>
      <c r="DES32" t="s">
        <v>6984</v>
      </c>
      <c r="DET32" t="s">
        <v>6984</v>
      </c>
      <c r="DEU32" t="s">
        <v>6984</v>
      </c>
      <c r="DEV32" t="s">
        <v>6984</v>
      </c>
      <c r="DEW32" t="s">
        <v>6984</v>
      </c>
      <c r="DEX32" t="s">
        <v>6984</v>
      </c>
      <c r="DEY32" t="s">
        <v>6984</v>
      </c>
      <c r="DEZ32" t="s">
        <v>6984</v>
      </c>
      <c r="DFA32" t="s">
        <v>6984</v>
      </c>
      <c r="DFB32" t="s">
        <v>6984</v>
      </c>
      <c r="DFC32" t="s">
        <v>6984</v>
      </c>
      <c r="DFD32" t="s">
        <v>6984</v>
      </c>
      <c r="DFE32" t="s">
        <v>6984</v>
      </c>
      <c r="DFF32" t="s">
        <v>6984</v>
      </c>
      <c r="DFG32" t="s">
        <v>6984</v>
      </c>
      <c r="DFH32" t="s">
        <v>6984</v>
      </c>
      <c r="DFI32" t="s">
        <v>6984</v>
      </c>
      <c r="DFJ32" t="s">
        <v>6984</v>
      </c>
      <c r="DFK32" t="s">
        <v>6984</v>
      </c>
      <c r="DFL32" t="s">
        <v>6984</v>
      </c>
      <c r="DFM32" t="s">
        <v>6984</v>
      </c>
      <c r="DFN32" t="s">
        <v>6984</v>
      </c>
      <c r="DFO32" t="s">
        <v>6984</v>
      </c>
      <c r="DFP32" t="s">
        <v>6984</v>
      </c>
      <c r="DFQ32" t="s">
        <v>6984</v>
      </c>
      <c r="DFR32" t="s">
        <v>6984</v>
      </c>
      <c r="DFS32" t="s">
        <v>6984</v>
      </c>
      <c r="DFT32" t="s">
        <v>6984</v>
      </c>
      <c r="DFU32" t="s">
        <v>6984</v>
      </c>
      <c r="DFV32" t="s">
        <v>6984</v>
      </c>
      <c r="DFW32" t="s">
        <v>6984</v>
      </c>
      <c r="DFX32" t="s">
        <v>6984</v>
      </c>
      <c r="DFY32" t="s">
        <v>6984</v>
      </c>
      <c r="DFZ32" t="s">
        <v>6984</v>
      </c>
      <c r="DGA32" t="s">
        <v>6984</v>
      </c>
      <c r="DGB32" t="s">
        <v>6984</v>
      </c>
      <c r="DGC32" t="s">
        <v>6984</v>
      </c>
      <c r="DGD32" t="s">
        <v>6984</v>
      </c>
      <c r="DGE32" t="s">
        <v>6984</v>
      </c>
      <c r="DGF32" t="s">
        <v>6984</v>
      </c>
      <c r="DGG32" t="s">
        <v>6984</v>
      </c>
      <c r="DGH32" t="s">
        <v>6984</v>
      </c>
      <c r="DGI32" t="s">
        <v>6984</v>
      </c>
      <c r="DGJ32" t="s">
        <v>6984</v>
      </c>
      <c r="DGK32" t="s">
        <v>6984</v>
      </c>
      <c r="DGL32" t="s">
        <v>6984</v>
      </c>
      <c r="DGM32" t="s">
        <v>6984</v>
      </c>
      <c r="DGN32" t="s">
        <v>6984</v>
      </c>
      <c r="DGO32" t="s">
        <v>6984</v>
      </c>
      <c r="DGP32" t="s">
        <v>6984</v>
      </c>
      <c r="DGQ32" t="s">
        <v>6984</v>
      </c>
      <c r="DGR32" t="s">
        <v>6984</v>
      </c>
      <c r="DGS32" t="s">
        <v>6984</v>
      </c>
      <c r="DGT32" t="s">
        <v>6984</v>
      </c>
      <c r="DGU32" t="s">
        <v>6984</v>
      </c>
      <c r="DGV32" t="s">
        <v>6984</v>
      </c>
      <c r="DGW32" t="s">
        <v>6984</v>
      </c>
      <c r="DGX32" t="s">
        <v>6984</v>
      </c>
      <c r="DGY32" t="s">
        <v>6984</v>
      </c>
      <c r="DGZ32" t="s">
        <v>6984</v>
      </c>
      <c r="DHA32" t="s">
        <v>6984</v>
      </c>
      <c r="DHB32" t="s">
        <v>6984</v>
      </c>
      <c r="DHC32" t="s">
        <v>6984</v>
      </c>
      <c r="DHD32" t="s">
        <v>6984</v>
      </c>
      <c r="DHE32" t="s">
        <v>6984</v>
      </c>
      <c r="DHF32" t="s">
        <v>6984</v>
      </c>
      <c r="DHG32" t="s">
        <v>6984</v>
      </c>
      <c r="DHH32" t="s">
        <v>6984</v>
      </c>
      <c r="DHI32" t="s">
        <v>6984</v>
      </c>
      <c r="DHJ32" t="s">
        <v>6984</v>
      </c>
      <c r="DHK32" t="s">
        <v>6984</v>
      </c>
      <c r="DHL32" t="s">
        <v>6984</v>
      </c>
      <c r="DHM32" t="s">
        <v>6984</v>
      </c>
      <c r="DHN32" t="s">
        <v>6984</v>
      </c>
      <c r="DHO32" t="s">
        <v>6984</v>
      </c>
      <c r="DHP32" t="s">
        <v>6984</v>
      </c>
      <c r="DHQ32" t="s">
        <v>6984</v>
      </c>
      <c r="DHR32" t="s">
        <v>6984</v>
      </c>
      <c r="DHS32" t="s">
        <v>6984</v>
      </c>
      <c r="DHT32" t="s">
        <v>6984</v>
      </c>
      <c r="DHU32" t="s">
        <v>6984</v>
      </c>
      <c r="DHV32" t="s">
        <v>6984</v>
      </c>
      <c r="DHW32" t="s">
        <v>6984</v>
      </c>
      <c r="DHX32" t="s">
        <v>6984</v>
      </c>
      <c r="DHY32" t="s">
        <v>6984</v>
      </c>
      <c r="DHZ32" t="s">
        <v>6984</v>
      </c>
      <c r="DIA32" t="s">
        <v>6984</v>
      </c>
      <c r="DIB32" t="s">
        <v>6984</v>
      </c>
      <c r="DIC32" t="s">
        <v>6984</v>
      </c>
      <c r="DID32" t="s">
        <v>6984</v>
      </c>
      <c r="DIE32" t="s">
        <v>6984</v>
      </c>
      <c r="DIF32" t="s">
        <v>6984</v>
      </c>
      <c r="DIG32" t="s">
        <v>6984</v>
      </c>
      <c r="DIH32" t="s">
        <v>6984</v>
      </c>
      <c r="DII32" t="s">
        <v>6984</v>
      </c>
      <c r="DIJ32" t="s">
        <v>6984</v>
      </c>
      <c r="DIK32" t="s">
        <v>6984</v>
      </c>
      <c r="DIL32" t="s">
        <v>6984</v>
      </c>
      <c r="DIM32" t="s">
        <v>6984</v>
      </c>
      <c r="DIN32" t="s">
        <v>6984</v>
      </c>
      <c r="DIO32" t="s">
        <v>6984</v>
      </c>
      <c r="DIP32" t="s">
        <v>6984</v>
      </c>
      <c r="DIQ32" t="s">
        <v>6984</v>
      </c>
      <c r="DIR32" t="s">
        <v>6984</v>
      </c>
      <c r="DIS32" t="s">
        <v>6984</v>
      </c>
      <c r="DIT32" t="s">
        <v>6984</v>
      </c>
      <c r="DIU32" t="s">
        <v>6984</v>
      </c>
      <c r="DIV32" t="s">
        <v>6984</v>
      </c>
      <c r="DIW32" t="s">
        <v>6984</v>
      </c>
      <c r="DIX32" t="s">
        <v>6984</v>
      </c>
      <c r="DIY32" t="s">
        <v>6984</v>
      </c>
      <c r="DIZ32" t="s">
        <v>6984</v>
      </c>
      <c r="DJA32" t="s">
        <v>6984</v>
      </c>
      <c r="DJB32" t="s">
        <v>6984</v>
      </c>
      <c r="DJC32" t="s">
        <v>6984</v>
      </c>
      <c r="DJD32" t="s">
        <v>6984</v>
      </c>
      <c r="DJE32" t="s">
        <v>6984</v>
      </c>
      <c r="DJF32" t="s">
        <v>6984</v>
      </c>
      <c r="DJG32" t="s">
        <v>6984</v>
      </c>
      <c r="DJH32" t="s">
        <v>6984</v>
      </c>
      <c r="DJI32" t="s">
        <v>6984</v>
      </c>
      <c r="DJJ32" t="s">
        <v>6984</v>
      </c>
      <c r="DJK32" t="s">
        <v>6984</v>
      </c>
      <c r="DJL32" t="s">
        <v>6984</v>
      </c>
      <c r="DJM32" t="s">
        <v>6984</v>
      </c>
      <c r="DJN32" t="s">
        <v>6984</v>
      </c>
      <c r="DJO32" t="s">
        <v>6984</v>
      </c>
      <c r="DJP32" t="s">
        <v>6984</v>
      </c>
      <c r="DJQ32" t="s">
        <v>6984</v>
      </c>
      <c r="DJR32" t="s">
        <v>6984</v>
      </c>
      <c r="DJS32" t="s">
        <v>6984</v>
      </c>
      <c r="DJT32" t="s">
        <v>6984</v>
      </c>
      <c r="DJU32" t="s">
        <v>6984</v>
      </c>
      <c r="DJV32" t="s">
        <v>6984</v>
      </c>
      <c r="DJW32" t="s">
        <v>6984</v>
      </c>
      <c r="DJX32" t="s">
        <v>6984</v>
      </c>
      <c r="DJY32" t="s">
        <v>6984</v>
      </c>
      <c r="DJZ32" t="s">
        <v>6984</v>
      </c>
      <c r="DKA32" t="s">
        <v>6984</v>
      </c>
      <c r="DKB32" t="s">
        <v>6984</v>
      </c>
      <c r="DKC32" t="s">
        <v>6984</v>
      </c>
      <c r="DKD32" t="s">
        <v>6984</v>
      </c>
      <c r="DKE32" t="s">
        <v>6984</v>
      </c>
      <c r="DKF32" t="s">
        <v>6984</v>
      </c>
      <c r="DKG32" t="s">
        <v>6984</v>
      </c>
      <c r="DKH32" t="s">
        <v>6984</v>
      </c>
      <c r="DKI32" t="s">
        <v>6984</v>
      </c>
      <c r="DKJ32" t="s">
        <v>6984</v>
      </c>
      <c r="DKK32" t="s">
        <v>6984</v>
      </c>
      <c r="DKL32" t="s">
        <v>6984</v>
      </c>
      <c r="DKM32" t="s">
        <v>6984</v>
      </c>
      <c r="DKN32" t="s">
        <v>6984</v>
      </c>
      <c r="DKO32" t="s">
        <v>6984</v>
      </c>
      <c r="DKP32" t="s">
        <v>6984</v>
      </c>
      <c r="DKQ32" t="s">
        <v>6984</v>
      </c>
      <c r="DKR32" t="s">
        <v>6984</v>
      </c>
      <c r="DKS32" t="s">
        <v>6984</v>
      </c>
      <c r="DKT32" t="s">
        <v>6984</v>
      </c>
      <c r="DKU32" t="s">
        <v>6984</v>
      </c>
      <c r="DKV32" t="s">
        <v>6984</v>
      </c>
      <c r="DKW32" t="s">
        <v>6984</v>
      </c>
      <c r="DKX32" t="s">
        <v>6984</v>
      </c>
      <c r="DKY32" t="s">
        <v>6984</v>
      </c>
      <c r="DKZ32" t="s">
        <v>6984</v>
      </c>
      <c r="DLA32" t="s">
        <v>6984</v>
      </c>
      <c r="DLB32" t="s">
        <v>6984</v>
      </c>
      <c r="DLC32" t="s">
        <v>6984</v>
      </c>
      <c r="DLD32" t="s">
        <v>6984</v>
      </c>
      <c r="DLE32" t="s">
        <v>6984</v>
      </c>
      <c r="DLF32" t="s">
        <v>6984</v>
      </c>
      <c r="DLG32" t="s">
        <v>6984</v>
      </c>
      <c r="DLH32" t="s">
        <v>6984</v>
      </c>
      <c r="DLI32" t="s">
        <v>6984</v>
      </c>
      <c r="DLJ32" t="s">
        <v>6984</v>
      </c>
      <c r="DLK32" t="s">
        <v>6984</v>
      </c>
      <c r="DLL32" t="s">
        <v>6984</v>
      </c>
      <c r="DLM32" t="s">
        <v>6984</v>
      </c>
      <c r="DLN32" t="s">
        <v>6984</v>
      </c>
      <c r="DLO32" t="s">
        <v>6984</v>
      </c>
      <c r="DLP32" t="s">
        <v>6984</v>
      </c>
      <c r="DLQ32" t="s">
        <v>6984</v>
      </c>
      <c r="DLR32" t="s">
        <v>6984</v>
      </c>
      <c r="DLS32" t="s">
        <v>6984</v>
      </c>
      <c r="DLT32" t="s">
        <v>6984</v>
      </c>
      <c r="DLU32" t="s">
        <v>6984</v>
      </c>
      <c r="DLV32" t="s">
        <v>6984</v>
      </c>
      <c r="DLW32" t="s">
        <v>6984</v>
      </c>
      <c r="DLX32" t="s">
        <v>6984</v>
      </c>
      <c r="DLY32" t="s">
        <v>6984</v>
      </c>
      <c r="DLZ32" t="s">
        <v>6984</v>
      </c>
      <c r="DMA32" t="s">
        <v>6984</v>
      </c>
      <c r="DMB32" t="s">
        <v>6984</v>
      </c>
      <c r="DMC32" t="s">
        <v>6984</v>
      </c>
      <c r="DMD32" t="s">
        <v>6984</v>
      </c>
      <c r="DME32" t="s">
        <v>6984</v>
      </c>
      <c r="DMF32" t="s">
        <v>6984</v>
      </c>
      <c r="DMG32" t="s">
        <v>6984</v>
      </c>
      <c r="DMH32" t="s">
        <v>6984</v>
      </c>
      <c r="DMI32" t="s">
        <v>6984</v>
      </c>
      <c r="DMJ32" t="s">
        <v>6984</v>
      </c>
      <c r="DMK32" t="s">
        <v>6984</v>
      </c>
      <c r="DML32" t="s">
        <v>6984</v>
      </c>
      <c r="DMM32" t="s">
        <v>6984</v>
      </c>
      <c r="DMN32" t="s">
        <v>6984</v>
      </c>
      <c r="DMO32" t="s">
        <v>6984</v>
      </c>
      <c r="DMP32" t="s">
        <v>6984</v>
      </c>
      <c r="DMQ32" t="s">
        <v>6984</v>
      </c>
      <c r="DMR32" t="s">
        <v>6984</v>
      </c>
      <c r="DMS32" t="s">
        <v>6984</v>
      </c>
      <c r="DMT32" t="s">
        <v>6984</v>
      </c>
      <c r="DMU32" t="s">
        <v>6984</v>
      </c>
      <c r="DMV32" t="s">
        <v>6984</v>
      </c>
      <c r="DMW32" t="s">
        <v>6984</v>
      </c>
      <c r="DMX32" t="s">
        <v>6984</v>
      </c>
      <c r="DMY32" t="s">
        <v>6984</v>
      </c>
      <c r="DMZ32" t="s">
        <v>6984</v>
      </c>
      <c r="DNA32" t="s">
        <v>6984</v>
      </c>
      <c r="DNB32" t="s">
        <v>6984</v>
      </c>
      <c r="DNC32" t="s">
        <v>6984</v>
      </c>
      <c r="DND32" t="s">
        <v>6984</v>
      </c>
      <c r="DNE32" t="s">
        <v>6984</v>
      </c>
      <c r="DNF32" t="s">
        <v>6984</v>
      </c>
      <c r="DNG32" t="s">
        <v>6984</v>
      </c>
      <c r="DNH32" t="s">
        <v>6984</v>
      </c>
      <c r="DNI32" t="s">
        <v>6984</v>
      </c>
      <c r="DNJ32" t="s">
        <v>6984</v>
      </c>
      <c r="DNK32" t="s">
        <v>6984</v>
      </c>
      <c r="DNL32" t="s">
        <v>6984</v>
      </c>
      <c r="DNM32" t="s">
        <v>6984</v>
      </c>
      <c r="DNN32" t="s">
        <v>6984</v>
      </c>
      <c r="DNO32" t="s">
        <v>6984</v>
      </c>
      <c r="DNP32" t="s">
        <v>6984</v>
      </c>
      <c r="DNQ32" t="s">
        <v>6984</v>
      </c>
      <c r="DNR32" t="s">
        <v>6984</v>
      </c>
      <c r="DNS32" t="s">
        <v>6984</v>
      </c>
      <c r="DNT32" t="s">
        <v>6984</v>
      </c>
      <c r="DNU32" t="s">
        <v>6984</v>
      </c>
      <c r="DNV32" t="s">
        <v>6984</v>
      </c>
      <c r="DNW32" t="s">
        <v>6984</v>
      </c>
      <c r="DNX32" t="s">
        <v>6984</v>
      </c>
      <c r="DNY32" t="s">
        <v>6984</v>
      </c>
      <c r="DNZ32" t="s">
        <v>6984</v>
      </c>
      <c r="DOA32" t="s">
        <v>6984</v>
      </c>
      <c r="DOB32" t="s">
        <v>6984</v>
      </c>
      <c r="DOC32" t="s">
        <v>6984</v>
      </c>
      <c r="DOD32" t="s">
        <v>6984</v>
      </c>
      <c r="DOE32" t="s">
        <v>6984</v>
      </c>
      <c r="DOF32" t="s">
        <v>6984</v>
      </c>
      <c r="DOG32" t="s">
        <v>6984</v>
      </c>
      <c r="DOH32" t="s">
        <v>6984</v>
      </c>
      <c r="DOI32" t="s">
        <v>6984</v>
      </c>
      <c r="DOJ32" t="s">
        <v>6984</v>
      </c>
      <c r="DOK32" t="s">
        <v>6984</v>
      </c>
      <c r="DOL32" t="s">
        <v>6984</v>
      </c>
      <c r="DOM32" t="s">
        <v>6984</v>
      </c>
      <c r="DON32" t="s">
        <v>6984</v>
      </c>
      <c r="DOO32" t="s">
        <v>6984</v>
      </c>
      <c r="DOP32" t="s">
        <v>6984</v>
      </c>
      <c r="DOQ32" t="s">
        <v>6984</v>
      </c>
      <c r="DOR32" t="s">
        <v>6984</v>
      </c>
      <c r="DOS32" t="s">
        <v>6984</v>
      </c>
      <c r="DOT32" t="s">
        <v>6984</v>
      </c>
      <c r="DOU32" t="s">
        <v>6984</v>
      </c>
      <c r="DOV32" t="s">
        <v>6984</v>
      </c>
      <c r="DOW32" t="s">
        <v>6984</v>
      </c>
      <c r="DOX32" t="s">
        <v>6984</v>
      </c>
      <c r="DOY32" t="s">
        <v>6984</v>
      </c>
      <c r="DOZ32" t="s">
        <v>6984</v>
      </c>
      <c r="DPA32" t="s">
        <v>6984</v>
      </c>
      <c r="DPB32" t="s">
        <v>6984</v>
      </c>
      <c r="DPC32" t="s">
        <v>6984</v>
      </c>
      <c r="DPD32" t="s">
        <v>6984</v>
      </c>
      <c r="DPE32" t="s">
        <v>6984</v>
      </c>
      <c r="DPF32" t="s">
        <v>6984</v>
      </c>
      <c r="DPG32" t="s">
        <v>6984</v>
      </c>
      <c r="DPH32" t="s">
        <v>6984</v>
      </c>
      <c r="DPI32" t="s">
        <v>6984</v>
      </c>
      <c r="DPJ32" t="s">
        <v>6984</v>
      </c>
      <c r="DPK32" t="s">
        <v>6984</v>
      </c>
      <c r="DPL32" t="s">
        <v>6984</v>
      </c>
      <c r="DPM32" t="s">
        <v>6984</v>
      </c>
      <c r="DPN32" t="s">
        <v>6984</v>
      </c>
      <c r="DPO32" t="s">
        <v>6984</v>
      </c>
      <c r="DPP32" t="s">
        <v>6984</v>
      </c>
      <c r="DPQ32" t="s">
        <v>6984</v>
      </c>
      <c r="DPR32" t="s">
        <v>6984</v>
      </c>
      <c r="DPS32" t="s">
        <v>6984</v>
      </c>
      <c r="DPT32" t="s">
        <v>6984</v>
      </c>
      <c r="DPU32" t="s">
        <v>6984</v>
      </c>
      <c r="DPV32" t="s">
        <v>6984</v>
      </c>
      <c r="DPW32" t="s">
        <v>6984</v>
      </c>
      <c r="DPX32" t="s">
        <v>6984</v>
      </c>
      <c r="DPY32" t="s">
        <v>6984</v>
      </c>
      <c r="DPZ32" t="s">
        <v>6984</v>
      </c>
      <c r="DQA32" t="s">
        <v>6984</v>
      </c>
      <c r="DQB32" t="s">
        <v>6984</v>
      </c>
      <c r="DQC32" t="s">
        <v>6984</v>
      </c>
      <c r="DQD32" t="s">
        <v>6984</v>
      </c>
      <c r="DQE32" t="s">
        <v>6984</v>
      </c>
      <c r="DQF32" t="s">
        <v>6984</v>
      </c>
      <c r="DQG32" t="s">
        <v>6984</v>
      </c>
      <c r="DQH32" t="s">
        <v>6984</v>
      </c>
      <c r="DQI32" t="s">
        <v>6984</v>
      </c>
      <c r="DQJ32" t="s">
        <v>6984</v>
      </c>
      <c r="DQK32" t="s">
        <v>6984</v>
      </c>
      <c r="DQL32" t="s">
        <v>6984</v>
      </c>
      <c r="DQM32" t="s">
        <v>6984</v>
      </c>
      <c r="DQN32" t="s">
        <v>6984</v>
      </c>
      <c r="DQO32" t="s">
        <v>6984</v>
      </c>
      <c r="DQP32" t="s">
        <v>6984</v>
      </c>
      <c r="DQQ32" t="s">
        <v>6984</v>
      </c>
      <c r="DQR32" t="s">
        <v>6984</v>
      </c>
      <c r="DQS32" t="s">
        <v>6984</v>
      </c>
      <c r="DQT32" t="s">
        <v>6984</v>
      </c>
      <c r="DQU32" t="s">
        <v>6984</v>
      </c>
      <c r="DQV32" t="s">
        <v>6984</v>
      </c>
      <c r="DQW32" t="s">
        <v>6984</v>
      </c>
      <c r="DQX32" t="s">
        <v>6984</v>
      </c>
      <c r="DQY32" t="s">
        <v>6984</v>
      </c>
      <c r="DQZ32" t="s">
        <v>6984</v>
      </c>
      <c r="DRA32" t="s">
        <v>6984</v>
      </c>
      <c r="DRB32" t="s">
        <v>6984</v>
      </c>
      <c r="DRC32" t="s">
        <v>6984</v>
      </c>
      <c r="DRD32" t="s">
        <v>6984</v>
      </c>
      <c r="DRE32" t="s">
        <v>6984</v>
      </c>
      <c r="DRF32" t="s">
        <v>6984</v>
      </c>
      <c r="DRG32" t="s">
        <v>6984</v>
      </c>
      <c r="DRH32" t="s">
        <v>6984</v>
      </c>
      <c r="DRI32" t="s">
        <v>6984</v>
      </c>
      <c r="DRJ32" t="s">
        <v>6984</v>
      </c>
      <c r="DRK32" t="s">
        <v>6984</v>
      </c>
      <c r="DRL32" t="s">
        <v>6984</v>
      </c>
      <c r="DRM32" t="s">
        <v>6984</v>
      </c>
      <c r="DRN32" t="s">
        <v>6984</v>
      </c>
      <c r="DRO32" t="s">
        <v>6984</v>
      </c>
      <c r="DRP32" t="s">
        <v>6984</v>
      </c>
      <c r="DRQ32" t="s">
        <v>6984</v>
      </c>
      <c r="DRR32" t="s">
        <v>6984</v>
      </c>
      <c r="DRS32" t="s">
        <v>6984</v>
      </c>
      <c r="DRT32" t="s">
        <v>6984</v>
      </c>
      <c r="DRU32" t="s">
        <v>6984</v>
      </c>
      <c r="DRV32" t="s">
        <v>6984</v>
      </c>
      <c r="DRW32" t="s">
        <v>6984</v>
      </c>
      <c r="DRX32" t="s">
        <v>6984</v>
      </c>
      <c r="DRY32" t="s">
        <v>6984</v>
      </c>
      <c r="DRZ32" t="s">
        <v>6984</v>
      </c>
      <c r="DSA32" t="s">
        <v>6984</v>
      </c>
      <c r="DSB32" t="s">
        <v>6984</v>
      </c>
      <c r="DSC32" t="s">
        <v>6984</v>
      </c>
      <c r="DSD32" t="s">
        <v>6984</v>
      </c>
      <c r="DSE32" t="s">
        <v>6984</v>
      </c>
      <c r="DSF32" t="s">
        <v>6984</v>
      </c>
      <c r="DSG32" t="s">
        <v>6984</v>
      </c>
      <c r="DSH32" t="s">
        <v>6984</v>
      </c>
      <c r="DSI32" t="s">
        <v>6984</v>
      </c>
      <c r="DSJ32" t="s">
        <v>6984</v>
      </c>
      <c r="DSK32" t="s">
        <v>6984</v>
      </c>
      <c r="DSL32" t="s">
        <v>6984</v>
      </c>
      <c r="DSM32" t="s">
        <v>6984</v>
      </c>
      <c r="DSN32" t="s">
        <v>6984</v>
      </c>
      <c r="DSO32" t="s">
        <v>6984</v>
      </c>
      <c r="DSP32" t="s">
        <v>6984</v>
      </c>
      <c r="DSQ32" t="s">
        <v>6984</v>
      </c>
      <c r="DSR32" t="s">
        <v>6984</v>
      </c>
      <c r="DSS32" t="s">
        <v>6984</v>
      </c>
      <c r="DST32" t="s">
        <v>6984</v>
      </c>
      <c r="DSU32" t="s">
        <v>6984</v>
      </c>
      <c r="DSV32" t="s">
        <v>6984</v>
      </c>
      <c r="DSW32" t="s">
        <v>6984</v>
      </c>
      <c r="DSX32" t="s">
        <v>6984</v>
      </c>
      <c r="DSY32" t="s">
        <v>6984</v>
      </c>
      <c r="DSZ32" t="s">
        <v>6984</v>
      </c>
      <c r="DTA32" t="s">
        <v>6984</v>
      </c>
      <c r="DTB32" t="s">
        <v>6984</v>
      </c>
      <c r="DTC32" t="s">
        <v>6984</v>
      </c>
      <c r="DTD32" t="s">
        <v>6984</v>
      </c>
      <c r="DTE32" t="s">
        <v>6984</v>
      </c>
      <c r="DTF32" t="s">
        <v>6984</v>
      </c>
      <c r="DTG32" t="s">
        <v>6984</v>
      </c>
      <c r="DTH32" t="s">
        <v>6984</v>
      </c>
      <c r="DTI32" t="s">
        <v>6984</v>
      </c>
      <c r="DTJ32" t="s">
        <v>6984</v>
      </c>
      <c r="DTK32" t="s">
        <v>6984</v>
      </c>
      <c r="DTL32" t="s">
        <v>6984</v>
      </c>
      <c r="DTM32" t="s">
        <v>6984</v>
      </c>
      <c r="DTN32" t="s">
        <v>6984</v>
      </c>
      <c r="DTO32" t="s">
        <v>6984</v>
      </c>
      <c r="DTP32" t="s">
        <v>6984</v>
      </c>
      <c r="DTQ32" t="s">
        <v>6984</v>
      </c>
      <c r="DTR32" t="s">
        <v>6984</v>
      </c>
      <c r="DTS32" t="s">
        <v>6984</v>
      </c>
      <c r="DTT32" t="s">
        <v>6984</v>
      </c>
      <c r="DTU32" t="s">
        <v>6984</v>
      </c>
      <c r="DTV32" t="s">
        <v>6984</v>
      </c>
      <c r="DTW32" t="s">
        <v>6984</v>
      </c>
      <c r="DTX32" t="s">
        <v>6984</v>
      </c>
      <c r="DTY32" t="s">
        <v>6984</v>
      </c>
      <c r="DTZ32" t="s">
        <v>6984</v>
      </c>
      <c r="DUA32" t="s">
        <v>6984</v>
      </c>
      <c r="DUB32" t="s">
        <v>6984</v>
      </c>
      <c r="DUC32" t="s">
        <v>6984</v>
      </c>
      <c r="DUD32" t="s">
        <v>6984</v>
      </c>
      <c r="DUE32" t="s">
        <v>6984</v>
      </c>
      <c r="DUF32" t="s">
        <v>6984</v>
      </c>
      <c r="DUG32" t="s">
        <v>6984</v>
      </c>
      <c r="DUH32" t="s">
        <v>6984</v>
      </c>
      <c r="DUI32" t="s">
        <v>6984</v>
      </c>
      <c r="DUJ32" t="s">
        <v>6984</v>
      </c>
      <c r="DUK32" t="s">
        <v>6984</v>
      </c>
      <c r="DUL32" t="s">
        <v>6984</v>
      </c>
      <c r="DUM32" t="s">
        <v>6984</v>
      </c>
      <c r="DUN32" t="s">
        <v>6984</v>
      </c>
      <c r="DUO32" t="s">
        <v>6984</v>
      </c>
      <c r="DUP32" t="s">
        <v>6984</v>
      </c>
      <c r="DUQ32" t="s">
        <v>6984</v>
      </c>
      <c r="DUR32" t="s">
        <v>6984</v>
      </c>
      <c r="DUS32" t="s">
        <v>6984</v>
      </c>
      <c r="DUT32" t="s">
        <v>6984</v>
      </c>
      <c r="DUU32" t="s">
        <v>6984</v>
      </c>
      <c r="DUV32" t="s">
        <v>6984</v>
      </c>
      <c r="DUW32" t="s">
        <v>6984</v>
      </c>
      <c r="DUX32" t="s">
        <v>6984</v>
      </c>
      <c r="DUY32" t="s">
        <v>6984</v>
      </c>
      <c r="DUZ32" t="s">
        <v>6984</v>
      </c>
      <c r="DVA32" t="s">
        <v>6984</v>
      </c>
      <c r="DVB32" t="s">
        <v>6984</v>
      </c>
      <c r="DVC32" t="s">
        <v>6984</v>
      </c>
      <c r="DVD32" t="s">
        <v>6984</v>
      </c>
      <c r="DVE32" t="s">
        <v>6984</v>
      </c>
      <c r="DVF32" t="s">
        <v>6984</v>
      </c>
      <c r="DVG32" t="s">
        <v>6984</v>
      </c>
      <c r="DVH32" t="s">
        <v>6984</v>
      </c>
      <c r="DVI32" t="s">
        <v>6984</v>
      </c>
      <c r="DVJ32" t="s">
        <v>6984</v>
      </c>
      <c r="DVK32" t="s">
        <v>6984</v>
      </c>
      <c r="DVL32" t="s">
        <v>6984</v>
      </c>
      <c r="DVM32" t="s">
        <v>6984</v>
      </c>
      <c r="DVN32" t="s">
        <v>6984</v>
      </c>
      <c r="DVO32" t="s">
        <v>6984</v>
      </c>
      <c r="DVP32" t="s">
        <v>6984</v>
      </c>
      <c r="DVQ32" t="s">
        <v>6984</v>
      </c>
      <c r="DVR32" t="s">
        <v>6984</v>
      </c>
      <c r="DVS32" t="s">
        <v>6984</v>
      </c>
      <c r="DVT32" t="s">
        <v>6984</v>
      </c>
      <c r="DVU32" t="s">
        <v>6984</v>
      </c>
      <c r="DVV32" t="s">
        <v>6984</v>
      </c>
      <c r="DVW32" t="s">
        <v>6984</v>
      </c>
      <c r="DVX32" t="s">
        <v>6984</v>
      </c>
      <c r="DVY32" t="s">
        <v>6984</v>
      </c>
      <c r="DVZ32" t="s">
        <v>6984</v>
      </c>
      <c r="DWA32" t="s">
        <v>6984</v>
      </c>
      <c r="DWB32" t="s">
        <v>6984</v>
      </c>
      <c r="DWC32" t="s">
        <v>6984</v>
      </c>
      <c r="DWD32" t="s">
        <v>6984</v>
      </c>
      <c r="DWE32" t="s">
        <v>6984</v>
      </c>
      <c r="DWF32" t="s">
        <v>6984</v>
      </c>
      <c r="DWG32" t="s">
        <v>6984</v>
      </c>
      <c r="DWH32" t="s">
        <v>6984</v>
      </c>
      <c r="DWI32" t="s">
        <v>6984</v>
      </c>
      <c r="DWJ32" t="s">
        <v>6984</v>
      </c>
      <c r="DWK32" t="s">
        <v>6984</v>
      </c>
      <c r="DWL32" t="s">
        <v>6984</v>
      </c>
      <c r="DWM32" t="s">
        <v>6984</v>
      </c>
      <c r="DWN32" t="s">
        <v>6984</v>
      </c>
      <c r="DWO32" t="s">
        <v>6984</v>
      </c>
      <c r="DWP32" t="s">
        <v>6984</v>
      </c>
      <c r="DWQ32" t="s">
        <v>6984</v>
      </c>
      <c r="DWR32" t="s">
        <v>6984</v>
      </c>
      <c r="DWS32" t="s">
        <v>6984</v>
      </c>
      <c r="DWT32" t="s">
        <v>6984</v>
      </c>
      <c r="DWU32" t="s">
        <v>6984</v>
      </c>
      <c r="DWV32" t="s">
        <v>6984</v>
      </c>
      <c r="DWW32" t="s">
        <v>6984</v>
      </c>
      <c r="DWX32" t="s">
        <v>6984</v>
      </c>
      <c r="DWY32" t="s">
        <v>6984</v>
      </c>
      <c r="DWZ32" t="s">
        <v>6984</v>
      </c>
      <c r="DXA32" t="s">
        <v>6984</v>
      </c>
      <c r="DXB32" t="s">
        <v>6984</v>
      </c>
      <c r="DXC32" t="s">
        <v>6984</v>
      </c>
      <c r="DXD32" t="s">
        <v>6984</v>
      </c>
      <c r="DXE32" t="s">
        <v>6984</v>
      </c>
      <c r="DXF32" t="s">
        <v>6984</v>
      </c>
      <c r="DXG32" t="s">
        <v>6984</v>
      </c>
      <c r="DXH32" t="s">
        <v>6984</v>
      </c>
      <c r="DXI32" t="s">
        <v>6984</v>
      </c>
      <c r="DXJ32" t="s">
        <v>6984</v>
      </c>
      <c r="DXK32" t="s">
        <v>6984</v>
      </c>
      <c r="DXL32" t="s">
        <v>6984</v>
      </c>
      <c r="DXM32" t="s">
        <v>6984</v>
      </c>
      <c r="DXN32" t="s">
        <v>6984</v>
      </c>
      <c r="DXO32" t="s">
        <v>6984</v>
      </c>
      <c r="DXP32" t="s">
        <v>6984</v>
      </c>
      <c r="DXQ32" t="s">
        <v>6984</v>
      </c>
      <c r="DXR32" t="s">
        <v>6984</v>
      </c>
      <c r="DXS32" t="s">
        <v>6984</v>
      </c>
      <c r="DXT32" t="s">
        <v>6984</v>
      </c>
      <c r="DXU32" t="s">
        <v>6984</v>
      </c>
      <c r="DXV32" t="s">
        <v>6984</v>
      </c>
      <c r="DXW32" t="s">
        <v>6984</v>
      </c>
      <c r="DXX32" t="s">
        <v>6984</v>
      </c>
      <c r="DXY32" t="s">
        <v>6984</v>
      </c>
      <c r="DXZ32" t="s">
        <v>6984</v>
      </c>
      <c r="DYA32" t="s">
        <v>6984</v>
      </c>
      <c r="DYB32" t="s">
        <v>6984</v>
      </c>
      <c r="DYC32" t="s">
        <v>6984</v>
      </c>
      <c r="DYD32" t="s">
        <v>6984</v>
      </c>
      <c r="DYE32" t="s">
        <v>6984</v>
      </c>
      <c r="DYF32" t="s">
        <v>6984</v>
      </c>
      <c r="DYG32" t="s">
        <v>6984</v>
      </c>
      <c r="DYH32" t="s">
        <v>6984</v>
      </c>
      <c r="DYI32" t="s">
        <v>6984</v>
      </c>
      <c r="DYJ32" t="s">
        <v>6984</v>
      </c>
      <c r="DYK32" t="s">
        <v>6984</v>
      </c>
      <c r="DYL32" t="s">
        <v>6984</v>
      </c>
      <c r="DYM32" t="s">
        <v>6984</v>
      </c>
      <c r="DYN32" t="s">
        <v>6984</v>
      </c>
      <c r="DYO32" t="s">
        <v>6984</v>
      </c>
      <c r="DYP32" t="s">
        <v>6984</v>
      </c>
      <c r="DYQ32" t="s">
        <v>6984</v>
      </c>
      <c r="DYR32" t="s">
        <v>6984</v>
      </c>
      <c r="DYS32" t="s">
        <v>6984</v>
      </c>
      <c r="DYT32" t="s">
        <v>6984</v>
      </c>
      <c r="DYU32" t="s">
        <v>6984</v>
      </c>
      <c r="DYV32" t="s">
        <v>6984</v>
      </c>
      <c r="DYW32" t="s">
        <v>6984</v>
      </c>
      <c r="DYX32" t="s">
        <v>6984</v>
      </c>
      <c r="DYY32" t="s">
        <v>6984</v>
      </c>
      <c r="DYZ32" t="s">
        <v>6984</v>
      </c>
      <c r="DZA32" t="s">
        <v>6984</v>
      </c>
      <c r="DZB32" t="s">
        <v>6984</v>
      </c>
      <c r="DZC32" t="s">
        <v>6984</v>
      </c>
      <c r="DZD32" t="s">
        <v>6984</v>
      </c>
      <c r="DZE32" t="s">
        <v>6984</v>
      </c>
      <c r="DZF32" t="s">
        <v>6984</v>
      </c>
      <c r="DZG32" t="s">
        <v>6984</v>
      </c>
      <c r="DZH32" t="s">
        <v>6984</v>
      </c>
      <c r="DZI32" t="s">
        <v>6984</v>
      </c>
      <c r="DZJ32" t="s">
        <v>6984</v>
      </c>
      <c r="DZK32" t="s">
        <v>6984</v>
      </c>
      <c r="DZL32" t="s">
        <v>6984</v>
      </c>
      <c r="DZM32" t="s">
        <v>6984</v>
      </c>
      <c r="DZN32" t="s">
        <v>6984</v>
      </c>
      <c r="DZO32" t="s">
        <v>6984</v>
      </c>
      <c r="DZP32" t="s">
        <v>6984</v>
      </c>
      <c r="DZQ32" t="s">
        <v>6984</v>
      </c>
      <c r="DZR32" t="s">
        <v>6984</v>
      </c>
      <c r="DZS32" t="s">
        <v>6984</v>
      </c>
      <c r="DZT32" t="s">
        <v>6984</v>
      </c>
      <c r="DZU32" t="s">
        <v>6984</v>
      </c>
      <c r="DZV32" t="s">
        <v>6984</v>
      </c>
      <c r="DZW32" t="s">
        <v>6984</v>
      </c>
      <c r="DZX32" t="s">
        <v>6984</v>
      </c>
      <c r="DZY32" t="s">
        <v>6984</v>
      </c>
      <c r="DZZ32" t="s">
        <v>6984</v>
      </c>
      <c r="EAA32" t="s">
        <v>6984</v>
      </c>
      <c r="EAB32" t="s">
        <v>6984</v>
      </c>
      <c r="EAC32" t="s">
        <v>6984</v>
      </c>
      <c r="EAD32" t="s">
        <v>6984</v>
      </c>
      <c r="EAE32" t="s">
        <v>6984</v>
      </c>
      <c r="EAF32" t="s">
        <v>6984</v>
      </c>
      <c r="EAG32" t="s">
        <v>6984</v>
      </c>
      <c r="EAH32" t="s">
        <v>6984</v>
      </c>
      <c r="EAI32" t="s">
        <v>6984</v>
      </c>
      <c r="EAJ32" t="s">
        <v>6984</v>
      </c>
      <c r="EAK32" t="s">
        <v>6984</v>
      </c>
      <c r="EAL32" t="s">
        <v>6984</v>
      </c>
      <c r="EAM32" t="s">
        <v>6984</v>
      </c>
      <c r="EAN32" t="s">
        <v>6984</v>
      </c>
      <c r="EAO32" t="s">
        <v>6984</v>
      </c>
      <c r="EAP32" t="s">
        <v>6984</v>
      </c>
      <c r="EAQ32" t="s">
        <v>6984</v>
      </c>
      <c r="EAR32" t="s">
        <v>6984</v>
      </c>
      <c r="EAS32" t="s">
        <v>6984</v>
      </c>
      <c r="EAT32" t="s">
        <v>6984</v>
      </c>
      <c r="EAU32" t="s">
        <v>6984</v>
      </c>
      <c r="EAV32" t="s">
        <v>6984</v>
      </c>
      <c r="EAW32" t="s">
        <v>6984</v>
      </c>
      <c r="EAX32" t="s">
        <v>6984</v>
      </c>
      <c r="EAY32" t="s">
        <v>6984</v>
      </c>
      <c r="EAZ32" t="s">
        <v>6984</v>
      </c>
      <c r="EBA32" t="s">
        <v>6984</v>
      </c>
      <c r="EBB32" t="s">
        <v>6984</v>
      </c>
      <c r="EBC32" t="s">
        <v>6984</v>
      </c>
      <c r="EBD32" t="s">
        <v>6984</v>
      </c>
      <c r="EBE32" t="s">
        <v>6984</v>
      </c>
      <c r="EBF32" t="s">
        <v>6984</v>
      </c>
      <c r="EBG32" t="s">
        <v>6984</v>
      </c>
      <c r="EBH32" t="s">
        <v>6984</v>
      </c>
      <c r="EBI32" t="s">
        <v>6984</v>
      </c>
      <c r="EBJ32" t="s">
        <v>6984</v>
      </c>
      <c r="EBK32" t="s">
        <v>6984</v>
      </c>
      <c r="EBL32" t="s">
        <v>6984</v>
      </c>
      <c r="EBM32" t="s">
        <v>6984</v>
      </c>
      <c r="EBN32" t="s">
        <v>6984</v>
      </c>
      <c r="EBO32" t="s">
        <v>6984</v>
      </c>
      <c r="EBP32" t="s">
        <v>6984</v>
      </c>
      <c r="EBQ32" t="s">
        <v>6984</v>
      </c>
      <c r="EBR32" t="s">
        <v>6984</v>
      </c>
      <c r="EBS32" t="s">
        <v>6984</v>
      </c>
      <c r="EBT32" t="s">
        <v>6984</v>
      </c>
      <c r="EBU32" t="s">
        <v>6984</v>
      </c>
      <c r="EBV32" t="s">
        <v>6984</v>
      </c>
      <c r="EBW32" t="s">
        <v>6984</v>
      </c>
      <c r="EBX32" t="s">
        <v>6984</v>
      </c>
      <c r="EBY32" t="s">
        <v>6984</v>
      </c>
      <c r="EBZ32" t="s">
        <v>6984</v>
      </c>
      <c r="ECA32" t="s">
        <v>6984</v>
      </c>
      <c r="ECB32" t="s">
        <v>6984</v>
      </c>
      <c r="ECC32" t="s">
        <v>6984</v>
      </c>
      <c r="ECD32" t="s">
        <v>6984</v>
      </c>
      <c r="ECE32" t="s">
        <v>6984</v>
      </c>
      <c r="ECF32" t="s">
        <v>6984</v>
      </c>
      <c r="ECG32" t="s">
        <v>6984</v>
      </c>
      <c r="ECH32" t="s">
        <v>6984</v>
      </c>
      <c r="ECI32" t="s">
        <v>6984</v>
      </c>
      <c r="ECJ32" t="s">
        <v>6984</v>
      </c>
      <c r="ECK32" t="s">
        <v>6984</v>
      </c>
      <c r="ECL32" t="s">
        <v>6984</v>
      </c>
      <c r="ECM32" t="s">
        <v>6984</v>
      </c>
      <c r="ECN32" t="s">
        <v>6984</v>
      </c>
      <c r="ECO32" t="s">
        <v>6984</v>
      </c>
      <c r="ECP32" t="s">
        <v>6984</v>
      </c>
      <c r="ECQ32" t="s">
        <v>6984</v>
      </c>
      <c r="ECR32" t="s">
        <v>6984</v>
      </c>
      <c r="ECS32" t="s">
        <v>6984</v>
      </c>
      <c r="ECT32" t="s">
        <v>6984</v>
      </c>
      <c r="ECU32" t="s">
        <v>6984</v>
      </c>
      <c r="ECV32" t="s">
        <v>6984</v>
      </c>
      <c r="ECW32" t="s">
        <v>6984</v>
      </c>
      <c r="ECX32" t="s">
        <v>6984</v>
      </c>
      <c r="ECY32" t="s">
        <v>6984</v>
      </c>
      <c r="ECZ32" t="s">
        <v>6984</v>
      </c>
      <c r="EDA32" t="s">
        <v>6984</v>
      </c>
      <c r="EDB32" t="s">
        <v>6984</v>
      </c>
      <c r="EDC32" t="s">
        <v>6984</v>
      </c>
      <c r="EDD32" t="s">
        <v>6984</v>
      </c>
      <c r="EDE32" t="s">
        <v>6984</v>
      </c>
      <c r="EDF32" t="s">
        <v>6984</v>
      </c>
      <c r="EDG32" t="s">
        <v>6984</v>
      </c>
      <c r="EDH32" t="s">
        <v>6984</v>
      </c>
      <c r="EDI32" t="s">
        <v>6984</v>
      </c>
      <c r="EDJ32" t="s">
        <v>6984</v>
      </c>
      <c r="EDK32" t="s">
        <v>6984</v>
      </c>
      <c r="EDL32" t="s">
        <v>6984</v>
      </c>
      <c r="EDM32" t="s">
        <v>6984</v>
      </c>
      <c r="EDN32" t="s">
        <v>6984</v>
      </c>
      <c r="EDO32" t="s">
        <v>6984</v>
      </c>
      <c r="EDP32" t="s">
        <v>6984</v>
      </c>
      <c r="EDQ32" t="s">
        <v>6984</v>
      </c>
      <c r="EDR32" t="s">
        <v>6984</v>
      </c>
      <c r="EDS32" t="s">
        <v>6984</v>
      </c>
      <c r="EDT32" t="s">
        <v>6984</v>
      </c>
      <c r="EDU32" t="s">
        <v>6984</v>
      </c>
      <c r="EDV32" t="s">
        <v>6984</v>
      </c>
      <c r="EDW32" t="s">
        <v>6984</v>
      </c>
      <c r="EDX32" t="s">
        <v>6984</v>
      </c>
      <c r="EDY32" t="s">
        <v>6984</v>
      </c>
      <c r="EDZ32" t="s">
        <v>6984</v>
      </c>
      <c r="EEA32" t="s">
        <v>6984</v>
      </c>
      <c r="EEB32" t="s">
        <v>6984</v>
      </c>
      <c r="EEC32" t="s">
        <v>6984</v>
      </c>
      <c r="EED32" t="s">
        <v>6984</v>
      </c>
      <c r="EEE32" t="s">
        <v>6984</v>
      </c>
      <c r="EEF32" t="s">
        <v>6984</v>
      </c>
      <c r="EEG32" t="s">
        <v>6984</v>
      </c>
      <c r="EEH32" t="s">
        <v>6984</v>
      </c>
      <c r="EEI32" t="s">
        <v>6984</v>
      </c>
      <c r="EEJ32" t="s">
        <v>6984</v>
      </c>
      <c r="EEK32" t="s">
        <v>6984</v>
      </c>
      <c r="EEL32" t="s">
        <v>6984</v>
      </c>
      <c r="EEM32" t="s">
        <v>6984</v>
      </c>
      <c r="EEN32" t="s">
        <v>6984</v>
      </c>
      <c r="EEO32" t="s">
        <v>6984</v>
      </c>
      <c r="EEP32" t="s">
        <v>6984</v>
      </c>
      <c r="EEQ32" t="s">
        <v>6984</v>
      </c>
      <c r="EER32" t="s">
        <v>6984</v>
      </c>
      <c r="EES32" t="s">
        <v>6984</v>
      </c>
      <c r="EET32" t="s">
        <v>6984</v>
      </c>
      <c r="EEU32" t="s">
        <v>6984</v>
      </c>
      <c r="EEV32" t="s">
        <v>6984</v>
      </c>
      <c r="EEW32" t="s">
        <v>6984</v>
      </c>
      <c r="EEX32" t="s">
        <v>6984</v>
      </c>
      <c r="EEY32" t="s">
        <v>6984</v>
      </c>
      <c r="EEZ32" t="s">
        <v>6984</v>
      </c>
      <c r="EFA32" t="s">
        <v>6984</v>
      </c>
      <c r="EFB32" t="s">
        <v>6984</v>
      </c>
      <c r="EFC32" t="s">
        <v>6984</v>
      </c>
      <c r="EFD32" t="s">
        <v>6984</v>
      </c>
      <c r="EFE32" t="s">
        <v>6984</v>
      </c>
      <c r="EFF32" t="s">
        <v>6984</v>
      </c>
      <c r="EFG32" t="s">
        <v>6984</v>
      </c>
      <c r="EFH32" t="s">
        <v>6984</v>
      </c>
      <c r="EFI32" t="s">
        <v>6984</v>
      </c>
      <c r="EFJ32" t="s">
        <v>6984</v>
      </c>
      <c r="EFK32" t="s">
        <v>6984</v>
      </c>
      <c r="EFL32" t="s">
        <v>6984</v>
      </c>
      <c r="EFM32" t="s">
        <v>6984</v>
      </c>
      <c r="EFN32" t="s">
        <v>6984</v>
      </c>
      <c r="EFO32" t="s">
        <v>6984</v>
      </c>
      <c r="EFP32" t="s">
        <v>6984</v>
      </c>
      <c r="EFQ32" t="s">
        <v>6984</v>
      </c>
      <c r="EFR32" t="s">
        <v>6984</v>
      </c>
      <c r="EFS32" t="s">
        <v>6984</v>
      </c>
      <c r="EFT32" t="s">
        <v>6984</v>
      </c>
      <c r="EFU32" t="s">
        <v>6984</v>
      </c>
      <c r="EFV32" t="s">
        <v>6984</v>
      </c>
      <c r="EFW32" t="s">
        <v>6984</v>
      </c>
      <c r="EFX32" t="s">
        <v>6984</v>
      </c>
      <c r="EFY32" t="s">
        <v>6984</v>
      </c>
      <c r="EFZ32" t="s">
        <v>6984</v>
      </c>
      <c r="EGA32" t="s">
        <v>6984</v>
      </c>
      <c r="EGB32" t="s">
        <v>6984</v>
      </c>
      <c r="EGC32" t="s">
        <v>6984</v>
      </c>
      <c r="EGD32" t="s">
        <v>6984</v>
      </c>
      <c r="EGE32" t="s">
        <v>6984</v>
      </c>
      <c r="EGF32" t="s">
        <v>6984</v>
      </c>
      <c r="EGG32" t="s">
        <v>6984</v>
      </c>
      <c r="EGH32" t="s">
        <v>6984</v>
      </c>
      <c r="EGI32" t="s">
        <v>6984</v>
      </c>
      <c r="EGJ32" t="s">
        <v>6984</v>
      </c>
      <c r="EGK32" t="s">
        <v>6984</v>
      </c>
      <c r="EGL32" t="s">
        <v>6984</v>
      </c>
      <c r="EGM32" t="s">
        <v>6984</v>
      </c>
      <c r="EGN32" t="s">
        <v>6984</v>
      </c>
      <c r="EGO32" t="s">
        <v>6984</v>
      </c>
      <c r="EGP32" t="s">
        <v>6984</v>
      </c>
      <c r="EGQ32" t="s">
        <v>6984</v>
      </c>
      <c r="EGR32" t="s">
        <v>6984</v>
      </c>
      <c r="EGS32" t="s">
        <v>6984</v>
      </c>
      <c r="EGT32" t="s">
        <v>6984</v>
      </c>
      <c r="EGU32" t="s">
        <v>6984</v>
      </c>
      <c r="EGV32" t="s">
        <v>6984</v>
      </c>
      <c r="EGW32" t="s">
        <v>6984</v>
      </c>
      <c r="EGX32" t="s">
        <v>6984</v>
      </c>
      <c r="EGY32" t="s">
        <v>6984</v>
      </c>
      <c r="EGZ32" t="s">
        <v>6984</v>
      </c>
      <c r="EHA32" t="s">
        <v>6984</v>
      </c>
      <c r="EHB32" t="s">
        <v>6984</v>
      </c>
      <c r="EHC32" t="s">
        <v>6984</v>
      </c>
      <c r="EHD32" t="s">
        <v>6984</v>
      </c>
      <c r="EHE32" t="s">
        <v>6984</v>
      </c>
      <c r="EHF32" t="s">
        <v>6984</v>
      </c>
      <c r="EHG32" t="s">
        <v>6984</v>
      </c>
      <c r="EHH32" t="s">
        <v>6984</v>
      </c>
      <c r="EHI32" t="s">
        <v>6984</v>
      </c>
      <c r="EHJ32" t="s">
        <v>6984</v>
      </c>
      <c r="EHK32" t="s">
        <v>6984</v>
      </c>
      <c r="EHL32" t="s">
        <v>6984</v>
      </c>
      <c r="EHM32" t="s">
        <v>6984</v>
      </c>
      <c r="EHN32" t="s">
        <v>6984</v>
      </c>
      <c r="EHO32" t="s">
        <v>6984</v>
      </c>
      <c r="EHP32" t="s">
        <v>6984</v>
      </c>
      <c r="EHQ32" t="s">
        <v>6984</v>
      </c>
      <c r="EHR32" t="s">
        <v>6984</v>
      </c>
      <c r="EHS32" t="s">
        <v>6984</v>
      </c>
      <c r="EHT32" t="s">
        <v>6984</v>
      </c>
      <c r="EHU32" t="s">
        <v>6984</v>
      </c>
      <c r="EHV32" t="s">
        <v>6984</v>
      </c>
      <c r="EHW32" t="s">
        <v>6984</v>
      </c>
      <c r="EHX32" t="s">
        <v>6984</v>
      </c>
      <c r="EHY32" t="s">
        <v>6984</v>
      </c>
      <c r="EHZ32" t="s">
        <v>6984</v>
      </c>
      <c r="EIA32" t="s">
        <v>6984</v>
      </c>
      <c r="EIB32" t="s">
        <v>6984</v>
      </c>
      <c r="EIC32" t="s">
        <v>6984</v>
      </c>
      <c r="EID32" t="s">
        <v>6984</v>
      </c>
      <c r="EIE32" t="s">
        <v>6984</v>
      </c>
      <c r="EIF32" t="s">
        <v>6984</v>
      </c>
      <c r="EIG32" t="s">
        <v>6984</v>
      </c>
      <c r="EIH32" t="s">
        <v>6984</v>
      </c>
      <c r="EII32" t="s">
        <v>6984</v>
      </c>
      <c r="EIJ32" t="s">
        <v>6984</v>
      </c>
      <c r="EIK32" t="s">
        <v>6984</v>
      </c>
      <c r="EIL32" t="s">
        <v>6984</v>
      </c>
      <c r="EIM32" t="s">
        <v>6984</v>
      </c>
      <c r="EIN32" t="s">
        <v>6984</v>
      </c>
      <c r="EIO32" t="s">
        <v>6984</v>
      </c>
      <c r="EIP32" t="s">
        <v>6984</v>
      </c>
      <c r="EIQ32" t="s">
        <v>6984</v>
      </c>
      <c r="EIR32" t="s">
        <v>6984</v>
      </c>
      <c r="EIS32" t="s">
        <v>6984</v>
      </c>
      <c r="EIT32" t="s">
        <v>6984</v>
      </c>
      <c r="EIU32" t="s">
        <v>6984</v>
      </c>
      <c r="EIV32" t="s">
        <v>6984</v>
      </c>
      <c r="EIW32" t="s">
        <v>6984</v>
      </c>
      <c r="EIX32" t="s">
        <v>6984</v>
      </c>
      <c r="EIY32" t="s">
        <v>6984</v>
      </c>
      <c r="EIZ32" t="s">
        <v>6984</v>
      </c>
      <c r="EJA32" t="s">
        <v>6984</v>
      </c>
      <c r="EJB32" t="s">
        <v>6984</v>
      </c>
      <c r="EJC32" t="s">
        <v>6984</v>
      </c>
      <c r="EJD32" t="s">
        <v>6984</v>
      </c>
      <c r="EJE32" t="s">
        <v>6984</v>
      </c>
      <c r="EJF32" t="s">
        <v>6984</v>
      </c>
      <c r="EJG32" t="s">
        <v>6984</v>
      </c>
      <c r="EJH32" t="s">
        <v>6984</v>
      </c>
      <c r="EJI32" t="s">
        <v>6984</v>
      </c>
      <c r="EJJ32" t="s">
        <v>6984</v>
      </c>
      <c r="EJK32" t="s">
        <v>6984</v>
      </c>
      <c r="EJL32" t="s">
        <v>6984</v>
      </c>
      <c r="EJM32" t="s">
        <v>6984</v>
      </c>
      <c r="EJN32" t="s">
        <v>6984</v>
      </c>
      <c r="EJO32" t="s">
        <v>6984</v>
      </c>
      <c r="EJP32" t="s">
        <v>6984</v>
      </c>
      <c r="EJQ32" t="s">
        <v>6984</v>
      </c>
      <c r="EJR32" t="s">
        <v>6984</v>
      </c>
      <c r="EJS32" t="s">
        <v>6984</v>
      </c>
      <c r="EJT32" t="s">
        <v>6984</v>
      </c>
      <c r="EJU32" t="s">
        <v>6984</v>
      </c>
      <c r="EJV32" t="s">
        <v>6984</v>
      </c>
      <c r="EJW32" t="s">
        <v>6984</v>
      </c>
      <c r="EJX32" t="s">
        <v>6984</v>
      </c>
      <c r="EJY32" t="s">
        <v>6984</v>
      </c>
      <c r="EJZ32" t="s">
        <v>6984</v>
      </c>
      <c r="EKA32" t="s">
        <v>6984</v>
      </c>
      <c r="EKB32" t="s">
        <v>6984</v>
      </c>
      <c r="EKC32" t="s">
        <v>6984</v>
      </c>
      <c r="EKD32" t="s">
        <v>6984</v>
      </c>
      <c r="EKE32" t="s">
        <v>6984</v>
      </c>
      <c r="EKF32" t="s">
        <v>6984</v>
      </c>
      <c r="EKG32" t="s">
        <v>6984</v>
      </c>
      <c r="EKH32" t="s">
        <v>6984</v>
      </c>
      <c r="EKI32" t="s">
        <v>6984</v>
      </c>
      <c r="EKJ32" t="s">
        <v>6984</v>
      </c>
      <c r="EKK32" t="s">
        <v>6984</v>
      </c>
      <c r="EKL32" t="s">
        <v>6984</v>
      </c>
      <c r="EKM32" t="s">
        <v>6984</v>
      </c>
      <c r="EKN32" t="s">
        <v>6984</v>
      </c>
      <c r="EKO32" t="s">
        <v>6984</v>
      </c>
      <c r="EKP32" t="s">
        <v>6984</v>
      </c>
      <c r="EKQ32" t="s">
        <v>6984</v>
      </c>
      <c r="EKR32" t="s">
        <v>6984</v>
      </c>
      <c r="EKS32" t="s">
        <v>6984</v>
      </c>
      <c r="EKT32" t="s">
        <v>6984</v>
      </c>
      <c r="EKU32" t="s">
        <v>6984</v>
      </c>
      <c r="EKV32" t="s">
        <v>6984</v>
      </c>
      <c r="EKW32" t="s">
        <v>6984</v>
      </c>
      <c r="EKX32" t="s">
        <v>6984</v>
      </c>
      <c r="EKY32" t="s">
        <v>6984</v>
      </c>
      <c r="EKZ32" t="s">
        <v>6984</v>
      </c>
      <c r="ELA32" t="s">
        <v>6984</v>
      </c>
      <c r="ELB32" t="s">
        <v>6984</v>
      </c>
      <c r="ELC32" t="s">
        <v>6984</v>
      </c>
      <c r="ELD32" t="s">
        <v>6984</v>
      </c>
      <c r="ELE32" t="s">
        <v>6984</v>
      </c>
      <c r="ELF32" t="s">
        <v>6984</v>
      </c>
      <c r="ELG32" t="s">
        <v>6984</v>
      </c>
      <c r="ELH32" t="s">
        <v>6984</v>
      </c>
      <c r="ELI32" t="s">
        <v>6984</v>
      </c>
      <c r="ELJ32" t="s">
        <v>6984</v>
      </c>
      <c r="ELK32" t="s">
        <v>6984</v>
      </c>
      <c r="ELL32" t="s">
        <v>6984</v>
      </c>
      <c r="ELM32" t="s">
        <v>6984</v>
      </c>
      <c r="ELN32" t="s">
        <v>6984</v>
      </c>
      <c r="ELO32" t="s">
        <v>6984</v>
      </c>
      <c r="ELP32" t="s">
        <v>6984</v>
      </c>
      <c r="ELQ32" t="s">
        <v>6984</v>
      </c>
      <c r="ELR32" t="s">
        <v>6984</v>
      </c>
      <c r="ELS32" t="s">
        <v>6984</v>
      </c>
      <c r="ELT32" t="s">
        <v>6984</v>
      </c>
      <c r="ELU32" t="s">
        <v>6984</v>
      </c>
      <c r="ELV32" t="s">
        <v>6984</v>
      </c>
      <c r="ELW32" t="s">
        <v>6984</v>
      </c>
      <c r="ELX32" t="s">
        <v>6984</v>
      </c>
      <c r="ELY32" t="s">
        <v>6984</v>
      </c>
      <c r="ELZ32" t="s">
        <v>6984</v>
      </c>
      <c r="EMA32" t="s">
        <v>6984</v>
      </c>
      <c r="EMB32" t="s">
        <v>6984</v>
      </c>
      <c r="EMC32" t="s">
        <v>6984</v>
      </c>
      <c r="EMD32" t="s">
        <v>6984</v>
      </c>
      <c r="EME32" t="s">
        <v>6984</v>
      </c>
      <c r="EMF32" t="s">
        <v>6984</v>
      </c>
      <c r="EMG32" t="s">
        <v>6984</v>
      </c>
      <c r="EMH32" t="s">
        <v>6984</v>
      </c>
      <c r="EMI32" t="s">
        <v>6984</v>
      </c>
      <c r="EMJ32" t="s">
        <v>6984</v>
      </c>
      <c r="EMK32" t="s">
        <v>6984</v>
      </c>
      <c r="EML32" t="s">
        <v>6984</v>
      </c>
      <c r="EMM32" t="s">
        <v>6984</v>
      </c>
      <c r="EMN32" t="s">
        <v>6984</v>
      </c>
      <c r="EMO32" t="s">
        <v>6984</v>
      </c>
      <c r="EMP32" t="s">
        <v>6984</v>
      </c>
      <c r="EMQ32" t="s">
        <v>6984</v>
      </c>
      <c r="EMR32" t="s">
        <v>6984</v>
      </c>
      <c r="EMS32" t="s">
        <v>6984</v>
      </c>
      <c r="EMT32" t="s">
        <v>6984</v>
      </c>
      <c r="EMU32" t="s">
        <v>6984</v>
      </c>
      <c r="EMV32" t="s">
        <v>6984</v>
      </c>
      <c r="EMW32" t="s">
        <v>6984</v>
      </c>
      <c r="EMX32" t="s">
        <v>6984</v>
      </c>
      <c r="EMY32" t="s">
        <v>6984</v>
      </c>
      <c r="EMZ32" t="s">
        <v>6984</v>
      </c>
      <c r="ENA32" t="s">
        <v>6984</v>
      </c>
      <c r="ENB32" t="s">
        <v>6984</v>
      </c>
      <c r="ENC32" t="s">
        <v>6984</v>
      </c>
      <c r="END32" t="s">
        <v>6984</v>
      </c>
      <c r="ENE32" t="s">
        <v>6984</v>
      </c>
      <c r="ENF32" t="s">
        <v>6984</v>
      </c>
      <c r="ENG32" t="s">
        <v>6984</v>
      </c>
      <c r="ENH32" t="s">
        <v>6984</v>
      </c>
      <c r="ENI32" t="s">
        <v>6984</v>
      </c>
      <c r="ENJ32" t="s">
        <v>6984</v>
      </c>
      <c r="ENK32" t="s">
        <v>6984</v>
      </c>
      <c r="ENL32" t="s">
        <v>6984</v>
      </c>
      <c r="ENM32" t="s">
        <v>6984</v>
      </c>
      <c r="ENN32" t="s">
        <v>6984</v>
      </c>
      <c r="ENO32" t="s">
        <v>6984</v>
      </c>
      <c r="ENP32" t="s">
        <v>6984</v>
      </c>
      <c r="ENQ32" t="s">
        <v>6984</v>
      </c>
      <c r="ENR32" t="s">
        <v>6984</v>
      </c>
      <c r="ENS32" t="s">
        <v>6984</v>
      </c>
      <c r="ENT32" t="s">
        <v>6984</v>
      </c>
      <c r="ENU32" t="s">
        <v>6984</v>
      </c>
      <c r="ENV32" t="s">
        <v>6984</v>
      </c>
      <c r="ENW32" t="s">
        <v>6984</v>
      </c>
      <c r="ENX32" t="s">
        <v>6984</v>
      </c>
      <c r="ENY32" t="s">
        <v>6984</v>
      </c>
      <c r="ENZ32" t="s">
        <v>6984</v>
      </c>
      <c r="EOA32" t="s">
        <v>6984</v>
      </c>
      <c r="EOB32" t="s">
        <v>6984</v>
      </c>
      <c r="EOC32" t="s">
        <v>6984</v>
      </c>
      <c r="EOD32" t="s">
        <v>6984</v>
      </c>
      <c r="EOE32" t="s">
        <v>6984</v>
      </c>
      <c r="EOF32" t="s">
        <v>6984</v>
      </c>
      <c r="EOG32" t="s">
        <v>6984</v>
      </c>
      <c r="EOH32" t="s">
        <v>6984</v>
      </c>
      <c r="EOI32" t="s">
        <v>6984</v>
      </c>
      <c r="EOJ32" t="s">
        <v>6984</v>
      </c>
      <c r="EOK32" t="s">
        <v>6984</v>
      </c>
      <c r="EOL32" t="s">
        <v>6984</v>
      </c>
      <c r="EOM32" t="s">
        <v>6984</v>
      </c>
      <c r="EON32" t="s">
        <v>6984</v>
      </c>
      <c r="EOO32" t="s">
        <v>6984</v>
      </c>
      <c r="EOP32" t="s">
        <v>6984</v>
      </c>
      <c r="EOQ32" t="s">
        <v>6984</v>
      </c>
      <c r="EOR32" t="s">
        <v>6984</v>
      </c>
      <c r="EOS32" t="s">
        <v>6984</v>
      </c>
      <c r="EOT32" t="s">
        <v>6984</v>
      </c>
      <c r="EOU32" t="s">
        <v>6984</v>
      </c>
      <c r="EOV32" t="s">
        <v>6984</v>
      </c>
      <c r="EOW32" t="s">
        <v>6984</v>
      </c>
      <c r="EOX32" t="s">
        <v>6984</v>
      </c>
      <c r="EOY32" t="s">
        <v>6984</v>
      </c>
      <c r="EOZ32" t="s">
        <v>6984</v>
      </c>
      <c r="EPA32" t="s">
        <v>6984</v>
      </c>
      <c r="EPB32" t="s">
        <v>6984</v>
      </c>
      <c r="EPC32" t="s">
        <v>6984</v>
      </c>
      <c r="EPD32" t="s">
        <v>6984</v>
      </c>
      <c r="EPE32" t="s">
        <v>6984</v>
      </c>
      <c r="EPF32" t="s">
        <v>6984</v>
      </c>
      <c r="EPG32" t="s">
        <v>6984</v>
      </c>
      <c r="EPH32" t="s">
        <v>6984</v>
      </c>
      <c r="EPI32" t="s">
        <v>6984</v>
      </c>
      <c r="EPJ32" t="s">
        <v>6984</v>
      </c>
      <c r="EPK32" t="s">
        <v>6984</v>
      </c>
      <c r="EPL32" t="s">
        <v>6984</v>
      </c>
      <c r="EPM32" t="s">
        <v>6984</v>
      </c>
      <c r="EPN32" t="s">
        <v>6984</v>
      </c>
      <c r="EPO32" t="s">
        <v>6984</v>
      </c>
      <c r="EPP32" t="s">
        <v>6984</v>
      </c>
      <c r="EPQ32" t="s">
        <v>6984</v>
      </c>
      <c r="EPR32" t="s">
        <v>6984</v>
      </c>
      <c r="EPS32" t="s">
        <v>6984</v>
      </c>
      <c r="EPT32" t="s">
        <v>6984</v>
      </c>
      <c r="EPU32" t="s">
        <v>6984</v>
      </c>
      <c r="EPV32" t="s">
        <v>6984</v>
      </c>
      <c r="EPW32" t="s">
        <v>6984</v>
      </c>
      <c r="EPX32" t="s">
        <v>6984</v>
      </c>
      <c r="EPY32" t="s">
        <v>6984</v>
      </c>
      <c r="EPZ32" t="s">
        <v>6984</v>
      </c>
      <c r="EQA32" t="s">
        <v>6984</v>
      </c>
      <c r="EQB32" t="s">
        <v>6984</v>
      </c>
      <c r="EQC32" t="s">
        <v>6984</v>
      </c>
      <c r="EQD32" t="s">
        <v>6984</v>
      </c>
      <c r="EQE32" t="s">
        <v>6984</v>
      </c>
      <c r="EQF32" t="s">
        <v>6984</v>
      </c>
      <c r="EQG32" t="s">
        <v>6984</v>
      </c>
      <c r="EQH32" t="s">
        <v>6984</v>
      </c>
      <c r="EQI32" t="s">
        <v>6984</v>
      </c>
      <c r="EQJ32" t="s">
        <v>6984</v>
      </c>
      <c r="EQK32" t="s">
        <v>6984</v>
      </c>
      <c r="EQL32" t="s">
        <v>6984</v>
      </c>
      <c r="EQM32" t="s">
        <v>6984</v>
      </c>
      <c r="EQN32" t="s">
        <v>6984</v>
      </c>
      <c r="EQO32" t="s">
        <v>6984</v>
      </c>
      <c r="EQP32" t="s">
        <v>6984</v>
      </c>
      <c r="EQQ32" t="s">
        <v>6984</v>
      </c>
      <c r="EQR32" t="s">
        <v>6984</v>
      </c>
      <c r="EQS32" t="s">
        <v>6984</v>
      </c>
      <c r="EQT32" t="s">
        <v>6984</v>
      </c>
      <c r="EQU32" t="s">
        <v>6984</v>
      </c>
      <c r="EQV32" t="s">
        <v>6984</v>
      </c>
      <c r="EQW32" t="s">
        <v>6984</v>
      </c>
      <c r="EQX32" t="s">
        <v>6984</v>
      </c>
      <c r="EQY32" t="s">
        <v>6984</v>
      </c>
      <c r="EQZ32" t="s">
        <v>6984</v>
      </c>
      <c r="ERA32" t="s">
        <v>6984</v>
      </c>
      <c r="ERB32" t="s">
        <v>6984</v>
      </c>
      <c r="ERC32" t="s">
        <v>6984</v>
      </c>
      <c r="ERD32" t="s">
        <v>6984</v>
      </c>
      <c r="ERE32" t="s">
        <v>6984</v>
      </c>
      <c r="ERF32" t="s">
        <v>6984</v>
      </c>
      <c r="ERG32" t="s">
        <v>6984</v>
      </c>
      <c r="ERH32" t="s">
        <v>6984</v>
      </c>
      <c r="ERI32" t="s">
        <v>6984</v>
      </c>
      <c r="ERJ32" t="s">
        <v>6984</v>
      </c>
      <c r="ERK32" t="s">
        <v>6984</v>
      </c>
      <c r="ERL32" t="s">
        <v>6984</v>
      </c>
      <c r="ERM32" t="s">
        <v>6984</v>
      </c>
      <c r="ERN32" t="s">
        <v>6984</v>
      </c>
      <c r="ERO32" t="s">
        <v>6984</v>
      </c>
      <c r="ERP32" t="s">
        <v>6984</v>
      </c>
      <c r="ERQ32" t="s">
        <v>6984</v>
      </c>
      <c r="ERR32" t="s">
        <v>6984</v>
      </c>
      <c r="ERS32" t="s">
        <v>6984</v>
      </c>
      <c r="ERT32" t="s">
        <v>6984</v>
      </c>
      <c r="ERU32" t="s">
        <v>6984</v>
      </c>
      <c r="ERV32" t="s">
        <v>6984</v>
      </c>
      <c r="ERW32" t="s">
        <v>6984</v>
      </c>
      <c r="ERX32" t="s">
        <v>6984</v>
      </c>
      <c r="ERY32" t="s">
        <v>6984</v>
      </c>
      <c r="ERZ32" t="s">
        <v>6984</v>
      </c>
      <c r="ESA32" t="s">
        <v>6984</v>
      </c>
      <c r="ESB32" t="s">
        <v>6984</v>
      </c>
      <c r="ESC32" t="s">
        <v>6984</v>
      </c>
      <c r="ESD32" t="s">
        <v>6984</v>
      </c>
      <c r="ESE32" t="s">
        <v>6984</v>
      </c>
      <c r="ESF32" t="s">
        <v>6984</v>
      </c>
      <c r="ESG32" t="s">
        <v>6984</v>
      </c>
      <c r="ESH32" t="s">
        <v>6984</v>
      </c>
      <c r="ESI32" t="s">
        <v>6984</v>
      </c>
      <c r="ESJ32" t="s">
        <v>6984</v>
      </c>
      <c r="ESK32" t="s">
        <v>6984</v>
      </c>
      <c r="ESL32" t="s">
        <v>6984</v>
      </c>
      <c r="ESM32" t="s">
        <v>6984</v>
      </c>
      <c r="ESN32" t="s">
        <v>6984</v>
      </c>
      <c r="ESO32" t="s">
        <v>6984</v>
      </c>
      <c r="ESP32" t="s">
        <v>6984</v>
      </c>
      <c r="ESQ32" t="s">
        <v>6984</v>
      </c>
      <c r="ESR32" t="s">
        <v>6984</v>
      </c>
      <c r="ESS32" t="s">
        <v>6984</v>
      </c>
      <c r="EST32" t="s">
        <v>6984</v>
      </c>
      <c r="ESU32" t="s">
        <v>6984</v>
      </c>
      <c r="ESV32" t="s">
        <v>6984</v>
      </c>
      <c r="ESW32" t="s">
        <v>6984</v>
      </c>
      <c r="ESX32" t="s">
        <v>6984</v>
      </c>
      <c r="ESY32" t="s">
        <v>6984</v>
      </c>
      <c r="ESZ32" t="s">
        <v>6984</v>
      </c>
      <c r="ETA32" t="s">
        <v>6984</v>
      </c>
      <c r="ETB32" t="s">
        <v>6984</v>
      </c>
      <c r="ETC32" t="s">
        <v>6984</v>
      </c>
      <c r="ETD32" t="s">
        <v>6984</v>
      </c>
      <c r="ETE32" t="s">
        <v>6984</v>
      </c>
      <c r="ETF32" t="s">
        <v>6984</v>
      </c>
      <c r="ETG32" t="s">
        <v>6984</v>
      </c>
      <c r="ETH32" t="s">
        <v>6984</v>
      </c>
      <c r="ETI32" t="s">
        <v>6984</v>
      </c>
      <c r="ETJ32" t="s">
        <v>6984</v>
      </c>
      <c r="ETK32" t="s">
        <v>6984</v>
      </c>
      <c r="ETL32" t="s">
        <v>6984</v>
      </c>
      <c r="ETM32" t="s">
        <v>6984</v>
      </c>
      <c r="ETN32" t="s">
        <v>6984</v>
      </c>
      <c r="ETO32" t="s">
        <v>6984</v>
      </c>
      <c r="ETP32" t="s">
        <v>6984</v>
      </c>
      <c r="ETQ32" t="s">
        <v>6984</v>
      </c>
      <c r="ETR32" t="s">
        <v>6984</v>
      </c>
      <c r="ETS32" t="s">
        <v>6984</v>
      </c>
      <c r="ETT32" t="s">
        <v>6984</v>
      </c>
      <c r="ETU32" t="s">
        <v>6984</v>
      </c>
      <c r="ETV32" t="s">
        <v>6984</v>
      </c>
      <c r="ETW32" t="s">
        <v>6984</v>
      </c>
      <c r="ETX32" t="s">
        <v>6984</v>
      </c>
      <c r="ETY32" t="s">
        <v>6984</v>
      </c>
      <c r="ETZ32" t="s">
        <v>6984</v>
      </c>
      <c r="EUA32" t="s">
        <v>6984</v>
      </c>
      <c r="EUB32" t="s">
        <v>6984</v>
      </c>
      <c r="EUC32" t="s">
        <v>6984</v>
      </c>
      <c r="EUD32" t="s">
        <v>6984</v>
      </c>
      <c r="EUE32" t="s">
        <v>6984</v>
      </c>
      <c r="EUF32" t="s">
        <v>6984</v>
      </c>
      <c r="EUG32" t="s">
        <v>6984</v>
      </c>
      <c r="EUH32" t="s">
        <v>6984</v>
      </c>
      <c r="EUI32" t="s">
        <v>6984</v>
      </c>
      <c r="EUJ32" t="s">
        <v>6984</v>
      </c>
      <c r="EUK32" t="s">
        <v>6984</v>
      </c>
      <c r="EUL32" t="s">
        <v>6984</v>
      </c>
      <c r="EUM32" t="s">
        <v>6984</v>
      </c>
      <c r="EUN32" t="s">
        <v>6984</v>
      </c>
      <c r="EUO32" t="s">
        <v>6984</v>
      </c>
      <c r="EUP32" t="s">
        <v>6984</v>
      </c>
      <c r="EUQ32" t="s">
        <v>6984</v>
      </c>
      <c r="EUR32" t="s">
        <v>6984</v>
      </c>
      <c r="EUS32" t="s">
        <v>6984</v>
      </c>
      <c r="EUT32" t="s">
        <v>6984</v>
      </c>
      <c r="EUU32" t="s">
        <v>6984</v>
      </c>
      <c r="EUV32" t="s">
        <v>6984</v>
      </c>
      <c r="EUW32" t="s">
        <v>6984</v>
      </c>
      <c r="EUX32" t="s">
        <v>6984</v>
      </c>
      <c r="EUY32" t="s">
        <v>6984</v>
      </c>
      <c r="EUZ32" t="s">
        <v>6984</v>
      </c>
      <c r="EVA32" t="s">
        <v>6984</v>
      </c>
      <c r="EVB32" t="s">
        <v>6984</v>
      </c>
      <c r="EVC32" t="s">
        <v>6984</v>
      </c>
      <c r="EVD32" t="s">
        <v>6984</v>
      </c>
      <c r="EVE32" t="s">
        <v>6984</v>
      </c>
      <c r="EVF32" t="s">
        <v>6984</v>
      </c>
      <c r="EVG32" t="s">
        <v>6984</v>
      </c>
      <c r="EVH32" t="s">
        <v>6984</v>
      </c>
      <c r="EVI32" t="s">
        <v>6984</v>
      </c>
      <c r="EVJ32" t="s">
        <v>6984</v>
      </c>
      <c r="EVK32" t="s">
        <v>6984</v>
      </c>
      <c r="EVL32" t="s">
        <v>6984</v>
      </c>
      <c r="EVM32" t="s">
        <v>6984</v>
      </c>
      <c r="EVN32" t="s">
        <v>6984</v>
      </c>
      <c r="EVO32" t="s">
        <v>6984</v>
      </c>
      <c r="EVP32" t="s">
        <v>6984</v>
      </c>
      <c r="EVQ32" t="s">
        <v>6984</v>
      </c>
      <c r="EVR32" t="s">
        <v>6984</v>
      </c>
      <c r="EVS32" t="s">
        <v>6984</v>
      </c>
      <c r="EVT32" t="s">
        <v>6984</v>
      </c>
      <c r="EVU32" t="s">
        <v>6984</v>
      </c>
      <c r="EVV32" t="s">
        <v>6984</v>
      </c>
      <c r="EVW32" t="s">
        <v>6984</v>
      </c>
      <c r="EVX32" t="s">
        <v>6984</v>
      </c>
      <c r="EVY32" t="s">
        <v>6984</v>
      </c>
      <c r="EVZ32" t="s">
        <v>6984</v>
      </c>
      <c r="EWA32" t="s">
        <v>6984</v>
      </c>
      <c r="EWB32" t="s">
        <v>6984</v>
      </c>
      <c r="EWC32" t="s">
        <v>6984</v>
      </c>
      <c r="EWD32" t="s">
        <v>6984</v>
      </c>
      <c r="EWE32" t="s">
        <v>6984</v>
      </c>
      <c r="EWF32" t="s">
        <v>6984</v>
      </c>
      <c r="EWG32" t="s">
        <v>6984</v>
      </c>
      <c r="EWH32" t="s">
        <v>6984</v>
      </c>
      <c r="EWI32" t="s">
        <v>6984</v>
      </c>
      <c r="EWJ32" t="s">
        <v>6984</v>
      </c>
      <c r="EWK32" t="s">
        <v>6984</v>
      </c>
      <c r="EWL32" t="s">
        <v>6984</v>
      </c>
      <c r="EWM32" t="s">
        <v>6984</v>
      </c>
      <c r="EWN32" t="s">
        <v>6984</v>
      </c>
      <c r="EWO32" t="s">
        <v>6984</v>
      </c>
      <c r="EWP32" t="s">
        <v>6984</v>
      </c>
      <c r="EWQ32" t="s">
        <v>6984</v>
      </c>
      <c r="EWR32" t="s">
        <v>6984</v>
      </c>
      <c r="EWS32" t="s">
        <v>6984</v>
      </c>
      <c r="EWT32" t="s">
        <v>6984</v>
      </c>
      <c r="EWU32" t="s">
        <v>6984</v>
      </c>
      <c r="EWV32" t="s">
        <v>6984</v>
      </c>
      <c r="EWW32" t="s">
        <v>6984</v>
      </c>
      <c r="EWX32" t="s">
        <v>6984</v>
      </c>
      <c r="EWY32" t="s">
        <v>6984</v>
      </c>
      <c r="EWZ32" t="s">
        <v>6984</v>
      </c>
      <c r="EXA32" t="s">
        <v>6984</v>
      </c>
      <c r="EXB32" t="s">
        <v>6984</v>
      </c>
      <c r="EXC32" t="s">
        <v>6984</v>
      </c>
      <c r="EXD32" t="s">
        <v>6984</v>
      </c>
      <c r="EXE32" t="s">
        <v>6984</v>
      </c>
      <c r="EXF32" t="s">
        <v>6984</v>
      </c>
      <c r="EXG32" t="s">
        <v>6984</v>
      </c>
      <c r="EXH32" t="s">
        <v>6984</v>
      </c>
      <c r="EXI32" t="s">
        <v>6984</v>
      </c>
      <c r="EXJ32" t="s">
        <v>6984</v>
      </c>
      <c r="EXK32" t="s">
        <v>6984</v>
      </c>
      <c r="EXL32" t="s">
        <v>6984</v>
      </c>
      <c r="EXM32" t="s">
        <v>6984</v>
      </c>
      <c r="EXN32" t="s">
        <v>6984</v>
      </c>
      <c r="EXO32" t="s">
        <v>6984</v>
      </c>
      <c r="EXP32" t="s">
        <v>6984</v>
      </c>
      <c r="EXQ32" t="s">
        <v>6984</v>
      </c>
      <c r="EXR32" t="s">
        <v>6984</v>
      </c>
      <c r="EXS32" t="s">
        <v>6984</v>
      </c>
      <c r="EXT32" t="s">
        <v>6984</v>
      </c>
      <c r="EXU32" t="s">
        <v>6984</v>
      </c>
      <c r="EXV32" t="s">
        <v>6984</v>
      </c>
      <c r="EXW32" t="s">
        <v>6984</v>
      </c>
      <c r="EXX32" t="s">
        <v>6984</v>
      </c>
      <c r="EXY32" t="s">
        <v>6984</v>
      </c>
      <c r="EXZ32" t="s">
        <v>6984</v>
      </c>
      <c r="EYA32" t="s">
        <v>6984</v>
      </c>
      <c r="EYB32" t="s">
        <v>6984</v>
      </c>
      <c r="EYC32" t="s">
        <v>6984</v>
      </c>
      <c r="EYD32" t="s">
        <v>6984</v>
      </c>
      <c r="EYE32" t="s">
        <v>6984</v>
      </c>
      <c r="EYF32" t="s">
        <v>6984</v>
      </c>
      <c r="EYG32" t="s">
        <v>6984</v>
      </c>
      <c r="EYH32" t="s">
        <v>6984</v>
      </c>
      <c r="EYI32" t="s">
        <v>6984</v>
      </c>
      <c r="EYJ32" t="s">
        <v>6984</v>
      </c>
      <c r="EYK32" t="s">
        <v>6984</v>
      </c>
      <c r="EYL32" t="s">
        <v>6984</v>
      </c>
      <c r="EYM32" t="s">
        <v>6984</v>
      </c>
      <c r="EYN32" t="s">
        <v>6984</v>
      </c>
      <c r="EYO32" t="s">
        <v>6984</v>
      </c>
      <c r="EYP32" t="s">
        <v>6984</v>
      </c>
      <c r="EYQ32" t="s">
        <v>6984</v>
      </c>
      <c r="EYR32" t="s">
        <v>6984</v>
      </c>
      <c r="EYS32" t="s">
        <v>6984</v>
      </c>
      <c r="EYT32" t="s">
        <v>6984</v>
      </c>
      <c r="EYU32" t="s">
        <v>6984</v>
      </c>
      <c r="EYV32" t="s">
        <v>6984</v>
      </c>
      <c r="EYW32" t="s">
        <v>6984</v>
      </c>
      <c r="EYX32" t="s">
        <v>6984</v>
      </c>
      <c r="EYY32" t="s">
        <v>6984</v>
      </c>
      <c r="EYZ32" t="s">
        <v>6984</v>
      </c>
      <c r="EZA32" t="s">
        <v>6984</v>
      </c>
      <c r="EZB32" t="s">
        <v>6984</v>
      </c>
      <c r="EZC32" t="s">
        <v>6984</v>
      </c>
      <c r="EZD32" t="s">
        <v>6984</v>
      </c>
      <c r="EZE32" t="s">
        <v>6984</v>
      </c>
      <c r="EZF32" t="s">
        <v>6984</v>
      </c>
      <c r="EZG32" t="s">
        <v>6984</v>
      </c>
      <c r="EZH32" t="s">
        <v>6984</v>
      </c>
      <c r="EZI32" t="s">
        <v>6984</v>
      </c>
      <c r="EZJ32" t="s">
        <v>6984</v>
      </c>
      <c r="EZK32" t="s">
        <v>6984</v>
      </c>
      <c r="EZL32" t="s">
        <v>6984</v>
      </c>
      <c r="EZM32" t="s">
        <v>6984</v>
      </c>
      <c r="EZN32" t="s">
        <v>6984</v>
      </c>
      <c r="EZO32" t="s">
        <v>6984</v>
      </c>
      <c r="EZP32" t="s">
        <v>6984</v>
      </c>
      <c r="EZQ32" t="s">
        <v>6984</v>
      </c>
      <c r="EZR32" t="s">
        <v>6984</v>
      </c>
      <c r="EZS32" t="s">
        <v>6984</v>
      </c>
      <c r="EZT32" t="s">
        <v>6984</v>
      </c>
      <c r="EZU32" t="s">
        <v>6984</v>
      </c>
      <c r="EZV32" t="s">
        <v>6984</v>
      </c>
      <c r="EZW32" t="s">
        <v>6984</v>
      </c>
      <c r="EZX32" t="s">
        <v>6984</v>
      </c>
      <c r="EZY32" t="s">
        <v>6984</v>
      </c>
      <c r="EZZ32" t="s">
        <v>6984</v>
      </c>
      <c r="FAA32" t="s">
        <v>6984</v>
      </c>
      <c r="FAB32" t="s">
        <v>6984</v>
      </c>
      <c r="FAC32" t="s">
        <v>6984</v>
      </c>
      <c r="FAD32" t="s">
        <v>6984</v>
      </c>
      <c r="FAE32" t="s">
        <v>6984</v>
      </c>
      <c r="FAF32" t="s">
        <v>6984</v>
      </c>
      <c r="FAG32" t="s">
        <v>6984</v>
      </c>
      <c r="FAH32" t="s">
        <v>6984</v>
      </c>
      <c r="FAI32" t="s">
        <v>6984</v>
      </c>
      <c r="FAJ32" t="s">
        <v>6984</v>
      </c>
      <c r="FAK32" t="s">
        <v>6984</v>
      </c>
      <c r="FAL32" t="s">
        <v>6984</v>
      </c>
      <c r="FAM32" t="s">
        <v>6984</v>
      </c>
      <c r="FAN32" t="s">
        <v>6984</v>
      </c>
      <c r="FAO32" t="s">
        <v>6984</v>
      </c>
      <c r="FAP32" t="s">
        <v>6984</v>
      </c>
      <c r="FAQ32" t="s">
        <v>6984</v>
      </c>
      <c r="FAR32" t="s">
        <v>6984</v>
      </c>
      <c r="FAS32" t="s">
        <v>6984</v>
      </c>
      <c r="FAT32" t="s">
        <v>6984</v>
      </c>
      <c r="FAU32" t="s">
        <v>6984</v>
      </c>
      <c r="FAV32" t="s">
        <v>6984</v>
      </c>
      <c r="FAW32" t="s">
        <v>6984</v>
      </c>
      <c r="FAX32" t="s">
        <v>6984</v>
      </c>
      <c r="FAY32" t="s">
        <v>6984</v>
      </c>
      <c r="FAZ32" t="s">
        <v>6984</v>
      </c>
      <c r="FBA32" t="s">
        <v>6984</v>
      </c>
      <c r="FBB32" t="s">
        <v>6984</v>
      </c>
      <c r="FBC32" t="s">
        <v>6984</v>
      </c>
      <c r="FBD32" t="s">
        <v>6984</v>
      </c>
      <c r="FBE32" t="s">
        <v>6984</v>
      </c>
      <c r="FBF32" t="s">
        <v>6984</v>
      </c>
      <c r="FBG32" t="s">
        <v>6984</v>
      </c>
      <c r="FBH32" t="s">
        <v>6984</v>
      </c>
      <c r="FBI32" t="s">
        <v>6984</v>
      </c>
      <c r="FBJ32" t="s">
        <v>6984</v>
      </c>
      <c r="FBK32" t="s">
        <v>6984</v>
      </c>
      <c r="FBL32" t="s">
        <v>6984</v>
      </c>
      <c r="FBM32" t="s">
        <v>6984</v>
      </c>
      <c r="FBN32" t="s">
        <v>6984</v>
      </c>
      <c r="FBO32" t="s">
        <v>6984</v>
      </c>
      <c r="FBP32" t="s">
        <v>6984</v>
      </c>
      <c r="FBQ32" t="s">
        <v>6984</v>
      </c>
      <c r="FBR32" t="s">
        <v>6984</v>
      </c>
      <c r="FBS32" t="s">
        <v>6984</v>
      </c>
      <c r="FBT32" t="s">
        <v>6984</v>
      </c>
      <c r="FBU32" t="s">
        <v>6984</v>
      </c>
      <c r="FBV32" t="s">
        <v>6984</v>
      </c>
      <c r="FBW32" t="s">
        <v>6984</v>
      </c>
      <c r="FBX32" t="s">
        <v>6984</v>
      </c>
      <c r="FBY32" t="s">
        <v>6984</v>
      </c>
      <c r="FBZ32" t="s">
        <v>6984</v>
      </c>
      <c r="FCA32" t="s">
        <v>6984</v>
      </c>
      <c r="FCB32" t="s">
        <v>6984</v>
      </c>
      <c r="FCC32" t="s">
        <v>6984</v>
      </c>
      <c r="FCD32" t="s">
        <v>6984</v>
      </c>
      <c r="FCE32" t="s">
        <v>6984</v>
      </c>
      <c r="FCF32" t="s">
        <v>6984</v>
      </c>
      <c r="FCG32" t="s">
        <v>6984</v>
      </c>
      <c r="FCH32" t="s">
        <v>6984</v>
      </c>
      <c r="FCI32" t="s">
        <v>6984</v>
      </c>
      <c r="FCJ32" t="s">
        <v>6984</v>
      </c>
      <c r="FCK32" t="s">
        <v>6984</v>
      </c>
      <c r="FCL32" t="s">
        <v>6984</v>
      </c>
      <c r="FCM32" t="s">
        <v>6984</v>
      </c>
      <c r="FCN32" t="s">
        <v>6984</v>
      </c>
      <c r="FCO32" t="s">
        <v>6984</v>
      </c>
      <c r="FCP32" t="s">
        <v>6984</v>
      </c>
      <c r="FCQ32" t="s">
        <v>6984</v>
      </c>
      <c r="FCR32" t="s">
        <v>6984</v>
      </c>
      <c r="FCS32" t="s">
        <v>6984</v>
      </c>
      <c r="FCT32" t="s">
        <v>6984</v>
      </c>
      <c r="FCU32" t="s">
        <v>6984</v>
      </c>
      <c r="FCV32" t="s">
        <v>6984</v>
      </c>
      <c r="FCW32" t="s">
        <v>6984</v>
      </c>
      <c r="FCX32" t="s">
        <v>6984</v>
      </c>
      <c r="FCY32" t="s">
        <v>6984</v>
      </c>
      <c r="FCZ32" t="s">
        <v>6984</v>
      </c>
      <c r="FDA32" t="s">
        <v>6984</v>
      </c>
      <c r="FDB32" t="s">
        <v>6984</v>
      </c>
      <c r="FDC32" t="s">
        <v>6984</v>
      </c>
      <c r="FDD32" t="s">
        <v>6984</v>
      </c>
      <c r="FDE32" t="s">
        <v>6984</v>
      </c>
      <c r="FDF32" t="s">
        <v>6984</v>
      </c>
      <c r="FDG32" t="s">
        <v>6984</v>
      </c>
      <c r="FDH32" t="s">
        <v>6984</v>
      </c>
      <c r="FDI32" t="s">
        <v>6984</v>
      </c>
      <c r="FDJ32" t="s">
        <v>6984</v>
      </c>
      <c r="FDK32" t="s">
        <v>6984</v>
      </c>
      <c r="FDL32" t="s">
        <v>6984</v>
      </c>
      <c r="FDM32" t="s">
        <v>6984</v>
      </c>
      <c r="FDN32" t="s">
        <v>6984</v>
      </c>
      <c r="FDO32" t="s">
        <v>6984</v>
      </c>
      <c r="FDP32" t="s">
        <v>6984</v>
      </c>
      <c r="FDQ32" t="s">
        <v>6984</v>
      </c>
      <c r="FDR32" t="s">
        <v>6984</v>
      </c>
      <c r="FDS32" t="s">
        <v>6984</v>
      </c>
      <c r="FDT32" t="s">
        <v>6984</v>
      </c>
      <c r="FDU32" t="s">
        <v>6984</v>
      </c>
      <c r="FDV32" t="s">
        <v>6984</v>
      </c>
      <c r="FDW32" t="s">
        <v>6984</v>
      </c>
      <c r="FDX32" t="s">
        <v>6984</v>
      </c>
      <c r="FDY32" t="s">
        <v>6984</v>
      </c>
      <c r="FDZ32" t="s">
        <v>6984</v>
      </c>
      <c r="FEA32" t="s">
        <v>6984</v>
      </c>
      <c r="FEB32" t="s">
        <v>6984</v>
      </c>
      <c r="FEC32" t="s">
        <v>6984</v>
      </c>
      <c r="FED32" t="s">
        <v>6984</v>
      </c>
      <c r="FEE32" t="s">
        <v>6984</v>
      </c>
      <c r="FEF32" t="s">
        <v>6984</v>
      </c>
      <c r="FEG32" t="s">
        <v>6984</v>
      </c>
      <c r="FEH32" t="s">
        <v>6984</v>
      </c>
      <c r="FEI32" t="s">
        <v>6984</v>
      </c>
      <c r="FEJ32" t="s">
        <v>6984</v>
      </c>
      <c r="FEK32" t="s">
        <v>6984</v>
      </c>
      <c r="FEL32" t="s">
        <v>6984</v>
      </c>
      <c r="FEM32" t="s">
        <v>6984</v>
      </c>
      <c r="FEN32" t="s">
        <v>6984</v>
      </c>
      <c r="FEO32" t="s">
        <v>6984</v>
      </c>
      <c r="FEP32" t="s">
        <v>6984</v>
      </c>
      <c r="FEQ32" t="s">
        <v>6984</v>
      </c>
      <c r="FER32" t="s">
        <v>6984</v>
      </c>
      <c r="FES32" t="s">
        <v>6984</v>
      </c>
      <c r="FET32" t="s">
        <v>6984</v>
      </c>
      <c r="FEU32" t="s">
        <v>6984</v>
      </c>
      <c r="FEV32" t="s">
        <v>6984</v>
      </c>
      <c r="FEW32" t="s">
        <v>6984</v>
      </c>
      <c r="FEX32" t="s">
        <v>6984</v>
      </c>
      <c r="FEY32" t="s">
        <v>6984</v>
      </c>
      <c r="FEZ32" t="s">
        <v>6984</v>
      </c>
      <c r="FFA32" t="s">
        <v>6984</v>
      </c>
      <c r="FFB32" t="s">
        <v>6984</v>
      </c>
      <c r="FFC32" t="s">
        <v>6984</v>
      </c>
      <c r="FFD32" t="s">
        <v>6984</v>
      </c>
      <c r="FFE32" t="s">
        <v>6984</v>
      </c>
      <c r="FFF32" t="s">
        <v>6984</v>
      </c>
      <c r="FFG32" t="s">
        <v>6984</v>
      </c>
      <c r="FFH32" t="s">
        <v>6984</v>
      </c>
      <c r="FFI32" t="s">
        <v>6984</v>
      </c>
      <c r="FFJ32" t="s">
        <v>6984</v>
      </c>
      <c r="FFK32" t="s">
        <v>6984</v>
      </c>
      <c r="FFL32" t="s">
        <v>6984</v>
      </c>
      <c r="FFM32" t="s">
        <v>6984</v>
      </c>
      <c r="FFN32" t="s">
        <v>6984</v>
      </c>
      <c r="FFO32" t="s">
        <v>6984</v>
      </c>
      <c r="FFP32" t="s">
        <v>6984</v>
      </c>
      <c r="FFQ32" t="s">
        <v>6984</v>
      </c>
      <c r="FFR32" t="s">
        <v>6984</v>
      </c>
      <c r="FFS32" t="s">
        <v>6984</v>
      </c>
      <c r="FFT32" t="s">
        <v>6984</v>
      </c>
      <c r="FFU32" t="s">
        <v>6984</v>
      </c>
      <c r="FFV32" t="s">
        <v>6984</v>
      </c>
      <c r="FFW32" t="s">
        <v>6984</v>
      </c>
      <c r="FFX32" t="s">
        <v>6984</v>
      </c>
      <c r="FFY32" t="s">
        <v>6984</v>
      </c>
      <c r="FFZ32" t="s">
        <v>6984</v>
      </c>
      <c r="FGA32" t="s">
        <v>6984</v>
      </c>
      <c r="FGB32" t="s">
        <v>6984</v>
      </c>
      <c r="FGC32" t="s">
        <v>6984</v>
      </c>
      <c r="FGD32" t="s">
        <v>6984</v>
      </c>
      <c r="FGE32" t="s">
        <v>6984</v>
      </c>
      <c r="FGF32" t="s">
        <v>6984</v>
      </c>
      <c r="FGG32" t="s">
        <v>6984</v>
      </c>
      <c r="FGH32" t="s">
        <v>6984</v>
      </c>
      <c r="FGI32" t="s">
        <v>6984</v>
      </c>
      <c r="FGJ32" t="s">
        <v>6984</v>
      </c>
      <c r="FGK32" t="s">
        <v>6984</v>
      </c>
      <c r="FGL32" t="s">
        <v>6984</v>
      </c>
      <c r="FGM32" t="s">
        <v>6984</v>
      </c>
      <c r="FGN32" t="s">
        <v>6984</v>
      </c>
      <c r="FGO32" t="s">
        <v>6984</v>
      </c>
      <c r="FGP32" t="s">
        <v>6984</v>
      </c>
      <c r="FGQ32" t="s">
        <v>6984</v>
      </c>
      <c r="FGR32" t="s">
        <v>6984</v>
      </c>
      <c r="FGS32" t="s">
        <v>6984</v>
      </c>
      <c r="FGT32" t="s">
        <v>6984</v>
      </c>
      <c r="FGU32" t="s">
        <v>6984</v>
      </c>
      <c r="FGV32" t="s">
        <v>6984</v>
      </c>
      <c r="FGW32" t="s">
        <v>6984</v>
      </c>
      <c r="FGX32" t="s">
        <v>6984</v>
      </c>
      <c r="FGY32" t="s">
        <v>6984</v>
      </c>
      <c r="FGZ32" t="s">
        <v>6984</v>
      </c>
      <c r="FHA32" t="s">
        <v>6984</v>
      </c>
      <c r="FHB32" t="s">
        <v>6984</v>
      </c>
      <c r="FHC32" t="s">
        <v>6984</v>
      </c>
      <c r="FHD32" t="s">
        <v>6984</v>
      </c>
      <c r="FHE32" t="s">
        <v>6984</v>
      </c>
      <c r="FHF32" t="s">
        <v>6984</v>
      </c>
      <c r="FHG32" t="s">
        <v>6984</v>
      </c>
      <c r="FHH32" t="s">
        <v>6984</v>
      </c>
      <c r="FHI32" t="s">
        <v>6984</v>
      </c>
      <c r="FHJ32" t="s">
        <v>6984</v>
      </c>
      <c r="FHK32" t="s">
        <v>6984</v>
      </c>
      <c r="FHL32" t="s">
        <v>6984</v>
      </c>
      <c r="FHM32" t="s">
        <v>6984</v>
      </c>
      <c r="FHN32" t="s">
        <v>6984</v>
      </c>
      <c r="FHO32" t="s">
        <v>6984</v>
      </c>
      <c r="FHP32" t="s">
        <v>6984</v>
      </c>
      <c r="FHQ32" t="s">
        <v>6984</v>
      </c>
      <c r="FHR32" t="s">
        <v>6984</v>
      </c>
      <c r="FHS32" t="s">
        <v>6984</v>
      </c>
      <c r="FHT32" t="s">
        <v>6984</v>
      </c>
      <c r="FHU32" t="s">
        <v>6984</v>
      </c>
      <c r="FHV32" t="s">
        <v>6984</v>
      </c>
      <c r="FHW32" t="s">
        <v>6984</v>
      </c>
      <c r="FHX32" t="s">
        <v>6984</v>
      </c>
      <c r="FHY32" t="s">
        <v>6984</v>
      </c>
      <c r="FHZ32" t="s">
        <v>6984</v>
      </c>
      <c r="FIA32" t="s">
        <v>6984</v>
      </c>
      <c r="FIB32" t="s">
        <v>6984</v>
      </c>
      <c r="FIC32" t="s">
        <v>6984</v>
      </c>
      <c r="FID32" t="s">
        <v>6984</v>
      </c>
      <c r="FIE32" t="s">
        <v>6984</v>
      </c>
      <c r="FIF32" t="s">
        <v>6984</v>
      </c>
      <c r="FIG32" t="s">
        <v>6984</v>
      </c>
      <c r="FIH32" t="s">
        <v>6984</v>
      </c>
      <c r="FII32" t="s">
        <v>6984</v>
      </c>
      <c r="FIJ32" t="s">
        <v>6984</v>
      </c>
      <c r="FIK32" t="s">
        <v>6984</v>
      </c>
      <c r="FIL32" t="s">
        <v>6984</v>
      </c>
      <c r="FIM32" t="s">
        <v>6984</v>
      </c>
      <c r="FIN32" t="s">
        <v>6984</v>
      </c>
      <c r="FIO32" t="s">
        <v>6984</v>
      </c>
      <c r="FIP32" t="s">
        <v>6984</v>
      </c>
      <c r="FIQ32" t="s">
        <v>6984</v>
      </c>
      <c r="FIR32" t="s">
        <v>6984</v>
      </c>
      <c r="FIS32" t="s">
        <v>6984</v>
      </c>
      <c r="FIT32" t="s">
        <v>6984</v>
      </c>
      <c r="FIU32" t="s">
        <v>6984</v>
      </c>
      <c r="FIV32" t="s">
        <v>6984</v>
      </c>
      <c r="FIW32" t="s">
        <v>6984</v>
      </c>
      <c r="FIX32" t="s">
        <v>6984</v>
      </c>
      <c r="FIY32" t="s">
        <v>6984</v>
      </c>
      <c r="FIZ32" t="s">
        <v>6984</v>
      </c>
      <c r="FJA32" t="s">
        <v>6984</v>
      </c>
      <c r="FJB32" t="s">
        <v>6984</v>
      </c>
      <c r="FJC32" t="s">
        <v>6984</v>
      </c>
      <c r="FJD32" t="s">
        <v>6984</v>
      </c>
      <c r="FJE32" t="s">
        <v>6984</v>
      </c>
      <c r="FJF32" t="s">
        <v>6984</v>
      </c>
      <c r="FJG32" t="s">
        <v>6984</v>
      </c>
      <c r="FJH32" t="s">
        <v>6984</v>
      </c>
      <c r="FJI32" t="s">
        <v>6984</v>
      </c>
      <c r="FJJ32" t="s">
        <v>6984</v>
      </c>
      <c r="FJK32" t="s">
        <v>6984</v>
      </c>
      <c r="FJL32" t="s">
        <v>6984</v>
      </c>
      <c r="FJM32" t="s">
        <v>6984</v>
      </c>
      <c r="FJN32" t="s">
        <v>6984</v>
      </c>
      <c r="FJO32" t="s">
        <v>6984</v>
      </c>
      <c r="FJP32" t="s">
        <v>6984</v>
      </c>
      <c r="FJQ32" t="s">
        <v>6984</v>
      </c>
      <c r="FJR32" t="s">
        <v>6984</v>
      </c>
      <c r="FJS32" t="s">
        <v>6984</v>
      </c>
      <c r="FJT32" t="s">
        <v>6984</v>
      </c>
      <c r="FJU32" t="s">
        <v>6984</v>
      </c>
      <c r="FJV32" t="s">
        <v>6984</v>
      </c>
      <c r="FJW32" t="s">
        <v>6984</v>
      </c>
      <c r="FJX32" t="s">
        <v>6984</v>
      </c>
      <c r="FJY32" t="s">
        <v>6984</v>
      </c>
      <c r="FJZ32" t="s">
        <v>6984</v>
      </c>
      <c r="FKA32" t="s">
        <v>6984</v>
      </c>
      <c r="FKB32" t="s">
        <v>6984</v>
      </c>
      <c r="FKC32" t="s">
        <v>6984</v>
      </c>
      <c r="FKD32" t="s">
        <v>6984</v>
      </c>
      <c r="FKE32" t="s">
        <v>6984</v>
      </c>
      <c r="FKF32" t="s">
        <v>6984</v>
      </c>
      <c r="FKG32" t="s">
        <v>6984</v>
      </c>
      <c r="FKH32" t="s">
        <v>6984</v>
      </c>
      <c r="FKI32" t="s">
        <v>6984</v>
      </c>
      <c r="FKJ32" t="s">
        <v>6984</v>
      </c>
      <c r="FKK32" t="s">
        <v>6984</v>
      </c>
      <c r="FKL32" t="s">
        <v>6984</v>
      </c>
      <c r="FKM32" t="s">
        <v>6984</v>
      </c>
      <c r="FKN32" t="s">
        <v>6984</v>
      </c>
      <c r="FKO32" t="s">
        <v>6984</v>
      </c>
      <c r="FKP32" t="s">
        <v>6984</v>
      </c>
      <c r="FKQ32" t="s">
        <v>6984</v>
      </c>
      <c r="FKR32" t="s">
        <v>6984</v>
      </c>
      <c r="FKS32" t="s">
        <v>6984</v>
      </c>
      <c r="FKT32" t="s">
        <v>6984</v>
      </c>
      <c r="FKU32" t="s">
        <v>6984</v>
      </c>
      <c r="FKV32" t="s">
        <v>6984</v>
      </c>
      <c r="FKW32" t="s">
        <v>6984</v>
      </c>
      <c r="FKX32" t="s">
        <v>6984</v>
      </c>
      <c r="FKY32" t="s">
        <v>6984</v>
      </c>
      <c r="FKZ32" t="s">
        <v>6984</v>
      </c>
      <c r="FLA32" t="s">
        <v>6984</v>
      </c>
      <c r="FLB32" t="s">
        <v>6984</v>
      </c>
      <c r="FLC32" t="s">
        <v>6984</v>
      </c>
      <c r="FLD32" t="s">
        <v>6984</v>
      </c>
      <c r="FLE32" t="s">
        <v>6984</v>
      </c>
      <c r="FLF32" t="s">
        <v>6984</v>
      </c>
      <c r="FLG32" t="s">
        <v>6984</v>
      </c>
      <c r="FLH32" t="s">
        <v>6984</v>
      </c>
      <c r="FLI32" t="s">
        <v>6984</v>
      </c>
      <c r="FLJ32" t="s">
        <v>6984</v>
      </c>
      <c r="FLK32" t="s">
        <v>6984</v>
      </c>
      <c r="FLL32" t="s">
        <v>6984</v>
      </c>
      <c r="FLM32" t="s">
        <v>6984</v>
      </c>
      <c r="FLN32" t="s">
        <v>6984</v>
      </c>
      <c r="FLO32" t="s">
        <v>6984</v>
      </c>
      <c r="FLP32" t="s">
        <v>6984</v>
      </c>
      <c r="FLQ32" t="s">
        <v>6984</v>
      </c>
      <c r="FLR32" t="s">
        <v>6984</v>
      </c>
      <c r="FLS32" t="s">
        <v>6984</v>
      </c>
      <c r="FLT32" t="s">
        <v>6984</v>
      </c>
      <c r="FLU32" t="s">
        <v>6984</v>
      </c>
      <c r="FLV32" t="s">
        <v>6984</v>
      </c>
      <c r="FLW32" t="s">
        <v>6984</v>
      </c>
      <c r="FLX32" t="s">
        <v>6984</v>
      </c>
      <c r="FLY32" t="s">
        <v>6984</v>
      </c>
      <c r="FLZ32" t="s">
        <v>6984</v>
      </c>
      <c r="FMA32" t="s">
        <v>6984</v>
      </c>
      <c r="FMB32" t="s">
        <v>6984</v>
      </c>
      <c r="FMC32" t="s">
        <v>6984</v>
      </c>
      <c r="FMD32" t="s">
        <v>6984</v>
      </c>
      <c r="FME32" t="s">
        <v>6984</v>
      </c>
      <c r="FMF32" t="s">
        <v>6984</v>
      </c>
      <c r="FMG32" t="s">
        <v>6984</v>
      </c>
      <c r="FMH32" t="s">
        <v>6984</v>
      </c>
      <c r="FMI32" t="s">
        <v>6984</v>
      </c>
      <c r="FMJ32" t="s">
        <v>6984</v>
      </c>
      <c r="FMK32" t="s">
        <v>6984</v>
      </c>
      <c r="FML32" t="s">
        <v>6984</v>
      </c>
      <c r="FMM32" t="s">
        <v>6984</v>
      </c>
      <c r="FMN32" t="s">
        <v>6984</v>
      </c>
      <c r="FMO32" t="s">
        <v>6984</v>
      </c>
      <c r="FMP32" t="s">
        <v>6984</v>
      </c>
      <c r="FMQ32" t="s">
        <v>6984</v>
      </c>
      <c r="FMR32" t="s">
        <v>6984</v>
      </c>
      <c r="FMS32" t="s">
        <v>6984</v>
      </c>
      <c r="FMT32" t="s">
        <v>6984</v>
      </c>
      <c r="FMU32" t="s">
        <v>6984</v>
      </c>
      <c r="FMV32" t="s">
        <v>6984</v>
      </c>
      <c r="FMW32" t="s">
        <v>6984</v>
      </c>
      <c r="FMX32" t="s">
        <v>6984</v>
      </c>
      <c r="FMY32" t="s">
        <v>6984</v>
      </c>
      <c r="FMZ32" t="s">
        <v>6984</v>
      </c>
      <c r="FNA32" t="s">
        <v>6984</v>
      </c>
      <c r="FNB32" t="s">
        <v>6984</v>
      </c>
      <c r="FNC32" t="s">
        <v>6984</v>
      </c>
      <c r="FND32" t="s">
        <v>6984</v>
      </c>
      <c r="FNE32" t="s">
        <v>6984</v>
      </c>
      <c r="FNF32" t="s">
        <v>6984</v>
      </c>
      <c r="FNG32" t="s">
        <v>6984</v>
      </c>
      <c r="FNH32" t="s">
        <v>6984</v>
      </c>
      <c r="FNI32" t="s">
        <v>6984</v>
      </c>
      <c r="FNJ32" t="s">
        <v>6984</v>
      </c>
      <c r="FNK32" t="s">
        <v>6984</v>
      </c>
      <c r="FNL32" t="s">
        <v>6984</v>
      </c>
      <c r="FNM32" t="s">
        <v>6984</v>
      </c>
      <c r="FNN32" t="s">
        <v>6984</v>
      </c>
      <c r="FNO32" t="s">
        <v>6984</v>
      </c>
      <c r="FNP32" t="s">
        <v>6984</v>
      </c>
      <c r="FNQ32" t="s">
        <v>6984</v>
      </c>
      <c r="FNR32" t="s">
        <v>6984</v>
      </c>
      <c r="FNS32" t="s">
        <v>6984</v>
      </c>
      <c r="FNT32" t="s">
        <v>6984</v>
      </c>
      <c r="FNU32" t="s">
        <v>6984</v>
      </c>
      <c r="FNV32" t="s">
        <v>6984</v>
      </c>
      <c r="FNW32" t="s">
        <v>6984</v>
      </c>
      <c r="FNX32" t="s">
        <v>6984</v>
      </c>
      <c r="FNY32" t="s">
        <v>6984</v>
      </c>
      <c r="FNZ32" t="s">
        <v>6984</v>
      </c>
      <c r="FOA32" t="s">
        <v>6984</v>
      </c>
      <c r="FOB32" t="s">
        <v>6984</v>
      </c>
      <c r="FOC32" t="s">
        <v>6984</v>
      </c>
      <c r="FOD32" t="s">
        <v>6984</v>
      </c>
      <c r="FOE32" t="s">
        <v>6984</v>
      </c>
      <c r="FOF32" t="s">
        <v>6984</v>
      </c>
      <c r="FOG32" t="s">
        <v>6984</v>
      </c>
      <c r="FOH32" t="s">
        <v>6984</v>
      </c>
      <c r="FOI32" t="s">
        <v>6984</v>
      </c>
      <c r="FOJ32" t="s">
        <v>6984</v>
      </c>
      <c r="FOK32" t="s">
        <v>6984</v>
      </c>
      <c r="FOL32" t="s">
        <v>6984</v>
      </c>
      <c r="FOM32" t="s">
        <v>6984</v>
      </c>
      <c r="FON32" t="s">
        <v>6984</v>
      </c>
      <c r="FOO32" t="s">
        <v>6984</v>
      </c>
      <c r="FOP32" t="s">
        <v>6984</v>
      </c>
      <c r="FOQ32" t="s">
        <v>6984</v>
      </c>
      <c r="FOR32" t="s">
        <v>6984</v>
      </c>
      <c r="FOS32" t="s">
        <v>6984</v>
      </c>
      <c r="FOT32" t="s">
        <v>6984</v>
      </c>
      <c r="FOU32" t="s">
        <v>6984</v>
      </c>
      <c r="FOV32" t="s">
        <v>6984</v>
      </c>
      <c r="FOW32" t="s">
        <v>6984</v>
      </c>
      <c r="FOX32" t="s">
        <v>6984</v>
      </c>
      <c r="FOY32" t="s">
        <v>6984</v>
      </c>
      <c r="FOZ32" t="s">
        <v>6984</v>
      </c>
      <c r="FPA32" t="s">
        <v>6984</v>
      </c>
      <c r="FPB32" t="s">
        <v>6984</v>
      </c>
      <c r="FPC32" t="s">
        <v>6984</v>
      </c>
      <c r="FPD32" t="s">
        <v>6984</v>
      </c>
      <c r="FPE32" t="s">
        <v>6984</v>
      </c>
      <c r="FPF32" t="s">
        <v>6984</v>
      </c>
      <c r="FPG32" t="s">
        <v>6984</v>
      </c>
      <c r="FPH32" t="s">
        <v>6984</v>
      </c>
      <c r="FPI32" t="s">
        <v>6984</v>
      </c>
      <c r="FPJ32" t="s">
        <v>6984</v>
      </c>
      <c r="FPK32" t="s">
        <v>6984</v>
      </c>
      <c r="FPL32" t="s">
        <v>6984</v>
      </c>
      <c r="FPM32" t="s">
        <v>6984</v>
      </c>
      <c r="FPN32" t="s">
        <v>6984</v>
      </c>
      <c r="FPO32" t="s">
        <v>6984</v>
      </c>
      <c r="FPP32" t="s">
        <v>6984</v>
      </c>
      <c r="FPQ32" t="s">
        <v>6984</v>
      </c>
      <c r="FPR32" t="s">
        <v>6984</v>
      </c>
      <c r="FPS32" t="s">
        <v>6984</v>
      </c>
      <c r="FPT32" t="s">
        <v>6984</v>
      </c>
      <c r="FPU32" t="s">
        <v>6984</v>
      </c>
      <c r="FPV32" t="s">
        <v>6984</v>
      </c>
      <c r="FPW32" t="s">
        <v>6984</v>
      </c>
      <c r="FPX32" t="s">
        <v>6984</v>
      </c>
      <c r="FPY32" t="s">
        <v>6984</v>
      </c>
      <c r="FPZ32" t="s">
        <v>6984</v>
      </c>
      <c r="FQA32" t="s">
        <v>6984</v>
      </c>
      <c r="FQB32" t="s">
        <v>6984</v>
      </c>
      <c r="FQC32" t="s">
        <v>6984</v>
      </c>
      <c r="FQD32" t="s">
        <v>6984</v>
      </c>
      <c r="FQE32" t="s">
        <v>6984</v>
      </c>
      <c r="FQF32" t="s">
        <v>6984</v>
      </c>
      <c r="FQG32" t="s">
        <v>6984</v>
      </c>
      <c r="FQH32" t="s">
        <v>6984</v>
      </c>
      <c r="FQI32" t="s">
        <v>6984</v>
      </c>
      <c r="FQJ32" t="s">
        <v>6984</v>
      </c>
      <c r="FQK32" t="s">
        <v>6984</v>
      </c>
      <c r="FQL32" t="s">
        <v>6984</v>
      </c>
      <c r="FQM32" t="s">
        <v>6984</v>
      </c>
      <c r="FQN32" t="s">
        <v>6984</v>
      </c>
      <c r="FQO32" t="s">
        <v>6984</v>
      </c>
      <c r="FQP32" t="s">
        <v>6984</v>
      </c>
      <c r="FQQ32" t="s">
        <v>6984</v>
      </c>
      <c r="FQR32" t="s">
        <v>6984</v>
      </c>
      <c r="FQS32" t="s">
        <v>6984</v>
      </c>
      <c r="FQT32" t="s">
        <v>6984</v>
      </c>
      <c r="FQU32" t="s">
        <v>6984</v>
      </c>
      <c r="FQV32" t="s">
        <v>6984</v>
      </c>
      <c r="FQW32" t="s">
        <v>6984</v>
      </c>
      <c r="FQX32" t="s">
        <v>6984</v>
      </c>
      <c r="FQY32" t="s">
        <v>6984</v>
      </c>
      <c r="FQZ32" t="s">
        <v>6984</v>
      </c>
      <c r="FRA32" t="s">
        <v>6984</v>
      </c>
      <c r="FRB32" t="s">
        <v>6984</v>
      </c>
      <c r="FRC32" t="s">
        <v>6984</v>
      </c>
      <c r="FRD32" t="s">
        <v>6984</v>
      </c>
      <c r="FRE32" t="s">
        <v>6984</v>
      </c>
      <c r="FRF32" t="s">
        <v>6984</v>
      </c>
      <c r="FRG32" t="s">
        <v>6984</v>
      </c>
      <c r="FRH32" t="s">
        <v>6984</v>
      </c>
      <c r="FRI32" t="s">
        <v>6984</v>
      </c>
      <c r="FRJ32" t="s">
        <v>6984</v>
      </c>
      <c r="FRK32" t="s">
        <v>6984</v>
      </c>
      <c r="FRL32" t="s">
        <v>6984</v>
      </c>
      <c r="FRM32" t="s">
        <v>6984</v>
      </c>
      <c r="FRN32" t="s">
        <v>6984</v>
      </c>
      <c r="FRO32" t="s">
        <v>6984</v>
      </c>
      <c r="FRP32" t="s">
        <v>6984</v>
      </c>
      <c r="FRQ32" t="s">
        <v>6984</v>
      </c>
      <c r="FRR32" t="s">
        <v>6984</v>
      </c>
      <c r="FRS32" t="s">
        <v>6984</v>
      </c>
      <c r="FRT32" t="s">
        <v>6984</v>
      </c>
      <c r="FRU32" t="s">
        <v>6984</v>
      </c>
      <c r="FRV32" t="s">
        <v>6984</v>
      </c>
      <c r="FRW32" t="s">
        <v>6984</v>
      </c>
      <c r="FRX32" t="s">
        <v>6984</v>
      </c>
      <c r="FRY32" t="s">
        <v>6984</v>
      </c>
      <c r="FRZ32" t="s">
        <v>6984</v>
      </c>
      <c r="FSA32" t="s">
        <v>6984</v>
      </c>
      <c r="FSB32" t="s">
        <v>6984</v>
      </c>
      <c r="FSC32" t="s">
        <v>6984</v>
      </c>
      <c r="FSD32" t="s">
        <v>6984</v>
      </c>
      <c r="FSE32" t="s">
        <v>6984</v>
      </c>
      <c r="FSF32" t="s">
        <v>6984</v>
      </c>
      <c r="FSG32" t="s">
        <v>6984</v>
      </c>
      <c r="FSH32" t="s">
        <v>6984</v>
      </c>
      <c r="FSI32" t="s">
        <v>6984</v>
      </c>
      <c r="FSJ32" t="s">
        <v>6984</v>
      </c>
      <c r="FSK32" t="s">
        <v>6984</v>
      </c>
      <c r="FSL32" t="s">
        <v>6984</v>
      </c>
      <c r="FSM32" t="s">
        <v>6984</v>
      </c>
      <c r="FSN32" t="s">
        <v>6984</v>
      </c>
      <c r="FSO32" t="s">
        <v>6984</v>
      </c>
      <c r="FSP32" t="s">
        <v>6984</v>
      </c>
      <c r="FSQ32" t="s">
        <v>6984</v>
      </c>
      <c r="FSR32" t="s">
        <v>6984</v>
      </c>
      <c r="FSS32" t="s">
        <v>6984</v>
      </c>
      <c r="FST32" t="s">
        <v>6984</v>
      </c>
      <c r="FSU32" t="s">
        <v>6984</v>
      </c>
      <c r="FSV32" t="s">
        <v>6984</v>
      </c>
      <c r="FSW32" t="s">
        <v>6984</v>
      </c>
      <c r="FSX32" t="s">
        <v>6984</v>
      </c>
      <c r="FSY32" t="s">
        <v>6984</v>
      </c>
      <c r="FSZ32" t="s">
        <v>6984</v>
      </c>
      <c r="FTA32" t="s">
        <v>6984</v>
      </c>
      <c r="FTB32" t="s">
        <v>6984</v>
      </c>
      <c r="FTC32" t="s">
        <v>6984</v>
      </c>
      <c r="FTD32" t="s">
        <v>6984</v>
      </c>
      <c r="FTE32" t="s">
        <v>6984</v>
      </c>
      <c r="FTF32" t="s">
        <v>6984</v>
      </c>
      <c r="FTG32" t="s">
        <v>6984</v>
      </c>
      <c r="FTH32" t="s">
        <v>6984</v>
      </c>
      <c r="FTI32" t="s">
        <v>6984</v>
      </c>
      <c r="FTJ32" t="s">
        <v>6984</v>
      </c>
      <c r="FTK32" t="s">
        <v>6984</v>
      </c>
      <c r="FTL32" t="s">
        <v>6984</v>
      </c>
      <c r="FTM32" t="s">
        <v>6984</v>
      </c>
      <c r="FTN32" t="s">
        <v>6984</v>
      </c>
      <c r="FTO32" t="s">
        <v>6984</v>
      </c>
      <c r="FTP32" t="s">
        <v>6984</v>
      </c>
      <c r="FTQ32" t="s">
        <v>6984</v>
      </c>
      <c r="FTR32" t="s">
        <v>6984</v>
      </c>
      <c r="FTS32" t="s">
        <v>6984</v>
      </c>
      <c r="FTT32" t="s">
        <v>6984</v>
      </c>
      <c r="FTU32" t="s">
        <v>6984</v>
      </c>
      <c r="FTV32" t="s">
        <v>6984</v>
      </c>
      <c r="FTW32" t="s">
        <v>6984</v>
      </c>
      <c r="FTX32" t="s">
        <v>6984</v>
      </c>
      <c r="FTY32" t="s">
        <v>6984</v>
      </c>
      <c r="FTZ32" t="s">
        <v>6984</v>
      </c>
      <c r="FUA32" t="s">
        <v>6984</v>
      </c>
      <c r="FUB32" t="s">
        <v>6984</v>
      </c>
      <c r="FUC32" t="s">
        <v>6984</v>
      </c>
      <c r="FUD32" t="s">
        <v>6984</v>
      </c>
      <c r="FUE32" t="s">
        <v>6984</v>
      </c>
      <c r="FUF32" t="s">
        <v>6984</v>
      </c>
      <c r="FUG32" t="s">
        <v>6984</v>
      </c>
      <c r="FUH32" t="s">
        <v>6984</v>
      </c>
      <c r="FUI32" t="s">
        <v>6984</v>
      </c>
      <c r="FUJ32" t="s">
        <v>6984</v>
      </c>
      <c r="FUK32" t="s">
        <v>6984</v>
      </c>
      <c r="FUL32" t="s">
        <v>6984</v>
      </c>
      <c r="FUM32" t="s">
        <v>6984</v>
      </c>
      <c r="FUN32" t="s">
        <v>6984</v>
      </c>
      <c r="FUO32" t="s">
        <v>6984</v>
      </c>
      <c r="FUP32" t="s">
        <v>6984</v>
      </c>
      <c r="FUQ32" t="s">
        <v>6984</v>
      </c>
      <c r="FUR32" t="s">
        <v>6984</v>
      </c>
      <c r="FUS32" t="s">
        <v>6984</v>
      </c>
      <c r="FUT32" t="s">
        <v>6984</v>
      </c>
      <c r="FUU32" t="s">
        <v>6984</v>
      </c>
      <c r="FUV32" t="s">
        <v>6984</v>
      </c>
      <c r="FUW32" t="s">
        <v>6984</v>
      </c>
      <c r="FUX32" t="s">
        <v>6984</v>
      </c>
      <c r="FUY32" t="s">
        <v>6984</v>
      </c>
      <c r="FUZ32" t="s">
        <v>6984</v>
      </c>
      <c r="FVA32" t="s">
        <v>6984</v>
      </c>
      <c r="FVB32" t="s">
        <v>6984</v>
      </c>
      <c r="FVC32" t="s">
        <v>6984</v>
      </c>
      <c r="FVD32" t="s">
        <v>6984</v>
      </c>
      <c r="FVE32" t="s">
        <v>6984</v>
      </c>
      <c r="FVF32" t="s">
        <v>6984</v>
      </c>
      <c r="FVG32" t="s">
        <v>6984</v>
      </c>
      <c r="FVH32" t="s">
        <v>6984</v>
      </c>
      <c r="FVI32" t="s">
        <v>6984</v>
      </c>
      <c r="FVJ32" t="s">
        <v>6984</v>
      </c>
      <c r="FVK32" t="s">
        <v>6984</v>
      </c>
      <c r="FVL32" t="s">
        <v>6984</v>
      </c>
      <c r="FVM32" t="s">
        <v>6984</v>
      </c>
      <c r="FVN32" t="s">
        <v>6984</v>
      </c>
      <c r="FVO32" t="s">
        <v>6984</v>
      </c>
      <c r="FVP32" t="s">
        <v>6984</v>
      </c>
      <c r="FVQ32" t="s">
        <v>6984</v>
      </c>
      <c r="FVR32" t="s">
        <v>6984</v>
      </c>
      <c r="FVS32" t="s">
        <v>6984</v>
      </c>
      <c r="FVT32" t="s">
        <v>6984</v>
      </c>
      <c r="FVU32" t="s">
        <v>6984</v>
      </c>
      <c r="FVV32" t="s">
        <v>6984</v>
      </c>
      <c r="FVW32" t="s">
        <v>6984</v>
      </c>
      <c r="FVX32" t="s">
        <v>6984</v>
      </c>
      <c r="FVY32" t="s">
        <v>6984</v>
      </c>
      <c r="FVZ32" t="s">
        <v>6984</v>
      </c>
      <c r="FWA32" t="s">
        <v>6984</v>
      </c>
      <c r="FWB32" t="s">
        <v>6984</v>
      </c>
      <c r="FWC32" t="s">
        <v>6984</v>
      </c>
      <c r="FWD32" t="s">
        <v>6984</v>
      </c>
      <c r="FWE32" t="s">
        <v>6984</v>
      </c>
      <c r="FWF32" t="s">
        <v>6984</v>
      </c>
      <c r="FWG32" t="s">
        <v>6984</v>
      </c>
      <c r="FWH32" t="s">
        <v>6984</v>
      </c>
      <c r="FWI32" t="s">
        <v>6984</v>
      </c>
      <c r="FWJ32" t="s">
        <v>6984</v>
      </c>
      <c r="FWK32" t="s">
        <v>6984</v>
      </c>
      <c r="FWL32" t="s">
        <v>6984</v>
      </c>
      <c r="FWM32" t="s">
        <v>6984</v>
      </c>
      <c r="FWN32" t="s">
        <v>6984</v>
      </c>
      <c r="FWO32" t="s">
        <v>6984</v>
      </c>
      <c r="FWP32" t="s">
        <v>6984</v>
      </c>
      <c r="FWQ32" t="s">
        <v>6984</v>
      </c>
      <c r="FWR32" t="s">
        <v>6984</v>
      </c>
      <c r="FWS32" t="s">
        <v>6984</v>
      </c>
      <c r="FWT32" t="s">
        <v>6984</v>
      </c>
      <c r="FWU32" t="s">
        <v>6984</v>
      </c>
      <c r="FWV32" t="s">
        <v>6984</v>
      </c>
      <c r="FWW32" t="s">
        <v>6984</v>
      </c>
      <c r="FWX32" t="s">
        <v>6984</v>
      </c>
      <c r="FWY32" t="s">
        <v>6984</v>
      </c>
      <c r="FWZ32" t="s">
        <v>6984</v>
      </c>
      <c r="FXA32" t="s">
        <v>6984</v>
      </c>
      <c r="FXB32" t="s">
        <v>6984</v>
      </c>
      <c r="FXC32" t="s">
        <v>6984</v>
      </c>
      <c r="FXD32" t="s">
        <v>6984</v>
      </c>
      <c r="FXE32" t="s">
        <v>6984</v>
      </c>
      <c r="FXF32" t="s">
        <v>6984</v>
      </c>
      <c r="FXG32" t="s">
        <v>6984</v>
      </c>
      <c r="FXH32" t="s">
        <v>6984</v>
      </c>
      <c r="FXI32" t="s">
        <v>6984</v>
      </c>
      <c r="FXJ32" t="s">
        <v>6984</v>
      </c>
      <c r="FXK32" t="s">
        <v>6984</v>
      </c>
      <c r="FXL32" t="s">
        <v>6984</v>
      </c>
      <c r="FXM32" t="s">
        <v>6984</v>
      </c>
      <c r="FXN32" t="s">
        <v>6984</v>
      </c>
      <c r="FXO32" t="s">
        <v>6984</v>
      </c>
      <c r="FXP32" t="s">
        <v>6984</v>
      </c>
      <c r="FXQ32" t="s">
        <v>6984</v>
      </c>
      <c r="FXR32" t="s">
        <v>6984</v>
      </c>
      <c r="FXS32" t="s">
        <v>6984</v>
      </c>
      <c r="FXT32" t="s">
        <v>6984</v>
      </c>
      <c r="FXU32" t="s">
        <v>6984</v>
      </c>
      <c r="FXV32" t="s">
        <v>6984</v>
      </c>
      <c r="FXW32" t="s">
        <v>6984</v>
      </c>
      <c r="FXX32" t="s">
        <v>6984</v>
      </c>
      <c r="FXY32" t="s">
        <v>6984</v>
      </c>
      <c r="FXZ32" t="s">
        <v>6984</v>
      </c>
      <c r="FYA32" t="s">
        <v>6984</v>
      </c>
      <c r="FYB32" t="s">
        <v>6984</v>
      </c>
      <c r="FYC32" t="s">
        <v>6984</v>
      </c>
      <c r="FYD32" t="s">
        <v>6984</v>
      </c>
      <c r="FYE32" t="s">
        <v>6984</v>
      </c>
      <c r="FYF32" t="s">
        <v>6984</v>
      </c>
      <c r="FYG32" t="s">
        <v>6984</v>
      </c>
      <c r="FYH32" t="s">
        <v>6984</v>
      </c>
      <c r="FYI32" t="s">
        <v>6984</v>
      </c>
      <c r="FYJ32" t="s">
        <v>6984</v>
      </c>
      <c r="FYK32" t="s">
        <v>6984</v>
      </c>
      <c r="FYL32" t="s">
        <v>6984</v>
      </c>
      <c r="FYM32" t="s">
        <v>6984</v>
      </c>
      <c r="FYN32" t="s">
        <v>6984</v>
      </c>
      <c r="FYO32" t="s">
        <v>6984</v>
      </c>
      <c r="FYP32" t="s">
        <v>6984</v>
      </c>
      <c r="FYQ32" t="s">
        <v>6984</v>
      </c>
      <c r="FYR32" t="s">
        <v>6984</v>
      </c>
      <c r="FYS32" t="s">
        <v>6984</v>
      </c>
      <c r="FYT32" t="s">
        <v>6984</v>
      </c>
      <c r="FYU32" t="s">
        <v>6984</v>
      </c>
      <c r="FYV32" t="s">
        <v>6984</v>
      </c>
      <c r="FYW32" t="s">
        <v>6984</v>
      </c>
      <c r="FYX32" t="s">
        <v>6984</v>
      </c>
      <c r="FYY32" t="s">
        <v>6984</v>
      </c>
      <c r="FYZ32" t="s">
        <v>6984</v>
      </c>
      <c r="FZA32" t="s">
        <v>6984</v>
      </c>
      <c r="FZB32" t="s">
        <v>6984</v>
      </c>
      <c r="FZC32" t="s">
        <v>6984</v>
      </c>
      <c r="FZD32" t="s">
        <v>6984</v>
      </c>
      <c r="FZE32" t="s">
        <v>6984</v>
      </c>
      <c r="FZF32" t="s">
        <v>6984</v>
      </c>
      <c r="FZG32" t="s">
        <v>6984</v>
      </c>
      <c r="FZH32" t="s">
        <v>6984</v>
      </c>
      <c r="FZI32" t="s">
        <v>6984</v>
      </c>
      <c r="FZJ32" t="s">
        <v>6984</v>
      </c>
      <c r="FZK32" t="s">
        <v>6984</v>
      </c>
      <c r="FZL32" t="s">
        <v>6984</v>
      </c>
      <c r="FZM32" t="s">
        <v>6984</v>
      </c>
      <c r="FZN32" t="s">
        <v>6984</v>
      </c>
      <c r="FZO32" t="s">
        <v>6984</v>
      </c>
      <c r="FZP32" t="s">
        <v>6984</v>
      </c>
      <c r="FZQ32" t="s">
        <v>6984</v>
      </c>
      <c r="FZR32" t="s">
        <v>6984</v>
      </c>
      <c r="FZS32" t="s">
        <v>6984</v>
      </c>
      <c r="FZT32" t="s">
        <v>6984</v>
      </c>
      <c r="FZU32" t="s">
        <v>6984</v>
      </c>
      <c r="FZV32" t="s">
        <v>6984</v>
      </c>
      <c r="FZW32" t="s">
        <v>6984</v>
      </c>
      <c r="FZX32" t="s">
        <v>6984</v>
      </c>
      <c r="FZY32" t="s">
        <v>6984</v>
      </c>
      <c r="FZZ32" t="s">
        <v>6984</v>
      </c>
      <c r="GAA32" t="s">
        <v>6984</v>
      </c>
      <c r="GAB32" t="s">
        <v>6984</v>
      </c>
      <c r="GAC32" t="s">
        <v>6984</v>
      </c>
      <c r="GAD32" t="s">
        <v>6984</v>
      </c>
      <c r="GAE32" t="s">
        <v>6984</v>
      </c>
      <c r="GAF32" t="s">
        <v>6984</v>
      </c>
      <c r="GAG32" t="s">
        <v>6984</v>
      </c>
      <c r="GAH32" t="s">
        <v>6984</v>
      </c>
      <c r="GAI32" t="s">
        <v>6984</v>
      </c>
      <c r="GAJ32" t="s">
        <v>6984</v>
      </c>
      <c r="GAK32" t="s">
        <v>6984</v>
      </c>
      <c r="GAL32" t="s">
        <v>6984</v>
      </c>
      <c r="GAM32" t="s">
        <v>6984</v>
      </c>
      <c r="GAN32" t="s">
        <v>6984</v>
      </c>
      <c r="GAO32" t="s">
        <v>6984</v>
      </c>
      <c r="GAP32" t="s">
        <v>6984</v>
      </c>
      <c r="GAQ32" t="s">
        <v>6984</v>
      </c>
      <c r="GAR32" t="s">
        <v>6984</v>
      </c>
      <c r="GAS32" t="s">
        <v>6984</v>
      </c>
      <c r="GAT32" t="s">
        <v>6984</v>
      </c>
      <c r="GAU32" t="s">
        <v>6984</v>
      </c>
      <c r="GAV32" t="s">
        <v>6984</v>
      </c>
      <c r="GAW32" t="s">
        <v>6984</v>
      </c>
      <c r="GAX32" t="s">
        <v>6984</v>
      </c>
      <c r="GAY32" t="s">
        <v>6984</v>
      </c>
      <c r="GAZ32" t="s">
        <v>6984</v>
      </c>
      <c r="GBA32" t="s">
        <v>6984</v>
      </c>
      <c r="GBB32" t="s">
        <v>6984</v>
      </c>
      <c r="GBC32" t="s">
        <v>6984</v>
      </c>
      <c r="GBD32" t="s">
        <v>6984</v>
      </c>
      <c r="GBE32" t="s">
        <v>6984</v>
      </c>
      <c r="GBF32" t="s">
        <v>6984</v>
      </c>
      <c r="GBG32" t="s">
        <v>6984</v>
      </c>
      <c r="GBH32" t="s">
        <v>6984</v>
      </c>
      <c r="GBI32" t="s">
        <v>6984</v>
      </c>
      <c r="GBJ32" t="s">
        <v>6984</v>
      </c>
      <c r="GBK32" t="s">
        <v>6984</v>
      </c>
      <c r="GBL32" t="s">
        <v>6984</v>
      </c>
      <c r="GBM32" t="s">
        <v>6984</v>
      </c>
      <c r="GBN32" t="s">
        <v>6984</v>
      </c>
      <c r="GBO32" t="s">
        <v>6984</v>
      </c>
      <c r="GBP32" t="s">
        <v>6984</v>
      </c>
      <c r="GBQ32" t="s">
        <v>6984</v>
      </c>
      <c r="GBR32" t="s">
        <v>6984</v>
      </c>
      <c r="GBS32" t="s">
        <v>6984</v>
      </c>
      <c r="GBT32" t="s">
        <v>6984</v>
      </c>
      <c r="GBU32" t="s">
        <v>6984</v>
      </c>
      <c r="GBV32" t="s">
        <v>6984</v>
      </c>
      <c r="GBW32" t="s">
        <v>6984</v>
      </c>
      <c r="GBX32" t="s">
        <v>6984</v>
      </c>
      <c r="GBY32" t="s">
        <v>6984</v>
      </c>
      <c r="GBZ32" t="s">
        <v>6984</v>
      </c>
      <c r="GCA32" t="s">
        <v>6984</v>
      </c>
      <c r="GCB32" t="s">
        <v>6984</v>
      </c>
      <c r="GCC32" t="s">
        <v>6984</v>
      </c>
      <c r="GCD32" t="s">
        <v>6984</v>
      </c>
      <c r="GCE32" t="s">
        <v>6984</v>
      </c>
      <c r="GCF32" t="s">
        <v>6984</v>
      </c>
      <c r="GCG32" t="s">
        <v>6984</v>
      </c>
      <c r="GCH32" t="s">
        <v>6984</v>
      </c>
      <c r="GCI32" t="s">
        <v>6984</v>
      </c>
      <c r="GCJ32" t="s">
        <v>6984</v>
      </c>
      <c r="GCK32" t="s">
        <v>6984</v>
      </c>
      <c r="GCL32" t="s">
        <v>6984</v>
      </c>
      <c r="GCM32" t="s">
        <v>6984</v>
      </c>
      <c r="GCN32" t="s">
        <v>6984</v>
      </c>
      <c r="GCO32" t="s">
        <v>6984</v>
      </c>
      <c r="GCP32" t="s">
        <v>6984</v>
      </c>
      <c r="GCQ32" t="s">
        <v>6984</v>
      </c>
      <c r="GCR32" t="s">
        <v>6984</v>
      </c>
      <c r="GCS32" t="s">
        <v>6984</v>
      </c>
      <c r="GCT32" t="s">
        <v>6984</v>
      </c>
      <c r="GCU32" t="s">
        <v>6984</v>
      </c>
      <c r="GCV32" t="s">
        <v>6984</v>
      </c>
      <c r="GCW32" t="s">
        <v>6984</v>
      </c>
      <c r="GCX32" t="s">
        <v>6984</v>
      </c>
      <c r="GCY32" t="s">
        <v>6984</v>
      </c>
      <c r="GCZ32" t="s">
        <v>6984</v>
      </c>
      <c r="GDA32" t="s">
        <v>6984</v>
      </c>
      <c r="GDB32" t="s">
        <v>6984</v>
      </c>
      <c r="GDC32" t="s">
        <v>6984</v>
      </c>
      <c r="GDD32" t="s">
        <v>6984</v>
      </c>
      <c r="GDE32" t="s">
        <v>6984</v>
      </c>
      <c r="GDF32" t="s">
        <v>6984</v>
      </c>
      <c r="GDG32" t="s">
        <v>6984</v>
      </c>
      <c r="GDH32" t="s">
        <v>6984</v>
      </c>
      <c r="GDI32" t="s">
        <v>6984</v>
      </c>
      <c r="GDJ32" t="s">
        <v>6984</v>
      </c>
      <c r="GDK32" t="s">
        <v>6984</v>
      </c>
      <c r="GDL32" t="s">
        <v>6984</v>
      </c>
      <c r="GDM32" t="s">
        <v>6984</v>
      </c>
      <c r="GDN32" t="s">
        <v>6984</v>
      </c>
      <c r="GDO32" t="s">
        <v>6984</v>
      </c>
      <c r="GDP32" t="s">
        <v>6984</v>
      </c>
      <c r="GDQ32" t="s">
        <v>6984</v>
      </c>
      <c r="GDR32" t="s">
        <v>6984</v>
      </c>
      <c r="GDS32" t="s">
        <v>6984</v>
      </c>
      <c r="GDT32" t="s">
        <v>6984</v>
      </c>
      <c r="GDU32" t="s">
        <v>6984</v>
      </c>
      <c r="GDV32" t="s">
        <v>6984</v>
      </c>
      <c r="GDW32" t="s">
        <v>6984</v>
      </c>
      <c r="GDX32" t="s">
        <v>6984</v>
      </c>
      <c r="GDY32" t="s">
        <v>6984</v>
      </c>
      <c r="GDZ32" t="s">
        <v>6984</v>
      </c>
      <c r="GEA32" t="s">
        <v>6984</v>
      </c>
      <c r="GEB32" t="s">
        <v>6984</v>
      </c>
      <c r="GEC32" t="s">
        <v>6984</v>
      </c>
      <c r="GED32" t="s">
        <v>6984</v>
      </c>
      <c r="GEE32" t="s">
        <v>6984</v>
      </c>
      <c r="GEF32" t="s">
        <v>6984</v>
      </c>
      <c r="GEG32" t="s">
        <v>6984</v>
      </c>
      <c r="GEH32" t="s">
        <v>6984</v>
      </c>
      <c r="GEI32" t="s">
        <v>6984</v>
      </c>
      <c r="GEJ32" t="s">
        <v>6984</v>
      </c>
      <c r="GEK32" t="s">
        <v>6984</v>
      </c>
      <c r="GEL32" t="s">
        <v>6984</v>
      </c>
      <c r="GEM32" t="s">
        <v>6984</v>
      </c>
      <c r="GEN32" t="s">
        <v>6984</v>
      </c>
      <c r="GEO32" t="s">
        <v>6984</v>
      </c>
      <c r="GEP32" t="s">
        <v>6984</v>
      </c>
      <c r="GEQ32" t="s">
        <v>6984</v>
      </c>
      <c r="GER32" t="s">
        <v>6984</v>
      </c>
      <c r="GES32" t="s">
        <v>6984</v>
      </c>
      <c r="GET32" t="s">
        <v>6984</v>
      </c>
      <c r="GEU32" t="s">
        <v>6984</v>
      </c>
      <c r="GEV32" t="s">
        <v>6984</v>
      </c>
      <c r="GEW32" t="s">
        <v>6984</v>
      </c>
      <c r="GEX32" t="s">
        <v>6984</v>
      </c>
      <c r="GEY32" t="s">
        <v>6984</v>
      </c>
      <c r="GEZ32" t="s">
        <v>6984</v>
      </c>
      <c r="GFA32" t="s">
        <v>6984</v>
      </c>
      <c r="GFB32" t="s">
        <v>6984</v>
      </c>
      <c r="GFC32" t="s">
        <v>6984</v>
      </c>
      <c r="GFD32" t="s">
        <v>6984</v>
      </c>
      <c r="GFE32" t="s">
        <v>6984</v>
      </c>
      <c r="GFF32" t="s">
        <v>6984</v>
      </c>
      <c r="GFG32" t="s">
        <v>6984</v>
      </c>
      <c r="GFH32" t="s">
        <v>6984</v>
      </c>
      <c r="GFI32" t="s">
        <v>6984</v>
      </c>
      <c r="GFJ32" t="s">
        <v>6984</v>
      </c>
      <c r="GFK32" t="s">
        <v>6984</v>
      </c>
      <c r="GFL32" t="s">
        <v>6984</v>
      </c>
      <c r="GFM32" t="s">
        <v>6984</v>
      </c>
      <c r="GFN32" t="s">
        <v>6984</v>
      </c>
      <c r="GFO32" t="s">
        <v>6984</v>
      </c>
      <c r="GFP32" t="s">
        <v>6984</v>
      </c>
      <c r="GFQ32" t="s">
        <v>6984</v>
      </c>
      <c r="GFR32" t="s">
        <v>6984</v>
      </c>
      <c r="GFS32" t="s">
        <v>6984</v>
      </c>
      <c r="GFT32" t="s">
        <v>6984</v>
      </c>
      <c r="GFU32" t="s">
        <v>6984</v>
      </c>
      <c r="GFV32" t="s">
        <v>6984</v>
      </c>
      <c r="GFW32" t="s">
        <v>6984</v>
      </c>
      <c r="GFX32" t="s">
        <v>6984</v>
      </c>
      <c r="GFY32" t="s">
        <v>6984</v>
      </c>
      <c r="GFZ32" t="s">
        <v>6984</v>
      </c>
      <c r="GGA32" t="s">
        <v>6984</v>
      </c>
      <c r="GGB32" t="s">
        <v>6984</v>
      </c>
      <c r="GGC32" t="s">
        <v>6984</v>
      </c>
      <c r="GGD32" t="s">
        <v>6984</v>
      </c>
      <c r="GGE32" t="s">
        <v>6984</v>
      </c>
      <c r="GGF32" t="s">
        <v>6984</v>
      </c>
      <c r="GGG32" t="s">
        <v>6984</v>
      </c>
      <c r="GGH32" t="s">
        <v>6984</v>
      </c>
      <c r="GGI32" t="s">
        <v>6984</v>
      </c>
      <c r="GGJ32" t="s">
        <v>6984</v>
      </c>
      <c r="GGK32" t="s">
        <v>6984</v>
      </c>
      <c r="GGL32" t="s">
        <v>6984</v>
      </c>
      <c r="GGM32" t="s">
        <v>6984</v>
      </c>
      <c r="GGN32" t="s">
        <v>6984</v>
      </c>
      <c r="GGO32" t="s">
        <v>6984</v>
      </c>
      <c r="GGP32" t="s">
        <v>6984</v>
      </c>
      <c r="GGQ32" t="s">
        <v>6984</v>
      </c>
      <c r="GGR32" t="s">
        <v>6984</v>
      </c>
      <c r="GGS32" t="s">
        <v>6984</v>
      </c>
      <c r="GGT32" t="s">
        <v>6984</v>
      </c>
      <c r="GGU32" t="s">
        <v>6984</v>
      </c>
      <c r="GGV32" t="s">
        <v>6984</v>
      </c>
      <c r="GGW32" t="s">
        <v>6984</v>
      </c>
      <c r="GGX32" t="s">
        <v>6984</v>
      </c>
      <c r="GGY32" t="s">
        <v>6984</v>
      </c>
      <c r="GGZ32" t="s">
        <v>6984</v>
      </c>
      <c r="GHA32" t="s">
        <v>6984</v>
      </c>
      <c r="GHB32" t="s">
        <v>6984</v>
      </c>
      <c r="GHC32" t="s">
        <v>6984</v>
      </c>
      <c r="GHD32" t="s">
        <v>6984</v>
      </c>
      <c r="GHE32" t="s">
        <v>6984</v>
      </c>
      <c r="GHF32" t="s">
        <v>6984</v>
      </c>
      <c r="GHG32" t="s">
        <v>6984</v>
      </c>
      <c r="GHH32" t="s">
        <v>6984</v>
      </c>
      <c r="GHI32" t="s">
        <v>6984</v>
      </c>
      <c r="GHJ32" t="s">
        <v>6984</v>
      </c>
      <c r="GHK32" t="s">
        <v>6984</v>
      </c>
      <c r="GHL32" t="s">
        <v>6984</v>
      </c>
      <c r="GHM32" t="s">
        <v>6984</v>
      </c>
      <c r="GHN32" t="s">
        <v>6984</v>
      </c>
      <c r="GHO32" t="s">
        <v>6984</v>
      </c>
      <c r="GHP32" t="s">
        <v>6984</v>
      </c>
      <c r="GHQ32" t="s">
        <v>6984</v>
      </c>
      <c r="GHR32" t="s">
        <v>6984</v>
      </c>
      <c r="GHS32" t="s">
        <v>6984</v>
      </c>
      <c r="GHT32" t="s">
        <v>6984</v>
      </c>
      <c r="GHU32" t="s">
        <v>6984</v>
      </c>
      <c r="GHV32" t="s">
        <v>6984</v>
      </c>
      <c r="GHW32" t="s">
        <v>6984</v>
      </c>
      <c r="GHX32" t="s">
        <v>6984</v>
      </c>
      <c r="GHY32" t="s">
        <v>6984</v>
      </c>
      <c r="GHZ32" t="s">
        <v>6984</v>
      </c>
      <c r="GIA32" t="s">
        <v>6984</v>
      </c>
      <c r="GIB32" t="s">
        <v>6984</v>
      </c>
      <c r="GIC32" t="s">
        <v>6984</v>
      </c>
      <c r="GID32" t="s">
        <v>6984</v>
      </c>
      <c r="GIE32" t="s">
        <v>6984</v>
      </c>
      <c r="GIF32" t="s">
        <v>6984</v>
      </c>
      <c r="GIG32" t="s">
        <v>6984</v>
      </c>
      <c r="GIH32" t="s">
        <v>6984</v>
      </c>
      <c r="GII32" t="s">
        <v>6984</v>
      </c>
      <c r="GIJ32" t="s">
        <v>6984</v>
      </c>
      <c r="GIK32" t="s">
        <v>6984</v>
      </c>
      <c r="GIL32" t="s">
        <v>6984</v>
      </c>
      <c r="GIM32" t="s">
        <v>6984</v>
      </c>
      <c r="GIN32" t="s">
        <v>6984</v>
      </c>
      <c r="GIO32" t="s">
        <v>6984</v>
      </c>
      <c r="GIP32" t="s">
        <v>6984</v>
      </c>
      <c r="GIQ32" t="s">
        <v>6984</v>
      </c>
      <c r="GIR32" t="s">
        <v>6984</v>
      </c>
      <c r="GIS32" t="s">
        <v>6984</v>
      </c>
      <c r="GIT32" t="s">
        <v>6984</v>
      </c>
      <c r="GIU32" t="s">
        <v>6984</v>
      </c>
      <c r="GIV32" t="s">
        <v>6984</v>
      </c>
      <c r="GIW32" t="s">
        <v>6984</v>
      </c>
      <c r="GIX32" t="s">
        <v>6984</v>
      </c>
      <c r="GIY32" t="s">
        <v>6984</v>
      </c>
      <c r="GIZ32" t="s">
        <v>6984</v>
      </c>
      <c r="GJA32" t="s">
        <v>6984</v>
      </c>
      <c r="GJB32" t="s">
        <v>6984</v>
      </c>
      <c r="GJC32" t="s">
        <v>6984</v>
      </c>
      <c r="GJD32" t="s">
        <v>6984</v>
      </c>
      <c r="GJE32" t="s">
        <v>6984</v>
      </c>
      <c r="GJF32" t="s">
        <v>6984</v>
      </c>
      <c r="GJG32" t="s">
        <v>6984</v>
      </c>
      <c r="GJH32" t="s">
        <v>6984</v>
      </c>
      <c r="GJI32" t="s">
        <v>6984</v>
      </c>
      <c r="GJJ32" t="s">
        <v>6984</v>
      </c>
      <c r="GJK32" t="s">
        <v>6984</v>
      </c>
      <c r="GJL32" t="s">
        <v>6984</v>
      </c>
      <c r="GJM32" t="s">
        <v>6984</v>
      </c>
      <c r="GJN32" t="s">
        <v>6984</v>
      </c>
      <c r="GJO32" t="s">
        <v>6984</v>
      </c>
      <c r="GJP32" t="s">
        <v>6984</v>
      </c>
      <c r="GJQ32" t="s">
        <v>6984</v>
      </c>
      <c r="GJR32" t="s">
        <v>6984</v>
      </c>
      <c r="GJS32" t="s">
        <v>6984</v>
      </c>
      <c r="GJT32" t="s">
        <v>6984</v>
      </c>
      <c r="GJU32" t="s">
        <v>6984</v>
      </c>
      <c r="GJV32" t="s">
        <v>6984</v>
      </c>
      <c r="GJW32" t="s">
        <v>6984</v>
      </c>
      <c r="GJX32" t="s">
        <v>6984</v>
      </c>
      <c r="GJY32" t="s">
        <v>6984</v>
      </c>
      <c r="GJZ32" t="s">
        <v>6984</v>
      </c>
      <c r="GKA32" t="s">
        <v>6984</v>
      </c>
      <c r="GKB32" t="s">
        <v>6984</v>
      </c>
      <c r="GKC32" t="s">
        <v>6984</v>
      </c>
      <c r="GKD32" t="s">
        <v>6984</v>
      </c>
      <c r="GKE32" t="s">
        <v>6984</v>
      </c>
      <c r="GKF32" t="s">
        <v>6984</v>
      </c>
      <c r="GKG32" t="s">
        <v>6984</v>
      </c>
      <c r="GKH32" t="s">
        <v>6984</v>
      </c>
      <c r="GKI32" t="s">
        <v>6984</v>
      </c>
      <c r="GKJ32" t="s">
        <v>6984</v>
      </c>
      <c r="GKK32" t="s">
        <v>6984</v>
      </c>
      <c r="GKL32" t="s">
        <v>6984</v>
      </c>
      <c r="GKM32" t="s">
        <v>6984</v>
      </c>
      <c r="GKN32" t="s">
        <v>6984</v>
      </c>
      <c r="GKO32" t="s">
        <v>6984</v>
      </c>
      <c r="GKP32" t="s">
        <v>6984</v>
      </c>
      <c r="GKQ32" t="s">
        <v>6984</v>
      </c>
      <c r="GKR32" t="s">
        <v>6984</v>
      </c>
      <c r="GKS32" t="s">
        <v>6984</v>
      </c>
      <c r="GKT32" t="s">
        <v>6984</v>
      </c>
      <c r="GKU32" t="s">
        <v>6984</v>
      </c>
      <c r="GKV32" t="s">
        <v>6984</v>
      </c>
      <c r="GKW32" t="s">
        <v>6984</v>
      </c>
      <c r="GKX32" t="s">
        <v>6984</v>
      </c>
      <c r="GKY32" t="s">
        <v>6984</v>
      </c>
      <c r="GKZ32" t="s">
        <v>6984</v>
      </c>
      <c r="GLA32" t="s">
        <v>6984</v>
      </c>
      <c r="GLB32" t="s">
        <v>6984</v>
      </c>
      <c r="GLC32" t="s">
        <v>6984</v>
      </c>
      <c r="GLD32" t="s">
        <v>6984</v>
      </c>
      <c r="GLE32" t="s">
        <v>6984</v>
      </c>
      <c r="GLF32" t="s">
        <v>6984</v>
      </c>
      <c r="GLG32" t="s">
        <v>6984</v>
      </c>
      <c r="GLH32" t="s">
        <v>6984</v>
      </c>
      <c r="GLI32" t="s">
        <v>6984</v>
      </c>
      <c r="GLJ32" t="s">
        <v>6984</v>
      </c>
      <c r="GLK32" t="s">
        <v>6984</v>
      </c>
      <c r="GLL32" t="s">
        <v>6984</v>
      </c>
      <c r="GLM32" t="s">
        <v>6984</v>
      </c>
      <c r="GLN32" t="s">
        <v>6984</v>
      </c>
      <c r="GLO32" t="s">
        <v>6984</v>
      </c>
      <c r="GLP32" t="s">
        <v>6984</v>
      </c>
      <c r="GLQ32" t="s">
        <v>6984</v>
      </c>
      <c r="GLR32" t="s">
        <v>6984</v>
      </c>
      <c r="GLS32" t="s">
        <v>6984</v>
      </c>
      <c r="GLT32" t="s">
        <v>6984</v>
      </c>
      <c r="GLU32" t="s">
        <v>6984</v>
      </c>
      <c r="GLV32" t="s">
        <v>6984</v>
      </c>
      <c r="GLW32" t="s">
        <v>6984</v>
      </c>
      <c r="GLX32" t="s">
        <v>6984</v>
      </c>
      <c r="GLY32" t="s">
        <v>6984</v>
      </c>
      <c r="GLZ32" t="s">
        <v>6984</v>
      </c>
      <c r="GMA32" t="s">
        <v>6984</v>
      </c>
      <c r="GMB32" t="s">
        <v>6984</v>
      </c>
      <c r="GMC32" t="s">
        <v>6984</v>
      </c>
      <c r="GMD32" t="s">
        <v>6984</v>
      </c>
      <c r="GME32" t="s">
        <v>6984</v>
      </c>
      <c r="GMF32" t="s">
        <v>6984</v>
      </c>
      <c r="GMG32" t="s">
        <v>6984</v>
      </c>
      <c r="GMH32" t="s">
        <v>6984</v>
      </c>
      <c r="GMI32" t="s">
        <v>6984</v>
      </c>
      <c r="GMJ32" t="s">
        <v>6984</v>
      </c>
      <c r="GMK32" t="s">
        <v>6984</v>
      </c>
      <c r="GML32" t="s">
        <v>6984</v>
      </c>
      <c r="GMM32" t="s">
        <v>6984</v>
      </c>
      <c r="GMN32" t="s">
        <v>6984</v>
      </c>
      <c r="GMO32" t="s">
        <v>6984</v>
      </c>
      <c r="GMP32" t="s">
        <v>6984</v>
      </c>
      <c r="GMQ32" t="s">
        <v>6984</v>
      </c>
      <c r="GMR32" t="s">
        <v>6984</v>
      </c>
      <c r="GMS32" t="s">
        <v>6984</v>
      </c>
      <c r="GMT32" t="s">
        <v>6984</v>
      </c>
      <c r="GMU32" t="s">
        <v>6984</v>
      </c>
      <c r="GMV32" t="s">
        <v>6984</v>
      </c>
      <c r="GMW32" t="s">
        <v>6984</v>
      </c>
      <c r="GMX32" t="s">
        <v>6984</v>
      </c>
      <c r="GMY32" t="s">
        <v>6984</v>
      </c>
      <c r="GMZ32" t="s">
        <v>6984</v>
      </c>
      <c r="GNA32" t="s">
        <v>6984</v>
      </c>
      <c r="GNB32" t="s">
        <v>6984</v>
      </c>
      <c r="GNC32" t="s">
        <v>6984</v>
      </c>
      <c r="GND32" t="s">
        <v>6984</v>
      </c>
      <c r="GNE32" t="s">
        <v>6984</v>
      </c>
      <c r="GNF32" t="s">
        <v>6984</v>
      </c>
      <c r="GNG32" t="s">
        <v>6984</v>
      </c>
      <c r="GNH32" t="s">
        <v>6984</v>
      </c>
      <c r="GNI32" t="s">
        <v>6984</v>
      </c>
      <c r="GNJ32" t="s">
        <v>6984</v>
      </c>
      <c r="GNK32" t="s">
        <v>6984</v>
      </c>
      <c r="GNL32" t="s">
        <v>6984</v>
      </c>
      <c r="GNM32" t="s">
        <v>6984</v>
      </c>
      <c r="GNN32" t="s">
        <v>6984</v>
      </c>
      <c r="GNO32" t="s">
        <v>6984</v>
      </c>
      <c r="GNP32" t="s">
        <v>6984</v>
      </c>
      <c r="GNQ32" t="s">
        <v>6984</v>
      </c>
      <c r="GNR32" t="s">
        <v>6984</v>
      </c>
      <c r="GNS32" t="s">
        <v>6984</v>
      </c>
      <c r="GNT32" t="s">
        <v>6984</v>
      </c>
      <c r="GNU32" t="s">
        <v>6984</v>
      </c>
      <c r="GNV32" t="s">
        <v>6984</v>
      </c>
      <c r="GNW32" t="s">
        <v>6984</v>
      </c>
      <c r="GNX32" t="s">
        <v>6984</v>
      </c>
      <c r="GNY32" t="s">
        <v>6984</v>
      </c>
      <c r="GNZ32" t="s">
        <v>6984</v>
      </c>
      <c r="GOA32" t="s">
        <v>6984</v>
      </c>
      <c r="GOB32" t="s">
        <v>6984</v>
      </c>
      <c r="GOC32" t="s">
        <v>6984</v>
      </c>
      <c r="GOD32" t="s">
        <v>6984</v>
      </c>
      <c r="GOE32" t="s">
        <v>6984</v>
      </c>
      <c r="GOF32" t="s">
        <v>6984</v>
      </c>
      <c r="GOG32" t="s">
        <v>6984</v>
      </c>
      <c r="GOH32" t="s">
        <v>6984</v>
      </c>
      <c r="GOI32" t="s">
        <v>6984</v>
      </c>
      <c r="GOJ32" t="s">
        <v>6984</v>
      </c>
      <c r="GOK32" t="s">
        <v>6984</v>
      </c>
      <c r="GOL32" t="s">
        <v>6984</v>
      </c>
      <c r="GOM32" t="s">
        <v>6984</v>
      </c>
      <c r="GON32" t="s">
        <v>6984</v>
      </c>
      <c r="GOO32" t="s">
        <v>6984</v>
      </c>
      <c r="GOP32" t="s">
        <v>6984</v>
      </c>
      <c r="GOQ32" t="s">
        <v>6984</v>
      </c>
      <c r="GOR32" t="s">
        <v>6984</v>
      </c>
      <c r="GOS32" t="s">
        <v>6984</v>
      </c>
      <c r="GOT32" t="s">
        <v>6984</v>
      </c>
      <c r="GOU32" t="s">
        <v>6984</v>
      </c>
      <c r="GOV32" t="s">
        <v>6984</v>
      </c>
      <c r="GOW32" t="s">
        <v>6984</v>
      </c>
      <c r="GOX32" t="s">
        <v>6984</v>
      </c>
      <c r="GOY32" t="s">
        <v>6984</v>
      </c>
      <c r="GOZ32" t="s">
        <v>6984</v>
      </c>
      <c r="GPA32" t="s">
        <v>6984</v>
      </c>
      <c r="GPB32" t="s">
        <v>6984</v>
      </c>
      <c r="GPC32" t="s">
        <v>6984</v>
      </c>
      <c r="GPD32" t="s">
        <v>6984</v>
      </c>
      <c r="GPE32" t="s">
        <v>6984</v>
      </c>
      <c r="GPF32" t="s">
        <v>6984</v>
      </c>
      <c r="GPG32" t="s">
        <v>6984</v>
      </c>
      <c r="GPH32" t="s">
        <v>6984</v>
      </c>
      <c r="GPI32" t="s">
        <v>6984</v>
      </c>
      <c r="GPJ32" t="s">
        <v>6984</v>
      </c>
      <c r="GPK32" t="s">
        <v>6984</v>
      </c>
      <c r="GPL32" t="s">
        <v>6984</v>
      </c>
      <c r="GPM32" t="s">
        <v>6984</v>
      </c>
      <c r="GPN32" t="s">
        <v>6984</v>
      </c>
      <c r="GPO32" t="s">
        <v>6984</v>
      </c>
      <c r="GPP32" t="s">
        <v>6984</v>
      </c>
      <c r="GPQ32" t="s">
        <v>6984</v>
      </c>
      <c r="GPR32" t="s">
        <v>6984</v>
      </c>
      <c r="GPS32" t="s">
        <v>6984</v>
      </c>
      <c r="GPT32" t="s">
        <v>6984</v>
      </c>
      <c r="GPU32" t="s">
        <v>6984</v>
      </c>
      <c r="GPV32" t="s">
        <v>6984</v>
      </c>
      <c r="GPW32" t="s">
        <v>6984</v>
      </c>
      <c r="GPX32" t="s">
        <v>6984</v>
      </c>
      <c r="GPY32" t="s">
        <v>6984</v>
      </c>
      <c r="GPZ32" t="s">
        <v>6984</v>
      </c>
      <c r="GQA32" t="s">
        <v>6984</v>
      </c>
      <c r="GQB32" t="s">
        <v>6984</v>
      </c>
      <c r="GQC32" t="s">
        <v>6984</v>
      </c>
      <c r="GQD32" t="s">
        <v>6984</v>
      </c>
      <c r="GQE32" t="s">
        <v>6984</v>
      </c>
      <c r="GQF32" t="s">
        <v>6984</v>
      </c>
      <c r="GQG32" t="s">
        <v>6984</v>
      </c>
      <c r="GQH32" t="s">
        <v>6984</v>
      </c>
      <c r="GQI32" t="s">
        <v>6984</v>
      </c>
      <c r="GQJ32" t="s">
        <v>6984</v>
      </c>
      <c r="GQK32" t="s">
        <v>6984</v>
      </c>
      <c r="GQL32" t="s">
        <v>6984</v>
      </c>
      <c r="GQM32" t="s">
        <v>6984</v>
      </c>
      <c r="GQN32" t="s">
        <v>6984</v>
      </c>
      <c r="GQO32" t="s">
        <v>6984</v>
      </c>
      <c r="GQP32" t="s">
        <v>6984</v>
      </c>
      <c r="GQQ32" t="s">
        <v>6984</v>
      </c>
      <c r="GQR32" t="s">
        <v>6984</v>
      </c>
      <c r="GQS32" t="s">
        <v>6984</v>
      </c>
      <c r="GQT32" t="s">
        <v>6984</v>
      </c>
      <c r="GQU32" t="s">
        <v>6984</v>
      </c>
      <c r="GQV32" t="s">
        <v>6984</v>
      </c>
      <c r="GQW32" t="s">
        <v>6984</v>
      </c>
      <c r="GQX32" t="s">
        <v>6984</v>
      </c>
      <c r="GQY32" t="s">
        <v>6984</v>
      </c>
      <c r="GQZ32" t="s">
        <v>6984</v>
      </c>
      <c r="GRA32" t="s">
        <v>6984</v>
      </c>
      <c r="GRB32" t="s">
        <v>6984</v>
      </c>
      <c r="GRC32" t="s">
        <v>6984</v>
      </c>
      <c r="GRD32" t="s">
        <v>6984</v>
      </c>
      <c r="GRE32" t="s">
        <v>6984</v>
      </c>
      <c r="GRF32" t="s">
        <v>6984</v>
      </c>
      <c r="GRG32" t="s">
        <v>6984</v>
      </c>
      <c r="GRH32" t="s">
        <v>6984</v>
      </c>
      <c r="GRI32" t="s">
        <v>6984</v>
      </c>
      <c r="GRJ32" t="s">
        <v>6984</v>
      </c>
      <c r="GRK32" t="s">
        <v>6984</v>
      </c>
      <c r="GRL32" t="s">
        <v>6984</v>
      </c>
      <c r="GRM32" t="s">
        <v>6984</v>
      </c>
      <c r="GRN32" t="s">
        <v>6984</v>
      </c>
      <c r="GRO32" t="s">
        <v>6984</v>
      </c>
      <c r="GRP32" t="s">
        <v>6984</v>
      </c>
      <c r="GRQ32" t="s">
        <v>6984</v>
      </c>
      <c r="GRR32" t="s">
        <v>6984</v>
      </c>
      <c r="GRS32" t="s">
        <v>6984</v>
      </c>
      <c r="GRT32" t="s">
        <v>6984</v>
      </c>
      <c r="GRU32" t="s">
        <v>6984</v>
      </c>
      <c r="GRV32" t="s">
        <v>6984</v>
      </c>
      <c r="GRW32" t="s">
        <v>6984</v>
      </c>
      <c r="GRX32" t="s">
        <v>6984</v>
      </c>
      <c r="GRY32" t="s">
        <v>6984</v>
      </c>
      <c r="GRZ32" t="s">
        <v>6984</v>
      </c>
      <c r="GSA32" t="s">
        <v>6984</v>
      </c>
      <c r="GSB32" t="s">
        <v>6984</v>
      </c>
      <c r="GSC32" t="s">
        <v>6984</v>
      </c>
      <c r="GSD32" t="s">
        <v>6984</v>
      </c>
      <c r="GSE32" t="s">
        <v>6984</v>
      </c>
      <c r="GSF32" t="s">
        <v>6984</v>
      </c>
      <c r="GSG32" t="s">
        <v>6984</v>
      </c>
      <c r="GSH32" t="s">
        <v>6984</v>
      </c>
      <c r="GSI32" t="s">
        <v>6984</v>
      </c>
      <c r="GSJ32" t="s">
        <v>6984</v>
      </c>
      <c r="GSK32" t="s">
        <v>6984</v>
      </c>
      <c r="GSL32" t="s">
        <v>6984</v>
      </c>
      <c r="GSM32" t="s">
        <v>6984</v>
      </c>
      <c r="GSN32" t="s">
        <v>6984</v>
      </c>
      <c r="GSO32" t="s">
        <v>6984</v>
      </c>
      <c r="GSP32" t="s">
        <v>6984</v>
      </c>
      <c r="GSQ32" t="s">
        <v>6984</v>
      </c>
      <c r="GSR32" t="s">
        <v>6984</v>
      </c>
      <c r="GSS32" t="s">
        <v>6984</v>
      </c>
      <c r="GST32" t="s">
        <v>6984</v>
      </c>
      <c r="GSU32" t="s">
        <v>6984</v>
      </c>
      <c r="GSV32" t="s">
        <v>6984</v>
      </c>
      <c r="GSW32" t="s">
        <v>6984</v>
      </c>
      <c r="GSX32" t="s">
        <v>6984</v>
      </c>
      <c r="GSY32" t="s">
        <v>6984</v>
      </c>
      <c r="GSZ32" t="s">
        <v>6984</v>
      </c>
      <c r="GTA32" t="s">
        <v>6984</v>
      </c>
      <c r="GTB32" t="s">
        <v>6984</v>
      </c>
      <c r="GTC32" t="s">
        <v>6984</v>
      </c>
      <c r="GTD32" t="s">
        <v>6984</v>
      </c>
      <c r="GTE32" t="s">
        <v>6984</v>
      </c>
      <c r="GTF32" t="s">
        <v>6984</v>
      </c>
      <c r="GTG32" t="s">
        <v>6984</v>
      </c>
      <c r="GTH32" t="s">
        <v>6984</v>
      </c>
      <c r="GTI32" t="s">
        <v>6984</v>
      </c>
      <c r="GTJ32" t="s">
        <v>6984</v>
      </c>
      <c r="GTK32" t="s">
        <v>6984</v>
      </c>
      <c r="GTL32" t="s">
        <v>6984</v>
      </c>
      <c r="GTM32" t="s">
        <v>6984</v>
      </c>
      <c r="GTN32" t="s">
        <v>6984</v>
      </c>
      <c r="GTO32" t="s">
        <v>6984</v>
      </c>
      <c r="GTP32" t="s">
        <v>6984</v>
      </c>
      <c r="GTQ32" t="s">
        <v>6984</v>
      </c>
      <c r="GTR32" t="s">
        <v>6984</v>
      </c>
      <c r="GTS32" t="s">
        <v>6984</v>
      </c>
      <c r="GTT32" t="s">
        <v>6984</v>
      </c>
      <c r="GTU32" t="s">
        <v>6984</v>
      </c>
      <c r="GTV32" t="s">
        <v>6984</v>
      </c>
      <c r="GTW32" t="s">
        <v>6984</v>
      </c>
      <c r="GTX32" t="s">
        <v>6984</v>
      </c>
      <c r="GTY32" t="s">
        <v>6984</v>
      </c>
      <c r="GTZ32" t="s">
        <v>6984</v>
      </c>
      <c r="GUA32" t="s">
        <v>6984</v>
      </c>
      <c r="GUB32" t="s">
        <v>6984</v>
      </c>
      <c r="GUC32" t="s">
        <v>6984</v>
      </c>
      <c r="GUD32" t="s">
        <v>6984</v>
      </c>
      <c r="GUE32" t="s">
        <v>6984</v>
      </c>
      <c r="GUF32" t="s">
        <v>6984</v>
      </c>
      <c r="GUG32" t="s">
        <v>6984</v>
      </c>
      <c r="GUH32" t="s">
        <v>6984</v>
      </c>
      <c r="GUI32" t="s">
        <v>6984</v>
      </c>
      <c r="GUJ32" t="s">
        <v>6984</v>
      </c>
      <c r="GUK32" t="s">
        <v>6984</v>
      </c>
      <c r="GUL32" t="s">
        <v>6984</v>
      </c>
      <c r="GUM32" t="s">
        <v>6984</v>
      </c>
      <c r="GUN32" t="s">
        <v>6984</v>
      </c>
      <c r="GUO32" t="s">
        <v>6984</v>
      </c>
      <c r="GUP32" t="s">
        <v>6984</v>
      </c>
      <c r="GUQ32" t="s">
        <v>6984</v>
      </c>
      <c r="GUR32" t="s">
        <v>6984</v>
      </c>
      <c r="GUS32" t="s">
        <v>6984</v>
      </c>
      <c r="GUT32" t="s">
        <v>6984</v>
      </c>
      <c r="GUU32" t="s">
        <v>6984</v>
      </c>
      <c r="GUV32" t="s">
        <v>6984</v>
      </c>
      <c r="GUW32" t="s">
        <v>6984</v>
      </c>
      <c r="GUX32" t="s">
        <v>6984</v>
      </c>
      <c r="GUY32" t="s">
        <v>6984</v>
      </c>
      <c r="GUZ32" t="s">
        <v>6984</v>
      </c>
      <c r="GVA32" t="s">
        <v>6984</v>
      </c>
      <c r="GVB32" t="s">
        <v>6984</v>
      </c>
      <c r="GVC32" t="s">
        <v>6984</v>
      </c>
      <c r="GVD32" t="s">
        <v>6984</v>
      </c>
      <c r="GVE32" t="s">
        <v>6984</v>
      </c>
      <c r="GVF32" t="s">
        <v>6984</v>
      </c>
      <c r="GVG32" t="s">
        <v>6984</v>
      </c>
      <c r="GVH32" t="s">
        <v>6984</v>
      </c>
      <c r="GVI32" t="s">
        <v>6984</v>
      </c>
      <c r="GVJ32" t="s">
        <v>6984</v>
      </c>
      <c r="GVK32" t="s">
        <v>6984</v>
      </c>
      <c r="GVL32" t="s">
        <v>6984</v>
      </c>
      <c r="GVM32" t="s">
        <v>6984</v>
      </c>
      <c r="GVN32" t="s">
        <v>6984</v>
      </c>
      <c r="GVO32" t="s">
        <v>6984</v>
      </c>
      <c r="GVP32" t="s">
        <v>6984</v>
      </c>
      <c r="GVQ32" t="s">
        <v>6984</v>
      </c>
      <c r="GVR32" t="s">
        <v>6984</v>
      </c>
      <c r="GVS32" t="s">
        <v>6984</v>
      </c>
      <c r="GVT32" t="s">
        <v>6984</v>
      </c>
      <c r="GVU32" t="s">
        <v>6984</v>
      </c>
      <c r="GVV32" t="s">
        <v>6984</v>
      </c>
      <c r="GVW32" t="s">
        <v>6984</v>
      </c>
      <c r="GVX32" t="s">
        <v>6984</v>
      </c>
      <c r="GVY32" t="s">
        <v>6984</v>
      </c>
      <c r="GVZ32" t="s">
        <v>6984</v>
      </c>
      <c r="GWA32" t="s">
        <v>6984</v>
      </c>
      <c r="GWB32" t="s">
        <v>6984</v>
      </c>
      <c r="GWC32" t="s">
        <v>6984</v>
      </c>
      <c r="GWD32" t="s">
        <v>6984</v>
      </c>
      <c r="GWE32" t="s">
        <v>6984</v>
      </c>
      <c r="GWF32" t="s">
        <v>6984</v>
      </c>
      <c r="GWG32" t="s">
        <v>6984</v>
      </c>
      <c r="GWH32" t="s">
        <v>6984</v>
      </c>
      <c r="GWI32" t="s">
        <v>6984</v>
      </c>
      <c r="GWJ32" t="s">
        <v>6984</v>
      </c>
      <c r="GWK32" t="s">
        <v>6984</v>
      </c>
      <c r="GWL32" t="s">
        <v>6984</v>
      </c>
      <c r="GWM32" t="s">
        <v>6984</v>
      </c>
      <c r="GWN32" t="s">
        <v>6984</v>
      </c>
      <c r="GWO32" t="s">
        <v>6984</v>
      </c>
      <c r="GWP32" t="s">
        <v>6984</v>
      </c>
      <c r="GWQ32" t="s">
        <v>6984</v>
      </c>
      <c r="GWR32" t="s">
        <v>6984</v>
      </c>
      <c r="GWS32" t="s">
        <v>6984</v>
      </c>
      <c r="GWT32" t="s">
        <v>6984</v>
      </c>
      <c r="GWU32" t="s">
        <v>6984</v>
      </c>
      <c r="GWV32" t="s">
        <v>6984</v>
      </c>
      <c r="GWW32" t="s">
        <v>6984</v>
      </c>
      <c r="GWX32" t="s">
        <v>6984</v>
      </c>
      <c r="GWY32" t="s">
        <v>6984</v>
      </c>
      <c r="GWZ32" t="s">
        <v>6984</v>
      </c>
      <c r="GXA32" t="s">
        <v>6984</v>
      </c>
      <c r="GXB32" t="s">
        <v>6984</v>
      </c>
      <c r="GXC32" t="s">
        <v>6984</v>
      </c>
      <c r="GXD32" t="s">
        <v>6984</v>
      </c>
      <c r="GXE32" t="s">
        <v>6984</v>
      </c>
      <c r="GXF32" t="s">
        <v>6984</v>
      </c>
      <c r="GXG32" t="s">
        <v>6984</v>
      </c>
      <c r="GXH32" t="s">
        <v>6984</v>
      </c>
      <c r="GXI32" t="s">
        <v>6984</v>
      </c>
      <c r="GXJ32" t="s">
        <v>6984</v>
      </c>
      <c r="GXK32" t="s">
        <v>6984</v>
      </c>
      <c r="GXL32" t="s">
        <v>6984</v>
      </c>
      <c r="GXM32" t="s">
        <v>6984</v>
      </c>
      <c r="GXN32" t="s">
        <v>6984</v>
      </c>
      <c r="GXO32" t="s">
        <v>6984</v>
      </c>
      <c r="GXP32" t="s">
        <v>6984</v>
      </c>
      <c r="GXQ32" t="s">
        <v>6984</v>
      </c>
      <c r="GXR32" t="s">
        <v>6984</v>
      </c>
      <c r="GXS32" t="s">
        <v>6984</v>
      </c>
      <c r="GXT32" t="s">
        <v>6984</v>
      </c>
      <c r="GXU32" t="s">
        <v>6984</v>
      </c>
      <c r="GXV32" t="s">
        <v>6984</v>
      </c>
      <c r="GXW32" t="s">
        <v>6984</v>
      </c>
      <c r="GXX32" t="s">
        <v>6984</v>
      </c>
      <c r="GXY32" t="s">
        <v>6984</v>
      </c>
      <c r="GXZ32" t="s">
        <v>6984</v>
      </c>
      <c r="GYA32" t="s">
        <v>6984</v>
      </c>
      <c r="GYB32" t="s">
        <v>6984</v>
      </c>
      <c r="GYC32" t="s">
        <v>6984</v>
      </c>
      <c r="GYD32" t="s">
        <v>6984</v>
      </c>
      <c r="GYE32" t="s">
        <v>6984</v>
      </c>
      <c r="GYF32" t="s">
        <v>6984</v>
      </c>
      <c r="GYG32" t="s">
        <v>6984</v>
      </c>
      <c r="GYH32" t="s">
        <v>6984</v>
      </c>
      <c r="GYI32" t="s">
        <v>6984</v>
      </c>
      <c r="GYJ32" t="s">
        <v>6984</v>
      </c>
      <c r="GYK32" t="s">
        <v>6984</v>
      </c>
      <c r="GYL32" t="s">
        <v>6984</v>
      </c>
      <c r="GYM32" t="s">
        <v>6984</v>
      </c>
      <c r="GYN32" t="s">
        <v>6984</v>
      </c>
      <c r="GYO32" t="s">
        <v>6984</v>
      </c>
      <c r="GYP32" t="s">
        <v>6984</v>
      </c>
      <c r="GYQ32" t="s">
        <v>6984</v>
      </c>
      <c r="GYR32" t="s">
        <v>6984</v>
      </c>
      <c r="GYS32" t="s">
        <v>6984</v>
      </c>
      <c r="GYT32" t="s">
        <v>6984</v>
      </c>
      <c r="GYU32" t="s">
        <v>6984</v>
      </c>
      <c r="GYV32" t="s">
        <v>6984</v>
      </c>
      <c r="GYW32" t="s">
        <v>6984</v>
      </c>
      <c r="GYX32" t="s">
        <v>6984</v>
      </c>
      <c r="GYY32" t="s">
        <v>6984</v>
      </c>
      <c r="GYZ32" t="s">
        <v>6984</v>
      </c>
      <c r="GZA32" t="s">
        <v>6984</v>
      </c>
      <c r="GZB32" t="s">
        <v>6984</v>
      </c>
      <c r="GZC32" t="s">
        <v>6984</v>
      </c>
      <c r="GZD32" t="s">
        <v>6984</v>
      </c>
      <c r="GZE32" t="s">
        <v>6984</v>
      </c>
      <c r="GZF32" t="s">
        <v>6984</v>
      </c>
      <c r="GZG32" t="s">
        <v>6984</v>
      </c>
      <c r="GZH32" t="s">
        <v>6984</v>
      </c>
      <c r="GZI32" t="s">
        <v>6984</v>
      </c>
      <c r="GZJ32" t="s">
        <v>6984</v>
      </c>
      <c r="GZK32" t="s">
        <v>6984</v>
      </c>
      <c r="GZL32" t="s">
        <v>6984</v>
      </c>
      <c r="GZM32" t="s">
        <v>6984</v>
      </c>
      <c r="GZN32" t="s">
        <v>6984</v>
      </c>
      <c r="GZO32" t="s">
        <v>6984</v>
      </c>
      <c r="GZP32" t="s">
        <v>6984</v>
      </c>
      <c r="GZQ32" t="s">
        <v>6984</v>
      </c>
      <c r="GZR32" t="s">
        <v>6984</v>
      </c>
      <c r="GZS32" t="s">
        <v>6984</v>
      </c>
      <c r="GZT32" t="s">
        <v>6984</v>
      </c>
      <c r="GZU32" t="s">
        <v>6984</v>
      </c>
      <c r="GZV32" t="s">
        <v>6984</v>
      </c>
      <c r="GZW32" t="s">
        <v>6984</v>
      </c>
      <c r="GZX32" t="s">
        <v>6984</v>
      </c>
      <c r="GZY32" t="s">
        <v>6984</v>
      </c>
      <c r="GZZ32" t="s">
        <v>6984</v>
      </c>
      <c r="HAA32" t="s">
        <v>6984</v>
      </c>
      <c r="HAB32" t="s">
        <v>6984</v>
      </c>
      <c r="HAC32" t="s">
        <v>6984</v>
      </c>
      <c r="HAD32" t="s">
        <v>6984</v>
      </c>
      <c r="HAE32" t="s">
        <v>6984</v>
      </c>
      <c r="HAF32" t="s">
        <v>6984</v>
      </c>
      <c r="HAG32" t="s">
        <v>6984</v>
      </c>
      <c r="HAH32" t="s">
        <v>6984</v>
      </c>
      <c r="HAI32" t="s">
        <v>6984</v>
      </c>
      <c r="HAJ32" t="s">
        <v>6984</v>
      </c>
      <c r="HAK32" t="s">
        <v>6984</v>
      </c>
      <c r="HAL32" t="s">
        <v>6984</v>
      </c>
      <c r="HAM32" t="s">
        <v>6984</v>
      </c>
      <c r="HAN32" t="s">
        <v>6984</v>
      </c>
      <c r="HAO32" t="s">
        <v>6984</v>
      </c>
      <c r="HAP32" t="s">
        <v>6984</v>
      </c>
      <c r="HAQ32" t="s">
        <v>6984</v>
      </c>
      <c r="HAR32" t="s">
        <v>6984</v>
      </c>
      <c r="HAS32" t="s">
        <v>6984</v>
      </c>
      <c r="HAT32" t="s">
        <v>6984</v>
      </c>
      <c r="HAU32" t="s">
        <v>6984</v>
      </c>
      <c r="HAV32" t="s">
        <v>6984</v>
      </c>
      <c r="HAW32" t="s">
        <v>6984</v>
      </c>
      <c r="HAX32" t="s">
        <v>6984</v>
      </c>
      <c r="HAY32" t="s">
        <v>6984</v>
      </c>
      <c r="HAZ32" t="s">
        <v>6984</v>
      </c>
      <c r="HBA32" t="s">
        <v>6984</v>
      </c>
      <c r="HBB32" t="s">
        <v>6984</v>
      </c>
      <c r="HBC32" t="s">
        <v>6984</v>
      </c>
      <c r="HBD32" t="s">
        <v>6984</v>
      </c>
      <c r="HBE32" t="s">
        <v>6984</v>
      </c>
      <c r="HBF32" t="s">
        <v>6984</v>
      </c>
      <c r="HBG32" t="s">
        <v>6984</v>
      </c>
      <c r="HBH32" t="s">
        <v>6984</v>
      </c>
      <c r="HBI32" t="s">
        <v>6984</v>
      </c>
      <c r="HBJ32" t="s">
        <v>6984</v>
      </c>
      <c r="HBK32" t="s">
        <v>6984</v>
      </c>
      <c r="HBL32" t="s">
        <v>6984</v>
      </c>
      <c r="HBM32" t="s">
        <v>6984</v>
      </c>
      <c r="HBN32" t="s">
        <v>6984</v>
      </c>
      <c r="HBO32" t="s">
        <v>6984</v>
      </c>
      <c r="HBP32" t="s">
        <v>6984</v>
      </c>
      <c r="HBQ32" t="s">
        <v>6984</v>
      </c>
      <c r="HBR32" t="s">
        <v>6984</v>
      </c>
      <c r="HBS32" t="s">
        <v>6984</v>
      </c>
      <c r="HBT32" t="s">
        <v>6984</v>
      </c>
      <c r="HBU32" t="s">
        <v>6984</v>
      </c>
      <c r="HBV32" t="s">
        <v>6984</v>
      </c>
      <c r="HBW32" t="s">
        <v>6984</v>
      </c>
      <c r="HBX32" t="s">
        <v>6984</v>
      </c>
      <c r="HBY32" t="s">
        <v>6984</v>
      </c>
      <c r="HBZ32" t="s">
        <v>6984</v>
      </c>
      <c r="HCA32" t="s">
        <v>6984</v>
      </c>
      <c r="HCB32" t="s">
        <v>6984</v>
      </c>
      <c r="HCC32" t="s">
        <v>6984</v>
      </c>
      <c r="HCD32" t="s">
        <v>6984</v>
      </c>
      <c r="HCE32" t="s">
        <v>6984</v>
      </c>
      <c r="HCF32" t="s">
        <v>6984</v>
      </c>
      <c r="HCG32" t="s">
        <v>6984</v>
      </c>
      <c r="HCH32" t="s">
        <v>6984</v>
      </c>
      <c r="HCI32" t="s">
        <v>6984</v>
      </c>
      <c r="HCJ32" t="s">
        <v>6984</v>
      </c>
      <c r="HCK32" t="s">
        <v>6984</v>
      </c>
      <c r="HCL32" t="s">
        <v>6984</v>
      </c>
      <c r="HCM32" t="s">
        <v>6984</v>
      </c>
      <c r="HCN32" t="s">
        <v>6984</v>
      </c>
      <c r="HCO32" t="s">
        <v>6984</v>
      </c>
      <c r="HCP32" t="s">
        <v>6984</v>
      </c>
      <c r="HCQ32" t="s">
        <v>6984</v>
      </c>
      <c r="HCR32" t="s">
        <v>6984</v>
      </c>
      <c r="HCS32" t="s">
        <v>6984</v>
      </c>
      <c r="HCT32" t="s">
        <v>6984</v>
      </c>
      <c r="HCU32" t="s">
        <v>6984</v>
      </c>
      <c r="HCV32" t="s">
        <v>6984</v>
      </c>
      <c r="HCW32" t="s">
        <v>6984</v>
      </c>
      <c r="HCX32" t="s">
        <v>6984</v>
      </c>
      <c r="HCY32" t="s">
        <v>6984</v>
      </c>
      <c r="HCZ32" t="s">
        <v>6984</v>
      </c>
      <c r="HDA32" t="s">
        <v>6984</v>
      </c>
      <c r="HDB32" t="s">
        <v>6984</v>
      </c>
      <c r="HDC32" t="s">
        <v>6984</v>
      </c>
      <c r="HDD32" t="s">
        <v>6984</v>
      </c>
      <c r="HDE32" t="s">
        <v>6984</v>
      </c>
      <c r="HDF32" t="s">
        <v>6984</v>
      </c>
      <c r="HDG32" t="s">
        <v>6984</v>
      </c>
      <c r="HDH32" t="s">
        <v>6984</v>
      </c>
      <c r="HDI32" t="s">
        <v>6984</v>
      </c>
      <c r="HDJ32" t="s">
        <v>6984</v>
      </c>
      <c r="HDK32" t="s">
        <v>6984</v>
      </c>
      <c r="HDL32" t="s">
        <v>6984</v>
      </c>
      <c r="HDM32" t="s">
        <v>6984</v>
      </c>
      <c r="HDN32" t="s">
        <v>6984</v>
      </c>
      <c r="HDO32" t="s">
        <v>6984</v>
      </c>
      <c r="HDP32" t="s">
        <v>6984</v>
      </c>
      <c r="HDQ32" t="s">
        <v>6984</v>
      </c>
      <c r="HDR32" t="s">
        <v>6984</v>
      </c>
      <c r="HDS32" t="s">
        <v>6984</v>
      </c>
      <c r="HDT32" t="s">
        <v>6984</v>
      </c>
      <c r="HDU32" t="s">
        <v>6984</v>
      </c>
      <c r="HDV32" t="s">
        <v>6984</v>
      </c>
      <c r="HDW32" t="s">
        <v>6984</v>
      </c>
      <c r="HDX32" t="s">
        <v>6984</v>
      </c>
      <c r="HDY32" t="s">
        <v>6984</v>
      </c>
      <c r="HDZ32" t="s">
        <v>6984</v>
      </c>
      <c r="HEA32" t="s">
        <v>6984</v>
      </c>
      <c r="HEB32" t="s">
        <v>6984</v>
      </c>
      <c r="HEC32" t="s">
        <v>6984</v>
      </c>
      <c r="HED32" t="s">
        <v>6984</v>
      </c>
      <c r="HEE32" t="s">
        <v>6984</v>
      </c>
      <c r="HEF32" t="s">
        <v>6984</v>
      </c>
      <c r="HEG32" t="s">
        <v>6984</v>
      </c>
      <c r="HEH32" t="s">
        <v>6984</v>
      </c>
      <c r="HEI32" t="s">
        <v>6984</v>
      </c>
      <c r="HEJ32" t="s">
        <v>6984</v>
      </c>
      <c r="HEK32" t="s">
        <v>6984</v>
      </c>
      <c r="HEL32" t="s">
        <v>6984</v>
      </c>
      <c r="HEM32" t="s">
        <v>6984</v>
      </c>
      <c r="HEN32" t="s">
        <v>6984</v>
      </c>
      <c r="HEO32" t="s">
        <v>6984</v>
      </c>
      <c r="HEP32" t="s">
        <v>6984</v>
      </c>
      <c r="HEQ32" t="s">
        <v>6984</v>
      </c>
      <c r="HER32" t="s">
        <v>6984</v>
      </c>
      <c r="HES32" t="s">
        <v>6984</v>
      </c>
      <c r="HET32" t="s">
        <v>6984</v>
      </c>
      <c r="HEU32" t="s">
        <v>6984</v>
      </c>
      <c r="HEV32" t="s">
        <v>6984</v>
      </c>
      <c r="HEW32" t="s">
        <v>6984</v>
      </c>
      <c r="HEX32" t="s">
        <v>6984</v>
      </c>
      <c r="HEY32" t="s">
        <v>6984</v>
      </c>
      <c r="HEZ32" t="s">
        <v>6984</v>
      </c>
      <c r="HFA32" t="s">
        <v>6984</v>
      </c>
      <c r="HFB32" t="s">
        <v>6984</v>
      </c>
      <c r="HFC32" t="s">
        <v>6984</v>
      </c>
      <c r="HFD32" t="s">
        <v>6984</v>
      </c>
      <c r="HFE32" t="s">
        <v>6984</v>
      </c>
      <c r="HFF32" t="s">
        <v>6984</v>
      </c>
      <c r="HFG32" t="s">
        <v>6984</v>
      </c>
      <c r="HFH32" t="s">
        <v>6984</v>
      </c>
      <c r="HFI32" t="s">
        <v>6984</v>
      </c>
      <c r="HFJ32" t="s">
        <v>6984</v>
      </c>
      <c r="HFK32" t="s">
        <v>6984</v>
      </c>
      <c r="HFL32" t="s">
        <v>6984</v>
      </c>
      <c r="HFM32" t="s">
        <v>6984</v>
      </c>
      <c r="HFN32" t="s">
        <v>6984</v>
      </c>
      <c r="HFO32" t="s">
        <v>6984</v>
      </c>
      <c r="HFP32" t="s">
        <v>6984</v>
      </c>
      <c r="HFQ32" t="s">
        <v>6984</v>
      </c>
      <c r="HFR32" t="s">
        <v>6984</v>
      </c>
      <c r="HFS32" t="s">
        <v>6984</v>
      </c>
      <c r="HFT32" t="s">
        <v>6984</v>
      </c>
      <c r="HFU32" t="s">
        <v>6984</v>
      </c>
      <c r="HFV32" t="s">
        <v>6984</v>
      </c>
      <c r="HFW32" t="s">
        <v>6984</v>
      </c>
      <c r="HFX32" t="s">
        <v>6984</v>
      </c>
      <c r="HFY32" t="s">
        <v>6984</v>
      </c>
      <c r="HFZ32" t="s">
        <v>6984</v>
      </c>
      <c r="HGA32" t="s">
        <v>6984</v>
      </c>
      <c r="HGB32" t="s">
        <v>6984</v>
      </c>
      <c r="HGC32" t="s">
        <v>6984</v>
      </c>
      <c r="HGD32" t="s">
        <v>6984</v>
      </c>
      <c r="HGE32" t="s">
        <v>6984</v>
      </c>
      <c r="HGF32" t="s">
        <v>6984</v>
      </c>
      <c r="HGG32" t="s">
        <v>6984</v>
      </c>
      <c r="HGH32" t="s">
        <v>6984</v>
      </c>
      <c r="HGI32" t="s">
        <v>6984</v>
      </c>
      <c r="HGJ32" t="s">
        <v>6984</v>
      </c>
      <c r="HGK32" t="s">
        <v>6984</v>
      </c>
      <c r="HGL32" t="s">
        <v>6984</v>
      </c>
      <c r="HGM32" t="s">
        <v>6984</v>
      </c>
      <c r="HGN32" t="s">
        <v>6984</v>
      </c>
      <c r="HGO32" t="s">
        <v>6984</v>
      </c>
      <c r="HGP32" t="s">
        <v>6984</v>
      </c>
      <c r="HGQ32" t="s">
        <v>6984</v>
      </c>
      <c r="HGR32" t="s">
        <v>6984</v>
      </c>
      <c r="HGS32" t="s">
        <v>6984</v>
      </c>
      <c r="HGT32" t="s">
        <v>6984</v>
      </c>
      <c r="HGU32" t="s">
        <v>6984</v>
      </c>
      <c r="HGV32" t="s">
        <v>6984</v>
      </c>
      <c r="HGW32" t="s">
        <v>6984</v>
      </c>
      <c r="HGX32" t="s">
        <v>6984</v>
      </c>
      <c r="HGY32" t="s">
        <v>6984</v>
      </c>
      <c r="HGZ32" t="s">
        <v>6984</v>
      </c>
      <c r="HHA32" t="s">
        <v>6984</v>
      </c>
      <c r="HHB32" t="s">
        <v>6984</v>
      </c>
      <c r="HHC32" t="s">
        <v>6984</v>
      </c>
      <c r="HHD32" t="s">
        <v>6984</v>
      </c>
      <c r="HHE32" t="s">
        <v>6984</v>
      </c>
      <c r="HHF32" t="s">
        <v>6984</v>
      </c>
      <c r="HHG32" t="s">
        <v>6984</v>
      </c>
      <c r="HHH32" t="s">
        <v>6984</v>
      </c>
      <c r="HHI32" t="s">
        <v>6984</v>
      </c>
      <c r="HHJ32" t="s">
        <v>6984</v>
      </c>
      <c r="HHK32" t="s">
        <v>6984</v>
      </c>
      <c r="HHL32" t="s">
        <v>6984</v>
      </c>
      <c r="HHM32" t="s">
        <v>6984</v>
      </c>
      <c r="HHN32" t="s">
        <v>6984</v>
      </c>
      <c r="HHO32" t="s">
        <v>6984</v>
      </c>
      <c r="HHP32" t="s">
        <v>6984</v>
      </c>
      <c r="HHQ32" t="s">
        <v>6984</v>
      </c>
      <c r="HHR32" t="s">
        <v>6984</v>
      </c>
      <c r="HHS32" t="s">
        <v>6984</v>
      </c>
      <c r="HHT32" t="s">
        <v>6984</v>
      </c>
      <c r="HHU32" t="s">
        <v>6984</v>
      </c>
      <c r="HHV32" t="s">
        <v>6984</v>
      </c>
      <c r="HHW32" t="s">
        <v>6984</v>
      </c>
      <c r="HHX32" t="s">
        <v>6984</v>
      </c>
      <c r="HHY32" t="s">
        <v>6984</v>
      </c>
      <c r="HHZ32" t="s">
        <v>6984</v>
      </c>
      <c r="HIA32" t="s">
        <v>6984</v>
      </c>
      <c r="HIB32" t="s">
        <v>6984</v>
      </c>
      <c r="HIC32" t="s">
        <v>6984</v>
      </c>
      <c r="HID32" t="s">
        <v>6984</v>
      </c>
      <c r="HIE32" t="s">
        <v>6984</v>
      </c>
      <c r="HIF32" t="s">
        <v>6984</v>
      </c>
      <c r="HIG32" t="s">
        <v>6984</v>
      </c>
      <c r="HIH32" t="s">
        <v>6984</v>
      </c>
      <c r="HII32" t="s">
        <v>6984</v>
      </c>
      <c r="HIJ32" t="s">
        <v>6984</v>
      </c>
      <c r="HIK32" t="s">
        <v>6984</v>
      </c>
      <c r="HIL32" t="s">
        <v>6984</v>
      </c>
      <c r="HIM32" t="s">
        <v>6984</v>
      </c>
      <c r="HIN32" t="s">
        <v>6984</v>
      </c>
      <c r="HIO32" t="s">
        <v>6984</v>
      </c>
      <c r="HIP32" t="s">
        <v>6984</v>
      </c>
      <c r="HIQ32" t="s">
        <v>6984</v>
      </c>
      <c r="HIR32" t="s">
        <v>6984</v>
      </c>
      <c r="HIS32" t="s">
        <v>6984</v>
      </c>
      <c r="HIT32" t="s">
        <v>6984</v>
      </c>
      <c r="HIU32" t="s">
        <v>6984</v>
      </c>
      <c r="HIV32" t="s">
        <v>6984</v>
      </c>
      <c r="HIW32" t="s">
        <v>6984</v>
      </c>
      <c r="HIX32" t="s">
        <v>6984</v>
      </c>
      <c r="HIY32" t="s">
        <v>6984</v>
      </c>
      <c r="HIZ32" t="s">
        <v>6984</v>
      </c>
      <c r="HJA32" t="s">
        <v>6984</v>
      </c>
      <c r="HJB32" t="s">
        <v>6984</v>
      </c>
      <c r="HJC32" t="s">
        <v>6984</v>
      </c>
      <c r="HJD32" t="s">
        <v>6984</v>
      </c>
      <c r="HJE32" t="s">
        <v>6984</v>
      </c>
      <c r="HJF32" t="s">
        <v>6984</v>
      </c>
      <c r="HJG32" t="s">
        <v>6984</v>
      </c>
      <c r="HJH32" t="s">
        <v>6984</v>
      </c>
      <c r="HJI32" t="s">
        <v>6984</v>
      </c>
      <c r="HJJ32" t="s">
        <v>6984</v>
      </c>
      <c r="HJK32" t="s">
        <v>6984</v>
      </c>
      <c r="HJL32" t="s">
        <v>6984</v>
      </c>
      <c r="HJM32" t="s">
        <v>6984</v>
      </c>
      <c r="HJN32" t="s">
        <v>6984</v>
      </c>
      <c r="HJO32" t="s">
        <v>6984</v>
      </c>
      <c r="HJP32" t="s">
        <v>6984</v>
      </c>
      <c r="HJQ32" t="s">
        <v>6984</v>
      </c>
      <c r="HJR32" t="s">
        <v>6984</v>
      </c>
      <c r="HJS32" t="s">
        <v>6984</v>
      </c>
      <c r="HJT32" t="s">
        <v>6984</v>
      </c>
      <c r="HJU32" t="s">
        <v>6984</v>
      </c>
      <c r="HJV32" t="s">
        <v>6984</v>
      </c>
      <c r="HJW32" t="s">
        <v>6984</v>
      </c>
      <c r="HJX32" t="s">
        <v>6984</v>
      </c>
      <c r="HJY32" t="s">
        <v>6984</v>
      </c>
      <c r="HJZ32" t="s">
        <v>6984</v>
      </c>
      <c r="HKA32" t="s">
        <v>6984</v>
      </c>
      <c r="HKB32" t="s">
        <v>6984</v>
      </c>
      <c r="HKC32" t="s">
        <v>6984</v>
      </c>
      <c r="HKD32" t="s">
        <v>6984</v>
      </c>
      <c r="HKE32" t="s">
        <v>6984</v>
      </c>
      <c r="HKF32" t="s">
        <v>6984</v>
      </c>
      <c r="HKG32" t="s">
        <v>6984</v>
      </c>
      <c r="HKH32" t="s">
        <v>6984</v>
      </c>
      <c r="HKI32" t="s">
        <v>6984</v>
      </c>
      <c r="HKJ32" t="s">
        <v>6984</v>
      </c>
      <c r="HKK32" t="s">
        <v>6984</v>
      </c>
      <c r="HKL32" t="s">
        <v>6984</v>
      </c>
      <c r="HKM32" t="s">
        <v>6984</v>
      </c>
      <c r="HKN32" t="s">
        <v>6984</v>
      </c>
      <c r="HKO32" t="s">
        <v>6984</v>
      </c>
      <c r="HKP32" t="s">
        <v>6984</v>
      </c>
      <c r="HKQ32" t="s">
        <v>6984</v>
      </c>
      <c r="HKR32" t="s">
        <v>6984</v>
      </c>
      <c r="HKS32" t="s">
        <v>6984</v>
      </c>
      <c r="HKT32" t="s">
        <v>6984</v>
      </c>
      <c r="HKU32" t="s">
        <v>6984</v>
      </c>
      <c r="HKV32" t="s">
        <v>6984</v>
      </c>
      <c r="HKW32" t="s">
        <v>6984</v>
      </c>
      <c r="HKX32" t="s">
        <v>6984</v>
      </c>
      <c r="HKY32" t="s">
        <v>6984</v>
      </c>
      <c r="HKZ32" t="s">
        <v>6984</v>
      </c>
      <c r="HLA32" t="s">
        <v>6984</v>
      </c>
      <c r="HLB32" t="s">
        <v>6984</v>
      </c>
      <c r="HLC32" t="s">
        <v>6984</v>
      </c>
      <c r="HLD32" t="s">
        <v>6984</v>
      </c>
      <c r="HLE32" t="s">
        <v>6984</v>
      </c>
      <c r="HLF32" t="s">
        <v>6984</v>
      </c>
      <c r="HLG32" t="s">
        <v>6984</v>
      </c>
      <c r="HLH32" t="s">
        <v>6984</v>
      </c>
      <c r="HLI32" t="s">
        <v>6984</v>
      </c>
      <c r="HLJ32" t="s">
        <v>6984</v>
      </c>
      <c r="HLK32" t="s">
        <v>6984</v>
      </c>
      <c r="HLL32" t="s">
        <v>6984</v>
      </c>
      <c r="HLM32" t="s">
        <v>6984</v>
      </c>
      <c r="HLN32" t="s">
        <v>6984</v>
      </c>
      <c r="HLO32" t="s">
        <v>6984</v>
      </c>
      <c r="HLP32" t="s">
        <v>6984</v>
      </c>
      <c r="HLQ32" t="s">
        <v>6984</v>
      </c>
      <c r="HLR32" t="s">
        <v>6984</v>
      </c>
      <c r="HLS32" t="s">
        <v>6984</v>
      </c>
      <c r="HLT32" t="s">
        <v>6984</v>
      </c>
      <c r="HLU32" t="s">
        <v>6984</v>
      </c>
      <c r="HLV32" t="s">
        <v>6984</v>
      </c>
      <c r="HLW32" t="s">
        <v>6984</v>
      </c>
      <c r="HLX32" t="s">
        <v>6984</v>
      </c>
      <c r="HLY32" t="s">
        <v>6984</v>
      </c>
      <c r="HLZ32" t="s">
        <v>6984</v>
      </c>
      <c r="HMA32" t="s">
        <v>6984</v>
      </c>
      <c r="HMB32" t="s">
        <v>6984</v>
      </c>
      <c r="HMC32" t="s">
        <v>6984</v>
      </c>
      <c r="HMD32" t="s">
        <v>6984</v>
      </c>
      <c r="HME32" t="s">
        <v>6984</v>
      </c>
      <c r="HMF32" t="s">
        <v>6984</v>
      </c>
      <c r="HMG32" t="s">
        <v>6984</v>
      </c>
      <c r="HMH32" t="s">
        <v>6984</v>
      </c>
      <c r="HMI32" t="s">
        <v>6984</v>
      </c>
      <c r="HMJ32" t="s">
        <v>6984</v>
      </c>
      <c r="HMK32" t="s">
        <v>6984</v>
      </c>
      <c r="HML32" t="s">
        <v>6984</v>
      </c>
      <c r="HMM32" t="s">
        <v>6984</v>
      </c>
      <c r="HMN32" t="s">
        <v>6984</v>
      </c>
      <c r="HMO32" t="s">
        <v>6984</v>
      </c>
      <c r="HMP32" t="s">
        <v>6984</v>
      </c>
      <c r="HMQ32" t="s">
        <v>6984</v>
      </c>
      <c r="HMR32" t="s">
        <v>6984</v>
      </c>
      <c r="HMS32" t="s">
        <v>6984</v>
      </c>
      <c r="HMT32" t="s">
        <v>6984</v>
      </c>
      <c r="HMU32" t="s">
        <v>6984</v>
      </c>
      <c r="HMV32" t="s">
        <v>6984</v>
      </c>
      <c r="HMW32" t="s">
        <v>6984</v>
      </c>
      <c r="HMX32" t="s">
        <v>6984</v>
      </c>
      <c r="HMY32" t="s">
        <v>6984</v>
      </c>
      <c r="HMZ32" t="s">
        <v>6984</v>
      </c>
      <c r="HNA32" t="s">
        <v>6984</v>
      </c>
      <c r="HNB32" t="s">
        <v>6984</v>
      </c>
      <c r="HNC32" t="s">
        <v>6984</v>
      </c>
      <c r="HND32" t="s">
        <v>6984</v>
      </c>
      <c r="HNE32" t="s">
        <v>6984</v>
      </c>
      <c r="HNF32" t="s">
        <v>6984</v>
      </c>
      <c r="HNG32" t="s">
        <v>6984</v>
      </c>
      <c r="HNH32" t="s">
        <v>6984</v>
      </c>
      <c r="HNI32" t="s">
        <v>6984</v>
      </c>
      <c r="HNJ32" t="s">
        <v>6984</v>
      </c>
      <c r="HNK32" t="s">
        <v>6984</v>
      </c>
      <c r="HNL32" t="s">
        <v>6984</v>
      </c>
      <c r="HNM32" t="s">
        <v>6984</v>
      </c>
      <c r="HNN32" t="s">
        <v>6984</v>
      </c>
      <c r="HNO32" t="s">
        <v>6984</v>
      </c>
      <c r="HNP32" t="s">
        <v>6984</v>
      </c>
      <c r="HNQ32" t="s">
        <v>6984</v>
      </c>
      <c r="HNR32" t="s">
        <v>6984</v>
      </c>
      <c r="HNS32" t="s">
        <v>6984</v>
      </c>
      <c r="HNT32" t="s">
        <v>6984</v>
      </c>
      <c r="HNU32" t="s">
        <v>6984</v>
      </c>
      <c r="HNV32" t="s">
        <v>6984</v>
      </c>
      <c r="HNW32" t="s">
        <v>6984</v>
      </c>
      <c r="HNX32" t="s">
        <v>6984</v>
      </c>
      <c r="HNY32" t="s">
        <v>6984</v>
      </c>
      <c r="HNZ32" t="s">
        <v>6984</v>
      </c>
      <c r="HOA32" t="s">
        <v>6984</v>
      </c>
      <c r="HOB32" t="s">
        <v>6984</v>
      </c>
      <c r="HOC32" t="s">
        <v>6984</v>
      </c>
      <c r="HOD32" t="s">
        <v>6984</v>
      </c>
      <c r="HOE32" t="s">
        <v>6984</v>
      </c>
      <c r="HOF32" t="s">
        <v>6984</v>
      </c>
      <c r="HOG32" t="s">
        <v>6984</v>
      </c>
      <c r="HOH32" t="s">
        <v>6984</v>
      </c>
      <c r="HOI32" t="s">
        <v>6984</v>
      </c>
      <c r="HOJ32" t="s">
        <v>6984</v>
      </c>
      <c r="HOK32" t="s">
        <v>6984</v>
      </c>
      <c r="HOL32" t="s">
        <v>6984</v>
      </c>
      <c r="HOM32" t="s">
        <v>6984</v>
      </c>
      <c r="HON32" t="s">
        <v>6984</v>
      </c>
      <c r="HOO32" t="s">
        <v>6984</v>
      </c>
      <c r="HOP32" t="s">
        <v>6984</v>
      </c>
      <c r="HOQ32" t="s">
        <v>6984</v>
      </c>
      <c r="HOR32" t="s">
        <v>6984</v>
      </c>
      <c r="HOS32" t="s">
        <v>6984</v>
      </c>
      <c r="HOT32" t="s">
        <v>6984</v>
      </c>
      <c r="HOU32" t="s">
        <v>6984</v>
      </c>
      <c r="HOV32" t="s">
        <v>6984</v>
      </c>
      <c r="HOW32" t="s">
        <v>6984</v>
      </c>
      <c r="HOX32" t="s">
        <v>6984</v>
      </c>
      <c r="HOY32" t="s">
        <v>6984</v>
      </c>
      <c r="HOZ32" t="s">
        <v>6984</v>
      </c>
      <c r="HPA32" t="s">
        <v>6984</v>
      </c>
      <c r="HPB32" t="s">
        <v>6984</v>
      </c>
      <c r="HPC32" t="s">
        <v>6984</v>
      </c>
      <c r="HPD32" t="s">
        <v>6984</v>
      </c>
      <c r="HPE32" t="s">
        <v>6984</v>
      </c>
      <c r="HPF32" t="s">
        <v>6984</v>
      </c>
      <c r="HPG32" t="s">
        <v>6984</v>
      </c>
      <c r="HPH32" t="s">
        <v>6984</v>
      </c>
      <c r="HPI32" t="s">
        <v>6984</v>
      </c>
      <c r="HPJ32" t="s">
        <v>6984</v>
      </c>
      <c r="HPK32" t="s">
        <v>6984</v>
      </c>
      <c r="HPL32" t="s">
        <v>6984</v>
      </c>
      <c r="HPM32" t="s">
        <v>6984</v>
      </c>
      <c r="HPN32" t="s">
        <v>6984</v>
      </c>
      <c r="HPO32" t="s">
        <v>6984</v>
      </c>
      <c r="HPP32" t="s">
        <v>6984</v>
      </c>
      <c r="HPQ32" t="s">
        <v>6984</v>
      </c>
      <c r="HPR32" t="s">
        <v>6984</v>
      </c>
      <c r="HPS32" t="s">
        <v>6984</v>
      </c>
      <c r="HPT32" t="s">
        <v>6984</v>
      </c>
      <c r="HPU32" t="s">
        <v>6984</v>
      </c>
      <c r="HPV32" t="s">
        <v>6984</v>
      </c>
      <c r="HPW32" t="s">
        <v>6984</v>
      </c>
      <c r="HPX32" t="s">
        <v>6984</v>
      </c>
      <c r="HPY32" t="s">
        <v>6984</v>
      </c>
      <c r="HPZ32" t="s">
        <v>6984</v>
      </c>
      <c r="HQA32" t="s">
        <v>6984</v>
      </c>
      <c r="HQB32" t="s">
        <v>6984</v>
      </c>
      <c r="HQC32" t="s">
        <v>6984</v>
      </c>
      <c r="HQD32" t="s">
        <v>6984</v>
      </c>
      <c r="HQE32" t="s">
        <v>6984</v>
      </c>
      <c r="HQF32" t="s">
        <v>6984</v>
      </c>
      <c r="HQG32" t="s">
        <v>6984</v>
      </c>
      <c r="HQH32" t="s">
        <v>6984</v>
      </c>
      <c r="HQI32" t="s">
        <v>6984</v>
      </c>
      <c r="HQJ32" t="s">
        <v>6984</v>
      </c>
      <c r="HQK32" t="s">
        <v>6984</v>
      </c>
      <c r="HQL32" t="s">
        <v>6984</v>
      </c>
      <c r="HQM32" t="s">
        <v>6984</v>
      </c>
      <c r="HQN32" t="s">
        <v>6984</v>
      </c>
      <c r="HQO32" t="s">
        <v>6984</v>
      </c>
      <c r="HQP32" t="s">
        <v>6984</v>
      </c>
      <c r="HQQ32" t="s">
        <v>6984</v>
      </c>
      <c r="HQR32" t="s">
        <v>6984</v>
      </c>
      <c r="HQS32" t="s">
        <v>6984</v>
      </c>
      <c r="HQT32" t="s">
        <v>6984</v>
      </c>
      <c r="HQU32" t="s">
        <v>6984</v>
      </c>
      <c r="HQV32" t="s">
        <v>6984</v>
      </c>
      <c r="HQW32" t="s">
        <v>6984</v>
      </c>
      <c r="HQX32" t="s">
        <v>6984</v>
      </c>
      <c r="HQY32" t="s">
        <v>6984</v>
      </c>
      <c r="HQZ32" t="s">
        <v>6984</v>
      </c>
      <c r="HRA32" t="s">
        <v>6984</v>
      </c>
      <c r="HRB32" t="s">
        <v>6984</v>
      </c>
      <c r="HRC32" t="s">
        <v>6984</v>
      </c>
      <c r="HRD32" t="s">
        <v>6984</v>
      </c>
      <c r="HRE32" t="s">
        <v>6984</v>
      </c>
      <c r="HRF32" t="s">
        <v>6984</v>
      </c>
      <c r="HRG32" t="s">
        <v>6984</v>
      </c>
      <c r="HRH32" t="s">
        <v>6984</v>
      </c>
      <c r="HRI32" t="s">
        <v>6984</v>
      </c>
      <c r="HRJ32" t="s">
        <v>6984</v>
      </c>
      <c r="HRK32" t="s">
        <v>6984</v>
      </c>
      <c r="HRL32" t="s">
        <v>6984</v>
      </c>
      <c r="HRM32" t="s">
        <v>6984</v>
      </c>
      <c r="HRN32" t="s">
        <v>6984</v>
      </c>
      <c r="HRO32" t="s">
        <v>6984</v>
      </c>
      <c r="HRP32" t="s">
        <v>6984</v>
      </c>
      <c r="HRQ32" t="s">
        <v>6984</v>
      </c>
      <c r="HRR32" t="s">
        <v>6984</v>
      </c>
      <c r="HRS32" t="s">
        <v>6984</v>
      </c>
      <c r="HRT32" t="s">
        <v>6984</v>
      </c>
      <c r="HRU32" t="s">
        <v>6984</v>
      </c>
      <c r="HRV32" t="s">
        <v>6984</v>
      </c>
      <c r="HRW32" t="s">
        <v>6984</v>
      </c>
      <c r="HRX32" t="s">
        <v>6984</v>
      </c>
      <c r="HRY32" t="s">
        <v>6984</v>
      </c>
      <c r="HRZ32" t="s">
        <v>6984</v>
      </c>
      <c r="HSA32" t="s">
        <v>6984</v>
      </c>
      <c r="HSB32" t="s">
        <v>6984</v>
      </c>
      <c r="HSC32" t="s">
        <v>6984</v>
      </c>
      <c r="HSD32" t="s">
        <v>6984</v>
      </c>
      <c r="HSE32" t="s">
        <v>6984</v>
      </c>
      <c r="HSF32" t="s">
        <v>6984</v>
      </c>
      <c r="HSG32" t="s">
        <v>6984</v>
      </c>
      <c r="HSH32" t="s">
        <v>6984</v>
      </c>
      <c r="HSI32" t="s">
        <v>6984</v>
      </c>
      <c r="HSJ32" t="s">
        <v>6984</v>
      </c>
      <c r="HSK32" t="s">
        <v>6984</v>
      </c>
      <c r="HSL32" t="s">
        <v>6984</v>
      </c>
      <c r="HSM32" t="s">
        <v>6984</v>
      </c>
      <c r="HSN32" t="s">
        <v>6984</v>
      </c>
      <c r="HSO32" t="s">
        <v>6984</v>
      </c>
      <c r="HSP32" t="s">
        <v>6984</v>
      </c>
      <c r="HSQ32" t="s">
        <v>6984</v>
      </c>
      <c r="HSR32" t="s">
        <v>6984</v>
      </c>
      <c r="HSS32" t="s">
        <v>6984</v>
      </c>
      <c r="HST32" t="s">
        <v>6984</v>
      </c>
      <c r="HSU32" t="s">
        <v>6984</v>
      </c>
      <c r="HSV32" t="s">
        <v>6984</v>
      </c>
      <c r="HSW32" t="s">
        <v>6984</v>
      </c>
      <c r="HSX32" t="s">
        <v>6984</v>
      </c>
      <c r="HSY32" t="s">
        <v>6984</v>
      </c>
      <c r="HSZ32" t="s">
        <v>6984</v>
      </c>
      <c r="HTA32" t="s">
        <v>6984</v>
      </c>
      <c r="HTB32" t="s">
        <v>6984</v>
      </c>
      <c r="HTC32" t="s">
        <v>6984</v>
      </c>
      <c r="HTD32" t="s">
        <v>6984</v>
      </c>
      <c r="HTE32" t="s">
        <v>6984</v>
      </c>
      <c r="HTF32" t="s">
        <v>6984</v>
      </c>
      <c r="HTG32" t="s">
        <v>6984</v>
      </c>
      <c r="HTH32" t="s">
        <v>6984</v>
      </c>
      <c r="HTI32" t="s">
        <v>6984</v>
      </c>
      <c r="HTJ32" t="s">
        <v>6984</v>
      </c>
      <c r="HTK32" t="s">
        <v>6984</v>
      </c>
      <c r="HTL32" t="s">
        <v>6984</v>
      </c>
      <c r="HTM32" t="s">
        <v>6984</v>
      </c>
      <c r="HTN32" t="s">
        <v>6984</v>
      </c>
      <c r="HTO32" t="s">
        <v>6984</v>
      </c>
      <c r="HTP32" t="s">
        <v>6984</v>
      </c>
      <c r="HTQ32" t="s">
        <v>6984</v>
      </c>
      <c r="HTR32" t="s">
        <v>6984</v>
      </c>
      <c r="HTS32" t="s">
        <v>6984</v>
      </c>
      <c r="HTT32" t="s">
        <v>6984</v>
      </c>
      <c r="HTU32" t="s">
        <v>6984</v>
      </c>
      <c r="HTV32" t="s">
        <v>6984</v>
      </c>
      <c r="HTW32" t="s">
        <v>6984</v>
      </c>
      <c r="HTX32" t="s">
        <v>6984</v>
      </c>
      <c r="HTY32" t="s">
        <v>6984</v>
      </c>
      <c r="HTZ32" t="s">
        <v>6984</v>
      </c>
      <c r="HUA32" t="s">
        <v>6984</v>
      </c>
      <c r="HUB32" t="s">
        <v>6984</v>
      </c>
      <c r="HUC32" t="s">
        <v>6984</v>
      </c>
      <c r="HUD32" t="s">
        <v>6984</v>
      </c>
      <c r="HUE32" t="s">
        <v>6984</v>
      </c>
      <c r="HUF32" t="s">
        <v>6984</v>
      </c>
      <c r="HUG32" t="s">
        <v>6984</v>
      </c>
      <c r="HUH32" t="s">
        <v>6984</v>
      </c>
      <c r="HUI32" t="s">
        <v>6984</v>
      </c>
      <c r="HUJ32" t="s">
        <v>6984</v>
      </c>
      <c r="HUK32" t="s">
        <v>6984</v>
      </c>
      <c r="HUL32" t="s">
        <v>6984</v>
      </c>
      <c r="HUM32" t="s">
        <v>6984</v>
      </c>
      <c r="HUN32" t="s">
        <v>6984</v>
      </c>
      <c r="HUO32" t="s">
        <v>6984</v>
      </c>
      <c r="HUP32" t="s">
        <v>6984</v>
      </c>
      <c r="HUQ32" t="s">
        <v>6984</v>
      </c>
      <c r="HUR32" t="s">
        <v>6984</v>
      </c>
      <c r="HUS32" t="s">
        <v>6984</v>
      </c>
      <c r="HUT32" t="s">
        <v>6984</v>
      </c>
      <c r="HUU32" t="s">
        <v>6984</v>
      </c>
      <c r="HUV32" t="s">
        <v>6984</v>
      </c>
      <c r="HUW32" t="s">
        <v>6984</v>
      </c>
      <c r="HUX32" t="s">
        <v>6984</v>
      </c>
      <c r="HUY32" t="s">
        <v>6984</v>
      </c>
      <c r="HUZ32" t="s">
        <v>6984</v>
      </c>
      <c r="HVA32" t="s">
        <v>6984</v>
      </c>
      <c r="HVB32" t="s">
        <v>6984</v>
      </c>
      <c r="HVC32" t="s">
        <v>6984</v>
      </c>
      <c r="HVD32" t="s">
        <v>6984</v>
      </c>
      <c r="HVE32" t="s">
        <v>6984</v>
      </c>
      <c r="HVF32" t="s">
        <v>6984</v>
      </c>
      <c r="HVG32" t="s">
        <v>6984</v>
      </c>
      <c r="HVH32" t="s">
        <v>6984</v>
      </c>
      <c r="HVI32" t="s">
        <v>6984</v>
      </c>
      <c r="HVJ32" t="s">
        <v>6984</v>
      </c>
      <c r="HVK32" t="s">
        <v>6984</v>
      </c>
      <c r="HVL32" t="s">
        <v>6984</v>
      </c>
      <c r="HVM32" t="s">
        <v>6984</v>
      </c>
      <c r="HVN32" t="s">
        <v>6984</v>
      </c>
      <c r="HVO32" t="s">
        <v>6984</v>
      </c>
      <c r="HVP32" t="s">
        <v>6984</v>
      </c>
      <c r="HVQ32" t="s">
        <v>6984</v>
      </c>
      <c r="HVR32" t="s">
        <v>6984</v>
      </c>
      <c r="HVS32" t="s">
        <v>6984</v>
      </c>
      <c r="HVT32" t="s">
        <v>6984</v>
      </c>
      <c r="HVU32" t="s">
        <v>6984</v>
      </c>
      <c r="HVV32" t="s">
        <v>6984</v>
      </c>
      <c r="HVW32" t="s">
        <v>6984</v>
      </c>
      <c r="HVX32" t="s">
        <v>6984</v>
      </c>
      <c r="HVY32" t="s">
        <v>6984</v>
      </c>
      <c r="HVZ32" t="s">
        <v>6984</v>
      </c>
      <c r="HWA32" t="s">
        <v>6984</v>
      </c>
      <c r="HWB32" t="s">
        <v>6984</v>
      </c>
      <c r="HWC32" t="s">
        <v>6984</v>
      </c>
      <c r="HWD32" t="s">
        <v>6984</v>
      </c>
      <c r="HWE32" t="s">
        <v>6984</v>
      </c>
      <c r="HWF32" t="s">
        <v>6984</v>
      </c>
      <c r="HWG32" t="s">
        <v>6984</v>
      </c>
      <c r="HWH32" t="s">
        <v>6984</v>
      </c>
      <c r="HWI32" t="s">
        <v>6984</v>
      </c>
      <c r="HWJ32" t="s">
        <v>6984</v>
      </c>
      <c r="HWK32" t="s">
        <v>6984</v>
      </c>
      <c r="HWL32" t="s">
        <v>6984</v>
      </c>
      <c r="HWM32" t="s">
        <v>6984</v>
      </c>
      <c r="HWN32" t="s">
        <v>6984</v>
      </c>
      <c r="HWO32" t="s">
        <v>6984</v>
      </c>
      <c r="HWP32" t="s">
        <v>6984</v>
      </c>
      <c r="HWQ32" t="s">
        <v>6984</v>
      </c>
      <c r="HWR32" t="s">
        <v>6984</v>
      </c>
      <c r="HWS32" t="s">
        <v>6984</v>
      </c>
      <c r="HWT32" t="s">
        <v>6984</v>
      </c>
      <c r="HWU32" t="s">
        <v>6984</v>
      </c>
      <c r="HWV32" t="s">
        <v>6984</v>
      </c>
      <c r="HWW32" t="s">
        <v>6984</v>
      </c>
      <c r="HWX32" t="s">
        <v>6984</v>
      </c>
      <c r="HWY32" t="s">
        <v>6984</v>
      </c>
      <c r="HWZ32" t="s">
        <v>6984</v>
      </c>
      <c r="HXA32" t="s">
        <v>6984</v>
      </c>
      <c r="HXB32" t="s">
        <v>6984</v>
      </c>
      <c r="HXC32" t="s">
        <v>6984</v>
      </c>
      <c r="HXD32" t="s">
        <v>6984</v>
      </c>
      <c r="HXE32" t="s">
        <v>6984</v>
      </c>
      <c r="HXF32" t="s">
        <v>6984</v>
      </c>
      <c r="HXG32" t="s">
        <v>6984</v>
      </c>
      <c r="HXH32" t="s">
        <v>6984</v>
      </c>
      <c r="HXI32" t="s">
        <v>6984</v>
      </c>
      <c r="HXJ32" t="s">
        <v>6984</v>
      </c>
      <c r="HXK32" t="s">
        <v>6984</v>
      </c>
      <c r="HXL32" t="s">
        <v>6984</v>
      </c>
      <c r="HXM32" t="s">
        <v>6984</v>
      </c>
      <c r="HXN32" t="s">
        <v>6984</v>
      </c>
      <c r="HXO32" t="s">
        <v>6984</v>
      </c>
      <c r="HXP32" t="s">
        <v>6984</v>
      </c>
      <c r="HXQ32" t="s">
        <v>6984</v>
      </c>
      <c r="HXR32" t="s">
        <v>6984</v>
      </c>
      <c r="HXS32" t="s">
        <v>6984</v>
      </c>
      <c r="HXT32" t="s">
        <v>6984</v>
      </c>
      <c r="HXU32" t="s">
        <v>6984</v>
      </c>
      <c r="HXV32" t="s">
        <v>6984</v>
      </c>
      <c r="HXW32" t="s">
        <v>6984</v>
      </c>
      <c r="HXX32" t="s">
        <v>6984</v>
      </c>
      <c r="HXY32" t="s">
        <v>6984</v>
      </c>
      <c r="HXZ32" t="s">
        <v>6984</v>
      </c>
      <c r="HYA32" t="s">
        <v>6984</v>
      </c>
      <c r="HYB32" t="s">
        <v>6984</v>
      </c>
      <c r="HYC32" t="s">
        <v>6984</v>
      </c>
      <c r="HYD32" t="s">
        <v>6984</v>
      </c>
      <c r="HYE32" t="s">
        <v>6984</v>
      </c>
      <c r="HYF32" t="s">
        <v>6984</v>
      </c>
      <c r="HYG32" t="s">
        <v>6984</v>
      </c>
      <c r="HYH32" t="s">
        <v>6984</v>
      </c>
      <c r="HYI32" t="s">
        <v>6984</v>
      </c>
      <c r="HYJ32" t="s">
        <v>6984</v>
      </c>
      <c r="HYK32" t="s">
        <v>6984</v>
      </c>
      <c r="HYL32" t="s">
        <v>6984</v>
      </c>
      <c r="HYM32" t="s">
        <v>6984</v>
      </c>
      <c r="HYN32" t="s">
        <v>6984</v>
      </c>
      <c r="HYO32" t="s">
        <v>6984</v>
      </c>
      <c r="HYP32" t="s">
        <v>6984</v>
      </c>
      <c r="HYQ32" t="s">
        <v>6984</v>
      </c>
      <c r="HYR32" t="s">
        <v>6984</v>
      </c>
      <c r="HYS32" t="s">
        <v>6984</v>
      </c>
      <c r="HYT32" t="s">
        <v>6984</v>
      </c>
      <c r="HYU32" t="s">
        <v>6984</v>
      </c>
      <c r="HYV32" t="s">
        <v>6984</v>
      </c>
      <c r="HYW32" t="s">
        <v>6984</v>
      </c>
      <c r="HYX32" t="s">
        <v>6984</v>
      </c>
      <c r="HYY32" t="s">
        <v>6984</v>
      </c>
      <c r="HYZ32" t="s">
        <v>6984</v>
      </c>
      <c r="HZA32" t="s">
        <v>6984</v>
      </c>
      <c r="HZB32" t="s">
        <v>6984</v>
      </c>
      <c r="HZC32" t="s">
        <v>6984</v>
      </c>
      <c r="HZD32" t="s">
        <v>6984</v>
      </c>
      <c r="HZE32" t="s">
        <v>6984</v>
      </c>
      <c r="HZF32" t="s">
        <v>6984</v>
      </c>
      <c r="HZG32" t="s">
        <v>6984</v>
      </c>
      <c r="HZH32" t="s">
        <v>6984</v>
      </c>
      <c r="HZI32" t="s">
        <v>6984</v>
      </c>
      <c r="HZJ32" t="s">
        <v>6984</v>
      </c>
      <c r="HZK32" t="s">
        <v>6984</v>
      </c>
      <c r="HZL32" t="s">
        <v>6984</v>
      </c>
      <c r="HZM32" t="s">
        <v>6984</v>
      </c>
      <c r="HZN32" t="s">
        <v>6984</v>
      </c>
      <c r="HZO32" t="s">
        <v>6984</v>
      </c>
      <c r="HZP32" t="s">
        <v>6984</v>
      </c>
      <c r="HZQ32" t="s">
        <v>6984</v>
      </c>
      <c r="HZR32" t="s">
        <v>6984</v>
      </c>
      <c r="HZS32" t="s">
        <v>6984</v>
      </c>
      <c r="HZT32" t="s">
        <v>6984</v>
      </c>
      <c r="HZU32" t="s">
        <v>6984</v>
      </c>
      <c r="HZV32" t="s">
        <v>6984</v>
      </c>
      <c r="HZW32" t="s">
        <v>6984</v>
      </c>
      <c r="HZX32" t="s">
        <v>6984</v>
      </c>
      <c r="HZY32" t="s">
        <v>6984</v>
      </c>
      <c r="HZZ32" t="s">
        <v>6984</v>
      </c>
      <c r="IAA32" t="s">
        <v>6984</v>
      </c>
      <c r="IAB32" t="s">
        <v>6984</v>
      </c>
      <c r="IAC32" t="s">
        <v>6984</v>
      </c>
      <c r="IAD32" t="s">
        <v>6984</v>
      </c>
      <c r="IAE32" t="s">
        <v>6984</v>
      </c>
      <c r="IAF32" t="s">
        <v>6984</v>
      </c>
      <c r="IAG32" t="s">
        <v>6984</v>
      </c>
      <c r="IAH32" t="s">
        <v>6984</v>
      </c>
      <c r="IAI32" t="s">
        <v>6984</v>
      </c>
      <c r="IAJ32" t="s">
        <v>6984</v>
      </c>
      <c r="IAK32" t="s">
        <v>6984</v>
      </c>
      <c r="IAL32" t="s">
        <v>6984</v>
      </c>
      <c r="IAM32" t="s">
        <v>6984</v>
      </c>
      <c r="IAN32" t="s">
        <v>6984</v>
      </c>
      <c r="IAO32" t="s">
        <v>6984</v>
      </c>
      <c r="IAP32" t="s">
        <v>6984</v>
      </c>
      <c r="IAQ32" t="s">
        <v>6984</v>
      </c>
      <c r="IAR32" t="s">
        <v>6984</v>
      </c>
      <c r="IAS32" t="s">
        <v>6984</v>
      </c>
      <c r="IAT32" t="s">
        <v>6984</v>
      </c>
      <c r="IAU32" t="s">
        <v>6984</v>
      </c>
      <c r="IAV32" t="s">
        <v>6984</v>
      </c>
      <c r="IAW32" t="s">
        <v>6984</v>
      </c>
      <c r="IAX32" t="s">
        <v>6984</v>
      </c>
      <c r="IAY32" t="s">
        <v>6984</v>
      </c>
      <c r="IAZ32" t="s">
        <v>6984</v>
      </c>
      <c r="IBA32" t="s">
        <v>6984</v>
      </c>
      <c r="IBB32" t="s">
        <v>6984</v>
      </c>
      <c r="IBC32" t="s">
        <v>6984</v>
      </c>
      <c r="IBD32" t="s">
        <v>6984</v>
      </c>
      <c r="IBE32" t="s">
        <v>6984</v>
      </c>
      <c r="IBF32" t="s">
        <v>6984</v>
      </c>
      <c r="IBG32" t="s">
        <v>6984</v>
      </c>
      <c r="IBH32" t="s">
        <v>6984</v>
      </c>
      <c r="IBI32" t="s">
        <v>6984</v>
      </c>
      <c r="IBJ32" t="s">
        <v>6984</v>
      </c>
      <c r="IBK32" t="s">
        <v>6984</v>
      </c>
      <c r="IBL32" t="s">
        <v>6984</v>
      </c>
      <c r="IBM32" t="s">
        <v>6984</v>
      </c>
      <c r="IBN32" t="s">
        <v>6984</v>
      </c>
      <c r="IBO32" t="s">
        <v>6984</v>
      </c>
      <c r="IBP32" t="s">
        <v>6984</v>
      </c>
      <c r="IBQ32" t="s">
        <v>6984</v>
      </c>
      <c r="IBR32" t="s">
        <v>6984</v>
      </c>
      <c r="IBS32" t="s">
        <v>6984</v>
      </c>
      <c r="IBT32" t="s">
        <v>6984</v>
      </c>
      <c r="IBU32" t="s">
        <v>6984</v>
      </c>
      <c r="IBV32" t="s">
        <v>6984</v>
      </c>
      <c r="IBW32" t="s">
        <v>6984</v>
      </c>
      <c r="IBX32" t="s">
        <v>6984</v>
      </c>
      <c r="IBY32" t="s">
        <v>6984</v>
      </c>
      <c r="IBZ32" t="s">
        <v>6984</v>
      </c>
      <c r="ICA32" t="s">
        <v>6984</v>
      </c>
      <c r="ICB32" t="s">
        <v>6984</v>
      </c>
      <c r="ICC32" t="s">
        <v>6984</v>
      </c>
      <c r="ICD32" t="s">
        <v>6984</v>
      </c>
      <c r="ICE32" t="s">
        <v>6984</v>
      </c>
      <c r="ICF32" t="s">
        <v>6984</v>
      </c>
      <c r="ICG32" t="s">
        <v>6984</v>
      </c>
      <c r="ICH32" t="s">
        <v>6984</v>
      </c>
      <c r="ICI32" t="s">
        <v>6984</v>
      </c>
      <c r="ICJ32" t="s">
        <v>6984</v>
      </c>
      <c r="ICK32" t="s">
        <v>6984</v>
      </c>
      <c r="ICL32" t="s">
        <v>6984</v>
      </c>
      <c r="ICM32" t="s">
        <v>6984</v>
      </c>
      <c r="ICN32" t="s">
        <v>6984</v>
      </c>
      <c r="ICO32" t="s">
        <v>6984</v>
      </c>
      <c r="ICP32" t="s">
        <v>6984</v>
      </c>
      <c r="ICQ32" t="s">
        <v>6984</v>
      </c>
      <c r="ICR32" t="s">
        <v>6984</v>
      </c>
      <c r="ICS32" t="s">
        <v>6984</v>
      </c>
      <c r="ICT32" t="s">
        <v>6984</v>
      </c>
      <c r="ICU32" t="s">
        <v>6984</v>
      </c>
      <c r="ICV32" t="s">
        <v>6984</v>
      </c>
      <c r="ICW32" t="s">
        <v>6984</v>
      </c>
      <c r="ICX32" t="s">
        <v>6984</v>
      </c>
      <c r="ICY32" t="s">
        <v>6984</v>
      </c>
      <c r="ICZ32" t="s">
        <v>6984</v>
      </c>
      <c r="IDA32" t="s">
        <v>6984</v>
      </c>
      <c r="IDB32" t="s">
        <v>6984</v>
      </c>
      <c r="IDC32" t="s">
        <v>6984</v>
      </c>
      <c r="IDD32" t="s">
        <v>6984</v>
      </c>
      <c r="IDE32" t="s">
        <v>6984</v>
      </c>
      <c r="IDF32" t="s">
        <v>6984</v>
      </c>
      <c r="IDG32" t="s">
        <v>6984</v>
      </c>
      <c r="IDH32" t="s">
        <v>6984</v>
      </c>
      <c r="IDI32" t="s">
        <v>6984</v>
      </c>
      <c r="IDJ32" t="s">
        <v>6984</v>
      </c>
      <c r="IDK32" t="s">
        <v>6984</v>
      </c>
      <c r="IDL32" t="s">
        <v>6984</v>
      </c>
      <c r="IDM32" t="s">
        <v>6984</v>
      </c>
      <c r="IDN32" t="s">
        <v>6984</v>
      </c>
      <c r="IDO32" t="s">
        <v>6984</v>
      </c>
      <c r="IDP32" t="s">
        <v>6984</v>
      </c>
      <c r="IDQ32" t="s">
        <v>6984</v>
      </c>
      <c r="IDR32" t="s">
        <v>6984</v>
      </c>
      <c r="IDS32" t="s">
        <v>6984</v>
      </c>
      <c r="IDT32" t="s">
        <v>6984</v>
      </c>
      <c r="IDU32" t="s">
        <v>6984</v>
      </c>
      <c r="IDV32" t="s">
        <v>6984</v>
      </c>
      <c r="IDW32" t="s">
        <v>6984</v>
      </c>
      <c r="IDX32" t="s">
        <v>6984</v>
      </c>
      <c r="IDY32" t="s">
        <v>6984</v>
      </c>
      <c r="IDZ32" t="s">
        <v>6984</v>
      </c>
      <c r="IEA32" t="s">
        <v>6984</v>
      </c>
      <c r="IEB32" t="s">
        <v>6984</v>
      </c>
      <c r="IEC32" t="s">
        <v>6984</v>
      </c>
      <c r="IED32" t="s">
        <v>6984</v>
      </c>
      <c r="IEE32" t="s">
        <v>6984</v>
      </c>
      <c r="IEF32" t="s">
        <v>6984</v>
      </c>
      <c r="IEG32" t="s">
        <v>6984</v>
      </c>
      <c r="IEH32" t="s">
        <v>6984</v>
      </c>
      <c r="IEI32" t="s">
        <v>6984</v>
      </c>
      <c r="IEJ32" t="s">
        <v>6984</v>
      </c>
      <c r="IEK32" t="s">
        <v>6984</v>
      </c>
      <c r="IEL32" t="s">
        <v>6984</v>
      </c>
      <c r="IEM32" t="s">
        <v>6984</v>
      </c>
      <c r="IEN32" t="s">
        <v>6984</v>
      </c>
      <c r="IEO32" t="s">
        <v>6984</v>
      </c>
      <c r="IEP32" t="s">
        <v>6984</v>
      </c>
      <c r="IEQ32" t="s">
        <v>6984</v>
      </c>
      <c r="IER32" t="s">
        <v>6984</v>
      </c>
      <c r="IES32" t="s">
        <v>6984</v>
      </c>
      <c r="IET32" t="s">
        <v>6984</v>
      </c>
      <c r="IEU32" t="s">
        <v>6984</v>
      </c>
      <c r="IEV32" t="s">
        <v>6984</v>
      </c>
      <c r="IEW32" t="s">
        <v>6984</v>
      </c>
      <c r="IEX32" t="s">
        <v>6984</v>
      </c>
      <c r="IEY32" t="s">
        <v>6984</v>
      </c>
      <c r="IEZ32" t="s">
        <v>6984</v>
      </c>
      <c r="IFA32" t="s">
        <v>6984</v>
      </c>
      <c r="IFB32" t="s">
        <v>6984</v>
      </c>
      <c r="IFC32" t="s">
        <v>6984</v>
      </c>
      <c r="IFD32" t="s">
        <v>6984</v>
      </c>
      <c r="IFE32" t="s">
        <v>6984</v>
      </c>
      <c r="IFF32" t="s">
        <v>6984</v>
      </c>
      <c r="IFG32" t="s">
        <v>6984</v>
      </c>
      <c r="IFH32" t="s">
        <v>6984</v>
      </c>
      <c r="IFI32" t="s">
        <v>6984</v>
      </c>
      <c r="IFJ32" t="s">
        <v>6984</v>
      </c>
      <c r="IFK32" t="s">
        <v>6984</v>
      </c>
      <c r="IFL32" t="s">
        <v>6984</v>
      </c>
      <c r="IFM32" t="s">
        <v>6984</v>
      </c>
      <c r="IFN32" t="s">
        <v>6984</v>
      </c>
      <c r="IFO32" t="s">
        <v>6984</v>
      </c>
      <c r="IFP32" t="s">
        <v>6984</v>
      </c>
      <c r="IFQ32" t="s">
        <v>6984</v>
      </c>
      <c r="IFR32" t="s">
        <v>6984</v>
      </c>
      <c r="IFS32" t="s">
        <v>6984</v>
      </c>
      <c r="IFT32" t="s">
        <v>6984</v>
      </c>
      <c r="IFU32" t="s">
        <v>6984</v>
      </c>
      <c r="IFV32" t="s">
        <v>6984</v>
      </c>
      <c r="IFW32" t="s">
        <v>6984</v>
      </c>
      <c r="IFX32" t="s">
        <v>6984</v>
      </c>
      <c r="IFY32" t="s">
        <v>6984</v>
      </c>
      <c r="IFZ32" t="s">
        <v>6984</v>
      </c>
      <c r="IGA32" t="s">
        <v>6984</v>
      </c>
      <c r="IGB32" t="s">
        <v>6984</v>
      </c>
      <c r="IGC32" t="s">
        <v>6984</v>
      </c>
      <c r="IGD32" t="s">
        <v>6984</v>
      </c>
      <c r="IGE32" t="s">
        <v>6984</v>
      </c>
      <c r="IGF32" t="s">
        <v>6984</v>
      </c>
      <c r="IGG32" t="s">
        <v>6984</v>
      </c>
      <c r="IGH32" t="s">
        <v>6984</v>
      </c>
      <c r="IGI32" t="s">
        <v>6984</v>
      </c>
      <c r="IGJ32" t="s">
        <v>6984</v>
      </c>
      <c r="IGK32" t="s">
        <v>6984</v>
      </c>
      <c r="IGL32" t="s">
        <v>6984</v>
      </c>
      <c r="IGM32" t="s">
        <v>6984</v>
      </c>
      <c r="IGN32" t="s">
        <v>6984</v>
      </c>
      <c r="IGO32" t="s">
        <v>6984</v>
      </c>
      <c r="IGP32" t="s">
        <v>6984</v>
      </c>
      <c r="IGQ32" t="s">
        <v>6984</v>
      </c>
      <c r="IGR32" t="s">
        <v>6984</v>
      </c>
      <c r="IGS32" t="s">
        <v>6984</v>
      </c>
      <c r="IGT32" t="s">
        <v>6984</v>
      </c>
      <c r="IGU32" t="s">
        <v>6984</v>
      </c>
      <c r="IGV32" t="s">
        <v>6984</v>
      </c>
      <c r="IGW32" t="s">
        <v>6984</v>
      </c>
      <c r="IGX32" t="s">
        <v>6984</v>
      </c>
      <c r="IGY32" t="s">
        <v>6984</v>
      </c>
      <c r="IGZ32" t="s">
        <v>6984</v>
      </c>
      <c r="IHA32" t="s">
        <v>6984</v>
      </c>
      <c r="IHB32" t="s">
        <v>6984</v>
      </c>
      <c r="IHC32" t="s">
        <v>6984</v>
      </c>
      <c r="IHD32" t="s">
        <v>6984</v>
      </c>
      <c r="IHE32" t="s">
        <v>6984</v>
      </c>
      <c r="IHF32" t="s">
        <v>6984</v>
      </c>
      <c r="IHG32" t="s">
        <v>6984</v>
      </c>
      <c r="IHH32" t="s">
        <v>6984</v>
      </c>
      <c r="IHI32" t="s">
        <v>6984</v>
      </c>
      <c r="IHJ32" t="s">
        <v>6984</v>
      </c>
      <c r="IHK32" t="s">
        <v>6984</v>
      </c>
      <c r="IHL32" t="s">
        <v>6984</v>
      </c>
      <c r="IHM32" t="s">
        <v>6984</v>
      </c>
      <c r="IHN32" t="s">
        <v>6984</v>
      </c>
      <c r="IHO32" t="s">
        <v>6984</v>
      </c>
      <c r="IHP32" t="s">
        <v>6984</v>
      </c>
      <c r="IHQ32" t="s">
        <v>6984</v>
      </c>
      <c r="IHR32" t="s">
        <v>6984</v>
      </c>
      <c r="IHS32" t="s">
        <v>6984</v>
      </c>
      <c r="IHT32" t="s">
        <v>6984</v>
      </c>
      <c r="IHU32" t="s">
        <v>6984</v>
      </c>
      <c r="IHV32" t="s">
        <v>6984</v>
      </c>
      <c r="IHW32" t="s">
        <v>6984</v>
      </c>
      <c r="IHX32" t="s">
        <v>6984</v>
      </c>
      <c r="IHY32" t="s">
        <v>6984</v>
      </c>
      <c r="IHZ32" t="s">
        <v>6984</v>
      </c>
      <c r="IIA32" t="s">
        <v>6984</v>
      </c>
      <c r="IIB32" t="s">
        <v>6984</v>
      </c>
      <c r="IIC32" t="s">
        <v>6984</v>
      </c>
      <c r="IID32" t="s">
        <v>6984</v>
      </c>
      <c r="IIE32" t="s">
        <v>6984</v>
      </c>
      <c r="IIF32" t="s">
        <v>6984</v>
      </c>
      <c r="IIG32" t="s">
        <v>6984</v>
      </c>
      <c r="IIH32" t="s">
        <v>6984</v>
      </c>
      <c r="III32" t="s">
        <v>6984</v>
      </c>
      <c r="IIJ32" t="s">
        <v>6984</v>
      </c>
      <c r="IIK32" t="s">
        <v>6984</v>
      </c>
      <c r="IIL32" t="s">
        <v>6984</v>
      </c>
      <c r="IIM32" t="s">
        <v>6984</v>
      </c>
      <c r="IIN32" t="s">
        <v>6984</v>
      </c>
      <c r="IIO32" t="s">
        <v>6984</v>
      </c>
      <c r="IIP32" t="s">
        <v>6984</v>
      </c>
      <c r="IIQ32" t="s">
        <v>6984</v>
      </c>
      <c r="IIR32" t="s">
        <v>6984</v>
      </c>
      <c r="IIS32" t="s">
        <v>6984</v>
      </c>
      <c r="IIT32" t="s">
        <v>6984</v>
      </c>
      <c r="IIU32" t="s">
        <v>6984</v>
      </c>
      <c r="IIV32" t="s">
        <v>6984</v>
      </c>
      <c r="IIW32" t="s">
        <v>6984</v>
      </c>
      <c r="IIX32" t="s">
        <v>6984</v>
      </c>
      <c r="IIY32" t="s">
        <v>6984</v>
      </c>
      <c r="IIZ32" t="s">
        <v>6984</v>
      </c>
      <c r="IJA32" t="s">
        <v>6984</v>
      </c>
      <c r="IJB32" t="s">
        <v>6984</v>
      </c>
      <c r="IJC32" t="s">
        <v>6984</v>
      </c>
      <c r="IJD32" t="s">
        <v>6984</v>
      </c>
      <c r="IJE32" t="s">
        <v>6984</v>
      </c>
      <c r="IJF32" t="s">
        <v>6984</v>
      </c>
      <c r="IJG32" t="s">
        <v>6984</v>
      </c>
      <c r="IJH32" t="s">
        <v>6984</v>
      </c>
      <c r="IJI32" t="s">
        <v>6984</v>
      </c>
      <c r="IJJ32" t="s">
        <v>6984</v>
      </c>
      <c r="IJK32" t="s">
        <v>6984</v>
      </c>
      <c r="IJL32" t="s">
        <v>6984</v>
      </c>
      <c r="IJM32" t="s">
        <v>6984</v>
      </c>
      <c r="IJN32" t="s">
        <v>6984</v>
      </c>
      <c r="IJO32" t="s">
        <v>6984</v>
      </c>
      <c r="IJP32" t="s">
        <v>6984</v>
      </c>
      <c r="IJQ32" t="s">
        <v>6984</v>
      </c>
      <c r="IJR32" t="s">
        <v>6984</v>
      </c>
      <c r="IJS32" t="s">
        <v>6984</v>
      </c>
      <c r="IJT32" t="s">
        <v>6984</v>
      </c>
      <c r="IJU32" t="s">
        <v>6984</v>
      </c>
      <c r="IJV32" t="s">
        <v>6984</v>
      </c>
      <c r="IJW32" t="s">
        <v>6984</v>
      </c>
      <c r="IJX32" t="s">
        <v>6984</v>
      </c>
      <c r="IJY32" t="s">
        <v>6984</v>
      </c>
      <c r="IJZ32" t="s">
        <v>6984</v>
      </c>
      <c r="IKA32" t="s">
        <v>6984</v>
      </c>
      <c r="IKB32" t="s">
        <v>6984</v>
      </c>
      <c r="IKC32" t="s">
        <v>6984</v>
      </c>
      <c r="IKD32" t="s">
        <v>6984</v>
      </c>
      <c r="IKE32" t="s">
        <v>6984</v>
      </c>
      <c r="IKF32" t="s">
        <v>6984</v>
      </c>
      <c r="IKG32" t="s">
        <v>6984</v>
      </c>
      <c r="IKH32" t="s">
        <v>6984</v>
      </c>
      <c r="IKI32" t="s">
        <v>6984</v>
      </c>
      <c r="IKJ32" t="s">
        <v>6984</v>
      </c>
      <c r="IKK32" t="s">
        <v>6984</v>
      </c>
      <c r="IKL32" t="s">
        <v>6984</v>
      </c>
      <c r="IKM32" t="s">
        <v>6984</v>
      </c>
      <c r="IKN32" t="s">
        <v>6984</v>
      </c>
      <c r="IKO32" t="s">
        <v>6984</v>
      </c>
      <c r="IKP32" t="s">
        <v>6984</v>
      </c>
      <c r="IKQ32" t="s">
        <v>6984</v>
      </c>
      <c r="IKR32" t="s">
        <v>6984</v>
      </c>
      <c r="IKS32" t="s">
        <v>6984</v>
      </c>
      <c r="IKT32" t="s">
        <v>6984</v>
      </c>
      <c r="IKU32" t="s">
        <v>6984</v>
      </c>
      <c r="IKV32" t="s">
        <v>6984</v>
      </c>
      <c r="IKW32" t="s">
        <v>6984</v>
      </c>
      <c r="IKX32" t="s">
        <v>6984</v>
      </c>
      <c r="IKY32" t="s">
        <v>6984</v>
      </c>
      <c r="IKZ32" t="s">
        <v>6984</v>
      </c>
      <c r="ILA32" t="s">
        <v>6984</v>
      </c>
      <c r="ILB32" t="s">
        <v>6984</v>
      </c>
      <c r="ILC32" t="s">
        <v>6984</v>
      </c>
      <c r="ILD32" t="s">
        <v>6984</v>
      </c>
      <c r="ILE32" t="s">
        <v>6984</v>
      </c>
      <c r="ILF32" t="s">
        <v>6984</v>
      </c>
      <c r="ILG32" t="s">
        <v>6984</v>
      </c>
      <c r="ILH32" t="s">
        <v>6984</v>
      </c>
      <c r="ILI32" t="s">
        <v>6984</v>
      </c>
      <c r="ILJ32" t="s">
        <v>6984</v>
      </c>
      <c r="ILK32" t="s">
        <v>6984</v>
      </c>
      <c r="ILL32" t="s">
        <v>6984</v>
      </c>
      <c r="ILM32" t="s">
        <v>6984</v>
      </c>
      <c r="ILN32" t="s">
        <v>6984</v>
      </c>
      <c r="ILO32" t="s">
        <v>6984</v>
      </c>
      <c r="ILP32" t="s">
        <v>6984</v>
      </c>
      <c r="ILQ32" t="s">
        <v>6984</v>
      </c>
      <c r="ILR32" t="s">
        <v>6984</v>
      </c>
      <c r="ILS32" t="s">
        <v>6984</v>
      </c>
      <c r="ILT32" t="s">
        <v>6984</v>
      </c>
      <c r="ILU32" t="s">
        <v>6984</v>
      </c>
      <c r="ILV32" t="s">
        <v>6984</v>
      </c>
      <c r="ILW32" t="s">
        <v>6984</v>
      </c>
      <c r="ILX32" t="s">
        <v>6984</v>
      </c>
      <c r="ILY32" t="s">
        <v>6984</v>
      </c>
      <c r="ILZ32" t="s">
        <v>6984</v>
      </c>
      <c r="IMA32" t="s">
        <v>6984</v>
      </c>
      <c r="IMB32" t="s">
        <v>6984</v>
      </c>
      <c r="IMC32" t="s">
        <v>6984</v>
      </c>
      <c r="IMD32" t="s">
        <v>6984</v>
      </c>
      <c r="IME32" t="s">
        <v>6984</v>
      </c>
      <c r="IMF32" t="s">
        <v>6984</v>
      </c>
      <c r="IMG32" t="s">
        <v>6984</v>
      </c>
      <c r="IMH32" t="s">
        <v>6984</v>
      </c>
      <c r="IMI32" t="s">
        <v>6984</v>
      </c>
      <c r="IMJ32" t="s">
        <v>6984</v>
      </c>
      <c r="IMK32" t="s">
        <v>6984</v>
      </c>
      <c r="IML32" t="s">
        <v>6984</v>
      </c>
      <c r="IMM32" t="s">
        <v>6984</v>
      </c>
      <c r="IMN32" t="s">
        <v>6984</v>
      </c>
      <c r="IMO32" t="s">
        <v>6984</v>
      </c>
      <c r="IMP32" t="s">
        <v>6984</v>
      </c>
      <c r="IMQ32" t="s">
        <v>6984</v>
      </c>
      <c r="IMR32" t="s">
        <v>6984</v>
      </c>
      <c r="IMS32" t="s">
        <v>6984</v>
      </c>
      <c r="IMT32" t="s">
        <v>6984</v>
      </c>
      <c r="IMU32" t="s">
        <v>6984</v>
      </c>
      <c r="IMV32" t="s">
        <v>6984</v>
      </c>
      <c r="IMW32" t="s">
        <v>6984</v>
      </c>
      <c r="IMX32" t="s">
        <v>6984</v>
      </c>
      <c r="IMY32" t="s">
        <v>6984</v>
      </c>
      <c r="IMZ32" t="s">
        <v>6984</v>
      </c>
      <c r="INA32" t="s">
        <v>6984</v>
      </c>
      <c r="INB32" t="s">
        <v>6984</v>
      </c>
      <c r="INC32" t="s">
        <v>6984</v>
      </c>
      <c r="IND32" t="s">
        <v>6984</v>
      </c>
      <c r="INE32" t="s">
        <v>6984</v>
      </c>
      <c r="INF32" t="s">
        <v>6984</v>
      </c>
      <c r="ING32" t="s">
        <v>6984</v>
      </c>
      <c r="INH32" t="s">
        <v>6984</v>
      </c>
      <c r="INI32" t="s">
        <v>6984</v>
      </c>
      <c r="INJ32" t="s">
        <v>6984</v>
      </c>
      <c r="INK32" t="s">
        <v>6984</v>
      </c>
      <c r="INL32" t="s">
        <v>6984</v>
      </c>
      <c r="INM32" t="s">
        <v>6984</v>
      </c>
      <c r="INN32" t="s">
        <v>6984</v>
      </c>
      <c r="INO32" t="s">
        <v>6984</v>
      </c>
      <c r="INP32" t="s">
        <v>6984</v>
      </c>
      <c r="INQ32" t="s">
        <v>6984</v>
      </c>
      <c r="INR32" t="s">
        <v>6984</v>
      </c>
      <c r="INS32" t="s">
        <v>6984</v>
      </c>
      <c r="INT32" t="s">
        <v>6984</v>
      </c>
      <c r="INU32" t="s">
        <v>6984</v>
      </c>
      <c r="INV32" t="s">
        <v>6984</v>
      </c>
      <c r="INW32" t="s">
        <v>6984</v>
      </c>
      <c r="INX32" t="s">
        <v>6984</v>
      </c>
      <c r="INY32" t="s">
        <v>6984</v>
      </c>
      <c r="INZ32" t="s">
        <v>6984</v>
      </c>
      <c r="IOA32" t="s">
        <v>6984</v>
      </c>
      <c r="IOB32" t="s">
        <v>6984</v>
      </c>
      <c r="IOC32" t="s">
        <v>6984</v>
      </c>
      <c r="IOD32" t="s">
        <v>6984</v>
      </c>
      <c r="IOE32" t="s">
        <v>6984</v>
      </c>
      <c r="IOF32" t="s">
        <v>6984</v>
      </c>
      <c r="IOG32" t="s">
        <v>6984</v>
      </c>
      <c r="IOH32" t="s">
        <v>6984</v>
      </c>
      <c r="IOI32" t="s">
        <v>6984</v>
      </c>
      <c r="IOJ32" t="s">
        <v>6984</v>
      </c>
      <c r="IOK32" t="s">
        <v>6984</v>
      </c>
      <c r="IOL32" t="s">
        <v>6984</v>
      </c>
      <c r="IOM32" t="s">
        <v>6984</v>
      </c>
      <c r="ION32" t="s">
        <v>6984</v>
      </c>
      <c r="IOO32" t="s">
        <v>6984</v>
      </c>
      <c r="IOP32" t="s">
        <v>6984</v>
      </c>
      <c r="IOQ32" t="s">
        <v>6984</v>
      </c>
      <c r="IOR32" t="s">
        <v>6984</v>
      </c>
      <c r="IOS32" t="s">
        <v>6984</v>
      </c>
      <c r="IOT32" t="s">
        <v>6984</v>
      </c>
      <c r="IOU32" t="s">
        <v>6984</v>
      </c>
      <c r="IOV32" t="s">
        <v>6984</v>
      </c>
      <c r="IOW32" t="s">
        <v>6984</v>
      </c>
      <c r="IOX32" t="s">
        <v>6984</v>
      </c>
      <c r="IOY32" t="s">
        <v>6984</v>
      </c>
      <c r="IOZ32" t="s">
        <v>6984</v>
      </c>
      <c r="IPA32" t="s">
        <v>6984</v>
      </c>
      <c r="IPB32" t="s">
        <v>6984</v>
      </c>
      <c r="IPC32" t="s">
        <v>6984</v>
      </c>
      <c r="IPD32" t="s">
        <v>6984</v>
      </c>
      <c r="IPE32" t="s">
        <v>6984</v>
      </c>
      <c r="IPF32" t="s">
        <v>6984</v>
      </c>
      <c r="IPG32" t="s">
        <v>6984</v>
      </c>
      <c r="IPH32" t="s">
        <v>6984</v>
      </c>
      <c r="IPI32" t="s">
        <v>6984</v>
      </c>
      <c r="IPJ32" t="s">
        <v>6984</v>
      </c>
      <c r="IPK32" t="s">
        <v>6984</v>
      </c>
      <c r="IPL32" t="s">
        <v>6984</v>
      </c>
      <c r="IPM32" t="s">
        <v>6984</v>
      </c>
      <c r="IPN32" t="s">
        <v>6984</v>
      </c>
      <c r="IPO32" t="s">
        <v>6984</v>
      </c>
      <c r="IPP32" t="s">
        <v>6984</v>
      </c>
      <c r="IPQ32" t="s">
        <v>6984</v>
      </c>
      <c r="IPR32" t="s">
        <v>6984</v>
      </c>
      <c r="IPS32" t="s">
        <v>6984</v>
      </c>
      <c r="IPT32" t="s">
        <v>6984</v>
      </c>
      <c r="IPU32" t="s">
        <v>6984</v>
      </c>
      <c r="IPV32" t="s">
        <v>6984</v>
      </c>
      <c r="IPW32" t="s">
        <v>6984</v>
      </c>
      <c r="IPX32" t="s">
        <v>6984</v>
      </c>
      <c r="IPY32" t="s">
        <v>6984</v>
      </c>
      <c r="IPZ32" t="s">
        <v>6984</v>
      </c>
      <c r="IQA32" t="s">
        <v>6984</v>
      </c>
      <c r="IQB32" t="s">
        <v>6984</v>
      </c>
      <c r="IQC32" t="s">
        <v>6984</v>
      </c>
      <c r="IQD32" t="s">
        <v>6984</v>
      </c>
      <c r="IQE32" t="s">
        <v>6984</v>
      </c>
      <c r="IQF32" t="s">
        <v>6984</v>
      </c>
      <c r="IQG32" t="s">
        <v>6984</v>
      </c>
      <c r="IQH32" t="s">
        <v>6984</v>
      </c>
      <c r="IQI32" t="s">
        <v>6984</v>
      </c>
      <c r="IQJ32" t="s">
        <v>6984</v>
      </c>
      <c r="IQK32" t="s">
        <v>6984</v>
      </c>
      <c r="IQL32" t="s">
        <v>6984</v>
      </c>
      <c r="IQM32" t="s">
        <v>6984</v>
      </c>
      <c r="IQN32" t="s">
        <v>6984</v>
      </c>
      <c r="IQO32" t="s">
        <v>6984</v>
      </c>
      <c r="IQP32" t="s">
        <v>6984</v>
      </c>
      <c r="IQQ32" t="s">
        <v>6984</v>
      </c>
      <c r="IQR32" t="s">
        <v>6984</v>
      </c>
      <c r="IQS32" t="s">
        <v>6984</v>
      </c>
      <c r="IQT32" t="s">
        <v>6984</v>
      </c>
      <c r="IQU32" t="s">
        <v>6984</v>
      </c>
      <c r="IQV32" t="s">
        <v>6984</v>
      </c>
      <c r="IQW32" t="s">
        <v>6984</v>
      </c>
      <c r="IQX32" t="s">
        <v>6984</v>
      </c>
      <c r="IQY32" t="s">
        <v>6984</v>
      </c>
      <c r="IQZ32" t="s">
        <v>6984</v>
      </c>
      <c r="IRA32" t="s">
        <v>6984</v>
      </c>
      <c r="IRB32" t="s">
        <v>6984</v>
      </c>
      <c r="IRC32" t="s">
        <v>6984</v>
      </c>
      <c r="IRD32" t="s">
        <v>6984</v>
      </c>
      <c r="IRE32" t="s">
        <v>6984</v>
      </c>
      <c r="IRF32" t="s">
        <v>6984</v>
      </c>
      <c r="IRG32" t="s">
        <v>6984</v>
      </c>
      <c r="IRH32" t="s">
        <v>6984</v>
      </c>
      <c r="IRI32" t="s">
        <v>6984</v>
      </c>
      <c r="IRJ32" t="s">
        <v>6984</v>
      </c>
      <c r="IRK32" t="s">
        <v>6984</v>
      </c>
      <c r="IRL32" t="s">
        <v>6984</v>
      </c>
      <c r="IRM32" t="s">
        <v>6984</v>
      </c>
      <c r="IRN32" t="s">
        <v>6984</v>
      </c>
      <c r="IRO32" t="s">
        <v>6984</v>
      </c>
      <c r="IRP32" t="s">
        <v>6984</v>
      </c>
      <c r="IRQ32" t="s">
        <v>6984</v>
      </c>
      <c r="IRR32" t="s">
        <v>6984</v>
      </c>
      <c r="IRS32" t="s">
        <v>6984</v>
      </c>
      <c r="IRT32" t="s">
        <v>6984</v>
      </c>
      <c r="IRU32" t="s">
        <v>6984</v>
      </c>
      <c r="IRV32" t="s">
        <v>6984</v>
      </c>
      <c r="IRW32" t="s">
        <v>6984</v>
      </c>
      <c r="IRX32" t="s">
        <v>6984</v>
      </c>
      <c r="IRY32" t="s">
        <v>6984</v>
      </c>
      <c r="IRZ32" t="s">
        <v>6984</v>
      </c>
      <c r="ISA32" t="s">
        <v>6984</v>
      </c>
      <c r="ISB32" t="s">
        <v>6984</v>
      </c>
      <c r="ISC32" t="s">
        <v>6984</v>
      </c>
      <c r="ISD32" t="s">
        <v>6984</v>
      </c>
      <c r="ISE32" t="s">
        <v>6984</v>
      </c>
      <c r="ISF32" t="s">
        <v>6984</v>
      </c>
      <c r="ISG32" t="s">
        <v>6984</v>
      </c>
      <c r="ISH32" t="s">
        <v>6984</v>
      </c>
      <c r="ISI32" t="s">
        <v>6984</v>
      </c>
      <c r="ISJ32" t="s">
        <v>6984</v>
      </c>
      <c r="ISK32" t="s">
        <v>6984</v>
      </c>
      <c r="ISL32" t="s">
        <v>6984</v>
      </c>
      <c r="ISM32" t="s">
        <v>6984</v>
      </c>
      <c r="ISN32" t="s">
        <v>6984</v>
      </c>
      <c r="ISO32" t="s">
        <v>6984</v>
      </c>
      <c r="ISP32" t="s">
        <v>6984</v>
      </c>
      <c r="ISQ32" t="s">
        <v>6984</v>
      </c>
      <c r="ISR32" t="s">
        <v>6984</v>
      </c>
      <c r="ISS32" t="s">
        <v>6984</v>
      </c>
      <c r="IST32" t="s">
        <v>6984</v>
      </c>
      <c r="ISU32" t="s">
        <v>6984</v>
      </c>
      <c r="ISV32" t="s">
        <v>6984</v>
      </c>
      <c r="ISW32" t="s">
        <v>6984</v>
      </c>
      <c r="ISX32" t="s">
        <v>6984</v>
      </c>
      <c r="ISY32" t="s">
        <v>6984</v>
      </c>
      <c r="ISZ32" t="s">
        <v>6984</v>
      </c>
      <c r="ITA32" t="s">
        <v>6984</v>
      </c>
      <c r="ITB32" t="s">
        <v>6984</v>
      </c>
      <c r="ITC32" t="s">
        <v>6984</v>
      </c>
      <c r="ITD32" t="s">
        <v>6984</v>
      </c>
      <c r="ITE32" t="s">
        <v>6984</v>
      </c>
      <c r="ITF32" t="s">
        <v>6984</v>
      </c>
      <c r="ITG32" t="s">
        <v>6984</v>
      </c>
      <c r="ITH32" t="s">
        <v>6984</v>
      </c>
      <c r="ITI32" t="s">
        <v>6984</v>
      </c>
      <c r="ITJ32" t="s">
        <v>6984</v>
      </c>
      <c r="ITK32" t="s">
        <v>6984</v>
      </c>
      <c r="ITL32" t="s">
        <v>6984</v>
      </c>
      <c r="ITM32" t="s">
        <v>6984</v>
      </c>
      <c r="ITN32" t="s">
        <v>6984</v>
      </c>
      <c r="ITO32" t="s">
        <v>6984</v>
      </c>
      <c r="ITP32" t="s">
        <v>6984</v>
      </c>
      <c r="ITQ32" t="s">
        <v>6984</v>
      </c>
      <c r="ITR32" t="s">
        <v>6984</v>
      </c>
      <c r="ITS32" t="s">
        <v>6984</v>
      </c>
      <c r="ITT32" t="s">
        <v>6984</v>
      </c>
      <c r="ITU32" t="s">
        <v>6984</v>
      </c>
      <c r="ITV32" t="s">
        <v>6984</v>
      </c>
      <c r="ITW32" t="s">
        <v>6984</v>
      </c>
      <c r="ITX32" t="s">
        <v>6984</v>
      </c>
      <c r="ITY32" t="s">
        <v>6984</v>
      </c>
      <c r="ITZ32" t="s">
        <v>6984</v>
      </c>
      <c r="IUA32" t="s">
        <v>6984</v>
      </c>
      <c r="IUB32" t="s">
        <v>6984</v>
      </c>
      <c r="IUC32" t="s">
        <v>6984</v>
      </c>
      <c r="IUD32" t="s">
        <v>6984</v>
      </c>
      <c r="IUE32" t="s">
        <v>6984</v>
      </c>
      <c r="IUF32" t="s">
        <v>6984</v>
      </c>
      <c r="IUG32" t="s">
        <v>6984</v>
      </c>
      <c r="IUH32" t="s">
        <v>6984</v>
      </c>
      <c r="IUI32" t="s">
        <v>6984</v>
      </c>
      <c r="IUJ32" t="s">
        <v>6984</v>
      </c>
      <c r="IUK32" t="s">
        <v>6984</v>
      </c>
      <c r="IUL32" t="s">
        <v>6984</v>
      </c>
      <c r="IUM32" t="s">
        <v>6984</v>
      </c>
      <c r="IUN32" t="s">
        <v>6984</v>
      </c>
      <c r="IUO32" t="s">
        <v>6984</v>
      </c>
      <c r="IUP32" t="s">
        <v>6984</v>
      </c>
      <c r="IUQ32" t="s">
        <v>6984</v>
      </c>
      <c r="IUR32" t="s">
        <v>6984</v>
      </c>
      <c r="IUS32" t="s">
        <v>6984</v>
      </c>
      <c r="IUT32" t="s">
        <v>6984</v>
      </c>
      <c r="IUU32" t="s">
        <v>6984</v>
      </c>
      <c r="IUV32" t="s">
        <v>6984</v>
      </c>
      <c r="IUW32" t="s">
        <v>6984</v>
      </c>
      <c r="IUX32" t="s">
        <v>6984</v>
      </c>
      <c r="IUY32" t="s">
        <v>6984</v>
      </c>
      <c r="IUZ32" t="s">
        <v>6984</v>
      </c>
      <c r="IVA32" t="s">
        <v>6984</v>
      </c>
      <c r="IVB32" t="s">
        <v>6984</v>
      </c>
      <c r="IVC32" t="s">
        <v>6984</v>
      </c>
      <c r="IVD32" t="s">
        <v>6984</v>
      </c>
      <c r="IVE32" t="s">
        <v>6984</v>
      </c>
      <c r="IVF32" t="s">
        <v>6984</v>
      </c>
      <c r="IVG32" t="s">
        <v>6984</v>
      </c>
      <c r="IVH32" t="s">
        <v>6984</v>
      </c>
      <c r="IVI32" t="s">
        <v>6984</v>
      </c>
      <c r="IVJ32" t="s">
        <v>6984</v>
      </c>
      <c r="IVK32" t="s">
        <v>6984</v>
      </c>
      <c r="IVL32" t="s">
        <v>6984</v>
      </c>
      <c r="IVM32" t="s">
        <v>6984</v>
      </c>
      <c r="IVN32" t="s">
        <v>6984</v>
      </c>
      <c r="IVO32" t="s">
        <v>6984</v>
      </c>
      <c r="IVP32" t="s">
        <v>6984</v>
      </c>
      <c r="IVQ32" t="s">
        <v>6984</v>
      </c>
      <c r="IVR32" t="s">
        <v>6984</v>
      </c>
      <c r="IVS32" t="s">
        <v>6984</v>
      </c>
      <c r="IVT32" t="s">
        <v>6984</v>
      </c>
      <c r="IVU32" t="s">
        <v>6984</v>
      </c>
      <c r="IVV32" t="s">
        <v>6984</v>
      </c>
      <c r="IVW32" t="s">
        <v>6984</v>
      </c>
      <c r="IVX32" t="s">
        <v>6984</v>
      </c>
      <c r="IVY32" t="s">
        <v>6984</v>
      </c>
      <c r="IVZ32" t="s">
        <v>6984</v>
      </c>
      <c r="IWA32" t="s">
        <v>6984</v>
      </c>
      <c r="IWB32" t="s">
        <v>6984</v>
      </c>
      <c r="IWC32" t="s">
        <v>6984</v>
      </c>
      <c r="IWD32" t="s">
        <v>6984</v>
      </c>
      <c r="IWE32" t="s">
        <v>6984</v>
      </c>
      <c r="IWF32" t="s">
        <v>6984</v>
      </c>
      <c r="IWG32" t="s">
        <v>6984</v>
      </c>
      <c r="IWH32" t="s">
        <v>6984</v>
      </c>
      <c r="IWI32" t="s">
        <v>6984</v>
      </c>
      <c r="IWJ32" t="s">
        <v>6984</v>
      </c>
      <c r="IWK32" t="s">
        <v>6984</v>
      </c>
      <c r="IWL32" t="s">
        <v>6984</v>
      </c>
      <c r="IWM32" t="s">
        <v>6984</v>
      </c>
      <c r="IWN32" t="s">
        <v>6984</v>
      </c>
      <c r="IWO32" t="s">
        <v>6984</v>
      </c>
      <c r="IWP32" t="s">
        <v>6984</v>
      </c>
      <c r="IWQ32" t="s">
        <v>6984</v>
      </c>
      <c r="IWR32" t="s">
        <v>6984</v>
      </c>
      <c r="IWS32" t="s">
        <v>6984</v>
      </c>
      <c r="IWT32" t="s">
        <v>6984</v>
      </c>
      <c r="IWU32" t="s">
        <v>6984</v>
      </c>
      <c r="IWV32" t="s">
        <v>6984</v>
      </c>
      <c r="IWW32" t="s">
        <v>6984</v>
      </c>
      <c r="IWX32" t="s">
        <v>6984</v>
      </c>
      <c r="IWY32" t="s">
        <v>6984</v>
      </c>
      <c r="IWZ32" t="s">
        <v>6984</v>
      </c>
      <c r="IXA32" t="s">
        <v>6984</v>
      </c>
      <c r="IXB32" t="s">
        <v>6984</v>
      </c>
      <c r="IXC32" t="s">
        <v>6984</v>
      </c>
      <c r="IXD32" t="s">
        <v>6984</v>
      </c>
      <c r="IXE32" t="s">
        <v>6984</v>
      </c>
      <c r="IXF32" t="s">
        <v>6984</v>
      </c>
      <c r="IXG32" t="s">
        <v>6984</v>
      </c>
      <c r="IXH32" t="s">
        <v>6984</v>
      </c>
      <c r="IXI32" t="s">
        <v>6984</v>
      </c>
      <c r="IXJ32" t="s">
        <v>6984</v>
      </c>
      <c r="IXK32" t="s">
        <v>6984</v>
      </c>
      <c r="IXL32" t="s">
        <v>6984</v>
      </c>
      <c r="IXM32" t="s">
        <v>6984</v>
      </c>
      <c r="IXN32" t="s">
        <v>6984</v>
      </c>
      <c r="IXO32" t="s">
        <v>6984</v>
      </c>
      <c r="IXP32" t="s">
        <v>6984</v>
      </c>
      <c r="IXQ32" t="s">
        <v>6984</v>
      </c>
      <c r="IXR32" t="s">
        <v>6984</v>
      </c>
      <c r="IXS32" t="s">
        <v>6984</v>
      </c>
      <c r="IXT32" t="s">
        <v>6984</v>
      </c>
      <c r="IXU32" t="s">
        <v>6984</v>
      </c>
      <c r="IXV32" t="s">
        <v>6984</v>
      </c>
      <c r="IXW32" t="s">
        <v>6984</v>
      </c>
      <c r="IXX32" t="s">
        <v>6984</v>
      </c>
      <c r="IXY32" t="s">
        <v>6984</v>
      </c>
      <c r="IXZ32" t="s">
        <v>6984</v>
      </c>
      <c r="IYA32" t="s">
        <v>6984</v>
      </c>
      <c r="IYB32" t="s">
        <v>6984</v>
      </c>
      <c r="IYC32" t="s">
        <v>6984</v>
      </c>
      <c r="IYD32" t="s">
        <v>6984</v>
      </c>
      <c r="IYE32" t="s">
        <v>6984</v>
      </c>
      <c r="IYF32" t="s">
        <v>6984</v>
      </c>
      <c r="IYG32" t="s">
        <v>6984</v>
      </c>
      <c r="IYH32" t="s">
        <v>6984</v>
      </c>
      <c r="IYI32" t="s">
        <v>6984</v>
      </c>
      <c r="IYJ32" t="s">
        <v>6984</v>
      </c>
      <c r="IYK32" t="s">
        <v>6984</v>
      </c>
      <c r="IYL32" t="s">
        <v>6984</v>
      </c>
      <c r="IYM32" t="s">
        <v>6984</v>
      </c>
      <c r="IYN32" t="s">
        <v>6984</v>
      </c>
      <c r="IYO32" t="s">
        <v>6984</v>
      </c>
      <c r="IYP32" t="s">
        <v>6984</v>
      </c>
      <c r="IYQ32" t="s">
        <v>6984</v>
      </c>
      <c r="IYR32" t="s">
        <v>6984</v>
      </c>
      <c r="IYS32" t="s">
        <v>6984</v>
      </c>
      <c r="IYT32" t="s">
        <v>6984</v>
      </c>
      <c r="IYU32" t="s">
        <v>6984</v>
      </c>
      <c r="IYV32" t="s">
        <v>6984</v>
      </c>
      <c r="IYW32" t="s">
        <v>6984</v>
      </c>
      <c r="IYX32" t="s">
        <v>6984</v>
      </c>
      <c r="IYY32" t="s">
        <v>6984</v>
      </c>
      <c r="IYZ32" t="s">
        <v>6984</v>
      </c>
      <c r="IZA32" t="s">
        <v>6984</v>
      </c>
      <c r="IZB32" t="s">
        <v>6984</v>
      </c>
      <c r="IZC32" t="s">
        <v>6984</v>
      </c>
      <c r="IZD32" t="s">
        <v>6984</v>
      </c>
      <c r="IZE32" t="s">
        <v>6984</v>
      </c>
      <c r="IZF32" t="s">
        <v>6984</v>
      </c>
      <c r="IZG32" t="s">
        <v>6984</v>
      </c>
      <c r="IZH32" t="s">
        <v>6984</v>
      </c>
      <c r="IZI32" t="s">
        <v>6984</v>
      </c>
      <c r="IZJ32" t="s">
        <v>6984</v>
      </c>
      <c r="IZK32" t="s">
        <v>6984</v>
      </c>
      <c r="IZL32" t="s">
        <v>6984</v>
      </c>
      <c r="IZM32" t="s">
        <v>6984</v>
      </c>
      <c r="IZN32" t="s">
        <v>6984</v>
      </c>
      <c r="IZO32" t="s">
        <v>6984</v>
      </c>
      <c r="IZP32" t="s">
        <v>6984</v>
      </c>
      <c r="IZQ32" t="s">
        <v>6984</v>
      </c>
      <c r="IZR32" t="s">
        <v>6984</v>
      </c>
      <c r="IZS32" t="s">
        <v>6984</v>
      </c>
      <c r="IZT32" t="s">
        <v>6984</v>
      </c>
      <c r="IZU32" t="s">
        <v>6984</v>
      </c>
      <c r="IZV32" t="s">
        <v>6984</v>
      </c>
      <c r="IZW32" t="s">
        <v>6984</v>
      </c>
      <c r="IZX32" t="s">
        <v>6984</v>
      </c>
      <c r="IZY32" t="s">
        <v>6984</v>
      </c>
      <c r="IZZ32" t="s">
        <v>6984</v>
      </c>
      <c r="JAA32" t="s">
        <v>6984</v>
      </c>
      <c r="JAB32" t="s">
        <v>6984</v>
      </c>
      <c r="JAC32" t="s">
        <v>6984</v>
      </c>
      <c r="JAD32" t="s">
        <v>6984</v>
      </c>
      <c r="JAE32" t="s">
        <v>6984</v>
      </c>
      <c r="JAF32" t="s">
        <v>6984</v>
      </c>
      <c r="JAG32" t="s">
        <v>6984</v>
      </c>
      <c r="JAH32" t="s">
        <v>6984</v>
      </c>
      <c r="JAI32" t="s">
        <v>6984</v>
      </c>
      <c r="JAJ32" t="s">
        <v>6984</v>
      </c>
      <c r="JAK32" t="s">
        <v>6984</v>
      </c>
      <c r="JAL32" t="s">
        <v>6984</v>
      </c>
      <c r="JAM32" t="s">
        <v>6984</v>
      </c>
      <c r="JAN32" t="s">
        <v>6984</v>
      </c>
      <c r="JAO32" t="s">
        <v>6984</v>
      </c>
      <c r="JAP32" t="s">
        <v>6984</v>
      </c>
      <c r="JAQ32" t="s">
        <v>6984</v>
      </c>
      <c r="JAR32" t="s">
        <v>6984</v>
      </c>
      <c r="JAS32" t="s">
        <v>6984</v>
      </c>
      <c r="JAT32" t="s">
        <v>6984</v>
      </c>
      <c r="JAU32" t="s">
        <v>6984</v>
      </c>
      <c r="JAV32" t="s">
        <v>6984</v>
      </c>
      <c r="JAW32" t="s">
        <v>6984</v>
      </c>
      <c r="JAX32" t="s">
        <v>6984</v>
      </c>
      <c r="JAY32" t="s">
        <v>6984</v>
      </c>
      <c r="JAZ32" t="s">
        <v>6984</v>
      </c>
      <c r="JBA32" t="s">
        <v>6984</v>
      </c>
      <c r="JBB32" t="s">
        <v>6984</v>
      </c>
      <c r="JBC32" t="s">
        <v>6984</v>
      </c>
      <c r="JBD32" t="s">
        <v>6984</v>
      </c>
      <c r="JBE32" t="s">
        <v>6984</v>
      </c>
      <c r="JBF32" t="s">
        <v>6984</v>
      </c>
      <c r="JBG32" t="s">
        <v>6984</v>
      </c>
      <c r="JBH32" t="s">
        <v>6984</v>
      </c>
      <c r="JBI32" t="s">
        <v>6984</v>
      </c>
      <c r="JBJ32" t="s">
        <v>6984</v>
      </c>
      <c r="JBK32" t="s">
        <v>6984</v>
      </c>
      <c r="JBL32" t="s">
        <v>6984</v>
      </c>
      <c r="JBM32" t="s">
        <v>6984</v>
      </c>
      <c r="JBN32" t="s">
        <v>6984</v>
      </c>
      <c r="JBO32" t="s">
        <v>6984</v>
      </c>
      <c r="JBP32" t="s">
        <v>6984</v>
      </c>
      <c r="JBQ32" t="s">
        <v>6984</v>
      </c>
      <c r="JBR32" t="s">
        <v>6984</v>
      </c>
      <c r="JBS32" t="s">
        <v>6984</v>
      </c>
      <c r="JBT32" t="s">
        <v>6984</v>
      </c>
      <c r="JBU32" t="s">
        <v>6984</v>
      </c>
      <c r="JBV32" t="s">
        <v>6984</v>
      </c>
      <c r="JBW32" t="s">
        <v>6984</v>
      </c>
      <c r="JBX32" t="s">
        <v>6984</v>
      </c>
      <c r="JBY32" t="s">
        <v>6984</v>
      </c>
      <c r="JBZ32" t="s">
        <v>6984</v>
      </c>
      <c r="JCA32" t="s">
        <v>6984</v>
      </c>
      <c r="JCB32" t="s">
        <v>6984</v>
      </c>
      <c r="JCC32" t="s">
        <v>6984</v>
      </c>
      <c r="JCD32" t="s">
        <v>6984</v>
      </c>
      <c r="JCE32" t="s">
        <v>6984</v>
      </c>
      <c r="JCF32" t="s">
        <v>6984</v>
      </c>
      <c r="JCG32" t="s">
        <v>6984</v>
      </c>
      <c r="JCH32" t="s">
        <v>6984</v>
      </c>
      <c r="JCI32" t="s">
        <v>6984</v>
      </c>
      <c r="JCJ32" t="s">
        <v>6984</v>
      </c>
      <c r="JCK32" t="s">
        <v>6984</v>
      </c>
      <c r="JCL32" t="s">
        <v>6984</v>
      </c>
      <c r="JCM32" t="s">
        <v>6984</v>
      </c>
      <c r="JCN32" t="s">
        <v>6984</v>
      </c>
      <c r="JCO32" t="s">
        <v>6984</v>
      </c>
      <c r="JCP32" t="s">
        <v>6984</v>
      </c>
      <c r="JCQ32" t="s">
        <v>6984</v>
      </c>
      <c r="JCR32" t="s">
        <v>6984</v>
      </c>
      <c r="JCS32" t="s">
        <v>6984</v>
      </c>
      <c r="JCT32" t="s">
        <v>6984</v>
      </c>
      <c r="JCU32" t="s">
        <v>6984</v>
      </c>
      <c r="JCV32" t="s">
        <v>6984</v>
      </c>
      <c r="JCW32" t="s">
        <v>6984</v>
      </c>
      <c r="JCX32" t="s">
        <v>6984</v>
      </c>
      <c r="JCY32" t="s">
        <v>6984</v>
      </c>
      <c r="JCZ32" t="s">
        <v>6984</v>
      </c>
      <c r="JDA32" t="s">
        <v>6984</v>
      </c>
      <c r="JDB32" t="s">
        <v>6984</v>
      </c>
      <c r="JDC32" t="s">
        <v>6984</v>
      </c>
      <c r="JDD32" t="s">
        <v>6984</v>
      </c>
      <c r="JDE32" t="s">
        <v>6984</v>
      </c>
      <c r="JDF32" t="s">
        <v>6984</v>
      </c>
      <c r="JDG32" t="s">
        <v>6984</v>
      </c>
      <c r="JDH32" t="s">
        <v>6984</v>
      </c>
      <c r="JDI32" t="s">
        <v>6984</v>
      </c>
      <c r="JDJ32" t="s">
        <v>6984</v>
      </c>
      <c r="JDK32" t="s">
        <v>6984</v>
      </c>
      <c r="JDL32" t="s">
        <v>6984</v>
      </c>
      <c r="JDM32" t="s">
        <v>6984</v>
      </c>
      <c r="JDN32" t="s">
        <v>6984</v>
      </c>
      <c r="JDO32" t="s">
        <v>6984</v>
      </c>
      <c r="JDP32" t="s">
        <v>6984</v>
      </c>
      <c r="JDQ32" t="s">
        <v>6984</v>
      </c>
      <c r="JDR32" t="s">
        <v>6984</v>
      </c>
      <c r="JDS32" t="s">
        <v>6984</v>
      </c>
      <c r="JDT32" t="s">
        <v>6984</v>
      </c>
      <c r="JDU32" t="s">
        <v>6984</v>
      </c>
      <c r="JDV32" t="s">
        <v>6984</v>
      </c>
      <c r="JDW32" t="s">
        <v>6984</v>
      </c>
      <c r="JDX32" t="s">
        <v>6984</v>
      </c>
      <c r="JDY32" t="s">
        <v>6984</v>
      </c>
      <c r="JDZ32" t="s">
        <v>6984</v>
      </c>
      <c r="JEA32" t="s">
        <v>6984</v>
      </c>
      <c r="JEB32" t="s">
        <v>6984</v>
      </c>
      <c r="JEC32" t="s">
        <v>6984</v>
      </c>
      <c r="JED32" t="s">
        <v>6984</v>
      </c>
      <c r="JEE32" t="s">
        <v>6984</v>
      </c>
      <c r="JEF32" t="s">
        <v>6984</v>
      </c>
      <c r="JEG32" t="s">
        <v>6984</v>
      </c>
      <c r="JEH32" t="s">
        <v>6984</v>
      </c>
      <c r="JEI32" t="s">
        <v>6984</v>
      </c>
      <c r="JEJ32" t="s">
        <v>6984</v>
      </c>
      <c r="JEK32" t="s">
        <v>6984</v>
      </c>
      <c r="JEL32" t="s">
        <v>6984</v>
      </c>
      <c r="JEM32" t="s">
        <v>6984</v>
      </c>
      <c r="JEN32" t="s">
        <v>6984</v>
      </c>
      <c r="JEO32" t="s">
        <v>6984</v>
      </c>
      <c r="JEP32" t="s">
        <v>6984</v>
      </c>
      <c r="JEQ32" t="s">
        <v>6984</v>
      </c>
      <c r="JER32" t="s">
        <v>6984</v>
      </c>
      <c r="JES32" t="s">
        <v>6984</v>
      </c>
      <c r="JET32" t="s">
        <v>6984</v>
      </c>
      <c r="JEU32" t="s">
        <v>6984</v>
      </c>
      <c r="JEV32" t="s">
        <v>6984</v>
      </c>
      <c r="JEW32" t="s">
        <v>6984</v>
      </c>
      <c r="JEX32" t="s">
        <v>6984</v>
      </c>
      <c r="JEY32" t="s">
        <v>6984</v>
      </c>
      <c r="JEZ32" t="s">
        <v>6984</v>
      </c>
      <c r="JFA32" t="s">
        <v>6984</v>
      </c>
      <c r="JFB32" t="s">
        <v>6984</v>
      </c>
      <c r="JFC32" t="s">
        <v>6984</v>
      </c>
      <c r="JFD32" t="s">
        <v>6984</v>
      </c>
      <c r="JFE32" t="s">
        <v>6984</v>
      </c>
      <c r="JFF32" t="s">
        <v>6984</v>
      </c>
      <c r="JFG32" t="s">
        <v>6984</v>
      </c>
      <c r="JFH32" t="s">
        <v>6984</v>
      </c>
      <c r="JFI32" t="s">
        <v>6984</v>
      </c>
      <c r="JFJ32" t="s">
        <v>6984</v>
      </c>
      <c r="JFK32" t="s">
        <v>6984</v>
      </c>
      <c r="JFL32" t="s">
        <v>6984</v>
      </c>
      <c r="JFM32" t="s">
        <v>6984</v>
      </c>
      <c r="JFN32" t="s">
        <v>6984</v>
      </c>
      <c r="JFO32" t="s">
        <v>6984</v>
      </c>
      <c r="JFP32" t="s">
        <v>6984</v>
      </c>
      <c r="JFQ32" t="s">
        <v>6984</v>
      </c>
      <c r="JFR32" t="s">
        <v>6984</v>
      </c>
      <c r="JFS32" t="s">
        <v>6984</v>
      </c>
      <c r="JFT32" t="s">
        <v>6984</v>
      </c>
      <c r="JFU32" t="s">
        <v>6984</v>
      </c>
      <c r="JFV32" t="s">
        <v>6984</v>
      </c>
      <c r="JFW32" t="s">
        <v>6984</v>
      </c>
      <c r="JFX32" t="s">
        <v>6984</v>
      </c>
      <c r="JFY32" t="s">
        <v>6984</v>
      </c>
      <c r="JFZ32" t="s">
        <v>6984</v>
      </c>
      <c r="JGA32" t="s">
        <v>6984</v>
      </c>
      <c r="JGB32" t="s">
        <v>6984</v>
      </c>
      <c r="JGC32" t="s">
        <v>6984</v>
      </c>
      <c r="JGD32" t="s">
        <v>6984</v>
      </c>
      <c r="JGE32" t="s">
        <v>6984</v>
      </c>
      <c r="JGF32" t="s">
        <v>6984</v>
      </c>
      <c r="JGG32" t="s">
        <v>6984</v>
      </c>
      <c r="JGH32" t="s">
        <v>6984</v>
      </c>
      <c r="JGI32" t="s">
        <v>6984</v>
      </c>
      <c r="JGJ32" t="s">
        <v>6984</v>
      </c>
      <c r="JGK32" t="s">
        <v>6984</v>
      </c>
      <c r="JGL32" t="s">
        <v>6984</v>
      </c>
      <c r="JGM32" t="s">
        <v>6984</v>
      </c>
      <c r="JGN32" t="s">
        <v>6984</v>
      </c>
      <c r="JGO32" t="s">
        <v>6984</v>
      </c>
      <c r="JGP32" t="s">
        <v>6984</v>
      </c>
      <c r="JGQ32" t="s">
        <v>6984</v>
      </c>
      <c r="JGR32" t="s">
        <v>6984</v>
      </c>
      <c r="JGS32" t="s">
        <v>6984</v>
      </c>
      <c r="JGT32" t="s">
        <v>6984</v>
      </c>
      <c r="JGU32" t="s">
        <v>6984</v>
      </c>
      <c r="JGV32" t="s">
        <v>6984</v>
      </c>
      <c r="JGW32" t="s">
        <v>6984</v>
      </c>
      <c r="JGX32" t="s">
        <v>6984</v>
      </c>
      <c r="JGY32" t="s">
        <v>6984</v>
      </c>
      <c r="JGZ32" t="s">
        <v>6984</v>
      </c>
      <c r="JHA32" t="s">
        <v>6984</v>
      </c>
      <c r="JHB32" t="s">
        <v>6984</v>
      </c>
      <c r="JHC32" t="s">
        <v>6984</v>
      </c>
      <c r="JHD32" t="s">
        <v>6984</v>
      </c>
      <c r="JHE32" t="s">
        <v>6984</v>
      </c>
      <c r="JHF32" t="s">
        <v>6984</v>
      </c>
      <c r="JHG32" t="s">
        <v>6984</v>
      </c>
      <c r="JHH32" t="s">
        <v>6984</v>
      </c>
      <c r="JHI32" t="s">
        <v>6984</v>
      </c>
      <c r="JHJ32" t="s">
        <v>6984</v>
      </c>
      <c r="JHK32" t="s">
        <v>6984</v>
      </c>
      <c r="JHL32" t="s">
        <v>6984</v>
      </c>
      <c r="JHM32" t="s">
        <v>6984</v>
      </c>
      <c r="JHN32" t="s">
        <v>6984</v>
      </c>
      <c r="JHO32" t="s">
        <v>6984</v>
      </c>
      <c r="JHP32" t="s">
        <v>6984</v>
      </c>
      <c r="JHQ32" t="s">
        <v>6984</v>
      </c>
      <c r="JHR32" t="s">
        <v>6984</v>
      </c>
      <c r="JHS32" t="s">
        <v>6984</v>
      </c>
      <c r="JHT32" t="s">
        <v>6984</v>
      </c>
      <c r="JHU32" t="s">
        <v>6984</v>
      </c>
      <c r="JHV32" t="s">
        <v>6984</v>
      </c>
      <c r="JHW32" t="s">
        <v>6984</v>
      </c>
      <c r="JHX32" t="s">
        <v>6984</v>
      </c>
      <c r="JHY32" t="s">
        <v>6984</v>
      </c>
      <c r="JHZ32" t="s">
        <v>6984</v>
      </c>
      <c r="JIA32" t="s">
        <v>6984</v>
      </c>
      <c r="JIB32" t="s">
        <v>6984</v>
      </c>
      <c r="JIC32" t="s">
        <v>6984</v>
      </c>
      <c r="JID32" t="s">
        <v>6984</v>
      </c>
      <c r="JIE32" t="s">
        <v>6984</v>
      </c>
      <c r="JIF32" t="s">
        <v>6984</v>
      </c>
      <c r="JIG32" t="s">
        <v>6984</v>
      </c>
      <c r="JIH32" t="s">
        <v>6984</v>
      </c>
      <c r="JII32" t="s">
        <v>6984</v>
      </c>
      <c r="JIJ32" t="s">
        <v>6984</v>
      </c>
      <c r="JIK32" t="s">
        <v>6984</v>
      </c>
      <c r="JIL32" t="s">
        <v>6984</v>
      </c>
      <c r="JIM32" t="s">
        <v>6984</v>
      </c>
      <c r="JIN32" t="s">
        <v>6984</v>
      </c>
      <c r="JIO32" t="s">
        <v>6984</v>
      </c>
      <c r="JIP32" t="s">
        <v>6984</v>
      </c>
      <c r="JIQ32" t="s">
        <v>6984</v>
      </c>
      <c r="JIR32" t="s">
        <v>6984</v>
      </c>
      <c r="JIS32" t="s">
        <v>6984</v>
      </c>
      <c r="JIT32" t="s">
        <v>6984</v>
      </c>
      <c r="JIU32" t="s">
        <v>6984</v>
      </c>
      <c r="JIV32" t="s">
        <v>6984</v>
      </c>
      <c r="JIW32" t="s">
        <v>6984</v>
      </c>
      <c r="JIX32" t="s">
        <v>6984</v>
      </c>
      <c r="JIY32" t="s">
        <v>6984</v>
      </c>
      <c r="JIZ32" t="s">
        <v>6984</v>
      </c>
      <c r="JJA32" t="s">
        <v>6984</v>
      </c>
    </row>
    <row r="33" spans="1:7021" x14ac:dyDescent="0.25">
      <c r="A33" t="s">
        <v>7014</v>
      </c>
      <c r="B33">
        <v>95.58</v>
      </c>
      <c r="C33">
        <v>95.58</v>
      </c>
      <c r="D33">
        <v>95.58</v>
      </c>
      <c r="E33">
        <v>95.62</v>
      </c>
      <c r="F33">
        <v>95.564999999999998</v>
      </c>
      <c r="G33">
        <v>95.61</v>
      </c>
      <c r="H33">
        <v>95.66</v>
      </c>
      <c r="I33">
        <v>95.6</v>
      </c>
      <c r="J33">
        <v>95.55</v>
      </c>
      <c r="K33">
        <v>95.534999999999997</v>
      </c>
      <c r="L33">
        <v>95.53</v>
      </c>
      <c r="M33">
        <v>95.63</v>
      </c>
      <c r="N33">
        <v>95.655000000000001</v>
      </c>
      <c r="O33">
        <v>95.564999999999998</v>
      </c>
      <c r="P33">
        <v>95.56</v>
      </c>
      <c r="Q33">
        <v>95.62</v>
      </c>
      <c r="R33">
        <v>95.6</v>
      </c>
      <c r="S33">
        <v>95.57</v>
      </c>
      <c r="T33">
        <v>95.62</v>
      </c>
      <c r="U33">
        <v>95.53</v>
      </c>
      <c r="V33">
        <v>95.53</v>
      </c>
      <c r="W33">
        <v>95.454999999999998</v>
      </c>
      <c r="X33">
        <v>95.394999999999996</v>
      </c>
      <c r="Y33">
        <v>95.5</v>
      </c>
      <c r="Z33">
        <v>95.5</v>
      </c>
      <c r="AA33">
        <v>95.54</v>
      </c>
      <c r="AB33">
        <v>95.52</v>
      </c>
      <c r="AC33">
        <v>95.45</v>
      </c>
      <c r="AD33">
        <v>95.484999999999999</v>
      </c>
      <c r="AE33">
        <v>95.534999999999997</v>
      </c>
      <c r="AF33">
        <v>95.59</v>
      </c>
      <c r="AG33">
        <v>95.59</v>
      </c>
      <c r="AH33">
        <v>95.685000000000002</v>
      </c>
      <c r="AI33">
        <v>95.635000000000005</v>
      </c>
      <c r="AJ33">
        <v>95.63</v>
      </c>
      <c r="AK33">
        <v>95.665000000000006</v>
      </c>
      <c r="AL33">
        <v>95.71</v>
      </c>
      <c r="AM33">
        <v>95.76</v>
      </c>
      <c r="AN33">
        <v>95.734999999999999</v>
      </c>
      <c r="AO33">
        <v>95.674999999999997</v>
      </c>
      <c r="AP33">
        <v>95.625</v>
      </c>
      <c r="AQ33">
        <v>95.564999999999998</v>
      </c>
      <c r="AR33">
        <v>95.495000000000005</v>
      </c>
      <c r="AS33">
        <v>95.465000000000003</v>
      </c>
      <c r="AT33">
        <v>95.415000000000006</v>
      </c>
      <c r="AU33">
        <v>95.594999999999999</v>
      </c>
      <c r="AV33">
        <v>95.594999999999999</v>
      </c>
      <c r="AW33">
        <v>95.685000000000002</v>
      </c>
      <c r="AX33">
        <v>95.66</v>
      </c>
      <c r="AY33">
        <v>95.644999999999996</v>
      </c>
      <c r="AZ33">
        <v>95.54</v>
      </c>
      <c r="BA33">
        <v>95.685000000000002</v>
      </c>
      <c r="BB33">
        <v>95.655000000000001</v>
      </c>
      <c r="BC33">
        <v>95.814999999999998</v>
      </c>
      <c r="BD33">
        <v>95.905000000000001</v>
      </c>
      <c r="BE33">
        <v>96.084999999999994</v>
      </c>
      <c r="BF33">
        <v>96.004999999999995</v>
      </c>
      <c r="BG33">
        <v>95.864999999999995</v>
      </c>
      <c r="BH33">
        <v>95.924999999999997</v>
      </c>
      <c r="BI33">
        <v>95.82</v>
      </c>
      <c r="BJ33">
        <v>95.79</v>
      </c>
      <c r="BK33">
        <v>95.674999999999997</v>
      </c>
      <c r="BL33">
        <v>95.76</v>
      </c>
      <c r="BM33">
        <v>95.79</v>
      </c>
      <c r="BN33">
        <v>95.765000000000001</v>
      </c>
      <c r="BO33">
        <v>95.844999999999999</v>
      </c>
      <c r="BP33">
        <v>95.86</v>
      </c>
      <c r="BQ33">
        <v>95.82</v>
      </c>
      <c r="BR33">
        <v>95.844999999999999</v>
      </c>
      <c r="BS33">
        <v>95.81</v>
      </c>
      <c r="BT33">
        <v>95.784999999999997</v>
      </c>
      <c r="BU33">
        <v>95.86</v>
      </c>
      <c r="BV33">
        <v>95.83</v>
      </c>
      <c r="BW33">
        <v>95.86</v>
      </c>
      <c r="BX33">
        <v>95.954999999999998</v>
      </c>
      <c r="BY33">
        <v>95.825000000000003</v>
      </c>
      <c r="BZ33">
        <v>95.85</v>
      </c>
      <c r="CA33">
        <v>95.875</v>
      </c>
      <c r="CB33">
        <v>95.935000000000002</v>
      </c>
      <c r="CC33">
        <v>95.98</v>
      </c>
      <c r="CD33">
        <v>95.92</v>
      </c>
      <c r="CE33">
        <v>95.86</v>
      </c>
      <c r="CF33">
        <v>95.905000000000001</v>
      </c>
      <c r="CG33">
        <v>95.834999999999994</v>
      </c>
      <c r="CH33">
        <v>95.7</v>
      </c>
      <c r="CI33">
        <v>95.674999999999997</v>
      </c>
      <c r="CJ33">
        <v>95.594999999999999</v>
      </c>
      <c r="CK33">
        <v>95.545000000000002</v>
      </c>
      <c r="CL33">
        <v>95.545000000000002</v>
      </c>
      <c r="CM33">
        <v>95.62</v>
      </c>
      <c r="CN33">
        <v>95.62</v>
      </c>
      <c r="CO33">
        <v>95.564999999999998</v>
      </c>
      <c r="CP33">
        <v>95.454999999999998</v>
      </c>
      <c r="CQ33">
        <v>95.594999999999999</v>
      </c>
      <c r="CR33">
        <v>95.644999999999996</v>
      </c>
      <c r="CS33">
        <v>95.644999999999996</v>
      </c>
      <c r="CT33">
        <v>95.704999999999998</v>
      </c>
      <c r="CU33">
        <v>95.754999999999995</v>
      </c>
      <c r="CV33">
        <v>95.644999999999996</v>
      </c>
      <c r="CW33">
        <v>95.62</v>
      </c>
      <c r="CX33">
        <v>95.575000000000003</v>
      </c>
      <c r="CY33">
        <v>95.644999999999996</v>
      </c>
      <c r="CZ33">
        <v>95.6</v>
      </c>
      <c r="DA33">
        <v>95.61</v>
      </c>
      <c r="DB33">
        <v>95.635000000000005</v>
      </c>
      <c r="DC33">
        <v>95.525000000000006</v>
      </c>
      <c r="DD33">
        <v>95.525000000000006</v>
      </c>
      <c r="DE33">
        <v>95.58</v>
      </c>
      <c r="DF33">
        <v>95.61</v>
      </c>
      <c r="DG33">
        <v>95.564999999999998</v>
      </c>
      <c r="DH33">
        <v>95.564999999999998</v>
      </c>
      <c r="DI33">
        <v>95.564999999999998</v>
      </c>
      <c r="DJ33">
        <v>95.525000000000006</v>
      </c>
      <c r="DK33">
        <v>95.38</v>
      </c>
      <c r="DL33">
        <v>95.36</v>
      </c>
      <c r="DM33">
        <v>95.4</v>
      </c>
      <c r="DN33">
        <v>95.46</v>
      </c>
      <c r="DO33">
        <v>95.444999999999993</v>
      </c>
      <c r="DP33">
        <v>95.454999999999998</v>
      </c>
      <c r="DQ33">
        <v>95.54</v>
      </c>
      <c r="DR33">
        <v>95.594999999999999</v>
      </c>
      <c r="DS33">
        <v>95.61</v>
      </c>
      <c r="DT33">
        <v>95.605000000000004</v>
      </c>
      <c r="DU33">
        <v>95.605000000000004</v>
      </c>
      <c r="DV33">
        <v>95.644999999999996</v>
      </c>
      <c r="DW33">
        <v>95.564999999999998</v>
      </c>
      <c r="DX33">
        <v>95.625</v>
      </c>
      <c r="DY33">
        <v>95.61</v>
      </c>
      <c r="DZ33">
        <v>95.61</v>
      </c>
      <c r="EA33">
        <v>95.584999999999994</v>
      </c>
      <c r="EB33">
        <v>95.685000000000002</v>
      </c>
      <c r="EC33">
        <v>95.614999999999995</v>
      </c>
      <c r="ED33">
        <v>95.745000000000005</v>
      </c>
      <c r="EE33">
        <v>95.87</v>
      </c>
      <c r="EF33">
        <v>95.855000000000004</v>
      </c>
      <c r="EG33">
        <v>95.86</v>
      </c>
      <c r="EH33">
        <v>95.944999999999993</v>
      </c>
      <c r="EI33">
        <v>96.01</v>
      </c>
      <c r="EJ33">
        <v>96.07</v>
      </c>
      <c r="EK33">
        <v>96.094999999999999</v>
      </c>
      <c r="EL33">
        <v>96.135000000000005</v>
      </c>
      <c r="EM33">
        <v>96.1</v>
      </c>
      <c r="EN33">
        <v>96.084999999999994</v>
      </c>
      <c r="EO33">
        <v>96.06</v>
      </c>
      <c r="EP33">
        <v>96.094999999999999</v>
      </c>
      <c r="EQ33">
        <v>96.094999999999999</v>
      </c>
      <c r="ER33">
        <v>96.06</v>
      </c>
      <c r="ES33">
        <v>96.06</v>
      </c>
      <c r="ET33">
        <v>95.995000000000005</v>
      </c>
      <c r="EU33">
        <v>96.06</v>
      </c>
      <c r="EV33">
        <v>95.91</v>
      </c>
      <c r="EW33">
        <v>95.875</v>
      </c>
      <c r="EX33">
        <v>95.87</v>
      </c>
      <c r="EY33">
        <v>95.9</v>
      </c>
      <c r="EZ33">
        <v>95.864999999999995</v>
      </c>
      <c r="FA33">
        <v>95.855000000000004</v>
      </c>
      <c r="FB33">
        <v>95.86</v>
      </c>
      <c r="FC33">
        <v>95.825000000000003</v>
      </c>
      <c r="FD33">
        <v>95.85</v>
      </c>
      <c r="FE33">
        <v>95.91</v>
      </c>
      <c r="FF33">
        <v>95.96</v>
      </c>
      <c r="FG33">
        <v>95.915000000000006</v>
      </c>
      <c r="FH33">
        <v>95.81</v>
      </c>
      <c r="FI33">
        <v>95.98</v>
      </c>
      <c r="FJ33">
        <v>95.954999999999998</v>
      </c>
      <c r="FK33">
        <v>95.89</v>
      </c>
      <c r="FL33">
        <v>95.95</v>
      </c>
      <c r="FM33">
        <v>95.96</v>
      </c>
      <c r="FN33">
        <v>95.93</v>
      </c>
      <c r="FO33">
        <v>95.924999999999997</v>
      </c>
      <c r="FP33">
        <v>95.96</v>
      </c>
      <c r="FQ33">
        <v>95.984999999999999</v>
      </c>
      <c r="FR33">
        <v>95.935000000000002</v>
      </c>
      <c r="FS33">
        <v>95.965000000000003</v>
      </c>
      <c r="FT33">
        <v>95.99</v>
      </c>
      <c r="FU33">
        <v>96.105000000000004</v>
      </c>
      <c r="FV33">
        <v>96.09</v>
      </c>
      <c r="FW33">
        <v>96.19</v>
      </c>
      <c r="FX33">
        <v>96.17</v>
      </c>
      <c r="FY33">
        <v>96.075000000000003</v>
      </c>
      <c r="FZ33">
        <v>96.114999999999995</v>
      </c>
      <c r="GA33">
        <v>96.105000000000004</v>
      </c>
      <c r="GB33">
        <v>96.15</v>
      </c>
      <c r="GC33">
        <v>96.174999999999997</v>
      </c>
      <c r="GD33">
        <v>96.19</v>
      </c>
      <c r="GE33">
        <v>96.224999999999994</v>
      </c>
      <c r="GF33">
        <v>96.305000000000007</v>
      </c>
      <c r="GG33">
        <v>96.375</v>
      </c>
      <c r="GH33">
        <v>96.42</v>
      </c>
      <c r="GI33">
        <v>96.35</v>
      </c>
      <c r="GJ33">
        <v>96.39</v>
      </c>
      <c r="GK33">
        <v>96.36</v>
      </c>
      <c r="GL33">
        <v>96.34</v>
      </c>
      <c r="GM33">
        <v>96.38</v>
      </c>
      <c r="GN33">
        <v>96.385000000000005</v>
      </c>
      <c r="GO33">
        <v>96.4</v>
      </c>
      <c r="GP33">
        <v>96.38</v>
      </c>
      <c r="GQ33">
        <v>96.454999999999998</v>
      </c>
      <c r="GR33">
        <v>96.5</v>
      </c>
      <c r="GS33">
        <v>96.49</v>
      </c>
      <c r="GT33">
        <v>96.47</v>
      </c>
      <c r="GU33">
        <v>96.465000000000003</v>
      </c>
      <c r="GV33">
        <v>96.495000000000005</v>
      </c>
      <c r="GW33">
        <v>96.5</v>
      </c>
      <c r="GX33">
        <v>96.444999999999993</v>
      </c>
      <c r="GY33">
        <v>96.42</v>
      </c>
      <c r="GZ33">
        <v>96.435000000000002</v>
      </c>
      <c r="HA33">
        <v>96.4</v>
      </c>
      <c r="HB33">
        <v>96.35</v>
      </c>
      <c r="HC33">
        <v>96.27</v>
      </c>
      <c r="HD33">
        <v>96.27</v>
      </c>
      <c r="HE33">
        <v>96.314999999999998</v>
      </c>
      <c r="HF33">
        <v>96.33</v>
      </c>
      <c r="HG33">
        <v>96.344999999999999</v>
      </c>
      <c r="HH33">
        <v>96.364999999999995</v>
      </c>
      <c r="HI33">
        <v>96.355000000000004</v>
      </c>
      <c r="HJ33">
        <v>96.295000000000002</v>
      </c>
      <c r="HK33">
        <v>96.37</v>
      </c>
      <c r="HL33">
        <v>96.344999999999999</v>
      </c>
      <c r="HM33">
        <v>96.295000000000002</v>
      </c>
      <c r="HN33">
        <v>96.254999999999995</v>
      </c>
      <c r="HO33">
        <v>96.215000000000003</v>
      </c>
      <c r="HP33">
        <v>96.284999999999997</v>
      </c>
      <c r="HQ33">
        <v>96.25</v>
      </c>
      <c r="HR33">
        <v>96.22</v>
      </c>
      <c r="HS33">
        <v>96.18</v>
      </c>
      <c r="HT33">
        <v>96.1</v>
      </c>
      <c r="HU33">
        <v>96.11</v>
      </c>
      <c r="HV33">
        <v>96.204999999999998</v>
      </c>
      <c r="HW33">
        <v>96.305000000000007</v>
      </c>
      <c r="HX33">
        <v>96.31</v>
      </c>
      <c r="HY33">
        <v>96.185000000000002</v>
      </c>
      <c r="HZ33">
        <v>96.084999999999994</v>
      </c>
      <c r="IA33">
        <v>96.05</v>
      </c>
      <c r="IB33">
        <v>96.015000000000001</v>
      </c>
      <c r="IC33">
        <v>95.99</v>
      </c>
      <c r="ID33">
        <v>95.95</v>
      </c>
      <c r="IE33">
        <v>95.905000000000001</v>
      </c>
      <c r="IF33">
        <v>95.995000000000005</v>
      </c>
      <c r="IG33">
        <v>95.98</v>
      </c>
      <c r="IH33">
        <v>95.99</v>
      </c>
      <c r="II33">
        <v>96.04</v>
      </c>
      <c r="IJ33">
        <v>96.094999999999999</v>
      </c>
      <c r="IK33">
        <v>96.07</v>
      </c>
      <c r="IL33">
        <v>95.995000000000005</v>
      </c>
      <c r="IM33">
        <v>96.04</v>
      </c>
      <c r="IN33">
        <v>96.06</v>
      </c>
      <c r="IO33">
        <v>95.98</v>
      </c>
      <c r="IP33">
        <v>95.95</v>
      </c>
      <c r="IQ33">
        <v>95.99</v>
      </c>
      <c r="IR33">
        <v>95.984999999999999</v>
      </c>
      <c r="IS33">
        <v>95.93</v>
      </c>
      <c r="IT33">
        <v>95.93</v>
      </c>
      <c r="IU33">
        <v>95.825000000000003</v>
      </c>
      <c r="IV33">
        <v>95.79</v>
      </c>
      <c r="IW33">
        <v>95.95</v>
      </c>
      <c r="IX33">
        <v>96.015000000000001</v>
      </c>
      <c r="IY33">
        <v>95.98</v>
      </c>
      <c r="IZ33">
        <v>96.07</v>
      </c>
      <c r="JA33">
        <v>96.06</v>
      </c>
      <c r="JB33">
        <v>96.034999999999997</v>
      </c>
      <c r="JC33">
        <v>96.045000000000002</v>
      </c>
      <c r="JD33">
        <v>96.094999999999999</v>
      </c>
      <c r="JE33">
        <v>96.094999999999999</v>
      </c>
      <c r="JF33">
        <v>96.034999999999997</v>
      </c>
      <c r="JG33">
        <v>96.114999999999995</v>
      </c>
      <c r="JH33">
        <v>96.05</v>
      </c>
      <c r="JI33">
        <v>95.995000000000005</v>
      </c>
      <c r="JJ33">
        <v>95.88</v>
      </c>
      <c r="JK33">
        <v>95.8</v>
      </c>
      <c r="JL33">
        <v>95.844999999999999</v>
      </c>
      <c r="JM33">
        <v>95.995000000000005</v>
      </c>
      <c r="JN33">
        <v>95.995000000000005</v>
      </c>
      <c r="JO33">
        <v>95.96</v>
      </c>
      <c r="JP33">
        <v>95.88</v>
      </c>
      <c r="JQ33">
        <v>95.77</v>
      </c>
      <c r="JR33">
        <v>95.745000000000005</v>
      </c>
      <c r="JS33">
        <v>95.685000000000002</v>
      </c>
      <c r="JT33">
        <v>95.79</v>
      </c>
      <c r="JU33">
        <v>95.864999999999995</v>
      </c>
      <c r="JV33">
        <v>95.864999999999995</v>
      </c>
      <c r="JW33">
        <v>95.844999999999999</v>
      </c>
      <c r="JX33">
        <v>95.844999999999999</v>
      </c>
      <c r="JY33">
        <v>95.85</v>
      </c>
      <c r="JZ33">
        <v>95.82</v>
      </c>
      <c r="KA33">
        <v>95.84</v>
      </c>
      <c r="KB33">
        <v>95.885000000000005</v>
      </c>
      <c r="KC33">
        <v>95.89</v>
      </c>
      <c r="KD33">
        <v>95.82</v>
      </c>
      <c r="KE33">
        <v>95.784999999999997</v>
      </c>
      <c r="KF33">
        <v>95.76</v>
      </c>
      <c r="KG33">
        <v>95.814999999999998</v>
      </c>
      <c r="KH33">
        <v>95.784999999999997</v>
      </c>
      <c r="KI33">
        <v>95.825000000000003</v>
      </c>
      <c r="KJ33">
        <v>95.78</v>
      </c>
      <c r="KK33">
        <v>95.76</v>
      </c>
      <c r="KL33">
        <v>95.685000000000002</v>
      </c>
      <c r="KM33">
        <v>95.67</v>
      </c>
      <c r="KN33">
        <v>95.605000000000004</v>
      </c>
      <c r="KO33">
        <v>95.674999999999997</v>
      </c>
      <c r="KP33">
        <v>95.594999999999999</v>
      </c>
      <c r="KQ33">
        <v>95.555000000000007</v>
      </c>
      <c r="KR33">
        <v>95.614999999999995</v>
      </c>
      <c r="KS33">
        <v>95.69</v>
      </c>
      <c r="KT33">
        <v>95.67</v>
      </c>
      <c r="KU33">
        <v>95.685000000000002</v>
      </c>
      <c r="KV33">
        <v>95.65</v>
      </c>
      <c r="KW33">
        <v>95.71</v>
      </c>
      <c r="KX33">
        <v>95.635000000000005</v>
      </c>
      <c r="KY33">
        <v>95.67</v>
      </c>
      <c r="KZ33">
        <v>95.81</v>
      </c>
      <c r="LA33">
        <v>95.72</v>
      </c>
      <c r="LB33">
        <v>95.75</v>
      </c>
      <c r="LC33">
        <v>95.894999999999996</v>
      </c>
      <c r="LD33">
        <v>95.834999999999994</v>
      </c>
      <c r="LE33">
        <v>95.88</v>
      </c>
      <c r="LF33">
        <v>95.93</v>
      </c>
      <c r="LG33">
        <v>95.88</v>
      </c>
      <c r="LH33">
        <v>95.87</v>
      </c>
      <c r="LI33">
        <v>95.915000000000006</v>
      </c>
      <c r="LJ33">
        <v>96.045000000000002</v>
      </c>
      <c r="LK33">
        <v>96.045000000000002</v>
      </c>
      <c r="LL33">
        <v>96.01</v>
      </c>
      <c r="LM33">
        <v>95.974999999999994</v>
      </c>
      <c r="LN33">
        <v>95.944999999999993</v>
      </c>
      <c r="LO33">
        <v>95.98</v>
      </c>
      <c r="LP33">
        <v>95.92</v>
      </c>
      <c r="LQ33">
        <v>95.924999999999997</v>
      </c>
      <c r="LR33">
        <v>95.965000000000003</v>
      </c>
      <c r="LS33">
        <v>95.935000000000002</v>
      </c>
      <c r="LT33">
        <v>95.974999999999994</v>
      </c>
      <c r="LU33">
        <v>95.96</v>
      </c>
      <c r="LV33">
        <v>96.07</v>
      </c>
      <c r="LW33">
        <v>96.084999999999994</v>
      </c>
      <c r="LX33">
        <v>96.135000000000005</v>
      </c>
      <c r="LY33">
        <v>96.13</v>
      </c>
      <c r="LZ33">
        <v>96.15</v>
      </c>
      <c r="MA33">
        <v>96.144999999999996</v>
      </c>
      <c r="MB33">
        <v>96.105000000000004</v>
      </c>
      <c r="MC33">
        <v>96.015000000000001</v>
      </c>
      <c r="MD33">
        <v>96.045000000000002</v>
      </c>
      <c r="ME33">
        <v>96</v>
      </c>
      <c r="MF33">
        <v>95.99</v>
      </c>
      <c r="MG33">
        <v>95.995000000000005</v>
      </c>
      <c r="MH33">
        <v>96.015000000000001</v>
      </c>
      <c r="MI33">
        <v>96.025000000000006</v>
      </c>
      <c r="MJ33">
        <v>95.93</v>
      </c>
      <c r="MK33">
        <v>95.9</v>
      </c>
      <c r="ML33">
        <v>95.944999999999993</v>
      </c>
      <c r="MM33">
        <v>95.92</v>
      </c>
      <c r="MN33">
        <v>95.92</v>
      </c>
      <c r="MO33">
        <v>95.96</v>
      </c>
      <c r="MP33">
        <v>95.935000000000002</v>
      </c>
      <c r="MQ33">
        <v>95.894999999999996</v>
      </c>
      <c r="MR33">
        <v>95.995000000000005</v>
      </c>
      <c r="MS33">
        <v>95.974999999999994</v>
      </c>
      <c r="MT33">
        <v>95.99</v>
      </c>
      <c r="MU33">
        <v>96.075000000000003</v>
      </c>
      <c r="MV33">
        <v>96.09</v>
      </c>
      <c r="MW33">
        <v>96</v>
      </c>
      <c r="MX33">
        <v>96.135000000000005</v>
      </c>
      <c r="MY33">
        <v>96.295000000000002</v>
      </c>
      <c r="MZ33">
        <v>96.18</v>
      </c>
      <c r="NA33">
        <v>96.094999999999999</v>
      </c>
      <c r="NB33">
        <v>96.025000000000006</v>
      </c>
      <c r="NC33">
        <v>95.97</v>
      </c>
      <c r="ND33">
        <v>96.004999999999995</v>
      </c>
      <c r="NE33">
        <v>95.984999999999999</v>
      </c>
      <c r="NF33">
        <v>96.03</v>
      </c>
      <c r="NG33">
        <v>96.075000000000003</v>
      </c>
      <c r="NH33">
        <v>96.02</v>
      </c>
      <c r="NI33">
        <v>96.01</v>
      </c>
      <c r="NJ33">
        <v>96.045000000000002</v>
      </c>
      <c r="NK33">
        <v>96.055000000000007</v>
      </c>
      <c r="NL33">
        <v>96.17</v>
      </c>
      <c r="NM33">
        <v>96.17</v>
      </c>
      <c r="NN33">
        <v>96.204999999999998</v>
      </c>
      <c r="NO33">
        <v>96.165000000000006</v>
      </c>
      <c r="NP33">
        <v>96.174999999999997</v>
      </c>
      <c r="NQ33">
        <v>96.18</v>
      </c>
      <c r="NR33">
        <v>96.18</v>
      </c>
      <c r="NS33">
        <v>96.234999999999999</v>
      </c>
      <c r="NT33">
        <v>96.305000000000007</v>
      </c>
      <c r="NU33">
        <v>96.26</v>
      </c>
      <c r="NV33">
        <v>96.28</v>
      </c>
      <c r="NW33">
        <v>96.28</v>
      </c>
      <c r="NX33">
        <v>96.305000000000007</v>
      </c>
      <c r="NY33">
        <v>96.37</v>
      </c>
      <c r="NZ33">
        <v>96.265000000000001</v>
      </c>
      <c r="OA33">
        <v>96.25</v>
      </c>
      <c r="OB33">
        <v>96.25</v>
      </c>
      <c r="OC33">
        <v>96.284999999999997</v>
      </c>
      <c r="OD33">
        <v>96.32</v>
      </c>
      <c r="OE33">
        <v>96.28</v>
      </c>
      <c r="OF33">
        <v>96.245000000000005</v>
      </c>
      <c r="OG33">
        <v>96.28</v>
      </c>
      <c r="OH33">
        <v>96.254999999999995</v>
      </c>
      <c r="OI33">
        <v>96.155000000000001</v>
      </c>
      <c r="OJ33">
        <v>96.01</v>
      </c>
      <c r="OK33">
        <v>95.954999999999998</v>
      </c>
      <c r="OL33">
        <v>95.95</v>
      </c>
      <c r="OM33">
        <v>96.06</v>
      </c>
      <c r="ON33">
        <v>96.055000000000007</v>
      </c>
      <c r="OO33">
        <v>95.99</v>
      </c>
      <c r="OP33">
        <v>95.855000000000004</v>
      </c>
      <c r="OQ33">
        <v>95.885000000000005</v>
      </c>
      <c r="OR33">
        <v>95.77</v>
      </c>
      <c r="OS33">
        <v>95.855000000000004</v>
      </c>
      <c r="OT33">
        <v>95.78</v>
      </c>
      <c r="OU33">
        <v>95.784999999999997</v>
      </c>
      <c r="OV33">
        <v>95.674999999999997</v>
      </c>
      <c r="OW33">
        <v>95.72</v>
      </c>
      <c r="OX33">
        <v>95.72</v>
      </c>
      <c r="OY33">
        <v>95.71</v>
      </c>
      <c r="OZ33">
        <v>95.73</v>
      </c>
      <c r="PA33">
        <v>95.685000000000002</v>
      </c>
      <c r="PB33">
        <v>95.665000000000006</v>
      </c>
      <c r="PC33">
        <v>95.57</v>
      </c>
      <c r="PD33">
        <v>95.644999999999996</v>
      </c>
      <c r="PE33">
        <v>95.474999999999994</v>
      </c>
      <c r="PF33">
        <v>95.465000000000003</v>
      </c>
      <c r="PG33">
        <v>95.444999999999993</v>
      </c>
      <c r="PH33">
        <v>95.575000000000003</v>
      </c>
      <c r="PI33">
        <v>95.49</v>
      </c>
      <c r="PJ33">
        <v>95.375</v>
      </c>
      <c r="PK33">
        <v>95.484999999999999</v>
      </c>
      <c r="PL33">
        <v>95.364999999999995</v>
      </c>
      <c r="PM33">
        <v>95.234999999999999</v>
      </c>
      <c r="PN33">
        <v>95.144999999999996</v>
      </c>
      <c r="PO33">
        <v>95.135000000000005</v>
      </c>
      <c r="PP33">
        <v>95.144999999999996</v>
      </c>
      <c r="PQ33">
        <v>95.15</v>
      </c>
      <c r="PR33">
        <v>95.04</v>
      </c>
      <c r="PS33">
        <v>95.18</v>
      </c>
      <c r="PT33">
        <v>95.174999999999997</v>
      </c>
      <c r="PU33">
        <v>95.07</v>
      </c>
      <c r="PV33">
        <v>94.995000000000005</v>
      </c>
      <c r="PW33">
        <v>95.125</v>
      </c>
      <c r="PX33">
        <v>95.17</v>
      </c>
      <c r="PY33">
        <v>95.295000000000002</v>
      </c>
      <c r="PZ33">
        <v>95.37</v>
      </c>
      <c r="QA33">
        <v>95.265000000000001</v>
      </c>
      <c r="QB33">
        <v>95.38</v>
      </c>
      <c r="QC33">
        <v>95.29</v>
      </c>
      <c r="QD33">
        <v>95.27</v>
      </c>
      <c r="QE33">
        <v>95.15</v>
      </c>
      <c r="QF33">
        <v>95.21</v>
      </c>
      <c r="QG33">
        <v>95.185000000000002</v>
      </c>
      <c r="QH33">
        <v>95.13</v>
      </c>
      <c r="QI33">
        <v>95.26</v>
      </c>
      <c r="QJ33">
        <v>95.435000000000002</v>
      </c>
      <c r="QK33">
        <v>95.424999999999997</v>
      </c>
      <c r="QL33">
        <v>95.45</v>
      </c>
      <c r="QM33">
        <v>95.525000000000006</v>
      </c>
      <c r="QN33">
        <v>95.534999999999997</v>
      </c>
      <c r="QO33">
        <v>95.685000000000002</v>
      </c>
      <c r="QP33">
        <v>95.655000000000001</v>
      </c>
      <c r="QQ33">
        <v>95.82</v>
      </c>
      <c r="QR33">
        <v>95.805000000000007</v>
      </c>
      <c r="QS33">
        <v>95.84</v>
      </c>
      <c r="QT33">
        <v>95.82</v>
      </c>
      <c r="QU33">
        <v>95.855000000000004</v>
      </c>
      <c r="QV33">
        <v>95.915000000000006</v>
      </c>
      <c r="QW33">
        <v>95.894999999999996</v>
      </c>
      <c r="QX33">
        <v>95.85</v>
      </c>
      <c r="QY33">
        <v>95.89</v>
      </c>
      <c r="QZ33">
        <v>95.88</v>
      </c>
      <c r="RA33">
        <v>95.864999999999995</v>
      </c>
      <c r="RB33">
        <v>95.86</v>
      </c>
      <c r="RC33">
        <v>95.93</v>
      </c>
      <c r="RD33">
        <v>95.93</v>
      </c>
      <c r="RE33">
        <v>96.025000000000006</v>
      </c>
      <c r="RF33">
        <v>96</v>
      </c>
      <c r="RG33">
        <v>96.004999999999995</v>
      </c>
      <c r="RH33">
        <v>95.97</v>
      </c>
      <c r="RI33">
        <v>95.93</v>
      </c>
      <c r="RJ33">
        <v>95.924999999999997</v>
      </c>
      <c r="RK33">
        <v>95.95</v>
      </c>
      <c r="RL33">
        <v>95.8</v>
      </c>
      <c r="RM33">
        <v>95.77</v>
      </c>
      <c r="RN33">
        <v>95.864999999999995</v>
      </c>
      <c r="RO33">
        <v>95.79</v>
      </c>
      <c r="RP33">
        <v>95.875</v>
      </c>
      <c r="RQ33">
        <v>95.91</v>
      </c>
      <c r="RR33">
        <v>95.97</v>
      </c>
      <c r="RS33">
        <v>95.944999999999993</v>
      </c>
      <c r="RT33">
        <v>96.034999999999997</v>
      </c>
      <c r="RU33">
        <v>96.14</v>
      </c>
      <c r="RV33">
        <v>96.105000000000004</v>
      </c>
      <c r="RW33">
        <v>96.04</v>
      </c>
      <c r="RX33">
        <v>96.064999999999998</v>
      </c>
      <c r="RY33">
        <v>95.924999999999997</v>
      </c>
      <c r="RZ33">
        <v>96.094999999999999</v>
      </c>
      <c r="SA33">
        <v>96.15</v>
      </c>
      <c r="SB33">
        <v>96.24</v>
      </c>
      <c r="SC33">
        <v>96.234999999999999</v>
      </c>
      <c r="SD33">
        <v>96.19</v>
      </c>
      <c r="SE33">
        <v>96.36</v>
      </c>
      <c r="SF33">
        <v>96.31</v>
      </c>
      <c r="SG33">
        <v>96.37</v>
      </c>
      <c r="SH33">
        <v>96.38</v>
      </c>
      <c r="SI33">
        <v>96.36</v>
      </c>
      <c r="SJ33">
        <v>96.48</v>
      </c>
      <c r="SK33">
        <v>96.44</v>
      </c>
      <c r="SL33">
        <v>96.424999999999997</v>
      </c>
      <c r="SM33">
        <v>96.385000000000005</v>
      </c>
      <c r="SN33">
        <v>96.394999999999996</v>
      </c>
      <c r="SO33">
        <v>96.364999999999995</v>
      </c>
      <c r="SP33">
        <v>96.275000000000006</v>
      </c>
      <c r="SQ33">
        <v>96.21</v>
      </c>
      <c r="SR33">
        <v>96.17</v>
      </c>
      <c r="SS33">
        <v>96.224999999999994</v>
      </c>
      <c r="ST33">
        <v>96.325000000000003</v>
      </c>
      <c r="SU33">
        <v>96.43</v>
      </c>
      <c r="SV33">
        <v>96.43</v>
      </c>
      <c r="SW33">
        <v>96.465000000000003</v>
      </c>
      <c r="SX33">
        <v>96.4</v>
      </c>
      <c r="SY33">
        <v>96.545000000000002</v>
      </c>
      <c r="SZ33">
        <v>96.49</v>
      </c>
      <c r="TA33">
        <v>96.52</v>
      </c>
      <c r="TB33">
        <v>96.49</v>
      </c>
      <c r="TC33">
        <v>96.42</v>
      </c>
      <c r="TD33">
        <v>96.495000000000005</v>
      </c>
      <c r="TE33">
        <v>96.504999999999995</v>
      </c>
      <c r="TF33">
        <v>96.435000000000002</v>
      </c>
      <c r="TG33">
        <v>96.435000000000002</v>
      </c>
      <c r="TH33">
        <v>96.47</v>
      </c>
      <c r="TI33">
        <v>96.4</v>
      </c>
      <c r="TJ33">
        <v>96.32</v>
      </c>
      <c r="TK33">
        <v>96.394999999999996</v>
      </c>
      <c r="TL33">
        <v>96.4</v>
      </c>
      <c r="TM33">
        <v>96.405000000000001</v>
      </c>
      <c r="TN33">
        <v>96.33</v>
      </c>
      <c r="TO33">
        <v>96.435000000000002</v>
      </c>
      <c r="TP33">
        <v>96.415000000000006</v>
      </c>
      <c r="TQ33">
        <v>96.385000000000005</v>
      </c>
      <c r="TR33">
        <v>96.484999999999999</v>
      </c>
      <c r="TS33">
        <v>96.47</v>
      </c>
      <c r="TT33">
        <v>96.424999999999997</v>
      </c>
      <c r="TU33">
        <v>96.314999999999998</v>
      </c>
      <c r="TV33">
        <v>96.314999999999998</v>
      </c>
      <c r="TW33">
        <v>96.3</v>
      </c>
      <c r="TX33">
        <v>96.385000000000005</v>
      </c>
      <c r="TY33">
        <v>96.4</v>
      </c>
      <c r="TZ33">
        <v>96.37</v>
      </c>
      <c r="UA33">
        <v>96.36</v>
      </c>
      <c r="UB33">
        <v>96.41</v>
      </c>
      <c r="UC33">
        <v>96.465000000000003</v>
      </c>
      <c r="UD33">
        <v>96.48</v>
      </c>
      <c r="UE33">
        <v>96.534999999999997</v>
      </c>
      <c r="UF33">
        <v>96.575000000000003</v>
      </c>
      <c r="UG33">
        <v>96.614999999999995</v>
      </c>
      <c r="UH33">
        <v>96.57</v>
      </c>
      <c r="UI33">
        <v>96.504999999999995</v>
      </c>
      <c r="UJ33">
        <v>96.515000000000001</v>
      </c>
      <c r="UK33">
        <v>96.56</v>
      </c>
      <c r="UL33">
        <v>96.63</v>
      </c>
      <c r="UM33">
        <v>96.58</v>
      </c>
      <c r="UN33">
        <v>96.564999999999998</v>
      </c>
      <c r="UO33">
        <v>96.435000000000002</v>
      </c>
      <c r="UP33">
        <v>96.564999999999998</v>
      </c>
      <c r="UQ33">
        <v>96.564999999999998</v>
      </c>
      <c r="UR33">
        <v>96.64</v>
      </c>
      <c r="US33">
        <v>96.69</v>
      </c>
      <c r="UT33">
        <v>96.63</v>
      </c>
      <c r="UU33">
        <v>96.575000000000003</v>
      </c>
      <c r="UV33">
        <v>96.62</v>
      </c>
      <c r="UW33">
        <v>96.584999999999994</v>
      </c>
      <c r="UX33">
        <v>96.605000000000004</v>
      </c>
      <c r="UY33">
        <v>96.56</v>
      </c>
      <c r="UZ33">
        <v>96.62</v>
      </c>
      <c r="VA33">
        <v>96.674999999999997</v>
      </c>
      <c r="VB33">
        <v>96.73</v>
      </c>
      <c r="VC33">
        <v>96.73</v>
      </c>
      <c r="VD33">
        <v>96.72</v>
      </c>
      <c r="VE33">
        <v>96.775000000000006</v>
      </c>
      <c r="VF33">
        <v>96.85</v>
      </c>
      <c r="VG33">
        <v>96.834999999999994</v>
      </c>
      <c r="VH33">
        <v>96.8</v>
      </c>
      <c r="VI33">
        <v>96.74</v>
      </c>
      <c r="VJ33">
        <v>96.685000000000002</v>
      </c>
      <c r="VK33">
        <v>96.65</v>
      </c>
      <c r="VL33">
        <v>96.625</v>
      </c>
      <c r="VM33">
        <v>96.614999999999995</v>
      </c>
      <c r="VN33">
        <v>96.644999999999996</v>
      </c>
      <c r="VO33">
        <v>96.765000000000001</v>
      </c>
      <c r="VP33">
        <v>96.724999999999994</v>
      </c>
      <c r="VQ33">
        <v>96.674999999999997</v>
      </c>
      <c r="VR33">
        <v>96.62</v>
      </c>
      <c r="VS33">
        <v>96.644999999999996</v>
      </c>
      <c r="VT33">
        <v>96.72</v>
      </c>
      <c r="VU33">
        <v>96.534999999999997</v>
      </c>
      <c r="VV33">
        <v>96.61</v>
      </c>
      <c r="VW33">
        <v>96.52</v>
      </c>
      <c r="VX33">
        <v>96.594999999999999</v>
      </c>
      <c r="VY33">
        <v>96.575000000000003</v>
      </c>
      <c r="VZ33">
        <v>96.375</v>
      </c>
      <c r="WA33">
        <v>96.42</v>
      </c>
      <c r="WB33">
        <v>96.4</v>
      </c>
      <c r="WC33">
        <v>96.325000000000003</v>
      </c>
      <c r="WD33">
        <v>96.325000000000003</v>
      </c>
      <c r="WE33">
        <v>96.2</v>
      </c>
      <c r="WF33">
        <v>96.305000000000007</v>
      </c>
      <c r="WG33">
        <v>96.39</v>
      </c>
      <c r="WH33">
        <v>96.39</v>
      </c>
      <c r="WI33">
        <v>96.35</v>
      </c>
      <c r="WJ33">
        <v>96.4</v>
      </c>
      <c r="WK33">
        <v>96.35</v>
      </c>
      <c r="WL33">
        <v>96.314999999999998</v>
      </c>
      <c r="WM33">
        <v>96.465000000000003</v>
      </c>
      <c r="WN33">
        <v>96.465000000000003</v>
      </c>
      <c r="WO33">
        <v>96.444999999999993</v>
      </c>
      <c r="WP33">
        <v>96.484999999999999</v>
      </c>
      <c r="WQ33">
        <v>96.55</v>
      </c>
      <c r="WR33">
        <v>96.534999999999997</v>
      </c>
      <c r="WS33">
        <v>96.504999999999995</v>
      </c>
      <c r="WT33">
        <v>96.57</v>
      </c>
      <c r="WU33">
        <v>96.59</v>
      </c>
      <c r="WV33">
        <v>96.57</v>
      </c>
      <c r="WW33">
        <v>96.594999999999999</v>
      </c>
      <c r="WX33">
        <v>96.67</v>
      </c>
      <c r="WY33">
        <v>96.76</v>
      </c>
      <c r="WZ33">
        <v>96.795000000000002</v>
      </c>
      <c r="XA33">
        <v>96.694999999999993</v>
      </c>
      <c r="XB33">
        <v>96.665000000000006</v>
      </c>
      <c r="XC33">
        <v>96.7</v>
      </c>
      <c r="XD33">
        <v>96.75</v>
      </c>
      <c r="XE33">
        <v>96.765000000000001</v>
      </c>
      <c r="XF33">
        <v>96.765000000000001</v>
      </c>
      <c r="XG33">
        <v>96.69</v>
      </c>
      <c r="XH33">
        <v>96.734999999999999</v>
      </c>
      <c r="XI33">
        <v>96.825000000000003</v>
      </c>
      <c r="XJ33">
        <v>96.855000000000004</v>
      </c>
      <c r="XK33">
        <v>96.73</v>
      </c>
      <c r="XL33">
        <v>96.775000000000006</v>
      </c>
      <c r="XM33">
        <v>96.775000000000006</v>
      </c>
      <c r="XN33">
        <v>96.8</v>
      </c>
      <c r="XO33">
        <v>96.724999999999994</v>
      </c>
      <c r="XP33">
        <v>96.67</v>
      </c>
      <c r="XQ33">
        <v>96.784999999999997</v>
      </c>
      <c r="XR33">
        <v>96.74</v>
      </c>
      <c r="XS33">
        <v>96.59</v>
      </c>
      <c r="XT33">
        <v>96.575000000000003</v>
      </c>
      <c r="XU33">
        <v>96.474999999999994</v>
      </c>
      <c r="XV33">
        <v>96.405000000000001</v>
      </c>
      <c r="XW33">
        <v>96.405000000000001</v>
      </c>
      <c r="XX33">
        <v>96.364999999999995</v>
      </c>
      <c r="XY33">
        <v>96.31</v>
      </c>
      <c r="XZ33">
        <v>96.394999999999996</v>
      </c>
      <c r="YA33">
        <v>96.48</v>
      </c>
      <c r="YB33">
        <v>96.48</v>
      </c>
      <c r="YC33">
        <v>96.51</v>
      </c>
      <c r="YD33">
        <v>96.484999999999999</v>
      </c>
      <c r="YE33">
        <v>96.52</v>
      </c>
      <c r="YF33">
        <v>96.66</v>
      </c>
      <c r="YG33">
        <v>96.754999999999995</v>
      </c>
      <c r="YH33">
        <v>96.82</v>
      </c>
      <c r="YI33">
        <v>96.76</v>
      </c>
      <c r="YJ33">
        <v>96.76</v>
      </c>
      <c r="YK33">
        <v>96.66</v>
      </c>
      <c r="YL33">
        <v>96.694999999999993</v>
      </c>
      <c r="YM33">
        <v>96.784999999999997</v>
      </c>
      <c r="YN33">
        <v>96.894999999999996</v>
      </c>
      <c r="YO33">
        <v>96.784999999999997</v>
      </c>
      <c r="YP33">
        <v>96.69</v>
      </c>
      <c r="YQ33">
        <v>96.79</v>
      </c>
      <c r="YR33">
        <v>96.745000000000005</v>
      </c>
      <c r="YS33">
        <v>96.584999999999994</v>
      </c>
      <c r="YT33">
        <v>96.555000000000007</v>
      </c>
      <c r="YU33">
        <v>96.6</v>
      </c>
      <c r="YV33">
        <v>96.584999999999994</v>
      </c>
      <c r="YW33">
        <v>96.57</v>
      </c>
      <c r="YX33">
        <v>96.57</v>
      </c>
      <c r="YY33">
        <v>96.5</v>
      </c>
      <c r="YZ33">
        <v>96.4</v>
      </c>
      <c r="ZA33">
        <v>96.38</v>
      </c>
      <c r="ZB33">
        <v>96.45</v>
      </c>
      <c r="ZC33">
        <v>96.504999999999995</v>
      </c>
      <c r="ZD33">
        <v>96.38</v>
      </c>
      <c r="ZE33">
        <v>96.305000000000007</v>
      </c>
      <c r="ZF33">
        <v>96.355000000000004</v>
      </c>
      <c r="ZG33">
        <v>96.344999999999999</v>
      </c>
      <c r="ZH33">
        <v>96.05</v>
      </c>
      <c r="ZI33">
        <v>96.09</v>
      </c>
      <c r="ZJ33">
        <v>96.004999999999995</v>
      </c>
      <c r="ZK33">
        <v>96.02</v>
      </c>
      <c r="ZL33">
        <v>96.05</v>
      </c>
      <c r="ZM33">
        <v>96.055000000000007</v>
      </c>
      <c r="ZN33">
        <v>96.034999999999997</v>
      </c>
      <c r="ZO33">
        <v>95.995000000000005</v>
      </c>
      <c r="ZP33">
        <v>96.025000000000006</v>
      </c>
      <c r="ZQ33">
        <v>96.12</v>
      </c>
      <c r="ZR33">
        <v>96.06</v>
      </c>
      <c r="ZS33">
        <v>95.97</v>
      </c>
      <c r="ZT33">
        <v>95.83</v>
      </c>
      <c r="ZU33">
        <v>95.88</v>
      </c>
      <c r="ZV33">
        <v>95.95</v>
      </c>
      <c r="ZW33">
        <v>96.05</v>
      </c>
      <c r="ZX33">
        <v>96.174999999999997</v>
      </c>
      <c r="ZY33">
        <v>96.155000000000001</v>
      </c>
      <c r="ZZ33">
        <v>96.17</v>
      </c>
      <c r="AAA33">
        <v>96.215000000000003</v>
      </c>
      <c r="AAB33">
        <v>96.204999999999998</v>
      </c>
      <c r="AAC33">
        <v>96.165000000000006</v>
      </c>
      <c r="AAD33">
        <v>96.114999999999995</v>
      </c>
      <c r="AAE33">
        <v>96.215000000000003</v>
      </c>
      <c r="AAF33">
        <v>96.26</v>
      </c>
      <c r="AAG33">
        <v>96.305000000000007</v>
      </c>
      <c r="AAH33">
        <v>96.44</v>
      </c>
      <c r="AAI33">
        <v>96.375</v>
      </c>
      <c r="AAJ33">
        <v>96.224999999999994</v>
      </c>
      <c r="AAK33">
        <v>96.284999999999997</v>
      </c>
      <c r="AAL33">
        <v>96.334999999999994</v>
      </c>
      <c r="AAM33">
        <v>96.215000000000003</v>
      </c>
      <c r="AAN33">
        <v>96.34</v>
      </c>
      <c r="AAO33">
        <v>96.515000000000001</v>
      </c>
      <c r="AAP33">
        <v>96.364999999999995</v>
      </c>
      <c r="AAQ33">
        <v>96.54</v>
      </c>
      <c r="AAR33">
        <v>96.465000000000003</v>
      </c>
      <c r="AAS33">
        <v>96.555000000000007</v>
      </c>
      <c r="AAT33">
        <v>96.555000000000007</v>
      </c>
      <c r="AAU33">
        <v>96.58</v>
      </c>
      <c r="AAV33">
        <v>96.66</v>
      </c>
      <c r="AAW33">
        <v>96.63</v>
      </c>
      <c r="AAX33">
        <v>96.605000000000004</v>
      </c>
      <c r="AAY33">
        <v>96.66</v>
      </c>
      <c r="AAZ33">
        <v>96.665000000000006</v>
      </c>
      <c r="ABA33">
        <v>96.704999999999998</v>
      </c>
      <c r="ABB33">
        <v>96.575000000000003</v>
      </c>
      <c r="ABC33">
        <v>96.745000000000005</v>
      </c>
      <c r="ABD33">
        <v>96.745000000000005</v>
      </c>
      <c r="ABE33">
        <v>96.71</v>
      </c>
      <c r="ABF33">
        <v>96.89</v>
      </c>
      <c r="ABG33">
        <v>96.93</v>
      </c>
      <c r="ABH33">
        <v>96.86</v>
      </c>
      <c r="ABI33">
        <v>96.97</v>
      </c>
      <c r="ABJ33">
        <v>96.984999999999999</v>
      </c>
      <c r="ABK33">
        <v>96.894999999999996</v>
      </c>
      <c r="ABL33">
        <v>96.974999999999994</v>
      </c>
      <c r="ABM33">
        <v>96.99</v>
      </c>
      <c r="ABN33">
        <v>97.004999999999995</v>
      </c>
      <c r="ABO33">
        <v>97.13</v>
      </c>
      <c r="ABP33">
        <v>97.12</v>
      </c>
      <c r="ABQ33">
        <v>97.194999999999993</v>
      </c>
      <c r="ABR33">
        <v>97.17</v>
      </c>
      <c r="ABS33">
        <v>97.084999999999994</v>
      </c>
      <c r="ABT33">
        <v>97.03</v>
      </c>
      <c r="ABU33">
        <v>97.21</v>
      </c>
      <c r="ABV33">
        <v>97.254999999999995</v>
      </c>
      <c r="ABW33">
        <v>97.224999999999994</v>
      </c>
      <c r="ABX33">
        <v>97.135000000000005</v>
      </c>
      <c r="ABY33">
        <v>97.265000000000001</v>
      </c>
      <c r="ABZ33">
        <v>97.194999999999993</v>
      </c>
      <c r="ACA33">
        <v>97.174999999999997</v>
      </c>
      <c r="ACB33">
        <v>97.204999999999998</v>
      </c>
      <c r="ACC33">
        <v>97.135000000000005</v>
      </c>
      <c r="ACD33">
        <v>97.094999999999999</v>
      </c>
      <c r="ACE33">
        <v>97.05</v>
      </c>
      <c r="ACF33">
        <v>97.004999999999995</v>
      </c>
      <c r="ACG33">
        <v>96.97</v>
      </c>
      <c r="ACH33">
        <v>97.04</v>
      </c>
      <c r="ACI33">
        <v>96.935000000000002</v>
      </c>
      <c r="ACJ33">
        <v>96.825000000000003</v>
      </c>
      <c r="ACK33">
        <v>96.86</v>
      </c>
      <c r="ACL33">
        <v>96.9</v>
      </c>
      <c r="ACM33">
        <v>96.924999999999997</v>
      </c>
      <c r="ACN33">
        <v>96.86</v>
      </c>
      <c r="ACO33">
        <v>96.89</v>
      </c>
      <c r="ACP33">
        <v>96.77</v>
      </c>
      <c r="ACQ33">
        <v>96.715000000000003</v>
      </c>
      <c r="ACR33">
        <v>96.584999999999994</v>
      </c>
      <c r="ACS33">
        <v>96.67</v>
      </c>
      <c r="ACT33">
        <v>96.784999999999997</v>
      </c>
      <c r="ACU33">
        <v>96.87</v>
      </c>
      <c r="ACV33">
        <v>96.795000000000002</v>
      </c>
      <c r="ACW33">
        <v>96.795000000000002</v>
      </c>
      <c r="ACX33">
        <v>96.765000000000001</v>
      </c>
      <c r="ACY33">
        <v>96.65</v>
      </c>
      <c r="ACZ33">
        <v>96.55</v>
      </c>
      <c r="ADA33">
        <v>96.564999999999998</v>
      </c>
      <c r="ADB33">
        <v>96.62</v>
      </c>
      <c r="ADC33">
        <v>96.715000000000003</v>
      </c>
      <c r="ADD33">
        <v>96.614999999999995</v>
      </c>
      <c r="ADE33">
        <v>96.484999999999999</v>
      </c>
      <c r="ADF33">
        <v>96.584999999999994</v>
      </c>
      <c r="ADG33">
        <v>96.584999999999994</v>
      </c>
      <c r="ADH33">
        <v>96.504999999999995</v>
      </c>
      <c r="ADI33">
        <v>96.42</v>
      </c>
      <c r="ADJ33">
        <v>96.385000000000005</v>
      </c>
      <c r="ADK33">
        <v>96.454999999999998</v>
      </c>
      <c r="ADL33">
        <v>96.66</v>
      </c>
      <c r="ADM33">
        <v>96.71</v>
      </c>
      <c r="ADN33">
        <v>96.71</v>
      </c>
      <c r="ADO33">
        <v>96.76</v>
      </c>
      <c r="ADP33">
        <v>96.66</v>
      </c>
      <c r="ADQ33">
        <v>96.765000000000001</v>
      </c>
      <c r="ADR33">
        <v>96.814999999999998</v>
      </c>
      <c r="ADS33">
        <v>96.77</v>
      </c>
      <c r="ADT33">
        <v>96.805000000000007</v>
      </c>
      <c r="ADU33">
        <v>96.91</v>
      </c>
      <c r="ADV33">
        <v>96.91</v>
      </c>
      <c r="ADW33">
        <v>96.89</v>
      </c>
      <c r="ADX33">
        <v>96.944999999999993</v>
      </c>
      <c r="ADY33">
        <v>96.96</v>
      </c>
      <c r="ADZ33">
        <v>96.954999999999998</v>
      </c>
      <c r="AEA33">
        <v>97.015000000000001</v>
      </c>
      <c r="AEB33">
        <v>96.89</v>
      </c>
      <c r="AEC33">
        <v>96.85</v>
      </c>
      <c r="AED33">
        <v>96.715000000000003</v>
      </c>
      <c r="AEE33">
        <v>96.79</v>
      </c>
      <c r="AEF33">
        <v>96.74</v>
      </c>
      <c r="AEG33">
        <v>96.84</v>
      </c>
      <c r="AEH33">
        <v>96.75</v>
      </c>
      <c r="AEI33">
        <v>96.625</v>
      </c>
      <c r="AEJ33">
        <v>96.525000000000006</v>
      </c>
      <c r="AEK33">
        <v>96.504999999999995</v>
      </c>
      <c r="AEL33">
        <v>96.625</v>
      </c>
      <c r="AEM33">
        <v>96.82</v>
      </c>
      <c r="AEN33">
        <v>96.85</v>
      </c>
      <c r="AEO33">
        <v>96.784999999999997</v>
      </c>
      <c r="AEP33">
        <v>96.93</v>
      </c>
      <c r="AEQ33">
        <v>96.93</v>
      </c>
      <c r="AER33">
        <v>96.995000000000005</v>
      </c>
      <c r="AES33">
        <v>97.07</v>
      </c>
      <c r="AET33">
        <v>97.05</v>
      </c>
      <c r="AEU33">
        <v>96.965000000000003</v>
      </c>
      <c r="AEV33">
        <v>96.93</v>
      </c>
      <c r="AEW33">
        <v>96.984999999999999</v>
      </c>
      <c r="AEX33">
        <v>96.89</v>
      </c>
      <c r="AEY33">
        <v>96.924999999999997</v>
      </c>
      <c r="AEZ33">
        <v>97.03</v>
      </c>
      <c r="AFA33">
        <v>97.03</v>
      </c>
      <c r="AFB33">
        <v>97.165000000000006</v>
      </c>
      <c r="AFC33">
        <v>97.11</v>
      </c>
      <c r="AFD33">
        <v>97.12</v>
      </c>
      <c r="AFE33">
        <v>97.245000000000005</v>
      </c>
      <c r="AFF33">
        <v>97.35</v>
      </c>
      <c r="AFG33">
        <v>97.504999999999995</v>
      </c>
      <c r="AFH33">
        <v>97.63</v>
      </c>
      <c r="AFI33">
        <v>97.745000000000005</v>
      </c>
      <c r="AFJ33">
        <v>97.765000000000001</v>
      </c>
      <c r="AFK33">
        <v>97.81</v>
      </c>
      <c r="AFL33">
        <v>97.77</v>
      </c>
      <c r="AFM33">
        <v>97.72</v>
      </c>
      <c r="AFN33">
        <v>97.65</v>
      </c>
      <c r="AFO33">
        <v>97.64</v>
      </c>
      <c r="AFP33">
        <v>97.775000000000006</v>
      </c>
      <c r="AFQ33">
        <v>97.814999999999998</v>
      </c>
      <c r="AFR33">
        <v>97.76</v>
      </c>
      <c r="AFS33">
        <v>97.825000000000003</v>
      </c>
      <c r="AFT33">
        <v>97.965000000000003</v>
      </c>
      <c r="AFU33">
        <v>97.89</v>
      </c>
      <c r="AFV33">
        <v>97.87</v>
      </c>
      <c r="AFW33">
        <v>97.875</v>
      </c>
      <c r="AFX33">
        <v>97.9</v>
      </c>
      <c r="AFY33">
        <v>98.06</v>
      </c>
      <c r="AFZ33">
        <v>98.07</v>
      </c>
      <c r="AGA33">
        <v>98.144999999999996</v>
      </c>
      <c r="AGB33">
        <v>98.24</v>
      </c>
      <c r="AGC33">
        <v>98.355000000000004</v>
      </c>
      <c r="AGD33">
        <v>98.33</v>
      </c>
      <c r="AGE33">
        <v>98.194999999999993</v>
      </c>
      <c r="AGF33">
        <v>98.15</v>
      </c>
      <c r="AGG33">
        <v>98.295000000000002</v>
      </c>
      <c r="AGH33">
        <v>98.185000000000002</v>
      </c>
      <c r="AGI33">
        <v>98.045000000000002</v>
      </c>
      <c r="AGJ33">
        <v>98.055000000000007</v>
      </c>
      <c r="AGK33">
        <v>98.08</v>
      </c>
      <c r="AGL33">
        <v>98.12</v>
      </c>
      <c r="AGM33">
        <v>98.11</v>
      </c>
      <c r="AGN33">
        <v>98.11</v>
      </c>
      <c r="AGO33">
        <v>98.064999999999998</v>
      </c>
      <c r="AGP33">
        <v>97.974999999999994</v>
      </c>
      <c r="AGQ33">
        <v>97.984999999999999</v>
      </c>
      <c r="AGR33">
        <v>98.07</v>
      </c>
      <c r="AGS33">
        <v>98.114999999999995</v>
      </c>
      <c r="AGT33">
        <v>98.004999999999995</v>
      </c>
      <c r="AGU33">
        <v>98.075000000000003</v>
      </c>
      <c r="AGV33">
        <v>98.034999999999997</v>
      </c>
      <c r="AGW33">
        <v>98.075000000000003</v>
      </c>
      <c r="AGX33">
        <v>98.06</v>
      </c>
      <c r="AGY33">
        <v>98.17</v>
      </c>
      <c r="AGZ33">
        <v>98.204999999999998</v>
      </c>
      <c r="AHA33">
        <v>98.17</v>
      </c>
      <c r="AHB33">
        <v>98.18</v>
      </c>
      <c r="AHC33">
        <v>98.19</v>
      </c>
      <c r="AHD33">
        <v>98.15</v>
      </c>
      <c r="AHE33">
        <v>98.045000000000002</v>
      </c>
      <c r="AHF33">
        <v>98.11</v>
      </c>
      <c r="AHG33">
        <v>98.174999999999997</v>
      </c>
      <c r="AHH33">
        <v>98.16</v>
      </c>
      <c r="AHI33">
        <v>98.09</v>
      </c>
      <c r="AHJ33">
        <v>98.08</v>
      </c>
      <c r="AHK33">
        <v>98.025000000000006</v>
      </c>
      <c r="AHL33">
        <v>98.13</v>
      </c>
      <c r="AHM33">
        <v>98.13</v>
      </c>
      <c r="AHN33">
        <v>98.204999999999998</v>
      </c>
      <c r="AHO33">
        <v>98.174999999999997</v>
      </c>
      <c r="AHP33">
        <v>98.13</v>
      </c>
      <c r="AHQ33">
        <v>98.08</v>
      </c>
      <c r="AHR33">
        <v>98.075000000000003</v>
      </c>
      <c r="AHS33">
        <v>98.09</v>
      </c>
      <c r="AHT33">
        <v>98.114999999999995</v>
      </c>
      <c r="AHU33">
        <v>98.13</v>
      </c>
      <c r="AHV33">
        <v>98.19</v>
      </c>
      <c r="AHW33">
        <v>98.36</v>
      </c>
      <c r="AHX33">
        <v>98.344999999999999</v>
      </c>
      <c r="AHY33">
        <v>98.334999999999994</v>
      </c>
      <c r="AHZ33">
        <v>98.43</v>
      </c>
      <c r="AIA33">
        <v>98.4</v>
      </c>
      <c r="AIB33">
        <v>98.364999999999995</v>
      </c>
      <c r="AIC33">
        <v>98.364999999999995</v>
      </c>
      <c r="AID33">
        <v>98.39</v>
      </c>
      <c r="AIE33">
        <v>98.35</v>
      </c>
      <c r="AIF33">
        <v>98.444999999999993</v>
      </c>
      <c r="AIG33">
        <v>98.53</v>
      </c>
      <c r="AIH33">
        <v>98.49</v>
      </c>
      <c r="AII33">
        <v>98.47</v>
      </c>
      <c r="AIJ33">
        <v>98.444999999999993</v>
      </c>
      <c r="AIK33">
        <v>98.44</v>
      </c>
      <c r="AIL33">
        <v>98.375</v>
      </c>
      <c r="AIM33">
        <v>98.4</v>
      </c>
      <c r="AIN33">
        <v>98.35</v>
      </c>
      <c r="AIO33">
        <v>98.37</v>
      </c>
      <c r="AIP33">
        <v>98.394999999999996</v>
      </c>
      <c r="AIQ33">
        <v>98.54</v>
      </c>
      <c r="AIR33">
        <v>98.385000000000005</v>
      </c>
      <c r="AIS33">
        <v>98.344999999999999</v>
      </c>
      <c r="AIT33">
        <v>98.265000000000001</v>
      </c>
      <c r="AIU33">
        <v>98.15</v>
      </c>
      <c r="AIV33">
        <v>98.295000000000002</v>
      </c>
      <c r="AIW33">
        <v>98.12</v>
      </c>
      <c r="AIX33">
        <v>98.12</v>
      </c>
      <c r="AIY33">
        <v>98.08</v>
      </c>
      <c r="AIZ33">
        <v>98.15</v>
      </c>
      <c r="AJA33">
        <v>98.254999999999995</v>
      </c>
      <c r="AJB33">
        <v>98.19</v>
      </c>
      <c r="AJC33">
        <v>98.165000000000006</v>
      </c>
      <c r="AJD33">
        <v>98.14</v>
      </c>
      <c r="AJE33">
        <v>98.18</v>
      </c>
      <c r="AJF33">
        <v>98.204999999999998</v>
      </c>
      <c r="AJG33">
        <v>98.22</v>
      </c>
      <c r="AJH33">
        <v>98.234999999999999</v>
      </c>
      <c r="AJI33">
        <v>98.27</v>
      </c>
      <c r="AJJ33">
        <v>98.17</v>
      </c>
      <c r="AJK33">
        <v>98.194999999999993</v>
      </c>
      <c r="AJL33">
        <v>98.1</v>
      </c>
      <c r="AJM33">
        <v>98.07</v>
      </c>
      <c r="AJN33">
        <v>98.09</v>
      </c>
      <c r="AJO33">
        <v>98.125</v>
      </c>
      <c r="AJP33">
        <v>98.165000000000006</v>
      </c>
      <c r="AJQ33">
        <v>98.135000000000005</v>
      </c>
      <c r="AJR33">
        <v>98.16</v>
      </c>
      <c r="AJS33">
        <v>97.965000000000003</v>
      </c>
      <c r="AJT33">
        <v>97.954999999999998</v>
      </c>
      <c r="AJU33">
        <v>97.91</v>
      </c>
      <c r="AJV33">
        <v>97.855000000000004</v>
      </c>
      <c r="AJW33">
        <v>97.89</v>
      </c>
      <c r="AJX33">
        <v>97.92</v>
      </c>
      <c r="AJY33">
        <v>98.034999999999997</v>
      </c>
      <c r="AJZ33">
        <v>98</v>
      </c>
      <c r="AKA33">
        <v>98.055000000000007</v>
      </c>
      <c r="AKB33">
        <v>98.015000000000001</v>
      </c>
      <c r="AKC33">
        <v>97.885000000000005</v>
      </c>
      <c r="AKD33">
        <v>97.79</v>
      </c>
      <c r="AKE33">
        <v>97.784999999999997</v>
      </c>
      <c r="AKF33">
        <v>97.834999999999994</v>
      </c>
      <c r="AKG33">
        <v>97.894999999999996</v>
      </c>
      <c r="AKH33">
        <v>97.875</v>
      </c>
      <c r="AKI33">
        <v>97.924999999999997</v>
      </c>
      <c r="AKJ33">
        <v>97.9</v>
      </c>
      <c r="AKK33">
        <v>97.85</v>
      </c>
      <c r="AKL33">
        <v>97.844999999999999</v>
      </c>
      <c r="AKM33">
        <v>97.894999999999996</v>
      </c>
      <c r="AKN33">
        <v>98</v>
      </c>
      <c r="AKO33">
        <v>98.05</v>
      </c>
      <c r="AKP33">
        <v>98.13</v>
      </c>
      <c r="AKQ33">
        <v>98.224999999999994</v>
      </c>
      <c r="AKR33">
        <v>98.14</v>
      </c>
      <c r="AKS33">
        <v>98.144999999999996</v>
      </c>
      <c r="AKT33">
        <v>98.07</v>
      </c>
      <c r="AKU33">
        <v>98.14</v>
      </c>
      <c r="AKV33">
        <v>98.18</v>
      </c>
      <c r="AKW33">
        <v>98.234999999999999</v>
      </c>
      <c r="AKX33">
        <v>98.155000000000001</v>
      </c>
      <c r="AKY33">
        <v>98.125</v>
      </c>
      <c r="AKZ33">
        <v>98.204999999999998</v>
      </c>
      <c r="ALA33">
        <v>98.165000000000006</v>
      </c>
      <c r="ALB33">
        <v>98.114999999999995</v>
      </c>
      <c r="ALC33">
        <v>98.165000000000006</v>
      </c>
      <c r="ALD33">
        <v>98.165000000000006</v>
      </c>
      <c r="ALE33">
        <v>98.224999999999994</v>
      </c>
      <c r="ALF33">
        <v>98.215000000000003</v>
      </c>
      <c r="ALG33">
        <v>98.2</v>
      </c>
      <c r="ALH33">
        <v>98.245000000000005</v>
      </c>
      <c r="ALI33">
        <v>98.254999999999995</v>
      </c>
      <c r="ALJ33">
        <v>98.224999999999994</v>
      </c>
      <c r="ALK33">
        <v>98.234999999999999</v>
      </c>
      <c r="ALL33">
        <v>98.31</v>
      </c>
      <c r="ALM33">
        <v>98.364999999999995</v>
      </c>
      <c r="ALN33">
        <v>98.355000000000004</v>
      </c>
      <c r="ALO33">
        <v>98.38</v>
      </c>
      <c r="ALP33">
        <v>98.33</v>
      </c>
      <c r="ALQ33">
        <v>98.37</v>
      </c>
      <c r="ALR33">
        <v>98.375</v>
      </c>
      <c r="ALS33">
        <v>98.325000000000003</v>
      </c>
      <c r="ALT33">
        <v>98.23</v>
      </c>
      <c r="ALU33">
        <v>98.25</v>
      </c>
      <c r="ALV33">
        <v>98.275000000000006</v>
      </c>
      <c r="ALW33">
        <v>98.284999999999997</v>
      </c>
      <c r="ALX33">
        <v>98.32</v>
      </c>
      <c r="ALY33">
        <v>98.415000000000006</v>
      </c>
      <c r="ALZ33">
        <v>98.415000000000006</v>
      </c>
      <c r="AMA33">
        <v>98.41</v>
      </c>
      <c r="AMB33">
        <v>98.415000000000006</v>
      </c>
      <c r="AMC33">
        <v>98.32</v>
      </c>
      <c r="AMD33">
        <v>98.3</v>
      </c>
      <c r="AME33">
        <v>98.325000000000003</v>
      </c>
      <c r="AMF33">
        <v>98.344999999999999</v>
      </c>
      <c r="AMG33">
        <v>98.31</v>
      </c>
      <c r="AMH33">
        <v>98.29</v>
      </c>
      <c r="AMI33">
        <v>98.314999999999998</v>
      </c>
      <c r="AMJ33">
        <v>98.31</v>
      </c>
      <c r="AMK33">
        <v>98.424999999999997</v>
      </c>
      <c r="AML33">
        <v>98.52</v>
      </c>
      <c r="AMM33">
        <v>98.34</v>
      </c>
      <c r="AMN33">
        <v>98.314999999999998</v>
      </c>
      <c r="AMO33">
        <v>98.215000000000003</v>
      </c>
      <c r="AMP33">
        <v>98.125</v>
      </c>
      <c r="AMQ33">
        <v>98.19</v>
      </c>
      <c r="AMR33">
        <v>98.185000000000002</v>
      </c>
      <c r="AMS33">
        <v>98.28</v>
      </c>
      <c r="AMT33">
        <v>98.265000000000001</v>
      </c>
      <c r="AMU33">
        <v>98.21</v>
      </c>
      <c r="AMV33">
        <v>98.125</v>
      </c>
      <c r="AMW33">
        <v>98.125</v>
      </c>
      <c r="AMX33">
        <v>98.06</v>
      </c>
      <c r="AMY33">
        <v>98.094999999999999</v>
      </c>
      <c r="AMZ33">
        <v>98.01</v>
      </c>
      <c r="ANA33">
        <v>98</v>
      </c>
      <c r="ANB33">
        <v>97.915000000000006</v>
      </c>
      <c r="ANC33">
        <v>97.96</v>
      </c>
      <c r="AND33">
        <v>97.95</v>
      </c>
      <c r="ANE33">
        <v>97.984999999999999</v>
      </c>
      <c r="ANF33">
        <v>97.98</v>
      </c>
      <c r="ANG33">
        <v>98.04</v>
      </c>
      <c r="ANH33">
        <v>97.924999999999997</v>
      </c>
      <c r="ANI33">
        <v>97.784999999999997</v>
      </c>
      <c r="ANJ33">
        <v>97.825000000000003</v>
      </c>
      <c r="ANK33">
        <v>97.81</v>
      </c>
      <c r="ANL33">
        <v>97.75</v>
      </c>
      <c r="ANM33">
        <v>97.77</v>
      </c>
      <c r="ANN33">
        <v>97.734999999999999</v>
      </c>
      <c r="ANO33">
        <v>97.685000000000002</v>
      </c>
      <c r="ANP33">
        <v>97.64</v>
      </c>
      <c r="ANQ33">
        <v>97.63</v>
      </c>
      <c r="ANR33">
        <v>97.534999999999997</v>
      </c>
      <c r="ANS33">
        <v>97.584999999999994</v>
      </c>
      <c r="ANT33">
        <v>97.55</v>
      </c>
      <c r="ANU33">
        <v>97.594999999999999</v>
      </c>
      <c r="ANV33">
        <v>97.594999999999999</v>
      </c>
      <c r="ANW33">
        <v>97.61</v>
      </c>
      <c r="ANX33">
        <v>97.66</v>
      </c>
      <c r="ANY33">
        <v>97.68</v>
      </c>
      <c r="ANZ33">
        <v>97.63</v>
      </c>
      <c r="AOA33">
        <v>97.59</v>
      </c>
      <c r="AOB33">
        <v>97.594999999999999</v>
      </c>
      <c r="AOC33">
        <v>97.534999999999997</v>
      </c>
      <c r="AOD33">
        <v>97.575000000000003</v>
      </c>
      <c r="AOE33">
        <v>97.58</v>
      </c>
      <c r="AOF33">
        <v>97.59</v>
      </c>
      <c r="AOG33">
        <v>97.545000000000002</v>
      </c>
      <c r="AOH33">
        <v>97.49</v>
      </c>
      <c r="AOI33">
        <v>97.59</v>
      </c>
      <c r="AOJ33">
        <v>97.614999999999995</v>
      </c>
      <c r="AOK33">
        <v>97.644999999999996</v>
      </c>
      <c r="AOL33">
        <v>97.66</v>
      </c>
      <c r="AOM33">
        <v>97.635000000000005</v>
      </c>
      <c r="AON33">
        <v>97.61</v>
      </c>
      <c r="AOO33">
        <v>97.584999999999994</v>
      </c>
      <c r="AOP33">
        <v>97.55</v>
      </c>
      <c r="AOQ33">
        <v>97.55</v>
      </c>
      <c r="AOR33">
        <v>97.575000000000003</v>
      </c>
      <c r="AOS33">
        <v>97.584999999999994</v>
      </c>
      <c r="AOT33">
        <v>97.644999999999996</v>
      </c>
      <c r="AOU33">
        <v>97.655000000000001</v>
      </c>
      <c r="AOV33">
        <v>97.68</v>
      </c>
      <c r="AOW33">
        <v>97.68</v>
      </c>
      <c r="AOX33">
        <v>97.685000000000002</v>
      </c>
      <c r="AOY33">
        <v>97.66</v>
      </c>
      <c r="AOZ33">
        <v>97.674999999999997</v>
      </c>
      <c r="APA33">
        <v>97.715000000000003</v>
      </c>
      <c r="APB33">
        <v>97.57</v>
      </c>
      <c r="APC33">
        <v>97.56</v>
      </c>
      <c r="APD33">
        <v>97.465000000000003</v>
      </c>
      <c r="APE33">
        <v>97.474999999999994</v>
      </c>
      <c r="APF33">
        <v>97.504999999999995</v>
      </c>
      <c r="APG33">
        <v>97.465000000000003</v>
      </c>
      <c r="APH33">
        <v>97.44</v>
      </c>
      <c r="API33">
        <v>97.334999999999994</v>
      </c>
      <c r="APJ33">
        <v>97.32</v>
      </c>
      <c r="APK33">
        <v>97.385000000000005</v>
      </c>
      <c r="APL33">
        <v>97.254999999999995</v>
      </c>
      <c r="APM33">
        <v>97.29</v>
      </c>
      <c r="APN33">
        <v>97.314999999999998</v>
      </c>
      <c r="APO33">
        <v>97.394999999999996</v>
      </c>
      <c r="APP33">
        <v>97.454999999999998</v>
      </c>
      <c r="APQ33">
        <v>97.42</v>
      </c>
      <c r="APR33">
        <v>97.4</v>
      </c>
      <c r="APS33">
        <v>97.34</v>
      </c>
      <c r="APT33">
        <v>97.295000000000002</v>
      </c>
      <c r="APU33">
        <v>97.465000000000003</v>
      </c>
      <c r="APV33">
        <v>97.655000000000001</v>
      </c>
      <c r="APW33">
        <v>97.644999999999996</v>
      </c>
      <c r="APX33">
        <v>97.64</v>
      </c>
      <c r="APY33">
        <v>97.625</v>
      </c>
      <c r="APZ33">
        <v>97.694999999999993</v>
      </c>
      <c r="AQA33">
        <v>97.7</v>
      </c>
      <c r="AQB33">
        <v>97.67</v>
      </c>
      <c r="AQC33">
        <v>97.614999999999995</v>
      </c>
      <c r="AQD33">
        <v>97.68</v>
      </c>
      <c r="AQE33">
        <v>97.67</v>
      </c>
      <c r="AQF33">
        <v>97.734999999999999</v>
      </c>
      <c r="AQG33">
        <v>97.79</v>
      </c>
      <c r="AQH33">
        <v>97.75</v>
      </c>
      <c r="AQI33">
        <v>97.63</v>
      </c>
      <c r="AQJ33">
        <v>97.635000000000005</v>
      </c>
      <c r="AQK33">
        <v>97.724999999999994</v>
      </c>
      <c r="AQL33">
        <v>97.75</v>
      </c>
      <c r="AQM33">
        <v>97.74</v>
      </c>
      <c r="AQN33">
        <v>97.775000000000006</v>
      </c>
      <c r="AQO33">
        <v>97.82</v>
      </c>
      <c r="AQP33">
        <v>97.864999999999995</v>
      </c>
      <c r="AQQ33">
        <v>97.89</v>
      </c>
      <c r="AQR33">
        <v>98.01</v>
      </c>
      <c r="AQS33">
        <v>98.01</v>
      </c>
      <c r="AQT33">
        <v>98.12</v>
      </c>
      <c r="AQU33">
        <v>98.13</v>
      </c>
      <c r="AQV33">
        <v>98.114999999999995</v>
      </c>
      <c r="AQW33">
        <v>98.105000000000004</v>
      </c>
      <c r="AQX33">
        <v>98.125</v>
      </c>
      <c r="AQY33">
        <v>98.13</v>
      </c>
      <c r="AQZ33">
        <v>98.26</v>
      </c>
      <c r="ARA33">
        <v>98.275000000000006</v>
      </c>
      <c r="ARB33">
        <v>98.34</v>
      </c>
      <c r="ARC33">
        <v>98.34</v>
      </c>
      <c r="ARD33">
        <v>98.344999999999999</v>
      </c>
      <c r="ARE33">
        <v>98.334999999999994</v>
      </c>
      <c r="ARF33">
        <v>98.33</v>
      </c>
      <c r="ARG33">
        <v>98.334999999999994</v>
      </c>
      <c r="ARH33">
        <v>98.334999999999994</v>
      </c>
      <c r="ARI33">
        <v>98.33</v>
      </c>
      <c r="ARJ33">
        <v>98.344999999999999</v>
      </c>
      <c r="ARK33">
        <v>98.344999999999999</v>
      </c>
      <c r="ARL33">
        <v>98.334999999999994</v>
      </c>
      <c r="ARM33">
        <v>98.334999999999994</v>
      </c>
      <c r="ARN33">
        <v>98.375</v>
      </c>
      <c r="ARO33">
        <v>98.36</v>
      </c>
      <c r="ARP33">
        <v>98.334999999999994</v>
      </c>
      <c r="ARQ33">
        <v>98.34</v>
      </c>
      <c r="ARR33">
        <v>98.344999999999999</v>
      </c>
      <c r="ARS33">
        <v>98.385000000000005</v>
      </c>
      <c r="ART33">
        <v>98.594999999999999</v>
      </c>
      <c r="ARU33">
        <v>98.64</v>
      </c>
      <c r="ARV33">
        <v>98.65</v>
      </c>
      <c r="ARW33">
        <v>98.64</v>
      </c>
      <c r="ARX33">
        <v>98.64</v>
      </c>
      <c r="ARY33">
        <v>98.63</v>
      </c>
      <c r="ARZ33">
        <v>98.614999999999995</v>
      </c>
      <c r="ASA33">
        <v>98.61</v>
      </c>
      <c r="ASB33">
        <v>98.614999999999995</v>
      </c>
      <c r="ASC33">
        <v>98.614999999999995</v>
      </c>
      <c r="ASD33">
        <v>98.614999999999995</v>
      </c>
      <c r="ASE33">
        <v>98.62</v>
      </c>
      <c r="ASF33">
        <v>98.614999999999995</v>
      </c>
      <c r="ASG33">
        <v>98.614999999999995</v>
      </c>
      <c r="ASH33">
        <v>98.71</v>
      </c>
      <c r="ASI33">
        <v>98.72</v>
      </c>
      <c r="ASJ33">
        <v>98.745000000000005</v>
      </c>
      <c r="ASK33">
        <v>98.745000000000005</v>
      </c>
      <c r="ASL33">
        <v>98.745000000000005</v>
      </c>
      <c r="ASM33">
        <v>99.055000000000007</v>
      </c>
      <c r="ASN33">
        <v>99.435000000000002</v>
      </c>
      <c r="ASO33">
        <v>99.54</v>
      </c>
      <c r="ASP33">
        <v>99.54</v>
      </c>
      <c r="ASQ33">
        <v>99.55</v>
      </c>
      <c r="ASR33">
        <v>99.564999999999998</v>
      </c>
      <c r="ASS33">
        <v>99.57</v>
      </c>
      <c r="AST33">
        <v>99.575000000000003</v>
      </c>
      <c r="ASU33">
        <v>99.6</v>
      </c>
      <c r="ASV33">
        <v>99.605000000000004</v>
      </c>
      <c r="ASW33">
        <v>99.6</v>
      </c>
      <c r="ASX33">
        <v>99.6</v>
      </c>
      <c r="ASY33">
        <v>99.594999999999999</v>
      </c>
      <c r="ASZ33">
        <v>99.59</v>
      </c>
      <c r="ATA33">
        <v>99.605000000000004</v>
      </c>
      <c r="ATB33">
        <v>99.6</v>
      </c>
      <c r="ATC33">
        <v>99.6</v>
      </c>
      <c r="ATD33">
        <v>99.605000000000004</v>
      </c>
      <c r="ATE33">
        <v>99.594999999999999</v>
      </c>
      <c r="ATF33">
        <v>99.594999999999999</v>
      </c>
      <c r="ATG33">
        <v>99.59</v>
      </c>
      <c r="ATH33">
        <v>99.57</v>
      </c>
      <c r="ATI33">
        <v>99.57</v>
      </c>
      <c r="ATJ33">
        <v>99.605000000000004</v>
      </c>
      <c r="ATK33">
        <v>99.65</v>
      </c>
      <c r="ATL33">
        <v>99.655000000000001</v>
      </c>
      <c r="ATM33">
        <v>99.674999999999997</v>
      </c>
      <c r="ATN33">
        <v>99.644999999999996</v>
      </c>
      <c r="ATO33">
        <v>99.655000000000001</v>
      </c>
      <c r="ATP33">
        <v>99.65</v>
      </c>
      <c r="ATQ33">
        <v>99.655000000000001</v>
      </c>
      <c r="ATR33">
        <v>99.665000000000006</v>
      </c>
      <c r="ATS33">
        <v>99.665000000000006</v>
      </c>
      <c r="ATT33">
        <v>99.66</v>
      </c>
      <c r="ATU33">
        <v>99.65</v>
      </c>
      <c r="ATV33">
        <v>99.64</v>
      </c>
      <c r="ATW33">
        <v>99.665000000000006</v>
      </c>
      <c r="ATX33">
        <v>99.665000000000006</v>
      </c>
      <c r="ATY33">
        <v>99.674999999999997</v>
      </c>
      <c r="ATZ33">
        <v>99.685000000000002</v>
      </c>
      <c r="AUA33">
        <v>99.68</v>
      </c>
      <c r="AUB33">
        <v>99.685000000000002</v>
      </c>
      <c r="AUC33">
        <v>99.68</v>
      </c>
      <c r="AUD33">
        <v>99.665000000000006</v>
      </c>
      <c r="AUE33">
        <v>99.66</v>
      </c>
      <c r="AUF33">
        <v>99.674999999999997</v>
      </c>
      <c r="AUG33">
        <v>99.67</v>
      </c>
      <c r="AUH33">
        <v>99.694999999999993</v>
      </c>
      <c r="AUI33">
        <v>99.694999999999993</v>
      </c>
      <c r="AUJ33">
        <v>99.745000000000005</v>
      </c>
      <c r="AUK33">
        <v>99.745000000000005</v>
      </c>
      <c r="AUL33">
        <v>99.745000000000005</v>
      </c>
      <c r="AUM33">
        <v>99.75</v>
      </c>
      <c r="AUN33">
        <v>99.75</v>
      </c>
      <c r="AUO33">
        <v>99.76</v>
      </c>
      <c r="AUP33">
        <v>99.76</v>
      </c>
      <c r="AUQ33">
        <v>99.765000000000001</v>
      </c>
      <c r="AUR33">
        <v>99.765000000000001</v>
      </c>
      <c r="AUS33">
        <v>99.754999999999995</v>
      </c>
      <c r="AUT33">
        <v>99.734999999999999</v>
      </c>
      <c r="AUU33">
        <v>99.75</v>
      </c>
      <c r="AUV33">
        <v>99.745000000000005</v>
      </c>
      <c r="AUW33">
        <v>99.775000000000006</v>
      </c>
      <c r="AUX33">
        <v>99.78</v>
      </c>
      <c r="AUY33">
        <v>99.77</v>
      </c>
      <c r="AUZ33">
        <v>99.745000000000005</v>
      </c>
      <c r="AVA33">
        <v>99.74</v>
      </c>
      <c r="AVB33">
        <v>99.745000000000005</v>
      </c>
      <c r="AVC33">
        <v>99.734999999999999</v>
      </c>
      <c r="AVD33">
        <v>99.734999999999999</v>
      </c>
      <c r="AVE33">
        <v>99.765000000000001</v>
      </c>
      <c r="AVF33">
        <v>99.754999999999995</v>
      </c>
      <c r="AVG33">
        <v>99.765000000000001</v>
      </c>
      <c r="AVH33">
        <v>99.76</v>
      </c>
      <c r="AVI33">
        <v>99.754999999999995</v>
      </c>
      <c r="AVJ33">
        <v>99.734999999999999</v>
      </c>
      <c r="AVK33">
        <v>99.745000000000005</v>
      </c>
      <c r="AVL33">
        <v>99.75</v>
      </c>
      <c r="AVM33">
        <v>99.76</v>
      </c>
      <c r="AVN33">
        <v>99.754999999999995</v>
      </c>
      <c r="AVO33">
        <v>99.765000000000001</v>
      </c>
      <c r="AVP33">
        <v>99.765000000000001</v>
      </c>
      <c r="AVQ33">
        <v>99.754999999999995</v>
      </c>
      <c r="AVR33">
        <v>99.74</v>
      </c>
      <c r="AVS33">
        <v>99.73</v>
      </c>
      <c r="AVT33">
        <v>99.73</v>
      </c>
      <c r="AVU33">
        <v>99.734999999999999</v>
      </c>
      <c r="AVV33">
        <v>99.734999999999999</v>
      </c>
      <c r="AVW33">
        <v>99.77</v>
      </c>
      <c r="AVX33">
        <v>99.78</v>
      </c>
      <c r="AVY33">
        <v>99.8</v>
      </c>
      <c r="AVZ33">
        <v>99.805000000000007</v>
      </c>
      <c r="AWA33">
        <v>99.814999999999998</v>
      </c>
      <c r="AWB33">
        <v>99.805000000000007</v>
      </c>
      <c r="AWC33">
        <v>99.8</v>
      </c>
      <c r="AWD33">
        <v>99.795000000000002</v>
      </c>
      <c r="AWE33">
        <v>99.775000000000006</v>
      </c>
      <c r="AWF33">
        <v>99.765000000000001</v>
      </c>
      <c r="AWG33">
        <v>99.76</v>
      </c>
      <c r="AWH33">
        <v>99.77</v>
      </c>
      <c r="AWI33">
        <v>99.775000000000006</v>
      </c>
      <c r="AWJ33">
        <v>99.775000000000006</v>
      </c>
      <c r="AWK33">
        <v>99.77</v>
      </c>
      <c r="AWL33">
        <v>99.77</v>
      </c>
      <c r="AWM33">
        <v>99.765000000000001</v>
      </c>
      <c r="AWN33">
        <v>99.765000000000001</v>
      </c>
      <c r="AWO33">
        <v>99.76</v>
      </c>
      <c r="AWP33">
        <v>99.77</v>
      </c>
      <c r="AWQ33">
        <v>99.77</v>
      </c>
      <c r="AWR33">
        <v>99.784999999999997</v>
      </c>
      <c r="AWS33">
        <v>99.8</v>
      </c>
      <c r="AWT33">
        <v>99.784999999999997</v>
      </c>
      <c r="AWU33">
        <v>99.78</v>
      </c>
      <c r="AWV33">
        <v>99.775000000000006</v>
      </c>
      <c r="AWW33">
        <v>99.775000000000006</v>
      </c>
      <c r="AWX33">
        <v>99.775000000000006</v>
      </c>
      <c r="AWY33">
        <v>99.765000000000001</v>
      </c>
      <c r="AWZ33">
        <v>99.784999999999997</v>
      </c>
      <c r="AXA33">
        <v>99.784999999999997</v>
      </c>
      <c r="AXB33">
        <v>99.775000000000006</v>
      </c>
      <c r="AXC33">
        <v>99.754999999999995</v>
      </c>
      <c r="AXD33">
        <v>99.754999999999995</v>
      </c>
      <c r="AXE33">
        <v>99.754999999999995</v>
      </c>
      <c r="AXF33">
        <v>99.75</v>
      </c>
      <c r="AXG33">
        <v>99.74</v>
      </c>
      <c r="AXH33">
        <v>99.72</v>
      </c>
      <c r="AXI33">
        <v>99.715000000000003</v>
      </c>
      <c r="AXJ33">
        <v>99.704999999999998</v>
      </c>
      <c r="AXK33">
        <v>99.72</v>
      </c>
      <c r="AXL33">
        <v>99.71</v>
      </c>
      <c r="AXM33">
        <v>99.72</v>
      </c>
      <c r="AXN33">
        <v>99.694999999999993</v>
      </c>
      <c r="AXO33">
        <v>99.644999999999996</v>
      </c>
      <c r="AXP33">
        <v>99.61</v>
      </c>
      <c r="AXQ33">
        <v>99.605000000000004</v>
      </c>
      <c r="AXR33">
        <v>99.67</v>
      </c>
      <c r="AXS33">
        <v>99.685000000000002</v>
      </c>
      <c r="AXT33">
        <v>99.72</v>
      </c>
      <c r="AXU33">
        <v>99.724999999999994</v>
      </c>
      <c r="AXV33">
        <v>99.715000000000003</v>
      </c>
      <c r="AXW33">
        <v>99.694999999999993</v>
      </c>
      <c r="AXX33">
        <v>99.7</v>
      </c>
      <c r="AXY33">
        <v>99.704999999999998</v>
      </c>
      <c r="AXZ33">
        <v>99.71</v>
      </c>
      <c r="AYA33">
        <v>99.71</v>
      </c>
      <c r="AYB33">
        <v>99.704999999999998</v>
      </c>
      <c r="AYC33">
        <v>99.704999999999998</v>
      </c>
      <c r="AYD33">
        <v>99.71</v>
      </c>
      <c r="AYE33">
        <v>99.71</v>
      </c>
      <c r="AYF33">
        <v>99.754999999999995</v>
      </c>
      <c r="AYG33">
        <v>99.73</v>
      </c>
      <c r="AYH33">
        <v>99.72</v>
      </c>
      <c r="AYI33">
        <v>99.7</v>
      </c>
      <c r="AYJ33">
        <v>99.7</v>
      </c>
      <c r="AYK33">
        <v>99.72</v>
      </c>
      <c r="AYL33">
        <v>99.73</v>
      </c>
      <c r="AYM33">
        <v>99.674999999999997</v>
      </c>
      <c r="AYN33">
        <v>99.66</v>
      </c>
      <c r="AYO33">
        <v>99.665000000000006</v>
      </c>
      <c r="AYP33">
        <v>99.65</v>
      </c>
      <c r="AYQ33">
        <v>99.655000000000001</v>
      </c>
      <c r="AYR33">
        <v>99.644999999999996</v>
      </c>
      <c r="AYS33">
        <v>99.63</v>
      </c>
      <c r="AYT33">
        <v>99.625</v>
      </c>
      <c r="AYU33">
        <v>99.635000000000005</v>
      </c>
      <c r="AYV33">
        <v>99.635000000000005</v>
      </c>
      <c r="AYW33">
        <v>99.63</v>
      </c>
      <c r="AYX33">
        <v>99.64</v>
      </c>
      <c r="AYY33">
        <v>99.62</v>
      </c>
      <c r="AYZ33">
        <v>99.61</v>
      </c>
      <c r="AZA33">
        <v>99.594999999999999</v>
      </c>
      <c r="AZB33">
        <v>99.584999999999994</v>
      </c>
      <c r="AZC33">
        <v>99.555000000000007</v>
      </c>
      <c r="AZD33">
        <v>99.54</v>
      </c>
      <c r="AZE33">
        <v>99.55</v>
      </c>
      <c r="AZF33">
        <v>99.55</v>
      </c>
      <c r="AZG33">
        <v>99.53</v>
      </c>
      <c r="AZH33">
        <v>99.515000000000001</v>
      </c>
      <c r="AZI33">
        <v>99.56</v>
      </c>
      <c r="AZJ33">
        <v>99.62</v>
      </c>
      <c r="AZK33">
        <v>99.614999999999995</v>
      </c>
      <c r="AZL33">
        <v>99.63</v>
      </c>
      <c r="AZM33">
        <v>99.605000000000004</v>
      </c>
      <c r="AZN33">
        <v>99.635000000000005</v>
      </c>
      <c r="AZO33">
        <v>99.59</v>
      </c>
      <c r="AZP33">
        <v>99.57</v>
      </c>
      <c r="AZQ33">
        <v>99.54</v>
      </c>
      <c r="AZR33">
        <v>99.534999999999997</v>
      </c>
      <c r="AZS33">
        <v>99.594999999999999</v>
      </c>
      <c r="AZT33">
        <v>99.515000000000001</v>
      </c>
      <c r="AZU33">
        <v>99.454999999999998</v>
      </c>
      <c r="AZV33">
        <v>99.35</v>
      </c>
      <c r="AZW33">
        <v>99.465000000000003</v>
      </c>
      <c r="AZX33">
        <v>99.515000000000001</v>
      </c>
      <c r="AZY33">
        <v>99.44</v>
      </c>
      <c r="AZZ33">
        <v>99.48</v>
      </c>
      <c r="BAA33">
        <v>99.41</v>
      </c>
      <c r="BAB33">
        <v>99.4</v>
      </c>
      <c r="BAC33">
        <v>99.52</v>
      </c>
      <c r="BAD33">
        <v>99.444999999999993</v>
      </c>
      <c r="BAE33">
        <v>99.36</v>
      </c>
      <c r="BAF33">
        <v>99.31</v>
      </c>
      <c r="BAG33">
        <v>99.25</v>
      </c>
      <c r="BAH33">
        <v>99.18</v>
      </c>
      <c r="BAI33">
        <v>99.18</v>
      </c>
      <c r="BAJ33">
        <v>98.98</v>
      </c>
      <c r="BAK33">
        <v>98.924999999999997</v>
      </c>
      <c r="BAL33">
        <v>98.935000000000002</v>
      </c>
      <c r="BAM33">
        <v>98.88</v>
      </c>
      <c r="BAN33">
        <v>98.77</v>
      </c>
      <c r="BAO33">
        <v>98.704999999999998</v>
      </c>
      <c r="BAP33">
        <v>98.66</v>
      </c>
      <c r="BAQ33">
        <v>98.685000000000002</v>
      </c>
      <c r="BAR33">
        <v>98.655000000000001</v>
      </c>
      <c r="BAS33">
        <v>98.655000000000001</v>
      </c>
      <c r="BAT33">
        <v>98.62</v>
      </c>
      <c r="BAU33">
        <v>98.62</v>
      </c>
      <c r="BAV33">
        <v>98.66</v>
      </c>
      <c r="BAW33">
        <v>98.69</v>
      </c>
      <c r="BAX33">
        <v>98.655000000000001</v>
      </c>
      <c r="BAY33">
        <v>98.6</v>
      </c>
      <c r="BAZ33">
        <v>98.62</v>
      </c>
      <c r="BBA33">
        <v>98.66</v>
      </c>
      <c r="BBB33">
        <v>98.745000000000005</v>
      </c>
      <c r="BBC33">
        <v>98.76</v>
      </c>
      <c r="BBD33">
        <v>98.704999999999998</v>
      </c>
      <c r="BBE33">
        <v>98.66</v>
      </c>
      <c r="BBF33">
        <v>98.61</v>
      </c>
      <c r="BBG33">
        <v>98.644999999999996</v>
      </c>
      <c r="BBH33">
        <v>98.56</v>
      </c>
      <c r="BBI33">
        <v>98.504999999999995</v>
      </c>
      <c r="BBJ33">
        <v>98.484999999999999</v>
      </c>
      <c r="BBK33">
        <v>98.47</v>
      </c>
      <c r="BBL33">
        <v>98.415000000000006</v>
      </c>
      <c r="BBM33">
        <v>98.415000000000006</v>
      </c>
      <c r="BBN33">
        <v>98.43</v>
      </c>
      <c r="BBO33">
        <v>98.44</v>
      </c>
      <c r="BBP33">
        <v>98.43</v>
      </c>
      <c r="BBQ33">
        <v>98.415000000000006</v>
      </c>
      <c r="BBR33">
        <v>98.42</v>
      </c>
      <c r="BBS33">
        <v>98.405000000000001</v>
      </c>
      <c r="BBT33">
        <v>98.4</v>
      </c>
      <c r="BBU33">
        <v>98.444999999999993</v>
      </c>
      <c r="BBV33">
        <v>98.454999999999998</v>
      </c>
      <c r="BBW33">
        <v>98.46</v>
      </c>
      <c r="BBX33">
        <v>98.37</v>
      </c>
      <c r="BBY33">
        <v>98.36</v>
      </c>
      <c r="BBZ33">
        <v>98.36</v>
      </c>
      <c r="BCA33">
        <v>98.364999999999995</v>
      </c>
      <c r="BCB33">
        <v>98.364999999999995</v>
      </c>
      <c r="BCC33">
        <v>98.325000000000003</v>
      </c>
      <c r="BCD33">
        <v>98.325000000000003</v>
      </c>
      <c r="BCE33">
        <v>98.325000000000003</v>
      </c>
      <c r="BCF33">
        <v>98.305000000000007</v>
      </c>
      <c r="BCG33">
        <v>98.344999999999999</v>
      </c>
      <c r="BCH33">
        <v>98.36</v>
      </c>
      <c r="BCI33">
        <v>98.34</v>
      </c>
      <c r="BCJ33">
        <v>98.37</v>
      </c>
      <c r="BCK33">
        <v>98.38</v>
      </c>
      <c r="BCL33">
        <v>98.454999999999998</v>
      </c>
      <c r="BCM33">
        <v>98.375</v>
      </c>
      <c r="BCN33">
        <v>98.46</v>
      </c>
      <c r="BCO33">
        <v>98.42</v>
      </c>
      <c r="BCP33">
        <v>98.435000000000002</v>
      </c>
      <c r="BCQ33">
        <v>98.444999999999993</v>
      </c>
      <c r="BCR33">
        <v>98.504999999999995</v>
      </c>
      <c r="BCS33">
        <v>98.52</v>
      </c>
      <c r="BCT33">
        <v>98.594999999999999</v>
      </c>
      <c r="BCU33">
        <v>98.474999999999994</v>
      </c>
      <c r="BCV33">
        <v>98.51</v>
      </c>
      <c r="BCW33">
        <v>98.5</v>
      </c>
      <c r="BCX33">
        <v>98.5</v>
      </c>
      <c r="BCY33">
        <v>98.54</v>
      </c>
      <c r="BCZ33">
        <v>98.53</v>
      </c>
      <c r="BDA33">
        <v>98.515000000000001</v>
      </c>
      <c r="BDB33">
        <v>98.534999999999997</v>
      </c>
      <c r="BDC33">
        <v>98.564999999999998</v>
      </c>
      <c r="BDD33">
        <v>98.53</v>
      </c>
      <c r="BDE33">
        <v>98.504999999999995</v>
      </c>
      <c r="BDF33">
        <v>98.48</v>
      </c>
      <c r="BDG33">
        <v>98.49</v>
      </c>
      <c r="BDH33">
        <v>98.44</v>
      </c>
      <c r="BDI33">
        <v>98.39</v>
      </c>
      <c r="BDJ33">
        <v>98.36</v>
      </c>
      <c r="BDK33">
        <v>98.37</v>
      </c>
      <c r="BDL33">
        <v>98.355000000000004</v>
      </c>
      <c r="BDM33">
        <v>98.465000000000003</v>
      </c>
      <c r="BDN33">
        <v>98.44</v>
      </c>
      <c r="BDO33">
        <v>98.5</v>
      </c>
      <c r="BDP33">
        <v>98.55</v>
      </c>
      <c r="BDQ33">
        <v>98.62</v>
      </c>
      <c r="BDR33">
        <v>98.495000000000005</v>
      </c>
      <c r="BDS33">
        <v>98.474999999999994</v>
      </c>
      <c r="BDT33">
        <v>98.48</v>
      </c>
      <c r="BDU33">
        <v>98.51</v>
      </c>
      <c r="BDV33">
        <v>98.555000000000007</v>
      </c>
      <c r="BDW33">
        <v>98.564999999999998</v>
      </c>
      <c r="BDX33">
        <v>98.545000000000002</v>
      </c>
      <c r="BDY33">
        <v>98.52</v>
      </c>
      <c r="BDZ33">
        <v>98.56</v>
      </c>
      <c r="BEA33">
        <v>98.534999999999997</v>
      </c>
      <c r="BEB33">
        <v>98.56</v>
      </c>
      <c r="BEC33">
        <v>98.52</v>
      </c>
      <c r="BED33">
        <v>98.575000000000003</v>
      </c>
      <c r="BEE33">
        <v>98.555000000000007</v>
      </c>
      <c r="BEF33">
        <v>98.685000000000002</v>
      </c>
      <c r="BEG33">
        <v>98.75</v>
      </c>
      <c r="BEH33">
        <v>98.805000000000007</v>
      </c>
      <c r="BEI33">
        <v>98.795000000000002</v>
      </c>
      <c r="BEJ33">
        <v>98.864999999999995</v>
      </c>
      <c r="BEK33">
        <v>98.875</v>
      </c>
      <c r="BEL33">
        <v>98.775000000000006</v>
      </c>
      <c r="BEM33">
        <v>98.7</v>
      </c>
      <c r="BEN33">
        <v>98.63</v>
      </c>
      <c r="BEO33">
        <v>98.64</v>
      </c>
      <c r="BEP33" t="s">
        <v>6984</v>
      </c>
      <c r="BEQ33" t="s">
        <v>6984</v>
      </c>
      <c r="BER33" t="s">
        <v>6984</v>
      </c>
      <c r="BES33" t="s">
        <v>6984</v>
      </c>
      <c r="BET33" t="s">
        <v>6984</v>
      </c>
      <c r="BEU33" t="s">
        <v>6984</v>
      </c>
      <c r="BEV33" t="s">
        <v>6984</v>
      </c>
      <c r="BEW33" t="s">
        <v>6984</v>
      </c>
      <c r="BEX33" t="s">
        <v>6984</v>
      </c>
      <c r="BEY33" t="s">
        <v>6984</v>
      </c>
      <c r="BEZ33" t="s">
        <v>6984</v>
      </c>
      <c r="BFA33" t="s">
        <v>6984</v>
      </c>
      <c r="BFB33" t="s">
        <v>6984</v>
      </c>
      <c r="BFC33" t="s">
        <v>6984</v>
      </c>
      <c r="BFD33" t="s">
        <v>6984</v>
      </c>
      <c r="BFE33" t="s">
        <v>6984</v>
      </c>
      <c r="BFF33" t="s">
        <v>6984</v>
      </c>
      <c r="BFG33" t="s">
        <v>6984</v>
      </c>
      <c r="BFH33" t="s">
        <v>6984</v>
      </c>
      <c r="BFI33" t="s">
        <v>6984</v>
      </c>
      <c r="BFJ33" t="s">
        <v>6984</v>
      </c>
      <c r="BFK33" t="s">
        <v>6984</v>
      </c>
      <c r="BFL33" t="s">
        <v>6984</v>
      </c>
      <c r="BFM33" t="s">
        <v>6984</v>
      </c>
      <c r="BFN33" t="s">
        <v>6984</v>
      </c>
      <c r="BFO33" t="s">
        <v>6984</v>
      </c>
      <c r="BFP33" t="s">
        <v>6984</v>
      </c>
      <c r="BFQ33" t="s">
        <v>6984</v>
      </c>
      <c r="BFR33" t="s">
        <v>6984</v>
      </c>
      <c r="BFS33" t="s">
        <v>6984</v>
      </c>
      <c r="BFT33" t="s">
        <v>6984</v>
      </c>
      <c r="BFU33" t="s">
        <v>6984</v>
      </c>
      <c r="BFV33" t="s">
        <v>6984</v>
      </c>
      <c r="BFW33" t="s">
        <v>6984</v>
      </c>
      <c r="BFX33" t="s">
        <v>6984</v>
      </c>
      <c r="BFY33" t="s">
        <v>6984</v>
      </c>
      <c r="BFZ33" t="s">
        <v>6984</v>
      </c>
      <c r="BGA33" t="s">
        <v>6984</v>
      </c>
      <c r="BGB33" t="s">
        <v>6984</v>
      </c>
      <c r="BGC33" t="s">
        <v>6984</v>
      </c>
      <c r="BGD33" t="s">
        <v>6984</v>
      </c>
      <c r="BGE33" t="s">
        <v>6984</v>
      </c>
      <c r="BGF33" t="s">
        <v>6984</v>
      </c>
      <c r="BGG33" t="s">
        <v>6984</v>
      </c>
      <c r="BGH33" t="s">
        <v>6984</v>
      </c>
      <c r="BGI33" t="s">
        <v>6984</v>
      </c>
      <c r="BGJ33" t="s">
        <v>6984</v>
      </c>
      <c r="BGK33" t="s">
        <v>6984</v>
      </c>
      <c r="BGL33" t="s">
        <v>6984</v>
      </c>
      <c r="BGM33" t="s">
        <v>6984</v>
      </c>
      <c r="BGN33" t="s">
        <v>6984</v>
      </c>
      <c r="BGO33" t="s">
        <v>6984</v>
      </c>
      <c r="BGP33" t="s">
        <v>6984</v>
      </c>
      <c r="BGQ33" t="s">
        <v>6984</v>
      </c>
      <c r="BGR33" t="s">
        <v>6984</v>
      </c>
      <c r="BGS33" t="s">
        <v>6984</v>
      </c>
      <c r="BGT33" t="s">
        <v>6984</v>
      </c>
      <c r="BGU33" t="s">
        <v>6984</v>
      </c>
      <c r="BGV33" t="s">
        <v>6984</v>
      </c>
      <c r="BGW33" t="s">
        <v>6984</v>
      </c>
      <c r="BGX33" t="s">
        <v>6984</v>
      </c>
      <c r="BGY33" t="s">
        <v>6984</v>
      </c>
      <c r="BGZ33" t="s">
        <v>6984</v>
      </c>
      <c r="BHA33" t="s">
        <v>6984</v>
      </c>
      <c r="BHB33" t="s">
        <v>6984</v>
      </c>
      <c r="BHC33" t="s">
        <v>6984</v>
      </c>
      <c r="BHD33" t="s">
        <v>6984</v>
      </c>
      <c r="BHE33" t="s">
        <v>6984</v>
      </c>
      <c r="BHF33" t="s">
        <v>6984</v>
      </c>
      <c r="BHG33" t="s">
        <v>6984</v>
      </c>
      <c r="BHH33" t="s">
        <v>6984</v>
      </c>
      <c r="BHI33" t="s">
        <v>6984</v>
      </c>
      <c r="BHJ33" t="s">
        <v>6984</v>
      </c>
      <c r="BHK33" t="s">
        <v>6984</v>
      </c>
      <c r="BHL33" t="s">
        <v>6984</v>
      </c>
      <c r="BHM33" t="s">
        <v>6984</v>
      </c>
      <c r="BHN33" t="s">
        <v>6984</v>
      </c>
      <c r="BHO33" t="s">
        <v>6984</v>
      </c>
      <c r="BHP33" t="s">
        <v>6984</v>
      </c>
      <c r="BHQ33" t="s">
        <v>6984</v>
      </c>
      <c r="BHR33" t="s">
        <v>6984</v>
      </c>
      <c r="BHS33" t="s">
        <v>6984</v>
      </c>
      <c r="BHT33" t="s">
        <v>6984</v>
      </c>
      <c r="BHU33" t="s">
        <v>6984</v>
      </c>
      <c r="BHV33" t="s">
        <v>6984</v>
      </c>
      <c r="BHW33" t="s">
        <v>6984</v>
      </c>
      <c r="BHX33" t="s">
        <v>6984</v>
      </c>
      <c r="BHY33" t="s">
        <v>6984</v>
      </c>
      <c r="BHZ33" t="s">
        <v>6984</v>
      </c>
      <c r="BIA33" t="s">
        <v>6984</v>
      </c>
      <c r="BIB33" t="s">
        <v>6984</v>
      </c>
      <c r="BIC33" t="s">
        <v>6984</v>
      </c>
      <c r="BID33" t="s">
        <v>6984</v>
      </c>
      <c r="BIE33" t="s">
        <v>6984</v>
      </c>
      <c r="BIF33" t="s">
        <v>6984</v>
      </c>
      <c r="BIG33" t="s">
        <v>6984</v>
      </c>
      <c r="BIH33" t="s">
        <v>6984</v>
      </c>
      <c r="BII33" t="s">
        <v>6984</v>
      </c>
      <c r="BIJ33" t="s">
        <v>6984</v>
      </c>
      <c r="BIK33" t="s">
        <v>6984</v>
      </c>
      <c r="BIL33" t="s">
        <v>6984</v>
      </c>
      <c r="BIM33" t="s">
        <v>6984</v>
      </c>
      <c r="BIN33" t="s">
        <v>6984</v>
      </c>
      <c r="BIO33" t="s">
        <v>6984</v>
      </c>
      <c r="BIP33" t="s">
        <v>6984</v>
      </c>
      <c r="BIQ33" t="s">
        <v>6984</v>
      </c>
      <c r="BIR33" t="s">
        <v>6984</v>
      </c>
      <c r="BIS33" t="s">
        <v>6984</v>
      </c>
      <c r="BIT33" t="s">
        <v>6984</v>
      </c>
      <c r="BIU33" t="s">
        <v>6984</v>
      </c>
      <c r="BIV33" t="s">
        <v>6984</v>
      </c>
      <c r="BIW33" t="s">
        <v>6984</v>
      </c>
      <c r="BIX33" t="s">
        <v>6984</v>
      </c>
      <c r="BIY33" t="s">
        <v>6984</v>
      </c>
      <c r="BIZ33" t="s">
        <v>6984</v>
      </c>
      <c r="BJA33" t="s">
        <v>6984</v>
      </c>
      <c r="BJB33" t="s">
        <v>6984</v>
      </c>
      <c r="BJC33" t="s">
        <v>6984</v>
      </c>
      <c r="BJD33" t="s">
        <v>6984</v>
      </c>
      <c r="BJE33" t="s">
        <v>6984</v>
      </c>
      <c r="BJF33" t="s">
        <v>6984</v>
      </c>
      <c r="BJG33" t="s">
        <v>6984</v>
      </c>
      <c r="BJH33" t="s">
        <v>6984</v>
      </c>
      <c r="BJI33" t="s">
        <v>6984</v>
      </c>
      <c r="BJJ33" t="s">
        <v>6984</v>
      </c>
      <c r="BJK33" t="s">
        <v>6984</v>
      </c>
      <c r="BJL33" t="s">
        <v>6984</v>
      </c>
      <c r="BJM33" t="s">
        <v>6984</v>
      </c>
      <c r="BJN33" t="s">
        <v>6984</v>
      </c>
      <c r="BJO33" t="s">
        <v>6984</v>
      </c>
      <c r="BJP33" t="s">
        <v>6984</v>
      </c>
      <c r="BJQ33" t="s">
        <v>6984</v>
      </c>
      <c r="BJR33" t="s">
        <v>6984</v>
      </c>
      <c r="BJS33" t="s">
        <v>6984</v>
      </c>
      <c r="BJT33" t="s">
        <v>6984</v>
      </c>
      <c r="BJU33" t="s">
        <v>6984</v>
      </c>
      <c r="BJV33" t="s">
        <v>6984</v>
      </c>
      <c r="BJW33" t="s">
        <v>6984</v>
      </c>
      <c r="BJX33" t="s">
        <v>6984</v>
      </c>
      <c r="BJY33" t="s">
        <v>6984</v>
      </c>
      <c r="BJZ33" t="s">
        <v>6984</v>
      </c>
      <c r="BKA33" t="s">
        <v>6984</v>
      </c>
      <c r="BKB33" t="s">
        <v>6984</v>
      </c>
      <c r="BKC33" t="s">
        <v>6984</v>
      </c>
      <c r="BKD33" t="s">
        <v>6984</v>
      </c>
      <c r="BKE33" t="s">
        <v>6984</v>
      </c>
      <c r="BKF33" t="s">
        <v>6984</v>
      </c>
      <c r="BKG33" t="s">
        <v>6984</v>
      </c>
      <c r="BKH33" t="s">
        <v>6984</v>
      </c>
      <c r="BKI33" t="s">
        <v>6984</v>
      </c>
      <c r="BKJ33" t="s">
        <v>6984</v>
      </c>
      <c r="BKK33" t="s">
        <v>6984</v>
      </c>
      <c r="BKL33" t="s">
        <v>6984</v>
      </c>
      <c r="BKM33" t="s">
        <v>6984</v>
      </c>
      <c r="BKN33" t="s">
        <v>6984</v>
      </c>
      <c r="BKO33" t="s">
        <v>6984</v>
      </c>
      <c r="BKP33" t="s">
        <v>6984</v>
      </c>
      <c r="BKQ33" t="s">
        <v>6984</v>
      </c>
      <c r="BKR33" t="s">
        <v>6984</v>
      </c>
      <c r="BKS33" t="s">
        <v>6984</v>
      </c>
      <c r="BKT33" t="s">
        <v>6984</v>
      </c>
      <c r="BKU33" t="s">
        <v>6984</v>
      </c>
      <c r="BKV33" t="s">
        <v>6984</v>
      </c>
      <c r="BKW33" t="s">
        <v>6984</v>
      </c>
      <c r="BKX33" t="s">
        <v>6984</v>
      </c>
      <c r="BKY33" t="s">
        <v>6984</v>
      </c>
      <c r="BKZ33" t="s">
        <v>6984</v>
      </c>
      <c r="BLA33" t="s">
        <v>6984</v>
      </c>
      <c r="BLB33" t="s">
        <v>6984</v>
      </c>
      <c r="BLC33" t="s">
        <v>6984</v>
      </c>
      <c r="BLD33" t="s">
        <v>6984</v>
      </c>
      <c r="BLE33" t="s">
        <v>6984</v>
      </c>
      <c r="BLF33" t="s">
        <v>6984</v>
      </c>
      <c r="BLG33" t="s">
        <v>6984</v>
      </c>
      <c r="BLH33" t="s">
        <v>6984</v>
      </c>
      <c r="BLI33" t="s">
        <v>6984</v>
      </c>
      <c r="BLJ33" t="s">
        <v>6984</v>
      </c>
      <c r="BLK33" t="s">
        <v>6984</v>
      </c>
      <c r="BLL33" t="s">
        <v>6984</v>
      </c>
      <c r="BLM33" t="s">
        <v>6984</v>
      </c>
      <c r="BLN33" t="s">
        <v>6984</v>
      </c>
      <c r="BLO33" t="s">
        <v>6984</v>
      </c>
      <c r="BLP33" t="s">
        <v>6984</v>
      </c>
      <c r="BLQ33" t="s">
        <v>6984</v>
      </c>
      <c r="BLR33" t="s">
        <v>6984</v>
      </c>
      <c r="BLS33" t="s">
        <v>6984</v>
      </c>
      <c r="BLT33" t="s">
        <v>6984</v>
      </c>
      <c r="BLU33" t="s">
        <v>6984</v>
      </c>
      <c r="BLV33" t="s">
        <v>6984</v>
      </c>
      <c r="BLW33" t="s">
        <v>6984</v>
      </c>
      <c r="BLX33" t="s">
        <v>6984</v>
      </c>
      <c r="BLY33" t="s">
        <v>6984</v>
      </c>
      <c r="BLZ33" t="s">
        <v>6984</v>
      </c>
      <c r="BMA33" t="s">
        <v>6984</v>
      </c>
      <c r="BMB33" t="s">
        <v>6984</v>
      </c>
      <c r="BMC33" t="s">
        <v>6984</v>
      </c>
      <c r="BMD33" t="s">
        <v>6984</v>
      </c>
      <c r="BME33" t="s">
        <v>6984</v>
      </c>
      <c r="BMF33" t="s">
        <v>6984</v>
      </c>
      <c r="BMG33" t="s">
        <v>6984</v>
      </c>
      <c r="BMH33" t="s">
        <v>6984</v>
      </c>
      <c r="BMI33" t="s">
        <v>6984</v>
      </c>
      <c r="BMJ33" t="s">
        <v>6984</v>
      </c>
      <c r="BMK33" t="s">
        <v>6984</v>
      </c>
      <c r="BML33" t="s">
        <v>6984</v>
      </c>
      <c r="BMM33" t="s">
        <v>6984</v>
      </c>
      <c r="BMN33" t="s">
        <v>6984</v>
      </c>
      <c r="BMO33" t="s">
        <v>6984</v>
      </c>
      <c r="BMP33" t="s">
        <v>6984</v>
      </c>
      <c r="BMQ33" t="s">
        <v>6984</v>
      </c>
      <c r="BMR33" t="s">
        <v>6984</v>
      </c>
      <c r="BMS33" t="s">
        <v>6984</v>
      </c>
      <c r="BMT33" t="s">
        <v>6984</v>
      </c>
      <c r="BMU33" t="s">
        <v>6984</v>
      </c>
      <c r="BMV33" t="s">
        <v>6984</v>
      </c>
      <c r="BMW33" t="s">
        <v>6984</v>
      </c>
      <c r="BMX33" t="s">
        <v>6984</v>
      </c>
      <c r="BMY33" t="s">
        <v>6984</v>
      </c>
      <c r="BMZ33" t="s">
        <v>6984</v>
      </c>
      <c r="BNA33" t="s">
        <v>6984</v>
      </c>
      <c r="BNB33" t="s">
        <v>6984</v>
      </c>
      <c r="BNC33" t="s">
        <v>6984</v>
      </c>
      <c r="BND33" t="s">
        <v>6984</v>
      </c>
      <c r="BNE33" t="s">
        <v>6984</v>
      </c>
      <c r="BNF33" t="s">
        <v>6984</v>
      </c>
      <c r="BNG33" t="s">
        <v>6984</v>
      </c>
      <c r="BNH33" t="s">
        <v>6984</v>
      </c>
      <c r="BNI33" t="s">
        <v>6984</v>
      </c>
      <c r="BNJ33" t="s">
        <v>6984</v>
      </c>
      <c r="BNK33" t="s">
        <v>6984</v>
      </c>
      <c r="BNL33" t="s">
        <v>6984</v>
      </c>
      <c r="BNM33" t="s">
        <v>6984</v>
      </c>
      <c r="BNN33" t="s">
        <v>6984</v>
      </c>
      <c r="BNO33" t="s">
        <v>6984</v>
      </c>
      <c r="BNP33" t="s">
        <v>6984</v>
      </c>
      <c r="BNQ33" t="s">
        <v>6984</v>
      </c>
      <c r="BNR33" t="s">
        <v>6984</v>
      </c>
      <c r="BNS33" t="s">
        <v>6984</v>
      </c>
      <c r="BNT33" t="s">
        <v>6984</v>
      </c>
      <c r="BNU33" t="s">
        <v>6984</v>
      </c>
      <c r="BNV33" t="s">
        <v>6984</v>
      </c>
      <c r="BNW33" t="s">
        <v>6984</v>
      </c>
      <c r="BNX33" t="s">
        <v>6984</v>
      </c>
      <c r="BNY33" t="s">
        <v>6984</v>
      </c>
      <c r="BNZ33" t="s">
        <v>6984</v>
      </c>
      <c r="BOA33" t="s">
        <v>6984</v>
      </c>
      <c r="BOB33" t="s">
        <v>6984</v>
      </c>
      <c r="BOC33" t="s">
        <v>6984</v>
      </c>
      <c r="BOD33" t="s">
        <v>6984</v>
      </c>
      <c r="BOE33" t="s">
        <v>6984</v>
      </c>
      <c r="BOF33" t="s">
        <v>6984</v>
      </c>
      <c r="BOG33" t="s">
        <v>6984</v>
      </c>
      <c r="BOH33" t="s">
        <v>6984</v>
      </c>
      <c r="BOI33" t="s">
        <v>6984</v>
      </c>
      <c r="BOJ33" t="s">
        <v>6984</v>
      </c>
      <c r="BOK33" t="s">
        <v>6984</v>
      </c>
      <c r="BOL33" t="s">
        <v>6984</v>
      </c>
      <c r="BOM33" t="s">
        <v>6984</v>
      </c>
      <c r="BON33" t="s">
        <v>6984</v>
      </c>
      <c r="BOO33" t="s">
        <v>6984</v>
      </c>
      <c r="BOP33" t="s">
        <v>6984</v>
      </c>
      <c r="BOQ33" t="s">
        <v>6984</v>
      </c>
      <c r="BOR33" t="s">
        <v>6984</v>
      </c>
      <c r="BOS33" t="s">
        <v>6984</v>
      </c>
      <c r="BOT33" t="s">
        <v>6984</v>
      </c>
      <c r="BOU33" t="s">
        <v>6984</v>
      </c>
      <c r="BOV33" t="s">
        <v>6984</v>
      </c>
      <c r="BOW33" t="s">
        <v>6984</v>
      </c>
      <c r="BOX33" t="s">
        <v>6984</v>
      </c>
      <c r="BOY33" t="s">
        <v>6984</v>
      </c>
      <c r="BOZ33" t="s">
        <v>6984</v>
      </c>
      <c r="BPA33" t="s">
        <v>6984</v>
      </c>
      <c r="BPB33" t="s">
        <v>6984</v>
      </c>
      <c r="BPC33" t="s">
        <v>6984</v>
      </c>
      <c r="BPD33" t="s">
        <v>6984</v>
      </c>
      <c r="BPE33" t="s">
        <v>6984</v>
      </c>
      <c r="BPF33" t="s">
        <v>6984</v>
      </c>
      <c r="BPG33" t="s">
        <v>6984</v>
      </c>
      <c r="BPH33" t="s">
        <v>6984</v>
      </c>
      <c r="BPI33" t="s">
        <v>6984</v>
      </c>
      <c r="BPJ33" t="s">
        <v>6984</v>
      </c>
      <c r="BPK33" t="s">
        <v>6984</v>
      </c>
      <c r="BPL33" t="s">
        <v>6984</v>
      </c>
      <c r="BPM33" t="s">
        <v>6984</v>
      </c>
      <c r="BPN33" t="s">
        <v>6984</v>
      </c>
      <c r="BPO33" t="s">
        <v>6984</v>
      </c>
      <c r="BPP33" t="s">
        <v>6984</v>
      </c>
      <c r="BPQ33" t="s">
        <v>6984</v>
      </c>
      <c r="BPR33" t="s">
        <v>6984</v>
      </c>
      <c r="BPS33" t="s">
        <v>6984</v>
      </c>
      <c r="BPT33" t="s">
        <v>6984</v>
      </c>
      <c r="BPU33" t="s">
        <v>6984</v>
      </c>
      <c r="BPV33" t="s">
        <v>6984</v>
      </c>
      <c r="BPW33" t="s">
        <v>6984</v>
      </c>
      <c r="BPX33" t="s">
        <v>6984</v>
      </c>
      <c r="BPY33" t="s">
        <v>6984</v>
      </c>
      <c r="BPZ33" t="s">
        <v>6984</v>
      </c>
      <c r="BQA33" t="s">
        <v>6984</v>
      </c>
      <c r="BQB33" t="s">
        <v>6984</v>
      </c>
      <c r="BQC33" t="s">
        <v>6984</v>
      </c>
      <c r="BQD33" t="s">
        <v>6984</v>
      </c>
      <c r="BQE33" t="s">
        <v>6984</v>
      </c>
      <c r="BQF33" t="s">
        <v>6984</v>
      </c>
      <c r="BQG33" t="s">
        <v>6984</v>
      </c>
      <c r="BQH33" t="s">
        <v>6984</v>
      </c>
      <c r="BQI33" t="s">
        <v>6984</v>
      </c>
      <c r="BQJ33" t="s">
        <v>6984</v>
      </c>
      <c r="BQK33" t="s">
        <v>6984</v>
      </c>
      <c r="BQL33" t="s">
        <v>6984</v>
      </c>
      <c r="BQM33" t="s">
        <v>6984</v>
      </c>
      <c r="BQN33" t="s">
        <v>6984</v>
      </c>
      <c r="BQO33" t="s">
        <v>6984</v>
      </c>
      <c r="BQP33" t="s">
        <v>6984</v>
      </c>
      <c r="BQQ33" t="s">
        <v>6984</v>
      </c>
      <c r="BQR33" t="s">
        <v>6984</v>
      </c>
      <c r="BQS33" t="s">
        <v>6984</v>
      </c>
      <c r="BQT33" t="s">
        <v>6984</v>
      </c>
      <c r="BQU33" t="s">
        <v>6984</v>
      </c>
      <c r="BQV33" t="s">
        <v>6984</v>
      </c>
      <c r="BQW33" t="s">
        <v>6984</v>
      </c>
      <c r="BQX33" t="s">
        <v>6984</v>
      </c>
      <c r="BQY33" t="s">
        <v>6984</v>
      </c>
      <c r="BQZ33" t="s">
        <v>6984</v>
      </c>
      <c r="BRA33" t="s">
        <v>6984</v>
      </c>
      <c r="BRB33" t="s">
        <v>6984</v>
      </c>
      <c r="BRC33" t="s">
        <v>6984</v>
      </c>
      <c r="BRD33" t="s">
        <v>6984</v>
      </c>
      <c r="BRE33" t="s">
        <v>6984</v>
      </c>
      <c r="BRF33" t="s">
        <v>6984</v>
      </c>
      <c r="BRG33" t="s">
        <v>6984</v>
      </c>
      <c r="BRH33" t="s">
        <v>6984</v>
      </c>
      <c r="BRI33" t="s">
        <v>6984</v>
      </c>
      <c r="BRJ33" t="s">
        <v>6984</v>
      </c>
      <c r="BRK33" t="s">
        <v>6984</v>
      </c>
      <c r="BRL33" t="s">
        <v>6984</v>
      </c>
      <c r="BRM33" t="s">
        <v>6984</v>
      </c>
      <c r="BRN33" t="s">
        <v>6984</v>
      </c>
      <c r="BRO33" t="s">
        <v>6984</v>
      </c>
      <c r="BRP33" t="s">
        <v>6984</v>
      </c>
      <c r="BRQ33" t="s">
        <v>6984</v>
      </c>
      <c r="BRR33" t="s">
        <v>6984</v>
      </c>
      <c r="BRS33" t="s">
        <v>6984</v>
      </c>
      <c r="BRT33" t="s">
        <v>6984</v>
      </c>
      <c r="BRU33" t="s">
        <v>6984</v>
      </c>
      <c r="BRV33" t="s">
        <v>6984</v>
      </c>
      <c r="BRW33" t="s">
        <v>6984</v>
      </c>
      <c r="BRX33" t="s">
        <v>6984</v>
      </c>
      <c r="BRY33" t="s">
        <v>6984</v>
      </c>
      <c r="BRZ33" t="s">
        <v>6984</v>
      </c>
      <c r="BSA33" t="s">
        <v>6984</v>
      </c>
      <c r="BSB33" t="s">
        <v>6984</v>
      </c>
      <c r="BSC33" t="s">
        <v>6984</v>
      </c>
      <c r="BSD33" t="s">
        <v>6984</v>
      </c>
      <c r="BSE33" t="s">
        <v>6984</v>
      </c>
      <c r="BSF33" t="s">
        <v>6984</v>
      </c>
      <c r="BSG33" t="s">
        <v>6984</v>
      </c>
      <c r="BSH33" t="s">
        <v>6984</v>
      </c>
      <c r="BSI33" t="s">
        <v>6984</v>
      </c>
      <c r="BSJ33" t="s">
        <v>6984</v>
      </c>
      <c r="BSK33" t="s">
        <v>6984</v>
      </c>
      <c r="BSL33" t="s">
        <v>6984</v>
      </c>
      <c r="BSM33" t="s">
        <v>6984</v>
      </c>
      <c r="BSN33" t="s">
        <v>6984</v>
      </c>
      <c r="BSO33" t="s">
        <v>6984</v>
      </c>
      <c r="BSP33" t="s">
        <v>6984</v>
      </c>
      <c r="BSQ33" t="s">
        <v>6984</v>
      </c>
      <c r="BSR33" t="s">
        <v>6984</v>
      </c>
      <c r="BSS33" t="s">
        <v>6984</v>
      </c>
      <c r="BST33" t="s">
        <v>6984</v>
      </c>
      <c r="BSU33" t="s">
        <v>6984</v>
      </c>
      <c r="BSV33" t="s">
        <v>6984</v>
      </c>
      <c r="BSW33" t="s">
        <v>6984</v>
      </c>
      <c r="BSX33" t="s">
        <v>6984</v>
      </c>
      <c r="BSY33" t="s">
        <v>6984</v>
      </c>
      <c r="BSZ33" t="s">
        <v>6984</v>
      </c>
      <c r="BTA33" t="s">
        <v>6984</v>
      </c>
      <c r="BTB33" t="s">
        <v>6984</v>
      </c>
      <c r="BTC33" t="s">
        <v>6984</v>
      </c>
      <c r="BTD33" t="s">
        <v>6984</v>
      </c>
      <c r="BTE33" t="s">
        <v>6984</v>
      </c>
      <c r="BTF33" t="s">
        <v>6984</v>
      </c>
      <c r="BTG33" t="s">
        <v>6984</v>
      </c>
      <c r="BTH33" t="s">
        <v>6984</v>
      </c>
      <c r="BTI33" t="s">
        <v>6984</v>
      </c>
      <c r="BTJ33" t="s">
        <v>6984</v>
      </c>
      <c r="BTK33" t="s">
        <v>6984</v>
      </c>
      <c r="BTL33" t="s">
        <v>6984</v>
      </c>
      <c r="BTM33" t="s">
        <v>6984</v>
      </c>
      <c r="BTN33" t="s">
        <v>6984</v>
      </c>
      <c r="BTO33" t="s">
        <v>6984</v>
      </c>
      <c r="BTP33" t="s">
        <v>6984</v>
      </c>
      <c r="BTQ33" t="s">
        <v>6984</v>
      </c>
      <c r="BTR33" t="s">
        <v>6984</v>
      </c>
      <c r="BTS33" t="s">
        <v>6984</v>
      </c>
      <c r="BTT33" t="s">
        <v>6984</v>
      </c>
      <c r="BTU33" t="s">
        <v>6984</v>
      </c>
      <c r="BTV33" t="s">
        <v>6984</v>
      </c>
      <c r="BTW33" t="s">
        <v>6984</v>
      </c>
      <c r="BTX33" t="s">
        <v>6984</v>
      </c>
      <c r="BTY33" t="s">
        <v>6984</v>
      </c>
      <c r="BTZ33" t="s">
        <v>6984</v>
      </c>
      <c r="BUA33" t="s">
        <v>6984</v>
      </c>
      <c r="BUB33" t="s">
        <v>6984</v>
      </c>
      <c r="BUC33" t="s">
        <v>6984</v>
      </c>
      <c r="BUD33" t="s">
        <v>6984</v>
      </c>
      <c r="BUE33" t="s">
        <v>6984</v>
      </c>
      <c r="BUF33" t="s">
        <v>6984</v>
      </c>
      <c r="BUG33" t="s">
        <v>6984</v>
      </c>
      <c r="BUH33" t="s">
        <v>6984</v>
      </c>
      <c r="BUI33" t="s">
        <v>6984</v>
      </c>
      <c r="BUJ33" t="s">
        <v>6984</v>
      </c>
      <c r="BUK33" t="s">
        <v>6984</v>
      </c>
      <c r="BUL33" t="s">
        <v>6984</v>
      </c>
      <c r="BUM33" t="s">
        <v>6984</v>
      </c>
      <c r="BUN33" t="s">
        <v>6984</v>
      </c>
      <c r="BUO33" t="s">
        <v>6984</v>
      </c>
      <c r="BUP33" t="s">
        <v>6984</v>
      </c>
      <c r="BUQ33" t="s">
        <v>6984</v>
      </c>
      <c r="BUR33" t="s">
        <v>6984</v>
      </c>
      <c r="BUS33" t="s">
        <v>6984</v>
      </c>
      <c r="BUT33" t="s">
        <v>6984</v>
      </c>
      <c r="BUU33" t="s">
        <v>6984</v>
      </c>
      <c r="BUV33" t="s">
        <v>6984</v>
      </c>
      <c r="BUW33" t="s">
        <v>6984</v>
      </c>
      <c r="BUX33" t="s">
        <v>6984</v>
      </c>
      <c r="BUY33" t="s">
        <v>6984</v>
      </c>
      <c r="BUZ33" t="s">
        <v>6984</v>
      </c>
      <c r="BVA33" t="s">
        <v>6984</v>
      </c>
      <c r="BVB33" t="s">
        <v>6984</v>
      </c>
      <c r="BVC33" t="s">
        <v>6984</v>
      </c>
      <c r="BVD33" t="s">
        <v>6984</v>
      </c>
      <c r="BVE33" t="s">
        <v>6984</v>
      </c>
      <c r="BVF33" t="s">
        <v>6984</v>
      </c>
      <c r="BVG33" t="s">
        <v>6984</v>
      </c>
      <c r="BVH33" t="s">
        <v>6984</v>
      </c>
      <c r="BVI33" t="s">
        <v>6984</v>
      </c>
      <c r="BVJ33" t="s">
        <v>6984</v>
      </c>
      <c r="BVK33" t="s">
        <v>6984</v>
      </c>
      <c r="BVL33" t="s">
        <v>6984</v>
      </c>
      <c r="BVM33" t="s">
        <v>6984</v>
      </c>
      <c r="BVN33" t="s">
        <v>6984</v>
      </c>
      <c r="BVO33" t="s">
        <v>6984</v>
      </c>
      <c r="BVP33" t="s">
        <v>6984</v>
      </c>
      <c r="BVQ33" t="s">
        <v>6984</v>
      </c>
      <c r="BVR33" t="s">
        <v>6984</v>
      </c>
      <c r="BVS33" t="s">
        <v>6984</v>
      </c>
      <c r="BVT33" t="s">
        <v>6984</v>
      </c>
      <c r="BVU33" t="s">
        <v>6984</v>
      </c>
      <c r="BVV33" t="s">
        <v>6984</v>
      </c>
      <c r="BVW33" t="s">
        <v>6984</v>
      </c>
      <c r="BVX33" t="s">
        <v>6984</v>
      </c>
      <c r="BVY33" t="s">
        <v>6984</v>
      </c>
      <c r="BVZ33" t="s">
        <v>6984</v>
      </c>
      <c r="BWA33" t="s">
        <v>6984</v>
      </c>
      <c r="BWB33" t="s">
        <v>6984</v>
      </c>
      <c r="BWC33" t="s">
        <v>6984</v>
      </c>
      <c r="BWD33" t="s">
        <v>6984</v>
      </c>
      <c r="BWE33" t="s">
        <v>6984</v>
      </c>
      <c r="BWF33" t="s">
        <v>6984</v>
      </c>
      <c r="BWG33" t="s">
        <v>6984</v>
      </c>
      <c r="BWH33" t="s">
        <v>6984</v>
      </c>
      <c r="BWI33" t="s">
        <v>6984</v>
      </c>
      <c r="BWJ33" t="s">
        <v>6984</v>
      </c>
      <c r="BWK33" t="s">
        <v>6984</v>
      </c>
      <c r="BWL33" t="s">
        <v>6984</v>
      </c>
      <c r="BWM33" t="s">
        <v>6984</v>
      </c>
      <c r="BWN33" t="s">
        <v>6984</v>
      </c>
      <c r="BWO33" t="s">
        <v>6984</v>
      </c>
      <c r="BWP33" t="s">
        <v>6984</v>
      </c>
      <c r="BWQ33" t="s">
        <v>6984</v>
      </c>
      <c r="BWR33" t="s">
        <v>6984</v>
      </c>
      <c r="BWS33" t="s">
        <v>6984</v>
      </c>
      <c r="BWT33" t="s">
        <v>6984</v>
      </c>
      <c r="BWU33" t="s">
        <v>6984</v>
      </c>
      <c r="BWV33" t="s">
        <v>6984</v>
      </c>
      <c r="BWW33" t="s">
        <v>6984</v>
      </c>
      <c r="BWX33" t="s">
        <v>6984</v>
      </c>
      <c r="BWY33" t="s">
        <v>6984</v>
      </c>
      <c r="BWZ33" t="s">
        <v>6984</v>
      </c>
      <c r="BXA33" t="s">
        <v>6984</v>
      </c>
      <c r="BXB33" t="s">
        <v>6984</v>
      </c>
      <c r="BXC33" t="s">
        <v>6984</v>
      </c>
      <c r="BXD33" t="s">
        <v>6984</v>
      </c>
      <c r="BXE33" t="s">
        <v>6984</v>
      </c>
      <c r="BXF33" t="s">
        <v>6984</v>
      </c>
      <c r="BXG33" t="s">
        <v>6984</v>
      </c>
      <c r="BXH33" t="s">
        <v>6984</v>
      </c>
      <c r="BXI33" t="s">
        <v>6984</v>
      </c>
      <c r="BXJ33" t="s">
        <v>6984</v>
      </c>
      <c r="BXK33" t="s">
        <v>6984</v>
      </c>
      <c r="BXL33" t="s">
        <v>6984</v>
      </c>
      <c r="BXM33" t="s">
        <v>6984</v>
      </c>
      <c r="BXN33" t="s">
        <v>6984</v>
      </c>
      <c r="BXO33" t="s">
        <v>6984</v>
      </c>
      <c r="BXP33" t="s">
        <v>6984</v>
      </c>
      <c r="BXQ33" t="s">
        <v>6984</v>
      </c>
      <c r="BXR33" t="s">
        <v>6984</v>
      </c>
      <c r="BXS33" t="s">
        <v>6984</v>
      </c>
      <c r="BXT33" t="s">
        <v>6984</v>
      </c>
      <c r="BXU33" t="s">
        <v>6984</v>
      </c>
      <c r="BXV33" t="s">
        <v>6984</v>
      </c>
      <c r="BXW33" t="s">
        <v>6984</v>
      </c>
      <c r="BXX33" t="s">
        <v>6984</v>
      </c>
      <c r="BXY33" t="s">
        <v>6984</v>
      </c>
      <c r="BXZ33" t="s">
        <v>6984</v>
      </c>
      <c r="BYA33" t="s">
        <v>6984</v>
      </c>
      <c r="BYB33" t="s">
        <v>6984</v>
      </c>
      <c r="BYC33" t="s">
        <v>6984</v>
      </c>
      <c r="BYD33" t="s">
        <v>6984</v>
      </c>
      <c r="BYE33" t="s">
        <v>6984</v>
      </c>
      <c r="BYF33" t="s">
        <v>6984</v>
      </c>
      <c r="BYG33" t="s">
        <v>6984</v>
      </c>
      <c r="BYH33" t="s">
        <v>6984</v>
      </c>
      <c r="BYI33" t="s">
        <v>6984</v>
      </c>
      <c r="BYJ33" t="s">
        <v>6984</v>
      </c>
      <c r="BYK33" t="s">
        <v>6984</v>
      </c>
      <c r="BYL33" t="s">
        <v>6984</v>
      </c>
      <c r="BYM33" t="s">
        <v>6984</v>
      </c>
      <c r="BYN33" t="s">
        <v>6984</v>
      </c>
      <c r="BYO33" t="s">
        <v>6984</v>
      </c>
      <c r="BYP33" t="s">
        <v>6984</v>
      </c>
      <c r="BYQ33" t="s">
        <v>6984</v>
      </c>
      <c r="BYR33" t="s">
        <v>6984</v>
      </c>
      <c r="BYS33" t="s">
        <v>6984</v>
      </c>
      <c r="BYT33" t="s">
        <v>6984</v>
      </c>
      <c r="BYU33" t="s">
        <v>6984</v>
      </c>
      <c r="BYV33" t="s">
        <v>6984</v>
      </c>
      <c r="BYW33" t="s">
        <v>6984</v>
      </c>
      <c r="BYX33" t="s">
        <v>6984</v>
      </c>
      <c r="BYY33" t="s">
        <v>6984</v>
      </c>
      <c r="BYZ33" t="s">
        <v>6984</v>
      </c>
      <c r="BZA33" t="s">
        <v>6984</v>
      </c>
      <c r="BZB33" t="s">
        <v>6984</v>
      </c>
      <c r="BZC33" t="s">
        <v>6984</v>
      </c>
      <c r="BZD33" t="s">
        <v>6984</v>
      </c>
      <c r="BZE33" t="s">
        <v>6984</v>
      </c>
      <c r="BZF33" t="s">
        <v>6984</v>
      </c>
      <c r="BZG33" t="s">
        <v>6984</v>
      </c>
      <c r="BZH33" t="s">
        <v>6984</v>
      </c>
      <c r="BZI33" t="s">
        <v>6984</v>
      </c>
      <c r="BZJ33" t="s">
        <v>6984</v>
      </c>
      <c r="BZK33" t="s">
        <v>6984</v>
      </c>
      <c r="BZL33" t="s">
        <v>6984</v>
      </c>
      <c r="BZM33" t="s">
        <v>6984</v>
      </c>
      <c r="BZN33" t="s">
        <v>6984</v>
      </c>
      <c r="BZO33" t="s">
        <v>6984</v>
      </c>
      <c r="BZP33" t="s">
        <v>6984</v>
      </c>
      <c r="BZQ33" t="s">
        <v>6984</v>
      </c>
      <c r="BZR33" t="s">
        <v>6984</v>
      </c>
      <c r="BZS33" t="s">
        <v>6984</v>
      </c>
      <c r="BZT33" t="s">
        <v>6984</v>
      </c>
      <c r="BZU33" t="s">
        <v>6984</v>
      </c>
      <c r="BZV33" t="s">
        <v>6984</v>
      </c>
      <c r="BZW33" t="s">
        <v>6984</v>
      </c>
      <c r="BZX33" t="s">
        <v>6984</v>
      </c>
      <c r="BZY33" t="s">
        <v>6984</v>
      </c>
      <c r="BZZ33" t="s">
        <v>6984</v>
      </c>
      <c r="CAA33" t="s">
        <v>6984</v>
      </c>
      <c r="CAB33" t="s">
        <v>6984</v>
      </c>
      <c r="CAC33" t="s">
        <v>6984</v>
      </c>
      <c r="CAD33" t="s">
        <v>6984</v>
      </c>
      <c r="CAE33" t="s">
        <v>6984</v>
      </c>
      <c r="CAF33" t="s">
        <v>6984</v>
      </c>
      <c r="CAG33" t="s">
        <v>6984</v>
      </c>
      <c r="CAH33" t="s">
        <v>6984</v>
      </c>
      <c r="CAI33" t="s">
        <v>6984</v>
      </c>
      <c r="CAJ33" t="s">
        <v>6984</v>
      </c>
      <c r="CAK33" t="s">
        <v>6984</v>
      </c>
      <c r="CAL33" t="s">
        <v>6984</v>
      </c>
      <c r="CAM33" t="s">
        <v>6984</v>
      </c>
      <c r="CAN33" t="s">
        <v>6984</v>
      </c>
      <c r="CAO33" t="s">
        <v>6984</v>
      </c>
      <c r="CAP33" t="s">
        <v>6984</v>
      </c>
      <c r="CAQ33" t="s">
        <v>6984</v>
      </c>
      <c r="CAR33" t="s">
        <v>6984</v>
      </c>
      <c r="CAS33" t="s">
        <v>6984</v>
      </c>
      <c r="CAT33" t="s">
        <v>6984</v>
      </c>
      <c r="CAU33" t="s">
        <v>6984</v>
      </c>
      <c r="CAV33" t="s">
        <v>6984</v>
      </c>
      <c r="CAW33" t="s">
        <v>6984</v>
      </c>
      <c r="CAX33" t="s">
        <v>6984</v>
      </c>
      <c r="CAY33" t="s">
        <v>6984</v>
      </c>
      <c r="CAZ33" t="s">
        <v>6984</v>
      </c>
      <c r="CBA33" t="s">
        <v>6984</v>
      </c>
      <c r="CBB33" t="s">
        <v>6984</v>
      </c>
      <c r="CBC33" t="s">
        <v>6984</v>
      </c>
      <c r="CBD33" t="s">
        <v>6984</v>
      </c>
      <c r="CBE33" t="s">
        <v>6984</v>
      </c>
      <c r="CBF33" t="s">
        <v>6984</v>
      </c>
      <c r="CBG33" t="s">
        <v>6984</v>
      </c>
      <c r="CBH33" t="s">
        <v>6984</v>
      </c>
      <c r="CBI33" t="s">
        <v>6984</v>
      </c>
      <c r="CBJ33" t="s">
        <v>6984</v>
      </c>
      <c r="CBK33" t="s">
        <v>6984</v>
      </c>
      <c r="CBL33" t="s">
        <v>6984</v>
      </c>
      <c r="CBM33" t="s">
        <v>6984</v>
      </c>
      <c r="CBN33" t="s">
        <v>6984</v>
      </c>
      <c r="CBO33" t="s">
        <v>6984</v>
      </c>
      <c r="CBP33" t="s">
        <v>6984</v>
      </c>
      <c r="CBQ33" t="s">
        <v>6984</v>
      </c>
      <c r="CBR33" t="s">
        <v>6984</v>
      </c>
      <c r="CBS33" t="s">
        <v>6984</v>
      </c>
      <c r="CBT33" t="s">
        <v>6984</v>
      </c>
      <c r="CBU33" t="s">
        <v>6984</v>
      </c>
      <c r="CBV33" t="s">
        <v>6984</v>
      </c>
      <c r="CBW33" t="s">
        <v>6984</v>
      </c>
      <c r="CBX33" t="s">
        <v>6984</v>
      </c>
      <c r="CBY33" t="s">
        <v>6984</v>
      </c>
      <c r="CBZ33" t="s">
        <v>6984</v>
      </c>
      <c r="CCA33" t="s">
        <v>6984</v>
      </c>
      <c r="CCB33" t="s">
        <v>6984</v>
      </c>
      <c r="CCC33" t="s">
        <v>6984</v>
      </c>
      <c r="CCD33" t="s">
        <v>6984</v>
      </c>
      <c r="CCE33" t="s">
        <v>6984</v>
      </c>
      <c r="CCF33" t="s">
        <v>6984</v>
      </c>
      <c r="CCG33" t="s">
        <v>6984</v>
      </c>
      <c r="CCH33" t="s">
        <v>6984</v>
      </c>
      <c r="CCI33" t="s">
        <v>6984</v>
      </c>
      <c r="CCJ33" t="s">
        <v>6984</v>
      </c>
      <c r="CCK33" t="s">
        <v>6984</v>
      </c>
      <c r="CCL33" t="s">
        <v>6984</v>
      </c>
      <c r="CCM33" t="s">
        <v>6984</v>
      </c>
      <c r="CCN33" t="s">
        <v>6984</v>
      </c>
      <c r="CCO33" t="s">
        <v>6984</v>
      </c>
      <c r="CCP33" t="s">
        <v>6984</v>
      </c>
      <c r="CCQ33" t="s">
        <v>6984</v>
      </c>
      <c r="CCR33" t="s">
        <v>6984</v>
      </c>
      <c r="CCS33" t="s">
        <v>6984</v>
      </c>
      <c r="CCT33" t="s">
        <v>6984</v>
      </c>
      <c r="CCU33" t="s">
        <v>6984</v>
      </c>
      <c r="CCV33" t="s">
        <v>6984</v>
      </c>
      <c r="CCW33" t="s">
        <v>6984</v>
      </c>
      <c r="CCX33" t="s">
        <v>6984</v>
      </c>
      <c r="CCY33" t="s">
        <v>6984</v>
      </c>
      <c r="CCZ33" t="s">
        <v>6984</v>
      </c>
      <c r="CDA33" t="s">
        <v>6984</v>
      </c>
      <c r="CDB33" t="s">
        <v>6984</v>
      </c>
      <c r="CDC33" t="s">
        <v>6984</v>
      </c>
      <c r="CDD33" t="s">
        <v>6984</v>
      </c>
      <c r="CDE33" t="s">
        <v>6984</v>
      </c>
      <c r="CDF33" t="s">
        <v>6984</v>
      </c>
      <c r="CDG33" t="s">
        <v>6984</v>
      </c>
      <c r="CDH33" t="s">
        <v>6984</v>
      </c>
      <c r="CDI33" t="s">
        <v>6984</v>
      </c>
      <c r="CDJ33" t="s">
        <v>6984</v>
      </c>
      <c r="CDK33" t="s">
        <v>6984</v>
      </c>
      <c r="CDL33" t="s">
        <v>6984</v>
      </c>
      <c r="CDM33" t="s">
        <v>6984</v>
      </c>
      <c r="CDN33" t="s">
        <v>6984</v>
      </c>
      <c r="CDO33" t="s">
        <v>6984</v>
      </c>
      <c r="CDP33" t="s">
        <v>6984</v>
      </c>
      <c r="CDQ33" t="s">
        <v>6984</v>
      </c>
      <c r="CDR33" t="s">
        <v>6984</v>
      </c>
      <c r="CDS33" t="s">
        <v>6984</v>
      </c>
      <c r="CDT33" t="s">
        <v>6984</v>
      </c>
      <c r="CDU33" t="s">
        <v>6984</v>
      </c>
      <c r="CDV33" t="s">
        <v>6984</v>
      </c>
      <c r="CDW33" t="s">
        <v>6984</v>
      </c>
      <c r="CDX33" t="s">
        <v>6984</v>
      </c>
      <c r="CDY33" t="s">
        <v>6984</v>
      </c>
      <c r="CDZ33" t="s">
        <v>6984</v>
      </c>
      <c r="CEA33" t="s">
        <v>6984</v>
      </c>
      <c r="CEB33" t="s">
        <v>6984</v>
      </c>
      <c r="CEC33" t="s">
        <v>6984</v>
      </c>
      <c r="CED33" t="s">
        <v>6984</v>
      </c>
      <c r="CEE33" t="s">
        <v>6984</v>
      </c>
      <c r="CEF33" t="s">
        <v>6984</v>
      </c>
      <c r="CEG33" t="s">
        <v>6984</v>
      </c>
      <c r="CEH33" t="s">
        <v>6984</v>
      </c>
      <c r="CEI33" t="s">
        <v>6984</v>
      </c>
      <c r="CEJ33" t="s">
        <v>6984</v>
      </c>
      <c r="CEK33" t="s">
        <v>6984</v>
      </c>
      <c r="CEL33" t="s">
        <v>6984</v>
      </c>
      <c r="CEM33" t="s">
        <v>6984</v>
      </c>
      <c r="CEN33" t="s">
        <v>6984</v>
      </c>
      <c r="CEO33" t="s">
        <v>6984</v>
      </c>
      <c r="CEP33" t="s">
        <v>6984</v>
      </c>
      <c r="CEQ33" t="s">
        <v>6984</v>
      </c>
      <c r="CER33" t="s">
        <v>6984</v>
      </c>
      <c r="CES33" t="s">
        <v>6984</v>
      </c>
      <c r="CET33" t="s">
        <v>6984</v>
      </c>
      <c r="CEU33" t="s">
        <v>6984</v>
      </c>
      <c r="CEV33" t="s">
        <v>6984</v>
      </c>
      <c r="CEW33" t="s">
        <v>6984</v>
      </c>
      <c r="CEX33" t="s">
        <v>6984</v>
      </c>
      <c r="CEY33" t="s">
        <v>6984</v>
      </c>
      <c r="CEZ33" t="s">
        <v>6984</v>
      </c>
      <c r="CFA33" t="s">
        <v>6984</v>
      </c>
      <c r="CFB33" t="s">
        <v>6984</v>
      </c>
      <c r="CFC33" t="s">
        <v>6984</v>
      </c>
      <c r="CFD33" t="s">
        <v>6984</v>
      </c>
      <c r="CFE33" t="s">
        <v>6984</v>
      </c>
      <c r="CFF33" t="s">
        <v>6984</v>
      </c>
      <c r="CFG33" t="s">
        <v>6984</v>
      </c>
      <c r="CFH33" t="s">
        <v>6984</v>
      </c>
      <c r="CFI33" t="s">
        <v>6984</v>
      </c>
      <c r="CFJ33" t="s">
        <v>6984</v>
      </c>
      <c r="CFK33" t="s">
        <v>6984</v>
      </c>
      <c r="CFL33" t="s">
        <v>6984</v>
      </c>
      <c r="CFM33" t="s">
        <v>6984</v>
      </c>
      <c r="CFN33" t="s">
        <v>6984</v>
      </c>
      <c r="CFO33" t="s">
        <v>6984</v>
      </c>
      <c r="CFP33" t="s">
        <v>6984</v>
      </c>
      <c r="CFQ33" t="s">
        <v>6984</v>
      </c>
      <c r="CFR33" t="s">
        <v>6984</v>
      </c>
      <c r="CFS33" t="s">
        <v>6984</v>
      </c>
      <c r="CFT33" t="s">
        <v>6984</v>
      </c>
      <c r="CFU33" t="s">
        <v>6984</v>
      </c>
      <c r="CFV33" t="s">
        <v>6984</v>
      </c>
      <c r="CFW33" t="s">
        <v>6984</v>
      </c>
      <c r="CFX33" t="s">
        <v>6984</v>
      </c>
      <c r="CFY33" t="s">
        <v>6984</v>
      </c>
      <c r="CFZ33" t="s">
        <v>6984</v>
      </c>
      <c r="CGA33" t="s">
        <v>6984</v>
      </c>
      <c r="CGB33" t="s">
        <v>6984</v>
      </c>
      <c r="CGC33" t="s">
        <v>6984</v>
      </c>
      <c r="CGD33" t="s">
        <v>6984</v>
      </c>
      <c r="CGE33" t="s">
        <v>6984</v>
      </c>
      <c r="CGF33" t="s">
        <v>6984</v>
      </c>
      <c r="CGG33" t="s">
        <v>6984</v>
      </c>
      <c r="CGH33" t="s">
        <v>6984</v>
      </c>
      <c r="CGI33" t="s">
        <v>6984</v>
      </c>
      <c r="CGJ33" t="s">
        <v>6984</v>
      </c>
      <c r="CGK33" t="s">
        <v>6984</v>
      </c>
      <c r="CGL33" t="s">
        <v>6984</v>
      </c>
      <c r="CGM33" t="s">
        <v>6984</v>
      </c>
      <c r="CGN33" t="s">
        <v>6984</v>
      </c>
      <c r="CGO33" t="s">
        <v>6984</v>
      </c>
      <c r="CGP33" t="s">
        <v>6984</v>
      </c>
      <c r="CGQ33" t="s">
        <v>6984</v>
      </c>
      <c r="CGR33" t="s">
        <v>6984</v>
      </c>
      <c r="CGS33" t="s">
        <v>6984</v>
      </c>
      <c r="CGT33" t="s">
        <v>6984</v>
      </c>
      <c r="CGU33" t="s">
        <v>6984</v>
      </c>
      <c r="CGV33" t="s">
        <v>6984</v>
      </c>
      <c r="CGW33" t="s">
        <v>6984</v>
      </c>
      <c r="CGX33" t="s">
        <v>6984</v>
      </c>
      <c r="CGY33" t="s">
        <v>6984</v>
      </c>
      <c r="CGZ33" t="s">
        <v>6984</v>
      </c>
      <c r="CHA33" t="s">
        <v>6984</v>
      </c>
      <c r="CHB33" t="s">
        <v>6984</v>
      </c>
      <c r="CHC33" t="s">
        <v>6984</v>
      </c>
      <c r="CHD33" t="s">
        <v>6984</v>
      </c>
      <c r="CHE33" t="s">
        <v>6984</v>
      </c>
      <c r="CHF33" t="s">
        <v>6984</v>
      </c>
      <c r="CHG33" t="s">
        <v>6984</v>
      </c>
      <c r="CHH33" t="s">
        <v>6984</v>
      </c>
      <c r="CHI33" t="s">
        <v>6984</v>
      </c>
      <c r="CHJ33" t="s">
        <v>6984</v>
      </c>
      <c r="CHK33" t="s">
        <v>6984</v>
      </c>
      <c r="CHL33" t="s">
        <v>6984</v>
      </c>
      <c r="CHM33" t="s">
        <v>6984</v>
      </c>
      <c r="CHN33" t="s">
        <v>6984</v>
      </c>
      <c r="CHO33" t="s">
        <v>6984</v>
      </c>
      <c r="CHP33" t="s">
        <v>6984</v>
      </c>
      <c r="CHQ33" t="s">
        <v>6984</v>
      </c>
      <c r="CHR33" t="s">
        <v>6984</v>
      </c>
      <c r="CHS33" t="s">
        <v>6984</v>
      </c>
      <c r="CHT33" t="s">
        <v>6984</v>
      </c>
      <c r="CHU33" t="s">
        <v>6984</v>
      </c>
      <c r="CHV33" t="s">
        <v>6984</v>
      </c>
      <c r="CHW33" t="s">
        <v>6984</v>
      </c>
      <c r="CHX33" t="s">
        <v>6984</v>
      </c>
      <c r="CHY33" t="s">
        <v>6984</v>
      </c>
      <c r="CHZ33" t="s">
        <v>6984</v>
      </c>
      <c r="CIA33" t="s">
        <v>6984</v>
      </c>
      <c r="CIB33" t="s">
        <v>6984</v>
      </c>
      <c r="CIC33" t="s">
        <v>6984</v>
      </c>
      <c r="CID33" t="s">
        <v>6984</v>
      </c>
      <c r="CIE33" t="s">
        <v>6984</v>
      </c>
      <c r="CIF33" t="s">
        <v>6984</v>
      </c>
      <c r="CIG33" t="s">
        <v>6984</v>
      </c>
      <c r="CIH33" t="s">
        <v>6984</v>
      </c>
      <c r="CII33" t="s">
        <v>6984</v>
      </c>
      <c r="CIJ33" t="s">
        <v>6984</v>
      </c>
      <c r="CIK33" t="s">
        <v>6984</v>
      </c>
      <c r="CIL33" t="s">
        <v>6984</v>
      </c>
      <c r="CIM33" t="s">
        <v>6984</v>
      </c>
      <c r="CIN33" t="s">
        <v>6984</v>
      </c>
      <c r="CIO33" t="s">
        <v>6984</v>
      </c>
      <c r="CIP33" t="s">
        <v>6984</v>
      </c>
      <c r="CIQ33" t="s">
        <v>6984</v>
      </c>
      <c r="CIR33" t="s">
        <v>6984</v>
      </c>
      <c r="CIS33" t="s">
        <v>6984</v>
      </c>
      <c r="CIT33" t="s">
        <v>6984</v>
      </c>
      <c r="CIU33" t="s">
        <v>6984</v>
      </c>
      <c r="CIV33" t="s">
        <v>6984</v>
      </c>
      <c r="CIW33" t="s">
        <v>6984</v>
      </c>
      <c r="CIX33" t="s">
        <v>6984</v>
      </c>
      <c r="CIY33" t="s">
        <v>6984</v>
      </c>
      <c r="CIZ33" t="s">
        <v>6984</v>
      </c>
      <c r="CJA33" t="s">
        <v>6984</v>
      </c>
      <c r="CJB33" t="s">
        <v>6984</v>
      </c>
      <c r="CJC33" t="s">
        <v>6984</v>
      </c>
      <c r="CJD33" t="s">
        <v>6984</v>
      </c>
      <c r="CJE33" t="s">
        <v>6984</v>
      </c>
      <c r="CJF33" t="s">
        <v>6984</v>
      </c>
      <c r="CJG33" t="s">
        <v>6984</v>
      </c>
      <c r="CJH33" t="s">
        <v>6984</v>
      </c>
      <c r="CJI33" t="s">
        <v>6984</v>
      </c>
      <c r="CJJ33" t="s">
        <v>6984</v>
      </c>
      <c r="CJK33" t="s">
        <v>6984</v>
      </c>
      <c r="CJL33" t="s">
        <v>6984</v>
      </c>
      <c r="CJM33" t="s">
        <v>6984</v>
      </c>
      <c r="CJN33" t="s">
        <v>6984</v>
      </c>
      <c r="CJO33" t="s">
        <v>6984</v>
      </c>
      <c r="CJP33" t="s">
        <v>6984</v>
      </c>
      <c r="CJQ33" t="s">
        <v>6984</v>
      </c>
      <c r="CJR33" t="s">
        <v>6984</v>
      </c>
      <c r="CJS33" t="s">
        <v>6984</v>
      </c>
      <c r="CJT33" t="s">
        <v>6984</v>
      </c>
      <c r="CJU33" t="s">
        <v>6984</v>
      </c>
      <c r="CJV33" t="s">
        <v>6984</v>
      </c>
      <c r="CJW33" t="s">
        <v>6984</v>
      </c>
      <c r="CJX33" t="s">
        <v>6984</v>
      </c>
      <c r="CJY33" t="s">
        <v>6984</v>
      </c>
      <c r="CJZ33" t="s">
        <v>6984</v>
      </c>
      <c r="CKA33" t="s">
        <v>6984</v>
      </c>
      <c r="CKB33" t="s">
        <v>6984</v>
      </c>
      <c r="CKC33" t="s">
        <v>6984</v>
      </c>
      <c r="CKD33" t="s">
        <v>6984</v>
      </c>
      <c r="CKE33" t="s">
        <v>6984</v>
      </c>
      <c r="CKF33" t="s">
        <v>6984</v>
      </c>
      <c r="CKG33" t="s">
        <v>6984</v>
      </c>
      <c r="CKH33" t="s">
        <v>6984</v>
      </c>
      <c r="CKI33" t="s">
        <v>6984</v>
      </c>
      <c r="CKJ33" t="s">
        <v>6984</v>
      </c>
      <c r="CKK33" t="s">
        <v>6984</v>
      </c>
      <c r="CKL33" t="s">
        <v>6984</v>
      </c>
      <c r="CKM33" t="s">
        <v>6984</v>
      </c>
      <c r="CKN33" t="s">
        <v>6984</v>
      </c>
      <c r="CKO33" t="s">
        <v>6984</v>
      </c>
      <c r="CKP33" t="s">
        <v>6984</v>
      </c>
      <c r="CKQ33" t="s">
        <v>6984</v>
      </c>
      <c r="CKR33" t="s">
        <v>6984</v>
      </c>
      <c r="CKS33" t="s">
        <v>6984</v>
      </c>
      <c r="CKT33" t="s">
        <v>6984</v>
      </c>
      <c r="CKU33" t="s">
        <v>6984</v>
      </c>
      <c r="CKV33" t="s">
        <v>6984</v>
      </c>
      <c r="CKW33" t="s">
        <v>6984</v>
      </c>
      <c r="CKX33" t="s">
        <v>6984</v>
      </c>
      <c r="CKY33" t="s">
        <v>6984</v>
      </c>
      <c r="CKZ33" t="s">
        <v>6984</v>
      </c>
      <c r="CLA33" t="s">
        <v>6984</v>
      </c>
      <c r="CLB33" t="s">
        <v>6984</v>
      </c>
      <c r="CLC33" t="s">
        <v>6984</v>
      </c>
      <c r="CLD33" t="s">
        <v>6984</v>
      </c>
      <c r="CLE33" t="s">
        <v>6984</v>
      </c>
      <c r="CLF33" t="s">
        <v>6984</v>
      </c>
      <c r="CLG33" t="s">
        <v>6984</v>
      </c>
      <c r="CLH33" t="s">
        <v>6984</v>
      </c>
      <c r="CLI33" t="s">
        <v>6984</v>
      </c>
      <c r="CLJ33" t="s">
        <v>6984</v>
      </c>
      <c r="CLK33" t="s">
        <v>6984</v>
      </c>
      <c r="CLL33" t="s">
        <v>6984</v>
      </c>
      <c r="CLM33" t="s">
        <v>6984</v>
      </c>
      <c r="CLN33" t="s">
        <v>6984</v>
      </c>
      <c r="CLO33" t="s">
        <v>6984</v>
      </c>
      <c r="CLP33" t="s">
        <v>6984</v>
      </c>
      <c r="CLQ33" t="s">
        <v>6984</v>
      </c>
      <c r="CLR33" t="s">
        <v>6984</v>
      </c>
      <c r="CLS33" t="s">
        <v>6984</v>
      </c>
      <c r="CLT33" t="s">
        <v>6984</v>
      </c>
      <c r="CLU33" t="s">
        <v>6984</v>
      </c>
      <c r="CLV33" t="s">
        <v>6984</v>
      </c>
      <c r="CLW33" t="s">
        <v>6984</v>
      </c>
      <c r="CLX33" t="s">
        <v>6984</v>
      </c>
      <c r="CLY33" t="s">
        <v>6984</v>
      </c>
      <c r="CLZ33" t="s">
        <v>6984</v>
      </c>
      <c r="CMA33" t="s">
        <v>6984</v>
      </c>
      <c r="CMB33" t="s">
        <v>6984</v>
      </c>
      <c r="CMC33" t="s">
        <v>6984</v>
      </c>
      <c r="CMD33" t="s">
        <v>6984</v>
      </c>
      <c r="CME33" t="s">
        <v>6984</v>
      </c>
      <c r="CMF33" t="s">
        <v>6984</v>
      </c>
      <c r="CMG33" t="s">
        <v>6984</v>
      </c>
      <c r="CMH33" t="s">
        <v>6984</v>
      </c>
      <c r="CMI33" t="s">
        <v>6984</v>
      </c>
      <c r="CMJ33" t="s">
        <v>6984</v>
      </c>
      <c r="CMK33" t="s">
        <v>6984</v>
      </c>
      <c r="CML33" t="s">
        <v>6984</v>
      </c>
      <c r="CMM33" t="s">
        <v>6984</v>
      </c>
      <c r="CMN33" t="s">
        <v>6984</v>
      </c>
      <c r="CMO33" t="s">
        <v>6984</v>
      </c>
      <c r="CMP33" t="s">
        <v>6984</v>
      </c>
      <c r="CMQ33" t="s">
        <v>6984</v>
      </c>
      <c r="CMR33" t="s">
        <v>6984</v>
      </c>
      <c r="CMS33" t="s">
        <v>6984</v>
      </c>
      <c r="CMT33" t="s">
        <v>6984</v>
      </c>
      <c r="CMU33" t="s">
        <v>6984</v>
      </c>
      <c r="CMV33" t="s">
        <v>6984</v>
      </c>
      <c r="CMW33" t="s">
        <v>6984</v>
      </c>
      <c r="CMX33" t="s">
        <v>6984</v>
      </c>
      <c r="CMY33" t="s">
        <v>6984</v>
      </c>
      <c r="CMZ33" t="s">
        <v>6984</v>
      </c>
      <c r="CNA33" t="s">
        <v>6984</v>
      </c>
      <c r="CNB33" t="s">
        <v>6984</v>
      </c>
      <c r="CNC33" t="s">
        <v>6984</v>
      </c>
      <c r="CND33" t="s">
        <v>6984</v>
      </c>
      <c r="CNE33" t="s">
        <v>6984</v>
      </c>
      <c r="CNF33" t="s">
        <v>6984</v>
      </c>
      <c r="CNG33" t="s">
        <v>6984</v>
      </c>
      <c r="CNH33" t="s">
        <v>6984</v>
      </c>
      <c r="CNI33" t="s">
        <v>6984</v>
      </c>
      <c r="CNJ33" t="s">
        <v>6984</v>
      </c>
      <c r="CNK33" t="s">
        <v>6984</v>
      </c>
      <c r="CNL33" t="s">
        <v>6984</v>
      </c>
      <c r="CNM33" t="s">
        <v>6984</v>
      </c>
      <c r="CNN33" t="s">
        <v>6984</v>
      </c>
      <c r="CNO33" t="s">
        <v>6984</v>
      </c>
      <c r="CNP33" t="s">
        <v>6984</v>
      </c>
      <c r="CNQ33" t="s">
        <v>6984</v>
      </c>
      <c r="CNR33" t="s">
        <v>6984</v>
      </c>
      <c r="CNS33" t="s">
        <v>6984</v>
      </c>
      <c r="CNT33" t="s">
        <v>6984</v>
      </c>
      <c r="CNU33" t="s">
        <v>6984</v>
      </c>
      <c r="CNV33" t="s">
        <v>6984</v>
      </c>
      <c r="CNW33" t="s">
        <v>6984</v>
      </c>
      <c r="CNX33" t="s">
        <v>6984</v>
      </c>
      <c r="CNY33" t="s">
        <v>6984</v>
      </c>
      <c r="CNZ33" t="s">
        <v>6984</v>
      </c>
      <c r="COA33" t="s">
        <v>6984</v>
      </c>
      <c r="COB33" t="s">
        <v>6984</v>
      </c>
      <c r="COC33" t="s">
        <v>6984</v>
      </c>
      <c r="COD33" t="s">
        <v>6984</v>
      </c>
      <c r="COE33" t="s">
        <v>6984</v>
      </c>
      <c r="COF33" t="s">
        <v>6984</v>
      </c>
      <c r="COG33" t="s">
        <v>6984</v>
      </c>
      <c r="COH33" t="s">
        <v>6984</v>
      </c>
      <c r="COI33" t="s">
        <v>6984</v>
      </c>
      <c r="COJ33" t="s">
        <v>6984</v>
      </c>
      <c r="COK33" t="s">
        <v>6984</v>
      </c>
      <c r="COL33" t="s">
        <v>6984</v>
      </c>
      <c r="COM33" t="s">
        <v>6984</v>
      </c>
      <c r="CON33" t="s">
        <v>6984</v>
      </c>
      <c r="COO33" t="s">
        <v>6984</v>
      </c>
      <c r="COP33" t="s">
        <v>6984</v>
      </c>
      <c r="COQ33" t="s">
        <v>6984</v>
      </c>
      <c r="COR33" t="s">
        <v>6984</v>
      </c>
      <c r="COS33" t="s">
        <v>6984</v>
      </c>
      <c r="COT33" t="s">
        <v>6984</v>
      </c>
      <c r="COU33" t="s">
        <v>6984</v>
      </c>
      <c r="COV33" t="s">
        <v>6984</v>
      </c>
      <c r="COW33" t="s">
        <v>6984</v>
      </c>
      <c r="COX33" t="s">
        <v>6984</v>
      </c>
      <c r="COY33" t="s">
        <v>6984</v>
      </c>
      <c r="COZ33" t="s">
        <v>6984</v>
      </c>
      <c r="CPA33" t="s">
        <v>6984</v>
      </c>
      <c r="CPB33" t="s">
        <v>6984</v>
      </c>
      <c r="CPC33" t="s">
        <v>6984</v>
      </c>
      <c r="CPD33" t="s">
        <v>6984</v>
      </c>
      <c r="CPE33" t="s">
        <v>6984</v>
      </c>
      <c r="CPF33" t="s">
        <v>6984</v>
      </c>
      <c r="CPG33" t="s">
        <v>6984</v>
      </c>
      <c r="CPH33" t="s">
        <v>6984</v>
      </c>
      <c r="CPI33" t="s">
        <v>6984</v>
      </c>
      <c r="CPJ33" t="s">
        <v>6984</v>
      </c>
      <c r="CPK33" t="s">
        <v>6984</v>
      </c>
      <c r="CPL33" t="s">
        <v>6984</v>
      </c>
      <c r="CPM33" t="s">
        <v>6984</v>
      </c>
      <c r="CPN33" t="s">
        <v>6984</v>
      </c>
      <c r="CPO33" t="s">
        <v>6984</v>
      </c>
      <c r="CPP33" t="s">
        <v>6984</v>
      </c>
      <c r="CPQ33" t="s">
        <v>6984</v>
      </c>
      <c r="CPR33" t="s">
        <v>6984</v>
      </c>
      <c r="CPS33" t="s">
        <v>6984</v>
      </c>
      <c r="CPT33" t="s">
        <v>6984</v>
      </c>
      <c r="CPU33" t="s">
        <v>6984</v>
      </c>
      <c r="CPV33" t="s">
        <v>6984</v>
      </c>
      <c r="CPW33" t="s">
        <v>6984</v>
      </c>
      <c r="CPX33" t="s">
        <v>6984</v>
      </c>
      <c r="CPY33" t="s">
        <v>6984</v>
      </c>
      <c r="CPZ33" t="s">
        <v>6984</v>
      </c>
      <c r="CQA33" t="s">
        <v>6984</v>
      </c>
      <c r="CQB33" t="s">
        <v>6984</v>
      </c>
      <c r="CQC33" t="s">
        <v>6984</v>
      </c>
      <c r="CQD33" t="s">
        <v>6984</v>
      </c>
      <c r="CQE33" t="s">
        <v>6984</v>
      </c>
      <c r="CQF33" t="s">
        <v>6984</v>
      </c>
      <c r="CQG33" t="s">
        <v>6984</v>
      </c>
      <c r="CQH33" t="s">
        <v>6984</v>
      </c>
      <c r="CQI33" t="s">
        <v>6984</v>
      </c>
      <c r="CQJ33" t="s">
        <v>6984</v>
      </c>
      <c r="CQK33" t="s">
        <v>6984</v>
      </c>
      <c r="CQL33" t="s">
        <v>6984</v>
      </c>
      <c r="CQM33" t="s">
        <v>6984</v>
      </c>
      <c r="CQN33" t="s">
        <v>6984</v>
      </c>
      <c r="CQO33" t="s">
        <v>6984</v>
      </c>
      <c r="CQP33" t="s">
        <v>6984</v>
      </c>
      <c r="CQQ33" t="s">
        <v>6984</v>
      </c>
      <c r="CQR33" t="s">
        <v>6984</v>
      </c>
      <c r="CQS33" t="s">
        <v>6984</v>
      </c>
      <c r="CQT33" t="s">
        <v>6984</v>
      </c>
      <c r="CQU33" t="s">
        <v>6984</v>
      </c>
      <c r="CQV33" t="s">
        <v>6984</v>
      </c>
      <c r="CQW33" t="s">
        <v>6984</v>
      </c>
      <c r="CQX33" t="s">
        <v>6984</v>
      </c>
      <c r="CQY33" t="s">
        <v>6984</v>
      </c>
      <c r="CQZ33" t="s">
        <v>6984</v>
      </c>
      <c r="CRA33" t="s">
        <v>6984</v>
      </c>
      <c r="CRB33" t="s">
        <v>6984</v>
      </c>
      <c r="CRC33" t="s">
        <v>6984</v>
      </c>
      <c r="CRD33" t="s">
        <v>6984</v>
      </c>
      <c r="CRE33" t="s">
        <v>6984</v>
      </c>
      <c r="CRF33" t="s">
        <v>6984</v>
      </c>
      <c r="CRG33" t="s">
        <v>6984</v>
      </c>
      <c r="CRH33" t="s">
        <v>6984</v>
      </c>
      <c r="CRI33" t="s">
        <v>6984</v>
      </c>
      <c r="CRJ33" t="s">
        <v>6984</v>
      </c>
      <c r="CRK33" t="s">
        <v>6984</v>
      </c>
      <c r="CRL33" t="s">
        <v>6984</v>
      </c>
      <c r="CRM33" t="s">
        <v>6984</v>
      </c>
      <c r="CRN33" t="s">
        <v>6984</v>
      </c>
      <c r="CRO33" t="s">
        <v>6984</v>
      </c>
      <c r="CRP33" t="s">
        <v>6984</v>
      </c>
      <c r="CRQ33" t="s">
        <v>6984</v>
      </c>
      <c r="CRR33" t="s">
        <v>6984</v>
      </c>
      <c r="CRS33" t="s">
        <v>6984</v>
      </c>
      <c r="CRT33" t="s">
        <v>6984</v>
      </c>
      <c r="CRU33" t="s">
        <v>6984</v>
      </c>
      <c r="CRV33" t="s">
        <v>6984</v>
      </c>
      <c r="CRW33" t="s">
        <v>6984</v>
      </c>
      <c r="CRX33" t="s">
        <v>6984</v>
      </c>
      <c r="CRY33" t="s">
        <v>6984</v>
      </c>
      <c r="CRZ33" t="s">
        <v>6984</v>
      </c>
      <c r="CSA33" t="s">
        <v>6984</v>
      </c>
      <c r="CSB33" t="s">
        <v>6984</v>
      </c>
      <c r="CSC33" t="s">
        <v>6984</v>
      </c>
      <c r="CSD33" t="s">
        <v>6984</v>
      </c>
      <c r="CSE33" t="s">
        <v>6984</v>
      </c>
      <c r="CSF33" t="s">
        <v>6984</v>
      </c>
      <c r="CSG33" t="s">
        <v>6984</v>
      </c>
      <c r="CSH33" t="s">
        <v>6984</v>
      </c>
      <c r="CSI33" t="s">
        <v>6984</v>
      </c>
      <c r="CSJ33" t="s">
        <v>6984</v>
      </c>
      <c r="CSK33" t="s">
        <v>6984</v>
      </c>
      <c r="CSL33" t="s">
        <v>6984</v>
      </c>
      <c r="CSM33" t="s">
        <v>6984</v>
      </c>
      <c r="CSN33" t="s">
        <v>6984</v>
      </c>
      <c r="CSO33" t="s">
        <v>6984</v>
      </c>
      <c r="CSP33" t="s">
        <v>6984</v>
      </c>
      <c r="CSQ33" t="s">
        <v>6984</v>
      </c>
      <c r="CSR33" t="s">
        <v>6984</v>
      </c>
      <c r="CSS33" t="s">
        <v>6984</v>
      </c>
      <c r="CST33" t="s">
        <v>6984</v>
      </c>
      <c r="CSU33" t="s">
        <v>6984</v>
      </c>
      <c r="CSV33" t="s">
        <v>6984</v>
      </c>
      <c r="CSW33" t="s">
        <v>6984</v>
      </c>
      <c r="CSX33" t="s">
        <v>6984</v>
      </c>
      <c r="CSY33" t="s">
        <v>6984</v>
      </c>
      <c r="CSZ33" t="s">
        <v>6984</v>
      </c>
      <c r="CTA33" t="s">
        <v>6984</v>
      </c>
      <c r="CTB33" t="s">
        <v>6984</v>
      </c>
      <c r="CTC33" t="s">
        <v>6984</v>
      </c>
      <c r="CTD33" t="s">
        <v>6984</v>
      </c>
      <c r="CTE33" t="s">
        <v>6984</v>
      </c>
      <c r="CTF33" t="s">
        <v>6984</v>
      </c>
      <c r="CTG33" t="s">
        <v>6984</v>
      </c>
      <c r="CTH33" t="s">
        <v>6984</v>
      </c>
      <c r="CTI33" t="s">
        <v>6984</v>
      </c>
      <c r="CTJ33" t="s">
        <v>6984</v>
      </c>
      <c r="CTK33" t="s">
        <v>6984</v>
      </c>
      <c r="CTL33" t="s">
        <v>6984</v>
      </c>
      <c r="CTM33" t="s">
        <v>6984</v>
      </c>
      <c r="CTN33" t="s">
        <v>6984</v>
      </c>
      <c r="CTO33" t="s">
        <v>6984</v>
      </c>
      <c r="CTP33" t="s">
        <v>6984</v>
      </c>
      <c r="CTQ33" t="s">
        <v>6984</v>
      </c>
      <c r="CTR33" t="s">
        <v>6984</v>
      </c>
      <c r="CTS33" t="s">
        <v>6984</v>
      </c>
      <c r="CTT33" t="s">
        <v>6984</v>
      </c>
      <c r="CTU33" t="s">
        <v>6984</v>
      </c>
      <c r="CTV33" t="s">
        <v>6984</v>
      </c>
      <c r="CTW33" t="s">
        <v>6984</v>
      </c>
      <c r="CTX33" t="s">
        <v>6984</v>
      </c>
      <c r="CTY33" t="s">
        <v>6984</v>
      </c>
      <c r="CTZ33" t="s">
        <v>6984</v>
      </c>
      <c r="CUA33" t="s">
        <v>6984</v>
      </c>
      <c r="CUB33" t="s">
        <v>6984</v>
      </c>
      <c r="CUC33" t="s">
        <v>6984</v>
      </c>
      <c r="CUD33" t="s">
        <v>6984</v>
      </c>
      <c r="CUE33" t="s">
        <v>6984</v>
      </c>
      <c r="CUF33" t="s">
        <v>6984</v>
      </c>
      <c r="CUG33" t="s">
        <v>6984</v>
      </c>
      <c r="CUH33" t="s">
        <v>6984</v>
      </c>
      <c r="CUI33" t="s">
        <v>6984</v>
      </c>
      <c r="CUJ33" t="s">
        <v>6984</v>
      </c>
      <c r="CUK33" t="s">
        <v>6984</v>
      </c>
      <c r="CUL33" t="s">
        <v>6984</v>
      </c>
      <c r="CUM33" t="s">
        <v>6984</v>
      </c>
      <c r="CUN33" t="s">
        <v>6984</v>
      </c>
      <c r="CUO33" t="s">
        <v>6984</v>
      </c>
      <c r="CUP33" t="s">
        <v>6984</v>
      </c>
      <c r="CUQ33" t="s">
        <v>6984</v>
      </c>
      <c r="CUR33" t="s">
        <v>6984</v>
      </c>
      <c r="CUS33" t="s">
        <v>6984</v>
      </c>
      <c r="CUT33" t="s">
        <v>6984</v>
      </c>
      <c r="CUU33" t="s">
        <v>6984</v>
      </c>
      <c r="CUV33" t="s">
        <v>6984</v>
      </c>
      <c r="CUW33" t="s">
        <v>6984</v>
      </c>
      <c r="CUX33" t="s">
        <v>6984</v>
      </c>
      <c r="CUY33" t="s">
        <v>6984</v>
      </c>
      <c r="CUZ33" t="s">
        <v>6984</v>
      </c>
      <c r="CVA33" t="s">
        <v>6984</v>
      </c>
      <c r="CVB33" t="s">
        <v>6984</v>
      </c>
      <c r="CVC33" t="s">
        <v>6984</v>
      </c>
      <c r="CVD33" t="s">
        <v>6984</v>
      </c>
      <c r="CVE33" t="s">
        <v>6984</v>
      </c>
      <c r="CVF33" t="s">
        <v>6984</v>
      </c>
      <c r="CVG33" t="s">
        <v>6984</v>
      </c>
      <c r="CVH33" t="s">
        <v>6984</v>
      </c>
      <c r="CVI33" t="s">
        <v>6984</v>
      </c>
      <c r="CVJ33" t="s">
        <v>6984</v>
      </c>
      <c r="CVK33" t="s">
        <v>6984</v>
      </c>
      <c r="CVL33" t="s">
        <v>6984</v>
      </c>
      <c r="CVM33" t="s">
        <v>6984</v>
      </c>
      <c r="CVN33" t="s">
        <v>6984</v>
      </c>
      <c r="CVO33" t="s">
        <v>6984</v>
      </c>
      <c r="CVP33" t="s">
        <v>6984</v>
      </c>
      <c r="CVQ33" t="s">
        <v>6984</v>
      </c>
      <c r="CVR33" t="s">
        <v>6984</v>
      </c>
      <c r="CVS33" t="s">
        <v>6984</v>
      </c>
      <c r="CVT33" t="s">
        <v>6984</v>
      </c>
      <c r="CVU33" t="s">
        <v>6984</v>
      </c>
      <c r="CVV33" t="s">
        <v>6984</v>
      </c>
      <c r="CVW33" t="s">
        <v>6984</v>
      </c>
      <c r="CVX33" t="s">
        <v>6984</v>
      </c>
      <c r="CVY33" t="s">
        <v>6984</v>
      </c>
      <c r="CVZ33" t="s">
        <v>6984</v>
      </c>
      <c r="CWA33" t="s">
        <v>6984</v>
      </c>
      <c r="CWB33" t="s">
        <v>6984</v>
      </c>
      <c r="CWC33" t="s">
        <v>6984</v>
      </c>
      <c r="CWD33" t="s">
        <v>6984</v>
      </c>
      <c r="CWE33" t="s">
        <v>6984</v>
      </c>
      <c r="CWF33" t="s">
        <v>6984</v>
      </c>
      <c r="CWG33" t="s">
        <v>6984</v>
      </c>
      <c r="CWH33" t="s">
        <v>6984</v>
      </c>
      <c r="CWI33" t="s">
        <v>6984</v>
      </c>
      <c r="CWJ33" t="s">
        <v>6984</v>
      </c>
      <c r="CWK33" t="s">
        <v>6984</v>
      </c>
      <c r="CWL33" t="s">
        <v>6984</v>
      </c>
      <c r="CWM33" t="s">
        <v>6984</v>
      </c>
      <c r="CWN33" t="s">
        <v>6984</v>
      </c>
      <c r="CWO33" t="s">
        <v>6984</v>
      </c>
      <c r="CWP33" t="s">
        <v>6984</v>
      </c>
      <c r="CWQ33" t="s">
        <v>6984</v>
      </c>
      <c r="CWR33" t="s">
        <v>6984</v>
      </c>
      <c r="CWS33" t="s">
        <v>6984</v>
      </c>
      <c r="CWT33" t="s">
        <v>6984</v>
      </c>
      <c r="CWU33" t="s">
        <v>6984</v>
      </c>
      <c r="CWV33" t="s">
        <v>6984</v>
      </c>
      <c r="CWW33" t="s">
        <v>6984</v>
      </c>
      <c r="CWX33" t="s">
        <v>6984</v>
      </c>
      <c r="CWY33" t="s">
        <v>6984</v>
      </c>
      <c r="CWZ33" t="s">
        <v>6984</v>
      </c>
      <c r="CXA33" t="s">
        <v>6984</v>
      </c>
      <c r="CXB33" t="s">
        <v>6984</v>
      </c>
      <c r="CXC33" t="s">
        <v>6984</v>
      </c>
      <c r="CXD33" t="s">
        <v>6984</v>
      </c>
      <c r="CXE33" t="s">
        <v>6984</v>
      </c>
      <c r="CXF33" t="s">
        <v>6984</v>
      </c>
      <c r="CXG33" t="s">
        <v>6984</v>
      </c>
      <c r="CXH33" t="s">
        <v>6984</v>
      </c>
      <c r="CXI33" t="s">
        <v>6984</v>
      </c>
      <c r="CXJ33" t="s">
        <v>6984</v>
      </c>
      <c r="CXK33" t="s">
        <v>6984</v>
      </c>
      <c r="CXL33" t="s">
        <v>6984</v>
      </c>
      <c r="CXM33" t="s">
        <v>6984</v>
      </c>
      <c r="CXN33" t="s">
        <v>6984</v>
      </c>
      <c r="CXO33" t="s">
        <v>6984</v>
      </c>
      <c r="CXP33" t="s">
        <v>6984</v>
      </c>
      <c r="CXQ33" t="s">
        <v>6984</v>
      </c>
      <c r="CXR33" t="s">
        <v>6984</v>
      </c>
      <c r="CXS33" t="s">
        <v>6984</v>
      </c>
      <c r="CXT33" t="s">
        <v>6984</v>
      </c>
      <c r="CXU33" t="s">
        <v>6984</v>
      </c>
      <c r="CXV33" t="s">
        <v>6984</v>
      </c>
      <c r="CXW33" t="s">
        <v>6984</v>
      </c>
      <c r="CXX33" t="s">
        <v>6984</v>
      </c>
      <c r="CXY33" t="s">
        <v>6984</v>
      </c>
      <c r="CXZ33" t="s">
        <v>6984</v>
      </c>
      <c r="CYA33" t="s">
        <v>6984</v>
      </c>
      <c r="CYB33" t="s">
        <v>6984</v>
      </c>
      <c r="CYC33" t="s">
        <v>6984</v>
      </c>
      <c r="CYD33" t="s">
        <v>6984</v>
      </c>
      <c r="CYE33" t="s">
        <v>6984</v>
      </c>
      <c r="CYF33" t="s">
        <v>6984</v>
      </c>
      <c r="CYG33" t="s">
        <v>6984</v>
      </c>
      <c r="CYH33" t="s">
        <v>6984</v>
      </c>
      <c r="CYI33" t="s">
        <v>6984</v>
      </c>
      <c r="CYJ33" t="s">
        <v>6984</v>
      </c>
      <c r="CYK33" t="s">
        <v>6984</v>
      </c>
      <c r="CYL33" t="s">
        <v>6984</v>
      </c>
      <c r="CYM33" t="s">
        <v>6984</v>
      </c>
      <c r="CYN33" t="s">
        <v>6984</v>
      </c>
      <c r="CYO33" t="s">
        <v>6984</v>
      </c>
      <c r="CYP33" t="s">
        <v>6984</v>
      </c>
      <c r="CYQ33" t="s">
        <v>6984</v>
      </c>
      <c r="CYR33" t="s">
        <v>6984</v>
      </c>
      <c r="CYS33" t="s">
        <v>6984</v>
      </c>
      <c r="CYT33" t="s">
        <v>6984</v>
      </c>
      <c r="CYU33" t="s">
        <v>6984</v>
      </c>
      <c r="CYV33" t="s">
        <v>6984</v>
      </c>
      <c r="CYW33" t="s">
        <v>6984</v>
      </c>
      <c r="CYX33" t="s">
        <v>6984</v>
      </c>
      <c r="CYY33" t="s">
        <v>6984</v>
      </c>
      <c r="CYZ33" t="s">
        <v>6984</v>
      </c>
      <c r="CZA33" t="s">
        <v>6984</v>
      </c>
      <c r="CZB33" t="s">
        <v>6984</v>
      </c>
      <c r="CZC33" t="s">
        <v>6984</v>
      </c>
      <c r="CZD33" t="s">
        <v>6984</v>
      </c>
      <c r="CZE33" t="s">
        <v>6984</v>
      </c>
      <c r="CZF33" t="s">
        <v>6984</v>
      </c>
      <c r="CZG33" t="s">
        <v>6984</v>
      </c>
      <c r="CZH33" t="s">
        <v>6984</v>
      </c>
      <c r="CZI33" t="s">
        <v>6984</v>
      </c>
      <c r="CZJ33" t="s">
        <v>6984</v>
      </c>
      <c r="CZK33" t="s">
        <v>6984</v>
      </c>
      <c r="CZL33" t="s">
        <v>6984</v>
      </c>
      <c r="CZM33" t="s">
        <v>6984</v>
      </c>
      <c r="CZN33" t="s">
        <v>6984</v>
      </c>
      <c r="CZO33" t="s">
        <v>6984</v>
      </c>
      <c r="CZP33" t="s">
        <v>6984</v>
      </c>
      <c r="CZQ33" t="s">
        <v>6984</v>
      </c>
      <c r="CZR33" t="s">
        <v>6984</v>
      </c>
      <c r="CZS33" t="s">
        <v>6984</v>
      </c>
      <c r="CZT33" t="s">
        <v>6984</v>
      </c>
      <c r="CZU33" t="s">
        <v>6984</v>
      </c>
      <c r="CZV33" t="s">
        <v>6984</v>
      </c>
      <c r="CZW33" t="s">
        <v>6984</v>
      </c>
      <c r="CZX33" t="s">
        <v>6984</v>
      </c>
      <c r="CZY33" t="s">
        <v>6984</v>
      </c>
      <c r="CZZ33" t="s">
        <v>6984</v>
      </c>
      <c r="DAA33" t="s">
        <v>6984</v>
      </c>
      <c r="DAB33" t="s">
        <v>6984</v>
      </c>
      <c r="DAC33" t="s">
        <v>6984</v>
      </c>
      <c r="DAD33" t="s">
        <v>6984</v>
      </c>
      <c r="DAE33" t="s">
        <v>6984</v>
      </c>
      <c r="DAF33" t="s">
        <v>6984</v>
      </c>
      <c r="DAG33" t="s">
        <v>6984</v>
      </c>
      <c r="DAH33" t="s">
        <v>6984</v>
      </c>
      <c r="DAI33" t="s">
        <v>6984</v>
      </c>
      <c r="DAJ33" t="s">
        <v>6984</v>
      </c>
      <c r="DAK33" t="s">
        <v>6984</v>
      </c>
      <c r="DAL33" t="s">
        <v>6984</v>
      </c>
      <c r="DAM33" t="s">
        <v>6984</v>
      </c>
      <c r="DAN33" t="s">
        <v>6984</v>
      </c>
      <c r="DAO33" t="s">
        <v>6984</v>
      </c>
      <c r="DAP33" t="s">
        <v>6984</v>
      </c>
      <c r="DAQ33" t="s">
        <v>6984</v>
      </c>
      <c r="DAR33" t="s">
        <v>6984</v>
      </c>
      <c r="DAS33" t="s">
        <v>6984</v>
      </c>
      <c r="DAT33" t="s">
        <v>6984</v>
      </c>
      <c r="DAU33" t="s">
        <v>6984</v>
      </c>
      <c r="DAV33" t="s">
        <v>6984</v>
      </c>
      <c r="DAW33" t="s">
        <v>6984</v>
      </c>
      <c r="DAX33" t="s">
        <v>6984</v>
      </c>
      <c r="DAY33" t="s">
        <v>6984</v>
      </c>
      <c r="DAZ33" t="s">
        <v>6984</v>
      </c>
      <c r="DBA33" t="s">
        <v>6984</v>
      </c>
      <c r="DBB33" t="s">
        <v>6984</v>
      </c>
      <c r="DBC33" t="s">
        <v>6984</v>
      </c>
      <c r="DBD33" t="s">
        <v>6984</v>
      </c>
      <c r="DBE33" t="s">
        <v>6984</v>
      </c>
      <c r="DBF33" t="s">
        <v>6984</v>
      </c>
      <c r="DBG33" t="s">
        <v>6984</v>
      </c>
      <c r="DBH33" t="s">
        <v>6984</v>
      </c>
      <c r="DBI33" t="s">
        <v>6984</v>
      </c>
      <c r="DBJ33" t="s">
        <v>6984</v>
      </c>
      <c r="DBK33" t="s">
        <v>6984</v>
      </c>
      <c r="DBL33" t="s">
        <v>6984</v>
      </c>
      <c r="DBM33" t="s">
        <v>6984</v>
      </c>
      <c r="DBN33" t="s">
        <v>6984</v>
      </c>
      <c r="DBO33" t="s">
        <v>6984</v>
      </c>
      <c r="DBP33" t="s">
        <v>6984</v>
      </c>
      <c r="DBQ33" t="s">
        <v>6984</v>
      </c>
      <c r="DBR33" t="s">
        <v>6984</v>
      </c>
      <c r="DBS33" t="s">
        <v>6984</v>
      </c>
      <c r="DBT33" t="s">
        <v>6984</v>
      </c>
      <c r="DBU33" t="s">
        <v>6984</v>
      </c>
      <c r="DBV33" t="s">
        <v>6984</v>
      </c>
      <c r="DBW33" t="s">
        <v>6984</v>
      </c>
      <c r="DBX33" t="s">
        <v>6984</v>
      </c>
      <c r="DBY33" t="s">
        <v>6984</v>
      </c>
      <c r="DBZ33" t="s">
        <v>6984</v>
      </c>
      <c r="DCA33" t="s">
        <v>6984</v>
      </c>
      <c r="DCB33" t="s">
        <v>6984</v>
      </c>
      <c r="DCC33" t="s">
        <v>6984</v>
      </c>
      <c r="DCD33" t="s">
        <v>6984</v>
      </c>
      <c r="DCE33" t="s">
        <v>6984</v>
      </c>
      <c r="DCF33" t="s">
        <v>6984</v>
      </c>
      <c r="DCG33" t="s">
        <v>6984</v>
      </c>
      <c r="DCH33" t="s">
        <v>6984</v>
      </c>
      <c r="DCI33" t="s">
        <v>6984</v>
      </c>
      <c r="DCJ33" t="s">
        <v>6984</v>
      </c>
      <c r="DCK33" t="s">
        <v>6984</v>
      </c>
      <c r="DCL33" t="s">
        <v>6984</v>
      </c>
      <c r="DCM33" t="s">
        <v>6984</v>
      </c>
      <c r="DCN33" t="s">
        <v>6984</v>
      </c>
      <c r="DCO33" t="s">
        <v>6984</v>
      </c>
      <c r="DCP33" t="s">
        <v>6984</v>
      </c>
      <c r="DCQ33" t="s">
        <v>6984</v>
      </c>
      <c r="DCR33" t="s">
        <v>6984</v>
      </c>
      <c r="DCS33" t="s">
        <v>6984</v>
      </c>
      <c r="DCT33" t="s">
        <v>6984</v>
      </c>
      <c r="DCU33" t="s">
        <v>6984</v>
      </c>
      <c r="DCV33" t="s">
        <v>6984</v>
      </c>
      <c r="DCW33" t="s">
        <v>6984</v>
      </c>
      <c r="DCX33" t="s">
        <v>6984</v>
      </c>
      <c r="DCY33" t="s">
        <v>6984</v>
      </c>
      <c r="DCZ33" t="s">
        <v>6984</v>
      </c>
      <c r="DDA33" t="s">
        <v>6984</v>
      </c>
      <c r="DDB33" t="s">
        <v>6984</v>
      </c>
      <c r="DDC33" t="s">
        <v>6984</v>
      </c>
      <c r="DDD33" t="s">
        <v>6984</v>
      </c>
      <c r="DDE33" t="s">
        <v>6984</v>
      </c>
      <c r="DDF33" t="s">
        <v>6984</v>
      </c>
      <c r="DDG33" t="s">
        <v>6984</v>
      </c>
      <c r="DDH33" t="s">
        <v>6984</v>
      </c>
      <c r="DDI33" t="s">
        <v>6984</v>
      </c>
      <c r="DDJ33" t="s">
        <v>6984</v>
      </c>
      <c r="DDK33" t="s">
        <v>6984</v>
      </c>
      <c r="DDL33" t="s">
        <v>6984</v>
      </c>
      <c r="DDM33" t="s">
        <v>6984</v>
      </c>
      <c r="DDN33" t="s">
        <v>6984</v>
      </c>
      <c r="DDO33" t="s">
        <v>6984</v>
      </c>
      <c r="DDP33" t="s">
        <v>6984</v>
      </c>
      <c r="DDQ33" t="s">
        <v>6984</v>
      </c>
      <c r="DDR33" t="s">
        <v>6984</v>
      </c>
      <c r="DDS33" t="s">
        <v>6984</v>
      </c>
      <c r="DDT33" t="s">
        <v>6984</v>
      </c>
      <c r="DDU33" t="s">
        <v>6984</v>
      </c>
      <c r="DDV33" t="s">
        <v>6984</v>
      </c>
      <c r="DDW33" t="s">
        <v>6984</v>
      </c>
      <c r="DDX33" t="s">
        <v>6984</v>
      </c>
      <c r="DDY33" t="s">
        <v>6984</v>
      </c>
      <c r="DDZ33" t="s">
        <v>6984</v>
      </c>
      <c r="DEA33" t="s">
        <v>6984</v>
      </c>
      <c r="DEB33" t="s">
        <v>6984</v>
      </c>
      <c r="DEC33" t="s">
        <v>6984</v>
      </c>
      <c r="DED33" t="s">
        <v>6984</v>
      </c>
      <c r="DEE33" t="s">
        <v>6984</v>
      </c>
      <c r="DEF33" t="s">
        <v>6984</v>
      </c>
      <c r="DEG33" t="s">
        <v>6984</v>
      </c>
      <c r="DEH33" t="s">
        <v>6984</v>
      </c>
      <c r="DEI33" t="s">
        <v>6984</v>
      </c>
      <c r="DEJ33" t="s">
        <v>6984</v>
      </c>
      <c r="DEK33" t="s">
        <v>6984</v>
      </c>
      <c r="DEL33" t="s">
        <v>6984</v>
      </c>
      <c r="DEM33" t="s">
        <v>6984</v>
      </c>
      <c r="DEN33" t="s">
        <v>6984</v>
      </c>
      <c r="DEO33" t="s">
        <v>6984</v>
      </c>
      <c r="DEP33" t="s">
        <v>6984</v>
      </c>
      <c r="DEQ33" t="s">
        <v>6984</v>
      </c>
      <c r="DER33" t="s">
        <v>6984</v>
      </c>
      <c r="DES33" t="s">
        <v>6984</v>
      </c>
      <c r="DET33" t="s">
        <v>6984</v>
      </c>
      <c r="DEU33" t="s">
        <v>6984</v>
      </c>
      <c r="DEV33" t="s">
        <v>6984</v>
      </c>
      <c r="DEW33" t="s">
        <v>6984</v>
      </c>
      <c r="DEX33" t="s">
        <v>6984</v>
      </c>
      <c r="DEY33" t="s">
        <v>6984</v>
      </c>
      <c r="DEZ33" t="s">
        <v>6984</v>
      </c>
      <c r="DFA33" t="s">
        <v>6984</v>
      </c>
      <c r="DFB33" t="s">
        <v>6984</v>
      </c>
      <c r="DFC33" t="s">
        <v>6984</v>
      </c>
      <c r="DFD33" t="s">
        <v>6984</v>
      </c>
      <c r="DFE33" t="s">
        <v>6984</v>
      </c>
      <c r="DFF33" t="s">
        <v>6984</v>
      </c>
      <c r="DFG33" t="s">
        <v>6984</v>
      </c>
      <c r="DFH33" t="s">
        <v>6984</v>
      </c>
      <c r="DFI33" t="s">
        <v>6984</v>
      </c>
      <c r="DFJ33" t="s">
        <v>6984</v>
      </c>
      <c r="DFK33" t="s">
        <v>6984</v>
      </c>
      <c r="DFL33" t="s">
        <v>6984</v>
      </c>
      <c r="DFM33" t="s">
        <v>6984</v>
      </c>
      <c r="DFN33" t="s">
        <v>6984</v>
      </c>
      <c r="DFO33" t="s">
        <v>6984</v>
      </c>
      <c r="DFP33" t="s">
        <v>6984</v>
      </c>
      <c r="DFQ33" t="s">
        <v>6984</v>
      </c>
      <c r="DFR33" t="s">
        <v>6984</v>
      </c>
      <c r="DFS33" t="s">
        <v>6984</v>
      </c>
      <c r="DFT33" t="s">
        <v>6984</v>
      </c>
      <c r="DFU33" t="s">
        <v>6984</v>
      </c>
      <c r="DFV33" t="s">
        <v>6984</v>
      </c>
      <c r="DFW33" t="s">
        <v>6984</v>
      </c>
      <c r="DFX33" t="s">
        <v>6984</v>
      </c>
      <c r="DFY33" t="s">
        <v>6984</v>
      </c>
      <c r="DFZ33" t="s">
        <v>6984</v>
      </c>
      <c r="DGA33" t="s">
        <v>6984</v>
      </c>
      <c r="DGB33" t="s">
        <v>6984</v>
      </c>
      <c r="DGC33" t="s">
        <v>6984</v>
      </c>
      <c r="DGD33" t="s">
        <v>6984</v>
      </c>
      <c r="DGE33" t="s">
        <v>6984</v>
      </c>
      <c r="DGF33" t="s">
        <v>6984</v>
      </c>
      <c r="DGG33" t="s">
        <v>6984</v>
      </c>
      <c r="DGH33" t="s">
        <v>6984</v>
      </c>
      <c r="DGI33" t="s">
        <v>6984</v>
      </c>
      <c r="DGJ33" t="s">
        <v>6984</v>
      </c>
      <c r="DGK33" t="s">
        <v>6984</v>
      </c>
      <c r="DGL33" t="s">
        <v>6984</v>
      </c>
      <c r="DGM33" t="s">
        <v>6984</v>
      </c>
      <c r="DGN33" t="s">
        <v>6984</v>
      </c>
      <c r="DGO33" t="s">
        <v>6984</v>
      </c>
      <c r="DGP33" t="s">
        <v>6984</v>
      </c>
      <c r="DGQ33" t="s">
        <v>6984</v>
      </c>
      <c r="DGR33" t="s">
        <v>6984</v>
      </c>
      <c r="DGS33" t="s">
        <v>6984</v>
      </c>
      <c r="DGT33" t="s">
        <v>6984</v>
      </c>
      <c r="DGU33" t="s">
        <v>6984</v>
      </c>
      <c r="DGV33" t="s">
        <v>6984</v>
      </c>
      <c r="DGW33" t="s">
        <v>6984</v>
      </c>
      <c r="DGX33" t="s">
        <v>6984</v>
      </c>
      <c r="DGY33" t="s">
        <v>6984</v>
      </c>
      <c r="DGZ33" t="s">
        <v>6984</v>
      </c>
      <c r="DHA33" t="s">
        <v>6984</v>
      </c>
      <c r="DHB33" t="s">
        <v>6984</v>
      </c>
      <c r="DHC33" t="s">
        <v>6984</v>
      </c>
      <c r="DHD33" t="s">
        <v>6984</v>
      </c>
      <c r="DHE33" t="s">
        <v>6984</v>
      </c>
      <c r="DHF33" t="s">
        <v>6984</v>
      </c>
      <c r="DHG33" t="s">
        <v>6984</v>
      </c>
      <c r="DHH33" t="s">
        <v>6984</v>
      </c>
      <c r="DHI33" t="s">
        <v>6984</v>
      </c>
      <c r="DHJ33" t="s">
        <v>6984</v>
      </c>
      <c r="DHK33" t="s">
        <v>6984</v>
      </c>
      <c r="DHL33" t="s">
        <v>6984</v>
      </c>
      <c r="DHM33" t="s">
        <v>6984</v>
      </c>
      <c r="DHN33" t="s">
        <v>6984</v>
      </c>
      <c r="DHO33" t="s">
        <v>6984</v>
      </c>
      <c r="DHP33" t="s">
        <v>6984</v>
      </c>
      <c r="DHQ33" t="s">
        <v>6984</v>
      </c>
      <c r="DHR33" t="s">
        <v>6984</v>
      </c>
      <c r="DHS33" t="s">
        <v>6984</v>
      </c>
      <c r="DHT33" t="s">
        <v>6984</v>
      </c>
      <c r="DHU33" t="s">
        <v>6984</v>
      </c>
      <c r="DHV33" t="s">
        <v>6984</v>
      </c>
      <c r="DHW33" t="s">
        <v>6984</v>
      </c>
      <c r="DHX33" t="s">
        <v>6984</v>
      </c>
      <c r="DHY33" t="s">
        <v>6984</v>
      </c>
      <c r="DHZ33" t="s">
        <v>6984</v>
      </c>
      <c r="DIA33" t="s">
        <v>6984</v>
      </c>
      <c r="DIB33" t="s">
        <v>6984</v>
      </c>
      <c r="DIC33" t="s">
        <v>6984</v>
      </c>
      <c r="DID33" t="s">
        <v>6984</v>
      </c>
      <c r="DIE33" t="s">
        <v>6984</v>
      </c>
      <c r="DIF33" t="s">
        <v>6984</v>
      </c>
      <c r="DIG33" t="s">
        <v>6984</v>
      </c>
      <c r="DIH33" t="s">
        <v>6984</v>
      </c>
      <c r="DII33" t="s">
        <v>6984</v>
      </c>
      <c r="DIJ33" t="s">
        <v>6984</v>
      </c>
      <c r="DIK33" t="s">
        <v>6984</v>
      </c>
      <c r="DIL33" t="s">
        <v>6984</v>
      </c>
      <c r="DIM33" t="s">
        <v>6984</v>
      </c>
      <c r="DIN33" t="s">
        <v>6984</v>
      </c>
      <c r="DIO33" t="s">
        <v>6984</v>
      </c>
      <c r="DIP33" t="s">
        <v>6984</v>
      </c>
      <c r="DIQ33" t="s">
        <v>6984</v>
      </c>
      <c r="DIR33" t="s">
        <v>6984</v>
      </c>
      <c r="DIS33" t="s">
        <v>6984</v>
      </c>
      <c r="DIT33" t="s">
        <v>6984</v>
      </c>
      <c r="DIU33" t="s">
        <v>6984</v>
      </c>
      <c r="DIV33" t="s">
        <v>6984</v>
      </c>
      <c r="DIW33" t="s">
        <v>6984</v>
      </c>
      <c r="DIX33" t="s">
        <v>6984</v>
      </c>
      <c r="DIY33" t="s">
        <v>6984</v>
      </c>
      <c r="DIZ33" t="s">
        <v>6984</v>
      </c>
      <c r="DJA33" t="s">
        <v>6984</v>
      </c>
      <c r="DJB33" t="s">
        <v>6984</v>
      </c>
      <c r="DJC33" t="s">
        <v>6984</v>
      </c>
      <c r="DJD33" t="s">
        <v>6984</v>
      </c>
      <c r="DJE33" t="s">
        <v>6984</v>
      </c>
      <c r="DJF33" t="s">
        <v>6984</v>
      </c>
      <c r="DJG33" t="s">
        <v>6984</v>
      </c>
      <c r="DJH33" t="s">
        <v>6984</v>
      </c>
      <c r="DJI33" t="s">
        <v>6984</v>
      </c>
      <c r="DJJ33" t="s">
        <v>6984</v>
      </c>
      <c r="DJK33" t="s">
        <v>6984</v>
      </c>
      <c r="DJL33" t="s">
        <v>6984</v>
      </c>
      <c r="DJM33" t="s">
        <v>6984</v>
      </c>
      <c r="DJN33" t="s">
        <v>6984</v>
      </c>
      <c r="DJO33" t="s">
        <v>6984</v>
      </c>
      <c r="DJP33" t="s">
        <v>6984</v>
      </c>
      <c r="DJQ33" t="s">
        <v>6984</v>
      </c>
      <c r="DJR33" t="s">
        <v>6984</v>
      </c>
      <c r="DJS33" t="s">
        <v>6984</v>
      </c>
      <c r="DJT33" t="s">
        <v>6984</v>
      </c>
      <c r="DJU33" t="s">
        <v>6984</v>
      </c>
      <c r="DJV33" t="s">
        <v>6984</v>
      </c>
      <c r="DJW33" t="s">
        <v>6984</v>
      </c>
      <c r="DJX33" t="s">
        <v>6984</v>
      </c>
      <c r="DJY33" t="s">
        <v>6984</v>
      </c>
      <c r="DJZ33" t="s">
        <v>6984</v>
      </c>
      <c r="DKA33" t="s">
        <v>6984</v>
      </c>
      <c r="DKB33" t="s">
        <v>6984</v>
      </c>
      <c r="DKC33" t="s">
        <v>6984</v>
      </c>
      <c r="DKD33" t="s">
        <v>6984</v>
      </c>
      <c r="DKE33" t="s">
        <v>6984</v>
      </c>
      <c r="DKF33" t="s">
        <v>6984</v>
      </c>
      <c r="DKG33" t="s">
        <v>6984</v>
      </c>
      <c r="DKH33" t="s">
        <v>6984</v>
      </c>
      <c r="DKI33" t="s">
        <v>6984</v>
      </c>
      <c r="DKJ33" t="s">
        <v>6984</v>
      </c>
      <c r="DKK33" t="s">
        <v>6984</v>
      </c>
      <c r="DKL33" t="s">
        <v>6984</v>
      </c>
      <c r="DKM33" t="s">
        <v>6984</v>
      </c>
      <c r="DKN33" t="s">
        <v>6984</v>
      </c>
      <c r="DKO33" t="s">
        <v>6984</v>
      </c>
      <c r="DKP33" t="s">
        <v>6984</v>
      </c>
      <c r="DKQ33" t="s">
        <v>6984</v>
      </c>
      <c r="DKR33" t="s">
        <v>6984</v>
      </c>
      <c r="DKS33" t="s">
        <v>6984</v>
      </c>
      <c r="DKT33" t="s">
        <v>6984</v>
      </c>
      <c r="DKU33" t="s">
        <v>6984</v>
      </c>
      <c r="DKV33" t="s">
        <v>6984</v>
      </c>
      <c r="DKW33" t="s">
        <v>6984</v>
      </c>
      <c r="DKX33" t="s">
        <v>6984</v>
      </c>
      <c r="DKY33" t="s">
        <v>6984</v>
      </c>
      <c r="DKZ33" t="s">
        <v>6984</v>
      </c>
      <c r="DLA33" t="s">
        <v>6984</v>
      </c>
      <c r="DLB33" t="s">
        <v>6984</v>
      </c>
      <c r="DLC33" t="s">
        <v>6984</v>
      </c>
      <c r="DLD33" t="s">
        <v>6984</v>
      </c>
      <c r="DLE33" t="s">
        <v>6984</v>
      </c>
      <c r="DLF33" t="s">
        <v>6984</v>
      </c>
      <c r="DLG33" t="s">
        <v>6984</v>
      </c>
      <c r="DLH33" t="s">
        <v>6984</v>
      </c>
      <c r="DLI33" t="s">
        <v>6984</v>
      </c>
      <c r="DLJ33" t="s">
        <v>6984</v>
      </c>
      <c r="DLK33" t="s">
        <v>6984</v>
      </c>
      <c r="DLL33" t="s">
        <v>6984</v>
      </c>
      <c r="DLM33" t="s">
        <v>6984</v>
      </c>
      <c r="DLN33" t="s">
        <v>6984</v>
      </c>
      <c r="DLO33" t="s">
        <v>6984</v>
      </c>
      <c r="DLP33" t="s">
        <v>6984</v>
      </c>
      <c r="DLQ33" t="s">
        <v>6984</v>
      </c>
      <c r="DLR33" t="s">
        <v>6984</v>
      </c>
      <c r="DLS33" t="s">
        <v>6984</v>
      </c>
      <c r="DLT33" t="s">
        <v>6984</v>
      </c>
      <c r="DLU33" t="s">
        <v>6984</v>
      </c>
      <c r="DLV33" t="s">
        <v>6984</v>
      </c>
      <c r="DLW33" t="s">
        <v>6984</v>
      </c>
      <c r="DLX33" t="s">
        <v>6984</v>
      </c>
      <c r="DLY33" t="s">
        <v>6984</v>
      </c>
      <c r="DLZ33" t="s">
        <v>6984</v>
      </c>
      <c r="DMA33" t="s">
        <v>6984</v>
      </c>
      <c r="DMB33" t="s">
        <v>6984</v>
      </c>
      <c r="DMC33" t="s">
        <v>6984</v>
      </c>
      <c r="DMD33" t="s">
        <v>6984</v>
      </c>
      <c r="DME33" t="s">
        <v>6984</v>
      </c>
      <c r="DMF33" t="s">
        <v>6984</v>
      </c>
      <c r="DMG33" t="s">
        <v>6984</v>
      </c>
      <c r="DMH33" t="s">
        <v>6984</v>
      </c>
      <c r="DMI33" t="s">
        <v>6984</v>
      </c>
      <c r="DMJ33" t="s">
        <v>6984</v>
      </c>
      <c r="DMK33" t="s">
        <v>6984</v>
      </c>
      <c r="DML33" t="s">
        <v>6984</v>
      </c>
      <c r="DMM33" t="s">
        <v>6984</v>
      </c>
      <c r="DMN33" t="s">
        <v>6984</v>
      </c>
      <c r="DMO33" t="s">
        <v>6984</v>
      </c>
      <c r="DMP33" t="s">
        <v>6984</v>
      </c>
      <c r="DMQ33" t="s">
        <v>6984</v>
      </c>
      <c r="DMR33" t="s">
        <v>6984</v>
      </c>
      <c r="DMS33" t="s">
        <v>6984</v>
      </c>
      <c r="DMT33" t="s">
        <v>6984</v>
      </c>
      <c r="DMU33" t="s">
        <v>6984</v>
      </c>
      <c r="DMV33" t="s">
        <v>6984</v>
      </c>
      <c r="DMW33" t="s">
        <v>6984</v>
      </c>
      <c r="DMX33" t="s">
        <v>6984</v>
      </c>
      <c r="DMY33" t="s">
        <v>6984</v>
      </c>
      <c r="DMZ33" t="s">
        <v>6984</v>
      </c>
      <c r="DNA33" t="s">
        <v>6984</v>
      </c>
      <c r="DNB33" t="s">
        <v>6984</v>
      </c>
      <c r="DNC33" t="s">
        <v>6984</v>
      </c>
      <c r="DND33" t="s">
        <v>6984</v>
      </c>
      <c r="DNE33" t="s">
        <v>6984</v>
      </c>
      <c r="DNF33" t="s">
        <v>6984</v>
      </c>
      <c r="DNG33" t="s">
        <v>6984</v>
      </c>
      <c r="DNH33" t="s">
        <v>6984</v>
      </c>
      <c r="DNI33" t="s">
        <v>6984</v>
      </c>
      <c r="DNJ33" t="s">
        <v>6984</v>
      </c>
      <c r="DNK33" t="s">
        <v>6984</v>
      </c>
      <c r="DNL33" t="s">
        <v>6984</v>
      </c>
      <c r="DNM33" t="s">
        <v>6984</v>
      </c>
      <c r="DNN33" t="s">
        <v>6984</v>
      </c>
      <c r="DNO33" t="s">
        <v>6984</v>
      </c>
      <c r="DNP33" t="s">
        <v>6984</v>
      </c>
      <c r="DNQ33" t="s">
        <v>6984</v>
      </c>
      <c r="DNR33" t="s">
        <v>6984</v>
      </c>
      <c r="DNS33" t="s">
        <v>6984</v>
      </c>
      <c r="DNT33" t="s">
        <v>6984</v>
      </c>
      <c r="DNU33" t="s">
        <v>6984</v>
      </c>
      <c r="DNV33" t="s">
        <v>6984</v>
      </c>
      <c r="DNW33" t="s">
        <v>6984</v>
      </c>
      <c r="DNX33" t="s">
        <v>6984</v>
      </c>
      <c r="DNY33" t="s">
        <v>6984</v>
      </c>
      <c r="DNZ33" t="s">
        <v>6984</v>
      </c>
      <c r="DOA33" t="s">
        <v>6984</v>
      </c>
      <c r="DOB33" t="s">
        <v>6984</v>
      </c>
      <c r="DOC33" t="s">
        <v>6984</v>
      </c>
      <c r="DOD33" t="s">
        <v>6984</v>
      </c>
      <c r="DOE33" t="s">
        <v>6984</v>
      </c>
      <c r="DOF33" t="s">
        <v>6984</v>
      </c>
      <c r="DOG33" t="s">
        <v>6984</v>
      </c>
      <c r="DOH33" t="s">
        <v>6984</v>
      </c>
      <c r="DOI33" t="s">
        <v>6984</v>
      </c>
      <c r="DOJ33" t="s">
        <v>6984</v>
      </c>
      <c r="DOK33" t="s">
        <v>6984</v>
      </c>
      <c r="DOL33" t="s">
        <v>6984</v>
      </c>
      <c r="DOM33" t="s">
        <v>6984</v>
      </c>
      <c r="DON33" t="s">
        <v>6984</v>
      </c>
      <c r="DOO33" t="s">
        <v>6984</v>
      </c>
      <c r="DOP33" t="s">
        <v>6984</v>
      </c>
      <c r="DOQ33" t="s">
        <v>6984</v>
      </c>
      <c r="DOR33" t="s">
        <v>6984</v>
      </c>
      <c r="DOS33" t="s">
        <v>6984</v>
      </c>
      <c r="DOT33" t="s">
        <v>6984</v>
      </c>
      <c r="DOU33" t="s">
        <v>6984</v>
      </c>
      <c r="DOV33" t="s">
        <v>6984</v>
      </c>
      <c r="DOW33" t="s">
        <v>6984</v>
      </c>
      <c r="DOX33" t="s">
        <v>6984</v>
      </c>
      <c r="DOY33" t="s">
        <v>6984</v>
      </c>
      <c r="DOZ33" t="s">
        <v>6984</v>
      </c>
      <c r="DPA33" t="s">
        <v>6984</v>
      </c>
      <c r="DPB33" t="s">
        <v>6984</v>
      </c>
      <c r="DPC33" t="s">
        <v>6984</v>
      </c>
      <c r="DPD33" t="s">
        <v>6984</v>
      </c>
      <c r="DPE33" t="s">
        <v>6984</v>
      </c>
      <c r="DPF33" t="s">
        <v>6984</v>
      </c>
      <c r="DPG33" t="s">
        <v>6984</v>
      </c>
      <c r="DPH33" t="s">
        <v>6984</v>
      </c>
      <c r="DPI33" t="s">
        <v>6984</v>
      </c>
      <c r="DPJ33" t="s">
        <v>6984</v>
      </c>
      <c r="DPK33" t="s">
        <v>6984</v>
      </c>
      <c r="DPL33" t="s">
        <v>6984</v>
      </c>
      <c r="DPM33" t="s">
        <v>6984</v>
      </c>
      <c r="DPN33" t="s">
        <v>6984</v>
      </c>
      <c r="DPO33" t="s">
        <v>6984</v>
      </c>
      <c r="DPP33" t="s">
        <v>6984</v>
      </c>
      <c r="DPQ33" t="s">
        <v>6984</v>
      </c>
      <c r="DPR33" t="s">
        <v>6984</v>
      </c>
      <c r="DPS33" t="s">
        <v>6984</v>
      </c>
      <c r="DPT33" t="s">
        <v>6984</v>
      </c>
      <c r="DPU33" t="s">
        <v>6984</v>
      </c>
      <c r="DPV33" t="s">
        <v>6984</v>
      </c>
      <c r="DPW33" t="s">
        <v>6984</v>
      </c>
      <c r="DPX33" t="s">
        <v>6984</v>
      </c>
      <c r="DPY33" t="s">
        <v>6984</v>
      </c>
      <c r="DPZ33" t="s">
        <v>6984</v>
      </c>
      <c r="DQA33" t="s">
        <v>6984</v>
      </c>
      <c r="DQB33" t="s">
        <v>6984</v>
      </c>
      <c r="DQC33" t="s">
        <v>6984</v>
      </c>
      <c r="DQD33" t="s">
        <v>6984</v>
      </c>
      <c r="DQE33" t="s">
        <v>6984</v>
      </c>
      <c r="DQF33" t="s">
        <v>6984</v>
      </c>
      <c r="DQG33" t="s">
        <v>6984</v>
      </c>
      <c r="DQH33" t="s">
        <v>6984</v>
      </c>
      <c r="DQI33" t="s">
        <v>6984</v>
      </c>
      <c r="DQJ33" t="s">
        <v>6984</v>
      </c>
      <c r="DQK33" t="s">
        <v>6984</v>
      </c>
      <c r="DQL33" t="s">
        <v>6984</v>
      </c>
      <c r="DQM33" t="s">
        <v>6984</v>
      </c>
      <c r="DQN33" t="s">
        <v>6984</v>
      </c>
      <c r="DQO33" t="s">
        <v>6984</v>
      </c>
      <c r="DQP33" t="s">
        <v>6984</v>
      </c>
      <c r="DQQ33" t="s">
        <v>6984</v>
      </c>
      <c r="DQR33" t="s">
        <v>6984</v>
      </c>
      <c r="DQS33" t="s">
        <v>6984</v>
      </c>
      <c r="DQT33" t="s">
        <v>6984</v>
      </c>
      <c r="DQU33" t="s">
        <v>6984</v>
      </c>
      <c r="DQV33" t="s">
        <v>6984</v>
      </c>
      <c r="DQW33" t="s">
        <v>6984</v>
      </c>
      <c r="DQX33" t="s">
        <v>6984</v>
      </c>
      <c r="DQY33" t="s">
        <v>6984</v>
      </c>
      <c r="DQZ33" t="s">
        <v>6984</v>
      </c>
      <c r="DRA33" t="s">
        <v>6984</v>
      </c>
      <c r="DRB33" t="s">
        <v>6984</v>
      </c>
      <c r="DRC33" t="s">
        <v>6984</v>
      </c>
      <c r="DRD33" t="s">
        <v>6984</v>
      </c>
      <c r="DRE33" t="s">
        <v>6984</v>
      </c>
      <c r="DRF33" t="s">
        <v>6984</v>
      </c>
      <c r="DRG33" t="s">
        <v>6984</v>
      </c>
      <c r="DRH33" t="s">
        <v>6984</v>
      </c>
      <c r="DRI33" t="s">
        <v>6984</v>
      </c>
      <c r="DRJ33" t="s">
        <v>6984</v>
      </c>
      <c r="DRK33" t="s">
        <v>6984</v>
      </c>
      <c r="DRL33" t="s">
        <v>6984</v>
      </c>
      <c r="DRM33" t="s">
        <v>6984</v>
      </c>
      <c r="DRN33" t="s">
        <v>6984</v>
      </c>
      <c r="DRO33" t="s">
        <v>6984</v>
      </c>
      <c r="DRP33" t="s">
        <v>6984</v>
      </c>
      <c r="DRQ33" t="s">
        <v>6984</v>
      </c>
      <c r="DRR33" t="s">
        <v>6984</v>
      </c>
      <c r="DRS33" t="s">
        <v>6984</v>
      </c>
      <c r="DRT33" t="s">
        <v>6984</v>
      </c>
      <c r="DRU33" t="s">
        <v>6984</v>
      </c>
      <c r="DRV33" t="s">
        <v>6984</v>
      </c>
      <c r="DRW33" t="s">
        <v>6984</v>
      </c>
      <c r="DRX33" t="s">
        <v>6984</v>
      </c>
      <c r="DRY33" t="s">
        <v>6984</v>
      </c>
      <c r="DRZ33" t="s">
        <v>6984</v>
      </c>
      <c r="DSA33" t="s">
        <v>6984</v>
      </c>
      <c r="DSB33" t="s">
        <v>6984</v>
      </c>
      <c r="DSC33" t="s">
        <v>6984</v>
      </c>
      <c r="DSD33" t="s">
        <v>6984</v>
      </c>
      <c r="DSE33" t="s">
        <v>6984</v>
      </c>
      <c r="DSF33" t="s">
        <v>6984</v>
      </c>
      <c r="DSG33" t="s">
        <v>6984</v>
      </c>
      <c r="DSH33" t="s">
        <v>6984</v>
      </c>
      <c r="DSI33" t="s">
        <v>6984</v>
      </c>
      <c r="DSJ33" t="s">
        <v>6984</v>
      </c>
      <c r="DSK33" t="s">
        <v>6984</v>
      </c>
      <c r="DSL33" t="s">
        <v>6984</v>
      </c>
      <c r="DSM33" t="s">
        <v>6984</v>
      </c>
      <c r="DSN33" t="s">
        <v>6984</v>
      </c>
      <c r="DSO33" t="s">
        <v>6984</v>
      </c>
      <c r="DSP33" t="s">
        <v>6984</v>
      </c>
      <c r="DSQ33" t="s">
        <v>6984</v>
      </c>
      <c r="DSR33" t="s">
        <v>6984</v>
      </c>
      <c r="DSS33" t="s">
        <v>6984</v>
      </c>
      <c r="DST33" t="s">
        <v>6984</v>
      </c>
      <c r="DSU33" t="s">
        <v>6984</v>
      </c>
      <c r="DSV33" t="s">
        <v>6984</v>
      </c>
      <c r="DSW33" t="s">
        <v>6984</v>
      </c>
      <c r="DSX33" t="s">
        <v>6984</v>
      </c>
      <c r="DSY33" t="s">
        <v>6984</v>
      </c>
      <c r="DSZ33" t="s">
        <v>6984</v>
      </c>
      <c r="DTA33" t="s">
        <v>6984</v>
      </c>
      <c r="DTB33" t="s">
        <v>6984</v>
      </c>
      <c r="DTC33" t="s">
        <v>6984</v>
      </c>
      <c r="DTD33" t="s">
        <v>6984</v>
      </c>
      <c r="DTE33" t="s">
        <v>6984</v>
      </c>
      <c r="DTF33" t="s">
        <v>6984</v>
      </c>
      <c r="DTG33" t="s">
        <v>6984</v>
      </c>
      <c r="DTH33" t="s">
        <v>6984</v>
      </c>
      <c r="DTI33" t="s">
        <v>6984</v>
      </c>
      <c r="DTJ33" t="s">
        <v>6984</v>
      </c>
      <c r="DTK33" t="s">
        <v>6984</v>
      </c>
      <c r="DTL33" t="s">
        <v>6984</v>
      </c>
      <c r="DTM33" t="s">
        <v>6984</v>
      </c>
      <c r="DTN33" t="s">
        <v>6984</v>
      </c>
      <c r="DTO33" t="s">
        <v>6984</v>
      </c>
      <c r="DTP33" t="s">
        <v>6984</v>
      </c>
      <c r="DTQ33" t="s">
        <v>6984</v>
      </c>
      <c r="DTR33" t="s">
        <v>6984</v>
      </c>
      <c r="DTS33" t="s">
        <v>6984</v>
      </c>
      <c r="DTT33" t="s">
        <v>6984</v>
      </c>
      <c r="DTU33" t="s">
        <v>6984</v>
      </c>
      <c r="DTV33" t="s">
        <v>6984</v>
      </c>
      <c r="DTW33" t="s">
        <v>6984</v>
      </c>
      <c r="DTX33" t="s">
        <v>6984</v>
      </c>
      <c r="DTY33" t="s">
        <v>6984</v>
      </c>
      <c r="DTZ33" t="s">
        <v>6984</v>
      </c>
      <c r="DUA33" t="s">
        <v>6984</v>
      </c>
      <c r="DUB33" t="s">
        <v>6984</v>
      </c>
      <c r="DUC33" t="s">
        <v>6984</v>
      </c>
      <c r="DUD33" t="s">
        <v>6984</v>
      </c>
      <c r="DUE33" t="s">
        <v>6984</v>
      </c>
      <c r="DUF33" t="s">
        <v>6984</v>
      </c>
      <c r="DUG33" t="s">
        <v>6984</v>
      </c>
      <c r="DUH33" t="s">
        <v>6984</v>
      </c>
      <c r="DUI33" t="s">
        <v>6984</v>
      </c>
      <c r="DUJ33" t="s">
        <v>6984</v>
      </c>
      <c r="DUK33" t="s">
        <v>6984</v>
      </c>
      <c r="DUL33" t="s">
        <v>6984</v>
      </c>
      <c r="DUM33" t="s">
        <v>6984</v>
      </c>
      <c r="DUN33" t="s">
        <v>6984</v>
      </c>
      <c r="DUO33" t="s">
        <v>6984</v>
      </c>
      <c r="DUP33" t="s">
        <v>6984</v>
      </c>
      <c r="DUQ33" t="s">
        <v>6984</v>
      </c>
      <c r="DUR33" t="s">
        <v>6984</v>
      </c>
      <c r="DUS33" t="s">
        <v>6984</v>
      </c>
      <c r="DUT33" t="s">
        <v>6984</v>
      </c>
      <c r="DUU33" t="s">
        <v>6984</v>
      </c>
      <c r="DUV33" t="s">
        <v>6984</v>
      </c>
      <c r="DUW33" t="s">
        <v>6984</v>
      </c>
      <c r="DUX33" t="s">
        <v>6984</v>
      </c>
      <c r="DUY33" t="s">
        <v>6984</v>
      </c>
      <c r="DUZ33" t="s">
        <v>6984</v>
      </c>
      <c r="DVA33" t="s">
        <v>6984</v>
      </c>
      <c r="DVB33" t="s">
        <v>6984</v>
      </c>
      <c r="DVC33" t="s">
        <v>6984</v>
      </c>
      <c r="DVD33" t="s">
        <v>6984</v>
      </c>
      <c r="DVE33" t="s">
        <v>6984</v>
      </c>
      <c r="DVF33" t="s">
        <v>6984</v>
      </c>
      <c r="DVG33" t="s">
        <v>6984</v>
      </c>
      <c r="DVH33" t="s">
        <v>6984</v>
      </c>
      <c r="DVI33" t="s">
        <v>6984</v>
      </c>
      <c r="DVJ33" t="s">
        <v>6984</v>
      </c>
      <c r="DVK33" t="s">
        <v>6984</v>
      </c>
      <c r="DVL33" t="s">
        <v>6984</v>
      </c>
      <c r="DVM33" t="s">
        <v>6984</v>
      </c>
      <c r="DVN33" t="s">
        <v>6984</v>
      </c>
      <c r="DVO33" t="s">
        <v>6984</v>
      </c>
      <c r="DVP33" t="s">
        <v>6984</v>
      </c>
      <c r="DVQ33" t="s">
        <v>6984</v>
      </c>
      <c r="DVR33" t="s">
        <v>6984</v>
      </c>
      <c r="DVS33" t="s">
        <v>6984</v>
      </c>
      <c r="DVT33" t="s">
        <v>6984</v>
      </c>
      <c r="DVU33" t="s">
        <v>6984</v>
      </c>
      <c r="DVV33" t="s">
        <v>6984</v>
      </c>
      <c r="DVW33" t="s">
        <v>6984</v>
      </c>
      <c r="DVX33" t="s">
        <v>6984</v>
      </c>
      <c r="DVY33" t="s">
        <v>6984</v>
      </c>
      <c r="DVZ33" t="s">
        <v>6984</v>
      </c>
      <c r="DWA33" t="s">
        <v>6984</v>
      </c>
      <c r="DWB33" t="s">
        <v>6984</v>
      </c>
      <c r="DWC33" t="s">
        <v>6984</v>
      </c>
      <c r="DWD33" t="s">
        <v>6984</v>
      </c>
      <c r="DWE33" t="s">
        <v>6984</v>
      </c>
      <c r="DWF33" t="s">
        <v>6984</v>
      </c>
      <c r="DWG33" t="s">
        <v>6984</v>
      </c>
      <c r="DWH33" t="s">
        <v>6984</v>
      </c>
      <c r="DWI33" t="s">
        <v>6984</v>
      </c>
      <c r="DWJ33" t="s">
        <v>6984</v>
      </c>
      <c r="DWK33" t="s">
        <v>6984</v>
      </c>
      <c r="DWL33" t="s">
        <v>6984</v>
      </c>
      <c r="DWM33" t="s">
        <v>6984</v>
      </c>
      <c r="DWN33" t="s">
        <v>6984</v>
      </c>
      <c r="DWO33" t="s">
        <v>6984</v>
      </c>
      <c r="DWP33" t="s">
        <v>6984</v>
      </c>
      <c r="DWQ33" t="s">
        <v>6984</v>
      </c>
      <c r="DWR33" t="s">
        <v>6984</v>
      </c>
      <c r="DWS33" t="s">
        <v>6984</v>
      </c>
      <c r="DWT33" t="s">
        <v>6984</v>
      </c>
      <c r="DWU33" t="s">
        <v>6984</v>
      </c>
      <c r="DWV33" t="s">
        <v>6984</v>
      </c>
      <c r="DWW33" t="s">
        <v>6984</v>
      </c>
      <c r="DWX33" t="s">
        <v>6984</v>
      </c>
      <c r="DWY33" t="s">
        <v>6984</v>
      </c>
      <c r="DWZ33" t="s">
        <v>6984</v>
      </c>
      <c r="DXA33" t="s">
        <v>6984</v>
      </c>
      <c r="DXB33" t="s">
        <v>6984</v>
      </c>
      <c r="DXC33" t="s">
        <v>6984</v>
      </c>
      <c r="DXD33" t="s">
        <v>6984</v>
      </c>
      <c r="DXE33" t="s">
        <v>6984</v>
      </c>
      <c r="DXF33" t="s">
        <v>6984</v>
      </c>
      <c r="DXG33" t="s">
        <v>6984</v>
      </c>
      <c r="DXH33" t="s">
        <v>6984</v>
      </c>
      <c r="DXI33" t="s">
        <v>6984</v>
      </c>
      <c r="DXJ33" t="s">
        <v>6984</v>
      </c>
      <c r="DXK33" t="s">
        <v>6984</v>
      </c>
      <c r="DXL33" t="s">
        <v>6984</v>
      </c>
      <c r="DXM33" t="s">
        <v>6984</v>
      </c>
      <c r="DXN33" t="s">
        <v>6984</v>
      </c>
      <c r="DXO33" t="s">
        <v>6984</v>
      </c>
      <c r="DXP33" t="s">
        <v>6984</v>
      </c>
      <c r="DXQ33" t="s">
        <v>6984</v>
      </c>
      <c r="DXR33" t="s">
        <v>6984</v>
      </c>
      <c r="DXS33" t="s">
        <v>6984</v>
      </c>
      <c r="DXT33" t="s">
        <v>6984</v>
      </c>
      <c r="DXU33" t="s">
        <v>6984</v>
      </c>
      <c r="DXV33" t="s">
        <v>6984</v>
      </c>
      <c r="DXW33" t="s">
        <v>6984</v>
      </c>
      <c r="DXX33" t="s">
        <v>6984</v>
      </c>
      <c r="DXY33" t="s">
        <v>6984</v>
      </c>
      <c r="DXZ33" t="s">
        <v>6984</v>
      </c>
      <c r="DYA33" t="s">
        <v>6984</v>
      </c>
      <c r="DYB33" t="s">
        <v>6984</v>
      </c>
      <c r="DYC33" t="s">
        <v>6984</v>
      </c>
      <c r="DYD33" t="s">
        <v>6984</v>
      </c>
      <c r="DYE33" t="s">
        <v>6984</v>
      </c>
      <c r="DYF33" t="s">
        <v>6984</v>
      </c>
      <c r="DYG33" t="s">
        <v>6984</v>
      </c>
      <c r="DYH33" t="s">
        <v>6984</v>
      </c>
      <c r="DYI33" t="s">
        <v>6984</v>
      </c>
      <c r="DYJ33" t="s">
        <v>6984</v>
      </c>
      <c r="DYK33" t="s">
        <v>6984</v>
      </c>
      <c r="DYL33" t="s">
        <v>6984</v>
      </c>
      <c r="DYM33" t="s">
        <v>6984</v>
      </c>
      <c r="DYN33" t="s">
        <v>6984</v>
      </c>
      <c r="DYO33" t="s">
        <v>6984</v>
      </c>
      <c r="DYP33" t="s">
        <v>6984</v>
      </c>
      <c r="DYQ33" t="s">
        <v>6984</v>
      </c>
      <c r="DYR33" t="s">
        <v>6984</v>
      </c>
      <c r="DYS33" t="s">
        <v>6984</v>
      </c>
      <c r="DYT33" t="s">
        <v>6984</v>
      </c>
      <c r="DYU33" t="s">
        <v>6984</v>
      </c>
      <c r="DYV33" t="s">
        <v>6984</v>
      </c>
      <c r="DYW33" t="s">
        <v>6984</v>
      </c>
      <c r="DYX33" t="s">
        <v>6984</v>
      </c>
      <c r="DYY33" t="s">
        <v>6984</v>
      </c>
      <c r="DYZ33" t="s">
        <v>6984</v>
      </c>
      <c r="DZA33" t="s">
        <v>6984</v>
      </c>
      <c r="DZB33" t="s">
        <v>6984</v>
      </c>
      <c r="DZC33" t="s">
        <v>6984</v>
      </c>
      <c r="DZD33" t="s">
        <v>6984</v>
      </c>
      <c r="DZE33" t="s">
        <v>6984</v>
      </c>
      <c r="DZF33" t="s">
        <v>6984</v>
      </c>
      <c r="DZG33" t="s">
        <v>6984</v>
      </c>
      <c r="DZH33" t="s">
        <v>6984</v>
      </c>
      <c r="DZI33" t="s">
        <v>6984</v>
      </c>
      <c r="DZJ33" t="s">
        <v>6984</v>
      </c>
      <c r="DZK33" t="s">
        <v>6984</v>
      </c>
      <c r="DZL33" t="s">
        <v>6984</v>
      </c>
      <c r="DZM33" t="s">
        <v>6984</v>
      </c>
      <c r="DZN33" t="s">
        <v>6984</v>
      </c>
      <c r="DZO33" t="s">
        <v>6984</v>
      </c>
      <c r="DZP33" t="s">
        <v>6984</v>
      </c>
      <c r="DZQ33" t="s">
        <v>6984</v>
      </c>
      <c r="DZR33" t="s">
        <v>6984</v>
      </c>
      <c r="DZS33" t="s">
        <v>6984</v>
      </c>
      <c r="DZT33" t="s">
        <v>6984</v>
      </c>
      <c r="DZU33" t="s">
        <v>6984</v>
      </c>
      <c r="DZV33" t="s">
        <v>6984</v>
      </c>
      <c r="DZW33" t="s">
        <v>6984</v>
      </c>
      <c r="DZX33" t="s">
        <v>6984</v>
      </c>
      <c r="DZY33" t="s">
        <v>6984</v>
      </c>
      <c r="DZZ33" t="s">
        <v>6984</v>
      </c>
      <c r="EAA33" t="s">
        <v>6984</v>
      </c>
      <c r="EAB33" t="s">
        <v>6984</v>
      </c>
      <c r="EAC33" t="s">
        <v>6984</v>
      </c>
      <c r="EAD33" t="s">
        <v>6984</v>
      </c>
      <c r="EAE33" t="s">
        <v>6984</v>
      </c>
      <c r="EAF33" t="s">
        <v>6984</v>
      </c>
      <c r="EAG33" t="s">
        <v>6984</v>
      </c>
      <c r="EAH33" t="s">
        <v>6984</v>
      </c>
      <c r="EAI33" t="s">
        <v>6984</v>
      </c>
      <c r="EAJ33" t="s">
        <v>6984</v>
      </c>
      <c r="EAK33" t="s">
        <v>6984</v>
      </c>
      <c r="EAL33" t="s">
        <v>6984</v>
      </c>
      <c r="EAM33" t="s">
        <v>6984</v>
      </c>
      <c r="EAN33" t="s">
        <v>6984</v>
      </c>
      <c r="EAO33" t="s">
        <v>6984</v>
      </c>
      <c r="EAP33" t="s">
        <v>6984</v>
      </c>
      <c r="EAQ33" t="s">
        <v>6984</v>
      </c>
      <c r="EAR33" t="s">
        <v>6984</v>
      </c>
      <c r="EAS33" t="s">
        <v>6984</v>
      </c>
      <c r="EAT33" t="s">
        <v>6984</v>
      </c>
      <c r="EAU33" t="s">
        <v>6984</v>
      </c>
      <c r="EAV33" t="s">
        <v>6984</v>
      </c>
      <c r="EAW33" t="s">
        <v>6984</v>
      </c>
      <c r="EAX33" t="s">
        <v>6984</v>
      </c>
      <c r="EAY33" t="s">
        <v>6984</v>
      </c>
      <c r="EAZ33" t="s">
        <v>6984</v>
      </c>
      <c r="EBA33" t="s">
        <v>6984</v>
      </c>
      <c r="EBB33" t="s">
        <v>6984</v>
      </c>
      <c r="EBC33" t="s">
        <v>6984</v>
      </c>
      <c r="EBD33" t="s">
        <v>6984</v>
      </c>
      <c r="EBE33" t="s">
        <v>6984</v>
      </c>
      <c r="EBF33" t="s">
        <v>6984</v>
      </c>
      <c r="EBG33" t="s">
        <v>6984</v>
      </c>
      <c r="EBH33" t="s">
        <v>6984</v>
      </c>
      <c r="EBI33" t="s">
        <v>6984</v>
      </c>
      <c r="EBJ33" t="s">
        <v>6984</v>
      </c>
      <c r="EBK33" t="s">
        <v>6984</v>
      </c>
      <c r="EBL33" t="s">
        <v>6984</v>
      </c>
      <c r="EBM33" t="s">
        <v>6984</v>
      </c>
      <c r="EBN33" t="s">
        <v>6984</v>
      </c>
      <c r="EBO33" t="s">
        <v>6984</v>
      </c>
      <c r="EBP33" t="s">
        <v>6984</v>
      </c>
      <c r="EBQ33" t="s">
        <v>6984</v>
      </c>
      <c r="EBR33" t="s">
        <v>6984</v>
      </c>
      <c r="EBS33" t="s">
        <v>6984</v>
      </c>
      <c r="EBT33" t="s">
        <v>6984</v>
      </c>
      <c r="EBU33" t="s">
        <v>6984</v>
      </c>
      <c r="EBV33" t="s">
        <v>6984</v>
      </c>
      <c r="EBW33" t="s">
        <v>6984</v>
      </c>
      <c r="EBX33" t="s">
        <v>6984</v>
      </c>
      <c r="EBY33" t="s">
        <v>6984</v>
      </c>
      <c r="EBZ33" t="s">
        <v>6984</v>
      </c>
      <c r="ECA33" t="s">
        <v>6984</v>
      </c>
      <c r="ECB33" t="s">
        <v>6984</v>
      </c>
      <c r="ECC33" t="s">
        <v>6984</v>
      </c>
      <c r="ECD33" t="s">
        <v>6984</v>
      </c>
      <c r="ECE33" t="s">
        <v>6984</v>
      </c>
      <c r="ECF33" t="s">
        <v>6984</v>
      </c>
      <c r="ECG33" t="s">
        <v>6984</v>
      </c>
      <c r="ECH33" t="s">
        <v>6984</v>
      </c>
      <c r="ECI33" t="s">
        <v>6984</v>
      </c>
      <c r="ECJ33" t="s">
        <v>6984</v>
      </c>
      <c r="ECK33" t="s">
        <v>6984</v>
      </c>
      <c r="ECL33" t="s">
        <v>6984</v>
      </c>
      <c r="ECM33" t="s">
        <v>6984</v>
      </c>
      <c r="ECN33" t="s">
        <v>6984</v>
      </c>
      <c r="ECO33" t="s">
        <v>6984</v>
      </c>
      <c r="ECP33" t="s">
        <v>6984</v>
      </c>
      <c r="ECQ33" t="s">
        <v>6984</v>
      </c>
      <c r="ECR33" t="s">
        <v>6984</v>
      </c>
      <c r="ECS33" t="s">
        <v>6984</v>
      </c>
      <c r="ECT33" t="s">
        <v>6984</v>
      </c>
      <c r="ECU33" t="s">
        <v>6984</v>
      </c>
      <c r="ECV33" t="s">
        <v>6984</v>
      </c>
      <c r="ECW33" t="s">
        <v>6984</v>
      </c>
      <c r="ECX33" t="s">
        <v>6984</v>
      </c>
      <c r="ECY33" t="s">
        <v>6984</v>
      </c>
      <c r="ECZ33" t="s">
        <v>6984</v>
      </c>
      <c r="EDA33" t="s">
        <v>6984</v>
      </c>
      <c r="EDB33" t="s">
        <v>6984</v>
      </c>
      <c r="EDC33" t="s">
        <v>6984</v>
      </c>
      <c r="EDD33" t="s">
        <v>6984</v>
      </c>
      <c r="EDE33" t="s">
        <v>6984</v>
      </c>
      <c r="EDF33" t="s">
        <v>6984</v>
      </c>
      <c r="EDG33" t="s">
        <v>6984</v>
      </c>
      <c r="EDH33" t="s">
        <v>6984</v>
      </c>
      <c r="EDI33" t="s">
        <v>6984</v>
      </c>
      <c r="EDJ33" t="s">
        <v>6984</v>
      </c>
      <c r="EDK33" t="s">
        <v>6984</v>
      </c>
      <c r="EDL33" t="s">
        <v>6984</v>
      </c>
      <c r="EDM33" t="s">
        <v>6984</v>
      </c>
      <c r="EDN33" t="s">
        <v>6984</v>
      </c>
      <c r="EDO33" t="s">
        <v>6984</v>
      </c>
      <c r="EDP33" t="s">
        <v>6984</v>
      </c>
      <c r="EDQ33" t="s">
        <v>6984</v>
      </c>
      <c r="EDR33" t="s">
        <v>6984</v>
      </c>
      <c r="EDS33" t="s">
        <v>6984</v>
      </c>
      <c r="EDT33" t="s">
        <v>6984</v>
      </c>
      <c r="EDU33" t="s">
        <v>6984</v>
      </c>
      <c r="EDV33" t="s">
        <v>6984</v>
      </c>
      <c r="EDW33" t="s">
        <v>6984</v>
      </c>
      <c r="EDX33" t="s">
        <v>6984</v>
      </c>
      <c r="EDY33" t="s">
        <v>6984</v>
      </c>
      <c r="EDZ33" t="s">
        <v>6984</v>
      </c>
      <c r="EEA33" t="s">
        <v>6984</v>
      </c>
      <c r="EEB33" t="s">
        <v>6984</v>
      </c>
      <c r="EEC33" t="s">
        <v>6984</v>
      </c>
      <c r="EED33" t="s">
        <v>6984</v>
      </c>
      <c r="EEE33" t="s">
        <v>6984</v>
      </c>
      <c r="EEF33" t="s">
        <v>6984</v>
      </c>
      <c r="EEG33" t="s">
        <v>6984</v>
      </c>
      <c r="EEH33" t="s">
        <v>6984</v>
      </c>
      <c r="EEI33" t="s">
        <v>6984</v>
      </c>
      <c r="EEJ33" t="s">
        <v>6984</v>
      </c>
      <c r="EEK33" t="s">
        <v>6984</v>
      </c>
      <c r="EEL33" t="s">
        <v>6984</v>
      </c>
      <c r="EEM33" t="s">
        <v>6984</v>
      </c>
      <c r="EEN33" t="s">
        <v>6984</v>
      </c>
      <c r="EEO33" t="s">
        <v>6984</v>
      </c>
      <c r="EEP33" t="s">
        <v>6984</v>
      </c>
      <c r="EEQ33" t="s">
        <v>6984</v>
      </c>
      <c r="EER33" t="s">
        <v>6984</v>
      </c>
      <c r="EES33" t="s">
        <v>6984</v>
      </c>
      <c r="EET33" t="s">
        <v>6984</v>
      </c>
      <c r="EEU33" t="s">
        <v>6984</v>
      </c>
      <c r="EEV33" t="s">
        <v>6984</v>
      </c>
      <c r="EEW33" t="s">
        <v>6984</v>
      </c>
      <c r="EEX33" t="s">
        <v>6984</v>
      </c>
      <c r="EEY33" t="s">
        <v>6984</v>
      </c>
      <c r="EEZ33" t="s">
        <v>6984</v>
      </c>
      <c r="EFA33" t="s">
        <v>6984</v>
      </c>
      <c r="EFB33" t="s">
        <v>6984</v>
      </c>
      <c r="EFC33" t="s">
        <v>6984</v>
      </c>
      <c r="EFD33" t="s">
        <v>6984</v>
      </c>
      <c r="EFE33" t="s">
        <v>6984</v>
      </c>
      <c r="EFF33" t="s">
        <v>6984</v>
      </c>
      <c r="EFG33" t="s">
        <v>6984</v>
      </c>
      <c r="EFH33" t="s">
        <v>6984</v>
      </c>
      <c r="EFI33" t="s">
        <v>6984</v>
      </c>
      <c r="EFJ33" t="s">
        <v>6984</v>
      </c>
      <c r="EFK33" t="s">
        <v>6984</v>
      </c>
      <c r="EFL33" t="s">
        <v>6984</v>
      </c>
      <c r="EFM33" t="s">
        <v>6984</v>
      </c>
      <c r="EFN33" t="s">
        <v>6984</v>
      </c>
      <c r="EFO33" t="s">
        <v>6984</v>
      </c>
      <c r="EFP33" t="s">
        <v>6984</v>
      </c>
      <c r="EFQ33" t="s">
        <v>6984</v>
      </c>
      <c r="EFR33" t="s">
        <v>6984</v>
      </c>
      <c r="EFS33" t="s">
        <v>6984</v>
      </c>
      <c r="EFT33" t="s">
        <v>6984</v>
      </c>
      <c r="EFU33" t="s">
        <v>6984</v>
      </c>
      <c r="EFV33" t="s">
        <v>6984</v>
      </c>
      <c r="EFW33" t="s">
        <v>6984</v>
      </c>
      <c r="EFX33" t="s">
        <v>6984</v>
      </c>
      <c r="EFY33" t="s">
        <v>6984</v>
      </c>
      <c r="EFZ33" t="s">
        <v>6984</v>
      </c>
      <c r="EGA33" t="s">
        <v>6984</v>
      </c>
      <c r="EGB33" t="s">
        <v>6984</v>
      </c>
      <c r="EGC33" t="s">
        <v>6984</v>
      </c>
      <c r="EGD33" t="s">
        <v>6984</v>
      </c>
      <c r="EGE33" t="s">
        <v>6984</v>
      </c>
      <c r="EGF33" t="s">
        <v>6984</v>
      </c>
      <c r="EGG33" t="s">
        <v>6984</v>
      </c>
      <c r="EGH33" t="s">
        <v>6984</v>
      </c>
      <c r="EGI33" t="s">
        <v>6984</v>
      </c>
      <c r="EGJ33" t="s">
        <v>6984</v>
      </c>
      <c r="EGK33" t="s">
        <v>6984</v>
      </c>
      <c r="EGL33" t="s">
        <v>6984</v>
      </c>
      <c r="EGM33" t="s">
        <v>6984</v>
      </c>
      <c r="EGN33" t="s">
        <v>6984</v>
      </c>
      <c r="EGO33" t="s">
        <v>6984</v>
      </c>
      <c r="EGP33" t="s">
        <v>6984</v>
      </c>
      <c r="EGQ33" t="s">
        <v>6984</v>
      </c>
      <c r="EGR33" t="s">
        <v>6984</v>
      </c>
      <c r="EGS33" t="s">
        <v>6984</v>
      </c>
      <c r="EGT33" t="s">
        <v>6984</v>
      </c>
      <c r="EGU33" t="s">
        <v>6984</v>
      </c>
      <c r="EGV33" t="s">
        <v>6984</v>
      </c>
      <c r="EGW33" t="s">
        <v>6984</v>
      </c>
      <c r="EGX33" t="s">
        <v>6984</v>
      </c>
      <c r="EGY33" t="s">
        <v>6984</v>
      </c>
      <c r="EGZ33" t="s">
        <v>6984</v>
      </c>
      <c r="EHA33" t="s">
        <v>6984</v>
      </c>
      <c r="EHB33" t="s">
        <v>6984</v>
      </c>
      <c r="EHC33" t="s">
        <v>6984</v>
      </c>
      <c r="EHD33" t="s">
        <v>6984</v>
      </c>
      <c r="EHE33" t="s">
        <v>6984</v>
      </c>
      <c r="EHF33" t="s">
        <v>6984</v>
      </c>
      <c r="EHG33" t="s">
        <v>6984</v>
      </c>
      <c r="EHH33" t="s">
        <v>6984</v>
      </c>
      <c r="EHI33" t="s">
        <v>6984</v>
      </c>
      <c r="EHJ33" t="s">
        <v>6984</v>
      </c>
      <c r="EHK33" t="s">
        <v>6984</v>
      </c>
      <c r="EHL33" t="s">
        <v>6984</v>
      </c>
      <c r="EHM33" t="s">
        <v>6984</v>
      </c>
      <c r="EHN33" t="s">
        <v>6984</v>
      </c>
      <c r="EHO33" t="s">
        <v>6984</v>
      </c>
      <c r="EHP33" t="s">
        <v>6984</v>
      </c>
      <c r="EHQ33" t="s">
        <v>6984</v>
      </c>
      <c r="EHR33" t="s">
        <v>6984</v>
      </c>
      <c r="EHS33" t="s">
        <v>6984</v>
      </c>
      <c r="EHT33" t="s">
        <v>6984</v>
      </c>
      <c r="EHU33" t="s">
        <v>6984</v>
      </c>
      <c r="EHV33" t="s">
        <v>6984</v>
      </c>
      <c r="EHW33" t="s">
        <v>6984</v>
      </c>
      <c r="EHX33" t="s">
        <v>6984</v>
      </c>
      <c r="EHY33" t="s">
        <v>6984</v>
      </c>
      <c r="EHZ33" t="s">
        <v>6984</v>
      </c>
      <c r="EIA33" t="s">
        <v>6984</v>
      </c>
      <c r="EIB33" t="s">
        <v>6984</v>
      </c>
      <c r="EIC33" t="s">
        <v>6984</v>
      </c>
      <c r="EID33" t="s">
        <v>6984</v>
      </c>
      <c r="EIE33" t="s">
        <v>6984</v>
      </c>
      <c r="EIF33" t="s">
        <v>6984</v>
      </c>
      <c r="EIG33" t="s">
        <v>6984</v>
      </c>
      <c r="EIH33" t="s">
        <v>6984</v>
      </c>
      <c r="EII33" t="s">
        <v>6984</v>
      </c>
      <c r="EIJ33" t="s">
        <v>6984</v>
      </c>
      <c r="EIK33" t="s">
        <v>6984</v>
      </c>
      <c r="EIL33" t="s">
        <v>6984</v>
      </c>
      <c r="EIM33" t="s">
        <v>6984</v>
      </c>
      <c r="EIN33" t="s">
        <v>6984</v>
      </c>
      <c r="EIO33" t="s">
        <v>6984</v>
      </c>
      <c r="EIP33" t="s">
        <v>6984</v>
      </c>
      <c r="EIQ33" t="s">
        <v>6984</v>
      </c>
      <c r="EIR33" t="s">
        <v>6984</v>
      </c>
      <c r="EIS33" t="s">
        <v>6984</v>
      </c>
      <c r="EIT33" t="s">
        <v>6984</v>
      </c>
      <c r="EIU33" t="s">
        <v>6984</v>
      </c>
      <c r="EIV33" t="s">
        <v>6984</v>
      </c>
      <c r="EIW33" t="s">
        <v>6984</v>
      </c>
      <c r="EIX33" t="s">
        <v>6984</v>
      </c>
      <c r="EIY33" t="s">
        <v>6984</v>
      </c>
      <c r="EIZ33" t="s">
        <v>6984</v>
      </c>
      <c r="EJA33" t="s">
        <v>6984</v>
      </c>
      <c r="EJB33" t="s">
        <v>6984</v>
      </c>
      <c r="EJC33" t="s">
        <v>6984</v>
      </c>
      <c r="EJD33" t="s">
        <v>6984</v>
      </c>
      <c r="EJE33" t="s">
        <v>6984</v>
      </c>
      <c r="EJF33" t="s">
        <v>6984</v>
      </c>
      <c r="EJG33" t="s">
        <v>6984</v>
      </c>
      <c r="EJH33" t="s">
        <v>6984</v>
      </c>
      <c r="EJI33" t="s">
        <v>6984</v>
      </c>
      <c r="EJJ33" t="s">
        <v>6984</v>
      </c>
      <c r="EJK33" t="s">
        <v>6984</v>
      </c>
      <c r="EJL33" t="s">
        <v>6984</v>
      </c>
      <c r="EJM33" t="s">
        <v>6984</v>
      </c>
      <c r="EJN33" t="s">
        <v>6984</v>
      </c>
      <c r="EJO33" t="s">
        <v>6984</v>
      </c>
      <c r="EJP33" t="s">
        <v>6984</v>
      </c>
      <c r="EJQ33" t="s">
        <v>6984</v>
      </c>
      <c r="EJR33" t="s">
        <v>6984</v>
      </c>
      <c r="EJS33" t="s">
        <v>6984</v>
      </c>
      <c r="EJT33" t="s">
        <v>6984</v>
      </c>
      <c r="EJU33" t="s">
        <v>6984</v>
      </c>
      <c r="EJV33" t="s">
        <v>6984</v>
      </c>
      <c r="EJW33" t="s">
        <v>6984</v>
      </c>
      <c r="EJX33" t="s">
        <v>6984</v>
      </c>
      <c r="EJY33" t="s">
        <v>6984</v>
      </c>
      <c r="EJZ33" t="s">
        <v>6984</v>
      </c>
      <c r="EKA33" t="s">
        <v>6984</v>
      </c>
      <c r="EKB33" t="s">
        <v>6984</v>
      </c>
      <c r="EKC33" t="s">
        <v>6984</v>
      </c>
      <c r="EKD33" t="s">
        <v>6984</v>
      </c>
      <c r="EKE33" t="s">
        <v>6984</v>
      </c>
      <c r="EKF33" t="s">
        <v>6984</v>
      </c>
      <c r="EKG33" t="s">
        <v>6984</v>
      </c>
      <c r="EKH33" t="s">
        <v>6984</v>
      </c>
      <c r="EKI33" t="s">
        <v>6984</v>
      </c>
      <c r="EKJ33" t="s">
        <v>6984</v>
      </c>
      <c r="EKK33" t="s">
        <v>6984</v>
      </c>
      <c r="EKL33" t="s">
        <v>6984</v>
      </c>
      <c r="EKM33" t="s">
        <v>6984</v>
      </c>
      <c r="EKN33" t="s">
        <v>6984</v>
      </c>
      <c r="EKO33" t="s">
        <v>6984</v>
      </c>
      <c r="EKP33" t="s">
        <v>6984</v>
      </c>
      <c r="EKQ33" t="s">
        <v>6984</v>
      </c>
      <c r="EKR33" t="s">
        <v>6984</v>
      </c>
      <c r="EKS33" t="s">
        <v>6984</v>
      </c>
      <c r="EKT33" t="s">
        <v>6984</v>
      </c>
      <c r="EKU33" t="s">
        <v>6984</v>
      </c>
      <c r="EKV33" t="s">
        <v>6984</v>
      </c>
      <c r="EKW33" t="s">
        <v>6984</v>
      </c>
      <c r="EKX33" t="s">
        <v>6984</v>
      </c>
      <c r="EKY33" t="s">
        <v>6984</v>
      </c>
      <c r="EKZ33" t="s">
        <v>6984</v>
      </c>
      <c r="ELA33" t="s">
        <v>6984</v>
      </c>
      <c r="ELB33" t="s">
        <v>6984</v>
      </c>
      <c r="ELC33" t="s">
        <v>6984</v>
      </c>
      <c r="ELD33" t="s">
        <v>6984</v>
      </c>
      <c r="ELE33" t="s">
        <v>6984</v>
      </c>
      <c r="ELF33" t="s">
        <v>6984</v>
      </c>
      <c r="ELG33" t="s">
        <v>6984</v>
      </c>
      <c r="ELH33" t="s">
        <v>6984</v>
      </c>
      <c r="ELI33" t="s">
        <v>6984</v>
      </c>
      <c r="ELJ33" t="s">
        <v>6984</v>
      </c>
      <c r="ELK33" t="s">
        <v>6984</v>
      </c>
      <c r="ELL33" t="s">
        <v>6984</v>
      </c>
      <c r="ELM33" t="s">
        <v>6984</v>
      </c>
      <c r="ELN33" t="s">
        <v>6984</v>
      </c>
      <c r="ELO33" t="s">
        <v>6984</v>
      </c>
      <c r="ELP33" t="s">
        <v>6984</v>
      </c>
      <c r="ELQ33" t="s">
        <v>6984</v>
      </c>
      <c r="ELR33" t="s">
        <v>6984</v>
      </c>
      <c r="ELS33" t="s">
        <v>6984</v>
      </c>
      <c r="ELT33" t="s">
        <v>6984</v>
      </c>
      <c r="ELU33" t="s">
        <v>6984</v>
      </c>
      <c r="ELV33" t="s">
        <v>6984</v>
      </c>
      <c r="ELW33" t="s">
        <v>6984</v>
      </c>
      <c r="ELX33" t="s">
        <v>6984</v>
      </c>
      <c r="ELY33" t="s">
        <v>6984</v>
      </c>
      <c r="ELZ33" t="s">
        <v>6984</v>
      </c>
      <c r="EMA33" t="s">
        <v>6984</v>
      </c>
      <c r="EMB33" t="s">
        <v>6984</v>
      </c>
      <c r="EMC33" t="s">
        <v>6984</v>
      </c>
      <c r="EMD33" t="s">
        <v>6984</v>
      </c>
      <c r="EME33" t="s">
        <v>6984</v>
      </c>
      <c r="EMF33" t="s">
        <v>6984</v>
      </c>
      <c r="EMG33" t="s">
        <v>6984</v>
      </c>
      <c r="EMH33" t="s">
        <v>6984</v>
      </c>
      <c r="EMI33" t="s">
        <v>6984</v>
      </c>
      <c r="EMJ33" t="s">
        <v>6984</v>
      </c>
      <c r="EMK33" t="s">
        <v>6984</v>
      </c>
      <c r="EML33" t="s">
        <v>6984</v>
      </c>
      <c r="EMM33" t="s">
        <v>6984</v>
      </c>
      <c r="EMN33" t="s">
        <v>6984</v>
      </c>
      <c r="EMO33" t="s">
        <v>6984</v>
      </c>
      <c r="EMP33" t="s">
        <v>6984</v>
      </c>
      <c r="EMQ33" t="s">
        <v>6984</v>
      </c>
      <c r="EMR33" t="s">
        <v>6984</v>
      </c>
      <c r="EMS33" t="s">
        <v>6984</v>
      </c>
      <c r="EMT33" t="s">
        <v>6984</v>
      </c>
      <c r="EMU33" t="s">
        <v>6984</v>
      </c>
      <c r="EMV33" t="s">
        <v>6984</v>
      </c>
      <c r="EMW33" t="s">
        <v>6984</v>
      </c>
      <c r="EMX33" t="s">
        <v>6984</v>
      </c>
      <c r="EMY33" t="s">
        <v>6984</v>
      </c>
      <c r="EMZ33" t="s">
        <v>6984</v>
      </c>
      <c r="ENA33" t="s">
        <v>6984</v>
      </c>
      <c r="ENB33" t="s">
        <v>6984</v>
      </c>
      <c r="ENC33" t="s">
        <v>6984</v>
      </c>
      <c r="END33" t="s">
        <v>6984</v>
      </c>
      <c r="ENE33" t="s">
        <v>6984</v>
      </c>
      <c r="ENF33" t="s">
        <v>6984</v>
      </c>
      <c r="ENG33" t="s">
        <v>6984</v>
      </c>
      <c r="ENH33" t="s">
        <v>6984</v>
      </c>
      <c r="ENI33" t="s">
        <v>6984</v>
      </c>
      <c r="ENJ33" t="s">
        <v>6984</v>
      </c>
      <c r="ENK33" t="s">
        <v>6984</v>
      </c>
      <c r="ENL33" t="s">
        <v>6984</v>
      </c>
      <c r="ENM33" t="s">
        <v>6984</v>
      </c>
      <c r="ENN33" t="s">
        <v>6984</v>
      </c>
      <c r="ENO33" t="s">
        <v>6984</v>
      </c>
      <c r="ENP33" t="s">
        <v>6984</v>
      </c>
      <c r="ENQ33" t="s">
        <v>6984</v>
      </c>
      <c r="ENR33" t="s">
        <v>6984</v>
      </c>
      <c r="ENS33" t="s">
        <v>6984</v>
      </c>
      <c r="ENT33" t="s">
        <v>6984</v>
      </c>
      <c r="ENU33" t="s">
        <v>6984</v>
      </c>
      <c r="ENV33" t="s">
        <v>6984</v>
      </c>
      <c r="ENW33" t="s">
        <v>6984</v>
      </c>
      <c r="ENX33" t="s">
        <v>6984</v>
      </c>
      <c r="ENY33" t="s">
        <v>6984</v>
      </c>
      <c r="ENZ33" t="s">
        <v>6984</v>
      </c>
      <c r="EOA33" t="s">
        <v>6984</v>
      </c>
      <c r="EOB33" t="s">
        <v>6984</v>
      </c>
      <c r="EOC33" t="s">
        <v>6984</v>
      </c>
      <c r="EOD33" t="s">
        <v>6984</v>
      </c>
      <c r="EOE33" t="s">
        <v>6984</v>
      </c>
      <c r="EOF33" t="s">
        <v>6984</v>
      </c>
      <c r="EOG33" t="s">
        <v>6984</v>
      </c>
      <c r="EOH33" t="s">
        <v>6984</v>
      </c>
      <c r="EOI33" t="s">
        <v>6984</v>
      </c>
      <c r="EOJ33" t="s">
        <v>6984</v>
      </c>
      <c r="EOK33" t="s">
        <v>6984</v>
      </c>
      <c r="EOL33" t="s">
        <v>6984</v>
      </c>
      <c r="EOM33" t="s">
        <v>6984</v>
      </c>
      <c r="EON33" t="s">
        <v>6984</v>
      </c>
      <c r="EOO33" t="s">
        <v>6984</v>
      </c>
      <c r="EOP33" t="s">
        <v>6984</v>
      </c>
      <c r="EOQ33" t="s">
        <v>6984</v>
      </c>
      <c r="EOR33" t="s">
        <v>6984</v>
      </c>
      <c r="EOS33" t="s">
        <v>6984</v>
      </c>
      <c r="EOT33" t="s">
        <v>6984</v>
      </c>
      <c r="EOU33" t="s">
        <v>6984</v>
      </c>
      <c r="EOV33" t="s">
        <v>6984</v>
      </c>
      <c r="EOW33" t="s">
        <v>6984</v>
      </c>
      <c r="EOX33" t="s">
        <v>6984</v>
      </c>
      <c r="EOY33" t="s">
        <v>6984</v>
      </c>
      <c r="EOZ33" t="s">
        <v>6984</v>
      </c>
      <c r="EPA33" t="s">
        <v>6984</v>
      </c>
      <c r="EPB33" t="s">
        <v>6984</v>
      </c>
      <c r="EPC33" t="s">
        <v>6984</v>
      </c>
      <c r="EPD33" t="s">
        <v>6984</v>
      </c>
      <c r="EPE33" t="s">
        <v>6984</v>
      </c>
      <c r="EPF33" t="s">
        <v>6984</v>
      </c>
      <c r="EPG33" t="s">
        <v>6984</v>
      </c>
      <c r="EPH33" t="s">
        <v>6984</v>
      </c>
      <c r="EPI33" t="s">
        <v>6984</v>
      </c>
      <c r="EPJ33" t="s">
        <v>6984</v>
      </c>
      <c r="EPK33" t="s">
        <v>6984</v>
      </c>
      <c r="EPL33" t="s">
        <v>6984</v>
      </c>
      <c r="EPM33" t="s">
        <v>6984</v>
      </c>
      <c r="EPN33" t="s">
        <v>6984</v>
      </c>
      <c r="EPO33" t="s">
        <v>6984</v>
      </c>
      <c r="EPP33" t="s">
        <v>6984</v>
      </c>
      <c r="EPQ33" t="s">
        <v>6984</v>
      </c>
      <c r="EPR33" t="s">
        <v>6984</v>
      </c>
      <c r="EPS33" t="s">
        <v>6984</v>
      </c>
      <c r="EPT33" t="s">
        <v>6984</v>
      </c>
      <c r="EPU33" t="s">
        <v>6984</v>
      </c>
      <c r="EPV33" t="s">
        <v>6984</v>
      </c>
      <c r="EPW33" t="s">
        <v>6984</v>
      </c>
      <c r="EPX33" t="s">
        <v>6984</v>
      </c>
      <c r="EPY33" t="s">
        <v>6984</v>
      </c>
      <c r="EPZ33" t="s">
        <v>6984</v>
      </c>
      <c r="EQA33" t="s">
        <v>6984</v>
      </c>
      <c r="EQB33" t="s">
        <v>6984</v>
      </c>
      <c r="EQC33" t="s">
        <v>6984</v>
      </c>
      <c r="EQD33" t="s">
        <v>6984</v>
      </c>
      <c r="EQE33" t="s">
        <v>6984</v>
      </c>
      <c r="EQF33" t="s">
        <v>6984</v>
      </c>
      <c r="EQG33" t="s">
        <v>6984</v>
      </c>
      <c r="EQH33" t="s">
        <v>6984</v>
      </c>
      <c r="EQI33" t="s">
        <v>6984</v>
      </c>
      <c r="EQJ33" t="s">
        <v>6984</v>
      </c>
      <c r="EQK33" t="s">
        <v>6984</v>
      </c>
      <c r="EQL33" t="s">
        <v>6984</v>
      </c>
      <c r="EQM33" t="s">
        <v>6984</v>
      </c>
      <c r="EQN33" t="s">
        <v>6984</v>
      </c>
      <c r="EQO33" t="s">
        <v>6984</v>
      </c>
      <c r="EQP33" t="s">
        <v>6984</v>
      </c>
      <c r="EQQ33" t="s">
        <v>6984</v>
      </c>
      <c r="EQR33" t="s">
        <v>6984</v>
      </c>
      <c r="EQS33" t="s">
        <v>6984</v>
      </c>
      <c r="EQT33" t="s">
        <v>6984</v>
      </c>
      <c r="EQU33" t="s">
        <v>6984</v>
      </c>
      <c r="EQV33" t="s">
        <v>6984</v>
      </c>
      <c r="EQW33" t="s">
        <v>6984</v>
      </c>
      <c r="EQX33" t="s">
        <v>6984</v>
      </c>
      <c r="EQY33" t="s">
        <v>6984</v>
      </c>
      <c r="EQZ33" t="s">
        <v>6984</v>
      </c>
      <c r="ERA33" t="s">
        <v>6984</v>
      </c>
      <c r="ERB33" t="s">
        <v>6984</v>
      </c>
      <c r="ERC33" t="s">
        <v>6984</v>
      </c>
      <c r="ERD33" t="s">
        <v>6984</v>
      </c>
      <c r="ERE33" t="s">
        <v>6984</v>
      </c>
      <c r="ERF33" t="s">
        <v>6984</v>
      </c>
      <c r="ERG33" t="s">
        <v>6984</v>
      </c>
      <c r="ERH33" t="s">
        <v>6984</v>
      </c>
      <c r="ERI33" t="s">
        <v>6984</v>
      </c>
      <c r="ERJ33" t="s">
        <v>6984</v>
      </c>
      <c r="ERK33" t="s">
        <v>6984</v>
      </c>
      <c r="ERL33" t="s">
        <v>6984</v>
      </c>
      <c r="ERM33" t="s">
        <v>6984</v>
      </c>
      <c r="ERN33" t="s">
        <v>6984</v>
      </c>
      <c r="ERO33" t="s">
        <v>6984</v>
      </c>
      <c r="ERP33" t="s">
        <v>6984</v>
      </c>
      <c r="ERQ33" t="s">
        <v>6984</v>
      </c>
      <c r="ERR33" t="s">
        <v>6984</v>
      </c>
      <c r="ERS33" t="s">
        <v>6984</v>
      </c>
      <c r="ERT33" t="s">
        <v>6984</v>
      </c>
      <c r="ERU33" t="s">
        <v>6984</v>
      </c>
      <c r="ERV33" t="s">
        <v>6984</v>
      </c>
      <c r="ERW33" t="s">
        <v>6984</v>
      </c>
      <c r="ERX33" t="s">
        <v>6984</v>
      </c>
      <c r="ERY33" t="s">
        <v>6984</v>
      </c>
      <c r="ERZ33" t="s">
        <v>6984</v>
      </c>
      <c r="ESA33" t="s">
        <v>6984</v>
      </c>
      <c r="ESB33" t="s">
        <v>6984</v>
      </c>
      <c r="ESC33" t="s">
        <v>6984</v>
      </c>
      <c r="ESD33" t="s">
        <v>6984</v>
      </c>
      <c r="ESE33" t="s">
        <v>6984</v>
      </c>
      <c r="ESF33" t="s">
        <v>6984</v>
      </c>
      <c r="ESG33" t="s">
        <v>6984</v>
      </c>
      <c r="ESH33" t="s">
        <v>6984</v>
      </c>
      <c r="ESI33" t="s">
        <v>6984</v>
      </c>
      <c r="ESJ33" t="s">
        <v>6984</v>
      </c>
      <c r="ESK33" t="s">
        <v>6984</v>
      </c>
      <c r="ESL33" t="s">
        <v>6984</v>
      </c>
      <c r="ESM33" t="s">
        <v>6984</v>
      </c>
      <c r="ESN33" t="s">
        <v>6984</v>
      </c>
      <c r="ESO33" t="s">
        <v>6984</v>
      </c>
      <c r="ESP33" t="s">
        <v>6984</v>
      </c>
      <c r="ESQ33" t="s">
        <v>6984</v>
      </c>
      <c r="ESR33" t="s">
        <v>6984</v>
      </c>
      <c r="ESS33" t="s">
        <v>6984</v>
      </c>
      <c r="EST33" t="s">
        <v>6984</v>
      </c>
      <c r="ESU33" t="s">
        <v>6984</v>
      </c>
      <c r="ESV33" t="s">
        <v>6984</v>
      </c>
      <c r="ESW33" t="s">
        <v>6984</v>
      </c>
      <c r="ESX33" t="s">
        <v>6984</v>
      </c>
      <c r="ESY33" t="s">
        <v>6984</v>
      </c>
      <c r="ESZ33" t="s">
        <v>6984</v>
      </c>
      <c r="ETA33" t="s">
        <v>6984</v>
      </c>
      <c r="ETB33" t="s">
        <v>6984</v>
      </c>
      <c r="ETC33" t="s">
        <v>6984</v>
      </c>
      <c r="ETD33" t="s">
        <v>6984</v>
      </c>
      <c r="ETE33" t="s">
        <v>6984</v>
      </c>
      <c r="ETF33" t="s">
        <v>6984</v>
      </c>
      <c r="ETG33" t="s">
        <v>6984</v>
      </c>
      <c r="ETH33" t="s">
        <v>6984</v>
      </c>
      <c r="ETI33" t="s">
        <v>6984</v>
      </c>
      <c r="ETJ33" t="s">
        <v>6984</v>
      </c>
      <c r="ETK33" t="s">
        <v>6984</v>
      </c>
      <c r="ETL33" t="s">
        <v>6984</v>
      </c>
      <c r="ETM33" t="s">
        <v>6984</v>
      </c>
      <c r="ETN33" t="s">
        <v>6984</v>
      </c>
      <c r="ETO33" t="s">
        <v>6984</v>
      </c>
      <c r="ETP33" t="s">
        <v>6984</v>
      </c>
      <c r="ETQ33" t="s">
        <v>6984</v>
      </c>
      <c r="ETR33" t="s">
        <v>6984</v>
      </c>
      <c r="ETS33" t="s">
        <v>6984</v>
      </c>
      <c r="ETT33" t="s">
        <v>6984</v>
      </c>
      <c r="ETU33" t="s">
        <v>6984</v>
      </c>
      <c r="ETV33" t="s">
        <v>6984</v>
      </c>
      <c r="ETW33" t="s">
        <v>6984</v>
      </c>
      <c r="ETX33" t="s">
        <v>6984</v>
      </c>
      <c r="ETY33" t="s">
        <v>6984</v>
      </c>
      <c r="ETZ33" t="s">
        <v>6984</v>
      </c>
      <c r="EUA33" t="s">
        <v>6984</v>
      </c>
      <c r="EUB33" t="s">
        <v>6984</v>
      </c>
      <c r="EUC33" t="s">
        <v>6984</v>
      </c>
      <c r="EUD33" t="s">
        <v>6984</v>
      </c>
      <c r="EUE33" t="s">
        <v>6984</v>
      </c>
      <c r="EUF33" t="s">
        <v>6984</v>
      </c>
      <c r="EUG33" t="s">
        <v>6984</v>
      </c>
      <c r="EUH33" t="s">
        <v>6984</v>
      </c>
      <c r="EUI33" t="s">
        <v>6984</v>
      </c>
      <c r="EUJ33" t="s">
        <v>6984</v>
      </c>
      <c r="EUK33" t="s">
        <v>6984</v>
      </c>
      <c r="EUL33" t="s">
        <v>6984</v>
      </c>
      <c r="EUM33" t="s">
        <v>6984</v>
      </c>
      <c r="EUN33" t="s">
        <v>6984</v>
      </c>
      <c r="EUO33" t="s">
        <v>6984</v>
      </c>
      <c r="EUP33" t="s">
        <v>6984</v>
      </c>
      <c r="EUQ33" t="s">
        <v>6984</v>
      </c>
      <c r="EUR33" t="s">
        <v>6984</v>
      </c>
      <c r="EUS33" t="s">
        <v>6984</v>
      </c>
      <c r="EUT33" t="s">
        <v>6984</v>
      </c>
      <c r="EUU33" t="s">
        <v>6984</v>
      </c>
      <c r="EUV33" t="s">
        <v>6984</v>
      </c>
      <c r="EUW33" t="s">
        <v>6984</v>
      </c>
      <c r="EUX33" t="s">
        <v>6984</v>
      </c>
      <c r="EUY33" t="s">
        <v>6984</v>
      </c>
      <c r="EUZ33" t="s">
        <v>6984</v>
      </c>
      <c r="EVA33" t="s">
        <v>6984</v>
      </c>
      <c r="EVB33" t="s">
        <v>6984</v>
      </c>
      <c r="EVC33" t="s">
        <v>6984</v>
      </c>
      <c r="EVD33" t="s">
        <v>6984</v>
      </c>
      <c r="EVE33" t="s">
        <v>6984</v>
      </c>
      <c r="EVF33" t="s">
        <v>6984</v>
      </c>
      <c r="EVG33" t="s">
        <v>6984</v>
      </c>
      <c r="EVH33" t="s">
        <v>6984</v>
      </c>
      <c r="EVI33" t="s">
        <v>6984</v>
      </c>
      <c r="EVJ33" t="s">
        <v>6984</v>
      </c>
      <c r="EVK33" t="s">
        <v>6984</v>
      </c>
      <c r="EVL33" t="s">
        <v>6984</v>
      </c>
      <c r="EVM33" t="s">
        <v>6984</v>
      </c>
      <c r="EVN33" t="s">
        <v>6984</v>
      </c>
      <c r="EVO33" t="s">
        <v>6984</v>
      </c>
      <c r="EVP33" t="s">
        <v>6984</v>
      </c>
      <c r="EVQ33" t="s">
        <v>6984</v>
      </c>
      <c r="EVR33" t="s">
        <v>6984</v>
      </c>
      <c r="EVS33" t="s">
        <v>6984</v>
      </c>
      <c r="EVT33" t="s">
        <v>6984</v>
      </c>
      <c r="EVU33" t="s">
        <v>6984</v>
      </c>
      <c r="EVV33" t="s">
        <v>6984</v>
      </c>
      <c r="EVW33" t="s">
        <v>6984</v>
      </c>
      <c r="EVX33" t="s">
        <v>6984</v>
      </c>
      <c r="EVY33" t="s">
        <v>6984</v>
      </c>
      <c r="EVZ33" t="s">
        <v>6984</v>
      </c>
      <c r="EWA33" t="s">
        <v>6984</v>
      </c>
      <c r="EWB33" t="s">
        <v>6984</v>
      </c>
      <c r="EWC33" t="s">
        <v>6984</v>
      </c>
      <c r="EWD33" t="s">
        <v>6984</v>
      </c>
      <c r="EWE33" t="s">
        <v>6984</v>
      </c>
      <c r="EWF33" t="s">
        <v>6984</v>
      </c>
      <c r="EWG33" t="s">
        <v>6984</v>
      </c>
      <c r="EWH33" t="s">
        <v>6984</v>
      </c>
      <c r="EWI33" t="s">
        <v>6984</v>
      </c>
      <c r="EWJ33" t="s">
        <v>6984</v>
      </c>
      <c r="EWK33" t="s">
        <v>6984</v>
      </c>
      <c r="EWL33" t="s">
        <v>6984</v>
      </c>
      <c r="EWM33" t="s">
        <v>6984</v>
      </c>
      <c r="EWN33" t="s">
        <v>6984</v>
      </c>
      <c r="EWO33" t="s">
        <v>6984</v>
      </c>
      <c r="EWP33" t="s">
        <v>6984</v>
      </c>
      <c r="EWQ33" t="s">
        <v>6984</v>
      </c>
      <c r="EWR33" t="s">
        <v>6984</v>
      </c>
      <c r="EWS33" t="s">
        <v>6984</v>
      </c>
      <c r="EWT33" t="s">
        <v>6984</v>
      </c>
      <c r="EWU33" t="s">
        <v>6984</v>
      </c>
      <c r="EWV33" t="s">
        <v>6984</v>
      </c>
      <c r="EWW33" t="s">
        <v>6984</v>
      </c>
      <c r="EWX33" t="s">
        <v>6984</v>
      </c>
      <c r="EWY33" t="s">
        <v>6984</v>
      </c>
      <c r="EWZ33" t="s">
        <v>6984</v>
      </c>
      <c r="EXA33" t="s">
        <v>6984</v>
      </c>
      <c r="EXB33" t="s">
        <v>6984</v>
      </c>
      <c r="EXC33" t="s">
        <v>6984</v>
      </c>
      <c r="EXD33" t="s">
        <v>6984</v>
      </c>
      <c r="EXE33" t="s">
        <v>6984</v>
      </c>
      <c r="EXF33" t="s">
        <v>6984</v>
      </c>
      <c r="EXG33" t="s">
        <v>6984</v>
      </c>
      <c r="EXH33" t="s">
        <v>6984</v>
      </c>
      <c r="EXI33" t="s">
        <v>6984</v>
      </c>
      <c r="EXJ33" t="s">
        <v>6984</v>
      </c>
      <c r="EXK33" t="s">
        <v>6984</v>
      </c>
      <c r="EXL33" t="s">
        <v>6984</v>
      </c>
      <c r="EXM33" t="s">
        <v>6984</v>
      </c>
      <c r="EXN33" t="s">
        <v>6984</v>
      </c>
      <c r="EXO33" t="s">
        <v>6984</v>
      </c>
      <c r="EXP33" t="s">
        <v>6984</v>
      </c>
      <c r="EXQ33" t="s">
        <v>6984</v>
      </c>
      <c r="EXR33" t="s">
        <v>6984</v>
      </c>
      <c r="EXS33" t="s">
        <v>6984</v>
      </c>
      <c r="EXT33" t="s">
        <v>6984</v>
      </c>
      <c r="EXU33" t="s">
        <v>6984</v>
      </c>
      <c r="EXV33" t="s">
        <v>6984</v>
      </c>
      <c r="EXW33" t="s">
        <v>6984</v>
      </c>
      <c r="EXX33" t="s">
        <v>6984</v>
      </c>
      <c r="EXY33" t="s">
        <v>6984</v>
      </c>
      <c r="EXZ33" t="s">
        <v>6984</v>
      </c>
      <c r="EYA33" t="s">
        <v>6984</v>
      </c>
      <c r="EYB33" t="s">
        <v>6984</v>
      </c>
      <c r="EYC33" t="s">
        <v>6984</v>
      </c>
      <c r="EYD33" t="s">
        <v>6984</v>
      </c>
      <c r="EYE33" t="s">
        <v>6984</v>
      </c>
      <c r="EYF33" t="s">
        <v>6984</v>
      </c>
      <c r="EYG33" t="s">
        <v>6984</v>
      </c>
      <c r="EYH33" t="s">
        <v>6984</v>
      </c>
      <c r="EYI33" t="s">
        <v>6984</v>
      </c>
      <c r="EYJ33" t="s">
        <v>6984</v>
      </c>
      <c r="EYK33" t="s">
        <v>6984</v>
      </c>
      <c r="EYL33" t="s">
        <v>6984</v>
      </c>
      <c r="EYM33" t="s">
        <v>6984</v>
      </c>
      <c r="EYN33" t="s">
        <v>6984</v>
      </c>
      <c r="EYO33" t="s">
        <v>6984</v>
      </c>
      <c r="EYP33" t="s">
        <v>6984</v>
      </c>
      <c r="EYQ33" t="s">
        <v>6984</v>
      </c>
      <c r="EYR33" t="s">
        <v>6984</v>
      </c>
      <c r="EYS33" t="s">
        <v>6984</v>
      </c>
      <c r="EYT33" t="s">
        <v>6984</v>
      </c>
      <c r="EYU33" t="s">
        <v>6984</v>
      </c>
      <c r="EYV33" t="s">
        <v>6984</v>
      </c>
      <c r="EYW33" t="s">
        <v>6984</v>
      </c>
      <c r="EYX33" t="s">
        <v>6984</v>
      </c>
      <c r="EYY33" t="s">
        <v>6984</v>
      </c>
      <c r="EYZ33" t="s">
        <v>6984</v>
      </c>
      <c r="EZA33" t="s">
        <v>6984</v>
      </c>
      <c r="EZB33" t="s">
        <v>6984</v>
      </c>
      <c r="EZC33" t="s">
        <v>6984</v>
      </c>
      <c r="EZD33" t="s">
        <v>6984</v>
      </c>
      <c r="EZE33" t="s">
        <v>6984</v>
      </c>
      <c r="EZF33" t="s">
        <v>6984</v>
      </c>
      <c r="EZG33" t="s">
        <v>6984</v>
      </c>
      <c r="EZH33" t="s">
        <v>6984</v>
      </c>
      <c r="EZI33" t="s">
        <v>6984</v>
      </c>
      <c r="EZJ33" t="s">
        <v>6984</v>
      </c>
      <c r="EZK33" t="s">
        <v>6984</v>
      </c>
      <c r="EZL33" t="s">
        <v>6984</v>
      </c>
      <c r="EZM33" t="s">
        <v>6984</v>
      </c>
      <c r="EZN33" t="s">
        <v>6984</v>
      </c>
      <c r="EZO33" t="s">
        <v>6984</v>
      </c>
      <c r="EZP33" t="s">
        <v>6984</v>
      </c>
      <c r="EZQ33" t="s">
        <v>6984</v>
      </c>
      <c r="EZR33" t="s">
        <v>6984</v>
      </c>
      <c r="EZS33" t="s">
        <v>6984</v>
      </c>
      <c r="EZT33" t="s">
        <v>6984</v>
      </c>
      <c r="EZU33" t="s">
        <v>6984</v>
      </c>
      <c r="EZV33" t="s">
        <v>6984</v>
      </c>
      <c r="EZW33" t="s">
        <v>6984</v>
      </c>
      <c r="EZX33" t="s">
        <v>6984</v>
      </c>
      <c r="EZY33" t="s">
        <v>6984</v>
      </c>
      <c r="EZZ33" t="s">
        <v>6984</v>
      </c>
      <c r="FAA33" t="s">
        <v>6984</v>
      </c>
      <c r="FAB33" t="s">
        <v>6984</v>
      </c>
      <c r="FAC33" t="s">
        <v>6984</v>
      </c>
      <c r="FAD33" t="s">
        <v>6984</v>
      </c>
      <c r="FAE33" t="s">
        <v>6984</v>
      </c>
      <c r="FAF33" t="s">
        <v>6984</v>
      </c>
      <c r="FAG33" t="s">
        <v>6984</v>
      </c>
      <c r="FAH33" t="s">
        <v>6984</v>
      </c>
      <c r="FAI33" t="s">
        <v>6984</v>
      </c>
      <c r="FAJ33" t="s">
        <v>6984</v>
      </c>
      <c r="FAK33" t="s">
        <v>6984</v>
      </c>
      <c r="FAL33" t="s">
        <v>6984</v>
      </c>
      <c r="FAM33" t="s">
        <v>6984</v>
      </c>
      <c r="FAN33" t="s">
        <v>6984</v>
      </c>
      <c r="FAO33" t="s">
        <v>6984</v>
      </c>
      <c r="FAP33" t="s">
        <v>6984</v>
      </c>
      <c r="FAQ33" t="s">
        <v>6984</v>
      </c>
      <c r="FAR33" t="s">
        <v>6984</v>
      </c>
      <c r="FAS33" t="s">
        <v>6984</v>
      </c>
      <c r="FAT33" t="s">
        <v>6984</v>
      </c>
      <c r="FAU33" t="s">
        <v>6984</v>
      </c>
      <c r="FAV33" t="s">
        <v>6984</v>
      </c>
      <c r="FAW33" t="s">
        <v>6984</v>
      </c>
      <c r="FAX33" t="s">
        <v>6984</v>
      </c>
      <c r="FAY33" t="s">
        <v>6984</v>
      </c>
      <c r="FAZ33" t="s">
        <v>6984</v>
      </c>
      <c r="FBA33" t="s">
        <v>6984</v>
      </c>
      <c r="FBB33" t="s">
        <v>6984</v>
      </c>
      <c r="FBC33" t="s">
        <v>6984</v>
      </c>
      <c r="FBD33" t="s">
        <v>6984</v>
      </c>
      <c r="FBE33" t="s">
        <v>6984</v>
      </c>
      <c r="FBF33" t="s">
        <v>6984</v>
      </c>
      <c r="FBG33" t="s">
        <v>6984</v>
      </c>
      <c r="FBH33" t="s">
        <v>6984</v>
      </c>
      <c r="FBI33" t="s">
        <v>6984</v>
      </c>
      <c r="FBJ33" t="s">
        <v>6984</v>
      </c>
      <c r="FBK33" t="s">
        <v>6984</v>
      </c>
      <c r="FBL33" t="s">
        <v>6984</v>
      </c>
      <c r="FBM33" t="s">
        <v>6984</v>
      </c>
      <c r="FBN33" t="s">
        <v>6984</v>
      </c>
      <c r="FBO33" t="s">
        <v>6984</v>
      </c>
      <c r="FBP33" t="s">
        <v>6984</v>
      </c>
      <c r="FBQ33" t="s">
        <v>6984</v>
      </c>
      <c r="FBR33" t="s">
        <v>6984</v>
      </c>
      <c r="FBS33" t="s">
        <v>6984</v>
      </c>
      <c r="FBT33" t="s">
        <v>6984</v>
      </c>
      <c r="FBU33" t="s">
        <v>6984</v>
      </c>
      <c r="FBV33" t="s">
        <v>6984</v>
      </c>
      <c r="FBW33" t="s">
        <v>6984</v>
      </c>
      <c r="FBX33" t="s">
        <v>6984</v>
      </c>
      <c r="FBY33" t="s">
        <v>6984</v>
      </c>
      <c r="FBZ33" t="s">
        <v>6984</v>
      </c>
      <c r="FCA33" t="s">
        <v>6984</v>
      </c>
      <c r="FCB33" t="s">
        <v>6984</v>
      </c>
      <c r="FCC33" t="s">
        <v>6984</v>
      </c>
      <c r="FCD33" t="s">
        <v>6984</v>
      </c>
      <c r="FCE33" t="s">
        <v>6984</v>
      </c>
      <c r="FCF33" t="s">
        <v>6984</v>
      </c>
      <c r="FCG33" t="s">
        <v>6984</v>
      </c>
      <c r="FCH33" t="s">
        <v>6984</v>
      </c>
      <c r="FCI33" t="s">
        <v>6984</v>
      </c>
      <c r="FCJ33" t="s">
        <v>6984</v>
      </c>
      <c r="FCK33" t="s">
        <v>6984</v>
      </c>
      <c r="FCL33" t="s">
        <v>6984</v>
      </c>
      <c r="FCM33" t="s">
        <v>6984</v>
      </c>
      <c r="FCN33" t="s">
        <v>6984</v>
      </c>
      <c r="FCO33" t="s">
        <v>6984</v>
      </c>
      <c r="FCP33" t="s">
        <v>6984</v>
      </c>
      <c r="FCQ33" t="s">
        <v>6984</v>
      </c>
      <c r="FCR33" t="s">
        <v>6984</v>
      </c>
      <c r="FCS33" t="s">
        <v>6984</v>
      </c>
      <c r="FCT33" t="s">
        <v>6984</v>
      </c>
      <c r="FCU33" t="s">
        <v>6984</v>
      </c>
      <c r="FCV33" t="s">
        <v>6984</v>
      </c>
      <c r="FCW33" t="s">
        <v>6984</v>
      </c>
      <c r="FCX33" t="s">
        <v>6984</v>
      </c>
      <c r="FCY33" t="s">
        <v>6984</v>
      </c>
      <c r="FCZ33" t="s">
        <v>6984</v>
      </c>
      <c r="FDA33" t="s">
        <v>6984</v>
      </c>
      <c r="FDB33" t="s">
        <v>6984</v>
      </c>
      <c r="FDC33" t="s">
        <v>6984</v>
      </c>
      <c r="FDD33" t="s">
        <v>6984</v>
      </c>
      <c r="FDE33" t="s">
        <v>6984</v>
      </c>
      <c r="FDF33" t="s">
        <v>6984</v>
      </c>
      <c r="FDG33" t="s">
        <v>6984</v>
      </c>
      <c r="FDH33" t="s">
        <v>6984</v>
      </c>
      <c r="FDI33" t="s">
        <v>6984</v>
      </c>
      <c r="FDJ33" t="s">
        <v>6984</v>
      </c>
      <c r="FDK33" t="s">
        <v>6984</v>
      </c>
      <c r="FDL33" t="s">
        <v>6984</v>
      </c>
      <c r="FDM33" t="s">
        <v>6984</v>
      </c>
      <c r="FDN33" t="s">
        <v>6984</v>
      </c>
      <c r="FDO33" t="s">
        <v>6984</v>
      </c>
      <c r="FDP33" t="s">
        <v>6984</v>
      </c>
      <c r="FDQ33" t="s">
        <v>6984</v>
      </c>
      <c r="FDR33" t="s">
        <v>6984</v>
      </c>
      <c r="FDS33" t="s">
        <v>6984</v>
      </c>
      <c r="FDT33" t="s">
        <v>6984</v>
      </c>
      <c r="FDU33" t="s">
        <v>6984</v>
      </c>
      <c r="FDV33" t="s">
        <v>6984</v>
      </c>
      <c r="FDW33" t="s">
        <v>6984</v>
      </c>
      <c r="FDX33" t="s">
        <v>6984</v>
      </c>
      <c r="FDY33" t="s">
        <v>6984</v>
      </c>
      <c r="FDZ33" t="s">
        <v>6984</v>
      </c>
      <c r="FEA33" t="s">
        <v>6984</v>
      </c>
      <c r="FEB33" t="s">
        <v>6984</v>
      </c>
      <c r="FEC33" t="s">
        <v>6984</v>
      </c>
      <c r="FED33" t="s">
        <v>6984</v>
      </c>
      <c r="FEE33" t="s">
        <v>6984</v>
      </c>
      <c r="FEF33" t="s">
        <v>6984</v>
      </c>
      <c r="FEG33" t="s">
        <v>6984</v>
      </c>
      <c r="FEH33" t="s">
        <v>6984</v>
      </c>
      <c r="FEI33" t="s">
        <v>6984</v>
      </c>
      <c r="FEJ33" t="s">
        <v>6984</v>
      </c>
      <c r="FEK33" t="s">
        <v>6984</v>
      </c>
      <c r="FEL33" t="s">
        <v>6984</v>
      </c>
      <c r="FEM33" t="s">
        <v>6984</v>
      </c>
      <c r="FEN33" t="s">
        <v>6984</v>
      </c>
      <c r="FEO33" t="s">
        <v>6984</v>
      </c>
      <c r="FEP33" t="s">
        <v>6984</v>
      </c>
      <c r="FEQ33" t="s">
        <v>6984</v>
      </c>
      <c r="FER33" t="s">
        <v>6984</v>
      </c>
      <c r="FES33" t="s">
        <v>6984</v>
      </c>
      <c r="FET33" t="s">
        <v>6984</v>
      </c>
      <c r="FEU33" t="s">
        <v>6984</v>
      </c>
      <c r="FEV33" t="s">
        <v>6984</v>
      </c>
      <c r="FEW33" t="s">
        <v>6984</v>
      </c>
      <c r="FEX33" t="s">
        <v>6984</v>
      </c>
      <c r="FEY33" t="s">
        <v>6984</v>
      </c>
      <c r="FEZ33" t="s">
        <v>6984</v>
      </c>
      <c r="FFA33" t="s">
        <v>6984</v>
      </c>
      <c r="FFB33" t="s">
        <v>6984</v>
      </c>
      <c r="FFC33" t="s">
        <v>6984</v>
      </c>
      <c r="FFD33" t="s">
        <v>6984</v>
      </c>
      <c r="FFE33" t="s">
        <v>6984</v>
      </c>
      <c r="FFF33" t="s">
        <v>6984</v>
      </c>
      <c r="FFG33" t="s">
        <v>6984</v>
      </c>
      <c r="FFH33" t="s">
        <v>6984</v>
      </c>
      <c r="FFI33" t="s">
        <v>6984</v>
      </c>
      <c r="FFJ33" t="s">
        <v>6984</v>
      </c>
      <c r="FFK33" t="s">
        <v>6984</v>
      </c>
      <c r="FFL33" t="s">
        <v>6984</v>
      </c>
      <c r="FFM33" t="s">
        <v>6984</v>
      </c>
      <c r="FFN33" t="s">
        <v>6984</v>
      </c>
      <c r="FFO33" t="s">
        <v>6984</v>
      </c>
      <c r="FFP33" t="s">
        <v>6984</v>
      </c>
      <c r="FFQ33" t="s">
        <v>6984</v>
      </c>
      <c r="FFR33" t="s">
        <v>6984</v>
      </c>
      <c r="FFS33" t="s">
        <v>6984</v>
      </c>
      <c r="FFT33" t="s">
        <v>6984</v>
      </c>
      <c r="FFU33" t="s">
        <v>6984</v>
      </c>
      <c r="FFV33" t="s">
        <v>6984</v>
      </c>
      <c r="FFW33" t="s">
        <v>6984</v>
      </c>
      <c r="FFX33" t="s">
        <v>6984</v>
      </c>
      <c r="FFY33" t="s">
        <v>6984</v>
      </c>
      <c r="FFZ33" t="s">
        <v>6984</v>
      </c>
      <c r="FGA33" t="s">
        <v>6984</v>
      </c>
      <c r="FGB33" t="s">
        <v>6984</v>
      </c>
      <c r="FGC33" t="s">
        <v>6984</v>
      </c>
      <c r="FGD33" t="s">
        <v>6984</v>
      </c>
      <c r="FGE33" t="s">
        <v>6984</v>
      </c>
      <c r="FGF33" t="s">
        <v>6984</v>
      </c>
      <c r="FGG33" t="s">
        <v>6984</v>
      </c>
      <c r="FGH33" t="s">
        <v>6984</v>
      </c>
      <c r="FGI33" t="s">
        <v>6984</v>
      </c>
      <c r="FGJ33" t="s">
        <v>6984</v>
      </c>
      <c r="FGK33" t="s">
        <v>6984</v>
      </c>
      <c r="FGL33" t="s">
        <v>6984</v>
      </c>
      <c r="FGM33" t="s">
        <v>6984</v>
      </c>
      <c r="FGN33" t="s">
        <v>6984</v>
      </c>
      <c r="FGO33" t="s">
        <v>6984</v>
      </c>
      <c r="FGP33" t="s">
        <v>6984</v>
      </c>
      <c r="FGQ33" t="s">
        <v>6984</v>
      </c>
      <c r="FGR33" t="s">
        <v>6984</v>
      </c>
      <c r="FGS33" t="s">
        <v>6984</v>
      </c>
      <c r="FGT33" t="s">
        <v>6984</v>
      </c>
      <c r="FGU33" t="s">
        <v>6984</v>
      </c>
      <c r="FGV33" t="s">
        <v>6984</v>
      </c>
      <c r="FGW33" t="s">
        <v>6984</v>
      </c>
      <c r="FGX33" t="s">
        <v>6984</v>
      </c>
      <c r="FGY33" t="s">
        <v>6984</v>
      </c>
      <c r="FGZ33" t="s">
        <v>6984</v>
      </c>
      <c r="FHA33" t="s">
        <v>6984</v>
      </c>
      <c r="FHB33" t="s">
        <v>6984</v>
      </c>
      <c r="FHC33" t="s">
        <v>6984</v>
      </c>
      <c r="FHD33" t="s">
        <v>6984</v>
      </c>
      <c r="FHE33" t="s">
        <v>6984</v>
      </c>
      <c r="FHF33" t="s">
        <v>6984</v>
      </c>
      <c r="FHG33" t="s">
        <v>6984</v>
      </c>
      <c r="FHH33" t="s">
        <v>6984</v>
      </c>
      <c r="FHI33" t="s">
        <v>6984</v>
      </c>
      <c r="FHJ33" t="s">
        <v>6984</v>
      </c>
      <c r="FHK33" t="s">
        <v>6984</v>
      </c>
      <c r="FHL33" t="s">
        <v>6984</v>
      </c>
      <c r="FHM33" t="s">
        <v>6984</v>
      </c>
      <c r="FHN33" t="s">
        <v>6984</v>
      </c>
      <c r="FHO33" t="s">
        <v>6984</v>
      </c>
      <c r="FHP33" t="s">
        <v>6984</v>
      </c>
      <c r="FHQ33" t="s">
        <v>6984</v>
      </c>
      <c r="FHR33" t="s">
        <v>6984</v>
      </c>
      <c r="FHS33" t="s">
        <v>6984</v>
      </c>
      <c r="FHT33" t="s">
        <v>6984</v>
      </c>
      <c r="FHU33" t="s">
        <v>6984</v>
      </c>
      <c r="FHV33" t="s">
        <v>6984</v>
      </c>
      <c r="FHW33" t="s">
        <v>6984</v>
      </c>
      <c r="FHX33" t="s">
        <v>6984</v>
      </c>
      <c r="FHY33" t="s">
        <v>6984</v>
      </c>
      <c r="FHZ33" t="s">
        <v>6984</v>
      </c>
      <c r="FIA33" t="s">
        <v>6984</v>
      </c>
      <c r="FIB33" t="s">
        <v>6984</v>
      </c>
      <c r="FIC33" t="s">
        <v>6984</v>
      </c>
      <c r="FID33" t="s">
        <v>6984</v>
      </c>
      <c r="FIE33" t="s">
        <v>6984</v>
      </c>
      <c r="FIF33" t="s">
        <v>6984</v>
      </c>
      <c r="FIG33" t="s">
        <v>6984</v>
      </c>
      <c r="FIH33" t="s">
        <v>6984</v>
      </c>
      <c r="FII33" t="s">
        <v>6984</v>
      </c>
      <c r="FIJ33" t="s">
        <v>6984</v>
      </c>
      <c r="FIK33" t="s">
        <v>6984</v>
      </c>
      <c r="FIL33" t="s">
        <v>6984</v>
      </c>
      <c r="FIM33" t="s">
        <v>6984</v>
      </c>
      <c r="FIN33" t="s">
        <v>6984</v>
      </c>
      <c r="FIO33" t="s">
        <v>6984</v>
      </c>
      <c r="FIP33" t="s">
        <v>6984</v>
      </c>
      <c r="FIQ33" t="s">
        <v>6984</v>
      </c>
      <c r="FIR33" t="s">
        <v>6984</v>
      </c>
      <c r="FIS33" t="s">
        <v>6984</v>
      </c>
      <c r="FIT33" t="s">
        <v>6984</v>
      </c>
      <c r="FIU33" t="s">
        <v>6984</v>
      </c>
      <c r="FIV33" t="s">
        <v>6984</v>
      </c>
      <c r="FIW33" t="s">
        <v>6984</v>
      </c>
      <c r="FIX33" t="s">
        <v>6984</v>
      </c>
      <c r="FIY33" t="s">
        <v>6984</v>
      </c>
      <c r="FIZ33" t="s">
        <v>6984</v>
      </c>
      <c r="FJA33" t="s">
        <v>6984</v>
      </c>
      <c r="FJB33" t="s">
        <v>6984</v>
      </c>
      <c r="FJC33" t="s">
        <v>6984</v>
      </c>
      <c r="FJD33" t="s">
        <v>6984</v>
      </c>
      <c r="FJE33" t="s">
        <v>6984</v>
      </c>
      <c r="FJF33" t="s">
        <v>6984</v>
      </c>
      <c r="FJG33" t="s">
        <v>6984</v>
      </c>
      <c r="FJH33" t="s">
        <v>6984</v>
      </c>
      <c r="FJI33" t="s">
        <v>6984</v>
      </c>
      <c r="FJJ33" t="s">
        <v>6984</v>
      </c>
      <c r="FJK33" t="s">
        <v>6984</v>
      </c>
      <c r="FJL33" t="s">
        <v>6984</v>
      </c>
      <c r="FJM33" t="s">
        <v>6984</v>
      </c>
      <c r="FJN33" t="s">
        <v>6984</v>
      </c>
      <c r="FJO33" t="s">
        <v>6984</v>
      </c>
      <c r="FJP33" t="s">
        <v>6984</v>
      </c>
      <c r="FJQ33" t="s">
        <v>6984</v>
      </c>
      <c r="FJR33" t="s">
        <v>6984</v>
      </c>
      <c r="FJS33" t="s">
        <v>6984</v>
      </c>
      <c r="FJT33" t="s">
        <v>6984</v>
      </c>
      <c r="FJU33" t="s">
        <v>6984</v>
      </c>
      <c r="FJV33" t="s">
        <v>6984</v>
      </c>
      <c r="FJW33" t="s">
        <v>6984</v>
      </c>
      <c r="FJX33" t="s">
        <v>6984</v>
      </c>
      <c r="FJY33" t="s">
        <v>6984</v>
      </c>
      <c r="FJZ33" t="s">
        <v>6984</v>
      </c>
      <c r="FKA33" t="s">
        <v>6984</v>
      </c>
      <c r="FKB33" t="s">
        <v>6984</v>
      </c>
      <c r="FKC33" t="s">
        <v>6984</v>
      </c>
      <c r="FKD33" t="s">
        <v>6984</v>
      </c>
      <c r="FKE33" t="s">
        <v>6984</v>
      </c>
      <c r="FKF33" t="s">
        <v>6984</v>
      </c>
      <c r="FKG33" t="s">
        <v>6984</v>
      </c>
      <c r="FKH33" t="s">
        <v>6984</v>
      </c>
      <c r="FKI33" t="s">
        <v>6984</v>
      </c>
      <c r="FKJ33" t="s">
        <v>6984</v>
      </c>
      <c r="FKK33" t="s">
        <v>6984</v>
      </c>
      <c r="FKL33" t="s">
        <v>6984</v>
      </c>
      <c r="FKM33" t="s">
        <v>6984</v>
      </c>
      <c r="FKN33" t="s">
        <v>6984</v>
      </c>
      <c r="FKO33" t="s">
        <v>6984</v>
      </c>
      <c r="FKP33" t="s">
        <v>6984</v>
      </c>
      <c r="FKQ33" t="s">
        <v>6984</v>
      </c>
      <c r="FKR33" t="s">
        <v>6984</v>
      </c>
      <c r="FKS33" t="s">
        <v>6984</v>
      </c>
      <c r="FKT33" t="s">
        <v>6984</v>
      </c>
      <c r="FKU33" t="s">
        <v>6984</v>
      </c>
      <c r="FKV33" t="s">
        <v>6984</v>
      </c>
      <c r="FKW33" t="s">
        <v>6984</v>
      </c>
      <c r="FKX33" t="s">
        <v>6984</v>
      </c>
      <c r="FKY33" t="s">
        <v>6984</v>
      </c>
      <c r="FKZ33" t="s">
        <v>6984</v>
      </c>
      <c r="FLA33" t="s">
        <v>6984</v>
      </c>
      <c r="FLB33" t="s">
        <v>6984</v>
      </c>
      <c r="FLC33" t="s">
        <v>6984</v>
      </c>
      <c r="FLD33" t="s">
        <v>6984</v>
      </c>
      <c r="FLE33" t="s">
        <v>6984</v>
      </c>
      <c r="FLF33" t="s">
        <v>6984</v>
      </c>
      <c r="FLG33" t="s">
        <v>6984</v>
      </c>
      <c r="FLH33" t="s">
        <v>6984</v>
      </c>
      <c r="FLI33" t="s">
        <v>6984</v>
      </c>
      <c r="FLJ33" t="s">
        <v>6984</v>
      </c>
      <c r="FLK33" t="s">
        <v>6984</v>
      </c>
      <c r="FLL33" t="s">
        <v>6984</v>
      </c>
      <c r="FLM33" t="s">
        <v>6984</v>
      </c>
      <c r="FLN33" t="s">
        <v>6984</v>
      </c>
      <c r="FLO33" t="s">
        <v>6984</v>
      </c>
      <c r="FLP33" t="s">
        <v>6984</v>
      </c>
      <c r="FLQ33" t="s">
        <v>6984</v>
      </c>
      <c r="FLR33" t="s">
        <v>6984</v>
      </c>
      <c r="FLS33" t="s">
        <v>6984</v>
      </c>
      <c r="FLT33" t="s">
        <v>6984</v>
      </c>
      <c r="FLU33" t="s">
        <v>6984</v>
      </c>
      <c r="FLV33" t="s">
        <v>6984</v>
      </c>
      <c r="FLW33" t="s">
        <v>6984</v>
      </c>
      <c r="FLX33" t="s">
        <v>6984</v>
      </c>
      <c r="FLY33" t="s">
        <v>6984</v>
      </c>
      <c r="FLZ33" t="s">
        <v>6984</v>
      </c>
      <c r="FMA33" t="s">
        <v>6984</v>
      </c>
      <c r="FMB33" t="s">
        <v>6984</v>
      </c>
      <c r="FMC33" t="s">
        <v>6984</v>
      </c>
      <c r="FMD33" t="s">
        <v>6984</v>
      </c>
      <c r="FME33" t="s">
        <v>6984</v>
      </c>
      <c r="FMF33" t="s">
        <v>6984</v>
      </c>
      <c r="FMG33" t="s">
        <v>6984</v>
      </c>
      <c r="FMH33" t="s">
        <v>6984</v>
      </c>
      <c r="FMI33" t="s">
        <v>6984</v>
      </c>
      <c r="FMJ33" t="s">
        <v>6984</v>
      </c>
      <c r="FMK33" t="s">
        <v>6984</v>
      </c>
      <c r="FML33" t="s">
        <v>6984</v>
      </c>
      <c r="FMM33" t="s">
        <v>6984</v>
      </c>
      <c r="FMN33" t="s">
        <v>6984</v>
      </c>
      <c r="FMO33" t="s">
        <v>6984</v>
      </c>
      <c r="FMP33" t="s">
        <v>6984</v>
      </c>
      <c r="FMQ33" t="s">
        <v>6984</v>
      </c>
      <c r="FMR33" t="s">
        <v>6984</v>
      </c>
      <c r="FMS33" t="s">
        <v>6984</v>
      </c>
      <c r="FMT33" t="s">
        <v>6984</v>
      </c>
      <c r="FMU33" t="s">
        <v>6984</v>
      </c>
      <c r="FMV33" t="s">
        <v>6984</v>
      </c>
      <c r="FMW33" t="s">
        <v>6984</v>
      </c>
      <c r="FMX33" t="s">
        <v>6984</v>
      </c>
      <c r="FMY33" t="s">
        <v>6984</v>
      </c>
      <c r="FMZ33" t="s">
        <v>6984</v>
      </c>
      <c r="FNA33" t="s">
        <v>6984</v>
      </c>
      <c r="FNB33" t="s">
        <v>6984</v>
      </c>
      <c r="FNC33" t="s">
        <v>6984</v>
      </c>
      <c r="FND33" t="s">
        <v>6984</v>
      </c>
      <c r="FNE33" t="s">
        <v>6984</v>
      </c>
      <c r="FNF33" t="s">
        <v>6984</v>
      </c>
      <c r="FNG33" t="s">
        <v>6984</v>
      </c>
      <c r="FNH33" t="s">
        <v>6984</v>
      </c>
      <c r="FNI33" t="s">
        <v>6984</v>
      </c>
      <c r="FNJ33" t="s">
        <v>6984</v>
      </c>
      <c r="FNK33" t="s">
        <v>6984</v>
      </c>
      <c r="FNL33" t="s">
        <v>6984</v>
      </c>
      <c r="FNM33" t="s">
        <v>6984</v>
      </c>
      <c r="FNN33" t="s">
        <v>6984</v>
      </c>
      <c r="FNO33" t="s">
        <v>6984</v>
      </c>
      <c r="FNP33" t="s">
        <v>6984</v>
      </c>
      <c r="FNQ33" t="s">
        <v>6984</v>
      </c>
      <c r="FNR33" t="s">
        <v>6984</v>
      </c>
      <c r="FNS33" t="s">
        <v>6984</v>
      </c>
      <c r="FNT33" t="s">
        <v>6984</v>
      </c>
      <c r="FNU33" t="s">
        <v>6984</v>
      </c>
      <c r="FNV33" t="s">
        <v>6984</v>
      </c>
      <c r="FNW33" t="s">
        <v>6984</v>
      </c>
      <c r="FNX33" t="s">
        <v>6984</v>
      </c>
      <c r="FNY33" t="s">
        <v>6984</v>
      </c>
      <c r="FNZ33" t="s">
        <v>6984</v>
      </c>
      <c r="FOA33" t="s">
        <v>6984</v>
      </c>
      <c r="FOB33" t="s">
        <v>6984</v>
      </c>
      <c r="FOC33" t="s">
        <v>6984</v>
      </c>
      <c r="FOD33" t="s">
        <v>6984</v>
      </c>
      <c r="FOE33" t="s">
        <v>6984</v>
      </c>
      <c r="FOF33" t="s">
        <v>6984</v>
      </c>
      <c r="FOG33" t="s">
        <v>6984</v>
      </c>
      <c r="FOH33" t="s">
        <v>6984</v>
      </c>
      <c r="FOI33" t="s">
        <v>6984</v>
      </c>
      <c r="FOJ33" t="s">
        <v>6984</v>
      </c>
      <c r="FOK33" t="s">
        <v>6984</v>
      </c>
      <c r="FOL33" t="s">
        <v>6984</v>
      </c>
      <c r="FOM33" t="s">
        <v>6984</v>
      </c>
      <c r="FON33" t="s">
        <v>6984</v>
      </c>
      <c r="FOO33" t="s">
        <v>6984</v>
      </c>
      <c r="FOP33" t="s">
        <v>6984</v>
      </c>
      <c r="FOQ33" t="s">
        <v>6984</v>
      </c>
      <c r="FOR33" t="s">
        <v>6984</v>
      </c>
      <c r="FOS33" t="s">
        <v>6984</v>
      </c>
      <c r="FOT33" t="s">
        <v>6984</v>
      </c>
      <c r="FOU33" t="s">
        <v>6984</v>
      </c>
      <c r="FOV33" t="s">
        <v>6984</v>
      </c>
      <c r="FOW33" t="s">
        <v>6984</v>
      </c>
      <c r="FOX33" t="s">
        <v>6984</v>
      </c>
      <c r="FOY33" t="s">
        <v>6984</v>
      </c>
      <c r="FOZ33" t="s">
        <v>6984</v>
      </c>
      <c r="FPA33" t="s">
        <v>6984</v>
      </c>
      <c r="FPB33" t="s">
        <v>6984</v>
      </c>
      <c r="FPC33" t="s">
        <v>6984</v>
      </c>
      <c r="FPD33" t="s">
        <v>6984</v>
      </c>
      <c r="FPE33" t="s">
        <v>6984</v>
      </c>
      <c r="FPF33" t="s">
        <v>6984</v>
      </c>
      <c r="FPG33" t="s">
        <v>6984</v>
      </c>
      <c r="FPH33" t="s">
        <v>6984</v>
      </c>
      <c r="FPI33" t="s">
        <v>6984</v>
      </c>
      <c r="FPJ33" t="s">
        <v>6984</v>
      </c>
      <c r="FPK33" t="s">
        <v>6984</v>
      </c>
      <c r="FPL33" t="s">
        <v>6984</v>
      </c>
      <c r="FPM33" t="s">
        <v>6984</v>
      </c>
      <c r="FPN33" t="s">
        <v>6984</v>
      </c>
      <c r="FPO33" t="s">
        <v>6984</v>
      </c>
      <c r="FPP33" t="s">
        <v>6984</v>
      </c>
      <c r="FPQ33" t="s">
        <v>6984</v>
      </c>
      <c r="FPR33" t="s">
        <v>6984</v>
      </c>
      <c r="FPS33" t="s">
        <v>6984</v>
      </c>
      <c r="FPT33" t="s">
        <v>6984</v>
      </c>
      <c r="FPU33" t="s">
        <v>6984</v>
      </c>
      <c r="FPV33" t="s">
        <v>6984</v>
      </c>
      <c r="FPW33" t="s">
        <v>6984</v>
      </c>
      <c r="FPX33" t="s">
        <v>6984</v>
      </c>
      <c r="FPY33" t="s">
        <v>6984</v>
      </c>
      <c r="FPZ33" t="s">
        <v>6984</v>
      </c>
      <c r="FQA33" t="s">
        <v>6984</v>
      </c>
      <c r="FQB33" t="s">
        <v>6984</v>
      </c>
      <c r="FQC33" t="s">
        <v>6984</v>
      </c>
      <c r="FQD33" t="s">
        <v>6984</v>
      </c>
      <c r="FQE33" t="s">
        <v>6984</v>
      </c>
      <c r="FQF33" t="s">
        <v>6984</v>
      </c>
      <c r="FQG33" t="s">
        <v>6984</v>
      </c>
      <c r="FQH33" t="s">
        <v>6984</v>
      </c>
      <c r="FQI33" t="s">
        <v>6984</v>
      </c>
      <c r="FQJ33" t="s">
        <v>6984</v>
      </c>
      <c r="FQK33" t="s">
        <v>6984</v>
      </c>
      <c r="FQL33" t="s">
        <v>6984</v>
      </c>
      <c r="FQM33" t="s">
        <v>6984</v>
      </c>
      <c r="FQN33" t="s">
        <v>6984</v>
      </c>
      <c r="FQO33" t="s">
        <v>6984</v>
      </c>
      <c r="FQP33" t="s">
        <v>6984</v>
      </c>
      <c r="FQQ33" t="s">
        <v>6984</v>
      </c>
      <c r="FQR33" t="s">
        <v>6984</v>
      </c>
      <c r="FQS33" t="s">
        <v>6984</v>
      </c>
      <c r="FQT33" t="s">
        <v>6984</v>
      </c>
      <c r="FQU33" t="s">
        <v>6984</v>
      </c>
      <c r="FQV33" t="s">
        <v>6984</v>
      </c>
      <c r="FQW33" t="s">
        <v>6984</v>
      </c>
      <c r="FQX33" t="s">
        <v>6984</v>
      </c>
      <c r="FQY33" t="s">
        <v>6984</v>
      </c>
      <c r="FQZ33" t="s">
        <v>6984</v>
      </c>
      <c r="FRA33" t="s">
        <v>6984</v>
      </c>
      <c r="FRB33" t="s">
        <v>6984</v>
      </c>
      <c r="FRC33" t="s">
        <v>6984</v>
      </c>
      <c r="FRD33" t="s">
        <v>6984</v>
      </c>
      <c r="FRE33" t="s">
        <v>6984</v>
      </c>
      <c r="FRF33" t="s">
        <v>6984</v>
      </c>
      <c r="FRG33" t="s">
        <v>6984</v>
      </c>
      <c r="FRH33" t="s">
        <v>6984</v>
      </c>
      <c r="FRI33" t="s">
        <v>6984</v>
      </c>
      <c r="FRJ33" t="s">
        <v>6984</v>
      </c>
      <c r="FRK33" t="s">
        <v>6984</v>
      </c>
      <c r="FRL33" t="s">
        <v>6984</v>
      </c>
      <c r="FRM33" t="s">
        <v>6984</v>
      </c>
      <c r="FRN33" t="s">
        <v>6984</v>
      </c>
      <c r="FRO33" t="s">
        <v>6984</v>
      </c>
      <c r="FRP33" t="s">
        <v>6984</v>
      </c>
      <c r="FRQ33" t="s">
        <v>6984</v>
      </c>
      <c r="FRR33" t="s">
        <v>6984</v>
      </c>
      <c r="FRS33" t="s">
        <v>6984</v>
      </c>
      <c r="FRT33" t="s">
        <v>6984</v>
      </c>
      <c r="FRU33" t="s">
        <v>6984</v>
      </c>
      <c r="FRV33" t="s">
        <v>6984</v>
      </c>
      <c r="FRW33" t="s">
        <v>6984</v>
      </c>
      <c r="FRX33" t="s">
        <v>6984</v>
      </c>
      <c r="FRY33" t="s">
        <v>6984</v>
      </c>
      <c r="FRZ33" t="s">
        <v>6984</v>
      </c>
      <c r="FSA33" t="s">
        <v>6984</v>
      </c>
      <c r="FSB33" t="s">
        <v>6984</v>
      </c>
      <c r="FSC33" t="s">
        <v>6984</v>
      </c>
      <c r="FSD33" t="s">
        <v>6984</v>
      </c>
      <c r="FSE33" t="s">
        <v>6984</v>
      </c>
      <c r="FSF33" t="s">
        <v>6984</v>
      </c>
      <c r="FSG33" t="s">
        <v>6984</v>
      </c>
      <c r="FSH33" t="s">
        <v>6984</v>
      </c>
      <c r="FSI33" t="s">
        <v>6984</v>
      </c>
      <c r="FSJ33" t="s">
        <v>6984</v>
      </c>
      <c r="FSK33" t="s">
        <v>6984</v>
      </c>
      <c r="FSL33" t="s">
        <v>6984</v>
      </c>
      <c r="FSM33" t="s">
        <v>6984</v>
      </c>
      <c r="FSN33" t="s">
        <v>6984</v>
      </c>
      <c r="FSO33" t="s">
        <v>6984</v>
      </c>
      <c r="FSP33" t="s">
        <v>6984</v>
      </c>
      <c r="FSQ33" t="s">
        <v>6984</v>
      </c>
      <c r="FSR33" t="s">
        <v>6984</v>
      </c>
      <c r="FSS33" t="s">
        <v>6984</v>
      </c>
      <c r="FST33" t="s">
        <v>6984</v>
      </c>
      <c r="FSU33" t="s">
        <v>6984</v>
      </c>
      <c r="FSV33" t="s">
        <v>6984</v>
      </c>
      <c r="FSW33" t="s">
        <v>6984</v>
      </c>
      <c r="FSX33" t="s">
        <v>6984</v>
      </c>
      <c r="FSY33" t="s">
        <v>6984</v>
      </c>
      <c r="FSZ33" t="s">
        <v>6984</v>
      </c>
      <c r="FTA33" t="s">
        <v>6984</v>
      </c>
      <c r="FTB33" t="s">
        <v>6984</v>
      </c>
      <c r="FTC33" t="s">
        <v>6984</v>
      </c>
      <c r="FTD33" t="s">
        <v>6984</v>
      </c>
      <c r="FTE33" t="s">
        <v>6984</v>
      </c>
      <c r="FTF33" t="s">
        <v>6984</v>
      </c>
      <c r="FTG33" t="s">
        <v>6984</v>
      </c>
      <c r="FTH33" t="s">
        <v>6984</v>
      </c>
      <c r="FTI33" t="s">
        <v>6984</v>
      </c>
      <c r="FTJ33" t="s">
        <v>6984</v>
      </c>
      <c r="FTK33" t="s">
        <v>6984</v>
      </c>
      <c r="FTL33" t="s">
        <v>6984</v>
      </c>
      <c r="FTM33" t="s">
        <v>6984</v>
      </c>
      <c r="FTN33" t="s">
        <v>6984</v>
      </c>
      <c r="FTO33" t="s">
        <v>6984</v>
      </c>
      <c r="FTP33" t="s">
        <v>6984</v>
      </c>
      <c r="FTQ33" t="s">
        <v>6984</v>
      </c>
      <c r="FTR33" t="s">
        <v>6984</v>
      </c>
      <c r="FTS33" t="s">
        <v>6984</v>
      </c>
      <c r="FTT33" t="s">
        <v>6984</v>
      </c>
      <c r="FTU33" t="s">
        <v>6984</v>
      </c>
      <c r="FTV33" t="s">
        <v>6984</v>
      </c>
      <c r="FTW33" t="s">
        <v>6984</v>
      </c>
      <c r="FTX33" t="s">
        <v>6984</v>
      </c>
      <c r="FTY33" t="s">
        <v>6984</v>
      </c>
      <c r="FTZ33" t="s">
        <v>6984</v>
      </c>
      <c r="FUA33" t="s">
        <v>6984</v>
      </c>
      <c r="FUB33" t="s">
        <v>6984</v>
      </c>
      <c r="FUC33" t="s">
        <v>6984</v>
      </c>
      <c r="FUD33" t="s">
        <v>6984</v>
      </c>
      <c r="FUE33" t="s">
        <v>6984</v>
      </c>
      <c r="FUF33" t="s">
        <v>6984</v>
      </c>
      <c r="FUG33" t="s">
        <v>6984</v>
      </c>
      <c r="FUH33" t="s">
        <v>6984</v>
      </c>
      <c r="FUI33" t="s">
        <v>6984</v>
      </c>
      <c r="FUJ33" t="s">
        <v>6984</v>
      </c>
      <c r="FUK33" t="s">
        <v>6984</v>
      </c>
      <c r="FUL33" t="s">
        <v>6984</v>
      </c>
      <c r="FUM33" t="s">
        <v>6984</v>
      </c>
      <c r="FUN33" t="s">
        <v>6984</v>
      </c>
      <c r="FUO33" t="s">
        <v>6984</v>
      </c>
      <c r="FUP33" t="s">
        <v>6984</v>
      </c>
      <c r="FUQ33" t="s">
        <v>6984</v>
      </c>
      <c r="FUR33" t="s">
        <v>6984</v>
      </c>
      <c r="FUS33" t="s">
        <v>6984</v>
      </c>
      <c r="FUT33" t="s">
        <v>6984</v>
      </c>
      <c r="FUU33" t="s">
        <v>6984</v>
      </c>
      <c r="FUV33" t="s">
        <v>6984</v>
      </c>
      <c r="FUW33" t="s">
        <v>6984</v>
      </c>
      <c r="FUX33" t="s">
        <v>6984</v>
      </c>
      <c r="FUY33" t="s">
        <v>6984</v>
      </c>
      <c r="FUZ33" t="s">
        <v>6984</v>
      </c>
      <c r="FVA33" t="s">
        <v>6984</v>
      </c>
      <c r="FVB33" t="s">
        <v>6984</v>
      </c>
      <c r="FVC33" t="s">
        <v>6984</v>
      </c>
      <c r="FVD33" t="s">
        <v>6984</v>
      </c>
      <c r="FVE33" t="s">
        <v>6984</v>
      </c>
      <c r="FVF33" t="s">
        <v>6984</v>
      </c>
      <c r="FVG33" t="s">
        <v>6984</v>
      </c>
      <c r="FVH33" t="s">
        <v>6984</v>
      </c>
      <c r="FVI33" t="s">
        <v>6984</v>
      </c>
      <c r="FVJ33" t="s">
        <v>6984</v>
      </c>
      <c r="FVK33" t="s">
        <v>6984</v>
      </c>
      <c r="FVL33" t="s">
        <v>6984</v>
      </c>
      <c r="FVM33" t="s">
        <v>6984</v>
      </c>
      <c r="FVN33" t="s">
        <v>6984</v>
      </c>
      <c r="FVO33" t="s">
        <v>6984</v>
      </c>
      <c r="FVP33" t="s">
        <v>6984</v>
      </c>
      <c r="FVQ33" t="s">
        <v>6984</v>
      </c>
      <c r="FVR33" t="s">
        <v>6984</v>
      </c>
      <c r="FVS33" t="s">
        <v>6984</v>
      </c>
      <c r="FVT33" t="s">
        <v>6984</v>
      </c>
      <c r="FVU33" t="s">
        <v>6984</v>
      </c>
      <c r="FVV33" t="s">
        <v>6984</v>
      </c>
      <c r="FVW33" t="s">
        <v>6984</v>
      </c>
      <c r="FVX33" t="s">
        <v>6984</v>
      </c>
      <c r="FVY33" t="s">
        <v>6984</v>
      </c>
      <c r="FVZ33" t="s">
        <v>6984</v>
      </c>
      <c r="FWA33" t="s">
        <v>6984</v>
      </c>
      <c r="FWB33" t="s">
        <v>6984</v>
      </c>
      <c r="FWC33" t="s">
        <v>6984</v>
      </c>
      <c r="FWD33" t="s">
        <v>6984</v>
      </c>
      <c r="FWE33" t="s">
        <v>6984</v>
      </c>
      <c r="FWF33" t="s">
        <v>6984</v>
      </c>
      <c r="FWG33" t="s">
        <v>6984</v>
      </c>
      <c r="FWH33" t="s">
        <v>6984</v>
      </c>
      <c r="FWI33" t="s">
        <v>6984</v>
      </c>
      <c r="FWJ33" t="s">
        <v>6984</v>
      </c>
      <c r="FWK33" t="s">
        <v>6984</v>
      </c>
      <c r="FWL33" t="s">
        <v>6984</v>
      </c>
      <c r="FWM33" t="s">
        <v>6984</v>
      </c>
      <c r="FWN33" t="s">
        <v>6984</v>
      </c>
      <c r="FWO33" t="s">
        <v>6984</v>
      </c>
      <c r="FWP33" t="s">
        <v>6984</v>
      </c>
      <c r="FWQ33" t="s">
        <v>6984</v>
      </c>
      <c r="FWR33" t="s">
        <v>6984</v>
      </c>
      <c r="FWS33" t="s">
        <v>6984</v>
      </c>
      <c r="FWT33" t="s">
        <v>6984</v>
      </c>
      <c r="FWU33" t="s">
        <v>6984</v>
      </c>
      <c r="FWV33" t="s">
        <v>6984</v>
      </c>
      <c r="FWW33" t="s">
        <v>6984</v>
      </c>
      <c r="FWX33" t="s">
        <v>6984</v>
      </c>
      <c r="FWY33" t="s">
        <v>6984</v>
      </c>
      <c r="FWZ33" t="s">
        <v>6984</v>
      </c>
      <c r="FXA33" t="s">
        <v>6984</v>
      </c>
      <c r="FXB33" t="s">
        <v>6984</v>
      </c>
      <c r="FXC33" t="s">
        <v>6984</v>
      </c>
      <c r="FXD33" t="s">
        <v>6984</v>
      </c>
      <c r="FXE33" t="s">
        <v>6984</v>
      </c>
      <c r="FXF33" t="s">
        <v>6984</v>
      </c>
      <c r="FXG33" t="s">
        <v>6984</v>
      </c>
      <c r="FXH33" t="s">
        <v>6984</v>
      </c>
      <c r="FXI33" t="s">
        <v>6984</v>
      </c>
      <c r="FXJ33" t="s">
        <v>6984</v>
      </c>
      <c r="FXK33" t="s">
        <v>6984</v>
      </c>
      <c r="FXL33" t="s">
        <v>6984</v>
      </c>
      <c r="FXM33" t="s">
        <v>6984</v>
      </c>
      <c r="FXN33" t="s">
        <v>6984</v>
      </c>
      <c r="FXO33" t="s">
        <v>6984</v>
      </c>
      <c r="FXP33" t="s">
        <v>6984</v>
      </c>
      <c r="FXQ33" t="s">
        <v>6984</v>
      </c>
      <c r="FXR33" t="s">
        <v>6984</v>
      </c>
      <c r="FXS33" t="s">
        <v>6984</v>
      </c>
      <c r="FXT33" t="s">
        <v>6984</v>
      </c>
      <c r="FXU33" t="s">
        <v>6984</v>
      </c>
      <c r="FXV33" t="s">
        <v>6984</v>
      </c>
      <c r="FXW33" t="s">
        <v>6984</v>
      </c>
      <c r="FXX33" t="s">
        <v>6984</v>
      </c>
      <c r="FXY33" t="s">
        <v>6984</v>
      </c>
      <c r="FXZ33" t="s">
        <v>6984</v>
      </c>
      <c r="FYA33" t="s">
        <v>6984</v>
      </c>
      <c r="FYB33" t="s">
        <v>6984</v>
      </c>
      <c r="FYC33" t="s">
        <v>6984</v>
      </c>
      <c r="FYD33" t="s">
        <v>6984</v>
      </c>
      <c r="FYE33" t="s">
        <v>6984</v>
      </c>
      <c r="FYF33" t="s">
        <v>6984</v>
      </c>
      <c r="FYG33" t="s">
        <v>6984</v>
      </c>
      <c r="FYH33" t="s">
        <v>6984</v>
      </c>
      <c r="FYI33" t="s">
        <v>6984</v>
      </c>
      <c r="FYJ33" t="s">
        <v>6984</v>
      </c>
      <c r="FYK33" t="s">
        <v>6984</v>
      </c>
      <c r="FYL33" t="s">
        <v>6984</v>
      </c>
      <c r="FYM33" t="s">
        <v>6984</v>
      </c>
      <c r="FYN33" t="s">
        <v>6984</v>
      </c>
      <c r="FYO33" t="s">
        <v>6984</v>
      </c>
      <c r="FYP33" t="s">
        <v>6984</v>
      </c>
      <c r="FYQ33" t="s">
        <v>6984</v>
      </c>
      <c r="FYR33" t="s">
        <v>6984</v>
      </c>
      <c r="FYS33" t="s">
        <v>6984</v>
      </c>
      <c r="FYT33" t="s">
        <v>6984</v>
      </c>
      <c r="FYU33" t="s">
        <v>6984</v>
      </c>
      <c r="FYV33" t="s">
        <v>6984</v>
      </c>
      <c r="FYW33" t="s">
        <v>6984</v>
      </c>
      <c r="FYX33" t="s">
        <v>6984</v>
      </c>
      <c r="FYY33" t="s">
        <v>6984</v>
      </c>
      <c r="FYZ33" t="s">
        <v>6984</v>
      </c>
      <c r="FZA33" t="s">
        <v>6984</v>
      </c>
      <c r="FZB33" t="s">
        <v>6984</v>
      </c>
      <c r="FZC33" t="s">
        <v>6984</v>
      </c>
      <c r="FZD33" t="s">
        <v>6984</v>
      </c>
      <c r="FZE33" t="s">
        <v>6984</v>
      </c>
      <c r="FZF33" t="s">
        <v>6984</v>
      </c>
      <c r="FZG33" t="s">
        <v>6984</v>
      </c>
      <c r="FZH33" t="s">
        <v>6984</v>
      </c>
      <c r="FZI33" t="s">
        <v>6984</v>
      </c>
      <c r="FZJ33" t="s">
        <v>6984</v>
      </c>
      <c r="FZK33" t="s">
        <v>6984</v>
      </c>
      <c r="FZL33" t="s">
        <v>6984</v>
      </c>
      <c r="FZM33" t="s">
        <v>6984</v>
      </c>
      <c r="FZN33" t="s">
        <v>6984</v>
      </c>
      <c r="FZO33" t="s">
        <v>6984</v>
      </c>
      <c r="FZP33" t="s">
        <v>6984</v>
      </c>
      <c r="FZQ33" t="s">
        <v>6984</v>
      </c>
      <c r="FZR33" t="s">
        <v>6984</v>
      </c>
      <c r="FZS33" t="s">
        <v>6984</v>
      </c>
      <c r="FZT33" t="s">
        <v>6984</v>
      </c>
      <c r="FZU33" t="s">
        <v>6984</v>
      </c>
      <c r="FZV33" t="s">
        <v>6984</v>
      </c>
      <c r="FZW33" t="s">
        <v>6984</v>
      </c>
      <c r="FZX33" t="s">
        <v>6984</v>
      </c>
      <c r="FZY33" t="s">
        <v>6984</v>
      </c>
      <c r="FZZ33" t="s">
        <v>6984</v>
      </c>
      <c r="GAA33" t="s">
        <v>6984</v>
      </c>
      <c r="GAB33" t="s">
        <v>6984</v>
      </c>
      <c r="GAC33" t="s">
        <v>6984</v>
      </c>
      <c r="GAD33" t="s">
        <v>6984</v>
      </c>
      <c r="GAE33" t="s">
        <v>6984</v>
      </c>
      <c r="GAF33" t="s">
        <v>6984</v>
      </c>
      <c r="GAG33" t="s">
        <v>6984</v>
      </c>
      <c r="GAH33" t="s">
        <v>6984</v>
      </c>
      <c r="GAI33" t="s">
        <v>6984</v>
      </c>
      <c r="GAJ33" t="s">
        <v>6984</v>
      </c>
      <c r="GAK33" t="s">
        <v>6984</v>
      </c>
      <c r="GAL33" t="s">
        <v>6984</v>
      </c>
      <c r="GAM33" t="s">
        <v>6984</v>
      </c>
      <c r="GAN33" t="s">
        <v>6984</v>
      </c>
      <c r="GAO33" t="s">
        <v>6984</v>
      </c>
      <c r="GAP33" t="s">
        <v>6984</v>
      </c>
      <c r="GAQ33" t="s">
        <v>6984</v>
      </c>
      <c r="GAR33" t="s">
        <v>6984</v>
      </c>
      <c r="GAS33" t="s">
        <v>6984</v>
      </c>
      <c r="GAT33" t="s">
        <v>6984</v>
      </c>
      <c r="GAU33" t="s">
        <v>6984</v>
      </c>
      <c r="GAV33" t="s">
        <v>6984</v>
      </c>
      <c r="GAW33" t="s">
        <v>6984</v>
      </c>
      <c r="GAX33" t="s">
        <v>6984</v>
      </c>
      <c r="GAY33" t="s">
        <v>6984</v>
      </c>
      <c r="GAZ33" t="s">
        <v>6984</v>
      </c>
      <c r="GBA33" t="s">
        <v>6984</v>
      </c>
      <c r="GBB33" t="s">
        <v>6984</v>
      </c>
      <c r="GBC33" t="s">
        <v>6984</v>
      </c>
      <c r="GBD33" t="s">
        <v>6984</v>
      </c>
      <c r="GBE33" t="s">
        <v>6984</v>
      </c>
      <c r="GBF33" t="s">
        <v>6984</v>
      </c>
      <c r="GBG33" t="s">
        <v>6984</v>
      </c>
      <c r="GBH33" t="s">
        <v>6984</v>
      </c>
      <c r="GBI33" t="s">
        <v>6984</v>
      </c>
      <c r="GBJ33" t="s">
        <v>6984</v>
      </c>
      <c r="GBK33" t="s">
        <v>6984</v>
      </c>
      <c r="GBL33" t="s">
        <v>6984</v>
      </c>
      <c r="GBM33" t="s">
        <v>6984</v>
      </c>
      <c r="GBN33" t="s">
        <v>6984</v>
      </c>
      <c r="GBO33" t="s">
        <v>6984</v>
      </c>
      <c r="GBP33" t="s">
        <v>6984</v>
      </c>
      <c r="GBQ33" t="s">
        <v>6984</v>
      </c>
      <c r="GBR33" t="s">
        <v>6984</v>
      </c>
      <c r="GBS33" t="s">
        <v>6984</v>
      </c>
      <c r="GBT33" t="s">
        <v>6984</v>
      </c>
      <c r="GBU33" t="s">
        <v>6984</v>
      </c>
      <c r="GBV33" t="s">
        <v>6984</v>
      </c>
      <c r="GBW33" t="s">
        <v>6984</v>
      </c>
      <c r="GBX33" t="s">
        <v>6984</v>
      </c>
      <c r="GBY33" t="s">
        <v>6984</v>
      </c>
      <c r="GBZ33" t="s">
        <v>6984</v>
      </c>
      <c r="GCA33" t="s">
        <v>6984</v>
      </c>
      <c r="GCB33" t="s">
        <v>6984</v>
      </c>
      <c r="GCC33" t="s">
        <v>6984</v>
      </c>
      <c r="GCD33" t="s">
        <v>6984</v>
      </c>
      <c r="GCE33" t="s">
        <v>6984</v>
      </c>
      <c r="GCF33" t="s">
        <v>6984</v>
      </c>
      <c r="GCG33" t="s">
        <v>6984</v>
      </c>
      <c r="GCH33" t="s">
        <v>6984</v>
      </c>
      <c r="GCI33" t="s">
        <v>6984</v>
      </c>
      <c r="GCJ33" t="s">
        <v>6984</v>
      </c>
      <c r="GCK33" t="s">
        <v>6984</v>
      </c>
      <c r="GCL33" t="s">
        <v>6984</v>
      </c>
      <c r="GCM33" t="s">
        <v>6984</v>
      </c>
      <c r="GCN33" t="s">
        <v>6984</v>
      </c>
      <c r="GCO33" t="s">
        <v>6984</v>
      </c>
      <c r="GCP33" t="s">
        <v>6984</v>
      </c>
      <c r="GCQ33" t="s">
        <v>6984</v>
      </c>
      <c r="GCR33" t="s">
        <v>6984</v>
      </c>
      <c r="GCS33" t="s">
        <v>6984</v>
      </c>
      <c r="GCT33" t="s">
        <v>6984</v>
      </c>
      <c r="GCU33" t="s">
        <v>6984</v>
      </c>
      <c r="GCV33" t="s">
        <v>6984</v>
      </c>
      <c r="GCW33" t="s">
        <v>6984</v>
      </c>
      <c r="GCX33" t="s">
        <v>6984</v>
      </c>
      <c r="GCY33" t="s">
        <v>6984</v>
      </c>
      <c r="GCZ33" t="s">
        <v>6984</v>
      </c>
      <c r="GDA33" t="s">
        <v>6984</v>
      </c>
      <c r="GDB33" t="s">
        <v>6984</v>
      </c>
      <c r="GDC33" t="s">
        <v>6984</v>
      </c>
      <c r="GDD33" t="s">
        <v>6984</v>
      </c>
      <c r="GDE33" t="s">
        <v>6984</v>
      </c>
      <c r="GDF33" t="s">
        <v>6984</v>
      </c>
      <c r="GDG33" t="s">
        <v>6984</v>
      </c>
      <c r="GDH33" t="s">
        <v>6984</v>
      </c>
      <c r="GDI33" t="s">
        <v>6984</v>
      </c>
      <c r="GDJ33" t="s">
        <v>6984</v>
      </c>
      <c r="GDK33" t="s">
        <v>6984</v>
      </c>
      <c r="GDL33" t="s">
        <v>6984</v>
      </c>
      <c r="GDM33" t="s">
        <v>6984</v>
      </c>
      <c r="GDN33" t="s">
        <v>6984</v>
      </c>
      <c r="GDO33" t="s">
        <v>6984</v>
      </c>
      <c r="GDP33" t="s">
        <v>6984</v>
      </c>
      <c r="GDQ33" t="s">
        <v>6984</v>
      </c>
      <c r="GDR33" t="s">
        <v>6984</v>
      </c>
      <c r="GDS33" t="s">
        <v>6984</v>
      </c>
      <c r="GDT33" t="s">
        <v>6984</v>
      </c>
      <c r="GDU33" t="s">
        <v>6984</v>
      </c>
      <c r="GDV33" t="s">
        <v>6984</v>
      </c>
      <c r="GDW33" t="s">
        <v>6984</v>
      </c>
      <c r="GDX33" t="s">
        <v>6984</v>
      </c>
      <c r="GDY33" t="s">
        <v>6984</v>
      </c>
      <c r="GDZ33" t="s">
        <v>6984</v>
      </c>
      <c r="GEA33" t="s">
        <v>6984</v>
      </c>
      <c r="GEB33" t="s">
        <v>6984</v>
      </c>
      <c r="GEC33" t="s">
        <v>6984</v>
      </c>
      <c r="GED33" t="s">
        <v>6984</v>
      </c>
      <c r="GEE33" t="s">
        <v>6984</v>
      </c>
      <c r="GEF33" t="s">
        <v>6984</v>
      </c>
      <c r="GEG33" t="s">
        <v>6984</v>
      </c>
      <c r="GEH33" t="s">
        <v>6984</v>
      </c>
      <c r="GEI33" t="s">
        <v>6984</v>
      </c>
      <c r="GEJ33" t="s">
        <v>6984</v>
      </c>
      <c r="GEK33" t="s">
        <v>6984</v>
      </c>
      <c r="GEL33" t="s">
        <v>6984</v>
      </c>
      <c r="GEM33" t="s">
        <v>6984</v>
      </c>
      <c r="GEN33" t="s">
        <v>6984</v>
      </c>
      <c r="GEO33" t="s">
        <v>6984</v>
      </c>
      <c r="GEP33" t="s">
        <v>6984</v>
      </c>
      <c r="GEQ33" t="s">
        <v>6984</v>
      </c>
      <c r="GER33" t="s">
        <v>6984</v>
      </c>
      <c r="GES33" t="s">
        <v>6984</v>
      </c>
      <c r="GET33" t="s">
        <v>6984</v>
      </c>
      <c r="GEU33" t="s">
        <v>6984</v>
      </c>
      <c r="GEV33" t="s">
        <v>6984</v>
      </c>
      <c r="GEW33" t="s">
        <v>6984</v>
      </c>
      <c r="GEX33" t="s">
        <v>6984</v>
      </c>
      <c r="GEY33" t="s">
        <v>6984</v>
      </c>
      <c r="GEZ33" t="s">
        <v>6984</v>
      </c>
      <c r="GFA33" t="s">
        <v>6984</v>
      </c>
      <c r="GFB33" t="s">
        <v>6984</v>
      </c>
      <c r="GFC33" t="s">
        <v>6984</v>
      </c>
      <c r="GFD33" t="s">
        <v>6984</v>
      </c>
      <c r="GFE33" t="s">
        <v>6984</v>
      </c>
      <c r="GFF33" t="s">
        <v>6984</v>
      </c>
      <c r="GFG33" t="s">
        <v>6984</v>
      </c>
      <c r="GFH33" t="s">
        <v>6984</v>
      </c>
      <c r="GFI33" t="s">
        <v>6984</v>
      </c>
      <c r="GFJ33" t="s">
        <v>6984</v>
      </c>
      <c r="GFK33" t="s">
        <v>6984</v>
      </c>
      <c r="GFL33" t="s">
        <v>6984</v>
      </c>
      <c r="GFM33" t="s">
        <v>6984</v>
      </c>
      <c r="GFN33" t="s">
        <v>6984</v>
      </c>
      <c r="GFO33" t="s">
        <v>6984</v>
      </c>
      <c r="GFP33" t="s">
        <v>6984</v>
      </c>
      <c r="GFQ33" t="s">
        <v>6984</v>
      </c>
      <c r="GFR33" t="s">
        <v>6984</v>
      </c>
      <c r="GFS33" t="s">
        <v>6984</v>
      </c>
      <c r="GFT33" t="s">
        <v>6984</v>
      </c>
      <c r="GFU33" t="s">
        <v>6984</v>
      </c>
      <c r="GFV33" t="s">
        <v>6984</v>
      </c>
      <c r="GFW33" t="s">
        <v>6984</v>
      </c>
      <c r="GFX33" t="s">
        <v>6984</v>
      </c>
      <c r="GFY33" t="s">
        <v>6984</v>
      </c>
      <c r="GFZ33" t="s">
        <v>6984</v>
      </c>
      <c r="GGA33" t="s">
        <v>6984</v>
      </c>
      <c r="GGB33" t="s">
        <v>6984</v>
      </c>
      <c r="GGC33" t="s">
        <v>6984</v>
      </c>
      <c r="GGD33" t="s">
        <v>6984</v>
      </c>
      <c r="GGE33" t="s">
        <v>6984</v>
      </c>
      <c r="GGF33" t="s">
        <v>6984</v>
      </c>
      <c r="GGG33" t="s">
        <v>6984</v>
      </c>
      <c r="GGH33" t="s">
        <v>6984</v>
      </c>
      <c r="GGI33" t="s">
        <v>6984</v>
      </c>
      <c r="GGJ33" t="s">
        <v>6984</v>
      </c>
      <c r="GGK33" t="s">
        <v>6984</v>
      </c>
      <c r="GGL33" t="s">
        <v>6984</v>
      </c>
      <c r="GGM33" t="s">
        <v>6984</v>
      </c>
      <c r="GGN33" t="s">
        <v>6984</v>
      </c>
      <c r="GGO33" t="s">
        <v>6984</v>
      </c>
      <c r="GGP33" t="s">
        <v>6984</v>
      </c>
      <c r="GGQ33" t="s">
        <v>6984</v>
      </c>
      <c r="GGR33" t="s">
        <v>6984</v>
      </c>
      <c r="GGS33" t="s">
        <v>6984</v>
      </c>
      <c r="GGT33" t="s">
        <v>6984</v>
      </c>
      <c r="GGU33" t="s">
        <v>6984</v>
      </c>
      <c r="GGV33" t="s">
        <v>6984</v>
      </c>
      <c r="GGW33" t="s">
        <v>6984</v>
      </c>
      <c r="GGX33" t="s">
        <v>6984</v>
      </c>
      <c r="GGY33" t="s">
        <v>6984</v>
      </c>
      <c r="GGZ33" t="s">
        <v>6984</v>
      </c>
      <c r="GHA33" t="s">
        <v>6984</v>
      </c>
      <c r="GHB33" t="s">
        <v>6984</v>
      </c>
      <c r="GHC33" t="s">
        <v>6984</v>
      </c>
      <c r="GHD33" t="s">
        <v>6984</v>
      </c>
      <c r="GHE33" t="s">
        <v>6984</v>
      </c>
      <c r="GHF33" t="s">
        <v>6984</v>
      </c>
      <c r="GHG33" t="s">
        <v>6984</v>
      </c>
      <c r="GHH33" t="s">
        <v>6984</v>
      </c>
      <c r="GHI33" t="s">
        <v>6984</v>
      </c>
      <c r="GHJ33" t="s">
        <v>6984</v>
      </c>
      <c r="GHK33" t="s">
        <v>6984</v>
      </c>
      <c r="GHL33" t="s">
        <v>6984</v>
      </c>
      <c r="GHM33" t="s">
        <v>6984</v>
      </c>
      <c r="GHN33" t="s">
        <v>6984</v>
      </c>
      <c r="GHO33" t="s">
        <v>6984</v>
      </c>
      <c r="GHP33" t="s">
        <v>6984</v>
      </c>
      <c r="GHQ33" t="s">
        <v>6984</v>
      </c>
      <c r="GHR33" t="s">
        <v>6984</v>
      </c>
      <c r="GHS33" t="s">
        <v>6984</v>
      </c>
      <c r="GHT33" t="s">
        <v>6984</v>
      </c>
      <c r="GHU33" t="s">
        <v>6984</v>
      </c>
      <c r="GHV33" t="s">
        <v>6984</v>
      </c>
      <c r="GHW33" t="s">
        <v>6984</v>
      </c>
      <c r="GHX33" t="s">
        <v>6984</v>
      </c>
      <c r="GHY33" t="s">
        <v>6984</v>
      </c>
      <c r="GHZ33" t="s">
        <v>6984</v>
      </c>
      <c r="GIA33" t="s">
        <v>6984</v>
      </c>
      <c r="GIB33" t="s">
        <v>6984</v>
      </c>
      <c r="GIC33" t="s">
        <v>6984</v>
      </c>
      <c r="GID33" t="s">
        <v>6984</v>
      </c>
      <c r="GIE33" t="s">
        <v>6984</v>
      </c>
      <c r="GIF33" t="s">
        <v>6984</v>
      </c>
      <c r="GIG33" t="s">
        <v>6984</v>
      </c>
      <c r="GIH33" t="s">
        <v>6984</v>
      </c>
      <c r="GII33" t="s">
        <v>6984</v>
      </c>
      <c r="GIJ33" t="s">
        <v>6984</v>
      </c>
      <c r="GIK33" t="s">
        <v>6984</v>
      </c>
      <c r="GIL33" t="s">
        <v>6984</v>
      </c>
      <c r="GIM33" t="s">
        <v>6984</v>
      </c>
      <c r="GIN33" t="s">
        <v>6984</v>
      </c>
      <c r="GIO33" t="s">
        <v>6984</v>
      </c>
      <c r="GIP33" t="s">
        <v>6984</v>
      </c>
      <c r="GIQ33" t="s">
        <v>6984</v>
      </c>
      <c r="GIR33" t="s">
        <v>6984</v>
      </c>
      <c r="GIS33" t="s">
        <v>6984</v>
      </c>
      <c r="GIT33" t="s">
        <v>6984</v>
      </c>
      <c r="GIU33" t="s">
        <v>6984</v>
      </c>
      <c r="GIV33" t="s">
        <v>6984</v>
      </c>
      <c r="GIW33" t="s">
        <v>6984</v>
      </c>
      <c r="GIX33" t="s">
        <v>6984</v>
      </c>
      <c r="GIY33" t="s">
        <v>6984</v>
      </c>
      <c r="GIZ33" t="s">
        <v>6984</v>
      </c>
      <c r="GJA33" t="s">
        <v>6984</v>
      </c>
      <c r="GJB33" t="s">
        <v>6984</v>
      </c>
      <c r="GJC33" t="s">
        <v>6984</v>
      </c>
      <c r="GJD33" t="s">
        <v>6984</v>
      </c>
      <c r="GJE33" t="s">
        <v>6984</v>
      </c>
      <c r="GJF33" t="s">
        <v>6984</v>
      </c>
      <c r="GJG33" t="s">
        <v>6984</v>
      </c>
      <c r="GJH33" t="s">
        <v>6984</v>
      </c>
      <c r="GJI33" t="s">
        <v>6984</v>
      </c>
      <c r="GJJ33" t="s">
        <v>6984</v>
      </c>
      <c r="GJK33" t="s">
        <v>6984</v>
      </c>
      <c r="GJL33" t="s">
        <v>6984</v>
      </c>
      <c r="GJM33" t="s">
        <v>6984</v>
      </c>
      <c r="GJN33" t="s">
        <v>6984</v>
      </c>
      <c r="GJO33" t="s">
        <v>6984</v>
      </c>
      <c r="GJP33" t="s">
        <v>6984</v>
      </c>
      <c r="GJQ33" t="s">
        <v>6984</v>
      </c>
      <c r="GJR33" t="s">
        <v>6984</v>
      </c>
      <c r="GJS33" t="s">
        <v>6984</v>
      </c>
      <c r="GJT33" t="s">
        <v>6984</v>
      </c>
      <c r="GJU33" t="s">
        <v>6984</v>
      </c>
      <c r="GJV33" t="s">
        <v>6984</v>
      </c>
      <c r="GJW33" t="s">
        <v>6984</v>
      </c>
      <c r="GJX33" t="s">
        <v>6984</v>
      </c>
      <c r="GJY33" t="s">
        <v>6984</v>
      </c>
      <c r="GJZ33" t="s">
        <v>6984</v>
      </c>
      <c r="GKA33" t="s">
        <v>6984</v>
      </c>
      <c r="GKB33" t="s">
        <v>6984</v>
      </c>
      <c r="GKC33" t="s">
        <v>6984</v>
      </c>
      <c r="GKD33" t="s">
        <v>6984</v>
      </c>
      <c r="GKE33" t="s">
        <v>6984</v>
      </c>
      <c r="GKF33" t="s">
        <v>6984</v>
      </c>
      <c r="GKG33" t="s">
        <v>6984</v>
      </c>
      <c r="GKH33" t="s">
        <v>6984</v>
      </c>
      <c r="GKI33" t="s">
        <v>6984</v>
      </c>
      <c r="GKJ33" t="s">
        <v>6984</v>
      </c>
      <c r="GKK33" t="s">
        <v>6984</v>
      </c>
      <c r="GKL33" t="s">
        <v>6984</v>
      </c>
      <c r="GKM33" t="s">
        <v>6984</v>
      </c>
      <c r="GKN33" t="s">
        <v>6984</v>
      </c>
      <c r="GKO33" t="s">
        <v>6984</v>
      </c>
      <c r="GKP33" t="s">
        <v>6984</v>
      </c>
      <c r="GKQ33" t="s">
        <v>6984</v>
      </c>
      <c r="GKR33" t="s">
        <v>6984</v>
      </c>
      <c r="GKS33" t="s">
        <v>6984</v>
      </c>
      <c r="GKT33" t="s">
        <v>6984</v>
      </c>
      <c r="GKU33" t="s">
        <v>6984</v>
      </c>
      <c r="GKV33" t="s">
        <v>6984</v>
      </c>
      <c r="GKW33" t="s">
        <v>6984</v>
      </c>
      <c r="GKX33" t="s">
        <v>6984</v>
      </c>
      <c r="GKY33" t="s">
        <v>6984</v>
      </c>
      <c r="GKZ33" t="s">
        <v>6984</v>
      </c>
      <c r="GLA33" t="s">
        <v>6984</v>
      </c>
      <c r="GLB33" t="s">
        <v>6984</v>
      </c>
      <c r="GLC33" t="s">
        <v>6984</v>
      </c>
      <c r="GLD33" t="s">
        <v>6984</v>
      </c>
      <c r="GLE33" t="s">
        <v>6984</v>
      </c>
      <c r="GLF33" t="s">
        <v>6984</v>
      </c>
      <c r="GLG33" t="s">
        <v>6984</v>
      </c>
      <c r="GLH33" t="s">
        <v>6984</v>
      </c>
      <c r="GLI33" t="s">
        <v>6984</v>
      </c>
      <c r="GLJ33" t="s">
        <v>6984</v>
      </c>
      <c r="GLK33" t="s">
        <v>6984</v>
      </c>
      <c r="GLL33" t="s">
        <v>6984</v>
      </c>
      <c r="GLM33" t="s">
        <v>6984</v>
      </c>
      <c r="GLN33" t="s">
        <v>6984</v>
      </c>
      <c r="GLO33" t="s">
        <v>6984</v>
      </c>
      <c r="GLP33" t="s">
        <v>6984</v>
      </c>
      <c r="GLQ33" t="s">
        <v>6984</v>
      </c>
      <c r="GLR33" t="s">
        <v>6984</v>
      </c>
      <c r="GLS33" t="s">
        <v>6984</v>
      </c>
      <c r="GLT33" t="s">
        <v>6984</v>
      </c>
      <c r="GLU33" t="s">
        <v>6984</v>
      </c>
      <c r="GLV33" t="s">
        <v>6984</v>
      </c>
      <c r="GLW33" t="s">
        <v>6984</v>
      </c>
      <c r="GLX33" t="s">
        <v>6984</v>
      </c>
      <c r="GLY33" t="s">
        <v>6984</v>
      </c>
      <c r="GLZ33" t="s">
        <v>6984</v>
      </c>
      <c r="GMA33" t="s">
        <v>6984</v>
      </c>
      <c r="GMB33" t="s">
        <v>6984</v>
      </c>
      <c r="GMC33" t="s">
        <v>6984</v>
      </c>
      <c r="GMD33" t="s">
        <v>6984</v>
      </c>
      <c r="GME33" t="s">
        <v>6984</v>
      </c>
      <c r="GMF33" t="s">
        <v>6984</v>
      </c>
      <c r="GMG33" t="s">
        <v>6984</v>
      </c>
      <c r="GMH33" t="s">
        <v>6984</v>
      </c>
      <c r="GMI33" t="s">
        <v>6984</v>
      </c>
      <c r="GMJ33" t="s">
        <v>6984</v>
      </c>
      <c r="GMK33" t="s">
        <v>6984</v>
      </c>
      <c r="GML33" t="s">
        <v>6984</v>
      </c>
      <c r="GMM33" t="s">
        <v>6984</v>
      </c>
      <c r="GMN33" t="s">
        <v>6984</v>
      </c>
      <c r="GMO33" t="s">
        <v>6984</v>
      </c>
      <c r="GMP33" t="s">
        <v>6984</v>
      </c>
      <c r="GMQ33" t="s">
        <v>6984</v>
      </c>
      <c r="GMR33" t="s">
        <v>6984</v>
      </c>
      <c r="GMS33" t="s">
        <v>6984</v>
      </c>
      <c r="GMT33" t="s">
        <v>6984</v>
      </c>
      <c r="GMU33" t="s">
        <v>6984</v>
      </c>
      <c r="GMV33" t="s">
        <v>6984</v>
      </c>
      <c r="GMW33" t="s">
        <v>6984</v>
      </c>
      <c r="GMX33" t="s">
        <v>6984</v>
      </c>
      <c r="GMY33" t="s">
        <v>6984</v>
      </c>
      <c r="GMZ33" t="s">
        <v>6984</v>
      </c>
      <c r="GNA33" t="s">
        <v>6984</v>
      </c>
      <c r="GNB33" t="s">
        <v>6984</v>
      </c>
      <c r="GNC33" t="s">
        <v>6984</v>
      </c>
      <c r="GND33" t="s">
        <v>6984</v>
      </c>
      <c r="GNE33" t="s">
        <v>6984</v>
      </c>
      <c r="GNF33" t="s">
        <v>6984</v>
      </c>
      <c r="GNG33" t="s">
        <v>6984</v>
      </c>
      <c r="GNH33" t="s">
        <v>6984</v>
      </c>
      <c r="GNI33" t="s">
        <v>6984</v>
      </c>
      <c r="GNJ33" t="s">
        <v>6984</v>
      </c>
      <c r="GNK33" t="s">
        <v>6984</v>
      </c>
      <c r="GNL33" t="s">
        <v>6984</v>
      </c>
      <c r="GNM33" t="s">
        <v>6984</v>
      </c>
      <c r="GNN33" t="s">
        <v>6984</v>
      </c>
      <c r="GNO33" t="s">
        <v>6984</v>
      </c>
      <c r="GNP33" t="s">
        <v>6984</v>
      </c>
      <c r="GNQ33" t="s">
        <v>6984</v>
      </c>
      <c r="GNR33" t="s">
        <v>6984</v>
      </c>
      <c r="GNS33" t="s">
        <v>6984</v>
      </c>
      <c r="GNT33" t="s">
        <v>6984</v>
      </c>
      <c r="GNU33" t="s">
        <v>6984</v>
      </c>
      <c r="GNV33" t="s">
        <v>6984</v>
      </c>
      <c r="GNW33" t="s">
        <v>6984</v>
      </c>
      <c r="GNX33" t="s">
        <v>6984</v>
      </c>
      <c r="GNY33" t="s">
        <v>6984</v>
      </c>
      <c r="GNZ33" t="s">
        <v>6984</v>
      </c>
      <c r="GOA33" t="s">
        <v>6984</v>
      </c>
      <c r="GOB33" t="s">
        <v>6984</v>
      </c>
      <c r="GOC33" t="s">
        <v>6984</v>
      </c>
      <c r="GOD33" t="s">
        <v>6984</v>
      </c>
      <c r="GOE33" t="s">
        <v>6984</v>
      </c>
      <c r="GOF33" t="s">
        <v>6984</v>
      </c>
      <c r="GOG33" t="s">
        <v>6984</v>
      </c>
      <c r="GOH33" t="s">
        <v>6984</v>
      </c>
      <c r="GOI33" t="s">
        <v>6984</v>
      </c>
      <c r="GOJ33" t="s">
        <v>6984</v>
      </c>
      <c r="GOK33" t="s">
        <v>6984</v>
      </c>
      <c r="GOL33" t="s">
        <v>6984</v>
      </c>
      <c r="GOM33" t="s">
        <v>6984</v>
      </c>
      <c r="GON33" t="s">
        <v>6984</v>
      </c>
      <c r="GOO33" t="s">
        <v>6984</v>
      </c>
      <c r="GOP33" t="s">
        <v>6984</v>
      </c>
      <c r="GOQ33" t="s">
        <v>6984</v>
      </c>
      <c r="GOR33" t="s">
        <v>6984</v>
      </c>
      <c r="GOS33" t="s">
        <v>6984</v>
      </c>
      <c r="GOT33" t="s">
        <v>6984</v>
      </c>
      <c r="GOU33" t="s">
        <v>6984</v>
      </c>
      <c r="GOV33" t="s">
        <v>6984</v>
      </c>
      <c r="GOW33" t="s">
        <v>6984</v>
      </c>
      <c r="GOX33" t="s">
        <v>6984</v>
      </c>
      <c r="GOY33" t="s">
        <v>6984</v>
      </c>
      <c r="GOZ33" t="s">
        <v>6984</v>
      </c>
      <c r="GPA33" t="s">
        <v>6984</v>
      </c>
      <c r="GPB33" t="s">
        <v>6984</v>
      </c>
      <c r="GPC33" t="s">
        <v>6984</v>
      </c>
      <c r="GPD33" t="s">
        <v>6984</v>
      </c>
      <c r="GPE33" t="s">
        <v>6984</v>
      </c>
      <c r="GPF33" t="s">
        <v>6984</v>
      </c>
      <c r="GPG33" t="s">
        <v>6984</v>
      </c>
      <c r="GPH33" t="s">
        <v>6984</v>
      </c>
      <c r="GPI33" t="s">
        <v>6984</v>
      </c>
      <c r="GPJ33" t="s">
        <v>6984</v>
      </c>
      <c r="GPK33" t="s">
        <v>6984</v>
      </c>
      <c r="GPL33" t="s">
        <v>6984</v>
      </c>
      <c r="GPM33" t="s">
        <v>6984</v>
      </c>
      <c r="GPN33" t="s">
        <v>6984</v>
      </c>
      <c r="GPO33" t="s">
        <v>6984</v>
      </c>
      <c r="GPP33" t="s">
        <v>6984</v>
      </c>
      <c r="GPQ33" t="s">
        <v>6984</v>
      </c>
      <c r="GPR33" t="s">
        <v>6984</v>
      </c>
      <c r="GPS33" t="s">
        <v>6984</v>
      </c>
      <c r="GPT33" t="s">
        <v>6984</v>
      </c>
      <c r="GPU33" t="s">
        <v>6984</v>
      </c>
      <c r="GPV33" t="s">
        <v>6984</v>
      </c>
      <c r="GPW33" t="s">
        <v>6984</v>
      </c>
      <c r="GPX33" t="s">
        <v>6984</v>
      </c>
      <c r="GPY33" t="s">
        <v>6984</v>
      </c>
      <c r="GPZ33" t="s">
        <v>6984</v>
      </c>
      <c r="GQA33" t="s">
        <v>6984</v>
      </c>
      <c r="GQB33" t="s">
        <v>6984</v>
      </c>
      <c r="GQC33" t="s">
        <v>6984</v>
      </c>
      <c r="GQD33" t="s">
        <v>6984</v>
      </c>
      <c r="GQE33" t="s">
        <v>6984</v>
      </c>
      <c r="GQF33" t="s">
        <v>6984</v>
      </c>
      <c r="GQG33" t="s">
        <v>6984</v>
      </c>
      <c r="GQH33" t="s">
        <v>6984</v>
      </c>
      <c r="GQI33" t="s">
        <v>6984</v>
      </c>
      <c r="GQJ33" t="s">
        <v>6984</v>
      </c>
      <c r="GQK33" t="s">
        <v>6984</v>
      </c>
      <c r="GQL33" t="s">
        <v>6984</v>
      </c>
      <c r="GQM33" t="s">
        <v>6984</v>
      </c>
      <c r="GQN33" t="s">
        <v>6984</v>
      </c>
      <c r="GQO33" t="s">
        <v>6984</v>
      </c>
      <c r="GQP33" t="s">
        <v>6984</v>
      </c>
      <c r="GQQ33" t="s">
        <v>6984</v>
      </c>
      <c r="GQR33" t="s">
        <v>6984</v>
      </c>
      <c r="GQS33" t="s">
        <v>6984</v>
      </c>
      <c r="GQT33" t="s">
        <v>6984</v>
      </c>
      <c r="GQU33" t="s">
        <v>6984</v>
      </c>
      <c r="GQV33" t="s">
        <v>6984</v>
      </c>
      <c r="GQW33" t="s">
        <v>6984</v>
      </c>
      <c r="GQX33" t="s">
        <v>6984</v>
      </c>
      <c r="GQY33" t="s">
        <v>6984</v>
      </c>
      <c r="GQZ33" t="s">
        <v>6984</v>
      </c>
      <c r="GRA33" t="s">
        <v>6984</v>
      </c>
      <c r="GRB33" t="s">
        <v>6984</v>
      </c>
      <c r="GRC33" t="s">
        <v>6984</v>
      </c>
      <c r="GRD33" t="s">
        <v>6984</v>
      </c>
      <c r="GRE33" t="s">
        <v>6984</v>
      </c>
      <c r="GRF33" t="s">
        <v>6984</v>
      </c>
      <c r="GRG33" t="s">
        <v>6984</v>
      </c>
      <c r="GRH33" t="s">
        <v>6984</v>
      </c>
      <c r="GRI33" t="s">
        <v>6984</v>
      </c>
      <c r="GRJ33" t="s">
        <v>6984</v>
      </c>
      <c r="GRK33" t="s">
        <v>6984</v>
      </c>
      <c r="GRL33" t="s">
        <v>6984</v>
      </c>
      <c r="GRM33" t="s">
        <v>6984</v>
      </c>
      <c r="GRN33" t="s">
        <v>6984</v>
      </c>
      <c r="GRO33" t="s">
        <v>6984</v>
      </c>
      <c r="GRP33" t="s">
        <v>6984</v>
      </c>
      <c r="GRQ33" t="s">
        <v>6984</v>
      </c>
      <c r="GRR33" t="s">
        <v>6984</v>
      </c>
      <c r="GRS33" t="s">
        <v>6984</v>
      </c>
      <c r="GRT33" t="s">
        <v>6984</v>
      </c>
      <c r="GRU33" t="s">
        <v>6984</v>
      </c>
      <c r="GRV33" t="s">
        <v>6984</v>
      </c>
      <c r="GRW33" t="s">
        <v>6984</v>
      </c>
      <c r="GRX33" t="s">
        <v>6984</v>
      </c>
      <c r="GRY33" t="s">
        <v>6984</v>
      </c>
      <c r="GRZ33" t="s">
        <v>6984</v>
      </c>
      <c r="GSA33" t="s">
        <v>6984</v>
      </c>
      <c r="GSB33" t="s">
        <v>6984</v>
      </c>
      <c r="GSC33" t="s">
        <v>6984</v>
      </c>
      <c r="GSD33" t="s">
        <v>6984</v>
      </c>
      <c r="GSE33" t="s">
        <v>6984</v>
      </c>
      <c r="GSF33" t="s">
        <v>6984</v>
      </c>
      <c r="GSG33" t="s">
        <v>6984</v>
      </c>
      <c r="GSH33" t="s">
        <v>6984</v>
      </c>
      <c r="GSI33" t="s">
        <v>6984</v>
      </c>
      <c r="GSJ33" t="s">
        <v>6984</v>
      </c>
      <c r="GSK33" t="s">
        <v>6984</v>
      </c>
      <c r="GSL33" t="s">
        <v>6984</v>
      </c>
      <c r="GSM33" t="s">
        <v>6984</v>
      </c>
      <c r="GSN33" t="s">
        <v>6984</v>
      </c>
      <c r="GSO33" t="s">
        <v>6984</v>
      </c>
      <c r="GSP33" t="s">
        <v>6984</v>
      </c>
      <c r="GSQ33" t="s">
        <v>6984</v>
      </c>
      <c r="GSR33" t="s">
        <v>6984</v>
      </c>
      <c r="GSS33" t="s">
        <v>6984</v>
      </c>
      <c r="GST33" t="s">
        <v>6984</v>
      </c>
      <c r="GSU33" t="s">
        <v>6984</v>
      </c>
      <c r="GSV33" t="s">
        <v>6984</v>
      </c>
      <c r="GSW33" t="s">
        <v>6984</v>
      </c>
      <c r="GSX33" t="s">
        <v>6984</v>
      </c>
      <c r="GSY33" t="s">
        <v>6984</v>
      </c>
      <c r="GSZ33" t="s">
        <v>6984</v>
      </c>
      <c r="GTA33" t="s">
        <v>6984</v>
      </c>
      <c r="GTB33" t="s">
        <v>6984</v>
      </c>
      <c r="GTC33" t="s">
        <v>6984</v>
      </c>
      <c r="GTD33" t="s">
        <v>6984</v>
      </c>
      <c r="GTE33" t="s">
        <v>6984</v>
      </c>
      <c r="GTF33" t="s">
        <v>6984</v>
      </c>
      <c r="GTG33" t="s">
        <v>6984</v>
      </c>
      <c r="GTH33" t="s">
        <v>6984</v>
      </c>
      <c r="GTI33" t="s">
        <v>6984</v>
      </c>
      <c r="GTJ33" t="s">
        <v>6984</v>
      </c>
      <c r="GTK33" t="s">
        <v>6984</v>
      </c>
      <c r="GTL33" t="s">
        <v>6984</v>
      </c>
      <c r="GTM33" t="s">
        <v>6984</v>
      </c>
      <c r="GTN33" t="s">
        <v>6984</v>
      </c>
      <c r="GTO33" t="s">
        <v>6984</v>
      </c>
      <c r="GTP33" t="s">
        <v>6984</v>
      </c>
      <c r="GTQ33" t="s">
        <v>6984</v>
      </c>
      <c r="GTR33" t="s">
        <v>6984</v>
      </c>
      <c r="GTS33" t="s">
        <v>6984</v>
      </c>
      <c r="GTT33" t="s">
        <v>6984</v>
      </c>
      <c r="GTU33" t="s">
        <v>6984</v>
      </c>
      <c r="GTV33" t="s">
        <v>6984</v>
      </c>
      <c r="GTW33" t="s">
        <v>6984</v>
      </c>
      <c r="GTX33" t="s">
        <v>6984</v>
      </c>
      <c r="GTY33" t="s">
        <v>6984</v>
      </c>
      <c r="GTZ33" t="s">
        <v>6984</v>
      </c>
      <c r="GUA33" t="s">
        <v>6984</v>
      </c>
      <c r="GUB33" t="s">
        <v>6984</v>
      </c>
      <c r="GUC33" t="s">
        <v>6984</v>
      </c>
      <c r="GUD33" t="s">
        <v>6984</v>
      </c>
      <c r="GUE33" t="s">
        <v>6984</v>
      </c>
      <c r="GUF33" t="s">
        <v>6984</v>
      </c>
      <c r="GUG33" t="s">
        <v>6984</v>
      </c>
      <c r="GUH33" t="s">
        <v>6984</v>
      </c>
      <c r="GUI33" t="s">
        <v>6984</v>
      </c>
      <c r="GUJ33" t="s">
        <v>6984</v>
      </c>
      <c r="GUK33" t="s">
        <v>6984</v>
      </c>
      <c r="GUL33" t="s">
        <v>6984</v>
      </c>
      <c r="GUM33" t="s">
        <v>6984</v>
      </c>
      <c r="GUN33" t="s">
        <v>6984</v>
      </c>
      <c r="GUO33" t="s">
        <v>6984</v>
      </c>
      <c r="GUP33" t="s">
        <v>6984</v>
      </c>
      <c r="GUQ33" t="s">
        <v>6984</v>
      </c>
      <c r="GUR33" t="s">
        <v>6984</v>
      </c>
      <c r="GUS33" t="s">
        <v>6984</v>
      </c>
      <c r="GUT33" t="s">
        <v>6984</v>
      </c>
      <c r="GUU33" t="s">
        <v>6984</v>
      </c>
      <c r="GUV33" t="s">
        <v>6984</v>
      </c>
      <c r="GUW33" t="s">
        <v>6984</v>
      </c>
      <c r="GUX33" t="s">
        <v>6984</v>
      </c>
      <c r="GUY33" t="s">
        <v>6984</v>
      </c>
      <c r="GUZ33" t="s">
        <v>6984</v>
      </c>
      <c r="GVA33" t="s">
        <v>6984</v>
      </c>
      <c r="GVB33" t="s">
        <v>6984</v>
      </c>
      <c r="GVC33" t="s">
        <v>6984</v>
      </c>
      <c r="GVD33" t="s">
        <v>6984</v>
      </c>
      <c r="GVE33" t="s">
        <v>6984</v>
      </c>
      <c r="GVF33" t="s">
        <v>6984</v>
      </c>
      <c r="GVG33" t="s">
        <v>6984</v>
      </c>
      <c r="GVH33" t="s">
        <v>6984</v>
      </c>
      <c r="GVI33" t="s">
        <v>6984</v>
      </c>
      <c r="GVJ33" t="s">
        <v>6984</v>
      </c>
      <c r="GVK33" t="s">
        <v>6984</v>
      </c>
      <c r="GVL33" t="s">
        <v>6984</v>
      </c>
      <c r="GVM33" t="s">
        <v>6984</v>
      </c>
      <c r="GVN33" t="s">
        <v>6984</v>
      </c>
      <c r="GVO33" t="s">
        <v>6984</v>
      </c>
      <c r="GVP33" t="s">
        <v>6984</v>
      </c>
      <c r="GVQ33" t="s">
        <v>6984</v>
      </c>
      <c r="GVR33" t="s">
        <v>6984</v>
      </c>
      <c r="GVS33" t="s">
        <v>6984</v>
      </c>
      <c r="GVT33" t="s">
        <v>6984</v>
      </c>
      <c r="GVU33" t="s">
        <v>6984</v>
      </c>
      <c r="GVV33" t="s">
        <v>6984</v>
      </c>
      <c r="GVW33" t="s">
        <v>6984</v>
      </c>
      <c r="GVX33" t="s">
        <v>6984</v>
      </c>
      <c r="GVY33" t="s">
        <v>6984</v>
      </c>
      <c r="GVZ33" t="s">
        <v>6984</v>
      </c>
      <c r="GWA33" t="s">
        <v>6984</v>
      </c>
      <c r="GWB33" t="s">
        <v>6984</v>
      </c>
      <c r="GWC33" t="s">
        <v>6984</v>
      </c>
      <c r="GWD33" t="s">
        <v>6984</v>
      </c>
      <c r="GWE33" t="s">
        <v>6984</v>
      </c>
      <c r="GWF33" t="s">
        <v>6984</v>
      </c>
      <c r="GWG33" t="s">
        <v>6984</v>
      </c>
      <c r="GWH33" t="s">
        <v>6984</v>
      </c>
      <c r="GWI33" t="s">
        <v>6984</v>
      </c>
      <c r="GWJ33" t="s">
        <v>6984</v>
      </c>
      <c r="GWK33" t="s">
        <v>6984</v>
      </c>
      <c r="GWL33" t="s">
        <v>6984</v>
      </c>
      <c r="GWM33" t="s">
        <v>6984</v>
      </c>
      <c r="GWN33" t="s">
        <v>6984</v>
      </c>
      <c r="GWO33" t="s">
        <v>6984</v>
      </c>
      <c r="GWP33" t="s">
        <v>6984</v>
      </c>
      <c r="GWQ33" t="s">
        <v>6984</v>
      </c>
      <c r="GWR33" t="s">
        <v>6984</v>
      </c>
      <c r="GWS33" t="s">
        <v>6984</v>
      </c>
      <c r="GWT33" t="s">
        <v>6984</v>
      </c>
      <c r="GWU33" t="s">
        <v>6984</v>
      </c>
      <c r="GWV33" t="s">
        <v>6984</v>
      </c>
      <c r="GWW33" t="s">
        <v>6984</v>
      </c>
      <c r="GWX33" t="s">
        <v>6984</v>
      </c>
      <c r="GWY33" t="s">
        <v>6984</v>
      </c>
      <c r="GWZ33" t="s">
        <v>6984</v>
      </c>
      <c r="GXA33" t="s">
        <v>6984</v>
      </c>
      <c r="GXB33" t="s">
        <v>6984</v>
      </c>
      <c r="GXC33" t="s">
        <v>6984</v>
      </c>
      <c r="GXD33" t="s">
        <v>6984</v>
      </c>
      <c r="GXE33" t="s">
        <v>6984</v>
      </c>
      <c r="GXF33" t="s">
        <v>6984</v>
      </c>
      <c r="GXG33" t="s">
        <v>6984</v>
      </c>
      <c r="GXH33" t="s">
        <v>6984</v>
      </c>
      <c r="GXI33" t="s">
        <v>6984</v>
      </c>
      <c r="GXJ33" t="s">
        <v>6984</v>
      </c>
      <c r="GXK33" t="s">
        <v>6984</v>
      </c>
      <c r="GXL33" t="s">
        <v>6984</v>
      </c>
      <c r="GXM33" t="s">
        <v>6984</v>
      </c>
      <c r="GXN33" t="s">
        <v>6984</v>
      </c>
      <c r="GXO33" t="s">
        <v>6984</v>
      </c>
      <c r="GXP33" t="s">
        <v>6984</v>
      </c>
      <c r="GXQ33" t="s">
        <v>6984</v>
      </c>
      <c r="GXR33" t="s">
        <v>6984</v>
      </c>
      <c r="GXS33" t="s">
        <v>6984</v>
      </c>
      <c r="GXT33" t="s">
        <v>6984</v>
      </c>
      <c r="GXU33" t="s">
        <v>6984</v>
      </c>
      <c r="GXV33" t="s">
        <v>6984</v>
      </c>
      <c r="GXW33" t="s">
        <v>6984</v>
      </c>
      <c r="GXX33" t="s">
        <v>6984</v>
      </c>
      <c r="GXY33" t="s">
        <v>6984</v>
      </c>
      <c r="GXZ33" t="s">
        <v>6984</v>
      </c>
      <c r="GYA33" t="s">
        <v>6984</v>
      </c>
      <c r="GYB33" t="s">
        <v>6984</v>
      </c>
      <c r="GYC33" t="s">
        <v>6984</v>
      </c>
      <c r="GYD33" t="s">
        <v>6984</v>
      </c>
      <c r="GYE33" t="s">
        <v>6984</v>
      </c>
      <c r="GYF33" t="s">
        <v>6984</v>
      </c>
      <c r="GYG33" t="s">
        <v>6984</v>
      </c>
      <c r="GYH33" t="s">
        <v>6984</v>
      </c>
      <c r="GYI33" t="s">
        <v>6984</v>
      </c>
      <c r="GYJ33" t="s">
        <v>6984</v>
      </c>
      <c r="GYK33" t="s">
        <v>6984</v>
      </c>
      <c r="GYL33" t="s">
        <v>6984</v>
      </c>
      <c r="GYM33" t="s">
        <v>6984</v>
      </c>
      <c r="GYN33" t="s">
        <v>6984</v>
      </c>
      <c r="GYO33" t="s">
        <v>6984</v>
      </c>
      <c r="GYP33" t="s">
        <v>6984</v>
      </c>
      <c r="GYQ33" t="s">
        <v>6984</v>
      </c>
      <c r="GYR33" t="s">
        <v>6984</v>
      </c>
      <c r="GYS33" t="s">
        <v>6984</v>
      </c>
      <c r="GYT33" t="s">
        <v>6984</v>
      </c>
      <c r="GYU33" t="s">
        <v>6984</v>
      </c>
      <c r="GYV33" t="s">
        <v>6984</v>
      </c>
      <c r="GYW33" t="s">
        <v>6984</v>
      </c>
      <c r="GYX33" t="s">
        <v>6984</v>
      </c>
      <c r="GYY33" t="s">
        <v>6984</v>
      </c>
      <c r="GYZ33" t="s">
        <v>6984</v>
      </c>
      <c r="GZA33" t="s">
        <v>6984</v>
      </c>
      <c r="GZB33" t="s">
        <v>6984</v>
      </c>
      <c r="GZC33" t="s">
        <v>6984</v>
      </c>
      <c r="GZD33" t="s">
        <v>6984</v>
      </c>
      <c r="GZE33" t="s">
        <v>6984</v>
      </c>
      <c r="GZF33" t="s">
        <v>6984</v>
      </c>
      <c r="GZG33" t="s">
        <v>6984</v>
      </c>
      <c r="GZH33" t="s">
        <v>6984</v>
      </c>
      <c r="GZI33" t="s">
        <v>6984</v>
      </c>
      <c r="GZJ33" t="s">
        <v>6984</v>
      </c>
      <c r="GZK33" t="s">
        <v>6984</v>
      </c>
      <c r="GZL33" t="s">
        <v>6984</v>
      </c>
      <c r="GZM33" t="s">
        <v>6984</v>
      </c>
      <c r="GZN33" t="s">
        <v>6984</v>
      </c>
      <c r="GZO33" t="s">
        <v>6984</v>
      </c>
      <c r="GZP33" t="s">
        <v>6984</v>
      </c>
      <c r="GZQ33" t="s">
        <v>6984</v>
      </c>
      <c r="GZR33" t="s">
        <v>6984</v>
      </c>
      <c r="GZS33" t="s">
        <v>6984</v>
      </c>
      <c r="GZT33" t="s">
        <v>6984</v>
      </c>
      <c r="GZU33" t="s">
        <v>6984</v>
      </c>
      <c r="GZV33" t="s">
        <v>6984</v>
      </c>
      <c r="GZW33" t="s">
        <v>6984</v>
      </c>
      <c r="GZX33" t="s">
        <v>6984</v>
      </c>
      <c r="GZY33" t="s">
        <v>6984</v>
      </c>
      <c r="GZZ33" t="s">
        <v>6984</v>
      </c>
      <c r="HAA33" t="s">
        <v>6984</v>
      </c>
      <c r="HAB33" t="s">
        <v>6984</v>
      </c>
      <c r="HAC33" t="s">
        <v>6984</v>
      </c>
      <c r="HAD33" t="s">
        <v>6984</v>
      </c>
      <c r="HAE33" t="s">
        <v>6984</v>
      </c>
      <c r="HAF33" t="s">
        <v>6984</v>
      </c>
      <c r="HAG33" t="s">
        <v>6984</v>
      </c>
      <c r="HAH33" t="s">
        <v>6984</v>
      </c>
      <c r="HAI33" t="s">
        <v>6984</v>
      </c>
      <c r="HAJ33" t="s">
        <v>6984</v>
      </c>
      <c r="HAK33" t="s">
        <v>6984</v>
      </c>
      <c r="HAL33" t="s">
        <v>6984</v>
      </c>
      <c r="HAM33" t="s">
        <v>6984</v>
      </c>
      <c r="HAN33" t="s">
        <v>6984</v>
      </c>
      <c r="HAO33" t="s">
        <v>6984</v>
      </c>
      <c r="HAP33" t="s">
        <v>6984</v>
      </c>
      <c r="HAQ33" t="s">
        <v>6984</v>
      </c>
      <c r="HAR33" t="s">
        <v>6984</v>
      </c>
      <c r="HAS33" t="s">
        <v>6984</v>
      </c>
      <c r="HAT33" t="s">
        <v>6984</v>
      </c>
      <c r="HAU33" t="s">
        <v>6984</v>
      </c>
      <c r="HAV33" t="s">
        <v>6984</v>
      </c>
      <c r="HAW33" t="s">
        <v>6984</v>
      </c>
      <c r="HAX33" t="s">
        <v>6984</v>
      </c>
      <c r="HAY33" t="s">
        <v>6984</v>
      </c>
      <c r="HAZ33" t="s">
        <v>6984</v>
      </c>
      <c r="HBA33" t="s">
        <v>6984</v>
      </c>
      <c r="HBB33" t="s">
        <v>6984</v>
      </c>
      <c r="HBC33" t="s">
        <v>6984</v>
      </c>
      <c r="HBD33" t="s">
        <v>6984</v>
      </c>
      <c r="HBE33" t="s">
        <v>6984</v>
      </c>
      <c r="HBF33" t="s">
        <v>6984</v>
      </c>
      <c r="HBG33" t="s">
        <v>6984</v>
      </c>
      <c r="HBH33" t="s">
        <v>6984</v>
      </c>
      <c r="HBI33" t="s">
        <v>6984</v>
      </c>
      <c r="HBJ33" t="s">
        <v>6984</v>
      </c>
      <c r="HBK33" t="s">
        <v>6984</v>
      </c>
      <c r="HBL33" t="s">
        <v>6984</v>
      </c>
      <c r="HBM33" t="s">
        <v>6984</v>
      </c>
      <c r="HBN33" t="s">
        <v>6984</v>
      </c>
      <c r="HBO33" t="s">
        <v>6984</v>
      </c>
      <c r="HBP33" t="s">
        <v>6984</v>
      </c>
      <c r="HBQ33" t="s">
        <v>6984</v>
      </c>
      <c r="HBR33" t="s">
        <v>6984</v>
      </c>
      <c r="HBS33" t="s">
        <v>6984</v>
      </c>
      <c r="HBT33" t="s">
        <v>6984</v>
      </c>
      <c r="HBU33" t="s">
        <v>6984</v>
      </c>
      <c r="HBV33" t="s">
        <v>6984</v>
      </c>
      <c r="HBW33" t="s">
        <v>6984</v>
      </c>
      <c r="HBX33" t="s">
        <v>6984</v>
      </c>
      <c r="HBY33" t="s">
        <v>6984</v>
      </c>
      <c r="HBZ33" t="s">
        <v>6984</v>
      </c>
      <c r="HCA33" t="s">
        <v>6984</v>
      </c>
      <c r="HCB33" t="s">
        <v>6984</v>
      </c>
      <c r="HCC33" t="s">
        <v>6984</v>
      </c>
      <c r="HCD33" t="s">
        <v>6984</v>
      </c>
      <c r="HCE33" t="s">
        <v>6984</v>
      </c>
      <c r="HCF33" t="s">
        <v>6984</v>
      </c>
      <c r="HCG33" t="s">
        <v>6984</v>
      </c>
      <c r="HCH33" t="s">
        <v>6984</v>
      </c>
      <c r="HCI33" t="s">
        <v>6984</v>
      </c>
      <c r="HCJ33" t="s">
        <v>6984</v>
      </c>
      <c r="HCK33" t="s">
        <v>6984</v>
      </c>
      <c r="HCL33" t="s">
        <v>6984</v>
      </c>
      <c r="HCM33" t="s">
        <v>6984</v>
      </c>
      <c r="HCN33" t="s">
        <v>6984</v>
      </c>
      <c r="HCO33" t="s">
        <v>6984</v>
      </c>
      <c r="HCP33" t="s">
        <v>6984</v>
      </c>
      <c r="HCQ33" t="s">
        <v>6984</v>
      </c>
      <c r="HCR33" t="s">
        <v>6984</v>
      </c>
      <c r="HCS33" t="s">
        <v>6984</v>
      </c>
      <c r="HCT33" t="s">
        <v>6984</v>
      </c>
      <c r="HCU33" t="s">
        <v>6984</v>
      </c>
      <c r="HCV33" t="s">
        <v>6984</v>
      </c>
      <c r="HCW33" t="s">
        <v>6984</v>
      </c>
      <c r="HCX33" t="s">
        <v>6984</v>
      </c>
      <c r="HCY33" t="s">
        <v>6984</v>
      </c>
      <c r="HCZ33" t="s">
        <v>6984</v>
      </c>
      <c r="HDA33" t="s">
        <v>6984</v>
      </c>
      <c r="HDB33" t="s">
        <v>6984</v>
      </c>
      <c r="HDC33" t="s">
        <v>6984</v>
      </c>
      <c r="HDD33" t="s">
        <v>6984</v>
      </c>
      <c r="HDE33" t="s">
        <v>6984</v>
      </c>
      <c r="HDF33" t="s">
        <v>6984</v>
      </c>
      <c r="HDG33" t="s">
        <v>6984</v>
      </c>
      <c r="HDH33" t="s">
        <v>6984</v>
      </c>
      <c r="HDI33" t="s">
        <v>6984</v>
      </c>
      <c r="HDJ33" t="s">
        <v>6984</v>
      </c>
      <c r="HDK33" t="s">
        <v>6984</v>
      </c>
      <c r="HDL33" t="s">
        <v>6984</v>
      </c>
      <c r="HDM33" t="s">
        <v>6984</v>
      </c>
      <c r="HDN33" t="s">
        <v>6984</v>
      </c>
      <c r="HDO33" t="s">
        <v>6984</v>
      </c>
      <c r="HDP33" t="s">
        <v>6984</v>
      </c>
      <c r="HDQ33" t="s">
        <v>6984</v>
      </c>
      <c r="HDR33" t="s">
        <v>6984</v>
      </c>
      <c r="HDS33" t="s">
        <v>6984</v>
      </c>
      <c r="HDT33" t="s">
        <v>6984</v>
      </c>
      <c r="HDU33" t="s">
        <v>6984</v>
      </c>
      <c r="HDV33" t="s">
        <v>6984</v>
      </c>
      <c r="HDW33" t="s">
        <v>6984</v>
      </c>
      <c r="HDX33" t="s">
        <v>6984</v>
      </c>
      <c r="HDY33" t="s">
        <v>6984</v>
      </c>
      <c r="HDZ33" t="s">
        <v>6984</v>
      </c>
      <c r="HEA33" t="s">
        <v>6984</v>
      </c>
      <c r="HEB33" t="s">
        <v>6984</v>
      </c>
      <c r="HEC33" t="s">
        <v>6984</v>
      </c>
      <c r="HED33" t="s">
        <v>6984</v>
      </c>
      <c r="HEE33" t="s">
        <v>6984</v>
      </c>
      <c r="HEF33" t="s">
        <v>6984</v>
      </c>
      <c r="HEG33" t="s">
        <v>6984</v>
      </c>
      <c r="HEH33" t="s">
        <v>6984</v>
      </c>
      <c r="HEI33" t="s">
        <v>6984</v>
      </c>
      <c r="HEJ33" t="s">
        <v>6984</v>
      </c>
      <c r="HEK33" t="s">
        <v>6984</v>
      </c>
      <c r="HEL33" t="s">
        <v>6984</v>
      </c>
      <c r="HEM33" t="s">
        <v>6984</v>
      </c>
      <c r="HEN33" t="s">
        <v>6984</v>
      </c>
      <c r="HEO33" t="s">
        <v>6984</v>
      </c>
      <c r="HEP33" t="s">
        <v>6984</v>
      </c>
      <c r="HEQ33" t="s">
        <v>6984</v>
      </c>
      <c r="HER33" t="s">
        <v>6984</v>
      </c>
      <c r="HES33" t="s">
        <v>6984</v>
      </c>
      <c r="HET33" t="s">
        <v>6984</v>
      </c>
      <c r="HEU33" t="s">
        <v>6984</v>
      </c>
      <c r="HEV33" t="s">
        <v>6984</v>
      </c>
      <c r="HEW33" t="s">
        <v>6984</v>
      </c>
      <c r="HEX33" t="s">
        <v>6984</v>
      </c>
      <c r="HEY33" t="s">
        <v>6984</v>
      </c>
      <c r="HEZ33" t="s">
        <v>6984</v>
      </c>
      <c r="HFA33" t="s">
        <v>6984</v>
      </c>
      <c r="HFB33" t="s">
        <v>6984</v>
      </c>
      <c r="HFC33" t="s">
        <v>6984</v>
      </c>
      <c r="HFD33" t="s">
        <v>6984</v>
      </c>
      <c r="HFE33" t="s">
        <v>6984</v>
      </c>
      <c r="HFF33" t="s">
        <v>6984</v>
      </c>
      <c r="HFG33" t="s">
        <v>6984</v>
      </c>
      <c r="HFH33" t="s">
        <v>6984</v>
      </c>
      <c r="HFI33" t="s">
        <v>6984</v>
      </c>
      <c r="HFJ33" t="s">
        <v>6984</v>
      </c>
      <c r="HFK33" t="s">
        <v>6984</v>
      </c>
      <c r="HFL33" t="s">
        <v>6984</v>
      </c>
      <c r="HFM33" t="s">
        <v>6984</v>
      </c>
      <c r="HFN33" t="s">
        <v>6984</v>
      </c>
      <c r="HFO33" t="s">
        <v>6984</v>
      </c>
      <c r="HFP33" t="s">
        <v>6984</v>
      </c>
      <c r="HFQ33" t="s">
        <v>6984</v>
      </c>
      <c r="HFR33" t="s">
        <v>6984</v>
      </c>
      <c r="HFS33" t="s">
        <v>6984</v>
      </c>
      <c r="HFT33" t="s">
        <v>6984</v>
      </c>
      <c r="HFU33" t="s">
        <v>6984</v>
      </c>
      <c r="HFV33" t="s">
        <v>6984</v>
      </c>
      <c r="HFW33" t="s">
        <v>6984</v>
      </c>
      <c r="HFX33" t="s">
        <v>6984</v>
      </c>
      <c r="HFY33" t="s">
        <v>6984</v>
      </c>
      <c r="HFZ33" t="s">
        <v>6984</v>
      </c>
      <c r="HGA33" t="s">
        <v>6984</v>
      </c>
      <c r="HGB33" t="s">
        <v>6984</v>
      </c>
      <c r="HGC33" t="s">
        <v>6984</v>
      </c>
      <c r="HGD33" t="s">
        <v>6984</v>
      </c>
      <c r="HGE33" t="s">
        <v>6984</v>
      </c>
      <c r="HGF33" t="s">
        <v>6984</v>
      </c>
      <c r="HGG33" t="s">
        <v>6984</v>
      </c>
      <c r="HGH33" t="s">
        <v>6984</v>
      </c>
      <c r="HGI33" t="s">
        <v>6984</v>
      </c>
      <c r="HGJ33" t="s">
        <v>6984</v>
      </c>
      <c r="HGK33" t="s">
        <v>6984</v>
      </c>
      <c r="HGL33" t="s">
        <v>6984</v>
      </c>
      <c r="HGM33" t="s">
        <v>6984</v>
      </c>
      <c r="HGN33" t="s">
        <v>6984</v>
      </c>
      <c r="HGO33" t="s">
        <v>6984</v>
      </c>
      <c r="HGP33" t="s">
        <v>6984</v>
      </c>
      <c r="HGQ33" t="s">
        <v>6984</v>
      </c>
      <c r="HGR33" t="s">
        <v>6984</v>
      </c>
      <c r="HGS33" t="s">
        <v>6984</v>
      </c>
      <c r="HGT33" t="s">
        <v>6984</v>
      </c>
      <c r="HGU33" t="s">
        <v>6984</v>
      </c>
      <c r="HGV33" t="s">
        <v>6984</v>
      </c>
      <c r="HGW33" t="s">
        <v>6984</v>
      </c>
      <c r="HGX33" t="s">
        <v>6984</v>
      </c>
      <c r="HGY33" t="s">
        <v>6984</v>
      </c>
      <c r="HGZ33" t="s">
        <v>6984</v>
      </c>
      <c r="HHA33" t="s">
        <v>6984</v>
      </c>
      <c r="HHB33" t="s">
        <v>6984</v>
      </c>
      <c r="HHC33" t="s">
        <v>6984</v>
      </c>
      <c r="HHD33" t="s">
        <v>6984</v>
      </c>
      <c r="HHE33" t="s">
        <v>6984</v>
      </c>
      <c r="HHF33" t="s">
        <v>6984</v>
      </c>
      <c r="HHG33" t="s">
        <v>6984</v>
      </c>
      <c r="HHH33" t="s">
        <v>6984</v>
      </c>
      <c r="HHI33" t="s">
        <v>6984</v>
      </c>
      <c r="HHJ33" t="s">
        <v>6984</v>
      </c>
      <c r="HHK33" t="s">
        <v>6984</v>
      </c>
      <c r="HHL33" t="s">
        <v>6984</v>
      </c>
      <c r="HHM33" t="s">
        <v>6984</v>
      </c>
      <c r="HHN33" t="s">
        <v>6984</v>
      </c>
      <c r="HHO33" t="s">
        <v>6984</v>
      </c>
      <c r="HHP33" t="s">
        <v>6984</v>
      </c>
      <c r="HHQ33" t="s">
        <v>6984</v>
      </c>
      <c r="HHR33" t="s">
        <v>6984</v>
      </c>
      <c r="HHS33" t="s">
        <v>6984</v>
      </c>
      <c r="HHT33" t="s">
        <v>6984</v>
      </c>
      <c r="HHU33" t="s">
        <v>6984</v>
      </c>
      <c r="HHV33" t="s">
        <v>6984</v>
      </c>
      <c r="HHW33" t="s">
        <v>6984</v>
      </c>
      <c r="HHX33" t="s">
        <v>6984</v>
      </c>
      <c r="HHY33" t="s">
        <v>6984</v>
      </c>
      <c r="HHZ33" t="s">
        <v>6984</v>
      </c>
      <c r="HIA33" t="s">
        <v>6984</v>
      </c>
      <c r="HIB33" t="s">
        <v>6984</v>
      </c>
      <c r="HIC33" t="s">
        <v>6984</v>
      </c>
      <c r="HID33" t="s">
        <v>6984</v>
      </c>
      <c r="HIE33" t="s">
        <v>6984</v>
      </c>
      <c r="HIF33" t="s">
        <v>6984</v>
      </c>
      <c r="HIG33" t="s">
        <v>6984</v>
      </c>
      <c r="HIH33" t="s">
        <v>6984</v>
      </c>
      <c r="HII33" t="s">
        <v>6984</v>
      </c>
      <c r="HIJ33" t="s">
        <v>6984</v>
      </c>
      <c r="HIK33" t="s">
        <v>6984</v>
      </c>
      <c r="HIL33" t="s">
        <v>6984</v>
      </c>
      <c r="HIM33" t="s">
        <v>6984</v>
      </c>
      <c r="HIN33" t="s">
        <v>6984</v>
      </c>
      <c r="HIO33" t="s">
        <v>6984</v>
      </c>
      <c r="HIP33" t="s">
        <v>6984</v>
      </c>
      <c r="HIQ33" t="s">
        <v>6984</v>
      </c>
      <c r="HIR33" t="s">
        <v>6984</v>
      </c>
      <c r="HIS33" t="s">
        <v>6984</v>
      </c>
      <c r="HIT33" t="s">
        <v>6984</v>
      </c>
      <c r="HIU33" t="s">
        <v>6984</v>
      </c>
      <c r="HIV33" t="s">
        <v>6984</v>
      </c>
      <c r="HIW33" t="s">
        <v>6984</v>
      </c>
      <c r="HIX33" t="s">
        <v>6984</v>
      </c>
      <c r="HIY33" t="s">
        <v>6984</v>
      </c>
      <c r="HIZ33" t="s">
        <v>6984</v>
      </c>
      <c r="HJA33" t="s">
        <v>6984</v>
      </c>
      <c r="HJB33" t="s">
        <v>6984</v>
      </c>
      <c r="HJC33" t="s">
        <v>6984</v>
      </c>
      <c r="HJD33" t="s">
        <v>6984</v>
      </c>
      <c r="HJE33" t="s">
        <v>6984</v>
      </c>
      <c r="HJF33" t="s">
        <v>6984</v>
      </c>
      <c r="HJG33" t="s">
        <v>6984</v>
      </c>
      <c r="HJH33" t="s">
        <v>6984</v>
      </c>
      <c r="HJI33" t="s">
        <v>6984</v>
      </c>
      <c r="HJJ33" t="s">
        <v>6984</v>
      </c>
      <c r="HJK33" t="s">
        <v>6984</v>
      </c>
      <c r="HJL33" t="s">
        <v>6984</v>
      </c>
      <c r="HJM33" t="s">
        <v>6984</v>
      </c>
      <c r="HJN33" t="s">
        <v>6984</v>
      </c>
      <c r="HJO33" t="s">
        <v>6984</v>
      </c>
      <c r="HJP33" t="s">
        <v>6984</v>
      </c>
      <c r="HJQ33" t="s">
        <v>6984</v>
      </c>
      <c r="HJR33" t="s">
        <v>6984</v>
      </c>
      <c r="HJS33" t="s">
        <v>6984</v>
      </c>
      <c r="HJT33" t="s">
        <v>6984</v>
      </c>
      <c r="HJU33" t="s">
        <v>6984</v>
      </c>
      <c r="HJV33" t="s">
        <v>6984</v>
      </c>
      <c r="HJW33" t="s">
        <v>6984</v>
      </c>
      <c r="HJX33" t="s">
        <v>6984</v>
      </c>
      <c r="HJY33" t="s">
        <v>6984</v>
      </c>
      <c r="HJZ33" t="s">
        <v>6984</v>
      </c>
      <c r="HKA33" t="s">
        <v>6984</v>
      </c>
      <c r="HKB33" t="s">
        <v>6984</v>
      </c>
      <c r="HKC33" t="s">
        <v>6984</v>
      </c>
      <c r="HKD33" t="s">
        <v>6984</v>
      </c>
      <c r="HKE33" t="s">
        <v>6984</v>
      </c>
      <c r="HKF33" t="s">
        <v>6984</v>
      </c>
      <c r="HKG33" t="s">
        <v>6984</v>
      </c>
      <c r="HKH33" t="s">
        <v>6984</v>
      </c>
      <c r="HKI33" t="s">
        <v>6984</v>
      </c>
      <c r="HKJ33" t="s">
        <v>6984</v>
      </c>
      <c r="HKK33" t="s">
        <v>6984</v>
      </c>
      <c r="HKL33" t="s">
        <v>6984</v>
      </c>
      <c r="HKM33" t="s">
        <v>6984</v>
      </c>
      <c r="HKN33" t="s">
        <v>6984</v>
      </c>
      <c r="HKO33" t="s">
        <v>6984</v>
      </c>
      <c r="HKP33" t="s">
        <v>6984</v>
      </c>
      <c r="HKQ33" t="s">
        <v>6984</v>
      </c>
      <c r="HKR33" t="s">
        <v>6984</v>
      </c>
      <c r="HKS33" t="s">
        <v>6984</v>
      </c>
      <c r="HKT33" t="s">
        <v>6984</v>
      </c>
      <c r="HKU33" t="s">
        <v>6984</v>
      </c>
      <c r="HKV33" t="s">
        <v>6984</v>
      </c>
      <c r="HKW33" t="s">
        <v>6984</v>
      </c>
      <c r="HKX33" t="s">
        <v>6984</v>
      </c>
      <c r="HKY33" t="s">
        <v>6984</v>
      </c>
      <c r="HKZ33" t="s">
        <v>6984</v>
      </c>
      <c r="HLA33" t="s">
        <v>6984</v>
      </c>
      <c r="HLB33" t="s">
        <v>6984</v>
      </c>
      <c r="HLC33" t="s">
        <v>6984</v>
      </c>
      <c r="HLD33" t="s">
        <v>6984</v>
      </c>
      <c r="HLE33" t="s">
        <v>6984</v>
      </c>
      <c r="HLF33" t="s">
        <v>6984</v>
      </c>
      <c r="HLG33" t="s">
        <v>6984</v>
      </c>
      <c r="HLH33" t="s">
        <v>6984</v>
      </c>
      <c r="HLI33" t="s">
        <v>6984</v>
      </c>
      <c r="HLJ33" t="s">
        <v>6984</v>
      </c>
      <c r="HLK33" t="s">
        <v>6984</v>
      </c>
      <c r="HLL33" t="s">
        <v>6984</v>
      </c>
      <c r="HLM33" t="s">
        <v>6984</v>
      </c>
      <c r="HLN33" t="s">
        <v>6984</v>
      </c>
      <c r="HLO33" t="s">
        <v>6984</v>
      </c>
      <c r="HLP33" t="s">
        <v>6984</v>
      </c>
      <c r="HLQ33" t="s">
        <v>6984</v>
      </c>
      <c r="HLR33" t="s">
        <v>6984</v>
      </c>
      <c r="HLS33" t="s">
        <v>6984</v>
      </c>
      <c r="HLT33" t="s">
        <v>6984</v>
      </c>
      <c r="HLU33" t="s">
        <v>6984</v>
      </c>
      <c r="HLV33" t="s">
        <v>6984</v>
      </c>
      <c r="HLW33" t="s">
        <v>6984</v>
      </c>
      <c r="HLX33" t="s">
        <v>6984</v>
      </c>
      <c r="HLY33" t="s">
        <v>6984</v>
      </c>
      <c r="HLZ33" t="s">
        <v>6984</v>
      </c>
      <c r="HMA33" t="s">
        <v>6984</v>
      </c>
      <c r="HMB33" t="s">
        <v>6984</v>
      </c>
      <c r="HMC33" t="s">
        <v>6984</v>
      </c>
      <c r="HMD33" t="s">
        <v>6984</v>
      </c>
      <c r="HME33" t="s">
        <v>6984</v>
      </c>
      <c r="HMF33" t="s">
        <v>6984</v>
      </c>
      <c r="HMG33" t="s">
        <v>6984</v>
      </c>
      <c r="HMH33" t="s">
        <v>6984</v>
      </c>
      <c r="HMI33" t="s">
        <v>6984</v>
      </c>
      <c r="HMJ33" t="s">
        <v>6984</v>
      </c>
      <c r="HMK33" t="s">
        <v>6984</v>
      </c>
      <c r="HML33" t="s">
        <v>6984</v>
      </c>
      <c r="HMM33" t="s">
        <v>6984</v>
      </c>
      <c r="HMN33" t="s">
        <v>6984</v>
      </c>
      <c r="HMO33" t="s">
        <v>6984</v>
      </c>
      <c r="HMP33" t="s">
        <v>6984</v>
      </c>
      <c r="HMQ33" t="s">
        <v>6984</v>
      </c>
      <c r="HMR33" t="s">
        <v>6984</v>
      </c>
      <c r="HMS33" t="s">
        <v>6984</v>
      </c>
      <c r="HMT33" t="s">
        <v>6984</v>
      </c>
      <c r="HMU33" t="s">
        <v>6984</v>
      </c>
      <c r="HMV33" t="s">
        <v>6984</v>
      </c>
      <c r="HMW33" t="s">
        <v>6984</v>
      </c>
      <c r="HMX33" t="s">
        <v>6984</v>
      </c>
      <c r="HMY33" t="s">
        <v>6984</v>
      </c>
      <c r="HMZ33" t="s">
        <v>6984</v>
      </c>
      <c r="HNA33" t="s">
        <v>6984</v>
      </c>
      <c r="HNB33" t="s">
        <v>6984</v>
      </c>
      <c r="HNC33" t="s">
        <v>6984</v>
      </c>
      <c r="HND33" t="s">
        <v>6984</v>
      </c>
      <c r="HNE33" t="s">
        <v>6984</v>
      </c>
      <c r="HNF33" t="s">
        <v>6984</v>
      </c>
      <c r="HNG33" t="s">
        <v>6984</v>
      </c>
      <c r="HNH33" t="s">
        <v>6984</v>
      </c>
      <c r="HNI33" t="s">
        <v>6984</v>
      </c>
      <c r="HNJ33" t="s">
        <v>6984</v>
      </c>
      <c r="HNK33" t="s">
        <v>6984</v>
      </c>
      <c r="HNL33" t="s">
        <v>6984</v>
      </c>
      <c r="HNM33" t="s">
        <v>6984</v>
      </c>
      <c r="HNN33" t="s">
        <v>6984</v>
      </c>
      <c r="HNO33" t="s">
        <v>6984</v>
      </c>
      <c r="HNP33" t="s">
        <v>6984</v>
      </c>
      <c r="HNQ33" t="s">
        <v>6984</v>
      </c>
      <c r="HNR33" t="s">
        <v>6984</v>
      </c>
      <c r="HNS33" t="s">
        <v>6984</v>
      </c>
      <c r="HNT33" t="s">
        <v>6984</v>
      </c>
      <c r="HNU33" t="s">
        <v>6984</v>
      </c>
      <c r="HNV33" t="s">
        <v>6984</v>
      </c>
      <c r="HNW33" t="s">
        <v>6984</v>
      </c>
      <c r="HNX33" t="s">
        <v>6984</v>
      </c>
      <c r="HNY33" t="s">
        <v>6984</v>
      </c>
      <c r="HNZ33" t="s">
        <v>6984</v>
      </c>
      <c r="HOA33" t="s">
        <v>6984</v>
      </c>
      <c r="HOB33" t="s">
        <v>6984</v>
      </c>
      <c r="HOC33" t="s">
        <v>6984</v>
      </c>
      <c r="HOD33" t="s">
        <v>6984</v>
      </c>
      <c r="HOE33" t="s">
        <v>6984</v>
      </c>
      <c r="HOF33" t="s">
        <v>6984</v>
      </c>
      <c r="HOG33" t="s">
        <v>6984</v>
      </c>
      <c r="HOH33" t="s">
        <v>6984</v>
      </c>
      <c r="HOI33" t="s">
        <v>6984</v>
      </c>
      <c r="HOJ33" t="s">
        <v>6984</v>
      </c>
      <c r="HOK33" t="s">
        <v>6984</v>
      </c>
      <c r="HOL33" t="s">
        <v>6984</v>
      </c>
      <c r="HOM33" t="s">
        <v>6984</v>
      </c>
      <c r="HON33" t="s">
        <v>6984</v>
      </c>
      <c r="HOO33" t="s">
        <v>6984</v>
      </c>
      <c r="HOP33" t="s">
        <v>6984</v>
      </c>
      <c r="HOQ33" t="s">
        <v>6984</v>
      </c>
      <c r="HOR33" t="s">
        <v>6984</v>
      </c>
      <c r="HOS33" t="s">
        <v>6984</v>
      </c>
      <c r="HOT33" t="s">
        <v>6984</v>
      </c>
      <c r="HOU33" t="s">
        <v>6984</v>
      </c>
      <c r="HOV33" t="s">
        <v>6984</v>
      </c>
      <c r="HOW33" t="s">
        <v>6984</v>
      </c>
      <c r="HOX33" t="s">
        <v>6984</v>
      </c>
      <c r="HOY33" t="s">
        <v>6984</v>
      </c>
      <c r="HOZ33" t="s">
        <v>6984</v>
      </c>
      <c r="HPA33" t="s">
        <v>6984</v>
      </c>
      <c r="HPB33" t="s">
        <v>6984</v>
      </c>
      <c r="HPC33" t="s">
        <v>6984</v>
      </c>
      <c r="HPD33" t="s">
        <v>6984</v>
      </c>
      <c r="HPE33" t="s">
        <v>6984</v>
      </c>
      <c r="HPF33" t="s">
        <v>6984</v>
      </c>
      <c r="HPG33" t="s">
        <v>6984</v>
      </c>
      <c r="HPH33" t="s">
        <v>6984</v>
      </c>
      <c r="HPI33" t="s">
        <v>6984</v>
      </c>
      <c r="HPJ33" t="s">
        <v>6984</v>
      </c>
      <c r="HPK33" t="s">
        <v>6984</v>
      </c>
      <c r="HPL33" t="s">
        <v>6984</v>
      </c>
      <c r="HPM33" t="s">
        <v>6984</v>
      </c>
      <c r="HPN33" t="s">
        <v>6984</v>
      </c>
      <c r="HPO33" t="s">
        <v>6984</v>
      </c>
      <c r="HPP33" t="s">
        <v>6984</v>
      </c>
      <c r="HPQ33" t="s">
        <v>6984</v>
      </c>
      <c r="HPR33" t="s">
        <v>6984</v>
      </c>
      <c r="HPS33" t="s">
        <v>6984</v>
      </c>
      <c r="HPT33" t="s">
        <v>6984</v>
      </c>
      <c r="HPU33" t="s">
        <v>6984</v>
      </c>
      <c r="HPV33" t="s">
        <v>6984</v>
      </c>
      <c r="HPW33" t="s">
        <v>6984</v>
      </c>
      <c r="HPX33" t="s">
        <v>6984</v>
      </c>
      <c r="HPY33" t="s">
        <v>6984</v>
      </c>
      <c r="HPZ33" t="s">
        <v>6984</v>
      </c>
      <c r="HQA33" t="s">
        <v>6984</v>
      </c>
      <c r="HQB33" t="s">
        <v>6984</v>
      </c>
      <c r="HQC33" t="s">
        <v>6984</v>
      </c>
      <c r="HQD33" t="s">
        <v>6984</v>
      </c>
      <c r="HQE33" t="s">
        <v>6984</v>
      </c>
      <c r="HQF33" t="s">
        <v>6984</v>
      </c>
      <c r="HQG33" t="s">
        <v>6984</v>
      </c>
      <c r="HQH33" t="s">
        <v>6984</v>
      </c>
      <c r="HQI33" t="s">
        <v>6984</v>
      </c>
      <c r="HQJ33" t="s">
        <v>6984</v>
      </c>
      <c r="HQK33" t="s">
        <v>6984</v>
      </c>
      <c r="HQL33" t="s">
        <v>6984</v>
      </c>
      <c r="HQM33" t="s">
        <v>6984</v>
      </c>
      <c r="HQN33" t="s">
        <v>6984</v>
      </c>
      <c r="HQO33" t="s">
        <v>6984</v>
      </c>
      <c r="HQP33" t="s">
        <v>6984</v>
      </c>
      <c r="HQQ33" t="s">
        <v>6984</v>
      </c>
      <c r="HQR33" t="s">
        <v>6984</v>
      </c>
      <c r="HQS33" t="s">
        <v>6984</v>
      </c>
      <c r="HQT33" t="s">
        <v>6984</v>
      </c>
      <c r="HQU33" t="s">
        <v>6984</v>
      </c>
      <c r="HQV33" t="s">
        <v>6984</v>
      </c>
      <c r="HQW33" t="s">
        <v>6984</v>
      </c>
      <c r="HQX33" t="s">
        <v>6984</v>
      </c>
      <c r="HQY33" t="s">
        <v>6984</v>
      </c>
      <c r="HQZ33" t="s">
        <v>6984</v>
      </c>
      <c r="HRA33" t="s">
        <v>6984</v>
      </c>
      <c r="HRB33" t="s">
        <v>6984</v>
      </c>
      <c r="HRC33" t="s">
        <v>6984</v>
      </c>
      <c r="HRD33" t="s">
        <v>6984</v>
      </c>
      <c r="HRE33" t="s">
        <v>6984</v>
      </c>
      <c r="HRF33" t="s">
        <v>6984</v>
      </c>
      <c r="HRG33" t="s">
        <v>6984</v>
      </c>
      <c r="HRH33" t="s">
        <v>6984</v>
      </c>
      <c r="HRI33" t="s">
        <v>6984</v>
      </c>
      <c r="HRJ33" t="s">
        <v>6984</v>
      </c>
      <c r="HRK33" t="s">
        <v>6984</v>
      </c>
      <c r="HRL33" t="s">
        <v>6984</v>
      </c>
      <c r="HRM33" t="s">
        <v>6984</v>
      </c>
      <c r="HRN33" t="s">
        <v>6984</v>
      </c>
      <c r="HRO33" t="s">
        <v>6984</v>
      </c>
      <c r="HRP33" t="s">
        <v>6984</v>
      </c>
      <c r="HRQ33" t="s">
        <v>6984</v>
      </c>
      <c r="HRR33" t="s">
        <v>6984</v>
      </c>
      <c r="HRS33" t="s">
        <v>6984</v>
      </c>
      <c r="HRT33" t="s">
        <v>6984</v>
      </c>
      <c r="HRU33" t="s">
        <v>6984</v>
      </c>
      <c r="HRV33" t="s">
        <v>6984</v>
      </c>
      <c r="HRW33" t="s">
        <v>6984</v>
      </c>
      <c r="HRX33" t="s">
        <v>6984</v>
      </c>
      <c r="HRY33" t="s">
        <v>6984</v>
      </c>
      <c r="HRZ33" t="s">
        <v>6984</v>
      </c>
      <c r="HSA33" t="s">
        <v>6984</v>
      </c>
      <c r="HSB33" t="s">
        <v>6984</v>
      </c>
      <c r="HSC33" t="s">
        <v>6984</v>
      </c>
      <c r="HSD33" t="s">
        <v>6984</v>
      </c>
      <c r="HSE33" t="s">
        <v>6984</v>
      </c>
      <c r="HSF33" t="s">
        <v>6984</v>
      </c>
      <c r="HSG33" t="s">
        <v>6984</v>
      </c>
      <c r="HSH33" t="s">
        <v>6984</v>
      </c>
      <c r="HSI33" t="s">
        <v>6984</v>
      </c>
      <c r="HSJ33" t="s">
        <v>6984</v>
      </c>
      <c r="HSK33" t="s">
        <v>6984</v>
      </c>
      <c r="HSL33" t="s">
        <v>6984</v>
      </c>
      <c r="HSM33" t="s">
        <v>6984</v>
      </c>
      <c r="HSN33" t="s">
        <v>6984</v>
      </c>
      <c r="HSO33" t="s">
        <v>6984</v>
      </c>
      <c r="HSP33" t="s">
        <v>6984</v>
      </c>
      <c r="HSQ33" t="s">
        <v>6984</v>
      </c>
      <c r="HSR33" t="s">
        <v>6984</v>
      </c>
      <c r="HSS33" t="s">
        <v>6984</v>
      </c>
      <c r="HST33" t="s">
        <v>6984</v>
      </c>
      <c r="HSU33" t="s">
        <v>6984</v>
      </c>
      <c r="HSV33" t="s">
        <v>6984</v>
      </c>
      <c r="HSW33" t="s">
        <v>6984</v>
      </c>
      <c r="HSX33" t="s">
        <v>6984</v>
      </c>
      <c r="HSY33" t="s">
        <v>6984</v>
      </c>
      <c r="HSZ33" t="s">
        <v>6984</v>
      </c>
      <c r="HTA33" t="s">
        <v>6984</v>
      </c>
      <c r="HTB33" t="s">
        <v>6984</v>
      </c>
      <c r="HTC33" t="s">
        <v>6984</v>
      </c>
      <c r="HTD33" t="s">
        <v>6984</v>
      </c>
      <c r="HTE33" t="s">
        <v>6984</v>
      </c>
      <c r="HTF33" t="s">
        <v>6984</v>
      </c>
      <c r="HTG33" t="s">
        <v>6984</v>
      </c>
      <c r="HTH33" t="s">
        <v>6984</v>
      </c>
      <c r="HTI33" t="s">
        <v>6984</v>
      </c>
      <c r="HTJ33" t="s">
        <v>6984</v>
      </c>
      <c r="HTK33" t="s">
        <v>6984</v>
      </c>
      <c r="HTL33" t="s">
        <v>6984</v>
      </c>
      <c r="HTM33" t="s">
        <v>6984</v>
      </c>
      <c r="HTN33" t="s">
        <v>6984</v>
      </c>
      <c r="HTO33" t="s">
        <v>6984</v>
      </c>
      <c r="HTP33" t="s">
        <v>6984</v>
      </c>
      <c r="HTQ33" t="s">
        <v>6984</v>
      </c>
      <c r="HTR33" t="s">
        <v>6984</v>
      </c>
      <c r="HTS33" t="s">
        <v>6984</v>
      </c>
      <c r="HTT33" t="s">
        <v>6984</v>
      </c>
      <c r="HTU33" t="s">
        <v>6984</v>
      </c>
      <c r="HTV33" t="s">
        <v>6984</v>
      </c>
      <c r="HTW33" t="s">
        <v>6984</v>
      </c>
      <c r="HTX33" t="s">
        <v>6984</v>
      </c>
      <c r="HTY33" t="s">
        <v>6984</v>
      </c>
      <c r="HTZ33" t="s">
        <v>6984</v>
      </c>
      <c r="HUA33" t="s">
        <v>6984</v>
      </c>
      <c r="HUB33" t="s">
        <v>6984</v>
      </c>
      <c r="HUC33" t="s">
        <v>6984</v>
      </c>
      <c r="HUD33" t="s">
        <v>6984</v>
      </c>
      <c r="HUE33" t="s">
        <v>6984</v>
      </c>
      <c r="HUF33" t="s">
        <v>6984</v>
      </c>
      <c r="HUG33" t="s">
        <v>6984</v>
      </c>
      <c r="HUH33" t="s">
        <v>6984</v>
      </c>
      <c r="HUI33" t="s">
        <v>6984</v>
      </c>
      <c r="HUJ33" t="s">
        <v>6984</v>
      </c>
      <c r="HUK33" t="s">
        <v>6984</v>
      </c>
      <c r="HUL33" t="s">
        <v>6984</v>
      </c>
      <c r="HUM33" t="s">
        <v>6984</v>
      </c>
      <c r="HUN33" t="s">
        <v>6984</v>
      </c>
      <c r="HUO33" t="s">
        <v>6984</v>
      </c>
      <c r="HUP33" t="s">
        <v>6984</v>
      </c>
      <c r="HUQ33" t="s">
        <v>6984</v>
      </c>
      <c r="HUR33" t="s">
        <v>6984</v>
      </c>
      <c r="HUS33" t="s">
        <v>6984</v>
      </c>
      <c r="HUT33" t="s">
        <v>6984</v>
      </c>
      <c r="HUU33" t="s">
        <v>6984</v>
      </c>
      <c r="HUV33" t="s">
        <v>6984</v>
      </c>
      <c r="HUW33" t="s">
        <v>6984</v>
      </c>
      <c r="HUX33" t="s">
        <v>6984</v>
      </c>
      <c r="HUY33" t="s">
        <v>6984</v>
      </c>
      <c r="HUZ33" t="s">
        <v>6984</v>
      </c>
      <c r="HVA33" t="s">
        <v>6984</v>
      </c>
      <c r="HVB33" t="s">
        <v>6984</v>
      </c>
      <c r="HVC33" t="s">
        <v>6984</v>
      </c>
      <c r="HVD33" t="s">
        <v>6984</v>
      </c>
      <c r="HVE33" t="s">
        <v>6984</v>
      </c>
      <c r="HVF33" t="s">
        <v>6984</v>
      </c>
      <c r="HVG33" t="s">
        <v>6984</v>
      </c>
      <c r="HVH33" t="s">
        <v>6984</v>
      </c>
      <c r="HVI33" t="s">
        <v>6984</v>
      </c>
      <c r="HVJ33" t="s">
        <v>6984</v>
      </c>
      <c r="HVK33" t="s">
        <v>6984</v>
      </c>
      <c r="HVL33" t="s">
        <v>6984</v>
      </c>
      <c r="HVM33" t="s">
        <v>6984</v>
      </c>
      <c r="HVN33" t="s">
        <v>6984</v>
      </c>
      <c r="HVO33" t="s">
        <v>6984</v>
      </c>
      <c r="HVP33" t="s">
        <v>6984</v>
      </c>
      <c r="HVQ33" t="s">
        <v>6984</v>
      </c>
      <c r="HVR33" t="s">
        <v>6984</v>
      </c>
      <c r="HVS33" t="s">
        <v>6984</v>
      </c>
      <c r="HVT33" t="s">
        <v>6984</v>
      </c>
      <c r="HVU33" t="s">
        <v>6984</v>
      </c>
      <c r="HVV33" t="s">
        <v>6984</v>
      </c>
      <c r="HVW33" t="s">
        <v>6984</v>
      </c>
      <c r="HVX33" t="s">
        <v>6984</v>
      </c>
      <c r="HVY33" t="s">
        <v>6984</v>
      </c>
      <c r="HVZ33" t="s">
        <v>6984</v>
      </c>
      <c r="HWA33" t="s">
        <v>6984</v>
      </c>
      <c r="HWB33" t="s">
        <v>6984</v>
      </c>
      <c r="HWC33" t="s">
        <v>6984</v>
      </c>
      <c r="HWD33" t="s">
        <v>6984</v>
      </c>
      <c r="HWE33" t="s">
        <v>6984</v>
      </c>
      <c r="HWF33" t="s">
        <v>6984</v>
      </c>
      <c r="HWG33" t="s">
        <v>6984</v>
      </c>
      <c r="HWH33" t="s">
        <v>6984</v>
      </c>
      <c r="HWI33" t="s">
        <v>6984</v>
      </c>
      <c r="HWJ33" t="s">
        <v>6984</v>
      </c>
      <c r="HWK33" t="s">
        <v>6984</v>
      </c>
      <c r="HWL33" t="s">
        <v>6984</v>
      </c>
      <c r="HWM33" t="s">
        <v>6984</v>
      </c>
      <c r="HWN33" t="s">
        <v>6984</v>
      </c>
      <c r="HWO33" t="s">
        <v>6984</v>
      </c>
      <c r="HWP33" t="s">
        <v>6984</v>
      </c>
      <c r="HWQ33" t="s">
        <v>6984</v>
      </c>
      <c r="HWR33" t="s">
        <v>6984</v>
      </c>
      <c r="HWS33" t="s">
        <v>6984</v>
      </c>
      <c r="HWT33" t="s">
        <v>6984</v>
      </c>
      <c r="HWU33" t="s">
        <v>6984</v>
      </c>
      <c r="HWV33" t="s">
        <v>6984</v>
      </c>
      <c r="HWW33" t="s">
        <v>6984</v>
      </c>
      <c r="HWX33" t="s">
        <v>6984</v>
      </c>
      <c r="HWY33" t="s">
        <v>6984</v>
      </c>
      <c r="HWZ33" t="s">
        <v>6984</v>
      </c>
      <c r="HXA33" t="s">
        <v>6984</v>
      </c>
      <c r="HXB33" t="s">
        <v>6984</v>
      </c>
      <c r="HXC33" t="s">
        <v>6984</v>
      </c>
      <c r="HXD33" t="s">
        <v>6984</v>
      </c>
      <c r="HXE33" t="s">
        <v>6984</v>
      </c>
      <c r="HXF33" t="s">
        <v>6984</v>
      </c>
      <c r="HXG33" t="s">
        <v>6984</v>
      </c>
      <c r="HXH33" t="s">
        <v>6984</v>
      </c>
      <c r="HXI33" t="s">
        <v>6984</v>
      </c>
      <c r="HXJ33" t="s">
        <v>6984</v>
      </c>
      <c r="HXK33" t="s">
        <v>6984</v>
      </c>
      <c r="HXL33" t="s">
        <v>6984</v>
      </c>
      <c r="HXM33" t="s">
        <v>6984</v>
      </c>
      <c r="HXN33" t="s">
        <v>6984</v>
      </c>
      <c r="HXO33" t="s">
        <v>6984</v>
      </c>
      <c r="HXP33" t="s">
        <v>6984</v>
      </c>
      <c r="HXQ33" t="s">
        <v>6984</v>
      </c>
      <c r="HXR33" t="s">
        <v>6984</v>
      </c>
      <c r="HXS33" t="s">
        <v>6984</v>
      </c>
      <c r="HXT33" t="s">
        <v>6984</v>
      </c>
      <c r="HXU33" t="s">
        <v>6984</v>
      </c>
      <c r="HXV33" t="s">
        <v>6984</v>
      </c>
      <c r="HXW33" t="s">
        <v>6984</v>
      </c>
      <c r="HXX33" t="s">
        <v>6984</v>
      </c>
      <c r="HXY33" t="s">
        <v>6984</v>
      </c>
      <c r="HXZ33" t="s">
        <v>6984</v>
      </c>
      <c r="HYA33" t="s">
        <v>6984</v>
      </c>
      <c r="HYB33" t="s">
        <v>6984</v>
      </c>
      <c r="HYC33" t="s">
        <v>6984</v>
      </c>
      <c r="HYD33" t="s">
        <v>6984</v>
      </c>
      <c r="HYE33" t="s">
        <v>6984</v>
      </c>
      <c r="HYF33" t="s">
        <v>6984</v>
      </c>
      <c r="HYG33" t="s">
        <v>6984</v>
      </c>
      <c r="HYH33" t="s">
        <v>6984</v>
      </c>
      <c r="HYI33" t="s">
        <v>6984</v>
      </c>
      <c r="HYJ33" t="s">
        <v>6984</v>
      </c>
      <c r="HYK33" t="s">
        <v>6984</v>
      </c>
      <c r="HYL33" t="s">
        <v>6984</v>
      </c>
      <c r="HYM33" t="s">
        <v>6984</v>
      </c>
      <c r="HYN33" t="s">
        <v>6984</v>
      </c>
      <c r="HYO33" t="s">
        <v>6984</v>
      </c>
      <c r="HYP33" t="s">
        <v>6984</v>
      </c>
      <c r="HYQ33" t="s">
        <v>6984</v>
      </c>
      <c r="HYR33" t="s">
        <v>6984</v>
      </c>
      <c r="HYS33" t="s">
        <v>6984</v>
      </c>
      <c r="HYT33" t="s">
        <v>6984</v>
      </c>
      <c r="HYU33" t="s">
        <v>6984</v>
      </c>
      <c r="HYV33" t="s">
        <v>6984</v>
      </c>
      <c r="HYW33" t="s">
        <v>6984</v>
      </c>
      <c r="HYX33" t="s">
        <v>6984</v>
      </c>
      <c r="HYY33" t="s">
        <v>6984</v>
      </c>
      <c r="HYZ33" t="s">
        <v>6984</v>
      </c>
      <c r="HZA33" t="s">
        <v>6984</v>
      </c>
      <c r="HZB33" t="s">
        <v>6984</v>
      </c>
      <c r="HZC33" t="s">
        <v>6984</v>
      </c>
      <c r="HZD33" t="s">
        <v>6984</v>
      </c>
      <c r="HZE33" t="s">
        <v>6984</v>
      </c>
      <c r="HZF33" t="s">
        <v>6984</v>
      </c>
      <c r="HZG33" t="s">
        <v>6984</v>
      </c>
      <c r="HZH33" t="s">
        <v>6984</v>
      </c>
      <c r="HZI33" t="s">
        <v>6984</v>
      </c>
      <c r="HZJ33" t="s">
        <v>6984</v>
      </c>
      <c r="HZK33" t="s">
        <v>6984</v>
      </c>
      <c r="HZL33" t="s">
        <v>6984</v>
      </c>
      <c r="HZM33" t="s">
        <v>6984</v>
      </c>
      <c r="HZN33" t="s">
        <v>6984</v>
      </c>
      <c r="HZO33" t="s">
        <v>6984</v>
      </c>
      <c r="HZP33" t="s">
        <v>6984</v>
      </c>
      <c r="HZQ33" t="s">
        <v>6984</v>
      </c>
      <c r="HZR33" t="s">
        <v>6984</v>
      </c>
      <c r="HZS33" t="s">
        <v>6984</v>
      </c>
      <c r="HZT33" t="s">
        <v>6984</v>
      </c>
      <c r="HZU33" t="s">
        <v>6984</v>
      </c>
      <c r="HZV33" t="s">
        <v>6984</v>
      </c>
      <c r="HZW33" t="s">
        <v>6984</v>
      </c>
      <c r="HZX33" t="s">
        <v>6984</v>
      </c>
      <c r="HZY33" t="s">
        <v>6984</v>
      </c>
      <c r="HZZ33" t="s">
        <v>6984</v>
      </c>
      <c r="IAA33" t="s">
        <v>6984</v>
      </c>
      <c r="IAB33" t="s">
        <v>6984</v>
      </c>
      <c r="IAC33" t="s">
        <v>6984</v>
      </c>
      <c r="IAD33" t="s">
        <v>6984</v>
      </c>
      <c r="IAE33" t="s">
        <v>6984</v>
      </c>
      <c r="IAF33" t="s">
        <v>6984</v>
      </c>
      <c r="IAG33" t="s">
        <v>6984</v>
      </c>
      <c r="IAH33" t="s">
        <v>6984</v>
      </c>
      <c r="IAI33" t="s">
        <v>6984</v>
      </c>
      <c r="IAJ33" t="s">
        <v>6984</v>
      </c>
      <c r="IAK33" t="s">
        <v>6984</v>
      </c>
      <c r="IAL33" t="s">
        <v>6984</v>
      </c>
      <c r="IAM33" t="s">
        <v>6984</v>
      </c>
      <c r="IAN33" t="s">
        <v>6984</v>
      </c>
      <c r="IAO33" t="s">
        <v>6984</v>
      </c>
      <c r="IAP33" t="s">
        <v>6984</v>
      </c>
      <c r="IAQ33" t="s">
        <v>6984</v>
      </c>
      <c r="IAR33" t="s">
        <v>6984</v>
      </c>
      <c r="IAS33" t="s">
        <v>6984</v>
      </c>
      <c r="IAT33" t="s">
        <v>6984</v>
      </c>
      <c r="IAU33" t="s">
        <v>6984</v>
      </c>
      <c r="IAV33" t="s">
        <v>6984</v>
      </c>
      <c r="IAW33" t="s">
        <v>6984</v>
      </c>
      <c r="IAX33" t="s">
        <v>6984</v>
      </c>
      <c r="IAY33" t="s">
        <v>6984</v>
      </c>
      <c r="IAZ33" t="s">
        <v>6984</v>
      </c>
      <c r="IBA33" t="s">
        <v>6984</v>
      </c>
      <c r="IBB33" t="s">
        <v>6984</v>
      </c>
      <c r="IBC33" t="s">
        <v>6984</v>
      </c>
      <c r="IBD33" t="s">
        <v>6984</v>
      </c>
      <c r="IBE33" t="s">
        <v>6984</v>
      </c>
      <c r="IBF33" t="s">
        <v>6984</v>
      </c>
      <c r="IBG33" t="s">
        <v>6984</v>
      </c>
      <c r="IBH33" t="s">
        <v>6984</v>
      </c>
      <c r="IBI33" t="s">
        <v>6984</v>
      </c>
      <c r="IBJ33" t="s">
        <v>6984</v>
      </c>
      <c r="IBK33" t="s">
        <v>6984</v>
      </c>
      <c r="IBL33" t="s">
        <v>6984</v>
      </c>
      <c r="IBM33" t="s">
        <v>6984</v>
      </c>
      <c r="IBN33" t="s">
        <v>6984</v>
      </c>
      <c r="IBO33" t="s">
        <v>6984</v>
      </c>
      <c r="IBP33" t="s">
        <v>6984</v>
      </c>
      <c r="IBQ33" t="s">
        <v>6984</v>
      </c>
      <c r="IBR33" t="s">
        <v>6984</v>
      </c>
      <c r="IBS33" t="s">
        <v>6984</v>
      </c>
      <c r="IBT33" t="s">
        <v>6984</v>
      </c>
      <c r="IBU33" t="s">
        <v>6984</v>
      </c>
      <c r="IBV33" t="s">
        <v>6984</v>
      </c>
      <c r="IBW33" t="s">
        <v>6984</v>
      </c>
      <c r="IBX33" t="s">
        <v>6984</v>
      </c>
      <c r="IBY33" t="s">
        <v>6984</v>
      </c>
      <c r="IBZ33" t="s">
        <v>6984</v>
      </c>
      <c r="ICA33" t="s">
        <v>6984</v>
      </c>
      <c r="ICB33" t="s">
        <v>6984</v>
      </c>
      <c r="ICC33" t="s">
        <v>6984</v>
      </c>
      <c r="ICD33" t="s">
        <v>6984</v>
      </c>
      <c r="ICE33" t="s">
        <v>6984</v>
      </c>
      <c r="ICF33" t="s">
        <v>6984</v>
      </c>
      <c r="ICG33" t="s">
        <v>6984</v>
      </c>
      <c r="ICH33" t="s">
        <v>6984</v>
      </c>
      <c r="ICI33" t="s">
        <v>6984</v>
      </c>
      <c r="ICJ33" t="s">
        <v>6984</v>
      </c>
      <c r="ICK33" t="s">
        <v>6984</v>
      </c>
      <c r="ICL33" t="s">
        <v>6984</v>
      </c>
      <c r="ICM33" t="s">
        <v>6984</v>
      </c>
      <c r="ICN33" t="s">
        <v>6984</v>
      </c>
      <c r="ICO33" t="s">
        <v>6984</v>
      </c>
      <c r="ICP33" t="s">
        <v>6984</v>
      </c>
      <c r="ICQ33" t="s">
        <v>6984</v>
      </c>
      <c r="ICR33" t="s">
        <v>6984</v>
      </c>
      <c r="ICS33" t="s">
        <v>6984</v>
      </c>
      <c r="ICT33" t="s">
        <v>6984</v>
      </c>
      <c r="ICU33" t="s">
        <v>6984</v>
      </c>
      <c r="ICV33" t="s">
        <v>6984</v>
      </c>
      <c r="ICW33" t="s">
        <v>6984</v>
      </c>
      <c r="ICX33" t="s">
        <v>6984</v>
      </c>
      <c r="ICY33" t="s">
        <v>6984</v>
      </c>
      <c r="ICZ33" t="s">
        <v>6984</v>
      </c>
      <c r="IDA33" t="s">
        <v>6984</v>
      </c>
      <c r="IDB33" t="s">
        <v>6984</v>
      </c>
      <c r="IDC33" t="s">
        <v>6984</v>
      </c>
      <c r="IDD33" t="s">
        <v>6984</v>
      </c>
      <c r="IDE33" t="s">
        <v>6984</v>
      </c>
      <c r="IDF33" t="s">
        <v>6984</v>
      </c>
      <c r="IDG33" t="s">
        <v>6984</v>
      </c>
      <c r="IDH33" t="s">
        <v>6984</v>
      </c>
      <c r="IDI33" t="s">
        <v>6984</v>
      </c>
      <c r="IDJ33" t="s">
        <v>6984</v>
      </c>
      <c r="IDK33" t="s">
        <v>6984</v>
      </c>
      <c r="IDL33" t="s">
        <v>6984</v>
      </c>
      <c r="IDM33" t="s">
        <v>6984</v>
      </c>
      <c r="IDN33" t="s">
        <v>6984</v>
      </c>
      <c r="IDO33" t="s">
        <v>6984</v>
      </c>
      <c r="IDP33" t="s">
        <v>6984</v>
      </c>
      <c r="IDQ33" t="s">
        <v>6984</v>
      </c>
      <c r="IDR33" t="s">
        <v>6984</v>
      </c>
      <c r="IDS33" t="s">
        <v>6984</v>
      </c>
      <c r="IDT33" t="s">
        <v>6984</v>
      </c>
      <c r="IDU33" t="s">
        <v>6984</v>
      </c>
      <c r="IDV33" t="s">
        <v>6984</v>
      </c>
      <c r="IDW33" t="s">
        <v>6984</v>
      </c>
      <c r="IDX33" t="s">
        <v>6984</v>
      </c>
      <c r="IDY33" t="s">
        <v>6984</v>
      </c>
      <c r="IDZ33" t="s">
        <v>6984</v>
      </c>
      <c r="IEA33" t="s">
        <v>6984</v>
      </c>
      <c r="IEB33" t="s">
        <v>6984</v>
      </c>
      <c r="IEC33" t="s">
        <v>6984</v>
      </c>
      <c r="IED33" t="s">
        <v>6984</v>
      </c>
      <c r="IEE33" t="s">
        <v>6984</v>
      </c>
      <c r="IEF33" t="s">
        <v>6984</v>
      </c>
      <c r="IEG33" t="s">
        <v>6984</v>
      </c>
      <c r="IEH33" t="s">
        <v>6984</v>
      </c>
      <c r="IEI33" t="s">
        <v>6984</v>
      </c>
      <c r="IEJ33" t="s">
        <v>6984</v>
      </c>
      <c r="IEK33" t="s">
        <v>6984</v>
      </c>
      <c r="IEL33" t="s">
        <v>6984</v>
      </c>
      <c r="IEM33" t="s">
        <v>6984</v>
      </c>
      <c r="IEN33" t="s">
        <v>6984</v>
      </c>
      <c r="IEO33" t="s">
        <v>6984</v>
      </c>
      <c r="IEP33" t="s">
        <v>6984</v>
      </c>
      <c r="IEQ33" t="s">
        <v>6984</v>
      </c>
      <c r="IER33" t="s">
        <v>6984</v>
      </c>
      <c r="IES33" t="s">
        <v>6984</v>
      </c>
      <c r="IET33" t="s">
        <v>6984</v>
      </c>
      <c r="IEU33" t="s">
        <v>6984</v>
      </c>
      <c r="IEV33" t="s">
        <v>6984</v>
      </c>
      <c r="IEW33" t="s">
        <v>6984</v>
      </c>
      <c r="IEX33" t="s">
        <v>6984</v>
      </c>
      <c r="IEY33" t="s">
        <v>6984</v>
      </c>
      <c r="IEZ33" t="s">
        <v>6984</v>
      </c>
      <c r="IFA33" t="s">
        <v>6984</v>
      </c>
      <c r="IFB33" t="s">
        <v>6984</v>
      </c>
      <c r="IFC33" t="s">
        <v>6984</v>
      </c>
      <c r="IFD33" t="s">
        <v>6984</v>
      </c>
      <c r="IFE33" t="s">
        <v>6984</v>
      </c>
      <c r="IFF33" t="s">
        <v>6984</v>
      </c>
      <c r="IFG33" t="s">
        <v>6984</v>
      </c>
      <c r="IFH33" t="s">
        <v>6984</v>
      </c>
      <c r="IFI33" t="s">
        <v>6984</v>
      </c>
      <c r="IFJ33" t="s">
        <v>6984</v>
      </c>
      <c r="IFK33" t="s">
        <v>6984</v>
      </c>
      <c r="IFL33" t="s">
        <v>6984</v>
      </c>
      <c r="IFM33" t="s">
        <v>6984</v>
      </c>
      <c r="IFN33" t="s">
        <v>6984</v>
      </c>
      <c r="IFO33" t="s">
        <v>6984</v>
      </c>
      <c r="IFP33" t="s">
        <v>6984</v>
      </c>
      <c r="IFQ33" t="s">
        <v>6984</v>
      </c>
      <c r="IFR33" t="s">
        <v>6984</v>
      </c>
      <c r="IFS33" t="s">
        <v>6984</v>
      </c>
      <c r="IFT33" t="s">
        <v>6984</v>
      </c>
      <c r="IFU33" t="s">
        <v>6984</v>
      </c>
      <c r="IFV33" t="s">
        <v>6984</v>
      </c>
      <c r="IFW33" t="s">
        <v>6984</v>
      </c>
      <c r="IFX33" t="s">
        <v>6984</v>
      </c>
      <c r="IFY33" t="s">
        <v>6984</v>
      </c>
      <c r="IFZ33" t="s">
        <v>6984</v>
      </c>
      <c r="IGA33" t="s">
        <v>6984</v>
      </c>
      <c r="IGB33" t="s">
        <v>6984</v>
      </c>
      <c r="IGC33" t="s">
        <v>6984</v>
      </c>
      <c r="IGD33" t="s">
        <v>6984</v>
      </c>
      <c r="IGE33" t="s">
        <v>6984</v>
      </c>
      <c r="IGF33" t="s">
        <v>6984</v>
      </c>
      <c r="IGG33" t="s">
        <v>6984</v>
      </c>
      <c r="IGH33" t="s">
        <v>6984</v>
      </c>
      <c r="IGI33" t="s">
        <v>6984</v>
      </c>
      <c r="IGJ33" t="s">
        <v>6984</v>
      </c>
      <c r="IGK33" t="s">
        <v>6984</v>
      </c>
      <c r="IGL33" t="s">
        <v>6984</v>
      </c>
      <c r="IGM33" t="s">
        <v>6984</v>
      </c>
      <c r="IGN33" t="s">
        <v>6984</v>
      </c>
      <c r="IGO33" t="s">
        <v>6984</v>
      </c>
      <c r="IGP33" t="s">
        <v>6984</v>
      </c>
      <c r="IGQ33" t="s">
        <v>6984</v>
      </c>
      <c r="IGR33" t="s">
        <v>6984</v>
      </c>
      <c r="IGS33" t="s">
        <v>6984</v>
      </c>
      <c r="IGT33" t="s">
        <v>6984</v>
      </c>
      <c r="IGU33" t="s">
        <v>6984</v>
      </c>
      <c r="IGV33" t="s">
        <v>6984</v>
      </c>
      <c r="IGW33" t="s">
        <v>6984</v>
      </c>
      <c r="IGX33" t="s">
        <v>6984</v>
      </c>
      <c r="IGY33" t="s">
        <v>6984</v>
      </c>
      <c r="IGZ33" t="s">
        <v>6984</v>
      </c>
      <c r="IHA33" t="s">
        <v>6984</v>
      </c>
      <c r="IHB33" t="s">
        <v>6984</v>
      </c>
      <c r="IHC33" t="s">
        <v>6984</v>
      </c>
      <c r="IHD33" t="s">
        <v>6984</v>
      </c>
      <c r="IHE33" t="s">
        <v>6984</v>
      </c>
      <c r="IHF33" t="s">
        <v>6984</v>
      </c>
      <c r="IHG33" t="s">
        <v>6984</v>
      </c>
      <c r="IHH33" t="s">
        <v>6984</v>
      </c>
      <c r="IHI33" t="s">
        <v>6984</v>
      </c>
      <c r="IHJ33" t="s">
        <v>6984</v>
      </c>
      <c r="IHK33" t="s">
        <v>6984</v>
      </c>
      <c r="IHL33" t="s">
        <v>6984</v>
      </c>
      <c r="IHM33" t="s">
        <v>6984</v>
      </c>
      <c r="IHN33" t="s">
        <v>6984</v>
      </c>
      <c r="IHO33" t="s">
        <v>6984</v>
      </c>
      <c r="IHP33" t="s">
        <v>6984</v>
      </c>
      <c r="IHQ33" t="s">
        <v>6984</v>
      </c>
      <c r="IHR33" t="s">
        <v>6984</v>
      </c>
      <c r="IHS33" t="s">
        <v>6984</v>
      </c>
      <c r="IHT33" t="s">
        <v>6984</v>
      </c>
      <c r="IHU33" t="s">
        <v>6984</v>
      </c>
      <c r="IHV33" t="s">
        <v>6984</v>
      </c>
      <c r="IHW33" t="s">
        <v>6984</v>
      </c>
      <c r="IHX33" t="s">
        <v>6984</v>
      </c>
      <c r="IHY33" t="s">
        <v>6984</v>
      </c>
      <c r="IHZ33" t="s">
        <v>6984</v>
      </c>
      <c r="IIA33" t="s">
        <v>6984</v>
      </c>
      <c r="IIB33" t="s">
        <v>6984</v>
      </c>
      <c r="IIC33" t="s">
        <v>6984</v>
      </c>
      <c r="IID33" t="s">
        <v>6984</v>
      </c>
      <c r="IIE33" t="s">
        <v>6984</v>
      </c>
      <c r="IIF33" t="s">
        <v>6984</v>
      </c>
      <c r="IIG33" t="s">
        <v>6984</v>
      </c>
      <c r="IIH33" t="s">
        <v>6984</v>
      </c>
      <c r="III33" t="s">
        <v>6984</v>
      </c>
      <c r="IIJ33" t="s">
        <v>6984</v>
      </c>
      <c r="IIK33" t="s">
        <v>6984</v>
      </c>
      <c r="IIL33" t="s">
        <v>6984</v>
      </c>
      <c r="IIM33" t="s">
        <v>6984</v>
      </c>
      <c r="IIN33" t="s">
        <v>6984</v>
      </c>
      <c r="IIO33" t="s">
        <v>6984</v>
      </c>
      <c r="IIP33" t="s">
        <v>6984</v>
      </c>
      <c r="IIQ33" t="s">
        <v>6984</v>
      </c>
      <c r="IIR33" t="s">
        <v>6984</v>
      </c>
      <c r="IIS33" t="s">
        <v>6984</v>
      </c>
      <c r="IIT33" t="s">
        <v>6984</v>
      </c>
      <c r="IIU33" t="s">
        <v>6984</v>
      </c>
      <c r="IIV33" t="s">
        <v>6984</v>
      </c>
      <c r="IIW33" t="s">
        <v>6984</v>
      </c>
      <c r="IIX33" t="s">
        <v>6984</v>
      </c>
      <c r="IIY33" t="s">
        <v>6984</v>
      </c>
      <c r="IIZ33" t="s">
        <v>6984</v>
      </c>
      <c r="IJA33" t="s">
        <v>6984</v>
      </c>
      <c r="IJB33" t="s">
        <v>6984</v>
      </c>
      <c r="IJC33" t="s">
        <v>6984</v>
      </c>
      <c r="IJD33" t="s">
        <v>6984</v>
      </c>
      <c r="IJE33" t="s">
        <v>6984</v>
      </c>
      <c r="IJF33" t="s">
        <v>6984</v>
      </c>
      <c r="IJG33" t="s">
        <v>6984</v>
      </c>
      <c r="IJH33" t="s">
        <v>6984</v>
      </c>
      <c r="IJI33" t="s">
        <v>6984</v>
      </c>
      <c r="IJJ33" t="s">
        <v>6984</v>
      </c>
      <c r="IJK33" t="s">
        <v>6984</v>
      </c>
      <c r="IJL33" t="s">
        <v>6984</v>
      </c>
      <c r="IJM33" t="s">
        <v>6984</v>
      </c>
      <c r="IJN33" t="s">
        <v>6984</v>
      </c>
      <c r="IJO33" t="s">
        <v>6984</v>
      </c>
      <c r="IJP33" t="s">
        <v>6984</v>
      </c>
      <c r="IJQ33" t="s">
        <v>6984</v>
      </c>
      <c r="IJR33" t="s">
        <v>6984</v>
      </c>
      <c r="IJS33" t="s">
        <v>6984</v>
      </c>
      <c r="IJT33" t="s">
        <v>6984</v>
      </c>
      <c r="IJU33" t="s">
        <v>6984</v>
      </c>
      <c r="IJV33" t="s">
        <v>6984</v>
      </c>
      <c r="IJW33" t="s">
        <v>6984</v>
      </c>
      <c r="IJX33" t="s">
        <v>6984</v>
      </c>
      <c r="IJY33" t="s">
        <v>6984</v>
      </c>
      <c r="IJZ33" t="s">
        <v>6984</v>
      </c>
      <c r="IKA33" t="s">
        <v>6984</v>
      </c>
      <c r="IKB33" t="s">
        <v>6984</v>
      </c>
      <c r="IKC33" t="s">
        <v>6984</v>
      </c>
      <c r="IKD33" t="s">
        <v>6984</v>
      </c>
      <c r="IKE33" t="s">
        <v>6984</v>
      </c>
      <c r="IKF33" t="s">
        <v>6984</v>
      </c>
      <c r="IKG33" t="s">
        <v>6984</v>
      </c>
      <c r="IKH33" t="s">
        <v>6984</v>
      </c>
      <c r="IKI33" t="s">
        <v>6984</v>
      </c>
      <c r="IKJ33" t="s">
        <v>6984</v>
      </c>
      <c r="IKK33" t="s">
        <v>6984</v>
      </c>
      <c r="IKL33" t="s">
        <v>6984</v>
      </c>
      <c r="IKM33" t="s">
        <v>6984</v>
      </c>
      <c r="IKN33" t="s">
        <v>6984</v>
      </c>
      <c r="IKO33" t="s">
        <v>6984</v>
      </c>
      <c r="IKP33" t="s">
        <v>6984</v>
      </c>
      <c r="IKQ33" t="s">
        <v>6984</v>
      </c>
      <c r="IKR33" t="s">
        <v>6984</v>
      </c>
      <c r="IKS33" t="s">
        <v>6984</v>
      </c>
      <c r="IKT33" t="s">
        <v>6984</v>
      </c>
      <c r="IKU33" t="s">
        <v>6984</v>
      </c>
      <c r="IKV33" t="s">
        <v>6984</v>
      </c>
      <c r="IKW33" t="s">
        <v>6984</v>
      </c>
      <c r="IKX33" t="s">
        <v>6984</v>
      </c>
      <c r="IKY33" t="s">
        <v>6984</v>
      </c>
      <c r="IKZ33" t="s">
        <v>6984</v>
      </c>
      <c r="ILA33" t="s">
        <v>6984</v>
      </c>
      <c r="ILB33" t="s">
        <v>6984</v>
      </c>
      <c r="ILC33" t="s">
        <v>6984</v>
      </c>
      <c r="ILD33" t="s">
        <v>6984</v>
      </c>
      <c r="ILE33" t="s">
        <v>6984</v>
      </c>
      <c r="ILF33" t="s">
        <v>6984</v>
      </c>
      <c r="ILG33" t="s">
        <v>6984</v>
      </c>
      <c r="ILH33" t="s">
        <v>6984</v>
      </c>
      <c r="ILI33" t="s">
        <v>6984</v>
      </c>
      <c r="ILJ33" t="s">
        <v>6984</v>
      </c>
      <c r="ILK33" t="s">
        <v>6984</v>
      </c>
      <c r="ILL33" t="s">
        <v>6984</v>
      </c>
      <c r="ILM33" t="s">
        <v>6984</v>
      </c>
      <c r="ILN33" t="s">
        <v>6984</v>
      </c>
      <c r="ILO33" t="s">
        <v>6984</v>
      </c>
      <c r="ILP33" t="s">
        <v>6984</v>
      </c>
      <c r="ILQ33" t="s">
        <v>6984</v>
      </c>
      <c r="ILR33" t="s">
        <v>6984</v>
      </c>
      <c r="ILS33" t="s">
        <v>6984</v>
      </c>
      <c r="ILT33" t="s">
        <v>6984</v>
      </c>
      <c r="ILU33" t="s">
        <v>6984</v>
      </c>
      <c r="ILV33" t="s">
        <v>6984</v>
      </c>
      <c r="ILW33" t="s">
        <v>6984</v>
      </c>
      <c r="ILX33" t="s">
        <v>6984</v>
      </c>
      <c r="ILY33" t="s">
        <v>6984</v>
      </c>
      <c r="ILZ33" t="s">
        <v>6984</v>
      </c>
      <c r="IMA33" t="s">
        <v>6984</v>
      </c>
      <c r="IMB33" t="s">
        <v>6984</v>
      </c>
      <c r="IMC33" t="s">
        <v>6984</v>
      </c>
      <c r="IMD33" t="s">
        <v>6984</v>
      </c>
      <c r="IME33" t="s">
        <v>6984</v>
      </c>
      <c r="IMF33" t="s">
        <v>6984</v>
      </c>
      <c r="IMG33" t="s">
        <v>6984</v>
      </c>
      <c r="IMH33" t="s">
        <v>6984</v>
      </c>
      <c r="IMI33" t="s">
        <v>6984</v>
      </c>
      <c r="IMJ33" t="s">
        <v>6984</v>
      </c>
      <c r="IMK33" t="s">
        <v>6984</v>
      </c>
      <c r="IML33" t="s">
        <v>6984</v>
      </c>
      <c r="IMM33" t="s">
        <v>6984</v>
      </c>
      <c r="IMN33" t="s">
        <v>6984</v>
      </c>
      <c r="IMO33" t="s">
        <v>6984</v>
      </c>
      <c r="IMP33" t="s">
        <v>6984</v>
      </c>
      <c r="IMQ33" t="s">
        <v>6984</v>
      </c>
      <c r="IMR33" t="s">
        <v>6984</v>
      </c>
      <c r="IMS33" t="s">
        <v>6984</v>
      </c>
      <c r="IMT33" t="s">
        <v>6984</v>
      </c>
      <c r="IMU33" t="s">
        <v>6984</v>
      </c>
      <c r="IMV33" t="s">
        <v>6984</v>
      </c>
      <c r="IMW33" t="s">
        <v>6984</v>
      </c>
      <c r="IMX33" t="s">
        <v>6984</v>
      </c>
      <c r="IMY33" t="s">
        <v>6984</v>
      </c>
      <c r="IMZ33" t="s">
        <v>6984</v>
      </c>
      <c r="INA33" t="s">
        <v>6984</v>
      </c>
      <c r="INB33" t="s">
        <v>6984</v>
      </c>
      <c r="INC33" t="s">
        <v>6984</v>
      </c>
      <c r="IND33" t="s">
        <v>6984</v>
      </c>
      <c r="INE33" t="s">
        <v>6984</v>
      </c>
      <c r="INF33" t="s">
        <v>6984</v>
      </c>
      <c r="ING33" t="s">
        <v>6984</v>
      </c>
      <c r="INH33" t="s">
        <v>6984</v>
      </c>
      <c r="INI33" t="s">
        <v>6984</v>
      </c>
      <c r="INJ33" t="s">
        <v>6984</v>
      </c>
      <c r="INK33" t="s">
        <v>6984</v>
      </c>
      <c r="INL33" t="s">
        <v>6984</v>
      </c>
      <c r="INM33" t="s">
        <v>6984</v>
      </c>
      <c r="INN33" t="s">
        <v>6984</v>
      </c>
      <c r="INO33" t="s">
        <v>6984</v>
      </c>
      <c r="INP33" t="s">
        <v>6984</v>
      </c>
      <c r="INQ33" t="s">
        <v>6984</v>
      </c>
      <c r="INR33" t="s">
        <v>6984</v>
      </c>
      <c r="INS33" t="s">
        <v>6984</v>
      </c>
      <c r="INT33" t="s">
        <v>6984</v>
      </c>
      <c r="INU33" t="s">
        <v>6984</v>
      </c>
      <c r="INV33" t="s">
        <v>6984</v>
      </c>
      <c r="INW33" t="s">
        <v>6984</v>
      </c>
      <c r="INX33" t="s">
        <v>6984</v>
      </c>
      <c r="INY33" t="s">
        <v>6984</v>
      </c>
      <c r="INZ33" t="s">
        <v>6984</v>
      </c>
      <c r="IOA33" t="s">
        <v>6984</v>
      </c>
      <c r="IOB33" t="s">
        <v>6984</v>
      </c>
      <c r="IOC33" t="s">
        <v>6984</v>
      </c>
      <c r="IOD33" t="s">
        <v>6984</v>
      </c>
      <c r="IOE33" t="s">
        <v>6984</v>
      </c>
      <c r="IOF33" t="s">
        <v>6984</v>
      </c>
      <c r="IOG33" t="s">
        <v>6984</v>
      </c>
      <c r="IOH33" t="s">
        <v>6984</v>
      </c>
      <c r="IOI33" t="s">
        <v>6984</v>
      </c>
      <c r="IOJ33" t="s">
        <v>6984</v>
      </c>
      <c r="IOK33" t="s">
        <v>6984</v>
      </c>
      <c r="IOL33" t="s">
        <v>6984</v>
      </c>
      <c r="IOM33" t="s">
        <v>6984</v>
      </c>
      <c r="ION33" t="s">
        <v>6984</v>
      </c>
      <c r="IOO33" t="s">
        <v>6984</v>
      </c>
      <c r="IOP33" t="s">
        <v>6984</v>
      </c>
      <c r="IOQ33" t="s">
        <v>6984</v>
      </c>
      <c r="IOR33" t="s">
        <v>6984</v>
      </c>
      <c r="IOS33" t="s">
        <v>6984</v>
      </c>
      <c r="IOT33" t="s">
        <v>6984</v>
      </c>
      <c r="IOU33" t="s">
        <v>6984</v>
      </c>
      <c r="IOV33" t="s">
        <v>6984</v>
      </c>
      <c r="IOW33" t="s">
        <v>6984</v>
      </c>
      <c r="IOX33" t="s">
        <v>6984</v>
      </c>
      <c r="IOY33" t="s">
        <v>6984</v>
      </c>
      <c r="IOZ33" t="s">
        <v>6984</v>
      </c>
      <c r="IPA33" t="s">
        <v>6984</v>
      </c>
      <c r="IPB33" t="s">
        <v>6984</v>
      </c>
      <c r="IPC33" t="s">
        <v>6984</v>
      </c>
      <c r="IPD33" t="s">
        <v>6984</v>
      </c>
      <c r="IPE33" t="s">
        <v>6984</v>
      </c>
      <c r="IPF33" t="s">
        <v>6984</v>
      </c>
      <c r="IPG33" t="s">
        <v>6984</v>
      </c>
      <c r="IPH33" t="s">
        <v>6984</v>
      </c>
      <c r="IPI33" t="s">
        <v>6984</v>
      </c>
      <c r="IPJ33" t="s">
        <v>6984</v>
      </c>
      <c r="IPK33" t="s">
        <v>6984</v>
      </c>
      <c r="IPL33" t="s">
        <v>6984</v>
      </c>
      <c r="IPM33" t="s">
        <v>6984</v>
      </c>
      <c r="IPN33" t="s">
        <v>6984</v>
      </c>
      <c r="IPO33" t="s">
        <v>6984</v>
      </c>
      <c r="IPP33" t="s">
        <v>6984</v>
      </c>
      <c r="IPQ33" t="s">
        <v>6984</v>
      </c>
      <c r="IPR33" t="s">
        <v>6984</v>
      </c>
      <c r="IPS33" t="s">
        <v>6984</v>
      </c>
      <c r="IPT33" t="s">
        <v>6984</v>
      </c>
      <c r="IPU33" t="s">
        <v>6984</v>
      </c>
      <c r="IPV33" t="s">
        <v>6984</v>
      </c>
      <c r="IPW33" t="s">
        <v>6984</v>
      </c>
      <c r="IPX33" t="s">
        <v>6984</v>
      </c>
      <c r="IPY33" t="s">
        <v>6984</v>
      </c>
      <c r="IPZ33" t="s">
        <v>6984</v>
      </c>
      <c r="IQA33" t="s">
        <v>6984</v>
      </c>
      <c r="IQB33" t="s">
        <v>6984</v>
      </c>
      <c r="IQC33" t="s">
        <v>6984</v>
      </c>
      <c r="IQD33" t="s">
        <v>6984</v>
      </c>
      <c r="IQE33" t="s">
        <v>6984</v>
      </c>
      <c r="IQF33" t="s">
        <v>6984</v>
      </c>
      <c r="IQG33" t="s">
        <v>6984</v>
      </c>
      <c r="IQH33" t="s">
        <v>6984</v>
      </c>
      <c r="IQI33" t="s">
        <v>6984</v>
      </c>
      <c r="IQJ33" t="s">
        <v>6984</v>
      </c>
      <c r="IQK33" t="s">
        <v>6984</v>
      </c>
      <c r="IQL33" t="s">
        <v>6984</v>
      </c>
      <c r="IQM33" t="s">
        <v>6984</v>
      </c>
      <c r="IQN33" t="s">
        <v>6984</v>
      </c>
      <c r="IQO33" t="s">
        <v>6984</v>
      </c>
      <c r="IQP33" t="s">
        <v>6984</v>
      </c>
      <c r="IQQ33" t="s">
        <v>6984</v>
      </c>
      <c r="IQR33" t="s">
        <v>6984</v>
      </c>
      <c r="IQS33" t="s">
        <v>6984</v>
      </c>
      <c r="IQT33" t="s">
        <v>6984</v>
      </c>
      <c r="IQU33" t="s">
        <v>6984</v>
      </c>
      <c r="IQV33" t="s">
        <v>6984</v>
      </c>
      <c r="IQW33" t="s">
        <v>6984</v>
      </c>
      <c r="IQX33" t="s">
        <v>6984</v>
      </c>
      <c r="IQY33" t="s">
        <v>6984</v>
      </c>
      <c r="IQZ33" t="s">
        <v>6984</v>
      </c>
      <c r="IRA33" t="s">
        <v>6984</v>
      </c>
      <c r="IRB33" t="s">
        <v>6984</v>
      </c>
      <c r="IRC33" t="s">
        <v>6984</v>
      </c>
      <c r="IRD33" t="s">
        <v>6984</v>
      </c>
      <c r="IRE33" t="s">
        <v>6984</v>
      </c>
      <c r="IRF33" t="s">
        <v>6984</v>
      </c>
      <c r="IRG33" t="s">
        <v>6984</v>
      </c>
      <c r="IRH33" t="s">
        <v>6984</v>
      </c>
      <c r="IRI33" t="s">
        <v>6984</v>
      </c>
      <c r="IRJ33" t="s">
        <v>6984</v>
      </c>
      <c r="IRK33" t="s">
        <v>6984</v>
      </c>
      <c r="IRL33" t="s">
        <v>6984</v>
      </c>
      <c r="IRM33" t="s">
        <v>6984</v>
      </c>
      <c r="IRN33" t="s">
        <v>6984</v>
      </c>
      <c r="IRO33" t="s">
        <v>6984</v>
      </c>
      <c r="IRP33" t="s">
        <v>6984</v>
      </c>
      <c r="IRQ33" t="s">
        <v>6984</v>
      </c>
      <c r="IRR33" t="s">
        <v>6984</v>
      </c>
      <c r="IRS33" t="s">
        <v>6984</v>
      </c>
      <c r="IRT33" t="s">
        <v>6984</v>
      </c>
      <c r="IRU33" t="s">
        <v>6984</v>
      </c>
      <c r="IRV33" t="s">
        <v>6984</v>
      </c>
      <c r="IRW33" t="s">
        <v>6984</v>
      </c>
      <c r="IRX33" t="s">
        <v>6984</v>
      </c>
      <c r="IRY33" t="s">
        <v>6984</v>
      </c>
      <c r="IRZ33" t="s">
        <v>6984</v>
      </c>
      <c r="ISA33" t="s">
        <v>6984</v>
      </c>
      <c r="ISB33" t="s">
        <v>6984</v>
      </c>
      <c r="ISC33" t="s">
        <v>6984</v>
      </c>
      <c r="ISD33" t="s">
        <v>6984</v>
      </c>
      <c r="ISE33" t="s">
        <v>6984</v>
      </c>
      <c r="ISF33" t="s">
        <v>6984</v>
      </c>
      <c r="ISG33" t="s">
        <v>6984</v>
      </c>
      <c r="ISH33" t="s">
        <v>6984</v>
      </c>
      <c r="ISI33" t="s">
        <v>6984</v>
      </c>
      <c r="ISJ33" t="s">
        <v>6984</v>
      </c>
      <c r="ISK33" t="s">
        <v>6984</v>
      </c>
      <c r="ISL33" t="s">
        <v>6984</v>
      </c>
      <c r="ISM33" t="s">
        <v>6984</v>
      </c>
      <c r="ISN33" t="s">
        <v>6984</v>
      </c>
      <c r="ISO33" t="s">
        <v>6984</v>
      </c>
      <c r="ISP33" t="s">
        <v>6984</v>
      </c>
      <c r="ISQ33" t="s">
        <v>6984</v>
      </c>
      <c r="ISR33" t="s">
        <v>6984</v>
      </c>
      <c r="ISS33" t="s">
        <v>6984</v>
      </c>
      <c r="IST33" t="s">
        <v>6984</v>
      </c>
      <c r="ISU33" t="s">
        <v>6984</v>
      </c>
      <c r="ISV33" t="s">
        <v>6984</v>
      </c>
      <c r="ISW33" t="s">
        <v>6984</v>
      </c>
      <c r="ISX33" t="s">
        <v>6984</v>
      </c>
      <c r="ISY33" t="s">
        <v>6984</v>
      </c>
      <c r="ISZ33" t="s">
        <v>6984</v>
      </c>
      <c r="ITA33" t="s">
        <v>6984</v>
      </c>
      <c r="ITB33" t="s">
        <v>6984</v>
      </c>
      <c r="ITC33" t="s">
        <v>6984</v>
      </c>
      <c r="ITD33" t="s">
        <v>6984</v>
      </c>
      <c r="ITE33" t="s">
        <v>6984</v>
      </c>
      <c r="ITF33" t="s">
        <v>6984</v>
      </c>
      <c r="ITG33" t="s">
        <v>6984</v>
      </c>
      <c r="ITH33" t="s">
        <v>6984</v>
      </c>
      <c r="ITI33" t="s">
        <v>6984</v>
      </c>
      <c r="ITJ33" t="s">
        <v>6984</v>
      </c>
      <c r="ITK33" t="s">
        <v>6984</v>
      </c>
      <c r="ITL33" t="s">
        <v>6984</v>
      </c>
      <c r="ITM33" t="s">
        <v>6984</v>
      </c>
      <c r="ITN33" t="s">
        <v>6984</v>
      </c>
      <c r="ITO33" t="s">
        <v>6984</v>
      </c>
      <c r="ITP33" t="s">
        <v>6984</v>
      </c>
      <c r="ITQ33" t="s">
        <v>6984</v>
      </c>
      <c r="ITR33" t="s">
        <v>6984</v>
      </c>
      <c r="ITS33" t="s">
        <v>6984</v>
      </c>
      <c r="ITT33" t="s">
        <v>6984</v>
      </c>
      <c r="ITU33" t="s">
        <v>6984</v>
      </c>
      <c r="ITV33" t="s">
        <v>6984</v>
      </c>
      <c r="ITW33" t="s">
        <v>6984</v>
      </c>
      <c r="ITX33" t="s">
        <v>6984</v>
      </c>
      <c r="ITY33" t="s">
        <v>6984</v>
      </c>
      <c r="ITZ33" t="s">
        <v>6984</v>
      </c>
      <c r="IUA33" t="s">
        <v>6984</v>
      </c>
      <c r="IUB33" t="s">
        <v>6984</v>
      </c>
      <c r="IUC33" t="s">
        <v>6984</v>
      </c>
      <c r="IUD33" t="s">
        <v>6984</v>
      </c>
      <c r="IUE33" t="s">
        <v>6984</v>
      </c>
      <c r="IUF33" t="s">
        <v>6984</v>
      </c>
      <c r="IUG33" t="s">
        <v>6984</v>
      </c>
      <c r="IUH33" t="s">
        <v>6984</v>
      </c>
      <c r="IUI33" t="s">
        <v>6984</v>
      </c>
      <c r="IUJ33" t="s">
        <v>6984</v>
      </c>
      <c r="IUK33" t="s">
        <v>6984</v>
      </c>
      <c r="IUL33" t="s">
        <v>6984</v>
      </c>
      <c r="IUM33" t="s">
        <v>6984</v>
      </c>
      <c r="IUN33" t="s">
        <v>6984</v>
      </c>
      <c r="IUO33" t="s">
        <v>6984</v>
      </c>
      <c r="IUP33" t="s">
        <v>6984</v>
      </c>
      <c r="IUQ33" t="s">
        <v>6984</v>
      </c>
      <c r="IUR33" t="s">
        <v>6984</v>
      </c>
      <c r="IUS33" t="s">
        <v>6984</v>
      </c>
      <c r="IUT33" t="s">
        <v>6984</v>
      </c>
      <c r="IUU33" t="s">
        <v>6984</v>
      </c>
      <c r="IUV33" t="s">
        <v>6984</v>
      </c>
      <c r="IUW33" t="s">
        <v>6984</v>
      </c>
      <c r="IUX33" t="s">
        <v>6984</v>
      </c>
      <c r="IUY33" t="s">
        <v>6984</v>
      </c>
      <c r="IUZ33" t="s">
        <v>6984</v>
      </c>
      <c r="IVA33" t="s">
        <v>6984</v>
      </c>
      <c r="IVB33" t="s">
        <v>6984</v>
      </c>
      <c r="IVC33" t="s">
        <v>6984</v>
      </c>
      <c r="IVD33" t="s">
        <v>6984</v>
      </c>
      <c r="IVE33" t="s">
        <v>6984</v>
      </c>
      <c r="IVF33" t="s">
        <v>6984</v>
      </c>
      <c r="IVG33" t="s">
        <v>6984</v>
      </c>
      <c r="IVH33" t="s">
        <v>6984</v>
      </c>
      <c r="IVI33" t="s">
        <v>6984</v>
      </c>
      <c r="IVJ33" t="s">
        <v>6984</v>
      </c>
      <c r="IVK33" t="s">
        <v>6984</v>
      </c>
      <c r="IVL33" t="s">
        <v>6984</v>
      </c>
      <c r="IVM33" t="s">
        <v>6984</v>
      </c>
      <c r="IVN33" t="s">
        <v>6984</v>
      </c>
      <c r="IVO33" t="s">
        <v>6984</v>
      </c>
      <c r="IVP33" t="s">
        <v>6984</v>
      </c>
      <c r="IVQ33" t="s">
        <v>6984</v>
      </c>
      <c r="IVR33" t="s">
        <v>6984</v>
      </c>
      <c r="IVS33" t="s">
        <v>6984</v>
      </c>
      <c r="IVT33" t="s">
        <v>6984</v>
      </c>
      <c r="IVU33" t="s">
        <v>6984</v>
      </c>
      <c r="IVV33" t="s">
        <v>6984</v>
      </c>
      <c r="IVW33" t="s">
        <v>6984</v>
      </c>
      <c r="IVX33" t="s">
        <v>6984</v>
      </c>
      <c r="IVY33" t="s">
        <v>6984</v>
      </c>
      <c r="IVZ33" t="s">
        <v>6984</v>
      </c>
      <c r="IWA33" t="s">
        <v>6984</v>
      </c>
      <c r="IWB33" t="s">
        <v>6984</v>
      </c>
      <c r="IWC33" t="s">
        <v>6984</v>
      </c>
      <c r="IWD33" t="s">
        <v>6984</v>
      </c>
      <c r="IWE33" t="s">
        <v>6984</v>
      </c>
      <c r="IWF33" t="s">
        <v>6984</v>
      </c>
      <c r="IWG33" t="s">
        <v>6984</v>
      </c>
      <c r="IWH33" t="s">
        <v>6984</v>
      </c>
      <c r="IWI33" t="s">
        <v>6984</v>
      </c>
      <c r="IWJ33" t="s">
        <v>6984</v>
      </c>
      <c r="IWK33" t="s">
        <v>6984</v>
      </c>
      <c r="IWL33" t="s">
        <v>6984</v>
      </c>
      <c r="IWM33" t="s">
        <v>6984</v>
      </c>
      <c r="IWN33" t="s">
        <v>6984</v>
      </c>
      <c r="IWO33" t="s">
        <v>6984</v>
      </c>
      <c r="IWP33" t="s">
        <v>6984</v>
      </c>
      <c r="IWQ33" t="s">
        <v>6984</v>
      </c>
      <c r="IWR33" t="s">
        <v>6984</v>
      </c>
      <c r="IWS33" t="s">
        <v>6984</v>
      </c>
      <c r="IWT33" t="s">
        <v>6984</v>
      </c>
      <c r="IWU33" t="s">
        <v>6984</v>
      </c>
      <c r="IWV33" t="s">
        <v>6984</v>
      </c>
      <c r="IWW33" t="s">
        <v>6984</v>
      </c>
      <c r="IWX33" t="s">
        <v>6984</v>
      </c>
      <c r="IWY33" t="s">
        <v>6984</v>
      </c>
      <c r="IWZ33" t="s">
        <v>6984</v>
      </c>
      <c r="IXA33" t="s">
        <v>6984</v>
      </c>
      <c r="IXB33" t="s">
        <v>6984</v>
      </c>
      <c r="IXC33" t="s">
        <v>6984</v>
      </c>
      <c r="IXD33" t="s">
        <v>6984</v>
      </c>
      <c r="IXE33" t="s">
        <v>6984</v>
      </c>
      <c r="IXF33" t="s">
        <v>6984</v>
      </c>
      <c r="IXG33" t="s">
        <v>6984</v>
      </c>
      <c r="IXH33" t="s">
        <v>6984</v>
      </c>
      <c r="IXI33" t="s">
        <v>6984</v>
      </c>
      <c r="IXJ33" t="s">
        <v>6984</v>
      </c>
      <c r="IXK33" t="s">
        <v>6984</v>
      </c>
      <c r="IXL33" t="s">
        <v>6984</v>
      </c>
      <c r="IXM33" t="s">
        <v>6984</v>
      </c>
      <c r="IXN33" t="s">
        <v>6984</v>
      </c>
      <c r="IXO33" t="s">
        <v>6984</v>
      </c>
      <c r="IXP33" t="s">
        <v>6984</v>
      </c>
      <c r="IXQ33" t="s">
        <v>6984</v>
      </c>
      <c r="IXR33" t="s">
        <v>6984</v>
      </c>
      <c r="IXS33" t="s">
        <v>6984</v>
      </c>
      <c r="IXT33" t="s">
        <v>6984</v>
      </c>
      <c r="IXU33" t="s">
        <v>6984</v>
      </c>
      <c r="IXV33" t="s">
        <v>6984</v>
      </c>
      <c r="IXW33" t="s">
        <v>6984</v>
      </c>
      <c r="IXX33" t="s">
        <v>6984</v>
      </c>
      <c r="IXY33" t="s">
        <v>6984</v>
      </c>
      <c r="IXZ33" t="s">
        <v>6984</v>
      </c>
      <c r="IYA33" t="s">
        <v>6984</v>
      </c>
      <c r="IYB33" t="s">
        <v>6984</v>
      </c>
      <c r="IYC33" t="s">
        <v>6984</v>
      </c>
      <c r="IYD33" t="s">
        <v>6984</v>
      </c>
      <c r="IYE33" t="s">
        <v>6984</v>
      </c>
      <c r="IYF33" t="s">
        <v>6984</v>
      </c>
      <c r="IYG33" t="s">
        <v>6984</v>
      </c>
      <c r="IYH33" t="s">
        <v>6984</v>
      </c>
      <c r="IYI33" t="s">
        <v>6984</v>
      </c>
      <c r="IYJ33" t="s">
        <v>6984</v>
      </c>
      <c r="IYK33" t="s">
        <v>6984</v>
      </c>
      <c r="IYL33" t="s">
        <v>6984</v>
      </c>
      <c r="IYM33" t="s">
        <v>6984</v>
      </c>
      <c r="IYN33" t="s">
        <v>6984</v>
      </c>
      <c r="IYO33" t="s">
        <v>6984</v>
      </c>
      <c r="IYP33" t="s">
        <v>6984</v>
      </c>
      <c r="IYQ33" t="s">
        <v>6984</v>
      </c>
      <c r="IYR33" t="s">
        <v>6984</v>
      </c>
      <c r="IYS33" t="s">
        <v>6984</v>
      </c>
      <c r="IYT33" t="s">
        <v>6984</v>
      </c>
      <c r="IYU33" t="s">
        <v>6984</v>
      </c>
      <c r="IYV33" t="s">
        <v>6984</v>
      </c>
      <c r="IYW33" t="s">
        <v>6984</v>
      </c>
      <c r="IYX33" t="s">
        <v>6984</v>
      </c>
      <c r="IYY33" t="s">
        <v>6984</v>
      </c>
      <c r="IYZ33" t="s">
        <v>6984</v>
      </c>
      <c r="IZA33" t="s">
        <v>6984</v>
      </c>
      <c r="IZB33" t="s">
        <v>6984</v>
      </c>
      <c r="IZC33" t="s">
        <v>6984</v>
      </c>
      <c r="IZD33" t="s">
        <v>6984</v>
      </c>
      <c r="IZE33" t="s">
        <v>6984</v>
      </c>
      <c r="IZF33" t="s">
        <v>6984</v>
      </c>
      <c r="IZG33" t="s">
        <v>6984</v>
      </c>
      <c r="IZH33" t="s">
        <v>6984</v>
      </c>
      <c r="IZI33" t="s">
        <v>6984</v>
      </c>
      <c r="IZJ33" t="s">
        <v>6984</v>
      </c>
      <c r="IZK33" t="s">
        <v>6984</v>
      </c>
      <c r="IZL33" t="s">
        <v>6984</v>
      </c>
      <c r="IZM33" t="s">
        <v>6984</v>
      </c>
      <c r="IZN33" t="s">
        <v>6984</v>
      </c>
      <c r="IZO33" t="s">
        <v>6984</v>
      </c>
      <c r="IZP33" t="s">
        <v>6984</v>
      </c>
      <c r="IZQ33" t="s">
        <v>6984</v>
      </c>
      <c r="IZR33" t="s">
        <v>6984</v>
      </c>
      <c r="IZS33" t="s">
        <v>6984</v>
      </c>
      <c r="IZT33" t="s">
        <v>6984</v>
      </c>
      <c r="IZU33" t="s">
        <v>6984</v>
      </c>
      <c r="IZV33" t="s">
        <v>6984</v>
      </c>
      <c r="IZW33" t="s">
        <v>6984</v>
      </c>
      <c r="IZX33" t="s">
        <v>6984</v>
      </c>
      <c r="IZY33" t="s">
        <v>6984</v>
      </c>
      <c r="IZZ33" t="s">
        <v>6984</v>
      </c>
      <c r="JAA33" t="s">
        <v>6984</v>
      </c>
      <c r="JAB33" t="s">
        <v>6984</v>
      </c>
      <c r="JAC33" t="s">
        <v>6984</v>
      </c>
      <c r="JAD33" t="s">
        <v>6984</v>
      </c>
      <c r="JAE33" t="s">
        <v>6984</v>
      </c>
      <c r="JAF33" t="s">
        <v>6984</v>
      </c>
      <c r="JAG33" t="s">
        <v>6984</v>
      </c>
      <c r="JAH33" t="s">
        <v>6984</v>
      </c>
      <c r="JAI33" t="s">
        <v>6984</v>
      </c>
      <c r="JAJ33" t="s">
        <v>6984</v>
      </c>
      <c r="JAK33" t="s">
        <v>6984</v>
      </c>
      <c r="JAL33" t="s">
        <v>6984</v>
      </c>
      <c r="JAM33" t="s">
        <v>6984</v>
      </c>
      <c r="JAN33" t="s">
        <v>6984</v>
      </c>
      <c r="JAO33" t="s">
        <v>6984</v>
      </c>
      <c r="JAP33" t="s">
        <v>6984</v>
      </c>
      <c r="JAQ33" t="s">
        <v>6984</v>
      </c>
      <c r="JAR33" t="s">
        <v>6984</v>
      </c>
      <c r="JAS33" t="s">
        <v>6984</v>
      </c>
      <c r="JAT33" t="s">
        <v>6984</v>
      </c>
      <c r="JAU33" t="s">
        <v>6984</v>
      </c>
      <c r="JAV33" t="s">
        <v>6984</v>
      </c>
      <c r="JAW33" t="s">
        <v>6984</v>
      </c>
      <c r="JAX33" t="s">
        <v>6984</v>
      </c>
      <c r="JAY33" t="s">
        <v>6984</v>
      </c>
      <c r="JAZ33" t="s">
        <v>6984</v>
      </c>
      <c r="JBA33" t="s">
        <v>6984</v>
      </c>
      <c r="JBB33" t="s">
        <v>6984</v>
      </c>
      <c r="JBC33" t="s">
        <v>6984</v>
      </c>
      <c r="JBD33" t="s">
        <v>6984</v>
      </c>
      <c r="JBE33" t="s">
        <v>6984</v>
      </c>
      <c r="JBF33" t="s">
        <v>6984</v>
      </c>
      <c r="JBG33" t="s">
        <v>6984</v>
      </c>
      <c r="JBH33" t="s">
        <v>6984</v>
      </c>
      <c r="JBI33" t="s">
        <v>6984</v>
      </c>
      <c r="JBJ33" t="s">
        <v>6984</v>
      </c>
      <c r="JBK33" t="s">
        <v>6984</v>
      </c>
      <c r="JBL33" t="s">
        <v>6984</v>
      </c>
      <c r="JBM33" t="s">
        <v>6984</v>
      </c>
      <c r="JBN33" t="s">
        <v>6984</v>
      </c>
      <c r="JBO33" t="s">
        <v>6984</v>
      </c>
      <c r="JBP33" t="s">
        <v>6984</v>
      </c>
      <c r="JBQ33" t="s">
        <v>6984</v>
      </c>
      <c r="JBR33" t="s">
        <v>6984</v>
      </c>
      <c r="JBS33" t="s">
        <v>6984</v>
      </c>
      <c r="JBT33" t="s">
        <v>6984</v>
      </c>
      <c r="JBU33" t="s">
        <v>6984</v>
      </c>
      <c r="JBV33" t="s">
        <v>6984</v>
      </c>
      <c r="JBW33" t="s">
        <v>6984</v>
      </c>
      <c r="JBX33" t="s">
        <v>6984</v>
      </c>
      <c r="JBY33" t="s">
        <v>6984</v>
      </c>
      <c r="JBZ33" t="s">
        <v>6984</v>
      </c>
      <c r="JCA33" t="s">
        <v>6984</v>
      </c>
      <c r="JCB33" t="s">
        <v>6984</v>
      </c>
      <c r="JCC33" t="s">
        <v>6984</v>
      </c>
      <c r="JCD33" t="s">
        <v>6984</v>
      </c>
      <c r="JCE33" t="s">
        <v>6984</v>
      </c>
      <c r="JCF33" t="s">
        <v>6984</v>
      </c>
      <c r="JCG33" t="s">
        <v>6984</v>
      </c>
      <c r="JCH33" t="s">
        <v>6984</v>
      </c>
      <c r="JCI33" t="s">
        <v>6984</v>
      </c>
      <c r="JCJ33" t="s">
        <v>6984</v>
      </c>
      <c r="JCK33" t="s">
        <v>6984</v>
      </c>
      <c r="JCL33" t="s">
        <v>6984</v>
      </c>
      <c r="JCM33" t="s">
        <v>6984</v>
      </c>
      <c r="JCN33" t="s">
        <v>6984</v>
      </c>
      <c r="JCO33" t="s">
        <v>6984</v>
      </c>
      <c r="JCP33" t="s">
        <v>6984</v>
      </c>
      <c r="JCQ33" t="s">
        <v>6984</v>
      </c>
      <c r="JCR33" t="s">
        <v>6984</v>
      </c>
      <c r="JCS33" t="s">
        <v>6984</v>
      </c>
      <c r="JCT33" t="s">
        <v>6984</v>
      </c>
      <c r="JCU33" t="s">
        <v>6984</v>
      </c>
      <c r="JCV33" t="s">
        <v>6984</v>
      </c>
      <c r="JCW33" t="s">
        <v>6984</v>
      </c>
      <c r="JCX33" t="s">
        <v>6984</v>
      </c>
      <c r="JCY33" t="s">
        <v>6984</v>
      </c>
      <c r="JCZ33" t="s">
        <v>6984</v>
      </c>
      <c r="JDA33" t="s">
        <v>6984</v>
      </c>
      <c r="JDB33" t="s">
        <v>6984</v>
      </c>
      <c r="JDC33" t="s">
        <v>6984</v>
      </c>
      <c r="JDD33" t="s">
        <v>6984</v>
      </c>
      <c r="JDE33" t="s">
        <v>6984</v>
      </c>
      <c r="JDF33" t="s">
        <v>6984</v>
      </c>
      <c r="JDG33" t="s">
        <v>6984</v>
      </c>
      <c r="JDH33" t="s">
        <v>6984</v>
      </c>
      <c r="JDI33" t="s">
        <v>6984</v>
      </c>
      <c r="JDJ33" t="s">
        <v>6984</v>
      </c>
      <c r="JDK33" t="s">
        <v>6984</v>
      </c>
      <c r="JDL33" t="s">
        <v>6984</v>
      </c>
      <c r="JDM33" t="s">
        <v>6984</v>
      </c>
      <c r="JDN33" t="s">
        <v>6984</v>
      </c>
      <c r="JDO33" t="s">
        <v>6984</v>
      </c>
      <c r="JDP33" t="s">
        <v>6984</v>
      </c>
      <c r="JDQ33" t="s">
        <v>6984</v>
      </c>
      <c r="JDR33" t="s">
        <v>6984</v>
      </c>
      <c r="JDS33" t="s">
        <v>6984</v>
      </c>
      <c r="JDT33" t="s">
        <v>6984</v>
      </c>
      <c r="JDU33" t="s">
        <v>6984</v>
      </c>
      <c r="JDV33" t="s">
        <v>6984</v>
      </c>
      <c r="JDW33" t="s">
        <v>6984</v>
      </c>
      <c r="JDX33" t="s">
        <v>6984</v>
      </c>
      <c r="JDY33" t="s">
        <v>6984</v>
      </c>
      <c r="JDZ33" t="s">
        <v>6984</v>
      </c>
      <c r="JEA33" t="s">
        <v>6984</v>
      </c>
      <c r="JEB33" t="s">
        <v>6984</v>
      </c>
      <c r="JEC33" t="s">
        <v>6984</v>
      </c>
      <c r="JED33" t="s">
        <v>6984</v>
      </c>
      <c r="JEE33" t="s">
        <v>6984</v>
      </c>
      <c r="JEF33" t="s">
        <v>6984</v>
      </c>
      <c r="JEG33" t="s">
        <v>6984</v>
      </c>
      <c r="JEH33" t="s">
        <v>6984</v>
      </c>
      <c r="JEI33" t="s">
        <v>6984</v>
      </c>
      <c r="JEJ33" t="s">
        <v>6984</v>
      </c>
      <c r="JEK33" t="s">
        <v>6984</v>
      </c>
      <c r="JEL33" t="s">
        <v>6984</v>
      </c>
      <c r="JEM33" t="s">
        <v>6984</v>
      </c>
      <c r="JEN33" t="s">
        <v>6984</v>
      </c>
      <c r="JEO33" t="s">
        <v>6984</v>
      </c>
      <c r="JEP33" t="s">
        <v>6984</v>
      </c>
      <c r="JEQ33" t="s">
        <v>6984</v>
      </c>
      <c r="JER33" t="s">
        <v>6984</v>
      </c>
      <c r="JES33" t="s">
        <v>6984</v>
      </c>
      <c r="JET33" t="s">
        <v>6984</v>
      </c>
      <c r="JEU33" t="s">
        <v>6984</v>
      </c>
      <c r="JEV33" t="s">
        <v>6984</v>
      </c>
      <c r="JEW33" t="s">
        <v>6984</v>
      </c>
      <c r="JEX33" t="s">
        <v>6984</v>
      </c>
      <c r="JEY33" t="s">
        <v>6984</v>
      </c>
      <c r="JEZ33" t="s">
        <v>6984</v>
      </c>
      <c r="JFA33" t="s">
        <v>6984</v>
      </c>
      <c r="JFB33" t="s">
        <v>6984</v>
      </c>
      <c r="JFC33" t="s">
        <v>6984</v>
      </c>
      <c r="JFD33" t="s">
        <v>6984</v>
      </c>
      <c r="JFE33" t="s">
        <v>6984</v>
      </c>
      <c r="JFF33" t="s">
        <v>6984</v>
      </c>
      <c r="JFG33" t="s">
        <v>6984</v>
      </c>
      <c r="JFH33" t="s">
        <v>6984</v>
      </c>
      <c r="JFI33" t="s">
        <v>6984</v>
      </c>
      <c r="JFJ33" t="s">
        <v>6984</v>
      </c>
      <c r="JFK33" t="s">
        <v>6984</v>
      </c>
      <c r="JFL33" t="s">
        <v>6984</v>
      </c>
      <c r="JFM33" t="s">
        <v>6984</v>
      </c>
      <c r="JFN33" t="s">
        <v>6984</v>
      </c>
      <c r="JFO33" t="s">
        <v>6984</v>
      </c>
      <c r="JFP33" t="s">
        <v>6984</v>
      </c>
      <c r="JFQ33" t="s">
        <v>6984</v>
      </c>
      <c r="JFR33" t="s">
        <v>6984</v>
      </c>
      <c r="JFS33" t="s">
        <v>6984</v>
      </c>
      <c r="JFT33" t="s">
        <v>6984</v>
      </c>
      <c r="JFU33" t="s">
        <v>6984</v>
      </c>
      <c r="JFV33" t="s">
        <v>6984</v>
      </c>
      <c r="JFW33" t="s">
        <v>6984</v>
      </c>
      <c r="JFX33" t="s">
        <v>6984</v>
      </c>
      <c r="JFY33" t="s">
        <v>6984</v>
      </c>
      <c r="JFZ33" t="s">
        <v>6984</v>
      </c>
      <c r="JGA33" t="s">
        <v>6984</v>
      </c>
      <c r="JGB33" t="s">
        <v>6984</v>
      </c>
      <c r="JGC33" t="s">
        <v>6984</v>
      </c>
      <c r="JGD33" t="s">
        <v>6984</v>
      </c>
      <c r="JGE33" t="s">
        <v>6984</v>
      </c>
      <c r="JGF33" t="s">
        <v>6984</v>
      </c>
      <c r="JGG33" t="s">
        <v>6984</v>
      </c>
      <c r="JGH33" t="s">
        <v>6984</v>
      </c>
      <c r="JGI33" t="s">
        <v>6984</v>
      </c>
      <c r="JGJ33" t="s">
        <v>6984</v>
      </c>
      <c r="JGK33" t="s">
        <v>6984</v>
      </c>
      <c r="JGL33" t="s">
        <v>6984</v>
      </c>
      <c r="JGM33" t="s">
        <v>6984</v>
      </c>
      <c r="JGN33" t="s">
        <v>6984</v>
      </c>
      <c r="JGO33" t="s">
        <v>6984</v>
      </c>
      <c r="JGP33" t="s">
        <v>6984</v>
      </c>
      <c r="JGQ33" t="s">
        <v>6984</v>
      </c>
      <c r="JGR33" t="s">
        <v>6984</v>
      </c>
      <c r="JGS33" t="s">
        <v>6984</v>
      </c>
      <c r="JGT33" t="s">
        <v>6984</v>
      </c>
      <c r="JGU33" t="s">
        <v>6984</v>
      </c>
      <c r="JGV33" t="s">
        <v>6984</v>
      </c>
      <c r="JGW33" t="s">
        <v>6984</v>
      </c>
      <c r="JGX33" t="s">
        <v>6984</v>
      </c>
      <c r="JGY33" t="s">
        <v>6984</v>
      </c>
      <c r="JGZ33" t="s">
        <v>6984</v>
      </c>
      <c r="JHA33" t="s">
        <v>6984</v>
      </c>
      <c r="JHB33" t="s">
        <v>6984</v>
      </c>
      <c r="JHC33" t="s">
        <v>6984</v>
      </c>
      <c r="JHD33" t="s">
        <v>6984</v>
      </c>
      <c r="JHE33" t="s">
        <v>6984</v>
      </c>
      <c r="JHF33" t="s">
        <v>6984</v>
      </c>
      <c r="JHG33" t="s">
        <v>6984</v>
      </c>
      <c r="JHH33" t="s">
        <v>6984</v>
      </c>
      <c r="JHI33" t="s">
        <v>6984</v>
      </c>
      <c r="JHJ33" t="s">
        <v>6984</v>
      </c>
      <c r="JHK33" t="s">
        <v>6984</v>
      </c>
      <c r="JHL33" t="s">
        <v>6984</v>
      </c>
      <c r="JHM33" t="s">
        <v>6984</v>
      </c>
      <c r="JHN33" t="s">
        <v>6984</v>
      </c>
      <c r="JHO33" t="s">
        <v>6984</v>
      </c>
      <c r="JHP33" t="s">
        <v>6984</v>
      </c>
      <c r="JHQ33" t="s">
        <v>6984</v>
      </c>
      <c r="JHR33" t="s">
        <v>6984</v>
      </c>
      <c r="JHS33" t="s">
        <v>6984</v>
      </c>
      <c r="JHT33" t="s">
        <v>6984</v>
      </c>
      <c r="JHU33" t="s">
        <v>6984</v>
      </c>
      <c r="JHV33" t="s">
        <v>6984</v>
      </c>
      <c r="JHW33" t="s">
        <v>6984</v>
      </c>
      <c r="JHX33" t="s">
        <v>6984</v>
      </c>
      <c r="JHY33" t="s">
        <v>6984</v>
      </c>
      <c r="JHZ33" t="s">
        <v>6984</v>
      </c>
      <c r="JIA33" t="s">
        <v>6984</v>
      </c>
      <c r="JIB33" t="s">
        <v>6984</v>
      </c>
      <c r="JIC33" t="s">
        <v>6984</v>
      </c>
      <c r="JID33" t="s">
        <v>6984</v>
      </c>
      <c r="JIE33" t="s">
        <v>6984</v>
      </c>
      <c r="JIF33" t="s">
        <v>6984</v>
      </c>
      <c r="JIG33" t="s">
        <v>6984</v>
      </c>
      <c r="JIH33" t="s">
        <v>6984</v>
      </c>
      <c r="JII33" t="s">
        <v>6984</v>
      </c>
      <c r="JIJ33" t="s">
        <v>6984</v>
      </c>
      <c r="JIK33" t="s">
        <v>6984</v>
      </c>
      <c r="JIL33" t="s">
        <v>6984</v>
      </c>
      <c r="JIM33" t="s">
        <v>6984</v>
      </c>
      <c r="JIN33" t="s">
        <v>6984</v>
      </c>
      <c r="JIO33" t="s">
        <v>6984</v>
      </c>
      <c r="JIP33" t="s">
        <v>6984</v>
      </c>
      <c r="JIQ33" t="s">
        <v>6984</v>
      </c>
      <c r="JIR33" t="s">
        <v>6984</v>
      </c>
      <c r="JIS33" t="s">
        <v>6984</v>
      </c>
      <c r="JIT33" t="s">
        <v>6984</v>
      </c>
      <c r="JIU33" t="s">
        <v>6984</v>
      </c>
      <c r="JIV33" t="s">
        <v>6984</v>
      </c>
      <c r="JIW33" t="s">
        <v>6984</v>
      </c>
      <c r="JIX33" t="s">
        <v>6984</v>
      </c>
      <c r="JIY33" t="s">
        <v>6984</v>
      </c>
      <c r="JIZ33" t="s">
        <v>6984</v>
      </c>
      <c r="JJA33" t="s">
        <v>6984</v>
      </c>
    </row>
    <row r="34" spans="1:7021" x14ac:dyDescent="0.25">
      <c r="A34" t="s">
        <v>7015</v>
      </c>
      <c r="B34">
        <v>95.55</v>
      </c>
      <c r="C34">
        <v>95.55</v>
      </c>
      <c r="D34">
        <v>95.55</v>
      </c>
      <c r="E34">
        <v>95.59</v>
      </c>
      <c r="F34">
        <v>95.534999999999997</v>
      </c>
      <c r="G34">
        <v>95.584999999999994</v>
      </c>
      <c r="H34">
        <v>95.635000000000005</v>
      </c>
      <c r="I34">
        <v>95.575000000000003</v>
      </c>
      <c r="J34">
        <v>95.525000000000006</v>
      </c>
      <c r="K34">
        <v>95.51</v>
      </c>
      <c r="L34">
        <v>95.504999999999995</v>
      </c>
      <c r="M34">
        <v>95.605000000000004</v>
      </c>
      <c r="N34">
        <v>95.63</v>
      </c>
      <c r="O34">
        <v>95.54</v>
      </c>
      <c r="P34">
        <v>95.534999999999997</v>
      </c>
      <c r="Q34">
        <v>95.594999999999999</v>
      </c>
      <c r="R34">
        <v>95.575000000000003</v>
      </c>
      <c r="S34">
        <v>95.545000000000002</v>
      </c>
      <c r="T34">
        <v>95.594999999999999</v>
      </c>
      <c r="U34">
        <v>95.504999999999995</v>
      </c>
      <c r="V34">
        <v>95.504999999999995</v>
      </c>
      <c r="W34">
        <v>95.43</v>
      </c>
      <c r="X34">
        <v>95.37</v>
      </c>
      <c r="Y34">
        <v>95.474999999999994</v>
      </c>
      <c r="Z34">
        <v>95.474999999999994</v>
      </c>
      <c r="AA34">
        <v>95.515000000000001</v>
      </c>
      <c r="AB34">
        <v>95.495000000000005</v>
      </c>
      <c r="AC34">
        <v>95.424999999999997</v>
      </c>
      <c r="AD34">
        <v>95.46</v>
      </c>
      <c r="AE34">
        <v>95.51</v>
      </c>
      <c r="AF34">
        <v>95.564999999999998</v>
      </c>
      <c r="AG34">
        <v>95.564999999999998</v>
      </c>
      <c r="AH34">
        <v>95.66</v>
      </c>
      <c r="AI34">
        <v>95.61</v>
      </c>
      <c r="AJ34">
        <v>95.605000000000004</v>
      </c>
      <c r="AK34">
        <v>95.64</v>
      </c>
      <c r="AL34">
        <v>95.685000000000002</v>
      </c>
      <c r="AM34">
        <v>95.734999999999999</v>
      </c>
      <c r="AN34">
        <v>95.71</v>
      </c>
      <c r="AO34">
        <v>95.65</v>
      </c>
      <c r="AP34">
        <v>95.6</v>
      </c>
      <c r="AQ34">
        <v>95.54</v>
      </c>
      <c r="AR34">
        <v>95.47</v>
      </c>
      <c r="AS34">
        <v>95.44</v>
      </c>
      <c r="AT34">
        <v>95.39</v>
      </c>
      <c r="AU34">
        <v>95.58</v>
      </c>
      <c r="AV34">
        <v>95.58</v>
      </c>
      <c r="AW34">
        <v>95.67</v>
      </c>
      <c r="AX34">
        <v>95.644999999999996</v>
      </c>
      <c r="AY34">
        <v>95.63</v>
      </c>
      <c r="AZ34">
        <v>95.525000000000006</v>
      </c>
      <c r="BA34">
        <v>95.674999999999997</v>
      </c>
      <c r="BB34">
        <v>95.644999999999996</v>
      </c>
      <c r="BC34">
        <v>95.81</v>
      </c>
      <c r="BD34">
        <v>95.9</v>
      </c>
      <c r="BE34">
        <v>96.08</v>
      </c>
      <c r="BF34">
        <v>96</v>
      </c>
      <c r="BG34">
        <v>95.86</v>
      </c>
      <c r="BH34">
        <v>95.92</v>
      </c>
      <c r="BI34">
        <v>95.814999999999998</v>
      </c>
      <c r="BJ34">
        <v>95.784999999999997</v>
      </c>
      <c r="BK34">
        <v>95.67</v>
      </c>
      <c r="BL34">
        <v>95.754999999999995</v>
      </c>
      <c r="BM34">
        <v>95.784999999999997</v>
      </c>
      <c r="BN34">
        <v>95.76</v>
      </c>
      <c r="BO34">
        <v>95.84</v>
      </c>
      <c r="BP34">
        <v>95.855000000000004</v>
      </c>
      <c r="BQ34">
        <v>95.814999999999998</v>
      </c>
      <c r="BR34">
        <v>95.81</v>
      </c>
      <c r="BS34">
        <v>95.775000000000006</v>
      </c>
      <c r="BT34">
        <v>95.75</v>
      </c>
      <c r="BU34">
        <v>95.825000000000003</v>
      </c>
      <c r="BV34">
        <v>95.795000000000002</v>
      </c>
      <c r="BW34">
        <v>95.825000000000003</v>
      </c>
      <c r="BX34">
        <v>95.92</v>
      </c>
      <c r="BY34">
        <v>95.79</v>
      </c>
      <c r="BZ34">
        <v>95.814999999999998</v>
      </c>
      <c r="CA34">
        <v>95.84</v>
      </c>
      <c r="CB34">
        <v>95.9</v>
      </c>
      <c r="CC34">
        <v>95.944999999999993</v>
      </c>
      <c r="CD34">
        <v>95.885000000000005</v>
      </c>
      <c r="CE34">
        <v>95.825000000000003</v>
      </c>
      <c r="CF34">
        <v>95.87</v>
      </c>
      <c r="CG34">
        <v>95.8</v>
      </c>
      <c r="CH34">
        <v>95.665000000000006</v>
      </c>
      <c r="CI34">
        <v>95.64</v>
      </c>
      <c r="CJ34">
        <v>95.56</v>
      </c>
      <c r="CK34">
        <v>95.51</v>
      </c>
      <c r="CL34">
        <v>95.51</v>
      </c>
      <c r="CM34">
        <v>95.584999999999994</v>
      </c>
      <c r="CN34">
        <v>95.584999999999994</v>
      </c>
      <c r="CO34">
        <v>95.53</v>
      </c>
      <c r="CP34">
        <v>95.42</v>
      </c>
      <c r="CQ34">
        <v>95.56</v>
      </c>
      <c r="CR34">
        <v>95.61</v>
      </c>
      <c r="CS34">
        <v>95.61</v>
      </c>
      <c r="CT34">
        <v>95.67</v>
      </c>
      <c r="CU34">
        <v>95.72</v>
      </c>
      <c r="CV34">
        <v>95.61</v>
      </c>
      <c r="CW34">
        <v>95.584999999999994</v>
      </c>
      <c r="CX34">
        <v>95.54</v>
      </c>
      <c r="CY34">
        <v>95.61</v>
      </c>
      <c r="CZ34">
        <v>95.564999999999998</v>
      </c>
      <c r="DA34">
        <v>95.575000000000003</v>
      </c>
      <c r="DB34">
        <v>95.6</v>
      </c>
      <c r="DC34">
        <v>95.49</v>
      </c>
      <c r="DD34">
        <v>95.49</v>
      </c>
      <c r="DE34">
        <v>95.545000000000002</v>
      </c>
      <c r="DF34">
        <v>95.575000000000003</v>
      </c>
      <c r="DG34">
        <v>95.53</v>
      </c>
      <c r="DH34">
        <v>95.53</v>
      </c>
      <c r="DI34">
        <v>95.53</v>
      </c>
      <c r="DJ34">
        <v>95.49</v>
      </c>
      <c r="DK34">
        <v>95.344999999999999</v>
      </c>
      <c r="DL34">
        <v>95.325000000000003</v>
      </c>
      <c r="DM34">
        <v>95.364999999999995</v>
      </c>
      <c r="DN34">
        <v>95.424999999999997</v>
      </c>
      <c r="DO34">
        <v>95.41</v>
      </c>
      <c r="DP34">
        <v>95.42</v>
      </c>
      <c r="DQ34">
        <v>95.5</v>
      </c>
      <c r="DR34">
        <v>95.555000000000007</v>
      </c>
      <c r="DS34">
        <v>95.564999999999998</v>
      </c>
      <c r="DT34">
        <v>95.56</v>
      </c>
      <c r="DU34">
        <v>95.56</v>
      </c>
      <c r="DV34">
        <v>95.6</v>
      </c>
      <c r="DW34">
        <v>95.52</v>
      </c>
      <c r="DX34">
        <v>95.58</v>
      </c>
      <c r="DY34">
        <v>95.564999999999998</v>
      </c>
      <c r="DZ34">
        <v>95.564999999999998</v>
      </c>
      <c r="EA34">
        <v>95.54</v>
      </c>
      <c r="EB34">
        <v>95.64</v>
      </c>
      <c r="EC34">
        <v>95.57</v>
      </c>
      <c r="ED34">
        <v>95.7</v>
      </c>
      <c r="EE34">
        <v>95.86</v>
      </c>
      <c r="EF34">
        <v>95.844999999999999</v>
      </c>
      <c r="EG34">
        <v>95.85</v>
      </c>
      <c r="EH34">
        <v>95.935000000000002</v>
      </c>
      <c r="EI34">
        <v>96</v>
      </c>
      <c r="EJ34">
        <v>96.06</v>
      </c>
      <c r="EK34">
        <v>96.084999999999994</v>
      </c>
      <c r="EL34">
        <v>96.125</v>
      </c>
      <c r="EM34">
        <v>96.09</v>
      </c>
      <c r="EN34">
        <v>96.075000000000003</v>
      </c>
      <c r="EO34">
        <v>96.05</v>
      </c>
      <c r="EP34">
        <v>96.084999999999994</v>
      </c>
      <c r="EQ34">
        <v>96.084999999999994</v>
      </c>
      <c r="ER34">
        <v>96.05</v>
      </c>
      <c r="ES34">
        <v>96.05</v>
      </c>
      <c r="ET34">
        <v>95.984999999999999</v>
      </c>
      <c r="EU34">
        <v>96.05</v>
      </c>
      <c r="EV34">
        <v>95.9</v>
      </c>
      <c r="EW34">
        <v>95.864999999999995</v>
      </c>
      <c r="EX34">
        <v>95.86</v>
      </c>
      <c r="EY34">
        <v>95.89</v>
      </c>
      <c r="EZ34">
        <v>95.855000000000004</v>
      </c>
      <c r="FA34">
        <v>95.844999999999999</v>
      </c>
      <c r="FB34">
        <v>95.85</v>
      </c>
      <c r="FC34">
        <v>95.814999999999998</v>
      </c>
      <c r="FD34">
        <v>95.84</v>
      </c>
      <c r="FE34">
        <v>95.9</v>
      </c>
      <c r="FF34">
        <v>95.95</v>
      </c>
      <c r="FG34">
        <v>95.905000000000001</v>
      </c>
      <c r="FH34">
        <v>95.8</v>
      </c>
      <c r="FI34">
        <v>95.97</v>
      </c>
      <c r="FJ34">
        <v>95.944999999999993</v>
      </c>
      <c r="FK34">
        <v>95.88</v>
      </c>
      <c r="FL34">
        <v>95.94</v>
      </c>
      <c r="FM34">
        <v>95.95</v>
      </c>
      <c r="FN34">
        <v>95.92</v>
      </c>
      <c r="FO34">
        <v>95.915000000000006</v>
      </c>
      <c r="FP34">
        <v>95.95</v>
      </c>
      <c r="FQ34">
        <v>95.974999999999994</v>
      </c>
      <c r="FR34">
        <v>95.924999999999997</v>
      </c>
      <c r="FS34">
        <v>95.954999999999998</v>
      </c>
      <c r="FT34">
        <v>95.98</v>
      </c>
      <c r="FU34">
        <v>96.094999999999999</v>
      </c>
      <c r="FV34">
        <v>96.08</v>
      </c>
      <c r="FW34">
        <v>96.18</v>
      </c>
      <c r="FX34">
        <v>96.16</v>
      </c>
      <c r="FY34">
        <v>96.064999999999998</v>
      </c>
      <c r="FZ34">
        <v>96.105000000000004</v>
      </c>
      <c r="GA34">
        <v>96.094999999999999</v>
      </c>
      <c r="GB34">
        <v>96.14</v>
      </c>
      <c r="GC34">
        <v>96.165000000000006</v>
      </c>
      <c r="GD34">
        <v>96.18</v>
      </c>
      <c r="GE34">
        <v>96.215000000000003</v>
      </c>
      <c r="GF34">
        <v>96.295000000000002</v>
      </c>
      <c r="GG34">
        <v>96.364999999999995</v>
      </c>
      <c r="GH34">
        <v>96.41</v>
      </c>
      <c r="GI34">
        <v>96.34</v>
      </c>
      <c r="GJ34">
        <v>96.38</v>
      </c>
      <c r="GK34">
        <v>96.35</v>
      </c>
      <c r="GL34">
        <v>96.33</v>
      </c>
      <c r="GM34">
        <v>96.37</v>
      </c>
      <c r="GN34">
        <v>96.375</v>
      </c>
      <c r="GO34">
        <v>96.39</v>
      </c>
      <c r="GP34">
        <v>96.37</v>
      </c>
      <c r="GQ34">
        <v>96.444999999999993</v>
      </c>
      <c r="GR34">
        <v>96.495000000000005</v>
      </c>
      <c r="GS34">
        <v>96.484999999999999</v>
      </c>
      <c r="GT34">
        <v>96.465000000000003</v>
      </c>
      <c r="GU34">
        <v>96.46</v>
      </c>
      <c r="GV34">
        <v>96.49</v>
      </c>
      <c r="GW34">
        <v>96.495000000000005</v>
      </c>
      <c r="GX34">
        <v>96.44</v>
      </c>
      <c r="GY34">
        <v>96.415000000000006</v>
      </c>
      <c r="GZ34">
        <v>96.43</v>
      </c>
      <c r="HA34">
        <v>96.394999999999996</v>
      </c>
      <c r="HB34">
        <v>96.344999999999999</v>
      </c>
      <c r="HC34">
        <v>96.265000000000001</v>
      </c>
      <c r="HD34">
        <v>96.265000000000001</v>
      </c>
      <c r="HE34">
        <v>96.31</v>
      </c>
      <c r="HF34">
        <v>96.325000000000003</v>
      </c>
      <c r="HG34">
        <v>96.34</v>
      </c>
      <c r="HH34">
        <v>96.36</v>
      </c>
      <c r="HI34">
        <v>96.35</v>
      </c>
      <c r="HJ34">
        <v>96.29</v>
      </c>
      <c r="HK34">
        <v>96.364999999999995</v>
      </c>
      <c r="HL34">
        <v>96.34</v>
      </c>
      <c r="HM34">
        <v>96.29</v>
      </c>
      <c r="HN34">
        <v>96.25</v>
      </c>
      <c r="HO34">
        <v>96.21</v>
      </c>
      <c r="HP34">
        <v>96.28</v>
      </c>
      <c r="HQ34">
        <v>96.245000000000005</v>
      </c>
      <c r="HR34">
        <v>96.215000000000003</v>
      </c>
      <c r="HS34">
        <v>96.174999999999997</v>
      </c>
      <c r="HT34">
        <v>96.094999999999999</v>
      </c>
      <c r="HU34">
        <v>96.105000000000004</v>
      </c>
      <c r="HV34">
        <v>96.2</v>
      </c>
      <c r="HW34">
        <v>96.3</v>
      </c>
      <c r="HX34">
        <v>96.305000000000007</v>
      </c>
      <c r="HY34">
        <v>96.18</v>
      </c>
      <c r="HZ34">
        <v>96.08</v>
      </c>
      <c r="IA34">
        <v>96.045000000000002</v>
      </c>
      <c r="IB34">
        <v>96.01</v>
      </c>
      <c r="IC34">
        <v>95.984999999999999</v>
      </c>
      <c r="ID34">
        <v>95.944999999999993</v>
      </c>
      <c r="IE34">
        <v>95.905000000000001</v>
      </c>
      <c r="IF34">
        <v>95.995000000000005</v>
      </c>
      <c r="IG34">
        <v>95.98</v>
      </c>
      <c r="IH34">
        <v>95.99</v>
      </c>
      <c r="II34">
        <v>96.04</v>
      </c>
      <c r="IJ34">
        <v>96.094999999999999</v>
      </c>
      <c r="IK34">
        <v>96.07</v>
      </c>
      <c r="IL34">
        <v>95.995000000000005</v>
      </c>
      <c r="IM34">
        <v>96.04</v>
      </c>
      <c r="IN34">
        <v>96.06</v>
      </c>
      <c r="IO34">
        <v>95.98</v>
      </c>
      <c r="IP34">
        <v>95.95</v>
      </c>
      <c r="IQ34">
        <v>95.99</v>
      </c>
      <c r="IR34">
        <v>95.984999999999999</v>
      </c>
      <c r="IS34">
        <v>95.93</v>
      </c>
      <c r="IT34">
        <v>95.93</v>
      </c>
      <c r="IU34">
        <v>95.825000000000003</v>
      </c>
      <c r="IV34">
        <v>95.79</v>
      </c>
      <c r="IW34">
        <v>95.95</v>
      </c>
      <c r="IX34">
        <v>96.015000000000001</v>
      </c>
      <c r="IY34">
        <v>95.984999999999999</v>
      </c>
      <c r="IZ34">
        <v>96.075000000000003</v>
      </c>
      <c r="JA34">
        <v>96.064999999999998</v>
      </c>
      <c r="JB34">
        <v>96.045000000000002</v>
      </c>
      <c r="JC34">
        <v>96.055000000000007</v>
      </c>
      <c r="JD34">
        <v>96.084999999999994</v>
      </c>
      <c r="JE34">
        <v>96.084999999999994</v>
      </c>
      <c r="JF34">
        <v>96.025000000000006</v>
      </c>
      <c r="JG34">
        <v>96.105000000000004</v>
      </c>
      <c r="JH34">
        <v>96.04</v>
      </c>
      <c r="JI34">
        <v>95.984999999999999</v>
      </c>
      <c r="JJ34">
        <v>95.87</v>
      </c>
      <c r="JK34">
        <v>95.79</v>
      </c>
      <c r="JL34">
        <v>95.834999999999994</v>
      </c>
      <c r="JM34">
        <v>95.984999999999999</v>
      </c>
      <c r="JN34">
        <v>95.984999999999999</v>
      </c>
      <c r="JO34">
        <v>95.95</v>
      </c>
      <c r="JP34">
        <v>95.87</v>
      </c>
      <c r="JQ34">
        <v>95.76</v>
      </c>
      <c r="JR34">
        <v>95.734999999999999</v>
      </c>
      <c r="JS34">
        <v>95.674999999999997</v>
      </c>
      <c r="JT34">
        <v>95.78</v>
      </c>
      <c r="JU34">
        <v>95.855000000000004</v>
      </c>
      <c r="JV34">
        <v>95.855000000000004</v>
      </c>
      <c r="JW34">
        <v>95.834999999999994</v>
      </c>
      <c r="JX34">
        <v>95.834999999999994</v>
      </c>
      <c r="JY34">
        <v>95.84</v>
      </c>
      <c r="JZ34">
        <v>95.81</v>
      </c>
      <c r="KA34">
        <v>95.83</v>
      </c>
      <c r="KB34">
        <v>95.875</v>
      </c>
      <c r="KC34">
        <v>95.88</v>
      </c>
      <c r="KD34">
        <v>95.81</v>
      </c>
      <c r="KE34">
        <v>95.775000000000006</v>
      </c>
      <c r="KF34">
        <v>95.75</v>
      </c>
      <c r="KG34">
        <v>95.805000000000007</v>
      </c>
      <c r="KH34">
        <v>95.775000000000006</v>
      </c>
      <c r="KI34">
        <v>95.814999999999998</v>
      </c>
      <c r="KJ34">
        <v>95.77</v>
      </c>
      <c r="KK34">
        <v>95.75</v>
      </c>
      <c r="KL34">
        <v>95.674999999999997</v>
      </c>
      <c r="KM34">
        <v>95.66</v>
      </c>
      <c r="KN34">
        <v>95.594999999999999</v>
      </c>
      <c r="KO34">
        <v>95.665000000000006</v>
      </c>
      <c r="KP34">
        <v>95.584999999999994</v>
      </c>
      <c r="KQ34">
        <v>95.545000000000002</v>
      </c>
      <c r="KR34">
        <v>95.605000000000004</v>
      </c>
      <c r="KS34">
        <v>95.68</v>
      </c>
      <c r="KT34">
        <v>95.66</v>
      </c>
      <c r="KU34">
        <v>95.674999999999997</v>
      </c>
      <c r="KV34">
        <v>95.64</v>
      </c>
      <c r="KW34">
        <v>95.7</v>
      </c>
      <c r="KX34">
        <v>95.625</v>
      </c>
      <c r="KY34">
        <v>95.66</v>
      </c>
      <c r="KZ34">
        <v>95.8</v>
      </c>
      <c r="LA34">
        <v>95.71</v>
      </c>
      <c r="LB34">
        <v>95.74</v>
      </c>
      <c r="LC34">
        <v>95.885000000000005</v>
      </c>
      <c r="LD34">
        <v>95.825000000000003</v>
      </c>
      <c r="LE34">
        <v>95.87</v>
      </c>
      <c r="LF34">
        <v>95.92</v>
      </c>
      <c r="LG34">
        <v>95.87</v>
      </c>
      <c r="LH34">
        <v>95.86</v>
      </c>
      <c r="LI34">
        <v>95.905000000000001</v>
      </c>
      <c r="LJ34">
        <v>96.034999999999997</v>
      </c>
      <c r="LK34">
        <v>96.034999999999997</v>
      </c>
      <c r="LL34">
        <v>96</v>
      </c>
      <c r="LM34">
        <v>95.965000000000003</v>
      </c>
      <c r="LN34">
        <v>95.935000000000002</v>
      </c>
      <c r="LO34">
        <v>95.97</v>
      </c>
      <c r="LP34">
        <v>95.91</v>
      </c>
      <c r="LQ34">
        <v>95.915000000000006</v>
      </c>
      <c r="LR34">
        <v>95.944999999999993</v>
      </c>
      <c r="LS34">
        <v>95.915000000000006</v>
      </c>
      <c r="LT34">
        <v>95.954999999999998</v>
      </c>
      <c r="LU34">
        <v>95.94</v>
      </c>
      <c r="LV34">
        <v>96.05</v>
      </c>
      <c r="LW34">
        <v>96.064999999999998</v>
      </c>
      <c r="LX34">
        <v>96.114999999999995</v>
      </c>
      <c r="LY34">
        <v>96.11</v>
      </c>
      <c r="LZ34">
        <v>96.13</v>
      </c>
      <c r="MA34">
        <v>96.125</v>
      </c>
      <c r="MB34">
        <v>96.084999999999994</v>
      </c>
      <c r="MC34">
        <v>96</v>
      </c>
      <c r="MD34">
        <v>96.03</v>
      </c>
      <c r="ME34">
        <v>95.984999999999999</v>
      </c>
      <c r="MF34">
        <v>95.974999999999994</v>
      </c>
      <c r="MG34">
        <v>95.98</v>
      </c>
      <c r="MH34">
        <v>96</v>
      </c>
      <c r="MI34">
        <v>96.01</v>
      </c>
      <c r="MJ34">
        <v>95.915000000000006</v>
      </c>
      <c r="MK34">
        <v>95.885000000000005</v>
      </c>
      <c r="ML34">
        <v>95.93</v>
      </c>
      <c r="MM34">
        <v>95.905000000000001</v>
      </c>
      <c r="MN34">
        <v>95.905000000000001</v>
      </c>
      <c r="MO34">
        <v>95.944999999999993</v>
      </c>
      <c r="MP34">
        <v>95.92</v>
      </c>
      <c r="MQ34">
        <v>95.88</v>
      </c>
      <c r="MR34">
        <v>95.974999999999994</v>
      </c>
      <c r="MS34">
        <v>95.954999999999998</v>
      </c>
      <c r="MT34">
        <v>95.97</v>
      </c>
      <c r="MU34">
        <v>96.055000000000007</v>
      </c>
      <c r="MV34">
        <v>96.064999999999998</v>
      </c>
      <c r="MW34">
        <v>95.974999999999994</v>
      </c>
      <c r="MX34">
        <v>96.105000000000004</v>
      </c>
      <c r="MY34">
        <v>96.265000000000001</v>
      </c>
      <c r="MZ34">
        <v>96.165000000000006</v>
      </c>
      <c r="NA34">
        <v>96.08</v>
      </c>
      <c r="NB34">
        <v>96.01</v>
      </c>
      <c r="NC34">
        <v>95.96</v>
      </c>
      <c r="ND34">
        <v>95.995000000000005</v>
      </c>
      <c r="NE34">
        <v>95.974999999999994</v>
      </c>
      <c r="NF34">
        <v>96.02</v>
      </c>
      <c r="NG34">
        <v>96.064999999999998</v>
      </c>
      <c r="NH34">
        <v>96.01</v>
      </c>
      <c r="NI34">
        <v>96</v>
      </c>
      <c r="NJ34">
        <v>96.034999999999997</v>
      </c>
      <c r="NK34">
        <v>96.045000000000002</v>
      </c>
      <c r="NL34">
        <v>96.16</v>
      </c>
      <c r="NM34">
        <v>96.16</v>
      </c>
      <c r="NN34">
        <v>96.204999999999998</v>
      </c>
      <c r="NO34">
        <v>96.165000000000006</v>
      </c>
      <c r="NP34">
        <v>96.174999999999997</v>
      </c>
      <c r="NQ34">
        <v>96.18</v>
      </c>
      <c r="NR34">
        <v>96.18</v>
      </c>
      <c r="NS34">
        <v>96.234999999999999</v>
      </c>
      <c r="NT34">
        <v>96.305000000000007</v>
      </c>
      <c r="NU34">
        <v>96.26</v>
      </c>
      <c r="NV34">
        <v>96.28</v>
      </c>
      <c r="NW34">
        <v>96.28</v>
      </c>
      <c r="NX34">
        <v>96.305000000000007</v>
      </c>
      <c r="NY34">
        <v>96.37</v>
      </c>
      <c r="NZ34">
        <v>96.265000000000001</v>
      </c>
      <c r="OA34">
        <v>96.25</v>
      </c>
      <c r="OB34">
        <v>96.25</v>
      </c>
      <c r="OC34">
        <v>96.284999999999997</v>
      </c>
      <c r="OD34">
        <v>96.32</v>
      </c>
      <c r="OE34">
        <v>96.275000000000006</v>
      </c>
      <c r="OF34">
        <v>96.24</v>
      </c>
      <c r="OG34">
        <v>96.275000000000006</v>
      </c>
      <c r="OH34">
        <v>96.25</v>
      </c>
      <c r="OI34">
        <v>96.15</v>
      </c>
      <c r="OJ34">
        <v>96.004999999999995</v>
      </c>
      <c r="OK34">
        <v>95.95</v>
      </c>
      <c r="OL34">
        <v>95.944999999999993</v>
      </c>
      <c r="OM34">
        <v>96.055000000000007</v>
      </c>
      <c r="ON34">
        <v>96.05</v>
      </c>
      <c r="OO34">
        <v>95.984999999999999</v>
      </c>
      <c r="OP34">
        <v>95.85</v>
      </c>
      <c r="OQ34">
        <v>95.88</v>
      </c>
      <c r="OR34">
        <v>95.765000000000001</v>
      </c>
      <c r="OS34">
        <v>95.85</v>
      </c>
      <c r="OT34">
        <v>95.775000000000006</v>
      </c>
      <c r="OU34">
        <v>95.78</v>
      </c>
      <c r="OV34">
        <v>95.67</v>
      </c>
      <c r="OW34">
        <v>95.715000000000003</v>
      </c>
      <c r="OX34">
        <v>95.715000000000003</v>
      </c>
      <c r="OY34">
        <v>95.704999999999998</v>
      </c>
      <c r="OZ34">
        <v>95.724999999999994</v>
      </c>
      <c r="PA34">
        <v>95.68</v>
      </c>
      <c r="PB34">
        <v>95.66</v>
      </c>
      <c r="PC34">
        <v>95.564999999999998</v>
      </c>
      <c r="PD34">
        <v>95.625</v>
      </c>
      <c r="PE34">
        <v>95.454999999999998</v>
      </c>
      <c r="PF34">
        <v>95.444999999999993</v>
      </c>
      <c r="PG34">
        <v>95.424999999999997</v>
      </c>
      <c r="PH34">
        <v>95.555000000000007</v>
      </c>
      <c r="PI34">
        <v>95.47</v>
      </c>
      <c r="PJ34">
        <v>95.355000000000004</v>
      </c>
      <c r="PK34">
        <v>95.465000000000003</v>
      </c>
      <c r="PL34">
        <v>95.344999999999999</v>
      </c>
      <c r="PM34">
        <v>95.215000000000003</v>
      </c>
      <c r="PN34">
        <v>95.125</v>
      </c>
      <c r="PO34">
        <v>95.114999999999995</v>
      </c>
      <c r="PP34">
        <v>95.125</v>
      </c>
      <c r="PQ34">
        <v>95.13</v>
      </c>
      <c r="PR34">
        <v>95.02</v>
      </c>
      <c r="PS34">
        <v>95.16</v>
      </c>
      <c r="PT34">
        <v>95.155000000000001</v>
      </c>
      <c r="PU34">
        <v>95.05</v>
      </c>
      <c r="PV34">
        <v>94.974999999999994</v>
      </c>
      <c r="PW34">
        <v>95.105000000000004</v>
      </c>
      <c r="PX34">
        <v>95.15</v>
      </c>
      <c r="PY34">
        <v>95.275000000000006</v>
      </c>
      <c r="PZ34">
        <v>95.35</v>
      </c>
      <c r="QA34">
        <v>95.245000000000005</v>
      </c>
      <c r="QB34">
        <v>95.36</v>
      </c>
      <c r="QC34">
        <v>95.27</v>
      </c>
      <c r="QD34">
        <v>95.25</v>
      </c>
      <c r="QE34">
        <v>95.13</v>
      </c>
      <c r="QF34">
        <v>95.19</v>
      </c>
      <c r="QG34">
        <v>95.165000000000006</v>
      </c>
      <c r="QH34">
        <v>95.11</v>
      </c>
      <c r="QI34">
        <v>95.24</v>
      </c>
      <c r="QJ34">
        <v>95.415000000000006</v>
      </c>
      <c r="QK34">
        <v>95.405000000000001</v>
      </c>
      <c r="QL34">
        <v>95.43</v>
      </c>
      <c r="QM34">
        <v>95.504999999999995</v>
      </c>
      <c r="QN34">
        <v>95.515000000000001</v>
      </c>
      <c r="QO34">
        <v>95.665000000000006</v>
      </c>
      <c r="QP34">
        <v>95.635000000000005</v>
      </c>
      <c r="QQ34">
        <v>95.8</v>
      </c>
      <c r="QR34">
        <v>95.79</v>
      </c>
      <c r="QS34">
        <v>95.825000000000003</v>
      </c>
      <c r="QT34">
        <v>95.805000000000007</v>
      </c>
      <c r="QU34">
        <v>95.84</v>
      </c>
      <c r="QV34">
        <v>95.9</v>
      </c>
      <c r="QW34">
        <v>95.88</v>
      </c>
      <c r="QX34">
        <v>95.834999999999994</v>
      </c>
      <c r="QY34">
        <v>95.875</v>
      </c>
      <c r="QZ34">
        <v>95.864999999999995</v>
      </c>
      <c r="RA34">
        <v>95.85</v>
      </c>
      <c r="RB34">
        <v>95.844999999999999</v>
      </c>
      <c r="RC34">
        <v>95.915000000000006</v>
      </c>
      <c r="RD34">
        <v>95.915000000000006</v>
      </c>
      <c r="RE34">
        <v>96.01</v>
      </c>
      <c r="RF34">
        <v>95.984999999999999</v>
      </c>
      <c r="RG34">
        <v>95.99</v>
      </c>
      <c r="RH34">
        <v>95.954999999999998</v>
      </c>
      <c r="RI34">
        <v>95.915000000000006</v>
      </c>
      <c r="RJ34">
        <v>95.91</v>
      </c>
      <c r="RK34">
        <v>95.935000000000002</v>
      </c>
      <c r="RL34">
        <v>95.784999999999997</v>
      </c>
      <c r="RM34">
        <v>95.754999999999995</v>
      </c>
      <c r="RN34">
        <v>95.85</v>
      </c>
      <c r="RO34">
        <v>95.775000000000006</v>
      </c>
      <c r="RP34">
        <v>95.86</v>
      </c>
      <c r="RQ34">
        <v>95.894999999999996</v>
      </c>
      <c r="RR34">
        <v>95.954999999999998</v>
      </c>
      <c r="RS34">
        <v>95.93</v>
      </c>
      <c r="RT34">
        <v>96.02</v>
      </c>
      <c r="RU34">
        <v>96.125</v>
      </c>
      <c r="RV34">
        <v>96.09</v>
      </c>
      <c r="RW34">
        <v>96.025000000000006</v>
      </c>
      <c r="RX34">
        <v>96.05</v>
      </c>
      <c r="RY34">
        <v>95.91</v>
      </c>
      <c r="RZ34">
        <v>96.08</v>
      </c>
      <c r="SA34">
        <v>96.135000000000005</v>
      </c>
      <c r="SB34">
        <v>96.224999999999994</v>
      </c>
      <c r="SC34">
        <v>96.22</v>
      </c>
      <c r="SD34">
        <v>96.174999999999997</v>
      </c>
      <c r="SE34">
        <v>96.344999999999999</v>
      </c>
      <c r="SF34">
        <v>96.295000000000002</v>
      </c>
      <c r="SG34">
        <v>96.355000000000004</v>
      </c>
      <c r="SH34">
        <v>96.364999999999995</v>
      </c>
      <c r="SI34">
        <v>96.344999999999999</v>
      </c>
      <c r="SJ34">
        <v>96.465000000000003</v>
      </c>
      <c r="SK34">
        <v>96.424999999999997</v>
      </c>
      <c r="SL34">
        <v>96.41</v>
      </c>
      <c r="SM34">
        <v>96.37</v>
      </c>
      <c r="SN34">
        <v>96.38</v>
      </c>
      <c r="SO34">
        <v>96.35</v>
      </c>
      <c r="SP34">
        <v>96.26</v>
      </c>
      <c r="SQ34">
        <v>96.194999999999993</v>
      </c>
      <c r="SR34">
        <v>96.155000000000001</v>
      </c>
      <c r="SS34">
        <v>96.21</v>
      </c>
      <c r="ST34">
        <v>96.31</v>
      </c>
      <c r="SU34">
        <v>96.415000000000006</v>
      </c>
      <c r="SV34">
        <v>96.415000000000006</v>
      </c>
      <c r="SW34">
        <v>96.45</v>
      </c>
      <c r="SX34">
        <v>96.385000000000005</v>
      </c>
      <c r="SY34">
        <v>96.53</v>
      </c>
      <c r="SZ34">
        <v>96.474999999999994</v>
      </c>
      <c r="TA34">
        <v>96.504999999999995</v>
      </c>
      <c r="TB34">
        <v>96.474999999999994</v>
      </c>
      <c r="TC34">
        <v>96.405000000000001</v>
      </c>
      <c r="TD34">
        <v>96.48</v>
      </c>
      <c r="TE34">
        <v>96.495000000000005</v>
      </c>
      <c r="TF34">
        <v>96.424999999999997</v>
      </c>
      <c r="TG34">
        <v>96.424999999999997</v>
      </c>
      <c r="TH34">
        <v>96.46</v>
      </c>
      <c r="TI34">
        <v>96.39</v>
      </c>
      <c r="TJ34">
        <v>96.31</v>
      </c>
      <c r="TK34">
        <v>96.385000000000005</v>
      </c>
      <c r="TL34">
        <v>96.39</v>
      </c>
      <c r="TM34">
        <v>96.394999999999996</v>
      </c>
      <c r="TN34">
        <v>96.32</v>
      </c>
      <c r="TO34">
        <v>96.424999999999997</v>
      </c>
      <c r="TP34">
        <v>96.405000000000001</v>
      </c>
      <c r="TQ34">
        <v>96.375</v>
      </c>
      <c r="TR34">
        <v>96.474999999999994</v>
      </c>
      <c r="TS34">
        <v>96.46</v>
      </c>
      <c r="TT34">
        <v>96.415000000000006</v>
      </c>
      <c r="TU34">
        <v>96.305000000000007</v>
      </c>
      <c r="TV34">
        <v>96.305000000000007</v>
      </c>
      <c r="TW34">
        <v>96.29</v>
      </c>
      <c r="TX34">
        <v>96.375</v>
      </c>
      <c r="TY34">
        <v>96.39</v>
      </c>
      <c r="TZ34">
        <v>96.36</v>
      </c>
      <c r="UA34">
        <v>96.35</v>
      </c>
      <c r="UB34">
        <v>96.405000000000001</v>
      </c>
      <c r="UC34">
        <v>96.46</v>
      </c>
      <c r="UD34">
        <v>96.474999999999994</v>
      </c>
      <c r="UE34">
        <v>96.53</v>
      </c>
      <c r="UF34">
        <v>96.57</v>
      </c>
      <c r="UG34">
        <v>96.61</v>
      </c>
      <c r="UH34">
        <v>96.564999999999998</v>
      </c>
      <c r="UI34">
        <v>96.5</v>
      </c>
      <c r="UJ34">
        <v>96.51</v>
      </c>
      <c r="UK34">
        <v>96.555000000000007</v>
      </c>
      <c r="UL34">
        <v>96.625</v>
      </c>
      <c r="UM34">
        <v>96.575000000000003</v>
      </c>
      <c r="UN34">
        <v>96.56</v>
      </c>
      <c r="UO34">
        <v>96.43</v>
      </c>
      <c r="UP34">
        <v>96.56</v>
      </c>
      <c r="UQ34">
        <v>96.56</v>
      </c>
      <c r="UR34">
        <v>96.635000000000005</v>
      </c>
      <c r="US34">
        <v>96.685000000000002</v>
      </c>
      <c r="UT34">
        <v>96.625</v>
      </c>
      <c r="UU34">
        <v>96.57</v>
      </c>
      <c r="UV34">
        <v>96.614999999999995</v>
      </c>
      <c r="UW34">
        <v>96.58</v>
      </c>
      <c r="UX34">
        <v>96.6</v>
      </c>
      <c r="UY34">
        <v>96.555000000000007</v>
      </c>
      <c r="UZ34">
        <v>96.614999999999995</v>
      </c>
      <c r="VA34">
        <v>96.67</v>
      </c>
      <c r="VB34">
        <v>96.724999999999994</v>
      </c>
      <c r="VC34">
        <v>96.724999999999994</v>
      </c>
      <c r="VD34">
        <v>96.715000000000003</v>
      </c>
      <c r="VE34">
        <v>96.77</v>
      </c>
      <c r="VF34">
        <v>96.844999999999999</v>
      </c>
      <c r="VG34">
        <v>96.83</v>
      </c>
      <c r="VH34">
        <v>96.795000000000002</v>
      </c>
      <c r="VI34">
        <v>96.734999999999999</v>
      </c>
      <c r="VJ34">
        <v>96.68</v>
      </c>
      <c r="VK34">
        <v>96.644999999999996</v>
      </c>
      <c r="VL34">
        <v>96.62</v>
      </c>
      <c r="VM34">
        <v>96.61</v>
      </c>
      <c r="VN34">
        <v>96.64</v>
      </c>
      <c r="VO34">
        <v>96.76</v>
      </c>
      <c r="VP34">
        <v>96.72</v>
      </c>
      <c r="VQ34">
        <v>96.67</v>
      </c>
      <c r="VR34">
        <v>96.614999999999995</v>
      </c>
      <c r="VS34">
        <v>96.64</v>
      </c>
      <c r="VT34">
        <v>96.715000000000003</v>
      </c>
      <c r="VU34">
        <v>96.53</v>
      </c>
      <c r="VV34">
        <v>96.614999999999995</v>
      </c>
      <c r="VW34">
        <v>96.51</v>
      </c>
      <c r="VX34">
        <v>96.584999999999994</v>
      </c>
      <c r="VY34">
        <v>96.564999999999998</v>
      </c>
      <c r="VZ34">
        <v>96.364999999999995</v>
      </c>
      <c r="WA34">
        <v>96.41</v>
      </c>
      <c r="WB34">
        <v>96.39</v>
      </c>
      <c r="WC34">
        <v>96.314999999999998</v>
      </c>
      <c r="WD34">
        <v>96.314999999999998</v>
      </c>
      <c r="WE34">
        <v>96.19</v>
      </c>
      <c r="WF34">
        <v>96.295000000000002</v>
      </c>
      <c r="WG34">
        <v>96.38</v>
      </c>
      <c r="WH34">
        <v>96.38</v>
      </c>
      <c r="WI34">
        <v>96.34</v>
      </c>
      <c r="WJ34">
        <v>96.39</v>
      </c>
      <c r="WK34">
        <v>96.34</v>
      </c>
      <c r="WL34">
        <v>96.305000000000007</v>
      </c>
      <c r="WM34">
        <v>96.454999999999998</v>
      </c>
      <c r="WN34">
        <v>96.454999999999998</v>
      </c>
      <c r="WO34">
        <v>96.435000000000002</v>
      </c>
      <c r="WP34">
        <v>96.474999999999994</v>
      </c>
      <c r="WQ34">
        <v>96.54</v>
      </c>
      <c r="WR34">
        <v>96.525000000000006</v>
      </c>
      <c r="WS34">
        <v>96.495000000000005</v>
      </c>
      <c r="WT34">
        <v>96.56</v>
      </c>
      <c r="WU34">
        <v>96.58</v>
      </c>
      <c r="WV34">
        <v>96.56</v>
      </c>
      <c r="WW34">
        <v>96.584999999999994</v>
      </c>
      <c r="WX34">
        <v>96.66</v>
      </c>
      <c r="WY34">
        <v>96.75</v>
      </c>
      <c r="WZ34">
        <v>96.784999999999997</v>
      </c>
      <c r="XA34">
        <v>96.685000000000002</v>
      </c>
      <c r="XB34">
        <v>96.655000000000001</v>
      </c>
      <c r="XC34">
        <v>96.69</v>
      </c>
      <c r="XD34">
        <v>96.74</v>
      </c>
      <c r="XE34">
        <v>96.754999999999995</v>
      </c>
      <c r="XF34">
        <v>96.754999999999995</v>
      </c>
      <c r="XG34">
        <v>96.68</v>
      </c>
      <c r="XH34">
        <v>96.724999999999994</v>
      </c>
      <c r="XI34">
        <v>96.814999999999998</v>
      </c>
      <c r="XJ34">
        <v>96.844999999999999</v>
      </c>
      <c r="XK34">
        <v>96.72</v>
      </c>
      <c r="XL34">
        <v>96.765000000000001</v>
      </c>
      <c r="XM34">
        <v>96.765000000000001</v>
      </c>
      <c r="XN34">
        <v>96.79</v>
      </c>
      <c r="XO34">
        <v>96.715000000000003</v>
      </c>
      <c r="XP34">
        <v>96.66</v>
      </c>
      <c r="XQ34">
        <v>96.775000000000006</v>
      </c>
      <c r="XR34">
        <v>96.73</v>
      </c>
      <c r="XS34">
        <v>96.58</v>
      </c>
      <c r="XT34">
        <v>96.564999999999998</v>
      </c>
      <c r="XU34">
        <v>96.465000000000003</v>
      </c>
      <c r="XV34">
        <v>96.394999999999996</v>
      </c>
      <c r="XW34">
        <v>96.394999999999996</v>
      </c>
      <c r="XX34">
        <v>96.355000000000004</v>
      </c>
      <c r="XY34">
        <v>96.3</v>
      </c>
      <c r="XZ34">
        <v>96.385000000000005</v>
      </c>
      <c r="YA34">
        <v>96.47</v>
      </c>
      <c r="YB34">
        <v>96.47</v>
      </c>
      <c r="YC34">
        <v>96.5</v>
      </c>
      <c r="YD34">
        <v>96.474999999999994</v>
      </c>
      <c r="YE34">
        <v>96.52</v>
      </c>
      <c r="YF34">
        <v>96.66</v>
      </c>
      <c r="YG34">
        <v>96.754999999999995</v>
      </c>
      <c r="YH34">
        <v>96.82</v>
      </c>
      <c r="YI34">
        <v>96.76</v>
      </c>
      <c r="YJ34">
        <v>96.76</v>
      </c>
      <c r="YK34">
        <v>96.66</v>
      </c>
      <c r="YL34">
        <v>96.694999999999993</v>
      </c>
      <c r="YM34">
        <v>96.784999999999997</v>
      </c>
      <c r="YN34">
        <v>96.894999999999996</v>
      </c>
      <c r="YO34">
        <v>96.784999999999997</v>
      </c>
      <c r="YP34">
        <v>96.69</v>
      </c>
      <c r="YQ34">
        <v>96.79</v>
      </c>
      <c r="YR34">
        <v>96.745000000000005</v>
      </c>
      <c r="YS34">
        <v>96.584999999999994</v>
      </c>
      <c r="YT34">
        <v>96.555000000000007</v>
      </c>
      <c r="YU34">
        <v>96.6</v>
      </c>
      <c r="YV34">
        <v>96.584999999999994</v>
      </c>
      <c r="YW34">
        <v>96.57</v>
      </c>
      <c r="YX34">
        <v>96.57</v>
      </c>
      <c r="YY34">
        <v>96.5</v>
      </c>
      <c r="YZ34">
        <v>96.4</v>
      </c>
      <c r="ZA34">
        <v>96.38</v>
      </c>
      <c r="ZB34">
        <v>96.45</v>
      </c>
      <c r="ZC34">
        <v>96.504999999999995</v>
      </c>
      <c r="ZD34">
        <v>96.38</v>
      </c>
      <c r="ZE34">
        <v>96.305000000000007</v>
      </c>
      <c r="ZF34">
        <v>96.355000000000004</v>
      </c>
      <c r="ZG34">
        <v>96.344999999999999</v>
      </c>
      <c r="ZH34">
        <v>96.05</v>
      </c>
      <c r="ZI34">
        <v>96.09</v>
      </c>
      <c r="ZJ34">
        <v>96.004999999999995</v>
      </c>
      <c r="ZK34">
        <v>96.02</v>
      </c>
      <c r="ZL34">
        <v>96.05</v>
      </c>
      <c r="ZM34">
        <v>96.055000000000007</v>
      </c>
      <c r="ZN34">
        <v>96.034999999999997</v>
      </c>
      <c r="ZO34">
        <v>95.995000000000005</v>
      </c>
      <c r="ZP34">
        <v>96.025000000000006</v>
      </c>
      <c r="ZQ34">
        <v>96.12</v>
      </c>
      <c r="ZR34">
        <v>96.06</v>
      </c>
      <c r="ZS34">
        <v>95.97</v>
      </c>
      <c r="ZT34">
        <v>95.83</v>
      </c>
      <c r="ZU34">
        <v>95.88</v>
      </c>
      <c r="ZV34">
        <v>95.95</v>
      </c>
      <c r="ZW34">
        <v>96.05</v>
      </c>
      <c r="ZX34">
        <v>96.174999999999997</v>
      </c>
      <c r="ZY34">
        <v>96.155000000000001</v>
      </c>
      <c r="ZZ34">
        <v>96.17</v>
      </c>
      <c r="AAA34">
        <v>96.215000000000003</v>
      </c>
      <c r="AAB34">
        <v>96.204999999999998</v>
      </c>
      <c r="AAC34">
        <v>96.165000000000006</v>
      </c>
      <c r="AAD34">
        <v>96.114999999999995</v>
      </c>
      <c r="AAE34">
        <v>96.215000000000003</v>
      </c>
      <c r="AAF34">
        <v>96.26</v>
      </c>
      <c r="AAG34">
        <v>96.29</v>
      </c>
      <c r="AAH34">
        <v>96.424999999999997</v>
      </c>
      <c r="AAI34">
        <v>96.36</v>
      </c>
      <c r="AAJ34">
        <v>96.21</v>
      </c>
      <c r="AAK34">
        <v>96.27</v>
      </c>
      <c r="AAL34">
        <v>96.32</v>
      </c>
      <c r="AAM34">
        <v>96.2</v>
      </c>
      <c r="AAN34">
        <v>96.325000000000003</v>
      </c>
      <c r="AAO34">
        <v>96.5</v>
      </c>
      <c r="AAP34">
        <v>96.34</v>
      </c>
      <c r="AAQ34">
        <v>96.515000000000001</v>
      </c>
      <c r="AAR34">
        <v>96.454999999999998</v>
      </c>
      <c r="AAS34">
        <v>96.545000000000002</v>
      </c>
      <c r="AAT34">
        <v>96.545000000000002</v>
      </c>
      <c r="AAU34">
        <v>96.57</v>
      </c>
      <c r="AAV34">
        <v>96.65</v>
      </c>
      <c r="AAW34">
        <v>96.62</v>
      </c>
      <c r="AAX34">
        <v>96.594999999999999</v>
      </c>
      <c r="AAY34">
        <v>96.65</v>
      </c>
      <c r="AAZ34">
        <v>96.65</v>
      </c>
      <c r="ABA34">
        <v>96.69</v>
      </c>
      <c r="ABB34">
        <v>96.545000000000002</v>
      </c>
      <c r="ABC34">
        <v>96.715000000000003</v>
      </c>
      <c r="ABD34">
        <v>96.715000000000003</v>
      </c>
      <c r="ABE34">
        <v>96.68</v>
      </c>
      <c r="ABF34">
        <v>96.86</v>
      </c>
      <c r="ABG34">
        <v>96.9</v>
      </c>
      <c r="ABH34">
        <v>96.83</v>
      </c>
      <c r="ABI34">
        <v>96.94</v>
      </c>
      <c r="ABJ34">
        <v>96.954999999999998</v>
      </c>
      <c r="ABK34">
        <v>96.864999999999995</v>
      </c>
      <c r="ABL34">
        <v>96.944999999999993</v>
      </c>
      <c r="ABM34">
        <v>96.96</v>
      </c>
      <c r="ABN34">
        <v>96.974999999999994</v>
      </c>
      <c r="ABO34">
        <v>97.1</v>
      </c>
      <c r="ABP34">
        <v>97.09</v>
      </c>
      <c r="ABQ34">
        <v>97.165000000000006</v>
      </c>
      <c r="ABR34">
        <v>97.14</v>
      </c>
      <c r="ABS34">
        <v>97.055000000000007</v>
      </c>
      <c r="ABT34">
        <v>97</v>
      </c>
      <c r="ABU34">
        <v>97.185000000000002</v>
      </c>
      <c r="ABV34">
        <v>97.23</v>
      </c>
      <c r="ABW34">
        <v>97.185000000000002</v>
      </c>
      <c r="ABX34">
        <v>97.094999999999999</v>
      </c>
      <c r="ABY34">
        <v>97.224999999999994</v>
      </c>
      <c r="ABZ34">
        <v>97.155000000000001</v>
      </c>
      <c r="ACA34">
        <v>97.135000000000005</v>
      </c>
      <c r="ACB34">
        <v>97.165000000000006</v>
      </c>
      <c r="ACC34">
        <v>97.094999999999999</v>
      </c>
      <c r="ACD34">
        <v>97.055000000000007</v>
      </c>
      <c r="ACE34">
        <v>97.01</v>
      </c>
      <c r="ACF34">
        <v>96.965000000000003</v>
      </c>
      <c r="ACG34">
        <v>96.93</v>
      </c>
      <c r="ACH34">
        <v>97</v>
      </c>
      <c r="ACI34">
        <v>96.894999999999996</v>
      </c>
      <c r="ACJ34">
        <v>96.784999999999997</v>
      </c>
      <c r="ACK34">
        <v>96.82</v>
      </c>
      <c r="ACL34">
        <v>96.86</v>
      </c>
      <c r="ACM34">
        <v>96.885000000000005</v>
      </c>
      <c r="ACN34">
        <v>96.82</v>
      </c>
      <c r="ACO34">
        <v>96.85</v>
      </c>
      <c r="ACP34">
        <v>96.73</v>
      </c>
      <c r="ACQ34">
        <v>96.674999999999997</v>
      </c>
      <c r="ACR34">
        <v>96.545000000000002</v>
      </c>
      <c r="ACS34">
        <v>96.63</v>
      </c>
      <c r="ACT34">
        <v>96.745000000000005</v>
      </c>
      <c r="ACU34">
        <v>96.83</v>
      </c>
      <c r="ACV34">
        <v>96.754999999999995</v>
      </c>
      <c r="ACW34">
        <v>96.754999999999995</v>
      </c>
      <c r="ACX34">
        <v>96.724999999999994</v>
      </c>
      <c r="ACY34">
        <v>96.61</v>
      </c>
      <c r="ACZ34">
        <v>96.51</v>
      </c>
      <c r="ADA34">
        <v>96.525000000000006</v>
      </c>
      <c r="ADB34">
        <v>96.58</v>
      </c>
      <c r="ADC34">
        <v>96.674999999999997</v>
      </c>
      <c r="ADD34">
        <v>96.575000000000003</v>
      </c>
      <c r="ADE34">
        <v>96.444999999999993</v>
      </c>
      <c r="ADF34">
        <v>96.545000000000002</v>
      </c>
      <c r="ADG34">
        <v>96.545000000000002</v>
      </c>
      <c r="ADH34">
        <v>96.465000000000003</v>
      </c>
      <c r="ADI34">
        <v>96.38</v>
      </c>
      <c r="ADJ34">
        <v>96.36</v>
      </c>
      <c r="ADK34">
        <v>96.43</v>
      </c>
      <c r="ADL34">
        <v>96.635000000000005</v>
      </c>
      <c r="ADM34">
        <v>96.685000000000002</v>
      </c>
      <c r="ADN34">
        <v>96.685000000000002</v>
      </c>
      <c r="ADO34">
        <v>96.734999999999999</v>
      </c>
      <c r="ADP34">
        <v>96.635000000000005</v>
      </c>
      <c r="ADQ34">
        <v>96.74</v>
      </c>
      <c r="ADR34">
        <v>96.79</v>
      </c>
      <c r="ADS34">
        <v>96.745000000000005</v>
      </c>
      <c r="ADT34">
        <v>96.78</v>
      </c>
      <c r="ADU34">
        <v>96.885000000000005</v>
      </c>
      <c r="ADV34">
        <v>96.885000000000005</v>
      </c>
      <c r="ADW34">
        <v>96.864999999999995</v>
      </c>
      <c r="ADX34">
        <v>96.924999999999997</v>
      </c>
      <c r="ADY34">
        <v>96.94</v>
      </c>
      <c r="ADZ34">
        <v>96.935000000000002</v>
      </c>
      <c r="AEA34">
        <v>96.995000000000005</v>
      </c>
      <c r="AEB34">
        <v>96.87</v>
      </c>
      <c r="AEC34">
        <v>96.83</v>
      </c>
      <c r="AED34">
        <v>96.694999999999993</v>
      </c>
      <c r="AEE34">
        <v>96.77</v>
      </c>
      <c r="AEF34">
        <v>96.72</v>
      </c>
      <c r="AEG34">
        <v>96.82</v>
      </c>
      <c r="AEH34">
        <v>96.73</v>
      </c>
      <c r="AEI34">
        <v>96.605000000000004</v>
      </c>
      <c r="AEJ34">
        <v>96.504999999999995</v>
      </c>
      <c r="AEK34">
        <v>96.49</v>
      </c>
      <c r="AEL34">
        <v>96.61</v>
      </c>
      <c r="AEM34">
        <v>96.81</v>
      </c>
      <c r="AEN34">
        <v>96.84</v>
      </c>
      <c r="AEO34">
        <v>96.775000000000006</v>
      </c>
      <c r="AEP34">
        <v>96.92</v>
      </c>
      <c r="AEQ34">
        <v>96.92</v>
      </c>
      <c r="AER34">
        <v>96.984999999999999</v>
      </c>
      <c r="AES34">
        <v>97.06</v>
      </c>
      <c r="AET34">
        <v>97.04</v>
      </c>
      <c r="AEU34">
        <v>96.954999999999998</v>
      </c>
      <c r="AEV34">
        <v>96.92</v>
      </c>
      <c r="AEW34">
        <v>96.974999999999994</v>
      </c>
      <c r="AEX34">
        <v>96.885000000000005</v>
      </c>
      <c r="AEY34">
        <v>96.92</v>
      </c>
      <c r="AEZ34">
        <v>97.025000000000006</v>
      </c>
      <c r="AFA34">
        <v>97.025000000000006</v>
      </c>
      <c r="AFB34">
        <v>97.16</v>
      </c>
      <c r="AFC34">
        <v>97.105000000000004</v>
      </c>
      <c r="AFD34">
        <v>97.114999999999995</v>
      </c>
      <c r="AFE34">
        <v>97.24</v>
      </c>
      <c r="AFF34">
        <v>97.344999999999999</v>
      </c>
      <c r="AFG34">
        <v>97.5</v>
      </c>
      <c r="AFH34">
        <v>97.625</v>
      </c>
      <c r="AFI34">
        <v>97.74</v>
      </c>
      <c r="AFJ34">
        <v>97.76</v>
      </c>
      <c r="AFK34">
        <v>97.82</v>
      </c>
      <c r="AFL34">
        <v>97.78</v>
      </c>
      <c r="AFM34">
        <v>97.73</v>
      </c>
      <c r="AFN34">
        <v>97.66</v>
      </c>
      <c r="AFO34">
        <v>97.65</v>
      </c>
      <c r="AFP34">
        <v>97.784999999999997</v>
      </c>
      <c r="AFQ34">
        <v>97.825000000000003</v>
      </c>
      <c r="AFR34">
        <v>97.77</v>
      </c>
      <c r="AFS34">
        <v>97.834999999999994</v>
      </c>
      <c r="AFT34">
        <v>97.974999999999994</v>
      </c>
      <c r="AFU34">
        <v>97.9</v>
      </c>
      <c r="AFV34">
        <v>97.88</v>
      </c>
      <c r="AFW34">
        <v>97.875</v>
      </c>
      <c r="AFX34">
        <v>97.9</v>
      </c>
      <c r="AFY34">
        <v>98.06</v>
      </c>
      <c r="AFZ34">
        <v>98.07</v>
      </c>
      <c r="AGA34">
        <v>98.144999999999996</v>
      </c>
      <c r="AGB34">
        <v>98.24</v>
      </c>
      <c r="AGC34">
        <v>98.355000000000004</v>
      </c>
      <c r="AGD34">
        <v>98.33</v>
      </c>
      <c r="AGE34">
        <v>98.194999999999993</v>
      </c>
      <c r="AGF34">
        <v>98.15</v>
      </c>
      <c r="AGG34">
        <v>98.295000000000002</v>
      </c>
      <c r="AGH34">
        <v>98.185000000000002</v>
      </c>
      <c r="AGI34">
        <v>98.045000000000002</v>
      </c>
      <c r="AGJ34">
        <v>98.055000000000007</v>
      </c>
      <c r="AGK34">
        <v>98.08</v>
      </c>
      <c r="AGL34">
        <v>98.12</v>
      </c>
      <c r="AGM34">
        <v>98.11</v>
      </c>
      <c r="AGN34">
        <v>98.11</v>
      </c>
      <c r="AGO34">
        <v>98.064999999999998</v>
      </c>
      <c r="AGP34">
        <v>97.974999999999994</v>
      </c>
      <c r="AGQ34">
        <v>97.984999999999999</v>
      </c>
      <c r="AGR34">
        <v>98.07</v>
      </c>
      <c r="AGS34">
        <v>98.114999999999995</v>
      </c>
      <c r="AGT34">
        <v>98.004999999999995</v>
      </c>
      <c r="AGU34">
        <v>98.075000000000003</v>
      </c>
      <c r="AGV34">
        <v>98.034999999999997</v>
      </c>
      <c r="AGW34">
        <v>98.075000000000003</v>
      </c>
      <c r="AGX34">
        <v>98.06</v>
      </c>
      <c r="AGY34">
        <v>98.174999999999997</v>
      </c>
      <c r="AGZ34">
        <v>98.21</v>
      </c>
      <c r="AHA34">
        <v>98.174999999999997</v>
      </c>
      <c r="AHB34">
        <v>98.185000000000002</v>
      </c>
      <c r="AHC34">
        <v>98.194999999999993</v>
      </c>
      <c r="AHD34">
        <v>98.155000000000001</v>
      </c>
      <c r="AHE34">
        <v>98.05</v>
      </c>
      <c r="AHF34">
        <v>98.114999999999995</v>
      </c>
      <c r="AHG34">
        <v>98.18</v>
      </c>
      <c r="AHH34">
        <v>98.165000000000006</v>
      </c>
      <c r="AHI34">
        <v>98.094999999999999</v>
      </c>
      <c r="AHJ34">
        <v>98.084999999999994</v>
      </c>
      <c r="AHK34">
        <v>98.03</v>
      </c>
      <c r="AHL34">
        <v>98.13</v>
      </c>
      <c r="AHM34">
        <v>98.13</v>
      </c>
      <c r="AHN34">
        <v>98.2</v>
      </c>
      <c r="AHO34">
        <v>98.17</v>
      </c>
      <c r="AHP34">
        <v>98.125</v>
      </c>
      <c r="AHQ34">
        <v>98.075000000000003</v>
      </c>
      <c r="AHR34">
        <v>98.06</v>
      </c>
      <c r="AHS34">
        <v>98.075000000000003</v>
      </c>
      <c r="AHT34">
        <v>98.1</v>
      </c>
      <c r="AHU34">
        <v>98.114999999999995</v>
      </c>
      <c r="AHV34">
        <v>98.174999999999997</v>
      </c>
      <c r="AHW34">
        <v>98.344999999999999</v>
      </c>
      <c r="AHX34">
        <v>98.33</v>
      </c>
      <c r="AHY34">
        <v>98.32</v>
      </c>
      <c r="AHZ34">
        <v>98.415000000000006</v>
      </c>
      <c r="AIA34">
        <v>98.385000000000005</v>
      </c>
      <c r="AIB34">
        <v>98.35</v>
      </c>
      <c r="AIC34">
        <v>98.35</v>
      </c>
      <c r="AID34">
        <v>98.375</v>
      </c>
      <c r="AIE34">
        <v>98.334999999999994</v>
      </c>
      <c r="AIF34">
        <v>98.43</v>
      </c>
      <c r="AIG34">
        <v>98.515000000000001</v>
      </c>
      <c r="AIH34">
        <v>98.474999999999994</v>
      </c>
      <c r="AII34">
        <v>98.454999999999998</v>
      </c>
      <c r="AIJ34">
        <v>98.444999999999993</v>
      </c>
      <c r="AIK34">
        <v>98.44</v>
      </c>
      <c r="AIL34">
        <v>98.375</v>
      </c>
      <c r="AIM34">
        <v>98.4</v>
      </c>
      <c r="AIN34">
        <v>98.344999999999999</v>
      </c>
      <c r="AIO34">
        <v>98.364999999999995</v>
      </c>
      <c r="AIP34">
        <v>98.385000000000005</v>
      </c>
      <c r="AIQ34">
        <v>98.53</v>
      </c>
      <c r="AIR34">
        <v>98.375</v>
      </c>
      <c r="AIS34">
        <v>98.334999999999994</v>
      </c>
      <c r="AIT34">
        <v>98.26</v>
      </c>
      <c r="AIU34">
        <v>98.144999999999996</v>
      </c>
      <c r="AIV34">
        <v>98.3</v>
      </c>
      <c r="AIW34">
        <v>98.125</v>
      </c>
      <c r="AIX34">
        <v>98.125</v>
      </c>
      <c r="AIY34">
        <v>98.084999999999994</v>
      </c>
      <c r="AIZ34">
        <v>98.155000000000001</v>
      </c>
      <c r="AJA34">
        <v>98.26</v>
      </c>
      <c r="AJB34">
        <v>98.194999999999993</v>
      </c>
      <c r="AJC34">
        <v>98.17</v>
      </c>
      <c r="AJD34">
        <v>98.144999999999996</v>
      </c>
      <c r="AJE34">
        <v>98.185000000000002</v>
      </c>
      <c r="AJF34">
        <v>98.19</v>
      </c>
      <c r="AJG34">
        <v>98.204999999999998</v>
      </c>
      <c r="AJH34">
        <v>98.22</v>
      </c>
      <c r="AJI34">
        <v>98.254999999999995</v>
      </c>
      <c r="AJJ34">
        <v>98.155000000000001</v>
      </c>
      <c r="AJK34">
        <v>98.18</v>
      </c>
      <c r="AJL34">
        <v>98.084999999999994</v>
      </c>
      <c r="AJM34">
        <v>98.055000000000007</v>
      </c>
      <c r="AJN34">
        <v>98.075000000000003</v>
      </c>
      <c r="AJO34">
        <v>98.11</v>
      </c>
      <c r="AJP34">
        <v>98.15</v>
      </c>
      <c r="AJQ34">
        <v>98.12</v>
      </c>
      <c r="AJR34">
        <v>98.144999999999996</v>
      </c>
      <c r="AJS34">
        <v>97.95</v>
      </c>
      <c r="AJT34">
        <v>97.94</v>
      </c>
      <c r="AJU34">
        <v>97.894999999999996</v>
      </c>
      <c r="AJV34">
        <v>97.84</v>
      </c>
      <c r="AJW34">
        <v>97.875</v>
      </c>
      <c r="AJX34">
        <v>97.905000000000001</v>
      </c>
      <c r="AJY34">
        <v>98.02</v>
      </c>
      <c r="AJZ34">
        <v>97.984999999999999</v>
      </c>
      <c r="AKA34">
        <v>98.04</v>
      </c>
      <c r="AKB34">
        <v>98</v>
      </c>
      <c r="AKC34">
        <v>97.87</v>
      </c>
      <c r="AKD34">
        <v>97.775000000000006</v>
      </c>
      <c r="AKE34">
        <v>97.77</v>
      </c>
      <c r="AKF34">
        <v>97.82</v>
      </c>
      <c r="AKG34">
        <v>97.88</v>
      </c>
      <c r="AKH34">
        <v>97.86</v>
      </c>
      <c r="AKI34">
        <v>97.91</v>
      </c>
      <c r="AKJ34">
        <v>97.885000000000005</v>
      </c>
      <c r="AKK34">
        <v>97.834999999999994</v>
      </c>
      <c r="AKL34">
        <v>97.825000000000003</v>
      </c>
      <c r="AKM34">
        <v>97.885000000000005</v>
      </c>
      <c r="AKN34">
        <v>97.99</v>
      </c>
      <c r="AKO34">
        <v>98.04</v>
      </c>
      <c r="AKP34">
        <v>98.12</v>
      </c>
      <c r="AKQ34">
        <v>98.215000000000003</v>
      </c>
      <c r="AKR34">
        <v>98.13</v>
      </c>
      <c r="AKS34">
        <v>98.135000000000005</v>
      </c>
      <c r="AKT34">
        <v>98.06</v>
      </c>
      <c r="AKU34">
        <v>98.13</v>
      </c>
      <c r="AKV34">
        <v>98.17</v>
      </c>
      <c r="AKW34">
        <v>98.215000000000003</v>
      </c>
      <c r="AKX34">
        <v>98.135000000000005</v>
      </c>
      <c r="AKY34">
        <v>98.105000000000004</v>
      </c>
      <c r="AKZ34">
        <v>98.185000000000002</v>
      </c>
      <c r="ALA34">
        <v>98.144999999999996</v>
      </c>
      <c r="ALB34">
        <v>98.094999999999999</v>
      </c>
      <c r="ALC34">
        <v>98.144999999999996</v>
      </c>
      <c r="ALD34">
        <v>98.144999999999996</v>
      </c>
      <c r="ALE34">
        <v>98.204999999999998</v>
      </c>
      <c r="ALF34">
        <v>98.194999999999993</v>
      </c>
      <c r="ALG34">
        <v>98.18</v>
      </c>
      <c r="ALH34">
        <v>98.224999999999994</v>
      </c>
      <c r="ALI34">
        <v>98.24</v>
      </c>
      <c r="ALJ34">
        <v>98.21</v>
      </c>
      <c r="ALK34">
        <v>98.22</v>
      </c>
      <c r="ALL34">
        <v>98.295000000000002</v>
      </c>
      <c r="ALM34">
        <v>98.35</v>
      </c>
      <c r="ALN34">
        <v>98.34</v>
      </c>
      <c r="ALO34">
        <v>98.364999999999995</v>
      </c>
      <c r="ALP34">
        <v>98.314999999999998</v>
      </c>
      <c r="ALQ34">
        <v>98.355000000000004</v>
      </c>
      <c r="ALR34">
        <v>98.36</v>
      </c>
      <c r="ALS34">
        <v>98.31</v>
      </c>
      <c r="ALT34">
        <v>98.215000000000003</v>
      </c>
      <c r="ALU34">
        <v>98.234999999999999</v>
      </c>
      <c r="ALV34">
        <v>98.26</v>
      </c>
      <c r="ALW34">
        <v>98.27</v>
      </c>
      <c r="ALX34">
        <v>98.305000000000007</v>
      </c>
      <c r="ALY34">
        <v>98.4</v>
      </c>
      <c r="ALZ34">
        <v>98.394999999999996</v>
      </c>
      <c r="AMA34">
        <v>98.39</v>
      </c>
      <c r="AMB34">
        <v>98.394999999999996</v>
      </c>
      <c r="AMC34">
        <v>98.3</v>
      </c>
      <c r="AMD34">
        <v>98.28</v>
      </c>
      <c r="AME34">
        <v>98.305000000000007</v>
      </c>
      <c r="AMF34">
        <v>98.325000000000003</v>
      </c>
      <c r="AMG34">
        <v>98.29</v>
      </c>
      <c r="AMH34">
        <v>98.27</v>
      </c>
      <c r="AMI34">
        <v>98.295000000000002</v>
      </c>
      <c r="AMJ34">
        <v>98.29</v>
      </c>
      <c r="AMK34">
        <v>98.405000000000001</v>
      </c>
      <c r="AML34">
        <v>98.5</v>
      </c>
      <c r="AMM34">
        <v>98.32</v>
      </c>
      <c r="AMN34">
        <v>98.295000000000002</v>
      </c>
      <c r="AMO34">
        <v>98.194999999999993</v>
      </c>
      <c r="AMP34">
        <v>98.105000000000004</v>
      </c>
      <c r="AMQ34">
        <v>98.17</v>
      </c>
      <c r="AMR34">
        <v>98.165000000000006</v>
      </c>
      <c r="AMS34">
        <v>98.26</v>
      </c>
      <c r="AMT34">
        <v>98.245000000000005</v>
      </c>
      <c r="AMU34">
        <v>98.19</v>
      </c>
      <c r="AMV34">
        <v>98.105000000000004</v>
      </c>
      <c r="AMW34">
        <v>98.105000000000004</v>
      </c>
      <c r="AMX34">
        <v>98.04</v>
      </c>
      <c r="AMY34">
        <v>98.075000000000003</v>
      </c>
      <c r="AMZ34">
        <v>97.984999999999999</v>
      </c>
      <c r="ANA34">
        <v>97.974999999999994</v>
      </c>
      <c r="ANB34">
        <v>97.89</v>
      </c>
      <c r="ANC34">
        <v>97.94</v>
      </c>
      <c r="AND34">
        <v>97.93</v>
      </c>
      <c r="ANE34">
        <v>97.965000000000003</v>
      </c>
      <c r="ANF34">
        <v>97.96</v>
      </c>
      <c r="ANG34">
        <v>98.02</v>
      </c>
      <c r="ANH34">
        <v>97.905000000000001</v>
      </c>
      <c r="ANI34">
        <v>97.765000000000001</v>
      </c>
      <c r="ANJ34">
        <v>97.805000000000007</v>
      </c>
      <c r="ANK34">
        <v>97.79</v>
      </c>
      <c r="ANL34">
        <v>97.724999999999994</v>
      </c>
      <c r="ANM34">
        <v>97.745000000000005</v>
      </c>
      <c r="ANN34">
        <v>97.71</v>
      </c>
      <c r="ANO34">
        <v>97.66</v>
      </c>
      <c r="ANP34">
        <v>97.614999999999995</v>
      </c>
      <c r="ANQ34">
        <v>97.605000000000004</v>
      </c>
      <c r="ANR34">
        <v>97.51</v>
      </c>
      <c r="ANS34">
        <v>97.56</v>
      </c>
      <c r="ANT34">
        <v>97.525000000000006</v>
      </c>
      <c r="ANU34">
        <v>97.57</v>
      </c>
      <c r="ANV34">
        <v>97.57</v>
      </c>
      <c r="ANW34">
        <v>97.584999999999994</v>
      </c>
      <c r="ANX34">
        <v>97.635000000000005</v>
      </c>
      <c r="ANY34">
        <v>97.655000000000001</v>
      </c>
      <c r="ANZ34">
        <v>97.605000000000004</v>
      </c>
      <c r="AOA34">
        <v>97.564999999999998</v>
      </c>
      <c r="AOB34">
        <v>97.57</v>
      </c>
      <c r="AOC34">
        <v>97.51</v>
      </c>
      <c r="AOD34">
        <v>97.55</v>
      </c>
      <c r="AOE34">
        <v>97.555000000000007</v>
      </c>
      <c r="AOF34">
        <v>97.564999999999998</v>
      </c>
      <c r="AOG34">
        <v>97.52</v>
      </c>
      <c r="AOH34">
        <v>97.465000000000003</v>
      </c>
      <c r="AOI34">
        <v>97.564999999999998</v>
      </c>
      <c r="AOJ34">
        <v>97.59</v>
      </c>
      <c r="AOK34">
        <v>97.62</v>
      </c>
      <c r="AOL34">
        <v>97.635000000000005</v>
      </c>
      <c r="AOM34">
        <v>97.61</v>
      </c>
      <c r="AON34">
        <v>97.584999999999994</v>
      </c>
      <c r="AOO34">
        <v>97.56</v>
      </c>
      <c r="AOP34">
        <v>97.525000000000006</v>
      </c>
      <c r="AOQ34">
        <v>97.525000000000006</v>
      </c>
      <c r="AOR34">
        <v>97.55</v>
      </c>
      <c r="AOS34">
        <v>97.56</v>
      </c>
      <c r="AOT34">
        <v>97.62</v>
      </c>
      <c r="AOU34">
        <v>97.63</v>
      </c>
      <c r="AOV34">
        <v>97.655000000000001</v>
      </c>
      <c r="AOW34">
        <v>97.655000000000001</v>
      </c>
      <c r="AOX34">
        <v>97.66</v>
      </c>
      <c r="AOY34">
        <v>97.635000000000005</v>
      </c>
      <c r="AOZ34">
        <v>97.65</v>
      </c>
      <c r="APA34">
        <v>97.69</v>
      </c>
      <c r="APB34">
        <v>97.545000000000002</v>
      </c>
      <c r="APC34">
        <v>97.534999999999997</v>
      </c>
      <c r="APD34">
        <v>97.44</v>
      </c>
      <c r="APE34">
        <v>97.45</v>
      </c>
      <c r="APF34">
        <v>97.48</v>
      </c>
      <c r="APG34">
        <v>97.44</v>
      </c>
      <c r="APH34">
        <v>97.415000000000006</v>
      </c>
      <c r="API34">
        <v>97.31</v>
      </c>
      <c r="APJ34">
        <v>97.295000000000002</v>
      </c>
      <c r="APK34">
        <v>97.36</v>
      </c>
      <c r="APL34">
        <v>97.23</v>
      </c>
      <c r="APM34">
        <v>97.265000000000001</v>
      </c>
      <c r="APN34">
        <v>97.29</v>
      </c>
      <c r="APO34">
        <v>97.37</v>
      </c>
      <c r="APP34">
        <v>97.43</v>
      </c>
      <c r="APQ34">
        <v>97.394999999999996</v>
      </c>
      <c r="APR34">
        <v>97.375</v>
      </c>
      <c r="APS34">
        <v>97.314999999999998</v>
      </c>
      <c r="APT34">
        <v>97.27</v>
      </c>
      <c r="APU34">
        <v>97.45</v>
      </c>
      <c r="APV34">
        <v>97.64</v>
      </c>
      <c r="APW34">
        <v>97.61</v>
      </c>
      <c r="APX34">
        <v>97.605000000000004</v>
      </c>
      <c r="APY34">
        <v>97.59</v>
      </c>
      <c r="APZ34">
        <v>97.66</v>
      </c>
      <c r="AQA34">
        <v>97.66</v>
      </c>
      <c r="AQB34">
        <v>97.63</v>
      </c>
      <c r="AQC34">
        <v>97.575000000000003</v>
      </c>
      <c r="AQD34">
        <v>97.64</v>
      </c>
      <c r="AQE34">
        <v>97.63</v>
      </c>
      <c r="AQF34">
        <v>97.694999999999993</v>
      </c>
      <c r="AQG34">
        <v>97.75</v>
      </c>
      <c r="AQH34">
        <v>97.71</v>
      </c>
      <c r="AQI34">
        <v>97.594999999999999</v>
      </c>
      <c r="AQJ34">
        <v>97.6</v>
      </c>
      <c r="AQK34">
        <v>97.69</v>
      </c>
      <c r="AQL34">
        <v>97.715000000000003</v>
      </c>
      <c r="AQM34">
        <v>97.704999999999998</v>
      </c>
      <c r="AQN34">
        <v>97.74</v>
      </c>
      <c r="AQO34">
        <v>97.784999999999997</v>
      </c>
      <c r="AQP34">
        <v>97.84</v>
      </c>
      <c r="AQQ34">
        <v>97.864999999999995</v>
      </c>
      <c r="AQR34">
        <v>97.984999999999999</v>
      </c>
      <c r="AQS34">
        <v>97.984999999999999</v>
      </c>
      <c r="AQT34">
        <v>98.094999999999999</v>
      </c>
      <c r="AQU34">
        <v>98.105000000000004</v>
      </c>
      <c r="AQV34">
        <v>98.09</v>
      </c>
      <c r="AQW34">
        <v>98.08</v>
      </c>
      <c r="AQX34">
        <v>98.1</v>
      </c>
      <c r="AQY34">
        <v>98.105000000000004</v>
      </c>
      <c r="AQZ34">
        <v>98.245000000000005</v>
      </c>
      <c r="ARA34">
        <v>98.26</v>
      </c>
      <c r="ARB34">
        <v>98.325000000000003</v>
      </c>
      <c r="ARC34">
        <v>98.325000000000003</v>
      </c>
      <c r="ARD34">
        <v>98.33</v>
      </c>
      <c r="ARE34">
        <v>98.32</v>
      </c>
      <c r="ARF34">
        <v>98.314999999999998</v>
      </c>
      <c r="ARG34">
        <v>98.32</v>
      </c>
      <c r="ARH34">
        <v>98.32</v>
      </c>
      <c r="ARI34">
        <v>98.314999999999998</v>
      </c>
      <c r="ARJ34">
        <v>98.33</v>
      </c>
      <c r="ARK34">
        <v>98.33</v>
      </c>
      <c r="ARL34">
        <v>98.32</v>
      </c>
      <c r="ARM34">
        <v>98.32</v>
      </c>
      <c r="ARN34">
        <v>98.33</v>
      </c>
      <c r="ARO34">
        <v>98.314999999999998</v>
      </c>
      <c r="ARP34">
        <v>98.29</v>
      </c>
      <c r="ARQ34">
        <v>98.295000000000002</v>
      </c>
      <c r="ARR34">
        <v>98.3</v>
      </c>
      <c r="ARS34">
        <v>98.34</v>
      </c>
      <c r="ART34">
        <v>98.57</v>
      </c>
      <c r="ARU34">
        <v>98.614999999999995</v>
      </c>
      <c r="ARV34">
        <v>98.625</v>
      </c>
      <c r="ARW34">
        <v>98.614999999999995</v>
      </c>
      <c r="ARX34">
        <v>98.614999999999995</v>
      </c>
      <c r="ARY34">
        <v>98.605000000000004</v>
      </c>
      <c r="ARZ34">
        <v>98.59</v>
      </c>
      <c r="ASA34">
        <v>98.584999999999994</v>
      </c>
      <c r="ASB34">
        <v>98.59</v>
      </c>
      <c r="ASC34">
        <v>98.59</v>
      </c>
      <c r="ASD34">
        <v>98.59</v>
      </c>
      <c r="ASE34">
        <v>98.594999999999999</v>
      </c>
      <c r="ASF34">
        <v>98.59</v>
      </c>
      <c r="ASG34">
        <v>98.59</v>
      </c>
      <c r="ASH34">
        <v>98.685000000000002</v>
      </c>
      <c r="ASI34">
        <v>98.694999999999993</v>
      </c>
      <c r="ASJ34">
        <v>98.724999999999994</v>
      </c>
      <c r="ASK34">
        <v>98.724999999999994</v>
      </c>
      <c r="ASL34">
        <v>98.724999999999994</v>
      </c>
      <c r="ASM34">
        <v>99.045000000000002</v>
      </c>
      <c r="ASN34">
        <v>99.424999999999997</v>
      </c>
      <c r="ASO34">
        <v>99.53</v>
      </c>
      <c r="ASP34">
        <v>99.53</v>
      </c>
      <c r="ASQ34">
        <v>99.54</v>
      </c>
      <c r="ASR34">
        <v>99.555000000000007</v>
      </c>
      <c r="ASS34">
        <v>99.56</v>
      </c>
      <c r="AST34">
        <v>99.564999999999998</v>
      </c>
      <c r="ASU34">
        <v>99.59</v>
      </c>
      <c r="ASV34">
        <v>99.594999999999999</v>
      </c>
      <c r="ASW34">
        <v>99.59</v>
      </c>
      <c r="ASX34">
        <v>99.59</v>
      </c>
      <c r="ASY34">
        <v>99.584999999999994</v>
      </c>
      <c r="ASZ34">
        <v>99.58</v>
      </c>
      <c r="ATA34">
        <v>99.594999999999999</v>
      </c>
      <c r="ATB34">
        <v>99.59</v>
      </c>
      <c r="ATC34">
        <v>99.59</v>
      </c>
      <c r="ATD34">
        <v>99.594999999999999</v>
      </c>
      <c r="ATE34">
        <v>99.584999999999994</v>
      </c>
      <c r="ATF34">
        <v>99.584999999999994</v>
      </c>
      <c r="ATG34">
        <v>99.58</v>
      </c>
      <c r="ATH34">
        <v>99.56</v>
      </c>
      <c r="ATI34">
        <v>99.56</v>
      </c>
      <c r="ATJ34">
        <v>99.594999999999999</v>
      </c>
      <c r="ATK34">
        <v>99.64</v>
      </c>
      <c r="ATL34">
        <v>99.644999999999996</v>
      </c>
      <c r="ATM34">
        <v>99.665000000000006</v>
      </c>
      <c r="ATN34">
        <v>99.635000000000005</v>
      </c>
      <c r="ATO34">
        <v>99.644999999999996</v>
      </c>
      <c r="ATP34">
        <v>99.64</v>
      </c>
      <c r="ATQ34">
        <v>99.644999999999996</v>
      </c>
      <c r="ATR34">
        <v>99.655000000000001</v>
      </c>
      <c r="ATS34">
        <v>99.655000000000001</v>
      </c>
      <c r="ATT34">
        <v>99.65</v>
      </c>
      <c r="ATU34">
        <v>99.64</v>
      </c>
      <c r="ATV34">
        <v>99.63</v>
      </c>
      <c r="ATW34">
        <v>99.655000000000001</v>
      </c>
      <c r="ATX34">
        <v>99.655000000000001</v>
      </c>
      <c r="ATY34">
        <v>99.665000000000006</v>
      </c>
      <c r="ATZ34">
        <v>99.674999999999997</v>
      </c>
      <c r="AUA34">
        <v>99.67</v>
      </c>
      <c r="AUB34">
        <v>99.674999999999997</v>
      </c>
      <c r="AUC34">
        <v>99.67</v>
      </c>
      <c r="AUD34">
        <v>99.655000000000001</v>
      </c>
      <c r="AUE34">
        <v>99.65</v>
      </c>
      <c r="AUF34">
        <v>99.665000000000006</v>
      </c>
      <c r="AUG34">
        <v>99.66</v>
      </c>
      <c r="AUH34">
        <v>99.685000000000002</v>
      </c>
      <c r="AUI34">
        <v>99.685000000000002</v>
      </c>
      <c r="AUJ34">
        <v>99.734999999999999</v>
      </c>
      <c r="AUK34">
        <v>99.734999999999999</v>
      </c>
      <c r="AUL34">
        <v>99.734999999999999</v>
      </c>
      <c r="AUM34">
        <v>99.74</v>
      </c>
      <c r="AUN34">
        <v>99.74</v>
      </c>
      <c r="AUO34">
        <v>99.75</v>
      </c>
      <c r="AUP34">
        <v>99.75</v>
      </c>
      <c r="AUQ34">
        <v>99.754999999999995</v>
      </c>
      <c r="AUR34">
        <v>99.754999999999995</v>
      </c>
      <c r="AUS34">
        <v>99.745000000000005</v>
      </c>
      <c r="AUT34">
        <v>99.724999999999994</v>
      </c>
      <c r="AUU34">
        <v>99.74</v>
      </c>
      <c r="AUV34">
        <v>99.734999999999999</v>
      </c>
      <c r="AUW34">
        <v>99.765000000000001</v>
      </c>
      <c r="AUX34">
        <v>99.77</v>
      </c>
      <c r="AUY34">
        <v>99.76</v>
      </c>
      <c r="AUZ34">
        <v>99.734999999999999</v>
      </c>
      <c r="AVA34">
        <v>99.73</v>
      </c>
      <c r="AVB34">
        <v>99.734999999999999</v>
      </c>
      <c r="AVC34">
        <v>99.724999999999994</v>
      </c>
      <c r="AVD34">
        <v>99.724999999999994</v>
      </c>
      <c r="AVE34">
        <v>99.754999999999995</v>
      </c>
      <c r="AVF34">
        <v>99.745000000000005</v>
      </c>
      <c r="AVG34">
        <v>99.754999999999995</v>
      </c>
      <c r="AVH34">
        <v>99.75</v>
      </c>
      <c r="AVI34">
        <v>99.745000000000005</v>
      </c>
      <c r="AVJ34">
        <v>99.724999999999994</v>
      </c>
      <c r="AVK34">
        <v>99.734999999999999</v>
      </c>
      <c r="AVL34">
        <v>99.74</v>
      </c>
      <c r="AVM34">
        <v>99.75</v>
      </c>
      <c r="AVN34">
        <v>99.745000000000005</v>
      </c>
      <c r="AVO34">
        <v>99.754999999999995</v>
      </c>
      <c r="AVP34">
        <v>99.754999999999995</v>
      </c>
      <c r="AVQ34">
        <v>99.745000000000005</v>
      </c>
      <c r="AVR34">
        <v>99.73</v>
      </c>
      <c r="AVS34">
        <v>99.72</v>
      </c>
      <c r="AVT34">
        <v>99.72</v>
      </c>
      <c r="AVU34">
        <v>99.724999999999994</v>
      </c>
      <c r="AVV34">
        <v>99.724999999999994</v>
      </c>
      <c r="AVW34">
        <v>99.76</v>
      </c>
      <c r="AVX34">
        <v>99.77</v>
      </c>
      <c r="AVY34">
        <v>99.79</v>
      </c>
      <c r="AVZ34">
        <v>99.795000000000002</v>
      </c>
      <c r="AWA34">
        <v>99.805000000000007</v>
      </c>
      <c r="AWB34">
        <v>99.795000000000002</v>
      </c>
      <c r="AWC34">
        <v>99.79</v>
      </c>
      <c r="AWD34">
        <v>99.784999999999997</v>
      </c>
      <c r="AWE34">
        <v>99.765000000000001</v>
      </c>
      <c r="AWF34">
        <v>99.754999999999995</v>
      </c>
      <c r="AWG34">
        <v>99.75</v>
      </c>
      <c r="AWH34">
        <v>99.76</v>
      </c>
      <c r="AWI34">
        <v>99.765000000000001</v>
      </c>
      <c r="AWJ34">
        <v>99.765000000000001</v>
      </c>
      <c r="AWK34">
        <v>99.76</v>
      </c>
      <c r="AWL34">
        <v>99.76</v>
      </c>
      <c r="AWM34">
        <v>99.754999999999995</v>
      </c>
      <c r="AWN34">
        <v>99.754999999999995</v>
      </c>
      <c r="AWO34">
        <v>99.75</v>
      </c>
      <c r="AWP34">
        <v>99.76</v>
      </c>
      <c r="AWQ34">
        <v>99.76</v>
      </c>
      <c r="AWR34">
        <v>99.775000000000006</v>
      </c>
      <c r="AWS34">
        <v>99.79</v>
      </c>
      <c r="AWT34">
        <v>99.775000000000006</v>
      </c>
      <c r="AWU34">
        <v>99.77</v>
      </c>
      <c r="AWV34">
        <v>99.765000000000001</v>
      </c>
      <c r="AWW34">
        <v>99.765000000000001</v>
      </c>
      <c r="AWX34">
        <v>99.765000000000001</v>
      </c>
      <c r="AWY34">
        <v>99.754999999999995</v>
      </c>
      <c r="AWZ34">
        <v>99.775000000000006</v>
      </c>
      <c r="AXA34">
        <v>99.775000000000006</v>
      </c>
      <c r="AXB34">
        <v>99.765000000000001</v>
      </c>
      <c r="AXC34">
        <v>99.745000000000005</v>
      </c>
      <c r="AXD34">
        <v>99.745000000000005</v>
      </c>
      <c r="AXE34">
        <v>99.745000000000005</v>
      </c>
      <c r="AXF34">
        <v>99.74</v>
      </c>
      <c r="AXG34">
        <v>99.73</v>
      </c>
      <c r="AXH34">
        <v>99.71</v>
      </c>
      <c r="AXI34">
        <v>99.704999999999998</v>
      </c>
      <c r="AXJ34">
        <v>99.694999999999993</v>
      </c>
      <c r="AXK34">
        <v>99.71</v>
      </c>
      <c r="AXL34">
        <v>99.7</v>
      </c>
      <c r="AXM34">
        <v>99.71</v>
      </c>
      <c r="AXN34">
        <v>99.685000000000002</v>
      </c>
      <c r="AXO34">
        <v>99.635000000000005</v>
      </c>
      <c r="AXP34">
        <v>99.6</v>
      </c>
      <c r="AXQ34">
        <v>99.594999999999999</v>
      </c>
      <c r="AXR34">
        <v>99.66</v>
      </c>
      <c r="AXS34">
        <v>99.674999999999997</v>
      </c>
      <c r="AXT34">
        <v>99.71</v>
      </c>
      <c r="AXU34">
        <v>99.715000000000003</v>
      </c>
      <c r="AXV34">
        <v>99.704999999999998</v>
      </c>
      <c r="AXW34">
        <v>99.685000000000002</v>
      </c>
      <c r="AXX34">
        <v>99.69</v>
      </c>
      <c r="AXY34">
        <v>99.694999999999993</v>
      </c>
      <c r="AXZ34">
        <v>99.7</v>
      </c>
      <c r="AYA34">
        <v>99.7</v>
      </c>
      <c r="AYB34">
        <v>99.694999999999993</v>
      </c>
      <c r="AYC34">
        <v>99.694999999999993</v>
      </c>
      <c r="AYD34">
        <v>99.7</v>
      </c>
      <c r="AYE34">
        <v>99.7</v>
      </c>
      <c r="AYF34">
        <v>99.745000000000005</v>
      </c>
      <c r="AYG34">
        <v>99.72</v>
      </c>
      <c r="AYH34">
        <v>99.71</v>
      </c>
      <c r="AYI34">
        <v>99.69</v>
      </c>
      <c r="AYJ34">
        <v>99.69</v>
      </c>
      <c r="AYK34">
        <v>99.71</v>
      </c>
      <c r="AYL34">
        <v>99.72</v>
      </c>
      <c r="AYM34">
        <v>99.665000000000006</v>
      </c>
      <c r="AYN34">
        <v>99.65</v>
      </c>
      <c r="AYO34">
        <v>99.655000000000001</v>
      </c>
      <c r="AYP34">
        <v>99.64</v>
      </c>
      <c r="AYQ34">
        <v>99.644999999999996</v>
      </c>
      <c r="AYR34">
        <v>99.635000000000005</v>
      </c>
      <c r="AYS34">
        <v>99.62</v>
      </c>
      <c r="AYT34">
        <v>99.614999999999995</v>
      </c>
      <c r="AYU34">
        <v>99.625</v>
      </c>
      <c r="AYV34">
        <v>99.625</v>
      </c>
      <c r="AYW34">
        <v>99.62</v>
      </c>
      <c r="AYX34">
        <v>99.63</v>
      </c>
      <c r="AYY34">
        <v>99.61</v>
      </c>
      <c r="AYZ34">
        <v>99.6</v>
      </c>
      <c r="AZA34">
        <v>99.584999999999994</v>
      </c>
      <c r="AZB34">
        <v>99.575000000000003</v>
      </c>
      <c r="AZC34">
        <v>99.545000000000002</v>
      </c>
      <c r="AZD34">
        <v>99.53</v>
      </c>
      <c r="AZE34">
        <v>99.54</v>
      </c>
      <c r="AZF34">
        <v>99.54</v>
      </c>
      <c r="AZG34">
        <v>99.52</v>
      </c>
      <c r="AZH34">
        <v>99.504999999999995</v>
      </c>
      <c r="AZI34">
        <v>99.55</v>
      </c>
      <c r="AZJ34">
        <v>99.61</v>
      </c>
      <c r="AZK34">
        <v>99.605000000000004</v>
      </c>
      <c r="AZL34">
        <v>99.62</v>
      </c>
      <c r="AZM34">
        <v>99.594999999999999</v>
      </c>
      <c r="AZN34">
        <v>99.625</v>
      </c>
      <c r="AZO34">
        <v>99.58</v>
      </c>
      <c r="AZP34">
        <v>99.56</v>
      </c>
      <c r="AZQ34">
        <v>99.53</v>
      </c>
      <c r="AZR34">
        <v>99.525000000000006</v>
      </c>
      <c r="AZS34">
        <v>99.584999999999994</v>
      </c>
      <c r="AZT34">
        <v>99.504999999999995</v>
      </c>
      <c r="AZU34">
        <v>99.444999999999993</v>
      </c>
      <c r="AZV34">
        <v>99.34</v>
      </c>
      <c r="AZW34">
        <v>99.454999999999998</v>
      </c>
      <c r="AZX34">
        <v>99.504999999999995</v>
      </c>
      <c r="AZY34">
        <v>99.43</v>
      </c>
      <c r="AZZ34">
        <v>99.47</v>
      </c>
      <c r="BAA34">
        <v>99.4</v>
      </c>
      <c r="BAB34">
        <v>99.39</v>
      </c>
      <c r="BAC34">
        <v>99.51</v>
      </c>
      <c r="BAD34">
        <v>99.435000000000002</v>
      </c>
      <c r="BAE34">
        <v>99.35</v>
      </c>
      <c r="BAF34">
        <v>99.3</v>
      </c>
      <c r="BAG34">
        <v>99.24</v>
      </c>
      <c r="BAH34">
        <v>99.17</v>
      </c>
      <c r="BAI34">
        <v>99.17</v>
      </c>
      <c r="BAJ34">
        <v>98.97</v>
      </c>
      <c r="BAK34">
        <v>98.915000000000006</v>
      </c>
      <c r="BAL34">
        <v>98.924999999999997</v>
      </c>
      <c r="BAM34">
        <v>98.87</v>
      </c>
      <c r="BAN34">
        <v>98.76</v>
      </c>
      <c r="BAO34">
        <v>98.694999999999993</v>
      </c>
      <c r="BAP34">
        <v>98.65</v>
      </c>
      <c r="BAQ34">
        <v>98.674999999999997</v>
      </c>
      <c r="BAR34">
        <v>98.644999999999996</v>
      </c>
      <c r="BAS34">
        <v>98.644999999999996</v>
      </c>
      <c r="BAT34">
        <v>98.61</v>
      </c>
      <c r="BAU34">
        <v>98.61</v>
      </c>
      <c r="BAV34">
        <v>98.65</v>
      </c>
      <c r="BAW34">
        <v>98.68</v>
      </c>
      <c r="BAX34">
        <v>98.644999999999996</v>
      </c>
      <c r="BAY34">
        <v>98.59</v>
      </c>
      <c r="BAZ34">
        <v>98.61</v>
      </c>
      <c r="BBA34">
        <v>98.65</v>
      </c>
      <c r="BBB34">
        <v>98.734999999999999</v>
      </c>
      <c r="BBC34">
        <v>98.75</v>
      </c>
      <c r="BBD34">
        <v>98.694999999999993</v>
      </c>
      <c r="BBE34">
        <v>98.65</v>
      </c>
      <c r="BBF34">
        <v>98.6</v>
      </c>
      <c r="BBG34">
        <v>98.635000000000005</v>
      </c>
      <c r="BBH34">
        <v>98.55</v>
      </c>
      <c r="BBI34">
        <v>98.495000000000005</v>
      </c>
      <c r="BBJ34">
        <v>98.474999999999994</v>
      </c>
      <c r="BBK34">
        <v>98.46</v>
      </c>
      <c r="BBL34">
        <v>98.405000000000001</v>
      </c>
      <c r="BBM34">
        <v>98.405000000000001</v>
      </c>
      <c r="BBN34">
        <v>98.42</v>
      </c>
      <c r="BBO34">
        <v>98.43</v>
      </c>
      <c r="BBP34">
        <v>98.42</v>
      </c>
      <c r="BBQ34">
        <v>98.405000000000001</v>
      </c>
      <c r="BBR34">
        <v>98.41</v>
      </c>
      <c r="BBS34">
        <v>98.394999999999996</v>
      </c>
      <c r="BBT34">
        <v>98.39</v>
      </c>
      <c r="BBU34">
        <v>98.435000000000002</v>
      </c>
      <c r="BBV34">
        <v>98.444999999999993</v>
      </c>
      <c r="BBW34">
        <v>98.45</v>
      </c>
      <c r="BBX34">
        <v>98.36</v>
      </c>
      <c r="BBY34">
        <v>98.35</v>
      </c>
      <c r="BBZ34">
        <v>98.35</v>
      </c>
      <c r="BCA34">
        <v>98.355000000000004</v>
      </c>
      <c r="BCB34">
        <v>98.355000000000004</v>
      </c>
      <c r="BCC34">
        <v>98.314999999999998</v>
      </c>
      <c r="BCD34">
        <v>98.314999999999998</v>
      </c>
      <c r="BCE34">
        <v>98.314999999999998</v>
      </c>
      <c r="BCF34">
        <v>98.295000000000002</v>
      </c>
      <c r="BCG34">
        <v>98.334999999999994</v>
      </c>
      <c r="BCH34">
        <v>98.35</v>
      </c>
      <c r="BCI34">
        <v>98.33</v>
      </c>
      <c r="BCJ34">
        <v>98.36</v>
      </c>
      <c r="BCK34">
        <v>98.37</v>
      </c>
      <c r="BCL34">
        <v>98.444999999999993</v>
      </c>
      <c r="BCM34">
        <v>98.364999999999995</v>
      </c>
      <c r="BCN34">
        <v>98.45</v>
      </c>
      <c r="BCO34">
        <v>98.41</v>
      </c>
      <c r="BCP34">
        <v>98.424999999999997</v>
      </c>
      <c r="BCQ34">
        <v>98.435000000000002</v>
      </c>
      <c r="BCR34">
        <v>98.495000000000005</v>
      </c>
      <c r="BCS34">
        <v>98.51</v>
      </c>
      <c r="BCT34">
        <v>98.584999999999994</v>
      </c>
      <c r="BCU34">
        <v>98.465000000000003</v>
      </c>
      <c r="BCV34">
        <v>98.5</v>
      </c>
      <c r="BCW34">
        <v>98.49</v>
      </c>
      <c r="BCX34">
        <v>98.49</v>
      </c>
      <c r="BCY34">
        <v>98.53</v>
      </c>
      <c r="BCZ34">
        <v>98.52</v>
      </c>
      <c r="BDA34">
        <v>98.504999999999995</v>
      </c>
      <c r="BDB34">
        <v>98.525000000000006</v>
      </c>
      <c r="BDC34">
        <v>98.555000000000007</v>
      </c>
      <c r="BDD34">
        <v>98.52</v>
      </c>
      <c r="BDE34">
        <v>98.495000000000005</v>
      </c>
      <c r="BDF34">
        <v>98.47</v>
      </c>
      <c r="BDG34">
        <v>98.48</v>
      </c>
      <c r="BDH34">
        <v>98.43</v>
      </c>
      <c r="BDI34">
        <v>98.38</v>
      </c>
      <c r="BDJ34">
        <v>98.35</v>
      </c>
      <c r="BDK34">
        <v>98.36</v>
      </c>
      <c r="BDL34">
        <v>98.344999999999999</v>
      </c>
      <c r="BDM34">
        <v>98.454999999999998</v>
      </c>
      <c r="BDN34">
        <v>98.43</v>
      </c>
      <c r="BDO34">
        <v>98.49</v>
      </c>
      <c r="BDP34">
        <v>98.54</v>
      </c>
      <c r="BDQ34">
        <v>98.61</v>
      </c>
      <c r="BDR34">
        <v>98.484999999999999</v>
      </c>
      <c r="BDS34">
        <v>98.465000000000003</v>
      </c>
      <c r="BDT34">
        <v>98.47</v>
      </c>
      <c r="BDU34">
        <v>98.5</v>
      </c>
      <c r="BDV34">
        <v>98.545000000000002</v>
      </c>
      <c r="BDW34">
        <v>98.555000000000007</v>
      </c>
      <c r="BDX34">
        <v>98.534999999999997</v>
      </c>
      <c r="BDY34">
        <v>98.51</v>
      </c>
      <c r="BDZ34">
        <v>98.55</v>
      </c>
      <c r="BEA34">
        <v>98.525000000000006</v>
      </c>
      <c r="BEB34">
        <v>98.55</v>
      </c>
      <c r="BEC34">
        <v>98.51</v>
      </c>
      <c r="BED34">
        <v>98.564999999999998</v>
      </c>
      <c r="BEE34">
        <v>98.545000000000002</v>
      </c>
      <c r="BEF34">
        <v>98.674999999999997</v>
      </c>
      <c r="BEG34">
        <v>98.74</v>
      </c>
      <c r="BEH34">
        <v>98.795000000000002</v>
      </c>
      <c r="BEI34">
        <v>98.784999999999997</v>
      </c>
      <c r="BEJ34">
        <v>98.855000000000004</v>
      </c>
      <c r="BEK34">
        <v>98.864999999999995</v>
      </c>
      <c r="BEL34">
        <v>98.765000000000001</v>
      </c>
      <c r="BEM34">
        <v>98.69</v>
      </c>
      <c r="BEN34">
        <v>98.62</v>
      </c>
      <c r="BEO34">
        <v>98.63</v>
      </c>
      <c r="BEP34" t="s">
        <v>6984</v>
      </c>
      <c r="BEQ34" t="s">
        <v>6984</v>
      </c>
      <c r="BER34" t="s">
        <v>6984</v>
      </c>
      <c r="BES34" t="s">
        <v>6984</v>
      </c>
      <c r="BET34" t="s">
        <v>6984</v>
      </c>
      <c r="BEU34" t="s">
        <v>6984</v>
      </c>
      <c r="BEV34" t="s">
        <v>6984</v>
      </c>
      <c r="BEW34" t="s">
        <v>6984</v>
      </c>
      <c r="BEX34" t="s">
        <v>6984</v>
      </c>
      <c r="BEY34" t="s">
        <v>6984</v>
      </c>
      <c r="BEZ34" t="s">
        <v>6984</v>
      </c>
      <c r="BFA34" t="s">
        <v>6984</v>
      </c>
      <c r="BFB34" t="s">
        <v>6984</v>
      </c>
      <c r="BFC34" t="s">
        <v>6984</v>
      </c>
      <c r="BFD34" t="s">
        <v>6984</v>
      </c>
      <c r="BFE34" t="s">
        <v>6984</v>
      </c>
      <c r="BFF34" t="s">
        <v>6984</v>
      </c>
      <c r="BFG34" t="s">
        <v>6984</v>
      </c>
      <c r="BFH34" t="s">
        <v>6984</v>
      </c>
      <c r="BFI34" t="s">
        <v>6984</v>
      </c>
      <c r="BFJ34" t="s">
        <v>6984</v>
      </c>
      <c r="BFK34" t="s">
        <v>6984</v>
      </c>
      <c r="BFL34" t="s">
        <v>6984</v>
      </c>
      <c r="BFM34" t="s">
        <v>6984</v>
      </c>
      <c r="BFN34" t="s">
        <v>6984</v>
      </c>
      <c r="BFO34" t="s">
        <v>6984</v>
      </c>
      <c r="BFP34" t="s">
        <v>6984</v>
      </c>
      <c r="BFQ34" t="s">
        <v>6984</v>
      </c>
      <c r="BFR34" t="s">
        <v>6984</v>
      </c>
      <c r="BFS34" t="s">
        <v>6984</v>
      </c>
      <c r="BFT34" t="s">
        <v>6984</v>
      </c>
      <c r="BFU34" t="s">
        <v>6984</v>
      </c>
      <c r="BFV34" t="s">
        <v>6984</v>
      </c>
      <c r="BFW34" t="s">
        <v>6984</v>
      </c>
      <c r="BFX34" t="s">
        <v>6984</v>
      </c>
      <c r="BFY34" t="s">
        <v>6984</v>
      </c>
      <c r="BFZ34" t="s">
        <v>6984</v>
      </c>
      <c r="BGA34" t="s">
        <v>6984</v>
      </c>
      <c r="BGB34" t="s">
        <v>6984</v>
      </c>
      <c r="BGC34" t="s">
        <v>6984</v>
      </c>
      <c r="BGD34" t="s">
        <v>6984</v>
      </c>
      <c r="BGE34" t="s">
        <v>6984</v>
      </c>
      <c r="BGF34" t="s">
        <v>6984</v>
      </c>
      <c r="BGG34" t="s">
        <v>6984</v>
      </c>
      <c r="BGH34" t="s">
        <v>6984</v>
      </c>
      <c r="BGI34" t="s">
        <v>6984</v>
      </c>
      <c r="BGJ34" t="s">
        <v>6984</v>
      </c>
      <c r="BGK34" t="s">
        <v>6984</v>
      </c>
      <c r="BGL34" t="s">
        <v>6984</v>
      </c>
      <c r="BGM34" t="s">
        <v>6984</v>
      </c>
      <c r="BGN34" t="s">
        <v>6984</v>
      </c>
      <c r="BGO34" t="s">
        <v>6984</v>
      </c>
      <c r="BGP34" t="s">
        <v>6984</v>
      </c>
      <c r="BGQ34" t="s">
        <v>6984</v>
      </c>
      <c r="BGR34" t="s">
        <v>6984</v>
      </c>
      <c r="BGS34" t="s">
        <v>6984</v>
      </c>
      <c r="BGT34" t="s">
        <v>6984</v>
      </c>
      <c r="BGU34" t="s">
        <v>6984</v>
      </c>
      <c r="BGV34" t="s">
        <v>6984</v>
      </c>
      <c r="BGW34" t="s">
        <v>6984</v>
      </c>
      <c r="BGX34" t="s">
        <v>6984</v>
      </c>
      <c r="BGY34" t="s">
        <v>6984</v>
      </c>
      <c r="BGZ34" t="s">
        <v>6984</v>
      </c>
      <c r="BHA34" t="s">
        <v>6984</v>
      </c>
      <c r="BHB34" t="s">
        <v>6984</v>
      </c>
      <c r="BHC34" t="s">
        <v>6984</v>
      </c>
      <c r="BHD34" t="s">
        <v>6984</v>
      </c>
      <c r="BHE34" t="s">
        <v>6984</v>
      </c>
      <c r="BHF34" t="s">
        <v>6984</v>
      </c>
      <c r="BHG34" t="s">
        <v>6984</v>
      </c>
      <c r="BHH34" t="s">
        <v>6984</v>
      </c>
      <c r="BHI34" t="s">
        <v>6984</v>
      </c>
      <c r="BHJ34" t="s">
        <v>6984</v>
      </c>
      <c r="BHK34" t="s">
        <v>6984</v>
      </c>
      <c r="BHL34" t="s">
        <v>6984</v>
      </c>
      <c r="BHM34" t="s">
        <v>6984</v>
      </c>
      <c r="BHN34" t="s">
        <v>6984</v>
      </c>
      <c r="BHO34" t="s">
        <v>6984</v>
      </c>
      <c r="BHP34" t="s">
        <v>6984</v>
      </c>
      <c r="BHQ34" t="s">
        <v>6984</v>
      </c>
      <c r="BHR34" t="s">
        <v>6984</v>
      </c>
      <c r="BHS34" t="s">
        <v>6984</v>
      </c>
      <c r="BHT34" t="s">
        <v>6984</v>
      </c>
      <c r="BHU34" t="s">
        <v>6984</v>
      </c>
      <c r="BHV34" t="s">
        <v>6984</v>
      </c>
      <c r="BHW34" t="s">
        <v>6984</v>
      </c>
      <c r="BHX34" t="s">
        <v>6984</v>
      </c>
      <c r="BHY34" t="s">
        <v>6984</v>
      </c>
      <c r="BHZ34" t="s">
        <v>6984</v>
      </c>
      <c r="BIA34" t="s">
        <v>6984</v>
      </c>
      <c r="BIB34" t="s">
        <v>6984</v>
      </c>
      <c r="BIC34" t="s">
        <v>6984</v>
      </c>
      <c r="BID34" t="s">
        <v>6984</v>
      </c>
      <c r="BIE34" t="s">
        <v>6984</v>
      </c>
      <c r="BIF34" t="s">
        <v>6984</v>
      </c>
      <c r="BIG34" t="s">
        <v>6984</v>
      </c>
      <c r="BIH34" t="s">
        <v>6984</v>
      </c>
      <c r="BII34" t="s">
        <v>6984</v>
      </c>
      <c r="BIJ34" t="s">
        <v>6984</v>
      </c>
      <c r="BIK34" t="s">
        <v>6984</v>
      </c>
      <c r="BIL34" t="s">
        <v>6984</v>
      </c>
      <c r="BIM34" t="s">
        <v>6984</v>
      </c>
      <c r="BIN34" t="s">
        <v>6984</v>
      </c>
      <c r="BIO34" t="s">
        <v>6984</v>
      </c>
      <c r="BIP34" t="s">
        <v>6984</v>
      </c>
      <c r="BIQ34" t="s">
        <v>6984</v>
      </c>
      <c r="BIR34" t="s">
        <v>6984</v>
      </c>
      <c r="BIS34" t="s">
        <v>6984</v>
      </c>
      <c r="BIT34" t="s">
        <v>6984</v>
      </c>
      <c r="BIU34" t="s">
        <v>6984</v>
      </c>
      <c r="BIV34" t="s">
        <v>6984</v>
      </c>
      <c r="BIW34" t="s">
        <v>6984</v>
      </c>
      <c r="BIX34" t="s">
        <v>6984</v>
      </c>
      <c r="BIY34" t="s">
        <v>6984</v>
      </c>
      <c r="BIZ34" t="s">
        <v>6984</v>
      </c>
      <c r="BJA34" t="s">
        <v>6984</v>
      </c>
      <c r="BJB34" t="s">
        <v>6984</v>
      </c>
      <c r="BJC34" t="s">
        <v>6984</v>
      </c>
      <c r="BJD34" t="s">
        <v>6984</v>
      </c>
      <c r="BJE34" t="s">
        <v>6984</v>
      </c>
      <c r="BJF34" t="s">
        <v>6984</v>
      </c>
      <c r="BJG34" t="s">
        <v>6984</v>
      </c>
      <c r="BJH34" t="s">
        <v>6984</v>
      </c>
      <c r="BJI34" t="s">
        <v>6984</v>
      </c>
      <c r="BJJ34" t="s">
        <v>6984</v>
      </c>
      <c r="BJK34" t="s">
        <v>6984</v>
      </c>
      <c r="BJL34" t="s">
        <v>6984</v>
      </c>
      <c r="BJM34" t="s">
        <v>6984</v>
      </c>
      <c r="BJN34" t="s">
        <v>6984</v>
      </c>
      <c r="BJO34" t="s">
        <v>6984</v>
      </c>
      <c r="BJP34" t="s">
        <v>6984</v>
      </c>
      <c r="BJQ34" t="s">
        <v>6984</v>
      </c>
      <c r="BJR34" t="s">
        <v>6984</v>
      </c>
      <c r="BJS34" t="s">
        <v>6984</v>
      </c>
      <c r="BJT34" t="s">
        <v>6984</v>
      </c>
      <c r="BJU34" t="s">
        <v>6984</v>
      </c>
      <c r="BJV34" t="s">
        <v>6984</v>
      </c>
      <c r="BJW34" t="s">
        <v>6984</v>
      </c>
      <c r="BJX34" t="s">
        <v>6984</v>
      </c>
      <c r="BJY34" t="s">
        <v>6984</v>
      </c>
      <c r="BJZ34" t="s">
        <v>6984</v>
      </c>
      <c r="BKA34" t="s">
        <v>6984</v>
      </c>
      <c r="BKB34" t="s">
        <v>6984</v>
      </c>
      <c r="BKC34" t="s">
        <v>6984</v>
      </c>
      <c r="BKD34" t="s">
        <v>6984</v>
      </c>
      <c r="BKE34" t="s">
        <v>6984</v>
      </c>
      <c r="BKF34" t="s">
        <v>6984</v>
      </c>
      <c r="BKG34" t="s">
        <v>6984</v>
      </c>
      <c r="BKH34" t="s">
        <v>6984</v>
      </c>
      <c r="BKI34" t="s">
        <v>6984</v>
      </c>
      <c r="BKJ34" t="s">
        <v>6984</v>
      </c>
      <c r="BKK34" t="s">
        <v>6984</v>
      </c>
      <c r="BKL34" t="s">
        <v>6984</v>
      </c>
      <c r="BKM34" t="s">
        <v>6984</v>
      </c>
      <c r="BKN34" t="s">
        <v>6984</v>
      </c>
      <c r="BKO34" t="s">
        <v>6984</v>
      </c>
      <c r="BKP34" t="s">
        <v>6984</v>
      </c>
      <c r="BKQ34" t="s">
        <v>6984</v>
      </c>
      <c r="BKR34" t="s">
        <v>6984</v>
      </c>
      <c r="BKS34" t="s">
        <v>6984</v>
      </c>
      <c r="BKT34" t="s">
        <v>6984</v>
      </c>
      <c r="BKU34" t="s">
        <v>6984</v>
      </c>
      <c r="BKV34" t="s">
        <v>6984</v>
      </c>
      <c r="BKW34" t="s">
        <v>6984</v>
      </c>
      <c r="BKX34" t="s">
        <v>6984</v>
      </c>
      <c r="BKY34" t="s">
        <v>6984</v>
      </c>
      <c r="BKZ34" t="s">
        <v>6984</v>
      </c>
      <c r="BLA34" t="s">
        <v>6984</v>
      </c>
      <c r="BLB34" t="s">
        <v>6984</v>
      </c>
      <c r="BLC34" t="s">
        <v>6984</v>
      </c>
      <c r="BLD34" t="s">
        <v>6984</v>
      </c>
      <c r="BLE34" t="s">
        <v>6984</v>
      </c>
      <c r="BLF34" t="s">
        <v>6984</v>
      </c>
      <c r="BLG34" t="s">
        <v>6984</v>
      </c>
      <c r="BLH34" t="s">
        <v>6984</v>
      </c>
      <c r="BLI34" t="s">
        <v>6984</v>
      </c>
      <c r="BLJ34" t="s">
        <v>6984</v>
      </c>
      <c r="BLK34" t="s">
        <v>6984</v>
      </c>
      <c r="BLL34" t="s">
        <v>6984</v>
      </c>
      <c r="BLM34" t="s">
        <v>6984</v>
      </c>
      <c r="BLN34" t="s">
        <v>6984</v>
      </c>
      <c r="BLO34" t="s">
        <v>6984</v>
      </c>
      <c r="BLP34" t="s">
        <v>6984</v>
      </c>
      <c r="BLQ34" t="s">
        <v>6984</v>
      </c>
      <c r="BLR34" t="s">
        <v>6984</v>
      </c>
      <c r="BLS34" t="s">
        <v>6984</v>
      </c>
      <c r="BLT34" t="s">
        <v>6984</v>
      </c>
      <c r="BLU34" t="s">
        <v>6984</v>
      </c>
      <c r="BLV34" t="s">
        <v>6984</v>
      </c>
      <c r="BLW34" t="s">
        <v>6984</v>
      </c>
      <c r="BLX34" t="s">
        <v>6984</v>
      </c>
      <c r="BLY34" t="s">
        <v>6984</v>
      </c>
      <c r="BLZ34" t="s">
        <v>6984</v>
      </c>
      <c r="BMA34" t="s">
        <v>6984</v>
      </c>
      <c r="BMB34" t="s">
        <v>6984</v>
      </c>
      <c r="BMC34" t="s">
        <v>6984</v>
      </c>
      <c r="BMD34" t="s">
        <v>6984</v>
      </c>
      <c r="BME34" t="s">
        <v>6984</v>
      </c>
      <c r="BMF34" t="s">
        <v>6984</v>
      </c>
      <c r="BMG34" t="s">
        <v>6984</v>
      </c>
      <c r="BMH34" t="s">
        <v>6984</v>
      </c>
      <c r="BMI34" t="s">
        <v>6984</v>
      </c>
      <c r="BMJ34" t="s">
        <v>6984</v>
      </c>
      <c r="BMK34" t="s">
        <v>6984</v>
      </c>
      <c r="BML34" t="s">
        <v>6984</v>
      </c>
      <c r="BMM34" t="s">
        <v>6984</v>
      </c>
      <c r="BMN34" t="s">
        <v>6984</v>
      </c>
      <c r="BMO34" t="s">
        <v>6984</v>
      </c>
      <c r="BMP34" t="s">
        <v>6984</v>
      </c>
      <c r="BMQ34" t="s">
        <v>6984</v>
      </c>
      <c r="BMR34" t="s">
        <v>6984</v>
      </c>
      <c r="BMS34" t="s">
        <v>6984</v>
      </c>
      <c r="BMT34" t="s">
        <v>6984</v>
      </c>
      <c r="BMU34" t="s">
        <v>6984</v>
      </c>
      <c r="BMV34" t="s">
        <v>6984</v>
      </c>
      <c r="BMW34" t="s">
        <v>6984</v>
      </c>
      <c r="BMX34" t="s">
        <v>6984</v>
      </c>
      <c r="BMY34" t="s">
        <v>6984</v>
      </c>
      <c r="BMZ34" t="s">
        <v>6984</v>
      </c>
      <c r="BNA34" t="s">
        <v>6984</v>
      </c>
      <c r="BNB34" t="s">
        <v>6984</v>
      </c>
      <c r="BNC34" t="s">
        <v>6984</v>
      </c>
      <c r="BND34" t="s">
        <v>6984</v>
      </c>
      <c r="BNE34" t="s">
        <v>6984</v>
      </c>
      <c r="BNF34" t="s">
        <v>6984</v>
      </c>
      <c r="BNG34" t="s">
        <v>6984</v>
      </c>
      <c r="BNH34" t="s">
        <v>6984</v>
      </c>
      <c r="BNI34" t="s">
        <v>6984</v>
      </c>
      <c r="BNJ34" t="s">
        <v>6984</v>
      </c>
      <c r="BNK34" t="s">
        <v>6984</v>
      </c>
      <c r="BNL34" t="s">
        <v>6984</v>
      </c>
      <c r="BNM34" t="s">
        <v>6984</v>
      </c>
      <c r="BNN34" t="s">
        <v>6984</v>
      </c>
      <c r="BNO34" t="s">
        <v>6984</v>
      </c>
      <c r="BNP34" t="s">
        <v>6984</v>
      </c>
      <c r="BNQ34" t="s">
        <v>6984</v>
      </c>
      <c r="BNR34" t="s">
        <v>6984</v>
      </c>
      <c r="BNS34" t="s">
        <v>6984</v>
      </c>
      <c r="BNT34" t="s">
        <v>6984</v>
      </c>
      <c r="BNU34" t="s">
        <v>6984</v>
      </c>
      <c r="BNV34" t="s">
        <v>6984</v>
      </c>
      <c r="BNW34" t="s">
        <v>6984</v>
      </c>
      <c r="BNX34" t="s">
        <v>6984</v>
      </c>
      <c r="BNY34" t="s">
        <v>6984</v>
      </c>
      <c r="BNZ34" t="s">
        <v>6984</v>
      </c>
      <c r="BOA34" t="s">
        <v>6984</v>
      </c>
      <c r="BOB34" t="s">
        <v>6984</v>
      </c>
      <c r="BOC34" t="s">
        <v>6984</v>
      </c>
      <c r="BOD34" t="s">
        <v>6984</v>
      </c>
      <c r="BOE34" t="s">
        <v>6984</v>
      </c>
      <c r="BOF34" t="s">
        <v>6984</v>
      </c>
      <c r="BOG34" t="s">
        <v>6984</v>
      </c>
      <c r="BOH34" t="s">
        <v>6984</v>
      </c>
      <c r="BOI34" t="s">
        <v>6984</v>
      </c>
      <c r="BOJ34" t="s">
        <v>6984</v>
      </c>
      <c r="BOK34" t="s">
        <v>6984</v>
      </c>
      <c r="BOL34" t="s">
        <v>6984</v>
      </c>
      <c r="BOM34" t="s">
        <v>6984</v>
      </c>
      <c r="BON34" t="s">
        <v>6984</v>
      </c>
      <c r="BOO34" t="s">
        <v>6984</v>
      </c>
      <c r="BOP34" t="s">
        <v>6984</v>
      </c>
      <c r="BOQ34" t="s">
        <v>6984</v>
      </c>
      <c r="BOR34" t="s">
        <v>6984</v>
      </c>
      <c r="BOS34" t="s">
        <v>6984</v>
      </c>
      <c r="BOT34" t="s">
        <v>6984</v>
      </c>
      <c r="BOU34" t="s">
        <v>6984</v>
      </c>
      <c r="BOV34" t="s">
        <v>6984</v>
      </c>
      <c r="BOW34" t="s">
        <v>6984</v>
      </c>
      <c r="BOX34" t="s">
        <v>6984</v>
      </c>
      <c r="BOY34" t="s">
        <v>6984</v>
      </c>
      <c r="BOZ34" t="s">
        <v>6984</v>
      </c>
      <c r="BPA34" t="s">
        <v>6984</v>
      </c>
      <c r="BPB34" t="s">
        <v>6984</v>
      </c>
      <c r="BPC34" t="s">
        <v>6984</v>
      </c>
      <c r="BPD34" t="s">
        <v>6984</v>
      </c>
      <c r="BPE34" t="s">
        <v>6984</v>
      </c>
      <c r="BPF34" t="s">
        <v>6984</v>
      </c>
      <c r="BPG34" t="s">
        <v>6984</v>
      </c>
      <c r="BPH34" t="s">
        <v>6984</v>
      </c>
      <c r="BPI34" t="s">
        <v>6984</v>
      </c>
      <c r="BPJ34" t="s">
        <v>6984</v>
      </c>
      <c r="BPK34" t="s">
        <v>6984</v>
      </c>
      <c r="BPL34" t="s">
        <v>6984</v>
      </c>
      <c r="BPM34" t="s">
        <v>6984</v>
      </c>
      <c r="BPN34" t="s">
        <v>6984</v>
      </c>
      <c r="BPO34" t="s">
        <v>6984</v>
      </c>
      <c r="BPP34" t="s">
        <v>6984</v>
      </c>
      <c r="BPQ34" t="s">
        <v>6984</v>
      </c>
      <c r="BPR34" t="s">
        <v>6984</v>
      </c>
      <c r="BPS34" t="s">
        <v>6984</v>
      </c>
      <c r="BPT34" t="s">
        <v>6984</v>
      </c>
      <c r="BPU34" t="s">
        <v>6984</v>
      </c>
      <c r="BPV34" t="s">
        <v>6984</v>
      </c>
      <c r="BPW34" t="s">
        <v>6984</v>
      </c>
      <c r="BPX34" t="s">
        <v>6984</v>
      </c>
      <c r="BPY34" t="s">
        <v>6984</v>
      </c>
      <c r="BPZ34" t="s">
        <v>6984</v>
      </c>
      <c r="BQA34" t="s">
        <v>6984</v>
      </c>
      <c r="BQB34" t="s">
        <v>6984</v>
      </c>
      <c r="BQC34" t="s">
        <v>6984</v>
      </c>
      <c r="BQD34" t="s">
        <v>6984</v>
      </c>
      <c r="BQE34" t="s">
        <v>6984</v>
      </c>
      <c r="BQF34" t="s">
        <v>6984</v>
      </c>
      <c r="BQG34" t="s">
        <v>6984</v>
      </c>
      <c r="BQH34" t="s">
        <v>6984</v>
      </c>
      <c r="BQI34" t="s">
        <v>6984</v>
      </c>
      <c r="BQJ34" t="s">
        <v>6984</v>
      </c>
      <c r="BQK34" t="s">
        <v>6984</v>
      </c>
      <c r="BQL34" t="s">
        <v>6984</v>
      </c>
      <c r="BQM34" t="s">
        <v>6984</v>
      </c>
      <c r="BQN34" t="s">
        <v>6984</v>
      </c>
      <c r="BQO34" t="s">
        <v>6984</v>
      </c>
      <c r="BQP34" t="s">
        <v>6984</v>
      </c>
      <c r="BQQ34" t="s">
        <v>6984</v>
      </c>
      <c r="BQR34" t="s">
        <v>6984</v>
      </c>
      <c r="BQS34" t="s">
        <v>6984</v>
      </c>
      <c r="BQT34" t="s">
        <v>6984</v>
      </c>
      <c r="BQU34" t="s">
        <v>6984</v>
      </c>
      <c r="BQV34" t="s">
        <v>6984</v>
      </c>
      <c r="BQW34" t="s">
        <v>6984</v>
      </c>
      <c r="BQX34" t="s">
        <v>6984</v>
      </c>
      <c r="BQY34" t="s">
        <v>6984</v>
      </c>
      <c r="BQZ34" t="s">
        <v>6984</v>
      </c>
      <c r="BRA34" t="s">
        <v>6984</v>
      </c>
      <c r="BRB34" t="s">
        <v>6984</v>
      </c>
      <c r="BRC34" t="s">
        <v>6984</v>
      </c>
      <c r="BRD34" t="s">
        <v>6984</v>
      </c>
      <c r="BRE34" t="s">
        <v>6984</v>
      </c>
      <c r="BRF34" t="s">
        <v>6984</v>
      </c>
      <c r="BRG34" t="s">
        <v>6984</v>
      </c>
      <c r="BRH34" t="s">
        <v>6984</v>
      </c>
      <c r="BRI34" t="s">
        <v>6984</v>
      </c>
      <c r="BRJ34" t="s">
        <v>6984</v>
      </c>
      <c r="BRK34" t="s">
        <v>6984</v>
      </c>
      <c r="BRL34" t="s">
        <v>6984</v>
      </c>
      <c r="BRM34" t="s">
        <v>6984</v>
      </c>
      <c r="BRN34" t="s">
        <v>6984</v>
      </c>
      <c r="BRO34" t="s">
        <v>6984</v>
      </c>
      <c r="BRP34" t="s">
        <v>6984</v>
      </c>
      <c r="BRQ34" t="s">
        <v>6984</v>
      </c>
      <c r="BRR34" t="s">
        <v>6984</v>
      </c>
      <c r="BRS34" t="s">
        <v>6984</v>
      </c>
      <c r="BRT34" t="s">
        <v>6984</v>
      </c>
      <c r="BRU34" t="s">
        <v>6984</v>
      </c>
      <c r="BRV34" t="s">
        <v>6984</v>
      </c>
      <c r="BRW34" t="s">
        <v>6984</v>
      </c>
      <c r="BRX34" t="s">
        <v>6984</v>
      </c>
      <c r="BRY34" t="s">
        <v>6984</v>
      </c>
      <c r="BRZ34" t="s">
        <v>6984</v>
      </c>
      <c r="BSA34" t="s">
        <v>6984</v>
      </c>
      <c r="BSB34" t="s">
        <v>6984</v>
      </c>
      <c r="BSC34" t="s">
        <v>6984</v>
      </c>
      <c r="BSD34" t="s">
        <v>6984</v>
      </c>
      <c r="BSE34" t="s">
        <v>6984</v>
      </c>
      <c r="BSF34" t="s">
        <v>6984</v>
      </c>
      <c r="BSG34" t="s">
        <v>6984</v>
      </c>
      <c r="BSH34" t="s">
        <v>6984</v>
      </c>
      <c r="BSI34" t="s">
        <v>6984</v>
      </c>
      <c r="BSJ34" t="s">
        <v>6984</v>
      </c>
      <c r="BSK34" t="s">
        <v>6984</v>
      </c>
      <c r="BSL34" t="s">
        <v>6984</v>
      </c>
      <c r="BSM34" t="s">
        <v>6984</v>
      </c>
      <c r="BSN34" t="s">
        <v>6984</v>
      </c>
      <c r="BSO34" t="s">
        <v>6984</v>
      </c>
      <c r="BSP34" t="s">
        <v>6984</v>
      </c>
      <c r="BSQ34" t="s">
        <v>6984</v>
      </c>
      <c r="BSR34" t="s">
        <v>6984</v>
      </c>
      <c r="BSS34" t="s">
        <v>6984</v>
      </c>
      <c r="BST34" t="s">
        <v>6984</v>
      </c>
      <c r="BSU34" t="s">
        <v>6984</v>
      </c>
      <c r="BSV34" t="s">
        <v>6984</v>
      </c>
      <c r="BSW34" t="s">
        <v>6984</v>
      </c>
      <c r="BSX34" t="s">
        <v>6984</v>
      </c>
      <c r="BSY34" t="s">
        <v>6984</v>
      </c>
      <c r="BSZ34" t="s">
        <v>6984</v>
      </c>
      <c r="BTA34" t="s">
        <v>6984</v>
      </c>
      <c r="BTB34" t="s">
        <v>6984</v>
      </c>
      <c r="BTC34" t="s">
        <v>6984</v>
      </c>
      <c r="BTD34" t="s">
        <v>6984</v>
      </c>
      <c r="BTE34" t="s">
        <v>6984</v>
      </c>
      <c r="BTF34" t="s">
        <v>6984</v>
      </c>
      <c r="BTG34" t="s">
        <v>6984</v>
      </c>
      <c r="BTH34" t="s">
        <v>6984</v>
      </c>
      <c r="BTI34" t="s">
        <v>6984</v>
      </c>
      <c r="BTJ34" t="s">
        <v>6984</v>
      </c>
      <c r="BTK34" t="s">
        <v>6984</v>
      </c>
      <c r="BTL34" t="s">
        <v>6984</v>
      </c>
      <c r="BTM34" t="s">
        <v>6984</v>
      </c>
      <c r="BTN34" t="s">
        <v>6984</v>
      </c>
      <c r="BTO34" t="s">
        <v>6984</v>
      </c>
      <c r="BTP34" t="s">
        <v>6984</v>
      </c>
      <c r="BTQ34" t="s">
        <v>6984</v>
      </c>
      <c r="BTR34" t="s">
        <v>6984</v>
      </c>
      <c r="BTS34" t="s">
        <v>6984</v>
      </c>
      <c r="BTT34" t="s">
        <v>6984</v>
      </c>
      <c r="BTU34" t="s">
        <v>6984</v>
      </c>
      <c r="BTV34" t="s">
        <v>6984</v>
      </c>
      <c r="BTW34" t="s">
        <v>6984</v>
      </c>
      <c r="BTX34" t="s">
        <v>6984</v>
      </c>
      <c r="BTY34" t="s">
        <v>6984</v>
      </c>
      <c r="BTZ34" t="s">
        <v>6984</v>
      </c>
      <c r="BUA34" t="s">
        <v>6984</v>
      </c>
      <c r="BUB34" t="s">
        <v>6984</v>
      </c>
      <c r="BUC34" t="s">
        <v>6984</v>
      </c>
      <c r="BUD34" t="s">
        <v>6984</v>
      </c>
      <c r="BUE34" t="s">
        <v>6984</v>
      </c>
      <c r="BUF34" t="s">
        <v>6984</v>
      </c>
      <c r="BUG34" t="s">
        <v>6984</v>
      </c>
      <c r="BUH34" t="s">
        <v>6984</v>
      </c>
      <c r="BUI34" t="s">
        <v>6984</v>
      </c>
      <c r="BUJ34" t="s">
        <v>6984</v>
      </c>
      <c r="BUK34" t="s">
        <v>6984</v>
      </c>
      <c r="BUL34" t="s">
        <v>6984</v>
      </c>
      <c r="BUM34" t="s">
        <v>6984</v>
      </c>
      <c r="BUN34" t="s">
        <v>6984</v>
      </c>
      <c r="BUO34" t="s">
        <v>6984</v>
      </c>
      <c r="BUP34" t="s">
        <v>6984</v>
      </c>
      <c r="BUQ34" t="s">
        <v>6984</v>
      </c>
      <c r="BUR34" t="s">
        <v>6984</v>
      </c>
      <c r="BUS34" t="s">
        <v>6984</v>
      </c>
      <c r="BUT34" t="s">
        <v>6984</v>
      </c>
      <c r="BUU34" t="s">
        <v>6984</v>
      </c>
      <c r="BUV34" t="s">
        <v>6984</v>
      </c>
      <c r="BUW34" t="s">
        <v>6984</v>
      </c>
      <c r="BUX34" t="s">
        <v>6984</v>
      </c>
      <c r="BUY34" t="s">
        <v>6984</v>
      </c>
      <c r="BUZ34" t="s">
        <v>6984</v>
      </c>
      <c r="BVA34" t="s">
        <v>6984</v>
      </c>
      <c r="BVB34" t="s">
        <v>6984</v>
      </c>
      <c r="BVC34" t="s">
        <v>6984</v>
      </c>
      <c r="BVD34" t="s">
        <v>6984</v>
      </c>
      <c r="BVE34" t="s">
        <v>6984</v>
      </c>
      <c r="BVF34" t="s">
        <v>6984</v>
      </c>
      <c r="BVG34" t="s">
        <v>6984</v>
      </c>
      <c r="BVH34" t="s">
        <v>6984</v>
      </c>
      <c r="BVI34" t="s">
        <v>6984</v>
      </c>
      <c r="BVJ34" t="s">
        <v>6984</v>
      </c>
      <c r="BVK34" t="s">
        <v>6984</v>
      </c>
      <c r="BVL34" t="s">
        <v>6984</v>
      </c>
      <c r="BVM34" t="s">
        <v>6984</v>
      </c>
      <c r="BVN34" t="s">
        <v>6984</v>
      </c>
      <c r="BVO34" t="s">
        <v>6984</v>
      </c>
      <c r="BVP34" t="s">
        <v>6984</v>
      </c>
      <c r="BVQ34" t="s">
        <v>6984</v>
      </c>
      <c r="BVR34" t="s">
        <v>6984</v>
      </c>
      <c r="BVS34" t="s">
        <v>6984</v>
      </c>
      <c r="BVT34" t="s">
        <v>6984</v>
      </c>
      <c r="BVU34" t="s">
        <v>6984</v>
      </c>
      <c r="BVV34" t="s">
        <v>6984</v>
      </c>
      <c r="BVW34" t="s">
        <v>6984</v>
      </c>
      <c r="BVX34" t="s">
        <v>6984</v>
      </c>
      <c r="BVY34" t="s">
        <v>6984</v>
      </c>
      <c r="BVZ34" t="s">
        <v>6984</v>
      </c>
      <c r="BWA34" t="s">
        <v>6984</v>
      </c>
      <c r="BWB34" t="s">
        <v>6984</v>
      </c>
      <c r="BWC34" t="s">
        <v>6984</v>
      </c>
      <c r="BWD34" t="s">
        <v>6984</v>
      </c>
      <c r="BWE34" t="s">
        <v>6984</v>
      </c>
      <c r="BWF34" t="s">
        <v>6984</v>
      </c>
      <c r="BWG34" t="s">
        <v>6984</v>
      </c>
      <c r="BWH34" t="s">
        <v>6984</v>
      </c>
      <c r="BWI34" t="s">
        <v>6984</v>
      </c>
      <c r="BWJ34" t="s">
        <v>6984</v>
      </c>
      <c r="BWK34" t="s">
        <v>6984</v>
      </c>
      <c r="BWL34" t="s">
        <v>6984</v>
      </c>
      <c r="BWM34" t="s">
        <v>6984</v>
      </c>
      <c r="BWN34" t="s">
        <v>6984</v>
      </c>
      <c r="BWO34" t="s">
        <v>6984</v>
      </c>
      <c r="BWP34" t="s">
        <v>6984</v>
      </c>
      <c r="BWQ34" t="s">
        <v>6984</v>
      </c>
      <c r="BWR34" t="s">
        <v>6984</v>
      </c>
      <c r="BWS34" t="s">
        <v>6984</v>
      </c>
      <c r="BWT34" t="s">
        <v>6984</v>
      </c>
      <c r="BWU34" t="s">
        <v>6984</v>
      </c>
      <c r="BWV34" t="s">
        <v>6984</v>
      </c>
      <c r="BWW34" t="s">
        <v>6984</v>
      </c>
      <c r="BWX34" t="s">
        <v>6984</v>
      </c>
      <c r="BWY34" t="s">
        <v>6984</v>
      </c>
      <c r="BWZ34" t="s">
        <v>6984</v>
      </c>
      <c r="BXA34" t="s">
        <v>6984</v>
      </c>
      <c r="BXB34" t="s">
        <v>6984</v>
      </c>
      <c r="BXC34" t="s">
        <v>6984</v>
      </c>
      <c r="BXD34" t="s">
        <v>6984</v>
      </c>
      <c r="BXE34" t="s">
        <v>6984</v>
      </c>
      <c r="BXF34" t="s">
        <v>6984</v>
      </c>
      <c r="BXG34" t="s">
        <v>6984</v>
      </c>
      <c r="BXH34" t="s">
        <v>6984</v>
      </c>
      <c r="BXI34" t="s">
        <v>6984</v>
      </c>
      <c r="BXJ34" t="s">
        <v>6984</v>
      </c>
      <c r="BXK34" t="s">
        <v>6984</v>
      </c>
      <c r="BXL34" t="s">
        <v>6984</v>
      </c>
      <c r="BXM34" t="s">
        <v>6984</v>
      </c>
      <c r="BXN34" t="s">
        <v>6984</v>
      </c>
      <c r="BXO34" t="s">
        <v>6984</v>
      </c>
      <c r="BXP34" t="s">
        <v>6984</v>
      </c>
      <c r="BXQ34" t="s">
        <v>6984</v>
      </c>
      <c r="BXR34" t="s">
        <v>6984</v>
      </c>
      <c r="BXS34" t="s">
        <v>6984</v>
      </c>
      <c r="BXT34" t="s">
        <v>6984</v>
      </c>
      <c r="BXU34" t="s">
        <v>6984</v>
      </c>
      <c r="BXV34" t="s">
        <v>6984</v>
      </c>
      <c r="BXW34" t="s">
        <v>6984</v>
      </c>
      <c r="BXX34" t="s">
        <v>6984</v>
      </c>
      <c r="BXY34" t="s">
        <v>6984</v>
      </c>
      <c r="BXZ34" t="s">
        <v>6984</v>
      </c>
      <c r="BYA34" t="s">
        <v>6984</v>
      </c>
      <c r="BYB34" t="s">
        <v>6984</v>
      </c>
      <c r="BYC34" t="s">
        <v>6984</v>
      </c>
      <c r="BYD34" t="s">
        <v>6984</v>
      </c>
      <c r="BYE34" t="s">
        <v>6984</v>
      </c>
      <c r="BYF34" t="s">
        <v>6984</v>
      </c>
      <c r="BYG34" t="s">
        <v>6984</v>
      </c>
      <c r="BYH34" t="s">
        <v>6984</v>
      </c>
      <c r="BYI34" t="s">
        <v>6984</v>
      </c>
      <c r="BYJ34" t="s">
        <v>6984</v>
      </c>
      <c r="BYK34" t="s">
        <v>6984</v>
      </c>
      <c r="BYL34" t="s">
        <v>6984</v>
      </c>
      <c r="BYM34" t="s">
        <v>6984</v>
      </c>
      <c r="BYN34" t="s">
        <v>6984</v>
      </c>
      <c r="BYO34" t="s">
        <v>6984</v>
      </c>
      <c r="BYP34" t="s">
        <v>6984</v>
      </c>
      <c r="BYQ34" t="s">
        <v>6984</v>
      </c>
      <c r="BYR34" t="s">
        <v>6984</v>
      </c>
      <c r="BYS34" t="s">
        <v>6984</v>
      </c>
      <c r="BYT34" t="s">
        <v>6984</v>
      </c>
      <c r="BYU34" t="s">
        <v>6984</v>
      </c>
      <c r="BYV34" t="s">
        <v>6984</v>
      </c>
      <c r="BYW34" t="s">
        <v>6984</v>
      </c>
      <c r="BYX34" t="s">
        <v>6984</v>
      </c>
      <c r="BYY34" t="s">
        <v>6984</v>
      </c>
      <c r="BYZ34" t="s">
        <v>6984</v>
      </c>
      <c r="BZA34" t="s">
        <v>6984</v>
      </c>
      <c r="BZB34" t="s">
        <v>6984</v>
      </c>
      <c r="BZC34" t="s">
        <v>6984</v>
      </c>
      <c r="BZD34" t="s">
        <v>6984</v>
      </c>
      <c r="BZE34" t="s">
        <v>6984</v>
      </c>
      <c r="BZF34" t="s">
        <v>6984</v>
      </c>
      <c r="BZG34" t="s">
        <v>6984</v>
      </c>
      <c r="BZH34" t="s">
        <v>6984</v>
      </c>
      <c r="BZI34" t="s">
        <v>6984</v>
      </c>
      <c r="BZJ34" t="s">
        <v>6984</v>
      </c>
      <c r="BZK34" t="s">
        <v>6984</v>
      </c>
      <c r="BZL34" t="s">
        <v>6984</v>
      </c>
      <c r="BZM34" t="s">
        <v>6984</v>
      </c>
      <c r="BZN34" t="s">
        <v>6984</v>
      </c>
      <c r="BZO34" t="s">
        <v>6984</v>
      </c>
      <c r="BZP34" t="s">
        <v>6984</v>
      </c>
      <c r="BZQ34" t="s">
        <v>6984</v>
      </c>
      <c r="BZR34" t="s">
        <v>6984</v>
      </c>
      <c r="BZS34" t="s">
        <v>6984</v>
      </c>
      <c r="BZT34" t="s">
        <v>6984</v>
      </c>
      <c r="BZU34" t="s">
        <v>6984</v>
      </c>
      <c r="BZV34" t="s">
        <v>6984</v>
      </c>
      <c r="BZW34" t="s">
        <v>6984</v>
      </c>
      <c r="BZX34" t="s">
        <v>6984</v>
      </c>
      <c r="BZY34" t="s">
        <v>6984</v>
      </c>
      <c r="BZZ34" t="s">
        <v>6984</v>
      </c>
      <c r="CAA34" t="s">
        <v>6984</v>
      </c>
      <c r="CAB34" t="s">
        <v>6984</v>
      </c>
      <c r="CAC34" t="s">
        <v>6984</v>
      </c>
      <c r="CAD34" t="s">
        <v>6984</v>
      </c>
      <c r="CAE34" t="s">
        <v>6984</v>
      </c>
      <c r="CAF34" t="s">
        <v>6984</v>
      </c>
      <c r="CAG34" t="s">
        <v>6984</v>
      </c>
      <c r="CAH34" t="s">
        <v>6984</v>
      </c>
      <c r="CAI34" t="s">
        <v>6984</v>
      </c>
      <c r="CAJ34" t="s">
        <v>6984</v>
      </c>
      <c r="CAK34" t="s">
        <v>6984</v>
      </c>
      <c r="CAL34" t="s">
        <v>6984</v>
      </c>
      <c r="CAM34" t="s">
        <v>6984</v>
      </c>
      <c r="CAN34" t="s">
        <v>6984</v>
      </c>
      <c r="CAO34" t="s">
        <v>6984</v>
      </c>
      <c r="CAP34" t="s">
        <v>6984</v>
      </c>
      <c r="CAQ34" t="s">
        <v>6984</v>
      </c>
      <c r="CAR34" t="s">
        <v>6984</v>
      </c>
      <c r="CAS34" t="s">
        <v>6984</v>
      </c>
      <c r="CAT34" t="s">
        <v>6984</v>
      </c>
      <c r="CAU34" t="s">
        <v>6984</v>
      </c>
      <c r="CAV34" t="s">
        <v>6984</v>
      </c>
      <c r="CAW34" t="s">
        <v>6984</v>
      </c>
      <c r="CAX34" t="s">
        <v>6984</v>
      </c>
      <c r="CAY34" t="s">
        <v>6984</v>
      </c>
      <c r="CAZ34" t="s">
        <v>6984</v>
      </c>
      <c r="CBA34" t="s">
        <v>6984</v>
      </c>
      <c r="CBB34" t="s">
        <v>6984</v>
      </c>
      <c r="CBC34" t="s">
        <v>6984</v>
      </c>
      <c r="CBD34" t="s">
        <v>6984</v>
      </c>
      <c r="CBE34" t="s">
        <v>6984</v>
      </c>
      <c r="CBF34" t="s">
        <v>6984</v>
      </c>
      <c r="CBG34" t="s">
        <v>6984</v>
      </c>
      <c r="CBH34" t="s">
        <v>6984</v>
      </c>
      <c r="CBI34" t="s">
        <v>6984</v>
      </c>
      <c r="CBJ34" t="s">
        <v>6984</v>
      </c>
      <c r="CBK34" t="s">
        <v>6984</v>
      </c>
      <c r="CBL34" t="s">
        <v>6984</v>
      </c>
      <c r="CBM34" t="s">
        <v>6984</v>
      </c>
      <c r="CBN34" t="s">
        <v>6984</v>
      </c>
      <c r="CBO34" t="s">
        <v>6984</v>
      </c>
      <c r="CBP34" t="s">
        <v>6984</v>
      </c>
      <c r="CBQ34" t="s">
        <v>6984</v>
      </c>
      <c r="CBR34" t="s">
        <v>6984</v>
      </c>
      <c r="CBS34" t="s">
        <v>6984</v>
      </c>
      <c r="CBT34" t="s">
        <v>6984</v>
      </c>
      <c r="CBU34" t="s">
        <v>6984</v>
      </c>
      <c r="CBV34" t="s">
        <v>6984</v>
      </c>
      <c r="CBW34" t="s">
        <v>6984</v>
      </c>
      <c r="CBX34" t="s">
        <v>6984</v>
      </c>
      <c r="CBY34" t="s">
        <v>6984</v>
      </c>
      <c r="CBZ34" t="s">
        <v>6984</v>
      </c>
      <c r="CCA34" t="s">
        <v>6984</v>
      </c>
      <c r="CCB34" t="s">
        <v>6984</v>
      </c>
      <c r="CCC34" t="s">
        <v>6984</v>
      </c>
      <c r="CCD34" t="s">
        <v>6984</v>
      </c>
      <c r="CCE34" t="s">
        <v>6984</v>
      </c>
      <c r="CCF34" t="s">
        <v>6984</v>
      </c>
      <c r="CCG34" t="s">
        <v>6984</v>
      </c>
      <c r="CCH34" t="s">
        <v>6984</v>
      </c>
      <c r="CCI34" t="s">
        <v>6984</v>
      </c>
      <c r="CCJ34" t="s">
        <v>6984</v>
      </c>
      <c r="CCK34" t="s">
        <v>6984</v>
      </c>
      <c r="CCL34" t="s">
        <v>6984</v>
      </c>
      <c r="CCM34" t="s">
        <v>6984</v>
      </c>
      <c r="CCN34" t="s">
        <v>6984</v>
      </c>
      <c r="CCO34" t="s">
        <v>6984</v>
      </c>
      <c r="CCP34" t="s">
        <v>6984</v>
      </c>
      <c r="CCQ34" t="s">
        <v>6984</v>
      </c>
      <c r="CCR34" t="s">
        <v>6984</v>
      </c>
      <c r="CCS34" t="s">
        <v>6984</v>
      </c>
      <c r="CCT34" t="s">
        <v>6984</v>
      </c>
      <c r="CCU34" t="s">
        <v>6984</v>
      </c>
      <c r="CCV34" t="s">
        <v>6984</v>
      </c>
      <c r="CCW34" t="s">
        <v>6984</v>
      </c>
      <c r="CCX34" t="s">
        <v>6984</v>
      </c>
      <c r="CCY34" t="s">
        <v>6984</v>
      </c>
      <c r="CCZ34" t="s">
        <v>6984</v>
      </c>
      <c r="CDA34" t="s">
        <v>6984</v>
      </c>
      <c r="CDB34" t="s">
        <v>6984</v>
      </c>
      <c r="CDC34" t="s">
        <v>6984</v>
      </c>
      <c r="CDD34" t="s">
        <v>6984</v>
      </c>
      <c r="CDE34" t="s">
        <v>6984</v>
      </c>
      <c r="CDF34" t="s">
        <v>6984</v>
      </c>
      <c r="CDG34" t="s">
        <v>6984</v>
      </c>
      <c r="CDH34" t="s">
        <v>6984</v>
      </c>
      <c r="CDI34" t="s">
        <v>6984</v>
      </c>
      <c r="CDJ34" t="s">
        <v>6984</v>
      </c>
      <c r="CDK34" t="s">
        <v>6984</v>
      </c>
      <c r="CDL34" t="s">
        <v>6984</v>
      </c>
      <c r="CDM34" t="s">
        <v>6984</v>
      </c>
      <c r="CDN34" t="s">
        <v>6984</v>
      </c>
      <c r="CDO34" t="s">
        <v>6984</v>
      </c>
      <c r="CDP34" t="s">
        <v>6984</v>
      </c>
      <c r="CDQ34" t="s">
        <v>6984</v>
      </c>
      <c r="CDR34" t="s">
        <v>6984</v>
      </c>
      <c r="CDS34" t="s">
        <v>6984</v>
      </c>
      <c r="CDT34" t="s">
        <v>6984</v>
      </c>
      <c r="CDU34" t="s">
        <v>6984</v>
      </c>
      <c r="CDV34" t="s">
        <v>6984</v>
      </c>
      <c r="CDW34" t="s">
        <v>6984</v>
      </c>
      <c r="CDX34" t="s">
        <v>6984</v>
      </c>
      <c r="CDY34" t="s">
        <v>6984</v>
      </c>
      <c r="CDZ34" t="s">
        <v>6984</v>
      </c>
      <c r="CEA34" t="s">
        <v>6984</v>
      </c>
      <c r="CEB34" t="s">
        <v>6984</v>
      </c>
      <c r="CEC34" t="s">
        <v>6984</v>
      </c>
      <c r="CED34" t="s">
        <v>6984</v>
      </c>
      <c r="CEE34" t="s">
        <v>6984</v>
      </c>
      <c r="CEF34" t="s">
        <v>6984</v>
      </c>
      <c r="CEG34" t="s">
        <v>6984</v>
      </c>
      <c r="CEH34" t="s">
        <v>6984</v>
      </c>
      <c r="CEI34" t="s">
        <v>6984</v>
      </c>
      <c r="CEJ34" t="s">
        <v>6984</v>
      </c>
      <c r="CEK34" t="s">
        <v>6984</v>
      </c>
      <c r="CEL34" t="s">
        <v>6984</v>
      </c>
      <c r="CEM34" t="s">
        <v>6984</v>
      </c>
      <c r="CEN34" t="s">
        <v>6984</v>
      </c>
      <c r="CEO34" t="s">
        <v>6984</v>
      </c>
      <c r="CEP34" t="s">
        <v>6984</v>
      </c>
      <c r="CEQ34" t="s">
        <v>6984</v>
      </c>
      <c r="CER34" t="s">
        <v>6984</v>
      </c>
      <c r="CES34" t="s">
        <v>6984</v>
      </c>
      <c r="CET34" t="s">
        <v>6984</v>
      </c>
      <c r="CEU34" t="s">
        <v>6984</v>
      </c>
      <c r="CEV34" t="s">
        <v>6984</v>
      </c>
      <c r="CEW34" t="s">
        <v>6984</v>
      </c>
      <c r="CEX34" t="s">
        <v>6984</v>
      </c>
      <c r="CEY34" t="s">
        <v>6984</v>
      </c>
      <c r="CEZ34" t="s">
        <v>6984</v>
      </c>
      <c r="CFA34" t="s">
        <v>6984</v>
      </c>
      <c r="CFB34" t="s">
        <v>6984</v>
      </c>
      <c r="CFC34" t="s">
        <v>6984</v>
      </c>
      <c r="CFD34" t="s">
        <v>6984</v>
      </c>
      <c r="CFE34" t="s">
        <v>6984</v>
      </c>
      <c r="CFF34" t="s">
        <v>6984</v>
      </c>
      <c r="CFG34" t="s">
        <v>6984</v>
      </c>
      <c r="CFH34" t="s">
        <v>6984</v>
      </c>
      <c r="CFI34" t="s">
        <v>6984</v>
      </c>
      <c r="CFJ34" t="s">
        <v>6984</v>
      </c>
      <c r="CFK34" t="s">
        <v>6984</v>
      </c>
      <c r="CFL34" t="s">
        <v>6984</v>
      </c>
      <c r="CFM34" t="s">
        <v>6984</v>
      </c>
      <c r="CFN34" t="s">
        <v>6984</v>
      </c>
      <c r="CFO34" t="s">
        <v>6984</v>
      </c>
      <c r="CFP34" t="s">
        <v>6984</v>
      </c>
      <c r="CFQ34" t="s">
        <v>6984</v>
      </c>
      <c r="CFR34" t="s">
        <v>6984</v>
      </c>
      <c r="CFS34" t="s">
        <v>6984</v>
      </c>
      <c r="CFT34" t="s">
        <v>6984</v>
      </c>
      <c r="CFU34" t="s">
        <v>6984</v>
      </c>
      <c r="CFV34" t="s">
        <v>6984</v>
      </c>
      <c r="CFW34" t="s">
        <v>6984</v>
      </c>
      <c r="CFX34" t="s">
        <v>6984</v>
      </c>
      <c r="CFY34" t="s">
        <v>6984</v>
      </c>
      <c r="CFZ34" t="s">
        <v>6984</v>
      </c>
      <c r="CGA34" t="s">
        <v>6984</v>
      </c>
      <c r="CGB34" t="s">
        <v>6984</v>
      </c>
      <c r="CGC34" t="s">
        <v>6984</v>
      </c>
      <c r="CGD34" t="s">
        <v>6984</v>
      </c>
      <c r="CGE34" t="s">
        <v>6984</v>
      </c>
      <c r="CGF34" t="s">
        <v>6984</v>
      </c>
      <c r="CGG34" t="s">
        <v>6984</v>
      </c>
      <c r="CGH34" t="s">
        <v>6984</v>
      </c>
      <c r="CGI34" t="s">
        <v>6984</v>
      </c>
      <c r="CGJ34" t="s">
        <v>6984</v>
      </c>
      <c r="CGK34" t="s">
        <v>6984</v>
      </c>
      <c r="CGL34" t="s">
        <v>6984</v>
      </c>
      <c r="CGM34" t="s">
        <v>6984</v>
      </c>
      <c r="CGN34" t="s">
        <v>6984</v>
      </c>
      <c r="CGO34" t="s">
        <v>6984</v>
      </c>
      <c r="CGP34" t="s">
        <v>6984</v>
      </c>
      <c r="CGQ34" t="s">
        <v>6984</v>
      </c>
      <c r="CGR34" t="s">
        <v>6984</v>
      </c>
      <c r="CGS34" t="s">
        <v>6984</v>
      </c>
      <c r="CGT34" t="s">
        <v>6984</v>
      </c>
      <c r="CGU34" t="s">
        <v>6984</v>
      </c>
      <c r="CGV34" t="s">
        <v>6984</v>
      </c>
      <c r="CGW34" t="s">
        <v>6984</v>
      </c>
      <c r="CGX34" t="s">
        <v>6984</v>
      </c>
      <c r="CGY34" t="s">
        <v>6984</v>
      </c>
      <c r="CGZ34" t="s">
        <v>6984</v>
      </c>
      <c r="CHA34" t="s">
        <v>6984</v>
      </c>
      <c r="CHB34" t="s">
        <v>6984</v>
      </c>
      <c r="CHC34" t="s">
        <v>6984</v>
      </c>
      <c r="CHD34" t="s">
        <v>6984</v>
      </c>
      <c r="CHE34" t="s">
        <v>6984</v>
      </c>
      <c r="CHF34" t="s">
        <v>6984</v>
      </c>
      <c r="CHG34" t="s">
        <v>6984</v>
      </c>
      <c r="CHH34" t="s">
        <v>6984</v>
      </c>
      <c r="CHI34" t="s">
        <v>6984</v>
      </c>
      <c r="CHJ34" t="s">
        <v>6984</v>
      </c>
      <c r="CHK34" t="s">
        <v>6984</v>
      </c>
      <c r="CHL34" t="s">
        <v>6984</v>
      </c>
      <c r="CHM34" t="s">
        <v>6984</v>
      </c>
      <c r="CHN34" t="s">
        <v>6984</v>
      </c>
      <c r="CHO34" t="s">
        <v>6984</v>
      </c>
      <c r="CHP34" t="s">
        <v>6984</v>
      </c>
      <c r="CHQ34" t="s">
        <v>6984</v>
      </c>
      <c r="CHR34" t="s">
        <v>6984</v>
      </c>
      <c r="CHS34" t="s">
        <v>6984</v>
      </c>
      <c r="CHT34" t="s">
        <v>6984</v>
      </c>
      <c r="CHU34" t="s">
        <v>6984</v>
      </c>
      <c r="CHV34" t="s">
        <v>6984</v>
      </c>
      <c r="CHW34" t="s">
        <v>6984</v>
      </c>
      <c r="CHX34" t="s">
        <v>6984</v>
      </c>
      <c r="CHY34" t="s">
        <v>6984</v>
      </c>
      <c r="CHZ34" t="s">
        <v>6984</v>
      </c>
      <c r="CIA34" t="s">
        <v>6984</v>
      </c>
      <c r="CIB34" t="s">
        <v>6984</v>
      </c>
      <c r="CIC34" t="s">
        <v>6984</v>
      </c>
      <c r="CID34" t="s">
        <v>6984</v>
      </c>
      <c r="CIE34" t="s">
        <v>6984</v>
      </c>
      <c r="CIF34" t="s">
        <v>6984</v>
      </c>
      <c r="CIG34" t="s">
        <v>6984</v>
      </c>
      <c r="CIH34" t="s">
        <v>6984</v>
      </c>
      <c r="CII34" t="s">
        <v>6984</v>
      </c>
      <c r="CIJ34" t="s">
        <v>6984</v>
      </c>
      <c r="CIK34" t="s">
        <v>6984</v>
      </c>
      <c r="CIL34" t="s">
        <v>6984</v>
      </c>
      <c r="CIM34" t="s">
        <v>6984</v>
      </c>
      <c r="CIN34" t="s">
        <v>6984</v>
      </c>
      <c r="CIO34" t="s">
        <v>6984</v>
      </c>
      <c r="CIP34" t="s">
        <v>6984</v>
      </c>
      <c r="CIQ34" t="s">
        <v>6984</v>
      </c>
      <c r="CIR34" t="s">
        <v>6984</v>
      </c>
      <c r="CIS34" t="s">
        <v>6984</v>
      </c>
      <c r="CIT34" t="s">
        <v>6984</v>
      </c>
      <c r="CIU34" t="s">
        <v>6984</v>
      </c>
      <c r="CIV34" t="s">
        <v>6984</v>
      </c>
      <c r="CIW34" t="s">
        <v>6984</v>
      </c>
      <c r="CIX34" t="s">
        <v>6984</v>
      </c>
      <c r="CIY34" t="s">
        <v>6984</v>
      </c>
      <c r="CIZ34" t="s">
        <v>6984</v>
      </c>
      <c r="CJA34" t="s">
        <v>6984</v>
      </c>
      <c r="CJB34" t="s">
        <v>6984</v>
      </c>
      <c r="CJC34" t="s">
        <v>6984</v>
      </c>
      <c r="CJD34" t="s">
        <v>6984</v>
      </c>
      <c r="CJE34" t="s">
        <v>6984</v>
      </c>
      <c r="CJF34" t="s">
        <v>6984</v>
      </c>
      <c r="CJG34" t="s">
        <v>6984</v>
      </c>
      <c r="CJH34" t="s">
        <v>6984</v>
      </c>
      <c r="CJI34" t="s">
        <v>6984</v>
      </c>
      <c r="CJJ34" t="s">
        <v>6984</v>
      </c>
      <c r="CJK34" t="s">
        <v>6984</v>
      </c>
      <c r="CJL34" t="s">
        <v>6984</v>
      </c>
      <c r="CJM34" t="s">
        <v>6984</v>
      </c>
      <c r="CJN34" t="s">
        <v>6984</v>
      </c>
      <c r="CJO34" t="s">
        <v>6984</v>
      </c>
      <c r="CJP34" t="s">
        <v>6984</v>
      </c>
      <c r="CJQ34" t="s">
        <v>6984</v>
      </c>
      <c r="CJR34" t="s">
        <v>6984</v>
      </c>
      <c r="CJS34" t="s">
        <v>6984</v>
      </c>
      <c r="CJT34" t="s">
        <v>6984</v>
      </c>
      <c r="CJU34" t="s">
        <v>6984</v>
      </c>
      <c r="CJV34" t="s">
        <v>6984</v>
      </c>
      <c r="CJW34" t="s">
        <v>6984</v>
      </c>
      <c r="CJX34" t="s">
        <v>6984</v>
      </c>
      <c r="CJY34" t="s">
        <v>6984</v>
      </c>
      <c r="CJZ34" t="s">
        <v>6984</v>
      </c>
      <c r="CKA34" t="s">
        <v>6984</v>
      </c>
      <c r="CKB34" t="s">
        <v>6984</v>
      </c>
      <c r="CKC34" t="s">
        <v>6984</v>
      </c>
      <c r="CKD34" t="s">
        <v>6984</v>
      </c>
      <c r="CKE34" t="s">
        <v>6984</v>
      </c>
      <c r="CKF34" t="s">
        <v>6984</v>
      </c>
      <c r="CKG34" t="s">
        <v>6984</v>
      </c>
      <c r="CKH34" t="s">
        <v>6984</v>
      </c>
      <c r="CKI34" t="s">
        <v>6984</v>
      </c>
      <c r="CKJ34" t="s">
        <v>6984</v>
      </c>
      <c r="CKK34" t="s">
        <v>6984</v>
      </c>
      <c r="CKL34" t="s">
        <v>6984</v>
      </c>
      <c r="CKM34" t="s">
        <v>6984</v>
      </c>
      <c r="CKN34" t="s">
        <v>6984</v>
      </c>
      <c r="CKO34" t="s">
        <v>6984</v>
      </c>
      <c r="CKP34" t="s">
        <v>6984</v>
      </c>
      <c r="CKQ34" t="s">
        <v>6984</v>
      </c>
      <c r="CKR34" t="s">
        <v>6984</v>
      </c>
      <c r="CKS34" t="s">
        <v>6984</v>
      </c>
      <c r="CKT34" t="s">
        <v>6984</v>
      </c>
      <c r="CKU34" t="s">
        <v>6984</v>
      </c>
      <c r="CKV34" t="s">
        <v>6984</v>
      </c>
      <c r="CKW34" t="s">
        <v>6984</v>
      </c>
      <c r="CKX34" t="s">
        <v>6984</v>
      </c>
      <c r="CKY34" t="s">
        <v>6984</v>
      </c>
      <c r="CKZ34" t="s">
        <v>6984</v>
      </c>
      <c r="CLA34" t="s">
        <v>6984</v>
      </c>
      <c r="CLB34" t="s">
        <v>6984</v>
      </c>
      <c r="CLC34" t="s">
        <v>6984</v>
      </c>
      <c r="CLD34" t="s">
        <v>6984</v>
      </c>
      <c r="CLE34" t="s">
        <v>6984</v>
      </c>
      <c r="CLF34" t="s">
        <v>6984</v>
      </c>
      <c r="CLG34" t="s">
        <v>6984</v>
      </c>
      <c r="CLH34" t="s">
        <v>6984</v>
      </c>
      <c r="CLI34" t="s">
        <v>6984</v>
      </c>
      <c r="CLJ34" t="s">
        <v>6984</v>
      </c>
      <c r="CLK34" t="s">
        <v>6984</v>
      </c>
      <c r="CLL34" t="s">
        <v>6984</v>
      </c>
      <c r="CLM34" t="s">
        <v>6984</v>
      </c>
      <c r="CLN34" t="s">
        <v>6984</v>
      </c>
      <c r="CLO34" t="s">
        <v>6984</v>
      </c>
      <c r="CLP34" t="s">
        <v>6984</v>
      </c>
      <c r="CLQ34" t="s">
        <v>6984</v>
      </c>
      <c r="CLR34" t="s">
        <v>6984</v>
      </c>
      <c r="CLS34" t="s">
        <v>6984</v>
      </c>
      <c r="CLT34" t="s">
        <v>6984</v>
      </c>
      <c r="CLU34" t="s">
        <v>6984</v>
      </c>
      <c r="CLV34" t="s">
        <v>6984</v>
      </c>
      <c r="CLW34" t="s">
        <v>6984</v>
      </c>
      <c r="CLX34" t="s">
        <v>6984</v>
      </c>
      <c r="CLY34" t="s">
        <v>6984</v>
      </c>
      <c r="CLZ34" t="s">
        <v>6984</v>
      </c>
      <c r="CMA34" t="s">
        <v>6984</v>
      </c>
      <c r="CMB34" t="s">
        <v>6984</v>
      </c>
      <c r="CMC34" t="s">
        <v>6984</v>
      </c>
      <c r="CMD34" t="s">
        <v>6984</v>
      </c>
      <c r="CME34" t="s">
        <v>6984</v>
      </c>
      <c r="CMF34" t="s">
        <v>6984</v>
      </c>
      <c r="CMG34" t="s">
        <v>6984</v>
      </c>
      <c r="CMH34" t="s">
        <v>6984</v>
      </c>
      <c r="CMI34" t="s">
        <v>6984</v>
      </c>
      <c r="CMJ34" t="s">
        <v>6984</v>
      </c>
      <c r="CMK34" t="s">
        <v>6984</v>
      </c>
      <c r="CML34" t="s">
        <v>6984</v>
      </c>
      <c r="CMM34" t="s">
        <v>6984</v>
      </c>
      <c r="CMN34" t="s">
        <v>6984</v>
      </c>
      <c r="CMO34" t="s">
        <v>6984</v>
      </c>
      <c r="CMP34" t="s">
        <v>6984</v>
      </c>
      <c r="CMQ34" t="s">
        <v>6984</v>
      </c>
      <c r="CMR34" t="s">
        <v>6984</v>
      </c>
      <c r="CMS34" t="s">
        <v>6984</v>
      </c>
      <c r="CMT34" t="s">
        <v>6984</v>
      </c>
      <c r="CMU34" t="s">
        <v>6984</v>
      </c>
      <c r="CMV34" t="s">
        <v>6984</v>
      </c>
      <c r="CMW34" t="s">
        <v>6984</v>
      </c>
      <c r="CMX34" t="s">
        <v>6984</v>
      </c>
      <c r="CMY34" t="s">
        <v>6984</v>
      </c>
      <c r="CMZ34" t="s">
        <v>6984</v>
      </c>
      <c r="CNA34" t="s">
        <v>6984</v>
      </c>
      <c r="CNB34" t="s">
        <v>6984</v>
      </c>
      <c r="CNC34" t="s">
        <v>6984</v>
      </c>
      <c r="CND34" t="s">
        <v>6984</v>
      </c>
      <c r="CNE34" t="s">
        <v>6984</v>
      </c>
      <c r="CNF34" t="s">
        <v>6984</v>
      </c>
      <c r="CNG34" t="s">
        <v>6984</v>
      </c>
      <c r="CNH34" t="s">
        <v>6984</v>
      </c>
      <c r="CNI34" t="s">
        <v>6984</v>
      </c>
      <c r="CNJ34" t="s">
        <v>6984</v>
      </c>
      <c r="CNK34" t="s">
        <v>6984</v>
      </c>
      <c r="CNL34" t="s">
        <v>6984</v>
      </c>
      <c r="CNM34" t="s">
        <v>6984</v>
      </c>
      <c r="CNN34" t="s">
        <v>6984</v>
      </c>
      <c r="CNO34" t="s">
        <v>6984</v>
      </c>
      <c r="CNP34" t="s">
        <v>6984</v>
      </c>
      <c r="CNQ34" t="s">
        <v>6984</v>
      </c>
      <c r="CNR34" t="s">
        <v>6984</v>
      </c>
      <c r="CNS34" t="s">
        <v>6984</v>
      </c>
      <c r="CNT34" t="s">
        <v>6984</v>
      </c>
      <c r="CNU34" t="s">
        <v>6984</v>
      </c>
      <c r="CNV34" t="s">
        <v>6984</v>
      </c>
      <c r="CNW34" t="s">
        <v>6984</v>
      </c>
      <c r="CNX34" t="s">
        <v>6984</v>
      </c>
      <c r="CNY34" t="s">
        <v>6984</v>
      </c>
      <c r="CNZ34" t="s">
        <v>6984</v>
      </c>
      <c r="COA34" t="s">
        <v>6984</v>
      </c>
      <c r="COB34" t="s">
        <v>6984</v>
      </c>
      <c r="COC34" t="s">
        <v>6984</v>
      </c>
      <c r="COD34" t="s">
        <v>6984</v>
      </c>
      <c r="COE34" t="s">
        <v>6984</v>
      </c>
      <c r="COF34" t="s">
        <v>6984</v>
      </c>
      <c r="COG34" t="s">
        <v>6984</v>
      </c>
      <c r="COH34" t="s">
        <v>6984</v>
      </c>
      <c r="COI34" t="s">
        <v>6984</v>
      </c>
      <c r="COJ34" t="s">
        <v>6984</v>
      </c>
      <c r="COK34" t="s">
        <v>6984</v>
      </c>
      <c r="COL34" t="s">
        <v>6984</v>
      </c>
      <c r="COM34" t="s">
        <v>6984</v>
      </c>
      <c r="CON34" t="s">
        <v>6984</v>
      </c>
      <c r="COO34" t="s">
        <v>6984</v>
      </c>
      <c r="COP34" t="s">
        <v>6984</v>
      </c>
      <c r="COQ34" t="s">
        <v>6984</v>
      </c>
      <c r="COR34" t="s">
        <v>6984</v>
      </c>
      <c r="COS34" t="s">
        <v>6984</v>
      </c>
      <c r="COT34" t="s">
        <v>6984</v>
      </c>
      <c r="COU34" t="s">
        <v>6984</v>
      </c>
      <c r="COV34" t="s">
        <v>6984</v>
      </c>
      <c r="COW34" t="s">
        <v>6984</v>
      </c>
      <c r="COX34" t="s">
        <v>6984</v>
      </c>
      <c r="COY34" t="s">
        <v>6984</v>
      </c>
      <c r="COZ34" t="s">
        <v>6984</v>
      </c>
      <c r="CPA34" t="s">
        <v>6984</v>
      </c>
      <c r="CPB34" t="s">
        <v>6984</v>
      </c>
      <c r="CPC34" t="s">
        <v>6984</v>
      </c>
      <c r="CPD34" t="s">
        <v>6984</v>
      </c>
      <c r="CPE34" t="s">
        <v>6984</v>
      </c>
      <c r="CPF34" t="s">
        <v>6984</v>
      </c>
      <c r="CPG34" t="s">
        <v>6984</v>
      </c>
      <c r="CPH34" t="s">
        <v>6984</v>
      </c>
      <c r="CPI34" t="s">
        <v>6984</v>
      </c>
      <c r="CPJ34" t="s">
        <v>6984</v>
      </c>
      <c r="CPK34" t="s">
        <v>6984</v>
      </c>
      <c r="CPL34" t="s">
        <v>6984</v>
      </c>
      <c r="CPM34" t="s">
        <v>6984</v>
      </c>
      <c r="CPN34" t="s">
        <v>6984</v>
      </c>
      <c r="CPO34" t="s">
        <v>6984</v>
      </c>
      <c r="CPP34" t="s">
        <v>6984</v>
      </c>
      <c r="CPQ34" t="s">
        <v>6984</v>
      </c>
      <c r="CPR34" t="s">
        <v>6984</v>
      </c>
      <c r="CPS34" t="s">
        <v>6984</v>
      </c>
      <c r="CPT34" t="s">
        <v>6984</v>
      </c>
      <c r="CPU34" t="s">
        <v>6984</v>
      </c>
      <c r="CPV34" t="s">
        <v>6984</v>
      </c>
      <c r="CPW34" t="s">
        <v>6984</v>
      </c>
      <c r="CPX34" t="s">
        <v>6984</v>
      </c>
      <c r="CPY34" t="s">
        <v>6984</v>
      </c>
      <c r="CPZ34" t="s">
        <v>6984</v>
      </c>
      <c r="CQA34" t="s">
        <v>6984</v>
      </c>
      <c r="CQB34" t="s">
        <v>6984</v>
      </c>
      <c r="CQC34" t="s">
        <v>6984</v>
      </c>
      <c r="CQD34" t="s">
        <v>6984</v>
      </c>
      <c r="CQE34" t="s">
        <v>6984</v>
      </c>
      <c r="CQF34" t="s">
        <v>6984</v>
      </c>
      <c r="CQG34" t="s">
        <v>6984</v>
      </c>
      <c r="CQH34" t="s">
        <v>6984</v>
      </c>
      <c r="CQI34" t="s">
        <v>6984</v>
      </c>
      <c r="CQJ34" t="s">
        <v>6984</v>
      </c>
      <c r="CQK34" t="s">
        <v>6984</v>
      </c>
      <c r="CQL34" t="s">
        <v>6984</v>
      </c>
      <c r="CQM34" t="s">
        <v>6984</v>
      </c>
      <c r="CQN34" t="s">
        <v>6984</v>
      </c>
      <c r="CQO34" t="s">
        <v>6984</v>
      </c>
      <c r="CQP34" t="s">
        <v>6984</v>
      </c>
      <c r="CQQ34" t="s">
        <v>6984</v>
      </c>
      <c r="CQR34" t="s">
        <v>6984</v>
      </c>
      <c r="CQS34" t="s">
        <v>6984</v>
      </c>
      <c r="CQT34" t="s">
        <v>6984</v>
      </c>
      <c r="CQU34" t="s">
        <v>6984</v>
      </c>
      <c r="CQV34" t="s">
        <v>6984</v>
      </c>
      <c r="CQW34" t="s">
        <v>6984</v>
      </c>
      <c r="CQX34" t="s">
        <v>6984</v>
      </c>
      <c r="CQY34" t="s">
        <v>6984</v>
      </c>
      <c r="CQZ34" t="s">
        <v>6984</v>
      </c>
      <c r="CRA34" t="s">
        <v>6984</v>
      </c>
      <c r="CRB34" t="s">
        <v>6984</v>
      </c>
      <c r="CRC34" t="s">
        <v>6984</v>
      </c>
      <c r="CRD34" t="s">
        <v>6984</v>
      </c>
      <c r="CRE34" t="s">
        <v>6984</v>
      </c>
      <c r="CRF34" t="s">
        <v>6984</v>
      </c>
      <c r="CRG34" t="s">
        <v>6984</v>
      </c>
      <c r="CRH34" t="s">
        <v>6984</v>
      </c>
      <c r="CRI34" t="s">
        <v>6984</v>
      </c>
      <c r="CRJ34" t="s">
        <v>6984</v>
      </c>
      <c r="CRK34" t="s">
        <v>6984</v>
      </c>
      <c r="CRL34" t="s">
        <v>6984</v>
      </c>
      <c r="CRM34" t="s">
        <v>6984</v>
      </c>
      <c r="CRN34" t="s">
        <v>6984</v>
      </c>
      <c r="CRO34" t="s">
        <v>6984</v>
      </c>
      <c r="CRP34" t="s">
        <v>6984</v>
      </c>
      <c r="CRQ34" t="s">
        <v>6984</v>
      </c>
      <c r="CRR34" t="s">
        <v>6984</v>
      </c>
      <c r="CRS34" t="s">
        <v>6984</v>
      </c>
      <c r="CRT34" t="s">
        <v>6984</v>
      </c>
      <c r="CRU34" t="s">
        <v>6984</v>
      </c>
      <c r="CRV34" t="s">
        <v>6984</v>
      </c>
      <c r="CRW34" t="s">
        <v>6984</v>
      </c>
      <c r="CRX34" t="s">
        <v>6984</v>
      </c>
      <c r="CRY34" t="s">
        <v>6984</v>
      </c>
      <c r="CRZ34" t="s">
        <v>6984</v>
      </c>
      <c r="CSA34" t="s">
        <v>6984</v>
      </c>
      <c r="CSB34" t="s">
        <v>6984</v>
      </c>
      <c r="CSC34" t="s">
        <v>6984</v>
      </c>
      <c r="CSD34" t="s">
        <v>6984</v>
      </c>
      <c r="CSE34" t="s">
        <v>6984</v>
      </c>
      <c r="CSF34" t="s">
        <v>6984</v>
      </c>
      <c r="CSG34" t="s">
        <v>6984</v>
      </c>
      <c r="CSH34" t="s">
        <v>6984</v>
      </c>
      <c r="CSI34" t="s">
        <v>6984</v>
      </c>
      <c r="CSJ34" t="s">
        <v>6984</v>
      </c>
      <c r="CSK34" t="s">
        <v>6984</v>
      </c>
      <c r="CSL34" t="s">
        <v>6984</v>
      </c>
      <c r="CSM34" t="s">
        <v>6984</v>
      </c>
      <c r="CSN34" t="s">
        <v>6984</v>
      </c>
      <c r="CSO34" t="s">
        <v>6984</v>
      </c>
      <c r="CSP34" t="s">
        <v>6984</v>
      </c>
      <c r="CSQ34" t="s">
        <v>6984</v>
      </c>
      <c r="CSR34" t="s">
        <v>6984</v>
      </c>
      <c r="CSS34" t="s">
        <v>6984</v>
      </c>
      <c r="CST34" t="s">
        <v>6984</v>
      </c>
      <c r="CSU34" t="s">
        <v>6984</v>
      </c>
      <c r="CSV34" t="s">
        <v>6984</v>
      </c>
      <c r="CSW34" t="s">
        <v>6984</v>
      </c>
      <c r="CSX34" t="s">
        <v>6984</v>
      </c>
      <c r="CSY34" t="s">
        <v>6984</v>
      </c>
      <c r="CSZ34" t="s">
        <v>6984</v>
      </c>
      <c r="CTA34" t="s">
        <v>6984</v>
      </c>
      <c r="CTB34" t="s">
        <v>6984</v>
      </c>
      <c r="CTC34" t="s">
        <v>6984</v>
      </c>
      <c r="CTD34" t="s">
        <v>6984</v>
      </c>
      <c r="CTE34" t="s">
        <v>6984</v>
      </c>
      <c r="CTF34" t="s">
        <v>6984</v>
      </c>
      <c r="CTG34" t="s">
        <v>6984</v>
      </c>
      <c r="CTH34" t="s">
        <v>6984</v>
      </c>
      <c r="CTI34" t="s">
        <v>6984</v>
      </c>
      <c r="CTJ34" t="s">
        <v>6984</v>
      </c>
      <c r="CTK34" t="s">
        <v>6984</v>
      </c>
      <c r="CTL34" t="s">
        <v>6984</v>
      </c>
      <c r="CTM34" t="s">
        <v>6984</v>
      </c>
      <c r="CTN34" t="s">
        <v>6984</v>
      </c>
      <c r="CTO34" t="s">
        <v>6984</v>
      </c>
      <c r="CTP34" t="s">
        <v>6984</v>
      </c>
      <c r="CTQ34" t="s">
        <v>6984</v>
      </c>
      <c r="CTR34" t="s">
        <v>6984</v>
      </c>
      <c r="CTS34" t="s">
        <v>6984</v>
      </c>
      <c r="CTT34" t="s">
        <v>6984</v>
      </c>
      <c r="CTU34" t="s">
        <v>6984</v>
      </c>
      <c r="CTV34" t="s">
        <v>6984</v>
      </c>
      <c r="CTW34" t="s">
        <v>6984</v>
      </c>
      <c r="CTX34" t="s">
        <v>6984</v>
      </c>
      <c r="CTY34" t="s">
        <v>6984</v>
      </c>
      <c r="CTZ34" t="s">
        <v>6984</v>
      </c>
      <c r="CUA34" t="s">
        <v>6984</v>
      </c>
      <c r="CUB34" t="s">
        <v>6984</v>
      </c>
      <c r="CUC34" t="s">
        <v>6984</v>
      </c>
      <c r="CUD34" t="s">
        <v>6984</v>
      </c>
      <c r="CUE34" t="s">
        <v>6984</v>
      </c>
      <c r="CUF34" t="s">
        <v>6984</v>
      </c>
      <c r="CUG34" t="s">
        <v>6984</v>
      </c>
      <c r="CUH34" t="s">
        <v>6984</v>
      </c>
      <c r="CUI34" t="s">
        <v>6984</v>
      </c>
      <c r="CUJ34" t="s">
        <v>6984</v>
      </c>
      <c r="CUK34" t="s">
        <v>6984</v>
      </c>
      <c r="CUL34" t="s">
        <v>6984</v>
      </c>
      <c r="CUM34" t="s">
        <v>6984</v>
      </c>
      <c r="CUN34" t="s">
        <v>6984</v>
      </c>
      <c r="CUO34" t="s">
        <v>6984</v>
      </c>
      <c r="CUP34" t="s">
        <v>6984</v>
      </c>
      <c r="CUQ34" t="s">
        <v>6984</v>
      </c>
      <c r="CUR34" t="s">
        <v>6984</v>
      </c>
      <c r="CUS34" t="s">
        <v>6984</v>
      </c>
      <c r="CUT34" t="s">
        <v>6984</v>
      </c>
      <c r="CUU34" t="s">
        <v>6984</v>
      </c>
      <c r="CUV34" t="s">
        <v>6984</v>
      </c>
      <c r="CUW34" t="s">
        <v>6984</v>
      </c>
      <c r="CUX34" t="s">
        <v>6984</v>
      </c>
      <c r="CUY34" t="s">
        <v>6984</v>
      </c>
      <c r="CUZ34" t="s">
        <v>6984</v>
      </c>
      <c r="CVA34" t="s">
        <v>6984</v>
      </c>
      <c r="CVB34" t="s">
        <v>6984</v>
      </c>
      <c r="CVC34" t="s">
        <v>6984</v>
      </c>
      <c r="CVD34" t="s">
        <v>6984</v>
      </c>
      <c r="CVE34" t="s">
        <v>6984</v>
      </c>
      <c r="CVF34" t="s">
        <v>6984</v>
      </c>
      <c r="CVG34" t="s">
        <v>6984</v>
      </c>
      <c r="CVH34" t="s">
        <v>6984</v>
      </c>
      <c r="CVI34" t="s">
        <v>6984</v>
      </c>
      <c r="CVJ34" t="s">
        <v>6984</v>
      </c>
      <c r="CVK34" t="s">
        <v>6984</v>
      </c>
      <c r="CVL34" t="s">
        <v>6984</v>
      </c>
      <c r="CVM34" t="s">
        <v>6984</v>
      </c>
      <c r="CVN34" t="s">
        <v>6984</v>
      </c>
      <c r="CVO34" t="s">
        <v>6984</v>
      </c>
      <c r="CVP34" t="s">
        <v>6984</v>
      </c>
      <c r="CVQ34" t="s">
        <v>6984</v>
      </c>
      <c r="CVR34" t="s">
        <v>6984</v>
      </c>
      <c r="CVS34" t="s">
        <v>6984</v>
      </c>
      <c r="CVT34" t="s">
        <v>6984</v>
      </c>
      <c r="CVU34" t="s">
        <v>6984</v>
      </c>
      <c r="CVV34" t="s">
        <v>6984</v>
      </c>
      <c r="CVW34" t="s">
        <v>6984</v>
      </c>
      <c r="CVX34" t="s">
        <v>6984</v>
      </c>
      <c r="CVY34" t="s">
        <v>6984</v>
      </c>
      <c r="CVZ34" t="s">
        <v>6984</v>
      </c>
      <c r="CWA34" t="s">
        <v>6984</v>
      </c>
      <c r="CWB34" t="s">
        <v>6984</v>
      </c>
      <c r="CWC34" t="s">
        <v>6984</v>
      </c>
      <c r="CWD34" t="s">
        <v>6984</v>
      </c>
      <c r="CWE34" t="s">
        <v>6984</v>
      </c>
      <c r="CWF34" t="s">
        <v>6984</v>
      </c>
      <c r="CWG34" t="s">
        <v>6984</v>
      </c>
      <c r="CWH34" t="s">
        <v>6984</v>
      </c>
      <c r="CWI34" t="s">
        <v>6984</v>
      </c>
      <c r="CWJ34" t="s">
        <v>6984</v>
      </c>
      <c r="CWK34" t="s">
        <v>6984</v>
      </c>
      <c r="CWL34" t="s">
        <v>6984</v>
      </c>
      <c r="CWM34" t="s">
        <v>6984</v>
      </c>
      <c r="CWN34" t="s">
        <v>6984</v>
      </c>
      <c r="CWO34" t="s">
        <v>6984</v>
      </c>
      <c r="CWP34" t="s">
        <v>6984</v>
      </c>
      <c r="CWQ34" t="s">
        <v>6984</v>
      </c>
      <c r="CWR34" t="s">
        <v>6984</v>
      </c>
      <c r="CWS34" t="s">
        <v>6984</v>
      </c>
      <c r="CWT34" t="s">
        <v>6984</v>
      </c>
      <c r="CWU34" t="s">
        <v>6984</v>
      </c>
      <c r="CWV34" t="s">
        <v>6984</v>
      </c>
      <c r="CWW34" t="s">
        <v>6984</v>
      </c>
      <c r="CWX34" t="s">
        <v>6984</v>
      </c>
      <c r="CWY34" t="s">
        <v>6984</v>
      </c>
      <c r="CWZ34" t="s">
        <v>6984</v>
      </c>
      <c r="CXA34" t="s">
        <v>6984</v>
      </c>
      <c r="CXB34" t="s">
        <v>6984</v>
      </c>
      <c r="CXC34" t="s">
        <v>6984</v>
      </c>
      <c r="CXD34" t="s">
        <v>6984</v>
      </c>
      <c r="CXE34" t="s">
        <v>6984</v>
      </c>
      <c r="CXF34" t="s">
        <v>6984</v>
      </c>
      <c r="CXG34" t="s">
        <v>6984</v>
      </c>
      <c r="CXH34" t="s">
        <v>6984</v>
      </c>
      <c r="CXI34" t="s">
        <v>6984</v>
      </c>
      <c r="CXJ34" t="s">
        <v>6984</v>
      </c>
      <c r="CXK34" t="s">
        <v>6984</v>
      </c>
      <c r="CXL34" t="s">
        <v>6984</v>
      </c>
      <c r="CXM34" t="s">
        <v>6984</v>
      </c>
      <c r="CXN34" t="s">
        <v>6984</v>
      </c>
      <c r="CXO34" t="s">
        <v>6984</v>
      </c>
      <c r="CXP34" t="s">
        <v>6984</v>
      </c>
      <c r="CXQ34" t="s">
        <v>6984</v>
      </c>
      <c r="CXR34" t="s">
        <v>6984</v>
      </c>
      <c r="CXS34" t="s">
        <v>6984</v>
      </c>
      <c r="CXT34" t="s">
        <v>6984</v>
      </c>
      <c r="CXU34" t="s">
        <v>6984</v>
      </c>
      <c r="CXV34" t="s">
        <v>6984</v>
      </c>
      <c r="CXW34" t="s">
        <v>6984</v>
      </c>
      <c r="CXX34" t="s">
        <v>6984</v>
      </c>
      <c r="CXY34" t="s">
        <v>6984</v>
      </c>
      <c r="CXZ34" t="s">
        <v>6984</v>
      </c>
      <c r="CYA34" t="s">
        <v>6984</v>
      </c>
      <c r="CYB34" t="s">
        <v>6984</v>
      </c>
      <c r="CYC34" t="s">
        <v>6984</v>
      </c>
      <c r="CYD34" t="s">
        <v>6984</v>
      </c>
      <c r="CYE34" t="s">
        <v>6984</v>
      </c>
      <c r="CYF34" t="s">
        <v>6984</v>
      </c>
      <c r="CYG34" t="s">
        <v>6984</v>
      </c>
      <c r="CYH34" t="s">
        <v>6984</v>
      </c>
      <c r="CYI34" t="s">
        <v>6984</v>
      </c>
      <c r="CYJ34" t="s">
        <v>6984</v>
      </c>
      <c r="CYK34" t="s">
        <v>6984</v>
      </c>
      <c r="CYL34" t="s">
        <v>6984</v>
      </c>
      <c r="CYM34" t="s">
        <v>6984</v>
      </c>
      <c r="CYN34" t="s">
        <v>6984</v>
      </c>
      <c r="CYO34" t="s">
        <v>6984</v>
      </c>
      <c r="CYP34" t="s">
        <v>6984</v>
      </c>
      <c r="CYQ34" t="s">
        <v>6984</v>
      </c>
      <c r="CYR34" t="s">
        <v>6984</v>
      </c>
      <c r="CYS34" t="s">
        <v>6984</v>
      </c>
      <c r="CYT34" t="s">
        <v>6984</v>
      </c>
      <c r="CYU34" t="s">
        <v>6984</v>
      </c>
      <c r="CYV34" t="s">
        <v>6984</v>
      </c>
      <c r="CYW34" t="s">
        <v>6984</v>
      </c>
      <c r="CYX34" t="s">
        <v>6984</v>
      </c>
      <c r="CYY34" t="s">
        <v>6984</v>
      </c>
      <c r="CYZ34" t="s">
        <v>6984</v>
      </c>
      <c r="CZA34" t="s">
        <v>6984</v>
      </c>
      <c r="CZB34" t="s">
        <v>6984</v>
      </c>
      <c r="CZC34" t="s">
        <v>6984</v>
      </c>
      <c r="CZD34" t="s">
        <v>6984</v>
      </c>
      <c r="CZE34" t="s">
        <v>6984</v>
      </c>
      <c r="CZF34" t="s">
        <v>6984</v>
      </c>
      <c r="CZG34" t="s">
        <v>6984</v>
      </c>
      <c r="CZH34" t="s">
        <v>6984</v>
      </c>
      <c r="CZI34" t="s">
        <v>6984</v>
      </c>
      <c r="CZJ34" t="s">
        <v>6984</v>
      </c>
      <c r="CZK34" t="s">
        <v>6984</v>
      </c>
      <c r="CZL34" t="s">
        <v>6984</v>
      </c>
      <c r="CZM34" t="s">
        <v>6984</v>
      </c>
      <c r="CZN34" t="s">
        <v>6984</v>
      </c>
      <c r="CZO34" t="s">
        <v>6984</v>
      </c>
      <c r="CZP34" t="s">
        <v>6984</v>
      </c>
      <c r="CZQ34" t="s">
        <v>6984</v>
      </c>
      <c r="CZR34" t="s">
        <v>6984</v>
      </c>
      <c r="CZS34" t="s">
        <v>6984</v>
      </c>
      <c r="CZT34" t="s">
        <v>6984</v>
      </c>
      <c r="CZU34" t="s">
        <v>6984</v>
      </c>
      <c r="CZV34" t="s">
        <v>6984</v>
      </c>
      <c r="CZW34" t="s">
        <v>6984</v>
      </c>
      <c r="CZX34" t="s">
        <v>6984</v>
      </c>
      <c r="CZY34" t="s">
        <v>6984</v>
      </c>
      <c r="CZZ34" t="s">
        <v>6984</v>
      </c>
      <c r="DAA34" t="s">
        <v>6984</v>
      </c>
      <c r="DAB34" t="s">
        <v>6984</v>
      </c>
      <c r="DAC34" t="s">
        <v>6984</v>
      </c>
      <c r="DAD34" t="s">
        <v>6984</v>
      </c>
      <c r="DAE34" t="s">
        <v>6984</v>
      </c>
      <c r="DAF34" t="s">
        <v>6984</v>
      </c>
      <c r="DAG34" t="s">
        <v>6984</v>
      </c>
      <c r="DAH34" t="s">
        <v>6984</v>
      </c>
      <c r="DAI34" t="s">
        <v>6984</v>
      </c>
      <c r="DAJ34" t="s">
        <v>6984</v>
      </c>
      <c r="DAK34" t="s">
        <v>6984</v>
      </c>
      <c r="DAL34" t="s">
        <v>6984</v>
      </c>
      <c r="DAM34" t="s">
        <v>6984</v>
      </c>
      <c r="DAN34" t="s">
        <v>6984</v>
      </c>
      <c r="DAO34" t="s">
        <v>6984</v>
      </c>
      <c r="DAP34" t="s">
        <v>6984</v>
      </c>
      <c r="DAQ34" t="s">
        <v>6984</v>
      </c>
      <c r="DAR34" t="s">
        <v>6984</v>
      </c>
      <c r="DAS34" t="s">
        <v>6984</v>
      </c>
      <c r="DAT34" t="s">
        <v>6984</v>
      </c>
      <c r="DAU34" t="s">
        <v>6984</v>
      </c>
      <c r="DAV34" t="s">
        <v>6984</v>
      </c>
      <c r="DAW34" t="s">
        <v>6984</v>
      </c>
      <c r="DAX34" t="s">
        <v>6984</v>
      </c>
      <c r="DAY34" t="s">
        <v>6984</v>
      </c>
      <c r="DAZ34" t="s">
        <v>6984</v>
      </c>
      <c r="DBA34" t="s">
        <v>6984</v>
      </c>
      <c r="DBB34" t="s">
        <v>6984</v>
      </c>
      <c r="DBC34" t="s">
        <v>6984</v>
      </c>
      <c r="DBD34" t="s">
        <v>6984</v>
      </c>
      <c r="DBE34" t="s">
        <v>6984</v>
      </c>
      <c r="DBF34" t="s">
        <v>6984</v>
      </c>
      <c r="DBG34" t="s">
        <v>6984</v>
      </c>
      <c r="DBH34" t="s">
        <v>6984</v>
      </c>
      <c r="DBI34" t="s">
        <v>6984</v>
      </c>
      <c r="DBJ34" t="s">
        <v>6984</v>
      </c>
      <c r="DBK34" t="s">
        <v>6984</v>
      </c>
      <c r="DBL34" t="s">
        <v>6984</v>
      </c>
      <c r="DBM34" t="s">
        <v>6984</v>
      </c>
      <c r="DBN34" t="s">
        <v>6984</v>
      </c>
      <c r="DBO34" t="s">
        <v>6984</v>
      </c>
      <c r="DBP34" t="s">
        <v>6984</v>
      </c>
      <c r="DBQ34" t="s">
        <v>6984</v>
      </c>
      <c r="DBR34" t="s">
        <v>6984</v>
      </c>
      <c r="DBS34" t="s">
        <v>6984</v>
      </c>
      <c r="DBT34" t="s">
        <v>6984</v>
      </c>
      <c r="DBU34" t="s">
        <v>6984</v>
      </c>
      <c r="DBV34" t="s">
        <v>6984</v>
      </c>
      <c r="DBW34" t="s">
        <v>6984</v>
      </c>
      <c r="DBX34" t="s">
        <v>6984</v>
      </c>
      <c r="DBY34" t="s">
        <v>6984</v>
      </c>
      <c r="DBZ34" t="s">
        <v>6984</v>
      </c>
      <c r="DCA34" t="s">
        <v>6984</v>
      </c>
      <c r="DCB34" t="s">
        <v>6984</v>
      </c>
      <c r="DCC34" t="s">
        <v>6984</v>
      </c>
      <c r="DCD34" t="s">
        <v>6984</v>
      </c>
      <c r="DCE34" t="s">
        <v>6984</v>
      </c>
      <c r="DCF34" t="s">
        <v>6984</v>
      </c>
      <c r="DCG34" t="s">
        <v>6984</v>
      </c>
      <c r="DCH34" t="s">
        <v>6984</v>
      </c>
      <c r="DCI34" t="s">
        <v>6984</v>
      </c>
      <c r="DCJ34" t="s">
        <v>6984</v>
      </c>
      <c r="DCK34" t="s">
        <v>6984</v>
      </c>
      <c r="DCL34" t="s">
        <v>6984</v>
      </c>
      <c r="DCM34" t="s">
        <v>6984</v>
      </c>
      <c r="DCN34" t="s">
        <v>6984</v>
      </c>
      <c r="DCO34" t="s">
        <v>6984</v>
      </c>
      <c r="DCP34" t="s">
        <v>6984</v>
      </c>
      <c r="DCQ34" t="s">
        <v>6984</v>
      </c>
      <c r="DCR34" t="s">
        <v>6984</v>
      </c>
      <c r="DCS34" t="s">
        <v>6984</v>
      </c>
      <c r="DCT34" t="s">
        <v>6984</v>
      </c>
      <c r="DCU34" t="s">
        <v>6984</v>
      </c>
      <c r="DCV34" t="s">
        <v>6984</v>
      </c>
      <c r="DCW34" t="s">
        <v>6984</v>
      </c>
      <c r="DCX34" t="s">
        <v>6984</v>
      </c>
      <c r="DCY34" t="s">
        <v>6984</v>
      </c>
      <c r="DCZ34" t="s">
        <v>6984</v>
      </c>
      <c r="DDA34" t="s">
        <v>6984</v>
      </c>
      <c r="DDB34" t="s">
        <v>6984</v>
      </c>
      <c r="DDC34" t="s">
        <v>6984</v>
      </c>
      <c r="DDD34" t="s">
        <v>6984</v>
      </c>
      <c r="DDE34" t="s">
        <v>6984</v>
      </c>
      <c r="DDF34" t="s">
        <v>6984</v>
      </c>
      <c r="DDG34" t="s">
        <v>6984</v>
      </c>
      <c r="DDH34" t="s">
        <v>6984</v>
      </c>
      <c r="DDI34" t="s">
        <v>6984</v>
      </c>
      <c r="DDJ34" t="s">
        <v>6984</v>
      </c>
      <c r="DDK34" t="s">
        <v>6984</v>
      </c>
      <c r="DDL34" t="s">
        <v>6984</v>
      </c>
      <c r="DDM34" t="s">
        <v>6984</v>
      </c>
      <c r="DDN34" t="s">
        <v>6984</v>
      </c>
      <c r="DDO34" t="s">
        <v>6984</v>
      </c>
      <c r="DDP34" t="s">
        <v>6984</v>
      </c>
      <c r="DDQ34" t="s">
        <v>6984</v>
      </c>
      <c r="DDR34" t="s">
        <v>6984</v>
      </c>
      <c r="DDS34" t="s">
        <v>6984</v>
      </c>
      <c r="DDT34" t="s">
        <v>6984</v>
      </c>
      <c r="DDU34" t="s">
        <v>6984</v>
      </c>
      <c r="DDV34" t="s">
        <v>6984</v>
      </c>
      <c r="DDW34" t="s">
        <v>6984</v>
      </c>
      <c r="DDX34" t="s">
        <v>6984</v>
      </c>
      <c r="DDY34" t="s">
        <v>6984</v>
      </c>
      <c r="DDZ34" t="s">
        <v>6984</v>
      </c>
      <c r="DEA34" t="s">
        <v>6984</v>
      </c>
      <c r="DEB34" t="s">
        <v>6984</v>
      </c>
      <c r="DEC34" t="s">
        <v>6984</v>
      </c>
      <c r="DED34" t="s">
        <v>6984</v>
      </c>
      <c r="DEE34" t="s">
        <v>6984</v>
      </c>
      <c r="DEF34" t="s">
        <v>6984</v>
      </c>
      <c r="DEG34" t="s">
        <v>6984</v>
      </c>
      <c r="DEH34" t="s">
        <v>6984</v>
      </c>
      <c r="DEI34" t="s">
        <v>6984</v>
      </c>
      <c r="DEJ34" t="s">
        <v>6984</v>
      </c>
      <c r="DEK34" t="s">
        <v>6984</v>
      </c>
      <c r="DEL34" t="s">
        <v>6984</v>
      </c>
      <c r="DEM34" t="s">
        <v>6984</v>
      </c>
      <c r="DEN34" t="s">
        <v>6984</v>
      </c>
      <c r="DEO34" t="s">
        <v>6984</v>
      </c>
      <c r="DEP34" t="s">
        <v>6984</v>
      </c>
      <c r="DEQ34" t="s">
        <v>6984</v>
      </c>
      <c r="DER34" t="s">
        <v>6984</v>
      </c>
      <c r="DES34" t="s">
        <v>6984</v>
      </c>
      <c r="DET34" t="s">
        <v>6984</v>
      </c>
      <c r="DEU34" t="s">
        <v>6984</v>
      </c>
      <c r="DEV34" t="s">
        <v>6984</v>
      </c>
      <c r="DEW34" t="s">
        <v>6984</v>
      </c>
      <c r="DEX34" t="s">
        <v>6984</v>
      </c>
      <c r="DEY34" t="s">
        <v>6984</v>
      </c>
      <c r="DEZ34" t="s">
        <v>6984</v>
      </c>
      <c r="DFA34" t="s">
        <v>6984</v>
      </c>
      <c r="DFB34" t="s">
        <v>6984</v>
      </c>
      <c r="DFC34" t="s">
        <v>6984</v>
      </c>
      <c r="DFD34" t="s">
        <v>6984</v>
      </c>
      <c r="DFE34" t="s">
        <v>6984</v>
      </c>
      <c r="DFF34" t="s">
        <v>6984</v>
      </c>
      <c r="DFG34" t="s">
        <v>6984</v>
      </c>
      <c r="DFH34" t="s">
        <v>6984</v>
      </c>
      <c r="DFI34" t="s">
        <v>6984</v>
      </c>
      <c r="DFJ34" t="s">
        <v>6984</v>
      </c>
      <c r="DFK34" t="s">
        <v>6984</v>
      </c>
      <c r="DFL34" t="s">
        <v>6984</v>
      </c>
      <c r="DFM34" t="s">
        <v>6984</v>
      </c>
      <c r="DFN34" t="s">
        <v>6984</v>
      </c>
      <c r="DFO34" t="s">
        <v>6984</v>
      </c>
      <c r="DFP34" t="s">
        <v>6984</v>
      </c>
      <c r="DFQ34" t="s">
        <v>6984</v>
      </c>
      <c r="DFR34" t="s">
        <v>6984</v>
      </c>
      <c r="DFS34" t="s">
        <v>6984</v>
      </c>
      <c r="DFT34" t="s">
        <v>6984</v>
      </c>
      <c r="DFU34" t="s">
        <v>6984</v>
      </c>
      <c r="DFV34" t="s">
        <v>6984</v>
      </c>
      <c r="DFW34" t="s">
        <v>6984</v>
      </c>
      <c r="DFX34" t="s">
        <v>6984</v>
      </c>
      <c r="DFY34" t="s">
        <v>6984</v>
      </c>
      <c r="DFZ34" t="s">
        <v>6984</v>
      </c>
      <c r="DGA34" t="s">
        <v>6984</v>
      </c>
      <c r="DGB34" t="s">
        <v>6984</v>
      </c>
      <c r="DGC34" t="s">
        <v>6984</v>
      </c>
      <c r="DGD34" t="s">
        <v>6984</v>
      </c>
      <c r="DGE34" t="s">
        <v>6984</v>
      </c>
      <c r="DGF34" t="s">
        <v>6984</v>
      </c>
      <c r="DGG34" t="s">
        <v>6984</v>
      </c>
      <c r="DGH34" t="s">
        <v>6984</v>
      </c>
      <c r="DGI34" t="s">
        <v>6984</v>
      </c>
      <c r="DGJ34" t="s">
        <v>6984</v>
      </c>
      <c r="DGK34" t="s">
        <v>6984</v>
      </c>
      <c r="DGL34" t="s">
        <v>6984</v>
      </c>
      <c r="DGM34" t="s">
        <v>6984</v>
      </c>
      <c r="DGN34" t="s">
        <v>6984</v>
      </c>
      <c r="DGO34" t="s">
        <v>6984</v>
      </c>
      <c r="DGP34" t="s">
        <v>6984</v>
      </c>
      <c r="DGQ34" t="s">
        <v>6984</v>
      </c>
      <c r="DGR34" t="s">
        <v>6984</v>
      </c>
      <c r="DGS34" t="s">
        <v>6984</v>
      </c>
      <c r="DGT34" t="s">
        <v>6984</v>
      </c>
      <c r="DGU34" t="s">
        <v>6984</v>
      </c>
      <c r="DGV34" t="s">
        <v>6984</v>
      </c>
      <c r="DGW34" t="s">
        <v>6984</v>
      </c>
      <c r="DGX34" t="s">
        <v>6984</v>
      </c>
      <c r="DGY34" t="s">
        <v>6984</v>
      </c>
      <c r="DGZ34" t="s">
        <v>6984</v>
      </c>
      <c r="DHA34" t="s">
        <v>6984</v>
      </c>
      <c r="DHB34" t="s">
        <v>6984</v>
      </c>
      <c r="DHC34" t="s">
        <v>6984</v>
      </c>
      <c r="DHD34" t="s">
        <v>6984</v>
      </c>
      <c r="DHE34" t="s">
        <v>6984</v>
      </c>
      <c r="DHF34" t="s">
        <v>6984</v>
      </c>
      <c r="DHG34" t="s">
        <v>6984</v>
      </c>
      <c r="DHH34" t="s">
        <v>6984</v>
      </c>
      <c r="DHI34" t="s">
        <v>6984</v>
      </c>
      <c r="DHJ34" t="s">
        <v>6984</v>
      </c>
      <c r="DHK34" t="s">
        <v>6984</v>
      </c>
      <c r="DHL34" t="s">
        <v>6984</v>
      </c>
      <c r="DHM34" t="s">
        <v>6984</v>
      </c>
      <c r="DHN34" t="s">
        <v>6984</v>
      </c>
      <c r="DHO34" t="s">
        <v>6984</v>
      </c>
      <c r="DHP34" t="s">
        <v>6984</v>
      </c>
      <c r="DHQ34" t="s">
        <v>6984</v>
      </c>
      <c r="DHR34" t="s">
        <v>6984</v>
      </c>
      <c r="DHS34" t="s">
        <v>6984</v>
      </c>
      <c r="DHT34" t="s">
        <v>6984</v>
      </c>
      <c r="DHU34" t="s">
        <v>6984</v>
      </c>
      <c r="DHV34" t="s">
        <v>6984</v>
      </c>
      <c r="DHW34" t="s">
        <v>6984</v>
      </c>
      <c r="DHX34" t="s">
        <v>6984</v>
      </c>
      <c r="DHY34" t="s">
        <v>6984</v>
      </c>
      <c r="DHZ34" t="s">
        <v>6984</v>
      </c>
      <c r="DIA34" t="s">
        <v>6984</v>
      </c>
      <c r="DIB34" t="s">
        <v>6984</v>
      </c>
      <c r="DIC34" t="s">
        <v>6984</v>
      </c>
      <c r="DID34" t="s">
        <v>6984</v>
      </c>
      <c r="DIE34" t="s">
        <v>6984</v>
      </c>
      <c r="DIF34" t="s">
        <v>6984</v>
      </c>
      <c r="DIG34" t="s">
        <v>6984</v>
      </c>
      <c r="DIH34" t="s">
        <v>6984</v>
      </c>
      <c r="DII34" t="s">
        <v>6984</v>
      </c>
      <c r="DIJ34" t="s">
        <v>6984</v>
      </c>
      <c r="DIK34" t="s">
        <v>6984</v>
      </c>
      <c r="DIL34" t="s">
        <v>6984</v>
      </c>
      <c r="DIM34" t="s">
        <v>6984</v>
      </c>
      <c r="DIN34" t="s">
        <v>6984</v>
      </c>
      <c r="DIO34" t="s">
        <v>6984</v>
      </c>
      <c r="DIP34" t="s">
        <v>6984</v>
      </c>
      <c r="DIQ34" t="s">
        <v>6984</v>
      </c>
      <c r="DIR34" t="s">
        <v>6984</v>
      </c>
      <c r="DIS34" t="s">
        <v>6984</v>
      </c>
      <c r="DIT34" t="s">
        <v>6984</v>
      </c>
      <c r="DIU34" t="s">
        <v>6984</v>
      </c>
      <c r="DIV34" t="s">
        <v>6984</v>
      </c>
      <c r="DIW34" t="s">
        <v>6984</v>
      </c>
      <c r="DIX34" t="s">
        <v>6984</v>
      </c>
      <c r="DIY34" t="s">
        <v>6984</v>
      </c>
      <c r="DIZ34" t="s">
        <v>6984</v>
      </c>
      <c r="DJA34" t="s">
        <v>6984</v>
      </c>
      <c r="DJB34" t="s">
        <v>6984</v>
      </c>
      <c r="DJC34" t="s">
        <v>6984</v>
      </c>
      <c r="DJD34" t="s">
        <v>6984</v>
      </c>
      <c r="DJE34" t="s">
        <v>6984</v>
      </c>
      <c r="DJF34" t="s">
        <v>6984</v>
      </c>
      <c r="DJG34" t="s">
        <v>6984</v>
      </c>
      <c r="DJH34" t="s">
        <v>6984</v>
      </c>
      <c r="DJI34" t="s">
        <v>6984</v>
      </c>
      <c r="DJJ34" t="s">
        <v>6984</v>
      </c>
      <c r="DJK34" t="s">
        <v>6984</v>
      </c>
      <c r="DJL34" t="s">
        <v>6984</v>
      </c>
      <c r="DJM34" t="s">
        <v>6984</v>
      </c>
      <c r="DJN34" t="s">
        <v>6984</v>
      </c>
      <c r="DJO34" t="s">
        <v>6984</v>
      </c>
      <c r="DJP34" t="s">
        <v>6984</v>
      </c>
      <c r="DJQ34" t="s">
        <v>6984</v>
      </c>
      <c r="DJR34" t="s">
        <v>6984</v>
      </c>
      <c r="DJS34" t="s">
        <v>6984</v>
      </c>
      <c r="DJT34" t="s">
        <v>6984</v>
      </c>
      <c r="DJU34" t="s">
        <v>6984</v>
      </c>
      <c r="DJV34" t="s">
        <v>6984</v>
      </c>
      <c r="DJW34" t="s">
        <v>6984</v>
      </c>
      <c r="DJX34" t="s">
        <v>6984</v>
      </c>
      <c r="DJY34" t="s">
        <v>6984</v>
      </c>
      <c r="DJZ34" t="s">
        <v>6984</v>
      </c>
      <c r="DKA34" t="s">
        <v>6984</v>
      </c>
      <c r="DKB34" t="s">
        <v>6984</v>
      </c>
      <c r="DKC34" t="s">
        <v>6984</v>
      </c>
      <c r="DKD34" t="s">
        <v>6984</v>
      </c>
      <c r="DKE34" t="s">
        <v>6984</v>
      </c>
      <c r="DKF34" t="s">
        <v>6984</v>
      </c>
      <c r="DKG34" t="s">
        <v>6984</v>
      </c>
      <c r="DKH34" t="s">
        <v>6984</v>
      </c>
      <c r="DKI34" t="s">
        <v>6984</v>
      </c>
      <c r="DKJ34" t="s">
        <v>6984</v>
      </c>
      <c r="DKK34" t="s">
        <v>6984</v>
      </c>
      <c r="DKL34" t="s">
        <v>6984</v>
      </c>
      <c r="DKM34" t="s">
        <v>6984</v>
      </c>
      <c r="DKN34" t="s">
        <v>6984</v>
      </c>
      <c r="DKO34" t="s">
        <v>6984</v>
      </c>
      <c r="DKP34" t="s">
        <v>6984</v>
      </c>
      <c r="DKQ34" t="s">
        <v>6984</v>
      </c>
      <c r="DKR34" t="s">
        <v>6984</v>
      </c>
      <c r="DKS34" t="s">
        <v>6984</v>
      </c>
      <c r="DKT34" t="s">
        <v>6984</v>
      </c>
      <c r="DKU34" t="s">
        <v>6984</v>
      </c>
      <c r="DKV34" t="s">
        <v>6984</v>
      </c>
      <c r="DKW34" t="s">
        <v>6984</v>
      </c>
      <c r="DKX34" t="s">
        <v>6984</v>
      </c>
      <c r="DKY34" t="s">
        <v>6984</v>
      </c>
      <c r="DKZ34" t="s">
        <v>6984</v>
      </c>
      <c r="DLA34" t="s">
        <v>6984</v>
      </c>
      <c r="DLB34" t="s">
        <v>6984</v>
      </c>
      <c r="DLC34" t="s">
        <v>6984</v>
      </c>
      <c r="DLD34" t="s">
        <v>6984</v>
      </c>
      <c r="DLE34" t="s">
        <v>6984</v>
      </c>
      <c r="DLF34" t="s">
        <v>6984</v>
      </c>
      <c r="DLG34" t="s">
        <v>6984</v>
      </c>
      <c r="DLH34" t="s">
        <v>6984</v>
      </c>
      <c r="DLI34" t="s">
        <v>6984</v>
      </c>
      <c r="DLJ34" t="s">
        <v>6984</v>
      </c>
      <c r="DLK34" t="s">
        <v>6984</v>
      </c>
      <c r="DLL34" t="s">
        <v>6984</v>
      </c>
      <c r="DLM34" t="s">
        <v>6984</v>
      </c>
      <c r="DLN34" t="s">
        <v>6984</v>
      </c>
      <c r="DLO34" t="s">
        <v>6984</v>
      </c>
      <c r="DLP34" t="s">
        <v>6984</v>
      </c>
      <c r="DLQ34" t="s">
        <v>6984</v>
      </c>
      <c r="DLR34" t="s">
        <v>6984</v>
      </c>
      <c r="DLS34" t="s">
        <v>6984</v>
      </c>
      <c r="DLT34" t="s">
        <v>6984</v>
      </c>
      <c r="DLU34" t="s">
        <v>6984</v>
      </c>
      <c r="DLV34" t="s">
        <v>6984</v>
      </c>
      <c r="DLW34" t="s">
        <v>6984</v>
      </c>
      <c r="DLX34" t="s">
        <v>6984</v>
      </c>
      <c r="DLY34" t="s">
        <v>6984</v>
      </c>
      <c r="DLZ34" t="s">
        <v>6984</v>
      </c>
      <c r="DMA34" t="s">
        <v>6984</v>
      </c>
      <c r="DMB34" t="s">
        <v>6984</v>
      </c>
      <c r="DMC34" t="s">
        <v>6984</v>
      </c>
      <c r="DMD34" t="s">
        <v>6984</v>
      </c>
      <c r="DME34" t="s">
        <v>6984</v>
      </c>
      <c r="DMF34" t="s">
        <v>6984</v>
      </c>
      <c r="DMG34" t="s">
        <v>6984</v>
      </c>
      <c r="DMH34" t="s">
        <v>6984</v>
      </c>
      <c r="DMI34" t="s">
        <v>6984</v>
      </c>
      <c r="DMJ34" t="s">
        <v>6984</v>
      </c>
      <c r="DMK34" t="s">
        <v>6984</v>
      </c>
      <c r="DML34" t="s">
        <v>6984</v>
      </c>
      <c r="DMM34" t="s">
        <v>6984</v>
      </c>
      <c r="DMN34" t="s">
        <v>6984</v>
      </c>
      <c r="DMO34" t="s">
        <v>6984</v>
      </c>
      <c r="DMP34" t="s">
        <v>6984</v>
      </c>
      <c r="DMQ34" t="s">
        <v>6984</v>
      </c>
      <c r="DMR34" t="s">
        <v>6984</v>
      </c>
      <c r="DMS34" t="s">
        <v>6984</v>
      </c>
      <c r="DMT34" t="s">
        <v>6984</v>
      </c>
      <c r="DMU34" t="s">
        <v>6984</v>
      </c>
      <c r="DMV34" t="s">
        <v>6984</v>
      </c>
      <c r="DMW34" t="s">
        <v>6984</v>
      </c>
      <c r="DMX34" t="s">
        <v>6984</v>
      </c>
      <c r="DMY34" t="s">
        <v>6984</v>
      </c>
      <c r="DMZ34" t="s">
        <v>6984</v>
      </c>
      <c r="DNA34" t="s">
        <v>6984</v>
      </c>
      <c r="DNB34" t="s">
        <v>6984</v>
      </c>
      <c r="DNC34" t="s">
        <v>6984</v>
      </c>
      <c r="DND34" t="s">
        <v>6984</v>
      </c>
      <c r="DNE34" t="s">
        <v>6984</v>
      </c>
      <c r="DNF34" t="s">
        <v>6984</v>
      </c>
      <c r="DNG34" t="s">
        <v>6984</v>
      </c>
      <c r="DNH34" t="s">
        <v>6984</v>
      </c>
      <c r="DNI34" t="s">
        <v>6984</v>
      </c>
      <c r="DNJ34" t="s">
        <v>6984</v>
      </c>
      <c r="DNK34" t="s">
        <v>6984</v>
      </c>
      <c r="DNL34" t="s">
        <v>6984</v>
      </c>
      <c r="DNM34" t="s">
        <v>6984</v>
      </c>
      <c r="DNN34" t="s">
        <v>6984</v>
      </c>
      <c r="DNO34" t="s">
        <v>6984</v>
      </c>
      <c r="DNP34" t="s">
        <v>6984</v>
      </c>
      <c r="DNQ34" t="s">
        <v>6984</v>
      </c>
      <c r="DNR34" t="s">
        <v>6984</v>
      </c>
      <c r="DNS34" t="s">
        <v>6984</v>
      </c>
      <c r="DNT34" t="s">
        <v>6984</v>
      </c>
      <c r="DNU34" t="s">
        <v>6984</v>
      </c>
      <c r="DNV34" t="s">
        <v>6984</v>
      </c>
      <c r="DNW34" t="s">
        <v>6984</v>
      </c>
      <c r="DNX34" t="s">
        <v>6984</v>
      </c>
      <c r="DNY34" t="s">
        <v>6984</v>
      </c>
      <c r="DNZ34" t="s">
        <v>6984</v>
      </c>
      <c r="DOA34" t="s">
        <v>6984</v>
      </c>
      <c r="DOB34" t="s">
        <v>6984</v>
      </c>
      <c r="DOC34" t="s">
        <v>6984</v>
      </c>
      <c r="DOD34" t="s">
        <v>6984</v>
      </c>
      <c r="DOE34" t="s">
        <v>6984</v>
      </c>
      <c r="DOF34" t="s">
        <v>6984</v>
      </c>
      <c r="DOG34" t="s">
        <v>6984</v>
      </c>
      <c r="DOH34" t="s">
        <v>6984</v>
      </c>
      <c r="DOI34" t="s">
        <v>6984</v>
      </c>
      <c r="DOJ34" t="s">
        <v>6984</v>
      </c>
      <c r="DOK34" t="s">
        <v>6984</v>
      </c>
      <c r="DOL34" t="s">
        <v>6984</v>
      </c>
      <c r="DOM34" t="s">
        <v>6984</v>
      </c>
      <c r="DON34" t="s">
        <v>6984</v>
      </c>
      <c r="DOO34" t="s">
        <v>6984</v>
      </c>
      <c r="DOP34" t="s">
        <v>6984</v>
      </c>
      <c r="DOQ34" t="s">
        <v>6984</v>
      </c>
      <c r="DOR34" t="s">
        <v>6984</v>
      </c>
      <c r="DOS34" t="s">
        <v>6984</v>
      </c>
      <c r="DOT34" t="s">
        <v>6984</v>
      </c>
      <c r="DOU34" t="s">
        <v>6984</v>
      </c>
      <c r="DOV34" t="s">
        <v>6984</v>
      </c>
      <c r="DOW34" t="s">
        <v>6984</v>
      </c>
      <c r="DOX34" t="s">
        <v>6984</v>
      </c>
      <c r="DOY34" t="s">
        <v>6984</v>
      </c>
      <c r="DOZ34" t="s">
        <v>6984</v>
      </c>
      <c r="DPA34" t="s">
        <v>6984</v>
      </c>
      <c r="DPB34" t="s">
        <v>6984</v>
      </c>
      <c r="DPC34" t="s">
        <v>6984</v>
      </c>
      <c r="DPD34" t="s">
        <v>6984</v>
      </c>
      <c r="DPE34" t="s">
        <v>6984</v>
      </c>
      <c r="DPF34" t="s">
        <v>6984</v>
      </c>
      <c r="DPG34" t="s">
        <v>6984</v>
      </c>
      <c r="DPH34" t="s">
        <v>6984</v>
      </c>
      <c r="DPI34" t="s">
        <v>6984</v>
      </c>
      <c r="DPJ34" t="s">
        <v>6984</v>
      </c>
      <c r="DPK34" t="s">
        <v>6984</v>
      </c>
      <c r="DPL34" t="s">
        <v>6984</v>
      </c>
      <c r="DPM34" t="s">
        <v>6984</v>
      </c>
      <c r="DPN34" t="s">
        <v>6984</v>
      </c>
      <c r="DPO34" t="s">
        <v>6984</v>
      </c>
      <c r="DPP34" t="s">
        <v>6984</v>
      </c>
      <c r="DPQ34" t="s">
        <v>6984</v>
      </c>
      <c r="DPR34" t="s">
        <v>6984</v>
      </c>
      <c r="DPS34" t="s">
        <v>6984</v>
      </c>
      <c r="DPT34" t="s">
        <v>6984</v>
      </c>
      <c r="DPU34" t="s">
        <v>6984</v>
      </c>
      <c r="DPV34" t="s">
        <v>6984</v>
      </c>
      <c r="DPW34" t="s">
        <v>6984</v>
      </c>
      <c r="DPX34" t="s">
        <v>6984</v>
      </c>
      <c r="DPY34" t="s">
        <v>6984</v>
      </c>
      <c r="DPZ34" t="s">
        <v>6984</v>
      </c>
      <c r="DQA34" t="s">
        <v>6984</v>
      </c>
      <c r="DQB34" t="s">
        <v>6984</v>
      </c>
      <c r="DQC34" t="s">
        <v>6984</v>
      </c>
      <c r="DQD34" t="s">
        <v>6984</v>
      </c>
      <c r="DQE34" t="s">
        <v>6984</v>
      </c>
      <c r="DQF34" t="s">
        <v>6984</v>
      </c>
      <c r="DQG34" t="s">
        <v>6984</v>
      </c>
      <c r="DQH34" t="s">
        <v>6984</v>
      </c>
      <c r="DQI34" t="s">
        <v>6984</v>
      </c>
      <c r="DQJ34" t="s">
        <v>6984</v>
      </c>
      <c r="DQK34" t="s">
        <v>6984</v>
      </c>
      <c r="DQL34" t="s">
        <v>6984</v>
      </c>
      <c r="DQM34" t="s">
        <v>6984</v>
      </c>
      <c r="DQN34" t="s">
        <v>6984</v>
      </c>
      <c r="DQO34" t="s">
        <v>6984</v>
      </c>
      <c r="DQP34" t="s">
        <v>6984</v>
      </c>
      <c r="DQQ34" t="s">
        <v>6984</v>
      </c>
      <c r="DQR34" t="s">
        <v>6984</v>
      </c>
      <c r="DQS34" t="s">
        <v>6984</v>
      </c>
      <c r="DQT34" t="s">
        <v>6984</v>
      </c>
      <c r="DQU34" t="s">
        <v>6984</v>
      </c>
      <c r="DQV34" t="s">
        <v>6984</v>
      </c>
      <c r="DQW34" t="s">
        <v>6984</v>
      </c>
      <c r="DQX34" t="s">
        <v>6984</v>
      </c>
      <c r="DQY34" t="s">
        <v>6984</v>
      </c>
      <c r="DQZ34" t="s">
        <v>6984</v>
      </c>
      <c r="DRA34" t="s">
        <v>6984</v>
      </c>
      <c r="DRB34" t="s">
        <v>6984</v>
      </c>
      <c r="DRC34" t="s">
        <v>6984</v>
      </c>
      <c r="DRD34" t="s">
        <v>6984</v>
      </c>
      <c r="DRE34" t="s">
        <v>6984</v>
      </c>
      <c r="DRF34" t="s">
        <v>6984</v>
      </c>
      <c r="DRG34" t="s">
        <v>6984</v>
      </c>
      <c r="DRH34" t="s">
        <v>6984</v>
      </c>
      <c r="DRI34" t="s">
        <v>6984</v>
      </c>
      <c r="DRJ34" t="s">
        <v>6984</v>
      </c>
      <c r="DRK34" t="s">
        <v>6984</v>
      </c>
      <c r="DRL34" t="s">
        <v>6984</v>
      </c>
      <c r="DRM34" t="s">
        <v>6984</v>
      </c>
      <c r="DRN34" t="s">
        <v>6984</v>
      </c>
      <c r="DRO34" t="s">
        <v>6984</v>
      </c>
      <c r="DRP34" t="s">
        <v>6984</v>
      </c>
      <c r="DRQ34" t="s">
        <v>6984</v>
      </c>
      <c r="DRR34" t="s">
        <v>6984</v>
      </c>
      <c r="DRS34" t="s">
        <v>6984</v>
      </c>
      <c r="DRT34" t="s">
        <v>6984</v>
      </c>
      <c r="DRU34" t="s">
        <v>6984</v>
      </c>
      <c r="DRV34" t="s">
        <v>6984</v>
      </c>
      <c r="DRW34" t="s">
        <v>6984</v>
      </c>
      <c r="DRX34" t="s">
        <v>6984</v>
      </c>
      <c r="DRY34" t="s">
        <v>6984</v>
      </c>
      <c r="DRZ34" t="s">
        <v>6984</v>
      </c>
      <c r="DSA34" t="s">
        <v>6984</v>
      </c>
      <c r="DSB34" t="s">
        <v>6984</v>
      </c>
      <c r="DSC34" t="s">
        <v>6984</v>
      </c>
      <c r="DSD34" t="s">
        <v>6984</v>
      </c>
      <c r="DSE34" t="s">
        <v>6984</v>
      </c>
      <c r="DSF34" t="s">
        <v>6984</v>
      </c>
      <c r="DSG34" t="s">
        <v>6984</v>
      </c>
      <c r="DSH34" t="s">
        <v>6984</v>
      </c>
      <c r="DSI34" t="s">
        <v>6984</v>
      </c>
      <c r="DSJ34" t="s">
        <v>6984</v>
      </c>
      <c r="DSK34" t="s">
        <v>6984</v>
      </c>
      <c r="DSL34" t="s">
        <v>6984</v>
      </c>
      <c r="DSM34" t="s">
        <v>6984</v>
      </c>
      <c r="DSN34" t="s">
        <v>6984</v>
      </c>
      <c r="DSO34" t="s">
        <v>6984</v>
      </c>
      <c r="DSP34" t="s">
        <v>6984</v>
      </c>
      <c r="DSQ34" t="s">
        <v>6984</v>
      </c>
      <c r="DSR34" t="s">
        <v>6984</v>
      </c>
      <c r="DSS34" t="s">
        <v>6984</v>
      </c>
      <c r="DST34" t="s">
        <v>6984</v>
      </c>
      <c r="DSU34" t="s">
        <v>6984</v>
      </c>
      <c r="DSV34" t="s">
        <v>6984</v>
      </c>
      <c r="DSW34" t="s">
        <v>6984</v>
      </c>
      <c r="DSX34" t="s">
        <v>6984</v>
      </c>
      <c r="DSY34" t="s">
        <v>6984</v>
      </c>
      <c r="DSZ34" t="s">
        <v>6984</v>
      </c>
      <c r="DTA34" t="s">
        <v>6984</v>
      </c>
      <c r="DTB34" t="s">
        <v>6984</v>
      </c>
      <c r="DTC34" t="s">
        <v>6984</v>
      </c>
      <c r="DTD34" t="s">
        <v>6984</v>
      </c>
      <c r="DTE34" t="s">
        <v>6984</v>
      </c>
      <c r="DTF34" t="s">
        <v>6984</v>
      </c>
      <c r="DTG34" t="s">
        <v>6984</v>
      </c>
      <c r="DTH34" t="s">
        <v>6984</v>
      </c>
      <c r="DTI34" t="s">
        <v>6984</v>
      </c>
      <c r="DTJ34" t="s">
        <v>6984</v>
      </c>
      <c r="DTK34" t="s">
        <v>6984</v>
      </c>
      <c r="DTL34" t="s">
        <v>6984</v>
      </c>
      <c r="DTM34" t="s">
        <v>6984</v>
      </c>
      <c r="DTN34" t="s">
        <v>6984</v>
      </c>
      <c r="DTO34" t="s">
        <v>6984</v>
      </c>
      <c r="DTP34" t="s">
        <v>6984</v>
      </c>
      <c r="DTQ34" t="s">
        <v>6984</v>
      </c>
      <c r="DTR34" t="s">
        <v>6984</v>
      </c>
      <c r="DTS34" t="s">
        <v>6984</v>
      </c>
      <c r="DTT34" t="s">
        <v>6984</v>
      </c>
      <c r="DTU34" t="s">
        <v>6984</v>
      </c>
      <c r="DTV34" t="s">
        <v>6984</v>
      </c>
      <c r="DTW34" t="s">
        <v>6984</v>
      </c>
      <c r="DTX34" t="s">
        <v>6984</v>
      </c>
      <c r="DTY34" t="s">
        <v>6984</v>
      </c>
      <c r="DTZ34" t="s">
        <v>6984</v>
      </c>
      <c r="DUA34" t="s">
        <v>6984</v>
      </c>
      <c r="DUB34" t="s">
        <v>6984</v>
      </c>
      <c r="DUC34" t="s">
        <v>6984</v>
      </c>
      <c r="DUD34" t="s">
        <v>6984</v>
      </c>
      <c r="DUE34" t="s">
        <v>6984</v>
      </c>
      <c r="DUF34" t="s">
        <v>6984</v>
      </c>
      <c r="DUG34" t="s">
        <v>6984</v>
      </c>
      <c r="DUH34" t="s">
        <v>6984</v>
      </c>
      <c r="DUI34" t="s">
        <v>6984</v>
      </c>
      <c r="DUJ34" t="s">
        <v>6984</v>
      </c>
      <c r="DUK34" t="s">
        <v>6984</v>
      </c>
      <c r="DUL34" t="s">
        <v>6984</v>
      </c>
      <c r="DUM34" t="s">
        <v>6984</v>
      </c>
      <c r="DUN34" t="s">
        <v>6984</v>
      </c>
      <c r="DUO34" t="s">
        <v>6984</v>
      </c>
      <c r="DUP34" t="s">
        <v>6984</v>
      </c>
      <c r="DUQ34" t="s">
        <v>6984</v>
      </c>
      <c r="DUR34" t="s">
        <v>6984</v>
      </c>
      <c r="DUS34" t="s">
        <v>6984</v>
      </c>
      <c r="DUT34" t="s">
        <v>6984</v>
      </c>
      <c r="DUU34" t="s">
        <v>6984</v>
      </c>
      <c r="DUV34" t="s">
        <v>6984</v>
      </c>
      <c r="DUW34" t="s">
        <v>6984</v>
      </c>
      <c r="DUX34" t="s">
        <v>6984</v>
      </c>
      <c r="DUY34" t="s">
        <v>6984</v>
      </c>
      <c r="DUZ34" t="s">
        <v>6984</v>
      </c>
      <c r="DVA34" t="s">
        <v>6984</v>
      </c>
      <c r="DVB34" t="s">
        <v>6984</v>
      </c>
      <c r="DVC34" t="s">
        <v>6984</v>
      </c>
      <c r="DVD34" t="s">
        <v>6984</v>
      </c>
      <c r="DVE34" t="s">
        <v>6984</v>
      </c>
      <c r="DVF34" t="s">
        <v>6984</v>
      </c>
      <c r="DVG34" t="s">
        <v>6984</v>
      </c>
      <c r="DVH34" t="s">
        <v>6984</v>
      </c>
      <c r="DVI34" t="s">
        <v>6984</v>
      </c>
      <c r="DVJ34" t="s">
        <v>6984</v>
      </c>
      <c r="DVK34" t="s">
        <v>6984</v>
      </c>
      <c r="DVL34" t="s">
        <v>6984</v>
      </c>
      <c r="DVM34" t="s">
        <v>6984</v>
      </c>
      <c r="DVN34" t="s">
        <v>6984</v>
      </c>
      <c r="DVO34" t="s">
        <v>6984</v>
      </c>
      <c r="DVP34" t="s">
        <v>6984</v>
      </c>
      <c r="DVQ34" t="s">
        <v>6984</v>
      </c>
      <c r="DVR34" t="s">
        <v>6984</v>
      </c>
      <c r="DVS34" t="s">
        <v>6984</v>
      </c>
      <c r="DVT34" t="s">
        <v>6984</v>
      </c>
      <c r="DVU34" t="s">
        <v>6984</v>
      </c>
      <c r="DVV34" t="s">
        <v>6984</v>
      </c>
      <c r="DVW34" t="s">
        <v>6984</v>
      </c>
      <c r="DVX34" t="s">
        <v>6984</v>
      </c>
      <c r="DVY34" t="s">
        <v>6984</v>
      </c>
      <c r="DVZ34" t="s">
        <v>6984</v>
      </c>
      <c r="DWA34" t="s">
        <v>6984</v>
      </c>
      <c r="DWB34" t="s">
        <v>6984</v>
      </c>
      <c r="DWC34" t="s">
        <v>6984</v>
      </c>
      <c r="DWD34" t="s">
        <v>6984</v>
      </c>
      <c r="DWE34" t="s">
        <v>6984</v>
      </c>
      <c r="DWF34" t="s">
        <v>6984</v>
      </c>
      <c r="DWG34" t="s">
        <v>6984</v>
      </c>
      <c r="DWH34" t="s">
        <v>6984</v>
      </c>
      <c r="DWI34" t="s">
        <v>6984</v>
      </c>
      <c r="DWJ34" t="s">
        <v>6984</v>
      </c>
      <c r="DWK34" t="s">
        <v>6984</v>
      </c>
      <c r="DWL34" t="s">
        <v>6984</v>
      </c>
      <c r="DWM34" t="s">
        <v>6984</v>
      </c>
      <c r="DWN34" t="s">
        <v>6984</v>
      </c>
      <c r="DWO34" t="s">
        <v>6984</v>
      </c>
      <c r="DWP34" t="s">
        <v>6984</v>
      </c>
      <c r="DWQ34" t="s">
        <v>6984</v>
      </c>
      <c r="DWR34" t="s">
        <v>6984</v>
      </c>
      <c r="DWS34" t="s">
        <v>6984</v>
      </c>
      <c r="DWT34" t="s">
        <v>6984</v>
      </c>
      <c r="DWU34" t="s">
        <v>6984</v>
      </c>
      <c r="DWV34" t="s">
        <v>6984</v>
      </c>
      <c r="DWW34" t="s">
        <v>6984</v>
      </c>
      <c r="DWX34" t="s">
        <v>6984</v>
      </c>
      <c r="DWY34" t="s">
        <v>6984</v>
      </c>
      <c r="DWZ34" t="s">
        <v>6984</v>
      </c>
      <c r="DXA34" t="s">
        <v>6984</v>
      </c>
      <c r="DXB34" t="s">
        <v>6984</v>
      </c>
      <c r="DXC34" t="s">
        <v>6984</v>
      </c>
      <c r="DXD34" t="s">
        <v>6984</v>
      </c>
      <c r="DXE34" t="s">
        <v>6984</v>
      </c>
      <c r="DXF34" t="s">
        <v>6984</v>
      </c>
      <c r="DXG34" t="s">
        <v>6984</v>
      </c>
      <c r="DXH34" t="s">
        <v>6984</v>
      </c>
      <c r="DXI34" t="s">
        <v>6984</v>
      </c>
      <c r="DXJ34" t="s">
        <v>6984</v>
      </c>
      <c r="DXK34" t="s">
        <v>6984</v>
      </c>
      <c r="DXL34" t="s">
        <v>6984</v>
      </c>
      <c r="DXM34" t="s">
        <v>6984</v>
      </c>
      <c r="DXN34" t="s">
        <v>6984</v>
      </c>
      <c r="DXO34" t="s">
        <v>6984</v>
      </c>
      <c r="DXP34" t="s">
        <v>6984</v>
      </c>
      <c r="DXQ34" t="s">
        <v>6984</v>
      </c>
      <c r="DXR34" t="s">
        <v>6984</v>
      </c>
      <c r="DXS34" t="s">
        <v>6984</v>
      </c>
      <c r="DXT34" t="s">
        <v>6984</v>
      </c>
      <c r="DXU34" t="s">
        <v>6984</v>
      </c>
      <c r="DXV34" t="s">
        <v>6984</v>
      </c>
      <c r="DXW34" t="s">
        <v>6984</v>
      </c>
      <c r="DXX34" t="s">
        <v>6984</v>
      </c>
      <c r="DXY34" t="s">
        <v>6984</v>
      </c>
      <c r="DXZ34" t="s">
        <v>6984</v>
      </c>
      <c r="DYA34" t="s">
        <v>6984</v>
      </c>
      <c r="DYB34" t="s">
        <v>6984</v>
      </c>
      <c r="DYC34" t="s">
        <v>6984</v>
      </c>
      <c r="DYD34" t="s">
        <v>6984</v>
      </c>
      <c r="DYE34" t="s">
        <v>6984</v>
      </c>
      <c r="DYF34" t="s">
        <v>6984</v>
      </c>
      <c r="DYG34" t="s">
        <v>6984</v>
      </c>
      <c r="DYH34" t="s">
        <v>6984</v>
      </c>
      <c r="DYI34" t="s">
        <v>6984</v>
      </c>
      <c r="DYJ34" t="s">
        <v>6984</v>
      </c>
      <c r="DYK34" t="s">
        <v>6984</v>
      </c>
      <c r="DYL34" t="s">
        <v>6984</v>
      </c>
      <c r="DYM34" t="s">
        <v>6984</v>
      </c>
      <c r="DYN34" t="s">
        <v>6984</v>
      </c>
      <c r="DYO34" t="s">
        <v>6984</v>
      </c>
      <c r="DYP34" t="s">
        <v>6984</v>
      </c>
      <c r="DYQ34" t="s">
        <v>6984</v>
      </c>
      <c r="DYR34" t="s">
        <v>6984</v>
      </c>
      <c r="DYS34" t="s">
        <v>6984</v>
      </c>
      <c r="DYT34" t="s">
        <v>6984</v>
      </c>
      <c r="DYU34" t="s">
        <v>6984</v>
      </c>
      <c r="DYV34" t="s">
        <v>6984</v>
      </c>
      <c r="DYW34" t="s">
        <v>6984</v>
      </c>
      <c r="DYX34" t="s">
        <v>6984</v>
      </c>
      <c r="DYY34" t="s">
        <v>6984</v>
      </c>
      <c r="DYZ34" t="s">
        <v>6984</v>
      </c>
      <c r="DZA34" t="s">
        <v>6984</v>
      </c>
      <c r="DZB34" t="s">
        <v>6984</v>
      </c>
      <c r="DZC34" t="s">
        <v>6984</v>
      </c>
      <c r="DZD34" t="s">
        <v>6984</v>
      </c>
      <c r="DZE34" t="s">
        <v>6984</v>
      </c>
      <c r="DZF34" t="s">
        <v>6984</v>
      </c>
      <c r="DZG34" t="s">
        <v>6984</v>
      </c>
      <c r="DZH34" t="s">
        <v>6984</v>
      </c>
      <c r="DZI34" t="s">
        <v>6984</v>
      </c>
      <c r="DZJ34" t="s">
        <v>6984</v>
      </c>
      <c r="DZK34" t="s">
        <v>6984</v>
      </c>
      <c r="DZL34" t="s">
        <v>6984</v>
      </c>
      <c r="DZM34" t="s">
        <v>6984</v>
      </c>
      <c r="DZN34" t="s">
        <v>6984</v>
      </c>
      <c r="DZO34" t="s">
        <v>6984</v>
      </c>
      <c r="DZP34" t="s">
        <v>6984</v>
      </c>
      <c r="DZQ34" t="s">
        <v>6984</v>
      </c>
      <c r="DZR34" t="s">
        <v>6984</v>
      </c>
      <c r="DZS34" t="s">
        <v>6984</v>
      </c>
      <c r="DZT34" t="s">
        <v>6984</v>
      </c>
      <c r="DZU34" t="s">
        <v>6984</v>
      </c>
      <c r="DZV34" t="s">
        <v>6984</v>
      </c>
      <c r="DZW34" t="s">
        <v>6984</v>
      </c>
      <c r="DZX34" t="s">
        <v>6984</v>
      </c>
      <c r="DZY34" t="s">
        <v>6984</v>
      </c>
      <c r="DZZ34" t="s">
        <v>6984</v>
      </c>
      <c r="EAA34" t="s">
        <v>6984</v>
      </c>
      <c r="EAB34" t="s">
        <v>6984</v>
      </c>
      <c r="EAC34" t="s">
        <v>6984</v>
      </c>
      <c r="EAD34" t="s">
        <v>6984</v>
      </c>
      <c r="EAE34" t="s">
        <v>6984</v>
      </c>
      <c r="EAF34" t="s">
        <v>6984</v>
      </c>
      <c r="EAG34" t="s">
        <v>6984</v>
      </c>
      <c r="EAH34" t="s">
        <v>6984</v>
      </c>
      <c r="EAI34" t="s">
        <v>6984</v>
      </c>
      <c r="EAJ34" t="s">
        <v>6984</v>
      </c>
      <c r="EAK34" t="s">
        <v>6984</v>
      </c>
      <c r="EAL34" t="s">
        <v>6984</v>
      </c>
      <c r="EAM34" t="s">
        <v>6984</v>
      </c>
      <c r="EAN34" t="s">
        <v>6984</v>
      </c>
      <c r="EAO34" t="s">
        <v>6984</v>
      </c>
      <c r="EAP34" t="s">
        <v>6984</v>
      </c>
      <c r="EAQ34" t="s">
        <v>6984</v>
      </c>
      <c r="EAR34" t="s">
        <v>6984</v>
      </c>
      <c r="EAS34" t="s">
        <v>6984</v>
      </c>
      <c r="EAT34" t="s">
        <v>6984</v>
      </c>
      <c r="EAU34" t="s">
        <v>6984</v>
      </c>
      <c r="EAV34" t="s">
        <v>6984</v>
      </c>
      <c r="EAW34" t="s">
        <v>6984</v>
      </c>
      <c r="EAX34" t="s">
        <v>6984</v>
      </c>
      <c r="EAY34" t="s">
        <v>6984</v>
      </c>
      <c r="EAZ34" t="s">
        <v>6984</v>
      </c>
      <c r="EBA34" t="s">
        <v>6984</v>
      </c>
      <c r="EBB34" t="s">
        <v>6984</v>
      </c>
      <c r="EBC34" t="s">
        <v>6984</v>
      </c>
      <c r="EBD34" t="s">
        <v>6984</v>
      </c>
      <c r="EBE34" t="s">
        <v>6984</v>
      </c>
      <c r="EBF34" t="s">
        <v>6984</v>
      </c>
      <c r="EBG34" t="s">
        <v>6984</v>
      </c>
      <c r="EBH34" t="s">
        <v>6984</v>
      </c>
      <c r="EBI34" t="s">
        <v>6984</v>
      </c>
      <c r="EBJ34" t="s">
        <v>6984</v>
      </c>
      <c r="EBK34" t="s">
        <v>6984</v>
      </c>
      <c r="EBL34" t="s">
        <v>6984</v>
      </c>
      <c r="EBM34" t="s">
        <v>6984</v>
      </c>
      <c r="EBN34" t="s">
        <v>6984</v>
      </c>
      <c r="EBO34" t="s">
        <v>6984</v>
      </c>
      <c r="EBP34" t="s">
        <v>6984</v>
      </c>
      <c r="EBQ34" t="s">
        <v>6984</v>
      </c>
      <c r="EBR34" t="s">
        <v>6984</v>
      </c>
      <c r="EBS34" t="s">
        <v>6984</v>
      </c>
      <c r="EBT34" t="s">
        <v>6984</v>
      </c>
      <c r="EBU34" t="s">
        <v>6984</v>
      </c>
      <c r="EBV34" t="s">
        <v>6984</v>
      </c>
      <c r="EBW34" t="s">
        <v>6984</v>
      </c>
      <c r="EBX34" t="s">
        <v>6984</v>
      </c>
      <c r="EBY34" t="s">
        <v>6984</v>
      </c>
      <c r="EBZ34" t="s">
        <v>6984</v>
      </c>
      <c r="ECA34" t="s">
        <v>6984</v>
      </c>
      <c r="ECB34" t="s">
        <v>6984</v>
      </c>
      <c r="ECC34" t="s">
        <v>6984</v>
      </c>
      <c r="ECD34" t="s">
        <v>6984</v>
      </c>
      <c r="ECE34" t="s">
        <v>6984</v>
      </c>
      <c r="ECF34" t="s">
        <v>6984</v>
      </c>
      <c r="ECG34" t="s">
        <v>6984</v>
      </c>
      <c r="ECH34" t="s">
        <v>6984</v>
      </c>
      <c r="ECI34" t="s">
        <v>6984</v>
      </c>
      <c r="ECJ34" t="s">
        <v>6984</v>
      </c>
      <c r="ECK34" t="s">
        <v>6984</v>
      </c>
      <c r="ECL34" t="s">
        <v>6984</v>
      </c>
      <c r="ECM34" t="s">
        <v>6984</v>
      </c>
      <c r="ECN34" t="s">
        <v>6984</v>
      </c>
      <c r="ECO34" t="s">
        <v>6984</v>
      </c>
      <c r="ECP34" t="s">
        <v>6984</v>
      </c>
      <c r="ECQ34" t="s">
        <v>6984</v>
      </c>
      <c r="ECR34" t="s">
        <v>6984</v>
      </c>
      <c r="ECS34" t="s">
        <v>6984</v>
      </c>
      <c r="ECT34" t="s">
        <v>6984</v>
      </c>
      <c r="ECU34" t="s">
        <v>6984</v>
      </c>
      <c r="ECV34" t="s">
        <v>6984</v>
      </c>
      <c r="ECW34" t="s">
        <v>6984</v>
      </c>
      <c r="ECX34" t="s">
        <v>6984</v>
      </c>
      <c r="ECY34" t="s">
        <v>6984</v>
      </c>
      <c r="ECZ34" t="s">
        <v>6984</v>
      </c>
      <c r="EDA34" t="s">
        <v>6984</v>
      </c>
      <c r="EDB34" t="s">
        <v>6984</v>
      </c>
      <c r="EDC34" t="s">
        <v>6984</v>
      </c>
      <c r="EDD34" t="s">
        <v>6984</v>
      </c>
      <c r="EDE34" t="s">
        <v>6984</v>
      </c>
      <c r="EDF34" t="s">
        <v>6984</v>
      </c>
      <c r="EDG34" t="s">
        <v>6984</v>
      </c>
      <c r="EDH34" t="s">
        <v>6984</v>
      </c>
      <c r="EDI34" t="s">
        <v>6984</v>
      </c>
      <c r="EDJ34" t="s">
        <v>6984</v>
      </c>
      <c r="EDK34" t="s">
        <v>6984</v>
      </c>
      <c r="EDL34" t="s">
        <v>6984</v>
      </c>
      <c r="EDM34" t="s">
        <v>6984</v>
      </c>
      <c r="EDN34" t="s">
        <v>6984</v>
      </c>
      <c r="EDO34" t="s">
        <v>6984</v>
      </c>
      <c r="EDP34" t="s">
        <v>6984</v>
      </c>
      <c r="EDQ34" t="s">
        <v>6984</v>
      </c>
      <c r="EDR34" t="s">
        <v>6984</v>
      </c>
      <c r="EDS34" t="s">
        <v>6984</v>
      </c>
      <c r="EDT34" t="s">
        <v>6984</v>
      </c>
      <c r="EDU34" t="s">
        <v>6984</v>
      </c>
      <c r="EDV34" t="s">
        <v>6984</v>
      </c>
      <c r="EDW34" t="s">
        <v>6984</v>
      </c>
      <c r="EDX34" t="s">
        <v>6984</v>
      </c>
      <c r="EDY34" t="s">
        <v>6984</v>
      </c>
      <c r="EDZ34" t="s">
        <v>6984</v>
      </c>
      <c r="EEA34" t="s">
        <v>6984</v>
      </c>
      <c r="EEB34" t="s">
        <v>6984</v>
      </c>
      <c r="EEC34" t="s">
        <v>6984</v>
      </c>
      <c r="EED34" t="s">
        <v>6984</v>
      </c>
      <c r="EEE34" t="s">
        <v>6984</v>
      </c>
      <c r="EEF34" t="s">
        <v>6984</v>
      </c>
      <c r="EEG34" t="s">
        <v>6984</v>
      </c>
      <c r="EEH34" t="s">
        <v>6984</v>
      </c>
      <c r="EEI34" t="s">
        <v>6984</v>
      </c>
      <c r="EEJ34" t="s">
        <v>6984</v>
      </c>
      <c r="EEK34" t="s">
        <v>6984</v>
      </c>
      <c r="EEL34" t="s">
        <v>6984</v>
      </c>
      <c r="EEM34" t="s">
        <v>6984</v>
      </c>
      <c r="EEN34" t="s">
        <v>6984</v>
      </c>
      <c r="EEO34" t="s">
        <v>6984</v>
      </c>
      <c r="EEP34" t="s">
        <v>6984</v>
      </c>
      <c r="EEQ34" t="s">
        <v>6984</v>
      </c>
      <c r="EER34" t="s">
        <v>6984</v>
      </c>
      <c r="EES34" t="s">
        <v>6984</v>
      </c>
      <c r="EET34" t="s">
        <v>6984</v>
      </c>
      <c r="EEU34" t="s">
        <v>6984</v>
      </c>
      <c r="EEV34" t="s">
        <v>6984</v>
      </c>
      <c r="EEW34" t="s">
        <v>6984</v>
      </c>
      <c r="EEX34" t="s">
        <v>6984</v>
      </c>
      <c r="EEY34" t="s">
        <v>6984</v>
      </c>
      <c r="EEZ34" t="s">
        <v>6984</v>
      </c>
      <c r="EFA34" t="s">
        <v>6984</v>
      </c>
      <c r="EFB34" t="s">
        <v>6984</v>
      </c>
      <c r="EFC34" t="s">
        <v>6984</v>
      </c>
      <c r="EFD34" t="s">
        <v>6984</v>
      </c>
      <c r="EFE34" t="s">
        <v>6984</v>
      </c>
      <c r="EFF34" t="s">
        <v>6984</v>
      </c>
      <c r="EFG34" t="s">
        <v>6984</v>
      </c>
      <c r="EFH34" t="s">
        <v>6984</v>
      </c>
      <c r="EFI34" t="s">
        <v>6984</v>
      </c>
      <c r="EFJ34" t="s">
        <v>6984</v>
      </c>
      <c r="EFK34" t="s">
        <v>6984</v>
      </c>
      <c r="EFL34" t="s">
        <v>6984</v>
      </c>
      <c r="EFM34" t="s">
        <v>6984</v>
      </c>
      <c r="EFN34" t="s">
        <v>6984</v>
      </c>
      <c r="EFO34" t="s">
        <v>6984</v>
      </c>
      <c r="EFP34" t="s">
        <v>6984</v>
      </c>
      <c r="EFQ34" t="s">
        <v>6984</v>
      </c>
      <c r="EFR34" t="s">
        <v>6984</v>
      </c>
      <c r="EFS34" t="s">
        <v>6984</v>
      </c>
      <c r="EFT34" t="s">
        <v>6984</v>
      </c>
      <c r="EFU34" t="s">
        <v>6984</v>
      </c>
      <c r="EFV34" t="s">
        <v>6984</v>
      </c>
      <c r="EFW34" t="s">
        <v>6984</v>
      </c>
      <c r="EFX34" t="s">
        <v>6984</v>
      </c>
      <c r="EFY34" t="s">
        <v>6984</v>
      </c>
      <c r="EFZ34" t="s">
        <v>6984</v>
      </c>
      <c r="EGA34" t="s">
        <v>6984</v>
      </c>
      <c r="EGB34" t="s">
        <v>6984</v>
      </c>
      <c r="EGC34" t="s">
        <v>6984</v>
      </c>
      <c r="EGD34" t="s">
        <v>6984</v>
      </c>
      <c r="EGE34" t="s">
        <v>6984</v>
      </c>
      <c r="EGF34" t="s">
        <v>6984</v>
      </c>
      <c r="EGG34" t="s">
        <v>6984</v>
      </c>
      <c r="EGH34" t="s">
        <v>6984</v>
      </c>
      <c r="EGI34" t="s">
        <v>6984</v>
      </c>
      <c r="EGJ34" t="s">
        <v>6984</v>
      </c>
      <c r="EGK34" t="s">
        <v>6984</v>
      </c>
      <c r="EGL34" t="s">
        <v>6984</v>
      </c>
      <c r="EGM34" t="s">
        <v>6984</v>
      </c>
      <c r="EGN34" t="s">
        <v>6984</v>
      </c>
      <c r="EGO34" t="s">
        <v>6984</v>
      </c>
      <c r="EGP34" t="s">
        <v>6984</v>
      </c>
      <c r="EGQ34" t="s">
        <v>6984</v>
      </c>
      <c r="EGR34" t="s">
        <v>6984</v>
      </c>
      <c r="EGS34" t="s">
        <v>6984</v>
      </c>
      <c r="EGT34" t="s">
        <v>6984</v>
      </c>
      <c r="EGU34" t="s">
        <v>6984</v>
      </c>
      <c r="EGV34" t="s">
        <v>6984</v>
      </c>
      <c r="EGW34" t="s">
        <v>6984</v>
      </c>
      <c r="EGX34" t="s">
        <v>6984</v>
      </c>
      <c r="EGY34" t="s">
        <v>6984</v>
      </c>
      <c r="EGZ34" t="s">
        <v>6984</v>
      </c>
      <c r="EHA34" t="s">
        <v>6984</v>
      </c>
      <c r="EHB34" t="s">
        <v>6984</v>
      </c>
      <c r="EHC34" t="s">
        <v>6984</v>
      </c>
      <c r="EHD34" t="s">
        <v>6984</v>
      </c>
      <c r="EHE34" t="s">
        <v>6984</v>
      </c>
      <c r="EHF34" t="s">
        <v>6984</v>
      </c>
      <c r="EHG34" t="s">
        <v>6984</v>
      </c>
      <c r="EHH34" t="s">
        <v>6984</v>
      </c>
      <c r="EHI34" t="s">
        <v>6984</v>
      </c>
      <c r="EHJ34" t="s">
        <v>6984</v>
      </c>
      <c r="EHK34" t="s">
        <v>6984</v>
      </c>
      <c r="EHL34" t="s">
        <v>6984</v>
      </c>
      <c r="EHM34" t="s">
        <v>6984</v>
      </c>
      <c r="EHN34" t="s">
        <v>6984</v>
      </c>
      <c r="EHO34" t="s">
        <v>6984</v>
      </c>
      <c r="EHP34" t="s">
        <v>6984</v>
      </c>
      <c r="EHQ34" t="s">
        <v>6984</v>
      </c>
      <c r="EHR34" t="s">
        <v>6984</v>
      </c>
      <c r="EHS34" t="s">
        <v>6984</v>
      </c>
      <c r="EHT34" t="s">
        <v>6984</v>
      </c>
      <c r="EHU34" t="s">
        <v>6984</v>
      </c>
      <c r="EHV34" t="s">
        <v>6984</v>
      </c>
      <c r="EHW34" t="s">
        <v>6984</v>
      </c>
      <c r="EHX34" t="s">
        <v>6984</v>
      </c>
      <c r="EHY34" t="s">
        <v>6984</v>
      </c>
      <c r="EHZ34" t="s">
        <v>6984</v>
      </c>
      <c r="EIA34" t="s">
        <v>6984</v>
      </c>
      <c r="EIB34" t="s">
        <v>6984</v>
      </c>
      <c r="EIC34" t="s">
        <v>6984</v>
      </c>
      <c r="EID34" t="s">
        <v>6984</v>
      </c>
      <c r="EIE34" t="s">
        <v>6984</v>
      </c>
      <c r="EIF34" t="s">
        <v>6984</v>
      </c>
      <c r="EIG34" t="s">
        <v>6984</v>
      </c>
      <c r="EIH34" t="s">
        <v>6984</v>
      </c>
      <c r="EII34" t="s">
        <v>6984</v>
      </c>
      <c r="EIJ34" t="s">
        <v>6984</v>
      </c>
      <c r="EIK34" t="s">
        <v>6984</v>
      </c>
      <c r="EIL34" t="s">
        <v>6984</v>
      </c>
      <c r="EIM34" t="s">
        <v>6984</v>
      </c>
      <c r="EIN34" t="s">
        <v>6984</v>
      </c>
      <c r="EIO34" t="s">
        <v>6984</v>
      </c>
      <c r="EIP34" t="s">
        <v>6984</v>
      </c>
      <c r="EIQ34" t="s">
        <v>6984</v>
      </c>
      <c r="EIR34" t="s">
        <v>6984</v>
      </c>
      <c r="EIS34" t="s">
        <v>6984</v>
      </c>
      <c r="EIT34" t="s">
        <v>6984</v>
      </c>
      <c r="EIU34" t="s">
        <v>6984</v>
      </c>
      <c r="EIV34" t="s">
        <v>6984</v>
      </c>
      <c r="EIW34" t="s">
        <v>6984</v>
      </c>
      <c r="EIX34" t="s">
        <v>6984</v>
      </c>
      <c r="EIY34" t="s">
        <v>6984</v>
      </c>
      <c r="EIZ34" t="s">
        <v>6984</v>
      </c>
      <c r="EJA34" t="s">
        <v>6984</v>
      </c>
      <c r="EJB34" t="s">
        <v>6984</v>
      </c>
      <c r="EJC34" t="s">
        <v>6984</v>
      </c>
      <c r="EJD34" t="s">
        <v>6984</v>
      </c>
      <c r="EJE34" t="s">
        <v>6984</v>
      </c>
      <c r="EJF34" t="s">
        <v>6984</v>
      </c>
      <c r="EJG34" t="s">
        <v>6984</v>
      </c>
      <c r="EJH34" t="s">
        <v>6984</v>
      </c>
      <c r="EJI34" t="s">
        <v>6984</v>
      </c>
      <c r="EJJ34" t="s">
        <v>6984</v>
      </c>
      <c r="EJK34" t="s">
        <v>6984</v>
      </c>
      <c r="EJL34" t="s">
        <v>6984</v>
      </c>
      <c r="EJM34" t="s">
        <v>6984</v>
      </c>
      <c r="EJN34" t="s">
        <v>6984</v>
      </c>
      <c r="EJO34" t="s">
        <v>6984</v>
      </c>
      <c r="EJP34" t="s">
        <v>6984</v>
      </c>
      <c r="EJQ34" t="s">
        <v>6984</v>
      </c>
      <c r="EJR34" t="s">
        <v>6984</v>
      </c>
      <c r="EJS34" t="s">
        <v>6984</v>
      </c>
      <c r="EJT34" t="s">
        <v>6984</v>
      </c>
      <c r="EJU34" t="s">
        <v>6984</v>
      </c>
      <c r="EJV34" t="s">
        <v>6984</v>
      </c>
      <c r="EJW34" t="s">
        <v>6984</v>
      </c>
      <c r="EJX34" t="s">
        <v>6984</v>
      </c>
      <c r="EJY34" t="s">
        <v>6984</v>
      </c>
      <c r="EJZ34" t="s">
        <v>6984</v>
      </c>
      <c r="EKA34" t="s">
        <v>6984</v>
      </c>
      <c r="EKB34" t="s">
        <v>6984</v>
      </c>
      <c r="EKC34" t="s">
        <v>6984</v>
      </c>
      <c r="EKD34" t="s">
        <v>6984</v>
      </c>
      <c r="EKE34" t="s">
        <v>6984</v>
      </c>
      <c r="EKF34" t="s">
        <v>6984</v>
      </c>
      <c r="EKG34" t="s">
        <v>6984</v>
      </c>
      <c r="EKH34" t="s">
        <v>6984</v>
      </c>
      <c r="EKI34" t="s">
        <v>6984</v>
      </c>
      <c r="EKJ34" t="s">
        <v>6984</v>
      </c>
      <c r="EKK34" t="s">
        <v>6984</v>
      </c>
      <c r="EKL34" t="s">
        <v>6984</v>
      </c>
      <c r="EKM34" t="s">
        <v>6984</v>
      </c>
      <c r="EKN34" t="s">
        <v>6984</v>
      </c>
      <c r="EKO34" t="s">
        <v>6984</v>
      </c>
      <c r="EKP34" t="s">
        <v>6984</v>
      </c>
      <c r="EKQ34" t="s">
        <v>6984</v>
      </c>
      <c r="EKR34" t="s">
        <v>6984</v>
      </c>
      <c r="EKS34" t="s">
        <v>6984</v>
      </c>
      <c r="EKT34" t="s">
        <v>6984</v>
      </c>
      <c r="EKU34" t="s">
        <v>6984</v>
      </c>
      <c r="EKV34" t="s">
        <v>6984</v>
      </c>
      <c r="EKW34" t="s">
        <v>6984</v>
      </c>
      <c r="EKX34" t="s">
        <v>6984</v>
      </c>
      <c r="EKY34" t="s">
        <v>6984</v>
      </c>
      <c r="EKZ34" t="s">
        <v>6984</v>
      </c>
      <c r="ELA34" t="s">
        <v>6984</v>
      </c>
      <c r="ELB34" t="s">
        <v>6984</v>
      </c>
      <c r="ELC34" t="s">
        <v>6984</v>
      </c>
      <c r="ELD34" t="s">
        <v>6984</v>
      </c>
      <c r="ELE34" t="s">
        <v>6984</v>
      </c>
      <c r="ELF34" t="s">
        <v>6984</v>
      </c>
      <c r="ELG34" t="s">
        <v>6984</v>
      </c>
      <c r="ELH34" t="s">
        <v>6984</v>
      </c>
      <c r="ELI34" t="s">
        <v>6984</v>
      </c>
      <c r="ELJ34" t="s">
        <v>6984</v>
      </c>
      <c r="ELK34" t="s">
        <v>6984</v>
      </c>
      <c r="ELL34" t="s">
        <v>6984</v>
      </c>
      <c r="ELM34" t="s">
        <v>6984</v>
      </c>
      <c r="ELN34" t="s">
        <v>6984</v>
      </c>
      <c r="ELO34" t="s">
        <v>6984</v>
      </c>
      <c r="ELP34" t="s">
        <v>6984</v>
      </c>
      <c r="ELQ34" t="s">
        <v>6984</v>
      </c>
      <c r="ELR34" t="s">
        <v>6984</v>
      </c>
      <c r="ELS34" t="s">
        <v>6984</v>
      </c>
      <c r="ELT34" t="s">
        <v>6984</v>
      </c>
      <c r="ELU34" t="s">
        <v>6984</v>
      </c>
      <c r="ELV34" t="s">
        <v>6984</v>
      </c>
      <c r="ELW34" t="s">
        <v>6984</v>
      </c>
      <c r="ELX34" t="s">
        <v>6984</v>
      </c>
      <c r="ELY34" t="s">
        <v>6984</v>
      </c>
      <c r="ELZ34" t="s">
        <v>6984</v>
      </c>
      <c r="EMA34" t="s">
        <v>6984</v>
      </c>
      <c r="EMB34" t="s">
        <v>6984</v>
      </c>
      <c r="EMC34" t="s">
        <v>6984</v>
      </c>
      <c r="EMD34" t="s">
        <v>6984</v>
      </c>
      <c r="EME34" t="s">
        <v>6984</v>
      </c>
      <c r="EMF34" t="s">
        <v>6984</v>
      </c>
      <c r="EMG34" t="s">
        <v>6984</v>
      </c>
      <c r="EMH34" t="s">
        <v>6984</v>
      </c>
      <c r="EMI34" t="s">
        <v>6984</v>
      </c>
      <c r="EMJ34" t="s">
        <v>6984</v>
      </c>
      <c r="EMK34" t="s">
        <v>6984</v>
      </c>
      <c r="EML34" t="s">
        <v>6984</v>
      </c>
      <c r="EMM34" t="s">
        <v>6984</v>
      </c>
      <c r="EMN34" t="s">
        <v>6984</v>
      </c>
      <c r="EMO34" t="s">
        <v>6984</v>
      </c>
      <c r="EMP34" t="s">
        <v>6984</v>
      </c>
      <c r="EMQ34" t="s">
        <v>6984</v>
      </c>
      <c r="EMR34" t="s">
        <v>6984</v>
      </c>
      <c r="EMS34" t="s">
        <v>6984</v>
      </c>
      <c r="EMT34" t="s">
        <v>6984</v>
      </c>
      <c r="EMU34" t="s">
        <v>6984</v>
      </c>
      <c r="EMV34" t="s">
        <v>6984</v>
      </c>
      <c r="EMW34" t="s">
        <v>6984</v>
      </c>
      <c r="EMX34" t="s">
        <v>6984</v>
      </c>
      <c r="EMY34" t="s">
        <v>6984</v>
      </c>
      <c r="EMZ34" t="s">
        <v>6984</v>
      </c>
      <c r="ENA34" t="s">
        <v>6984</v>
      </c>
      <c r="ENB34" t="s">
        <v>6984</v>
      </c>
      <c r="ENC34" t="s">
        <v>6984</v>
      </c>
      <c r="END34" t="s">
        <v>6984</v>
      </c>
      <c r="ENE34" t="s">
        <v>6984</v>
      </c>
      <c r="ENF34" t="s">
        <v>6984</v>
      </c>
      <c r="ENG34" t="s">
        <v>6984</v>
      </c>
      <c r="ENH34" t="s">
        <v>6984</v>
      </c>
      <c r="ENI34" t="s">
        <v>6984</v>
      </c>
      <c r="ENJ34" t="s">
        <v>6984</v>
      </c>
      <c r="ENK34" t="s">
        <v>6984</v>
      </c>
      <c r="ENL34" t="s">
        <v>6984</v>
      </c>
      <c r="ENM34" t="s">
        <v>6984</v>
      </c>
      <c r="ENN34" t="s">
        <v>6984</v>
      </c>
      <c r="ENO34" t="s">
        <v>6984</v>
      </c>
      <c r="ENP34" t="s">
        <v>6984</v>
      </c>
      <c r="ENQ34" t="s">
        <v>6984</v>
      </c>
      <c r="ENR34" t="s">
        <v>6984</v>
      </c>
      <c r="ENS34" t="s">
        <v>6984</v>
      </c>
      <c r="ENT34" t="s">
        <v>6984</v>
      </c>
      <c r="ENU34" t="s">
        <v>6984</v>
      </c>
      <c r="ENV34" t="s">
        <v>6984</v>
      </c>
      <c r="ENW34" t="s">
        <v>6984</v>
      </c>
      <c r="ENX34" t="s">
        <v>6984</v>
      </c>
      <c r="ENY34" t="s">
        <v>6984</v>
      </c>
      <c r="ENZ34" t="s">
        <v>6984</v>
      </c>
      <c r="EOA34" t="s">
        <v>6984</v>
      </c>
      <c r="EOB34" t="s">
        <v>6984</v>
      </c>
      <c r="EOC34" t="s">
        <v>6984</v>
      </c>
      <c r="EOD34" t="s">
        <v>6984</v>
      </c>
      <c r="EOE34" t="s">
        <v>6984</v>
      </c>
      <c r="EOF34" t="s">
        <v>6984</v>
      </c>
      <c r="EOG34" t="s">
        <v>6984</v>
      </c>
      <c r="EOH34" t="s">
        <v>6984</v>
      </c>
      <c r="EOI34" t="s">
        <v>6984</v>
      </c>
      <c r="EOJ34" t="s">
        <v>6984</v>
      </c>
      <c r="EOK34" t="s">
        <v>6984</v>
      </c>
      <c r="EOL34" t="s">
        <v>6984</v>
      </c>
      <c r="EOM34" t="s">
        <v>6984</v>
      </c>
      <c r="EON34" t="s">
        <v>6984</v>
      </c>
      <c r="EOO34" t="s">
        <v>6984</v>
      </c>
      <c r="EOP34" t="s">
        <v>6984</v>
      </c>
      <c r="EOQ34" t="s">
        <v>6984</v>
      </c>
      <c r="EOR34" t="s">
        <v>6984</v>
      </c>
      <c r="EOS34" t="s">
        <v>6984</v>
      </c>
      <c r="EOT34" t="s">
        <v>6984</v>
      </c>
      <c r="EOU34" t="s">
        <v>6984</v>
      </c>
      <c r="EOV34" t="s">
        <v>6984</v>
      </c>
      <c r="EOW34" t="s">
        <v>6984</v>
      </c>
      <c r="EOX34" t="s">
        <v>6984</v>
      </c>
      <c r="EOY34" t="s">
        <v>6984</v>
      </c>
      <c r="EOZ34" t="s">
        <v>6984</v>
      </c>
      <c r="EPA34" t="s">
        <v>6984</v>
      </c>
      <c r="EPB34" t="s">
        <v>6984</v>
      </c>
      <c r="EPC34" t="s">
        <v>6984</v>
      </c>
      <c r="EPD34" t="s">
        <v>6984</v>
      </c>
      <c r="EPE34" t="s">
        <v>6984</v>
      </c>
      <c r="EPF34" t="s">
        <v>6984</v>
      </c>
      <c r="EPG34" t="s">
        <v>6984</v>
      </c>
      <c r="EPH34" t="s">
        <v>6984</v>
      </c>
      <c r="EPI34" t="s">
        <v>6984</v>
      </c>
      <c r="EPJ34" t="s">
        <v>6984</v>
      </c>
      <c r="EPK34" t="s">
        <v>6984</v>
      </c>
      <c r="EPL34" t="s">
        <v>6984</v>
      </c>
      <c r="EPM34" t="s">
        <v>6984</v>
      </c>
      <c r="EPN34" t="s">
        <v>6984</v>
      </c>
      <c r="EPO34" t="s">
        <v>6984</v>
      </c>
      <c r="EPP34" t="s">
        <v>6984</v>
      </c>
      <c r="EPQ34" t="s">
        <v>6984</v>
      </c>
      <c r="EPR34" t="s">
        <v>6984</v>
      </c>
      <c r="EPS34" t="s">
        <v>6984</v>
      </c>
      <c r="EPT34" t="s">
        <v>6984</v>
      </c>
      <c r="EPU34" t="s">
        <v>6984</v>
      </c>
      <c r="EPV34" t="s">
        <v>6984</v>
      </c>
      <c r="EPW34" t="s">
        <v>6984</v>
      </c>
      <c r="EPX34" t="s">
        <v>6984</v>
      </c>
      <c r="EPY34" t="s">
        <v>6984</v>
      </c>
      <c r="EPZ34" t="s">
        <v>6984</v>
      </c>
      <c r="EQA34" t="s">
        <v>6984</v>
      </c>
      <c r="EQB34" t="s">
        <v>6984</v>
      </c>
      <c r="EQC34" t="s">
        <v>6984</v>
      </c>
      <c r="EQD34" t="s">
        <v>6984</v>
      </c>
      <c r="EQE34" t="s">
        <v>6984</v>
      </c>
      <c r="EQF34" t="s">
        <v>6984</v>
      </c>
      <c r="EQG34" t="s">
        <v>6984</v>
      </c>
      <c r="EQH34" t="s">
        <v>6984</v>
      </c>
      <c r="EQI34" t="s">
        <v>6984</v>
      </c>
      <c r="EQJ34" t="s">
        <v>6984</v>
      </c>
      <c r="EQK34" t="s">
        <v>6984</v>
      </c>
      <c r="EQL34" t="s">
        <v>6984</v>
      </c>
      <c r="EQM34" t="s">
        <v>6984</v>
      </c>
      <c r="EQN34" t="s">
        <v>6984</v>
      </c>
      <c r="EQO34" t="s">
        <v>6984</v>
      </c>
      <c r="EQP34" t="s">
        <v>6984</v>
      </c>
      <c r="EQQ34" t="s">
        <v>6984</v>
      </c>
      <c r="EQR34" t="s">
        <v>6984</v>
      </c>
      <c r="EQS34" t="s">
        <v>6984</v>
      </c>
      <c r="EQT34" t="s">
        <v>6984</v>
      </c>
      <c r="EQU34" t="s">
        <v>6984</v>
      </c>
      <c r="EQV34" t="s">
        <v>6984</v>
      </c>
      <c r="EQW34" t="s">
        <v>6984</v>
      </c>
      <c r="EQX34" t="s">
        <v>6984</v>
      </c>
      <c r="EQY34" t="s">
        <v>6984</v>
      </c>
      <c r="EQZ34" t="s">
        <v>6984</v>
      </c>
      <c r="ERA34" t="s">
        <v>6984</v>
      </c>
      <c r="ERB34" t="s">
        <v>6984</v>
      </c>
      <c r="ERC34" t="s">
        <v>6984</v>
      </c>
      <c r="ERD34" t="s">
        <v>6984</v>
      </c>
      <c r="ERE34" t="s">
        <v>6984</v>
      </c>
      <c r="ERF34" t="s">
        <v>6984</v>
      </c>
      <c r="ERG34" t="s">
        <v>6984</v>
      </c>
      <c r="ERH34" t="s">
        <v>6984</v>
      </c>
      <c r="ERI34" t="s">
        <v>6984</v>
      </c>
      <c r="ERJ34" t="s">
        <v>6984</v>
      </c>
      <c r="ERK34" t="s">
        <v>6984</v>
      </c>
      <c r="ERL34" t="s">
        <v>6984</v>
      </c>
      <c r="ERM34" t="s">
        <v>6984</v>
      </c>
      <c r="ERN34" t="s">
        <v>6984</v>
      </c>
      <c r="ERO34" t="s">
        <v>6984</v>
      </c>
      <c r="ERP34" t="s">
        <v>6984</v>
      </c>
      <c r="ERQ34" t="s">
        <v>6984</v>
      </c>
      <c r="ERR34" t="s">
        <v>6984</v>
      </c>
      <c r="ERS34" t="s">
        <v>6984</v>
      </c>
      <c r="ERT34" t="s">
        <v>6984</v>
      </c>
      <c r="ERU34" t="s">
        <v>6984</v>
      </c>
      <c r="ERV34" t="s">
        <v>6984</v>
      </c>
      <c r="ERW34" t="s">
        <v>6984</v>
      </c>
      <c r="ERX34" t="s">
        <v>6984</v>
      </c>
      <c r="ERY34" t="s">
        <v>6984</v>
      </c>
      <c r="ERZ34" t="s">
        <v>6984</v>
      </c>
      <c r="ESA34" t="s">
        <v>6984</v>
      </c>
      <c r="ESB34" t="s">
        <v>6984</v>
      </c>
      <c r="ESC34" t="s">
        <v>6984</v>
      </c>
      <c r="ESD34" t="s">
        <v>6984</v>
      </c>
      <c r="ESE34" t="s">
        <v>6984</v>
      </c>
      <c r="ESF34" t="s">
        <v>6984</v>
      </c>
      <c r="ESG34" t="s">
        <v>6984</v>
      </c>
      <c r="ESH34" t="s">
        <v>6984</v>
      </c>
      <c r="ESI34" t="s">
        <v>6984</v>
      </c>
      <c r="ESJ34" t="s">
        <v>6984</v>
      </c>
      <c r="ESK34" t="s">
        <v>6984</v>
      </c>
      <c r="ESL34" t="s">
        <v>6984</v>
      </c>
      <c r="ESM34" t="s">
        <v>6984</v>
      </c>
      <c r="ESN34" t="s">
        <v>6984</v>
      </c>
      <c r="ESO34" t="s">
        <v>6984</v>
      </c>
      <c r="ESP34" t="s">
        <v>6984</v>
      </c>
      <c r="ESQ34" t="s">
        <v>6984</v>
      </c>
      <c r="ESR34" t="s">
        <v>6984</v>
      </c>
      <c r="ESS34" t="s">
        <v>6984</v>
      </c>
      <c r="EST34" t="s">
        <v>6984</v>
      </c>
      <c r="ESU34" t="s">
        <v>6984</v>
      </c>
      <c r="ESV34" t="s">
        <v>6984</v>
      </c>
      <c r="ESW34" t="s">
        <v>6984</v>
      </c>
      <c r="ESX34" t="s">
        <v>6984</v>
      </c>
      <c r="ESY34" t="s">
        <v>6984</v>
      </c>
      <c r="ESZ34" t="s">
        <v>6984</v>
      </c>
      <c r="ETA34" t="s">
        <v>6984</v>
      </c>
      <c r="ETB34" t="s">
        <v>6984</v>
      </c>
      <c r="ETC34" t="s">
        <v>6984</v>
      </c>
      <c r="ETD34" t="s">
        <v>6984</v>
      </c>
      <c r="ETE34" t="s">
        <v>6984</v>
      </c>
      <c r="ETF34" t="s">
        <v>6984</v>
      </c>
      <c r="ETG34" t="s">
        <v>6984</v>
      </c>
      <c r="ETH34" t="s">
        <v>6984</v>
      </c>
      <c r="ETI34" t="s">
        <v>6984</v>
      </c>
      <c r="ETJ34" t="s">
        <v>6984</v>
      </c>
      <c r="ETK34" t="s">
        <v>6984</v>
      </c>
      <c r="ETL34" t="s">
        <v>6984</v>
      </c>
      <c r="ETM34" t="s">
        <v>6984</v>
      </c>
      <c r="ETN34" t="s">
        <v>6984</v>
      </c>
      <c r="ETO34" t="s">
        <v>6984</v>
      </c>
      <c r="ETP34" t="s">
        <v>6984</v>
      </c>
      <c r="ETQ34" t="s">
        <v>6984</v>
      </c>
      <c r="ETR34" t="s">
        <v>6984</v>
      </c>
      <c r="ETS34" t="s">
        <v>6984</v>
      </c>
      <c r="ETT34" t="s">
        <v>6984</v>
      </c>
      <c r="ETU34" t="s">
        <v>6984</v>
      </c>
      <c r="ETV34" t="s">
        <v>6984</v>
      </c>
      <c r="ETW34" t="s">
        <v>6984</v>
      </c>
      <c r="ETX34" t="s">
        <v>6984</v>
      </c>
      <c r="ETY34" t="s">
        <v>6984</v>
      </c>
      <c r="ETZ34" t="s">
        <v>6984</v>
      </c>
      <c r="EUA34" t="s">
        <v>6984</v>
      </c>
      <c r="EUB34" t="s">
        <v>6984</v>
      </c>
      <c r="EUC34" t="s">
        <v>6984</v>
      </c>
      <c r="EUD34" t="s">
        <v>6984</v>
      </c>
      <c r="EUE34" t="s">
        <v>6984</v>
      </c>
      <c r="EUF34" t="s">
        <v>6984</v>
      </c>
      <c r="EUG34" t="s">
        <v>6984</v>
      </c>
      <c r="EUH34" t="s">
        <v>6984</v>
      </c>
      <c r="EUI34" t="s">
        <v>6984</v>
      </c>
      <c r="EUJ34" t="s">
        <v>6984</v>
      </c>
      <c r="EUK34" t="s">
        <v>6984</v>
      </c>
      <c r="EUL34" t="s">
        <v>6984</v>
      </c>
      <c r="EUM34" t="s">
        <v>6984</v>
      </c>
      <c r="EUN34" t="s">
        <v>6984</v>
      </c>
      <c r="EUO34" t="s">
        <v>6984</v>
      </c>
      <c r="EUP34" t="s">
        <v>6984</v>
      </c>
      <c r="EUQ34" t="s">
        <v>6984</v>
      </c>
      <c r="EUR34" t="s">
        <v>6984</v>
      </c>
      <c r="EUS34" t="s">
        <v>6984</v>
      </c>
      <c r="EUT34" t="s">
        <v>6984</v>
      </c>
      <c r="EUU34" t="s">
        <v>6984</v>
      </c>
      <c r="EUV34" t="s">
        <v>6984</v>
      </c>
      <c r="EUW34" t="s">
        <v>6984</v>
      </c>
      <c r="EUX34" t="s">
        <v>6984</v>
      </c>
      <c r="EUY34" t="s">
        <v>6984</v>
      </c>
      <c r="EUZ34" t="s">
        <v>6984</v>
      </c>
      <c r="EVA34" t="s">
        <v>6984</v>
      </c>
      <c r="EVB34" t="s">
        <v>6984</v>
      </c>
      <c r="EVC34" t="s">
        <v>6984</v>
      </c>
      <c r="EVD34" t="s">
        <v>6984</v>
      </c>
      <c r="EVE34" t="s">
        <v>6984</v>
      </c>
      <c r="EVF34" t="s">
        <v>6984</v>
      </c>
      <c r="EVG34" t="s">
        <v>6984</v>
      </c>
      <c r="EVH34" t="s">
        <v>6984</v>
      </c>
      <c r="EVI34" t="s">
        <v>6984</v>
      </c>
      <c r="EVJ34" t="s">
        <v>6984</v>
      </c>
      <c r="EVK34" t="s">
        <v>6984</v>
      </c>
      <c r="EVL34" t="s">
        <v>6984</v>
      </c>
      <c r="EVM34" t="s">
        <v>6984</v>
      </c>
      <c r="EVN34" t="s">
        <v>6984</v>
      </c>
      <c r="EVO34" t="s">
        <v>6984</v>
      </c>
      <c r="EVP34" t="s">
        <v>6984</v>
      </c>
      <c r="EVQ34" t="s">
        <v>6984</v>
      </c>
      <c r="EVR34" t="s">
        <v>6984</v>
      </c>
      <c r="EVS34" t="s">
        <v>6984</v>
      </c>
      <c r="EVT34" t="s">
        <v>6984</v>
      </c>
      <c r="EVU34" t="s">
        <v>6984</v>
      </c>
      <c r="EVV34" t="s">
        <v>6984</v>
      </c>
      <c r="EVW34" t="s">
        <v>6984</v>
      </c>
      <c r="EVX34" t="s">
        <v>6984</v>
      </c>
      <c r="EVY34" t="s">
        <v>6984</v>
      </c>
      <c r="EVZ34" t="s">
        <v>6984</v>
      </c>
      <c r="EWA34" t="s">
        <v>6984</v>
      </c>
      <c r="EWB34" t="s">
        <v>6984</v>
      </c>
      <c r="EWC34" t="s">
        <v>6984</v>
      </c>
      <c r="EWD34" t="s">
        <v>6984</v>
      </c>
      <c r="EWE34" t="s">
        <v>6984</v>
      </c>
      <c r="EWF34" t="s">
        <v>6984</v>
      </c>
      <c r="EWG34" t="s">
        <v>6984</v>
      </c>
      <c r="EWH34" t="s">
        <v>6984</v>
      </c>
      <c r="EWI34" t="s">
        <v>6984</v>
      </c>
      <c r="EWJ34" t="s">
        <v>6984</v>
      </c>
      <c r="EWK34" t="s">
        <v>6984</v>
      </c>
      <c r="EWL34" t="s">
        <v>6984</v>
      </c>
      <c r="EWM34" t="s">
        <v>6984</v>
      </c>
      <c r="EWN34" t="s">
        <v>6984</v>
      </c>
      <c r="EWO34" t="s">
        <v>6984</v>
      </c>
      <c r="EWP34" t="s">
        <v>6984</v>
      </c>
      <c r="EWQ34" t="s">
        <v>6984</v>
      </c>
      <c r="EWR34" t="s">
        <v>6984</v>
      </c>
      <c r="EWS34" t="s">
        <v>6984</v>
      </c>
      <c r="EWT34" t="s">
        <v>6984</v>
      </c>
      <c r="EWU34" t="s">
        <v>6984</v>
      </c>
      <c r="EWV34" t="s">
        <v>6984</v>
      </c>
      <c r="EWW34" t="s">
        <v>6984</v>
      </c>
      <c r="EWX34" t="s">
        <v>6984</v>
      </c>
      <c r="EWY34" t="s">
        <v>6984</v>
      </c>
      <c r="EWZ34" t="s">
        <v>6984</v>
      </c>
      <c r="EXA34" t="s">
        <v>6984</v>
      </c>
      <c r="EXB34" t="s">
        <v>6984</v>
      </c>
      <c r="EXC34" t="s">
        <v>6984</v>
      </c>
      <c r="EXD34" t="s">
        <v>6984</v>
      </c>
      <c r="EXE34" t="s">
        <v>6984</v>
      </c>
      <c r="EXF34" t="s">
        <v>6984</v>
      </c>
      <c r="EXG34" t="s">
        <v>6984</v>
      </c>
      <c r="EXH34" t="s">
        <v>6984</v>
      </c>
      <c r="EXI34" t="s">
        <v>6984</v>
      </c>
      <c r="EXJ34" t="s">
        <v>6984</v>
      </c>
      <c r="EXK34" t="s">
        <v>6984</v>
      </c>
      <c r="EXL34" t="s">
        <v>6984</v>
      </c>
      <c r="EXM34" t="s">
        <v>6984</v>
      </c>
      <c r="EXN34" t="s">
        <v>6984</v>
      </c>
      <c r="EXO34" t="s">
        <v>6984</v>
      </c>
      <c r="EXP34" t="s">
        <v>6984</v>
      </c>
      <c r="EXQ34" t="s">
        <v>6984</v>
      </c>
      <c r="EXR34" t="s">
        <v>6984</v>
      </c>
      <c r="EXS34" t="s">
        <v>6984</v>
      </c>
      <c r="EXT34" t="s">
        <v>6984</v>
      </c>
      <c r="EXU34" t="s">
        <v>6984</v>
      </c>
      <c r="EXV34" t="s">
        <v>6984</v>
      </c>
      <c r="EXW34" t="s">
        <v>6984</v>
      </c>
      <c r="EXX34" t="s">
        <v>6984</v>
      </c>
      <c r="EXY34" t="s">
        <v>6984</v>
      </c>
      <c r="EXZ34" t="s">
        <v>6984</v>
      </c>
      <c r="EYA34" t="s">
        <v>6984</v>
      </c>
      <c r="EYB34" t="s">
        <v>6984</v>
      </c>
      <c r="EYC34" t="s">
        <v>6984</v>
      </c>
      <c r="EYD34" t="s">
        <v>6984</v>
      </c>
      <c r="EYE34" t="s">
        <v>6984</v>
      </c>
      <c r="EYF34" t="s">
        <v>6984</v>
      </c>
      <c r="EYG34" t="s">
        <v>6984</v>
      </c>
      <c r="EYH34" t="s">
        <v>6984</v>
      </c>
      <c r="EYI34" t="s">
        <v>6984</v>
      </c>
      <c r="EYJ34" t="s">
        <v>6984</v>
      </c>
      <c r="EYK34" t="s">
        <v>6984</v>
      </c>
      <c r="EYL34" t="s">
        <v>6984</v>
      </c>
      <c r="EYM34" t="s">
        <v>6984</v>
      </c>
      <c r="EYN34" t="s">
        <v>6984</v>
      </c>
      <c r="EYO34" t="s">
        <v>6984</v>
      </c>
      <c r="EYP34" t="s">
        <v>6984</v>
      </c>
      <c r="EYQ34" t="s">
        <v>6984</v>
      </c>
      <c r="EYR34" t="s">
        <v>6984</v>
      </c>
      <c r="EYS34" t="s">
        <v>6984</v>
      </c>
      <c r="EYT34" t="s">
        <v>6984</v>
      </c>
      <c r="EYU34" t="s">
        <v>6984</v>
      </c>
      <c r="EYV34" t="s">
        <v>6984</v>
      </c>
      <c r="EYW34" t="s">
        <v>6984</v>
      </c>
      <c r="EYX34" t="s">
        <v>6984</v>
      </c>
      <c r="EYY34" t="s">
        <v>6984</v>
      </c>
      <c r="EYZ34" t="s">
        <v>6984</v>
      </c>
      <c r="EZA34" t="s">
        <v>6984</v>
      </c>
      <c r="EZB34" t="s">
        <v>6984</v>
      </c>
      <c r="EZC34" t="s">
        <v>6984</v>
      </c>
      <c r="EZD34" t="s">
        <v>6984</v>
      </c>
      <c r="EZE34" t="s">
        <v>6984</v>
      </c>
      <c r="EZF34" t="s">
        <v>6984</v>
      </c>
      <c r="EZG34" t="s">
        <v>6984</v>
      </c>
      <c r="EZH34" t="s">
        <v>6984</v>
      </c>
      <c r="EZI34" t="s">
        <v>6984</v>
      </c>
      <c r="EZJ34" t="s">
        <v>6984</v>
      </c>
      <c r="EZK34" t="s">
        <v>6984</v>
      </c>
      <c r="EZL34" t="s">
        <v>6984</v>
      </c>
      <c r="EZM34" t="s">
        <v>6984</v>
      </c>
      <c r="EZN34" t="s">
        <v>6984</v>
      </c>
      <c r="EZO34" t="s">
        <v>6984</v>
      </c>
      <c r="EZP34" t="s">
        <v>6984</v>
      </c>
      <c r="EZQ34" t="s">
        <v>6984</v>
      </c>
      <c r="EZR34" t="s">
        <v>6984</v>
      </c>
      <c r="EZS34" t="s">
        <v>6984</v>
      </c>
      <c r="EZT34" t="s">
        <v>6984</v>
      </c>
      <c r="EZU34" t="s">
        <v>6984</v>
      </c>
      <c r="EZV34" t="s">
        <v>6984</v>
      </c>
      <c r="EZW34" t="s">
        <v>6984</v>
      </c>
      <c r="EZX34" t="s">
        <v>6984</v>
      </c>
      <c r="EZY34" t="s">
        <v>6984</v>
      </c>
      <c r="EZZ34" t="s">
        <v>6984</v>
      </c>
      <c r="FAA34" t="s">
        <v>6984</v>
      </c>
      <c r="FAB34" t="s">
        <v>6984</v>
      </c>
      <c r="FAC34" t="s">
        <v>6984</v>
      </c>
      <c r="FAD34" t="s">
        <v>6984</v>
      </c>
      <c r="FAE34" t="s">
        <v>6984</v>
      </c>
      <c r="FAF34" t="s">
        <v>6984</v>
      </c>
      <c r="FAG34" t="s">
        <v>6984</v>
      </c>
      <c r="FAH34" t="s">
        <v>6984</v>
      </c>
      <c r="FAI34" t="s">
        <v>6984</v>
      </c>
      <c r="FAJ34" t="s">
        <v>6984</v>
      </c>
      <c r="FAK34" t="s">
        <v>6984</v>
      </c>
      <c r="FAL34" t="s">
        <v>6984</v>
      </c>
      <c r="FAM34" t="s">
        <v>6984</v>
      </c>
      <c r="FAN34" t="s">
        <v>6984</v>
      </c>
      <c r="FAO34" t="s">
        <v>6984</v>
      </c>
      <c r="FAP34" t="s">
        <v>6984</v>
      </c>
      <c r="FAQ34" t="s">
        <v>6984</v>
      </c>
      <c r="FAR34" t="s">
        <v>6984</v>
      </c>
      <c r="FAS34" t="s">
        <v>6984</v>
      </c>
      <c r="FAT34" t="s">
        <v>6984</v>
      </c>
      <c r="FAU34" t="s">
        <v>6984</v>
      </c>
      <c r="FAV34" t="s">
        <v>6984</v>
      </c>
      <c r="FAW34" t="s">
        <v>6984</v>
      </c>
      <c r="FAX34" t="s">
        <v>6984</v>
      </c>
      <c r="FAY34" t="s">
        <v>6984</v>
      </c>
      <c r="FAZ34" t="s">
        <v>6984</v>
      </c>
      <c r="FBA34" t="s">
        <v>6984</v>
      </c>
      <c r="FBB34" t="s">
        <v>6984</v>
      </c>
      <c r="FBC34" t="s">
        <v>6984</v>
      </c>
      <c r="FBD34" t="s">
        <v>6984</v>
      </c>
      <c r="FBE34" t="s">
        <v>6984</v>
      </c>
      <c r="FBF34" t="s">
        <v>6984</v>
      </c>
      <c r="FBG34" t="s">
        <v>6984</v>
      </c>
      <c r="FBH34" t="s">
        <v>6984</v>
      </c>
      <c r="FBI34" t="s">
        <v>6984</v>
      </c>
      <c r="FBJ34" t="s">
        <v>6984</v>
      </c>
      <c r="FBK34" t="s">
        <v>6984</v>
      </c>
      <c r="FBL34" t="s">
        <v>6984</v>
      </c>
      <c r="FBM34" t="s">
        <v>6984</v>
      </c>
      <c r="FBN34" t="s">
        <v>6984</v>
      </c>
      <c r="FBO34" t="s">
        <v>6984</v>
      </c>
      <c r="FBP34" t="s">
        <v>6984</v>
      </c>
      <c r="FBQ34" t="s">
        <v>6984</v>
      </c>
      <c r="FBR34" t="s">
        <v>6984</v>
      </c>
      <c r="FBS34" t="s">
        <v>6984</v>
      </c>
      <c r="FBT34" t="s">
        <v>6984</v>
      </c>
      <c r="FBU34" t="s">
        <v>6984</v>
      </c>
      <c r="FBV34" t="s">
        <v>6984</v>
      </c>
      <c r="FBW34" t="s">
        <v>6984</v>
      </c>
      <c r="FBX34" t="s">
        <v>6984</v>
      </c>
      <c r="FBY34" t="s">
        <v>6984</v>
      </c>
      <c r="FBZ34" t="s">
        <v>6984</v>
      </c>
      <c r="FCA34" t="s">
        <v>6984</v>
      </c>
      <c r="FCB34" t="s">
        <v>6984</v>
      </c>
      <c r="FCC34" t="s">
        <v>6984</v>
      </c>
      <c r="FCD34" t="s">
        <v>6984</v>
      </c>
      <c r="FCE34" t="s">
        <v>6984</v>
      </c>
      <c r="FCF34" t="s">
        <v>6984</v>
      </c>
      <c r="FCG34" t="s">
        <v>6984</v>
      </c>
      <c r="FCH34" t="s">
        <v>6984</v>
      </c>
      <c r="FCI34" t="s">
        <v>6984</v>
      </c>
      <c r="FCJ34" t="s">
        <v>6984</v>
      </c>
      <c r="FCK34" t="s">
        <v>6984</v>
      </c>
      <c r="FCL34" t="s">
        <v>6984</v>
      </c>
      <c r="FCM34" t="s">
        <v>6984</v>
      </c>
      <c r="FCN34" t="s">
        <v>6984</v>
      </c>
      <c r="FCO34" t="s">
        <v>6984</v>
      </c>
      <c r="FCP34" t="s">
        <v>6984</v>
      </c>
      <c r="FCQ34" t="s">
        <v>6984</v>
      </c>
      <c r="FCR34" t="s">
        <v>6984</v>
      </c>
      <c r="FCS34" t="s">
        <v>6984</v>
      </c>
      <c r="FCT34" t="s">
        <v>6984</v>
      </c>
      <c r="FCU34" t="s">
        <v>6984</v>
      </c>
      <c r="FCV34" t="s">
        <v>6984</v>
      </c>
      <c r="FCW34" t="s">
        <v>6984</v>
      </c>
      <c r="FCX34" t="s">
        <v>6984</v>
      </c>
      <c r="FCY34" t="s">
        <v>6984</v>
      </c>
      <c r="FCZ34" t="s">
        <v>6984</v>
      </c>
      <c r="FDA34" t="s">
        <v>6984</v>
      </c>
      <c r="FDB34" t="s">
        <v>6984</v>
      </c>
      <c r="FDC34" t="s">
        <v>6984</v>
      </c>
      <c r="FDD34" t="s">
        <v>6984</v>
      </c>
      <c r="FDE34" t="s">
        <v>6984</v>
      </c>
      <c r="FDF34" t="s">
        <v>6984</v>
      </c>
      <c r="FDG34" t="s">
        <v>6984</v>
      </c>
      <c r="FDH34" t="s">
        <v>6984</v>
      </c>
      <c r="FDI34" t="s">
        <v>6984</v>
      </c>
      <c r="FDJ34" t="s">
        <v>6984</v>
      </c>
      <c r="FDK34" t="s">
        <v>6984</v>
      </c>
      <c r="FDL34" t="s">
        <v>6984</v>
      </c>
      <c r="FDM34" t="s">
        <v>6984</v>
      </c>
      <c r="FDN34" t="s">
        <v>6984</v>
      </c>
      <c r="FDO34" t="s">
        <v>6984</v>
      </c>
      <c r="FDP34" t="s">
        <v>6984</v>
      </c>
      <c r="FDQ34" t="s">
        <v>6984</v>
      </c>
      <c r="FDR34" t="s">
        <v>6984</v>
      </c>
      <c r="FDS34" t="s">
        <v>6984</v>
      </c>
      <c r="FDT34" t="s">
        <v>6984</v>
      </c>
      <c r="FDU34" t="s">
        <v>6984</v>
      </c>
      <c r="FDV34" t="s">
        <v>6984</v>
      </c>
      <c r="FDW34" t="s">
        <v>6984</v>
      </c>
      <c r="FDX34" t="s">
        <v>6984</v>
      </c>
      <c r="FDY34" t="s">
        <v>6984</v>
      </c>
      <c r="FDZ34" t="s">
        <v>6984</v>
      </c>
      <c r="FEA34" t="s">
        <v>6984</v>
      </c>
      <c r="FEB34" t="s">
        <v>6984</v>
      </c>
      <c r="FEC34" t="s">
        <v>6984</v>
      </c>
      <c r="FED34" t="s">
        <v>6984</v>
      </c>
      <c r="FEE34" t="s">
        <v>6984</v>
      </c>
      <c r="FEF34" t="s">
        <v>6984</v>
      </c>
      <c r="FEG34" t="s">
        <v>6984</v>
      </c>
      <c r="FEH34" t="s">
        <v>6984</v>
      </c>
      <c r="FEI34" t="s">
        <v>6984</v>
      </c>
      <c r="FEJ34" t="s">
        <v>6984</v>
      </c>
      <c r="FEK34" t="s">
        <v>6984</v>
      </c>
      <c r="FEL34" t="s">
        <v>6984</v>
      </c>
      <c r="FEM34" t="s">
        <v>6984</v>
      </c>
      <c r="FEN34" t="s">
        <v>6984</v>
      </c>
      <c r="FEO34" t="s">
        <v>6984</v>
      </c>
      <c r="FEP34" t="s">
        <v>6984</v>
      </c>
      <c r="FEQ34" t="s">
        <v>6984</v>
      </c>
      <c r="FER34" t="s">
        <v>6984</v>
      </c>
      <c r="FES34" t="s">
        <v>6984</v>
      </c>
      <c r="FET34" t="s">
        <v>6984</v>
      </c>
      <c r="FEU34" t="s">
        <v>6984</v>
      </c>
      <c r="FEV34" t="s">
        <v>6984</v>
      </c>
      <c r="FEW34" t="s">
        <v>6984</v>
      </c>
      <c r="FEX34" t="s">
        <v>6984</v>
      </c>
      <c r="FEY34" t="s">
        <v>6984</v>
      </c>
      <c r="FEZ34" t="s">
        <v>6984</v>
      </c>
      <c r="FFA34" t="s">
        <v>6984</v>
      </c>
      <c r="FFB34" t="s">
        <v>6984</v>
      </c>
      <c r="FFC34" t="s">
        <v>6984</v>
      </c>
      <c r="FFD34" t="s">
        <v>6984</v>
      </c>
      <c r="FFE34" t="s">
        <v>6984</v>
      </c>
      <c r="FFF34" t="s">
        <v>6984</v>
      </c>
      <c r="FFG34" t="s">
        <v>6984</v>
      </c>
      <c r="FFH34" t="s">
        <v>6984</v>
      </c>
      <c r="FFI34" t="s">
        <v>6984</v>
      </c>
      <c r="FFJ34" t="s">
        <v>6984</v>
      </c>
      <c r="FFK34" t="s">
        <v>6984</v>
      </c>
      <c r="FFL34" t="s">
        <v>6984</v>
      </c>
      <c r="FFM34" t="s">
        <v>6984</v>
      </c>
      <c r="FFN34" t="s">
        <v>6984</v>
      </c>
      <c r="FFO34" t="s">
        <v>6984</v>
      </c>
      <c r="FFP34" t="s">
        <v>6984</v>
      </c>
      <c r="FFQ34" t="s">
        <v>6984</v>
      </c>
      <c r="FFR34" t="s">
        <v>6984</v>
      </c>
      <c r="FFS34" t="s">
        <v>6984</v>
      </c>
      <c r="FFT34" t="s">
        <v>6984</v>
      </c>
      <c r="FFU34" t="s">
        <v>6984</v>
      </c>
      <c r="FFV34" t="s">
        <v>6984</v>
      </c>
      <c r="FFW34" t="s">
        <v>6984</v>
      </c>
      <c r="FFX34" t="s">
        <v>6984</v>
      </c>
      <c r="FFY34" t="s">
        <v>6984</v>
      </c>
      <c r="FFZ34" t="s">
        <v>6984</v>
      </c>
      <c r="FGA34" t="s">
        <v>6984</v>
      </c>
      <c r="FGB34" t="s">
        <v>6984</v>
      </c>
      <c r="FGC34" t="s">
        <v>6984</v>
      </c>
      <c r="FGD34" t="s">
        <v>6984</v>
      </c>
      <c r="FGE34" t="s">
        <v>6984</v>
      </c>
      <c r="FGF34" t="s">
        <v>6984</v>
      </c>
      <c r="FGG34" t="s">
        <v>6984</v>
      </c>
      <c r="FGH34" t="s">
        <v>6984</v>
      </c>
      <c r="FGI34" t="s">
        <v>6984</v>
      </c>
      <c r="FGJ34" t="s">
        <v>6984</v>
      </c>
      <c r="FGK34" t="s">
        <v>6984</v>
      </c>
      <c r="FGL34" t="s">
        <v>6984</v>
      </c>
      <c r="FGM34" t="s">
        <v>6984</v>
      </c>
      <c r="FGN34" t="s">
        <v>6984</v>
      </c>
      <c r="FGO34" t="s">
        <v>6984</v>
      </c>
      <c r="FGP34" t="s">
        <v>6984</v>
      </c>
      <c r="FGQ34" t="s">
        <v>6984</v>
      </c>
      <c r="FGR34" t="s">
        <v>6984</v>
      </c>
      <c r="FGS34" t="s">
        <v>6984</v>
      </c>
      <c r="FGT34" t="s">
        <v>6984</v>
      </c>
      <c r="FGU34" t="s">
        <v>6984</v>
      </c>
      <c r="FGV34" t="s">
        <v>6984</v>
      </c>
      <c r="FGW34" t="s">
        <v>6984</v>
      </c>
      <c r="FGX34" t="s">
        <v>6984</v>
      </c>
      <c r="FGY34" t="s">
        <v>6984</v>
      </c>
      <c r="FGZ34" t="s">
        <v>6984</v>
      </c>
      <c r="FHA34" t="s">
        <v>6984</v>
      </c>
      <c r="FHB34" t="s">
        <v>6984</v>
      </c>
      <c r="FHC34" t="s">
        <v>6984</v>
      </c>
      <c r="FHD34" t="s">
        <v>6984</v>
      </c>
      <c r="FHE34" t="s">
        <v>6984</v>
      </c>
      <c r="FHF34" t="s">
        <v>6984</v>
      </c>
      <c r="FHG34" t="s">
        <v>6984</v>
      </c>
      <c r="FHH34" t="s">
        <v>6984</v>
      </c>
      <c r="FHI34" t="s">
        <v>6984</v>
      </c>
      <c r="FHJ34" t="s">
        <v>6984</v>
      </c>
      <c r="FHK34" t="s">
        <v>6984</v>
      </c>
      <c r="FHL34" t="s">
        <v>6984</v>
      </c>
      <c r="FHM34" t="s">
        <v>6984</v>
      </c>
      <c r="FHN34" t="s">
        <v>6984</v>
      </c>
      <c r="FHO34" t="s">
        <v>6984</v>
      </c>
      <c r="FHP34" t="s">
        <v>6984</v>
      </c>
      <c r="FHQ34" t="s">
        <v>6984</v>
      </c>
      <c r="FHR34" t="s">
        <v>6984</v>
      </c>
      <c r="FHS34" t="s">
        <v>6984</v>
      </c>
      <c r="FHT34" t="s">
        <v>6984</v>
      </c>
      <c r="FHU34" t="s">
        <v>6984</v>
      </c>
      <c r="FHV34" t="s">
        <v>6984</v>
      </c>
      <c r="FHW34" t="s">
        <v>6984</v>
      </c>
      <c r="FHX34" t="s">
        <v>6984</v>
      </c>
      <c r="FHY34" t="s">
        <v>6984</v>
      </c>
      <c r="FHZ34" t="s">
        <v>6984</v>
      </c>
      <c r="FIA34" t="s">
        <v>6984</v>
      </c>
      <c r="FIB34" t="s">
        <v>6984</v>
      </c>
      <c r="FIC34" t="s">
        <v>6984</v>
      </c>
      <c r="FID34" t="s">
        <v>6984</v>
      </c>
      <c r="FIE34" t="s">
        <v>6984</v>
      </c>
      <c r="FIF34" t="s">
        <v>6984</v>
      </c>
      <c r="FIG34" t="s">
        <v>6984</v>
      </c>
      <c r="FIH34" t="s">
        <v>6984</v>
      </c>
      <c r="FII34" t="s">
        <v>6984</v>
      </c>
      <c r="FIJ34" t="s">
        <v>6984</v>
      </c>
      <c r="FIK34" t="s">
        <v>6984</v>
      </c>
      <c r="FIL34" t="s">
        <v>6984</v>
      </c>
      <c r="FIM34" t="s">
        <v>6984</v>
      </c>
      <c r="FIN34" t="s">
        <v>6984</v>
      </c>
      <c r="FIO34" t="s">
        <v>6984</v>
      </c>
      <c r="FIP34" t="s">
        <v>6984</v>
      </c>
      <c r="FIQ34" t="s">
        <v>6984</v>
      </c>
      <c r="FIR34" t="s">
        <v>6984</v>
      </c>
      <c r="FIS34" t="s">
        <v>6984</v>
      </c>
      <c r="FIT34" t="s">
        <v>6984</v>
      </c>
      <c r="FIU34" t="s">
        <v>6984</v>
      </c>
      <c r="FIV34" t="s">
        <v>6984</v>
      </c>
      <c r="FIW34" t="s">
        <v>6984</v>
      </c>
      <c r="FIX34" t="s">
        <v>6984</v>
      </c>
      <c r="FIY34" t="s">
        <v>6984</v>
      </c>
      <c r="FIZ34" t="s">
        <v>6984</v>
      </c>
      <c r="FJA34" t="s">
        <v>6984</v>
      </c>
      <c r="FJB34" t="s">
        <v>6984</v>
      </c>
      <c r="FJC34" t="s">
        <v>6984</v>
      </c>
      <c r="FJD34" t="s">
        <v>6984</v>
      </c>
      <c r="FJE34" t="s">
        <v>6984</v>
      </c>
      <c r="FJF34" t="s">
        <v>6984</v>
      </c>
      <c r="FJG34" t="s">
        <v>6984</v>
      </c>
      <c r="FJH34" t="s">
        <v>6984</v>
      </c>
      <c r="FJI34" t="s">
        <v>6984</v>
      </c>
      <c r="FJJ34" t="s">
        <v>6984</v>
      </c>
      <c r="FJK34" t="s">
        <v>6984</v>
      </c>
      <c r="FJL34" t="s">
        <v>6984</v>
      </c>
      <c r="FJM34" t="s">
        <v>6984</v>
      </c>
      <c r="FJN34" t="s">
        <v>6984</v>
      </c>
      <c r="FJO34" t="s">
        <v>6984</v>
      </c>
      <c r="FJP34" t="s">
        <v>6984</v>
      </c>
      <c r="FJQ34" t="s">
        <v>6984</v>
      </c>
      <c r="FJR34" t="s">
        <v>6984</v>
      </c>
      <c r="FJS34" t="s">
        <v>6984</v>
      </c>
      <c r="FJT34" t="s">
        <v>6984</v>
      </c>
      <c r="FJU34" t="s">
        <v>6984</v>
      </c>
      <c r="FJV34" t="s">
        <v>6984</v>
      </c>
      <c r="FJW34" t="s">
        <v>6984</v>
      </c>
      <c r="FJX34" t="s">
        <v>6984</v>
      </c>
      <c r="FJY34" t="s">
        <v>6984</v>
      </c>
      <c r="FJZ34" t="s">
        <v>6984</v>
      </c>
      <c r="FKA34" t="s">
        <v>6984</v>
      </c>
      <c r="FKB34" t="s">
        <v>6984</v>
      </c>
      <c r="FKC34" t="s">
        <v>6984</v>
      </c>
      <c r="FKD34" t="s">
        <v>6984</v>
      </c>
      <c r="FKE34" t="s">
        <v>6984</v>
      </c>
      <c r="FKF34" t="s">
        <v>6984</v>
      </c>
      <c r="FKG34" t="s">
        <v>6984</v>
      </c>
      <c r="FKH34" t="s">
        <v>6984</v>
      </c>
      <c r="FKI34" t="s">
        <v>6984</v>
      </c>
      <c r="FKJ34" t="s">
        <v>6984</v>
      </c>
      <c r="FKK34" t="s">
        <v>6984</v>
      </c>
      <c r="FKL34" t="s">
        <v>6984</v>
      </c>
      <c r="FKM34" t="s">
        <v>6984</v>
      </c>
      <c r="FKN34" t="s">
        <v>6984</v>
      </c>
      <c r="FKO34" t="s">
        <v>6984</v>
      </c>
      <c r="FKP34" t="s">
        <v>6984</v>
      </c>
      <c r="FKQ34" t="s">
        <v>6984</v>
      </c>
      <c r="FKR34" t="s">
        <v>6984</v>
      </c>
      <c r="FKS34" t="s">
        <v>6984</v>
      </c>
      <c r="FKT34" t="s">
        <v>6984</v>
      </c>
      <c r="FKU34" t="s">
        <v>6984</v>
      </c>
      <c r="FKV34" t="s">
        <v>6984</v>
      </c>
      <c r="FKW34" t="s">
        <v>6984</v>
      </c>
      <c r="FKX34" t="s">
        <v>6984</v>
      </c>
      <c r="FKY34" t="s">
        <v>6984</v>
      </c>
      <c r="FKZ34" t="s">
        <v>6984</v>
      </c>
      <c r="FLA34" t="s">
        <v>6984</v>
      </c>
      <c r="FLB34" t="s">
        <v>6984</v>
      </c>
      <c r="FLC34" t="s">
        <v>6984</v>
      </c>
      <c r="FLD34" t="s">
        <v>6984</v>
      </c>
      <c r="FLE34" t="s">
        <v>6984</v>
      </c>
      <c r="FLF34" t="s">
        <v>6984</v>
      </c>
      <c r="FLG34" t="s">
        <v>6984</v>
      </c>
      <c r="FLH34" t="s">
        <v>6984</v>
      </c>
      <c r="FLI34" t="s">
        <v>6984</v>
      </c>
      <c r="FLJ34" t="s">
        <v>6984</v>
      </c>
      <c r="FLK34" t="s">
        <v>6984</v>
      </c>
      <c r="FLL34" t="s">
        <v>6984</v>
      </c>
      <c r="FLM34" t="s">
        <v>6984</v>
      </c>
      <c r="FLN34" t="s">
        <v>6984</v>
      </c>
      <c r="FLO34" t="s">
        <v>6984</v>
      </c>
      <c r="FLP34" t="s">
        <v>6984</v>
      </c>
      <c r="FLQ34" t="s">
        <v>6984</v>
      </c>
      <c r="FLR34" t="s">
        <v>6984</v>
      </c>
      <c r="FLS34" t="s">
        <v>6984</v>
      </c>
      <c r="FLT34" t="s">
        <v>6984</v>
      </c>
      <c r="FLU34" t="s">
        <v>6984</v>
      </c>
      <c r="FLV34" t="s">
        <v>6984</v>
      </c>
      <c r="FLW34" t="s">
        <v>6984</v>
      </c>
      <c r="FLX34" t="s">
        <v>6984</v>
      </c>
      <c r="FLY34" t="s">
        <v>6984</v>
      </c>
      <c r="FLZ34" t="s">
        <v>6984</v>
      </c>
      <c r="FMA34" t="s">
        <v>6984</v>
      </c>
      <c r="FMB34" t="s">
        <v>6984</v>
      </c>
      <c r="FMC34" t="s">
        <v>6984</v>
      </c>
      <c r="FMD34" t="s">
        <v>6984</v>
      </c>
      <c r="FME34" t="s">
        <v>6984</v>
      </c>
      <c r="FMF34" t="s">
        <v>6984</v>
      </c>
      <c r="FMG34" t="s">
        <v>6984</v>
      </c>
      <c r="FMH34" t="s">
        <v>6984</v>
      </c>
      <c r="FMI34" t="s">
        <v>6984</v>
      </c>
      <c r="FMJ34" t="s">
        <v>6984</v>
      </c>
      <c r="FMK34" t="s">
        <v>6984</v>
      </c>
      <c r="FML34" t="s">
        <v>6984</v>
      </c>
      <c r="FMM34" t="s">
        <v>6984</v>
      </c>
      <c r="FMN34" t="s">
        <v>6984</v>
      </c>
      <c r="FMO34" t="s">
        <v>6984</v>
      </c>
      <c r="FMP34" t="s">
        <v>6984</v>
      </c>
      <c r="FMQ34" t="s">
        <v>6984</v>
      </c>
      <c r="FMR34" t="s">
        <v>6984</v>
      </c>
      <c r="FMS34" t="s">
        <v>6984</v>
      </c>
      <c r="FMT34" t="s">
        <v>6984</v>
      </c>
      <c r="FMU34" t="s">
        <v>6984</v>
      </c>
      <c r="FMV34" t="s">
        <v>6984</v>
      </c>
      <c r="FMW34" t="s">
        <v>6984</v>
      </c>
      <c r="FMX34" t="s">
        <v>6984</v>
      </c>
      <c r="FMY34" t="s">
        <v>6984</v>
      </c>
      <c r="FMZ34" t="s">
        <v>6984</v>
      </c>
      <c r="FNA34" t="s">
        <v>6984</v>
      </c>
      <c r="FNB34" t="s">
        <v>6984</v>
      </c>
      <c r="FNC34" t="s">
        <v>6984</v>
      </c>
      <c r="FND34" t="s">
        <v>6984</v>
      </c>
      <c r="FNE34" t="s">
        <v>6984</v>
      </c>
      <c r="FNF34" t="s">
        <v>6984</v>
      </c>
      <c r="FNG34" t="s">
        <v>6984</v>
      </c>
      <c r="FNH34" t="s">
        <v>6984</v>
      </c>
      <c r="FNI34" t="s">
        <v>6984</v>
      </c>
      <c r="FNJ34" t="s">
        <v>6984</v>
      </c>
      <c r="FNK34" t="s">
        <v>6984</v>
      </c>
      <c r="FNL34" t="s">
        <v>6984</v>
      </c>
      <c r="FNM34" t="s">
        <v>6984</v>
      </c>
      <c r="FNN34" t="s">
        <v>6984</v>
      </c>
      <c r="FNO34" t="s">
        <v>6984</v>
      </c>
      <c r="FNP34" t="s">
        <v>6984</v>
      </c>
      <c r="FNQ34" t="s">
        <v>6984</v>
      </c>
      <c r="FNR34" t="s">
        <v>6984</v>
      </c>
      <c r="FNS34" t="s">
        <v>6984</v>
      </c>
      <c r="FNT34" t="s">
        <v>6984</v>
      </c>
      <c r="FNU34" t="s">
        <v>6984</v>
      </c>
      <c r="FNV34" t="s">
        <v>6984</v>
      </c>
      <c r="FNW34" t="s">
        <v>6984</v>
      </c>
      <c r="FNX34" t="s">
        <v>6984</v>
      </c>
      <c r="FNY34" t="s">
        <v>6984</v>
      </c>
      <c r="FNZ34" t="s">
        <v>6984</v>
      </c>
      <c r="FOA34" t="s">
        <v>6984</v>
      </c>
      <c r="FOB34" t="s">
        <v>6984</v>
      </c>
      <c r="FOC34" t="s">
        <v>6984</v>
      </c>
      <c r="FOD34" t="s">
        <v>6984</v>
      </c>
      <c r="FOE34" t="s">
        <v>6984</v>
      </c>
      <c r="FOF34" t="s">
        <v>6984</v>
      </c>
      <c r="FOG34" t="s">
        <v>6984</v>
      </c>
      <c r="FOH34" t="s">
        <v>6984</v>
      </c>
      <c r="FOI34" t="s">
        <v>6984</v>
      </c>
      <c r="FOJ34" t="s">
        <v>6984</v>
      </c>
      <c r="FOK34" t="s">
        <v>6984</v>
      </c>
      <c r="FOL34" t="s">
        <v>6984</v>
      </c>
      <c r="FOM34" t="s">
        <v>6984</v>
      </c>
      <c r="FON34" t="s">
        <v>6984</v>
      </c>
      <c r="FOO34" t="s">
        <v>6984</v>
      </c>
      <c r="FOP34" t="s">
        <v>6984</v>
      </c>
      <c r="FOQ34" t="s">
        <v>6984</v>
      </c>
      <c r="FOR34" t="s">
        <v>6984</v>
      </c>
      <c r="FOS34" t="s">
        <v>6984</v>
      </c>
      <c r="FOT34" t="s">
        <v>6984</v>
      </c>
      <c r="FOU34" t="s">
        <v>6984</v>
      </c>
      <c r="FOV34" t="s">
        <v>6984</v>
      </c>
      <c r="FOW34" t="s">
        <v>6984</v>
      </c>
      <c r="FOX34" t="s">
        <v>6984</v>
      </c>
      <c r="FOY34" t="s">
        <v>6984</v>
      </c>
      <c r="FOZ34" t="s">
        <v>6984</v>
      </c>
      <c r="FPA34" t="s">
        <v>6984</v>
      </c>
      <c r="FPB34" t="s">
        <v>6984</v>
      </c>
      <c r="FPC34" t="s">
        <v>6984</v>
      </c>
      <c r="FPD34" t="s">
        <v>6984</v>
      </c>
      <c r="FPE34" t="s">
        <v>6984</v>
      </c>
      <c r="FPF34" t="s">
        <v>6984</v>
      </c>
      <c r="FPG34" t="s">
        <v>6984</v>
      </c>
      <c r="FPH34" t="s">
        <v>6984</v>
      </c>
      <c r="FPI34" t="s">
        <v>6984</v>
      </c>
      <c r="FPJ34" t="s">
        <v>6984</v>
      </c>
      <c r="FPK34" t="s">
        <v>6984</v>
      </c>
      <c r="FPL34" t="s">
        <v>6984</v>
      </c>
      <c r="FPM34" t="s">
        <v>6984</v>
      </c>
      <c r="FPN34" t="s">
        <v>6984</v>
      </c>
      <c r="FPO34" t="s">
        <v>6984</v>
      </c>
      <c r="FPP34" t="s">
        <v>6984</v>
      </c>
      <c r="FPQ34" t="s">
        <v>6984</v>
      </c>
      <c r="FPR34" t="s">
        <v>6984</v>
      </c>
      <c r="FPS34" t="s">
        <v>6984</v>
      </c>
      <c r="FPT34" t="s">
        <v>6984</v>
      </c>
      <c r="FPU34" t="s">
        <v>6984</v>
      </c>
      <c r="FPV34" t="s">
        <v>6984</v>
      </c>
      <c r="FPW34" t="s">
        <v>6984</v>
      </c>
      <c r="FPX34" t="s">
        <v>6984</v>
      </c>
      <c r="FPY34" t="s">
        <v>6984</v>
      </c>
      <c r="FPZ34" t="s">
        <v>6984</v>
      </c>
      <c r="FQA34" t="s">
        <v>6984</v>
      </c>
      <c r="FQB34" t="s">
        <v>6984</v>
      </c>
      <c r="FQC34" t="s">
        <v>6984</v>
      </c>
      <c r="FQD34" t="s">
        <v>6984</v>
      </c>
      <c r="FQE34" t="s">
        <v>6984</v>
      </c>
      <c r="FQF34" t="s">
        <v>6984</v>
      </c>
      <c r="FQG34" t="s">
        <v>6984</v>
      </c>
      <c r="FQH34" t="s">
        <v>6984</v>
      </c>
      <c r="FQI34" t="s">
        <v>6984</v>
      </c>
      <c r="FQJ34" t="s">
        <v>6984</v>
      </c>
      <c r="FQK34" t="s">
        <v>6984</v>
      </c>
      <c r="FQL34" t="s">
        <v>6984</v>
      </c>
      <c r="FQM34" t="s">
        <v>6984</v>
      </c>
      <c r="FQN34" t="s">
        <v>6984</v>
      </c>
      <c r="FQO34" t="s">
        <v>6984</v>
      </c>
      <c r="FQP34" t="s">
        <v>6984</v>
      </c>
      <c r="FQQ34" t="s">
        <v>6984</v>
      </c>
      <c r="FQR34" t="s">
        <v>6984</v>
      </c>
      <c r="FQS34" t="s">
        <v>6984</v>
      </c>
      <c r="FQT34" t="s">
        <v>6984</v>
      </c>
      <c r="FQU34" t="s">
        <v>6984</v>
      </c>
      <c r="FQV34" t="s">
        <v>6984</v>
      </c>
      <c r="FQW34" t="s">
        <v>6984</v>
      </c>
      <c r="FQX34" t="s">
        <v>6984</v>
      </c>
      <c r="FQY34" t="s">
        <v>6984</v>
      </c>
      <c r="FQZ34" t="s">
        <v>6984</v>
      </c>
      <c r="FRA34" t="s">
        <v>6984</v>
      </c>
      <c r="FRB34" t="s">
        <v>6984</v>
      </c>
      <c r="FRC34" t="s">
        <v>6984</v>
      </c>
      <c r="FRD34" t="s">
        <v>6984</v>
      </c>
      <c r="FRE34" t="s">
        <v>6984</v>
      </c>
      <c r="FRF34" t="s">
        <v>6984</v>
      </c>
      <c r="FRG34" t="s">
        <v>6984</v>
      </c>
      <c r="FRH34" t="s">
        <v>6984</v>
      </c>
      <c r="FRI34" t="s">
        <v>6984</v>
      </c>
      <c r="FRJ34" t="s">
        <v>6984</v>
      </c>
      <c r="FRK34" t="s">
        <v>6984</v>
      </c>
      <c r="FRL34" t="s">
        <v>6984</v>
      </c>
      <c r="FRM34" t="s">
        <v>6984</v>
      </c>
      <c r="FRN34" t="s">
        <v>6984</v>
      </c>
      <c r="FRO34" t="s">
        <v>6984</v>
      </c>
      <c r="FRP34" t="s">
        <v>6984</v>
      </c>
      <c r="FRQ34" t="s">
        <v>6984</v>
      </c>
      <c r="FRR34" t="s">
        <v>6984</v>
      </c>
      <c r="FRS34" t="s">
        <v>6984</v>
      </c>
      <c r="FRT34" t="s">
        <v>6984</v>
      </c>
      <c r="FRU34" t="s">
        <v>6984</v>
      </c>
      <c r="FRV34" t="s">
        <v>6984</v>
      </c>
      <c r="FRW34" t="s">
        <v>6984</v>
      </c>
      <c r="FRX34" t="s">
        <v>6984</v>
      </c>
      <c r="FRY34" t="s">
        <v>6984</v>
      </c>
      <c r="FRZ34" t="s">
        <v>6984</v>
      </c>
      <c r="FSA34" t="s">
        <v>6984</v>
      </c>
      <c r="FSB34" t="s">
        <v>6984</v>
      </c>
      <c r="FSC34" t="s">
        <v>6984</v>
      </c>
      <c r="FSD34" t="s">
        <v>6984</v>
      </c>
      <c r="FSE34" t="s">
        <v>6984</v>
      </c>
      <c r="FSF34" t="s">
        <v>6984</v>
      </c>
      <c r="FSG34" t="s">
        <v>6984</v>
      </c>
      <c r="FSH34" t="s">
        <v>6984</v>
      </c>
      <c r="FSI34" t="s">
        <v>6984</v>
      </c>
      <c r="FSJ34" t="s">
        <v>6984</v>
      </c>
      <c r="FSK34" t="s">
        <v>6984</v>
      </c>
      <c r="FSL34" t="s">
        <v>6984</v>
      </c>
      <c r="FSM34" t="s">
        <v>6984</v>
      </c>
      <c r="FSN34" t="s">
        <v>6984</v>
      </c>
      <c r="FSO34" t="s">
        <v>6984</v>
      </c>
      <c r="FSP34" t="s">
        <v>6984</v>
      </c>
      <c r="FSQ34" t="s">
        <v>6984</v>
      </c>
      <c r="FSR34" t="s">
        <v>6984</v>
      </c>
      <c r="FSS34" t="s">
        <v>6984</v>
      </c>
      <c r="FST34" t="s">
        <v>6984</v>
      </c>
      <c r="FSU34" t="s">
        <v>6984</v>
      </c>
      <c r="FSV34" t="s">
        <v>6984</v>
      </c>
      <c r="FSW34" t="s">
        <v>6984</v>
      </c>
      <c r="FSX34" t="s">
        <v>6984</v>
      </c>
      <c r="FSY34" t="s">
        <v>6984</v>
      </c>
      <c r="FSZ34" t="s">
        <v>6984</v>
      </c>
      <c r="FTA34" t="s">
        <v>6984</v>
      </c>
      <c r="FTB34" t="s">
        <v>6984</v>
      </c>
      <c r="FTC34" t="s">
        <v>6984</v>
      </c>
      <c r="FTD34" t="s">
        <v>6984</v>
      </c>
      <c r="FTE34" t="s">
        <v>6984</v>
      </c>
      <c r="FTF34" t="s">
        <v>6984</v>
      </c>
      <c r="FTG34" t="s">
        <v>6984</v>
      </c>
      <c r="FTH34" t="s">
        <v>6984</v>
      </c>
      <c r="FTI34" t="s">
        <v>6984</v>
      </c>
      <c r="FTJ34" t="s">
        <v>6984</v>
      </c>
      <c r="FTK34" t="s">
        <v>6984</v>
      </c>
      <c r="FTL34" t="s">
        <v>6984</v>
      </c>
      <c r="FTM34" t="s">
        <v>6984</v>
      </c>
      <c r="FTN34" t="s">
        <v>6984</v>
      </c>
      <c r="FTO34" t="s">
        <v>6984</v>
      </c>
      <c r="FTP34" t="s">
        <v>6984</v>
      </c>
      <c r="FTQ34" t="s">
        <v>6984</v>
      </c>
      <c r="FTR34" t="s">
        <v>6984</v>
      </c>
      <c r="FTS34" t="s">
        <v>6984</v>
      </c>
      <c r="FTT34" t="s">
        <v>6984</v>
      </c>
      <c r="FTU34" t="s">
        <v>6984</v>
      </c>
      <c r="FTV34" t="s">
        <v>6984</v>
      </c>
      <c r="FTW34" t="s">
        <v>6984</v>
      </c>
      <c r="FTX34" t="s">
        <v>6984</v>
      </c>
      <c r="FTY34" t="s">
        <v>6984</v>
      </c>
      <c r="FTZ34" t="s">
        <v>6984</v>
      </c>
      <c r="FUA34" t="s">
        <v>6984</v>
      </c>
      <c r="FUB34" t="s">
        <v>6984</v>
      </c>
      <c r="FUC34" t="s">
        <v>6984</v>
      </c>
      <c r="FUD34" t="s">
        <v>6984</v>
      </c>
      <c r="FUE34" t="s">
        <v>6984</v>
      </c>
      <c r="FUF34" t="s">
        <v>6984</v>
      </c>
      <c r="FUG34" t="s">
        <v>6984</v>
      </c>
      <c r="FUH34" t="s">
        <v>6984</v>
      </c>
      <c r="FUI34" t="s">
        <v>6984</v>
      </c>
      <c r="FUJ34" t="s">
        <v>6984</v>
      </c>
      <c r="FUK34" t="s">
        <v>6984</v>
      </c>
      <c r="FUL34" t="s">
        <v>6984</v>
      </c>
      <c r="FUM34" t="s">
        <v>6984</v>
      </c>
      <c r="FUN34" t="s">
        <v>6984</v>
      </c>
      <c r="FUO34" t="s">
        <v>6984</v>
      </c>
      <c r="FUP34" t="s">
        <v>6984</v>
      </c>
      <c r="FUQ34" t="s">
        <v>6984</v>
      </c>
      <c r="FUR34" t="s">
        <v>6984</v>
      </c>
      <c r="FUS34" t="s">
        <v>6984</v>
      </c>
      <c r="FUT34" t="s">
        <v>6984</v>
      </c>
      <c r="FUU34" t="s">
        <v>6984</v>
      </c>
      <c r="FUV34" t="s">
        <v>6984</v>
      </c>
      <c r="FUW34" t="s">
        <v>6984</v>
      </c>
      <c r="FUX34" t="s">
        <v>6984</v>
      </c>
      <c r="FUY34" t="s">
        <v>6984</v>
      </c>
      <c r="FUZ34" t="s">
        <v>6984</v>
      </c>
      <c r="FVA34" t="s">
        <v>6984</v>
      </c>
      <c r="FVB34" t="s">
        <v>6984</v>
      </c>
      <c r="FVC34" t="s">
        <v>6984</v>
      </c>
      <c r="FVD34" t="s">
        <v>6984</v>
      </c>
      <c r="FVE34" t="s">
        <v>6984</v>
      </c>
      <c r="FVF34" t="s">
        <v>6984</v>
      </c>
      <c r="FVG34" t="s">
        <v>6984</v>
      </c>
      <c r="FVH34" t="s">
        <v>6984</v>
      </c>
      <c r="FVI34" t="s">
        <v>6984</v>
      </c>
      <c r="FVJ34" t="s">
        <v>6984</v>
      </c>
      <c r="FVK34" t="s">
        <v>6984</v>
      </c>
      <c r="FVL34" t="s">
        <v>6984</v>
      </c>
      <c r="FVM34" t="s">
        <v>6984</v>
      </c>
      <c r="FVN34" t="s">
        <v>6984</v>
      </c>
      <c r="FVO34" t="s">
        <v>6984</v>
      </c>
      <c r="FVP34" t="s">
        <v>6984</v>
      </c>
      <c r="FVQ34" t="s">
        <v>6984</v>
      </c>
      <c r="FVR34" t="s">
        <v>6984</v>
      </c>
      <c r="FVS34" t="s">
        <v>6984</v>
      </c>
      <c r="FVT34" t="s">
        <v>6984</v>
      </c>
      <c r="FVU34" t="s">
        <v>6984</v>
      </c>
      <c r="FVV34" t="s">
        <v>6984</v>
      </c>
      <c r="FVW34" t="s">
        <v>6984</v>
      </c>
      <c r="FVX34" t="s">
        <v>6984</v>
      </c>
      <c r="FVY34" t="s">
        <v>6984</v>
      </c>
      <c r="FVZ34" t="s">
        <v>6984</v>
      </c>
      <c r="FWA34" t="s">
        <v>6984</v>
      </c>
      <c r="FWB34" t="s">
        <v>6984</v>
      </c>
      <c r="FWC34" t="s">
        <v>6984</v>
      </c>
      <c r="FWD34" t="s">
        <v>6984</v>
      </c>
      <c r="FWE34" t="s">
        <v>6984</v>
      </c>
      <c r="FWF34" t="s">
        <v>6984</v>
      </c>
      <c r="FWG34" t="s">
        <v>6984</v>
      </c>
      <c r="FWH34" t="s">
        <v>6984</v>
      </c>
      <c r="FWI34" t="s">
        <v>6984</v>
      </c>
      <c r="FWJ34" t="s">
        <v>6984</v>
      </c>
      <c r="FWK34" t="s">
        <v>6984</v>
      </c>
      <c r="FWL34" t="s">
        <v>6984</v>
      </c>
      <c r="FWM34" t="s">
        <v>6984</v>
      </c>
      <c r="FWN34" t="s">
        <v>6984</v>
      </c>
      <c r="FWO34" t="s">
        <v>6984</v>
      </c>
      <c r="FWP34" t="s">
        <v>6984</v>
      </c>
      <c r="FWQ34" t="s">
        <v>6984</v>
      </c>
      <c r="FWR34" t="s">
        <v>6984</v>
      </c>
      <c r="FWS34" t="s">
        <v>6984</v>
      </c>
      <c r="FWT34" t="s">
        <v>6984</v>
      </c>
      <c r="FWU34" t="s">
        <v>6984</v>
      </c>
      <c r="FWV34" t="s">
        <v>6984</v>
      </c>
      <c r="FWW34" t="s">
        <v>6984</v>
      </c>
      <c r="FWX34" t="s">
        <v>6984</v>
      </c>
      <c r="FWY34" t="s">
        <v>6984</v>
      </c>
      <c r="FWZ34" t="s">
        <v>6984</v>
      </c>
      <c r="FXA34" t="s">
        <v>6984</v>
      </c>
      <c r="FXB34" t="s">
        <v>6984</v>
      </c>
      <c r="FXC34" t="s">
        <v>6984</v>
      </c>
      <c r="FXD34" t="s">
        <v>6984</v>
      </c>
      <c r="FXE34" t="s">
        <v>6984</v>
      </c>
      <c r="FXF34" t="s">
        <v>6984</v>
      </c>
      <c r="FXG34" t="s">
        <v>6984</v>
      </c>
      <c r="FXH34" t="s">
        <v>6984</v>
      </c>
      <c r="FXI34" t="s">
        <v>6984</v>
      </c>
      <c r="FXJ34" t="s">
        <v>6984</v>
      </c>
      <c r="FXK34" t="s">
        <v>6984</v>
      </c>
      <c r="FXL34" t="s">
        <v>6984</v>
      </c>
      <c r="FXM34" t="s">
        <v>6984</v>
      </c>
      <c r="FXN34" t="s">
        <v>6984</v>
      </c>
      <c r="FXO34" t="s">
        <v>6984</v>
      </c>
      <c r="FXP34" t="s">
        <v>6984</v>
      </c>
      <c r="FXQ34" t="s">
        <v>6984</v>
      </c>
      <c r="FXR34" t="s">
        <v>6984</v>
      </c>
      <c r="FXS34" t="s">
        <v>6984</v>
      </c>
      <c r="FXT34" t="s">
        <v>6984</v>
      </c>
      <c r="FXU34" t="s">
        <v>6984</v>
      </c>
      <c r="FXV34" t="s">
        <v>6984</v>
      </c>
      <c r="FXW34" t="s">
        <v>6984</v>
      </c>
      <c r="FXX34" t="s">
        <v>6984</v>
      </c>
      <c r="FXY34" t="s">
        <v>6984</v>
      </c>
      <c r="FXZ34" t="s">
        <v>6984</v>
      </c>
      <c r="FYA34" t="s">
        <v>6984</v>
      </c>
      <c r="FYB34" t="s">
        <v>6984</v>
      </c>
      <c r="FYC34" t="s">
        <v>6984</v>
      </c>
      <c r="FYD34" t="s">
        <v>6984</v>
      </c>
      <c r="FYE34" t="s">
        <v>6984</v>
      </c>
      <c r="FYF34" t="s">
        <v>6984</v>
      </c>
      <c r="FYG34" t="s">
        <v>6984</v>
      </c>
      <c r="FYH34" t="s">
        <v>6984</v>
      </c>
      <c r="FYI34" t="s">
        <v>6984</v>
      </c>
      <c r="FYJ34" t="s">
        <v>6984</v>
      </c>
      <c r="FYK34" t="s">
        <v>6984</v>
      </c>
      <c r="FYL34" t="s">
        <v>6984</v>
      </c>
      <c r="FYM34" t="s">
        <v>6984</v>
      </c>
      <c r="FYN34" t="s">
        <v>6984</v>
      </c>
      <c r="FYO34" t="s">
        <v>6984</v>
      </c>
      <c r="FYP34" t="s">
        <v>6984</v>
      </c>
      <c r="FYQ34" t="s">
        <v>6984</v>
      </c>
      <c r="FYR34" t="s">
        <v>6984</v>
      </c>
      <c r="FYS34" t="s">
        <v>6984</v>
      </c>
      <c r="FYT34" t="s">
        <v>6984</v>
      </c>
      <c r="FYU34" t="s">
        <v>6984</v>
      </c>
      <c r="FYV34" t="s">
        <v>6984</v>
      </c>
      <c r="FYW34" t="s">
        <v>6984</v>
      </c>
      <c r="FYX34" t="s">
        <v>6984</v>
      </c>
      <c r="FYY34" t="s">
        <v>6984</v>
      </c>
      <c r="FYZ34" t="s">
        <v>6984</v>
      </c>
      <c r="FZA34" t="s">
        <v>6984</v>
      </c>
      <c r="FZB34" t="s">
        <v>6984</v>
      </c>
      <c r="FZC34" t="s">
        <v>6984</v>
      </c>
      <c r="FZD34" t="s">
        <v>6984</v>
      </c>
      <c r="FZE34" t="s">
        <v>6984</v>
      </c>
      <c r="FZF34" t="s">
        <v>6984</v>
      </c>
      <c r="FZG34" t="s">
        <v>6984</v>
      </c>
      <c r="FZH34" t="s">
        <v>6984</v>
      </c>
      <c r="FZI34" t="s">
        <v>6984</v>
      </c>
      <c r="FZJ34" t="s">
        <v>6984</v>
      </c>
      <c r="FZK34" t="s">
        <v>6984</v>
      </c>
      <c r="FZL34" t="s">
        <v>6984</v>
      </c>
      <c r="FZM34" t="s">
        <v>6984</v>
      </c>
      <c r="FZN34" t="s">
        <v>6984</v>
      </c>
      <c r="FZO34" t="s">
        <v>6984</v>
      </c>
      <c r="FZP34" t="s">
        <v>6984</v>
      </c>
      <c r="FZQ34" t="s">
        <v>6984</v>
      </c>
      <c r="FZR34" t="s">
        <v>6984</v>
      </c>
      <c r="FZS34" t="s">
        <v>6984</v>
      </c>
      <c r="FZT34" t="s">
        <v>6984</v>
      </c>
      <c r="FZU34" t="s">
        <v>6984</v>
      </c>
      <c r="FZV34" t="s">
        <v>6984</v>
      </c>
      <c r="FZW34" t="s">
        <v>6984</v>
      </c>
      <c r="FZX34" t="s">
        <v>6984</v>
      </c>
      <c r="FZY34" t="s">
        <v>6984</v>
      </c>
      <c r="FZZ34" t="s">
        <v>6984</v>
      </c>
      <c r="GAA34" t="s">
        <v>6984</v>
      </c>
      <c r="GAB34" t="s">
        <v>6984</v>
      </c>
      <c r="GAC34" t="s">
        <v>6984</v>
      </c>
      <c r="GAD34" t="s">
        <v>6984</v>
      </c>
      <c r="GAE34" t="s">
        <v>6984</v>
      </c>
      <c r="GAF34" t="s">
        <v>6984</v>
      </c>
      <c r="GAG34" t="s">
        <v>6984</v>
      </c>
      <c r="GAH34" t="s">
        <v>6984</v>
      </c>
      <c r="GAI34" t="s">
        <v>6984</v>
      </c>
      <c r="GAJ34" t="s">
        <v>6984</v>
      </c>
      <c r="GAK34" t="s">
        <v>6984</v>
      </c>
      <c r="GAL34" t="s">
        <v>6984</v>
      </c>
      <c r="GAM34" t="s">
        <v>6984</v>
      </c>
      <c r="GAN34" t="s">
        <v>6984</v>
      </c>
      <c r="GAO34" t="s">
        <v>6984</v>
      </c>
      <c r="GAP34" t="s">
        <v>6984</v>
      </c>
      <c r="GAQ34" t="s">
        <v>6984</v>
      </c>
      <c r="GAR34" t="s">
        <v>6984</v>
      </c>
      <c r="GAS34" t="s">
        <v>6984</v>
      </c>
      <c r="GAT34" t="s">
        <v>6984</v>
      </c>
      <c r="GAU34" t="s">
        <v>6984</v>
      </c>
      <c r="GAV34" t="s">
        <v>6984</v>
      </c>
      <c r="GAW34" t="s">
        <v>6984</v>
      </c>
      <c r="GAX34" t="s">
        <v>6984</v>
      </c>
      <c r="GAY34" t="s">
        <v>6984</v>
      </c>
      <c r="GAZ34" t="s">
        <v>6984</v>
      </c>
      <c r="GBA34" t="s">
        <v>6984</v>
      </c>
      <c r="GBB34" t="s">
        <v>6984</v>
      </c>
      <c r="GBC34" t="s">
        <v>6984</v>
      </c>
      <c r="GBD34" t="s">
        <v>6984</v>
      </c>
      <c r="GBE34" t="s">
        <v>6984</v>
      </c>
      <c r="GBF34" t="s">
        <v>6984</v>
      </c>
      <c r="GBG34" t="s">
        <v>6984</v>
      </c>
      <c r="GBH34" t="s">
        <v>6984</v>
      </c>
      <c r="GBI34" t="s">
        <v>6984</v>
      </c>
      <c r="GBJ34" t="s">
        <v>6984</v>
      </c>
      <c r="GBK34" t="s">
        <v>6984</v>
      </c>
      <c r="GBL34" t="s">
        <v>6984</v>
      </c>
      <c r="GBM34" t="s">
        <v>6984</v>
      </c>
      <c r="GBN34" t="s">
        <v>6984</v>
      </c>
      <c r="GBO34" t="s">
        <v>6984</v>
      </c>
      <c r="GBP34" t="s">
        <v>6984</v>
      </c>
      <c r="GBQ34" t="s">
        <v>6984</v>
      </c>
      <c r="GBR34" t="s">
        <v>6984</v>
      </c>
      <c r="GBS34" t="s">
        <v>6984</v>
      </c>
      <c r="GBT34" t="s">
        <v>6984</v>
      </c>
      <c r="GBU34" t="s">
        <v>6984</v>
      </c>
      <c r="GBV34" t="s">
        <v>6984</v>
      </c>
      <c r="GBW34" t="s">
        <v>6984</v>
      </c>
      <c r="GBX34" t="s">
        <v>6984</v>
      </c>
      <c r="GBY34" t="s">
        <v>6984</v>
      </c>
      <c r="GBZ34" t="s">
        <v>6984</v>
      </c>
      <c r="GCA34" t="s">
        <v>6984</v>
      </c>
      <c r="GCB34" t="s">
        <v>6984</v>
      </c>
      <c r="GCC34" t="s">
        <v>6984</v>
      </c>
      <c r="GCD34" t="s">
        <v>6984</v>
      </c>
      <c r="GCE34" t="s">
        <v>6984</v>
      </c>
      <c r="GCF34" t="s">
        <v>6984</v>
      </c>
      <c r="GCG34" t="s">
        <v>6984</v>
      </c>
      <c r="GCH34" t="s">
        <v>6984</v>
      </c>
      <c r="GCI34" t="s">
        <v>6984</v>
      </c>
      <c r="GCJ34" t="s">
        <v>6984</v>
      </c>
      <c r="GCK34" t="s">
        <v>6984</v>
      </c>
      <c r="GCL34" t="s">
        <v>6984</v>
      </c>
      <c r="GCM34" t="s">
        <v>6984</v>
      </c>
      <c r="GCN34" t="s">
        <v>6984</v>
      </c>
      <c r="GCO34" t="s">
        <v>6984</v>
      </c>
      <c r="GCP34" t="s">
        <v>6984</v>
      </c>
      <c r="GCQ34" t="s">
        <v>6984</v>
      </c>
      <c r="GCR34" t="s">
        <v>6984</v>
      </c>
      <c r="GCS34" t="s">
        <v>6984</v>
      </c>
      <c r="GCT34" t="s">
        <v>6984</v>
      </c>
      <c r="GCU34" t="s">
        <v>6984</v>
      </c>
      <c r="GCV34" t="s">
        <v>6984</v>
      </c>
      <c r="GCW34" t="s">
        <v>6984</v>
      </c>
      <c r="GCX34" t="s">
        <v>6984</v>
      </c>
      <c r="GCY34" t="s">
        <v>6984</v>
      </c>
      <c r="GCZ34" t="s">
        <v>6984</v>
      </c>
      <c r="GDA34" t="s">
        <v>6984</v>
      </c>
      <c r="GDB34" t="s">
        <v>6984</v>
      </c>
      <c r="GDC34" t="s">
        <v>6984</v>
      </c>
      <c r="GDD34" t="s">
        <v>6984</v>
      </c>
      <c r="GDE34" t="s">
        <v>6984</v>
      </c>
      <c r="GDF34" t="s">
        <v>6984</v>
      </c>
      <c r="GDG34" t="s">
        <v>6984</v>
      </c>
      <c r="GDH34" t="s">
        <v>6984</v>
      </c>
      <c r="GDI34" t="s">
        <v>6984</v>
      </c>
      <c r="GDJ34" t="s">
        <v>6984</v>
      </c>
      <c r="GDK34" t="s">
        <v>6984</v>
      </c>
      <c r="GDL34" t="s">
        <v>6984</v>
      </c>
      <c r="GDM34" t="s">
        <v>6984</v>
      </c>
      <c r="GDN34" t="s">
        <v>6984</v>
      </c>
      <c r="GDO34" t="s">
        <v>6984</v>
      </c>
      <c r="GDP34" t="s">
        <v>6984</v>
      </c>
      <c r="GDQ34" t="s">
        <v>6984</v>
      </c>
      <c r="GDR34" t="s">
        <v>6984</v>
      </c>
      <c r="GDS34" t="s">
        <v>6984</v>
      </c>
      <c r="GDT34" t="s">
        <v>6984</v>
      </c>
      <c r="GDU34" t="s">
        <v>6984</v>
      </c>
      <c r="GDV34" t="s">
        <v>6984</v>
      </c>
      <c r="GDW34" t="s">
        <v>6984</v>
      </c>
      <c r="GDX34" t="s">
        <v>6984</v>
      </c>
      <c r="GDY34" t="s">
        <v>6984</v>
      </c>
      <c r="GDZ34" t="s">
        <v>6984</v>
      </c>
      <c r="GEA34" t="s">
        <v>6984</v>
      </c>
      <c r="GEB34" t="s">
        <v>6984</v>
      </c>
      <c r="GEC34" t="s">
        <v>6984</v>
      </c>
      <c r="GED34" t="s">
        <v>6984</v>
      </c>
      <c r="GEE34" t="s">
        <v>6984</v>
      </c>
      <c r="GEF34" t="s">
        <v>6984</v>
      </c>
      <c r="GEG34" t="s">
        <v>6984</v>
      </c>
      <c r="GEH34" t="s">
        <v>6984</v>
      </c>
      <c r="GEI34" t="s">
        <v>6984</v>
      </c>
      <c r="GEJ34" t="s">
        <v>6984</v>
      </c>
      <c r="GEK34" t="s">
        <v>6984</v>
      </c>
      <c r="GEL34" t="s">
        <v>6984</v>
      </c>
      <c r="GEM34" t="s">
        <v>6984</v>
      </c>
      <c r="GEN34" t="s">
        <v>6984</v>
      </c>
      <c r="GEO34" t="s">
        <v>6984</v>
      </c>
      <c r="GEP34" t="s">
        <v>6984</v>
      </c>
      <c r="GEQ34" t="s">
        <v>6984</v>
      </c>
      <c r="GER34" t="s">
        <v>6984</v>
      </c>
      <c r="GES34" t="s">
        <v>6984</v>
      </c>
      <c r="GET34" t="s">
        <v>6984</v>
      </c>
      <c r="GEU34" t="s">
        <v>6984</v>
      </c>
      <c r="GEV34" t="s">
        <v>6984</v>
      </c>
      <c r="GEW34" t="s">
        <v>6984</v>
      </c>
      <c r="GEX34" t="s">
        <v>6984</v>
      </c>
      <c r="GEY34" t="s">
        <v>6984</v>
      </c>
      <c r="GEZ34" t="s">
        <v>6984</v>
      </c>
      <c r="GFA34" t="s">
        <v>6984</v>
      </c>
      <c r="GFB34" t="s">
        <v>6984</v>
      </c>
      <c r="GFC34" t="s">
        <v>6984</v>
      </c>
      <c r="GFD34" t="s">
        <v>6984</v>
      </c>
      <c r="GFE34" t="s">
        <v>6984</v>
      </c>
      <c r="GFF34" t="s">
        <v>6984</v>
      </c>
      <c r="GFG34" t="s">
        <v>6984</v>
      </c>
      <c r="GFH34" t="s">
        <v>6984</v>
      </c>
      <c r="GFI34" t="s">
        <v>6984</v>
      </c>
      <c r="GFJ34" t="s">
        <v>6984</v>
      </c>
      <c r="GFK34" t="s">
        <v>6984</v>
      </c>
      <c r="GFL34" t="s">
        <v>6984</v>
      </c>
      <c r="GFM34" t="s">
        <v>6984</v>
      </c>
      <c r="GFN34" t="s">
        <v>6984</v>
      </c>
      <c r="GFO34" t="s">
        <v>6984</v>
      </c>
      <c r="GFP34" t="s">
        <v>6984</v>
      </c>
      <c r="GFQ34" t="s">
        <v>6984</v>
      </c>
      <c r="GFR34" t="s">
        <v>6984</v>
      </c>
      <c r="GFS34" t="s">
        <v>6984</v>
      </c>
      <c r="GFT34" t="s">
        <v>6984</v>
      </c>
      <c r="GFU34" t="s">
        <v>6984</v>
      </c>
      <c r="GFV34" t="s">
        <v>6984</v>
      </c>
      <c r="GFW34" t="s">
        <v>6984</v>
      </c>
      <c r="GFX34" t="s">
        <v>6984</v>
      </c>
      <c r="GFY34" t="s">
        <v>6984</v>
      </c>
      <c r="GFZ34" t="s">
        <v>6984</v>
      </c>
      <c r="GGA34" t="s">
        <v>6984</v>
      </c>
      <c r="GGB34" t="s">
        <v>6984</v>
      </c>
      <c r="GGC34" t="s">
        <v>6984</v>
      </c>
      <c r="GGD34" t="s">
        <v>6984</v>
      </c>
      <c r="GGE34" t="s">
        <v>6984</v>
      </c>
      <c r="GGF34" t="s">
        <v>6984</v>
      </c>
      <c r="GGG34" t="s">
        <v>6984</v>
      </c>
      <c r="GGH34" t="s">
        <v>6984</v>
      </c>
      <c r="GGI34" t="s">
        <v>6984</v>
      </c>
      <c r="GGJ34" t="s">
        <v>6984</v>
      </c>
      <c r="GGK34" t="s">
        <v>6984</v>
      </c>
      <c r="GGL34" t="s">
        <v>6984</v>
      </c>
      <c r="GGM34" t="s">
        <v>6984</v>
      </c>
      <c r="GGN34" t="s">
        <v>6984</v>
      </c>
      <c r="GGO34" t="s">
        <v>6984</v>
      </c>
      <c r="GGP34" t="s">
        <v>6984</v>
      </c>
      <c r="GGQ34" t="s">
        <v>6984</v>
      </c>
      <c r="GGR34" t="s">
        <v>6984</v>
      </c>
      <c r="GGS34" t="s">
        <v>6984</v>
      </c>
      <c r="GGT34" t="s">
        <v>6984</v>
      </c>
      <c r="GGU34" t="s">
        <v>6984</v>
      </c>
      <c r="GGV34" t="s">
        <v>6984</v>
      </c>
      <c r="GGW34" t="s">
        <v>6984</v>
      </c>
      <c r="GGX34" t="s">
        <v>6984</v>
      </c>
      <c r="GGY34" t="s">
        <v>6984</v>
      </c>
      <c r="GGZ34" t="s">
        <v>6984</v>
      </c>
      <c r="GHA34" t="s">
        <v>6984</v>
      </c>
      <c r="GHB34" t="s">
        <v>6984</v>
      </c>
      <c r="GHC34" t="s">
        <v>6984</v>
      </c>
      <c r="GHD34" t="s">
        <v>6984</v>
      </c>
      <c r="GHE34" t="s">
        <v>6984</v>
      </c>
      <c r="GHF34" t="s">
        <v>6984</v>
      </c>
      <c r="GHG34" t="s">
        <v>6984</v>
      </c>
      <c r="GHH34" t="s">
        <v>6984</v>
      </c>
      <c r="GHI34" t="s">
        <v>6984</v>
      </c>
      <c r="GHJ34" t="s">
        <v>6984</v>
      </c>
      <c r="GHK34" t="s">
        <v>6984</v>
      </c>
      <c r="GHL34" t="s">
        <v>6984</v>
      </c>
      <c r="GHM34" t="s">
        <v>6984</v>
      </c>
      <c r="GHN34" t="s">
        <v>6984</v>
      </c>
      <c r="GHO34" t="s">
        <v>6984</v>
      </c>
      <c r="GHP34" t="s">
        <v>6984</v>
      </c>
      <c r="GHQ34" t="s">
        <v>6984</v>
      </c>
      <c r="GHR34" t="s">
        <v>6984</v>
      </c>
      <c r="GHS34" t="s">
        <v>6984</v>
      </c>
      <c r="GHT34" t="s">
        <v>6984</v>
      </c>
      <c r="GHU34" t="s">
        <v>6984</v>
      </c>
      <c r="GHV34" t="s">
        <v>6984</v>
      </c>
      <c r="GHW34" t="s">
        <v>6984</v>
      </c>
      <c r="GHX34" t="s">
        <v>6984</v>
      </c>
      <c r="GHY34" t="s">
        <v>6984</v>
      </c>
      <c r="GHZ34" t="s">
        <v>6984</v>
      </c>
      <c r="GIA34" t="s">
        <v>6984</v>
      </c>
      <c r="GIB34" t="s">
        <v>6984</v>
      </c>
      <c r="GIC34" t="s">
        <v>6984</v>
      </c>
      <c r="GID34" t="s">
        <v>6984</v>
      </c>
      <c r="GIE34" t="s">
        <v>6984</v>
      </c>
      <c r="GIF34" t="s">
        <v>6984</v>
      </c>
      <c r="GIG34" t="s">
        <v>6984</v>
      </c>
      <c r="GIH34" t="s">
        <v>6984</v>
      </c>
      <c r="GII34" t="s">
        <v>6984</v>
      </c>
      <c r="GIJ34" t="s">
        <v>6984</v>
      </c>
      <c r="GIK34" t="s">
        <v>6984</v>
      </c>
      <c r="GIL34" t="s">
        <v>6984</v>
      </c>
      <c r="GIM34" t="s">
        <v>6984</v>
      </c>
      <c r="GIN34" t="s">
        <v>6984</v>
      </c>
      <c r="GIO34" t="s">
        <v>6984</v>
      </c>
      <c r="GIP34" t="s">
        <v>6984</v>
      </c>
      <c r="GIQ34" t="s">
        <v>6984</v>
      </c>
      <c r="GIR34" t="s">
        <v>6984</v>
      </c>
      <c r="GIS34" t="s">
        <v>6984</v>
      </c>
      <c r="GIT34" t="s">
        <v>6984</v>
      </c>
      <c r="GIU34" t="s">
        <v>6984</v>
      </c>
      <c r="GIV34" t="s">
        <v>6984</v>
      </c>
      <c r="GIW34" t="s">
        <v>6984</v>
      </c>
      <c r="GIX34" t="s">
        <v>6984</v>
      </c>
      <c r="GIY34" t="s">
        <v>6984</v>
      </c>
      <c r="GIZ34" t="s">
        <v>6984</v>
      </c>
      <c r="GJA34" t="s">
        <v>6984</v>
      </c>
      <c r="GJB34" t="s">
        <v>6984</v>
      </c>
      <c r="GJC34" t="s">
        <v>6984</v>
      </c>
      <c r="GJD34" t="s">
        <v>6984</v>
      </c>
      <c r="GJE34" t="s">
        <v>6984</v>
      </c>
      <c r="GJF34" t="s">
        <v>6984</v>
      </c>
      <c r="GJG34" t="s">
        <v>6984</v>
      </c>
      <c r="GJH34" t="s">
        <v>6984</v>
      </c>
      <c r="GJI34" t="s">
        <v>6984</v>
      </c>
      <c r="GJJ34" t="s">
        <v>6984</v>
      </c>
      <c r="GJK34" t="s">
        <v>6984</v>
      </c>
      <c r="GJL34" t="s">
        <v>6984</v>
      </c>
      <c r="GJM34" t="s">
        <v>6984</v>
      </c>
      <c r="GJN34" t="s">
        <v>6984</v>
      </c>
      <c r="GJO34" t="s">
        <v>6984</v>
      </c>
      <c r="GJP34" t="s">
        <v>6984</v>
      </c>
      <c r="GJQ34" t="s">
        <v>6984</v>
      </c>
      <c r="GJR34" t="s">
        <v>6984</v>
      </c>
      <c r="GJS34" t="s">
        <v>6984</v>
      </c>
      <c r="GJT34" t="s">
        <v>6984</v>
      </c>
      <c r="GJU34" t="s">
        <v>6984</v>
      </c>
      <c r="GJV34" t="s">
        <v>6984</v>
      </c>
      <c r="GJW34" t="s">
        <v>6984</v>
      </c>
      <c r="GJX34" t="s">
        <v>6984</v>
      </c>
      <c r="GJY34" t="s">
        <v>6984</v>
      </c>
      <c r="GJZ34" t="s">
        <v>6984</v>
      </c>
      <c r="GKA34" t="s">
        <v>6984</v>
      </c>
      <c r="GKB34" t="s">
        <v>6984</v>
      </c>
      <c r="GKC34" t="s">
        <v>6984</v>
      </c>
      <c r="GKD34" t="s">
        <v>6984</v>
      </c>
      <c r="GKE34" t="s">
        <v>6984</v>
      </c>
      <c r="GKF34" t="s">
        <v>6984</v>
      </c>
      <c r="GKG34" t="s">
        <v>6984</v>
      </c>
      <c r="GKH34" t="s">
        <v>6984</v>
      </c>
      <c r="GKI34" t="s">
        <v>6984</v>
      </c>
      <c r="GKJ34" t="s">
        <v>6984</v>
      </c>
      <c r="GKK34" t="s">
        <v>6984</v>
      </c>
      <c r="GKL34" t="s">
        <v>6984</v>
      </c>
      <c r="GKM34" t="s">
        <v>6984</v>
      </c>
      <c r="GKN34" t="s">
        <v>6984</v>
      </c>
      <c r="GKO34" t="s">
        <v>6984</v>
      </c>
      <c r="GKP34" t="s">
        <v>6984</v>
      </c>
      <c r="GKQ34" t="s">
        <v>6984</v>
      </c>
      <c r="GKR34" t="s">
        <v>6984</v>
      </c>
      <c r="GKS34" t="s">
        <v>6984</v>
      </c>
      <c r="GKT34" t="s">
        <v>6984</v>
      </c>
      <c r="GKU34" t="s">
        <v>6984</v>
      </c>
      <c r="GKV34" t="s">
        <v>6984</v>
      </c>
      <c r="GKW34" t="s">
        <v>6984</v>
      </c>
      <c r="GKX34" t="s">
        <v>6984</v>
      </c>
      <c r="GKY34" t="s">
        <v>6984</v>
      </c>
      <c r="GKZ34" t="s">
        <v>6984</v>
      </c>
      <c r="GLA34" t="s">
        <v>6984</v>
      </c>
      <c r="GLB34" t="s">
        <v>6984</v>
      </c>
      <c r="GLC34" t="s">
        <v>6984</v>
      </c>
      <c r="GLD34" t="s">
        <v>6984</v>
      </c>
      <c r="GLE34" t="s">
        <v>6984</v>
      </c>
      <c r="GLF34" t="s">
        <v>6984</v>
      </c>
      <c r="GLG34" t="s">
        <v>6984</v>
      </c>
      <c r="GLH34" t="s">
        <v>6984</v>
      </c>
      <c r="GLI34" t="s">
        <v>6984</v>
      </c>
      <c r="GLJ34" t="s">
        <v>6984</v>
      </c>
      <c r="GLK34" t="s">
        <v>6984</v>
      </c>
      <c r="GLL34" t="s">
        <v>6984</v>
      </c>
      <c r="GLM34" t="s">
        <v>6984</v>
      </c>
      <c r="GLN34" t="s">
        <v>6984</v>
      </c>
      <c r="GLO34" t="s">
        <v>6984</v>
      </c>
      <c r="GLP34" t="s">
        <v>6984</v>
      </c>
      <c r="GLQ34" t="s">
        <v>6984</v>
      </c>
      <c r="GLR34" t="s">
        <v>6984</v>
      </c>
      <c r="GLS34" t="s">
        <v>6984</v>
      </c>
      <c r="GLT34" t="s">
        <v>6984</v>
      </c>
      <c r="GLU34" t="s">
        <v>6984</v>
      </c>
      <c r="GLV34" t="s">
        <v>6984</v>
      </c>
      <c r="GLW34" t="s">
        <v>6984</v>
      </c>
      <c r="GLX34" t="s">
        <v>6984</v>
      </c>
      <c r="GLY34" t="s">
        <v>6984</v>
      </c>
      <c r="GLZ34" t="s">
        <v>6984</v>
      </c>
      <c r="GMA34" t="s">
        <v>6984</v>
      </c>
      <c r="GMB34" t="s">
        <v>6984</v>
      </c>
      <c r="GMC34" t="s">
        <v>6984</v>
      </c>
      <c r="GMD34" t="s">
        <v>6984</v>
      </c>
      <c r="GME34" t="s">
        <v>6984</v>
      </c>
      <c r="GMF34" t="s">
        <v>6984</v>
      </c>
      <c r="GMG34" t="s">
        <v>6984</v>
      </c>
      <c r="GMH34" t="s">
        <v>6984</v>
      </c>
      <c r="GMI34" t="s">
        <v>6984</v>
      </c>
      <c r="GMJ34" t="s">
        <v>6984</v>
      </c>
      <c r="GMK34" t="s">
        <v>6984</v>
      </c>
      <c r="GML34" t="s">
        <v>6984</v>
      </c>
      <c r="GMM34" t="s">
        <v>6984</v>
      </c>
      <c r="GMN34" t="s">
        <v>6984</v>
      </c>
      <c r="GMO34" t="s">
        <v>6984</v>
      </c>
      <c r="GMP34" t="s">
        <v>6984</v>
      </c>
      <c r="GMQ34" t="s">
        <v>6984</v>
      </c>
      <c r="GMR34" t="s">
        <v>6984</v>
      </c>
      <c r="GMS34" t="s">
        <v>6984</v>
      </c>
      <c r="GMT34" t="s">
        <v>6984</v>
      </c>
      <c r="GMU34" t="s">
        <v>6984</v>
      </c>
      <c r="GMV34" t="s">
        <v>6984</v>
      </c>
      <c r="GMW34" t="s">
        <v>6984</v>
      </c>
      <c r="GMX34" t="s">
        <v>6984</v>
      </c>
      <c r="GMY34" t="s">
        <v>6984</v>
      </c>
      <c r="GMZ34" t="s">
        <v>6984</v>
      </c>
      <c r="GNA34" t="s">
        <v>6984</v>
      </c>
      <c r="GNB34" t="s">
        <v>6984</v>
      </c>
      <c r="GNC34" t="s">
        <v>6984</v>
      </c>
      <c r="GND34" t="s">
        <v>6984</v>
      </c>
      <c r="GNE34" t="s">
        <v>6984</v>
      </c>
      <c r="GNF34" t="s">
        <v>6984</v>
      </c>
      <c r="GNG34" t="s">
        <v>6984</v>
      </c>
      <c r="GNH34" t="s">
        <v>6984</v>
      </c>
      <c r="GNI34" t="s">
        <v>6984</v>
      </c>
      <c r="GNJ34" t="s">
        <v>6984</v>
      </c>
      <c r="GNK34" t="s">
        <v>6984</v>
      </c>
      <c r="GNL34" t="s">
        <v>6984</v>
      </c>
      <c r="GNM34" t="s">
        <v>6984</v>
      </c>
      <c r="GNN34" t="s">
        <v>6984</v>
      </c>
      <c r="GNO34" t="s">
        <v>6984</v>
      </c>
      <c r="GNP34" t="s">
        <v>6984</v>
      </c>
      <c r="GNQ34" t="s">
        <v>6984</v>
      </c>
      <c r="GNR34" t="s">
        <v>6984</v>
      </c>
      <c r="GNS34" t="s">
        <v>6984</v>
      </c>
      <c r="GNT34" t="s">
        <v>6984</v>
      </c>
      <c r="GNU34" t="s">
        <v>6984</v>
      </c>
      <c r="GNV34" t="s">
        <v>6984</v>
      </c>
      <c r="GNW34" t="s">
        <v>6984</v>
      </c>
      <c r="GNX34" t="s">
        <v>6984</v>
      </c>
      <c r="GNY34" t="s">
        <v>6984</v>
      </c>
      <c r="GNZ34" t="s">
        <v>6984</v>
      </c>
      <c r="GOA34" t="s">
        <v>6984</v>
      </c>
      <c r="GOB34" t="s">
        <v>6984</v>
      </c>
      <c r="GOC34" t="s">
        <v>6984</v>
      </c>
      <c r="GOD34" t="s">
        <v>6984</v>
      </c>
      <c r="GOE34" t="s">
        <v>6984</v>
      </c>
      <c r="GOF34" t="s">
        <v>6984</v>
      </c>
      <c r="GOG34" t="s">
        <v>6984</v>
      </c>
      <c r="GOH34" t="s">
        <v>6984</v>
      </c>
      <c r="GOI34" t="s">
        <v>6984</v>
      </c>
      <c r="GOJ34" t="s">
        <v>6984</v>
      </c>
      <c r="GOK34" t="s">
        <v>6984</v>
      </c>
      <c r="GOL34" t="s">
        <v>6984</v>
      </c>
      <c r="GOM34" t="s">
        <v>6984</v>
      </c>
      <c r="GON34" t="s">
        <v>6984</v>
      </c>
      <c r="GOO34" t="s">
        <v>6984</v>
      </c>
      <c r="GOP34" t="s">
        <v>6984</v>
      </c>
      <c r="GOQ34" t="s">
        <v>6984</v>
      </c>
      <c r="GOR34" t="s">
        <v>6984</v>
      </c>
      <c r="GOS34" t="s">
        <v>6984</v>
      </c>
      <c r="GOT34" t="s">
        <v>6984</v>
      </c>
      <c r="GOU34" t="s">
        <v>6984</v>
      </c>
      <c r="GOV34" t="s">
        <v>6984</v>
      </c>
      <c r="GOW34" t="s">
        <v>6984</v>
      </c>
      <c r="GOX34" t="s">
        <v>6984</v>
      </c>
      <c r="GOY34" t="s">
        <v>6984</v>
      </c>
      <c r="GOZ34" t="s">
        <v>6984</v>
      </c>
      <c r="GPA34" t="s">
        <v>6984</v>
      </c>
      <c r="GPB34" t="s">
        <v>6984</v>
      </c>
      <c r="GPC34" t="s">
        <v>6984</v>
      </c>
      <c r="GPD34" t="s">
        <v>6984</v>
      </c>
      <c r="GPE34" t="s">
        <v>6984</v>
      </c>
      <c r="GPF34" t="s">
        <v>6984</v>
      </c>
      <c r="GPG34" t="s">
        <v>6984</v>
      </c>
      <c r="GPH34" t="s">
        <v>6984</v>
      </c>
      <c r="GPI34" t="s">
        <v>6984</v>
      </c>
      <c r="GPJ34" t="s">
        <v>6984</v>
      </c>
      <c r="GPK34" t="s">
        <v>6984</v>
      </c>
      <c r="GPL34" t="s">
        <v>6984</v>
      </c>
      <c r="GPM34" t="s">
        <v>6984</v>
      </c>
      <c r="GPN34" t="s">
        <v>6984</v>
      </c>
      <c r="GPO34" t="s">
        <v>6984</v>
      </c>
      <c r="GPP34" t="s">
        <v>6984</v>
      </c>
      <c r="GPQ34" t="s">
        <v>6984</v>
      </c>
      <c r="GPR34" t="s">
        <v>6984</v>
      </c>
      <c r="GPS34" t="s">
        <v>6984</v>
      </c>
      <c r="GPT34" t="s">
        <v>6984</v>
      </c>
      <c r="GPU34" t="s">
        <v>6984</v>
      </c>
      <c r="GPV34" t="s">
        <v>6984</v>
      </c>
      <c r="GPW34" t="s">
        <v>6984</v>
      </c>
      <c r="GPX34" t="s">
        <v>6984</v>
      </c>
      <c r="GPY34" t="s">
        <v>6984</v>
      </c>
      <c r="GPZ34" t="s">
        <v>6984</v>
      </c>
      <c r="GQA34" t="s">
        <v>6984</v>
      </c>
      <c r="GQB34" t="s">
        <v>6984</v>
      </c>
      <c r="GQC34" t="s">
        <v>6984</v>
      </c>
      <c r="GQD34" t="s">
        <v>6984</v>
      </c>
      <c r="GQE34" t="s">
        <v>6984</v>
      </c>
      <c r="GQF34" t="s">
        <v>6984</v>
      </c>
      <c r="GQG34" t="s">
        <v>6984</v>
      </c>
      <c r="GQH34" t="s">
        <v>6984</v>
      </c>
      <c r="GQI34" t="s">
        <v>6984</v>
      </c>
      <c r="GQJ34" t="s">
        <v>6984</v>
      </c>
      <c r="GQK34" t="s">
        <v>6984</v>
      </c>
      <c r="GQL34" t="s">
        <v>6984</v>
      </c>
      <c r="GQM34" t="s">
        <v>6984</v>
      </c>
      <c r="GQN34" t="s">
        <v>6984</v>
      </c>
      <c r="GQO34" t="s">
        <v>6984</v>
      </c>
      <c r="GQP34" t="s">
        <v>6984</v>
      </c>
      <c r="GQQ34" t="s">
        <v>6984</v>
      </c>
      <c r="GQR34" t="s">
        <v>6984</v>
      </c>
      <c r="GQS34" t="s">
        <v>6984</v>
      </c>
      <c r="GQT34" t="s">
        <v>6984</v>
      </c>
      <c r="GQU34" t="s">
        <v>6984</v>
      </c>
      <c r="GQV34" t="s">
        <v>6984</v>
      </c>
      <c r="GQW34" t="s">
        <v>6984</v>
      </c>
      <c r="GQX34" t="s">
        <v>6984</v>
      </c>
      <c r="GQY34" t="s">
        <v>6984</v>
      </c>
      <c r="GQZ34" t="s">
        <v>6984</v>
      </c>
      <c r="GRA34" t="s">
        <v>6984</v>
      </c>
      <c r="GRB34" t="s">
        <v>6984</v>
      </c>
      <c r="GRC34" t="s">
        <v>6984</v>
      </c>
      <c r="GRD34" t="s">
        <v>6984</v>
      </c>
      <c r="GRE34" t="s">
        <v>6984</v>
      </c>
      <c r="GRF34" t="s">
        <v>6984</v>
      </c>
      <c r="GRG34" t="s">
        <v>6984</v>
      </c>
      <c r="GRH34" t="s">
        <v>6984</v>
      </c>
      <c r="GRI34" t="s">
        <v>6984</v>
      </c>
      <c r="GRJ34" t="s">
        <v>6984</v>
      </c>
      <c r="GRK34" t="s">
        <v>6984</v>
      </c>
      <c r="GRL34" t="s">
        <v>6984</v>
      </c>
      <c r="GRM34" t="s">
        <v>6984</v>
      </c>
      <c r="GRN34" t="s">
        <v>6984</v>
      </c>
      <c r="GRO34" t="s">
        <v>6984</v>
      </c>
      <c r="GRP34" t="s">
        <v>6984</v>
      </c>
      <c r="GRQ34" t="s">
        <v>6984</v>
      </c>
      <c r="GRR34" t="s">
        <v>6984</v>
      </c>
      <c r="GRS34" t="s">
        <v>6984</v>
      </c>
      <c r="GRT34" t="s">
        <v>6984</v>
      </c>
      <c r="GRU34" t="s">
        <v>6984</v>
      </c>
      <c r="GRV34" t="s">
        <v>6984</v>
      </c>
      <c r="GRW34" t="s">
        <v>6984</v>
      </c>
      <c r="GRX34" t="s">
        <v>6984</v>
      </c>
      <c r="GRY34" t="s">
        <v>6984</v>
      </c>
      <c r="GRZ34" t="s">
        <v>6984</v>
      </c>
      <c r="GSA34" t="s">
        <v>6984</v>
      </c>
      <c r="GSB34" t="s">
        <v>6984</v>
      </c>
      <c r="GSC34" t="s">
        <v>6984</v>
      </c>
      <c r="GSD34" t="s">
        <v>6984</v>
      </c>
      <c r="GSE34" t="s">
        <v>6984</v>
      </c>
      <c r="GSF34" t="s">
        <v>6984</v>
      </c>
      <c r="GSG34" t="s">
        <v>6984</v>
      </c>
      <c r="GSH34" t="s">
        <v>6984</v>
      </c>
      <c r="GSI34" t="s">
        <v>6984</v>
      </c>
      <c r="GSJ34" t="s">
        <v>6984</v>
      </c>
      <c r="GSK34" t="s">
        <v>6984</v>
      </c>
      <c r="GSL34" t="s">
        <v>6984</v>
      </c>
      <c r="GSM34" t="s">
        <v>6984</v>
      </c>
      <c r="GSN34" t="s">
        <v>6984</v>
      </c>
      <c r="GSO34" t="s">
        <v>6984</v>
      </c>
      <c r="GSP34" t="s">
        <v>6984</v>
      </c>
      <c r="GSQ34" t="s">
        <v>6984</v>
      </c>
      <c r="GSR34" t="s">
        <v>6984</v>
      </c>
      <c r="GSS34" t="s">
        <v>6984</v>
      </c>
      <c r="GST34" t="s">
        <v>6984</v>
      </c>
      <c r="GSU34" t="s">
        <v>6984</v>
      </c>
      <c r="GSV34" t="s">
        <v>6984</v>
      </c>
      <c r="GSW34" t="s">
        <v>6984</v>
      </c>
      <c r="GSX34" t="s">
        <v>6984</v>
      </c>
      <c r="GSY34" t="s">
        <v>6984</v>
      </c>
      <c r="GSZ34" t="s">
        <v>6984</v>
      </c>
      <c r="GTA34" t="s">
        <v>6984</v>
      </c>
      <c r="GTB34" t="s">
        <v>6984</v>
      </c>
      <c r="GTC34" t="s">
        <v>6984</v>
      </c>
      <c r="GTD34" t="s">
        <v>6984</v>
      </c>
      <c r="GTE34" t="s">
        <v>6984</v>
      </c>
      <c r="GTF34" t="s">
        <v>6984</v>
      </c>
      <c r="GTG34" t="s">
        <v>6984</v>
      </c>
      <c r="GTH34" t="s">
        <v>6984</v>
      </c>
      <c r="GTI34" t="s">
        <v>6984</v>
      </c>
      <c r="GTJ34" t="s">
        <v>6984</v>
      </c>
      <c r="GTK34" t="s">
        <v>6984</v>
      </c>
      <c r="GTL34" t="s">
        <v>6984</v>
      </c>
      <c r="GTM34" t="s">
        <v>6984</v>
      </c>
      <c r="GTN34" t="s">
        <v>6984</v>
      </c>
      <c r="GTO34" t="s">
        <v>6984</v>
      </c>
      <c r="GTP34" t="s">
        <v>6984</v>
      </c>
      <c r="GTQ34" t="s">
        <v>6984</v>
      </c>
      <c r="GTR34" t="s">
        <v>6984</v>
      </c>
      <c r="GTS34" t="s">
        <v>6984</v>
      </c>
      <c r="GTT34" t="s">
        <v>6984</v>
      </c>
      <c r="GTU34" t="s">
        <v>6984</v>
      </c>
      <c r="GTV34" t="s">
        <v>6984</v>
      </c>
      <c r="GTW34" t="s">
        <v>6984</v>
      </c>
      <c r="GTX34" t="s">
        <v>6984</v>
      </c>
      <c r="GTY34" t="s">
        <v>6984</v>
      </c>
      <c r="GTZ34" t="s">
        <v>6984</v>
      </c>
      <c r="GUA34" t="s">
        <v>6984</v>
      </c>
      <c r="GUB34" t="s">
        <v>6984</v>
      </c>
      <c r="GUC34" t="s">
        <v>6984</v>
      </c>
      <c r="GUD34" t="s">
        <v>6984</v>
      </c>
      <c r="GUE34" t="s">
        <v>6984</v>
      </c>
      <c r="GUF34" t="s">
        <v>6984</v>
      </c>
      <c r="GUG34" t="s">
        <v>6984</v>
      </c>
      <c r="GUH34" t="s">
        <v>6984</v>
      </c>
      <c r="GUI34" t="s">
        <v>6984</v>
      </c>
      <c r="GUJ34" t="s">
        <v>6984</v>
      </c>
      <c r="GUK34" t="s">
        <v>6984</v>
      </c>
      <c r="GUL34" t="s">
        <v>6984</v>
      </c>
      <c r="GUM34" t="s">
        <v>6984</v>
      </c>
      <c r="GUN34" t="s">
        <v>6984</v>
      </c>
      <c r="GUO34" t="s">
        <v>6984</v>
      </c>
      <c r="GUP34" t="s">
        <v>6984</v>
      </c>
      <c r="GUQ34" t="s">
        <v>6984</v>
      </c>
      <c r="GUR34" t="s">
        <v>6984</v>
      </c>
      <c r="GUS34" t="s">
        <v>6984</v>
      </c>
      <c r="GUT34" t="s">
        <v>6984</v>
      </c>
      <c r="GUU34" t="s">
        <v>6984</v>
      </c>
      <c r="GUV34" t="s">
        <v>6984</v>
      </c>
      <c r="GUW34" t="s">
        <v>6984</v>
      </c>
      <c r="GUX34" t="s">
        <v>6984</v>
      </c>
      <c r="GUY34" t="s">
        <v>6984</v>
      </c>
      <c r="GUZ34" t="s">
        <v>6984</v>
      </c>
      <c r="GVA34" t="s">
        <v>6984</v>
      </c>
      <c r="GVB34" t="s">
        <v>6984</v>
      </c>
      <c r="GVC34" t="s">
        <v>6984</v>
      </c>
      <c r="GVD34" t="s">
        <v>6984</v>
      </c>
      <c r="GVE34" t="s">
        <v>6984</v>
      </c>
      <c r="GVF34" t="s">
        <v>6984</v>
      </c>
      <c r="GVG34" t="s">
        <v>6984</v>
      </c>
      <c r="GVH34" t="s">
        <v>6984</v>
      </c>
      <c r="GVI34" t="s">
        <v>6984</v>
      </c>
      <c r="GVJ34" t="s">
        <v>6984</v>
      </c>
      <c r="GVK34" t="s">
        <v>6984</v>
      </c>
      <c r="GVL34" t="s">
        <v>6984</v>
      </c>
      <c r="GVM34" t="s">
        <v>6984</v>
      </c>
      <c r="GVN34" t="s">
        <v>6984</v>
      </c>
      <c r="GVO34" t="s">
        <v>6984</v>
      </c>
      <c r="GVP34" t="s">
        <v>6984</v>
      </c>
      <c r="GVQ34" t="s">
        <v>6984</v>
      </c>
      <c r="GVR34" t="s">
        <v>6984</v>
      </c>
      <c r="GVS34" t="s">
        <v>6984</v>
      </c>
      <c r="GVT34" t="s">
        <v>6984</v>
      </c>
      <c r="GVU34" t="s">
        <v>6984</v>
      </c>
      <c r="GVV34" t="s">
        <v>6984</v>
      </c>
      <c r="GVW34" t="s">
        <v>6984</v>
      </c>
      <c r="GVX34" t="s">
        <v>6984</v>
      </c>
      <c r="GVY34" t="s">
        <v>6984</v>
      </c>
      <c r="GVZ34" t="s">
        <v>6984</v>
      </c>
      <c r="GWA34" t="s">
        <v>6984</v>
      </c>
      <c r="GWB34" t="s">
        <v>6984</v>
      </c>
      <c r="GWC34" t="s">
        <v>6984</v>
      </c>
      <c r="GWD34" t="s">
        <v>6984</v>
      </c>
      <c r="GWE34" t="s">
        <v>6984</v>
      </c>
      <c r="GWF34" t="s">
        <v>6984</v>
      </c>
      <c r="GWG34" t="s">
        <v>6984</v>
      </c>
      <c r="GWH34" t="s">
        <v>6984</v>
      </c>
      <c r="GWI34" t="s">
        <v>6984</v>
      </c>
      <c r="GWJ34" t="s">
        <v>6984</v>
      </c>
      <c r="GWK34" t="s">
        <v>6984</v>
      </c>
      <c r="GWL34" t="s">
        <v>6984</v>
      </c>
      <c r="GWM34" t="s">
        <v>6984</v>
      </c>
      <c r="GWN34" t="s">
        <v>6984</v>
      </c>
      <c r="GWO34" t="s">
        <v>6984</v>
      </c>
      <c r="GWP34" t="s">
        <v>6984</v>
      </c>
      <c r="GWQ34" t="s">
        <v>6984</v>
      </c>
      <c r="GWR34" t="s">
        <v>6984</v>
      </c>
      <c r="GWS34" t="s">
        <v>6984</v>
      </c>
      <c r="GWT34" t="s">
        <v>6984</v>
      </c>
      <c r="GWU34" t="s">
        <v>6984</v>
      </c>
      <c r="GWV34" t="s">
        <v>6984</v>
      </c>
      <c r="GWW34" t="s">
        <v>6984</v>
      </c>
      <c r="GWX34" t="s">
        <v>6984</v>
      </c>
      <c r="GWY34" t="s">
        <v>6984</v>
      </c>
      <c r="GWZ34" t="s">
        <v>6984</v>
      </c>
      <c r="GXA34" t="s">
        <v>6984</v>
      </c>
      <c r="GXB34" t="s">
        <v>6984</v>
      </c>
      <c r="GXC34" t="s">
        <v>6984</v>
      </c>
      <c r="GXD34" t="s">
        <v>6984</v>
      </c>
      <c r="GXE34" t="s">
        <v>6984</v>
      </c>
      <c r="GXF34" t="s">
        <v>6984</v>
      </c>
      <c r="GXG34" t="s">
        <v>6984</v>
      </c>
      <c r="GXH34" t="s">
        <v>6984</v>
      </c>
      <c r="GXI34" t="s">
        <v>6984</v>
      </c>
      <c r="GXJ34" t="s">
        <v>6984</v>
      </c>
      <c r="GXK34" t="s">
        <v>6984</v>
      </c>
      <c r="GXL34" t="s">
        <v>6984</v>
      </c>
      <c r="GXM34" t="s">
        <v>6984</v>
      </c>
      <c r="GXN34" t="s">
        <v>6984</v>
      </c>
      <c r="GXO34" t="s">
        <v>6984</v>
      </c>
      <c r="GXP34" t="s">
        <v>6984</v>
      </c>
      <c r="GXQ34" t="s">
        <v>6984</v>
      </c>
      <c r="GXR34" t="s">
        <v>6984</v>
      </c>
      <c r="GXS34" t="s">
        <v>6984</v>
      </c>
      <c r="GXT34" t="s">
        <v>6984</v>
      </c>
      <c r="GXU34" t="s">
        <v>6984</v>
      </c>
      <c r="GXV34" t="s">
        <v>6984</v>
      </c>
      <c r="GXW34" t="s">
        <v>6984</v>
      </c>
      <c r="GXX34" t="s">
        <v>6984</v>
      </c>
      <c r="GXY34" t="s">
        <v>6984</v>
      </c>
      <c r="GXZ34" t="s">
        <v>6984</v>
      </c>
      <c r="GYA34" t="s">
        <v>6984</v>
      </c>
      <c r="GYB34" t="s">
        <v>6984</v>
      </c>
      <c r="GYC34" t="s">
        <v>6984</v>
      </c>
      <c r="GYD34" t="s">
        <v>6984</v>
      </c>
      <c r="GYE34" t="s">
        <v>6984</v>
      </c>
      <c r="GYF34" t="s">
        <v>6984</v>
      </c>
      <c r="GYG34" t="s">
        <v>6984</v>
      </c>
      <c r="GYH34" t="s">
        <v>6984</v>
      </c>
      <c r="GYI34" t="s">
        <v>6984</v>
      </c>
      <c r="GYJ34" t="s">
        <v>6984</v>
      </c>
      <c r="GYK34" t="s">
        <v>6984</v>
      </c>
      <c r="GYL34" t="s">
        <v>6984</v>
      </c>
      <c r="GYM34" t="s">
        <v>6984</v>
      </c>
      <c r="GYN34" t="s">
        <v>6984</v>
      </c>
      <c r="GYO34" t="s">
        <v>6984</v>
      </c>
      <c r="GYP34" t="s">
        <v>6984</v>
      </c>
      <c r="GYQ34" t="s">
        <v>6984</v>
      </c>
      <c r="GYR34" t="s">
        <v>6984</v>
      </c>
      <c r="GYS34" t="s">
        <v>6984</v>
      </c>
      <c r="GYT34" t="s">
        <v>6984</v>
      </c>
      <c r="GYU34" t="s">
        <v>6984</v>
      </c>
      <c r="GYV34" t="s">
        <v>6984</v>
      </c>
      <c r="GYW34" t="s">
        <v>6984</v>
      </c>
      <c r="GYX34" t="s">
        <v>6984</v>
      </c>
      <c r="GYY34" t="s">
        <v>6984</v>
      </c>
      <c r="GYZ34" t="s">
        <v>6984</v>
      </c>
      <c r="GZA34" t="s">
        <v>6984</v>
      </c>
      <c r="GZB34" t="s">
        <v>6984</v>
      </c>
      <c r="GZC34" t="s">
        <v>6984</v>
      </c>
      <c r="GZD34" t="s">
        <v>6984</v>
      </c>
      <c r="GZE34" t="s">
        <v>6984</v>
      </c>
      <c r="GZF34" t="s">
        <v>6984</v>
      </c>
      <c r="GZG34" t="s">
        <v>6984</v>
      </c>
      <c r="GZH34" t="s">
        <v>6984</v>
      </c>
      <c r="GZI34" t="s">
        <v>6984</v>
      </c>
      <c r="GZJ34" t="s">
        <v>6984</v>
      </c>
      <c r="GZK34" t="s">
        <v>6984</v>
      </c>
      <c r="GZL34" t="s">
        <v>6984</v>
      </c>
      <c r="GZM34" t="s">
        <v>6984</v>
      </c>
      <c r="GZN34" t="s">
        <v>6984</v>
      </c>
      <c r="GZO34" t="s">
        <v>6984</v>
      </c>
      <c r="GZP34" t="s">
        <v>6984</v>
      </c>
      <c r="GZQ34" t="s">
        <v>6984</v>
      </c>
      <c r="GZR34" t="s">
        <v>6984</v>
      </c>
      <c r="GZS34" t="s">
        <v>6984</v>
      </c>
      <c r="GZT34" t="s">
        <v>6984</v>
      </c>
      <c r="GZU34" t="s">
        <v>6984</v>
      </c>
      <c r="GZV34" t="s">
        <v>6984</v>
      </c>
      <c r="GZW34" t="s">
        <v>6984</v>
      </c>
      <c r="GZX34" t="s">
        <v>6984</v>
      </c>
      <c r="GZY34" t="s">
        <v>6984</v>
      </c>
      <c r="GZZ34" t="s">
        <v>6984</v>
      </c>
      <c r="HAA34" t="s">
        <v>6984</v>
      </c>
      <c r="HAB34" t="s">
        <v>6984</v>
      </c>
      <c r="HAC34" t="s">
        <v>6984</v>
      </c>
      <c r="HAD34" t="s">
        <v>6984</v>
      </c>
      <c r="HAE34" t="s">
        <v>6984</v>
      </c>
      <c r="HAF34" t="s">
        <v>6984</v>
      </c>
      <c r="HAG34" t="s">
        <v>6984</v>
      </c>
      <c r="HAH34" t="s">
        <v>6984</v>
      </c>
      <c r="HAI34" t="s">
        <v>6984</v>
      </c>
      <c r="HAJ34" t="s">
        <v>6984</v>
      </c>
      <c r="HAK34" t="s">
        <v>6984</v>
      </c>
      <c r="HAL34" t="s">
        <v>6984</v>
      </c>
      <c r="HAM34" t="s">
        <v>6984</v>
      </c>
      <c r="HAN34" t="s">
        <v>6984</v>
      </c>
      <c r="HAO34" t="s">
        <v>6984</v>
      </c>
      <c r="HAP34" t="s">
        <v>6984</v>
      </c>
      <c r="HAQ34" t="s">
        <v>6984</v>
      </c>
      <c r="HAR34" t="s">
        <v>6984</v>
      </c>
      <c r="HAS34" t="s">
        <v>6984</v>
      </c>
      <c r="HAT34" t="s">
        <v>6984</v>
      </c>
      <c r="HAU34" t="s">
        <v>6984</v>
      </c>
      <c r="HAV34" t="s">
        <v>6984</v>
      </c>
      <c r="HAW34" t="s">
        <v>6984</v>
      </c>
      <c r="HAX34" t="s">
        <v>6984</v>
      </c>
      <c r="HAY34" t="s">
        <v>6984</v>
      </c>
      <c r="HAZ34" t="s">
        <v>6984</v>
      </c>
      <c r="HBA34" t="s">
        <v>6984</v>
      </c>
      <c r="HBB34" t="s">
        <v>6984</v>
      </c>
      <c r="HBC34" t="s">
        <v>6984</v>
      </c>
      <c r="HBD34" t="s">
        <v>6984</v>
      </c>
      <c r="HBE34" t="s">
        <v>6984</v>
      </c>
      <c r="HBF34" t="s">
        <v>6984</v>
      </c>
      <c r="HBG34" t="s">
        <v>6984</v>
      </c>
      <c r="HBH34" t="s">
        <v>6984</v>
      </c>
      <c r="HBI34" t="s">
        <v>6984</v>
      </c>
      <c r="HBJ34" t="s">
        <v>6984</v>
      </c>
      <c r="HBK34" t="s">
        <v>6984</v>
      </c>
      <c r="HBL34" t="s">
        <v>6984</v>
      </c>
      <c r="HBM34" t="s">
        <v>6984</v>
      </c>
      <c r="HBN34" t="s">
        <v>6984</v>
      </c>
      <c r="HBO34" t="s">
        <v>6984</v>
      </c>
      <c r="HBP34" t="s">
        <v>6984</v>
      </c>
      <c r="HBQ34" t="s">
        <v>6984</v>
      </c>
      <c r="HBR34" t="s">
        <v>6984</v>
      </c>
      <c r="HBS34" t="s">
        <v>6984</v>
      </c>
      <c r="HBT34" t="s">
        <v>6984</v>
      </c>
      <c r="HBU34" t="s">
        <v>6984</v>
      </c>
      <c r="HBV34" t="s">
        <v>6984</v>
      </c>
      <c r="HBW34" t="s">
        <v>6984</v>
      </c>
      <c r="HBX34" t="s">
        <v>6984</v>
      </c>
      <c r="HBY34" t="s">
        <v>6984</v>
      </c>
      <c r="HBZ34" t="s">
        <v>6984</v>
      </c>
      <c r="HCA34" t="s">
        <v>6984</v>
      </c>
      <c r="HCB34" t="s">
        <v>6984</v>
      </c>
      <c r="HCC34" t="s">
        <v>6984</v>
      </c>
      <c r="HCD34" t="s">
        <v>6984</v>
      </c>
      <c r="HCE34" t="s">
        <v>6984</v>
      </c>
      <c r="HCF34" t="s">
        <v>6984</v>
      </c>
      <c r="HCG34" t="s">
        <v>6984</v>
      </c>
      <c r="HCH34" t="s">
        <v>6984</v>
      </c>
      <c r="HCI34" t="s">
        <v>6984</v>
      </c>
      <c r="HCJ34" t="s">
        <v>6984</v>
      </c>
      <c r="HCK34" t="s">
        <v>6984</v>
      </c>
      <c r="HCL34" t="s">
        <v>6984</v>
      </c>
      <c r="HCM34" t="s">
        <v>6984</v>
      </c>
      <c r="HCN34" t="s">
        <v>6984</v>
      </c>
      <c r="HCO34" t="s">
        <v>6984</v>
      </c>
      <c r="HCP34" t="s">
        <v>6984</v>
      </c>
      <c r="HCQ34" t="s">
        <v>6984</v>
      </c>
      <c r="HCR34" t="s">
        <v>6984</v>
      </c>
      <c r="HCS34" t="s">
        <v>6984</v>
      </c>
      <c r="HCT34" t="s">
        <v>6984</v>
      </c>
      <c r="HCU34" t="s">
        <v>6984</v>
      </c>
      <c r="HCV34" t="s">
        <v>6984</v>
      </c>
      <c r="HCW34" t="s">
        <v>6984</v>
      </c>
      <c r="HCX34" t="s">
        <v>6984</v>
      </c>
      <c r="HCY34" t="s">
        <v>6984</v>
      </c>
      <c r="HCZ34" t="s">
        <v>6984</v>
      </c>
      <c r="HDA34" t="s">
        <v>6984</v>
      </c>
      <c r="HDB34" t="s">
        <v>6984</v>
      </c>
      <c r="HDC34" t="s">
        <v>6984</v>
      </c>
      <c r="HDD34" t="s">
        <v>6984</v>
      </c>
      <c r="HDE34" t="s">
        <v>6984</v>
      </c>
      <c r="HDF34" t="s">
        <v>6984</v>
      </c>
      <c r="HDG34" t="s">
        <v>6984</v>
      </c>
      <c r="HDH34" t="s">
        <v>6984</v>
      </c>
      <c r="HDI34" t="s">
        <v>6984</v>
      </c>
      <c r="HDJ34" t="s">
        <v>6984</v>
      </c>
      <c r="HDK34" t="s">
        <v>6984</v>
      </c>
      <c r="HDL34" t="s">
        <v>6984</v>
      </c>
      <c r="HDM34" t="s">
        <v>6984</v>
      </c>
      <c r="HDN34" t="s">
        <v>6984</v>
      </c>
      <c r="HDO34" t="s">
        <v>6984</v>
      </c>
      <c r="HDP34" t="s">
        <v>6984</v>
      </c>
      <c r="HDQ34" t="s">
        <v>6984</v>
      </c>
      <c r="HDR34" t="s">
        <v>6984</v>
      </c>
      <c r="HDS34" t="s">
        <v>6984</v>
      </c>
      <c r="HDT34" t="s">
        <v>6984</v>
      </c>
      <c r="HDU34" t="s">
        <v>6984</v>
      </c>
      <c r="HDV34" t="s">
        <v>6984</v>
      </c>
      <c r="HDW34" t="s">
        <v>6984</v>
      </c>
      <c r="HDX34" t="s">
        <v>6984</v>
      </c>
      <c r="HDY34" t="s">
        <v>6984</v>
      </c>
      <c r="HDZ34" t="s">
        <v>6984</v>
      </c>
      <c r="HEA34" t="s">
        <v>6984</v>
      </c>
      <c r="HEB34" t="s">
        <v>6984</v>
      </c>
      <c r="HEC34" t="s">
        <v>6984</v>
      </c>
      <c r="HED34" t="s">
        <v>6984</v>
      </c>
      <c r="HEE34" t="s">
        <v>6984</v>
      </c>
      <c r="HEF34" t="s">
        <v>6984</v>
      </c>
      <c r="HEG34" t="s">
        <v>6984</v>
      </c>
      <c r="HEH34" t="s">
        <v>6984</v>
      </c>
      <c r="HEI34" t="s">
        <v>6984</v>
      </c>
      <c r="HEJ34" t="s">
        <v>6984</v>
      </c>
      <c r="HEK34" t="s">
        <v>6984</v>
      </c>
      <c r="HEL34" t="s">
        <v>6984</v>
      </c>
      <c r="HEM34" t="s">
        <v>6984</v>
      </c>
      <c r="HEN34" t="s">
        <v>6984</v>
      </c>
      <c r="HEO34" t="s">
        <v>6984</v>
      </c>
      <c r="HEP34" t="s">
        <v>6984</v>
      </c>
      <c r="HEQ34" t="s">
        <v>6984</v>
      </c>
      <c r="HER34" t="s">
        <v>6984</v>
      </c>
      <c r="HES34" t="s">
        <v>6984</v>
      </c>
      <c r="HET34" t="s">
        <v>6984</v>
      </c>
      <c r="HEU34" t="s">
        <v>6984</v>
      </c>
      <c r="HEV34" t="s">
        <v>6984</v>
      </c>
      <c r="HEW34" t="s">
        <v>6984</v>
      </c>
      <c r="HEX34" t="s">
        <v>6984</v>
      </c>
      <c r="HEY34" t="s">
        <v>6984</v>
      </c>
      <c r="HEZ34" t="s">
        <v>6984</v>
      </c>
      <c r="HFA34" t="s">
        <v>6984</v>
      </c>
      <c r="HFB34" t="s">
        <v>6984</v>
      </c>
      <c r="HFC34" t="s">
        <v>6984</v>
      </c>
      <c r="HFD34" t="s">
        <v>6984</v>
      </c>
      <c r="HFE34" t="s">
        <v>6984</v>
      </c>
      <c r="HFF34" t="s">
        <v>6984</v>
      </c>
      <c r="HFG34" t="s">
        <v>6984</v>
      </c>
      <c r="HFH34" t="s">
        <v>6984</v>
      </c>
      <c r="HFI34" t="s">
        <v>6984</v>
      </c>
      <c r="HFJ34" t="s">
        <v>6984</v>
      </c>
      <c r="HFK34" t="s">
        <v>6984</v>
      </c>
      <c r="HFL34" t="s">
        <v>6984</v>
      </c>
      <c r="HFM34" t="s">
        <v>6984</v>
      </c>
      <c r="HFN34" t="s">
        <v>6984</v>
      </c>
      <c r="HFO34" t="s">
        <v>6984</v>
      </c>
      <c r="HFP34" t="s">
        <v>6984</v>
      </c>
      <c r="HFQ34" t="s">
        <v>6984</v>
      </c>
      <c r="HFR34" t="s">
        <v>6984</v>
      </c>
      <c r="HFS34" t="s">
        <v>6984</v>
      </c>
      <c r="HFT34" t="s">
        <v>6984</v>
      </c>
      <c r="HFU34" t="s">
        <v>6984</v>
      </c>
      <c r="HFV34" t="s">
        <v>6984</v>
      </c>
      <c r="HFW34" t="s">
        <v>6984</v>
      </c>
      <c r="HFX34" t="s">
        <v>6984</v>
      </c>
      <c r="HFY34" t="s">
        <v>6984</v>
      </c>
      <c r="HFZ34" t="s">
        <v>6984</v>
      </c>
      <c r="HGA34" t="s">
        <v>6984</v>
      </c>
      <c r="HGB34" t="s">
        <v>6984</v>
      </c>
      <c r="HGC34" t="s">
        <v>6984</v>
      </c>
      <c r="HGD34" t="s">
        <v>6984</v>
      </c>
      <c r="HGE34" t="s">
        <v>6984</v>
      </c>
      <c r="HGF34" t="s">
        <v>6984</v>
      </c>
      <c r="HGG34" t="s">
        <v>6984</v>
      </c>
      <c r="HGH34" t="s">
        <v>6984</v>
      </c>
      <c r="HGI34" t="s">
        <v>6984</v>
      </c>
      <c r="HGJ34" t="s">
        <v>6984</v>
      </c>
      <c r="HGK34" t="s">
        <v>6984</v>
      </c>
      <c r="HGL34" t="s">
        <v>6984</v>
      </c>
      <c r="HGM34" t="s">
        <v>6984</v>
      </c>
      <c r="HGN34" t="s">
        <v>6984</v>
      </c>
      <c r="HGO34" t="s">
        <v>6984</v>
      </c>
      <c r="HGP34" t="s">
        <v>6984</v>
      </c>
      <c r="HGQ34" t="s">
        <v>6984</v>
      </c>
      <c r="HGR34" t="s">
        <v>6984</v>
      </c>
      <c r="HGS34" t="s">
        <v>6984</v>
      </c>
      <c r="HGT34" t="s">
        <v>6984</v>
      </c>
      <c r="HGU34" t="s">
        <v>6984</v>
      </c>
      <c r="HGV34" t="s">
        <v>6984</v>
      </c>
      <c r="HGW34" t="s">
        <v>6984</v>
      </c>
      <c r="HGX34" t="s">
        <v>6984</v>
      </c>
      <c r="HGY34" t="s">
        <v>6984</v>
      </c>
      <c r="HGZ34" t="s">
        <v>6984</v>
      </c>
      <c r="HHA34" t="s">
        <v>6984</v>
      </c>
      <c r="HHB34" t="s">
        <v>6984</v>
      </c>
      <c r="HHC34" t="s">
        <v>6984</v>
      </c>
      <c r="HHD34" t="s">
        <v>6984</v>
      </c>
      <c r="HHE34" t="s">
        <v>6984</v>
      </c>
      <c r="HHF34" t="s">
        <v>6984</v>
      </c>
      <c r="HHG34" t="s">
        <v>6984</v>
      </c>
      <c r="HHH34" t="s">
        <v>6984</v>
      </c>
      <c r="HHI34" t="s">
        <v>6984</v>
      </c>
      <c r="HHJ34" t="s">
        <v>6984</v>
      </c>
      <c r="HHK34" t="s">
        <v>6984</v>
      </c>
      <c r="HHL34" t="s">
        <v>6984</v>
      </c>
      <c r="HHM34" t="s">
        <v>6984</v>
      </c>
      <c r="HHN34" t="s">
        <v>6984</v>
      </c>
      <c r="HHO34" t="s">
        <v>6984</v>
      </c>
      <c r="HHP34" t="s">
        <v>6984</v>
      </c>
      <c r="HHQ34" t="s">
        <v>6984</v>
      </c>
      <c r="HHR34" t="s">
        <v>6984</v>
      </c>
      <c r="HHS34" t="s">
        <v>6984</v>
      </c>
      <c r="HHT34" t="s">
        <v>6984</v>
      </c>
      <c r="HHU34" t="s">
        <v>6984</v>
      </c>
      <c r="HHV34" t="s">
        <v>6984</v>
      </c>
      <c r="HHW34" t="s">
        <v>6984</v>
      </c>
      <c r="HHX34" t="s">
        <v>6984</v>
      </c>
      <c r="HHY34" t="s">
        <v>6984</v>
      </c>
      <c r="HHZ34" t="s">
        <v>6984</v>
      </c>
      <c r="HIA34" t="s">
        <v>6984</v>
      </c>
      <c r="HIB34" t="s">
        <v>6984</v>
      </c>
      <c r="HIC34" t="s">
        <v>6984</v>
      </c>
      <c r="HID34" t="s">
        <v>6984</v>
      </c>
      <c r="HIE34" t="s">
        <v>6984</v>
      </c>
      <c r="HIF34" t="s">
        <v>6984</v>
      </c>
      <c r="HIG34" t="s">
        <v>6984</v>
      </c>
      <c r="HIH34" t="s">
        <v>6984</v>
      </c>
      <c r="HII34" t="s">
        <v>6984</v>
      </c>
      <c r="HIJ34" t="s">
        <v>6984</v>
      </c>
      <c r="HIK34" t="s">
        <v>6984</v>
      </c>
      <c r="HIL34" t="s">
        <v>6984</v>
      </c>
      <c r="HIM34" t="s">
        <v>6984</v>
      </c>
      <c r="HIN34" t="s">
        <v>6984</v>
      </c>
      <c r="HIO34" t="s">
        <v>6984</v>
      </c>
      <c r="HIP34" t="s">
        <v>6984</v>
      </c>
      <c r="HIQ34" t="s">
        <v>6984</v>
      </c>
      <c r="HIR34" t="s">
        <v>6984</v>
      </c>
      <c r="HIS34" t="s">
        <v>6984</v>
      </c>
      <c r="HIT34" t="s">
        <v>6984</v>
      </c>
      <c r="HIU34" t="s">
        <v>6984</v>
      </c>
      <c r="HIV34" t="s">
        <v>6984</v>
      </c>
      <c r="HIW34" t="s">
        <v>6984</v>
      </c>
      <c r="HIX34" t="s">
        <v>6984</v>
      </c>
      <c r="HIY34" t="s">
        <v>6984</v>
      </c>
      <c r="HIZ34" t="s">
        <v>6984</v>
      </c>
      <c r="HJA34" t="s">
        <v>6984</v>
      </c>
      <c r="HJB34" t="s">
        <v>6984</v>
      </c>
      <c r="HJC34" t="s">
        <v>6984</v>
      </c>
      <c r="HJD34" t="s">
        <v>6984</v>
      </c>
      <c r="HJE34" t="s">
        <v>6984</v>
      </c>
      <c r="HJF34" t="s">
        <v>6984</v>
      </c>
      <c r="HJG34" t="s">
        <v>6984</v>
      </c>
      <c r="HJH34" t="s">
        <v>6984</v>
      </c>
      <c r="HJI34" t="s">
        <v>6984</v>
      </c>
      <c r="HJJ34" t="s">
        <v>6984</v>
      </c>
      <c r="HJK34" t="s">
        <v>6984</v>
      </c>
      <c r="HJL34" t="s">
        <v>6984</v>
      </c>
      <c r="HJM34" t="s">
        <v>6984</v>
      </c>
      <c r="HJN34" t="s">
        <v>6984</v>
      </c>
      <c r="HJO34" t="s">
        <v>6984</v>
      </c>
      <c r="HJP34" t="s">
        <v>6984</v>
      </c>
      <c r="HJQ34" t="s">
        <v>6984</v>
      </c>
      <c r="HJR34" t="s">
        <v>6984</v>
      </c>
      <c r="HJS34" t="s">
        <v>6984</v>
      </c>
      <c r="HJT34" t="s">
        <v>6984</v>
      </c>
      <c r="HJU34" t="s">
        <v>6984</v>
      </c>
      <c r="HJV34" t="s">
        <v>6984</v>
      </c>
      <c r="HJW34" t="s">
        <v>6984</v>
      </c>
      <c r="HJX34" t="s">
        <v>6984</v>
      </c>
      <c r="HJY34" t="s">
        <v>6984</v>
      </c>
      <c r="HJZ34" t="s">
        <v>6984</v>
      </c>
      <c r="HKA34" t="s">
        <v>6984</v>
      </c>
      <c r="HKB34" t="s">
        <v>6984</v>
      </c>
      <c r="HKC34" t="s">
        <v>6984</v>
      </c>
      <c r="HKD34" t="s">
        <v>6984</v>
      </c>
      <c r="HKE34" t="s">
        <v>6984</v>
      </c>
      <c r="HKF34" t="s">
        <v>6984</v>
      </c>
      <c r="HKG34" t="s">
        <v>6984</v>
      </c>
      <c r="HKH34" t="s">
        <v>6984</v>
      </c>
      <c r="HKI34" t="s">
        <v>6984</v>
      </c>
      <c r="HKJ34" t="s">
        <v>6984</v>
      </c>
      <c r="HKK34" t="s">
        <v>6984</v>
      </c>
      <c r="HKL34" t="s">
        <v>6984</v>
      </c>
      <c r="HKM34" t="s">
        <v>6984</v>
      </c>
      <c r="HKN34" t="s">
        <v>6984</v>
      </c>
      <c r="HKO34" t="s">
        <v>6984</v>
      </c>
      <c r="HKP34" t="s">
        <v>6984</v>
      </c>
      <c r="HKQ34" t="s">
        <v>6984</v>
      </c>
      <c r="HKR34" t="s">
        <v>6984</v>
      </c>
      <c r="HKS34" t="s">
        <v>6984</v>
      </c>
      <c r="HKT34" t="s">
        <v>6984</v>
      </c>
      <c r="HKU34" t="s">
        <v>6984</v>
      </c>
      <c r="HKV34" t="s">
        <v>6984</v>
      </c>
      <c r="HKW34" t="s">
        <v>6984</v>
      </c>
      <c r="HKX34" t="s">
        <v>6984</v>
      </c>
      <c r="HKY34" t="s">
        <v>6984</v>
      </c>
      <c r="HKZ34" t="s">
        <v>6984</v>
      </c>
      <c r="HLA34" t="s">
        <v>6984</v>
      </c>
      <c r="HLB34" t="s">
        <v>6984</v>
      </c>
      <c r="HLC34" t="s">
        <v>6984</v>
      </c>
      <c r="HLD34" t="s">
        <v>6984</v>
      </c>
      <c r="HLE34" t="s">
        <v>6984</v>
      </c>
      <c r="HLF34" t="s">
        <v>6984</v>
      </c>
      <c r="HLG34" t="s">
        <v>6984</v>
      </c>
      <c r="HLH34" t="s">
        <v>6984</v>
      </c>
      <c r="HLI34" t="s">
        <v>6984</v>
      </c>
      <c r="HLJ34" t="s">
        <v>6984</v>
      </c>
      <c r="HLK34" t="s">
        <v>6984</v>
      </c>
      <c r="HLL34" t="s">
        <v>6984</v>
      </c>
      <c r="HLM34" t="s">
        <v>6984</v>
      </c>
      <c r="HLN34" t="s">
        <v>6984</v>
      </c>
      <c r="HLO34" t="s">
        <v>6984</v>
      </c>
      <c r="HLP34" t="s">
        <v>6984</v>
      </c>
      <c r="HLQ34" t="s">
        <v>6984</v>
      </c>
      <c r="HLR34" t="s">
        <v>6984</v>
      </c>
      <c r="HLS34" t="s">
        <v>6984</v>
      </c>
      <c r="HLT34" t="s">
        <v>6984</v>
      </c>
      <c r="HLU34" t="s">
        <v>6984</v>
      </c>
      <c r="HLV34" t="s">
        <v>6984</v>
      </c>
      <c r="HLW34" t="s">
        <v>6984</v>
      </c>
      <c r="HLX34" t="s">
        <v>6984</v>
      </c>
      <c r="HLY34" t="s">
        <v>6984</v>
      </c>
      <c r="HLZ34" t="s">
        <v>6984</v>
      </c>
      <c r="HMA34" t="s">
        <v>6984</v>
      </c>
      <c r="HMB34" t="s">
        <v>6984</v>
      </c>
      <c r="HMC34" t="s">
        <v>6984</v>
      </c>
      <c r="HMD34" t="s">
        <v>6984</v>
      </c>
      <c r="HME34" t="s">
        <v>6984</v>
      </c>
      <c r="HMF34" t="s">
        <v>6984</v>
      </c>
      <c r="HMG34" t="s">
        <v>6984</v>
      </c>
      <c r="HMH34" t="s">
        <v>6984</v>
      </c>
      <c r="HMI34" t="s">
        <v>6984</v>
      </c>
      <c r="HMJ34" t="s">
        <v>6984</v>
      </c>
      <c r="HMK34" t="s">
        <v>6984</v>
      </c>
      <c r="HML34" t="s">
        <v>6984</v>
      </c>
      <c r="HMM34" t="s">
        <v>6984</v>
      </c>
      <c r="HMN34" t="s">
        <v>6984</v>
      </c>
      <c r="HMO34" t="s">
        <v>6984</v>
      </c>
      <c r="HMP34" t="s">
        <v>6984</v>
      </c>
      <c r="HMQ34" t="s">
        <v>6984</v>
      </c>
      <c r="HMR34" t="s">
        <v>6984</v>
      </c>
      <c r="HMS34" t="s">
        <v>6984</v>
      </c>
      <c r="HMT34" t="s">
        <v>6984</v>
      </c>
      <c r="HMU34" t="s">
        <v>6984</v>
      </c>
      <c r="HMV34" t="s">
        <v>6984</v>
      </c>
      <c r="HMW34" t="s">
        <v>6984</v>
      </c>
      <c r="HMX34" t="s">
        <v>6984</v>
      </c>
      <c r="HMY34" t="s">
        <v>6984</v>
      </c>
      <c r="HMZ34" t="s">
        <v>6984</v>
      </c>
      <c r="HNA34" t="s">
        <v>6984</v>
      </c>
      <c r="HNB34" t="s">
        <v>6984</v>
      </c>
      <c r="HNC34" t="s">
        <v>6984</v>
      </c>
      <c r="HND34" t="s">
        <v>6984</v>
      </c>
      <c r="HNE34" t="s">
        <v>6984</v>
      </c>
      <c r="HNF34" t="s">
        <v>6984</v>
      </c>
      <c r="HNG34" t="s">
        <v>6984</v>
      </c>
      <c r="HNH34" t="s">
        <v>6984</v>
      </c>
      <c r="HNI34" t="s">
        <v>6984</v>
      </c>
      <c r="HNJ34" t="s">
        <v>6984</v>
      </c>
      <c r="HNK34" t="s">
        <v>6984</v>
      </c>
      <c r="HNL34" t="s">
        <v>6984</v>
      </c>
      <c r="HNM34" t="s">
        <v>6984</v>
      </c>
      <c r="HNN34" t="s">
        <v>6984</v>
      </c>
      <c r="HNO34" t="s">
        <v>6984</v>
      </c>
      <c r="HNP34" t="s">
        <v>6984</v>
      </c>
      <c r="HNQ34" t="s">
        <v>6984</v>
      </c>
      <c r="HNR34" t="s">
        <v>6984</v>
      </c>
      <c r="HNS34" t="s">
        <v>6984</v>
      </c>
      <c r="HNT34" t="s">
        <v>6984</v>
      </c>
      <c r="HNU34" t="s">
        <v>6984</v>
      </c>
      <c r="HNV34" t="s">
        <v>6984</v>
      </c>
      <c r="HNW34" t="s">
        <v>6984</v>
      </c>
      <c r="HNX34" t="s">
        <v>6984</v>
      </c>
      <c r="HNY34" t="s">
        <v>6984</v>
      </c>
      <c r="HNZ34" t="s">
        <v>6984</v>
      </c>
      <c r="HOA34" t="s">
        <v>6984</v>
      </c>
      <c r="HOB34" t="s">
        <v>6984</v>
      </c>
      <c r="HOC34" t="s">
        <v>6984</v>
      </c>
      <c r="HOD34" t="s">
        <v>6984</v>
      </c>
      <c r="HOE34" t="s">
        <v>6984</v>
      </c>
      <c r="HOF34" t="s">
        <v>6984</v>
      </c>
      <c r="HOG34" t="s">
        <v>6984</v>
      </c>
      <c r="HOH34" t="s">
        <v>6984</v>
      </c>
      <c r="HOI34" t="s">
        <v>6984</v>
      </c>
      <c r="HOJ34" t="s">
        <v>6984</v>
      </c>
      <c r="HOK34" t="s">
        <v>6984</v>
      </c>
      <c r="HOL34" t="s">
        <v>6984</v>
      </c>
      <c r="HOM34" t="s">
        <v>6984</v>
      </c>
      <c r="HON34" t="s">
        <v>6984</v>
      </c>
      <c r="HOO34" t="s">
        <v>6984</v>
      </c>
      <c r="HOP34" t="s">
        <v>6984</v>
      </c>
      <c r="HOQ34" t="s">
        <v>6984</v>
      </c>
      <c r="HOR34" t="s">
        <v>6984</v>
      </c>
      <c r="HOS34" t="s">
        <v>6984</v>
      </c>
      <c r="HOT34" t="s">
        <v>6984</v>
      </c>
      <c r="HOU34" t="s">
        <v>6984</v>
      </c>
      <c r="HOV34" t="s">
        <v>6984</v>
      </c>
      <c r="HOW34" t="s">
        <v>6984</v>
      </c>
      <c r="HOX34" t="s">
        <v>6984</v>
      </c>
      <c r="HOY34" t="s">
        <v>6984</v>
      </c>
      <c r="HOZ34" t="s">
        <v>6984</v>
      </c>
      <c r="HPA34" t="s">
        <v>6984</v>
      </c>
      <c r="HPB34" t="s">
        <v>6984</v>
      </c>
      <c r="HPC34" t="s">
        <v>6984</v>
      </c>
      <c r="HPD34" t="s">
        <v>6984</v>
      </c>
      <c r="HPE34" t="s">
        <v>6984</v>
      </c>
      <c r="HPF34" t="s">
        <v>6984</v>
      </c>
      <c r="HPG34" t="s">
        <v>6984</v>
      </c>
      <c r="HPH34" t="s">
        <v>6984</v>
      </c>
      <c r="HPI34" t="s">
        <v>6984</v>
      </c>
      <c r="HPJ34" t="s">
        <v>6984</v>
      </c>
      <c r="HPK34" t="s">
        <v>6984</v>
      </c>
      <c r="HPL34" t="s">
        <v>6984</v>
      </c>
      <c r="HPM34" t="s">
        <v>6984</v>
      </c>
      <c r="HPN34" t="s">
        <v>6984</v>
      </c>
      <c r="HPO34" t="s">
        <v>6984</v>
      </c>
      <c r="HPP34" t="s">
        <v>6984</v>
      </c>
      <c r="HPQ34" t="s">
        <v>6984</v>
      </c>
      <c r="HPR34" t="s">
        <v>6984</v>
      </c>
      <c r="HPS34" t="s">
        <v>6984</v>
      </c>
      <c r="HPT34" t="s">
        <v>6984</v>
      </c>
      <c r="HPU34" t="s">
        <v>6984</v>
      </c>
      <c r="HPV34" t="s">
        <v>6984</v>
      </c>
      <c r="HPW34" t="s">
        <v>6984</v>
      </c>
      <c r="HPX34" t="s">
        <v>6984</v>
      </c>
      <c r="HPY34" t="s">
        <v>6984</v>
      </c>
      <c r="HPZ34" t="s">
        <v>6984</v>
      </c>
      <c r="HQA34" t="s">
        <v>6984</v>
      </c>
      <c r="HQB34" t="s">
        <v>6984</v>
      </c>
      <c r="HQC34" t="s">
        <v>6984</v>
      </c>
      <c r="HQD34" t="s">
        <v>6984</v>
      </c>
      <c r="HQE34" t="s">
        <v>6984</v>
      </c>
      <c r="HQF34" t="s">
        <v>6984</v>
      </c>
      <c r="HQG34" t="s">
        <v>6984</v>
      </c>
      <c r="HQH34" t="s">
        <v>6984</v>
      </c>
      <c r="HQI34" t="s">
        <v>6984</v>
      </c>
      <c r="HQJ34" t="s">
        <v>6984</v>
      </c>
      <c r="HQK34" t="s">
        <v>6984</v>
      </c>
      <c r="HQL34" t="s">
        <v>6984</v>
      </c>
      <c r="HQM34" t="s">
        <v>6984</v>
      </c>
      <c r="HQN34" t="s">
        <v>6984</v>
      </c>
      <c r="HQO34" t="s">
        <v>6984</v>
      </c>
      <c r="HQP34" t="s">
        <v>6984</v>
      </c>
      <c r="HQQ34" t="s">
        <v>6984</v>
      </c>
      <c r="HQR34" t="s">
        <v>6984</v>
      </c>
      <c r="HQS34" t="s">
        <v>6984</v>
      </c>
      <c r="HQT34" t="s">
        <v>6984</v>
      </c>
      <c r="HQU34" t="s">
        <v>6984</v>
      </c>
      <c r="HQV34" t="s">
        <v>6984</v>
      </c>
      <c r="HQW34" t="s">
        <v>6984</v>
      </c>
      <c r="HQX34" t="s">
        <v>6984</v>
      </c>
      <c r="HQY34" t="s">
        <v>6984</v>
      </c>
      <c r="HQZ34" t="s">
        <v>6984</v>
      </c>
      <c r="HRA34" t="s">
        <v>6984</v>
      </c>
      <c r="HRB34" t="s">
        <v>6984</v>
      </c>
      <c r="HRC34" t="s">
        <v>6984</v>
      </c>
      <c r="HRD34" t="s">
        <v>6984</v>
      </c>
      <c r="HRE34" t="s">
        <v>6984</v>
      </c>
      <c r="HRF34" t="s">
        <v>6984</v>
      </c>
      <c r="HRG34" t="s">
        <v>6984</v>
      </c>
      <c r="HRH34" t="s">
        <v>6984</v>
      </c>
      <c r="HRI34" t="s">
        <v>6984</v>
      </c>
      <c r="HRJ34" t="s">
        <v>6984</v>
      </c>
      <c r="HRK34" t="s">
        <v>6984</v>
      </c>
      <c r="HRL34" t="s">
        <v>6984</v>
      </c>
      <c r="HRM34" t="s">
        <v>6984</v>
      </c>
      <c r="HRN34" t="s">
        <v>6984</v>
      </c>
      <c r="HRO34" t="s">
        <v>6984</v>
      </c>
      <c r="HRP34" t="s">
        <v>6984</v>
      </c>
      <c r="HRQ34" t="s">
        <v>6984</v>
      </c>
      <c r="HRR34" t="s">
        <v>6984</v>
      </c>
      <c r="HRS34" t="s">
        <v>6984</v>
      </c>
      <c r="HRT34" t="s">
        <v>6984</v>
      </c>
      <c r="HRU34" t="s">
        <v>6984</v>
      </c>
      <c r="HRV34" t="s">
        <v>6984</v>
      </c>
      <c r="HRW34" t="s">
        <v>6984</v>
      </c>
      <c r="HRX34" t="s">
        <v>6984</v>
      </c>
      <c r="HRY34" t="s">
        <v>6984</v>
      </c>
      <c r="HRZ34" t="s">
        <v>6984</v>
      </c>
      <c r="HSA34" t="s">
        <v>6984</v>
      </c>
      <c r="HSB34" t="s">
        <v>6984</v>
      </c>
      <c r="HSC34" t="s">
        <v>6984</v>
      </c>
      <c r="HSD34" t="s">
        <v>6984</v>
      </c>
      <c r="HSE34" t="s">
        <v>6984</v>
      </c>
      <c r="HSF34" t="s">
        <v>6984</v>
      </c>
      <c r="HSG34" t="s">
        <v>6984</v>
      </c>
      <c r="HSH34" t="s">
        <v>6984</v>
      </c>
      <c r="HSI34" t="s">
        <v>6984</v>
      </c>
      <c r="HSJ34" t="s">
        <v>6984</v>
      </c>
      <c r="HSK34" t="s">
        <v>6984</v>
      </c>
      <c r="HSL34" t="s">
        <v>6984</v>
      </c>
      <c r="HSM34" t="s">
        <v>6984</v>
      </c>
      <c r="HSN34" t="s">
        <v>6984</v>
      </c>
      <c r="HSO34" t="s">
        <v>6984</v>
      </c>
      <c r="HSP34" t="s">
        <v>6984</v>
      </c>
      <c r="HSQ34" t="s">
        <v>6984</v>
      </c>
      <c r="HSR34" t="s">
        <v>6984</v>
      </c>
      <c r="HSS34" t="s">
        <v>6984</v>
      </c>
      <c r="HST34" t="s">
        <v>6984</v>
      </c>
      <c r="HSU34" t="s">
        <v>6984</v>
      </c>
      <c r="HSV34" t="s">
        <v>6984</v>
      </c>
      <c r="HSW34" t="s">
        <v>6984</v>
      </c>
      <c r="HSX34" t="s">
        <v>6984</v>
      </c>
      <c r="HSY34" t="s">
        <v>6984</v>
      </c>
      <c r="HSZ34" t="s">
        <v>6984</v>
      </c>
      <c r="HTA34" t="s">
        <v>6984</v>
      </c>
      <c r="HTB34" t="s">
        <v>6984</v>
      </c>
      <c r="HTC34" t="s">
        <v>6984</v>
      </c>
      <c r="HTD34" t="s">
        <v>6984</v>
      </c>
      <c r="HTE34" t="s">
        <v>6984</v>
      </c>
      <c r="HTF34" t="s">
        <v>6984</v>
      </c>
      <c r="HTG34" t="s">
        <v>6984</v>
      </c>
      <c r="HTH34" t="s">
        <v>6984</v>
      </c>
      <c r="HTI34" t="s">
        <v>6984</v>
      </c>
      <c r="HTJ34" t="s">
        <v>6984</v>
      </c>
      <c r="HTK34" t="s">
        <v>6984</v>
      </c>
      <c r="HTL34" t="s">
        <v>6984</v>
      </c>
      <c r="HTM34" t="s">
        <v>6984</v>
      </c>
      <c r="HTN34" t="s">
        <v>6984</v>
      </c>
      <c r="HTO34" t="s">
        <v>6984</v>
      </c>
      <c r="HTP34" t="s">
        <v>6984</v>
      </c>
      <c r="HTQ34" t="s">
        <v>6984</v>
      </c>
      <c r="HTR34" t="s">
        <v>6984</v>
      </c>
      <c r="HTS34" t="s">
        <v>6984</v>
      </c>
      <c r="HTT34" t="s">
        <v>6984</v>
      </c>
      <c r="HTU34" t="s">
        <v>6984</v>
      </c>
      <c r="HTV34" t="s">
        <v>6984</v>
      </c>
      <c r="HTW34" t="s">
        <v>6984</v>
      </c>
      <c r="HTX34" t="s">
        <v>6984</v>
      </c>
      <c r="HTY34" t="s">
        <v>6984</v>
      </c>
      <c r="HTZ34" t="s">
        <v>6984</v>
      </c>
      <c r="HUA34" t="s">
        <v>6984</v>
      </c>
      <c r="HUB34" t="s">
        <v>6984</v>
      </c>
      <c r="HUC34" t="s">
        <v>6984</v>
      </c>
      <c r="HUD34" t="s">
        <v>6984</v>
      </c>
      <c r="HUE34" t="s">
        <v>6984</v>
      </c>
      <c r="HUF34" t="s">
        <v>6984</v>
      </c>
      <c r="HUG34" t="s">
        <v>6984</v>
      </c>
      <c r="HUH34" t="s">
        <v>6984</v>
      </c>
      <c r="HUI34" t="s">
        <v>6984</v>
      </c>
      <c r="HUJ34" t="s">
        <v>6984</v>
      </c>
      <c r="HUK34" t="s">
        <v>6984</v>
      </c>
      <c r="HUL34" t="s">
        <v>6984</v>
      </c>
      <c r="HUM34" t="s">
        <v>6984</v>
      </c>
      <c r="HUN34" t="s">
        <v>6984</v>
      </c>
      <c r="HUO34" t="s">
        <v>6984</v>
      </c>
      <c r="HUP34" t="s">
        <v>6984</v>
      </c>
      <c r="HUQ34" t="s">
        <v>6984</v>
      </c>
      <c r="HUR34" t="s">
        <v>6984</v>
      </c>
      <c r="HUS34" t="s">
        <v>6984</v>
      </c>
      <c r="HUT34" t="s">
        <v>6984</v>
      </c>
      <c r="HUU34" t="s">
        <v>6984</v>
      </c>
      <c r="HUV34" t="s">
        <v>6984</v>
      </c>
      <c r="HUW34" t="s">
        <v>6984</v>
      </c>
      <c r="HUX34" t="s">
        <v>6984</v>
      </c>
      <c r="HUY34" t="s">
        <v>6984</v>
      </c>
      <c r="HUZ34" t="s">
        <v>6984</v>
      </c>
      <c r="HVA34" t="s">
        <v>6984</v>
      </c>
      <c r="HVB34" t="s">
        <v>6984</v>
      </c>
      <c r="HVC34" t="s">
        <v>6984</v>
      </c>
      <c r="HVD34" t="s">
        <v>6984</v>
      </c>
      <c r="HVE34" t="s">
        <v>6984</v>
      </c>
      <c r="HVF34" t="s">
        <v>6984</v>
      </c>
      <c r="HVG34" t="s">
        <v>6984</v>
      </c>
      <c r="HVH34" t="s">
        <v>6984</v>
      </c>
      <c r="HVI34" t="s">
        <v>6984</v>
      </c>
      <c r="HVJ34" t="s">
        <v>6984</v>
      </c>
      <c r="HVK34" t="s">
        <v>6984</v>
      </c>
      <c r="HVL34" t="s">
        <v>6984</v>
      </c>
      <c r="HVM34" t="s">
        <v>6984</v>
      </c>
      <c r="HVN34" t="s">
        <v>6984</v>
      </c>
      <c r="HVO34" t="s">
        <v>6984</v>
      </c>
      <c r="HVP34" t="s">
        <v>6984</v>
      </c>
      <c r="HVQ34" t="s">
        <v>6984</v>
      </c>
      <c r="HVR34" t="s">
        <v>6984</v>
      </c>
      <c r="HVS34" t="s">
        <v>6984</v>
      </c>
      <c r="HVT34" t="s">
        <v>6984</v>
      </c>
      <c r="HVU34" t="s">
        <v>6984</v>
      </c>
      <c r="HVV34" t="s">
        <v>6984</v>
      </c>
      <c r="HVW34" t="s">
        <v>6984</v>
      </c>
      <c r="HVX34" t="s">
        <v>6984</v>
      </c>
      <c r="HVY34" t="s">
        <v>6984</v>
      </c>
      <c r="HVZ34" t="s">
        <v>6984</v>
      </c>
      <c r="HWA34" t="s">
        <v>6984</v>
      </c>
      <c r="HWB34" t="s">
        <v>6984</v>
      </c>
      <c r="HWC34" t="s">
        <v>6984</v>
      </c>
      <c r="HWD34" t="s">
        <v>6984</v>
      </c>
      <c r="HWE34" t="s">
        <v>6984</v>
      </c>
      <c r="HWF34" t="s">
        <v>6984</v>
      </c>
      <c r="HWG34" t="s">
        <v>6984</v>
      </c>
      <c r="HWH34" t="s">
        <v>6984</v>
      </c>
      <c r="HWI34" t="s">
        <v>6984</v>
      </c>
      <c r="HWJ34" t="s">
        <v>6984</v>
      </c>
      <c r="HWK34" t="s">
        <v>6984</v>
      </c>
      <c r="HWL34" t="s">
        <v>6984</v>
      </c>
      <c r="HWM34" t="s">
        <v>6984</v>
      </c>
      <c r="HWN34" t="s">
        <v>6984</v>
      </c>
      <c r="HWO34" t="s">
        <v>6984</v>
      </c>
      <c r="HWP34" t="s">
        <v>6984</v>
      </c>
      <c r="HWQ34" t="s">
        <v>6984</v>
      </c>
      <c r="HWR34" t="s">
        <v>6984</v>
      </c>
      <c r="HWS34" t="s">
        <v>6984</v>
      </c>
      <c r="HWT34" t="s">
        <v>6984</v>
      </c>
      <c r="HWU34" t="s">
        <v>6984</v>
      </c>
      <c r="HWV34" t="s">
        <v>6984</v>
      </c>
      <c r="HWW34" t="s">
        <v>6984</v>
      </c>
      <c r="HWX34" t="s">
        <v>6984</v>
      </c>
      <c r="HWY34" t="s">
        <v>6984</v>
      </c>
      <c r="HWZ34" t="s">
        <v>6984</v>
      </c>
      <c r="HXA34" t="s">
        <v>6984</v>
      </c>
      <c r="HXB34" t="s">
        <v>6984</v>
      </c>
      <c r="HXC34" t="s">
        <v>6984</v>
      </c>
      <c r="HXD34" t="s">
        <v>6984</v>
      </c>
      <c r="HXE34" t="s">
        <v>6984</v>
      </c>
      <c r="HXF34" t="s">
        <v>6984</v>
      </c>
      <c r="HXG34" t="s">
        <v>6984</v>
      </c>
      <c r="HXH34" t="s">
        <v>6984</v>
      </c>
      <c r="HXI34" t="s">
        <v>6984</v>
      </c>
      <c r="HXJ34" t="s">
        <v>6984</v>
      </c>
      <c r="HXK34" t="s">
        <v>6984</v>
      </c>
      <c r="HXL34" t="s">
        <v>6984</v>
      </c>
      <c r="HXM34" t="s">
        <v>6984</v>
      </c>
      <c r="HXN34" t="s">
        <v>6984</v>
      </c>
      <c r="HXO34" t="s">
        <v>6984</v>
      </c>
      <c r="HXP34" t="s">
        <v>6984</v>
      </c>
      <c r="HXQ34" t="s">
        <v>6984</v>
      </c>
      <c r="HXR34" t="s">
        <v>6984</v>
      </c>
      <c r="HXS34" t="s">
        <v>6984</v>
      </c>
      <c r="HXT34" t="s">
        <v>6984</v>
      </c>
      <c r="HXU34" t="s">
        <v>6984</v>
      </c>
      <c r="HXV34" t="s">
        <v>6984</v>
      </c>
      <c r="HXW34" t="s">
        <v>6984</v>
      </c>
      <c r="HXX34" t="s">
        <v>6984</v>
      </c>
      <c r="HXY34" t="s">
        <v>6984</v>
      </c>
      <c r="HXZ34" t="s">
        <v>6984</v>
      </c>
      <c r="HYA34" t="s">
        <v>6984</v>
      </c>
      <c r="HYB34" t="s">
        <v>6984</v>
      </c>
      <c r="HYC34" t="s">
        <v>6984</v>
      </c>
      <c r="HYD34" t="s">
        <v>6984</v>
      </c>
      <c r="HYE34" t="s">
        <v>6984</v>
      </c>
      <c r="HYF34" t="s">
        <v>6984</v>
      </c>
      <c r="HYG34" t="s">
        <v>6984</v>
      </c>
      <c r="HYH34" t="s">
        <v>6984</v>
      </c>
      <c r="HYI34" t="s">
        <v>6984</v>
      </c>
      <c r="HYJ34" t="s">
        <v>6984</v>
      </c>
      <c r="HYK34" t="s">
        <v>6984</v>
      </c>
      <c r="HYL34" t="s">
        <v>6984</v>
      </c>
      <c r="HYM34" t="s">
        <v>6984</v>
      </c>
      <c r="HYN34" t="s">
        <v>6984</v>
      </c>
      <c r="HYO34" t="s">
        <v>6984</v>
      </c>
      <c r="HYP34" t="s">
        <v>6984</v>
      </c>
      <c r="HYQ34" t="s">
        <v>6984</v>
      </c>
      <c r="HYR34" t="s">
        <v>6984</v>
      </c>
      <c r="HYS34" t="s">
        <v>6984</v>
      </c>
      <c r="HYT34" t="s">
        <v>6984</v>
      </c>
      <c r="HYU34" t="s">
        <v>6984</v>
      </c>
      <c r="HYV34" t="s">
        <v>6984</v>
      </c>
      <c r="HYW34" t="s">
        <v>6984</v>
      </c>
      <c r="HYX34" t="s">
        <v>6984</v>
      </c>
      <c r="HYY34" t="s">
        <v>6984</v>
      </c>
      <c r="HYZ34" t="s">
        <v>6984</v>
      </c>
      <c r="HZA34" t="s">
        <v>6984</v>
      </c>
      <c r="HZB34" t="s">
        <v>6984</v>
      </c>
      <c r="HZC34" t="s">
        <v>6984</v>
      </c>
      <c r="HZD34" t="s">
        <v>6984</v>
      </c>
      <c r="HZE34" t="s">
        <v>6984</v>
      </c>
      <c r="HZF34" t="s">
        <v>6984</v>
      </c>
      <c r="HZG34" t="s">
        <v>6984</v>
      </c>
      <c r="HZH34" t="s">
        <v>6984</v>
      </c>
      <c r="HZI34" t="s">
        <v>6984</v>
      </c>
      <c r="HZJ34" t="s">
        <v>6984</v>
      </c>
      <c r="HZK34" t="s">
        <v>6984</v>
      </c>
      <c r="HZL34" t="s">
        <v>6984</v>
      </c>
      <c r="HZM34" t="s">
        <v>6984</v>
      </c>
      <c r="HZN34" t="s">
        <v>6984</v>
      </c>
      <c r="HZO34" t="s">
        <v>6984</v>
      </c>
      <c r="HZP34" t="s">
        <v>6984</v>
      </c>
      <c r="HZQ34" t="s">
        <v>6984</v>
      </c>
      <c r="HZR34" t="s">
        <v>6984</v>
      </c>
      <c r="HZS34" t="s">
        <v>6984</v>
      </c>
      <c r="HZT34" t="s">
        <v>6984</v>
      </c>
      <c r="HZU34" t="s">
        <v>6984</v>
      </c>
      <c r="HZV34" t="s">
        <v>6984</v>
      </c>
      <c r="HZW34" t="s">
        <v>6984</v>
      </c>
      <c r="HZX34" t="s">
        <v>6984</v>
      </c>
      <c r="HZY34" t="s">
        <v>6984</v>
      </c>
      <c r="HZZ34" t="s">
        <v>6984</v>
      </c>
      <c r="IAA34" t="s">
        <v>6984</v>
      </c>
      <c r="IAB34" t="s">
        <v>6984</v>
      </c>
      <c r="IAC34" t="s">
        <v>6984</v>
      </c>
      <c r="IAD34" t="s">
        <v>6984</v>
      </c>
      <c r="IAE34" t="s">
        <v>6984</v>
      </c>
      <c r="IAF34" t="s">
        <v>6984</v>
      </c>
      <c r="IAG34" t="s">
        <v>6984</v>
      </c>
      <c r="IAH34" t="s">
        <v>6984</v>
      </c>
      <c r="IAI34" t="s">
        <v>6984</v>
      </c>
      <c r="IAJ34" t="s">
        <v>6984</v>
      </c>
      <c r="IAK34" t="s">
        <v>6984</v>
      </c>
      <c r="IAL34" t="s">
        <v>6984</v>
      </c>
      <c r="IAM34" t="s">
        <v>6984</v>
      </c>
      <c r="IAN34" t="s">
        <v>6984</v>
      </c>
      <c r="IAO34" t="s">
        <v>6984</v>
      </c>
      <c r="IAP34" t="s">
        <v>6984</v>
      </c>
      <c r="IAQ34" t="s">
        <v>6984</v>
      </c>
      <c r="IAR34" t="s">
        <v>6984</v>
      </c>
      <c r="IAS34" t="s">
        <v>6984</v>
      </c>
      <c r="IAT34" t="s">
        <v>6984</v>
      </c>
      <c r="IAU34" t="s">
        <v>6984</v>
      </c>
      <c r="IAV34" t="s">
        <v>6984</v>
      </c>
      <c r="IAW34" t="s">
        <v>6984</v>
      </c>
      <c r="IAX34" t="s">
        <v>6984</v>
      </c>
      <c r="IAY34" t="s">
        <v>6984</v>
      </c>
      <c r="IAZ34" t="s">
        <v>6984</v>
      </c>
      <c r="IBA34" t="s">
        <v>6984</v>
      </c>
      <c r="IBB34" t="s">
        <v>6984</v>
      </c>
      <c r="IBC34" t="s">
        <v>6984</v>
      </c>
      <c r="IBD34" t="s">
        <v>6984</v>
      </c>
      <c r="IBE34" t="s">
        <v>6984</v>
      </c>
      <c r="IBF34" t="s">
        <v>6984</v>
      </c>
      <c r="IBG34" t="s">
        <v>6984</v>
      </c>
      <c r="IBH34" t="s">
        <v>6984</v>
      </c>
      <c r="IBI34" t="s">
        <v>6984</v>
      </c>
      <c r="IBJ34" t="s">
        <v>6984</v>
      </c>
      <c r="IBK34" t="s">
        <v>6984</v>
      </c>
      <c r="IBL34" t="s">
        <v>6984</v>
      </c>
      <c r="IBM34" t="s">
        <v>6984</v>
      </c>
      <c r="IBN34" t="s">
        <v>6984</v>
      </c>
      <c r="IBO34" t="s">
        <v>6984</v>
      </c>
      <c r="IBP34" t="s">
        <v>6984</v>
      </c>
      <c r="IBQ34" t="s">
        <v>6984</v>
      </c>
      <c r="IBR34" t="s">
        <v>6984</v>
      </c>
      <c r="IBS34" t="s">
        <v>6984</v>
      </c>
      <c r="IBT34" t="s">
        <v>6984</v>
      </c>
      <c r="IBU34" t="s">
        <v>6984</v>
      </c>
      <c r="IBV34" t="s">
        <v>6984</v>
      </c>
      <c r="IBW34" t="s">
        <v>6984</v>
      </c>
      <c r="IBX34" t="s">
        <v>6984</v>
      </c>
      <c r="IBY34" t="s">
        <v>6984</v>
      </c>
      <c r="IBZ34" t="s">
        <v>6984</v>
      </c>
      <c r="ICA34" t="s">
        <v>6984</v>
      </c>
      <c r="ICB34" t="s">
        <v>6984</v>
      </c>
      <c r="ICC34" t="s">
        <v>6984</v>
      </c>
      <c r="ICD34" t="s">
        <v>6984</v>
      </c>
      <c r="ICE34" t="s">
        <v>6984</v>
      </c>
      <c r="ICF34" t="s">
        <v>6984</v>
      </c>
      <c r="ICG34" t="s">
        <v>6984</v>
      </c>
      <c r="ICH34" t="s">
        <v>6984</v>
      </c>
      <c r="ICI34" t="s">
        <v>6984</v>
      </c>
      <c r="ICJ34" t="s">
        <v>6984</v>
      </c>
      <c r="ICK34" t="s">
        <v>6984</v>
      </c>
      <c r="ICL34" t="s">
        <v>6984</v>
      </c>
      <c r="ICM34" t="s">
        <v>6984</v>
      </c>
      <c r="ICN34" t="s">
        <v>6984</v>
      </c>
      <c r="ICO34" t="s">
        <v>6984</v>
      </c>
      <c r="ICP34" t="s">
        <v>6984</v>
      </c>
      <c r="ICQ34" t="s">
        <v>6984</v>
      </c>
      <c r="ICR34" t="s">
        <v>6984</v>
      </c>
      <c r="ICS34" t="s">
        <v>6984</v>
      </c>
      <c r="ICT34" t="s">
        <v>6984</v>
      </c>
      <c r="ICU34" t="s">
        <v>6984</v>
      </c>
      <c r="ICV34" t="s">
        <v>6984</v>
      </c>
      <c r="ICW34" t="s">
        <v>6984</v>
      </c>
      <c r="ICX34" t="s">
        <v>6984</v>
      </c>
      <c r="ICY34" t="s">
        <v>6984</v>
      </c>
      <c r="ICZ34" t="s">
        <v>6984</v>
      </c>
      <c r="IDA34" t="s">
        <v>6984</v>
      </c>
      <c r="IDB34" t="s">
        <v>6984</v>
      </c>
      <c r="IDC34" t="s">
        <v>6984</v>
      </c>
      <c r="IDD34" t="s">
        <v>6984</v>
      </c>
      <c r="IDE34" t="s">
        <v>6984</v>
      </c>
      <c r="IDF34" t="s">
        <v>6984</v>
      </c>
      <c r="IDG34" t="s">
        <v>6984</v>
      </c>
      <c r="IDH34" t="s">
        <v>6984</v>
      </c>
      <c r="IDI34" t="s">
        <v>6984</v>
      </c>
      <c r="IDJ34" t="s">
        <v>6984</v>
      </c>
      <c r="IDK34" t="s">
        <v>6984</v>
      </c>
      <c r="IDL34" t="s">
        <v>6984</v>
      </c>
      <c r="IDM34" t="s">
        <v>6984</v>
      </c>
      <c r="IDN34" t="s">
        <v>6984</v>
      </c>
      <c r="IDO34" t="s">
        <v>6984</v>
      </c>
      <c r="IDP34" t="s">
        <v>6984</v>
      </c>
      <c r="IDQ34" t="s">
        <v>6984</v>
      </c>
      <c r="IDR34" t="s">
        <v>6984</v>
      </c>
      <c r="IDS34" t="s">
        <v>6984</v>
      </c>
      <c r="IDT34" t="s">
        <v>6984</v>
      </c>
      <c r="IDU34" t="s">
        <v>6984</v>
      </c>
      <c r="IDV34" t="s">
        <v>6984</v>
      </c>
      <c r="IDW34" t="s">
        <v>6984</v>
      </c>
      <c r="IDX34" t="s">
        <v>6984</v>
      </c>
      <c r="IDY34" t="s">
        <v>6984</v>
      </c>
      <c r="IDZ34" t="s">
        <v>6984</v>
      </c>
      <c r="IEA34" t="s">
        <v>6984</v>
      </c>
      <c r="IEB34" t="s">
        <v>6984</v>
      </c>
      <c r="IEC34" t="s">
        <v>6984</v>
      </c>
      <c r="IED34" t="s">
        <v>6984</v>
      </c>
      <c r="IEE34" t="s">
        <v>6984</v>
      </c>
      <c r="IEF34" t="s">
        <v>6984</v>
      </c>
      <c r="IEG34" t="s">
        <v>6984</v>
      </c>
      <c r="IEH34" t="s">
        <v>6984</v>
      </c>
      <c r="IEI34" t="s">
        <v>6984</v>
      </c>
      <c r="IEJ34" t="s">
        <v>6984</v>
      </c>
      <c r="IEK34" t="s">
        <v>6984</v>
      </c>
      <c r="IEL34" t="s">
        <v>6984</v>
      </c>
      <c r="IEM34" t="s">
        <v>6984</v>
      </c>
      <c r="IEN34" t="s">
        <v>6984</v>
      </c>
      <c r="IEO34" t="s">
        <v>6984</v>
      </c>
      <c r="IEP34" t="s">
        <v>6984</v>
      </c>
      <c r="IEQ34" t="s">
        <v>6984</v>
      </c>
      <c r="IER34" t="s">
        <v>6984</v>
      </c>
      <c r="IES34" t="s">
        <v>6984</v>
      </c>
      <c r="IET34" t="s">
        <v>6984</v>
      </c>
      <c r="IEU34" t="s">
        <v>6984</v>
      </c>
      <c r="IEV34" t="s">
        <v>6984</v>
      </c>
      <c r="IEW34" t="s">
        <v>6984</v>
      </c>
      <c r="IEX34" t="s">
        <v>6984</v>
      </c>
      <c r="IEY34" t="s">
        <v>6984</v>
      </c>
      <c r="IEZ34" t="s">
        <v>6984</v>
      </c>
      <c r="IFA34" t="s">
        <v>6984</v>
      </c>
      <c r="IFB34" t="s">
        <v>6984</v>
      </c>
      <c r="IFC34" t="s">
        <v>6984</v>
      </c>
      <c r="IFD34" t="s">
        <v>6984</v>
      </c>
      <c r="IFE34" t="s">
        <v>6984</v>
      </c>
      <c r="IFF34" t="s">
        <v>6984</v>
      </c>
      <c r="IFG34" t="s">
        <v>6984</v>
      </c>
      <c r="IFH34" t="s">
        <v>6984</v>
      </c>
      <c r="IFI34" t="s">
        <v>6984</v>
      </c>
      <c r="IFJ34" t="s">
        <v>6984</v>
      </c>
      <c r="IFK34" t="s">
        <v>6984</v>
      </c>
      <c r="IFL34" t="s">
        <v>6984</v>
      </c>
      <c r="IFM34" t="s">
        <v>6984</v>
      </c>
      <c r="IFN34" t="s">
        <v>6984</v>
      </c>
      <c r="IFO34" t="s">
        <v>6984</v>
      </c>
      <c r="IFP34" t="s">
        <v>6984</v>
      </c>
      <c r="IFQ34" t="s">
        <v>6984</v>
      </c>
      <c r="IFR34" t="s">
        <v>6984</v>
      </c>
      <c r="IFS34" t="s">
        <v>6984</v>
      </c>
      <c r="IFT34" t="s">
        <v>6984</v>
      </c>
      <c r="IFU34" t="s">
        <v>6984</v>
      </c>
      <c r="IFV34" t="s">
        <v>6984</v>
      </c>
      <c r="IFW34" t="s">
        <v>6984</v>
      </c>
      <c r="IFX34" t="s">
        <v>6984</v>
      </c>
      <c r="IFY34" t="s">
        <v>6984</v>
      </c>
      <c r="IFZ34" t="s">
        <v>6984</v>
      </c>
      <c r="IGA34" t="s">
        <v>6984</v>
      </c>
      <c r="IGB34" t="s">
        <v>6984</v>
      </c>
      <c r="IGC34" t="s">
        <v>6984</v>
      </c>
      <c r="IGD34" t="s">
        <v>6984</v>
      </c>
      <c r="IGE34" t="s">
        <v>6984</v>
      </c>
      <c r="IGF34" t="s">
        <v>6984</v>
      </c>
      <c r="IGG34" t="s">
        <v>6984</v>
      </c>
      <c r="IGH34" t="s">
        <v>6984</v>
      </c>
      <c r="IGI34" t="s">
        <v>6984</v>
      </c>
      <c r="IGJ34" t="s">
        <v>6984</v>
      </c>
      <c r="IGK34" t="s">
        <v>6984</v>
      </c>
      <c r="IGL34" t="s">
        <v>6984</v>
      </c>
      <c r="IGM34" t="s">
        <v>6984</v>
      </c>
      <c r="IGN34" t="s">
        <v>6984</v>
      </c>
      <c r="IGO34" t="s">
        <v>6984</v>
      </c>
      <c r="IGP34" t="s">
        <v>6984</v>
      </c>
      <c r="IGQ34" t="s">
        <v>6984</v>
      </c>
      <c r="IGR34" t="s">
        <v>6984</v>
      </c>
      <c r="IGS34" t="s">
        <v>6984</v>
      </c>
      <c r="IGT34" t="s">
        <v>6984</v>
      </c>
      <c r="IGU34" t="s">
        <v>6984</v>
      </c>
      <c r="IGV34" t="s">
        <v>6984</v>
      </c>
      <c r="IGW34" t="s">
        <v>6984</v>
      </c>
      <c r="IGX34" t="s">
        <v>6984</v>
      </c>
      <c r="IGY34" t="s">
        <v>6984</v>
      </c>
      <c r="IGZ34" t="s">
        <v>6984</v>
      </c>
      <c r="IHA34" t="s">
        <v>6984</v>
      </c>
      <c r="IHB34" t="s">
        <v>6984</v>
      </c>
      <c r="IHC34" t="s">
        <v>6984</v>
      </c>
      <c r="IHD34" t="s">
        <v>6984</v>
      </c>
      <c r="IHE34" t="s">
        <v>6984</v>
      </c>
      <c r="IHF34" t="s">
        <v>6984</v>
      </c>
      <c r="IHG34" t="s">
        <v>6984</v>
      </c>
      <c r="IHH34" t="s">
        <v>6984</v>
      </c>
      <c r="IHI34" t="s">
        <v>6984</v>
      </c>
      <c r="IHJ34" t="s">
        <v>6984</v>
      </c>
      <c r="IHK34" t="s">
        <v>6984</v>
      </c>
      <c r="IHL34" t="s">
        <v>6984</v>
      </c>
      <c r="IHM34" t="s">
        <v>6984</v>
      </c>
      <c r="IHN34" t="s">
        <v>6984</v>
      </c>
      <c r="IHO34" t="s">
        <v>6984</v>
      </c>
      <c r="IHP34" t="s">
        <v>6984</v>
      </c>
      <c r="IHQ34" t="s">
        <v>6984</v>
      </c>
      <c r="IHR34" t="s">
        <v>6984</v>
      </c>
      <c r="IHS34" t="s">
        <v>6984</v>
      </c>
      <c r="IHT34" t="s">
        <v>6984</v>
      </c>
      <c r="IHU34" t="s">
        <v>6984</v>
      </c>
      <c r="IHV34" t="s">
        <v>6984</v>
      </c>
      <c r="IHW34" t="s">
        <v>6984</v>
      </c>
      <c r="IHX34" t="s">
        <v>6984</v>
      </c>
      <c r="IHY34" t="s">
        <v>6984</v>
      </c>
      <c r="IHZ34" t="s">
        <v>6984</v>
      </c>
      <c r="IIA34" t="s">
        <v>6984</v>
      </c>
      <c r="IIB34" t="s">
        <v>6984</v>
      </c>
      <c r="IIC34" t="s">
        <v>6984</v>
      </c>
      <c r="IID34" t="s">
        <v>6984</v>
      </c>
      <c r="IIE34" t="s">
        <v>6984</v>
      </c>
      <c r="IIF34" t="s">
        <v>6984</v>
      </c>
      <c r="IIG34" t="s">
        <v>6984</v>
      </c>
      <c r="IIH34" t="s">
        <v>6984</v>
      </c>
      <c r="III34" t="s">
        <v>6984</v>
      </c>
      <c r="IIJ34" t="s">
        <v>6984</v>
      </c>
      <c r="IIK34" t="s">
        <v>6984</v>
      </c>
      <c r="IIL34" t="s">
        <v>6984</v>
      </c>
      <c r="IIM34" t="s">
        <v>6984</v>
      </c>
      <c r="IIN34" t="s">
        <v>6984</v>
      </c>
      <c r="IIO34" t="s">
        <v>6984</v>
      </c>
      <c r="IIP34" t="s">
        <v>6984</v>
      </c>
      <c r="IIQ34" t="s">
        <v>6984</v>
      </c>
      <c r="IIR34" t="s">
        <v>6984</v>
      </c>
      <c r="IIS34" t="s">
        <v>6984</v>
      </c>
      <c r="IIT34" t="s">
        <v>6984</v>
      </c>
      <c r="IIU34" t="s">
        <v>6984</v>
      </c>
      <c r="IIV34" t="s">
        <v>6984</v>
      </c>
      <c r="IIW34" t="s">
        <v>6984</v>
      </c>
      <c r="IIX34" t="s">
        <v>6984</v>
      </c>
      <c r="IIY34" t="s">
        <v>6984</v>
      </c>
      <c r="IIZ34" t="s">
        <v>6984</v>
      </c>
      <c r="IJA34" t="s">
        <v>6984</v>
      </c>
      <c r="IJB34" t="s">
        <v>6984</v>
      </c>
      <c r="IJC34" t="s">
        <v>6984</v>
      </c>
      <c r="IJD34" t="s">
        <v>6984</v>
      </c>
      <c r="IJE34" t="s">
        <v>6984</v>
      </c>
      <c r="IJF34" t="s">
        <v>6984</v>
      </c>
      <c r="IJG34" t="s">
        <v>6984</v>
      </c>
      <c r="IJH34" t="s">
        <v>6984</v>
      </c>
      <c r="IJI34" t="s">
        <v>6984</v>
      </c>
      <c r="IJJ34" t="s">
        <v>6984</v>
      </c>
      <c r="IJK34" t="s">
        <v>6984</v>
      </c>
      <c r="IJL34" t="s">
        <v>6984</v>
      </c>
      <c r="IJM34" t="s">
        <v>6984</v>
      </c>
      <c r="IJN34" t="s">
        <v>6984</v>
      </c>
      <c r="IJO34" t="s">
        <v>6984</v>
      </c>
      <c r="IJP34" t="s">
        <v>6984</v>
      </c>
      <c r="IJQ34" t="s">
        <v>6984</v>
      </c>
      <c r="IJR34" t="s">
        <v>6984</v>
      </c>
      <c r="IJS34" t="s">
        <v>6984</v>
      </c>
      <c r="IJT34" t="s">
        <v>6984</v>
      </c>
      <c r="IJU34" t="s">
        <v>6984</v>
      </c>
      <c r="IJV34" t="s">
        <v>6984</v>
      </c>
      <c r="IJW34" t="s">
        <v>6984</v>
      </c>
      <c r="IJX34" t="s">
        <v>6984</v>
      </c>
      <c r="IJY34" t="s">
        <v>6984</v>
      </c>
      <c r="IJZ34" t="s">
        <v>6984</v>
      </c>
      <c r="IKA34" t="s">
        <v>6984</v>
      </c>
      <c r="IKB34" t="s">
        <v>6984</v>
      </c>
      <c r="IKC34" t="s">
        <v>6984</v>
      </c>
      <c r="IKD34" t="s">
        <v>6984</v>
      </c>
      <c r="IKE34" t="s">
        <v>6984</v>
      </c>
      <c r="IKF34" t="s">
        <v>6984</v>
      </c>
      <c r="IKG34" t="s">
        <v>6984</v>
      </c>
      <c r="IKH34" t="s">
        <v>6984</v>
      </c>
      <c r="IKI34" t="s">
        <v>6984</v>
      </c>
      <c r="IKJ34" t="s">
        <v>6984</v>
      </c>
      <c r="IKK34" t="s">
        <v>6984</v>
      </c>
      <c r="IKL34" t="s">
        <v>6984</v>
      </c>
      <c r="IKM34" t="s">
        <v>6984</v>
      </c>
      <c r="IKN34" t="s">
        <v>6984</v>
      </c>
      <c r="IKO34" t="s">
        <v>6984</v>
      </c>
      <c r="IKP34" t="s">
        <v>6984</v>
      </c>
      <c r="IKQ34" t="s">
        <v>6984</v>
      </c>
      <c r="IKR34" t="s">
        <v>6984</v>
      </c>
      <c r="IKS34" t="s">
        <v>6984</v>
      </c>
      <c r="IKT34" t="s">
        <v>6984</v>
      </c>
      <c r="IKU34" t="s">
        <v>6984</v>
      </c>
      <c r="IKV34" t="s">
        <v>6984</v>
      </c>
      <c r="IKW34" t="s">
        <v>6984</v>
      </c>
      <c r="IKX34" t="s">
        <v>6984</v>
      </c>
      <c r="IKY34" t="s">
        <v>6984</v>
      </c>
      <c r="IKZ34" t="s">
        <v>6984</v>
      </c>
      <c r="ILA34" t="s">
        <v>6984</v>
      </c>
      <c r="ILB34" t="s">
        <v>6984</v>
      </c>
      <c r="ILC34" t="s">
        <v>6984</v>
      </c>
      <c r="ILD34" t="s">
        <v>6984</v>
      </c>
      <c r="ILE34" t="s">
        <v>6984</v>
      </c>
      <c r="ILF34" t="s">
        <v>6984</v>
      </c>
      <c r="ILG34" t="s">
        <v>6984</v>
      </c>
      <c r="ILH34" t="s">
        <v>6984</v>
      </c>
      <c r="ILI34" t="s">
        <v>6984</v>
      </c>
      <c r="ILJ34" t="s">
        <v>6984</v>
      </c>
      <c r="ILK34" t="s">
        <v>6984</v>
      </c>
      <c r="ILL34" t="s">
        <v>6984</v>
      </c>
      <c r="ILM34" t="s">
        <v>6984</v>
      </c>
      <c r="ILN34" t="s">
        <v>6984</v>
      </c>
      <c r="ILO34" t="s">
        <v>6984</v>
      </c>
      <c r="ILP34" t="s">
        <v>6984</v>
      </c>
      <c r="ILQ34" t="s">
        <v>6984</v>
      </c>
      <c r="ILR34" t="s">
        <v>6984</v>
      </c>
      <c r="ILS34" t="s">
        <v>6984</v>
      </c>
      <c r="ILT34" t="s">
        <v>6984</v>
      </c>
      <c r="ILU34" t="s">
        <v>6984</v>
      </c>
      <c r="ILV34" t="s">
        <v>6984</v>
      </c>
      <c r="ILW34" t="s">
        <v>6984</v>
      </c>
      <c r="ILX34" t="s">
        <v>6984</v>
      </c>
      <c r="ILY34" t="s">
        <v>6984</v>
      </c>
      <c r="ILZ34" t="s">
        <v>6984</v>
      </c>
      <c r="IMA34" t="s">
        <v>6984</v>
      </c>
      <c r="IMB34" t="s">
        <v>6984</v>
      </c>
      <c r="IMC34" t="s">
        <v>6984</v>
      </c>
      <c r="IMD34" t="s">
        <v>6984</v>
      </c>
      <c r="IME34" t="s">
        <v>6984</v>
      </c>
      <c r="IMF34" t="s">
        <v>6984</v>
      </c>
      <c r="IMG34" t="s">
        <v>6984</v>
      </c>
      <c r="IMH34" t="s">
        <v>6984</v>
      </c>
      <c r="IMI34" t="s">
        <v>6984</v>
      </c>
      <c r="IMJ34" t="s">
        <v>6984</v>
      </c>
      <c r="IMK34" t="s">
        <v>6984</v>
      </c>
      <c r="IML34" t="s">
        <v>6984</v>
      </c>
      <c r="IMM34" t="s">
        <v>6984</v>
      </c>
      <c r="IMN34" t="s">
        <v>6984</v>
      </c>
      <c r="IMO34" t="s">
        <v>6984</v>
      </c>
      <c r="IMP34" t="s">
        <v>6984</v>
      </c>
      <c r="IMQ34" t="s">
        <v>6984</v>
      </c>
      <c r="IMR34" t="s">
        <v>6984</v>
      </c>
      <c r="IMS34" t="s">
        <v>6984</v>
      </c>
      <c r="IMT34" t="s">
        <v>6984</v>
      </c>
      <c r="IMU34" t="s">
        <v>6984</v>
      </c>
      <c r="IMV34" t="s">
        <v>6984</v>
      </c>
      <c r="IMW34" t="s">
        <v>6984</v>
      </c>
      <c r="IMX34" t="s">
        <v>6984</v>
      </c>
      <c r="IMY34" t="s">
        <v>6984</v>
      </c>
      <c r="IMZ34" t="s">
        <v>6984</v>
      </c>
      <c r="INA34" t="s">
        <v>6984</v>
      </c>
      <c r="INB34" t="s">
        <v>6984</v>
      </c>
      <c r="INC34" t="s">
        <v>6984</v>
      </c>
      <c r="IND34" t="s">
        <v>6984</v>
      </c>
      <c r="INE34" t="s">
        <v>6984</v>
      </c>
      <c r="INF34" t="s">
        <v>6984</v>
      </c>
      <c r="ING34" t="s">
        <v>6984</v>
      </c>
      <c r="INH34" t="s">
        <v>6984</v>
      </c>
      <c r="INI34" t="s">
        <v>6984</v>
      </c>
      <c r="INJ34" t="s">
        <v>6984</v>
      </c>
      <c r="INK34" t="s">
        <v>6984</v>
      </c>
      <c r="INL34" t="s">
        <v>6984</v>
      </c>
      <c r="INM34" t="s">
        <v>6984</v>
      </c>
      <c r="INN34" t="s">
        <v>6984</v>
      </c>
      <c r="INO34" t="s">
        <v>6984</v>
      </c>
      <c r="INP34" t="s">
        <v>6984</v>
      </c>
      <c r="INQ34" t="s">
        <v>6984</v>
      </c>
      <c r="INR34" t="s">
        <v>6984</v>
      </c>
      <c r="INS34" t="s">
        <v>6984</v>
      </c>
      <c r="INT34" t="s">
        <v>6984</v>
      </c>
      <c r="INU34" t="s">
        <v>6984</v>
      </c>
      <c r="INV34" t="s">
        <v>6984</v>
      </c>
      <c r="INW34" t="s">
        <v>6984</v>
      </c>
      <c r="INX34" t="s">
        <v>6984</v>
      </c>
      <c r="INY34" t="s">
        <v>6984</v>
      </c>
      <c r="INZ34" t="s">
        <v>6984</v>
      </c>
      <c r="IOA34" t="s">
        <v>6984</v>
      </c>
      <c r="IOB34" t="s">
        <v>6984</v>
      </c>
      <c r="IOC34" t="s">
        <v>6984</v>
      </c>
      <c r="IOD34" t="s">
        <v>6984</v>
      </c>
      <c r="IOE34" t="s">
        <v>6984</v>
      </c>
      <c r="IOF34" t="s">
        <v>6984</v>
      </c>
      <c r="IOG34" t="s">
        <v>6984</v>
      </c>
      <c r="IOH34" t="s">
        <v>6984</v>
      </c>
      <c r="IOI34" t="s">
        <v>6984</v>
      </c>
      <c r="IOJ34" t="s">
        <v>6984</v>
      </c>
      <c r="IOK34" t="s">
        <v>6984</v>
      </c>
      <c r="IOL34" t="s">
        <v>6984</v>
      </c>
      <c r="IOM34" t="s">
        <v>6984</v>
      </c>
      <c r="ION34" t="s">
        <v>6984</v>
      </c>
      <c r="IOO34" t="s">
        <v>6984</v>
      </c>
      <c r="IOP34" t="s">
        <v>6984</v>
      </c>
      <c r="IOQ34" t="s">
        <v>6984</v>
      </c>
      <c r="IOR34" t="s">
        <v>6984</v>
      </c>
      <c r="IOS34" t="s">
        <v>6984</v>
      </c>
      <c r="IOT34" t="s">
        <v>6984</v>
      </c>
      <c r="IOU34" t="s">
        <v>6984</v>
      </c>
      <c r="IOV34" t="s">
        <v>6984</v>
      </c>
      <c r="IOW34" t="s">
        <v>6984</v>
      </c>
      <c r="IOX34" t="s">
        <v>6984</v>
      </c>
      <c r="IOY34" t="s">
        <v>6984</v>
      </c>
      <c r="IOZ34" t="s">
        <v>6984</v>
      </c>
      <c r="IPA34" t="s">
        <v>6984</v>
      </c>
      <c r="IPB34" t="s">
        <v>6984</v>
      </c>
      <c r="IPC34" t="s">
        <v>6984</v>
      </c>
      <c r="IPD34" t="s">
        <v>6984</v>
      </c>
      <c r="IPE34" t="s">
        <v>6984</v>
      </c>
      <c r="IPF34" t="s">
        <v>6984</v>
      </c>
      <c r="IPG34" t="s">
        <v>6984</v>
      </c>
      <c r="IPH34" t="s">
        <v>6984</v>
      </c>
      <c r="IPI34" t="s">
        <v>6984</v>
      </c>
      <c r="IPJ34" t="s">
        <v>6984</v>
      </c>
      <c r="IPK34" t="s">
        <v>6984</v>
      </c>
      <c r="IPL34" t="s">
        <v>6984</v>
      </c>
      <c r="IPM34" t="s">
        <v>6984</v>
      </c>
      <c r="IPN34" t="s">
        <v>6984</v>
      </c>
      <c r="IPO34" t="s">
        <v>6984</v>
      </c>
      <c r="IPP34" t="s">
        <v>6984</v>
      </c>
      <c r="IPQ34" t="s">
        <v>6984</v>
      </c>
      <c r="IPR34" t="s">
        <v>6984</v>
      </c>
      <c r="IPS34" t="s">
        <v>6984</v>
      </c>
      <c r="IPT34" t="s">
        <v>6984</v>
      </c>
      <c r="IPU34" t="s">
        <v>6984</v>
      </c>
      <c r="IPV34" t="s">
        <v>6984</v>
      </c>
      <c r="IPW34" t="s">
        <v>6984</v>
      </c>
      <c r="IPX34" t="s">
        <v>6984</v>
      </c>
      <c r="IPY34" t="s">
        <v>6984</v>
      </c>
      <c r="IPZ34" t="s">
        <v>6984</v>
      </c>
      <c r="IQA34" t="s">
        <v>6984</v>
      </c>
      <c r="IQB34" t="s">
        <v>6984</v>
      </c>
      <c r="IQC34" t="s">
        <v>6984</v>
      </c>
      <c r="IQD34" t="s">
        <v>6984</v>
      </c>
      <c r="IQE34" t="s">
        <v>6984</v>
      </c>
      <c r="IQF34" t="s">
        <v>6984</v>
      </c>
      <c r="IQG34" t="s">
        <v>6984</v>
      </c>
      <c r="IQH34" t="s">
        <v>6984</v>
      </c>
      <c r="IQI34" t="s">
        <v>6984</v>
      </c>
      <c r="IQJ34" t="s">
        <v>6984</v>
      </c>
      <c r="IQK34" t="s">
        <v>6984</v>
      </c>
      <c r="IQL34" t="s">
        <v>6984</v>
      </c>
      <c r="IQM34" t="s">
        <v>6984</v>
      </c>
      <c r="IQN34" t="s">
        <v>6984</v>
      </c>
      <c r="IQO34" t="s">
        <v>6984</v>
      </c>
      <c r="IQP34" t="s">
        <v>6984</v>
      </c>
      <c r="IQQ34" t="s">
        <v>6984</v>
      </c>
      <c r="IQR34" t="s">
        <v>6984</v>
      </c>
      <c r="IQS34" t="s">
        <v>6984</v>
      </c>
      <c r="IQT34" t="s">
        <v>6984</v>
      </c>
      <c r="IQU34" t="s">
        <v>6984</v>
      </c>
      <c r="IQV34" t="s">
        <v>6984</v>
      </c>
      <c r="IQW34" t="s">
        <v>6984</v>
      </c>
      <c r="IQX34" t="s">
        <v>6984</v>
      </c>
      <c r="IQY34" t="s">
        <v>6984</v>
      </c>
      <c r="IQZ34" t="s">
        <v>6984</v>
      </c>
      <c r="IRA34" t="s">
        <v>6984</v>
      </c>
      <c r="IRB34" t="s">
        <v>6984</v>
      </c>
      <c r="IRC34" t="s">
        <v>6984</v>
      </c>
      <c r="IRD34" t="s">
        <v>6984</v>
      </c>
      <c r="IRE34" t="s">
        <v>6984</v>
      </c>
      <c r="IRF34" t="s">
        <v>6984</v>
      </c>
      <c r="IRG34" t="s">
        <v>6984</v>
      </c>
      <c r="IRH34" t="s">
        <v>6984</v>
      </c>
      <c r="IRI34" t="s">
        <v>6984</v>
      </c>
      <c r="IRJ34" t="s">
        <v>6984</v>
      </c>
      <c r="IRK34" t="s">
        <v>6984</v>
      </c>
      <c r="IRL34" t="s">
        <v>6984</v>
      </c>
      <c r="IRM34" t="s">
        <v>6984</v>
      </c>
      <c r="IRN34" t="s">
        <v>6984</v>
      </c>
      <c r="IRO34" t="s">
        <v>6984</v>
      </c>
      <c r="IRP34" t="s">
        <v>6984</v>
      </c>
      <c r="IRQ34" t="s">
        <v>6984</v>
      </c>
      <c r="IRR34" t="s">
        <v>6984</v>
      </c>
      <c r="IRS34" t="s">
        <v>6984</v>
      </c>
      <c r="IRT34" t="s">
        <v>6984</v>
      </c>
      <c r="IRU34" t="s">
        <v>6984</v>
      </c>
      <c r="IRV34" t="s">
        <v>6984</v>
      </c>
      <c r="IRW34" t="s">
        <v>6984</v>
      </c>
      <c r="IRX34" t="s">
        <v>6984</v>
      </c>
      <c r="IRY34" t="s">
        <v>6984</v>
      </c>
      <c r="IRZ34" t="s">
        <v>6984</v>
      </c>
      <c r="ISA34" t="s">
        <v>6984</v>
      </c>
      <c r="ISB34" t="s">
        <v>6984</v>
      </c>
      <c r="ISC34" t="s">
        <v>6984</v>
      </c>
      <c r="ISD34" t="s">
        <v>6984</v>
      </c>
      <c r="ISE34" t="s">
        <v>6984</v>
      </c>
      <c r="ISF34" t="s">
        <v>6984</v>
      </c>
      <c r="ISG34" t="s">
        <v>6984</v>
      </c>
      <c r="ISH34" t="s">
        <v>6984</v>
      </c>
      <c r="ISI34" t="s">
        <v>6984</v>
      </c>
      <c r="ISJ34" t="s">
        <v>6984</v>
      </c>
      <c r="ISK34" t="s">
        <v>6984</v>
      </c>
      <c r="ISL34" t="s">
        <v>6984</v>
      </c>
      <c r="ISM34" t="s">
        <v>6984</v>
      </c>
      <c r="ISN34" t="s">
        <v>6984</v>
      </c>
      <c r="ISO34" t="s">
        <v>6984</v>
      </c>
      <c r="ISP34" t="s">
        <v>6984</v>
      </c>
      <c r="ISQ34" t="s">
        <v>6984</v>
      </c>
      <c r="ISR34" t="s">
        <v>6984</v>
      </c>
      <c r="ISS34" t="s">
        <v>6984</v>
      </c>
      <c r="IST34" t="s">
        <v>6984</v>
      </c>
      <c r="ISU34" t="s">
        <v>6984</v>
      </c>
      <c r="ISV34" t="s">
        <v>6984</v>
      </c>
      <c r="ISW34" t="s">
        <v>6984</v>
      </c>
      <c r="ISX34" t="s">
        <v>6984</v>
      </c>
      <c r="ISY34" t="s">
        <v>6984</v>
      </c>
      <c r="ISZ34" t="s">
        <v>6984</v>
      </c>
      <c r="ITA34" t="s">
        <v>6984</v>
      </c>
      <c r="ITB34" t="s">
        <v>6984</v>
      </c>
      <c r="ITC34" t="s">
        <v>6984</v>
      </c>
      <c r="ITD34" t="s">
        <v>6984</v>
      </c>
      <c r="ITE34" t="s">
        <v>6984</v>
      </c>
      <c r="ITF34" t="s">
        <v>6984</v>
      </c>
      <c r="ITG34" t="s">
        <v>6984</v>
      </c>
      <c r="ITH34" t="s">
        <v>6984</v>
      </c>
      <c r="ITI34" t="s">
        <v>6984</v>
      </c>
      <c r="ITJ34" t="s">
        <v>6984</v>
      </c>
      <c r="ITK34" t="s">
        <v>6984</v>
      </c>
      <c r="ITL34" t="s">
        <v>6984</v>
      </c>
      <c r="ITM34" t="s">
        <v>6984</v>
      </c>
      <c r="ITN34" t="s">
        <v>6984</v>
      </c>
      <c r="ITO34" t="s">
        <v>6984</v>
      </c>
      <c r="ITP34" t="s">
        <v>6984</v>
      </c>
      <c r="ITQ34" t="s">
        <v>6984</v>
      </c>
      <c r="ITR34" t="s">
        <v>6984</v>
      </c>
      <c r="ITS34" t="s">
        <v>6984</v>
      </c>
      <c r="ITT34" t="s">
        <v>6984</v>
      </c>
      <c r="ITU34" t="s">
        <v>6984</v>
      </c>
      <c r="ITV34" t="s">
        <v>6984</v>
      </c>
      <c r="ITW34" t="s">
        <v>6984</v>
      </c>
      <c r="ITX34" t="s">
        <v>6984</v>
      </c>
      <c r="ITY34" t="s">
        <v>6984</v>
      </c>
      <c r="ITZ34" t="s">
        <v>6984</v>
      </c>
      <c r="IUA34" t="s">
        <v>6984</v>
      </c>
      <c r="IUB34" t="s">
        <v>6984</v>
      </c>
      <c r="IUC34" t="s">
        <v>6984</v>
      </c>
      <c r="IUD34" t="s">
        <v>6984</v>
      </c>
      <c r="IUE34" t="s">
        <v>6984</v>
      </c>
      <c r="IUF34" t="s">
        <v>6984</v>
      </c>
      <c r="IUG34" t="s">
        <v>6984</v>
      </c>
      <c r="IUH34" t="s">
        <v>6984</v>
      </c>
      <c r="IUI34" t="s">
        <v>6984</v>
      </c>
      <c r="IUJ34" t="s">
        <v>6984</v>
      </c>
      <c r="IUK34" t="s">
        <v>6984</v>
      </c>
      <c r="IUL34" t="s">
        <v>6984</v>
      </c>
      <c r="IUM34" t="s">
        <v>6984</v>
      </c>
      <c r="IUN34" t="s">
        <v>6984</v>
      </c>
      <c r="IUO34" t="s">
        <v>6984</v>
      </c>
      <c r="IUP34" t="s">
        <v>6984</v>
      </c>
      <c r="IUQ34" t="s">
        <v>6984</v>
      </c>
      <c r="IUR34" t="s">
        <v>6984</v>
      </c>
      <c r="IUS34" t="s">
        <v>6984</v>
      </c>
      <c r="IUT34" t="s">
        <v>6984</v>
      </c>
      <c r="IUU34" t="s">
        <v>6984</v>
      </c>
      <c r="IUV34" t="s">
        <v>6984</v>
      </c>
      <c r="IUW34" t="s">
        <v>6984</v>
      </c>
      <c r="IUX34" t="s">
        <v>6984</v>
      </c>
      <c r="IUY34" t="s">
        <v>6984</v>
      </c>
      <c r="IUZ34" t="s">
        <v>6984</v>
      </c>
      <c r="IVA34" t="s">
        <v>6984</v>
      </c>
      <c r="IVB34" t="s">
        <v>6984</v>
      </c>
      <c r="IVC34" t="s">
        <v>6984</v>
      </c>
      <c r="IVD34" t="s">
        <v>6984</v>
      </c>
      <c r="IVE34" t="s">
        <v>6984</v>
      </c>
      <c r="IVF34" t="s">
        <v>6984</v>
      </c>
      <c r="IVG34" t="s">
        <v>6984</v>
      </c>
      <c r="IVH34" t="s">
        <v>6984</v>
      </c>
      <c r="IVI34" t="s">
        <v>6984</v>
      </c>
      <c r="IVJ34" t="s">
        <v>6984</v>
      </c>
      <c r="IVK34" t="s">
        <v>6984</v>
      </c>
      <c r="IVL34" t="s">
        <v>6984</v>
      </c>
      <c r="IVM34" t="s">
        <v>6984</v>
      </c>
      <c r="IVN34" t="s">
        <v>6984</v>
      </c>
      <c r="IVO34" t="s">
        <v>6984</v>
      </c>
      <c r="IVP34" t="s">
        <v>6984</v>
      </c>
      <c r="IVQ34" t="s">
        <v>6984</v>
      </c>
      <c r="IVR34" t="s">
        <v>6984</v>
      </c>
      <c r="IVS34" t="s">
        <v>6984</v>
      </c>
      <c r="IVT34" t="s">
        <v>6984</v>
      </c>
      <c r="IVU34" t="s">
        <v>6984</v>
      </c>
      <c r="IVV34" t="s">
        <v>6984</v>
      </c>
      <c r="IVW34" t="s">
        <v>6984</v>
      </c>
      <c r="IVX34" t="s">
        <v>6984</v>
      </c>
      <c r="IVY34" t="s">
        <v>6984</v>
      </c>
      <c r="IVZ34" t="s">
        <v>6984</v>
      </c>
      <c r="IWA34" t="s">
        <v>6984</v>
      </c>
      <c r="IWB34" t="s">
        <v>6984</v>
      </c>
      <c r="IWC34" t="s">
        <v>6984</v>
      </c>
      <c r="IWD34" t="s">
        <v>6984</v>
      </c>
      <c r="IWE34" t="s">
        <v>6984</v>
      </c>
      <c r="IWF34" t="s">
        <v>6984</v>
      </c>
      <c r="IWG34" t="s">
        <v>6984</v>
      </c>
      <c r="IWH34" t="s">
        <v>6984</v>
      </c>
      <c r="IWI34" t="s">
        <v>6984</v>
      </c>
      <c r="IWJ34" t="s">
        <v>6984</v>
      </c>
      <c r="IWK34" t="s">
        <v>6984</v>
      </c>
      <c r="IWL34" t="s">
        <v>6984</v>
      </c>
      <c r="IWM34" t="s">
        <v>6984</v>
      </c>
      <c r="IWN34" t="s">
        <v>6984</v>
      </c>
      <c r="IWO34" t="s">
        <v>6984</v>
      </c>
      <c r="IWP34" t="s">
        <v>6984</v>
      </c>
      <c r="IWQ34" t="s">
        <v>6984</v>
      </c>
      <c r="IWR34" t="s">
        <v>6984</v>
      </c>
      <c r="IWS34" t="s">
        <v>6984</v>
      </c>
      <c r="IWT34" t="s">
        <v>6984</v>
      </c>
      <c r="IWU34" t="s">
        <v>6984</v>
      </c>
      <c r="IWV34" t="s">
        <v>6984</v>
      </c>
      <c r="IWW34" t="s">
        <v>6984</v>
      </c>
      <c r="IWX34" t="s">
        <v>6984</v>
      </c>
      <c r="IWY34" t="s">
        <v>6984</v>
      </c>
      <c r="IWZ34" t="s">
        <v>6984</v>
      </c>
      <c r="IXA34" t="s">
        <v>6984</v>
      </c>
      <c r="IXB34" t="s">
        <v>6984</v>
      </c>
      <c r="IXC34" t="s">
        <v>6984</v>
      </c>
      <c r="IXD34" t="s">
        <v>6984</v>
      </c>
      <c r="IXE34" t="s">
        <v>6984</v>
      </c>
      <c r="IXF34" t="s">
        <v>6984</v>
      </c>
      <c r="IXG34" t="s">
        <v>6984</v>
      </c>
      <c r="IXH34" t="s">
        <v>6984</v>
      </c>
      <c r="IXI34" t="s">
        <v>6984</v>
      </c>
      <c r="IXJ34" t="s">
        <v>6984</v>
      </c>
      <c r="IXK34" t="s">
        <v>6984</v>
      </c>
      <c r="IXL34" t="s">
        <v>6984</v>
      </c>
      <c r="IXM34" t="s">
        <v>6984</v>
      </c>
      <c r="IXN34" t="s">
        <v>6984</v>
      </c>
      <c r="IXO34" t="s">
        <v>6984</v>
      </c>
      <c r="IXP34" t="s">
        <v>6984</v>
      </c>
      <c r="IXQ34" t="s">
        <v>6984</v>
      </c>
      <c r="IXR34" t="s">
        <v>6984</v>
      </c>
      <c r="IXS34" t="s">
        <v>6984</v>
      </c>
      <c r="IXT34" t="s">
        <v>6984</v>
      </c>
      <c r="IXU34" t="s">
        <v>6984</v>
      </c>
      <c r="IXV34" t="s">
        <v>6984</v>
      </c>
      <c r="IXW34" t="s">
        <v>6984</v>
      </c>
      <c r="IXX34" t="s">
        <v>6984</v>
      </c>
      <c r="IXY34" t="s">
        <v>6984</v>
      </c>
      <c r="IXZ34" t="s">
        <v>6984</v>
      </c>
      <c r="IYA34" t="s">
        <v>6984</v>
      </c>
      <c r="IYB34" t="s">
        <v>6984</v>
      </c>
      <c r="IYC34" t="s">
        <v>6984</v>
      </c>
      <c r="IYD34" t="s">
        <v>6984</v>
      </c>
      <c r="IYE34" t="s">
        <v>6984</v>
      </c>
      <c r="IYF34" t="s">
        <v>6984</v>
      </c>
      <c r="IYG34" t="s">
        <v>6984</v>
      </c>
      <c r="IYH34" t="s">
        <v>6984</v>
      </c>
      <c r="IYI34" t="s">
        <v>6984</v>
      </c>
      <c r="IYJ34" t="s">
        <v>6984</v>
      </c>
      <c r="IYK34" t="s">
        <v>6984</v>
      </c>
      <c r="IYL34" t="s">
        <v>6984</v>
      </c>
      <c r="IYM34" t="s">
        <v>6984</v>
      </c>
      <c r="IYN34" t="s">
        <v>6984</v>
      </c>
      <c r="IYO34" t="s">
        <v>6984</v>
      </c>
      <c r="IYP34" t="s">
        <v>6984</v>
      </c>
      <c r="IYQ34" t="s">
        <v>6984</v>
      </c>
      <c r="IYR34" t="s">
        <v>6984</v>
      </c>
      <c r="IYS34" t="s">
        <v>6984</v>
      </c>
      <c r="IYT34" t="s">
        <v>6984</v>
      </c>
      <c r="IYU34" t="s">
        <v>6984</v>
      </c>
      <c r="IYV34" t="s">
        <v>6984</v>
      </c>
      <c r="IYW34" t="s">
        <v>6984</v>
      </c>
      <c r="IYX34" t="s">
        <v>6984</v>
      </c>
      <c r="IYY34" t="s">
        <v>6984</v>
      </c>
      <c r="IYZ34" t="s">
        <v>6984</v>
      </c>
      <c r="IZA34" t="s">
        <v>6984</v>
      </c>
      <c r="IZB34" t="s">
        <v>6984</v>
      </c>
      <c r="IZC34" t="s">
        <v>6984</v>
      </c>
      <c r="IZD34" t="s">
        <v>6984</v>
      </c>
      <c r="IZE34" t="s">
        <v>6984</v>
      </c>
      <c r="IZF34" t="s">
        <v>6984</v>
      </c>
      <c r="IZG34" t="s">
        <v>6984</v>
      </c>
      <c r="IZH34" t="s">
        <v>6984</v>
      </c>
      <c r="IZI34" t="s">
        <v>6984</v>
      </c>
      <c r="IZJ34" t="s">
        <v>6984</v>
      </c>
      <c r="IZK34" t="s">
        <v>6984</v>
      </c>
      <c r="IZL34" t="s">
        <v>6984</v>
      </c>
      <c r="IZM34" t="s">
        <v>6984</v>
      </c>
      <c r="IZN34" t="s">
        <v>6984</v>
      </c>
      <c r="IZO34" t="s">
        <v>6984</v>
      </c>
      <c r="IZP34" t="s">
        <v>6984</v>
      </c>
      <c r="IZQ34" t="s">
        <v>6984</v>
      </c>
      <c r="IZR34" t="s">
        <v>6984</v>
      </c>
      <c r="IZS34" t="s">
        <v>6984</v>
      </c>
      <c r="IZT34" t="s">
        <v>6984</v>
      </c>
      <c r="IZU34" t="s">
        <v>6984</v>
      </c>
      <c r="IZV34" t="s">
        <v>6984</v>
      </c>
      <c r="IZW34" t="s">
        <v>6984</v>
      </c>
      <c r="IZX34" t="s">
        <v>6984</v>
      </c>
      <c r="IZY34" t="s">
        <v>6984</v>
      </c>
      <c r="IZZ34" t="s">
        <v>6984</v>
      </c>
      <c r="JAA34" t="s">
        <v>6984</v>
      </c>
      <c r="JAB34" t="s">
        <v>6984</v>
      </c>
      <c r="JAC34" t="s">
        <v>6984</v>
      </c>
      <c r="JAD34" t="s">
        <v>6984</v>
      </c>
      <c r="JAE34" t="s">
        <v>6984</v>
      </c>
      <c r="JAF34" t="s">
        <v>6984</v>
      </c>
      <c r="JAG34" t="s">
        <v>6984</v>
      </c>
      <c r="JAH34" t="s">
        <v>6984</v>
      </c>
      <c r="JAI34" t="s">
        <v>6984</v>
      </c>
      <c r="JAJ34" t="s">
        <v>6984</v>
      </c>
      <c r="JAK34" t="s">
        <v>6984</v>
      </c>
      <c r="JAL34" t="s">
        <v>6984</v>
      </c>
      <c r="JAM34" t="s">
        <v>6984</v>
      </c>
      <c r="JAN34" t="s">
        <v>6984</v>
      </c>
      <c r="JAO34" t="s">
        <v>6984</v>
      </c>
      <c r="JAP34" t="s">
        <v>6984</v>
      </c>
      <c r="JAQ34" t="s">
        <v>6984</v>
      </c>
      <c r="JAR34" t="s">
        <v>6984</v>
      </c>
      <c r="JAS34" t="s">
        <v>6984</v>
      </c>
      <c r="JAT34" t="s">
        <v>6984</v>
      </c>
      <c r="JAU34" t="s">
        <v>6984</v>
      </c>
      <c r="JAV34" t="s">
        <v>6984</v>
      </c>
      <c r="JAW34" t="s">
        <v>6984</v>
      </c>
      <c r="JAX34" t="s">
        <v>6984</v>
      </c>
      <c r="JAY34" t="s">
        <v>6984</v>
      </c>
      <c r="JAZ34" t="s">
        <v>6984</v>
      </c>
      <c r="JBA34" t="s">
        <v>6984</v>
      </c>
      <c r="JBB34" t="s">
        <v>6984</v>
      </c>
      <c r="JBC34" t="s">
        <v>6984</v>
      </c>
      <c r="JBD34" t="s">
        <v>6984</v>
      </c>
      <c r="JBE34" t="s">
        <v>6984</v>
      </c>
      <c r="JBF34" t="s">
        <v>6984</v>
      </c>
      <c r="JBG34" t="s">
        <v>6984</v>
      </c>
      <c r="JBH34" t="s">
        <v>6984</v>
      </c>
      <c r="JBI34" t="s">
        <v>6984</v>
      </c>
      <c r="JBJ34" t="s">
        <v>6984</v>
      </c>
      <c r="JBK34" t="s">
        <v>6984</v>
      </c>
      <c r="JBL34" t="s">
        <v>6984</v>
      </c>
      <c r="JBM34" t="s">
        <v>6984</v>
      </c>
      <c r="JBN34" t="s">
        <v>6984</v>
      </c>
      <c r="JBO34" t="s">
        <v>6984</v>
      </c>
      <c r="JBP34" t="s">
        <v>6984</v>
      </c>
      <c r="JBQ34" t="s">
        <v>6984</v>
      </c>
      <c r="JBR34" t="s">
        <v>6984</v>
      </c>
      <c r="JBS34" t="s">
        <v>6984</v>
      </c>
      <c r="JBT34" t="s">
        <v>6984</v>
      </c>
      <c r="JBU34" t="s">
        <v>6984</v>
      </c>
      <c r="JBV34" t="s">
        <v>6984</v>
      </c>
      <c r="JBW34" t="s">
        <v>6984</v>
      </c>
      <c r="JBX34" t="s">
        <v>6984</v>
      </c>
      <c r="JBY34" t="s">
        <v>6984</v>
      </c>
      <c r="JBZ34" t="s">
        <v>6984</v>
      </c>
      <c r="JCA34" t="s">
        <v>6984</v>
      </c>
      <c r="JCB34" t="s">
        <v>6984</v>
      </c>
      <c r="JCC34" t="s">
        <v>6984</v>
      </c>
      <c r="JCD34" t="s">
        <v>6984</v>
      </c>
      <c r="JCE34" t="s">
        <v>6984</v>
      </c>
      <c r="JCF34" t="s">
        <v>6984</v>
      </c>
      <c r="JCG34" t="s">
        <v>6984</v>
      </c>
      <c r="JCH34" t="s">
        <v>6984</v>
      </c>
      <c r="JCI34" t="s">
        <v>6984</v>
      </c>
      <c r="JCJ34" t="s">
        <v>6984</v>
      </c>
      <c r="JCK34" t="s">
        <v>6984</v>
      </c>
      <c r="JCL34" t="s">
        <v>6984</v>
      </c>
      <c r="JCM34" t="s">
        <v>6984</v>
      </c>
      <c r="JCN34" t="s">
        <v>6984</v>
      </c>
      <c r="JCO34" t="s">
        <v>6984</v>
      </c>
      <c r="JCP34" t="s">
        <v>6984</v>
      </c>
      <c r="JCQ34" t="s">
        <v>6984</v>
      </c>
      <c r="JCR34" t="s">
        <v>6984</v>
      </c>
      <c r="JCS34" t="s">
        <v>6984</v>
      </c>
      <c r="JCT34" t="s">
        <v>6984</v>
      </c>
      <c r="JCU34" t="s">
        <v>6984</v>
      </c>
      <c r="JCV34" t="s">
        <v>6984</v>
      </c>
      <c r="JCW34" t="s">
        <v>6984</v>
      </c>
      <c r="JCX34" t="s">
        <v>6984</v>
      </c>
      <c r="JCY34" t="s">
        <v>6984</v>
      </c>
      <c r="JCZ34" t="s">
        <v>6984</v>
      </c>
      <c r="JDA34" t="s">
        <v>6984</v>
      </c>
      <c r="JDB34" t="s">
        <v>6984</v>
      </c>
      <c r="JDC34" t="s">
        <v>6984</v>
      </c>
      <c r="JDD34" t="s">
        <v>6984</v>
      </c>
      <c r="JDE34" t="s">
        <v>6984</v>
      </c>
      <c r="JDF34" t="s">
        <v>6984</v>
      </c>
      <c r="JDG34" t="s">
        <v>6984</v>
      </c>
      <c r="JDH34" t="s">
        <v>6984</v>
      </c>
      <c r="JDI34" t="s">
        <v>6984</v>
      </c>
      <c r="JDJ34" t="s">
        <v>6984</v>
      </c>
      <c r="JDK34" t="s">
        <v>6984</v>
      </c>
      <c r="JDL34" t="s">
        <v>6984</v>
      </c>
      <c r="JDM34" t="s">
        <v>6984</v>
      </c>
      <c r="JDN34" t="s">
        <v>6984</v>
      </c>
      <c r="JDO34" t="s">
        <v>6984</v>
      </c>
      <c r="JDP34" t="s">
        <v>6984</v>
      </c>
      <c r="JDQ34" t="s">
        <v>6984</v>
      </c>
      <c r="JDR34" t="s">
        <v>6984</v>
      </c>
      <c r="JDS34" t="s">
        <v>6984</v>
      </c>
      <c r="JDT34" t="s">
        <v>6984</v>
      </c>
      <c r="JDU34" t="s">
        <v>6984</v>
      </c>
      <c r="JDV34" t="s">
        <v>6984</v>
      </c>
      <c r="JDW34" t="s">
        <v>6984</v>
      </c>
      <c r="JDX34" t="s">
        <v>6984</v>
      </c>
      <c r="JDY34" t="s">
        <v>6984</v>
      </c>
      <c r="JDZ34" t="s">
        <v>6984</v>
      </c>
      <c r="JEA34" t="s">
        <v>6984</v>
      </c>
      <c r="JEB34" t="s">
        <v>6984</v>
      </c>
      <c r="JEC34" t="s">
        <v>6984</v>
      </c>
      <c r="JED34" t="s">
        <v>6984</v>
      </c>
      <c r="JEE34" t="s">
        <v>6984</v>
      </c>
      <c r="JEF34" t="s">
        <v>6984</v>
      </c>
      <c r="JEG34" t="s">
        <v>6984</v>
      </c>
      <c r="JEH34" t="s">
        <v>6984</v>
      </c>
      <c r="JEI34" t="s">
        <v>6984</v>
      </c>
      <c r="JEJ34" t="s">
        <v>6984</v>
      </c>
      <c r="JEK34" t="s">
        <v>6984</v>
      </c>
      <c r="JEL34" t="s">
        <v>6984</v>
      </c>
      <c r="JEM34" t="s">
        <v>6984</v>
      </c>
      <c r="JEN34" t="s">
        <v>6984</v>
      </c>
      <c r="JEO34" t="s">
        <v>6984</v>
      </c>
      <c r="JEP34" t="s">
        <v>6984</v>
      </c>
      <c r="JEQ34" t="s">
        <v>6984</v>
      </c>
      <c r="JER34" t="s">
        <v>6984</v>
      </c>
      <c r="JES34" t="s">
        <v>6984</v>
      </c>
      <c r="JET34" t="s">
        <v>6984</v>
      </c>
      <c r="JEU34" t="s">
        <v>6984</v>
      </c>
      <c r="JEV34" t="s">
        <v>6984</v>
      </c>
      <c r="JEW34" t="s">
        <v>6984</v>
      </c>
      <c r="JEX34" t="s">
        <v>6984</v>
      </c>
      <c r="JEY34" t="s">
        <v>6984</v>
      </c>
      <c r="JEZ34" t="s">
        <v>6984</v>
      </c>
      <c r="JFA34" t="s">
        <v>6984</v>
      </c>
      <c r="JFB34" t="s">
        <v>6984</v>
      </c>
      <c r="JFC34" t="s">
        <v>6984</v>
      </c>
      <c r="JFD34" t="s">
        <v>6984</v>
      </c>
      <c r="JFE34" t="s">
        <v>6984</v>
      </c>
      <c r="JFF34" t="s">
        <v>6984</v>
      </c>
      <c r="JFG34" t="s">
        <v>6984</v>
      </c>
      <c r="JFH34" t="s">
        <v>6984</v>
      </c>
      <c r="JFI34" t="s">
        <v>6984</v>
      </c>
      <c r="JFJ34" t="s">
        <v>6984</v>
      </c>
      <c r="JFK34" t="s">
        <v>6984</v>
      </c>
      <c r="JFL34" t="s">
        <v>6984</v>
      </c>
      <c r="JFM34" t="s">
        <v>6984</v>
      </c>
      <c r="JFN34" t="s">
        <v>6984</v>
      </c>
      <c r="JFO34" t="s">
        <v>6984</v>
      </c>
      <c r="JFP34" t="s">
        <v>6984</v>
      </c>
      <c r="JFQ34" t="s">
        <v>6984</v>
      </c>
      <c r="JFR34" t="s">
        <v>6984</v>
      </c>
      <c r="JFS34" t="s">
        <v>6984</v>
      </c>
      <c r="JFT34" t="s">
        <v>6984</v>
      </c>
      <c r="JFU34" t="s">
        <v>6984</v>
      </c>
      <c r="JFV34" t="s">
        <v>6984</v>
      </c>
      <c r="JFW34" t="s">
        <v>6984</v>
      </c>
      <c r="JFX34" t="s">
        <v>6984</v>
      </c>
      <c r="JFY34" t="s">
        <v>6984</v>
      </c>
      <c r="JFZ34" t="s">
        <v>6984</v>
      </c>
      <c r="JGA34" t="s">
        <v>6984</v>
      </c>
      <c r="JGB34" t="s">
        <v>6984</v>
      </c>
      <c r="JGC34" t="s">
        <v>6984</v>
      </c>
      <c r="JGD34" t="s">
        <v>6984</v>
      </c>
      <c r="JGE34" t="s">
        <v>6984</v>
      </c>
      <c r="JGF34" t="s">
        <v>6984</v>
      </c>
      <c r="JGG34" t="s">
        <v>6984</v>
      </c>
      <c r="JGH34" t="s">
        <v>6984</v>
      </c>
      <c r="JGI34" t="s">
        <v>6984</v>
      </c>
      <c r="JGJ34" t="s">
        <v>6984</v>
      </c>
      <c r="JGK34" t="s">
        <v>6984</v>
      </c>
      <c r="JGL34" t="s">
        <v>6984</v>
      </c>
      <c r="JGM34" t="s">
        <v>6984</v>
      </c>
      <c r="JGN34" t="s">
        <v>6984</v>
      </c>
      <c r="JGO34" t="s">
        <v>6984</v>
      </c>
      <c r="JGP34" t="s">
        <v>6984</v>
      </c>
      <c r="JGQ34" t="s">
        <v>6984</v>
      </c>
      <c r="JGR34" t="s">
        <v>6984</v>
      </c>
      <c r="JGS34" t="s">
        <v>6984</v>
      </c>
      <c r="JGT34" t="s">
        <v>6984</v>
      </c>
      <c r="JGU34" t="s">
        <v>6984</v>
      </c>
      <c r="JGV34" t="s">
        <v>6984</v>
      </c>
      <c r="JGW34" t="s">
        <v>6984</v>
      </c>
      <c r="JGX34" t="s">
        <v>6984</v>
      </c>
      <c r="JGY34" t="s">
        <v>6984</v>
      </c>
      <c r="JGZ34" t="s">
        <v>6984</v>
      </c>
      <c r="JHA34" t="s">
        <v>6984</v>
      </c>
      <c r="JHB34" t="s">
        <v>6984</v>
      </c>
      <c r="JHC34" t="s">
        <v>6984</v>
      </c>
      <c r="JHD34" t="s">
        <v>6984</v>
      </c>
      <c r="JHE34" t="s">
        <v>6984</v>
      </c>
      <c r="JHF34" t="s">
        <v>6984</v>
      </c>
      <c r="JHG34" t="s">
        <v>6984</v>
      </c>
      <c r="JHH34" t="s">
        <v>6984</v>
      </c>
      <c r="JHI34" t="s">
        <v>6984</v>
      </c>
      <c r="JHJ34" t="s">
        <v>6984</v>
      </c>
      <c r="JHK34" t="s">
        <v>6984</v>
      </c>
      <c r="JHL34" t="s">
        <v>6984</v>
      </c>
      <c r="JHM34" t="s">
        <v>6984</v>
      </c>
      <c r="JHN34" t="s">
        <v>6984</v>
      </c>
      <c r="JHO34" t="s">
        <v>6984</v>
      </c>
      <c r="JHP34" t="s">
        <v>6984</v>
      </c>
      <c r="JHQ34" t="s">
        <v>6984</v>
      </c>
      <c r="JHR34" t="s">
        <v>6984</v>
      </c>
      <c r="JHS34" t="s">
        <v>6984</v>
      </c>
      <c r="JHT34" t="s">
        <v>6984</v>
      </c>
      <c r="JHU34" t="s">
        <v>6984</v>
      </c>
      <c r="JHV34" t="s">
        <v>6984</v>
      </c>
      <c r="JHW34" t="s">
        <v>6984</v>
      </c>
      <c r="JHX34" t="s">
        <v>6984</v>
      </c>
      <c r="JHY34" t="s">
        <v>6984</v>
      </c>
      <c r="JHZ34" t="s">
        <v>6984</v>
      </c>
      <c r="JIA34" t="s">
        <v>6984</v>
      </c>
      <c r="JIB34" t="s">
        <v>6984</v>
      </c>
      <c r="JIC34" t="s">
        <v>6984</v>
      </c>
      <c r="JID34" t="s">
        <v>6984</v>
      </c>
      <c r="JIE34" t="s">
        <v>6984</v>
      </c>
      <c r="JIF34" t="s">
        <v>6984</v>
      </c>
      <c r="JIG34" t="s">
        <v>6984</v>
      </c>
      <c r="JIH34" t="s">
        <v>6984</v>
      </c>
      <c r="JII34" t="s">
        <v>6984</v>
      </c>
      <c r="JIJ34" t="s">
        <v>6984</v>
      </c>
      <c r="JIK34" t="s">
        <v>6984</v>
      </c>
      <c r="JIL34" t="s">
        <v>6984</v>
      </c>
      <c r="JIM34" t="s">
        <v>6984</v>
      </c>
      <c r="JIN34" t="s">
        <v>6984</v>
      </c>
      <c r="JIO34" t="s">
        <v>6984</v>
      </c>
      <c r="JIP34" t="s">
        <v>6984</v>
      </c>
      <c r="JIQ34" t="s">
        <v>6984</v>
      </c>
      <c r="JIR34" t="s">
        <v>6984</v>
      </c>
      <c r="JIS34" t="s">
        <v>6984</v>
      </c>
      <c r="JIT34" t="s">
        <v>6984</v>
      </c>
      <c r="JIU34" t="s">
        <v>6984</v>
      </c>
      <c r="JIV34" t="s">
        <v>6984</v>
      </c>
      <c r="JIW34" t="s">
        <v>6984</v>
      </c>
      <c r="JIX34" t="s">
        <v>6984</v>
      </c>
      <c r="JIY34" t="s">
        <v>6984</v>
      </c>
      <c r="JIZ34" t="s">
        <v>6984</v>
      </c>
      <c r="JJA34" t="s">
        <v>6984</v>
      </c>
    </row>
    <row r="35" spans="1:7021" x14ac:dyDescent="0.25">
      <c r="A35" t="s">
        <v>7016</v>
      </c>
      <c r="B35">
        <v>95.52</v>
      </c>
      <c r="C35">
        <v>95.52</v>
      </c>
      <c r="D35">
        <v>95.52</v>
      </c>
      <c r="E35">
        <v>95.564999999999998</v>
      </c>
      <c r="F35">
        <v>95.51</v>
      </c>
      <c r="G35">
        <v>95.56</v>
      </c>
      <c r="H35">
        <v>95.61</v>
      </c>
      <c r="I35">
        <v>95.55</v>
      </c>
      <c r="J35">
        <v>95.5</v>
      </c>
      <c r="K35">
        <v>95.484999999999999</v>
      </c>
      <c r="L35">
        <v>95.48</v>
      </c>
      <c r="M35">
        <v>95.58</v>
      </c>
      <c r="N35">
        <v>95.605000000000004</v>
      </c>
      <c r="O35">
        <v>95.515000000000001</v>
      </c>
      <c r="P35">
        <v>95.51</v>
      </c>
      <c r="Q35">
        <v>95.57</v>
      </c>
      <c r="R35">
        <v>95.55</v>
      </c>
      <c r="S35">
        <v>95.52</v>
      </c>
      <c r="T35">
        <v>95.57</v>
      </c>
      <c r="U35">
        <v>95.484999999999999</v>
      </c>
      <c r="V35">
        <v>95.484999999999999</v>
      </c>
      <c r="W35">
        <v>95.41</v>
      </c>
      <c r="X35">
        <v>95.35</v>
      </c>
      <c r="Y35">
        <v>95.454999999999998</v>
      </c>
      <c r="Z35">
        <v>95.465000000000003</v>
      </c>
      <c r="AA35">
        <v>95.504999999999995</v>
      </c>
      <c r="AB35">
        <v>95.484999999999999</v>
      </c>
      <c r="AC35">
        <v>95.415000000000006</v>
      </c>
      <c r="AD35">
        <v>95.45</v>
      </c>
      <c r="AE35">
        <v>95.5</v>
      </c>
      <c r="AF35">
        <v>95.555000000000007</v>
      </c>
      <c r="AG35">
        <v>95.555000000000007</v>
      </c>
      <c r="AH35">
        <v>95.65</v>
      </c>
      <c r="AI35">
        <v>95.6</v>
      </c>
      <c r="AJ35">
        <v>95.594999999999999</v>
      </c>
      <c r="AK35">
        <v>95.63</v>
      </c>
      <c r="AL35">
        <v>95.674999999999997</v>
      </c>
      <c r="AM35">
        <v>95.724999999999994</v>
      </c>
      <c r="AN35">
        <v>95.7</v>
      </c>
      <c r="AO35">
        <v>95.64</v>
      </c>
      <c r="AP35">
        <v>95.59</v>
      </c>
      <c r="AQ35">
        <v>95.53</v>
      </c>
      <c r="AR35">
        <v>95.46</v>
      </c>
      <c r="AS35">
        <v>95.43</v>
      </c>
      <c r="AT35">
        <v>95.38</v>
      </c>
      <c r="AU35">
        <v>95.57</v>
      </c>
      <c r="AV35">
        <v>95.57</v>
      </c>
      <c r="AW35">
        <v>95.67</v>
      </c>
      <c r="AX35">
        <v>95.644999999999996</v>
      </c>
      <c r="AY35">
        <v>95.63</v>
      </c>
      <c r="AZ35">
        <v>95.525000000000006</v>
      </c>
      <c r="BA35">
        <v>95.674999999999997</v>
      </c>
      <c r="BB35">
        <v>95.644999999999996</v>
      </c>
      <c r="BC35">
        <v>95.81</v>
      </c>
      <c r="BD35">
        <v>95.9</v>
      </c>
      <c r="BE35">
        <v>96.08</v>
      </c>
      <c r="BF35">
        <v>96</v>
      </c>
      <c r="BG35">
        <v>95.86</v>
      </c>
      <c r="BH35">
        <v>95.92</v>
      </c>
      <c r="BI35">
        <v>95.814999999999998</v>
      </c>
      <c r="BJ35">
        <v>95.784999999999997</v>
      </c>
      <c r="BK35">
        <v>95.67</v>
      </c>
      <c r="BL35">
        <v>95.754999999999995</v>
      </c>
      <c r="BM35">
        <v>95.784999999999997</v>
      </c>
      <c r="BN35">
        <v>95.76</v>
      </c>
      <c r="BO35">
        <v>95.84</v>
      </c>
      <c r="BP35">
        <v>95.855000000000004</v>
      </c>
      <c r="BQ35">
        <v>95.814999999999998</v>
      </c>
      <c r="BR35">
        <v>95.814999999999998</v>
      </c>
      <c r="BS35">
        <v>95.78</v>
      </c>
      <c r="BT35">
        <v>95.754999999999995</v>
      </c>
      <c r="BU35">
        <v>95.83</v>
      </c>
      <c r="BV35">
        <v>95.8</v>
      </c>
      <c r="BW35">
        <v>95.83</v>
      </c>
      <c r="BX35">
        <v>95.924999999999997</v>
      </c>
      <c r="BY35">
        <v>95.795000000000002</v>
      </c>
      <c r="BZ35">
        <v>95.82</v>
      </c>
      <c r="CA35">
        <v>95.844999999999999</v>
      </c>
      <c r="CB35">
        <v>95.905000000000001</v>
      </c>
      <c r="CC35">
        <v>95.95</v>
      </c>
      <c r="CD35">
        <v>95.89</v>
      </c>
      <c r="CE35">
        <v>95.83</v>
      </c>
      <c r="CF35">
        <v>95.875</v>
      </c>
      <c r="CG35">
        <v>95.805000000000007</v>
      </c>
      <c r="CH35">
        <v>95.67</v>
      </c>
      <c r="CI35">
        <v>95.644999999999996</v>
      </c>
      <c r="CJ35">
        <v>95.564999999999998</v>
      </c>
      <c r="CK35">
        <v>95.515000000000001</v>
      </c>
      <c r="CL35">
        <v>95.515000000000001</v>
      </c>
      <c r="CM35">
        <v>95.59</v>
      </c>
      <c r="CN35">
        <v>95.59</v>
      </c>
      <c r="CO35">
        <v>95.534999999999997</v>
      </c>
      <c r="CP35">
        <v>95.424999999999997</v>
      </c>
      <c r="CQ35">
        <v>95.564999999999998</v>
      </c>
      <c r="CR35">
        <v>95.614999999999995</v>
      </c>
      <c r="CS35">
        <v>95.614999999999995</v>
      </c>
      <c r="CT35">
        <v>95.674999999999997</v>
      </c>
      <c r="CU35">
        <v>95.724999999999994</v>
      </c>
      <c r="CV35">
        <v>95.614999999999995</v>
      </c>
      <c r="CW35">
        <v>95.59</v>
      </c>
      <c r="CX35">
        <v>95.545000000000002</v>
      </c>
      <c r="CY35">
        <v>95.614999999999995</v>
      </c>
      <c r="CZ35">
        <v>95.57</v>
      </c>
      <c r="DA35">
        <v>95.58</v>
      </c>
      <c r="DB35">
        <v>95.605000000000004</v>
      </c>
      <c r="DC35">
        <v>95.495000000000005</v>
      </c>
      <c r="DD35">
        <v>95.495000000000005</v>
      </c>
      <c r="DE35">
        <v>95.55</v>
      </c>
      <c r="DF35">
        <v>95.58</v>
      </c>
      <c r="DG35">
        <v>95.534999999999997</v>
      </c>
      <c r="DH35">
        <v>95.534999999999997</v>
      </c>
      <c r="DI35">
        <v>95.534999999999997</v>
      </c>
      <c r="DJ35">
        <v>95.495000000000005</v>
      </c>
      <c r="DK35">
        <v>95.35</v>
      </c>
      <c r="DL35">
        <v>95.33</v>
      </c>
      <c r="DM35">
        <v>95.37</v>
      </c>
      <c r="DN35">
        <v>95.43</v>
      </c>
      <c r="DO35">
        <v>95.415000000000006</v>
      </c>
      <c r="DP35">
        <v>95.424999999999997</v>
      </c>
      <c r="DQ35">
        <v>95.504999999999995</v>
      </c>
      <c r="DR35">
        <v>95.56</v>
      </c>
      <c r="DS35">
        <v>95.57</v>
      </c>
      <c r="DT35">
        <v>95.564999999999998</v>
      </c>
      <c r="DU35">
        <v>95.564999999999998</v>
      </c>
      <c r="DV35">
        <v>95.605000000000004</v>
      </c>
      <c r="DW35">
        <v>95.525000000000006</v>
      </c>
      <c r="DX35">
        <v>95.584999999999994</v>
      </c>
      <c r="DY35">
        <v>95.57</v>
      </c>
      <c r="DZ35">
        <v>95.57</v>
      </c>
      <c r="EA35">
        <v>95.545000000000002</v>
      </c>
      <c r="EB35">
        <v>95.644999999999996</v>
      </c>
      <c r="EC35">
        <v>95.575000000000003</v>
      </c>
      <c r="ED35">
        <v>95.704999999999998</v>
      </c>
      <c r="EE35">
        <v>95.814999999999998</v>
      </c>
      <c r="EF35">
        <v>95.8</v>
      </c>
      <c r="EG35">
        <v>95.805000000000007</v>
      </c>
      <c r="EH35">
        <v>95.89</v>
      </c>
      <c r="EI35">
        <v>95.954999999999998</v>
      </c>
      <c r="EJ35">
        <v>96.015000000000001</v>
      </c>
      <c r="EK35">
        <v>96.04</v>
      </c>
      <c r="EL35">
        <v>96.08</v>
      </c>
      <c r="EM35">
        <v>96.045000000000002</v>
      </c>
      <c r="EN35">
        <v>96.03</v>
      </c>
      <c r="EO35">
        <v>96.004999999999995</v>
      </c>
      <c r="EP35">
        <v>96.04</v>
      </c>
      <c r="EQ35">
        <v>96.04</v>
      </c>
      <c r="ER35">
        <v>96.004999999999995</v>
      </c>
      <c r="ES35">
        <v>96.004999999999995</v>
      </c>
      <c r="ET35">
        <v>95.94</v>
      </c>
      <c r="EU35">
        <v>96.004999999999995</v>
      </c>
      <c r="EV35">
        <v>95.855000000000004</v>
      </c>
      <c r="EW35">
        <v>95.82</v>
      </c>
      <c r="EX35">
        <v>95.814999999999998</v>
      </c>
      <c r="EY35">
        <v>95.844999999999999</v>
      </c>
      <c r="EZ35">
        <v>95.81</v>
      </c>
      <c r="FA35">
        <v>95.8</v>
      </c>
      <c r="FB35">
        <v>95.805000000000007</v>
      </c>
      <c r="FC35">
        <v>95.77</v>
      </c>
      <c r="FD35">
        <v>95.795000000000002</v>
      </c>
      <c r="FE35">
        <v>95.855000000000004</v>
      </c>
      <c r="FF35">
        <v>95.905000000000001</v>
      </c>
      <c r="FG35">
        <v>95.86</v>
      </c>
      <c r="FH35">
        <v>95.754999999999995</v>
      </c>
      <c r="FI35">
        <v>95.924999999999997</v>
      </c>
      <c r="FJ35">
        <v>95.9</v>
      </c>
      <c r="FK35">
        <v>95.834999999999994</v>
      </c>
      <c r="FL35">
        <v>95.894999999999996</v>
      </c>
      <c r="FM35">
        <v>95.905000000000001</v>
      </c>
      <c r="FN35">
        <v>95.875</v>
      </c>
      <c r="FO35">
        <v>95.87</v>
      </c>
      <c r="FP35">
        <v>95.905000000000001</v>
      </c>
      <c r="FQ35">
        <v>95.93</v>
      </c>
      <c r="FR35">
        <v>95.88</v>
      </c>
      <c r="FS35">
        <v>95.91</v>
      </c>
      <c r="FT35">
        <v>95.935000000000002</v>
      </c>
      <c r="FU35">
        <v>96.05</v>
      </c>
      <c r="FV35">
        <v>96.034999999999997</v>
      </c>
      <c r="FW35">
        <v>96.135000000000005</v>
      </c>
      <c r="FX35">
        <v>96.114999999999995</v>
      </c>
      <c r="FY35">
        <v>96.02</v>
      </c>
      <c r="FZ35">
        <v>96.06</v>
      </c>
      <c r="GA35">
        <v>96.05</v>
      </c>
      <c r="GB35">
        <v>96.094999999999999</v>
      </c>
      <c r="GC35">
        <v>96.12</v>
      </c>
      <c r="GD35">
        <v>96.135000000000005</v>
      </c>
      <c r="GE35">
        <v>96.17</v>
      </c>
      <c r="GF35">
        <v>96.25</v>
      </c>
      <c r="GG35">
        <v>96.32</v>
      </c>
      <c r="GH35">
        <v>96.364999999999995</v>
      </c>
      <c r="GI35">
        <v>96.295000000000002</v>
      </c>
      <c r="GJ35">
        <v>96.334999999999994</v>
      </c>
      <c r="GK35">
        <v>96.305000000000007</v>
      </c>
      <c r="GL35">
        <v>96.284999999999997</v>
      </c>
      <c r="GM35">
        <v>96.325000000000003</v>
      </c>
      <c r="GN35">
        <v>96.33</v>
      </c>
      <c r="GO35">
        <v>96.344999999999999</v>
      </c>
      <c r="GP35">
        <v>96.325000000000003</v>
      </c>
      <c r="GQ35">
        <v>96.4</v>
      </c>
      <c r="GR35">
        <v>96.484999999999999</v>
      </c>
      <c r="GS35">
        <v>96.474999999999994</v>
      </c>
      <c r="GT35">
        <v>96.454999999999998</v>
      </c>
      <c r="GU35">
        <v>96.45</v>
      </c>
      <c r="GV35">
        <v>96.48</v>
      </c>
      <c r="GW35">
        <v>96.484999999999999</v>
      </c>
      <c r="GX35">
        <v>96.43</v>
      </c>
      <c r="GY35">
        <v>96.405000000000001</v>
      </c>
      <c r="GZ35">
        <v>96.42</v>
      </c>
      <c r="HA35">
        <v>96.385000000000005</v>
      </c>
      <c r="HB35">
        <v>96.334999999999994</v>
      </c>
      <c r="HC35">
        <v>96.254999999999995</v>
      </c>
      <c r="HD35">
        <v>96.254999999999995</v>
      </c>
      <c r="HE35">
        <v>96.3</v>
      </c>
      <c r="HF35">
        <v>96.314999999999998</v>
      </c>
      <c r="HG35">
        <v>96.33</v>
      </c>
      <c r="HH35">
        <v>96.35</v>
      </c>
      <c r="HI35">
        <v>96.34</v>
      </c>
      <c r="HJ35">
        <v>96.28</v>
      </c>
      <c r="HK35">
        <v>96.355000000000004</v>
      </c>
      <c r="HL35">
        <v>96.33</v>
      </c>
      <c r="HM35">
        <v>96.28</v>
      </c>
      <c r="HN35">
        <v>96.24</v>
      </c>
      <c r="HO35">
        <v>96.2</v>
      </c>
      <c r="HP35">
        <v>96.27</v>
      </c>
      <c r="HQ35">
        <v>96.234999999999999</v>
      </c>
      <c r="HR35">
        <v>96.204999999999998</v>
      </c>
      <c r="HS35">
        <v>96.165000000000006</v>
      </c>
      <c r="HT35">
        <v>96.084999999999994</v>
      </c>
      <c r="HU35">
        <v>96.094999999999999</v>
      </c>
      <c r="HV35">
        <v>96.19</v>
      </c>
      <c r="HW35">
        <v>96.29</v>
      </c>
      <c r="HX35">
        <v>96.295000000000002</v>
      </c>
      <c r="HY35">
        <v>96.17</v>
      </c>
      <c r="HZ35">
        <v>96.07</v>
      </c>
      <c r="IA35">
        <v>96.034999999999997</v>
      </c>
      <c r="IB35">
        <v>96</v>
      </c>
      <c r="IC35">
        <v>95.974999999999994</v>
      </c>
      <c r="ID35">
        <v>95.935000000000002</v>
      </c>
      <c r="IE35">
        <v>95.894999999999996</v>
      </c>
      <c r="IF35">
        <v>95.99</v>
      </c>
      <c r="IG35">
        <v>95.974999999999994</v>
      </c>
      <c r="IH35">
        <v>95.984999999999999</v>
      </c>
      <c r="II35">
        <v>96.034999999999997</v>
      </c>
      <c r="IJ35">
        <v>96.09</v>
      </c>
      <c r="IK35">
        <v>96.064999999999998</v>
      </c>
      <c r="IL35">
        <v>95.99</v>
      </c>
      <c r="IM35">
        <v>96.034999999999997</v>
      </c>
      <c r="IN35">
        <v>96.055000000000007</v>
      </c>
      <c r="IO35">
        <v>95.98</v>
      </c>
      <c r="IP35">
        <v>95.95</v>
      </c>
      <c r="IQ35">
        <v>95.99</v>
      </c>
      <c r="IR35">
        <v>95.984999999999999</v>
      </c>
      <c r="IS35">
        <v>95.93</v>
      </c>
      <c r="IT35">
        <v>95.93</v>
      </c>
      <c r="IU35">
        <v>95.825000000000003</v>
      </c>
      <c r="IV35">
        <v>95.79</v>
      </c>
      <c r="IW35">
        <v>95.95</v>
      </c>
      <c r="IX35">
        <v>96.015000000000001</v>
      </c>
      <c r="IY35">
        <v>95.984999999999999</v>
      </c>
      <c r="IZ35">
        <v>96.075000000000003</v>
      </c>
      <c r="JA35">
        <v>96.064999999999998</v>
      </c>
      <c r="JB35">
        <v>96.045000000000002</v>
      </c>
      <c r="JC35">
        <v>96.055000000000007</v>
      </c>
      <c r="JD35">
        <v>96.094999999999999</v>
      </c>
      <c r="JE35">
        <v>96.094999999999999</v>
      </c>
      <c r="JF35">
        <v>96.034999999999997</v>
      </c>
      <c r="JG35">
        <v>96.114999999999995</v>
      </c>
      <c r="JH35">
        <v>96.05</v>
      </c>
      <c r="JI35">
        <v>95.995000000000005</v>
      </c>
      <c r="JJ35">
        <v>95.88</v>
      </c>
      <c r="JK35">
        <v>95.8</v>
      </c>
      <c r="JL35">
        <v>95.844999999999999</v>
      </c>
      <c r="JM35">
        <v>95.995000000000005</v>
      </c>
      <c r="JN35">
        <v>95.995000000000005</v>
      </c>
      <c r="JO35">
        <v>95.96</v>
      </c>
      <c r="JP35">
        <v>95.88</v>
      </c>
      <c r="JQ35">
        <v>95.77</v>
      </c>
      <c r="JR35">
        <v>95.745000000000005</v>
      </c>
      <c r="JS35">
        <v>95.685000000000002</v>
      </c>
      <c r="JT35">
        <v>95.79</v>
      </c>
      <c r="JU35">
        <v>95.864999999999995</v>
      </c>
      <c r="JV35">
        <v>95.864999999999995</v>
      </c>
      <c r="JW35">
        <v>95.844999999999999</v>
      </c>
      <c r="JX35">
        <v>95.844999999999999</v>
      </c>
      <c r="JY35">
        <v>95.85</v>
      </c>
      <c r="JZ35">
        <v>95.82</v>
      </c>
      <c r="KA35">
        <v>95.84</v>
      </c>
      <c r="KB35">
        <v>95.885000000000005</v>
      </c>
      <c r="KC35">
        <v>95.89</v>
      </c>
      <c r="KD35">
        <v>95.82</v>
      </c>
      <c r="KE35">
        <v>95.784999999999997</v>
      </c>
      <c r="KF35">
        <v>95.76</v>
      </c>
      <c r="KG35">
        <v>95.814999999999998</v>
      </c>
      <c r="KH35">
        <v>95.784999999999997</v>
      </c>
      <c r="KI35">
        <v>95.825000000000003</v>
      </c>
      <c r="KJ35">
        <v>95.78</v>
      </c>
      <c r="KK35">
        <v>95.76</v>
      </c>
      <c r="KL35">
        <v>95.685000000000002</v>
      </c>
      <c r="KM35">
        <v>95.67</v>
      </c>
      <c r="KN35">
        <v>95.605000000000004</v>
      </c>
      <c r="KO35">
        <v>95.674999999999997</v>
      </c>
      <c r="KP35">
        <v>95.594999999999999</v>
      </c>
      <c r="KQ35">
        <v>95.555000000000007</v>
      </c>
      <c r="KR35">
        <v>95.614999999999995</v>
      </c>
      <c r="KS35">
        <v>95.69</v>
      </c>
      <c r="KT35">
        <v>95.67</v>
      </c>
      <c r="KU35">
        <v>95.685000000000002</v>
      </c>
      <c r="KV35">
        <v>95.65</v>
      </c>
      <c r="KW35">
        <v>95.71</v>
      </c>
      <c r="KX35">
        <v>95.635000000000005</v>
      </c>
      <c r="KY35">
        <v>95.67</v>
      </c>
      <c r="KZ35">
        <v>95.81</v>
      </c>
      <c r="LA35">
        <v>95.72</v>
      </c>
      <c r="LB35">
        <v>95.75</v>
      </c>
      <c r="LC35">
        <v>95.894999999999996</v>
      </c>
      <c r="LD35">
        <v>95.834999999999994</v>
      </c>
      <c r="LE35">
        <v>95.88</v>
      </c>
      <c r="LF35">
        <v>95.93</v>
      </c>
      <c r="LG35">
        <v>95.88</v>
      </c>
      <c r="LH35">
        <v>95.87</v>
      </c>
      <c r="LI35">
        <v>95.915000000000006</v>
      </c>
      <c r="LJ35">
        <v>96.045000000000002</v>
      </c>
      <c r="LK35">
        <v>96.045000000000002</v>
      </c>
      <c r="LL35">
        <v>96.01</v>
      </c>
      <c r="LM35">
        <v>95.974999999999994</v>
      </c>
      <c r="LN35">
        <v>95.944999999999993</v>
      </c>
      <c r="LO35">
        <v>95.98</v>
      </c>
      <c r="LP35">
        <v>95.92</v>
      </c>
      <c r="LQ35">
        <v>95.924999999999997</v>
      </c>
      <c r="LR35">
        <v>95.935000000000002</v>
      </c>
      <c r="LS35">
        <v>95.905000000000001</v>
      </c>
      <c r="LT35">
        <v>95.944999999999993</v>
      </c>
      <c r="LU35">
        <v>95.93</v>
      </c>
      <c r="LV35">
        <v>96.04</v>
      </c>
      <c r="LW35">
        <v>96.055000000000007</v>
      </c>
      <c r="LX35">
        <v>96.105000000000004</v>
      </c>
      <c r="LY35">
        <v>96.1</v>
      </c>
      <c r="LZ35">
        <v>96.12</v>
      </c>
      <c r="MA35">
        <v>96.114999999999995</v>
      </c>
      <c r="MB35">
        <v>96.075000000000003</v>
      </c>
      <c r="MC35">
        <v>95.99</v>
      </c>
      <c r="MD35">
        <v>96.02</v>
      </c>
      <c r="ME35">
        <v>95.974999999999994</v>
      </c>
      <c r="MF35">
        <v>95.965000000000003</v>
      </c>
      <c r="MG35">
        <v>95.97</v>
      </c>
      <c r="MH35">
        <v>95.99</v>
      </c>
      <c r="MI35">
        <v>96</v>
      </c>
      <c r="MJ35">
        <v>95.905000000000001</v>
      </c>
      <c r="MK35">
        <v>95.875</v>
      </c>
      <c r="ML35">
        <v>95.92</v>
      </c>
      <c r="MM35">
        <v>95.894999999999996</v>
      </c>
      <c r="MN35">
        <v>95.894999999999996</v>
      </c>
      <c r="MO35">
        <v>95.935000000000002</v>
      </c>
      <c r="MP35">
        <v>95.91</v>
      </c>
      <c r="MQ35">
        <v>95.87</v>
      </c>
      <c r="MR35">
        <v>95.965000000000003</v>
      </c>
      <c r="MS35">
        <v>95.944999999999993</v>
      </c>
      <c r="MT35">
        <v>95.96</v>
      </c>
      <c r="MU35">
        <v>96.045000000000002</v>
      </c>
      <c r="MV35">
        <v>96.055000000000007</v>
      </c>
      <c r="MW35">
        <v>95.965000000000003</v>
      </c>
      <c r="MX35">
        <v>96.094999999999999</v>
      </c>
      <c r="MY35">
        <v>96.254999999999995</v>
      </c>
      <c r="MZ35">
        <v>96.15</v>
      </c>
      <c r="NA35">
        <v>96.064999999999998</v>
      </c>
      <c r="NB35">
        <v>95.995000000000005</v>
      </c>
      <c r="NC35">
        <v>95.944999999999993</v>
      </c>
      <c r="ND35">
        <v>95.98</v>
      </c>
      <c r="NE35">
        <v>95.96</v>
      </c>
      <c r="NF35">
        <v>96.004999999999995</v>
      </c>
      <c r="NG35">
        <v>96.05</v>
      </c>
      <c r="NH35">
        <v>95.995000000000005</v>
      </c>
      <c r="NI35">
        <v>95.984999999999999</v>
      </c>
      <c r="NJ35">
        <v>96.02</v>
      </c>
      <c r="NK35">
        <v>96.03</v>
      </c>
      <c r="NL35">
        <v>96.144999999999996</v>
      </c>
      <c r="NM35">
        <v>96.144999999999996</v>
      </c>
      <c r="NN35">
        <v>96.19</v>
      </c>
      <c r="NO35">
        <v>96.15</v>
      </c>
      <c r="NP35">
        <v>96.16</v>
      </c>
      <c r="NQ35">
        <v>96.165000000000006</v>
      </c>
      <c r="NR35">
        <v>96.165000000000006</v>
      </c>
      <c r="NS35">
        <v>96.22</v>
      </c>
      <c r="NT35">
        <v>96.29</v>
      </c>
      <c r="NU35">
        <v>96.245000000000005</v>
      </c>
      <c r="NV35">
        <v>96.265000000000001</v>
      </c>
      <c r="NW35">
        <v>96.265000000000001</v>
      </c>
      <c r="NX35">
        <v>96.28</v>
      </c>
      <c r="NY35">
        <v>96.344999999999999</v>
      </c>
      <c r="NZ35">
        <v>96.24</v>
      </c>
      <c r="OA35">
        <v>96.22</v>
      </c>
      <c r="OB35">
        <v>96.22</v>
      </c>
      <c r="OC35">
        <v>96.254999999999995</v>
      </c>
      <c r="OD35">
        <v>96.29</v>
      </c>
      <c r="OE35">
        <v>96.275000000000006</v>
      </c>
      <c r="OF35">
        <v>96.24</v>
      </c>
      <c r="OG35">
        <v>96.275000000000006</v>
      </c>
      <c r="OH35">
        <v>96.25</v>
      </c>
      <c r="OI35">
        <v>96.15</v>
      </c>
      <c r="OJ35">
        <v>96.004999999999995</v>
      </c>
      <c r="OK35">
        <v>95.95</v>
      </c>
      <c r="OL35">
        <v>95.944999999999993</v>
      </c>
      <c r="OM35">
        <v>96.055000000000007</v>
      </c>
      <c r="ON35">
        <v>96.05</v>
      </c>
      <c r="OO35">
        <v>95.984999999999999</v>
      </c>
      <c r="OP35">
        <v>95.85</v>
      </c>
      <c r="OQ35">
        <v>95.88</v>
      </c>
      <c r="OR35">
        <v>95.765000000000001</v>
      </c>
      <c r="OS35">
        <v>95.85</v>
      </c>
      <c r="OT35">
        <v>95.775000000000006</v>
      </c>
      <c r="OU35">
        <v>95.79</v>
      </c>
      <c r="OV35">
        <v>95.685000000000002</v>
      </c>
      <c r="OW35">
        <v>95.704999999999998</v>
      </c>
      <c r="OX35">
        <v>95.704999999999998</v>
      </c>
      <c r="OY35">
        <v>95.694999999999993</v>
      </c>
      <c r="OZ35">
        <v>95.715000000000003</v>
      </c>
      <c r="PA35">
        <v>95.67</v>
      </c>
      <c r="PB35">
        <v>95.65</v>
      </c>
      <c r="PC35">
        <v>95.555000000000007</v>
      </c>
      <c r="PD35">
        <v>95.62</v>
      </c>
      <c r="PE35">
        <v>95.45</v>
      </c>
      <c r="PF35">
        <v>95.44</v>
      </c>
      <c r="PG35">
        <v>95.42</v>
      </c>
      <c r="PH35">
        <v>95.55</v>
      </c>
      <c r="PI35">
        <v>95.465000000000003</v>
      </c>
      <c r="PJ35">
        <v>95.35</v>
      </c>
      <c r="PK35">
        <v>95.46</v>
      </c>
      <c r="PL35">
        <v>95.34</v>
      </c>
      <c r="PM35">
        <v>95.21</v>
      </c>
      <c r="PN35">
        <v>95.12</v>
      </c>
      <c r="PO35">
        <v>95.11</v>
      </c>
      <c r="PP35">
        <v>95.12</v>
      </c>
      <c r="PQ35">
        <v>95.125</v>
      </c>
      <c r="PR35">
        <v>95.015000000000001</v>
      </c>
      <c r="PS35">
        <v>95.155000000000001</v>
      </c>
      <c r="PT35">
        <v>95.15</v>
      </c>
      <c r="PU35">
        <v>95.045000000000002</v>
      </c>
      <c r="PV35">
        <v>94.97</v>
      </c>
      <c r="PW35">
        <v>95.1</v>
      </c>
      <c r="PX35">
        <v>95.144999999999996</v>
      </c>
      <c r="PY35">
        <v>95.27</v>
      </c>
      <c r="PZ35">
        <v>95.344999999999999</v>
      </c>
      <c r="QA35">
        <v>95.24</v>
      </c>
      <c r="QB35">
        <v>95.355000000000004</v>
      </c>
      <c r="QC35">
        <v>95.265000000000001</v>
      </c>
      <c r="QD35">
        <v>95.245000000000005</v>
      </c>
      <c r="QE35">
        <v>95.125</v>
      </c>
      <c r="QF35">
        <v>95.185000000000002</v>
      </c>
      <c r="QG35">
        <v>95.16</v>
      </c>
      <c r="QH35">
        <v>95.105000000000004</v>
      </c>
      <c r="QI35">
        <v>95.234999999999999</v>
      </c>
      <c r="QJ35">
        <v>95.41</v>
      </c>
      <c r="QK35">
        <v>95.4</v>
      </c>
      <c r="QL35">
        <v>95.424999999999997</v>
      </c>
      <c r="QM35">
        <v>95.5</v>
      </c>
      <c r="QN35">
        <v>95.51</v>
      </c>
      <c r="QO35">
        <v>95.66</v>
      </c>
      <c r="QP35">
        <v>95.63</v>
      </c>
      <c r="QQ35">
        <v>95.795000000000002</v>
      </c>
      <c r="QR35">
        <v>95.77</v>
      </c>
      <c r="QS35">
        <v>95.805000000000007</v>
      </c>
      <c r="QT35">
        <v>95.784999999999997</v>
      </c>
      <c r="QU35">
        <v>95.82</v>
      </c>
      <c r="QV35">
        <v>95.88</v>
      </c>
      <c r="QW35">
        <v>95.86</v>
      </c>
      <c r="QX35">
        <v>95.814999999999998</v>
      </c>
      <c r="QY35">
        <v>95.855000000000004</v>
      </c>
      <c r="QZ35">
        <v>95.844999999999999</v>
      </c>
      <c r="RA35">
        <v>95.83</v>
      </c>
      <c r="RB35">
        <v>95.825000000000003</v>
      </c>
      <c r="RC35">
        <v>95.894999999999996</v>
      </c>
      <c r="RD35">
        <v>95.894999999999996</v>
      </c>
      <c r="RE35">
        <v>95.99</v>
      </c>
      <c r="RF35">
        <v>95.965000000000003</v>
      </c>
      <c r="RG35">
        <v>95.97</v>
      </c>
      <c r="RH35">
        <v>95.935000000000002</v>
      </c>
      <c r="RI35">
        <v>95.894999999999996</v>
      </c>
      <c r="RJ35">
        <v>95.89</v>
      </c>
      <c r="RK35">
        <v>95.915000000000006</v>
      </c>
      <c r="RL35">
        <v>95.765000000000001</v>
      </c>
      <c r="RM35">
        <v>95.734999999999999</v>
      </c>
      <c r="RN35">
        <v>95.83</v>
      </c>
      <c r="RO35">
        <v>95.754999999999995</v>
      </c>
      <c r="RP35">
        <v>95.84</v>
      </c>
      <c r="RQ35">
        <v>95.875</v>
      </c>
      <c r="RR35">
        <v>95.935000000000002</v>
      </c>
      <c r="RS35">
        <v>95.91</v>
      </c>
      <c r="RT35">
        <v>96</v>
      </c>
      <c r="RU35">
        <v>96.105000000000004</v>
      </c>
      <c r="RV35">
        <v>96.07</v>
      </c>
      <c r="RW35">
        <v>96.004999999999995</v>
      </c>
      <c r="RX35">
        <v>96.03</v>
      </c>
      <c r="RY35">
        <v>95.89</v>
      </c>
      <c r="RZ35">
        <v>96.06</v>
      </c>
      <c r="SA35">
        <v>96.114999999999995</v>
      </c>
      <c r="SB35">
        <v>96.204999999999998</v>
      </c>
      <c r="SC35">
        <v>96.2</v>
      </c>
      <c r="SD35">
        <v>96.155000000000001</v>
      </c>
      <c r="SE35">
        <v>96.325000000000003</v>
      </c>
      <c r="SF35">
        <v>96.275000000000006</v>
      </c>
      <c r="SG35">
        <v>96.334999999999994</v>
      </c>
      <c r="SH35">
        <v>96.344999999999999</v>
      </c>
      <c r="SI35">
        <v>96.325000000000003</v>
      </c>
      <c r="SJ35">
        <v>96.444999999999993</v>
      </c>
      <c r="SK35">
        <v>96.405000000000001</v>
      </c>
      <c r="SL35">
        <v>96.39</v>
      </c>
      <c r="SM35">
        <v>96.35</v>
      </c>
      <c r="SN35">
        <v>96.36</v>
      </c>
      <c r="SO35">
        <v>96.33</v>
      </c>
      <c r="SP35">
        <v>96.24</v>
      </c>
      <c r="SQ35">
        <v>96.174999999999997</v>
      </c>
      <c r="SR35">
        <v>96.135000000000005</v>
      </c>
      <c r="SS35">
        <v>96.19</v>
      </c>
      <c r="ST35">
        <v>96.284999999999997</v>
      </c>
      <c r="SU35">
        <v>96.39</v>
      </c>
      <c r="SV35">
        <v>96.39</v>
      </c>
      <c r="SW35">
        <v>96.424999999999997</v>
      </c>
      <c r="SX35">
        <v>96.36</v>
      </c>
      <c r="SY35">
        <v>96.504999999999995</v>
      </c>
      <c r="SZ35">
        <v>96.45</v>
      </c>
      <c r="TA35">
        <v>96.48</v>
      </c>
      <c r="TB35">
        <v>96.45</v>
      </c>
      <c r="TC35">
        <v>96.38</v>
      </c>
      <c r="TD35">
        <v>96.454999999999998</v>
      </c>
      <c r="TE35">
        <v>96.48</v>
      </c>
      <c r="TF35">
        <v>96.41</v>
      </c>
      <c r="TG35">
        <v>96.41</v>
      </c>
      <c r="TH35">
        <v>96.444999999999993</v>
      </c>
      <c r="TI35">
        <v>96.375</v>
      </c>
      <c r="TJ35">
        <v>96.295000000000002</v>
      </c>
      <c r="TK35">
        <v>96.37</v>
      </c>
      <c r="TL35">
        <v>96.375</v>
      </c>
      <c r="TM35">
        <v>96.38</v>
      </c>
      <c r="TN35">
        <v>96.305000000000007</v>
      </c>
      <c r="TO35">
        <v>96.41</v>
      </c>
      <c r="TP35">
        <v>96.39</v>
      </c>
      <c r="TQ35">
        <v>96.36</v>
      </c>
      <c r="TR35">
        <v>96.46</v>
      </c>
      <c r="TS35">
        <v>96.444999999999993</v>
      </c>
      <c r="TT35">
        <v>96.4</v>
      </c>
      <c r="TU35">
        <v>96.29</v>
      </c>
      <c r="TV35">
        <v>96.29</v>
      </c>
      <c r="TW35">
        <v>96.275000000000006</v>
      </c>
      <c r="TX35">
        <v>96.36</v>
      </c>
      <c r="TY35">
        <v>96.375</v>
      </c>
      <c r="TZ35">
        <v>96.344999999999999</v>
      </c>
      <c r="UA35">
        <v>96.334999999999994</v>
      </c>
      <c r="UB35">
        <v>96.39</v>
      </c>
      <c r="UC35">
        <v>96.444999999999993</v>
      </c>
      <c r="UD35">
        <v>96.46</v>
      </c>
      <c r="UE35">
        <v>96.515000000000001</v>
      </c>
      <c r="UF35">
        <v>96.555000000000007</v>
      </c>
      <c r="UG35">
        <v>96.594999999999999</v>
      </c>
      <c r="UH35">
        <v>96.55</v>
      </c>
      <c r="UI35">
        <v>96.484999999999999</v>
      </c>
      <c r="UJ35">
        <v>96.495000000000005</v>
      </c>
      <c r="UK35">
        <v>96.54</v>
      </c>
      <c r="UL35">
        <v>96.61</v>
      </c>
      <c r="UM35">
        <v>96.56</v>
      </c>
      <c r="UN35">
        <v>96.545000000000002</v>
      </c>
      <c r="UO35">
        <v>96.415000000000006</v>
      </c>
      <c r="UP35">
        <v>96.545000000000002</v>
      </c>
      <c r="UQ35">
        <v>96.545000000000002</v>
      </c>
      <c r="UR35">
        <v>96.62</v>
      </c>
      <c r="US35">
        <v>96.67</v>
      </c>
      <c r="UT35">
        <v>96.61</v>
      </c>
      <c r="UU35">
        <v>96.555000000000007</v>
      </c>
      <c r="UV35">
        <v>96.6</v>
      </c>
      <c r="UW35">
        <v>96.564999999999998</v>
      </c>
      <c r="UX35">
        <v>96.584999999999994</v>
      </c>
      <c r="UY35">
        <v>96.54</v>
      </c>
      <c r="UZ35">
        <v>96.6</v>
      </c>
      <c r="VA35">
        <v>96.655000000000001</v>
      </c>
      <c r="VB35">
        <v>96.71</v>
      </c>
      <c r="VC35">
        <v>96.71</v>
      </c>
      <c r="VD35">
        <v>96.7</v>
      </c>
      <c r="VE35">
        <v>96.754999999999995</v>
      </c>
      <c r="VF35">
        <v>96.83</v>
      </c>
      <c r="VG35">
        <v>96.814999999999998</v>
      </c>
      <c r="VH35">
        <v>96.78</v>
      </c>
      <c r="VI35">
        <v>96.72</v>
      </c>
      <c r="VJ35">
        <v>96.665000000000006</v>
      </c>
      <c r="VK35">
        <v>96.63</v>
      </c>
      <c r="VL35">
        <v>96.605000000000004</v>
      </c>
      <c r="VM35">
        <v>96.594999999999999</v>
      </c>
      <c r="VN35">
        <v>96.625</v>
      </c>
      <c r="VO35">
        <v>96.745000000000005</v>
      </c>
      <c r="VP35">
        <v>96.704999999999998</v>
      </c>
      <c r="VQ35">
        <v>96.655000000000001</v>
      </c>
      <c r="VR35">
        <v>96.6</v>
      </c>
      <c r="VS35">
        <v>96.625</v>
      </c>
      <c r="VT35">
        <v>96.7</v>
      </c>
      <c r="VU35">
        <v>96.515000000000001</v>
      </c>
      <c r="VV35">
        <v>96.6</v>
      </c>
      <c r="VW35">
        <v>96.515000000000001</v>
      </c>
      <c r="VX35">
        <v>96.59</v>
      </c>
      <c r="VY35">
        <v>96.57</v>
      </c>
      <c r="VZ35">
        <v>96.37</v>
      </c>
      <c r="WA35">
        <v>96.415000000000006</v>
      </c>
      <c r="WB35">
        <v>96.394999999999996</v>
      </c>
      <c r="WC35">
        <v>96.32</v>
      </c>
      <c r="WD35">
        <v>96.32</v>
      </c>
      <c r="WE35">
        <v>96.194999999999993</v>
      </c>
      <c r="WF35">
        <v>96.3</v>
      </c>
      <c r="WG35">
        <v>96.385000000000005</v>
      </c>
      <c r="WH35">
        <v>96.385000000000005</v>
      </c>
      <c r="WI35">
        <v>96.344999999999999</v>
      </c>
      <c r="WJ35">
        <v>96.394999999999996</v>
      </c>
      <c r="WK35">
        <v>96.344999999999999</v>
      </c>
      <c r="WL35">
        <v>96.31</v>
      </c>
      <c r="WM35">
        <v>96.46</v>
      </c>
      <c r="WN35">
        <v>96.46</v>
      </c>
      <c r="WO35">
        <v>96.44</v>
      </c>
      <c r="WP35">
        <v>96.48</v>
      </c>
      <c r="WQ35">
        <v>96.545000000000002</v>
      </c>
      <c r="WR35">
        <v>96.53</v>
      </c>
      <c r="WS35">
        <v>96.5</v>
      </c>
      <c r="WT35">
        <v>96.564999999999998</v>
      </c>
      <c r="WU35">
        <v>96.584999999999994</v>
      </c>
      <c r="WV35">
        <v>96.564999999999998</v>
      </c>
      <c r="WW35">
        <v>96.59</v>
      </c>
      <c r="WX35">
        <v>96.665000000000006</v>
      </c>
      <c r="WY35">
        <v>96.754999999999995</v>
      </c>
      <c r="WZ35">
        <v>96.79</v>
      </c>
      <c r="XA35">
        <v>96.69</v>
      </c>
      <c r="XB35">
        <v>96.66</v>
      </c>
      <c r="XC35">
        <v>96.694999999999993</v>
      </c>
      <c r="XD35">
        <v>96.745000000000005</v>
      </c>
      <c r="XE35">
        <v>96.76</v>
      </c>
      <c r="XF35">
        <v>96.76</v>
      </c>
      <c r="XG35">
        <v>96.685000000000002</v>
      </c>
      <c r="XH35">
        <v>96.73</v>
      </c>
      <c r="XI35">
        <v>96.82</v>
      </c>
      <c r="XJ35">
        <v>96.85</v>
      </c>
      <c r="XK35">
        <v>96.724999999999994</v>
      </c>
      <c r="XL35">
        <v>96.77</v>
      </c>
      <c r="XM35">
        <v>96.77</v>
      </c>
      <c r="XN35">
        <v>96.795000000000002</v>
      </c>
      <c r="XO35">
        <v>96.72</v>
      </c>
      <c r="XP35">
        <v>96.665000000000006</v>
      </c>
      <c r="XQ35">
        <v>96.78</v>
      </c>
      <c r="XR35">
        <v>96.734999999999999</v>
      </c>
      <c r="XS35">
        <v>96.584999999999994</v>
      </c>
      <c r="XT35">
        <v>96.57</v>
      </c>
      <c r="XU35">
        <v>96.47</v>
      </c>
      <c r="XV35">
        <v>96.4</v>
      </c>
      <c r="XW35">
        <v>96.4</v>
      </c>
      <c r="XX35">
        <v>96.36</v>
      </c>
      <c r="XY35">
        <v>96.305000000000007</v>
      </c>
      <c r="XZ35">
        <v>96.39</v>
      </c>
      <c r="YA35">
        <v>96.474999999999994</v>
      </c>
      <c r="YB35">
        <v>96.474999999999994</v>
      </c>
      <c r="YC35">
        <v>96.504999999999995</v>
      </c>
      <c r="YD35">
        <v>96.48</v>
      </c>
      <c r="YE35">
        <v>96.51</v>
      </c>
      <c r="YF35">
        <v>96.65</v>
      </c>
      <c r="YG35">
        <v>96.745000000000005</v>
      </c>
      <c r="YH35">
        <v>96.81</v>
      </c>
      <c r="YI35">
        <v>96.75</v>
      </c>
      <c r="YJ35">
        <v>96.75</v>
      </c>
      <c r="YK35">
        <v>96.65</v>
      </c>
      <c r="YL35">
        <v>96.685000000000002</v>
      </c>
      <c r="YM35">
        <v>96.775000000000006</v>
      </c>
      <c r="YN35">
        <v>96.885000000000005</v>
      </c>
      <c r="YO35">
        <v>96.775000000000006</v>
      </c>
      <c r="YP35">
        <v>96.68</v>
      </c>
      <c r="YQ35">
        <v>96.78</v>
      </c>
      <c r="YR35">
        <v>96.734999999999999</v>
      </c>
      <c r="YS35">
        <v>96.575000000000003</v>
      </c>
      <c r="YT35">
        <v>96.545000000000002</v>
      </c>
      <c r="YU35">
        <v>96.59</v>
      </c>
      <c r="YV35">
        <v>96.575000000000003</v>
      </c>
      <c r="YW35">
        <v>96.56</v>
      </c>
      <c r="YX35">
        <v>96.56</v>
      </c>
      <c r="YY35">
        <v>96.49</v>
      </c>
      <c r="YZ35">
        <v>96.39</v>
      </c>
      <c r="ZA35">
        <v>96.37</v>
      </c>
      <c r="ZB35">
        <v>96.44</v>
      </c>
      <c r="ZC35">
        <v>96.495000000000005</v>
      </c>
      <c r="ZD35">
        <v>96.37</v>
      </c>
      <c r="ZE35">
        <v>96.295000000000002</v>
      </c>
      <c r="ZF35">
        <v>96.344999999999999</v>
      </c>
      <c r="ZG35">
        <v>96.334999999999994</v>
      </c>
      <c r="ZH35">
        <v>96.04</v>
      </c>
      <c r="ZI35">
        <v>96.08</v>
      </c>
      <c r="ZJ35">
        <v>95.995000000000005</v>
      </c>
      <c r="ZK35">
        <v>96.01</v>
      </c>
      <c r="ZL35">
        <v>96.04</v>
      </c>
      <c r="ZM35">
        <v>96.045000000000002</v>
      </c>
      <c r="ZN35">
        <v>96.025000000000006</v>
      </c>
      <c r="ZO35">
        <v>95.984999999999999</v>
      </c>
      <c r="ZP35">
        <v>96.015000000000001</v>
      </c>
      <c r="ZQ35">
        <v>96.11</v>
      </c>
      <c r="ZR35">
        <v>96.05</v>
      </c>
      <c r="ZS35">
        <v>95.96</v>
      </c>
      <c r="ZT35">
        <v>95.82</v>
      </c>
      <c r="ZU35">
        <v>95.87</v>
      </c>
      <c r="ZV35">
        <v>95.94</v>
      </c>
      <c r="ZW35">
        <v>96.04</v>
      </c>
      <c r="ZX35">
        <v>96.165000000000006</v>
      </c>
      <c r="ZY35">
        <v>96.144999999999996</v>
      </c>
      <c r="ZZ35">
        <v>96.16</v>
      </c>
      <c r="AAA35">
        <v>96.204999999999998</v>
      </c>
      <c r="AAB35">
        <v>96.194999999999993</v>
      </c>
      <c r="AAC35">
        <v>96.155000000000001</v>
      </c>
      <c r="AAD35">
        <v>96.105000000000004</v>
      </c>
      <c r="AAE35">
        <v>96.204999999999998</v>
      </c>
      <c r="AAF35">
        <v>96.25</v>
      </c>
      <c r="AAG35">
        <v>96.28</v>
      </c>
      <c r="AAH35">
        <v>96.415000000000006</v>
      </c>
      <c r="AAI35">
        <v>96.35</v>
      </c>
      <c r="AAJ35">
        <v>96.2</v>
      </c>
      <c r="AAK35">
        <v>96.26</v>
      </c>
      <c r="AAL35">
        <v>96.31</v>
      </c>
      <c r="AAM35">
        <v>96.19</v>
      </c>
      <c r="AAN35">
        <v>96.314999999999998</v>
      </c>
      <c r="AAO35">
        <v>96.49</v>
      </c>
      <c r="AAP35">
        <v>96.325000000000003</v>
      </c>
      <c r="AAQ35">
        <v>96.5</v>
      </c>
      <c r="AAR35">
        <v>96.43</v>
      </c>
      <c r="AAS35">
        <v>96.52</v>
      </c>
      <c r="AAT35">
        <v>96.52</v>
      </c>
      <c r="AAU35">
        <v>96.545000000000002</v>
      </c>
      <c r="AAV35">
        <v>96.625</v>
      </c>
      <c r="AAW35">
        <v>96.594999999999999</v>
      </c>
      <c r="AAX35">
        <v>96.57</v>
      </c>
      <c r="AAY35">
        <v>96.625</v>
      </c>
      <c r="AAZ35">
        <v>96.625</v>
      </c>
      <c r="ABA35">
        <v>96.665000000000006</v>
      </c>
      <c r="ABB35">
        <v>96.515000000000001</v>
      </c>
      <c r="ABC35">
        <v>96.685000000000002</v>
      </c>
      <c r="ABD35">
        <v>96.685000000000002</v>
      </c>
      <c r="ABE35">
        <v>96.65</v>
      </c>
      <c r="ABF35">
        <v>96.83</v>
      </c>
      <c r="ABG35">
        <v>96.87</v>
      </c>
      <c r="ABH35">
        <v>96.79</v>
      </c>
      <c r="ABI35">
        <v>96.9</v>
      </c>
      <c r="ABJ35">
        <v>96.915000000000006</v>
      </c>
      <c r="ABK35">
        <v>96.825000000000003</v>
      </c>
      <c r="ABL35">
        <v>96.905000000000001</v>
      </c>
      <c r="ABM35">
        <v>96.92</v>
      </c>
      <c r="ABN35">
        <v>96.935000000000002</v>
      </c>
      <c r="ABO35">
        <v>97.064999999999998</v>
      </c>
      <c r="ABP35">
        <v>97.055000000000007</v>
      </c>
      <c r="ABQ35">
        <v>97.13</v>
      </c>
      <c r="ABR35">
        <v>97.105000000000004</v>
      </c>
      <c r="ABS35">
        <v>97.02</v>
      </c>
      <c r="ABT35">
        <v>96.965000000000003</v>
      </c>
      <c r="ABU35">
        <v>97.15</v>
      </c>
      <c r="ABV35">
        <v>97.194999999999993</v>
      </c>
      <c r="ABW35">
        <v>97.155000000000001</v>
      </c>
      <c r="ABX35">
        <v>97.064999999999998</v>
      </c>
      <c r="ABY35">
        <v>97.194999999999993</v>
      </c>
      <c r="ABZ35">
        <v>97.125</v>
      </c>
      <c r="ACA35">
        <v>97.094999999999999</v>
      </c>
      <c r="ACB35">
        <v>97.125</v>
      </c>
      <c r="ACC35">
        <v>97.055000000000007</v>
      </c>
      <c r="ACD35">
        <v>97.015000000000001</v>
      </c>
      <c r="ACE35">
        <v>96.97</v>
      </c>
      <c r="ACF35">
        <v>96.924999999999997</v>
      </c>
      <c r="ACG35">
        <v>96.89</v>
      </c>
      <c r="ACH35">
        <v>96.96</v>
      </c>
      <c r="ACI35">
        <v>96.855000000000004</v>
      </c>
      <c r="ACJ35">
        <v>96.745000000000005</v>
      </c>
      <c r="ACK35">
        <v>96.78</v>
      </c>
      <c r="ACL35">
        <v>96.82</v>
      </c>
      <c r="ACM35">
        <v>96.844999999999999</v>
      </c>
      <c r="ACN35">
        <v>96.78</v>
      </c>
      <c r="ACO35">
        <v>96.81</v>
      </c>
      <c r="ACP35">
        <v>96.69</v>
      </c>
      <c r="ACQ35">
        <v>96.635000000000005</v>
      </c>
      <c r="ACR35">
        <v>96.504999999999995</v>
      </c>
      <c r="ACS35">
        <v>96.59</v>
      </c>
      <c r="ACT35">
        <v>96.704999999999998</v>
      </c>
      <c r="ACU35">
        <v>96.79</v>
      </c>
      <c r="ACV35">
        <v>96.715000000000003</v>
      </c>
      <c r="ACW35">
        <v>96.715000000000003</v>
      </c>
      <c r="ACX35">
        <v>96.685000000000002</v>
      </c>
      <c r="ACY35">
        <v>96.57</v>
      </c>
      <c r="ACZ35">
        <v>96.47</v>
      </c>
      <c r="ADA35">
        <v>96.484999999999999</v>
      </c>
      <c r="ADB35">
        <v>96.54</v>
      </c>
      <c r="ADC35">
        <v>96.635000000000005</v>
      </c>
      <c r="ADD35">
        <v>96.534999999999997</v>
      </c>
      <c r="ADE35">
        <v>96.405000000000001</v>
      </c>
      <c r="ADF35">
        <v>96.504999999999995</v>
      </c>
      <c r="ADG35">
        <v>96.504999999999995</v>
      </c>
      <c r="ADH35">
        <v>96.424999999999997</v>
      </c>
      <c r="ADI35">
        <v>96.34</v>
      </c>
      <c r="ADJ35">
        <v>96.32</v>
      </c>
      <c r="ADK35">
        <v>96.39</v>
      </c>
      <c r="ADL35">
        <v>96.594999999999999</v>
      </c>
      <c r="ADM35">
        <v>96.644999999999996</v>
      </c>
      <c r="ADN35">
        <v>96.644999999999996</v>
      </c>
      <c r="ADO35">
        <v>96.694999999999993</v>
      </c>
      <c r="ADP35">
        <v>96.594999999999999</v>
      </c>
      <c r="ADQ35">
        <v>96.7</v>
      </c>
      <c r="ADR35">
        <v>96.75</v>
      </c>
      <c r="ADS35">
        <v>96.704999999999998</v>
      </c>
      <c r="ADT35">
        <v>96.74</v>
      </c>
      <c r="ADU35">
        <v>96.844999999999999</v>
      </c>
      <c r="ADV35">
        <v>96.844999999999999</v>
      </c>
      <c r="ADW35">
        <v>96.825000000000003</v>
      </c>
      <c r="ADX35">
        <v>96.885000000000005</v>
      </c>
      <c r="ADY35">
        <v>96.9</v>
      </c>
      <c r="ADZ35">
        <v>96.894999999999996</v>
      </c>
      <c r="AEA35">
        <v>96.954999999999998</v>
      </c>
      <c r="AEB35">
        <v>96.83</v>
      </c>
      <c r="AEC35">
        <v>96.79</v>
      </c>
      <c r="AED35">
        <v>96.655000000000001</v>
      </c>
      <c r="AEE35">
        <v>96.73</v>
      </c>
      <c r="AEF35">
        <v>96.685000000000002</v>
      </c>
      <c r="AEG35">
        <v>96.784999999999997</v>
      </c>
      <c r="AEH35">
        <v>96.694999999999993</v>
      </c>
      <c r="AEI35">
        <v>96.57</v>
      </c>
      <c r="AEJ35">
        <v>96.474999999999994</v>
      </c>
      <c r="AEK35">
        <v>96.46</v>
      </c>
      <c r="AEL35">
        <v>96.58</v>
      </c>
      <c r="AEM35">
        <v>96.79</v>
      </c>
      <c r="AEN35">
        <v>96.82</v>
      </c>
      <c r="AEO35">
        <v>96.754999999999995</v>
      </c>
      <c r="AEP35">
        <v>96.9</v>
      </c>
      <c r="AEQ35">
        <v>96.9</v>
      </c>
      <c r="AER35">
        <v>96.965000000000003</v>
      </c>
      <c r="AES35">
        <v>97.04</v>
      </c>
      <c r="AET35">
        <v>97.02</v>
      </c>
      <c r="AEU35">
        <v>96.935000000000002</v>
      </c>
      <c r="AEV35">
        <v>96.9</v>
      </c>
      <c r="AEW35">
        <v>96.954999999999998</v>
      </c>
      <c r="AEX35">
        <v>96.864999999999995</v>
      </c>
      <c r="AEY35">
        <v>96.9</v>
      </c>
      <c r="AEZ35">
        <v>97.02</v>
      </c>
      <c r="AFA35">
        <v>97.02</v>
      </c>
      <c r="AFB35">
        <v>97.155000000000001</v>
      </c>
      <c r="AFC35">
        <v>97.1</v>
      </c>
      <c r="AFD35">
        <v>97.114999999999995</v>
      </c>
      <c r="AFE35">
        <v>97.24</v>
      </c>
      <c r="AFF35">
        <v>97.35</v>
      </c>
      <c r="AFG35">
        <v>97.504999999999995</v>
      </c>
      <c r="AFH35">
        <v>97.63</v>
      </c>
      <c r="AFI35">
        <v>97.73</v>
      </c>
      <c r="AFJ35">
        <v>97.75</v>
      </c>
      <c r="AFK35">
        <v>97.81</v>
      </c>
      <c r="AFL35">
        <v>97.775000000000006</v>
      </c>
      <c r="AFM35">
        <v>97.734999999999999</v>
      </c>
      <c r="AFN35">
        <v>97.665000000000006</v>
      </c>
      <c r="AFO35">
        <v>97.655000000000001</v>
      </c>
      <c r="AFP35">
        <v>97.79</v>
      </c>
      <c r="AFQ35">
        <v>97.834999999999994</v>
      </c>
      <c r="AFR35">
        <v>97.78</v>
      </c>
      <c r="AFS35">
        <v>97.844999999999999</v>
      </c>
      <c r="AFT35">
        <v>97.984999999999999</v>
      </c>
      <c r="AFU35">
        <v>97.91</v>
      </c>
      <c r="AFV35">
        <v>97.89</v>
      </c>
      <c r="AFW35">
        <v>97.885000000000005</v>
      </c>
      <c r="AFX35">
        <v>97.91</v>
      </c>
      <c r="AFY35">
        <v>98.07</v>
      </c>
      <c r="AFZ35">
        <v>98.08</v>
      </c>
      <c r="AGA35">
        <v>98.155000000000001</v>
      </c>
      <c r="AGB35">
        <v>98.25</v>
      </c>
      <c r="AGC35">
        <v>98.364999999999995</v>
      </c>
      <c r="AGD35">
        <v>98.34</v>
      </c>
      <c r="AGE35">
        <v>98.204999999999998</v>
      </c>
      <c r="AGF35">
        <v>98.16</v>
      </c>
      <c r="AGG35">
        <v>98.305000000000007</v>
      </c>
      <c r="AGH35">
        <v>98.194999999999993</v>
      </c>
      <c r="AGI35">
        <v>98.055000000000007</v>
      </c>
      <c r="AGJ35">
        <v>98.064999999999998</v>
      </c>
      <c r="AGK35">
        <v>98.09</v>
      </c>
      <c r="AGL35">
        <v>98.13</v>
      </c>
      <c r="AGM35">
        <v>98.12</v>
      </c>
      <c r="AGN35">
        <v>98.12</v>
      </c>
      <c r="AGO35">
        <v>98.075000000000003</v>
      </c>
      <c r="AGP35">
        <v>97.984999999999999</v>
      </c>
      <c r="AGQ35">
        <v>97.995000000000005</v>
      </c>
      <c r="AGR35">
        <v>98.08</v>
      </c>
      <c r="AGS35">
        <v>98.125</v>
      </c>
      <c r="AGT35">
        <v>98.015000000000001</v>
      </c>
      <c r="AGU35">
        <v>98.084999999999994</v>
      </c>
      <c r="AGV35">
        <v>98.045000000000002</v>
      </c>
      <c r="AGW35">
        <v>98.084999999999994</v>
      </c>
      <c r="AGX35">
        <v>98.07</v>
      </c>
      <c r="AGY35">
        <v>98.185000000000002</v>
      </c>
      <c r="AGZ35">
        <v>98.22</v>
      </c>
      <c r="AHA35">
        <v>98.185000000000002</v>
      </c>
      <c r="AHB35">
        <v>98.194999999999993</v>
      </c>
      <c r="AHC35">
        <v>98.204999999999998</v>
      </c>
      <c r="AHD35">
        <v>98.165000000000006</v>
      </c>
      <c r="AHE35">
        <v>98.06</v>
      </c>
      <c r="AHF35">
        <v>98.125</v>
      </c>
      <c r="AHG35">
        <v>98.19</v>
      </c>
      <c r="AHH35">
        <v>98.174999999999997</v>
      </c>
      <c r="AHI35">
        <v>98.105000000000004</v>
      </c>
      <c r="AHJ35">
        <v>98.094999999999999</v>
      </c>
      <c r="AHK35">
        <v>98.04</v>
      </c>
      <c r="AHL35">
        <v>98.14</v>
      </c>
      <c r="AHM35">
        <v>98.14</v>
      </c>
      <c r="AHN35">
        <v>98.21</v>
      </c>
      <c r="AHO35">
        <v>98.18</v>
      </c>
      <c r="AHP35">
        <v>98.135000000000005</v>
      </c>
      <c r="AHQ35">
        <v>98.084999999999994</v>
      </c>
      <c r="AHR35">
        <v>98.07</v>
      </c>
      <c r="AHS35">
        <v>98.08</v>
      </c>
      <c r="AHT35">
        <v>98.105000000000004</v>
      </c>
      <c r="AHU35">
        <v>98.12</v>
      </c>
      <c r="AHV35">
        <v>98.18</v>
      </c>
      <c r="AHW35">
        <v>98.35</v>
      </c>
      <c r="AHX35">
        <v>98.334999999999994</v>
      </c>
      <c r="AHY35">
        <v>98.325000000000003</v>
      </c>
      <c r="AHZ35">
        <v>98.42</v>
      </c>
      <c r="AIA35">
        <v>98.39</v>
      </c>
      <c r="AIB35">
        <v>98.355000000000004</v>
      </c>
      <c r="AIC35">
        <v>98.355000000000004</v>
      </c>
      <c r="AID35">
        <v>98.38</v>
      </c>
      <c r="AIE35">
        <v>98.34</v>
      </c>
      <c r="AIF35">
        <v>98.435000000000002</v>
      </c>
      <c r="AIG35">
        <v>98.52</v>
      </c>
      <c r="AIH35">
        <v>98.48</v>
      </c>
      <c r="AII35">
        <v>98.46</v>
      </c>
      <c r="AIJ35">
        <v>98.43</v>
      </c>
      <c r="AIK35">
        <v>98.424999999999997</v>
      </c>
      <c r="AIL35">
        <v>98.36</v>
      </c>
      <c r="AIM35">
        <v>98.385000000000005</v>
      </c>
      <c r="AIN35">
        <v>98.325000000000003</v>
      </c>
      <c r="AIO35">
        <v>98.344999999999999</v>
      </c>
      <c r="AIP35">
        <v>98.36</v>
      </c>
      <c r="AIQ35">
        <v>98.504999999999995</v>
      </c>
      <c r="AIR35">
        <v>98.35</v>
      </c>
      <c r="AIS35">
        <v>98.31</v>
      </c>
      <c r="AIT35">
        <v>98.254999999999995</v>
      </c>
      <c r="AIU35">
        <v>98.14</v>
      </c>
      <c r="AIV35">
        <v>98.29</v>
      </c>
      <c r="AIW35">
        <v>98.114999999999995</v>
      </c>
      <c r="AIX35">
        <v>98.114999999999995</v>
      </c>
      <c r="AIY35">
        <v>98.075000000000003</v>
      </c>
      <c r="AIZ35">
        <v>98.144999999999996</v>
      </c>
      <c r="AJA35">
        <v>98.25</v>
      </c>
      <c r="AJB35">
        <v>98.185000000000002</v>
      </c>
      <c r="AJC35">
        <v>98.16</v>
      </c>
      <c r="AJD35">
        <v>98.135000000000005</v>
      </c>
      <c r="AJE35">
        <v>98.174999999999997</v>
      </c>
      <c r="AJF35">
        <v>98.17</v>
      </c>
      <c r="AJG35">
        <v>98.185000000000002</v>
      </c>
      <c r="AJH35">
        <v>98.194999999999993</v>
      </c>
      <c r="AJI35">
        <v>98.23</v>
      </c>
      <c r="AJJ35">
        <v>98.13</v>
      </c>
      <c r="AJK35">
        <v>98.155000000000001</v>
      </c>
      <c r="AJL35">
        <v>98.06</v>
      </c>
      <c r="AJM35">
        <v>98.03</v>
      </c>
      <c r="AJN35">
        <v>98.05</v>
      </c>
      <c r="AJO35">
        <v>98.084999999999994</v>
      </c>
      <c r="AJP35">
        <v>98.125</v>
      </c>
      <c r="AJQ35">
        <v>98.094999999999999</v>
      </c>
      <c r="AJR35">
        <v>98.12</v>
      </c>
      <c r="AJS35">
        <v>97.924999999999997</v>
      </c>
      <c r="AJT35">
        <v>97.915000000000006</v>
      </c>
      <c r="AJU35">
        <v>97.87</v>
      </c>
      <c r="AJV35">
        <v>97.814999999999998</v>
      </c>
      <c r="AJW35">
        <v>97.85</v>
      </c>
      <c r="AJX35">
        <v>97.88</v>
      </c>
      <c r="AJY35">
        <v>97.995000000000005</v>
      </c>
      <c r="AJZ35">
        <v>97.96</v>
      </c>
      <c r="AKA35">
        <v>98.015000000000001</v>
      </c>
      <c r="AKB35">
        <v>97.974999999999994</v>
      </c>
      <c r="AKC35">
        <v>97.844999999999999</v>
      </c>
      <c r="AKD35">
        <v>97.75</v>
      </c>
      <c r="AKE35">
        <v>97.745000000000005</v>
      </c>
      <c r="AKF35">
        <v>97.795000000000002</v>
      </c>
      <c r="AKG35">
        <v>97.86</v>
      </c>
      <c r="AKH35">
        <v>97.84</v>
      </c>
      <c r="AKI35">
        <v>97.89</v>
      </c>
      <c r="AKJ35">
        <v>97.864999999999995</v>
      </c>
      <c r="AKK35">
        <v>97.82</v>
      </c>
      <c r="AKL35">
        <v>97.81</v>
      </c>
      <c r="AKM35">
        <v>97.86</v>
      </c>
      <c r="AKN35">
        <v>97.965000000000003</v>
      </c>
      <c r="AKO35">
        <v>98.015000000000001</v>
      </c>
      <c r="AKP35">
        <v>98.094999999999999</v>
      </c>
      <c r="AKQ35">
        <v>98.19</v>
      </c>
      <c r="AKR35">
        <v>98.105000000000004</v>
      </c>
      <c r="AKS35">
        <v>98.114999999999995</v>
      </c>
      <c r="AKT35">
        <v>98.04</v>
      </c>
      <c r="AKU35">
        <v>98.11</v>
      </c>
      <c r="AKV35">
        <v>98.15</v>
      </c>
      <c r="AKW35">
        <v>98.204999999999998</v>
      </c>
      <c r="AKX35">
        <v>98.125</v>
      </c>
      <c r="AKY35">
        <v>98.094999999999999</v>
      </c>
      <c r="AKZ35">
        <v>98.174999999999997</v>
      </c>
      <c r="ALA35">
        <v>98.135000000000005</v>
      </c>
      <c r="ALB35">
        <v>98.084999999999994</v>
      </c>
      <c r="ALC35">
        <v>98.135000000000005</v>
      </c>
      <c r="ALD35">
        <v>98.135000000000005</v>
      </c>
      <c r="ALE35">
        <v>98.194999999999993</v>
      </c>
      <c r="ALF35">
        <v>98.185000000000002</v>
      </c>
      <c r="ALG35">
        <v>98.17</v>
      </c>
      <c r="ALH35">
        <v>98.215000000000003</v>
      </c>
      <c r="ALI35">
        <v>98.23</v>
      </c>
      <c r="ALJ35">
        <v>98.204999999999998</v>
      </c>
      <c r="ALK35">
        <v>98.215000000000003</v>
      </c>
      <c r="ALL35">
        <v>98.29</v>
      </c>
      <c r="ALM35">
        <v>98.344999999999999</v>
      </c>
      <c r="ALN35">
        <v>98.334999999999994</v>
      </c>
      <c r="ALO35">
        <v>98.36</v>
      </c>
      <c r="ALP35">
        <v>98.31</v>
      </c>
      <c r="ALQ35">
        <v>98.35</v>
      </c>
      <c r="ALR35">
        <v>98.355000000000004</v>
      </c>
      <c r="ALS35">
        <v>98.305000000000007</v>
      </c>
      <c r="ALT35">
        <v>98.21</v>
      </c>
      <c r="ALU35">
        <v>98.23</v>
      </c>
      <c r="ALV35">
        <v>98.254999999999995</v>
      </c>
      <c r="ALW35">
        <v>98.265000000000001</v>
      </c>
      <c r="ALX35">
        <v>98.3</v>
      </c>
      <c r="ALY35">
        <v>98.394999999999996</v>
      </c>
      <c r="ALZ35">
        <v>98.39</v>
      </c>
      <c r="AMA35">
        <v>98.385000000000005</v>
      </c>
      <c r="AMB35">
        <v>98.39</v>
      </c>
      <c r="AMC35">
        <v>98.295000000000002</v>
      </c>
      <c r="AMD35">
        <v>98.275000000000006</v>
      </c>
      <c r="AME35">
        <v>98.3</v>
      </c>
      <c r="AMF35">
        <v>98.32</v>
      </c>
      <c r="AMG35">
        <v>98.284999999999997</v>
      </c>
      <c r="AMH35">
        <v>98.265000000000001</v>
      </c>
      <c r="AMI35">
        <v>98.29</v>
      </c>
      <c r="AMJ35">
        <v>98.284999999999997</v>
      </c>
      <c r="AMK35">
        <v>98.4</v>
      </c>
      <c r="AML35">
        <v>98.495000000000005</v>
      </c>
      <c r="AMM35">
        <v>98.314999999999998</v>
      </c>
      <c r="AMN35">
        <v>98.29</v>
      </c>
      <c r="AMO35">
        <v>98.185000000000002</v>
      </c>
      <c r="AMP35">
        <v>98.094999999999999</v>
      </c>
      <c r="AMQ35">
        <v>98.16</v>
      </c>
      <c r="AMR35">
        <v>98.155000000000001</v>
      </c>
      <c r="AMS35">
        <v>98.25</v>
      </c>
      <c r="AMT35">
        <v>98.234999999999999</v>
      </c>
      <c r="AMU35">
        <v>98.18</v>
      </c>
      <c r="AMV35">
        <v>98.094999999999999</v>
      </c>
      <c r="AMW35">
        <v>98.094999999999999</v>
      </c>
      <c r="AMX35">
        <v>98.03</v>
      </c>
      <c r="AMY35">
        <v>98.064999999999998</v>
      </c>
      <c r="AMZ35">
        <v>97.974999999999994</v>
      </c>
      <c r="ANA35">
        <v>97.965000000000003</v>
      </c>
      <c r="ANB35">
        <v>97.88</v>
      </c>
      <c r="ANC35">
        <v>97.93</v>
      </c>
      <c r="AND35">
        <v>97.92</v>
      </c>
      <c r="ANE35">
        <v>97.954999999999998</v>
      </c>
      <c r="ANF35">
        <v>97.95</v>
      </c>
      <c r="ANG35">
        <v>98.01</v>
      </c>
      <c r="ANH35">
        <v>97.894999999999996</v>
      </c>
      <c r="ANI35">
        <v>97.754999999999995</v>
      </c>
      <c r="ANJ35">
        <v>97.784999999999997</v>
      </c>
      <c r="ANK35">
        <v>97.77</v>
      </c>
      <c r="ANL35">
        <v>97.704999999999998</v>
      </c>
      <c r="ANM35">
        <v>97.724999999999994</v>
      </c>
      <c r="ANN35">
        <v>97.69</v>
      </c>
      <c r="ANO35">
        <v>97.64</v>
      </c>
      <c r="ANP35">
        <v>97.594999999999999</v>
      </c>
      <c r="ANQ35">
        <v>97.584999999999994</v>
      </c>
      <c r="ANR35">
        <v>97.49</v>
      </c>
      <c r="ANS35">
        <v>97.54</v>
      </c>
      <c r="ANT35">
        <v>97.504999999999995</v>
      </c>
      <c r="ANU35">
        <v>97.55</v>
      </c>
      <c r="ANV35">
        <v>97.55</v>
      </c>
      <c r="ANW35">
        <v>97.564999999999998</v>
      </c>
      <c r="ANX35">
        <v>97.614999999999995</v>
      </c>
      <c r="ANY35">
        <v>97.635000000000005</v>
      </c>
      <c r="ANZ35">
        <v>97.584999999999994</v>
      </c>
      <c r="AOA35">
        <v>97.545000000000002</v>
      </c>
      <c r="AOB35">
        <v>97.55</v>
      </c>
      <c r="AOC35">
        <v>97.49</v>
      </c>
      <c r="AOD35">
        <v>97.53</v>
      </c>
      <c r="AOE35">
        <v>97.534999999999997</v>
      </c>
      <c r="AOF35">
        <v>97.545000000000002</v>
      </c>
      <c r="AOG35">
        <v>97.5</v>
      </c>
      <c r="AOH35">
        <v>97.444999999999993</v>
      </c>
      <c r="AOI35">
        <v>97.545000000000002</v>
      </c>
      <c r="AOJ35">
        <v>97.57</v>
      </c>
      <c r="AOK35">
        <v>97.605000000000004</v>
      </c>
      <c r="AOL35">
        <v>97.62</v>
      </c>
      <c r="AOM35">
        <v>97.594999999999999</v>
      </c>
      <c r="AON35">
        <v>97.57</v>
      </c>
      <c r="AOO35">
        <v>97.545000000000002</v>
      </c>
      <c r="AOP35">
        <v>97.51</v>
      </c>
      <c r="AOQ35">
        <v>97.51</v>
      </c>
      <c r="AOR35">
        <v>97.534999999999997</v>
      </c>
      <c r="AOS35">
        <v>97.545000000000002</v>
      </c>
      <c r="AOT35">
        <v>97.605000000000004</v>
      </c>
      <c r="AOU35">
        <v>97.614999999999995</v>
      </c>
      <c r="AOV35">
        <v>97.64</v>
      </c>
      <c r="AOW35">
        <v>97.64</v>
      </c>
      <c r="AOX35">
        <v>97.644999999999996</v>
      </c>
      <c r="AOY35">
        <v>97.62</v>
      </c>
      <c r="AOZ35">
        <v>97.635000000000005</v>
      </c>
      <c r="APA35">
        <v>97.674999999999997</v>
      </c>
      <c r="APB35">
        <v>97.53</v>
      </c>
      <c r="APC35">
        <v>97.52</v>
      </c>
      <c r="APD35">
        <v>97.424999999999997</v>
      </c>
      <c r="APE35">
        <v>97.435000000000002</v>
      </c>
      <c r="APF35">
        <v>97.465000000000003</v>
      </c>
      <c r="APG35">
        <v>97.424999999999997</v>
      </c>
      <c r="APH35">
        <v>97.4</v>
      </c>
      <c r="API35">
        <v>97.295000000000002</v>
      </c>
      <c r="APJ35">
        <v>97.28</v>
      </c>
      <c r="APK35">
        <v>97.344999999999999</v>
      </c>
      <c r="APL35">
        <v>97.215000000000003</v>
      </c>
      <c r="APM35">
        <v>97.25</v>
      </c>
      <c r="APN35">
        <v>97.275000000000006</v>
      </c>
      <c r="APO35">
        <v>97.355000000000004</v>
      </c>
      <c r="APP35">
        <v>97.415000000000006</v>
      </c>
      <c r="APQ35">
        <v>97.38</v>
      </c>
      <c r="APR35">
        <v>97.36</v>
      </c>
      <c r="APS35">
        <v>97.3</v>
      </c>
      <c r="APT35">
        <v>97.254999999999995</v>
      </c>
      <c r="APU35">
        <v>97.44</v>
      </c>
      <c r="APV35">
        <v>97.63</v>
      </c>
      <c r="APW35">
        <v>97.594999999999999</v>
      </c>
      <c r="APX35">
        <v>97.59</v>
      </c>
      <c r="APY35">
        <v>97.575000000000003</v>
      </c>
      <c r="APZ35">
        <v>97.644999999999996</v>
      </c>
      <c r="AQA35">
        <v>97.66</v>
      </c>
      <c r="AQB35">
        <v>97.63</v>
      </c>
      <c r="AQC35">
        <v>97.575000000000003</v>
      </c>
      <c r="AQD35">
        <v>97.64</v>
      </c>
      <c r="AQE35">
        <v>97.63</v>
      </c>
      <c r="AQF35">
        <v>97.694999999999993</v>
      </c>
      <c r="AQG35">
        <v>97.75</v>
      </c>
      <c r="AQH35">
        <v>97.71</v>
      </c>
      <c r="AQI35">
        <v>97.6</v>
      </c>
      <c r="AQJ35">
        <v>97.605000000000004</v>
      </c>
      <c r="AQK35">
        <v>97.694999999999993</v>
      </c>
      <c r="AQL35">
        <v>97.72</v>
      </c>
      <c r="AQM35">
        <v>97.71</v>
      </c>
      <c r="AQN35">
        <v>97.745000000000005</v>
      </c>
      <c r="AQO35">
        <v>97.79</v>
      </c>
      <c r="AQP35">
        <v>97.844999999999999</v>
      </c>
      <c r="AQQ35">
        <v>97.87</v>
      </c>
      <c r="AQR35">
        <v>97.99</v>
      </c>
      <c r="AQS35">
        <v>97.99</v>
      </c>
      <c r="AQT35">
        <v>98.094999999999999</v>
      </c>
      <c r="AQU35">
        <v>98.105000000000004</v>
      </c>
      <c r="AQV35">
        <v>98.09</v>
      </c>
      <c r="AQW35">
        <v>98.08</v>
      </c>
      <c r="AQX35">
        <v>98.1</v>
      </c>
      <c r="AQY35">
        <v>98.105000000000004</v>
      </c>
      <c r="AQZ35">
        <v>98.245000000000005</v>
      </c>
      <c r="ARA35">
        <v>98.26</v>
      </c>
      <c r="ARB35">
        <v>98.325000000000003</v>
      </c>
      <c r="ARC35">
        <v>98.325000000000003</v>
      </c>
      <c r="ARD35">
        <v>98.33</v>
      </c>
      <c r="ARE35">
        <v>98.325000000000003</v>
      </c>
      <c r="ARF35">
        <v>98.32</v>
      </c>
      <c r="ARG35">
        <v>98.325000000000003</v>
      </c>
      <c r="ARH35">
        <v>98.325000000000003</v>
      </c>
      <c r="ARI35">
        <v>98.32</v>
      </c>
      <c r="ARJ35">
        <v>98.334999999999994</v>
      </c>
      <c r="ARK35">
        <v>98.334999999999994</v>
      </c>
      <c r="ARL35">
        <v>98.325000000000003</v>
      </c>
      <c r="ARM35">
        <v>98.325000000000003</v>
      </c>
      <c r="ARN35">
        <v>98.325000000000003</v>
      </c>
      <c r="ARO35">
        <v>98.31</v>
      </c>
      <c r="ARP35">
        <v>98.284999999999997</v>
      </c>
      <c r="ARQ35">
        <v>98.29</v>
      </c>
      <c r="ARR35">
        <v>98.295000000000002</v>
      </c>
      <c r="ARS35">
        <v>98.334999999999994</v>
      </c>
      <c r="ART35">
        <v>98.564999999999998</v>
      </c>
      <c r="ARU35">
        <v>98.61</v>
      </c>
      <c r="ARV35">
        <v>98.62</v>
      </c>
      <c r="ARW35">
        <v>98.61</v>
      </c>
      <c r="ARX35">
        <v>98.61</v>
      </c>
      <c r="ARY35">
        <v>98.6</v>
      </c>
      <c r="ARZ35">
        <v>98.584999999999994</v>
      </c>
      <c r="ASA35">
        <v>98.58</v>
      </c>
      <c r="ASB35">
        <v>98.584999999999994</v>
      </c>
      <c r="ASC35">
        <v>98.584999999999994</v>
      </c>
      <c r="ASD35">
        <v>98.584999999999994</v>
      </c>
      <c r="ASE35">
        <v>98.59</v>
      </c>
      <c r="ASF35">
        <v>98.584999999999994</v>
      </c>
      <c r="ASG35">
        <v>98.584999999999994</v>
      </c>
      <c r="ASH35">
        <v>98.68</v>
      </c>
      <c r="ASI35">
        <v>98.69</v>
      </c>
      <c r="ASJ35">
        <v>98.7</v>
      </c>
      <c r="ASK35">
        <v>98.7</v>
      </c>
      <c r="ASL35">
        <v>98.7</v>
      </c>
      <c r="ASM35">
        <v>99.034999999999997</v>
      </c>
      <c r="ASN35">
        <v>99.415000000000006</v>
      </c>
      <c r="ASO35">
        <v>99.52</v>
      </c>
      <c r="ASP35">
        <v>99.52</v>
      </c>
      <c r="ASQ35">
        <v>99.53</v>
      </c>
      <c r="ASR35">
        <v>99.545000000000002</v>
      </c>
      <c r="ASS35">
        <v>99.55</v>
      </c>
      <c r="AST35">
        <v>99.555000000000007</v>
      </c>
      <c r="ASU35">
        <v>99.58</v>
      </c>
      <c r="ASV35">
        <v>99.584999999999994</v>
      </c>
      <c r="ASW35">
        <v>99.58</v>
      </c>
      <c r="ASX35">
        <v>99.58</v>
      </c>
      <c r="ASY35">
        <v>99.575000000000003</v>
      </c>
      <c r="ASZ35">
        <v>99.57</v>
      </c>
      <c r="ATA35">
        <v>99.584999999999994</v>
      </c>
      <c r="ATB35">
        <v>99.58</v>
      </c>
      <c r="ATC35">
        <v>99.58</v>
      </c>
      <c r="ATD35">
        <v>99.584999999999994</v>
      </c>
      <c r="ATE35">
        <v>99.575000000000003</v>
      </c>
      <c r="ATF35">
        <v>99.575000000000003</v>
      </c>
      <c r="ATG35">
        <v>99.57</v>
      </c>
      <c r="ATH35">
        <v>99.55</v>
      </c>
      <c r="ATI35">
        <v>99.55</v>
      </c>
      <c r="ATJ35">
        <v>99.584999999999994</v>
      </c>
      <c r="ATK35">
        <v>99.63</v>
      </c>
      <c r="ATL35">
        <v>99.635000000000005</v>
      </c>
      <c r="ATM35">
        <v>99.655000000000001</v>
      </c>
      <c r="ATN35">
        <v>99.625</v>
      </c>
      <c r="ATO35">
        <v>99.635000000000005</v>
      </c>
      <c r="ATP35">
        <v>99.63</v>
      </c>
      <c r="ATQ35">
        <v>99.635000000000005</v>
      </c>
      <c r="ATR35">
        <v>99.644999999999996</v>
      </c>
      <c r="ATS35">
        <v>99.644999999999996</v>
      </c>
      <c r="ATT35">
        <v>99.64</v>
      </c>
      <c r="ATU35">
        <v>99.63</v>
      </c>
      <c r="ATV35">
        <v>99.62</v>
      </c>
      <c r="ATW35">
        <v>99.644999999999996</v>
      </c>
      <c r="ATX35">
        <v>99.644999999999996</v>
      </c>
      <c r="ATY35">
        <v>99.655000000000001</v>
      </c>
      <c r="ATZ35">
        <v>99.665000000000006</v>
      </c>
      <c r="AUA35">
        <v>99.66</v>
      </c>
      <c r="AUB35">
        <v>99.665000000000006</v>
      </c>
      <c r="AUC35">
        <v>99.66</v>
      </c>
      <c r="AUD35">
        <v>99.644999999999996</v>
      </c>
      <c r="AUE35">
        <v>99.64</v>
      </c>
      <c r="AUF35">
        <v>99.655000000000001</v>
      </c>
      <c r="AUG35">
        <v>99.65</v>
      </c>
      <c r="AUH35">
        <v>99.674999999999997</v>
      </c>
      <c r="AUI35">
        <v>99.674999999999997</v>
      </c>
      <c r="AUJ35">
        <v>99.724999999999994</v>
      </c>
      <c r="AUK35">
        <v>99.724999999999994</v>
      </c>
      <c r="AUL35">
        <v>99.724999999999994</v>
      </c>
      <c r="AUM35">
        <v>99.73</v>
      </c>
      <c r="AUN35">
        <v>99.73</v>
      </c>
      <c r="AUO35">
        <v>99.74</v>
      </c>
      <c r="AUP35">
        <v>99.74</v>
      </c>
      <c r="AUQ35">
        <v>99.745000000000005</v>
      </c>
      <c r="AUR35">
        <v>99.745000000000005</v>
      </c>
      <c r="AUS35">
        <v>99.734999999999999</v>
      </c>
      <c r="AUT35">
        <v>99.715000000000003</v>
      </c>
      <c r="AUU35">
        <v>99.73</v>
      </c>
      <c r="AUV35">
        <v>99.724999999999994</v>
      </c>
      <c r="AUW35">
        <v>99.754999999999995</v>
      </c>
      <c r="AUX35">
        <v>99.76</v>
      </c>
      <c r="AUY35">
        <v>99.75</v>
      </c>
      <c r="AUZ35">
        <v>99.724999999999994</v>
      </c>
      <c r="AVA35">
        <v>99.72</v>
      </c>
      <c r="AVB35">
        <v>99.724999999999994</v>
      </c>
      <c r="AVC35">
        <v>99.715000000000003</v>
      </c>
      <c r="AVD35">
        <v>99.715000000000003</v>
      </c>
      <c r="AVE35">
        <v>99.745000000000005</v>
      </c>
      <c r="AVF35">
        <v>99.734999999999999</v>
      </c>
      <c r="AVG35">
        <v>99.745000000000005</v>
      </c>
      <c r="AVH35">
        <v>99.74</v>
      </c>
      <c r="AVI35">
        <v>99.734999999999999</v>
      </c>
      <c r="AVJ35">
        <v>99.715000000000003</v>
      </c>
      <c r="AVK35">
        <v>99.724999999999994</v>
      </c>
      <c r="AVL35">
        <v>99.73</v>
      </c>
      <c r="AVM35">
        <v>99.74</v>
      </c>
      <c r="AVN35">
        <v>99.734999999999999</v>
      </c>
      <c r="AVO35">
        <v>99.745000000000005</v>
      </c>
      <c r="AVP35">
        <v>99.745000000000005</v>
      </c>
      <c r="AVQ35">
        <v>99.734999999999999</v>
      </c>
      <c r="AVR35">
        <v>99.72</v>
      </c>
      <c r="AVS35">
        <v>99.71</v>
      </c>
      <c r="AVT35">
        <v>99.71</v>
      </c>
      <c r="AVU35">
        <v>99.715000000000003</v>
      </c>
      <c r="AVV35">
        <v>99.715000000000003</v>
      </c>
      <c r="AVW35">
        <v>99.75</v>
      </c>
      <c r="AVX35">
        <v>99.76</v>
      </c>
      <c r="AVY35">
        <v>99.78</v>
      </c>
      <c r="AVZ35">
        <v>99.784999999999997</v>
      </c>
      <c r="AWA35">
        <v>99.795000000000002</v>
      </c>
      <c r="AWB35">
        <v>99.784999999999997</v>
      </c>
      <c r="AWC35">
        <v>99.78</v>
      </c>
      <c r="AWD35">
        <v>99.775000000000006</v>
      </c>
      <c r="AWE35">
        <v>99.754999999999995</v>
      </c>
      <c r="AWF35">
        <v>99.745000000000005</v>
      </c>
      <c r="AWG35">
        <v>99.74</v>
      </c>
      <c r="AWH35">
        <v>99.75</v>
      </c>
      <c r="AWI35">
        <v>99.754999999999995</v>
      </c>
      <c r="AWJ35">
        <v>99.754999999999995</v>
      </c>
      <c r="AWK35">
        <v>99.75</v>
      </c>
      <c r="AWL35">
        <v>99.75</v>
      </c>
      <c r="AWM35">
        <v>99.745000000000005</v>
      </c>
      <c r="AWN35">
        <v>99.745000000000005</v>
      </c>
      <c r="AWO35">
        <v>99.74</v>
      </c>
      <c r="AWP35">
        <v>99.75</v>
      </c>
      <c r="AWQ35">
        <v>99.75</v>
      </c>
      <c r="AWR35">
        <v>99.765000000000001</v>
      </c>
      <c r="AWS35">
        <v>99.78</v>
      </c>
      <c r="AWT35">
        <v>99.765000000000001</v>
      </c>
      <c r="AWU35">
        <v>99.76</v>
      </c>
      <c r="AWV35">
        <v>99.754999999999995</v>
      </c>
      <c r="AWW35">
        <v>99.754999999999995</v>
      </c>
      <c r="AWX35">
        <v>99.754999999999995</v>
      </c>
      <c r="AWY35">
        <v>99.745000000000005</v>
      </c>
      <c r="AWZ35">
        <v>99.765000000000001</v>
      </c>
      <c r="AXA35">
        <v>99.765000000000001</v>
      </c>
      <c r="AXB35">
        <v>99.754999999999995</v>
      </c>
      <c r="AXC35">
        <v>99.734999999999999</v>
      </c>
      <c r="AXD35">
        <v>99.734999999999999</v>
      </c>
      <c r="AXE35">
        <v>99.734999999999999</v>
      </c>
      <c r="AXF35">
        <v>99.73</v>
      </c>
      <c r="AXG35">
        <v>99.72</v>
      </c>
      <c r="AXH35">
        <v>99.7</v>
      </c>
      <c r="AXI35">
        <v>99.694999999999993</v>
      </c>
      <c r="AXJ35">
        <v>99.685000000000002</v>
      </c>
      <c r="AXK35">
        <v>99.7</v>
      </c>
      <c r="AXL35">
        <v>99.69</v>
      </c>
      <c r="AXM35">
        <v>99.7</v>
      </c>
      <c r="AXN35">
        <v>99.674999999999997</v>
      </c>
      <c r="AXO35">
        <v>99.625</v>
      </c>
      <c r="AXP35">
        <v>99.59</v>
      </c>
      <c r="AXQ35">
        <v>99.584999999999994</v>
      </c>
      <c r="AXR35">
        <v>99.65</v>
      </c>
      <c r="AXS35">
        <v>99.665000000000006</v>
      </c>
      <c r="AXT35">
        <v>99.7</v>
      </c>
      <c r="AXU35">
        <v>99.704999999999998</v>
      </c>
      <c r="AXV35">
        <v>99.694999999999993</v>
      </c>
      <c r="AXW35">
        <v>99.674999999999997</v>
      </c>
      <c r="AXX35">
        <v>99.68</v>
      </c>
      <c r="AXY35">
        <v>99.685000000000002</v>
      </c>
      <c r="AXZ35">
        <v>99.69</v>
      </c>
      <c r="AYA35">
        <v>99.69</v>
      </c>
      <c r="AYB35">
        <v>99.685000000000002</v>
      </c>
      <c r="AYC35">
        <v>99.685000000000002</v>
      </c>
      <c r="AYD35">
        <v>99.69</v>
      </c>
      <c r="AYE35">
        <v>99.69</v>
      </c>
      <c r="AYF35">
        <v>99.734999999999999</v>
      </c>
      <c r="AYG35">
        <v>99.71</v>
      </c>
      <c r="AYH35">
        <v>99.7</v>
      </c>
      <c r="AYI35">
        <v>99.68</v>
      </c>
      <c r="AYJ35">
        <v>99.68</v>
      </c>
      <c r="AYK35">
        <v>99.7</v>
      </c>
      <c r="AYL35">
        <v>99.71</v>
      </c>
      <c r="AYM35">
        <v>99.655000000000001</v>
      </c>
      <c r="AYN35">
        <v>99.64</v>
      </c>
      <c r="AYO35">
        <v>99.644999999999996</v>
      </c>
      <c r="AYP35">
        <v>99.63</v>
      </c>
      <c r="AYQ35">
        <v>99.635000000000005</v>
      </c>
      <c r="AYR35">
        <v>99.625</v>
      </c>
      <c r="AYS35">
        <v>99.61</v>
      </c>
      <c r="AYT35">
        <v>99.605000000000004</v>
      </c>
      <c r="AYU35">
        <v>99.614999999999995</v>
      </c>
      <c r="AYV35">
        <v>99.614999999999995</v>
      </c>
      <c r="AYW35">
        <v>99.61</v>
      </c>
      <c r="AYX35">
        <v>99.62</v>
      </c>
      <c r="AYY35">
        <v>99.6</v>
      </c>
      <c r="AYZ35">
        <v>99.59</v>
      </c>
      <c r="AZA35">
        <v>99.575000000000003</v>
      </c>
      <c r="AZB35">
        <v>99.564999999999998</v>
      </c>
      <c r="AZC35">
        <v>99.534999999999997</v>
      </c>
      <c r="AZD35">
        <v>99.52</v>
      </c>
      <c r="AZE35">
        <v>99.53</v>
      </c>
      <c r="AZF35">
        <v>99.53</v>
      </c>
      <c r="AZG35">
        <v>99.51</v>
      </c>
      <c r="AZH35">
        <v>99.495000000000005</v>
      </c>
      <c r="AZI35">
        <v>99.54</v>
      </c>
      <c r="AZJ35">
        <v>99.6</v>
      </c>
      <c r="AZK35">
        <v>99.594999999999999</v>
      </c>
      <c r="AZL35">
        <v>99.61</v>
      </c>
      <c r="AZM35">
        <v>99.584999999999994</v>
      </c>
      <c r="AZN35">
        <v>99.614999999999995</v>
      </c>
      <c r="AZO35">
        <v>99.57</v>
      </c>
      <c r="AZP35">
        <v>99.55</v>
      </c>
      <c r="AZQ35">
        <v>99.52</v>
      </c>
      <c r="AZR35">
        <v>99.515000000000001</v>
      </c>
      <c r="AZS35">
        <v>99.575000000000003</v>
      </c>
      <c r="AZT35">
        <v>99.495000000000005</v>
      </c>
      <c r="AZU35">
        <v>99.435000000000002</v>
      </c>
      <c r="AZV35">
        <v>99.33</v>
      </c>
      <c r="AZW35">
        <v>99.444999999999993</v>
      </c>
      <c r="AZX35">
        <v>99.495000000000005</v>
      </c>
      <c r="AZY35">
        <v>99.42</v>
      </c>
      <c r="AZZ35">
        <v>99.46</v>
      </c>
      <c r="BAA35">
        <v>99.39</v>
      </c>
      <c r="BAB35">
        <v>99.38</v>
      </c>
      <c r="BAC35">
        <v>99.5</v>
      </c>
      <c r="BAD35">
        <v>99.424999999999997</v>
      </c>
      <c r="BAE35">
        <v>99.34</v>
      </c>
      <c r="BAF35">
        <v>99.29</v>
      </c>
      <c r="BAG35">
        <v>99.23</v>
      </c>
      <c r="BAH35">
        <v>99.16</v>
      </c>
      <c r="BAI35">
        <v>99.16</v>
      </c>
      <c r="BAJ35">
        <v>98.96</v>
      </c>
      <c r="BAK35">
        <v>98.905000000000001</v>
      </c>
      <c r="BAL35">
        <v>98.915000000000006</v>
      </c>
      <c r="BAM35">
        <v>98.86</v>
      </c>
      <c r="BAN35">
        <v>98.75</v>
      </c>
      <c r="BAO35">
        <v>98.685000000000002</v>
      </c>
      <c r="BAP35">
        <v>98.64</v>
      </c>
      <c r="BAQ35">
        <v>98.665000000000006</v>
      </c>
      <c r="BAR35">
        <v>98.635000000000005</v>
      </c>
      <c r="BAS35">
        <v>98.635000000000005</v>
      </c>
      <c r="BAT35">
        <v>98.6</v>
      </c>
      <c r="BAU35">
        <v>98.6</v>
      </c>
      <c r="BAV35">
        <v>98.64</v>
      </c>
      <c r="BAW35">
        <v>98.67</v>
      </c>
      <c r="BAX35">
        <v>98.635000000000005</v>
      </c>
      <c r="BAY35">
        <v>98.58</v>
      </c>
      <c r="BAZ35">
        <v>98.6</v>
      </c>
      <c r="BBA35">
        <v>98.64</v>
      </c>
      <c r="BBB35">
        <v>98.724999999999994</v>
      </c>
      <c r="BBC35">
        <v>98.74</v>
      </c>
      <c r="BBD35">
        <v>98.685000000000002</v>
      </c>
      <c r="BBE35">
        <v>98.64</v>
      </c>
      <c r="BBF35">
        <v>98.59</v>
      </c>
      <c r="BBG35">
        <v>98.625</v>
      </c>
      <c r="BBH35">
        <v>98.54</v>
      </c>
      <c r="BBI35">
        <v>98.484999999999999</v>
      </c>
      <c r="BBJ35">
        <v>98.465000000000003</v>
      </c>
      <c r="BBK35">
        <v>98.45</v>
      </c>
      <c r="BBL35">
        <v>98.394999999999996</v>
      </c>
      <c r="BBM35">
        <v>98.394999999999996</v>
      </c>
      <c r="BBN35">
        <v>98.41</v>
      </c>
      <c r="BBO35">
        <v>98.42</v>
      </c>
      <c r="BBP35">
        <v>98.41</v>
      </c>
      <c r="BBQ35">
        <v>98.394999999999996</v>
      </c>
      <c r="BBR35">
        <v>98.4</v>
      </c>
      <c r="BBS35">
        <v>98.385000000000005</v>
      </c>
      <c r="BBT35">
        <v>98.38</v>
      </c>
      <c r="BBU35">
        <v>98.424999999999997</v>
      </c>
      <c r="BBV35">
        <v>98.435000000000002</v>
      </c>
      <c r="BBW35">
        <v>98.44</v>
      </c>
      <c r="BBX35">
        <v>98.35</v>
      </c>
      <c r="BBY35">
        <v>98.34</v>
      </c>
      <c r="BBZ35">
        <v>98.34</v>
      </c>
      <c r="BCA35">
        <v>98.344999999999999</v>
      </c>
      <c r="BCB35">
        <v>98.344999999999999</v>
      </c>
      <c r="BCC35">
        <v>98.305000000000007</v>
      </c>
      <c r="BCD35">
        <v>98.305000000000007</v>
      </c>
      <c r="BCE35">
        <v>98.305000000000007</v>
      </c>
      <c r="BCF35">
        <v>98.284999999999997</v>
      </c>
      <c r="BCG35">
        <v>98.325000000000003</v>
      </c>
      <c r="BCH35">
        <v>98.34</v>
      </c>
      <c r="BCI35">
        <v>98.32</v>
      </c>
      <c r="BCJ35">
        <v>98.35</v>
      </c>
      <c r="BCK35">
        <v>98.36</v>
      </c>
      <c r="BCL35">
        <v>98.435000000000002</v>
      </c>
      <c r="BCM35">
        <v>98.355000000000004</v>
      </c>
      <c r="BCN35">
        <v>98.44</v>
      </c>
      <c r="BCO35">
        <v>98.4</v>
      </c>
      <c r="BCP35">
        <v>98.415000000000006</v>
      </c>
      <c r="BCQ35">
        <v>98.424999999999997</v>
      </c>
      <c r="BCR35">
        <v>98.484999999999999</v>
      </c>
      <c r="BCS35">
        <v>98.5</v>
      </c>
      <c r="BCT35">
        <v>98.575000000000003</v>
      </c>
      <c r="BCU35">
        <v>98.454999999999998</v>
      </c>
      <c r="BCV35">
        <v>98.49</v>
      </c>
      <c r="BCW35">
        <v>98.48</v>
      </c>
      <c r="BCX35">
        <v>98.48</v>
      </c>
      <c r="BCY35">
        <v>98.52</v>
      </c>
      <c r="BCZ35">
        <v>98.51</v>
      </c>
      <c r="BDA35">
        <v>98.495000000000005</v>
      </c>
      <c r="BDB35">
        <v>98.515000000000001</v>
      </c>
      <c r="BDC35">
        <v>98.545000000000002</v>
      </c>
      <c r="BDD35">
        <v>98.51</v>
      </c>
      <c r="BDE35">
        <v>98.484999999999999</v>
      </c>
      <c r="BDF35">
        <v>98.46</v>
      </c>
      <c r="BDG35">
        <v>98.47</v>
      </c>
      <c r="BDH35">
        <v>98.42</v>
      </c>
      <c r="BDI35">
        <v>98.37</v>
      </c>
      <c r="BDJ35">
        <v>98.34</v>
      </c>
      <c r="BDK35">
        <v>98.35</v>
      </c>
      <c r="BDL35">
        <v>98.334999999999994</v>
      </c>
      <c r="BDM35">
        <v>98.444999999999993</v>
      </c>
      <c r="BDN35">
        <v>98.42</v>
      </c>
      <c r="BDO35">
        <v>98.48</v>
      </c>
      <c r="BDP35">
        <v>98.53</v>
      </c>
      <c r="BDQ35">
        <v>98.6</v>
      </c>
      <c r="BDR35">
        <v>98.474999999999994</v>
      </c>
      <c r="BDS35">
        <v>98.454999999999998</v>
      </c>
      <c r="BDT35">
        <v>98.46</v>
      </c>
      <c r="BDU35">
        <v>98.49</v>
      </c>
      <c r="BDV35">
        <v>98.534999999999997</v>
      </c>
      <c r="BDW35">
        <v>98.545000000000002</v>
      </c>
      <c r="BDX35">
        <v>98.525000000000006</v>
      </c>
      <c r="BDY35">
        <v>98.5</v>
      </c>
      <c r="BDZ35">
        <v>98.54</v>
      </c>
      <c r="BEA35">
        <v>98.515000000000001</v>
      </c>
      <c r="BEB35">
        <v>98.54</v>
      </c>
      <c r="BEC35">
        <v>98.5</v>
      </c>
      <c r="BED35">
        <v>98.555000000000007</v>
      </c>
      <c r="BEE35">
        <v>98.534999999999997</v>
      </c>
      <c r="BEF35">
        <v>98.665000000000006</v>
      </c>
      <c r="BEG35">
        <v>98.73</v>
      </c>
      <c r="BEH35">
        <v>98.784999999999997</v>
      </c>
      <c r="BEI35">
        <v>98.775000000000006</v>
      </c>
      <c r="BEJ35">
        <v>98.844999999999999</v>
      </c>
      <c r="BEK35">
        <v>98.855000000000004</v>
      </c>
      <c r="BEL35">
        <v>98.754999999999995</v>
      </c>
      <c r="BEM35">
        <v>98.68</v>
      </c>
      <c r="BEN35">
        <v>98.61</v>
      </c>
      <c r="BEO35">
        <v>98.62</v>
      </c>
      <c r="BEP35" t="s">
        <v>6984</v>
      </c>
      <c r="BEQ35" t="s">
        <v>6984</v>
      </c>
      <c r="BER35" t="s">
        <v>6984</v>
      </c>
      <c r="BES35" t="s">
        <v>6984</v>
      </c>
      <c r="BET35" t="s">
        <v>6984</v>
      </c>
      <c r="BEU35" t="s">
        <v>6984</v>
      </c>
      <c r="BEV35" t="s">
        <v>6984</v>
      </c>
      <c r="BEW35" t="s">
        <v>6984</v>
      </c>
      <c r="BEX35" t="s">
        <v>6984</v>
      </c>
      <c r="BEY35" t="s">
        <v>6984</v>
      </c>
      <c r="BEZ35" t="s">
        <v>6984</v>
      </c>
      <c r="BFA35" t="s">
        <v>6984</v>
      </c>
      <c r="BFB35" t="s">
        <v>6984</v>
      </c>
      <c r="BFC35" t="s">
        <v>6984</v>
      </c>
      <c r="BFD35" t="s">
        <v>6984</v>
      </c>
      <c r="BFE35" t="s">
        <v>6984</v>
      </c>
      <c r="BFF35" t="s">
        <v>6984</v>
      </c>
      <c r="BFG35" t="s">
        <v>6984</v>
      </c>
      <c r="BFH35" t="s">
        <v>6984</v>
      </c>
      <c r="BFI35" t="s">
        <v>6984</v>
      </c>
      <c r="BFJ35" t="s">
        <v>6984</v>
      </c>
      <c r="BFK35" t="s">
        <v>6984</v>
      </c>
      <c r="BFL35" t="s">
        <v>6984</v>
      </c>
      <c r="BFM35" t="s">
        <v>6984</v>
      </c>
      <c r="BFN35" t="s">
        <v>6984</v>
      </c>
      <c r="BFO35" t="s">
        <v>6984</v>
      </c>
      <c r="BFP35" t="s">
        <v>6984</v>
      </c>
      <c r="BFQ35" t="s">
        <v>6984</v>
      </c>
      <c r="BFR35" t="s">
        <v>6984</v>
      </c>
      <c r="BFS35" t="s">
        <v>6984</v>
      </c>
      <c r="BFT35" t="s">
        <v>6984</v>
      </c>
      <c r="BFU35" t="s">
        <v>6984</v>
      </c>
      <c r="BFV35" t="s">
        <v>6984</v>
      </c>
      <c r="BFW35" t="s">
        <v>6984</v>
      </c>
      <c r="BFX35" t="s">
        <v>6984</v>
      </c>
      <c r="BFY35" t="s">
        <v>6984</v>
      </c>
      <c r="BFZ35" t="s">
        <v>6984</v>
      </c>
      <c r="BGA35" t="s">
        <v>6984</v>
      </c>
      <c r="BGB35" t="s">
        <v>6984</v>
      </c>
      <c r="BGC35" t="s">
        <v>6984</v>
      </c>
      <c r="BGD35" t="s">
        <v>6984</v>
      </c>
      <c r="BGE35" t="s">
        <v>6984</v>
      </c>
      <c r="BGF35" t="s">
        <v>6984</v>
      </c>
      <c r="BGG35" t="s">
        <v>6984</v>
      </c>
      <c r="BGH35" t="s">
        <v>6984</v>
      </c>
      <c r="BGI35" t="s">
        <v>6984</v>
      </c>
      <c r="BGJ35" t="s">
        <v>6984</v>
      </c>
      <c r="BGK35" t="s">
        <v>6984</v>
      </c>
      <c r="BGL35" t="s">
        <v>6984</v>
      </c>
      <c r="BGM35" t="s">
        <v>6984</v>
      </c>
      <c r="BGN35" t="s">
        <v>6984</v>
      </c>
      <c r="BGO35" t="s">
        <v>6984</v>
      </c>
      <c r="BGP35" t="s">
        <v>6984</v>
      </c>
      <c r="BGQ35" t="s">
        <v>6984</v>
      </c>
      <c r="BGR35" t="s">
        <v>6984</v>
      </c>
      <c r="BGS35" t="s">
        <v>6984</v>
      </c>
      <c r="BGT35" t="s">
        <v>6984</v>
      </c>
      <c r="BGU35" t="s">
        <v>6984</v>
      </c>
      <c r="BGV35" t="s">
        <v>6984</v>
      </c>
      <c r="BGW35" t="s">
        <v>6984</v>
      </c>
      <c r="BGX35" t="s">
        <v>6984</v>
      </c>
      <c r="BGY35" t="s">
        <v>6984</v>
      </c>
      <c r="BGZ35" t="s">
        <v>6984</v>
      </c>
      <c r="BHA35" t="s">
        <v>6984</v>
      </c>
      <c r="BHB35" t="s">
        <v>6984</v>
      </c>
      <c r="BHC35" t="s">
        <v>6984</v>
      </c>
      <c r="BHD35" t="s">
        <v>6984</v>
      </c>
      <c r="BHE35" t="s">
        <v>6984</v>
      </c>
      <c r="BHF35" t="s">
        <v>6984</v>
      </c>
      <c r="BHG35" t="s">
        <v>6984</v>
      </c>
      <c r="BHH35" t="s">
        <v>6984</v>
      </c>
      <c r="BHI35" t="s">
        <v>6984</v>
      </c>
      <c r="BHJ35" t="s">
        <v>6984</v>
      </c>
      <c r="BHK35" t="s">
        <v>6984</v>
      </c>
      <c r="BHL35" t="s">
        <v>6984</v>
      </c>
      <c r="BHM35" t="s">
        <v>6984</v>
      </c>
      <c r="BHN35" t="s">
        <v>6984</v>
      </c>
      <c r="BHO35" t="s">
        <v>6984</v>
      </c>
      <c r="BHP35" t="s">
        <v>6984</v>
      </c>
      <c r="BHQ35" t="s">
        <v>6984</v>
      </c>
      <c r="BHR35" t="s">
        <v>6984</v>
      </c>
      <c r="BHS35" t="s">
        <v>6984</v>
      </c>
      <c r="BHT35" t="s">
        <v>6984</v>
      </c>
      <c r="BHU35" t="s">
        <v>6984</v>
      </c>
      <c r="BHV35" t="s">
        <v>6984</v>
      </c>
      <c r="BHW35" t="s">
        <v>6984</v>
      </c>
      <c r="BHX35" t="s">
        <v>6984</v>
      </c>
      <c r="BHY35" t="s">
        <v>6984</v>
      </c>
      <c r="BHZ35" t="s">
        <v>6984</v>
      </c>
      <c r="BIA35" t="s">
        <v>6984</v>
      </c>
      <c r="BIB35" t="s">
        <v>6984</v>
      </c>
      <c r="BIC35" t="s">
        <v>6984</v>
      </c>
      <c r="BID35" t="s">
        <v>6984</v>
      </c>
      <c r="BIE35" t="s">
        <v>6984</v>
      </c>
      <c r="BIF35" t="s">
        <v>6984</v>
      </c>
      <c r="BIG35" t="s">
        <v>6984</v>
      </c>
      <c r="BIH35" t="s">
        <v>6984</v>
      </c>
      <c r="BII35" t="s">
        <v>6984</v>
      </c>
      <c r="BIJ35" t="s">
        <v>6984</v>
      </c>
      <c r="BIK35" t="s">
        <v>6984</v>
      </c>
      <c r="BIL35" t="s">
        <v>6984</v>
      </c>
      <c r="BIM35" t="s">
        <v>6984</v>
      </c>
      <c r="BIN35" t="s">
        <v>6984</v>
      </c>
      <c r="BIO35" t="s">
        <v>6984</v>
      </c>
      <c r="BIP35" t="s">
        <v>6984</v>
      </c>
      <c r="BIQ35" t="s">
        <v>6984</v>
      </c>
      <c r="BIR35" t="s">
        <v>6984</v>
      </c>
      <c r="BIS35" t="s">
        <v>6984</v>
      </c>
      <c r="BIT35" t="s">
        <v>6984</v>
      </c>
      <c r="BIU35" t="s">
        <v>6984</v>
      </c>
      <c r="BIV35" t="s">
        <v>6984</v>
      </c>
      <c r="BIW35" t="s">
        <v>6984</v>
      </c>
      <c r="BIX35" t="s">
        <v>6984</v>
      </c>
      <c r="BIY35" t="s">
        <v>6984</v>
      </c>
      <c r="BIZ35" t="s">
        <v>6984</v>
      </c>
      <c r="BJA35" t="s">
        <v>6984</v>
      </c>
      <c r="BJB35" t="s">
        <v>6984</v>
      </c>
      <c r="BJC35" t="s">
        <v>6984</v>
      </c>
      <c r="BJD35" t="s">
        <v>6984</v>
      </c>
      <c r="BJE35" t="s">
        <v>6984</v>
      </c>
      <c r="BJF35" t="s">
        <v>6984</v>
      </c>
      <c r="BJG35" t="s">
        <v>6984</v>
      </c>
      <c r="BJH35" t="s">
        <v>6984</v>
      </c>
      <c r="BJI35" t="s">
        <v>6984</v>
      </c>
      <c r="BJJ35" t="s">
        <v>6984</v>
      </c>
      <c r="BJK35" t="s">
        <v>6984</v>
      </c>
      <c r="BJL35" t="s">
        <v>6984</v>
      </c>
      <c r="BJM35" t="s">
        <v>6984</v>
      </c>
      <c r="BJN35" t="s">
        <v>6984</v>
      </c>
      <c r="BJO35" t="s">
        <v>6984</v>
      </c>
      <c r="BJP35" t="s">
        <v>6984</v>
      </c>
      <c r="BJQ35" t="s">
        <v>6984</v>
      </c>
      <c r="BJR35" t="s">
        <v>6984</v>
      </c>
      <c r="BJS35" t="s">
        <v>6984</v>
      </c>
      <c r="BJT35" t="s">
        <v>6984</v>
      </c>
      <c r="BJU35" t="s">
        <v>6984</v>
      </c>
      <c r="BJV35" t="s">
        <v>6984</v>
      </c>
      <c r="BJW35" t="s">
        <v>6984</v>
      </c>
      <c r="BJX35" t="s">
        <v>6984</v>
      </c>
      <c r="BJY35" t="s">
        <v>6984</v>
      </c>
      <c r="BJZ35" t="s">
        <v>6984</v>
      </c>
      <c r="BKA35" t="s">
        <v>6984</v>
      </c>
      <c r="BKB35" t="s">
        <v>6984</v>
      </c>
      <c r="BKC35" t="s">
        <v>6984</v>
      </c>
      <c r="BKD35" t="s">
        <v>6984</v>
      </c>
      <c r="BKE35" t="s">
        <v>6984</v>
      </c>
      <c r="BKF35" t="s">
        <v>6984</v>
      </c>
      <c r="BKG35" t="s">
        <v>6984</v>
      </c>
      <c r="BKH35" t="s">
        <v>6984</v>
      </c>
      <c r="BKI35" t="s">
        <v>6984</v>
      </c>
      <c r="BKJ35" t="s">
        <v>6984</v>
      </c>
      <c r="BKK35" t="s">
        <v>6984</v>
      </c>
      <c r="BKL35" t="s">
        <v>6984</v>
      </c>
      <c r="BKM35" t="s">
        <v>6984</v>
      </c>
      <c r="BKN35" t="s">
        <v>6984</v>
      </c>
      <c r="BKO35" t="s">
        <v>6984</v>
      </c>
      <c r="BKP35" t="s">
        <v>6984</v>
      </c>
      <c r="BKQ35" t="s">
        <v>6984</v>
      </c>
      <c r="BKR35" t="s">
        <v>6984</v>
      </c>
      <c r="BKS35" t="s">
        <v>6984</v>
      </c>
      <c r="BKT35" t="s">
        <v>6984</v>
      </c>
      <c r="BKU35" t="s">
        <v>6984</v>
      </c>
      <c r="BKV35" t="s">
        <v>6984</v>
      </c>
      <c r="BKW35" t="s">
        <v>6984</v>
      </c>
      <c r="BKX35" t="s">
        <v>6984</v>
      </c>
      <c r="BKY35" t="s">
        <v>6984</v>
      </c>
      <c r="BKZ35" t="s">
        <v>6984</v>
      </c>
      <c r="BLA35" t="s">
        <v>6984</v>
      </c>
      <c r="BLB35" t="s">
        <v>6984</v>
      </c>
      <c r="BLC35" t="s">
        <v>6984</v>
      </c>
      <c r="BLD35" t="s">
        <v>6984</v>
      </c>
      <c r="BLE35" t="s">
        <v>6984</v>
      </c>
      <c r="BLF35" t="s">
        <v>6984</v>
      </c>
      <c r="BLG35" t="s">
        <v>6984</v>
      </c>
      <c r="BLH35" t="s">
        <v>6984</v>
      </c>
      <c r="BLI35" t="s">
        <v>6984</v>
      </c>
      <c r="BLJ35" t="s">
        <v>6984</v>
      </c>
      <c r="BLK35" t="s">
        <v>6984</v>
      </c>
      <c r="BLL35" t="s">
        <v>6984</v>
      </c>
      <c r="BLM35" t="s">
        <v>6984</v>
      </c>
      <c r="BLN35" t="s">
        <v>6984</v>
      </c>
      <c r="BLO35" t="s">
        <v>6984</v>
      </c>
      <c r="BLP35" t="s">
        <v>6984</v>
      </c>
      <c r="BLQ35" t="s">
        <v>6984</v>
      </c>
      <c r="BLR35" t="s">
        <v>6984</v>
      </c>
      <c r="BLS35" t="s">
        <v>6984</v>
      </c>
      <c r="BLT35" t="s">
        <v>6984</v>
      </c>
      <c r="BLU35" t="s">
        <v>6984</v>
      </c>
      <c r="BLV35" t="s">
        <v>6984</v>
      </c>
      <c r="BLW35" t="s">
        <v>6984</v>
      </c>
      <c r="BLX35" t="s">
        <v>6984</v>
      </c>
      <c r="BLY35" t="s">
        <v>6984</v>
      </c>
      <c r="BLZ35" t="s">
        <v>6984</v>
      </c>
      <c r="BMA35" t="s">
        <v>6984</v>
      </c>
      <c r="BMB35" t="s">
        <v>6984</v>
      </c>
      <c r="BMC35" t="s">
        <v>6984</v>
      </c>
      <c r="BMD35" t="s">
        <v>6984</v>
      </c>
      <c r="BME35" t="s">
        <v>6984</v>
      </c>
      <c r="BMF35" t="s">
        <v>6984</v>
      </c>
      <c r="BMG35" t="s">
        <v>6984</v>
      </c>
      <c r="BMH35" t="s">
        <v>6984</v>
      </c>
      <c r="BMI35" t="s">
        <v>6984</v>
      </c>
      <c r="BMJ35" t="s">
        <v>6984</v>
      </c>
      <c r="BMK35" t="s">
        <v>6984</v>
      </c>
      <c r="BML35" t="s">
        <v>6984</v>
      </c>
      <c r="BMM35" t="s">
        <v>6984</v>
      </c>
      <c r="BMN35" t="s">
        <v>6984</v>
      </c>
      <c r="BMO35" t="s">
        <v>6984</v>
      </c>
      <c r="BMP35" t="s">
        <v>6984</v>
      </c>
      <c r="BMQ35" t="s">
        <v>6984</v>
      </c>
      <c r="BMR35" t="s">
        <v>6984</v>
      </c>
      <c r="BMS35" t="s">
        <v>6984</v>
      </c>
      <c r="BMT35" t="s">
        <v>6984</v>
      </c>
      <c r="BMU35" t="s">
        <v>6984</v>
      </c>
      <c r="BMV35" t="s">
        <v>6984</v>
      </c>
      <c r="BMW35" t="s">
        <v>6984</v>
      </c>
      <c r="BMX35" t="s">
        <v>6984</v>
      </c>
      <c r="BMY35" t="s">
        <v>6984</v>
      </c>
      <c r="BMZ35" t="s">
        <v>6984</v>
      </c>
      <c r="BNA35" t="s">
        <v>6984</v>
      </c>
      <c r="BNB35" t="s">
        <v>6984</v>
      </c>
      <c r="BNC35" t="s">
        <v>6984</v>
      </c>
      <c r="BND35" t="s">
        <v>6984</v>
      </c>
      <c r="BNE35" t="s">
        <v>6984</v>
      </c>
      <c r="BNF35" t="s">
        <v>6984</v>
      </c>
      <c r="BNG35" t="s">
        <v>6984</v>
      </c>
      <c r="BNH35" t="s">
        <v>6984</v>
      </c>
      <c r="BNI35" t="s">
        <v>6984</v>
      </c>
      <c r="BNJ35" t="s">
        <v>6984</v>
      </c>
      <c r="BNK35" t="s">
        <v>6984</v>
      </c>
      <c r="BNL35" t="s">
        <v>6984</v>
      </c>
      <c r="BNM35" t="s">
        <v>6984</v>
      </c>
      <c r="BNN35" t="s">
        <v>6984</v>
      </c>
      <c r="BNO35" t="s">
        <v>6984</v>
      </c>
      <c r="BNP35" t="s">
        <v>6984</v>
      </c>
      <c r="BNQ35" t="s">
        <v>6984</v>
      </c>
      <c r="BNR35" t="s">
        <v>6984</v>
      </c>
      <c r="BNS35" t="s">
        <v>6984</v>
      </c>
      <c r="BNT35" t="s">
        <v>6984</v>
      </c>
      <c r="BNU35" t="s">
        <v>6984</v>
      </c>
      <c r="BNV35" t="s">
        <v>6984</v>
      </c>
      <c r="BNW35" t="s">
        <v>6984</v>
      </c>
      <c r="BNX35" t="s">
        <v>6984</v>
      </c>
      <c r="BNY35" t="s">
        <v>6984</v>
      </c>
      <c r="BNZ35" t="s">
        <v>6984</v>
      </c>
      <c r="BOA35" t="s">
        <v>6984</v>
      </c>
      <c r="BOB35" t="s">
        <v>6984</v>
      </c>
      <c r="BOC35" t="s">
        <v>6984</v>
      </c>
      <c r="BOD35" t="s">
        <v>6984</v>
      </c>
      <c r="BOE35" t="s">
        <v>6984</v>
      </c>
      <c r="BOF35" t="s">
        <v>6984</v>
      </c>
      <c r="BOG35" t="s">
        <v>6984</v>
      </c>
      <c r="BOH35" t="s">
        <v>6984</v>
      </c>
      <c r="BOI35" t="s">
        <v>6984</v>
      </c>
      <c r="BOJ35" t="s">
        <v>6984</v>
      </c>
      <c r="BOK35" t="s">
        <v>6984</v>
      </c>
      <c r="BOL35" t="s">
        <v>6984</v>
      </c>
      <c r="BOM35" t="s">
        <v>6984</v>
      </c>
      <c r="BON35" t="s">
        <v>6984</v>
      </c>
      <c r="BOO35" t="s">
        <v>6984</v>
      </c>
      <c r="BOP35" t="s">
        <v>6984</v>
      </c>
      <c r="BOQ35" t="s">
        <v>6984</v>
      </c>
      <c r="BOR35" t="s">
        <v>6984</v>
      </c>
      <c r="BOS35" t="s">
        <v>6984</v>
      </c>
      <c r="BOT35" t="s">
        <v>6984</v>
      </c>
      <c r="BOU35" t="s">
        <v>6984</v>
      </c>
      <c r="BOV35" t="s">
        <v>6984</v>
      </c>
      <c r="BOW35" t="s">
        <v>6984</v>
      </c>
      <c r="BOX35" t="s">
        <v>6984</v>
      </c>
      <c r="BOY35" t="s">
        <v>6984</v>
      </c>
      <c r="BOZ35" t="s">
        <v>6984</v>
      </c>
      <c r="BPA35" t="s">
        <v>6984</v>
      </c>
      <c r="BPB35" t="s">
        <v>6984</v>
      </c>
      <c r="BPC35" t="s">
        <v>6984</v>
      </c>
      <c r="BPD35" t="s">
        <v>6984</v>
      </c>
      <c r="BPE35" t="s">
        <v>6984</v>
      </c>
      <c r="BPF35" t="s">
        <v>6984</v>
      </c>
      <c r="BPG35" t="s">
        <v>6984</v>
      </c>
      <c r="BPH35" t="s">
        <v>6984</v>
      </c>
      <c r="BPI35" t="s">
        <v>6984</v>
      </c>
      <c r="BPJ35" t="s">
        <v>6984</v>
      </c>
      <c r="BPK35" t="s">
        <v>6984</v>
      </c>
      <c r="BPL35" t="s">
        <v>6984</v>
      </c>
      <c r="BPM35" t="s">
        <v>6984</v>
      </c>
      <c r="BPN35" t="s">
        <v>6984</v>
      </c>
      <c r="BPO35" t="s">
        <v>6984</v>
      </c>
      <c r="BPP35" t="s">
        <v>6984</v>
      </c>
      <c r="BPQ35" t="s">
        <v>6984</v>
      </c>
      <c r="BPR35" t="s">
        <v>6984</v>
      </c>
      <c r="BPS35" t="s">
        <v>6984</v>
      </c>
      <c r="BPT35" t="s">
        <v>6984</v>
      </c>
      <c r="BPU35" t="s">
        <v>6984</v>
      </c>
      <c r="BPV35" t="s">
        <v>6984</v>
      </c>
      <c r="BPW35" t="s">
        <v>6984</v>
      </c>
      <c r="BPX35" t="s">
        <v>6984</v>
      </c>
      <c r="BPY35" t="s">
        <v>6984</v>
      </c>
      <c r="BPZ35" t="s">
        <v>6984</v>
      </c>
      <c r="BQA35" t="s">
        <v>6984</v>
      </c>
      <c r="BQB35" t="s">
        <v>6984</v>
      </c>
      <c r="BQC35" t="s">
        <v>6984</v>
      </c>
      <c r="BQD35" t="s">
        <v>6984</v>
      </c>
      <c r="BQE35" t="s">
        <v>6984</v>
      </c>
      <c r="BQF35" t="s">
        <v>6984</v>
      </c>
      <c r="BQG35" t="s">
        <v>6984</v>
      </c>
      <c r="BQH35" t="s">
        <v>6984</v>
      </c>
      <c r="BQI35" t="s">
        <v>6984</v>
      </c>
      <c r="BQJ35" t="s">
        <v>6984</v>
      </c>
      <c r="BQK35" t="s">
        <v>6984</v>
      </c>
      <c r="BQL35" t="s">
        <v>6984</v>
      </c>
      <c r="BQM35" t="s">
        <v>6984</v>
      </c>
      <c r="BQN35" t="s">
        <v>6984</v>
      </c>
      <c r="BQO35" t="s">
        <v>6984</v>
      </c>
      <c r="BQP35" t="s">
        <v>6984</v>
      </c>
      <c r="BQQ35" t="s">
        <v>6984</v>
      </c>
      <c r="BQR35" t="s">
        <v>6984</v>
      </c>
      <c r="BQS35" t="s">
        <v>6984</v>
      </c>
      <c r="BQT35" t="s">
        <v>6984</v>
      </c>
      <c r="BQU35" t="s">
        <v>6984</v>
      </c>
      <c r="BQV35" t="s">
        <v>6984</v>
      </c>
      <c r="BQW35" t="s">
        <v>6984</v>
      </c>
      <c r="BQX35" t="s">
        <v>6984</v>
      </c>
      <c r="BQY35" t="s">
        <v>6984</v>
      </c>
      <c r="BQZ35" t="s">
        <v>6984</v>
      </c>
      <c r="BRA35" t="s">
        <v>6984</v>
      </c>
      <c r="BRB35" t="s">
        <v>6984</v>
      </c>
      <c r="BRC35" t="s">
        <v>6984</v>
      </c>
      <c r="BRD35" t="s">
        <v>6984</v>
      </c>
      <c r="BRE35" t="s">
        <v>6984</v>
      </c>
      <c r="BRF35" t="s">
        <v>6984</v>
      </c>
      <c r="BRG35" t="s">
        <v>6984</v>
      </c>
      <c r="BRH35" t="s">
        <v>6984</v>
      </c>
      <c r="BRI35" t="s">
        <v>6984</v>
      </c>
      <c r="BRJ35" t="s">
        <v>6984</v>
      </c>
      <c r="BRK35" t="s">
        <v>6984</v>
      </c>
      <c r="BRL35" t="s">
        <v>6984</v>
      </c>
      <c r="BRM35" t="s">
        <v>6984</v>
      </c>
      <c r="BRN35" t="s">
        <v>6984</v>
      </c>
      <c r="BRO35" t="s">
        <v>6984</v>
      </c>
      <c r="BRP35" t="s">
        <v>6984</v>
      </c>
      <c r="BRQ35" t="s">
        <v>6984</v>
      </c>
      <c r="BRR35" t="s">
        <v>6984</v>
      </c>
      <c r="BRS35" t="s">
        <v>6984</v>
      </c>
      <c r="BRT35" t="s">
        <v>6984</v>
      </c>
      <c r="BRU35" t="s">
        <v>6984</v>
      </c>
      <c r="BRV35" t="s">
        <v>6984</v>
      </c>
      <c r="BRW35" t="s">
        <v>6984</v>
      </c>
      <c r="BRX35" t="s">
        <v>6984</v>
      </c>
      <c r="BRY35" t="s">
        <v>6984</v>
      </c>
      <c r="BRZ35" t="s">
        <v>6984</v>
      </c>
      <c r="BSA35" t="s">
        <v>6984</v>
      </c>
      <c r="BSB35" t="s">
        <v>6984</v>
      </c>
      <c r="BSC35" t="s">
        <v>6984</v>
      </c>
      <c r="BSD35" t="s">
        <v>6984</v>
      </c>
      <c r="BSE35" t="s">
        <v>6984</v>
      </c>
      <c r="BSF35" t="s">
        <v>6984</v>
      </c>
      <c r="BSG35" t="s">
        <v>6984</v>
      </c>
      <c r="BSH35" t="s">
        <v>6984</v>
      </c>
      <c r="BSI35" t="s">
        <v>6984</v>
      </c>
      <c r="BSJ35" t="s">
        <v>6984</v>
      </c>
      <c r="BSK35" t="s">
        <v>6984</v>
      </c>
      <c r="BSL35" t="s">
        <v>6984</v>
      </c>
      <c r="BSM35" t="s">
        <v>6984</v>
      </c>
      <c r="BSN35" t="s">
        <v>6984</v>
      </c>
      <c r="BSO35" t="s">
        <v>6984</v>
      </c>
      <c r="BSP35" t="s">
        <v>6984</v>
      </c>
      <c r="BSQ35" t="s">
        <v>6984</v>
      </c>
      <c r="BSR35" t="s">
        <v>6984</v>
      </c>
      <c r="BSS35" t="s">
        <v>6984</v>
      </c>
      <c r="BST35" t="s">
        <v>6984</v>
      </c>
      <c r="BSU35" t="s">
        <v>6984</v>
      </c>
      <c r="BSV35" t="s">
        <v>6984</v>
      </c>
      <c r="BSW35" t="s">
        <v>6984</v>
      </c>
      <c r="BSX35" t="s">
        <v>6984</v>
      </c>
      <c r="BSY35" t="s">
        <v>6984</v>
      </c>
      <c r="BSZ35" t="s">
        <v>6984</v>
      </c>
      <c r="BTA35" t="s">
        <v>6984</v>
      </c>
      <c r="BTB35" t="s">
        <v>6984</v>
      </c>
      <c r="BTC35" t="s">
        <v>6984</v>
      </c>
      <c r="BTD35" t="s">
        <v>6984</v>
      </c>
      <c r="BTE35" t="s">
        <v>6984</v>
      </c>
      <c r="BTF35" t="s">
        <v>6984</v>
      </c>
      <c r="BTG35" t="s">
        <v>6984</v>
      </c>
      <c r="BTH35" t="s">
        <v>6984</v>
      </c>
      <c r="BTI35" t="s">
        <v>6984</v>
      </c>
      <c r="BTJ35" t="s">
        <v>6984</v>
      </c>
      <c r="BTK35" t="s">
        <v>6984</v>
      </c>
      <c r="BTL35" t="s">
        <v>6984</v>
      </c>
      <c r="BTM35" t="s">
        <v>6984</v>
      </c>
      <c r="BTN35" t="s">
        <v>6984</v>
      </c>
      <c r="BTO35" t="s">
        <v>6984</v>
      </c>
      <c r="BTP35" t="s">
        <v>6984</v>
      </c>
      <c r="BTQ35" t="s">
        <v>6984</v>
      </c>
      <c r="BTR35" t="s">
        <v>6984</v>
      </c>
      <c r="BTS35" t="s">
        <v>6984</v>
      </c>
      <c r="BTT35" t="s">
        <v>6984</v>
      </c>
      <c r="BTU35" t="s">
        <v>6984</v>
      </c>
      <c r="BTV35" t="s">
        <v>6984</v>
      </c>
      <c r="BTW35" t="s">
        <v>6984</v>
      </c>
      <c r="BTX35" t="s">
        <v>6984</v>
      </c>
      <c r="BTY35" t="s">
        <v>6984</v>
      </c>
      <c r="BTZ35" t="s">
        <v>6984</v>
      </c>
      <c r="BUA35" t="s">
        <v>6984</v>
      </c>
      <c r="BUB35" t="s">
        <v>6984</v>
      </c>
      <c r="BUC35" t="s">
        <v>6984</v>
      </c>
      <c r="BUD35" t="s">
        <v>6984</v>
      </c>
      <c r="BUE35" t="s">
        <v>6984</v>
      </c>
      <c r="BUF35" t="s">
        <v>6984</v>
      </c>
      <c r="BUG35" t="s">
        <v>6984</v>
      </c>
      <c r="BUH35" t="s">
        <v>6984</v>
      </c>
      <c r="BUI35" t="s">
        <v>6984</v>
      </c>
      <c r="BUJ35" t="s">
        <v>6984</v>
      </c>
      <c r="BUK35" t="s">
        <v>6984</v>
      </c>
      <c r="BUL35" t="s">
        <v>6984</v>
      </c>
      <c r="BUM35" t="s">
        <v>6984</v>
      </c>
      <c r="BUN35" t="s">
        <v>6984</v>
      </c>
      <c r="BUO35" t="s">
        <v>6984</v>
      </c>
      <c r="BUP35" t="s">
        <v>6984</v>
      </c>
      <c r="BUQ35" t="s">
        <v>6984</v>
      </c>
      <c r="BUR35" t="s">
        <v>6984</v>
      </c>
      <c r="BUS35" t="s">
        <v>6984</v>
      </c>
      <c r="BUT35" t="s">
        <v>6984</v>
      </c>
      <c r="BUU35" t="s">
        <v>6984</v>
      </c>
      <c r="BUV35" t="s">
        <v>6984</v>
      </c>
      <c r="BUW35" t="s">
        <v>6984</v>
      </c>
      <c r="BUX35" t="s">
        <v>6984</v>
      </c>
      <c r="BUY35" t="s">
        <v>6984</v>
      </c>
      <c r="BUZ35" t="s">
        <v>6984</v>
      </c>
      <c r="BVA35" t="s">
        <v>6984</v>
      </c>
      <c r="BVB35" t="s">
        <v>6984</v>
      </c>
      <c r="BVC35" t="s">
        <v>6984</v>
      </c>
      <c r="BVD35" t="s">
        <v>6984</v>
      </c>
      <c r="BVE35" t="s">
        <v>6984</v>
      </c>
      <c r="BVF35" t="s">
        <v>6984</v>
      </c>
      <c r="BVG35" t="s">
        <v>6984</v>
      </c>
      <c r="BVH35" t="s">
        <v>6984</v>
      </c>
      <c r="BVI35" t="s">
        <v>6984</v>
      </c>
      <c r="BVJ35" t="s">
        <v>6984</v>
      </c>
      <c r="BVK35" t="s">
        <v>6984</v>
      </c>
      <c r="BVL35" t="s">
        <v>6984</v>
      </c>
      <c r="BVM35" t="s">
        <v>6984</v>
      </c>
      <c r="BVN35" t="s">
        <v>6984</v>
      </c>
      <c r="BVO35" t="s">
        <v>6984</v>
      </c>
      <c r="BVP35" t="s">
        <v>6984</v>
      </c>
      <c r="BVQ35" t="s">
        <v>6984</v>
      </c>
      <c r="BVR35" t="s">
        <v>6984</v>
      </c>
      <c r="BVS35" t="s">
        <v>6984</v>
      </c>
      <c r="BVT35" t="s">
        <v>6984</v>
      </c>
      <c r="BVU35" t="s">
        <v>6984</v>
      </c>
      <c r="BVV35" t="s">
        <v>6984</v>
      </c>
      <c r="BVW35" t="s">
        <v>6984</v>
      </c>
      <c r="BVX35" t="s">
        <v>6984</v>
      </c>
      <c r="BVY35" t="s">
        <v>6984</v>
      </c>
      <c r="BVZ35" t="s">
        <v>6984</v>
      </c>
      <c r="BWA35" t="s">
        <v>6984</v>
      </c>
      <c r="BWB35" t="s">
        <v>6984</v>
      </c>
      <c r="BWC35" t="s">
        <v>6984</v>
      </c>
      <c r="BWD35" t="s">
        <v>6984</v>
      </c>
      <c r="BWE35" t="s">
        <v>6984</v>
      </c>
      <c r="BWF35" t="s">
        <v>6984</v>
      </c>
      <c r="BWG35" t="s">
        <v>6984</v>
      </c>
      <c r="BWH35" t="s">
        <v>6984</v>
      </c>
      <c r="BWI35" t="s">
        <v>6984</v>
      </c>
      <c r="BWJ35" t="s">
        <v>6984</v>
      </c>
      <c r="BWK35" t="s">
        <v>6984</v>
      </c>
      <c r="BWL35" t="s">
        <v>6984</v>
      </c>
      <c r="BWM35" t="s">
        <v>6984</v>
      </c>
      <c r="BWN35" t="s">
        <v>6984</v>
      </c>
      <c r="BWO35" t="s">
        <v>6984</v>
      </c>
      <c r="BWP35" t="s">
        <v>6984</v>
      </c>
      <c r="BWQ35" t="s">
        <v>6984</v>
      </c>
      <c r="BWR35" t="s">
        <v>6984</v>
      </c>
      <c r="BWS35" t="s">
        <v>6984</v>
      </c>
      <c r="BWT35" t="s">
        <v>6984</v>
      </c>
      <c r="BWU35" t="s">
        <v>6984</v>
      </c>
      <c r="BWV35" t="s">
        <v>6984</v>
      </c>
      <c r="BWW35" t="s">
        <v>6984</v>
      </c>
      <c r="BWX35" t="s">
        <v>6984</v>
      </c>
      <c r="BWY35" t="s">
        <v>6984</v>
      </c>
      <c r="BWZ35" t="s">
        <v>6984</v>
      </c>
      <c r="BXA35" t="s">
        <v>6984</v>
      </c>
      <c r="BXB35" t="s">
        <v>6984</v>
      </c>
      <c r="BXC35" t="s">
        <v>6984</v>
      </c>
      <c r="BXD35" t="s">
        <v>6984</v>
      </c>
      <c r="BXE35" t="s">
        <v>6984</v>
      </c>
      <c r="BXF35" t="s">
        <v>6984</v>
      </c>
      <c r="BXG35" t="s">
        <v>6984</v>
      </c>
      <c r="BXH35" t="s">
        <v>6984</v>
      </c>
      <c r="BXI35" t="s">
        <v>6984</v>
      </c>
      <c r="BXJ35" t="s">
        <v>6984</v>
      </c>
      <c r="BXK35" t="s">
        <v>6984</v>
      </c>
      <c r="BXL35" t="s">
        <v>6984</v>
      </c>
      <c r="BXM35" t="s">
        <v>6984</v>
      </c>
      <c r="BXN35" t="s">
        <v>6984</v>
      </c>
      <c r="BXO35" t="s">
        <v>6984</v>
      </c>
      <c r="BXP35" t="s">
        <v>6984</v>
      </c>
      <c r="BXQ35" t="s">
        <v>6984</v>
      </c>
      <c r="BXR35" t="s">
        <v>6984</v>
      </c>
      <c r="BXS35" t="s">
        <v>6984</v>
      </c>
      <c r="BXT35" t="s">
        <v>6984</v>
      </c>
      <c r="BXU35" t="s">
        <v>6984</v>
      </c>
      <c r="BXV35" t="s">
        <v>6984</v>
      </c>
      <c r="BXW35" t="s">
        <v>6984</v>
      </c>
      <c r="BXX35" t="s">
        <v>6984</v>
      </c>
      <c r="BXY35" t="s">
        <v>6984</v>
      </c>
      <c r="BXZ35" t="s">
        <v>6984</v>
      </c>
      <c r="BYA35" t="s">
        <v>6984</v>
      </c>
      <c r="BYB35" t="s">
        <v>6984</v>
      </c>
      <c r="BYC35" t="s">
        <v>6984</v>
      </c>
      <c r="BYD35" t="s">
        <v>6984</v>
      </c>
      <c r="BYE35" t="s">
        <v>6984</v>
      </c>
      <c r="BYF35" t="s">
        <v>6984</v>
      </c>
      <c r="BYG35" t="s">
        <v>6984</v>
      </c>
      <c r="BYH35" t="s">
        <v>6984</v>
      </c>
      <c r="BYI35" t="s">
        <v>6984</v>
      </c>
      <c r="BYJ35" t="s">
        <v>6984</v>
      </c>
      <c r="BYK35" t="s">
        <v>6984</v>
      </c>
      <c r="BYL35" t="s">
        <v>6984</v>
      </c>
      <c r="BYM35" t="s">
        <v>6984</v>
      </c>
      <c r="BYN35" t="s">
        <v>6984</v>
      </c>
      <c r="BYO35" t="s">
        <v>6984</v>
      </c>
      <c r="BYP35" t="s">
        <v>6984</v>
      </c>
      <c r="BYQ35" t="s">
        <v>6984</v>
      </c>
      <c r="BYR35" t="s">
        <v>6984</v>
      </c>
      <c r="BYS35" t="s">
        <v>6984</v>
      </c>
      <c r="BYT35" t="s">
        <v>6984</v>
      </c>
      <c r="BYU35" t="s">
        <v>6984</v>
      </c>
      <c r="BYV35" t="s">
        <v>6984</v>
      </c>
      <c r="BYW35" t="s">
        <v>6984</v>
      </c>
      <c r="BYX35" t="s">
        <v>6984</v>
      </c>
      <c r="BYY35" t="s">
        <v>6984</v>
      </c>
      <c r="BYZ35" t="s">
        <v>6984</v>
      </c>
      <c r="BZA35" t="s">
        <v>6984</v>
      </c>
      <c r="BZB35" t="s">
        <v>6984</v>
      </c>
      <c r="BZC35" t="s">
        <v>6984</v>
      </c>
      <c r="BZD35" t="s">
        <v>6984</v>
      </c>
      <c r="BZE35" t="s">
        <v>6984</v>
      </c>
      <c r="BZF35" t="s">
        <v>6984</v>
      </c>
      <c r="BZG35" t="s">
        <v>6984</v>
      </c>
      <c r="BZH35" t="s">
        <v>6984</v>
      </c>
      <c r="BZI35" t="s">
        <v>6984</v>
      </c>
      <c r="BZJ35" t="s">
        <v>6984</v>
      </c>
      <c r="BZK35" t="s">
        <v>6984</v>
      </c>
      <c r="BZL35" t="s">
        <v>6984</v>
      </c>
      <c r="BZM35" t="s">
        <v>6984</v>
      </c>
      <c r="BZN35" t="s">
        <v>6984</v>
      </c>
      <c r="BZO35" t="s">
        <v>6984</v>
      </c>
      <c r="BZP35" t="s">
        <v>6984</v>
      </c>
      <c r="BZQ35" t="s">
        <v>6984</v>
      </c>
      <c r="BZR35" t="s">
        <v>6984</v>
      </c>
      <c r="BZS35" t="s">
        <v>6984</v>
      </c>
      <c r="BZT35" t="s">
        <v>6984</v>
      </c>
      <c r="BZU35" t="s">
        <v>6984</v>
      </c>
      <c r="BZV35" t="s">
        <v>6984</v>
      </c>
      <c r="BZW35" t="s">
        <v>6984</v>
      </c>
      <c r="BZX35" t="s">
        <v>6984</v>
      </c>
      <c r="BZY35" t="s">
        <v>6984</v>
      </c>
      <c r="BZZ35" t="s">
        <v>6984</v>
      </c>
      <c r="CAA35" t="s">
        <v>6984</v>
      </c>
      <c r="CAB35" t="s">
        <v>6984</v>
      </c>
      <c r="CAC35" t="s">
        <v>6984</v>
      </c>
      <c r="CAD35" t="s">
        <v>6984</v>
      </c>
      <c r="CAE35" t="s">
        <v>6984</v>
      </c>
      <c r="CAF35" t="s">
        <v>6984</v>
      </c>
      <c r="CAG35" t="s">
        <v>6984</v>
      </c>
      <c r="CAH35" t="s">
        <v>6984</v>
      </c>
      <c r="CAI35" t="s">
        <v>6984</v>
      </c>
      <c r="CAJ35" t="s">
        <v>6984</v>
      </c>
      <c r="CAK35" t="s">
        <v>6984</v>
      </c>
      <c r="CAL35" t="s">
        <v>6984</v>
      </c>
      <c r="CAM35" t="s">
        <v>6984</v>
      </c>
      <c r="CAN35" t="s">
        <v>6984</v>
      </c>
      <c r="CAO35" t="s">
        <v>6984</v>
      </c>
      <c r="CAP35" t="s">
        <v>6984</v>
      </c>
      <c r="CAQ35" t="s">
        <v>6984</v>
      </c>
      <c r="CAR35" t="s">
        <v>6984</v>
      </c>
      <c r="CAS35" t="s">
        <v>6984</v>
      </c>
      <c r="CAT35" t="s">
        <v>6984</v>
      </c>
      <c r="CAU35" t="s">
        <v>6984</v>
      </c>
      <c r="CAV35" t="s">
        <v>6984</v>
      </c>
      <c r="CAW35" t="s">
        <v>6984</v>
      </c>
      <c r="CAX35" t="s">
        <v>6984</v>
      </c>
      <c r="CAY35" t="s">
        <v>6984</v>
      </c>
      <c r="CAZ35" t="s">
        <v>6984</v>
      </c>
      <c r="CBA35" t="s">
        <v>6984</v>
      </c>
      <c r="CBB35" t="s">
        <v>6984</v>
      </c>
      <c r="CBC35" t="s">
        <v>6984</v>
      </c>
      <c r="CBD35" t="s">
        <v>6984</v>
      </c>
      <c r="CBE35" t="s">
        <v>6984</v>
      </c>
      <c r="CBF35" t="s">
        <v>6984</v>
      </c>
      <c r="CBG35" t="s">
        <v>6984</v>
      </c>
      <c r="CBH35" t="s">
        <v>6984</v>
      </c>
      <c r="CBI35" t="s">
        <v>6984</v>
      </c>
      <c r="CBJ35" t="s">
        <v>6984</v>
      </c>
      <c r="CBK35" t="s">
        <v>6984</v>
      </c>
      <c r="CBL35" t="s">
        <v>6984</v>
      </c>
      <c r="CBM35" t="s">
        <v>6984</v>
      </c>
      <c r="CBN35" t="s">
        <v>6984</v>
      </c>
      <c r="CBO35" t="s">
        <v>6984</v>
      </c>
      <c r="CBP35" t="s">
        <v>6984</v>
      </c>
      <c r="CBQ35" t="s">
        <v>6984</v>
      </c>
      <c r="CBR35" t="s">
        <v>6984</v>
      </c>
      <c r="CBS35" t="s">
        <v>6984</v>
      </c>
      <c r="CBT35" t="s">
        <v>6984</v>
      </c>
      <c r="CBU35" t="s">
        <v>6984</v>
      </c>
      <c r="CBV35" t="s">
        <v>6984</v>
      </c>
      <c r="CBW35" t="s">
        <v>6984</v>
      </c>
      <c r="CBX35" t="s">
        <v>6984</v>
      </c>
      <c r="CBY35" t="s">
        <v>6984</v>
      </c>
      <c r="CBZ35" t="s">
        <v>6984</v>
      </c>
      <c r="CCA35" t="s">
        <v>6984</v>
      </c>
      <c r="CCB35" t="s">
        <v>6984</v>
      </c>
      <c r="CCC35" t="s">
        <v>6984</v>
      </c>
      <c r="CCD35" t="s">
        <v>6984</v>
      </c>
      <c r="CCE35" t="s">
        <v>6984</v>
      </c>
      <c r="CCF35" t="s">
        <v>6984</v>
      </c>
      <c r="CCG35" t="s">
        <v>6984</v>
      </c>
      <c r="CCH35" t="s">
        <v>6984</v>
      </c>
      <c r="CCI35" t="s">
        <v>6984</v>
      </c>
      <c r="CCJ35" t="s">
        <v>6984</v>
      </c>
      <c r="CCK35" t="s">
        <v>6984</v>
      </c>
      <c r="CCL35" t="s">
        <v>6984</v>
      </c>
      <c r="CCM35" t="s">
        <v>6984</v>
      </c>
      <c r="CCN35" t="s">
        <v>6984</v>
      </c>
      <c r="CCO35" t="s">
        <v>6984</v>
      </c>
      <c r="CCP35" t="s">
        <v>6984</v>
      </c>
      <c r="CCQ35" t="s">
        <v>6984</v>
      </c>
      <c r="CCR35" t="s">
        <v>6984</v>
      </c>
      <c r="CCS35" t="s">
        <v>6984</v>
      </c>
      <c r="CCT35" t="s">
        <v>6984</v>
      </c>
      <c r="CCU35" t="s">
        <v>6984</v>
      </c>
      <c r="CCV35" t="s">
        <v>6984</v>
      </c>
      <c r="CCW35" t="s">
        <v>6984</v>
      </c>
      <c r="CCX35" t="s">
        <v>6984</v>
      </c>
      <c r="CCY35" t="s">
        <v>6984</v>
      </c>
      <c r="CCZ35" t="s">
        <v>6984</v>
      </c>
      <c r="CDA35" t="s">
        <v>6984</v>
      </c>
      <c r="CDB35" t="s">
        <v>6984</v>
      </c>
      <c r="CDC35" t="s">
        <v>6984</v>
      </c>
      <c r="CDD35" t="s">
        <v>6984</v>
      </c>
      <c r="CDE35" t="s">
        <v>6984</v>
      </c>
      <c r="CDF35" t="s">
        <v>6984</v>
      </c>
      <c r="CDG35" t="s">
        <v>6984</v>
      </c>
      <c r="CDH35" t="s">
        <v>6984</v>
      </c>
      <c r="CDI35" t="s">
        <v>6984</v>
      </c>
      <c r="CDJ35" t="s">
        <v>6984</v>
      </c>
      <c r="CDK35" t="s">
        <v>6984</v>
      </c>
      <c r="CDL35" t="s">
        <v>6984</v>
      </c>
      <c r="CDM35" t="s">
        <v>6984</v>
      </c>
      <c r="CDN35" t="s">
        <v>6984</v>
      </c>
      <c r="CDO35" t="s">
        <v>6984</v>
      </c>
      <c r="CDP35" t="s">
        <v>6984</v>
      </c>
      <c r="CDQ35" t="s">
        <v>6984</v>
      </c>
      <c r="CDR35" t="s">
        <v>6984</v>
      </c>
      <c r="CDS35" t="s">
        <v>6984</v>
      </c>
      <c r="CDT35" t="s">
        <v>6984</v>
      </c>
      <c r="CDU35" t="s">
        <v>6984</v>
      </c>
      <c r="CDV35" t="s">
        <v>6984</v>
      </c>
      <c r="CDW35" t="s">
        <v>6984</v>
      </c>
      <c r="CDX35" t="s">
        <v>6984</v>
      </c>
      <c r="CDY35" t="s">
        <v>6984</v>
      </c>
      <c r="CDZ35" t="s">
        <v>6984</v>
      </c>
      <c r="CEA35" t="s">
        <v>6984</v>
      </c>
      <c r="CEB35" t="s">
        <v>6984</v>
      </c>
      <c r="CEC35" t="s">
        <v>6984</v>
      </c>
      <c r="CED35" t="s">
        <v>6984</v>
      </c>
      <c r="CEE35" t="s">
        <v>6984</v>
      </c>
      <c r="CEF35" t="s">
        <v>6984</v>
      </c>
      <c r="CEG35" t="s">
        <v>6984</v>
      </c>
      <c r="CEH35" t="s">
        <v>6984</v>
      </c>
      <c r="CEI35" t="s">
        <v>6984</v>
      </c>
      <c r="CEJ35" t="s">
        <v>6984</v>
      </c>
      <c r="CEK35" t="s">
        <v>6984</v>
      </c>
      <c r="CEL35" t="s">
        <v>6984</v>
      </c>
      <c r="CEM35" t="s">
        <v>6984</v>
      </c>
      <c r="CEN35" t="s">
        <v>6984</v>
      </c>
      <c r="CEO35" t="s">
        <v>6984</v>
      </c>
      <c r="CEP35" t="s">
        <v>6984</v>
      </c>
      <c r="CEQ35" t="s">
        <v>6984</v>
      </c>
      <c r="CER35" t="s">
        <v>6984</v>
      </c>
      <c r="CES35" t="s">
        <v>6984</v>
      </c>
      <c r="CET35" t="s">
        <v>6984</v>
      </c>
      <c r="CEU35" t="s">
        <v>6984</v>
      </c>
      <c r="CEV35" t="s">
        <v>6984</v>
      </c>
      <c r="CEW35" t="s">
        <v>6984</v>
      </c>
      <c r="CEX35" t="s">
        <v>6984</v>
      </c>
      <c r="CEY35" t="s">
        <v>6984</v>
      </c>
      <c r="CEZ35" t="s">
        <v>6984</v>
      </c>
      <c r="CFA35" t="s">
        <v>6984</v>
      </c>
      <c r="CFB35" t="s">
        <v>6984</v>
      </c>
      <c r="CFC35" t="s">
        <v>6984</v>
      </c>
      <c r="CFD35" t="s">
        <v>6984</v>
      </c>
      <c r="CFE35" t="s">
        <v>6984</v>
      </c>
      <c r="CFF35" t="s">
        <v>6984</v>
      </c>
      <c r="CFG35" t="s">
        <v>6984</v>
      </c>
      <c r="CFH35" t="s">
        <v>6984</v>
      </c>
      <c r="CFI35" t="s">
        <v>6984</v>
      </c>
      <c r="CFJ35" t="s">
        <v>6984</v>
      </c>
      <c r="CFK35" t="s">
        <v>6984</v>
      </c>
      <c r="CFL35" t="s">
        <v>6984</v>
      </c>
      <c r="CFM35" t="s">
        <v>6984</v>
      </c>
      <c r="CFN35" t="s">
        <v>6984</v>
      </c>
      <c r="CFO35" t="s">
        <v>6984</v>
      </c>
      <c r="CFP35" t="s">
        <v>6984</v>
      </c>
      <c r="CFQ35" t="s">
        <v>6984</v>
      </c>
      <c r="CFR35" t="s">
        <v>6984</v>
      </c>
      <c r="CFS35" t="s">
        <v>6984</v>
      </c>
      <c r="CFT35" t="s">
        <v>6984</v>
      </c>
      <c r="CFU35" t="s">
        <v>6984</v>
      </c>
      <c r="CFV35" t="s">
        <v>6984</v>
      </c>
      <c r="CFW35" t="s">
        <v>6984</v>
      </c>
      <c r="CFX35" t="s">
        <v>6984</v>
      </c>
      <c r="CFY35" t="s">
        <v>6984</v>
      </c>
      <c r="CFZ35" t="s">
        <v>6984</v>
      </c>
      <c r="CGA35" t="s">
        <v>6984</v>
      </c>
      <c r="CGB35" t="s">
        <v>6984</v>
      </c>
      <c r="CGC35" t="s">
        <v>6984</v>
      </c>
      <c r="CGD35" t="s">
        <v>6984</v>
      </c>
      <c r="CGE35" t="s">
        <v>6984</v>
      </c>
      <c r="CGF35" t="s">
        <v>6984</v>
      </c>
      <c r="CGG35" t="s">
        <v>6984</v>
      </c>
      <c r="CGH35" t="s">
        <v>6984</v>
      </c>
      <c r="CGI35" t="s">
        <v>6984</v>
      </c>
      <c r="CGJ35" t="s">
        <v>6984</v>
      </c>
      <c r="CGK35" t="s">
        <v>6984</v>
      </c>
      <c r="CGL35" t="s">
        <v>6984</v>
      </c>
      <c r="CGM35" t="s">
        <v>6984</v>
      </c>
      <c r="CGN35" t="s">
        <v>6984</v>
      </c>
      <c r="CGO35" t="s">
        <v>6984</v>
      </c>
      <c r="CGP35" t="s">
        <v>6984</v>
      </c>
      <c r="CGQ35" t="s">
        <v>6984</v>
      </c>
      <c r="CGR35" t="s">
        <v>6984</v>
      </c>
      <c r="CGS35" t="s">
        <v>6984</v>
      </c>
      <c r="CGT35" t="s">
        <v>6984</v>
      </c>
      <c r="CGU35" t="s">
        <v>6984</v>
      </c>
      <c r="CGV35" t="s">
        <v>6984</v>
      </c>
      <c r="CGW35" t="s">
        <v>6984</v>
      </c>
      <c r="CGX35" t="s">
        <v>6984</v>
      </c>
      <c r="CGY35" t="s">
        <v>6984</v>
      </c>
      <c r="CGZ35" t="s">
        <v>6984</v>
      </c>
      <c r="CHA35" t="s">
        <v>6984</v>
      </c>
      <c r="CHB35" t="s">
        <v>6984</v>
      </c>
      <c r="CHC35" t="s">
        <v>6984</v>
      </c>
      <c r="CHD35" t="s">
        <v>6984</v>
      </c>
      <c r="CHE35" t="s">
        <v>6984</v>
      </c>
      <c r="CHF35" t="s">
        <v>6984</v>
      </c>
      <c r="CHG35" t="s">
        <v>6984</v>
      </c>
      <c r="CHH35" t="s">
        <v>6984</v>
      </c>
      <c r="CHI35" t="s">
        <v>6984</v>
      </c>
      <c r="CHJ35" t="s">
        <v>6984</v>
      </c>
      <c r="CHK35" t="s">
        <v>6984</v>
      </c>
      <c r="CHL35" t="s">
        <v>6984</v>
      </c>
      <c r="CHM35" t="s">
        <v>6984</v>
      </c>
      <c r="CHN35" t="s">
        <v>6984</v>
      </c>
      <c r="CHO35" t="s">
        <v>6984</v>
      </c>
      <c r="CHP35" t="s">
        <v>6984</v>
      </c>
      <c r="CHQ35" t="s">
        <v>6984</v>
      </c>
      <c r="CHR35" t="s">
        <v>6984</v>
      </c>
      <c r="CHS35" t="s">
        <v>6984</v>
      </c>
      <c r="CHT35" t="s">
        <v>6984</v>
      </c>
      <c r="CHU35" t="s">
        <v>6984</v>
      </c>
      <c r="CHV35" t="s">
        <v>6984</v>
      </c>
      <c r="CHW35" t="s">
        <v>6984</v>
      </c>
      <c r="CHX35" t="s">
        <v>6984</v>
      </c>
      <c r="CHY35" t="s">
        <v>6984</v>
      </c>
      <c r="CHZ35" t="s">
        <v>6984</v>
      </c>
      <c r="CIA35" t="s">
        <v>6984</v>
      </c>
      <c r="CIB35" t="s">
        <v>6984</v>
      </c>
      <c r="CIC35" t="s">
        <v>6984</v>
      </c>
      <c r="CID35" t="s">
        <v>6984</v>
      </c>
      <c r="CIE35" t="s">
        <v>6984</v>
      </c>
      <c r="CIF35" t="s">
        <v>6984</v>
      </c>
      <c r="CIG35" t="s">
        <v>6984</v>
      </c>
      <c r="CIH35" t="s">
        <v>6984</v>
      </c>
      <c r="CII35" t="s">
        <v>6984</v>
      </c>
      <c r="CIJ35" t="s">
        <v>6984</v>
      </c>
      <c r="CIK35" t="s">
        <v>6984</v>
      </c>
      <c r="CIL35" t="s">
        <v>6984</v>
      </c>
      <c r="CIM35" t="s">
        <v>6984</v>
      </c>
      <c r="CIN35" t="s">
        <v>6984</v>
      </c>
      <c r="CIO35" t="s">
        <v>6984</v>
      </c>
      <c r="CIP35" t="s">
        <v>6984</v>
      </c>
      <c r="CIQ35" t="s">
        <v>6984</v>
      </c>
      <c r="CIR35" t="s">
        <v>6984</v>
      </c>
      <c r="CIS35" t="s">
        <v>6984</v>
      </c>
      <c r="CIT35" t="s">
        <v>6984</v>
      </c>
      <c r="CIU35" t="s">
        <v>6984</v>
      </c>
      <c r="CIV35" t="s">
        <v>6984</v>
      </c>
      <c r="CIW35" t="s">
        <v>6984</v>
      </c>
      <c r="CIX35" t="s">
        <v>6984</v>
      </c>
      <c r="CIY35" t="s">
        <v>6984</v>
      </c>
      <c r="CIZ35" t="s">
        <v>6984</v>
      </c>
      <c r="CJA35" t="s">
        <v>6984</v>
      </c>
      <c r="CJB35" t="s">
        <v>6984</v>
      </c>
      <c r="CJC35" t="s">
        <v>6984</v>
      </c>
      <c r="CJD35" t="s">
        <v>6984</v>
      </c>
      <c r="CJE35" t="s">
        <v>6984</v>
      </c>
      <c r="CJF35" t="s">
        <v>6984</v>
      </c>
      <c r="CJG35" t="s">
        <v>6984</v>
      </c>
      <c r="CJH35" t="s">
        <v>6984</v>
      </c>
      <c r="CJI35" t="s">
        <v>6984</v>
      </c>
      <c r="CJJ35" t="s">
        <v>6984</v>
      </c>
      <c r="CJK35" t="s">
        <v>6984</v>
      </c>
      <c r="CJL35" t="s">
        <v>6984</v>
      </c>
      <c r="CJM35" t="s">
        <v>6984</v>
      </c>
      <c r="CJN35" t="s">
        <v>6984</v>
      </c>
      <c r="CJO35" t="s">
        <v>6984</v>
      </c>
      <c r="CJP35" t="s">
        <v>6984</v>
      </c>
      <c r="CJQ35" t="s">
        <v>6984</v>
      </c>
      <c r="CJR35" t="s">
        <v>6984</v>
      </c>
      <c r="CJS35" t="s">
        <v>6984</v>
      </c>
      <c r="CJT35" t="s">
        <v>6984</v>
      </c>
      <c r="CJU35" t="s">
        <v>6984</v>
      </c>
      <c r="CJV35" t="s">
        <v>6984</v>
      </c>
      <c r="CJW35" t="s">
        <v>6984</v>
      </c>
      <c r="CJX35" t="s">
        <v>6984</v>
      </c>
      <c r="CJY35" t="s">
        <v>6984</v>
      </c>
      <c r="CJZ35" t="s">
        <v>6984</v>
      </c>
      <c r="CKA35" t="s">
        <v>6984</v>
      </c>
      <c r="CKB35" t="s">
        <v>6984</v>
      </c>
      <c r="CKC35" t="s">
        <v>6984</v>
      </c>
      <c r="CKD35" t="s">
        <v>6984</v>
      </c>
      <c r="CKE35" t="s">
        <v>6984</v>
      </c>
      <c r="CKF35" t="s">
        <v>6984</v>
      </c>
      <c r="CKG35" t="s">
        <v>6984</v>
      </c>
      <c r="CKH35" t="s">
        <v>6984</v>
      </c>
      <c r="CKI35" t="s">
        <v>6984</v>
      </c>
      <c r="CKJ35" t="s">
        <v>6984</v>
      </c>
      <c r="CKK35" t="s">
        <v>6984</v>
      </c>
      <c r="CKL35" t="s">
        <v>6984</v>
      </c>
      <c r="CKM35" t="s">
        <v>6984</v>
      </c>
      <c r="CKN35" t="s">
        <v>6984</v>
      </c>
      <c r="CKO35" t="s">
        <v>6984</v>
      </c>
      <c r="CKP35" t="s">
        <v>6984</v>
      </c>
      <c r="CKQ35" t="s">
        <v>6984</v>
      </c>
      <c r="CKR35" t="s">
        <v>6984</v>
      </c>
      <c r="CKS35" t="s">
        <v>6984</v>
      </c>
      <c r="CKT35" t="s">
        <v>6984</v>
      </c>
      <c r="CKU35" t="s">
        <v>6984</v>
      </c>
      <c r="CKV35" t="s">
        <v>6984</v>
      </c>
      <c r="CKW35" t="s">
        <v>6984</v>
      </c>
      <c r="CKX35" t="s">
        <v>6984</v>
      </c>
      <c r="CKY35" t="s">
        <v>6984</v>
      </c>
      <c r="CKZ35" t="s">
        <v>6984</v>
      </c>
      <c r="CLA35" t="s">
        <v>6984</v>
      </c>
      <c r="CLB35" t="s">
        <v>6984</v>
      </c>
      <c r="CLC35" t="s">
        <v>6984</v>
      </c>
      <c r="CLD35" t="s">
        <v>6984</v>
      </c>
      <c r="CLE35" t="s">
        <v>6984</v>
      </c>
      <c r="CLF35" t="s">
        <v>6984</v>
      </c>
      <c r="CLG35" t="s">
        <v>6984</v>
      </c>
      <c r="CLH35" t="s">
        <v>6984</v>
      </c>
      <c r="CLI35" t="s">
        <v>6984</v>
      </c>
      <c r="CLJ35" t="s">
        <v>6984</v>
      </c>
      <c r="CLK35" t="s">
        <v>6984</v>
      </c>
      <c r="CLL35" t="s">
        <v>6984</v>
      </c>
      <c r="CLM35" t="s">
        <v>6984</v>
      </c>
      <c r="CLN35" t="s">
        <v>6984</v>
      </c>
      <c r="CLO35" t="s">
        <v>6984</v>
      </c>
      <c r="CLP35" t="s">
        <v>6984</v>
      </c>
      <c r="CLQ35" t="s">
        <v>6984</v>
      </c>
      <c r="CLR35" t="s">
        <v>6984</v>
      </c>
      <c r="CLS35" t="s">
        <v>6984</v>
      </c>
      <c r="CLT35" t="s">
        <v>6984</v>
      </c>
      <c r="CLU35" t="s">
        <v>6984</v>
      </c>
      <c r="CLV35" t="s">
        <v>6984</v>
      </c>
      <c r="CLW35" t="s">
        <v>6984</v>
      </c>
      <c r="CLX35" t="s">
        <v>6984</v>
      </c>
      <c r="CLY35" t="s">
        <v>6984</v>
      </c>
      <c r="CLZ35" t="s">
        <v>6984</v>
      </c>
      <c r="CMA35" t="s">
        <v>6984</v>
      </c>
      <c r="CMB35" t="s">
        <v>6984</v>
      </c>
      <c r="CMC35" t="s">
        <v>6984</v>
      </c>
      <c r="CMD35" t="s">
        <v>6984</v>
      </c>
      <c r="CME35" t="s">
        <v>6984</v>
      </c>
      <c r="CMF35" t="s">
        <v>6984</v>
      </c>
      <c r="CMG35" t="s">
        <v>6984</v>
      </c>
      <c r="CMH35" t="s">
        <v>6984</v>
      </c>
      <c r="CMI35" t="s">
        <v>6984</v>
      </c>
      <c r="CMJ35" t="s">
        <v>6984</v>
      </c>
      <c r="CMK35" t="s">
        <v>6984</v>
      </c>
      <c r="CML35" t="s">
        <v>6984</v>
      </c>
      <c r="CMM35" t="s">
        <v>6984</v>
      </c>
      <c r="CMN35" t="s">
        <v>6984</v>
      </c>
      <c r="CMO35" t="s">
        <v>6984</v>
      </c>
      <c r="CMP35" t="s">
        <v>6984</v>
      </c>
      <c r="CMQ35" t="s">
        <v>6984</v>
      </c>
      <c r="CMR35" t="s">
        <v>6984</v>
      </c>
      <c r="CMS35" t="s">
        <v>6984</v>
      </c>
      <c r="CMT35" t="s">
        <v>6984</v>
      </c>
      <c r="CMU35" t="s">
        <v>6984</v>
      </c>
      <c r="CMV35" t="s">
        <v>6984</v>
      </c>
      <c r="CMW35" t="s">
        <v>6984</v>
      </c>
      <c r="CMX35" t="s">
        <v>6984</v>
      </c>
      <c r="CMY35" t="s">
        <v>6984</v>
      </c>
      <c r="CMZ35" t="s">
        <v>6984</v>
      </c>
      <c r="CNA35" t="s">
        <v>6984</v>
      </c>
      <c r="CNB35" t="s">
        <v>6984</v>
      </c>
      <c r="CNC35" t="s">
        <v>6984</v>
      </c>
      <c r="CND35" t="s">
        <v>6984</v>
      </c>
      <c r="CNE35" t="s">
        <v>6984</v>
      </c>
      <c r="CNF35" t="s">
        <v>6984</v>
      </c>
      <c r="CNG35" t="s">
        <v>6984</v>
      </c>
      <c r="CNH35" t="s">
        <v>6984</v>
      </c>
      <c r="CNI35" t="s">
        <v>6984</v>
      </c>
      <c r="CNJ35" t="s">
        <v>6984</v>
      </c>
      <c r="CNK35" t="s">
        <v>6984</v>
      </c>
      <c r="CNL35" t="s">
        <v>6984</v>
      </c>
      <c r="CNM35" t="s">
        <v>6984</v>
      </c>
      <c r="CNN35" t="s">
        <v>6984</v>
      </c>
      <c r="CNO35" t="s">
        <v>6984</v>
      </c>
      <c r="CNP35" t="s">
        <v>6984</v>
      </c>
      <c r="CNQ35" t="s">
        <v>6984</v>
      </c>
      <c r="CNR35" t="s">
        <v>6984</v>
      </c>
      <c r="CNS35" t="s">
        <v>6984</v>
      </c>
      <c r="CNT35" t="s">
        <v>6984</v>
      </c>
      <c r="CNU35" t="s">
        <v>6984</v>
      </c>
      <c r="CNV35" t="s">
        <v>6984</v>
      </c>
      <c r="CNW35" t="s">
        <v>6984</v>
      </c>
      <c r="CNX35" t="s">
        <v>6984</v>
      </c>
      <c r="CNY35" t="s">
        <v>6984</v>
      </c>
      <c r="CNZ35" t="s">
        <v>6984</v>
      </c>
      <c r="COA35" t="s">
        <v>6984</v>
      </c>
      <c r="COB35" t="s">
        <v>6984</v>
      </c>
      <c r="COC35" t="s">
        <v>6984</v>
      </c>
      <c r="COD35" t="s">
        <v>6984</v>
      </c>
      <c r="COE35" t="s">
        <v>6984</v>
      </c>
      <c r="COF35" t="s">
        <v>6984</v>
      </c>
      <c r="COG35" t="s">
        <v>6984</v>
      </c>
      <c r="COH35" t="s">
        <v>6984</v>
      </c>
      <c r="COI35" t="s">
        <v>6984</v>
      </c>
      <c r="COJ35" t="s">
        <v>6984</v>
      </c>
      <c r="COK35" t="s">
        <v>6984</v>
      </c>
      <c r="COL35" t="s">
        <v>6984</v>
      </c>
      <c r="COM35" t="s">
        <v>6984</v>
      </c>
      <c r="CON35" t="s">
        <v>6984</v>
      </c>
      <c r="COO35" t="s">
        <v>6984</v>
      </c>
      <c r="COP35" t="s">
        <v>6984</v>
      </c>
      <c r="COQ35" t="s">
        <v>6984</v>
      </c>
      <c r="COR35" t="s">
        <v>6984</v>
      </c>
      <c r="COS35" t="s">
        <v>6984</v>
      </c>
      <c r="COT35" t="s">
        <v>6984</v>
      </c>
      <c r="COU35" t="s">
        <v>6984</v>
      </c>
      <c r="COV35" t="s">
        <v>6984</v>
      </c>
      <c r="COW35" t="s">
        <v>6984</v>
      </c>
      <c r="COX35" t="s">
        <v>6984</v>
      </c>
      <c r="COY35" t="s">
        <v>6984</v>
      </c>
      <c r="COZ35" t="s">
        <v>6984</v>
      </c>
      <c r="CPA35" t="s">
        <v>6984</v>
      </c>
      <c r="CPB35" t="s">
        <v>6984</v>
      </c>
      <c r="CPC35" t="s">
        <v>6984</v>
      </c>
      <c r="CPD35" t="s">
        <v>6984</v>
      </c>
      <c r="CPE35" t="s">
        <v>6984</v>
      </c>
      <c r="CPF35" t="s">
        <v>6984</v>
      </c>
      <c r="CPG35" t="s">
        <v>6984</v>
      </c>
      <c r="CPH35" t="s">
        <v>6984</v>
      </c>
      <c r="CPI35" t="s">
        <v>6984</v>
      </c>
      <c r="CPJ35" t="s">
        <v>6984</v>
      </c>
      <c r="CPK35" t="s">
        <v>6984</v>
      </c>
      <c r="CPL35" t="s">
        <v>6984</v>
      </c>
      <c r="CPM35" t="s">
        <v>6984</v>
      </c>
      <c r="CPN35" t="s">
        <v>6984</v>
      </c>
      <c r="CPO35" t="s">
        <v>6984</v>
      </c>
      <c r="CPP35" t="s">
        <v>6984</v>
      </c>
      <c r="CPQ35" t="s">
        <v>6984</v>
      </c>
      <c r="CPR35" t="s">
        <v>6984</v>
      </c>
      <c r="CPS35" t="s">
        <v>6984</v>
      </c>
      <c r="CPT35" t="s">
        <v>6984</v>
      </c>
      <c r="CPU35" t="s">
        <v>6984</v>
      </c>
      <c r="CPV35" t="s">
        <v>6984</v>
      </c>
      <c r="CPW35" t="s">
        <v>6984</v>
      </c>
      <c r="CPX35" t="s">
        <v>6984</v>
      </c>
      <c r="CPY35" t="s">
        <v>6984</v>
      </c>
      <c r="CPZ35" t="s">
        <v>6984</v>
      </c>
      <c r="CQA35" t="s">
        <v>6984</v>
      </c>
      <c r="CQB35" t="s">
        <v>6984</v>
      </c>
      <c r="CQC35" t="s">
        <v>6984</v>
      </c>
      <c r="CQD35" t="s">
        <v>6984</v>
      </c>
      <c r="CQE35" t="s">
        <v>6984</v>
      </c>
      <c r="CQF35" t="s">
        <v>6984</v>
      </c>
      <c r="CQG35" t="s">
        <v>6984</v>
      </c>
      <c r="CQH35" t="s">
        <v>6984</v>
      </c>
      <c r="CQI35" t="s">
        <v>6984</v>
      </c>
      <c r="CQJ35" t="s">
        <v>6984</v>
      </c>
      <c r="CQK35" t="s">
        <v>6984</v>
      </c>
      <c r="CQL35" t="s">
        <v>6984</v>
      </c>
      <c r="CQM35" t="s">
        <v>6984</v>
      </c>
      <c r="CQN35" t="s">
        <v>6984</v>
      </c>
      <c r="CQO35" t="s">
        <v>6984</v>
      </c>
      <c r="CQP35" t="s">
        <v>6984</v>
      </c>
      <c r="CQQ35" t="s">
        <v>6984</v>
      </c>
      <c r="CQR35" t="s">
        <v>6984</v>
      </c>
      <c r="CQS35" t="s">
        <v>6984</v>
      </c>
      <c r="CQT35" t="s">
        <v>6984</v>
      </c>
      <c r="CQU35" t="s">
        <v>6984</v>
      </c>
      <c r="CQV35" t="s">
        <v>6984</v>
      </c>
      <c r="CQW35" t="s">
        <v>6984</v>
      </c>
      <c r="CQX35" t="s">
        <v>6984</v>
      </c>
      <c r="CQY35" t="s">
        <v>6984</v>
      </c>
      <c r="CQZ35" t="s">
        <v>6984</v>
      </c>
      <c r="CRA35" t="s">
        <v>6984</v>
      </c>
      <c r="CRB35" t="s">
        <v>6984</v>
      </c>
      <c r="CRC35" t="s">
        <v>6984</v>
      </c>
      <c r="CRD35" t="s">
        <v>6984</v>
      </c>
      <c r="CRE35" t="s">
        <v>6984</v>
      </c>
      <c r="CRF35" t="s">
        <v>6984</v>
      </c>
      <c r="CRG35" t="s">
        <v>6984</v>
      </c>
      <c r="CRH35" t="s">
        <v>6984</v>
      </c>
      <c r="CRI35" t="s">
        <v>6984</v>
      </c>
      <c r="CRJ35" t="s">
        <v>6984</v>
      </c>
      <c r="CRK35" t="s">
        <v>6984</v>
      </c>
      <c r="CRL35" t="s">
        <v>6984</v>
      </c>
      <c r="CRM35" t="s">
        <v>6984</v>
      </c>
      <c r="CRN35" t="s">
        <v>6984</v>
      </c>
      <c r="CRO35" t="s">
        <v>6984</v>
      </c>
      <c r="CRP35" t="s">
        <v>6984</v>
      </c>
      <c r="CRQ35" t="s">
        <v>6984</v>
      </c>
      <c r="CRR35" t="s">
        <v>6984</v>
      </c>
      <c r="CRS35" t="s">
        <v>6984</v>
      </c>
      <c r="CRT35" t="s">
        <v>6984</v>
      </c>
      <c r="CRU35" t="s">
        <v>6984</v>
      </c>
      <c r="CRV35" t="s">
        <v>6984</v>
      </c>
      <c r="CRW35" t="s">
        <v>6984</v>
      </c>
      <c r="CRX35" t="s">
        <v>6984</v>
      </c>
      <c r="CRY35" t="s">
        <v>6984</v>
      </c>
      <c r="CRZ35" t="s">
        <v>6984</v>
      </c>
      <c r="CSA35" t="s">
        <v>6984</v>
      </c>
      <c r="CSB35" t="s">
        <v>6984</v>
      </c>
      <c r="CSC35" t="s">
        <v>6984</v>
      </c>
      <c r="CSD35" t="s">
        <v>6984</v>
      </c>
      <c r="CSE35" t="s">
        <v>6984</v>
      </c>
      <c r="CSF35" t="s">
        <v>6984</v>
      </c>
      <c r="CSG35" t="s">
        <v>6984</v>
      </c>
      <c r="CSH35" t="s">
        <v>6984</v>
      </c>
      <c r="CSI35" t="s">
        <v>6984</v>
      </c>
      <c r="CSJ35" t="s">
        <v>6984</v>
      </c>
      <c r="CSK35" t="s">
        <v>6984</v>
      </c>
      <c r="CSL35" t="s">
        <v>6984</v>
      </c>
      <c r="CSM35" t="s">
        <v>6984</v>
      </c>
      <c r="CSN35" t="s">
        <v>6984</v>
      </c>
      <c r="CSO35" t="s">
        <v>6984</v>
      </c>
      <c r="CSP35" t="s">
        <v>6984</v>
      </c>
      <c r="CSQ35" t="s">
        <v>6984</v>
      </c>
      <c r="CSR35" t="s">
        <v>6984</v>
      </c>
      <c r="CSS35" t="s">
        <v>6984</v>
      </c>
      <c r="CST35" t="s">
        <v>6984</v>
      </c>
      <c r="CSU35" t="s">
        <v>6984</v>
      </c>
      <c r="CSV35" t="s">
        <v>6984</v>
      </c>
      <c r="CSW35" t="s">
        <v>6984</v>
      </c>
      <c r="CSX35" t="s">
        <v>6984</v>
      </c>
      <c r="CSY35" t="s">
        <v>6984</v>
      </c>
      <c r="CSZ35" t="s">
        <v>6984</v>
      </c>
      <c r="CTA35" t="s">
        <v>6984</v>
      </c>
      <c r="CTB35" t="s">
        <v>6984</v>
      </c>
      <c r="CTC35" t="s">
        <v>6984</v>
      </c>
      <c r="CTD35" t="s">
        <v>6984</v>
      </c>
      <c r="CTE35" t="s">
        <v>6984</v>
      </c>
      <c r="CTF35" t="s">
        <v>6984</v>
      </c>
      <c r="CTG35" t="s">
        <v>6984</v>
      </c>
      <c r="CTH35" t="s">
        <v>6984</v>
      </c>
      <c r="CTI35" t="s">
        <v>6984</v>
      </c>
      <c r="CTJ35" t="s">
        <v>6984</v>
      </c>
      <c r="CTK35" t="s">
        <v>6984</v>
      </c>
      <c r="CTL35" t="s">
        <v>6984</v>
      </c>
      <c r="CTM35" t="s">
        <v>6984</v>
      </c>
      <c r="CTN35" t="s">
        <v>6984</v>
      </c>
      <c r="CTO35" t="s">
        <v>6984</v>
      </c>
      <c r="CTP35" t="s">
        <v>6984</v>
      </c>
      <c r="CTQ35" t="s">
        <v>6984</v>
      </c>
      <c r="CTR35" t="s">
        <v>6984</v>
      </c>
      <c r="CTS35" t="s">
        <v>6984</v>
      </c>
      <c r="CTT35" t="s">
        <v>6984</v>
      </c>
      <c r="CTU35" t="s">
        <v>6984</v>
      </c>
      <c r="CTV35" t="s">
        <v>6984</v>
      </c>
      <c r="CTW35" t="s">
        <v>6984</v>
      </c>
      <c r="CTX35" t="s">
        <v>6984</v>
      </c>
      <c r="CTY35" t="s">
        <v>6984</v>
      </c>
      <c r="CTZ35" t="s">
        <v>6984</v>
      </c>
      <c r="CUA35" t="s">
        <v>6984</v>
      </c>
      <c r="CUB35" t="s">
        <v>6984</v>
      </c>
      <c r="CUC35" t="s">
        <v>6984</v>
      </c>
      <c r="CUD35" t="s">
        <v>6984</v>
      </c>
      <c r="CUE35" t="s">
        <v>6984</v>
      </c>
      <c r="CUF35" t="s">
        <v>6984</v>
      </c>
      <c r="CUG35" t="s">
        <v>6984</v>
      </c>
      <c r="CUH35" t="s">
        <v>6984</v>
      </c>
      <c r="CUI35" t="s">
        <v>6984</v>
      </c>
      <c r="CUJ35" t="s">
        <v>6984</v>
      </c>
      <c r="CUK35" t="s">
        <v>6984</v>
      </c>
      <c r="CUL35" t="s">
        <v>6984</v>
      </c>
      <c r="CUM35" t="s">
        <v>6984</v>
      </c>
      <c r="CUN35" t="s">
        <v>6984</v>
      </c>
      <c r="CUO35" t="s">
        <v>6984</v>
      </c>
      <c r="CUP35" t="s">
        <v>6984</v>
      </c>
      <c r="CUQ35" t="s">
        <v>6984</v>
      </c>
      <c r="CUR35" t="s">
        <v>6984</v>
      </c>
      <c r="CUS35" t="s">
        <v>6984</v>
      </c>
      <c r="CUT35" t="s">
        <v>6984</v>
      </c>
      <c r="CUU35" t="s">
        <v>6984</v>
      </c>
      <c r="CUV35" t="s">
        <v>6984</v>
      </c>
      <c r="CUW35" t="s">
        <v>6984</v>
      </c>
      <c r="CUX35" t="s">
        <v>6984</v>
      </c>
      <c r="CUY35" t="s">
        <v>6984</v>
      </c>
      <c r="CUZ35" t="s">
        <v>6984</v>
      </c>
      <c r="CVA35" t="s">
        <v>6984</v>
      </c>
      <c r="CVB35" t="s">
        <v>6984</v>
      </c>
      <c r="CVC35" t="s">
        <v>6984</v>
      </c>
      <c r="CVD35" t="s">
        <v>6984</v>
      </c>
      <c r="CVE35" t="s">
        <v>6984</v>
      </c>
      <c r="CVF35" t="s">
        <v>6984</v>
      </c>
      <c r="CVG35" t="s">
        <v>6984</v>
      </c>
      <c r="CVH35" t="s">
        <v>6984</v>
      </c>
      <c r="CVI35" t="s">
        <v>6984</v>
      </c>
      <c r="CVJ35" t="s">
        <v>6984</v>
      </c>
      <c r="CVK35" t="s">
        <v>6984</v>
      </c>
      <c r="CVL35" t="s">
        <v>6984</v>
      </c>
      <c r="CVM35" t="s">
        <v>6984</v>
      </c>
      <c r="CVN35" t="s">
        <v>6984</v>
      </c>
      <c r="CVO35" t="s">
        <v>6984</v>
      </c>
      <c r="CVP35" t="s">
        <v>6984</v>
      </c>
      <c r="CVQ35" t="s">
        <v>6984</v>
      </c>
      <c r="CVR35" t="s">
        <v>6984</v>
      </c>
      <c r="CVS35" t="s">
        <v>6984</v>
      </c>
      <c r="CVT35" t="s">
        <v>6984</v>
      </c>
      <c r="CVU35" t="s">
        <v>6984</v>
      </c>
      <c r="CVV35" t="s">
        <v>6984</v>
      </c>
      <c r="CVW35" t="s">
        <v>6984</v>
      </c>
      <c r="CVX35" t="s">
        <v>6984</v>
      </c>
      <c r="CVY35" t="s">
        <v>6984</v>
      </c>
      <c r="CVZ35" t="s">
        <v>6984</v>
      </c>
      <c r="CWA35" t="s">
        <v>6984</v>
      </c>
      <c r="CWB35" t="s">
        <v>6984</v>
      </c>
      <c r="CWC35" t="s">
        <v>6984</v>
      </c>
      <c r="CWD35" t="s">
        <v>6984</v>
      </c>
      <c r="CWE35" t="s">
        <v>6984</v>
      </c>
      <c r="CWF35" t="s">
        <v>6984</v>
      </c>
      <c r="CWG35" t="s">
        <v>6984</v>
      </c>
      <c r="CWH35" t="s">
        <v>6984</v>
      </c>
      <c r="CWI35" t="s">
        <v>6984</v>
      </c>
      <c r="CWJ35" t="s">
        <v>6984</v>
      </c>
      <c r="CWK35" t="s">
        <v>6984</v>
      </c>
      <c r="CWL35" t="s">
        <v>6984</v>
      </c>
      <c r="CWM35" t="s">
        <v>6984</v>
      </c>
      <c r="CWN35" t="s">
        <v>6984</v>
      </c>
      <c r="CWO35" t="s">
        <v>6984</v>
      </c>
      <c r="CWP35" t="s">
        <v>6984</v>
      </c>
      <c r="CWQ35" t="s">
        <v>6984</v>
      </c>
      <c r="CWR35" t="s">
        <v>6984</v>
      </c>
      <c r="CWS35" t="s">
        <v>6984</v>
      </c>
      <c r="CWT35" t="s">
        <v>6984</v>
      </c>
      <c r="CWU35" t="s">
        <v>6984</v>
      </c>
      <c r="CWV35" t="s">
        <v>6984</v>
      </c>
      <c r="CWW35" t="s">
        <v>6984</v>
      </c>
      <c r="CWX35" t="s">
        <v>6984</v>
      </c>
      <c r="CWY35" t="s">
        <v>6984</v>
      </c>
      <c r="CWZ35" t="s">
        <v>6984</v>
      </c>
      <c r="CXA35" t="s">
        <v>6984</v>
      </c>
      <c r="CXB35" t="s">
        <v>6984</v>
      </c>
      <c r="CXC35" t="s">
        <v>6984</v>
      </c>
      <c r="CXD35" t="s">
        <v>6984</v>
      </c>
      <c r="CXE35" t="s">
        <v>6984</v>
      </c>
      <c r="CXF35" t="s">
        <v>6984</v>
      </c>
      <c r="CXG35" t="s">
        <v>6984</v>
      </c>
      <c r="CXH35" t="s">
        <v>6984</v>
      </c>
      <c r="CXI35" t="s">
        <v>6984</v>
      </c>
      <c r="CXJ35" t="s">
        <v>6984</v>
      </c>
      <c r="CXK35" t="s">
        <v>6984</v>
      </c>
      <c r="CXL35" t="s">
        <v>6984</v>
      </c>
      <c r="CXM35" t="s">
        <v>6984</v>
      </c>
      <c r="CXN35" t="s">
        <v>6984</v>
      </c>
      <c r="CXO35" t="s">
        <v>6984</v>
      </c>
      <c r="CXP35" t="s">
        <v>6984</v>
      </c>
      <c r="CXQ35" t="s">
        <v>6984</v>
      </c>
      <c r="CXR35" t="s">
        <v>6984</v>
      </c>
      <c r="CXS35" t="s">
        <v>6984</v>
      </c>
      <c r="CXT35" t="s">
        <v>6984</v>
      </c>
      <c r="CXU35" t="s">
        <v>6984</v>
      </c>
      <c r="CXV35" t="s">
        <v>6984</v>
      </c>
      <c r="CXW35" t="s">
        <v>6984</v>
      </c>
      <c r="CXX35" t="s">
        <v>6984</v>
      </c>
      <c r="CXY35" t="s">
        <v>6984</v>
      </c>
      <c r="CXZ35" t="s">
        <v>6984</v>
      </c>
      <c r="CYA35" t="s">
        <v>6984</v>
      </c>
      <c r="CYB35" t="s">
        <v>6984</v>
      </c>
      <c r="CYC35" t="s">
        <v>6984</v>
      </c>
      <c r="CYD35" t="s">
        <v>6984</v>
      </c>
      <c r="CYE35" t="s">
        <v>6984</v>
      </c>
      <c r="CYF35" t="s">
        <v>6984</v>
      </c>
      <c r="CYG35" t="s">
        <v>6984</v>
      </c>
      <c r="CYH35" t="s">
        <v>6984</v>
      </c>
      <c r="CYI35" t="s">
        <v>6984</v>
      </c>
      <c r="CYJ35" t="s">
        <v>6984</v>
      </c>
      <c r="CYK35" t="s">
        <v>6984</v>
      </c>
      <c r="CYL35" t="s">
        <v>6984</v>
      </c>
      <c r="CYM35" t="s">
        <v>6984</v>
      </c>
      <c r="CYN35" t="s">
        <v>6984</v>
      </c>
      <c r="CYO35" t="s">
        <v>6984</v>
      </c>
      <c r="CYP35" t="s">
        <v>6984</v>
      </c>
      <c r="CYQ35" t="s">
        <v>6984</v>
      </c>
      <c r="CYR35" t="s">
        <v>6984</v>
      </c>
      <c r="CYS35" t="s">
        <v>6984</v>
      </c>
      <c r="CYT35" t="s">
        <v>6984</v>
      </c>
      <c r="CYU35" t="s">
        <v>6984</v>
      </c>
      <c r="CYV35" t="s">
        <v>6984</v>
      </c>
      <c r="CYW35" t="s">
        <v>6984</v>
      </c>
      <c r="CYX35" t="s">
        <v>6984</v>
      </c>
      <c r="CYY35" t="s">
        <v>6984</v>
      </c>
      <c r="CYZ35" t="s">
        <v>6984</v>
      </c>
      <c r="CZA35" t="s">
        <v>6984</v>
      </c>
      <c r="CZB35" t="s">
        <v>6984</v>
      </c>
      <c r="CZC35" t="s">
        <v>6984</v>
      </c>
      <c r="CZD35" t="s">
        <v>6984</v>
      </c>
      <c r="CZE35" t="s">
        <v>6984</v>
      </c>
      <c r="CZF35" t="s">
        <v>6984</v>
      </c>
      <c r="CZG35" t="s">
        <v>6984</v>
      </c>
      <c r="CZH35" t="s">
        <v>6984</v>
      </c>
      <c r="CZI35" t="s">
        <v>6984</v>
      </c>
      <c r="CZJ35" t="s">
        <v>6984</v>
      </c>
      <c r="CZK35" t="s">
        <v>6984</v>
      </c>
      <c r="CZL35" t="s">
        <v>6984</v>
      </c>
      <c r="CZM35" t="s">
        <v>6984</v>
      </c>
      <c r="CZN35" t="s">
        <v>6984</v>
      </c>
      <c r="CZO35" t="s">
        <v>6984</v>
      </c>
      <c r="CZP35" t="s">
        <v>6984</v>
      </c>
      <c r="CZQ35" t="s">
        <v>6984</v>
      </c>
      <c r="CZR35" t="s">
        <v>6984</v>
      </c>
      <c r="CZS35" t="s">
        <v>6984</v>
      </c>
      <c r="CZT35" t="s">
        <v>6984</v>
      </c>
      <c r="CZU35" t="s">
        <v>6984</v>
      </c>
      <c r="CZV35" t="s">
        <v>6984</v>
      </c>
      <c r="CZW35" t="s">
        <v>6984</v>
      </c>
      <c r="CZX35" t="s">
        <v>6984</v>
      </c>
      <c r="CZY35" t="s">
        <v>6984</v>
      </c>
      <c r="CZZ35" t="s">
        <v>6984</v>
      </c>
      <c r="DAA35" t="s">
        <v>6984</v>
      </c>
      <c r="DAB35" t="s">
        <v>6984</v>
      </c>
      <c r="DAC35" t="s">
        <v>6984</v>
      </c>
      <c r="DAD35" t="s">
        <v>6984</v>
      </c>
      <c r="DAE35" t="s">
        <v>6984</v>
      </c>
      <c r="DAF35" t="s">
        <v>6984</v>
      </c>
      <c r="DAG35" t="s">
        <v>6984</v>
      </c>
      <c r="DAH35" t="s">
        <v>6984</v>
      </c>
      <c r="DAI35" t="s">
        <v>6984</v>
      </c>
      <c r="DAJ35" t="s">
        <v>6984</v>
      </c>
      <c r="DAK35" t="s">
        <v>6984</v>
      </c>
      <c r="DAL35" t="s">
        <v>6984</v>
      </c>
      <c r="DAM35" t="s">
        <v>6984</v>
      </c>
      <c r="DAN35" t="s">
        <v>6984</v>
      </c>
      <c r="DAO35" t="s">
        <v>6984</v>
      </c>
      <c r="DAP35" t="s">
        <v>6984</v>
      </c>
      <c r="DAQ35" t="s">
        <v>6984</v>
      </c>
      <c r="DAR35" t="s">
        <v>6984</v>
      </c>
      <c r="DAS35" t="s">
        <v>6984</v>
      </c>
      <c r="DAT35" t="s">
        <v>6984</v>
      </c>
      <c r="DAU35" t="s">
        <v>6984</v>
      </c>
      <c r="DAV35" t="s">
        <v>6984</v>
      </c>
      <c r="DAW35" t="s">
        <v>6984</v>
      </c>
      <c r="DAX35" t="s">
        <v>6984</v>
      </c>
      <c r="DAY35" t="s">
        <v>6984</v>
      </c>
      <c r="DAZ35" t="s">
        <v>6984</v>
      </c>
      <c r="DBA35" t="s">
        <v>6984</v>
      </c>
      <c r="DBB35" t="s">
        <v>6984</v>
      </c>
      <c r="DBC35" t="s">
        <v>6984</v>
      </c>
      <c r="DBD35" t="s">
        <v>6984</v>
      </c>
      <c r="DBE35" t="s">
        <v>6984</v>
      </c>
      <c r="DBF35" t="s">
        <v>6984</v>
      </c>
      <c r="DBG35" t="s">
        <v>6984</v>
      </c>
      <c r="DBH35" t="s">
        <v>6984</v>
      </c>
      <c r="DBI35" t="s">
        <v>6984</v>
      </c>
      <c r="DBJ35" t="s">
        <v>6984</v>
      </c>
      <c r="DBK35" t="s">
        <v>6984</v>
      </c>
      <c r="DBL35" t="s">
        <v>6984</v>
      </c>
      <c r="DBM35" t="s">
        <v>6984</v>
      </c>
      <c r="DBN35" t="s">
        <v>6984</v>
      </c>
      <c r="DBO35" t="s">
        <v>6984</v>
      </c>
      <c r="DBP35" t="s">
        <v>6984</v>
      </c>
      <c r="DBQ35" t="s">
        <v>6984</v>
      </c>
      <c r="DBR35" t="s">
        <v>6984</v>
      </c>
      <c r="DBS35" t="s">
        <v>6984</v>
      </c>
      <c r="DBT35" t="s">
        <v>6984</v>
      </c>
      <c r="DBU35" t="s">
        <v>6984</v>
      </c>
      <c r="DBV35" t="s">
        <v>6984</v>
      </c>
      <c r="DBW35" t="s">
        <v>6984</v>
      </c>
      <c r="DBX35" t="s">
        <v>6984</v>
      </c>
      <c r="DBY35" t="s">
        <v>6984</v>
      </c>
      <c r="DBZ35" t="s">
        <v>6984</v>
      </c>
      <c r="DCA35" t="s">
        <v>6984</v>
      </c>
      <c r="DCB35" t="s">
        <v>6984</v>
      </c>
      <c r="DCC35" t="s">
        <v>6984</v>
      </c>
      <c r="DCD35" t="s">
        <v>6984</v>
      </c>
      <c r="DCE35" t="s">
        <v>6984</v>
      </c>
      <c r="DCF35" t="s">
        <v>6984</v>
      </c>
      <c r="DCG35" t="s">
        <v>6984</v>
      </c>
      <c r="DCH35" t="s">
        <v>6984</v>
      </c>
      <c r="DCI35" t="s">
        <v>6984</v>
      </c>
      <c r="DCJ35" t="s">
        <v>6984</v>
      </c>
      <c r="DCK35" t="s">
        <v>6984</v>
      </c>
      <c r="DCL35" t="s">
        <v>6984</v>
      </c>
      <c r="DCM35" t="s">
        <v>6984</v>
      </c>
      <c r="DCN35" t="s">
        <v>6984</v>
      </c>
      <c r="DCO35" t="s">
        <v>6984</v>
      </c>
      <c r="DCP35" t="s">
        <v>6984</v>
      </c>
      <c r="DCQ35" t="s">
        <v>6984</v>
      </c>
      <c r="DCR35" t="s">
        <v>6984</v>
      </c>
      <c r="DCS35" t="s">
        <v>6984</v>
      </c>
      <c r="DCT35" t="s">
        <v>6984</v>
      </c>
      <c r="DCU35" t="s">
        <v>6984</v>
      </c>
      <c r="DCV35" t="s">
        <v>6984</v>
      </c>
      <c r="DCW35" t="s">
        <v>6984</v>
      </c>
      <c r="DCX35" t="s">
        <v>6984</v>
      </c>
      <c r="DCY35" t="s">
        <v>6984</v>
      </c>
      <c r="DCZ35" t="s">
        <v>6984</v>
      </c>
      <c r="DDA35" t="s">
        <v>6984</v>
      </c>
      <c r="DDB35" t="s">
        <v>6984</v>
      </c>
      <c r="DDC35" t="s">
        <v>6984</v>
      </c>
      <c r="DDD35" t="s">
        <v>6984</v>
      </c>
      <c r="DDE35" t="s">
        <v>6984</v>
      </c>
      <c r="DDF35" t="s">
        <v>6984</v>
      </c>
      <c r="DDG35" t="s">
        <v>6984</v>
      </c>
      <c r="DDH35" t="s">
        <v>6984</v>
      </c>
      <c r="DDI35" t="s">
        <v>6984</v>
      </c>
      <c r="DDJ35" t="s">
        <v>6984</v>
      </c>
      <c r="DDK35" t="s">
        <v>6984</v>
      </c>
      <c r="DDL35" t="s">
        <v>6984</v>
      </c>
      <c r="DDM35" t="s">
        <v>6984</v>
      </c>
      <c r="DDN35" t="s">
        <v>6984</v>
      </c>
      <c r="DDO35" t="s">
        <v>6984</v>
      </c>
      <c r="DDP35" t="s">
        <v>6984</v>
      </c>
      <c r="DDQ35" t="s">
        <v>6984</v>
      </c>
      <c r="DDR35" t="s">
        <v>6984</v>
      </c>
      <c r="DDS35" t="s">
        <v>6984</v>
      </c>
      <c r="DDT35" t="s">
        <v>6984</v>
      </c>
      <c r="DDU35" t="s">
        <v>6984</v>
      </c>
      <c r="DDV35" t="s">
        <v>6984</v>
      </c>
      <c r="DDW35" t="s">
        <v>6984</v>
      </c>
      <c r="DDX35" t="s">
        <v>6984</v>
      </c>
      <c r="DDY35" t="s">
        <v>6984</v>
      </c>
      <c r="DDZ35" t="s">
        <v>6984</v>
      </c>
      <c r="DEA35" t="s">
        <v>6984</v>
      </c>
      <c r="DEB35" t="s">
        <v>6984</v>
      </c>
      <c r="DEC35" t="s">
        <v>6984</v>
      </c>
      <c r="DED35" t="s">
        <v>6984</v>
      </c>
      <c r="DEE35" t="s">
        <v>6984</v>
      </c>
      <c r="DEF35" t="s">
        <v>6984</v>
      </c>
      <c r="DEG35" t="s">
        <v>6984</v>
      </c>
      <c r="DEH35" t="s">
        <v>6984</v>
      </c>
      <c r="DEI35" t="s">
        <v>6984</v>
      </c>
      <c r="DEJ35" t="s">
        <v>6984</v>
      </c>
      <c r="DEK35" t="s">
        <v>6984</v>
      </c>
      <c r="DEL35" t="s">
        <v>6984</v>
      </c>
      <c r="DEM35" t="s">
        <v>6984</v>
      </c>
      <c r="DEN35" t="s">
        <v>6984</v>
      </c>
      <c r="DEO35" t="s">
        <v>6984</v>
      </c>
      <c r="DEP35" t="s">
        <v>6984</v>
      </c>
      <c r="DEQ35" t="s">
        <v>6984</v>
      </c>
      <c r="DER35" t="s">
        <v>6984</v>
      </c>
      <c r="DES35" t="s">
        <v>6984</v>
      </c>
      <c r="DET35" t="s">
        <v>6984</v>
      </c>
      <c r="DEU35" t="s">
        <v>6984</v>
      </c>
      <c r="DEV35" t="s">
        <v>6984</v>
      </c>
      <c r="DEW35" t="s">
        <v>6984</v>
      </c>
      <c r="DEX35" t="s">
        <v>6984</v>
      </c>
      <c r="DEY35" t="s">
        <v>6984</v>
      </c>
      <c r="DEZ35" t="s">
        <v>6984</v>
      </c>
      <c r="DFA35" t="s">
        <v>6984</v>
      </c>
      <c r="DFB35" t="s">
        <v>6984</v>
      </c>
      <c r="DFC35" t="s">
        <v>6984</v>
      </c>
      <c r="DFD35" t="s">
        <v>6984</v>
      </c>
      <c r="DFE35" t="s">
        <v>6984</v>
      </c>
      <c r="DFF35" t="s">
        <v>6984</v>
      </c>
      <c r="DFG35" t="s">
        <v>6984</v>
      </c>
      <c r="DFH35" t="s">
        <v>6984</v>
      </c>
      <c r="DFI35" t="s">
        <v>6984</v>
      </c>
      <c r="DFJ35" t="s">
        <v>6984</v>
      </c>
      <c r="DFK35" t="s">
        <v>6984</v>
      </c>
      <c r="DFL35" t="s">
        <v>6984</v>
      </c>
      <c r="DFM35" t="s">
        <v>6984</v>
      </c>
      <c r="DFN35" t="s">
        <v>6984</v>
      </c>
      <c r="DFO35" t="s">
        <v>6984</v>
      </c>
      <c r="DFP35" t="s">
        <v>6984</v>
      </c>
      <c r="DFQ35" t="s">
        <v>6984</v>
      </c>
      <c r="DFR35" t="s">
        <v>6984</v>
      </c>
      <c r="DFS35" t="s">
        <v>6984</v>
      </c>
      <c r="DFT35" t="s">
        <v>6984</v>
      </c>
      <c r="DFU35" t="s">
        <v>6984</v>
      </c>
      <c r="DFV35" t="s">
        <v>6984</v>
      </c>
      <c r="DFW35" t="s">
        <v>6984</v>
      </c>
      <c r="DFX35" t="s">
        <v>6984</v>
      </c>
      <c r="DFY35" t="s">
        <v>6984</v>
      </c>
      <c r="DFZ35" t="s">
        <v>6984</v>
      </c>
      <c r="DGA35" t="s">
        <v>6984</v>
      </c>
      <c r="DGB35" t="s">
        <v>6984</v>
      </c>
      <c r="DGC35" t="s">
        <v>6984</v>
      </c>
      <c r="DGD35" t="s">
        <v>6984</v>
      </c>
      <c r="DGE35" t="s">
        <v>6984</v>
      </c>
      <c r="DGF35" t="s">
        <v>6984</v>
      </c>
      <c r="DGG35" t="s">
        <v>6984</v>
      </c>
      <c r="DGH35" t="s">
        <v>6984</v>
      </c>
      <c r="DGI35" t="s">
        <v>6984</v>
      </c>
      <c r="DGJ35" t="s">
        <v>6984</v>
      </c>
      <c r="DGK35" t="s">
        <v>6984</v>
      </c>
      <c r="DGL35" t="s">
        <v>6984</v>
      </c>
      <c r="DGM35" t="s">
        <v>6984</v>
      </c>
      <c r="DGN35" t="s">
        <v>6984</v>
      </c>
      <c r="DGO35" t="s">
        <v>6984</v>
      </c>
      <c r="DGP35" t="s">
        <v>6984</v>
      </c>
      <c r="DGQ35" t="s">
        <v>6984</v>
      </c>
      <c r="DGR35" t="s">
        <v>6984</v>
      </c>
      <c r="DGS35" t="s">
        <v>6984</v>
      </c>
      <c r="DGT35" t="s">
        <v>6984</v>
      </c>
      <c r="DGU35" t="s">
        <v>6984</v>
      </c>
      <c r="DGV35" t="s">
        <v>6984</v>
      </c>
      <c r="DGW35" t="s">
        <v>6984</v>
      </c>
      <c r="DGX35" t="s">
        <v>6984</v>
      </c>
      <c r="DGY35" t="s">
        <v>6984</v>
      </c>
      <c r="DGZ35" t="s">
        <v>6984</v>
      </c>
      <c r="DHA35" t="s">
        <v>6984</v>
      </c>
      <c r="DHB35" t="s">
        <v>6984</v>
      </c>
      <c r="DHC35" t="s">
        <v>6984</v>
      </c>
      <c r="DHD35" t="s">
        <v>6984</v>
      </c>
      <c r="DHE35" t="s">
        <v>6984</v>
      </c>
      <c r="DHF35" t="s">
        <v>6984</v>
      </c>
      <c r="DHG35" t="s">
        <v>6984</v>
      </c>
      <c r="DHH35" t="s">
        <v>6984</v>
      </c>
      <c r="DHI35" t="s">
        <v>6984</v>
      </c>
      <c r="DHJ35" t="s">
        <v>6984</v>
      </c>
      <c r="DHK35" t="s">
        <v>6984</v>
      </c>
      <c r="DHL35" t="s">
        <v>6984</v>
      </c>
      <c r="DHM35" t="s">
        <v>6984</v>
      </c>
      <c r="DHN35" t="s">
        <v>6984</v>
      </c>
      <c r="DHO35" t="s">
        <v>6984</v>
      </c>
      <c r="DHP35" t="s">
        <v>6984</v>
      </c>
      <c r="DHQ35" t="s">
        <v>6984</v>
      </c>
      <c r="DHR35" t="s">
        <v>6984</v>
      </c>
      <c r="DHS35" t="s">
        <v>6984</v>
      </c>
      <c r="DHT35" t="s">
        <v>6984</v>
      </c>
      <c r="DHU35" t="s">
        <v>6984</v>
      </c>
      <c r="DHV35" t="s">
        <v>6984</v>
      </c>
      <c r="DHW35" t="s">
        <v>6984</v>
      </c>
      <c r="DHX35" t="s">
        <v>6984</v>
      </c>
      <c r="DHY35" t="s">
        <v>6984</v>
      </c>
      <c r="DHZ35" t="s">
        <v>6984</v>
      </c>
      <c r="DIA35" t="s">
        <v>6984</v>
      </c>
      <c r="DIB35" t="s">
        <v>6984</v>
      </c>
      <c r="DIC35" t="s">
        <v>6984</v>
      </c>
      <c r="DID35" t="s">
        <v>6984</v>
      </c>
      <c r="DIE35" t="s">
        <v>6984</v>
      </c>
      <c r="DIF35" t="s">
        <v>6984</v>
      </c>
      <c r="DIG35" t="s">
        <v>6984</v>
      </c>
      <c r="DIH35" t="s">
        <v>6984</v>
      </c>
      <c r="DII35" t="s">
        <v>6984</v>
      </c>
      <c r="DIJ35" t="s">
        <v>6984</v>
      </c>
      <c r="DIK35" t="s">
        <v>6984</v>
      </c>
      <c r="DIL35" t="s">
        <v>6984</v>
      </c>
      <c r="DIM35" t="s">
        <v>6984</v>
      </c>
      <c r="DIN35" t="s">
        <v>6984</v>
      </c>
      <c r="DIO35" t="s">
        <v>6984</v>
      </c>
      <c r="DIP35" t="s">
        <v>6984</v>
      </c>
      <c r="DIQ35" t="s">
        <v>6984</v>
      </c>
      <c r="DIR35" t="s">
        <v>6984</v>
      </c>
      <c r="DIS35" t="s">
        <v>6984</v>
      </c>
      <c r="DIT35" t="s">
        <v>6984</v>
      </c>
      <c r="DIU35" t="s">
        <v>6984</v>
      </c>
      <c r="DIV35" t="s">
        <v>6984</v>
      </c>
      <c r="DIW35" t="s">
        <v>6984</v>
      </c>
      <c r="DIX35" t="s">
        <v>6984</v>
      </c>
      <c r="DIY35" t="s">
        <v>6984</v>
      </c>
      <c r="DIZ35" t="s">
        <v>6984</v>
      </c>
      <c r="DJA35" t="s">
        <v>6984</v>
      </c>
      <c r="DJB35" t="s">
        <v>6984</v>
      </c>
      <c r="DJC35" t="s">
        <v>6984</v>
      </c>
      <c r="DJD35" t="s">
        <v>6984</v>
      </c>
      <c r="DJE35" t="s">
        <v>6984</v>
      </c>
      <c r="DJF35" t="s">
        <v>6984</v>
      </c>
      <c r="DJG35" t="s">
        <v>6984</v>
      </c>
      <c r="DJH35" t="s">
        <v>6984</v>
      </c>
      <c r="DJI35" t="s">
        <v>6984</v>
      </c>
      <c r="DJJ35" t="s">
        <v>6984</v>
      </c>
      <c r="DJK35" t="s">
        <v>6984</v>
      </c>
      <c r="DJL35" t="s">
        <v>6984</v>
      </c>
      <c r="DJM35" t="s">
        <v>6984</v>
      </c>
      <c r="DJN35" t="s">
        <v>6984</v>
      </c>
      <c r="DJO35" t="s">
        <v>6984</v>
      </c>
      <c r="DJP35" t="s">
        <v>6984</v>
      </c>
      <c r="DJQ35" t="s">
        <v>6984</v>
      </c>
      <c r="DJR35" t="s">
        <v>6984</v>
      </c>
      <c r="DJS35" t="s">
        <v>6984</v>
      </c>
      <c r="DJT35" t="s">
        <v>6984</v>
      </c>
      <c r="DJU35" t="s">
        <v>6984</v>
      </c>
      <c r="DJV35" t="s">
        <v>6984</v>
      </c>
      <c r="DJW35" t="s">
        <v>6984</v>
      </c>
      <c r="DJX35" t="s">
        <v>6984</v>
      </c>
      <c r="DJY35" t="s">
        <v>6984</v>
      </c>
      <c r="DJZ35" t="s">
        <v>6984</v>
      </c>
      <c r="DKA35" t="s">
        <v>6984</v>
      </c>
      <c r="DKB35" t="s">
        <v>6984</v>
      </c>
      <c r="DKC35" t="s">
        <v>6984</v>
      </c>
      <c r="DKD35" t="s">
        <v>6984</v>
      </c>
      <c r="DKE35" t="s">
        <v>6984</v>
      </c>
      <c r="DKF35" t="s">
        <v>6984</v>
      </c>
      <c r="DKG35" t="s">
        <v>6984</v>
      </c>
      <c r="DKH35" t="s">
        <v>6984</v>
      </c>
      <c r="DKI35" t="s">
        <v>6984</v>
      </c>
      <c r="DKJ35" t="s">
        <v>6984</v>
      </c>
      <c r="DKK35" t="s">
        <v>6984</v>
      </c>
      <c r="DKL35" t="s">
        <v>6984</v>
      </c>
      <c r="DKM35" t="s">
        <v>6984</v>
      </c>
      <c r="DKN35" t="s">
        <v>6984</v>
      </c>
      <c r="DKO35" t="s">
        <v>6984</v>
      </c>
      <c r="DKP35" t="s">
        <v>6984</v>
      </c>
      <c r="DKQ35" t="s">
        <v>6984</v>
      </c>
      <c r="DKR35" t="s">
        <v>6984</v>
      </c>
      <c r="DKS35" t="s">
        <v>6984</v>
      </c>
      <c r="DKT35" t="s">
        <v>6984</v>
      </c>
      <c r="DKU35" t="s">
        <v>6984</v>
      </c>
      <c r="DKV35" t="s">
        <v>6984</v>
      </c>
      <c r="DKW35" t="s">
        <v>6984</v>
      </c>
      <c r="DKX35" t="s">
        <v>6984</v>
      </c>
      <c r="DKY35" t="s">
        <v>6984</v>
      </c>
      <c r="DKZ35" t="s">
        <v>6984</v>
      </c>
      <c r="DLA35" t="s">
        <v>6984</v>
      </c>
      <c r="DLB35" t="s">
        <v>6984</v>
      </c>
      <c r="DLC35" t="s">
        <v>6984</v>
      </c>
      <c r="DLD35" t="s">
        <v>6984</v>
      </c>
      <c r="DLE35" t="s">
        <v>6984</v>
      </c>
      <c r="DLF35" t="s">
        <v>6984</v>
      </c>
      <c r="DLG35" t="s">
        <v>6984</v>
      </c>
      <c r="DLH35" t="s">
        <v>6984</v>
      </c>
      <c r="DLI35" t="s">
        <v>6984</v>
      </c>
      <c r="DLJ35" t="s">
        <v>6984</v>
      </c>
      <c r="DLK35" t="s">
        <v>6984</v>
      </c>
      <c r="DLL35" t="s">
        <v>6984</v>
      </c>
      <c r="DLM35" t="s">
        <v>6984</v>
      </c>
      <c r="DLN35" t="s">
        <v>6984</v>
      </c>
      <c r="DLO35" t="s">
        <v>6984</v>
      </c>
      <c r="DLP35" t="s">
        <v>6984</v>
      </c>
      <c r="DLQ35" t="s">
        <v>6984</v>
      </c>
      <c r="DLR35" t="s">
        <v>6984</v>
      </c>
      <c r="DLS35" t="s">
        <v>6984</v>
      </c>
      <c r="DLT35" t="s">
        <v>6984</v>
      </c>
      <c r="DLU35" t="s">
        <v>6984</v>
      </c>
      <c r="DLV35" t="s">
        <v>6984</v>
      </c>
      <c r="DLW35" t="s">
        <v>6984</v>
      </c>
      <c r="DLX35" t="s">
        <v>6984</v>
      </c>
      <c r="DLY35" t="s">
        <v>6984</v>
      </c>
      <c r="DLZ35" t="s">
        <v>6984</v>
      </c>
      <c r="DMA35" t="s">
        <v>6984</v>
      </c>
      <c r="DMB35" t="s">
        <v>6984</v>
      </c>
      <c r="DMC35" t="s">
        <v>6984</v>
      </c>
      <c r="DMD35" t="s">
        <v>6984</v>
      </c>
      <c r="DME35" t="s">
        <v>6984</v>
      </c>
      <c r="DMF35" t="s">
        <v>6984</v>
      </c>
      <c r="DMG35" t="s">
        <v>6984</v>
      </c>
      <c r="DMH35" t="s">
        <v>6984</v>
      </c>
      <c r="DMI35" t="s">
        <v>6984</v>
      </c>
      <c r="DMJ35" t="s">
        <v>6984</v>
      </c>
      <c r="DMK35" t="s">
        <v>6984</v>
      </c>
      <c r="DML35" t="s">
        <v>6984</v>
      </c>
      <c r="DMM35" t="s">
        <v>6984</v>
      </c>
      <c r="DMN35" t="s">
        <v>6984</v>
      </c>
      <c r="DMO35" t="s">
        <v>6984</v>
      </c>
      <c r="DMP35" t="s">
        <v>6984</v>
      </c>
      <c r="DMQ35" t="s">
        <v>6984</v>
      </c>
      <c r="DMR35" t="s">
        <v>6984</v>
      </c>
      <c r="DMS35" t="s">
        <v>6984</v>
      </c>
      <c r="DMT35" t="s">
        <v>6984</v>
      </c>
      <c r="DMU35" t="s">
        <v>6984</v>
      </c>
      <c r="DMV35" t="s">
        <v>6984</v>
      </c>
      <c r="DMW35" t="s">
        <v>6984</v>
      </c>
      <c r="DMX35" t="s">
        <v>6984</v>
      </c>
      <c r="DMY35" t="s">
        <v>6984</v>
      </c>
      <c r="DMZ35" t="s">
        <v>6984</v>
      </c>
      <c r="DNA35" t="s">
        <v>6984</v>
      </c>
      <c r="DNB35" t="s">
        <v>6984</v>
      </c>
      <c r="DNC35" t="s">
        <v>6984</v>
      </c>
      <c r="DND35" t="s">
        <v>6984</v>
      </c>
      <c r="DNE35" t="s">
        <v>6984</v>
      </c>
      <c r="DNF35" t="s">
        <v>6984</v>
      </c>
      <c r="DNG35" t="s">
        <v>6984</v>
      </c>
      <c r="DNH35" t="s">
        <v>6984</v>
      </c>
      <c r="DNI35" t="s">
        <v>6984</v>
      </c>
      <c r="DNJ35" t="s">
        <v>6984</v>
      </c>
      <c r="DNK35" t="s">
        <v>6984</v>
      </c>
      <c r="DNL35" t="s">
        <v>6984</v>
      </c>
      <c r="DNM35" t="s">
        <v>6984</v>
      </c>
      <c r="DNN35" t="s">
        <v>6984</v>
      </c>
      <c r="DNO35" t="s">
        <v>6984</v>
      </c>
      <c r="DNP35" t="s">
        <v>6984</v>
      </c>
      <c r="DNQ35" t="s">
        <v>6984</v>
      </c>
      <c r="DNR35" t="s">
        <v>6984</v>
      </c>
      <c r="DNS35" t="s">
        <v>6984</v>
      </c>
      <c r="DNT35" t="s">
        <v>6984</v>
      </c>
      <c r="DNU35" t="s">
        <v>6984</v>
      </c>
      <c r="DNV35" t="s">
        <v>6984</v>
      </c>
      <c r="DNW35" t="s">
        <v>6984</v>
      </c>
      <c r="DNX35" t="s">
        <v>6984</v>
      </c>
      <c r="DNY35" t="s">
        <v>6984</v>
      </c>
      <c r="DNZ35" t="s">
        <v>6984</v>
      </c>
      <c r="DOA35" t="s">
        <v>6984</v>
      </c>
      <c r="DOB35" t="s">
        <v>6984</v>
      </c>
      <c r="DOC35" t="s">
        <v>6984</v>
      </c>
      <c r="DOD35" t="s">
        <v>6984</v>
      </c>
      <c r="DOE35" t="s">
        <v>6984</v>
      </c>
      <c r="DOF35" t="s">
        <v>6984</v>
      </c>
      <c r="DOG35" t="s">
        <v>6984</v>
      </c>
      <c r="DOH35" t="s">
        <v>6984</v>
      </c>
      <c r="DOI35" t="s">
        <v>6984</v>
      </c>
      <c r="DOJ35" t="s">
        <v>6984</v>
      </c>
      <c r="DOK35" t="s">
        <v>6984</v>
      </c>
      <c r="DOL35" t="s">
        <v>6984</v>
      </c>
      <c r="DOM35" t="s">
        <v>6984</v>
      </c>
      <c r="DON35" t="s">
        <v>6984</v>
      </c>
      <c r="DOO35" t="s">
        <v>6984</v>
      </c>
      <c r="DOP35" t="s">
        <v>6984</v>
      </c>
      <c r="DOQ35" t="s">
        <v>6984</v>
      </c>
      <c r="DOR35" t="s">
        <v>6984</v>
      </c>
      <c r="DOS35" t="s">
        <v>6984</v>
      </c>
      <c r="DOT35" t="s">
        <v>6984</v>
      </c>
      <c r="DOU35" t="s">
        <v>6984</v>
      </c>
      <c r="DOV35" t="s">
        <v>6984</v>
      </c>
      <c r="DOW35" t="s">
        <v>6984</v>
      </c>
      <c r="DOX35" t="s">
        <v>6984</v>
      </c>
      <c r="DOY35" t="s">
        <v>6984</v>
      </c>
      <c r="DOZ35" t="s">
        <v>6984</v>
      </c>
      <c r="DPA35" t="s">
        <v>6984</v>
      </c>
      <c r="DPB35" t="s">
        <v>6984</v>
      </c>
      <c r="DPC35" t="s">
        <v>6984</v>
      </c>
      <c r="DPD35" t="s">
        <v>6984</v>
      </c>
      <c r="DPE35" t="s">
        <v>6984</v>
      </c>
      <c r="DPF35" t="s">
        <v>6984</v>
      </c>
      <c r="DPG35" t="s">
        <v>6984</v>
      </c>
      <c r="DPH35" t="s">
        <v>6984</v>
      </c>
      <c r="DPI35" t="s">
        <v>6984</v>
      </c>
      <c r="DPJ35" t="s">
        <v>6984</v>
      </c>
      <c r="DPK35" t="s">
        <v>6984</v>
      </c>
      <c r="DPL35" t="s">
        <v>6984</v>
      </c>
      <c r="DPM35" t="s">
        <v>6984</v>
      </c>
      <c r="DPN35" t="s">
        <v>6984</v>
      </c>
      <c r="DPO35" t="s">
        <v>6984</v>
      </c>
      <c r="DPP35" t="s">
        <v>6984</v>
      </c>
      <c r="DPQ35" t="s">
        <v>6984</v>
      </c>
      <c r="DPR35" t="s">
        <v>6984</v>
      </c>
      <c r="DPS35" t="s">
        <v>6984</v>
      </c>
      <c r="DPT35" t="s">
        <v>6984</v>
      </c>
      <c r="DPU35" t="s">
        <v>6984</v>
      </c>
      <c r="DPV35" t="s">
        <v>6984</v>
      </c>
      <c r="DPW35" t="s">
        <v>6984</v>
      </c>
      <c r="DPX35" t="s">
        <v>6984</v>
      </c>
      <c r="DPY35" t="s">
        <v>6984</v>
      </c>
      <c r="DPZ35" t="s">
        <v>6984</v>
      </c>
      <c r="DQA35" t="s">
        <v>6984</v>
      </c>
      <c r="DQB35" t="s">
        <v>6984</v>
      </c>
      <c r="DQC35" t="s">
        <v>6984</v>
      </c>
      <c r="DQD35" t="s">
        <v>6984</v>
      </c>
      <c r="DQE35" t="s">
        <v>6984</v>
      </c>
      <c r="DQF35" t="s">
        <v>6984</v>
      </c>
      <c r="DQG35" t="s">
        <v>6984</v>
      </c>
      <c r="DQH35" t="s">
        <v>6984</v>
      </c>
      <c r="DQI35" t="s">
        <v>6984</v>
      </c>
      <c r="DQJ35" t="s">
        <v>6984</v>
      </c>
      <c r="DQK35" t="s">
        <v>6984</v>
      </c>
      <c r="DQL35" t="s">
        <v>6984</v>
      </c>
      <c r="DQM35" t="s">
        <v>6984</v>
      </c>
      <c r="DQN35" t="s">
        <v>6984</v>
      </c>
      <c r="DQO35" t="s">
        <v>6984</v>
      </c>
      <c r="DQP35" t="s">
        <v>6984</v>
      </c>
      <c r="DQQ35" t="s">
        <v>6984</v>
      </c>
      <c r="DQR35" t="s">
        <v>6984</v>
      </c>
      <c r="DQS35" t="s">
        <v>6984</v>
      </c>
      <c r="DQT35" t="s">
        <v>6984</v>
      </c>
      <c r="DQU35" t="s">
        <v>6984</v>
      </c>
      <c r="DQV35" t="s">
        <v>6984</v>
      </c>
      <c r="DQW35" t="s">
        <v>6984</v>
      </c>
      <c r="DQX35" t="s">
        <v>6984</v>
      </c>
      <c r="DQY35" t="s">
        <v>6984</v>
      </c>
      <c r="DQZ35" t="s">
        <v>6984</v>
      </c>
      <c r="DRA35" t="s">
        <v>6984</v>
      </c>
      <c r="DRB35" t="s">
        <v>6984</v>
      </c>
      <c r="DRC35" t="s">
        <v>6984</v>
      </c>
      <c r="DRD35" t="s">
        <v>6984</v>
      </c>
      <c r="DRE35" t="s">
        <v>6984</v>
      </c>
      <c r="DRF35" t="s">
        <v>6984</v>
      </c>
      <c r="DRG35" t="s">
        <v>6984</v>
      </c>
      <c r="DRH35" t="s">
        <v>6984</v>
      </c>
      <c r="DRI35" t="s">
        <v>6984</v>
      </c>
      <c r="DRJ35" t="s">
        <v>6984</v>
      </c>
      <c r="DRK35" t="s">
        <v>6984</v>
      </c>
      <c r="DRL35" t="s">
        <v>6984</v>
      </c>
      <c r="DRM35" t="s">
        <v>6984</v>
      </c>
      <c r="DRN35" t="s">
        <v>6984</v>
      </c>
      <c r="DRO35" t="s">
        <v>6984</v>
      </c>
      <c r="DRP35" t="s">
        <v>6984</v>
      </c>
      <c r="DRQ35" t="s">
        <v>6984</v>
      </c>
      <c r="DRR35" t="s">
        <v>6984</v>
      </c>
      <c r="DRS35" t="s">
        <v>6984</v>
      </c>
      <c r="DRT35" t="s">
        <v>6984</v>
      </c>
      <c r="DRU35" t="s">
        <v>6984</v>
      </c>
      <c r="DRV35" t="s">
        <v>6984</v>
      </c>
      <c r="DRW35" t="s">
        <v>6984</v>
      </c>
      <c r="DRX35" t="s">
        <v>6984</v>
      </c>
      <c r="DRY35" t="s">
        <v>6984</v>
      </c>
      <c r="DRZ35" t="s">
        <v>6984</v>
      </c>
      <c r="DSA35" t="s">
        <v>6984</v>
      </c>
      <c r="DSB35" t="s">
        <v>6984</v>
      </c>
      <c r="DSC35" t="s">
        <v>6984</v>
      </c>
      <c r="DSD35" t="s">
        <v>6984</v>
      </c>
      <c r="DSE35" t="s">
        <v>6984</v>
      </c>
      <c r="DSF35" t="s">
        <v>6984</v>
      </c>
      <c r="DSG35" t="s">
        <v>6984</v>
      </c>
      <c r="DSH35" t="s">
        <v>6984</v>
      </c>
      <c r="DSI35" t="s">
        <v>6984</v>
      </c>
      <c r="DSJ35" t="s">
        <v>6984</v>
      </c>
      <c r="DSK35" t="s">
        <v>6984</v>
      </c>
      <c r="DSL35" t="s">
        <v>6984</v>
      </c>
      <c r="DSM35" t="s">
        <v>6984</v>
      </c>
      <c r="DSN35" t="s">
        <v>6984</v>
      </c>
      <c r="DSO35" t="s">
        <v>6984</v>
      </c>
      <c r="DSP35" t="s">
        <v>6984</v>
      </c>
      <c r="DSQ35" t="s">
        <v>6984</v>
      </c>
      <c r="DSR35" t="s">
        <v>6984</v>
      </c>
      <c r="DSS35" t="s">
        <v>6984</v>
      </c>
      <c r="DST35" t="s">
        <v>6984</v>
      </c>
      <c r="DSU35" t="s">
        <v>6984</v>
      </c>
      <c r="DSV35" t="s">
        <v>6984</v>
      </c>
      <c r="DSW35" t="s">
        <v>6984</v>
      </c>
      <c r="DSX35" t="s">
        <v>6984</v>
      </c>
      <c r="DSY35" t="s">
        <v>6984</v>
      </c>
      <c r="DSZ35" t="s">
        <v>6984</v>
      </c>
      <c r="DTA35" t="s">
        <v>6984</v>
      </c>
      <c r="DTB35" t="s">
        <v>6984</v>
      </c>
      <c r="DTC35" t="s">
        <v>6984</v>
      </c>
      <c r="DTD35" t="s">
        <v>6984</v>
      </c>
      <c r="DTE35" t="s">
        <v>6984</v>
      </c>
      <c r="DTF35" t="s">
        <v>6984</v>
      </c>
      <c r="DTG35" t="s">
        <v>6984</v>
      </c>
      <c r="DTH35" t="s">
        <v>6984</v>
      </c>
      <c r="DTI35" t="s">
        <v>6984</v>
      </c>
      <c r="DTJ35" t="s">
        <v>6984</v>
      </c>
      <c r="DTK35" t="s">
        <v>6984</v>
      </c>
      <c r="DTL35" t="s">
        <v>6984</v>
      </c>
      <c r="DTM35" t="s">
        <v>6984</v>
      </c>
      <c r="DTN35" t="s">
        <v>6984</v>
      </c>
      <c r="DTO35" t="s">
        <v>6984</v>
      </c>
      <c r="DTP35" t="s">
        <v>6984</v>
      </c>
      <c r="DTQ35" t="s">
        <v>6984</v>
      </c>
      <c r="DTR35" t="s">
        <v>6984</v>
      </c>
      <c r="DTS35" t="s">
        <v>6984</v>
      </c>
      <c r="DTT35" t="s">
        <v>6984</v>
      </c>
      <c r="DTU35" t="s">
        <v>6984</v>
      </c>
      <c r="DTV35" t="s">
        <v>6984</v>
      </c>
      <c r="DTW35" t="s">
        <v>6984</v>
      </c>
      <c r="DTX35" t="s">
        <v>6984</v>
      </c>
      <c r="DTY35" t="s">
        <v>6984</v>
      </c>
      <c r="DTZ35" t="s">
        <v>6984</v>
      </c>
      <c r="DUA35" t="s">
        <v>6984</v>
      </c>
      <c r="DUB35" t="s">
        <v>6984</v>
      </c>
      <c r="DUC35" t="s">
        <v>6984</v>
      </c>
      <c r="DUD35" t="s">
        <v>6984</v>
      </c>
      <c r="DUE35" t="s">
        <v>6984</v>
      </c>
      <c r="DUF35" t="s">
        <v>6984</v>
      </c>
      <c r="DUG35" t="s">
        <v>6984</v>
      </c>
      <c r="DUH35" t="s">
        <v>6984</v>
      </c>
      <c r="DUI35" t="s">
        <v>6984</v>
      </c>
      <c r="DUJ35" t="s">
        <v>6984</v>
      </c>
      <c r="DUK35" t="s">
        <v>6984</v>
      </c>
      <c r="DUL35" t="s">
        <v>6984</v>
      </c>
      <c r="DUM35" t="s">
        <v>6984</v>
      </c>
      <c r="DUN35" t="s">
        <v>6984</v>
      </c>
      <c r="DUO35" t="s">
        <v>6984</v>
      </c>
      <c r="DUP35" t="s">
        <v>6984</v>
      </c>
      <c r="DUQ35" t="s">
        <v>6984</v>
      </c>
      <c r="DUR35" t="s">
        <v>6984</v>
      </c>
      <c r="DUS35" t="s">
        <v>6984</v>
      </c>
      <c r="DUT35" t="s">
        <v>6984</v>
      </c>
      <c r="DUU35" t="s">
        <v>6984</v>
      </c>
      <c r="DUV35" t="s">
        <v>6984</v>
      </c>
      <c r="DUW35" t="s">
        <v>6984</v>
      </c>
      <c r="DUX35" t="s">
        <v>6984</v>
      </c>
      <c r="DUY35" t="s">
        <v>6984</v>
      </c>
      <c r="DUZ35" t="s">
        <v>6984</v>
      </c>
      <c r="DVA35" t="s">
        <v>6984</v>
      </c>
      <c r="DVB35" t="s">
        <v>6984</v>
      </c>
      <c r="DVC35" t="s">
        <v>6984</v>
      </c>
      <c r="DVD35" t="s">
        <v>6984</v>
      </c>
      <c r="DVE35" t="s">
        <v>6984</v>
      </c>
      <c r="DVF35" t="s">
        <v>6984</v>
      </c>
      <c r="DVG35" t="s">
        <v>6984</v>
      </c>
      <c r="DVH35" t="s">
        <v>6984</v>
      </c>
      <c r="DVI35" t="s">
        <v>6984</v>
      </c>
      <c r="DVJ35" t="s">
        <v>6984</v>
      </c>
      <c r="DVK35" t="s">
        <v>6984</v>
      </c>
      <c r="DVL35" t="s">
        <v>6984</v>
      </c>
      <c r="DVM35" t="s">
        <v>6984</v>
      </c>
      <c r="DVN35" t="s">
        <v>6984</v>
      </c>
      <c r="DVO35" t="s">
        <v>6984</v>
      </c>
      <c r="DVP35" t="s">
        <v>6984</v>
      </c>
      <c r="DVQ35" t="s">
        <v>6984</v>
      </c>
      <c r="DVR35" t="s">
        <v>6984</v>
      </c>
      <c r="DVS35" t="s">
        <v>6984</v>
      </c>
      <c r="DVT35" t="s">
        <v>6984</v>
      </c>
      <c r="DVU35" t="s">
        <v>6984</v>
      </c>
      <c r="DVV35" t="s">
        <v>6984</v>
      </c>
      <c r="DVW35" t="s">
        <v>6984</v>
      </c>
      <c r="DVX35" t="s">
        <v>6984</v>
      </c>
      <c r="DVY35" t="s">
        <v>6984</v>
      </c>
      <c r="DVZ35" t="s">
        <v>6984</v>
      </c>
      <c r="DWA35" t="s">
        <v>6984</v>
      </c>
      <c r="DWB35" t="s">
        <v>6984</v>
      </c>
      <c r="DWC35" t="s">
        <v>6984</v>
      </c>
      <c r="DWD35" t="s">
        <v>6984</v>
      </c>
      <c r="DWE35" t="s">
        <v>6984</v>
      </c>
      <c r="DWF35" t="s">
        <v>6984</v>
      </c>
      <c r="DWG35" t="s">
        <v>6984</v>
      </c>
      <c r="DWH35" t="s">
        <v>6984</v>
      </c>
      <c r="DWI35" t="s">
        <v>6984</v>
      </c>
      <c r="DWJ35" t="s">
        <v>6984</v>
      </c>
      <c r="DWK35" t="s">
        <v>6984</v>
      </c>
      <c r="DWL35" t="s">
        <v>6984</v>
      </c>
      <c r="DWM35" t="s">
        <v>6984</v>
      </c>
      <c r="DWN35" t="s">
        <v>6984</v>
      </c>
      <c r="DWO35" t="s">
        <v>6984</v>
      </c>
      <c r="DWP35" t="s">
        <v>6984</v>
      </c>
      <c r="DWQ35" t="s">
        <v>6984</v>
      </c>
      <c r="DWR35" t="s">
        <v>6984</v>
      </c>
      <c r="DWS35" t="s">
        <v>6984</v>
      </c>
      <c r="DWT35" t="s">
        <v>6984</v>
      </c>
      <c r="DWU35" t="s">
        <v>6984</v>
      </c>
      <c r="DWV35" t="s">
        <v>6984</v>
      </c>
      <c r="DWW35" t="s">
        <v>6984</v>
      </c>
      <c r="DWX35" t="s">
        <v>6984</v>
      </c>
      <c r="DWY35" t="s">
        <v>6984</v>
      </c>
      <c r="DWZ35" t="s">
        <v>6984</v>
      </c>
      <c r="DXA35" t="s">
        <v>6984</v>
      </c>
      <c r="DXB35" t="s">
        <v>6984</v>
      </c>
      <c r="DXC35" t="s">
        <v>6984</v>
      </c>
      <c r="DXD35" t="s">
        <v>6984</v>
      </c>
      <c r="DXE35" t="s">
        <v>6984</v>
      </c>
      <c r="DXF35" t="s">
        <v>6984</v>
      </c>
      <c r="DXG35" t="s">
        <v>6984</v>
      </c>
      <c r="DXH35" t="s">
        <v>6984</v>
      </c>
      <c r="DXI35" t="s">
        <v>6984</v>
      </c>
      <c r="DXJ35" t="s">
        <v>6984</v>
      </c>
      <c r="DXK35" t="s">
        <v>6984</v>
      </c>
      <c r="DXL35" t="s">
        <v>6984</v>
      </c>
      <c r="DXM35" t="s">
        <v>6984</v>
      </c>
      <c r="DXN35" t="s">
        <v>6984</v>
      </c>
      <c r="DXO35" t="s">
        <v>6984</v>
      </c>
      <c r="DXP35" t="s">
        <v>6984</v>
      </c>
      <c r="DXQ35" t="s">
        <v>6984</v>
      </c>
      <c r="DXR35" t="s">
        <v>6984</v>
      </c>
      <c r="DXS35" t="s">
        <v>6984</v>
      </c>
      <c r="DXT35" t="s">
        <v>6984</v>
      </c>
      <c r="DXU35" t="s">
        <v>6984</v>
      </c>
      <c r="DXV35" t="s">
        <v>6984</v>
      </c>
      <c r="DXW35" t="s">
        <v>6984</v>
      </c>
      <c r="DXX35" t="s">
        <v>6984</v>
      </c>
      <c r="DXY35" t="s">
        <v>6984</v>
      </c>
      <c r="DXZ35" t="s">
        <v>6984</v>
      </c>
      <c r="DYA35" t="s">
        <v>6984</v>
      </c>
      <c r="DYB35" t="s">
        <v>6984</v>
      </c>
      <c r="DYC35" t="s">
        <v>6984</v>
      </c>
      <c r="DYD35" t="s">
        <v>6984</v>
      </c>
      <c r="DYE35" t="s">
        <v>6984</v>
      </c>
      <c r="DYF35" t="s">
        <v>6984</v>
      </c>
      <c r="DYG35" t="s">
        <v>6984</v>
      </c>
      <c r="DYH35" t="s">
        <v>6984</v>
      </c>
      <c r="DYI35" t="s">
        <v>6984</v>
      </c>
      <c r="DYJ35" t="s">
        <v>6984</v>
      </c>
      <c r="DYK35" t="s">
        <v>6984</v>
      </c>
      <c r="DYL35" t="s">
        <v>6984</v>
      </c>
      <c r="DYM35" t="s">
        <v>6984</v>
      </c>
      <c r="DYN35" t="s">
        <v>6984</v>
      </c>
      <c r="DYO35" t="s">
        <v>6984</v>
      </c>
      <c r="DYP35" t="s">
        <v>6984</v>
      </c>
      <c r="DYQ35" t="s">
        <v>6984</v>
      </c>
      <c r="DYR35" t="s">
        <v>6984</v>
      </c>
      <c r="DYS35" t="s">
        <v>6984</v>
      </c>
      <c r="DYT35" t="s">
        <v>6984</v>
      </c>
      <c r="DYU35" t="s">
        <v>6984</v>
      </c>
      <c r="DYV35" t="s">
        <v>6984</v>
      </c>
      <c r="DYW35" t="s">
        <v>6984</v>
      </c>
      <c r="DYX35" t="s">
        <v>6984</v>
      </c>
      <c r="DYY35" t="s">
        <v>6984</v>
      </c>
      <c r="DYZ35" t="s">
        <v>6984</v>
      </c>
      <c r="DZA35" t="s">
        <v>6984</v>
      </c>
      <c r="DZB35" t="s">
        <v>6984</v>
      </c>
      <c r="DZC35" t="s">
        <v>6984</v>
      </c>
      <c r="DZD35" t="s">
        <v>6984</v>
      </c>
      <c r="DZE35" t="s">
        <v>6984</v>
      </c>
      <c r="DZF35" t="s">
        <v>6984</v>
      </c>
      <c r="DZG35" t="s">
        <v>6984</v>
      </c>
      <c r="DZH35" t="s">
        <v>6984</v>
      </c>
      <c r="DZI35" t="s">
        <v>6984</v>
      </c>
      <c r="DZJ35" t="s">
        <v>6984</v>
      </c>
      <c r="DZK35" t="s">
        <v>6984</v>
      </c>
      <c r="DZL35" t="s">
        <v>6984</v>
      </c>
      <c r="DZM35" t="s">
        <v>6984</v>
      </c>
      <c r="DZN35" t="s">
        <v>6984</v>
      </c>
      <c r="DZO35" t="s">
        <v>6984</v>
      </c>
      <c r="DZP35" t="s">
        <v>6984</v>
      </c>
      <c r="DZQ35" t="s">
        <v>6984</v>
      </c>
      <c r="DZR35" t="s">
        <v>6984</v>
      </c>
      <c r="DZS35" t="s">
        <v>6984</v>
      </c>
      <c r="DZT35" t="s">
        <v>6984</v>
      </c>
      <c r="DZU35" t="s">
        <v>6984</v>
      </c>
      <c r="DZV35" t="s">
        <v>6984</v>
      </c>
      <c r="DZW35" t="s">
        <v>6984</v>
      </c>
      <c r="DZX35" t="s">
        <v>6984</v>
      </c>
      <c r="DZY35" t="s">
        <v>6984</v>
      </c>
      <c r="DZZ35" t="s">
        <v>6984</v>
      </c>
      <c r="EAA35" t="s">
        <v>6984</v>
      </c>
      <c r="EAB35" t="s">
        <v>6984</v>
      </c>
      <c r="EAC35" t="s">
        <v>6984</v>
      </c>
      <c r="EAD35" t="s">
        <v>6984</v>
      </c>
      <c r="EAE35" t="s">
        <v>6984</v>
      </c>
      <c r="EAF35" t="s">
        <v>6984</v>
      </c>
      <c r="EAG35" t="s">
        <v>6984</v>
      </c>
      <c r="EAH35" t="s">
        <v>6984</v>
      </c>
      <c r="EAI35" t="s">
        <v>6984</v>
      </c>
      <c r="EAJ35" t="s">
        <v>6984</v>
      </c>
      <c r="EAK35" t="s">
        <v>6984</v>
      </c>
      <c r="EAL35" t="s">
        <v>6984</v>
      </c>
      <c r="EAM35" t="s">
        <v>6984</v>
      </c>
      <c r="EAN35" t="s">
        <v>6984</v>
      </c>
      <c r="EAO35" t="s">
        <v>6984</v>
      </c>
      <c r="EAP35" t="s">
        <v>6984</v>
      </c>
      <c r="EAQ35" t="s">
        <v>6984</v>
      </c>
      <c r="EAR35" t="s">
        <v>6984</v>
      </c>
      <c r="EAS35" t="s">
        <v>6984</v>
      </c>
      <c r="EAT35" t="s">
        <v>6984</v>
      </c>
      <c r="EAU35" t="s">
        <v>6984</v>
      </c>
      <c r="EAV35" t="s">
        <v>6984</v>
      </c>
      <c r="EAW35" t="s">
        <v>6984</v>
      </c>
      <c r="EAX35" t="s">
        <v>6984</v>
      </c>
      <c r="EAY35" t="s">
        <v>6984</v>
      </c>
      <c r="EAZ35" t="s">
        <v>6984</v>
      </c>
      <c r="EBA35" t="s">
        <v>6984</v>
      </c>
      <c r="EBB35" t="s">
        <v>6984</v>
      </c>
      <c r="EBC35" t="s">
        <v>6984</v>
      </c>
      <c r="EBD35" t="s">
        <v>6984</v>
      </c>
      <c r="EBE35" t="s">
        <v>6984</v>
      </c>
      <c r="EBF35" t="s">
        <v>6984</v>
      </c>
      <c r="EBG35" t="s">
        <v>6984</v>
      </c>
      <c r="EBH35" t="s">
        <v>6984</v>
      </c>
      <c r="EBI35" t="s">
        <v>6984</v>
      </c>
      <c r="EBJ35" t="s">
        <v>6984</v>
      </c>
      <c r="EBK35" t="s">
        <v>6984</v>
      </c>
      <c r="EBL35" t="s">
        <v>6984</v>
      </c>
      <c r="EBM35" t="s">
        <v>6984</v>
      </c>
      <c r="EBN35" t="s">
        <v>6984</v>
      </c>
      <c r="EBO35" t="s">
        <v>6984</v>
      </c>
      <c r="EBP35" t="s">
        <v>6984</v>
      </c>
      <c r="EBQ35" t="s">
        <v>6984</v>
      </c>
      <c r="EBR35" t="s">
        <v>6984</v>
      </c>
      <c r="EBS35" t="s">
        <v>6984</v>
      </c>
      <c r="EBT35" t="s">
        <v>6984</v>
      </c>
      <c r="EBU35" t="s">
        <v>6984</v>
      </c>
      <c r="EBV35" t="s">
        <v>6984</v>
      </c>
      <c r="EBW35" t="s">
        <v>6984</v>
      </c>
      <c r="EBX35" t="s">
        <v>6984</v>
      </c>
      <c r="EBY35" t="s">
        <v>6984</v>
      </c>
      <c r="EBZ35" t="s">
        <v>6984</v>
      </c>
      <c r="ECA35" t="s">
        <v>6984</v>
      </c>
      <c r="ECB35" t="s">
        <v>6984</v>
      </c>
      <c r="ECC35" t="s">
        <v>6984</v>
      </c>
      <c r="ECD35" t="s">
        <v>6984</v>
      </c>
      <c r="ECE35" t="s">
        <v>6984</v>
      </c>
      <c r="ECF35" t="s">
        <v>6984</v>
      </c>
      <c r="ECG35" t="s">
        <v>6984</v>
      </c>
      <c r="ECH35" t="s">
        <v>6984</v>
      </c>
      <c r="ECI35" t="s">
        <v>6984</v>
      </c>
      <c r="ECJ35" t="s">
        <v>6984</v>
      </c>
      <c r="ECK35" t="s">
        <v>6984</v>
      </c>
      <c r="ECL35" t="s">
        <v>6984</v>
      </c>
      <c r="ECM35" t="s">
        <v>6984</v>
      </c>
      <c r="ECN35" t="s">
        <v>6984</v>
      </c>
      <c r="ECO35" t="s">
        <v>6984</v>
      </c>
      <c r="ECP35" t="s">
        <v>6984</v>
      </c>
      <c r="ECQ35" t="s">
        <v>6984</v>
      </c>
      <c r="ECR35" t="s">
        <v>6984</v>
      </c>
      <c r="ECS35" t="s">
        <v>6984</v>
      </c>
      <c r="ECT35" t="s">
        <v>6984</v>
      </c>
      <c r="ECU35" t="s">
        <v>6984</v>
      </c>
      <c r="ECV35" t="s">
        <v>6984</v>
      </c>
      <c r="ECW35" t="s">
        <v>6984</v>
      </c>
      <c r="ECX35" t="s">
        <v>6984</v>
      </c>
      <c r="ECY35" t="s">
        <v>6984</v>
      </c>
      <c r="ECZ35" t="s">
        <v>6984</v>
      </c>
      <c r="EDA35" t="s">
        <v>6984</v>
      </c>
      <c r="EDB35" t="s">
        <v>6984</v>
      </c>
      <c r="EDC35" t="s">
        <v>6984</v>
      </c>
      <c r="EDD35" t="s">
        <v>6984</v>
      </c>
      <c r="EDE35" t="s">
        <v>6984</v>
      </c>
      <c r="EDF35" t="s">
        <v>6984</v>
      </c>
      <c r="EDG35" t="s">
        <v>6984</v>
      </c>
      <c r="EDH35" t="s">
        <v>6984</v>
      </c>
      <c r="EDI35" t="s">
        <v>6984</v>
      </c>
      <c r="EDJ35" t="s">
        <v>6984</v>
      </c>
      <c r="EDK35" t="s">
        <v>6984</v>
      </c>
      <c r="EDL35" t="s">
        <v>6984</v>
      </c>
      <c r="EDM35" t="s">
        <v>6984</v>
      </c>
      <c r="EDN35" t="s">
        <v>6984</v>
      </c>
      <c r="EDO35" t="s">
        <v>6984</v>
      </c>
      <c r="EDP35" t="s">
        <v>6984</v>
      </c>
      <c r="EDQ35" t="s">
        <v>6984</v>
      </c>
      <c r="EDR35" t="s">
        <v>6984</v>
      </c>
      <c r="EDS35" t="s">
        <v>6984</v>
      </c>
      <c r="EDT35" t="s">
        <v>6984</v>
      </c>
      <c r="EDU35" t="s">
        <v>6984</v>
      </c>
      <c r="EDV35" t="s">
        <v>6984</v>
      </c>
      <c r="EDW35" t="s">
        <v>6984</v>
      </c>
      <c r="EDX35" t="s">
        <v>6984</v>
      </c>
      <c r="EDY35" t="s">
        <v>6984</v>
      </c>
      <c r="EDZ35" t="s">
        <v>6984</v>
      </c>
      <c r="EEA35" t="s">
        <v>6984</v>
      </c>
      <c r="EEB35" t="s">
        <v>6984</v>
      </c>
      <c r="EEC35" t="s">
        <v>6984</v>
      </c>
      <c r="EED35" t="s">
        <v>6984</v>
      </c>
      <c r="EEE35" t="s">
        <v>6984</v>
      </c>
      <c r="EEF35" t="s">
        <v>6984</v>
      </c>
      <c r="EEG35" t="s">
        <v>6984</v>
      </c>
      <c r="EEH35" t="s">
        <v>6984</v>
      </c>
      <c r="EEI35" t="s">
        <v>6984</v>
      </c>
      <c r="EEJ35" t="s">
        <v>6984</v>
      </c>
      <c r="EEK35" t="s">
        <v>6984</v>
      </c>
      <c r="EEL35" t="s">
        <v>6984</v>
      </c>
      <c r="EEM35" t="s">
        <v>6984</v>
      </c>
      <c r="EEN35" t="s">
        <v>6984</v>
      </c>
      <c r="EEO35" t="s">
        <v>6984</v>
      </c>
      <c r="EEP35" t="s">
        <v>6984</v>
      </c>
      <c r="EEQ35" t="s">
        <v>6984</v>
      </c>
      <c r="EER35" t="s">
        <v>6984</v>
      </c>
      <c r="EES35" t="s">
        <v>6984</v>
      </c>
      <c r="EET35" t="s">
        <v>6984</v>
      </c>
      <c r="EEU35" t="s">
        <v>6984</v>
      </c>
      <c r="EEV35" t="s">
        <v>6984</v>
      </c>
      <c r="EEW35" t="s">
        <v>6984</v>
      </c>
      <c r="EEX35" t="s">
        <v>6984</v>
      </c>
      <c r="EEY35" t="s">
        <v>6984</v>
      </c>
      <c r="EEZ35" t="s">
        <v>6984</v>
      </c>
      <c r="EFA35" t="s">
        <v>6984</v>
      </c>
      <c r="EFB35" t="s">
        <v>6984</v>
      </c>
      <c r="EFC35" t="s">
        <v>6984</v>
      </c>
      <c r="EFD35" t="s">
        <v>6984</v>
      </c>
      <c r="EFE35" t="s">
        <v>6984</v>
      </c>
      <c r="EFF35" t="s">
        <v>6984</v>
      </c>
      <c r="EFG35" t="s">
        <v>6984</v>
      </c>
      <c r="EFH35" t="s">
        <v>6984</v>
      </c>
      <c r="EFI35" t="s">
        <v>6984</v>
      </c>
      <c r="EFJ35" t="s">
        <v>6984</v>
      </c>
      <c r="EFK35" t="s">
        <v>6984</v>
      </c>
      <c r="EFL35" t="s">
        <v>6984</v>
      </c>
      <c r="EFM35" t="s">
        <v>6984</v>
      </c>
      <c r="EFN35" t="s">
        <v>6984</v>
      </c>
      <c r="EFO35" t="s">
        <v>6984</v>
      </c>
      <c r="EFP35" t="s">
        <v>6984</v>
      </c>
      <c r="EFQ35" t="s">
        <v>6984</v>
      </c>
      <c r="EFR35" t="s">
        <v>6984</v>
      </c>
      <c r="EFS35" t="s">
        <v>6984</v>
      </c>
      <c r="EFT35" t="s">
        <v>6984</v>
      </c>
      <c r="EFU35" t="s">
        <v>6984</v>
      </c>
      <c r="EFV35" t="s">
        <v>6984</v>
      </c>
      <c r="EFW35" t="s">
        <v>6984</v>
      </c>
      <c r="EFX35" t="s">
        <v>6984</v>
      </c>
      <c r="EFY35" t="s">
        <v>6984</v>
      </c>
      <c r="EFZ35" t="s">
        <v>6984</v>
      </c>
      <c r="EGA35" t="s">
        <v>6984</v>
      </c>
      <c r="EGB35" t="s">
        <v>6984</v>
      </c>
      <c r="EGC35" t="s">
        <v>6984</v>
      </c>
      <c r="EGD35" t="s">
        <v>6984</v>
      </c>
      <c r="EGE35" t="s">
        <v>6984</v>
      </c>
      <c r="EGF35" t="s">
        <v>6984</v>
      </c>
      <c r="EGG35" t="s">
        <v>6984</v>
      </c>
      <c r="EGH35" t="s">
        <v>6984</v>
      </c>
      <c r="EGI35" t="s">
        <v>6984</v>
      </c>
      <c r="EGJ35" t="s">
        <v>6984</v>
      </c>
      <c r="EGK35" t="s">
        <v>6984</v>
      </c>
      <c r="EGL35" t="s">
        <v>6984</v>
      </c>
      <c r="EGM35" t="s">
        <v>6984</v>
      </c>
      <c r="EGN35" t="s">
        <v>6984</v>
      </c>
      <c r="EGO35" t="s">
        <v>6984</v>
      </c>
      <c r="EGP35" t="s">
        <v>6984</v>
      </c>
      <c r="EGQ35" t="s">
        <v>6984</v>
      </c>
      <c r="EGR35" t="s">
        <v>6984</v>
      </c>
      <c r="EGS35" t="s">
        <v>6984</v>
      </c>
      <c r="EGT35" t="s">
        <v>6984</v>
      </c>
      <c r="EGU35" t="s">
        <v>6984</v>
      </c>
      <c r="EGV35" t="s">
        <v>6984</v>
      </c>
      <c r="EGW35" t="s">
        <v>6984</v>
      </c>
      <c r="EGX35" t="s">
        <v>6984</v>
      </c>
      <c r="EGY35" t="s">
        <v>6984</v>
      </c>
      <c r="EGZ35" t="s">
        <v>6984</v>
      </c>
      <c r="EHA35" t="s">
        <v>6984</v>
      </c>
      <c r="EHB35" t="s">
        <v>6984</v>
      </c>
      <c r="EHC35" t="s">
        <v>6984</v>
      </c>
      <c r="EHD35" t="s">
        <v>6984</v>
      </c>
      <c r="EHE35" t="s">
        <v>6984</v>
      </c>
      <c r="EHF35" t="s">
        <v>6984</v>
      </c>
      <c r="EHG35" t="s">
        <v>6984</v>
      </c>
      <c r="EHH35" t="s">
        <v>6984</v>
      </c>
      <c r="EHI35" t="s">
        <v>6984</v>
      </c>
      <c r="EHJ35" t="s">
        <v>6984</v>
      </c>
      <c r="EHK35" t="s">
        <v>6984</v>
      </c>
      <c r="EHL35" t="s">
        <v>6984</v>
      </c>
      <c r="EHM35" t="s">
        <v>6984</v>
      </c>
      <c r="EHN35" t="s">
        <v>6984</v>
      </c>
      <c r="EHO35" t="s">
        <v>6984</v>
      </c>
      <c r="EHP35" t="s">
        <v>6984</v>
      </c>
      <c r="EHQ35" t="s">
        <v>6984</v>
      </c>
      <c r="EHR35" t="s">
        <v>6984</v>
      </c>
      <c r="EHS35" t="s">
        <v>6984</v>
      </c>
      <c r="EHT35" t="s">
        <v>6984</v>
      </c>
      <c r="EHU35" t="s">
        <v>6984</v>
      </c>
      <c r="EHV35" t="s">
        <v>6984</v>
      </c>
      <c r="EHW35" t="s">
        <v>6984</v>
      </c>
      <c r="EHX35" t="s">
        <v>6984</v>
      </c>
      <c r="EHY35" t="s">
        <v>6984</v>
      </c>
      <c r="EHZ35" t="s">
        <v>6984</v>
      </c>
      <c r="EIA35" t="s">
        <v>6984</v>
      </c>
      <c r="EIB35" t="s">
        <v>6984</v>
      </c>
      <c r="EIC35" t="s">
        <v>6984</v>
      </c>
      <c r="EID35" t="s">
        <v>6984</v>
      </c>
      <c r="EIE35" t="s">
        <v>6984</v>
      </c>
      <c r="EIF35" t="s">
        <v>6984</v>
      </c>
      <c r="EIG35" t="s">
        <v>6984</v>
      </c>
      <c r="EIH35" t="s">
        <v>6984</v>
      </c>
      <c r="EII35" t="s">
        <v>6984</v>
      </c>
      <c r="EIJ35" t="s">
        <v>6984</v>
      </c>
      <c r="EIK35" t="s">
        <v>6984</v>
      </c>
      <c r="EIL35" t="s">
        <v>6984</v>
      </c>
      <c r="EIM35" t="s">
        <v>6984</v>
      </c>
      <c r="EIN35" t="s">
        <v>6984</v>
      </c>
      <c r="EIO35" t="s">
        <v>6984</v>
      </c>
      <c r="EIP35" t="s">
        <v>6984</v>
      </c>
      <c r="EIQ35" t="s">
        <v>6984</v>
      </c>
      <c r="EIR35" t="s">
        <v>6984</v>
      </c>
      <c r="EIS35" t="s">
        <v>6984</v>
      </c>
      <c r="EIT35" t="s">
        <v>6984</v>
      </c>
      <c r="EIU35" t="s">
        <v>6984</v>
      </c>
      <c r="EIV35" t="s">
        <v>6984</v>
      </c>
      <c r="EIW35" t="s">
        <v>6984</v>
      </c>
      <c r="EIX35" t="s">
        <v>6984</v>
      </c>
      <c r="EIY35" t="s">
        <v>6984</v>
      </c>
      <c r="EIZ35" t="s">
        <v>6984</v>
      </c>
      <c r="EJA35" t="s">
        <v>6984</v>
      </c>
      <c r="EJB35" t="s">
        <v>6984</v>
      </c>
      <c r="EJC35" t="s">
        <v>6984</v>
      </c>
      <c r="EJD35" t="s">
        <v>6984</v>
      </c>
      <c r="EJE35" t="s">
        <v>6984</v>
      </c>
      <c r="EJF35" t="s">
        <v>6984</v>
      </c>
      <c r="EJG35" t="s">
        <v>6984</v>
      </c>
      <c r="EJH35" t="s">
        <v>6984</v>
      </c>
      <c r="EJI35" t="s">
        <v>6984</v>
      </c>
      <c r="EJJ35" t="s">
        <v>6984</v>
      </c>
      <c r="EJK35" t="s">
        <v>6984</v>
      </c>
      <c r="EJL35" t="s">
        <v>6984</v>
      </c>
      <c r="EJM35" t="s">
        <v>6984</v>
      </c>
      <c r="EJN35" t="s">
        <v>6984</v>
      </c>
      <c r="EJO35" t="s">
        <v>6984</v>
      </c>
      <c r="EJP35" t="s">
        <v>6984</v>
      </c>
      <c r="EJQ35" t="s">
        <v>6984</v>
      </c>
      <c r="EJR35" t="s">
        <v>6984</v>
      </c>
      <c r="EJS35" t="s">
        <v>6984</v>
      </c>
      <c r="EJT35" t="s">
        <v>6984</v>
      </c>
      <c r="EJU35" t="s">
        <v>6984</v>
      </c>
      <c r="EJV35" t="s">
        <v>6984</v>
      </c>
      <c r="EJW35" t="s">
        <v>6984</v>
      </c>
      <c r="EJX35" t="s">
        <v>6984</v>
      </c>
      <c r="EJY35" t="s">
        <v>6984</v>
      </c>
      <c r="EJZ35" t="s">
        <v>6984</v>
      </c>
      <c r="EKA35" t="s">
        <v>6984</v>
      </c>
      <c r="EKB35" t="s">
        <v>6984</v>
      </c>
      <c r="EKC35" t="s">
        <v>6984</v>
      </c>
      <c r="EKD35" t="s">
        <v>6984</v>
      </c>
      <c r="EKE35" t="s">
        <v>6984</v>
      </c>
      <c r="EKF35" t="s">
        <v>6984</v>
      </c>
      <c r="EKG35" t="s">
        <v>6984</v>
      </c>
      <c r="EKH35" t="s">
        <v>6984</v>
      </c>
      <c r="EKI35" t="s">
        <v>6984</v>
      </c>
      <c r="EKJ35" t="s">
        <v>6984</v>
      </c>
      <c r="EKK35" t="s">
        <v>6984</v>
      </c>
      <c r="EKL35" t="s">
        <v>6984</v>
      </c>
      <c r="EKM35" t="s">
        <v>6984</v>
      </c>
      <c r="EKN35" t="s">
        <v>6984</v>
      </c>
      <c r="EKO35" t="s">
        <v>6984</v>
      </c>
      <c r="EKP35" t="s">
        <v>6984</v>
      </c>
      <c r="EKQ35" t="s">
        <v>6984</v>
      </c>
      <c r="EKR35" t="s">
        <v>6984</v>
      </c>
      <c r="EKS35" t="s">
        <v>6984</v>
      </c>
      <c r="EKT35" t="s">
        <v>6984</v>
      </c>
      <c r="EKU35" t="s">
        <v>6984</v>
      </c>
      <c r="EKV35" t="s">
        <v>6984</v>
      </c>
      <c r="EKW35" t="s">
        <v>6984</v>
      </c>
      <c r="EKX35" t="s">
        <v>6984</v>
      </c>
      <c r="EKY35" t="s">
        <v>6984</v>
      </c>
      <c r="EKZ35" t="s">
        <v>6984</v>
      </c>
      <c r="ELA35" t="s">
        <v>6984</v>
      </c>
      <c r="ELB35" t="s">
        <v>6984</v>
      </c>
      <c r="ELC35" t="s">
        <v>6984</v>
      </c>
      <c r="ELD35" t="s">
        <v>6984</v>
      </c>
      <c r="ELE35" t="s">
        <v>6984</v>
      </c>
      <c r="ELF35" t="s">
        <v>6984</v>
      </c>
      <c r="ELG35" t="s">
        <v>6984</v>
      </c>
      <c r="ELH35" t="s">
        <v>6984</v>
      </c>
      <c r="ELI35" t="s">
        <v>6984</v>
      </c>
      <c r="ELJ35" t="s">
        <v>6984</v>
      </c>
      <c r="ELK35" t="s">
        <v>6984</v>
      </c>
      <c r="ELL35" t="s">
        <v>6984</v>
      </c>
      <c r="ELM35" t="s">
        <v>6984</v>
      </c>
      <c r="ELN35" t="s">
        <v>6984</v>
      </c>
      <c r="ELO35" t="s">
        <v>6984</v>
      </c>
      <c r="ELP35" t="s">
        <v>6984</v>
      </c>
      <c r="ELQ35" t="s">
        <v>6984</v>
      </c>
      <c r="ELR35" t="s">
        <v>6984</v>
      </c>
      <c r="ELS35" t="s">
        <v>6984</v>
      </c>
      <c r="ELT35" t="s">
        <v>6984</v>
      </c>
      <c r="ELU35" t="s">
        <v>6984</v>
      </c>
      <c r="ELV35" t="s">
        <v>6984</v>
      </c>
      <c r="ELW35" t="s">
        <v>6984</v>
      </c>
      <c r="ELX35" t="s">
        <v>6984</v>
      </c>
      <c r="ELY35" t="s">
        <v>6984</v>
      </c>
      <c r="ELZ35" t="s">
        <v>6984</v>
      </c>
      <c r="EMA35" t="s">
        <v>6984</v>
      </c>
      <c r="EMB35" t="s">
        <v>6984</v>
      </c>
      <c r="EMC35" t="s">
        <v>6984</v>
      </c>
      <c r="EMD35" t="s">
        <v>6984</v>
      </c>
      <c r="EME35" t="s">
        <v>6984</v>
      </c>
      <c r="EMF35" t="s">
        <v>6984</v>
      </c>
      <c r="EMG35" t="s">
        <v>6984</v>
      </c>
      <c r="EMH35" t="s">
        <v>6984</v>
      </c>
      <c r="EMI35" t="s">
        <v>6984</v>
      </c>
      <c r="EMJ35" t="s">
        <v>6984</v>
      </c>
      <c r="EMK35" t="s">
        <v>6984</v>
      </c>
      <c r="EML35" t="s">
        <v>6984</v>
      </c>
      <c r="EMM35" t="s">
        <v>6984</v>
      </c>
      <c r="EMN35" t="s">
        <v>6984</v>
      </c>
      <c r="EMO35" t="s">
        <v>6984</v>
      </c>
      <c r="EMP35" t="s">
        <v>6984</v>
      </c>
      <c r="EMQ35" t="s">
        <v>6984</v>
      </c>
      <c r="EMR35" t="s">
        <v>6984</v>
      </c>
      <c r="EMS35" t="s">
        <v>6984</v>
      </c>
      <c r="EMT35" t="s">
        <v>6984</v>
      </c>
      <c r="EMU35" t="s">
        <v>6984</v>
      </c>
      <c r="EMV35" t="s">
        <v>6984</v>
      </c>
      <c r="EMW35" t="s">
        <v>6984</v>
      </c>
      <c r="EMX35" t="s">
        <v>6984</v>
      </c>
      <c r="EMY35" t="s">
        <v>6984</v>
      </c>
      <c r="EMZ35" t="s">
        <v>6984</v>
      </c>
      <c r="ENA35" t="s">
        <v>6984</v>
      </c>
      <c r="ENB35" t="s">
        <v>6984</v>
      </c>
      <c r="ENC35" t="s">
        <v>6984</v>
      </c>
      <c r="END35" t="s">
        <v>6984</v>
      </c>
      <c r="ENE35" t="s">
        <v>6984</v>
      </c>
      <c r="ENF35" t="s">
        <v>6984</v>
      </c>
      <c r="ENG35" t="s">
        <v>6984</v>
      </c>
      <c r="ENH35" t="s">
        <v>6984</v>
      </c>
      <c r="ENI35" t="s">
        <v>6984</v>
      </c>
      <c r="ENJ35" t="s">
        <v>6984</v>
      </c>
      <c r="ENK35" t="s">
        <v>6984</v>
      </c>
      <c r="ENL35" t="s">
        <v>6984</v>
      </c>
      <c r="ENM35" t="s">
        <v>6984</v>
      </c>
      <c r="ENN35" t="s">
        <v>6984</v>
      </c>
      <c r="ENO35" t="s">
        <v>6984</v>
      </c>
      <c r="ENP35" t="s">
        <v>6984</v>
      </c>
      <c r="ENQ35" t="s">
        <v>6984</v>
      </c>
      <c r="ENR35" t="s">
        <v>6984</v>
      </c>
      <c r="ENS35" t="s">
        <v>6984</v>
      </c>
      <c r="ENT35" t="s">
        <v>6984</v>
      </c>
      <c r="ENU35" t="s">
        <v>6984</v>
      </c>
      <c r="ENV35" t="s">
        <v>6984</v>
      </c>
      <c r="ENW35" t="s">
        <v>6984</v>
      </c>
      <c r="ENX35" t="s">
        <v>6984</v>
      </c>
      <c r="ENY35" t="s">
        <v>6984</v>
      </c>
      <c r="ENZ35" t="s">
        <v>6984</v>
      </c>
      <c r="EOA35" t="s">
        <v>6984</v>
      </c>
      <c r="EOB35" t="s">
        <v>6984</v>
      </c>
      <c r="EOC35" t="s">
        <v>6984</v>
      </c>
      <c r="EOD35" t="s">
        <v>6984</v>
      </c>
      <c r="EOE35" t="s">
        <v>6984</v>
      </c>
      <c r="EOF35" t="s">
        <v>6984</v>
      </c>
      <c r="EOG35" t="s">
        <v>6984</v>
      </c>
      <c r="EOH35" t="s">
        <v>6984</v>
      </c>
      <c r="EOI35" t="s">
        <v>6984</v>
      </c>
      <c r="EOJ35" t="s">
        <v>6984</v>
      </c>
      <c r="EOK35" t="s">
        <v>6984</v>
      </c>
      <c r="EOL35" t="s">
        <v>6984</v>
      </c>
      <c r="EOM35" t="s">
        <v>6984</v>
      </c>
      <c r="EON35" t="s">
        <v>6984</v>
      </c>
      <c r="EOO35" t="s">
        <v>6984</v>
      </c>
      <c r="EOP35" t="s">
        <v>6984</v>
      </c>
      <c r="EOQ35" t="s">
        <v>6984</v>
      </c>
      <c r="EOR35" t="s">
        <v>6984</v>
      </c>
      <c r="EOS35" t="s">
        <v>6984</v>
      </c>
      <c r="EOT35" t="s">
        <v>6984</v>
      </c>
      <c r="EOU35" t="s">
        <v>6984</v>
      </c>
      <c r="EOV35" t="s">
        <v>6984</v>
      </c>
      <c r="EOW35" t="s">
        <v>6984</v>
      </c>
      <c r="EOX35" t="s">
        <v>6984</v>
      </c>
      <c r="EOY35" t="s">
        <v>6984</v>
      </c>
      <c r="EOZ35" t="s">
        <v>6984</v>
      </c>
      <c r="EPA35" t="s">
        <v>6984</v>
      </c>
      <c r="EPB35" t="s">
        <v>6984</v>
      </c>
      <c r="EPC35" t="s">
        <v>6984</v>
      </c>
      <c r="EPD35" t="s">
        <v>6984</v>
      </c>
      <c r="EPE35" t="s">
        <v>6984</v>
      </c>
      <c r="EPF35" t="s">
        <v>6984</v>
      </c>
      <c r="EPG35" t="s">
        <v>6984</v>
      </c>
      <c r="EPH35" t="s">
        <v>6984</v>
      </c>
      <c r="EPI35" t="s">
        <v>6984</v>
      </c>
      <c r="EPJ35" t="s">
        <v>6984</v>
      </c>
      <c r="EPK35" t="s">
        <v>6984</v>
      </c>
      <c r="EPL35" t="s">
        <v>6984</v>
      </c>
      <c r="EPM35" t="s">
        <v>6984</v>
      </c>
      <c r="EPN35" t="s">
        <v>6984</v>
      </c>
      <c r="EPO35" t="s">
        <v>6984</v>
      </c>
      <c r="EPP35" t="s">
        <v>6984</v>
      </c>
      <c r="EPQ35" t="s">
        <v>6984</v>
      </c>
      <c r="EPR35" t="s">
        <v>6984</v>
      </c>
      <c r="EPS35" t="s">
        <v>6984</v>
      </c>
      <c r="EPT35" t="s">
        <v>6984</v>
      </c>
      <c r="EPU35" t="s">
        <v>6984</v>
      </c>
      <c r="EPV35" t="s">
        <v>6984</v>
      </c>
      <c r="EPW35" t="s">
        <v>6984</v>
      </c>
      <c r="EPX35" t="s">
        <v>6984</v>
      </c>
      <c r="EPY35" t="s">
        <v>6984</v>
      </c>
      <c r="EPZ35" t="s">
        <v>6984</v>
      </c>
      <c r="EQA35" t="s">
        <v>6984</v>
      </c>
      <c r="EQB35" t="s">
        <v>6984</v>
      </c>
      <c r="EQC35" t="s">
        <v>6984</v>
      </c>
      <c r="EQD35" t="s">
        <v>6984</v>
      </c>
      <c r="EQE35" t="s">
        <v>6984</v>
      </c>
      <c r="EQF35" t="s">
        <v>6984</v>
      </c>
      <c r="EQG35" t="s">
        <v>6984</v>
      </c>
      <c r="EQH35" t="s">
        <v>6984</v>
      </c>
      <c r="EQI35" t="s">
        <v>6984</v>
      </c>
      <c r="EQJ35" t="s">
        <v>6984</v>
      </c>
      <c r="EQK35" t="s">
        <v>6984</v>
      </c>
      <c r="EQL35" t="s">
        <v>6984</v>
      </c>
      <c r="EQM35" t="s">
        <v>6984</v>
      </c>
      <c r="EQN35" t="s">
        <v>6984</v>
      </c>
      <c r="EQO35" t="s">
        <v>6984</v>
      </c>
      <c r="EQP35" t="s">
        <v>6984</v>
      </c>
      <c r="EQQ35" t="s">
        <v>6984</v>
      </c>
      <c r="EQR35" t="s">
        <v>6984</v>
      </c>
      <c r="EQS35" t="s">
        <v>6984</v>
      </c>
      <c r="EQT35" t="s">
        <v>6984</v>
      </c>
      <c r="EQU35" t="s">
        <v>6984</v>
      </c>
      <c r="EQV35" t="s">
        <v>6984</v>
      </c>
      <c r="EQW35" t="s">
        <v>6984</v>
      </c>
      <c r="EQX35" t="s">
        <v>6984</v>
      </c>
      <c r="EQY35" t="s">
        <v>6984</v>
      </c>
      <c r="EQZ35" t="s">
        <v>6984</v>
      </c>
      <c r="ERA35" t="s">
        <v>6984</v>
      </c>
      <c r="ERB35" t="s">
        <v>6984</v>
      </c>
      <c r="ERC35" t="s">
        <v>6984</v>
      </c>
      <c r="ERD35" t="s">
        <v>6984</v>
      </c>
      <c r="ERE35" t="s">
        <v>6984</v>
      </c>
      <c r="ERF35" t="s">
        <v>6984</v>
      </c>
      <c r="ERG35" t="s">
        <v>6984</v>
      </c>
      <c r="ERH35" t="s">
        <v>6984</v>
      </c>
      <c r="ERI35" t="s">
        <v>6984</v>
      </c>
      <c r="ERJ35" t="s">
        <v>6984</v>
      </c>
      <c r="ERK35" t="s">
        <v>6984</v>
      </c>
      <c r="ERL35" t="s">
        <v>6984</v>
      </c>
      <c r="ERM35" t="s">
        <v>6984</v>
      </c>
      <c r="ERN35" t="s">
        <v>6984</v>
      </c>
      <c r="ERO35" t="s">
        <v>6984</v>
      </c>
      <c r="ERP35" t="s">
        <v>6984</v>
      </c>
      <c r="ERQ35" t="s">
        <v>6984</v>
      </c>
      <c r="ERR35" t="s">
        <v>6984</v>
      </c>
      <c r="ERS35" t="s">
        <v>6984</v>
      </c>
      <c r="ERT35" t="s">
        <v>6984</v>
      </c>
      <c r="ERU35" t="s">
        <v>6984</v>
      </c>
      <c r="ERV35" t="s">
        <v>6984</v>
      </c>
      <c r="ERW35" t="s">
        <v>6984</v>
      </c>
      <c r="ERX35" t="s">
        <v>6984</v>
      </c>
      <c r="ERY35" t="s">
        <v>6984</v>
      </c>
      <c r="ERZ35" t="s">
        <v>6984</v>
      </c>
      <c r="ESA35" t="s">
        <v>6984</v>
      </c>
      <c r="ESB35" t="s">
        <v>6984</v>
      </c>
      <c r="ESC35" t="s">
        <v>6984</v>
      </c>
      <c r="ESD35" t="s">
        <v>6984</v>
      </c>
      <c r="ESE35" t="s">
        <v>6984</v>
      </c>
      <c r="ESF35" t="s">
        <v>6984</v>
      </c>
      <c r="ESG35" t="s">
        <v>6984</v>
      </c>
      <c r="ESH35" t="s">
        <v>6984</v>
      </c>
      <c r="ESI35" t="s">
        <v>6984</v>
      </c>
      <c r="ESJ35" t="s">
        <v>6984</v>
      </c>
      <c r="ESK35" t="s">
        <v>6984</v>
      </c>
      <c r="ESL35" t="s">
        <v>6984</v>
      </c>
      <c r="ESM35" t="s">
        <v>6984</v>
      </c>
      <c r="ESN35" t="s">
        <v>6984</v>
      </c>
      <c r="ESO35" t="s">
        <v>6984</v>
      </c>
      <c r="ESP35" t="s">
        <v>6984</v>
      </c>
      <c r="ESQ35" t="s">
        <v>6984</v>
      </c>
      <c r="ESR35" t="s">
        <v>6984</v>
      </c>
      <c r="ESS35" t="s">
        <v>6984</v>
      </c>
      <c r="EST35" t="s">
        <v>6984</v>
      </c>
      <c r="ESU35" t="s">
        <v>6984</v>
      </c>
      <c r="ESV35" t="s">
        <v>6984</v>
      </c>
      <c r="ESW35" t="s">
        <v>6984</v>
      </c>
      <c r="ESX35" t="s">
        <v>6984</v>
      </c>
      <c r="ESY35" t="s">
        <v>6984</v>
      </c>
      <c r="ESZ35" t="s">
        <v>6984</v>
      </c>
      <c r="ETA35" t="s">
        <v>6984</v>
      </c>
      <c r="ETB35" t="s">
        <v>6984</v>
      </c>
      <c r="ETC35" t="s">
        <v>6984</v>
      </c>
      <c r="ETD35" t="s">
        <v>6984</v>
      </c>
      <c r="ETE35" t="s">
        <v>6984</v>
      </c>
      <c r="ETF35" t="s">
        <v>6984</v>
      </c>
      <c r="ETG35" t="s">
        <v>6984</v>
      </c>
      <c r="ETH35" t="s">
        <v>6984</v>
      </c>
      <c r="ETI35" t="s">
        <v>6984</v>
      </c>
      <c r="ETJ35" t="s">
        <v>6984</v>
      </c>
      <c r="ETK35" t="s">
        <v>6984</v>
      </c>
      <c r="ETL35" t="s">
        <v>6984</v>
      </c>
      <c r="ETM35" t="s">
        <v>6984</v>
      </c>
      <c r="ETN35" t="s">
        <v>6984</v>
      </c>
      <c r="ETO35" t="s">
        <v>6984</v>
      </c>
      <c r="ETP35" t="s">
        <v>6984</v>
      </c>
      <c r="ETQ35" t="s">
        <v>6984</v>
      </c>
      <c r="ETR35" t="s">
        <v>6984</v>
      </c>
      <c r="ETS35" t="s">
        <v>6984</v>
      </c>
      <c r="ETT35" t="s">
        <v>6984</v>
      </c>
      <c r="ETU35" t="s">
        <v>6984</v>
      </c>
      <c r="ETV35" t="s">
        <v>6984</v>
      </c>
      <c r="ETW35" t="s">
        <v>6984</v>
      </c>
      <c r="ETX35" t="s">
        <v>6984</v>
      </c>
      <c r="ETY35" t="s">
        <v>6984</v>
      </c>
      <c r="ETZ35" t="s">
        <v>6984</v>
      </c>
      <c r="EUA35" t="s">
        <v>6984</v>
      </c>
      <c r="EUB35" t="s">
        <v>6984</v>
      </c>
      <c r="EUC35" t="s">
        <v>6984</v>
      </c>
      <c r="EUD35" t="s">
        <v>6984</v>
      </c>
      <c r="EUE35" t="s">
        <v>6984</v>
      </c>
      <c r="EUF35" t="s">
        <v>6984</v>
      </c>
      <c r="EUG35" t="s">
        <v>6984</v>
      </c>
      <c r="EUH35" t="s">
        <v>6984</v>
      </c>
      <c r="EUI35" t="s">
        <v>6984</v>
      </c>
      <c r="EUJ35" t="s">
        <v>6984</v>
      </c>
      <c r="EUK35" t="s">
        <v>6984</v>
      </c>
      <c r="EUL35" t="s">
        <v>6984</v>
      </c>
      <c r="EUM35" t="s">
        <v>6984</v>
      </c>
      <c r="EUN35" t="s">
        <v>6984</v>
      </c>
      <c r="EUO35" t="s">
        <v>6984</v>
      </c>
      <c r="EUP35" t="s">
        <v>6984</v>
      </c>
      <c r="EUQ35" t="s">
        <v>6984</v>
      </c>
      <c r="EUR35" t="s">
        <v>6984</v>
      </c>
      <c r="EUS35" t="s">
        <v>6984</v>
      </c>
      <c r="EUT35" t="s">
        <v>6984</v>
      </c>
      <c r="EUU35" t="s">
        <v>6984</v>
      </c>
      <c r="EUV35" t="s">
        <v>6984</v>
      </c>
      <c r="EUW35" t="s">
        <v>6984</v>
      </c>
      <c r="EUX35" t="s">
        <v>6984</v>
      </c>
      <c r="EUY35" t="s">
        <v>6984</v>
      </c>
      <c r="EUZ35" t="s">
        <v>6984</v>
      </c>
      <c r="EVA35" t="s">
        <v>6984</v>
      </c>
      <c r="EVB35" t="s">
        <v>6984</v>
      </c>
      <c r="EVC35" t="s">
        <v>6984</v>
      </c>
      <c r="EVD35" t="s">
        <v>6984</v>
      </c>
      <c r="EVE35" t="s">
        <v>6984</v>
      </c>
      <c r="EVF35" t="s">
        <v>6984</v>
      </c>
      <c r="EVG35" t="s">
        <v>6984</v>
      </c>
      <c r="EVH35" t="s">
        <v>6984</v>
      </c>
      <c r="EVI35" t="s">
        <v>6984</v>
      </c>
      <c r="EVJ35" t="s">
        <v>6984</v>
      </c>
      <c r="EVK35" t="s">
        <v>6984</v>
      </c>
      <c r="EVL35" t="s">
        <v>6984</v>
      </c>
      <c r="EVM35" t="s">
        <v>6984</v>
      </c>
      <c r="EVN35" t="s">
        <v>6984</v>
      </c>
      <c r="EVO35" t="s">
        <v>6984</v>
      </c>
      <c r="EVP35" t="s">
        <v>6984</v>
      </c>
      <c r="EVQ35" t="s">
        <v>6984</v>
      </c>
      <c r="EVR35" t="s">
        <v>6984</v>
      </c>
      <c r="EVS35" t="s">
        <v>6984</v>
      </c>
      <c r="EVT35" t="s">
        <v>6984</v>
      </c>
      <c r="EVU35" t="s">
        <v>6984</v>
      </c>
      <c r="EVV35" t="s">
        <v>6984</v>
      </c>
      <c r="EVW35" t="s">
        <v>6984</v>
      </c>
      <c r="EVX35" t="s">
        <v>6984</v>
      </c>
      <c r="EVY35" t="s">
        <v>6984</v>
      </c>
      <c r="EVZ35" t="s">
        <v>6984</v>
      </c>
      <c r="EWA35" t="s">
        <v>6984</v>
      </c>
      <c r="EWB35" t="s">
        <v>6984</v>
      </c>
      <c r="EWC35" t="s">
        <v>6984</v>
      </c>
      <c r="EWD35" t="s">
        <v>6984</v>
      </c>
      <c r="EWE35" t="s">
        <v>6984</v>
      </c>
      <c r="EWF35" t="s">
        <v>6984</v>
      </c>
      <c r="EWG35" t="s">
        <v>6984</v>
      </c>
      <c r="EWH35" t="s">
        <v>6984</v>
      </c>
      <c r="EWI35" t="s">
        <v>6984</v>
      </c>
      <c r="EWJ35" t="s">
        <v>6984</v>
      </c>
      <c r="EWK35" t="s">
        <v>6984</v>
      </c>
      <c r="EWL35" t="s">
        <v>6984</v>
      </c>
      <c r="EWM35" t="s">
        <v>6984</v>
      </c>
      <c r="EWN35" t="s">
        <v>6984</v>
      </c>
      <c r="EWO35" t="s">
        <v>6984</v>
      </c>
      <c r="EWP35" t="s">
        <v>6984</v>
      </c>
      <c r="EWQ35" t="s">
        <v>6984</v>
      </c>
      <c r="EWR35" t="s">
        <v>6984</v>
      </c>
      <c r="EWS35" t="s">
        <v>6984</v>
      </c>
      <c r="EWT35" t="s">
        <v>6984</v>
      </c>
      <c r="EWU35" t="s">
        <v>6984</v>
      </c>
      <c r="EWV35" t="s">
        <v>6984</v>
      </c>
      <c r="EWW35" t="s">
        <v>6984</v>
      </c>
      <c r="EWX35" t="s">
        <v>6984</v>
      </c>
      <c r="EWY35" t="s">
        <v>6984</v>
      </c>
      <c r="EWZ35" t="s">
        <v>6984</v>
      </c>
      <c r="EXA35" t="s">
        <v>6984</v>
      </c>
      <c r="EXB35" t="s">
        <v>6984</v>
      </c>
      <c r="EXC35" t="s">
        <v>6984</v>
      </c>
      <c r="EXD35" t="s">
        <v>6984</v>
      </c>
      <c r="EXE35" t="s">
        <v>6984</v>
      </c>
      <c r="EXF35" t="s">
        <v>6984</v>
      </c>
      <c r="EXG35" t="s">
        <v>6984</v>
      </c>
      <c r="EXH35" t="s">
        <v>6984</v>
      </c>
      <c r="EXI35" t="s">
        <v>6984</v>
      </c>
      <c r="EXJ35" t="s">
        <v>6984</v>
      </c>
      <c r="EXK35" t="s">
        <v>6984</v>
      </c>
      <c r="EXL35" t="s">
        <v>6984</v>
      </c>
      <c r="EXM35" t="s">
        <v>6984</v>
      </c>
      <c r="EXN35" t="s">
        <v>6984</v>
      </c>
      <c r="EXO35" t="s">
        <v>6984</v>
      </c>
      <c r="EXP35" t="s">
        <v>6984</v>
      </c>
      <c r="EXQ35" t="s">
        <v>6984</v>
      </c>
      <c r="EXR35" t="s">
        <v>6984</v>
      </c>
      <c r="EXS35" t="s">
        <v>6984</v>
      </c>
      <c r="EXT35" t="s">
        <v>6984</v>
      </c>
      <c r="EXU35" t="s">
        <v>6984</v>
      </c>
      <c r="EXV35" t="s">
        <v>6984</v>
      </c>
      <c r="EXW35" t="s">
        <v>6984</v>
      </c>
      <c r="EXX35" t="s">
        <v>6984</v>
      </c>
      <c r="EXY35" t="s">
        <v>6984</v>
      </c>
      <c r="EXZ35" t="s">
        <v>6984</v>
      </c>
      <c r="EYA35" t="s">
        <v>6984</v>
      </c>
      <c r="EYB35" t="s">
        <v>6984</v>
      </c>
      <c r="EYC35" t="s">
        <v>6984</v>
      </c>
      <c r="EYD35" t="s">
        <v>6984</v>
      </c>
      <c r="EYE35" t="s">
        <v>6984</v>
      </c>
      <c r="EYF35" t="s">
        <v>6984</v>
      </c>
      <c r="EYG35" t="s">
        <v>6984</v>
      </c>
      <c r="EYH35" t="s">
        <v>6984</v>
      </c>
      <c r="EYI35" t="s">
        <v>6984</v>
      </c>
      <c r="EYJ35" t="s">
        <v>6984</v>
      </c>
      <c r="EYK35" t="s">
        <v>6984</v>
      </c>
      <c r="EYL35" t="s">
        <v>6984</v>
      </c>
      <c r="EYM35" t="s">
        <v>6984</v>
      </c>
      <c r="EYN35" t="s">
        <v>6984</v>
      </c>
      <c r="EYO35" t="s">
        <v>6984</v>
      </c>
      <c r="EYP35" t="s">
        <v>6984</v>
      </c>
      <c r="EYQ35" t="s">
        <v>6984</v>
      </c>
      <c r="EYR35" t="s">
        <v>6984</v>
      </c>
      <c r="EYS35" t="s">
        <v>6984</v>
      </c>
      <c r="EYT35" t="s">
        <v>6984</v>
      </c>
      <c r="EYU35" t="s">
        <v>6984</v>
      </c>
      <c r="EYV35" t="s">
        <v>6984</v>
      </c>
      <c r="EYW35" t="s">
        <v>6984</v>
      </c>
      <c r="EYX35" t="s">
        <v>6984</v>
      </c>
      <c r="EYY35" t="s">
        <v>6984</v>
      </c>
      <c r="EYZ35" t="s">
        <v>6984</v>
      </c>
      <c r="EZA35" t="s">
        <v>6984</v>
      </c>
      <c r="EZB35" t="s">
        <v>6984</v>
      </c>
      <c r="EZC35" t="s">
        <v>6984</v>
      </c>
      <c r="EZD35" t="s">
        <v>6984</v>
      </c>
      <c r="EZE35" t="s">
        <v>6984</v>
      </c>
      <c r="EZF35" t="s">
        <v>6984</v>
      </c>
      <c r="EZG35" t="s">
        <v>6984</v>
      </c>
      <c r="EZH35" t="s">
        <v>6984</v>
      </c>
      <c r="EZI35" t="s">
        <v>6984</v>
      </c>
      <c r="EZJ35" t="s">
        <v>6984</v>
      </c>
      <c r="EZK35" t="s">
        <v>6984</v>
      </c>
      <c r="EZL35" t="s">
        <v>6984</v>
      </c>
      <c r="EZM35" t="s">
        <v>6984</v>
      </c>
      <c r="EZN35" t="s">
        <v>6984</v>
      </c>
      <c r="EZO35" t="s">
        <v>6984</v>
      </c>
      <c r="EZP35" t="s">
        <v>6984</v>
      </c>
      <c r="EZQ35" t="s">
        <v>6984</v>
      </c>
      <c r="EZR35" t="s">
        <v>6984</v>
      </c>
      <c r="EZS35" t="s">
        <v>6984</v>
      </c>
      <c r="EZT35" t="s">
        <v>6984</v>
      </c>
      <c r="EZU35" t="s">
        <v>6984</v>
      </c>
      <c r="EZV35" t="s">
        <v>6984</v>
      </c>
      <c r="EZW35" t="s">
        <v>6984</v>
      </c>
      <c r="EZX35" t="s">
        <v>6984</v>
      </c>
      <c r="EZY35" t="s">
        <v>6984</v>
      </c>
      <c r="EZZ35" t="s">
        <v>6984</v>
      </c>
      <c r="FAA35" t="s">
        <v>6984</v>
      </c>
      <c r="FAB35" t="s">
        <v>6984</v>
      </c>
      <c r="FAC35" t="s">
        <v>6984</v>
      </c>
      <c r="FAD35" t="s">
        <v>6984</v>
      </c>
      <c r="FAE35" t="s">
        <v>6984</v>
      </c>
      <c r="FAF35" t="s">
        <v>6984</v>
      </c>
      <c r="FAG35" t="s">
        <v>6984</v>
      </c>
      <c r="FAH35" t="s">
        <v>6984</v>
      </c>
      <c r="FAI35" t="s">
        <v>6984</v>
      </c>
      <c r="FAJ35" t="s">
        <v>6984</v>
      </c>
      <c r="FAK35" t="s">
        <v>6984</v>
      </c>
      <c r="FAL35" t="s">
        <v>6984</v>
      </c>
      <c r="FAM35" t="s">
        <v>6984</v>
      </c>
      <c r="FAN35" t="s">
        <v>6984</v>
      </c>
      <c r="FAO35" t="s">
        <v>6984</v>
      </c>
      <c r="FAP35" t="s">
        <v>6984</v>
      </c>
      <c r="FAQ35" t="s">
        <v>6984</v>
      </c>
      <c r="FAR35" t="s">
        <v>6984</v>
      </c>
      <c r="FAS35" t="s">
        <v>6984</v>
      </c>
      <c r="FAT35" t="s">
        <v>6984</v>
      </c>
      <c r="FAU35" t="s">
        <v>6984</v>
      </c>
      <c r="FAV35" t="s">
        <v>6984</v>
      </c>
      <c r="FAW35" t="s">
        <v>6984</v>
      </c>
      <c r="FAX35" t="s">
        <v>6984</v>
      </c>
      <c r="FAY35" t="s">
        <v>6984</v>
      </c>
      <c r="FAZ35" t="s">
        <v>6984</v>
      </c>
      <c r="FBA35" t="s">
        <v>6984</v>
      </c>
      <c r="FBB35" t="s">
        <v>6984</v>
      </c>
      <c r="FBC35" t="s">
        <v>6984</v>
      </c>
      <c r="FBD35" t="s">
        <v>6984</v>
      </c>
      <c r="FBE35" t="s">
        <v>6984</v>
      </c>
      <c r="FBF35" t="s">
        <v>6984</v>
      </c>
      <c r="FBG35" t="s">
        <v>6984</v>
      </c>
      <c r="FBH35" t="s">
        <v>6984</v>
      </c>
      <c r="FBI35" t="s">
        <v>6984</v>
      </c>
      <c r="FBJ35" t="s">
        <v>6984</v>
      </c>
      <c r="FBK35" t="s">
        <v>6984</v>
      </c>
      <c r="FBL35" t="s">
        <v>6984</v>
      </c>
      <c r="FBM35" t="s">
        <v>6984</v>
      </c>
      <c r="FBN35" t="s">
        <v>6984</v>
      </c>
      <c r="FBO35" t="s">
        <v>6984</v>
      </c>
      <c r="FBP35" t="s">
        <v>6984</v>
      </c>
      <c r="FBQ35" t="s">
        <v>6984</v>
      </c>
      <c r="FBR35" t="s">
        <v>6984</v>
      </c>
      <c r="FBS35" t="s">
        <v>6984</v>
      </c>
      <c r="FBT35" t="s">
        <v>6984</v>
      </c>
      <c r="FBU35" t="s">
        <v>6984</v>
      </c>
      <c r="FBV35" t="s">
        <v>6984</v>
      </c>
      <c r="FBW35" t="s">
        <v>6984</v>
      </c>
      <c r="FBX35" t="s">
        <v>6984</v>
      </c>
      <c r="FBY35" t="s">
        <v>6984</v>
      </c>
      <c r="FBZ35" t="s">
        <v>6984</v>
      </c>
      <c r="FCA35" t="s">
        <v>6984</v>
      </c>
      <c r="FCB35" t="s">
        <v>6984</v>
      </c>
      <c r="FCC35" t="s">
        <v>6984</v>
      </c>
      <c r="FCD35" t="s">
        <v>6984</v>
      </c>
      <c r="FCE35" t="s">
        <v>6984</v>
      </c>
      <c r="FCF35" t="s">
        <v>6984</v>
      </c>
      <c r="FCG35" t="s">
        <v>6984</v>
      </c>
      <c r="FCH35" t="s">
        <v>6984</v>
      </c>
      <c r="FCI35" t="s">
        <v>6984</v>
      </c>
      <c r="FCJ35" t="s">
        <v>6984</v>
      </c>
      <c r="FCK35" t="s">
        <v>6984</v>
      </c>
      <c r="FCL35" t="s">
        <v>6984</v>
      </c>
      <c r="FCM35" t="s">
        <v>6984</v>
      </c>
      <c r="FCN35" t="s">
        <v>6984</v>
      </c>
      <c r="FCO35" t="s">
        <v>6984</v>
      </c>
      <c r="FCP35" t="s">
        <v>6984</v>
      </c>
      <c r="FCQ35" t="s">
        <v>6984</v>
      </c>
      <c r="FCR35" t="s">
        <v>6984</v>
      </c>
      <c r="FCS35" t="s">
        <v>6984</v>
      </c>
      <c r="FCT35" t="s">
        <v>6984</v>
      </c>
      <c r="FCU35" t="s">
        <v>6984</v>
      </c>
      <c r="FCV35" t="s">
        <v>6984</v>
      </c>
      <c r="FCW35" t="s">
        <v>6984</v>
      </c>
      <c r="FCX35" t="s">
        <v>6984</v>
      </c>
      <c r="FCY35" t="s">
        <v>6984</v>
      </c>
      <c r="FCZ35" t="s">
        <v>6984</v>
      </c>
      <c r="FDA35" t="s">
        <v>6984</v>
      </c>
      <c r="FDB35" t="s">
        <v>6984</v>
      </c>
      <c r="FDC35" t="s">
        <v>6984</v>
      </c>
      <c r="FDD35" t="s">
        <v>6984</v>
      </c>
      <c r="FDE35" t="s">
        <v>6984</v>
      </c>
      <c r="FDF35" t="s">
        <v>6984</v>
      </c>
      <c r="FDG35" t="s">
        <v>6984</v>
      </c>
      <c r="FDH35" t="s">
        <v>6984</v>
      </c>
      <c r="FDI35" t="s">
        <v>6984</v>
      </c>
      <c r="FDJ35" t="s">
        <v>6984</v>
      </c>
      <c r="FDK35" t="s">
        <v>6984</v>
      </c>
      <c r="FDL35" t="s">
        <v>6984</v>
      </c>
      <c r="FDM35" t="s">
        <v>6984</v>
      </c>
      <c r="FDN35" t="s">
        <v>6984</v>
      </c>
      <c r="FDO35" t="s">
        <v>6984</v>
      </c>
      <c r="FDP35" t="s">
        <v>6984</v>
      </c>
      <c r="FDQ35" t="s">
        <v>6984</v>
      </c>
      <c r="FDR35" t="s">
        <v>6984</v>
      </c>
      <c r="FDS35" t="s">
        <v>6984</v>
      </c>
      <c r="FDT35" t="s">
        <v>6984</v>
      </c>
      <c r="FDU35" t="s">
        <v>6984</v>
      </c>
      <c r="FDV35" t="s">
        <v>6984</v>
      </c>
      <c r="FDW35" t="s">
        <v>6984</v>
      </c>
      <c r="FDX35" t="s">
        <v>6984</v>
      </c>
      <c r="FDY35" t="s">
        <v>6984</v>
      </c>
      <c r="FDZ35" t="s">
        <v>6984</v>
      </c>
      <c r="FEA35" t="s">
        <v>6984</v>
      </c>
      <c r="FEB35" t="s">
        <v>6984</v>
      </c>
      <c r="FEC35" t="s">
        <v>6984</v>
      </c>
      <c r="FED35" t="s">
        <v>6984</v>
      </c>
      <c r="FEE35" t="s">
        <v>6984</v>
      </c>
      <c r="FEF35" t="s">
        <v>6984</v>
      </c>
      <c r="FEG35" t="s">
        <v>6984</v>
      </c>
      <c r="FEH35" t="s">
        <v>6984</v>
      </c>
      <c r="FEI35" t="s">
        <v>6984</v>
      </c>
      <c r="FEJ35" t="s">
        <v>6984</v>
      </c>
      <c r="FEK35" t="s">
        <v>6984</v>
      </c>
      <c r="FEL35" t="s">
        <v>6984</v>
      </c>
      <c r="FEM35" t="s">
        <v>6984</v>
      </c>
      <c r="FEN35" t="s">
        <v>6984</v>
      </c>
      <c r="FEO35" t="s">
        <v>6984</v>
      </c>
      <c r="FEP35" t="s">
        <v>6984</v>
      </c>
      <c r="FEQ35" t="s">
        <v>6984</v>
      </c>
      <c r="FER35" t="s">
        <v>6984</v>
      </c>
      <c r="FES35" t="s">
        <v>6984</v>
      </c>
      <c r="FET35" t="s">
        <v>6984</v>
      </c>
      <c r="FEU35" t="s">
        <v>6984</v>
      </c>
      <c r="FEV35" t="s">
        <v>6984</v>
      </c>
      <c r="FEW35" t="s">
        <v>6984</v>
      </c>
      <c r="FEX35" t="s">
        <v>6984</v>
      </c>
      <c r="FEY35" t="s">
        <v>6984</v>
      </c>
      <c r="FEZ35" t="s">
        <v>6984</v>
      </c>
      <c r="FFA35" t="s">
        <v>6984</v>
      </c>
      <c r="FFB35" t="s">
        <v>6984</v>
      </c>
      <c r="FFC35" t="s">
        <v>6984</v>
      </c>
      <c r="FFD35" t="s">
        <v>6984</v>
      </c>
      <c r="FFE35" t="s">
        <v>6984</v>
      </c>
      <c r="FFF35" t="s">
        <v>6984</v>
      </c>
      <c r="FFG35" t="s">
        <v>6984</v>
      </c>
      <c r="FFH35" t="s">
        <v>6984</v>
      </c>
      <c r="FFI35" t="s">
        <v>6984</v>
      </c>
      <c r="FFJ35" t="s">
        <v>6984</v>
      </c>
      <c r="FFK35" t="s">
        <v>6984</v>
      </c>
      <c r="FFL35" t="s">
        <v>6984</v>
      </c>
      <c r="FFM35" t="s">
        <v>6984</v>
      </c>
      <c r="FFN35" t="s">
        <v>6984</v>
      </c>
      <c r="FFO35" t="s">
        <v>6984</v>
      </c>
      <c r="FFP35" t="s">
        <v>6984</v>
      </c>
      <c r="FFQ35" t="s">
        <v>6984</v>
      </c>
      <c r="FFR35" t="s">
        <v>6984</v>
      </c>
      <c r="FFS35" t="s">
        <v>6984</v>
      </c>
      <c r="FFT35" t="s">
        <v>6984</v>
      </c>
      <c r="FFU35" t="s">
        <v>6984</v>
      </c>
      <c r="FFV35" t="s">
        <v>6984</v>
      </c>
      <c r="FFW35" t="s">
        <v>6984</v>
      </c>
      <c r="FFX35" t="s">
        <v>6984</v>
      </c>
      <c r="FFY35" t="s">
        <v>6984</v>
      </c>
      <c r="FFZ35" t="s">
        <v>6984</v>
      </c>
      <c r="FGA35" t="s">
        <v>6984</v>
      </c>
      <c r="FGB35" t="s">
        <v>6984</v>
      </c>
      <c r="FGC35" t="s">
        <v>6984</v>
      </c>
      <c r="FGD35" t="s">
        <v>6984</v>
      </c>
      <c r="FGE35" t="s">
        <v>6984</v>
      </c>
      <c r="FGF35" t="s">
        <v>6984</v>
      </c>
      <c r="FGG35" t="s">
        <v>6984</v>
      </c>
      <c r="FGH35" t="s">
        <v>6984</v>
      </c>
      <c r="FGI35" t="s">
        <v>6984</v>
      </c>
      <c r="FGJ35" t="s">
        <v>6984</v>
      </c>
      <c r="FGK35" t="s">
        <v>6984</v>
      </c>
      <c r="FGL35" t="s">
        <v>6984</v>
      </c>
      <c r="FGM35" t="s">
        <v>6984</v>
      </c>
      <c r="FGN35" t="s">
        <v>6984</v>
      </c>
      <c r="FGO35" t="s">
        <v>6984</v>
      </c>
      <c r="FGP35" t="s">
        <v>6984</v>
      </c>
      <c r="FGQ35" t="s">
        <v>6984</v>
      </c>
      <c r="FGR35" t="s">
        <v>6984</v>
      </c>
      <c r="FGS35" t="s">
        <v>6984</v>
      </c>
      <c r="FGT35" t="s">
        <v>6984</v>
      </c>
      <c r="FGU35" t="s">
        <v>6984</v>
      </c>
      <c r="FGV35" t="s">
        <v>6984</v>
      </c>
      <c r="FGW35" t="s">
        <v>6984</v>
      </c>
      <c r="FGX35" t="s">
        <v>6984</v>
      </c>
      <c r="FGY35" t="s">
        <v>6984</v>
      </c>
      <c r="FGZ35" t="s">
        <v>6984</v>
      </c>
      <c r="FHA35" t="s">
        <v>6984</v>
      </c>
      <c r="FHB35" t="s">
        <v>6984</v>
      </c>
      <c r="FHC35" t="s">
        <v>6984</v>
      </c>
      <c r="FHD35" t="s">
        <v>6984</v>
      </c>
      <c r="FHE35" t="s">
        <v>6984</v>
      </c>
      <c r="FHF35" t="s">
        <v>6984</v>
      </c>
      <c r="FHG35" t="s">
        <v>6984</v>
      </c>
      <c r="FHH35" t="s">
        <v>6984</v>
      </c>
      <c r="FHI35" t="s">
        <v>6984</v>
      </c>
      <c r="FHJ35" t="s">
        <v>6984</v>
      </c>
      <c r="FHK35" t="s">
        <v>6984</v>
      </c>
      <c r="FHL35" t="s">
        <v>6984</v>
      </c>
      <c r="FHM35" t="s">
        <v>6984</v>
      </c>
      <c r="FHN35" t="s">
        <v>6984</v>
      </c>
      <c r="FHO35" t="s">
        <v>6984</v>
      </c>
      <c r="FHP35" t="s">
        <v>6984</v>
      </c>
      <c r="FHQ35" t="s">
        <v>6984</v>
      </c>
      <c r="FHR35" t="s">
        <v>6984</v>
      </c>
      <c r="FHS35" t="s">
        <v>6984</v>
      </c>
      <c r="FHT35" t="s">
        <v>6984</v>
      </c>
      <c r="FHU35" t="s">
        <v>6984</v>
      </c>
      <c r="FHV35" t="s">
        <v>6984</v>
      </c>
      <c r="FHW35" t="s">
        <v>6984</v>
      </c>
      <c r="FHX35" t="s">
        <v>6984</v>
      </c>
      <c r="FHY35" t="s">
        <v>6984</v>
      </c>
      <c r="FHZ35" t="s">
        <v>6984</v>
      </c>
      <c r="FIA35" t="s">
        <v>6984</v>
      </c>
      <c r="FIB35" t="s">
        <v>6984</v>
      </c>
      <c r="FIC35" t="s">
        <v>6984</v>
      </c>
      <c r="FID35" t="s">
        <v>6984</v>
      </c>
      <c r="FIE35" t="s">
        <v>6984</v>
      </c>
      <c r="FIF35" t="s">
        <v>6984</v>
      </c>
      <c r="FIG35" t="s">
        <v>6984</v>
      </c>
      <c r="FIH35" t="s">
        <v>6984</v>
      </c>
      <c r="FII35" t="s">
        <v>6984</v>
      </c>
      <c r="FIJ35" t="s">
        <v>6984</v>
      </c>
      <c r="FIK35" t="s">
        <v>6984</v>
      </c>
      <c r="FIL35" t="s">
        <v>6984</v>
      </c>
      <c r="FIM35" t="s">
        <v>6984</v>
      </c>
      <c r="FIN35" t="s">
        <v>6984</v>
      </c>
      <c r="FIO35" t="s">
        <v>6984</v>
      </c>
      <c r="FIP35" t="s">
        <v>6984</v>
      </c>
      <c r="FIQ35" t="s">
        <v>6984</v>
      </c>
      <c r="FIR35" t="s">
        <v>6984</v>
      </c>
      <c r="FIS35" t="s">
        <v>6984</v>
      </c>
      <c r="FIT35" t="s">
        <v>6984</v>
      </c>
      <c r="FIU35" t="s">
        <v>6984</v>
      </c>
      <c r="FIV35" t="s">
        <v>6984</v>
      </c>
      <c r="FIW35" t="s">
        <v>6984</v>
      </c>
      <c r="FIX35" t="s">
        <v>6984</v>
      </c>
      <c r="FIY35" t="s">
        <v>6984</v>
      </c>
      <c r="FIZ35" t="s">
        <v>6984</v>
      </c>
      <c r="FJA35" t="s">
        <v>6984</v>
      </c>
      <c r="FJB35" t="s">
        <v>6984</v>
      </c>
      <c r="FJC35" t="s">
        <v>6984</v>
      </c>
      <c r="FJD35" t="s">
        <v>6984</v>
      </c>
      <c r="FJE35" t="s">
        <v>6984</v>
      </c>
      <c r="FJF35" t="s">
        <v>6984</v>
      </c>
      <c r="FJG35" t="s">
        <v>6984</v>
      </c>
      <c r="FJH35" t="s">
        <v>6984</v>
      </c>
      <c r="FJI35" t="s">
        <v>6984</v>
      </c>
      <c r="FJJ35" t="s">
        <v>6984</v>
      </c>
      <c r="FJK35" t="s">
        <v>6984</v>
      </c>
      <c r="FJL35" t="s">
        <v>6984</v>
      </c>
      <c r="FJM35" t="s">
        <v>6984</v>
      </c>
      <c r="FJN35" t="s">
        <v>6984</v>
      </c>
      <c r="FJO35" t="s">
        <v>6984</v>
      </c>
      <c r="FJP35" t="s">
        <v>6984</v>
      </c>
      <c r="FJQ35" t="s">
        <v>6984</v>
      </c>
      <c r="FJR35" t="s">
        <v>6984</v>
      </c>
      <c r="FJS35" t="s">
        <v>6984</v>
      </c>
      <c r="FJT35" t="s">
        <v>6984</v>
      </c>
      <c r="FJU35" t="s">
        <v>6984</v>
      </c>
      <c r="FJV35" t="s">
        <v>6984</v>
      </c>
      <c r="FJW35" t="s">
        <v>6984</v>
      </c>
      <c r="FJX35" t="s">
        <v>6984</v>
      </c>
      <c r="FJY35" t="s">
        <v>6984</v>
      </c>
      <c r="FJZ35" t="s">
        <v>6984</v>
      </c>
      <c r="FKA35" t="s">
        <v>6984</v>
      </c>
      <c r="FKB35" t="s">
        <v>6984</v>
      </c>
      <c r="FKC35" t="s">
        <v>6984</v>
      </c>
      <c r="FKD35" t="s">
        <v>6984</v>
      </c>
      <c r="FKE35" t="s">
        <v>6984</v>
      </c>
      <c r="FKF35" t="s">
        <v>6984</v>
      </c>
      <c r="FKG35" t="s">
        <v>6984</v>
      </c>
      <c r="FKH35" t="s">
        <v>6984</v>
      </c>
      <c r="FKI35" t="s">
        <v>6984</v>
      </c>
      <c r="FKJ35" t="s">
        <v>6984</v>
      </c>
      <c r="FKK35" t="s">
        <v>6984</v>
      </c>
      <c r="FKL35" t="s">
        <v>6984</v>
      </c>
      <c r="FKM35" t="s">
        <v>6984</v>
      </c>
      <c r="FKN35" t="s">
        <v>6984</v>
      </c>
      <c r="FKO35" t="s">
        <v>6984</v>
      </c>
      <c r="FKP35" t="s">
        <v>6984</v>
      </c>
      <c r="FKQ35" t="s">
        <v>6984</v>
      </c>
      <c r="FKR35" t="s">
        <v>6984</v>
      </c>
      <c r="FKS35" t="s">
        <v>6984</v>
      </c>
      <c r="FKT35" t="s">
        <v>6984</v>
      </c>
      <c r="FKU35" t="s">
        <v>6984</v>
      </c>
      <c r="FKV35" t="s">
        <v>6984</v>
      </c>
      <c r="FKW35" t="s">
        <v>6984</v>
      </c>
      <c r="FKX35" t="s">
        <v>6984</v>
      </c>
      <c r="FKY35" t="s">
        <v>6984</v>
      </c>
      <c r="FKZ35" t="s">
        <v>6984</v>
      </c>
      <c r="FLA35" t="s">
        <v>6984</v>
      </c>
      <c r="FLB35" t="s">
        <v>6984</v>
      </c>
      <c r="FLC35" t="s">
        <v>6984</v>
      </c>
      <c r="FLD35" t="s">
        <v>6984</v>
      </c>
      <c r="FLE35" t="s">
        <v>6984</v>
      </c>
      <c r="FLF35" t="s">
        <v>6984</v>
      </c>
      <c r="FLG35" t="s">
        <v>6984</v>
      </c>
      <c r="FLH35" t="s">
        <v>6984</v>
      </c>
      <c r="FLI35" t="s">
        <v>6984</v>
      </c>
      <c r="FLJ35" t="s">
        <v>6984</v>
      </c>
      <c r="FLK35" t="s">
        <v>6984</v>
      </c>
      <c r="FLL35" t="s">
        <v>6984</v>
      </c>
      <c r="FLM35" t="s">
        <v>6984</v>
      </c>
      <c r="FLN35" t="s">
        <v>6984</v>
      </c>
      <c r="FLO35" t="s">
        <v>6984</v>
      </c>
      <c r="FLP35" t="s">
        <v>6984</v>
      </c>
      <c r="FLQ35" t="s">
        <v>6984</v>
      </c>
      <c r="FLR35" t="s">
        <v>6984</v>
      </c>
      <c r="FLS35" t="s">
        <v>6984</v>
      </c>
      <c r="FLT35" t="s">
        <v>6984</v>
      </c>
      <c r="FLU35" t="s">
        <v>6984</v>
      </c>
      <c r="FLV35" t="s">
        <v>6984</v>
      </c>
      <c r="FLW35" t="s">
        <v>6984</v>
      </c>
      <c r="FLX35" t="s">
        <v>6984</v>
      </c>
      <c r="FLY35" t="s">
        <v>6984</v>
      </c>
      <c r="FLZ35" t="s">
        <v>6984</v>
      </c>
      <c r="FMA35" t="s">
        <v>6984</v>
      </c>
      <c r="FMB35" t="s">
        <v>6984</v>
      </c>
      <c r="FMC35" t="s">
        <v>6984</v>
      </c>
      <c r="FMD35" t="s">
        <v>6984</v>
      </c>
      <c r="FME35" t="s">
        <v>6984</v>
      </c>
      <c r="FMF35" t="s">
        <v>6984</v>
      </c>
      <c r="FMG35" t="s">
        <v>6984</v>
      </c>
      <c r="FMH35" t="s">
        <v>6984</v>
      </c>
      <c r="FMI35" t="s">
        <v>6984</v>
      </c>
      <c r="FMJ35" t="s">
        <v>6984</v>
      </c>
      <c r="FMK35" t="s">
        <v>6984</v>
      </c>
      <c r="FML35" t="s">
        <v>6984</v>
      </c>
      <c r="FMM35" t="s">
        <v>6984</v>
      </c>
      <c r="FMN35" t="s">
        <v>6984</v>
      </c>
      <c r="FMO35" t="s">
        <v>6984</v>
      </c>
      <c r="FMP35" t="s">
        <v>6984</v>
      </c>
      <c r="FMQ35" t="s">
        <v>6984</v>
      </c>
      <c r="FMR35" t="s">
        <v>6984</v>
      </c>
      <c r="FMS35" t="s">
        <v>6984</v>
      </c>
      <c r="FMT35" t="s">
        <v>6984</v>
      </c>
      <c r="FMU35" t="s">
        <v>6984</v>
      </c>
      <c r="FMV35" t="s">
        <v>6984</v>
      </c>
      <c r="FMW35" t="s">
        <v>6984</v>
      </c>
      <c r="FMX35" t="s">
        <v>6984</v>
      </c>
      <c r="FMY35" t="s">
        <v>6984</v>
      </c>
      <c r="FMZ35" t="s">
        <v>6984</v>
      </c>
      <c r="FNA35" t="s">
        <v>6984</v>
      </c>
      <c r="FNB35" t="s">
        <v>6984</v>
      </c>
      <c r="FNC35" t="s">
        <v>6984</v>
      </c>
      <c r="FND35" t="s">
        <v>6984</v>
      </c>
      <c r="FNE35" t="s">
        <v>6984</v>
      </c>
      <c r="FNF35" t="s">
        <v>6984</v>
      </c>
      <c r="FNG35" t="s">
        <v>6984</v>
      </c>
      <c r="FNH35" t="s">
        <v>6984</v>
      </c>
      <c r="FNI35" t="s">
        <v>6984</v>
      </c>
      <c r="FNJ35" t="s">
        <v>6984</v>
      </c>
      <c r="FNK35" t="s">
        <v>6984</v>
      </c>
      <c r="FNL35" t="s">
        <v>6984</v>
      </c>
      <c r="FNM35" t="s">
        <v>6984</v>
      </c>
      <c r="FNN35" t="s">
        <v>6984</v>
      </c>
      <c r="FNO35" t="s">
        <v>6984</v>
      </c>
      <c r="FNP35" t="s">
        <v>6984</v>
      </c>
      <c r="FNQ35" t="s">
        <v>6984</v>
      </c>
      <c r="FNR35" t="s">
        <v>6984</v>
      </c>
      <c r="FNS35" t="s">
        <v>6984</v>
      </c>
      <c r="FNT35" t="s">
        <v>6984</v>
      </c>
      <c r="FNU35" t="s">
        <v>6984</v>
      </c>
      <c r="FNV35" t="s">
        <v>6984</v>
      </c>
      <c r="FNW35" t="s">
        <v>6984</v>
      </c>
      <c r="FNX35" t="s">
        <v>6984</v>
      </c>
      <c r="FNY35" t="s">
        <v>6984</v>
      </c>
      <c r="FNZ35" t="s">
        <v>6984</v>
      </c>
      <c r="FOA35" t="s">
        <v>6984</v>
      </c>
      <c r="FOB35" t="s">
        <v>6984</v>
      </c>
      <c r="FOC35" t="s">
        <v>6984</v>
      </c>
      <c r="FOD35" t="s">
        <v>6984</v>
      </c>
      <c r="FOE35" t="s">
        <v>6984</v>
      </c>
      <c r="FOF35" t="s">
        <v>6984</v>
      </c>
      <c r="FOG35" t="s">
        <v>6984</v>
      </c>
      <c r="FOH35" t="s">
        <v>6984</v>
      </c>
      <c r="FOI35" t="s">
        <v>6984</v>
      </c>
      <c r="FOJ35" t="s">
        <v>6984</v>
      </c>
      <c r="FOK35" t="s">
        <v>6984</v>
      </c>
      <c r="FOL35" t="s">
        <v>6984</v>
      </c>
      <c r="FOM35" t="s">
        <v>6984</v>
      </c>
      <c r="FON35" t="s">
        <v>6984</v>
      </c>
      <c r="FOO35" t="s">
        <v>6984</v>
      </c>
      <c r="FOP35" t="s">
        <v>6984</v>
      </c>
      <c r="FOQ35" t="s">
        <v>6984</v>
      </c>
      <c r="FOR35" t="s">
        <v>6984</v>
      </c>
      <c r="FOS35" t="s">
        <v>6984</v>
      </c>
      <c r="FOT35" t="s">
        <v>6984</v>
      </c>
      <c r="FOU35" t="s">
        <v>6984</v>
      </c>
      <c r="FOV35" t="s">
        <v>6984</v>
      </c>
      <c r="FOW35" t="s">
        <v>6984</v>
      </c>
      <c r="FOX35" t="s">
        <v>6984</v>
      </c>
      <c r="FOY35" t="s">
        <v>6984</v>
      </c>
      <c r="FOZ35" t="s">
        <v>6984</v>
      </c>
      <c r="FPA35" t="s">
        <v>6984</v>
      </c>
      <c r="FPB35" t="s">
        <v>6984</v>
      </c>
      <c r="FPC35" t="s">
        <v>6984</v>
      </c>
      <c r="FPD35" t="s">
        <v>6984</v>
      </c>
      <c r="FPE35" t="s">
        <v>6984</v>
      </c>
      <c r="FPF35" t="s">
        <v>6984</v>
      </c>
      <c r="FPG35" t="s">
        <v>6984</v>
      </c>
      <c r="FPH35" t="s">
        <v>6984</v>
      </c>
      <c r="FPI35" t="s">
        <v>6984</v>
      </c>
      <c r="FPJ35" t="s">
        <v>6984</v>
      </c>
      <c r="FPK35" t="s">
        <v>6984</v>
      </c>
      <c r="FPL35" t="s">
        <v>6984</v>
      </c>
      <c r="FPM35" t="s">
        <v>6984</v>
      </c>
      <c r="FPN35" t="s">
        <v>6984</v>
      </c>
      <c r="FPO35" t="s">
        <v>6984</v>
      </c>
      <c r="FPP35" t="s">
        <v>6984</v>
      </c>
      <c r="FPQ35" t="s">
        <v>6984</v>
      </c>
      <c r="FPR35" t="s">
        <v>6984</v>
      </c>
      <c r="FPS35" t="s">
        <v>6984</v>
      </c>
      <c r="FPT35" t="s">
        <v>6984</v>
      </c>
      <c r="FPU35" t="s">
        <v>6984</v>
      </c>
      <c r="FPV35" t="s">
        <v>6984</v>
      </c>
      <c r="FPW35" t="s">
        <v>6984</v>
      </c>
      <c r="FPX35" t="s">
        <v>6984</v>
      </c>
      <c r="FPY35" t="s">
        <v>6984</v>
      </c>
      <c r="FPZ35" t="s">
        <v>6984</v>
      </c>
      <c r="FQA35" t="s">
        <v>6984</v>
      </c>
      <c r="FQB35" t="s">
        <v>6984</v>
      </c>
      <c r="FQC35" t="s">
        <v>6984</v>
      </c>
      <c r="FQD35" t="s">
        <v>6984</v>
      </c>
      <c r="FQE35" t="s">
        <v>6984</v>
      </c>
      <c r="FQF35" t="s">
        <v>6984</v>
      </c>
      <c r="FQG35" t="s">
        <v>6984</v>
      </c>
      <c r="FQH35" t="s">
        <v>6984</v>
      </c>
      <c r="FQI35" t="s">
        <v>6984</v>
      </c>
      <c r="FQJ35" t="s">
        <v>6984</v>
      </c>
      <c r="FQK35" t="s">
        <v>6984</v>
      </c>
      <c r="FQL35" t="s">
        <v>6984</v>
      </c>
      <c r="FQM35" t="s">
        <v>6984</v>
      </c>
      <c r="FQN35" t="s">
        <v>6984</v>
      </c>
      <c r="FQO35" t="s">
        <v>6984</v>
      </c>
      <c r="FQP35" t="s">
        <v>6984</v>
      </c>
      <c r="FQQ35" t="s">
        <v>6984</v>
      </c>
      <c r="FQR35" t="s">
        <v>6984</v>
      </c>
      <c r="FQS35" t="s">
        <v>6984</v>
      </c>
      <c r="FQT35" t="s">
        <v>6984</v>
      </c>
      <c r="FQU35" t="s">
        <v>6984</v>
      </c>
      <c r="FQV35" t="s">
        <v>6984</v>
      </c>
      <c r="FQW35" t="s">
        <v>6984</v>
      </c>
      <c r="FQX35" t="s">
        <v>6984</v>
      </c>
      <c r="FQY35" t="s">
        <v>6984</v>
      </c>
      <c r="FQZ35" t="s">
        <v>6984</v>
      </c>
      <c r="FRA35" t="s">
        <v>6984</v>
      </c>
      <c r="FRB35" t="s">
        <v>6984</v>
      </c>
      <c r="FRC35" t="s">
        <v>6984</v>
      </c>
      <c r="FRD35" t="s">
        <v>6984</v>
      </c>
      <c r="FRE35" t="s">
        <v>6984</v>
      </c>
      <c r="FRF35" t="s">
        <v>6984</v>
      </c>
      <c r="FRG35" t="s">
        <v>6984</v>
      </c>
      <c r="FRH35" t="s">
        <v>6984</v>
      </c>
      <c r="FRI35" t="s">
        <v>6984</v>
      </c>
      <c r="FRJ35" t="s">
        <v>6984</v>
      </c>
      <c r="FRK35" t="s">
        <v>6984</v>
      </c>
      <c r="FRL35" t="s">
        <v>6984</v>
      </c>
      <c r="FRM35" t="s">
        <v>6984</v>
      </c>
      <c r="FRN35" t="s">
        <v>6984</v>
      </c>
      <c r="FRO35" t="s">
        <v>6984</v>
      </c>
      <c r="FRP35" t="s">
        <v>6984</v>
      </c>
      <c r="FRQ35" t="s">
        <v>6984</v>
      </c>
      <c r="FRR35" t="s">
        <v>6984</v>
      </c>
      <c r="FRS35" t="s">
        <v>6984</v>
      </c>
      <c r="FRT35" t="s">
        <v>6984</v>
      </c>
      <c r="FRU35" t="s">
        <v>6984</v>
      </c>
      <c r="FRV35" t="s">
        <v>6984</v>
      </c>
      <c r="FRW35" t="s">
        <v>6984</v>
      </c>
      <c r="FRX35" t="s">
        <v>6984</v>
      </c>
      <c r="FRY35" t="s">
        <v>6984</v>
      </c>
      <c r="FRZ35" t="s">
        <v>6984</v>
      </c>
      <c r="FSA35" t="s">
        <v>6984</v>
      </c>
      <c r="FSB35" t="s">
        <v>6984</v>
      </c>
      <c r="FSC35" t="s">
        <v>6984</v>
      </c>
      <c r="FSD35" t="s">
        <v>6984</v>
      </c>
      <c r="FSE35" t="s">
        <v>6984</v>
      </c>
      <c r="FSF35" t="s">
        <v>6984</v>
      </c>
      <c r="FSG35" t="s">
        <v>6984</v>
      </c>
      <c r="FSH35" t="s">
        <v>6984</v>
      </c>
      <c r="FSI35" t="s">
        <v>6984</v>
      </c>
      <c r="FSJ35" t="s">
        <v>6984</v>
      </c>
      <c r="FSK35" t="s">
        <v>6984</v>
      </c>
      <c r="FSL35" t="s">
        <v>6984</v>
      </c>
      <c r="FSM35" t="s">
        <v>6984</v>
      </c>
      <c r="FSN35" t="s">
        <v>6984</v>
      </c>
      <c r="FSO35" t="s">
        <v>6984</v>
      </c>
      <c r="FSP35" t="s">
        <v>6984</v>
      </c>
      <c r="FSQ35" t="s">
        <v>6984</v>
      </c>
      <c r="FSR35" t="s">
        <v>6984</v>
      </c>
      <c r="FSS35" t="s">
        <v>6984</v>
      </c>
      <c r="FST35" t="s">
        <v>6984</v>
      </c>
      <c r="FSU35" t="s">
        <v>6984</v>
      </c>
      <c r="FSV35" t="s">
        <v>6984</v>
      </c>
      <c r="FSW35" t="s">
        <v>6984</v>
      </c>
      <c r="FSX35" t="s">
        <v>6984</v>
      </c>
      <c r="FSY35" t="s">
        <v>6984</v>
      </c>
      <c r="FSZ35" t="s">
        <v>6984</v>
      </c>
      <c r="FTA35" t="s">
        <v>6984</v>
      </c>
      <c r="FTB35" t="s">
        <v>6984</v>
      </c>
      <c r="FTC35" t="s">
        <v>6984</v>
      </c>
      <c r="FTD35" t="s">
        <v>6984</v>
      </c>
      <c r="FTE35" t="s">
        <v>6984</v>
      </c>
      <c r="FTF35" t="s">
        <v>6984</v>
      </c>
      <c r="FTG35" t="s">
        <v>6984</v>
      </c>
      <c r="FTH35" t="s">
        <v>6984</v>
      </c>
      <c r="FTI35" t="s">
        <v>6984</v>
      </c>
      <c r="FTJ35" t="s">
        <v>6984</v>
      </c>
      <c r="FTK35" t="s">
        <v>6984</v>
      </c>
      <c r="FTL35" t="s">
        <v>6984</v>
      </c>
      <c r="FTM35" t="s">
        <v>6984</v>
      </c>
      <c r="FTN35" t="s">
        <v>6984</v>
      </c>
      <c r="FTO35" t="s">
        <v>6984</v>
      </c>
      <c r="FTP35" t="s">
        <v>6984</v>
      </c>
      <c r="FTQ35" t="s">
        <v>6984</v>
      </c>
      <c r="FTR35" t="s">
        <v>6984</v>
      </c>
      <c r="FTS35" t="s">
        <v>6984</v>
      </c>
      <c r="FTT35" t="s">
        <v>6984</v>
      </c>
      <c r="FTU35" t="s">
        <v>6984</v>
      </c>
      <c r="FTV35" t="s">
        <v>6984</v>
      </c>
      <c r="FTW35" t="s">
        <v>6984</v>
      </c>
      <c r="FTX35" t="s">
        <v>6984</v>
      </c>
      <c r="FTY35" t="s">
        <v>6984</v>
      </c>
      <c r="FTZ35" t="s">
        <v>6984</v>
      </c>
      <c r="FUA35" t="s">
        <v>6984</v>
      </c>
      <c r="FUB35" t="s">
        <v>6984</v>
      </c>
      <c r="FUC35" t="s">
        <v>6984</v>
      </c>
      <c r="FUD35" t="s">
        <v>6984</v>
      </c>
      <c r="FUE35" t="s">
        <v>6984</v>
      </c>
      <c r="FUF35" t="s">
        <v>6984</v>
      </c>
      <c r="FUG35" t="s">
        <v>6984</v>
      </c>
      <c r="FUH35" t="s">
        <v>6984</v>
      </c>
      <c r="FUI35" t="s">
        <v>6984</v>
      </c>
      <c r="FUJ35" t="s">
        <v>6984</v>
      </c>
      <c r="FUK35" t="s">
        <v>6984</v>
      </c>
      <c r="FUL35" t="s">
        <v>6984</v>
      </c>
      <c r="FUM35" t="s">
        <v>6984</v>
      </c>
      <c r="FUN35" t="s">
        <v>6984</v>
      </c>
      <c r="FUO35" t="s">
        <v>6984</v>
      </c>
      <c r="FUP35" t="s">
        <v>6984</v>
      </c>
      <c r="FUQ35" t="s">
        <v>6984</v>
      </c>
      <c r="FUR35" t="s">
        <v>6984</v>
      </c>
      <c r="FUS35" t="s">
        <v>6984</v>
      </c>
      <c r="FUT35" t="s">
        <v>6984</v>
      </c>
      <c r="FUU35" t="s">
        <v>6984</v>
      </c>
      <c r="FUV35" t="s">
        <v>6984</v>
      </c>
      <c r="FUW35" t="s">
        <v>6984</v>
      </c>
      <c r="FUX35" t="s">
        <v>6984</v>
      </c>
      <c r="FUY35" t="s">
        <v>6984</v>
      </c>
      <c r="FUZ35" t="s">
        <v>6984</v>
      </c>
      <c r="FVA35" t="s">
        <v>6984</v>
      </c>
      <c r="FVB35" t="s">
        <v>6984</v>
      </c>
      <c r="FVC35" t="s">
        <v>6984</v>
      </c>
      <c r="FVD35" t="s">
        <v>6984</v>
      </c>
      <c r="FVE35" t="s">
        <v>6984</v>
      </c>
      <c r="FVF35" t="s">
        <v>6984</v>
      </c>
      <c r="FVG35" t="s">
        <v>6984</v>
      </c>
      <c r="FVH35" t="s">
        <v>6984</v>
      </c>
      <c r="FVI35" t="s">
        <v>6984</v>
      </c>
      <c r="FVJ35" t="s">
        <v>6984</v>
      </c>
      <c r="FVK35" t="s">
        <v>6984</v>
      </c>
      <c r="FVL35" t="s">
        <v>6984</v>
      </c>
      <c r="FVM35" t="s">
        <v>6984</v>
      </c>
      <c r="FVN35" t="s">
        <v>6984</v>
      </c>
      <c r="FVO35" t="s">
        <v>6984</v>
      </c>
      <c r="FVP35" t="s">
        <v>6984</v>
      </c>
      <c r="FVQ35" t="s">
        <v>6984</v>
      </c>
      <c r="FVR35" t="s">
        <v>6984</v>
      </c>
      <c r="FVS35" t="s">
        <v>6984</v>
      </c>
      <c r="FVT35" t="s">
        <v>6984</v>
      </c>
      <c r="FVU35" t="s">
        <v>6984</v>
      </c>
      <c r="FVV35" t="s">
        <v>6984</v>
      </c>
      <c r="FVW35" t="s">
        <v>6984</v>
      </c>
      <c r="FVX35" t="s">
        <v>6984</v>
      </c>
      <c r="FVY35" t="s">
        <v>6984</v>
      </c>
      <c r="FVZ35" t="s">
        <v>6984</v>
      </c>
      <c r="FWA35" t="s">
        <v>6984</v>
      </c>
      <c r="FWB35" t="s">
        <v>6984</v>
      </c>
      <c r="FWC35" t="s">
        <v>6984</v>
      </c>
      <c r="FWD35" t="s">
        <v>6984</v>
      </c>
      <c r="FWE35" t="s">
        <v>6984</v>
      </c>
      <c r="FWF35" t="s">
        <v>6984</v>
      </c>
      <c r="FWG35" t="s">
        <v>6984</v>
      </c>
      <c r="FWH35" t="s">
        <v>6984</v>
      </c>
      <c r="FWI35" t="s">
        <v>6984</v>
      </c>
      <c r="FWJ35" t="s">
        <v>6984</v>
      </c>
      <c r="FWK35" t="s">
        <v>6984</v>
      </c>
      <c r="FWL35" t="s">
        <v>6984</v>
      </c>
      <c r="FWM35" t="s">
        <v>6984</v>
      </c>
      <c r="FWN35" t="s">
        <v>6984</v>
      </c>
      <c r="FWO35" t="s">
        <v>6984</v>
      </c>
      <c r="FWP35" t="s">
        <v>6984</v>
      </c>
      <c r="FWQ35" t="s">
        <v>6984</v>
      </c>
      <c r="FWR35" t="s">
        <v>6984</v>
      </c>
      <c r="FWS35" t="s">
        <v>6984</v>
      </c>
      <c r="FWT35" t="s">
        <v>6984</v>
      </c>
      <c r="FWU35" t="s">
        <v>6984</v>
      </c>
      <c r="FWV35" t="s">
        <v>6984</v>
      </c>
      <c r="FWW35" t="s">
        <v>6984</v>
      </c>
      <c r="FWX35" t="s">
        <v>6984</v>
      </c>
      <c r="FWY35" t="s">
        <v>6984</v>
      </c>
      <c r="FWZ35" t="s">
        <v>6984</v>
      </c>
      <c r="FXA35" t="s">
        <v>6984</v>
      </c>
      <c r="FXB35" t="s">
        <v>6984</v>
      </c>
      <c r="FXC35" t="s">
        <v>6984</v>
      </c>
      <c r="FXD35" t="s">
        <v>6984</v>
      </c>
      <c r="FXE35" t="s">
        <v>6984</v>
      </c>
      <c r="FXF35" t="s">
        <v>6984</v>
      </c>
      <c r="FXG35" t="s">
        <v>6984</v>
      </c>
      <c r="FXH35" t="s">
        <v>6984</v>
      </c>
      <c r="FXI35" t="s">
        <v>6984</v>
      </c>
      <c r="FXJ35" t="s">
        <v>6984</v>
      </c>
      <c r="FXK35" t="s">
        <v>6984</v>
      </c>
      <c r="FXL35" t="s">
        <v>6984</v>
      </c>
      <c r="FXM35" t="s">
        <v>6984</v>
      </c>
      <c r="FXN35" t="s">
        <v>6984</v>
      </c>
      <c r="FXO35" t="s">
        <v>6984</v>
      </c>
      <c r="FXP35" t="s">
        <v>6984</v>
      </c>
      <c r="FXQ35" t="s">
        <v>6984</v>
      </c>
      <c r="FXR35" t="s">
        <v>6984</v>
      </c>
      <c r="FXS35" t="s">
        <v>6984</v>
      </c>
      <c r="FXT35" t="s">
        <v>6984</v>
      </c>
      <c r="FXU35" t="s">
        <v>6984</v>
      </c>
      <c r="FXV35" t="s">
        <v>6984</v>
      </c>
      <c r="FXW35" t="s">
        <v>6984</v>
      </c>
      <c r="FXX35" t="s">
        <v>6984</v>
      </c>
      <c r="FXY35" t="s">
        <v>6984</v>
      </c>
      <c r="FXZ35" t="s">
        <v>6984</v>
      </c>
      <c r="FYA35" t="s">
        <v>6984</v>
      </c>
      <c r="FYB35" t="s">
        <v>6984</v>
      </c>
      <c r="FYC35" t="s">
        <v>6984</v>
      </c>
      <c r="FYD35" t="s">
        <v>6984</v>
      </c>
      <c r="FYE35" t="s">
        <v>6984</v>
      </c>
      <c r="FYF35" t="s">
        <v>6984</v>
      </c>
      <c r="FYG35" t="s">
        <v>6984</v>
      </c>
      <c r="FYH35" t="s">
        <v>6984</v>
      </c>
      <c r="FYI35" t="s">
        <v>6984</v>
      </c>
      <c r="FYJ35" t="s">
        <v>6984</v>
      </c>
      <c r="FYK35" t="s">
        <v>6984</v>
      </c>
      <c r="FYL35" t="s">
        <v>6984</v>
      </c>
      <c r="FYM35" t="s">
        <v>6984</v>
      </c>
      <c r="FYN35" t="s">
        <v>6984</v>
      </c>
      <c r="FYO35" t="s">
        <v>6984</v>
      </c>
      <c r="FYP35" t="s">
        <v>6984</v>
      </c>
      <c r="FYQ35" t="s">
        <v>6984</v>
      </c>
      <c r="FYR35" t="s">
        <v>6984</v>
      </c>
      <c r="FYS35" t="s">
        <v>6984</v>
      </c>
      <c r="FYT35" t="s">
        <v>6984</v>
      </c>
      <c r="FYU35" t="s">
        <v>6984</v>
      </c>
      <c r="FYV35" t="s">
        <v>6984</v>
      </c>
      <c r="FYW35" t="s">
        <v>6984</v>
      </c>
      <c r="FYX35" t="s">
        <v>6984</v>
      </c>
      <c r="FYY35" t="s">
        <v>6984</v>
      </c>
      <c r="FYZ35" t="s">
        <v>6984</v>
      </c>
      <c r="FZA35" t="s">
        <v>6984</v>
      </c>
      <c r="FZB35" t="s">
        <v>6984</v>
      </c>
      <c r="FZC35" t="s">
        <v>6984</v>
      </c>
      <c r="FZD35" t="s">
        <v>6984</v>
      </c>
      <c r="FZE35" t="s">
        <v>6984</v>
      </c>
      <c r="FZF35" t="s">
        <v>6984</v>
      </c>
      <c r="FZG35" t="s">
        <v>6984</v>
      </c>
      <c r="FZH35" t="s">
        <v>6984</v>
      </c>
      <c r="FZI35" t="s">
        <v>6984</v>
      </c>
      <c r="FZJ35" t="s">
        <v>6984</v>
      </c>
      <c r="FZK35" t="s">
        <v>6984</v>
      </c>
      <c r="FZL35" t="s">
        <v>6984</v>
      </c>
      <c r="FZM35" t="s">
        <v>6984</v>
      </c>
      <c r="FZN35" t="s">
        <v>6984</v>
      </c>
      <c r="FZO35" t="s">
        <v>6984</v>
      </c>
      <c r="FZP35" t="s">
        <v>6984</v>
      </c>
      <c r="FZQ35" t="s">
        <v>6984</v>
      </c>
      <c r="FZR35" t="s">
        <v>6984</v>
      </c>
      <c r="FZS35" t="s">
        <v>6984</v>
      </c>
      <c r="FZT35" t="s">
        <v>6984</v>
      </c>
      <c r="FZU35" t="s">
        <v>6984</v>
      </c>
      <c r="FZV35" t="s">
        <v>6984</v>
      </c>
      <c r="FZW35" t="s">
        <v>6984</v>
      </c>
      <c r="FZX35" t="s">
        <v>6984</v>
      </c>
      <c r="FZY35" t="s">
        <v>6984</v>
      </c>
      <c r="FZZ35" t="s">
        <v>6984</v>
      </c>
      <c r="GAA35" t="s">
        <v>6984</v>
      </c>
      <c r="GAB35" t="s">
        <v>6984</v>
      </c>
      <c r="GAC35" t="s">
        <v>6984</v>
      </c>
      <c r="GAD35" t="s">
        <v>6984</v>
      </c>
      <c r="GAE35" t="s">
        <v>6984</v>
      </c>
      <c r="GAF35" t="s">
        <v>6984</v>
      </c>
      <c r="GAG35" t="s">
        <v>6984</v>
      </c>
      <c r="GAH35" t="s">
        <v>6984</v>
      </c>
      <c r="GAI35" t="s">
        <v>6984</v>
      </c>
      <c r="GAJ35" t="s">
        <v>6984</v>
      </c>
      <c r="GAK35" t="s">
        <v>6984</v>
      </c>
      <c r="GAL35" t="s">
        <v>6984</v>
      </c>
      <c r="GAM35" t="s">
        <v>6984</v>
      </c>
      <c r="GAN35" t="s">
        <v>6984</v>
      </c>
      <c r="GAO35" t="s">
        <v>6984</v>
      </c>
      <c r="GAP35" t="s">
        <v>6984</v>
      </c>
      <c r="GAQ35" t="s">
        <v>6984</v>
      </c>
      <c r="GAR35" t="s">
        <v>6984</v>
      </c>
      <c r="GAS35" t="s">
        <v>6984</v>
      </c>
      <c r="GAT35" t="s">
        <v>6984</v>
      </c>
      <c r="GAU35" t="s">
        <v>6984</v>
      </c>
      <c r="GAV35" t="s">
        <v>6984</v>
      </c>
      <c r="GAW35" t="s">
        <v>6984</v>
      </c>
      <c r="GAX35" t="s">
        <v>6984</v>
      </c>
      <c r="GAY35" t="s">
        <v>6984</v>
      </c>
      <c r="GAZ35" t="s">
        <v>6984</v>
      </c>
      <c r="GBA35" t="s">
        <v>6984</v>
      </c>
      <c r="GBB35" t="s">
        <v>6984</v>
      </c>
      <c r="GBC35" t="s">
        <v>6984</v>
      </c>
      <c r="GBD35" t="s">
        <v>6984</v>
      </c>
      <c r="GBE35" t="s">
        <v>6984</v>
      </c>
      <c r="GBF35" t="s">
        <v>6984</v>
      </c>
      <c r="GBG35" t="s">
        <v>6984</v>
      </c>
      <c r="GBH35" t="s">
        <v>6984</v>
      </c>
      <c r="GBI35" t="s">
        <v>6984</v>
      </c>
      <c r="GBJ35" t="s">
        <v>6984</v>
      </c>
      <c r="GBK35" t="s">
        <v>6984</v>
      </c>
      <c r="GBL35" t="s">
        <v>6984</v>
      </c>
      <c r="GBM35" t="s">
        <v>6984</v>
      </c>
      <c r="GBN35" t="s">
        <v>6984</v>
      </c>
      <c r="GBO35" t="s">
        <v>6984</v>
      </c>
      <c r="GBP35" t="s">
        <v>6984</v>
      </c>
      <c r="GBQ35" t="s">
        <v>6984</v>
      </c>
      <c r="GBR35" t="s">
        <v>6984</v>
      </c>
      <c r="GBS35" t="s">
        <v>6984</v>
      </c>
      <c r="GBT35" t="s">
        <v>6984</v>
      </c>
      <c r="GBU35" t="s">
        <v>6984</v>
      </c>
      <c r="GBV35" t="s">
        <v>6984</v>
      </c>
      <c r="GBW35" t="s">
        <v>6984</v>
      </c>
      <c r="GBX35" t="s">
        <v>6984</v>
      </c>
      <c r="GBY35" t="s">
        <v>6984</v>
      </c>
      <c r="GBZ35" t="s">
        <v>6984</v>
      </c>
      <c r="GCA35" t="s">
        <v>6984</v>
      </c>
      <c r="GCB35" t="s">
        <v>6984</v>
      </c>
      <c r="GCC35" t="s">
        <v>6984</v>
      </c>
      <c r="GCD35" t="s">
        <v>6984</v>
      </c>
      <c r="GCE35" t="s">
        <v>6984</v>
      </c>
      <c r="GCF35" t="s">
        <v>6984</v>
      </c>
      <c r="GCG35" t="s">
        <v>6984</v>
      </c>
      <c r="GCH35" t="s">
        <v>6984</v>
      </c>
      <c r="GCI35" t="s">
        <v>6984</v>
      </c>
      <c r="GCJ35" t="s">
        <v>6984</v>
      </c>
      <c r="GCK35" t="s">
        <v>6984</v>
      </c>
      <c r="GCL35" t="s">
        <v>6984</v>
      </c>
      <c r="GCM35" t="s">
        <v>6984</v>
      </c>
      <c r="GCN35" t="s">
        <v>6984</v>
      </c>
      <c r="GCO35" t="s">
        <v>6984</v>
      </c>
      <c r="GCP35" t="s">
        <v>6984</v>
      </c>
      <c r="GCQ35" t="s">
        <v>6984</v>
      </c>
      <c r="GCR35" t="s">
        <v>6984</v>
      </c>
      <c r="GCS35" t="s">
        <v>6984</v>
      </c>
      <c r="GCT35" t="s">
        <v>6984</v>
      </c>
      <c r="GCU35" t="s">
        <v>6984</v>
      </c>
      <c r="GCV35" t="s">
        <v>6984</v>
      </c>
      <c r="GCW35" t="s">
        <v>6984</v>
      </c>
      <c r="GCX35" t="s">
        <v>6984</v>
      </c>
      <c r="GCY35" t="s">
        <v>6984</v>
      </c>
      <c r="GCZ35" t="s">
        <v>6984</v>
      </c>
      <c r="GDA35" t="s">
        <v>6984</v>
      </c>
      <c r="GDB35" t="s">
        <v>6984</v>
      </c>
      <c r="GDC35" t="s">
        <v>6984</v>
      </c>
      <c r="GDD35" t="s">
        <v>6984</v>
      </c>
      <c r="GDE35" t="s">
        <v>6984</v>
      </c>
      <c r="GDF35" t="s">
        <v>6984</v>
      </c>
      <c r="GDG35" t="s">
        <v>6984</v>
      </c>
      <c r="GDH35" t="s">
        <v>6984</v>
      </c>
      <c r="GDI35" t="s">
        <v>6984</v>
      </c>
      <c r="GDJ35" t="s">
        <v>6984</v>
      </c>
      <c r="GDK35" t="s">
        <v>6984</v>
      </c>
      <c r="GDL35" t="s">
        <v>6984</v>
      </c>
      <c r="GDM35" t="s">
        <v>6984</v>
      </c>
      <c r="GDN35" t="s">
        <v>6984</v>
      </c>
      <c r="GDO35" t="s">
        <v>6984</v>
      </c>
      <c r="GDP35" t="s">
        <v>6984</v>
      </c>
      <c r="GDQ35" t="s">
        <v>6984</v>
      </c>
      <c r="GDR35" t="s">
        <v>6984</v>
      </c>
      <c r="GDS35" t="s">
        <v>6984</v>
      </c>
      <c r="GDT35" t="s">
        <v>6984</v>
      </c>
      <c r="GDU35" t="s">
        <v>6984</v>
      </c>
      <c r="GDV35" t="s">
        <v>6984</v>
      </c>
      <c r="GDW35" t="s">
        <v>6984</v>
      </c>
      <c r="GDX35" t="s">
        <v>6984</v>
      </c>
      <c r="GDY35" t="s">
        <v>6984</v>
      </c>
      <c r="GDZ35" t="s">
        <v>6984</v>
      </c>
      <c r="GEA35" t="s">
        <v>6984</v>
      </c>
      <c r="GEB35" t="s">
        <v>6984</v>
      </c>
      <c r="GEC35" t="s">
        <v>6984</v>
      </c>
      <c r="GED35" t="s">
        <v>6984</v>
      </c>
      <c r="GEE35" t="s">
        <v>6984</v>
      </c>
      <c r="GEF35" t="s">
        <v>6984</v>
      </c>
      <c r="GEG35" t="s">
        <v>6984</v>
      </c>
      <c r="GEH35" t="s">
        <v>6984</v>
      </c>
      <c r="GEI35" t="s">
        <v>6984</v>
      </c>
      <c r="GEJ35" t="s">
        <v>6984</v>
      </c>
      <c r="GEK35" t="s">
        <v>6984</v>
      </c>
      <c r="GEL35" t="s">
        <v>6984</v>
      </c>
      <c r="GEM35" t="s">
        <v>6984</v>
      </c>
      <c r="GEN35" t="s">
        <v>6984</v>
      </c>
      <c r="GEO35" t="s">
        <v>6984</v>
      </c>
      <c r="GEP35" t="s">
        <v>6984</v>
      </c>
      <c r="GEQ35" t="s">
        <v>6984</v>
      </c>
      <c r="GER35" t="s">
        <v>6984</v>
      </c>
      <c r="GES35" t="s">
        <v>6984</v>
      </c>
      <c r="GET35" t="s">
        <v>6984</v>
      </c>
      <c r="GEU35" t="s">
        <v>6984</v>
      </c>
      <c r="GEV35" t="s">
        <v>6984</v>
      </c>
      <c r="GEW35" t="s">
        <v>6984</v>
      </c>
      <c r="GEX35" t="s">
        <v>6984</v>
      </c>
      <c r="GEY35" t="s">
        <v>6984</v>
      </c>
      <c r="GEZ35" t="s">
        <v>6984</v>
      </c>
      <c r="GFA35" t="s">
        <v>6984</v>
      </c>
      <c r="GFB35" t="s">
        <v>6984</v>
      </c>
      <c r="GFC35" t="s">
        <v>6984</v>
      </c>
      <c r="GFD35" t="s">
        <v>6984</v>
      </c>
      <c r="GFE35" t="s">
        <v>6984</v>
      </c>
      <c r="GFF35" t="s">
        <v>6984</v>
      </c>
      <c r="GFG35" t="s">
        <v>6984</v>
      </c>
      <c r="GFH35" t="s">
        <v>6984</v>
      </c>
      <c r="GFI35" t="s">
        <v>6984</v>
      </c>
      <c r="GFJ35" t="s">
        <v>6984</v>
      </c>
      <c r="GFK35" t="s">
        <v>6984</v>
      </c>
      <c r="GFL35" t="s">
        <v>6984</v>
      </c>
      <c r="GFM35" t="s">
        <v>6984</v>
      </c>
      <c r="GFN35" t="s">
        <v>6984</v>
      </c>
      <c r="GFO35" t="s">
        <v>6984</v>
      </c>
      <c r="GFP35" t="s">
        <v>6984</v>
      </c>
      <c r="GFQ35" t="s">
        <v>6984</v>
      </c>
      <c r="GFR35" t="s">
        <v>6984</v>
      </c>
      <c r="GFS35" t="s">
        <v>6984</v>
      </c>
      <c r="GFT35" t="s">
        <v>6984</v>
      </c>
      <c r="GFU35" t="s">
        <v>6984</v>
      </c>
      <c r="GFV35" t="s">
        <v>6984</v>
      </c>
      <c r="GFW35" t="s">
        <v>6984</v>
      </c>
      <c r="GFX35" t="s">
        <v>6984</v>
      </c>
      <c r="GFY35" t="s">
        <v>6984</v>
      </c>
      <c r="GFZ35" t="s">
        <v>6984</v>
      </c>
      <c r="GGA35" t="s">
        <v>6984</v>
      </c>
      <c r="GGB35" t="s">
        <v>6984</v>
      </c>
      <c r="GGC35" t="s">
        <v>6984</v>
      </c>
      <c r="GGD35" t="s">
        <v>6984</v>
      </c>
      <c r="GGE35" t="s">
        <v>6984</v>
      </c>
      <c r="GGF35" t="s">
        <v>6984</v>
      </c>
      <c r="GGG35" t="s">
        <v>6984</v>
      </c>
      <c r="GGH35" t="s">
        <v>6984</v>
      </c>
      <c r="GGI35" t="s">
        <v>6984</v>
      </c>
      <c r="GGJ35" t="s">
        <v>6984</v>
      </c>
      <c r="GGK35" t="s">
        <v>6984</v>
      </c>
      <c r="GGL35" t="s">
        <v>6984</v>
      </c>
      <c r="GGM35" t="s">
        <v>6984</v>
      </c>
      <c r="GGN35" t="s">
        <v>6984</v>
      </c>
      <c r="GGO35" t="s">
        <v>6984</v>
      </c>
      <c r="GGP35" t="s">
        <v>6984</v>
      </c>
      <c r="GGQ35" t="s">
        <v>6984</v>
      </c>
      <c r="GGR35" t="s">
        <v>6984</v>
      </c>
      <c r="GGS35" t="s">
        <v>6984</v>
      </c>
      <c r="GGT35" t="s">
        <v>6984</v>
      </c>
      <c r="GGU35" t="s">
        <v>6984</v>
      </c>
      <c r="GGV35" t="s">
        <v>6984</v>
      </c>
      <c r="GGW35" t="s">
        <v>6984</v>
      </c>
      <c r="GGX35" t="s">
        <v>6984</v>
      </c>
      <c r="GGY35" t="s">
        <v>6984</v>
      </c>
      <c r="GGZ35" t="s">
        <v>6984</v>
      </c>
      <c r="GHA35" t="s">
        <v>6984</v>
      </c>
      <c r="GHB35" t="s">
        <v>6984</v>
      </c>
      <c r="GHC35" t="s">
        <v>6984</v>
      </c>
      <c r="GHD35" t="s">
        <v>6984</v>
      </c>
      <c r="GHE35" t="s">
        <v>6984</v>
      </c>
      <c r="GHF35" t="s">
        <v>6984</v>
      </c>
      <c r="GHG35" t="s">
        <v>6984</v>
      </c>
      <c r="GHH35" t="s">
        <v>6984</v>
      </c>
      <c r="GHI35" t="s">
        <v>6984</v>
      </c>
      <c r="GHJ35" t="s">
        <v>6984</v>
      </c>
      <c r="GHK35" t="s">
        <v>6984</v>
      </c>
      <c r="GHL35" t="s">
        <v>6984</v>
      </c>
      <c r="GHM35" t="s">
        <v>6984</v>
      </c>
      <c r="GHN35" t="s">
        <v>6984</v>
      </c>
      <c r="GHO35" t="s">
        <v>6984</v>
      </c>
      <c r="GHP35" t="s">
        <v>6984</v>
      </c>
      <c r="GHQ35" t="s">
        <v>6984</v>
      </c>
      <c r="GHR35" t="s">
        <v>6984</v>
      </c>
      <c r="GHS35" t="s">
        <v>6984</v>
      </c>
      <c r="GHT35" t="s">
        <v>6984</v>
      </c>
      <c r="GHU35" t="s">
        <v>6984</v>
      </c>
      <c r="GHV35" t="s">
        <v>6984</v>
      </c>
      <c r="GHW35" t="s">
        <v>6984</v>
      </c>
      <c r="GHX35" t="s">
        <v>6984</v>
      </c>
      <c r="GHY35" t="s">
        <v>6984</v>
      </c>
      <c r="GHZ35" t="s">
        <v>6984</v>
      </c>
      <c r="GIA35" t="s">
        <v>6984</v>
      </c>
      <c r="GIB35" t="s">
        <v>6984</v>
      </c>
      <c r="GIC35" t="s">
        <v>6984</v>
      </c>
      <c r="GID35" t="s">
        <v>6984</v>
      </c>
      <c r="GIE35" t="s">
        <v>6984</v>
      </c>
      <c r="GIF35" t="s">
        <v>6984</v>
      </c>
      <c r="GIG35" t="s">
        <v>6984</v>
      </c>
      <c r="GIH35" t="s">
        <v>6984</v>
      </c>
      <c r="GII35" t="s">
        <v>6984</v>
      </c>
      <c r="GIJ35" t="s">
        <v>6984</v>
      </c>
      <c r="GIK35" t="s">
        <v>6984</v>
      </c>
      <c r="GIL35" t="s">
        <v>6984</v>
      </c>
      <c r="GIM35" t="s">
        <v>6984</v>
      </c>
      <c r="GIN35" t="s">
        <v>6984</v>
      </c>
      <c r="GIO35" t="s">
        <v>6984</v>
      </c>
      <c r="GIP35" t="s">
        <v>6984</v>
      </c>
      <c r="GIQ35" t="s">
        <v>6984</v>
      </c>
      <c r="GIR35" t="s">
        <v>6984</v>
      </c>
      <c r="GIS35" t="s">
        <v>6984</v>
      </c>
      <c r="GIT35" t="s">
        <v>6984</v>
      </c>
      <c r="GIU35" t="s">
        <v>6984</v>
      </c>
      <c r="GIV35" t="s">
        <v>6984</v>
      </c>
      <c r="GIW35" t="s">
        <v>6984</v>
      </c>
      <c r="GIX35" t="s">
        <v>6984</v>
      </c>
      <c r="GIY35" t="s">
        <v>6984</v>
      </c>
      <c r="GIZ35" t="s">
        <v>6984</v>
      </c>
      <c r="GJA35" t="s">
        <v>6984</v>
      </c>
      <c r="GJB35" t="s">
        <v>6984</v>
      </c>
      <c r="GJC35" t="s">
        <v>6984</v>
      </c>
      <c r="GJD35" t="s">
        <v>6984</v>
      </c>
      <c r="GJE35" t="s">
        <v>6984</v>
      </c>
      <c r="GJF35" t="s">
        <v>6984</v>
      </c>
      <c r="GJG35" t="s">
        <v>6984</v>
      </c>
      <c r="GJH35" t="s">
        <v>6984</v>
      </c>
      <c r="GJI35" t="s">
        <v>6984</v>
      </c>
      <c r="GJJ35" t="s">
        <v>6984</v>
      </c>
      <c r="GJK35" t="s">
        <v>6984</v>
      </c>
      <c r="GJL35" t="s">
        <v>6984</v>
      </c>
      <c r="GJM35" t="s">
        <v>6984</v>
      </c>
      <c r="GJN35" t="s">
        <v>6984</v>
      </c>
      <c r="GJO35" t="s">
        <v>6984</v>
      </c>
      <c r="GJP35" t="s">
        <v>6984</v>
      </c>
      <c r="GJQ35" t="s">
        <v>6984</v>
      </c>
      <c r="GJR35" t="s">
        <v>6984</v>
      </c>
      <c r="GJS35" t="s">
        <v>6984</v>
      </c>
      <c r="GJT35" t="s">
        <v>6984</v>
      </c>
      <c r="GJU35" t="s">
        <v>6984</v>
      </c>
      <c r="GJV35" t="s">
        <v>6984</v>
      </c>
      <c r="GJW35" t="s">
        <v>6984</v>
      </c>
      <c r="GJX35" t="s">
        <v>6984</v>
      </c>
      <c r="GJY35" t="s">
        <v>6984</v>
      </c>
      <c r="GJZ35" t="s">
        <v>6984</v>
      </c>
      <c r="GKA35" t="s">
        <v>6984</v>
      </c>
      <c r="GKB35" t="s">
        <v>6984</v>
      </c>
      <c r="GKC35" t="s">
        <v>6984</v>
      </c>
      <c r="GKD35" t="s">
        <v>6984</v>
      </c>
      <c r="GKE35" t="s">
        <v>6984</v>
      </c>
      <c r="GKF35" t="s">
        <v>6984</v>
      </c>
      <c r="GKG35" t="s">
        <v>6984</v>
      </c>
      <c r="GKH35" t="s">
        <v>6984</v>
      </c>
      <c r="GKI35" t="s">
        <v>6984</v>
      </c>
      <c r="GKJ35" t="s">
        <v>6984</v>
      </c>
      <c r="GKK35" t="s">
        <v>6984</v>
      </c>
      <c r="GKL35" t="s">
        <v>6984</v>
      </c>
      <c r="GKM35" t="s">
        <v>6984</v>
      </c>
      <c r="GKN35" t="s">
        <v>6984</v>
      </c>
      <c r="GKO35" t="s">
        <v>6984</v>
      </c>
      <c r="GKP35" t="s">
        <v>6984</v>
      </c>
      <c r="GKQ35" t="s">
        <v>6984</v>
      </c>
      <c r="GKR35" t="s">
        <v>6984</v>
      </c>
      <c r="GKS35" t="s">
        <v>6984</v>
      </c>
      <c r="GKT35" t="s">
        <v>6984</v>
      </c>
      <c r="GKU35" t="s">
        <v>6984</v>
      </c>
      <c r="GKV35" t="s">
        <v>6984</v>
      </c>
      <c r="GKW35" t="s">
        <v>6984</v>
      </c>
      <c r="GKX35" t="s">
        <v>6984</v>
      </c>
      <c r="GKY35" t="s">
        <v>6984</v>
      </c>
      <c r="GKZ35" t="s">
        <v>6984</v>
      </c>
      <c r="GLA35" t="s">
        <v>6984</v>
      </c>
      <c r="GLB35" t="s">
        <v>6984</v>
      </c>
      <c r="GLC35" t="s">
        <v>6984</v>
      </c>
      <c r="GLD35" t="s">
        <v>6984</v>
      </c>
      <c r="GLE35" t="s">
        <v>6984</v>
      </c>
      <c r="GLF35" t="s">
        <v>6984</v>
      </c>
      <c r="GLG35" t="s">
        <v>6984</v>
      </c>
      <c r="GLH35" t="s">
        <v>6984</v>
      </c>
      <c r="GLI35" t="s">
        <v>6984</v>
      </c>
      <c r="GLJ35" t="s">
        <v>6984</v>
      </c>
      <c r="GLK35" t="s">
        <v>6984</v>
      </c>
      <c r="GLL35" t="s">
        <v>6984</v>
      </c>
      <c r="GLM35" t="s">
        <v>6984</v>
      </c>
      <c r="GLN35" t="s">
        <v>6984</v>
      </c>
      <c r="GLO35" t="s">
        <v>6984</v>
      </c>
      <c r="GLP35" t="s">
        <v>6984</v>
      </c>
      <c r="GLQ35" t="s">
        <v>6984</v>
      </c>
      <c r="GLR35" t="s">
        <v>6984</v>
      </c>
      <c r="GLS35" t="s">
        <v>6984</v>
      </c>
      <c r="GLT35" t="s">
        <v>6984</v>
      </c>
      <c r="GLU35" t="s">
        <v>6984</v>
      </c>
      <c r="GLV35" t="s">
        <v>6984</v>
      </c>
      <c r="GLW35" t="s">
        <v>6984</v>
      </c>
      <c r="GLX35" t="s">
        <v>6984</v>
      </c>
      <c r="GLY35" t="s">
        <v>6984</v>
      </c>
      <c r="GLZ35" t="s">
        <v>6984</v>
      </c>
      <c r="GMA35" t="s">
        <v>6984</v>
      </c>
      <c r="GMB35" t="s">
        <v>6984</v>
      </c>
      <c r="GMC35" t="s">
        <v>6984</v>
      </c>
      <c r="GMD35" t="s">
        <v>6984</v>
      </c>
      <c r="GME35" t="s">
        <v>6984</v>
      </c>
      <c r="GMF35" t="s">
        <v>6984</v>
      </c>
      <c r="GMG35" t="s">
        <v>6984</v>
      </c>
      <c r="GMH35" t="s">
        <v>6984</v>
      </c>
      <c r="GMI35" t="s">
        <v>6984</v>
      </c>
      <c r="GMJ35" t="s">
        <v>6984</v>
      </c>
      <c r="GMK35" t="s">
        <v>6984</v>
      </c>
      <c r="GML35" t="s">
        <v>6984</v>
      </c>
      <c r="GMM35" t="s">
        <v>6984</v>
      </c>
      <c r="GMN35" t="s">
        <v>6984</v>
      </c>
      <c r="GMO35" t="s">
        <v>6984</v>
      </c>
      <c r="GMP35" t="s">
        <v>6984</v>
      </c>
      <c r="GMQ35" t="s">
        <v>6984</v>
      </c>
      <c r="GMR35" t="s">
        <v>6984</v>
      </c>
      <c r="GMS35" t="s">
        <v>6984</v>
      </c>
      <c r="GMT35" t="s">
        <v>6984</v>
      </c>
      <c r="GMU35" t="s">
        <v>6984</v>
      </c>
      <c r="GMV35" t="s">
        <v>6984</v>
      </c>
      <c r="GMW35" t="s">
        <v>6984</v>
      </c>
      <c r="GMX35" t="s">
        <v>6984</v>
      </c>
      <c r="GMY35" t="s">
        <v>6984</v>
      </c>
      <c r="GMZ35" t="s">
        <v>6984</v>
      </c>
      <c r="GNA35" t="s">
        <v>6984</v>
      </c>
      <c r="GNB35" t="s">
        <v>6984</v>
      </c>
      <c r="GNC35" t="s">
        <v>6984</v>
      </c>
      <c r="GND35" t="s">
        <v>6984</v>
      </c>
      <c r="GNE35" t="s">
        <v>6984</v>
      </c>
      <c r="GNF35" t="s">
        <v>6984</v>
      </c>
      <c r="GNG35" t="s">
        <v>6984</v>
      </c>
      <c r="GNH35" t="s">
        <v>6984</v>
      </c>
      <c r="GNI35" t="s">
        <v>6984</v>
      </c>
      <c r="GNJ35" t="s">
        <v>6984</v>
      </c>
      <c r="GNK35" t="s">
        <v>6984</v>
      </c>
      <c r="GNL35" t="s">
        <v>6984</v>
      </c>
      <c r="GNM35" t="s">
        <v>6984</v>
      </c>
      <c r="GNN35" t="s">
        <v>6984</v>
      </c>
      <c r="GNO35" t="s">
        <v>6984</v>
      </c>
      <c r="GNP35" t="s">
        <v>6984</v>
      </c>
      <c r="GNQ35" t="s">
        <v>6984</v>
      </c>
      <c r="GNR35" t="s">
        <v>6984</v>
      </c>
      <c r="GNS35" t="s">
        <v>6984</v>
      </c>
      <c r="GNT35" t="s">
        <v>6984</v>
      </c>
      <c r="GNU35" t="s">
        <v>6984</v>
      </c>
      <c r="GNV35" t="s">
        <v>6984</v>
      </c>
      <c r="GNW35" t="s">
        <v>6984</v>
      </c>
      <c r="GNX35" t="s">
        <v>6984</v>
      </c>
      <c r="GNY35" t="s">
        <v>6984</v>
      </c>
      <c r="GNZ35" t="s">
        <v>6984</v>
      </c>
      <c r="GOA35" t="s">
        <v>6984</v>
      </c>
      <c r="GOB35" t="s">
        <v>6984</v>
      </c>
      <c r="GOC35" t="s">
        <v>6984</v>
      </c>
      <c r="GOD35" t="s">
        <v>6984</v>
      </c>
      <c r="GOE35" t="s">
        <v>6984</v>
      </c>
      <c r="GOF35" t="s">
        <v>6984</v>
      </c>
      <c r="GOG35" t="s">
        <v>6984</v>
      </c>
      <c r="GOH35" t="s">
        <v>6984</v>
      </c>
      <c r="GOI35" t="s">
        <v>6984</v>
      </c>
      <c r="GOJ35" t="s">
        <v>6984</v>
      </c>
      <c r="GOK35" t="s">
        <v>6984</v>
      </c>
      <c r="GOL35" t="s">
        <v>6984</v>
      </c>
      <c r="GOM35" t="s">
        <v>6984</v>
      </c>
      <c r="GON35" t="s">
        <v>6984</v>
      </c>
      <c r="GOO35" t="s">
        <v>6984</v>
      </c>
      <c r="GOP35" t="s">
        <v>6984</v>
      </c>
      <c r="GOQ35" t="s">
        <v>6984</v>
      </c>
      <c r="GOR35" t="s">
        <v>6984</v>
      </c>
      <c r="GOS35" t="s">
        <v>6984</v>
      </c>
      <c r="GOT35" t="s">
        <v>6984</v>
      </c>
      <c r="GOU35" t="s">
        <v>6984</v>
      </c>
      <c r="GOV35" t="s">
        <v>6984</v>
      </c>
      <c r="GOW35" t="s">
        <v>6984</v>
      </c>
      <c r="GOX35" t="s">
        <v>6984</v>
      </c>
      <c r="GOY35" t="s">
        <v>6984</v>
      </c>
      <c r="GOZ35" t="s">
        <v>6984</v>
      </c>
      <c r="GPA35" t="s">
        <v>6984</v>
      </c>
      <c r="GPB35" t="s">
        <v>6984</v>
      </c>
      <c r="GPC35" t="s">
        <v>6984</v>
      </c>
      <c r="GPD35" t="s">
        <v>6984</v>
      </c>
      <c r="GPE35" t="s">
        <v>6984</v>
      </c>
      <c r="GPF35" t="s">
        <v>6984</v>
      </c>
      <c r="GPG35" t="s">
        <v>6984</v>
      </c>
      <c r="GPH35" t="s">
        <v>6984</v>
      </c>
      <c r="GPI35" t="s">
        <v>6984</v>
      </c>
      <c r="GPJ35" t="s">
        <v>6984</v>
      </c>
      <c r="GPK35" t="s">
        <v>6984</v>
      </c>
      <c r="GPL35" t="s">
        <v>6984</v>
      </c>
      <c r="GPM35" t="s">
        <v>6984</v>
      </c>
      <c r="GPN35" t="s">
        <v>6984</v>
      </c>
      <c r="GPO35" t="s">
        <v>6984</v>
      </c>
      <c r="GPP35" t="s">
        <v>6984</v>
      </c>
      <c r="GPQ35" t="s">
        <v>6984</v>
      </c>
      <c r="GPR35" t="s">
        <v>6984</v>
      </c>
      <c r="GPS35" t="s">
        <v>6984</v>
      </c>
      <c r="GPT35" t="s">
        <v>6984</v>
      </c>
      <c r="GPU35" t="s">
        <v>6984</v>
      </c>
      <c r="GPV35" t="s">
        <v>6984</v>
      </c>
      <c r="GPW35" t="s">
        <v>6984</v>
      </c>
      <c r="GPX35" t="s">
        <v>6984</v>
      </c>
      <c r="GPY35" t="s">
        <v>6984</v>
      </c>
      <c r="GPZ35" t="s">
        <v>6984</v>
      </c>
      <c r="GQA35" t="s">
        <v>6984</v>
      </c>
      <c r="GQB35" t="s">
        <v>6984</v>
      </c>
      <c r="GQC35" t="s">
        <v>6984</v>
      </c>
      <c r="GQD35" t="s">
        <v>6984</v>
      </c>
      <c r="GQE35" t="s">
        <v>6984</v>
      </c>
      <c r="GQF35" t="s">
        <v>6984</v>
      </c>
      <c r="GQG35" t="s">
        <v>6984</v>
      </c>
      <c r="GQH35" t="s">
        <v>6984</v>
      </c>
      <c r="GQI35" t="s">
        <v>6984</v>
      </c>
      <c r="GQJ35" t="s">
        <v>6984</v>
      </c>
      <c r="GQK35" t="s">
        <v>6984</v>
      </c>
      <c r="GQL35" t="s">
        <v>6984</v>
      </c>
      <c r="GQM35" t="s">
        <v>6984</v>
      </c>
      <c r="GQN35" t="s">
        <v>6984</v>
      </c>
      <c r="GQO35" t="s">
        <v>6984</v>
      </c>
      <c r="GQP35" t="s">
        <v>6984</v>
      </c>
      <c r="GQQ35" t="s">
        <v>6984</v>
      </c>
      <c r="GQR35" t="s">
        <v>6984</v>
      </c>
      <c r="GQS35" t="s">
        <v>6984</v>
      </c>
      <c r="GQT35" t="s">
        <v>6984</v>
      </c>
      <c r="GQU35" t="s">
        <v>6984</v>
      </c>
      <c r="GQV35" t="s">
        <v>6984</v>
      </c>
      <c r="GQW35" t="s">
        <v>6984</v>
      </c>
      <c r="GQX35" t="s">
        <v>6984</v>
      </c>
      <c r="GQY35" t="s">
        <v>6984</v>
      </c>
      <c r="GQZ35" t="s">
        <v>6984</v>
      </c>
      <c r="GRA35" t="s">
        <v>6984</v>
      </c>
      <c r="GRB35" t="s">
        <v>6984</v>
      </c>
      <c r="GRC35" t="s">
        <v>6984</v>
      </c>
      <c r="GRD35" t="s">
        <v>6984</v>
      </c>
      <c r="GRE35" t="s">
        <v>6984</v>
      </c>
      <c r="GRF35" t="s">
        <v>6984</v>
      </c>
      <c r="GRG35" t="s">
        <v>6984</v>
      </c>
      <c r="GRH35" t="s">
        <v>6984</v>
      </c>
      <c r="GRI35" t="s">
        <v>6984</v>
      </c>
      <c r="GRJ35" t="s">
        <v>6984</v>
      </c>
      <c r="GRK35" t="s">
        <v>6984</v>
      </c>
      <c r="GRL35" t="s">
        <v>6984</v>
      </c>
      <c r="GRM35" t="s">
        <v>6984</v>
      </c>
      <c r="GRN35" t="s">
        <v>6984</v>
      </c>
      <c r="GRO35" t="s">
        <v>6984</v>
      </c>
      <c r="GRP35" t="s">
        <v>6984</v>
      </c>
      <c r="GRQ35" t="s">
        <v>6984</v>
      </c>
      <c r="GRR35" t="s">
        <v>6984</v>
      </c>
      <c r="GRS35" t="s">
        <v>6984</v>
      </c>
      <c r="GRT35" t="s">
        <v>6984</v>
      </c>
      <c r="GRU35" t="s">
        <v>6984</v>
      </c>
      <c r="GRV35" t="s">
        <v>6984</v>
      </c>
      <c r="GRW35" t="s">
        <v>6984</v>
      </c>
      <c r="GRX35" t="s">
        <v>6984</v>
      </c>
      <c r="GRY35" t="s">
        <v>6984</v>
      </c>
      <c r="GRZ35" t="s">
        <v>6984</v>
      </c>
      <c r="GSA35" t="s">
        <v>6984</v>
      </c>
      <c r="GSB35" t="s">
        <v>6984</v>
      </c>
      <c r="GSC35" t="s">
        <v>6984</v>
      </c>
      <c r="GSD35" t="s">
        <v>6984</v>
      </c>
      <c r="GSE35" t="s">
        <v>6984</v>
      </c>
      <c r="GSF35" t="s">
        <v>6984</v>
      </c>
      <c r="GSG35" t="s">
        <v>6984</v>
      </c>
      <c r="GSH35" t="s">
        <v>6984</v>
      </c>
      <c r="GSI35" t="s">
        <v>6984</v>
      </c>
      <c r="GSJ35" t="s">
        <v>6984</v>
      </c>
      <c r="GSK35" t="s">
        <v>6984</v>
      </c>
      <c r="GSL35" t="s">
        <v>6984</v>
      </c>
      <c r="GSM35" t="s">
        <v>6984</v>
      </c>
      <c r="GSN35" t="s">
        <v>6984</v>
      </c>
      <c r="GSO35" t="s">
        <v>6984</v>
      </c>
      <c r="GSP35" t="s">
        <v>6984</v>
      </c>
      <c r="GSQ35" t="s">
        <v>6984</v>
      </c>
      <c r="GSR35" t="s">
        <v>6984</v>
      </c>
      <c r="GSS35" t="s">
        <v>6984</v>
      </c>
      <c r="GST35" t="s">
        <v>6984</v>
      </c>
      <c r="GSU35" t="s">
        <v>6984</v>
      </c>
      <c r="GSV35" t="s">
        <v>6984</v>
      </c>
      <c r="GSW35" t="s">
        <v>6984</v>
      </c>
      <c r="GSX35" t="s">
        <v>6984</v>
      </c>
      <c r="GSY35" t="s">
        <v>6984</v>
      </c>
      <c r="GSZ35" t="s">
        <v>6984</v>
      </c>
      <c r="GTA35" t="s">
        <v>6984</v>
      </c>
      <c r="GTB35" t="s">
        <v>6984</v>
      </c>
      <c r="GTC35" t="s">
        <v>6984</v>
      </c>
      <c r="GTD35" t="s">
        <v>6984</v>
      </c>
      <c r="GTE35" t="s">
        <v>6984</v>
      </c>
      <c r="GTF35" t="s">
        <v>6984</v>
      </c>
      <c r="GTG35" t="s">
        <v>6984</v>
      </c>
      <c r="GTH35" t="s">
        <v>6984</v>
      </c>
      <c r="GTI35" t="s">
        <v>6984</v>
      </c>
      <c r="GTJ35" t="s">
        <v>6984</v>
      </c>
      <c r="GTK35" t="s">
        <v>6984</v>
      </c>
      <c r="GTL35" t="s">
        <v>6984</v>
      </c>
      <c r="GTM35" t="s">
        <v>6984</v>
      </c>
      <c r="GTN35" t="s">
        <v>6984</v>
      </c>
      <c r="GTO35" t="s">
        <v>6984</v>
      </c>
      <c r="GTP35" t="s">
        <v>6984</v>
      </c>
      <c r="GTQ35" t="s">
        <v>6984</v>
      </c>
      <c r="GTR35" t="s">
        <v>6984</v>
      </c>
      <c r="GTS35" t="s">
        <v>6984</v>
      </c>
      <c r="GTT35" t="s">
        <v>6984</v>
      </c>
      <c r="GTU35" t="s">
        <v>6984</v>
      </c>
      <c r="GTV35" t="s">
        <v>6984</v>
      </c>
      <c r="GTW35" t="s">
        <v>6984</v>
      </c>
      <c r="GTX35" t="s">
        <v>6984</v>
      </c>
      <c r="GTY35" t="s">
        <v>6984</v>
      </c>
      <c r="GTZ35" t="s">
        <v>6984</v>
      </c>
      <c r="GUA35" t="s">
        <v>6984</v>
      </c>
      <c r="GUB35" t="s">
        <v>6984</v>
      </c>
      <c r="GUC35" t="s">
        <v>6984</v>
      </c>
      <c r="GUD35" t="s">
        <v>6984</v>
      </c>
      <c r="GUE35" t="s">
        <v>6984</v>
      </c>
      <c r="GUF35" t="s">
        <v>6984</v>
      </c>
      <c r="GUG35" t="s">
        <v>6984</v>
      </c>
      <c r="GUH35" t="s">
        <v>6984</v>
      </c>
      <c r="GUI35" t="s">
        <v>6984</v>
      </c>
      <c r="GUJ35" t="s">
        <v>6984</v>
      </c>
      <c r="GUK35" t="s">
        <v>6984</v>
      </c>
      <c r="GUL35" t="s">
        <v>6984</v>
      </c>
      <c r="GUM35" t="s">
        <v>6984</v>
      </c>
      <c r="GUN35" t="s">
        <v>6984</v>
      </c>
      <c r="GUO35" t="s">
        <v>6984</v>
      </c>
      <c r="GUP35" t="s">
        <v>6984</v>
      </c>
      <c r="GUQ35" t="s">
        <v>6984</v>
      </c>
      <c r="GUR35" t="s">
        <v>6984</v>
      </c>
      <c r="GUS35" t="s">
        <v>6984</v>
      </c>
      <c r="GUT35" t="s">
        <v>6984</v>
      </c>
      <c r="GUU35" t="s">
        <v>6984</v>
      </c>
      <c r="GUV35" t="s">
        <v>6984</v>
      </c>
      <c r="GUW35" t="s">
        <v>6984</v>
      </c>
      <c r="GUX35" t="s">
        <v>6984</v>
      </c>
      <c r="GUY35" t="s">
        <v>6984</v>
      </c>
      <c r="GUZ35" t="s">
        <v>6984</v>
      </c>
      <c r="GVA35" t="s">
        <v>6984</v>
      </c>
      <c r="GVB35" t="s">
        <v>6984</v>
      </c>
      <c r="GVC35" t="s">
        <v>6984</v>
      </c>
      <c r="GVD35" t="s">
        <v>6984</v>
      </c>
      <c r="GVE35" t="s">
        <v>6984</v>
      </c>
      <c r="GVF35" t="s">
        <v>6984</v>
      </c>
      <c r="GVG35" t="s">
        <v>6984</v>
      </c>
      <c r="GVH35" t="s">
        <v>6984</v>
      </c>
      <c r="GVI35" t="s">
        <v>6984</v>
      </c>
      <c r="GVJ35" t="s">
        <v>6984</v>
      </c>
      <c r="GVK35" t="s">
        <v>6984</v>
      </c>
      <c r="GVL35" t="s">
        <v>6984</v>
      </c>
      <c r="GVM35" t="s">
        <v>6984</v>
      </c>
      <c r="GVN35" t="s">
        <v>6984</v>
      </c>
      <c r="GVO35" t="s">
        <v>6984</v>
      </c>
      <c r="GVP35" t="s">
        <v>6984</v>
      </c>
      <c r="GVQ35" t="s">
        <v>6984</v>
      </c>
      <c r="GVR35" t="s">
        <v>6984</v>
      </c>
      <c r="GVS35" t="s">
        <v>6984</v>
      </c>
      <c r="GVT35" t="s">
        <v>6984</v>
      </c>
      <c r="GVU35" t="s">
        <v>6984</v>
      </c>
      <c r="GVV35" t="s">
        <v>6984</v>
      </c>
      <c r="GVW35" t="s">
        <v>6984</v>
      </c>
      <c r="GVX35" t="s">
        <v>6984</v>
      </c>
      <c r="GVY35" t="s">
        <v>6984</v>
      </c>
      <c r="GVZ35" t="s">
        <v>6984</v>
      </c>
      <c r="GWA35" t="s">
        <v>6984</v>
      </c>
      <c r="GWB35" t="s">
        <v>6984</v>
      </c>
      <c r="GWC35" t="s">
        <v>6984</v>
      </c>
      <c r="GWD35" t="s">
        <v>6984</v>
      </c>
      <c r="GWE35" t="s">
        <v>6984</v>
      </c>
      <c r="GWF35" t="s">
        <v>6984</v>
      </c>
      <c r="GWG35" t="s">
        <v>6984</v>
      </c>
      <c r="GWH35" t="s">
        <v>6984</v>
      </c>
      <c r="GWI35" t="s">
        <v>6984</v>
      </c>
      <c r="GWJ35" t="s">
        <v>6984</v>
      </c>
      <c r="GWK35" t="s">
        <v>6984</v>
      </c>
      <c r="GWL35" t="s">
        <v>6984</v>
      </c>
      <c r="GWM35" t="s">
        <v>6984</v>
      </c>
      <c r="GWN35" t="s">
        <v>6984</v>
      </c>
      <c r="GWO35" t="s">
        <v>6984</v>
      </c>
      <c r="GWP35" t="s">
        <v>6984</v>
      </c>
      <c r="GWQ35" t="s">
        <v>6984</v>
      </c>
      <c r="GWR35" t="s">
        <v>6984</v>
      </c>
      <c r="GWS35" t="s">
        <v>6984</v>
      </c>
      <c r="GWT35" t="s">
        <v>6984</v>
      </c>
      <c r="GWU35" t="s">
        <v>6984</v>
      </c>
      <c r="GWV35" t="s">
        <v>6984</v>
      </c>
      <c r="GWW35" t="s">
        <v>6984</v>
      </c>
      <c r="GWX35" t="s">
        <v>6984</v>
      </c>
      <c r="GWY35" t="s">
        <v>6984</v>
      </c>
      <c r="GWZ35" t="s">
        <v>6984</v>
      </c>
      <c r="GXA35" t="s">
        <v>6984</v>
      </c>
      <c r="GXB35" t="s">
        <v>6984</v>
      </c>
      <c r="GXC35" t="s">
        <v>6984</v>
      </c>
      <c r="GXD35" t="s">
        <v>6984</v>
      </c>
      <c r="GXE35" t="s">
        <v>6984</v>
      </c>
      <c r="GXF35" t="s">
        <v>6984</v>
      </c>
      <c r="GXG35" t="s">
        <v>6984</v>
      </c>
      <c r="GXH35" t="s">
        <v>6984</v>
      </c>
      <c r="GXI35" t="s">
        <v>6984</v>
      </c>
      <c r="GXJ35" t="s">
        <v>6984</v>
      </c>
      <c r="GXK35" t="s">
        <v>6984</v>
      </c>
      <c r="GXL35" t="s">
        <v>6984</v>
      </c>
      <c r="GXM35" t="s">
        <v>6984</v>
      </c>
      <c r="GXN35" t="s">
        <v>6984</v>
      </c>
      <c r="GXO35" t="s">
        <v>6984</v>
      </c>
      <c r="GXP35" t="s">
        <v>6984</v>
      </c>
      <c r="GXQ35" t="s">
        <v>6984</v>
      </c>
      <c r="GXR35" t="s">
        <v>6984</v>
      </c>
      <c r="GXS35" t="s">
        <v>6984</v>
      </c>
      <c r="GXT35" t="s">
        <v>6984</v>
      </c>
      <c r="GXU35" t="s">
        <v>6984</v>
      </c>
      <c r="GXV35" t="s">
        <v>6984</v>
      </c>
      <c r="GXW35" t="s">
        <v>6984</v>
      </c>
      <c r="GXX35" t="s">
        <v>6984</v>
      </c>
      <c r="GXY35" t="s">
        <v>6984</v>
      </c>
      <c r="GXZ35" t="s">
        <v>6984</v>
      </c>
      <c r="GYA35" t="s">
        <v>6984</v>
      </c>
      <c r="GYB35" t="s">
        <v>6984</v>
      </c>
      <c r="GYC35" t="s">
        <v>6984</v>
      </c>
      <c r="GYD35" t="s">
        <v>6984</v>
      </c>
      <c r="GYE35" t="s">
        <v>6984</v>
      </c>
      <c r="GYF35" t="s">
        <v>6984</v>
      </c>
      <c r="GYG35" t="s">
        <v>6984</v>
      </c>
      <c r="GYH35" t="s">
        <v>6984</v>
      </c>
      <c r="GYI35" t="s">
        <v>6984</v>
      </c>
      <c r="GYJ35" t="s">
        <v>6984</v>
      </c>
      <c r="GYK35" t="s">
        <v>6984</v>
      </c>
      <c r="GYL35" t="s">
        <v>6984</v>
      </c>
      <c r="GYM35" t="s">
        <v>6984</v>
      </c>
      <c r="GYN35" t="s">
        <v>6984</v>
      </c>
      <c r="GYO35" t="s">
        <v>6984</v>
      </c>
      <c r="GYP35" t="s">
        <v>6984</v>
      </c>
      <c r="GYQ35" t="s">
        <v>6984</v>
      </c>
      <c r="GYR35" t="s">
        <v>6984</v>
      </c>
      <c r="GYS35" t="s">
        <v>6984</v>
      </c>
      <c r="GYT35" t="s">
        <v>6984</v>
      </c>
      <c r="GYU35" t="s">
        <v>6984</v>
      </c>
      <c r="GYV35" t="s">
        <v>6984</v>
      </c>
      <c r="GYW35" t="s">
        <v>6984</v>
      </c>
      <c r="GYX35" t="s">
        <v>6984</v>
      </c>
      <c r="GYY35" t="s">
        <v>6984</v>
      </c>
      <c r="GYZ35" t="s">
        <v>6984</v>
      </c>
      <c r="GZA35" t="s">
        <v>6984</v>
      </c>
      <c r="GZB35" t="s">
        <v>6984</v>
      </c>
      <c r="GZC35" t="s">
        <v>6984</v>
      </c>
      <c r="GZD35" t="s">
        <v>6984</v>
      </c>
      <c r="GZE35" t="s">
        <v>6984</v>
      </c>
      <c r="GZF35" t="s">
        <v>6984</v>
      </c>
      <c r="GZG35" t="s">
        <v>6984</v>
      </c>
      <c r="GZH35" t="s">
        <v>6984</v>
      </c>
      <c r="GZI35" t="s">
        <v>6984</v>
      </c>
      <c r="GZJ35" t="s">
        <v>6984</v>
      </c>
      <c r="GZK35" t="s">
        <v>6984</v>
      </c>
      <c r="GZL35" t="s">
        <v>6984</v>
      </c>
      <c r="GZM35" t="s">
        <v>6984</v>
      </c>
      <c r="GZN35" t="s">
        <v>6984</v>
      </c>
      <c r="GZO35" t="s">
        <v>6984</v>
      </c>
      <c r="GZP35" t="s">
        <v>6984</v>
      </c>
      <c r="GZQ35" t="s">
        <v>6984</v>
      </c>
      <c r="GZR35" t="s">
        <v>6984</v>
      </c>
      <c r="GZS35" t="s">
        <v>6984</v>
      </c>
      <c r="GZT35" t="s">
        <v>6984</v>
      </c>
      <c r="GZU35" t="s">
        <v>6984</v>
      </c>
      <c r="GZV35" t="s">
        <v>6984</v>
      </c>
      <c r="GZW35" t="s">
        <v>6984</v>
      </c>
      <c r="GZX35" t="s">
        <v>6984</v>
      </c>
      <c r="GZY35" t="s">
        <v>6984</v>
      </c>
      <c r="GZZ35" t="s">
        <v>6984</v>
      </c>
      <c r="HAA35" t="s">
        <v>6984</v>
      </c>
      <c r="HAB35" t="s">
        <v>6984</v>
      </c>
      <c r="HAC35" t="s">
        <v>6984</v>
      </c>
      <c r="HAD35" t="s">
        <v>6984</v>
      </c>
      <c r="HAE35" t="s">
        <v>6984</v>
      </c>
      <c r="HAF35" t="s">
        <v>6984</v>
      </c>
      <c r="HAG35" t="s">
        <v>6984</v>
      </c>
      <c r="HAH35" t="s">
        <v>6984</v>
      </c>
      <c r="HAI35" t="s">
        <v>6984</v>
      </c>
      <c r="HAJ35" t="s">
        <v>6984</v>
      </c>
      <c r="HAK35" t="s">
        <v>6984</v>
      </c>
      <c r="HAL35" t="s">
        <v>6984</v>
      </c>
      <c r="HAM35" t="s">
        <v>6984</v>
      </c>
      <c r="HAN35" t="s">
        <v>6984</v>
      </c>
      <c r="HAO35" t="s">
        <v>6984</v>
      </c>
      <c r="HAP35" t="s">
        <v>6984</v>
      </c>
      <c r="HAQ35" t="s">
        <v>6984</v>
      </c>
      <c r="HAR35" t="s">
        <v>6984</v>
      </c>
      <c r="HAS35" t="s">
        <v>6984</v>
      </c>
      <c r="HAT35" t="s">
        <v>6984</v>
      </c>
      <c r="HAU35" t="s">
        <v>6984</v>
      </c>
      <c r="HAV35" t="s">
        <v>6984</v>
      </c>
      <c r="HAW35" t="s">
        <v>6984</v>
      </c>
      <c r="HAX35" t="s">
        <v>6984</v>
      </c>
      <c r="HAY35" t="s">
        <v>6984</v>
      </c>
      <c r="HAZ35" t="s">
        <v>6984</v>
      </c>
      <c r="HBA35" t="s">
        <v>6984</v>
      </c>
      <c r="HBB35" t="s">
        <v>6984</v>
      </c>
      <c r="HBC35" t="s">
        <v>6984</v>
      </c>
      <c r="HBD35" t="s">
        <v>6984</v>
      </c>
      <c r="HBE35" t="s">
        <v>6984</v>
      </c>
      <c r="HBF35" t="s">
        <v>6984</v>
      </c>
      <c r="HBG35" t="s">
        <v>6984</v>
      </c>
      <c r="HBH35" t="s">
        <v>6984</v>
      </c>
      <c r="HBI35" t="s">
        <v>6984</v>
      </c>
      <c r="HBJ35" t="s">
        <v>6984</v>
      </c>
      <c r="HBK35" t="s">
        <v>6984</v>
      </c>
      <c r="HBL35" t="s">
        <v>6984</v>
      </c>
      <c r="HBM35" t="s">
        <v>6984</v>
      </c>
      <c r="HBN35" t="s">
        <v>6984</v>
      </c>
      <c r="HBO35" t="s">
        <v>6984</v>
      </c>
      <c r="HBP35" t="s">
        <v>6984</v>
      </c>
      <c r="HBQ35" t="s">
        <v>6984</v>
      </c>
      <c r="HBR35" t="s">
        <v>6984</v>
      </c>
      <c r="HBS35" t="s">
        <v>6984</v>
      </c>
      <c r="HBT35" t="s">
        <v>6984</v>
      </c>
      <c r="HBU35" t="s">
        <v>6984</v>
      </c>
      <c r="HBV35" t="s">
        <v>6984</v>
      </c>
      <c r="HBW35" t="s">
        <v>6984</v>
      </c>
      <c r="HBX35" t="s">
        <v>6984</v>
      </c>
      <c r="HBY35" t="s">
        <v>6984</v>
      </c>
      <c r="HBZ35" t="s">
        <v>6984</v>
      </c>
      <c r="HCA35" t="s">
        <v>6984</v>
      </c>
      <c r="HCB35" t="s">
        <v>6984</v>
      </c>
      <c r="HCC35" t="s">
        <v>6984</v>
      </c>
      <c r="HCD35" t="s">
        <v>6984</v>
      </c>
      <c r="HCE35" t="s">
        <v>6984</v>
      </c>
      <c r="HCF35" t="s">
        <v>6984</v>
      </c>
      <c r="HCG35" t="s">
        <v>6984</v>
      </c>
      <c r="HCH35" t="s">
        <v>6984</v>
      </c>
      <c r="HCI35" t="s">
        <v>6984</v>
      </c>
      <c r="HCJ35" t="s">
        <v>6984</v>
      </c>
      <c r="HCK35" t="s">
        <v>6984</v>
      </c>
      <c r="HCL35" t="s">
        <v>6984</v>
      </c>
      <c r="HCM35" t="s">
        <v>6984</v>
      </c>
      <c r="HCN35" t="s">
        <v>6984</v>
      </c>
      <c r="HCO35" t="s">
        <v>6984</v>
      </c>
      <c r="HCP35" t="s">
        <v>6984</v>
      </c>
      <c r="HCQ35" t="s">
        <v>6984</v>
      </c>
      <c r="HCR35" t="s">
        <v>6984</v>
      </c>
      <c r="HCS35" t="s">
        <v>6984</v>
      </c>
      <c r="HCT35" t="s">
        <v>6984</v>
      </c>
      <c r="HCU35" t="s">
        <v>6984</v>
      </c>
      <c r="HCV35" t="s">
        <v>6984</v>
      </c>
      <c r="HCW35" t="s">
        <v>6984</v>
      </c>
      <c r="HCX35" t="s">
        <v>6984</v>
      </c>
      <c r="HCY35" t="s">
        <v>6984</v>
      </c>
      <c r="HCZ35" t="s">
        <v>6984</v>
      </c>
      <c r="HDA35" t="s">
        <v>6984</v>
      </c>
      <c r="HDB35" t="s">
        <v>6984</v>
      </c>
      <c r="HDC35" t="s">
        <v>6984</v>
      </c>
      <c r="HDD35" t="s">
        <v>6984</v>
      </c>
      <c r="HDE35" t="s">
        <v>6984</v>
      </c>
      <c r="HDF35" t="s">
        <v>6984</v>
      </c>
      <c r="HDG35" t="s">
        <v>6984</v>
      </c>
      <c r="HDH35" t="s">
        <v>6984</v>
      </c>
      <c r="HDI35" t="s">
        <v>6984</v>
      </c>
      <c r="HDJ35" t="s">
        <v>6984</v>
      </c>
      <c r="HDK35" t="s">
        <v>6984</v>
      </c>
      <c r="HDL35" t="s">
        <v>6984</v>
      </c>
      <c r="HDM35" t="s">
        <v>6984</v>
      </c>
      <c r="HDN35" t="s">
        <v>6984</v>
      </c>
      <c r="HDO35" t="s">
        <v>6984</v>
      </c>
      <c r="HDP35" t="s">
        <v>6984</v>
      </c>
      <c r="HDQ35" t="s">
        <v>6984</v>
      </c>
      <c r="HDR35" t="s">
        <v>6984</v>
      </c>
      <c r="HDS35" t="s">
        <v>6984</v>
      </c>
      <c r="HDT35" t="s">
        <v>6984</v>
      </c>
      <c r="HDU35" t="s">
        <v>6984</v>
      </c>
      <c r="HDV35" t="s">
        <v>6984</v>
      </c>
      <c r="HDW35" t="s">
        <v>6984</v>
      </c>
      <c r="HDX35" t="s">
        <v>6984</v>
      </c>
      <c r="HDY35" t="s">
        <v>6984</v>
      </c>
      <c r="HDZ35" t="s">
        <v>6984</v>
      </c>
      <c r="HEA35" t="s">
        <v>6984</v>
      </c>
      <c r="HEB35" t="s">
        <v>6984</v>
      </c>
      <c r="HEC35" t="s">
        <v>6984</v>
      </c>
      <c r="HED35" t="s">
        <v>6984</v>
      </c>
      <c r="HEE35" t="s">
        <v>6984</v>
      </c>
      <c r="HEF35" t="s">
        <v>6984</v>
      </c>
      <c r="HEG35" t="s">
        <v>6984</v>
      </c>
      <c r="HEH35" t="s">
        <v>6984</v>
      </c>
      <c r="HEI35" t="s">
        <v>6984</v>
      </c>
      <c r="HEJ35" t="s">
        <v>6984</v>
      </c>
      <c r="HEK35" t="s">
        <v>6984</v>
      </c>
      <c r="HEL35" t="s">
        <v>6984</v>
      </c>
      <c r="HEM35" t="s">
        <v>6984</v>
      </c>
      <c r="HEN35" t="s">
        <v>6984</v>
      </c>
      <c r="HEO35" t="s">
        <v>6984</v>
      </c>
      <c r="HEP35" t="s">
        <v>6984</v>
      </c>
      <c r="HEQ35" t="s">
        <v>6984</v>
      </c>
      <c r="HER35" t="s">
        <v>6984</v>
      </c>
      <c r="HES35" t="s">
        <v>6984</v>
      </c>
      <c r="HET35" t="s">
        <v>6984</v>
      </c>
      <c r="HEU35" t="s">
        <v>6984</v>
      </c>
      <c r="HEV35" t="s">
        <v>6984</v>
      </c>
      <c r="HEW35" t="s">
        <v>6984</v>
      </c>
      <c r="HEX35" t="s">
        <v>6984</v>
      </c>
      <c r="HEY35" t="s">
        <v>6984</v>
      </c>
      <c r="HEZ35" t="s">
        <v>6984</v>
      </c>
      <c r="HFA35" t="s">
        <v>6984</v>
      </c>
      <c r="HFB35" t="s">
        <v>6984</v>
      </c>
      <c r="HFC35" t="s">
        <v>6984</v>
      </c>
      <c r="HFD35" t="s">
        <v>6984</v>
      </c>
      <c r="HFE35" t="s">
        <v>6984</v>
      </c>
      <c r="HFF35" t="s">
        <v>6984</v>
      </c>
      <c r="HFG35" t="s">
        <v>6984</v>
      </c>
      <c r="HFH35" t="s">
        <v>6984</v>
      </c>
      <c r="HFI35" t="s">
        <v>6984</v>
      </c>
      <c r="HFJ35" t="s">
        <v>6984</v>
      </c>
      <c r="HFK35" t="s">
        <v>6984</v>
      </c>
      <c r="HFL35" t="s">
        <v>6984</v>
      </c>
      <c r="HFM35" t="s">
        <v>6984</v>
      </c>
      <c r="HFN35" t="s">
        <v>6984</v>
      </c>
      <c r="HFO35" t="s">
        <v>6984</v>
      </c>
      <c r="HFP35" t="s">
        <v>6984</v>
      </c>
      <c r="HFQ35" t="s">
        <v>6984</v>
      </c>
      <c r="HFR35" t="s">
        <v>6984</v>
      </c>
      <c r="HFS35" t="s">
        <v>6984</v>
      </c>
      <c r="HFT35" t="s">
        <v>6984</v>
      </c>
      <c r="HFU35" t="s">
        <v>6984</v>
      </c>
      <c r="HFV35" t="s">
        <v>6984</v>
      </c>
      <c r="HFW35" t="s">
        <v>6984</v>
      </c>
      <c r="HFX35" t="s">
        <v>6984</v>
      </c>
      <c r="HFY35" t="s">
        <v>6984</v>
      </c>
      <c r="HFZ35" t="s">
        <v>6984</v>
      </c>
      <c r="HGA35" t="s">
        <v>6984</v>
      </c>
      <c r="HGB35" t="s">
        <v>6984</v>
      </c>
      <c r="HGC35" t="s">
        <v>6984</v>
      </c>
      <c r="HGD35" t="s">
        <v>6984</v>
      </c>
      <c r="HGE35" t="s">
        <v>6984</v>
      </c>
      <c r="HGF35" t="s">
        <v>6984</v>
      </c>
      <c r="HGG35" t="s">
        <v>6984</v>
      </c>
      <c r="HGH35" t="s">
        <v>6984</v>
      </c>
      <c r="HGI35" t="s">
        <v>6984</v>
      </c>
      <c r="HGJ35" t="s">
        <v>6984</v>
      </c>
      <c r="HGK35" t="s">
        <v>6984</v>
      </c>
      <c r="HGL35" t="s">
        <v>6984</v>
      </c>
      <c r="HGM35" t="s">
        <v>6984</v>
      </c>
      <c r="HGN35" t="s">
        <v>6984</v>
      </c>
      <c r="HGO35" t="s">
        <v>6984</v>
      </c>
      <c r="HGP35" t="s">
        <v>6984</v>
      </c>
      <c r="HGQ35" t="s">
        <v>6984</v>
      </c>
      <c r="HGR35" t="s">
        <v>6984</v>
      </c>
      <c r="HGS35" t="s">
        <v>6984</v>
      </c>
      <c r="HGT35" t="s">
        <v>6984</v>
      </c>
      <c r="HGU35" t="s">
        <v>6984</v>
      </c>
      <c r="HGV35" t="s">
        <v>6984</v>
      </c>
      <c r="HGW35" t="s">
        <v>6984</v>
      </c>
      <c r="HGX35" t="s">
        <v>6984</v>
      </c>
      <c r="HGY35" t="s">
        <v>6984</v>
      </c>
      <c r="HGZ35" t="s">
        <v>6984</v>
      </c>
      <c r="HHA35" t="s">
        <v>6984</v>
      </c>
      <c r="HHB35" t="s">
        <v>6984</v>
      </c>
      <c r="HHC35" t="s">
        <v>6984</v>
      </c>
      <c r="HHD35" t="s">
        <v>6984</v>
      </c>
      <c r="HHE35" t="s">
        <v>6984</v>
      </c>
      <c r="HHF35" t="s">
        <v>6984</v>
      </c>
      <c r="HHG35" t="s">
        <v>6984</v>
      </c>
      <c r="HHH35" t="s">
        <v>6984</v>
      </c>
      <c r="HHI35" t="s">
        <v>6984</v>
      </c>
      <c r="HHJ35" t="s">
        <v>6984</v>
      </c>
      <c r="HHK35" t="s">
        <v>6984</v>
      </c>
      <c r="HHL35" t="s">
        <v>6984</v>
      </c>
      <c r="HHM35" t="s">
        <v>6984</v>
      </c>
      <c r="HHN35" t="s">
        <v>6984</v>
      </c>
      <c r="HHO35" t="s">
        <v>6984</v>
      </c>
      <c r="HHP35" t="s">
        <v>6984</v>
      </c>
      <c r="HHQ35" t="s">
        <v>6984</v>
      </c>
      <c r="HHR35" t="s">
        <v>6984</v>
      </c>
      <c r="HHS35" t="s">
        <v>6984</v>
      </c>
      <c r="HHT35" t="s">
        <v>6984</v>
      </c>
      <c r="HHU35" t="s">
        <v>6984</v>
      </c>
      <c r="HHV35" t="s">
        <v>6984</v>
      </c>
      <c r="HHW35" t="s">
        <v>6984</v>
      </c>
      <c r="HHX35" t="s">
        <v>6984</v>
      </c>
      <c r="HHY35" t="s">
        <v>6984</v>
      </c>
      <c r="HHZ35" t="s">
        <v>6984</v>
      </c>
      <c r="HIA35" t="s">
        <v>6984</v>
      </c>
      <c r="HIB35" t="s">
        <v>6984</v>
      </c>
      <c r="HIC35" t="s">
        <v>6984</v>
      </c>
      <c r="HID35" t="s">
        <v>6984</v>
      </c>
      <c r="HIE35" t="s">
        <v>6984</v>
      </c>
      <c r="HIF35" t="s">
        <v>6984</v>
      </c>
      <c r="HIG35" t="s">
        <v>6984</v>
      </c>
      <c r="HIH35" t="s">
        <v>6984</v>
      </c>
      <c r="HII35" t="s">
        <v>6984</v>
      </c>
      <c r="HIJ35" t="s">
        <v>6984</v>
      </c>
      <c r="HIK35" t="s">
        <v>6984</v>
      </c>
      <c r="HIL35" t="s">
        <v>6984</v>
      </c>
      <c r="HIM35" t="s">
        <v>6984</v>
      </c>
      <c r="HIN35" t="s">
        <v>6984</v>
      </c>
      <c r="HIO35" t="s">
        <v>6984</v>
      </c>
      <c r="HIP35" t="s">
        <v>6984</v>
      </c>
      <c r="HIQ35" t="s">
        <v>6984</v>
      </c>
      <c r="HIR35" t="s">
        <v>6984</v>
      </c>
      <c r="HIS35" t="s">
        <v>6984</v>
      </c>
      <c r="HIT35" t="s">
        <v>6984</v>
      </c>
      <c r="HIU35" t="s">
        <v>6984</v>
      </c>
      <c r="HIV35" t="s">
        <v>6984</v>
      </c>
      <c r="HIW35" t="s">
        <v>6984</v>
      </c>
      <c r="HIX35" t="s">
        <v>6984</v>
      </c>
      <c r="HIY35" t="s">
        <v>6984</v>
      </c>
      <c r="HIZ35" t="s">
        <v>6984</v>
      </c>
      <c r="HJA35" t="s">
        <v>6984</v>
      </c>
      <c r="HJB35" t="s">
        <v>6984</v>
      </c>
      <c r="HJC35" t="s">
        <v>6984</v>
      </c>
      <c r="HJD35" t="s">
        <v>6984</v>
      </c>
      <c r="HJE35" t="s">
        <v>6984</v>
      </c>
      <c r="HJF35" t="s">
        <v>6984</v>
      </c>
      <c r="HJG35" t="s">
        <v>6984</v>
      </c>
      <c r="HJH35" t="s">
        <v>6984</v>
      </c>
      <c r="HJI35" t="s">
        <v>6984</v>
      </c>
      <c r="HJJ35" t="s">
        <v>6984</v>
      </c>
      <c r="HJK35" t="s">
        <v>6984</v>
      </c>
      <c r="HJL35" t="s">
        <v>6984</v>
      </c>
      <c r="HJM35" t="s">
        <v>6984</v>
      </c>
      <c r="HJN35" t="s">
        <v>6984</v>
      </c>
      <c r="HJO35" t="s">
        <v>6984</v>
      </c>
      <c r="HJP35" t="s">
        <v>6984</v>
      </c>
      <c r="HJQ35" t="s">
        <v>6984</v>
      </c>
      <c r="HJR35" t="s">
        <v>6984</v>
      </c>
      <c r="HJS35" t="s">
        <v>6984</v>
      </c>
      <c r="HJT35" t="s">
        <v>6984</v>
      </c>
      <c r="HJU35" t="s">
        <v>6984</v>
      </c>
      <c r="HJV35" t="s">
        <v>6984</v>
      </c>
      <c r="HJW35" t="s">
        <v>6984</v>
      </c>
      <c r="HJX35" t="s">
        <v>6984</v>
      </c>
      <c r="HJY35" t="s">
        <v>6984</v>
      </c>
      <c r="HJZ35" t="s">
        <v>6984</v>
      </c>
      <c r="HKA35" t="s">
        <v>6984</v>
      </c>
      <c r="HKB35" t="s">
        <v>6984</v>
      </c>
      <c r="HKC35" t="s">
        <v>6984</v>
      </c>
      <c r="HKD35" t="s">
        <v>6984</v>
      </c>
      <c r="HKE35" t="s">
        <v>6984</v>
      </c>
      <c r="HKF35" t="s">
        <v>6984</v>
      </c>
      <c r="HKG35" t="s">
        <v>6984</v>
      </c>
      <c r="HKH35" t="s">
        <v>6984</v>
      </c>
      <c r="HKI35" t="s">
        <v>6984</v>
      </c>
      <c r="HKJ35" t="s">
        <v>6984</v>
      </c>
      <c r="HKK35" t="s">
        <v>6984</v>
      </c>
      <c r="HKL35" t="s">
        <v>6984</v>
      </c>
      <c r="HKM35" t="s">
        <v>6984</v>
      </c>
      <c r="HKN35" t="s">
        <v>6984</v>
      </c>
      <c r="HKO35" t="s">
        <v>6984</v>
      </c>
      <c r="HKP35" t="s">
        <v>6984</v>
      </c>
      <c r="HKQ35" t="s">
        <v>6984</v>
      </c>
      <c r="HKR35" t="s">
        <v>6984</v>
      </c>
      <c r="HKS35" t="s">
        <v>6984</v>
      </c>
      <c r="HKT35" t="s">
        <v>6984</v>
      </c>
      <c r="HKU35" t="s">
        <v>6984</v>
      </c>
      <c r="HKV35" t="s">
        <v>6984</v>
      </c>
      <c r="HKW35" t="s">
        <v>6984</v>
      </c>
      <c r="HKX35" t="s">
        <v>6984</v>
      </c>
      <c r="HKY35" t="s">
        <v>6984</v>
      </c>
      <c r="HKZ35" t="s">
        <v>6984</v>
      </c>
      <c r="HLA35" t="s">
        <v>6984</v>
      </c>
      <c r="HLB35" t="s">
        <v>6984</v>
      </c>
      <c r="HLC35" t="s">
        <v>6984</v>
      </c>
      <c r="HLD35" t="s">
        <v>6984</v>
      </c>
      <c r="HLE35" t="s">
        <v>6984</v>
      </c>
      <c r="HLF35" t="s">
        <v>6984</v>
      </c>
      <c r="HLG35" t="s">
        <v>6984</v>
      </c>
      <c r="HLH35" t="s">
        <v>6984</v>
      </c>
      <c r="HLI35" t="s">
        <v>6984</v>
      </c>
      <c r="HLJ35" t="s">
        <v>6984</v>
      </c>
      <c r="HLK35" t="s">
        <v>6984</v>
      </c>
      <c r="HLL35" t="s">
        <v>6984</v>
      </c>
      <c r="HLM35" t="s">
        <v>6984</v>
      </c>
      <c r="HLN35" t="s">
        <v>6984</v>
      </c>
      <c r="HLO35" t="s">
        <v>6984</v>
      </c>
      <c r="HLP35" t="s">
        <v>6984</v>
      </c>
      <c r="HLQ35" t="s">
        <v>6984</v>
      </c>
      <c r="HLR35" t="s">
        <v>6984</v>
      </c>
      <c r="HLS35" t="s">
        <v>6984</v>
      </c>
      <c r="HLT35" t="s">
        <v>6984</v>
      </c>
      <c r="HLU35" t="s">
        <v>6984</v>
      </c>
      <c r="HLV35" t="s">
        <v>6984</v>
      </c>
      <c r="HLW35" t="s">
        <v>6984</v>
      </c>
      <c r="HLX35" t="s">
        <v>6984</v>
      </c>
      <c r="HLY35" t="s">
        <v>6984</v>
      </c>
      <c r="HLZ35" t="s">
        <v>6984</v>
      </c>
      <c r="HMA35" t="s">
        <v>6984</v>
      </c>
      <c r="HMB35" t="s">
        <v>6984</v>
      </c>
      <c r="HMC35" t="s">
        <v>6984</v>
      </c>
      <c r="HMD35" t="s">
        <v>6984</v>
      </c>
      <c r="HME35" t="s">
        <v>6984</v>
      </c>
      <c r="HMF35" t="s">
        <v>6984</v>
      </c>
      <c r="HMG35" t="s">
        <v>6984</v>
      </c>
      <c r="HMH35" t="s">
        <v>6984</v>
      </c>
      <c r="HMI35" t="s">
        <v>6984</v>
      </c>
      <c r="HMJ35" t="s">
        <v>6984</v>
      </c>
      <c r="HMK35" t="s">
        <v>6984</v>
      </c>
      <c r="HML35" t="s">
        <v>6984</v>
      </c>
      <c r="HMM35" t="s">
        <v>6984</v>
      </c>
      <c r="HMN35" t="s">
        <v>6984</v>
      </c>
      <c r="HMO35" t="s">
        <v>6984</v>
      </c>
      <c r="HMP35" t="s">
        <v>6984</v>
      </c>
      <c r="HMQ35" t="s">
        <v>6984</v>
      </c>
      <c r="HMR35" t="s">
        <v>6984</v>
      </c>
      <c r="HMS35" t="s">
        <v>6984</v>
      </c>
      <c r="HMT35" t="s">
        <v>6984</v>
      </c>
      <c r="HMU35" t="s">
        <v>6984</v>
      </c>
      <c r="HMV35" t="s">
        <v>6984</v>
      </c>
      <c r="HMW35" t="s">
        <v>6984</v>
      </c>
      <c r="HMX35" t="s">
        <v>6984</v>
      </c>
      <c r="HMY35" t="s">
        <v>6984</v>
      </c>
      <c r="HMZ35" t="s">
        <v>6984</v>
      </c>
      <c r="HNA35" t="s">
        <v>6984</v>
      </c>
      <c r="HNB35" t="s">
        <v>6984</v>
      </c>
      <c r="HNC35" t="s">
        <v>6984</v>
      </c>
      <c r="HND35" t="s">
        <v>6984</v>
      </c>
      <c r="HNE35" t="s">
        <v>6984</v>
      </c>
      <c r="HNF35" t="s">
        <v>6984</v>
      </c>
      <c r="HNG35" t="s">
        <v>6984</v>
      </c>
      <c r="HNH35" t="s">
        <v>6984</v>
      </c>
      <c r="HNI35" t="s">
        <v>6984</v>
      </c>
      <c r="HNJ35" t="s">
        <v>6984</v>
      </c>
      <c r="HNK35" t="s">
        <v>6984</v>
      </c>
      <c r="HNL35" t="s">
        <v>6984</v>
      </c>
      <c r="HNM35" t="s">
        <v>6984</v>
      </c>
      <c r="HNN35" t="s">
        <v>6984</v>
      </c>
      <c r="HNO35" t="s">
        <v>6984</v>
      </c>
      <c r="HNP35" t="s">
        <v>6984</v>
      </c>
      <c r="HNQ35" t="s">
        <v>6984</v>
      </c>
      <c r="HNR35" t="s">
        <v>6984</v>
      </c>
      <c r="HNS35" t="s">
        <v>6984</v>
      </c>
      <c r="HNT35" t="s">
        <v>6984</v>
      </c>
      <c r="HNU35" t="s">
        <v>6984</v>
      </c>
      <c r="HNV35" t="s">
        <v>6984</v>
      </c>
      <c r="HNW35" t="s">
        <v>6984</v>
      </c>
      <c r="HNX35" t="s">
        <v>6984</v>
      </c>
      <c r="HNY35" t="s">
        <v>6984</v>
      </c>
      <c r="HNZ35" t="s">
        <v>6984</v>
      </c>
      <c r="HOA35" t="s">
        <v>6984</v>
      </c>
      <c r="HOB35" t="s">
        <v>6984</v>
      </c>
      <c r="HOC35" t="s">
        <v>6984</v>
      </c>
      <c r="HOD35" t="s">
        <v>6984</v>
      </c>
      <c r="HOE35" t="s">
        <v>6984</v>
      </c>
      <c r="HOF35" t="s">
        <v>6984</v>
      </c>
      <c r="HOG35" t="s">
        <v>6984</v>
      </c>
      <c r="HOH35" t="s">
        <v>6984</v>
      </c>
      <c r="HOI35" t="s">
        <v>6984</v>
      </c>
      <c r="HOJ35" t="s">
        <v>6984</v>
      </c>
      <c r="HOK35" t="s">
        <v>6984</v>
      </c>
      <c r="HOL35" t="s">
        <v>6984</v>
      </c>
      <c r="HOM35" t="s">
        <v>6984</v>
      </c>
      <c r="HON35" t="s">
        <v>6984</v>
      </c>
      <c r="HOO35" t="s">
        <v>6984</v>
      </c>
      <c r="HOP35" t="s">
        <v>6984</v>
      </c>
      <c r="HOQ35" t="s">
        <v>6984</v>
      </c>
      <c r="HOR35" t="s">
        <v>6984</v>
      </c>
      <c r="HOS35" t="s">
        <v>6984</v>
      </c>
      <c r="HOT35" t="s">
        <v>6984</v>
      </c>
      <c r="HOU35" t="s">
        <v>6984</v>
      </c>
      <c r="HOV35" t="s">
        <v>6984</v>
      </c>
      <c r="HOW35" t="s">
        <v>6984</v>
      </c>
      <c r="HOX35" t="s">
        <v>6984</v>
      </c>
      <c r="HOY35" t="s">
        <v>6984</v>
      </c>
      <c r="HOZ35" t="s">
        <v>6984</v>
      </c>
      <c r="HPA35" t="s">
        <v>6984</v>
      </c>
      <c r="HPB35" t="s">
        <v>6984</v>
      </c>
      <c r="HPC35" t="s">
        <v>6984</v>
      </c>
      <c r="HPD35" t="s">
        <v>6984</v>
      </c>
      <c r="HPE35" t="s">
        <v>6984</v>
      </c>
      <c r="HPF35" t="s">
        <v>6984</v>
      </c>
      <c r="HPG35" t="s">
        <v>6984</v>
      </c>
      <c r="HPH35" t="s">
        <v>6984</v>
      </c>
      <c r="HPI35" t="s">
        <v>6984</v>
      </c>
      <c r="HPJ35" t="s">
        <v>6984</v>
      </c>
      <c r="HPK35" t="s">
        <v>6984</v>
      </c>
      <c r="HPL35" t="s">
        <v>6984</v>
      </c>
      <c r="HPM35" t="s">
        <v>6984</v>
      </c>
      <c r="HPN35" t="s">
        <v>6984</v>
      </c>
      <c r="HPO35" t="s">
        <v>6984</v>
      </c>
      <c r="HPP35" t="s">
        <v>6984</v>
      </c>
      <c r="HPQ35" t="s">
        <v>6984</v>
      </c>
      <c r="HPR35" t="s">
        <v>6984</v>
      </c>
      <c r="HPS35" t="s">
        <v>6984</v>
      </c>
      <c r="HPT35" t="s">
        <v>6984</v>
      </c>
      <c r="HPU35" t="s">
        <v>6984</v>
      </c>
      <c r="HPV35" t="s">
        <v>6984</v>
      </c>
      <c r="HPW35" t="s">
        <v>6984</v>
      </c>
      <c r="HPX35" t="s">
        <v>6984</v>
      </c>
      <c r="HPY35" t="s">
        <v>6984</v>
      </c>
      <c r="HPZ35" t="s">
        <v>6984</v>
      </c>
      <c r="HQA35" t="s">
        <v>6984</v>
      </c>
      <c r="HQB35" t="s">
        <v>6984</v>
      </c>
      <c r="HQC35" t="s">
        <v>6984</v>
      </c>
      <c r="HQD35" t="s">
        <v>6984</v>
      </c>
      <c r="HQE35" t="s">
        <v>6984</v>
      </c>
      <c r="HQF35" t="s">
        <v>6984</v>
      </c>
      <c r="HQG35" t="s">
        <v>6984</v>
      </c>
      <c r="HQH35" t="s">
        <v>6984</v>
      </c>
      <c r="HQI35" t="s">
        <v>6984</v>
      </c>
      <c r="HQJ35" t="s">
        <v>6984</v>
      </c>
      <c r="HQK35" t="s">
        <v>6984</v>
      </c>
      <c r="HQL35" t="s">
        <v>6984</v>
      </c>
      <c r="HQM35" t="s">
        <v>6984</v>
      </c>
      <c r="HQN35" t="s">
        <v>6984</v>
      </c>
      <c r="HQO35" t="s">
        <v>6984</v>
      </c>
      <c r="HQP35" t="s">
        <v>6984</v>
      </c>
      <c r="HQQ35" t="s">
        <v>6984</v>
      </c>
      <c r="HQR35" t="s">
        <v>6984</v>
      </c>
      <c r="HQS35" t="s">
        <v>6984</v>
      </c>
      <c r="HQT35" t="s">
        <v>6984</v>
      </c>
      <c r="HQU35" t="s">
        <v>6984</v>
      </c>
      <c r="HQV35" t="s">
        <v>6984</v>
      </c>
      <c r="HQW35" t="s">
        <v>6984</v>
      </c>
      <c r="HQX35" t="s">
        <v>6984</v>
      </c>
      <c r="HQY35" t="s">
        <v>6984</v>
      </c>
      <c r="HQZ35" t="s">
        <v>6984</v>
      </c>
      <c r="HRA35" t="s">
        <v>6984</v>
      </c>
      <c r="HRB35" t="s">
        <v>6984</v>
      </c>
      <c r="HRC35" t="s">
        <v>6984</v>
      </c>
      <c r="HRD35" t="s">
        <v>6984</v>
      </c>
      <c r="HRE35" t="s">
        <v>6984</v>
      </c>
      <c r="HRF35" t="s">
        <v>6984</v>
      </c>
      <c r="HRG35" t="s">
        <v>6984</v>
      </c>
      <c r="HRH35" t="s">
        <v>6984</v>
      </c>
      <c r="HRI35" t="s">
        <v>6984</v>
      </c>
      <c r="HRJ35" t="s">
        <v>6984</v>
      </c>
      <c r="HRK35" t="s">
        <v>6984</v>
      </c>
      <c r="HRL35" t="s">
        <v>6984</v>
      </c>
      <c r="HRM35" t="s">
        <v>6984</v>
      </c>
      <c r="HRN35" t="s">
        <v>6984</v>
      </c>
      <c r="HRO35" t="s">
        <v>6984</v>
      </c>
      <c r="HRP35" t="s">
        <v>6984</v>
      </c>
      <c r="HRQ35" t="s">
        <v>6984</v>
      </c>
      <c r="HRR35" t="s">
        <v>6984</v>
      </c>
      <c r="HRS35" t="s">
        <v>6984</v>
      </c>
      <c r="HRT35" t="s">
        <v>6984</v>
      </c>
      <c r="HRU35" t="s">
        <v>6984</v>
      </c>
      <c r="HRV35" t="s">
        <v>6984</v>
      </c>
      <c r="HRW35" t="s">
        <v>6984</v>
      </c>
      <c r="HRX35" t="s">
        <v>6984</v>
      </c>
      <c r="HRY35" t="s">
        <v>6984</v>
      </c>
      <c r="HRZ35" t="s">
        <v>6984</v>
      </c>
      <c r="HSA35" t="s">
        <v>6984</v>
      </c>
      <c r="HSB35" t="s">
        <v>6984</v>
      </c>
      <c r="HSC35" t="s">
        <v>6984</v>
      </c>
      <c r="HSD35" t="s">
        <v>6984</v>
      </c>
      <c r="HSE35" t="s">
        <v>6984</v>
      </c>
      <c r="HSF35" t="s">
        <v>6984</v>
      </c>
      <c r="HSG35" t="s">
        <v>6984</v>
      </c>
      <c r="HSH35" t="s">
        <v>6984</v>
      </c>
      <c r="HSI35" t="s">
        <v>6984</v>
      </c>
      <c r="HSJ35" t="s">
        <v>6984</v>
      </c>
      <c r="HSK35" t="s">
        <v>6984</v>
      </c>
      <c r="HSL35" t="s">
        <v>6984</v>
      </c>
      <c r="HSM35" t="s">
        <v>6984</v>
      </c>
      <c r="HSN35" t="s">
        <v>6984</v>
      </c>
      <c r="HSO35" t="s">
        <v>6984</v>
      </c>
      <c r="HSP35" t="s">
        <v>6984</v>
      </c>
      <c r="HSQ35" t="s">
        <v>6984</v>
      </c>
      <c r="HSR35" t="s">
        <v>6984</v>
      </c>
      <c r="HSS35" t="s">
        <v>6984</v>
      </c>
      <c r="HST35" t="s">
        <v>6984</v>
      </c>
      <c r="HSU35" t="s">
        <v>6984</v>
      </c>
      <c r="HSV35" t="s">
        <v>6984</v>
      </c>
      <c r="HSW35" t="s">
        <v>6984</v>
      </c>
      <c r="HSX35" t="s">
        <v>6984</v>
      </c>
      <c r="HSY35" t="s">
        <v>6984</v>
      </c>
      <c r="HSZ35" t="s">
        <v>6984</v>
      </c>
      <c r="HTA35" t="s">
        <v>6984</v>
      </c>
      <c r="HTB35" t="s">
        <v>6984</v>
      </c>
      <c r="HTC35" t="s">
        <v>6984</v>
      </c>
      <c r="HTD35" t="s">
        <v>6984</v>
      </c>
      <c r="HTE35" t="s">
        <v>6984</v>
      </c>
      <c r="HTF35" t="s">
        <v>6984</v>
      </c>
      <c r="HTG35" t="s">
        <v>6984</v>
      </c>
      <c r="HTH35" t="s">
        <v>6984</v>
      </c>
      <c r="HTI35" t="s">
        <v>6984</v>
      </c>
      <c r="HTJ35" t="s">
        <v>6984</v>
      </c>
      <c r="HTK35" t="s">
        <v>6984</v>
      </c>
      <c r="HTL35" t="s">
        <v>6984</v>
      </c>
      <c r="HTM35" t="s">
        <v>6984</v>
      </c>
      <c r="HTN35" t="s">
        <v>6984</v>
      </c>
      <c r="HTO35" t="s">
        <v>6984</v>
      </c>
      <c r="HTP35" t="s">
        <v>6984</v>
      </c>
      <c r="HTQ35" t="s">
        <v>6984</v>
      </c>
      <c r="HTR35" t="s">
        <v>6984</v>
      </c>
      <c r="HTS35" t="s">
        <v>6984</v>
      </c>
      <c r="HTT35" t="s">
        <v>6984</v>
      </c>
      <c r="HTU35" t="s">
        <v>6984</v>
      </c>
      <c r="HTV35" t="s">
        <v>6984</v>
      </c>
      <c r="HTW35" t="s">
        <v>6984</v>
      </c>
      <c r="HTX35" t="s">
        <v>6984</v>
      </c>
      <c r="HTY35" t="s">
        <v>6984</v>
      </c>
      <c r="HTZ35" t="s">
        <v>6984</v>
      </c>
      <c r="HUA35" t="s">
        <v>6984</v>
      </c>
      <c r="HUB35" t="s">
        <v>6984</v>
      </c>
      <c r="HUC35" t="s">
        <v>6984</v>
      </c>
      <c r="HUD35" t="s">
        <v>6984</v>
      </c>
      <c r="HUE35" t="s">
        <v>6984</v>
      </c>
      <c r="HUF35" t="s">
        <v>6984</v>
      </c>
      <c r="HUG35" t="s">
        <v>6984</v>
      </c>
      <c r="HUH35" t="s">
        <v>6984</v>
      </c>
      <c r="HUI35" t="s">
        <v>6984</v>
      </c>
      <c r="HUJ35" t="s">
        <v>6984</v>
      </c>
      <c r="HUK35" t="s">
        <v>6984</v>
      </c>
      <c r="HUL35" t="s">
        <v>6984</v>
      </c>
      <c r="HUM35" t="s">
        <v>6984</v>
      </c>
      <c r="HUN35" t="s">
        <v>6984</v>
      </c>
      <c r="HUO35" t="s">
        <v>6984</v>
      </c>
      <c r="HUP35" t="s">
        <v>6984</v>
      </c>
      <c r="HUQ35" t="s">
        <v>6984</v>
      </c>
      <c r="HUR35" t="s">
        <v>6984</v>
      </c>
      <c r="HUS35" t="s">
        <v>6984</v>
      </c>
      <c r="HUT35" t="s">
        <v>6984</v>
      </c>
      <c r="HUU35" t="s">
        <v>6984</v>
      </c>
      <c r="HUV35" t="s">
        <v>6984</v>
      </c>
      <c r="HUW35" t="s">
        <v>6984</v>
      </c>
      <c r="HUX35" t="s">
        <v>6984</v>
      </c>
      <c r="HUY35" t="s">
        <v>6984</v>
      </c>
      <c r="HUZ35" t="s">
        <v>6984</v>
      </c>
      <c r="HVA35" t="s">
        <v>6984</v>
      </c>
      <c r="HVB35" t="s">
        <v>6984</v>
      </c>
      <c r="HVC35" t="s">
        <v>6984</v>
      </c>
      <c r="HVD35" t="s">
        <v>6984</v>
      </c>
      <c r="HVE35" t="s">
        <v>6984</v>
      </c>
      <c r="HVF35" t="s">
        <v>6984</v>
      </c>
      <c r="HVG35" t="s">
        <v>6984</v>
      </c>
      <c r="HVH35" t="s">
        <v>6984</v>
      </c>
      <c r="HVI35" t="s">
        <v>6984</v>
      </c>
      <c r="HVJ35" t="s">
        <v>6984</v>
      </c>
      <c r="HVK35" t="s">
        <v>6984</v>
      </c>
      <c r="HVL35" t="s">
        <v>6984</v>
      </c>
      <c r="HVM35" t="s">
        <v>6984</v>
      </c>
      <c r="HVN35" t="s">
        <v>6984</v>
      </c>
      <c r="HVO35" t="s">
        <v>6984</v>
      </c>
      <c r="HVP35" t="s">
        <v>6984</v>
      </c>
      <c r="HVQ35" t="s">
        <v>6984</v>
      </c>
      <c r="HVR35" t="s">
        <v>6984</v>
      </c>
      <c r="HVS35" t="s">
        <v>6984</v>
      </c>
      <c r="HVT35" t="s">
        <v>6984</v>
      </c>
      <c r="HVU35" t="s">
        <v>6984</v>
      </c>
      <c r="HVV35" t="s">
        <v>6984</v>
      </c>
      <c r="HVW35" t="s">
        <v>6984</v>
      </c>
      <c r="HVX35" t="s">
        <v>6984</v>
      </c>
      <c r="HVY35" t="s">
        <v>6984</v>
      </c>
      <c r="HVZ35" t="s">
        <v>6984</v>
      </c>
      <c r="HWA35" t="s">
        <v>6984</v>
      </c>
      <c r="HWB35" t="s">
        <v>6984</v>
      </c>
      <c r="HWC35" t="s">
        <v>6984</v>
      </c>
      <c r="HWD35" t="s">
        <v>6984</v>
      </c>
      <c r="HWE35" t="s">
        <v>6984</v>
      </c>
      <c r="HWF35" t="s">
        <v>6984</v>
      </c>
      <c r="HWG35" t="s">
        <v>6984</v>
      </c>
      <c r="HWH35" t="s">
        <v>6984</v>
      </c>
      <c r="HWI35" t="s">
        <v>6984</v>
      </c>
      <c r="HWJ35" t="s">
        <v>6984</v>
      </c>
      <c r="HWK35" t="s">
        <v>6984</v>
      </c>
      <c r="HWL35" t="s">
        <v>6984</v>
      </c>
      <c r="HWM35" t="s">
        <v>6984</v>
      </c>
      <c r="HWN35" t="s">
        <v>6984</v>
      </c>
      <c r="HWO35" t="s">
        <v>6984</v>
      </c>
      <c r="HWP35" t="s">
        <v>6984</v>
      </c>
      <c r="HWQ35" t="s">
        <v>6984</v>
      </c>
      <c r="HWR35" t="s">
        <v>6984</v>
      </c>
      <c r="HWS35" t="s">
        <v>6984</v>
      </c>
      <c r="HWT35" t="s">
        <v>6984</v>
      </c>
      <c r="HWU35" t="s">
        <v>6984</v>
      </c>
      <c r="HWV35" t="s">
        <v>6984</v>
      </c>
      <c r="HWW35" t="s">
        <v>6984</v>
      </c>
      <c r="HWX35" t="s">
        <v>6984</v>
      </c>
      <c r="HWY35" t="s">
        <v>6984</v>
      </c>
      <c r="HWZ35" t="s">
        <v>6984</v>
      </c>
      <c r="HXA35" t="s">
        <v>6984</v>
      </c>
      <c r="HXB35" t="s">
        <v>6984</v>
      </c>
      <c r="HXC35" t="s">
        <v>6984</v>
      </c>
      <c r="HXD35" t="s">
        <v>6984</v>
      </c>
      <c r="HXE35" t="s">
        <v>6984</v>
      </c>
      <c r="HXF35" t="s">
        <v>6984</v>
      </c>
      <c r="HXG35" t="s">
        <v>6984</v>
      </c>
      <c r="HXH35" t="s">
        <v>6984</v>
      </c>
      <c r="HXI35" t="s">
        <v>6984</v>
      </c>
      <c r="HXJ35" t="s">
        <v>6984</v>
      </c>
      <c r="HXK35" t="s">
        <v>6984</v>
      </c>
      <c r="HXL35" t="s">
        <v>6984</v>
      </c>
      <c r="HXM35" t="s">
        <v>6984</v>
      </c>
      <c r="HXN35" t="s">
        <v>6984</v>
      </c>
      <c r="HXO35" t="s">
        <v>6984</v>
      </c>
      <c r="HXP35" t="s">
        <v>6984</v>
      </c>
      <c r="HXQ35" t="s">
        <v>6984</v>
      </c>
      <c r="HXR35" t="s">
        <v>6984</v>
      </c>
      <c r="HXS35" t="s">
        <v>6984</v>
      </c>
      <c r="HXT35" t="s">
        <v>6984</v>
      </c>
      <c r="HXU35" t="s">
        <v>6984</v>
      </c>
      <c r="HXV35" t="s">
        <v>6984</v>
      </c>
      <c r="HXW35" t="s">
        <v>6984</v>
      </c>
      <c r="HXX35" t="s">
        <v>6984</v>
      </c>
      <c r="HXY35" t="s">
        <v>6984</v>
      </c>
      <c r="HXZ35" t="s">
        <v>6984</v>
      </c>
      <c r="HYA35" t="s">
        <v>6984</v>
      </c>
      <c r="HYB35" t="s">
        <v>6984</v>
      </c>
      <c r="HYC35" t="s">
        <v>6984</v>
      </c>
      <c r="HYD35" t="s">
        <v>6984</v>
      </c>
      <c r="HYE35" t="s">
        <v>6984</v>
      </c>
      <c r="HYF35" t="s">
        <v>6984</v>
      </c>
      <c r="HYG35" t="s">
        <v>6984</v>
      </c>
      <c r="HYH35" t="s">
        <v>6984</v>
      </c>
      <c r="HYI35" t="s">
        <v>6984</v>
      </c>
      <c r="HYJ35" t="s">
        <v>6984</v>
      </c>
      <c r="HYK35" t="s">
        <v>6984</v>
      </c>
      <c r="HYL35" t="s">
        <v>6984</v>
      </c>
      <c r="HYM35" t="s">
        <v>6984</v>
      </c>
      <c r="HYN35" t="s">
        <v>6984</v>
      </c>
      <c r="HYO35" t="s">
        <v>6984</v>
      </c>
      <c r="HYP35" t="s">
        <v>6984</v>
      </c>
      <c r="HYQ35" t="s">
        <v>6984</v>
      </c>
      <c r="HYR35" t="s">
        <v>6984</v>
      </c>
      <c r="HYS35" t="s">
        <v>6984</v>
      </c>
      <c r="HYT35" t="s">
        <v>6984</v>
      </c>
      <c r="HYU35" t="s">
        <v>6984</v>
      </c>
      <c r="HYV35" t="s">
        <v>6984</v>
      </c>
      <c r="HYW35" t="s">
        <v>6984</v>
      </c>
      <c r="HYX35" t="s">
        <v>6984</v>
      </c>
      <c r="HYY35" t="s">
        <v>6984</v>
      </c>
      <c r="HYZ35" t="s">
        <v>6984</v>
      </c>
      <c r="HZA35" t="s">
        <v>6984</v>
      </c>
      <c r="HZB35" t="s">
        <v>6984</v>
      </c>
      <c r="HZC35" t="s">
        <v>6984</v>
      </c>
      <c r="HZD35" t="s">
        <v>6984</v>
      </c>
      <c r="HZE35" t="s">
        <v>6984</v>
      </c>
      <c r="HZF35" t="s">
        <v>6984</v>
      </c>
      <c r="HZG35" t="s">
        <v>6984</v>
      </c>
      <c r="HZH35" t="s">
        <v>6984</v>
      </c>
      <c r="HZI35" t="s">
        <v>6984</v>
      </c>
      <c r="HZJ35" t="s">
        <v>6984</v>
      </c>
      <c r="HZK35" t="s">
        <v>6984</v>
      </c>
      <c r="HZL35" t="s">
        <v>6984</v>
      </c>
      <c r="HZM35" t="s">
        <v>6984</v>
      </c>
      <c r="HZN35" t="s">
        <v>6984</v>
      </c>
      <c r="HZO35" t="s">
        <v>6984</v>
      </c>
      <c r="HZP35" t="s">
        <v>6984</v>
      </c>
      <c r="HZQ35" t="s">
        <v>6984</v>
      </c>
      <c r="HZR35" t="s">
        <v>6984</v>
      </c>
      <c r="HZS35" t="s">
        <v>6984</v>
      </c>
      <c r="HZT35" t="s">
        <v>6984</v>
      </c>
      <c r="HZU35" t="s">
        <v>6984</v>
      </c>
      <c r="HZV35" t="s">
        <v>6984</v>
      </c>
      <c r="HZW35" t="s">
        <v>6984</v>
      </c>
      <c r="HZX35" t="s">
        <v>6984</v>
      </c>
      <c r="HZY35" t="s">
        <v>6984</v>
      </c>
      <c r="HZZ35" t="s">
        <v>6984</v>
      </c>
      <c r="IAA35" t="s">
        <v>6984</v>
      </c>
      <c r="IAB35" t="s">
        <v>6984</v>
      </c>
      <c r="IAC35" t="s">
        <v>6984</v>
      </c>
      <c r="IAD35" t="s">
        <v>6984</v>
      </c>
      <c r="IAE35" t="s">
        <v>6984</v>
      </c>
      <c r="IAF35" t="s">
        <v>6984</v>
      </c>
      <c r="IAG35" t="s">
        <v>6984</v>
      </c>
      <c r="IAH35" t="s">
        <v>6984</v>
      </c>
      <c r="IAI35" t="s">
        <v>6984</v>
      </c>
      <c r="IAJ35" t="s">
        <v>6984</v>
      </c>
      <c r="IAK35" t="s">
        <v>6984</v>
      </c>
      <c r="IAL35" t="s">
        <v>6984</v>
      </c>
      <c r="IAM35" t="s">
        <v>6984</v>
      </c>
      <c r="IAN35" t="s">
        <v>6984</v>
      </c>
      <c r="IAO35" t="s">
        <v>6984</v>
      </c>
      <c r="IAP35" t="s">
        <v>6984</v>
      </c>
      <c r="IAQ35" t="s">
        <v>6984</v>
      </c>
      <c r="IAR35" t="s">
        <v>6984</v>
      </c>
      <c r="IAS35" t="s">
        <v>6984</v>
      </c>
      <c r="IAT35" t="s">
        <v>6984</v>
      </c>
      <c r="IAU35" t="s">
        <v>6984</v>
      </c>
      <c r="IAV35" t="s">
        <v>6984</v>
      </c>
      <c r="IAW35" t="s">
        <v>6984</v>
      </c>
      <c r="IAX35" t="s">
        <v>6984</v>
      </c>
      <c r="IAY35" t="s">
        <v>6984</v>
      </c>
      <c r="IAZ35" t="s">
        <v>6984</v>
      </c>
      <c r="IBA35" t="s">
        <v>6984</v>
      </c>
      <c r="IBB35" t="s">
        <v>6984</v>
      </c>
      <c r="IBC35" t="s">
        <v>6984</v>
      </c>
      <c r="IBD35" t="s">
        <v>6984</v>
      </c>
      <c r="IBE35" t="s">
        <v>6984</v>
      </c>
      <c r="IBF35" t="s">
        <v>6984</v>
      </c>
      <c r="IBG35" t="s">
        <v>6984</v>
      </c>
      <c r="IBH35" t="s">
        <v>6984</v>
      </c>
      <c r="IBI35" t="s">
        <v>6984</v>
      </c>
      <c r="IBJ35" t="s">
        <v>6984</v>
      </c>
      <c r="IBK35" t="s">
        <v>6984</v>
      </c>
      <c r="IBL35" t="s">
        <v>6984</v>
      </c>
      <c r="IBM35" t="s">
        <v>6984</v>
      </c>
      <c r="IBN35" t="s">
        <v>6984</v>
      </c>
      <c r="IBO35" t="s">
        <v>6984</v>
      </c>
      <c r="IBP35" t="s">
        <v>6984</v>
      </c>
      <c r="IBQ35" t="s">
        <v>6984</v>
      </c>
      <c r="IBR35" t="s">
        <v>6984</v>
      </c>
      <c r="IBS35" t="s">
        <v>6984</v>
      </c>
      <c r="IBT35" t="s">
        <v>6984</v>
      </c>
      <c r="IBU35" t="s">
        <v>6984</v>
      </c>
      <c r="IBV35" t="s">
        <v>6984</v>
      </c>
      <c r="IBW35" t="s">
        <v>6984</v>
      </c>
      <c r="IBX35" t="s">
        <v>6984</v>
      </c>
      <c r="IBY35" t="s">
        <v>6984</v>
      </c>
      <c r="IBZ35" t="s">
        <v>6984</v>
      </c>
      <c r="ICA35" t="s">
        <v>6984</v>
      </c>
      <c r="ICB35" t="s">
        <v>6984</v>
      </c>
      <c r="ICC35" t="s">
        <v>6984</v>
      </c>
      <c r="ICD35" t="s">
        <v>6984</v>
      </c>
      <c r="ICE35" t="s">
        <v>6984</v>
      </c>
      <c r="ICF35" t="s">
        <v>6984</v>
      </c>
      <c r="ICG35" t="s">
        <v>6984</v>
      </c>
      <c r="ICH35" t="s">
        <v>6984</v>
      </c>
      <c r="ICI35" t="s">
        <v>6984</v>
      </c>
      <c r="ICJ35" t="s">
        <v>6984</v>
      </c>
      <c r="ICK35" t="s">
        <v>6984</v>
      </c>
      <c r="ICL35" t="s">
        <v>6984</v>
      </c>
      <c r="ICM35" t="s">
        <v>6984</v>
      </c>
      <c r="ICN35" t="s">
        <v>6984</v>
      </c>
      <c r="ICO35" t="s">
        <v>6984</v>
      </c>
      <c r="ICP35" t="s">
        <v>6984</v>
      </c>
      <c r="ICQ35" t="s">
        <v>6984</v>
      </c>
      <c r="ICR35" t="s">
        <v>6984</v>
      </c>
      <c r="ICS35" t="s">
        <v>6984</v>
      </c>
      <c r="ICT35" t="s">
        <v>6984</v>
      </c>
      <c r="ICU35" t="s">
        <v>6984</v>
      </c>
      <c r="ICV35" t="s">
        <v>6984</v>
      </c>
      <c r="ICW35" t="s">
        <v>6984</v>
      </c>
      <c r="ICX35" t="s">
        <v>6984</v>
      </c>
      <c r="ICY35" t="s">
        <v>6984</v>
      </c>
      <c r="ICZ35" t="s">
        <v>6984</v>
      </c>
      <c r="IDA35" t="s">
        <v>6984</v>
      </c>
      <c r="IDB35" t="s">
        <v>6984</v>
      </c>
      <c r="IDC35" t="s">
        <v>6984</v>
      </c>
      <c r="IDD35" t="s">
        <v>6984</v>
      </c>
      <c r="IDE35" t="s">
        <v>6984</v>
      </c>
      <c r="IDF35" t="s">
        <v>6984</v>
      </c>
      <c r="IDG35" t="s">
        <v>6984</v>
      </c>
      <c r="IDH35" t="s">
        <v>6984</v>
      </c>
      <c r="IDI35" t="s">
        <v>6984</v>
      </c>
      <c r="IDJ35" t="s">
        <v>6984</v>
      </c>
      <c r="IDK35" t="s">
        <v>6984</v>
      </c>
      <c r="IDL35" t="s">
        <v>6984</v>
      </c>
      <c r="IDM35" t="s">
        <v>6984</v>
      </c>
      <c r="IDN35" t="s">
        <v>6984</v>
      </c>
      <c r="IDO35" t="s">
        <v>6984</v>
      </c>
      <c r="IDP35" t="s">
        <v>6984</v>
      </c>
      <c r="IDQ35" t="s">
        <v>6984</v>
      </c>
      <c r="IDR35" t="s">
        <v>6984</v>
      </c>
      <c r="IDS35" t="s">
        <v>6984</v>
      </c>
      <c r="IDT35" t="s">
        <v>6984</v>
      </c>
      <c r="IDU35" t="s">
        <v>6984</v>
      </c>
      <c r="IDV35" t="s">
        <v>6984</v>
      </c>
      <c r="IDW35" t="s">
        <v>6984</v>
      </c>
      <c r="IDX35" t="s">
        <v>6984</v>
      </c>
      <c r="IDY35" t="s">
        <v>6984</v>
      </c>
      <c r="IDZ35" t="s">
        <v>6984</v>
      </c>
      <c r="IEA35" t="s">
        <v>6984</v>
      </c>
      <c r="IEB35" t="s">
        <v>6984</v>
      </c>
      <c r="IEC35" t="s">
        <v>6984</v>
      </c>
      <c r="IED35" t="s">
        <v>6984</v>
      </c>
      <c r="IEE35" t="s">
        <v>6984</v>
      </c>
      <c r="IEF35" t="s">
        <v>6984</v>
      </c>
      <c r="IEG35" t="s">
        <v>6984</v>
      </c>
      <c r="IEH35" t="s">
        <v>6984</v>
      </c>
      <c r="IEI35" t="s">
        <v>6984</v>
      </c>
      <c r="IEJ35" t="s">
        <v>6984</v>
      </c>
      <c r="IEK35" t="s">
        <v>6984</v>
      </c>
      <c r="IEL35" t="s">
        <v>6984</v>
      </c>
      <c r="IEM35" t="s">
        <v>6984</v>
      </c>
      <c r="IEN35" t="s">
        <v>6984</v>
      </c>
      <c r="IEO35" t="s">
        <v>6984</v>
      </c>
      <c r="IEP35" t="s">
        <v>6984</v>
      </c>
      <c r="IEQ35" t="s">
        <v>6984</v>
      </c>
      <c r="IER35" t="s">
        <v>6984</v>
      </c>
      <c r="IES35" t="s">
        <v>6984</v>
      </c>
      <c r="IET35" t="s">
        <v>6984</v>
      </c>
      <c r="IEU35" t="s">
        <v>6984</v>
      </c>
      <c r="IEV35" t="s">
        <v>6984</v>
      </c>
      <c r="IEW35" t="s">
        <v>6984</v>
      </c>
      <c r="IEX35" t="s">
        <v>6984</v>
      </c>
      <c r="IEY35" t="s">
        <v>6984</v>
      </c>
      <c r="IEZ35" t="s">
        <v>6984</v>
      </c>
      <c r="IFA35" t="s">
        <v>6984</v>
      </c>
      <c r="IFB35" t="s">
        <v>6984</v>
      </c>
      <c r="IFC35" t="s">
        <v>6984</v>
      </c>
      <c r="IFD35" t="s">
        <v>6984</v>
      </c>
      <c r="IFE35" t="s">
        <v>6984</v>
      </c>
      <c r="IFF35" t="s">
        <v>6984</v>
      </c>
      <c r="IFG35" t="s">
        <v>6984</v>
      </c>
      <c r="IFH35" t="s">
        <v>6984</v>
      </c>
      <c r="IFI35" t="s">
        <v>6984</v>
      </c>
      <c r="IFJ35" t="s">
        <v>6984</v>
      </c>
      <c r="IFK35" t="s">
        <v>6984</v>
      </c>
      <c r="IFL35" t="s">
        <v>6984</v>
      </c>
      <c r="IFM35" t="s">
        <v>6984</v>
      </c>
      <c r="IFN35" t="s">
        <v>6984</v>
      </c>
      <c r="IFO35" t="s">
        <v>6984</v>
      </c>
      <c r="IFP35" t="s">
        <v>6984</v>
      </c>
      <c r="IFQ35" t="s">
        <v>6984</v>
      </c>
      <c r="IFR35" t="s">
        <v>6984</v>
      </c>
      <c r="IFS35" t="s">
        <v>6984</v>
      </c>
      <c r="IFT35" t="s">
        <v>6984</v>
      </c>
      <c r="IFU35" t="s">
        <v>6984</v>
      </c>
      <c r="IFV35" t="s">
        <v>6984</v>
      </c>
      <c r="IFW35" t="s">
        <v>6984</v>
      </c>
      <c r="IFX35" t="s">
        <v>6984</v>
      </c>
      <c r="IFY35" t="s">
        <v>6984</v>
      </c>
      <c r="IFZ35" t="s">
        <v>6984</v>
      </c>
      <c r="IGA35" t="s">
        <v>6984</v>
      </c>
      <c r="IGB35" t="s">
        <v>6984</v>
      </c>
      <c r="IGC35" t="s">
        <v>6984</v>
      </c>
      <c r="IGD35" t="s">
        <v>6984</v>
      </c>
      <c r="IGE35" t="s">
        <v>6984</v>
      </c>
      <c r="IGF35" t="s">
        <v>6984</v>
      </c>
      <c r="IGG35" t="s">
        <v>6984</v>
      </c>
      <c r="IGH35" t="s">
        <v>6984</v>
      </c>
      <c r="IGI35" t="s">
        <v>6984</v>
      </c>
      <c r="IGJ35" t="s">
        <v>6984</v>
      </c>
      <c r="IGK35" t="s">
        <v>6984</v>
      </c>
      <c r="IGL35" t="s">
        <v>6984</v>
      </c>
      <c r="IGM35" t="s">
        <v>6984</v>
      </c>
      <c r="IGN35" t="s">
        <v>6984</v>
      </c>
      <c r="IGO35" t="s">
        <v>6984</v>
      </c>
      <c r="IGP35" t="s">
        <v>6984</v>
      </c>
      <c r="IGQ35" t="s">
        <v>6984</v>
      </c>
      <c r="IGR35" t="s">
        <v>6984</v>
      </c>
      <c r="IGS35" t="s">
        <v>6984</v>
      </c>
      <c r="IGT35" t="s">
        <v>6984</v>
      </c>
      <c r="IGU35" t="s">
        <v>6984</v>
      </c>
      <c r="IGV35" t="s">
        <v>6984</v>
      </c>
      <c r="IGW35" t="s">
        <v>6984</v>
      </c>
      <c r="IGX35" t="s">
        <v>6984</v>
      </c>
      <c r="IGY35" t="s">
        <v>6984</v>
      </c>
      <c r="IGZ35" t="s">
        <v>6984</v>
      </c>
      <c r="IHA35" t="s">
        <v>6984</v>
      </c>
      <c r="IHB35" t="s">
        <v>6984</v>
      </c>
      <c r="IHC35" t="s">
        <v>6984</v>
      </c>
      <c r="IHD35" t="s">
        <v>6984</v>
      </c>
      <c r="IHE35" t="s">
        <v>6984</v>
      </c>
      <c r="IHF35" t="s">
        <v>6984</v>
      </c>
      <c r="IHG35" t="s">
        <v>6984</v>
      </c>
      <c r="IHH35" t="s">
        <v>6984</v>
      </c>
      <c r="IHI35" t="s">
        <v>6984</v>
      </c>
      <c r="IHJ35" t="s">
        <v>6984</v>
      </c>
      <c r="IHK35" t="s">
        <v>6984</v>
      </c>
      <c r="IHL35" t="s">
        <v>6984</v>
      </c>
      <c r="IHM35" t="s">
        <v>6984</v>
      </c>
      <c r="IHN35" t="s">
        <v>6984</v>
      </c>
      <c r="IHO35" t="s">
        <v>6984</v>
      </c>
      <c r="IHP35" t="s">
        <v>6984</v>
      </c>
      <c r="IHQ35" t="s">
        <v>6984</v>
      </c>
      <c r="IHR35" t="s">
        <v>6984</v>
      </c>
      <c r="IHS35" t="s">
        <v>6984</v>
      </c>
      <c r="IHT35" t="s">
        <v>6984</v>
      </c>
      <c r="IHU35" t="s">
        <v>6984</v>
      </c>
      <c r="IHV35" t="s">
        <v>6984</v>
      </c>
      <c r="IHW35" t="s">
        <v>6984</v>
      </c>
      <c r="IHX35" t="s">
        <v>6984</v>
      </c>
      <c r="IHY35" t="s">
        <v>6984</v>
      </c>
      <c r="IHZ35" t="s">
        <v>6984</v>
      </c>
      <c r="IIA35" t="s">
        <v>6984</v>
      </c>
      <c r="IIB35" t="s">
        <v>6984</v>
      </c>
      <c r="IIC35" t="s">
        <v>6984</v>
      </c>
      <c r="IID35" t="s">
        <v>6984</v>
      </c>
      <c r="IIE35" t="s">
        <v>6984</v>
      </c>
      <c r="IIF35" t="s">
        <v>6984</v>
      </c>
      <c r="IIG35" t="s">
        <v>6984</v>
      </c>
      <c r="IIH35" t="s">
        <v>6984</v>
      </c>
      <c r="III35" t="s">
        <v>6984</v>
      </c>
      <c r="IIJ35" t="s">
        <v>6984</v>
      </c>
      <c r="IIK35" t="s">
        <v>6984</v>
      </c>
      <c r="IIL35" t="s">
        <v>6984</v>
      </c>
      <c r="IIM35" t="s">
        <v>6984</v>
      </c>
      <c r="IIN35" t="s">
        <v>6984</v>
      </c>
      <c r="IIO35" t="s">
        <v>6984</v>
      </c>
      <c r="IIP35" t="s">
        <v>6984</v>
      </c>
      <c r="IIQ35" t="s">
        <v>6984</v>
      </c>
      <c r="IIR35" t="s">
        <v>6984</v>
      </c>
      <c r="IIS35" t="s">
        <v>6984</v>
      </c>
      <c r="IIT35" t="s">
        <v>6984</v>
      </c>
      <c r="IIU35" t="s">
        <v>6984</v>
      </c>
      <c r="IIV35" t="s">
        <v>6984</v>
      </c>
      <c r="IIW35" t="s">
        <v>6984</v>
      </c>
      <c r="IIX35" t="s">
        <v>6984</v>
      </c>
      <c r="IIY35" t="s">
        <v>6984</v>
      </c>
      <c r="IIZ35" t="s">
        <v>6984</v>
      </c>
      <c r="IJA35" t="s">
        <v>6984</v>
      </c>
      <c r="IJB35" t="s">
        <v>6984</v>
      </c>
      <c r="IJC35" t="s">
        <v>6984</v>
      </c>
      <c r="IJD35" t="s">
        <v>6984</v>
      </c>
      <c r="IJE35" t="s">
        <v>6984</v>
      </c>
      <c r="IJF35" t="s">
        <v>6984</v>
      </c>
      <c r="IJG35" t="s">
        <v>6984</v>
      </c>
      <c r="IJH35" t="s">
        <v>6984</v>
      </c>
      <c r="IJI35" t="s">
        <v>6984</v>
      </c>
      <c r="IJJ35" t="s">
        <v>6984</v>
      </c>
      <c r="IJK35" t="s">
        <v>6984</v>
      </c>
      <c r="IJL35" t="s">
        <v>6984</v>
      </c>
      <c r="IJM35" t="s">
        <v>6984</v>
      </c>
      <c r="IJN35" t="s">
        <v>6984</v>
      </c>
      <c r="IJO35" t="s">
        <v>6984</v>
      </c>
      <c r="IJP35" t="s">
        <v>6984</v>
      </c>
      <c r="IJQ35" t="s">
        <v>6984</v>
      </c>
      <c r="IJR35" t="s">
        <v>6984</v>
      </c>
      <c r="IJS35" t="s">
        <v>6984</v>
      </c>
      <c r="IJT35" t="s">
        <v>6984</v>
      </c>
      <c r="IJU35" t="s">
        <v>6984</v>
      </c>
      <c r="IJV35" t="s">
        <v>6984</v>
      </c>
      <c r="IJW35" t="s">
        <v>6984</v>
      </c>
      <c r="IJX35" t="s">
        <v>6984</v>
      </c>
      <c r="IJY35" t="s">
        <v>6984</v>
      </c>
      <c r="IJZ35" t="s">
        <v>6984</v>
      </c>
      <c r="IKA35" t="s">
        <v>6984</v>
      </c>
      <c r="IKB35" t="s">
        <v>6984</v>
      </c>
      <c r="IKC35" t="s">
        <v>6984</v>
      </c>
      <c r="IKD35" t="s">
        <v>6984</v>
      </c>
      <c r="IKE35" t="s">
        <v>6984</v>
      </c>
      <c r="IKF35" t="s">
        <v>6984</v>
      </c>
      <c r="IKG35" t="s">
        <v>6984</v>
      </c>
      <c r="IKH35" t="s">
        <v>6984</v>
      </c>
      <c r="IKI35" t="s">
        <v>6984</v>
      </c>
      <c r="IKJ35" t="s">
        <v>6984</v>
      </c>
      <c r="IKK35" t="s">
        <v>6984</v>
      </c>
      <c r="IKL35" t="s">
        <v>6984</v>
      </c>
      <c r="IKM35" t="s">
        <v>6984</v>
      </c>
      <c r="IKN35" t="s">
        <v>6984</v>
      </c>
      <c r="IKO35" t="s">
        <v>6984</v>
      </c>
      <c r="IKP35" t="s">
        <v>6984</v>
      </c>
      <c r="IKQ35" t="s">
        <v>6984</v>
      </c>
      <c r="IKR35" t="s">
        <v>6984</v>
      </c>
      <c r="IKS35" t="s">
        <v>6984</v>
      </c>
      <c r="IKT35" t="s">
        <v>6984</v>
      </c>
      <c r="IKU35" t="s">
        <v>6984</v>
      </c>
      <c r="IKV35" t="s">
        <v>6984</v>
      </c>
      <c r="IKW35" t="s">
        <v>6984</v>
      </c>
      <c r="IKX35" t="s">
        <v>6984</v>
      </c>
      <c r="IKY35" t="s">
        <v>6984</v>
      </c>
      <c r="IKZ35" t="s">
        <v>6984</v>
      </c>
      <c r="ILA35" t="s">
        <v>6984</v>
      </c>
      <c r="ILB35" t="s">
        <v>6984</v>
      </c>
      <c r="ILC35" t="s">
        <v>6984</v>
      </c>
      <c r="ILD35" t="s">
        <v>6984</v>
      </c>
      <c r="ILE35" t="s">
        <v>6984</v>
      </c>
      <c r="ILF35" t="s">
        <v>6984</v>
      </c>
      <c r="ILG35" t="s">
        <v>6984</v>
      </c>
      <c r="ILH35" t="s">
        <v>6984</v>
      </c>
      <c r="ILI35" t="s">
        <v>6984</v>
      </c>
      <c r="ILJ35" t="s">
        <v>6984</v>
      </c>
      <c r="ILK35" t="s">
        <v>6984</v>
      </c>
      <c r="ILL35" t="s">
        <v>6984</v>
      </c>
      <c r="ILM35" t="s">
        <v>6984</v>
      </c>
      <c r="ILN35" t="s">
        <v>6984</v>
      </c>
      <c r="ILO35" t="s">
        <v>6984</v>
      </c>
      <c r="ILP35" t="s">
        <v>6984</v>
      </c>
      <c r="ILQ35" t="s">
        <v>6984</v>
      </c>
      <c r="ILR35" t="s">
        <v>6984</v>
      </c>
      <c r="ILS35" t="s">
        <v>6984</v>
      </c>
      <c r="ILT35" t="s">
        <v>6984</v>
      </c>
      <c r="ILU35" t="s">
        <v>6984</v>
      </c>
      <c r="ILV35" t="s">
        <v>6984</v>
      </c>
      <c r="ILW35" t="s">
        <v>6984</v>
      </c>
      <c r="ILX35" t="s">
        <v>6984</v>
      </c>
      <c r="ILY35" t="s">
        <v>6984</v>
      </c>
      <c r="ILZ35" t="s">
        <v>6984</v>
      </c>
      <c r="IMA35" t="s">
        <v>6984</v>
      </c>
      <c r="IMB35" t="s">
        <v>6984</v>
      </c>
      <c r="IMC35" t="s">
        <v>6984</v>
      </c>
      <c r="IMD35" t="s">
        <v>6984</v>
      </c>
      <c r="IME35" t="s">
        <v>6984</v>
      </c>
      <c r="IMF35" t="s">
        <v>6984</v>
      </c>
      <c r="IMG35" t="s">
        <v>6984</v>
      </c>
      <c r="IMH35" t="s">
        <v>6984</v>
      </c>
      <c r="IMI35" t="s">
        <v>6984</v>
      </c>
      <c r="IMJ35" t="s">
        <v>6984</v>
      </c>
      <c r="IMK35" t="s">
        <v>6984</v>
      </c>
      <c r="IML35" t="s">
        <v>6984</v>
      </c>
      <c r="IMM35" t="s">
        <v>6984</v>
      </c>
      <c r="IMN35" t="s">
        <v>6984</v>
      </c>
      <c r="IMO35" t="s">
        <v>6984</v>
      </c>
      <c r="IMP35" t="s">
        <v>6984</v>
      </c>
      <c r="IMQ35" t="s">
        <v>6984</v>
      </c>
      <c r="IMR35" t="s">
        <v>6984</v>
      </c>
      <c r="IMS35" t="s">
        <v>6984</v>
      </c>
      <c r="IMT35" t="s">
        <v>6984</v>
      </c>
      <c r="IMU35" t="s">
        <v>6984</v>
      </c>
      <c r="IMV35" t="s">
        <v>6984</v>
      </c>
      <c r="IMW35" t="s">
        <v>6984</v>
      </c>
      <c r="IMX35" t="s">
        <v>6984</v>
      </c>
      <c r="IMY35" t="s">
        <v>6984</v>
      </c>
      <c r="IMZ35" t="s">
        <v>6984</v>
      </c>
      <c r="INA35" t="s">
        <v>6984</v>
      </c>
      <c r="INB35" t="s">
        <v>6984</v>
      </c>
      <c r="INC35" t="s">
        <v>6984</v>
      </c>
      <c r="IND35" t="s">
        <v>6984</v>
      </c>
      <c r="INE35" t="s">
        <v>6984</v>
      </c>
      <c r="INF35" t="s">
        <v>6984</v>
      </c>
      <c r="ING35" t="s">
        <v>6984</v>
      </c>
      <c r="INH35" t="s">
        <v>6984</v>
      </c>
      <c r="INI35" t="s">
        <v>6984</v>
      </c>
      <c r="INJ35" t="s">
        <v>6984</v>
      </c>
      <c r="INK35" t="s">
        <v>6984</v>
      </c>
      <c r="INL35" t="s">
        <v>6984</v>
      </c>
      <c r="INM35" t="s">
        <v>6984</v>
      </c>
      <c r="INN35" t="s">
        <v>6984</v>
      </c>
      <c r="INO35" t="s">
        <v>6984</v>
      </c>
      <c r="INP35" t="s">
        <v>6984</v>
      </c>
      <c r="INQ35" t="s">
        <v>6984</v>
      </c>
      <c r="INR35" t="s">
        <v>6984</v>
      </c>
      <c r="INS35" t="s">
        <v>6984</v>
      </c>
      <c r="INT35" t="s">
        <v>6984</v>
      </c>
      <c r="INU35" t="s">
        <v>6984</v>
      </c>
      <c r="INV35" t="s">
        <v>6984</v>
      </c>
      <c r="INW35" t="s">
        <v>6984</v>
      </c>
      <c r="INX35" t="s">
        <v>6984</v>
      </c>
      <c r="INY35" t="s">
        <v>6984</v>
      </c>
      <c r="INZ35" t="s">
        <v>6984</v>
      </c>
      <c r="IOA35" t="s">
        <v>6984</v>
      </c>
      <c r="IOB35" t="s">
        <v>6984</v>
      </c>
      <c r="IOC35" t="s">
        <v>6984</v>
      </c>
      <c r="IOD35" t="s">
        <v>6984</v>
      </c>
      <c r="IOE35" t="s">
        <v>6984</v>
      </c>
      <c r="IOF35" t="s">
        <v>6984</v>
      </c>
      <c r="IOG35" t="s">
        <v>6984</v>
      </c>
      <c r="IOH35" t="s">
        <v>6984</v>
      </c>
      <c r="IOI35" t="s">
        <v>6984</v>
      </c>
      <c r="IOJ35" t="s">
        <v>6984</v>
      </c>
      <c r="IOK35" t="s">
        <v>6984</v>
      </c>
      <c r="IOL35" t="s">
        <v>6984</v>
      </c>
      <c r="IOM35" t="s">
        <v>6984</v>
      </c>
      <c r="ION35" t="s">
        <v>6984</v>
      </c>
      <c r="IOO35" t="s">
        <v>6984</v>
      </c>
      <c r="IOP35" t="s">
        <v>6984</v>
      </c>
      <c r="IOQ35" t="s">
        <v>6984</v>
      </c>
      <c r="IOR35" t="s">
        <v>6984</v>
      </c>
      <c r="IOS35" t="s">
        <v>6984</v>
      </c>
      <c r="IOT35" t="s">
        <v>6984</v>
      </c>
      <c r="IOU35" t="s">
        <v>6984</v>
      </c>
      <c r="IOV35" t="s">
        <v>6984</v>
      </c>
      <c r="IOW35" t="s">
        <v>6984</v>
      </c>
      <c r="IOX35" t="s">
        <v>6984</v>
      </c>
      <c r="IOY35" t="s">
        <v>6984</v>
      </c>
      <c r="IOZ35" t="s">
        <v>6984</v>
      </c>
      <c r="IPA35" t="s">
        <v>6984</v>
      </c>
      <c r="IPB35" t="s">
        <v>6984</v>
      </c>
      <c r="IPC35" t="s">
        <v>6984</v>
      </c>
      <c r="IPD35" t="s">
        <v>6984</v>
      </c>
      <c r="IPE35" t="s">
        <v>6984</v>
      </c>
      <c r="IPF35" t="s">
        <v>6984</v>
      </c>
      <c r="IPG35" t="s">
        <v>6984</v>
      </c>
      <c r="IPH35" t="s">
        <v>6984</v>
      </c>
      <c r="IPI35" t="s">
        <v>6984</v>
      </c>
      <c r="IPJ35" t="s">
        <v>6984</v>
      </c>
      <c r="IPK35" t="s">
        <v>6984</v>
      </c>
      <c r="IPL35" t="s">
        <v>6984</v>
      </c>
      <c r="IPM35" t="s">
        <v>6984</v>
      </c>
      <c r="IPN35" t="s">
        <v>6984</v>
      </c>
      <c r="IPO35" t="s">
        <v>6984</v>
      </c>
      <c r="IPP35" t="s">
        <v>6984</v>
      </c>
      <c r="IPQ35" t="s">
        <v>6984</v>
      </c>
      <c r="IPR35" t="s">
        <v>6984</v>
      </c>
      <c r="IPS35" t="s">
        <v>6984</v>
      </c>
      <c r="IPT35" t="s">
        <v>6984</v>
      </c>
      <c r="IPU35" t="s">
        <v>6984</v>
      </c>
      <c r="IPV35" t="s">
        <v>6984</v>
      </c>
      <c r="IPW35" t="s">
        <v>6984</v>
      </c>
      <c r="IPX35" t="s">
        <v>6984</v>
      </c>
      <c r="IPY35" t="s">
        <v>6984</v>
      </c>
      <c r="IPZ35" t="s">
        <v>6984</v>
      </c>
      <c r="IQA35" t="s">
        <v>6984</v>
      </c>
      <c r="IQB35" t="s">
        <v>6984</v>
      </c>
      <c r="IQC35" t="s">
        <v>6984</v>
      </c>
      <c r="IQD35" t="s">
        <v>6984</v>
      </c>
      <c r="IQE35" t="s">
        <v>6984</v>
      </c>
      <c r="IQF35" t="s">
        <v>6984</v>
      </c>
      <c r="IQG35" t="s">
        <v>6984</v>
      </c>
      <c r="IQH35" t="s">
        <v>6984</v>
      </c>
      <c r="IQI35" t="s">
        <v>6984</v>
      </c>
      <c r="IQJ35" t="s">
        <v>6984</v>
      </c>
      <c r="IQK35" t="s">
        <v>6984</v>
      </c>
      <c r="IQL35" t="s">
        <v>6984</v>
      </c>
      <c r="IQM35" t="s">
        <v>6984</v>
      </c>
      <c r="IQN35" t="s">
        <v>6984</v>
      </c>
      <c r="IQO35" t="s">
        <v>6984</v>
      </c>
      <c r="IQP35" t="s">
        <v>6984</v>
      </c>
      <c r="IQQ35" t="s">
        <v>6984</v>
      </c>
      <c r="IQR35" t="s">
        <v>6984</v>
      </c>
      <c r="IQS35" t="s">
        <v>6984</v>
      </c>
      <c r="IQT35" t="s">
        <v>6984</v>
      </c>
      <c r="IQU35" t="s">
        <v>6984</v>
      </c>
      <c r="IQV35" t="s">
        <v>6984</v>
      </c>
      <c r="IQW35" t="s">
        <v>6984</v>
      </c>
      <c r="IQX35" t="s">
        <v>6984</v>
      </c>
      <c r="IQY35" t="s">
        <v>6984</v>
      </c>
      <c r="IQZ35" t="s">
        <v>6984</v>
      </c>
      <c r="IRA35" t="s">
        <v>6984</v>
      </c>
      <c r="IRB35" t="s">
        <v>6984</v>
      </c>
      <c r="IRC35" t="s">
        <v>6984</v>
      </c>
      <c r="IRD35" t="s">
        <v>6984</v>
      </c>
      <c r="IRE35" t="s">
        <v>6984</v>
      </c>
      <c r="IRF35" t="s">
        <v>6984</v>
      </c>
      <c r="IRG35" t="s">
        <v>6984</v>
      </c>
      <c r="IRH35" t="s">
        <v>6984</v>
      </c>
      <c r="IRI35" t="s">
        <v>6984</v>
      </c>
      <c r="IRJ35" t="s">
        <v>6984</v>
      </c>
      <c r="IRK35" t="s">
        <v>6984</v>
      </c>
      <c r="IRL35" t="s">
        <v>6984</v>
      </c>
      <c r="IRM35" t="s">
        <v>6984</v>
      </c>
      <c r="IRN35" t="s">
        <v>6984</v>
      </c>
      <c r="IRO35" t="s">
        <v>6984</v>
      </c>
      <c r="IRP35" t="s">
        <v>6984</v>
      </c>
      <c r="IRQ35" t="s">
        <v>6984</v>
      </c>
      <c r="IRR35" t="s">
        <v>6984</v>
      </c>
      <c r="IRS35" t="s">
        <v>6984</v>
      </c>
      <c r="IRT35" t="s">
        <v>6984</v>
      </c>
      <c r="IRU35" t="s">
        <v>6984</v>
      </c>
      <c r="IRV35" t="s">
        <v>6984</v>
      </c>
      <c r="IRW35" t="s">
        <v>6984</v>
      </c>
      <c r="IRX35" t="s">
        <v>6984</v>
      </c>
      <c r="IRY35" t="s">
        <v>6984</v>
      </c>
      <c r="IRZ35" t="s">
        <v>6984</v>
      </c>
      <c r="ISA35" t="s">
        <v>6984</v>
      </c>
      <c r="ISB35" t="s">
        <v>6984</v>
      </c>
      <c r="ISC35" t="s">
        <v>6984</v>
      </c>
      <c r="ISD35" t="s">
        <v>6984</v>
      </c>
      <c r="ISE35" t="s">
        <v>6984</v>
      </c>
      <c r="ISF35" t="s">
        <v>6984</v>
      </c>
      <c r="ISG35" t="s">
        <v>6984</v>
      </c>
      <c r="ISH35" t="s">
        <v>6984</v>
      </c>
      <c r="ISI35" t="s">
        <v>6984</v>
      </c>
      <c r="ISJ35" t="s">
        <v>6984</v>
      </c>
      <c r="ISK35" t="s">
        <v>6984</v>
      </c>
      <c r="ISL35" t="s">
        <v>6984</v>
      </c>
      <c r="ISM35" t="s">
        <v>6984</v>
      </c>
      <c r="ISN35" t="s">
        <v>6984</v>
      </c>
      <c r="ISO35" t="s">
        <v>6984</v>
      </c>
      <c r="ISP35" t="s">
        <v>6984</v>
      </c>
      <c r="ISQ35" t="s">
        <v>6984</v>
      </c>
      <c r="ISR35" t="s">
        <v>6984</v>
      </c>
      <c r="ISS35" t="s">
        <v>6984</v>
      </c>
      <c r="IST35" t="s">
        <v>6984</v>
      </c>
      <c r="ISU35" t="s">
        <v>6984</v>
      </c>
      <c r="ISV35" t="s">
        <v>6984</v>
      </c>
      <c r="ISW35" t="s">
        <v>6984</v>
      </c>
      <c r="ISX35" t="s">
        <v>6984</v>
      </c>
      <c r="ISY35" t="s">
        <v>6984</v>
      </c>
      <c r="ISZ35" t="s">
        <v>6984</v>
      </c>
      <c r="ITA35" t="s">
        <v>6984</v>
      </c>
      <c r="ITB35" t="s">
        <v>6984</v>
      </c>
      <c r="ITC35" t="s">
        <v>6984</v>
      </c>
      <c r="ITD35" t="s">
        <v>6984</v>
      </c>
      <c r="ITE35" t="s">
        <v>6984</v>
      </c>
      <c r="ITF35" t="s">
        <v>6984</v>
      </c>
      <c r="ITG35" t="s">
        <v>6984</v>
      </c>
      <c r="ITH35" t="s">
        <v>6984</v>
      </c>
      <c r="ITI35" t="s">
        <v>6984</v>
      </c>
      <c r="ITJ35" t="s">
        <v>6984</v>
      </c>
      <c r="ITK35" t="s">
        <v>6984</v>
      </c>
      <c r="ITL35" t="s">
        <v>6984</v>
      </c>
      <c r="ITM35" t="s">
        <v>6984</v>
      </c>
      <c r="ITN35" t="s">
        <v>6984</v>
      </c>
      <c r="ITO35" t="s">
        <v>6984</v>
      </c>
      <c r="ITP35" t="s">
        <v>6984</v>
      </c>
      <c r="ITQ35" t="s">
        <v>6984</v>
      </c>
      <c r="ITR35" t="s">
        <v>6984</v>
      </c>
      <c r="ITS35" t="s">
        <v>6984</v>
      </c>
      <c r="ITT35" t="s">
        <v>6984</v>
      </c>
      <c r="ITU35" t="s">
        <v>6984</v>
      </c>
      <c r="ITV35" t="s">
        <v>6984</v>
      </c>
      <c r="ITW35" t="s">
        <v>6984</v>
      </c>
      <c r="ITX35" t="s">
        <v>6984</v>
      </c>
      <c r="ITY35" t="s">
        <v>6984</v>
      </c>
      <c r="ITZ35" t="s">
        <v>6984</v>
      </c>
      <c r="IUA35" t="s">
        <v>6984</v>
      </c>
      <c r="IUB35" t="s">
        <v>6984</v>
      </c>
      <c r="IUC35" t="s">
        <v>6984</v>
      </c>
      <c r="IUD35" t="s">
        <v>6984</v>
      </c>
      <c r="IUE35" t="s">
        <v>6984</v>
      </c>
      <c r="IUF35" t="s">
        <v>6984</v>
      </c>
      <c r="IUG35" t="s">
        <v>6984</v>
      </c>
      <c r="IUH35" t="s">
        <v>6984</v>
      </c>
      <c r="IUI35" t="s">
        <v>6984</v>
      </c>
      <c r="IUJ35" t="s">
        <v>6984</v>
      </c>
      <c r="IUK35" t="s">
        <v>6984</v>
      </c>
      <c r="IUL35" t="s">
        <v>6984</v>
      </c>
      <c r="IUM35" t="s">
        <v>6984</v>
      </c>
      <c r="IUN35" t="s">
        <v>6984</v>
      </c>
      <c r="IUO35" t="s">
        <v>6984</v>
      </c>
      <c r="IUP35" t="s">
        <v>6984</v>
      </c>
      <c r="IUQ35" t="s">
        <v>6984</v>
      </c>
      <c r="IUR35" t="s">
        <v>6984</v>
      </c>
      <c r="IUS35" t="s">
        <v>6984</v>
      </c>
      <c r="IUT35" t="s">
        <v>6984</v>
      </c>
      <c r="IUU35" t="s">
        <v>6984</v>
      </c>
      <c r="IUV35" t="s">
        <v>6984</v>
      </c>
      <c r="IUW35" t="s">
        <v>6984</v>
      </c>
      <c r="IUX35" t="s">
        <v>6984</v>
      </c>
      <c r="IUY35" t="s">
        <v>6984</v>
      </c>
      <c r="IUZ35" t="s">
        <v>6984</v>
      </c>
      <c r="IVA35" t="s">
        <v>6984</v>
      </c>
      <c r="IVB35" t="s">
        <v>6984</v>
      </c>
      <c r="IVC35" t="s">
        <v>6984</v>
      </c>
      <c r="IVD35" t="s">
        <v>6984</v>
      </c>
      <c r="IVE35" t="s">
        <v>6984</v>
      </c>
      <c r="IVF35" t="s">
        <v>6984</v>
      </c>
      <c r="IVG35" t="s">
        <v>6984</v>
      </c>
      <c r="IVH35" t="s">
        <v>6984</v>
      </c>
      <c r="IVI35" t="s">
        <v>6984</v>
      </c>
      <c r="IVJ35" t="s">
        <v>6984</v>
      </c>
      <c r="IVK35" t="s">
        <v>6984</v>
      </c>
      <c r="IVL35" t="s">
        <v>6984</v>
      </c>
      <c r="IVM35" t="s">
        <v>6984</v>
      </c>
      <c r="IVN35" t="s">
        <v>6984</v>
      </c>
      <c r="IVO35" t="s">
        <v>6984</v>
      </c>
      <c r="IVP35" t="s">
        <v>6984</v>
      </c>
      <c r="IVQ35" t="s">
        <v>6984</v>
      </c>
      <c r="IVR35" t="s">
        <v>6984</v>
      </c>
      <c r="IVS35" t="s">
        <v>6984</v>
      </c>
      <c r="IVT35" t="s">
        <v>6984</v>
      </c>
      <c r="IVU35" t="s">
        <v>6984</v>
      </c>
      <c r="IVV35" t="s">
        <v>6984</v>
      </c>
      <c r="IVW35" t="s">
        <v>6984</v>
      </c>
      <c r="IVX35" t="s">
        <v>6984</v>
      </c>
      <c r="IVY35" t="s">
        <v>6984</v>
      </c>
      <c r="IVZ35" t="s">
        <v>6984</v>
      </c>
      <c r="IWA35" t="s">
        <v>6984</v>
      </c>
      <c r="IWB35" t="s">
        <v>6984</v>
      </c>
      <c r="IWC35" t="s">
        <v>6984</v>
      </c>
      <c r="IWD35" t="s">
        <v>6984</v>
      </c>
      <c r="IWE35" t="s">
        <v>6984</v>
      </c>
      <c r="IWF35" t="s">
        <v>6984</v>
      </c>
      <c r="IWG35" t="s">
        <v>6984</v>
      </c>
      <c r="IWH35" t="s">
        <v>6984</v>
      </c>
      <c r="IWI35" t="s">
        <v>6984</v>
      </c>
      <c r="IWJ35" t="s">
        <v>6984</v>
      </c>
      <c r="IWK35" t="s">
        <v>6984</v>
      </c>
      <c r="IWL35" t="s">
        <v>6984</v>
      </c>
      <c r="IWM35" t="s">
        <v>6984</v>
      </c>
      <c r="IWN35" t="s">
        <v>6984</v>
      </c>
      <c r="IWO35" t="s">
        <v>6984</v>
      </c>
      <c r="IWP35" t="s">
        <v>6984</v>
      </c>
      <c r="IWQ35" t="s">
        <v>6984</v>
      </c>
      <c r="IWR35" t="s">
        <v>6984</v>
      </c>
      <c r="IWS35" t="s">
        <v>6984</v>
      </c>
      <c r="IWT35" t="s">
        <v>6984</v>
      </c>
      <c r="IWU35" t="s">
        <v>6984</v>
      </c>
      <c r="IWV35" t="s">
        <v>6984</v>
      </c>
      <c r="IWW35" t="s">
        <v>6984</v>
      </c>
      <c r="IWX35" t="s">
        <v>6984</v>
      </c>
      <c r="IWY35" t="s">
        <v>6984</v>
      </c>
      <c r="IWZ35" t="s">
        <v>6984</v>
      </c>
      <c r="IXA35" t="s">
        <v>6984</v>
      </c>
      <c r="IXB35" t="s">
        <v>6984</v>
      </c>
      <c r="IXC35" t="s">
        <v>6984</v>
      </c>
      <c r="IXD35" t="s">
        <v>6984</v>
      </c>
      <c r="IXE35" t="s">
        <v>6984</v>
      </c>
      <c r="IXF35" t="s">
        <v>6984</v>
      </c>
      <c r="IXG35" t="s">
        <v>6984</v>
      </c>
      <c r="IXH35" t="s">
        <v>6984</v>
      </c>
      <c r="IXI35" t="s">
        <v>6984</v>
      </c>
      <c r="IXJ35" t="s">
        <v>6984</v>
      </c>
      <c r="IXK35" t="s">
        <v>6984</v>
      </c>
      <c r="IXL35" t="s">
        <v>6984</v>
      </c>
      <c r="IXM35" t="s">
        <v>6984</v>
      </c>
      <c r="IXN35" t="s">
        <v>6984</v>
      </c>
      <c r="IXO35" t="s">
        <v>6984</v>
      </c>
      <c r="IXP35" t="s">
        <v>6984</v>
      </c>
      <c r="IXQ35" t="s">
        <v>6984</v>
      </c>
      <c r="IXR35" t="s">
        <v>6984</v>
      </c>
      <c r="IXS35" t="s">
        <v>6984</v>
      </c>
      <c r="IXT35" t="s">
        <v>6984</v>
      </c>
      <c r="IXU35" t="s">
        <v>6984</v>
      </c>
      <c r="IXV35" t="s">
        <v>6984</v>
      </c>
      <c r="IXW35" t="s">
        <v>6984</v>
      </c>
      <c r="IXX35" t="s">
        <v>6984</v>
      </c>
      <c r="IXY35" t="s">
        <v>6984</v>
      </c>
      <c r="IXZ35" t="s">
        <v>6984</v>
      </c>
      <c r="IYA35" t="s">
        <v>6984</v>
      </c>
      <c r="IYB35" t="s">
        <v>6984</v>
      </c>
      <c r="IYC35" t="s">
        <v>6984</v>
      </c>
      <c r="IYD35" t="s">
        <v>6984</v>
      </c>
      <c r="IYE35" t="s">
        <v>6984</v>
      </c>
      <c r="IYF35" t="s">
        <v>6984</v>
      </c>
      <c r="IYG35" t="s">
        <v>6984</v>
      </c>
      <c r="IYH35" t="s">
        <v>6984</v>
      </c>
      <c r="IYI35" t="s">
        <v>6984</v>
      </c>
      <c r="IYJ35" t="s">
        <v>6984</v>
      </c>
      <c r="IYK35" t="s">
        <v>6984</v>
      </c>
      <c r="IYL35" t="s">
        <v>6984</v>
      </c>
      <c r="IYM35" t="s">
        <v>6984</v>
      </c>
      <c r="IYN35" t="s">
        <v>6984</v>
      </c>
      <c r="IYO35" t="s">
        <v>6984</v>
      </c>
      <c r="IYP35" t="s">
        <v>6984</v>
      </c>
      <c r="IYQ35" t="s">
        <v>6984</v>
      </c>
      <c r="IYR35" t="s">
        <v>6984</v>
      </c>
      <c r="IYS35" t="s">
        <v>6984</v>
      </c>
      <c r="IYT35" t="s">
        <v>6984</v>
      </c>
      <c r="IYU35" t="s">
        <v>6984</v>
      </c>
      <c r="IYV35" t="s">
        <v>6984</v>
      </c>
      <c r="IYW35" t="s">
        <v>6984</v>
      </c>
      <c r="IYX35" t="s">
        <v>6984</v>
      </c>
      <c r="IYY35" t="s">
        <v>6984</v>
      </c>
      <c r="IYZ35" t="s">
        <v>6984</v>
      </c>
      <c r="IZA35" t="s">
        <v>6984</v>
      </c>
      <c r="IZB35" t="s">
        <v>6984</v>
      </c>
      <c r="IZC35" t="s">
        <v>6984</v>
      </c>
      <c r="IZD35" t="s">
        <v>6984</v>
      </c>
      <c r="IZE35" t="s">
        <v>6984</v>
      </c>
      <c r="IZF35" t="s">
        <v>6984</v>
      </c>
      <c r="IZG35" t="s">
        <v>6984</v>
      </c>
      <c r="IZH35" t="s">
        <v>6984</v>
      </c>
      <c r="IZI35" t="s">
        <v>6984</v>
      </c>
      <c r="IZJ35" t="s">
        <v>6984</v>
      </c>
      <c r="IZK35" t="s">
        <v>6984</v>
      </c>
      <c r="IZL35" t="s">
        <v>6984</v>
      </c>
      <c r="IZM35" t="s">
        <v>6984</v>
      </c>
      <c r="IZN35" t="s">
        <v>6984</v>
      </c>
      <c r="IZO35" t="s">
        <v>6984</v>
      </c>
      <c r="IZP35" t="s">
        <v>6984</v>
      </c>
      <c r="IZQ35" t="s">
        <v>6984</v>
      </c>
      <c r="IZR35" t="s">
        <v>6984</v>
      </c>
      <c r="IZS35" t="s">
        <v>6984</v>
      </c>
      <c r="IZT35" t="s">
        <v>6984</v>
      </c>
      <c r="IZU35" t="s">
        <v>6984</v>
      </c>
      <c r="IZV35" t="s">
        <v>6984</v>
      </c>
      <c r="IZW35" t="s">
        <v>6984</v>
      </c>
      <c r="IZX35" t="s">
        <v>6984</v>
      </c>
      <c r="IZY35" t="s">
        <v>6984</v>
      </c>
      <c r="IZZ35" t="s">
        <v>6984</v>
      </c>
      <c r="JAA35" t="s">
        <v>6984</v>
      </c>
      <c r="JAB35" t="s">
        <v>6984</v>
      </c>
      <c r="JAC35" t="s">
        <v>6984</v>
      </c>
      <c r="JAD35" t="s">
        <v>6984</v>
      </c>
      <c r="JAE35" t="s">
        <v>6984</v>
      </c>
      <c r="JAF35" t="s">
        <v>6984</v>
      </c>
      <c r="JAG35" t="s">
        <v>6984</v>
      </c>
      <c r="JAH35" t="s">
        <v>6984</v>
      </c>
      <c r="JAI35" t="s">
        <v>6984</v>
      </c>
      <c r="JAJ35" t="s">
        <v>6984</v>
      </c>
      <c r="JAK35" t="s">
        <v>6984</v>
      </c>
      <c r="JAL35" t="s">
        <v>6984</v>
      </c>
      <c r="JAM35" t="s">
        <v>6984</v>
      </c>
      <c r="JAN35" t="s">
        <v>6984</v>
      </c>
      <c r="JAO35" t="s">
        <v>6984</v>
      </c>
      <c r="JAP35" t="s">
        <v>6984</v>
      </c>
      <c r="JAQ35" t="s">
        <v>6984</v>
      </c>
      <c r="JAR35" t="s">
        <v>6984</v>
      </c>
      <c r="JAS35" t="s">
        <v>6984</v>
      </c>
      <c r="JAT35" t="s">
        <v>6984</v>
      </c>
      <c r="JAU35" t="s">
        <v>6984</v>
      </c>
      <c r="JAV35" t="s">
        <v>6984</v>
      </c>
      <c r="JAW35" t="s">
        <v>6984</v>
      </c>
      <c r="JAX35" t="s">
        <v>6984</v>
      </c>
      <c r="JAY35" t="s">
        <v>6984</v>
      </c>
      <c r="JAZ35" t="s">
        <v>6984</v>
      </c>
      <c r="JBA35" t="s">
        <v>6984</v>
      </c>
      <c r="JBB35" t="s">
        <v>6984</v>
      </c>
      <c r="JBC35" t="s">
        <v>6984</v>
      </c>
      <c r="JBD35" t="s">
        <v>6984</v>
      </c>
      <c r="JBE35" t="s">
        <v>6984</v>
      </c>
      <c r="JBF35" t="s">
        <v>6984</v>
      </c>
      <c r="JBG35" t="s">
        <v>6984</v>
      </c>
      <c r="JBH35" t="s">
        <v>6984</v>
      </c>
      <c r="JBI35" t="s">
        <v>6984</v>
      </c>
      <c r="JBJ35" t="s">
        <v>6984</v>
      </c>
      <c r="JBK35" t="s">
        <v>6984</v>
      </c>
      <c r="JBL35" t="s">
        <v>6984</v>
      </c>
      <c r="JBM35" t="s">
        <v>6984</v>
      </c>
      <c r="JBN35" t="s">
        <v>6984</v>
      </c>
      <c r="JBO35" t="s">
        <v>6984</v>
      </c>
      <c r="JBP35" t="s">
        <v>6984</v>
      </c>
      <c r="JBQ35" t="s">
        <v>6984</v>
      </c>
      <c r="JBR35" t="s">
        <v>6984</v>
      </c>
      <c r="JBS35" t="s">
        <v>6984</v>
      </c>
      <c r="JBT35" t="s">
        <v>6984</v>
      </c>
      <c r="JBU35" t="s">
        <v>6984</v>
      </c>
      <c r="JBV35" t="s">
        <v>6984</v>
      </c>
      <c r="JBW35" t="s">
        <v>6984</v>
      </c>
      <c r="JBX35" t="s">
        <v>6984</v>
      </c>
      <c r="JBY35" t="s">
        <v>6984</v>
      </c>
      <c r="JBZ35" t="s">
        <v>6984</v>
      </c>
      <c r="JCA35" t="s">
        <v>6984</v>
      </c>
      <c r="JCB35" t="s">
        <v>6984</v>
      </c>
      <c r="JCC35" t="s">
        <v>6984</v>
      </c>
      <c r="JCD35" t="s">
        <v>6984</v>
      </c>
      <c r="JCE35" t="s">
        <v>6984</v>
      </c>
      <c r="JCF35" t="s">
        <v>6984</v>
      </c>
      <c r="JCG35" t="s">
        <v>6984</v>
      </c>
      <c r="JCH35" t="s">
        <v>6984</v>
      </c>
      <c r="JCI35" t="s">
        <v>6984</v>
      </c>
      <c r="JCJ35" t="s">
        <v>6984</v>
      </c>
      <c r="JCK35" t="s">
        <v>6984</v>
      </c>
      <c r="JCL35" t="s">
        <v>6984</v>
      </c>
      <c r="JCM35" t="s">
        <v>6984</v>
      </c>
      <c r="JCN35" t="s">
        <v>6984</v>
      </c>
      <c r="JCO35" t="s">
        <v>6984</v>
      </c>
      <c r="JCP35" t="s">
        <v>6984</v>
      </c>
      <c r="JCQ35" t="s">
        <v>6984</v>
      </c>
      <c r="JCR35" t="s">
        <v>6984</v>
      </c>
      <c r="JCS35" t="s">
        <v>6984</v>
      </c>
      <c r="JCT35" t="s">
        <v>6984</v>
      </c>
      <c r="JCU35" t="s">
        <v>6984</v>
      </c>
      <c r="JCV35" t="s">
        <v>6984</v>
      </c>
      <c r="JCW35" t="s">
        <v>6984</v>
      </c>
      <c r="JCX35" t="s">
        <v>6984</v>
      </c>
      <c r="JCY35" t="s">
        <v>6984</v>
      </c>
      <c r="JCZ35" t="s">
        <v>6984</v>
      </c>
      <c r="JDA35" t="s">
        <v>6984</v>
      </c>
      <c r="JDB35" t="s">
        <v>6984</v>
      </c>
      <c r="JDC35" t="s">
        <v>6984</v>
      </c>
      <c r="JDD35" t="s">
        <v>6984</v>
      </c>
      <c r="JDE35" t="s">
        <v>6984</v>
      </c>
      <c r="JDF35" t="s">
        <v>6984</v>
      </c>
      <c r="JDG35" t="s">
        <v>6984</v>
      </c>
      <c r="JDH35" t="s">
        <v>6984</v>
      </c>
      <c r="JDI35" t="s">
        <v>6984</v>
      </c>
      <c r="JDJ35" t="s">
        <v>6984</v>
      </c>
      <c r="JDK35" t="s">
        <v>6984</v>
      </c>
      <c r="JDL35" t="s">
        <v>6984</v>
      </c>
      <c r="JDM35" t="s">
        <v>6984</v>
      </c>
      <c r="JDN35" t="s">
        <v>6984</v>
      </c>
      <c r="JDO35" t="s">
        <v>6984</v>
      </c>
      <c r="JDP35" t="s">
        <v>6984</v>
      </c>
      <c r="JDQ35" t="s">
        <v>6984</v>
      </c>
      <c r="JDR35" t="s">
        <v>6984</v>
      </c>
      <c r="JDS35" t="s">
        <v>6984</v>
      </c>
      <c r="JDT35" t="s">
        <v>6984</v>
      </c>
      <c r="JDU35" t="s">
        <v>6984</v>
      </c>
      <c r="JDV35" t="s">
        <v>6984</v>
      </c>
      <c r="JDW35" t="s">
        <v>6984</v>
      </c>
      <c r="JDX35" t="s">
        <v>6984</v>
      </c>
      <c r="JDY35" t="s">
        <v>6984</v>
      </c>
      <c r="JDZ35" t="s">
        <v>6984</v>
      </c>
      <c r="JEA35" t="s">
        <v>6984</v>
      </c>
      <c r="JEB35" t="s">
        <v>6984</v>
      </c>
      <c r="JEC35" t="s">
        <v>6984</v>
      </c>
      <c r="JED35" t="s">
        <v>6984</v>
      </c>
      <c r="JEE35" t="s">
        <v>6984</v>
      </c>
      <c r="JEF35" t="s">
        <v>6984</v>
      </c>
      <c r="JEG35" t="s">
        <v>6984</v>
      </c>
      <c r="JEH35" t="s">
        <v>6984</v>
      </c>
      <c r="JEI35" t="s">
        <v>6984</v>
      </c>
      <c r="JEJ35" t="s">
        <v>6984</v>
      </c>
      <c r="JEK35" t="s">
        <v>6984</v>
      </c>
      <c r="JEL35" t="s">
        <v>6984</v>
      </c>
      <c r="JEM35" t="s">
        <v>6984</v>
      </c>
      <c r="JEN35" t="s">
        <v>6984</v>
      </c>
      <c r="JEO35" t="s">
        <v>6984</v>
      </c>
      <c r="JEP35" t="s">
        <v>6984</v>
      </c>
      <c r="JEQ35" t="s">
        <v>6984</v>
      </c>
      <c r="JER35" t="s">
        <v>6984</v>
      </c>
      <c r="JES35" t="s">
        <v>6984</v>
      </c>
      <c r="JET35" t="s">
        <v>6984</v>
      </c>
      <c r="JEU35" t="s">
        <v>6984</v>
      </c>
      <c r="JEV35" t="s">
        <v>6984</v>
      </c>
      <c r="JEW35" t="s">
        <v>6984</v>
      </c>
      <c r="JEX35" t="s">
        <v>6984</v>
      </c>
      <c r="JEY35" t="s">
        <v>6984</v>
      </c>
      <c r="JEZ35" t="s">
        <v>6984</v>
      </c>
      <c r="JFA35" t="s">
        <v>6984</v>
      </c>
      <c r="JFB35" t="s">
        <v>6984</v>
      </c>
      <c r="JFC35" t="s">
        <v>6984</v>
      </c>
      <c r="JFD35" t="s">
        <v>6984</v>
      </c>
      <c r="JFE35" t="s">
        <v>6984</v>
      </c>
      <c r="JFF35" t="s">
        <v>6984</v>
      </c>
      <c r="JFG35" t="s">
        <v>6984</v>
      </c>
      <c r="JFH35" t="s">
        <v>6984</v>
      </c>
      <c r="JFI35" t="s">
        <v>6984</v>
      </c>
      <c r="JFJ35" t="s">
        <v>6984</v>
      </c>
      <c r="JFK35" t="s">
        <v>6984</v>
      </c>
      <c r="JFL35" t="s">
        <v>6984</v>
      </c>
      <c r="JFM35" t="s">
        <v>6984</v>
      </c>
      <c r="JFN35" t="s">
        <v>6984</v>
      </c>
      <c r="JFO35" t="s">
        <v>6984</v>
      </c>
      <c r="JFP35" t="s">
        <v>6984</v>
      </c>
      <c r="JFQ35" t="s">
        <v>6984</v>
      </c>
      <c r="JFR35" t="s">
        <v>6984</v>
      </c>
      <c r="JFS35" t="s">
        <v>6984</v>
      </c>
      <c r="JFT35" t="s">
        <v>6984</v>
      </c>
      <c r="JFU35" t="s">
        <v>6984</v>
      </c>
      <c r="JFV35" t="s">
        <v>6984</v>
      </c>
      <c r="JFW35" t="s">
        <v>6984</v>
      </c>
      <c r="JFX35" t="s">
        <v>6984</v>
      </c>
      <c r="JFY35" t="s">
        <v>6984</v>
      </c>
      <c r="JFZ35" t="s">
        <v>6984</v>
      </c>
      <c r="JGA35" t="s">
        <v>6984</v>
      </c>
      <c r="JGB35" t="s">
        <v>6984</v>
      </c>
      <c r="JGC35" t="s">
        <v>6984</v>
      </c>
      <c r="JGD35" t="s">
        <v>6984</v>
      </c>
      <c r="JGE35" t="s">
        <v>6984</v>
      </c>
      <c r="JGF35" t="s">
        <v>6984</v>
      </c>
      <c r="JGG35" t="s">
        <v>6984</v>
      </c>
      <c r="JGH35" t="s">
        <v>6984</v>
      </c>
      <c r="JGI35" t="s">
        <v>6984</v>
      </c>
      <c r="JGJ35" t="s">
        <v>6984</v>
      </c>
      <c r="JGK35" t="s">
        <v>6984</v>
      </c>
      <c r="JGL35" t="s">
        <v>6984</v>
      </c>
      <c r="JGM35" t="s">
        <v>6984</v>
      </c>
      <c r="JGN35" t="s">
        <v>6984</v>
      </c>
      <c r="JGO35" t="s">
        <v>6984</v>
      </c>
      <c r="JGP35" t="s">
        <v>6984</v>
      </c>
      <c r="JGQ35" t="s">
        <v>6984</v>
      </c>
      <c r="JGR35" t="s">
        <v>6984</v>
      </c>
      <c r="JGS35" t="s">
        <v>6984</v>
      </c>
      <c r="JGT35" t="s">
        <v>6984</v>
      </c>
      <c r="JGU35" t="s">
        <v>6984</v>
      </c>
      <c r="JGV35" t="s">
        <v>6984</v>
      </c>
      <c r="JGW35" t="s">
        <v>6984</v>
      </c>
      <c r="JGX35" t="s">
        <v>6984</v>
      </c>
      <c r="JGY35" t="s">
        <v>6984</v>
      </c>
      <c r="JGZ35" t="s">
        <v>6984</v>
      </c>
      <c r="JHA35" t="s">
        <v>6984</v>
      </c>
      <c r="JHB35" t="s">
        <v>6984</v>
      </c>
      <c r="JHC35" t="s">
        <v>6984</v>
      </c>
      <c r="JHD35" t="s">
        <v>6984</v>
      </c>
      <c r="JHE35" t="s">
        <v>6984</v>
      </c>
      <c r="JHF35" t="s">
        <v>6984</v>
      </c>
      <c r="JHG35" t="s">
        <v>6984</v>
      </c>
      <c r="JHH35" t="s">
        <v>6984</v>
      </c>
      <c r="JHI35" t="s">
        <v>6984</v>
      </c>
      <c r="JHJ35" t="s">
        <v>6984</v>
      </c>
      <c r="JHK35" t="s">
        <v>6984</v>
      </c>
      <c r="JHL35" t="s">
        <v>6984</v>
      </c>
      <c r="JHM35" t="s">
        <v>6984</v>
      </c>
      <c r="JHN35" t="s">
        <v>6984</v>
      </c>
      <c r="JHO35" t="s">
        <v>6984</v>
      </c>
      <c r="JHP35" t="s">
        <v>6984</v>
      </c>
      <c r="JHQ35" t="s">
        <v>6984</v>
      </c>
      <c r="JHR35" t="s">
        <v>6984</v>
      </c>
      <c r="JHS35" t="s">
        <v>6984</v>
      </c>
      <c r="JHT35" t="s">
        <v>6984</v>
      </c>
      <c r="JHU35" t="s">
        <v>6984</v>
      </c>
      <c r="JHV35" t="s">
        <v>6984</v>
      </c>
      <c r="JHW35" t="s">
        <v>6984</v>
      </c>
      <c r="JHX35" t="s">
        <v>6984</v>
      </c>
      <c r="JHY35" t="s">
        <v>6984</v>
      </c>
      <c r="JHZ35" t="s">
        <v>6984</v>
      </c>
      <c r="JIA35" t="s">
        <v>6984</v>
      </c>
      <c r="JIB35" t="s">
        <v>6984</v>
      </c>
      <c r="JIC35" t="s">
        <v>6984</v>
      </c>
      <c r="JID35" t="s">
        <v>6984</v>
      </c>
      <c r="JIE35" t="s">
        <v>6984</v>
      </c>
      <c r="JIF35" t="s">
        <v>6984</v>
      </c>
      <c r="JIG35" t="s">
        <v>6984</v>
      </c>
      <c r="JIH35" t="s">
        <v>6984</v>
      </c>
      <c r="JII35" t="s">
        <v>6984</v>
      </c>
      <c r="JIJ35" t="s">
        <v>6984</v>
      </c>
      <c r="JIK35" t="s">
        <v>6984</v>
      </c>
      <c r="JIL35" t="s">
        <v>6984</v>
      </c>
      <c r="JIM35" t="s">
        <v>6984</v>
      </c>
      <c r="JIN35" t="s">
        <v>6984</v>
      </c>
      <c r="JIO35" t="s">
        <v>6984</v>
      </c>
      <c r="JIP35" t="s">
        <v>6984</v>
      </c>
      <c r="JIQ35" t="s">
        <v>6984</v>
      </c>
      <c r="JIR35" t="s">
        <v>6984</v>
      </c>
      <c r="JIS35" t="s">
        <v>6984</v>
      </c>
      <c r="JIT35" t="s">
        <v>6984</v>
      </c>
      <c r="JIU35" t="s">
        <v>6984</v>
      </c>
      <c r="JIV35" t="s">
        <v>6984</v>
      </c>
      <c r="JIW35" t="s">
        <v>6984</v>
      </c>
      <c r="JIX35" t="s">
        <v>6984</v>
      </c>
      <c r="JIY35" t="s">
        <v>6984</v>
      </c>
      <c r="JIZ35" t="s">
        <v>6984</v>
      </c>
      <c r="JJA35" t="s">
        <v>6984</v>
      </c>
    </row>
    <row r="36" spans="1:7021" x14ac:dyDescent="0.25">
      <c r="A36" t="s">
        <v>7017</v>
      </c>
      <c r="B36">
        <v>95.474999999999994</v>
      </c>
      <c r="C36">
        <v>95.474999999999994</v>
      </c>
      <c r="D36">
        <v>95.474999999999994</v>
      </c>
      <c r="E36">
        <v>95.534999999999997</v>
      </c>
      <c r="F36">
        <v>95.48</v>
      </c>
      <c r="G36">
        <v>95.53</v>
      </c>
      <c r="H36">
        <v>95.58</v>
      </c>
      <c r="I36">
        <v>95.52</v>
      </c>
      <c r="J36">
        <v>95.47</v>
      </c>
      <c r="K36">
        <v>95.454999999999998</v>
      </c>
      <c r="L36">
        <v>95.45</v>
      </c>
      <c r="M36">
        <v>95.55</v>
      </c>
      <c r="N36">
        <v>95.575000000000003</v>
      </c>
      <c r="O36">
        <v>95.484999999999999</v>
      </c>
      <c r="P36">
        <v>95.48</v>
      </c>
      <c r="Q36">
        <v>95.54</v>
      </c>
      <c r="R36">
        <v>95.52</v>
      </c>
      <c r="S36">
        <v>95.49</v>
      </c>
      <c r="T36">
        <v>95.54</v>
      </c>
      <c r="U36">
        <v>95.454999999999998</v>
      </c>
      <c r="V36">
        <v>95.454999999999998</v>
      </c>
      <c r="W36">
        <v>95.38</v>
      </c>
      <c r="X36">
        <v>95.32</v>
      </c>
      <c r="Y36">
        <v>95.424999999999997</v>
      </c>
      <c r="Z36">
        <v>95.435000000000002</v>
      </c>
      <c r="AA36">
        <v>95.474999999999994</v>
      </c>
      <c r="AB36">
        <v>95.454999999999998</v>
      </c>
      <c r="AC36">
        <v>95.385000000000005</v>
      </c>
      <c r="AD36">
        <v>95.42</v>
      </c>
      <c r="AE36">
        <v>95.47</v>
      </c>
      <c r="AF36">
        <v>95.525000000000006</v>
      </c>
      <c r="AG36">
        <v>95.525000000000006</v>
      </c>
      <c r="AH36">
        <v>95.62</v>
      </c>
      <c r="AI36">
        <v>95.57</v>
      </c>
      <c r="AJ36">
        <v>95.564999999999998</v>
      </c>
      <c r="AK36">
        <v>95.6</v>
      </c>
      <c r="AL36">
        <v>95.644999999999996</v>
      </c>
      <c r="AM36">
        <v>95.694999999999993</v>
      </c>
      <c r="AN36">
        <v>95.67</v>
      </c>
      <c r="AO36">
        <v>95.61</v>
      </c>
      <c r="AP36">
        <v>95.56</v>
      </c>
      <c r="AQ36">
        <v>95.5</v>
      </c>
      <c r="AR36">
        <v>95.43</v>
      </c>
      <c r="AS36">
        <v>95.4</v>
      </c>
      <c r="AT36">
        <v>95.35</v>
      </c>
      <c r="AU36">
        <v>95.564999999999998</v>
      </c>
      <c r="AV36">
        <v>95.564999999999998</v>
      </c>
      <c r="AW36">
        <v>95.665000000000006</v>
      </c>
      <c r="AX36">
        <v>95.65</v>
      </c>
      <c r="AY36">
        <v>95.64</v>
      </c>
      <c r="AZ36">
        <v>95.534999999999997</v>
      </c>
      <c r="BA36">
        <v>95.685000000000002</v>
      </c>
      <c r="BB36">
        <v>95.655000000000001</v>
      </c>
      <c r="BC36">
        <v>95.82</v>
      </c>
      <c r="BD36">
        <v>95.91</v>
      </c>
      <c r="BE36">
        <v>96.09</v>
      </c>
      <c r="BF36">
        <v>96.01</v>
      </c>
      <c r="BG36">
        <v>95.87</v>
      </c>
      <c r="BH36">
        <v>95.93</v>
      </c>
      <c r="BI36">
        <v>95.825000000000003</v>
      </c>
      <c r="BJ36">
        <v>95.795000000000002</v>
      </c>
      <c r="BK36">
        <v>95.68</v>
      </c>
      <c r="BL36">
        <v>95.765000000000001</v>
      </c>
      <c r="BM36">
        <v>95.795000000000002</v>
      </c>
      <c r="BN36">
        <v>95.77</v>
      </c>
      <c r="BO36">
        <v>95.85</v>
      </c>
      <c r="BP36">
        <v>95.864999999999995</v>
      </c>
      <c r="BQ36">
        <v>95.825000000000003</v>
      </c>
      <c r="BR36">
        <v>95.814999999999998</v>
      </c>
      <c r="BS36">
        <v>95.78</v>
      </c>
      <c r="BT36">
        <v>95.754999999999995</v>
      </c>
      <c r="BU36">
        <v>95.83</v>
      </c>
      <c r="BV36">
        <v>95.8</v>
      </c>
      <c r="BW36">
        <v>95.83</v>
      </c>
      <c r="BX36">
        <v>95.924999999999997</v>
      </c>
      <c r="BY36">
        <v>95.795000000000002</v>
      </c>
      <c r="BZ36">
        <v>95.82</v>
      </c>
      <c r="CA36">
        <v>95.844999999999999</v>
      </c>
      <c r="CB36">
        <v>95.905000000000001</v>
      </c>
      <c r="CC36">
        <v>95.95</v>
      </c>
      <c r="CD36">
        <v>95.89</v>
      </c>
      <c r="CE36">
        <v>95.83</v>
      </c>
      <c r="CF36">
        <v>95.875</v>
      </c>
      <c r="CG36">
        <v>95.805000000000007</v>
      </c>
      <c r="CH36">
        <v>95.67</v>
      </c>
      <c r="CI36">
        <v>95.644999999999996</v>
      </c>
      <c r="CJ36">
        <v>95.564999999999998</v>
      </c>
      <c r="CK36">
        <v>95.515000000000001</v>
      </c>
      <c r="CL36">
        <v>95.515000000000001</v>
      </c>
      <c r="CM36">
        <v>95.59</v>
      </c>
      <c r="CN36">
        <v>95.59</v>
      </c>
      <c r="CO36">
        <v>95.534999999999997</v>
      </c>
      <c r="CP36">
        <v>95.424999999999997</v>
      </c>
      <c r="CQ36">
        <v>95.564999999999998</v>
      </c>
      <c r="CR36">
        <v>95.614999999999995</v>
      </c>
      <c r="CS36">
        <v>95.614999999999995</v>
      </c>
      <c r="CT36">
        <v>95.674999999999997</v>
      </c>
      <c r="CU36">
        <v>95.724999999999994</v>
      </c>
      <c r="CV36">
        <v>95.614999999999995</v>
      </c>
      <c r="CW36">
        <v>95.59</v>
      </c>
      <c r="CX36">
        <v>95.545000000000002</v>
      </c>
      <c r="CY36">
        <v>95.614999999999995</v>
      </c>
      <c r="CZ36">
        <v>95.57</v>
      </c>
      <c r="DA36">
        <v>95.58</v>
      </c>
      <c r="DB36">
        <v>95.605000000000004</v>
      </c>
      <c r="DC36">
        <v>95.495000000000005</v>
      </c>
      <c r="DD36">
        <v>95.495000000000005</v>
      </c>
      <c r="DE36">
        <v>95.55</v>
      </c>
      <c r="DF36">
        <v>95.58</v>
      </c>
      <c r="DG36">
        <v>95.534999999999997</v>
      </c>
      <c r="DH36">
        <v>95.534999999999997</v>
      </c>
      <c r="DI36">
        <v>95.534999999999997</v>
      </c>
      <c r="DJ36">
        <v>95.495000000000005</v>
      </c>
      <c r="DK36">
        <v>95.35</v>
      </c>
      <c r="DL36">
        <v>95.33</v>
      </c>
      <c r="DM36">
        <v>95.37</v>
      </c>
      <c r="DN36">
        <v>95.43</v>
      </c>
      <c r="DO36">
        <v>95.415000000000006</v>
      </c>
      <c r="DP36">
        <v>95.424999999999997</v>
      </c>
      <c r="DQ36">
        <v>95.504999999999995</v>
      </c>
      <c r="DR36">
        <v>95.56</v>
      </c>
      <c r="DS36">
        <v>95.57</v>
      </c>
      <c r="DT36">
        <v>95.564999999999998</v>
      </c>
      <c r="DU36">
        <v>95.564999999999998</v>
      </c>
      <c r="DV36">
        <v>95.605000000000004</v>
      </c>
      <c r="DW36">
        <v>95.525000000000006</v>
      </c>
      <c r="DX36">
        <v>95.584999999999994</v>
      </c>
      <c r="DY36">
        <v>95.57</v>
      </c>
      <c r="DZ36">
        <v>95.57</v>
      </c>
      <c r="EA36">
        <v>95.545000000000002</v>
      </c>
      <c r="EB36">
        <v>95.644999999999996</v>
      </c>
      <c r="EC36">
        <v>95.575000000000003</v>
      </c>
      <c r="ED36">
        <v>95.704999999999998</v>
      </c>
      <c r="EE36">
        <v>95.82</v>
      </c>
      <c r="EF36">
        <v>95.805000000000007</v>
      </c>
      <c r="EG36">
        <v>95.81</v>
      </c>
      <c r="EH36">
        <v>95.894999999999996</v>
      </c>
      <c r="EI36">
        <v>95.96</v>
      </c>
      <c r="EJ36">
        <v>96.02</v>
      </c>
      <c r="EK36">
        <v>96.045000000000002</v>
      </c>
      <c r="EL36">
        <v>96.084999999999994</v>
      </c>
      <c r="EM36">
        <v>96.05</v>
      </c>
      <c r="EN36">
        <v>96.034999999999997</v>
      </c>
      <c r="EO36">
        <v>96.01</v>
      </c>
      <c r="EP36">
        <v>96.045000000000002</v>
      </c>
      <c r="EQ36">
        <v>96.045000000000002</v>
      </c>
      <c r="ER36">
        <v>96.01</v>
      </c>
      <c r="ES36">
        <v>96.01</v>
      </c>
      <c r="ET36">
        <v>95.944999999999993</v>
      </c>
      <c r="EU36">
        <v>96.01</v>
      </c>
      <c r="EV36">
        <v>95.86</v>
      </c>
      <c r="EW36">
        <v>95.825000000000003</v>
      </c>
      <c r="EX36">
        <v>95.82</v>
      </c>
      <c r="EY36">
        <v>95.85</v>
      </c>
      <c r="EZ36">
        <v>95.814999999999998</v>
      </c>
      <c r="FA36">
        <v>95.805000000000007</v>
      </c>
      <c r="FB36">
        <v>95.81</v>
      </c>
      <c r="FC36">
        <v>95.775000000000006</v>
      </c>
      <c r="FD36">
        <v>95.8</v>
      </c>
      <c r="FE36">
        <v>95.86</v>
      </c>
      <c r="FF36">
        <v>95.91</v>
      </c>
      <c r="FG36">
        <v>95.864999999999995</v>
      </c>
      <c r="FH36">
        <v>95.76</v>
      </c>
      <c r="FI36">
        <v>95.93</v>
      </c>
      <c r="FJ36">
        <v>95.905000000000001</v>
      </c>
      <c r="FK36">
        <v>95.84</v>
      </c>
      <c r="FL36">
        <v>95.9</v>
      </c>
      <c r="FM36">
        <v>95.91</v>
      </c>
      <c r="FN36">
        <v>95.88</v>
      </c>
      <c r="FO36">
        <v>95.875</v>
      </c>
      <c r="FP36">
        <v>95.91</v>
      </c>
      <c r="FQ36">
        <v>95.935000000000002</v>
      </c>
      <c r="FR36">
        <v>95.885000000000005</v>
      </c>
      <c r="FS36">
        <v>95.915000000000006</v>
      </c>
      <c r="FT36">
        <v>95.94</v>
      </c>
      <c r="FU36">
        <v>96.055000000000007</v>
      </c>
      <c r="FV36">
        <v>96.04</v>
      </c>
      <c r="FW36">
        <v>96.14</v>
      </c>
      <c r="FX36">
        <v>96.12</v>
      </c>
      <c r="FY36">
        <v>96.025000000000006</v>
      </c>
      <c r="FZ36">
        <v>96.064999999999998</v>
      </c>
      <c r="GA36">
        <v>96.055000000000007</v>
      </c>
      <c r="GB36">
        <v>96.1</v>
      </c>
      <c r="GC36">
        <v>96.125</v>
      </c>
      <c r="GD36">
        <v>96.14</v>
      </c>
      <c r="GE36">
        <v>96.174999999999997</v>
      </c>
      <c r="GF36">
        <v>96.254999999999995</v>
      </c>
      <c r="GG36">
        <v>96.325000000000003</v>
      </c>
      <c r="GH36">
        <v>96.37</v>
      </c>
      <c r="GI36">
        <v>96.3</v>
      </c>
      <c r="GJ36">
        <v>96.34</v>
      </c>
      <c r="GK36">
        <v>96.31</v>
      </c>
      <c r="GL36">
        <v>96.29</v>
      </c>
      <c r="GM36">
        <v>96.33</v>
      </c>
      <c r="GN36">
        <v>96.334999999999994</v>
      </c>
      <c r="GO36">
        <v>96.35</v>
      </c>
      <c r="GP36">
        <v>96.33</v>
      </c>
      <c r="GQ36">
        <v>96.405000000000001</v>
      </c>
      <c r="GR36">
        <v>96.44</v>
      </c>
      <c r="GS36">
        <v>96.43</v>
      </c>
      <c r="GT36">
        <v>96.41</v>
      </c>
      <c r="GU36">
        <v>96.405000000000001</v>
      </c>
      <c r="GV36">
        <v>96.435000000000002</v>
      </c>
      <c r="GW36">
        <v>96.44</v>
      </c>
      <c r="GX36">
        <v>96.385000000000005</v>
      </c>
      <c r="GY36">
        <v>96.36</v>
      </c>
      <c r="GZ36">
        <v>96.375</v>
      </c>
      <c r="HA36">
        <v>96.34</v>
      </c>
      <c r="HB36">
        <v>96.29</v>
      </c>
      <c r="HC36">
        <v>96.21</v>
      </c>
      <c r="HD36">
        <v>96.21</v>
      </c>
      <c r="HE36">
        <v>96.254999999999995</v>
      </c>
      <c r="HF36">
        <v>96.27</v>
      </c>
      <c r="HG36">
        <v>96.284999999999997</v>
      </c>
      <c r="HH36">
        <v>96.305000000000007</v>
      </c>
      <c r="HI36">
        <v>96.295000000000002</v>
      </c>
      <c r="HJ36">
        <v>96.234999999999999</v>
      </c>
      <c r="HK36">
        <v>96.31</v>
      </c>
      <c r="HL36">
        <v>96.284999999999997</v>
      </c>
      <c r="HM36">
        <v>96.234999999999999</v>
      </c>
      <c r="HN36">
        <v>96.194999999999993</v>
      </c>
      <c r="HO36">
        <v>96.155000000000001</v>
      </c>
      <c r="HP36">
        <v>96.224999999999994</v>
      </c>
      <c r="HQ36">
        <v>96.19</v>
      </c>
      <c r="HR36">
        <v>96.16</v>
      </c>
      <c r="HS36">
        <v>96.12</v>
      </c>
      <c r="HT36">
        <v>96.04</v>
      </c>
      <c r="HU36">
        <v>96.05</v>
      </c>
      <c r="HV36">
        <v>96.144999999999996</v>
      </c>
      <c r="HW36">
        <v>96.245000000000005</v>
      </c>
      <c r="HX36">
        <v>96.25</v>
      </c>
      <c r="HY36">
        <v>96.125</v>
      </c>
      <c r="HZ36">
        <v>96.025000000000006</v>
      </c>
      <c r="IA36">
        <v>95.99</v>
      </c>
      <c r="IB36">
        <v>95.954999999999998</v>
      </c>
      <c r="IC36">
        <v>95.93</v>
      </c>
      <c r="ID36">
        <v>95.89</v>
      </c>
      <c r="IE36">
        <v>95.85</v>
      </c>
      <c r="IF36">
        <v>95.944999999999993</v>
      </c>
      <c r="IG36">
        <v>95.93</v>
      </c>
      <c r="IH36">
        <v>95.94</v>
      </c>
      <c r="II36">
        <v>95.99</v>
      </c>
      <c r="IJ36">
        <v>96.045000000000002</v>
      </c>
      <c r="IK36">
        <v>96.02</v>
      </c>
      <c r="IL36">
        <v>95.944999999999993</v>
      </c>
      <c r="IM36">
        <v>95.99</v>
      </c>
      <c r="IN36">
        <v>96.01</v>
      </c>
      <c r="IO36">
        <v>95.935000000000002</v>
      </c>
      <c r="IP36">
        <v>95.905000000000001</v>
      </c>
      <c r="IQ36">
        <v>95.944999999999993</v>
      </c>
      <c r="IR36">
        <v>95.94</v>
      </c>
      <c r="IS36">
        <v>95.885000000000005</v>
      </c>
      <c r="IT36">
        <v>95.885000000000005</v>
      </c>
      <c r="IU36">
        <v>95.78</v>
      </c>
      <c r="IV36">
        <v>95.745000000000005</v>
      </c>
      <c r="IW36">
        <v>95.905000000000001</v>
      </c>
      <c r="IX36">
        <v>95.97</v>
      </c>
      <c r="IY36">
        <v>95.94</v>
      </c>
      <c r="IZ36">
        <v>96.03</v>
      </c>
      <c r="JA36">
        <v>96.02</v>
      </c>
      <c r="JB36">
        <v>96</v>
      </c>
      <c r="JC36">
        <v>96.01</v>
      </c>
      <c r="JD36">
        <v>96.094999999999999</v>
      </c>
      <c r="JE36">
        <v>96.094999999999999</v>
      </c>
      <c r="JF36">
        <v>96.034999999999997</v>
      </c>
      <c r="JG36">
        <v>96.114999999999995</v>
      </c>
      <c r="JH36">
        <v>96.05</v>
      </c>
      <c r="JI36">
        <v>95.995000000000005</v>
      </c>
      <c r="JJ36">
        <v>95.88</v>
      </c>
      <c r="JK36">
        <v>95.8</v>
      </c>
      <c r="JL36">
        <v>95.844999999999999</v>
      </c>
      <c r="JM36">
        <v>95.995000000000005</v>
      </c>
      <c r="JN36">
        <v>95.995000000000005</v>
      </c>
      <c r="JO36">
        <v>95.96</v>
      </c>
      <c r="JP36">
        <v>95.885000000000005</v>
      </c>
      <c r="JQ36">
        <v>95.775000000000006</v>
      </c>
      <c r="JR36">
        <v>95.75</v>
      </c>
      <c r="JS36">
        <v>95.69</v>
      </c>
      <c r="JT36">
        <v>95.795000000000002</v>
      </c>
      <c r="JU36">
        <v>95.87</v>
      </c>
      <c r="JV36">
        <v>95.87</v>
      </c>
      <c r="JW36">
        <v>95.85</v>
      </c>
      <c r="JX36">
        <v>95.85</v>
      </c>
      <c r="JY36">
        <v>95.855000000000004</v>
      </c>
      <c r="JZ36">
        <v>95.825000000000003</v>
      </c>
      <c r="KA36">
        <v>95.844999999999999</v>
      </c>
      <c r="KB36">
        <v>95.89</v>
      </c>
      <c r="KC36">
        <v>95.894999999999996</v>
      </c>
      <c r="KD36">
        <v>95.825000000000003</v>
      </c>
      <c r="KE36">
        <v>95.79</v>
      </c>
      <c r="KF36">
        <v>95.765000000000001</v>
      </c>
      <c r="KG36">
        <v>95.82</v>
      </c>
      <c r="KH36">
        <v>95.79</v>
      </c>
      <c r="KI36">
        <v>95.83</v>
      </c>
      <c r="KJ36">
        <v>95.784999999999997</v>
      </c>
      <c r="KK36">
        <v>95.765000000000001</v>
      </c>
      <c r="KL36">
        <v>95.69</v>
      </c>
      <c r="KM36">
        <v>95.674999999999997</v>
      </c>
      <c r="KN36">
        <v>95.61</v>
      </c>
      <c r="KO36">
        <v>95.68</v>
      </c>
      <c r="KP36">
        <v>95.6</v>
      </c>
      <c r="KQ36">
        <v>95.56</v>
      </c>
      <c r="KR36">
        <v>95.62</v>
      </c>
      <c r="KS36">
        <v>95.694999999999993</v>
      </c>
      <c r="KT36">
        <v>95.674999999999997</v>
      </c>
      <c r="KU36">
        <v>95.69</v>
      </c>
      <c r="KV36">
        <v>95.655000000000001</v>
      </c>
      <c r="KW36">
        <v>95.715000000000003</v>
      </c>
      <c r="KX36">
        <v>95.64</v>
      </c>
      <c r="KY36">
        <v>95.674999999999997</v>
      </c>
      <c r="KZ36">
        <v>95.814999999999998</v>
      </c>
      <c r="LA36">
        <v>95.724999999999994</v>
      </c>
      <c r="LB36">
        <v>95.754999999999995</v>
      </c>
      <c r="LC36">
        <v>95.9</v>
      </c>
      <c r="LD36">
        <v>95.84</v>
      </c>
      <c r="LE36">
        <v>95.885000000000005</v>
      </c>
      <c r="LF36">
        <v>95.935000000000002</v>
      </c>
      <c r="LG36">
        <v>95.885000000000005</v>
      </c>
      <c r="LH36">
        <v>95.885000000000005</v>
      </c>
      <c r="LI36">
        <v>95.93</v>
      </c>
      <c r="LJ36">
        <v>96.06</v>
      </c>
      <c r="LK36">
        <v>96.06</v>
      </c>
      <c r="LL36">
        <v>96.025000000000006</v>
      </c>
      <c r="LM36">
        <v>95.99</v>
      </c>
      <c r="LN36">
        <v>95.96</v>
      </c>
      <c r="LO36">
        <v>95.995000000000005</v>
      </c>
      <c r="LP36">
        <v>95.935000000000002</v>
      </c>
      <c r="LQ36">
        <v>95.94</v>
      </c>
      <c r="LR36">
        <v>95.944999999999993</v>
      </c>
      <c r="LS36">
        <v>95.915000000000006</v>
      </c>
      <c r="LT36">
        <v>95.954999999999998</v>
      </c>
      <c r="LU36">
        <v>95.94</v>
      </c>
      <c r="LV36">
        <v>96.05</v>
      </c>
      <c r="LW36">
        <v>96.064999999999998</v>
      </c>
      <c r="LX36">
        <v>96.114999999999995</v>
      </c>
      <c r="LY36">
        <v>96.11</v>
      </c>
      <c r="LZ36">
        <v>96.13</v>
      </c>
      <c r="MA36">
        <v>96.125</v>
      </c>
      <c r="MB36">
        <v>96.084999999999994</v>
      </c>
      <c r="MC36">
        <v>96</v>
      </c>
      <c r="MD36">
        <v>96.03</v>
      </c>
      <c r="ME36">
        <v>95.984999999999999</v>
      </c>
      <c r="MF36">
        <v>95.974999999999994</v>
      </c>
      <c r="MG36">
        <v>95.98</v>
      </c>
      <c r="MH36">
        <v>96</v>
      </c>
      <c r="MI36">
        <v>96.01</v>
      </c>
      <c r="MJ36">
        <v>95.915000000000006</v>
      </c>
      <c r="MK36">
        <v>95.885000000000005</v>
      </c>
      <c r="ML36">
        <v>95.93</v>
      </c>
      <c r="MM36">
        <v>95.905000000000001</v>
      </c>
      <c r="MN36">
        <v>95.905000000000001</v>
      </c>
      <c r="MO36">
        <v>95.944999999999993</v>
      </c>
      <c r="MP36">
        <v>95.92</v>
      </c>
      <c r="MQ36">
        <v>95.88</v>
      </c>
      <c r="MR36">
        <v>95.974999999999994</v>
      </c>
      <c r="MS36">
        <v>95.954999999999998</v>
      </c>
      <c r="MT36">
        <v>95.97</v>
      </c>
      <c r="MU36">
        <v>96.055000000000007</v>
      </c>
      <c r="MV36">
        <v>96.064999999999998</v>
      </c>
      <c r="MW36">
        <v>95.98</v>
      </c>
      <c r="MX36">
        <v>96.11</v>
      </c>
      <c r="MY36">
        <v>96.27</v>
      </c>
      <c r="MZ36">
        <v>96.165000000000006</v>
      </c>
      <c r="NA36">
        <v>96.08</v>
      </c>
      <c r="NB36">
        <v>96.01</v>
      </c>
      <c r="NC36">
        <v>95.96</v>
      </c>
      <c r="ND36">
        <v>95.995000000000005</v>
      </c>
      <c r="NE36">
        <v>95.974999999999994</v>
      </c>
      <c r="NF36">
        <v>96.02</v>
      </c>
      <c r="NG36">
        <v>96.064999999999998</v>
      </c>
      <c r="NH36">
        <v>96.01</v>
      </c>
      <c r="NI36">
        <v>96</v>
      </c>
      <c r="NJ36">
        <v>96.034999999999997</v>
      </c>
      <c r="NK36">
        <v>96.045000000000002</v>
      </c>
      <c r="NL36">
        <v>96.16</v>
      </c>
      <c r="NM36">
        <v>96.16</v>
      </c>
      <c r="NN36">
        <v>96.204999999999998</v>
      </c>
      <c r="NO36">
        <v>96.165000000000006</v>
      </c>
      <c r="NP36">
        <v>96.174999999999997</v>
      </c>
      <c r="NQ36">
        <v>96.18</v>
      </c>
      <c r="NR36">
        <v>96.18</v>
      </c>
      <c r="NS36">
        <v>96.234999999999999</v>
      </c>
      <c r="NT36">
        <v>96.3</v>
      </c>
      <c r="NU36">
        <v>96.254999999999995</v>
      </c>
      <c r="NV36">
        <v>96.26</v>
      </c>
      <c r="NW36">
        <v>96.26</v>
      </c>
      <c r="NX36">
        <v>96.28</v>
      </c>
      <c r="NY36">
        <v>96.344999999999999</v>
      </c>
      <c r="NZ36">
        <v>96.24</v>
      </c>
      <c r="OA36">
        <v>96.22</v>
      </c>
      <c r="OB36">
        <v>96.22</v>
      </c>
      <c r="OC36">
        <v>96.254999999999995</v>
      </c>
      <c r="OD36">
        <v>96.29</v>
      </c>
      <c r="OE36">
        <v>96.245000000000005</v>
      </c>
      <c r="OF36">
        <v>96.21</v>
      </c>
      <c r="OG36">
        <v>96.245000000000005</v>
      </c>
      <c r="OH36">
        <v>96.22</v>
      </c>
      <c r="OI36">
        <v>96.12</v>
      </c>
      <c r="OJ36">
        <v>95.974999999999994</v>
      </c>
      <c r="OK36">
        <v>95.92</v>
      </c>
      <c r="OL36">
        <v>95.915000000000006</v>
      </c>
      <c r="OM36">
        <v>96.025000000000006</v>
      </c>
      <c r="ON36">
        <v>96.02</v>
      </c>
      <c r="OO36">
        <v>95.954999999999998</v>
      </c>
      <c r="OP36">
        <v>95.82</v>
      </c>
      <c r="OQ36">
        <v>95.85</v>
      </c>
      <c r="OR36">
        <v>95.734999999999999</v>
      </c>
      <c r="OS36">
        <v>95.82</v>
      </c>
      <c r="OT36">
        <v>95.745000000000005</v>
      </c>
      <c r="OU36">
        <v>95.76</v>
      </c>
      <c r="OV36">
        <v>95.655000000000001</v>
      </c>
      <c r="OW36">
        <v>95.674999999999997</v>
      </c>
      <c r="OX36">
        <v>95.674999999999997</v>
      </c>
      <c r="OY36">
        <v>95.665000000000006</v>
      </c>
      <c r="OZ36">
        <v>95.685000000000002</v>
      </c>
      <c r="PA36">
        <v>95.64</v>
      </c>
      <c r="PB36">
        <v>95.62</v>
      </c>
      <c r="PC36">
        <v>95.525000000000006</v>
      </c>
      <c r="PD36">
        <v>95.605000000000004</v>
      </c>
      <c r="PE36">
        <v>95.435000000000002</v>
      </c>
      <c r="PF36">
        <v>95.424999999999997</v>
      </c>
      <c r="PG36">
        <v>95.405000000000001</v>
      </c>
      <c r="PH36">
        <v>95.534999999999997</v>
      </c>
      <c r="PI36">
        <v>95.45</v>
      </c>
      <c r="PJ36">
        <v>95.334999999999994</v>
      </c>
      <c r="PK36">
        <v>95.444999999999993</v>
      </c>
      <c r="PL36">
        <v>95.325000000000003</v>
      </c>
      <c r="PM36">
        <v>95.194999999999993</v>
      </c>
      <c r="PN36">
        <v>95.105000000000004</v>
      </c>
      <c r="PO36">
        <v>95.094999999999999</v>
      </c>
      <c r="PP36">
        <v>95.105000000000004</v>
      </c>
      <c r="PQ36">
        <v>95.11</v>
      </c>
      <c r="PR36">
        <v>95</v>
      </c>
      <c r="PS36">
        <v>95.14</v>
      </c>
      <c r="PT36">
        <v>95.135000000000005</v>
      </c>
      <c r="PU36">
        <v>95.03</v>
      </c>
      <c r="PV36">
        <v>94.954999999999998</v>
      </c>
      <c r="PW36">
        <v>95.084999999999994</v>
      </c>
      <c r="PX36">
        <v>95.13</v>
      </c>
      <c r="PY36">
        <v>95.254999999999995</v>
      </c>
      <c r="PZ36">
        <v>95.33</v>
      </c>
      <c r="QA36">
        <v>95.224999999999994</v>
      </c>
      <c r="QB36">
        <v>95.34</v>
      </c>
      <c r="QC36">
        <v>95.25</v>
      </c>
      <c r="QD36">
        <v>95.23</v>
      </c>
      <c r="QE36">
        <v>95.114999999999995</v>
      </c>
      <c r="QF36">
        <v>95.174999999999997</v>
      </c>
      <c r="QG36">
        <v>95.15</v>
      </c>
      <c r="QH36">
        <v>95.094999999999999</v>
      </c>
      <c r="QI36">
        <v>95.224999999999994</v>
      </c>
      <c r="QJ36">
        <v>95.405000000000001</v>
      </c>
      <c r="QK36">
        <v>95.394999999999996</v>
      </c>
      <c r="QL36">
        <v>95.42</v>
      </c>
      <c r="QM36">
        <v>95.495000000000005</v>
      </c>
      <c r="QN36">
        <v>95.504999999999995</v>
      </c>
      <c r="QO36">
        <v>95.655000000000001</v>
      </c>
      <c r="QP36">
        <v>95.625</v>
      </c>
      <c r="QQ36">
        <v>95.79</v>
      </c>
      <c r="QR36">
        <v>95.765000000000001</v>
      </c>
      <c r="QS36">
        <v>95.8</v>
      </c>
      <c r="QT36">
        <v>95.78</v>
      </c>
      <c r="QU36">
        <v>95.814999999999998</v>
      </c>
      <c r="QV36">
        <v>95.875</v>
      </c>
      <c r="QW36">
        <v>95.855000000000004</v>
      </c>
      <c r="QX36">
        <v>95.81</v>
      </c>
      <c r="QY36">
        <v>95.85</v>
      </c>
      <c r="QZ36">
        <v>95.84</v>
      </c>
      <c r="RA36">
        <v>95.825000000000003</v>
      </c>
      <c r="RB36">
        <v>95.82</v>
      </c>
      <c r="RC36">
        <v>95.89</v>
      </c>
      <c r="RD36">
        <v>95.89</v>
      </c>
      <c r="RE36">
        <v>95.984999999999999</v>
      </c>
      <c r="RF36">
        <v>95.96</v>
      </c>
      <c r="RG36">
        <v>95.965000000000003</v>
      </c>
      <c r="RH36">
        <v>95.93</v>
      </c>
      <c r="RI36">
        <v>95.89</v>
      </c>
      <c r="RJ36">
        <v>95.885000000000005</v>
      </c>
      <c r="RK36">
        <v>95.91</v>
      </c>
      <c r="RL36">
        <v>95.76</v>
      </c>
      <c r="RM36">
        <v>95.73</v>
      </c>
      <c r="RN36">
        <v>95.825000000000003</v>
      </c>
      <c r="RO36">
        <v>95.75</v>
      </c>
      <c r="RP36">
        <v>95.834999999999994</v>
      </c>
      <c r="RQ36">
        <v>95.87</v>
      </c>
      <c r="RR36">
        <v>95.93</v>
      </c>
      <c r="RS36">
        <v>95.905000000000001</v>
      </c>
      <c r="RT36">
        <v>95.995000000000005</v>
      </c>
      <c r="RU36">
        <v>96.1</v>
      </c>
      <c r="RV36">
        <v>96.064999999999998</v>
      </c>
      <c r="RW36">
        <v>96</v>
      </c>
      <c r="RX36">
        <v>96.025000000000006</v>
      </c>
      <c r="RY36">
        <v>95.885000000000005</v>
      </c>
      <c r="RZ36">
        <v>96.055000000000007</v>
      </c>
      <c r="SA36">
        <v>96.11</v>
      </c>
      <c r="SB36">
        <v>96.2</v>
      </c>
      <c r="SC36">
        <v>96.194999999999993</v>
      </c>
      <c r="SD36">
        <v>96.15</v>
      </c>
      <c r="SE36">
        <v>96.32</v>
      </c>
      <c r="SF36">
        <v>96.27</v>
      </c>
      <c r="SG36">
        <v>96.33</v>
      </c>
      <c r="SH36">
        <v>96.34</v>
      </c>
      <c r="SI36">
        <v>96.32</v>
      </c>
      <c r="SJ36">
        <v>96.44</v>
      </c>
      <c r="SK36">
        <v>96.4</v>
      </c>
      <c r="SL36">
        <v>96.385000000000005</v>
      </c>
      <c r="SM36">
        <v>96.344999999999999</v>
      </c>
      <c r="SN36">
        <v>96.355000000000004</v>
      </c>
      <c r="SO36">
        <v>96.325000000000003</v>
      </c>
      <c r="SP36">
        <v>96.234999999999999</v>
      </c>
      <c r="SQ36">
        <v>96.17</v>
      </c>
      <c r="SR36">
        <v>96.13</v>
      </c>
      <c r="SS36">
        <v>96.185000000000002</v>
      </c>
      <c r="ST36">
        <v>96.275000000000006</v>
      </c>
      <c r="SU36">
        <v>96.38</v>
      </c>
      <c r="SV36">
        <v>96.38</v>
      </c>
      <c r="SW36">
        <v>96.415000000000006</v>
      </c>
      <c r="SX36">
        <v>96.35</v>
      </c>
      <c r="SY36">
        <v>96.495000000000005</v>
      </c>
      <c r="SZ36">
        <v>96.44</v>
      </c>
      <c r="TA36">
        <v>96.47</v>
      </c>
      <c r="TB36">
        <v>96.44</v>
      </c>
      <c r="TC36">
        <v>96.37</v>
      </c>
      <c r="TD36">
        <v>96.444999999999993</v>
      </c>
      <c r="TE36">
        <v>96.454999999999998</v>
      </c>
      <c r="TF36">
        <v>96.385000000000005</v>
      </c>
      <c r="TG36">
        <v>96.385000000000005</v>
      </c>
      <c r="TH36">
        <v>96.42</v>
      </c>
      <c r="TI36">
        <v>96.35</v>
      </c>
      <c r="TJ36">
        <v>96.27</v>
      </c>
      <c r="TK36">
        <v>96.344999999999999</v>
      </c>
      <c r="TL36">
        <v>96.35</v>
      </c>
      <c r="TM36">
        <v>96.355000000000004</v>
      </c>
      <c r="TN36">
        <v>96.28</v>
      </c>
      <c r="TO36">
        <v>96.385000000000005</v>
      </c>
      <c r="TP36">
        <v>96.364999999999995</v>
      </c>
      <c r="TQ36">
        <v>96.334999999999994</v>
      </c>
      <c r="TR36">
        <v>96.435000000000002</v>
      </c>
      <c r="TS36">
        <v>96.42</v>
      </c>
      <c r="TT36">
        <v>96.375</v>
      </c>
      <c r="TU36">
        <v>96.265000000000001</v>
      </c>
      <c r="TV36">
        <v>96.265000000000001</v>
      </c>
      <c r="TW36">
        <v>96.25</v>
      </c>
      <c r="TX36">
        <v>96.334999999999994</v>
      </c>
      <c r="TY36">
        <v>96.35</v>
      </c>
      <c r="TZ36">
        <v>96.32</v>
      </c>
      <c r="UA36">
        <v>96.31</v>
      </c>
      <c r="UB36">
        <v>96.364999999999995</v>
      </c>
      <c r="UC36">
        <v>96.42</v>
      </c>
      <c r="UD36">
        <v>96.435000000000002</v>
      </c>
      <c r="UE36">
        <v>96.49</v>
      </c>
      <c r="UF36">
        <v>96.53</v>
      </c>
      <c r="UG36">
        <v>96.57</v>
      </c>
      <c r="UH36">
        <v>96.525000000000006</v>
      </c>
      <c r="UI36">
        <v>96.46</v>
      </c>
      <c r="UJ36">
        <v>96.47</v>
      </c>
      <c r="UK36">
        <v>96.515000000000001</v>
      </c>
      <c r="UL36">
        <v>96.584999999999994</v>
      </c>
      <c r="UM36">
        <v>96.534999999999997</v>
      </c>
      <c r="UN36">
        <v>96.52</v>
      </c>
      <c r="UO36">
        <v>96.39</v>
      </c>
      <c r="UP36">
        <v>96.525000000000006</v>
      </c>
      <c r="UQ36">
        <v>96.53</v>
      </c>
      <c r="UR36">
        <v>96.605000000000004</v>
      </c>
      <c r="US36">
        <v>96.655000000000001</v>
      </c>
      <c r="UT36">
        <v>96.594999999999999</v>
      </c>
      <c r="UU36">
        <v>96.54</v>
      </c>
      <c r="UV36">
        <v>96.584999999999994</v>
      </c>
      <c r="UW36">
        <v>96.55</v>
      </c>
      <c r="UX36">
        <v>96.57</v>
      </c>
      <c r="UY36">
        <v>96.525000000000006</v>
      </c>
      <c r="UZ36">
        <v>96.584999999999994</v>
      </c>
      <c r="VA36">
        <v>96.64</v>
      </c>
      <c r="VB36">
        <v>96.694999999999993</v>
      </c>
      <c r="VC36">
        <v>96.694999999999993</v>
      </c>
      <c r="VD36">
        <v>96.685000000000002</v>
      </c>
      <c r="VE36">
        <v>96.74</v>
      </c>
      <c r="VF36">
        <v>96.814999999999998</v>
      </c>
      <c r="VG36">
        <v>96.8</v>
      </c>
      <c r="VH36">
        <v>96.765000000000001</v>
      </c>
      <c r="VI36">
        <v>96.704999999999998</v>
      </c>
      <c r="VJ36">
        <v>96.65</v>
      </c>
      <c r="VK36">
        <v>96.614999999999995</v>
      </c>
      <c r="VL36">
        <v>96.59</v>
      </c>
      <c r="VM36">
        <v>96.58</v>
      </c>
      <c r="VN36">
        <v>96.61</v>
      </c>
      <c r="VO36">
        <v>96.73</v>
      </c>
      <c r="VP36">
        <v>96.69</v>
      </c>
      <c r="VQ36">
        <v>96.64</v>
      </c>
      <c r="VR36">
        <v>96.584999999999994</v>
      </c>
      <c r="VS36">
        <v>96.61</v>
      </c>
      <c r="VT36">
        <v>96.685000000000002</v>
      </c>
      <c r="VU36">
        <v>96.5</v>
      </c>
      <c r="VV36">
        <v>96.584999999999994</v>
      </c>
      <c r="VW36">
        <v>96.5</v>
      </c>
      <c r="VX36">
        <v>96.575000000000003</v>
      </c>
      <c r="VY36">
        <v>96.555000000000007</v>
      </c>
      <c r="VZ36">
        <v>96.355000000000004</v>
      </c>
      <c r="WA36">
        <v>96.4</v>
      </c>
      <c r="WB36">
        <v>96.38</v>
      </c>
      <c r="WC36">
        <v>96.305000000000007</v>
      </c>
      <c r="WD36">
        <v>96.305000000000007</v>
      </c>
      <c r="WE36">
        <v>96.18</v>
      </c>
      <c r="WF36">
        <v>96.284999999999997</v>
      </c>
      <c r="WG36">
        <v>96.37</v>
      </c>
      <c r="WH36">
        <v>96.37</v>
      </c>
      <c r="WI36">
        <v>96.33</v>
      </c>
      <c r="WJ36">
        <v>96.38</v>
      </c>
      <c r="WK36">
        <v>96.33</v>
      </c>
      <c r="WL36">
        <v>96.295000000000002</v>
      </c>
      <c r="WM36">
        <v>96.444999999999993</v>
      </c>
      <c r="WN36">
        <v>96.444999999999993</v>
      </c>
      <c r="WO36">
        <v>96.424999999999997</v>
      </c>
      <c r="WP36">
        <v>96.465000000000003</v>
      </c>
      <c r="WQ36">
        <v>96.53</v>
      </c>
      <c r="WR36">
        <v>96.515000000000001</v>
      </c>
      <c r="WS36">
        <v>96.484999999999999</v>
      </c>
      <c r="WT36">
        <v>96.55</v>
      </c>
      <c r="WU36">
        <v>96.57</v>
      </c>
      <c r="WV36">
        <v>96.55</v>
      </c>
      <c r="WW36">
        <v>96.575000000000003</v>
      </c>
      <c r="WX36">
        <v>96.65</v>
      </c>
      <c r="WY36">
        <v>96.74</v>
      </c>
      <c r="WZ36">
        <v>96.775000000000006</v>
      </c>
      <c r="XA36">
        <v>96.674999999999997</v>
      </c>
      <c r="XB36">
        <v>96.644999999999996</v>
      </c>
      <c r="XC36">
        <v>96.68</v>
      </c>
      <c r="XD36">
        <v>96.73</v>
      </c>
      <c r="XE36">
        <v>96.745000000000005</v>
      </c>
      <c r="XF36">
        <v>96.745000000000005</v>
      </c>
      <c r="XG36">
        <v>96.67</v>
      </c>
      <c r="XH36">
        <v>96.715000000000003</v>
      </c>
      <c r="XI36">
        <v>96.805000000000007</v>
      </c>
      <c r="XJ36">
        <v>96.834999999999994</v>
      </c>
      <c r="XK36">
        <v>96.71</v>
      </c>
      <c r="XL36">
        <v>96.754999999999995</v>
      </c>
      <c r="XM36">
        <v>96.754999999999995</v>
      </c>
      <c r="XN36">
        <v>96.78</v>
      </c>
      <c r="XO36">
        <v>96.704999999999998</v>
      </c>
      <c r="XP36">
        <v>96.65</v>
      </c>
      <c r="XQ36">
        <v>96.765000000000001</v>
      </c>
      <c r="XR36">
        <v>96.72</v>
      </c>
      <c r="XS36">
        <v>96.57</v>
      </c>
      <c r="XT36">
        <v>96.555000000000007</v>
      </c>
      <c r="XU36">
        <v>96.454999999999998</v>
      </c>
      <c r="XV36">
        <v>96.385000000000005</v>
      </c>
      <c r="XW36">
        <v>96.385000000000005</v>
      </c>
      <c r="XX36">
        <v>96.344999999999999</v>
      </c>
      <c r="XY36">
        <v>96.29</v>
      </c>
      <c r="XZ36">
        <v>96.375</v>
      </c>
      <c r="YA36">
        <v>96.46</v>
      </c>
      <c r="YB36">
        <v>96.46</v>
      </c>
      <c r="YC36">
        <v>96.49</v>
      </c>
      <c r="YD36">
        <v>96.465000000000003</v>
      </c>
      <c r="YE36">
        <v>96.515000000000001</v>
      </c>
      <c r="YF36">
        <v>96.655000000000001</v>
      </c>
      <c r="YG36">
        <v>96.75</v>
      </c>
      <c r="YH36">
        <v>96.814999999999998</v>
      </c>
      <c r="YI36">
        <v>96.754999999999995</v>
      </c>
      <c r="YJ36">
        <v>96.754999999999995</v>
      </c>
      <c r="YK36">
        <v>96.655000000000001</v>
      </c>
      <c r="YL36">
        <v>96.69</v>
      </c>
      <c r="YM36">
        <v>96.78</v>
      </c>
      <c r="YN36">
        <v>96.89</v>
      </c>
      <c r="YO36">
        <v>96.78</v>
      </c>
      <c r="YP36">
        <v>96.685000000000002</v>
      </c>
      <c r="YQ36">
        <v>96.784999999999997</v>
      </c>
      <c r="YR36">
        <v>96.74</v>
      </c>
      <c r="YS36">
        <v>96.58</v>
      </c>
      <c r="YT36">
        <v>96.55</v>
      </c>
      <c r="YU36">
        <v>96.594999999999999</v>
      </c>
      <c r="YV36">
        <v>96.58</v>
      </c>
      <c r="YW36">
        <v>96.564999999999998</v>
      </c>
      <c r="YX36">
        <v>96.564999999999998</v>
      </c>
      <c r="YY36">
        <v>96.495000000000005</v>
      </c>
      <c r="YZ36">
        <v>96.394999999999996</v>
      </c>
      <c r="ZA36">
        <v>96.375</v>
      </c>
      <c r="ZB36">
        <v>96.444999999999993</v>
      </c>
      <c r="ZC36">
        <v>96.5</v>
      </c>
      <c r="ZD36">
        <v>96.375</v>
      </c>
      <c r="ZE36">
        <v>96.3</v>
      </c>
      <c r="ZF36">
        <v>96.35</v>
      </c>
      <c r="ZG36">
        <v>96.34</v>
      </c>
      <c r="ZH36">
        <v>96.045000000000002</v>
      </c>
      <c r="ZI36">
        <v>96.084999999999994</v>
      </c>
      <c r="ZJ36">
        <v>96</v>
      </c>
      <c r="ZK36">
        <v>96.015000000000001</v>
      </c>
      <c r="ZL36">
        <v>96.045000000000002</v>
      </c>
      <c r="ZM36">
        <v>96.05</v>
      </c>
      <c r="ZN36">
        <v>96.03</v>
      </c>
      <c r="ZO36">
        <v>95.99</v>
      </c>
      <c r="ZP36">
        <v>96.02</v>
      </c>
      <c r="ZQ36">
        <v>96.114999999999995</v>
      </c>
      <c r="ZR36">
        <v>96.055000000000007</v>
      </c>
      <c r="ZS36">
        <v>95.965000000000003</v>
      </c>
      <c r="ZT36">
        <v>95.825000000000003</v>
      </c>
      <c r="ZU36">
        <v>95.875</v>
      </c>
      <c r="ZV36">
        <v>95.95</v>
      </c>
      <c r="ZW36">
        <v>96.05</v>
      </c>
      <c r="ZX36">
        <v>96.174999999999997</v>
      </c>
      <c r="ZY36">
        <v>96.155000000000001</v>
      </c>
      <c r="ZZ36">
        <v>96.17</v>
      </c>
      <c r="AAA36">
        <v>96.215000000000003</v>
      </c>
      <c r="AAB36">
        <v>96.21</v>
      </c>
      <c r="AAC36">
        <v>96.17</v>
      </c>
      <c r="AAD36">
        <v>96.12</v>
      </c>
      <c r="AAE36">
        <v>96.22</v>
      </c>
      <c r="AAF36">
        <v>96.265000000000001</v>
      </c>
      <c r="AAG36">
        <v>96.295000000000002</v>
      </c>
      <c r="AAH36">
        <v>96.43</v>
      </c>
      <c r="AAI36">
        <v>96.364999999999995</v>
      </c>
      <c r="AAJ36">
        <v>96.215000000000003</v>
      </c>
      <c r="AAK36">
        <v>96.275000000000006</v>
      </c>
      <c r="AAL36">
        <v>96.325000000000003</v>
      </c>
      <c r="AAM36">
        <v>96.204999999999998</v>
      </c>
      <c r="AAN36">
        <v>96.33</v>
      </c>
      <c r="AAO36">
        <v>96.495000000000005</v>
      </c>
      <c r="AAP36">
        <v>96.32</v>
      </c>
      <c r="AAQ36">
        <v>96.495000000000005</v>
      </c>
      <c r="AAR36">
        <v>96.415000000000006</v>
      </c>
      <c r="AAS36">
        <v>96.504999999999995</v>
      </c>
      <c r="AAT36">
        <v>96.504999999999995</v>
      </c>
      <c r="AAU36">
        <v>96.53</v>
      </c>
      <c r="AAV36">
        <v>96.61</v>
      </c>
      <c r="AAW36">
        <v>96.58</v>
      </c>
      <c r="AAX36">
        <v>96.555000000000007</v>
      </c>
      <c r="AAY36">
        <v>96.61</v>
      </c>
      <c r="AAZ36">
        <v>96.61</v>
      </c>
      <c r="ABA36">
        <v>96.65</v>
      </c>
      <c r="ABB36">
        <v>96.5</v>
      </c>
      <c r="ABC36">
        <v>96.67</v>
      </c>
      <c r="ABD36">
        <v>96.67</v>
      </c>
      <c r="ABE36">
        <v>96.635000000000005</v>
      </c>
      <c r="ABF36">
        <v>96.814999999999998</v>
      </c>
      <c r="ABG36">
        <v>96.855000000000004</v>
      </c>
      <c r="ABH36">
        <v>96.76</v>
      </c>
      <c r="ABI36">
        <v>96.87</v>
      </c>
      <c r="ABJ36">
        <v>96.885000000000005</v>
      </c>
      <c r="ABK36">
        <v>96.795000000000002</v>
      </c>
      <c r="ABL36">
        <v>96.875</v>
      </c>
      <c r="ABM36">
        <v>96.89</v>
      </c>
      <c r="ABN36">
        <v>96.905000000000001</v>
      </c>
      <c r="ABO36">
        <v>97.034999999999997</v>
      </c>
      <c r="ABP36">
        <v>97.025000000000006</v>
      </c>
      <c r="ABQ36">
        <v>97.1</v>
      </c>
      <c r="ABR36">
        <v>97.075000000000003</v>
      </c>
      <c r="ABS36">
        <v>96.99</v>
      </c>
      <c r="ABT36">
        <v>96.935000000000002</v>
      </c>
      <c r="ABU36">
        <v>97.12</v>
      </c>
      <c r="ABV36">
        <v>97.165000000000006</v>
      </c>
      <c r="ABW36">
        <v>97.14</v>
      </c>
      <c r="ABX36">
        <v>97.05</v>
      </c>
      <c r="ABY36">
        <v>97.18</v>
      </c>
      <c r="ABZ36">
        <v>97.11</v>
      </c>
      <c r="ACA36">
        <v>97.08</v>
      </c>
      <c r="ACB36">
        <v>97.11</v>
      </c>
      <c r="ACC36">
        <v>97.04</v>
      </c>
      <c r="ACD36">
        <v>97</v>
      </c>
      <c r="ACE36">
        <v>96.954999999999998</v>
      </c>
      <c r="ACF36">
        <v>96.91</v>
      </c>
      <c r="ACG36">
        <v>96.875</v>
      </c>
      <c r="ACH36">
        <v>96.944999999999993</v>
      </c>
      <c r="ACI36">
        <v>96.84</v>
      </c>
      <c r="ACJ36">
        <v>96.73</v>
      </c>
      <c r="ACK36">
        <v>96.765000000000001</v>
      </c>
      <c r="ACL36">
        <v>96.805000000000007</v>
      </c>
      <c r="ACM36">
        <v>96.83</v>
      </c>
      <c r="ACN36">
        <v>96.765000000000001</v>
      </c>
      <c r="ACO36">
        <v>96.795000000000002</v>
      </c>
      <c r="ACP36">
        <v>96.674999999999997</v>
      </c>
      <c r="ACQ36">
        <v>96.62</v>
      </c>
      <c r="ACR36">
        <v>96.49</v>
      </c>
      <c r="ACS36">
        <v>96.575000000000003</v>
      </c>
      <c r="ACT36">
        <v>96.69</v>
      </c>
      <c r="ACU36">
        <v>96.775000000000006</v>
      </c>
      <c r="ACV36">
        <v>96.7</v>
      </c>
      <c r="ACW36">
        <v>96.7</v>
      </c>
      <c r="ACX36">
        <v>96.67</v>
      </c>
      <c r="ACY36">
        <v>96.555000000000007</v>
      </c>
      <c r="ACZ36">
        <v>96.454999999999998</v>
      </c>
      <c r="ADA36">
        <v>96.47</v>
      </c>
      <c r="ADB36">
        <v>96.525000000000006</v>
      </c>
      <c r="ADC36">
        <v>96.62</v>
      </c>
      <c r="ADD36">
        <v>96.52</v>
      </c>
      <c r="ADE36">
        <v>96.39</v>
      </c>
      <c r="ADF36">
        <v>96.49</v>
      </c>
      <c r="ADG36">
        <v>96.49</v>
      </c>
      <c r="ADH36">
        <v>96.41</v>
      </c>
      <c r="ADI36">
        <v>96.325000000000003</v>
      </c>
      <c r="ADJ36">
        <v>96.28</v>
      </c>
      <c r="ADK36">
        <v>96.35</v>
      </c>
      <c r="ADL36">
        <v>96.555000000000007</v>
      </c>
      <c r="ADM36">
        <v>96.605000000000004</v>
      </c>
      <c r="ADN36">
        <v>96.605000000000004</v>
      </c>
      <c r="ADO36">
        <v>96.655000000000001</v>
      </c>
      <c r="ADP36">
        <v>96.555000000000007</v>
      </c>
      <c r="ADQ36">
        <v>96.66</v>
      </c>
      <c r="ADR36">
        <v>96.71</v>
      </c>
      <c r="ADS36">
        <v>96.665000000000006</v>
      </c>
      <c r="ADT36">
        <v>96.7</v>
      </c>
      <c r="ADU36">
        <v>96.805000000000007</v>
      </c>
      <c r="ADV36">
        <v>96.805000000000007</v>
      </c>
      <c r="ADW36">
        <v>96.784999999999997</v>
      </c>
      <c r="ADX36">
        <v>96.844999999999999</v>
      </c>
      <c r="ADY36">
        <v>96.86</v>
      </c>
      <c r="ADZ36">
        <v>96.855000000000004</v>
      </c>
      <c r="AEA36">
        <v>96.915000000000006</v>
      </c>
      <c r="AEB36">
        <v>96.79</v>
      </c>
      <c r="AEC36">
        <v>96.75</v>
      </c>
      <c r="AED36">
        <v>96.614999999999995</v>
      </c>
      <c r="AEE36">
        <v>96.69</v>
      </c>
      <c r="AEF36">
        <v>96.644999999999996</v>
      </c>
      <c r="AEG36">
        <v>96.76</v>
      </c>
      <c r="AEH36">
        <v>96.67</v>
      </c>
      <c r="AEI36">
        <v>96.545000000000002</v>
      </c>
      <c r="AEJ36">
        <v>96.45</v>
      </c>
      <c r="AEK36">
        <v>96.44</v>
      </c>
      <c r="AEL36">
        <v>96.57</v>
      </c>
      <c r="AEM36">
        <v>96.78</v>
      </c>
      <c r="AEN36">
        <v>96.81</v>
      </c>
      <c r="AEO36">
        <v>96.745000000000005</v>
      </c>
      <c r="AEP36">
        <v>96.89</v>
      </c>
      <c r="AEQ36">
        <v>96.89</v>
      </c>
      <c r="AER36">
        <v>96.954999999999998</v>
      </c>
      <c r="AES36">
        <v>97.03</v>
      </c>
      <c r="AET36">
        <v>97.01</v>
      </c>
      <c r="AEU36">
        <v>96.924999999999997</v>
      </c>
      <c r="AEV36">
        <v>96.89</v>
      </c>
      <c r="AEW36">
        <v>96.944999999999993</v>
      </c>
      <c r="AEX36">
        <v>96.855000000000004</v>
      </c>
      <c r="AEY36">
        <v>96.89</v>
      </c>
      <c r="AEZ36">
        <v>97.01</v>
      </c>
      <c r="AFA36">
        <v>97.01</v>
      </c>
      <c r="AFB36">
        <v>97.144999999999996</v>
      </c>
      <c r="AFC36">
        <v>97.09</v>
      </c>
      <c r="AFD36">
        <v>97.12</v>
      </c>
      <c r="AFE36">
        <v>97.245000000000005</v>
      </c>
      <c r="AFF36">
        <v>97.355000000000004</v>
      </c>
      <c r="AFG36">
        <v>97.51</v>
      </c>
      <c r="AFH36">
        <v>97.635000000000005</v>
      </c>
      <c r="AFI36">
        <v>97.734999999999999</v>
      </c>
      <c r="AFJ36">
        <v>97.754999999999995</v>
      </c>
      <c r="AFK36">
        <v>97.814999999999998</v>
      </c>
      <c r="AFL36">
        <v>97.78</v>
      </c>
      <c r="AFM36">
        <v>97.74</v>
      </c>
      <c r="AFN36">
        <v>97.674999999999997</v>
      </c>
      <c r="AFO36">
        <v>97.665000000000006</v>
      </c>
      <c r="AFP36">
        <v>97.8</v>
      </c>
      <c r="AFQ36">
        <v>97.844999999999999</v>
      </c>
      <c r="AFR36">
        <v>97.79</v>
      </c>
      <c r="AFS36">
        <v>97.855000000000004</v>
      </c>
      <c r="AFT36">
        <v>97.995000000000005</v>
      </c>
      <c r="AFU36">
        <v>97.92</v>
      </c>
      <c r="AFV36">
        <v>97.9</v>
      </c>
      <c r="AFW36">
        <v>97.894999999999996</v>
      </c>
      <c r="AFX36">
        <v>97.92</v>
      </c>
      <c r="AFY36">
        <v>98.08</v>
      </c>
      <c r="AFZ36">
        <v>98.09</v>
      </c>
      <c r="AGA36">
        <v>98.165000000000006</v>
      </c>
      <c r="AGB36">
        <v>98.26</v>
      </c>
      <c r="AGC36">
        <v>98.375</v>
      </c>
      <c r="AGD36">
        <v>98.35</v>
      </c>
      <c r="AGE36">
        <v>98.215000000000003</v>
      </c>
      <c r="AGF36">
        <v>98.17</v>
      </c>
      <c r="AGG36">
        <v>98.314999999999998</v>
      </c>
      <c r="AGH36">
        <v>98.204999999999998</v>
      </c>
      <c r="AGI36">
        <v>98.064999999999998</v>
      </c>
      <c r="AGJ36">
        <v>98.075000000000003</v>
      </c>
      <c r="AGK36">
        <v>98.1</v>
      </c>
      <c r="AGL36">
        <v>98.14</v>
      </c>
      <c r="AGM36">
        <v>98.13</v>
      </c>
      <c r="AGN36">
        <v>98.13</v>
      </c>
      <c r="AGO36">
        <v>98.084999999999994</v>
      </c>
      <c r="AGP36">
        <v>97.995000000000005</v>
      </c>
      <c r="AGQ36">
        <v>98.004999999999995</v>
      </c>
      <c r="AGR36">
        <v>98.09</v>
      </c>
      <c r="AGS36">
        <v>98.135000000000005</v>
      </c>
      <c r="AGT36">
        <v>98.025000000000006</v>
      </c>
      <c r="AGU36">
        <v>98.094999999999999</v>
      </c>
      <c r="AGV36">
        <v>98.055000000000007</v>
      </c>
      <c r="AGW36">
        <v>98.094999999999999</v>
      </c>
      <c r="AGX36">
        <v>98.08</v>
      </c>
      <c r="AGY36">
        <v>98.194999999999993</v>
      </c>
      <c r="AGZ36">
        <v>98.23</v>
      </c>
      <c r="AHA36">
        <v>98.194999999999993</v>
      </c>
      <c r="AHB36">
        <v>98.204999999999998</v>
      </c>
      <c r="AHC36">
        <v>98.215000000000003</v>
      </c>
      <c r="AHD36">
        <v>98.174999999999997</v>
      </c>
      <c r="AHE36">
        <v>98.07</v>
      </c>
      <c r="AHF36">
        <v>98.135000000000005</v>
      </c>
      <c r="AHG36">
        <v>98.2</v>
      </c>
      <c r="AHH36">
        <v>98.185000000000002</v>
      </c>
      <c r="AHI36">
        <v>98.114999999999995</v>
      </c>
      <c r="AHJ36">
        <v>98.105000000000004</v>
      </c>
      <c r="AHK36">
        <v>98.05</v>
      </c>
      <c r="AHL36">
        <v>98.15</v>
      </c>
      <c r="AHM36">
        <v>98.15</v>
      </c>
      <c r="AHN36">
        <v>98.22</v>
      </c>
      <c r="AHO36">
        <v>98.19</v>
      </c>
      <c r="AHP36">
        <v>98.144999999999996</v>
      </c>
      <c r="AHQ36">
        <v>98.094999999999999</v>
      </c>
      <c r="AHR36">
        <v>98.08</v>
      </c>
      <c r="AHS36">
        <v>98.09</v>
      </c>
      <c r="AHT36">
        <v>98.114999999999995</v>
      </c>
      <c r="AHU36">
        <v>98.13</v>
      </c>
      <c r="AHV36">
        <v>98.19</v>
      </c>
      <c r="AHW36">
        <v>98.36</v>
      </c>
      <c r="AHX36">
        <v>98.344999999999999</v>
      </c>
      <c r="AHY36">
        <v>98.334999999999994</v>
      </c>
      <c r="AHZ36">
        <v>98.43</v>
      </c>
      <c r="AIA36">
        <v>98.4</v>
      </c>
      <c r="AIB36">
        <v>98.364999999999995</v>
      </c>
      <c r="AIC36">
        <v>98.364999999999995</v>
      </c>
      <c r="AID36">
        <v>98.39</v>
      </c>
      <c r="AIE36">
        <v>98.35</v>
      </c>
      <c r="AIF36">
        <v>98.444999999999993</v>
      </c>
      <c r="AIG36">
        <v>98.53</v>
      </c>
      <c r="AIH36">
        <v>98.49</v>
      </c>
      <c r="AII36">
        <v>98.47</v>
      </c>
      <c r="AIJ36">
        <v>98.424999999999997</v>
      </c>
      <c r="AIK36">
        <v>98.42</v>
      </c>
      <c r="AIL36">
        <v>98.355000000000004</v>
      </c>
      <c r="AIM36">
        <v>98.38</v>
      </c>
      <c r="AIN36">
        <v>98.32</v>
      </c>
      <c r="AIO36">
        <v>98.34</v>
      </c>
      <c r="AIP36">
        <v>98.355000000000004</v>
      </c>
      <c r="AIQ36">
        <v>98.495000000000005</v>
      </c>
      <c r="AIR36">
        <v>98.334999999999994</v>
      </c>
      <c r="AIS36">
        <v>98.295000000000002</v>
      </c>
      <c r="AIT36">
        <v>98.25</v>
      </c>
      <c r="AIU36">
        <v>98.135000000000005</v>
      </c>
      <c r="AIV36">
        <v>98.29</v>
      </c>
      <c r="AIW36">
        <v>98.114999999999995</v>
      </c>
      <c r="AIX36">
        <v>98.114999999999995</v>
      </c>
      <c r="AIY36">
        <v>98.075000000000003</v>
      </c>
      <c r="AIZ36">
        <v>98.144999999999996</v>
      </c>
      <c r="AJA36">
        <v>98.25</v>
      </c>
      <c r="AJB36">
        <v>98.185000000000002</v>
      </c>
      <c r="AJC36">
        <v>98.16</v>
      </c>
      <c r="AJD36">
        <v>98.135000000000005</v>
      </c>
      <c r="AJE36">
        <v>98.174999999999997</v>
      </c>
      <c r="AJF36">
        <v>98.17</v>
      </c>
      <c r="AJG36">
        <v>98.185000000000002</v>
      </c>
      <c r="AJH36">
        <v>98.19</v>
      </c>
      <c r="AJI36">
        <v>98.215000000000003</v>
      </c>
      <c r="AJJ36">
        <v>98.114999999999995</v>
      </c>
      <c r="AJK36">
        <v>98.14</v>
      </c>
      <c r="AJL36">
        <v>98.045000000000002</v>
      </c>
      <c r="AJM36">
        <v>98.015000000000001</v>
      </c>
      <c r="AJN36">
        <v>98.034999999999997</v>
      </c>
      <c r="AJO36">
        <v>98.07</v>
      </c>
      <c r="AJP36">
        <v>98.11</v>
      </c>
      <c r="AJQ36">
        <v>98.08</v>
      </c>
      <c r="AJR36">
        <v>98.105000000000004</v>
      </c>
      <c r="AJS36">
        <v>97.91</v>
      </c>
      <c r="AJT36">
        <v>97.9</v>
      </c>
      <c r="AJU36">
        <v>97.855000000000004</v>
      </c>
      <c r="AJV36">
        <v>97.8</v>
      </c>
      <c r="AJW36">
        <v>97.834999999999994</v>
      </c>
      <c r="AJX36">
        <v>97.87</v>
      </c>
      <c r="AJY36">
        <v>97.984999999999999</v>
      </c>
      <c r="AJZ36">
        <v>97.95</v>
      </c>
      <c r="AKA36">
        <v>98.004999999999995</v>
      </c>
      <c r="AKB36">
        <v>97.965000000000003</v>
      </c>
      <c r="AKC36">
        <v>97.825000000000003</v>
      </c>
      <c r="AKD36">
        <v>97.73</v>
      </c>
      <c r="AKE36">
        <v>97.724999999999994</v>
      </c>
      <c r="AKF36">
        <v>97.775000000000006</v>
      </c>
      <c r="AKG36">
        <v>97.84</v>
      </c>
      <c r="AKH36">
        <v>97.82</v>
      </c>
      <c r="AKI36">
        <v>97.87</v>
      </c>
      <c r="AKJ36">
        <v>97.844999999999999</v>
      </c>
      <c r="AKK36">
        <v>97.805000000000007</v>
      </c>
      <c r="AKL36">
        <v>97.795000000000002</v>
      </c>
      <c r="AKM36">
        <v>97.844999999999999</v>
      </c>
      <c r="AKN36">
        <v>97.95</v>
      </c>
      <c r="AKO36">
        <v>98</v>
      </c>
      <c r="AKP36">
        <v>98.08</v>
      </c>
      <c r="AKQ36">
        <v>98.174999999999997</v>
      </c>
      <c r="AKR36">
        <v>98.08</v>
      </c>
      <c r="AKS36">
        <v>98.09</v>
      </c>
      <c r="AKT36">
        <v>98.015000000000001</v>
      </c>
      <c r="AKU36">
        <v>98.084999999999994</v>
      </c>
      <c r="AKV36">
        <v>98.125</v>
      </c>
      <c r="AKW36">
        <v>98.185000000000002</v>
      </c>
      <c r="AKX36">
        <v>98.105000000000004</v>
      </c>
      <c r="AKY36">
        <v>98.075000000000003</v>
      </c>
      <c r="AKZ36">
        <v>98.155000000000001</v>
      </c>
      <c r="ALA36">
        <v>98.114999999999995</v>
      </c>
      <c r="ALB36">
        <v>98.064999999999998</v>
      </c>
      <c r="ALC36">
        <v>98.114999999999995</v>
      </c>
      <c r="ALD36">
        <v>98.114999999999995</v>
      </c>
      <c r="ALE36">
        <v>98.174999999999997</v>
      </c>
      <c r="ALF36">
        <v>98.165000000000006</v>
      </c>
      <c r="ALG36">
        <v>98.15</v>
      </c>
      <c r="ALH36">
        <v>98.194999999999993</v>
      </c>
      <c r="ALI36">
        <v>98.21</v>
      </c>
      <c r="ALJ36">
        <v>98.185000000000002</v>
      </c>
      <c r="ALK36">
        <v>98.194999999999993</v>
      </c>
      <c r="ALL36">
        <v>98.27</v>
      </c>
      <c r="ALM36">
        <v>98.325000000000003</v>
      </c>
      <c r="ALN36">
        <v>98.314999999999998</v>
      </c>
      <c r="ALO36">
        <v>98.34</v>
      </c>
      <c r="ALP36">
        <v>98.29</v>
      </c>
      <c r="ALQ36">
        <v>98.33</v>
      </c>
      <c r="ALR36">
        <v>98.334999999999994</v>
      </c>
      <c r="ALS36">
        <v>98.284999999999997</v>
      </c>
      <c r="ALT36">
        <v>98.19</v>
      </c>
      <c r="ALU36">
        <v>98.21</v>
      </c>
      <c r="ALV36">
        <v>98.234999999999999</v>
      </c>
      <c r="ALW36">
        <v>98.245000000000005</v>
      </c>
      <c r="ALX36">
        <v>98.28</v>
      </c>
      <c r="ALY36">
        <v>98.375</v>
      </c>
      <c r="ALZ36">
        <v>98.37</v>
      </c>
      <c r="AMA36">
        <v>98.364999999999995</v>
      </c>
      <c r="AMB36">
        <v>98.37</v>
      </c>
      <c r="AMC36">
        <v>98.275000000000006</v>
      </c>
      <c r="AMD36">
        <v>98.254999999999995</v>
      </c>
      <c r="AME36">
        <v>98.28</v>
      </c>
      <c r="AMF36">
        <v>98.3</v>
      </c>
      <c r="AMG36">
        <v>98.265000000000001</v>
      </c>
      <c r="AMH36">
        <v>98.245000000000005</v>
      </c>
      <c r="AMI36">
        <v>98.27</v>
      </c>
      <c r="AMJ36">
        <v>98.265000000000001</v>
      </c>
      <c r="AMK36">
        <v>98.38</v>
      </c>
      <c r="AML36">
        <v>98.474999999999994</v>
      </c>
      <c r="AMM36">
        <v>98.295000000000002</v>
      </c>
      <c r="AMN36">
        <v>98.27</v>
      </c>
      <c r="AMO36">
        <v>98.165000000000006</v>
      </c>
      <c r="AMP36">
        <v>98.075000000000003</v>
      </c>
      <c r="AMQ36">
        <v>98.14</v>
      </c>
      <c r="AMR36">
        <v>98.135000000000005</v>
      </c>
      <c r="AMS36">
        <v>98.23</v>
      </c>
      <c r="AMT36">
        <v>98.215000000000003</v>
      </c>
      <c r="AMU36">
        <v>98.16</v>
      </c>
      <c r="AMV36">
        <v>98.075000000000003</v>
      </c>
      <c r="AMW36">
        <v>98.075000000000003</v>
      </c>
      <c r="AMX36">
        <v>98.01</v>
      </c>
      <c r="AMY36">
        <v>98.045000000000002</v>
      </c>
      <c r="AMZ36">
        <v>97.954999999999998</v>
      </c>
      <c r="ANA36">
        <v>97.944999999999993</v>
      </c>
      <c r="ANB36">
        <v>97.86</v>
      </c>
      <c r="ANC36">
        <v>97.91</v>
      </c>
      <c r="AND36">
        <v>97.9</v>
      </c>
      <c r="ANE36">
        <v>97.935000000000002</v>
      </c>
      <c r="ANF36">
        <v>97.93</v>
      </c>
      <c r="ANG36">
        <v>97.99</v>
      </c>
      <c r="ANH36">
        <v>97.875</v>
      </c>
      <c r="ANI36">
        <v>97.734999999999999</v>
      </c>
      <c r="ANJ36">
        <v>97.775000000000006</v>
      </c>
      <c r="ANK36">
        <v>97.76</v>
      </c>
      <c r="ANL36">
        <v>97.694999999999993</v>
      </c>
      <c r="ANM36">
        <v>97.715000000000003</v>
      </c>
      <c r="ANN36">
        <v>97.68</v>
      </c>
      <c r="ANO36">
        <v>97.63</v>
      </c>
      <c r="ANP36">
        <v>97.584999999999994</v>
      </c>
      <c r="ANQ36">
        <v>97.575000000000003</v>
      </c>
      <c r="ANR36">
        <v>97.48</v>
      </c>
      <c r="ANS36">
        <v>97.53</v>
      </c>
      <c r="ANT36">
        <v>97.495000000000005</v>
      </c>
      <c r="ANU36">
        <v>97.54</v>
      </c>
      <c r="ANV36">
        <v>97.54</v>
      </c>
      <c r="ANW36">
        <v>97.555000000000007</v>
      </c>
      <c r="ANX36">
        <v>97.605000000000004</v>
      </c>
      <c r="ANY36">
        <v>97.625</v>
      </c>
      <c r="ANZ36">
        <v>97.575000000000003</v>
      </c>
      <c r="AOA36">
        <v>97.534999999999997</v>
      </c>
      <c r="AOB36">
        <v>97.54</v>
      </c>
      <c r="AOC36">
        <v>97.48</v>
      </c>
      <c r="AOD36">
        <v>97.52</v>
      </c>
      <c r="AOE36">
        <v>97.525000000000006</v>
      </c>
      <c r="AOF36">
        <v>97.534999999999997</v>
      </c>
      <c r="AOG36">
        <v>97.49</v>
      </c>
      <c r="AOH36">
        <v>97.435000000000002</v>
      </c>
      <c r="AOI36">
        <v>97.534999999999997</v>
      </c>
      <c r="AOJ36">
        <v>97.56</v>
      </c>
      <c r="AOK36">
        <v>97.594999999999999</v>
      </c>
      <c r="AOL36">
        <v>97.61</v>
      </c>
      <c r="AOM36">
        <v>97.584999999999994</v>
      </c>
      <c r="AON36">
        <v>97.56</v>
      </c>
      <c r="AOO36">
        <v>97.534999999999997</v>
      </c>
      <c r="AOP36">
        <v>97.5</v>
      </c>
      <c r="AOQ36">
        <v>97.5</v>
      </c>
      <c r="AOR36">
        <v>97.525000000000006</v>
      </c>
      <c r="AOS36">
        <v>97.534999999999997</v>
      </c>
      <c r="AOT36">
        <v>97.594999999999999</v>
      </c>
      <c r="AOU36">
        <v>97.605000000000004</v>
      </c>
      <c r="AOV36">
        <v>97.63</v>
      </c>
      <c r="AOW36">
        <v>97.63</v>
      </c>
      <c r="AOX36">
        <v>97.635000000000005</v>
      </c>
      <c r="AOY36">
        <v>97.61</v>
      </c>
      <c r="AOZ36">
        <v>97.625</v>
      </c>
      <c r="APA36">
        <v>97.665000000000006</v>
      </c>
      <c r="APB36">
        <v>97.52</v>
      </c>
      <c r="APC36">
        <v>97.51</v>
      </c>
      <c r="APD36">
        <v>97.415000000000006</v>
      </c>
      <c r="APE36">
        <v>97.424999999999997</v>
      </c>
      <c r="APF36">
        <v>97.454999999999998</v>
      </c>
      <c r="APG36">
        <v>97.415000000000006</v>
      </c>
      <c r="APH36">
        <v>97.39</v>
      </c>
      <c r="API36">
        <v>97.284999999999997</v>
      </c>
      <c r="APJ36">
        <v>97.27</v>
      </c>
      <c r="APK36">
        <v>97.334999999999994</v>
      </c>
      <c r="APL36">
        <v>97.204999999999998</v>
      </c>
      <c r="APM36">
        <v>97.24</v>
      </c>
      <c r="APN36">
        <v>97.265000000000001</v>
      </c>
      <c r="APO36">
        <v>97.344999999999999</v>
      </c>
      <c r="APP36">
        <v>97.405000000000001</v>
      </c>
      <c r="APQ36">
        <v>97.37</v>
      </c>
      <c r="APR36">
        <v>97.35</v>
      </c>
      <c r="APS36">
        <v>97.29</v>
      </c>
      <c r="APT36">
        <v>97.245000000000005</v>
      </c>
      <c r="APU36">
        <v>97.42</v>
      </c>
      <c r="APV36">
        <v>97.61</v>
      </c>
      <c r="APW36">
        <v>97.584999999999994</v>
      </c>
      <c r="APX36">
        <v>97.58</v>
      </c>
      <c r="APY36">
        <v>97.564999999999998</v>
      </c>
      <c r="APZ36">
        <v>97.635000000000005</v>
      </c>
      <c r="AQA36">
        <v>97.65</v>
      </c>
      <c r="AQB36">
        <v>97.62</v>
      </c>
      <c r="AQC36">
        <v>97.564999999999998</v>
      </c>
      <c r="AQD36">
        <v>97.63</v>
      </c>
      <c r="AQE36">
        <v>97.62</v>
      </c>
      <c r="AQF36">
        <v>97.685000000000002</v>
      </c>
      <c r="AQG36">
        <v>97.74</v>
      </c>
      <c r="AQH36">
        <v>97.7</v>
      </c>
      <c r="AQI36">
        <v>97.59</v>
      </c>
      <c r="AQJ36">
        <v>97.594999999999999</v>
      </c>
      <c r="AQK36">
        <v>97.685000000000002</v>
      </c>
      <c r="AQL36">
        <v>97.71</v>
      </c>
      <c r="AQM36">
        <v>97.7</v>
      </c>
      <c r="AQN36">
        <v>97.734999999999999</v>
      </c>
      <c r="AQO36">
        <v>97.78</v>
      </c>
      <c r="AQP36">
        <v>97.834999999999994</v>
      </c>
      <c r="AQQ36">
        <v>97.86</v>
      </c>
      <c r="AQR36">
        <v>97.98</v>
      </c>
      <c r="AQS36">
        <v>97.98</v>
      </c>
      <c r="AQT36">
        <v>98.084999999999994</v>
      </c>
      <c r="AQU36">
        <v>98.094999999999999</v>
      </c>
      <c r="AQV36">
        <v>98.08</v>
      </c>
      <c r="AQW36">
        <v>98.07</v>
      </c>
      <c r="AQX36">
        <v>98.09</v>
      </c>
      <c r="AQY36">
        <v>98.094999999999999</v>
      </c>
      <c r="AQZ36">
        <v>98.24</v>
      </c>
      <c r="ARA36">
        <v>98.254999999999995</v>
      </c>
      <c r="ARB36">
        <v>98.32</v>
      </c>
      <c r="ARC36">
        <v>98.32</v>
      </c>
      <c r="ARD36">
        <v>98.325000000000003</v>
      </c>
      <c r="ARE36">
        <v>98.32</v>
      </c>
      <c r="ARF36">
        <v>98.314999999999998</v>
      </c>
      <c r="ARG36">
        <v>98.32</v>
      </c>
      <c r="ARH36">
        <v>98.32</v>
      </c>
      <c r="ARI36">
        <v>98.314999999999998</v>
      </c>
      <c r="ARJ36">
        <v>98.33</v>
      </c>
      <c r="ARK36">
        <v>98.33</v>
      </c>
      <c r="ARL36">
        <v>98.32</v>
      </c>
      <c r="ARM36">
        <v>98.32</v>
      </c>
      <c r="ARN36">
        <v>98.314999999999998</v>
      </c>
      <c r="ARO36">
        <v>98.3</v>
      </c>
      <c r="ARP36">
        <v>98.275000000000006</v>
      </c>
      <c r="ARQ36">
        <v>98.28</v>
      </c>
      <c r="ARR36">
        <v>98.284999999999997</v>
      </c>
      <c r="ARS36">
        <v>98.325000000000003</v>
      </c>
      <c r="ART36">
        <v>98.555000000000007</v>
      </c>
      <c r="ARU36">
        <v>98.6</v>
      </c>
      <c r="ARV36">
        <v>98.61</v>
      </c>
      <c r="ARW36">
        <v>98.6</v>
      </c>
      <c r="ARX36">
        <v>98.6</v>
      </c>
      <c r="ARY36">
        <v>98.59</v>
      </c>
      <c r="ARZ36">
        <v>98.575000000000003</v>
      </c>
      <c r="ASA36">
        <v>98.57</v>
      </c>
      <c r="ASB36">
        <v>98.575000000000003</v>
      </c>
      <c r="ASC36">
        <v>98.575000000000003</v>
      </c>
      <c r="ASD36">
        <v>98.575000000000003</v>
      </c>
      <c r="ASE36">
        <v>98.58</v>
      </c>
      <c r="ASF36">
        <v>98.575000000000003</v>
      </c>
      <c r="ASG36">
        <v>98.575000000000003</v>
      </c>
      <c r="ASH36">
        <v>98.67</v>
      </c>
      <c r="ASI36">
        <v>98.68</v>
      </c>
      <c r="ASJ36">
        <v>98.694999999999993</v>
      </c>
      <c r="ASK36">
        <v>98.694999999999993</v>
      </c>
      <c r="ASL36">
        <v>98.694999999999993</v>
      </c>
      <c r="ASM36">
        <v>99.025000000000006</v>
      </c>
      <c r="ASN36">
        <v>99.405000000000001</v>
      </c>
      <c r="ASO36">
        <v>99.51</v>
      </c>
      <c r="ASP36">
        <v>99.51</v>
      </c>
      <c r="ASQ36">
        <v>99.52</v>
      </c>
      <c r="ASR36">
        <v>99.534999999999997</v>
      </c>
      <c r="ASS36">
        <v>99.54</v>
      </c>
      <c r="AST36">
        <v>99.545000000000002</v>
      </c>
      <c r="ASU36">
        <v>99.57</v>
      </c>
      <c r="ASV36">
        <v>99.575000000000003</v>
      </c>
      <c r="ASW36">
        <v>99.57</v>
      </c>
      <c r="ASX36">
        <v>99.57</v>
      </c>
      <c r="ASY36">
        <v>99.564999999999998</v>
      </c>
      <c r="ASZ36">
        <v>99.56</v>
      </c>
      <c r="ATA36">
        <v>99.575000000000003</v>
      </c>
      <c r="ATB36">
        <v>99.57</v>
      </c>
      <c r="ATC36">
        <v>99.57</v>
      </c>
      <c r="ATD36">
        <v>99.575000000000003</v>
      </c>
      <c r="ATE36">
        <v>99.564999999999998</v>
      </c>
      <c r="ATF36">
        <v>99.564999999999998</v>
      </c>
      <c r="ATG36">
        <v>99.56</v>
      </c>
      <c r="ATH36">
        <v>99.54</v>
      </c>
      <c r="ATI36">
        <v>99.54</v>
      </c>
      <c r="ATJ36">
        <v>99.575000000000003</v>
      </c>
      <c r="ATK36">
        <v>99.62</v>
      </c>
      <c r="ATL36">
        <v>99.625</v>
      </c>
      <c r="ATM36">
        <v>99.644999999999996</v>
      </c>
      <c r="ATN36">
        <v>99.614999999999995</v>
      </c>
      <c r="ATO36">
        <v>99.625</v>
      </c>
      <c r="ATP36">
        <v>99.62</v>
      </c>
      <c r="ATQ36">
        <v>99.625</v>
      </c>
      <c r="ATR36">
        <v>99.635000000000005</v>
      </c>
      <c r="ATS36">
        <v>99.635000000000005</v>
      </c>
      <c r="ATT36">
        <v>99.63</v>
      </c>
      <c r="ATU36">
        <v>99.62</v>
      </c>
      <c r="ATV36">
        <v>99.61</v>
      </c>
      <c r="ATW36">
        <v>99.635000000000005</v>
      </c>
      <c r="ATX36">
        <v>99.635000000000005</v>
      </c>
      <c r="ATY36">
        <v>99.644999999999996</v>
      </c>
      <c r="ATZ36">
        <v>99.655000000000001</v>
      </c>
      <c r="AUA36">
        <v>99.65</v>
      </c>
      <c r="AUB36">
        <v>99.655000000000001</v>
      </c>
      <c r="AUC36">
        <v>99.65</v>
      </c>
      <c r="AUD36">
        <v>99.635000000000005</v>
      </c>
      <c r="AUE36">
        <v>99.63</v>
      </c>
      <c r="AUF36">
        <v>99.644999999999996</v>
      </c>
      <c r="AUG36">
        <v>99.64</v>
      </c>
      <c r="AUH36">
        <v>99.665000000000006</v>
      </c>
      <c r="AUI36">
        <v>99.665000000000006</v>
      </c>
      <c r="AUJ36">
        <v>99.715000000000003</v>
      </c>
      <c r="AUK36">
        <v>99.715000000000003</v>
      </c>
      <c r="AUL36">
        <v>99.715000000000003</v>
      </c>
      <c r="AUM36">
        <v>99.72</v>
      </c>
      <c r="AUN36">
        <v>99.72</v>
      </c>
      <c r="AUO36">
        <v>99.73</v>
      </c>
      <c r="AUP36">
        <v>99.73</v>
      </c>
      <c r="AUQ36">
        <v>99.734999999999999</v>
      </c>
      <c r="AUR36">
        <v>99.734999999999999</v>
      </c>
      <c r="AUS36">
        <v>99.724999999999994</v>
      </c>
      <c r="AUT36">
        <v>99.704999999999998</v>
      </c>
      <c r="AUU36">
        <v>99.72</v>
      </c>
      <c r="AUV36">
        <v>99.715000000000003</v>
      </c>
      <c r="AUW36">
        <v>99.745000000000005</v>
      </c>
      <c r="AUX36">
        <v>99.75</v>
      </c>
      <c r="AUY36">
        <v>99.74</v>
      </c>
      <c r="AUZ36">
        <v>99.715000000000003</v>
      </c>
      <c r="AVA36">
        <v>99.71</v>
      </c>
      <c r="AVB36">
        <v>99.715000000000003</v>
      </c>
      <c r="AVC36">
        <v>99.704999999999998</v>
      </c>
      <c r="AVD36">
        <v>99.704999999999998</v>
      </c>
      <c r="AVE36">
        <v>99.734999999999999</v>
      </c>
      <c r="AVF36">
        <v>99.724999999999994</v>
      </c>
      <c r="AVG36">
        <v>99.734999999999999</v>
      </c>
      <c r="AVH36">
        <v>99.73</v>
      </c>
      <c r="AVI36">
        <v>99.724999999999994</v>
      </c>
      <c r="AVJ36">
        <v>99.704999999999998</v>
      </c>
      <c r="AVK36">
        <v>99.715000000000003</v>
      </c>
      <c r="AVL36">
        <v>99.72</v>
      </c>
      <c r="AVM36">
        <v>99.73</v>
      </c>
      <c r="AVN36">
        <v>99.724999999999994</v>
      </c>
      <c r="AVO36">
        <v>99.734999999999999</v>
      </c>
      <c r="AVP36">
        <v>99.734999999999999</v>
      </c>
      <c r="AVQ36">
        <v>99.724999999999994</v>
      </c>
      <c r="AVR36">
        <v>99.71</v>
      </c>
      <c r="AVS36">
        <v>99.7</v>
      </c>
      <c r="AVT36">
        <v>99.7</v>
      </c>
      <c r="AVU36">
        <v>99.704999999999998</v>
      </c>
      <c r="AVV36">
        <v>99.704999999999998</v>
      </c>
      <c r="AVW36">
        <v>99.74</v>
      </c>
      <c r="AVX36">
        <v>99.75</v>
      </c>
      <c r="AVY36">
        <v>99.77</v>
      </c>
      <c r="AVZ36">
        <v>99.775000000000006</v>
      </c>
      <c r="AWA36">
        <v>99.784999999999997</v>
      </c>
      <c r="AWB36">
        <v>99.775000000000006</v>
      </c>
      <c r="AWC36">
        <v>99.77</v>
      </c>
      <c r="AWD36">
        <v>99.765000000000001</v>
      </c>
      <c r="AWE36">
        <v>99.745000000000005</v>
      </c>
      <c r="AWF36">
        <v>99.734999999999999</v>
      </c>
      <c r="AWG36">
        <v>99.73</v>
      </c>
      <c r="AWH36">
        <v>99.74</v>
      </c>
      <c r="AWI36">
        <v>99.745000000000005</v>
      </c>
      <c r="AWJ36">
        <v>99.745000000000005</v>
      </c>
      <c r="AWK36">
        <v>99.74</v>
      </c>
      <c r="AWL36">
        <v>99.74</v>
      </c>
      <c r="AWM36">
        <v>99.734999999999999</v>
      </c>
      <c r="AWN36">
        <v>99.734999999999999</v>
      </c>
      <c r="AWO36">
        <v>99.73</v>
      </c>
      <c r="AWP36">
        <v>99.74</v>
      </c>
      <c r="AWQ36">
        <v>99.74</v>
      </c>
      <c r="AWR36">
        <v>99.754999999999995</v>
      </c>
      <c r="AWS36">
        <v>99.77</v>
      </c>
      <c r="AWT36">
        <v>99.754999999999995</v>
      </c>
      <c r="AWU36">
        <v>99.75</v>
      </c>
      <c r="AWV36">
        <v>99.745000000000005</v>
      </c>
      <c r="AWW36">
        <v>99.745000000000005</v>
      </c>
      <c r="AWX36">
        <v>99.745000000000005</v>
      </c>
      <c r="AWY36">
        <v>99.734999999999999</v>
      </c>
      <c r="AWZ36">
        <v>99.754999999999995</v>
      </c>
      <c r="AXA36">
        <v>99.754999999999995</v>
      </c>
      <c r="AXB36">
        <v>99.745000000000005</v>
      </c>
      <c r="AXC36">
        <v>99.724999999999994</v>
      </c>
      <c r="AXD36">
        <v>99.724999999999994</v>
      </c>
      <c r="AXE36">
        <v>99.724999999999994</v>
      </c>
      <c r="AXF36">
        <v>99.72</v>
      </c>
      <c r="AXG36">
        <v>99.71</v>
      </c>
      <c r="AXH36">
        <v>99.69</v>
      </c>
      <c r="AXI36">
        <v>99.685000000000002</v>
      </c>
      <c r="AXJ36">
        <v>99.674999999999997</v>
      </c>
      <c r="AXK36">
        <v>99.69</v>
      </c>
      <c r="AXL36">
        <v>99.68</v>
      </c>
      <c r="AXM36">
        <v>99.69</v>
      </c>
      <c r="AXN36">
        <v>99.665000000000006</v>
      </c>
      <c r="AXO36">
        <v>99.614999999999995</v>
      </c>
      <c r="AXP36">
        <v>99.58</v>
      </c>
      <c r="AXQ36">
        <v>99.575000000000003</v>
      </c>
      <c r="AXR36">
        <v>99.64</v>
      </c>
      <c r="AXS36">
        <v>99.655000000000001</v>
      </c>
      <c r="AXT36">
        <v>99.69</v>
      </c>
      <c r="AXU36">
        <v>99.694999999999993</v>
      </c>
      <c r="AXV36">
        <v>99.685000000000002</v>
      </c>
      <c r="AXW36">
        <v>99.665000000000006</v>
      </c>
      <c r="AXX36">
        <v>99.67</v>
      </c>
      <c r="AXY36">
        <v>99.674999999999997</v>
      </c>
      <c r="AXZ36">
        <v>99.68</v>
      </c>
      <c r="AYA36">
        <v>99.68</v>
      </c>
      <c r="AYB36">
        <v>99.674999999999997</v>
      </c>
      <c r="AYC36">
        <v>99.674999999999997</v>
      </c>
      <c r="AYD36">
        <v>99.68</v>
      </c>
      <c r="AYE36">
        <v>99.68</v>
      </c>
      <c r="AYF36">
        <v>99.724999999999994</v>
      </c>
      <c r="AYG36">
        <v>99.7</v>
      </c>
      <c r="AYH36">
        <v>99.69</v>
      </c>
      <c r="AYI36">
        <v>99.67</v>
      </c>
      <c r="AYJ36">
        <v>99.67</v>
      </c>
      <c r="AYK36">
        <v>99.69</v>
      </c>
      <c r="AYL36">
        <v>99.7</v>
      </c>
      <c r="AYM36">
        <v>99.644999999999996</v>
      </c>
      <c r="AYN36">
        <v>99.63</v>
      </c>
      <c r="AYO36">
        <v>99.635000000000005</v>
      </c>
      <c r="AYP36">
        <v>99.62</v>
      </c>
      <c r="AYQ36">
        <v>99.625</v>
      </c>
      <c r="AYR36">
        <v>99.614999999999995</v>
      </c>
      <c r="AYS36">
        <v>99.6</v>
      </c>
      <c r="AYT36">
        <v>99.594999999999999</v>
      </c>
      <c r="AYU36">
        <v>99.605000000000004</v>
      </c>
      <c r="AYV36">
        <v>99.605000000000004</v>
      </c>
      <c r="AYW36">
        <v>99.6</v>
      </c>
      <c r="AYX36">
        <v>99.61</v>
      </c>
      <c r="AYY36">
        <v>99.59</v>
      </c>
      <c r="AYZ36">
        <v>99.58</v>
      </c>
      <c r="AZA36">
        <v>99.564999999999998</v>
      </c>
      <c r="AZB36">
        <v>99.555000000000007</v>
      </c>
      <c r="AZC36">
        <v>99.525000000000006</v>
      </c>
      <c r="AZD36">
        <v>99.51</v>
      </c>
      <c r="AZE36">
        <v>99.52</v>
      </c>
      <c r="AZF36">
        <v>99.52</v>
      </c>
      <c r="AZG36">
        <v>99.5</v>
      </c>
      <c r="AZH36">
        <v>99.484999999999999</v>
      </c>
      <c r="AZI36">
        <v>99.53</v>
      </c>
      <c r="AZJ36">
        <v>99.59</v>
      </c>
      <c r="AZK36">
        <v>99.584999999999994</v>
      </c>
      <c r="AZL36">
        <v>99.6</v>
      </c>
      <c r="AZM36">
        <v>99.575000000000003</v>
      </c>
      <c r="AZN36">
        <v>99.605000000000004</v>
      </c>
      <c r="AZO36">
        <v>99.56</v>
      </c>
      <c r="AZP36">
        <v>99.54</v>
      </c>
      <c r="AZQ36">
        <v>99.51</v>
      </c>
      <c r="AZR36">
        <v>99.504999999999995</v>
      </c>
      <c r="AZS36">
        <v>99.564999999999998</v>
      </c>
      <c r="AZT36">
        <v>99.484999999999999</v>
      </c>
      <c r="AZU36">
        <v>99.424999999999997</v>
      </c>
      <c r="AZV36">
        <v>99.32</v>
      </c>
      <c r="AZW36">
        <v>99.435000000000002</v>
      </c>
      <c r="AZX36">
        <v>99.484999999999999</v>
      </c>
      <c r="AZY36">
        <v>99.41</v>
      </c>
      <c r="AZZ36">
        <v>99.45</v>
      </c>
      <c r="BAA36">
        <v>99.38</v>
      </c>
      <c r="BAB36">
        <v>99.37</v>
      </c>
      <c r="BAC36">
        <v>99.49</v>
      </c>
      <c r="BAD36">
        <v>99.415000000000006</v>
      </c>
      <c r="BAE36">
        <v>99.33</v>
      </c>
      <c r="BAF36">
        <v>99.28</v>
      </c>
      <c r="BAG36">
        <v>99.22</v>
      </c>
      <c r="BAH36">
        <v>99.15</v>
      </c>
      <c r="BAI36">
        <v>99.15</v>
      </c>
      <c r="BAJ36">
        <v>98.95</v>
      </c>
      <c r="BAK36">
        <v>98.894999999999996</v>
      </c>
      <c r="BAL36">
        <v>98.905000000000001</v>
      </c>
      <c r="BAM36">
        <v>98.85</v>
      </c>
      <c r="BAN36">
        <v>98.74</v>
      </c>
      <c r="BAO36">
        <v>98.674999999999997</v>
      </c>
      <c r="BAP36">
        <v>98.63</v>
      </c>
      <c r="BAQ36">
        <v>98.655000000000001</v>
      </c>
      <c r="BAR36">
        <v>98.625</v>
      </c>
      <c r="BAS36">
        <v>98.625</v>
      </c>
      <c r="BAT36">
        <v>98.59</v>
      </c>
      <c r="BAU36">
        <v>98.59</v>
      </c>
      <c r="BAV36">
        <v>98.63</v>
      </c>
      <c r="BAW36">
        <v>98.66</v>
      </c>
      <c r="BAX36">
        <v>98.625</v>
      </c>
      <c r="BAY36">
        <v>98.57</v>
      </c>
      <c r="BAZ36">
        <v>98.59</v>
      </c>
      <c r="BBA36">
        <v>98.63</v>
      </c>
      <c r="BBB36">
        <v>98.715000000000003</v>
      </c>
      <c r="BBC36">
        <v>98.73</v>
      </c>
      <c r="BBD36">
        <v>98.674999999999997</v>
      </c>
      <c r="BBE36">
        <v>98.63</v>
      </c>
      <c r="BBF36">
        <v>98.58</v>
      </c>
      <c r="BBG36">
        <v>98.614999999999995</v>
      </c>
      <c r="BBH36">
        <v>98.53</v>
      </c>
      <c r="BBI36">
        <v>98.474999999999994</v>
      </c>
      <c r="BBJ36">
        <v>98.454999999999998</v>
      </c>
      <c r="BBK36">
        <v>98.44</v>
      </c>
      <c r="BBL36">
        <v>98.385000000000005</v>
      </c>
      <c r="BBM36">
        <v>98.385000000000005</v>
      </c>
      <c r="BBN36">
        <v>98.4</v>
      </c>
      <c r="BBO36">
        <v>98.41</v>
      </c>
      <c r="BBP36">
        <v>98.4</v>
      </c>
      <c r="BBQ36">
        <v>98.385000000000005</v>
      </c>
      <c r="BBR36">
        <v>98.39</v>
      </c>
      <c r="BBS36">
        <v>98.375</v>
      </c>
      <c r="BBT36">
        <v>98.37</v>
      </c>
      <c r="BBU36">
        <v>98.415000000000006</v>
      </c>
      <c r="BBV36">
        <v>98.424999999999997</v>
      </c>
      <c r="BBW36">
        <v>98.43</v>
      </c>
      <c r="BBX36">
        <v>98.34</v>
      </c>
      <c r="BBY36">
        <v>98.33</v>
      </c>
      <c r="BBZ36">
        <v>98.33</v>
      </c>
      <c r="BCA36">
        <v>98.334999999999994</v>
      </c>
      <c r="BCB36">
        <v>98.334999999999994</v>
      </c>
      <c r="BCC36">
        <v>98.295000000000002</v>
      </c>
      <c r="BCD36">
        <v>98.295000000000002</v>
      </c>
      <c r="BCE36">
        <v>98.295000000000002</v>
      </c>
      <c r="BCF36">
        <v>98.275000000000006</v>
      </c>
      <c r="BCG36">
        <v>98.314999999999998</v>
      </c>
      <c r="BCH36">
        <v>98.33</v>
      </c>
      <c r="BCI36">
        <v>98.31</v>
      </c>
      <c r="BCJ36">
        <v>98.34</v>
      </c>
      <c r="BCK36">
        <v>98.35</v>
      </c>
      <c r="BCL36">
        <v>98.424999999999997</v>
      </c>
      <c r="BCM36">
        <v>98.344999999999999</v>
      </c>
      <c r="BCN36">
        <v>98.43</v>
      </c>
      <c r="BCO36">
        <v>98.39</v>
      </c>
      <c r="BCP36">
        <v>98.405000000000001</v>
      </c>
      <c r="BCQ36">
        <v>98.415000000000006</v>
      </c>
      <c r="BCR36">
        <v>98.474999999999994</v>
      </c>
      <c r="BCS36">
        <v>98.49</v>
      </c>
      <c r="BCT36">
        <v>98.564999999999998</v>
      </c>
      <c r="BCU36">
        <v>98.444999999999993</v>
      </c>
      <c r="BCV36">
        <v>98.48</v>
      </c>
      <c r="BCW36">
        <v>98.47</v>
      </c>
      <c r="BCX36">
        <v>98.47</v>
      </c>
      <c r="BCY36">
        <v>98.51</v>
      </c>
      <c r="BCZ36">
        <v>98.5</v>
      </c>
      <c r="BDA36">
        <v>98.484999999999999</v>
      </c>
      <c r="BDB36">
        <v>98.504999999999995</v>
      </c>
      <c r="BDC36">
        <v>98.534999999999997</v>
      </c>
      <c r="BDD36">
        <v>98.5</v>
      </c>
      <c r="BDE36">
        <v>98.474999999999994</v>
      </c>
      <c r="BDF36">
        <v>98.45</v>
      </c>
      <c r="BDG36">
        <v>98.46</v>
      </c>
      <c r="BDH36">
        <v>98.41</v>
      </c>
      <c r="BDI36">
        <v>98.36</v>
      </c>
      <c r="BDJ36">
        <v>98.33</v>
      </c>
      <c r="BDK36">
        <v>98.34</v>
      </c>
      <c r="BDL36">
        <v>98.325000000000003</v>
      </c>
      <c r="BDM36">
        <v>98.435000000000002</v>
      </c>
      <c r="BDN36">
        <v>98.41</v>
      </c>
      <c r="BDO36">
        <v>98.47</v>
      </c>
      <c r="BDP36">
        <v>98.52</v>
      </c>
      <c r="BDQ36">
        <v>98.59</v>
      </c>
      <c r="BDR36">
        <v>98.465000000000003</v>
      </c>
      <c r="BDS36">
        <v>98.444999999999993</v>
      </c>
      <c r="BDT36">
        <v>98.45</v>
      </c>
      <c r="BDU36">
        <v>98.48</v>
      </c>
      <c r="BDV36">
        <v>98.525000000000006</v>
      </c>
      <c r="BDW36">
        <v>98.534999999999997</v>
      </c>
      <c r="BDX36">
        <v>98.515000000000001</v>
      </c>
      <c r="BDY36">
        <v>98.49</v>
      </c>
      <c r="BDZ36">
        <v>98.53</v>
      </c>
      <c r="BEA36">
        <v>98.504999999999995</v>
      </c>
      <c r="BEB36">
        <v>98.53</v>
      </c>
      <c r="BEC36">
        <v>98.49</v>
      </c>
      <c r="BED36">
        <v>98.545000000000002</v>
      </c>
      <c r="BEE36">
        <v>98.525000000000006</v>
      </c>
      <c r="BEF36">
        <v>98.655000000000001</v>
      </c>
      <c r="BEG36">
        <v>98.72</v>
      </c>
      <c r="BEH36">
        <v>98.775000000000006</v>
      </c>
      <c r="BEI36">
        <v>98.765000000000001</v>
      </c>
      <c r="BEJ36">
        <v>98.834999999999994</v>
      </c>
      <c r="BEK36">
        <v>98.844999999999999</v>
      </c>
      <c r="BEL36">
        <v>98.745000000000005</v>
      </c>
      <c r="BEM36">
        <v>98.67</v>
      </c>
      <c r="BEN36">
        <v>98.6</v>
      </c>
      <c r="BEO36">
        <v>98.61</v>
      </c>
      <c r="BEP36" t="s">
        <v>6984</v>
      </c>
      <c r="BEQ36" t="s">
        <v>6984</v>
      </c>
      <c r="BER36" t="s">
        <v>6984</v>
      </c>
      <c r="BES36" t="s">
        <v>6984</v>
      </c>
      <c r="BET36" t="s">
        <v>6984</v>
      </c>
      <c r="BEU36" t="s">
        <v>6984</v>
      </c>
      <c r="BEV36" t="s">
        <v>6984</v>
      </c>
      <c r="BEW36" t="s">
        <v>6984</v>
      </c>
      <c r="BEX36" t="s">
        <v>6984</v>
      </c>
      <c r="BEY36" t="s">
        <v>6984</v>
      </c>
      <c r="BEZ36" t="s">
        <v>6984</v>
      </c>
      <c r="BFA36" t="s">
        <v>6984</v>
      </c>
      <c r="BFB36" t="s">
        <v>6984</v>
      </c>
      <c r="BFC36" t="s">
        <v>6984</v>
      </c>
      <c r="BFD36" t="s">
        <v>6984</v>
      </c>
      <c r="BFE36" t="s">
        <v>6984</v>
      </c>
      <c r="BFF36" t="s">
        <v>6984</v>
      </c>
      <c r="BFG36" t="s">
        <v>6984</v>
      </c>
      <c r="BFH36" t="s">
        <v>6984</v>
      </c>
      <c r="BFI36" t="s">
        <v>6984</v>
      </c>
      <c r="BFJ36" t="s">
        <v>6984</v>
      </c>
      <c r="BFK36" t="s">
        <v>6984</v>
      </c>
      <c r="BFL36" t="s">
        <v>6984</v>
      </c>
      <c r="BFM36" t="s">
        <v>6984</v>
      </c>
      <c r="BFN36" t="s">
        <v>6984</v>
      </c>
      <c r="BFO36" t="s">
        <v>6984</v>
      </c>
      <c r="BFP36" t="s">
        <v>6984</v>
      </c>
      <c r="BFQ36" t="s">
        <v>6984</v>
      </c>
      <c r="BFR36" t="s">
        <v>6984</v>
      </c>
      <c r="BFS36" t="s">
        <v>6984</v>
      </c>
      <c r="BFT36" t="s">
        <v>6984</v>
      </c>
      <c r="BFU36" t="s">
        <v>6984</v>
      </c>
      <c r="BFV36" t="s">
        <v>6984</v>
      </c>
      <c r="BFW36" t="s">
        <v>6984</v>
      </c>
      <c r="BFX36" t="s">
        <v>6984</v>
      </c>
      <c r="BFY36" t="s">
        <v>6984</v>
      </c>
      <c r="BFZ36" t="s">
        <v>6984</v>
      </c>
      <c r="BGA36" t="s">
        <v>6984</v>
      </c>
      <c r="BGB36" t="s">
        <v>6984</v>
      </c>
      <c r="BGC36" t="s">
        <v>6984</v>
      </c>
      <c r="BGD36" t="s">
        <v>6984</v>
      </c>
      <c r="BGE36" t="s">
        <v>6984</v>
      </c>
      <c r="BGF36" t="s">
        <v>6984</v>
      </c>
      <c r="BGG36" t="s">
        <v>6984</v>
      </c>
      <c r="BGH36" t="s">
        <v>6984</v>
      </c>
      <c r="BGI36" t="s">
        <v>6984</v>
      </c>
      <c r="BGJ36" t="s">
        <v>6984</v>
      </c>
      <c r="BGK36" t="s">
        <v>6984</v>
      </c>
      <c r="BGL36" t="s">
        <v>6984</v>
      </c>
      <c r="BGM36" t="s">
        <v>6984</v>
      </c>
      <c r="BGN36" t="s">
        <v>6984</v>
      </c>
      <c r="BGO36" t="s">
        <v>6984</v>
      </c>
      <c r="BGP36" t="s">
        <v>6984</v>
      </c>
      <c r="BGQ36" t="s">
        <v>6984</v>
      </c>
      <c r="BGR36" t="s">
        <v>6984</v>
      </c>
      <c r="BGS36" t="s">
        <v>6984</v>
      </c>
      <c r="BGT36" t="s">
        <v>6984</v>
      </c>
      <c r="BGU36" t="s">
        <v>6984</v>
      </c>
      <c r="BGV36" t="s">
        <v>6984</v>
      </c>
      <c r="BGW36" t="s">
        <v>6984</v>
      </c>
      <c r="BGX36" t="s">
        <v>6984</v>
      </c>
      <c r="BGY36" t="s">
        <v>6984</v>
      </c>
      <c r="BGZ36" t="s">
        <v>6984</v>
      </c>
      <c r="BHA36" t="s">
        <v>6984</v>
      </c>
      <c r="BHB36" t="s">
        <v>6984</v>
      </c>
      <c r="BHC36" t="s">
        <v>6984</v>
      </c>
      <c r="BHD36" t="s">
        <v>6984</v>
      </c>
      <c r="BHE36" t="s">
        <v>6984</v>
      </c>
      <c r="BHF36" t="s">
        <v>6984</v>
      </c>
      <c r="BHG36" t="s">
        <v>6984</v>
      </c>
      <c r="BHH36" t="s">
        <v>6984</v>
      </c>
      <c r="BHI36" t="s">
        <v>6984</v>
      </c>
      <c r="BHJ36" t="s">
        <v>6984</v>
      </c>
      <c r="BHK36" t="s">
        <v>6984</v>
      </c>
      <c r="BHL36" t="s">
        <v>6984</v>
      </c>
      <c r="BHM36" t="s">
        <v>6984</v>
      </c>
      <c r="BHN36" t="s">
        <v>6984</v>
      </c>
      <c r="BHO36" t="s">
        <v>6984</v>
      </c>
      <c r="BHP36" t="s">
        <v>6984</v>
      </c>
      <c r="BHQ36" t="s">
        <v>6984</v>
      </c>
      <c r="BHR36" t="s">
        <v>6984</v>
      </c>
      <c r="BHS36" t="s">
        <v>6984</v>
      </c>
      <c r="BHT36" t="s">
        <v>6984</v>
      </c>
      <c r="BHU36" t="s">
        <v>6984</v>
      </c>
      <c r="BHV36" t="s">
        <v>6984</v>
      </c>
      <c r="BHW36" t="s">
        <v>6984</v>
      </c>
      <c r="BHX36" t="s">
        <v>6984</v>
      </c>
      <c r="BHY36" t="s">
        <v>6984</v>
      </c>
      <c r="BHZ36" t="s">
        <v>6984</v>
      </c>
      <c r="BIA36" t="s">
        <v>6984</v>
      </c>
      <c r="BIB36" t="s">
        <v>6984</v>
      </c>
      <c r="BIC36" t="s">
        <v>6984</v>
      </c>
      <c r="BID36" t="s">
        <v>6984</v>
      </c>
      <c r="BIE36" t="s">
        <v>6984</v>
      </c>
      <c r="BIF36" t="s">
        <v>6984</v>
      </c>
      <c r="BIG36" t="s">
        <v>6984</v>
      </c>
      <c r="BIH36" t="s">
        <v>6984</v>
      </c>
      <c r="BII36" t="s">
        <v>6984</v>
      </c>
      <c r="BIJ36" t="s">
        <v>6984</v>
      </c>
      <c r="BIK36" t="s">
        <v>6984</v>
      </c>
      <c r="BIL36" t="s">
        <v>6984</v>
      </c>
      <c r="BIM36" t="s">
        <v>6984</v>
      </c>
      <c r="BIN36" t="s">
        <v>6984</v>
      </c>
      <c r="BIO36" t="s">
        <v>6984</v>
      </c>
      <c r="BIP36" t="s">
        <v>6984</v>
      </c>
      <c r="BIQ36" t="s">
        <v>6984</v>
      </c>
      <c r="BIR36" t="s">
        <v>6984</v>
      </c>
      <c r="BIS36" t="s">
        <v>6984</v>
      </c>
      <c r="BIT36" t="s">
        <v>6984</v>
      </c>
      <c r="BIU36" t="s">
        <v>6984</v>
      </c>
      <c r="BIV36" t="s">
        <v>6984</v>
      </c>
      <c r="BIW36" t="s">
        <v>6984</v>
      </c>
      <c r="BIX36" t="s">
        <v>6984</v>
      </c>
      <c r="BIY36" t="s">
        <v>6984</v>
      </c>
      <c r="BIZ36" t="s">
        <v>6984</v>
      </c>
      <c r="BJA36" t="s">
        <v>6984</v>
      </c>
      <c r="BJB36" t="s">
        <v>6984</v>
      </c>
      <c r="BJC36" t="s">
        <v>6984</v>
      </c>
      <c r="BJD36" t="s">
        <v>6984</v>
      </c>
      <c r="BJE36" t="s">
        <v>6984</v>
      </c>
      <c r="BJF36" t="s">
        <v>6984</v>
      </c>
      <c r="BJG36" t="s">
        <v>6984</v>
      </c>
      <c r="BJH36" t="s">
        <v>6984</v>
      </c>
      <c r="BJI36" t="s">
        <v>6984</v>
      </c>
      <c r="BJJ36" t="s">
        <v>6984</v>
      </c>
      <c r="BJK36" t="s">
        <v>6984</v>
      </c>
      <c r="BJL36" t="s">
        <v>6984</v>
      </c>
      <c r="BJM36" t="s">
        <v>6984</v>
      </c>
      <c r="BJN36" t="s">
        <v>6984</v>
      </c>
      <c r="BJO36" t="s">
        <v>6984</v>
      </c>
      <c r="BJP36" t="s">
        <v>6984</v>
      </c>
      <c r="BJQ36" t="s">
        <v>6984</v>
      </c>
      <c r="BJR36" t="s">
        <v>6984</v>
      </c>
      <c r="BJS36" t="s">
        <v>6984</v>
      </c>
      <c r="BJT36" t="s">
        <v>6984</v>
      </c>
      <c r="BJU36" t="s">
        <v>6984</v>
      </c>
      <c r="BJV36" t="s">
        <v>6984</v>
      </c>
      <c r="BJW36" t="s">
        <v>6984</v>
      </c>
      <c r="BJX36" t="s">
        <v>6984</v>
      </c>
      <c r="BJY36" t="s">
        <v>6984</v>
      </c>
      <c r="BJZ36" t="s">
        <v>6984</v>
      </c>
      <c r="BKA36" t="s">
        <v>6984</v>
      </c>
      <c r="BKB36" t="s">
        <v>6984</v>
      </c>
      <c r="BKC36" t="s">
        <v>6984</v>
      </c>
      <c r="BKD36" t="s">
        <v>6984</v>
      </c>
      <c r="BKE36" t="s">
        <v>6984</v>
      </c>
      <c r="BKF36" t="s">
        <v>6984</v>
      </c>
      <c r="BKG36" t="s">
        <v>6984</v>
      </c>
      <c r="BKH36" t="s">
        <v>6984</v>
      </c>
      <c r="BKI36" t="s">
        <v>6984</v>
      </c>
      <c r="BKJ36" t="s">
        <v>6984</v>
      </c>
      <c r="BKK36" t="s">
        <v>6984</v>
      </c>
      <c r="BKL36" t="s">
        <v>6984</v>
      </c>
      <c r="BKM36" t="s">
        <v>6984</v>
      </c>
      <c r="BKN36" t="s">
        <v>6984</v>
      </c>
      <c r="BKO36" t="s">
        <v>6984</v>
      </c>
      <c r="BKP36" t="s">
        <v>6984</v>
      </c>
      <c r="BKQ36" t="s">
        <v>6984</v>
      </c>
      <c r="BKR36" t="s">
        <v>6984</v>
      </c>
      <c r="BKS36" t="s">
        <v>6984</v>
      </c>
      <c r="BKT36" t="s">
        <v>6984</v>
      </c>
      <c r="BKU36" t="s">
        <v>6984</v>
      </c>
      <c r="BKV36" t="s">
        <v>6984</v>
      </c>
      <c r="BKW36" t="s">
        <v>6984</v>
      </c>
      <c r="BKX36" t="s">
        <v>6984</v>
      </c>
      <c r="BKY36" t="s">
        <v>6984</v>
      </c>
      <c r="BKZ36" t="s">
        <v>6984</v>
      </c>
      <c r="BLA36" t="s">
        <v>6984</v>
      </c>
      <c r="BLB36" t="s">
        <v>6984</v>
      </c>
      <c r="BLC36" t="s">
        <v>6984</v>
      </c>
      <c r="BLD36" t="s">
        <v>6984</v>
      </c>
      <c r="BLE36" t="s">
        <v>6984</v>
      </c>
      <c r="BLF36" t="s">
        <v>6984</v>
      </c>
      <c r="BLG36" t="s">
        <v>6984</v>
      </c>
      <c r="BLH36" t="s">
        <v>6984</v>
      </c>
      <c r="BLI36" t="s">
        <v>6984</v>
      </c>
      <c r="BLJ36" t="s">
        <v>6984</v>
      </c>
      <c r="BLK36" t="s">
        <v>6984</v>
      </c>
      <c r="BLL36" t="s">
        <v>6984</v>
      </c>
      <c r="BLM36" t="s">
        <v>6984</v>
      </c>
      <c r="BLN36" t="s">
        <v>6984</v>
      </c>
      <c r="BLO36" t="s">
        <v>6984</v>
      </c>
      <c r="BLP36" t="s">
        <v>6984</v>
      </c>
      <c r="BLQ36" t="s">
        <v>6984</v>
      </c>
      <c r="BLR36" t="s">
        <v>6984</v>
      </c>
      <c r="BLS36" t="s">
        <v>6984</v>
      </c>
      <c r="BLT36" t="s">
        <v>6984</v>
      </c>
      <c r="BLU36" t="s">
        <v>6984</v>
      </c>
      <c r="BLV36" t="s">
        <v>6984</v>
      </c>
      <c r="BLW36" t="s">
        <v>6984</v>
      </c>
      <c r="BLX36" t="s">
        <v>6984</v>
      </c>
      <c r="BLY36" t="s">
        <v>6984</v>
      </c>
      <c r="BLZ36" t="s">
        <v>6984</v>
      </c>
      <c r="BMA36" t="s">
        <v>6984</v>
      </c>
      <c r="BMB36" t="s">
        <v>6984</v>
      </c>
      <c r="BMC36" t="s">
        <v>6984</v>
      </c>
      <c r="BMD36" t="s">
        <v>6984</v>
      </c>
      <c r="BME36" t="s">
        <v>6984</v>
      </c>
      <c r="BMF36" t="s">
        <v>6984</v>
      </c>
      <c r="BMG36" t="s">
        <v>6984</v>
      </c>
      <c r="BMH36" t="s">
        <v>6984</v>
      </c>
      <c r="BMI36" t="s">
        <v>6984</v>
      </c>
      <c r="BMJ36" t="s">
        <v>6984</v>
      </c>
      <c r="BMK36" t="s">
        <v>6984</v>
      </c>
      <c r="BML36" t="s">
        <v>6984</v>
      </c>
      <c r="BMM36" t="s">
        <v>6984</v>
      </c>
      <c r="BMN36" t="s">
        <v>6984</v>
      </c>
      <c r="BMO36" t="s">
        <v>6984</v>
      </c>
      <c r="BMP36" t="s">
        <v>6984</v>
      </c>
      <c r="BMQ36" t="s">
        <v>6984</v>
      </c>
      <c r="BMR36" t="s">
        <v>6984</v>
      </c>
      <c r="BMS36" t="s">
        <v>6984</v>
      </c>
      <c r="BMT36" t="s">
        <v>6984</v>
      </c>
      <c r="BMU36" t="s">
        <v>6984</v>
      </c>
      <c r="BMV36" t="s">
        <v>6984</v>
      </c>
      <c r="BMW36" t="s">
        <v>6984</v>
      </c>
      <c r="BMX36" t="s">
        <v>6984</v>
      </c>
      <c r="BMY36" t="s">
        <v>6984</v>
      </c>
      <c r="BMZ36" t="s">
        <v>6984</v>
      </c>
      <c r="BNA36" t="s">
        <v>6984</v>
      </c>
      <c r="BNB36" t="s">
        <v>6984</v>
      </c>
      <c r="BNC36" t="s">
        <v>6984</v>
      </c>
      <c r="BND36" t="s">
        <v>6984</v>
      </c>
      <c r="BNE36" t="s">
        <v>6984</v>
      </c>
      <c r="BNF36" t="s">
        <v>6984</v>
      </c>
      <c r="BNG36" t="s">
        <v>6984</v>
      </c>
      <c r="BNH36" t="s">
        <v>6984</v>
      </c>
      <c r="BNI36" t="s">
        <v>6984</v>
      </c>
      <c r="BNJ36" t="s">
        <v>6984</v>
      </c>
      <c r="BNK36" t="s">
        <v>6984</v>
      </c>
      <c r="BNL36" t="s">
        <v>6984</v>
      </c>
      <c r="BNM36" t="s">
        <v>6984</v>
      </c>
      <c r="BNN36" t="s">
        <v>6984</v>
      </c>
      <c r="BNO36" t="s">
        <v>6984</v>
      </c>
      <c r="BNP36" t="s">
        <v>6984</v>
      </c>
      <c r="BNQ36" t="s">
        <v>6984</v>
      </c>
      <c r="BNR36" t="s">
        <v>6984</v>
      </c>
      <c r="BNS36" t="s">
        <v>6984</v>
      </c>
      <c r="BNT36" t="s">
        <v>6984</v>
      </c>
      <c r="BNU36" t="s">
        <v>6984</v>
      </c>
      <c r="BNV36" t="s">
        <v>6984</v>
      </c>
      <c r="BNW36" t="s">
        <v>6984</v>
      </c>
      <c r="BNX36" t="s">
        <v>6984</v>
      </c>
      <c r="BNY36" t="s">
        <v>6984</v>
      </c>
      <c r="BNZ36" t="s">
        <v>6984</v>
      </c>
      <c r="BOA36" t="s">
        <v>6984</v>
      </c>
      <c r="BOB36" t="s">
        <v>6984</v>
      </c>
      <c r="BOC36" t="s">
        <v>6984</v>
      </c>
      <c r="BOD36" t="s">
        <v>6984</v>
      </c>
      <c r="BOE36" t="s">
        <v>6984</v>
      </c>
      <c r="BOF36" t="s">
        <v>6984</v>
      </c>
      <c r="BOG36" t="s">
        <v>6984</v>
      </c>
      <c r="BOH36" t="s">
        <v>6984</v>
      </c>
      <c r="BOI36" t="s">
        <v>6984</v>
      </c>
      <c r="BOJ36" t="s">
        <v>6984</v>
      </c>
      <c r="BOK36" t="s">
        <v>6984</v>
      </c>
      <c r="BOL36" t="s">
        <v>6984</v>
      </c>
      <c r="BOM36" t="s">
        <v>6984</v>
      </c>
      <c r="BON36" t="s">
        <v>6984</v>
      </c>
      <c r="BOO36" t="s">
        <v>6984</v>
      </c>
      <c r="BOP36" t="s">
        <v>6984</v>
      </c>
      <c r="BOQ36" t="s">
        <v>6984</v>
      </c>
      <c r="BOR36" t="s">
        <v>6984</v>
      </c>
      <c r="BOS36" t="s">
        <v>6984</v>
      </c>
      <c r="BOT36" t="s">
        <v>6984</v>
      </c>
      <c r="BOU36" t="s">
        <v>6984</v>
      </c>
      <c r="BOV36" t="s">
        <v>6984</v>
      </c>
      <c r="BOW36" t="s">
        <v>6984</v>
      </c>
      <c r="BOX36" t="s">
        <v>6984</v>
      </c>
      <c r="BOY36" t="s">
        <v>6984</v>
      </c>
      <c r="BOZ36" t="s">
        <v>6984</v>
      </c>
      <c r="BPA36" t="s">
        <v>6984</v>
      </c>
      <c r="BPB36" t="s">
        <v>6984</v>
      </c>
      <c r="BPC36" t="s">
        <v>6984</v>
      </c>
      <c r="BPD36" t="s">
        <v>6984</v>
      </c>
      <c r="BPE36" t="s">
        <v>6984</v>
      </c>
      <c r="BPF36" t="s">
        <v>6984</v>
      </c>
      <c r="BPG36" t="s">
        <v>6984</v>
      </c>
      <c r="BPH36" t="s">
        <v>6984</v>
      </c>
      <c r="BPI36" t="s">
        <v>6984</v>
      </c>
      <c r="BPJ36" t="s">
        <v>6984</v>
      </c>
      <c r="BPK36" t="s">
        <v>6984</v>
      </c>
      <c r="BPL36" t="s">
        <v>6984</v>
      </c>
      <c r="BPM36" t="s">
        <v>6984</v>
      </c>
      <c r="BPN36" t="s">
        <v>6984</v>
      </c>
      <c r="BPO36" t="s">
        <v>6984</v>
      </c>
      <c r="BPP36" t="s">
        <v>6984</v>
      </c>
      <c r="BPQ36" t="s">
        <v>6984</v>
      </c>
      <c r="BPR36" t="s">
        <v>6984</v>
      </c>
      <c r="BPS36" t="s">
        <v>6984</v>
      </c>
      <c r="BPT36" t="s">
        <v>6984</v>
      </c>
      <c r="BPU36" t="s">
        <v>6984</v>
      </c>
      <c r="BPV36" t="s">
        <v>6984</v>
      </c>
      <c r="BPW36" t="s">
        <v>6984</v>
      </c>
      <c r="BPX36" t="s">
        <v>6984</v>
      </c>
      <c r="BPY36" t="s">
        <v>6984</v>
      </c>
      <c r="BPZ36" t="s">
        <v>6984</v>
      </c>
      <c r="BQA36" t="s">
        <v>6984</v>
      </c>
      <c r="BQB36" t="s">
        <v>6984</v>
      </c>
      <c r="BQC36" t="s">
        <v>6984</v>
      </c>
      <c r="BQD36" t="s">
        <v>6984</v>
      </c>
      <c r="BQE36" t="s">
        <v>6984</v>
      </c>
      <c r="BQF36" t="s">
        <v>6984</v>
      </c>
      <c r="BQG36" t="s">
        <v>6984</v>
      </c>
      <c r="BQH36" t="s">
        <v>6984</v>
      </c>
      <c r="BQI36" t="s">
        <v>6984</v>
      </c>
      <c r="BQJ36" t="s">
        <v>6984</v>
      </c>
      <c r="BQK36" t="s">
        <v>6984</v>
      </c>
      <c r="BQL36" t="s">
        <v>6984</v>
      </c>
      <c r="BQM36" t="s">
        <v>6984</v>
      </c>
      <c r="BQN36" t="s">
        <v>6984</v>
      </c>
      <c r="BQO36" t="s">
        <v>6984</v>
      </c>
      <c r="BQP36" t="s">
        <v>6984</v>
      </c>
      <c r="BQQ36" t="s">
        <v>6984</v>
      </c>
      <c r="BQR36" t="s">
        <v>6984</v>
      </c>
      <c r="BQS36" t="s">
        <v>6984</v>
      </c>
      <c r="BQT36" t="s">
        <v>6984</v>
      </c>
      <c r="BQU36" t="s">
        <v>6984</v>
      </c>
      <c r="BQV36" t="s">
        <v>6984</v>
      </c>
      <c r="BQW36" t="s">
        <v>6984</v>
      </c>
      <c r="BQX36" t="s">
        <v>6984</v>
      </c>
      <c r="BQY36" t="s">
        <v>6984</v>
      </c>
      <c r="BQZ36" t="s">
        <v>6984</v>
      </c>
      <c r="BRA36" t="s">
        <v>6984</v>
      </c>
      <c r="BRB36" t="s">
        <v>6984</v>
      </c>
      <c r="BRC36" t="s">
        <v>6984</v>
      </c>
      <c r="BRD36" t="s">
        <v>6984</v>
      </c>
      <c r="BRE36" t="s">
        <v>6984</v>
      </c>
      <c r="BRF36" t="s">
        <v>6984</v>
      </c>
      <c r="BRG36" t="s">
        <v>6984</v>
      </c>
      <c r="BRH36" t="s">
        <v>6984</v>
      </c>
      <c r="BRI36" t="s">
        <v>6984</v>
      </c>
      <c r="BRJ36" t="s">
        <v>6984</v>
      </c>
      <c r="BRK36" t="s">
        <v>6984</v>
      </c>
      <c r="BRL36" t="s">
        <v>6984</v>
      </c>
      <c r="BRM36" t="s">
        <v>6984</v>
      </c>
      <c r="BRN36" t="s">
        <v>6984</v>
      </c>
      <c r="BRO36" t="s">
        <v>6984</v>
      </c>
      <c r="BRP36" t="s">
        <v>6984</v>
      </c>
      <c r="BRQ36" t="s">
        <v>6984</v>
      </c>
      <c r="BRR36" t="s">
        <v>6984</v>
      </c>
      <c r="BRS36" t="s">
        <v>6984</v>
      </c>
      <c r="BRT36" t="s">
        <v>6984</v>
      </c>
      <c r="BRU36" t="s">
        <v>6984</v>
      </c>
      <c r="BRV36" t="s">
        <v>6984</v>
      </c>
      <c r="BRW36" t="s">
        <v>6984</v>
      </c>
      <c r="BRX36" t="s">
        <v>6984</v>
      </c>
      <c r="BRY36" t="s">
        <v>6984</v>
      </c>
      <c r="BRZ36" t="s">
        <v>6984</v>
      </c>
      <c r="BSA36" t="s">
        <v>6984</v>
      </c>
      <c r="BSB36" t="s">
        <v>6984</v>
      </c>
      <c r="BSC36" t="s">
        <v>6984</v>
      </c>
      <c r="BSD36" t="s">
        <v>6984</v>
      </c>
      <c r="BSE36" t="s">
        <v>6984</v>
      </c>
      <c r="BSF36" t="s">
        <v>6984</v>
      </c>
      <c r="BSG36" t="s">
        <v>6984</v>
      </c>
      <c r="BSH36" t="s">
        <v>6984</v>
      </c>
      <c r="BSI36" t="s">
        <v>6984</v>
      </c>
      <c r="BSJ36" t="s">
        <v>6984</v>
      </c>
      <c r="BSK36" t="s">
        <v>6984</v>
      </c>
      <c r="BSL36" t="s">
        <v>6984</v>
      </c>
      <c r="BSM36" t="s">
        <v>6984</v>
      </c>
      <c r="BSN36" t="s">
        <v>6984</v>
      </c>
      <c r="BSO36" t="s">
        <v>6984</v>
      </c>
      <c r="BSP36" t="s">
        <v>6984</v>
      </c>
      <c r="BSQ36" t="s">
        <v>6984</v>
      </c>
      <c r="BSR36" t="s">
        <v>6984</v>
      </c>
      <c r="BSS36" t="s">
        <v>6984</v>
      </c>
      <c r="BST36" t="s">
        <v>6984</v>
      </c>
      <c r="BSU36" t="s">
        <v>6984</v>
      </c>
      <c r="BSV36" t="s">
        <v>6984</v>
      </c>
      <c r="BSW36" t="s">
        <v>6984</v>
      </c>
      <c r="BSX36" t="s">
        <v>6984</v>
      </c>
      <c r="BSY36" t="s">
        <v>6984</v>
      </c>
      <c r="BSZ36" t="s">
        <v>6984</v>
      </c>
      <c r="BTA36" t="s">
        <v>6984</v>
      </c>
      <c r="BTB36" t="s">
        <v>6984</v>
      </c>
      <c r="BTC36" t="s">
        <v>6984</v>
      </c>
      <c r="BTD36" t="s">
        <v>6984</v>
      </c>
      <c r="BTE36" t="s">
        <v>6984</v>
      </c>
      <c r="BTF36" t="s">
        <v>6984</v>
      </c>
      <c r="BTG36" t="s">
        <v>6984</v>
      </c>
      <c r="BTH36" t="s">
        <v>6984</v>
      </c>
      <c r="BTI36" t="s">
        <v>6984</v>
      </c>
      <c r="BTJ36" t="s">
        <v>6984</v>
      </c>
      <c r="BTK36" t="s">
        <v>6984</v>
      </c>
      <c r="BTL36" t="s">
        <v>6984</v>
      </c>
      <c r="BTM36" t="s">
        <v>6984</v>
      </c>
      <c r="BTN36" t="s">
        <v>6984</v>
      </c>
      <c r="BTO36" t="s">
        <v>6984</v>
      </c>
      <c r="BTP36" t="s">
        <v>6984</v>
      </c>
      <c r="BTQ36" t="s">
        <v>6984</v>
      </c>
      <c r="BTR36" t="s">
        <v>6984</v>
      </c>
      <c r="BTS36" t="s">
        <v>6984</v>
      </c>
      <c r="BTT36" t="s">
        <v>6984</v>
      </c>
      <c r="BTU36" t="s">
        <v>6984</v>
      </c>
      <c r="BTV36" t="s">
        <v>6984</v>
      </c>
      <c r="BTW36" t="s">
        <v>6984</v>
      </c>
      <c r="BTX36" t="s">
        <v>6984</v>
      </c>
      <c r="BTY36" t="s">
        <v>6984</v>
      </c>
      <c r="BTZ36" t="s">
        <v>6984</v>
      </c>
      <c r="BUA36" t="s">
        <v>6984</v>
      </c>
      <c r="BUB36" t="s">
        <v>6984</v>
      </c>
      <c r="BUC36" t="s">
        <v>6984</v>
      </c>
      <c r="BUD36" t="s">
        <v>6984</v>
      </c>
      <c r="BUE36" t="s">
        <v>6984</v>
      </c>
      <c r="BUF36" t="s">
        <v>6984</v>
      </c>
      <c r="BUG36" t="s">
        <v>6984</v>
      </c>
      <c r="BUH36" t="s">
        <v>6984</v>
      </c>
      <c r="BUI36" t="s">
        <v>6984</v>
      </c>
      <c r="BUJ36" t="s">
        <v>6984</v>
      </c>
      <c r="BUK36" t="s">
        <v>6984</v>
      </c>
      <c r="BUL36" t="s">
        <v>6984</v>
      </c>
      <c r="BUM36" t="s">
        <v>6984</v>
      </c>
      <c r="BUN36" t="s">
        <v>6984</v>
      </c>
      <c r="BUO36" t="s">
        <v>6984</v>
      </c>
      <c r="BUP36" t="s">
        <v>6984</v>
      </c>
      <c r="BUQ36" t="s">
        <v>6984</v>
      </c>
      <c r="BUR36" t="s">
        <v>6984</v>
      </c>
      <c r="BUS36" t="s">
        <v>6984</v>
      </c>
      <c r="BUT36" t="s">
        <v>6984</v>
      </c>
      <c r="BUU36" t="s">
        <v>6984</v>
      </c>
      <c r="BUV36" t="s">
        <v>6984</v>
      </c>
      <c r="BUW36" t="s">
        <v>6984</v>
      </c>
      <c r="BUX36" t="s">
        <v>6984</v>
      </c>
      <c r="BUY36" t="s">
        <v>6984</v>
      </c>
      <c r="BUZ36" t="s">
        <v>6984</v>
      </c>
      <c r="BVA36" t="s">
        <v>6984</v>
      </c>
      <c r="BVB36" t="s">
        <v>6984</v>
      </c>
      <c r="BVC36" t="s">
        <v>6984</v>
      </c>
      <c r="BVD36" t="s">
        <v>6984</v>
      </c>
      <c r="BVE36" t="s">
        <v>6984</v>
      </c>
      <c r="BVF36" t="s">
        <v>6984</v>
      </c>
      <c r="BVG36" t="s">
        <v>6984</v>
      </c>
      <c r="BVH36" t="s">
        <v>6984</v>
      </c>
      <c r="BVI36" t="s">
        <v>6984</v>
      </c>
      <c r="BVJ36" t="s">
        <v>6984</v>
      </c>
      <c r="BVK36" t="s">
        <v>6984</v>
      </c>
      <c r="BVL36" t="s">
        <v>6984</v>
      </c>
      <c r="BVM36" t="s">
        <v>6984</v>
      </c>
      <c r="BVN36" t="s">
        <v>6984</v>
      </c>
      <c r="BVO36" t="s">
        <v>6984</v>
      </c>
      <c r="BVP36" t="s">
        <v>6984</v>
      </c>
      <c r="BVQ36" t="s">
        <v>6984</v>
      </c>
      <c r="BVR36" t="s">
        <v>6984</v>
      </c>
      <c r="BVS36" t="s">
        <v>6984</v>
      </c>
      <c r="BVT36" t="s">
        <v>6984</v>
      </c>
      <c r="BVU36" t="s">
        <v>6984</v>
      </c>
      <c r="BVV36" t="s">
        <v>6984</v>
      </c>
      <c r="BVW36" t="s">
        <v>6984</v>
      </c>
      <c r="BVX36" t="s">
        <v>6984</v>
      </c>
      <c r="BVY36" t="s">
        <v>6984</v>
      </c>
      <c r="BVZ36" t="s">
        <v>6984</v>
      </c>
      <c r="BWA36" t="s">
        <v>6984</v>
      </c>
      <c r="BWB36" t="s">
        <v>6984</v>
      </c>
      <c r="BWC36" t="s">
        <v>6984</v>
      </c>
      <c r="BWD36" t="s">
        <v>6984</v>
      </c>
      <c r="BWE36" t="s">
        <v>6984</v>
      </c>
      <c r="BWF36" t="s">
        <v>6984</v>
      </c>
      <c r="BWG36" t="s">
        <v>6984</v>
      </c>
      <c r="BWH36" t="s">
        <v>6984</v>
      </c>
      <c r="BWI36" t="s">
        <v>6984</v>
      </c>
      <c r="BWJ36" t="s">
        <v>6984</v>
      </c>
      <c r="BWK36" t="s">
        <v>6984</v>
      </c>
      <c r="BWL36" t="s">
        <v>6984</v>
      </c>
      <c r="BWM36" t="s">
        <v>6984</v>
      </c>
      <c r="BWN36" t="s">
        <v>6984</v>
      </c>
      <c r="BWO36" t="s">
        <v>6984</v>
      </c>
      <c r="BWP36" t="s">
        <v>6984</v>
      </c>
      <c r="BWQ36" t="s">
        <v>6984</v>
      </c>
      <c r="BWR36" t="s">
        <v>6984</v>
      </c>
      <c r="BWS36" t="s">
        <v>6984</v>
      </c>
      <c r="BWT36" t="s">
        <v>6984</v>
      </c>
      <c r="BWU36" t="s">
        <v>6984</v>
      </c>
      <c r="BWV36" t="s">
        <v>6984</v>
      </c>
      <c r="BWW36" t="s">
        <v>6984</v>
      </c>
      <c r="BWX36" t="s">
        <v>6984</v>
      </c>
      <c r="BWY36" t="s">
        <v>6984</v>
      </c>
      <c r="BWZ36" t="s">
        <v>6984</v>
      </c>
      <c r="BXA36" t="s">
        <v>6984</v>
      </c>
      <c r="BXB36" t="s">
        <v>6984</v>
      </c>
      <c r="BXC36" t="s">
        <v>6984</v>
      </c>
      <c r="BXD36" t="s">
        <v>6984</v>
      </c>
      <c r="BXE36" t="s">
        <v>6984</v>
      </c>
      <c r="BXF36" t="s">
        <v>6984</v>
      </c>
      <c r="BXG36" t="s">
        <v>6984</v>
      </c>
      <c r="BXH36" t="s">
        <v>6984</v>
      </c>
      <c r="BXI36" t="s">
        <v>6984</v>
      </c>
      <c r="BXJ36" t="s">
        <v>6984</v>
      </c>
      <c r="BXK36" t="s">
        <v>6984</v>
      </c>
      <c r="BXL36" t="s">
        <v>6984</v>
      </c>
      <c r="BXM36" t="s">
        <v>6984</v>
      </c>
      <c r="BXN36" t="s">
        <v>6984</v>
      </c>
      <c r="BXO36" t="s">
        <v>6984</v>
      </c>
      <c r="BXP36" t="s">
        <v>6984</v>
      </c>
      <c r="BXQ36" t="s">
        <v>6984</v>
      </c>
      <c r="BXR36" t="s">
        <v>6984</v>
      </c>
      <c r="BXS36" t="s">
        <v>6984</v>
      </c>
      <c r="BXT36" t="s">
        <v>6984</v>
      </c>
      <c r="BXU36" t="s">
        <v>6984</v>
      </c>
      <c r="BXV36" t="s">
        <v>6984</v>
      </c>
      <c r="BXW36" t="s">
        <v>6984</v>
      </c>
      <c r="BXX36" t="s">
        <v>6984</v>
      </c>
      <c r="BXY36" t="s">
        <v>6984</v>
      </c>
      <c r="BXZ36" t="s">
        <v>6984</v>
      </c>
      <c r="BYA36" t="s">
        <v>6984</v>
      </c>
      <c r="BYB36" t="s">
        <v>6984</v>
      </c>
      <c r="BYC36" t="s">
        <v>6984</v>
      </c>
      <c r="BYD36" t="s">
        <v>6984</v>
      </c>
      <c r="BYE36" t="s">
        <v>6984</v>
      </c>
      <c r="BYF36" t="s">
        <v>6984</v>
      </c>
      <c r="BYG36" t="s">
        <v>6984</v>
      </c>
      <c r="BYH36" t="s">
        <v>6984</v>
      </c>
      <c r="BYI36" t="s">
        <v>6984</v>
      </c>
      <c r="BYJ36" t="s">
        <v>6984</v>
      </c>
      <c r="BYK36" t="s">
        <v>6984</v>
      </c>
      <c r="BYL36" t="s">
        <v>6984</v>
      </c>
      <c r="BYM36" t="s">
        <v>6984</v>
      </c>
      <c r="BYN36" t="s">
        <v>6984</v>
      </c>
      <c r="BYO36" t="s">
        <v>6984</v>
      </c>
      <c r="BYP36" t="s">
        <v>6984</v>
      </c>
      <c r="BYQ36" t="s">
        <v>6984</v>
      </c>
      <c r="BYR36" t="s">
        <v>6984</v>
      </c>
      <c r="BYS36" t="s">
        <v>6984</v>
      </c>
      <c r="BYT36" t="s">
        <v>6984</v>
      </c>
      <c r="BYU36" t="s">
        <v>6984</v>
      </c>
      <c r="BYV36" t="s">
        <v>6984</v>
      </c>
      <c r="BYW36" t="s">
        <v>6984</v>
      </c>
      <c r="BYX36" t="s">
        <v>6984</v>
      </c>
      <c r="BYY36" t="s">
        <v>6984</v>
      </c>
      <c r="BYZ36" t="s">
        <v>6984</v>
      </c>
      <c r="BZA36" t="s">
        <v>6984</v>
      </c>
      <c r="BZB36" t="s">
        <v>6984</v>
      </c>
      <c r="BZC36" t="s">
        <v>6984</v>
      </c>
      <c r="BZD36" t="s">
        <v>6984</v>
      </c>
      <c r="BZE36" t="s">
        <v>6984</v>
      </c>
      <c r="BZF36" t="s">
        <v>6984</v>
      </c>
      <c r="BZG36" t="s">
        <v>6984</v>
      </c>
      <c r="BZH36" t="s">
        <v>6984</v>
      </c>
      <c r="BZI36" t="s">
        <v>6984</v>
      </c>
      <c r="BZJ36" t="s">
        <v>6984</v>
      </c>
      <c r="BZK36" t="s">
        <v>6984</v>
      </c>
      <c r="BZL36" t="s">
        <v>6984</v>
      </c>
      <c r="BZM36" t="s">
        <v>6984</v>
      </c>
      <c r="BZN36" t="s">
        <v>6984</v>
      </c>
      <c r="BZO36" t="s">
        <v>6984</v>
      </c>
      <c r="BZP36" t="s">
        <v>6984</v>
      </c>
      <c r="BZQ36" t="s">
        <v>6984</v>
      </c>
      <c r="BZR36" t="s">
        <v>6984</v>
      </c>
      <c r="BZS36" t="s">
        <v>6984</v>
      </c>
      <c r="BZT36" t="s">
        <v>6984</v>
      </c>
      <c r="BZU36" t="s">
        <v>6984</v>
      </c>
      <c r="BZV36" t="s">
        <v>6984</v>
      </c>
      <c r="BZW36" t="s">
        <v>6984</v>
      </c>
      <c r="BZX36" t="s">
        <v>6984</v>
      </c>
      <c r="BZY36" t="s">
        <v>6984</v>
      </c>
      <c r="BZZ36" t="s">
        <v>6984</v>
      </c>
      <c r="CAA36" t="s">
        <v>6984</v>
      </c>
      <c r="CAB36" t="s">
        <v>6984</v>
      </c>
      <c r="CAC36" t="s">
        <v>6984</v>
      </c>
      <c r="CAD36" t="s">
        <v>6984</v>
      </c>
      <c r="CAE36" t="s">
        <v>6984</v>
      </c>
      <c r="CAF36" t="s">
        <v>6984</v>
      </c>
      <c r="CAG36" t="s">
        <v>6984</v>
      </c>
      <c r="CAH36" t="s">
        <v>6984</v>
      </c>
      <c r="CAI36" t="s">
        <v>6984</v>
      </c>
      <c r="CAJ36" t="s">
        <v>6984</v>
      </c>
      <c r="CAK36" t="s">
        <v>6984</v>
      </c>
      <c r="CAL36" t="s">
        <v>6984</v>
      </c>
      <c r="CAM36" t="s">
        <v>6984</v>
      </c>
      <c r="CAN36" t="s">
        <v>6984</v>
      </c>
      <c r="CAO36" t="s">
        <v>6984</v>
      </c>
      <c r="CAP36" t="s">
        <v>6984</v>
      </c>
      <c r="CAQ36" t="s">
        <v>6984</v>
      </c>
      <c r="CAR36" t="s">
        <v>6984</v>
      </c>
      <c r="CAS36" t="s">
        <v>6984</v>
      </c>
      <c r="CAT36" t="s">
        <v>6984</v>
      </c>
      <c r="CAU36" t="s">
        <v>6984</v>
      </c>
      <c r="CAV36" t="s">
        <v>6984</v>
      </c>
      <c r="CAW36" t="s">
        <v>6984</v>
      </c>
      <c r="CAX36" t="s">
        <v>6984</v>
      </c>
      <c r="CAY36" t="s">
        <v>6984</v>
      </c>
      <c r="CAZ36" t="s">
        <v>6984</v>
      </c>
      <c r="CBA36" t="s">
        <v>6984</v>
      </c>
      <c r="CBB36" t="s">
        <v>6984</v>
      </c>
      <c r="CBC36" t="s">
        <v>6984</v>
      </c>
      <c r="CBD36" t="s">
        <v>6984</v>
      </c>
      <c r="CBE36" t="s">
        <v>6984</v>
      </c>
      <c r="CBF36" t="s">
        <v>6984</v>
      </c>
      <c r="CBG36" t="s">
        <v>6984</v>
      </c>
      <c r="CBH36" t="s">
        <v>6984</v>
      </c>
      <c r="CBI36" t="s">
        <v>6984</v>
      </c>
      <c r="CBJ36" t="s">
        <v>6984</v>
      </c>
      <c r="CBK36" t="s">
        <v>6984</v>
      </c>
      <c r="CBL36" t="s">
        <v>6984</v>
      </c>
      <c r="CBM36" t="s">
        <v>6984</v>
      </c>
      <c r="CBN36" t="s">
        <v>6984</v>
      </c>
      <c r="CBO36" t="s">
        <v>6984</v>
      </c>
      <c r="CBP36" t="s">
        <v>6984</v>
      </c>
      <c r="CBQ36" t="s">
        <v>6984</v>
      </c>
      <c r="CBR36" t="s">
        <v>6984</v>
      </c>
      <c r="CBS36" t="s">
        <v>6984</v>
      </c>
      <c r="CBT36" t="s">
        <v>6984</v>
      </c>
      <c r="CBU36" t="s">
        <v>6984</v>
      </c>
      <c r="CBV36" t="s">
        <v>6984</v>
      </c>
      <c r="CBW36" t="s">
        <v>6984</v>
      </c>
      <c r="CBX36" t="s">
        <v>6984</v>
      </c>
      <c r="CBY36" t="s">
        <v>6984</v>
      </c>
      <c r="CBZ36" t="s">
        <v>6984</v>
      </c>
      <c r="CCA36" t="s">
        <v>6984</v>
      </c>
      <c r="CCB36" t="s">
        <v>6984</v>
      </c>
      <c r="CCC36" t="s">
        <v>6984</v>
      </c>
      <c r="CCD36" t="s">
        <v>6984</v>
      </c>
      <c r="CCE36" t="s">
        <v>6984</v>
      </c>
      <c r="CCF36" t="s">
        <v>6984</v>
      </c>
      <c r="CCG36" t="s">
        <v>6984</v>
      </c>
      <c r="CCH36" t="s">
        <v>6984</v>
      </c>
      <c r="CCI36" t="s">
        <v>6984</v>
      </c>
      <c r="CCJ36" t="s">
        <v>6984</v>
      </c>
      <c r="CCK36" t="s">
        <v>6984</v>
      </c>
      <c r="CCL36" t="s">
        <v>6984</v>
      </c>
      <c r="CCM36" t="s">
        <v>6984</v>
      </c>
      <c r="CCN36" t="s">
        <v>6984</v>
      </c>
      <c r="CCO36" t="s">
        <v>6984</v>
      </c>
      <c r="CCP36" t="s">
        <v>6984</v>
      </c>
      <c r="CCQ36" t="s">
        <v>6984</v>
      </c>
      <c r="CCR36" t="s">
        <v>6984</v>
      </c>
      <c r="CCS36" t="s">
        <v>6984</v>
      </c>
      <c r="CCT36" t="s">
        <v>6984</v>
      </c>
      <c r="CCU36" t="s">
        <v>6984</v>
      </c>
      <c r="CCV36" t="s">
        <v>6984</v>
      </c>
      <c r="CCW36" t="s">
        <v>6984</v>
      </c>
      <c r="CCX36" t="s">
        <v>6984</v>
      </c>
      <c r="CCY36" t="s">
        <v>6984</v>
      </c>
      <c r="CCZ36" t="s">
        <v>6984</v>
      </c>
      <c r="CDA36" t="s">
        <v>6984</v>
      </c>
      <c r="CDB36" t="s">
        <v>6984</v>
      </c>
      <c r="CDC36" t="s">
        <v>6984</v>
      </c>
      <c r="CDD36" t="s">
        <v>6984</v>
      </c>
      <c r="CDE36" t="s">
        <v>6984</v>
      </c>
      <c r="CDF36" t="s">
        <v>6984</v>
      </c>
      <c r="CDG36" t="s">
        <v>6984</v>
      </c>
      <c r="CDH36" t="s">
        <v>6984</v>
      </c>
      <c r="CDI36" t="s">
        <v>6984</v>
      </c>
      <c r="CDJ36" t="s">
        <v>6984</v>
      </c>
      <c r="CDK36" t="s">
        <v>6984</v>
      </c>
      <c r="CDL36" t="s">
        <v>6984</v>
      </c>
      <c r="CDM36" t="s">
        <v>6984</v>
      </c>
      <c r="CDN36" t="s">
        <v>6984</v>
      </c>
      <c r="CDO36" t="s">
        <v>6984</v>
      </c>
      <c r="CDP36" t="s">
        <v>6984</v>
      </c>
      <c r="CDQ36" t="s">
        <v>6984</v>
      </c>
      <c r="CDR36" t="s">
        <v>6984</v>
      </c>
      <c r="CDS36" t="s">
        <v>6984</v>
      </c>
      <c r="CDT36" t="s">
        <v>6984</v>
      </c>
      <c r="CDU36" t="s">
        <v>6984</v>
      </c>
      <c r="CDV36" t="s">
        <v>6984</v>
      </c>
      <c r="CDW36" t="s">
        <v>6984</v>
      </c>
      <c r="CDX36" t="s">
        <v>6984</v>
      </c>
      <c r="CDY36" t="s">
        <v>6984</v>
      </c>
      <c r="CDZ36" t="s">
        <v>6984</v>
      </c>
      <c r="CEA36" t="s">
        <v>6984</v>
      </c>
      <c r="CEB36" t="s">
        <v>6984</v>
      </c>
      <c r="CEC36" t="s">
        <v>6984</v>
      </c>
      <c r="CED36" t="s">
        <v>6984</v>
      </c>
      <c r="CEE36" t="s">
        <v>6984</v>
      </c>
      <c r="CEF36" t="s">
        <v>6984</v>
      </c>
      <c r="CEG36" t="s">
        <v>6984</v>
      </c>
      <c r="CEH36" t="s">
        <v>6984</v>
      </c>
      <c r="CEI36" t="s">
        <v>6984</v>
      </c>
      <c r="CEJ36" t="s">
        <v>6984</v>
      </c>
      <c r="CEK36" t="s">
        <v>6984</v>
      </c>
      <c r="CEL36" t="s">
        <v>6984</v>
      </c>
      <c r="CEM36" t="s">
        <v>6984</v>
      </c>
      <c r="CEN36" t="s">
        <v>6984</v>
      </c>
      <c r="CEO36" t="s">
        <v>6984</v>
      </c>
      <c r="CEP36" t="s">
        <v>6984</v>
      </c>
      <c r="CEQ36" t="s">
        <v>6984</v>
      </c>
      <c r="CER36" t="s">
        <v>6984</v>
      </c>
      <c r="CES36" t="s">
        <v>6984</v>
      </c>
      <c r="CET36" t="s">
        <v>6984</v>
      </c>
      <c r="CEU36" t="s">
        <v>6984</v>
      </c>
      <c r="CEV36" t="s">
        <v>6984</v>
      </c>
      <c r="CEW36" t="s">
        <v>6984</v>
      </c>
      <c r="CEX36" t="s">
        <v>6984</v>
      </c>
      <c r="CEY36" t="s">
        <v>6984</v>
      </c>
      <c r="CEZ36" t="s">
        <v>6984</v>
      </c>
      <c r="CFA36" t="s">
        <v>6984</v>
      </c>
      <c r="CFB36" t="s">
        <v>6984</v>
      </c>
      <c r="CFC36" t="s">
        <v>6984</v>
      </c>
      <c r="CFD36" t="s">
        <v>6984</v>
      </c>
      <c r="CFE36" t="s">
        <v>6984</v>
      </c>
      <c r="CFF36" t="s">
        <v>6984</v>
      </c>
      <c r="CFG36" t="s">
        <v>6984</v>
      </c>
      <c r="CFH36" t="s">
        <v>6984</v>
      </c>
      <c r="CFI36" t="s">
        <v>6984</v>
      </c>
      <c r="CFJ36" t="s">
        <v>6984</v>
      </c>
      <c r="CFK36" t="s">
        <v>6984</v>
      </c>
      <c r="CFL36" t="s">
        <v>6984</v>
      </c>
      <c r="CFM36" t="s">
        <v>6984</v>
      </c>
      <c r="CFN36" t="s">
        <v>6984</v>
      </c>
      <c r="CFO36" t="s">
        <v>6984</v>
      </c>
      <c r="CFP36" t="s">
        <v>6984</v>
      </c>
      <c r="CFQ36" t="s">
        <v>6984</v>
      </c>
      <c r="CFR36" t="s">
        <v>6984</v>
      </c>
      <c r="CFS36" t="s">
        <v>6984</v>
      </c>
      <c r="CFT36" t="s">
        <v>6984</v>
      </c>
      <c r="CFU36" t="s">
        <v>6984</v>
      </c>
      <c r="CFV36" t="s">
        <v>6984</v>
      </c>
      <c r="CFW36" t="s">
        <v>6984</v>
      </c>
      <c r="CFX36" t="s">
        <v>6984</v>
      </c>
      <c r="CFY36" t="s">
        <v>6984</v>
      </c>
      <c r="CFZ36" t="s">
        <v>6984</v>
      </c>
      <c r="CGA36" t="s">
        <v>6984</v>
      </c>
      <c r="CGB36" t="s">
        <v>6984</v>
      </c>
      <c r="CGC36" t="s">
        <v>6984</v>
      </c>
      <c r="CGD36" t="s">
        <v>6984</v>
      </c>
      <c r="CGE36" t="s">
        <v>6984</v>
      </c>
      <c r="CGF36" t="s">
        <v>6984</v>
      </c>
      <c r="CGG36" t="s">
        <v>6984</v>
      </c>
      <c r="CGH36" t="s">
        <v>6984</v>
      </c>
      <c r="CGI36" t="s">
        <v>6984</v>
      </c>
      <c r="CGJ36" t="s">
        <v>6984</v>
      </c>
      <c r="CGK36" t="s">
        <v>6984</v>
      </c>
      <c r="CGL36" t="s">
        <v>6984</v>
      </c>
      <c r="CGM36" t="s">
        <v>6984</v>
      </c>
      <c r="CGN36" t="s">
        <v>6984</v>
      </c>
      <c r="CGO36" t="s">
        <v>6984</v>
      </c>
      <c r="CGP36" t="s">
        <v>6984</v>
      </c>
      <c r="CGQ36" t="s">
        <v>6984</v>
      </c>
      <c r="CGR36" t="s">
        <v>6984</v>
      </c>
      <c r="CGS36" t="s">
        <v>6984</v>
      </c>
      <c r="CGT36" t="s">
        <v>6984</v>
      </c>
      <c r="CGU36" t="s">
        <v>6984</v>
      </c>
      <c r="CGV36" t="s">
        <v>6984</v>
      </c>
      <c r="CGW36" t="s">
        <v>6984</v>
      </c>
      <c r="CGX36" t="s">
        <v>6984</v>
      </c>
      <c r="CGY36" t="s">
        <v>6984</v>
      </c>
      <c r="CGZ36" t="s">
        <v>6984</v>
      </c>
      <c r="CHA36" t="s">
        <v>6984</v>
      </c>
      <c r="CHB36" t="s">
        <v>6984</v>
      </c>
      <c r="CHC36" t="s">
        <v>6984</v>
      </c>
      <c r="CHD36" t="s">
        <v>6984</v>
      </c>
      <c r="CHE36" t="s">
        <v>6984</v>
      </c>
      <c r="CHF36" t="s">
        <v>6984</v>
      </c>
      <c r="CHG36" t="s">
        <v>6984</v>
      </c>
      <c r="CHH36" t="s">
        <v>6984</v>
      </c>
      <c r="CHI36" t="s">
        <v>6984</v>
      </c>
      <c r="CHJ36" t="s">
        <v>6984</v>
      </c>
      <c r="CHK36" t="s">
        <v>6984</v>
      </c>
      <c r="CHL36" t="s">
        <v>6984</v>
      </c>
      <c r="CHM36" t="s">
        <v>6984</v>
      </c>
      <c r="CHN36" t="s">
        <v>6984</v>
      </c>
      <c r="CHO36" t="s">
        <v>6984</v>
      </c>
      <c r="CHP36" t="s">
        <v>6984</v>
      </c>
      <c r="CHQ36" t="s">
        <v>6984</v>
      </c>
      <c r="CHR36" t="s">
        <v>6984</v>
      </c>
      <c r="CHS36" t="s">
        <v>6984</v>
      </c>
      <c r="CHT36" t="s">
        <v>6984</v>
      </c>
      <c r="CHU36" t="s">
        <v>6984</v>
      </c>
      <c r="CHV36" t="s">
        <v>6984</v>
      </c>
      <c r="CHW36" t="s">
        <v>6984</v>
      </c>
      <c r="CHX36" t="s">
        <v>6984</v>
      </c>
      <c r="CHY36" t="s">
        <v>6984</v>
      </c>
      <c r="CHZ36" t="s">
        <v>6984</v>
      </c>
      <c r="CIA36" t="s">
        <v>6984</v>
      </c>
      <c r="CIB36" t="s">
        <v>6984</v>
      </c>
      <c r="CIC36" t="s">
        <v>6984</v>
      </c>
      <c r="CID36" t="s">
        <v>6984</v>
      </c>
      <c r="CIE36" t="s">
        <v>6984</v>
      </c>
      <c r="CIF36" t="s">
        <v>6984</v>
      </c>
      <c r="CIG36" t="s">
        <v>6984</v>
      </c>
      <c r="CIH36" t="s">
        <v>6984</v>
      </c>
      <c r="CII36" t="s">
        <v>6984</v>
      </c>
      <c r="CIJ36" t="s">
        <v>6984</v>
      </c>
      <c r="CIK36" t="s">
        <v>6984</v>
      </c>
      <c r="CIL36" t="s">
        <v>6984</v>
      </c>
      <c r="CIM36" t="s">
        <v>6984</v>
      </c>
      <c r="CIN36" t="s">
        <v>6984</v>
      </c>
      <c r="CIO36" t="s">
        <v>6984</v>
      </c>
      <c r="CIP36" t="s">
        <v>6984</v>
      </c>
      <c r="CIQ36" t="s">
        <v>6984</v>
      </c>
      <c r="CIR36" t="s">
        <v>6984</v>
      </c>
      <c r="CIS36" t="s">
        <v>6984</v>
      </c>
      <c r="CIT36" t="s">
        <v>6984</v>
      </c>
      <c r="CIU36" t="s">
        <v>6984</v>
      </c>
      <c r="CIV36" t="s">
        <v>6984</v>
      </c>
      <c r="CIW36" t="s">
        <v>6984</v>
      </c>
      <c r="CIX36" t="s">
        <v>6984</v>
      </c>
      <c r="CIY36" t="s">
        <v>6984</v>
      </c>
      <c r="CIZ36" t="s">
        <v>6984</v>
      </c>
      <c r="CJA36" t="s">
        <v>6984</v>
      </c>
      <c r="CJB36" t="s">
        <v>6984</v>
      </c>
      <c r="CJC36" t="s">
        <v>6984</v>
      </c>
      <c r="CJD36" t="s">
        <v>6984</v>
      </c>
      <c r="CJE36" t="s">
        <v>6984</v>
      </c>
      <c r="CJF36" t="s">
        <v>6984</v>
      </c>
      <c r="CJG36" t="s">
        <v>6984</v>
      </c>
      <c r="CJH36" t="s">
        <v>6984</v>
      </c>
      <c r="CJI36" t="s">
        <v>6984</v>
      </c>
      <c r="CJJ36" t="s">
        <v>6984</v>
      </c>
      <c r="CJK36" t="s">
        <v>6984</v>
      </c>
      <c r="CJL36" t="s">
        <v>6984</v>
      </c>
      <c r="CJM36" t="s">
        <v>6984</v>
      </c>
      <c r="CJN36" t="s">
        <v>6984</v>
      </c>
      <c r="CJO36" t="s">
        <v>6984</v>
      </c>
      <c r="CJP36" t="s">
        <v>6984</v>
      </c>
      <c r="CJQ36" t="s">
        <v>6984</v>
      </c>
      <c r="CJR36" t="s">
        <v>6984</v>
      </c>
      <c r="CJS36" t="s">
        <v>6984</v>
      </c>
      <c r="CJT36" t="s">
        <v>6984</v>
      </c>
      <c r="CJU36" t="s">
        <v>6984</v>
      </c>
      <c r="CJV36" t="s">
        <v>6984</v>
      </c>
      <c r="CJW36" t="s">
        <v>6984</v>
      </c>
      <c r="CJX36" t="s">
        <v>6984</v>
      </c>
      <c r="CJY36" t="s">
        <v>6984</v>
      </c>
      <c r="CJZ36" t="s">
        <v>6984</v>
      </c>
      <c r="CKA36" t="s">
        <v>6984</v>
      </c>
      <c r="CKB36" t="s">
        <v>6984</v>
      </c>
      <c r="CKC36" t="s">
        <v>6984</v>
      </c>
      <c r="CKD36" t="s">
        <v>6984</v>
      </c>
      <c r="CKE36" t="s">
        <v>6984</v>
      </c>
      <c r="CKF36" t="s">
        <v>6984</v>
      </c>
      <c r="CKG36" t="s">
        <v>6984</v>
      </c>
      <c r="CKH36" t="s">
        <v>6984</v>
      </c>
      <c r="CKI36" t="s">
        <v>6984</v>
      </c>
      <c r="CKJ36" t="s">
        <v>6984</v>
      </c>
      <c r="CKK36" t="s">
        <v>6984</v>
      </c>
      <c r="CKL36" t="s">
        <v>6984</v>
      </c>
      <c r="CKM36" t="s">
        <v>6984</v>
      </c>
      <c r="CKN36" t="s">
        <v>6984</v>
      </c>
      <c r="CKO36" t="s">
        <v>6984</v>
      </c>
      <c r="CKP36" t="s">
        <v>6984</v>
      </c>
      <c r="CKQ36" t="s">
        <v>6984</v>
      </c>
      <c r="CKR36" t="s">
        <v>6984</v>
      </c>
      <c r="CKS36" t="s">
        <v>6984</v>
      </c>
      <c r="CKT36" t="s">
        <v>6984</v>
      </c>
      <c r="CKU36" t="s">
        <v>6984</v>
      </c>
      <c r="CKV36" t="s">
        <v>6984</v>
      </c>
      <c r="CKW36" t="s">
        <v>6984</v>
      </c>
      <c r="CKX36" t="s">
        <v>6984</v>
      </c>
      <c r="CKY36" t="s">
        <v>6984</v>
      </c>
      <c r="CKZ36" t="s">
        <v>6984</v>
      </c>
      <c r="CLA36" t="s">
        <v>6984</v>
      </c>
      <c r="CLB36" t="s">
        <v>6984</v>
      </c>
      <c r="CLC36" t="s">
        <v>6984</v>
      </c>
      <c r="CLD36" t="s">
        <v>6984</v>
      </c>
      <c r="CLE36" t="s">
        <v>6984</v>
      </c>
      <c r="CLF36" t="s">
        <v>6984</v>
      </c>
      <c r="CLG36" t="s">
        <v>6984</v>
      </c>
      <c r="CLH36" t="s">
        <v>6984</v>
      </c>
      <c r="CLI36" t="s">
        <v>6984</v>
      </c>
      <c r="CLJ36" t="s">
        <v>6984</v>
      </c>
      <c r="CLK36" t="s">
        <v>6984</v>
      </c>
      <c r="CLL36" t="s">
        <v>6984</v>
      </c>
      <c r="CLM36" t="s">
        <v>6984</v>
      </c>
      <c r="CLN36" t="s">
        <v>6984</v>
      </c>
      <c r="CLO36" t="s">
        <v>6984</v>
      </c>
      <c r="CLP36" t="s">
        <v>6984</v>
      </c>
      <c r="CLQ36" t="s">
        <v>6984</v>
      </c>
      <c r="CLR36" t="s">
        <v>6984</v>
      </c>
      <c r="CLS36" t="s">
        <v>6984</v>
      </c>
      <c r="CLT36" t="s">
        <v>6984</v>
      </c>
      <c r="CLU36" t="s">
        <v>6984</v>
      </c>
      <c r="CLV36" t="s">
        <v>6984</v>
      </c>
      <c r="CLW36" t="s">
        <v>6984</v>
      </c>
      <c r="CLX36" t="s">
        <v>6984</v>
      </c>
      <c r="CLY36" t="s">
        <v>6984</v>
      </c>
      <c r="CLZ36" t="s">
        <v>6984</v>
      </c>
      <c r="CMA36" t="s">
        <v>6984</v>
      </c>
      <c r="CMB36" t="s">
        <v>6984</v>
      </c>
      <c r="CMC36" t="s">
        <v>6984</v>
      </c>
      <c r="CMD36" t="s">
        <v>6984</v>
      </c>
      <c r="CME36" t="s">
        <v>6984</v>
      </c>
      <c r="CMF36" t="s">
        <v>6984</v>
      </c>
      <c r="CMG36" t="s">
        <v>6984</v>
      </c>
      <c r="CMH36" t="s">
        <v>6984</v>
      </c>
      <c r="CMI36" t="s">
        <v>6984</v>
      </c>
      <c r="CMJ36" t="s">
        <v>6984</v>
      </c>
      <c r="CMK36" t="s">
        <v>6984</v>
      </c>
      <c r="CML36" t="s">
        <v>6984</v>
      </c>
      <c r="CMM36" t="s">
        <v>6984</v>
      </c>
      <c r="CMN36" t="s">
        <v>6984</v>
      </c>
      <c r="CMO36" t="s">
        <v>6984</v>
      </c>
      <c r="CMP36" t="s">
        <v>6984</v>
      </c>
      <c r="CMQ36" t="s">
        <v>6984</v>
      </c>
      <c r="CMR36" t="s">
        <v>6984</v>
      </c>
      <c r="CMS36" t="s">
        <v>6984</v>
      </c>
      <c r="CMT36" t="s">
        <v>6984</v>
      </c>
      <c r="CMU36" t="s">
        <v>6984</v>
      </c>
      <c r="CMV36" t="s">
        <v>6984</v>
      </c>
      <c r="CMW36" t="s">
        <v>6984</v>
      </c>
      <c r="CMX36" t="s">
        <v>6984</v>
      </c>
      <c r="CMY36" t="s">
        <v>6984</v>
      </c>
      <c r="CMZ36" t="s">
        <v>6984</v>
      </c>
      <c r="CNA36" t="s">
        <v>6984</v>
      </c>
      <c r="CNB36" t="s">
        <v>6984</v>
      </c>
      <c r="CNC36" t="s">
        <v>6984</v>
      </c>
      <c r="CND36" t="s">
        <v>6984</v>
      </c>
      <c r="CNE36" t="s">
        <v>6984</v>
      </c>
      <c r="CNF36" t="s">
        <v>6984</v>
      </c>
      <c r="CNG36" t="s">
        <v>6984</v>
      </c>
      <c r="CNH36" t="s">
        <v>6984</v>
      </c>
      <c r="CNI36" t="s">
        <v>6984</v>
      </c>
      <c r="CNJ36" t="s">
        <v>6984</v>
      </c>
      <c r="CNK36" t="s">
        <v>6984</v>
      </c>
      <c r="CNL36" t="s">
        <v>6984</v>
      </c>
      <c r="CNM36" t="s">
        <v>6984</v>
      </c>
      <c r="CNN36" t="s">
        <v>6984</v>
      </c>
      <c r="CNO36" t="s">
        <v>6984</v>
      </c>
      <c r="CNP36" t="s">
        <v>6984</v>
      </c>
      <c r="CNQ36" t="s">
        <v>6984</v>
      </c>
      <c r="CNR36" t="s">
        <v>6984</v>
      </c>
      <c r="CNS36" t="s">
        <v>6984</v>
      </c>
      <c r="CNT36" t="s">
        <v>6984</v>
      </c>
      <c r="CNU36" t="s">
        <v>6984</v>
      </c>
      <c r="CNV36" t="s">
        <v>6984</v>
      </c>
      <c r="CNW36" t="s">
        <v>6984</v>
      </c>
      <c r="CNX36" t="s">
        <v>6984</v>
      </c>
      <c r="CNY36" t="s">
        <v>6984</v>
      </c>
      <c r="CNZ36" t="s">
        <v>6984</v>
      </c>
      <c r="COA36" t="s">
        <v>6984</v>
      </c>
      <c r="COB36" t="s">
        <v>6984</v>
      </c>
      <c r="COC36" t="s">
        <v>6984</v>
      </c>
      <c r="COD36" t="s">
        <v>6984</v>
      </c>
      <c r="COE36" t="s">
        <v>6984</v>
      </c>
      <c r="COF36" t="s">
        <v>6984</v>
      </c>
      <c r="COG36" t="s">
        <v>6984</v>
      </c>
      <c r="COH36" t="s">
        <v>6984</v>
      </c>
      <c r="COI36" t="s">
        <v>6984</v>
      </c>
      <c r="COJ36" t="s">
        <v>6984</v>
      </c>
      <c r="COK36" t="s">
        <v>6984</v>
      </c>
      <c r="COL36" t="s">
        <v>6984</v>
      </c>
      <c r="COM36" t="s">
        <v>6984</v>
      </c>
      <c r="CON36" t="s">
        <v>6984</v>
      </c>
      <c r="COO36" t="s">
        <v>6984</v>
      </c>
      <c r="COP36" t="s">
        <v>6984</v>
      </c>
      <c r="COQ36" t="s">
        <v>6984</v>
      </c>
      <c r="COR36" t="s">
        <v>6984</v>
      </c>
      <c r="COS36" t="s">
        <v>6984</v>
      </c>
      <c r="COT36" t="s">
        <v>6984</v>
      </c>
      <c r="COU36" t="s">
        <v>6984</v>
      </c>
      <c r="COV36" t="s">
        <v>6984</v>
      </c>
      <c r="COW36" t="s">
        <v>6984</v>
      </c>
      <c r="COX36" t="s">
        <v>6984</v>
      </c>
      <c r="COY36" t="s">
        <v>6984</v>
      </c>
      <c r="COZ36" t="s">
        <v>6984</v>
      </c>
      <c r="CPA36" t="s">
        <v>6984</v>
      </c>
      <c r="CPB36" t="s">
        <v>6984</v>
      </c>
      <c r="CPC36" t="s">
        <v>6984</v>
      </c>
      <c r="CPD36" t="s">
        <v>6984</v>
      </c>
      <c r="CPE36" t="s">
        <v>6984</v>
      </c>
      <c r="CPF36" t="s">
        <v>6984</v>
      </c>
      <c r="CPG36" t="s">
        <v>6984</v>
      </c>
      <c r="CPH36" t="s">
        <v>6984</v>
      </c>
      <c r="CPI36" t="s">
        <v>6984</v>
      </c>
      <c r="CPJ36" t="s">
        <v>6984</v>
      </c>
      <c r="CPK36" t="s">
        <v>6984</v>
      </c>
      <c r="CPL36" t="s">
        <v>6984</v>
      </c>
      <c r="CPM36" t="s">
        <v>6984</v>
      </c>
      <c r="CPN36" t="s">
        <v>6984</v>
      </c>
      <c r="CPO36" t="s">
        <v>6984</v>
      </c>
      <c r="CPP36" t="s">
        <v>6984</v>
      </c>
      <c r="CPQ36" t="s">
        <v>6984</v>
      </c>
      <c r="CPR36" t="s">
        <v>6984</v>
      </c>
      <c r="CPS36" t="s">
        <v>6984</v>
      </c>
      <c r="CPT36" t="s">
        <v>6984</v>
      </c>
      <c r="CPU36" t="s">
        <v>6984</v>
      </c>
      <c r="CPV36" t="s">
        <v>6984</v>
      </c>
      <c r="CPW36" t="s">
        <v>6984</v>
      </c>
      <c r="CPX36" t="s">
        <v>6984</v>
      </c>
      <c r="CPY36" t="s">
        <v>6984</v>
      </c>
      <c r="CPZ36" t="s">
        <v>6984</v>
      </c>
      <c r="CQA36" t="s">
        <v>6984</v>
      </c>
      <c r="CQB36" t="s">
        <v>6984</v>
      </c>
      <c r="CQC36" t="s">
        <v>6984</v>
      </c>
      <c r="CQD36" t="s">
        <v>6984</v>
      </c>
      <c r="CQE36" t="s">
        <v>6984</v>
      </c>
      <c r="CQF36" t="s">
        <v>6984</v>
      </c>
      <c r="CQG36" t="s">
        <v>6984</v>
      </c>
      <c r="CQH36" t="s">
        <v>6984</v>
      </c>
      <c r="CQI36" t="s">
        <v>6984</v>
      </c>
      <c r="CQJ36" t="s">
        <v>6984</v>
      </c>
      <c r="CQK36" t="s">
        <v>6984</v>
      </c>
      <c r="CQL36" t="s">
        <v>6984</v>
      </c>
      <c r="CQM36" t="s">
        <v>6984</v>
      </c>
      <c r="CQN36" t="s">
        <v>6984</v>
      </c>
      <c r="CQO36" t="s">
        <v>6984</v>
      </c>
      <c r="CQP36" t="s">
        <v>6984</v>
      </c>
      <c r="CQQ36" t="s">
        <v>6984</v>
      </c>
      <c r="CQR36" t="s">
        <v>6984</v>
      </c>
      <c r="CQS36" t="s">
        <v>6984</v>
      </c>
      <c r="CQT36" t="s">
        <v>6984</v>
      </c>
      <c r="CQU36" t="s">
        <v>6984</v>
      </c>
      <c r="CQV36" t="s">
        <v>6984</v>
      </c>
      <c r="CQW36" t="s">
        <v>6984</v>
      </c>
      <c r="CQX36" t="s">
        <v>6984</v>
      </c>
      <c r="CQY36" t="s">
        <v>6984</v>
      </c>
      <c r="CQZ36" t="s">
        <v>6984</v>
      </c>
      <c r="CRA36" t="s">
        <v>6984</v>
      </c>
      <c r="CRB36" t="s">
        <v>6984</v>
      </c>
      <c r="CRC36" t="s">
        <v>6984</v>
      </c>
      <c r="CRD36" t="s">
        <v>6984</v>
      </c>
      <c r="CRE36" t="s">
        <v>6984</v>
      </c>
      <c r="CRF36" t="s">
        <v>6984</v>
      </c>
      <c r="CRG36" t="s">
        <v>6984</v>
      </c>
      <c r="CRH36" t="s">
        <v>6984</v>
      </c>
      <c r="CRI36" t="s">
        <v>6984</v>
      </c>
      <c r="CRJ36" t="s">
        <v>6984</v>
      </c>
      <c r="CRK36" t="s">
        <v>6984</v>
      </c>
      <c r="CRL36" t="s">
        <v>6984</v>
      </c>
      <c r="CRM36" t="s">
        <v>6984</v>
      </c>
      <c r="CRN36" t="s">
        <v>6984</v>
      </c>
      <c r="CRO36" t="s">
        <v>6984</v>
      </c>
      <c r="CRP36" t="s">
        <v>6984</v>
      </c>
      <c r="CRQ36" t="s">
        <v>6984</v>
      </c>
      <c r="CRR36" t="s">
        <v>6984</v>
      </c>
      <c r="CRS36" t="s">
        <v>6984</v>
      </c>
      <c r="CRT36" t="s">
        <v>6984</v>
      </c>
      <c r="CRU36" t="s">
        <v>6984</v>
      </c>
      <c r="CRV36" t="s">
        <v>6984</v>
      </c>
      <c r="CRW36" t="s">
        <v>6984</v>
      </c>
      <c r="CRX36" t="s">
        <v>6984</v>
      </c>
      <c r="CRY36" t="s">
        <v>6984</v>
      </c>
      <c r="CRZ36" t="s">
        <v>6984</v>
      </c>
      <c r="CSA36" t="s">
        <v>6984</v>
      </c>
      <c r="CSB36" t="s">
        <v>6984</v>
      </c>
      <c r="CSC36" t="s">
        <v>6984</v>
      </c>
      <c r="CSD36" t="s">
        <v>6984</v>
      </c>
      <c r="CSE36" t="s">
        <v>6984</v>
      </c>
      <c r="CSF36" t="s">
        <v>6984</v>
      </c>
      <c r="CSG36" t="s">
        <v>6984</v>
      </c>
      <c r="CSH36" t="s">
        <v>6984</v>
      </c>
      <c r="CSI36" t="s">
        <v>6984</v>
      </c>
      <c r="CSJ36" t="s">
        <v>6984</v>
      </c>
      <c r="CSK36" t="s">
        <v>6984</v>
      </c>
      <c r="CSL36" t="s">
        <v>6984</v>
      </c>
      <c r="CSM36" t="s">
        <v>6984</v>
      </c>
      <c r="CSN36" t="s">
        <v>6984</v>
      </c>
      <c r="CSO36" t="s">
        <v>6984</v>
      </c>
      <c r="CSP36" t="s">
        <v>6984</v>
      </c>
      <c r="CSQ36" t="s">
        <v>6984</v>
      </c>
      <c r="CSR36" t="s">
        <v>6984</v>
      </c>
      <c r="CSS36" t="s">
        <v>6984</v>
      </c>
      <c r="CST36" t="s">
        <v>6984</v>
      </c>
      <c r="CSU36" t="s">
        <v>6984</v>
      </c>
      <c r="CSV36" t="s">
        <v>6984</v>
      </c>
      <c r="CSW36" t="s">
        <v>6984</v>
      </c>
      <c r="CSX36" t="s">
        <v>6984</v>
      </c>
      <c r="CSY36" t="s">
        <v>6984</v>
      </c>
      <c r="CSZ36" t="s">
        <v>6984</v>
      </c>
      <c r="CTA36" t="s">
        <v>6984</v>
      </c>
      <c r="CTB36" t="s">
        <v>6984</v>
      </c>
      <c r="CTC36" t="s">
        <v>6984</v>
      </c>
      <c r="CTD36" t="s">
        <v>6984</v>
      </c>
      <c r="CTE36" t="s">
        <v>6984</v>
      </c>
      <c r="CTF36" t="s">
        <v>6984</v>
      </c>
      <c r="CTG36" t="s">
        <v>6984</v>
      </c>
      <c r="CTH36" t="s">
        <v>6984</v>
      </c>
      <c r="CTI36" t="s">
        <v>6984</v>
      </c>
      <c r="CTJ36" t="s">
        <v>6984</v>
      </c>
      <c r="CTK36" t="s">
        <v>6984</v>
      </c>
      <c r="CTL36" t="s">
        <v>6984</v>
      </c>
      <c r="CTM36" t="s">
        <v>6984</v>
      </c>
      <c r="CTN36" t="s">
        <v>6984</v>
      </c>
      <c r="CTO36" t="s">
        <v>6984</v>
      </c>
      <c r="CTP36" t="s">
        <v>6984</v>
      </c>
      <c r="CTQ36" t="s">
        <v>6984</v>
      </c>
      <c r="CTR36" t="s">
        <v>6984</v>
      </c>
      <c r="CTS36" t="s">
        <v>6984</v>
      </c>
      <c r="CTT36" t="s">
        <v>6984</v>
      </c>
      <c r="CTU36" t="s">
        <v>6984</v>
      </c>
      <c r="CTV36" t="s">
        <v>6984</v>
      </c>
      <c r="CTW36" t="s">
        <v>6984</v>
      </c>
      <c r="CTX36" t="s">
        <v>6984</v>
      </c>
      <c r="CTY36" t="s">
        <v>6984</v>
      </c>
      <c r="CTZ36" t="s">
        <v>6984</v>
      </c>
      <c r="CUA36" t="s">
        <v>6984</v>
      </c>
      <c r="CUB36" t="s">
        <v>6984</v>
      </c>
      <c r="CUC36" t="s">
        <v>6984</v>
      </c>
      <c r="CUD36" t="s">
        <v>6984</v>
      </c>
      <c r="CUE36" t="s">
        <v>6984</v>
      </c>
      <c r="CUF36" t="s">
        <v>6984</v>
      </c>
      <c r="CUG36" t="s">
        <v>6984</v>
      </c>
      <c r="CUH36" t="s">
        <v>6984</v>
      </c>
      <c r="CUI36" t="s">
        <v>6984</v>
      </c>
      <c r="CUJ36" t="s">
        <v>6984</v>
      </c>
      <c r="CUK36" t="s">
        <v>6984</v>
      </c>
      <c r="CUL36" t="s">
        <v>6984</v>
      </c>
      <c r="CUM36" t="s">
        <v>6984</v>
      </c>
      <c r="CUN36" t="s">
        <v>6984</v>
      </c>
      <c r="CUO36" t="s">
        <v>6984</v>
      </c>
      <c r="CUP36" t="s">
        <v>6984</v>
      </c>
      <c r="CUQ36" t="s">
        <v>6984</v>
      </c>
      <c r="CUR36" t="s">
        <v>6984</v>
      </c>
      <c r="CUS36" t="s">
        <v>6984</v>
      </c>
      <c r="CUT36" t="s">
        <v>6984</v>
      </c>
      <c r="CUU36" t="s">
        <v>6984</v>
      </c>
      <c r="CUV36" t="s">
        <v>6984</v>
      </c>
      <c r="CUW36" t="s">
        <v>6984</v>
      </c>
      <c r="CUX36" t="s">
        <v>6984</v>
      </c>
      <c r="CUY36" t="s">
        <v>6984</v>
      </c>
      <c r="CUZ36" t="s">
        <v>6984</v>
      </c>
      <c r="CVA36" t="s">
        <v>6984</v>
      </c>
      <c r="CVB36" t="s">
        <v>6984</v>
      </c>
      <c r="CVC36" t="s">
        <v>6984</v>
      </c>
      <c r="CVD36" t="s">
        <v>6984</v>
      </c>
      <c r="CVE36" t="s">
        <v>6984</v>
      </c>
      <c r="CVF36" t="s">
        <v>6984</v>
      </c>
      <c r="CVG36" t="s">
        <v>6984</v>
      </c>
      <c r="CVH36" t="s">
        <v>6984</v>
      </c>
      <c r="CVI36" t="s">
        <v>6984</v>
      </c>
      <c r="CVJ36" t="s">
        <v>6984</v>
      </c>
      <c r="CVK36" t="s">
        <v>6984</v>
      </c>
      <c r="CVL36" t="s">
        <v>6984</v>
      </c>
      <c r="CVM36" t="s">
        <v>6984</v>
      </c>
      <c r="CVN36" t="s">
        <v>6984</v>
      </c>
      <c r="CVO36" t="s">
        <v>6984</v>
      </c>
      <c r="CVP36" t="s">
        <v>6984</v>
      </c>
      <c r="CVQ36" t="s">
        <v>6984</v>
      </c>
      <c r="CVR36" t="s">
        <v>6984</v>
      </c>
      <c r="CVS36" t="s">
        <v>6984</v>
      </c>
      <c r="CVT36" t="s">
        <v>6984</v>
      </c>
      <c r="CVU36" t="s">
        <v>6984</v>
      </c>
      <c r="CVV36" t="s">
        <v>6984</v>
      </c>
      <c r="CVW36" t="s">
        <v>6984</v>
      </c>
      <c r="CVX36" t="s">
        <v>6984</v>
      </c>
      <c r="CVY36" t="s">
        <v>6984</v>
      </c>
      <c r="CVZ36" t="s">
        <v>6984</v>
      </c>
      <c r="CWA36" t="s">
        <v>6984</v>
      </c>
      <c r="CWB36" t="s">
        <v>6984</v>
      </c>
      <c r="CWC36" t="s">
        <v>6984</v>
      </c>
      <c r="CWD36" t="s">
        <v>6984</v>
      </c>
      <c r="CWE36" t="s">
        <v>6984</v>
      </c>
      <c r="CWF36" t="s">
        <v>6984</v>
      </c>
      <c r="CWG36" t="s">
        <v>6984</v>
      </c>
      <c r="CWH36" t="s">
        <v>6984</v>
      </c>
      <c r="CWI36" t="s">
        <v>6984</v>
      </c>
      <c r="CWJ36" t="s">
        <v>6984</v>
      </c>
      <c r="CWK36" t="s">
        <v>6984</v>
      </c>
      <c r="CWL36" t="s">
        <v>6984</v>
      </c>
      <c r="CWM36" t="s">
        <v>6984</v>
      </c>
      <c r="CWN36" t="s">
        <v>6984</v>
      </c>
      <c r="CWO36" t="s">
        <v>6984</v>
      </c>
      <c r="CWP36" t="s">
        <v>6984</v>
      </c>
      <c r="CWQ36" t="s">
        <v>6984</v>
      </c>
      <c r="CWR36" t="s">
        <v>6984</v>
      </c>
      <c r="CWS36" t="s">
        <v>6984</v>
      </c>
      <c r="CWT36" t="s">
        <v>6984</v>
      </c>
      <c r="CWU36" t="s">
        <v>6984</v>
      </c>
      <c r="CWV36" t="s">
        <v>6984</v>
      </c>
      <c r="CWW36" t="s">
        <v>6984</v>
      </c>
      <c r="CWX36" t="s">
        <v>6984</v>
      </c>
      <c r="CWY36" t="s">
        <v>6984</v>
      </c>
      <c r="CWZ36" t="s">
        <v>6984</v>
      </c>
      <c r="CXA36" t="s">
        <v>6984</v>
      </c>
      <c r="CXB36" t="s">
        <v>6984</v>
      </c>
      <c r="CXC36" t="s">
        <v>6984</v>
      </c>
      <c r="CXD36" t="s">
        <v>6984</v>
      </c>
      <c r="CXE36" t="s">
        <v>6984</v>
      </c>
      <c r="CXF36" t="s">
        <v>6984</v>
      </c>
      <c r="CXG36" t="s">
        <v>6984</v>
      </c>
      <c r="CXH36" t="s">
        <v>6984</v>
      </c>
      <c r="CXI36" t="s">
        <v>6984</v>
      </c>
      <c r="CXJ36" t="s">
        <v>6984</v>
      </c>
      <c r="CXK36" t="s">
        <v>6984</v>
      </c>
      <c r="CXL36" t="s">
        <v>6984</v>
      </c>
      <c r="CXM36" t="s">
        <v>6984</v>
      </c>
      <c r="CXN36" t="s">
        <v>6984</v>
      </c>
      <c r="CXO36" t="s">
        <v>6984</v>
      </c>
      <c r="CXP36" t="s">
        <v>6984</v>
      </c>
      <c r="CXQ36" t="s">
        <v>6984</v>
      </c>
      <c r="CXR36" t="s">
        <v>6984</v>
      </c>
      <c r="CXS36" t="s">
        <v>6984</v>
      </c>
      <c r="CXT36" t="s">
        <v>6984</v>
      </c>
      <c r="CXU36" t="s">
        <v>6984</v>
      </c>
      <c r="CXV36" t="s">
        <v>6984</v>
      </c>
      <c r="CXW36" t="s">
        <v>6984</v>
      </c>
      <c r="CXX36" t="s">
        <v>6984</v>
      </c>
      <c r="CXY36" t="s">
        <v>6984</v>
      </c>
      <c r="CXZ36" t="s">
        <v>6984</v>
      </c>
      <c r="CYA36" t="s">
        <v>6984</v>
      </c>
      <c r="CYB36" t="s">
        <v>6984</v>
      </c>
      <c r="CYC36" t="s">
        <v>6984</v>
      </c>
      <c r="CYD36" t="s">
        <v>6984</v>
      </c>
      <c r="CYE36" t="s">
        <v>6984</v>
      </c>
      <c r="CYF36" t="s">
        <v>6984</v>
      </c>
      <c r="CYG36" t="s">
        <v>6984</v>
      </c>
      <c r="CYH36" t="s">
        <v>6984</v>
      </c>
      <c r="CYI36" t="s">
        <v>6984</v>
      </c>
      <c r="CYJ36" t="s">
        <v>6984</v>
      </c>
      <c r="CYK36" t="s">
        <v>6984</v>
      </c>
      <c r="CYL36" t="s">
        <v>6984</v>
      </c>
      <c r="CYM36" t="s">
        <v>6984</v>
      </c>
      <c r="CYN36" t="s">
        <v>6984</v>
      </c>
      <c r="CYO36" t="s">
        <v>6984</v>
      </c>
      <c r="CYP36" t="s">
        <v>6984</v>
      </c>
      <c r="CYQ36" t="s">
        <v>6984</v>
      </c>
      <c r="CYR36" t="s">
        <v>6984</v>
      </c>
      <c r="CYS36" t="s">
        <v>6984</v>
      </c>
      <c r="CYT36" t="s">
        <v>6984</v>
      </c>
      <c r="CYU36" t="s">
        <v>6984</v>
      </c>
      <c r="CYV36" t="s">
        <v>6984</v>
      </c>
      <c r="CYW36" t="s">
        <v>6984</v>
      </c>
      <c r="CYX36" t="s">
        <v>6984</v>
      </c>
      <c r="CYY36" t="s">
        <v>6984</v>
      </c>
      <c r="CYZ36" t="s">
        <v>6984</v>
      </c>
      <c r="CZA36" t="s">
        <v>6984</v>
      </c>
      <c r="CZB36" t="s">
        <v>6984</v>
      </c>
      <c r="CZC36" t="s">
        <v>6984</v>
      </c>
      <c r="CZD36" t="s">
        <v>6984</v>
      </c>
      <c r="CZE36" t="s">
        <v>6984</v>
      </c>
      <c r="CZF36" t="s">
        <v>6984</v>
      </c>
      <c r="CZG36" t="s">
        <v>6984</v>
      </c>
      <c r="CZH36" t="s">
        <v>6984</v>
      </c>
      <c r="CZI36" t="s">
        <v>6984</v>
      </c>
      <c r="CZJ36" t="s">
        <v>6984</v>
      </c>
      <c r="CZK36" t="s">
        <v>6984</v>
      </c>
      <c r="CZL36" t="s">
        <v>6984</v>
      </c>
      <c r="CZM36" t="s">
        <v>6984</v>
      </c>
      <c r="CZN36" t="s">
        <v>6984</v>
      </c>
      <c r="CZO36" t="s">
        <v>6984</v>
      </c>
      <c r="CZP36" t="s">
        <v>6984</v>
      </c>
      <c r="CZQ36" t="s">
        <v>6984</v>
      </c>
      <c r="CZR36" t="s">
        <v>6984</v>
      </c>
      <c r="CZS36" t="s">
        <v>6984</v>
      </c>
      <c r="CZT36" t="s">
        <v>6984</v>
      </c>
      <c r="CZU36" t="s">
        <v>6984</v>
      </c>
      <c r="CZV36" t="s">
        <v>6984</v>
      </c>
      <c r="CZW36" t="s">
        <v>6984</v>
      </c>
      <c r="CZX36" t="s">
        <v>6984</v>
      </c>
      <c r="CZY36" t="s">
        <v>6984</v>
      </c>
      <c r="CZZ36" t="s">
        <v>6984</v>
      </c>
      <c r="DAA36" t="s">
        <v>6984</v>
      </c>
      <c r="DAB36" t="s">
        <v>6984</v>
      </c>
      <c r="DAC36" t="s">
        <v>6984</v>
      </c>
      <c r="DAD36" t="s">
        <v>6984</v>
      </c>
      <c r="DAE36" t="s">
        <v>6984</v>
      </c>
      <c r="DAF36" t="s">
        <v>6984</v>
      </c>
      <c r="DAG36" t="s">
        <v>6984</v>
      </c>
      <c r="DAH36" t="s">
        <v>6984</v>
      </c>
      <c r="DAI36" t="s">
        <v>6984</v>
      </c>
      <c r="DAJ36" t="s">
        <v>6984</v>
      </c>
      <c r="DAK36" t="s">
        <v>6984</v>
      </c>
      <c r="DAL36" t="s">
        <v>6984</v>
      </c>
      <c r="DAM36" t="s">
        <v>6984</v>
      </c>
      <c r="DAN36" t="s">
        <v>6984</v>
      </c>
      <c r="DAO36" t="s">
        <v>6984</v>
      </c>
      <c r="DAP36" t="s">
        <v>6984</v>
      </c>
      <c r="DAQ36" t="s">
        <v>6984</v>
      </c>
      <c r="DAR36" t="s">
        <v>6984</v>
      </c>
      <c r="DAS36" t="s">
        <v>6984</v>
      </c>
      <c r="DAT36" t="s">
        <v>6984</v>
      </c>
      <c r="DAU36" t="s">
        <v>6984</v>
      </c>
      <c r="DAV36" t="s">
        <v>6984</v>
      </c>
      <c r="DAW36" t="s">
        <v>6984</v>
      </c>
      <c r="DAX36" t="s">
        <v>6984</v>
      </c>
      <c r="DAY36" t="s">
        <v>6984</v>
      </c>
      <c r="DAZ36" t="s">
        <v>6984</v>
      </c>
      <c r="DBA36" t="s">
        <v>6984</v>
      </c>
      <c r="DBB36" t="s">
        <v>6984</v>
      </c>
      <c r="DBC36" t="s">
        <v>6984</v>
      </c>
      <c r="DBD36" t="s">
        <v>6984</v>
      </c>
      <c r="DBE36" t="s">
        <v>6984</v>
      </c>
      <c r="DBF36" t="s">
        <v>6984</v>
      </c>
      <c r="DBG36" t="s">
        <v>6984</v>
      </c>
      <c r="DBH36" t="s">
        <v>6984</v>
      </c>
      <c r="DBI36" t="s">
        <v>6984</v>
      </c>
      <c r="DBJ36" t="s">
        <v>6984</v>
      </c>
      <c r="DBK36" t="s">
        <v>6984</v>
      </c>
      <c r="DBL36" t="s">
        <v>6984</v>
      </c>
      <c r="DBM36" t="s">
        <v>6984</v>
      </c>
      <c r="DBN36" t="s">
        <v>6984</v>
      </c>
      <c r="DBO36" t="s">
        <v>6984</v>
      </c>
      <c r="DBP36" t="s">
        <v>6984</v>
      </c>
      <c r="DBQ36" t="s">
        <v>6984</v>
      </c>
      <c r="DBR36" t="s">
        <v>6984</v>
      </c>
      <c r="DBS36" t="s">
        <v>6984</v>
      </c>
      <c r="DBT36" t="s">
        <v>6984</v>
      </c>
      <c r="DBU36" t="s">
        <v>6984</v>
      </c>
      <c r="DBV36" t="s">
        <v>6984</v>
      </c>
      <c r="DBW36" t="s">
        <v>6984</v>
      </c>
      <c r="DBX36" t="s">
        <v>6984</v>
      </c>
      <c r="DBY36" t="s">
        <v>6984</v>
      </c>
      <c r="DBZ36" t="s">
        <v>6984</v>
      </c>
      <c r="DCA36" t="s">
        <v>6984</v>
      </c>
      <c r="DCB36" t="s">
        <v>6984</v>
      </c>
      <c r="DCC36" t="s">
        <v>6984</v>
      </c>
      <c r="DCD36" t="s">
        <v>6984</v>
      </c>
      <c r="DCE36" t="s">
        <v>6984</v>
      </c>
      <c r="DCF36" t="s">
        <v>6984</v>
      </c>
      <c r="DCG36" t="s">
        <v>6984</v>
      </c>
      <c r="DCH36" t="s">
        <v>6984</v>
      </c>
      <c r="DCI36" t="s">
        <v>6984</v>
      </c>
      <c r="DCJ36" t="s">
        <v>6984</v>
      </c>
      <c r="DCK36" t="s">
        <v>6984</v>
      </c>
      <c r="DCL36" t="s">
        <v>6984</v>
      </c>
      <c r="DCM36" t="s">
        <v>6984</v>
      </c>
      <c r="DCN36" t="s">
        <v>6984</v>
      </c>
      <c r="DCO36" t="s">
        <v>6984</v>
      </c>
      <c r="DCP36" t="s">
        <v>6984</v>
      </c>
      <c r="DCQ36" t="s">
        <v>6984</v>
      </c>
      <c r="DCR36" t="s">
        <v>6984</v>
      </c>
      <c r="DCS36" t="s">
        <v>6984</v>
      </c>
      <c r="DCT36" t="s">
        <v>6984</v>
      </c>
      <c r="DCU36" t="s">
        <v>6984</v>
      </c>
      <c r="DCV36" t="s">
        <v>6984</v>
      </c>
      <c r="DCW36" t="s">
        <v>6984</v>
      </c>
      <c r="DCX36" t="s">
        <v>6984</v>
      </c>
      <c r="DCY36" t="s">
        <v>6984</v>
      </c>
      <c r="DCZ36" t="s">
        <v>6984</v>
      </c>
      <c r="DDA36" t="s">
        <v>6984</v>
      </c>
      <c r="DDB36" t="s">
        <v>6984</v>
      </c>
      <c r="DDC36" t="s">
        <v>6984</v>
      </c>
      <c r="DDD36" t="s">
        <v>6984</v>
      </c>
      <c r="DDE36" t="s">
        <v>6984</v>
      </c>
      <c r="DDF36" t="s">
        <v>6984</v>
      </c>
      <c r="DDG36" t="s">
        <v>6984</v>
      </c>
      <c r="DDH36" t="s">
        <v>6984</v>
      </c>
      <c r="DDI36" t="s">
        <v>6984</v>
      </c>
      <c r="DDJ36" t="s">
        <v>6984</v>
      </c>
      <c r="DDK36" t="s">
        <v>6984</v>
      </c>
      <c r="DDL36" t="s">
        <v>6984</v>
      </c>
      <c r="DDM36" t="s">
        <v>6984</v>
      </c>
      <c r="DDN36" t="s">
        <v>6984</v>
      </c>
      <c r="DDO36" t="s">
        <v>6984</v>
      </c>
      <c r="DDP36" t="s">
        <v>6984</v>
      </c>
      <c r="DDQ36" t="s">
        <v>6984</v>
      </c>
      <c r="DDR36" t="s">
        <v>6984</v>
      </c>
      <c r="DDS36" t="s">
        <v>6984</v>
      </c>
      <c r="DDT36" t="s">
        <v>6984</v>
      </c>
      <c r="DDU36" t="s">
        <v>6984</v>
      </c>
      <c r="DDV36" t="s">
        <v>6984</v>
      </c>
      <c r="DDW36" t="s">
        <v>6984</v>
      </c>
      <c r="DDX36" t="s">
        <v>6984</v>
      </c>
      <c r="DDY36" t="s">
        <v>6984</v>
      </c>
      <c r="DDZ36" t="s">
        <v>6984</v>
      </c>
      <c r="DEA36" t="s">
        <v>6984</v>
      </c>
      <c r="DEB36" t="s">
        <v>6984</v>
      </c>
      <c r="DEC36" t="s">
        <v>6984</v>
      </c>
      <c r="DED36" t="s">
        <v>6984</v>
      </c>
      <c r="DEE36" t="s">
        <v>6984</v>
      </c>
      <c r="DEF36" t="s">
        <v>6984</v>
      </c>
      <c r="DEG36" t="s">
        <v>6984</v>
      </c>
      <c r="DEH36" t="s">
        <v>6984</v>
      </c>
      <c r="DEI36" t="s">
        <v>6984</v>
      </c>
      <c r="DEJ36" t="s">
        <v>6984</v>
      </c>
      <c r="DEK36" t="s">
        <v>6984</v>
      </c>
      <c r="DEL36" t="s">
        <v>6984</v>
      </c>
      <c r="DEM36" t="s">
        <v>6984</v>
      </c>
      <c r="DEN36" t="s">
        <v>6984</v>
      </c>
      <c r="DEO36" t="s">
        <v>6984</v>
      </c>
      <c r="DEP36" t="s">
        <v>6984</v>
      </c>
      <c r="DEQ36" t="s">
        <v>6984</v>
      </c>
      <c r="DER36" t="s">
        <v>6984</v>
      </c>
      <c r="DES36" t="s">
        <v>6984</v>
      </c>
      <c r="DET36" t="s">
        <v>6984</v>
      </c>
      <c r="DEU36" t="s">
        <v>6984</v>
      </c>
      <c r="DEV36" t="s">
        <v>6984</v>
      </c>
      <c r="DEW36" t="s">
        <v>6984</v>
      </c>
      <c r="DEX36" t="s">
        <v>6984</v>
      </c>
      <c r="DEY36" t="s">
        <v>6984</v>
      </c>
      <c r="DEZ36" t="s">
        <v>6984</v>
      </c>
      <c r="DFA36" t="s">
        <v>6984</v>
      </c>
      <c r="DFB36" t="s">
        <v>6984</v>
      </c>
      <c r="DFC36" t="s">
        <v>6984</v>
      </c>
      <c r="DFD36" t="s">
        <v>6984</v>
      </c>
      <c r="DFE36" t="s">
        <v>6984</v>
      </c>
      <c r="DFF36" t="s">
        <v>6984</v>
      </c>
      <c r="DFG36" t="s">
        <v>6984</v>
      </c>
      <c r="DFH36" t="s">
        <v>6984</v>
      </c>
      <c r="DFI36" t="s">
        <v>6984</v>
      </c>
      <c r="DFJ36" t="s">
        <v>6984</v>
      </c>
      <c r="DFK36" t="s">
        <v>6984</v>
      </c>
      <c r="DFL36" t="s">
        <v>6984</v>
      </c>
      <c r="DFM36" t="s">
        <v>6984</v>
      </c>
      <c r="DFN36" t="s">
        <v>6984</v>
      </c>
      <c r="DFO36" t="s">
        <v>6984</v>
      </c>
      <c r="DFP36" t="s">
        <v>6984</v>
      </c>
      <c r="DFQ36" t="s">
        <v>6984</v>
      </c>
      <c r="DFR36" t="s">
        <v>6984</v>
      </c>
      <c r="DFS36" t="s">
        <v>6984</v>
      </c>
      <c r="DFT36" t="s">
        <v>6984</v>
      </c>
      <c r="DFU36" t="s">
        <v>6984</v>
      </c>
      <c r="DFV36" t="s">
        <v>6984</v>
      </c>
      <c r="DFW36" t="s">
        <v>6984</v>
      </c>
      <c r="DFX36" t="s">
        <v>6984</v>
      </c>
      <c r="DFY36" t="s">
        <v>6984</v>
      </c>
      <c r="DFZ36" t="s">
        <v>6984</v>
      </c>
      <c r="DGA36" t="s">
        <v>6984</v>
      </c>
      <c r="DGB36" t="s">
        <v>6984</v>
      </c>
      <c r="DGC36" t="s">
        <v>6984</v>
      </c>
      <c r="DGD36" t="s">
        <v>6984</v>
      </c>
      <c r="DGE36" t="s">
        <v>6984</v>
      </c>
      <c r="DGF36" t="s">
        <v>6984</v>
      </c>
      <c r="DGG36" t="s">
        <v>6984</v>
      </c>
      <c r="DGH36" t="s">
        <v>6984</v>
      </c>
      <c r="DGI36" t="s">
        <v>6984</v>
      </c>
      <c r="DGJ36" t="s">
        <v>6984</v>
      </c>
      <c r="DGK36" t="s">
        <v>6984</v>
      </c>
      <c r="DGL36" t="s">
        <v>6984</v>
      </c>
      <c r="DGM36" t="s">
        <v>6984</v>
      </c>
      <c r="DGN36" t="s">
        <v>6984</v>
      </c>
      <c r="DGO36" t="s">
        <v>6984</v>
      </c>
      <c r="DGP36" t="s">
        <v>6984</v>
      </c>
      <c r="DGQ36" t="s">
        <v>6984</v>
      </c>
      <c r="DGR36" t="s">
        <v>6984</v>
      </c>
      <c r="DGS36" t="s">
        <v>6984</v>
      </c>
      <c r="DGT36" t="s">
        <v>6984</v>
      </c>
      <c r="DGU36" t="s">
        <v>6984</v>
      </c>
      <c r="DGV36" t="s">
        <v>6984</v>
      </c>
      <c r="DGW36" t="s">
        <v>6984</v>
      </c>
      <c r="DGX36" t="s">
        <v>6984</v>
      </c>
      <c r="DGY36" t="s">
        <v>6984</v>
      </c>
      <c r="DGZ36" t="s">
        <v>6984</v>
      </c>
      <c r="DHA36" t="s">
        <v>6984</v>
      </c>
      <c r="DHB36" t="s">
        <v>6984</v>
      </c>
      <c r="DHC36" t="s">
        <v>6984</v>
      </c>
      <c r="DHD36" t="s">
        <v>6984</v>
      </c>
      <c r="DHE36" t="s">
        <v>6984</v>
      </c>
      <c r="DHF36" t="s">
        <v>6984</v>
      </c>
      <c r="DHG36" t="s">
        <v>6984</v>
      </c>
      <c r="DHH36" t="s">
        <v>6984</v>
      </c>
      <c r="DHI36" t="s">
        <v>6984</v>
      </c>
      <c r="DHJ36" t="s">
        <v>6984</v>
      </c>
      <c r="DHK36" t="s">
        <v>6984</v>
      </c>
      <c r="DHL36" t="s">
        <v>6984</v>
      </c>
      <c r="DHM36" t="s">
        <v>6984</v>
      </c>
      <c r="DHN36" t="s">
        <v>6984</v>
      </c>
      <c r="DHO36" t="s">
        <v>6984</v>
      </c>
      <c r="DHP36" t="s">
        <v>6984</v>
      </c>
      <c r="DHQ36" t="s">
        <v>6984</v>
      </c>
      <c r="DHR36" t="s">
        <v>6984</v>
      </c>
      <c r="DHS36" t="s">
        <v>6984</v>
      </c>
      <c r="DHT36" t="s">
        <v>6984</v>
      </c>
      <c r="DHU36" t="s">
        <v>6984</v>
      </c>
      <c r="DHV36" t="s">
        <v>6984</v>
      </c>
      <c r="DHW36" t="s">
        <v>6984</v>
      </c>
      <c r="DHX36" t="s">
        <v>6984</v>
      </c>
      <c r="DHY36" t="s">
        <v>6984</v>
      </c>
      <c r="DHZ36" t="s">
        <v>6984</v>
      </c>
      <c r="DIA36" t="s">
        <v>6984</v>
      </c>
      <c r="DIB36" t="s">
        <v>6984</v>
      </c>
      <c r="DIC36" t="s">
        <v>6984</v>
      </c>
      <c r="DID36" t="s">
        <v>6984</v>
      </c>
      <c r="DIE36" t="s">
        <v>6984</v>
      </c>
      <c r="DIF36" t="s">
        <v>6984</v>
      </c>
      <c r="DIG36" t="s">
        <v>6984</v>
      </c>
      <c r="DIH36" t="s">
        <v>6984</v>
      </c>
      <c r="DII36" t="s">
        <v>6984</v>
      </c>
      <c r="DIJ36" t="s">
        <v>6984</v>
      </c>
      <c r="DIK36" t="s">
        <v>6984</v>
      </c>
      <c r="DIL36" t="s">
        <v>6984</v>
      </c>
      <c r="DIM36" t="s">
        <v>6984</v>
      </c>
      <c r="DIN36" t="s">
        <v>6984</v>
      </c>
      <c r="DIO36" t="s">
        <v>6984</v>
      </c>
      <c r="DIP36" t="s">
        <v>6984</v>
      </c>
      <c r="DIQ36" t="s">
        <v>6984</v>
      </c>
      <c r="DIR36" t="s">
        <v>6984</v>
      </c>
      <c r="DIS36" t="s">
        <v>6984</v>
      </c>
      <c r="DIT36" t="s">
        <v>6984</v>
      </c>
      <c r="DIU36" t="s">
        <v>6984</v>
      </c>
      <c r="DIV36" t="s">
        <v>6984</v>
      </c>
      <c r="DIW36" t="s">
        <v>6984</v>
      </c>
      <c r="DIX36" t="s">
        <v>6984</v>
      </c>
      <c r="DIY36" t="s">
        <v>6984</v>
      </c>
      <c r="DIZ36" t="s">
        <v>6984</v>
      </c>
      <c r="DJA36" t="s">
        <v>6984</v>
      </c>
      <c r="DJB36" t="s">
        <v>6984</v>
      </c>
      <c r="DJC36" t="s">
        <v>6984</v>
      </c>
      <c r="DJD36" t="s">
        <v>6984</v>
      </c>
      <c r="DJE36" t="s">
        <v>6984</v>
      </c>
      <c r="DJF36" t="s">
        <v>6984</v>
      </c>
      <c r="DJG36" t="s">
        <v>6984</v>
      </c>
      <c r="DJH36" t="s">
        <v>6984</v>
      </c>
      <c r="DJI36" t="s">
        <v>6984</v>
      </c>
      <c r="DJJ36" t="s">
        <v>6984</v>
      </c>
      <c r="DJK36" t="s">
        <v>6984</v>
      </c>
      <c r="DJL36" t="s">
        <v>6984</v>
      </c>
      <c r="DJM36" t="s">
        <v>6984</v>
      </c>
      <c r="DJN36" t="s">
        <v>6984</v>
      </c>
      <c r="DJO36" t="s">
        <v>6984</v>
      </c>
      <c r="DJP36" t="s">
        <v>6984</v>
      </c>
      <c r="DJQ36" t="s">
        <v>6984</v>
      </c>
      <c r="DJR36" t="s">
        <v>6984</v>
      </c>
      <c r="DJS36" t="s">
        <v>6984</v>
      </c>
      <c r="DJT36" t="s">
        <v>6984</v>
      </c>
      <c r="DJU36" t="s">
        <v>6984</v>
      </c>
      <c r="DJV36" t="s">
        <v>6984</v>
      </c>
      <c r="DJW36" t="s">
        <v>6984</v>
      </c>
      <c r="DJX36" t="s">
        <v>6984</v>
      </c>
      <c r="DJY36" t="s">
        <v>6984</v>
      </c>
      <c r="DJZ36" t="s">
        <v>6984</v>
      </c>
      <c r="DKA36" t="s">
        <v>6984</v>
      </c>
      <c r="DKB36" t="s">
        <v>6984</v>
      </c>
      <c r="DKC36" t="s">
        <v>6984</v>
      </c>
      <c r="DKD36" t="s">
        <v>6984</v>
      </c>
      <c r="DKE36" t="s">
        <v>6984</v>
      </c>
      <c r="DKF36" t="s">
        <v>6984</v>
      </c>
      <c r="DKG36" t="s">
        <v>6984</v>
      </c>
      <c r="DKH36" t="s">
        <v>6984</v>
      </c>
      <c r="DKI36" t="s">
        <v>6984</v>
      </c>
      <c r="DKJ36" t="s">
        <v>6984</v>
      </c>
      <c r="DKK36" t="s">
        <v>6984</v>
      </c>
      <c r="DKL36" t="s">
        <v>6984</v>
      </c>
      <c r="DKM36" t="s">
        <v>6984</v>
      </c>
      <c r="DKN36" t="s">
        <v>6984</v>
      </c>
      <c r="DKO36" t="s">
        <v>6984</v>
      </c>
      <c r="DKP36" t="s">
        <v>6984</v>
      </c>
      <c r="DKQ36" t="s">
        <v>6984</v>
      </c>
      <c r="DKR36" t="s">
        <v>6984</v>
      </c>
      <c r="DKS36" t="s">
        <v>6984</v>
      </c>
      <c r="DKT36" t="s">
        <v>6984</v>
      </c>
      <c r="DKU36" t="s">
        <v>6984</v>
      </c>
      <c r="DKV36" t="s">
        <v>6984</v>
      </c>
      <c r="DKW36" t="s">
        <v>6984</v>
      </c>
      <c r="DKX36" t="s">
        <v>6984</v>
      </c>
      <c r="DKY36" t="s">
        <v>6984</v>
      </c>
      <c r="DKZ36" t="s">
        <v>6984</v>
      </c>
      <c r="DLA36" t="s">
        <v>6984</v>
      </c>
      <c r="DLB36" t="s">
        <v>6984</v>
      </c>
      <c r="DLC36" t="s">
        <v>6984</v>
      </c>
      <c r="DLD36" t="s">
        <v>6984</v>
      </c>
      <c r="DLE36" t="s">
        <v>6984</v>
      </c>
      <c r="DLF36" t="s">
        <v>6984</v>
      </c>
      <c r="DLG36" t="s">
        <v>6984</v>
      </c>
      <c r="DLH36" t="s">
        <v>6984</v>
      </c>
      <c r="DLI36" t="s">
        <v>6984</v>
      </c>
      <c r="DLJ36" t="s">
        <v>6984</v>
      </c>
      <c r="DLK36" t="s">
        <v>6984</v>
      </c>
      <c r="DLL36" t="s">
        <v>6984</v>
      </c>
      <c r="DLM36" t="s">
        <v>6984</v>
      </c>
      <c r="DLN36" t="s">
        <v>6984</v>
      </c>
      <c r="DLO36" t="s">
        <v>6984</v>
      </c>
      <c r="DLP36" t="s">
        <v>6984</v>
      </c>
      <c r="DLQ36" t="s">
        <v>6984</v>
      </c>
      <c r="DLR36" t="s">
        <v>6984</v>
      </c>
      <c r="DLS36" t="s">
        <v>6984</v>
      </c>
      <c r="DLT36" t="s">
        <v>6984</v>
      </c>
      <c r="DLU36" t="s">
        <v>6984</v>
      </c>
      <c r="DLV36" t="s">
        <v>6984</v>
      </c>
      <c r="DLW36" t="s">
        <v>6984</v>
      </c>
      <c r="DLX36" t="s">
        <v>6984</v>
      </c>
      <c r="DLY36" t="s">
        <v>6984</v>
      </c>
      <c r="DLZ36" t="s">
        <v>6984</v>
      </c>
      <c r="DMA36" t="s">
        <v>6984</v>
      </c>
      <c r="DMB36" t="s">
        <v>6984</v>
      </c>
      <c r="DMC36" t="s">
        <v>6984</v>
      </c>
      <c r="DMD36" t="s">
        <v>6984</v>
      </c>
      <c r="DME36" t="s">
        <v>6984</v>
      </c>
      <c r="DMF36" t="s">
        <v>6984</v>
      </c>
      <c r="DMG36" t="s">
        <v>6984</v>
      </c>
      <c r="DMH36" t="s">
        <v>6984</v>
      </c>
      <c r="DMI36" t="s">
        <v>6984</v>
      </c>
      <c r="DMJ36" t="s">
        <v>6984</v>
      </c>
      <c r="DMK36" t="s">
        <v>6984</v>
      </c>
      <c r="DML36" t="s">
        <v>6984</v>
      </c>
      <c r="DMM36" t="s">
        <v>6984</v>
      </c>
      <c r="DMN36" t="s">
        <v>6984</v>
      </c>
      <c r="DMO36" t="s">
        <v>6984</v>
      </c>
      <c r="DMP36" t="s">
        <v>6984</v>
      </c>
      <c r="DMQ36" t="s">
        <v>6984</v>
      </c>
      <c r="DMR36" t="s">
        <v>6984</v>
      </c>
      <c r="DMS36" t="s">
        <v>6984</v>
      </c>
      <c r="DMT36" t="s">
        <v>6984</v>
      </c>
      <c r="DMU36" t="s">
        <v>6984</v>
      </c>
      <c r="DMV36" t="s">
        <v>6984</v>
      </c>
      <c r="DMW36" t="s">
        <v>6984</v>
      </c>
      <c r="DMX36" t="s">
        <v>6984</v>
      </c>
      <c r="DMY36" t="s">
        <v>6984</v>
      </c>
      <c r="DMZ36" t="s">
        <v>6984</v>
      </c>
      <c r="DNA36" t="s">
        <v>6984</v>
      </c>
      <c r="DNB36" t="s">
        <v>6984</v>
      </c>
      <c r="DNC36" t="s">
        <v>6984</v>
      </c>
      <c r="DND36" t="s">
        <v>6984</v>
      </c>
      <c r="DNE36" t="s">
        <v>6984</v>
      </c>
      <c r="DNF36" t="s">
        <v>6984</v>
      </c>
      <c r="DNG36" t="s">
        <v>6984</v>
      </c>
      <c r="DNH36" t="s">
        <v>6984</v>
      </c>
      <c r="DNI36" t="s">
        <v>6984</v>
      </c>
      <c r="DNJ36" t="s">
        <v>6984</v>
      </c>
      <c r="DNK36" t="s">
        <v>6984</v>
      </c>
      <c r="DNL36" t="s">
        <v>6984</v>
      </c>
      <c r="DNM36" t="s">
        <v>6984</v>
      </c>
      <c r="DNN36" t="s">
        <v>6984</v>
      </c>
      <c r="DNO36" t="s">
        <v>6984</v>
      </c>
      <c r="DNP36" t="s">
        <v>6984</v>
      </c>
      <c r="DNQ36" t="s">
        <v>6984</v>
      </c>
      <c r="DNR36" t="s">
        <v>6984</v>
      </c>
      <c r="DNS36" t="s">
        <v>6984</v>
      </c>
      <c r="DNT36" t="s">
        <v>6984</v>
      </c>
      <c r="DNU36" t="s">
        <v>6984</v>
      </c>
      <c r="DNV36" t="s">
        <v>6984</v>
      </c>
      <c r="DNW36" t="s">
        <v>6984</v>
      </c>
      <c r="DNX36" t="s">
        <v>6984</v>
      </c>
      <c r="DNY36" t="s">
        <v>6984</v>
      </c>
      <c r="DNZ36" t="s">
        <v>6984</v>
      </c>
      <c r="DOA36" t="s">
        <v>6984</v>
      </c>
      <c r="DOB36" t="s">
        <v>6984</v>
      </c>
      <c r="DOC36" t="s">
        <v>6984</v>
      </c>
      <c r="DOD36" t="s">
        <v>6984</v>
      </c>
      <c r="DOE36" t="s">
        <v>6984</v>
      </c>
      <c r="DOF36" t="s">
        <v>6984</v>
      </c>
      <c r="DOG36" t="s">
        <v>6984</v>
      </c>
      <c r="DOH36" t="s">
        <v>6984</v>
      </c>
      <c r="DOI36" t="s">
        <v>6984</v>
      </c>
      <c r="DOJ36" t="s">
        <v>6984</v>
      </c>
      <c r="DOK36" t="s">
        <v>6984</v>
      </c>
      <c r="DOL36" t="s">
        <v>6984</v>
      </c>
      <c r="DOM36" t="s">
        <v>6984</v>
      </c>
      <c r="DON36" t="s">
        <v>6984</v>
      </c>
      <c r="DOO36" t="s">
        <v>6984</v>
      </c>
      <c r="DOP36" t="s">
        <v>6984</v>
      </c>
      <c r="DOQ36" t="s">
        <v>6984</v>
      </c>
      <c r="DOR36" t="s">
        <v>6984</v>
      </c>
      <c r="DOS36" t="s">
        <v>6984</v>
      </c>
      <c r="DOT36" t="s">
        <v>6984</v>
      </c>
      <c r="DOU36" t="s">
        <v>6984</v>
      </c>
      <c r="DOV36" t="s">
        <v>6984</v>
      </c>
      <c r="DOW36" t="s">
        <v>6984</v>
      </c>
      <c r="DOX36" t="s">
        <v>6984</v>
      </c>
      <c r="DOY36" t="s">
        <v>6984</v>
      </c>
      <c r="DOZ36" t="s">
        <v>6984</v>
      </c>
      <c r="DPA36" t="s">
        <v>6984</v>
      </c>
      <c r="DPB36" t="s">
        <v>6984</v>
      </c>
      <c r="DPC36" t="s">
        <v>6984</v>
      </c>
      <c r="DPD36" t="s">
        <v>6984</v>
      </c>
      <c r="DPE36" t="s">
        <v>6984</v>
      </c>
      <c r="DPF36" t="s">
        <v>6984</v>
      </c>
      <c r="DPG36" t="s">
        <v>6984</v>
      </c>
      <c r="DPH36" t="s">
        <v>6984</v>
      </c>
      <c r="DPI36" t="s">
        <v>6984</v>
      </c>
      <c r="DPJ36" t="s">
        <v>6984</v>
      </c>
      <c r="DPK36" t="s">
        <v>6984</v>
      </c>
      <c r="DPL36" t="s">
        <v>6984</v>
      </c>
      <c r="DPM36" t="s">
        <v>6984</v>
      </c>
      <c r="DPN36" t="s">
        <v>6984</v>
      </c>
      <c r="DPO36" t="s">
        <v>6984</v>
      </c>
      <c r="DPP36" t="s">
        <v>6984</v>
      </c>
      <c r="DPQ36" t="s">
        <v>6984</v>
      </c>
      <c r="DPR36" t="s">
        <v>6984</v>
      </c>
      <c r="DPS36" t="s">
        <v>6984</v>
      </c>
      <c r="DPT36" t="s">
        <v>6984</v>
      </c>
      <c r="DPU36" t="s">
        <v>6984</v>
      </c>
      <c r="DPV36" t="s">
        <v>6984</v>
      </c>
      <c r="DPW36" t="s">
        <v>6984</v>
      </c>
      <c r="DPX36" t="s">
        <v>6984</v>
      </c>
      <c r="DPY36" t="s">
        <v>6984</v>
      </c>
      <c r="DPZ36" t="s">
        <v>6984</v>
      </c>
      <c r="DQA36" t="s">
        <v>6984</v>
      </c>
      <c r="DQB36" t="s">
        <v>6984</v>
      </c>
      <c r="DQC36" t="s">
        <v>6984</v>
      </c>
      <c r="DQD36" t="s">
        <v>6984</v>
      </c>
      <c r="DQE36" t="s">
        <v>6984</v>
      </c>
      <c r="DQF36" t="s">
        <v>6984</v>
      </c>
      <c r="DQG36" t="s">
        <v>6984</v>
      </c>
      <c r="DQH36" t="s">
        <v>6984</v>
      </c>
      <c r="DQI36" t="s">
        <v>6984</v>
      </c>
      <c r="DQJ36" t="s">
        <v>6984</v>
      </c>
      <c r="DQK36" t="s">
        <v>6984</v>
      </c>
      <c r="DQL36" t="s">
        <v>6984</v>
      </c>
      <c r="DQM36" t="s">
        <v>6984</v>
      </c>
      <c r="DQN36" t="s">
        <v>6984</v>
      </c>
      <c r="DQO36" t="s">
        <v>6984</v>
      </c>
      <c r="DQP36" t="s">
        <v>6984</v>
      </c>
      <c r="DQQ36" t="s">
        <v>6984</v>
      </c>
      <c r="DQR36" t="s">
        <v>6984</v>
      </c>
      <c r="DQS36" t="s">
        <v>6984</v>
      </c>
      <c r="DQT36" t="s">
        <v>6984</v>
      </c>
      <c r="DQU36" t="s">
        <v>6984</v>
      </c>
      <c r="DQV36" t="s">
        <v>6984</v>
      </c>
      <c r="DQW36" t="s">
        <v>6984</v>
      </c>
      <c r="DQX36" t="s">
        <v>6984</v>
      </c>
      <c r="DQY36" t="s">
        <v>6984</v>
      </c>
      <c r="DQZ36" t="s">
        <v>6984</v>
      </c>
      <c r="DRA36" t="s">
        <v>6984</v>
      </c>
      <c r="DRB36" t="s">
        <v>6984</v>
      </c>
      <c r="DRC36" t="s">
        <v>6984</v>
      </c>
      <c r="DRD36" t="s">
        <v>6984</v>
      </c>
      <c r="DRE36" t="s">
        <v>6984</v>
      </c>
      <c r="DRF36" t="s">
        <v>6984</v>
      </c>
      <c r="DRG36" t="s">
        <v>6984</v>
      </c>
      <c r="DRH36" t="s">
        <v>6984</v>
      </c>
      <c r="DRI36" t="s">
        <v>6984</v>
      </c>
      <c r="DRJ36" t="s">
        <v>6984</v>
      </c>
      <c r="DRK36" t="s">
        <v>6984</v>
      </c>
      <c r="DRL36" t="s">
        <v>6984</v>
      </c>
      <c r="DRM36" t="s">
        <v>6984</v>
      </c>
      <c r="DRN36" t="s">
        <v>6984</v>
      </c>
      <c r="DRO36" t="s">
        <v>6984</v>
      </c>
      <c r="DRP36" t="s">
        <v>6984</v>
      </c>
      <c r="DRQ36" t="s">
        <v>6984</v>
      </c>
      <c r="DRR36" t="s">
        <v>6984</v>
      </c>
      <c r="DRS36" t="s">
        <v>6984</v>
      </c>
      <c r="DRT36" t="s">
        <v>6984</v>
      </c>
      <c r="DRU36" t="s">
        <v>6984</v>
      </c>
      <c r="DRV36" t="s">
        <v>6984</v>
      </c>
      <c r="DRW36" t="s">
        <v>6984</v>
      </c>
      <c r="DRX36" t="s">
        <v>6984</v>
      </c>
      <c r="DRY36" t="s">
        <v>6984</v>
      </c>
      <c r="DRZ36" t="s">
        <v>6984</v>
      </c>
      <c r="DSA36" t="s">
        <v>6984</v>
      </c>
      <c r="DSB36" t="s">
        <v>6984</v>
      </c>
      <c r="DSC36" t="s">
        <v>6984</v>
      </c>
      <c r="DSD36" t="s">
        <v>6984</v>
      </c>
      <c r="DSE36" t="s">
        <v>6984</v>
      </c>
      <c r="DSF36" t="s">
        <v>6984</v>
      </c>
      <c r="DSG36" t="s">
        <v>6984</v>
      </c>
      <c r="DSH36" t="s">
        <v>6984</v>
      </c>
      <c r="DSI36" t="s">
        <v>6984</v>
      </c>
      <c r="DSJ36" t="s">
        <v>6984</v>
      </c>
      <c r="DSK36" t="s">
        <v>6984</v>
      </c>
      <c r="DSL36" t="s">
        <v>6984</v>
      </c>
      <c r="DSM36" t="s">
        <v>6984</v>
      </c>
      <c r="DSN36" t="s">
        <v>6984</v>
      </c>
      <c r="DSO36" t="s">
        <v>6984</v>
      </c>
      <c r="DSP36" t="s">
        <v>6984</v>
      </c>
      <c r="DSQ36" t="s">
        <v>6984</v>
      </c>
      <c r="DSR36" t="s">
        <v>6984</v>
      </c>
      <c r="DSS36" t="s">
        <v>6984</v>
      </c>
      <c r="DST36" t="s">
        <v>6984</v>
      </c>
      <c r="DSU36" t="s">
        <v>6984</v>
      </c>
      <c r="DSV36" t="s">
        <v>6984</v>
      </c>
      <c r="DSW36" t="s">
        <v>6984</v>
      </c>
      <c r="DSX36" t="s">
        <v>6984</v>
      </c>
      <c r="DSY36" t="s">
        <v>6984</v>
      </c>
      <c r="DSZ36" t="s">
        <v>6984</v>
      </c>
      <c r="DTA36" t="s">
        <v>6984</v>
      </c>
      <c r="DTB36" t="s">
        <v>6984</v>
      </c>
      <c r="DTC36" t="s">
        <v>6984</v>
      </c>
      <c r="DTD36" t="s">
        <v>6984</v>
      </c>
      <c r="DTE36" t="s">
        <v>6984</v>
      </c>
      <c r="DTF36" t="s">
        <v>6984</v>
      </c>
      <c r="DTG36" t="s">
        <v>6984</v>
      </c>
      <c r="DTH36" t="s">
        <v>6984</v>
      </c>
      <c r="DTI36" t="s">
        <v>6984</v>
      </c>
      <c r="DTJ36" t="s">
        <v>6984</v>
      </c>
      <c r="DTK36" t="s">
        <v>6984</v>
      </c>
      <c r="DTL36" t="s">
        <v>6984</v>
      </c>
      <c r="DTM36" t="s">
        <v>6984</v>
      </c>
      <c r="DTN36" t="s">
        <v>6984</v>
      </c>
      <c r="DTO36" t="s">
        <v>6984</v>
      </c>
      <c r="DTP36" t="s">
        <v>6984</v>
      </c>
      <c r="DTQ36" t="s">
        <v>6984</v>
      </c>
      <c r="DTR36" t="s">
        <v>6984</v>
      </c>
      <c r="DTS36" t="s">
        <v>6984</v>
      </c>
      <c r="DTT36" t="s">
        <v>6984</v>
      </c>
      <c r="DTU36" t="s">
        <v>6984</v>
      </c>
      <c r="DTV36" t="s">
        <v>6984</v>
      </c>
      <c r="DTW36" t="s">
        <v>6984</v>
      </c>
      <c r="DTX36" t="s">
        <v>6984</v>
      </c>
      <c r="DTY36" t="s">
        <v>6984</v>
      </c>
      <c r="DTZ36" t="s">
        <v>6984</v>
      </c>
      <c r="DUA36" t="s">
        <v>6984</v>
      </c>
      <c r="DUB36" t="s">
        <v>6984</v>
      </c>
      <c r="DUC36" t="s">
        <v>6984</v>
      </c>
      <c r="DUD36" t="s">
        <v>6984</v>
      </c>
      <c r="DUE36" t="s">
        <v>6984</v>
      </c>
      <c r="DUF36" t="s">
        <v>6984</v>
      </c>
      <c r="DUG36" t="s">
        <v>6984</v>
      </c>
      <c r="DUH36" t="s">
        <v>6984</v>
      </c>
      <c r="DUI36" t="s">
        <v>6984</v>
      </c>
      <c r="DUJ36" t="s">
        <v>6984</v>
      </c>
      <c r="DUK36" t="s">
        <v>6984</v>
      </c>
      <c r="DUL36" t="s">
        <v>6984</v>
      </c>
      <c r="DUM36" t="s">
        <v>6984</v>
      </c>
      <c r="DUN36" t="s">
        <v>6984</v>
      </c>
      <c r="DUO36" t="s">
        <v>6984</v>
      </c>
      <c r="DUP36" t="s">
        <v>6984</v>
      </c>
      <c r="DUQ36" t="s">
        <v>6984</v>
      </c>
      <c r="DUR36" t="s">
        <v>6984</v>
      </c>
      <c r="DUS36" t="s">
        <v>6984</v>
      </c>
      <c r="DUT36" t="s">
        <v>6984</v>
      </c>
      <c r="DUU36" t="s">
        <v>6984</v>
      </c>
      <c r="DUV36" t="s">
        <v>6984</v>
      </c>
      <c r="DUW36" t="s">
        <v>6984</v>
      </c>
      <c r="DUX36" t="s">
        <v>6984</v>
      </c>
      <c r="DUY36" t="s">
        <v>6984</v>
      </c>
      <c r="DUZ36" t="s">
        <v>6984</v>
      </c>
      <c r="DVA36" t="s">
        <v>6984</v>
      </c>
      <c r="DVB36" t="s">
        <v>6984</v>
      </c>
      <c r="DVC36" t="s">
        <v>6984</v>
      </c>
      <c r="DVD36" t="s">
        <v>6984</v>
      </c>
      <c r="DVE36" t="s">
        <v>6984</v>
      </c>
      <c r="DVF36" t="s">
        <v>6984</v>
      </c>
      <c r="DVG36" t="s">
        <v>6984</v>
      </c>
      <c r="DVH36" t="s">
        <v>6984</v>
      </c>
      <c r="DVI36" t="s">
        <v>6984</v>
      </c>
      <c r="DVJ36" t="s">
        <v>6984</v>
      </c>
      <c r="DVK36" t="s">
        <v>6984</v>
      </c>
      <c r="DVL36" t="s">
        <v>6984</v>
      </c>
      <c r="DVM36" t="s">
        <v>6984</v>
      </c>
      <c r="DVN36" t="s">
        <v>6984</v>
      </c>
      <c r="DVO36" t="s">
        <v>6984</v>
      </c>
      <c r="DVP36" t="s">
        <v>6984</v>
      </c>
      <c r="DVQ36" t="s">
        <v>6984</v>
      </c>
      <c r="DVR36" t="s">
        <v>6984</v>
      </c>
      <c r="DVS36" t="s">
        <v>6984</v>
      </c>
      <c r="DVT36" t="s">
        <v>6984</v>
      </c>
      <c r="DVU36" t="s">
        <v>6984</v>
      </c>
      <c r="DVV36" t="s">
        <v>6984</v>
      </c>
      <c r="DVW36" t="s">
        <v>6984</v>
      </c>
      <c r="DVX36" t="s">
        <v>6984</v>
      </c>
      <c r="DVY36" t="s">
        <v>6984</v>
      </c>
      <c r="DVZ36" t="s">
        <v>6984</v>
      </c>
      <c r="DWA36" t="s">
        <v>6984</v>
      </c>
      <c r="DWB36" t="s">
        <v>6984</v>
      </c>
      <c r="DWC36" t="s">
        <v>6984</v>
      </c>
      <c r="DWD36" t="s">
        <v>6984</v>
      </c>
      <c r="DWE36" t="s">
        <v>6984</v>
      </c>
      <c r="DWF36" t="s">
        <v>6984</v>
      </c>
      <c r="DWG36" t="s">
        <v>6984</v>
      </c>
      <c r="DWH36" t="s">
        <v>6984</v>
      </c>
      <c r="DWI36" t="s">
        <v>6984</v>
      </c>
      <c r="DWJ36" t="s">
        <v>6984</v>
      </c>
      <c r="DWK36" t="s">
        <v>6984</v>
      </c>
      <c r="DWL36" t="s">
        <v>6984</v>
      </c>
      <c r="DWM36" t="s">
        <v>6984</v>
      </c>
      <c r="DWN36" t="s">
        <v>6984</v>
      </c>
      <c r="DWO36" t="s">
        <v>6984</v>
      </c>
      <c r="DWP36" t="s">
        <v>6984</v>
      </c>
      <c r="DWQ36" t="s">
        <v>6984</v>
      </c>
      <c r="DWR36" t="s">
        <v>6984</v>
      </c>
      <c r="DWS36" t="s">
        <v>6984</v>
      </c>
      <c r="DWT36" t="s">
        <v>6984</v>
      </c>
      <c r="DWU36" t="s">
        <v>6984</v>
      </c>
      <c r="DWV36" t="s">
        <v>6984</v>
      </c>
      <c r="DWW36" t="s">
        <v>6984</v>
      </c>
      <c r="DWX36" t="s">
        <v>6984</v>
      </c>
      <c r="DWY36" t="s">
        <v>6984</v>
      </c>
      <c r="DWZ36" t="s">
        <v>6984</v>
      </c>
      <c r="DXA36" t="s">
        <v>6984</v>
      </c>
      <c r="DXB36" t="s">
        <v>6984</v>
      </c>
      <c r="DXC36" t="s">
        <v>6984</v>
      </c>
      <c r="DXD36" t="s">
        <v>6984</v>
      </c>
      <c r="DXE36" t="s">
        <v>6984</v>
      </c>
      <c r="DXF36" t="s">
        <v>6984</v>
      </c>
      <c r="DXG36" t="s">
        <v>6984</v>
      </c>
      <c r="DXH36" t="s">
        <v>6984</v>
      </c>
      <c r="DXI36" t="s">
        <v>6984</v>
      </c>
      <c r="DXJ36" t="s">
        <v>6984</v>
      </c>
      <c r="DXK36" t="s">
        <v>6984</v>
      </c>
      <c r="DXL36" t="s">
        <v>6984</v>
      </c>
      <c r="DXM36" t="s">
        <v>6984</v>
      </c>
      <c r="DXN36" t="s">
        <v>6984</v>
      </c>
      <c r="DXO36" t="s">
        <v>6984</v>
      </c>
      <c r="DXP36" t="s">
        <v>6984</v>
      </c>
      <c r="DXQ36" t="s">
        <v>6984</v>
      </c>
      <c r="DXR36" t="s">
        <v>6984</v>
      </c>
      <c r="DXS36" t="s">
        <v>6984</v>
      </c>
      <c r="DXT36" t="s">
        <v>6984</v>
      </c>
      <c r="DXU36" t="s">
        <v>6984</v>
      </c>
      <c r="DXV36" t="s">
        <v>6984</v>
      </c>
      <c r="DXW36" t="s">
        <v>6984</v>
      </c>
      <c r="DXX36" t="s">
        <v>6984</v>
      </c>
      <c r="DXY36" t="s">
        <v>6984</v>
      </c>
      <c r="DXZ36" t="s">
        <v>6984</v>
      </c>
      <c r="DYA36" t="s">
        <v>6984</v>
      </c>
      <c r="DYB36" t="s">
        <v>6984</v>
      </c>
      <c r="DYC36" t="s">
        <v>6984</v>
      </c>
      <c r="DYD36" t="s">
        <v>6984</v>
      </c>
      <c r="DYE36" t="s">
        <v>6984</v>
      </c>
      <c r="DYF36" t="s">
        <v>6984</v>
      </c>
      <c r="DYG36" t="s">
        <v>6984</v>
      </c>
      <c r="DYH36" t="s">
        <v>6984</v>
      </c>
      <c r="DYI36" t="s">
        <v>6984</v>
      </c>
      <c r="DYJ36" t="s">
        <v>6984</v>
      </c>
      <c r="DYK36" t="s">
        <v>6984</v>
      </c>
      <c r="DYL36" t="s">
        <v>6984</v>
      </c>
      <c r="DYM36" t="s">
        <v>6984</v>
      </c>
      <c r="DYN36" t="s">
        <v>6984</v>
      </c>
      <c r="DYO36" t="s">
        <v>6984</v>
      </c>
      <c r="DYP36" t="s">
        <v>6984</v>
      </c>
      <c r="DYQ36" t="s">
        <v>6984</v>
      </c>
      <c r="DYR36" t="s">
        <v>6984</v>
      </c>
      <c r="DYS36" t="s">
        <v>6984</v>
      </c>
      <c r="DYT36" t="s">
        <v>6984</v>
      </c>
      <c r="DYU36" t="s">
        <v>6984</v>
      </c>
      <c r="DYV36" t="s">
        <v>6984</v>
      </c>
      <c r="DYW36" t="s">
        <v>6984</v>
      </c>
      <c r="DYX36" t="s">
        <v>6984</v>
      </c>
      <c r="DYY36" t="s">
        <v>6984</v>
      </c>
      <c r="DYZ36" t="s">
        <v>6984</v>
      </c>
      <c r="DZA36" t="s">
        <v>6984</v>
      </c>
      <c r="DZB36" t="s">
        <v>6984</v>
      </c>
      <c r="DZC36" t="s">
        <v>6984</v>
      </c>
      <c r="DZD36" t="s">
        <v>6984</v>
      </c>
      <c r="DZE36" t="s">
        <v>6984</v>
      </c>
      <c r="DZF36" t="s">
        <v>6984</v>
      </c>
      <c r="DZG36" t="s">
        <v>6984</v>
      </c>
      <c r="DZH36" t="s">
        <v>6984</v>
      </c>
      <c r="DZI36" t="s">
        <v>6984</v>
      </c>
      <c r="DZJ36" t="s">
        <v>6984</v>
      </c>
      <c r="DZK36" t="s">
        <v>6984</v>
      </c>
      <c r="DZL36" t="s">
        <v>6984</v>
      </c>
      <c r="DZM36" t="s">
        <v>6984</v>
      </c>
      <c r="DZN36" t="s">
        <v>6984</v>
      </c>
      <c r="DZO36" t="s">
        <v>6984</v>
      </c>
      <c r="DZP36" t="s">
        <v>6984</v>
      </c>
      <c r="DZQ36" t="s">
        <v>6984</v>
      </c>
      <c r="DZR36" t="s">
        <v>6984</v>
      </c>
      <c r="DZS36" t="s">
        <v>6984</v>
      </c>
      <c r="DZT36" t="s">
        <v>6984</v>
      </c>
      <c r="DZU36" t="s">
        <v>6984</v>
      </c>
      <c r="DZV36" t="s">
        <v>6984</v>
      </c>
      <c r="DZW36" t="s">
        <v>6984</v>
      </c>
      <c r="DZX36" t="s">
        <v>6984</v>
      </c>
      <c r="DZY36" t="s">
        <v>6984</v>
      </c>
      <c r="DZZ36" t="s">
        <v>6984</v>
      </c>
      <c r="EAA36" t="s">
        <v>6984</v>
      </c>
      <c r="EAB36" t="s">
        <v>6984</v>
      </c>
      <c r="EAC36" t="s">
        <v>6984</v>
      </c>
      <c r="EAD36" t="s">
        <v>6984</v>
      </c>
      <c r="EAE36" t="s">
        <v>6984</v>
      </c>
      <c r="EAF36" t="s">
        <v>6984</v>
      </c>
      <c r="EAG36" t="s">
        <v>6984</v>
      </c>
      <c r="EAH36" t="s">
        <v>6984</v>
      </c>
      <c r="EAI36" t="s">
        <v>6984</v>
      </c>
      <c r="EAJ36" t="s">
        <v>6984</v>
      </c>
      <c r="EAK36" t="s">
        <v>6984</v>
      </c>
      <c r="EAL36" t="s">
        <v>6984</v>
      </c>
      <c r="EAM36" t="s">
        <v>6984</v>
      </c>
      <c r="EAN36" t="s">
        <v>6984</v>
      </c>
      <c r="EAO36" t="s">
        <v>6984</v>
      </c>
      <c r="EAP36" t="s">
        <v>6984</v>
      </c>
      <c r="EAQ36" t="s">
        <v>6984</v>
      </c>
      <c r="EAR36" t="s">
        <v>6984</v>
      </c>
      <c r="EAS36" t="s">
        <v>6984</v>
      </c>
      <c r="EAT36" t="s">
        <v>6984</v>
      </c>
      <c r="EAU36" t="s">
        <v>6984</v>
      </c>
      <c r="EAV36" t="s">
        <v>6984</v>
      </c>
      <c r="EAW36" t="s">
        <v>6984</v>
      </c>
      <c r="EAX36" t="s">
        <v>6984</v>
      </c>
      <c r="EAY36" t="s">
        <v>6984</v>
      </c>
      <c r="EAZ36" t="s">
        <v>6984</v>
      </c>
      <c r="EBA36" t="s">
        <v>6984</v>
      </c>
      <c r="EBB36" t="s">
        <v>6984</v>
      </c>
      <c r="EBC36" t="s">
        <v>6984</v>
      </c>
      <c r="EBD36" t="s">
        <v>6984</v>
      </c>
      <c r="EBE36" t="s">
        <v>6984</v>
      </c>
      <c r="EBF36" t="s">
        <v>6984</v>
      </c>
      <c r="EBG36" t="s">
        <v>6984</v>
      </c>
      <c r="EBH36" t="s">
        <v>6984</v>
      </c>
      <c r="EBI36" t="s">
        <v>6984</v>
      </c>
      <c r="EBJ36" t="s">
        <v>6984</v>
      </c>
      <c r="EBK36" t="s">
        <v>6984</v>
      </c>
      <c r="EBL36" t="s">
        <v>6984</v>
      </c>
      <c r="EBM36" t="s">
        <v>6984</v>
      </c>
      <c r="EBN36" t="s">
        <v>6984</v>
      </c>
      <c r="EBO36" t="s">
        <v>6984</v>
      </c>
      <c r="EBP36" t="s">
        <v>6984</v>
      </c>
      <c r="EBQ36" t="s">
        <v>6984</v>
      </c>
      <c r="EBR36" t="s">
        <v>6984</v>
      </c>
      <c r="EBS36" t="s">
        <v>6984</v>
      </c>
      <c r="EBT36" t="s">
        <v>6984</v>
      </c>
      <c r="EBU36" t="s">
        <v>6984</v>
      </c>
      <c r="EBV36" t="s">
        <v>6984</v>
      </c>
      <c r="EBW36" t="s">
        <v>6984</v>
      </c>
      <c r="EBX36" t="s">
        <v>6984</v>
      </c>
      <c r="EBY36" t="s">
        <v>6984</v>
      </c>
      <c r="EBZ36" t="s">
        <v>6984</v>
      </c>
      <c r="ECA36" t="s">
        <v>6984</v>
      </c>
      <c r="ECB36" t="s">
        <v>6984</v>
      </c>
      <c r="ECC36" t="s">
        <v>6984</v>
      </c>
      <c r="ECD36" t="s">
        <v>6984</v>
      </c>
      <c r="ECE36" t="s">
        <v>6984</v>
      </c>
      <c r="ECF36" t="s">
        <v>6984</v>
      </c>
      <c r="ECG36" t="s">
        <v>6984</v>
      </c>
      <c r="ECH36" t="s">
        <v>6984</v>
      </c>
      <c r="ECI36" t="s">
        <v>6984</v>
      </c>
      <c r="ECJ36" t="s">
        <v>6984</v>
      </c>
      <c r="ECK36" t="s">
        <v>6984</v>
      </c>
      <c r="ECL36" t="s">
        <v>6984</v>
      </c>
      <c r="ECM36" t="s">
        <v>6984</v>
      </c>
      <c r="ECN36" t="s">
        <v>6984</v>
      </c>
      <c r="ECO36" t="s">
        <v>6984</v>
      </c>
      <c r="ECP36" t="s">
        <v>6984</v>
      </c>
      <c r="ECQ36" t="s">
        <v>6984</v>
      </c>
      <c r="ECR36" t="s">
        <v>6984</v>
      </c>
      <c r="ECS36" t="s">
        <v>6984</v>
      </c>
      <c r="ECT36" t="s">
        <v>6984</v>
      </c>
      <c r="ECU36" t="s">
        <v>6984</v>
      </c>
      <c r="ECV36" t="s">
        <v>6984</v>
      </c>
      <c r="ECW36" t="s">
        <v>6984</v>
      </c>
      <c r="ECX36" t="s">
        <v>6984</v>
      </c>
      <c r="ECY36" t="s">
        <v>6984</v>
      </c>
      <c r="ECZ36" t="s">
        <v>6984</v>
      </c>
      <c r="EDA36" t="s">
        <v>6984</v>
      </c>
      <c r="EDB36" t="s">
        <v>6984</v>
      </c>
      <c r="EDC36" t="s">
        <v>6984</v>
      </c>
      <c r="EDD36" t="s">
        <v>6984</v>
      </c>
      <c r="EDE36" t="s">
        <v>6984</v>
      </c>
      <c r="EDF36" t="s">
        <v>6984</v>
      </c>
      <c r="EDG36" t="s">
        <v>6984</v>
      </c>
      <c r="EDH36" t="s">
        <v>6984</v>
      </c>
      <c r="EDI36" t="s">
        <v>6984</v>
      </c>
      <c r="EDJ36" t="s">
        <v>6984</v>
      </c>
      <c r="EDK36" t="s">
        <v>6984</v>
      </c>
      <c r="EDL36" t="s">
        <v>6984</v>
      </c>
      <c r="EDM36" t="s">
        <v>6984</v>
      </c>
      <c r="EDN36" t="s">
        <v>6984</v>
      </c>
      <c r="EDO36" t="s">
        <v>6984</v>
      </c>
      <c r="EDP36" t="s">
        <v>6984</v>
      </c>
      <c r="EDQ36" t="s">
        <v>6984</v>
      </c>
      <c r="EDR36" t="s">
        <v>6984</v>
      </c>
      <c r="EDS36" t="s">
        <v>6984</v>
      </c>
      <c r="EDT36" t="s">
        <v>6984</v>
      </c>
      <c r="EDU36" t="s">
        <v>6984</v>
      </c>
      <c r="EDV36" t="s">
        <v>6984</v>
      </c>
      <c r="EDW36" t="s">
        <v>6984</v>
      </c>
      <c r="EDX36" t="s">
        <v>6984</v>
      </c>
      <c r="EDY36" t="s">
        <v>6984</v>
      </c>
      <c r="EDZ36" t="s">
        <v>6984</v>
      </c>
      <c r="EEA36" t="s">
        <v>6984</v>
      </c>
      <c r="EEB36" t="s">
        <v>6984</v>
      </c>
      <c r="EEC36" t="s">
        <v>6984</v>
      </c>
      <c r="EED36" t="s">
        <v>6984</v>
      </c>
      <c r="EEE36" t="s">
        <v>6984</v>
      </c>
      <c r="EEF36" t="s">
        <v>6984</v>
      </c>
      <c r="EEG36" t="s">
        <v>6984</v>
      </c>
      <c r="EEH36" t="s">
        <v>6984</v>
      </c>
      <c r="EEI36" t="s">
        <v>6984</v>
      </c>
      <c r="EEJ36" t="s">
        <v>6984</v>
      </c>
      <c r="EEK36" t="s">
        <v>6984</v>
      </c>
      <c r="EEL36" t="s">
        <v>6984</v>
      </c>
      <c r="EEM36" t="s">
        <v>6984</v>
      </c>
      <c r="EEN36" t="s">
        <v>6984</v>
      </c>
      <c r="EEO36" t="s">
        <v>6984</v>
      </c>
      <c r="EEP36" t="s">
        <v>6984</v>
      </c>
      <c r="EEQ36" t="s">
        <v>6984</v>
      </c>
      <c r="EER36" t="s">
        <v>6984</v>
      </c>
      <c r="EES36" t="s">
        <v>6984</v>
      </c>
      <c r="EET36" t="s">
        <v>6984</v>
      </c>
      <c r="EEU36" t="s">
        <v>6984</v>
      </c>
      <c r="EEV36" t="s">
        <v>6984</v>
      </c>
      <c r="EEW36" t="s">
        <v>6984</v>
      </c>
      <c r="EEX36" t="s">
        <v>6984</v>
      </c>
      <c r="EEY36" t="s">
        <v>6984</v>
      </c>
      <c r="EEZ36" t="s">
        <v>6984</v>
      </c>
      <c r="EFA36" t="s">
        <v>6984</v>
      </c>
      <c r="EFB36" t="s">
        <v>6984</v>
      </c>
      <c r="EFC36" t="s">
        <v>6984</v>
      </c>
      <c r="EFD36" t="s">
        <v>6984</v>
      </c>
      <c r="EFE36" t="s">
        <v>6984</v>
      </c>
      <c r="EFF36" t="s">
        <v>6984</v>
      </c>
      <c r="EFG36" t="s">
        <v>6984</v>
      </c>
      <c r="EFH36" t="s">
        <v>6984</v>
      </c>
      <c r="EFI36" t="s">
        <v>6984</v>
      </c>
      <c r="EFJ36" t="s">
        <v>6984</v>
      </c>
      <c r="EFK36" t="s">
        <v>6984</v>
      </c>
      <c r="EFL36" t="s">
        <v>6984</v>
      </c>
      <c r="EFM36" t="s">
        <v>6984</v>
      </c>
      <c r="EFN36" t="s">
        <v>6984</v>
      </c>
      <c r="EFO36" t="s">
        <v>6984</v>
      </c>
      <c r="EFP36" t="s">
        <v>6984</v>
      </c>
      <c r="EFQ36" t="s">
        <v>6984</v>
      </c>
      <c r="EFR36" t="s">
        <v>6984</v>
      </c>
      <c r="EFS36" t="s">
        <v>6984</v>
      </c>
      <c r="EFT36" t="s">
        <v>6984</v>
      </c>
      <c r="EFU36" t="s">
        <v>6984</v>
      </c>
      <c r="EFV36" t="s">
        <v>6984</v>
      </c>
      <c r="EFW36" t="s">
        <v>6984</v>
      </c>
      <c r="EFX36" t="s">
        <v>6984</v>
      </c>
      <c r="EFY36" t="s">
        <v>6984</v>
      </c>
      <c r="EFZ36" t="s">
        <v>6984</v>
      </c>
      <c r="EGA36" t="s">
        <v>6984</v>
      </c>
      <c r="EGB36" t="s">
        <v>6984</v>
      </c>
      <c r="EGC36" t="s">
        <v>6984</v>
      </c>
      <c r="EGD36" t="s">
        <v>6984</v>
      </c>
      <c r="EGE36" t="s">
        <v>6984</v>
      </c>
      <c r="EGF36" t="s">
        <v>6984</v>
      </c>
      <c r="EGG36" t="s">
        <v>6984</v>
      </c>
      <c r="EGH36" t="s">
        <v>6984</v>
      </c>
      <c r="EGI36" t="s">
        <v>6984</v>
      </c>
      <c r="EGJ36" t="s">
        <v>6984</v>
      </c>
      <c r="EGK36" t="s">
        <v>6984</v>
      </c>
      <c r="EGL36" t="s">
        <v>6984</v>
      </c>
      <c r="EGM36" t="s">
        <v>6984</v>
      </c>
      <c r="EGN36" t="s">
        <v>6984</v>
      </c>
      <c r="EGO36" t="s">
        <v>6984</v>
      </c>
      <c r="EGP36" t="s">
        <v>6984</v>
      </c>
      <c r="EGQ36" t="s">
        <v>6984</v>
      </c>
      <c r="EGR36" t="s">
        <v>6984</v>
      </c>
      <c r="EGS36" t="s">
        <v>6984</v>
      </c>
      <c r="EGT36" t="s">
        <v>6984</v>
      </c>
      <c r="EGU36" t="s">
        <v>6984</v>
      </c>
      <c r="EGV36" t="s">
        <v>6984</v>
      </c>
      <c r="EGW36" t="s">
        <v>6984</v>
      </c>
      <c r="EGX36" t="s">
        <v>6984</v>
      </c>
      <c r="EGY36" t="s">
        <v>6984</v>
      </c>
      <c r="EGZ36" t="s">
        <v>6984</v>
      </c>
      <c r="EHA36" t="s">
        <v>6984</v>
      </c>
      <c r="EHB36" t="s">
        <v>6984</v>
      </c>
      <c r="EHC36" t="s">
        <v>6984</v>
      </c>
      <c r="EHD36" t="s">
        <v>6984</v>
      </c>
      <c r="EHE36" t="s">
        <v>6984</v>
      </c>
      <c r="EHF36" t="s">
        <v>6984</v>
      </c>
      <c r="EHG36" t="s">
        <v>6984</v>
      </c>
      <c r="EHH36" t="s">
        <v>6984</v>
      </c>
      <c r="EHI36" t="s">
        <v>6984</v>
      </c>
      <c r="EHJ36" t="s">
        <v>6984</v>
      </c>
      <c r="EHK36" t="s">
        <v>6984</v>
      </c>
      <c r="EHL36" t="s">
        <v>6984</v>
      </c>
      <c r="EHM36" t="s">
        <v>6984</v>
      </c>
      <c r="EHN36" t="s">
        <v>6984</v>
      </c>
      <c r="EHO36" t="s">
        <v>6984</v>
      </c>
      <c r="EHP36" t="s">
        <v>6984</v>
      </c>
      <c r="EHQ36" t="s">
        <v>6984</v>
      </c>
      <c r="EHR36" t="s">
        <v>6984</v>
      </c>
      <c r="EHS36" t="s">
        <v>6984</v>
      </c>
      <c r="EHT36" t="s">
        <v>6984</v>
      </c>
      <c r="EHU36" t="s">
        <v>6984</v>
      </c>
      <c r="EHV36" t="s">
        <v>6984</v>
      </c>
      <c r="EHW36" t="s">
        <v>6984</v>
      </c>
      <c r="EHX36" t="s">
        <v>6984</v>
      </c>
      <c r="EHY36" t="s">
        <v>6984</v>
      </c>
      <c r="EHZ36" t="s">
        <v>6984</v>
      </c>
      <c r="EIA36" t="s">
        <v>6984</v>
      </c>
      <c r="EIB36" t="s">
        <v>6984</v>
      </c>
      <c r="EIC36" t="s">
        <v>6984</v>
      </c>
      <c r="EID36" t="s">
        <v>6984</v>
      </c>
      <c r="EIE36" t="s">
        <v>6984</v>
      </c>
      <c r="EIF36" t="s">
        <v>6984</v>
      </c>
      <c r="EIG36" t="s">
        <v>6984</v>
      </c>
      <c r="EIH36" t="s">
        <v>6984</v>
      </c>
      <c r="EII36" t="s">
        <v>6984</v>
      </c>
      <c r="EIJ36" t="s">
        <v>6984</v>
      </c>
      <c r="EIK36" t="s">
        <v>6984</v>
      </c>
      <c r="EIL36" t="s">
        <v>6984</v>
      </c>
      <c r="EIM36" t="s">
        <v>6984</v>
      </c>
      <c r="EIN36" t="s">
        <v>6984</v>
      </c>
      <c r="EIO36" t="s">
        <v>6984</v>
      </c>
      <c r="EIP36" t="s">
        <v>6984</v>
      </c>
      <c r="EIQ36" t="s">
        <v>6984</v>
      </c>
      <c r="EIR36" t="s">
        <v>6984</v>
      </c>
      <c r="EIS36" t="s">
        <v>6984</v>
      </c>
      <c r="EIT36" t="s">
        <v>6984</v>
      </c>
      <c r="EIU36" t="s">
        <v>6984</v>
      </c>
      <c r="EIV36" t="s">
        <v>6984</v>
      </c>
      <c r="EIW36" t="s">
        <v>6984</v>
      </c>
      <c r="EIX36" t="s">
        <v>6984</v>
      </c>
      <c r="EIY36" t="s">
        <v>6984</v>
      </c>
      <c r="EIZ36" t="s">
        <v>6984</v>
      </c>
      <c r="EJA36" t="s">
        <v>6984</v>
      </c>
      <c r="EJB36" t="s">
        <v>6984</v>
      </c>
      <c r="EJC36" t="s">
        <v>6984</v>
      </c>
      <c r="EJD36" t="s">
        <v>6984</v>
      </c>
      <c r="EJE36" t="s">
        <v>6984</v>
      </c>
      <c r="EJF36" t="s">
        <v>6984</v>
      </c>
      <c r="EJG36" t="s">
        <v>6984</v>
      </c>
      <c r="EJH36" t="s">
        <v>6984</v>
      </c>
      <c r="EJI36" t="s">
        <v>6984</v>
      </c>
      <c r="EJJ36" t="s">
        <v>6984</v>
      </c>
      <c r="EJK36" t="s">
        <v>6984</v>
      </c>
      <c r="EJL36" t="s">
        <v>6984</v>
      </c>
      <c r="EJM36" t="s">
        <v>6984</v>
      </c>
      <c r="EJN36" t="s">
        <v>6984</v>
      </c>
      <c r="EJO36" t="s">
        <v>6984</v>
      </c>
      <c r="EJP36" t="s">
        <v>6984</v>
      </c>
      <c r="EJQ36" t="s">
        <v>6984</v>
      </c>
      <c r="EJR36" t="s">
        <v>6984</v>
      </c>
      <c r="EJS36" t="s">
        <v>6984</v>
      </c>
      <c r="EJT36" t="s">
        <v>6984</v>
      </c>
      <c r="EJU36" t="s">
        <v>6984</v>
      </c>
      <c r="EJV36" t="s">
        <v>6984</v>
      </c>
      <c r="EJW36" t="s">
        <v>6984</v>
      </c>
      <c r="EJX36" t="s">
        <v>6984</v>
      </c>
      <c r="EJY36" t="s">
        <v>6984</v>
      </c>
      <c r="EJZ36" t="s">
        <v>6984</v>
      </c>
      <c r="EKA36" t="s">
        <v>6984</v>
      </c>
      <c r="EKB36" t="s">
        <v>6984</v>
      </c>
      <c r="EKC36" t="s">
        <v>6984</v>
      </c>
      <c r="EKD36" t="s">
        <v>6984</v>
      </c>
      <c r="EKE36" t="s">
        <v>6984</v>
      </c>
      <c r="EKF36" t="s">
        <v>6984</v>
      </c>
      <c r="EKG36" t="s">
        <v>6984</v>
      </c>
      <c r="EKH36" t="s">
        <v>6984</v>
      </c>
      <c r="EKI36" t="s">
        <v>6984</v>
      </c>
      <c r="EKJ36" t="s">
        <v>6984</v>
      </c>
      <c r="EKK36" t="s">
        <v>6984</v>
      </c>
      <c r="EKL36" t="s">
        <v>6984</v>
      </c>
      <c r="EKM36" t="s">
        <v>6984</v>
      </c>
      <c r="EKN36" t="s">
        <v>6984</v>
      </c>
      <c r="EKO36" t="s">
        <v>6984</v>
      </c>
      <c r="EKP36" t="s">
        <v>6984</v>
      </c>
      <c r="EKQ36" t="s">
        <v>6984</v>
      </c>
      <c r="EKR36" t="s">
        <v>6984</v>
      </c>
      <c r="EKS36" t="s">
        <v>6984</v>
      </c>
      <c r="EKT36" t="s">
        <v>6984</v>
      </c>
      <c r="EKU36" t="s">
        <v>6984</v>
      </c>
      <c r="EKV36" t="s">
        <v>6984</v>
      </c>
      <c r="EKW36" t="s">
        <v>6984</v>
      </c>
      <c r="EKX36" t="s">
        <v>6984</v>
      </c>
      <c r="EKY36" t="s">
        <v>6984</v>
      </c>
      <c r="EKZ36" t="s">
        <v>6984</v>
      </c>
      <c r="ELA36" t="s">
        <v>6984</v>
      </c>
      <c r="ELB36" t="s">
        <v>6984</v>
      </c>
      <c r="ELC36" t="s">
        <v>6984</v>
      </c>
      <c r="ELD36" t="s">
        <v>6984</v>
      </c>
      <c r="ELE36" t="s">
        <v>6984</v>
      </c>
      <c r="ELF36" t="s">
        <v>6984</v>
      </c>
      <c r="ELG36" t="s">
        <v>6984</v>
      </c>
      <c r="ELH36" t="s">
        <v>6984</v>
      </c>
      <c r="ELI36" t="s">
        <v>6984</v>
      </c>
      <c r="ELJ36" t="s">
        <v>6984</v>
      </c>
      <c r="ELK36" t="s">
        <v>6984</v>
      </c>
      <c r="ELL36" t="s">
        <v>6984</v>
      </c>
      <c r="ELM36" t="s">
        <v>6984</v>
      </c>
      <c r="ELN36" t="s">
        <v>6984</v>
      </c>
      <c r="ELO36" t="s">
        <v>6984</v>
      </c>
      <c r="ELP36" t="s">
        <v>6984</v>
      </c>
      <c r="ELQ36" t="s">
        <v>6984</v>
      </c>
      <c r="ELR36" t="s">
        <v>6984</v>
      </c>
      <c r="ELS36" t="s">
        <v>6984</v>
      </c>
      <c r="ELT36" t="s">
        <v>6984</v>
      </c>
      <c r="ELU36" t="s">
        <v>6984</v>
      </c>
      <c r="ELV36" t="s">
        <v>6984</v>
      </c>
      <c r="ELW36" t="s">
        <v>6984</v>
      </c>
      <c r="ELX36" t="s">
        <v>6984</v>
      </c>
      <c r="ELY36" t="s">
        <v>6984</v>
      </c>
      <c r="ELZ36" t="s">
        <v>6984</v>
      </c>
      <c r="EMA36" t="s">
        <v>6984</v>
      </c>
      <c r="EMB36" t="s">
        <v>6984</v>
      </c>
      <c r="EMC36" t="s">
        <v>6984</v>
      </c>
      <c r="EMD36" t="s">
        <v>6984</v>
      </c>
      <c r="EME36" t="s">
        <v>6984</v>
      </c>
      <c r="EMF36" t="s">
        <v>6984</v>
      </c>
      <c r="EMG36" t="s">
        <v>6984</v>
      </c>
      <c r="EMH36" t="s">
        <v>6984</v>
      </c>
      <c r="EMI36" t="s">
        <v>6984</v>
      </c>
      <c r="EMJ36" t="s">
        <v>6984</v>
      </c>
      <c r="EMK36" t="s">
        <v>6984</v>
      </c>
      <c r="EML36" t="s">
        <v>6984</v>
      </c>
      <c r="EMM36" t="s">
        <v>6984</v>
      </c>
      <c r="EMN36" t="s">
        <v>6984</v>
      </c>
      <c r="EMO36" t="s">
        <v>6984</v>
      </c>
      <c r="EMP36" t="s">
        <v>6984</v>
      </c>
      <c r="EMQ36" t="s">
        <v>6984</v>
      </c>
      <c r="EMR36" t="s">
        <v>6984</v>
      </c>
      <c r="EMS36" t="s">
        <v>6984</v>
      </c>
      <c r="EMT36" t="s">
        <v>6984</v>
      </c>
      <c r="EMU36" t="s">
        <v>6984</v>
      </c>
      <c r="EMV36" t="s">
        <v>6984</v>
      </c>
      <c r="EMW36" t="s">
        <v>6984</v>
      </c>
      <c r="EMX36" t="s">
        <v>6984</v>
      </c>
      <c r="EMY36" t="s">
        <v>6984</v>
      </c>
      <c r="EMZ36" t="s">
        <v>6984</v>
      </c>
      <c r="ENA36" t="s">
        <v>6984</v>
      </c>
      <c r="ENB36" t="s">
        <v>6984</v>
      </c>
      <c r="ENC36" t="s">
        <v>6984</v>
      </c>
      <c r="END36" t="s">
        <v>6984</v>
      </c>
      <c r="ENE36" t="s">
        <v>6984</v>
      </c>
      <c r="ENF36" t="s">
        <v>6984</v>
      </c>
      <c r="ENG36" t="s">
        <v>6984</v>
      </c>
      <c r="ENH36" t="s">
        <v>6984</v>
      </c>
      <c r="ENI36" t="s">
        <v>6984</v>
      </c>
      <c r="ENJ36" t="s">
        <v>6984</v>
      </c>
      <c r="ENK36" t="s">
        <v>6984</v>
      </c>
      <c r="ENL36" t="s">
        <v>6984</v>
      </c>
      <c r="ENM36" t="s">
        <v>6984</v>
      </c>
      <c r="ENN36" t="s">
        <v>6984</v>
      </c>
      <c r="ENO36" t="s">
        <v>6984</v>
      </c>
      <c r="ENP36" t="s">
        <v>6984</v>
      </c>
      <c r="ENQ36" t="s">
        <v>6984</v>
      </c>
      <c r="ENR36" t="s">
        <v>6984</v>
      </c>
      <c r="ENS36" t="s">
        <v>6984</v>
      </c>
      <c r="ENT36" t="s">
        <v>6984</v>
      </c>
      <c r="ENU36" t="s">
        <v>6984</v>
      </c>
      <c r="ENV36" t="s">
        <v>6984</v>
      </c>
      <c r="ENW36" t="s">
        <v>6984</v>
      </c>
      <c r="ENX36" t="s">
        <v>6984</v>
      </c>
      <c r="ENY36" t="s">
        <v>6984</v>
      </c>
      <c r="ENZ36" t="s">
        <v>6984</v>
      </c>
      <c r="EOA36" t="s">
        <v>6984</v>
      </c>
      <c r="EOB36" t="s">
        <v>6984</v>
      </c>
      <c r="EOC36" t="s">
        <v>6984</v>
      </c>
      <c r="EOD36" t="s">
        <v>6984</v>
      </c>
      <c r="EOE36" t="s">
        <v>6984</v>
      </c>
      <c r="EOF36" t="s">
        <v>6984</v>
      </c>
      <c r="EOG36" t="s">
        <v>6984</v>
      </c>
      <c r="EOH36" t="s">
        <v>6984</v>
      </c>
      <c r="EOI36" t="s">
        <v>6984</v>
      </c>
      <c r="EOJ36" t="s">
        <v>6984</v>
      </c>
      <c r="EOK36" t="s">
        <v>6984</v>
      </c>
      <c r="EOL36" t="s">
        <v>6984</v>
      </c>
      <c r="EOM36" t="s">
        <v>6984</v>
      </c>
      <c r="EON36" t="s">
        <v>6984</v>
      </c>
      <c r="EOO36" t="s">
        <v>6984</v>
      </c>
      <c r="EOP36" t="s">
        <v>6984</v>
      </c>
      <c r="EOQ36" t="s">
        <v>6984</v>
      </c>
      <c r="EOR36" t="s">
        <v>6984</v>
      </c>
      <c r="EOS36" t="s">
        <v>6984</v>
      </c>
      <c r="EOT36" t="s">
        <v>6984</v>
      </c>
      <c r="EOU36" t="s">
        <v>6984</v>
      </c>
      <c r="EOV36" t="s">
        <v>6984</v>
      </c>
      <c r="EOW36" t="s">
        <v>6984</v>
      </c>
      <c r="EOX36" t="s">
        <v>6984</v>
      </c>
      <c r="EOY36" t="s">
        <v>6984</v>
      </c>
      <c r="EOZ36" t="s">
        <v>6984</v>
      </c>
      <c r="EPA36" t="s">
        <v>6984</v>
      </c>
      <c r="EPB36" t="s">
        <v>6984</v>
      </c>
      <c r="EPC36" t="s">
        <v>6984</v>
      </c>
      <c r="EPD36" t="s">
        <v>6984</v>
      </c>
      <c r="EPE36" t="s">
        <v>6984</v>
      </c>
      <c r="EPF36" t="s">
        <v>6984</v>
      </c>
      <c r="EPG36" t="s">
        <v>6984</v>
      </c>
      <c r="EPH36" t="s">
        <v>6984</v>
      </c>
      <c r="EPI36" t="s">
        <v>6984</v>
      </c>
      <c r="EPJ36" t="s">
        <v>6984</v>
      </c>
      <c r="EPK36" t="s">
        <v>6984</v>
      </c>
      <c r="EPL36" t="s">
        <v>6984</v>
      </c>
      <c r="EPM36" t="s">
        <v>6984</v>
      </c>
      <c r="EPN36" t="s">
        <v>6984</v>
      </c>
      <c r="EPO36" t="s">
        <v>6984</v>
      </c>
      <c r="EPP36" t="s">
        <v>6984</v>
      </c>
      <c r="EPQ36" t="s">
        <v>6984</v>
      </c>
      <c r="EPR36" t="s">
        <v>6984</v>
      </c>
      <c r="EPS36" t="s">
        <v>6984</v>
      </c>
      <c r="EPT36" t="s">
        <v>6984</v>
      </c>
      <c r="EPU36" t="s">
        <v>6984</v>
      </c>
      <c r="EPV36" t="s">
        <v>6984</v>
      </c>
      <c r="EPW36" t="s">
        <v>6984</v>
      </c>
      <c r="EPX36" t="s">
        <v>6984</v>
      </c>
      <c r="EPY36" t="s">
        <v>6984</v>
      </c>
      <c r="EPZ36" t="s">
        <v>6984</v>
      </c>
      <c r="EQA36" t="s">
        <v>6984</v>
      </c>
      <c r="EQB36" t="s">
        <v>6984</v>
      </c>
      <c r="EQC36" t="s">
        <v>6984</v>
      </c>
      <c r="EQD36" t="s">
        <v>6984</v>
      </c>
      <c r="EQE36" t="s">
        <v>6984</v>
      </c>
      <c r="EQF36" t="s">
        <v>6984</v>
      </c>
      <c r="EQG36" t="s">
        <v>6984</v>
      </c>
      <c r="EQH36" t="s">
        <v>6984</v>
      </c>
      <c r="EQI36" t="s">
        <v>6984</v>
      </c>
      <c r="EQJ36" t="s">
        <v>6984</v>
      </c>
      <c r="EQK36" t="s">
        <v>6984</v>
      </c>
      <c r="EQL36" t="s">
        <v>6984</v>
      </c>
      <c r="EQM36" t="s">
        <v>6984</v>
      </c>
      <c r="EQN36" t="s">
        <v>6984</v>
      </c>
      <c r="EQO36" t="s">
        <v>6984</v>
      </c>
      <c r="EQP36" t="s">
        <v>6984</v>
      </c>
      <c r="EQQ36" t="s">
        <v>6984</v>
      </c>
      <c r="EQR36" t="s">
        <v>6984</v>
      </c>
      <c r="EQS36" t="s">
        <v>6984</v>
      </c>
      <c r="EQT36" t="s">
        <v>6984</v>
      </c>
      <c r="EQU36" t="s">
        <v>6984</v>
      </c>
      <c r="EQV36" t="s">
        <v>6984</v>
      </c>
      <c r="EQW36" t="s">
        <v>6984</v>
      </c>
      <c r="EQX36" t="s">
        <v>6984</v>
      </c>
      <c r="EQY36" t="s">
        <v>6984</v>
      </c>
      <c r="EQZ36" t="s">
        <v>6984</v>
      </c>
      <c r="ERA36" t="s">
        <v>6984</v>
      </c>
      <c r="ERB36" t="s">
        <v>6984</v>
      </c>
      <c r="ERC36" t="s">
        <v>6984</v>
      </c>
      <c r="ERD36" t="s">
        <v>6984</v>
      </c>
      <c r="ERE36" t="s">
        <v>6984</v>
      </c>
      <c r="ERF36" t="s">
        <v>6984</v>
      </c>
      <c r="ERG36" t="s">
        <v>6984</v>
      </c>
      <c r="ERH36" t="s">
        <v>6984</v>
      </c>
      <c r="ERI36" t="s">
        <v>6984</v>
      </c>
      <c r="ERJ36" t="s">
        <v>6984</v>
      </c>
      <c r="ERK36" t="s">
        <v>6984</v>
      </c>
      <c r="ERL36" t="s">
        <v>6984</v>
      </c>
      <c r="ERM36" t="s">
        <v>6984</v>
      </c>
      <c r="ERN36" t="s">
        <v>6984</v>
      </c>
      <c r="ERO36" t="s">
        <v>6984</v>
      </c>
      <c r="ERP36" t="s">
        <v>6984</v>
      </c>
      <c r="ERQ36" t="s">
        <v>6984</v>
      </c>
      <c r="ERR36" t="s">
        <v>6984</v>
      </c>
      <c r="ERS36" t="s">
        <v>6984</v>
      </c>
      <c r="ERT36" t="s">
        <v>6984</v>
      </c>
      <c r="ERU36" t="s">
        <v>6984</v>
      </c>
      <c r="ERV36" t="s">
        <v>6984</v>
      </c>
      <c r="ERW36" t="s">
        <v>6984</v>
      </c>
      <c r="ERX36" t="s">
        <v>6984</v>
      </c>
      <c r="ERY36" t="s">
        <v>6984</v>
      </c>
      <c r="ERZ36" t="s">
        <v>6984</v>
      </c>
      <c r="ESA36" t="s">
        <v>6984</v>
      </c>
      <c r="ESB36" t="s">
        <v>6984</v>
      </c>
      <c r="ESC36" t="s">
        <v>6984</v>
      </c>
      <c r="ESD36" t="s">
        <v>6984</v>
      </c>
      <c r="ESE36" t="s">
        <v>6984</v>
      </c>
      <c r="ESF36" t="s">
        <v>6984</v>
      </c>
      <c r="ESG36" t="s">
        <v>6984</v>
      </c>
      <c r="ESH36" t="s">
        <v>6984</v>
      </c>
      <c r="ESI36" t="s">
        <v>6984</v>
      </c>
      <c r="ESJ36" t="s">
        <v>6984</v>
      </c>
      <c r="ESK36" t="s">
        <v>6984</v>
      </c>
      <c r="ESL36" t="s">
        <v>6984</v>
      </c>
      <c r="ESM36" t="s">
        <v>6984</v>
      </c>
      <c r="ESN36" t="s">
        <v>6984</v>
      </c>
      <c r="ESO36" t="s">
        <v>6984</v>
      </c>
      <c r="ESP36" t="s">
        <v>6984</v>
      </c>
      <c r="ESQ36" t="s">
        <v>6984</v>
      </c>
      <c r="ESR36" t="s">
        <v>6984</v>
      </c>
      <c r="ESS36" t="s">
        <v>6984</v>
      </c>
      <c r="EST36" t="s">
        <v>6984</v>
      </c>
      <c r="ESU36" t="s">
        <v>6984</v>
      </c>
      <c r="ESV36" t="s">
        <v>6984</v>
      </c>
      <c r="ESW36" t="s">
        <v>6984</v>
      </c>
      <c r="ESX36" t="s">
        <v>6984</v>
      </c>
      <c r="ESY36" t="s">
        <v>6984</v>
      </c>
      <c r="ESZ36" t="s">
        <v>6984</v>
      </c>
      <c r="ETA36" t="s">
        <v>6984</v>
      </c>
      <c r="ETB36" t="s">
        <v>6984</v>
      </c>
      <c r="ETC36" t="s">
        <v>6984</v>
      </c>
      <c r="ETD36" t="s">
        <v>6984</v>
      </c>
      <c r="ETE36" t="s">
        <v>6984</v>
      </c>
      <c r="ETF36" t="s">
        <v>6984</v>
      </c>
      <c r="ETG36" t="s">
        <v>6984</v>
      </c>
      <c r="ETH36" t="s">
        <v>6984</v>
      </c>
      <c r="ETI36" t="s">
        <v>6984</v>
      </c>
      <c r="ETJ36" t="s">
        <v>6984</v>
      </c>
      <c r="ETK36" t="s">
        <v>6984</v>
      </c>
      <c r="ETL36" t="s">
        <v>6984</v>
      </c>
      <c r="ETM36" t="s">
        <v>6984</v>
      </c>
      <c r="ETN36" t="s">
        <v>6984</v>
      </c>
      <c r="ETO36" t="s">
        <v>6984</v>
      </c>
      <c r="ETP36" t="s">
        <v>6984</v>
      </c>
      <c r="ETQ36" t="s">
        <v>6984</v>
      </c>
      <c r="ETR36" t="s">
        <v>6984</v>
      </c>
      <c r="ETS36" t="s">
        <v>6984</v>
      </c>
      <c r="ETT36" t="s">
        <v>6984</v>
      </c>
      <c r="ETU36" t="s">
        <v>6984</v>
      </c>
      <c r="ETV36" t="s">
        <v>6984</v>
      </c>
      <c r="ETW36" t="s">
        <v>6984</v>
      </c>
      <c r="ETX36" t="s">
        <v>6984</v>
      </c>
      <c r="ETY36" t="s">
        <v>6984</v>
      </c>
      <c r="ETZ36" t="s">
        <v>6984</v>
      </c>
      <c r="EUA36" t="s">
        <v>6984</v>
      </c>
      <c r="EUB36" t="s">
        <v>6984</v>
      </c>
      <c r="EUC36" t="s">
        <v>6984</v>
      </c>
      <c r="EUD36" t="s">
        <v>6984</v>
      </c>
      <c r="EUE36" t="s">
        <v>6984</v>
      </c>
      <c r="EUF36" t="s">
        <v>6984</v>
      </c>
      <c r="EUG36" t="s">
        <v>6984</v>
      </c>
      <c r="EUH36" t="s">
        <v>6984</v>
      </c>
      <c r="EUI36" t="s">
        <v>6984</v>
      </c>
      <c r="EUJ36" t="s">
        <v>6984</v>
      </c>
      <c r="EUK36" t="s">
        <v>6984</v>
      </c>
      <c r="EUL36" t="s">
        <v>6984</v>
      </c>
      <c r="EUM36" t="s">
        <v>6984</v>
      </c>
      <c r="EUN36" t="s">
        <v>6984</v>
      </c>
      <c r="EUO36" t="s">
        <v>6984</v>
      </c>
      <c r="EUP36" t="s">
        <v>6984</v>
      </c>
      <c r="EUQ36" t="s">
        <v>6984</v>
      </c>
      <c r="EUR36" t="s">
        <v>6984</v>
      </c>
      <c r="EUS36" t="s">
        <v>6984</v>
      </c>
      <c r="EUT36" t="s">
        <v>6984</v>
      </c>
      <c r="EUU36" t="s">
        <v>6984</v>
      </c>
      <c r="EUV36" t="s">
        <v>6984</v>
      </c>
      <c r="EUW36" t="s">
        <v>6984</v>
      </c>
      <c r="EUX36" t="s">
        <v>6984</v>
      </c>
      <c r="EUY36" t="s">
        <v>6984</v>
      </c>
      <c r="EUZ36" t="s">
        <v>6984</v>
      </c>
      <c r="EVA36" t="s">
        <v>6984</v>
      </c>
      <c r="EVB36" t="s">
        <v>6984</v>
      </c>
      <c r="EVC36" t="s">
        <v>6984</v>
      </c>
      <c r="EVD36" t="s">
        <v>6984</v>
      </c>
      <c r="EVE36" t="s">
        <v>6984</v>
      </c>
      <c r="EVF36" t="s">
        <v>6984</v>
      </c>
      <c r="EVG36" t="s">
        <v>6984</v>
      </c>
      <c r="EVH36" t="s">
        <v>6984</v>
      </c>
      <c r="EVI36" t="s">
        <v>6984</v>
      </c>
      <c r="EVJ36" t="s">
        <v>6984</v>
      </c>
      <c r="EVK36" t="s">
        <v>6984</v>
      </c>
      <c r="EVL36" t="s">
        <v>6984</v>
      </c>
      <c r="EVM36" t="s">
        <v>6984</v>
      </c>
      <c r="EVN36" t="s">
        <v>6984</v>
      </c>
      <c r="EVO36" t="s">
        <v>6984</v>
      </c>
      <c r="EVP36" t="s">
        <v>6984</v>
      </c>
      <c r="EVQ36" t="s">
        <v>6984</v>
      </c>
      <c r="EVR36" t="s">
        <v>6984</v>
      </c>
      <c r="EVS36" t="s">
        <v>6984</v>
      </c>
      <c r="EVT36" t="s">
        <v>6984</v>
      </c>
      <c r="EVU36" t="s">
        <v>6984</v>
      </c>
      <c r="EVV36" t="s">
        <v>6984</v>
      </c>
      <c r="EVW36" t="s">
        <v>6984</v>
      </c>
      <c r="EVX36" t="s">
        <v>6984</v>
      </c>
      <c r="EVY36" t="s">
        <v>6984</v>
      </c>
      <c r="EVZ36" t="s">
        <v>6984</v>
      </c>
      <c r="EWA36" t="s">
        <v>6984</v>
      </c>
      <c r="EWB36" t="s">
        <v>6984</v>
      </c>
      <c r="EWC36" t="s">
        <v>6984</v>
      </c>
      <c r="EWD36" t="s">
        <v>6984</v>
      </c>
      <c r="EWE36" t="s">
        <v>6984</v>
      </c>
      <c r="EWF36" t="s">
        <v>6984</v>
      </c>
      <c r="EWG36" t="s">
        <v>6984</v>
      </c>
      <c r="EWH36" t="s">
        <v>6984</v>
      </c>
      <c r="EWI36" t="s">
        <v>6984</v>
      </c>
      <c r="EWJ36" t="s">
        <v>6984</v>
      </c>
      <c r="EWK36" t="s">
        <v>6984</v>
      </c>
      <c r="EWL36" t="s">
        <v>6984</v>
      </c>
      <c r="EWM36" t="s">
        <v>6984</v>
      </c>
      <c r="EWN36" t="s">
        <v>6984</v>
      </c>
      <c r="EWO36" t="s">
        <v>6984</v>
      </c>
      <c r="EWP36" t="s">
        <v>6984</v>
      </c>
      <c r="EWQ36" t="s">
        <v>6984</v>
      </c>
      <c r="EWR36" t="s">
        <v>6984</v>
      </c>
      <c r="EWS36" t="s">
        <v>6984</v>
      </c>
      <c r="EWT36" t="s">
        <v>6984</v>
      </c>
      <c r="EWU36" t="s">
        <v>6984</v>
      </c>
      <c r="EWV36" t="s">
        <v>6984</v>
      </c>
      <c r="EWW36" t="s">
        <v>6984</v>
      </c>
      <c r="EWX36" t="s">
        <v>6984</v>
      </c>
      <c r="EWY36" t="s">
        <v>6984</v>
      </c>
      <c r="EWZ36" t="s">
        <v>6984</v>
      </c>
      <c r="EXA36" t="s">
        <v>6984</v>
      </c>
      <c r="EXB36" t="s">
        <v>6984</v>
      </c>
      <c r="EXC36" t="s">
        <v>6984</v>
      </c>
      <c r="EXD36" t="s">
        <v>6984</v>
      </c>
      <c r="EXE36" t="s">
        <v>6984</v>
      </c>
      <c r="EXF36" t="s">
        <v>6984</v>
      </c>
      <c r="EXG36" t="s">
        <v>6984</v>
      </c>
      <c r="EXH36" t="s">
        <v>6984</v>
      </c>
      <c r="EXI36" t="s">
        <v>6984</v>
      </c>
      <c r="EXJ36" t="s">
        <v>6984</v>
      </c>
      <c r="EXK36" t="s">
        <v>6984</v>
      </c>
      <c r="EXL36" t="s">
        <v>6984</v>
      </c>
      <c r="EXM36" t="s">
        <v>6984</v>
      </c>
      <c r="EXN36" t="s">
        <v>6984</v>
      </c>
      <c r="EXO36" t="s">
        <v>6984</v>
      </c>
      <c r="EXP36" t="s">
        <v>6984</v>
      </c>
      <c r="EXQ36" t="s">
        <v>6984</v>
      </c>
      <c r="EXR36" t="s">
        <v>6984</v>
      </c>
      <c r="EXS36" t="s">
        <v>6984</v>
      </c>
      <c r="EXT36" t="s">
        <v>6984</v>
      </c>
      <c r="EXU36" t="s">
        <v>6984</v>
      </c>
      <c r="EXV36" t="s">
        <v>6984</v>
      </c>
      <c r="EXW36" t="s">
        <v>6984</v>
      </c>
      <c r="EXX36" t="s">
        <v>6984</v>
      </c>
      <c r="EXY36" t="s">
        <v>6984</v>
      </c>
      <c r="EXZ36" t="s">
        <v>6984</v>
      </c>
      <c r="EYA36" t="s">
        <v>6984</v>
      </c>
      <c r="EYB36" t="s">
        <v>6984</v>
      </c>
      <c r="EYC36" t="s">
        <v>6984</v>
      </c>
      <c r="EYD36" t="s">
        <v>6984</v>
      </c>
      <c r="EYE36" t="s">
        <v>6984</v>
      </c>
      <c r="EYF36" t="s">
        <v>6984</v>
      </c>
      <c r="EYG36" t="s">
        <v>6984</v>
      </c>
      <c r="EYH36" t="s">
        <v>6984</v>
      </c>
      <c r="EYI36" t="s">
        <v>6984</v>
      </c>
      <c r="EYJ36" t="s">
        <v>6984</v>
      </c>
      <c r="EYK36" t="s">
        <v>6984</v>
      </c>
      <c r="EYL36" t="s">
        <v>6984</v>
      </c>
      <c r="EYM36" t="s">
        <v>6984</v>
      </c>
      <c r="EYN36" t="s">
        <v>6984</v>
      </c>
      <c r="EYO36" t="s">
        <v>6984</v>
      </c>
      <c r="EYP36" t="s">
        <v>6984</v>
      </c>
      <c r="EYQ36" t="s">
        <v>6984</v>
      </c>
      <c r="EYR36" t="s">
        <v>6984</v>
      </c>
      <c r="EYS36" t="s">
        <v>6984</v>
      </c>
      <c r="EYT36" t="s">
        <v>6984</v>
      </c>
      <c r="EYU36" t="s">
        <v>6984</v>
      </c>
      <c r="EYV36" t="s">
        <v>6984</v>
      </c>
      <c r="EYW36" t="s">
        <v>6984</v>
      </c>
      <c r="EYX36" t="s">
        <v>6984</v>
      </c>
      <c r="EYY36" t="s">
        <v>6984</v>
      </c>
      <c r="EYZ36" t="s">
        <v>6984</v>
      </c>
      <c r="EZA36" t="s">
        <v>6984</v>
      </c>
      <c r="EZB36" t="s">
        <v>6984</v>
      </c>
      <c r="EZC36" t="s">
        <v>6984</v>
      </c>
      <c r="EZD36" t="s">
        <v>6984</v>
      </c>
      <c r="EZE36" t="s">
        <v>6984</v>
      </c>
      <c r="EZF36" t="s">
        <v>6984</v>
      </c>
      <c r="EZG36" t="s">
        <v>6984</v>
      </c>
      <c r="EZH36" t="s">
        <v>6984</v>
      </c>
      <c r="EZI36" t="s">
        <v>6984</v>
      </c>
      <c r="EZJ36" t="s">
        <v>6984</v>
      </c>
      <c r="EZK36" t="s">
        <v>6984</v>
      </c>
      <c r="EZL36" t="s">
        <v>6984</v>
      </c>
      <c r="EZM36" t="s">
        <v>6984</v>
      </c>
      <c r="EZN36" t="s">
        <v>6984</v>
      </c>
      <c r="EZO36" t="s">
        <v>6984</v>
      </c>
      <c r="EZP36" t="s">
        <v>6984</v>
      </c>
      <c r="EZQ36" t="s">
        <v>6984</v>
      </c>
      <c r="EZR36" t="s">
        <v>6984</v>
      </c>
      <c r="EZS36" t="s">
        <v>6984</v>
      </c>
      <c r="EZT36" t="s">
        <v>6984</v>
      </c>
      <c r="EZU36" t="s">
        <v>6984</v>
      </c>
      <c r="EZV36" t="s">
        <v>6984</v>
      </c>
      <c r="EZW36" t="s">
        <v>6984</v>
      </c>
      <c r="EZX36" t="s">
        <v>6984</v>
      </c>
      <c r="EZY36" t="s">
        <v>6984</v>
      </c>
      <c r="EZZ36" t="s">
        <v>6984</v>
      </c>
      <c r="FAA36" t="s">
        <v>6984</v>
      </c>
      <c r="FAB36" t="s">
        <v>6984</v>
      </c>
      <c r="FAC36" t="s">
        <v>6984</v>
      </c>
      <c r="FAD36" t="s">
        <v>6984</v>
      </c>
      <c r="FAE36" t="s">
        <v>6984</v>
      </c>
      <c r="FAF36" t="s">
        <v>6984</v>
      </c>
      <c r="FAG36" t="s">
        <v>6984</v>
      </c>
      <c r="FAH36" t="s">
        <v>6984</v>
      </c>
      <c r="FAI36" t="s">
        <v>6984</v>
      </c>
      <c r="FAJ36" t="s">
        <v>6984</v>
      </c>
      <c r="FAK36" t="s">
        <v>6984</v>
      </c>
      <c r="FAL36" t="s">
        <v>6984</v>
      </c>
      <c r="FAM36" t="s">
        <v>6984</v>
      </c>
      <c r="FAN36" t="s">
        <v>6984</v>
      </c>
      <c r="FAO36" t="s">
        <v>6984</v>
      </c>
      <c r="FAP36" t="s">
        <v>6984</v>
      </c>
      <c r="FAQ36" t="s">
        <v>6984</v>
      </c>
      <c r="FAR36" t="s">
        <v>6984</v>
      </c>
      <c r="FAS36" t="s">
        <v>6984</v>
      </c>
      <c r="FAT36" t="s">
        <v>6984</v>
      </c>
      <c r="FAU36" t="s">
        <v>6984</v>
      </c>
      <c r="FAV36" t="s">
        <v>6984</v>
      </c>
      <c r="FAW36" t="s">
        <v>6984</v>
      </c>
      <c r="FAX36" t="s">
        <v>6984</v>
      </c>
      <c r="FAY36" t="s">
        <v>6984</v>
      </c>
      <c r="FAZ36" t="s">
        <v>6984</v>
      </c>
      <c r="FBA36" t="s">
        <v>6984</v>
      </c>
      <c r="FBB36" t="s">
        <v>6984</v>
      </c>
      <c r="FBC36" t="s">
        <v>6984</v>
      </c>
      <c r="FBD36" t="s">
        <v>6984</v>
      </c>
      <c r="FBE36" t="s">
        <v>6984</v>
      </c>
      <c r="FBF36" t="s">
        <v>6984</v>
      </c>
      <c r="FBG36" t="s">
        <v>6984</v>
      </c>
      <c r="FBH36" t="s">
        <v>6984</v>
      </c>
      <c r="FBI36" t="s">
        <v>6984</v>
      </c>
      <c r="FBJ36" t="s">
        <v>6984</v>
      </c>
      <c r="FBK36" t="s">
        <v>6984</v>
      </c>
      <c r="FBL36" t="s">
        <v>6984</v>
      </c>
      <c r="FBM36" t="s">
        <v>6984</v>
      </c>
      <c r="FBN36" t="s">
        <v>6984</v>
      </c>
      <c r="FBO36" t="s">
        <v>6984</v>
      </c>
      <c r="FBP36" t="s">
        <v>6984</v>
      </c>
      <c r="FBQ36" t="s">
        <v>6984</v>
      </c>
      <c r="FBR36" t="s">
        <v>6984</v>
      </c>
      <c r="FBS36" t="s">
        <v>6984</v>
      </c>
      <c r="FBT36" t="s">
        <v>6984</v>
      </c>
      <c r="FBU36" t="s">
        <v>6984</v>
      </c>
      <c r="FBV36" t="s">
        <v>6984</v>
      </c>
      <c r="FBW36" t="s">
        <v>6984</v>
      </c>
      <c r="FBX36" t="s">
        <v>6984</v>
      </c>
      <c r="FBY36" t="s">
        <v>6984</v>
      </c>
      <c r="FBZ36" t="s">
        <v>6984</v>
      </c>
      <c r="FCA36" t="s">
        <v>6984</v>
      </c>
      <c r="FCB36" t="s">
        <v>6984</v>
      </c>
      <c r="FCC36" t="s">
        <v>6984</v>
      </c>
      <c r="FCD36" t="s">
        <v>6984</v>
      </c>
      <c r="FCE36" t="s">
        <v>6984</v>
      </c>
      <c r="FCF36" t="s">
        <v>6984</v>
      </c>
      <c r="FCG36" t="s">
        <v>6984</v>
      </c>
      <c r="FCH36" t="s">
        <v>6984</v>
      </c>
      <c r="FCI36" t="s">
        <v>6984</v>
      </c>
      <c r="FCJ36" t="s">
        <v>6984</v>
      </c>
      <c r="FCK36" t="s">
        <v>6984</v>
      </c>
      <c r="FCL36" t="s">
        <v>6984</v>
      </c>
      <c r="FCM36" t="s">
        <v>6984</v>
      </c>
      <c r="FCN36" t="s">
        <v>6984</v>
      </c>
      <c r="FCO36" t="s">
        <v>6984</v>
      </c>
      <c r="FCP36" t="s">
        <v>6984</v>
      </c>
      <c r="FCQ36" t="s">
        <v>6984</v>
      </c>
      <c r="FCR36" t="s">
        <v>6984</v>
      </c>
      <c r="FCS36" t="s">
        <v>6984</v>
      </c>
      <c r="FCT36" t="s">
        <v>6984</v>
      </c>
      <c r="FCU36" t="s">
        <v>6984</v>
      </c>
      <c r="FCV36" t="s">
        <v>6984</v>
      </c>
      <c r="FCW36" t="s">
        <v>6984</v>
      </c>
      <c r="FCX36" t="s">
        <v>6984</v>
      </c>
      <c r="FCY36" t="s">
        <v>6984</v>
      </c>
      <c r="FCZ36" t="s">
        <v>6984</v>
      </c>
      <c r="FDA36" t="s">
        <v>6984</v>
      </c>
      <c r="FDB36" t="s">
        <v>6984</v>
      </c>
      <c r="FDC36" t="s">
        <v>6984</v>
      </c>
      <c r="FDD36" t="s">
        <v>6984</v>
      </c>
      <c r="FDE36" t="s">
        <v>6984</v>
      </c>
      <c r="FDF36" t="s">
        <v>6984</v>
      </c>
      <c r="FDG36" t="s">
        <v>6984</v>
      </c>
      <c r="FDH36" t="s">
        <v>6984</v>
      </c>
      <c r="FDI36" t="s">
        <v>6984</v>
      </c>
      <c r="FDJ36" t="s">
        <v>6984</v>
      </c>
      <c r="FDK36" t="s">
        <v>6984</v>
      </c>
      <c r="FDL36" t="s">
        <v>6984</v>
      </c>
      <c r="FDM36" t="s">
        <v>6984</v>
      </c>
      <c r="FDN36" t="s">
        <v>6984</v>
      </c>
      <c r="FDO36" t="s">
        <v>6984</v>
      </c>
      <c r="FDP36" t="s">
        <v>6984</v>
      </c>
      <c r="FDQ36" t="s">
        <v>6984</v>
      </c>
      <c r="FDR36" t="s">
        <v>6984</v>
      </c>
      <c r="FDS36" t="s">
        <v>6984</v>
      </c>
      <c r="FDT36" t="s">
        <v>6984</v>
      </c>
      <c r="FDU36" t="s">
        <v>6984</v>
      </c>
      <c r="FDV36" t="s">
        <v>6984</v>
      </c>
      <c r="FDW36" t="s">
        <v>6984</v>
      </c>
      <c r="FDX36" t="s">
        <v>6984</v>
      </c>
      <c r="FDY36" t="s">
        <v>6984</v>
      </c>
      <c r="FDZ36" t="s">
        <v>6984</v>
      </c>
      <c r="FEA36" t="s">
        <v>6984</v>
      </c>
      <c r="FEB36" t="s">
        <v>6984</v>
      </c>
      <c r="FEC36" t="s">
        <v>6984</v>
      </c>
      <c r="FED36" t="s">
        <v>6984</v>
      </c>
      <c r="FEE36" t="s">
        <v>6984</v>
      </c>
      <c r="FEF36" t="s">
        <v>6984</v>
      </c>
      <c r="FEG36" t="s">
        <v>6984</v>
      </c>
      <c r="FEH36" t="s">
        <v>6984</v>
      </c>
      <c r="FEI36" t="s">
        <v>6984</v>
      </c>
      <c r="FEJ36" t="s">
        <v>6984</v>
      </c>
      <c r="FEK36" t="s">
        <v>6984</v>
      </c>
      <c r="FEL36" t="s">
        <v>6984</v>
      </c>
      <c r="FEM36" t="s">
        <v>6984</v>
      </c>
      <c r="FEN36" t="s">
        <v>6984</v>
      </c>
      <c r="FEO36" t="s">
        <v>6984</v>
      </c>
      <c r="FEP36" t="s">
        <v>6984</v>
      </c>
      <c r="FEQ36" t="s">
        <v>6984</v>
      </c>
      <c r="FER36" t="s">
        <v>6984</v>
      </c>
      <c r="FES36" t="s">
        <v>6984</v>
      </c>
      <c r="FET36" t="s">
        <v>6984</v>
      </c>
      <c r="FEU36" t="s">
        <v>6984</v>
      </c>
      <c r="FEV36" t="s">
        <v>6984</v>
      </c>
      <c r="FEW36" t="s">
        <v>6984</v>
      </c>
      <c r="FEX36" t="s">
        <v>6984</v>
      </c>
      <c r="FEY36" t="s">
        <v>6984</v>
      </c>
      <c r="FEZ36" t="s">
        <v>6984</v>
      </c>
      <c r="FFA36" t="s">
        <v>6984</v>
      </c>
      <c r="FFB36" t="s">
        <v>6984</v>
      </c>
      <c r="FFC36" t="s">
        <v>6984</v>
      </c>
      <c r="FFD36" t="s">
        <v>6984</v>
      </c>
      <c r="FFE36" t="s">
        <v>6984</v>
      </c>
      <c r="FFF36" t="s">
        <v>6984</v>
      </c>
      <c r="FFG36" t="s">
        <v>6984</v>
      </c>
      <c r="FFH36" t="s">
        <v>6984</v>
      </c>
      <c r="FFI36" t="s">
        <v>6984</v>
      </c>
      <c r="FFJ36" t="s">
        <v>6984</v>
      </c>
      <c r="FFK36" t="s">
        <v>6984</v>
      </c>
      <c r="FFL36" t="s">
        <v>6984</v>
      </c>
      <c r="FFM36" t="s">
        <v>6984</v>
      </c>
      <c r="FFN36" t="s">
        <v>6984</v>
      </c>
      <c r="FFO36" t="s">
        <v>6984</v>
      </c>
      <c r="FFP36" t="s">
        <v>6984</v>
      </c>
      <c r="FFQ36" t="s">
        <v>6984</v>
      </c>
      <c r="FFR36" t="s">
        <v>6984</v>
      </c>
      <c r="FFS36" t="s">
        <v>6984</v>
      </c>
      <c r="FFT36" t="s">
        <v>6984</v>
      </c>
      <c r="FFU36" t="s">
        <v>6984</v>
      </c>
      <c r="FFV36" t="s">
        <v>6984</v>
      </c>
      <c r="FFW36" t="s">
        <v>6984</v>
      </c>
      <c r="FFX36" t="s">
        <v>6984</v>
      </c>
      <c r="FFY36" t="s">
        <v>6984</v>
      </c>
      <c r="FFZ36" t="s">
        <v>6984</v>
      </c>
      <c r="FGA36" t="s">
        <v>6984</v>
      </c>
      <c r="FGB36" t="s">
        <v>6984</v>
      </c>
      <c r="FGC36" t="s">
        <v>6984</v>
      </c>
      <c r="FGD36" t="s">
        <v>6984</v>
      </c>
      <c r="FGE36" t="s">
        <v>6984</v>
      </c>
      <c r="FGF36" t="s">
        <v>6984</v>
      </c>
      <c r="FGG36" t="s">
        <v>6984</v>
      </c>
      <c r="FGH36" t="s">
        <v>6984</v>
      </c>
      <c r="FGI36" t="s">
        <v>6984</v>
      </c>
      <c r="FGJ36" t="s">
        <v>6984</v>
      </c>
      <c r="FGK36" t="s">
        <v>6984</v>
      </c>
      <c r="FGL36" t="s">
        <v>6984</v>
      </c>
      <c r="FGM36" t="s">
        <v>6984</v>
      </c>
      <c r="FGN36" t="s">
        <v>6984</v>
      </c>
      <c r="FGO36" t="s">
        <v>6984</v>
      </c>
      <c r="FGP36" t="s">
        <v>6984</v>
      </c>
      <c r="FGQ36" t="s">
        <v>6984</v>
      </c>
      <c r="FGR36" t="s">
        <v>6984</v>
      </c>
      <c r="FGS36" t="s">
        <v>6984</v>
      </c>
      <c r="FGT36" t="s">
        <v>6984</v>
      </c>
      <c r="FGU36" t="s">
        <v>6984</v>
      </c>
      <c r="FGV36" t="s">
        <v>6984</v>
      </c>
      <c r="FGW36" t="s">
        <v>6984</v>
      </c>
      <c r="FGX36" t="s">
        <v>6984</v>
      </c>
      <c r="FGY36" t="s">
        <v>6984</v>
      </c>
      <c r="FGZ36" t="s">
        <v>6984</v>
      </c>
      <c r="FHA36" t="s">
        <v>6984</v>
      </c>
      <c r="FHB36" t="s">
        <v>6984</v>
      </c>
      <c r="FHC36" t="s">
        <v>6984</v>
      </c>
      <c r="FHD36" t="s">
        <v>6984</v>
      </c>
      <c r="FHE36" t="s">
        <v>6984</v>
      </c>
      <c r="FHF36" t="s">
        <v>6984</v>
      </c>
      <c r="FHG36" t="s">
        <v>6984</v>
      </c>
      <c r="FHH36" t="s">
        <v>6984</v>
      </c>
      <c r="FHI36" t="s">
        <v>6984</v>
      </c>
      <c r="FHJ36" t="s">
        <v>6984</v>
      </c>
      <c r="FHK36" t="s">
        <v>6984</v>
      </c>
      <c r="FHL36" t="s">
        <v>6984</v>
      </c>
      <c r="FHM36" t="s">
        <v>6984</v>
      </c>
      <c r="FHN36" t="s">
        <v>6984</v>
      </c>
      <c r="FHO36" t="s">
        <v>6984</v>
      </c>
      <c r="FHP36" t="s">
        <v>6984</v>
      </c>
      <c r="FHQ36" t="s">
        <v>6984</v>
      </c>
      <c r="FHR36" t="s">
        <v>6984</v>
      </c>
      <c r="FHS36" t="s">
        <v>6984</v>
      </c>
      <c r="FHT36" t="s">
        <v>6984</v>
      </c>
      <c r="FHU36" t="s">
        <v>6984</v>
      </c>
      <c r="FHV36" t="s">
        <v>6984</v>
      </c>
      <c r="FHW36" t="s">
        <v>6984</v>
      </c>
      <c r="FHX36" t="s">
        <v>6984</v>
      </c>
      <c r="FHY36" t="s">
        <v>6984</v>
      </c>
      <c r="FHZ36" t="s">
        <v>6984</v>
      </c>
      <c r="FIA36" t="s">
        <v>6984</v>
      </c>
      <c r="FIB36" t="s">
        <v>6984</v>
      </c>
      <c r="FIC36" t="s">
        <v>6984</v>
      </c>
      <c r="FID36" t="s">
        <v>6984</v>
      </c>
      <c r="FIE36" t="s">
        <v>6984</v>
      </c>
      <c r="FIF36" t="s">
        <v>6984</v>
      </c>
      <c r="FIG36" t="s">
        <v>6984</v>
      </c>
      <c r="FIH36" t="s">
        <v>6984</v>
      </c>
      <c r="FII36" t="s">
        <v>6984</v>
      </c>
      <c r="FIJ36" t="s">
        <v>6984</v>
      </c>
      <c r="FIK36" t="s">
        <v>6984</v>
      </c>
      <c r="FIL36" t="s">
        <v>6984</v>
      </c>
      <c r="FIM36" t="s">
        <v>6984</v>
      </c>
      <c r="FIN36" t="s">
        <v>6984</v>
      </c>
      <c r="FIO36" t="s">
        <v>6984</v>
      </c>
      <c r="FIP36" t="s">
        <v>6984</v>
      </c>
      <c r="FIQ36" t="s">
        <v>6984</v>
      </c>
      <c r="FIR36" t="s">
        <v>6984</v>
      </c>
      <c r="FIS36" t="s">
        <v>6984</v>
      </c>
      <c r="FIT36" t="s">
        <v>6984</v>
      </c>
      <c r="FIU36" t="s">
        <v>6984</v>
      </c>
      <c r="FIV36" t="s">
        <v>6984</v>
      </c>
      <c r="FIW36" t="s">
        <v>6984</v>
      </c>
      <c r="FIX36" t="s">
        <v>6984</v>
      </c>
      <c r="FIY36" t="s">
        <v>6984</v>
      </c>
      <c r="FIZ36" t="s">
        <v>6984</v>
      </c>
      <c r="FJA36" t="s">
        <v>6984</v>
      </c>
      <c r="FJB36" t="s">
        <v>6984</v>
      </c>
      <c r="FJC36" t="s">
        <v>6984</v>
      </c>
      <c r="FJD36" t="s">
        <v>6984</v>
      </c>
      <c r="FJE36" t="s">
        <v>6984</v>
      </c>
      <c r="FJF36" t="s">
        <v>6984</v>
      </c>
      <c r="FJG36" t="s">
        <v>6984</v>
      </c>
      <c r="FJH36" t="s">
        <v>6984</v>
      </c>
      <c r="FJI36" t="s">
        <v>6984</v>
      </c>
      <c r="FJJ36" t="s">
        <v>6984</v>
      </c>
      <c r="FJK36" t="s">
        <v>6984</v>
      </c>
      <c r="FJL36" t="s">
        <v>6984</v>
      </c>
      <c r="FJM36" t="s">
        <v>6984</v>
      </c>
      <c r="FJN36" t="s">
        <v>6984</v>
      </c>
      <c r="FJO36" t="s">
        <v>6984</v>
      </c>
      <c r="FJP36" t="s">
        <v>6984</v>
      </c>
      <c r="FJQ36" t="s">
        <v>6984</v>
      </c>
      <c r="FJR36" t="s">
        <v>6984</v>
      </c>
      <c r="FJS36" t="s">
        <v>6984</v>
      </c>
      <c r="FJT36" t="s">
        <v>6984</v>
      </c>
      <c r="FJU36" t="s">
        <v>6984</v>
      </c>
      <c r="FJV36" t="s">
        <v>6984</v>
      </c>
      <c r="FJW36" t="s">
        <v>6984</v>
      </c>
      <c r="FJX36" t="s">
        <v>6984</v>
      </c>
      <c r="FJY36" t="s">
        <v>6984</v>
      </c>
      <c r="FJZ36" t="s">
        <v>6984</v>
      </c>
      <c r="FKA36" t="s">
        <v>6984</v>
      </c>
      <c r="FKB36" t="s">
        <v>6984</v>
      </c>
      <c r="FKC36" t="s">
        <v>6984</v>
      </c>
      <c r="FKD36" t="s">
        <v>6984</v>
      </c>
      <c r="FKE36" t="s">
        <v>6984</v>
      </c>
      <c r="FKF36" t="s">
        <v>6984</v>
      </c>
      <c r="FKG36" t="s">
        <v>6984</v>
      </c>
      <c r="FKH36" t="s">
        <v>6984</v>
      </c>
      <c r="FKI36" t="s">
        <v>6984</v>
      </c>
      <c r="FKJ36" t="s">
        <v>6984</v>
      </c>
      <c r="FKK36" t="s">
        <v>6984</v>
      </c>
      <c r="FKL36" t="s">
        <v>6984</v>
      </c>
      <c r="FKM36" t="s">
        <v>6984</v>
      </c>
      <c r="FKN36" t="s">
        <v>6984</v>
      </c>
      <c r="FKO36" t="s">
        <v>6984</v>
      </c>
      <c r="FKP36" t="s">
        <v>6984</v>
      </c>
      <c r="FKQ36" t="s">
        <v>6984</v>
      </c>
      <c r="FKR36" t="s">
        <v>6984</v>
      </c>
      <c r="FKS36" t="s">
        <v>6984</v>
      </c>
      <c r="FKT36" t="s">
        <v>6984</v>
      </c>
      <c r="FKU36" t="s">
        <v>6984</v>
      </c>
      <c r="FKV36" t="s">
        <v>6984</v>
      </c>
      <c r="FKW36" t="s">
        <v>6984</v>
      </c>
      <c r="FKX36" t="s">
        <v>6984</v>
      </c>
      <c r="FKY36" t="s">
        <v>6984</v>
      </c>
      <c r="FKZ36" t="s">
        <v>6984</v>
      </c>
      <c r="FLA36" t="s">
        <v>6984</v>
      </c>
      <c r="FLB36" t="s">
        <v>6984</v>
      </c>
      <c r="FLC36" t="s">
        <v>6984</v>
      </c>
      <c r="FLD36" t="s">
        <v>6984</v>
      </c>
      <c r="FLE36" t="s">
        <v>6984</v>
      </c>
      <c r="FLF36" t="s">
        <v>6984</v>
      </c>
      <c r="FLG36" t="s">
        <v>6984</v>
      </c>
      <c r="FLH36" t="s">
        <v>6984</v>
      </c>
      <c r="FLI36" t="s">
        <v>6984</v>
      </c>
      <c r="FLJ36" t="s">
        <v>6984</v>
      </c>
      <c r="FLK36" t="s">
        <v>6984</v>
      </c>
      <c r="FLL36" t="s">
        <v>6984</v>
      </c>
      <c r="FLM36" t="s">
        <v>6984</v>
      </c>
      <c r="FLN36" t="s">
        <v>6984</v>
      </c>
      <c r="FLO36" t="s">
        <v>6984</v>
      </c>
      <c r="FLP36" t="s">
        <v>6984</v>
      </c>
      <c r="FLQ36" t="s">
        <v>6984</v>
      </c>
      <c r="FLR36" t="s">
        <v>6984</v>
      </c>
      <c r="FLS36" t="s">
        <v>6984</v>
      </c>
      <c r="FLT36" t="s">
        <v>6984</v>
      </c>
      <c r="FLU36" t="s">
        <v>6984</v>
      </c>
      <c r="FLV36" t="s">
        <v>6984</v>
      </c>
      <c r="FLW36" t="s">
        <v>6984</v>
      </c>
      <c r="FLX36" t="s">
        <v>6984</v>
      </c>
      <c r="FLY36" t="s">
        <v>6984</v>
      </c>
      <c r="FLZ36" t="s">
        <v>6984</v>
      </c>
      <c r="FMA36" t="s">
        <v>6984</v>
      </c>
      <c r="FMB36" t="s">
        <v>6984</v>
      </c>
      <c r="FMC36" t="s">
        <v>6984</v>
      </c>
      <c r="FMD36" t="s">
        <v>6984</v>
      </c>
      <c r="FME36" t="s">
        <v>6984</v>
      </c>
      <c r="FMF36" t="s">
        <v>6984</v>
      </c>
      <c r="FMG36" t="s">
        <v>6984</v>
      </c>
      <c r="FMH36" t="s">
        <v>6984</v>
      </c>
      <c r="FMI36" t="s">
        <v>6984</v>
      </c>
      <c r="FMJ36" t="s">
        <v>6984</v>
      </c>
      <c r="FMK36" t="s">
        <v>6984</v>
      </c>
      <c r="FML36" t="s">
        <v>6984</v>
      </c>
      <c r="FMM36" t="s">
        <v>6984</v>
      </c>
      <c r="FMN36" t="s">
        <v>6984</v>
      </c>
      <c r="FMO36" t="s">
        <v>6984</v>
      </c>
      <c r="FMP36" t="s">
        <v>6984</v>
      </c>
      <c r="FMQ36" t="s">
        <v>6984</v>
      </c>
      <c r="FMR36" t="s">
        <v>6984</v>
      </c>
      <c r="FMS36" t="s">
        <v>6984</v>
      </c>
      <c r="FMT36" t="s">
        <v>6984</v>
      </c>
      <c r="FMU36" t="s">
        <v>6984</v>
      </c>
      <c r="FMV36" t="s">
        <v>6984</v>
      </c>
      <c r="FMW36" t="s">
        <v>6984</v>
      </c>
      <c r="FMX36" t="s">
        <v>6984</v>
      </c>
      <c r="FMY36" t="s">
        <v>6984</v>
      </c>
      <c r="FMZ36" t="s">
        <v>6984</v>
      </c>
      <c r="FNA36" t="s">
        <v>6984</v>
      </c>
      <c r="FNB36" t="s">
        <v>6984</v>
      </c>
      <c r="FNC36" t="s">
        <v>6984</v>
      </c>
      <c r="FND36" t="s">
        <v>6984</v>
      </c>
      <c r="FNE36" t="s">
        <v>6984</v>
      </c>
      <c r="FNF36" t="s">
        <v>6984</v>
      </c>
      <c r="FNG36" t="s">
        <v>6984</v>
      </c>
      <c r="FNH36" t="s">
        <v>6984</v>
      </c>
      <c r="FNI36" t="s">
        <v>6984</v>
      </c>
      <c r="FNJ36" t="s">
        <v>6984</v>
      </c>
      <c r="FNK36" t="s">
        <v>6984</v>
      </c>
      <c r="FNL36" t="s">
        <v>6984</v>
      </c>
      <c r="FNM36" t="s">
        <v>6984</v>
      </c>
      <c r="FNN36" t="s">
        <v>6984</v>
      </c>
      <c r="FNO36" t="s">
        <v>6984</v>
      </c>
      <c r="FNP36" t="s">
        <v>6984</v>
      </c>
      <c r="FNQ36" t="s">
        <v>6984</v>
      </c>
      <c r="FNR36" t="s">
        <v>6984</v>
      </c>
      <c r="FNS36" t="s">
        <v>6984</v>
      </c>
      <c r="FNT36" t="s">
        <v>6984</v>
      </c>
      <c r="FNU36" t="s">
        <v>6984</v>
      </c>
      <c r="FNV36" t="s">
        <v>6984</v>
      </c>
      <c r="FNW36" t="s">
        <v>6984</v>
      </c>
      <c r="FNX36" t="s">
        <v>6984</v>
      </c>
      <c r="FNY36" t="s">
        <v>6984</v>
      </c>
      <c r="FNZ36" t="s">
        <v>6984</v>
      </c>
      <c r="FOA36" t="s">
        <v>6984</v>
      </c>
      <c r="FOB36" t="s">
        <v>6984</v>
      </c>
      <c r="FOC36" t="s">
        <v>6984</v>
      </c>
      <c r="FOD36" t="s">
        <v>6984</v>
      </c>
      <c r="FOE36" t="s">
        <v>6984</v>
      </c>
      <c r="FOF36" t="s">
        <v>6984</v>
      </c>
      <c r="FOG36" t="s">
        <v>6984</v>
      </c>
      <c r="FOH36" t="s">
        <v>6984</v>
      </c>
      <c r="FOI36" t="s">
        <v>6984</v>
      </c>
      <c r="FOJ36" t="s">
        <v>6984</v>
      </c>
      <c r="FOK36" t="s">
        <v>6984</v>
      </c>
      <c r="FOL36" t="s">
        <v>6984</v>
      </c>
      <c r="FOM36" t="s">
        <v>6984</v>
      </c>
      <c r="FON36" t="s">
        <v>6984</v>
      </c>
      <c r="FOO36" t="s">
        <v>6984</v>
      </c>
      <c r="FOP36" t="s">
        <v>6984</v>
      </c>
      <c r="FOQ36" t="s">
        <v>6984</v>
      </c>
      <c r="FOR36" t="s">
        <v>6984</v>
      </c>
      <c r="FOS36" t="s">
        <v>6984</v>
      </c>
      <c r="FOT36" t="s">
        <v>6984</v>
      </c>
      <c r="FOU36" t="s">
        <v>6984</v>
      </c>
      <c r="FOV36" t="s">
        <v>6984</v>
      </c>
      <c r="FOW36" t="s">
        <v>6984</v>
      </c>
      <c r="FOX36" t="s">
        <v>6984</v>
      </c>
      <c r="FOY36" t="s">
        <v>6984</v>
      </c>
      <c r="FOZ36" t="s">
        <v>6984</v>
      </c>
      <c r="FPA36" t="s">
        <v>6984</v>
      </c>
      <c r="FPB36" t="s">
        <v>6984</v>
      </c>
      <c r="FPC36" t="s">
        <v>6984</v>
      </c>
      <c r="FPD36" t="s">
        <v>6984</v>
      </c>
      <c r="FPE36" t="s">
        <v>6984</v>
      </c>
      <c r="FPF36" t="s">
        <v>6984</v>
      </c>
      <c r="FPG36" t="s">
        <v>6984</v>
      </c>
      <c r="FPH36" t="s">
        <v>6984</v>
      </c>
      <c r="FPI36" t="s">
        <v>6984</v>
      </c>
      <c r="FPJ36" t="s">
        <v>6984</v>
      </c>
      <c r="FPK36" t="s">
        <v>6984</v>
      </c>
      <c r="FPL36" t="s">
        <v>6984</v>
      </c>
      <c r="FPM36" t="s">
        <v>6984</v>
      </c>
      <c r="FPN36" t="s">
        <v>6984</v>
      </c>
      <c r="FPO36" t="s">
        <v>6984</v>
      </c>
      <c r="FPP36" t="s">
        <v>6984</v>
      </c>
      <c r="FPQ36" t="s">
        <v>6984</v>
      </c>
      <c r="FPR36" t="s">
        <v>6984</v>
      </c>
      <c r="FPS36" t="s">
        <v>6984</v>
      </c>
      <c r="FPT36" t="s">
        <v>6984</v>
      </c>
      <c r="FPU36" t="s">
        <v>6984</v>
      </c>
      <c r="FPV36" t="s">
        <v>6984</v>
      </c>
      <c r="FPW36" t="s">
        <v>6984</v>
      </c>
      <c r="FPX36" t="s">
        <v>6984</v>
      </c>
      <c r="FPY36" t="s">
        <v>6984</v>
      </c>
      <c r="FPZ36" t="s">
        <v>6984</v>
      </c>
      <c r="FQA36" t="s">
        <v>6984</v>
      </c>
      <c r="FQB36" t="s">
        <v>6984</v>
      </c>
      <c r="FQC36" t="s">
        <v>6984</v>
      </c>
      <c r="FQD36" t="s">
        <v>6984</v>
      </c>
      <c r="FQE36" t="s">
        <v>6984</v>
      </c>
      <c r="FQF36" t="s">
        <v>6984</v>
      </c>
      <c r="FQG36" t="s">
        <v>6984</v>
      </c>
      <c r="FQH36" t="s">
        <v>6984</v>
      </c>
      <c r="FQI36" t="s">
        <v>6984</v>
      </c>
      <c r="FQJ36" t="s">
        <v>6984</v>
      </c>
      <c r="FQK36" t="s">
        <v>6984</v>
      </c>
      <c r="FQL36" t="s">
        <v>6984</v>
      </c>
      <c r="FQM36" t="s">
        <v>6984</v>
      </c>
      <c r="FQN36" t="s">
        <v>6984</v>
      </c>
      <c r="FQO36" t="s">
        <v>6984</v>
      </c>
      <c r="FQP36" t="s">
        <v>6984</v>
      </c>
      <c r="FQQ36" t="s">
        <v>6984</v>
      </c>
      <c r="FQR36" t="s">
        <v>6984</v>
      </c>
      <c r="FQS36" t="s">
        <v>6984</v>
      </c>
      <c r="FQT36" t="s">
        <v>6984</v>
      </c>
      <c r="FQU36" t="s">
        <v>6984</v>
      </c>
      <c r="FQV36" t="s">
        <v>6984</v>
      </c>
      <c r="FQW36" t="s">
        <v>6984</v>
      </c>
      <c r="FQX36" t="s">
        <v>6984</v>
      </c>
      <c r="FQY36" t="s">
        <v>6984</v>
      </c>
      <c r="FQZ36" t="s">
        <v>6984</v>
      </c>
      <c r="FRA36" t="s">
        <v>6984</v>
      </c>
      <c r="FRB36" t="s">
        <v>6984</v>
      </c>
      <c r="FRC36" t="s">
        <v>6984</v>
      </c>
      <c r="FRD36" t="s">
        <v>6984</v>
      </c>
      <c r="FRE36" t="s">
        <v>6984</v>
      </c>
      <c r="FRF36" t="s">
        <v>6984</v>
      </c>
      <c r="FRG36" t="s">
        <v>6984</v>
      </c>
      <c r="FRH36" t="s">
        <v>6984</v>
      </c>
      <c r="FRI36" t="s">
        <v>6984</v>
      </c>
      <c r="FRJ36" t="s">
        <v>6984</v>
      </c>
      <c r="FRK36" t="s">
        <v>6984</v>
      </c>
      <c r="FRL36" t="s">
        <v>6984</v>
      </c>
      <c r="FRM36" t="s">
        <v>6984</v>
      </c>
      <c r="FRN36" t="s">
        <v>6984</v>
      </c>
      <c r="FRO36" t="s">
        <v>6984</v>
      </c>
      <c r="FRP36" t="s">
        <v>6984</v>
      </c>
      <c r="FRQ36" t="s">
        <v>6984</v>
      </c>
      <c r="FRR36" t="s">
        <v>6984</v>
      </c>
      <c r="FRS36" t="s">
        <v>6984</v>
      </c>
      <c r="FRT36" t="s">
        <v>6984</v>
      </c>
      <c r="FRU36" t="s">
        <v>6984</v>
      </c>
      <c r="FRV36" t="s">
        <v>6984</v>
      </c>
      <c r="FRW36" t="s">
        <v>6984</v>
      </c>
      <c r="FRX36" t="s">
        <v>6984</v>
      </c>
      <c r="FRY36" t="s">
        <v>6984</v>
      </c>
      <c r="FRZ36" t="s">
        <v>6984</v>
      </c>
      <c r="FSA36" t="s">
        <v>6984</v>
      </c>
      <c r="FSB36" t="s">
        <v>6984</v>
      </c>
      <c r="FSC36" t="s">
        <v>6984</v>
      </c>
      <c r="FSD36" t="s">
        <v>6984</v>
      </c>
      <c r="FSE36" t="s">
        <v>6984</v>
      </c>
      <c r="FSF36" t="s">
        <v>6984</v>
      </c>
      <c r="FSG36" t="s">
        <v>6984</v>
      </c>
      <c r="FSH36" t="s">
        <v>6984</v>
      </c>
      <c r="FSI36" t="s">
        <v>6984</v>
      </c>
      <c r="FSJ36" t="s">
        <v>6984</v>
      </c>
      <c r="FSK36" t="s">
        <v>6984</v>
      </c>
      <c r="FSL36" t="s">
        <v>6984</v>
      </c>
      <c r="FSM36" t="s">
        <v>6984</v>
      </c>
      <c r="FSN36" t="s">
        <v>6984</v>
      </c>
      <c r="FSO36" t="s">
        <v>6984</v>
      </c>
      <c r="FSP36" t="s">
        <v>6984</v>
      </c>
      <c r="FSQ36" t="s">
        <v>6984</v>
      </c>
      <c r="FSR36" t="s">
        <v>6984</v>
      </c>
      <c r="FSS36" t="s">
        <v>6984</v>
      </c>
      <c r="FST36" t="s">
        <v>6984</v>
      </c>
      <c r="FSU36" t="s">
        <v>6984</v>
      </c>
      <c r="FSV36" t="s">
        <v>6984</v>
      </c>
      <c r="FSW36" t="s">
        <v>6984</v>
      </c>
      <c r="FSX36" t="s">
        <v>6984</v>
      </c>
      <c r="FSY36" t="s">
        <v>6984</v>
      </c>
      <c r="FSZ36" t="s">
        <v>6984</v>
      </c>
      <c r="FTA36" t="s">
        <v>6984</v>
      </c>
      <c r="FTB36" t="s">
        <v>6984</v>
      </c>
      <c r="FTC36" t="s">
        <v>6984</v>
      </c>
      <c r="FTD36" t="s">
        <v>6984</v>
      </c>
      <c r="FTE36" t="s">
        <v>6984</v>
      </c>
      <c r="FTF36" t="s">
        <v>6984</v>
      </c>
      <c r="FTG36" t="s">
        <v>6984</v>
      </c>
      <c r="FTH36" t="s">
        <v>6984</v>
      </c>
      <c r="FTI36" t="s">
        <v>6984</v>
      </c>
      <c r="FTJ36" t="s">
        <v>6984</v>
      </c>
      <c r="FTK36" t="s">
        <v>6984</v>
      </c>
      <c r="FTL36" t="s">
        <v>6984</v>
      </c>
      <c r="FTM36" t="s">
        <v>6984</v>
      </c>
      <c r="FTN36" t="s">
        <v>6984</v>
      </c>
      <c r="FTO36" t="s">
        <v>6984</v>
      </c>
      <c r="FTP36" t="s">
        <v>6984</v>
      </c>
      <c r="FTQ36" t="s">
        <v>6984</v>
      </c>
      <c r="FTR36" t="s">
        <v>6984</v>
      </c>
      <c r="FTS36" t="s">
        <v>6984</v>
      </c>
      <c r="FTT36" t="s">
        <v>6984</v>
      </c>
      <c r="FTU36" t="s">
        <v>6984</v>
      </c>
      <c r="FTV36" t="s">
        <v>6984</v>
      </c>
      <c r="FTW36" t="s">
        <v>6984</v>
      </c>
      <c r="FTX36" t="s">
        <v>6984</v>
      </c>
      <c r="FTY36" t="s">
        <v>6984</v>
      </c>
      <c r="FTZ36" t="s">
        <v>6984</v>
      </c>
      <c r="FUA36" t="s">
        <v>6984</v>
      </c>
      <c r="FUB36" t="s">
        <v>6984</v>
      </c>
      <c r="FUC36" t="s">
        <v>6984</v>
      </c>
      <c r="FUD36" t="s">
        <v>6984</v>
      </c>
      <c r="FUE36" t="s">
        <v>6984</v>
      </c>
      <c r="FUF36" t="s">
        <v>6984</v>
      </c>
      <c r="FUG36" t="s">
        <v>6984</v>
      </c>
      <c r="FUH36" t="s">
        <v>6984</v>
      </c>
      <c r="FUI36" t="s">
        <v>6984</v>
      </c>
      <c r="FUJ36" t="s">
        <v>6984</v>
      </c>
      <c r="FUK36" t="s">
        <v>6984</v>
      </c>
      <c r="FUL36" t="s">
        <v>6984</v>
      </c>
      <c r="FUM36" t="s">
        <v>6984</v>
      </c>
      <c r="FUN36" t="s">
        <v>6984</v>
      </c>
      <c r="FUO36" t="s">
        <v>6984</v>
      </c>
      <c r="FUP36" t="s">
        <v>6984</v>
      </c>
      <c r="FUQ36" t="s">
        <v>6984</v>
      </c>
      <c r="FUR36" t="s">
        <v>6984</v>
      </c>
      <c r="FUS36" t="s">
        <v>6984</v>
      </c>
      <c r="FUT36" t="s">
        <v>6984</v>
      </c>
      <c r="FUU36" t="s">
        <v>6984</v>
      </c>
      <c r="FUV36" t="s">
        <v>6984</v>
      </c>
      <c r="FUW36" t="s">
        <v>6984</v>
      </c>
      <c r="FUX36" t="s">
        <v>6984</v>
      </c>
      <c r="FUY36" t="s">
        <v>6984</v>
      </c>
      <c r="FUZ36" t="s">
        <v>6984</v>
      </c>
      <c r="FVA36" t="s">
        <v>6984</v>
      </c>
      <c r="FVB36" t="s">
        <v>6984</v>
      </c>
      <c r="FVC36" t="s">
        <v>6984</v>
      </c>
      <c r="FVD36" t="s">
        <v>6984</v>
      </c>
      <c r="FVE36" t="s">
        <v>6984</v>
      </c>
      <c r="FVF36" t="s">
        <v>6984</v>
      </c>
      <c r="FVG36" t="s">
        <v>6984</v>
      </c>
      <c r="FVH36" t="s">
        <v>6984</v>
      </c>
      <c r="FVI36" t="s">
        <v>6984</v>
      </c>
      <c r="FVJ36" t="s">
        <v>6984</v>
      </c>
      <c r="FVK36" t="s">
        <v>6984</v>
      </c>
      <c r="FVL36" t="s">
        <v>6984</v>
      </c>
      <c r="FVM36" t="s">
        <v>6984</v>
      </c>
      <c r="FVN36" t="s">
        <v>6984</v>
      </c>
      <c r="FVO36" t="s">
        <v>6984</v>
      </c>
      <c r="FVP36" t="s">
        <v>6984</v>
      </c>
      <c r="FVQ36" t="s">
        <v>6984</v>
      </c>
      <c r="FVR36" t="s">
        <v>6984</v>
      </c>
      <c r="FVS36" t="s">
        <v>6984</v>
      </c>
      <c r="FVT36" t="s">
        <v>6984</v>
      </c>
      <c r="FVU36" t="s">
        <v>6984</v>
      </c>
      <c r="FVV36" t="s">
        <v>6984</v>
      </c>
      <c r="FVW36" t="s">
        <v>6984</v>
      </c>
      <c r="FVX36" t="s">
        <v>6984</v>
      </c>
      <c r="FVY36" t="s">
        <v>6984</v>
      </c>
      <c r="FVZ36" t="s">
        <v>6984</v>
      </c>
      <c r="FWA36" t="s">
        <v>6984</v>
      </c>
      <c r="FWB36" t="s">
        <v>6984</v>
      </c>
      <c r="FWC36" t="s">
        <v>6984</v>
      </c>
      <c r="FWD36" t="s">
        <v>6984</v>
      </c>
      <c r="FWE36" t="s">
        <v>6984</v>
      </c>
      <c r="FWF36" t="s">
        <v>6984</v>
      </c>
      <c r="FWG36" t="s">
        <v>6984</v>
      </c>
      <c r="FWH36" t="s">
        <v>6984</v>
      </c>
      <c r="FWI36" t="s">
        <v>6984</v>
      </c>
      <c r="FWJ36" t="s">
        <v>6984</v>
      </c>
      <c r="FWK36" t="s">
        <v>6984</v>
      </c>
      <c r="FWL36" t="s">
        <v>6984</v>
      </c>
      <c r="FWM36" t="s">
        <v>6984</v>
      </c>
      <c r="FWN36" t="s">
        <v>6984</v>
      </c>
      <c r="FWO36" t="s">
        <v>6984</v>
      </c>
      <c r="FWP36" t="s">
        <v>6984</v>
      </c>
      <c r="FWQ36" t="s">
        <v>6984</v>
      </c>
      <c r="FWR36" t="s">
        <v>6984</v>
      </c>
      <c r="FWS36" t="s">
        <v>6984</v>
      </c>
      <c r="FWT36" t="s">
        <v>6984</v>
      </c>
      <c r="FWU36" t="s">
        <v>6984</v>
      </c>
      <c r="FWV36" t="s">
        <v>6984</v>
      </c>
      <c r="FWW36" t="s">
        <v>6984</v>
      </c>
      <c r="FWX36" t="s">
        <v>6984</v>
      </c>
      <c r="FWY36" t="s">
        <v>6984</v>
      </c>
      <c r="FWZ36" t="s">
        <v>6984</v>
      </c>
      <c r="FXA36" t="s">
        <v>6984</v>
      </c>
      <c r="FXB36" t="s">
        <v>6984</v>
      </c>
      <c r="FXC36" t="s">
        <v>6984</v>
      </c>
      <c r="FXD36" t="s">
        <v>6984</v>
      </c>
      <c r="FXE36" t="s">
        <v>6984</v>
      </c>
      <c r="FXF36" t="s">
        <v>6984</v>
      </c>
      <c r="FXG36" t="s">
        <v>6984</v>
      </c>
      <c r="FXH36" t="s">
        <v>6984</v>
      </c>
      <c r="FXI36" t="s">
        <v>6984</v>
      </c>
      <c r="FXJ36" t="s">
        <v>6984</v>
      </c>
      <c r="FXK36" t="s">
        <v>6984</v>
      </c>
      <c r="FXL36" t="s">
        <v>6984</v>
      </c>
      <c r="FXM36" t="s">
        <v>6984</v>
      </c>
      <c r="FXN36" t="s">
        <v>6984</v>
      </c>
      <c r="FXO36" t="s">
        <v>6984</v>
      </c>
      <c r="FXP36" t="s">
        <v>6984</v>
      </c>
      <c r="FXQ36" t="s">
        <v>6984</v>
      </c>
      <c r="FXR36" t="s">
        <v>6984</v>
      </c>
      <c r="FXS36" t="s">
        <v>6984</v>
      </c>
      <c r="FXT36" t="s">
        <v>6984</v>
      </c>
      <c r="FXU36" t="s">
        <v>6984</v>
      </c>
      <c r="FXV36" t="s">
        <v>6984</v>
      </c>
      <c r="FXW36" t="s">
        <v>6984</v>
      </c>
      <c r="FXX36" t="s">
        <v>6984</v>
      </c>
      <c r="FXY36" t="s">
        <v>6984</v>
      </c>
      <c r="FXZ36" t="s">
        <v>6984</v>
      </c>
      <c r="FYA36" t="s">
        <v>6984</v>
      </c>
      <c r="FYB36" t="s">
        <v>6984</v>
      </c>
      <c r="FYC36" t="s">
        <v>6984</v>
      </c>
      <c r="FYD36" t="s">
        <v>6984</v>
      </c>
      <c r="FYE36" t="s">
        <v>6984</v>
      </c>
      <c r="FYF36" t="s">
        <v>6984</v>
      </c>
      <c r="FYG36" t="s">
        <v>6984</v>
      </c>
      <c r="FYH36" t="s">
        <v>6984</v>
      </c>
      <c r="FYI36" t="s">
        <v>6984</v>
      </c>
      <c r="FYJ36" t="s">
        <v>6984</v>
      </c>
      <c r="FYK36" t="s">
        <v>6984</v>
      </c>
      <c r="FYL36" t="s">
        <v>6984</v>
      </c>
      <c r="FYM36" t="s">
        <v>6984</v>
      </c>
      <c r="FYN36" t="s">
        <v>6984</v>
      </c>
      <c r="FYO36" t="s">
        <v>6984</v>
      </c>
      <c r="FYP36" t="s">
        <v>6984</v>
      </c>
      <c r="FYQ36" t="s">
        <v>6984</v>
      </c>
      <c r="FYR36" t="s">
        <v>6984</v>
      </c>
      <c r="FYS36" t="s">
        <v>6984</v>
      </c>
      <c r="FYT36" t="s">
        <v>6984</v>
      </c>
      <c r="FYU36" t="s">
        <v>6984</v>
      </c>
      <c r="FYV36" t="s">
        <v>6984</v>
      </c>
      <c r="FYW36" t="s">
        <v>6984</v>
      </c>
      <c r="FYX36" t="s">
        <v>6984</v>
      </c>
      <c r="FYY36" t="s">
        <v>6984</v>
      </c>
      <c r="FYZ36" t="s">
        <v>6984</v>
      </c>
      <c r="FZA36" t="s">
        <v>6984</v>
      </c>
      <c r="FZB36" t="s">
        <v>6984</v>
      </c>
      <c r="FZC36" t="s">
        <v>6984</v>
      </c>
      <c r="FZD36" t="s">
        <v>6984</v>
      </c>
      <c r="FZE36" t="s">
        <v>6984</v>
      </c>
      <c r="FZF36" t="s">
        <v>6984</v>
      </c>
      <c r="FZG36" t="s">
        <v>6984</v>
      </c>
      <c r="FZH36" t="s">
        <v>6984</v>
      </c>
      <c r="FZI36" t="s">
        <v>6984</v>
      </c>
      <c r="FZJ36" t="s">
        <v>6984</v>
      </c>
      <c r="FZK36" t="s">
        <v>6984</v>
      </c>
      <c r="FZL36" t="s">
        <v>6984</v>
      </c>
      <c r="FZM36" t="s">
        <v>6984</v>
      </c>
      <c r="FZN36" t="s">
        <v>6984</v>
      </c>
      <c r="FZO36" t="s">
        <v>6984</v>
      </c>
      <c r="FZP36" t="s">
        <v>6984</v>
      </c>
      <c r="FZQ36" t="s">
        <v>6984</v>
      </c>
      <c r="FZR36" t="s">
        <v>6984</v>
      </c>
      <c r="FZS36" t="s">
        <v>6984</v>
      </c>
      <c r="FZT36" t="s">
        <v>6984</v>
      </c>
      <c r="FZU36" t="s">
        <v>6984</v>
      </c>
      <c r="FZV36" t="s">
        <v>6984</v>
      </c>
      <c r="FZW36" t="s">
        <v>6984</v>
      </c>
      <c r="FZX36" t="s">
        <v>6984</v>
      </c>
      <c r="FZY36" t="s">
        <v>6984</v>
      </c>
      <c r="FZZ36" t="s">
        <v>6984</v>
      </c>
      <c r="GAA36" t="s">
        <v>6984</v>
      </c>
      <c r="GAB36" t="s">
        <v>6984</v>
      </c>
      <c r="GAC36" t="s">
        <v>6984</v>
      </c>
      <c r="GAD36" t="s">
        <v>6984</v>
      </c>
      <c r="GAE36" t="s">
        <v>6984</v>
      </c>
      <c r="GAF36" t="s">
        <v>6984</v>
      </c>
      <c r="GAG36" t="s">
        <v>6984</v>
      </c>
      <c r="GAH36" t="s">
        <v>6984</v>
      </c>
      <c r="GAI36" t="s">
        <v>6984</v>
      </c>
      <c r="GAJ36" t="s">
        <v>6984</v>
      </c>
      <c r="GAK36" t="s">
        <v>6984</v>
      </c>
      <c r="GAL36" t="s">
        <v>6984</v>
      </c>
      <c r="GAM36" t="s">
        <v>6984</v>
      </c>
      <c r="GAN36" t="s">
        <v>6984</v>
      </c>
      <c r="GAO36" t="s">
        <v>6984</v>
      </c>
      <c r="GAP36" t="s">
        <v>6984</v>
      </c>
      <c r="GAQ36" t="s">
        <v>6984</v>
      </c>
      <c r="GAR36" t="s">
        <v>6984</v>
      </c>
      <c r="GAS36" t="s">
        <v>6984</v>
      </c>
      <c r="GAT36" t="s">
        <v>6984</v>
      </c>
      <c r="GAU36" t="s">
        <v>6984</v>
      </c>
      <c r="GAV36" t="s">
        <v>6984</v>
      </c>
      <c r="GAW36" t="s">
        <v>6984</v>
      </c>
      <c r="GAX36" t="s">
        <v>6984</v>
      </c>
      <c r="GAY36" t="s">
        <v>6984</v>
      </c>
      <c r="GAZ36" t="s">
        <v>6984</v>
      </c>
      <c r="GBA36" t="s">
        <v>6984</v>
      </c>
      <c r="GBB36" t="s">
        <v>6984</v>
      </c>
      <c r="GBC36" t="s">
        <v>6984</v>
      </c>
      <c r="GBD36" t="s">
        <v>6984</v>
      </c>
      <c r="GBE36" t="s">
        <v>6984</v>
      </c>
      <c r="GBF36" t="s">
        <v>6984</v>
      </c>
      <c r="GBG36" t="s">
        <v>6984</v>
      </c>
      <c r="GBH36" t="s">
        <v>6984</v>
      </c>
      <c r="GBI36" t="s">
        <v>6984</v>
      </c>
      <c r="GBJ36" t="s">
        <v>6984</v>
      </c>
      <c r="GBK36" t="s">
        <v>6984</v>
      </c>
      <c r="GBL36" t="s">
        <v>6984</v>
      </c>
      <c r="GBM36" t="s">
        <v>6984</v>
      </c>
      <c r="GBN36" t="s">
        <v>6984</v>
      </c>
      <c r="GBO36" t="s">
        <v>6984</v>
      </c>
      <c r="GBP36" t="s">
        <v>6984</v>
      </c>
      <c r="GBQ36" t="s">
        <v>6984</v>
      </c>
      <c r="GBR36" t="s">
        <v>6984</v>
      </c>
      <c r="GBS36" t="s">
        <v>6984</v>
      </c>
      <c r="GBT36" t="s">
        <v>6984</v>
      </c>
      <c r="GBU36" t="s">
        <v>6984</v>
      </c>
      <c r="GBV36" t="s">
        <v>6984</v>
      </c>
      <c r="GBW36" t="s">
        <v>6984</v>
      </c>
      <c r="GBX36" t="s">
        <v>6984</v>
      </c>
      <c r="GBY36" t="s">
        <v>6984</v>
      </c>
      <c r="GBZ36" t="s">
        <v>6984</v>
      </c>
      <c r="GCA36" t="s">
        <v>6984</v>
      </c>
      <c r="GCB36" t="s">
        <v>6984</v>
      </c>
      <c r="GCC36" t="s">
        <v>6984</v>
      </c>
      <c r="GCD36" t="s">
        <v>6984</v>
      </c>
      <c r="GCE36" t="s">
        <v>6984</v>
      </c>
      <c r="GCF36" t="s">
        <v>6984</v>
      </c>
      <c r="GCG36" t="s">
        <v>6984</v>
      </c>
      <c r="GCH36" t="s">
        <v>6984</v>
      </c>
      <c r="GCI36" t="s">
        <v>6984</v>
      </c>
      <c r="GCJ36" t="s">
        <v>6984</v>
      </c>
      <c r="GCK36" t="s">
        <v>6984</v>
      </c>
      <c r="GCL36" t="s">
        <v>6984</v>
      </c>
      <c r="GCM36" t="s">
        <v>6984</v>
      </c>
      <c r="GCN36" t="s">
        <v>6984</v>
      </c>
      <c r="GCO36" t="s">
        <v>6984</v>
      </c>
      <c r="GCP36" t="s">
        <v>6984</v>
      </c>
      <c r="GCQ36" t="s">
        <v>6984</v>
      </c>
      <c r="GCR36" t="s">
        <v>6984</v>
      </c>
      <c r="GCS36" t="s">
        <v>6984</v>
      </c>
      <c r="GCT36" t="s">
        <v>6984</v>
      </c>
      <c r="GCU36" t="s">
        <v>6984</v>
      </c>
      <c r="GCV36" t="s">
        <v>6984</v>
      </c>
      <c r="GCW36" t="s">
        <v>6984</v>
      </c>
      <c r="GCX36" t="s">
        <v>6984</v>
      </c>
      <c r="GCY36" t="s">
        <v>6984</v>
      </c>
      <c r="GCZ36" t="s">
        <v>6984</v>
      </c>
      <c r="GDA36" t="s">
        <v>6984</v>
      </c>
      <c r="GDB36" t="s">
        <v>6984</v>
      </c>
      <c r="GDC36" t="s">
        <v>6984</v>
      </c>
      <c r="GDD36" t="s">
        <v>6984</v>
      </c>
      <c r="GDE36" t="s">
        <v>6984</v>
      </c>
      <c r="GDF36" t="s">
        <v>6984</v>
      </c>
      <c r="GDG36" t="s">
        <v>6984</v>
      </c>
      <c r="GDH36" t="s">
        <v>6984</v>
      </c>
      <c r="GDI36" t="s">
        <v>6984</v>
      </c>
      <c r="GDJ36" t="s">
        <v>6984</v>
      </c>
      <c r="GDK36" t="s">
        <v>6984</v>
      </c>
      <c r="GDL36" t="s">
        <v>6984</v>
      </c>
      <c r="GDM36" t="s">
        <v>6984</v>
      </c>
      <c r="GDN36" t="s">
        <v>6984</v>
      </c>
      <c r="GDO36" t="s">
        <v>6984</v>
      </c>
      <c r="GDP36" t="s">
        <v>6984</v>
      </c>
      <c r="GDQ36" t="s">
        <v>6984</v>
      </c>
      <c r="GDR36" t="s">
        <v>6984</v>
      </c>
      <c r="GDS36" t="s">
        <v>6984</v>
      </c>
      <c r="GDT36" t="s">
        <v>6984</v>
      </c>
      <c r="GDU36" t="s">
        <v>6984</v>
      </c>
      <c r="GDV36" t="s">
        <v>6984</v>
      </c>
      <c r="GDW36" t="s">
        <v>6984</v>
      </c>
      <c r="GDX36" t="s">
        <v>6984</v>
      </c>
      <c r="GDY36" t="s">
        <v>6984</v>
      </c>
      <c r="GDZ36" t="s">
        <v>6984</v>
      </c>
      <c r="GEA36" t="s">
        <v>6984</v>
      </c>
      <c r="GEB36" t="s">
        <v>6984</v>
      </c>
      <c r="GEC36" t="s">
        <v>6984</v>
      </c>
      <c r="GED36" t="s">
        <v>6984</v>
      </c>
      <c r="GEE36" t="s">
        <v>6984</v>
      </c>
      <c r="GEF36" t="s">
        <v>6984</v>
      </c>
      <c r="GEG36" t="s">
        <v>6984</v>
      </c>
      <c r="GEH36" t="s">
        <v>6984</v>
      </c>
      <c r="GEI36" t="s">
        <v>6984</v>
      </c>
      <c r="GEJ36" t="s">
        <v>6984</v>
      </c>
      <c r="GEK36" t="s">
        <v>6984</v>
      </c>
      <c r="GEL36" t="s">
        <v>6984</v>
      </c>
      <c r="GEM36" t="s">
        <v>6984</v>
      </c>
      <c r="GEN36" t="s">
        <v>6984</v>
      </c>
      <c r="GEO36" t="s">
        <v>6984</v>
      </c>
      <c r="GEP36" t="s">
        <v>6984</v>
      </c>
      <c r="GEQ36" t="s">
        <v>6984</v>
      </c>
      <c r="GER36" t="s">
        <v>6984</v>
      </c>
      <c r="GES36" t="s">
        <v>6984</v>
      </c>
      <c r="GET36" t="s">
        <v>6984</v>
      </c>
      <c r="GEU36" t="s">
        <v>6984</v>
      </c>
      <c r="GEV36" t="s">
        <v>6984</v>
      </c>
      <c r="GEW36" t="s">
        <v>6984</v>
      </c>
      <c r="GEX36" t="s">
        <v>6984</v>
      </c>
      <c r="GEY36" t="s">
        <v>6984</v>
      </c>
      <c r="GEZ36" t="s">
        <v>6984</v>
      </c>
      <c r="GFA36" t="s">
        <v>6984</v>
      </c>
      <c r="GFB36" t="s">
        <v>6984</v>
      </c>
      <c r="GFC36" t="s">
        <v>6984</v>
      </c>
      <c r="GFD36" t="s">
        <v>6984</v>
      </c>
      <c r="GFE36" t="s">
        <v>6984</v>
      </c>
      <c r="GFF36" t="s">
        <v>6984</v>
      </c>
      <c r="GFG36" t="s">
        <v>6984</v>
      </c>
      <c r="GFH36" t="s">
        <v>6984</v>
      </c>
      <c r="GFI36" t="s">
        <v>6984</v>
      </c>
      <c r="GFJ36" t="s">
        <v>6984</v>
      </c>
      <c r="GFK36" t="s">
        <v>6984</v>
      </c>
      <c r="GFL36" t="s">
        <v>6984</v>
      </c>
      <c r="GFM36" t="s">
        <v>6984</v>
      </c>
      <c r="GFN36" t="s">
        <v>6984</v>
      </c>
      <c r="GFO36" t="s">
        <v>6984</v>
      </c>
      <c r="GFP36" t="s">
        <v>6984</v>
      </c>
      <c r="GFQ36" t="s">
        <v>6984</v>
      </c>
      <c r="GFR36" t="s">
        <v>6984</v>
      </c>
      <c r="GFS36" t="s">
        <v>6984</v>
      </c>
      <c r="GFT36" t="s">
        <v>6984</v>
      </c>
      <c r="GFU36" t="s">
        <v>6984</v>
      </c>
      <c r="GFV36" t="s">
        <v>6984</v>
      </c>
      <c r="GFW36" t="s">
        <v>6984</v>
      </c>
      <c r="GFX36" t="s">
        <v>6984</v>
      </c>
      <c r="GFY36" t="s">
        <v>6984</v>
      </c>
      <c r="GFZ36" t="s">
        <v>6984</v>
      </c>
      <c r="GGA36" t="s">
        <v>6984</v>
      </c>
      <c r="GGB36" t="s">
        <v>6984</v>
      </c>
      <c r="GGC36" t="s">
        <v>6984</v>
      </c>
      <c r="GGD36" t="s">
        <v>6984</v>
      </c>
      <c r="GGE36" t="s">
        <v>6984</v>
      </c>
      <c r="GGF36" t="s">
        <v>6984</v>
      </c>
      <c r="GGG36" t="s">
        <v>6984</v>
      </c>
      <c r="GGH36" t="s">
        <v>6984</v>
      </c>
      <c r="GGI36" t="s">
        <v>6984</v>
      </c>
      <c r="GGJ36" t="s">
        <v>6984</v>
      </c>
      <c r="GGK36" t="s">
        <v>6984</v>
      </c>
      <c r="GGL36" t="s">
        <v>6984</v>
      </c>
      <c r="GGM36" t="s">
        <v>6984</v>
      </c>
      <c r="GGN36" t="s">
        <v>6984</v>
      </c>
      <c r="GGO36" t="s">
        <v>6984</v>
      </c>
      <c r="GGP36" t="s">
        <v>6984</v>
      </c>
      <c r="GGQ36" t="s">
        <v>6984</v>
      </c>
      <c r="GGR36" t="s">
        <v>6984</v>
      </c>
      <c r="GGS36" t="s">
        <v>6984</v>
      </c>
      <c r="GGT36" t="s">
        <v>6984</v>
      </c>
      <c r="GGU36" t="s">
        <v>6984</v>
      </c>
      <c r="GGV36" t="s">
        <v>6984</v>
      </c>
      <c r="GGW36" t="s">
        <v>6984</v>
      </c>
      <c r="GGX36" t="s">
        <v>6984</v>
      </c>
      <c r="GGY36" t="s">
        <v>6984</v>
      </c>
      <c r="GGZ36" t="s">
        <v>6984</v>
      </c>
      <c r="GHA36" t="s">
        <v>6984</v>
      </c>
      <c r="GHB36" t="s">
        <v>6984</v>
      </c>
      <c r="GHC36" t="s">
        <v>6984</v>
      </c>
      <c r="GHD36" t="s">
        <v>6984</v>
      </c>
      <c r="GHE36" t="s">
        <v>6984</v>
      </c>
      <c r="GHF36" t="s">
        <v>6984</v>
      </c>
      <c r="GHG36" t="s">
        <v>6984</v>
      </c>
      <c r="GHH36" t="s">
        <v>6984</v>
      </c>
      <c r="GHI36" t="s">
        <v>6984</v>
      </c>
      <c r="GHJ36" t="s">
        <v>6984</v>
      </c>
      <c r="GHK36" t="s">
        <v>6984</v>
      </c>
      <c r="GHL36" t="s">
        <v>6984</v>
      </c>
      <c r="GHM36" t="s">
        <v>6984</v>
      </c>
      <c r="GHN36" t="s">
        <v>6984</v>
      </c>
      <c r="GHO36" t="s">
        <v>6984</v>
      </c>
      <c r="GHP36" t="s">
        <v>6984</v>
      </c>
      <c r="GHQ36" t="s">
        <v>6984</v>
      </c>
      <c r="GHR36" t="s">
        <v>6984</v>
      </c>
      <c r="GHS36" t="s">
        <v>6984</v>
      </c>
      <c r="GHT36" t="s">
        <v>6984</v>
      </c>
      <c r="GHU36" t="s">
        <v>6984</v>
      </c>
      <c r="GHV36" t="s">
        <v>6984</v>
      </c>
      <c r="GHW36" t="s">
        <v>6984</v>
      </c>
      <c r="GHX36" t="s">
        <v>6984</v>
      </c>
      <c r="GHY36" t="s">
        <v>6984</v>
      </c>
      <c r="GHZ36" t="s">
        <v>6984</v>
      </c>
      <c r="GIA36" t="s">
        <v>6984</v>
      </c>
      <c r="GIB36" t="s">
        <v>6984</v>
      </c>
      <c r="GIC36" t="s">
        <v>6984</v>
      </c>
      <c r="GID36" t="s">
        <v>6984</v>
      </c>
      <c r="GIE36" t="s">
        <v>6984</v>
      </c>
      <c r="GIF36" t="s">
        <v>6984</v>
      </c>
      <c r="GIG36" t="s">
        <v>6984</v>
      </c>
      <c r="GIH36" t="s">
        <v>6984</v>
      </c>
      <c r="GII36" t="s">
        <v>6984</v>
      </c>
      <c r="GIJ36" t="s">
        <v>6984</v>
      </c>
      <c r="GIK36" t="s">
        <v>6984</v>
      </c>
      <c r="GIL36" t="s">
        <v>6984</v>
      </c>
      <c r="GIM36" t="s">
        <v>6984</v>
      </c>
      <c r="GIN36" t="s">
        <v>6984</v>
      </c>
      <c r="GIO36" t="s">
        <v>6984</v>
      </c>
      <c r="GIP36" t="s">
        <v>6984</v>
      </c>
      <c r="GIQ36" t="s">
        <v>6984</v>
      </c>
      <c r="GIR36" t="s">
        <v>6984</v>
      </c>
      <c r="GIS36" t="s">
        <v>6984</v>
      </c>
      <c r="GIT36" t="s">
        <v>6984</v>
      </c>
      <c r="GIU36" t="s">
        <v>6984</v>
      </c>
      <c r="GIV36" t="s">
        <v>6984</v>
      </c>
      <c r="GIW36" t="s">
        <v>6984</v>
      </c>
      <c r="GIX36" t="s">
        <v>6984</v>
      </c>
      <c r="GIY36" t="s">
        <v>6984</v>
      </c>
      <c r="GIZ36" t="s">
        <v>6984</v>
      </c>
      <c r="GJA36" t="s">
        <v>6984</v>
      </c>
      <c r="GJB36" t="s">
        <v>6984</v>
      </c>
      <c r="GJC36" t="s">
        <v>6984</v>
      </c>
      <c r="GJD36" t="s">
        <v>6984</v>
      </c>
      <c r="GJE36" t="s">
        <v>6984</v>
      </c>
      <c r="GJF36" t="s">
        <v>6984</v>
      </c>
      <c r="GJG36" t="s">
        <v>6984</v>
      </c>
      <c r="GJH36" t="s">
        <v>6984</v>
      </c>
      <c r="GJI36" t="s">
        <v>6984</v>
      </c>
      <c r="GJJ36" t="s">
        <v>6984</v>
      </c>
      <c r="GJK36" t="s">
        <v>6984</v>
      </c>
      <c r="GJL36" t="s">
        <v>6984</v>
      </c>
      <c r="GJM36" t="s">
        <v>6984</v>
      </c>
      <c r="GJN36" t="s">
        <v>6984</v>
      </c>
      <c r="GJO36" t="s">
        <v>6984</v>
      </c>
      <c r="GJP36" t="s">
        <v>6984</v>
      </c>
      <c r="GJQ36" t="s">
        <v>6984</v>
      </c>
      <c r="GJR36" t="s">
        <v>6984</v>
      </c>
      <c r="GJS36" t="s">
        <v>6984</v>
      </c>
      <c r="GJT36" t="s">
        <v>6984</v>
      </c>
      <c r="GJU36" t="s">
        <v>6984</v>
      </c>
      <c r="GJV36" t="s">
        <v>6984</v>
      </c>
      <c r="GJW36" t="s">
        <v>6984</v>
      </c>
      <c r="GJX36" t="s">
        <v>6984</v>
      </c>
      <c r="GJY36" t="s">
        <v>6984</v>
      </c>
      <c r="GJZ36" t="s">
        <v>6984</v>
      </c>
      <c r="GKA36" t="s">
        <v>6984</v>
      </c>
      <c r="GKB36" t="s">
        <v>6984</v>
      </c>
      <c r="GKC36" t="s">
        <v>6984</v>
      </c>
      <c r="GKD36" t="s">
        <v>6984</v>
      </c>
      <c r="GKE36" t="s">
        <v>6984</v>
      </c>
      <c r="GKF36" t="s">
        <v>6984</v>
      </c>
      <c r="GKG36" t="s">
        <v>6984</v>
      </c>
      <c r="GKH36" t="s">
        <v>6984</v>
      </c>
      <c r="GKI36" t="s">
        <v>6984</v>
      </c>
      <c r="GKJ36" t="s">
        <v>6984</v>
      </c>
      <c r="GKK36" t="s">
        <v>6984</v>
      </c>
      <c r="GKL36" t="s">
        <v>6984</v>
      </c>
      <c r="GKM36" t="s">
        <v>6984</v>
      </c>
      <c r="GKN36" t="s">
        <v>6984</v>
      </c>
      <c r="GKO36" t="s">
        <v>6984</v>
      </c>
      <c r="GKP36" t="s">
        <v>6984</v>
      </c>
      <c r="GKQ36" t="s">
        <v>6984</v>
      </c>
      <c r="GKR36" t="s">
        <v>6984</v>
      </c>
      <c r="GKS36" t="s">
        <v>6984</v>
      </c>
      <c r="GKT36" t="s">
        <v>6984</v>
      </c>
      <c r="GKU36" t="s">
        <v>6984</v>
      </c>
      <c r="GKV36" t="s">
        <v>6984</v>
      </c>
      <c r="GKW36" t="s">
        <v>6984</v>
      </c>
      <c r="GKX36" t="s">
        <v>6984</v>
      </c>
      <c r="GKY36" t="s">
        <v>6984</v>
      </c>
      <c r="GKZ36" t="s">
        <v>6984</v>
      </c>
      <c r="GLA36" t="s">
        <v>6984</v>
      </c>
      <c r="GLB36" t="s">
        <v>6984</v>
      </c>
      <c r="GLC36" t="s">
        <v>6984</v>
      </c>
      <c r="GLD36" t="s">
        <v>6984</v>
      </c>
      <c r="GLE36" t="s">
        <v>6984</v>
      </c>
      <c r="GLF36" t="s">
        <v>6984</v>
      </c>
      <c r="GLG36" t="s">
        <v>6984</v>
      </c>
      <c r="GLH36" t="s">
        <v>6984</v>
      </c>
      <c r="GLI36" t="s">
        <v>6984</v>
      </c>
      <c r="GLJ36" t="s">
        <v>6984</v>
      </c>
      <c r="GLK36" t="s">
        <v>6984</v>
      </c>
      <c r="GLL36" t="s">
        <v>6984</v>
      </c>
      <c r="GLM36" t="s">
        <v>6984</v>
      </c>
      <c r="GLN36" t="s">
        <v>6984</v>
      </c>
      <c r="GLO36" t="s">
        <v>6984</v>
      </c>
      <c r="GLP36" t="s">
        <v>6984</v>
      </c>
      <c r="GLQ36" t="s">
        <v>6984</v>
      </c>
      <c r="GLR36" t="s">
        <v>6984</v>
      </c>
      <c r="GLS36" t="s">
        <v>6984</v>
      </c>
      <c r="GLT36" t="s">
        <v>6984</v>
      </c>
      <c r="GLU36" t="s">
        <v>6984</v>
      </c>
      <c r="GLV36" t="s">
        <v>6984</v>
      </c>
      <c r="GLW36" t="s">
        <v>6984</v>
      </c>
      <c r="GLX36" t="s">
        <v>6984</v>
      </c>
      <c r="GLY36" t="s">
        <v>6984</v>
      </c>
      <c r="GLZ36" t="s">
        <v>6984</v>
      </c>
      <c r="GMA36" t="s">
        <v>6984</v>
      </c>
      <c r="GMB36" t="s">
        <v>6984</v>
      </c>
      <c r="GMC36" t="s">
        <v>6984</v>
      </c>
      <c r="GMD36" t="s">
        <v>6984</v>
      </c>
      <c r="GME36" t="s">
        <v>6984</v>
      </c>
      <c r="GMF36" t="s">
        <v>6984</v>
      </c>
      <c r="GMG36" t="s">
        <v>6984</v>
      </c>
      <c r="GMH36" t="s">
        <v>6984</v>
      </c>
      <c r="GMI36" t="s">
        <v>6984</v>
      </c>
      <c r="GMJ36" t="s">
        <v>6984</v>
      </c>
      <c r="GMK36" t="s">
        <v>6984</v>
      </c>
      <c r="GML36" t="s">
        <v>6984</v>
      </c>
      <c r="GMM36" t="s">
        <v>6984</v>
      </c>
      <c r="GMN36" t="s">
        <v>6984</v>
      </c>
      <c r="GMO36" t="s">
        <v>6984</v>
      </c>
      <c r="GMP36" t="s">
        <v>6984</v>
      </c>
      <c r="GMQ36" t="s">
        <v>6984</v>
      </c>
      <c r="GMR36" t="s">
        <v>6984</v>
      </c>
      <c r="GMS36" t="s">
        <v>6984</v>
      </c>
      <c r="GMT36" t="s">
        <v>6984</v>
      </c>
      <c r="GMU36" t="s">
        <v>6984</v>
      </c>
      <c r="GMV36" t="s">
        <v>6984</v>
      </c>
      <c r="GMW36" t="s">
        <v>6984</v>
      </c>
      <c r="GMX36" t="s">
        <v>6984</v>
      </c>
      <c r="GMY36" t="s">
        <v>6984</v>
      </c>
      <c r="GMZ36" t="s">
        <v>6984</v>
      </c>
      <c r="GNA36" t="s">
        <v>6984</v>
      </c>
      <c r="GNB36" t="s">
        <v>6984</v>
      </c>
      <c r="GNC36" t="s">
        <v>6984</v>
      </c>
      <c r="GND36" t="s">
        <v>6984</v>
      </c>
      <c r="GNE36" t="s">
        <v>6984</v>
      </c>
      <c r="GNF36" t="s">
        <v>6984</v>
      </c>
      <c r="GNG36" t="s">
        <v>6984</v>
      </c>
      <c r="GNH36" t="s">
        <v>6984</v>
      </c>
      <c r="GNI36" t="s">
        <v>6984</v>
      </c>
      <c r="GNJ36" t="s">
        <v>6984</v>
      </c>
      <c r="GNK36" t="s">
        <v>6984</v>
      </c>
      <c r="GNL36" t="s">
        <v>6984</v>
      </c>
      <c r="GNM36" t="s">
        <v>6984</v>
      </c>
      <c r="GNN36" t="s">
        <v>6984</v>
      </c>
      <c r="GNO36" t="s">
        <v>6984</v>
      </c>
      <c r="GNP36" t="s">
        <v>6984</v>
      </c>
      <c r="GNQ36" t="s">
        <v>6984</v>
      </c>
      <c r="GNR36" t="s">
        <v>6984</v>
      </c>
      <c r="GNS36" t="s">
        <v>6984</v>
      </c>
      <c r="GNT36" t="s">
        <v>6984</v>
      </c>
      <c r="GNU36" t="s">
        <v>6984</v>
      </c>
      <c r="GNV36" t="s">
        <v>6984</v>
      </c>
      <c r="GNW36" t="s">
        <v>6984</v>
      </c>
      <c r="GNX36" t="s">
        <v>6984</v>
      </c>
      <c r="GNY36" t="s">
        <v>6984</v>
      </c>
      <c r="GNZ36" t="s">
        <v>6984</v>
      </c>
      <c r="GOA36" t="s">
        <v>6984</v>
      </c>
      <c r="GOB36" t="s">
        <v>6984</v>
      </c>
      <c r="GOC36" t="s">
        <v>6984</v>
      </c>
      <c r="GOD36" t="s">
        <v>6984</v>
      </c>
      <c r="GOE36" t="s">
        <v>6984</v>
      </c>
      <c r="GOF36" t="s">
        <v>6984</v>
      </c>
      <c r="GOG36" t="s">
        <v>6984</v>
      </c>
      <c r="GOH36" t="s">
        <v>6984</v>
      </c>
      <c r="GOI36" t="s">
        <v>6984</v>
      </c>
      <c r="GOJ36" t="s">
        <v>6984</v>
      </c>
      <c r="GOK36" t="s">
        <v>6984</v>
      </c>
      <c r="GOL36" t="s">
        <v>6984</v>
      </c>
      <c r="GOM36" t="s">
        <v>6984</v>
      </c>
      <c r="GON36" t="s">
        <v>6984</v>
      </c>
      <c r="GOO36" t="s">
        <v>6984</v>
      </c>
      <c r="GOP36" t="s">
        <v>6984</v>
      </c>
      <c r="GOQ36" t="s">
        <v>6984</v>
      </c>
      <c r="GOR36" t="s">
        <v>6984</v>
      </c>
      <c r="GOS36" t="s">
        <v>6984</v>
      </c>
      <c r="GOT36" t="s">
        <v>6984</v>
      </c>
      <c r="GOU36" t="s">
        <v>6984</v>
      </c>
      <c r="GOV36" t="s">
        <v>6984</v>
      </c>
      <c r="GOW36" t="s">
        <v>6984</v>
      </c>
      <c r="GOX36" t="s">
        <v>6984</v>
      </c>
      <c r="GOY36" t="s">
        <v>6984</v>
      </c>
      <c r="GOZ36" t="s">
        <v>6984</v>
      </c>
      <c r="GPA36" t="s">
        <v>6984</v>
      </c>
      <c r="GPB36" t="s">
        <v>6984</v>
      </c>
      <c r="GPC36" t="s">
        <v>6984</v>
      </c>
      <c r="GPD36" t="s">
        <v>6984</v>
      </c>
      <c r="GPE36" t="s">
        <v>6984</v>
      </c>
      <c r="GPF36" t="s">
        <v>6984</v>
      </c>
      <c r="GPG36" t="s">
        <v>6984</v>
      </c>
      <c r="GPH36" t="s">
        <v>6984</v>
      </c>
      <c r="GPI36" t="s">
        <v>6984</v>
      </c>
      <c r="GPJ36" t="s">
        <v>6984</v>
      </c>
      <c r="GPK36" t="s">
        <v>6984</v>
      </c>
      <c r="GPL36" t="s">
        <v>6984</v>
      </c>
      <c r="GPM36" t="s">
        <v>6984</v>
      </c>
      <c r="GPN36" t="s">
        <v>6984</v>
      </c>
      <c r="GPO36" t="s">
        <v>6984</v>
      </c>
      <c r="GPP36" t="s">
        <v>6984</v>
      </c>
      <c r="GPQ36" t="s">
        <v>6984</v>
      </c>
      <c r="GPR36" t="s">
        <v>6984</v>
      </c>
      <c r="GPS36" t="s">
        <v>6984</v>
      </c>
      <c r="GPT36" t="s">
        <v>6984</v>
      </c>
      <c r="GPU36" t="s">
        <v>6984</v>
      </c>
      <c r="GPV36" t="s">
        <v>6984</v>
      </c>
      <c r="GPW36" t="s">
        <v>6984</v>
      </c>
      <c r="GPX36" t="s">
        <v>6984</v>
      </c>
      <c r="GPY36" t="s">
        <v>6984</v>
      </c>
      <c r="GPZ36" t="s">
        <v>6984</v>
      </c>
      <c r="GQA36" t="s">
        <v>6984</v>
      </c>
      <c r="GQB36" t="s">
        <v>6984</v>
      </c>
      <c r="GQC36" t="s">
        <v>6984</v>
      </c>
      <c r="GQD36" t="s">
        <v>6984</v>
      </c>
      <c r="GQE36" t="s">
        <v>6984</v>
      </c>
      <c r="GQF36" t="s">
        <v>6984</v>
      </c>
      <c r="GQG36" t="s">
        <v>6984</v>
      </c>
      <c r="GQH36" t="s">
        <v>6984</v>
      </c>
      <c r="GQI36" t="s">
        <v>6984</v>
      </c>
      <c r="GQJ36" t="s">
        <v>6984</v>
      </c>
      <c r="GQK36" t="s">
        <v>6984</v>
      </c>
      <c r="GQL36" t="s">
        <v>6984</v>
      </c>
      <c r="GQM36" t="s">
        <v>6984</v>
      </c>
      <c r="GQN36" t="s">
        <v>6984</v>
      </c>
      <c r="GQO36" t="s">
        <v>6984</v>
      </c>
      <c r="GQP36" t="s">
        <v>6984</v>
      </c>
      <c r="GQQ36" t="s">
        <v>6984</v>
      </c>
      <c r="GQR36" t="s">
        <v>6984</v>
      </c>
      <c r="GQS36" t="s">
        <v>6984</v>
      </c>
      <c r="GQT36" t="s">
        <v>6984</v>
      </c>
      <c r="GQU36" t="s">
        <v>6984</v>
      </c>
      <c r="GQV36" t="s">
        <v>6984</v>
      </c>
      <c r="GQW36" t="s">
        <v>6984</v>
      </c>
      <c r="GQX36" t="s">
        <v>6984</v>
      </c>
      <c r="GQY36" t="s">
        <v>6984</v>
      </c>
      <c r="GQZ36" t="s">
        <v>6984</v>
      </c>
      <c r="GRA36" t="s">
        <v>6984</v>
      </c>
      <c r="GRB36" t="s">
        <v>6984</v>
      </c>
      <c r="GRC36" t="s">
        <v>6984</v>
      </c>
      <c r="GRD36" t="s">
        <v>6984</v>
      </c>
      <c r="GRE36" t="s">
        <v>6984</v>
      </c>
      <c r="GRF36" t="s">
        <v>6984</v>
      </c>
      <c r="GRG36" t="s">
        <v>6984</v>
      </c>
      <c r="GRH36" t="s">
        <v>6984</v>
      </c>
      <c r="GRI36" t="s">
        <v>6984</v>
      </c>
      <c r="GRJ36" t="s">
        <v>6984</v>
      </c>
      <c r="GRK36" t="s">
        <v>6984</v>
      </c>
      <c r="GRL36" t="s">
        <v>6984</v>
      </c>
      <c r="GRM36" t="s">
        <v>6984</v>
      </c>
      <c r="GRN36" t="s">
        <v>6984</v>
      </c>
      <c r="GRO36" t="s">
        <v>6984</v>
      </c>
      <c r="GRP36" t="s">
        <v>6984</v>
      </c>
      <c r="GRQ36" t="s">
        <v>6984</v>
      </c>
      <c r="GRR36" t="s">
        <v>6984</v>
      </c>
      <c r="GRS36" t="s">
        <v>6984</v>
      </c>
      <c r="GRT36" t="s">
        <v>6984</v>
      </c>
      <c r="GRU36" t="s">
        <v>6984</v>
      </c>
      <c r="GRV36" t="s">
        <v>6984</v>
      </c>
      <c r="GRW36" t="s">
        <v>6984</v>
      </c>
      <c r="GRX36" t="s">
        <v>6984</v>
      </c>
      <c r="GRY36" t="s">
        <v>6984</v>
      </c>
      <c r="GRZ36" t="s">
        <v>6984</v>
      </c>
      <c r="GSA36" t="s">
        <v>6984</v>
      </c>
      <c r="GSB36" t="s">
        <v>6984</v>
      </c>
      <c r="GSC36" t="s">
        <v>6984</v>
      </c>
      <c r="GSD36" t="s">
        <v>6984</v>
      </c>
      <c r="GSE36" t="s">
        <v>6984</v>
      </c>
      <c r="GSF36" t="s">
        <v>6984</v>
      </c>
      <c r="GSG36" t="s">
        <v>6984</v>
      </c>
      <c r="GSH36" t="s">
        <v>6984</v>
      </c>
      <c r="GSI36" t="s">
        <v>6984</v>
      </c>
      <c r="GSJ36" t="s">
        <v>6984</v>
      </c>
      <c r="GSK36" t="s">
        <v>6984</v>
      </c>
      <c r="GSL36" t="s">
        <v>6984</v>
      </c>
      <c r="GSM36" t="s">
        <v>6984</v>
      </c>
      <c r="GSN36" t="s">
        <v>6984</v>
      </c>
      <c r="GSO36" t="s">
        <v>6984</v>
      </c>
      <c r="GSP36" t="s">
        <v>6984</v>
      </c>
      <c r="GSQ36" t="s">
        <v>6984</v>
      </c>
      <c r="GSR36" t="s">
        <v>6984</v>
      </c>
      <c r="GSS36" t="s">
        <v>6984</v>
      </c>
      <c r="GST36" t="s">
        <v>6984</v>
      </c>
      <c r="GSU36" t="s">
        <v>6984</v>
      </c>
      <c r="GSV36" t="s">
        <v>6984</v>
      </c>
      <c r="GSW36" t="s">
        <v>6984</v>
      </c>
      <c r="GSX36" t="s">
        <v>6984</v>
      </c>
      <c r="GSY36" t="s">
        <v>6984</v>
      </c>
      <c r="GSZ36" t="s">
        <v>6984</v>
      </c>
      <c r="GTA36" t="s">
        <v>6984</v>
      </c>
      <c r="GTB36" t="s">
        <v>6984</v>
      </c>
      <c r="GTC36" t="s">
        <v>6984</v>
      </c>
      <c r="GTD36" t="s">
        <v>6984</v>
      </c>
      <c r="GTE36" t="s">
        <v>6984</v>
      </c>
      <c r="GTF36" t="s">
        <v>6984</v>
      </c>
      <c r="GTG36" t="s">
        <v>6984</v>
      </c>
      <c r="GTH36" t="s">
        <v>6984</v>
      </c>
      <c r="GTI36" t="s">
        <v>6984</v>
      </c>
      <c r="GTJ36" t="s">
        <v>6984</v>
      </c>
      <c r="GTK36" t="s">
        <v>6984</v>
      </c>
      <c r="GTL36" t="s">
        <v>6984</v>
      </c>
      <c r="GTM36" t="s">
        <v>6984</v>
      </c>
      <c r="GTN36" t="s">
        <v>6984</v>
      </c>
      <c r="GTO36" t="s">
        <v>6984</v>
      </c>
      <c r="GTP36" t="s">
        <v>6984</v>
      </c>
      <c r="GTQ36" t="s">
        <v>6984</v>
      </c>
      <c r="GTR36" t="s">
        <v>6984</v>
      </c>
      <c r="GTS36" t="s">
        <v>6984</v>
      </c>
      <c r="GTT36" t="s">
        <v>6984</v>
      </c>
      <c r="GTU36" t="s">
        <v>6984</v>
      </c>
      <c r="GTV36" t="s">
        <v>6984</v>
      </c>
      <c r="GTW36" t="s">
        <v>6984</v>
      </c>
      <c r="GTX36" t="s">
        <v>6984</v>
      </c>
      <c r="GTY36" t="s">
        <v>6984</v>
      </c>
      <c r="GTZ36" t="s">
        <v>6984</v>
      </c>
      <c r="GUA36" t="s">
        <v>6984</v>
      </c>
      <c r="GUB36" t="s">
        <v>6984</v>
      </c>
      <c r="GUC36" t="s">
        <v>6984</v>
      </c>
      <c r="GUD36" t="s">
        <v>6984</v>
      </c>
      <c r="GUE36" t="s">
        <v>6984</v>
      </c>
      <c r="GUF36" t="s">
        <v>6984</v>
      </c>
      <c r="GUG36" t="s">
        <v>6984</v>
      </c>
      <c r="GUH36" t="s">
        <v>6984</v>
      </c>
      <c r="GUI36" t="s">
        <v>6984</v>
      </c>
      <c r="GUJ36" t="s">
        <v>6984</v>
      </c>
      <c r="GUK36" t="s">
        <v>6984</v>
      </c>
      <c r="GUL36" t="s">
        <v>6984</v>
      </c>
      <c r="GUM36" t="s">
        <v>6984</v>
      </c>
      <c r="GUN36" t="s">
        <v>6984</v>
      </c>
      <c r="GUO36" t="s">
        <v>6984</v>
      </c>
      <c r="GUP36" t="s">
        <v>6984</v>
      </c>
      <c r="GUQ36" t="s">
        <v>6984</v>
      </c>
      <c r="GUR36" t="s">
        <v>6984</v>
      </c>
      <c r="GUS36" t="s">
        <v>6984</v>
      </c>
      <c r="GUT36" t="s">
        <v>6984</v>
      </c>
      <c r="GUU36" t="s">
        <v>6984</v>
      </c>
      <c r="GUV36" t="s">
        <v>6984</v>
      </c>
      <c r="GUW36" t="s">
        <v>6984</v>
      </c>
      <c r="GUX36" t="s">
        <v>6984</v>
      </c>
      <c r="GUY36" t="s">
        <v>6984</v>
      </c>
      <c r="GUZ36" t="s">
        <v>6984</v>
      </c>
      <c r="GVA36" t="s">
        <v>6984</v>
      </c>
      <c r="GVB36" t="s">
        <v>6984</v>
      </c>
      <c r="GVC36" t="s">
        <v>6984</v>
      </c>
      <c r="GVD36" t="s">
        <v>6984</v>
      </c>
      <c r="GVE36" t="s">
        <v>6984</v>
      </c>
      <c r="GVF36" t="s">
        <v>6984</v>
      </c>
      <c r="GVG36" t="s">
        <v>6984</v>
      </c>
      <c r="GVH36" t="s">
        <v>6984</v>
      </c>
      <c r="GVI36" t="s">
        <v>6984</v>
      </c>
      <c r="GVJ36" t="s">
        <v>6984</v>
      </c>
      <c r="GVK36" t="s">
        <v>6984</v>
      </c>
      <c r="GVL36" t="s">
        <v>6984</v>
      </c>
      <c r="GVM36" t="s">
        <v>6984</v>
      </c>
      <c r="GVN36" t="s">
        <v>6984</v>
      </c>
      <c r="GVO36" t="s">
        <v>6984</v>
      </c>
      <c r="GVP36" t="s">
        <v>6984</v>
      </c>
      <c r="GVQ36" t="s">
        <v>6984</v>
      </c>
      <c r="GVR36" t="s">
        <v>6984</v>
      </c>
      <c r="GVS36" t="s">
        <v>6984</v>
      </c>
      <c r="GVT36" t="s">
        <v>6984</v>
      </c>
      <c r="GVU36" t="s">
        <v>6984</v>
      </c>
      <c r="GVV36" t="s">
        <v>6984</v>
      </c>
      <c r="GVW36" t="s">
        <v>6984</v>
      </c>
      <c r="GVX36" t="s">
        <v>6984</v>
      </c>
      <c r="GVY36" t="s">
        <v>6984</v>
      </c>
      <c r="GVZ36" t="s">
        <v>6984</v>
      </c>
      <c r="GWA36" t="s">
        <v>6984</v>
      </c>
      <c r="GWB36" t="s">
        <v>6984</v>
      </c>
      <c r="GWC36" t="s">
        <v>6984</v>
      </c>
      <c r="GWD36" t="s">
        <v>6984</v>
      </c>
      <c r="GWE36" t="s">
        <v>6984</v>
      </c>
      <c r="GWF36" t="s">
        <v>6984</v>
      </c>
      <c r="GWG36" t="s">
        <v>6984</v>
      </c>
      <c r="GWH36" t="s">
        <v>6984</v>
      </c>
      <c r="GWI36" t="s">
        <v>6984</v>
      </c>
      <c r="GWJ36" t="s">
        <v>6984</v>
      </c>
      <c r="GWK36" t="s">
        <v>6984</v>
      </c>
      <c r="GWL36" t="s">
        <v>6984</v>
      </c>
      <c r="GWM36" t="s">
        <v>6984</v>
      </c>
      <c r="GWN36" t="s">
        <v>6984</v>
      </c>
      <c r="GWO36" t="s">
        <v>6984</v>
      </c>
      <c r="GWP36" t="s">
        <v>6984</v>
      </c>
      <c r="GWQ36" t="s">
        <v>6984</v>
      </c>
      <c r="GWR36" t="s">
        <v>6984</v>
      </c>
      <c r="GWS36" t="s">
        <v>6984</v>
      </c>
      <c r="GWT36" t="s">
        <v>6984</v>
      </c>
      <c r="GWU36" t="s">
        <v>6984</v>
      </c>
      <c r="GWV36" t="s">
        <v>6984</v>
      </c>
      <c r="GWW36" t="s">
        <v>6984</v>
      </c>
      <c r="GWX36" t="s">
        <v>6984</v>
      </c>
      <c r="GWY36" t="s">
        <v>6984</v>
      </c>
      <c r="GWZ36" t="s">
        <v>6984</v>
      </c>
      <c r="GXA36" t="s">
        <v>6984</v>
      </c>
      <c r="GXB36" t="s">
        <v>6984</v>
      </c>
      <c r="GXC36" t="s">
        <v>6984</v>
      </c>
      <c r="GXD36" t="s">
        <v>6984</v>
      </c>
      <c r="GXE36" t="s">
        <v>6984</v>
      </c>
      <c r="GXF36" t="s">
        <v>6984</v>
      </c>
      <c r="GXG36" t="s">
        <v>6984</v>
      </c>
      <c r="GXH36" t="s">
        <v>6984</v>
      </c>
      <c r="GXI36" t="s">
        <v>6984</v>
      </c>
      <c r="GXJ36" t="s">
        <v>6984</v>
      </c>
      <c r="GXK36" t="s">
        <v>6984</v>
      </c>
      <c r="GXL36" t="s">
        <v>6984</v>
      </c>
      <c r="GXM36" t="s">
        <v>6984</v>
      </c>
      <c r="GXN36" t="s">
        <v>6984</v>
      </c>
      <c r="GXO36" t="s">
        <v>6984</v>
      </c>
      <c r="GXP36" t="s">
        <v>6984</v>
      </c>
      <c r="GXQ36" t="s">
        <v>6984</v>
      </c>
      <c r="GXR36" t="s">
        <v>6984</v>
      </c>
      <c r="GXS36" t="s">
        <v>6984</v>
      </c>
      <c r="GXT36" t="s">
        <v>6984</v>
      </c>
      <c r="GXU36" t="s">
        <v>6984</v>
      </c>
      <c r="GXV36" t="s">
        <v>6984</v>
      </c>
      <c r="GXW36" t="s">
        <v>6984</v>
      </c>
      <c r="GXX36" t="s">
        <v>6984</v>
      </c>
      <c r="GXY36" t="s">
        <v>6984</v>
      </c>
      <c r="GXZ36" t="s">
        <v>6984</v>
      </c>
      <c r="GYA36" t="s">
        <v>6984</v>
      </c>
      <c r="GYB36" t="s">
        <v>6984</v>
      </c>
      <c r="GYC36" t="s">
        <v>6984</v>
      </c>
      <c r="GYD36" t="s">
        <v>6984</v>
      </c>
      <c r="GYE36" t="s">
        <v>6984</v>
      </c>
      <c r="GYF36" t="s">
        <v>6984</v>
      </c>
      <c r="GYG36" t="s">
        <v>6984</v>
      </c>
      <c r="GYH36" t="s">
        <v>6984</v>
      </c>
      <c r="GYI36" t="s">
        <v>6984</v>
      </c>
      <c r="GYJ36" t="s">
        <v>6984</v>
      </c>
      <c r="GYK36" t="s">
        <v>6984</v>
      </c>
      <c r="GYL36" t="s">
        <v>6984</v>
      </c>
      <c r="GYM36" t="s">
        <v>6984</v>
      </c>
      <c r="GYN36" t="s">
        <v>6984</v>
      </c>
      <c r="GYO36" t="s">
        <v>6984</v>
      </c>
      <c r="GYP36" t="s">
        <v>6984</v>
      </c>
      <c r="GYQ36" t="s">
        <v>6984</v>
      </c>
      <c r="GYR36" t="s">
        <v>6984</v>
      </c>
      <c r="GYS36" t="s">
        <v>6984</v>
      </c>
      <c r="GYT36" t="s">
        <v>6984</v>
      </c>
      <c r="GYU36" t="s">
        <v>6984</v>
      </c>
      <c r="GYV36" t="s">
        <v>6984</v>
      </c>
      <c r="GYW36" t="s">
        <v>6984</v>
      </c>
      <c r="GYX36" t="s">
        <v>6984</v>
      </c>
      <c r="GYY36" t="s">
        <v>6984</v>
      </c>
      <c r="GYZ36" t="s">
        <v>6984</v>
      </c>
      <c r="GZA36" t="s">
        <v>6984</v>
      </c>
      <c r="GZB36" t="s">
        <v>6984</v>
      </c>
      <c r="GZC36" t="s">
        <v>6984</v>
      </c>
      <c r="GZD36" t="s">
        <v>6984</v>
      </c>
      <c r="GZE36" t="s">
        <v>6984</v>
      </c>
      <c r="GZF36" t="s">
        <v>6984</v>
      </c>
      <c r="GZG36" t="s">
        <v>6984</v>
      </c>
      <c r="GZH36" t="s">
        <v>6984</v>
      </c>
      <c r="GZI36" t="s">
        <v>6984</v>
      </c>
      <c r="GZJ36" t="s">
        <v>6984</v>
      </c>
      <c r="GZK36" t="s">
        <v>6984</v>
      </c>
      <c r="GZL36" t="s">
        <v>6984</v>
      </c>
      <c r="GZM36" t="s">
        <v>6984</v>
      </c>
      <c r="GZN36" t="s">
        <v>6984</v>
      </c>
      <c r="GZO36" t="s">
        <v>6984</v>
      </c>
      <c r="GZP36" t="s">
        <v>6984</v>
      </c>
      <c r="GZQ36" t="s">
        <v>6984</v>
      </c>
      <c r="GZR36" t="s">
        <v>6984</v>
      </c>
      <c r="GZS36" t="s">
        <v>6984</v>
      </c>
      <c r="GZT36" t="s">
        <v>6984</v>
      </c>
      <c r="GZU36" t="s">
        <v>6984</v>
      </c>
      <c r="GZV36" t="s">
        <v>6984</v>
      </c>
      <c r="GZW36" t="s">
        <v>6984</v>
      </c>
      <c r="GZX36" t="s">
        <v>6984</v>
      </c>
      <c r="GZY36" t="s">
        <v>6984</v>
      </c>
      <c r="GZZ36" t="s">
        <v>6984</v>
      </c>
      <c r="HAA36" t="s">
        <v>6984</v>
      </c>
      <c r="HAB36" t="s">
        <v>6984</v>
      </c>
      <c r="HAC36" t="s">
        <v>6984</v>
      </c>
      <c r="HAD36" t="s">
        <v>6984</v>
      </c>
      <c r="HAE36" t="s">
        <v>6984</v>
      </c>
      <c r="HAF36" t="s">
        <v>6984</v>
      </c>
      <c r="HAG36" t="s">
        <v>6984</v>
      </c>
      <c r="HAH36" t="s">
        <v>6984</v>
      </c>
      <c r="HAI36" t="s">
        <v>6984</v>
      </c>
      <c r="HAJ36" t="s">
        <v>6984</v>
      </c>
      <c r="HAK36" t="s">
        <v>6984</v>
      </c>
      <c r="HAL36" t="s">
        <v>6984</v>
      </c>
      <c r="HAM36" t="s">
        <v>6984</v>
      </c>
      <c r="HAN36" t="s">
        <v>6984</v>
      </c>
      <c r="HAO36" t="s">
        <v>6984</v>
      </c>
      <c r="HAP36" t="s">
        <v>6984</v>
      </c>
      <c r="HAQ36" t="s">
        <v>6984</v>
      </c>
      <c r="HAR36" t="s">
        <v>6984</v>
      </c>
      <c r="HAS36" t="s">
        <v>6984</v>
      </c>
      <c r="HAT36" t="s">
        <v>6984</v>
      </c>
      <c r="HAU36" t="s">
        <v>6984</v>
      </c>
      <c r="HAV36" t="s">
        <v>6984</v>
      </c>
      <c r="HAW36" t="s">
        <v>6984</v>
      </c>
      <c r="HAX36" t="s">
        <v>6984</v>
      </c>
      <c r="HAY36" t="s">
        <v>6984</v>
      </c>
      <c r="HAZ36" t="s">
        <v>6984</v>
      </c>
      <c r="HBA36" t="s">
        <v>6984</v>
      </c>
      <c r="HBB36" t="s">
        <v>6984</v>
      </c>
      <c r="HBC36" t="s">
        <v>6984</v>
      </c>
      <c r="HBD36" t="s">
        <v>6984</v>
      </c>
      <c r="HBE36" t="s">
        <v>6984</v>
      </c>
      <c r="HBF36" t="s">
        <v>6984</v>
      </c>
      <c r="HBG36" t="s">
        <v>6984</v>
      </c>
      <c r="HBH36" t="s">
        <v>6984</v>
      </c>
      <c r="HBI36" t="s">
        <v>6984</v>
      </c>
      <c r="HBJ36" t="s">
        <v>6984</v>
      </c>
      <c r="HBK36" t="s">
        <v>6984</v>
      </c>
      <c r="HBL36" t="s">
        <v>6984</v>
      </c>
      <c r="HBM36" t="s">
        <v>6984</v>
      </c>
      <c r="HBN36" t="s">
        <v>6984</v>
      </c>
      <c r="HBO36" t="s">
        <v>6984</v>
      </c>
      <c r="HBP36" t="s">
        <v>6984</v>
      </c>
      <c r="HBQ36" t="s">
        <v>6984</v>
      </c>
      <c r="HBR36" t="s">
        <v>6984</v>
      </c>
      <c r="HBS36" t="s">
        <v>6984</v>
      </c>
      <c r="HBT36" t="s">
        <v>6984</v>
      </c>
      <c r="HBU36" t="s">
        <v>6984</v>
      </c>
      <c r="HBV36" t="s">
        <v>6984</v>
      </c>
      <c r="HBW36" t="s">
        <v>6984</v>
      </c>
      <c r="HBX36" t="s">
        <v>6984</v>
      </c>
      <c r="HBY36" t="s">
        <v>6984</v>
      </c>
      <c r="HBZ36" t="s">
        <v>6984</v>
      </c>
      <c r="HCA36" t="s">
        <v>6984</v>
      </c>
      <c r="HCB36" t="s">
        <v>6984</v>
      </c>
      <c r="HCC36" t="s">
        <v>6984</v>
      </c>
      <c r="HCD36" t="s">
        <v>6984</v>
      </c>
      <c r="HCE36" t="s">
        <v>6984</v>
      </c>
      <c r="HCF36" t="s">
        <v>6984</v>
      </c>
      <c r="HCG36" t="s">
        <v>6984</v>
      </c>
      <c r="HCH36" t="s">
        <v>6984</v>
      </c>
      <c r="HCI36" t="s">
        <v>6984</v>
      </c>
      <c r="HCJ36" t="s">
        <v>6984</v>
      </c>
      <c r="HCK36" t="s">
        <v>6984</v>
      </c>
      <c r="HCL36" t="s">
        <v>6984</v>
      </c>
      <c r="HCM36" t="s">
        <v>6984</v>
      </c>
      <c r="HCN36" t="s">
        <v>6984</v>
      </c>
      <c r="HCO36" t="s">
        <v>6984</v>
      </c>
      <c r="HCP36" t="s">
        <v>6984</v>
      </c>
      <c r="HCQ36" t="s">
        <v>6984</v>
      </c>
      <c r="HCR36" t="s">
        <v>6984</v>
      </c>
      <c r="HCS36" t="s">
        <v>6984</v>
      </c>
      <c r="HCT36" t="s">
        <v>6984</v>
      </c>
      <c r="HCU36" t="s">
        <v>6984</v>
      </c>
      <c r="HCV36" t="s">
        <v>6984</v>
      </c>
      <c r="HCW36" t="s">
        <v>6984</v>
      </c>
      <c r="HCX36" t="s">
        <v>6984</v>
      </c>
      <c r="HCY36" t="s">
        <v>6984</v>
      </c>
      <c r="HCZ36" t="s">
        <v>6984</v>
      </c>
      <c r="HDA36" t="s">
        <v>6984</v>
      </c>
      <c r="HDB36" t="s">
        <v>6984</v>
      </c>
      <c r="HDC36" t="s">
        <v>6984</v>
      </c>
      <c r="HDD36" t="s">
        <v>6984</v>
      </c>
      <c r="HDE36" t="s">
        <v>6984</v>
      </c>
      <c r="HDF36" t="s">
        <v>6984</v>
      </c>
      <c r="HDG36" t="s">
        <v>6984</v>
      </c>
      <c r="HDH36" t="s">
        <v>6984</v>
      </c>
      <c r="HDI36" t="s">
        <v>6984</v>
      </c>
      <c r="HDJ36" t="s">
        <v>6984</v>
      </c>
      <c r="HDK36" t="s">
        <v>6984</v>
      </c>
      <c r="HDL36" t="s">
        <v>6984</v>
      </c>
      <c r="HDM36" t="s">
        <v>6984</v>
      </c>
      <c r="HDN36" t="s">
        <v>6984</v>
      </c>
      <c r="HDO36" t="s">
        <v>6984</v>
      </c>
      <c r="HDP36" t="s">
        <v>6984</v>
      </c>
      <c r="HDQ36" t="s">
        <v>6984</v>
      </c>
      <c r="HDR36" t="s">
        <v>6984</v>
      </c>
      <c r="HDS36" t="s">
        <v>6984</v>
      </c>
      <c r="HDT36" t="s">
        <v>6984</v>
      </c>
      <c r="HDU36" t="s">
        <v>6984</v>
      </c>
      <c r="HDV36" t="s">
        <v>6984</v>
      </c>
      <c r="HDW36" t="s">
        <v>6984</v>
      </c>
      <c r="HDX36" t="s">
        <v>6984</v>
      </c>
      <c r="HDY36" t="s">
        <v>6984</v>
      </c>
      <c r="HDZ36" t="s">
        <v>6984</v>
      </c>
      <c r="HEA36" t="s">
        <v>6984</v>
      </c>
      <c r="HEB36" t="s">
        <v>6984</v>
      </c>
      <c r="HEC36" t="s">
        <v>6984</v>
      </c>
      <c r="HED36" t="s">
        <v>6984</v>
      </c>
      <c r="HEE36" t="s">
        <v>6984</v>
      </c>
      <c r="HEF36" t="s">
        <v>6984</v>
      </c>
      <c r="HEG36" t="s">
        <v>6984</v>
      </c>
      <c r="HEH36" t="s">
        <v>6984</v>
      </c>
      <c r="HEI36" t="s">
        <v>6984</v>
      </c>
      <c r="HEJ36" t="s">
        <v>6984</v>
      </c>
      <c r="HEK36" t="s">
        <v>6984</v>
      </c>
      <c r="HEL36" t="s">
        <v>6984</v>
      </c>
      <c r="HEM36" t="s">
        <v>6984</v>
      </c>
      <c r="HEN36" t="s">
        <v>6984</v>
      </c>
      <c r="HEO36" t="s">
        <v>6984</v>
      </c>
      <c r="HEP36" t="s">
        <v>6984</v>
      </c>
      <c r="HEQ36" t="s">
        <v>6984</v>
      </c>
      <c r="HER36" t="s">
        <v>6984</v>
      </c>
      <c r="HES36" t="s">
        <v>6984</v>
      </c>
      <c r="HET36" t="s">
        <v>6984</v>
      </c>
      <c r="HEU36" t="s">
        <v>6984</v>
      </c>
      <c r="HEV36" t="s">
        <v>6984</v>
      </c>
      <c r="HEW36" t="s">
        <v>6984</v>
      </c>
      <c r="HEX36" t="s">
        <v>6984</v>
      </c>
      <c r="HEY36" t="s">
        <v>6984</v>
      </c>
      <c r="HEZ36" t="s">
        <v>6984</v>
      </c>
      <c r="HFA36" t="s">
        <v>6984</v>
      </c>
      <c r="HFB36" t="s">
        <v>6984</v>
      </c>
      <c r="HFC36" t="s">
        <v>6984</v>
      </c>
      <c r="HFD36" t="s">
        <v>6984</v>
      </c>
      <c r="HFE36" t="s">
        <v>6984</v>
      </c>
      <c r="HFF36" t="s">
        <v>6984</v>
      </c>
      <c r="HFG36" t="s">
        <v>6984</v>
      </c>
      <c r="HFH36" t="s">
        <v>6984</v>
      </c>
      <c r="HFI36" t="s">
        <v>6984</v>
      </c>
      <c r="HFJ36" t="s">
        <v>6984</v>
      </c>
      <c r="HFK36" t="s">
        <v>6984</v>
      </c>
      <c r="HFL36" t="s">
        <v>6984</v>
      </c>
      <c r="HFM36" t="s">
        <v>6984</v>
      </c>
      <c r="HFN36" t="s">
        <v>6984</v>
      </c>
      <c r="HFO36" t="s">
        <v>6984</v>
      </c>
      <c r="HFP36" t="s">
        <v>6984</v>
      </c>
      <c r="HFQ36" t="s">
        <v>6984</v>
      </c>
      <c r="HFR36" t="s">
        <v>6984</v>
      </c>
      <c r="HFS36" t="s">
        <v>6984</v>
      </c>
      <c r="HFT36" t="s">
        <v>6984</v>
      </c>
      <c r="HFU36" t="s">
        <v>6984</v>
      </c>
      <c r="HFV36" t="s">
        <v>6984</v>
      </c>
      <c r="HFW36" t="s">
        <v>6984</v>
      </c>
      <c r="HFX36" t="s">
        <v>6984</v>
      </c>
      <c r="HFY36" t="s">
        <v>6984</v>
      </c>
      <c r="HFZ36" t="s">
        <v>6984</v>
      </c>
      <c r="HGA36" t="s">
        <v>6984</v>
      </c>
      <c r="HGB36" t="s">
        <v>6984</v>
      </c>
      <c r="HGC36" t="s">
        <v>6984</v>
      </c>
      <c r="HGD36" t="s">
        <v>6984</v>
      </c>
      <c r="HGE36" t="s">
        <v>6984</v>
      </c>
      <c r="HGF36" t="s">
        <v>6984</v>
      </c>
      <c r="HGG36" t="s">
        <v>6984</v>
      </c>
      <c r="HGH36" t="s">
        <v>6984</v>
      </c>
      <c r="HGI36" t="s">
        <v>6984</v>
      </c>
      <c r="HGJ36" t="s">
        <v>6984</v>
      </c>
      <c r="HGK36" t="s">
        <v>6984</v>
      </c>
      <c r="HGL36" t="s">
        <v>6984</v>
      </c>
      <c r="HGM36" t="s">
        <v>6984</v>
      </c>
      <c r="HGN36" t="s">
        <v>6984</v>
      </c>
      <c r="HGO36" t="s">
        <v>6984</v>
      </c>
      <c r="HGP36" t="s">
        <v>6984</v>
      </c>
      <c r="HGQ36" t="s">
        <v>6984</v>
      </c>
      <c r="HGR36" t="s">
        <v>6984</v>
      </c>
      <c r="HGS36" t="s">
        <v>6984</v>
      </c>
      <c r="HGT36" t="s">
        <v>6984</v>
      </c>
      <c r="HGU36" t="s">
        <v>6984</v>
      </c>
      <c r="HGV36" t="s">
        <v>6984</v>
      </c>
      <c r="HGW36" t="s">
        <v>6984</v>
      </c>
      <c r="HGX36" t="s">
        <v>6984</v>
      </c>
      <c r="HGY36" t="s">
        <v>6984</v>
      </c>
      <c r="HGZ36" t="s">
        <v>6984</v>
      </c>
      <c r="HHA36" t="s">
        <v>6984</v>
      </c>
      <c r="HHB36" t="s">
        <v>6984</v>
      </c>
      <c r="HHC36" t="s">
        <v>6984</v>
      </c>
      <c r="HHD36" t="s">
        <v>6984</v>
      </c>
      <c r="HHE36" t="s">
        <v>6984</v>
      </c>
      <c r="HHF36" t="s">
        <v>6984</v>
      </c>
      <c r="HHG36" t="s">
        <v>6984</v>
      </c>
      <c r="HHH36" t="s">
        <v>6984</v>
      </c>
      <c r="HHI36" t="s">
        <v>6984</v>
      </c>
      <c r="HHJ36" t="s">
        <v>6984</v>
      </c>
      <c r="HHK36" t="s">
        <v>6984</v>
      </c>
      <c r="HHL36" t="s">
        <v>6984</v>
      </c>
      <c r="HHM36" t="s">
        <v>6984</v>
      </c>
      <c r="HHN36" t="s">
        <v>6984</v>
      </c>
      <c r="HHO36" t="s">
        <v>6984</v>
      </c>
      <c r="HHP36" t="s">
        <v>6984</v>
      </c>
      <c r="HHQ36" t="s">
        <v>6984</v>
      </c>
      <c r="HHR36" t="s">
        <v>6984</v>
      </c>
      <c r="HHS36" t="s">
        <v>6984</v>
      </c>
      <c r="HHT36" t="s">
        <v>6984</v>
      </c>
      <c r="HHU36" t="s">
        <v>6984</v>
      </c>
      <c r="HHV36" t="s">
        <v>6984</v>
      </c>
      <c r="HHW36" t="s">
        <v>6984</v>
      </c>
      <c r="HHX36" t="s">
        <v>6984</v>
      </c>
      <c r="HHY36" t="s">
        <v>6984</v>
      </c>
      <c r="HHZ36" t="s">
        <v>6984</v>
      </c>
      <c r="HIA36" t="s">
        <v>6984</v>
      </c>
      <c r="HIB36" t="s">
        <v>6984</v>
      </c>
      <c r="HIC36" t="s">
        <v>6984</v>
      </c>
      <c r="HID36" t="s">
        <v>6984</v>
      </c>
      <c r="HIE36" t="s">
        <v>6984</v>
      </c>
      <c r="HIF36" t="s">
        <v>6984</v>
      </c>
      <c r="HIG36" t="s">
        <v>6984</v>
      </c>
      <c r="HIH36" t="s">
        <v>6984</v>
      </c>
      <c r="HII36" t="s">
        <v>6984</v>
      </c>
      <c r="HIJ36" t="s">
        <v>6984</v>
      </c>
      <c r="HIK36" t="s">
        <v>6984</v>
      </c>
      <c r="HIL36" t="s">
        <v>6984</v>
      </c>
      <c r="HIM36" t="s">
        <v>6984</v>
      </c>
      <c r="HIN36" t="s">
        <v>6984</v>
      </c>
      <c r="HIO36" t="s">
        <v>6984</v>
      </c>
      <c r="HIP36" t="s">
        <v>6984</v>
      </c>
      <c r="HIQ36" t="s">
        <v>6984</v>
      </c>
      <c r="HIR36" t="s">
        <v>6984</v>
      </c>
      <c r="HIS36" t="s">
        <v>6984</v>
      </c>
      <c r="HIT36" t="s">
        <v>6984</v>
      </c>
      <c r="HIU36" t="s">
        <v>6984</v>
      </c>
      <c r="HIV36" t="s">
        <v>6984</v>
      </c>
      <c r="HIW36" t="s">
        <v>6984</v>
      </c>
      <c r="HIX36" t="s">
        <v>6984</v>
      </c>
      <c r="HIY36" t="s">
        <v>6984</v>
      </c>
      <c r="HIZ36" t="s">
        <v>6984</v>
      </c>
      <c r="HJA36" t="s">
        <v>6984</v>
      </c>
      <c r="HJB36" t="s">
        <v>6984</v>
      </c>
      <c r="HJC36" t="s">
        <v>6984</v>
      </c>
      <c r="HJD36" t="s">
        <v>6984</v>
      </c>
      <c r="HJE36" t="s">
        <v>6984</v>
      </c>
      <c r="HJF36" t="s">
        <v>6984</v>
      </c>
      <c r="HJG36" t="s">
        <v>6984</v>
      </c>
      <c r="HJH36" t="s">
        <v>6984</v>
      </c>
      <c r="HJI36" t="s">
        <v>6984</v>
      </c>
      <c r="HJJ36" t="s">
        <v>6984</v>
      </c>
      <c r="HJK36" t="s">
        <v>6984</v>
      </c>
      <c r="HJL36" t="s">
        <v>6984</v>
      </c>
      <c r="HJM36" t="s">
        <v>6984</v>
      </c>
      <c r="HJN36" t="s">
        <v>6984</v>
      </c>
      <c r="HJO36" t="s">
        <v>6984</v>
      </c>
      <c r="HJP36" t="s">
        <v>6984</v>
      </c>
      <c r="HJQ36" t="s">
        <v>6984</v>
      </c>
      <c r="HJR36" t="s">
        <v>6984</v>
      </c>
      <c r="HJS36" t="s">
        <v>6984</v>
      </c>
      <c r="HJT36" t="s">
        <v>6984</v>
      </c>
      <c r="HJU36" t="s">
        <v>6984</v>
      </c>
      <c r="HJV36" t="s">
        <v>6984</v>
      </c>
      <c r="HJW36" t="s">
        <v>6984</v>
      </c>
      <c r="HJX36" t="s">
        <v>6984</v>
      </c>
      <c r="HJY36" t="s">
        <v>6984</v>
      </c>
      <c r="HJZ36" t="s">
        <v>6984</v>
      </c>
      <c r="HKA36" t="s">
        <v>6984</v>
      </c>
      <c r="HKB36" t="s">
        <v>6984</v>
      </c>
      <c r="HKC36" t="s">
        <v>6984</v>
      </c>
      <c r="HKD36" t="s">
        <v>6984</v>
      </c>
      <c r="HKE36" t="s">
        <v>6984</v>
      </c>
      <c r="HKF36" t="s">
        <v>6984</v>
      </c>
      <c r="HKG36" t="s">
        <v>6984</v>
      </c>
      <c r="HKH36" t="s">
        <v>6984</v>
      </c>
      <c r="HKI36" t="s">
        <v>6984</v>
      </c>
      <c r="HKJ36" t="s">
        <v>6984</v>
      </c>
      <c r="HKK36" t="s">
        <v>6984</v>
      </c>
      <c r="HKL36" t="s">
        <v>6984</v>
      </c>
      <c r="HKM36" t="s">
        <v>6984</v>
      </c>
      <c r="HKN36" t="s">
        <v>6984</v>
      </c>
      <c r="HKO36" t="s">
        <v>6984</v>
      </c>
      <c r="HKP36" t="s">
        <v>6984</v>
      </c>
      <c r="HKQ36" t="s">
        <v>6984</v>
      </c>
      <c r="HKR36" t="s">
        <v>6984</v>
      </c>
      <c r="HKS36" t="s">
        <v>6984</v>
      </c>
      <c r="HKT36" t="s">
        <v>6984</v>
      </c>
      <c r="HKU36" t="s">
        <v>6984</v>
      </c>
      <c r="HKV36" t="s">
        <v>6984</v>
      </c>
      <c r="HKW36" t="s">
        <v>6984</v>
      </c>
      <c r="HKX36" t="s">
        <v>6984</v>
      </c>
      <c r="HKY36" t="s">
        <v>6984</v>
      </c>
      <c r="HKZ36" t="s">
        <v>6984</v>
      </c>
      <c r="HLA36" t="s">
        <v>6984</v>
      </c>
      <c r="HLB36" t="s">
        <v>6984</v>
      </c>
      <c r="HLC36" t="s">
        <v>6984</v>
      </c>
      <c r="HLD36" t="s">
        <v>6984</v>
      </c>
      <c r="HLE36" t="s">
        <v>6984</v>
      </c>
      <c r="HLF36" t="s">
        <v>6984</v>
      </c>
      <c r="HLG36" t="s">
        <v>6984</v>
      </c>
      <c r="HLH36" t="s">
        <v>6984</v>
      </c>
      <c r="HLI36" t="s">
        <v>6984</v>
      </c>
      <c r="HLJ36" t="s">
        <v>6984</v>
      </c>
      <c r="HLK36" t="s">
        <v>6984</v>
      </c>
      <c r="HLL36" t="s">
        <v>6984</v>
      </c>
      <c r="HLM36" t="s">
        <v>6984</v>
      </c>
      <c r="HLN36" t="s">
        <v>6984</v>
      </c>
      <c r="HLO36" t="s">
        <v>6984</v>
      </c>
      <c r="HLP36" t="s">
        <v>6984</v>
      </c>
      <c r="HLQ36" t="s">
        <v>6984</v>
      </c>
      <c r="HLR36" t="s">
        <v>6984</v>
      </c>
      <c r="HLS36" t="s">
        <v>6984</v>
      </c>
      <c r="HLT36" t="s">
        <v>6984</v>
      </c>
      <c r="HLU36" t="s">
        <v>6984</v>
      </c>
      <c r="HLV36" t="s">
        <v>6984</v>
      </c>
      <c r="HLW36" t="s">
        <v>6984</v>
      </c>
      <c r="HLX36" t="s">
        <v>6984</v>
      </c>
      <c r="HLY36" t="s">
        <v>6984</v>
      </c>
      <c r="HLZ36" t="s">
        <v>6984</v>
      </c>
      <c r="HMA36" t="s">
        <v>6984</v>
      </c>
      <c r="HMB36" t="s">
        <v>6984</v>
      </c>
      <c r="HMC36" t="s">
        <v>6984</v>
      </c>
      <c r="HMD36" t="s">
        <v>6984</v>
      </c>
      <c r="HME36" t="s">
        <v>6984</v>
      </c>
      <c r="HMF36" t="s">
        <v>6984</v>
      </c>
      <c r="HMG36" t="s">
        <v>6984</v>
      </c>
      <c r="HMH36" t="s">
        <v>6984</v>
      </c>
      <c r="HMI36" t="s">
        <v>6984</v>
      </c>
      <c r="HMJ36" t="s">
        <v>6984</v>
      </c>
      <c r="HMK36" t="s">
        <v>6984</v>
      </c>
      <c r="HML36" t="s">
        <v>6984</v>
      </c>
      <c r="HMM36" t="s">
        <v>6984</v>
      </c>
      <c r="HMN36" t="s">
        <v>6984</v>
      </c>
      <c r="HMO36" t="s">
        <v>6984</v>
      </c>
      <c r="HMP36" t="s">
        <v>6984</v>
      </c>
      <c r="HMQ36" t="s">
        <v>6984</v>
      </c>
      <c r="HMR36" t="s">
        <v>6984</v>
      </c>
      <c r="HMS36" t="s">
        <v>6984</v>
      </c>
      <c r="HMT36" t="s">
        <v>6984</v>
      </c>
      <c r="HMU36" t="s">
        <v>6984</v>
      </c>
      <c r="HMV36" t="s">
        <v>6984</v>
      </c>
      <c r="HMW36" t="s">
        <v>6984</v>
      </c>
      <c r="HMX36" t="s">
        <v>6984</v>
      </c>
      <c r="HMY36" t="s">
        <v>6984</v>
      </c>
      <c r="HMZ36" t="s">
        <v>6984</v>
      </c>
      <c r="HNA36" t="s">
        <v>6984</v>
      </c>
      <c r="HNB36" t="s">
        <v>6984</v>
      </c>
      <c r="HNC36" t="s">
        <v>6984</v>
      </c>
      <c r="HND36" t="s">
        <v>6984</v>
      </c>
      <c r="HNE36" t="s">
        <v>6984</v>
      </c>
      <c r="HNF36" t="s">
        <v>6984</v>
      </c>
      <c r="HNG36" t="s">
        <v>6984</v>
      </c>
      <c r="HNH36" t="s">
        <v>6984</v>
      </c>
      <c r="HNI36" t="s">
        <v>6984</v>
      </c>
      <c r="HNJ36" t="s">
        <v>6984</v>
      </c>
      <c r="HNK36" t="s">
        <v>6984</v>
      </c>
      <c r="HNL36" t="s">
        <v>6984</v>
      </c>
      <c r="HNM36" t="s">
        <v>6984</v>
      </c>
      <c r="HNN36" t="s">
        <v>6984</v>
      </c>
      <c r="HNO36" t="s">
        <v>6984</v>
      </c>
      <c r="HNP36" t="s">
        <v>6984</v>
      </c>
      <c r="HNQ36" t="s">
        <v>6984</v>
      </c>
      <c r="HNR36" t="s">
        <v>6984</v>
      </c>
      <c r="HNS36" t="s">
        <v>6984</v>
      </c>
      <c r="HNT36" t="s">
        <v>6984</v>
      </c>
      <c r="HNU36" t="s">
        <v>6984</v>
      </c>
      <c r="HNV36" t="s">
        <v>6984</v>
      </c>
      <c r="HNW36" t="s">
        <v>6984</v>
      </c>
      <c r="HNX36" t="s">
        <v>6984</v>
      </c>
      <c r="HNY36" t="s">
        <v>6984</v>
      </c>
      <c r="HNZ36" t="s">
        <v>6984</v>
      </c>
      <c r="HOA36" t="s">
        <v>6984</v>
      </c>
      <c r="HOB36" t="s">
        <v>6984</v>
      </c>
      <c r="HOC36" t="s">
        <v>6984</v>
      </c>
      <c r="HOD36" t="s">
        <v>6984</v>
      </c>
      <c r="HOE36" t="s">
        <v>6984</v>
      </c>
      <c r="HOF36" t="s">
        <v>6984</v>
      </c>
      <c r="HOG36" t="s">
        <v>6984</v>
      </c>
      <c r="HOH36" t="s">
        <v>6984</v>
      </c>
      <c r="HOI36" t="s">
        <v>6984</v>
      </c>
      <c r="HOJ36" t="s">
        <v>6984</v>
      </c>
      <c r="HOK36" t="s">
        <v>6984</v>
      </c>
      <c r="HOL36" t="s">
        <v>6984</v>
      </c>
      <c r="HOM36" t="s">
        <v>6984</v>
      </c>
      <c r="HON36" t="s">
        <v>6984</v>
      </c>
      <c r="HOO36" t="s">
        <v>6984</v>
      </c>
      <c r="HOP36" t="s">
        <v>6984</v>
      </c>
      <c r="HOQ36" t="s">
        <v>6984</v>
      </c>
      <c r="HOR36" t="s">
        <v>6984</v>
      </c>
      <c r="HOS36" t="s">
        <v>6984</v>
      </c>
      <c r="HOT36" t="s">
        <v>6984</v>
      </c>
      <c r="HOU36" t="s">
        <v>6984</v>
      </c>
      <c r="HOV36" t="s">
        <v>6984</v>
      </c>
      <c r="HOW36" t="s">
        <v>6984</v>
      </c>
      <c r="HOX36" t="s">
        <v>6984</v>
      </c>
      <c r="HOY36" t="s">
        <v>6984</v>
      </c>
      <c r="HOZ36" t="s">
        <v>6984</v>
      </c>
      <c r="HPA36" t="s">
        <v>6984</v>
      </c>
      <c r="HPB36" t="s">
        <v>6984</v>
      </c>
      <c r="HPC36" t="s">
        <v>6984</v>
      </c>
      <c r="HPD36" t="s">
        <v>6984</v>
      </c>
      <c r="HPE36" t="s">
        <v>6984</v>
      </c>
      <c r="HPF36" t="s">
        <v>6984</v>
      </c>
      <c r="HPG36" t="s">
        <v>6984</v>
      </c>
      <c r="HPH36" t="s">
        <v>6984</v>
      </c>
      <c r="HPI36" t="s">
        <v>6984</v>
      </c>
      <c r="HPJ36" t="s">
        <v>6984</v>
      </c>
      <c r="HPK36" t="s">
        <v>6984</v>
      </c>
      <c r="HPL36" t="s">
        <v>6984</v>
      </c>
      <c r="HPM36" t="s">
        <v>6984</v>
      </c>
      <c r="HPN36" t="s">
        <v>6984</v>
      </c>
      <c r="HPO36" t="s">
        <v>6984</v>
      </c>
      <c r="HPP36" t="s">
        <v>6984</v>
      </c>
      <c r="HPQ36" t="s">
        <v>6984</v>
      </c>
      <c r="HPR36" t="s">
        <v>6984</v>
      </c>
      <c r="HPS36" t="s">
        <v>6984</v>
      </c>
      <c r="HPT36" t="s">
        <v>6984</v>
      </c>
      <c r="HPU36" t="s">
        <v>6984</v>
      </c>
      <c r="HPV36" t="s">
        <v>6984</v>
      </c>
      <c r="HPW36" t="s">
        <v>6984</v>
      </c>
      <c r="HPX36" t="s">
        <v>6984</v>
      </c>
      <c r="HPY36" t="s">
        <v>6984</v>
      </c>
      <c r="HPZ36" t="s">
        <v>6984</v>
      </c>
      <c r="HQA36" t="s">
        <v>6984</v>
      </c>
      <c r="HQB36" t="s">
        <v>6984</v>
      </c>
      <c r="HQC36" t="s">
        <v>6984</v>
      </c>
      <c r="HQD36" t="s">
        <v>6984</v>
      </c>
      <c r="HQE36" t="s">
        <v>6984</v>
      </c>
      <c r="HQF36" t="s">
        <v>6984</v>
      </c>
      <c r="HQG36" t="s">
        <v>6984</v>
      </c>
      <c r="HQH36" t="s">
        <v>6984</v>
      </c>
      <c r="HQI36" t="s">
        <v>6984</v>
      </c>
      <c r="HQJ36" t="s">
        <v>6984</v>
      </c>
      <c r="HQK36" t="s">
        <v>6984</v>
      </c>
      <c r="HQL36" t="s">
        <v>6984</v>
      </c>
      <c r="HQM36" t="s">
        <v>6984</v>
      </c>
      <c r="HQN36" t="s">
        <v>6984</v>
      </c>
      <c r="HQO36" t="s">
        <v>6984</v>
      </c>
      <c r="HQP36" t="s">
        <v>6984</v>
      </c>
      <c r="HQQ36" t="s">
        <v>6984</v>
      </c>
      <c r="HQR36" t="s">
        <v>6984</v>
      </c>
      <c r="HQS36" t="s">
        <v>6984</v>
      </c>
      <c r="HQT36" t="s">
        <v>6984</v>
      </c>
      <c r="HQU36" t="s">
        <v>6984</v>
      </c>
      <c r="HQV36" t="s">
        <v>6984</v>
      </c>
      <c r="HQW36" t="s">
        <v>6984</v>
      </c>
      <c r="HQX36" t="s">
        <v>6984</v>
      </c>
      <c r="HQY36" t="s">
        <v>6984</v>
      </c>
      <c r="HQZ36" t="s">
        <v>6984</v>
      </c>
      <c r="HRA36" t="s">
        <v>6984</v>
      </c>
      <c r="HRB36" t="s">
        <v>6984</v>
      </c>
      <c r="HRC36" t="s">
        <v>6984</v>
      </c>
      <c r="HRD36" t="s">
        <v>6984</v>
      </c>
      <c r="HRE36" t="s">
        <v>6984</v>
      </c>
      <c r="HRF36" t="s">
        <v>6984</v>
      </c>
      <c r="HRG36" t="s">
        <v>6984</v>
      </c>
      <c r="HRH36" t="s">
        <v>6984</v>
      </c>
      <c r="HRI36" t="s">
        <v>6984</v>
      </c>
      <c r="HRJ36" t="s">
        <v>6984</v>
      </c>
      <c r="HRK36" t="s">
        <v>6984</v>
      </c>
      <c r="HRL36" t="s">
        <v>6984</v>
      </c>
      <c r="HRM36" t="s">
        <v>6984</v>
      </c>
      <c r="HRN36" t="s">
        <v>6984</v>
      </c>
      <c r="HRO36" t="s">
        <v>6984</v>
      </c>
      <c r="HRP36" t="s">
        <v>6984</v>
      </c>
      <c r="HRQ36" t="s">
        <v>6984</v>
      </c>
      <c r="HRR36" t="s">
        <v>6984</v>
      </c>
      <c r="HRS36" t="s">
        <v>6984</v>
      </c>
      <c r="HRT36" t="s">
        <v>6984</v>
      </c>
      <c r="HRU36" t="s">
        <v>6984</v>
      </c>
      <c r="HRV36" t="s">
        <v>6984</v>
      </c>
      <c r="HRW36" t="s">
        <v>6984</v>
      </c>
      <c r="HRX36" t="s">
        <v>6984</v>
      </c>
      <c r="HRY36" t="s">
        <v>6984</v>
      </c>
      <c r="HRZ36" t="s">
        <v>6984</v>
      </c>
      <c r="HSA36" t="s">
        <v>6984</v>
      </c>
      <c r="HSB36" t="s">
        <v>6984</v>
      </c>
      <c r="HSC36" t="s">
        <v>6984</v>
      </c>
      <c r="HSD36" t="s">
        <v>6984</v>
      </c>
      <c r="HSE36" t="s">
        <v>6984</v>
      </c>
      <c r="HSF36" t="s">
        <v>6984</v>
      </c>
      <c r="HSG36" t="s">
        <v>6984</v>
      </c>
      <c r="HSH36" t="s">
        <v>6984</v>
      </c>
      <c r="HSI36" t="s">
        <v>6984</v>
      </c>
      <c r="HSJ36" t="s">
        <v>6984</v>
      </c>
      <c r="HSK36" t="s">
        <v>6984</v>
      </c>
      <c r="HSL36" t="s">
        <v>6984</v>
      </c>
      <c r="HSM36" t="s">
        <v>6984</v>
      </c>
      <c r="HSN36" t="s">
        <v>6984</v>
      </c>
      <c r="HSO36" t="s">
        <v>6984</v>
      </c>
      <c r="HSP36" t="s">
        <v>6984</v>
      </c>
      <c r="HSQ36" t="s">
        <v>6984</v>
      </c>
      <c r="HSR36" t="s">
        <v>6984</v>
      </c>
      <c r="HSS36" t="s">
        <v>6984</v>
      </c>
      <c r="HST36" t="s">
        <v>6984</v>
      </c>
      <c r="HSU36" t="s">
        <v>6984</v>
      </c>
      <c r="HSV36" t="s">
        <v>6984</v>
      </c>
      <c r="HSW36" t="s">
        <v>6984</v>
      </c>
      <c r="HSX36" t="s">
        <v>6984</v>
      </c>
      <c r="HSY36" t="s">
        <v>6984</v>
      </c>
      <c r="HSZ36" t="s">
        <v>6984</v>
      </c>
      <c r="HTA36" t="s">
        <v>6984</v>
      </c>
      <c r="HTB36" t="s">
        <v>6984</v>
      </c>
      <c r="HTC36" t="s">
        <v>6984</v>
      </c>
      <c r="HTD36" t="s">
        <v>6984</v>
      </c>
      <c r="HTE36" t="s">
        <v>6984</v>
      </c>
      <c r="HTF36" t="s">
        <v>6984</v>
      </c>
      <c r="HTG36" t="s">
        <v>6984</v>
      </c>
      <c r="HTH36" t="s">
        <v>6984</v>
      </c>
      <c r="HTI36" t="s">
        <v>6984</v>
      </c>
      <c r="HTJ36" t="s">
        <v>6984</v>
      </c>
      <c r="HTK36" t="s">
        <v>6984</v>
      </c>
      <c r="HTL36" t="s">
        <v>6984</v>
      </c>
      <c r="HTM36" t="s">
        <v>6984</v>
      </c>
      <c r="HTN36" t="s">
        <v>6984</v>
      </c>
      <c r="HTO36" t="s">
        <v>6984</v>
      </c>
      <c r="HTP36" t="s">
        <v>6984</v>
      </c>
      <c r="HTQ36" t="s">
        <v>6984</v>
      </c>
      <c r="HTR36" t="s">
        <v>6984</v>
      </c>
      <c r="HTS36" t="s">
        <v>6984</v>
      </c>
      <c r="HTT36" t="s">
        <v>6984</v>
      </c>
      <c r="HTU36" t="s">
        <v>6984</v>
      </c>
      <c r="HTV36" t="s">
        <v>6984</v>
      </c>
      <c r="HTW36" t="s">
        <v>6984</v>
      </c>
      <c r="HTX36" t="s">
        <v>6984</v>
      </c>
      <c r="HTY36" t="s">
        <v>6984</v>
      </c>
      <c r="HTZ36" t="s">
        <v>6984</v>
      </c>
      <c r="HUA36" t="s">
        <v>6984</v>
      </c>
      <c r="HUB36" t="s">
        <v>6984</v>
      </c>
      <c r="HUC36" t="s">
        <v>6984</v>
      </c>
      <c r="HUD36" t="s">
        <v>6984</v>
      </c>
      <c r="HUE36" t="s">
        <v>6984</v>
      </c>
      <c r="HUF36" t="s">
        <v>6984</v>
      </c>
      <c r="HUG36" t="s">
        <v>6984</v>
      </c>
      <c r="HUH36" t="s">
        <v>6984</v>
      </c>
      <c r="HUI36" t="s">
        <v>6984</v>
      </c>
      <c r="HUJ36" t="s">
        <v>6984</v>
      </c>
      <c r="HUK36" t="s">
        <v>6984</v>
      </c>
      <c r="HUL36" t="s">
        <v>6984</v>
      </c>
      <c r="HUM36" t="s">
        <v>6984</v>
      </c>
      <c r="HUN36" t="s">
        <v>6984</v>
      </c>
      <c r="HUO36" t="s">
        <v>6984</v>
      </c>
      <c r="HUP36" t="s">
        <v>6984</v>
      </c>
      <c r="HUQ36" t="s">
        <v>6984</v>
      </c>
      <c r="HUR36" t="s">
        <v>6984</v>
      </c>
      <c r="HUS36" t="s">
        <v>6984</v>
      </c>
      <c r="HUT36" t="s">
        <v>6984</v>
      </c>
      <c r="HUU36" t="s">
        <v>6984</v>
      </c>
      <c r="HUV36" t="s">
        <v>6984</v>
      </c>
      <c r="HUW36" t="s">
        <v>6984</v>
      </c>
      <c r="HUX36" t="s">
        <v>6984</v>
      </c>
      <c r="HUY36" t="s">
        <v>6984</v>
      </c>
      <c r="HUZ36" t="s">
        <v>6984</v>
      </c>
      <c r="HVA36" t="s">
        <v>6984</v>
      </c>
      <c r="HVB36" t="s">
        <v>6984</v>
      </c>
      <c r="HVC36" t="s">
        <v>6984</v>
      </c>
      <c r="HVD36" t="s">
        <v>6984</v>
      </c>
      <c r="HVE36" t="s">
        <v>6984</v>
      </c>
      <c r="HVF36" t="s">
        <v>6984</v>
      </c>
      <c r="HVG36" t="s">
        <v>6984</v>
      </c>
      <c r="HVH36" t="s">
        <v>6984</v>
      </c>
      <c r="HVI36" t="s">
        <v>6984</v>
      </c>
      <c r="HVJ36" t="s">
        <v>6984</v>
      </c>
      <c r="HVK36" t="s">
        <v>6984</v>
      </c>
      <c r="HVL36" t="s">
        <v>6984</v>
      </c>
      <c r="HVM36" t="s">
        <v>6984</v>
      </c>
      <c r="HVN36" t="s">
        <v>6984</v>
      </c>
      <c r="HVO36" t="s">
        <v>6984</v>
      </c>
      <c r="HVP36" t="s">
        <v>6984</v>
      </c>
      <c r="HVQ36" t="s">
        <v>6984</v>
      </c>
      <c r="HVR36" t="s">
        <v>6984</v>
      </c>
      <c r="HVS36" t="s">
        <v>6984</v>
      </c>
      <c r="HVT36" t="s">
        <v>6984</v>
      </c>
      <c r="HVU36" t="s">
        <v>6984</v>
      </c>
      <c r="HVV36" t="s">
        <v>6984</v>
      </c>
      <c r="HVW36" t="s">
        <v>6984</v>
      </c>
      <c r="HVX36" t="s">
        <v>6984</v>
      </c>
      <c r="HVY36" t="s">
        <v>6984</v>
      </c>
      <c r="HVZ36" t="s">
        <v>6984</v>
      </c>
      <c r="HWA36" t="s">
        <v>6984</v>
      </c>
      <c r="HWB36" t="s">
        <v>6984</v>
      </c>
      <c r="HWC36" t="s">
        <v>6984</v>
      </c>
      <c r="HWD36" t="s">
        <v>6984</v>
      </c>
      <c r="HWE36" t="s">
        <v>6984</v>
      </c>
      <c r="HWF36" t="s">
        <v>6984</v>
      </c>
      <c r="HWG36" t="s">
        <v>6984</v>
      </c>
      <c r="HWH36" t="s">
        <v>6984</v>
      </c>
      <c r="HWI36" t="s">
        <v>6984</v>
      </c>
      <c r="HWJ36" t="s">
        <v>6984</v>
      </c>
      <c r="HWK36" t="s">
        <v>6984</v>
      </c>
      <c r="HWL36" t="s">
        <v>6984</v>
      </c>
      <c r="HWM36" t="s">
        <v>6984</v>
      </c>
      <c r="HWN36" t="s">
        <v>6984</v>
      </c>
      <c r="HWO36" t="s">
        <v>6984</v>
      </c>
      <c r="HWP36" t="s">
        <v>6984</v>
      </c>
      <c r="HWQ36" t="s">
        <v>6984</v>
      </c>
      <c r="HWR36" t="s">
        <v>6984</v>
      </c>
      <c r="HWS36" t="s">
        <v>6984</v>
      </c>
      <c r="HWT36" t="s">
        <v>6984</v>
      </c>
      <c r="HWU36" t="s">
        <v>6984</v>
      </c>
      <c r="HWV36" t="s">
        <v>6984</v>
      </c>
      <c r="HWW36" t="s">
        <v>6984</v>
      </c>
      <c r="HWX36" t="s">
        <v>6984</v>
      </c>
      <c r="HWY36" t="s">
        <v>6984</v>
      </c>
      <c r="HWZ36" t="s">
        <v>6984</v>
      </c>
      <c r="HXA36" t="s">
        <v>6984</v>
      </c>
      <c r="HXB36" t="s">
        <v>6984</v>
      </c>
      <c r="HXC36" t="s">
        <v>6984</v>
      </c>
      <c r="HXD36" t="s">
        <v>6984</v>
      </c>
      <c r="HXE36" t="s">
        <v>6984</v>
      </c>
      <c r="HXF36" t="s">
        <v>6984</v>
      </c>
      <c r="HXG36" t="s">
        <v>6984</v>
      </c>
      <c r="HXH36" t="s">
        <v>6984</v>
      </c>
      <c r="HXI36" t="s">
        <v>6984</v>
      </c>
      <c r="HXJ36" t="s">
        <v>6984</v>
      </c>
      <c r="HXK36" t="s">
        <v>6984</v>
      </c>
      <c r="HXL36" t="s">
        <v>6984</v>
      </c>
      <c r="HXM36" t="s">
        <v>6984</v>
      </c>
      <c r="HXN36" t="s">
        <v>6984</v>
      </c>
      <c r="HXO36" t="s">
        <v>6984</v>
      </c>
      <c r="HXP36" t="s">
        <v>6984</v>
      </c>
      <c r="HXQ36" t="s">
        <v>6984</v>
      </c>
      <c r="HXR36" t="s">
        <v>6984</v>
      </c>
      <c r="HXS36" t="s">
        <v>6984</v>
      </c>
      <c r="HXT36" t="s">
        <v>6984</v>
      </c>
      <c r="HXU36" t="s">
        <v>6984</v>
      </c>
      <c r="HXV36" t="s">
        <v>6984</v>
      </c>
      <c r="HXW36" t="s">
        <v>6984</v>
      </c>
      <c r="HXX36" t="s">
        <v>6984</v>
      </c>
      <c r="HXY36" t="s">
        <v>6984</v>
      </c>
      <c r="HXZ36" t="s">
        <v>6984</v>
      </c>
      <c r="HYA36" t="s">
        <v>6984</v>
      </c>
      <c r="HYB36" t="s">
        <v>6984</v>
      </c>
      <c r="HYC36" t="s">
        <v>6984</v>
      </c>
      <c r="HYD36" t="s">
        <v>6984</v>
      </c>
      <c r="HYE36" t="s">
        <v>6984</v>
      </c>
      <c r="HYF36" t="s">
        <v>6984</v>
      </c>
      <c r="HYG36" t="s">
        <v>6984</v>
      </c>
      <c r="HYH36" t="s">
        <v>6984</v>
      </c>
      <c r="HYI36" t="s">
        <v>6984</v>
      </c>
      <c r="HYJ36" t="s">
        <v>6984</v>
      </c>
      <c r="HYK36" t="s">
        <v>6984</v>
      </c>
      <c r="HYL36" t="s">
        <v>6984</v>
      </c>
      <c r="HYM36" t="s">
        <v>6984</v>
      </c>
      <c r="HYN36" t="s">
        <v>6984</v>
      </c>
      <c r="HYO36" t="s">
        <v>6984</v>
      </c>
      <c r="HYP36" t="s">
        <v>6984</v>
      </c>
      <c r="HYQ36" t="s">
        <v>6984</v>
      </c>
      <c r="HYR36" t="s">
        <v>6984</v>
      </c>
      <c r="HYS36" t="s">
        <v>6984</v>
      </c>
      <c r="HYT36" t="s">
        <v>6984</v>
      </c>
      <c r="HYU36" t="s">
        <v>6984</v>
      </c>
      <c r="HYV36" t="s">
        <v>6984</v>
      </c>
      <c r="HYW36" t="s">
        <v>6984</v>
      </c>
      <c r="HYX36" t="s">
        <v>6984</v>
      </c>
      <c r="HYY36" t="s">
        <v>6984</v>
      </c>
      <c r="HYZ36" t="s">
        <v>6984</v>
      </c>
      <c r="HZA36" t="s">
        <v>6984</v>
      </c>
      <c r="HZB36" t="s">
        <v>6984</v>
      </c>
      <c r="HZC36" t="s">
        <v>6984</v>
      </c>
      <c r="HZD36" t="s">
        <v>6984</v>
      </c>
      <c r="HZE36" t="s">
        <v>6984</v>
      </c>
      <c r="HZF36" t="s">
        <v>6984</v>
      </c>
      <c r="HZG36" t="s">
        <v>6984</v>
      </c>
      <c r="HZH36" t="s">
        <v>6984</v>
      </c>
      <c r="HZI36" t="s">
        <v>6984</v>
      </c>
      <c r="HZJ36" t="s">
        <v>6984</v>
      </c>
      <c r="HZK36" t="s">
        <v>6984</v>
      </c>
      <c r="HZL36" t="s">
        <v>6984</v>
      </c>
      <c r="HZM36" t="s">
        <v>6984</v>
      </c>
      <c r="HZN36" t="s">
        <v>6984</v>
      </c>
      <c r="HZO36" t="s">
        <v>6984</v>
      </c>
      <c r="HZP36" t="s">
        <v>6984</v>
      </c>
      <c r="HZQ36" t="s">
        <v>6984</v>
      </c>
      <c r="HZR36" t="s">
        <v>6984</v>
      </c>
      <c r="HZS36" t="s">
        <v>6984</v>
      </c>
      <c r="HZT36" t="s">
        <v>6984</v>
      </c>
      <c r="HZU36" t="s">
        <v>6984</v>
      </c>
      <c r="HZV36" t="s">
        <v>6984</v>
      </c>
      <c r="HZW36" t="s">
        <v>6984</v>
      </c>
      <c r="HZX36" t="s">
        <v>6984</v>
      </c>
      <c r="HZY36" t="s">
        <v>6984</v>
      </c>
      <c r="HZZ36" t="s">
        <v>6984</v>
      </c>
      <c r="IAA36" t="s">
        <v>6984</v>
      </c>
      <c r="IAB36" t="s">
        <v>6984</v>
      </c>
      <c r="IAC36" t="s">
        <v>6984</v>
      </c>
      <c r="IAD36" t="s">
        <v>6984</v>
      </c>
      <c r="IAE36" t="s">
        <v>6984</v>
      </c>
      <c r="IAF36" t="s">
        <v>6984</v>
      </c>
      <c r="IAG36" t="s">
        <v>6984</v>
      </c>
      <c r="IAH36" t="s">
        <v>6984</v>
      </c>
      <c r="IAI36" t="s">
        <v>6984</v>
      </c>
      <c r="IAJ36" t="s">
        <v>6984</v>
      </c>
      <c r="IAK36" t="s">
        <v>6984</v>
      </c>
      <c r="IAL36" t="s">
        <v>6984</v>
      </c>
      <c r="IAM36" t="s">
        <v>6984</v>
      </c>
      <c r="IAN36" t="s">
        <v>6984</v>
      </c>
      <c r="IAO36" t="s">
        <v>6984</v>
      </c>
      <c r="IAP36" t="s">
        <v>6984</v>
      </c>
      <c r="IAQ36" t="s">
        <v>6984</v>
      </c>
      <c r="IAR36" t="s">
        <v>6984</v>
      </c>
      <c r="IAS36" t="s">
        <v>6984</v>
      </c>
      <c r="IAT36" t="s">
        <v>6984</v>
      </c>
      <c r="IAU36" t="s">
        <v>6984</v>
      </c>
      <c r="IAV36" t="s">
        <v>6984</v>
      </c>
      <c r="IAW36" t="s">
        <v>6984</v>
      </c>
      <c r="IAX36" t="s">
        <v>6984</v>
      </c>
      <c r="IAY36" t="s">
        <v>6984</v>
      </c>
      <c r="IAZ36" t="s">
        <v>6984</v>
      </c>
      <c r="IBA36" t="s">
        <v>6984</v>
      </c>
      <c r="IBB36" t="s">
        <v>6984</v>
      </c>
      <c r="IBC36" t="s">
        <v>6984</v>
      </c>
      <c r="IBD36" t="s">
        <v>6984</v>
      </c>
      <c r="IBE36" t="s">
        <v>6984</v>
      </c>
      <c r="IBF36" t="s">
        <v>6984</v>
      </c>
      <c r="IBG36" t="s">
        <v>6984</v>
      </c>
      <c r="IBH36" t="s">
        <v>6984</v>
      </c>
      <c r="IBI36" t="s">
        <v>6984</v>
      </c>
      <c r="IBJ36" t="s">
        <v>6984</v>
      </c>
      <c r="IBK36" t="s">
        <v>6984</v>
      </c>
      <c r="IBL36" t="s">
        <v>6984</v>
      </c>
      <c r="IBM36" t="s">
        <v>6984</v>
      </c>
      <c r="IBN36" t="s">
        <v>6984</v>
      </c>
      <c r="IBO36" t="s">
        <v>6984</v>
      </c>
      <c r="IBP36" t="s">
        <v>6984</v>
      </c>
      <c r="IBQ36" t="s">
        <v>6984</v>
      </c>
      <c r="IBR36" t="s">
        <v>6984</v>
      </c>
      <c r="IBS36" t="s">
        <v>6984</v>
      </c>
      <c r="IBT36" t="s">
        <v>6984</v>
      </c>
      <c r="IBU36" t="s">
        <v>6984</v>
      </c>
      <c r="IBV36" t="s">
        <v>6984</v>
      </c>
      <c r="IBW36" t="s">
        <v>6984</v>
      </c>
      <c r="IBX36" t="s">
        <v>6984</v>
      </c>
      <c r="IBY36" t="s">
        <v>6984</v>
      </c>
      <c r="IBZ36" t="s">
        <v>6984</v>
      </c>
      <c r="ICA36" t="s">
        <v>6984</v>
      </c>
      <c r="ICB36" t="s">
        <v>6984</v>
      </c>
      <c r="ICC36" t="s">
        <v>6984</v>
      </c>
      <c r="ICD36" t="s">
        <v>6984</v>
      </c>
      <c r="ICE36" t="s">
        <v>6984</v>
      </c>
      <c r="ICF36" t="s">
        <v>6984</v>
      </c>
      <c r="ICG36" t="s">
        <v>6984</v>
      </c>
      <c r="ICH36" t="s">
        <v>6984</v>
      </c>
      <c r="ICI36" t="s">
        <v>6984</v>
      </c>
      <c r="ICJ36" t="s">
        <v>6984</v>
      </c>
      <c r="ICK36" t="s">
        <v>6984</v>
      </c>
      <c r="ICL36" t="s">
        <v>6984</v>
      </c>
      <c r="ICM36" t="s">
        <v>6984</v>
      </c>
      <c r="ICN36" t="s">
        <v>6984</v>
      </c>
      <c r="ICO36" t="s">
        <v>6984</v>
      </c>
      <c r="ICP36" t="s">
        <v>6984</v>
      </c>
      <c r="ICQ36" t="s">
        <v>6984</v>
      </c>
      <c r="ICR36" t="s">
        <v>6984</v>
      </c>
      <c r="ICS36" t="s">
        <v>6984</v>
      </c>
      <c r="ICT36" t="s">
        <v>6984</v>
      </c>
      <c r="ICU36" t="s">
        <v>6984</v>
      </c>
      <c r="ICV36" t="s">
        <v>6984</v>
      </c>
      <c r="ICW36" t="s">
        <v>6984</v>
      </c>
      <c r="ICX36" t="s">
        <v>6984</v>
      </c>
      <c r="ICY36" t="s">
        <v>6984</v>
      </c>
      <c r="ICZ36" t="s">
        <v>6984</v>
      </c>
      <c r="IDA36" t="s">
        <v>6984</v>
      </c>
      <c r="IDB36" t="s">
        <v>6984</v>
      </c>
      <c r="IDC36" t="s">
        <v>6984</v>
      </c>
      <c r="IDD36" t="s">
        <v>6984</v>
      </c>
      <c r="IDE36" t="s">
        <v>6984</v>
      </c>
      <c r="IDF36" t="s">
        <v>6984</v>
      </c>
      <c r="IDG36" t="s">
        <v>6984</v>
      </c>
      <c r="IDH36" t="s">
        <v>6984</v>
      </c>
      <c r="IDI36" t="s">
        <v>6984</v>
      </c>
      <c r="IDJ36" t="s">
        <v>6984</v>
      </c>
      <c r="IDK36" t="s">
        <v>6984</v>
      </c>
      <c r="IDL36" t="s">
        <v>6984</v>
      </c>
      <c r="IDM36" t="s">
        <v>6984</v>
      </c>
      <c r="IDN36" t="s">
        <v>6984</v>
      </c>
      <c r="IDO36" t="s">
        <v>6984</v>
      </c>
      <c r="IDP36" t="s">
        <v>6984</v>
      </c>
      <c r="IDQ36" t="s">
        <v>6984</v>
      </c>
      <c r="IDR36" t="s">
        <v>6984</v>
      </c>
      <c r="IDS36" t="s">
        <v>6984</v>
      </c>
      <c r="IDT36" t="s">
        <v>6984</v>
      </c>
      <c r="IDU36" t="s">
        <v>6984</v>
      </c>
      <c r="IDV36" t="s">
        <v>6984</v>
      </c>
      <c r="IDW36" t="s">
        <v>6984</v>
      </c>
      <c r="IDX36" t="s">
        <v>6984</v>
      </c>
      <c r="IDY36" t="s">
        <v>6984</v>
      </c>
      <c r="IDZ36" t="s">
        <v>6984</v>
      </c>
      <c r="IEA36" t="s">
        <v>6984</v>
      </c>
      <c r="IEB36" t="s">
        <v>6984</v>
      </c>
      <c r="IEC36" t="s">
        <v>6984</v>
      </c>
      <c r="IED36" t="s">
        <v>6984</v>
      </c>
      <c r="IEE36" t="s">
        <v>6984</v>
      </c>
      <c r="IEF36" t="s">
        <v>6984</v>
      </c>
      <c r="IEG36" t="s">
        <v>6984</v>
      </c>
      <c r="IEH36" t="s">
        <v>6984</v>
      </c>
      <c r="IEI36" t="s">
        <v>6984</v>
      </c>
      <c r="IEJ36" t="s">
        <v>6984</v>
      </c>
      <c r="IEK36" t="s">
        <v>6984</v>
      </c>
      <c r="IEL36" t="s">
        <v>6984</v>
      </c>
      <c r="IEM36" t="s">
        <v>6984</v>
      </c>
      <c r="IEN36" t="s">
        <v>6984</v>
      </c>
      <c r="IEO36" t="s">
        <v>6984</v>
      </c>
      <c r="IEP36" t="s">
        <v>6984</v>
      </c>
      <c r="IEQ36" t="s">
        <v>6984</v>
      </c>
      <c r="IER36" t="s">
        <v>6984</v>
      </c>
      <c r="IES36" t="s">
        <v>6984</v>
      </c>
      <c r="IET36" t="s">
        <v>6984</v>
      </c>
      <c r="IEU36" t="s">
        <v>6984</v>
      </c>
      <c r="IEV36" t="s">
        <v>6984</v>
      </c>
      <c r="IEW36" t="s">
        <v>6984</v>
      </c>
      <c r="IEX36" t="s">
        <v>6984</v>
      </c>
      <c r="IEY36" t="s">
        <v>6984</v>
      </c>
      <c r="IEZ36" t="s">
        <v>6984</v>
      </c>
      <c r="IFA36" t="s">
        <v>6984</v>
      </c>
      <c r="IFB36" t="s">
        <v>6984</v>
      </c>
      <c r="IFC36" t="s">
        <v>6984</v>
      </c>
      <c r="IFD36" t="s">
        <v>6984</v>
      </c>
      <c r="IFE36" t="s">
        <v>6984</v>
      </c>
      <c r="IFF36" t="s">
        <v>6984</v>
      </c>
      <c r="IFG36" t="s">
        <v>6984</v>
      </c>
      <c r="IFH36" t="s">
        <v>6984</v>
      </c>
      <c r="IFI36" t="s">
        <v>6984</v>
      </c>
      <c r="IFJ36" t="s">
        <v>6984</v>
      </c>
      <c r="IFK36" t="s">
        <v>6984</v>
      </c>
      <c r="IFL36" t="s">
        <v>6984</v>
      </c>
      <c r="IFM36" t="s">
        <v>6984</v>
      </c>
      <c r="IFN36" t="s">
        <v>6984</v>
      </c>
      <c r="IFO36" t="s">
        <v>6984</v>
      </c>
      <c r="IFP36" t="s">
        <v>6984</v>
      </c>
      <c r="IFQ36" t="s">
        <v>6984</v>
      </c>
      <c r="IFR36" t="s">
        <v>6984</v>
      </c>
      <c r="IFS36" t="s">
        <v>6984</v>
      </c>
      <c r="IFT36" t="s">
        <v>6984</v>
      </c>
      <c r="IFU36" t="s">
        <v>6984</v>
      </c>
      <c r="IFV36" t="s">
        <v>6984</v>
      </c>
      <c r="IFW36" t="s">
        <v>6984</v>
      </c>
      <c r="IFX36" t="s">
        <v>6984</v>
      </c>
      <c r="IFY36" t="s">
        <v>6984</v>
      </c>
      <c r="IFZ36" t="s">
        <v>6984</v>
      </c>
      <c r="IGA36" t="s">
        <v>6984</v>
      </c>
      <c r="IGB36" t="s">
        <v>6984</v>
      </c>
      <c r="IGC36" t="s">
        <v>6984</v>
      </c>
      <c r="IGD36" t="s">
        <v>6984</v>
      </c>
      <c r="IGE36" t="s">
        <v>6984</v>
      </c>
      <c r="IGF36" t="s">
        <v>6984</v>
      </c>
      <c r="IGG36" t="s">
        <v>6984</v>
      </c>
      <c r="IGH36" t="s">
        <v>6984</v>
      </c>
      <c r="IGI36" t="s">
        <v>6984</v>
      </c>
      <c r="IGJ36" t="s">
        <v>6984</v>
      </c>
      <c r="IGK36" t="s">
        <v>6984</v>
      </c>
      <c r="IGL36" t="s">
        <v>6984</v>
      </c>
      <c r="IGM36" t="s">
        <v>6984</v>
      </c>
      <c r="IGN36" t="s">
        <v>6984</v>
      </c>
      <c r="IGO36" t="s">
        <v>6984</v>
      </c>
      <c r="IGP36" t="s">
        <v>6984</v>
      </c>
      <c r="IGQ36" t="s">
        <v>6984</v>
      </c>
      <c r="IGR36" t="s">
        <v>6984</v>
      </c>
      <c r="IGS36" t="s">
        <v>6984</v>
      </c>
      <c r="IGT36" t="s">
        <v>6984</v>
      </c>
      <c r="IGU36" t="s">
        <v>6984</v>
      </c>
      <c r="IGV36" t="s">
        <v>6984</v>
      </c>
      <c r="IGW36" t="s">
        <v>6984</v>
      </c>
      <c r="IGX36" t="s">
        <v>6984</v>
      </c>
      <c r="IGY36" t="s">
        <v>6984</v>
      </c>
      <c r="IGZ36" t="s">
        <v>6984</v>
      </c>
      <c r="IHA36" t="s">
        <v>6984</v>
      </c>
      <c r="IHB36" t="s">
        <v>6984</v>
      </c>
      <c r="IHC36" t="s">
        <v>6984</v>
      </c>
      <c r="IHD36" t="s">
        <v>6984</v>
      </c>
      <c r="IHE36" t="s">
        <v>6984</v>
      </c>
      <c r="IHF36" t="s">
        <v>6984</v>
      </c>
      <c r="IHG36" t="s">
        <v>6984</v>
      </c>
      <c r="IHH36" t="s">
        <v>6984</v>
      </c>
      <c r="IHI36" t="s">
        <v>6984</v>
      </c>
      <c r="IHJ36" t="s">
        <v>6984</v>
      </c>
      <c r="IHK36" t="s">
        <v>6984</v>
      </c>
      <c r="IHL36" t="s">
        <v>6984</v>
      </c>
      <c r="IHM36" t="s">
        <v>6984</v>
      </c>
      <c r="IHN36" t="s">
        <v>6984</v>
      </c>
      <c r="IHO36" t="s">
        <v>6984</v>
      </c>
      <c r="IHP36" t="s">
        <v>6984</v>
      </c>
      <c r="IHQ36" t="s">
        <v>6984</v>
      </c>
      <c r="IHR36" t="s">
        <v>6984</v>
      </c>
      <c r="IHS36" t="s">
        <v>6984</v>
      </c>
      <c r="IHT36" t="s">
        <v>6984</v>
      </c>
      <c r="IHU36" t="s">
        <v>6984</v>
      </c>
      <c r="IHV36" t="s">
        <v>6984</v>
      </c>
      <c r="IHW36" t="s">
        <v>6984</v>
      </c>
      <c r="IHX36" t="s">
        <v>6984</v>
      </c>
      <c r="IHY36" t="s">
        <v>6984</v>
      </c>
      <c r="IHZ36" t="s">
        <v>6984</v>
      </c>
      <c r="IIA36" t="s">
        <v>6984</v>
      </c>
      <c r="IIB36" t="s">
        <v>6984</v>
      </c>
      <c r="IIC36" t="s">
        <v>6984</v>
      </c>
      <c r="IID36" t="s">
        <v>6984</v>
      </c>
      <c r="IIE36" t="s">
        <v>6984</v>
      </c>
      <c r="IIF36" t="s">
        <v>6984</v>
      </c>
      <c r="IIG36" t="s">
        <v>6984</v>
      </c>
      <c r="IIH36" t="s">
        <v>6984</v>
      </c>
      <c r="III36" t="s">
        <v>6984</v>
      </c>
      <c r="IIJ36" t="s">
        <v>6984</v>
      </c>
      <c r="IIK36" t="s">
        <v>6984</v>
      </c>
      <c r="IIL36" t="s">
        <v>6984</v>
      </c>
      <c r="IIM36" t="s">
        <v>6984</v>
      </c>
      <c r="IIN36" t="s">
        <v>6984</v>
      </c>
      <c r="IIO36" t="s">
        <v>6984</v>
      </c>
      <c r="IIP36" t="s">
        <v>6984</v>
      </c>
      <c r="IIQ36" t="s">
        <v>6984</v>
      </c>
      <c r="IIR36" t="s">
        <v>6984</v>
      </c>
      <c r="IIS36" t="s">
        <v>6984</v>
      </c>
      <c r="IIT36" t="s">
        <v>6984</v>
      </c>
      <c r="IIU36" t="s">
        <v>6984</v>
      </c>
      <c r="IIV36" t="s">
        <v>6984</v>
      </c>
      <c r="IIW36" t="s">
        <v>6984</v>
      </c>
      <c r="IIX36" t="s">
        <v>6984</v>
      </c>
      <c r="IIY36" t="s">
        <v>6984</v>
      </c>
      <c r="IIZ36" t="s">
        <v>6984</v>
      </c>
      <c r="IJA36" t="s">
        <v>6984</v>
      </c>
      <c r="IJB36" t="s">
        <v>6984</v>
      </c>
      <c r="IJC36" t="s">
        <v>6984</v>
      </c>
      <c r="IJD36" t="s">
        <v>6984</v>
      </c>
      <c r="IJE36" t="s">
        <v>6984</v>
      </c>
      <c r="IJF36" t="s">
        <v>6984</v>
      </c>
      <c r="IJG36" t="s">
        <v>6984</v>
      </c>
      <c r="IJH36" t="s">
        <v>6984</v>
      </c>
      <c r="IJI36" t="s">
        <v>6984</v>
      </c>
      <c r="IJJ36" t="s">
        <v>6984</v>
      </c>
      <c r="IJK36" t="s">
        <v>6984</v>
      </c>
      <c r="IJL36" t="s">
        <v>6984</v>
      </c>
      <c r="IJM36" t="s">
        <v>6984</v>
      </c>
      <c r="IJN36" t="s">
        <v>6984</v>
      </c>
      <c r="IJO36" t="s">
        <v>6984</v>
      </c>
      <c r="IJP36" t="s">
        <v>6984</v>
      </c>
      <c r="IJQ36" t="s">
        <v>6984</v>
      </c>
      <c r="IJR36" t="s">
        <v>6984</v>
      </c>
      <c r="IJS36" t="s">
        <v>6984</v>
      </c>
      <c r="IJT36" t="s">
        <v>6984</v>
      </c>
      <c r="IJU36" t="s">
        <v>6984</v>
      </c>
      <c r="IJV36" t="s">
        <v>6984</v>
      </c>
      <c r="IJW36" t="s">
        <v>6984</v>
      </c>
      <c r="IJX36" t="s">
        <v>6984</v>
      </c>
      <c r="IJY36" t="s">
        <v>6984</v>
      </c>
      <c r="IJZ36" t="s">
        <v>6984</v>
      </c>
      <c r="IKA36" t="s">
        <v>6984</v>
      </c>
      <c r="IKB36" t="s">
        <v>6984</v>
      </c>
      <c r="IKC36" t="s">
        <v>6984</v>
      </c>
      <c r="IKD36" t="s">
        <v>6984</v>
      </c>
      <c r="IKE36" t="s">
        <v>6984</v>
      </c>
      <c r="IKF36" t="s">
        <v>6984</v>
      </c>
      <c r="IKG36" t="s">
        <v>6984</v>
      </c>
      <c r="IKH36" t="s">
        <v>6984</v>
      </c>
      <c r="IKI36" t="s">
        <v>6984</v>
      </c>
      <c r="IKJ36" t="s">
        <v>6984</v>
      </c>
      <c r="IKK36" t="s">
        <v>6984</v>
      </c>
      <c r="IKL36" t="s">
        <v>6984</v>
      </c>
      <c r="IKM36" t="s">
        <v>6984</v>
      </c>
      <c r="IKN36" t="s">
        <v>6984</v>
      </c>
      <c r="IKO36" t="s">
        <v>6984</v>
      </c>
      <c r="IKP36" t="s">
        <v>6984</v>
      </c>
      <c r="IKQ36" t="s">
        <v>6984</v>
      </c>
      <c r="IKR36" t="s">
        <v>6984</v>
      </c>
      <c r="IKS36" t="s">
        <v>6984</v>
      </c>
      <c r="IKT36" t="s">
        <v>6984</v>
      </c>
      <c r="IKU36" t="s">
        <v>6984</v>
      </c>
      <c r="IKV36" t="s">
        <v>6984</v>
      </c>
      <c r="IKW36" t="s">
        <v>6984</v>
      </c>
      <c r="IKX36" t="s">
        <v>6984</v>
      </c>
      <c r="IKY36" t="s">
        <v>6984</v>
      </c>
      <c r="IKZ36" t="s">
        <v>6984</v>
      </c>
      <c r="ILA36" t="s">
        <v>6984</v>
      </c>
      <c r="ILB36" t="s">
        <v>6984</v>
      </c>
      <c r="ILC36" t="s">
        <v>6984</v>
      </c>
      <c r="ILD36" t="s">
        <v>6984</v>
      </c>
      <c r="ILE36" t="s">
        <v>6984</v>
      </c>
      <c r="ILF36" t="s">
        <v>6984</v>
      </c>
      <c r="ILG36" t="s">
        <v>6984</v>
      </c>
      <c r="ILH36" t="s">
        <v>6984</v>
      </c>
      <c r="ILI36" t="s">
        <v>6984</v>
      </c>
      <c r="ILJ36" t="s">
        <v>6984</v>
      </c>
      <c r="ILK36" t="s">
        <v>6984</v>
      </c>
      <c r="ILL36" t="s">
        <v>6984</v>
      </c>
      <c r="ILM36" t="s">
        <v>6984</v>
      </c>
      <c r="ILN36" t="s">
        <v>6984</v>
      </c>
      <c r="ILO36" t="s">
        <v>6984</v>
      </c>
      <c r="ILP36" t="s">
        <v>6984</v>
      </c>
      <c r="ILQ36" t="s">
        <v>6984</v>
      </c>
      <c r="ILR36" t="s">
        <v>6984</v>
      </c>
      <c r="ILS36" t="s">
        <v>6984</v>
      </c>
      <c r="ILT36" t="s">
        <v>6984</v>
      </c>
      <c r="ILU36" t="s">
        <v>6984</v>
      </c>
      <c r="ILV36" t="s">
        <v>6984</v>
      </c>
      <c r="ILW36" t="s">
        <v>6984</v>
      </c>
      <c r="ILX36" t="s">
        <v>6984</v>
      </c>
      <c r="ILY36" t="s">
        <v>6984</v>
      </c>
      <c r="ILZ36" t="s">
        <v>6984</v>
      </c>
      <c r="IMA36" t="s">
        <v>6984</v>
      </c>
      <c r="IMB36" t="s">
        <v>6984</v>
      </c>
      <c r="IMC36" t="s">
        <v>6984</v>
      </c>
      <c r="IMD36" t="s">
        <v>6984</v>
      </c>
      <c r="IME36" t="s">
        <v>6984</v>
      </c>
      <c r="IMF36" t="s">
        <v>6984</v>
      </c>
      <c r="IMG36" t="s">
        <v>6984</v>
      </c>
      <c r="IMH36" t="s">
        <v>6984</v>
      </c>
      <c r="IMI36" t="s">
        <v>6984</v>
      </c>
      <c r="IMJ36" t="s">
        <v>6984</v>
      </c>
      <c r="IMK36" t="s">
        <v>6984</v>
      </c>
      <c r="IML36" t="s">
        <v>6984</v>
      </c>
      <c r="IMM36" t="s">
        <v>6984</v>
      </c>
      <c r="IMN36" t="s">
        <v>6984</v>
      </c>
      <c r="IMO36" t="s">
        <v>6984</v>
      </c>
      <c r="IMP36" t="s">
        <v>6984</v>
      </c>
      <c r="IMQ36" t="s">
        <v>6984</v>
      </c>
      <c r="IMR36" t="s">
        <v>6984</v>
      </c>
      <c r="IMS36" t="s">
        <v>6984</v>
      </c>
      <c r="IMT36" t="s">
        <v>6984</v>
      </c>
      <c r="IMU36" t="s">
        <v>6984</v>
      </c>
      <c r="IMV36" t="s">
        <v>6984</v>
      </c>
      <c r="IMW36" t="s">
        <v>6984</v>
      </c>
      <c r="IMX36" t="s">
        <v>6984</v>
      </c>
      <c r="IMY36" t="s">
        <v>6984</v>
      </c>
      <c r="IMZ36" t="s">
        <v>6984</v>
      </c>
      <c r="INA36" t="s">
        <v>6984</v>
      </c>
      <c r="INB36" t="s">
        <v>6984</v>
      </c>
      <c r="INC36" t="s">
        <v>6984</v>
      </c>
      <c r="IND36" t="s">
        <v>6984</v>
      </c>
      <c r="INE36" t="s">
        <v>6984</v>
      </c>
      <c r="INF36" t="s">
        <v>6984</v>
      </c>
      <c r="ING36" t="s">
        <v>6984</v>
      </c>
      <c r="INH36" t="s">
        <v>6984</v>
      </c>
      <c r="INI36" t="s">
        <v>6984</v>
      </c>
      <c r="INJ36" t="s">
        <v>6984</v>
      </c>
      <c r="INK36" t="s">
        <v>6984</v>
      </c>
      <c r="INL36" t="s">
        <v>6984</v>
      </c>
      <c r="INM36" t="s">
        <v>6984</v>
      </c>
      <c r="INN36" t="s">
        <v>6984</v>
      </c>
      <c r="INO36" t="s">
        <v>6984</v>
      </c>
      <c r="INP36" t="s">
        <v>6984</v>
      </c>
      <c r="INQ36" t="s">
        <v>6984</v>
      </c>
      <c r="INR36" t="s">
        <v>6984</v>
      </c>
      <c r="INS36" t="s">
        <v>6984</v>
      </c>
      <c r="INT36" t="s">
        <v>6984</v>
      </c>
      <c r="INU36" t="s">
        <v>6984</v>
      </c>
      <c r="INV36" t="s">
        <v>6984</v>
      </c>
      <c r="INW36" t="s">
        <v>6984</v>
      </c>
      <c r="INX36" t="s">
        <v>6984</v>
      </c>
      <c r="INY36" t="s">
        <v>6984</v>
      </c>
      <c r="INZ36" t="s">
        <v>6984</v>
      </c>
      <c r="IOA36" t="s">
        <v>6984</v>
      </c>
      <c r="IOB36" t="s">
        <v>6984</v>
      </c>
      <c r="IOC36" t="s">
        <v>6984</v>
      </c>
      <c r="IOD36" t="s">
        <v>6984</v>
      </c>
      <c r="IOE36" t="s">
        <v>6984</v>
      </c>
      <c r="IOF36" t="s">
        <v>6984</v>
      </c>
      <c r="IOG36" t="s">
        <v>6984</v>
      </c>
      <c r="IOH36" t="s">
        <v>6984</v>
      </c>
      <c r="IOI36" t="s">
        <v>6984</v>
      </c>
      <c r="IOJ36" t="s">
        <v>6984</v>
      </c>
      <c r="IOK36" t="s">
        <v>6984</v>
      </c>
      <c r="IOL36" t="s">
        <v>6984</v>
      </c>
      <c r="IOM36" t="s">
        <v>6984</v>
      </c>
      <c r="ION36" t="s">
        <v>6984</v>
      </c>
      <c r="IOO36" t="s">
        <v>6984</v>
      </c>
      <c r="IOP36" t="s">
        <v>6984</v>
      </c>
      <c r="IOQ36" t="s">
        <v>6984</v>
      </c>
      <c r="IOR36" t="s">
        <v>6984</v>
      </c>
      <c r="IOS36" t="s">
        <v>6984</v>
      </c>
      <c r="IOT36" t="s">
        <v>6984</v>
      </c>
      <c r="IOU36" t="s">
        <v>6984</v>
      </c>
      <c r="IOV36" t="s">
        <v>6984</v>
      </c>
      <c r="IOW36" t="s">
        <v>6984</v>
      </c>
      <c r="IOX36" t="s">
        <v>6984</v>
      </c>
      <c r="IOY36" t="s">
        <v>6984</v>
      </c>
      <c r="IOZ36" t="s">
        <v>6984</v>
      </c>
      <c r="IPA36" t="s">
        <v>6984</v>
      </c>
      <c r="IPB36" t="s">
        <v>6984</v>
      </c>
      <c r="IPC36" t="s">
        <v>6984</v>
      </c>
      <c r="IPD36" t="s">
        <v>6984</v>
      </c>
      <c r="IPE36" t="s">
        <v>6984</v>
      </c>
      <c r="IPF36" t="s">
        <v>6984</v>
      </c>
      <c r="IPG36" t="s">
        <v>6984</v>
      </c>
      <c r="IPH36" t="s">
        <v>6984</v>
      </c>
      <c r="IPI36" t="s">
        <v>6984</v>
      </c>
      <c r="IPJ36" t="s">
        <v>6984</v>
      </c>
      <c r="IPK36" t="s">
        <v>6984</v>
      </c>
      <c r="IPL36" t="s">
        <v>6984</v>
      </c>
      <c r="IPM36" t="s">
        <v>6984</v>
      </c>
      <c r="IPN36" t="s">
        <v>6984</v>
      </c>
      <c r="IPO36" t="s">
        <v>6984</v>
      </c>
      <c r="IPP36" t="s">
        <v>6984</v>
      </c>
      <c r="IPQ36" t="s">
        <v>6984</v>
      </c>
      <c r="IPR36" t="s">
        <v>6984</v>
      </c>
      <c r="IPS36" t="s">
        <v>6984</v>
      </c>
      <c r="IPT36" t="s">
        <v>6984</v>
      </c>
      <c r="IPU36" t="s">
        <v>6984</v>
      </c>
      <c r="IPV36" t="s">
        <v>6984</v>
      </c>
      <c r="IPW36" t="s">
        <v>6984</v>
      </c>
      <c r="IPX36" t="s">
        <v>6984</v>
      </c>
      <c r="IPY36" t="s">
        <v>6984</v>
      </c>
      <c r="IPZ36" t="s">
        <v>6984</v>
      </c>
      <c r="IQA36" t="s">
        <v>6984</v>
      </c>
      <c r="IQB36" t="s">
        <v>6984</v>
      </c>
      <c r="IQC36" t="s">
        <v>6984</v>
      </c>
      <c r="IQD36" t="s">
        <v>6984</v>
      </c>
      <c r="IQE36" t="s">
        <v>6984</v>
      </c>
      <c r="IQF36" t="s">
        <v>6984</v>
      </c>
      <c r="IQG36" t="s">
        <v>6984</v>
      </c>
      <c r="IQH36" t="s">
        <v>6984</v>
      </c>
      <c r="IQI36" t="s">
        <v>6984</v>
      </c>
      <c r="IQJ36" t="s">
        <v>6984</v>
      </c>
      <c r="IQK36" t="s">
        <v>6984</v>
      </c>
      <c r="IQL36" t="s">
        <v>6984</v>
      </c>
      <c r="IQM36" t="s">
        <v>6984</v>
      </c>
      <c r="IQN36" t="s">
        <v>6984</v>
      </c>
      <c r="IQO36" t="s">
        <v>6984</v>
      </c>
      <c r="IQP36" t="s">
        <v>6984</v>
      </c>
      <c r="IQQ36" t="s">
        <v>6984</v>
      </c>
      <c r="IQR36" t="s">
        <v>6984</v>
      </c>
      <c r="IQS36" t="s">
        <v>6984</v>
      </c>
      <c r="IQT36" t="s">
        <v>6984</v>
      </c>
      <c r="IQU36" t="s">
        <v>6984</v>
      </c>
      <c r="IQV36" t="s">
        <v>6984</v>
      </c>
      <c r="IQW36" t="s">
        <v>6984</v>
      </c>
      <c r="IQX36" t="s">
        <v>6984</v>
      </c>
      <c r="IQY36" t="s">
        <v>6984</v>
      </c>
      <c r="IQZ36" t="s">
        <v>6984</v>
      </c>
      <c r="IRA36" t="s">
        <v>6984</v>
      </c>
      <c r="IRB36" t="s">
        <v>6984</v>
      </c>
      <c r="IRC36" t="s">
        <v>6984</v>
      </c>
      <c r="IRD36" t="s">
        <v>6984</v>
      </c>
      <c r="IRE36" t="s">
        <v>6984</v>
      </c>
      <c r="IRF36" t="s">
        <v>6984</v>
      </c>
      <c r="IRG36" t="s">
        <v>6984</v>
      </c>
      <c r="IRH36" t="s">
        <v>6984</v>
      </c>
      <c r="IRI36" t="s">
        <v>6984</v>
      </c>
      <c r="IRJ36" t="s">
        <v>6984</v>
      </c>
      <c r="IRK36" t="s">
        <v>6984</v>
      </c>
      <c r="IRL36" t="s">
        <v>6984</v>
      </c>
      <c r="IRM36" t="s">
        <v>6984</v>
      </c>
      <c r="IRN36" t="s">
        <v>6984</v>
      </c>
      <c r="IRO36" t="s">
        <v>6984</v>
      </c>
      <c r="IRP36" t="s">
        <v>6984</v>
      </c>
      <c r="IRQ36" t="s">
        <v>6984</v>
      </c>
      <c r="IRR36" t="s">
        <v>6984</v>
      </c>
      <c r="IRS36" t="s">
        <v>6984</v>
      </c>
      <c r="IRT36" t="s">
        <v>6984</v>
      </c>
      <c r="IRU36" t="s">
        <v>6984</v>
      </c>
      <c r="IRV36" t="s">
        <v>6984</v>
      </c>
      <c r="IRW36" t="s">
        <v>6984</v>
      </c>
      <c r="IRX36" t="s">
        <v>6984</v>
      </c>
      <c r="IRY36" t="s">
        <v>6984</v>
      </c>
      <c r="IRZ36" t="s">
        <v>6984</v>
      </c>
      <c r="ISA36" t="s">
        <v>6984</v>
      </c>
      <c r="ISB36" t="s">
        <v>6984</v>
      </c>
      <c r="ISC36" t="s">
        <v>6984</v>
      </c>
      <c r="ISD36" t="s">
        <v>6984</v>
      </c>
      <c r="ISE36" t="s">
        <v>6984</v>
      </c>
      <c r="ISF36" t="s">
        <v>6984</v>
      </c>
      <c r="ISG36" t="s">
        <v>6984</v>
      </c>
      <c r="ISH36" t="s">
        <v>6984</v>
      </c>
      <c r="ISI36" t="s">
        <v>6984</v>
      </c>
      <c r="ISJ36" t="s">
        <v>6984</v>
      </c>
      <c r="ISK36" t="s">
        <v>6984</v>
      </c>
      <c r="ISL36" t="s">
        <v>6984</v>
      </c>
      <c r="ISM36" t="s">
        <v>6984</v>
      </c>
      <c r="ISN36" t="s">
        <v>6984</v>
      </c>
      <c r="ISO36" t="s">
        <v>6984</v>
      </c>
      <c r="ISP36" t="s">
        <v>6984</v>
      </c>
      <c r="ISQ36" t="s">
        <v>6984</v>
      </c>
      <c r="ISR36" t="s">
        <v>6984</v>
      </c>
      <c r="ISS36" t="s">
        <v>6984</v>
      </c>
      <c r="IST36" t="s">
        <v>6984</v>
      </c>
      <c r="ISU36" t="s">
        <v>6984</v>
      </c>
      <c r="ISV36" t="s">
        <v>6984</v>
      </c>
      <c r="ISW36" t="s">
        <v>6984</v>
      </c>
      <c r="ISX36" t="s">
        <v>6984</v>
      </c>
      <c r="ISY36" t="s">
        <v>6984</v>
      </c>
      <c r="ISZ36" t="s">
        <v>6984</v>
      </c>
      <c r="ITA36" t="s">
        <v>6984</v>
      </c>
      <c r="ITB36" t="s">
        <v>6984</v>
      </c>
      <c r="ITC36" t="s">
        <v>6984</v>
      </c>
      <c r="ITD36" t="s">
        <v>6984</v>
      </c>
      <c r="ITE36" t="s">
        <v>6984</v>
      </c>
      <c r="ITF36" t="s">
        <v>6984</v>
      </c>
      <c r="ITG36" t="s">
        <v>6984</v>
      </c>
      <c r="ITH36" t="s">
        <v>6984</v>
      </c>
      <c r="ITI36" t="s">
        <v>6984</v>
      </c>
      <c r="ITJ36" t="s">
        <v>6984</v>
      </c>
      <c r="ITK36" t="s">
        <v>6984</v>
      </c>
      <c r="ITL36" t="s">
        <v>6984</v>
      </c>
      <c r="ITM36" t="s">
        <v>6984</v>
      </c>
      <c r="ITN36" t="s">
        <v>6984</v>
      </c>
      <c r="ITO36" t="s">
        <v>6984</v>
      </c>
      <c r="ITP36" t="s">
        <v>6984</v>
      </c>
      <c r="ITQ36" t="s">
        <v>6984</v>
      </c>
      <c r="ITR36" t="s">
        <v>6984</v>
      </c>
      <c r="ITS36" t="s">
        <v>6984</v>
      </c>
      <c r="ITT36" t="s">
        <v>6984</v>
      </c>
      <c r="ITU36" t="s">
        <v>6984</v>
      </c>
      <c r="ITV36" t="s">
        <v>6984</v>
      </c>
      <c r="ITW36" t="s">
        <v>6984</v>
      </c>
      <c r="ITX36" t="s">
        <v>6984</v>
      </c>
      <c r="ITY36" t="s">
        <v>6984</v>
      </c>
      <c r="ITZ36" t="s">
        <v>6984</v>
      </c>
      <c r="IUA36" t="s">
        <v>6984</v>
      </c>
      <c r="IUB36" t="s">
        <v>6984</v>
      </c>
      <c r="IUC36" t="s">
        <v>6984</v>
      </c>
      <c r="IUD36" t="s">
        <v>6984</v>
      </c>
      <c r="IUE36" t="s">
        <v>6984</v>
      </c>
      <c r="IUF36" t="s">
        <v>6984</v>
      </c>
      <c r="IUG36" t="s">
        <v>6984</v>
      </c>
      <c r="IUH36" t="s">
        <v>6984</v>
      </c>
      <c r="IUI36" t="s">
        <v>6984</v>
      </c>
      <c r="IUJ36" t="s">
        <v>6984</v>
      </c>
      <c r="IUK36" t="s">
        <v>6984</v>
      </c>
      <c r="IUL36" t="s">
        <v>6984</v>
      </c>
      <c r="IUM36" t="s">
        <v>6984</v>
      </c>
      <c r="IUN36" t="s">
        <v>6984</v>
      </c>
      <c r="IUO36" t="s">
        <v>6984</v>
      </c>
      <c r="IUP36" t="s">
        <v>6984</v>
      </c>
      <c r="IUQ36" t="s">
        <v>6984</v>
      </c>
      <c r="IUR36" t="s">
        <v>6984</v>
      </c>
      <c r="IUS36" t="s">
        <v>6984</v>
      </c>
      <c r="IUT36" t="s">
        <v>6984</v>
      </c>
      <c r="IUU36" t="s">
        <v>6984</v>
      </c>
      <c r="IUV36" t="s">
        <v>6984</v>
      </c>
      <c r="IUW36" t="s">
        <v>6984</v>
      </c>
      <c r="IUX36" t="s">
        <v>6984</v>
      </c>
      <c r="IUY36" t="s">
        <v>6984</v>
      </c>
      <c r="IUZ36" t="s">
        <v>6984</v>
      </c>
      <c r="IVA36" t="s">
        <v>6984</v>
      </c>
      <c r="IVB36" t="s">
        <v>6984</v>
      </c>
      <c r="IVC36" t="s">
        <v>6984</v>
      </c>
      <c r="IVD36" t="s">
        <v>6984</v>
      </c>
      <c r="IVE36" t="s">
        <v>6984</v>
      </c>
      <c r="IVF36" t="s">
        <v>6984</v>
      </c>
      <c r="IVG36" t="s">
        <v>6984</v>
      </c>
      <c r="IVH36" t="s">
        <v>6984</v>
      </c>
      <c r="IVI36" t="s">
        <v>6984</v>
      </c>
      <c r="IVJ36" t="s">
        <v>6984</v>
      </c>
      <c r="IVK36" t="s">
        <v>6984</v>
      </c>
      <c r="IVL36" t="s">
        <v>6984</v>
      </c>
      <c r="IVM36" t="s">
        <v>6984</v>
      </c>
      <c r="IVN36" t="s">
        <v>6984</v>
      </c>
      <c r="IVO36" t="s">
        <v>6984</v>
      </c>
      <c r="IVP36" t="s">
        <v>6984</v>
      </c>
      <c r="IVQ36" t="s">
        <v>6984</v>
      </c>
      <c r="IVR36" t="s">
        <v>6984</v>
      </c>
      <c r="IVS36" t="s">
        <v>6984</v>
      </c>
      <c r="IVT36" t="s">
        <v>6984</v>
      </c>
      <c r="IVU36" t="s">
        <v>6984</v>
      </c>
      <c r="IVV36" t="s">
        <v>6984</v>
      </c>
      <c r="IVW36" t="s">
        <v>6984</v>
      </c>
      <c r="IVX36" t="s">
        <v>6984</v>
      </c>
      <c r="IVY36" t="s">
        <v>6984</v>
      </c>
      <c r="IVZ36" t="s">
        <v>6984</v>
      </c>
      <c r="IWA36" t="s">
        <v>6984</v>
      </c>
      <c r="IWB36" t="s">
        <v>6984</v>
      </c>
      <c r="IWC36" t="s">
        <v>6984</v>
      </c>
      <c r="IWD36" t="s">
        <v>6984</v>
      </c>
      <c r="IWE36" t="s">
        <v>6984</v>
      </c>
      <c r="IWF36" t="s">
        <v>6984</v>
      </c>
      <c r="IWG36" t="s">
        <v>6984</v>
      </c>
      <c r="IWH36" t="s">
        <v>6984</v>
      </c>
      <c r="IWI36" t="s">
        <v>6984</v>
      </c>
      <c r="IWJ36" t="s">
        <v>6984</v>
      </c>
      <c r="IWK36" t="s">
        <v>6984</v>
      </c>
      <c r="IWL36" t="s">
        <v>6984</v>
      </c>
      <c r="IWM36" t="s">
        <v>6984</v>
      </c>
      <c r="IWN36" t="s">
        <v>6984</v>
      </c>
      <c r="IWO36" t="s">
        <v>6984</v>
      </c>
      <c r="IWP36" t="s">
        <v>6984</v>
      </c>
      <c r="IWQ36" t="s">
        <v>6984</v>
      </c>
      <c r="IWR36" t="s">
        <v>6984</v>
      </c>
      <c r="IWS36" t="s">
        <v>6984</v>
      </c>
      <c r="IWT36" t="s">
        <v>6984</v>
      </c>
      <c r="IWU36" t="s">
        <v>6984</v>
      </c>
      <c r="IWV36" t="s">
        <v>6984</v>
      </c>
      <c r="IWW36" t="s">
        <v>6984</v>
      </c>
      <c r="IWX36" t="s">
        <v>6984</v>
      </c>
      <c r="IWY36" t="s">
        <v>6984</v>
      </c>
      <c r="IWZ36" t="s">
        <v>6984</v>
      </c>
      <c r="IXA36" t="s">
        <v>6984</v>
      </c>
      <c r="IXB36" t="s">
        <v>6984</v>
      </c>
      <c r="IXC36" t="s">
        <v>6984</v>
      </c>
      <c r="IXD36" t="s">
        <v>6984</v>
      </c>
      <c r="IXE36" t="s">
        <v>6984</v>
      </c>
      <c r="IXF36" t="s">
        <v>6984</v>
      </c>
      <c r="IXG36" t="s">
        <v>6984</v>
      </c>
      <c r="IXH36" t="s">
        <v>6984</v>
      </c>
      <c r="IXI36" t="s">
        <v>6984</v>
      </c>
      <c r="IXJ36" t="s">
        <v>6984</v>
      </c>
      <c r="IXK36" t="s">
        <v>6984</v>
      </c>
      <c r="IXL36" t="s">
        <v>6984</v>
      </c>
      <c r="IXM36" t="s">
        <v>6984</v>
      </c>
      <c r="IXN36" t="s">
        <v>6984</v>
      </c>
      <c r="IXO36" t="s">
        <v>6984</v>
      </c>
      <c r="IXP36" t="s">
        <v>6984</v>
      </c>
      <c r="IXQ36" t="s">
        <v>6984</v>
      </c>
      <c r="IXR36" t="s">
        <v>6984</v>
      </c>
      <c r="IXS36" t="s">
        <v>6984</v>
      </c>
      <c r="IXT36" t="s">
        <v>6984</v>
      </c>
      <c r="IXU36" t="s">
        <v>6984</v>
      </c>
      <c r="IXV36" t="s">
        <v>6984</v>
      </c>
      <c r="IXW36" t="s">
        <v>6984</v>
      </c>
      <c r="IXX36" t="s">
        <v>6984</v>
      </c>
      <c r="IXY36" t="s">
        <v>6984</v>
      </c>
      <c r="IXZ36" t="s">
        <v>6984</v>
      </c>
      <c r="IYA36" t="s">
        <v>6984</v>
      </c>
      <c r="IYB36" t="s">
        <v>6984</v>
      </c>
      <c r="IYC36" t="s">
        <v>6984</v>
      </c>
      <c r="IYD36" t="s">
        <v>6984</v>
      </c>
      <c r="IYE36" t="s">
        <v>6984</v>
      </c>
      <c r="IYF36" t="s">
        <v>6984</v>
      </c>
      <c r="IYG36" t="s">
        <v>6984</v>
      </c>
      <c r="IYH36" t="s">
        <v>6984</v>
      </c>
      <c r="IYI36" t="s">
        <v>6984</v>
      </c>
      <c r="IYJ36" t="s">
        <v>6984</v>
      </c>
      <c r="IYK36" t="s">
        <v>6984</v>
      </c>
      <c r="IYL36" t="s">
        <v>6984</v>
      </c>
      <c r="IYM36" t="s">
        <v>6984</v>
      </c>
      <c r="IYN36" t="s">
        <v>6984</v>
      </c>
      <c r="IYO36" t="s">
        <v>6984</v>
      </c>
      <c r="IYP36" t="s">
        <v>6984</v>
      </c>
      <c r="IYQ36" t="s">
        <v>6984</v>
      </c>
      <c r="IYR36" t="s">
        <v>6984</v>
      </c>
      <c r="IYS36" t="s">
        <v>6984</v>
      </c>
      <c r="IYT36" t="s">
        <v>6984</v>
      </c>
      <c r="IYU36" t="s">
        <v>6984</v>
      </c>
      <c r="IYV36" t="s">
        <v>6984</v>
      </c>
      <c r="IYW36" t="s">
        <v>6984</v>
      </c>
      <c r="IYX36" t="s">
        <v>6984</v>
      </c>
      <c r="IYY36" t="s">
        <v>6984</v>
      </c>
      <c r="IYZ36" t="s">
        <v>6984</v>
      </c>
      <c r="IZA36" t="s">
        <v>6984</v>
      </c>
      <c r="IZB36" t="s">
        <v>6984</v>
      </c>
      <c r="IZC36" t="s">
        <v>6984</v>
      </c>
      <c r="IZD36" t="s">
        <v>6984</v>
      </c>
      <c r="IZE36" t="s">
        <v>6984</v>
      </c>
      <c r="IZF36" t="s">
        <v>6984</v>
      </c>
      <c r="IZG36" t="s">
        <v>6984</v>
      </c>
      <c r="IZH36" t="s">
        <v>6984</v>
      </c>
      <c r="IZI36" t="s">
        <v>6984</v>
      </c>
      <c r="IZJ36" t="s">
        <v>6984</v>
      </c>
      <c r="IZK36" t="s">
        <v>6984</v>
      </c>
      <c r="IZL36" t="s">
        <v>6984</v>
      </c>
      <c r="IZM36" t="s">
        <v>6984</v>
      </c>
      <c r="IZN36" t="s">
        <v>6984</v>
      </c>
      <c r="IZO36" t="s">
        <v>6984</v>
      </c>
      <c r="IZP36" t="s">
        <v>6984</v>
      </c>
      <c r="IZQ36" t="s">
        <v>6984</v>
      </c>
      <c r="IZR36" t="s">
        <v>6984</v>
      </c>
      <c r="IZS36" t="s">
        <v>6984</v>
      </c>
      <c r="IZT36" t="s">
        <v>6984</v>
      </c>
      <c r="IZU36" t="s">
        <v>6984</v>
      </c>
      <c r="IZV36" t="s">
        <v>6984</v>
      </c>
      <c r="IZW36" t="s">
        <v>6984</v>
      </c>
      <c r="IZX36" t="s">
        <v>6984</v>
      </c>
      <c r="IZY36" t="s">
        <v>6984</v>
      </c>
      <c r="IZZ36" t="s">
        <v>6984</v>
      </c>
      <c r="JAA36" t="s">
        <v>6984</v>
      </c>
      <c r="JAB36" t="s">
        <v>6984</v>
      </c>
      <c r="JAC36" t="s">
        <v>6984</v>
      </c>
      <c r="JAD36" t="s">
        <v>6984</v>
      </c>
      <c r="JAE36" t="s">
        <v>6984</v>
      </c>
      <c r="JAF36" t="s">
        <v>6984</v>
      </c>
      <c r="JAG36" t="s">
        <v>6984</v>
      </c>
      <c r="JAH36" t="s">
        <v>6984</v>
      </c>
      <c r="JAI36" t="s">
        <v>6984</v>
      </c>
      <c r="JAJ36" t="s">
        <v>6984</v>
      </c>
      <c r="JAK36" t="s">
        <v>6984</v>
      </c>
      <c r="JAL36" t="s">
        <v>6984</v>
      </c>
      <c r="JAM36" t="s">
        <v>6984</v>
      </c>
      <c r="JAN36" t="s">
        <v>6984</v>
      </c>
      <c r="JAO36" t="s">
        <v>6984</v>
      </c>
      <c r="JAP36" t="s">
        <v>6984</v>
      </c>
      <c r="JAQ36" t="s">
        <v>6984</v>
      </c>
      <c r="JAR36" t="s">
        <v>6984</v>
      </c>
      <c r="JAS36" t="s">
        <v>6984</v>
      </c>
      <c r="JAT36" t="s">
        <v>6984</v>
      </c>
      <c r="JAU36" t="s">
        <v>6984</v>
      </c>
      <c r="JAV36" t="s">
        <v>6984</v>
      </c>
      <c r="JAW36" t="s">
        <v>6984</v>
      </c>
      <c r="JAX36" t="s">
        <v>6984</v>
      </c>
      <c r="JAY36" t="s">
        <v>6984</v>
      </c>
      <c r="JAZ36" t="s">
        <v>6984</v>
      </c>
      <c r="JBA36" t="s">
        <v>6984</v>
      </c>
      <c r="JBB36" t="s">
        <v>6984</v>
      </c>
      <c r="JBC36" t="s">
        <v>6984</v>
      </c>
      <c r="JBD36" t="s">
        <v>6984</v>
      </c>
      <c r="JBE36" t="s">
        <v>6984</v>
      </c>
      <c r="JBF36" t="s">
        <v>6984</v>
      </c>
      <c r="JBG36" t="s">
        <v>6984</v>
      </c>
      <c r="JBH36" t="s">
        <v>6984</v>
      </c>
      <c r="JBI36" t="s">
        <v>6984</v>
      </c>
      <c r="JBJ36" t="s">
        <v>6984</v>
      </c>
      <c r="JBK36" t="s">
        <v>6984</v>
      </c>
      <c r="JBL36" t="s">
        <v>6984</v>
      </c>
      <c r="JBM36" t="s">
        <v>6984</v>
      </c>
      <c r="JBN36" t="s">
        <v>6984</v>
      </c>
      <c r="JBO36" t="s">
        <v>6984</v>
      </c>
      <c r="JBP36" t="s">
        <v>6984</v>
      </c>
      <c r="JBQ36" t="s">
        <v>6984</v>
      </c>
      <c r="JBR36" t="s">
        <v>6984</v>
      </c>
      <c r="JBS36" t="s">
        <v>6984</v>
      </c>
      <c r="JBT36" t="s">
        <v>6984</v>
      </c>
      <c r="JBU36" t="s">
        <v>6984</v>
      </c>
      <c r="JBV36" t="s">
        <v>6984</v>
      </c>
      <c r="JBW36" t="s">
        <v>6984</v>
      </c>
      <c r="JBX36" t="s">
        <v>6984</v>
      </c>
      <c r="JBY36" t="s">
        <v>6984</v>
      </c>
      <c r="JBZ36" t="s">
        <v>6984</v>
      </c>
      <c r="JCA36" t="s">
        <v>6984</v>
      </c>
      <c r="JCB36" t="s">
        <v>6984</v>
      </c>
      <c r="JCC36" t="s">
        <v>6984</v>
      </c>
      <c r="JCD36" t="s">
        <v>6984</v>
      </c>
      <c r="JCE36" t="s">
        <v>6984</v>
      </c>
      <c r="JCF36" t="s">
        <v>6984</v>
      </c>
      <c r="JCG36" t="s">
        <v>6984</v>
      </c>
      <c r="JCH36" t="s">
        <v>6984</v>
      </c>
      <c r="JCI36" t="s">
        <v>6984</v>
      </c>
      <c r="JCJ36" t="s">
        <v>6984</v>
      </c>
      <c r="JCK36" t="s">
        <v>6984</v>
      </c>
      <c r="JCL36" t="s">
        <v>6984</v>
      </c>
      <c r="JCM36" t="s">
        <v>6984</v>
      </c>
      <c r="JCN36" t="s">
        <v>6984</v>
      </c>
      <c r="JCO36" t="s">
        <v>6984</v>
      </c>
      <c r="JCP36" t="s">
        <v>6984</v>
      </c>
      <c r="JCQ36" t="s">
        <v>6984</v>
      </c>
      <c r="JCR36" t="s">
        <v>6984</v>
      </c>
      <c r="JCS36" t="s">
        <v>6984</v>
      </c>
      <c r="JCT36" t="s">
        <v>6984</v>
      </c>
      <c r="JCU36" t="s">
        <v>6984</v>
      </c>
      <c r="JCV36" t="s">
        <v>6984</v>
      </c>
      <c r="JCW36" t="s">
        <v>6984</v>
      </c>
      <c r="JCX36" t="s">
        <v>6984</v>
      </c>
      <c r="JCY36" t="s">
        <v>6984</v>
      </c>
      <c r="JCZ36" t="s">
        <v>6984</v>
      </c>
      <c r="JDA36" t="s">
        <v>6984</v>
      </c>
      <c r="JDB36" t="s">
        <v>6984</v>
      </c>
      <c r="JDC36" t="s">
        <v>6984</v>
      </c>
      <c r="JDD36" t="s">
        <v>6984</v>
      </c>
      <c r="JDE36" t="s">
        <v>6984</v>
      </c>
      <c r="JDF36" t="s">
        <v>6984</v>
      </c>
      <c r="JDG36" t="s">
        <v>6984</v>
      </c>
      <c r="JDH36" t="s">
        <v>6984</v>
      </c>
      <c r="JDI36" t="s">
        <v>6984</v>
      </c>
      <c r="JDJ36" t="s">
        <v>6984</v>
      </c>
      <c r="JDK36" t="s">
        <v>6984</v>
      </c>
      <c r="JDL36" t="s">
        <v>6984</v>
      </c>
      <c r="JDM36" t="s">
        <v>6984</v>
      </c>
      <c r="JDN36" t="s">
        <v>6984</v>
      </c>
      <c r="JDO36" t="s">
        <v>6984</v>
      </c>
      <c r="JDP36" t="s">
        <v>6984</v>
      </c>
      <c r="JDQ36" t="s">
        <v>6984</v>
      </c>
      <c r="JDR36" t="s">
        <v>6984</v>
      </c>
      <c r="JDS36" t="s">
        <v>6984</v>
      </c>
      <c r="JDT36" t="s">
        <v>6984</v>
      </c>
      <c r="JDU36" t="s">
        <v>6984</v>
      </c>
      <c r="JDV36" t="s">
        <v>6984</v>
      </c>
      <c r="JDW36" t="s">
        <v>6984</v>
      </c>
      <c r="JDX36" t="s">
        <v>6984</v>
      </c>
      <c r="JDY36" t="s">
        <v>6984</v>
      </c>
      <c r="JDZ36" t="s">
        <v>6984</v>
      </c>
      <c r="JEA36" t="s">
        <v>6984</v>
      </c>
      <c r="JEB36" t="s">
        <v>6984</v>
      </c>
      <c r="JEC36" t="s">
        <v>6984</v>
      </c>
      <c r="JED36" t="s">
        <v>6984</v>
      </c>
      <c r="JEE36" t="s">
        <v>6984</v>
      </c>
      <c r="JEF36" t="s">
        <v>6984</v>
      </c>
      <c r="JEG36" t="s">
        <v>6984</v>
      </c>
      <c r="JEH36" t="s">
        <v>6984</v>
      </c>
      <c r="JEI36" t="s">
        <v>6984</v>
      </c>
      <c r="JEJ36" t="s">
        <v>6984</v>
      </c>
      <c r="JEK36" t="s">
        <v>6984</v>
      </c>
      <c r="JEL36" t="s">
        <v>6984</v>
      </c>
      <c r="JEM36" t="s">
        <v>6984</v>
      </c>
      <c r="JEN36" t="s">
        <v>6984</v>
      </c>
      <c r="JEO36" t="s">
        <v>6984</v>
      </c>
      <c r="JEP36" t="s">
        <v>6984</v>
      </c>
      <c r="JEQ36" t="s">
        <v>6984</v>
      </c>
      <c r="JER36" t="s">
        <v>6984</v>
      </c>
      <c r="JES36" t="s">
        <v>6984</v>
      </c>
      <c r="JET36" t="s">
        <v>6984</v>
      </c>
      <c r="JEU36" t="s">
        <v>6984</v>
      </c>
      <c r="JEV36" t="s">
        <v>6984</v>
      </c>
      <c r="JEW36" t="s">
        <v>6984</v>
      </c>
      <c r="JEX36" t="s">
        <v>6984</v>
      </c>
      <c r="JEY36" t="s">
        <v>6984</v>
      </c>
      <c r="JEZ36" t="s">
        <v>6984</v>
      </c>
      <c r="JFA36" t="s">
        <v>6984</v>
      </c>
      <c r="JFB36" t="s">
        <v>6984</v>
      </c>
      <c r="JFC36" t="s">
        <v>6984</v>
      </c>
      <c r="JFD36" t="s">
        <v>6984</v>
      </c>
      <c r="JFE36" t="s">
        <v>6984</v>
      </c>
      <c r="JFF36" t="s">
        <v>6984</v>
      </c>
      <c r="JFG36" t="s">
        <v>6984</v>
      </c>
      <c r="JFH36" t="s">
        <v>6984</v>
      </c>
      <c r="JFI36" t="s">
        <v>6984</v>
      </c>
      <c r="JFJ36" t="s">
        <v>6984</v>
      </c>
      <c r="JFK36" t="s">
        <v>6984</v>
      </c>
      <c r="JFL36" t="s">
        <v>6984</v>
      </c>
      <c r="JFM36" t="s">
        <v>6984</v>
      </c>
      <c r="JFN36" t="s">
        <v>6984</v>
      </c>
      <c r="JFO36" t="s">
        <v>6984</v>
      </c>
      <c r="JFP36" t="s">
        <v>6984</v>
      </c>
      <c r="JFQ36" t="s">
        <v>6984</v>
      </c>
      <c r="JFR36" t="s">
        <v>6984</v>
      </c>
      <c r="JFS36" t="s">
        <v>6984</v>
      </c>
      <c r="JFT36" t="s">
        <v>6984</v>
      </c>
      <c r="JFU36" t="s">
        <v>6984</v>
      </c>
      <c r="JFV36" t="s">
        <v>6984</v>
      </c>
      <c r="JFW36" t="s">
        <v>6984</v>
      </c>
      <c r="JFX36" t="s">
        <v>6984</v>
      </c>
      <c r="JFY36" t="s">
        <v>6984</v>
      </c>
      <c r="JFZ36" t="s">
        <v>6984</v>
      </c>
      <c r="JGA36" t="s">
        <v>6984</v>
      </c>
      <c r="JGB36" t="s">
        <v>6984</v>
      </c>
      <c r="JGC36" t="s">
        <v>6984</v>
      </c>
      <c r="JGD36" t="s">
        <v>6984</v>
      </c>
      <c r="JGE36" t="s">
        <v>6984</v>
      </c>
      <c r="JGF36" t="s">
        <v>6984</v>
      </c>
      <c r="JGG36" t="s">
        <v>6984</v>
      </c>
      <c r="JGH36" t="s">
        <v>6984</v>
      </c>
      <c r="JGI36" t="s">
        <v>6984</v>
      </c>
      <c r="JGJ36" t="s">
        <v>6984</v>
      </c>
      <c r="JGK36" t="s">
        <v>6984</v>
      </c>
      <c r="JGL36" t="s">
        <v>6984</v>
      </c>
      <c r="JGM36" t="s">
        <v>6984</v>
      </c>
      <c r="JGN36" t="s">
        <v>6984</v>
      </c>
      <c r="JGO36" t="s">
        <v>6984</v>
      </c>
      <c r="JGP36" t="s">
        <v>6984</v>
      </c>
      <c r="JGQ36" t="s">
        <v>6984</v>
      </c>
      <c r="JGR36" t="s">
        <v>6984</v>
      </c>
      <c r="JGS36" t="s">
        <v>6984</v>
      </c>
      <c r="JGT36" t="s">
        <v>6984</v>
      </c>
      <c r="JGU36" t="s">
        <v>6984</v>
      </c>
      <c r="JGV36" t="s">
        <v>6984</v>
      </c>
      <c r="JGW36" t="s">
        <v>6984</v>
      </c>
      <c r="JGX36" t="s">
        <v>6984</v>
      </c>
      <c r="JGY36" t="s">
        <v>6984</v>
      </c>
      <c r="JGZ36" t="s">
        <v>6984</v>
      </c>
      <c r="JHA36" t="s">
        <v>6984</v>
      </c>
      <c r="JHB36" t="s">
        <v>6984</v>
      </c>
      <c r="JHC36" t="s">
        <v>6984</v>
      </c>
      <c r="JHD36" t="s">
        <v>6984</v>
      </c>
      <c r="JHE36" t="s">
        <v>6984</v>
      </c>
      <c r="JHF36" t="s">
        <v>6984</v>
      </c>
      <c r="JHG36" t="s">
        <v>6984</v>
      </c>
      <c r="JHH36" t="s">
        <v>6984</v>
      </c>
      <c r="JHI36" t="s">
        <v>6984</v>
      </c>
      <c r="JHJ36" t="s">
        <v>6984</v>
      </c>
      <c r="JHK36" t="s">
        <v>6984</v>
      </c>
      <c r="JHL36" t="s">
        <v>6984</v>
      </c>
      <c r="JHM36" t="s">
        <v>6984</v>
      </c>
      <c r="JHN36" t="s">
        <v>6984</v>
      </c>
      <c r="JHO36" t="s">
        <v>6984</v>
      </c>
      <c r="JHP36" t="s">
        <v>6984</v>
      </c>
      <c r="JHQ36" t="s">
        <v>6984</v>
      </c>
      <c r="JHR36" t="s">
        <v>6984</v>
      </c>
      <c r="JHS36" t="s">
        <v>6984</v>
      </c>
      <c r="JHT36" t="s">
        <v>6984</v>
      </c>
      <c r="JHU36" t="s">
        <v>6984</v>
      </c>
      <c r="JHV36" t="s">
        <v>6984</v>
      </c>
      <c r="JHW36" t="s">
        <v>6984</v>
      </c>
      <c r="JHX36" t="s">
        <v>6984</v>
      </c>
      <c r="JHY36" t="s">
        <v>6984</v>
      </c>
      <c r="JHZ36" t="s">
        <v>6984</v>
      </c>
      <c r="JIA36" t="s">
        <v>6984</v>
      </c>
      <c r="JIB36" t="s">
        <v>6984</v>
      </c>
      <c r="JIC36" t="s">
        <v>6984</v>
      </c>
      <c r="JID36" t="s">
        <v>6984</v>
      </c>
      <c r="JIE36" t="s">
        <v>6984</v>
      </c>
      <c r="JIF36" t="s">
        <v>6984</v>
      </c>
      <c r="JIG36" t="s">
        <v>6984</v>
      </c>
      <c r="JIH36" t="s">
        <v>6984</v>
      </c>
      <c r="JII36" t="s">
        <v>6984</v>
      </c>
      <c r="JIJ36" t="s">
        <v>6984</v>
      </c>
      <c r="JIK36" t="s">
        <v>6984</v>
      </c>
      <c r="JIL36" t="s">
        <v>6984</v>
      </c>
      <c r="JIM36" t="s">
        <v>6984</v>
      </c>
      <c r="JIN36" t="s">
        <v>6984</v>
      </c>
      <c r="JIO36" t="s">
        <v>6984</v>
      </c>
      <c r="JIP36" t="s">
        <v>6984</v>
      </c>
      <c r="JIQ36" t="s">
        <v>6984</v>
      </c>
      <c r="JIR36" t="s">
        <v>6984</v>
      </c>
      <c r="JIS36" t="s">
        <v>6984</v>
      </c>
      <c r="JIT36" t="s">
        <v>6984</v>
      </c>
      <c r="JIU36" t="s">
        <v>6984</v>
      </c>
      <c r="JIV36" t="s">
        <v>6984</v>
      </c>
      <c r="JIW36" t="s">
        <v>6984</v>
      </c>
      <c r="JIX36" t="s">
        <v>6984</v>
      </c>
      <c r="JIY36" t="s">
        <v>6984</v>
      </c>
      <c r="JIZ36" t="s">
        <v>6984</v>
      </c>
      <c r="JJA36" t="s">
        <v>6984</v>
      </c>
    </row>
    <row r="37" spans="1:7021" x14ac:dyDescent="0.25">
      <c r="A37" t="s">
        <v>7018</v>
      </c>
      <c r="B37">
        <v>95.484999999999999</v>
      </c>
      <c r="C37">
        <v>95.484999999999999</v>
      </c>
      <c r="D37">
        <v>95.484999999999999</v>
      </c>
      <c r="E37">
        <v>95.49</v>
      </c>
      <c r="F37">
        <v>95.435000000000002</v>
      </c>
      <c r="G37">
        <v>95.484999999999999</v>
      </c>
      <c r="H37">
        <v>95.534999999999997</v>
      </c>
      <c r="I37">
        <v>95.474999999999994</v>
      </c>
      <c r="J37">
        <v>95.424999999999997</v>
      </c>
      <c r="K37">
        <v>95.41</v>
      </c>
      <c r="L37">
        <v>95.405000000000001</v>
      </c>
      <c r="M37">
        <v>95.504999999999995</v>
      </c>
      <c r="N37">
        <v>95.53</v>
      </c>
      <c r="O37">
        <v>95.44</v>
      </c>
      <c r="P37">
        <v>95.435000000000002</v>
      </c>
      <c r="Q37">
        <v>95.495000000000005</v>
      </c>
      <c r="R37">
        <v>95.474999999999994</v>
      </c>
      <c r="S37">
        <v>95.444999999999993</v>
      </c>
      <c r="T37">
        <v>95.495000000000005</v>
      </c>
      <c r="U37">
        <v>95.41</v>
      </c>
      <c r="V37">
        <v>95.41</v>
      </c>
      <c r="W37">
        <v>95.334999999999994</v>
      </c>
      <c r="X37">
        <v>95.275000000000006</v>
      </c>
      <c r="Y37">
        <v>95.38</v>
      </c>
      <c r="Z37">
        <v>95.39</v>
      </c>
      <c r="AA37">
        <v>95.43</v>
      </c>
      <c r="AB37">
        <v>95.41</v>
      </c>
      <c r="AC37">
        <v>95.34</v>
      </c>
      <c r="AD37">
        <v>95.375</v>
      </c>
      <c r="AE37">
        <v>95.424999999999997</v>
      </c>
      <c r="AF37">
        <v>95.48</v>
      </c>
      <c r="AG37">
        <v>95.48</v>
      </c>
      <c r="AH37">
        <v>95.575000000000003</v>
      </c>
      <c r="AI37">
        <v>95.525000000000006</v>
      </c>
      <c r="AJ37">
        <v>95.52</v>
      </c>
      <c r="AK37">
        <v>95.555000000000007</v>
      </c>
      <c r="AL37">
        <v>95.6</v>
      </c>
      <c r="AM37">
        <v>95.65</v>
      </c>
      <c r="AN37">
        <v>95.625</v>
      </c>
      <c r="AO37">
        <v>95.564999999999998</v>
      </c>
      <c r="AP37">
        <v>95.515000000000001</v>
      </c>
      <c r="AQ37">
        <v>95.454999999999998</v>
      </c>
      <c r="AR37">
        <v>95.385000000000005</v>
      </c>
      <c r="AS37">
        <v>95.355000000000004</v>
      </c>
      <c r="AT37">
        <v>95.305000000000007</v>
      </c>
      <c r="AU37">
        <v>95.52</v>
      </c>
      <c r="AV37">
        <v>95.52</v>
      </c>
      <c r="AW37">
        <v>95.62</v>
      </c>
      <c r="AX37">
        <v>95.605000000000004</v>
      </c>
      <c r="AY37">
        <v>95.594999999999999</v>
      </c>
      <c r="AZ37">
        <v>95.49</v>
      </c>
      <c r="BA37">
        <v>95.64</v>
      </c>
      <c r="BB37">
        <v>95.61</v>
      </c>
      <c r="BC37">
        <v>95.775000000000006</v>
      </c>
      <c r="BD37">
        <v>95.864999999999995</v>
      </c>
      <c r="BE37">
        <v>96.045000000000002</v>
      </c>
      <c r="BF37">
        <v>95.965000000000003</v>
      </c>
      <c r="BG37">
        <v>95.825000000000003</v>
      </c>
      <c r="BH37">
        <v>95.885000000000005</v>
      </c>
      <c r="BI37">
        <v>95.78</v>
      </c>
      <c r="BJ37">
        <v>95.75</v>
      </c>
      <c r="BK37">
        <v>95.635000000000005</v>
      </c>
      <c r="BL37">
        <v>95.72</v>
      </c>
      <c r="BM37">
        <v>95.75</v>
      </c>
      <c r="BN37">
        <v>95.724999999999994</v>
      </c>
      <c r="BO37">
        <v>95.805000000000007</v>
      </c>
      <c r="BP37">
        <v>95.82</v>
      </c>
      <c r="BQ37">
        <v>95.78</v>
      </c>
      <c r="BR37">
        <v>95.825000000000003</v>
      </c>
      <c r="BS37">
        <v>95.79</v>
      </c>
      <c r="BT37">
        <v>95.765000000000001</v>
      </c>
      <c r="BU37">
        <v>95.84</v>
      </c>
      <c r="BV37">
        <v>95.81</v>
      </c>
      <c r="BW37">
        <v>95.84</v>
      </c>
      <c r="BX37">
        <v>95.935000000000002</v>
      </c>
      <c r="BY37">
        <v>95.805000000000007</v>
      </c>
      <c r="BZ37">
        <v>95.83</v>
      </c>
      <c r="CA37">
        <v>95.855000000000004</v>
      </c>
      <c r="CB37">
        <v>95.915000000000006</v>
      </c>
      <c r="CC37">
        <v>95.96</v>
      </c>
      <c r="CD37">
        <v>95.9</v>
      </c>
      <c r="CE37">
        <v>95.84</v>
      </c>
      <c r="CF37">
        <v>95.885000000000005</v>
      </c>
      <c r="CG37">
        <v>95.814999999999998</v>
      </c>
      <c r="CH37">
        <v>95.68</v>
      </c>
      <c r="CI37">
        <v>95.655000000000001</v>
      </c>
      <c r="CJ37">
        <v>95.575000000000003</v>
      </c>
      <c r="CK37">
        <v>95.525000000000006</v>
      </c>
      <c r="CL37">
        <v>95.525000000000006</v>
      </c>
      <c r="CM37">
        <v>95.6</v>
      </c>
      <c r="CN37">
        <v>95.6</v>
      </c>
      <c r="CO37">
        <v>95.545000000000002</v>
      </c>
      <c r="CP37">
        <v>95.435000000000002</v>
      </c>
      <c r="CQ37">
        <v>95.575000000000003</v>
      </c>
      <c r="CR37">
        <v>95.625</v>
      </c>
      <c r="CS37">
        <v>95.625</v>
      </c>
      <c r="CT37">
        <v>95.685000000000002</v>
      </c>
      <c r="CU37">
        <v>95.734999999999999</v>
      </c>
      <c r="CV37">
        <v>95.625</v>
      </c>
      <c r="CW37">
        <v>95.6</v>
      </c>
      <c r="CX37">
        <v>95.555000000000007</v>
      </c>
      <c r="CY37">
        <v>95.625</v>
      </c>
      <c r="CZ37">
        <v>95.58</v>
      </c>
      <c r="DA37">
        <v>95.59</v>
      </c>
      <c r="DB37">
        <v>95.614999999999995</v>
      </c>
      <c r="DC37">
        <v>95.504999999999995</v>
      </c>
      <c r="DD37">
        <v>95.504999999999995</v>
      </c>
      <c r="DE37">
        <v>95.56</v>
      </c>
      <c r="DF37">
        <v>95.59</v>
      </c>
      <c r="DG37">
        <v>95.545000000000002</v>
      </c>
      <c r="DH37">
        <v>95.545000000000002</v>
      </c>
      <c r="DI37">
        <v>95.545000000000002</v>
      </c>
      <c r="DJ37">
        <v>95.504999999999995</v>
      </c>
      <c r="DK37">
        <v>95.36</v>
      </c>
      <c r="DL37">
        <v>95.34</v>
      </c>
      <c r="DM37">
        <v>95.38</v>
      </c>
      <c r="DN37">
        <v>95.44</v>
      </c>
      <c r="DO37">
        <v>95.424999999999997</v>
      </c>
      <c r="DP37">
        <v>95.435000000000002</v>
      </c>
      <c r="DQ37">
        <v>95.52</v>
      </c>
      <c r="DR37">
        <v>95.575000000000003</v>
      </c>
      <c r="DS37">
        <v>95.584999999999994</v>
      </c>
      <c r="DT37">
        <v>95.58</v>
      </c>
      <c r="DU37">
        <v>95.58</v>
      </c>
      <c r="DV37">
        <v>95.62</v>
      </c>
      <c r="DW37">
        <v>95.54</v>
      </c>
      <c r="DX37">
        <v>95.6</v>
      </c>
      <c r="DY37">
        <v>95.584999999999994</v>
      </c>
      <c r="DZ37">
        <v>95.584999999999994</v>
      </c>
      <c r="EA37">
        <v>95.56</v>
      </c>
      <c r="EB37">
        <v>95.66</v>
      </c>
      <c r="EC37">
        <v>95.59</v>
      </c>
      <c r="ED37">
        <v>95.72</v>
      </c>
      <c r="EE37">
        <v>95.82</v>
      </c>
      <c r="EF37">
        <v>95.805000000000007</v>
      </c>
      <c r="EG37">
        <v>95.81</v>
      </c>
      <c r="EH37">
        <v>95.894999999999996</v>
      </c>
      <c r="EI37">
        <v>95.96</v>
      </c>
      <c r="EJ37">
        <v>96.02</v>
      </c>
      <c r="EK37">
        <v>96.045000000000002</v>
      </c>
      <c r="EL37">
        <v>96.084999999999994</v>
      </c>
      <c r="EM37">
        <v>96.05</v>
      </c>
      <c r="EN37">
        <v>96.034999999999997</v>
      </c>
      <c r="EO37">
        <v>96.01</v>
      </c>
      <c r="EP37">
        <v>96.045000000000002</v>
      </c>
      <c r="EQ37">
        <v>96.045000000000002</v>
      </c>
      <c r="ER37">
        <v>96.01</v>
      </c>
      <c r="ES37">
        <v>96.01</v>
      </c>
      <c r="ET37">
        <v>95.944999999999993</v>
      </c>
      <c r="EU37">
        <v>96.01</v>
      </c>
      <c r="EV37">
        <v>95.86</v>
      </c>
      <c r="EW37">
        <v>95.825000000000003</v>
      </c>
      <c r="EX37">
        <v>95.82</v>
      </c>
      <c r="EY37">
        <v>95.85</v>
      </c>
      <c r="EZ37">
        <v>95.814999999999998</v>
      </c>
      <c r="FA37">
        <v>95.805000000000007</v>
      </c>
      <c r="FB37">
        <v>95.81</v>
      </c>
      <c r="FC37">
        <v>95.775000000000006</v>
      </c>
      <c r="FD37">
        <v>95.8</v>
      </c>
      <c r="FE37">
        <v>95.86</v>
      </c>
      <c r="FF37">
        <v>95.91</v>
      </c>
      <c r="FG37">
        <v>95.864999999999995</v>
      </c>
      <c r="FH37">
        <v>95.76</v>
      </c>
      <c r="FI37">
        <v>95.93</v>
      </c>
      <c r="FJ37">
        <v>95.905000000000001</v>
      </c>
      <c r="FK37">
        <v>95.84</v>
      </c>
      <c r="FL37">
        <v>95.9</v>
      </c>
      <c r="FM37">
        <v>95.91</v>
      </c>
      <c r="FN37">
        <v>95.88</v>
      </c>
      <c r="FO37">
        <v>95.875</v>
      </c>
      <c r="FP37">
        <v>95.91</v>
      </c>
      <c r="FQ37">
        <v>95.935000000000002</v>
      </c>
      <c r="FR37">
        <v>95.885000000000005</v>
      </c>
      <c r="FS37">
        <v>95.915000000000006</v>
      </c>
      <c r="FT37">
        <v>95.94</v>
      </c>
      <c r="FU37">
        <v>96.055000000000007</v>
      </c>
      <c r="FV37">
        <v>96.04</v>
      </c>
      <c r="FW37">
        <v>96.14</v>
      </c>
      <c r="FX37">
        <v>96.12</v>
      </c>
      <c r="FY37">
        <v>96.025000000000006</v>
      </c>
      <c r="FZ37">
        <v>96.064999999999998</v>
      </c>
      <c r="GA37">
        <v>96.055000000000007</v>
      </c>
      <c r="GB37">
        <v>96.1</v>
      </c>
      <c r="GC37">
        <v>96.125</v>
      </c>
      <c r="GD37">
        <v>96.14</v>
      </c>
      <c r="GE37">
        <v>96.174999999999997</v>
      </c>
      <c r="GF37">
        <v>96.254999999999995</v>
      </c>
      <c r="GG37">
        <v>96.325000000000003</v>
      </c>
      <c r="GH37">
        <v>96.37</v>
      </c>
      <c r="GI37">
        <v>96.3</v>
      </c>
      <c r="GJ37">
        <v>96.34</v>
      </c>
      <c r="GK37">
        <v>96.31</v>
      </c>
      <c r="GL37">
        <v>96.29</v>
      </c>
      <c r="GM37">
        <v>96.33</v>
      </c>
      <c r="GN37">
        <v>96.334999999999994</v>
      </c>
      <c r="GO37">
        <v>96.35</v>
      </c>
      <c r="GP37">
        <v>96.33</v>
      </c>
      <c r="GQ37">
        <v>96.405000000000001</v>
      </c>
      <c r="GR37">
        <v>96.465000000000003</v>
      </c>
      <c r="GS37">
        <v>96.454999999999998</v>
      </c>
      <c r="GT37">
        <v>96.435000000000002</v>
      </c>
      <c r="GU37">
        <v>96.43</v>
      </c>
      <c r="GV37">
        <v>96.46</v>
      </c>
      <c r="GW37">
        <v>96.465000000000003</v>
      </c>
      <c r="GX37">
        <v>96.41</v>
      </c>
      <c r="GY37">
        <v>96.385000000000005</v>
      </c>
      <c r="GZ37">
        <v>96.4</v>
      </c>
      <c r="HA37">
        <v>96.364999999999995</v>
      </c>
      <c r="HB37">
        <v>96.314999999999998</v>
      </c>
      <c r="HC37">
        <v>96.234999999999999</v>
      </c>
      <c r="HD37">
        <v>96.234999999999999</v>
      </c>
      <c r="HE37">
        <v>96.28</v>
      </c>
      <c r="HF37">
        <v>96.295000000000002</v>
      </c>
      <c r="HG37">
        <v>96.31</v>
      </c>
      <c r="HH37">
        <v>96.33</v>
      </c>
      <c r="HI37">
        <v>96.32</v>
      </c>
      <c r="HJ37">
        <v>96.26</v>
      </c>
      <c r="HK37">
        <v>96.334999999999994</v>
      </c>
      <c r="HL37">
        <v>96.31</v>
      </c>
      <c r="HM37">
        <v>96.26</v>
      </c>
      <c r="HN37">
        <v>96.22</v>
      </c>
      <c r="HO37">
        <v>96.18</v>
      </c>
      <c r="HP37">
        <v>96.25</v>
      </c>
      <c r="HQ37">
        <v>96.215000000000003</v>
      </c>
      <c r="HR37">
        <v>96.185000000000002</v>
      </c>
      <c r="HS37">
        <v>96.144999999999996</v>
      </c>
      <c r="HT37">
        <v>96.064999999999998</v>
      </c>
      <c r="HU37">
        <v>96.075000000000003</v>
      </c>
      <c r="HV37">
        <v>96.17</v>
      </c>
      <c r="HW37">
        <v>96.27</v>
      </c>
      <c r="HX37">
        <v>96.275000000000006</v>
      </c>
      <c r="HY37">
        <v>96.15</v>
      </c>
      <c r="HZ37">
        <v>96.05</v>
      </c>
      <c r="IA37">
        <v>96.015000000000001</v>
      </c>
      <c r="IB37">
        <v>95.98</v>
      </c>
      <c r="IC37">
        <v>95.954999999999998</v>
      </c>
      <c r="ID37">
        <v>95.915000000000006</v>
      </c>
      <c r="IE37">
        <v>95.875</v>
      </c>
      <c r="IF37">
        <v>95.97</v>
      </c>
      <c r="IG37">
        <v>95.954999999999998</v>
      </c>
      <c r="IH37">
        <v>95.965000000000003</v>
      </c>
      <c r="II37">
        <v>96.015000000000001</v>
      </c>
      <c r="IJ37">
        <v>96.07</v>
      </c>
      <c r="IK37">
        <v>96.045000000000002</v>
      </c>
      <c r="IL37">
        <v>95.97</v>
      </c>
      <c r="IM37">
        <v>96.015000000000001</v>
      </c>
      <c r="IN37">
        <v>96.034999999999997</v>
      </c>
      <c r="IO37">
        <v>95.96</v>
      </c>
      <c r="IP37">
        <v>95.93</v>
      </c>
      <c r="IQ37">
        <v>95.97</v>
      </c>
      <c r="IR37">
        <v>95.965000000000003</v>
      </c>
      <c r="IS37">
        <v>95.91</v>
      </c>
      <c r="IT37">
        <v>95.91</v>
      </c>
      <c r="IU37">
        <v>95.805000000000007</v>
      </c>
      <c r="IV37">
        <v>95.77</v>
      </c>
      <c r="IW37">
        <v>95.93</v>
      </c>
      <c r="IX37">
        <v>95.995000000000005</v>
      </c>
      <c r="IY37">
        <v>95.965000000000003</v>
      </c>
      <c r="IZ37">
        <v>96.055000000000007</v>
      </c>
      <c r="JA37">
        <v>96.045000000000002</v>
      </c>
      <c r="JB37">
        <v>96.025000000000006</v>
      </c>
      <c r="JC37">
        <v>96.034999999999997</v>
      </c>
      <c r="JD37">
        <v>96.05</v>
      </c>
      <c r="JE37">
        <v>96.05</v>
      </c>
      <c r="JF37">
        <v>95.99</v>
      </c>
      <c r="JG37">
        <v>96.07</v>
      </c>
      <c r="JH37">
        <v>96.004999999999995</v>
      </c>
      <c r="JI37">
        <v>95.95</v>
      </c>
      <c r="JJ37">
        <v>95.834999999999994</v>
      </c>
      <c r="JK37">
        <v>95.754999999999995</v>
      </c>
      <c r="JL37">
        <v>95.8</v>
      </c>
      <c r="JM37">
        <v>95.95</v>
      </c>
      <c r="JN37">
        <v>95.95</v>
      </c>
      <c r="JO37">
        <v>95.915000000000006</v>
      </c>
      <c r="JP37">
        <v>95.84</v>
      </c>
      <c r="JQ37">
        <v>95.73</v>
      </c>
      <c r="JR37">
        <v>95.704999999999998</v>
      </c>
      <c r="JS37">
        <v>95.644999999999996</v>
      </c>
      <c r="JT37">
        <v>95.75</v>
      </c>
      <c r="JU37">
        <v>95.825000000000003</v>
      </c>
      <c r="JV37">
        <v>95.825000000000003</v>
      </c>
      <c r="JW37">
        <v>95.805000000000007</v>
      </c>
      <c r="JX37">
        <v>95.805000000000007</v>
      </c>
      <c r="JY37">
        <v>95.81</v>
      </c>
      <c r="JZ37">
        <v>95.78</v>
      </c>
      <c r="KA37">
        <v>95.8</v>
      </c>
      <c r="KB37">
        <v>95.844999999999999</v>
      </c>
      <c r="KC37">
        <v>95.85</v>
      </c>
      <c r="KD37">
        <v>95.78</v>
      </c>
      <c r="KE37">
        <v>95.745000000000005</v>
      </c>
      <c r="KF37">
        <v>95.72</v>
      </c>
      <c r="KG37">
        <v>95.775000000000006</v>
      </c>
      <c r="KH37">
        <v>95.745000000000005</v>
      </c>
      <c r="KI37">
        <v>95.784999999999997</v>
      </c>
      <c r="KJ37">
        <v>95.74</v>
      </c>
      <c r="KK37">
        <v>95.72</v>
      </c>
      <c r="KL37">
        <v>95.644999999999996</v>
      </c>
      <c r="KM37">
        <v>95.63</v>
      </c>
      <c r="KN37">
        <v>95.564999999999998</v>
      </c>
      <c r="KO37">
        <v>95.635000000000005</v>
      </c>
      <c r="KP37">
        <v>95.555000000000007</v>
      </c>
      <c r="KQ37">
        <v>95.515000000000001</v>
      </c>
      <c r="KR37">
        <v>95.575000000000003</v>
      </c>
      <c r="KS37">
        <v>95.65</v>
      </c>
      <c r="KT37">
        <v>95.63</v>
      </c>
      <c r="KU37">
        <v>95.644999999999996</v>
      </c>
      <c r="KV37">
        <v>95.61</v>
      </c>
      <c r="KW37">
        <v>95.67</v>
      </c>
      <c r="KX37">
        <v>95.594999999999999</v>
      </c>
      <c r="KY37">
        <v>95.63</v>
      </c>
      <c r="KZ37">
        <v>95.77</v>
      </c>
      <c r="LA37">
        <v>95.68</v>
      </c>
      <c r="LB37">
        <v>95.71</v>
      </c>
      <c r="LC37">
        <v>95.855000000000004</v>
      </c>
      <c r="LD37">
        <v>95.795000000000002</v>
      </c>
      <c r="LE37">
        <v>95.84</v>
      </c>
      <c r="LF37">
        <v>95.89</v>
      </c>
      <c r="LG37">
        <v>95.84</v>
      </c>
      <c r="LH37">
        <v>95.84</v>
      </c>
      <c r="LI37">
        <v>95.885000000000005</v>
      </c>
      <c r="LJ37">
        <v>96.015000000000001</v>
      </c>
      <c r="LK37">
        <v>96.015000000000001</v>
      </c>
      <c r="LL37">
        <v>95.98</v>
      </c>
      <c r="LM37">
        <v>95.944999999999993</v>
      </c>
      <c r="LN37">
        <v>95.915000000000006</v>
      </c>
      <c r="LO37">
        <v>95.95</v>
      </c>
      <c r="LP37">
        <v>95.89</v>
      </c>
      <c r="LQ37">
        <v>95.894999999999996</v>
      </c>
      <c r="LR37">
        <v>95.96</v>
      </c>
      <c r="LS37">
        <v>95.93</v>
      </c>
      <c r="LT37">
        <v>95.97</v>
      </c>
      <c r="LU37">
        <v>95.954999999999998</v>
      </c>
      <c r="LV37">
        <v>96.064999999999998</v>
      </c>
      <c r="LW37">
        <v>96.08</v>
      </c>
      <c r="LX37">
        <v>96.13</v>
      </c>
      <c r="LY37">
        <v>96.125</v>
      </c>
      <c r="LZ37">
        <v>96.144999999999996</v>
      </c>
      <c r="MA37">
        <v>96.14</v>
      </c>
      <c r="MB37">
        <v>96.1</v>
      </c>
      <c r="MC37">
        <v>96.015000000000001</v>
      </c>
      <c r="MD37">
        <v>96.045000000000002</v>
      </c>
      <c r="ME37">
        <v>96</v>
      </c>
      <c r="MF37">
        <v>95.99</v>
      </c>
      <c r="MG37">
        <v>95.995000000000005</v>
      </c>
      <c r="MH37">
        <v>96.015000000000001</v>
      </c>
      <c r="MI37">
        <v>96.025000000000006</v>
      </c>
      <c r="MJ37">
        <v>95.93</v>
      </c>
      <c r="MK37">
        <v>95.9</v>
      </c>
      <c r="ML37">
        <v>95.944999999999993</v>
      </c>
      <c r="MM37">
        <v>95.92</v>
      </c>
      <c r="MN37">
        <v>95.92</v>
      </c>
      <c r="MO37">
        <v>95.96</v>
      </c>
      <c r="MP37">
        <v>95.935000000000002</v>
      </c>
      <c r="MQ37">
        <v>95.894999999999996</v>
      </c>
      <c r="MR37">
        <v>95.995000000000005</v>
      </c>
      <c r="MS37">
        <v>95.974999999999994</v>
      </c>
      <c r="MT37">
        <v>95.99</v>
      </c>
      <c r="MU37">
        <v>96.075000000000003</v>
      </c>
      <c r="MV37">
        <v>96.084999999999994</v>
      </c>
      <c r="MW37">
        <v>96</v>
      </c>
      <c r="MX37">
        <v>96.13</v>
      </c>
      <c r="MY37">
        <v>96.29</v>
      </c>
      <c r="MZ37">
        <v>96.185000000000002</v>
      </c>
      <c r="NA37">
        <v>96.1</v>
      </c>
      <c r="NB37">
        <v>96.03</v>
      </c>
      <c r="NC37">
        <v>95.98</v>
      </c>
      <c r="ND37">
        <v>96.015000000000001</v>
      </c>
      <c r="NE37">
        <v>95.995000000000005</v>
      </c>
      <c r="NF37">
        <v>96.04</v>
      </c>
      <c r="NG37">
        <v>96.084999999999994</v>
      </c>
      <c r="NH37">
        <v>96.03</v>
      </c>
      <c r="NI37">
        <v>96.02</v>
      </c>
      <c r="NJ37">
        <v>96.055000000000007</v>
      </c>
      <c r="NK37">
        <v>96.064999999999998</v>
      </c>
      <c r="NL37">
        <v>96.18</v>
      </c>
      <c r="NM37">
        <v>96.18</v>
      </c>
      <c r="NN37">
        <v>96.224999999999994</v>
      </c>
      <c r="NO37">
        <v>96.185000000000002</v>
      </c>
      <c r="NP37">
        <v>96.194999999999993</v>
      </c>
      <c r="NQ37">
        <v>96.2</v>
      </c>
      <c r="NR37">
        <v>96.2</v>
      </c>
      <c r="NS37">
        <v>96.254999999999995</v>
      </c>
      <c r="NT37">
        <v>96.305000000000007</v>
      </c>
      <c r="NU37">
        <v>96.26</v>
      </c>
      <c r="NV37">
        <v>96.265000000000001</v>
      </c>
      <c r="NW37">
        <v>96.265000000000001</v>
      </c>
      <c r="NX37">
        <v>96.29</v>
      </c>
      <c r="NY37">
        <v>96.355000000000004</v>
      </c>
      <c r="NZ37">
        <v>96.25</v>
      </c>
      <c r="OA37">
        <v>96.23</v>
      </c>
      <c r="OB37">
        <v>96.23</v>
      </c>
      <c r="OC37">
        <v>96.265000000000001</v>
      </c>
      <c r="OD37">
        <v>96.3</v>
      </c>
      <c r="OE37">
        <v>96.245000000000005</v>
      </c>
      <c r="OF37">
        <v>96.21</v>
      </c>
      <c r="OG37">
        <v>96.245000000000005</v>
      </c>
      <c r="OH37">
        <v>96.22</v>
      </c>
      <c r="OI37">
        <v>96.12</v>
      </c>
      <c r="OJ37">
        <v>95.974999999999994</v>
      </c>
      <c r="OK37">
        <v>95.92</v>
      </c>
      <c r="OL37">
        <v>95.915000000000006</v>
      </c>
      <c r="OM37">
        <v>96.025000000000006</v>
      </c>
      <c r="ON37">
        <v>96.02</v>
      </c>
      <c r="OO37">
        <v>95.954999999999998</v>
      </c>
      <c r="OP37">
        <v>95.82</v>
      </c>
      <c r="OQ37">
        <v>95.85</v>
      </c>
      <c r="OR37">
        <v>95.734999999999999</v>
      </c>
      <c r="OS37">
        <v>95.82</v>
      </c>
      <c r="OT37">
        <v>95.745000000000005</v>
      </c>
      <c r="OU37">
        <v>95.76</v>
      </c>
      <c r="OV37">
        <v>95.655000000000001</v>
      </c>
      <c r="OW37">
        <v>95.674999999999997</v>
      </c>
      <c r="OX37">
        <v>95.674999999999997</v>
      </c>
      <c r="OY37">
        <v>95.665000000000006</v>
      </c>
      <c r="OZ37">
        <v>95.685000000000002</v>
      </c>
      <c r="PA37">
        <v>95.64</v>
      </c>
      <c r="PB37">
        <v>95.62</v>
      </c>
      <c r="PC37">
        <v>95.54</v>
      </c>
      <c r="PD37">
        <v>95.594999999999999</v>
      </c>
      <c r="PE37">
        <v>95.424999999999997</v>
      </c>
      <c r="PF37">
        <v>95.415000000000006</v>
      </c>
      <c r="PG37">
        <v>95.394999999999996</v>
      </c>
      <c r="PH37">
        <v>95.525000000000006</v>
      </c>
      <c r="PI37">
        <v>95.44</v>
      </c>
      <c r="PJ37">
        <v>95.325000000000003</v>
      </c>
      <c r="PK37">
        <v>95.435000000000002</v>
      </c>
      <c r="PL37">
        <v>95.314999999999998</v>
      </c>
      <c r="PM37">
        <v>95.185000000000002</v>
      </c>
      <c r="PN37">
        <v>95.094999999999999</v>
      </c>
      <c r="PO37">
        <v>95.084999999999994</v>
      </c>
      <c r="PP37">
        <v>95.094999999999999</v>
      </c>
      <c r="PQ37">
        <v>95.1</v>
      </c>
      <c r="PR37">
        <v>94.99</v>
      </c>
      <c r="PS37">
        <v>95.13</v>
      </c>
      <c r="PT37">
        <v>95.125</v>
      </c>
      <c r="PU37">
        <v>95.02</v>
      </c>
      <c r="PV37">
        <v>94.944999999999993</v>
      </c>
      <c r="PW37">
        <v>95.075000000000003</v>
      </c>
      <c r="PX37">
        <v>95.12</v>
      </c>
      <c r="PY37">
        <v>95.245000000000005</v>
      </c>
      <c r="PZ37">
        <v>95.32</v>
      </c>
      <c r="QA37">
        <v>95.215000000000003</v>
      </c>
      <c r="QB37">
        <v>95.33</v>
      </c>
      <c r="QC37">
        <v>95.24</v>
      </c>
      <c r="QD37">
        <v>95.22</v>
      </c>
      <c r="QE37">
        <v>95.105000000000004</v>
      </c>
      <c r="QF37">
        <v>95.165000000000006</v>
      </c>
      <c r="QG37">
        <v>95.14</v>
      </c>
      <c r="QH37">
        <v>95.084999999999994</v>
      </c>
      <c r="QI37">
        <v>95.215000000000003</v>
      </c>
      <c r="QJ37">
        <v>95.394999999999996</v>
      </c>
      <c r="QK37">
        <v>95.385000000000005</v>
      </c>
      <c r="QL37">
        <v>95.41</v>
      </c>
      <c r="QM37">
        <v>95.484999999999999</v>
      </c>
      <c r="QN37">
        <v>95.495000000000005</v>
      </c>
      <c r="QO37">
        <v>95.644999999999996</v>
      </c>
      <c r="QP37">
        <v>95.614999999999995</v>
      </c>
      <c r="QQ37">
        <v>95.78</v>
      </c>
      <c r="QR37">
        <v>95.76</v>
      </c>
      <c r="QS37">
        <v>95.795000000000002</v>
      </c>
      <c r="QT37">
        <v>95.775000000000006</v>
      </c>
      <c r="QU37">
        <v>95.81</v>
      </c>
      <c r="QV37">
        <v>95.87</v>
      </c>
      <c r="QW37">
        <v>95.85</v>
      </c>
      <c r="QX37">
        <v>95.805000000000007</v>
      </c>
      <c r="QY37">
        <v>95.844999999999999</v>
      </c>
      <c r="QZ37">
        <v>95.834999999999994</v>
      </c>
      <c r="RA37">
        <v>95.82</v>
      </c>
      <c r="RB37">
        <v>95.814999999999998</v>
      </c>
      <c r="RC37">
        <v>95.885000000000005</v>
      </c>
      <c r="RD37">
        <v>95.885000000000005</v>
      </c>
      <c r="RE37">
        <v>95.98</v>
      </c>
      <c r="RF37">
        <v>95.954999999999998</v>
      </c>
      <c r="RG37">
        <v>95.96</v>
      </c>
      <c r="RH37">
        <v>95.924999999999997</v>
      </c>
      <c r="RI37">
        <v>95.885000000000005</v>
      </c>
      <c r="RJ37">
        <v>95.88</v>
      </c>
      <c r="RK37">
        <v>95.905000000000001</v>
      </c>
      <c r="RL37">
        <v>95.754999999999995</v>
      </c>
      <c r="RM37">
        <v>95.724999999999994</v>
      </c>
      <c r="RN37">
        <v>95.82</v>
      </c>
      <c r="RO37">
        <v>95.745000000000005</v>
      </c>
      <c r="RP37">
        <v>95.83</v>
      </c>
      <c r="RQ37">
        <v>95.864999999999995</v>
      </c>
      <c r="RR37">
        <v>95.924999999999997</v>
      </c>
      <c r="RS37">
        <v>95.9</v>
      </c>
      <c r="RT37">
        <v>95.99</v>
      </c>
      <c r="RU37">
        <v>96.094999999999999</v>
      </c>
      <c r="RV37">
        <v>96.06</v>
      </c>
      <c r="RW37">
        <v>95.995000000000005</v>
      </c>
      <c r="RX37">
        <v>96.02</v>
      </c>
      <c r="RY37">
        <v>95.88</v>
      </c>
      <c r="RZ37">
        <v>96.05</v>
      </c>
      <c r="SA37">
        <v>96.105000000000004</v>
      </c>
      <c r="SB37">
        <v>96.194999999999993</v>
      </c>
      <c r="SC37">
        <v>96.19</v>
      </c>
      <c r="SD37">
        <v>96.144999999999996</v>
      </c>
      <c r="SE37">
        <v>96.314999999999998</v>
      </c>
      <c r="SF37">
        <v>96.265000000000001</v>
      </c>
      <c r="SG37">
        <v>96.325000000000003</v>
      </c>
      <c r="SH37">
        <v>96.334999999999994</v>
      </c>
      <c r="SI37">
        <v>96.314999999999998</v>
      </c>
      <c r="SJ37">
        <v>96.435000000000002</v>
      </c>
      <c r="SK37">
        <v>96.394999999999996</v>
      </c>
      <c r="SL37">
        <v>96.38</v>
      </c>
      <c r="SM37">
        <v>96.34</v>
      </c>
      <c r="SN37">
        <v>96.35</v>
      </c>
      <c r="SO37">
        <v>96.32</v>
      </c>
      <c r="SP37">
        <v>96.23</v>
      </c>
      <c r="SQ37">
        <v>96.165000000000006</v>
      </c>
      <c r="SR37">
        <v>96.125</v>
      </c>
      <c r="SS37">
        <v>96.18</v>
      </c>
      <c r="ST37">
        <v>96.265000000000001</v>
      </c>
      <c r="SU37">
        <v>96.37</v>
      </c>
      <c r="SV37">
        <v>96.37</v>
      </c>
      <c r="SW37">
        <v>96.405000000000001</v>
      </c>
      <c r="SX37">
        <v>96.34</v>
      </c>
      <c r="SY37">
        <v>96.484999999999999</v>
      </c>
      <c r="SZ37">
        <v>96.43</v>
      </c>
      <c r="TA37">
        <v>96.46</v>
      </c>
      <c r="TB37">
        <v>96.43</v>
      </c>
      <c r="TC37">
        <v>96.36</v>
      </c>
      <c r="TD37">
        <v>96.435000000000002</v>
      </c>
      <c r="TE37">
        <v>96.444999999999993</v>
      </c>
      <c r="TF37">
        <v>96.375</v>
      </c>
      <c r="TG37">
        <v>96.375</v>
      </c>
      <c r="TH37">
        <v>96.41</v>
      </c>
      <c r="TI37">
        <v>96.34</v>
      </c>
      <c r="TJ37">
        <v>96.26</v>
      </c>
      <c r="TK37">
        <v>96.334999999999994</v>
      </c>
      <c r="TL37">
        <v>96.34</v>
      </c>
      <c r="TM37">
        <v>96.344999999999999</v>
      </c>
      <c r="TN37">
        <v>96.27</v>
      </c>
      <c r="TO37">
        <v>96.375</v>
      </c>
      <c r="TP37">
        <v>96.355000000000004</v>
      </c>
      <c r="TQ37">
        <v>96.325000000000003</v>
      </c>
      <c r="TR37">
        <v>96.424999999999997</v>
      </c>
      <c r="TS37">
        <v>96.41</v>
      </c>
      <c r="TT37">
        <v>96.364999999999995</v>
      </c>
      <c r="TU37">
        <v>96.254999999999995</v>
      </c>
      <c r="TV37">
        <v>96.254999999999995</v>
      </c>
      <c r="TW37">
        <v>96.24</v>
      </c>
      <c r="TX37">
        <v>96.325000000000003</v>
      </c>
      <c r="TY37">
        <v>96.34</v>
      </c>
      <c r="TZ37">
        <v>96.31</v>
      </c>
      <c r="UA37">
        <v>96.3</v>
      </c>
      <c r="UB37">
        <v>96.355000000000004</v>
      </c>
      <c r="UC37">
        <v>96.41</v>
      </c>
      <c r="UD37">
        <v>96.424999999999997</v>
      </c>
      <c r="UE37">
        <v>96.48</v>
      </c>
      <c r="UF37">
        <v>96.52</v>
      </c>
      <c r="UG37">
        <v>96.56</v>
      </c>
      <c r="UH37">
        <v>96.515000000000001</v>
      </c>
      <c r="UI37">
        <v>96.45</v>
      </c>
      <c r="UJ37">
        <v>96.46</v>
      </c>
      <c r="UK37">
        <v>96.504999999999995</v>
      </c>
      <c r="UL37">
        <v>96.575000000000003</v>
      </c>
      <c r="UM37">
        <v>96.525000000000006</v>
      </c>
      <c r="UN37">
        <v>96.51</v>
      </c>
      <c r="UO37">
        <v>96.38</v>
      </c>
      <c r="UP37">
        <v>96.515000000000001</v>
      </c>
      <c r="UQ37">
        <v>96.52</v>
      </c>
      <c r="UR37">
        <v>96.594999999999999</v>
      </c>
      <c r="US37">
        <v>96.644999999999996</v>
      </c>
      <c r="UT37">
        <v>96.584999999999994</v>
      </c>
      <c r="UU37">
        <v>96.53</v>
      </c>
      <c r="UV37">
        <v>96.575000000000003</v>
      </c>
      <c r="UW37">
        <v>96.54</v>
      </c>
      <c r="UX37">
        <v>96.56</v>
      </c>
      <c r="UY37">
        <v>96.515000000000001</v>
      </c>
      <c r="UZ37">
        <v>96.575000000000003</v>
      </c>
      <c r="VA37">
        <v>96.63</v>
      </c>
      <c r="VB37">
        <v>96.685000000000002</v>
      </c>
      <c r="VC37">
        <v>96.685000000000002</v>
      </c>
      <c r="VD37">
        <v>96.674999999999997</v>
      </c>
      <c r="VE37">
        <v>96.73</v>
      </c>
      <c r="VF37">
        <v>96.805000000000007</v>
      </c>
      <c r="VG37">
        <v>96.79</v>
      </c>
      <c r="VH37">
        <v>96.754999999999995</v>
      </c>
      <c r="VI37">
        <v>96.694999999999993</v>
      </c>
      <c r="VJ37">
        <v>96.64</v>
      </c>
      <c r="VK37">
        <v>96.605000000000004</v>
      </c>
      <c r="VL37">
        <v>96.58</v>
      </c>
      <c r="VM37">
        <v>96.57</v>
      </c>
      <c r="VN37">
        <v>96.6</v>
      </c>
      <c r="VO37">
        <v>96.72</v>
      </c>
      <c r="VP37">
        <v>96.68</v>
      </c>
      <c r="VQ37">
        <v>96.63</v>
      </c>
      <c r="VR37">
        <v>96.575000000000003</v>
      </c>
      <c r="VS37">
        <v>96.6</v>
      </c>
      <c r="VT37">
        <v>96.674999999999997</v>
      </c>
      <c r="VU37">
        <v>96.49</v>
      </c>
      <c r="VV37">
        <v>96.575000000000003</v>
      </c>
      <c r="VW37">
        <v>96.484999999999999</v>
      </c>
      <c r="VX37">
        <v>96.56</v>
      </c>
      <c r="VY37">
        <v>96.54</v>
      </c>
      <c r="VZ37">
        <v>96.34</v>
      </c>
      <c r="WA37">
        <v>96.385000000000005</v>
      </c>
      <c r="WB37">
        <v>96.364999999999995</v>
      </c>
      <c r="WC37">
        <v>96.29</v>
      </c>
      <c r="WD37">
        <v>96.29</v>
      </c>
      <c r="WE37">
        <v>96.165000000000006</v>
      </c>
      <c r="WF37">
        <v>96.27</v>
      </c>
      <c r="WG37">
        <v>96.355000000000004</v>
      </c>
      <c r="WH37">
        <v>96.355000000000004</v>
      </c>
      <c r="WI37">
        <v>96.314999999999998</v>
      </c>
      <c r="WJ37">
        <v>96.364999999999995</v>
      </c>
      <c r="WK37">
        <v>96.314999999999998</v>
      </c>
      <c r="WL37">
        <v>96.28</v>
      </c>
      <c r="WM37">
        <v>96.43</v>
      </c>
      <c r="WN37">
        <v>96.43</v>
      </c>
      <c r="WO37">
        <v>96.41</v>
      </c>
      <c r="WP37">
        <v>96.45</v>
      </c>
      <c r="WQ37">
        <v>96.515000000000001</v>
      </c>
      <c r="WR37">
        <v>96.5</v>
      </c>
      <c r="WS37">
        <v>96.47</v>
      </c>
      <c r="WT37">
        <v>96.534999999999997</v>
      </c>
      <c r="WU37">
        <v>96.555000000000007</v>
      </c>
      <c r="WV37">
        <v>96.534999999999997</v>
      </c>
      <c r="WW37">
        <v>96.56</v>
      </c>
      <c r="WX37">
        <v>96.635000000000005</v>
      </c>
      <c r="WY37">
        <v>96.724999999999994</v>
      </c>
      <c r="WZ37">
        <v>96.76</v>
      </c>
      <c r="XA37">
        <v>96.66</v>
      </c>
      <c r="XB37">
        <v>96.63</v>
      </c>
      <c r="XC37">
        <v>96.665000000000006</v>
      </c>
      <c r="XD37">
        <v>96.715000000000003</v>
      </c>
      <c r="XE37">
        <v>96.73</v>
      </c>
      <c r="XF37">
        <v>96.73</v>
      </c>
      <c r="XG37">
        <v>96.655000000000001</v>
      </c>
      <c r="XH37">
        <v>96.7</v>
      </c>
      <c r="XI37">
        <v>96.79</v>
      </c>
      <c r="XJ37">
        <v>96.82</v>
      </c>
      <c r="XK37">
        <v>96.694999999999993</v>
      </c>
      <c r="XL37">
        <v>96.74</v>
      </c>
      <c r="XM37">
        <v>96.74</v>
      </c>
      <c r="XN37">
        <v>96.765000000000001</v>
      </c>
      <c r="XO37">
        <v>96.69</v>
      </c>
      <c r="XP37">
        <v>96.635000000000005</v>
      </c>
      <c r="XQ37">
        <v>96.75</v>
      </c>
      <c r="XR37">
        <v>96.704999999999998</v>
      </c>
      <c r="XS37">
        <v>96.555000000000007</v>
      </c>
      <c r="XT37">
        <v>96.54</v>
      </c>
      <c r="XU37">
        <v>96.44</v>
      </c>
      <c r="XV37">
        <v>96.37</v>
      </c>
      <c r="XW37">
        <v>96.37</v>
      </c>
      <c r="XX37">
        <v>96.33</v>
      </c>
      <c r="XY37">
        <v>96.275000000000006</v>
      </c>
      <c r="XZ37">
        <v>96.36</v>
      </c>
      <c r="YA37">
        <v>96.444999999999993</v>
      </c>
      <c r="YB37">
        <v>96.444999999999993</v>
      </c>
      <c r="YC37">
        <v>96.474999999999994</v>
      </c>
      <c r="YD37">
        <v>96.45</v>
      </c>
      <c r="YE37">
        <v>96.5</v>
      </c>
      <c r="YF37">
        <v>96.64</v>
      </c>
      <c r="YG37">
        <v>96.734999999999999</v>
      </c>
      <c r="YH37">
        <v>96.8</v>
      </c>
      <c r="YI37">
        <v>96.74</v>
      </c>
      <c r="YJ37">
        <v>96.74</v>
      </c>
      <c r="YK37">
        <v>96.64</v>
      </c>
      <c r="YL37">
        <v>96.674999999999997</v>
      </c>
      <c r="YM37">
        <v>96.765000000000001</v>
      </c>
      <c r="YN37">
        <v>96.875</v>
      </c>
      <c r="YO37">
        <v>96.765000000000001</v>
      </c>
      <c r="YP37">
        <v>96.67</v>
      </c>
      <c r="YQ37">
        <v>96.77</v>
      </c>
      <c r="YR37">
        <v>96.724999999999994</v>
      </c>
      <c r="YS37">
        <v>96.564999999999998</v>
      </c>
      <c r="YT37">
        <v>96.534999999999997</v>
      </c>
      <c r="YU37">
        <v>96.58</v>
      </c>
      <c r="YV37">
        <v>96.564999999999998</v>
      </c>
      <c r="YW37">
        <v>96.55</v>
      </c>
      <c r="YX37">
        <v>96.55</v>
      </c>
      <c r="YY37">
        <v>96.48</v>
      </c>
      <c r="YZ37">
        <v>96.38</v>
      </c>
      <c r="ZA37">
        <v>96.36</v>
      </c>
      <c r="ZB37">
        <v>96.43</v>
      </c>
      <c r="ZC37">
        <v>96.484999999999999</v>
      </c>
      <c r="ZD37">
        <v>96.36</v>
      </c>
      <c r="ZE37">
        <v>96.284999999999997</v>
      </c>
      <c r="ZF37">
        <v>96.334999999999994</v>
      </c>
      <c r="ZG37">
        <v>96.325000000000003</v>
      </c>
      <c r="ZH37">
        <v>96.03</v>
      </c>
      <c r="ZI37">
        <v>96.07</v>
      </c>
      <c r="ZJ37">
        <v>95.984999999999999</v>
      </c>
      <c r="ZK37">
        <v>96</v>
      </c>
      <c r="ZL37">
        <v>96.03</v>
      </c>
      <c r="ZM37">
        <v>96.034999999999997</v>
      </c>
      <c r="ZN37">
        <v>96.015000000000001</v>
      </c>
      <c r="ZO37">
        <v>95.974999999999994</v>
      </c>
      <c r="ZP37">
        <v>96.004999999999995</v>
      </c>
      <c r="ZQ37">
        <v>96.1</v>
      </c>
      <c r="ZR37">
        <v>96.04</v>
      </c>
      <c r="ZS37">
        <v>95.95</v>
      </c>
      <c r="ZT37">
        <v>95.81</v>
      </c>
      <c r="ZU37">
        <v>95.86</v>
      </c>
      <c r="ZV37">
        <v>95.935000000000002</v>
      </c>
      <c r="ZW37">
        <v>96.034999999999997</v>
      </c>
      <c r="ZX37">
        <v>96.16</v>
      </c>
      <c r="ZY37">
        <v>96.14</v>
      </c>
      <c r="ZZ37">
        <v>96.155000000000001</v>
      </c>
      <c r="AAA37">
        <v>96.2</v>
      </c>
      <c r="AAB37">
        <v>96.194999999999993</v>
      </c>
      <c r="AAC37">
        <v>96.155000000000001</v>
      </c>
      <c r="AAD37">
        <v>96.105000000000004</v>
      </c>
      <c r="AAE37">
        <v>96.204999999999998</v>
      </c>
      <c r="AAF37">
        <v>96.25</v>
      </c>
      <c r="AAG37">
        <v>96.284999999999997</v>
      </c>
      <c r="AAH37">
        <v>96.42</v>
      </c>
      <c r="AAI37">
        <v>96.355000000000004</v>
      </c>
      <c r="AAJ37">
        <v>96.204999999999998</v>
      </c>
      <c r="AAK37">
        <v>96.265000000000001</v>
      </c>
      <c r="AAL37">
        <v>96.314999999999998</v>
      </c>
      <c r="AAM37">
        <v>96.194999999999993</v>
      </c>
      <c r="AAN37">
        <v>96.32</v>
      </c>
      <c r="AAO37">
        <v>96.484999999999999</v>
      </c>
      <c r="AAP37">
        <v>96.305000000000007</v>
      </c>
      <c r="AAQ37">
        <v>96.48</v>
      </c>
      <c r="AAR37">
        <v>96.41</v>
      </c>
      <c r="AAS37">
        <v>96.5</v>
      </c>
      <c r="AAT37">
        <v>96.5</v>
      </c>
      <c r="AAU37">
        <v>96.525000000000006</v>
      </c>
      <c r="AAV37">
        <v>96.605000000000004</v>
      </c>
      <c r="AAW37">
        <v>96.575000000000003</v>
      </c>
      <c r="AAX37">
        <v>96.55</v>
      </c>
      <c r="AAY37">
        <v>96.605000000000004</v>
      </c>
      <c r="AAZ37">
        <v>96.605000000000004</v>
      </c>
      <c r="ABA37">
        <v>96.644999999999996</v>
      </c>
      <c r="ABB37">
        <v>96.495000000000005</v>
      </c>
      <c r="ABC37">
        <v>96.665000000000006</v>
      </c>
      <c r="ABD37">
        <v>96.665000000000006</v>
      </c>
      <c r="ABE37">
        <v>96.63</v>
      </c>
      <c r="ABF37">
        <v>96.81</v>
      </c>
      <c r="ABG37">
        <v>96.85</v>
      </c>
      <c r="ABH37">
        <v>96.754999999999995</v>
      </c>
      <c r="ABI37">
        <v>96.864999999999995</v>
      </c>
      <c r="ABJ37">
        <v>96.88</v>
      </c>
      <c r="ABK37">
        <v>96.79</v>
      </c>
      <c r="ABL37">
        <v>96.87</v>
      </c>
      <c r="ABM37">
        <v>96.875</v>
      </c>
      <c r="ABN37">
        <v>96.885000000000005</v>
      </c>
      <c r="ABO37">
        <v>97.015000000000001</v>
      </c>
      <c r="ABP37">
        <v>97.004999999999995</v>
      </c>
      <c r="ABQ37">
        <v>97.08</v>
      </c>
      <c r="ABR37">
        <v>97.055000000000007</v>
      </c>
      <c r="ABS37">
        <v>96.97</v>
      </c>
      <c r="ABT37">
        <v>96.915000000000006</v>
      </c>
      <c r="ABU37">
        <v>97.1</v>
      </c>
      <c r="ABV37">
        <v>97.144999999999996</v>
      </c>
      <c r="ABW37">
        <v>97.114999999999995</v>
      </c>
      <c r="ABX37">
        <v>97.025000000000006</v>
      </c>
      <c r="ABY37">
        <v>97.155000000000001</v>
      </c>
      <c r="ABZ37">
        <v>97.084999999999994</v>
      </c>
      <c r="ACA37">
        <v>97.055000000000007</v>
      </c>
      <c r="ACB37">
        <v>97.084999999999994</v>
      </c>
      <c r="ACC37">
        <v>97.015000000000001</v>
      </c>
      <c r="ACD37">
        <v>96.974999999999994</v>
      </c>
      <c r="ACE37">
        <v>96.93</v>
      </c>
      <c r="ACF37">
        <v>96.885000000000005</v>
      </c>
      <c r="ACG37">
        <v>96.85</v>
      </c>
      <c r="ACH37">
        <v>96.92</v>
      </c>
      <c r="ACI37">
        <v>96.814999999999998</v>
      </c>
      <c r="ACJ37">
        <v>96.704999999999998</v>
      </c>
      <c r="ACK37">
        <v>96.74</v>
      </c>
      <c r="ACL37">
        <v>96.78</v>
      </c>
      <c r="ACM37">
        <v>96.805000000000007</v>
      </c>
      <c r="ACN37">
        <v>96.74</v>
      </c>
      <c r="ACO37">
        <v>96.77</v>
      </c>
      <c r="ACP37">
        <v>96.65</v>
      </c>
      <c r="ACQ37">
        <v>96.594999999999999</v>
      </c>
      <c r="ACR37">
        <v>96.465000000000003</v>
      </c>
      <c r="ACS37">
        <v>96.55</v>
      </c>
      <c r="ACT37">
        <v>96.665000000000006</v>
      </c>
      <c r="ACU37">
        <v>96.75</v>
      </c>
      <c r="ACV37">
        <v>96.674999999999997</v>
      </c>
      <c r="ACW37">
        <v>96.674999999999997</v>
      </c>
      <c r="ACX37">
        <v>96.644999999999996</v>
      </c>
      <c r="ACY37">
        <v>96.53</v>
      </c>
      <c r="ACZ37">
        <v>96.43</v>
      </c>
      <c r="ADA37">
        <v>96.444999999999993</v>
      </c>
      <c r="ADB37">
        <v>96.5</v>
      </c>
      <c r="ADC37">
        <v>96.594999999999999</v>
      </c>
      <c r="ADD37">
        <v>96.495000000000005</v>
      </c>
      <c r="ADE37">
        <v>96.364999999999995</v>
      </c>
      <c r="ADF37">
        <v>96.465000000000003</v>
      </c>
      <c r="ADG37">
        <v>96.465000000000003</v>
      </c>
      <c r="ADH37">
        <v>96.385000000000005</v>
      </c>
      <c r="ADI37">
        <v>96.3</v>
      </c>
      <c r="ADJ37">
        <v>96.265000000000001</v>
      </c>
      <c r="ADK37">
        <v>96.334999999999994</v>
      </c>
      <c r="ADL37">
        <v>96.54</v>
      </c>
      <c r="ADM37">
        <v>96.59</v>
      </c>
      <c r="ADN37">
        <v>96.59</v>
      </c>
      <c r="ADO37">
        <v>96.64</v>
      </c>
      <c r="ADP37">
        <v>96.54</v>
      </c>
      <c r="ADQ37">
        <v>96.644999999999996</v>
      </c>
      <c r="ADR37">
        <v>96.694999999999993</v>
      </c>
      <c r="ADS37">
        <v>96.65</v>
      </c>
      <c r="ADT37">
        <v>96.685000000000002</v>
      </c>
      <c r="ADU37">
        <v>96.79</v>
      </c>
      <c r="ADV37">
        <v>96.79</v>
      </c>
      <c r="ADW37">
        <v>96.77</v>
      </c>
      <c r="ADX37">
        <v>96.83</v>
      </c>
      <c r="ADY37">
        <v>96.844999999999999</v>
      </c>
      <c r="ADZ37">
        <v>96.84</v>
      </c>
      <c r="AEA37">
        <v>96.9</v>
      </c>
      <c r="AEB37">
        <v>96.76</v>
      </c>
      <c r="AEC37">
        <v>96.72</v>
      </c>
      <c r="AED37">
        <v>96.584999999999994</v>
      </c>
      <c r="AEE37">
        <v>96.66</v>
      </c>
      <c r="AEF37">
        <v>96.614999999999995</v>
      </c>
      <c r="AEG37">
        <v>96.73</v>
      </c>
      <c r="AEH37">
        <v>96.64</v>
      </c>
      <c r="AEI37">
        <v>96.515000000000001</v>
      </c>
      <c r="AEJ37">
        <v>96.42</v>
      </c>
      <c r="AEK37">
        <v>96.41</v>
      </c>
      <c r="AEL37">
        <v>96.545000000000002</v>
      </c>
      <c r="AEM37">
        <v>96.754999999999995</v>
      </c>
      <c r="AEN37">
        <v>96.784999999999997</v>
      </c>
      <c r="AEO37">
        <v>96.72</v>
      </c>
      <c r="AEP37">
        <v>96.864999999999995</v>
      </c>
      <c r="AEQ37">
        <v>96.864999999999995</v>
      </c>
      <c r="AER37">
        <v>96.93</v>
      </c>
      <c r="AES37">
        <v>97.004999999999995</v>
      </c>
      <c r="AET37">
        <v>96.984999999999999</v>
      </c>
      <c r="AEU37">
        <v>96.9</v>
      </c>
      <c r="AEV37">
        <v>96.864999999999995</v>
      </c>
      <c r="AEW37">
        <v>96.92</v>
      </c>
      <c r="AEX37">
        <v>96.83</v>
      </c>
      <c r="AEY37">
        <v>96.864999999999995</v>
      </c>
      <c r="AEZ37">
        <v>96.984999999999999</v>
      </c>
      <c r="AFA37">
        <v>96.984999999999999</v>
      </c>
      <c r="AFB37">
        <v>97.12</v>
      </c>
      <c r="AFC37">
        <v>97.064999999999998</v>
      </c>
      <c r="AFD37">
        <v>97.1</v>
      </c>
      <c r="AFE37">
        <v>97.224999999999994</v>
      </c>
      <c r="AFF37">
        <v>97.34</v>
      </c>
      <c r="AFG37">
        <v>97.495000000000005</v>
      </c>
      <c r="AFH37">
        <v>97.62</v>
      </c>
      <c r="AFI37">
        <v>97.72</v>
      </c>
      <c r="AFJ37">
        <v>97.74</v>
      </c>
      <c r="AFK37">
        <v>97.8</v>
      </c>
      <c r="AFL37">
        <v>97.765000000000001</v>
      </c>
      <c r="AFM37">
        <v>97.724999999999994</v>
      </c>
      <c r="AFN37">
        <v>97.66</v>
      </c>
      <c r="AFO37">
        <v>97.65</v>
      </c>
      <c r="AFP37">
        <v>97.784999999999997</v>
      </c>
      <c r="AFQ37">
        <v>97.83</v>
      </c>
      <c r="AFR37">
        <v>97.775000000000006</v>
      </c>
      <c r="AFS37">
        <v>97.84</v>
      </c>
      <c r="AFT37">
        <v>97.98</v>
      </c>
      <c r="AFU37">
        <v>97.905000000000001</v>
      </c>
      <c r="AFV37">
        <v>97.885000000000005</v>
      </c>
      <c r="AFW37">
        <v>97.905000000000001</v>
      </c>
      <c r="AFX37">
        <v>97.93</v>
      </c>
      <c r="AFY37">
        <v>98.09</v>
      </c>
      <c r="AFZ37">
        <v>98.1</v>
      </c>
      <c r="AGA37">
        <v>98.174999999999997</v>
      </c>
      <c r="AGB37">
        <v>98.27</v>
      </c>
      <c r="AGC37">
        <v>98.385000000000005</v>
      </c>
      <c r="AGD37">
        <v>98.36</v>
      </c>
      <c r="AGE37">
        <v>98.224999999999994</v>
      </c>
      <c r="AGF37">
        <v>98.18</v>
      </c>
      <c r="AGG37">
        <v>98.325000000000003</v>
      </c>
      <c r="AGH37">
        <v>98.215000000000003</v>
      </c>
      <c r="AGI37">
        <v>98.075000000000003</v>
      </c>
      <c r="AGJ37">
        <v>98.084999999999994</v>
      </c>
      <c r="AGK37">
        <v>98.11</v>
      </c>
      <c r="AGL37">
        <v>98.15</v>
      </c>
      <c r="AGM37">
        <v>98.14</v>
      </c>
      <c r="AGN37">
        <v>98.14</v>
      </c>
      <c r="AGO37">
        <v>98.094999999999999</v>
      </c>
      <c r="AGP37">
        <v>98.004999999999995</v>
      </c>
      <c r="AGQ37">
        <v>98.015000000000001</v>
      </c>
      <c r="AGR37">
        <v>98.1</v>
      </c>
      <c r="AGS37">
        <v>98.144999999999996</v>
      </c>
      <c r="AGT37">
        <v>98.034999999999997</v>
      </c>
      <c r="AGU37">
        <v>98.105000000000004</v>
      </c>
      <c r="AGV37">
        <v>98.064999999999998</v>
      </c>
      <c r="AGW37">
        <v>98.105000000000004</v>
      </c>
      <c r="AGX37">
        <v>98.09</v>
      </c>
      <c r="AGY37">
        <v>98.204999999999998</v>
      </c>
      <c r="AGZ37">
        <v>98.24</v>
      </c>
      <c r="AHA37">
        <v>98.204999999999998</v>
      </c>
      <c r="AHB37">
        <v>98.215000000000003</v>
      </c>
      <c r="AHC37">
        <v>98.224999999999994</v>
      </c>
      <c r="AHD37">
        <v>98.185000000000002</v>
      </c>
      <c r="AHE37">
        <v>98.08</v>
      </c>
      <c r="AHF37">
        <v>98.144999999999996</v>
      </c>
      <c r="AHG37">
        <v>98.21</v>
      </c>
      <c r="AHH37">
        <v>98.194999999999993</v>
      </c>
      <c r="AHI37">
        <v>98.125</v>
      </c>
      <c r="AHJ37">
        <v>98.114999999999995</v>
      </c>
      <c r="AHK37">
        <v>98.06</v>
      </c>
      <c r="AHL37">
        <v>98.16</v>
      </c>
      <c r="AHM37">
        <v>98.16</v>
      </c>
      <c r="AHN37">
        <v>98.23</v>
      </c>
      <c r="AHO37">
        <v>98.2</v>
      </c>
      <c r="AHP37">
        <v>98.155000000000001</v>
      </c>
      <c r="AHQ37">
        <v>98.105000000000004</v>
      </c>
      <c r="AHR37">
        <v>98.09</v>
      </c>
      <c r="AHS37">
        <v>98.1</v>
      </c>
      <c r="AHT37">
        <v>98.125</v>
      </c>
      <c r="AHU37">
        <v>98.14</v>
      </c>
      <c r="AHV37">
        <v>98.2</v>
      </c>
      <c r="AHW37">
        <v>98.37</v>
      </c>
      <c r="AHX37">
        <v>98.355000000000004</v>
      </c>
      <c r="AHY37">
        <v>98.344999999999999</v>
      </c>
      <c r="AHZ37">
        <v>98.44</v>
      </c>
      <c r="AIA37">
        <v>98.41</v>
      </c>
      <c r="AIB37">
        <v>98.375</v>
      </c>
      <c r="AIC37">
        <v>98.375</v>
      </c>
      <c r="AID37">
        <v>98.4</v>
      </c>
      <c r="AIE37">
        <v>98.36</v>
      </c>
      <c r="AIF37">
        <v>98.454999999999998</v>
      </c>
      <c r="AIG37">
        <v>98.54</v>
      </c>
      <c r="AIH37">
        <v>98.5</v>
      </c>
      <c r="AII37">
        <v>98.48</v>
      </c>
      <c r="AIJ37">
        <v>98.43</v>
      </c>
      <c r="AIK37">
        <v>98.42</v>
      </c>
      <c r="AIL37">
        <v>98.355000000000004</v>
      </c>
      <c r="AIM37">
        <v>98.38</v>
      </c>
      <c r="AIN37">
        <v>98.32</v>
      </c>
      <c r="AIO37">
        <v>98.34</v>
      </c>
      <c r="AIP37">
        <v>98.355000000000004</v>
      </c>
      <c r="AIQ37">
        <v>98.495000000000005</v>
      </c>
      <c r="AIR37">
        <v>98.33</v>
      </c>
      <c r="AIS37">
        <v>98.27</v>
      </c>
      <c r="AIT37">
        <v>98.224999999999994</v>
      </c>
      <c r="AIU37">
        <v>98.114999999999995</v>
      </c>
      <c r="AIV37">
        <v>98.29</v>
      </c>
      <c r="AIW37">
        <v>98.114999999999995</v>
      </c>
      <c r="AIX37">
        <v>98.114999999999995</v>
      </c>
      <c r="AIY37">
        <v>98.075000000000003</v>
      </c>
      <c r="AIZ37">
        <v>98.144999999999996</v>
      </c>
      <c r="AJA37">
        <v>98.25</v>
      </c>
      <c r="AJB37">
        <v>98.185000000000002</v>
      </c>
      <c r="AJC37">
        <v>98.16</v>
      </c>
      <c r="AJD37">
        <v>98.135000000000005</v>
      </c>
      <c r="AJE37">
        <v>98.174999999999997</v>
      </c>
      <c r="AJF37">
        <v>98.17</v>
      </c>
      <c r="AJG37">
        <v>98.185000000000002</v>
      </c>
      <c r="AJH37">
        <v>98.19</v>
      </c>
      <c r="AJI37">
        <v>98.194999999999993</v>
      </c>
      <c r="AJJ37">
        <v>98.094999999999999</v>
      </c>
      <c r="AJK37">
        <v>98.12</v>
      </c>
      <c r="AJL37">
        <v>98.025000000000006</v>
      </c>
      <c r="AJM37">
        <v>97.995000000000005</v>
      </c>
      <c r="AJN37">
        <v>98.015000000000001</v>
      </c>
      <c r="AJO37">
        <v>98.05</v>
      </c>
      <c r="AJP37">
        <v>98.09</v>
      </c>
      <c r="AJQ37">
        <v>98.06</v>
      </c>
      <c r="AJR37">
        <v>98.084999999999994</v>
      </c>
      <c r="AJS37">
        <v>97.885000000000005</v>
      </c>
      <c r="AJT37">
        <v>97.875</v>
      </c>
      <c r="AJU37">
        <v>97.83</v>
      </c>
      <c r="AJV37">
        <v>97.775000000000006</v>
      </c>
      <c r="AJW37">
        <v>97.81</v>
      </c>
      <c r="AJX37">
        <v>97.844999999999999</v>
      </c>
      <c r="AJY37">
        <v>97.96</v>
      </c>
      <c r="AJZ37">
        <v>97.924999999999997</v>
      </c>
      <c r="AKA37">
        <v>97.98</v>
      </c>
      <c r="AKB37">
        <v>97.94</v>
      </c>
      <c r="AKC37">
        <v>97.8</v>
      </c>
      <c r="AKD37">
        <v>97.704999999999998</v>
      </c>
      <c r="AKE37">
        <v>97.7</v>
      </c>
      <c r="AKF37">
        <v>97.75</v>
      </c>
      <c r="AKG37">
        <v>97.814999999999998</v>
      </c>
      <c r="AKH37">
        <v>97.795000000000002</v>
      </c>
      <c r="AKI37">
        <v>97.844999999999999</v>
      </c>
      <c r="AKJ37">
        <v>97.82</v>
      </c>
      <c r="AKK37">
        <v>97.78</v>
      </c>
      <c r="AKL37">
        <v>97.775000000000006</v>
      </c>
      <c r="AKM37">
        <v>97.825000000000003</v>
      </c>
      <c r="AKN37">
        <v>97.93</v>
      </c>
      <c r="AKO37">
        <v>97.98</v>
      </c>
      <c r="AKP37">
        <v>98.06</v>
      </c>
      <c r="AKQ37">
        <v>98.155000000000001</v>
      </c>
      <c r="AKR37">
        <v>98.06</v>
      </c>
      <c r="AKS37">
        <v>98.075000000000003</v>
      </c>
      <c r="AKT37">
        <v>98</v>
      </c>
      <c r="AKU37">
        <v>98.07</v>
      </c>
      <c r="AKV37">
        <v>98.11</v>
      </c>
      <c r="AKW37">
        <v>98.16</v>
      </c>
      <c r="AKX37">
        <v>98.084999999999994</v>
      </c>
      <c r="AKY37">
        <v>98.055000000000007</v>
      </c>
      <c r="AKZ37">
        <v>98.14</v>
      </c>
      <c r="ALA37">
        <v>98.1</v>
      </c>
      <c r="ALB37">
        <v>98.055000000000007</v>
      </c>
      <c r="ALC37">
        <v>98.105000000000004</v>
      </c>
      <c r="ALD37">
        <v>98.105000000000004</v>
      </c>
      <c r="ALE37">
        <v>98.17</v>
      </c>
      <c r="ALF37">
        <v>98.16</v>
      </c>
      <c r="ALG37">
        <v>98.144999999999996</v>
      </c>
      <c r="ALH37">
        <v>98.19</v>
      </c>
      <c r="ALI37">
        <v>98.204999999999998</v>
      </c>
      <c r="ALJ37">
        <v>98.18</v>
      </c>
      <c r="ALK37">
        <v>98.19</v>
      </c>
      <c r="ALL37">
        <v>98.265000000000001</v>
      </c>
      <c r="ALM37">
        <v>98.32</v>
      </c>
      <c r="ALN37">
        <v>98.31</v>
      </c>
      <c r="ALO37">
        <v>98.334999999999994</v>
      </c>
      <c r="ALP37">
        <v>98.284999999999997</v>
      </c>
      <c r="ALQ37">
        <v>98.325000000000003</v>
      </c>
      <c r="ALR37">
        <v>98.33</v>
      </c>
      <c r="ALS37">
        <v>98.28</v>
      </c>
      <c r="ALT37">
        <v>98.185000000000002</v>
      </c>
      <c r="ALU37">
        <v>98.215000000000003</v>
      </c>
      <c r="ALV37">
        <v>98.24</v>
      </c>
      <c r="ALW37">
        <v>98.25</v>
      </c>
      <c r="ALX37">
        <v>98.284999999999997</v>
      </c>
      <c r="ALY37">
        <v>98.38</v>
      </c>
      <c r="ALZ37">
        <v>98.375</v>
      </c>
      <c r="AMA37">
        <v>98.37</v>
      </c>
      <c r="AMB37">
        <v>98.375</v>
      </c>
      <c r="AMC37">
        <v>98.28</v>
      </c>
      <c r="AMD37">
        <v>98.26</v>
      </c>
      <c r="AME37">
        <v>98.284999999999997</v>
      </c>
      <c r="AMF37">
        <v>98.305000000000007</v>
      </c>
      <c r="AMG37">
        <v>98.27</v>
      </c>
      <c r="AMH37">
        <v>98.25</v>
      </c>
      <c r="AMI37">
        <v>98.275000000000006</v>
      </c>
      <c r="AMJ37">
        <v>98.27</v>
      </c>
      <c r="AMK37">
        <v>98.385000000000005</v>
      </c>
      <c r="AML37">
        <v>98.48</v>
      </c>
      <c r="AMM37">
        <v>98.3</v>
      </c>
      <c r="AMN37">
        <v>98.275000000000006</v>
      </c>
      <c r="AMO37">
        <v>98.17</v>
      </c>
      <c r="AMP37">
        <v>98.08</v>
      </c>
      <c r="AMQ37">
        <v>98.144999999999996</v>
      </c>
      <c r="AMR37">
        <v>98.14</v>
      </c>
      <c r="AMS37">
        <v>98.234999999999999</v>
      </c>
      <c r="AMT37">
        <v>98.22</v>
      </c>
      <c r="AMU37">
        <v>98.165000000000006</v>
      </c>
      <c r="AMV37">
        <v>98.08</v>
      </c>
      <c r="AMW37">
        <v>98.08</v>
      </c>
      <c r="AMX37">
        <v>98.015000000000001</v>
      </c>
      <c r="AMY37">
        <v>98.05</v>
      </c>
      <c r="AMZ37">
        <v>97.96</v>
      </c>
      <c r="ANA37">
        <v>97.95</v>
      </c>
      <c r="ANB37">
        <v>97.864999999999995</v>
      </c>
      <c r="ANC37">
        <v>97.915000000000006</v>
      </c>
      <c r="AND37">
        <v>97.905000000000001</v>
      </c>
      <c r="ANE37">
        <v>97.94</v>
      </c>
      <c r="ANF37">
        <v>97.935000000000002</v>
      </c>
      <c r="ANG37">
        <v>97.995000000000005</v>
      </c>
      <c r="ANH37">
        <v>97.88</v>
      </c>
      <c r="ANI37">
        <v>97.74</v>
      </c>
      <c r="ANJ37">
        <v>97.754999999999995</v>
      </c>
      <c r="ANK37">
        <v>97.74</v>
      </c>
      <c r="ANL37">
        <v>97.674999999999997</v>
      </c>
      <c r="ANM37">
        <v>97.694999999999993</v>
      </c>
      <c r="ANN37">
        <v>97.66</v>
      </c>
      <c r="ANO37">
        <v>97.61</v>
      </c>
      <c r="ANP37">
        <v>97.564999999999998</v>
      </c>
      <c r="ANQ37">
        <v>97.555000000000007</v>
      </c>
      <c r="ANR37">
        <v>97.46</v>
      </c>
      <c r="ANS37">
        <v>97.51</v>
      </c>
      <c r="ANT37">
        <v>97.474999999999994</v>
      </c>
      <c r="ANU37">
        <v>97.52</v>
      </c>
      <c r="ANV37">
        <v>97.52</v>
      </c>
      <c r="ANW37">
        <v>97.534999999999997</v>
      </c>
      <c r="ANX37">
        <v>97.584999999999994</v>
      </c>
      <c r="ANY37">
        <v>97.605000000000004</v>
      </c>
      <c r="ANZ37">
        <v>97.555000000000007</v>
      </c>
      <c r="AOA37">
        <v>97.515000000000001</v>
      </c>
      <c r="AOB37">
        <v>97.52</v>
      </c>
      <c r="AOC37">
        <v>97.46</v>
      </c>
      <c r="AOD37">
        <v>97.5</v>
      </c>
      <c r="AOE37">
        <v>97.504999999999995</v>
      </c>
      <c r="AOF37">
        <v>97.515000000000001</v>
      </c>
      <c r="AOG37">
        <v>97.47</v>
      </c>
      <c r="AOH37">
        <v>97.415000000000006</v>
      </c>
      <c r="AOI37">
        <v>97.515000000000001</v>
      </c>
      <c r="AOJ37">
        <v>97.54</v>
      </c>
      <c r="AOK37">
        <v>97.575000000000003</v>
      </c>
      <c r="AOL37">
        <v>97.59</v>
      </c>
      <c r="AOM37">
        <v>97.564999999999998</v>
      </c>
      <c r="AON37">
        <v>97.54</v>
      </c>
      <c r="AOO37">
        <v>97.515000000000001</v>
      </c>
      <c r="AOP37">
        <v>97.48</v>
      </c>
      <c r="AOQ37">
        <v>97.48</v>
      </c>
      <c r="AOR37">
        <v>97.504999999999995</v>
      </c>
      <c r="AOS37">
        <v>97.515000000000001</v>
      </c>
      <c r="AOT37">
        <v>97.575000000000003</v>
      </c>
      <c r="AOU37">
        <v>97.584999999999994</v>
      </c>
      <c r="AOV37">
        <v>97.61</v>
      </c>
      <c r="AOW37">
        <v>97.61</v>
      </c>
      <c r="AOX37">
        <v>97.614999999999995</v>
      </c>
      <c r="AOY37">
        <v>97.59</v>
      </c>
      <c r="AOZ37">
        <v>97.605000000000004</v>
      </c>
      <c r="APA37">
        <v>97.644999999999996</v>
      </c>
      <c r="APB37">
        <v>97.5</v>
      </c>
      <c r="APC37">
        <v>97.49</v>
      </c>
      <c r="APD37">
        <v>97.394999999999996</v>
      </c>
      <c r="APE37">
        <v>97.405000000000001</v>
      </c>
      <c r="APF37">
        <v>97.435000000000002</v>
      </c>
      <c r="APG37">
        <v>97.394999999999996</v>
      </c>
      <c r="APH37">
        <v>97.37</v>
      </c>
      <c r="API37">
        <v>97.265000000000001</v>
      </c>
      <c r="APJ37">
        <v>97.25</v>
      </c>
      <c r="APK37">
        <v>97.314999999999998</v>
      </c>
      <c r="APL37">
        <v>97.185000000000002</v>
      </c>
      <c r="APM37">
        <v>97.22</v>
      </c>
      <c r="APN37">
        <v>97.245000000000005</v>
      </c>
      <c r="APO37">
        <v>97.325000000000003</v>
      </c>
      <c r="APP37">
        <v>97.385000000000005</v>
      </c>
      <c r="APQ37">
        <v>97.344999999999999</v>
      </c>
      <c r="APR37">
        <v>97.325000000000003</v>
      </c>
      <c r="APS37">
        <v>97.265000000000001</v>
      </c>
      <c r="APT37">
        <v>97.22</v>
      </c>
      <c r="APU37">
        <v>97.394999999999996</v>
      </c>
      <c r="APV37">
        <v>97.584999999999994</v>
      </c>
      <c r="APW37">
        <v>97.564999999999998</v>
      </c>
      <c r="APX37">
        <v>97.56</v>
      </c>
      <c r="APY37">
        <v>97.545000000000002</v>
      </c>
      <c r="APZ37">
        <v>97.614999999999995</v>
      </c>
      <c r="AQA37">
        <v>97.614999999999995</v>
      </c>
      <c r="AQB37">
        <v>97.584999999999994</v>
      </c>
      <c r="AQC37">
        <v>97.53</v>
      </c>
      <c r="AQD37">
        <v>97.594999999999999</v>
      </c>
      <c r="AQE37">
        <v>97.584999999999994</v>
      </c>
      <c r="AQF37">
        <v>97.65</v>
      </c>
      <c r="AQG37">
        <v>97.704999999999998</v>
      </c>
      <c r="AQH37">
        <v>97.665000000000006</v>
      </c>
      <c r="AQI37">
        <v>97.555000000000007</v>
      </c>
      <c r="AQJ37">
        <v>97.56</v>
      </c>
      <c r="AQK37">
        <v>97.65</v>
      </c>
      <c r="AQL37">
        <v>97.674999999999997</v>
      </c>
      <c r="AQM37">
        <v>97.665000000000006</v>
      </c>
      <c r="AQN37">
        <v>97.7</v>
      </c>
      <c r="AQO37">
        <v>97.745000000000005</v>
      </c>
      <c r="AQP37">
        <v>97.8</v>
      </c>
      <c r="AQQ37">
        <v>97.825000000000003</v>
      </c>
      <c r="AQR37">
        <v>97.944999999999993</v>
      </c>
      <c r="AQS37">
        <v>97.944999999999993</v>
      </c>
      <c r="AQT37">
        <v>98.05</v>
      </c>
      <c r="AQU37">
        <v>98.06</v>
      </c>
      <c r="AQV37">
        <v>98.045000000000002</v>
      </c>
      <c r="AQW37">
        <v>98.034999999999997</v>
      </c>
      <c r="AQX37">
        <v>98.055000000000007</v>
      </c>
      <c r="AQY37">
        <v>98.06</v>
      </c>
      <c r="AQZ37">
        <v>98.204999999999998</v>
      </c>
      <c r="ARA37">
        <v>98.22</v>
      </c>
      <c r="ARB37">
        <v>98.284999999999997</v>
      </c>
      <c r="ARC37">
        <v>98.284999999999997</v>
      </c>
      <c r="ARD37">
        <v>98.29</v>
      </c>
      <c r="ARE37">
        <v>98.284999999999997</v>
      </c>
      <c r="ARF37">
        <v>98.28</v>
      </c>
      <c r="ARG37">
        <v>98.284999999999997</v>
      </c>
      <c r="ARH37">
        <v>98.284999999999997</v>
      </c>
      <c r="ARI37">
        <v>98.28</v>
      </c>
      <c r="ARJ37">
        <v>98.295000000000002</v>
      </c>
      <c r="ARK37">
        <v>98.295000000000002</v>
      </c>
      <c r="ARL37">
        <v>98.284999999999997</v>
      </c>
      <c r="ARM37">
        <v>98.284999999999997</v>
      </c>
      <c r="ARN37">
        <v>98.305000000000007</v>
      </c>
      <c r="ARO37">
        <v>98.29</v>
      </c>
      <c r="ARP37">
        <v>98.265000000000001</v>
      </c>
      <c r="ARQ37">
        <v>98.27</v>
      </c>
      <c r="ARR37">
        <v>98.275000000000006</v>
      </c>
      <c r="ARS37">
        <v>98.314999999999998</v>
      </c>
      <c r="ART37">
        <v>98.545000000000002</v>
      </c>
      <c r="ARU37">
        <v>98.59</v>
      </c>
      <c r="ARV37">
        <v>98.6</v>
      </c>
      <c r="ARW37">
        <v>98.59</v>
      </c>
      <c r="ARX37">
        <v>98.59</v>
      </c>
      <c r="ARY37">
        <v>98.58</v>
      </c>
      <c r="ARZ37">
        <v>98.564999999999998</v>
      </c>
      <c r="ASA37">
        <v>98.56</v>
      </c>
      <c r="ASB37">
        <v>98.564999999999998</v>
      </c>
      <c r="ASC37">
        <v>98.564999999999998</v>
      </c>
      <c r="ASD37">
        <v>98.564999999999998</v>
      </c>
      <c r="ASE37">
        <v>98.57</v>
      </c>
      <c r="ASF37">
        <v>98.564999999999998</v>
      </c>
      <c r="ASG37">
        <v>98.564999999999998</v>
      </c>
      <c r="ASH37">
        <v>98.66</v>
      </c>
      <c r="ASI37">
        <v>98.67</v>
      </c>
      <c r="ASJ37">
        <v>98.685000000000002</v>
      </c>
      <c r="ASK37">
        <v>98.685000000000002</v>
      </c>
      <c r="ASL37">
        <v>98.685000000000002</v>
      </c>
      <c r="ASM37">
        <v>99.015000000000001</v>
      </c>
      <c r="ASN37">
        <v>99.394999999999996</v>
      </c>
      <c r="ASO37">
        <v>99.5</v>
      </c>
      <c r="ASP37">
        <v>99.5</v>
      </c>
      <c r="ASQ37">
        <v>99.51</v>
      </c>
      <c r="ASR37">
        <v>99.525000000000006</v>
      </c>
      <c r="ASS37">
        <v>99.53</v>
      </c>
      <c r="AST37">
        <v>99.534999999999997</v>
      </c>
      <c r="ASU37">
        <v>99.56</v>
      </c>
      <c r="ASV37">
        <v>99.564999999999998</v>
      </c>
      <c r="ASW37">
        <v>99.56</v>
      </c>
      <c r="ASX37">
        <v>99.56</v>
      </c>
      <c r="ASY37">
        <v>99.555000000000007</v>
      </c>
      <c r="ASZ37">
        <v>99.55</v>
      </c>
      <c r="ATA37">
        <v>99.564999999999998</v>
      </c>
      <c r="ATB37">
        <v>99.56</v>
      </c>
      <c r="ATC37">
        <v>99.56</v>
      </c>
      <c r="ATD37">
        <v>99.564999999999998</v>
      </c>
      <c r="ATE37">
        <v>99.555000000000007</v>
      </c>
      <c r="ATF37">
        <v>99.555000000000007</v>
      </c>
      <c r="ATG37">
        <v>99.55</v>
      </c>
      <c r="ATH37">
        <v>99.53</v>
      </c>
      <c r="ATI37">
        <v>99.53</v>
      </c>
      <c r="ATJ37">
        <v>99.564999999999998</v>
      </c>
      <c r="ATK37">
        <v>99.61</v>
      </c>
      <c r="ATL37">
        <v>99.614999999999995</v>
      </c>
      <c r="ATM37">
        <v>99.635000000000005</v>
      </c>
      <c r="ATN37">
        <v>99.605000000000004</v>
      </c>
      <c r="ATO37">
        <v>99.614999999999995</v>
      </c>
      <c r="ATP37">
        <v>99.61</v>
      </c>
      <c r="ATQ37">
        <v>99.614999999999995</v>
      </c>
      <c r="ATR37">
        <v>99.625</v>
      </c>
      <c r="ATS37">
        <v>99.625</v>
      </c>
      <c r="ATT37">
        <v>99.62</v>
      </c>
      <c r="ATU37">
        <v>99.61</v>
      </c>
      <c r="ATV37">
        <v>99.6</v>
      </c>
      <c r="ATW37">
        <v>99.625</v>
      </c>
      <c r="ATX37">
        <v>99.625</v>
      </c>
      <c r="ATY37">
        <v>99.635000000000005</v>
      </c>
      <c r="ATZ37">
        <v>99.644999999999996</v>
      </c>
      <c r="AUA37">
        <v>99.64</v>
      </c>
      <c r="AUB37">
        <v>99.644999999999996</v>
      </c>
      <c r="AUC37">
        <v>99.64</v>
      </c>
      <c r="AUD37">
        <v>99.625</v>
      </c>
      <c r="AUE37">
        <v>99.62</v>
      </c>
      <c r="AUF37">
        <v>99.635000000000005</v>
      </c>
      <c r="AUG37">
        <v>99.63</v>
      </c>
      <c r="AUH37">
        <v>99.655000000000001</v>
      </c>
      <c r="AUI37">
        <v>99.655000000000001</v>
      </c>
      <c r="AUJ37">
        <v>99.704999999999998</v>
      </c>
      <c r="AUK37">
        <v>99.704999999999998</v>
      </c>
      <c r="AUL37">
        <v>99.704999999999998</v>
      </c>
      <c r="AUM37">
        <v>99.71</v>
      </c>
      <c r="AUN37">
        <v>99.71</v>
      </c>
      <c r="AUO37">
        <v>99.72</v>
      </c>
      <c r="AUP37">
        <v>99.72</v>
      </c>
      <c r="AUQ37">
        <v>99.724999999999994</v>
      </c>
      <c r="AUR37">
        <v>99.724999999999994</v>
      </c>
      <c r="AUS37">
        <v>99.715000000000003</v>
      </c>
      <c r="AUT37">
        <v>99.694999999999993</v>
      </c>
      <c r="AUU37">
        <v>99.71</v>
      </c>
      <c r="AUV37">
        <v>99.704999999999998</v>
      </c>
      <c r="AUW37">
        <v>99.734999999999999</v>
      </c>
      <c r="AUX37">
        <v>99.74</v>
      </c>
      <c r="AUY37">
        <v>99.73</v>
      </c>
      <c r="AUZ37">
        <v>99.704999999999998</v>
      </c>
      <c r="AVA37">
        <v>99.7</v>
      </c>
      <c r="AVB37">
        <v>99.704999999999998</v>
      </c>
      <c r="AVC37">
        <v>99.694999999999993</v>
      </c>
      <c r="AVD37">
        <v>99.694999999999993</v>
      </c>
      <c r="AVE37">
        <v>99.724999999999994</v>
      </c>
      <c r="AVF37">
        <v>99.715000000000003</v>
      </c>
      <c r="AVG37">
        <v>99.724999999999994</v>
      </c>
      <c r="AVH37">
        <v>99.72</v>
      </c>
      <c r="AVI37">
        <v>99.715000000000003</v>
      </c>
      <c r="AVJ37">
        <v>99.694999999999993</v>
      </c>
      <c r="AVK37">
        <v>99.704999999999998</v>
      </c>
      <c r="AVL37">
        <v>99.71</v>
      </c>
      <c r="AVM37">
        <v>99.72</v>
      </c>
      <c r="AVN37">
        <v>99.715000000000003</v>
      </c>
      <c r="AVO37">
        <v>99.724999999999994</v>
      </c>
      <c r="AVP37">
        <v>99.724999999999994</v>
      </c>
      <c r="AVQ37">
        <v>99.715000000000003</v>
      </c>
      <c r="AVR37">
        <v>99.7</v>
      </c>
      <c r="AVS37">
        <v>99.69</v>
      </c>
      <c r="AVT37">
        <v>99.69</v>
      </c>
      <c r="AVU37">
        <v>99.694999999999993</v>
      </c>
      <c r="AVV37">
        <v>99.694999999999993</v>
      </c>
      <c r="AVW37">
        <v>99.73</v>
      </c>
      <c r="AVX37">
        <v>99.74</v>
      </c>
      <c r="AVY37">
        <v>99.76</v>
      </c>
      <c r="AVZ37">
        <v>99.765000000000001</v>
      </c>
      <c r="AWA37">
        <v>99.775000000000006</v>
      </c>
      <c r="AWB37">
        <v>99.765000000000001</v>
      </c>
      <c r="AWC37">
        <v>99.76</v>
      </c>
      <c r="AWD37">
        <v>99.754999999999995</v>
      </c>
      <c r="AWE37">
        <v>99.734999999999999</v>
      </c>
      <c r="AWF37">
        <v>99.724999999999994</v>
      </c>
      <c r="AWG37">
        <v>99.72</v>
      </c>
      <c r="AWH37">
        <v>99.73</v>
      </c>
      <c r="AWI37">
        <v>99.734999999999999</v>
      </c>
      <c r="AWJ37">
        <v>99.734999999999999</v>
      </c>
      <c r="AWK37">
        <v>99.73</v>
      </c>
      <c r="AWL37">
        <v>99.73</v>
      </c>
      <c r="AWM37">
        <v>99.724999999999994</v>
      </c>
      <c r="AWN37">
        <v>99.724999999999994</v>
      </c>
      <c r="AWO37">
        <v>99.72</v>
      </c>
      <c r="AWP37">
        <v>99.73</v>
      </c>
      <c r="AWQ37">
        <v>99.73</v>
      </c>
      <c r="AWR37">
        <v>99.745000000000005</v>
      </c>
      <c r="AWS37">
        <v>99.76</v>
      </c>
      <c r="AWT37">
        <v>99.745000000000005</v>
      </c>
      <c r="AWU37">
        <v>99.74</v>
      </c>
      <c r="AWV37">
        <v>99.734999999999999</v>
      </c>
      <c r="AWW37">
        <v>99.734999999999999</v>
      </c>
      <c r="AWX37">
        <v>99.734999999999999</v>
      </c>
      <c r="AWY37">
        <v>99.724999999999994</v>
      </c>
      <c r="AWZ37">
        <v>99.745000000000005</v>
      </c>
      <c r="AXA37">
        <v>99.745000000000005</v>
      </c>
      <c r="AXB37">
        <v>99.734999999999999</v>
      </c>
      <c r="AXC37">
        <v>99.715000000000003</v>
      </c>
      <c r="AXD37">
        <v>99.715000000000003</v>
      </c>
      <c r="AXE37">
        <v>99.715000000000003</v>
      </c>
      <c r="AXF37">
        <v>99.71</v>
      </c>
      <c r="AXG37">
        <v>99.7</v>
      </c>
      <c r="AXH37">
        <v>99.68</v>
      </c>
      <c r="AXI37">
        <v>99.674999999999997</v>
      </c>
      <c r="AXJ37">
        <v>99.665000000000006</v>
      </c>
      <c r="AXK37">
        <v>99.68</v>
      </c>
      <c r="AXL37">
        <v>99.67</v>
      </c>
      <c r="AXM37">
        <v>99.68</v>
      </c>
      <c r="AXN37">
        <v>99.655000000000001</v>
      </c>
      <c r="AXO37">
        <v>99.605000000000004</v>
      </c>
      <c r="AXP37">
        <v>99.57</v>
      </c>
      <c r="AXQ37">
        <v>99.564999999999998</v>
      </c>
      <c r="AXR37">
        <v>99.63</v>
      </c>
      <c r="AXS37">
        <v>99.644999999999996</v>
      </c>
      <c r="AXT37">
        <v>99.68</v>
      </c>
      <c r="AXU37">
        <v>99.685000000000002</v>
      </c>
      <c r="AXV37">
        <v>99.674999999999997</v>
      </c>
      <c r="AXW37">
        <v>99.655000000000001</v>
      </c>
      <c r="AXX37">
        <v>99.66</v>
      </c>
      <c r="AXY37">
        <v>99.665000000000006</v>
      </c>
      <c r="AXZ37">
        <v>99.67</v>
      </c>
      <c r="AYA37">
        <v>99.67</v>
      </c>
      <c r="AYB37">
        <v>99.665000000000006</v>
      </c>
      <c r="AYC37">
        <v>99.665000000000006</v>
      </c>
      <c r="AYD37">
        <v>99.67</v>
      </c>
      <c r="AYE37">
        <v>99.67</v>
      </c>
      <c r="AYF37">
        <v>99.715000000000003</v>
      </c>
      <c r="AYG37">
        <v>99.69</v>
      </c>
      <c r="AYH37">
        <v>99.68</v>
      </c>
      <c r="AYI37">
        <v>99.66</v>
      </c>
      <c r="AYJ37">
        <v>99.66</v>
      </c>
      <c r="AYK37">
        <v>99.68</v>
      </c>
      <c r="AYL37">
        <v>99.69</v>
      </c>
      <c r="AYM37">
        <v>99.635000000000005</v>
      </c>
      <c r="AYN37">
        <v>99.62</v>
      </c>
      <c r="AYO37">
        <v>99.625</v>
      </c>
      <c r="AYP37">
        <v>99.61</v>
      </c>
      <c r="AYQ37">
        <v>99.614999999999995</v>
      </c>
      <c r="AYR37">
        <v>99.605000000000004</v>
      </c>
      <c r="AYS37">
        <v>99.59</v>
      </c>
      <c r="AYT37">
        <v>99.584999999999994</v>
      </c>
      <c r="AYU37">
        <v>99.594999999999999</v>
      </c>
      <c r="AYV37">
        <v>99.594999999999999</v>
      </c>
      <c r="AYW37">
        <v>99.59</v>
      </c>
      <c r="AYX37">
        <v>99.6</v>
      </c>
      <c r="AYY37">
        <v>99.58</v>
      </c>
      <c r="AYZ37">
        <v>99.57</v>
      </c>
      <c r="AZA37">
        <v>99.555000000000007</v>
      </c>
      <c r="AZB37">
        <v>99.545000000000002</v>
      </c>
      <c r="AZC37">
        <v>99.515000000000001</v>
      </c>
      <c r="AZD37">
        <v>99.5</v>
      </c>
      <c r="AZE37">
        <v>99.51</v>
      </c>
      <c r="AZF37">
        <v>99.51</v>
      </c>
      <c r="AZG37">
        <v>99.49</v>
      </c>
      <c r="AZH37">
        <v>99.474999999999994</v>
      </c>
      <c r="AZI37">
        <v>99.52</v>
      </c>
      <c r="AZJ37">
        <v>99.58</v>
      </c>
      <c r="AZK37">
        <v>99.575000000000003</v>
      </c>
      <c r="AZL37">
        <v>99.59</v>
      </c>
      <c r="AZM37">
        <v>99.564999999999998</v>
      </c>
      <c r="AZN37">
        <v>99.594999999999999</v>
      </c>
      <c r="AZO37">
        <v>99.55</v>
      </c>
      <c r="AZP37">
        <v>99.53</v>
      </c>
      <c r="AZQ37">
        <v>99.5</v>
      </c>
      <c r="AZR37">
        <v>99.495000000000005</v>
      </c>
      <c r="AZS37">
        <v>99.555000000000007</v>
      </c>
      <c r="AZT37">
        <v>99.474999999999994</v>
      </c>
      <c r="AZU37">
        <v>99.415000000000006</v>
      </c>
      <c r="AZV37">
        <v>99.31</v>
      </c>
      <c r="AZW37">
        <v>99.424999999999997</v>
      </c>
      <c r="AZX37">
        <v>99.474999999999994</v>
      </c>
      <c r="AZY37">
        <v>99.4</v>
      </c>
      <c r="AZZ37">
        <v>99.44</v>
      </c>
      <c r="BAA37">
        <v>99.37</v>
      </c>
      <c r="BAB37">
        <v>99.36</v>
      </c>
      <c r="BAC37">
        <v>99.48</v>
      </c>
      <c r="BAD37">
        <v>99.405000000000001</v>
      </c>
      <c r="BAE37">
        <v>99.32</v>
      </c>
      <c r="BAF37">
        <v>99.27</v>
      </c>
      <c r="BAG37">
        <v>99.21</v>
      </c>
      <c r="BAH37">
        <v>99.14</v>
      </c>
      <c r="BAI37">
        <v>99.14</v>
      </c>
      <c r="BAJ37">
        <v>98.94</v>
      </c>
      <c r="BAK37">
        <v>98.885000000000005</v>
      </c>
      <c r="BAL37">
        <v>98.894999999999996</v>
      </c>
      <c r="BAM37">
        <v>98.84</v>
      </c>
      <c r="BAN37">
        <v>98.73</v>
      </c>
      <c r="BAO37">
        <v>98.665000000000006</v>
      </c>
      <c r="BAP37">
        <v>98.62</v>
      </c>
      <c r="BAQ37">
        <v>98.644999999999996</v>
      </c>
      <c r="BAR37">
        <v>98.614999999999995</v>
      </c>
      <c r="BAS37">
        <v>98.614999999999995</v>
      </c>
      <c r="BAT37">
        <v>98.58</v>
      </c>
      <c r="BAU37">
        <v>98.58</v>
      </c>
      <c r="BAV37">
        <v>98.62</v>
      </c>
      <c r="BAW37">
        <v>98.65</v>
      </c>
      <c r="BAX37">
        <v>98.614999999999995</v>
      </c>
      <c r="BAY37">
        <v>98.56</v>
      </c>
      <c r="BAZ37">
        <v>98.58</v>
      </c>
      <c r="BBA37">
        <v>98.62</v>
      </c>
      <c r="BBB37">
        <v>98.704999999999998</v>
      </c>
      <c r="BBC37">
        <v>98.72</v>
      </c>
      <c r="BBD37">
        <v>98.665000000000006</v>
      </c>
      <c r="BBE37">
        <v>98.62</v>
      </c>
      <c r="BBF37">
        <v>98.57</v>
      </c>
      <c r="BBG37">
        <v>98.605000000000004</v>
      </c>
      <c r="BBH37">
        <v>98.52</v>
      </c>
      <c r="BBI37">
        <v>98.465000000000003</v>
      </c>
      <c r="BBJ37">
        <v>98.444999999999993</v>
      </c>
      <c r="BBK37">
        <v>98.43</v>
      </c>
      <c r="BBL37">
        <v>98.375</v>
      </c>
      <c r="BBM37">
        <v>98.375</v>
      </c>
      <c r="BBN37">
        <v>98.39</v>
      </c>
      <c r="BBO37">
        <v>98.4</v>
      </c>
      <c r="BBP37">
        <v>98.39</v>
      </c>
      <c r="BBQ37">
        <v>98.375</v>
      </c>
      <c r="BBR37">
        <v>98.38</v>
      </c>
      <c r="BBS37">
        <v>98.364999999999995</v>
      </c>
      <c r="BBT37">
        <v>98.36</v>
      </c>
      <c r="BBU37">
        <v>98.405000000000001</v>
      </c>
      <c r="BBV37">
        <v>98.415000000000006</v>
      </c>
      <c r="BBW37">
        <v>98.42</v>
      </c>
      <c r="BBX37">
        <v>98.33</v>
      </c>
      <c r="BBY37">
        <v>98.32</v>
      </c>
      <c r="BBZ37">
        <v>98.32</v>
      </c>
      <c r="BCA37">
        <v>98.325000000000003</v>
      </c>
      <c r="BCB37">
        <v>98.325000000000003</v>
      </c>
      <c r="BCC37">
        <v>98.284999999999997</v>
      </c>
      <c r="BCD37">
        <v>98.284999999999997</v>
      </c>
      <c r="BCE37">
        <v>98.284999999999997</v>
      </c>
      <c r="BCF37">
        <v>98.265000000000001</v>
      </c>
      <c r="BCG37">
        <v>98.305000000000007</v>
      </c>
      <c r="BCH37">
        <v>98.32</v>
      </c>
      <c r="BCI37">
        <v>98.3</v>
      </c>
      <c r="BCJ37">
        <v>98.33</v>
      </c>
      <c r="BCK37">
        <v>98.34</v>
      </c>
      <c r="BCL37">
        <v>98.415000000000006</v>
      </c>
      <c r="BCM37">
        <v>98.334999999999994</v>
      </c>
      <c r="BCN37">
        <v>98.42</v>
      </c>
      <c r="BCO37">
        <v>98.38</v>
      </c>
      <c r="BCP37">
        <v>98.394999999999996</v>
      </c>
      <c r="BCQ37">
        <v>98.405000000000001</v>
      </c>
      <c r="BCR37">
        <v>98.465000000000003</v>
      </c>
      <c r="BCS37">
        <v>98.48</v>
      </c>
      <c r="BCT37">
        <v>98.555000000000007</v>
      </c>
      <c r="BCU37">
        <v>98.435000000000002</v>
      </c>
      <c r="BCV37">
        <v>98.47</v>
      </c>
      <c r="BCW37">
        <v>98.46</v>
      </c>
      <c r="BCX37">
        <v>98.46</v>
      </c>
      <c r="BCY37">
        <v>98.5</v>
      </c>
      <c r="BCZ37">
        <v>98.49</v>
      </c>
      <c r="BDA37">
        <v>98.474999999999994</v>
      </c>
      <c r="BDB37">
        <v>98.495000000000005</v>
      </c>
      <c r="BDC37">
        <v>98.525000000000006</v>
      </c>
      <c r="BDD37">
        <v>98.49</v>
      </c>
      <c r="BDE37">
        <v>98.465000000000003</v>
      </c>
      <c r="BDF37">
        <v>98.44</v>
      </c>
      <c r="BDG37">
        <v>98.45</v>
      </c>
      <c r="BDH37">
        <v>98.4</v>
      </c>
      <c r="BDI37">
        <v>98.35</v>
      </c>
      <c r="BDJ37">
        <v>98.32</v>
      </c>
      <c r="BDK37">
        <v>98.33</v>
      </c>
      <c r="BDL37">
        <v>98.314999999999998</v>
      </c>
      <c r="BDM37">
        <v>98.424999999999997</v>
      </c>
      <c r="BDN37">
        <v>98.4</v>
      </c>
      <c r="BDO37">
        <v>98.46</v>
      </c>
      <c r="BDP37">
        <v>98.51</v>
      </c>
      <c r="BDQ37">
        <v>98.58</v>
      </c>
      <c r="BDR37">
        <v>98.454999999999998</v>
      </c>
      <c r="BDS37">
        <v>98.435000000000002</v>
      </c>
      <c r="BDT37">
        <v>98.44</v>
      </c>
      <c r="BDU37">
        <v>98.47</v>
      </c>
      <c r="BDV37">
        <v>98.515000000000001</v>
      </c>
      <c r="BDW37">
        <v>98.525000000000006</v>
      </c>
      <c r="BDX37">
        <v>98.504999999999995</v>
      </c>
      <c r="BDY37">
        <v>98.48</v>
      </c>
      <c r="BDZ37">
        <v>98.52</v>
      </c>
      <c r="BEA37">
        <v>98.495000000000005</v>
      </c>
      <c r="BEB37">
        <v>98.52</v>
      </c>
      <c r="BEC37">
        <v>98.48</v>
      </c>
      <c r="BED37">
        <v>98.534999999999997</v>
      </c>
      <c r="BEE37">
        <v>98.515000000000001</v>
      </c>
      <c r="BEF37">
        <v>98.644999999999996</v>
      </c>
      <c r="BEG37">
        <v>98.71</v>
      </c>
      <c r="BEH37">
        <v>98.765000000000001</v>
      </c>
      <c r="BEI37">
        <v>98.754999999999995</v>
      </c>
      <c r="BEJ37">
        <v>98.825000000000003</v>
      </c>
      <c r="BEK37">
        <v>98.834999999999994</v>
      </c>
      <c r="BEL37">
        <v>98.734999999999999</v>
      </c>
      <c r="BEM37">
        <v>98.66</v>
      </c>
      <c r="BEN37">
        <v>98.59</v>
      </c>
      <c r="BEO37">
        <v>98.6</v>
      </c>
      <c r="BEP37" t="s">
        <v>6984</v>
      </c>
      <c r="BEQ37" t="s">
        <v>6984</v>
      </c>
      <c r="BER37" t="s">
        <v>6984</v>
      </c>
      <c r="BES37" t="s">
        <v>6984</v>
      </c>
      <c r="BET37" t="s">
        <v>6984</v>
      </c>
      <c r="BEU37" t="s">
        <v>6984</v>
      </c>
      <c r="BEV37" t="s">
        <v>6984</v>
      </c>
      <c r="BEW37" t="s">
        <v>6984</v>
      </c>
      <c r="BEX37" t="s">
        <v>6984</v>
      </c>
      <c r="BEY37" t="s">
        <v>6984</v>
      </c>
      <c r="BEZ37" t="s">
        <v>6984</v>
      </c>
      <c r="BFA37" t="s">
        <v>6984</v>
      </c>
      <c r="BFB37" t="s">
        <v>6984</v>
      </c>
      <c r="BFC37" t="s">
        <v>6984</v>
      </c>
      <c r="BFD37" t="s">
        <v>6984</v>
      </c>
      <c r="BFE37" t="s">
        <v>6984</v>
      </c>
      <c r="BFF37" t="s">
        <v>6984</v>
      </c>
      <c r="BFG37" t="s">
        <v>6984</v>
      </c>
      <c r="BFH37" t="s">
        <v>6984</v>
      </c>
      <c r="BFI37" t="s">
        <v>6984</v>
      </c>
      <c r="BFJ37" t="s">
        <v>6984</v>
      </c>
      <c r="BFK37" t="s">
        <v>6984</v>
      </c>
      <c r="BFL37" t="s">
        <v>6984</v>
      </c>
      <c r="BFM37" t="s">
        <v>6984</v>
      </c>
      <c r="BFN37" t="s">
        <v>6984</v>
      </c>
      <c r="BFO37" t="s">
        <v>6984</v>
      </c>
      <c r="BFP37" t="s">
        <v>6984</v>
      </c>
      <c r="BFQ37" t="s">
        <v>6984</v>
      </c>
      <c r="BFR37" t="s">
        <v>6984</v>
      </c>
      <c r="BFS37" t="s">
        <v>6984</v>
      </c>
      <c r="BFT37" t="s">
        <v>6984</v>
      </c>
      <c r="BFU37" t="s">
        <v>6984</v>
      </c>
      <c r="BFV37" t="s">
        <v>6984</v>
      </c>
      <c r="BFW37" t="s">
        <v>6984</v>
      </c>
      <c r="BFX37" t="s">
        <v>6984</v>
      </c>
      <c r="BFY37" t="s">
        <v>6984</v>
      </c>
      <c r="BFZ37" t="s">
        <v>6984</v>
      </c>
      <c r="BGA37" t="s">
        <v>6984</v>
      </c>
      <c r="BGB37" t="s">
        <v>6984</v>
      </c>
      <c r="BGC37" t="s">
        <v>6984</v>
      </c>
      <c r="BGD37" t="s">
        <v>6984</v>
      </c>
      <c r="BGE37" t="s">
        <v>6984</v>
      </c>
      <c r="BGF37" t="s">
        <v>6984</v>
      </c>
      <c r="BGG37" t="s">
        <v>6984</v>
      </c>
      <c r="BGH37" t="s">
        <v>6984</v>
      </c>
      <c r="BGI37" t="s">
        <v>6984</v>
      </c>
      <c r="BGJ37" t="s">
        <v>6984</v>
      </c>
      <c r="BGK37" t="s">
        <v>6984</v>
      </c>
      <c r="BGL37" t="s">
        <v>6984</v>
      </c>
      <c r="BGM37" t="s">
        <v>6984</v>
      </c>
      <c r="BGN37" t="s">
        <v>6984</v>
      </c>
      <c r="BGO37" t="s">
        <v>6984</v>
      </c>
      <c r="BGP37" t="s">
        <v>6984</v>
      </c>
      <c r="BGQ37" t="s">
        <v>6984</v>
      </c>
      <c r="BGR37" t="s">
        <v>6984</v>
      </c>
      <c r="BGS37" t="s">
        <v>6984</v>
      </c>
      <c r="BGT37" t="s">
        <v>6984</v>
      </c>
      <c r="BGU37" t="s">
        <v>6984</v>
      </c>
      <c r="BGV37" t="s">
        <v>6984</v>
      </c>
      <c r="BGW37" t="s">
        <v>6984</v>
      </c>
      <c r="BGX37" t="s">
        <v>6984</v>
      </c>
      <c r="BGY37" t="s">
        <v>6984</v>
      </c>
      <c r="BGZ37" t="s">
        <v>6984</v>
      </c>
      <c r="BHA37" t="s">
        <v>6984</v>
      </c>
      <c r="BHB37" t="s">
        <v>6984</v>
      </c>
      <c r="BHC37" t="s">
        <v>6984</v>
      </c>
      <c r="BHD37" t="s">
        <v>6984</v>
      </c>
      <c r="BHE37" t="s">
        <v>6984</v>
      </c>
      <c r="BHF37" t="s">
        <v>6984</v>
      </c>
      <c r="BHG37" t="s">
        <v>6984</v>
      </c>
      <c r="BHH37" t="s">
        <v>6984</v>
      </c>
      <c r="BHI37" t="s">
        <v>6984</v>
      </c>
      <c r="BHJ37" t="s">
        <v>6984</v>
      </c>
      <c r="BHK37" t="s">
        <v>6984</v>
      </c>
      <c r="BHL37" t="s">
        <v>6984</v>
      </c>
      <c r="BHM37" t="s">
        <v>6984</v>
      </c>
      <c r="BHN37" t="s">
        <v>6984</v>
      </c>
      <c r="BHO37" t="s">
        <v>6984</v>
      </c>
      <c r="BHP37" t="s">
        <v>6984</v>
      </c>
      <c r="BHQ37" t="s">
        <v>6984</v>
      </c>
      <c r="BHR37" t="s">
        <v>6984</v>
      </c>
      <c r="BHS37" t="s">
        <v>6984</v>
      </c>
      <c r="BHT37" t="s">
        <v>6984</v>
      </c>
      <c r="BHU37" t="s">
        <v>6984</v>
      </c>
      <c r="BHV37" t="s">
        <v>6984</v>
      </c>
      <c r="BHW37" t="s">
        <v>6984</v>
      </c>
      <c r="BHX37" t="s">
        <v>6984</v>
      </c>
      <c r="BHY37" t="s">
        <v>6984</v>
      </c>
      <c r="BHZ37" t="s">
        <v>6984</v>
      </c>
      <c r="BIA37" t="s">
        <v>6984</v>
      </c>
      <c r="BIB37" t="s">
        <v>6984</v>
      </c>
      <c r="BIC37" t="s">
        <v>6984</v>
      </c>
      <c r="BID37" t="s">
        <v>6984</v>
      </c>
      <c r="BIE37" t="s">
        <v>6984</v>
      </c>
      <c r="BIF37" t="s">
        <v>6984</v>
      </c>
      <c r="BIG37" t="s">
        <v>6984</v>
      </c>
      <c r="BIH37" t="s">
        <v>6984</v>
      </c>
      <c r="BII37" t="s">
        <v>6984</v>
      </c>
      <c r="BIJ37" t="s">
        <v>6984</v>
      </c>
      <c r="BIK37" t="s">
        <v>6984</v>
      </c>
      <c r="BIL37" t="s">
        <v>6984</v>
      </c>
      <c r="BIM37" t="s">
        <v>6984</v>
      </c>
      <c r="BIN37" t="s">
        <v>6984</v>
      </c>
      <c r="BIO37" t="s">
        <v>6984</v>
      </c>
      <c r="BIP37" t="s">
        <v>6984</v>
      </c>
      <c r="BIQ37" t="s">
        <v>6984</v>
      </c>
      <c r="BIR37" t="s">
        <v>6984</v>
      </c>
      <c r="BIS37" t="s">
        <v>6984</v>
      </c>
      <c r="BIT37" t="s">
        <v>6984</v>
      </c>
      <c r="BIU37" t="s">
        <v>6984</v>
      </c>
      <c r="BIV37" t="s">
        <v>6984</v>
      </c>
      <c r="BIW37" t="s">
        <v>6984</v>
      </c>
      <c r="BIX37" t="s">
        <v>6984</v>
      </c>
      <c r="BIY37" t="s">
        <v>6984</v>
      </c>
      <c r="BIZ37" t="s">
        <v>6984</v>
      </c>
      <c r="BJA37" t="s">
        <v>6984</v>
      </c>
      <c r="BJB37" t="s">
        <v>6984</v>
      </c>
      <c r="BJC37" t="s">
        <v>6984</v>
      </c>
      <c r="BJD37" t="s">
        <v>6984</v>
      </c>
      <c r="BJE37" t="s">
        <v>6984</v>
      </c>
      <c r="BJF37" t="s">
        <v>6984</v>
      </c>
      <c r="BJG37" t="s">
        <v>6984</v>
      </c>
      <c r="BJH37" t="s">
        <v>6984</v>
      </c>
      <c r="BJI37" t="s">
        <v>6984</v>
      </c>
      <c r="BJJ37" t="s">
        <v>6984</v>
      </c>
      <c r="BJK37" t="s">
        <v>6984</v>
      </c>
      <c r="BJL37" t="s">
        <v>6984</v>
      </c>
      <c r="BJM37" t="s">
        <v>6984</v>
      </c>
      <c r="BJN37" t="s">
        <v>6984</v>
      </c>
      <c r="BJO37" t="s">
        <v>6984</v>
      </c>
      <c r="BJP37" t="s">
        <v>6984</v>
      </c>
      <c r="BJQ37" t="s">
        <v>6984</v>
      </c>
      <c r="BJR37" t="s">
        <v>6984</v>
      </c>
      <c r="BJS37" t="s">
        <v>6984</v>
      </c>
      <c r="BJT37" t="s">
        <v>6984</v>
      </c>
      <c r="BJU37" t="s">
        <v>6984</v>
      </c>
      <c r="BJV37" t="s">
        <v>6984</v>
      </c>
      <c r="BJW37" t="s">
        <v>6984</v>
      </c>
      <c r="BJX37" t="s">
        <v>6984</v>
      </c>
      <c r="BJY37" t="s">
        <v>6984</v>
      </c>
      <c r="BJZ37" t="s">
        <v>6984</v>
      </c>
      <c r="BKA37" t="s">
        <v>6984</v>
      </c>
      <c r="BKB37" t="s">
        <v>6984</v>
      </c>
      <c r="BKC37" t="s">
        <v>6984</v>
      </c>
      <c r="BKD37" t="s">
        <v>6984</v>
      </c>
      <c r="BKE37" t="s">
        <v>6984</v>
      </c>
      <c r="BKF37" t="s">
        <v>6984</v>
      </c>
      <c r="BKG37" t="s">
        <v>6984</v>
      </c>
      <c r="BKH37" t="s">
        <v>6984</v>
      </c>
      <c r="BKI37" t="s">
        <v>6984</v>
      </c>
      <c r="BKJ37" t="s">
        <v>6984</v>
      </c>
      <c r="BKK37" t="s">
        <v>6984</v>
      </c>
      <c r="BKL37" t="s">
        <v>6984</v>
      </c>
      <c r="BKM37" t="s">
        <v>6984</v>
      </c>
      <c r="BKN37" t="s">
        <v>6984</v>
      </c>
      <c r="BKO37" t="s">
        <v>6984</v>
      </c>
      <c r="BKP37" t="s">
        <v>6984</v>
      </c>
      <c r="BKQ37" t="s">
        <v>6984</v>
      </c>
      <c r="BKR37" t="s">
        <v>6984</v>
      </c>
      <c r="BKS37" t="s">
        <v>6984</v>
      </c>
      <c r="BKT37" t="s">
        <v>6984</v>
      </c>
      <c r="BKU37" t="s">
        <v>6984</v>
      </c>
      <c r="BKV37" t="s">
        <v>6984</v>
      </c>
      <c r="BKW37" t="s">
        <v>6984</v>
      </c>
      <c r="BKX37" t="s">
        <v>6984</v>
      </c>
      <c r="BKY37" t="s">
        <v>6984</v>
      </c>
      <c r="BKZ37" t="s">
        <v>6984</v>
      </c>
      <c r="BLA37" t="s">
        <v>6984</v>
      </c>
      <c r="BLB37" t="s">
        <v>6984</v>
      </c>
      <c r="BLC37" t="s">
        <v>6984</v>
      </c>
      <c r="BLD37" t="s">
        <v>6984</v>
      </c>
      <c r="BLE37" t="s">
        <v>6984</v>
      </c>
      <c r="BLF37" t="s">
        <v>6984</v>
      </c>
      <c r="BLG37" t="s">
        <v>6984</v>
      </c>
      <c r="BLH37" t="s">
        <v>6984</v>
      </c>
      <c r="BLI37" t="s">
        <v>6984</v>
      </c>
      <c r="BLJ37" t="s">
        <v>6984</v>
      </c>
      <c r="BLK37" t="s">
        <v>6984</v>
      </c>
      <c r="BLL37" t="s">
        <v>6984</v>
      </c>
      <c r="BLM37" t="s">
        <v>6984</v>
      </c>
      <c r="BLN37" t="s">
        <v>6984</v>
      </c>
      <c r="BLO37" t="s">
        <v>6984</v>
      </c>
      <c r="BLP37" t="s">
        <v>6984</v>
      </c>
      <c r="BLQ37" t="s">
        <v>6984</v>
      </c>
      <c r="BLR37" t="s">
        <v>6984</v>
      </c>
      <c r="BLS37" t="s">
        <v>6984</v>
      </c>
      <c r="BLT37" t="s">
        <v>6984</v>
      </c>
      <c r="BLU37" t="s">
        <v>6984</v>
      </c>
      <c r="BLV37" t="s">
        <v>6984</v>
      </c>
      <c r="BLW37" t="s">
        <v>6984</v>
      </c>
      <c r="BLX37" t="s">
        <v>6984</v>
      </c>
      <c r="BLY37" t="s">
        <v>6984</v>
      </c>
      <c r="BLZ37" t="s">
        <v>6984</v>
      </c>
      <c r="BMA37" t="s">
        <v>6984</v>
      </c>
      <c r="BMB37" t="s">
        <v>6984</v>
      </c>
      <c r="BMC37" t="s">
        <v>6984</v>
      </c>
      <c r="BMD37" t="s">
        <v>6984</v>
      </c>
      <c r="BME37" t="s">
        <v>6984</v>
      </c>
      <c r="BMF37" t="s">
        <v>6984</v>
      </c>
      <c r="BMG37" t="s">
        <v>6984</v>
      </c>
      <c r="BMH37" t="s">
        <v>6984</v>
      </c>
      <c r="BMI37" t="s">
        <v>6984</v>
      </c>
      <c r="BMJ37" t="s">
        <v>6984</v>
      </c>
      <c r="BMK37" t="s">
        <v>6984</v>
      </c>
      <c r="BML37" t="s">
        <v>6984</v>
      </c>
      <c r="BMM37" t="s">
        <v>6984</v>
      </c>
      <c r="BMN37" t="s">
        <v>6984</v>
      </c>
      <c r="BMO37" t="s">
        <v>6984</v>
      </c>
      <c r="BMP37" t="s">
        <v>6984</v>
      </c>
      <c r="BMQ37" t="s">
        <v>6984</v>
      </c>
      <c r="BMR37" t="s">
        <v>6984</v>
      </c>
      <c r="BMS37" t="s">
        <v>6984</v>
      </c>
      <c r="BMT37" t="s">
        <v>6984</v>
      </c>
      <c r="BMU37" t="s">
        <v>6984</v>
      </c>
      <c r="BMV37" t="s">
        <v>6984</v>
      </c>
      <c r="BMW37" t="s">
        <v>6984</v>
      </c>
      <c r="BMX37" t="s">
        <v>6984</v>
      </c>
      <c r="BMY37" t="s">
        <v>6984</v>
      </c>
      <c r="BMZ37" t="s">
        <v>6984</v>
      </c>
      <c r="BNA37" t="s">
        <v>6984</v>
      </c>
      <c r="BNB37" t="s">
        <v>6984</v>
      </c>
      <c r="BNC37" t="s">
        <v>6984</v>
      </c>
      <c r="BND37" t="s">
        <v>6984</v>
      </c>
      <c r="BNE37" t="s">
        <v>6984</v>
      </c>
      <c r="BNF37" t="s">
        <v>6984</v>
      </c>
      <c r="BNG37" t="s">
        <v>6984</v>
      </c>
      <c r="BNH37" t="s">
        <v>6984</v>
      </c>
      <c r="BNI37" t="s">
        <v>6984</v>
      </c>
      <c r="BNJ37" t="s">
        <v>6984</v>
      </c>
      <c r="BNK37" t="s">
        <v>6984</v>
      </c>
      <c r="BNL37" t="s">
        <v>6984</v>
      </c>
      <c r="BNM37" t="s">
        <v>6984</v>
      </c>
      <c r="BNN37" t="s">
        <v>6984</v>
      </c>
      <c r="BNO37" t="s">
        <v>6984</v>
      </c>
      <c r="BNP37" t="s">
        <v>6984</v>
      </c>
      <c r="BNQ37" t="s">
        <v>6984</v>
      </c>
      <c r="BNR37" t="s">
        <v>6984</v>
      </c>
      <c r="BNS37" t="s">
        <v>6984</v>
      </c>
      <c r="BNT37" t="s">
        <v>6984</v>
      </c>
      <c r="BNU37" t="s">
        <v>6984</v>
      </c>
      <c r="BNV37" t="s">
        <v>6984</v>
      </c>
      <c r="BNW37" t="s">
        <v>6984</v>
      </c>
      <c r="BNX37" t="s">
        <v>6984</v>
      </c>
      <c r="BNY37" t="s">
        <v>6984</v>
      </c>
      <c r="BNZ37" t="s">
        <v>6984</v>
      </c>
      <c r="BOA37" t="s">
        <v>6984</v>
      </c>
      <c r="BOB37" t="s">
        <v>6984</v>
      </c>
      <c r="BOC37" t="s">
        <v>6984</v>
      </c>
      <c r="BOD37" t="s">
        <v>6984</v>
      </c>
      <c r="BOE37" t="s">
        <v>6984</v>
      </c>
      <c r="BOF37" t="s">
        <v>6984</v>
      </c>
      <c r="BOG37" t="s">
        <v>6984</v>
      </c>
      <c r="BOH37" t="s">
        <v>6984</v>
      </c>
      <c r="BOI37" t="s">
        <v>6984</v>
      </c>
      <c r="BOJ37" t="s">
        <v>6984</v>
      </c>
      <c r="BOK37" t="s">
        <v>6984</v>
      </c>
      <c r="BOL37" t="s">
        <v>6984</v>
      </c>
      <c r="BOM37" t="s">
        <v>6984</v>
      </c>
      <c r="BON37" t="s">
        <v>6984</v>
      </c>
      <c r="BOO37" t="s">
        <v>6984</v>
      </c>
      <c r="BOP37" t="s">
        <v>6984</v>
      </c>
      <c r="BOQ37" t="s">
        <v>6984</v>
      </c>
      <c r="BOR37" t="s">
        <v>6984</v>
      </c>
      <c r="BOS37" t="s">
        <v>6984</v>
      </c>
      <c r="BOT37" t="s">
        <v>6984</v>
      </c>
      <c r="BOU37" t="s">
        <v>6984</v>
      </c>
      <c r="BOV37" t="s">
        <v>6984</v>
      </c>
      <c r="BOW37" t="s">
        <v>6984</v>
      </c>
      <c r="BOX37" t="s">
        <v>6984</v>
      </c>
      <c r="BOY37" t="s">
        <v>6984</v>
      </c>
      <c r="BOZ37" t="s">
        <v>6984</v>
      </c>
      <c r="BPA37" t="s">
        <v>6984</v>
      </c>
      <c r="BPB37" t="s">
        <v>6984</v>
      </c>
      <c r="BPC37" t="s">
        <v>6984</v>
      </c>
      <c r="BPD37" t="s">
        <v>6984</v>
      </c>
      <c r="BPE37" t="s">
        <v>6984</v>
      </c>
      <c r="BPF37" t="s">
        <v>6984</v>
      </c>
      <c r="BPG37" t="s">
        <v>6984</v>
      </c>
      <c r="BPH37" t="s">
        <v>6984</v>
      </c>
      <c r="BPI37" t="s">
        <v>6984</v>
      </c>
      <c r="BPJ37" t="s">
        <v>6984</v>
      </c>
      <c r="BPK37" t="s">
        <v>6984</v>
      </c>
      <c r="BPL37" t="s">
        <v>6984</v>
      </c>
      <c r="BPM37" t="s">
        <v>6984</v>
      </c>
      <c r="BPN37" t="s">
        <v>6984</v>
      </c>
      <c r="BPO37" t="s">
        <v>6984</v>
      </c>
      <c r="BPP37" t="s">
        <v>6984</v>
      </c>
      <c r="BPQ37" t="s">
        <v>6984</v>
      </c>
      <c r="BPR37" t="s">
        <v>6984</v>
      </c>
      <c r="BPS37" t="s">
        <v>6984</v>
      </c>
      <c r="BPT37" t="s">
        <v>6984</v>
      </c>
      <c r="BPU37" t="s">
        <v>6984</v>
      </c>
      <c r="BPV37" t="s">
        <v>6984</v>
      </c>
      <c r="BPW37" t="s">
        <v>6984</v>
      </c>
      <c r="BPX37" t="s">
        <v>6984</v>
      </c>
      <c r="BPY37" t="s">
        <v>6984</v>
      </c>
      <c r="BPZ37" t="s">
        <v>6984</v>
      </c>
      <c r="BQA37" t="s">
        <v>6984</v>
      </c>
      <c r="BQB37" t="s">
        <v>6984</v>
      </c>
      <c r="BQC37" t="s">
        <v>6984</v>
      </c>
      <c r="BQD37" t="s">
        <v>6984</v>
      </c>
      <c r="BQE37" t="s">
        <v>6984</v>
      </c>
      <c r="BQF37" t="s">
        <v>6984</v>
      </c>
      <c r="BQG37" t="s">
        <v>6984</v>
      </c>
      <c r="BQH37" t="s">
        <v>6984</v>
      </c>
      <c r="BQI37" t="s">
        <v>6984</v>
      </c>
      <c r="BQJ37" t="s">
        <v>6984</v>
      </c>
      <c r="BQK37" t="s">
        <v>6984</v>
      </c>
      <c r="BQL37" t="s">
        <v>6984</v>
      </c>
      <c r="BQM37" t="s">
        <v>6984</v>
      </c>
      <c r="BQN37" t="s">
        <v>6984</v>
      </c>
      <c r="BQO37" t="s">
        <v>6984</v>
      </c>
      <c r="BQP37" t="s">
        <v>6984</v>
      </c>
      <c r="BQQ37" t="s">
        <v>6984</v>
      </c>
      <c r="BQR37" t="s">
        <v>6984</v>
      </c>
      <c r="BQS37" t="s">
        <v>6984</v>
      </c>
      <c r="BQT37" t="s">
        <v>6984</v>
      </c>
      <c r="BQU37" t="s">
        <v>6984</v>
      </c>
      <c r="BQV37" t="s">
        <v>6984</v>
      </c>
      <c r="BQW37" t="s">
        <v>6984</v>
      </c>
      <c r="BQX37" t="s">
        <v>6984</v>
      </c>
      <c r="BQY37" t="s">
        <v>6984</v>
      </c>
      <c r="BQZ37" t="s">
        <v>6984</v>
      </c>
      <c r="BRA37" t="s">
        <v>6984</v>
      </c>
      <c r="BRB37" t="s">
        <v>6984</v>
      </c>
      <c r="BRC37" t="s">
        <v>6984</v>
      </c>
      <c r="BRD37" t="s">
        <v>6984</v>
      </c>
      <c r="BRE37" t="s">
        <v>6984</v>
      </c>
      <c r="BRF37" t="s">
        <v>6984</v>
      </c>
      <c r="BRG37" t="s">
        <v>6984</v>
      </c>
      <c r="BRH37" t="s">
        <v>6984</v>
      </c>
      <c r="BRI37" t="s">
        <v>6984</v>
      </c>
      <c r="BRJ37" t="s">
        <v>6984</v>
      </c>
      <c r="BRK37" t="s">
        <v>6984</v>
      </c>
      <c r="BRL37" t="s">
        <v>6984</v>
      </c>
      <c r="BRM37" t="s">
        <v>6984</v>
      </c>
      <c r="BRN37" t="s">
        <v>6984</v>
      </c>
      <c r="BRO37" t="s">
        <v>6984</v>
      </c>
      <c r="BRP37" t="s">
        <v>6984</v>
      </c>
      <c r="BRQ37" t="s">
        <v>6984</v>
      </c>
      <c r="BRR37" t="s">
        <v>6984</v>
      </c>
      <c r="BRS37" t="s">
        <v>6984</v>
      </c>
      <c r="BRT37" t="s">
        <v>6984</v>
      </c>
      <c r="BRU37" t="s">
        <v>6984</v>
      </c>
      <c r="BRV37" t="s">
        <v>6984</v>
      </c>
      <c r="BRW37" t="s">
        <v>6984</v>
      </c>
      <c r="BRX37" t="s">
        <v>6984</v>
      </c>
      <c r="BRY37" t="s">
        <v>6984</v>
      </c>
      <c r="BRZ37" t="s">
        <v>6984</v>
      </c>
      <c r="BSA37" t="s">
        <v>6984</v>
      </c>
      <c r="BSB37" t="s">
        <v>6984</v>
      </c>
      <c r="BSC37" t="s">
        <v>6984</v>
      </c>
      <c r="BSD37" t="s">
        <v>6984</v>
      </c>
      <c r="BSE37" t="s">
        <v>6984</v>
      </c>
      <c r="BSF37" t="s">
        <v>6984</v>
      </c>
      <c r="BSG37" t="s">
        <v>6984</v>
      </c>
      <c r="BSH37" t="s">
        <v>6984</v>
      </c>
      <c r="BSI37" t="s">
        <v>6984</v>
      </c>
      <c r="BSJ37" t="s">
        <v>6984</v>
      </c>
      <c r="BSK37" t="s">
        <v>6984</v>
      </c>
      <c r="BSL37" t="s">
        <v>6984</v>
      </c>
      <c r="BSM37" t="s">
        <v>6984</v>
      </c>
      <c r="BSN37" t="s">
        <v>6984</v>
      </c>
      <c r="BSO37" t="s">
        <v>6984</v>
      </c>
      <c r="BSP37" t="s">
        <v>6984</v>
      </c>
      <c r="BSQ37" t="s">
        <v>6984</v>
      </c>
      <c r="BSR37" t="s">
        <v>6984</v>
      </c>
      <c r="BSS37" t="s">
        <v>6984</v>
      </c>
      <c r="BST37" t="s">
        <v>6984</v>
      </c>
      <c r="BSU37" t="s">
        <v>6984</v>
      </c>
      <c r="BSV37" t="s">
        <v>6984</v>
      </c>
      <c r="BSW37" t="s">
        <v>6984</v>
      </c>
      <c r="BSX37" t="s">
        <v>6984</v>
      </c>
      <c r="BSY37" t="s">
        <v>6984</v>
      </c>
      <c r="BSZ37" t="s">
        <v>6984</v>
      </c>
      <c r="BTA37" t="s">
        <v>6984</v>
      </c>
      <c r="BTB37" t="s">
        <v>6984</v>
      </c>
      <c r="BTC37" t="s">
        <v>6984</v>
      </c>
      <c r="BTD37" t="s">
        <v>6984</v>
      </c>
      <c r="BTE37" t="s">
        <v>6984</v>
      </c>
      <c r="BTF37" t="s">
        <v>6984</v>
      </c>
      <c r="BTG37" t="s">
        <v>6984</v>
      </c>
      <c r="BTH37" t="s">
        <v>6984</v>
      </c>
      <c r="BTI37" t="s">
        <v>6984</v>
      </c>
      <c r="BTJ37" t="s">
        <v>6984</v>
      </c>
      <c r="BTK37" t="s">
        <v>6984</v>
      </c>
      <c r="BTL37" t="s">
        <v>6984</v>
      </c>
      <c r="BTM37" t="s">
        <v>6984</v>
      </c>
      <c r="BTN37" t="s">
        <v>6984</v>
      </c>
      <c r="BTO37" t="s">
        <v>6984</v>
      </c>
      <c r="BTP37" t="s">
        <v>6984</v>
      </c>
      <c r="BTQ37" t="s">
        <v>6984</v>
      </c>
      <c r="BTR37" t="s">
        <v>6984</v>
      </c>
      <c r="BTS37" t="s">
        <v>6984</v>
      </c>
      <c r="BTT37" t="s">
        <v>6984</v>
      </c>
      <c r="BTU37" t="s">
        <v>6984</v>
      </c>
      <c r="BTV37" t="s">
        <v>6984</v>
      </c>
      <c r="BTW37" t="s">
        <v>6984</v>
      </c>
      <c r="BTX37" t="s">
        <v>6984</v>
      </c>
      <c r="BTY37" t="s">
        <v>6984</v>
      </c>
      <c r="BTZ37" t="s">
        <v>6984</v>
      </c>
      <c r="BUA37" t="s">
        <v>6984</v>
      </c>
      <c r="BUB37" t="s">
        <v>6984</v>
      </c>
      <c r="BUC37" t="s">
        <v>6984</v>
      </c>
      <c r="BUD37" t="s">
        <v>6984</v>
      </c>
      <c r="BUE37" t="s">
        <v>6984</v>
      </c>
      <c r="BUF37" t="s">
        <v>6984</v>
      </c>
      <c r="BUG37" t="s">
        <v>6984</v>
      </c>
      <c r="BUH37" t="s">
        <v>6984</v>
      </c>
      <c r="BUI37" t="s">
        <v>6984</v>
      </c>
      <c r="BUJ37" t="s">
        <v>6984</v>
      </c>
      <c r="BUK37" t="s">
        <v>6984</v>
      </c>
      <c r="BUL37" t="s">
        <v>6984</v>
      </c>
      <c r="BUM37" t="s">
        <v>6984</v>
      </c>
      <c r="BUN37" t="s">
        <v>6984</v>
      </c>
      <c r="BUO37" t="s">
        <v>6984</v>
      </c>
      <c r="BUP37" t="s">
        <v>6984</v>
      </c>
      <c r="BUQ37" t="s">
        <v>6984</v>
      </c>
      <c r="BUR37" t="s">
        <v>6984</v>
      </c>
      <c r="BUS37" t="s">
        <v>6984</v>
      </c>
      <c r="BUT37" t="s">
        <v>6984</v>
      </c>
      <c r="BUU37" t="s">
        <v>6984</v>
      </c>
      <c r="BUV37" t="s">
        <v>6984</v>
      </c>
      <c r="BUW37" t="s">
        <v>6984</v>
      </c>
      <c r="BUX37" t="s">
        <v>6984</v>
      </c>
      <c r="BUY37" t="s">
        <v>6984</v>
      </c>
      <c r="BUZ37" t="s">
        <v>6984</v>
      </c>
      <c r="BVA37" t="s">
        <v>6984</v>
      </c>
      <c r="BVB37" t="s">
        <v>6984</v>
      </c>
      <c r="BVC37" t="s">
        <v>6984</v>
      </c>
      <c r="BVD37" t="s">
        <v>6984</v>
      </c>
      <c r="BVE37" t="s">
        <v>6984</v>
      </c>
      <c r="BVF37" t="s">
        <v>6984</v>
      </c>
      <c r="BVG37" t="s">
        <v>6984</v>
      </c>
      <c r="BVH37" t="s">
        <v>6984</v>
      </c>
      <c r="BVI37" t="s">
        <v>6984</v>
      </c>
      <c r="BVJ37" t="s">
        <v>6984</v>
      </c>
      <c r="BVK37" t="s">
        <v>6984</v>
      </c>
      <c r="BVL37" t="s">
        <v>6984</v>
      </c>
      <c r="BVM37" t="s">
        <v>6984</v>
      </c>
      <c r="BVN37" t="s">
        <v>6984</v>
      </c>
      <c r="BVO37" t="s">
        <v>6984</v>
      </c>
      <c r="BVP37" t="s">
        <v>6984</v>
      </c>
      <c r="BVQ37" t="s">
        <v>6984</v>
      </c>
      <c r="BVR37" t="s">
        <v>6984</v>
      </c>
      <c r="BVS37" t="s">
        <v>6984</v>
      </c>
      <c r="BVT37" t="s">
        <v>6984</v>
      </c>
      <c r="BVU37" t="s">
        <v>6984</v>
      </c>
      <c r="BVV37" t="s">
        <v>6984</v>
      </c>
      <c r="BVW37" t="s">
        <v>6984</v>
      </c>
      <c r="BVX37" t="s">
        <v>6984</v>
      </c>
      <c r="BVY37" t="s">
        <v>6984</v>
      </c>
      <c r="BVZ37" t="s">
        <v>6984</v>
      </c>
      <c r="BWA37" t="s">
        <v>6984</v>
      </c>
      <c r="BWB37" t="s">
        <v>6984</v>
      </c>
      <c r="BWC37" t="s">
        <v>6984</v>
      </c>
      <c r="BWD37" t="s">
        <v>6984</v>
      </c>
      <c r="BWE37" t="s">
        <v>6984</v>
      </c>
      <c r="BWF37" t="s">
        <v>6984</v>
      </c>
      <c r="BWG37" t="s">
        <v>6984</v>
      </c>
      <c r="BWH37" t="s">
        <v>6984</v>
      </c>
      <c r="BWI37" t="s">
        <v>6984</v>
      </c>
      <c r="BWJ37" t="s">
        <v>6984</v>
      </c>
      <c r="BWK37" t="s">
        <v>6984</v>
      </c>
      <c r="BWL37" t="s">
        <v>6984</v>
      </c>
      <c r="BWM37" t="s">
        <v>6984</v>
      </c>
      <c r="BWN37" t="s">
        <v>6984</v>
      </c>
      <c r="BWO37" t="s">
        <v>6984</v>
      </c>
      <c r="BWP37" t="s">
        <v>6984</v>
      </c>
      <c r="BWQ37" t="s">
        <v>6984</v>
      </c>
      <c r="BWR37" t="s">
        <v>6984</v>
      </c>
      <c r="BWS37" t="s">
        <v>6984</v>
      </c>
      <c r="BWT37" t="s">
        <v>6984</v>
      </c>
      <c r="BWU37" t="s">
        <v>6984</v>
      </c>
      <c r="BWV37" t="s">
        <v>6984</v>
      </c>
      <c r="BWW37" t="s">
        <v>6984</v>
      </c>
      <c r="BWX37" t="s">
        <v>6984</v>
      </c>
      <c r="BWY37" t="s">
        <v>6984</v>
      </c>
      <c r="BWZ37" t="s">
        <v>6984</v>
      </c>
      <c r="BXA37" t="s">
        <v>6984</v>
      </c>
      <c r="BXB37" t="s">
        <v>6984</v>
      </c>
      <c r="BXC37" t="s">
        <v>6984</v>
      </c>
      <c r="BXD37" t="s">
        <v>6984</v>
      </c>
      <c r="BXE37" t="s">
        <v>6984</v>
      </c>
      <c r="BXF37" t="s">
        <v>6984</v>
      </c>
      <c r="BXG37" t="s">
        <v>6984</v>
      </c>
      <c r="BXH37" t="s">
        <v>6984</v>
      </c>
      <c r="BXI37" t="s">
        <v>6984</v>
      </c>
      <c r="BXJ37" t="s">
        <v>6984</v>
      </c>
      <c r="BXK37" t="s">
        <v>6984</v>
      </c>
      <c r="BXL37" t="s">
        <v>6984</v>
      </c>
      <c r="BXM37" t="s">
        <v>6984</v>
      </c>
      <c r="BXN37" t="s">
        <v>6984</v>
      </c>
      <c r="BXO37" t="s">
        <v>6984</v>
      </c>
      <c r="BXP37" t="s">
        <v>6984</v>
      </c>
      <c r="BXQ37" t="s">
        <v>6984</v>
      </c>
      <c r="BXR37" t="s">
        <v>6984</v>
      </c>
      <c r="BXS37" t="s">
        <v>6984</v>
      </c>
      <c r="BXT37" t="s">
        <v>6984</v>
      </c>
      <c r="BXU37" t="s">
        <v>6984</v>
      </c>
      <c r="BXV37" t="s">
        <v>6984</v>
      </c>
      <c r="BXW37" t="s">
        <v>6984</v>
      </c>
      <c r="BXX37" t="s">
        <v>6984</v>
      </c>
      <c r="BXY37" t="s">
        <v>6984</v>
      </c>
      <c r="BXZ37" t="s">
        <v>6984</v>
      </c>
      <c r="BYA37" t="s">
        <v>6984</v>
      </c>
      <c r="BYB37" t="s">
        <v>6984</v>
      </c>
      <c r="BYC37" t="s">
        <v>6984</v>
      </c>
      <c r="BYD37" t="s">
        <v>6984</v>
      </c>
      <c r="BYE37" t="s">
        <v>6984</v>
      </c>
      <c r="BYF37" t="s">
        <v>6984</v>
      </c>
      <c r="BYG37" t="s">
        <v>6984</v>
      </c>
      <c r="BYH37" t="s">
        <v>6984</v>
      </c>
      <c r="BYI37" t="s">
        <v>6984</v>
      </c>
      <c r="BYJ37" t="s">
        <v>6984</v>
      </c>
      <c r="BYK37" t="s">
        <v>6984</v>
      </c>
      <c r="BYL37" t="s">
        <v>6984</v>
      </c>
      <c r="BYM37" t="s">
        <v>6984</v>
      </c>
      <c r="BYN37" t="s">
        <v>6984</v>
      </c>
      <c r="BYO37" t="s">
        <v>6984</v>
      </c>
      <c r="BYP37" t="s">
        <v>6984</v>
      </c>
      <c r="BYQ37" t="s">
        <v>6984</v>
      </c>
      <c r="BYR37" t="s">
        <v>6984</v>
      </c>
      <c r="BYS37" t="s">
        <v>6984</v>
      </c>
      <c r="BYT37" t="s">
        <v>6984</v>
      </c>
      <c r="BYU37" t="s">
        <v>6984</v>
      </c>
      <c r="BYV37" t="s">
        <v>6984</v>
      </c>
      <c r="BYW37" t="s">
        <v>6984</v>
      </c>
      <c r="BYX37" t="s">
        <v>6984</v>
      </c>
      <c r="BYY37" t="s">
        <v>6984</v>
      </c>
      <c r="BYZ37" t="s">
        <v>6984</v>
      </c>
      <c r="BZA37" t="s">
        <v>6984</v>
      </c>
      <c r="BZB37" t="s">
        <v>6984</v>
      </c>
      <c r="BZC37" t="s">
        <v>6984</v>
      </c>
      <c r="BZD37" t="s">
        <v>6984</v>
      </c>
      <c r="BZE37" t="s">
        <v>6984</v>
      </c>
      <c r="BZF37" t="s">
        <v>6984</v>
      </c>
      <c r="BZG37" t="s">
        <v>6984</v>
      </c>
      <c r="BZH37" t="s">
        <v>6984</v>
      </c>
      <c r="BZI37" t="s">
        <v>6984</v>
      </c>
      <c r="BZJ37" t="s">
        <v>6984</v>
      </c>
      <c r="BZK37" t="s">
        <v>6984</v>
      </c>
      <c r="BZL37" t="s">
        <v>6984</v>
      </c>
      <c r="BZM37" t="s">
        <v>6984</v>
      </c>
      <c r="BZN37" t="s">
        <v>6984</v>
      </c>
      <c r="BZO37" t="s">
        <v>6984</v>
      </c>
      <c r="BZP37" t="s">
        <v>6984</v>
      </c>
      <c r="BZQ37" t="s">
        <v>6984</v>
      </c>
      <c r="BZR37" t="s">
        <v>6984</v>
      </c>
      <c r="BZS37" t="s">
        <v>6984</v>
      </c>
      <c r="BZT37" t="s">
        <v>6984</v>
      </c>
      <c r="BZU37" t="s">
        <v>6984</v>
      </c>
      <c r="BZV37" t="s">
        <v>6984</v>
      </c>
      <c r="BZW37" t="s">
        <v>6984</v>
      </c>
      <c r="BZX37" t="s">
        <v>6984</v>
      </c>
      <c r="BZY37" t="s">
        <v>6984</v>
      </c>
      <c r="BZZ37" t="s">
        <v>6984</v>
      </c>
      <c r="CAA37" t="s">
        <v>6984</v>
      </c>
      <c r="CAB37" t="s">
        <v>6984</v>
      </c>
      <c r="CAC37" t="s">
        <v>6984</v>
      </c>
      <c r="CAD37" t="s">
        <v>6984</v>
      </c>
      <c r="CAE37" t="s">
        <v>6984</v>
      </c>
      <c r="CAF37" t="s">
        <v>6984</v>
      </c>
      <c r="CAG37" t="s">
        <v>6984</v>
      </c>
      <c r="CAH37" t="s">
        <v>6984</v>
      </c>
      <c r="CAI37" t="s">
        <v>6984</v>
      </c>
      <c r="CAJ37" t="s">
        <v>6984</v>
      </c>
      <c r="CAK37" t="s">
        <v>6984</v>
      </c>
      <c r="CAL37" t="s">
        <v>6984</v>
      </c>
      <c r="CAM37" t="s">
        <v>6984</v>
      </c>
      <c r="CAN37" t="s">
        <v>6984</v>
      </c>
      <c r="CAO37" t="s">
        <v>6984</v>
      </c>
      <c r="CAP37" t="s">
        <v>6984</v>
      </c>
      <c r="CAQ37" t="s">
        <v>6984</v>
      </c>
      <c r="CAR37" t="s">
        <v>6984</v>
      </c>
      <c r="CAS37" t="s">
        <v>6984</v>
      </c>
      <c r="CAT37" t="s">
        <v>6984</v>
      </c>
      <c r="CAU37" t="s">
        <v>6984</v>
      </c>
      <c r="CAV37" t="s">
        <v>6984</v>
      </c>
      <c r="CAW37" t="s">
        <v>6984</v>
      </c>
      <c r="CAX37" t="s">
        <v>6984</v>
      </c>
      <c r="CAY37" t="s">
        <v>6984</v>
      </c>
      <c r="CAZ37" t="s">
        <v>6984</v>
      </c>
      <c r="CBA37" t="s">
        <v>6984</v>
      </c>
      <c r="CBB37" t="s">
        <v>6984</v>
      </c>
      <c r="CBC37" t="s">
        <v>6984</v>
      </c>
      <c r="CBD37" t="s">
        <v>6984</v>
      </c>
      <c r="CBE37" t="s">
        <v>6984</v>
      </c>
      <c r="CBF37" t="s">
        <v>6984</v>
      </c>
      <c r="CBG37" t="s">
        <v>6984</v>
      </c>
      <c r="CBH37" t="s">
        <v>6984</v>
      </c>
      <c r="CBI37" t="s">
        <v>6984</v>
      </c>
      <c r="CBJ37" t="s">
        <v>6984</v>
      </c>
      <c r="CBK37" t="s">
        <v>6984</v>
      </c>
      <c r="CBL37" t="s">
        <v>6984</v>
      </c>
      <c r="CBM37" t="s">
        <v>6984</v>
      </c>
      <c r="CBN37" t="s">
        <v>6984</v>
      </c>
      <c r="CBO37" t="s">
        <v>6984</v>
      </c>
      <c r="CBP37" t="s">
        <v>6984</v>
      </c>
      <c r="CBQ37" t="s">
        <v>6984</v>
      </c>
      <c r="CBR37" t="s">
        <v>6984</v>
      </c>
      <c r="CBS37" t="s">
        <v>6984</v>
      </c>
      <c r="CBT37" t="s">
        <v>6984</v>
      </c>
      <c r="CBU37" t="s">
        <v>6984</v>
      </c>
      <c r="CBV37" t="s">
        <v>6984</v>
      </c>
      <c r="CBW37" t="s">
        <v>6984</v>
      </c>
      <c r="CBX37" t="s">
        <v>6984</v>
      </c>
      <c r="CBY37" t="s">
        <v>6984</v>
      </c>
      <c r="CBZ37" t="s">
        <v>6984</v>
      </c>
      <c r="CCA37" t="s">
        <v>6984</v>
      </c>
      <c r="CCB37" t="s">
        <v>6984</v>
      </c>
      <c r="CCC37" t="s">
        <v>6984</v>
      </c>
      <c r="CCD37" t="s">
        <v>6984</v>
      </c>
      <c r="CCE37" t="s">
        <v>6984</v>
      </c>
      <c r="CCF37" t="s">
        <v>6984</v>
      </c>
      <c r="CCG37" t="s">
        <v>6984</v>
      </c>
      <c r="CCH37" t="s">
        <v>6984</v>
      </c>
      <c r="CCI37" t="s">
        <v>6984</v>
      </c>
      <c r="CCJ37" t="s">
        <v>6984</v>
      </c>
      <c r="CCK37" t="s">
        <v>6984</v>
      </c>
      <c r="CCL37" t="s">
        <v>6984</v>
      </c>
      <c r="CCM37" t="s">
        <v>6984</v>
      </c>
      <c r="CCN37" t="s">
        <v>6984</v>
      </c>
      <c r="CCO37" t="s">
        <v>6984</v>
      </c>
      <c r="CCP37" t="s">
        <v>6984</v>
      </c>
      <c r="CCQ37" t="s">
        <v>6984</v>
      </c>
      <c r="CCR37" t="s">
        <v>6984</v>
      </c>
      <c r="CCS37" t="s">
        <v>6984</v>
      </c>
      <c r="CCT37" t="s">
        <v>6984</v>
      </c>
      <c r="CCU37" t="s">
        <v>6984</v>
      </c>
      <c r="CCV37" t="s">
        <v>6984</v>
      </c>
      <c r="CCW37" t="s">
        <v>6984</v>
      </c>
      <c r="CCX37" t="s">
        <v>6984</v>
      </c>
      <c r="CCY37" t="s">
        <v>6984</v>
      </c>
      <c r="CCZ37" t="s">
        <v>6984</v>
      </c>
      <c r="CDA37" t="s">
        <v>6984</v>
      </c>
      <c r="CDB37" t="s">
        <v>6984</v>
      </c>
      <c r="CDC37" t="s">
        <v>6984</v>
      </c>
      <c r="CDD37" t="s">
        <v>6984</v>
      </c>
      <c r="CDE37" t="s">
        <v>6984</v>
      </c>
      <c r="CDF37" t="s">
        <v>6984</v>
      </c>
      <c r="CDG37" t="s">
        <v>6984</v>
      </c>
      <c r="CDH37" t="s">
        <v>6984</v>
      </c>
      <c r="CDI37" t="s">
        <v>6984</v>
      </c>
      <c r="CDJ37" t="s">
        <v>6984</v>
      </c>
      <c r="CDK37" t="s">
        <v>6984</v>
      </c>
      <c r="CDL37" t="s">
        <v>6984</v>
      </c>
      <c r="CDM37" t="s">
        <v>6984</v>
      </c>
      <c r="CDN37" t="s">
        <v>6984</v>
      </c>
      <c r="CDO37" t="s">
        <v>6984</v>
      </c>
      <c r="CDP37" t="s">
        <v>6984</v>
      </c>
      <c r="CDQ37" t="s">
        <v>6984</v>
      </c>
      <c r="CDR37" t="s">
        <v>6984</v>
      </c>
      <c r="CDS37" t="s">
        <v>6984</v>
      </c>
      <c r="CDT37" t="s">
        <v>6984</v>
      </c>
      <c r="CDU37" t="s">
        <v>6984</v>
      </c>
      <c r="CDV37" t="s">
        <v>6984</v>
      </c>
      <c r="CDW37" t="s">
        <v>6984</v>
      </c>
      <c r="CDX37" t="s">
        <v>6984</v>
      </c>
      <c r="CDY37" t="s">
        <v>6984</v>
      </c>
      <c r="CDZ37" t="s">
        <v>6984</v>
      </c>
      <c r="CEA37" t="s">
        <v>6984</v>
      </c>
      <c r="CEB37" t="s">
        <v>6984</v>
      </c>
      <c r="CEC37" t="s">
        <v>6984</v>
      </c>
      <c r="CED37" t="s">
        <v>6984</v>
      </c>
      <c r="CEE37" t="s">
        <v>6984</v>
      </c>
      <c r="CEF37" t="s">
        <v>6984</v>
      </c>
      <c r="CEG37" t="s">
        <v>6984</v>
      </c>
      <c r="CEH37" t="s">
        <v>6984</v>
      </c>
      <c r="CEI37" t="s">
        <v>6984</v>
      </c>
      <c r="CEJ37" t="s">
        <v>6984</v>
      </c>
      <c r="CEK37" t="s">
        <v>6984</v>
      </c>
      <c r="CEL37" t="s">
        <v>6984</v>
      </c>
      <c r="CEM37" t="s">
        <v>6984</v>
      </c>
      <c r="CEN37" t="s">
        <v>6984</v>
      </c>
      <c r="CEO37" t="s">
        <v>6984</v>
      </c>
      <c r="CEP37" t="s">
        <v>6984</v>
      </c>
      <c r="CEQ37" t="s">
        <v>6984</v>
      </c>
      <c r="CER37" t="s">
        <v>6984</v>
      </c>
      <c r="CES37" t="s">
        <v>6984</v>
      </c>
      <c r="CET37" t="s">
        <v>6984</v>
      </c>
      <c r="CEU37" t="s">
        <v>6984</v>
      </c>
      <c r="CEV37" t="s">
        <v>6984</v>
      </c>
      <c r="CEW37" t="s">
        <v>6984</v>
      </c>
      <c r="CEX37" t="s">
        <v>6984</v>
      </c>
      <c r="CEY37" t="s">
        <v>6984</v>
      </c>
      <c r="CEZ37" t="s">
        <v>6984</v>
      </c>
      <c r="CFA37" t="s">
        <v>6984</v>
      </c>
      <c r="CFB37" t="s">
        <v>6984</v>
      </c>
      <c r="CFC37" t="s">
        <v>6984</v>
      </c>
      <c r="CFD37" t="s">
        <v>6984</v>
      </c>
      <c r="CFE37" t="s">
        <v>6984</v>
      </c>
      <c r="CFF37" t="s">
        <v>6984</v>
      </c>
      <c r="CFG37" t="s">
        <v>6984</v>
      </c>
      <c r="CFH37" t="s">
        <v>6984</v>
      </c>
      <c r="CFI37" t="s">
        <v>6984</v>
      </c>
      <c r="CFJ37" t="s">
        <v>6984</v>
      </c>
      <c r="CFK37" t="s">
        <v>6984</v>
      </c>
      <c r="CFL37" t="s">
        <v>6984</v>
      </c>
      <c r="CFM37" t="s">
        <v>6984</v>
      </c>
      <c r="CFN37" t="s">
        <v>6984</v>
      </c>
      <c r="CFO37" t="s">
        <v>6984</v>
      </c>
      <c r="CFP37" t="s">
        <v>6984</v>
      </c>
      <c r="CFQ37" t="s">
        <v>6984</v>
      </c>
      <c r="CFR37" t="s">
        <v>6984</v>
      </c>
      <c r="CFS37" t="s">
        <v>6984</v>
      </c>
      <c r="CFT37" t="s">
        <v>6984</v>
      </c>
      <c r="CFU37" t="s">
        <v>6984</v>
      </c>
      <c r="CFV37" t="s">
        <v>6984</v>
      </c>
      <c r="CFW37" t="s">
        <v>6984</v>
      </c>
      <c r="CFX37" t="s">
        <v>6984</v>
      </c>
      <c r="CFY37" t="s">
        <v>6984</v>
      </c>
      <c r="CFZ37" t="s">
        <v>6984</v>
      </c>
      <c r="CGA37" t="s">
        <v>6984</v>
      </c>
      <c r="CGB37" t="s">
        <v>6984</v>
      </c>
      <c r="CGC37" t="s">
        <v>6984</v>
      </c>
      <c r="CGD37" t="s">
        <v>6984</v>
      </c>
      <c r="CGE37" t="s">
        <v>6984</v>
      </c>
      <c r="CGF37" t="s">
        <v>6984</v>
      </c>
      <c r="CGG37" t="s">
        <v>6984</v>
      </c>
      <c r="CGH37" t="s">
        <v>6984</v>
      </c>
      <c r="CGI37" t="s">
        <v>6984</v>
      </c>
      <c r="CGJ37" t="s">
        <v>6984</v>
      </c>
      <c r="CGK37" t="s">
        <v>6984</v>
      </c>
      <c r="CGL37" t="s">
        <v>6984</v>
      </c>
      <c r="CGM37" t="s">
        <v>6984</v>
      </c>
      <c r="CGN37" t="s">
        <v>6984</v>
      </c>
      <c r="CGO37" t="s">
        <v>6984</v>
      </c>
      <c r="CGP37" t="s">
        <v>6984</v>
      </c>
      <c r="CGQ37" t="s">
        <v>6984</v>
      </c>
      <c r="CGR37" t="s">
        <v>6984</v>
      </c>
      <c r="CGS37" t="s">
        <v>6984</v>
      </c>
      <c r="CGT37" t="s">
        <v>6984</v>
      </c>
      <c r="CGU37" t="s">
        <v>6984</v>
      </c>
      <c r="CGV37" t="s">
        <v>6984</v>
      </c>
      <c r="CGW37" t="s">
        <v>6984</v>
      </c>
      <c r="CGX37" t="s">
        <v>6984</v>
      </c>
      <c r="CGY37" t="s">
        <v>6984</v>
      </c>
      <c r="CGZ37" t="s">
        <v>6984</v>
      </c>
      <c r="CHA37" t="s">
        <v>6984</v>
      </c>
      <c r="CHB37" t="s">
        <v>6984</v>
      </c>
      <c r="CHC37" t="s">
        <v>6984</v>
      </c>
      <c r="CHD37" t="s">
        <v>6984</v>
      </c>
      <c r="CHE37" t="s">
        <v>6984</v>
      </c>
      <c r="CHF37" t="s">
        <v>6984</v>
      </c>
      <c r="CHG37" t="s">
        <v>6984</v>
      </c>
      <c r="CHH37" t="s">
        <v>6984</v>
      </c>
      <c r="CHI37" t="s">
        <v>6984</v>
      </c>
      <c r="CHJ37" t="s">
        <v>6984</v>
      </c>
      <c r="CHK37" t="s">
        <v>6984</v>
      </c>
      <c r="CHL37" t="s">
        <v>6984</v>
      </c>
      <c r="CHM37" t="s">
        <v>6984</v>
      </c>
      <c r="CHN37" t="s">
        <v>6984</v>
      </c>
      <c r="CHO37" t="s">
        <v>6984</v>
      </c>
      <c r="CHP37" t="s">
        <v>6984</v>
      </c>
      <c r="CHQ37" t="s">
        <v>6984</v>
      </c>
      <c r="CHR37" t="s">
        <v>6984</v>
      </c>
      <c r="CHS37" t="s">
        <v>6984</v>
      </c>
      <c r="CHT37" t="s">
        <v>6984</v>
      </c>
      <c r="CHU37" t="s">
        <v>6984</v>
      </c>
      <c r="CHV37" t="s">
        <v>6984</v>
      </c>
      <c r="CHW37" t="s">
        <v>6984</v>
      </c>
      <c r="CHX37" t="s">
        <v>6984</v>
      </c>
      <c r="CHY37" t="s">
        <v>6984</v>
      </c>
      <c r="CHZ37" t="s">
        <v>6984</v>
      </c>
      <c r="CIA37" t="s">
        <v>6984</v>
      </c>
      <c r="CIB37" t="s">
        <v>6984</v>
      </c>
      <c r="CIC37" t="s">
        <v>6984</v>
      </c>
      <c r="CID37" t="s">
        <v>6984</v>
      </c>
      <c r="CIE37" t="s">
        <v>6984</v>
      </c>
      <c r="CIF37" t="s">
        <v>6984</v>
      </c>
      <c r="CIG37" t="s">
        <v>6984</v>
      </c>
      <c r="CIH37" t="s">
        <v>6984</v>
      </c>
      <c r="CII37" t="s">
        <v>6984</v>
      </c>
      <c r="CIJ37" t="s">
        <v>6984</v>
      </c>
      <c r="CIK37" t="s">
        <v>6984</v>
      </c>
      <c r="CIL37" t="s">
        <v>6984</v>
      </c>
      <c r="CIM37" t="s">
        <v>6984</v>
      </c>
      <c r="CIN37" t="s">
        <v>6984</v>
      </c>
      <c r="CIO37" t="s">
        <v>6984</v>
      </c>
      <c r="CIP37" t="s">
        <v>6984</v>
      </c>
      <c r="CIQ37" t="s">
        <v>6984</v>
      </c>
      <c r="CIR37" t="s">
        <v>6984</v>
      </c>
      <c r="CIS37" t="s">
        <v>6984</v>
      </c>
      <c r="CIT37" t="s">
        <v>6984</v>
      </c>
      <c r="CIU37" t="s">
        <v>6984</v>
      </c>
      <c r="CIV37" t="s">
        <v>6984</v>
      </c>
      <c r="CIW37" t="s">
        <v>6984</v>
      </c>
      <c r="CIX37" t="s">
        <v>6984</v>
      </c>
      <c r="CIY37" t="s">
        <v>6984</v>
      </c>
      <c r="CIZ37" t="s">
        <v>6984</v>
      </c>
      <c r="CJA37" t="s">
        <v>6984</v>
      </c>
      <c r="CJB37" t="s">
        <v>6984</v>
      </c>
      <c r="CJC37" t="s">
        <v>6984</v>
      </c>
      <c r="CJD37" t="s">
        <v>6984</v>
      </c>
      <c r="CJE37" t="s">
        <v>6984</v>
      </c>
      <c r="CJF37" t="s">
        <v>6984</v>
      </c>
      <c r="CJG37" t="s">
        <v>6984</v>
      </c>
      <c r="CJH37" t="s">
        <v>6984</v>
      </c>
      <c r="CJI37" t="s">
        <v>6984</v>
      </c>
      <c r="CJJ37" t="s">
        <v>6984</v>
      </c>
      <c r="CJK37" t="s">
        <v>6984</v>
      </c>
      <c r="CJL37" t="s">
        <v>6984</v>
      </c>
      <c r="CJM37" t="s">
        <v>6984</v>
      </c>
      <c r="CJN37" t="s">
        <v>6984</v>
      </c>
      <c r="CJO37" t="s">
        <v>6984</v>
      </c>
      <c r="CJP37" t="s">
        <v>6984</v>
      </c>
      <c r="CJQ37" t="s">
        <v>6984</v>
      </c>
      <c r="CJR37" t="s">
        <v>6984</v>
      </c>
      <c r="CJS37" t="s">
        <v>6984</v>
      </c>
      <c r="CJT37" t="s">
        <v>6984</v>
      </c>
      <c r="CJU37" t="s">
        <v>6984</v>
      </c>
      <c r="CJV37" t="s">
        <v>6984</v>
      </c>
      <c r="CJW37" t="s">
        <v>6984</v>
      </c>
      <c r="CJX37" t="s">
        <v>6984</v>
      </c>
      <c r="CJY37" t="s">
        <v>6984</v>
      </c>
      <c r="CJZ37" t="s">
        <v>6984</v>
      </c>
      <c r="CKA37" t="s">
        <v>6984</v>
      </c>
      <c r="CKB37" t="s">
        <v>6984</v>
      </c>
      <c r="CKC37" t="s">
        <v>6984</v>
      </c>
      <c r="CKD37" t="s">
        <v>6984</v>
      </c>
      <c r="CKE37" t="s">
        <v>6984</v>
      </c>
      <c r="CKF37" t="s">
        <v>6984</v>
      </c>
      <c r="CKG37" t="s">
        <v>6984</v>
      </c>
      <c r="CKH37" t="s">
        <v>6984</v>
      </c>
      <c r="CKI37" t="s">
        <v>6984</v>
      </c>
      <c r="CKJ37" t="s">
        <v>6984</v>
      </c>
      <c r="CKK37" t="s">
        <v>6984</v>
      </c>
      <c r="CKL37" t="s">
        <v>6984</v>
      </c>
      <c r="CKM37" t="s">
        <v>6984</v>
      </c>
      <c r="CKN37" t="s">
        <v>6984</v>
      </c>
      <c r="CKO37" t="s">
        <v>6984</v>
      </c>
      <c r="CKP37" t="s">
        <v>6984</v>
      </c>
      <c r="CKQ37" t="s">
        <v>6984</v>
      </c>
      <c r="CKR37" t="s">
        <v>6984</v>
      </c>
      <c r="CKS37" t="s">
        <v>6984</v>
      </c>
      <c r="CKT37" t="s">
        <v>6984</v>
      </c>
      <c r="CKU37" t="s">
        <v>6984</v>
      </c>
      <c r="CKV37" t="s">
        <v>6984</v>
      </c>
      <c r="CKW37" t="s">
        <v>6984</v>
      </c>
      <c r="CKX37" t="s">
        <v>6984</v>
      </c>
      <c r="CKY37" t="s">
        <v>6984</v>
      </c>
      <c r="CKZ37" t="s">
        <v>6984</v>
      </c>
      <c r="CLA37" t="s">
        <v>6984</v>
      </c>
      <c r="CLB37" t="s">
        <v>6984</v>
      </c>
      <c r="CLC37" t="s">
        <v>6984</v>
      </c>
      <c r="CLD37" t="s">
        <v>6984</v>
      </c>
      <c r="CLE37" t="s">
        <v>6984</v>
      </c>
      <c r="CLF37" t="s">
        <v>6984</v>
      </c>
      <c r="CLG37" t="s">
        <v>6984</v>
      </c>
      <c r="CLH37" t="s">
        <v>6984</v>
      </c>
      <c r="CLI37" t="s">
        <v>6984</v>
      </c>
      <c r="CLJ37" t="s">
        <v>6984</v>
      </c>
      <c r="CLK37" t="s">
        <v>6984</v>
      </c>
      <c r="CLL37" t="s">
        <v>6984</v>
      </c>
      <c r="CLM37" t="s">
        <v>6984</v>
      </c>
      <c r="CLN37" t="s">
        <v>6984</v>
      </c>
      <c r="CLO37" t="s">
        <v>6984</v>
      </c>
      <c r="CLP37" t="s">
        <v>6984</v>
      </c>
      <c r="CLQ37" t="s">
        <v>6984</v>
      </c>
      <c r="CLR37" t="s">
        <v>6984</v>
      </c>
      <c r="CLS37" t="s">
        <v>6984</v>
      </c>
      <c r="CLT37" t="s">
        <v>6984</v>
      </c>
      <c r="CLU37" t="s">
        <v>6984</v>
      </c>
      <c r="CLV37" t="s">
        <v>6984</v>
      </c>
      <c r="CLW37" t="s">
        <v>6984</v>
      </c>
      <c r="CLX37" t="s">
        <v>6984</v>
      </c>
      <c r="CLY37" t="s">
        <v>6984</v>
      </c>
      <c r="CLZ37" t="s">
        <v>6984</v>
      </c>
      <c r="CMA37" t="s">
        <v>6984</v>
      </c>
      <c r="CMB37" t="s">
        <v>6984</v>
      </c>
      <c r="CMC37" t="s">
        <v>6984</v>
      </c>
      <c r="CMD37" t="s">
        <v>6984</v>
      </c>
      <c r="CME37" t="s">
        <v>6984</v>
      </c>
      <c r="CMF37" t="s">
        <v>6984</v>
      </c>
      <c r="CMG37" t="s">
        <v>6984</v>
      </c>
      <c r="CMH37" t="s">
        <v>6984</v>
      </c>
      <c r="CMI37" t="s">
        <v>6984</v>
      </c>
      <c r="CMJ37" t="s">
        <v>6984</v>
      </c>
      <c r="CMK37" t="s">
        <v>6984</v>
      </c>
      <c r="CML37" t="s">
        <v>6984</v>
      </c>
      <c r="CMM37" t="s">
        <v>6984</v>
      </c>
      <c r="CMN37" t="s">
        <v>6984</v>
      </c>
      <c r="CMO37" t="s">
        <v>6984</v>
      </c>
      <c r="CMP37" t="s">
        <v>6984</v>
      </c>
      <c r="CMQ37" t="s">
        <v>6984</v>
      </c>
      <c r="CMR37" t="s">
        <v>6984</v>
      </c>
      <c r="CMS37" t="s">
        <v>6984</v>
      </c>
      <c r="CMT37" t="s">
        <v>6984</v>
      </c>
      <c r="CMU37" t="s">
        <v>6984</v>
      </c>
      <c r="CMV37" t="s">
        <v>6984</v>
      </c>
      <c r="CMW37" t="s">
        <v>6984</v>
      </c>
      <c r="CMX37" t="s">
        <v>6984</v>
      </c>
      <c r="CMY37" t="s">
        <v>6984</v>
      </c>
      <c r="CMZ37" t="s">
        <v>6984</v>
      </c>
      <c r="CNA37" t="s">
        <v>6984</v>
      </c>
      <c r="CNB37" t="s">
        <v>6984</v>
      </c>
      <c r="CNC37" t="s">
        <v>6984</v>
      </c>
      <c r="CND37" t="s">
        <v>6984</v>
      </c>
      <c r="CNE37" t="s">
        <v>6984</v>
      </c>
      <c r="CNF37" t="s">
        <v>6984</v>
      </c>
      <c r="CNG37" t="s">
        <v>6984</v>
      </c>
      <c r="CNH37" t="s">
        <v>6984</v>
      </c>
      <c r="CNI37" t="s">
        <v>6984</v>
      </c>
      <c r="CNJ37" t="s">
        <v>6984</v>
      </c>
      <c r="CNK37" t="s">
        <v>6984</v>
      </c>
      <c r="CNL37" t="s">
        <v>6984</v>
      </c>
      <c r="CNM37" t="s">
        <v>6984</v>
      </c>
      <c r="CNN37" t="s">
        <v>6984</v>
      </c>
      <c r="CNO37" t="s">
        <v>6984</v>
      </c>
      <c r="CNP37" t="s">
        <v>6984</v>
      </c>
      <c r="CNQ37" t="s">
        <v>6984</v>
      </c>
      <c r="CNR37" t="s">
        <v>6984</v>
      </c>
      <c r="CNS37" t="s">
        <v>6984</v>
      </c>
      <c r="CNT37" t="s">
        <v>6984</v>
      </c>
      <c r="CNU37" t="s">
        <v>6984</v>
      </c>
      <c r="CNV37" t="s">
        <v>6984</v>
      </c>
      <c r="CNW37" t="s">
        <v>6984</v>
      </c>
      <c r="CNX37" t="s">
        <v>6984</v>
      </c>
      <c r="CNY37" t="s">
        <v>6984</v>
      </c>
      <c r="CNZ37" t="s">
        <v>6984</v>
      </c>
      <c r="COA37" t="s">
        <v>6984</v>
      </c>
      <c r="COB37" t="s">
        <v>6984</v>
      </c>
      <c r="COC37" t="s">
        <v>6984</v>
      </c>
      <c r="COD37" t="s">
        <v>6984</v>
      </c>
      <c r="COE37" t="s">
        <v>6984</v>
      </c>
      <c r="COF37" t="s">
        <v>6984</v>
      </c>
      <c r="COG37" t="s">
        <v>6984</v>
      </c>
      <c r="COH37" t="s">
        <v>6984</v>
      </c>
      <c r="COI37" t="s">
        <v>6984</v>
      </c>
      <c r="COJ37" t="s">
        <v>6984</v>
      </c>
      <c r="COK37" t="s">
        <v>6984</v>
      </c>
      <c r="COL37" t="s">
        <v>6984</v>
      </c>
      <c r="COM37" t="s">
        <v>6984</v>
      </c>
      <c r="CON37" t="s">
        <v>6984</v>
      </c>
      <c r="COO37" t="s">
        <v>6984</v>
      </c>
      <c r="COP37" t="s">
        <v>6984</v>
      </c>
      <c r="COQ37" t="s">
        <v>6984</v>
      </c>
      <c r="COR37" t="s">
        <v>6984</v>
      </c>
      <c r="COS37" t="s">
        <v>6984</v>
      </c>
      <c r="COT37" t="s">
        <v>6984</v>
      </c>
      <c r="COU37" t="s">
        <v>6984</v>
      </c>
      <c r="COV37" t="s">
        <v>6984</v>
      </c>
      <c r="COW37" t="s">
        <v>6984</v>
      </c>
      <c r="COX37" t="s">
        <v>6984</v>
      </c>
      <c r="COY37" t="s">
        <v>6984</v>
      </c>
      <c r="COZ37" t="s">
        <v>6984</v>
      </c>
      <c r="CPA37" t="s">
        <v>6984</v>
      </c>
      <c r="CPB37" t="s">
        <v>6984</v>
      </c>
      <c r="CPC37" t="s">
        <v>6984</v>
      </c>
      <c r="CPD37" t="s">
        <v>6984</v>
      </c>
      <c r="CPE37" t="s">
        <v>6984</v>
      </c>
      <c r="CPF37" t="s">
        <v>6984</v>
      </c>
      <c r="CPG37" t="s">
        <v>6984</v>
      </c>
      <c r="CPH37" t="s">
        <v>6984</v>
      </c>
      <c r="CPI37" t="s">
        <v>6984</v>
      </c>
      <c r="CPJ37" t="s">
        <v>6984</v>
      </c>
      <c r="CPK37" t="s">
        <v>6984</v>
      </c>
      <c r="CPL37" t="s">
        <v>6984</v>
      </c>
      <c r="CPM37" t="s">
        <v>6984</v>
      </c>
      <c r="CPN37" t="s">
        <v>6984</v>
      </c>
      <c r="CPO37" t="s">
        <v>6984</v>
      </c>
      <c r="CPP37" t="s">
        <v>6984</v>
      </c>
      <c r="CPQ37" t="s">
        <v>6984</v>
      </c>
      <c r="CPR37" t="s">
        <v>6984</v>
      </c>
      <c r="CPS37" t="s">
        <v>6984</v>
      </c>
      <c r="CPT37" t="s">
        <v>6984</v>
      </c>
      <c r="CPU37" t="s">
        <v>6984</v>
      </c>
      <c r="CPV37" t="s">
        <v>6984</v>
      </c>
      <c r="CPW37" t="s">
        <v>6984</v>
      </c>
      <c r="CPX37" t="s">
        <v>6984</v>
      </c>
      <c r="CPY37" t="s">
        <v>6984</v>
      </c>
      <c r="CPZ37" t="s">
        <v>6984</v>
      </c>
      <c r="CQA37" t="s">
        <v>6984</v>
      </c>
      <c r="CQB37" t="s">
        <v>6984</v>
      </c>
      <c r="CQC37" t="s">
        <v>6984</v>
      </c>
      <c r="CQD37" t="s">
        <v>6984</v>
      </c>
      <c r="CQE37" t="s">
        <v>6984</v>
      </c>
      <c r="CQF37" t="s">
        <v>6984</v>
      </c>
      <c r="CQG37" t="s">
        <v>6984</v>
      </c>
      <c r="CQH37" t="s">
        <v>6984</v>
      </c>
      <c r="CQI37" t="s">
        <v>6984</v>
      </c>
      <c r="CQJ37" t="s">
        <v>6984</v>
      </c>
      <c r="CQK37" t="s">
        <v>6984</v>
      </c>
      <c r="CQL37" t="s">
        <v>6984</v>
      </c>
      <c r="CQM37" t="s">
        <v>6984</v>
      </c>
      <c r="CQN37" t="s">
        <v>6984</v>
      </c>
      <c r="CQO37" t="s">
        <v>6984</v>
      </c>
      <c r="CQP37" t="s">
        <v>6984</v>
      </c>
      <c r="CQQ37" t="s">
        <v>6984</v>
      </c>
      <c r="CQR37" t="s">
        <v>6984</v>
      </c>
      <c r="CQS37" t="s">
        <v>6984</v>
      </c>
      <c r="CQT37" t="s">
        <v>6984</v>
      </c>
      <c r="CQU37" t="s">
        <v>6984</v>
      </c>
      <c r="CQV37" t="s">
        <v>6984</v>
      </c>
      <c r="CQW37" t="s">
        <v>6984</v>
      </c>
      <c r="CQX37" t="s">
        <v>6984</v>
      </c>
      <c r="CQY37" t="s">
        <v>6984</v>
      </c>
      <c r="CQZ37" t="s">
        <v>6984</v>
      </c>
      <c r="CRA37" t="s">
        <v>6984</v>
      </c>
      <c r="CRB37" t="s">
        <v>6984</v>
      </c>
      <c r="CRC37" t="s">
        <v>6984</v>
      </c>
      <c r="CRD37" t="s">
        <v>6984</v>
      </c>
      <c r="CRE37" t="s">
        <v>6984</v>
      </c>
      <c r="CRF37" t="s">
        <v>6984</v>
      </c>
      <c r="CRG37" t="s">
        <v>6984</v>
      </c>
      <c r="CRH37" t="s">
        <v>6984</v>
      </c>
      <c r="CRI37" t="s">
        <v>6984</v>
      </c>
      <c r="CRJ37" t="s">
        <v>6984</v>
      </c>
      <c r="CRK37" t="s">
        <v>6984</v>
      </c>
      <c r="CRL37" t="s">
        <v>6984</v>
      </c>
      <c r="CRM37" t="s">
        <v>6984</v>
      </c>
      <c r="CRN37" t="s">
        <v>6984</v>
      </c>
      <c r="CRO37" t="s">
        <v>6984</v>
      </c>
      <c r="CRP37" t="s">
        <v>6984</v>
      </c>
      <c r="CRQ37" t="s">
        <v>6984</v>
      </c>
      <c r="CRR37" t="s">
        <v>6984</v>
      </c>
      <c r="CRS37" t="s">
        <v>6984</v>
      </c>
      <c r="CRT37" t="s">
        <v>6984</v>
      </c>
      <c r="CRU37" t="s">
        <v>6984</v>
      </c>
      <c r="CRV37" t="s">
        <v>6984</v>
      </c>
      <c r="CRW37" t="s">
        <v>6984</v>
      </c>
      <c r="CRX37" t="s">
        <v>6984</v>
      </c>
      <c r="CRY37" t="s">
        <v>6984</v>
      </c>
      <c r="CRZ37" t="s">
        <v>6984</v>
      </c>
      <c r="CSA37" t="s">
        <v>6984</v>
      </c>
      <c r="CSB37" t="s">
        <v>6984</v>
      </c>
      <c r="CSC37" t="s">
        <v>6984</v>
      </c>
      <c r="CSD37" t="s">
        <v>6984</v>
      </c>
      <c r="CSE37" t="s">
        <v>6984</v>
      </c>
      <c r="CSF37" t="s">
        <v>6984</v>
      </c>
      <c r="CSG37" t="s">
        <v>6984</v>
      </c>
      <c r="CSH37" t="s">
        <v>6984</v>
      </c>
      <c r="CSI37" t="s">
        <v>6984</v>
      </c>
      <c r="CSJ37" t="s">
        <v>6984</v>
      </c>
      <c r="CSK37" t="s">
        <v>6984</v>
      </c>
      <c r="CSL37" t="s">
        <v>6984</v>
      </c>
      <c r="CSM37" t="s">
        <v>6984</v>
      </c>
      <c r="CSN37" t="s">
        <v>6984</v>
      </c>
      <c r="CSO37" t="s">
        <v>6984</v>
      </c>
      <c r="CSP37" t="s">
        <v>6984</v>
      </c>
      <c r="CSQ37" t="s">
        <v>6984</v>
      </c>
      <c r="CSR37" t="s">
        <v>6984</v>
      </c>
      <c r="CSS37" t="s">
        <v>6984</v>
      </c>
      <c r="CST37" t="s">
        <v>6984</v>
      </c>
      <c r="CSU37" t="s">
        <v>6984</v>
      </c>
      <c r="CSV37" t="s">
        <v>6984</v>
      </c>
      <c r="CSW37" t="s">
        <v>6984</v>
      </c>
      <c r="CSX37" t="s">
        <v>6984</v>
      </c>
      <c r="CSY37" t="s">
        <v>6984</v>
      </c>
      <c r="CSZ37" t="s">
        <v>6984</v>
      </c>
      <c r="CTA37" t="s">
        <v>6984</v>
      </c>
      <c r="CTB37" t="s">
        <v>6984</v>
      </c>
      <c r="CTC37" t="s">
        <v>6984</v>
      </c>
      <c r="CTD37" t="s">
        <v>6984</v>
      </c>
      <c r="CTE37" t="s">
        <v>6984</v>
      </c>
      <c r="CTF37" t="s">
        <v>6984</v>
      </c>
      <c r="CTG37" t="s">
        <v>6984</v>
      </c>
      <c r="CTH37" t="s">
        <v>6984</v>
      </c>
      <c r="CTI37" t="s">
        <v>6984</v>
      </c>
      <c r="CTJ37" t="s">
        <v>6984</v>
      </c>
      <c r="CTK37" t="s">
        <v>6984</v>
      </c>
      <c r="CTL37" t="s">
        <v>6984</v>
      </c>
      <c r="CTM37" t="s">
        <v>6984</v>
      </c>
      <c r="CTN37" t="s">
        <v>6984</v>
      </c>
      <c r="CTO37" t="s">
        <v>6984</v>
      </c>
      <c r="CTP37" t="s">
        <v>6984</v>
      </c>
      <c r="CTQ37" t="s">
        <v>6984</v>
      </c>
      <c r="CTR37" t="s">
        <v>6984</v>
      </c>
      <c r="CTS37" t="s">
        <v>6984</v>
      </c>
      <c r="CTT37" t="s">
        <v>6984</v>
      </c>
      <c r="CTU37" t="s">
        <v>6984</v>
      </c>
      <c r="CTV37" t="s">
        <v>6984</v>
      </c>
      <c r="CTW37" t="s">
        <v>6984</v>
      </c>
      <c r="CTX37" t="s">
        <v>6984</v>
      </c>
      <c r="CTY37" t="s">
        <v>6984</v>
      </c>
      <c r="CTZ37" t="s">
        <v>6984</v>
      </c>
      <c r="CUA37" t="s">
        <v>6984</v>
      </c>
      <c r="CUB37" t="s">
        <v>6984</v>
      </c>
      <c r="CUC37" t="s">
        <v>6984</v>
      </c>
      <c r="CUD37" t="s">
        <v>6984</v>
      </c>
      <c r="CUE37" t="s">
        <v>6984</v>
      </c>
      <c r="CUF37" t="s">
        <v>6984</v>
      </c>
      <c r="CUG37" t="s">
        <v>6984</v>
      </c>
      <c r="CUH37" t="s">
        <v>6984</v>
      </c>
      <c r="CUI37" t="s">
        <v>6984</v>
      </c>
      <c r="CUJ37" t="s">
        <v>6984</v>
      </c>
      <c r="CUK37" t="s">
        <v>6984</v>
      </c>
      <c r="CUL37" t="s">
        <v>6984</v>
      </c>
      <c r="CUM37" t="s">
        <v>6984</v>
      </c>
      <c r="CUN37" t="s">
        <v>6984</v>
      </c>
      <c r="CUO37" t="s">
        <v>6984</v>
      </c>
      <c r="CUP37" t="s">
        <v>6984</v>
      </c>
      <c r="CUQ37" t="s">
        <v>6984</v>
      </c>
      <c r="CUR37" t="s">
        <v>6984</v>
      </c>
      <c r="CUS37" t="s">
        <v>6984</v>
      </c>
      <c r="CUT37" t="s">
        <v>6984</v>
      </c>
      <c r="CUU37" t="s">
        <v>6984</v>
      </c>
      <c r="CUV37" t="s">
        <v>6984</v>
      </c>
      <c r="CUW37" t="s">
        <v>6984</v>
      </c>
      <c r="CUX37" t="s">
        <v>6984</v>
      </c>
      <c r="CUY37" t="s">
        <v>6984</v>
      </c>
      <c r="CUZ37" t="s">
        <v>6984</v>
      </c>
      <c r="CVA37" t="s">
        <v>6984</v>
      </c>
      <c r="CVB37" t="s">
        <v>6984</v>
      </c>
      <c r="CVC37" t="s">
        <v>6984</v>
      </c>
      <c r="CVD37" t="s">
        <v>6984</v>
      </c>
      <c r="CVE37" t="s">
        <v>6984</v>
      </c>
      <c r="CVF37" t="s">
        <v>6984</v>
      </c>
      <c r="CVG37" t="s">
        <v>6984</v>
      </c>
      <c r="CVH37" t="s">
        <v>6984</v>
      </c>
      <c r="CVI37" t="s">
        <v>6984</v>
      </c>
      <c r="CVJ37" t="s">
        <v>6984</v>
      </c>
      <c r="CVK37" t="s">
        <v>6984</v>
      </c>
      <c r="CVL37" t="s">
        <v>6984</v>
      </c>
      <c r="CVM37" t="s">
        <v>6984</v>
      </c>
      <c r="CVN37" t="s">
        <v>6984</v>
      </c>
      <c r="CVO37" t="s">
        <v>6984</v>
      </c>
      <c r="CVP37" t="s">
        <v>6984</v>
      </c>
      <c r="CVQ37" t="s">
        <v>6984</v>
      </c>
      <c r="CVR37" t="s">
        <v>6984</v>
      </c>
      <c r="CVS37" t="s">
        <v>6984</v>
      </c>
      <c r="CVT37" t="s">
        <v>6984</v>
      </c>
      <c r="CVU37" t="s">
        <v>6984</v>
      </c>
      <c r="CVV37" t="s">
        <v>6984</v>
      </c>
      <c r="CVW37" t="s">
        <v>6984</v>
      </c>
      <c r="CVX37" t="s">
        <v>6984</v>
      </c>
      <c r="CVY37" t="s">
        <v>6984</v>
      </c>
      <c r="CVZ37" t="s">
        <v>6984</v>
      </c>
      <c r="CWA37" t="s">
        <v>6984</v>
      </c>
      <c r="CWB37" t="s">
        <v>6984</v>
      </c>
      <c r="CWC37" t="s">
        <v>6984</v>
      </c>
      <c r="CWD37" t="s">
        <v>6984</v>
      </c>
      <c r="CWE37" t="s">
        <v>6984</v>
      </c>
      <c r="CWF37" t="s">
        <v>6984</v>
      </c>
      <c r="CWG37" t="s">
        <v>6984</v>
      </c>
      <c r="CWH37" t="s">
        <v>6984</v>
      </c>
      <c r="CWI37" t="s">
        <v>6984</v>
      </c>
      <c r="CWJ37" t="s">
        <v>6984</v>
      </c>
      <c r="CWK37" t="s">
        <v>6984</v>
      </c>
      <c r="CWL37" t="s">
        <v>6984</v>
      </c>
      <c r="CWM37" t="s">
        <v>6984</v>
      </c>
      <c r="CWN37" t="s">
        <v>6984</v>
      </c>
      <c r="CWO37" t="s">
        <v>6984</v>
      </c>
      <c r="CWP37" t="s">
        <v>6984</v>
      </c>
      <c r="CWQ37" t="s">
        <v>6984</v>
      </c>
      <c r="CWR37" t="s">
        <v>6984</v>
      </c>
      <c r="CWS37" t="s">
        <v>6984</v>
      </c>
      <c r="CWT37" t="s">
        <v>6984</v>
      </c>
      <c r="CWU37" t="s">
        <v>6984</v>
      </c>
      <c r="CWV37" t="s">
        <v>6984</v>
      </c>
      <c r="CWW37" t="s">
        <v>6984</v>
      </c>
      <c r="CWX37" t="s">
        <v>6984</v>
      </c>
      <c r="CWY37" t="s">
        <v>6984</v>
      </c>
      <c r="CWZ37" t="s">
        <v>6984</v>
      </c>
      <c r="CXA37" t="s">
        <v>6984</v>
      </c>
      <c r="CXB37" t="s">
        <v>6984</v>
      </c>
      <c r="CXC37" t="s">
        <v>6984</v>
      </c>
      <c r="CXD37" t="s">
        <v>6984</v>
      </c>
      <c r="CXE37" t="s">
        <v>6984</v>
      </c>
      <c r="CXF37" t="s">
        <v>6984</v>
      </c>
      <c r="CXG37" t="s">
        <v>6984</v>
      </c>
      <c r="CXH37" t="s">
        <v>6984</v>
      </c>
      <c r="CXI37" t="s">
        <v>6984</v>
      </c>
      <c r="CXJ37" t="s">
        <v>6984</v>
      </c>
      <c r="CXK37" t="s">
        <v>6984</v>
      </c>
      <c r="CXL37" t="s">
        <v>6984</v>
      </c>
      <c r="CXM37" t="s">
        <v>6984</v>
      </c>
      <c r="CXN37" t="s">
        <v>6984</v>
      </c>
      <c r="CXO37" t="s">
        <v>6984</v>
      </c>
      <c r="CXP37" t="s">
        <v>6984</v>
      </c>
      <c r="CXQ37" t="s">
        <v>6984</v>
      </c>
      <c r="CXR37" t="s">
        <v>6984</v>
      </c>
      <c r="CXS37" t="s">
        <v>6984</v>
      </c>
      <c r="CXT37" t="s">
        <v>6984</v>
      </c>
      <c r="CXU37" t="s">
        <v>6984</v>
      </c>
      <c r="CXV37" t="s">
        <v>6984</v>
      </c>
      <c r="CXW37" t="s">
        <v>6984</v>
      </c>
      <c r="CXX37" t="s">
        <v>6984</v>
      </c>
      <c r="CXY37" t="s">
        <v>6984</v>
      </c>
      <c r="CXZ37" t="s">
        <v>6984</v>
      </c>
      <c r="CYA37" t="s">
        <v>6984</v>
      </c>
      <c r="CYB37" t="s">
        <v>6984</v>
      </c>
      <c r="CYC37" t="s">
        <v>6984</v>
      </c>
      <c r="CYD37" t="s">
        <v>6984</v>
      </c>
      <c r="CYE37" t="s">
        <v>6984</v>
      </c>
      <c r="CYF37" t="s">
        <v>6984</v>
      </c>
      <c r="CYG37" t="s">
        <v>6984</v>
      </c>
      <c r="CYH37" t="s">
        <v>6984</v>
      </c>
      <c r="CYI37" t="s">
        <v>6984</v>
      </c>
      <c r="CYJ37" t="s">
        <v>6984</v>
      </c>
      <c r="CYK37" t="s">
        <v>6984</v>
      </c>
      <c r="CYL37" t="s">
        <v>6984</v>
      </c>
      <c r="CYM37" t="s">
        <v>6984</v>
      </c>
      <c r="CYN37" t="s">
        <v>6984</v>
      </c>
      <c r="CYO37" t="s">
        <v>6984</v>
      </c>
      <c r="CYP37" t="s">
        <v>6984</v>
      </c>
      <c r="CYQ37" t="s">
        <v>6984</v>
      </c>
      <c r="CYR37" t="s">
        <v>6984</v>
      </c>
      <c r="CYS37" t="s">
        <v>6984</v>
      </c>
      <c r="CYT37" t="s">
        <v>6984</v>
      </c>
      <c r="CYU37" t="s">
        <v>6984</v>
      </c>
      <c r="CYV37" t="s">
        <v>6984</v>
      </c>
      <c r="CYW37" t="s">
        <v>6984</v>
      </c>
      <c r="CYX37" t="s">
        <v>6984</v>
      </c>
      <c r="CYY37" t="s">
        <v>6984</v>
      </c>
      <c r="CYZ37" t="s">
        <v>6984</v>
      </c>
      <c r="CZA37" t="s">
        <v>6984</v>
      </c>
      <c r="CZB37" t="s">
        <v>6984</v>
      </c>
      <c r="CZC37" t="s">
        <v>6984</v>
      </c>
      <c r="CZD37" t="s">
        <v>6984</v>
      </c>
      <c r="CZE37" t="s">
        <v>6984</v>
      </c>
      <c r="CZF37" t="s">
        <v>6984</v>
      </c>
      <c r="CZG37" t="s">
        <v>6984</v>
      </c>
      <c r="CZH37" t="s">
        <v>6984</v>
      </c>
      <c r="CZI37" t="s">
        <v>6984</v>
      </c>
      <c r="CZJ37" t="s">
        <v>6984</v>
      </c>
      <c r="CZK37" t="s">
        <v>6984</v>
      </c>
      <c r="CZL37" t="s">
        <v>6984</v>
      </c>
      <c r="CZM37" t="s">
        <v>6984</v>
      </c>
      <c r="CZN37" t="s">
        <v>6984</v>
      </c>
      <c r="CZO37" t="s">
        <v>6984</v>
      </c>
      <c r="CZP37" t="s">
        <v>6984</v>
      </c>
      <c r="CZQ37" t="s">
        <v>6984</v>
      </c>
      <c r="CZR37" t="s">
        <v>6984</v>
      </c>
      <c r="CZS37" t="s">
        <v>6984</v>
      </c>
      <c r="CZT37" t="s">
        <v>6984</v>
      </c>
      <c r="CZU37" t="s">
        <v>6984</v>
      </c>
      <c r="CZV37" t="s">
        <v>6984</v>
      </c>
      <c r="CZW37" t="s">
        <v>6984</v>
      </c>
      <c r="CZX37" t="s">
        <v>6984</v>
      </c>
      <c r="CZY37" t="s">
        <v>6984</v>
      </c>
      <c r="CZZ37" t="s">
        <v>6984</v>
      </c>
      <c r="DAA37" t="s">
        <v>6984</v>
      </c>
      <c r="DAB37" t="s">
        <v>6984</v>
      </c>
      <c r="DAC37" t="s">
        <v>6984</v>
      </c>
      <c r="DAD37" t="s">
        <v>6984</v>
      </c>
      <c r="DAE37" t="s">
        <v>6984</v>
      </c>
      <c r="DAF37" t="s">
        <v>6984</v>
      </c>
      <c r="DAG37" t="s">
        <v>6984</v>
      </c>
      <c r="DAH37" t="s">
        <v>6984</v>
      </c>
      <c r="DAI37" t="s">
        <v>6984</v>
      </c>
      <c r="DAJ37" t="s">
        <v>6984</v>
      </c>
      <c r="DAK37" t="s">
        <v>6984</v>
      </c>
      <c r="DAL37" t="s">
        <v>6984</v>
      </c>
      <c r="DAM37" t="s">
        <v>6984</v>
      </c>
      <c r="DAN37" t="s">
        <v>6984</v>
      </c>
      <c r="DAO37" t="s">
        <v>6984</v>
      </c>
      <c r="DAP37" t="s">
        <v>6984</v>
      </c>
      <c r="DAQ37" t="s">
        <v>6984</v>
      </c>
      <c r="DAR37" t="s">
        <v>6984</v>
      </c>
      <c r="DAS37" t="s">
        <v>6984</v>
      </c>
      <c r="DAT37" t="s">
        <v>6984</v>
      </c>
      <c r="DAU37" t="s">
        <v>6984</v>
      </c>
      <c r="DAV37" t="s">
        <v>6984</v>
      </c>
      <c r="DAW37" t="s">
        <v>6984</v>
      </c>
      <c r="DAX37" t="s">
        <v>6984</v>
      </c>
      <c r="DAY37" t="s">
        <v>6984</v>
      </c>
      <c r="DAZ37" t="s">
        <v>6984</v>
      </c>
      <c r="DBA37" t="s">
        <v>6984</v>
      </c>
      <c r="DBB37" t="s">
        <v>6984</v>
      </c>
      <c r="DBC37" t="s">
        <v>6984</v>
      </c>
      <c r="DBD37" t="s">
        <v>6984</v>
      </c>
      <c r="DBE37" t="s">
        <v>6984</v>
      </c>
      <c r="DBF37" t="s">
        <v>6984</v>
      </c>
      <c r="DBG37" t="s">
        <v>6984</v>
      </c>
      <c r="DBH37" t="s">
        <v>6984</v>
      </c>
      <c r="DBI37" t="s">
        <v>6984</v>
      </c>
      <c r="DBJ37" t="s">
        <v>6984</v>
      </c>
      <c r="DBK37" t="s">
        <v>6984</v>
      </c>
      <c r="DBL37" t="s">
        <v>6984</v>
      </c>
      <c r="DBM37" t="s">
        <v>6984</v>
      </c>
      <c r="DBN37" t="s">
        <v>6984</v>
      </c>
      <c r="DBO37" t="s">
        <v>6984</v>
      </c>
      <c r="DBP37" t="s">
        <v>6984</v>
      </c>
      <c r="DBQ37" t="s">
        <v>6984</v>
      </c>
      <c r="DBR37" t="s">
        <v>6984</v>
      </c>
      <c r="DBS37" t="s">
        <v>6984</v>
      </c>
      <c r="DBT37" t="s">
        <v>6984</v>
      </c>
      <c r="DBU37" t="s">
        <v>6984</v>
      </c>
      <c r="DBV37" t="s">
        <v>6984</v>
      </c>
      <c r="DBW37" t="s">
        <v>6984</v>
      </c>
      <c r="DBX37" t="s">
        <v>6984</v>
      </c>
      <c r="DBY37" t="s">
        <v>6984</v>
      </c>
      <c r="DBZ37" t="s">
        <v>6984</v>
      </c>
      <c r="DCA37" t="s">
        <v>6984</v>
      </c>
      <c r="DCB37" t="s">
        <v>6984</v>
      </c>
      <c r="DCC37" t="s">
        <v>6984</v>
      </c>
      <c r="DCD37" t="s">
        <v>6984</v>
      </c>
      <c r="DCE37" t="s">
        <v>6984</v>
      </c>
      <c r="DCF37" t="s">
        <v>6984</v>
      </c>
      <c r="DCG37" t="s">
        <v>6984</v>
      </c>
      <c r="DCH37" t="s">
        <v>6984</v>
      </c>
      <c r="DCI37" t="s">
        <v>6984</v>
      </c>
      <c r="DCJ37" t="s">
        <v>6984</v>
      </c>
      <c r="DCK37" t="s">
        <v>6984</v>
      </c>
      <c r="DCL37" t="s">
        <v>6984</v>
      </c>
      <c r="DCM37" t="s">
        <v>6984</v>
      </c>
      <c r="DCN37" t="s">
        <v>6984</v>
      </c>
      <c r="DCO37" t="s">
        <v>6984</v>
      </c>
      <c r="DCP37" t="s">
        <v>6984</v>
      </c>
      <c r="DCQ37" t="s">
        <v>6984</v>
      </c>
      <c r="DCR37" t="s">
        <v>6984</v>
      </c>
      <c r="DCS37" t="s">
        <v>6984</v>
      </c>
      <c r="DCT37" t="s">
        <v>6984</v>
      </c>
      <c r="DCU37" t="s">
        <v>6984</v>
      </c>
      <c r="DCV37" t="s">
        <v>6984</v>
      </c>
      <c r="DCW37" t="s">
        <v>6984</v>
      </c>
      <c r="DCX37" t="s">
        <v>6984</v>
      </c>
      <c r="DCY37" t="s">
        <v>6984</v>
      </c>
      <c r="DCZ37" t="s">
        <v>6984</v>
      </c>
      <c r="DDA37" t="s">
        <v>6984</v>
      </c>
      <c r="DDB37" t="s">
        <v>6984</v>
      </c>
      <c r="DDC37" t="s">
        <v>6984</v>
      </c>
      <c r="DDD37" t="s">
        <v>6984</v>
      </c>
      <c r="DDE37" t="s">
        <v>6984</v>
      </c>
      <c r="DDF37" t="s">
        <v>6984</v>
      </c>
      <c r="DDG37" t="s">
        <v>6984</v>
      </c>
      <c r="DDH37" t="s">
        <v>6984</v>
      </c>
      <c r="DDI37" t="s">
        <v>6984</v>
      </c>
      <c r="DDJ37" t="s">
        <v>6984</v>
      </c>
      <c r="DDK37" t="s">
        <v>6984</v>
      </c>
      <c r="DDL37" t="s">
        <v>6984</v>
      </c>
      <c r="DDM37" t="s">
        <v>6984</v>
      </c>
      <c r="DDN37" t="s">
        <v>6984</v>
      </c>
      <c r="DDO37" t="s">
        <v>6984</v>
      </c>
      <c r="DDP37" t="s">
        <v>6984</v>
      </c>
      <c r="DDQ37" t="s">
        <v>6984</v>
      </c>
      <c r="DDR37" t="s">
        <v>6984</v>
      </c>
      <c r="DDS37" t="s">
        <v>6984</v>
      </c>
      <c r="DDT37" t="s">
        <v>6984</v>
      </c>
      <c r="DDU37" t="s">
        <v>6984</v>
      </c>
      <c r="DDV37" t="s">
        <v>6984</v>
      </c>
      <c r="DDW37" t="s">
        <v>6984</v>
      </c>
      <c r="DDX37" t="s">
        <v>6984</v>
      </c>
      <c r="DDY37" t="s">
        <v>6984</v>
      </c>
      <c r="DDZ37" t="s">
        <v>6984</v>
      </c>
      <c r="DEA37" t="s">
        <v>6984</v>
      </c>
      <c r="DEB37" t="s">
        <v>6984</v>
      </c>
      <c r="DEC37" t="s">
        <v>6984</v>
      </c>
      <c r="DED37" t="s">
        <v>6984</v>
      </c>
      <c r="DEE37" t="s">
        <v>6984</v>
      </c>
      <c r="DEF37" t="s">
        <v>6984</v>
      </c>
      <c r="DEG37" t="s">
        <v>6984</v>
      </c>
      <c r="DEH37" t="s">
        <v>6984</v>
      </c>
      <c r="DEI37" t="s">
        <v>6984</v>
      </c>
      <c r="DEJ37" t="s">
        <v>6984</v>
      </c>
      <c r="DEK37" t="s">
        <v>6984</v>
      </c>
      <c r="DEL37" t="s">
        <v>6984</v>
      </c>
      <c r="DEM37" t="s">
        <v>6984</v>
      </c>
      <c r="DEN37" t="s">
        <v>6984</v>
      </c>
      <c r="DEO37" t="s">
        <v>6984</v>
      </c>
      <c r="DEP37" t="s">
        <v>6984</v>
      </c>
      <c r="DEQ37" t="s">
        <v>6984</v>
      </c>
      <c r="DER37" t="s">
        <v>6984</v>
      </c>
      <c r="DES37" t="s">
        <v>6984</v>
      </c>
      <c r="DET37" t="s">
        <v>6984</v>
      </c>
      <c r="DEU37" t="s">
        <v>6984</v>
      </c>
      <c r="DEV37" t="s">
        <v>6984</v>
      </c>
      <c r="DEW37" t="s">
        <v>6984</v>
      </c>
      <c r="DEX37" t="s">
        <v>6984</v>
      </c>
      <c r="DEY37" t="s">
        <v>6984</v>
      </c>
      <c r="DEZ37" t="s">
        <v>6984</v>
      </c>
      <c r="DFA37" t="s">
        <v>6984</v>
      </c>
      <c r="DFB37" t="s">
        <v>6984</v>
      </c>
      <c r="DFC37" t="s">
        <v>6984</v>
      </c>
      <c r="DFD37" t="s">
        <v>6984</v>
      </c>
      <c r="DFE37" t="s">
        <v>6984</v>
      </c>
      <c r="DFF37" t="s">
        <v>6984</v>
      </c>
      <c r="DFG37" t="s">
        <v>6984</v>
      </c>
      <c r="DFH37" t="s">
        <v>6984</v>
      </c>
      <c r="DFI37" t="s">
        <v>6984</v>
      </c>
      <c r="DFJ37" t="s">
        <v>6984</v>
      </c>
      <c r="DFK37" t="s">
        <v>6984</v>
      </c>
      <c r="DFL37" t="s">
        <v>6984</v>
      </c>
      <c r="DFM37" t="s">
        <v>6984</v>
      </c>
      <c r="DFN37" t="s">
        <v>6984</v>
      </c>
      <c r="DFO37" t="s">
        <v>6984</v>
      </c>
      <c r="DFP37" t="s">
        <v>6984</v>
      </c>
      <c r="DFQ37" t="s">
        <v>6984</v>
      </c>
      <c r="DFR37" t="s">
        <v>6984</v>
      </c>
      <c r="DFS37" t="s">
        <v>6984</v>
      </c>
      <c r="DFT37" t="s">
        <v>6984</v>
      </c>
      <c r="DFU37" t="s">
        <v>6984</v>
      </c>
      <c r="DFV37" t="s">
        <v>6984</v>
      </c>
      <c r="DFW37" t="s">
        <v>6984</v>
      </c>
      <c r="DFX37" t="s">
        <v>6984</v>
      </c>
      <c r="DFY37" t="s">
        <v>6984</v>
      </c>
      <c r="DFZ37" t="s">
        <v>6984</v>
      </c>
      <c r="DGA37" t="s">
        <v>6984</v>
      </c>
      <c r="DGB37" t="s">
        <v>6984</v>
      </c>
      <c r="DGC37" t="s">
        <v>6984</v>
      </c>
      <c r="DGD37" t="s">
        <v>6984</v>
      </c>
      <c r="DGE37" t="s">
        <v>6984</v>
      </c>
      <c r="DGF37" t="s">
        <v>6984</v>
      </c>
      <c r="DGG37" t="s">
        <v>6984</v>
      </c>
      <c r="DGH37" t="s">
        <v>6984</v>
      </c>
      <c r="DGI37" t="s">
        <v>6984</v>
      </c>
      <c r="DGJ37" t="s">
        <v>6984</v>
      </c>
      <c r="DGK37" t="s">
        <v>6984</v>
      </c>
      <c r="DGL37" t="s">
        <v>6984</v>
      </c>
      <c r="DGM37" t="s">
        <v>6984</v>
      </c>
      <c r="DGN37" t="s">
        <v>6984</v>
      </c>
      <c r="DGO37" t="s">
        <v>6984</v>
      </c>
      <c r="DGP37" t="s">
        <v>6984</v>
      </c>
      <c r="DGQ37" t="s">
        <v>6984</v>
      </c>
      <c r="DGR37" t="s">
        <v>6984</v>
      </c>
      <c r="DGS37" t="s">
        <v>6984</v>
      </c>
      <c r="DGT37" t="s">
        <v>6984</v>
      </c>
      <c r="DGU37" t="s">
        <v>6984</v>
      </c>
      <c r="DGV37" t="s">
        <v>6984</v>
      </c>
      <c r="DGW37" t="s">
        <v>6984</v>
      </c>
      <c r="DGX37" t="s">
        <v>6984</v>
      </c>
      <c r="DGY37" t="s">
        <v>6984</v>
      </c>
      <c r="DGZ37" t="s">
        <v>6984</v>
      </c>
      <c r="DHA37" t="s">
        <v>6984</v>
      </c>
      <c r="DHB37" t="s">
        <v>6984</v>
      </c>
      <c r="DHC37" t="s">
        <v>6984</v>
      </c>
      <c r="DHD37" t="s">
        <v>6984</v>
      </c>
      <c r="DHE37" t="s">
        <v>6984</v>
      </c>
      <c r="DHF37" t="s">
        <v>6984</v>
      </c>
      <c r="DHG37" t="s">
        <v>6984</v>
      </c>
      <c r="DHH37" t="s">
        <v>6984</v>
      </c>
      <c r="DHI37" t="s">
        <v>6984</v>
      </c>
      <c r="DHJ37" t="s">
        <v>6984</v>
      </c>
      <c r="DHK37" t="s">
        <v>6984</v>
      </c>
      <c r="DHL37" t="s">
        <v>6984</v>
      </c>
      <c r="DHM37" t="s">
        <v>6984</v>
      </c>
      <c r="DHN37" t="s">
        <v>6984</v>
      </c>
      <c r="DHO37" t="s">
        <v>6984</v>
      </c>
      <c r="DHP37" t="s">
        <v>6984</v>
      </c>
      <c r="DHQ37" t="s">
        <v>6984</v>
      </c>
      <c r="DHR37" t="s">
        <v>6984</v>
      </c>
      <c r="DHS37" t="s">
        <v>6984</v>
      </c>
      <c r="DHT37" t="s">
        <v>6984</v>
      </c>
      <c r="DHU37" t="s">
        <v>6984</v>
      </c>
      <c r="DHV37" t="s">
        <v>6984</v>
      </c>
      <c r="DHW37" t="s">
        <v>6984</v>
      </c>
      <c r="DHX37" t="s">
        <v>6984</v>
      </c>
      <c r="DHY37" t="s">
        <v>6984</v>
      </c>
      <c r="DHZ37" t="s">
        <v>6984</v>
      </c>
      <c r="DIA37" t="s">
        <v>6984</v>
      </c>
      <c r="DIB37" t="s">
        <v>6984</v>
      </c>
      <c r="DIC37" t="s">
        <v>6984</v>
      </c>
      <c r="DID37" t="s">
        <v>6984</v>
      </c>
      <c r="DIE37" t="s">
        <v>6984</v>
      </c>
      <c r="DIF37" t="s">
        <v>6984</v>
      </c>
      <c r="DIG37" t="s">
        <v>6984</v>
      </c>
      <c r="DIH37" t="s">
        <v>6984</v>
      </c>
      <c r="DII37" t="s">
        <v>6984</v>
      </c>
      <c r="DIJ37" t="s">
        <v>6984</v>
      </c>
      <c r="DIK37" t="s">
        <v>6984</v>
      </c>
      <c r="DIL37" t="s">
        <v>6984</v>
      </c>
      <c r="DIM37" t="s">
        <v>6984</v>
      </c>
      <c r="DIN37" t="s">
        <v>6984</v>
      </c>
      <c r="DIO37" t="s">
        <v>6984</v>
      </c>
      <c r="DIP37" t="s">
        <v>6984</v>
      </c>
      <c r="DIQ37" t="s">
        <v>6984</v>
      </c>
      <c r="DIR37" t="s">
        <v>6984</v>
      </c>
      <c r="DIS37" t="s">
        <v>6984</v>
      </c>
      <c r="DIT37" t="s">
        <v>6984</v>
      </c>
      <c r="DIU37" t="s">
        <v>6984</v>
      </c>
      <c r="DIV37" t="s">
        <v>6984</v>
      </c>
      <c r="DIW37" t="s">
        <v>6984</v>
      </c>
      <c r="DIX37" t="s">
        <v>6984</v>
      </c>
      <c r="DIY37" t="s">
        <v>6984</v>
      </c>
      <c r="DIZ37" t="s">
        <v>6984</v>
      </c>
      <c r="DJA37" t="s">
        <v>6984</v>
      </c>
      <c r="DJB37" t="s">
        <v>6984</v>
      </c>
      <c r="DJC37" t="s">
        <v>6984</v>
      </c>
      <c r="DJD37" t="s">
        <v>6984</v>
      </c>
      <c r="DJE37" t="s">
        <v>6984</v>
      </c>
      <c r="DJF37" t="s">
        <v>6984</v>
      </c>
      <c r="DJG37" t="s">
        <v>6984</v>
      </c>
      <c r="DJH37" t="s">
        <v>6984</v>
      </c>
      <c r="DJI37" t="s">
        <v>6984</v>
      </c>
      <c r="DJJ37" t="s">
        <v>6984</v>
      </c>
      <c r="DJK37" t="s">
        <v>6984</v>
      </c>
      <c r="DJL37" t="s">
        <v>6984</v>
      </c>
      <c r="DJM37" t="s">
        <v>6984</v>
      </c>
      <c r="DJN37" t="s">
        <v>6984</v>
      </c>
      <c r="DJO37" t="s">
        <v>6984</v>
      </c>
      <c r="DJP37" t="s">
        <v>6984</v>
      </c>
      <c r="DJQ37" t="s">
        <v>6984</v>
      </c>
      <c r="DJR37" t="s">
        <v>6984</v>
      </c>
      <c r="DJS37" t="s">
        <v>6984</v>
      </c>
      <c r="DJT37" t="s">
        <v>6984</v>
      </c>
      <c r="DJU37" t="s">
        <v>6984</v>
      </c>
      <c r="DJV37" t="s">
        <v>6984</v>
      </c>
      <c r="DJW37" t="s">
        <v>6984</v>
      </c>
      <c r="DJX37" t="s">
        <v>6984</v>
      </c>
      <c r="DJY37" t="s">
        <v>6984</v>
      </c>
      <c r="DJZ37" t="s">
        <v>6984</v>
      </c>
      <c r="DKA37" t="s">
        <v>6984</v>
      </c>
      <c r="DKB37" t="s">
        <v>6984</v>
      </c>
      <c r="DKC37" t="s">
        <v>6984</v>
      </c>
      <c r="DKD37" t="s">
        <v>6984</v>
      </c>
      <c r="DKE37" t="s">
        <v>6984</v>
      </c>
      <c r="DKF37" t="s">
        <v>6984</v>
      </c>
      <c r="DKG37" t="s">
        <v>6984</v>
      </c>
      <c r="DKH37" t="s">
        <v>6984</v>
      </c>
      <c r="DKI37" t="s">
        <v>6984</v>
      </c>
      <c r="DKJ37" t="s">
        <v>6984</v>
      </c>
      <c r="DKK37" t="s">
        <v>6984</v>
      </c>
      <c r="DKL37" t="s">
        <v>6984</v>
      </c>
      <c r="DKM37" t="s">
        <v>6984</v>
      </c>
      <c r="DKN37" t="s">
        <v>6984</v>
      </c>
      <c r="DKO37" t="s">
        <v>6984</v>
      </c>
      <c r="DKP37" t="s">
        <v>6984</v>
      </c>
      <c r="DKQ37" t="s">
        <v>6984</v>
      </c>
      <c r="DKR37" t="s">
        <v>6984</v>
      </c>
      <c r="DKS37" t="s">
        <v>6984</v>
      </c>
      <c r="DKT37" t="s">
        <v>6984</v>
      </c>
      <c r="DKU37" t="s">
        <v>6984</v>
      </c>
      <c r="DKV37" t="s">
        <v>6984</v>
      </c>
      <c r="DKW37" t="s">
        <v>6984</v>
      </c>
      <c r="DKX37" t="s">
        <v>6984</v>
      </c>
      <c r="DKY37" t="s">
        <v>6984</v>
      </c>
      <c r="DKZ37" t="s">
        <v>6984</v>
      </c>
      <c r="DLA37" t="s">
        <v>6984</v>
      </c>
      <c r="DLB37" t="s">
        <v>6984</v>
      </c>
      <c r="DLC37" t="s">
        <v>6984</v>
      </c>
      <c r="DLD37" t="s">
        <v>6984</v>
      </c>
      <c r="DLE37" t="s">
        <v>6984</v>
      </c>
      <c r="DLF37" t="s">
        <v>6984</v>
      </c>
      <c r="DLG37" t="s">
        <v>6984</v>
      </c>
      <c r="DLH37" t="s">
        <v>6984</v>
      </c>
      <c r="DLI37" t="s">
        <v>6984</v>
      </c>
      <c r="DLJ37" t="s">
        <v>6984</v>
      </c>
      <c r="DLK37" t="s">
        <v>6984</v>
      </c>
      <c r="DLL37" t="s">
        <v>6984</v>
      </c>
      <c r="DLM37" t="s">
        <v>6984</v>
      </c>
      <c r="DLN37" t="s">
        <v>6984</v>
      </c>
      <c r="DLO37" t="s">
        <v>6984</v>
      </c>
      <c r="DLP37" t="s">
        <v>6984</v>
      </c>
      <c r="DLQ37" t="s">
        <v>6984</v>
      </c>
      <c r="DLR37" t="s">
        <v>6984</v>
      </c>
      <c r="DLS37" t="s">
        <v>6984</v>
      </c>
      <c r="DLT37" t="s">
        <v>6984</v>
      </c>
      <c r="DLU37" t="s">
        <v>6984</v>
      </c>
      <c r="DLV37" t="s">
        <v>6984</v>
      </c>
      <c r="DLW37" t="s">
        <v>6984</v>
      </c>
      <c r="DLX37" t="s">
        <v>6984</v>
      </c>
      <c r="DLY37" t="s">
        <v>6984</v>
      </c>
      <c r="DLZ37" t="s">
        <v>6984</v>
      </c>
      <c r="DMA37" t="s">
        <v>6984</v>
      </c>
      <c r="DMB37" t="s">
        <v>6984</v>
      </c>
      <c r="DMC37" t="s">
        <v>6984</v>
      </c>
      <c r="DMD37" t="s">
        <v>6984</v>
      </c>
      <c r="DME37" t="s">
        <v>6984</v>
      </c>
      <c r="DMF37" t="s">
        <v>6984</v>
      </c>
      <c r="DMG37" t="s">
        <v>6984</v>
      </c>
      <c r="DMH37" t="s">
        <v>6984</v>
      </c>
      <c r="DMI37" t="s">
        <v>6984</v>
      </c>
      <c r="DMJ37" t="s">
        <v>6984</v>
      </c>
      <c r="DMK37" t="s">
        <v>6984</v>
      </c>
      <c r="DML37" t="s">
        <v>6984</v>
      </c>
      <c r="DMM37" t="s">
        <v>6984</v>
      </c>
      <c r="DMN37" t="s">
        <v>6984</v>
      </c>
      <c r="DMO37" t="s">
        <v>6984</v>
      </c>
      <c r="DMP37" t="s">
        <v>6984</v>
      </c>
      <c r="DMQ37" t="s">
        <v>6984</v>
      </c>
      <c r="DMR37" t="s">
        <v>6984</v>
      </c>
      <c r="DMS37" t="s">
        <v>6984</v>
      </c>
      <c r="DMT37" t="s">
        <v>6984</v>
      </c>
      <c r="DMU37" t="s">
        <v>6984</v>
      </c>
      <c r="DMV37" t="s">
        <v>6984</v>
      </c>
      <c r="DMW37" t="s">
        <v>6984</v>
      </c>
      <c r="DMX37" t="s">
        <v>6984</v>
      </c>
      <c r="DMY37" t="s">
        <v>6984</v>
      </c>
      <c r="DMZ37" t="s">
        <v>6984</v>
      </c>
      <c r="DNA37" t="s">
        <v>6984</v>
      </c>
      <c r="DNB37" t="s">
        <v>6984</v>
      </c>
      <c r="DNC37" t="s">
        <v>6984</v>
      </c>
      <c r="DND37" t="s">
        <v>6984</v>
      </c>
      <c r="DNE37" t="s">
        <v>6984</v>
      </c>
      <c r="DNF37" t="s">
        <v>6984</v>
      </c>
      <c r="DNG37" t="s">
        <v>6984</v>
      </c>
      <c r="DNH37" t="s">
        <v>6984</v>
      </c>
      <c r="DNI37" t="s">
        <v>6984</v>
      </c>
      <c r="DNJ37" t="s">
        <v>6984</v>
      </c>
      <c r="DNK37" t="s">
        <v>6984</v>
      </c>
      <c r="DNL37" t="s">
        <v>6984</v>
      </c>
      <c r="DNM37" t="s">
        <v>6984</v>
      </c>
      <c r="DNN37" t="s">
        <v>6984</v>
      </c>
      <c r="DNO37" t="s">
        <v>6984</v>
      </c>
      <c r="DNP37" t="s">
        <v>6984</v>
      </c>
      <c r="DNQ37" t="s">
        <v>6984</v>
      </c>
      <c r="DNR37" t="s">
        <v>6984</v>
      </c>
      <c r="DNS37" t="s">
        <v>6984</v>
      </c>
      <c r="DNT37" t="s">
        <v>6984</v>
      </c>
      <c r="DNU37" t="s">
        <v>6984</v>
      </c>
      <c r="DNV37" t="s">
        <v>6984</v>
      </c>
      <c r="DNW37" t="s">
        <v>6984</v>
      </c>
      <c r="DNX37" t="s">
        <v>6984</v>
      </c>
      <c r="DNY37" t="s">
        <v>6984</v>
      </c>
      <c r="DNZ37" t="s">
        <v>6984</v>
      </c>
      <c r="DOA37" t="s">
        <v>6984</v>
      </c>
      <c r="DOB37" t="s">
        <v>6984</v>
      </c>
      <c r="DOC37" t="s">
        <v>6984</v>
      </c>
      <c r="DOD37" t="s">
        <v>6984</v>
      </c>
      <c r="DOE37" t="s">
        <v>6984</v>
      </c>
      <c r="DOF37" t="s">
        <v>6984</v>
      </c>
      <c r="DOG37" t="s">
        <v>6984</v>
      </c>
      <c r="DOH37" t="s">
        <v>6984</v>
      </c>
      <c r="DOI37" t="s">
        <v>6984</v>
      </c>
      <c r="DOJ37" t="s">
        <v>6984</v>
      </c>
      <c r="DOK37" t="s">
        <v>6984</v>
      </c>
      <c r="DOL37" t="s">
        <v>6984</v>
      </c>
      <c r="DOM37" t="s">
        <v>6984</v>
      </c>
      <c r="DON37" t="s">
        <v>6984</v>
      </c>
      <c r="DOO37" t="s">
        <v>6984</v>
      </c>
      <c r="DOP37" t="s">
        <v>6984</v>
      </c>
      <c r="DOQ37" t="s">
        <v>6984</v>
      </c>
      <c r="DOR37" t="s">
        <v>6984</v>
      </c>
      <c r="DOS37" t="s">
        <v>6984</v>
      </c>
      <c r="DOT37" t="s">
        <v>6984</v>
      </c>
      <c r="DOU37" t="s">
        <v>6984</v>
      </c>
      <c r="DOV37" t="s">
        <v>6984</v>
      </c>
      <c r="DOW37" t="s">
        <v>6984</v>
      </c>
      <c r="DOX37" t="s">
        <v>6984</v>
      </c>
      <c r="DOY37" t="s">
        <v>6984</v>
      </c>
      <c r="DOZ37" t="s">
        <v>6984</v>
      </c>
      <c r="DPA37" t="s">
        <v>6984</v>
      </c>
      <c r="DPB37" t="s">
        <v>6984</v>
      </c>
      <c r="DPC37" t="s">
        <v>6984</v>
      </c>
      <c r="DPD37" t="s">
        <v>6984</v>
      </c>
      <c r="DPE37" t="s">
        <v>6984</v>
      </c>
      <c r="DPF37" t="s">
        <v>6984</v>
      </c>
      <c r="DPG37" t="s">
        <v>6984</v>
      </c>
      <c r="DPH37" t="s">
        <v>6984</v>
      </c>
      <c r="DPI37" t="s">
        <v>6984</v>
      </c>
      <c r="DPJ37" t="s">
        <v>6984</v>
      </c>
      <c r="DPK37" t="s">
        <v>6984</v>
      </c>
      <c r="DPL37" t="s">
        <v>6984</v>
      </c>
      <c r="DPM37" t="s">
        <v>6984</v>
      </c>
      <c r="DPN37" t="s">
        <v>6984</v>
      </c>
      <c r="DPO37" t="s">
        <v>6984</v>
      </c>
      <c r="DPP37" t="s">
        <v>6984</v>
      </c>
      <c r="DPQ37" t="s">
        <v>6984</v>
      </c>
      <c r="DPR37" t="s">
        <v>6984</v>
      </c>
      <c r="DPS37" t="s">
        <v>6984</v>
      </c>
      <c r="DPT37" t="s">
        <v>6984</v>
      </c>
      <c r="DPU37" t="s">
        <v>6984</v>
      </c>
      <c r="DPV37" t="s">
        <v>6984</v>
      </c>
      <c r="DPW37" t="s">
        <v>6984</v>
      </c>
      <c r="DPX37" t="s">
        <v>6984</v>
      </c>
      <c r="DPY37" t="s">
        <v>6984</v>
      </c>
      <c r="DPZ37" t="s">
        <v>6984</v>
      </c>
      <c r="DQA37" t="s">
        <v>6984</v>
      </c>
      <c r="DQB37" t="s">
        <v>6984</v>
      </c>
      <c r="DQC37" t="s">
        <v>6984</v>
      </c>
      <c r="DQD37" t="s">
        <v>6984</v>
      </c>
      <c r="DQE37" t="s">
        <v>6984</v>
      </c>
      <c r="DQF37" t="s">
        <v>6984</v>
      </c>
      <c r="DQG37" t="s">
        <v>6984</v>
      </c>
      <c r="DQH37" t="s">
        <v>6984</v>
      </c>
      <c r="DQI37" t="s">
        <v>6984</v>
      </c>
      <c r="DQJ37" t="s">
        <v>6984</v>
      </c>
      <c r="DQK37" t="s">
        <v>6984</v>
      </c>
      <c r="DQL37" t="s">
        <v>6984</v>
      </c>
      <c r="DQM37" t="s">
        <v>6984</v>
      </c>
      <c r="DQN37" t="s">
        <v>6984</v>
      </c>
      <c r="DQO37" t="s">
        <v>6984</v>
      </c>
      <c r="DQP37" t="s">
        <v>6984</v>
      </c>
      <c r="DQQ37" t="s">
        <v>6984</v>
      </c>
      <c r="DQR37" t="s">
        <v>6984</v>
      </c>
      <c r="DQS37" t="s">
        <v>6984</v>
      </c>
      <c r="DQT37" t="s">
        <v>6984</v>
      </c>
      <c r="DQU37" t="s">
        <v>6984</v>
      </c>
      <c r="DQV37" t="s">
        <v>6984</v>
      </c>
      <c r="DQW37" t="s">
        <v>6984</v>
      </c>
      <c r="DQX37" t="s">
        <v>6984</v>
      </c>
      <c r="DQY37" t="s">
        <v>6984</v>
      </c>
      <c r="DQZ37" t="s">
        <v>6984</v>
      </c>
      <c r="DRA37" t="s">
        <v>6984</v>
      </c>
      <c r="DRB37" t="s">
        <v>6984</v>
      </c>
      <c r="DRC37" t="s">
        <v>6984</v>
      </c>
      <c r="DRD37" t="s">
        <v>6984</v>
      </c>
      <c r="DRE37" t="s">
        <v>6984</v>
      </c>
      <c r="DRF37" t="s">
        <v>6984</v>
      </c>
      <c r="DRG37" t="s">
        <v>6984</v>
      </c>
      <c r="DRH37" t="s">
        <v>6984</v>
      </c>
      <c r="DRI37" t="s">
        <v>6984</v>
      </c>
      <c r="DRJ37" t="s">
        <v>6984</v>
      </c>
      <c r="DRK37" t="s">
        <v>6984</v>
      </c>
      <c r="DRL37" t="s">
        <v>6984</v>
      </c>
      <c r="DRM37" t="s">
        <v>6984</v>
      </c>
      <c r="DRN37" t="s">
        <v>6984</v>
      </c>
      <c r="DRO37" t="s">
        <v>6984</v>
      </c>
      <c r="DRP37" t="s">
        <v>6984</v>
      </c>
      <c r="DRQ37" t="s">
        <v>6984</v>
      </c>
      <c r="DRR37" t="s">
        <v>6984</v>
      </c>
      <c r="DRS37" t="s">
        <v>6984</v>
      </c>
      <c r="DRT37" t="s">
        <v>6984</v>
      </c>
      <c r="DRU37" t="s">
        <v>6984</v>
      </c>
      <c r="DRV37" t="s">
        <v>6984</v>
      </c>
      <c r="DRW37" t="s">
        <v>6984</v>
      </c>
      <c r="DRX37" t="s">
        <v>6984</v>
      </c>
      <c r="DRY37" t="s">
        <v>6984</v>
      </c>
      <c r="DRZ37" t="s">
        <v>6984</v>
      </c>
      <c r="DSA37" t="s">
        <v>6984</v>
      </c>
      <c r="DSB37" t="s">
        <v>6984</v>
      </c>
      <c r="DSC37" t="s">
        <v>6984</v>
      </c>
      <c r="DSD37" t="s">
        <v>6984</v>
      </c>
      <c r="DSE37" t="s">
        <v>6984</v>
      </c>
      <c r="DSF37" t="s">
        <v>6984</v>
      </c>
      <c r="DSG37" t="s">
        <v>6984</v>
      </c>
      <c r="DSH37" t="s">
        <v>6984</v>
      </c>
      <c r="DSI37" t="s">
        <v>6984</v>
      </c>
      <c r="DSJ37" t="s">
        <v>6984</v>
      </c>
      <c r="DSK37" t="s">
        <v>6984</v>
      </c>
      <c r="DSL37" t="s">
        <v>6984</v>
      </c>
      <c r="DSM37" t="s">
        <v>6984</v>
      </c>
      <c r="DSN37" t="s">
        <v>6984</v>
      </c>
      <c r="DSO37" t="s">
        <v>6984</v>
      </c>
      <c r="DSP37" t="s">
        <v>6984</v>
      </c>
      <c r="DSQ37" t="s">
        <v>6984</v>
      </c>
      <c r="DSR37" t="s">
        <v>6984</v>
      </c>
      <c r="DSS37" t="s">
        <v>6984</v>
      </c>
      <c r="DST37" t="s">
        <v>6984</v>
      </c>
      <c r="DSU37" t="s">
        <v>6984</v>
      </c>
      <c r="DSV37" t="s">
        <v>6984</v>
      </c>
      <c r="DSW37" t="s">
        <v>6984</v>
      </c>
      <c r="DSX37" t="s">
        <v>6984</v>
      </c>
      <c r="DSY37" t="s">
        <v>6984</v>
      </c>
      <c r="DSZ37" t="s">
        <v>6984</v>
      </c>
      <c r="DTA37" t="s">
        <v>6984</v>
      </c>
      <c r="DTB37" t="s">
        <v>6984</v>
      </c>
      <c r="DTC37" t="s">
        <v>6984</v>
      </c>
      <c r="DTD37" t="s">
        <v>6984</v>
      </c>
      <c r="DTE37" t="s">
        <v>6984</v>
      </c>
      <c r="DTF37" t="s">
        <v>6984</v>
      </c>
      <c r="DTG37" t="s">
        <v>6984</v>
      </c>
      <c r="DTH37" t="s">
        <v>6984</v>
      </c>
      <c r="DTI37" t="s">
        <v>6984</v>
      </c>
      <c r="DTJ37" t="s">
        <v>6984</v>
      </c>
      <c r="DTK37" t="s">
        <v>6984</v>
      </c>
      <c r="DTL37" t="s">
        <v>6984</v>
      </c>
      <c r="DTM37" t="s">
        <v>6984</v>
      </c>
      <c r="DTN37" t="s">
        <v>6984</v>
      </c>
      <c r="DTO37" t="s">
        <v>6984</v>
      </c>
      <c r="DTP37" t="s">
        <v>6984</v>
      </c>
      <c r="DTQ37" t="s">
        <v>6984</v>
      </c>
      <c r="DTR37" t="s">
        <v>6984</v>
      </c>
      <c r="DTS37" t="s">
        <v>6984</v>
      </c>
      <c r="DTT37" t="s">
        <v>6984</v>
      </c>
      <c r="DTU37" t="s">
        <v>6984</v>
      </c>
      <c r="DTV37" t="s">
        <v>6984</v>
      </c>
      <c r="DTW37" t="s">
        <v>6984</v>
      </c>
      <c r="DTX37" t="s">
        <v>6984</v>
      </c>
      <c r="DTY37" t="s">
        <v>6984</v>
      </c>
      <c r="DTZ37" t="s">
        <v>6984</v>
      </c>
      <c r="DUA37" t="s">
        <v>6984</v>
      </c>
      <c r="DUB37" t="s">
        <v>6984</v>
      </c>
      <c r="DUC37" t="s">
        <v>6984</v>
      </c>
      <c r="DUD37" t="s">
        <v>6984</v>
      </c>
      <c r="DUE37" t="s">
        <v>6984</v>
      </c>
      <c r="DUF37" t="s">
        <v>6984</v>
      </c>
      <c r="DUG37" t="s">
        <v>6984</v>
      </c>
      <c r="DUH37" t="s">
        <v>6984</v>
      </c>
      <c r="DUI37" t="s">
        <v>6984</v>
      </c>
      <c r="DUJ37" t="s">
        <v>6984</v>
      </c>
      <c r="DUK37" t="s">
        <v>6984</v>
      </c>
      <c r="DUL37" t="s">
        <v>6984</v>
      </c>
      <c r="DUM37" t="s">
        <v>6984</v>
      </c>
      <c r="DUN37" t="s">
        <v>6984</v>
      </c>
      <c r="DUO37" t="s">
        <v>6984</v>
      </c>
      <c r="DUP37" t="s">
        <v>6984</v>
      </c>
      <c r="DUQ37" t="s">
        <v>6984</v>
      </c>
      <c r="DUR37" t="s">
        <v>6984</v>
      </c>
      <c r="DUS37" t="s">
        <v>6984</v>
      </c>
      <c r="DUT37" t="s">
        <v>6984</v>
      </c>
      <c r="DUU37" t="s">
        <v>6984</v>
      </c>
      <c r="DUV37" t="s">
        <v>6984</v>
      </c>
      <c r="DUW37" t="s">
        <v>6984</v>
      </c>
      <c r="DUX37" t="s">
        <v>6984</v>
      </c>
      <c r="DUY37" t="s">
        <v>6984</v>
      </c>
      <c r="DUZ37" t="s">
        <v>6984</v>
      </c>
      <c r="DVA37" t="s">
        <v>6984</v>
      </c>
      <c r="DVB37" t="s">
        <v>6984</v>
      </c>
      <c r="DVC37" t="s">
        <v>6984</v>
      </c>
      <c r="DVD37" t="s">
        <v>6984</v>
      </c>
      <c r="DVE37" t="s">
        <v>6984</v>
      </c>
      <c r="DVF37" t="s">
        <v>6984</v>
      </c>
      <c r="DVG37" t="s">
        <v>6984</v>
      </c>
      <c r="DVH37" t="s">
        <v>6984</v>
      </c>
      <c r="DVI37" t="s">
        <v>6984</v>
      </c>
      <c r="DVJ37" t="s">
        <v>6984</v>
      </c>
      <c r="DVK37" t="s">
        <v>6984</v>
      </c>
      <c r="DVL37" t="s">
        <v>6984</v>
      </c>
      <c r="DVM37" t="s">
        <v>6984</v>
      </c>
      <c r="DVN37" t="s">
        <v>6984</v>
      </c>
      <c r="DVO37" t="s">
        <v>6984</v>
      </c>
      <c r="DVP37" t="s">
        <v>6984</v>
      </c>
      <c r="DVQ37" t="s">
        <v>6984</v>
      </c>
      <c r="DVR37" t="s">
        <v>6984</v>
      </c>
      <c r="DVS37" t="s">
        <v>6984</v>
      </c>
      <c r="DVT37" t="s">
        <v>6984</v>
      </c>
      <c r="DVU37" t="s">
        <v>6984</v>
      </c>
      <c r="DVV37" t="s">
        <v>6984</v>
      </c>
      <c r="DVW37" t="s">
        <v>6984</v>
      </c>
      <c r="DVX37" t="s">
        <v>6984</v>
      </c>
      <c r="DVY37" t="s">
        <v>6984</v>
      </c>
      <c r="DVZ37" t="s">
        <v>6984</v>
      </c>
      <c r="DWA37" t="s">
        <v>6984</v>
      </c>
      <c r="DWB37" t="s">
        <v>6984</v>
      </c>
      <c r="DWC37" t="s">
        <v>6984</v>
      </c>
      <c r="DWD37" t="s">
        <v>6984</v>
      </c>
      <c r="DWE37" t="s">
        <v>6984</v>
      </c>
      <c r="DWF37" t="s">
        <v>6984</v>
      </c>
      <c r="DWG37" t="s">
        <v>6984</v>
      </c>
      <c r="DWH37" t="s">
        <v>6984</v>
      </c>
      <c r="DWI37" t="s">
        <v>6984</v>
      </c>
      <c r="DWJ37" t="s">
        <v>6984</v>
      </c>
      <c r="DWK37" t="s">
        <v>6984</v>
      </c>
      <c r="DWL37" t="s">
        <v>6984</v>
      </c>
      <c r="DWM37" t="s">
        <v>6984</v>
      </c>
      <c r="DWN37" t="s">
        <v>6984</v>
      </c>
      <c r="DWO37" t="s">
        <v>6984</v>
      </c>
      <c r="DWP37" t="s">
        <v>6984</v>
      </c>
      <c r="DWQ37" t="s">
        <v>6984</v>
      </c>
      <c r="DWR37" t="s">
        <v>6984</v>
      </c>
      <c r="DWS37" t="s">
        <v>6984</v>
      </c>
      <c r="DWT37" t="s">
        <v>6984</v>
      </c>
      <c r="DWU37" t="s">
        <v>6984</v>
      </c>
      <c r="DWV37" t="s">
        <v>6984</v>
      </c>
      <c r="DWW37" t="s">
        <v>6984</v>
      </c>
      <c r="DWX37" t="s">
        <v>6984</v>
      </c>
      <c r="DWY37" t="s">
        <v>6984</v>
      </c>
      <c r="DWZ37" t="s">
        <v>6984</v>
      </c>
      <c r="DXA37" t="s">
        <v>6984</v>
      </c>
      <c r="DXB37" t="s">
        <v>6984</v>
      </c>
      <c r="DXC37" t="s">
        <v>6984</v>
      </c>
      <c r="DXD37" t="s">
        <v>6984</v>
      </c>
      <c r="DXE37" t="s">
        <v>6984</v>
      </c>
      <c r="DXF37" t="s">
        <v>6984</v>
      </c>
      <c r="DXG37" t="s">
        <v>6984</v>
      </c>
      <c r="DXH37" t="s">
        <v>6984</v>
      </c>
      <c r="DXI37" t="s">
        <v>6984</v>
      </c>
      <c r="DXJ37" t="s">
        <v>6984</v>
      </c>
      <c r="DXK37" t="s">
        <v>6984</v>
      </c>
      <c r="DXL37" t="s">
        <v>6984</v>
      </c>
      <c r="DXM37" t="s">
        <v>6984</v>
      </c>
      <c r="DXN37" t="s">
        <v>6984</v>
      </c>
      <c r="DXO37" t="s">
        <v>6984</v>
      </c>
      <c r="DXP37" t="s">
        <v>6984</v>
      </c>
      <c r="DXQ37" t="s">
        <v>6984</v>
      </c>
      <c r="DXR37" t="s">
        <v>6984</v>
      </c>
      <c r="DXS37" t="s">
        <v>6984</v>
      </c>
      <c r="DXT37" t="s">
        <v>6984</v>
      </c>
      <c r="DXU37" t="s">
        <v>6984</v>
      </c>
      <c r="DXV37" t="s">
        <v>6984</v>
      </c>
      <c r="DXW37" t="s">
        <v>6984</v>
      </c>
      <c r="DXX37" t="s">
        <v>6984</v>
      </c>
      <c r="DXY37" t="s">
        <v>6984</v>
      </c>
      <c r="DXZ37" t="s">
        <v>6984</v>
      </c>
      <c r="DYA37" t="s">
        <v>6984</v>
      </c>
      <c r="DYB37" t="s">
        <v>6984</v>
      </c>
      <c r="DYC37" t="s">
        <v>6984</v>
      </c>
      <c r="DYD37" t="s">
        <v>6984</v>
      </c>
      <c r="DYE37" t="s">
        <v>6984</v>
      </c>
      <c r="DYF37" t="s">
        <v>6984</v>
      </c>
      <c r="DYG37" t="s">
        <v>6984</v>
      </c>
      <c r="DYH37" t="s">
        <v>6984</v>
      </c>
      <c r="DYI37" t="s">
        <v>6984</v>
      </c>
      <c r="DYJ37" t="s">
        <v>6984</v>
      </c>
      <c r="DYK37" t="s">
        <v>6984</v>
      </c>
      <c r="DYL37" t="s">
        <v>6984</v>
      </c>
      <c r="DYM37" t="s">
        <v>6984</v>
      </c>
      <c r="DYN37" t="s">
        <v>6984</v>
      </c>
      <c r="DYO37" t="s">
        <v>6984</v>
      </c>
      <c r="DYP37" t="s">
        <v>6984</v>
      </c>
      <c r="DYQ37" t="s">
        <v>6984</v>
      </c>
      <c r="DYR37" t="s">
        <v>6984</v>
      </c>
      <c r="DYS37" t="s">
        <v>6984</v>
      </c>
      <c r="DYT37" t="s">
        <v>6984</v>
      </c>
      <c r="DYU37" t="s">
        <v>6984</v>
      </c>
      <c r="DYV37" t="s">
        <v>6984</v>
      </c>
      <c r="DYW37" t="s">
        <v>6984</v>
      </c>
      <c r="DYX37" t="s">
        <v>6984</v>
      </c>
      <c r="DYY37" t="s">
        <v>6984</v>
      </c>
      <c r="DYZ37" t="s">
        <v>6984</v>
      </c>
      <c r="DZA37" t="s">
        <v>6984</v>
      </c>
      <c r="DZB37" t="s">
        <v>6984</v>
      </c>
      <c r="DZC37" t="s">
        <v>6984</v>
      </c>
      <c r="DZD37" t="s">
        <v>6984</v>
      </c>
      <c r="DZE37" t="s">
        <v>6984</v>
      </c>
      <c r="DZF37" t="s">
        <v>6984</v>
      </c>
      <c r="DZG37" t="s">
        <v>6984</v>
      </c>
      <c r="DZH37" t="s">
        <v>6984</v>
      </c>
      <c r="DZI37" t="s">
        <v>6984</v>
      </c>
      <c r="DZJ37" t="s">
        <v>6984</v>
      </c>
      <c r="DZK37" t="s">
        <v>6984</v>
      </c>
      <c r="DZL37" t="s">
        <v>6984</v>
      </c>
      <c r="DZM37" t="s">
        <v>6984</v>
      </c>
      <c r="DZN37" t="s">
        <v>6984</v>
      </c>
      <c r="DZO37" t="s">
        <v>6984</v>
      </c>
      <c r="DZP37" t="s">
        <v>6984</v>
      </c>
      <c r="DZQ37" t="s">
        <v>6984</v>
      </c>
      <c r="DZR37" t="s">
        <v>6984</v>
      </c>
      <c r="DZS37" t="s">
        <v>6984</v>
      </c>
      <c r="DZT37" t="s">
        <v>6984</v>
      </c>
      <c r="DZU37" t="s">
        <v>6984</v>
      </c>
      <c r="DZV37" t="s">
        <v>6984</v>
      </c>
      <c r="DZW37" t="s">
        <v>6984</v>
      </c>
      <c r="DZX37" t="s">
        <v>6984</v>
      </c>
      <c r="DZY37" t="s">
        <v>6984</v>
      </c>
      <c r="DZZ37" t="s">
        <v>6984</v>
      </c>
      <c r="EAA37" t="s">
        <v>6984</v>
      </c>
      <c r="EAB37" t="s">
        <v>6984</v>
      </c>
      <c r="EAC37" t="s">
        <v>6984</v>
      </c>
      <c r="EAD37" t="s">
        <v>6984</v>
      </c>
      <c r="EAE37" t="s">
        <v>6984</v>
      </c>
      <c r="EAF37" t="s">
        <v>6984</v>
      </c>
      <c r="EAG37" t="s">
        <v>6984</v>
      </c>
      <c r="EAH37" t="s">
        <v>6984</v>
      </c>
      <c r="EAI37" t="s">
        <v>6984</v>
      </c>
      <c r="EAJ37" t="s">
        <v>6984</v>
      </c>
      <c r="EAK37" t="s">
        <v>6984</v>
      </c>
      <c r="EAL37" t="s">
        <v>6984</v>
      </c>
      <c r="EAM37" t="s">
        <v>6984</v>
      </c>
      <c r="EAN37" t="s">
        <v>6984</v>
      </c>
      <c r="EAO37" t="s">
        <v>6984</v>
      </c>
      <c r="EAP37" t="s">
        <v>6984</v>
      </c>
      <c r="EAQ37" t="s">
        <v>6984</v>
      </c>
      <c r="EAR37" t="s">
        <v>6984</v>
      </c>
      <c r="EAS37" t="s">
        <v>6984</v>
      </c>
      <c r="EAT37" t="s">
        <v>6984</v>
      </c>
      <c r="EAU37" t="s">
        <v>6984</v>
      </c>
      <c r="EAV37" t="s">
        <v>6984</v>
      </c>
      <c r="EAW37" t="s">
        <v>6984</v>
      </c>
      <c r="EAX37" t="s">
        <v>6984</v>
      </c>
      <c r="EAY37" t="s">
        <v>6984</v>
      </c>
      <c r="EAZ37" t="s">
        <v>6984</v>
      </c>
      <c r="EBA37" t="s">
        <v>6984</v>
      </c>
      <c r="EBB37" t="s">
        <v>6984</v>
      </c>
      <c r="EBC37" t="s">
        <v>6984</v>
      </c>
      <c r="EBD37" t="s">
        <v>6984</v>
      </c>
      <c r="EBE37" t="s">
        <v>6984</v>
      </c>
      <c r="EBF37" t="s">
        <v>6984</v>
      </c>
      <c r="EBG37" t="s">
        <v>6984</v>
      </c>
      <c r="EBH37" t="s">
        <v>6984</v>
      </c>
      <c r="EBI37" t="s">
        <v>6984</v>
      </c>
      <c r="EBJ37" t="s">
        <v>6984</v>
      </c>
      <c r="EBK37" t="s">
        <v>6984</v>
      </c>
      <c r="EBL37" t="s">
        <v>6984</v>
      </c>
      <c r="EBM37" t="s">
        <v>6984</v>
      </c>
      <c r="EBN37" t="s">
        <v>6984</v>
      </c>
      <c r="EBO37" t="s">
        <v>6984</v>
      </c>
      <c r="EBP37" t="s">
        <v>6984</v>
      </c>
      <c r="EBQ37" t="s">
        <v>6984</v>
      </c>
      <c r="EBR37" t="s">
        <v>6984</v>
      </c>
      <c r="EBS37" t="s">
        <v>6984</v>
      </c>
      <c r="EBT37" t="s">
        <v>6984</v>
      </c>
      <c r="EBU37" t="s">
        <v>6984</v>
      </c>
      <c r="EBV37" t="s">
        <v>6984</v>
      </c>
      <c r="EBW37" t="s">
        <v>6984</v>
      </c>
      <c r="EBX37" t="s">
        <v>6984</v>
      </c>
      <c r="EBY37" t="s">
        <v>6984</v>
      </c>
      <c r="EBZ37" t="s">
        <v>6984</v>
      </c>
      <c r="ECA37" t="s">
        <v>6984</v>
      </c>
      <c r="ECB37" t="s">
        <v>6984</v>
      </c>
      <c r="ECC37" t="s">
        <v>6984</v>
      </c>
      <c r="ECD37" t="s">
        <v>6984</v>
      </c>
      <c r="ECE37" t="s">
        <v>6984</v>
      </c>
      <c r="ECF37" t="s">
        <v>6984</v>
      </c>
      <c r="ECG37" t="s">
        <v>6984</v>
      </c>
      <c r="ECH37" t="s">
        <v>6984</v>
      </c>
      <c r="ECI37" t="s">
        <v>6984</v>
      </c>
      <c r="ECJ37" t="s">
        <v>6984</v>
      </c>
      <c r="ECK37" t="s">
        <v>6984</v>
      </c>
      <c r="ECL37" t="s">
        <v>6984</v>
      </c>
      <c r="ECM37" t="s">
        <v>6984</v>
      </c>
      <c r="ECN37" t="s">
        <v>6984</v>
      </c>
      <c r="ECO37" t="s">
        <v>6984</v>
      </c>
      <c r="ECP37" t="s">
        <v>6984</v>
      </c>
      <c r="ECQ37" t="s">
        <v>6984</v>
      </c>
      <c r="ECR37" t="s">
        <v>6984</v>
      </c>
      <c r="ECS37" t="s">
        <v>6984</v>
      </c>
      <c r="ECT37" t="s">
        <v>6984</v>
      </c>
      <c r="ECU37" t="s">
        <v>6984</v>
      </c>
      <c r="ECV37" t="s">
        <v>6984</v>
      </c>
      <c r="ECW37" t="s">
        <v>6984</v>
      </c>
      <c r="ECX37" t="s">
        <v>6984</v>
      </c>
      <c r="ECY37" t="s">
        <v>6984</v>
      </c>
      <c r="ECZ37" t="s">
        <v>6984</v>
      </c>
      <c r="EDA37" t="s">
        <v>6984</v>
      </c>
      <c r="EDB37" t="s">
        <v>6984</v>
      </c>
      <c r="EDC37" t="s">
        <v>6984</v>
      </c>
      <c r="EDD37" t="s">
        <v>6984</v>
      </c>
      <c r="EDE37" t="s">
        <v>6984</v>
      </c>
      <c r="EDF37" t="s">
        <v>6984</v>
      </c>
      <c r="EDG37" t="s">
        <v>6984</v>
      </c>
      <c r="EDH37" t="s">
        <v>6984</v>
      </c>
      <c r="EDI37" t="s">
        <v>6984</v>
      </c>
      <c r="EDJ37" t="s">
        <v>6984</v>
      </c>
      <c r="EDK37" t="s">
        <v>6984</v>
      </c>
      <c r="EDL37" t="s">
        <v>6984</v>
      </c>
      <c r="EDM37" t="s">
        <v>6984</v>
      </c>
      <c r="EDN37" t="s">
        <v>6984</v>
      </c>
      <c r="EDO37" t="s">
        <v>6984</v>
      </c>
      <c r="EDP37" t="s">
        <v>6984</v>
      </c>
      <c r="EDQ37" t="s">
        <v>6984</v>
      </c>
      <c r="EDR37" t="s">
        <v>6984</v>
      </c>
      <c r="EDS37" t="s">
        <v>6984</v>
      </c>
      <c r="EDT37" t="s">
        <v>6984</v>
      </c>
      <c r="EDU37" t="s">
        <v>6984</v>
      </c>
      <c r="EDV37" t="s">
        <v>6984</v>
      </c>
      <c r="EDW37" t="s">
        <v>6984</v>
      </c>
      <c r="EDX37" t="s">
        <v>6984</v>
      </c>
      <c r="EDY37" t="s">
        <v>6984</v>
      </c>
      <c r="EDZ37" t="s">
        <v>6984</v>
      </c>
      <c r="EEA37" t="s">
        <v>6984</v>
      </c>
      <c r="EEB37" t="s">
        <v>6984</v>
      </c>
      <c r="EEC37" t="s">
        <v>6984</v>
      </c>
      <c r="EED37" t="s">
        <v>6984</v>
      </c>
      <c r="EEE37" t="s">
        <v>6984</v>
      </c>
      <c r="EEF37" t="s">
        <v>6984</v>
      </c>
      <c r="EEG37" t="s">
        <v>6984</v>
      </c>
      <c r="EEH37" t="s">
        <v>6984</v>
      </c>
      <c r="EEI37" t="s">
        <v>6984</v>
      </c>
      <c r="EEJ37" t="s">
        <v>6984</v>
      </c>
      <c r="EEK37" t="s">
        <v>6984</v>
      </c>
      <c r="EEL37" t="s">
        <v>6984</v>
      </c>
      <c r="EEM37" t="s">
        <v>6984</v>
      </c>
      <c r="EEN37" t="s">
        <v>6984</v>
      </c>
      <c r="EEO37" t="s">
        <v>6984</v>
      </c>
      <c r="EEP37" t="s">
        <v>6984</v>
      </c>
      <c r="EEQ37" t="s">
        <v>6984</v>
      </c>
      <c r="EER37" t="s">
        <v>6984</v>
      </c>
      <c r="EES37" t="s">
        <v>6984</v>
      </c>
      <c r="EET37" t="s">
        <v>6984</v>
      </c>
      <c r="EEU37" t="s">
        <v>6984</v>
      </c>
      <c r="EEV37" t="s">
        <v>6984</v>
      </c>
      <c r="EEW37" t="s">
        <v>6984</v>
      </c>
      <c r="EEX37" t="s">
        <v>6984</v>
      </c>
      <c r="EEY37" t="s">
        <v>6984</v>
      </c>
      <c r="EEZ37" t="s">
        <v>6984</v>
      </c>
      <c r="EFA37" t="s">
        <v>6984</v>
      </c>
      <c r="EFB37" t="s">
        <v>6984</v>
      </c>
      <c r="EFC37" t="s">
        <v>6984</v>
      </c>
      <c r="EFD37" t="s">
        <v>6984</v>
      </c>
      <c r="EFE37" t="s">
        <v>6984</v>
      </c>
      <c r="EFF37" t="s">
        <v>6984</v>
      </c>
      <c r="EFG37" t="s">
        <v>6984</v>
      </c>
      <c r="EFH37" t="s">
        <v>6984</v>
      </c>
      <c r="EFI37" t="s">
        <v>6984</v>
      </c>
      <c r="EFJ37" t="s">
        <v>6984</v>
      </c>
      <c r="EFK37" t="s">
        <v>6984</v>
      </c>
      <c r="EFL37" t="s">
        <v>6984</v>
      </c>
      <c r="EFM37" t="s">
        <v>6984</v>
      </c>
      <c r="EFN37" t="s">
        <v>6984</v>
      </c>
      <c r="EFO37" t="s">
        <v>6984</v>
      </c>
      <c r="EFP37" t="s">
        <v>6984</v>
      </c>
      <c r="EFQ37" t="s">
        <v>6984</v>
      </c>
      <c r="EFR37" t="s">
        <v>6984</v>
      </c>
      <c r="EFS37" t="s">
        <v>6984</v>
      </c>
      <c r="EFT37" t="s">
        <v>6984</v>
      </c>
      <c r="EFU37" t="s">
        <v>6984</v>
      </c>
      <c r="EFV37" t="s">
        <v>6984</v>
      </c>
      <c r="EFW37" t="s">
        <v>6984</v>
      </c>
      <c r="EFX37" t="s">
        <v>6984</v>
      </c>
      <c r="EFY37" t="s">
        <v>6984</v>
      </c>
      <c r="EFZ37" t="s">
        <v>6984</v>
      </c>
      <c r="EGA37" t="s">
        <v>6984</v>
      </c>
      <c r="EGB37" t="s">
        <v>6984</v>
      </c>
      <c r="EGC37" t="s">
        <v>6984</v>
      </c>
      <c r="EGD37" t="s">
        <v>6984</v>
      </c>
      <c r="EGE37" t="s">
        <v>6984</v>
      </c>
      <c r="EGF37" t="s">
        <v>6984</v>
      </c>
      <c r="EGG37" t="s">
        <v>6984</v>
      </c>
      <c r="EGH37" t="s">
        <v>6984</v>
      </c>
      <c r="EGI37" t="s">
        <v>6984</v>
      </c>
      <c r="EGJ37" t="s">
        <v>6984</v>
      </c>
      <c r="EGK37" t="s">
        <v>6984</v>
      </c>
      <c r="EGL37" t="s">
        <v>6984</v>
      </c>
      <c r="EGM37" t="s">
        <v>6984</v>
      </c>
      <c r="EGN37" t="s">
        <v>6984</v>
      </c>
      <c r="EGO37" t="s">
        <v>6984</v>
      </c>
      <c r="EGP37" t="s">
        <v>6984</v>
      </c>
      <c r="EGQ37" t="s">
        <v>6984</v>
      </c>
      <c r="EGR37" t="s">
        <v>6984</v>
      </c>
      <c r="EGS37" t="s">
        <v>6984</v>
      </c>
      <c r="EGT37" t="s">
        <v>6984</v>
      </c>
      <c r="EGU37" t="s">
        <v>6984</v>
      </c>
      <c r="EGV37" t="s">
        <v>6984</v>
      </c>
      <c r="EGW37" t="s">
        <v>6984</v>
      </c>
      <c r="EGX37" t="s">
        <v>6984</v>
      </c>
      <c r="EGY37" t="s">
        <v>6984</v>
      </c>
      <c r="EGZ37" t="s">
        <v>6984</v>
      </c>
      <c r="EHA37" t="s">
        <v>6984</v>
      </c>
      <c r="EHB37" t="s">
        <v>6984</v>
      </c>
      <c r="EHC37" t="s">
        <v>6984</v>
      </c>
      <c r="EHD37" t="s">
        <v>6984</v>
      </c>
      <c r="EHE37" t="s">
        <v>6984</v>
      </c>
      <c r="EHF37" t="s">
        <v>6984</v>
      </c>
      <c r="EHG37" t="s">
        <v>6984</v>
      </c>
      <c r="EHH37" t="s">
        <v>6984</v>
      </c>
      <c r="EHI37" t="s">
        <v>6984</v>
      </c>
      <c r="EHJ37" t="s">
        <v>6984</v>
      </c>
      <c r="EHK37" t="s">
        <v>6984</v>
      </c>
      <c r="EHL37" t="s">
        <v>6984</v>
      </c>
      <c r="EHM37" t="s">
        <v>6984</v>
      </c>
      <c r="EHN37" t="s">
        <v>6984</v>
      </c>
      <c r="EHO37" t="s">
        <v>6984</v>
      </c>
      <c r="EHP37" t="s">
        <v>6984</v>
      </c>
      <c r="EHQ37" t="s">
        <v>6984</v>
      </c>
      <c r="EHR37" t="s">
        <v>6984</v>
      </c>
      <c r="EHS37" t="s">
        <v>6984</v>
      </c>
      <c r="EHT37" t="s">
        <v>6984</v>
      </c>
      <c r="EHU37" t="s">
        <v>6984</v>
      </c>
      <c r="EHV37" t="s">
        <v>6984</v>
      </c>
      <c r="EHW37" t="s">
        <v>6984</v>
      </c>
      <c r="EHX37" t="s">
        <v>6984</v>
      </c>
      <c r="EHY37" t="s">
        <v>6984</v>
      </c>
      <c r="EHZ37" t="s">
        <v>6984</v>
      </c>
      <c r="EIA37" t="s">
        <v>6984</v>
      </c>
      <c r="EIB37" t="s">
        <v>6984</v>
      </c>
      <c r="EIC37" t="s">
        <v>6984</v>
      </c>
      <c r="EID37" t="s">
        <v>6984</v>
      </c>
      <c r="EIE37" t="s">
        <v>6984</v>
      </c>
      <c r="EIF37" t="s">
        <v>6984</v>
      </c>
      <c r="EIG37" t="s">
        <v>6984</v>
      </c>
      <c r="EIH37" t="s">
        <v>6984</v>
      </c>
      <c r="EII37" t="s">
        <v>6984</v>
      </c>
      <c r="EIJ37" t="s">
        <v>6984</v>
      </c>
      <c r="EIK37" t="s">
        <v>6984</v>
      </c>
      <c r="EIL37" t="s">
        <v>6984</v>
      </c>
      <c r="EIM37" t="s">
        <v>6984</v>
      </c>
      <c r="EIN37" t="s">
        <v>6984</v>
      </c>
      <c r="EIO37" t="s">
        <v>6984</v>
      </c>
      <c r="EIP37" t="s">
        <v>6984</v>
      </c>
      <c r="EIQ37" t="s">
        <v>6984</v>
      </c>
      <c r="EIR37" t="s">
        <v>6984</v>
      </c>
      <c r="EIS37" t="s">
        <v>6984</v>
      </c>
      <c r="EIT37" t="s">
        <v>6984</v>
      </c>
      <c r="EIU37" t="s">
        <v>6984</v>
      </c>
      <c r="EIV37" t="s">
        <v>6984</v>
      </c>
      <c r="EIW37" t="s">
        <v>6984</v>
      </c>
      <c r="EIX37" t="s">
        <v>6984</v>
      </c>
      <c r="EIY37" t="s">
        <v>6984</v>
      </c>
      <c r="EIZ37" t="s">
        <v>6984</v>
      </c>
      <c r="EJA37" t="s">
        <v>6984</v>
      </c>
      <c r="EJB37" t="s">
        <v>6984</v>
      </c>
      <c r="EJC37" t="s">
        <v>6984</v>
      </c>
      <c r="EJD37" t="s">
        <v>6984</v>
      </c>
      <c r="EJE37" t="s">
        <v>6984</v>
      </c>
      <c r="EJF37" t="s">
        <v>6984</v>
      </c>
      <c r="EJG37" t="s">
        <v>6984</v>
      </c>
      <c r="EJH37" t="s">
        <v>6984</v>
      </c>
      <c r="EJI37" t="s">
        <v>6984</v>
      </c>
      <c r="EJJ37" t="s">
        <v>6984</v>
      </c>
      <c r="EJK37" t="s">
        <v>6984</v>
      </c>
      <c r="EJL37" t="s">
        <v>6984</v>
      </c>
      <c r="EJM37" t="s">
        <v>6984</v>
      </c>
      <c r="EJN37" t="s">
        <v>6984</v>
      </c>
      <c r="EJO37" t="s">
        <v>6984</v>
      </c>
      <c r="EJP37" t="s">
        <v>6984</v>
      </c>
      <c r="EJQ37" t="s">
        <v>6984</v>
      </c>
      <c r="EJR37" t="s">
        <v>6984</v>
      </c>
      <c r="EJS37" t="s">
        <v>6984</v>
      </c>
      <c r="EJT37" t="s">
        <v>6984</v>
      </c>
      <c r="EJU37" t="s">
        <v>6984</v>
      </c>
      <c r="EJV37" t="s">
        <v>6984</v>
      </c>
      <c r="EJW37" t="s">
        <v>6984</v>
      </c>
      <c r="EJX37" t="s">
        <v>6984</v>
      </c>
      <c r="EJY37" t="s">
        <v>6984</v>
      </c>
      <c r="EJZ37" t="s">
        <v>6984</v>
      </c>
      <c r="EKA37" t="s">
        <v>6984</v>
      </c>
      <c r="EKB37" t="s">
        <v>6984</v>
      </c>
      <c r="EKC37" t="s">
        <v>6984</v>
      </c>
      <c r="EKD37" t="s">
        <v>6984</v>
      </c>
      <c r="EKE37" t="s">
        <v>6984</v>
      </c>
      <c r="EKF37" t="s">
        <v>6984</v>
      </c>
      <c r="EKG37" t="s">
        <v>6984</v>
      </c>
      <c r="EKH37" t="s">
        <v>6984</v>
      </c>
      <c r="EKI37" t="s">
        <v>6984</v>
      </c>
      <c r="EKJ37" t="s">
        <v>6984</v>
      </c>
      <c r="EKK37" t="s">
        <v>6984</v>
      </c>
      <c r="EKL37" t="s">
        <v>6984</v>
      </c>
      <c r="EKM37" t="s">
        <v>6984</v>
      </c>
      <c r="EKN37" t="s">
        <v>6984</v>
      </c>
      <c r="EKO37" t="s">
        <v>6984</v>
      </c>
      <c r="EKP37" t="s">
        <v>6984</v>
      </c>
      <c r="EKQ37" t="s">
        <v>6984</v>
      </c>
      <c r="EKR37" t="s">
        <v>6984</v>
      </c>
      <c r="EKS37" t="s">
        <v>6984</v>
      </c>
      <c r="EKT37" t="s">
        <v>6984</v>
      </c>
      <c r="EKU37" t="s">
        <v>6984</v>
      </c>
      <c r="EKV37" t="s">
        <v>6984</v>
      </c>
      <c r="EKW37" t="s">
        <v>6984</v>
      </c>
      <c r="EKX37" t="s">
        <v>6984</v>
      </c>
      <c r="EKY37" t="s">
        <v>6984</v>
      </c>
      <c r="EKZ37" t="s">
        <v>6984</v>
      </c>
      <c r="ELA37" t="s">
        <v>6984</v>
      </c>
      <c r="ELB37" t="s">
        <v>6984</v>
      </c>
      <c r="ELC37" t="s">
        <v>6984</v>
      </c>
      <c r="ELD37" t="s">
        <v>6984</v>
      </c>
      <c r="ELE37" t="s">
        <v>6984</v>
      </c>
      <c r="ELF37" t="s">
        <v>6984</v>
      </c>
      <c r="ELG37" t="s">
        <v>6984</v>
      </c>
      <c r="ELH37" t="s">
        <v>6984</v>
      </c>
      <c r="ELI37" t="s">
        <v>6984</v>
      </c>
      <c r="ELJ37" t="s">
        <v>6984</v>
      </c>
      <c r="ELK37" t="s">
        <v>6984</v>
      </c>
      <c r="ELL37" t="s">
        <v>6984</v>
      </c>
      <c r="ELM37" t="s">
        <v>6984</v>
      </c>
      <c r="ELN37" t="s">
        <v>6984</v>
      </c>
      <c r="ELO37" t="s">
        <v>6984</v>
      </c>
      <c r="ELP37" t="s">
        <v>6984</v>
      </c>
      <c r="ELQ37" t="s">
        <v>6984</v>
      </c>
      <c r="ELR37" t="s">
        <v>6984</v>
      </c>
      <c r="ELS37" t="s">
        <v>6984</v>
      </c>
      <c r="ELT37" t="s">
        <v>6984</v>
      </c>
      <c r="ELU37" t="s">
        <v>6984</v>
      </c>
      <c r="ELV37" t="s">
        <v>6984</v>
      </c>
      <c r="ELW37" t="s">
        <v>6984</v>
      </c>
      <c r="ELX37" t="s">
        <v>6984</v>
      </c>
      <c r="ELY37" t="s">
        <v>6984</v>
      </c>
      <c r="ELZ37" t="s">
        <v>6984</v>
      </c>
      <c r="EMA37" t="s">
        <v>6984</v>
      </c>
      <c r="EMB37" t="s">
        <v>6984</v>
      </c>
      <c r="EMC37" t="s">
        <v>6984</v>
      </c>
      <c r="EMD37" t="s">
        <v>6984</v>
      </c>
      <c r="EME37" t="s">
        <v>6984</v>
      </c>
      <c r="EMF37" t="s">
        <v>6984</v>
      </c>
      <c r="EMG37" t="s">
        <v>6984</v>
      </c>
      <c r="EMH37" t="s">
        <v>6984</v>
      </c>
      <c r="EMI37" t="s">
        <v>6984</v>
      </c>
      <c r="EMJ37" t="s">
        <v>6984</v>
      </c>
      <c r="EMK37" t="s">
        <v>6984</v>
      </c>
      <c r="EML37" t="s">
        <v>6984</v>
      </c>
      <c r="EMM37" t="s">
        <v>6984</v>
      </c>
      <c r="EMN37" t="s">
        <v>6984</v>
      </c>
      <c r="EMO37" t="s">
        <v>6984</v>
      </c>
      <c r="EMP37" t="s">
        <v>6984</v>
      </c>
      <c r="EMQ37" t="s">
        <v>6984</v>
      </c>
      <c r="EMR37" t="s">
        <v>6984</v>
      </c>
      <c r="EMS37" t="s">
        <v>6984</v>
      </c>
      <c r="EMT37" t="s">
        <v>6984</v>
      </c>
      <c r="EMU37" t="s">
        <v>6984</v>
      </c>
      <c r="EMV37" t="s">
        <v>6984</v>
      </c>
      <c r="EMW37" t="s">
        <v>6984</v>
      </c>
      <c r="EMX37" t="s">
        <v>6984</v>
      </c>
      <c r="EMY37" t="s">
        <v>6984</v>
      </c>
      <c r="EMZ37" t="s">
        <v>6984</v>
      </c>
      <c r="ENA37" t="s">
        <v>6984</v>
      </c>
      <c r="ENB37" t="s">
        <v>6984</v>
      </c>
      <c r="ENC37" t="s">
        <v>6984</v>
      </c>
      <c r="END37" t="s">
        <v>6984</v>
      </c>
      <c r="ENE37" t="s">
        <v>6984</v>
      </c>
      <c r="ENF37" t="s">
        <v>6984</v>
      </c>
      <c r="ENG37" t="s">
        <v>6984</v>
      </c>
      <c r="ENH37" t="s">
        <v>6984</v>
      </c>
      <c r="ENI37" t="s">
        <v>6984</v>
      </c>
      <c r="ENJ37" t="s">
        <v>6984</v>
      </c>
      <c r="ENK37" t="s">
        <v>6984</v>
      </c>
      <c r="ENL37" t="s">
        <v>6984</v>
      </c>
      <c r="ENM37" t="s">
        <v>6984</v>
      </c>
      <c r="ENN37" t="s">
        <v>6984</v>
      </c>
      <c r="ENO37" t="s">
        <v>6984</v>
      </c>
      <c r="ENP37" t="s">
        <v>6984</v>
      </c>
      <c r="ENQ37" t="s">
        <v>6984</v>
      </c>
      <c r="ENR37" t="s">
        <v>6984</v>
      </c>
      <c r="ENS37" t="s">
        <v>6984</v>
      </c>
      <c r="ENT37" t="s">
        <v>6984</v>
      </c>
      <c r="ENU37" t="s">
        <v>6984</v>
      </c>
      <c r="ENV37" t="s">
        <v>6984</v>
      </c>
      <c r="ENW37" t="s">
        <v>6984</v>
      </c>
      <c r="ENX37" t="s">
        <v>6984</v>
      </c>
      <c r="ENY37" t="s">
        <v>6984</v>
      </c>
      <c r="ENZ37" t="s">
        <v>6984</v>
      </c>
      <c r="EOA37" t="s">
        <v>6984</v>
      </c>
      <c r="EOB37" t="s">
        <v>6984</v>
      </c>
      <c r="EOC37" t="s">
        <v>6984</v>
      </c>
      <c r="EOD37" t="s">
        <v>6984</v>
      </c>
      <c r="EOE37" t="s">
        <v>6984</v>
      </c>
      <c r="EOF37" t="s">
        <v>6984</v>
      </c>
      <c r="EOG37" t="s">
        <v>6984</v>
      </c>
      <c r="EOH37" t="s">
        <v>6984</v>
      </c>
      <c r="EOI37" t="s">
        <v>6984</v>
      </c>
      <c r="EOJ37" t="s">
        <v>6984</v>
      </c>
      <c r="EOK37" t="s">
        <v>6984</v>
      </c>
      <c r="EOL37" t="s">
        <v>6984</v>
      </c>
      <c r="EOM37" t="s">
        <v>6984</v>
      </c>
      <c r="EON37" t="s">
        <v>6984</v>
      </c>
      <c r="EOO37" t="s">
        <v>6984</v>
      </c>
      <c r="EOP37" t="s">
        <v>6984</v>
      </c>
      <c r="EOQ37" t="s">
        <v>6984</v>
      </c>
      <c r="EOR37" t="s">
        <v>6984</v>
      </c>
      <c r="EOS37" t="s">
        <v>6984</v>
      </c>
      <c r="EOT37" t="s">
        <v>6984</v>
      </c>
      <c r="EOU37" t="s">
        <v>6984</v>
      </c>
      <c r="EOV37" t="s">
        <v>6984</v>
      </c>
      <c r="EOW37" t="s">
        <v>6984</v>
      </c>
      <c r="EOX37" t="s">
        <v>6984</v>
      </c>
      <c r="EOY37" t="s">
        <v>6984</v>
      </c>
      <c r="EOZ37" t="s">
        <v>6984</v>
      </c>
      <c r="EPA37" t="s">
        <v>6984</v>
      </c>
      <c r="EPB37" t="s">
        <v>6984</v>
      </c>
      <c r="EPC37" t="s">
        <v>6984</v>
      </c>
      <c r="EPD37" t="s">
        <v>6984</v>
      </c>
      <c r="EPE37" t="s">
        <v>6984</v>
      </c>
      <c r="EPF37" t="s">
        <v>6984</v>
      </c>
      <c r="EPG37" t="s">
        <v>6984</v>
      </c>
      <c r="EPH37" t="s">
        <v>6984</v>
      </c>
      <c r="EPI37" t="s">
        <v>6984</v>
      </c>
      <c r="EPJ37" t="s">
        <v>6984</v>
      </c>
      <c r="EPK37" t="s">
        <v>6984</v>
      </c>
      <c r="EPL37" t="s">
        <v>6984</v>
      </c>
      <c r="EPM37" t="s">
        <v>6984</v>
      </c>
      <c r="EPN37" t="s">
        <v>6984</v>
      </c>
      <c r="EPO37" t="s">
        <v>6984</v>
      </c>
      <c r="EPP37" t="s">
        <v>6984</v>
      </c>
      <c r="EPQ37" t="s">
        <v>6984</v>
      </c>
      <c r="EPR37" t="s">
        <v>6984</v>
      </c>
      <c r="EPS37" t="s">
        <v>6984</v>
      </c>
      <c r="EPT37" t="s">
        <v>6984</v>
      </c>
      <c r="EPU37" t="s">
        <v>6984</v>
      </c>
      <c r="EPV37" t="s">
        <v>6984</v>
      </c>
      <c r="EPW37" t="s">
        <v>6984</v>
      </c>
      <c r="EPX37" t="s">
        <v>6984</v>
      </c>
      <c r="EPY37" t="s">
        <v>6984</v>
      </c>
      <c r="EPZ37" t="s">
        <v>6984</v>
      </c>
      <c r="EQA37" t="s">
        <v>6984</v>
      </c>
      <c r="EQB37" t="s">
        <v>6984</v>
      </c>
      <c r="EQC37" t="s">
        <v>6984</v>
      </c>
      <c r="EQD37" t="s">
        <v>6984</v>
      </c>
      <c r="EQE37" t="s">
        <v>6984</v>
      </c>
      <c r="EQF37" t="s">
        <v>6984</v>
      </c>
      <c r="EQG37" t="s">
        <v>6984</v>
      </c>
      <c r="EQH37" t="s">
        <v>6984</v>
      </c>
      <c r="EQI37" t="s">
        <v>6984</v>
      </c>
      <c r="EQJ37" t="s">
        <v>6984</v>
      </c>
      <c r="EQK37" t="s">
        <v>6984</v>
      </c>
      <c r="EQL37" t="s">
        <v>6984</v>
      </c>
      <c r="EQM37" t="s">
        <v>6984</v>
      </c>
      <c r="EQN37" t="s">
        <v>6984</v>
      </c>
      <c r="EQO37" t="s">
        <v>6984</v>
      </c>
      <c r="EQP37" t="s">
        <v>6984</v>
      </c>
      <c r="EQQ37" t="s">
        <v>6984</v>
      </c>
      <c r="EQR37" t="s">
        <v>6984</v>
      </c>
      <c r="EQS37" t="s">
        <v>6984</v>
      </c>
      <c r="EQT37" t="s">
        <v>6984</v>
      </c>
      <c r="EQU37" t="s">
        <v>6984</v>
      </c>
      <c r="EQV37" t="s">
        <v>6984</v>
      </c>
      <c r="EQW37" t="s">
        <v>6984</v>
      </c>
      <c r="EQX37" t="s">
        <v>6984</v>
      </c>
      <c r="EQY37" t="s">
        <v>6984</v>
      </c>
      <c r="EQZ37" t="s">
        <v>6984</v>
      </c>
      <c r="ERA37" t="s">
        <v>6984</v>
      </c>
      <c r="ERB37" t="s">
        <v>6984</v>
      </c>
      <c r="ERC37" t="s">
        <v>6984</v>
      </c>
      <c r="ERD37" t="s">
        <v>6984</v>
      </c>
      <c r="ERE37" t="s">
        <v>6984</v>
      </c>
      <c r="ERF37" t="s">
        <v>6984</v>
      </c>
      <c r="ERG37" t="s">
        <v>6984</v>
      </c>
      <c r="ERH37" t="s">
        <v>6984</v>
      </c>
      <c r="ERI37" t="s">
        <v>6984</v>
      </c>
      <c r="ERJ37" t="s">
        <v>6984</v>
      </c>
      <c r="ERK37" t="s">
        <v>6984</v>
      </c>
      <c r="ERL37" t="s">
        <v>6984</v>
      </c>
      <c r="ERM37" t="s">
        <v>6984</v>
      </c>
      <c r="ERN37" t="s">
        <v>6984</v>
      </c>
      <c r="ERO37" t="s">
        <v>6984</v>
      </c>
      <c r="ERP37" t="s">
        <v>6984</v>
      </c>
      <c r="ERQ37" t="s">
        <v>6984</v>
      </c>
      <c r="ERR37" t="s">
        <v>6984</v>
      </c>
      <c r="ERS37" t="s">
        <v>6984</v>
      </c>
      <c r="ERT37" t="s">
        <v>6984</v>
      </c>
      <c r="ERU37" t="s">
        <v>6984</v>
      </c>
      <c r="ERV37" t="s">
        <v>6984</v>
      </c>
      <c r="ERW37" t="s">
        <v>6984</v>
      </c>
      <c r="ERX37" t="s">
        <v>6984</v>
      </c>
      <c r="ERY37" t="s">
        <v>6984</v>
      </c>
      <c r="ERZ37" t="s">
        <v>6984</v>
      </c>
      <c r="ESA37" t="s">
        <v>6984</v>
      </c>
      <c r="ESB37" t="s">
        <v>6984</v>
      </c>
      <c r="ESC37" t="s">
        <v>6984</v>
      </c>
      <c r="ESD37" t="s">
        <v>6984</v>
      </c>
      <c r="ESE37" t="s">
        <v>6984</v>
      </c>
      <c r="ESF37" t="s">
        <v>6984</v>
      </c>
      <c r="ESG37" t="s">
        <v>6984</v>
      </c>
      <c r="ESH37" t="s">
        <v>6984</v>
      </c>
      <c r="ESI37" t="s">
        <v>6984</v>
      </c>
      <c r="ESJ37" t="s">
        <v>6984</v>
      </c>
      <c r="ESK37" t="s">
        <v>6984</v>
      </c>
      <c r="ESL37" t="s">
        <v>6984</v>
      </c>
      <c r="ESM37" t="s">
        <v>6984</v>
      </c>
      <c r="ESN37" t="s">
        <v>6984</v>
      </c>
      <c r="ESO37" t="s">
        <v>6984</v>
      </c>
      <c r="ESP37" t="s">
        <v>6984</v>
      </c>
      <c r="ESQ37" t="s">
        <v>6984</v>
      </c>
      <c r="ESR37" t="s">
        <v>6984</v>
      </c>
      <c r="ESS37" t="s">
        <v>6984</v>
      </c>
      <c r="EST37" t="s">
        <v>6984</v>
      </c>
      <c r="ESU37" t="s">
        <v>6984</v>
      </c>
      <c r="ESV37" t="s">
        <v>6984</v>
      </c>
      <c r="ESW37" t="s">
        <v>6984</v>
      </c>
      <c r="ESX37" t="s">
        <v>6984</v>
      </c>
      <c r="ESY37" t="s">
        <v>6984</v>
      </c>
      <c r="ESZ37" t="s">
        <v>6984</v>
      </c>
      <c r="ETA37" t="s">
        <v>6984</v>
      </c>
      <c r="ETB37" t="s">
        <v>6984</v>
      </c>
      <c r="ETC37" t="s">
        <v>6984</v>
      </c>
      <c r="ETD37" t="s">
        <v>6984</v>
      </c>
      <c r="ETE37" t="s">
        <v>6984</v>
      </c>
      <c r="ETF37" t="s">
        <v>6984</v>
      </c>
      <c r="ETG37" t="s">
        <v>6984</v>
      </c>
      <c r="ETH37" t="s">
        <v>6984</v>
      </c>
      <c r="ETI37" t="s">
        <v>6984</v>
      </c>
      <c r="ETJ37" t="s">
        <v>6984</v>
      </c>
      <c r="ETK37" t="s">
        <v>6984</v>
      </c>
      <c r="ETL37" t="s">
        <v>6984</v>
      </c>
      <c r="ETM37" t="s">
        <v>6984</v>
      </c>
      <c r="ETN37" t="s">
        <v>6984</v>
      </c>
      <c r="ETO37" t="s">
        <v>6984</v>
      </c>
      <c r="ETP37" t="s">
        <v>6984</v>
      </c>
      <c r="ETQ37" t="s">
        <v>6984</v>
      </c>
      <c r="ETR37" t="s">
        <v>6984</v>
      </c>
      <c r="ETS37" t="s">
        <v>6984</v>
      </c>
      <c r="ETT37" t="s">
        <v>6984</v>
      </c>
      <c r="ETU37" t="s">
        <v>6984</v>
      </c>
      <c r="ETV37" t="s">
        <v>6984</v>
      </c>
      <c r="ETW37" t="s">
        <v>6984</v>
      </c>
      <c r="ETX37" t="s">
        <v>6984</v>
      </c>
      <c r="ETY37" t="s">
        <v>6984</v>
      </c>
      <c r="ETZ37" t="s">
        <v>6984</v>
      </c>
      <c r="EUA37" t="s">
        <v>6984</v>
      </c>
      <c r="EUB37" t="s">
        <v>6984</v>
      </c>
      <c r="EUC37" t="s">
        <v>6984</v>
      </c>
      <c r="EUD37" t="s">
        <v>6984</v>
      </c>
      <c r="EUE37" t="s">
        <v>6984</v>
      </c>
      <c r="EUF37" t="s">
        <v>6984</v>
      </c>
      <c r="EUG37" t="s">
        <v>6984</v>
      </c>
      <c r="EUH37" t="s">
        <v>6984</v>
      </c>
      <c r="EUI37" t="s">
        <v>6984</v>
      </c>
      <c r="EUJ37" t="s">
        <v>6984</v>
      </c>
      <c r="EUK37" t="s">
        <v>6984</v>
      </c>
      <c r="EUL37" t="s">
        <v>6984</v>
      </c>
      <c r="EUM37" t="s">
        <v>6984</v>
      </c>
      <c r="EUN37" t="s">
        <v>6984</v>
      </c>
      <c r="EUO37" t="s">
        <v>6984</v>
      </c>
      <c r="EUP37" t="s">
        <v>6984</v>
      </c>
      <c r="EUQ37" t="s">
        <v>6984</v>
      </c>
      <c r="EUR37" t="s">
        <v>6984</v>
      </c>
      <c r="EUS37" t="s">
        <v>6984</v>
      </c>
      <c r="EUT37" t="s">
        <v>6984</v>
      </c>
      <c r="EUU37" t="s">
        <v>6984</v>
      </c>
      <c r="EUV37" t="s">
        <v>6984</v>
      </c>
      <c r="EUW37" t="s">
        <v>6984</v>
      </c>
      <c r="EUX37" t="s">
        <v>6984</v>
      </c>
      <c r="EUY37" t="s">
        <v>6984</v>
      </c>
      <c r="EUZ37" t="s">
        <v>6984</v>
      </c>
      <c r="EVA37" t="s">
        <v>6984</v>
      </c>
      <c r="EVB37" t="s">
        <v>6984</v>
      </c>
      <c r="EVC37" t="s">
        <v>6984</v>
      </c>
      <c r="EVD37" t="s">
        <v>6984</v>
      </c>
      <c r="EVE37" t="s">
        <v>6984</v>
      </c>
      <c r="EVF37" t="s">
        <v>6984</v>
      </c>
      <c r="EVG37" t="s">
        <v>6984</v>
      </c>
      <c r="EVH37" t="s">
        <v>6984</v>
      </c>
      <c r="EVI37" t="s">
        <v>6984</v>
      </c>
      <c r="EVJ37" t="s">
        <v>6984</v>
      </c>
      <c r="EVK37" t="s">
        <v>6984</v>
      </c>
      <c r="EVL37" t="s">
        <v>6984</v>
      </c>
      <c r="EVM37" t="s">
        <v>6984</v>
      </c>
      <c r="EVN37" t="s">
        <v>6984</v>
      </c>
      <c r="EVO37" t="s">
        <v>6984</v>
      </c>
      <c r="EVP37" t="s">
        <v>6984</v>
      </c>
      <c r="EVQ37" t="s">
        <v>6984</v>
      </c>
      <c r="EVR37" t="s">
        <v>6984</v>
      </c>
      <c r="EVS37" t="s">
        <v>6984</v>
      </c>
      <c r="EVT37" t="s">
        <v>6984</v>
      </c>
      <c r="EVU37" t="s">
        <v>6984</v>
      </c>
      <c r="EVV37" t="s">
        <v>6984</v>
      </c>
      <c r="EVW37" t="s">
        <v>6984</v>
      </c>
      <c r="EVX37" t="s">
        <v>6984</v>
      </c>
      <c r="EVY37" t="s">
        <v>6984</v>
      </c>
      <c r="EVZ37" t="s">
        <v>6984</v>
      </c>
      <c r="EWA37" t="s">
        <v>6984</v>
      </c>
      <c r="EWB37" t="s">
        <v>6984</v>
      </c>
      <c r="EWC37" t="s">
        <v>6984</v>
      </c>
      <c r="EWD37" t="s">
        <v>6984</v>
      </c>
      <c r="EWE37" t="s">
        <v>6984</v>
      </c>
      <c r="EWF37" t="s">
        <v>6984</v>
      </c>
      <c r="EWG37" t="s">
        <v>6984</v>
      </c>
      <c r="EWH37" t="s">
        <v>6984</v>
      </c>
      <c r="EWI37" t="s">
        <v>6984</v>
      </c>
      <c r="EWJ37" t="s">
        <v>6984</v>
      </c>
      <c r="EWK37" t="s">
        <v>6984</v>
      </c>
      <c r="EWL37" t="s">
        <v>6984</v>
      </c>
      <c r="EWM37" t="s">
        <v>6984</v>
      </c>
      <c r="EWN37" t="s">
        <v>6984</v>
      </c>
      <c r="EWO37" t="s">
        <v>6984</v>
      </c>
      <c r="EWP37" t="s">
        <v>6984</v>
      </c>
      <c r="EWQ37" t="s">
        <v>6984</v>
      </c>
      <c r="EWR37" t="s">
        <v>6984</v>
      </c>
      <c r="EWS37" t="s">
        <v>6984</v>
      </c>
      <c r="EWT37" t="s">
        <v>6984</v>
      </c>
      <c r="EWU37" t="s">
        <v>6984</v>
      </c>
      <c r="EWV37" t="s">
        <v>6984</v>
      </c>
      <c r="EWW37" t="s">
        <v>6984</v>
      </c>
      <c r="EWX37" t="s">
        <v>6984</v>
      </c>
      <c r="EWY37" t="s">
        <v>6984</v>
      </c>
      <c r="EWZ37" t="s">
        <v>6984</v>
      </c>
      <c r="EXA37" t="s">
        <v>6984</v>
      </c>
      <c r="EXB37" t="s">
        <v>6984</v>
      </c>
      <c r="EXC37" t="s">
        <v>6984</v>
      </c>
      <c r="EXD37" t="s">
        <v>6984</v>
      </c>
      <c r="EXE37" t="s">
        <v>6984</v>
      </c>
      <c r="EXF37" t="s">
        <v>6984</v>
      </c>
      <c r="EXG37" t="s">
        <v>6984</v>
      </c>
      <c r="EXH37" t="s">
        <v>6984</v>
      </c>
      <c r="EXI37" t="s">
        <v>6984</v>
      </c>
      <c r="EXJ37" t="s">
        <v>6984</v>
      </c>
      <c r="EXK37" t="s">
        <v>6984</v>
      </c>
      <c r="EXL37" t="s">
        <v>6984</v>
      </c>
      <c r="EXM37" t="s">
        <v>6984</v>
      </c>
      <c r="EXN37" t="s">
        <v>6984</v>
      </c>
      <c r="EXO37" t="s">
        <v>6984</v>
      </c>
      <c r="EXP37" t="s">
        <v>6984</v>
      </c>
      <c r="EXQ37" t="s">
        <v>6984</v>
      </c>
      <c r="EXR37" t="s">
        <v>6984</v>
      </c>
      <c r="EXS37" t="s">
        <v>6984</v>
      </c>
      <c r="EXT37" t="s">
        <v>6984</v>
      </c>
      <c r="EXU37" t="s">
        <v>6984</v>
      </c>
      <c r="EXV37" t="s">
        <v>6984</v>
      </c>
      <c r="EXW37" t="s">
        <v>6984</v>
      </c>
      <c r="EXX37" t="s">
        <v>6984</v>
      </c>
      <c r="EXY37" t="s">
        <v>6984</v>
      </c>
      <c r="EXZ37" t="s">
        <v>6984</v>
      </c>
      <c r="EYA37" t="s">
        <v>6984</v>
      </c>
      <c r="EYB37" t="s">
        <v>6984</v>
      </c>
      <c r="EYC37" t="s">
        <v>6984</v>
      </c>
      <c r="EYD37" t="s">
        <v>6984</v>
      </c>
      <c r="EYE37" t="s">
        <v>6984</v>
      </c>
      <c r="EYF37" t="s">
        <v>6984</v>
      </c>
      <c r="EYG37" t="s">
        <v>6984</v>
      </c>
      <c r="EYH37" t="s">
        <v>6984</v>
      </c>
      <c r="EYI37" t="s">
        <v>6984</v>
      </c>
      <c r="EYJ37" t="s">
        <v>6984</v>
      </c>
      <c r="EYK37" t="s">
        <v>6984</v>
      </c>
      <c r="EYL37" t="s">
        <v>6984</v>
      </c>
      <c r="EYM37" t="s">
        <v>6984</v>
      </c>
      <c r="EYN37" t="s">
        <v>6984</v>
      </c>
      <c r="EYO37" t="s">
        <v>6984</v>
      </c>
      <c r="EYP37" t="s">
        <v>6984</v>
      </c>
      <c r="EYQ37" t="s">
        <v>6984</v>
      </c>
      <c r="EYR37" t="s">
        <v>6984</v>
      </c>
      <c r="EYS37" t="s">
        <v>6984</v>
      </c>
      <c r="EYT37" t="s">
        <v>6984</v>
      </c>
      <c r="EYU37" t="s">
        <v>6984</v>
      </c>
      <c r="EYV37" t="s">
        <v>6984</v>
      </c>
      <c r="EYW37" t="s">
        <v>6984</v>
      </c>
      <c r="EYX37" t="s">
        <v>6984</v>
      </c>
      <c r="EYY37" t="s">
        <v>6984</v>
      </c>
      <c r="EYZ37" t="s">
        <v>6984</v>
      </c>
      <c r="EZA37" t="s">
        <v>6984</v>
      </c>
      <c r="EZB37" t="s">
        <v>6984</v>
      </c>
      <c r="EZC37" t="s">
        <v>6984</v>
      </c>
      <c r="EZD37" t="s">
        <v>6984</v>
      </c>
      <c r="EZE37" t="s">
        <v>6984</v>
      </c>
      <c r="EZF37" t="s">
        <v>6984</v>
      </c>
      <c r="EZG37" t="s">
        <v>6984</v>
      </c>
      <c r="EZH37" t="s">
        <v>6984</v>
      </c>
      <c r="EZI37" t="s">
        <v>6984</v>
      </c>
      <c r="EZJ37" t="s">
        <v>6984</v>
      </c>
      <c r="EZK37" t="s">
        <v>6984</v>
      </c>
      <c r="EZL37" t="s">
        <v>6984</v>
      </c>
      <c r="EZM37" t="s">
        <v>6984</v>
      </c>
      <c r="EZN37" t="s">
        <v>6984</v>
      </c>
      <c r="EZO37" t="s">
        <v>6984</v>
      </c>
      <c r="EZP37" t="s">
        <v>6984</v>
      </c>
      <c r="EZQ37" t="s">
        <v>6984</v>
      </c>
      <c r="EZR37" t="s">
        <v>6984</v>
      </c>
      <c r="EZS37" t="s">
        <v>6984</v>
      </c>
      <c r="EZT37" t="s">
        <v>6984</v>
      </c>
      <c r="EZU37" t="s">
        <v>6984</v>
      </c>
      <c r="EZV37" t="s">
        <v>6984</v>
      </c>
      <c r="EZW37" t="s">
        <v>6984</v>
      </c>
      <c r="EZX37" t="s">
        <v>6984</v>
      </c>
      <c r="EZY37" t="s">
        <v>6984</v>
      </c>
      <c r="EZZ37" t="s">
        <v>6984</v>
      </c>
      <c r="FAA37" t="s">
        <v>6984</v>
      </c>
      <c r="FAB37" t="s">
        <v>6984</v>
      </c>
      <c r="FAC37" t="s">
        <v>6984</v>
      </c>
      <c r="FAD37" t="s">
        <v>6984</v>
      </c>
      <c r="FAE37" t="s">
        <v>6984</v>
      </c>
      <c r="FAF37" t="s">
        <v>6984</v>
      </c>
      <c r="FAG37" t="s">
        <v>6984</v>
      </c>
      <c r="FAH37" t="s">
        <v>6984</v>
      </c>
      <c r="FAI37" t="s">
        <v>6984</v>
      </c>
      <c r="FAJ37" t="s">
        <v>6984</v>
      </c>
      <c r="FAK37" t="s">
        <v>6984</v>
      </c>
      <c r="FAL37" t="s">
        <v>6984</v>
      </c>
      <c r="FAM37" t="s">
        <v>6984</v>
      </c>
      <c r="FAN37" t="s">
        <v>6984</v>
      </c>
      <c r="FAO37" t="s">
        <v>6984</v>
      </c>
      <c r="FAP37" t="s">
        <v>6984</v>
      </c>
      <c r="FAQ37" t="s">
        <v>6984</v>
      </c>
      <c r="FAR37" t="s">
        <v>6984</v>
      </c>
      <c r="FAS37" t="s">
        <v>6984</v>
      </c>
      <c r="FAT37" t="s">
        <v>6984</v>
      </c>
      <c r="FAU37" t="s">
        <v>6984</v>
      </c>
      <c r="FAV37" t="s">
        <v>6984</v>
      </c>
      <c r="FAW37" t="s">
        <v>6984</v>
      </c>
      <c r="FAX37" t="s">
        <v>6984</v>
      </c>
      <c r="FAY37" t="s">
        <v>6984</v>
      </c>
      <c r="FAZ37" t="s">
        <v>6984</v>
      </c>
      <c r="FBA37" t="s">
        <v>6984</v>
      </c>
      <c r="FBB37" t="s">
        <v>6984</v>
      </c>
      <c r="FBC37" t="s">
        <v>6984</v>
      </c>
      <c r="FBD37" t="s">
        <v>6984</v>
      </c>
      <c r="FBE37" t="s">
        <v>6984</v>
      </c>
      <c r="FBF37" t="s">
        <v>6984</v>
      </c>
      <c r="FBG37" t="s">
        <v>6984</v>
      </c>
      <c r="FBH37" t="s">
        <v>6984</v>
      </c>
      <c r="FBI37" t="s">
        <v>6984</v>
      </c>
      <c r="FBJ37" t="s">
        <v>6984</v>
      </c>
      <c r="FBK37" t="s">
        <v>6984</v>
      </c>
      <c r="FBL37" t="s">
        <v>6984</v>
      </c>
      <c r="FBM37" t="s">
        <v>6984</v>
      </c>
      <c r="FBN37" t="s">
        <v>6984</v>
      </c>
      <c r="FBO37" t="s">
        <v>6984</v>
      </c>
      <c r="FBP37" t="s">
        <v>6984</v>
      </c>
      <c r="FBQ37" t="s">
        <v>6984</v>
      </c>
      <c r="FBR37" t="s">
        <v>6984</v>
      </c>
      <c r="FBS37" t="s">
        <v>6984</v>
      </c>
      <c r="FBT37" t="s">
        <v>6984</v>
      </c>
      <c r="FBU37" t="s">
        <v>6984</v>
      </c>
      <c r="FBV37" t="s">
        <v>6984</v>
      </c>
      <c r="FBW37" t="s">
        <v>6984</v>
      </c>
      <c r="FBX37" t="s">
        <v>6984</v>
      </c>
      <c r="FBY37" t="s">
        <v>6984</v>
      </c>
      <c r="FBZ37" t="s">
        <v>6984</v>
      </c>
      <c r="FCA37" t="s">
        <v>6984</v>
      </c>
      <c r="FCB37" t="s">
        <v>6984</v>
      </c>
      <c r="FCC37" t="s">
        <v>6984</v>
      </c>
      <c r="FCD37" t="s">
        <v>6984</v>
      </c>
      <c r="FCE37" t="s">
        <v>6984</v>
      </c>
      <c r="FCF37" t="s">
        <v>6984</v>
      </c>
      <c r="FCG37" t="s">
        <v>6984</v>
      </c>
      <c r="FCH37" t="s">
        <v>6984</v>
      </c>
      <c r="FCI37" t="s">
        <v>6984</v>
      </c>
      <c r="FCJ37" t="s">
        <v>6984</v>
      </c>
      <c r="FCK37" t="s">
        <v>6984</v>
      </c>
      <c r="FCL37" t="s">
        <v>6984</v>
      </c>
      <c r="FCM37" t="s">
        <v>6984</v>
      </c>
      <c r="FCN37" t="s">
        <v>6984</v>
      </c>
      <c r="FCO37" t="s">
        <v>6984</v>
      </c>
      <c r="FCP37" t="s">
        <v>6984</v>
      </c>
      <c r="FCQ37" t="s">
        <v>6984</v>
      </c>
      <c r="FCR37" t="s">
        <v>6984</v>
      </c>
      <c r="FCS37" t="s">
        <v>6984</v>
      </c>
      <c r="FCT37" t="s">
        <v>6984</v>
      </c>
      <c r="FCU37" t="s">
        <v>6984</v>
      </c>
      <c r="FCV37" t="s">
        <v>6984</v>
      </c>
      <c r="FCW37" t="s">
        <v>6984</v>
      </c>
      <c r="FCX37" t="s">
        <v>6984</v>
      </c>
      <c r="FCY37" t="s">
        <v>6984</v>
      </c>
      <c r="FCZ37" t="s">
        <v>6984</v>
      </c>
      <c r="FDA37" t="s">
        <v>6984</v>
      </c>
      <c r="FDB37" t="s">
        <v>6984</v>
      </c>
      <c r="FDC37" t="s">
        <v>6984</v>
      </c>
      <c r="FDD37" t="s">
        <v>6984</v>
      </c>
      <c r="FDE37" t="s">
        <v>6984</v>
      </c>
      <c r="FDF37" t="s">
        <v>6984</v>
      </c>
      <c r="FDG37" t="s">
        <v>6984</v>
      </c>
      <c r="FDH37" t="s">
        <v>6984</v>
      </c>
      <c r="FDI37" t="s">
        <v>6984</v>
      </c>
      <c r="FDJ37" t="s">
        <v>6984</v>
      </c>
      <c r="FDK37" t="s">
        <v>6984</v>
      </c>
      <c r="FDL37" t="s">
        <v>6984</v>
      </c>
      <c r="FDM37" t="s">
        <v>6984</v>
      </c>
      <c r="FDN37" t="s">
        <v>6984</v>
      </c>
      <c r="FDO37" t="s">
        <v>6984</v>
      </c>
      <c r="FDP37" t="s">
        <v>6984</v>
      </c>
      <c r="FDQ37" t="s">
        <v>6984</v>
      </c>
      <c r="FDR37" t="s">
        <v>6984</v>
      </c>
      <c r="FDS37" t="s">
        <v>6984</v>
      </c>
      <c r="FDT37" t="s">
        <v>6984</v>
      </c>
      <c r="FDU37" t="s">
        <v>6984</v>
      </c>
      <c r="FDV37" t="s">
        <v>6984</v>
      </c>
      <c r="FDW37" t="s">
        <v>6984</v>
      </c>
      <c r="FDX37" t="s">
        <v>6984</v>
      </c>
      <c r="FDY37" t="s">
        <v>6984</v>
      </c>
      <c r="FDZ37" t="s">
        <v>6984</v>
      </c>
      <c r="FEA37" t="s">
        <v>6984</v>
      </c>
      <c r="FEB37" t="s">
        <v>6984</v>
      </c>
      <c r="FEC37" t="s">
        <v>6984</v>
      </c>
      <c r="FED37" t="s">
        <v>6984</v>
      </c>
      <c r="FEE37" t="s">
        <v>6984</v>
      </c>
      <c r="FEF37" t="s">
        <v>6984</v>
      </c>
      <c r="FEG37" t="s">
        <v>6984</v>
      </c>
      <c r="FEH37" t="s">
        <v>6984</v>
      </c>
      <c r="FEI37" t="s">
        <v>6984</v>
      </c>
      <c r="FEJ37" t="s">
        <v>6984</v>
      </c>
      <c r="FEK37" t="s">
        <v>6984</v>
      </c>
      <c r="FEL37" t="s">
        <v>6984</v>
      </c>
      <c r="FEM37" t="s">
        <v>6984</v>
      </c>
      <c r="FEN37" t="s">
        <v>6984</v>
      </c>
      <c r="FEO37" t="s">
        <v>6984</v>
      </c>
      <c r="FEP37" t="s">
        <v>6984</v>
      </c>
      <c r="FEQ37" t="s">
        <v>6984</v>
      </c>
      <c r="FER37" t="s">
        <v>6984</v>
      </c>
      <c r="FES37" t="s">
        <v>6984</v>
      </c>
      <c r="FET37" t="s">
        <v>6984</v>
      </c>
      <c r="FEU37" t="s">
        <v>6984</v>
      </c>
      <c r="FEV37" t="s">
        <v>6984</v>
      </c>
      <c r="FEW37" t="s">
        <v>6984</v>
      </c>
      <c r="FEX37" t="s">
        <v>6984</v>
      </c>
      <c r="FEY37" t="s">
        <v>6984</v>
      </c>
      <c r="FEZ37" t="s">
        <v>6984</v>
      </c>
      <c r="FFA37" t="s">
        <v>6984</v>
      </c>
      <c r="FFB37" t="s">
        <v>6984</v>
      </c>
      <c r="FFC37" t="s">
        <v>6984</v>
      </c>
      <c r="FFD37" t="s">
        <v>6984</v>
      </c>
      <c r="FFE37" t="s">
        <v>6984</v>
      </c>
      <c r="FFF37" t="s">
        <v>6984</v>
      </c>
      <c r="FFG37" t="s">
        <v>6984</v>
      </c>
      <c r="FFH37" t="s">
        <v>6984</v>
      </c>
      <c r="FFI37" t="s">
        <v>6984</v>
      </c>
      <c r="FFJ37" t="s">
        <v>6984</v>
      </c>
      <c r="FFK37" t="s">
        <v>6984</v>
      </c>
      <c r="FFL37" t="s">
        <v>6984</v>
      </c>
      <c r="FFM37" t="s">
        <v>6984</v>
      </c>
      <c r="FFN37" t="s">
        <v>6984</v>
      </c>
      <c r="FFO37" t="s">
        <v>6984</v>
      </c>
      <c r="FFP37" t="s">
        <v>6984</v>
      </c>
      <c r="FFQ37" t="s">
        <v>6984</v>
      </c>
      <c r="FFR37" t="s">
        <v>6984</v>
      </c>
      <c r="FFS37" t="s">
        <v>6984</v>
      </c>
      <c r="FFT37" t="s">
        <v>6984</v>
      </c>
      <c r="FFU37" t="s">
        <v>6984</v>
      </c>
      <c r="FFV37" t="s">
        <v>6984</v>
      </c>
      <c r="FFW37" t="s">
        <v>6984</v>
      </c>
      <c r="FFX37" t="s">
        <v>6984</v>
      </c>
      <c r="FFY37" t="s">
        <v>6984</v>
      </c>
      <c r="FFZ37" t="s">
        <v>6984</v>
      </c>
      <c r="FGA37" t="s">
        <v>6984</v>
      </c>
      <c r="FGB37" t="s">
        <v>6984</v>
      </c>
      <c r="FGC37" t="s">
        <v>6984</v>
      </c>
      <c r="FGD37" t="s">
        <v>6984</v>
      </c>
      <c r="FGE37" t="s">
        <v>6984</v>
      </c>
      <c r="FGF37" t="s">
        <v>6984</v>
      </c>
      <c r="FGG37" t="s">
        <v>6984</v>
      </c>
      <c r="FGH37" t="s">
        <v>6984</v>
      </c>
      <c r="FGI37" t="s">
        <v>6984</v>
      </c>
      <c r="FGJ37" t="s">
        <v>6984</v>
      </c>
      <c r="FGK37" t="s">
        <v>6984</v>
      </c>
      <c r="FGL37" t="s">
        <v>6984</v>
      </c>
      <c r="FGM37" t="s">
        <v>6984</v>
      </c>
      <c r="FGN37" t="s">
        <v>6984</v>
      </c>
      <c r="FGO37" t="s">
        <v>6984</v>
      </c>
      <c r="FGP37" t="s">
        <v>6984</v>
      </c>
      <c r="FGQ37" t="s">
        <v>6984</v>
      </c>
      <c r="FGR37" t="s">
        <v>6984</v>
      </c>
      <c r="FGS37" t="s">
        <v>6984</v>
      </c>
      <c r="FGT37" t="s">
        <v>6984</v>
      </c>
      <c r="FGU37" t="s">
        <v>6984</v>
      </c>
      <c r="FGV37" t="s">
        <v>6984</v>
      </c>
      <c r="FGW37" t="s">
        <v>6984</v>
      </c>
      <c r="FGX37" t="s">
        <v>6984</v>
      </c>
      <c r="FGY37" t="s">
        <v>6984</v>
      </c>
      <c r="FGZ37" t="s">
        <v>6984</v>
      </c>
      <c r="FHA37" t="s">
        <v>6984</v>
      </c>
      <c r="FHB37" t="s">
        <v>6984</v>
      </c>
      <c r="FHC37" t="s">
        <v>6984</v>
      </c>
      <c r="FHD37" t="s">
        <v>6984</v>
      </c>
      <c r="FHE37" t="s">
        <v>6984</v>
      </c>
      <c r="FHF37" t="s">
        <v>6984</v>
      </c>
      <c r="FHG37" t="s">
        <v>6984</v>
      </c>
      <c r="FHH37" t="s">
        <v>6984</v>
      </c>
      <c r="FHI37" t="s">
        <v>6984</v>
      </c>
      <c r="FHJ37" t="s">
        <v>6984</v>
      </c>
      <c r="FHK37" t="s">
        <v>6984</v>
      </c>
      <c r="FHL37" t="s">
        <v>6984</v>
      </c>
      <c r="FHM37" t="s">
        <v>6984</v>
      </c>
      <c r="FHN37" t="s">
        <v>6984</v>
      </c>
      <c r="FHO37" t="s">
        <v>6984</v>
      </c>
      <c r="FHP37" t="s">
        <v>6984</v>
      </c>
      <c r="FHQ37" t="s">
        <v>6984</v>
      </c>
      <c r="FHR37" t="s">
        <v>6984</v>
      </c>
      <c r="FHS37" t="s">
        <v>6984</v>
      </c>
      <c r="FHT37" t="s">
        <v>6984</v>
      </c>
      <c r="FHU37" t="s">
        <v>6984</v>
      </c>
      <c r="FHV37" t="s">
        <v>6984</v>
      </c>
      <c r="FHW37" t="s">
        <v>6984</v>
      </c>
      <c r="FHX37" t="s">
        <v>6984</v>
      </c>
      <c r="FHY37" t="s">
        <v>6984</v>
      </c>
      <c r="FHZ37" t="s">
        <v>6984</v>
      </c>
      <c r="FIA37" t="s">
        <v>6984</v>
      </c>
      <c r="FIB37" t="s">
        <v>6984</v>
      </c>
      <c r="FIC37" t="s">
        <v>6984</v>
      </c>
      <c r="FID37" t="s">
        <v>6984</v>
      </c>
      <c r="FIE37" t="s">
        <v>6984</v>
      </c>
      <c r="FIF37" t="s">
        <v>6984</v>
      </c>
      <c r="FIG37" t="s">
        <v>6984</v>
      </c>
      <c r="FIH37" t="s">
        <v>6984</v>
      </c>
      <c r="FII37" t="s">
        <v>6984</v>
      </c>
      <c r="FIJ37" t="s">
        <v>6984</v>
      </c>
      <c r="FIK37" t="s">
        <v>6984</v>
      </c>
      <c r="FIL37" t="s">
        <v>6984</v>
      </c>
      <c r="FIM37" t="s">
        <v>6984</v>
      </c>
      <c r="FIN37" t="s">
        <v>6984</v>
      </c>
      <c r="FIO37" t="s">
        <v>6984</v>
      </c>
      <c r="FIP37" t="s">
        <v>6984</v>
      </c>
      <c r="FIQ37" t="s">
        <v>6984</v>
      </c>
      <c r="FIR37" t="s">
        <v>6984</v>
      </c>
      <c r="FIS37" t="s">
        <v>6984</v>
      </c>
      <c r="FIT37" t="s">
        <v>6984</v>
      </c>
      <c r="FIU37" t="s">
        <v>6984</v>
      </c>
      <c r="FIV37" t="s">
        <v>6984</v>
      </c>
      <c r="FIW37" t="s">
        <v>6984</v>
      </c>
      <c r="FIX37" t="s">
        <v>6984</v>
      </c>
      <c r="FIY37" t="s">
        <v>6984</v>
      </c>
      <c r="FIZ37" t="s">
        <v>6984</v>
      </c>
      <c r="FJA37" t="s">
        <v>6984</v>
      </c>
      <c r="FJB37" t="s">
        <v>6984</v>
      </c>
      <c r="FJC37" t="s">
        <v>6984</v>
      </c>
      <c r="FJD37" t="s">
        <v>6984</v>
      </c>
      <c r="FJE37" t="s">
        <v>6984</v>
      </c>
      <c r="FJF37" t="s">
        <v>6984</v>
      </c>
      <c r="FJG37" t="s">
        <v>6984</v>
      </c>
      <c r="FJH37" t="s">
        <v>6984</v>
      </c>
      <c r="FJI37" t="s">
        <v>6984</v>
      </c>
      <c r="FJJ37" t="s">
        <v>6984</v>
      </c>
      <c r="FJK37" t="s">
        <v>6984</v>
      </c>
      <c r="FJL37" t="s">
        <v>6984</v>
      </c>
      <c r="FJM37" t="s">
        <v>6984</v>
      </c>
      <c r="FJN37" t="s">
        <v>6984</v>
      </c>
      <c r="FJO37" t="s">
        <v>6984</v>
      </c>
      <c r="FJP37" t="s">
        <v>6984</v>
      </c>
      <c r="FJQ37" t="s">
        <v>6984</v>
      </c>
      <c r="FJR37" t="s">
        <v>6984</v>
      </c>
      <c r="FJS37" t="s">
        <v>6984</v>
      </c>
      <c r="FJT37" t="s">
        <v>6984</v>
      </c>
      <c r="FJU37" t="s">
        <v>6984</v>
      </c>
      <c r="FJV37" t="s">
        <v>6984</v>
      </c>
      <c r="FJW37" t="s">
        <v>6984</v>
      </c>
      <c r="FJX37" t="s">
        <v>6984</v>
      </c>
      <c r="FJY37" t="s">
        <v>6984</v>
      </c>
      <c r="FJZ37" t="s">
        <v>6984</v>
      </c>
      <c r="FKA37" t="s">
        <v>6984</v>
      </c>
      <c r="FKB37" t="s">
        <v>6984</v>
      </c>
      <c r="FKC37" t="s">
        <v>6984</v>
      </c>
      <c r="FKD37" t="s">
        <v>6984</v>
      </c>
      <c r="FKE37" t="s">
        <v>6984</v>
      </c>
      <c r="FKF37" t="s">
        <v>6984</v>
      </c>
      <c r="FKG37" t="s">
        <v>6984</v>
      </c>
      <c r="FKH37" t="s">
        <v>6984</v>
      </c>
      <c r="FKI37" t="s">
        <v>6984</v>
      </c>
      <c r="FKJ37" t="s">
        <v>6984</v>
      </c>
      <c r="FKK37" t="s">
        <v>6984</v>
      </c>
      <c r="FKL37" t="s">
        <v>6984</v>
      </c>
      <c r="FKM37" t="s">
        <v>6984</v>
      </c>
      <c r="FKN37" t="s">
        <v>6984</v>
      </c>
      <c r="FKO37" t="s">
        <v>6984</v>
      </c>
      <c r="FKP37" t="s">
        <v>6984</v>
      </c>
      <c r="FKQ37" t="s">
        <v>6984</v>
      </c>
      <c r="FKR37" t="s">
        <v>6984</v>
      </c>
      <c r="FKS37" t="s">
        <v>6984</v>
      </c>
      <c r="FKT37" t="s">
        <v>6984</v>
      </c>
      <c r="FKU37" t="s">
        <v>6984</v>
      </c>
      <c r="FKV37" t="s">
        <v>6984</v>
      </c>
      <c r="FKW37" t="s">
        <v>6984</v>
      </c>
      <c r="FKX37" t="s">
        <v>6984</v>
      </c>
      <c r="FKY37" t="s">
        <v>6984</v>
      </c>
      <c r="FKZ37" t="s">
        <v>6984</v>
      </c>
      <c r="FLA37" t="s">
        <v>6984</v>
      </c>
      <c r="FLB37" t="s">
        <v>6984</v>
      </c>
      <c r="FLC37" t="s">
        <v>6984</v>
      </c>
      <c r="FLD37" t="s">
        <v>6984</v>
      </c>
      <c r="FLE37" t="s">
        <v>6984</v>
      </c>
      <c r="FLF37" t="s">
        <v>6984</v>
      </c>
      <c r="FLG37" t="s">
        <v>6984</v>
      </c>
      <c r="FLH37" t="s">
        <v>6984</v>
      </c>
      <c r="FLI37" t="s">
        <v>6984</v>
      </c>
      <c r="FLJ37" t="s">
        <v>6984</v>
      </c>
      <c r="FLK37" t="s">
        <v>6984</v>
      </c>
      <c r="FLL37" t="s">
        <v>6984</v>
      </c>
      <c r="FLM37" t="s">
        <v>6984</v>
      </c>
      <c r="FLN37" t="s">
        <v>6984</v>
      </c>
      <c r="FLO37" t="s">
        <v>6984</v>
      </c>
      <c r="FLP37" t="s">
        <v>6984</v>
      </c>
      <c r="FLQ37" t="s">
        <v>6984</v>
      </c>
      <c r="FLR37" t="s">
        <v>6984</v>
      </c>
      <c r="FLS37" t="s">
        <v>6984</v>
      </c>
      <c r="FLT37" t="s">
        <v>6984</v>
      </c>
      <c r="FLU37" t="s">
        <v>6984</v>
      </c>
      <c r="FLV37" t="s">
        <v>6984</v>
      </c>
      <c r="FLW37" t="s">
        <v>6984</v>
      </c>
      <c r="FLX37" t="s">
        <v>6984</v>
      </c>
      <c r="FLY37" t="s">
        <v>6984</v>
      </c>
      <c r="FLZ37" t="s">
        <v>6984</v>
      </c>
      <c r="FMA37" t="s">
        <v>6984</v>
      </c>
      <c r="FMB37" t="s">
        <v>6984</v>
      </c>
      <c r="FMC37" t="s">
        <v>6984</v>
      </c>
      <c r="FMD37" t="s">
        <v>6984</v>
      </c>
      <c r="FME37" t="s">
        <v>6984</v>
      </c>
      <c r="FMF37" t="s">
        <v>6984</v>
      </c>
      <c r="FMG37" t="s">
        <v>6984</v>
      </c>
      <c r="FMH37" t="s">
        <v>6984</v>
      </c>
      <c r="FMI37" t="s">
        <v>6984</v>
      </c>
      <c r="FMJ37" t="s">
        <v>6984</v>
      </c>
      <c r="FMK37" t="s">
        <v>6984</v>
      </c>
      <c r="FML37" t="s">
        <v>6984</v>
      </c>
      <c r="FMM37" t="s">
        <v>6984</v>
      </c>
      <c r="FMN37" t="s">
        <v>6984</v>
      </c>
      <c r="FMO37" t="s">
        <v>6984</v>
      </c>
      <c r="FMP37" t="s">
        <v>6984</v>
      </c>
      <c r="FMQ37" t="s">
        <v>6984</v>
      </c>
      <c r="FMR37" t="s">
        <v>6984</v>
      </c>
      <c r="FMS37" t="s">
        <v>6984</v>
      </c>
      <c r="FMT37" t="s">
        <v>6984</v>
      </c>
      <c r="FMU37" t="s">
        <v>6984</v>
      </c>
      <c r="FMV37" t="s">
        <v>6984</v>
      </c>
      <c r="FMW37" t="s">
        <v>6984</v>
      </c>
      <c r="FMX37" t="s">
        <v>6984</v>
      </c>
      <c r="FMY37" t="s">
        <v>6984</v>
      </c>
      <c r="FMZ37" t="s">
        <v>6984</v>
      </c>
      <c r="FNA37" t="s">
        <v>6984</v>
      </c>
      <c r="FNB37" t="s">
        <v>6984</v>
      </c>
      <c r="FNC37" t="s">
        <v>6984</v>
      </c>
      <c r="FND37" t="s">
        <v>6984</v>
      </c>
      <c r="FNE37" t="s">
        <v>6984</v>
      </c>
      <c r="FNF37" t="s">
        <v>6984</v>
      </c>
      <c r="FNG37" t="s">
        <v>6984</v>
      </c>
      <c r="FNH37" t="s">
        <v>6984</v>
      </c>
      <c r="FNI37" t="s">
        <v>6984</v>
      </c>
      <c r="FNJ37" t="s">
        <v>6984</v>
      </c>
      <c r="FNK37" t="s">
        <v>6984</v>
      </c>
      <c r="FNL37" t="s">
        <v>6984</v>
      </c>
      <c r="FNM37" t="s">
        <v>6984</v>
      </c>
      <c r="FNN37" t="s">
        <v>6984</v>
      </c>
      <c r="FNO37" t="s">
        <v>6984</v>
      </c>
      <c r="FNP37" t="s">
        <v>6984</v>
      </c>
      <c r="FNQ37" t="s">
        <v>6984</v>
      </c>
      <c r="FNR37" t="s">
        <v>6984</v>
      </c>
      <c r="FNS37" t="s">
        <v>6984</v>
      </c>
      <c r="FNT37" t="s">
        <v>6984</v>
      </c>
      <c r="FNU37" t="s">
        <v>6984</v>
      </c>
      <c r="FNV37" t="s">
        <v>6984</v>
      </c>
      <c r="FNW37" t="s">
        <v>6984</v>
      </c>
      <c r="FNX37" t="s">
        <v>6984</v>
      </c>
      <c r="FNY37" t="s">
        <v>6984</v>
      </c>
      <c r="FNZ37" t="s">
        <v>6984</v>
      </c>
      <c r="FOA37" t="s">
        <v>6984</v>
      </c>
      <c r="FOB37" t="s">
        <v>6984</v>
      </c>
      <c r="FOC37" t="s">
        <v>6984</v>
      </c>
      <c r="FOD37" t="s">
        <v>6984</v>
      </c>
      <c r="FOE37" t="s">
        <v>6984</v>
      </c>
      <c r="FOF37" t="s">
        <v>6984</v>
      </c>
      <c r="FOG37" t="s">
        <v>6984</v>
      </c>
      <c r="FOH37" t="s">
        <v>6984</v>
      </c>
      <c r="FOI37" t="s">
        <v>6984</v>
      </c>
      <c r="FOJ37" t="s">
        <v>6984</v>
      </c>
      <c r="FOK37" t="s">
        <v>6984</v>
      </c>
      <c r="FOL37" t="s">
        <v>6984</v>
      </c>
      <c r="FOM37" t="s">
        <v>6984</v>
      </c>
      <c r="FON37" t="s">
        <v>6984</v>
      </c>
      <c r="FOO37" t="s">
        <v>6984</v>
      </c>
      <c r="FOP37" t="s">
        <v>6984</v>
      </c>
      <c r="FOQ37" t="s">
        <v>6984</v>
      </c>
      <c r="FOR37" t="s">
        <v>6984</v>
      </c>
      <c r="FOS37" t="s">
        <v>6984</v>
      </c>
      <c r="FOT37" t="s">
        <v>6984</v>
      </c>
      <c r="FOU37" t="s">
        <v>6984</v>
      </c>
      <c r="FOV37" t="s">
        <v>6984</v>
      </c>
      <c r="FOW37" t="s">
        <v>6984</v>
      </c>
      <c r="FOX37" t="s">
        <v>6984</v>
      </c>
      <c r="FOY37" t="s">
        <v>6984</v>
      </c>
      <c r="FOZ37" t="s">
        <v>6984</v>
      </c>
      <c r="FPA37" t="s">
        <v>6984</v>
      </c>
      <c r="FPB37" t="s">
        <v>6984</v>
      </c>
      <c r="FPC37" t="s">
        <v>6984</v>
      </c>
      <c r="FPD37" t="s">
        <v>6984</v>
      </c>
      <c r="FPE37" t="s">
        <v>6984</v>
      </c>
      <c r="FPF37" t="s">
        <v>6984</v>
      </c>
      <c r="FPG37" t="s">
        <v>6984</v>
      </c>
      <c r="FPH37" t="s">
        <v>6984</v>
      </c>
      <c r="FPI37" t="s">
        <v>6984</v>
      </c>
      <c r="FPJ37" t="s">
        <v>6984</v>
      </c>
      <c r="FPK37" t="s">
        <v>6984</v>
      </c>
      <c r="FPL37" t="s">
        <v>6984</v>
      </c>
      <c r="FPM37" t="s">
        <v>6984</v>
      </c>
      <c r="FPN37" t="s">
        <v>6984</v>
      </c>
      <c r="FPO37" t="s">
        <v>6984</v>
      </c>
      <c r="FPP37" t="s">
        <v>6984</v>
      </c>
      <c r="FPQ37" t="s">
        <v>6984</v>
      </c>
      <c r="FPR37" t="s">
        <v>6984</v>
      </c>
      <c r="FPS37" t="s">
        <v>6984</v>
      </c>
      <c r="FPT37" t="s">
        <v>6984</v>
      </c>
      <c r="FPU37" t="s">
        <v>6984</v>
      </c>
      <c r="FPV37" t="s">
        <v>6984</v>
      </c>
      <c r="FPW37" t="s">
        <v>6984</v>
      </c>
      <c r="FPX37" t="s">
        <v>6984</v>
      </c>
      <c r="FPY37" t="s">
        <v>6984</v>
      </c>
      <c r="FPZ37" t="s">
        <v>6984</v>
      </c>
      <c r="FQA37" t="s">
        <v>6984</v>
      </c>
      <c r="FQB37" t="s">
        <v>6984</v>
      </c>
      <c r="FQC37" t="s">
        <v>6984</v>
      </c>
      <c r="FQD37" t="s">
        <v>6984</v>
      </c>
      <c r="FQE37" t="s">
        <v>6984</v>
      </c>
      <c r="FQF37" t="s">
        <v>6984</v>
      </c>
      <c r="FQG37" t="s">
        <v>6984</v>
      </c>
      <c r="FQH37" t="s">
        <v>6984</v>
      </c>
      <c r="FQI37" t="s">
        <v>6984</v>
      </c>
      <c r="FQJ37" t="s">
        <v>6984</v>
      </c>
      <c r="FQK37" t="s">
        <v>6984</v>
      </c>
      <c r="FQL37" t="s">
        <v>6984</v>
      </c>
      <c r="FQM37" t="s">
        <v>6984</v>
      </c>
      <c r="FQN37" t="s">
        <v>6984</v>
      </c>
      <c r="FQO37" t="s">
        <v>6984</v>
      </c>
      <c r="FQP37" t="s">
        <v>6984</v>
      </c>
      <c r="FQQ37" t="s">
        <v>6984</v>
      </c>
      <c r="FQR37" t="s">
        <v>6984</v>
      </c>
      <c r="FQS37" t="s">
        <v>6984</v>
      </c>
      <c r="FQT37" t="s">
        <v>6984</v>
      </c>
      <c r="FQU37" t="s">
        <v>6984</v>
      </c>
      <c r="FQV37" t="s">
        <v>6984</v>
      </c>
      <c r="FQW37" t="s">
        <v>6984</v>
      </c>
      <c r="FQX37" t="s">
        <v>6984</v>
      </c>
      <c r="FQY37" t="s">
        <v>6984</v>
      </c>
      <c r="FQZ37" t="s">
        <v>6984</v>
      </c>
      <c r="FRA37" t="s">
        <v>6984</v>
      </c>
      <c r="FRB37" t="s">
        <v>6984</v>
      </c>
      <c r="FRC37" t="s">
        <v>6984</v>
      </c>
      <c r="FRD37" t="s">
        <v>6984</v>
      </c>
      <c r="FRE37" t="s">
        <v>6984</v>
      </c>
      <c r="FRF37" t="s">
        <v>6984</v>
      </c>
      <c r="FRG37" t="s">
        <v>6984</v>
      </c>
      <c r="FRH37" t="s">
        <v>6984</v>
      </c>
      <c r="FRI37" t="s">
        <v>6984</v>
      </c>
      <c r="FRJ37" t="s">
        <v>6984</v>
      </c>
      <c r="FRK37" t="s">
        <v>6984</v>
      </c>
      <c r="FRL37" t="s">
        <v>6984</v>
      </c>
      <c r="FRM37" t="s">
        <v>6984</v>
      </c>
      <c r="FRN37" t="s">
        <v>6984</v>
      </c>
      <c r="FRO37" t="s">
        <v>6984</v>
      </c>
      <c r="FRP37" t="s">
        <v>6984</v>
      </c>
      <c r="FRQ37" t="s">
        <v>6984</v>
      </c>
      <c r="FRR37" t="s">
        <v>6984</v>
      </c>
      <c r="FRS37" t="s">
        <v>6984</v>
      </c>
      <c r="FRT37" t="s">
        <v>6984</v>
      </c>
      <c r="FRU37" t="s">
        <v>6984</v>
      </c>
      <c r="FRV37" t="s">
        <v>6984</v>
      </c>
      <c r="FRW37" t="s">
        <v>6984</v>
      </c>
      <c r="FRX37" t="s">
        <v>6984</v>
      </c>
      <c r="FRY37" t="s">
        <v>6984</v>
      </c>
      <c r="FRZ37" t="s">
        <v>6984</v>
      </c>
      <c r="FSA37" t="s">
        <v>6984</v>
      </c>
      <c r="FSB37" t="s">
        <v>6984</v>
      </c>
      <c r="FSC37" t="s">
        <v>6984</v>
      </c>
      <c r="FSD37" t="s">
        <v>6984</v>
      </c>
      <c r="FSE37" t="s">
        <v>6984</v>
      </c>
      <c r="FSF37" t="s">
        <v>6984</v>
      </c>
      <c r="FSG37" t="s">
        <v>6984</v>
      </c>
      <c r="FSH37" t="s">
        <v>6984</v>
      </c>
      <c r="FSI37" t="s">
        <v>6984</v>
      </c>
      <c r="FSJ37" t="s">
        <v>6984</v>
      </c>
      <c r="FSK37" t="s">
        <v>6984</v>
      </c>
      <c r="FSL37" t="s">
        <v>6984</v>
      </c>
      <c r="FSM37" t="s">
        <v>6984</v>
      </c>
      <c r="FSN37" t="s">
        <v>6984</v>
      </c>
      <c r="FSO37" t="s">
        <v>6984</v>
      </c>
      <c r="FSP37" t="s">
        <v>6984</v>
      </c>
      <c r="FSQ37" t="s">
        <v>6984</v>
      </c>
      <c r="FSR37" t="s">
        <v>6984</v>
      </c>
      <c r="FSS37" t="s">
        <v>6984</v>
      </c>
      <c r="FST37" t="s">
        <v>6984</v>
      </c>
      <c r="FSU37" t="s">
        <v>6984</v>
      </c>
      <c r="FSV37" t="s">
        <v>6984</v>
      </c>
      <c r="FSW37" t="s">
        <v>6984</v>
      </c>
      <c r="FSX37" t="s">
        <v>6984</v>
      </c>
      <c r="FSY37" t="s">
        <v>6984</v>
      </c>
      <c r="FSZ37" t="s">
        <v>6984</v>
      </c>
      <c r="FTA37" t="s">
        <v>6984</v>
      </c>
      <c r="FTB37" t="s">
        <v>6984</v>
      </c>
      <c r="FTC37" t="s">
        <v>6984</v>
      </c>
      <c r="FTD37" t="s">
        <v>6984</v>
      </c>
      <c r="FTE37" t="s">
        <v>6984</v>
      </c>
      <c r="FTF37" t="s">
        <v>6984</v>
      </c>
      <c r="FTG37" t="s">
        <v>6984</v>
      </c>
      <c r="FTH37" t="s">
        <v>6984</v>
      </c>
      <c r="FTI37" t="s">
        <v>6984</v>
      </c>
      <c r="FTJ37" t="s">
        <v>6984</v>
      </c>
      <c r="FTK37" t="s">
        <v>6984</v>
      </c>
      <c r="FTL37" t="s">
        <v>6984</v>
      </c>
      <c r="FTM37" t="s">
        <v>6984</v>
      </c>
      <c r="FTN37" t="s">
        <v>6984</v>
      </c>
      <c r="FTO37" t="s">
        <v>6984</v>
      </c>
      <c r="FTP37" t="s">
        <v>6984</v>
      </c>
      <c r="FTQ37" t="s">
        <v>6984</v>
      </c>
      <c r="FTR37" t="s">
        <v>6984</v>
      </c>
      <c r="FTS37" t="s">
        <v>6984</v>
      </c>
      <c r="FTT37" t="s">
        <v>6984</v>
      </c>
      <c r="FTU37" t="s">
        <v>6984</v>
      </c>
      <c r="FTV37" t="s">
        <v>6984</v>
      </c>
      <c r="FTW37" t="s">
        <v>6984</v>
      </c>
      <c r="FTX37" t="s">
        <v>6984</v>
      </c>
      <c r="FTY37" t="s">
        <v>6984</v>
      </c>
      <c r="FTZ37" t="s">
        <v>6984</v>
      </c>
      <c r="FUA37" t="s">
        <v>6984</v>
      </c>
      <c r="FUB37" t="s">
        <v>6984</v>
      </c>
      <c r="FUC37" t="s">
        <v>6984</v>
      </c>
      <c r="FUD37" t="s">
        <v>6984</v>
      </c>
      <c r="FUE37" t="s">
        <v>6984</v>
      </c>
      <c r="FUF37" t="s">
        <v>6984</v>
      </c>
      <c r="FUG37" t="s">
        <v>6984</v>
      </c>
      <c r="FUH37" t="s">
        <v>6984</v>
      </c>
      <c r="FUI37" t="s">
        <v>6984</v>
      </c>
      <c r="FUJ37" t="s">
        <v>6984</v>
      </c>
      <c r="FUK37" t="s">
        <v>6984</v>
      </c>
      <c r="FUL37" t="s">
        <v>6984</v>
      </c>
      <c r="FUM37" t="s">
        <v>6984</v>
      </c>
      <c r="FUN37" t="s">
        <v>6984</v>
      </c>
      <c r="FUO37" t="s">
        <v>6984</v>
      </c>
      <c r="FUP37" t="s">
        <v>6984</v>
      </c>
      <c r="FUQ37" t="s">
        <v>6984</v>
      </c>
      <c r="FUR37" t="s">
        <v>6984</v>
      </c>
      <c r="FUS37" t="s">
        <v>6984</v>
      </c>
      <c r="FUT37" t="s">
        <v>6984</v>
      </c>
      <c r="FUU37" t="s">
        <v>6984</v>
      </c>
      <c r="FUV37" t="s">
        <v>6984</v>
      </c>
      <c r="FUW37" t="s">
        <v>6984</v>
      </c>
      <c r="FUX37" t="s">
        <v>6984</v>
      </c>
      <c r="FUY37" t="s">
        <v>6984</v>
      </c>
      <c r="FUZ37" t="s">
        <v>6984</v>
      </c>
      <c r="FVA37" t="s">
        <v>6984</v>
      </c>
      <c r="FVB37" t="s">
        <v>6984</v>
      </c>
      <c r="FVC37" t="s">
        <v>6984</v>
      </c>
      <c r="FVD37" t="s">
        <v>6984</v>
      </c>
      <c r="FVE37" t="s">
        <v>6984</v>
      </c>
      <c r="FVF37" t="s">
        <v>6984</v>
      </c>
      <c r="FVG37" t="s">
        <v>6984</v>
      </c>
      <c r="FVH37" t="s">
        <v>6984</v>
      </c>
      <c r="FVI37" t="s">
        <v>6984</v>
      </c>
      <c r="FVJ37" t="s">
        <v>6984</v>
      </c>
      <c r="FVK37" t="s">
        <v>6984</v>
      </c>
      <c r="FVL37" t="s">
        <v>6984</v>
      </c>
      <c r="FVM37" t="s">
        <v>6984</v>
      </c>
      <c r="FVN37" t="s">
        <v>6984</v>
      </c>
      <c r="FVO37" t="s">
        <v>6984</v>
      </c>
      <c r="FVP37" t="s">
        <v>6984</v>
      </c>
      <c r="FVQ37" t="s">
        <v>6984</v>
      </c>
      <c r="FVR37" t="s">
        <v>6984</v>
      </c>
      <c r="FVS37" t="s">
        <v>6984</v>
      </c>
      <c r="FVT37" t="s">
        <v>6984</v>
      </c>
      <c r="FVU37" t="s">
        <v>6984</v>
      </c>
      <c r="FVV37" t="s">
        <v>6984</v>
      </c>
      <c r="FVW37" t="s">
        <v>6984</v>
      </c>
      <c r="FVX37" t="s">
        <v>6984</v>
      </c>
      <c r="FVY37" t="s">
        <v>6984</v>
      </c>
      <c r="FVZ37" t="s">
        <v>6984</v>
      </c>
      <c r="FWA37" t="s">
        <v>6984</v>
      </c>
      <c r="FWB37" t="s">
        <v>6984</v>
      </c>
      <c r="FWC37" t="s">
        <v>6984</v>
      </c>
      <c r="FWD37" t="s">
        <v>6984</v>
      </c>
      <c r="FWE37" t="s">
        <v>6984</v>
      </c>
      <c r="FWF37" t="s">
        <v>6984</v>
      </c>
      <c r="FWG37" t="s">
        <v>6984</v>
      </c>
      <c r="FWH37" t="s">
        <v>6984</v>
      </c>
      <c r="FWI37" t="s">
        <v>6984</v>
      </c>
      <c r="FWJ37" t="s">
        <v>6984</v>
      </c>
      <c r="FWK37" t="s">
        <v>6984</v>
      </c>
      <c r="FWL37" t="s">
        <v>6984</v>
      </c>
      <c r="FWM37" t="s">
        <v>6984</v>
      </c>
      <c r="FWN37" t="s">
        <v>6984</v>
      </c>
      <c r="FWO37" t="s">
        <v>6984</v>
      </c>
      <c r="FWP37" t="s">
        <v>6984</v>
      </c>
      <c r="FWQ37" t="s">
        <v>6984</v>
      </c>
      <c r="FWR37" t="s">
        <v>6984</v>
      </c>
      <c r="FWS37" t="s">
        <v>6984</v>
      </c>
      <c r="FWT37" t="s">
        <v>6984</v>
      </c>
      <c r="FWU37" t="s">
        <v>6984</v>
      </c>
      <c r="FWV37" t="s">
        <v>6984</v>
      </c>
      <c r="FWW37" t="s">
        <v>6984</v>
      </c>
      <c r="FWX37" t="s">
        <v>6984</v>
      </c>
      <c r="FWY37" t="s">
        <v>6984</v>
      </c>
      <c r="FWZ37" t="s">
        <v>6984</v>
      </c>
      <c r="FXA37" t="s">
        <v>6984</v>
      </c>
      <c r="FXB37" t="s">
        <v>6984</v>
      </c>
      <c r="FXC37" t="s">
        <v>6984</v>
      </c>
      <c r="FXD37" t="s">
        <v>6984</v>
      </c>
      <c r="FXE37" t="s">
        <v>6984</v>
      </c>
      <c r="FXF37" t="s">
        <v>6984</v>
      </c>
      <c r="FXG37" t="s">
        <v>6984</v>
      </c>
      <c r="FXH37" t="s">
        <v>6984</v>
      </c>
      <c r="FXI37" t="s">
        <v>6984</v>
      </c>
      <c r="FXJ37" t="s">
        <v>6984</v>
      </c>
      <c r="FXK37" t="s">
        <v>6984</v>
      </c>
      <c r="FXL37" t="s">
        <v>6984</v>
      </c>
      <c r="FXM37" t="s">
        <v>6984</v>
      </c>
      <c r="FXN37" t="s">
        <v>6984</v>
      </c>
      <c r="FXO37" t="s">
        <v>6984</v>
      </c>
      <c r="FXP37" t="s">
        <v>6984</v>
      </c>
      <c r="FXQ37" t="s">
        <v>6984</v>
      </c>
      <c r="FXR37" t="s">
        <v>6984</v>
      </c>
      <c r="FXS37" t="s">
        <v>6984</v>
      </c>
      <c r="FXT37" t="s">
        <v>6984</v>
      </c>
      <c r="FXU37" t="s">
        <v>6984</v>
      </c>
      <c r="FXV37" t="s">
        <v>6984</v>
      </c>
      <c r="FXW37" t="s">
        <v>6984</v>
      </c>
      <c r="FXX37" t="s">
        <v>6984</v>
      </c>
      <c r="FXY37" t="s">
        <v>6984</v>
      </c>
      <c r="FXZ37" t="s">
        <v>6984</v>
      </c>
      <c r="FYA37" t="s">
        <v>6984</v>
      </c>
      <c r="FYB37" t="s">
        <v>6984</v>
      </c>
      <c r="FYC37" t="s">
        <v>6984</v>
      </c>
      <c r="FYD37" t="s">
        <v>6984</v>
      </c>
      <c r="FYE37" t="s">
        <v>6984</v>
      </c>
      <c r="FYF37" t="s">
        <v>6984</v>
      </c>
      <c r="FYG37" t="s">
        <v>6984</v>
      </c>
      <c r="FYH37" t="s">
        <v>6984</v>
      </c>
      <c r="FYI37" t="s">
        <v>6984</v>
      </c>
      <c r="FYJ37" t="s">
        <v>6984</v>
      </c>
      <c r="FYK37" t="s">
        <v>6984</v>
      </c>
      <c r="FYL37" t="s">
        <v>6984</v>
      </c>
      <c r="FYM37" t="s">
        <v>6984</v>
      </c>
      <c r="FYN37" t="s">
        <v>6984</v>
      </c>
      <c r="FYO37" t="s">
        <v>6984</v>
      </c>
      <c r="FYP37" t="s">
        <v>6984</v>
      </c>
      <c r="FYQ37" t="s">
        <v>6984</v>
      </c>
      <c r="FYR37" t="s">
        <v>6984</v>
      </c>
      <c r="FYS37" t="s">
        <v>6984</v>
      </c>
      <c r="FYT37" t="s">
        <v>6984</v>
      </c>
      <c r="FYU37" t="s">
        <v>6984</v>
      </c>
      <c r="FYV37" t="s">
        <v>6984</v>
      </c>
      <c r="FYW37" t="s">
        <v>6984</v>
      </c>
      <c r="FYX37" t="s">
        <v>6984</v>
      </c>
      <c r="FYY37" t="s">
        <v>6984</v>
      </c>
      <c r="FYZ37" t="s">
        <v>6984</v>
      </c>
      <c r="FZA37" t="s">
        <v>6984</v>
      </c>
      <c r="FZB37" t="s">
        <v>6984</v>
      </c>
      <c r="FZC37" t="s">
        <v>6984</v>
      </c>
      <c r="FZD37" t="s">
        <v>6984</v>
      </c>
      <c r="FZE37" t="s">
        <v>6984</v>
      </c>
      <c r="FZF37" t="s">
        <v>6984</v>
      </c>
      <c r="FZG37" t="s">
        <v>6984</v>
      </c>
      <c r="FZH37" t="s">
        <v>6984</v>
      </c>
      <c r="FZI37" t="s">
        <v>6984</v>
      </c>
      <c r="FZJ37" t="s">
        <v>6984</v>
      </c>
      <c r="FZK37" t="s">
        <v>6984</v>
      </c>
      <c r="FZL37" t="s">
        <v>6984</v>
      </c>
      <c r="FZM37" t="s">
        <v>6984</v>
      </c>
      <c r="FZN37" t="s">
        <v>6984</v>
      </c>
      <c r="FZO37" t="s">
        <v>6984</v>
      </c>
      <c r="FZP37" t="s">
        <v>6984</v>
      </c>
      <c r="FZQ37" t="s">
        <v>6984</v>
      </c>
      <c r="FZR37" t="s">
        <v>6984</v>
      </c>
      <c r="FZS37" t="s">
        <v>6984</v>
      </c>
      <c r="FZT37" t="s">
        <v>6984</v>
      </c>
      <c r="FZU37" t="s">
        <v>6984</v>
      </c>
      <c r="FZV37" t="s">
        <v>6984</v>
      </c>
      <c r="FZW37" t="s">
        <v>6984</v>
      </c>
      <c r="FZX37" t="s">
        <v>6984</v>
      </c>
      <c r="FZY37" t="s">
        <v>6984</v>
      </c>
      <c r="FZZ37" t="s">
        <v>6984</v>
      </c>
      <c r="GAA37" t="s">
        <v>6984</v>
      </c>
      <c r="GAB37" t="s">
        <v>6984</v>
      </c>
      <c r="GAC37" t="s">
        <v>6984</v>
      </c>
      <c r="GAD37" t="s">
        <v>6984</v>
      </c>
      <c r="GAE37" t="s">
        <v>6984</v>
      </c>
      <c r="GAF37" t="s">
        <v>6984</v>
      </c>
      <c r="GAG37" t="s">
        <v>6984</v>
      </c>
      <c r="GAH37" t="s">
        <v>6984</v>
      </c>
      <c r="GAI37" t="s">
        <v>6984</v>
      </c>
      <c r="GAJ37" t="s">
        <v>6984</v>
      </c>
      <c r="GAK37" t="s">
        <v>6984</v>
      </c>
      <c r="GAL37" t="s">
        <v>6984</v>
      </c>
      <c r="GAM37" t="s">
        <v>6984</v>
      </c>
      <c r="GAN37" t="s">
        <v>6984</v>
      </c>
      <c r="GAO37" t="s">
        <v>6984</v>
      </c>
      <c r="GAP37" t="s">
        <v>6984</v>
      </c>
      <c r="GAQ37" t="s">
        <v>6984</v>
      </c>
      <c r="GAR37" t="s">
        <v>6984</v>
      </c>
      <c r="GAS37" t="s">
        <v>6984</v>
      </c>
      <c r="GAT37" t="s">
        <v>6984</v>
      </c>
      <c r="GAU37" t="s">
        <v>6984</v>
      </c>
      <c r="GAV37" t="s">
        <v>6984</v>
      </c>
      <c r="GAW37" t="s">
        <v>6984</v>
      </c>
      <c r="GAX37" t="s">
        <v>6984</v>
      </c>
      <c r="GAY37" t="s">
        <v>6984</v>
      </c>
      <c r="GAZ37" t="s">
        <v>6984</v>
      </c>
      <c r="GBA37" t="s">
        <v>6984</v>
      </c>
      <c r="GBB37" t="s">
        <v>6984</v>
      </c>
      <c r="GBC37" t="s">
        <v>6984</v>
      </c>
      <c r="GBD37" t="s">
        <v>6984</v>
      </c>
      <c r="GBE37" t="s">
        <v>6984</v>
      </c>
      <c r="GBF37" t="s">
        <v>6984</v>
      </c>
      <c r="GBG37" t="s">
        <v>6984</v>
      </c>
      <c r="GBH37" t="s">
        <v>6984</v>
      </c>
      <c r="GBI37" t="s">
        <v>6984</v>
      </c>
      <c r="GBJ37" t="s">
        <v>6984</v>
      </c>
      <c r="GBK37" t="s">
        <v>6984</v>
      </c>
      <c r="GBL37" t="s">
        <v>6984</v>
      </c>
      <c r="GBM37" t="s">
        <v>6984</v>
      </c>
      <c r="GBN37" t="s">
        <v>6984</v>
      </c>
      <c r="GBO37" t="s">
        <v>6984</v>
      </c>
      <c r="GBP37" t="s">
        <v>6984</v>
      </c>
      <c r="GBQ37" t="s">
        <v>6984</v>
      </c>
      <c r="GBR37" t="s">
        <v>6984</v>
      </c>
      <c r="GBS37" t="s">
        <v>6984</v>
      </c>
      <c r="GBT37" t="s">
        <v>6984</v>
      </c>
      <c r="GBU37" t="s">
        <v>6984</v>
      </c>
      <c r="GBV37" t="s">
        <v>6984</v>
      </c>
      <c r="GBW37" t="s">
        <v>6984</v>
      </c>
      <c r="GBX37" t="s">
        <v>6984</v>
      </c>
      <c r="GBY37" t="s">
        <v>6984</v>
      </c>
      <c r="GBZ37" t="s">
        <v>6984</v>
      </c>
      <c r="GCA37" t="s">
        <v>6984</v>
      </c>
      <c r="GCB37" t="s">
        <v>6984</v>
      </c>
      <c r="GCC37" t="s">
        <v>6984</v>
      </c>
      <c r="GCD37" t="s">
        <v>6984</v>
      </c>
      <c r="GCE37" t="s">
        <v>6984</v>
      </c>
      <c r="GCF37" t="s">
        <v>6984</v>
      </c>
      <c r="GCG37" t="s">
        <v>6984</v>
      </c>
      <c r="GCH37" t="s">
        <v>6984</v>
      </c>
      <c r="GCI37" t="s">
        <v>6984</v>
      </c>
      <c r="GCJ37" t="s">
        <v>6984</v>
      </c>
      <c r="GCK37" t="s">
        <v>6984</v>
      </c>
      <c r="GCL37" t="s">
        <v>6984</v>
      </c>
      <c r="GCM37" t="s">
        <v>6984</v>
      </c>
      <c r="GCN37" t="s">
        <v>6984</v>
      </c>
      <c r="GCO37" t="s">
        <v>6984</v>
      </c>
      <c r="GCP37" t="s">
        <v>6984</v>
      </c>
      <c r="GCQ37" t="s">
        <v>6984</v>
      </c>
      <c r="GCR37" t="s">
        <v>6984</v>
      </c>
      <c r="GCS37" t="s">
        <v>6984</v>
      </c>
      <c r="GCT37" t="s">
        <v>6984</v>
      </c>
      <c r="GCU37" t="s">
        <v>6984</v>
      </c>
      <c r="GCV37" t="s">
        <v>6984</v>
      </c>
      <c r="GCW37" t="s">
        <v>6984</v>
      </c>
      <c r="GCX37" t="s">
        <v>6984</v>
      </c>
      <c r="GCY37" t="s">
        <v>6984</v>
      </c>
      <c r="GCZ37" t="s">
        <v>6984</v>
      </c>
      <c r="GDA37" t="s">
        <v>6984</v>
      </c>
      <c r="GDB37" t="s">
        <v>6984</v>
      </c>
      <c r="GDC37" t="s">
        <v>6984</v>
      </c>
      <c r="GDD37" t="s">
        <v>6984</v>
      </c>
      <c r="GDE37" t="s">
        <v>6984</v>
      </c>
      <c r="GDF37" t="s">
        <v>6984</v>
      </c>
      <c r="GDG37" t="s">
        <v>6984</v>
      </c>
      <c r="GDH37" t="s">
        <v>6984</v>
      </c>
      <c r="GDI37" t="s">
        <v>6984</v>
      </c>
      <c r="GDJ37" t="s">
        <v>6984</v>
      </c>
      <c r="GDK37" t="s">
        <v>6984</v>
      </c>
      <c r="GDL37" t="s">
        <v>6984</v>
      </c>
      <c r="GDM37" t="s">
        <v>6984</v>
      </c>
      <c r="GDN37" t="s">
        <v>6984</v>
      </c>
      <c r="GDO37" t="s">
        <v>6984</v>
      </c>
      <c r="GDP37" t="s">
        <v>6984</v>
      </c>
      <c r="GDQ37" t="s">
        <v>6984</v>
      </c>
      <c r="GDR37" t="s">
        <v>6984</v>
      </c>
      <c r="GDS37" t="s">
        <v>6984</v>
      </c>
      <c r="GDT37" t="s">
        <v>6984</v>
      </c>
      <c r="GDU37" t="s">
        <v>6984</v>
      </c>
      <c r="GDV37" t="s">
        <v>6984</v>
      </c>
      <c r="GDW37" t="s">
        <v>6984</v>
      </c>
      <c r="GDX37" t="s">
        <v>6984</v>
      </c>
      <c r="GDY37" t="s">
        <v>6984</v>
      </c>
      <c r="GDZ37" t="s">
        <v>6984</v>
      </c>
      <c r="GEA37" t="s">
        <v>6984</v>
      </c>
      <c r="GEB37" t="s">
        <v>6984</v>
      </c>
      <c r="GEC37" t="s">
        <v>6984</v>
      </c>
      <c r="GED37" t="s">
        <v>6984</v>
      </c>
      <c r="GEE37" t="s">
        <v>6984</v>
      </c>
      <c r="GEF37" t="s">
        <v>6984</v>
      </c>
      <c r="GEG37" t="s">
        <v>6984</v>
      </c>
      <c r="GEH37" t="s">
        <v>6984</v>
      </c>
      <c r="GEI37" t="s">
        <v>6984</v>
      </c>
      <c r="GEJ37" t="s">
        <v>6984</v>
      </c>
      <c r="GEK37" t="s">
        <v>6984</v>
      </c>
      <c r="GEL37" t="s">
        <v>6984</v>
      </c>
      <c r="GEM37" t="s">
        <v>6984</v>
      </c>
      <c r="GEN37" t="s">
        <v>6984</v>
      </c>
      <c r="GEO37" t="s">
        <v>6984</v>
      </c>
      <c r="GEP37" t="s">
        <v>6984</v>
      </c>
      <c r="GEQ37" t="s">
        <v>6984</v>
      </c>
      <c r="GER37" t="s">
        <v>6984</v>
      </c>
      <c r="GES37" t="s">
        <v>6984</v>
      </c>
      <c r="GET37" t="s">
        <v>6984</v>
      </c>
      <c r="GEU37" t="s">
        <v>6984</v>
      </c>
      <c r="GEV37" t="s">
        <v>6984</v>
      </c>
      <c r="GEW37" t="s">
        <v>6984</v>
      </c>
      <c r="GEX37" t="s">
        <v>6984</v>
      </c>
      <c r="GEY37" t="s">
        <v>6984</v>
      </c>
      <c r="GEZ37" t="s">
        <v>6984</v>
      </c>
      <c r="GFA37" t="s">
        <v>6984</v>
      </c>
      <c r="GFB37" t="s">
        <v>6984</v>
      </c>
      <c r="GFC37" t="s">
        <v>6984</v>
      </c>
      <c r="GFD37" t="s">
        <v>6984</v>
      </c>
      <c r="GFE37" t="s">
        <v>6984</v>
      </c>
      <c r="GFF37" t="s">
        <v>6984</v>
      </c>
      <c r="GFG37" t="s">
        <v>6984</v>
      </c>
      <c r="GFH37" t="s">
        <v>6984</v>
      </c>
      <c r="GFI37" t="s">
        <v>6984</v>
      </c>
      <c r="GFJ37" t="s">
        <v>6984</v>
      </c>
      <c r="GFK37" t="s">
        <v>6984</v>
      </c>
      <c r="GFL37" t="s">
        <v>6984</v>
      </c>
      <c r="GFM37" t="s">
        <v>6984</v>
      </c>
      <c r="GFN37" t="s">
        <v>6984</v>
      </c>
      <c r="GFO37" t="s">
        <v>6984</v>
      </c>
      <c r="GFP37" t="s">
        <v>6984</v>
      </c>
      <c r="GFQ37" t="s">
        <v>6984</v>
      </c>
      <c r="GFR37" t="s">
        <v>6984</v>
      </c>
      <c r="GFS37" t="s">
        <v>6984</v>
      </c>
      <c r="GFT37" t="s">
        <v>6984</v>
      </c>
      <c r="GFU37" t="s">
        <v>6984</v>
      </c>
      <c r="GFV37" t="s">
        <v>6984</v>
      </c>
      <c r="GFW37" t="s">
        <v>6984</v>
      </c>
      <c r="GFX37" t="s">
        <v>6984</v>
      </c>
      <c r="GFY37" t="s">
        <v>6984</v>
      </c>
      <c r="GFZ37" t="s">
        <v>6984</v>
      </c>
      <c r="GGA37" t="s">
        <v>6984</v>
      </c>
      <c r="GGB37" t="s">
        <v>6984</v>
      </c>
      <c r="GGC37" t="s">
        <v>6984</v>
      </c>
      <c r="GGD37" t="s">
        <v>6984</v>
      </c>
      <c r="GGE37" t="s">
        <v>6984</v>
      </c>
      <c r="GGF37" t="s">
        <v>6984</v>
      </c>
      <c r="GGG37" t="s">
        <v>6984</v>
      </c>
      <c r="GGH37" t="s">
        <v>6984</v>
      </c>
      <c r="GGI37" t="s">
        <v>6984</v>
      </c>
      <c r="GGJ37" t="s">
        <v>6984</v>
      </c>
      <c r="GGK37" t="s">
        <v>6984</v>
      </c>
      <c r="GGL37" t="s">
        <v>6984</v>
      </c>
      <c r="GGM37" t="s">
        <v>6984</v>
      </c>
      <c r="GGN37" t="s">
        <v>6984</v>
      </c>
      <c r="GGO37" t="s">
        <v>6984</v>
      </c>
      <c r="GGP37" t="s">
        <v>6984</v>
      </c>
      <c r="GGQ37" t="s">
        <v>6984</v>
      </c>
      <c r="GGR37" t="s">
        <v>6984</v>
      </c>
      <c r="GGS37" t="s">
        <v>6984</v>
      </c>
      <c r="GGT37" t="s">
        <v>6984</v>
      </c>
      <c r="GGU37" t="s">
        <v>6984</v>
      </c>
      <c r="GGV37" t="s">
        <v>6984</v>
      </c>
      <c r="GGW37" t="s">
        <v>6984</v>
      </c>
      <c r="GGX37" t="s">
        <v>6984</v>
      </c>
      <c r="GGY37" t="s">
        <v>6984</v>
      </c>
      <c r="GGZ37" t="s">
        <v>6984</v>
      </c>
      <c r="GHA37" t="s">
        <v>6984</v>
      </c>
      <c r="GHB37" t="s">
        <v>6984</v>
      </c>
      <c r="GHC37" t="s">
        <v>6984</v>
      </c>
      <c r="GHD37" t="s">
        <v>6984</v>
      </c>
      <c r="GHE37" t="s">
        <v>6984</v>
      </c>
      <c r="GHF37" t="s">
        <v>6984</v>
      </c>
      <c r="GHG37" t="s">
        <v>6984</v>
      </c>
      <c r="GHH37" t="s">
        <v>6984</v>
      </c>
      <c r="GHI37" t="s">
        <v>6984</v>
      </c>
      <c r="GHJ37" t="s">
        <v>6984</v>
      </c>
      <c r="GHK37" t="s">
        <v>6984</v>
      </c>
      <c r="GHL37" t="s">
        <v>6984</v>
      </c>
      <c r="GHM37" t="s">
        <v>6984</v>
      </c>
      <c r="GHN37" t="s">
        <v>6984</v>
      </c>
      <c r="GHO37" t="s">
        <v>6984</v>
      </c>
      <c r="GHP37" t="s">
        <v>6984</v>
      </c>
      <c r="GHQ37" t="s">
        <v>6984</v>
      </c>
      <c r="GHR37" t="s">
        <v>6984</v>
      </c>
      <c r="GHS37" t="s">
        <v>6984</v>
      </c>
      <c r="GHT37" t="s">
        <v>6984</v>
      </c>
      <c r="GHU37" t="s">
        <v>6984</v>
      </c>
      <c r="GHV37" t="s">
        <v>6984</v>
      </c>
      <c r="GHW37" t="s">
        <v>6984</v>
      </c>
      <c r="GHX37" t="s">
        <v>6984</v>
      </c>
      <c r="GHY37" t="s">
        <v>6984</v>
      </c>
      <c r="GHZ37" t="s">
        <v>6984</v>
      </c>
      <c r="GIA37" t="s">
        <v>6984</v>
      </c>
      <c r="GIB37" t="s">
        <v>6984</v>
      </c>
      <c r="GIC37" t="s">
        <v>6984</v>
      </c>
      <c r="GID37" t="s">
        <v>6984</v>
      </c>
      <c r="GIE37" t="s">
        <v>6984</v>
      </c>
      <c r="GIF37" t="s">
        <v>6984</v>
      </c>
      <c r="GIG37" t="s">
        <v>6984</v>
      </c>
      <c r="GIH37" t="s">
        <v>6984</v>
      </c>
      <c r="GII37" t="s">
        <v>6984</v>
      </c>
      <c r="GIJ37" t="s">
        <v>6984</v>
      </c>
      <c r="GIK37" t="s">
        <v>6984</v>
      </c>
      <c r="GIL37" t="s">
        <v>6984</v>
      </c>
      <c r="GIM37" t="s">
        <v>6984</v>
      </c>
      <c r="GIN37" t="s">
        <v>6984</v>
      </c>
      <c r="GIO37" t="s">
        <v>6984</v>
      </c>
      <c r="GIP37" t="s">
        <v>6984</v>
      </c>
      <c r="GIQ37" t="s">
        <v>6984</v>
      </c>
      <c r="GIR37" t="s">
        <v>6984</v>
      </c>
      <c r="GIS37" t="s">
        <v>6984</v>
      </c>
      <c r="GIT37" t="s">
        <v>6984</v>
      </c>
      <c r="GIU37" t="s">
        <v>6984</v>
      </c>
      <c r="GIV37" t="s">
        <v>6984</v>
      </c>
      <c r="GIW37" t="s">
        <v>6984</v>
      </c>
      <c r="GIX37" t="s">
        <v>6984</v>
      </c>
      <c r="GIY37" t="s">
        <v>6984</v>
      </c>
      <c r="GIZ37" t="s">
        <v>6984</v>
      </c>
      <c r="GJA37" t="s">
        <v>6984</v>
      </c>
      <c r="GJB37" t="s">
        <v>6984</v>
      </c>
      <c r="GJC37" t="s">
        <v>6984</v>
      </c>
      <c r="GJD37" t="s">
        <v>6984</v>
      </c>
      <c r="GJE37" t="s">
        <v>6984</v>
      </c>
      <c r="GJF37" t="s">
        <v>6984</v>
      </c>
      <c r="GJG37" t="s">
        <v>6984</v>
      </c>
      <c r="GJH37" t="s">
        <v>6984</v>
      </c>
      <c r="GJI37" t="s">
        <v>6984</v>
      </c>
      <c r="GJJ37" t="s">
        <v>6984</v>
      </c>
      <c r="GJK37" t="s">
        <v>6984</v>
      </c>
      <c r="GJL37" t="s">
        <v>6984</v>
      </c>
      <c r="GJM37" t="s">
        <v>6984</v>
      </c>
      <c r="GJN37" t="s">
        <v>6984</v>
      </c>
      <c r="GJO37" t="s">
        <v>6984</v>
      </c>
      <c r="GJP37" t="s">
        <v>6984</v>
      </c>
      <c r="GJQ37" t="s">
        <v>6984</v>
      </c>
      <c r="GJR37" t="s">
        <v>6984</v>
      </c>
      <c r="GJS37" t="s">
        <v>6984</v>
      </c>
      <c r="GJT37" t="s">
        <v>6984</v>
      </c>
      <c r="GJU37" t="s">
        <v>6984</v>
      </c>
      <c r="GJV37" t="s">
        <v>6984</v>
      </c>
      <c r="GJW37" t="s">
        <v>6984</v>
      </c>
      <c r="GJX37" t="s">
        <v>6984</v>
      </c>
      <c r="GJY37" t="s">
        <v>6984</v>
      </c>
      <c r="GJZ37" t="s">
        <v>6984</v>
      </c>
      <c r="GKA37" t="s">
        <v>6984</v>
      </c>
      <c r="GKB37" t="s">
        <v>6984</v>
      </c>
      <c r="GKC37" t="s">
        <v>6984</v>
      </c>
      <c r="GKD37" t="s">
        <v>6984</v>
      </c>
      <c r="GKE37" t="s">
        <v>6984</v>
      </c>
      <c r="GKF37" t="s">
        <v>6984</v>
      </c>
      <c r="GKG37" t="s">
        <v>6984</v>
      </c>
      <c r="GKH37" t="s">
        <v>6984</v>
      </c>
      <c r="GKI37" t="s">
        <v>6984</v>
      </c>
      <c r="GKJ37" t="s">
        <v>6984</v>
      </c>
      <c r="GKK37" t="s">
        <v>6984</v>
      </c>
      <c r="GKL37" t="s">
        <v>6984</v>
      </c>
      <c r="GKM37" t="s">
        <v>6984</v>
      </c>
      <c r="GKN37" t="s">
        <v>6984</v>
      </c>
      <c r="GKO37" t="s">
        <v>6984</v>
      </c>
      <c r="GKP37" t="s">
        <v>6984</v>
      </c>
      <c r="GKQ37" t="s">
        <v>6984</v>
      </c>
      <c r="GKR37" t="s">
        <v>6984</v>
      </c>
      <c r="GKS37" t="s">
        <v>6984</v>
      </c>
      <c r="GKT37" t="s">
        <v>6984</v>
      </c>
      <c r="GKU37" t="s">
        <v>6984</v>
      </c>
      <c r="GKV37" t="s">
        <v>6984</v>
      </c>
      <c r="GKW37" t="s">
        <v>6984</v>
      </c>
      <c r="GKX37" t="s">
        <v>6984</v>
      </c>
      <c r="GKY37" t="s">
        <v>6984</v>
      </c>
      <c r="GKZ37" t="s">
        <v>6984</v>
      </c>
      <c r="GLA37" t="s">
        <v>6984</v>
      </c>
      <c r="GLB37" t="s">
        <v>6984</v>
      </c>
      <c r="GLC37" t="s">
        <v>6984</v>
      </c>
      <c r="GLD37" t="s">
        <v>6984</v>
      </c>
      <c r="GLE37" t="s">
        <v>6984</v>
      </c>
      <c r="GLF37" t="s">
        <v>6984</v>
      </c>
      <c r="GLG37" t="s">
        <v>6984</v>
      </c>
      <c r="GLH37" t="s">
        <v>6984</v>
      </c>
      <c r="GLI37" t="s">
        <v>6984</v>
      </c>
      <c r="GLJ37" t="s">
        <v>6984</v>
      </c>
      <c r="GLK37" t="s">
        <v>6984</v>
      </c>
      <c r="GLL37" t="s">
        <v>6984</v>
      </c>
      <c r="GLM37" t="s">
        <v>6984</v>
      </c>
      <c r="GLN37" t="s">
        <v>6984</v>
      </c>
      <c r="GLO37" t="s">
        <v>6984</v>
      </c>
      <c r="GLP37" t="s">
        <v>6984</v>
      </c>
      <c r="GLQ37" t="s">
        <v>6984</v>
      </c>
      <c r="GLR37" t="s">
        <v>6984</v>
      </c>
      <c r="GLS37" t="s">
        <v>6984</v>
      </c>
      <c r="GLT37" t="s">
        <v>6984</v>
      </c>
      <c r="GLU37" t="s">
        <v>6984</v>
      </c>
      <c r="GLV37" t="s">
        <v>6984</v>
      </c>
      <c r="GLW37" t="s">
        <v>6984</v>
      </c>
      <c r="GLX37" t="s">
        <v>6984</v>
      </c>
      <c r="GLY37" t="s">
        <v>6984</v>
      </c>
      <c r="GLZ37" t="s">
        <v>6984</v>
      </c>
      <c r="GMA37" t="s">
        <v>6984</v>
      </c>
      <c r="GMB37" t="s">
        <v>6984</v>
      </c>
      <c r="GMC37" t="s">
        <v>6984</v>
      </c>
      <c r="GMD37" t="s">
        <v>6984</v>
      </c>
      <c r="GME37" t="s">
        <v>6984</v>
      </c>
      <c r="GMF37" t="s">
        <v>6984</v>
      </c>
      <c r="GMG37" t="s">
        <v>6984</v>
      </c>
      <c r="GMH37" t="s">
        <v>6984</v>
      </c>
      <c r="GMI37" t="s">
        <v>6984</v>
      </c>
      <c r="GMJ37" t="s">
        <v>6984</v>
      </c>
      <c r="GMK37" t="s">
        <v>6984</v>
      </c>
      <c r="GML37" t="s">
        <v>6984</v>
      </c>
      <c r="GMM37" t="s">
        <v>6984</v>
      </c>
      <c r="GMN37" t="s">
        <v>6984</v>
      </c>
      <c r="GMO37" t="s">
        <v>6984</v>
      </c>
      <c r="GMP37" t="s">
        <v>6984</v>
      </c>
      <c r="GMQ37" t="s">
        <v>6984</v>
      </c>
      <c r="GMR37" t="s">
        <v>6984</v>
      </c>
      <c r="GMS37" t="s">
        <v>6984</v>
      </c>
      <c r="GMT37" t="s">
        <v>6984</v>
      </c>
      <c r="GMU37" t="s">
        <v>6984</v>
      </c>
      <c r="GMV37" t="s">
        <v>6984</v>
      </c>
      <c r="GMW37" t="s">
        <v>6984</v>
      </c>
      <c r="GMX37" t="s">
        <v>6984</v>
      </c>
      <c r="GMY37" t="s">
        <v>6984</v>
      </c>
      <c r="GMZ37" t="s">
        <v>6984</v>
      </c>
      <c r="GNA37" t="s">
        <v>6984</v>
      </c>
      <c r="GNB37" t="s">
        <v>6984</v>
      </c>
      <c r="GNC37" t="s">
        <v>6984</v>
      </c>
      <c r="GND37" t="s">
        <v>6984</v>
      </c>
      <c r="GNE37" t="s">
        <v>6984</v>
      </c>
      <c r="GNF37" t="s">
        <v>6984</v>
      </c>
      <c r="GNG37" t="s">
        <v>6984</v>
      </c>
      <c r="GNH37" t="s">
        <v>6984</v>
      </c>
      <c r="GNI37" t="s">
        <v>6984</v>
      </c>
      <c r="GNJ37" t="s">
        <v>6984</v>
      </c>
      <c r="GNK37" t="s">
        <v>6984</v>
      </c>
      <c r="GNL37" t="s">
        <v>6984</v>
      </c>
      <c r="GNM37" t="s">
        <v>6984</v>
      </c>
      <c r="GNN37" t="s">
        <v>6984</v>
      </c>
      <c r="GNO37" t="s">
        <v>6984</v>
      </c>
      <c r="GNP37" t="s">
        <v>6984</v>
      </c>
      <c r="GNQ37" t="s">
        <v>6984</v>
      </c>
      <c r="GNR37" t="s">
        <v>6984</v>
      </c>
      <c r="GNS37" t="s">
        <v>6984</v>
      </c>
      <c r="GNT37" t="s">
        <v>6984</v>
      </c>
      <c r="GNU37" t="s">
        <v>6984</v>
      </c>
      <c r="GNV37" t="s">
        <v>6984</v>
      </c>
      <c r="GNW37" t="s">
        <v>6984</v>
      </c>
      <c r="GNX37" t="s">
        <v>6984</v>
      </c>
      <c r="GNY37" t="s">
        <v>6984</v>
      </c>
      <c r="GNZ37" t="s">
        <v>6984</v>
      </c>
      <c r="GOA37" t="s">
        <v>6984</v>
      </c>
      <c r="GOB37" t="s">
        <v>6984</v>
      </c>
      <c r="GOC37" t="s">
        <v>6984</v>
      </c>
      <c r="GOD37" t="s">
        <v>6984</v>
      </c>
      <c r="GOE37" t="s">
        <v>6984</v>
      </c>
      <c r="GOF37" t="s">
        <v>6984</v>
      </c>
      <c r="GOG37" t="s">
        <v>6984</v>
      </c>
      <c r="GOH37" t="s">
        <v>6984</v>
      </c>
      <c r="GOI37" t="s">
        <v>6984</v>
      </c>
      <c r="GOJ37" t="s">
        <v>6984</v>
      </c>
      <c r="GOK37" t="s">
        <v>6984</v>
      </c>
      <c r="GOL37" t="s">
        <v>6984</v>
      </c>
      <c r="GOM37" t="s">
        <v>6984</v>
      </c>
      <c r="GON37" t="s">
        <v>6984</v>
      </c>
      <c r="GOO37" t="s">
        <v>6984</v>
      </c>
      <c r="GOP37" t="s">
        <v>6984</v>
      </c>
      <c r="GOQ37" t="s">
        <v>6984</v>
      </c>
      <c r="GOR37" t="s">
        <v>6984</v>
      </c>
      <c r="GOS37" t="s">
        <v>6984</v>
      </c>
      <c r="GOT37" t="s">
        <v>6984</v>
      </c>
      <c r="GOU37" t="s">
        <v>6984</v>
      </c>
      <c r="GOV37" t="s">
        <v>6984</v>
      </c>
      <c r="GOW37" t="s">
        <v>6984</v>
      </c>
      <c r="GOX37" t="s">
        <v>6984</v>
      </c>
      <c r="GOY37" t="s">
        <v>6984</v>
      </c>
      <c r="GOZ37" t="s">
        <v>6984</v>
      </c>
      <c r="GPA37" t="s">
        <v>6984</v>
      </c>
      <c r="GPB37" t="s">
        <v>6984</v>
      </c>
      <c r="GPC37" t="s">
        <v>6984</v>
      </c>
      <c r="GPD37" t="s">
        <v>6984</v>
      </c>
      <c r="GPE37" t="s">
        <v>6984</v>
      </c>
      <c r="GPF37" t="s">
        <v>6984</v>
      </c>
      <c r="GPG37" t="s">
        <v>6984</v>
      </c>
      <c r="GPH37" t="s">
        <v>6984</v>
      </c>
      <c r="GPI37" t="s">
        <v>6984</v>
      </c>
      <c r="GPJ37" t="s">
        <v>6984</v>
      </c>
      <c r="GPK37" t="s">
        <v>6984</v>
      </c>
      <c r="GPL37" t="s">
        <v>6984</v>
      </c>
      <c r="GPM37" t="s">
        <v>6984</v>
      </c>
      <c r="GPN37" t="s">
        <v>6984</v>
      </c>
      <c r="GPO37" t="s">
        <v>6984</v>
      </c>
      <c r="GPP37" t="s">
        <v>6984</v>
      </c>
      <c r="GPQ37" t="s">
        <v>6984</v>
      </c>
      <c r="GPR37" t="s">
        <v>6984</v>
      </c>
      <c r="GPS37" t="s">
        <v>6984</v>
      </c>
      <c r="GPT37" t="s">
        <v>6984</v>
      </c>
      <c r="GPU37" t="s">
        <v>6984</v>
      </c>
      <c r="GPV37" t="s">
        <v>6984</v>
      </c>
      <c r="GPW37" t="s">
        <v>6984</v>
      </c>
      <c r="GPX37" t="s">
        <v>6984</v>
      </c>
      <c r="GPY37" t="s">
        <v>6984</v>
      </c>
      <c r="GPZ37" t="s">
        <v>6984</v>
      </c>
      <c r="GQA37" t="s">
        <v>6984</v>
      </c>
      <c r="GQB37" t="s">
        <v>6984</v>
      </c>
      <c r="GQC37" t="s">
        <v>6984</v>
      </c>
      <c r="GQD37" t="s">
        <v>6984</v>
      </c>
      <c r="GQE37" t="s">
        <v>6984</v>
      </c>
      <c r="GQF37" t="s">
        <v>6984</v>
      </c>
      <c r="GQG37" t="s">
        <v>6984</v>
      </c>
      <c r="GQH37" t="s">
        <v>6984</v>
      </c>
      <c r="GQI37" t="s">
        <v>6984</v>
      </c>
      <c r="GQJ37" t="s">
        <v>6984</v>
      </c>
      <c r="GQK37" t="s">
        <v>6984</v>
      </c>
      <c r="GQL37" t="s">
        <v>6984</v>
      </c>
      <c r="GQM37" t="s">
        <v>6984</v>
      </c>
      <c r="GQN37" t="s">
        <v>6984</v>
      </c>
      <c r="GQO37" t="s">
        <v>6984</v>
      </c>
      <c r="GQP37" t="s">
        <v>6984</v>
      </c>
      <c r="GQQ37" t="s">
        <v>6984</v>
      </c>
      <c r="GQR37" t="s">
        <v>6984</v>
      </c>
      <c r="GQS37" t="s">
        <v>6984</v>
      </c>
      <c r="GQT37" t="s">
        <v>6984</v>
      </c>
      <c r="GQU37" t="s">
        <v>6984</v>
      </c>
      <c r="GQV37" t="s">
        <v>6984</v>
      </c>
      <c r="GQW37" t="s">
        <v>6984</v>
      </c>
      <c r="GQX37" t="s">
        <v>6984</v>
      </c>
      <c r="GQY37" t="s">
        <v>6984</v>
      </c>
      <c r="GQZ37" t="s">
        <v>6984</v>
      </c>
      <c r="GRA37" t="s">
        <v>6984</v>
      </c>
      <c r="GRB37" t="s">
        <v>6984</v>
      </c>
      <c r="GRC37" t="s">
        <v>6984</v>
      </c>
      <c r="GRD37" t="s">
        <v>6984</v>
      </c>
      <c r="GRE37" t="s">
        <v>6984</v>
      </c>
      <c r="GRF37" t="s">
        <v>6984</v>
      </c>
      <c r="GRG37" t="s">
        <v>6984</v>
      </c>
      <c r="GRH37" t="s">
        <v>6984</v>
      </c>
      <c r="GRI37" t="s">
        <v>6984</v>
      </c>
      <c r="GRJ37" t="s">
        <v>6984</v>
      </c>
      <c r="GRK37" t="s">
        <v>6984</v>
      </c>
      <c r="GRL37" t="s">
        <v>6984</v>
      </c>
      <c r="GRM37" t="s">
        <v>6984</v>
      </c>
      <c r="GRN37" t="s">
        <v>6984</v>
      </c>
      <c r="GRO37" t="s">
        <v>6984</v>
      </c>
      <c r="GRP37" t="s">
        <v>6984</v>
      </c>
      <c r="GRQ37" t="s">
        <v>6984</v>
      </c>
      <c r="GRR37" t="s">
        <v>6984</v>
      </c>
      <c r="GRS37" t="s">
        <v>6984</v>
      </c>
      <c r="GRT37" t="s">
        <v>6984</v>
      </c>
      <c r="GRU37" t="s">
        <v>6984</v>
      </c>
      <c r="GRV37" t="s">
        <v>6984</v>
      </c>
      <c r="GRW37" t="s">
        <v>6984</v>
      </c>
      <c r="GRX37" t="s">
        <v>6984</v>
      </c>
      <c r="GRY37" t="s">
        <v>6984</v>
      </c>
      <c r="GRZ37" t="s">
        <v>6984</v>
      </c>
      <c r="GSA37" t="s">
        <v>6984</v>
      </c>
      <c r="GSB37" t="s">
        <v>6984</v>
      </c>
      <c r="GSC37" t="s">
        <v>6984</v>
      </c>
      <c r="GSD37" t="s">
        <v>6984</v>
      </c>
      <c r="GSE37" t="s">
        <v>6984</v>
      </c>
      <c r="GSF37" t="s">
        <v>6984</v>
      </c>
      <c r="GSG37" t="s">
        <v>6984</v>
      </c>
      <c r="GSH37" t="s">
        <v>6984</v>
      </c>
      <c r="GSI37" t="s">
        <v>6984</v>
      </c>
      <c r="GSJ37" t="s">
        <v>6984</v>
      </c>
      <c r="GSK37" t="s">
        <v>6984</v>
      </c>
      <c r="GSL37" t="s">
        <v>6984</v>
      </c>
      <c r="GSM37" t="s">
        <v>6984</v>
      </c>
      <c r="GSN37" t="s">
        <v>6984</v>
      </c>
      <c r="GSO37" t="s">
        <v>6984</v>
      </c>
      <c r="GSP37" t="s">
        <v>6984</v>
      </c>
      <c r="GSQ37" t="s">
        <v>6984</v>
      </c>
      <c r="GSR37" t="s">
        <v>6984</v>
      </c>
      <c r="GSS37" t="s">
        <v>6984</v>
      </c>
      <c r="GST37" t="s">
        <v>6984</v>
      </c>
      <c r="GSU37" t="s">
        <v>6984</v>
      </c>
      <c r="GSV37" t="s">
        <v>6984</v>
      </c>
      <c r="GSW37" t="s">
        <v>6984</v>
      </c>
      <c r="GSX37" t="s">
        <v>6984</v>
      </c>
      <c r="GSY37" t="s">
        <v>6984</v>
      </c>
      <c r="GSZ37" t="s">
        <v>6984</v>
      </c>
      <c r="GTA37" t="s">
        <v>6984</v>
      </c>
      <c r="GTB37" t="s">
        <v>6984</v>
      </c>
      <c r="GTC37" t="s">
        <v>6984</v>
      </c>
      <c r="GTD37" t="s">
        <v>6984</v>
      </c>
      <c r="GTE37" t="s">
        <v>6984</v>
      </c>
      <c r="GTF37" t="s">
        <v>6984</v>
      </c>
      <c r="GTG37" t="s">
        <v>6984</v>
      </c>
      <c r="GTH37" t="s">
        <v>6984</v>
      </c>
      <c r="GTI37" t="s">
        <v>6984</v>
      </c>
      <c r="GTJ37" t="s">
        <v>6984</v>
      </c>
      <c r="GTK37" t="s">
        <v>6984</v>
      </c>
      <c r="GTL37" t="s">
        <v>6984</v>
      </c>
      <c r="GTM37" t="s">
        <v>6984</v>
      </c>
      <c r="GTN37" t="s">
        <v>6984</v>
      </c>
      <c r="GTO37" t="s">
        <v>6984</v>
      </c>
      <c r="GTP37" t="s">
        <v>6984</v>
      </c>
      <c r="GTQ37" t="s">
        <v>6984</v>
      </c>
      <c r="GTR37" t="s">
        <v>6984</v>
      </c>
      <c r="GTS37" t="s">
        <v>6984</v>
      </c>
      <c r="GTT37" t="s">
        <v>6984</v>
      </c>
      <c r="GTU37" t="s">
        <v>6984</v>
      </c>
      <c r="GTV37" t="s">
        <v>6984</v>
      </c>
      <c r="GTW37" t="s">
        <v>6984</v>
      </c>
      <c r="GTX37" t="s">
        <v>6984</v>
      </c>
      <c r="GTY37" t="s">
        <v>6984</v>
      </c>
      <c r="GTZ37" t="s">
        <v>6984</v>
      </c>
      <c r="GUA37" t="s">
        <v>6984</v>
      </c>
      <c r="GUB37" t="s">
        <v>6984</v>
      </c>
      <c r="GUC37" t="s">
        <v>6984</v>
      </c>
      <c r="GUD37" t="s">
        <v>6984</v>
      </c>
      <c r="GUE37" t="s">
        <v>6984</v>
      </c>
      <c r="GUF37" t="s">
        <v>6984</v>
      </c>
      <c r="GUG37" t="s">
        <v>6984</v>
      </c>
      <c r="GUH37" t="s">
        <v>6984</v>
      </c>
      <c r="GUI37" t="s">
        <v>6984</v>
      </c>
      <c r="GUJ37" t="s">
        <v>6984</v>
      </c>
      <c r="GUK37" t="s">
        <v>6984</v>
      </c>
      <c r="GUL37" t="s">
        <v>6984</v>
      </c>
      <c r="GUM37" t="s">
        <v>6984</v>
      </c>
      <c r="GUN37" t="s">
        <v>6984</v>
      </c>
      <c r="GUO37" t="s">
        <v>6984</v>
      </c>
      <c r="GUP37" t="s">
        <v>6984</v>
      </c>
      <c r="GUQ37" t="s">
        <v>6984</v>
      </c>
      <c r="GUR37" t="s">
        <v>6984</v>
      </c>
      <c r="GUS37" t="s">
        <v>6984</v>
      </c>
      <c r="GUT37" t="s">
        <v>6984</v>
      </c>
      <c r="GUU37" t="s">
        <v>6984</v>
      </c>
      <c r="GUV37" t="s">
        <v>6984</v>
      </c>
      <c r="GUW37" t="s">
        <v>6984</v>
      </c>
      <c r="GUX37" t="s">
        <v>6984</v>
      </c>
      <c r="GUY37" t="s">
        <v>6984</v>
      </c>
      <c r="GUZ37" t="s">
        <v>6984</v>
      </c>
      <c r="GVA37" t="s">
        <v>6984</v>
      </c>
      <c r="GVB37" t="s">
        <v>6984</v>
      </c>
      <c r="GVC37" t="s">
        <v>6984</v>
      </c>
      <c r="GVD37" t="s">
        <v>6984</v>
      </c>
      <c r="GVE37" t="s">
        <v>6984</v>
      </c>
      <c r="GVF37" t="s">
        <v>6984</v>
      </c>
      <c r="GVG37" t="s">
        <v>6984</v>
      </c>
      <c r="GVH37" t="s">
        <v>6984</v>
      </c>
      <c r="GVI37" t="s">
        <v>6984</v>
      </c>
      <c r="GVJ37" t="s">
        <v>6984</v>
      </c>
      <c r="GVK37" t="s">
        <v>6984</v>
      </c>
      <c r="GVL37" t="s">
        <v>6984</v>
      </c>
      <c r="GVM37" t="s">
        <v>6984</v>
      </c>
      <c r="GVN37" t="s">
        <v>6984</v>
      </c>
      <c r="GVO37" t="s">
        <v>6984</v>
      </c>
      <c r="GVP37" t="s">
        <v>6984</v>
      </c>
      <c r="GVQ37" t="s">
        <v>6984</v>
      </c>
      <c r="GVR37" t="s">
        <v>6984</v>
      </c>
      <c r="GVS37" t="s">
        <v>6984</v>
      </c>
      <c r="GVT37" t="s">
        <v>6984</v>
      </c>
      <c r="GVU37" t="s">
        <v>6984</v>
      </c>
      <c r="GVV37" t="s">
        <v>6984</v>
      </c>
      <c r="GVW37" t="s">
        <v>6984</v>
      </c>
      <c r="GVX37" t="s">
        <v>6984</v>
      </c>
      <c r="GVY37" t="s">
        <v>6984</v>
      </c>
      <c r="GVZ37" t="s">
        <v>6984</v>
      </c>
      <c r="GWA37" t="s">
        <v>6984</v>
      </c>
      <c r="GWB37" t="s">
        <v>6984</v>
      </c>
      <c r="GWC37" t="s">
        <v>6984</v>
      </c>
      <c r="GWD37" t="s">
        <v>6984</v>
      </c>
      <c r="GWE37" t="s">
        <v>6984</v>
      </c>
      <c r="GWF37" t="s">
        <v>6984</v>
      </c>
      <c r="GWG37" t="s">
        <v>6984</v>
      </c>
      <c r="GWH37" t="s">
        <v>6984</v>
      </c>
      <c r="GWI37" t="s">
        <v>6984</v>
      </c>
      <c r="GWJ37" t="s">
        <v>6984</v>
      </c>
      <c r="GWK37" t="s">
        <v>6984</v>
      </c>
      <c r="GWL37" t="s">
        <v>6984</v>
      </c>
      <c r="GWM37" t="s">
        <v>6984</v>
      </c>
      <c r="GWN37" t="s">
        <v>6984</v>
      </c>
      <c r="GWO37" t="s">
        <v>6984</v>
      </c>
      <c r="GWP37" t="s">
        <v>6984</v>
      </c>
      <c r="GWQ37" t="s">
        <v>6984</v>
      </c>
      <c r="GWR37" t="s">
        <v>6984</v>
      </c>
      <c r="GWS37" t="s">
        <v>6984</v>
      </c>
      <c r="GWT37" t="s">
        <v>6984</v>
      </c>
      <c r="GWU37" t="s">
        <v>6984</v>
      </c>
      <c r="GWV37" t="s">
        <v>6984</v>
      </c>
      <c r="GWW37" t="s">
        <v>6984</v>
      </c>
      <c r="GWX37" t="s">
        <v>6984</v>
      </c>
      <c r="GWY37" t="s">
        <v>6984</v>
      </c>
      <c r="GWZ37" t="s">
        <v>6984</v>
      </c>
      <c r="GXA37" t="s">
        <v>6984</v>
      </c>
      <c r="GXB37" t="s">
        <v>6984</v>
      </c>
      <c r="GXC37" t="s">
        <v>6984</v>
      </c>
      <c r="GXD37" t="s">
        <v>6984</v>
      </c>
      <c r="GXE37" t="s">
        <v>6984</v>
      </c>
      <c r="GXF37" t="s">
        <v>6984</v>
      </c>
      <c r="GXG37" t="s">
        <v>6984</v>
      </c>
      <c r="GXH37" t="s">
        <v>6984</v>
      </c>
      <c r="GXI37" t="s">
        <v>6984</v>
      </c>
      <c r="GXJ37" t="s">
        <v>6984</v>
      </c>
      <c r="GXK37" t="s">
        <v>6984</v>
      </c>
      <c r="GXL37" t="s">
        <v>6984</v>
      </c>
      <c r="GXM37" t="s">
        <v>6984</v>
      </c>
      <c r="GXN37" t="s">
        <v>6984</v>
      </c>
      <c r="GXO37" t="s">
        <v>6984</v>
      </c>
      <c r="GXP37" t="s">
        <v>6984</v>
      </c>
      <c r="GXQ37" t="s">
        <v>6984</v>
      </c>
      <c r="GXR37" t="s">
        <v>6984</v>
      </c>
      <c r="GXS37" t="s">
        <v>6984</v>
      </c>
      <c r="GXT37" t="s">
        <v>6984</v>
      </c>
      <c r="GXU37" t="s">
        <v>6984</v>
      </c>
      <c r="GXV37" t="s">
        <v>6984</v>
      </c>
      <c r="GXW37" t="s">
        <v>6984</v>
      </c>
      <c r="GXX37" t="s">
        <v>6984</v>
      </c>
      <c r="GXY37" t="s">
        <v>6984</v>
      </c>
      <c r="GXZ37" t="s">
        <v>6984</v>
      </c>
      <c r="GYA37" t="s">
        <v>6984</v>
      </c>
      <c r="GYB37" t="s">
        <v>6984</v>
      </c>
      <c r="GYC37" t="s">
        <v>6984</v>
      </c>
      <c r="GYD37" t="s">
        <v>6984</v>
      </c>
      <c r="GYE37" t="s">
        <v>6984</v>
      </c>
      <c r="GYF37" t="s">
        <v>6984</v>
      </c>
      <c r="GYG37" t="s">
        <v>6984</v>
      </c>
      <c r="GYH37" t="s">
        <v>6984</v>
      </c>
      <c r="GYI37" t="s">
        <v>6984</v>
      </c>
      <c r="GYJ37" t="s">
        <v>6984</v>
      </c>
      <c r="GYK37" t="s">
        <v>6984</v>
      </c>
      <c r="GYL37" t="s">
        <v>6984</v>
      </c>
      <c r="GYM37" t="s">
        <v>6984</v>
      </c>
      <c r="GYN37" t="s">
        <v>6984</v>
      </c>
      <c r="GYO37" t="s">
        <v>6984</v>
      </c>
      <c r="GYP37" t="s">
        <v>6984</v>
      </c>
      <c r="GYQ37" t="s">
        <v>6984</v>
      </c>
      <c r="GYR37" t="s">
        <v>6984</v>
      </c>
      <c r="GYS37" t="s">
        <v>6984</v>
      </c>
      <c r="GYT37" t="s">
        <v>6984</v>
      </c>
      <c r="GYU37" t="s">
        <v>6984</v>
      </c>
      <c r="GYV37" t="s">
        <v>6984</v>
      </c>
      <c r="GYW37" t="s">
        <v>6984</v>
      </c>
      <c r="GYX37" t="s">
        <v>6984</v>
      </c>
      <c r="GYY37" t="s">
        <v>6984</v>
      </c>
      <c r="GYZ37" t="s">
        <v>6984</v>
      </c>
      <c r="GZA37" t="s">
        <v>6984</v>
      </c>
      <c r="GZB37" t="s">
        <v>6984</v>
      </c>
      <c r="GZC37" t="s">
        <v>6984</v>
      </c>
      <c r="GZD37" t="s">
        <v>6984</v>
      </c>
      <c r="GZE37" t="s">
        <v>6984</v>
      </c>
      <c r="GZF37" t="s">
        <v>6984</v>
      </c>
      <c r="GZG37" t="s">
        <v>6984</v>
      </c>
      <c r="GZH37" t="s">
        <v>6984</v>
      </c>
      <c r="GZI37" t="s">
        <v>6984</v>
      </c>
      <c r="GZJ37" t="s">
        <v>6984</v>
      </c>
      <c r="GZK37" t="s">
        <v>6984</v>
      </c>
      <c r="GZL37" t="s">
        <v>6984</v>
      </c>
      <c r="GZM37" t="s">
        <v>6984</v>
      </c>
      <c r="GZN37" t="s">
        <v>6984</v>
      </c>
      <c r="GZO37" t="s">
        <v>6984</v>
      </c>
      <c r="GZP37" t="s">
        <v>6984</v>
      </c>
      <c r="GZQ37" t="s">
        <v>6984</v>
      </c>
      <c r="GZR37" t="s">
        <v>6984</v>
      </c>
      <c r="GZS37" t="s">
        <v>6984</v>
      </c>
      <c r="GZT37" t="s">
        <v>6984</v>
      </c>
      <c r="GZU37" t="s">
        <v>6984</v>
      </c>
      <c r="GZV37" t="s">
        <v>6984</v>
      </c>
      <c r="GZW37" t="s">
        <v>6984</v>
      </c>
      <c r="GZX37" t="s">
        <v>6984</v>
      </c>
      <c r="GZY37" t="s">
        <v>6984</v>
      </c>
      <c r="GZZ37" t="s">
        <v>6984</v>
      </c>
      <c r="HAA37" t="s">
        <v>6984</v>
      </c>
      <c r="HAB37" t="s">
        <v>6984</v>
      </c>
      <c r="HAC37" t="s">
        <v>6984</v>
      </c>
      <c r="HAD37" t="s">
        <v>6984</v>
      </c>
      <c r="HAE37" t="s">
        <v>6984</v>
      </c>
      <c r="HAF37" t="s">
        <v>6984</v>
      </c>
      <c r="HAG37" t="s">
        <v>6984</v>
      </c>
      <c r="HAH37" t="s">
        <v>6984</v>
      </c>
      <c r="HAI37" t="s">
        <v>6984</v>
      </c>
      <c r="HAJ37" t="s">
        <v>6984</v>
      </c>
      <c r="HAK37" t="s">
        <v>6984</v>
      </c>
      <c r="HAL37" t="s">
        <v>6984</v>
      </c>
      <c r="HAM37" t="s">
        <v>6984</v>
      </c>
      <c r="HAN37" t="s">
        <v>6984</v>
      </c>
      <c r="HAO37" t="s">
        <v>6984</v>
      </c>
      <c r="HAP37" t="s">
        <v>6984</v>
      </c>
      <c r="HAQ37" t="s">
        <v>6984</v>
      </c>
      <c r="HAR37" t="s">
        <v>6984</v>
      </c>
      <c r="HAS37" t="s">
        <v>6984</v>
      </c>
      <c r="HAT37" t="s">
        <v>6984</v>
      </c>
      <c r="HAU37" t="s">
        <v>6984</v>
      </c>
      <c r="HAV37" t="s">
        <v>6984</v>
      </c>
      <c r="HAW37" t="s">
        <v>6984</v>
      </c>
      <c r="HAX37" t="s">
        <v>6984</v>
      </c>
      <c r="HAY37" t="s">
        <v>6984</v>
      </c>
      <c r="HAZ37" t="s">
        <v>6984</v>
      </c>
      <c r="HBA37" t="s">
        <v>6984</v>
      </c>
      <c r="HBB37" t="s">
        <v>6984</v>
      </c>
      <c r="HBC37" t="s">
        <v>6984</v>
      </c>
      <c r="HBD37" t="s">
        <v>6984</v>
      </c>
      <c r="HBE37" t="s">
        <v>6984</v>
      </c>
      <c r="HBF37" t="s">
        <v>6984</v>
      </c>
      <c r="HBG37" t="s">
        <v>6984</v>
      </c>
      <c r="HBH37" t="s">
        <v>6984</v>
      </c>
      <c r="HBI37" t="s">
        <v>6984</v>
      </c>
      <c r="HBJ37" t="s">
        <v>6984</v>
      </c>
      <c r="HBK37" t="s">
        <v>6984</v>
      </c>
      <c r="HBL37" t="s">
        <v>6984</v>
      </c>
      <c r="HBM37" t="s">
        <v>6984</v>
      </c>
      <c r="HBN37" t="s">
        <v>6984</v>
      </c>
      <c r="HBO37" t="s">
        <v>6984</v>
      </c>
      <c r="HBP37" t="s">
        <v>6984</v>
      </c>
      <c r="HBQ37" t="s">
        <v>6984</v>
      </c>
      <c r="HBR37" t="s">
        <v>6984</v>
      </c>
      <c r="HBS37" t="s">
        <v>6984</v>
      </c>
      <c r="HBT37" t="s">
        <v>6984</v>
      </c>
      <c r="HBU37" t="s">
        <v>6984</v>
      </c>
      <c r="HBV37" t="s">
        <v>6984</v>
      </c>
      <c r="HBW37" t="s">
        <v>6984</v>
      </c>
      <c r="HBX37" t="s">
        <v>6984</v>
      </c>
      <c r="HBY37" t="s">
        <v>6984</v>
      </c>
      <c r="HBZ37" t="s">
        <v>6984</v>
      </c>
      <c r="HCA37" t="s">
        <v>6984</v>
      </c>
      <c r="HCB37" t="s">
        <v>6984</v>
      </c>
      <c r="HCC37" t="s">
        <v>6984</v>
      </c>
      <c r="HCD37" t="s">
        <v>6984</v>
      </c>
      <c r="HCE37" t="s">
        <v>6984</v>
      </c>
      <c r="HCF37" t="s">
        <v>6984</v>
      </c>
      <c r="HCG37" t="s">
        <v>6984</v>
      </c>
      <c r="HCH37" t="s">
        <v>6984</v>
      </c>
      <c r="HCI37" t="s">
        <v>6984</v>
      </c>
      <c r="HCJ37" t="s">
        <v>6984</v>
      </c>
      <c r="HCK37" t="s">
        <v>6984</v>
      </c>
      <c r="HCL37" t="s">
        <v>6984</v>
      </c>
      <c r="HCM37" t="s">
        <v>6984</v>
      </c>
      <c r="HCN37" t="s">
        <v>6984</v>
      </c>
      <c r="HCO37" t="s">
        <v>6984</v>
      </c>
      <c r="HCP37" t="s">
        <v>6984</v>
      </c>
      <c r="HCQ37" t="s">
        <v>6984</v>
      </c>
      <c r="HCR37" t="s">
        <v>6984</v>
      </c>
      <c r="HCS37" t="s">
        <v>6984</v>
      </c>
      <c r="HCT37" t="s">
        <v>6984</v>
      </c>
      <c r="HCU37" t="s">
        <v>6984</v>
      </c>
      <c r="HCV37" t="s">
        <v>6984</v>
      </c>
      <c r="HCW37" t="s">
        <v>6984</v>
      </c>
      <c r="HCX37" t="s">
        <v>6984</v>
      </c>
      <c r="HCY37" t="s">
        <v>6984</v>
      </c>
      <c r="HCZ37" t="s">
        <v>6984</v>
      </c>
      <c r="HDA37" t="s">
        <v>6984</v>
      </c>
      <c r="HDB37" t="s">
        <v>6984</v>
      </c>
      <c r="HDC37" t="s">
        <v>6984</v>
      </c>
      <c r="HDD37" t="s">
        <v>6984</v>
      </c>
      <c r="HDE37" t="s">
        <v>6984</v>
      </c>
      <c r="HDF37" t="s">
        <v>6984</v>
      </c>
      <c r="HDG37" t="s">
        <v>6984</v>
      </c>
      <c r="HDH37" t="s">
        <v>6984</v>
      </c>
      <c r="HDI37" t="s">
        <v>6984</v>
      </c>
      <c r="HDJ37" t="s">
        <v>6984</v>
      </c>
      <c r="HDK37" t="s">
        <v>6984</v>
      </c>
      <c r="HDL37" t="s">
        <v>6984</v>
      </c>
      <c r="HDM37" t="s">
        <v>6984</v>
      </c>
      <c r="HDN37" t="s">
        <v>6984</v>
      </c>
      <c r="HDO37" t="s">
        <v>6984</v>
      </c>
      <c r="HDP37" t="s">
        <v>6984</v>
      </c>
      <c r="HDQ37" t="s">
        <v>6984</v>
      </c>
      <c r="HDR37" t="s">
        <v>6984</v>
      </c>
      <c r="HDS37" t="s">
        <v>6984</v>
      </c>
      <c r="HDT37" t="s">
        <v>6984</v>
      </c>
      <c r="HDU37" t="s">
        <v>6984</v>
      </c>
      <c r="HDV37" t="s">
        <v>6984</v>
      </c>
      <c r="HDW37" t="s">
        <v>6984</v>
      </c>
      <c r="HDX37" t="s">
        <v>6984</v>
      </c>
      <c r="HDY37" t="s">
        <v>6984</v>
      </c>
      <c r="HDZ37" t="s">
        <v>6984</v>
      </c>
      <c r="HEA37" t="s">
        <v>6984</v>
      </c>
      <c r="HEB37" t="s">
        <v>6984</v>
      </c>
      <c r="HEC37" t="s">
        <v>6984</v>
      </c>
      <c r="HED37" t="s">
        <v>6984</v>
      </c>
      <c r="HEE37" t="s">
        <v>6984</v>
      </c>
      <c r="HEF37" t="s">
        <v>6984</v>
      </c>
      <c r="HEG37" t="s">
        <v>6984</v>
      </c>
      <c r="HEH37" t="s">
        <v>6984</v>
      </c>
      <c r="HEI37" t="s">
        <v>6984</v>
      </c>
      <c r="HEJ37" t="s">
        <v>6984</v>
      </c>
      <c r="HEK37" t="s">
        <v>6984</v>
      </c>
      <c r="HEL37" t="s">
        <v>6984</v>
      </c>
      <c r="HEM37" t="s">
        <v>6984</v>
      </c>
      <c r="HEN37" t="s">
        <v>6984</v>
      </c>
      <c r="HEO37" t="s">
        <v>6984</v>
      </c>
      <c r="HEP37" t="s">
        <v>6984</v>
      </c>
      <c r="HEQ37" t="s">
        <v>6984</v>
      </c>
      <c r="HER37" t="s">
        <v>6984</v>
      </c>
      <c r="HES37" t="s">
        <v>6984</v>
      </c>
      <c r="HET37" t="s">
        <v>6984</v>
      </c>
      <c r="HEU37" t="s">
        <v>6984</v>
      </c>
      <c r="HEV37" t="s">
        <v>6984</v>
      </c>
      <c r="HEW37" t="s">
        <v>6984</v>
      </c>
      <c r="HEX37" t="s">
        <v>6984</v>
      </c>
      <c r="HEY37" t="s">
        <v>6984</v>
      </c>
      <c r="HEZ37" t="s">
        <v>6984</v>
      </c>
      <c r="HFA37" t="s">
        <v>6984</v>
      </c>
      <c r="HFB37" t="s">
        <v>6984</v>
      </c>
      <c r="HFC37" t="s">
        <v>6984</v>
      </c>
      <c r="HFD37" t="s">
        <v>6984</v>
      </c>
      <c r="HFE37" t="s">
        <v>6984</v>
      </c>
      <c r="HFF37" t="s">
        <v>6984</v>
      </c>
      <c r="HFG37" t="s">
        <v>6984</v>
      </c>
      <c r="HFH37" t="s">
        <v>6984</v>
      </c>
      <c r="HFI37" t="s">
        <v>6984</v>
      </c>
      <c r="HFJ37" t="s">
        <v>6984</v>
      </c>
      <c r="HFK37" t="s">
        <v>6984</v>
      </c>
      <c r="HFL37" t="s">
        <v>6984</v>
      </c>
      <c r="HFM37" t="s">
        <v>6984</v>
      </c>
      <c r="HFN37" t="s">
        <v>6984</v>
      </c>
      <c r="HFO37" t="s">
        <v>6984</v>
      </c>
      <c r="HFP37" t="s">
        <v>6984</v>
      </c>
      <c r="HFQ37" t="s">
        <v>6984</v>
      </c>
      <c r="HFR37" t="s">
        <v>6984</v>
      </c>
      <c r="HFS37" t="s">
        <v>6984</v>
      </c>
      <c r="HFT37" t="s">
        <v>6984</v>
      </c>
      <c r="HFU37" t="s">
        <v>6984</v>
      </c>
      <c r="HFV37" t="s">
        <v>6984</v>
      </c>
      <c r="HFW37" t="s">
        <v>6984</v>
      </c>
      <c r="HFX37" t="s">
        <v>6984</v>
      </c>
      <c r="HFY37" t="s">
        <v>6984</v>
      </c>
      <c r="HFZ37" t="s">
        <v>6984</v>
      </c>
      <c r="HGA37" t="s">
        <v>6984</v>
      </c>
      <c r="HGB37" t="s">
        <v>6984</v>
      </c>
      <c r="HGC37" t="s">
        <v>6984</v>
      </c>
      <c r="HGD37" t="s">
        <v>6984</v>
      </c>
      <c r="HGE37" t="s">
        <v>6984</v>
      </c>
      <c r="HGF37" t="s">
        <v>6984</v>
      </c>
      <c r="HGG37" t="s">
        <v>6984</v>
      </c>
      <c r="HGH37" t="s">
        <v>6984</v>
      </c>
      <c r="HGI37" t="s">
        <v>6984</v>
      </c>
      <c r="HGJ37" t="s">
        <v>6984</v>
      </c>
      <c r="HGK37" t="s">
        <v>6984</v>
      </c>
      <c r="HGL37" t="s">
        <v>6984</v>
      </c>
      <c r="HGM37" t="s">
        <v>6984</v>
      </c>
      <c r="HGN37" t="s">
        <v>6984</v>
      </c>
      <c r="HGO37" t="s">
        <v>6984</v>
      </c>
      <c r="HGP37" t="s">
        <v>6984</v>
      </c>
      <c r="HGQ37" t="s">
        <v>6984</v>
      </c>
      <c r="HGR37" t="s">
        <v>6984</v>
      </c>
      <c r="HGS37" t="s">
        <v>6984</v>
      </c>
      <c r="HGT37" t="s">
        <v>6984</v>
      </c>
      <c r="HGU37" t="s">
        <v>6984</v>
      </c>
      <c r="HGV37" t="s">
        <v>6984</v>
      </c>
      <c r="HGW37" t="s">
        <v>6984</v>
      </c>
      <c r="HGX37" t="s">
        <v>6984</v>
      </c>
      <c r="HGY37" t="s">
        <v>6984</v>
      </c>
      <c r="HGZ37" t="s">
        <v>6984</v>
      </c>
      <c r="HHA37" t="s">
        <v>6984</v>
      </c>
      <c r="HHB37" t="s">
        <v>6984</v>
      </c>
      <c r="HHC37" t="s">
        <v>6984</v>
      </c>
      <c r="HHD37" t="s">
        <v>6984</v>
      </c>
      <c r="HHE37" t="s">
        <v>6984</v>
      </c>
      <c r="HHF37" t="s">
        <v>6984</v>
      </c>
      <c r="HHG37" t="s">
        <v>6984</v>
      </c>
      <c r="HHH37" t="s">
        <v>6984</v>
      </c>
      <c r="HHI37" t="s">
        <v>6984</v>
      </c>
      <c r="HHJ37" t="s">
        <v>6984</v>
      </c>
      <c r="HHK37" t="s">
        <v>6984</v>
      </c>
      <c r="HHL37" t="s">
        <v>6984</v>
      </c>
      <c r="HHM37" t="s">
        <v>6984</v>
      </c>
      <c r="HHN37" t="s">
        <v>6984</v>
      </c>
      <c r="HHO37" t="s">
        <v>6984</v>
      </c>
      <c r="HHP37" t="s">
        <v>6984</v>
      </c>
      <c r="HHQ37" t="s">
        <v>6984</v>
      </c>
      <c r="HHR37" t="s">
        <v>6984</v>
      </c>
      <c r="HHS37" t="s">
        <v>6984</v>
      </c>
      <c r="HHT37" t="s">
        <v>6984</v>
      </c>
      <c r="HHU37" t="s">
        <v>6984</v>
      </c>
      <c r="HHV37" t="s">
        <v>6984</v>
      </c>
      <c r="HHW37" t="s">
        <v>6984</v>
      </c>
      <c r="HHX37" t="s">
        <v>6984</v>
      </c>
      <c r="HHY37" t="s">
        <v>6984</v>
      </c>
      <c r="HHZ37" t="s">
        <v>6984</v>
      </c>
      <c r="HIA37" t="s">
        <v>6984</v>
      </c>
      <c r="HIB37" t="s">
        <v>6984</v>
      </c>
      <c r="HIC37" t="s">
        <v>6984</v>
      </c>
      <c r="HID37" t="s">
        <v>6984</v>
      </c>
      <c r="HIE37" t="s">
        <v>6984</v>
      </c>
      <c r="HIF37" t="s">
        <v>6984</v>
      </c>
      <c r="HIG37" t="s">
        <v>6984</v>
      </c>
      <c r="HIH37" t="s">
        <v>6984</v>
      </c>
      <c r="HII37" t="s">
        <v>6984</v>
      </c>
      <c r="HIJ37" t="s">
        <v>6984</v>
      </c>
      <c r="HIK37" t="s">
        <v>6984</v>
      </c>
      <c r="HIL37" t="s">
        <v>6984</v>
      </c>
      <c r="HIM37" t="s">
        <v>6984</v>
      </c>
      <c r="HIN37" t="s">
        <v>6984</v>
      </c>
      <c r="HIO37" t="s">
        <v>6984</v>
      </c>
      <c r="HIP37" t="s">
        <v>6984</v>
      </c>
      <c r="HIQ37" t="s">
        <v>6984</v>
      </c>
      <c r="HIR37" t="s">
        <v>6984</v>
      </c>
      <c r="HIS37" t="s">
        <v>6984</v>
      </c>
      <c r="HIT37" t="s">
        <v>6984</v>
      </c>
      <c r="HIU37" t="s">
        <v>6984</v>
      </c>
      <c r="HIV37" t="s">
        <v>6984</v>
      </c>
      <c r="HIW37" t="s">
        <v>6984</v>
      </c>
      <c r="HIX37" t="s">
        <v>6984</v>
      </c>
      <c r="HIY37" t="s">
        <v>6984</v>
      </c>
      <c r="HIZ37" t="s">
        <v>6984</v>
      </c>
      <c r="HJA37" t="s">
        <v>6984</v>
      </c>
      <c r="HJB37" t="s">
        <v>6984</v>
      </c>
      <c r="HJC37" t="s">
        <v>6984</v>
      </c>
      <c r="HJD37" t="s">
        <v>6984</v>
      </c>
      <c r="HJE37" t="s">
        <v>6984</v>
      </c>
      <c r="HJF37" t="s">
        <v>6984</v>
      </c>
      <c r="HJG37" t="s">
        <v>6984</v>
      </c>
      <c r="HJH37" t="s">
        <v>6984</v>
      </c>
      <c r="HJI37" t="s">
        <v>6984</v>
      </c>
      <c r="HJJ37" t="s">
        <v>6984</v>
      </c>
      <c r="HJK37" t="s">
        <v>6984</v>
      </c>
      <c r="HJL37" t="s">
        <v>6984</v>
      </c>
      <c r="HJM37" t="s">
        <v>6984</v>
      </c>
      <c r="HJN37" t="s">
        <v>6984</v>
      </c>
      <c r="HJO37" t="s">
        <v>6984</v>
      </c>
      <c r="HJP37" t="s">
        <v>6984</v>
      </c>
      <c r="HJQ37" t="s">
        <v>6984</v>
      </c>
      <c r="HJR37" t="s">
        <v>6984</v>
      </c>
      <c r="HJS37" t="s">
        <v>6984</v>
      </c>
      <c r="HJT37" t="s">
        <v>6984</v>
      </c>
      <c r="HJU37" t="s">
        <v>6984</v>
      </c>
      <c r="HJV37" t="s">
        <v>6984</v>
      </c>
      <c r="HJW37" t="s">
        <v>6984</v>
      </c>
      <c r="HJX37" t="s">
        <v>6984</v>
      </c>
      <c r="HJY37" t="s">
        <v>6984</v>
      </c>
      <c r="HJZ37" t="s">
        <v>6984</v>
      </c>
      <c r="HKA37" t="s">
        <v>6984</v>
      </c>
      <c r="HKB37" t="s">
        <v>6984</v>
      </c>
      <c r="HKC37" t="s">
        <v>6984</v>
      </c>
      <c r="HKD37" t="s">
        <v>6984</v>
      </c>
      <c r="HKE37" t="s">
        <v>6984</v>
      </c>
      <c r="HKF37" t="s">
        <v>6984</v>
      </c>
      <c r="HKG37" t="s">
        <v>6984</v>
      </c>
      <c r="HKH37" t="s">
        <v>6984</v>
      </c>
      <c r="HKI37" t="s">
        <v>6984</v>
      </c>
      <c r="HKJ37" t="s">
        <v>6984</v>
      </c>
      <c r="HKK37" t="s">
        <v>6984</v>
      </c>
      <c r="HKL37" t="s">
        <v>6984</v>
      </c>
      <c r="HKM37" t="s">
        <v>6984</v>
      </c>
      <c r="HKN37" t="s">
        <v>6984</v>
      </c>
      <c r="HKO37" t="s">
        <v>6984</v>
      </c>
      <c r="HKP37" t="s">
        <v>6984</v>
      </c>
      <c r="HKQ37" t="s">
        <v>6984</v>
      </c>
      <c r="HKR37" t="s">
        <v>6984</v>
      </c>
      <c r="HKS37" t="s">
        <v>6984</v>
      </c>
      <c r="HKT37" t="s">
        <v>6984</v>
      </c>
      <c r="HKU37" t="s">
        <v>6984</v>
      </c>
      <c r="HKV37" t="s">
        <v>6984</v>
      </c>
      <c r="HKW37" t="s">
        <v>6984</v>
      </c>
      <c r="HKX37" t="s">
        <v>6984</v>
      </c>
      <c r="HKY37" t="s">
        <v>6984</v>
      </c>
      <c r="HKZ37" t="s">
        <v>6984</v>
      </c>
      <c r="HLA37" t="s">
        <v>6984</v>
      </c>
      <c r="HLB37" t="s">
        <v>6984</v>
      </c>
      <c r="HLC37" t="s">
        <v>6984</v>
      </c>
      <c r="HLD37" t="s">
        <v>6984</v>
      </c>
      <c r="HLE37" t="s">
        <v>6984</v>
      </c>
      <c r="HLF37" t="s">
        <v>6984</v>
      </c>
      <c r="HLG37" t="s">
        <v>6984</v>
      </c>
      <c r="HLH37" t="s">
        <v>6984</v>
      </c>
      <c r="HLI37" t="s">
        <v>6984</v>
      </c>
      <c r="HLJ37" t="s">
        <v>6984</v>
      </c>
      <c r="HLK37" t="s">
        <v>6984</v>
      </c>
      <c r="HLL37" t="s">
        <v>6984</v>
      </c>
      <c r="HLM37" t="s">
        <v>6984</v>
      </c>
      <c r="HLN37" t="s">
        <v>6984</v>
      </c>
      <c r="HLO37" t="s">
        <v>6984</v>
      </c>
      <c r="HLP37" t="s">
        <v>6984</v>
      </c>
      <c r="HLQ37" t="s">
        <v>6984</v>
      </c>
      <c r="HLR37" t="s">
        <v>6984</v>
      </c>
      <c r="HLS37" t="s">
        <v>6984</v>
      </c>
      <c r="HLT37" t="s">
        <v>6984</v>
      </c>
      <c r="HLU37" t="s">
        <v>6984</v>
      </c>
      <c r="HLV37" t="s">
        <v>6984</v>
      </c>
      <c r="HLW37" t="s">
        <v>6984</v>
      </c>
      <c r="HLX37" t="s">
        <v>6984</v>
      </c>
      <c r="HLY37" t="s">
        <v>6984</v>
      </c>
      <c r="HLZ37" t="s">
        <v>6984</v>
      </c>
      <c r="HMA37" t="s">
        <v>6984</v>
      </c>
      <c r="HMB37" t="s">
        <v>6984</v>
      </c>
      <c r="HMC37" t="s">
        <v>6984</v>
      </c>
      <c r="HMD37" t="s">
        <v>6984</v>
      </c>
      <c r="HME37" t="s">
        <v>6984</v>
      </c>
      <c r="HMF37" t="s">
        <v>6984</v>
      </c>
      <c r="HMG37" t="s">
        <v>6984</v>
      </c>
      <c r="HMH37" t="s">
        <v>6984</v>
      </c>
      <c r="HMI37" t="s">
        <v>6984</v>
      </c>
      <c r="HMJ37" t="s">
        <v>6984</v>
      </c>
      <c r="HMK37" t="s">
        <v>6984</v>
      </c>
      <c r="HML37" t="s">
        <v>6984</v>
      </c>
      <c r="HMM37" t="s">
        <v>6984</v>
      </c>
      <c r="HMN37" t="s">
        <v>6984</v>
      </c>
      <c r="HMO37" t="s">
        <v>6984</v>
      </c>
      <c r="HMP37" t="s">
        <v>6984</v>
      </c>
      <c r="HMQ37" t="s">
        <v>6984</v>
      </c>
      <c r="HMR37" t="s">
        <v>6984</v>
      </c>
      <c r="HMS37" t="s">
        <v>6984</v>
      </c>
      <c r="HMT37" t="s">
        <v>6984</v>
      </c>
      <c r="HMU37" t="s">
        <v>6984</v>
      </c>
      <c r="HMV37" t="s">
        <v>6984</v>
      </c>
      <c r="HMW37" t="s">
        <v>6984</v>
      </c>
      <c r="HMX37" t="s">
        <v>6984</v>
      </c>
      <c r="HMY37" t="s">
        <v>6984</v>
      </c>
      <c r="HMZ37" t="s">
        <v>6984</v>
      </c>
      <c r="HNA37" t="s">
        <v>6984</v>
      </c>
      <c r="HNB37" t="s">
        <v>6984</v>
      </c>
      <c r="HNC37" t="s">
        <v>6984</v>
      </c>
      <c r="HND37" t="s">
        <v>6984</v>
      </c>
      <c r="HNE37" t="s">
        <v>6984</v>
      </c>
      <c r="HNF37" t="s">
        <v>6984</v>
      </c>
      <c r="HNG37" t="s">
        <v>6984</v>
      </c>
      <c r="HNH37" t="s">
        <v>6984</v>
      </c>
      <c r="HNI37" t="s">
        <v>6984</v>
      </c>
      <c r="HNJ37" t="s">
        <v>6984</v>
      </c>
      <c r="HNK37" t="s">
        <v>6984</v>
      </c>
      <c r="HNL37" t="s">
        <v>6984</v>
      </c>
      <c r="HNM37" t="s">
        <v>6984</v>
      </c>
      <c r="HNN37" t="s">
        <v>6984</v>
      </c>
      <c r="HNO37" t="s">
        <v>6984</v>
      </c>
      <c r="HNP37" t="s">
        <v>6984</v>
      </c>
      <c r="HNQ37" t="s">
        <v>6984</v>
      </c>
      <c r="HNR37" t="s">
        <v>6984</v>
      </c>
      <c r="HNS37" t="s">
        <v>6984</v>
      </c>
      <c r="HNT37" t="s">
        <v>6984</v>
      </c>
      <c r="HNU37" t="s">
        <v>6984</v>
      </c>
      <c r="HNV37" t="s">
        <v>6984</v>
      </c>
      <c r="HNW37" t="s">
        <v>6984</v>
      </c>
      <c r="HNX37" t="s">
        <v>6984</v>
      </c>
      <c r="HNY37" t="s">
        <v>6984</v>
      </c>
      <c r="HNZ37" t="s">
        <v>6984</v>
      </c>
      <c r="HOA37" t="s">
        <v>6984</v>
      </c>
      <c r="HOB37" t="s">
        <v>6984</v>
      </c>
      <c r="HOC37" t="s">
        <v>6984</v>
      </c>
      <c r="HOD37" t="s">
        <v>6984</v>
      </c>
      <c r="HOE37" t="s">
        <v>6984</v>
      </c>
      <c r="HOF37" t="s">
        <v>6984</v>
      </c>
      <c r="HOG37" t="s">
        <v>6984</v>
      </c>
      <c r="HOH37" t="s">
        <v>6984</v>
      </c>
      <c r="HOI37" t="s">
        <v>6984</v>
      </c>
      <c r="HOJ37" t="s">
        <v>6984</v>
      </c>
      <c r="HOK37" t="s">
        <v>6984</v>
      </c>
      <c r="HOL37" t="s">
        <v>6984</v>
      </c>
      <c r="HOM37" t="s">
        <v>6984</v>
      </c>
      <c r="HON37" t="s">
        <v>6984</v>
      </c>
      <c r="HOO37" t="s">
        <v>6984</v>
      </c>
      <c r="HOP37" t="s">
        <v>6984</v>
      </c>
      <c r="HOQ37" t="s">
        <v>6984</v>
      </c>
      <c r="HOR37" t="s">
        <v>6984</v>
      </c>
      <c r="HOS37" t="s">
        <v>6984</v>
      </c>
      <c r="HOT37" t="s">
        <v>6984</v>
      </c>
      <c r="HOU37" t="s">
        <v>6984</v>
      </c>
      <c r="HOV37" t="s">
        <v>6984</v>
      </c>
      <c r="HOW37" t="s">
        <v>6984</v>
      </c>
      <c r="HOX37" t="s">
        <v>6984</v>
      </c>
      <c r="HOY37" t="s">
        <v>6984</v>
      </c>
      <c r="HOZ37" t="s">
        <v>6984</v>
      </c>
      <c r="HPA37" t="s">
        <v>6984</v>
      </c>
      <c r="HPB37" t="s">
        <v>6984</v>
      </c>
      <c r="HPC37" t="s">
        <v>6984</v>
      </c>
      <c r="HPD37" t="s">
        <v>6984</v>
      </c>
      <c r="HPE37" t="s">
        <v>6984</v>
      </c>
      <c r="HPF37" t="s">
        <v>6984</v>
      </c>
      <c r="HPG37" t="s">
        <v>6984</v>
      </c>
      <c r="HPH37" t="s">
        <v>6984</v>
      </c>
      <c r="HPI37" t="s">
        <v>6984</v>
      </c>
      <c r="HPJ37" t="s">
        <v>6984</v>
      </c>
      <c r="HPK37" t="s">
        <v>6984</v>
      </c>
      <c r="HPL37" t="s">
        <v>6984</v>
      </c>
      <c r="HPM37" t="s">
        <v>6984</v>
      </c>
      <c r="HPN37" t="s">
        <v>6984</v>
      </c>
      <c r="HPO37" t="s">
        <v>6984</v>
      </c>
      <c r="HPP37" t="s">
        <v>6984</v>
      </c>
      <c r="HPQ37" t="s">
        <v>6984</v>
      </c>
      <c r="HPR37" t="s">
        <v>6984</v>
      </c>
      <c r="HPS37" t="s">
        <v>6984</v>
      </c>
      <c r="HPT37" t="s">
        <v>6984</v>
      </c>
      <c r="HPU37" t="s">
        <v>6984</v>
      </c>
      <c r="HPV37" t="s">
        <v>6984</v>
      </c>
      <c r="HPW37" t="s">
        <v>6984</v>
      </c>
      <c r="HPX37" t="s">
        <v>6984</v>
      </c>
      <c r="HPY37" t="s">
        <v>6984</v>
      </c>
      <c r="HPZ37" t="s">
        <v>6984</v>
      </c>
      <c r="HQA37" t="s">
        <v>6984</v>
      </c>
      <c r="HQB37" t="s">
        <v>6984</v>
      </c>
      <c r="HQC37" t="s">
        <v>6984</v>
      </c>
      <c r="HQD37" t="s">
        <v>6984</v>
      </c>
      <c r="HQE37" t="s">
        <v>6984</v>
      </c>
      <c r="HQF37" t="s">
        <v>6984</v>
      </c>
      <c r="HQG37" t="s">
        <v>6984</v>
      </c>
      <c r="HQH37" t="s">
        <v>6984</v>
      </c>
      <c r="HQI37" t="s">
        <v>6984</v>
      </c>
      <c r="HQJ37" t="s">
        <v>6984</v>
      </c>
      <c r="HQK37" t="s">
        <v>6984</v>
      </c>
      <c r="HQL37" t="s">
        <v>6984</v>
      </c>
      <c r="HQM37" t="s">
        <v>6984</v>
      </c>
      <c r="HQN37" t="s">
        <v>6984</v>
      </c>
      <c r="HQO37" t="s">
        <v>6984</v>
      </c>
      <c r="HQP37" t="s">
        <v>6984</v>
      </c>
      <c r="HQQ37" t="s">
        <v>6984</v>
      </c>
      <c r="HQR37" t="s">
        <v>6984</v>
      </c>
      <c r="HQS37" t="s">
        <v>6984</v>
      </c>
      <c r="HQT37" t="s">
        <v>6984</v>
      </c>
      <c r="HQU37" t="s">
        <v>6984</v>
      </c>
      <c r="HQV37" t="s">
        <v>6984</v>
      </c>
      <c r="HQW37" t="s">
        <v>6984</v>
      </c>
      <c r="HQX37" t="s">
        <v>6984</v>
      </c>
      <c r="HQY37" t="s">
        <v>6984</v>
      </c>
      <c r="HQZ37" t="s">
        <v>6984</v>
      </c>
      <c r="HRA37" t="s">
        <v>6984</v>
      </c>
      <c r="HRB37" t="s">
        <v>6984</v>
      </c>
      <c r="HRC37" t="s">
        <v>6984</v>
      </c>
      <c r="HRD37" t="s">
        <v>6984</v>
      </c>
      <c r="HRE37" t="s">
        <v>6984</v>
      </c>
      <c r="HRF37" t="s">
        <v>6984</v>
      </c>
      <c r="HRG37" t="s">
        <v>6984</v>
      </c>
      <c r="HRH37" t="s">
        <v>6984</v>
      </c>
      <c r="HRI37" t="s">
        <v>6984</v>
      </c>
      <c r="HRJ37" t="s">
        <v>6984</v>
      </c>
      <c r="HRK37" t="s">
        <v>6984</v>
      </c>
      <c r="HRL37" t="s">
        <v>6984</v>
      </c>
      <c r="HRM37" t="s">
        <v>6984</v>
      </c>
      <c r="HRN37" t="s">
        <v>6984</v>
      </c>
      <c r="HRO37" t="s">
        <v>6984</v>
      </c>
      <c r="HRP37" t="s">
        <v>6984</v>
      </c>
      <c r="HRQ37" t="s">
        <v>6984</v>
      </c>
      <c r="HRR37" t="s">
        <v>6984</v>
      </c>
      <c r="HRS37" t="s">
        <v>6984</v>
      </c>
      <c r="HRT37" t="s">
        <v>6984</v>
      </c>
      <c r="HRU37" t="s">
        <v>6984</v>
      </c>
      <c r="HRV37" t="s">
        <v>6984</v>
      </c>
      <c r="HRW37" t="s">
        <v>6984</v>
      </c>
      <c r="HRX37" t="s">
        <v>6984</v>
      </c>
      <c r="HRY37" t="s">
        <v>6984</v>
      </c>
      <c r="HRZ37" t="s">
        <v>6984</v>
      </c>
      <c r="HSA37" t="s">
        <v>6984</v>
      </c>
      <c r="HSB37" t="s">
        <v>6984</v>
      </c>
      <c r="HSC37" t="s">
        <v>6984</v>
      </c>
      <c r="HSD37" t="s">
        <v>6984</v>
      </c>
      <c r="HSE37" t="s">
        <v>6984</v>
      </c>
      <c r="HSF37" t="s">
        <v>6984</v>
      </c>
      <c r="HSG37" t="s">
        <v>6984</v>
      </c>
      <c r="HSH37" t="s">
        <v>6984</v>
      </c>
      <c r="HSI37" t="s">
        <v>6984</v>
      </c>
      <c r="HSJ37" t="s">
        <v>6984</v>
      </c>
      <c r="HSK37" t="s">
        <v>6984</v>
      </c>
      <c r="HSL37" t="s">
        <v>6984</v>
      </c>
      <c r="HSM37" t="s">
        <v>6984</v>
      </c>
      <c r="HSN37" t="s">
        <v>6984</v>
      </c>
      <c r="HSO37" t="s">
        <v>6984</v>
      </c>
      <c r="HSP37" t="s">
        <v>6984</v>
      </c>
      <c r="HSQ37" t="s">
        <v>6984</v>
      </c>
      <c r="HSR37" t="s">
        <v>6984</v>
      </c>
      <c r="HSS37" t="s">
        <v>6984</v>
      </c>
      <c r="HST37" t="s">
        <v>6984</v>
      </c>
      <c r="HSU37" t="s">
        <v>6984</v>
      </c>
      <c r="HSV37" t="s">
        <v>6984</v>
      </c>
      <c r="HSW37" t="s">
        <v>6984</v>
      </c>
      <c r="HSX37" t="s">
        <v>6984</v>
      </c>
      <c r="HSY37" t="s">
        <v>6984</v>
      </c>
      <c r="HSZ37" t="s">
        <v>6984</v>
      </c>
      <c r="HTA37" t="s">
        <v>6984</v>
      </c>
      <c r="HTB37" t="s">
        <v>6984</v>
      </c>
      <c r="HTC37" t="s">
        <v>6984</v>
      </c>
      <c r="HTD37" t="s">
        <v>6984</v>
      </c>
      <c r="HTE37" t="s">
        <v>6984</v>
      </c>
      <c r="HTF37" t="s">
        <v>6984</v>
      </c>
      <c r="HTG37" t="s">
        <v>6984</v>
      </c>
      <c r="HTH37" t="s">
        <v>6984</v>
      </c>
      <c r="HTI37" t="s">
        <v>6984</v>
      </c>
      <c r="HTJ37" t="s">
        <v>6984</v>
      </c>
      <c r="HTK37" t="s">
        <v>6984</v>
      </c>
      <c r="HTL37" t="s">
        <v>6984</v>
      </c>
      <c r="HTM37" t="s">
        <v>6984</v>
      </c>
      <c r="HTN37" t="s">
        <v>6984</v>
      </c>
      <c r="HTO37" t="s">
        <v>6984</v>
      </c>
      <c r="HTP37" t="s">
        <v>6984</v>
      </c>
      <c r="HTQ37" t="s">
        <v>6984</v>
      </c>
      <c r="HTR37" t="s">
        <v>6984</v>
      </c>
      <c r="HTS37" t="s">
        <v>6984</v>
      </c>
      <c r="HTT37" t="s">
        <v>6984</v>
      </c>
      <c r="HTU37" t="s">
        <v>6984</v>
      </c>
      <c r="HTV37" t="s">
        <v>6984</v>
      </c>
      <c r="HTW37" t="s">
        <v>6984</v>
      </c>
      <c r="HTX37" t="s">
        <v>6984</v>
      </c>
      <c r="HTY37" t="s">
        <v>6984</v>
      </c>
      <c r="HTZ37" t="s">
        <v>6984</v>
      </c>
      <c r="HUA37" t="s">
        <v>6984</v>
      </c>
      <c r="HUB37" t="s">
        <v>6984</v>
      </c>
      <c r="HUC37" t="s">
        <v>6984</v>
      </c>
      <c r="HUD37" t="s">
        <v>6984</v>
      </c>
      <c r="HUE37" t="s">
        <v>6984</v>
      </c>
      <c r="HUF37" t="s">
        <v>6984</v>
      </c>
      <c r="HUG37" t="s">
        <v>6984</v>
      </c>
      <c r="HUH37" t="s">
        <v>6984</v>
      </c>
      <c r="HUI37" t="s">
        <v>6984</v>
      </c>
      <c r="HUJ37" t="s">
        <v>6984</v>
      </c>
      <c r="HUK37" t="s">
        <v>6984</v>
      </c>
      <c r="HUL37" t="s">
        <v>6984</v>
      </c>
      <c r="HUM37" t="s">
        <v>6984</v>
      </c>
      <c r="HUN37" t="s">
        <v>6984</v>
      </c>
      <c r="HUO37" t="s">
        <v>6984</v>
      </c>
      <c r="HUP37" t="s">
        <v>6984</v>
      </c>
      <c r="HUQ37" t="s">
        <v>6984</v>
      </c>
      <c r="HUR37" t="s">
        <v>6984</v>
      </c>
      <c r="HUS37" t="s">
        <v>6984</v>
      </c>
      <c r="HUT37" t="s">
        <v>6984</v>
      </c>
      <c r="HUU37" t="s">
        <v>6984</v>
      </c>
      <c r="HUV37" t="s">
        <v>6984</v>
      </c>
      <c r="HUW37" t="s">
        <v>6984</v>
      </c>
      <c r="HUX37" t="s">
        <v>6984</v>
      </c>
      <c r="HUY37" t="s">
        <v>6984</v>
      </c>
      <c r="HUZ37" t="s">
        <v>6984</v>
      </c>
      <c r="HVA37" t="s">
        <v>6984</v>
      </c>
      <c r="HVB37" t="s">
        <v>6984</v>
      </c>
      <c r="HVC37" t="s">
        <v>6984</v>
      </c>
      <c r="HVD37" t="s">
        <v>6984</v>
      </c>
      <c r="HVE37" t="s">
        <v>6984</v>
      </c>
      <c r="HVF37" t="s">
        <v>6984</v>
      </c>
      <c r="HVG37" t="s">
        <v>6984</v>
      </c>
      <c r="HVH37" t="s">
        <v>6984</v>
      </c>
      <c r="HVI37" t="s">
        <v>6984</v>
      </c>
      <c r="HVJ37" t="s">
        <v>6984</v>
      </c>
      <c r="HVK37" t="s">
        <v>6984</v>
      </c>
      <c r="HVL37" t="s">
        <v>6984</v>
      </c>
      <c r="HVM37" t="s">
        <v>6984</v>
      </c>
      <c r="HVN37" t="s">
        <v>6984</v>
      </c>
      <c r="HVO37" t="s">
        <v>6984</v>
      </c>
      <c r="HVP37" t="s">
        <v>6984</v>
      </c>
      <c r="HVQ37" t="s">
        <v>6984</v>
      </c>
      <c r="HVR37" t="s">
        <v>6984</v>
      </c>
      <c r="HVS37" t="s">
        <v>6984</v>
      </c>
      <c r="HVT37" t="s">
        <v>6984</v>
      </c>
      <c r="HVU37" t="s">
        <v>6984</v>
      </c>
      <c r="HVV37" t="s">
        <v>6984</v>
      </c>
      <c r="HVW37" t="s">
        <v>6984</v>
      </c>
      <c r="HVX37" t="s">
        <v>6984</v>
      </c>
      <c r="HVY37" t="s">
        <v>6984</v>
      </c>
      <c r="HVZ37" t="s">
        <v>6984</v>
      </c>
      <c r="HWA37" t="s">
        <v>6984</v>
      </c>
      <c r="HWB37" t="s">
        <v>6984</v>
      </c>
      <c r="HWC37" t="s">
        <v>6984</v>
      </c>
      <c r="HWD37" t="s">
        <v>6984</v>
      </c>
      <c r="HWE37" t="s">
        <v>6984</v>
      </c>
      <c r="HWF37" t="s">
        <v>6984</v>
      </c>
      <c r="HWG37" t="s">
        <v>6984</v>
      </c>
      <c r="HWH37" t="s">
        <v>6984</v>
      </c>
      <c r="HWI37" t="s">
        <v>6984</v>
      </c>
      <c r="HWJ37" t="s">
        <v>6984</v>
      </c>
      <c r="HWK37" t="s">
        <v>6984</v>
      </c>
      <c r="HWL37" t="s">
        <v>6984</v>
      </c>
      <c r="HWM37" t="s">
        <v>6984</v>
      </c>
      <c r="HWN37" t="s">
        <v>6984</v>
      </c>
      <c r="HWO37" t="s">
        <v>6984</v>
      </c>
      <c r="HWP37" t="s">
        <v>6984</v>
      </c>
      <c r="HWQ37" t="s">
        <v>6984</v>
      </c>
      <c r="HWR37" t="s">
        <v>6984</v>
      </c>
      <c r="HWS37" t="s">
        <v>6984</v>
      </c>
      <c r="HWT37" t="s">
        <v>6984</v>
      </c>
      <c r="HWU37" t="s">
        <v>6984</v>
      </c>
      <c r="HWV37" t="s">
        <v>6984</v>
      </c>
      <c r="HWW37" t="s">
        <v>6984</v>
      </c>
      <c r="HWX37" t="s">
        <v>6984</v>
      </c>
      <c r="HWY37" t="s">
        <v>6984</v>
      </c>
      <c r="HWZ37" t="s">
        <v>6984</v>
      </c>
      <c r="HXA37" t="s">
        <v>6984</v>
      </c>
      <c r="HXB37" t="s">
        <v>6984</v>
      </c>
      <c r="HXC37" t="s">
        <v>6984</v>
      </c>
      <c r="HXD37" t="s">
        <v>6984</v>
      </c>
      <c r="HXE37" t="s">
        <v>6984</v>
      </c>
      <c r="HXF37" t="s">
        <v>6984</v>
      </c>
      <c r="HXG37" t="s">
        <v>6984</v>
      </c>
      <c r="HXH37" t="s">
        <v>6984</v>
      </c>
      <c r="HXI37" t="s">
        <v>6984</v>
      </c>
      <c r="HXJ37" t="s">
        <v>6984</v>
      </c>
      <c r="HXK37" t="s">
        <v>6984</v>
      </c>
      <c r="HXL37" t="s">
        <v>6984</v>
      </c>
      <c r="HXM37" t="s">
        <v>6984</v>
      </c>
      <c r="HXN37" t="s">
        <v>6984</v>
      </c>
      <c r="HXO37" t="s">
        <v>6984</v>
      </c>
      <c r="HXP37" t="s">
        <v>6984</v>
      </c>
      <c r="HXQ37" t="s">
        <v>6984</v>
      </c>
      <c r="HXR37" t="s">
        <v>6984</v>
      </c>
      <c r="HXS37" t="s">
        <v>6984</v>
      </c>
      <c r="HXT37" t="s">
        <v>6984</v>
      </c>
      <c r="HXU37" t="s">
        <v>6984</v>
      </c>
      <c r="HXV37" t="s">
        <v>6984</v>
      </c>
      <c r="HXW37" t="s">
        <v>6984</v>
      </c>
      <c r="HXX37" t="s">
        <v>6984</v>
      </c>
      <c r="HXY37" t="s">
        <v>6984</v>
      </c>
      <c r="HXZ37" t="s">
        <v>6984</v>
      </c>
      <c r="HYA37" t="s">
        <v>6984</v>
      </c>
      <c r="HYB37" t="s">
        <v>6984</v>
      </c>
      <c r="HYC37" t="s">
        <v>6984</v>
      </c>
      <c r="HYD37" t="s">
        <v>6984</v>
      </c>
      <c r="HYE37" t="s">
        <v>6984</v>
      </c>
      <c r="HYF37" t="s">
        <v>6984</v>
      </c>
      <c r="HYG37" t="s">
        <v>6984</v>
      </c>
      <c r="HYH37" t="s">
        <v>6984</v>
      </c>
      <c r="HYI37" t="s">
        <v>6984</v>
      </c>
      <c r="HYJ37" t="s">
        <v>6984</v>
      </c>
      <c r="HYK37" t="s">
        <v>6984</v>
      </c>
      <c r="HYL37" t="s">
        <v>6984</v>
      </c>
      <c r="HYM37" t="s">
        <v>6984</v>
      </c>
      <c r="HYN37" t="s">
        <v>6984</v>
      </c>
      <c r="HYO37" t="s">
        <v>6984</v>
      </c>
      <c r="HYP37" t="s">
        <v>6984</v>
      </c>
      <c r="HYQ37" t="s">
        <v>6984</v>
      </c>
      <c r="HYR37" t="s">
        <v>6984</v>
      </c>
      <c r="HYS37" t="s">
        <v>6984</v>
      </c>
      <c r="HYT37" t="s">
        <v>6984</v>
      </c>
      <c r="HYU37" t="s">
        <v>6984</v>
      </c>
      <c r="HYV37" t="s">
        <v>6984</v>
      </c>
      <c r="HYW37" t="s">
        <v>6984</v>
      </c>
      <c r="HYX37" t="s">
        <v>6984</v>
      </c>
      <c r="HYY37" t="s">
        <v>6984</v>
      </c>
      <c r="HYZ37" t="s">
        <v>6984</v>
      </c>
      <c r="HZA37" t="s">
        <v>6984</v>
      </c>
      <c r="HZB37" t="s">
        <v>6984</v>
      </c>
      <c r="HZC37" t="s">
        <v>6984</v>
      </c>
      <c r="HZD37" t="s">
        <v>6984</v>
      </c>
      <c r="HZE37" t="s">
        <v>6984</v>
      </c>
      <c r="HZF37" t="s">
        <v>6984</v>
      </c>
      <c r="HZG37" t="s">
        <v>6984</v>
      </c>
      <c r="HZH37" t="s">
        <v>6984</v>
      </c>
      <c r="HZI37" t="s">
        <v>6984</v>
      </c>
      <c r="HZJ37" t="s">
        <v>6984</v>
      </c>
      <c r="HZK37" t="s">
        <v>6984</v>
      </c>
      <c r="HZL37" t="s">
        <v>6984</v>
      </c>
      <c r="HZM37" t="s">
        <v>6984</v>
      </c>
      <c r="HZN37" t="s">
        <v>6984</v>
      </c>
      <c r="HZO37" t="s">
        <v>6984</v>
      </c>
      <c r="HZP37" t="s">
        <v>6984</v>
      </c>
      <c r="HZQ37" t="s">
        <v>6984</v>
      </c>
      <c r="HZR37" t="s">
        <v>6984</v>
      </c>
      <c r="HZS37" t="s">
        <v>6984</v>
      </c>
      <c r="HZT37" t="s">
        <v>6984</v>
      </c>
      <c r="HZU37" t="s">
        <v>6984</v>
      </c>
      <c r="HZV37" t="s">
        <v>6984</v>
      </c>
      <c r="HZW37" t="s">
        <v>6984</v>
      </c>
      <c r="HZX37" t="s">
        <v>6984</v>
      </c>
      <c r="HZY37" t="s">
        <v>6984</v>
      </c>
      <c r="HZZ37" t="s">
        <v>6984</v>
      </c>
      <c r="IAA37" t="s">
        <v>6984</v>
      </c>
      <c r="IAB37" t="s">
        <v>6984</v>
      </c>
      <c r="IAC37" t="s">
        <v>6984</v>
      </c>
      <c r="IAD37" t="s">
        <v>6984</v>
      </c>
      <c r="IAE37" t="s">
        <v>6984</v>
      </c>
      <c r="IAF37" t="s">
        <v>6984</v>
      </c>
      <c r="IAG37" t="s">
        <v>6984</v>
      </c>
      <c r="IAH37" t="s">
        <v>6984</v>
      </c>
      <c r="IAI37" t="s">
        <v>6984</v>
      </c>
      <c r="IAJ37" t="s">
        <v>6984</v>
      </c>
      <c r="IAK37" t="s">
        <v>6984</v>
      </c>
      <c r="IAL37" t="s">
        <v>6984</v>
      </c>
      <c r="IAM37" t="s">
        <v>6984</v>
      </c>
      <c r="IAN37" t="s">
        <v>6984</v>
      </c>
      <c r="IAO37" t="s">
        <v>6984</v>
      </c>
      <c r="IAP37" t="s">
        <v>6984</v>
      </c>
      <c r="IAQ37" t="s">
        <v>6984</v>
      </c>
      <c r="IAR37" t="s">
        <v>6984</v>
      </c>
      <c r="IAS37" t="s">
        <v>6984</v>
      </c>
      <c r="IAT37" t="s">
        <v>6984</v>
      </c>
      <c r="IAU37" t="s">
        <v>6984</v>
      </c>
      <c r="IAV37" t="s">
        <v>6984</v>
      </c>
      <c r="IAW37" t="s">
        <v>6984</v>
      </c>
      <c r="IAX37" t="s">
        <v>6984</v>
      </c>
      <c r="IAY37" t="s">
        <v>6984</v>
      </c>
      <c r="IAZ37" t="s">
        <v>6984</v>
      </c>
      <c r="IBA37" t="s">
        <v>6984</v>
      </c>
      <c r="IBB37" t="s">
        <v>6984</v>
      </c>
      <c r="IBC37" t="s">
        <v>6984</v>
      </c>
      <c r="IBD37" t="s">
        <v>6984</v>
      </c>
      <c r="IBE37" t="s">
        <v>6984</v>
      </c>
      <c r="IBF37" t="s">
        <v>6984</v>
      </c>
      <c r="IBG37" t="s">
        <v>6984</v>
      </c>
      <c r="IBH37" t="s">
        <v>6984</v>
      </c>
      <c r="IBI37" t="s">
        <v>6984</v>
      </c>
      <c r="IBJ37" t="s">
        <v>6984</v>
      </c>
      <c r="IBK37" t="s">
        <v>6984</v>
      </c>
      <c r="IBL37" t="s">
        <v>6984</v>
      </c>
      <c r="IBM37" t="s">
        <v>6984</v>
      </c>
      <c r="IBN37" t="s">
        <v>6984</v>
      </c>
      <c r="IBO37" t="s">
        <v>6984</v>
      </c>
      <c r="IBP37" t="s">
        <v>6984</v>
      </c>
      <c r="IBQ37" t="s">
        <v>6984</v>
      </c>
      <c r="IBR37" t="s">
        <v>6984</v>
      </c>
      <c r="IBS37" t="s">
        <v>6984</v>
      </c>
      <c r="IBT37" t="s">
        <v>6984</v>
      </c>
      <c r="IBU37" t="s">
        <v>6984</v>
      </c>
      <c r="IBV37" t="s">
        <v>6984</v>
      </c>
      <c r="IBW37" t="s">
        <v>6984</v>
      </c>
      <c r="IBX37" t="s">
        <v>6984</v>
      </c>
      <c r="IBY37" t="s">
        <v>6984</v>
      </c>
      <c r="IBZ37" t="s">
        <v>6984</v>
      </c>
      <c r="ICA37" t="s">
        <v>6984</v>
      </c>
      <c r="ICB37" t="s">
        <v>6984</v>
      </c>
      <c r="ICC37" t="s">
        <v>6984</v>
      </c>
      <c r="ICD37" t="s">
        <v>6984</v>
      </c>
      <c r="ICE37" t="s">
        <v>6984</v>
      </c>
      <c r="ICF37" t="s">
        <v>6984</v>
      </c>
      <c r="ICG37" t="s">
        <v>6984</v>
      </c>
      <c r="ICH37" t="s">
        <v>6984</v>
      </c>
      <c r="ICI37" t="s">
        <v>6984</v>
      </c>
      <c r="ICJ37" t="s">
        <v>6984</v>
      </c>
      <c r="ICK37" t="s">
        <v>6984</v>
      </c>
      <c r="ICL37" t="s">
        <v>6984</v>
      </c>
      <c r="ICM37" t="s">
        <v>6984</v>
      </c>
      <c r="ICN37" t="s">
        <v>6984</v>
      </c>
      <c r="ICO37" t="s">
        <v>6984</v>
      </c>
      <c r="ICP37" t="s">
        <v>6984</v>
      </c>
      <c r="ICQ37" t="s">
        <v>6984</v>
      </c>
      <c r="ICR37" t="s">
        <v>6984</v>
      </c>
      <c r="ICS37" t="s">
        <v>6984</v>
      </c>
      <c r="ICT37" t="s">
        <v>6984</v>
      </c>
      <c r="ICU37" t="s">
        <v>6984</v>
      </c>
      <c r="ICV37" t="s">
        <v>6984</v>
      </c>
      <c r="ICW37" t="s">
        <v>6984</v>
      </c>
      <c r="ICX37" t="s">
        <v>6984</v>
      </c>
      <c r="ICY37" t="s">
        <v>6984</v>
      </c>
      <c r="ICZ37" t="s">
        <v>6984</v>
      </c>
      <c r="IDA37" t="s">
        <v>6984</v>
      </c>
      <c r="IDB37" t="s">
        <v>6984</v>
      </c>
      <c r="IDC37" t="s">
        <v>6984</v>
      </c>
      <c r="IDD37" t="s">
        <v>6984</v>
      </c>
      <c r="IDE37" t="s">
        <v>6984</v>
      </c>
      <c r="IDF37" t="s">
        <v>6984</v>
      </c>
      <c r="IDG37" t="s">
        <v>6984</v>
      </c>
      <c r="IDH37" t="s">
        <v>6984</v>
      </c>
      <c r="IDI37" t="s">
        <v>6984</v>
      </c>
      <c r="IDJ37" t="s">
        <v>6984</v>
      </c>
      <c r="IDK37" t="s">
        <v>6984</v>
      </c>
      <c r="IDL37" t="s">
        <v>6984</v>
      </c>
      <c r="IDM37" t="s">
        <v>6984</v>
      </c>
      <c r="IDN37" t="s">
        <v>6984</v>
      </c>
      <c r="IDO37" t="s">
        <v>6984</v>
      </c>
      <c r="IDP37" t="s">
        <v>6984</v>
      </c>
      <c r="IDQ37" t="s">
        <v>6984</v>
      </c>
      <c r="IDR37" t="s">
        <v>6984</v>
      </c>
      <c r="IDS37" t="s">
        <v>6984</v>
      </c>
      <c r="IDT37" t="s">
        <v>6984</v>
      </c>
      <c r="IDU37" t="s">
        <v>6984</v>
      </c>
      <c r="IDV37" t="s">
        <v>6984</v>
      </c>
      <c r="IDW37" t="s">
        <v>6984</v>
      </c>
      <c r="IDX37" t="s">
        <v>6984</v>
      </c>
      <c r="IDY37" t="s">
        <v>6984</v>
      </c>
      <c r="IDZ37" t="s">
        <v>6984</v>
      </c>
      <c r="IEA37" t="s">
        <v>6984</v>
      </c>
      <c r="IEB37" t="s">
        <v>6984</v>
      </c>
      <c r="IEC37" t="s">
        <v>6984</v>
      </c>
      <c r="IED37" t="s">
        <v>6984</v>
      </c>
      <c r="IEE37" t="s">
        <v>6984</v>
      </c>
      <c r="IEF37" t="s">
        <v>6984</v>
      </c>
      <c r="IEG37" t="s">
        <v>6984</v>
      </c>
      <c r="IEH37" t="s">
        <v>6984</v>
      </c>
      <c r="IEI37" t="s">
        <v>6984</v>
      </c>
      <c r="IEJ37" t="s">
        <v>6984</v>
      </c>
      <c r="IEK37" t="s">
        <v>6984</v>
      </c>
      <c r="IEL37" t="s">
        <v>6984</v>
      </c>
      <c r="IEM37" t="s">
        <v>6984</v>
      </c>
      <c r="IEN37" t="s">
        <v>6984</v>
      </c>
      <c r="IEO37" t="s">
        <v>6984</v>
      </c>
      <c r="IEP37" t="s">
        <v>6984</v>
      </c>
      <c r="IEQ37" t="s">
        <v>6984</v>
      </c>
      <c r="IER37" t="s">
        <v>6984</v>
      </c>
      <c r="IES37" t="s">
        <v>6984</v>
      </c>
      <c r="IET37" t="s">
        <v>6984</v>
      </c>
      <c r="IEU37" t="s">
        <v>6984</v>
      </c>
      <c r="IEV37" t="s">
        <v>6984</v>
      </c>
      <c r="IEW37" t="s">
        <v>6984</v>
      </c>
      <c r="IEX37" t="s">
        <v>6984</v>
      </c>
      <c r="IEY37" t="s">
        <v>6984</v>
      </c>
      <c r="IEZ37" t="s">
        <v>6984</v>
      </c>
      <c r="IFA37" t="s">
        <v>6984</v>
      </c>
      <c r="IFB37" t="s">
        <v>6984</v>
      </c>
      <c r="IFC37" t="s">
        <v>6984</v>
      </c>
      <c r="IFD37" t="s">
        <v>6984</v>
      </c>
      <c r="IFE37" t="s">
        <v>6984</v>
      </c>
      <c r="IFF37" t="s">
        <v>6984</v>
      </c>
      <c r="IFG37" t="s">
        <v>6984</v>
      </c>
      <c r="IFH37" t="s">
        <v>6984</v>
      </c>
      <c r="IFI37" t="s">
        <v>6984</v>
      </c>
      <c r="IFJ37" t="s">
        <v>6984</v>
      </c>
      <c r="IFK37" t="s">
        <v>6984</v>
      </c>
      <c r="IFL37" t="s">
        <v>6984</v>
      </c>
      <c r="IFM37" t="s">
        <v>6984</v>
      </c>
      <c r="IFN37" t="s">
        <v>6984</v>
      </c>
      <c r="IFO37" t="s">
        <v>6984</v>
      </c>
      <c r="IFP37" t="s">
        <v>6984</v>
      </c>
      <c r="IFQ37" t="s">
        <v>6984</v>
      </c>
      <c r="IFR37" t="s">
        <v>6984</v>
      </c>
      <c r="IFS37" t="s">
        <v>6984</v>
      </c>
      <c r="IFT37" t="s">
        <v>6984</v>
      </c>
      <c r="IFU37" t="s">
        <v>6984</v>
      </c>
      <c r="IFV37" t="s">
        <v>6984</v>
      </c>
      <c r="IFW37" t="s">
        <v>6984</v>
      </c>
      <c r="IFX37" t="s">
        <v>6984</v>
      </c>
      <c r="IFY37" t="s">
        <v>6984</v>
      </c>
      <c r="IFZ37" t="s">
        <v>6984</v>
      </c>
      <c r="IGA37" t="s">
        <v>6984</v>
      </c>
      <c r="IGB37" t="s">
        <v>6984</v>
      </c>
      <c r="IGC37" t="s">
        <v>6984</v>
      </c>
      <c r="IGD37" t="s">
        <v>6984</v>
      </c>
      <c r="IGE37" t="s">
        <v>6984</v>
      </c>
      <c r="IGF37" t="s">
        <v>6984</v>
      </c>
      <c r="IGG37" t="s">
        <v>6984</v>
      </c>
      <c r="IGH37" t="s">
        <v>6984</v>
      </c>
      <c r="IGI37" t="s">
        <v>6984</v>
      </c>
      <c r="IGJ37" t="s">
        <v>6984</v>
      </c>
      <c r="IGK37" t="s">
        <v>6984</v>
      </c>
      <c r="IGL37" t="s">
        <v>6984</v>
      </c>
      <c r="IGM37" t="s">
        <v>6984</v>
      </c>
      <c r="IGN37" t="s">
        <v>6984</v>
      </c>
      <c r="IGO37" t="s">
        <v>6984</v>
      </c>
      <c r="IGP37" t="s">
        <v>6984</v>
      </c>
      <c r="IGQ37" t="s">
        <v>6984</v>
      </c>
      <c r="IGR37" t="s">
        <v>6984</v>
      </c>
      <c r="IGS37" t="s">
        <v>6984</v>
      </c>
      <c r="IGT37" t="s">
        <v>6984</v>
      </c>
      <c r="IGU37" t="s">
        <v>6984</v>
      </c>
      <c r="IGV37" t="s">
        <v>6984</v>
      </c>
      <c r="IGW37" t="s">
        <v>6984</v>
      </c>
      <c r="IGX37" t="s">
        <v>6984</v>
      </c>
      <c r="IGY37" t="s">
        <v>6984</v>
      </c>
      <c r="IGZ37" t="s">
        <v>6984</v>
      </c>
      <c r="IHA37" t="s">
        <v>6984</v>
      </c>
      <c r="IHB37" t="s">
        <v>6984</v>
      </c>
      <c r="IHC37" t="s">
        <v>6984</v>
      </c>
      <c r="IHD37" t="s">
        <v>6984</v>
      </c>
      <c r="IHE37" t="s">
        <v>6984</v>
      </c>
      <c r="IHF37" t="s">
        <v>6984</v>
      </c>
      <c r="IHG37" t="s">
        <v>6984</v>
      </c>
      <c r="IHH37" t="s">
        <v>6984</v>
      </c>
      <c r="IHI37" t="s">
        <v>6984</v>
      </c>
      <c r="IHJ37" t="s">
        <v>6984</v>
      </c>
      <c r="IHK37" t="s">
        <v>6984</v>
      </c>
      <c r="IHL37" t="s">
        <v>6984</v>
      </c>
      <c r="IHM37" t="s">
        <v>6984</v>
      </c>
      <c r="IHN37" t="s">
        <v>6984</v>
      </c>
      <c r="IHO37" t="s">
        <v>6984</v>
      </c>
      <c r="IHP37" t="s">
        <v>6984</v>
      </c>
      <c r="IHQ37" t="s">
        <v>6984</v>
      </c>
      <c r="IHR37" t="s">
        <v>6984</v>
      </c>
      <c r="IHS37" t="s">
        <v>6984</v>
      </c>
      <c r="IHT37" t="s">
        <v>6984</v>
      </c>
      <c r="IHU37" t="s">
        <v>6984</v>
      </c>
      <c r="IHV37" t="s">
        <v>6984</v>
      </c>
      <c r="IHW37" t="s">
        <v>6984</v>
      </c>
      <c r="IHX37" t="s">
        <v>6984</v>
      </c>
      <c r="IHY37" t="s">
        <v>6984</v>
      </c>
      <c r="IHZ37" t="s">
        <v>6984</v>
      </c>
      <c r="IIA37" t="s">
        <v>6984</v>
      </c>
      <c r="IIB37" t="s">
        <v>6984</v>
      </c>
      <c r="IIC37" t="s">
        <v>6984</v>
      </c>
      <c r="IID37" t="s">
        <v>6984</v>
      </c>
      <c r="IIE37" t="s">
        <v>6984</v>
      </c>
      <c r="IIF37" t="s">
        <v>6984</v>
      </c>
      <c r="IIG37" t="s">
        <v>6984</v>
      </c>
      <c r="IIH37" t="s">
        <v>6984</v>
      </c>
      <c r="III37" t="s">
        <v>6984</v>
      </c>
      <c r="IIJ37" t="s">
        <v>6984</v>
      </c>
      <c r="IIK37" t="s">
        <v>6984</v>
      </c>
      <c r="IIL37" t="s">
        <v>6984</v>
      </c>
      <c r="IIM37" t="s">
        <v>6984</v>
      </c>
      <c r="IIN37" t="s">
        <v>6984</v>
      </c>
      <c r="IIO37" t="s">
        <v>6984</v>
      </c>
      <c r="IIP37" t="s">
        <v>6984</v>
      </c>
      <c r="IIQ37" t="s">
        <v>6984</v>
      </c>
      <c r="IIR37" t="s">
        <v>6984</v>
      </c>
      <c r="IIS37" t="s">
        <v>6984</v>
      </c>
      <c r="IIT37" t="s">
        <v>6984</v>
      </c>
      <c r="IIU37" t="s">
        <v>6984</v>
      </c>
      <c r="IIV37" t="s">
        <v>6984</v>
      </c>
      <c r="IIW37" t="s">
        <v>6984</v>
      </c>
      <c r="IIX37" t="s">
        <v>6984</v>
      </c>
      <c r="IIY37" t="s">
        <v>6984</v>
      </c>
      <c r="IIZ37" t="s">
        <v>6984</v>
      </c>
      <c r="IJA37" t="s">
        <v>6984</v>
      </c>
      <c r="IJB37" t="s">
        <v>6984</v>
      </c>
      <c r="IJC37" t="s">
        <v>6984</v>
      </c>
      <c r="IJD37" t="s">
        <v>6984</v>
      </c>
      <c r="IJE37" t="s">
        <v>6984</v>
      </c>
      <c r="IJF37" t="s">
        <v>6984</v>
      </c>
      <c r="IJG37" t="s">
        <v>6984</v>
      </c>
      <c r="IJH37" t="s">
        <v>6984</v>
      </c>
      <c r="IJI37" t="s">
        <v>6984</v>
      </c>
      <c r="IJJ37" t="s">
        <v>6984</v>
      </c>
      <c r="IJK37" t="s">
        <v>6984</v>
      </c>
      <c r="IJL37" t="s">
        <v>6984</v>
      </c>
      <c r="IJM37" t="s">
        <v>6984</v>
      </c>
      <c r="IJN37" t="s">
        <v>6984</v>
      </c>
      <c r="IJO37" t="s">
        <v>6984</v>
      </c>
      <c r="IJP37" t="s">
        <v>6984</v>
      </c>
      <c r="IJQ37" t="s">
        <v>6984</v>
      </c>
      <c r="IJR37" t="s">
        <v>6984</v>
      </c>
      <c r="IJS37" t="s">
        <v>6984</v>
      </c>
      <c r="IJT37" t="s">
        <v>6984</v>
      </c>
      <c r="IJU37" t="s">
        <v>6984</v>
      </c>
      <c r="IJV37" t="s">
        <v>6984</v>
      </c>
      <c r="IJW37" t="s">
        <v>6984</v>
      </c>
      <c r="IJX37" t="s">
        <v>6984</v>
      </c>
      <c r="IJY37" t="s">
        <v>6984</v>
      </c>
      <c r="IJZ37" t="s">
        <v>6984</v>
      </c>
      <c r="IKA37" t="s">
        <v>6984</v>
      </c>
      <c r="IKB37" t="s">
        <v>6984</v>
      </c>
      <c r="IKC37" t="s">
        <v>6984</v>
      </c>
      <c r="IKD37" t="s">
        <v>6984</v>
      </c>
      <c r="IKE37" t="s">
        <v>6984</v>
      </c>
      <c r="IKF37" t="s">
        <v>6984</v>
      </c>
      <c r="IKG37" t="s">
        <v>6984</v>
      </c>
      <c r="IKH37" t="s">
        <v>6984</v>
      </c>
      <c r="IKI37" t="s">
        <v>6984</v>
      </c>
      <c r="IKJ37" t="s">
        <v>6984</v>
      </c>
      <c r="IKK37" t="s">
        <v>6984</v>
      </c>
      <c r="IKL37" t="s">
        <v>6984</v>
      </c>
      <c r="IKM37" t="s">
        <v>6984</v>
      </c>
      <c r="IKN37" t="s">
        <v>6984</v>
      </c>
      <c r="IKO37" t="s">
        <v>6984</v>
      </c>
      <c r="IKP37" t="s">
        <v>6984</v>
      </c>
      <c r="IKQ37" t="s">
        <v>6984</v>
      </c>
      <c r="IKR37" t="s">
        <v>6984</v>
      </c>
      <c r="IKS37" t="s">
        <v>6984</v>
      </c>
      <c r="IKT37" t="s">
        <v>6984</v>
      </c>
      <c r="IKU37" t="s">
        <v>6984</v>
      </c>
      <c r="IKV37" t="s">
        <v>6984</v>
      </c>
      <c r="IKW37" t="s">
        <v>6984</v>
      </c>
      <c r="IKX37" t="s">
        <v>6984</v>
      </c>
      <c r="IKY37" t="s">
        <v>6984</v>
      </c>
      <c r="IKZ37" t="s">
        <v>6984</v>
      </c>
      <c r="ILA37" t="s">
        <v>6984</v>
      </c>
      <c r="ILB37" t="s">
        <v>6984</v>
      </c>
      <c r="ILC37" t="s">
        <v>6984</v>
      </c>
      <c r="ILD37" t="s">
        <v>6984</v>
      </c>
      <c r="ILE37" t="s">
        <v>6984</v>
      </c>
      <c r="ILF37" t="s">
        <v>6984</v>
      </c>
      <c r="ILG37" t="s">
        <v>6984</v>
      </c>
      <c r="ILH37" t="s">
        <v>6984</v>
      </c>
      <c r="ILI37" t="s">
        <v>6984</v>
      </c>
      <c r="ILJ37" t="s">
        <v>6984</v>
      </c>
      <c r="ILK37" t="s">
        <v>6984</v>
      </c>
      <c r="ILL37" t="s">
        <v>6984</v>
      </c>
      <c r="ILM37" t="s">
        <v>6984</v>
      </c>
      <c r="ILN37" t="s">
        <v>6984</v>
      </c>
      <c r="ILO37" t="s">
        <v>6984</v>
      </c>
      <c r="ILP37" t="s">
        <v>6984</v>
      </c>
      <c r="ILQ37" t="s">
        <v>6984</v>
      </c>
      <c r="ILR37" t="s">
        <v>6984</v>
      </c>
      <c r="ILS37" t="s">
        <v>6984</v>
      </c>
      <c r="ILT37" t="s">
        <v>6984</v>
      </c>
      <c r="ILU37" t="s">
        <v>6984</v>
      </c>
      <c r="ILV37" t="s">
        <v>6984</v>
      </c>
      <c r="ILW37" t="s">
        <v>6984</v>
      </c>
      <c r="ILX37" t="s">
        <v>6984</v>
      </c>
      <c r="ILY37" t="s">
        <v>6984</v>
      </c>
      <c r="ILZ37" t="s">
        <v>6984</v>
      </c>
      <c r="IMA37" t="s">
        <v>6984</v>
      </c>
      <c r="IMB37" t="s">
        <v>6984</v>
      </c>
      <c r="IMC37" t="s">
        <v>6984</v>
      </c>
      <c r="IMD37" t="s">
        <v>6984</v>
      </c>
      <c r="IME37" t="s">
        <v>6984</v>
      </c>
      <c r="IMF37" t="s">
        <v>6984</v>
      </c>
      <c r="IMG37" t="s">
        <v>6984</v>
      </c>
      <c r="IMH37" t="s">
        <v>6984</v>
      </c>
      <c r="IMI37" t="s">
        <v>6984</v>
      </c>
      <c r="IMJ37" t="s">
        <v>6984</v>
      </c>
      <c r="IMK37" t="s">
        <v>6984</v>
      </c>
      <c r="IML37" t="s">
        <v>6984</v>
      </c>
      <c r="IMM37" t="s">
        <v>6984</v>
      </c>
      <c r="IMN37" t="s">
        <v>6984</v>
      </c>
      <c r="IMO37" t="s">
        <v>6984</v>
      </c>
      <c r="IMP37" t="s">
        <v>6984</v>
      </c>
      <c r="IMQ37" t="s">
        <v>6984</v>
      </c>
      <c r="IMR37" t="s">
        <v>6984</v>
      </c>
      <c r="IMS37" t="s">
        <v>6984</v>
      </c>
      <c r="IMT37" t="s">
        <v>6984</v>
      </c>
      <c r="IMU37" t="s">
        <v>6984</v>
      </c>
      <c r="IMV37" t="s">
        <v>6984</v>
      </c>
      <c r="IMW37" t="s">
        <v>6984</v>
      </c>
      <c r="IMX37" t="s">
        <v>6984</v>
      </c>
      <c r="IMY37" t="s">
        <v>6984</v>
      </c>
      <c r="IMZ37" t="s">
        <v>6984</v>
      </c>
      <c r="INA37" t="s">
        <v>6984</v>
      </c>
      <c r="INB37" t="s">
        <v>6984</v>
      </c>
      <c r="INC37" t="s">
        <v>6984</v>
      </c>
      <c r="IND37" t="s">
        <v>6984</v>
      </c>
      <c r="INE37" t="s">
        <v>6984</v>
      </c>
      <c r="INF37" t="s">
        <v>6984</v>
      </c>
      <c r="ING37" t="s">
        <v>6984</v>
      </c>
      <c r="INH37" t="s">
        <v>6984</v>
      </c>
      <c r="INI37" t="s">
        <v>6984</v>
      </c>
      <c r="INJ37" t="s">
        <v>6984</v>
      </c>
      <c r="INK37" t="s">
        <v>6984</v>
      </c>
      <c r="INL37" t="s">
        <v>6984</v>
      </c>
      <c r="INM37" t="s">
        <v>6984</v>
      </c>
      <c r="INN37" t="s">
        <v>6984</v>
      </c>
      <c r="INO37" t="s">
        <v>6984</v>
      </c>
      <c r="INP37" t="s">
        <v>6984</v>
      </c>
      <c r="INQ37" t="s">
        <v>6984</v>
      </c>
      <c r="INR37" t="s">
        <v>6984</v>
      </c>
      <c r="INS37" t="s">
        <v>6984</v>
      </c>
      <c r="INT37" t="s">
        <v>6984</v>
      </c>
      <c r="INU37" t="s">
        <v>6984</v>
      </c>
      <c r="INV37" t="s">
        <v>6984</v>
      </c>
      <c r="INW37" t="s">
        <v>6984</v>
      </c>
      <c r="INX37" t="s">
        <v>6984</v>
      </c>
      <c r="INY37" t="s">
        <v>6984</v>
      </c>
      <c r="INZ37" t="s">
        <v>6984</v>
      </c>
      <c r="IOA37" t="s">
        <v>6984</v>
      </c>
      <c r="IOB37" t="s">
        <v>6984</v>
      </c>
      <c r="IOC37" t="s">
        <v>6984</v>
      </c>
      <c r="IOD37" t="s">
        <v>6984</v>
      </c>
      <c r="IOE37" t="s">
        <v>6984</v>
      </c>
      <c r="IOF37" t="s">
        <v>6984</v>
      </c>
      <c r="IOG37" t="s">
        <v>6984</v>
      </c>
      <c r="IOH37" t="s">
        <v>6984</v>
      </c>
      <c r="IOI37" t="s">
        <v>6984</v>
      </c>
      <c r="IOJ37" t="s">
        <v>6984</v>
      </c>
      <c r="IOK37" t="s">
        <v>6984</v>
      </c>
      <c r="IOL37" t="s">
        <v>6984</v>
      </c>
      <c r="IOM37" t="s">
        <v>6984</v>
      </c>
      <c r="ION37" t="s">
        <v>6984</v>
      </c>
      <c r="IOO37" t="s">
        <v>6984</v>
      </c>
      <c r="IOP37" t="s">
        <v>6984</v>
      </c>
      <c r="IOQ37" t="s">
        <v>6984</v>
      </c>
      <c r="IOR37" t="s">
        <v>6984</v>
      </c>
      <c r="IOS37" t="s">
        <v>6984</v>
      </c>
      <c r="IOT37" t="s">
        <v>6984</v>
      </c>
      <c r="IOU37" t="s">
        <v>6984</v>
      </c>
      <c r="IOV37" t="s">
        <v>6984</v>
      </c>
      <c r="IOW37" t="s">
        <v>6984</v>
      </c>
      <c r="IOX37" t="s">
        <v>6984</v>
      </c>
      <c r="IOY37" t="s">
        <v>6984</v>
      </c>
      <c r="IOZ37" t="s">
        <v>6984</v>
      </c>
      <c r="IPA37" t="s">
        <v>6984</v>
      </c>
      <c r="IPB37" t="s">
        <v>6984</v>
      </c>
      <c r="IPC37" t="s">
        <v>6984</v>
      </c>
      <c r="IPD37" t="s">
        <v>6984</v>
      </c>
      <c r="IPE37" t="s">
        <v>6984</v>
      </c>
      <c r="IPF37" t="s">
        <v>6984</v>
      </c>
      <c r="IPG37" t="s">
        <v>6984</v>
      </c>
      <c r="IPH37" t="s">
        <v>6984</v>
      </c>
      <c r="IPI37" t="s">
        <v>6984</v>
      </c>
      <c r="IPJ37" t="s">
        <v>6984</v>
      </c>
      <c r="IPK37" t="s">
        <v>6984</v>
      </c>
      <c r="IPL37" t="s">
        <v>6984</v>
      </c>
      <c r="IPM37" t="s">
        <v>6984</v>
      </c>
      <c r="IPN37" t="s">
        <v>6984</v>
      </c>
      <c r="IPO37" t="s">
        <v>6984</v>
      </c>
      <c r="IPP37" t="s">
        <v>6984</v>
      </c>
      <c r="IPQ37" t="s">
        <v>6984</v>
      </c>
      <c r="IPR37" t="s">
        <v>6984</v>
      </c>
      <c r="IPS37" t="s">
        <v>6984</v>
      </c>
      <c r="IPT37" t="s">
        <v>6984</v>
      </c>
      <c r="IPU37" t="s">
        <v>6984</v>
      </c>
      <c r="IPV37" t="s">
        <v>6984</v>
      </c>
      <c r="IPW37" t="s">
        <v>6984</v>
      </c>
      <c r="IPX37" t="s">
        <v>6984</v>
      </c>
      <c r="IPY37" t="s">
        <v>6984</v>
      </c>
      <c r="IPZ37" t="s">
        <v>6984</v>
      </c>
      <c r="IQA37" t="s">
        <v>6984</v>
      </c>
      <c r="IQB37" t="s">
        <v>6984</v>
      </c>
      <c r="IQC37" t="s">
        <v>6984</v>
      </c>
      <c r="IQD37" t="s">
        <v>6984</v>
      </c>
      <c r="IQE37" t="s">
        <v>6984</v>
      </c>
      <c r="IQF37" t="s">
        <v>6984</v>
      </c>
      <c r="IQG37" t="s">
        <v>6984</v>
      </c>
      <c r="IQH37" t="s">
        <v>6984</v>
      </c>
      <c r="IQI37" t="s">
        <v>6984</v>
      </c>
      <c r="IQJ37" t="s">
        <v>6984</v>
      </c>
      <c r="IQK37" t="s">
        <v>6984</v>
      </c>
      <c r="IQL37" t="s">
        <v>6984</v>
      </c>
      <c r="IQM37" t="s">
        <v>6984</v>
      </c>
      <c r="IQN37" t="s">
        <v>6984</v>
      </c>
      <c r="IQO37" t="s">
        <v>6984</v>
      </c>
      <c r="IQP37" t="s">
        <v>6984</v>
      </c>
      <c r="IQQ37" t="s">
        <v>6984</v>
      </c>
      <c r="IQR37" t="s">
        <v>6984</v>
      </c>
      <c r="IQS37" t="s">
        <v>6984</v>
      </c>
      <c r="IQT37" t="s">
        <v>6984</v>
      </c>
      <c r="IQU37" t="s">
        <v>6984</v>
      </c>
      <c r="IQV37" t="s">
        <v>6984</v>
      </c>
      <c r="IQW37" t="s">
        <v>6984</v>
      </c>
      <c r="IQX37" t="s">
        <v>6984</v>
      </c>
      <c r="IQY37" t="s">
        <v>6984</v>
      </c>
      <c r="IQZ37" t="s">
        <v>6984</v>
      </c>
      <c r="IRA37" t="s">
        <v>6984</v>
      </c>
      <c r="IRB37" t="s">
        <v>6984</v>
      </c>
      <c r="IRC37" t="s">
        <v>6984</v>
      </c>
      <c r="IRD37" t="s">
        <v>6984</v>
      </c>
      <c r="IRE37" t="s">
        <v>6984</v>
      </c>
      <c r="IRF37" t="s">
        <v>6984</v>
      </c>
      <c r="IRG37" t="s">
        <v>6984</v>
      </c>
      <c r="IRH37" t="s">
        <v>6984</v>
      </c>
      <c r="IRI37" t="s">
        <v>6984</v>
      </c>
      <c r="IRJ37" t="s">
        <v>6984</v>
      </c>
      <c r="IRK37" t="s">
        <v>6984</v>
      </c>
      <c r="IRL37" t="s">
        <v>6984</v>
      </c>
      <c r="IRM37" t="s">
        <v>6984</v>
      </c>
      <c r="IRN37" t="s">
        <v>6984</v>
      </c>
      <c r="IRO37" t="s">
        <v>6984</v>
      </c>
      <c r="IRP37" t="s">
        <v>6984</v>
      </c>
      <c r="IRQ37" t="s">
        <v>6984</v>
      </c>
      <c r="IRR37" t="s">
        <v>6984</v>
      </c>
      <c r="IRS37" t="s">
        <v>6984</v>
      </c>
      <c r="IRT37" t="s">
        <v>6984</v>
      </c>
      <c r="IRU37" t="s">
        <v>6984</v>
      </c>
      <c r="IRV37" t="s">
        <v>6984</v>
      </c>
      <c r="IRW37" t="s">
        <v>6984</v>
      </c>
      <c r="IRX37" t="s">
        <v>6984</v>
      </c>
      <c r="IRY37" t="s">
        <v>6984</v>
      </c>
      <c r="IRZ37" t="s">
        <v>6984</v>
      </c>
      <c r="ISA37" t="s">
        <v>6984</v>
      </c>
      <c r="ISB37" t="s">
        <v>6984</v>
      </c>
      <c r="ISC37" t="s">
        <v>6984</v>
      </c>
      <c r="ISD37" t="s">
        <v>6984</v>
      </c>
      <c r="ISE37" t="s">
        <v>6984</v>
      </c>
      <c r="ISF37" t="s">
        <v>6984</v>
      </c>
      <c r="ISG37" t="s">
        <v>6984</v>
      </c>
      <c r="ISH37" t="s">
        <v>6984</v>
      </c>
      <c r="ISI37" t="s">
        <v>6984</v>
      </c>
      <c r="ISJ37" t="s">
        <v>6984</v>
      </c>
      <c r="ISK37" t="s">
        <v>6984</v>
      </c>
      <c r="ISL37" t="s">
        <v>6984</v>
      </c>
      <c r="ISM37" t="s">
        <v>6984</v>
      </c>
      <c r="ISN37" t="s">
        <v>6984</v>
      </c>
      <c r="ISO37" t="s">
        <v>6984</v>
      </c>
      <c r="ISP37" t="s">
        <v>6984</v>
      </c>
      <c r="ISQ37" t="s">
        <v>6984</v>
      </c>
      <c r="ISR37" t="s">
        <v>6984</v>
      </c>
      <c r="ISS37" t="s">
        <v>6984</v>
      </c>
      <c r="IST37" t="s">
        <v>6984</v>
      </c>
      <c r="ISU37" t="s">
        <v>6984</v>
      </c>
      <c r="ISV37" t="s">
        <v>6984</v>
      </c>
      <c r="ISW37" t="s">
        <v>6984</v>
      </c>
      <c r="ISX37" t="s">
        <v>6984</v>
      </c>
      <c r="ISY37" t="s">
        <v>6984</v>
      </c>
      <c r="ISZ37" t="s">
        <v>6984</v>
      </c>
      <c r="ITA37" t="s">
        <v>6984</v>
      </c>
      <c r="ITB37" t="s">
        <v>6984</v>
      </c>
      <c r="ITC37" t="s">
        <v>6984</v>
      </c>
      <c r="ITD37" t="s">
        <v>6984</v>
      </c>
      <c r="ITE37" t="s">
        <v>6984</v>
      </c>
      <c r="ITF37" t="s">
        <v>6984</v>
      </c>
      <c r="ITG37" t="s">
        <v>6984</v>
      </c>
      <c r="ITH37" t="s">
        <v>6984</v>
      </c>
      <c r="ITI37" t="s">
        <v>6984</v>
      </c>
      <c r="ITJ37" t="s">
        <v>6984</v>
      </c>
      <c r="ITK37" t="s">
        <v>6984</v>
      </c>
      <c r="ITL37" t="s">
        <v>6984</v>
      </c>
      <c r="ITM37" t="s">
        <v>6984</v>
      </c>
      <c r="ITN37" t="s">
        <v>6984</v>
      </c>
      <c r="ITO37" t="s">
        <v>6984</v>
      </c>
      <c r="ITP37" t="s">
        <v>6984</v>
      </c>
      <c r="ITQ37" t="s">
        <v>6984</v>
      </c>
      <c r="ITR37" t="s">
        <v>6984</v>
      </c>
      <c r="ITS37" t="s">
        <v>6984</v>
      </c>
      <c r="ITT37" t="s">
        <v>6984</v>
      </c>
      <c r="ITU37" t="s">
        <v>6984</v>
      </c>
      <c r="ITV37" t="s">
        <v>6984</v>
      </c>
      <c r="ITW37" t="s">
        <v>6984</v>
      </c>
      <c r="ITX37" t="s">
        <v>6984</v>
      </c>
      <c r="ITY37" t="s">
        <v>6984</v>
      </c>
      <c r="ITZ37" t="s">
        <v>6984</v>
      </c>
      <c r="IUA37" t="s">
        <v>6984</v>
      </c>
      <c r="IUB37" t="s">
        <v>6984</v>
      </c>
      <c r="IUC37" t="s">
        <v>6984</v>
      </c>
      <c r="IUD37" t="s">
        <v>6984</v>
      </c>
      <c r="IUE37" t="s">
        <v>6984</v>
      </c>
      <c r="IUF37" t="s">
        <v>6984</v>
      </c>
      <c r="IUG37" t="s">
        <v>6984</v>
      </c>
      <c r="IUH37" t="s">
        <v>6984</v>
      </c>
      <c r="IUI37" t="s">
        <v>6984</v>
      </c>
      <c r="IUJ37" t="s">
        <v>6984</v>
      </c>
      <c r="IUK37" t="s">
        <v>6984</v>
      </c>
      <c r="IUL37" t="s">
        <v>6984</v>
      </c>
      <c r="IUM37" t="s">
        <v>6984</v>
      </c>
      <c r="IUN37" t="s">
        <v>6984</v>
      </c>
      <c r="IUO37" t="s">
        <v>6984</v>
      </c>
      <c r="IUP37" t="s">
        <v>6984</v>
      </c>
      <c r="IUQ37" t="s">
        <v>6984</v>
      </c>
      <c r="IUR37" t="s">
        <v>6984</v>
      </c>
      <c r="IUS37" t="s">
        <v>6984</v>
      </c>
      <c r="IUT37" t="s">
        <v>6984</v>
      </c>
      <c r="IUU37" t="s">
        <v>6984</v>
      </c>
      <c r="IUV37" t="s">
        <v>6984</v>
      </c>
      <c r="IUW37" t="s">
        <v>6984</v>
      </c>
      <c r="IUX37" t="s">
        <v>6984</v>
      </c>
      <c r="IUY37" t="s">
        <v>6984</v>
      </c>
      <c r="IUZ37" t="s">
        <v>6984</v>
      </c>
      <c r="IVA37" t="s">
        <v>6984</v>
      </c>
      <c r="IVB37" t="s">
        <v>6984</v>
      </c>
      <c r="IVC37" t="s">
        <v>6984</v>
      </c>
      <c r="IVD37" t="s">
        <v>6984</v>
      </c>
      <c r="IVE37" t="s">
        <v>6984</v>
      </c>
      <c r="IVF37" t="s">
        <v>6984</v>
      </c>
      <c r="IVG37" t="s">
        <v>6984</v>
      </c>
      <c r="IVH37" t="s">
        <v>6984</v>
      </c>
      <c r="IVI37" t="s">
        <v>6984</v>
      </c>
      <c r="IVJ37" t="s">
        <v>6984</v>
      </c>
      <c r="IVK37" t="s">
        <v>6984</v>
      </c>
      <c r="IVL37" t="s">
        <v>6984</v>
      </c>
      <c r="IVM37" t="s">
        <v>6984</v>
      </c>
      <c r="IVN37" t="s">
        <v>6984</v>
      </c>
      <c r="IVO37" t="s">
        <v>6984</v>
      </c>
      <c r="IVP37" t="s">
        <v>6984</v>
      </c>
      <c r="IVQ37" t="s">
        <v>6984</v>
      </c>
      <c r="IVR37" t="s">
        <v>6984</v>
      </c>
      <c r="IVS37" t="s">
        <v>6984</v>
      </c>
      <c r="IVT37" t="s">
        <v>6984</v>
      </c>
      <c r="IVU37" t="s">
        <v>6984</v>
      </c>
      <c r="IVV37" t="s">
        <v>6984</v>
      </c>
      <c r="IVW37" t="s">
        <v>6984</v>
      </c>
      <c r="IVX37" t="s">
        <v>6984</v>
      </c>
      <c r="IVY37" t="s">
        <v>6984</v>
      </c>
      <c r="IVZ37" t="s">
        <v>6984</v>
      </c>
      <c r="IWA37" t="s">
        <v>6984</v>
      </c>
      <c r="IWB37" t="s">
        <v>6984</v>
      </c>
      <c r="IWC37" t="s">
        <v>6984</v>
      </c>
      <c r="IWD37" t="s">
        <v>6984</v>
      </c>
      <c r="IWE37" t="s">
        <v>6984</v>
      </c>
      <c r="IWF37" t="s">
        <v>6984</v>
      </c>
      <c r="IWG37" t="s">
        <v>6984</v>
      </c>
      <c r="IWH37" t="s">
        <v>6984</v>
      </c>
      <c r="IWI37" t="s">
        <v>6984</v>
      </c>
      <c r="IWJ37" t="s">
        <v>6984</v>
      </c>
      <c r="IWK37" t="s">
        <v>6984</v>
      </c>
      <c r="IWL37" t="s">
        <v>6984</v>
      </c>
      <c r="IWM37" t="s">
        <v>6984</v>
      </c>
      <c r="IWN37" t="s">
        <v>6984</v>
      </c>
      <c r="IWO37" t="s">
        <v>6984</v>
      </c>
      <c r="IWP37" t="s">
        <v>6984</v>
      </c>
      <c r="IWQ37" t="s">
        <v>6984</v>
      </c>
      <c r="IWR37" t="s">
        <v>6984</v>
      </c>
      <c r="IWS37" t="s">
        <v>6984</v>
      </c>
      <c r="IWT37" t="s">
        <v>6984</v>
      </c>
      <c r="IWU37" t="s">
        <v>6984</v>
      </c>
      <c r="IWV37" t="s">
        <v>6984</v>
      </c>
      <c r="IWW37" t="s">
        <v>6984</v>
      </c>
      <c r="IWX37" t="s">
        <v>6984</v>
      </c>
      <c r="IWY37" t="s">
        <v>6984</v>
      </c>
      <c r="IWZ37" t="s">
        <v>6984</v>
      </c>
      <c r="IXA37" t="s">
        <v>6984</v>
      </c>
      <c r="IXB37" t="s">
        <v>6984</v>
      </c>
      <c r="IXC37" t="s">
        <v>6984</v>
      </c>
      <c r="IXD37" t="s">
        <v>6984</v>
      </c>
      <c r="IXE37" t="s">
        <v>6984</v>
      </c>
      <c r="IXF37" t="s">
        <v>6984</v>
      </c>
      <c r="IXG37" t="s">
        <v>6984</v>
      </c>
      <c r="IXH37" t="s">
        <v>6984</v>
      </c>
      <c r="IXI37" t="s">
        <v>6984</v>
      </c>
      <c r="IXJ37" t="s">
        <v>6984</v>
      </c>
      <c r="IXK37" t="s">
        <v>6984</v>
      </c>
      <c r="IXL37" t="s">
        <v>6984</v>
      </c>
      <c r="IXM37" t="s">
        <v>6984</v>
      </c>
      <c r="IXN37" t="s">
        <v>6984</v>
      </c>
      <c r="IXO37" t="s">
        <v>6984</v>
      </c>
      <c r="IXP37" t="s">
        <v>6984</v>
      </c>
      <c r="IXQ37" t="s">
        <v>6984</v>
      </c>
      <c r="IXR37" t="s">
        <v>6984</v>
      </c>
      <c r="IXS37" t="s">
        <v>6984</v>
      </c>
      <c r="IXT37" t="s">
        <v>6984</v>
      </c>
      <c r="IXU37" t="s">
        <v>6984</v>
      </c>
      <c r="IXV37" t="s">
        <v>6984</v>
      </c>
      <c r="IXW37" t="s">
        <v>6984</v>
      </c>
      <c r="IXX37" t="s">
        <v>6984</v>
      </c>
      <c r="IXY37" t="s">
        <v>6984</v>
      </c>
      <c r="IXZ37" t="s">
        <v>6984</v>
      </c>
      <c r="IYA37" t="s">
        <v>6984</v>
      </c>
      <c r="IYB37" t="s">
        <v>6984</v>
      </c>
      <c r="IYC37" t="s">
        <v>6984</v>
      </c>
      <c r="IYD37" t="s">
        <v>6984</v>
      </c>
      <c r="IYE37" t="s">
        <v>6984</v>
      </c>
      <c r="IYF37" t="s">
        <v>6984</v>
      </c>
      <c r="IYG37" t="s">
        <v>6984</v>
      </c>
      <c r="IYH37" t="s">
        <v>6984</v>
      </c>
      <c r="IYI37" t="s">
        <v>6984</v>
      </c>
      <c r="IYJ37" t="s">
        <v>6984</v>
      </c>
      <c r="IYK37" t="s">
        <v>6984</v>
      </c>
      <c r="IYL37" t="s">
        <v>6984</v>
      </c>
      <c r="IYM37" t="s">
        <v>6984</v>
      </c>
      <c r="IYN37" t="s">
        <v>6984</v>
      </c>
      <c r="IYO37" t="s">
        <v>6984</v>
      </c>
      <c r="IYP37" t="s">
        <v>6984</v>
      </c>
      <c r="IYQ37" t="s">
        <v>6984</v>
      </c>
      <c r="IYR37" t="s">
        <v>6984</v>
      </c>
      <c r="IYS37" t="s">
        <v>6984</v>
      </c>
      <c r="IYT37" t="s">
        <v>6984</v>
      </c>
      <c r="IYU37" t="s">
        <v>6984</v>
      </c>
      <c r="IYV37" t="s">
        <v>6984</v>
      </c>
      <c r="IYW37" t="s">
        <v>6984</v>
      </c>
      <c r="IYX37" t="s">
        <v>6984</v>
      </c>
      <c r="IYY37" t="s">
        <v>6984</v>
      </c>
      <c r="IYZ37" t="s">
        <v>6984</v>
      </c>
      <c r="IZA37" t="s">
        <v>6984</v>
      </c>
      <c r="IZB37" t="s">
        <v>6984</v>
      </c>
      <c r="IZC37" t="s">
        <v>6984</v>
      </c>
      <c r="IZD37" t="s">
        <v>6984</v>
      </c>
      <c r="IZE37" t="s">
        <v>6984</v>
      </c>
      <c r="IZF37" t="s">
        <v>6984</v>
      </c>
      <c r="IZG37" t="s">
        <v>6984</v>
      </c>
      <c r="IZH37" t="s">
        <v>6984</v>
      </c>
      <c r="IZI37" t="s">
        <v>6984</v>
      </c>
      <c r="IZJ37" t="s">
        <v>6984</v>
      </c>
      <c r="IZK37" t="s">
        <v>6984</v>
      </c>
      <c r="IZL37" t="s">
        <v>6984</v>
      </c>
      <c r="IZM37" t="s">
        <v>6984</v>
      </c>
      <c r="IZN37" t="s">
        <v>6984</v>
      </c>
      <c r="IZO37" t="s">
        <v>6984</v>
      </c>
      <c r="IZP37" t="s">
        <v>6984</v>
      </c>
      <c r="IZQ37" t="s">
        <v>6984</v>
      </c>
      <c r="IZR37" t="s">
        <v>6984</v>
      </c>
      <c r="IZS37" t="s">
        <v>6984</v>
      </c>
      <c r="IZT37" t="s">
        <v>6984</v>
      </c>
      <c r="IZU37" t="s">
        <v>6984</v>
      </c>
      <c r="IZV37" t="s">
        <v>6984</v>
      </c>
      <c r="IZW37" t="s">
        <v>6984</v>
      </c>
      <c r="IZX37" t="s">
        <v>6984</v>
      </c>
      <c r="IZY37" t="s">
        <v>6984</v>
      </c>
      <c r="IZZ37" t="s">
        <v>6984</v>
      </c>
      <c r="JAA37" t="s">
        <v>6984</v>
      </c>
      <c r="JAB37" t="s">
        <v>6984</v>
      </c>
      <c r="JAC37" t="s">
        <v>6984</v>
      </c>
      <c r="JAD37" t="s">
        <v>6984</v>
      </c>
      <c r="JAE37" t="s">
        <v>6984</v>
      </c>
      <c r="JAF37" t="s">
        <v>6984</v>
      </c>
      <c r="JAG37" t="s">
        <v>6984</v>
      </c>
      <c r="JAH37" t="s">
        <v>6984</v>
      </c>
      <c r="JAI37" t="s">
        <v>6984</v>
      </c>
      <c r="JAJ37" t="s">
        <v>6984</v>
      </c>
      <c r="JAK37" t="s">
        <v>6984</v>
      </c>
      <c r="JAL37" t="s">
        <v>6984</v>
      </c>
      <c r="JAM37" t="s">
        <v>6984</v>
      </c>
      <c r="JAN37" t="s">
        <v>6984</v>
      </c>
      <c r="JAO37" t="s">
        <v>6984</v>
      </c>
      <c r="JAP37" t="s">
        <v>6984</v>
      </c>
      <c r="JAQ37" t="s">
        <v>6984</v>
      </c>
      <c r="JAR37" t="s">
        <v>6984</v>
      </c>
      <c r="JAS37" t="s">
        <v>6984</v>
      </c>
      <c r="JAT37" t="s">
        <v>6984</v>
      </c>
      <c r="JAU37" t="s">
        <v>6984</v>
      </c>
      <c r="JAV37" t="s">
        <v>6984</v>
      </c>
      <c r="JAW37" t="s">
        <v>6984</v>
      </c>
      <c r="JAX37" t="s">
        <v>6984</v>
      </c>
      <c r="JAY37" t="s">
        <v>6984</v>
      </c>
      <c r="JAZ37" t="s">
        <v>6984</v>
      </c>
      <c r="JBA37" t="s">
        <v>6984</v>
      </c>
      <c r="JBB37" t="s">
        <v>6984</v>
      </c>
      <c r="JBC37" t="s">
        <v>6984</v>
      </c>
      <c r="JBD37" t="s">
        <v>6984</v>
      </c>
      <c r="JBE37" t="s">
        <v>6984</v>
      </c>
      <c r="JBF37" t="s">
        <v>6984</v>
      </c>
      <c r="JBG37" t="s">
        <v>6984</v>
      </c>
      <c r="JBH37" t="s">
        <v>6984</v>
      </c>
      <c r="JBI37" t="s">
        <v>6984</v>
      </c>
      <c r="JBJ37" t="s">
        <v>6984</v>
      </c>
      <c r="JBK37" t="s">
        <v>6984</v>
      </c>
      <c r="JBL37" t="s">
        <v>6984</v>
      </c>
      <c r="JBM37" t="s">
        <v>6984</v>
      </c>
      <c r="JBN37" t="s">
        <v>6984</v>
      </c>
      <c r="JBO37" t="s">
        <v>6984</v>
      </c>
      <c r="JBP37" t="s">
        <v>6984</v>
      </c>
      <c r="JBQ37" t="s">
        <v>6984</v>
      </c>
      <c r="JBR37" t="s">
        <v>6984</v>
      </c>
      <c r="JBS37" t="s">
        <v>6984</v>
      </c>
      <c r="JBT37" t="s">
        <v>6984</v>
      </c>
      <c r="JBU37" t="s">
        <v>6984</v>
      </c>
      <c r="JBV37" t="s">
        <v>6984</v>
      </c>
      <c r="JBW37" t="s">
        <v>6984</v>
      </c>
      <c r="JBX37" t="s">
        <v>6984</v>
      </c>
      <c r="JBY37" t="s">
        <v>6984</v>
      </c>
      <c r="JBZ37" t="s">
        <v>6984</v>
      </c>
      <c r="JCA37" t="s">
        <v>6984</v>
      </c>
      <c r="JCB37" t="s">
        <v>6984</v>
      </c>
      <c r="JCC37" t="s">
        <v>6984</v>
      </c>
      <c r="JCD37" t="s">
        <v>6984</v>
      </c>
      <c r="JCE37" t="s">
        <v>6984</v>
      </c>
      <c r="JCF37" t="s">
        <v>6984</v>
      </c>
      <c r="JCG37" t="s">
        <v>6984</v>
      </c>
      <c r="JCH37" t="s">
        <v>6984</v>
      </c>
      <c r="JCI37" t="s">
        <v>6984</v>
      </c>
      <c r="JCJ37" t="s">
        <v>6984</v>
      </c>
      <c r="JCK37" t="s">
        <v>6984</v>
      </c>
      <c r="JCL37" t="s">
        <v>6984</v>
      </c>
      <c r="JCM37" t="s">
        <v>6984</v>
      </c>
      <c r="JCN37" t="s">
        <v>6984</v>
      </c>
      <c r="JCO37" t="s">
        <v>6984</v>
      </c>
      <c r="JCP37" t="s">
        <v>6984</v>
      </c>
      <c r="JCQ37" t="s">
        <v>6984</v>
      </c>
      <c r="JCR37" t="s">
        <v>6984</v>
      </c>
      <c r="JCS37" t="s">
        <v>6984</v>
      </c>
      <c r="JCT37" t="s">
        <v>6984</v>
      </c>
      <c r="JCU37" t="s">
        <v>6984</v>
      </c>
      <c r="JCV37" t="s">
        <v>6984</v>
      </c>
      <c r="JCW37" t="s">
        <v>6984</v>
      </c>
      <c r="JCX37" t="s">
        <v>6984</v>
      </c>
      <c r="JCY37" t="s">
        <v>6984</v>
      </c>
      <c r="JCZ37" t="s">
        <v>6984</v>
      </c>
      <c r="JDA37" t="s">
        <v>6984</v>
      </c>
      <c r="JDB37" t="s">
        <v>6984</v>
      </c>
      <c r="JDC37" t="s">
        <v>6984</v>
      </c>
      <c r="JDD37" t="s">
        <v>6984</v>
      </c>
      <c r="JDE37" t="s">
        <v>6984</v>
      </c>
      <c r="JDF37" t="s">
        <v>6984</v>
      </c>
      <c r="JDG37" t="s">
        <v>6984</v>
      </c>
      <c r="JDH37" t="s">
        <v>6984</v>
      </c>
      <c r="JDI37" t="s">
        <v>6984</v>
      </c>
      <c r="JDJ37" t="s">
        <v>6984</v>
      </c>
      <c r="JDK37" t="s">
        <v>6984</v>
      </c>
      <c r="JDL37" t="s">
        <v>6984</v>
      </c>
      <c r="JDM37" t="s">
        <v>6984</v>
      </c>
      <c r="JDN37" t="s">
        <v>6984</v>
      </c>
      <c r="JDO37" t="s">
        <v>6984</v>
      </c>
      <c r="JDP37" t="s">
        <v>6984</v>
      </c>
      <c r="JDQ37" t="s">
        <v>6984</v>
      </c>
      <c r="JDR37" t="s">
        <v>6984</v>
      </c>
      <c r="JDS37" t="s">
        <v>6984</v>
      </c>
      <c r="JDT37" t="s">
        <v>6984</v>
      </c>
      <c r="JDU37" t="s">
        <v>6984</v>
      </c>
      <c r="JDV37" t="s">
        <v>6984</v>
      </c>
      <c r="JDW37" t="s">
        <v>6984</v>
      </c>
      <c r="JDX37" t="s">
        <v>6984</v>
      </c>
      <c r="JDY37" t="s">
        <v>6984</v>
      </c>
      <c r="JDZ37" t="s">
        <v>6984</v>
      </c>
      <c r="JEA37" t="s">
        <v>6984</v>
      </c>
      <c r="JEB37" t="s">
        <v>6984</v>
      </c>
      <c r="JEC37" t="s">
        <v>6984</v>
      </c>
      <c r="JED37" t="s">
        <v>6984</v>
      </c>
      <c r="JEE37" t="s">
        <v>6984</v>
      </c>
      <c r="JEF37" t="s">
        <v>6984</v>
      </c>
      <c r="JEG37" t="s">
        <v>6984</v>
      </c>
      <c r="JEH37" t="s">
        <v>6984</v>
      </c>
      <c r="JEI37" t="s">
        <v>6984</v>
      </c>
      <c r="JEJ37" t="s">
        <v>6984</v>
      </c>
      <c r="JEK37" t="s">
        <v>6984</v>
      </c>
      <c r="JEL37" t="s">
        <v>6984</v>
      </c>
      <c r="JEM37" t="s">
        <v>6984</v>
      </c>
      <c r="JEN37" t="s">
        <v>6984</v>
      </c>
      <c r="JEO37" t="s">
        <v>6984</v>
      </c>
      <c r="JEP37" t="s">
        <v>6984</v>
      </c>
      <c r="JEQ37" t="s">
        <v>6984</v>
      </c>
      <c r="JER37" t="s">
        <v>6984</v>
      </c>
      <c r="JES37" t="s">
        <v>6984</v>
      </c>
      <c r="JET37" t="s">
        <v>6984</v>
      </c>
      <c r="JEU37" t="s">
        <v>6984</v>
      </c>
      <c r="JEV37" t="s">
        <v>6984</v>
      </c>
      <c r="JEW37" t="s">
        <v>6984</v>
      </c>
      <c r="JEX37" t="s">
        <v>6984</v>
      </c>
      <c r="JEY37" t="s">
        <v>6984</v>
      </c>
      <c r="JEZ37" t="s">
        <v>6984</v>
      </c>
      <c r="JFA37" t="s">
        <v>6984</v>
      </c>
      <c r="JFB37" t="s">
        <v>6984</v>
      </c>
      <c r="JFC37" t="s">
        <v>6984</v>
      </c>
      <c r="JFD37" t="s">
        <v>6984</v>
      </c>
      <c r="JFE37" t="s">
        <v>6984</v>
      </c>
      <c r="JFF37" t="s">
        <v>6984</v>
      </c>
      <c r="JFG37" t="s">
        <v>6984</v>
      </c>
      <c r="JFH37" t="s">
        <v>6984</v>
      </c>
      <c r="JFI37" t="s">
        <v>6984</v>
      </c>
      <c r="JFJ37" t="s">
        <v>6984</v>
      </c>
      <c r="JFK37" t="s">
        <v>6984</v>
      </c>
      <c r="JFL37" t="s">
        <v>6984</v>
      </c>
      <c r="JFM37" t="s">
        <v>6984</v>
      </c>
      <c r="JFN37" t="s">
        <v>6984</v>
      </c>
      <c r="JFO37" t="s">
        <v>6984</v>
      </c>
      <c r="JFP37" t="s">
        <v>6984</v>
      </c>
      <c r="JFQ37" t="s">
        <v>6984</v>
      </c>
      <c r="JFR37" t="s">
        <v>6984</v>
      </c>
      <c r="JFS37" t="s">
        <v>6984</v>
      </c>
      <c r="JFT37" t="s">
        <v>6984</v>
      </c>
      <c r="JFU37" t="s">
        <v>6984</v>
      </c>
      <c r="JFV37" t="s">
        <v>6984</v>
      </c>
      <c r="JFW37" t="s">
        <v>6984</v>
      </c>
      <c r="JFX37" t="s">
        <v>6984</v>
      </c>
      <c r="JFY37" t="s">
        <v>6984</v>
      </c>
      <c r="JFZ37" t="s">
        <v>6984</v>
      </c>
      <c r="JGA37" t="s">
        <v>6984</v>
      </c>
      <c r="JGB37" t="s">
        <v>6984</v>
      </c>
      <c r="JGC37" t="s">
        <v>6984</v>
      </c>
      <c r="JGD37" t="s">
        <v>6984</v>
      </c>
      <c r="JGE37" t="s">
        <v>6984</v>
      </c>
      <c r="JGF37" t="s">
        <v>6984</v>
      </c>
      <c r="JGG37" t="s">
        <v>6984</v>
      </c>
      <c r="JGH37" t="s">
        <v>6984</v>
      </c>
      <c r="JGI37" t="s">
        <v>6984</v>
      </c>
      <c r="JGJ37" t="s">
        <v>6984</v>
      </c>
      <c r="JGK37" t="s">
        <v>6984</v>
      </c>
      <c r="JGL37" t="s">
        <v>6984</v>
      </c>
      <c r="JGM37" t="s">
        <v>6984</v>
      </c>
      <c r="JGN37" t="s">
        <v>6984</v>
      </c>
      <c r="JGO37" t="s">
        <v>6984</v>
      </c>
      <c r="JGP37" t="s">
        <v>6984</v>
      </c>
      <c r="JGQ37" t="s">
        <v>6984</v>
      </c>
      <c r="JGR37" t="s">
        <v>6984</v>
      </c>
      <c r="JGS37" t="s">
        <v>6984</v>
      </c>
      <c r="JGT37" t="s">
        <v>6984</v>
      </c>
      <c r="JGU37" t="s">
        <v>6984</v>
      </c>
      <c r="JGV37" t="s">
        <v>6984</v>
      </c>
      <c r="JGW37" t="s">
        <v>6984</v>
      </c>
      <c r="JGX37" t="s">
        <v>6984</v>
      </c>
      <c r="JGY37" t="s">
        <v>6984</v>
      </c>
      <c r="JGZ37" t="s">
        <v>6984</v>
      </c>
      <c r="JHA37" t="s">
        <v>6984</v>
      </c>
      <c r="JHB37" t="s">
        <v>6984</v>
      </c>
      <c r="JHC37" t="s">
        <v>6984</v>
      </c>
      <c r="JHD37" t="s">
        <v>6984</v>
      </c>
      <c r="JHE37" t="s">
        <v>6984</v>
      </c>
      <c r="JHF37" t="s">
        <v>6984</v>
      </c>
      <c r="JHG37" t="s">
        <v>6984</v>
      </c>
      <c r="JHH37" t="s">
        <v>6984</v>
      </c>
      <c r="JHI37" t="s">
        <v>6984</v>
      </c>
      <c r="JHJ37" t="s">
        <v>6984</v>
      </c>
      <c r="JHK37" t="s">
        <v>6984</v>
      </c>
      <c r="JHL37" t="s">
        <v>6984</v>
      </c>
      <c r="JHM37" t="s">
        <v>6984</v>
      </c>
      <c r="JHN37" t="s">
        <v>6984</v>
      </c>
      <c r="JHO37" t="s">
        <v>6984</v>
      </c>
      <c r="JHP37" t="s">
        <v>6984</v>
      </c>
      <c r="JHQ37" t="s">
        <v>6984</v>
      </c>
      <c r="JHR37" t="s">
        <v>6984</v>
      </c>
      <c r="JHS37" t="s">
        <v>6984</v>
      </c>
      <c r="JHT37" t="s">
        <v>6984</v>
      </c>
      <c r="JHU37" t="s">
        <v>6984</v>
      </c>
      <c r="JHV37" t="s">
        <v>6984</v>
      </c>
      <c r="JHW37" t="s">
        <v>6984</v>
      </c>
      <c r="JHX37" t="s">
        <v>6984</v>
      </c>
      <c r="JHY37" t="s">
        <v>6984</v>
      </c>
      <c r="JHZ37" t="s">
        <v>6984</v>
      </c>
      <c r="JIA37" t="s">
        <v>6984</v>
      </c>
      <c r="JIB37" t="s">
        <v>6984</v>
      </c>
      <c r="JIC37" t="s">
        <v>6984</v>
      </c>
      <c r="JID37" t="s">
        <v>6984</v>
      </c>
      <c r="JIE37" t="s">
        <v>6984</v>
      </c>
      <c r="JIF37" t="s">
        <v>6984</v>
      </c>
      <c r="JIG37" t="s">
        <v>6984</v>
      </c>
      <c r="JIH37" t="s">
        <v>6984</v>
      </c>
      <c r="JII37" t="s">
        <v>6984</v>
      </c>
      <c r="JIJ37" t="s">
        <v>6984</v>
      </c>
      <c r="JIK37" t="s">
        <v>6984</v>
      </c>
      <c r="JIL37" t="s">
        <v>6984</v>
      </c>
      <c r="JIM37" t="s">
        <v>6984</v>
      </c>
      <c r="JIN37" t="s">
        <v>6984</v>
      </c>
      <c r="JIO37" t="s">
        <v>6984</v>
      </c>
      <c r="JIP37" t="s">
        <v>6984</v>
      </c>
      <c r="JIQ37" t="s">
        <v>6984</v>
      </c>
      <c r="JIR37" t="s">
        <v>6984</v>
      </c>
      <c r="JIS37" t="s">
        <v>6984</v>
      </c>
      <c r="JIT37" t="s">
        <v>6984</v>
      </c>
      <c r="JIU37" t="s">
        <v>6984</v>
      </c>
      <c r="JIV37" t="s">
        <v>6984</v>
      </c>
      <c r="JIW37" t="s">
        <v>6984</v>
      </c>
      <c r="JIX37" t="s">
        <v>6984</v>
      </c>
      <c r="JIY37" t="s">
        <v>6984</v>
      </c>
      <c r="JIZ37" t="s">
        <v>6984</v>
      </c>
      <c r="JJA37" t="s">
        <v>6984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10E83-251C-4E77-860C-2ECD16230655}">
  <dimension ref="A1:P27"/>
  <sheetViews>
    <sheetView workbookViewId="0">
      <selection activeCell="D28" sqref="D28"/>
    </sheetView>
  </sheetViews>
  <sheetFormatPr defaultRowHeight="15" x14ac:dyDescent="0.25"/>
  <cols>
    <col min="2" max="2" width="10" customWidth="1"/>
    <col min="8" max="8" width="11.28515625" customWidth="1"/>
    <col min="13" max="13" width="10.42578125" bestFit="1" customWidth="1"/>
    <col min="16" max="16" width="15.85546875" customWidth="1"/>
  </cols>
  <sheetData>
    <row r="1" spans="1:16" x14ac:dyDescent="0.25">
      <c r="A1" t="str">
        <f>[1]RTD!A39</f>
        <v>SR3M5</v>
      </c>
      <c r="B1">
        <f>[1]RTD!Q39</f>
        <v>95.673749999999998</v>
      </c>
      <c r="C1" t="str">
        <f>[1]RTD!A68</f>
        <v>I</v>
      </c>
      <c r="D1" t="str">
        <f>[1]RTD!Q68</f>
        <v>Mid</v>
      </c>
      <c r="E1" t="str">
        <f>[1]RTD!A99</f>
        <v>SA3 FMM0025!</v>
      </c>
      <c r="F1">
        <f>[1]RTD!Q99</f>
        <v>100.05125</v>
      </c>
      <c r="G1" t="str">
        <f>[1]RTD!A128</f>
        <v>SO3</v>
      </c>
      <c r="H1" t="str">
        <f>[1]RTD!Q128</f>
        <v>Mid</v>
      </c>
      <c r="M1" s="3" t="s">
        <v>7038</v>
      </c>
      <c r="N1" s="3"/>
      <c r="O1" s="3"/>
    </row>
    <row r="2" spans="1:16" x14ac:dyDescent="0.25">
      <c r="A2" t="str">
        <f>[1]RTD!A40</f>
        <v>SR3U5</v>
      </c>
      <c r="B2">
        <f>[1]RTD!Q40</f>
        <v>95.892499999999998</v>
      </c>
      <c r="C2" t="str">
        <f>[1]RTD!A69</f>
        <v>I   FMM0025!</v>
      </c>
      <c r="D2" t="e">
        <f>[1]RTD!Q69</f>
        <v>#VALUE!</v>
      </c>
      <c r="E2" t="str">
        <f>[1]RTD!A100</f>
        <v>SA3 FMU0025!</v>
      </c>
      <c r="F2">
        <f>[1]RTD!Q100</f>
        <v>100.1225</v>
      </c>
      <c r="G2" t="str">
        <f>[1]RTD!A129</f>
        <v>SO3 FMM0025!</v>
      </c>
      <c r="H2">
        <f>[1]RTD!Q129</f>
        <v>95.852499999999992</v>
      </c>
      <c r="M2" s="4">
        <f>'SR3'!B2</f>
        <v>45828</v>
      </c>
      <c r="N2" s="3"/>
      <c r="O2" s="3"/>
      <c r="P2" t="s">
        <v>7039</v>
      </c>
    </row>
    <row r="3" spans="1:16" x14ac:dyDescent="0.25">
      <c r="A3" t="str">
        <f>[1]RTD!A41</f>
        <v>SR3Z5</v>
      </c>
      <c r="B3">
        <f>[1]RTD!Q41</f>
        <v>96.157499999999999</v>
      </c>
      <c r="C3" t="str">
        <f>[1]RTD!A70</f>
        <v>I   FMU0025!</v>
      </c>
      <c r="D3">
        <f>[1]RTD!Q70</f>
        <v>98.077500000000001</v>
      </c>
      <c r="E3" t="str">
        <f>[1]RTD!A101</f>
        <v>SA3 FMZ0025!</v>
      </c>
      <c r="F3">
        <f>[1]RTD!Q101</f>
        <v>100.16249999999999</v>
      </c>
      <c r="G3" t="str">
        <f>[1]RTD!A130</f>
        <v>SO3 FMU0025!</v>
      </c>
      <c r="H3">
        <f>[1]RTD!Q130</f>
        <v>96.097499999999997</v>
      </c>
      <c r="P3" s="2">
        <f ca="1">TODAY()</f>
        <v>45828</v>
      </c>
    </row>
    <row r="4" spans="1:16" x14ac:dyDescent="0.25">
      <c r="A4" t="str">
        <f>[1]RTD!A42</f>
        <v>SR3H6</v>
      </c>
      <c r="B4" s="1">
        <f>[1]RTD!S42</f>
        <v>96.382499999999993</v>
      </c>
      <c r="C4" t="str">
        <f>[1]RTD!A71</f>
        <v>I   FMZ0025!</v>
      </c>
      <c r="D4" s="1">
        <f>[1]RTD!S71</f>
        <v>98.167500000000004</v>
      </c>
      <c r="E4" t="str">
        <f>[1]RTD!A102</f>
        <v>SA3 FMH0026!</v>
      </c>
      <c r="F4" s="1">
        <f>[1]RTD!S102</f>
        <v>100.17750000000001</v>
      </c>
      <c r="G4" t="str">
        <f>[1]RTD!A131</f>
        <v>SO3 FMZ0025!</v>
      </c>
      <c r="H4" s="1">
        <f>[1]RTD!S131</f>
        <v>96.307500000000005</v>
      </c>
      <c r="I4" t="str">
        <f>[1]RTD!A159</f>
        <v>ZQM5</v>
      </c>
      <c r="J4" s="1">
        <f>[1]RTD!S159</f>
        <v>95.671250000000001</v>
      </c>
    </row>
    <row r="5" spans="1:16" x14ac:dyDescent="0.25">
      <c r="A5" t="str">
        <f>[1]RTD!A43</f>
        <v>SR3M6</v>
      </c>
      <c r="B5" s="1">
        <f>[1]RTD!S43</f>
        <v>96.592500000000001</v>
      </c>
      <c r="C5" t="str">
        <f>[1]RTD!A72</f>
        <v>I   FMH0026!</v>
      </c>
      <c r="D5" s="1">
        <f>[1]RTD!S72</f>
        <v>98.197499999999991</v>
      </c>
      <c r="E5" t="str">
        <f>[1]RTD!A103</f>
        <v>SA3 FMM0026!</v>
      </c>
      <c r="F5" s="1">
        <f>[1]RTD!S103</f>
        <v>100.16249999999999</v>
      </c>
      <c r="G5" t="str">
        <f>[1]RTD!A132</f>
        <v>SO3 FMH0026!</v>
      </c>
      <c r="H5" s="1">
        <f>[1]RTD!S132</f>
        <v>96.422499999999999</v>
      </c>
      <c r="I5" t="str">
        <f>[1]RTD!A160</f>
        <v>ZQN5</v>
      </c>
      <c r="J5" s="1">
        <f>[1]RTD!S160</f>
        <v>95.672499999999999</v>
      </c>
    </row>
    <row r="6" spans="1:16" x14ac:dyDescent="0.25">
      <c r="A6" t="str">
        <f>[1]RTD!A44</f>
        <v>SR3U6</v>
      </c>
      <c r="B6" s="1">
        <f>[1]RTD!S44</f>
        <v>96.722499999999997</v>
      </c>
      <c r="C6" t="str">
        <f>[1]RTD!A73</f>
        <v>I   FMM0026!</v>
      </c>
      <c r="D6" s="1">
        <f>[1]RTD!S73</f>
        <v>98.192499999999995</v>
      </c>
      <c r="E6" t="str">
        <f>[1]RTD!A104</f>
        <v>SA3 FMU0026!</v>
      </c>
      <c r="F6" s="1">
        <f>[1]RTD!S104</f>
        <v>100.125</v>
      </c>
      <c r="G6" t="str">
        <f>[1]RTD!A133</f>
        <v>SO3 FMM0026!</v>
      </c>
      <c r="H6" s="1">
        <f>[1]RTD!S133</f>
        <v>96.47999999999999</v>
      </c>
      <c r="I6" t="str">
        <f>[1]RTD!A161</f>
        <v>ZQQ5</v>
      </c>
      <c r="J6" s="1">
        <f>[1]RTD!S161</f>
        <v>95.712500000000006</v>
      </c>
    </row>
    <row r="7" spans="1:16" x14ac:dyDescent="0.25">
      <c r="A7" t="str">
        <f>[1]RTD!A45</f>
        <v>SR3Z6</v>
      </c>
      <c r="B7" s="1">
        <f>[1]RTD!S45</f>
        <v>96.772500000000008</v>
      </c>
      <c r="C7" t="str">
        <f>[1]RTD!A74</f>
        <v>I   FMU0026!</v>
      </c>
      <c r="D7" s="1">
        <f>[1]RTD!S74</f>
        <v>98.162499999999994</v>
      </c>
      <c r="E7" t="str">
        <f>[1]RTD!A105</f>
        <v>SA3 FMZ0026!</v>
      </c>
      <c r="F7" s="1">
        <f>[1]RTD!S105</f>
        <v>100.07499999999999</v>
      </c>
      <c r="G7" t="str">
        <f>[1]RTD!A134</f>
        <v>SO3 FMU0026!</v>
      </c>
      <c r="H7" s="1">
        <f>[1]RTD!S134</f>
        <v>96.502499999999998</v>
      </c>
      <c r="I7" t="str">
        <f>[1]RTD!A162</f>
        <v>ZQU5</v>
      </c>
      <c r="J7" s="1">
        <f>[1]RTD!S162</f>
        <v>95.782499999999999</v>
      </c>
    </row>
    <row r="8" spans="1:16" x14ac:dyDescent="0.25">
      <c r="A8" t="str">
        <f>[1]RTD!A46</f>
        <v>SR3H7</v>
      </c>
      <c r="B8" s="1">
        <f>[1]RTD!S46</f>
        <v>96.767499999999998</v>
      </c>
      <c r="C8" t="str">
        <f>[1]RTD!A75</f>
        <v>I   FMZ0026!</v>
      </c>
      <c r="D8" s="1">
        <f>[1]RTD!S75</f>
        <v>98.107500000000002</v>
      </c>
      <c r="E8" t="str">
        <f>[1]RTD!A106</f>
        <v>SA3 FMH0027!</v>
      </c>
      <c r="F8" s="1">
        <f>[1]RTD!S106</f>
        <v>100.02000000000001</v>
      </c>
      <c r="G8" t="str">
        <f>[1]RTD!A135</f>
        <v>SO3 FMZ0026!</v>
      </c>
      <c r="H8" s="1">
        <f>[1]RTD!S135</f>
        <v>96.497500000000002</v>
      </c>
      <c r="I8" t="str">
        <f>[1]RTD!A163</f>
        <v>ZQV5</v>
      </c>
      <c r="J8" s="1">
        <f>[1]RTD!S163</f>
        <v>95.882499999999993</v>
      </c>
    </row>
    <row r="9" spans="1:16" x14ac:dyDescent="0.25">
      <c r="A9" t="str">
        <f>[1]RTD!A47</f>
        <v>SR3M7</v>
      </c>
      <c r="B9" s="1">
        <f>[1]RTD!S47</f>
        <v>96.727499999999992</v>
      </c>
      <c r="C9" t="str">
        <f>[1]RTD!A76</f>
        <v>I   FMH0027!</v>
      </c>
      <c r="D9" s="1">
        <f>[1]RTD!S76</f>
        <v>98.042500000000004</v>
      </c>
      <c r="E9" t="str">
        <f>[1]RTD!A107</f>
        <v>SA3 FMM0027!</v>
      </c>
      <c r="F9" s="1">
        <f>[1]RTD!S107</f>
        <v>99.960000000000008</v>
      </c>
      <c r="G9" t="str">
        <f>[1]RTD!A136</f>
        <v>SO3 FMH0027!</v>
      </c>
      <c r="H9" s="1">
        <f>[1]RTD!S136</f>
        <v>96.472499999999997</v>
      </c>
      <c r="I9" t="str">
        <f>[1]RTD!A164</f>
        <v>ZQX5</v>
      </c>
      <c r="J9" s="1">
        <f>[1]RTD!S164</f>
        <v>96.012500000000003</v>
      </c>
    </row>
    <row r="10" spans="1:16" x14ac:dyDescent="0.25">
      <c r="A10" t="str">
        <f>[1]RTD!A48</f>
        <v>SR3U7</v>
      </c>
      <c r="B10" s="1">
        <f>[1]RTD!S48</f>
        <v>96.672499999999999</v>
      </c>
      <c r="C10" t="str">
        <f>[1]RTD!A77</f>
        <v>I   FMM0027!</v>
      </c>
      <c r="D10" s="1">
        <f>[1]RTD!S77</f>
        <v>97.977499999999992</v>
      </c>
      <c r="E10" t="str">
        <f>[1]RTD!A108</f>
        <v>SA3 FMU0027!</v>
      </c>
      <c r="F10" s="1">
        <f>[1]RTD!S108</f>
        <v>99.892500000000013</v>
      </c>
      <c r="G10" t="str">
        <f>[1]RTD!A137</f>
        <v>SO3 FMM0027!</v>
      </c>
      <c r="H10" s="1">
        <f>[1]RTD!S137</f>
        <v>96.44</v>
      </c>
      <c r="I10" t="str">
        <f>[1]RTD!A165</f>
        <v>ZQZ5</v>
      </c>
      <c r="J10" s="1">
        <f>[1]RTD!S165</f>
        <v>96.132499999999993</v>
      </c>
    </row>
    <row r="11" spans="1:16" x14ac:dyDescent="0.25">
      <c r="A11" t="str">
        <f>[1]RTD!A49</f>
        <v>SR3Z7</v>
      </c>
      <c r="B11" s="1">
        <f>[1]RTD!S49</f>
        <v>96.612499999999997</v>
      </c>
      <c r="C11" t="str">
        <f>[1]RTD!A78</f>
        <v>I   FMU0027!</v>
      </c>
      <c r="D11" s="1">
        <f>[1]RTD!S78</f>
        <v>97.907499999999999</v>
      </c>
      <c r="E11" t="str">
        <f>[1]RTD!A109</f>
        <v>SA3 FMZ0027!</v>
      </c>
      <c r="F11" s="1">
        <f>[1]RTD!S109</f>
        <v>99.822499999999991</v>
      </c>
      <c r="G11" t="str">
        <f>[1]RTD!A138</f>
        <v>SO3 FMU0027!</v>
      </c>
      <c r="H11" s="1">
        <f>[1]RTD!S138</f>
        <v>96.407499999999999</v>
      </c>
      <c r="I11" t="str">
        <f>[1]RTD!A166</f>
        <v>ZQF6</v>
      </c>
      <c r="J11" s="1">
        <f>[1]RTD!S166</f>
        <v>96.192499999999995</v>
      </c>
    </row>
    <row r="12" spans="1:16" x14ac:dyDescent="0.25">
      <c r="A12" t="str">
        <f>[1]RTD!A50</f>
        <v>SR3H8</v>
      </c>
      <c r="B12" s="1">
        <f>[1]RTD!S50</f>
        <v>96.5625</v>
      </c>
      <c r="C12" t="str">
        <f>[1]RTD!A79</f>
        <v>I   FMZ0027!</v>
      </c>
      <c r="D12" s="1">
        <f>[1]RTD!S79</f>
        <v>97.837500000000006</v>
      </c>
      <c r="E12" t="str">
        <f>[1]RTD!A110</f>
        <v>SA3 FMH0028!</v>
      </c>
      <c r="F12" s="1">
        <f>[1]RTD!S110</f>
        <v>99.752499999999998</v>
      </c>
      <c r="G12" t="str">
        <f>[1]RTD!A139</f>
        <v>SO3 FMZ0027!</v>
      </c>
      <c r="H12" s="1">
        <f>[1]RTD!S139</f>
        <v>96.375</v>
      </c>
      <c r="I12" t="str">
        <f>[1]RTD!A167</f>
        <v>ZQG6</v>
      </c>
      <c r="J12" s="1">
        <f>[1]RTD!S167</f>
        <v>96.277500000000003</v>
      </c>
    </row>
    <row r="13" spans="1:16" x14ac:dyDescent="0.25">
      <c r="A13" t="str">
        <f>[1]RTD!A51</f>
        <v>SR3M8</v>
      </c>
      <c r="B13" s="1">
        <f>[1]RTD!S51</f>
        <v>96.512500000000003</v>
      </c>
      <c r="C13" t="str">
        <f>[1]RTD!A80</f>
        <v>I   FMH0028!</v>
      </c>
      <c r="D13" s="1">
        <f>[1]RTD!S80</f>
        <v>97.772500000000008</v>
      </c>
      <c r="E13" t="str">
        <f>[1]RTD!A111</f>
        <v>SA3 FMM0028!</v>
      </c>
      <c r="F13" s="1">
        <f>[1]RTD!S111</f>
        <v>99.68</v>
      </c>
      <c r="G13" t="str">
        <f>[1]RTD!A140</f>
        <v>SO3 FMH0028!</v>
      </c>
      <c r="H13" s="1">
        <f>[1]RTD!S140</f>
        <v>96.337500000000006</v>
      </c>
      <c r="I13" t="str">
        <f>[1]RTD!A168</f>
        <v>ZQH6</v>
      </c>
      <c r="J13" s="1">
        <f>[1]RTD!S168</f>
        <v>96.327500000000001</v>
      </c>
    </row>
    <row r="14" spans="1:16" x14ac:dyDescent="0.25">
      <c r="A14" t="str">
        <f>[1]RTD!A52</f>
        <v>SR3U8</v>
      </c>
      <c r="B14" s="1">
        <f>[1]RTD!S52</f>
        <v>96.472499999999997</v>
      </c>
      <c r="C14" t="str">
        <f>[1]RTD!A81</f>
        <v>I   FMM0028!</v>
      </c>
      <c r="D14" s="1">
        <f>[1]RTD!S81</f>
        <v>97.717500000000001</v>
      </c>
      <c r="E14" t="str">
        <f>[1]RTD!A112</f>
        <v>SA3 FMU0028!</v>
      </c>
      <c r="F14" s="1">
        <f>[1]RTD!S112</f>
        <v>99.6</v>
      </c>
      <c r="G14" t="str">
        <f>[1]RTD!A141</f>
        <v>SO3 FMM0028!</v>
      </c>
      <c r="H14" s="1">
        <f>[1]RTD!S141</f>
        <v>96.300000000000011</v>
      </c>
      <c r="I14" t="str">
        <f>[1]RTD!A169</f>
        <v>ZQJ6</v>
      </c>
      <c r="J14" s="1">
        <f>[1]RTD!S169</f>
        <v>96.402500000000003</v>
      </c>
    </row>
    <row r="15" spans="1:16" x14ac:dyDescent="0.25">
      <c r="A15" t="str">
        <f>[1]RTD!A53</f>
        <v>SR3Z8</v>
      </c>
      <c r="B15" s="1">
        <f>[1]RTD!S53</f>
        <v>96.425000000000011</v>
      </c>
      <c r="C15" t="str">
        <f>[1]RTD!A82</f>
        <v>I   FMU0028!</v>
      </c>
      <c r="D15" s="1">
        <f>[1]RTD!S82</f>
        <v>97.664999999999992</v>
      </c>
      <c r="E15" t="str">
        <f>[1]RTD!A113</f>
        <v>SA3 FMZ0028!</v>
      </c>
      <c r="F15" s="1">
        <f>[1]RTD!S113</f>
        <v>99.525000000000006</v>
      </c>
      <c r="G15" t="str">
        <f>[1]RTD!A142</f>
        <v>SO3 FMU0028!</v>
      </c>
      <c r="H15" s="1">
        <f>[1]RTD!S142</f>
        <v>96.262500000000003</v>
      </c>
      <c r="I15" t="str">
        <f>[1]RTD!A170</f>
        <v>ZQK6</v>
      </c>
      <c r="J15" s="1">
        <f>[1]RTD!S170</f>
        <v>96.472499999999997</v>
      </c>
    </row>
    <row r="16" spans="1:16" x14ac:dyDescent="0.25">
      <c r="A16" t="str">
        <f>[1]RTD!A54</f>
        <v>SR3H9</v>
      </c>
      <c r="B16" s="1">
        <f>[1]RTD!S54</f>
        <v>96.382499999999993</v>
      </c>
      <c r="C16" t="str">
        <f>[1]RTD!A83</f>
        <v>I   FMZ0028!</v>
      </c>
      <c r="D16" s="1">
        <f>[1]RTD!S83</f>
        <v>97.617500000000007</v>
      </c>
      <c r="E16" t="str">
        <f>[1]RTD!A114</f>
        <v>SA3 FMH0029!</v>
      </c>
      <c r="F16" s="1">
        <f>[1]RTD!S114</f>
        <v>99.444999999999993</v>
      </c>
      <c r="G16" t="str">
        <f>[1]RTD!A143</f>
        <v>SO3 FMZ0028!</v>
      </c>
      <c r="H16" s="1">
        <f>[1]RTD!S143</f>
        <v>96.222499999999997</v>
      </c>
      <c r="I16" t="str">
        <f>[1]RTD!A171</f>
        <v>ZQM6</v>
      </c>
      <c r="J16" s="1">
        <f>[1]RTD!S171</f>
        <v>96.525000000000006</v>
      </c>
    </row>
    <row r="17" spans="1:10" x14ac:dyDescent="0.25">
      <c r="A17" t="str">
        <f>[1]RTD!A55</f>
        <v>SR3M9</v>
      </c>
      <c r="B17" s="1">
        <f>[1]RTD!S55</f>
        <v>96.332499999999996</v>
      </c>
      <c r="C17" t="str">
        <f>[1]RTD!A84</f>
        <v>I   FMH0029!</v>
      </c>
      <c r="D17" s="1">
        <f>[1]RTD!S84</f>
        <v>97.567499999999995</v>
      </c>
      <c r="E17" t="str">
        <f>[1]RTD!A115</f>
        <v>SA3 FMM0029!</v>
      </c>
      <c r="F17" s="1" t="str">
        <f>[1]RTD!S115</f>
        <v>"services.rtd.invalidInstrumentFormat"</v>
      </c>
      <c r="G17" t="str">
        <f>[1]RTD!A144</f>
        <v>SO3 FMH0029!</v>
      </c>
      <c r="H17" s="1">
        <f>[1]RTD!S144</f>
        <v>96.182500000000005</v>
      </c>
      <c r="I17" t="str">
        <f>[1]RTD!A172</f>
        <v>ZQN6</v>
      </c>
      <c r="J17" s="1">
        <f>[1]RTD!S172</f>
        <v>96.602499999999992</v>
      </c>
    </row>
    <row r="18" spans="1:10" x14ac:dyDescent="0.25">
      <c r="A18" t="str">
        <f>[1]RTD!A56</f>
        <v>SR3U9</v>
      </c>
      <c r="B18" s="1">
        <f>[1]RTD!S56</f>
        <v>96.282499999999999</v>
      </c>
      <c r="C18" t="str">
        <f>[1]RTD!A85</f>
        <v>I   FMM0029!</v>
      </c>
      <c r="D18" s="1">
        <f>[1]RTD!S85</f>
        <v>97.525000000000006</v>
      </c>
      <c r="E18" t="str">
        <f>[1]RTD!A116</f>
        <v>SA3 FMU0029!</v>
      </c>
      <c r="F18" s="1" t="str">
        <f>[1]RTD!S116</f>
        <v>"services.rtd.invalidInstrumentFormat"</v>
      </c>
      <c r="G18" t="str">
        <f>[1]RTD!A145</f>
        <v>SO3 FMM0029!</v>
      </c>
      <c r="H18" s="1">
        <f>[1]RTD!S145</f>
        <v>96.142499999999998</v>
      </c>
      <c r="I18" t="str">
        <f>[1]RTD!A173</f>
        <v>ZQQ6</v>
      </c>
      <c r="J18" s="1">
        <f>[1]RTD!S173</f>
        <v>96.68</v>
      </c>
    </row>
    <row r="19" spans="1:10" x14ac:dyDescent="0.25">
      <c r="A19" t="str">
        <f>[1]RTD!A57</f>
        <v>SR3Z9</v>
      </c>
      <c r="B19" s="1">
        <f>[1]RTD!S57</f>
        <v>96.227499999999992</v>
      </c>
      <c r="C19" t="str">
        <f>[1]RTD!A86</f>
        <v>I   FMU0029!</v>
      </c>
      <c r="D19" s="1">
        <f>[1]RTD!S86</f>
        <v>97.482500000000002</v>
      </c>
      <c r="E19" t="str">
        <f>[1]RTD!A117</f>
        <v>SA3 FMZ0029!</v>
      </c>
      <c r="F19" s="1" t="str">
        <f>[1]RTD!S117</f>
        <v>"services.rtd.invalidInstrumentFormat"</v>
      </c>
      <c r="G19" t="str">
        <f>[1]RTD!A146</f>
        <v>SO3 FMU0029!</v>
      </c>
      <c r="H19" s="1">
        <f>[1]RTD!S146</f>
        <v>96.1</v>
      </c>
      <c r="I19" t="str">
        <f>[1]RTD!A174</f>
        <v>ZQU6</v>
      </c>
      <c r="J19" s="1">
        <f>[1]RTD!S174</f>
        <v>96.72</v>
      </c>
    </row>
    <row r="20" spans="1:10" x14ac:dyDescent="0.25">
      <c r="A20" t="str">
        <f>[1]RTD!A58</f>
        <v>SR3H0</v>
      </c>
      <c r="B20" s="1">
        <f>[1]RTD!S58</f>
        <v>96.177500000000009</v>
      </c>
      <c r="C20" t="str">
        <f>[1]RTD!A87</f>
        <v>I   FMZ0029!</v>
      </c>
      <c r="D20" s="1">
        <f>[1]RTD!S87</f>
        <v>97.442499999999995</v>
      </c>
      <c r="E20" t="str">
        <f>[1]RTD!A118</f>
        <v>SA3 FMH0030!</v>
      </c>
      <c r="F20" s="1" t="str">
        <f>[1]RTD!S118</f>
        <v>"services.rtd.invalidInstrumentFormat"</v>
      </c>
      <c r="G20" t="str">
        <f>[1]RTD!A147</f>
        <v>SO3 FMZ0029!</v>
      </c>
      <c r="H20" s="1">
        <f>[1]RTD!S147</f>
        <v>96.055000000000007</v>
      </c>
      <c r="I20" t="str">
        <f>[1]RTD!A175</f>
        <v>ZQV6</v>
      </c>
      <c r="J20" s="1">
        <f>[1]RTD!S175</f>
        <v>96.767500000000013</v>
      </c>
    </row>
    <row r="21" spans="1:10" x14ac:dyDescent="0.25">
      <c r="A21" t="str">
        <f>[1]RTD!A59</f>
        <v>SR3M0</v>
      </c>
      <c r="B21" s="1">
        <f>[1]RTD!S59</f>
        <v>96.122500000000002</v>
      </c>
      <c r="C21" t="str">
        <f>[1]RTD!A88</f>
        <v>I   FMH0030!</v>
      </c>
      <c r="D21" s="1">
        <f>[1]RTD!S88</f>
        <v>97.402500000000003</v>
      </c>
      <c r="E21" t="str">
        <f>[1]RTD!A119</f>
        <v>SA3 FMM0030!</v>
      </c>
      <c r="F21" s="1" t="str">
        <f>[1]RTD!S119</f>
        <v>"services.rtd.invalidInstrumentFormat"</v>
      </c>
      <c r="G21" t="str">
        <f>[1]RTD!A148</f>
        <v>SO3 FMH0030!</v>
      </c>
      <c r="H21" s="1">
        <f>[1]RTD!S148</f>
        <v>96.012500000000003</v>
      </c>
      <c r="I21" t="str">
        <f>[1]RTD!A176</f>
        <v>ZQX6</v>
      </c>
      <c r="J21" s="1">
        <f>[1]RTD!S176</f>
        <v>96.8</v>
      </c>
    </row>
    <row r="22" spans="1:10" x14ac:dyDescent="0.25">
      <c r="A22" t="str">
        <f>[1]RTD!A60</f>
        <v>SR3U0</v>
      </c>
      <c r="B22" s="1">
        <f>[1]RTD!S60</f>
        <v>96.07</v>
      </c>
      <c r="C22" t="str">
        <f>[1]RTD!A89</f>
        <v>I   FMM0030!</v>
      </c>
      <c r="D22" s="1">
        <f>[1]RTD!S89</f>
        <v>97.357500000000002</v>
      </c>
      <c r="E22" t="str">
        <f>[1]RTD!A120</f>
        <v>SA3 FMU0030!</v>
      </c>
      <c r="F22" s="1" t="str">
        <f>[1]RTD!S120</f>
        <v>"services.rtd.invalidInstrumentFormat"</v>
      </c>
      <c r="G22" t="str">
        <f>[1]RTD!A149</f>
        <v>SO3 FMM0030!</v>
      </c>
      <c r="H22" s="1">
        <f>[1]RTD!S149</f>
        <v>95.972499999999997</v>
      </c>
      <c r="I22" t="str">
        <f>[1]RTD!A177</f>
        <v>ZQZ6</v>
      </c>
      <c r="J22" s="1">
        <f>[1]RTD!S177</f>
        <v>96.852499999999992</v>
      </c>
    </row>
    <row r="23" spans="1:10" x14ac:dyDescent="0.25">
      <c r="A23" t="str">
        <f>[1]RTD!A61</f>
        <v>SR3Z0</v>
      </c>
      <c r="B23" s="1">
        <f>[1]RTD!S61</f>
        <v>96.004999999999995</v>
      </c>
      <c r="C23" t="str">
        <f>[1]RTD!A90</f>
        <v>I   FMU0030!</v>
      </c>
      <c r="D23" s="1">
        <f>[1]RTD!S90</f>
        <v>97.317499999999995</v>
      </c>
      <c r="E23" t="str">
        <f>[1]RTD!A121</f>
        <v>SA3 FMZ0030!</v>
      </c>
      <c r="F23" s="1" t="str">
        <f>[1]RTD!S121</f>
        <v>"services.rtd.invalidInstrumentFormat"</v>
      </c>
      <c r="G23" t="str">
        <f>[1]RTD!A150</f>
        <v>SO3 FMU0030!</v>
      </c>
      <c r="H23" s="1">
        <f>[1]RTD!S150</f>
        <v>95.93</v>
      </c>
      <c r="I23" t="str">
        <f>[1]RTD!A178</f>
        <v>ZQF7</v>
      </c>
      <c r="J23" s="1">
        <f>[1]RTD!S178</f>
        <v>96.837500000000006</v>
      </c>
    </row>
    <row r="24" spans="1:10" x14ac:dyDescent="0.25">
      <c r="A24" t="str">
        <f>[1]RTD!A62</f>
        <v>SR3Z1</v>
      </c>
      <c r="B24" s="1">
        <f>[1]RTD!S62</f>
        <v>95.984999999999999</v>
      </c>
      <c r="C24" t="str">
        <f>[1]RTD!A91</f>
        <v>I   FMZ0030!</v>
      </c>
      <c r="D24" s="1">
        <f>[1]RTD!S91</f>
        <v>97.28</v>
      </c>
      <c r="E24" t="str">
        <f>[1]RTD!A122</f>
        <v>SA3 FMZ0031!</v>
      </c>
      <c r="F24" s="1" t="str">
        <f>[1]RTD!S122</f>
        <v>"services.rtd.invalidInstrumentFormat"</v>
      </c>
      <c r="G24" t="str">
        <f>[1]RTD!A151</f>
        <v>SO3 FMZ0030!</v>
      </c>
      <c r="H24" s="1">
        <f>[1]RTD!S151</f>
        <v>95.897500000000008</v>
      </c>
      <c r="I24" t="str">
        <f>[1]RTD!A179</f>
        <v>ZQG7</v>
      </c>
      <c r="J24" s="1" t="str">
        <f>[1]RTD!S179</f>
        <v>96.785</v>
      </c>
    </row>
    <row r="25" spans="1:10" x14ac:dyDescent="0.25">
      <c r="A25" t="str">
        <f>[1]RTD!A63</f>
        <v>SR3H2</v>
      </c>
      <c r="B25" s="1">
        <f>[1]RTD!S63</f>
        <v>95.782499999999999</v>
      </c>
      <c r="C25" t="str">
        <f>[1]RTD!A92</f>
        <v>I   FMZ0031!</v>
      </c>
      <c r="D25" s="1" t="str">
        <f>[1]RTD!S92</f>
        <v>"services.rtd.invalidInstrumentFormat"</v>
      </c>
      <c r="G25" t="str">
        <f>[1]RTD!A152</f>
        <v>SO3 FMZ0031!</v>
      </c>
      <c r="H25" s="1" t="str">
        <f>[1]RTD!S152</f>
        <v>"services.rtd.invalidInstrumentFormat"</v>
      </c>
      <c r="I25" t="str">
        <f>[1]RTD!A180</f>
        <v>ZQH7</v>
      </c>
      <c r="J25" s="1">
        <f>[1]RTD!S180</f>
        <v>96.694999999999993</v>
      </c>
    </row>
    <row r="27" spans="1:10" x14ac:dyDescent="0.25">
      <c r="B27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4AA789-5893-427A-9EFE-CB1A1C827E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SR3</vt:lpstr>
      <vt:lpstr>SOFR3mo PX</vt:lpstr>
      <vt:lpstr>rtd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Ratnesh Kushwaha</dc:creator>
  <cp:lastModifiedBy>Ratnesh Kushwaha</cp:lastModifiedBy>
  <dcterms:created xsi:type="dcterms:W3CDTF">2025-04-29T17:36:02Z</dcterms:created>
  <dcterms:modified xsi:type="dcterms:W3CDTF">2025-06-20T16:33:01Z</dcterms:modified>
</cp:coreProperties>
</file>